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24226"/>
  <mc:AlternateContent xmlns:mc="http://schemas.openxmlformats.org/markup-compatibility/2006">
    <mc:Choice Requires="x15">
      <x15ac:absPath xmlns:x15ac="http://schemas.microsoft.com/office/spreadsheetml/2010/11/ac" url="D:\Descargas\"/>
    </mc:Choice>
  </mc:AlternateContent>
  <xr:revisionPtr revIDLastSave="0" documentId="13_ncr:1_{6C00A078-937C-483F-87FA-72E197074EAE}" xr6:coauthVersionLast="47" xr6:coauthVersionMax="47" xr10:uidLastSave="{00000000-0000-0000-0000-000000000000}"/>
  <bookViews>
    <workbookView xWindow="-108" yWindow="-108" windowWidth="23256" windowHeight="12576" xr2:uid="{00000000-000D-0000-FFFF-FFFF00000000}"/>
  </bookViews>
  <sheets>
    <sheet name="Cotizacion" sheetId="1" r:id="rId1"/>
    <sheet name="Base" sheetId="2" r:id="rId2"/>
    <sheet name="Metrado" sheetId="17" r:id="rId3"/>
    <sheet name="Barras" sheetId="4" r:id="rId4"/>
    <sheet name="Calc_Barras" sheetId="5" r:id="rId5"/>
    <sheet name="Panel" sheetId="11" r:id="rId6"/>
    <sheet name="Gabinete" sheetId="12" r:id="rId7"/>
    <sheet name="Gab_Aut" sheetId="6" r:id="rId8"/>
    <sheet name="Desc" sheetId="10" r:id="rId9"/>
    <sheet name="Oferta Economica" sheetId="3" r:id="rId10"/>
    <sheet name="N-IP" sheetId="19" state="hidden" r:id="rId11"/>
    <sheet name="N-int" sheetId="20" state="hidden" r:id="rId12"/>
    <sheet name="N-sel" sheetId="21" state="hidden" r:id="rId13"/>
    <sheet name="N-recu" sheetId="22" r:id="rId14"/>
    <sheet name="N-BCA" sheetId="23" state="hidden" r:id="rId15"/>
    <sheet name="N-Otros" sheetId="24" state="hidden" r:id="rId16"/>
    <sheet name="N-EspT" sheetId="25" state="hidden" r:id="rId17"/>
    <sheet name="datos_prueba" sheetId="18" state="hidden" r:id="rId18"/>
    <sheet name="CambMarca" sheetId="47" r:id="rId19"/>
    <sheet name="Red(temp)" sheetId="45" r:id="rId20"/>
    <sheet name="Red_Pres" sheetId="46" r:id="rId21"/>
    <sheet name="Red_Pres (ej)" sheetId="48" r:id="rId22"/>
    <sheet name="Datos(temp)" sheetId="49" r:id="rId23"/>
  </sheets>
  <definedNames>
    <definedName name="_xlnm._FilterDatabase" localSheetId="1" hidden="1">Base!$B$19:$K$8032</definedName>
    <definedName name="_xlnm._FilterDatabase" localSheetId="0" hidden="1">Cotizacion!$A$7:$J$3586</definedName>
    <definedName name="_xlnm._FilterDatabase" localSheetId="2" hidden="1">Metrado!$D$2:$H$169</definedName>
    <definedName name="_xlnm._FilterDatabase" localSheetId="20" hidden="1">Red_Pres!#REF!</definedName>
    <definedName name="_xlnm._FilterDatabase" localSheetId="21" hidden="1">'Red_Pres (ej)'!#REF!</definedName>
    <definedName name="_xlnm.Print_Area" localSheetId="4">Calc_Barras!$A$1:$N$6</definedName>
    <definedName name="_xlnm.Print_Area" localSheetId="0">Cotizacion!$A$291:$J$474</definedName>
    <definedName name="_xlnm.Print_Area" localSheetId="20">Red_Pres!$A$6:$F$1430</definedName>
    <definedName name="_xlnm.Print_Area" localSheetId="21">'Red_Pres (ej)'!$A$6:$F$939</definedName>
    <definedName name="BASE" localSheetId="3">Barras!$J$3</definedName>
    <definedName name="base_barras">Barras!$B$6:$L$26</definedName>
    <definedName name="base_datos">Base!$B$19:$L$8023</definedName>
    <definedName name="descuentos">Base!$B$6:$J$12</definedName>
    <definedName name="dol_sol">Base!$C$15</definedName>
    <definedName name="dscto">Cotizacion!$D$6</definedName>
    <definedName name="fcl">Base!$C$14</definedName>
    <definedName name="fcl_opciones">datos_prueba!$C$5:$C$59</definedName>
    <definedName name="G_U">Base!$C$13</definedName>
    <definedName name="precio_aislador">Barras!$B$32:$C$36</definedName>
    <definedName name="precio_barras">Barras!$B$6:$L$26</definedName>
    <definedName name="seccion." localSheetId="3">Barras!$B$6:$B$26</definedName>
    <definedName name="seccion." localSheetId="4">Barras!$B$6:$B$26</definedName>
    <definedName name="TABLEROS">Cotizacion!$C$1680:$J$3812</definedName>
    <definedName name="TC">Base!$C$17</definedName>
    <definedName name="TC_DolSol">Cotizacion!$D$5</definedName>
    <definedName name="_xlnm.Print_Titles" localSheetId="20">Red_Pres!$1:$5</definedName>
    <definedName name="_xlnm.Print_Titles" localSheetId="21">'Red_Pres (ej)'!$1:$5</definedName>
  </definedNames>
  <calcPr calcId="191029"/>
  <pivotCaches>
    <pivotCache cacheId="0" r:id="rId2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374" i="1" l="1"/>
  <c r="Q3374" i="1" s="1"/>
  <c r="M3374" i="1"/>
  <c r="C3374" i="1"/>
  <c r="O3297" i="1"/>
  <c r="Q3297" i="1" s="1"/>
  <c r="M3297" i="1"/>
  <c r="C3297" i="1"/>
  <c r="O3225" i="1"/>
  <c r="Q3225" i="1" s="1"/>
  <c r="M3225" i="1"/>
  <c r="C3225" i="1"/>
  <c r="O3224" i="1"/>
  <c r="M3224" i="1"/>
  <c r="C3224" i="1"/>
  <c r="M3223" i="1"/>
  <c r="O3222" i="1"/>
  <c r="P3222" i="1" s="1"/>
  <c r="M3222" i="1"/>
  <c r="O3221" i="1"/>
  <c r="N3221" i="1" s="1"/>
  <c r="M3221" i="1"/>
  <c r="F3221" i="1"/>
  <c r="O3202" i="1"/>
  <c r="Q3202" i="1" s="1"/>
  <c r="M3202" i="1"/>
  <c r="O3201" i="1"/>
  <c r="N3201" i="1" s="1"/>
  <c r="M3201" i="1"/>
  <c r="L3201" i="1"/>
  <c r="C3201" i="1"/>
  <c r="O3200" i="1"/>
  <c r="Q3200" i="1" s="1"/>
  <c r="M3200" i="1"/>
  <c r="C3200" i="1"/>
  <c r="O3199" i="1"/>
  <c r="N3199" i="1" s="1"/>
  <c r="M3199" i="1"/>
  <c r="C3199" i="1"/>
  <c r="M3198" i="1"/>
  <c r="C3198" i="1"/>
  <c r="O3197" i="1"/>
  <c r="N3197" i="1" s="1"/>
  <c r="M3197" i="1"/>
  <c r="O3196" i="1"/>
  <c r="Q3196" i="1" s="1"/>
  <c r="M3196" i="1"/>
  <c r="C3196" i="1"/>
  <c r="O3195" i="1"/>
  <c r="N3195" i="1" s="1"/>
  <c r="M3195" i="1"/>
  <c r="C3195" i="1"/>
  <c r="O3194" i="1"/>
  <c r="N3194" i="1" s="1"/>
  <c r="M3194" i="1"/>
  <c r="C3194" i="1"/>
  <c r="O3193" i="1"/>
  <c r="N3193" i="1" s="1"/>
  <c r="M3193" i="1"/>
  <c r="O3192" i="1"/>
  <c r="M3192" i="1"/>
  <c r="C3192" i="1"/>
  <c r="O3191" i="1"/>
  <c r="P3191" i="1" s="1"/>
  <c r="M3191" i="1"/>
  <c r="L3191" i="1"/>
  <c r="L3192" i="1" s="1"/>
  <c r="L3194" i="1" s="1"/>
  <c r="L3193" i="1" s="1"/>
  <c r="L3195" i="1" s="1"/>
  <c r="L3196" i="1" s="1"/>
  <c r="O3139" i="1"/>
  <c r="P3139" i="1" s="1"/>
  <c r="M3139" i="1"/>
  <c r="C3139" i="1"/>
  <c r="O3321" i="1"/>
  <c r="Q3321" i="1" s="1"/>
  <c r="M3321" i="1"/>
  <c r="O3320" i="1"/>
  <c r="Q3320" i="1" s="1"/>
  <c r="M3320" i="1"/>
  <c r="L3320" i="1"/>
  <c r="C3320" i="1"/>
  <c r="O3319" i="1"/>
  <c r="Q3319" i="1" s="1"/>
  <c r="M3319" i="1"/>
  <c r="C3319" i="1"/>
  <c r="O3318" i="1"/>
  <c r="P3318" i="1" s="1"/>
  <c r="M3318" i="1"/>
  <c r="C3318" i="1"/>
  <c r="M3317" i="1"/>
  <c r="C3317" i="1"/>
  <c r="O3316" i="1"/>
  <c r="N3316" i="1" s="1"/>
  <c r="M3316" i="1"/>
  <c r="O3315" i="1"/>
  <c r="P3315" i="1" s="1"/>
  <c r="M3315" i="1"/>
  <c r="C3315" i="1"/>
  <c r="O3314" i="1"/>
  <c r="N3314" i="1" s="1"/>
  <c r="M3314" i="1"/>
  <c r="C3314" i="1"/>
  <c r="O3313" i="1"/>
  <c r="P3313" i="1" s="1"/>
  <c r="M3313" i="1"/>
  <c r="C3313" i="1"/>
  <c r="O3312" i="1"/>
  <c r="N3312" i="1" s="1"/>
  <c r="M3312" i="1"/>
  <c r="O3311" i="1"/>
  <c r="Q3311" i="1" s="1"/>
  <c r="M3311" i="1"/>
  <c r="C3311" i="1"/>
  <c r="O3310" i="1"/>
  <c r="P3310" i="1" s="1"/>
  <c r="M3310" i="1"/>
  <c r="L3310" i="1"/>
  <c r="L3311" i="1" s="1"/>
  <c r="L3313" i="1" s="1"/>
  <c r="L3312" i="1" s="1"/>
  <c r="L3314" i="1" s="1"/>
  <c r="L3315" i="1" s="1"/>
  <c r="O3119" i="1"/>
  <c r="Q3119" i="1" s="1"/>
  <c r="M3119" i="1"/>
  <c r="C3119" i="1"/>
  <c r="O3118" i="1"/>
  <c r="M3118" i="1"/>
  <c r="C3118" i="1"/>
  <c r="M3117" i="1"/>
  <c r="O3116" i="1"/>
  <c r="P3116" i="1" s="1"/>
  <c r="M3116" i="1"/>
  <c r="O3088" i="1"/>
  <c r="Q3088" i="1" s="1"/>
  <c r="M3088" i="1"/>
  <c r="O3087" i="1"/>
  <c r="N3087" i="1" s="1"/>
  <c r="M3087" i="1"/>
  <c r="L3087" i="1"/>
  <c r="C3087" i="1"/>
  <c r="O3086" i="1"/>
  <c r="Q3086" i="1" s="1"/>
  <c r="M3086" i="1"/>
  <c r="C3086" i="1"/>
  <c r="O3085" i="1"/>
  <c r="N3085" i="1" s="1"/>
  <c r="M3085" i="1"/>
  <c r="C3085" i="1"/>
  <c r="M3084" i="1"/>
  <c r="C3084" i="1"/>
  <c r="O3083" i="1"/>
  <c r="Q3083" i="1" s="1"/>
  <c r="M3083" i="1"/>
  <c r="O3082" i="1"/>
  <c r="Q3082" i="1" s="1"/>
  <c r="M3082" i="1"/>
  <c r="C3082" i="1"/>
  <c r="O3081" i="1"/>
  <c r="N3081" i="1" s="1"/>
  <c r="M3081" i="1"/>
  <c r="C3081" i="1"/>
  <c r="O3080" i="1"/>
  <c r="Q3080" i="1" s="1"/>
  <c r="M3080" i="1"/>
  <c r="C3080" i="1"/>
  <c r="O3079" i="1"/>
  <c r="N3079" i="1" s="1"/>
  <c r="M3079" i="1"/>
  <c r="O3078" i="1"/>
  <c r="M3078" i="1"/>
  <c r="C3078" i="1"/>
  <c r="O3077" i="1"/>
  <c r="P3077" i="1" s="1"/>
  <c r="M3077" i="1"/>
  <c r="L3077" i="1"/>
  <c r="L3078" i="1" s="1"/>
  <c r="L3080" i="1" s="1"/>
  <c r="L3079" i="1" s="1"/>
  <c r="L3081" i="1" s="1"/>
  <c r="L3082" i="1" s="1"/>
  <c r="O2664" i="1"/>
  <c r="Q2664" i="1" s="1"/>
  <c r="M2664" i="1"/>
  <c r="C2664" i="1"/>
  <c r="O2663" i="1"/>
  <c r="M2663" i="1"/>
  <c r="C2663" i="1"/>
  <c r="M2662" i="1"/>
  <c r="O2661" i="1"/>
  <c r="P2661" i="1" s="1"/>
  <c r="M2661" i="1"/>
  <c r="O2634" i="1"/>
  <c r="Q2634" i="1" s="1"/>
  <c r="M2634" i="1"/>
  <c r="O2633" i="1"/>
  <c r="N2633" i="1" s="1"/>
  <c r="M2633" i="1"/>
  <c r="L2633" i="1"/>
  <c r="C2633" i="1"/>
  <c r="O2632" i="1"/>
  <c r="Q2632" i="1" s="1"/>
  <c r="M2632" i="1"/>
  <c r="C2632" i="1"/>
  <c r="O2631" i="1"/>
  <c r="N2631" i="1" s="1"/>
  <c r="M2631" i="1"/>
  <c r="C2631" i="1"/>
  <c r="M2630" i="1"/>
  <c r="C2630" i="1"/>
  <c r="O2629" i="1"/>
  <c r="Q2629" i="1" s="1"/>
  <c r="M2629" i="1"/>
  <c r="O2628" i="1"/>
  <c r="Q2628" i="1" s="1"/>
  <c r="M2628" i="1"/>
  <c r="C2628" i="1"/>
  <c r="O2627" i="1"/>
  <c r="N2627" i="1" s="1"/>
  <c r="M2627" i="1"/>
  <c r="C2627" i="1"/>
  <c r="O2626" i="1"/>
  <c r="N2626" i="1" s="1"/>
  <c r="M2626" i="1"/>
  <c r="C2626" i="1"/>
  <c r="O2625" i="1"/>
  <c r="N2625" i="1" s="1"/>
  <c r="M2625" i="1"/>
  <c r="O2624" i="1"/>
  <c r="M2624" i="1"/>
  <c r="C2624" i="1"/>
  <c r="O2623" i="1"/>
  <c r="P2623" i="1" s="1"/>
  <c r="M2623" i="1"/>
  <c r="L2623" i="1"/>
  <c r="L2624" i="1" s="1"/>
  <c r="L2626" i="1" s="1"/>
  <c r="L2625" i="1" s="1"/>
  <c r="L2627" i="1" s="1"/>
  <c r="L2628" i="1" s="1"/>
  <c r="O2223" i="1"/>
  <c r="Q2223" i="1" s="1"/>
  <c r="M2223" i="1"/>
  <c r="C2223" i="1"/>
  <c r="O2222" i="1"/>
  <c r="M2222" i="1"/>
  <c r="C2222" i="1"/>
  <c r="M2221" i="1"/>
  <c r="O2220" i="1"/>
  <c r="P2220" i="1" s="1"/>
  <c r="M2220" i="1"/>
  <c r="O2193" i="1"/>
  <c r="Q2193" i="1" s="1"/>
  <c r="M2193" i="1"/>
  <c r="O2192" i="1"/>
  <c r="N2192" i="1" s="1"/>
  <c r="M2192" i="1"/>
  <c r="L2192" i="1"/>
  <c r="C2192" i="1"/>
  <c r="O2191" i="1"/>
  <c r="Q2191" i="1" s="1"/>
  <c r="M2191" i="1"/>
  <c r="C2191" i="1"/>
  <c r="O2190" i="1"/>
  <c r="N2190" i="1" s="1"/>
  <c r="M2190" i="1"/>
  <c r="C2190" i="1"/>
  <c r="M2189" i="1"/>
  <c r="C2189" i="1"/>
  <c r="O2188" i="1"/>
  <c r="N2188" i="1" s="1"/>
  <c r="M2188" i="1"/>
  <c r="O2187" i="1"/>
  <c r="Q2187" i="1" s="1"/>
  <c r="M2187" i="1"/>
  <c r="C2187" i="1"/>
  <c r="O2186" i="1"/>
  <c r="N2186" i="1" s="1"/>
  <c r="M2186" i="1"/>
  <c r="C2186" i="1"/>
  <c r="O2185" i="1"/>
  <c r="N2185" i="1" s="1"/>
  <c r="M2185" i="1"/>
  <c r="C2185" i="1"/>
  <c r="O2184" i="1"/>
  <c r="N2184" i="1" s="1"/>
  <c r="M2184" i="1"/>
  <c r="O2183" i="1"/>
  <c r="M2183" i="1"/>
  <c r="C2183" i="1"/>
  <c r="O2182" i="1"/>
  <c r="P2182" i="1" s="1"/>
  <c r="M2182" i="1"/>
  <c r="L2182" i="1"/>
  <c r="L2183" i="1" s="1"/>
  <c r="L2185" i="1" s="1"/>
  <c r="L2184" i="1" s="1"/>
  <c r="L2186" i="1" s="1"/>
  <c r="L2187" i="1" s="1"/>
  <c r="O1925" i="1"/>
  <c r="Q1925" i="1" s="1"/>
  <c r="M1925" i="1"/>
  <c r="C1925" i="1"/>
  <c r="M1888" i="1"/>
  <c r="M1889" i="1"/>
  <c r="M1890" i="1"/>
  <c r="M1891" i="1"/>
  <c r="M1892" i="1"/>
  <c r="M1893" i="1"/>
  <c r="M1894" i="1"/>
  <c r="M1895" i="1"/>
  <c r="M1896" i="1"/>
  <c r="M1897" i="1"/>
  <c r="M1898" i="1"/>
  <c r="O1883" i="1"/>
  <c r="Q1883" i="1" s="1"/>
  <c r="M1883" i="1"/>
  <c r="C1883" i="1"/>
  <c r="O1882" i="1"/>
  <c r="M1882" i="1"/>
  <c r="C1882" i="1"/>
  <c r="M1881" i="1"/>
  <c r="O1880" i="1"/>
  <c r="P1880" i="1" s="1"/>
  <c r="M1880" i="1"/>
  <c r="O1850" i="1"/>
  <c r="Q1850" i="1" s="1"/>
  <c r="M1850" i="1"/>
  <c r="O1849" i="1"/>
  <c r="Q1849" i="1" s="1"/>
  <c r="M1849" i="1"/>
  <c r="L1849" i="1"/>
  <c r="C1849" i="1"/>
  <c r="O1848" i="1"/>
  <c r="N1848" i="1" s="1"/>
  <c r="M1848" i="1"/>
  <c r="C1848" i="1"/>
  <c r="O1847" i="1"/>
  <c r="P1847" i="1" s="1"/>
  <c r="M1847" i="1"/>
  <c r="C1847" i="1"/>
  <c r="M1846" i="1"/>
  <c r="C1846" i="1"/>
  <c r="O1845" i="1"/>
  <c r="Q1845" i="1" s="1"/>
  <c r="M1845" i="1"/>
  <c r="O1844" i="1"/>
  <c r="P1844" i="1" s="1"/>
  <c r="M1844" i="1"/>
  <c r="C1844" i="1"/>
  <c r="O1843" i="1"/>
  <c r="N1843" i="1" s="1"/>
  <c r="M1843" i="1"/>
  <c r="C1843" i="1"/>
  <c r="O1842" i="1"/>
  <c r="P1842" i="1" s="1"/>
  <c r="M1842" i="1"/>
  <c r="C1842" i="1"/>
  <c r="O1841" i="1"/>
  <c r="N1841" i="1" s="1"/>
  <c r="M1841" i="1"/>
  <c r="O1840" i="1"/>
  <c r="Q1840" i="1" s="1"/>
  <c r="M1840" i="1"/>
  <c r="C1840" i="1"/>
  <c r="O1839" i="1"/>
  <c r="P1839" i="1" s="1"/>
  <c r="M1839" i="1"/>
  <c r="L1839" i="1"/>
  <c r="L1840" i="1" s="1"/>
  <c r="L1842" i="1" s="1"/>
  <c r="L1841" i="1" s="1"/>
  <c r="L1843" i="1" s="1"/>
  <c r="L1844" i="1" s="1"/>
  <c r="Q3222" i="1" l="1"/>
  <c r="N3196" i="1"/>
  <c r="P3374" i="1"/>
  <c r="P3297" i="1"/>
  <c r="P3221" i="1"/>
  <c r="P3193" i="1"/>
  <c r="N3222" i="1"/>
  <c r="P3197" i="1"/>
  <c r="Q3191" i="1"/>
  <c r="Q3193" i="1"/>
  <c r="P3195" i="1"/>
  <c r="Q3197" i="1"/>
  <c r="Q3221" i="1"/>
  <c r="P3224" i="1"/>
  <c r="Q3195" i="1"/>
  <c r="P3202" i="1"/>
  <c r="Q3224" i="1"/>
  <c r="P3225" i="1"/>
  <c r="N3191" i="1"/>
  <c r="P3192" i="1"/>
  <c r="N3200" i="1"/>
  <c r="P3201" i="1"/>
  <c r="N3202" i="1"/>
  <c r="Q3192" i="1"/>
  <c r="P3194" i="1"/>
  <c r="P3196" i="1"/>
  <c r="P3199" i="1"/>
  <c r="Q3201" i="1"/>
  <c r="Q3314" i="1"/>
  <c r="P3316" i="1"/>
  <c r="Q3194" i="1"/>
  <c r="Q3199" i="1"/>
  <c r="P3200" i="1"/>
  <c r="Q3139" i="1"/>
  <c r="N3139" i="1"/>
  <c r="N3310" i="1"/>
  <c r="N3321" i="1"/>
  <c r="Q3116" i="1"/>
  <c r="Q3310" i="1"/>
  <c r="P3312" i="1"/>
  <c r="Q3316" i="1"/>
  <c r="P3321" i="1"/>
  <c r="Q3077" i="1"/>
  <c r="P3311" i="1"/>
  <c r="Q3312" i="1"/>
  <c r="P3314" i="1"/>
  <c r="N3319" i="1"/>
  <c r="Q3313" i="1"/>
  <c r="Q3315" i="1"/>
  <c r="Q3318" i="1"/>
  <c r="P3319" i="1"/>
  <c r="N3320" i="1"/>
  <c r="N3080" i="1"/>
  <c r="N3313" i="1"/>
  <c r="N3315" i="1"/>
  <c r="N3318" i="1"/>
  <c r="P3320" i="1"/>
  <c r="P3081" i="1"/>
  <c r="N3077" i="1"/>
  <c r="N3083" i="1"/>
  <c r="N3082" i="1"/>
  <c r="N3116" i="1"/>
  <c r="Q2623" i="1"/>
  <c r="P3079" i="1"/>
  <c r="P3083" i="1"/>
  <c r="P3118" i="1"/>
  <c r="Q3079" i="1"/>
  <c r="Q3118" i="1"/>
  <c r="P3119" i="1"/>
  <c r="Q2661" i="1"/>
  <c r="P3078" i="1"/>
  <c r="Q3081" i="1"/>
  <c r="N3086" i="1"/>
  <c r="P3087" i="1"/>
  <c r="N3088" i="1"/>
  <c r="N2187" i="1"/>
  <c r="Q2625" i="1"/>
  <c r="P2627" i="1"/>
  <c r="Q3078" i="1"/>
  <c r="P3080" i="1"/>
  <c r="P3082" i="1"/>
  <c r="P3085" i="1"/>
  <c r="Q3087" i="1"/>
  <c r="Q3085" i="1"/>
  <c r="P3086" i="1"/>
  <c r="P3088" i="1"/>
  <c r="N2623" i="1"/>
  <c r="N2629" i="1"/>
  <c r="N2628" i="1"/>
  <c r="N2661" i="1"/>
  <c r="P2629" i="1"/>
  <c r="P2625" i="1"/>
  <c r="P2634" i="1"/>
  <c r="P2663" i="1"/>
  <c r="Q2663" i="1"/>
  <c r="P2664" i="1"/>
  <c r="Q2220" i="1"/>
  <c r="P2624" i="1"/>
  <c r="Q2627" i="1"/>
  <c r="N2632" i="1"/>
  <c r="P2633" i="1"/>
  <c r="N2634" i="1"/>
  <c r="P2184" i="1"/>
  <c r="Q2624" i="1"/>
  <c r="P2626" i="1"/>
  <c r="P2628" i="1"/>
  <c r="P2631" i="1"/>
  <c r="Q2633" i="1"/>
  <c r="Q2626" i="1"/>
  <c r="Q2631" i="1"/>
  <c r="P2632" i="1"/>
  <c r="Q1880" i="1"/>
  <c r="N2220" i="1"/>
  <c r="P2188" i="1"/>
  <c r="Q2182" i="1"/>
  <c r="Q2184" i="1"/>
  <c r="P2186" i="1"/>
  <c r="Q2188" i="1"/>
  <c r="P2222" i="1"/>
  <c r="Q2186" i="1"/>
  <c r="Q2222" i="1"/>
  <c r="P2223" i="1"/>
  <c r="N2182" i="1"/>
  <c r="P2183" i="1"/>
  <c r="N2191" i="1"/>
  <c r="P2192" i="1"/>
  <c r="N2193" i="1"/>
  <c r="Q2183" i="1"/>
  <c r="P2185" i="1"/>
  <c r="P2187" i="1"/>
  <c r="P2190" i="1"/>
  <c r="Q2192" i="1"/>
  <c r="Q2185" i="1"/>
  <c r="Q2190" i="1"/>
  <c r="P2191" i="1"/>
  <c r="P2193" i="1"/>
  <c r="P1925" i="1"/>
  <c r="N1844" i="1"/>
  <c r="N1839" i="1"/>
  <c r="N1880" i="1"/>
  <c r="P1843" i="1"/>
  <c r="P1882" i="1"/>
  <c r="Q1841" i="1"/>
  <c r="Q1839" i="1"/>
  <c r="Q1882" i="1"/>
  <c r="P1883" i="1"/>
  <c r="N1845" i="1"/>
  <c r="N1850" i="1"/>
  <c r="P1850" i="1"/>
  <c r="P1845" i="1"/>
  <c r="P1841" i="1"/>
  <c r="Q1842" i="1"/>
  <c r="Q1844" i="1"/>
  <c r="Q1847" i="1"/>
  <c r="P1848" i="1"/>
  <c r="N1849" i="1"/>
  <c r="N1847" i="1"/>
  <c r="Q1848" i="1"/>
  <c r="N1842" i="1"/>
  <c r="Q1843" i="1"/>
  <c r="P1849" i="1"/>
  <c r="P1840" i="1"/>
  <c r="O1488" i="1"/>
  <c r="Q1488" i="1" s="1"/>
  <c r="M1488" i="1"/>
  <c r="O1425" i="1"/>
  <c r="Q1425" i="1" s="1"/>
  <c r="M1425" i="1"/>
  <c r="C1425" i="1"/>
  <c r="O1363" i="1"/>
  <c r="Q1363" i="1" s="1"/>
  <c r="M1363" i="1"/>
  <c r="C1363" i="1"/>
  <c r="O1324" i="1"/>
  <c r="Q1324" i="1" s="1"/>
  <c r="M1324" i="1"/>
  <c r="C1324" i="1"/>
  <c r="O1286" i="1"/>
  <c r="Q1286" i="1" s="1"/>
  <c r="M1286" i="1"/>
  <c r="C1286" i="1"/>
  <c r="O1253" i="1"/>
  <c r="Q1253" i="1" s="1"/>
  <c r="M1253" i="1"/>
  <c r="C1253" i="1"/>
  <c r="O1176" i="1"/>
  <c r="Q1176" i="1" s="1"/>
  <c r="M1176" i="1"/>
  <c r="C1176" i="1"/>
  <c r="O1535" i="1"/>
  <c r="Q1535" i="1" s="1"/>
  <c r="M1535" i="1"/>
  <c r="O1546" i="1"/>
  <c r="Q1546" i="1" s="1"/>
  <c r="M1546" i="1"/>
  <c r="L1546" i="1"/>
  <c r="C1546" i="1"/>
  <c r="O1545" i="1"/>
  <c r="N1545" i="1" s="1"/>
  <c r="M1545" i="1"/>
  <c r="C1545" i="1"/>
  <c r="O1544" i="1"/>
  <c r="P1544" i="1" s="1"/>
  <c r="M1544" i="1"/>
  <c r="C1544" i="1"/>
  <c r="M1543" i="1"/>
  <c r="C1543" i="1"/>
  <c r="O1542" i="1"/>
  <c r="P1542" i="1" s="1"/>
  <c r="M1542" i="1"/>
  <c r="O1541" i="1"/>
  <c r="P1541" i="1" s="1"/>
  <c r="M1541" i="1"/>
  <c r="C1541" i="1"/>
  <c r="O1540" i="1"/>
  <c r="N1540" i="1" s="1"/>
  <c r="M1540" i="1"/>
  <c r="C1540" i="1"/>
  <c r="O1539" i="1"/>
  <c r="P1539" i="1" s="1"/>
  <c r="M1539" i="1"/>
  <c r="C1539" i="1"/>
  <c r="O1538" i="1"/>
  <c r="N1538" i="1" s="1"/>
  <c r="M1538" i="1"/>
  <c r="O1537" i="1"/>
  <c r="Q1537" i="1" s="1"/>
  <c r="M1537" i="1"/>
  <c r="C1537" i="1"/>
  <c r="O1536" i="1"/>
  <c r="P1536" i="1" s="1"/>
  <c r="M1536" i="1"/>
  <c r="L1536" i="1"/>
  <c r="L1537" i="1" s="1"/>
  <c r="L1539" i="1" s="1"/>
  <c r="L1538" i="1" s="1"/>
  <c r="L1540" i="1" s="1"/>
  <c r="L1541" i="1" s="1"/>
  <c r="O1223" i="1"/>
  <c r="Q1223" i="1" s="1"/>
  <c r="M1223" i="1"/>
  <c r="C1223" i="1"/>
  <c r="O1222" i="1"/>
  <c r="M1222" i="1"/>
  <c r="C1222" i="1"/>
  <c r="M1221" i="1"/>
  <c r="O1220" i="1"/>
  <c r="P1220" i="1" s="1"/>
  <c r="M1220" i="1"/>
  <c r="O1201" i="1"/>
  <c r="Q1201" i="1" s="1"/>
  <c r="M1201" i="1"/>
  <c r="O1200" i="1"/>
  <c r="Q1200" i="1" s="1"/>
  <c r="M1200" i="1"/>
  <c r="L1200" i="1"/>
  <c r="C1200" i="1"/>
  <c r="O1199" i="1"/>
  <c r="N1199" i="1" s="1"/>
  <c r="M1199" i="1"/>
  <c r="C1199" i="1"/>
  <c r="O1198" i="1"/>
  <c r="P1198" i="1" s="1"/>
  <c r="M1198" i="1"/>
  <c r="C1198" i="1"/>
  <c r="M1197" i="1"/>
  <c r="C1197" i="1"/>
  <c r="O1196" i="1"/>
  <c r="Q1196" i="1" s="1"/>
  <c r="M1196" i="1"/>
  <c r="O1195" i="1"/>
  <c r="P1195" i="1" s="1"/>
  <c r="M1195" i="1"/>
  <c r="C1195" i="1"/>
  <c r="O1194" i="1"/>
  <c r="N1194" i="1" s="1"/>
  <c r="M1194" i="1"/>
  <c r="C1194" i="1"/>
  <c r="O1193" i="1"/>
  <c r="P1193" i="1" s="1"/>
  <c r="M1193" i="1"/>
  <c r="C1193" i="1"/>
  <c r="O1192" i="1"/>
  <c r="N1192" i="1" s="1"/>
  <c r="M1192" i="1"/>
  <c r="O1191" i="1"/>
  <c r="Q1191" i="1" s="1"/>
  <c r="M1191" i="1"/>
  <c r="C1191" i="1"/>
  <c r="O1190" i="1"/>
  <c r="N1190" i="1" s="1"/>
  <c r="M1190" i="1"/>
  <c r="L1190" i="1"/>
  <c r="L1191" i="1" s="1"/>
  <c r="L1193" i="1" s="1"/>
  <c r="L1192" i="1" s="1"/>
  <c r="L1194" i="1" s="1"/>
  <c r="L1195" i="1" s="1"/>
  <c r="O1487" i="1"/>
  <c r="Q1487" i="1" s="1"/>
  <c r="M1487" i="1"/>
  <c r="L1487" i="1"/>
  <c r="C1487" i="1"/>
  <c r="O1486" i="1"/>
  <c r="N1486" i="1" s="1"/>
  <c r="M1486" i="1"/>
  <c r="C1486" i="1"/>
  <c r="O1485" i="1"/>
  <c r="P1485" i="1" s="1"/>
  <c r="M1485" i="1"/>
  <c r="C1485" i="1"/>
  <c r="M1484" i="1"/>
  <c r="C1484" i="1"/>
  <c r="O1483" i="1"/>
  <c r="Q1483" i="1" s="1"/>
  <c r="M1483" i="1"/>
  <c r="O1482" i="1"/>
  <c r="P1482" i="1" s="1"/>
  <c r="M1482" i="1"/>
  <c r="C1482" i="1"/>
  <c r="O1481" i="1"/>
  <c r="N1481" i="1" s="1"/>
  <c r="M1481" i="1"/>
  <c r="E1481" i="1"/>
  <c r="F1481" i="1" s="1"/>
  <c r="C1481" i="1"/>
  <c r="O1480" i="1"/>
  <c r="P1480" i="1" s="1"/>
  <c r="M1480" i="1"/>
  <c r="C1480" i="1"/>
  <c r="O1479" i="1"/>
  <c r="N1479" i="1" s="1"/>
  <c r="M1479" i="1"/>
  <c r="O1478" i="1"/>
  <c r="Q1478" i="1" s="1"/>
  <c r="M1478" i="1"/>
  <c r="C1478" i="1"/>
  <c r="O1477" i="1"/>
  <c r="P1477" i="1" s="1"/>
  <c r="M1477" i="1"/>
  <c r="L1477" i="1"/>
  <c r="L1478" i="1" s="1"/>
  <c r="L1480" i="1" s="1"/>
  <c r="L1479" i="1" s="1"/>
  <c r="L1481" i="1" s="1"/>
  <c r="L1482" i="1" s="1"/>
  <c r="O1147" i="1"/>
  <c r="Q1147" i="1" s="1"/>
  <c r="M1147" i="1"/>
  <c r="C1147" i="1"/>
  <c r="O1146" i="1"/>
  <c r="M1146" i="1"/>
  <c r="C1146" i="1"/>
  <c r="M1145" i="1"/>
  <c r="O1144" i="1"/>
  <c r="P1144" i="1" s="1"/>
  <c r="M1144" i="1"/>
  <c r="O1125" i="1"/>
  <c r="Q1125" i="1" s="1"/>
  <c r="M1125" i="1"/>
  <c r="O1124" i="1"/>
  <c r="Q1124" i="1" s="1"/>
  <c r="M1124" i="1"/>
  <c r="L1124" i="1"/>
  <c r="C1124" i="1"/>
  <c r="O1123" i="1"/>
  <c r="N1123" i="1" s="1"/>
  <c r="M1123" i="1"/>
  <c r="C1123" i="1"/>
  <c r="O1122" i="1"/>
  <c r="P1122" i="1" s="1"/>
  <c r="M1122" i="1"/>
  <c r="C1122" i="1"/>
  <c r="M1121" i="1"/>
  <c r="C1121" i="1"/>
  <c r="O1120" i="1"/>
  <c r="Q1120" i="1" s="1"/>
  <c r="M1120" i="1"/>
  <c r="O1119" i="1"/>
  <c r="P1119" i="1" s="1"/>
  <c r="M1119" i="1"/>
  <c r="C1119" i="1"/>
  <c r="O1118" i="1"/>
  <c r="N1118" i="1" s="1"/>
  <c r="M1118" i="1"/>
  <c r="E1118" i="1"/>
  <c r="F1118" i="1" s="1"/>
  <c r="C1118" i="1"/>
  <c r="O1117" i="1"/>
  <c r="P1117" i="1" s="1"/>
  <c r="M1117" i="1"/>
  <c r="C1117" i="1"/>
  <c r="O1116" i="1"/>
  <c r="N1116" i="1" s="1"/>
  <c r="M1116" i="1"/>
  <c r="O1115" i="1"/>
  <c r="Q1115" i="1" s="1"/>
  <c r="M1115" i="1"/>
  <c r="C1115" i="1"/>
  <c r="O1114" i="1"/>
  <c r="P1114" i="1" s="1"/>
  <c r="M1114" i="1"/>
  <c r="L1114" i="1"/>
  <c r="L1115" i="1" s="1"/>
  <c r="L1117" i="1" s="1"/>
  <c r="L1116" i="1" s="1"/>
  <c r="L1118" i="1" s="1"/>
  <c r="L1119" i="1" s="1"/>
  <c r="O1100" i="1"/>
  <c r="Q1100" i="1" s="1"/>
  <c r="M1100" i="1"/>
  <c r="C1100" i="1"/>
  <c r="O1050" i="1"/>
  <c r="Q1050" i="1" s="1"/>
  <c r="M1050" i="1"/>
  <c r="C1050" i="1"/>
  <c r="O738" i="1"/>
  <c r="Q738" i="1" s="1"/>
  <c r="M738" i="1"/>
  <c r="C738" i="1"/>
  <c r="O737" i="1"/>
  <c r="M737" i="1"/>
  <c r="C737" i="1"/>
  <c r="M736" i="1"/>
  <c r="O735" i="1"/>
  <c r="P735" i="1" s="1"/>
  <c r="M735" i="1"/>
  <c r="O704" i="1"/>
  <c r="Q704" i="1" s="1"/>
  <c r="M704" i="1"/>
  <c r="O715" i="1"/>
  <c r="Q715" i="1" s="1"/>
  <c r="M715" i="1"/>
  <c r="L715" i="1"/>
  <c r="E715" i="1"/>
  <c r="F715" i="1" s="1"/>
  <c r="C715" i="1"/>
  <c r="O714" i="1"/>
  <c r="N714" i="1" s="1"/>
  <c r="M714" i="1"/>
  <c r="C714" i="1"/>
  <c r="O713" i="1"/>
  <c r="P713" i="1" s="1"/>
  <c r="M713" i="1"/>
  <c r="C713" i="1"/>
  <c r="O712" i="1"/>
  <c r="Q712" i="1" s="1"/>
  <c r="M712" i="1"/>
  <c r="C712" i="1"/>
  <c r="O711" i="1"/>
  <c r="P711" i="1" s="1"/>
  <c r="M711" i="1"/>
  <c r="O710" i="1"/>
  <c r="P710" i="1" s="1"/>
  <c r="M710" i="1"/>
  <c r="C710" i="1"/>
  <c r="O709" i="1"/>
  <c r="N709" i="1" s="1"/>
  <c r="M709" i="1"/>
  <c r="C709" i="1"/>
  <c r="O708" i="1"/>
  <c r="P708" i="1" s="1"/>
  <c r="M708" i="1"/>
  <c r="C708" i="1"/>
  <c r="O707" i="1"/>
  <c r="N707" i="1" s="1"/>
  <c r="M707" i="1"/>
  <c r="O706" i="1"/>
  <c r="Q706" i="1" s="1"/>
  <c r="M706" i="1"/>
  <c r="C706" i="1"/>
  <c r="O705" i="1"/>
  <c r="P705" i="1" s="1"/>
  <c r="M705" i="1"/>
  <c r="L705" i="1"/>
  <c r="L706" i="1" s="1"/>
  <c r="L708" i="1" s="1"/>
  <c r="L707" i="1" s="1"/>
  <c r="L709" i="1" s="1"/>
  <c r="L710" i="1" s="1"/>
  <c r="O691" i="1"/>
  <c r="Q691" i="1" s="1"/>
  <c r="M691" i="1"/>
  <c r="C691" i="1"/>
  <c r="O370" i="1"/>
  <c r="Q370" i="1" s="1"/>
  <c r="M370" i="1"/>
  <c r="C370" i="1"/>
  <c r="O369" i="1"/>
  <c r="M369" i="1"/>
  <c r="C369" i="1"/>
  <c r="M368" i="1"/>
  <c r="O367" i="1"/>
  <c r="P367" i="1" s="1"/>
  <c r="M367" i="1"/>
  <c r="O341" i="1"/>
  <c r="Q341" i="1" s="1"/>
  <c r="M341" i="1"/>
  <c r="O340" i="1"/>
  <c r="N340" i="1" s="1"/>
  <c r="M340" i="1"/>
  <c r="L340" i="1"/>
  <c r="C340" i="1"/>
  <c r="O339" i="1"/>
  <c r="Q339" i="1" s="1"/>
  <c r="M339" i="1"/>
  <c r="C339" i="1"/>
  <c r="O338" i="1"/>
  <c r="N338" i="1" s="1"/>
  <c r="M338" i="1"/>
  <c r="C338" i="1"/>
  <c r="M337" i="1"/>
  <c r="C337" i="1"/>
  <c r="O336" i="1"/>
  <c r="Q336" i="1" s="1"/>
  <c r="M336" i="1"/>
  <c r="O335" i="1"/>
  <c r="Q335" i="1" s="1"/>
  <c r="M335" i="1"/>
  <c r="C335" i="1"/>
  <c r="O334" i="1"/>
  <c r="N334" i="1" s="1"/>
  <c r="M334" i="1"/>
  <c r="E334" i="1"/>
  <c r="F334" i="1" s="1"/>
  <c r="C334" i="1"/>
  <c r="O333" i="1"/>
  <c r="N333" i="1" s="1"/>
  <c r="M333" i="1"/>
  <c r="C333" i="1"/>
  <c r="O332" i="1"/>
  <c r="N332" i="1" s="1"/>
  <c r="M332" i="1"/>
  <c r="O331" i="1"/>
  <c r="M331" i="1"/>
  <c r="C331" i="1"/>
  <c r="O330" i="1"/>
  <c r="P330" i="1" s="1"/>
  <c r="M330" i="1"/>
  <c r="L330" i="1"/>
  <c r="L331" i="1" s="1"/>
  <c r="L333" i="1" s="1"/>
  <c r="L332" i="1" s="1"/>
  <c r="L334" i="1" s="1"/>
  <c r="L335" i="1" s="1"/>
  <c r="O69" i="1"/>
  <c r="Q69" i="1" s="1"/>
  <c r="M69" i="1"/>
  <c r="C69" i="1"/>
  <c r="O68" i="1"/>
  <c r="M68" i="1"/>
  <c r="C68" i="1"/>
  <c r="M67" i="1"/>
  <c r="O66" i="1"/>
  <c r="Q66" i="1" s="1"/>
  <c r="M66" i="1"/>
  <c r="O38" i="1"/>
  <c r="Q38" i="1" s="1"/>
  <c r="M38" i="1"/>
  <c r="O49" i="1"/>
  <c r="Q49" i="1" s="1"/>
  <c r="M49" i="1"/>
  <c r="L49" i="1"/>
  <c r="C49" i="1"/>
  <c r="O48" i="1"/>
  <c r="N48" i="1" s="1"/>
  <c r="M48" i="1"/>
  <c r="C48" i="1"/>
  <c r="O47" i="1"/>
  <c r="P47" i="1" s="1"/>
  <c r="M47" i="1"/>
  <c r="C47" i="1"/>
  <c r="M46" i="1"/>
  <c r="C46" i="1"/>
  <c r="O45" i="1"/>
  <c r="Q45" i="1" s="1"/>
  <c r="M45" i="1"/>
  <c r="O44" i="1"/>
  <c r="P44" i="1" s="1"/>
  <c r="M44" i="1"/>
  <c r="C44" i="1"/>
  <c r="O43" i="1"/>
  <c r="N43" i="1" s="1"/>
  <c r="M43" i="1"/>
  <c r="E43" i="1"/>
  <c r="F43" i="1" s="1"/>
  <c r="C43" i="1"/>
  <c r="O42" i="1"/>
  <c r="P42" i="1" s="1"/>
  <c r="M42" i="1"/>
  <c r="C42" i="1"/>
  <c r="O41" i="1"/>
  <c r="N41" i="1" s="1"/>
  <c r="M41" i="1"/>
  <c r="O40" i="1"/>
  <c r="Q40" i="1" s="1"/>
  <c r="M40" i="1"/>
  <c r="C40" i="1"/>
  <c r="O39" i="1"/>
  <c r="P39" i="1" s="1"/>
  <c r="M39" i="1"/>
  <c r="L39" i="1"/>
  <c r="L40" i="1" s="1"/>
  <c r="L42" i="1" s="1"/>
  <c r="L41" i="1" s="1"/>
  <c r="L43" i="1" s="1"/>
  <c r="L44" i="1" s="1"/>
  <c r="H6555" i="2"/>
  <c r="H6554" i="2"/>
  <c r="H6552" i="2"/>
  <c r="H6548" i="2"/>
  <c r="H6547" i="2"/>
  <c r="H6545" i="2"/>
  <c r="H6544" i="2"/>
  <c r="H6543" i="2"/>
  <c r="H6540" i="2"/>
  <c r="H6539" i="2"/>
  <c r="H6538" i="2"/>
  <c r="H6536" i="2"/>
  <c r="H6532" i="2"/>
  <c r="H6531" i="2"/>
  <c r="H6529" i="2"/>
  <c r="H6528" i="2"/>
  <c r="H6527" i="2"/>
  <c r="H6526" i="2"/>
  <c r="H6513" i="2"/>
  <c r="H6511" i="2"/>
  <c r="H6509" i="2"/>
  <c r="H6500" i="2"/>
  <c r="C6500" i="2"/>
  <c r="H6499" i="2"/>
  <c r="H6498" i="2"/>
  <c r="H6497" i="2"/>
  <c r="H6495" i="2"/>
  <c r="H6494" i="2"/>
  <c r="C6491" i="2"/>
  <c r="H6474" i="2"/>
  <c r="H6453" i="2"/>
  <c r="H6452" i="2"/>
  <c r="H6451" i="2"/>
  <c r="H6450" i="2"/>
  <c r="H6449" i="2"/>
  <c r="H6448" i="2"/>
  <c r="H6447" i="2"/>
  <c r="H6446" i="2"/>
  <c r="H6445" i="2"/>
  <c r="H6444" i="2"/>
  <c r="H6443" i="2"/>
  <c r="H6442" i="2"/>
  <c r="H6441" i="2"/>
  <c r="H6440" i="2"/>
  <c r="H6439" i="2"/>
  <c r="H6435" i="2"/>
  <c r="H6434" i="2"/>
  <c r="H6433" i="2"/>
  <c r="H6432" i="2"/>
  <c r="H6431" i="2"/>
  <c r="H6430" i="2"/>
  <c r="H6429" i="2"/>
  <c r="H6428" i="2"/>
  <c r="H6427" i="2"/>
  <c r="H6426" i="2"/>
  <c r="H6425" i="2"/>
  <c r="H6424" i="2"/>
  <c r="H6423" i="2"/>
  <c r="H6418" i="2"/>
  <c r="H6417" i="2"/>
  <c r="H6416" i="2"/>
  <c r="H6415" i="2"/>
  <c r="H6414" i="2"/>
  <c r="H6413" i="2"/>
  <c r="H6410" i="2"/>
  <c r="H6409" i="2"/>
  <c r="H6408" i="2"/>
  <c r="H6407" i="2"/>
  <c r="H6406" i="2"/>
  <c r="H6405" i="2"/>
  <c r="H6404" i="2"/>
  <c r="H6403" i="2"/>
  <c r="H6402" i="2"/>
  <c r="H6401" i="2"/>
  <c r="H6400" i="2"/>
  <c r="H6397" i="2"/>
  <c r="H6396" i="2"/>
  <c r="H6395" i="2"/>
  <c r="H6394" i="2"/>
  <c r="H6393" i="2"/>
  <c r="H6392" i="2"/>
  <c r="H6391" i="2"/>
  <c r="H6390" i="2"/>
  <c r="H6389" i="2"/>
  <c r="H6388" i="2"/>
  <c r="H6387" i="2"/>
  <c r="H6386" i="2"/>
  <c r="H6385" i="2"/>
  <c r="H6384" i="2"/>
  <c r="H6383" i="2"/>
  <c r="H6382" i="2"/>
  <c r="H6379" i="2"/>
  <c r="H6378" i="2"/>
  <c r="H6377" i="2"/>
  <c r="H6376" i="2"/>
  <c r="H6375" i="2"/>
  <c r="H6374" i="2"/>
  <c r="H6373" i="2"/>
  <c r="H6372" i="2"/>
  <c r="H6371" i="2"/>
  <c r="H6370" i="2"/>
  <c r="H6369" i="2"/>
  <c r="H6368" i="2"/>
  <c r="H6367" i="2"/>
  <c r="H6366" i="2"/>
  <c r="H6365" i="2"/>
  <c r="H6364" i="2"/>
  <c r="H6363" i="2"/>
  <c r="H6362" i="2"/>
  <c r="H6361" i="2"/>
  <c r="H6355" i="2"/>
  <c r="H6354" i="2"/>
  <c r="H6353" i="2"/>
  <c r="H6352" i="2"/>
  <c r="H6348" i="2"/>
  <c r="H6347" i="2"/>
  <c r="H6346" i="2"/>
  <c r="H6345" i="2"/>
  <c r="H6344" i="2"/>
  <c r="H6343" i="2"/>
  <c r="H6321" i="2"/>
  <c r="H6310" i="2"/>
  <c r="H6309" i="2"/>
  <c r="H6308" i="2"/>
  <c r="C6303" i="2"/>
  <c r="C6302" i="2"/>
  <c r="C6301" i="2"/>
  <c r="C6300" i="2"/>
  <c r="H6295" i="2"/>
  <c r="H6294" i="2"/>
  <c r="H6293" i="2"/>
  <c r="H6292" i="2"/>
  <c r="H6291" i="2"/>
  <c r="H6290" i="2"/>
  <c r="H6289" i="2"/>
  <c r="H6288" i="2"/>
  <c r="H6287" i="2"/>
  <c r="H6286" i="2"/>
  <c r="H6285" i="2"/>
  <c r="H6284" i="2"/>
  <c r="H6283" i="2"/>
  <c r="H6282" i="2"/>
  <c r="H6281" i="2"/>
  <c r="H6280" i="2"/>
  <c r="H6279" i="2"/>
  <c r="H6278" i="2"/>
  <c r="H6277" i="2"/>
  <c r="H6276" i="2"/>
  <c r="H6275" i="2"/>
  <c r="H6274" i="2"/>
  <c r="H6273" i="2"/>
  <c r="H6270" i="2"/>
  <c r="H6269" i="2"/>
  <c r="H6268" i="2"/>
  <c r="H6267" i="2"/>
  <c r="H6265" i="2"/>
  <c r="H6264" i="2"/>
  <c r="H6263" i="2"/>
  <c r="H6262" i="2"/>
  <c r="H6260" i="2"/>
  <c r="H6259" i="2"/>
  <c r="H6258" i="2"/>
  <c r="H6257" i="2"/>
  <c r="H6256" i="2"/>
  <c r="H6255" i="2"/>
  <c r="H6254" i="2"/>
  <c r="H6253" i="2"/>
  <c r="H6248" i="2"/>
  <c r="H6247" i="2"/>
  <c r="H6246" i="2"/>
  <c r="H6245" i="2"/>
  <c r="H6243" i="2"/>
  <c r="H6242" i="2"/>
  <c r="H6241" i="2"/>
  <c r="H6240" i="2"/>
  <c r="H6238" i="2"/>
  <c r="H6237" i="2"/>
  <c r="H6236" i="2"/>
  <c r="H6235" i="2"/>
  <c r="H6234" i="2"/>
  <c r="H6233" i="2"/>
  <c r="H6232" i="2"/>
  <c r="H6231" i="2"/>
  <c r="H6230" i="2"/>
  <c r="H6229" i="2"/>
  <c r="H6228" i="2"/>
  <c r="H6227" i="2"/>
  <c r="H6225" i="2"/>
  <c r="H6224" i="2"/>
  <c r="H6223" i="2"/>
  <c r="H6222" i="2"/>
  <c r="H6221" i="2"/>
  <c r="H6220" i="2"/>
  <c r="H6219" i="2"/>
  <c r="H6218" i="2"/>
  <c r="H6217" i="2"/>
  <c r="H6216" i="2"/>
  <c r="H6215" i="2"/>
  <c r="H6214" i="2"/>
  <c r="H6211" i="2"/>
  <c r="H6210" i="2"/>
  <c r="H6209" i="2"/>
  <c r="H6208" i="2"/>
  <c r="H6207" i="2"/>
  <c r="H6206" i="2"/>
  <c r="H6205" i="2"/>
  <c r="H6204" i="2"/>
  <c r="H6203" i="2"/>
  <c r="H6202" i="2"/>
  <c r="H6200" i="2"/>
  <c r="H6199" i="2"/>
  <c r="H6195" i="2"/>
  <c r="H6194" i="2"/>
  <c r="H6192" i="2"/>
  <c r="H6191" i="2"/>
  <c r="H6190" i="2"/>
  <c r="H6189" i="2"/>
  <c r="H6188" i="2"/>
  <c r="H6187" i="2"/>
  <c r="H6186" i="2"/>
  <c r="H6185" i="2"/>
  <c r="H6184" i="2"/>
  <c r="H6183" i="2"/>
  <c r="H6182" i="2"/>
  <c r="H6181" i="2"/>
  <c r="H6180" i="2"/>
  <c r="H6177" i="2"/>
  <c r="H6176" i="2"/>
  <c r="H6175" i="2"/>
  <c r="H6174" i="2"/>
  <c r="H6173" i="2"/>
  <c r="H6172" i="2"/>
  <c r="H6171" i="2"/>
  <c r="H6170" i="2"/>
  <c r="H6169" i="2"/>
  <c r="H6168" i="2"/>
  <c r="H6167" i="2"/>
  <c r="H6166" i="2"/>
  <c r="H6165" i="2"/>
  <c r="H6164" i="2"/>
  <c r="H6163" i="2"/>
  <c r="H6160" i="2"/>
  <c r="H6159" i="2"/>
  <c r="H6158" i="2"/>
  <c r="H6157" i="2"/>
  <c r="H6156" i="2"/>
  <c r="H6155" i="2"/>
  <c r="H6154" i="2"/>
  <c r="H6153" i="2"/>
  <c r="H6152" i="2"/>
  <c r="H6151" i="2"/>
  <c r="H6150" i="2"/>
  <c r="H6146" i="2"/>
  <c r="H6145" i="2"/>
  <c r="H6143" i="2"/>
  <c r="H6142" i="2"/>
  <c r="H6139" i="2"/>
  <c r="H6138" i="2"/>
  <c r="H6137" i="2"/>
  <c r="H6136" i="2"/>
  <c r="H6135" i="2"/>
  <c r="H6134" i="2"/>
  <c r="H6133" i="2"/>
  <c r="H6132" i="2"/>
  <c r="H6130" i="2"/>
  <c r="H6129" i="2"/>
  <c r="H6128" i="2"/>
  <c r="H6127" i="2"/>
  <c r="H6126" i="2"/>
  <c r="H6125" i="2"/>
  <c r="H6124" i="2"/>
  <c r="H6123" i="2"/>
  <c r="H6122" i="2"/>
  <c r="H6120" i="2"/>
  <c r="C6120" i="2"/>
  <c r="H6119" i="2"/>
  <c r="C6119" i="2"/>
  <c r="H6118" i="2"/>
  <c r="C6118" i="2"/>
  <c r="H6117" i="2"/>
  <c r="C6117" i="2"/>
  <c r="H6116" i="2"/>
  <c r="C6116" i="2"/>
  <c r="H6115" i="2"/>
  <c r="C6115" i="2"/>
  <c r="H6114" i="2"/>
  <c r="C6114" i="2"/>
  <c r="H6113" i="2"/>
  <c r="C6113" i="2"/>
  <c r="H6112" i="2"/>
  <c r="C6112" i="2"/>
  <c r="H6095" i="2"/>
  <c r="H6094" i="2"/>
  <c r="H6090" i="2"/>
  <c r="H6089" i="2"/>
  <c r="H6088" i="2"/>
  <c r="H6087" i="2"/>
  <c r="H6086" i="2"/>
  <c r="H6084" i="2"/>
  <c r="H6083" i="2"/>
  <c r="H6081" i="2"/>
  <c r="H6080" i="2"/>
  <c r="H6078" i="2"/>
  <c r="H6077" i="2"/>
  <c r="H6076" i="2"/>
  <c r="H6075" i="2"/>
  <c r="H6074" i="2"/>
  <c r="H6073" i="2"/>
  <c r="H6071" i="2"/>
  <c r="H6069" i="2"/>
  <c r="H6068" i="2"/>
  <c r="H6067" i="2"/>
  <c r="H6066" i="2"/>
  <c r="H6065" i="2"/>
  <c r="H6063" i="2"/>
  <c r="H6062" i="2"/>
  <c r="H6061" i="2"/>
  <c r="H6060" i="2"/>
  <c r="H6059" i="2"/>
  <c r="H6055" i="2"/>
  <c r="H6054" i="2"/>
  <c r="H6053" i="2"/>
  <c r="H6052" i="2"/>
  <c r="H6051" i="2"/>
  <c r="H6050" i="2"/>
  <c r="H6048" i="2"/>
  <c r="H6047" i="2"/>
  <c r="H6043" i="2"/>
  <c r="H6042" i="2"/>
  <c r="H6041" i="2"/>
  <c r="H6040" i="2"/>
  <c r="H6038" i="2"/>
  <c r="H6037" i="2"/>
  <c r="H6036" i="2"/>
  <c r="H6034" i="2"/>
  <c r="H6033" i="2"/>
  <c r="H6032" i="2"/>
  <c r="H6031" i="2"/>
  <c r="H6029" i="2"/>
  <c r="H6028" i="2"/>
  <c r="H6027" i="2"/>
  <c r="H6025" i="2"/>
  <c r="H6024" i="2"/>
  <c r="H6023" i="2"/>
  <c r="H6022" i="2"/>
  <c r="H6019" i="2"/>
  <c r="H6018" i="2"/>
  <c r="H6017" i="2"/>
  <c r="H6016" i="2"/>
  <c r="H6015" i="2"/>
  <c r="H6014" i="2"/>
  <c r="H6013" i="2"/>
  <c r="H6012" i="2"/>
  <c r="H6010" i="2"/>
  <c r="H6009" i="2"/>
  <c r="H6008" i="2"/>
  <c r="H6007" i="2"/>
  <c r="H6006" i="2"/>
  <c r="H6005" i="2"/>
  <c r="H6004" i="2"/>
  <c r="H6003" i="2"/>
  <c r="H6001" i="2"/>
  <c r="H6000" i="2"/>
  <c r="H5999" i="2"/>
  <c r="H5998" i="2"/>
  <c r="H5997" i="2"/>
  <c r="H5996" i="2"/>
  <c r="H5995" i="2"/>
  <c r="H5994" i="2"/>
  <c r="H5989" i="2"/>
  <c r="H5988" i="2"/>
  <c r="H5987" i="2"/>
  <c r="H5986" i="2"/>
  <c r="H5985" i="2"/>
  <c r="H5984" i="2"/>
  <c r="H5983" i="2"/>
  <c r="H5982" i="2"/>
  <c r="H5980" i="2"/>
  <c r="H5979" i="2"/>
  <c r="H5978" i="2"/>
  <c r="H5977" i="2"/>
  <c r="H5976" i="2"/>
  <c r="H5975" i="2"/>
  <c r="H5974" i="2"/>
  <c r="H5973" i="2"/>
  <c r="H5971" i="2"/>
  <c r="H5970" i="2"/>
  <c r="H5969" i="2"/>
  <c r="H5968" i="2"/>
  <c r="H5967" i="2"/>
  <c r="H5966" i="2"/>
  <c r="H5965" i="2"/>
  <c r="H5964" i="2"/>
  <c r="F5957" i="2"/>
  <c r="F5956" i="2"/>
  <c r="F5954" i="2"/>
  <c r="F5953" i="2"/>
  <c r="F5952" i="2"/>
  <c r="F5951" i="2"/>
  <c r="F5950" i="2"/>
  <c r="F5949" i="2"/>
  <c r="F5948" i="2"/>
  <c r="F5947" i="2"/>
  <c r="F5943" i="2"/>
  <c r="F5942" i="2"/>
  <c r="F5941" i="2"/>
  <c r="F5939" i="2"/>
  <c r="F5938" i="2"/>
  <c r="F5937" i="2"/>
  <c r="H5934" i="2"/>
  <c r="F5934" i="2"/>
  <c r="H5933" i="2"/>
  <c r="F5933" i="2"/>
  <c r="H5932" i="2"/>
  <c r="F5932" i="2"/>
  <c r="H5931" i="2"/>
  <c r="F5931" i="2"/>
  <c r="H5930" i="2"/>
  <c r="H5929" i="2"/>
  <c r="H5928" i="2"/>
  <c r="H5927" i="2"/>
  <c r="H5926" i="2"/>
  <c r="F5926" i="2"/>
  <c r="H5925" i="2"/>
  <c r="F5925" i="2"/>
  <c r="H5924" i="2"/>
  <c r="F5924" i="2"/>
  <c r="H5923" i="2"/>
  <c r="F5923" i="2"/>
  <c r="H5922" i="2"/>
  <c r="F5922" i="2"/>
  <c r="H5921" i="2"/>
  <c r="F5921" i="2"/>
  <c r="H5920" i="2"/>
  <c r="F5920" i="2"/>
  <c r="H5919" i="2"/>
  <c r="F5919" i="2"/>
  <c r="H5918" i="2"/>
  <c r="H5917" i="2"/>
  <c r="H5916" i="2"/>
  <c r="F5916" i="2"/>
  <c r="H5915" i="2"/>
  <c r="F5915" i="2"/>
  <c r="H5914" i="2"/>
  <c r="F5914" i="2"/>
  <c r="H5913" i="2"/>
  <c r="F5913" i="2"/>
  <c r="H5912" i="2"/>
  <c r="F5912" i="2"/>
  <c r="H5911" i="2"/>
  <c r="F5911" i="2"/>
  <c r="H5910" i="2"/>
  <c r="F5910" i="2"/>
  <c r="H5909" i="2"/>
  <c r="F5909" i="2"/>
  <c r="H5908" i="2"/>
  <c r="H5907" i="2"/>
  <c r="H5906" i="2"/>
  <c r="F5906" i="2"/>
  <c r="H5905" i="2"/>
  <c r="F5905" i="2"/>
  <c r="H5904" i="2"/>
  <c r="F5904" i="2"/>
  <c r="H5903" i="2"/>
  <c r="F5903" i="2"/>
  <c r="H5902" i="2"/>
  <c r="F5902" i="2"/>
  <c r="H5901" i="2"/>
  <c r="F5901" i="2"/>
  <c r="H5900" i="2"/>
  <c r="F5900" i="2"/>
  <c r="H5899" i="2"/>
  <c r="F5899" i="2"/>
  <c r="H5886" i="2"/>
  <c r="F5886" i="2"/>
  <c r="H5882" i="2"/>
  <c r="F5882" i="2"/>
  <c r="H5881" i="2"/>
  <c r="F5881" i="2"/>
  <c r="H5880" i="2"/>
  <c r="F5880" i="2"/>
  <c r="H5879" i="2"/>
  <c r="F5879" i="2"/>
  <c r="H5878" i="2"/>
  <c r="F5878" i="2"/>
  <c r="H5877" i="2"/>
  <c r="F5877" i="2"/>
  <c r="H5873" i="2"/>
  <c r="F5873" i="2"/>
  <c r="H5872" i="2"/>
  <c r="F5872" i="2"/>
  <c r="H5871" i="2"/>
  <c r="F5871" i="2"/>
  <c r="H5870" i="2"/>
  <c r="F5870" i="2"/>
  <c r="H5869" i="2"/>
  <c r="F5869" i="2"/>
  <c r="H5868" i="2"/>
  <c r="F5868" i="2"/>
  <c r="H5866" i="2"/>
  <c r="F5866" i="2"/>
  <c r="H5865" i="2"/>
  <c r="F5865" i="2"/>
  <c r="H5863" i="2"/>
  <c r="F5863" i="2"/>
  <c r="H5861" i="2"/>
  <c r="F5861" i="2"/>
  <c r="H5860" i="2"/>
  <c r="F5860" i="2"/>
  <c r="H5859" i="2"/>
  <c r="F5859" i="2"/>
  <c r="H5858" i="2"/>
  <c r="F5858" i="2"/>
  <c r="H5857" i="2"/>
  <c r="F5857" i="2"/>
  <c r="H5856" i="2"/>
  <c r="F5856" i="2"/>
  <c r="H5855" i="2"/>
  <c r="F5855" i="2"/>
  <c r="F5854" i="2"/>
  <c r="F5853" i="2"/>
  <c r="H5849" i="2"/>
  <c r="F5849" i="2"/>
  <c r="H5848" i="2"/>
  <c r="F5848" i="2"/>
  <c r="H5846" i="2"/>
  <c r="F5846" i="2"/>
  <c r="H5844" i="2"/>
  <c r="F5844" i="2"/>
  <c r="H5843" i="2"/>
  <c r="F5843" i="2"/>
  <c r="H5842" i="2"/>
  <c r="F5842" i="2"/>
  <c r="H5841" i="2"/>
  <c r="F5841" i="2"/>
  <c r="H5840" i="2"/>
  <c r="F5840" i="2"/>
  <c r="H5839" i="2"/>
  <c r="F5839" i="2"/>
  <c r="H5838" i="2"/>
  <c r="F5838" i="2"/>
  <c r="F5837" i="2"/>
  <c r="F5836" i="2"/>
  <c r="H5832" i="2"/>
  <c r="F5832" i="2"/>
  <c r="H5831" i="2"/>
  <c r="F5831" i="2"/>
  <c r="H5829" i="2"/>
  <c r="F5829" i="2"/>
  <c r="H5827" i="2"/>
  <c r="F5827" i="2"/>
  <c r="H5826" i="2"/>
  <c r="F5826" i="2"/>
  <c r="H5825" i="2"/>
  <c r="F5825" i="2"/>
  <c r="H5824" i="2"/>
  <c r="F5824" i="2"/>
  <c r="H5823" i="2"/>
  <c r="F5823" i="2"/>
  <c r="H5822" i="2"/>
  <c r="F5822" i="2"/>
  <c r="H5821" i="2"/>
  <c r="F5821" i="2"/>
  <c r="F5820" i="2"/>
  <c r="F5819" i="2"/>
  <c r="H5812" i="2"/>
  <c r="F5812" i="2"/>
  <c r="H5811" i="2"/>
  <c r="F5811" i="2"/>
  <c r="H5810" i="2"/>
  <c r="F5810" i="2"/>
  <c r="H5808" i="2"/>
  <c r="F5808" i="2"/>
  <c r="H5807" i="2"/>
  <c r="F5807" i="2"/>
  <c r="H5806" i="2"/>
  <c r="F5806" i="2"/>
  <c r="H5801" i="2"/>
  <c r="F5801" i="2"/>
  <c r="H5800" i="2"/>
  <c r="F5800" i="2"/>
  <c r="H5799" i="2"/>
  <c r="F5799" i="2"/>
  <c r="H5797" i="2"/>
  <c r="F5797" i="2"/>
  <c r="H5796" i="2"/>
  <c r="F5796" i="2"/>
  <c r="H5795" i="2"/>
  <c r="F5795" i="2"/>
  <c r="H5790" i="2"/>
  <c r="F5790" i="2"/>
  <c r="H5789" i="2"/>
  <c r="F5789" i="2"/>
  <c r="H5788" i="2"/>
  <c r="F5788" i="2"/>
  <c r="H5787" i="2"/>
  <c r="F5787" i="2"/>
  <c r="H5786" i="2"/>
  <c r="F5786" i="2"/>
  <c r="H5785" i="2"/>
  <c r="F5785" i="2"/>
  <c r="H5784" i="2"/>
  <c r="F5784" i="2"/>
  <c r="H5783" i="2"/>
  <c r="F5783" i="2"/>
  <c r="H5781" i="2"/>
  <c r="F5781" i="2"/>
  <c r="H5780" i="2"/>
  <c r="F5780" i="2"/>
  <c r="H5779" i="2"/>
  <c r="F5779" i="2"/>
  <c r="H5778" i="2"/>
  <c r="F5778" i="2"/>
  <c r="H5777" i="2"/>
  <c r="F5777" i="2"/>
  <c r="H5776" i="2"/>
  <c r="F5776" i="2"/>
  <c r="H5775" i="2"/>
  <c r="F5775" i="2"/>
  <c r="H5774" i="2"/>
  <c r="F5774" i="2"/>
  <c r="H5772" i="2"/>
  <c r="F5772" i="2"/>
  <c r="H5771" i="2"/>
  <c r="F5771" i="2"/>
  <c r="H5770" i="2"/>
  <c r="F5770" i="2"/>
  <c r="H5769" i="2"/>
  <c r="F5769" i="2"/>
  <c r="H5768" i="2"/>
  <c r="F5768" i="2"/>
  <c r="H5767" i="2"/>
  <c r="F5767" i="2"/>
  <c r="H5766" i="2"/>
  <c r="F5766" i="2"/>
  <c r="H5765" i="2"/>
  <c r="F5765" i="2"/>
  <c r="H5763" i="2"/>
  <c r="F5763" i="2"/>
  <c r="H5762" i="2"/>
  <c r="F5762" i="2"/>
  <c r="H5761" i="2"/>
  <c r="F5761" i="2"/>
  <c r="H5760" i="2"/>
  <c r="F5760" i="2"/>
  <c r="H5759" i="2"/>
  <c r="F5759" i="2"/>
  <c r="H5758" i="2"/>
  <c r="F5758" i="2"/>
  <c r="H5757" i="2"/>
  <c r="F5757" i="2"/>
  <c r="H5756" i="2"/>
  <c r="F5756" i="2"/>
  <c r="H5750" i="2"/>
  <c r="F5750" i="2"/>
  <c r="H5749" i="2"/>
  <c r="F5749" i="2"/>
  <c r="H5748" i="2"/>
  <c r="F5748" i="2"/>
  <c r="H5747" i="2"/>
  <c r="F5747" i="2"/>
  <c r="H5746" i="2"/>
  <c r="F5746" i="2"/>
  <c r="H5745" i="2"/>
  <c r="F5745" i="2"/>
  <c r="H5744" i="2"/>
  <c r="F5744" i="2"/>
  <c r="H5743" i="2"/>
  <c r="F5743" i="2"/>
  <c r="H5741" i="2"/>
  <c r="F5741" i="2"/>
  <c r="H5740" i="2"/>
  <c r="F5740" i="2"/>
  <c r="H5739" i="2"/>
  <c r="F5739" i="2"/>
  <c r="H5738" i="2"/>
  <c r="F5738" i="2"/>
  <c r="H5737" i="2"/>
  <c r="F5737" i="2"/>
  <c r="H5736" i="2"/>
  <c r="F5736" i="2"/>
  <c r="H5735" i="2"/>
  <c r="F5735" i="2"/>
  <c r="H5734" i="2"/>
  <c r="F5734" i="2"/>
  <c r="H5732" i="2"/>
  <c r="F5732" i="2"/>
  <c r="H5731" i="2"/>
  <c r="F5731" i="2"/>
  <c r="H5730" i="2"/>
  <c r="F5730" i="2"/>
  <c r="H5729" i="2"/>
  <c r="F5729" i="2"/>
  <c r="H5728" i="2"/>
  <c r="F5728" i="2"/>
  <c r="H5727" i="2"/>
  <c r="F5727" i="2"/>
  <c r="H5726" i="2"/>
  <c r="F5726" i="2"/>
  <c r="H5725" i="2"/>
  <c r="F5725" i="2"/>
  <c r="H5723" i="2"/>
  <c r="F5723" i="2"/>
  <c r="H5722" i="2"/>
  <c r="F5722" i="2"/>
  <c r="H5721" i="2"/>
  <c r="F5721" i="2"/>
  <c r="H5720" i="2"/>
  <c r="F5720" i="2"/>
  <c r="H5719" i="2"/>
  <c r="F5719" i="2"/>
  <c r="H5718" i="2"/>
  <c r="F5718" i="2"/>
  <c r="H5717" i="2"/>
  <c r="F5717" i="2"/>
  <c r="H5716" i="2"/>
  <c r="F5716" i="2"/>
  <c r="H5710" i="2"/>
  <c r="F5710" i="2"/>
  <c r="H5709" i="2"/>
  <c r="F5709" i="2"/>
  <c r="H5708" i="2"/>
  <c r="F5708" i="2"/>
  <c r="H5707" i="2"/>
  <c r="F5707" i="2"/>
  <c r="H5706" i="2"/>
  <c r="F5706" i="2"/>
  <c r="H5705" i="2"/>
  <c r="F5705" i="2"/>
  <c r="H5704" i="2"/>
  <c r="F5704" i="2"/>
  <c r="H5703" i="2"/>
  <c r="F5703" i="2"/>
  <c r="H5701" i="2"/>
  <c r="F5701" i="2"/>
  <c r="H5700" i="2"/>
  <c r="F5700" i="2"/>
  <c r="H5699" i="2"/>
  <c r="F5699" i="2"/>
  <c r="H5698" i="2"/>
  <c r="F5698" i="2"/>
  <c r="H5697" i="2"/>
  <c r="F5697" i="2"/>
  <c r="H5696" i="2"/>
  <c r="F5696" i="2"/>
  <c r="H5695" i="2"/>
  <c r="F5695" i="2"/>
  <c r="H5694" i="2"/>
  <c r="F5694" i="2"/>
  <c r="H5692" i="2"/>
  <c r="F5692" i="2"/>
  <c r="H5691" i="2"/>
  <c r="F5691" i="2"/>
  <c r="H5690" i="2"/>
  <c r="F5690" i="2"/>
  <c r="H5689" i="2"/>
  <c r="F5689" i="2"/>
  <c r="H5688" i="2"/>
  <c r="F5688" i="2"/>
  <c r="H5687" i="2"/>
  <c r="F5687" i="2"/>
  <c r="H5686" i="2"/>
  <c r="F5686" i="2"/>
  <c r="H5685" i="2"/>
  <c r="F5685" i="2"/>
  <c r="H5683" i="2"/>
  <c r="F5683" i="2"/>
  <c r="H5682" i="2"/>
  <c r="F5682" i="2"/>
  <c r="H5681" i="2"/>
  <c r="F5681" i="2"/>
  <c r="H5680" i="2"/>
  <c r="F5680" i="2"/>
  <c r="H5679" i="2"/>
  <c r="F5679" i="2"/>
  <c r="H5678" i="2"/>
  <c r="F5678" i="2"/>
  <c r="H5677" i="2"/>
  <c r="F5677" i="2"/>
  <c r="H5676" i="2"/>
  <c r="F5676" i="2"/>
  <c r="H5659" i="2"/>
  <c r="F5659" i="2"/>
  <c r="H5658" i="2"/>
  <c r="F5658" i="2"/>
  <c r="H5657" i="2"/>
  <c r="F5657" i="2"/>
  <c r="H5656" i="2"/>
  <c r="F5656" i="2"/>
  <c r="H5655" i="2"/>
  <c r="F5655" i="2"/>
  <c r="H5653" i="2"/>
  <c r="C5621" i="2"/>
  <c r="H5592" i="2"/>
  <c r="H5591" i="2"/>
  <c r="H5590" i="2"/>
  <c r="H5589" i="2"/>
  <c r="H5588" i="2"/>
  <c r="H5587" i="2"/>
  <c r="H5586" i="2"/>
  <c r="H5585" i="2"/>
  <c r="H5583" i="2"/>
  <c r="H5582" i="2"/>
  <c r="H5581" i="2"/>
  <c r="H5580" i="2"/>
  <c r="H5579" i="2"/>
  <c r="H5578" i="2"/>
  <c r="H5576" i="2"/>
  <c r="H5575" i="2"/>
  <c r="H5574" i="2"/>
  <c r="H5573" i="2"/>
  <c r="H5572" i="2"/>
  <c r="H5550" i="2"/>
  <c r="H5548" i="2"/>
  <c r="H5529" i="2"/>
  <c r="H5527" i="2"/>
  <c r="H5510" i="2"/>
  <c r="H5509" i="2"/>
  <c r="H5508" i="2"/>
  <c r="H5507" i="2"/>
  <c r="H5506" i="2"/>
  <c r="H5505" i="2"/>
  <c r="H5504" i="2"/>
  <c r="H5503" i="2"/>
  <c r="C5503" i="2"/>
  <c r="H5496" i="2"/>
  <c r="D5496" i="2"/>
  <c r="F5496" i="2" s="1"/>
  <c r="H5495" i="2"/>
  <c r="D5495" i="2"/>
  <c r="F5495" i="2" s="1"/>
  <c r="H5494" i="2"/>
  <c r="D5494" i="2"/>
  <c r="F5494" i="2" s="1"/>
  <c r="H5493" i="2"/>
  <c r="D5493" i="2"/>
  <c r="F5493" i="2" s="1"/>
  <c r="H5492" i="2"/>
  <c r="D5492" i="2"/>
  <c r="F5492" i="2" s="1"/>
  <c r="H5489" i="2"/>
  <c r="H5488" i="2"/>
  <c r="H5487" i="2"/>
  <c r="H5486" i="2"/>
  <c r="H5485" i="2"/>
  <c r="H5484" i="2"/>
  <c r="H5483" i="2"/>
  <c r="H5482" i="2"/>
  <c r="H5481" i="2"/>
  <c r="H5480" i="2"/>
  <c r="H5479" i="2"/>
  <c r="H5478" i="2"/>
  <c r="H5476" i="2"/>
  <c r="C5476" i="2"/>
  <c r="H5475" i="2"/>
  <c r="H5474" i="2"/>
  <c r="F5474" i="2"/>
  <c r="H5470" i="2"/>
  <c r="H5468" i="2"/>
  <c r="H5462" i="2"/>
  <c r="H5461" i="2"/>
  <c r="H5460" i="2"/>
  <c r="H5457" i="2"/>
  <c r="H5456" i="2"/>
  <c r="H5454" i="2"/>
  <c r="H5453" i="2"/>
  <c r="H5451" i="2"/>
  <c r="H5450" i="2"/>
  <c r="H5449" i="2"/>
  <c r="H5448" i="2"/>
  <c r="H5447" i="2"/>
  <c r="F5447" i="2"/>
  <c r="H5446" i="2"/>
  <c r="H5445" i="2"/>
  <c r="H5444" i="2"/>
  <c r="H5443" i="2"/>
  <c r="H5442" i="2"/>
  <c r="H5441" i="2"/>
  <c r="H5440" i="2"/>
  <c r="H5437" i="2"/>
  <c r="H5436" i="2"/>
  <c r="H5435" i="2"/>
  <c r="H5434" i="2"/>
  <c r="H5433" i="2"/>
  <c r="H5432" i="2"/>
  <c r="H5431" i="2"/>
  <c r="H5430" i="2"/>
  <c r="H5429" i="2"/>
  <c r="H5428" i="2"/>
  <c r="H5427" i="2"/>
  <c r="H5426" i="2"/>
  <c r="F5426" i="2"/>
  <c r="H5425" i="2"/>
  <c r="H5424" i="2"/>
  <c r="H5421" i="2"/>
  <c r="H5420" i="2"/>
  <c r="H5419" i="2"/>
  <c r="H5418" i="2"/>
  <c r="H5417" i="2"/>
  <c r="H5416" i="2"/>
  <c r="H5415" i="2"/>
  <c r="H5414" i="2"/>
  <c r="H5413" i="2"/>
  <c r="H5412" i="2"/>
  <c r="H5411" i="2"/>
  <c r="H5410" i="2"/>
  <c r="H5409" i="2"/>
  <c r="H5408" i="2"/>
  <c r="H5402" i="2"/>
  <c r="H5401" i="2"/>
  <c r="H5400" i="2"/>
  <c r="H5399" i="2"/>
  <c r="H5394" i="2"/>
  <c r="H5393" i="2"/>
  <c r="H5391" i="2"/>
  <c r="H5390" i="2"/>
  <c r="H5389" i="2"/>
  <c r="H5388" i="2"/>
  <c r="H5387" i="2"/>
  <c r="H5386" i="2"/>
  <c r="H5385" i="2"/>
  <c r="H5381" i="2"/>
  <c r="H5380" i="2"/>
  <c r="H5378" i="2"/>
  <c r="H5377" i="2"/>
  <c r="H5375" i="2"/>
  <c r="H5374" i="2"/>
  <c r="H5370" i="2"/>
  <c r="H5365" i="2"/>
  <c r="H5364" i="2"/>
  <c r="H5363" i="2"/>
  <c r="H5360" i="2"/>
  <c r="H5359" i="2"/>
  <c r="H5358" i="2"/>
  <c r="H5356" i="2"/>
  <c r="H5355" i="2"/>
  <c r="H5345" i="2"/>
  <c r="H5343" i="2"/>
  <c r="H5342" i="2"/>
  <c r="H5339" i="2"/>
  <c r="H5337" i="2"/>
  <c r="H5336" i="2"/>
  <c r="H5335" i="2"/>
  <c r="H5333" i="2"/>
  <c r="H5332" i="2"/>
  <c r="H5329" i="2"/>
  <c r="H5327" i="2"/>
  <c r="H5326" i="2"/>
  <c r="H5325" i="2"/>
  <c r="H5323" i="2"/>
  <c r="H5322" i="2"/>
  <c r="H5321" i="2"/>
  <c r="H5319" i="2"/>
  <c r="H5318" i="2"/>
  <c r="H5313" i="2"/>
  <c r="H5312" i="2"/>
  <c r="H5310" i="2"/>
  <c r="H5309" i="2"/>
  <c r="H5307" i="2"/>
  <c r="H5306" i="2"/>
  <c r="H5304" i="2"/>
  <c r="H5303" i="2"/>
  <c r="H5302" i="2"/>
  <c r="H5301" i="2"/>
  <c r="H5299" i="2"/>
  <c r="H5298" i="2"/>
  <c r="H5296" i="2"/>
  <c r="H5295" i="2"/>
  <c r="H5293" i="2"/>
  <c r="H5291" i="2"/>
  <c r="H5290" i="2"/>
  <c r="H5288" i="2"/>
  <c r="H5287" i="2"/>
  <c r="H5286" i="2"/>
  <c r="H5284" i="2"/>
  <c r="H5283" i="2"/>
  <c r="H5281" i="2"/>
  <c r="H5280" i="2"/>
  <c r="H5277" i="2"/>
  <c r="H5275" i="2"/>
  <c r="H5273" i="2"/>
  <c r="F5273" i="2"/>
  <c r="H5272" i="2"/>
  <c r="H5270" i="2"/>
  <c r="F5270" i="2"/>
  <c r="H5269" i="2"/>
  <c r="H5267" i="2"/>
  <c r="H5266" i="2"/>
  <c r="H5264" i="2"/>
  <c r="H5262" i="2"/>
  <c r="H5261" i="2"/>
  <c r="H5259" i="2"/>
  <c r="H5258" i="2"/>
  <c r="H5256" i="2"/>
  <c r="H5255" i="2"/>
  <c r="H5253" i="2"/>
  <c r="F5253" i="2"/>
  <c r="H5252" i="2"/>
  <c r="D5252" i="2"/>
  <c r="F5252" i="2" s="1"/>
  <c r="H5250" i="2"/>
  <c r="H5248" i="2"/>
  <c r="H5247" i="2"/>
  <c r="H5246" i="2"/>
  <c r="H5240" i="2"/>
  <c r="H5238" i="2"/>
  <c r="H5237" i="2"/>
  <c r="H5235" i="2"/>
  <c r="H5234" i="2"/>
  <c r="H5232" i="2"/>
  <c r="H5231" i="2"/>
  <c r="H5229" i="2"/>
  <c r="H5228" i="2"/>
  <c r="H5226" i="2"/>
  <c r="H5225" i="2"/>
  <c r="H5223" i="2"/>
  <c r="H5222" i="2"/>
  <c r="H5220" i="2"/>
  <c r="H5219" i="2"/>
  <c r="H5217" i="2"/>
  <c r="H5216" i="2"/>
  <c r="H5214" i="2"/>
  <c r="H5212" i="2"/>
  <c r="H5211" i="2"/>
  <c r="H5209" i="2"/>
  <c r="H5208" i="2"/>
  <c r="H5204" i="2"/>
  <c r="H5203" i="2"/>
  <c r="H5200" i="2"/>
  <c r="F5195" i="2"/>
  <c r="H5188" i="2"/>
  <c r="F5188" i="2"/>
  <c r="H5186" i="2"/>
  <c r="D5186" i="2"/>
  <c r="F5186" i="2" s="1"/>
  <c r="H5185" i="2"/>
  <c r="F5185" i="2"/>
  <c r="H5184" i="2"/>
  <c r="F5184" i="2"/>
  <c r="H5182" i="2"/>
  <c r="D5182" i="2"/>
  <c r="F5182" i="2" s="1"/>
  <c r="H5181" i="2"/>
  <c r="F5181" i="2"/>
  <c r="H5180" i="2"/>
  <c r="F5180" i="2"/>
  <c r="C5175" i="2"/>
  <c r="C5149" i="2"/>
  <c r="C5148" i="2"/>
  <c r="C5134" i="2"/>
  <c r="C5118" i="2"/>
  <c r="H5105" i="2"/>
  <c r="H5103" i="2"/>
  <c r="H5102" i="2"/>
  <c r="H5101" i="2"/>
  <c r="H5100" i="2"/>
  <c r="H4986" i="2"/>
  <c r="H4985" i="2"/>
  <c r="H4978" i="2"/>
  <c r="H4977" i="2"/>
  <c r="H4976" i="2"/>
  <c r="C4935" i="2"/>
  <c r="C4934" i="2"/>
  <c r="H4876" i="2"/>
  <c r="F4876" i="2"/>
  <c r="H4875" i="2"/>
  <c r="D4875" i="2"/>
  <c r="F4875" i="2" s="1"/>
  <c r="H4874" i="2"/>
  <c r="D4874" i="2"/>
  <c r="F4874" i="2" s="1"/>
  <c r="H4870" i="2"/>
  <c r="F4870" i="2"/>
  <c r="H4869" i="2"/>
  <c r="F4869" i="2"/>
  <c r="H4867" i="2"/>
  <c r="D4867" i="2"/>
  <c r="F4867" i="2" s="1"/>
  <c r="H4865" i="2"/>
  <c r="F4865" i="2"/>
  <c r="H4862" i="2"/>
  <c r="F4862" i="2"/>
  <c r="H4861" i="2"/>
  <c r="F4861" i="2"/>
  <c r="H4859" i="2"/>
  <c r="F4859" i="2"/>
  <c r="F4857" i="2"/>
  <c r="F4856" i="2"/>
  <c r="F4855" i="2"/>
  <c r="F4854" i="2"/>
  <c r="H4853" i="2"/>
  <c r="F4853" i="2"/>
  <c r="H4852" i="2"/>
  <c r="F4852" i="2"/>
  <c r="H4851" i="2"/>
  <c r="F4851" i="2"/>
  <c r="H4850" i="2"/>
  <c r="F4850" i="2"/>
  <c r="H4848" i="2"/>
  <c r="F4848" i="2"/>
  <c r="H4847" i="2"/>
  <c r="F4847" i="2"/>
  <c r="H4846" i="2"/>
  <c r="F4846" i="2"/>
  <c r="H4843" i="2"/>
  <c r="F4843" i="2"/>
  <c r="F4838" i="2"/>
  <c r="F4837" i="2"/>
  <c r="F4836" i="2"/>
  <c r="F4835" i="2"/>
  <c r="F4834" i="2"/>
  <c r="F4833" i="2"/>
  <c r="F4831" i="2"/>
  <c r="E4831" i="2"/>
  <c r="E4830" i="2"/>
  <c r="F4830" i="2" s="1"/>
  <c r="E4829" i="2"/>
  <c r="F4829" i="2" s="1"/>
  <c r="E4828" i="2"/>
  <c r="F4828" i="2" s="1"/>
  <c r="F4827" i="2"/>
  <c r="E4827" i="2"/>
  <c r="E4826" i="2"/>
  <c r="F4826" i="2" s="1"/>
  <c r="H4823" i="2"/>
  <c r="E4823" i="2"/>
  <c r="F4823" i="2" s="1"/>
  <c r="H4822" i="2"/>
  <c r="E4822" i="2"/>
  <c r="F4822" i="2" s="1"/>
  <c r="H4820" i="2"/>
  <c r="E4820" i="2"/>
  <c r="F4820" i="2" s="1"/>
  <c r="H4819" i="2"/>
  <c r="F4819" i="2"/>
  <c r="E4819" i="2"/>
  <c r="H4818" i="2"/>
  <c r="E4818" i="2"/>
  <c r="F4818" i="2" s="1"/>
  <c r="H4817" i="2"/>
  <c r="E4817" i="2"/>
  <c r="F4817" i="2" s="1"/>
  <c r="H4816" i="2"/>
  <c r="E4816" i="2"/>
  <c r="F4816" i="2" s="1"/>
  <c r="H4815" i="2"/>
  <c r="E4815" i="2"/>
  <c r="F4815" i="2" s="1"/>
  <c r="H4812" i="2"/>
  <c r="E4812" i="2"/>
  <c r="F4812" i="2" s="1"/>
  <c r="H4811" i="2"/>
  <c r="F4811" i="2"/>
  <c r="E4811" i="2"/>
  <c r="H4810" i="2"/>
  <c r="E4810" i="2"/>
  <c r="F4810" i="2" s="1"/>
  <c r="H4809" i="2"/>
  <c r="E4809" i="2"/>
  <c r="F4809" i="2" s="1"/>
  <c r="H4808" i="2"/>
  <c r="E4808" i="2"/>
  <c r="F4808" i="2" s="1"/>
  <c r="H4807" i="2"/>
  <c r="E4807" i="2"/>
  <c r="F4807" i="2" s="1"/>
  <c r="H4806" i="2"/>
  <c r="E4806" i="2"/>
  <c r="F4806" i="2" s="1"/>
  <c r="H4805" i="2"/>
  <c r="E4805" i="2"/>
  <c r="F4805" i="2" s="1"/>
  <c r="H4804" i="2"/>
  <c r="E4804" i="2"/>
  <c r="F4804" i="2" s="1"/>
  <c r="H4803" i="2"/>
  <c r="E4803" i="2"/>
  <c r="F4803" i="2" s="1"/>
  <c r="H4802" i="2"/>
  <c r="E4802" i="2"/>
  <c r="F4802" i="2" s="1"/>
  <c r="H4801" i="2"/>
  <c r="E4801" i="2"/>
  <c r="F4801" i="2" s="1"/>
  <c r="H4800" i="2"/>
  <c r="E4800" i="2"/>
  <c r="F4800" i="2" s="1"/>
  <c r="H4799" i="2"/>
  <c r="E4799" i="2"/>
  <c r="F4799" i="2" s="1"/>
  <c r="H4798" i="2"/>
  <c r="E4798" i="2"/>
  <c r="F4798" i="2" s="1"/>
  <c r="H4797" i="2"/>
  <c r="E4797" i="2"/>
  <c r="F4797" i="2" s="1"/>
  <c r="H4796" i="2"/>
  <c r="E4796" i="2"/>
  <c r="F4796" i="2" s="1"/>
  <c r="H4795" i="2"/>
  <c r="F4795" i="2"/>
  <c r="E4795" i="2"/>
  <c r="H4794" i="2"/>
  <c r="E4794" i="2"/>
  <c r="F4794" i="2" s="1"/>
  <c r="H4791" i="2"/>
  <c r="E4791" i="2"/>
  <c r="D4791" i="2"/>
  <c r="H4790" i="2"/>
  <c r="E4790" i="2"/>
  <c r="D4790" i="2"/>
  <c r="H4789" i="2"/>
  <c r="E4789" i="2"/>
  <c r="D4789" i="2"/>
  <c r="F4789" i="2" s="1"/>
  <c r="F4783" i="2"/>
  <c r="F4781" i="2"/>
  <c r="F4780" i="2"/>
  <c r="F4779" i="2"/>
  <c r="F4777" i="2"/>
  <c r="F4776" i="2"/>
  <c r="F4775" i="2"/>
  <c r="F4774" i="2"/>
  <c r="E4771" i="2"/>
  <c r="F4771" i="2" s="1"/>
  <c r="E4770" i="2"/>
  <c r="F4770" i="2" s="1"/>
  <c r="F4769" i="2"/>
  <c r="E4769" i="2"/>
  <c r="E4768" i="2"/>
  <c r="F4768" i="2" s="1"/>
  <c r="H4767" i="2"/>
  <c r="E4767" i="2"/>
  <c r="F4767" i="2" s="1"/>
  <c r="H4766" i="2"/>
  <c r="E4766" i="2"/>
  <c r="F4766" i="2" s="1"/>
  <c r="E4764" i="2"/>
  <c r="F4764" i="2" s="1"/>
  <c r="F4763" i="2"/>
  <c r="E4763" i="2"/>
  <c r="E4762" i="2"/>
  <c r="F4762" i="2" s="1"/>
  <c r="E4760" i="2"/>
  <c r="F4760" i="2" s="1"/>
  <c r="E4759" i="2"/>
  <c r="F4759" i="2" s="1"/>
  <c r="E4758" i="2"/>
  <c r="F4758" i="2" s="1"/>
  <c r="E4757" i="2"/>
  <c r="F4757" i="2" s="1"/>
  <c r="E4756" i="2"/>
  <c r="F4756" i="2" s="1"/>
  <c r="E4755" i="2"/>
  <c r="F4755" i="2" s="1"/>
  <c r="E4754" i="2"/>
  <c r="F4754" i="2" s="1"/>
  <c r="E4753" i="2"/>
  <c r="F4753" i="2" s="1"/>
  <c r="E4752" i="2"/>
  <c r="F4752" i="2" s="1"/>
  <c r="E4751" i="2"/>
  <c r="F4751" i="2" s="1"/>
  <c r="E4750" i="2"/>
  <c r="F4750" i="2" s="1"/>
  <c r="E4748" i="2"/>
  <c r="F4748" i="2" s="1"/>
  <c r="E4747" i="2"/>
  <c r="F4747" i="2" s="1"/>
  <c r="E4746" i="2"/>
  <c r="F4746" i="2" s="1"/>
  <c r="E4745" i="2"/>
  <c r="F4745" i="2" s="1"/>
  <c r="E4744" i="2"/>
  <c r="F4744" i="2" s="1"/>
  <c r="E4743" i="2"/>
  <c r="F4743" i="2" s="1"/>
  <c r="E4742" i="2"/>
  <c r="F4742" i="2" s="1"/>
  <c r="E4741" i="2"/>
  <c r="F4741" i="2" s="1"/>
  <c r="E4740" i="2"/>
  <c r="F4740" i="2" s="1"/>
  <c r="E4739" i="2"/>
  <c r="F4739" i="2" s="1"/>
  <c r="F4735" i="2"/>
  <c r="F4734" i="2"/>
  <c r="F4733" i="2"/>
  <c r="F4732" i="2"/>
  <c r="F4731" i="2"/>
  <c r="F4730" i="2"/>
  <c r="F4729" i="2"/>
  <c r="F4728" i="2"/>
  <c r="H4723" i="2"/>
  <c r="D4723" i="2"/>
  <c r="F4723" i="2" s="1"/>
  <c r="H4722" i="2"/>
  <c r="D4722" i="2"/>
  <c r="F4722" i="2" s="1"/>
  <c r="H4721" i="2"/>
  <c r="D4721" i="2"/>
  <c r="F4721" i="2" s="1"/>
  <c r="H4720" i="2"/>
  <c r="D4720" i="2"/>
  <c r="F4720" i="2" s="1"/>
  <c r="H4719" i="2"/>
  <c r="D4719" i="2"/>
  <c r="F4719" i="2" s="1"/>
  <c r="H4718" i="2"/>
  <c r="F4718" i="2"/>
  <c r="D4718" i="2"/>
  <c r="H4717" i="2"/>
  <c r="D4717" i="2"/>
  <c r="F4717" i="2" s="1"/>
  <c r="H4716" i="2"/>
  <c r="D4716" i="2"/>
  <c r="F4716" i="2" s="1"/>
  <c r="H4712" i="2"/>
  <c r="F4712" i="2"/>
  <c r="H4711" i="2"/>
  <c r="F4711" i="2"/>
  <c r="H4710" i="2"/>
  <c r="F4710" i="2"/>
  <c r="H4709" i="2"/>
  <c r="F4709" i="2"/>
  <c r="H4708" i="2"/>
  <c r="F4708" i="2"/>
  <c r="H4707" i="2"/>
  <c r="F4707" i="2"/>
  <c r="H4706" i="2"/>
  <c r="F4706" i="2"/>
  <c r="H4705" i="2"/>
  <c r="F4705" i="2"/>
  <c r="H4704" i="2"/>
  <c r="F4704" i="2"/>
  <c r="H4703" i="2"/>
  <c r="F4703" i="2"/>
  <c r="H4702" i="2"/>
  <c r="F4702" i="2"/>
  <c r="H4701" i="2"/>
  <c r="F4701" i="2"/>
  <c r="H4699" i="2"/>
  <c r="F4699" i="2"/>
  <c r="H4695" i="2"/>
  <c r="F4695" i="2"/>
  <c r="H4691" i="2"/>
  <c r="F4691" i="2"/>
  <c r="H4688" i="2"/>
  <c r="F4688" i="2"/>
  <c r="H4687" i="2"/>
  <c r="F4687" i="2"/>
  <c r="H4686" i="2"/>
  <c r="F4686" i="2"/>
  <c r="H4685" i="2"/>
  <c r="F4685" i="2"/>
  <c r="H4684" i="2"/>
  <c r="F4684" i="2"/>
  <c r="H4682" i="2"/>
  <c r="F4682" i="2"/>
  <c r="H4681" i="2"/>
  <c r="F4681" i="2"/>
  <c r="H4680" i="2"/>
  <c r="F4680" i="2"/>
  <c r="H4679" i="2"/>
  <c r="F4679" i="2"/>
  <c r="H4678" i="2"/>
  <c r="F4678" i="2"/>
  <c r="H4677" i="2"/>
  <c r="F4677" i="2"/>
  <c r="H4675" i="2"/>
  <c r="F4675" i="2"/>
  <c r="H4674" i="2"/>
  <c r="F4674" i="2"/>
  <c r="H4673" i="2"/>
  <c r="F4673" i="2"/>
  <c r="H4671" i="2"/>
  <c r="F4671" i="2"/>
  <c r="H4670" i="2"/>
  <c r="F4670" i="2"/>
  <c r="H4669" i="2"/>
  <c r="F4669" i="2"/>
  <c r="H4667" i="2"/>
  <c r="F4667" i="2"/>
  <c r="H4666" i="2"/>
  <c r="F4666" i="2"/>
  <c r="H4665" i="2"/>
  <c r="F4665" i="2"/>
  <c r="H4664" i="2"/>
  <c r="F4664" i="2"/>
  <c r="H4663" i="2"/>
  <c r="F4663" i="2"/>
  <c r="H4662" i="2"/>
  <c r="F4662" i="2"/>
  <c r="H4661" i="2"/>
  <c r="F4661" i="2"/>
  <c r="F4657" i="2"/>
  <c r="D4656" i="2"/>
  <c r="F4656" i="2" s="1"/>
  <c r="D4655" i="2"/>
  <c r="F4655" i="2" s="1"/>
  <c r="D4654" i="2"/>
  <c r="F4654" i="2" s="1"/>
  <c r="D4653" i="2"/>
  <c r="F4653" i="2" s="1"/>
  <c r="D4652" i="2"/>
  <c r="F4652" i="2" s="1"/>
  <c r="D4651" i="2"/>
  <c r="F4651" i="2" s="1"/>
  <c r="D4650" i="2"/>
  <c r="F4650" i="2" s="1"/>
  <c r="D4649" i="2"/>
  <c r="F4649" i="2" s="1"/>
  <c r="D4648" i="2"/>
  <c r="F4648" i="2" s="1"/>
  <c r="D4647" i="2"/>
  <c r="F4647" i="2" s="1"/>
  <c r="D4646" i="2"/>
  <c r="F4646" i="2" s="1"/>
  <c r="D4645" i="2"/>
  <c r="F4645" i="2" s="1"/>
  <c r="D4644" i="2"/>
  <c r="F4644" i="2" s="1"/>
  <c r="D4643" i="2"/>
  <c r="F4643" i="2" s="1"/>
  <c r="D4641" i="2"/>
  <c r="F4641" i="2" s="1"/>
  <c r="D4640" i="2"/>
  <c r="F4640" i="2" s="1"/>
  <c r="D4639" i="2"/>
  <c r="F4639" i="2" s="1"/>
  <c r="D4638" i="2"/>
  <c r="F4638" i="2" s="1"/>
  <c r="D4637" i="2"/>
  <c r="F4637" i="2" s="1"/>
  <c r="D4636" i="2"/>
  <c r="F4636" i="2" s="1"/>
  <c r="D4635" i="2"/>
  <c r="F4635" i="2" s="1"/>
  <c r="D4634" i="2"/>
  <c r="F4634" i="2" s="1"/>
  <c r="D4633" i="2"/>
  <c r="F4633" i="2" s="1"/>
  <c r="D4632" i="2"/>
  <c r="F4632" i="2" s="1"/>
  <c r="D4631" i="2"/>
  <c r="F4631" i="2" s="1"/>
  <c r="D4630" i="2"/>
  <c r="F4630" i="2" s="1"/>
  <c r="H4628" i="2"/>
  <c r="F4628" i="2"/>
  <c r="H4626" i="2"/>
  <c r="F4626" i="2"/>
  <c r="H4625" i="2"/>
  <c r="F4625" i="2"/>
  <c r="F4623" i="2"/>
  <c r="H4622" i="2"/>
  <c r="F4622" i="2"/>
  <c r="H4621" i="2"/>
  <c r="D4621" i="2"/>
  <c r="F4621" i="2" s="1"/>
  <c r="H4620" i="2"/>
  <c r="D4620" i="2"/>
  <c r="F4620" i="2" s="1"/>
  <c r="H4619" i="2"/>
  <c r="F4619" i="2"/>
  <c r="H4618" i="2"/>
  <c r="F4618" i="2"/>
  <c r="H4617" i="2"/>
  <c r="F4617" i="2"/>
  <c r="H4616" i="2"/>
  <c r="F4616" i="2"/>
  <c r="H4615" i="2"/>
  <c r="F4615" i="2"/>
  <c r="H4614" i="2"/>
  <c r="F4614" i="2"/>
  <c r="H4613" i="2"/>
  <c r="F4613" i="2"/>
  <c r="H4612" i="2"/>
  <c r="F4612" i="2"/>
  <c r="H4611" i="2"/>
  <c r="F4611" i="2"/>
  <c r="H4610" i="2"/>
  <c r="F4610" i="2"/>
  <c r="H4609" i="2"/>
  <c r="F4609" i="2"/>
  <c r="F4607" i="2"/>
  <c r="F4604" i="2"/>
  <c r="H4602" i="2"/>
  <c r="F4602" i="2"/>
  <c r="H4599" i="2"/>
  <c r="F4599" i="2"/>
  <c r="H4598" i="2"/>
  <c r="F4598" i="2"/>
  <c r="H4596" i="2"/>
  <c r="F4596" i="2"/>
  <c r="H4594" i="2"/>
  <c r="F4594" i="2"/>
  <c r="H4593" i="2"/>
  <c r="F4593" i="2"/>
  <c r="H4592" i="2"/>
  <c r="F4592" i="2"/>
  <c r="C4589" i="2"/>
  <c r="F4587" i="2"/>
  <c r="F4586" i="2"/>
  <c r="C4569" i="2"/>
  <c r="C4576" i="2" s="1"/>
  <c r="C4568" i="2"/>
  <c r="C4574" i="2" s="1"/>
  <c r="C4567" i="2"/>
  <c r="C4573" i="2" s="1"/>
  <c r="C4566" i="2"/>
  <c r="C4565" i="2"/>
  <c r="C4564" i="2"/>
  <c r="F4552" i="2"/>
  <c r="F4551" i="2"/>
  <c r="F4550" i="2"/>
  <c r="F4549" i="2"/>
  <c r="F4548" i="2"/>
  <c r="F4547" i="2"/>
  <c r="F4546" i="2"/>
  <c r="F4545" i="2"/>
  <c r="F4485" i="2"/>
  <c r="F4484" i="2"/>
  <c r="F4482" i="2"/>
  <c r="F4481" i="2"/>
  <c r="F4480" i="2"/>
  <c r="F4479" i="2"/>
  <c r="F4478" i="2"/>
  <c r="F4476" i="2"/>
  <c r="F4475" i="2"/>
  <c r="F4474" i="2"/>
  <c r="F4473" i="2"/>
  <c r="F4471" i="2"/>
  <c r="F4470" i="2"/>
  <c r="F4469" i="2"/>
  <c r="F4466" i="2"/>
  <c r="F4465" i="2"/>
  <c r="F4464" i="2"/>
  <c r="F4462" i="2"/>
  <c r="F4461" i="2"/>
  <c r="F4460" i="2"/>
  <c r="F4459" i="2"/>
  <c r="F4458" i="2"/>
  <c r="F4456" i="2"/>
  <c r="F4455" i="2"/>
  <c r="F4454" i="2"/>
  <c r="F4452" i="2"/>
  <c r="F4451" i="2"/>
  <c r="F4450" i="2"/>
  <c r="F4447" i="2"/>
  <c r="F4446" i="2"/>
  <c r="F4445" i="2"/>
  <c r="F4443" i="2"/>
  <c r="F4441" i="2"/>
  <c r="H4439" i="2"/>
  <c r="F4439" i="2"/>
  <c r="H4438" i="2"/>
  <c r="F4438" i="2"/>
  <c r="E1543" i="1" s="1"/>
  <c r="F1543" i="1" s="1"/>
  <c r="H4434" i="2"/>
  <c r="H4433" i="2"/>
  <c r="H4432" i="2"/>
  <c r="H4431" i="2"/>
  <c r="H4430" i="2"/>
  <c r="F4429" i="2"/>
  <c r="F4428" i="2"/>
  <c r="F4424" i="2"/>
  <c r="C4422" i="2"/>
  <c r="F4421" i="2"/>
  <c r="F4420" i="2"/>
  <c r="F4419" i="2"/>
  <c r="F4418" i="2"/>
  <c r="F4417" i="2"/>
  <c r="F4416" i="2"/>
  <c r="F4415" i="2"/>
  <c r="F4414" i="2"/>
  <c r="F4413" i="2"/>
  <c r="E340" i="1" s="1"/>
  <c r="F340" i="1" s="1"/>
  <c r="F4412" i="2"/>
  <c r="E44" i="1" s="1"/>
  <c r="F44" i="1" s="1"/>
  <c r="F4411" i="2"/>
  <c r="F4409" i="2"/>
  <c r="F4408" i="2"/>
  <c r="F4407" i="2"/>
  <c r="F4406" i="2"/>
  <c r="F4405" i="2"/>
  <c r="F4404" i="2"/>
  <c r="F4403" i="2"/>
  <c r="D4399" i="2"/>
  <c r="F4399" i="2" s="1"/>
  <c r="F4398" i="2"/>
  <c r="D4397" i="2"/>
  <c r="F4397" i="2" s="1"/>
  <c r="F4396" i="2"/>
  <c r="D4395" i="2"/>
  <c r="F4395" i="2" s="1"/>
  <c r="D4394" i="2"/>
  <c r="F4394" i="2" s="1"/>
  <c r="F4392" i="2"/>
  <c r="F4391" i="2"/>
  <c r="F4390" i="2"/>
  <c r="F4389" i="2"/>
  <c r="F4388" i="2"/>
  <c r="F4387" i="2"/>
  <c r="F4386" i="2"/>
  <c r="F4385" i="2"/>
  <c r="F4384" i="2"/>
  <c r="F4383" i="2"/>
  <c r="F4382" i="2"/>
  <c r="F4381" i="2"/>
  <c r="F4380" i="2"/>
  <c r="F4379" i="2"/>
  <c r="F4378" i="2"/>
  <c r="F4377" i="2"/>
  <c r="F4376" i="2"/>
  <c r="F4375" i="2"/>
  <c r="F4372" i="2"/>
  <c r="F4371" i="2"/>
  <c r="F4370" i="2"/>
  <c r="F4369" i="2"/>
  <c r="F4368" i="2"/>
  <c r="F4367" i="2"/>
  <c r="F4366" i="2"/>
  <c r="F4365" i="2"/>
  <c r="F4364" i="2"/>
  <c r="F4363" i="2"/>
  <c r="F4362" i="2"/>
  <c r="F4361" i="2"/>
  <c r="F4360" i="2"/>
  <c r="F4359" i="2"/>
  <c r="C4276" i="2"/>
  <c r="H4272" i="2"/>
  <c r="C4271" i="2"/>
  <c r="H4269" i="2"/>
  <c r="F4269" i="2"/>
  <c r="H4268" i="2"/>
  <c r="F4268" i="2"/>
  <c r="H4267" i="2"/>
  <c r="H4262" i="2"/>
  <c r="H4236" i="2"/>
  <c r="H4235" i="2"/>
  <c r="H4234" i="2"/>
  <c r="H4227" i="2"/>
  <c r="F4227" i="2"/>
  <c r="H4226" i="2"/>
  <c r="F4226" i="2"/>
  <c r="H4225" i="2"/>
  <c r="F4225" i="2"/>
  <c r="H4224" i="2"/>
  <c r="F4224" i="2"/>
  <c r="H4223" i="2"/>
  <c r="F4223" i="2"/>
  <c r="H4222" i="2"/>
  <c r="F4222" i="2"/>
  <c r="H4219" i="2"/>
  <c r="F4219" i="2"/>
  <c r="H4218" i="2"/>
  <c r="F4218" i="2"/>
  <c r="H4216" i="2"/>
  <c r="F4216" i="2"/>
  <c r="H4215" i="2"/>
  <c r="F4215" i="2"/>
  <c r="H4214" i="2"/>
  <c r="F4214" i="2"/>
  <c r="H4213" i="2"/>
  <c r="F4213" i="2"/>
  <c r="H4211" i="2"/>
  <c r="F4211" i="2"/>
  <c r="H4210" i="2"/>
  <c r="F4210" i="2"/>
  <c r="H4209" i="2"/>
  <c r="F4209" i="2"/>
  <c r="H4208" i="2"/>
  <c r="F4208" i="2"/>
  <c r="H4207" i="2"/>
  <c r="F4207" i="2"/>
  <c r="H4206" i="2"/>
  <c r="F4206" i="2"/>
  <c r="H4204" i="2"/>
  <c r="D4204" i="2"/>
  <c r="F4204" i="2" s="1"/>
  <c r="H4203" i="2"/>
  <c r="D4203" i="2"/>
  <c r="F4203" i="2" s="1"/>
  <c r="H4202" i="2"/>
  <c r="D4202" i="2"/>
  <c r="F4202" i="2" s="1"/>
  <c r="H4201" i="2"/>
  <c r="D4201" i="2"/>
  <c r="F4201" i="2" s="1"/>
  <c r="H4200" i="2"/>
  <c r="D4200" i="2"/>
  <c r="F4200" i="2" s="1"/>
  <c r="H4199" i="2"/>
  <c r="D4199" i="2"/>
  <c r="F4199" i="2" s="1"/>
  <c r="H4198" i="2"/>
  <c r="D4198" i="2"/>
  <c r="F4198" i="2" s="1"/>
  <c r="H4196" i="2"/>
  <c r="F4196" i="2"/>
  <c r="H4195" i="2"/>
  <c r="F4195" i="2"/>
  <c r="H4194" i="2"/>
  <c r="F4194" i="2"/>
  <c r="H4192" i="2"/>
  <c r="F4192" i="2"/>
  <c r="H4191" i="2"/>
  <c r="F4191" i="2"/>
  <c r="H4190" i="2"/>
  <c r="F4190" i="2"/>
  <c r="H4189" i="2"/>
  <c r="F4189" i="2"/>
  <c r="H4188" i="2"/>
  <c r="F4188" i="2"/>
  <c r="H4187" i="2"/>
  <c r="F4187" i="2"/>
  <c r="H4186" i="2"/>
  <c r="F4186" i="2"/>
  <c r="H4185" i="2"/>
  <c r="F4185" i="2"/>
  <c r="H4184" i="2"/>
  <c r="F4184" i="2"/>
  <c r="H4183" i="2"/>
  <c r="F4183" i="2"/>
  <c r="H4182" i="2"/>
  <c r="F4182" i="2"/>
  <c r="H4181" i="2"/>
  <c r="F4181" i="2"/>
  <c r="H4180" i="2"/>
  <c r="F4180" i="2"/>
  <c r="H4179" i="2"/>
  <c r="F4179" i="2"/>
  <c r="H4178" i="2"/>
  <c r="F4178" i="2"/>
  <c r="H4177" i="2"/>
  <c r="F4177" i="2"/>
  <c r="H4176" i="2"/>
  <c r="F4176" i="2"/>
  <c r="H4175" i="2"/>
  <c r="F4175" i="2"/>
  <c r="H4174" i="2"/>
  <c r="F4174" i="2"/>
  <c r="H4173" i="2"/>
  <c r="F4173" i="2"/>
  <c r="H4172" i="2"/>
  <c r="F4172" i="2"/>
  <c r="H4171" i="2"/>
  <c r="F4171" i="2"/>
  <c r="H4167" i="2"/>
  <c r="F4167" i="2"/>
  <c r="F4165" i="2"/>
  <c r="F4164" i="2"/>
  <c r="H4162" i="2"/>
  <c r="F4162" i="2"/>
  <c r="H4161" i="2"/>
  <c r="F4161" i="2"/>
  <c r="H4160" i="2"/>
  <c r="F4160" i="2"/>
  <c r="H4157" i="2"/>
  <c r="F4157" i="2"/>
  <c r="H4156" i="2"/>
  <c r="F4156" i="2"/>
  <c r="H4152" i="2"/>
  <c r="F4152" i="2"/>
  <c r="H4151" i="2"/>
  <c r="F4151" i="2"/>
  <c r="H4150" i="2"/>
  <c r="F4150" i="2"/>
  <c r="H4149" i="2"/>
  <c r="F4149" i="2"/>
  <c r="H4148" i="2"/>
  <c r="F4148" i="2"/>
  <c r="H4146" i="2"/>
  <c r="F4146" i="2"/>
  <c r="H4145" i="2"/>
  <c r="F4145" i="2"/>
  <c r="H4144" i="2"/>
  <c r="F4144" i="2"/>
  <c r="H4143" i="2"/>
  <c r="F4143" i="2"/>
  <c r="H4142" i="2"/>
  <c r="F4142" i="2"/>
  <c r="H4139" i="2"/>
  <c r="F4139" i="2"/>
  <c r="H4138" i="2"/>
  <c r="F4138" i="2"/>
  <c r="H4137" i="2"/>
  <c r="F4137" i="2"/>
  <c r="H4136" i="2"/>
  <c r="F4136" i="2"/>
  <c r="H4135" i="2"/>
  <c r="F4135" i="2"/>
  <c r="H4133" i="2"/>
  <c r="F4133" i="2"/>
  <c r="H4132" i="2"/>
  <c r="F4132" i="2"/>
  <c r="H4131" i="2"/>
  <c r="F4131" i="2"/>
  <c r="H4128" i="2"/>
  <c r="F4128" i="2"/>
  <c r="H4127" i="2"/>
  <c r="F4127" i="2"/>
  <c r="H4126" i="2"/>
  <c r="F4126" i="2"/>
  <c r="H4125" i="2"/>
  <c r="F4125" i="2"/>
  <c r="H4124" i="2"/>
  <c r="F4124" i="2"/>
  <c r="H4122" i="2"/>
  <c r="F4122" i="2"/>
  <c r="H4121" i="2"/>
  <c r="F4121" i="2"/>
  <c r="H4120" i="2"/>
  <c r="F4120" i="2"/>
  <c r="H4119" i="2"/>
  <c r="F4119" i="2"/>
  <c r="H4118" i="2"/>
  <c r="F4118" i="2"/>
  <c r="H4115" i="2"/>
  <c r="F4115" i="2"/>
  <c r="H4114" i="2"/>
  <c r="F4114" i="2"/>
  <c r="H4113" i="2"/>
  <c r="F4113" i="2"/>
  <c r="H4111" i="2"/>
  <c r="F4111" i="2"/>
  <c r="H4110" i="2"/>
  <c r="F4110" i="2"/>
  <c r="H4109" i="2"/>
  <c r="F4109" i="2"/>
  <c r="H4107" i="2"/>
  <c r="F4107" i="2"/>
  <c r="H4106" i="2"/>
  <c r="F4106" i="2"/>
  <c r="H4105" i="2"/>
  <c r="F4105" i="2"/>
  <c r="H4101" i="2"/>
  <c r="F4101" i="2"/>
  <c r="H4100" i="2"/>
  <c r="F4100" i="2"/>
  <c r="H4099" i="2"/>
  <c r="F4099" i="2"/>
  <c r="H4098" i="2"/>
  <c r="F4098" i="2"/>
  <c r="H4097" i="2"/>
  <c r="F4097" i="2"/>
  <c r="H4096" i="2"/>
  <c r="F4096" i="2"/>
  <c r="H4095" i="2"/>
  <c r="F4095" i="2"/>
  <c r="H4094" i="2"/>
  <c r="F4094" i="2"/>
  <c r="H4092" i="2"/>
  <c r="F4092" i="2"/>
  <c r="H4091" i="2"/>
  <c r="F4091" i="2"/>
  <c r="H4090" i="2"/>
  <c r="F4090" i="2"/>
  <c r="H4089" i="2"/>
  <c r="F4089" i="2"/>
  <c r="H4088" i="2"/>
  <c r="F4088" i="2"/>
  <c r="H4087" i="2"/>
  <c r="F4087" i="2"/>
  <c r="H4086" i="2"/>
  <c r="F4086" i="2"/>
  <c r="H4085" i="2"/>
  <c r="F4085" i="2"/>
  <c r="H4083" i="2"/>
  <c r="F4083" i="2"/>
  <c r="H4082" i="2"/>
  <c r="F4082" i="2"/>
  <c r="H4081" i="2"/>
  <c r="F4081" i="2"/>
  <c r="H4080" i="2"/>
  <c r="F4080" i="2"/>
  <c r="H4079" i="2"/>
  <c r="F4079" i="2"/>
  <c r="H4078" i="2"/>
  <c r="F4078" i="2"/>
  <c r="H4077" i="2"/>
  <c r="F4077" i="2"/>
  <c r="H4076" i="2"/>
  <c r="F4076" i="2"/>
  <c r="H4073" i="2"/>
  <c r="F4073" i="2"/>
  <c r="H4071" i="2"/>
  <c r="F4071" i="2"/>
  <c r="H4070" i="2"/>
  <c r="F4070" i="2"/>
  <c r="H4069" i="2"/>
  <c r="F4069" i="2"/>
  <c r="H4067" i="2"/>
  <c r="F4067" i="2"/>
  <c r="H4066" i="2"/>
  <c r="F4066" i="2"/>
  <c r="H4065" i="2"/>
  <c r="F4065" i="2"/>
  <c r="H4061" i="2"/>
  <c r="F4061" i="2"/>
  <c r="H4060" i="2"/>
  <c r="F4060" i="2"/>
  <c r="H4059" i="2"/>
  <c r="F4059" i="2"/>
  <c r="H4058" i="2"/>
  <c r="F4058" i="2"/>
  <c r="H4057" i="2"/>
  <c r="F4057" i="2"/>
  <c r="H4056" i="2"/>
  <c r="F4056" i="2"/>
  <c r="H4055" i="2"/>
  <c r="F4055" i="2"/>
  <c r="H4054" i="2"/>
  <c r="F4054" i="2"/>
  <c r="H4052" i="2"/>
  <c r="F4052" i="2"/>
  <c r="H4051" i="2"/>
  <c r="F4051" i="2"/>
  <c r="H4050" i="2"/>
  <c r="F4050" i="2"/>
  <c r="H4049" i="2"/>
  <c r="F4049" i="2"/>
  <c r="H4048" i="2"/>
  <c r="F4048" i="2"/>
  <c r="H4047" i="2"/>
  <c r="F4047" i="2"/>
  <c r="H4046" i="2"/>
  <c r="F4046" i="2"/>
  <c r="H4045" i="2"/>
  <c r="F4045" i="2"/>
  <c r="H4044" i="2"/>
  <c r="H4042" i="2"/>
  <c r="F4042" i="2"/>
  <c r="H4041" i="2"/>
  <c r="F4041" i="2"/>
  <c r="H4040" i="2"/>
  <c r="F4040" i="2"/>
  <c r="H4039" i="2"/>
  <c r="F4039" i="2"/>
  <c r="H4038" i="2"/>
  <c r="F4038" i="2"/>
  <c r="H4037" i="2"/>
  <c r="F4037" i="2"/>
  <c r="H4036" i="2"/>
  <c r="F4036" i="2"/>
  <c r="H4035" i="2"/>
  <c r="F4035" i="2"/>
  <c r="H4031" i="2"/>
  <c r="F4031" i="2"/>
  <c r="H4030" i="2"/>
  <c r="F4030" i="2"/>
  <c r="H4029" i="2"/>
  <c r="F4029" i="2"/>
  <c r="H4028" i="2"/>
  <c r="F4028" i="2"/>
  <c r="H4025" i="2"/>
  <c r="F4025" i="2"/>
  <c r="H4024" i="2"/>
  <c r="F4024" i="2"/>
  <c r="H4023" i="2"/>
  <c r="F4023" i="2"/>
  <c r="H4022" i="2"/>
  <c r="F4022" i="2"/>
  <c r="H4021" i="2"/>
  <c r="F4021" i="2"/>
  <c r="H4020" i="2"/>
  <c r="F4020" i="2"/>
  <c r="H4019" i="2"/>
  <c r="F4019" i="2"/>
  <c r="H4018" i="2"/>
  <c r="F4018" i="2"/>
  <c r="H4016" i="2"/>
  <c r="F4016" i="2"/>
  <c r="H4015" i="2"/>
  <c r="F4015" i="2"/>
  <c r="H4014" i="2"/>
  <c r="F4014" i="2"/>
  <c r="H4013" i="2"/>
  <c r="F4013" i="2"/>
  <c r="H4012" i="2"/>
  <c r="F4012" i="2"/>
  <c r="H4011" i="2"/>
  <c r="F4011" i="2"/>
  <c r="H4010" i="2"/>
  <c r="F4010" i="2"/>
  <c r="H4009" i="2"/>
  <c r="F4009" i="2"/>
  <c r="H4008" i="2"/>
  <c r="H4006" i="2"/>
  <c r="F4006" i="2"/>
  <c r="H4005" i="2"/>
  <c r="F4005" i="2"/>
  <c r="H4004" i="2"/>
  <c r="F4004" i="2"/>
  <c r="H4003" i="2"/>
  <c r="F4003" i="2"/>
  <c r="H4002" i="2"/>
  <c r="F4002" i="2"/>
  <c r="H4001" i="2"/>
  <c r="F4001" i="2"/>
  <c r="H4000" i="2"/>
  <c r="F4000" i="2"/>
  <c r="H3999" i="2"/>
  <c r="F3999" i="2"/>
  <c r="F3994" i="2"/>
  <c r="F3992" i="2"/>
  <c r="H3967" i="2"/>
  <c r="F3967" i="2"/>
  <c r="H3966" i="2"/>
  <c r="F3966" i="2"/>
  <c r="H3965" i="2"/>
  <c r="F3965" i="2"/>
  <c r="H3964" i="2"/>
  <c r="F3964" i="2"/>
  <c r="H3961" i="2"/>
  <c r="F3961" i="2"/>
  <c r="H3959" i="2"/>
  <c r="F3959" i="2"/>
  <c r="H3958" i="2"/>
  <c r="F3958" i="2"/>
  <c r="H3957" i="2"/>
  <c r="F3957" i="2"/>
  <c r="H3955" i="2"/>
  <c r="F3955" i="2"/>
  <c r="H3954" i="2"/>
  <c r="F3954" i="2"/>
  <c r="H3953" i="2"/>
  <c r="F3953" i="2"/>
  <c r="H3951" i="2"/>
  <c r="F3951" i="2"/>
  <c r="H3945" i="2"/>
  <c r="F3945" i="2"/>
  <c r="H3944" i="2"/>
  <c r="F3944" i="2"/>
  <c r="H3942" i="2"/>
  <c r="F3942" i="2"/>
  <c r="H3941" i="2"/>
  <c r="F3941" i="2"/>
  <c r="H3940" i="2"/>
  <c r="F3940" i="2"/>
  <c r="H3937" i="2"/>
  <c r="F3937" i="2"/>
  <c r="H3936" i="2"/>
  <c r="F3936" i="2"/>
  <c r="H3935" i="2"/>
  <c r="F3935" i="2"/>
  <c r="H3934" i="2"/>
  <c r="F3934" i="2"/>
  <c r="H3933" i="2"/>
  <c r="F3933" i="2"/>
  <c r="H3932" i="2"/>
  <c r="F3932" i="2"/>
  <c r="H3929" i="2"/>
  <c r="F3929" i="2"/>
  <c r="H3928" i="2"/>
  <c r="F3928" i="2"/>
  <c r="H3927" i="2"/>
  <c r="F3927" i="2"/>
  <c r="H3924" i="2"/>
  <c r="F3924" i="2"/>
  <c r="H3923" i="2"/>
  <c r="F3923" i="2"/>
  <c r="H3922" i="2"/>
  <c r="F3922" i="2"/>
  <c r="H3917" i="2"/>
  <c r="F3917" i="2"/>
  <c r="H3916" i="2"/>
  <c r="F3916" i="2"/>
  <c r="H3914" i="2"/>
  <c r="F3914" i="2"/>
  <c r="H3913" i="2"/>
  <c r="F3913" i="2"/>
  <c r="H3912" i="2"/>
  <c r="F3912" i="2"/>
  <c r="H3908" i="2"/>
  <c r="F3908" i="2"/>
  <c r="H3907" i="2"/>
  <c r="F3907" i="2"/>
  <c r="H3906" i="2"/>
  <c r="F3906" i="2"/>
  <c r="H3903" i="2"/>
  <c r="F3903" i="2"/>
  <c r="H3902" i="2"/>
  <c r="F3902" i="2"/>
  <c r="H3899" i="2"/>
  <c r="F3899" i="2"/>
  <c r="H3898" i="2"/>
  <c r="F3898" i="2"/>
  <c r="H3897" i="2"/>
  <c r="F3897" i="2"/>
  <c r="H3896" i="2"/>
  <c r="E3896" i="2"/>
  <c r="F3896" i="2" s="1"/>
  <c r="H3894" i="2"/>
  <c r="E3894" i="2"/>
  <c r="F3894" i="2" s="1"/>
  <c r="H3893" i="2"/>
  <c r="F3893" i="2"/>
  <c r="H3890" i="2"/>
  <c r="F3890" i="2"/>
  <c r="H3889" i="2"/>
  <c r="F3889" i="2"/>
  <c r="H3888" i="2"/>
  <c r="F3888" i="2"/>
  <c r="H3886" i="2"/>
  <c r="F3886" i="2"/>
  <c r="H3885" i="2"/>
  <c r="F3885" i="2"/>
  <c r="H3884" i="2"/>
  <c r="F3884" i="2"/>
  <c r="H3883" i="2"/>
  <c r="F3883" i="2"/>
  <c r="H3882" i="2"/>
  <c r="F3882" i="2"/>
  <c r="H3881" i="2"/>
  <c r="F3881" i="2"/>
  <c r="H3880" i="2"/>
  <c r="F3880" i="2"/>
  <c r="H3879" i="2"/>
  <c r="F3879" i="2"/>
  <c r="H3878" i="2"/>
  <c r="F3878" i="2"/>
  <c r="H3877" i="2"/>
  <c r="F3877" i="2"/>
  <c r="H3876" i="2"/>
  <c r="F3876" i="2"/>
  <c r="H3875" i="2"/>
  <c r="F3875" i="2"/>
  <c r="F3872" i="2"/>
  <c r="F3871" i="2"/>
  <c r="F3870" i="2"/>
  <c r="F3869" i="2"/>
  <c r="F3868" i="2"/>
  <c r="F3867" i="2"/>
  <c r="F3866" i="2"/>
  <c r="H3864" i="2"/>
  <c r="F3864" i="2"/>
  <c r="H3863" i="2"/>
  <c r="F3863" i="2"/>
  <c r="H3862" i="2"/>
  <c r="F3862" i="2"/>
  <c r="H3861" i="2"/>
  <c r="F3861" i="2"/>
  <c r="H3860" i="2"/>
  <c r="F3860" i="2"/>
  <c r="H3859" i="2"/>
  <c r="F3859" i="2"/>
  <c r="H3858" i="2"/>
  <c r="F3858" i="2"/>
  <c r="H3857" i="2"/>
  <c r="F3857" i="2"/>
  <c r="H3856" i="2"/>
  <c r="F3856" i="2"/>
  <c r="H3855" i="2"/>
  <c r="F3855" i="2"/>
  <c r="H3851" i="2"/>
  <c r="F3851" i="2"/>
  <c r="H3850" i="2"/>
  <c r="F3850" i="2"/>
  <c r="H3845" i="2"/>
  <c r="H3842" i="2"/>
  <c r="F3842" i="2"/>
  <c r="H3840" i="2"/>
  <c r="F3840" i="2"/>
  <c r="H3839" i="2"/>
  <c r="F3839" i="2"/>
  <c r="H3837" i="2"/>
  <c r="F3837" i="2"/>
  <c r="H3836" i="2"/>
  <c r="F3836" i="2"/>
  <c r="H3835" i="2"/>
  <c r="F3835" i="2"/>
  <c r="H3832" i="2"/>
  <c r="F3832" i="2"/>
  <c r="H3831" i="2"/>
  <c r="F3831" i="2"/>
  <c r="H3830" i="2"/>
  <c r="F3830" i="2"/>
  <c r="H3828" i="2"/>
  <c r="F3828" i="2"/>
  <c r="H3827" i="2"/>
  <c r="F3827" i="2"/>
  <c r="H3826" i="2"/>
  <c r="F3826" i="2"/>
  <c r="H3825" i="2"/>
  <c r="F3825" i="2"/>
  <c r="H3823" i="2"/>
  <c r="F3823" i="2"/>
  <c r="H3822" i="2"/>
  <c r="F3822" i="2"/>
  <c r="H3821" i="2"/>
  <c r="F3821" i="2"/>
  <c r="H3820" i="2"/>
  <c r="F3820" i="2"/>
  <c r="H3819" i="2"/>
  <c r="F3819" i="2"/>
  <c r="H3818" i="2"/>
  <c r="F3818" i="2"/>
  <c r="H3817" i="2"/>
  <c r="F3817" i="2"/>
  <c r="H3816" i="2"/>
  <c r="F3816" i="2"/>
  <c r="H3815" i="2"/>
  <c r="F3815" i="2"/>
  <c r="H3814" i="2"/>
  <c r="F3814" i="2"/>
  <c r="H3812" i="2"/>
  <c r="F3812" i="2"/>
  <c r="H3811" i="2"/>
  <c r="F3811" i="2"/>
  <c r="H3810" i="2"/>
  <c r="F3810" i="2"/>
  <c r="H3809" i="2"/>
  <c r="F3809" i="2"/>
  <c r="H3808" i="2"/>
  <c r="F3808" i="2"/>
  <c r="H3807" i="2"/>
  <c r="F3807" i="2"/>
  <c r="H3806" i="2"/>
  <c r="F3806" i="2"/>
  <c r="H3805" i="2"/>
  <c r="F3805" i="2"/>
  <c r="H3804" i="2"/>
  <c r="F3804" i="2"/>
  <c r="H3802" i="2"/>
  <c r="D3802" i="2"/>
  <c r="F3802" i="2" s="1"/>
  <c r="H3801" i="2"/>
  <c r="F3801" i="2"/>
  <c r="D3801" i="2"/>
  <c r="H3800" i="2"/>
  <c r="D3800" i="2"/>
  <c r="F3800" i="2" s="1"/>
  <c r="H3799" i="2"/>
  <c r="D3799" i="2"/>
  <c r="F3799" i="2" s="1"/>
  <c r="H3798" i="2"/>
  <c r="D3798" i="2"/>
  <c r="F3798" i="2" s="1"/>
  <c r="H3797" i="2"/>
  <c r="F3797" i="2"/>
  <c r="D3797" i="2"/>
  <c r="H3796" i="2"/>
  <c r="D3796" i="2"/>
  <c r="F3796" i="2" s="1"/>
  <c r="H3795" i="2"/>
  <c r="D3795" i="2"/>
  <c r="F3795" i="2" s="1"/>
  <c r="H3794" i="2"/>
  <c r="D3794" i="2"/>
  <c r="F3794" i="2" s="1"/>
  <c r="H3792" i="2"/>
  <c r="F3792" i="2"/>
  <c r="H3791" i="2"/>
  <c r="F3791" i="2"/>
  <c r="H3790" i="2"/>
  <c r="F3790" i="2"/>
  <c r="H3789" i="2"/>
  <c r="F3789" i="2"/>
  <c r="H3788" i="2"/>
  <c r="F3788" i="2"/>
  <c r="H3787" i="2"/>
  <c r="F3787" i="2"/>
  <c r="H3786" i="2"/>
  <c r="F3786" i="2"/>
  <c r="H3785" i="2"/>
  <c r="F3785" i="2"/>
  <c r="H3782" i="2"/>
  <c r="F3782" i="2"/>
  <c r="H3781" i="2"/>
  <c r="F3781" i="2"/>
  <c r="H3780" i="2"/>
  <c r="F3780" i="2"/>
  <c r="H3779" i="2"/>
  <c r="F3779" i="2"/>
  <c r="H3778" i="2"/>
  <c r="F3778" i="2"/>
  <c r="H3777" i="2"/>
  <c r="F3777" i="2"/>
  <c r="H3776" i="2"/>
  <c r="F3776" i="2"/>
  <c r="H3775" i="2"/>
  <c r="F3775" i="2"/>
  <c r="H3774" i="2"/>
  <c r="F3774" i="2"/>
  <c r="H3772" i="2"/>
  <c r="D3772" i="2"/>
  <c r="F3772" i="2" s="1"/>
  <c r="H3771" i="2"/>
  <c r="F3771" i="2"/>
  <c r="H3770" i="2"/>
  <c r="F3770" i="2"/>
  <c r="H3769" i="2"/>
  <c r="F3769" i="2"/>
  <c r="H3768" i="2"/>
  <c r="F3768" i="2"/>
  <c r="H3767" i="2"/>
  <c r="F3767" i="2"/>
  <c r="H3766" i="2"/>
  <c r="F3766" i="2"/>
  <c r="H3765" i="2"/>
  <c r="F3765" i="2"/>
  <c r="H3764" i="2"/>
  <c r="F3764" i="2"/>
  <c r="H3763" i="2"/>
  <c r="F3763" i="2"/>
  <c r="H3761" i="2"/>
  <c r="F3761" i="2"/>
  <c r="H3760" i="2"/>
  <c r="F3760" i="2"/>
  <c r="H3759" i="2"/>
  <c r="F3759" i="2"/>
  <c r="H3758" i="2"/>
  <c r="F3758" i="2"/>
  <c r="H3757" i="2"/>
  <c r="F3757" i="2"/>
  <c r="H3756" i="2"/>
  <c r="F3756" i="2"/>
  <c r="H3755" i="2"/>
  <c r="F3755" i="2"/>
  <c r="H3754" i="2"/>
  <c r="F3754" i="2"/>
  <c r="H3753" i="2"/>
  <c r="F3753" i="2"/>
  <c r="H3751" i="2"/>
  <c r="F3751" i="2"/>
  <c r="H3750" i="2"/>
  <c r="F3750" i="2"/>
  <c r="H3749" i="2"/>
  <c r="F3749" i="2"/>
  <c r="H3748" i="2"/>
  <c r="F3748" i="2"/>
  <c r="H3747" i="2"/>
  <c r="F3747" i="2"/>
  <c r="H3746" i="2"/>
  <c r="F3746" i="2"/>
  <c r="H3745" i="2"/>
  <c r="F3745" i="2"/>
  <c r="H3744" i="2"/>
  <c r="F3744" i="2"/>
  <c r="H3738" i="2"/>
  <c r="F3738" i="2"/>
  <c r="H3736" i="2"/>
  <c r="F3736" i="2"/>
  <c r="H3735" i="2"/>
  <c r="F3735" i="2"/>
  <c r="H3734" i="2"/>
  <c r="F3734" i="2"/>
  <c r="H3733" i="2"/>
  <c r="F3733" i="2"/>
  <c r="H3732" i="2"/>
  <c r="F3732" i="2"/>
  <c r="H3731" i="2"/>
  <c r="F3731" i="2"/>
  <c r="H3726" i="2"/>
  <c r="F3726" i="2"/>
  <c r="H3724" i="2"/>
  <c r="F3724" i="2"/>
  <c r="H3723" i="2"/>
  <c r="F3723" i="2"/>
  <c r="H3722" i="2"/>
  <c r="F3722" i="2"/>
  <c r="H3719" i="2"/>
  <c r="F3719" i="2"/>
  <c r="H3718" i="2"/>
  <c r="F3718" i="2"/>
  <c r="H3717" i="2"/>
  <c r="F3717" i="2"/>
  <c r="H3716" i="2"/>
  <c r="F3716" i="2"/>
  <c r="H3715" i="2"/>
  <c r="F3715" i="2"/>
  <c r="H3714" i="2"/>
  <c r="F3714" i="2"/>
  <c r="H3713" i="2"/>
  <c r="F3713" i="2"/>
  <c r="H3712" i="2"/>
  <c r="F3712" i="2"/>
  <c r="H3711" i="2"/>
  <c r="F3711" i="2"/>
  <c r="H3710" i="2"/>
  <c r="F3710" i="2"/>
  <c r="H3708" i="2"/>
  <c r="F3708" i="2"/>
  <c r="H3707" i="2"/>
  <c r="F3707" i="2"/>
  <c r="H3706" i="2"/>
  <c r="F3706" i="2"/>
  <c r="H3705" i="2"/>
  <c r="F3705" i="2"/>
  <c r="H3703" i="2"/>
  <c r="F3703" i="2"/>
  <c r="H3702" i="2"/>
  <c r="F3702" i="2"/>
  <c r="H3700" i="2"/>
  <c r="H3699" i="2"/>
  <c r="H3698" i="2"/>
  <c r="H3697" i="2"/>
  <c r="H3696" i="2"/>
  <c r="H3695" i="2"/>
  <c r="H3693" i="2"/>
  <c r="F3693" i="2"/>
  <c r="H3692" i="2"/>
  <c r="F3692" i="2"/>
  <c r="H3691" i="2"/>
  <c r="F3691" i="2"/>
  <c r="H3690" i="2"/>
  <c r="F3690" i="2"/>
  <c r="H3689" i="2"/>
  <c r="F3689" i="2"/>
  <c r="H3688" i="2"/>
  <c r="F3688" i="2"/>
  <c r="H3687" i="2"/>
  <c r="F3687" i="2"/>
  <c r="H3686" i="2"/>
  <c r="F3686" i="2"/>
  <c r="H3685" i="2"/>
  <c r="F3685" i="2"/>
  <c r="H3684" i="2"/>
  <c r="F3684" i="2"/>
  <c r="H3682" i="2"/>
  <c r="F3682" i="2"/>
  <c r="H3681" i="2"/>
  <c r="F3681" i="2"/>
  <c r="H3680" i="2"/>
  <c r="F3680" i="2"/>
  <c r="H3679" i="2"/>
  <c r="F3679" i="2"/>
  <c r="H3678" i="2"/>
  <c r="F3678" i="2"/>
  <c r="H3677" i="2"/>
  <c r="F3677" i="2"/>
  <c r="H3676" i="2"/>
  <c r="F3676" i="2"/>
  <c r="H3675" i="2"/>
  <c r="F3675" i="2"/>
  <c r="H3672" i="2"/>
  <c r="F3672" i="2"/>
  <c r="H3670" i="2"/>
  <c r="F3670" i="2"/>
  <c r="H3669" i="2"/>
  <c r="F3669" i="2"/>
  <c r="H3668" i="2"/>
  <c r="F3668" i="2"/>
  <c r="H3667" i="2"/>
  <c r="F3667" i="2"/>
  <c r="H3666" i="2"/>
  <c r="F3666" i="2"/>
  <c r="H3665" i="2"/>
  <c r="F3665" i="2"/>
  <c r="H3664" i="2"/>
  <c r="F3664" i="2"/>
  <c r="H3663" i="2"/>
  <c r="F3663" i="2"/>
  <c r="H3662" i="2"/>
  <c r="F3662" i="2"/>
  <c r="H3661" i="2"/>
  <c r="F3661" i="2"/>
  <c r="H3658" i="2"/>
  <c r="F3658" i="2"/>
  <c r="H3657" i="2"/>
  <c r="F3657" i="2"/>
  <c r="H3656" i="2"/>
  <c r="F3656" i="2"/>
  <c r="H3655" i="2"/>
  <c r="F3655" i="2"/>
  <c r="H3654" i="2"/>
  <c r="F3654" i="2"/>
  <c r="H3653" i="2"/>
  <c r="F3653" i="2"/>
  <c r="H3651" i="2"/>
  <c r="F3651" i="2"/>
  <c r="H3650" i="2"/>
  <c r="F3650" i="2"/>
  <c r="H3649" i="2"/>
  <c r="F3649" i="2"/>
  <c r="H3648" i="2"/>
  <c r="F3648" i="2"/>
  <c r="H3647" i="2"/>
  <c r="F3647" i="2"/>
  <c r="H3646" i="2"/>
  <c r="F3646" i="2"/>
  <c r="H3645" i="2"/>
  <c r="F3645" i="2"/>
  <c r="H3644" i="2"/>
  <c r="F3644" i="2"/>
  <c r="H3643" i="2"/>
  <c r="F3643" i="2"/>
  <c r="H3642" i="2"/>
  <c r="F3642" i="2"/>
  <c r="H3640" i="2"/>
  <c r="F3640" i="2"/>
  <c r="H3639" i="2"/>
  <c r="F3639" i="2"/>
  <c r="H3638" i="2"/>
  <c r="F3638" i="2"/>
  <c r="H3637" i="2"/>
  <c r="F3637" i="2"/>
  <c r="H3636" i="2"/>
  <c r="F3636" i="2"/>
  <c r="H3635" i="2"/>
  <c r="F3635" i="2"/>
  <c r="H3634" i="2"/>
  <c r="F3634" i="2"/>
  <c r="H3631" i="2"/>
  <c r="F3631" i="2"/>
  <c r="H3629" i="2"/>
  <c r="F3629" i="2"/>
  <c r="H3628" i="2"/>
  <c r="F3628" i="2"/>
  <c r="H3627" i="2"/>
  <c r="F3627" i="2"/>
  <c r="H3626" i="2"/>
  <c r="F3626" i="2"/>
  <c r="H3625" i="2"/>
  <c r="F3625" i="2"/>
  <c r="H3624" i="2"/>
  <c r="F3624" i="2"/>
  <c r="H3623" i="2"/>
  <c r="F3623" i="2"/>
  <c r="H3622" i="2"/>
  <c r="F3622" i="2"/>
  <c r="H3621" i="2"/>
  <c r="F3621" i="2"/>
  <c r="H3620" i="2"/>
  <c r="F3620" i="2"/>
  <c r="H3618" i="2"/>
  <c r="F3618" i="2"/>
  <c r="H3617" i="2"/>
  <c r="F3617" i="2"/>
  <c r="H3616" i="2"/>
  <c r="F3616" i="2"/>
  <c r="H3615" i="2"/>
  <c r="F3615" i="2"/>
  <c r="H3614" i="2"/>
  <c r="F3614" i="2"/>
  <c r="H3613" i="2"/>
  <c r="F3613" i="2"/>
  <c r="H3612" i="2"/>
  <c r="F3612" i="2"/>
  <c r="H3611" i="2"/>
  <c r="F3611" i="2"/>
  <c r="H3610" i="2"/>
  <c r="F3610" i="2"/>
  <c r="H3608" i="2"/>
  <c r="F3608" i="2"/>
  <c r="H3607" i="2"/>
  <c r="F3607" i="2"/>
  <c r="H3606" i="2"/>
  <c r="F3606" i="2"/>
  <c r="H3605" i="2"/>
  <c r="F3605" i="2"/>
  <c r="H3604" i="2"/>
  <c r="F3604" i="2"/>
  <c r="H3603" i="2"/>
  <c r="F3603" i="2"/>
  <c r="H3602" i="2"/>
  <c r="F3602" i="2"/>
  <c r="H3597" i="2"/>
  <c r="F3597" i="2"/>
  <c r="H3596" i="2"/>
  <c r="F3596" i="2"/>
  <c r="H3595" i="2"/>
  <c r="F3595" i="2"/>
  <c r="H3594" i="2"/>
  <c r="F3594" i="2"/>
  <c r="H3593" i="2"/>
  <c r="F3593" i="2"/>
  <c r="H3592" i="2"/>
  <c r="F3592" i="2"/>
  <c r="H3591" i="2"/>
  <c r="F3591" i="2"/>
  <c r="H3590" i="2"/>
  <c r="F3590" i="2"/>
  <c r="H3589" i="2"/>
  <c r="F3589" i="2"/>
  <c r="H3588" i="2"/>
  <c r="F3588" i="2"/>
  <c r="F3587" i="2"/>
  <c r="H3584" i="2"/>
  <c r="F3584" i="2"/>
  <c r="H3583" i="2"/>
  <c r="F3583" i="2"/>
  <c r="H3582" i="2"/>
  <c r="F3582" i="2"/>
  <c r="H3581" i="2"/>
  <c r="F3581" i="2"/>
  <c r="H3578" i="2"/>
  <c r="F3578" i="2"/>
  <c r="H3576" i="2"/>
  <c r="F3576" i="2"/>
  <c r="H3575" i="2"/>
  <c r="F3575" i="2"/>
  <c r="H3574" i="2"/>
  <c r="F3574" i="2"/>
  <c r="H3573" i="2"/>
  <c r="F3573" i="2"/>
  <c r="H3572" i="2"/>
  <c r="F3572" i="2"/>
  <c r="H3571" i="2"/>
  <c r="F3571" i="2"/>
  <c r="H3570" i="2"/>
  <c r="F3570" i="2"/>
  <c r="H3565" i="2"/>
  <c r="F3565" i="2"/>
  <c r="H3563" i="2"/>
  <c r="F3563" i="2"/>
  <c r="H3561" i="2"/>
  <c r="F3561" i="2"/>
  <c r="H3559" i="2"/>
  <c r="F3559" i="2"/>
  <c r="H3558" i="2"/>
  <c r="F3558" i="2"/>
  <c r="H3557" i="2"/>
  <c r="F3557" i="2"/>
  <c r="H3556" i="2"/>
  <c r="F3556" i="2"/>
  <c r="H3555" i="2"/>
  <c r="F3555" i="2"/>
  <c r="H3554" i="2"/>
  <c r="F3554" i="2"/>
  <c r="H3553" i="2"/>
  <c r="F3553" i="2"/>
  <c r="H3552" i="2"/>
  <c r="F3552" i="2"/>
  <c r="H3551" i="2"/>
  <c r="F3551" i="2"/>
  <c r="H3550" i="2"/>
  <c r="F3550" i="2"/>
  <c r="H3549" i="2"/>
  <c r="F3549" i="2"/>
  <c r="H3542" i="2"/>
  <c r="F3542" i="2"/>
  <c r="H3541" i="2"/>
  <c r="F3541" i="2"/>
  <c r="H3540" i="2"/>
  <c r="F3540" i="2"/>
  <c r="H3536" i="2"/>
  <c r="F3536" i="2"/>
  <c r="H3535" i="2"/>
  <c r="F3535" i="2"/>
  <c r="H3534" i="2"/>
  <c r="F3534" i="2"/>
  <c r="H3533" i="2"/>
  <c r="F3533" i="2"/>
  <c r="H3532" i="2"/>
  <c r="F3532" i="2"/>
  <c r="H3531" i="2"/>
  <c r="F3531" i="2"/>
  <c r="H3530" i="2"/>
  <c r="F3530" i="2"/>
  <c r="H3529" i="2"/>
  <c r="F3529" i="2"/>
  <c r="H3528" i="2"/>
  <c r="F3528" i="2"/>
  <c r="H3527" i="2"/>
  <c r="F3527" i="2"/>
  <c r="H3526" i="2"/>
  <c r="F3526" i="2"/>
  <c r="H3524" i="2"/>
  <c r="F3524" i="2"/>
  <c r="H3523" i="2"/>
  <c r="F3523" i="2"/>
  <c r="H3522" i="2"/>
  <c r="F3522" i="2"/>
  <c r="H3521" i="2"/>
  <c r="F3521" i="2"/>
  <c r="H3520" i="2"/>
  <c r="F3520" i="2"/>
  <c r="H3519" i="2"/>
  <c r="F3519" i="2"/>
  <c r="H3518" i="2"/>
  <c r="F3518" i="2"/>
  <c r="H3517" i="2"/>
  <c r="F3517" i="2"/>
  <c r="H3516" i="2"/>
  <c r="F3516" i="2"/>
  <c r="H3515" i="2"/>
  <c r="F3515" i="2"/>
  <c r="H3513" i="2"/>
  <c r="F3513" i="2"/>
  <c r="H3512" i="2"/>
  <c r="F3512" i="2"/>
  <c r="H3511" i="2"/>
  <c r="F3511" i="2"/>
  <c r="H3510" i="2"/>
  <c r="F3510" i="2"/>
  <c r="H3509" i="2"/>
  <c r="F3509" i="2"/>
  <c r="H3508" i="2"/>
  <c r="F3508" i="2"/>
  <c r="H3507" i="2"/>
  <c r="F3507" i="2"/>
  <c r="H3506" i="2"/>
  <c r="F3506" i="2"/>
  <c r="H3505" i="2"/>
  <c r="F3505" i="2"/>
  <c r="H3504" i="2"/>
  <c r="F3504" i="2"/>
  <c r="H3502" i="2"/>
  <c r="F3502" i="2"/>
  <c r="H3501" i="2"/>
  <c r="F3501" i="2"/>
  <c r="H3500" i="2"/>
  <c r="F3500" i="2"/>
  <c r="H3494" i="2"/>
  <c r="F3494" i="2"/>
  <c r="H3493" i="2"/>
  <c r="F3493" i="2"/>
  <c r="H3492" i="2"/>
  <c r="F3492" i="2"/>
  <c r="H3490" i="2"/>
  <c r="F3490" i="2"/>
  <c r="F3487" i="2"/>
  <c r="F3486" i="2"/>
  <c r="F3485" i="2"/>
  <c r="F3484" i="2"/>
  <c r="H3482" i="2"/>
  <c r="F3482" i="2"/>
  <c r="H3481" i="2"/>
  <c r="F3481" i="2"/>
  <c r="F3479" i="2"/>
  <c r="H3478" i="2"/>
  <c r="F3478" i="2"/>
  <c r="H3476" i="2"/>
  <c r="F3476" i="2"/>
  <c r="H3475" i="2"/>
  <c r="F3475" i="2"/>
  <c r="F3472" i="2"/>
  <c r="F3471" i="2"/>
  <c r="F3470" i="2"/>
  <c r="H3468" i="2"/>
  <c r="F3468" i="2"/>
  <c r="H3467" i="2"/>
  <c r="F3467" i="2"/>
  <c r="H3466" i="2"/>
  <c r="F3466" i="2"/>
  <c r="H3464" i="2"/>
  <c r="F3464" i="2"/>
  <c r="F3463" i="2"/>
  <c r="H3462" i="2"/>
  <c r="F3462" i="2"/>
  <c r="H3461" i="2"/>
  <c r="F3461" i="2"/>
  <c r="H3457" i="2"/>
  <c r="F3457" i="2"/>
  <c r="H3456" i="2"/>
  <c r="F3456" i="2"/>
  <c r="H3455" i="2"/>
  <c r="F3455" i="2"/>
  <c r="H3454" i="2"/>
  <c r="F3454" i="2"/>
  <c r="H3453" i="2"/>
  <c r="F3453" i="2"/>
  <c r="H3452" i="2"/>
  <c r="F3452" i="2"/>
  <c r="H3449" i="2"/>
  <c r="F3449" i="2"/>
  <c r="H3447" i="2"/>
  <c r="D3447" i="2"/>
  <c r="F3447" i="2" s="1"/>
  <c r="H3446" i="2"/>
  <c r="F3446" i="2"/>
  <c r="H3445" i="2"/>
  <c r="F3445" i="2"/>
  <c r="D3445" i="2"/>
  <c r="F3442" i="2"/>
  <c r="H3440" i="2"/>
  <c r="F3440" i="2"/>
  <c r="H3438" i="2"/>
  <c r="F3438" i="2"/>
  <c r="H3436" i="2"/>
  <c r="F3436" i="2"/>
  <c r="H3435" i="2"/>
  <c r="F3435" i="2"/>
  <c r="H3432" i="2"/>
  <c r="F3432" i="2"/>
  <c r="H3431" i="2"/>
  <c r="F3431" i="2"/>
  <c r="H3430" i="2"/>
  <c r="F3430" i="2"/>
  <c r="H3429" i="2"/>
  <c r="F3429" i="2"/>
  <c r="H3428" i="2"/>
  <c r="F3428" i="2"/>
  <c r="H3427" i="2"/>
  <c r="F3427" i="2"/>
  <c r="H3426" i="2"/>
  <c r="F3426" i="2"/>
  <c r="H3424" i="2"/>
  <c r="F3424" i="2"/>
  <c r="H3423" i="2"/>
  <c r="F3423" i="2"/>
  <c r="H3422" i="2"/>
  <c r="F3422" i="2"/>
  <c r="F3420" i="2"/>
  <c r="F3419" i="2"/>
  <c r="F3418" i="2"/>
  <c r="F3417" i="2"/>
  <c r="H3416" i="2"/>
  <c r="F3416" i="2"/>
  <c r="H3415" i="2"/>
  <c r="F3415" i="2"/>
  <c r="H3413" i="2"/>
  <c r="F3413" i="2"/>
  <c r="H3411" i="2"/>
  <c r="F3411" i="2"/>
  <c r="H3409" i="2"/>
  <c r="F3409" i="2"/>
  <c r="H3407" i="2"/>
  <c r="F3407" i="2"/>
  <c r="H3406" i="2"/>
  <c r="F3406" i="2"/>
  <c r="H3405" i="2"/>
  <c r="F3405" i="2"/>
  <c r="H3404" i="2"/>
  <c r="F3404" i="2"/>
  <c r="H3403" i="2"/>
  <c r="F3403" i="2"/>
  <c r="H3402" i="2"/>
  <c r="F3402" i="2"/>
  <c r="H3401" i="2"/>
  <c r="F3401" i="2"/>
  <c r="H3400" i="2"/>
  <c r="F3400" i="2"/>
  <c r="H3399" i="2"/>
  <c r="F3399" i="2"/>
  <c r="H3398" i="2"/>
  <c r="F3398" i="2"/>
  <c r="H3396" i="2"/>
  <c r="F3396" i="2"/>
  <c r="H3395" i="2"/>
  <c r="F3395" i="2"/>
  <c r="H3394" i="2"/>
  <c r="F3394" i="2"/>
  <c r="H3393" i="2"/>
  <c r="F3393" i="2"/>
  <c r="H3392" i="2"/>
  <c r="F3392" i="2"/>
  <c r="H3391" i="2"/>
  <c r="F3391" i="2"/>
  <c r="H3390" i="2"/>
  <c r="F3390" i="2"/>
  <c r="H3389" i="2"/>
  <c r="F3389" i="2"/>
  <c r="H3388" i="2"/>
  <c r="F3388" i="2"/>
  <c r="H3387" i="2"/>
  <c r="F3387" i="2"/>
  <c r="H3385" i="2"/>
  <c r="F3385" i="2"/>
  <c r="H3384" i="2"/>
  <c r="F3384" i="2"/>
  <c r="H3383" i="2"/>
  <c r="F3383" i="2"/>
  <c r="H3382" i="2"/>
  <c r="F3382" i="2"/>
  <c r="H3381" i="2"/>
  <c r="F3381" i="2"/>
  <c r="H3380" i="2"/>
  <c r="F3380" i="2"/>
  <c r="H3379" i="2"/>
  <c r="F3379" i="2"/>
  <c r="H3378" i="2"/>
  <c r="F3378" i="2"/>
  <c r="H3377" i="2"/>
  <c r="F3377" i="2"/>
  <c r="H3376" i="2"/>
  <c r="F3376" i="2"/>
  <c r="H3373" i="2"/>
  <c r="F3373" i="2"/>
  <c r="H3372" i="2"/>
  <c r="F3372" i="2"/>
  <c r="H3370" i="2"/>
  <c r="F3370" i="2"/>
  <c r="H3369" i="2"/>
  <c r="F3369" i="2"/>
  <c r="H3368" i="2"/>
  <c r="F3368" i="2"/>
  <c r="H3365" i="2"/>
  <c r="F3365" i="2"/>
  <c r="H3363" i="2"/>
  <c r="F3363" i="2"/>
  <c r="H3362" i="2"/>
  <c r="F3362" i="2"/>
  <c r="H3360" i="2"/>
  <c r="F3360" i="2"/>
  <c r="H3359" i="2"/>
  <c r="F3359" i="2"/>
  <c r="H3358" i="2"/>
  <c r="F3358" i="2"/>
  <c r="H3355" i="2"/>
  <c r="F3355" i="2"/>
  <c r="H3353" i="2"/>
  <c r="F3353" i="2"/>
  <c r="H3352" i="2"/>
  <c r="F3352" i="2"/>
  <c r="H3350" i="2"/>
  <c r="F3350" i="2"/>
  <c r="H3349" i="2"/>
  <c r="F3349" i="2"/>
  <c r="F3348" i="2"/>
  <c r="H3346" i="2"/>
  <c r="F3346" i="2"/>
  <c r="H3345" i="2"/>
  <c r="F3345" i="2"/>
  <c r="H3344" i="2"/>
  <c r="F3344" i="2"/>
  <c r="H3343" i="2"/>
  <c r="F3343" i="2"/>
  <c r="H3342" i="2"/>
  <c r="F3342" i="2"/>
  <c r="H3341" i="2"/>
  <c r="F3341" i="2"/>
  <c r="H3340" i="2"/>
  <c r="F3340" i="2"/>
  <c r="H3339" i="2"/>
  <c r="F3339" i="2"/>
  <c r="H3338" i="2"/>
  <c r="F3338" i="2"/>
  <c r="H3337" i="2"/>
  <c r="F3337" i="2"/>
  <c r="H3336" i="2"/>
  <c r="F3336" i="2"/>
  <c r="H3335" i="2"/>
  <c r="F3335" i="2"/>
  <c r="H3334" i="2"/>
  <c r="F3334" i="2"/>
  <c r="H3333" i="2"/>
  <c r="F3333" i="2"/>
  <c r="H3330" i="2"/>
  <c r="F3330" i="2"/>
  <c r="H3329" i="2"/>
  <c r="F3329" i="2"/>
  <c r="H3328" i="2"/>
  <c r="F3328" i="2"/>
  <c r="H3327" i="2"/>
  <c r="F3327" i="2"/>
  <c r="H3326" i="2"/>
  <c r="F3326" i="2"/>
  <c r="H3325" i="2"/>
  <c r="F3325" i="2"/>
  <c r="H3324" i="2"/>
  <c r="F3324" i="2"/>
  <c r="H3323" i="2"/>
  <c r="F3323" i="2"/>
  <c r="H3322" i="2"/>
  <c r="F3322" i="2"/>
  <c r="H3321" i="2"/>
  <c r="F3321" i="2"/>
  <c r="H3320" i="2"/>
  <c r="F3320" i="2"/>
  <c r="H3319" i="2"/>
  <c r="F3319" i="2"/>
  <c r="H3318" i="2"/>
  <c r="F3318" i="2"/>
  <c r="H3317" i="2"/>
  <c r="F3317" i="2"/>
  <c r="F3313" i="2"/>
  <c r="F3312" i="2"/>
  <c r="F3311" i="2"/>
  <c r="F3309" i="2"/>
  <c r="F3306" i="2"/>
  <c r="F3305" i="2"/>
  <c r="F3303" i="2"/>
  <c r="F3302" i="2"/>
  <c r="H3301" i="2"/>
  <c r="F3301" i="2"/>
  <c r="F3299" i="2"/>
  <c r="F3298" i="2"/>
  <c r="F3296" i="2"/>
  <c r="F3295" i="2"/>
  <c r="F3294" i="2"/>
  <c r="F3293" i="2"/>
  <c r="F3292" i="2"/>
  <c r="F3291" i="2"/>
  <c r="F3290" i="2"/>
  <c r="F3289" i="2"/>
  <c r="F3288" i="2"/>
  <c r="F3287" i="2"/>
  <c r="F3286" i="2"/>
  <c r="H3284" i="2"/>
  <c r="F3284" i="2"/>
  <c r="H3283" i="2"/>
  <c r="F3283" i="2"/>
  <c r="H3282" i="2"/>
  <c r="F3282" i="2"/>
  <c r="F3281" i="2"/>
  <c r="F3280" i="2"/>
  <c r="F3278" i="2"/>
  <c r="D3277" i="2"/>
  <c r="F3277" i="2" s="1"/>
  <c r="D3276" i="2"/>
  <c r="F3276" i="2" s="1"/>
  <c r="D3275" i="2"/>
  <c r="F3275" i="2" s="1"/>
  <c r="D3274" i="2"/>
  <c r="F3274" i="2" s="1"/>
  <c r="D3273" i="2"/>
  <c r="F3273" i="2" s="1"/>
  <c r="D3272" i="2"/>
  <c r="F3272" i="2" s="1"/>
  <c r="H3270" i="2"/>
  <c r="D3270" i="2"/>
  <c r="F3270" i="2" s="1"/>
  <c r="H3269" i="2"/>
  <c r="D3269" i="2"/>
  <c r="F3269" i="2" s="1"/>
  <c r="F3267" i="2"/>
  <c r="F3266" i="2"/>
  <c r="H3264" i="2"/>
  <c r="E3264" i="2"/>
  <c r="F3264" i="2" s="1"/>
  <c r="H3263" i="2"/>
  <c r="F3263" i="2"/>
  <c r="E3263" i="2"/>
  <c r="H3262" i="2"/>
  <c r="E3262" i="2"/>
  <c r="F3262" i="2" s="1"/>
  <c r="H3261" i="2"/>
  <c r="E3261" i="2"/>
  <c r="F3261" i="2" s="1"/>
  <c r="H3260" i="2"/>
  <c r="E3260" i="2"/>
  <c r="F3260" i="2" s="1"/>
  <c r="H3259" i="2"/>
  <c r="E3259" i="2"/>
  <c r="F3259" i="2" s="1"/>
  <c r="H3258" i="2"/>
  <c r="E3258" i="2"/>
  <c r="F3258" i="2" s="1"/>
  <c r="H3257" i="2"/>
  <c r="E3257" i="2"/>
  <c r="F3257" i="2" s="1"/>
  <c r="H3256" i="2"/>
  <c r="E3256" i="2"/>
  <c r="D3256" i="2"/>
  <c r="H3252" i="2"/>
  <c r="F3252" i="2"/>
  <c r="H3251" i="2"/>
  <c r="F3251" i="2"/>
  <c r="H3249" i="2"/>
  <c r="E3249" i="2"/>
  <c r="F3249" i="2" s="1"/>
  <c r="H3248" i="2"/>
  <c r="F3248" i="2"/>
  <c r="E3248" i="2"/>
  <c r="H3247" i="2"/>
  <c r="E3247" i="2"/>
  <c r="F3247" i="2" s="1"/>
  <c r="H3246" i="2"/>
  <c r="E3246" i="2"/>
  <c r="F3246" i="2" s="1"/>
  <c r="H3245" i="2"/>
  <c r="E3245" i="2"/>
  <c r="F3245" i="2" s="1"/>
  <c r="H3244" i="2"/>
  <c r="E3244" i="2"/>
  <c r="F3244" i="2" s="1"/>
  <c r="H3243" i="2"/>
  <c r="E3243" i="2"/>
  <c r="F3243" i="2" s="1"/>
  <c r="H3242" i="2"/>
  <c r="E3242" i="2"/>
  <c r="F3242" i="2" s="1"/>
  <c r="H3241" i="2"/>
  <c r="E3241" i="2"/>
  <c r="F3241" i="2" s="1"/>
  <c r="H3240" i="2"/>
  <c r="E3240" i="2"/>
  <c r="F3240" i="2" s="1"/>
  <c r="H3238" i="2"/>
  <c r="E3238" i="2"/>
  <c r="D3238" i="2"/>
  <c r="F3238" i="2" s="1"/>
  <c r="H3236" i="2"/>
  <c r="E3236" i="2"/>
  <c r="F3236" i="2" s="1"/>
  <c r="H3235" i="2"/>
  <c r="E3235" i="2"/>
  <c r="F3235" i="2" s="1"/>
  <c r="H3233" i="2"/>
  <c r="E3233" i="2"/>
  <c r="F3233" i="2" s="1"/>
  <c r="H3232" i="2"/>
  <c r="F3232" i="2"/>
  <c r="E3232" i="2"/>
  <c r="F3229" i="2"/>
  <c r="F3228" i="2"/>
  <c r="F3227" i="2"/>
  <c r="F3226" i="2"/>
  <c r="F3225" i="2"/>
  <c r="F3224" i="2"/>
  <c r="F3223" i="2"/>
  <c r="F3222" i="2"/>
  <c r="F3221" i="2"/>
  <c r="F3219" i="2"/>
  <c r="F3218" i="2"/>
  <c r="F3217" i="2"/>
  <c r="F3216" i="2"/>
  <c r="F3215" i="2"/>
  <c r="F3213" i="2"/>
  <c r="F3212" i="2"/>
  <c r="H3211" i="2"/>
  <c r="F3211" i="2"/>
  <c r="H3210" i="2"/>
  <c r="F3210" i="2"/>
  <c r="H3209" i="2"/>
  <c r="F3209" i="2"/>
  <c r="H3208" i="2"/>
  <c r="F3208" i="2"/>
  <c r="H3207" i="2"/>
  <c r="F3207" i="2"/>
  <c r="F3205" i="2"/>
  <c r="F3203" i="2"/>
  <c r="F3202" i="2"/>
  <c r="H3200" i="2"/>
  <c r="F3200" i="2"/>
  <c r="H3198" i="2"/>
  <c r="F3198" i="2"/>
  <c r="F3196" i="2"/>
  <c r="F3195" i="2"/>
  <c r="F3194" i="2"/>
  <c r="F3193" i="2"/>
  <c r="F3191" i="2"/>
  <c r="F3190" i="2"/>
  <c r="F3189" i="2"/>
  <c r="F3188" i="2"/>
  <c r="F3187" i="2"/>
  <c r="H3178" i="2"/>
  <c r="H3177" i="2"/>
  <c r="H3176" i="2"/>
  <c r="H3175" i="2"/>
  <c r="H3174" i="2"/>
  <c r="H3172" i="2"/>
  <c r="H3171" i="2"/>
  <c r="H3170" i="2"/>
  <c r="F2946" i="2"/>
  <c r="F2945" i="2"/>
  <c r="F2943" i="2"/>
  <c r="F2939" i="2"/>
  <c r="F2938" i="2"/>
  <c r="F2937" i="2"/>
  <c r="F2928" i="2"/>
  <c r="F2927" i="2"/>
  <c r="F2925" i="2"/>
  <c r="F2913" i="2"/>
  <c r="F2904" i="2"/>
  <c r="F2902" i="2"/>
  <c r="F2901" i="2"/>
  <c r="F2889" i="2"/>
  <c r="F2877" i="2"/>
  <c r="F2870" i="2"/>
  <c r="F2869" i="2"/>
  <c r="F2857" i="2"/>
  <c r="F2845" i="2"/>
  <c r="H2763" i="2"/>
  <c r="H2759" i="2"/>
  <c r="H2758" i="2"/>
  <c r="H2757" i="2"/>
  <c r="H2753" i="2"/>
  <c r="H2752" i="2"/>
  <c r="H2751" i="2"/>
  <c r="H2747" i="2"/>
  <c r="H2746" i="2"/>
  <c r="H2742" i="2"/>
  <c r="H2741" i="2"/>
  <c r="H2740" i="2"/>
  <c r="H2739" i="2"/>
  <c r="H2734" i="2"/>
  <c r="H2730" i="2"/>
  <c r="H2729" i="2"/>
  <c r="H2728" i="2"/>
  <c r="H2724" i="2"/>
  <c r="H2723" i="2"/>
  <c r="H2722" i="2"/>
  <c r="H2721" i="2"/>
  <c r="H2720" i="2"/>
  <c r="H2716" i="2"/>
  <c r="H2715" i="2"/>
  <c r="H2710" i="2"/>
  <c r="H2709" i="2"/>
  <c r="H2708" i="2"/>
  <c r="H2707" i="2"/>
  <c r="H2706" i="2"/>
  <c r="H2705" i="2"/>
  <c r="H2704" i="2"/>
  <c r="F2538" i="2"/>
  <c r="I2536" i="2"/>
  <c r="H2536" i="2"/>
  <c r="E2536" i="2"/>
  <c r="I2530" i="2"/>
  <c r="H2530" i="2"/>
  <c r="F2175" i="2"/>
  <c r="F2169" i="2"/>
  <c r="F2163" i="2"/>
  <c r="F2155" i="2"/>
  <c r="F1972" i="2"/>
  <c r="F1958" i="2"/>
  <c r="F1957" i="2"/>
  <c r="F1948" i="2"/>
  <c r="F1944" i="2"/>
  <c r="F1936" i="2"/>
  <c r="F1933" i="2"/>
  <c r="F1928" i="2"/>
  <c r="F1927" i="2"/>
  <c r="F1926" i="2"/>
  <c r="F1925" i="2"/>
  <c r="F1923" i="2"/>
  <c r="F1921" i="2"/>
  <c r="F1893" i="2"/>
  <c r="F1890" i="2"/>
  <c r="F1874" i="2"/>
  <c r="F1871" i="2"/>
  <c r="F1864" i="2"/>
  <c r="F1863" i="2"/>
  <c r="F1837" i="2"/>
  <c r="F1825" i="2"/>
  <c r="F1811" i="2"/>
  <c r="F1795" i="2"/>
  <c r="F1786" i="2"/>
  <c r="F1784" i="2"/>
  <c r="F1757" i="2"/>
  <c r="F1750" i="2"/>
  <c r="F1744" i="2"/>
  <c r="F1710" i="2"/>
  <c r="F1707" i="2"/>
  <c r="F1698" i="2"/>
  <c r="F1697" i="2"/>
  <c r="F1694" i="2"/>
  <c r="F1689" i="2"/>
  <c r="F1684" i="2"/>
  <c r="F1674" i="2"/>
  <c r="F1662" i="2"/>
  <c r="F1658" i="2"/>
  <c r="F1637" i="2"/>
  <c r="F1636" i="2"/>
  <c r="F1549" i="2"/>
  <c r="F1546" i="2"/>
  <c r="F1541" i="2"/>
  <c r="F1536" i="2"/>
  <c r="F1531" i="2"/>
  <c r="F1524" i="2"/>
  <c r="F1518" i="2"/>
  <c r="F1517" i="2"/>
  <c r="F1513" i="2"/>
  <c r="F1510" i="2"/>
  <c r="F1503" i="2"/>
  <c r="F1496" i="2"/>
  <c r="E1495" i="2"/>
  <c r="F1495" i="2" s="1"/>
  <c r="F1494" i="2"/>
  <c r="F1492" i="2"/>
  <c r="F1485" i="2"/>
  <c r="F1481" i="2"/>
  <c r="F1423" i="2"/>
  <c r="F1420" i="2"/>
  <c r="F1416" i="2"/>
  <c r="F1411" i="2"/>
  <c r="F1409" i="2"/>
  <c r="F1405" i="2"/>
  <c r="F1401" i="2"/>
  <c r="F1397" i="2"/>
  <c r="F1247" i="2"/>
  <c r="F1241" i="2"/>
  <c r="F1234" i="2"/>
  <c r="F1218" i="2"/>
  <c r="F1217" i="2"/>
  <c r="F934" i="2"/>
  <c r="F933" i="2"/>
  <c r="F906" i="2"/>
  <c r="F905" i="2"/>
  <c r="F893" i="2"/>
  <c r="F874" i="2"/>
  <c r="F873" i="2"/>
  <c r="F864" i="2"/>
  <c r="E863" i="2"/>
  <c r="E862" i="2"/>
  <c r="E872" i="2" s="1"/>
  <c r="E861" i="2"/>
  <c r="E871" i="2" s="1"/>
  <c r="E860" i="2"/>
  <c r="E870" i="2" s="1"/>
  <c r="E859" i="2"/>
  <c r="E869" i="2" s="1"/>
  <c r="E858" i="2"/>
  <c r="E868" i="2" s="1"/>
  <c r="E857" i="2"/>
  <c r="E867" i="2" s="1"/>
  <c r="E856" i="2"/>
  <c r="E866" i="2" s="1"/>
  <c r="E855" i="2"/>
  <c r="E865" i="2" s="1"/>
  <c r="F854" i="2"/>
  <c r="F853" i="2"/>
  <c r="E829" i="2"/>
  <c r="E828" i="2"/>
  <c r="E827" i="2"/>
  <c r="E826" i="2"/>
  <c r="E825" i="2"/>
  <c r="E824" i="2"/>
  <c r="E823" i="2"/>
  <c r="E822" i="2"/>
  <c r="E821" i="2"/>
  <c r="E761" i="2"/>
  <c r="E760" i="2"/>
  <c r="E759" i="2"/>
  <c r="E758" i="2"/>
  <c r="F757" i="2"/>
  <c r="F742" i="2"/>
  <c r="F741" i="2"/>
  <c r="E678" i="2"/>
  <c r="E677" i="2"/>
  <c r="E675" i="2"/>
  <c r="E689" i="2" s="1"/>
  <c r="E674" i="2"/>
  <c r="E688" i="2" s="1"/>
  <c r="E673" i="2"/>
  <c r="E687" i="2" s="1"/>
  <c r="E672" i="2"/>
  <c r="E686" i="2" s="1"/>
  <c r="E671" i="2"/>
  <c r="E685" i="2" s="1"/>
  <c r="E670" i="2"/>
  <c r="E684" i="2" s="1"/>
  <c r="E669" i="2"/>
  <c r="E683" i="2" s="1"/>
  <c r="E668" i="2"/>
  <c r="E682" i="2" s="1"/>
  <c r="E667" i="2"/>
  <c r="E681" i="2" s="1"/>
  <c r="E666" i="2"/>
  <c r="E680" i="2" s="1"/>
  <c r="E665" i="2"/>
  <c r="E679" i="2" s="1"/>
  <c r="F556" i="2"/>
  <c r="F555" i="2"/>
  <c r="F545" i="2"/>
  <c r="F448" i="2"/>
  <c r="F444" i="2"/>
  <c r="F442" i="2"/>
  <c r="F441" i="2"/>
  <c r="F440" i="2"/>
  <c r="F433" i="2"/>
  <c r="F427" i="2"/>
  <c r="F375" i="2"/>
  <c r="F371" i="2"/>
  <c r="F360" i="2"/>
  <c r="F356" i="2"/>
  <c r="F355" i="2"/>
  <c r="F352" i="2"/>
  <c r="F348" i="2"/>
  <c r="F347" i="2"/>
  <c r="F336" i="2"/>
  <c r="F321" i="2"/>
  <c r="F231" i="2"/>
  <c r="F230" i="2"/>
  <c r="F217" i="2"/>
  <c r="F198" i="2"/>
  <c r="F190" i="2"/>
  <c r="F181" i="2"/>
  <c r="F159" i="2"/>
  <c r="F150" i="2"/>
  <c r="F137" i="2"/>
  <c r="E2190" i="1" l="1"/>
  <c r="F2190" i="1" s="1"/>
  <c r="E3196" i="1"/>
  <c r="F3196" i="1" s="1"/>
  <c r="E3318" i="1"/>
  <c r="F3318" i="1" s="1"/>
  <c r="E3085" i="1"/>
  <c r="F3085" i="1" s="1"/>
  <c r="E2631" i="1"/>
  <c r="F2631" i="1" s="1"/>
  <c r="E2187" i="1"/>
  <c r="F2187" i="1" s="1"/>
  <c r="E1847" i="1"/>
  <c r="F1847" i="1" s="1"/>
  <c r="E1844" i="1"/>
  <c r="F1844" i="1" s="1"/>
  <c r="E3315" i="1"/>
  <c r="F3315" i="1" s="1"/>
  <c r="E3082" i="1"/>
  <c r="F3082" i="1" s="1"/>
  <c r="E2628" i="1"/>
  <c r="F2628" i="1" s="1"/>
  <c r="E3199" i="1"/>
  <c r="F3199" i="1" s="1"/>
  <c r="E1197" i="1"/>
  <c r="F1197" i="1" s="1"/>
  <c r="O3198" i="1"/>
  <c r="O2189" i="1"/>
  <c r="O1846" i="1"/>
  <c r="O3317" i="1"/>
  <c r="O3084" i="1"/>
  <c r="O2630" i="1"/>
  <c r="E713" i="1"/>
  <c r="F713" i="1" s="1"/>
  <c r="E3198" i="1"/>
  <c r="F3198" i="1" s="1"/>
  <c r="E1846" i="1"/>
  <c r="F1846" i="1" s="1"/>
  <c r="E3317" i="1"/>
  <c r="F3317" i="1" s="1"/>
  <c r="E3084" i="1"/>
  <c r="F3084" i="1" s="1"/>
  <c r="E2630" i="1"/>
  <c r="F2630" i="1" s="1"/>
  <c r="E2189" i="1"/>
  <c r="F2189" i="1" s="1"/>
  <c r="O1543" i="1"/>
  <c r="Q1543" i="1" s="1"/>
  <c r="E709" i="1"/>
  <c r="F709" i="1" s="1"/>
  <c r="E1121" i="1"/>
  <c r="F1121" i="1" s="1"/>
  <c r="E1484" i="1"/>
  <c r="F1484" i="1" s="1"/>
  <c r="E1200" i="1"/>
  <c r="F1200" i="1" s="1"/>
  <c r="E1546" i="1"/>
  <c r="F1546" i="1" s="1"/>
  <c r="E710" i="1"/>
  <c r="F710" i="1" s="1"/>
  <c r="E46" i="1"/>
  <c r="F46" i="1" s="1"/>
  <c r="O1197" i="1"/>
  <c r="Q1197" i="1" s="1"/>
  <c r="E1541" i="1"/>
  <c r="F1541" i="1" s="1"/>
  <c r="F3256" i="2"/>
  <c r="O46" i="1"/>
  <c r="Q46" i="1" s="1"/>
  <c r="E335" i="1"/>
  <c r="F335" i="1" s="1"/>
  <c r="O337" i="1"/>
  <c r="Q337" i="1" s="1"/>
  <c r="E1198" i="1"/>
  <c r="F1198" i="1" s="1"/>
  <c r="E1544" i="1"/>
  <c r="F1544" i="1" s="1"/>
  <c r="E1122" i="1"/>
  <c r="F1122" i="1" s="1"/>
  <c r="E337" i="1"/>
  <c r="F337" i="1" s="1"/>
  <c r="E1195" i="1"/>
  <c r="F1195" i="1" s="1"/>
  <c r="E49" i="1"/>
  <c r="F49" i="1" s="1"/>
  <c r="E712" i="1"/>
  <c r="F712" i="1" s="1"/>
  <c r="E1119" i="1"/>
  <c r="F1119" i="1" s="1"/>
  <c r="O1121" i="1"/>
  <c r="Q1121" i="1" s="1"/>
  <c r="E1482" i="1"/>
  <c r="F1482" i="1" s="1"/>
  <c r="O1484" i="1"/>
  <c r="Q1484" i="1" s="1"/>
  <c r="E1485" i="1"/>
  <c r="F1485" i="1" s="1"/>
  <c r="E3201" i="1"/>
  <c r="F3201" i="1" s="1"/>
  <c r="E3314" i="1"/>
  <c r="F3314" i="1" s="1"/>
  <c r="E3081" i="1"/>
  <c r="F3081" i="1" s="1"/>
  <c r="E1849" i="1"/>
  <c r="F1849" i="1" s="1"/>
  <c r="E3320" i="1"/>
  <c r="F3320" i="1" s="1"/>
  <c r="E3087" i="1"/>
  <c r="F3087" i="1" s="1"/>
  <c r="E2633" i="1"/>
  <c r="F2633" i="1" s="1"/>
  <c r="E2192" i="1"/>
  <c r="F2192" i="1" s="1"/>
  <c r="E2627" i="1"/>
  <c r="F2627" i="1" s="1"/>
  <c r="E2186" i="1"/>
  <c r="F2186" i="1" s="1"/>
  <c r="E3195" i="1"/>
  <c r="F3195" i="1" s="1"/>
  <c r="E1843" i="1"/>
  <c r="F1843" i="1" s="1"/>
  <c r="F4791" i="2"/>
  <c r="E47" i="1"/>
  <c r="F47" i="1" s="1"/>
  <c r="E338" i="1"/>
  <c r="F338" i="1" s="1"/>
  <c r="E1124" i="1"/>
  <c r="F1124" i="1" s="1"/>
  <c r="E1487" i="1"/>
  <c r="F1487" i="1" s="1"/>
  <c r="E1194" i="1"/>
  <c r="F1194" i="1" s="1"/>
  <c r="E1540" i="1"/>
  <c r="F1540" i="1" s="1"/>
  <c r="N1541" i="1"/>
  <c r="N1195" i="1"/>
  <c r="Q1536" i="1"/>
  <c r="N1488" i="1"/>
  <c r="P1488" i="1"/>
  <c r="P1425" i="1"/>
  <c r="P1363" i="1"/>
  <c r="P1324" i="1"/>
  <c r="P1286" i="1"/>
  <c r="N1539" i="1"/>
  <c r="P1540" i="1"/>
  <c r="P1253" i="1"/>
  <c r="P1176" i="1"/>
  <c r="N1536" i="1"/>
  <c r="N1542" i="1"/>
  <c r="Q1538" i="1"/>
  <c r="Q1542" i="1"/>
  <c r="N1535" i="1"/>
  <c r="P1535" i="1"/>
  <c r="P1538" i="1"/>
  <c r="Q1477" i="1"/>
  <c r="Q1539" i="1"/>
  <c r="Q1541" i="1"/>
  <c r="Q1544" i="1"/>
  <c r="P1545" i="1"/>
  <c r="N1546" i="1"/>
  <c r="N1544" i="1"/>
  <c r="Q1545" i="1"/>
  <c r="Q1479" i="1"/>
  <c r="Q1220" i="1"/>
  <c r="P1537" i="1"/>
  <c r="Q1540" i="1"/>
  <c r="P1543" i="1"/>
  <c r="P1546" i="1"/>
  <c r="N1220" i="1"/>
  <c r="P1190" i="1"/>
  <c r="Q1192" i="1"/>
  <c r="P1222" i="1"/>
  <c r="P1479" i="1"/>
  <c r="N1482" i="1"/>
  <c r="Q1190" i="1"/>
  <c r="Q1222" i="1"/>
  <c r="P1223" i="1"/>
  <c r="N1196" i="1"/>
  <c r="N1201" i="1"/>
  <c r="P1196" i="1"/>
  <c r="P1201" i="1"/>
  <c r="N1477" i="1"/>
  <c r="Q1481" i="1"/>
  <c r="N1483" i="1"/>
  <c r="Q1486" i="1"/>
  <c r="Q1193" i="1"/>
  <c r="Q1195" i="1"/>
  <c r="Q1198" i="1"/>
  <c r="P1199" i="1"/>
  <c r="N1200" i="1"/>
  <c r="N1480" i="1"/>
  <c r="P1192" i="1"/>
  <c r="N1193" i="1"/>
  <c r="P1194" i="1"/>
  <c r="N1198" i="1"/>
  <c r="Q1199" i="1"/>
  <c r="P1483" i="1"/>
  <c r="P1191" i="1"/>
  <c r="Q1194" i="1"/>
  <c r="P1197" i="1"/>
  <c r="P1200" i="1"/>
  <c r="N1119" i="1"/>
  <c r="P1481" i="1"/>
  <c r="Q1480" i="1"/>
  <c r="Q1482" i="1"/>
  <c r="Q1485" i="1"/>
  <c r="P1486" i="1"/>
  <c r="N1487" i="1"/>
  <c r="N1485" i="1"/>
  <c r="Q1114" i="1"/>
  <c r="Q1144" i="1"/>
  <c r="P1478" i="1"/>
  <c r="P1484" i="1"/>
  <c r="P1487" i="1"/>
  <c r="N1114" i="1"/>
  <c r="N1144" i="1"/>
  <c r="P1118" i="1"/>
  <c r="P1146" i="1"/>
  <c r="Q1146" i="1"/>
  <c r="P1147" i="1"/>
  <c r="Q1116" i="1"/>
  <c r="N1120" i="1"/>
  <c r="N1125" i="1"/>
  <c r="Q735" i="1"/>
  <c r="P1120" i="1"/>
  <c r="P1125" i="1"/>
  <c r="P1116" i="1"/>
  <c r="Q1117" i="1"/>
  <c r="Q1119" i="1"/>
  <c r="Q1122" i="1"/>
  <c r="P1123" i="1"/>
  <c r="N1124" i="1"/>
  <c r="N1117" i="1"/>
  <c r="N1122" i="1"/>
  <c r="Q1123" i="1"/>
  <c r="P1115" i="1"/>
  <c r="Q1118" i="1"/>
  <c r="P1121" i="1"/>
  <c r="P1124" i="1"/>
  <c r="P1100" i="1"/>
  <c r="P1050" i="1"/>
  <c r="P707" i="1"/>
  <c r="Q709" i="1"/>
  <c r="N735" i="1"/>
  <c r="P737" i="1"/>
  <c r="N711" i="1"/>
  <c r="Q737" i="1"/>
  <c r="P738" i="1"/>
  <c r="N710" i="1"/>
  <c r="Q705" i="1"/>
  <c r="Q707" i="1"/>
  <c r="P709" i="1"/>
  <c r="Q711" i="1"/>
  <c r="N704" i="1"/>
  <c r="N705" i="1"/>
  <c r="P704" i="1"/>
  <c r="Q330" i="1"/>
  <c r="Q708" i="1"/>
  <c r="Q710" i="1"/>
  <c r="Q713" i="1"/>
  <c r="P714" i="1"/>
  <c r="N715" i="1"/>
  <c r="N708" i="1"/>
  <c r="N713" i="1"/>
  <c r="Q714" i="1"/>
  <c r="P706" i="1"/>
  <c r="P712" i="1"/>
  <c r="P715" i="1"/>
  <c r="Q367" i="1"/>
  <c r="N44" i="1"/>
  <c r="Q332" i="1"/>
  <c r="P334" i="1"/>
  <c r="P691" i="1"/>
  <c r="N330" i="1"/>
  <c r="N336" i="1"/>
  <c r="N335" i="1"/>
  <c r="N367" i="1"/>
  <c r="P336" i="1"/>
  <c r="P332" i="1"/>
  <c r="P341" i="1"/>
  <c r="P369" i="1"/>
  <c r="Q369" i="1"/>
  <c r="P370" i="1"/>
  <c r="P331" i="1"/>
  <c r="Q334" i="1"/>
  <c r="N339" i="1"/>
  <c r="P340" i="1"/>
  <c r="N341" i="1"/>
  <c r="Q331" i="1"/>
  <c r="P333" i="1"/>
  <c r="P335" i="1"/>
  <c r="P338" i="1"/>
  <c r="Q340" i="1"/>
  <c r="Q333" i="1"/>
  <c r="Q338" i="1"/>
  <c r="P339" i="1"/>
  <c r="N39" i="1"/>
  <c r="N66" i="1"/>
  <c r="P43" i="1"/>
  <c r="P68" i="1"/>
  <c r="Q41" i="1"/>
  <c r="Q39" i="1"/>
  <c r="P66" i="1"/>
  <c r="Q68" i="1"/>
  <c r="P69" i="1"/>
  <c r="N45" i="1"/>
  <c r="N38" i="1"/>
  <c r="P38" i="1"/>
  <c r="P45" i="1"/>
  <c r="P41" i="1"/>
  <c r="P40" i="1"/>
  <c r="Q42" i="1"/>
  <c r="Q44" i="1"/>
  <c r="Q47" i="1"/>
  <c r="P48" i="1"/>
  <c r="N49" i="1"/>
  <c r="N42" i="1"/>
  <c r="N47" i="1"/>
  <c r="Q48" i="1"/>
  <c r="Q43" i="1"/>
  <c r="P49" i="1"/>
  <c r="F4790" i="2"/>
  <c r="C4575" i="2"/>
  <c r="C4571" i="2"/>
  <c r="C4572" i="2"/>
  <c r="P46" i="1" l="1"/>
  <c r="P337" i="1"/>
  <c r="Q3198" i="1"/>
  <c r="P3198" i="1"/>
  <c r="Q2189" i="1"/>
  <c r="P2189" i="1"/>
  <c r="P2630" i="1"/>
  <c r="Q2630" i="1"/>
  <c r="Q1846" i="1"/>
  <c r="P1846" i="1"/>
  <c r="P3084" i="1"/>
  <c r="Q3084" i="1"/>
  <c r="Q3317" i="1"/>
  <c r="P3317" i="1"/>
  <c r="C4570" i="2"/>
  <c r="M743" i="1" l="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O757" i="1"/>
  <c r="N757" i="1" s="1"/>
  <c r="P757" i="1" l="1"/>
  <c r="Q757" i="1"/>
  <c r="O3243" i="1"/>
  <c r="P3243" i="1" s="1"/>
  <c r="M3243" i="1"/>
  <c r="O3242" i="1"/>
  <c r="Q3242" i="1" s="1"/>
  <c r="M3242" i="1"/>
  <c r="C3242" i="1"/>
  <c r="Q3243" i="1" l="1"/>
  <c r="N3243" i="1"/>
  <c r="P3242" i="1"/>
  <c r="M3400" i="1" l="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O3445" i="1" l="1"/>
  <c r="S3445" i="1" s="1"/>
  <c r="O3444" i="1"/>
  <c r="Q3444" i="1" s="1"/>
  <c r="E3444" i="1"/>
  <c r="F3444" i="1" s="1"/>
  <c r="C3444" i="1"/>
  <c r="O3443" i="1"/>
  <c r="S3443" i="1" s="1"/>
  <c r="C3443" i="1"/>
  <c r="O3442" i="1"/>
  <c r="Q3442" i="1" s="1"/>
  <c r="C3442" i="1"/>
  <c r="O3441" i="1"/>
  <c r="S3441" i="1" s="1"/>
  <c r="C3441" i="1"/>
  <c r="O3440" i="1"/>
  <c r="P3440" i="1" s="1"/>
  <c r="M3352" i="1"/>
  <c r="M3353" i="1"/>
  <c r="M3354" i="1"/>
  <c r="M3355" i="1"/>
  <c r="M3356" i="1"/>
  <c r="M3357" i="1"/>
  <c r="M3358" i="1"/>
  <c r="M3359" i="1"/>
  <c r="M3360" i="1"/>
  <c r="M3361" i="1"/>
  <c r="M3362" i="1"/>
  <c r="M3363" i="1"/>
  <c r="M3364" i="1"/>
  <c r="M3365" i="1"/>
  <c r="M3366" i="1"/>
  <c r="M3367" i="1"/>
  <c r="M3368" i="1"/>
  <c r="M3369" i="1"/>
  <c r="M3370" i="1"/>
  <c r="M3371" i="1"/>
  <c r="M3372" i="1"/>
  <c r="M3373" i="1"/>
  <c r="M3375" i="1"/>
  <c r="M3376" i="1"/>
  <c r="M3377" i="1"/>
  <c r="M3378" i="1"/>
  <c r="M3379" i="1"/>
  <c r="M3380" i="1"/>
  <c r="M3381" i="1"/>
  <c r="M3382" i="1"/>
  <c r="M3383" i="1"/>
  <c r="M3384" i="1"/>
  <c r="M3385" i="1"/>
  <c r="M3386" i="1"/>
  <c r="M3387" i="1"/>
  <c r="M3388" i="1"/>
  <c r="M3389" i="1"/>
  <c r="M3390" i="1"/>
  <c r="M3391" i="1"/>
  <c r="M3392" i="1"/>
  <c r="M3393" i="1"/>
  <c r="M3394" i="1"/>
  <c r="M3395" i="1"/>
  <c r="M3396" i="1"/>
  <c r="O3384" i="1"/>
  <c r="S3384" i="1" s="1"/>
  <c r="O3383" i="1"/>
  <c r="Q3383" i="1" s="1"/>
  <c r="E3383" i="1"/>
  <c r="F3383" i="1" s="1"/>
  <c r="C3383" i="1"/>
  <c r="O3382" i="1"/>
  <c r="S3382" i="1" s="1"/>
  <c r="C3382" i="1"/>
  <c r="O3381" i="1"/>
  <c r="Q3381" i="1" s="1"/>
  <c r="C3381" i="1"/>
  <c r="O3380" i="1"/>
  <c r="S3380" i="1" s="1"/>
  <c r="C3380" i="1"/>
  <c r="O3379" i="1"/>
  <c r="S3379" i="1" s="1"/>
  <c r="O3366" i="1"/>
  <c r="Q3366" i="1" s="1"/>
  <c r="O3288" i="1"/>
  <c r="Q3288" i="1" s="1"/>
  <c r="M3288" i="1"/>
  <c r="O3335" i="1"/>
  <c r="Q3335" i="1" s="1"/>
  <c r="M3335" i="1"/>
  <c r="O3334" i="1"/>
  <c r="Q3334" i="1" s="1"/>
  <c r="M3334" i="1"/>
  <c r="E3334" i="1"/>
  <c r="F3334" i="1" s="1"/>
  <c r="C3334" i="1"/>
  <c r="O3333" i="1"/>
  <c r="S3333" i="1" s="1"/>
  <c r="M3333" i="1"/>
  <c r="C3333" i="1"/>
  <c r="O3332" i="1"/>
  <c r="Q3332" i="1" s="1"/>
  <c r="M3332" i="1"/>
  <c r="C3332" i="1"/>
  <c r="O3331" i="1"/>
  <c r="S3331" i="1" s="1"/>
  <c r="M3331" i="1"/>
  <c r="C3331" i="1"/>
  <c r="O3330" i="1"/>
  <c r="Q3330" i="1" s="1"/>
  <c r="M3330" i="1"/>
  <c r="O3255" i="1"/>
  <c r="Q3255" i="1" s="1"/>
  <c r="M3255" i="1"/>
  <c r="O3254" i="1"/>
  <c r="Q3254" i="1" s="1"/>
  <c r="M3254" i="1"/>
  <c r="E3254" i="1"/>
  <c r="F3254" i="1" s="1"/>
  <c r="C3254" i="1"/>
  <c r="O3253" i="1"/>
  <c r="S3253" i="1" s="1"/>
  <c r="M3253" i="1"/>
  <c r="C3253" i="1"/>
  <c r="O3252" i="1"/>
  <c r="Q3252" i="1" s="1"/>
  <c r="M3252" i="1"/>
  <c r="C3252" i="1"/>
  <c r="O3251" i="1"/>
  <c r="S3251" i="1" s="1"/>
  <c r="M3251" i="1"/>
  <c r="C3251" i="1"/>
  <c r="O3250" i="1"/>
  <c r="Q3250" i="1" s="1"/>
  <c r="M3250" i="1"/>
  <c r="O3208" i="1"/>
  <c r="S3208" i="1" s="1"/>
  <c r="M3208" i="1"/>
  <c r="O3207" i="1"/>
  <c r="Q3207" i="1" s="1"/>
  <c r="M3207" i="1"/>
  <c r="E3207" i="1"/>
  <c r="F3207" i="1" s="1"/>
  <c r="C3207" i="1"/>
  <c r="O3206" i="1"/>
  <c r="S3206" i="1" s="1"/>
  <c r="M3206" i="1"/>
  <c r="C3206" i="1"/>
  <c r="O3205" i="1"/>
  <c r="Q3205" i="1" s="1"/>
  <c r="M3205" i="1"/>
  <c r="C3205" i="1"/>
  <c r="O3204" i="1"/>
  <c r="S3204" i="1" s="1"/>
  <c r="M3204" i="1"/>
  <c r="C3204" i="1"/>
  <c r="O3203" i="1"/>
  <c r="Q3203" i="1" s="1"/>
  <c r="M3203" i="1"/>
  <c r="O3168" i="1"/>
  <c r="Q3168" i="1" s="1"/>
  <c r="M3168" i="1"/>
  <c r="O3055" i="1"/>
  <c r="Q3055" i="1" s="1"/>
  <c r="M3055" i="1"/>
  <c r="O3102" i="1"/>
  <c r="S3102" i="1" s="1"/>
  <c r="M3102" i="1"/>
  <c r="O3101" i="1"/>
  <c r="Q3101" i="1" s="1"/>
  <c r="M3101" i="1"/>
  <c r="E3101" i="1"/>
  <c r="F3101" i="1" s="1"/>
  <c r="C3101" i="1"/>
  <c r="O3100" i="1"/>
  <c r="S3100" i="1" s="1"/>
  <c r="M3100" i="1"/>
  <c r="C3100" i="1"/>
  <c r="O3099" i="1"/>
  <c r="Q3099" i="1" s="1"/>
  <c r="M3099" i="1"/>
  <c r="C3099" i="1"/>
  <c r="O3098" i="1"/>
  <c r="S3098" i="1" s="1"/>
  <c r="M3098" i="1"/>
  <c r="C3098" i="1"/>
  <c r="O3097" i="1"/>
  <c r="P3097" i="1" s="1"/>
  <c r="M3097" i="1"/>
  <c r="O3022" i="1"/>
  <c r="P3022" i="1" s="1"/>
  <c r="M3022" i="1"/>
  <c r="O3021" i="1"/>
  <c r="Q3021" i="1" s="1"/>
  <c r="M3021" i="1"/>
  <c r="E3021" i="1"/>
  <c r="F3021" i="1" s="1"/>
  <c r="C3021" i="1"/>
  <c r="O3020" i="1"/>
  <c r="S3020" i="1" s="1"/>
  <c r="M3020" i="1"/>
  <c r="C3020" i="1"/>
  <c r="O3019" i="1"/>
  <c r="Q3019" i="1" s="1"/>
  <c r="M3019" i="1"/>
  <c r="C3019" i="1"/>
  <c r="O3018" i="1"/>
  <c r="S3018" i="1" s="1"/>
  <c r="M3018" i="1"/>
  <c r="C3018" i="1"/>
  <c r="O3017" i="1"/>
  <c r="P3017" i="1" s="1"/>
  <c r="M3017" i="1"/>
  <c r="O2975" i="1"/>
  <c r="Q2975" i="1" s="1"/>
  <c r="M2975" i="1"/>
  <c r="O2974" i="1"/>
  <c r="Q2974" i="1" s="1"/>
  <c r="M2974" i="1"/>
  <c r="E2974" i="1"/>
  <c r="F2974" i="1" s="1"/>
  <c r="C2974" i="1"/>
  <c r="O2973" i="1"/>
  <c r="S2973" i="1" s="1"/>
  <c r="M2973" i="1"/>
  <c r="C2973" i="1"/>
  <c r="O2972" i="1"/>
  <c r="Q2972" i="1" s="1"/>
  <c r="M2972" i="1"/>
  <c r="C2972" i="1"/>
  <c r="O2971" i="1"/>
  <c r="S2971" i="1" s="1"/>
  <c r="M2971" i="1"/>
  <c r="C2971" i="1"/>
  <c r="O2970" i="1"/>
  <c r="S2970" i="1" s="1"/>
  <c r="M2970" i="1"/>
  <c r="O2926" i="1"/>
  <c r="S2926" i="1" s="1"/>
  <c r="M2926" i="1"/>
  <c r="O2925" i="1"/>
  <c r="Q2925" i="1" s="1"/>
  <c r="M2925" i="1"/>
  <c r="E2925" i="1"/>
  <c r="F2925" i="1" s="1"/>
  <c r="C2925" i="1"/>
  <c r="O2924" i="1"/>
  <c r="S2924" i="1" s="1"/>
  <c r="M2924" i="1"/>
  <c r="C2924" i="1"/>
  <c r="O2923" i="1"/>
  <c r="Q2923" i="1" s="1"/>
  <c r="M2923" i="1"/>
  <c r="C2923" i="1"/>
  <c r="O2922" i="1"/>
  <c r="S2922" i="1" s="1"/>
  <c r="M2922" i="1"/>
  <c r="C2922" i="1"/>
  <c r="O2921" i="1"/>
  <c r="Q2921" i="1" s="1"/>
  <c r="M2921" i="1"/>
  <c r="O2920" i="1"/>
  <c r="S2920" i="1" s="1"/>
  <c r="M2920" i="1"/>
  <c r="O2919" i="1"/>
  <c r="S2919" i="1" s="1"/>
  <c r="M2919" i="1"/>
  <c r="E2919" i="1"/>
  <c r="F2919" i="1" s="1"/>
  <c r="C2919" i="1"/>
  <c r="O2918" i="1"/>
  <c r="Q2918" i="1" s="1"/>
  <c r="M2918" i="1"/>
  <c r="E2918" i="1"/>
  <c r="F2918" i="1" s="1"/>
  <c r="C2918" i="1"/>
  <c r="O2917" i="1"/>
  <c r="S2917" i="1" s="1"/>
  <c r="M2917" i="1"/>
  <c r="C2917" i="1"/>
  <c r="O2916" i="1"/>
  <c r="Q2916" i="1" s="1"/>
  <c r="M2916" i="1"/>
  <c r="O2915" i="1"/>
  <c r="P2915" i="1" s="1"/>
  <c r="M2915" i="1"/>
  <c r="C2915" i="1"/>
  <c r="O2914" i="1"/>
  <c r="S2914" i="1" s="1"/>
  <c r="M2914" i="1"/>
  <c r="O2913" i="1"/>
  <c r="Q2913" i="1" s="1"/>
  <c r="C2913" i="1"/>
  <c r="B2913" i="1"/>
  <c r="M2913" i="1" s="1"/>
  <c r="O2912" i="1"/>
  <c r="Q2912" i="1" s="1"/>
  <c r="M2912" i="1"/>
  <c r="O2911" i="1"/>
  <c r="S2911" i="1" s="1"/>
  <c r="C2911" i="1"/>
  <c r="B2911" i="1"/>
  <c r="M2911" i="1" s="1"/>
  <c r="O2910" i="1"/>
  <c r="P2910" i="1" s="1"/>
  <c r="M2910" i="1"/>
  <c r="O2791" i="1"/>
  <c r="S2791" i="1" s="1"/>
  <c r="M2791" i="1"/>
  <c r="O2790" i="1"/>
  <c r="Q2790" i="1" s="1"/>
  <c r="M2790" i="1"/>
  <c r="E2790" i="1"/>
  <c r="F2790" i="1" s="1"/>
  <c r="C2790" i="1"/>
  <c r="O2789" i="1"/>
  <c r="S2789" i="1" s="1"/>
  <c r="M2789" i="1"/>
  <c r="C2789" i="1"/>
  <c r="O2788" i="1"/>
  <c r="Q2788" i="1" s="1"/>
  <c r="M2788" i="1"/>
  <c r="C2788" i="1"/>
  <c r="O2787" i="1"/>
  <c r="S2787" i="1" s="1"/>
  <c r="M2787" i="1"/>
  <c r="C2787" i="1"/>
  <c r="O2786" i="1"/>
  <c r="P2786" i="1" s="1"/>
  <c r="M2786" i="1"/>
  <c r="O2799" i="1"/>
  <c r="Q2799" i="1" s="1"/>
  <c r="M2799" i="1"/>
  <c r="O2756" i="1"/>
  <c r="Q2756" i="1" s="1"/>
  <c r="M2756" i="1"/>
  <c r="F2756" i="1"/>
  <c r="O2727" i="1"/>
  <c r="Q2727" i="1" s="1"/>
  <c r="M2727" i="1"/>
  <c r="O2726" i="1"/>
  <c r="Q2726" i="1" s="1"/>
  <c r="M2726" i="1"/>
  <c r="E2726" i="1"/>
  <c r="F2726" i="1" s="1"/>
  <c r="C2726" i="1"/>
  <c r="O2725" i="1"/>
  <c r="S2725" i="1" s="1"/>
  <c r="M2725" i="1"/>
  <c r="C2725" i="1"/>
  <c r="O2724" i="1"/>
  <c r="Q2724" i="1" s="1"/>
  <c r="M2724" i="1"/>
  <c r="C2724" i="1"/>
  <c r="O2723" i="1"/>
  <c r="S2723" i="1" s="1"/>
  <c r="M2723" i="1"/>
  <c r="C2723" i="1"/>
  <c r="O2722" i="1"/>
  <c r="P2722" i="1" s="1"/>
  <c r="M2722" i="1"/>
  <c r="O2698" i="1"/>
  <c r="Q2698" i="1" s="1"/>
  <c r="M2698" i="1"/>
  <c r="O2648" i="1"/>
  <c r="S2648" i="1" s="1"/>
  <c r="M2648" i="1"/>
  <c r="O2647" i="1"/>
  <c r="Q2647" i="1" s="1"/>
  <c r="M2647" i="1"/>
  <c r="E2647" i="1"/>
  <c r="F2647" i="1" s="1"/>
  <c r="C2647" i="1"/>
  <c r="O2646" i="1"/>
  <c r="S2646" i="1" s="1"/>
  <c r="M2646" i="1"/>
  <c r="C2646" i="1"/>
  <c r="O2645" i="1"/>
  <c r="Q2645" i="1" s="1"/>
  <c r="M2645" i="1"/>
  <c r="C2645" i="1"/>
  <c r="O2644" i="1"/>
  <c r="S2644" i="1" s="1"/>
  <c r="M2644" i="1"/>
  <c r="C2644" i="1"/>
  <c r="O2643" i="1"/>
  <c r="P2643" i="1" s="1"/>
  <c r="M2643" i="1"/>
  <c r="O2600" i="1"/>
  <c r="P2600" i="1" s="1"/>
  <c r="M2600" i="1"/>
  <c r="O2567" i="1"/>
  <c r="P2567" i="1" s="1"/>
  <c r="M2567" i="1"/>
  <c r="O2566" i="1"/>
  <c r="Q2566" i="1" s="1"/>
  <c r="M2566" i="1"/>
  <c r="E2566" i="1"/>
  <c r="F2566" i="1" s="1"/>
  <c r="C2566" i="1"/>
  <c r="O2565" i="1"/>
  <c r="S2565" i="1" s="1"/>
  <c r="M2565" i="1"/>
  <c r="C2565" i="1"/>
  <c r="O2564" i="1"/>
  <c r="Q2564" i="1" s="1"/>
  <c r="M2564" i="1"/>
  <c r="C2564" i="1"/>
  <c r="O2563" i="1"/>
  <c r="S2563" i="1" s="1"/>
  <c r="M2563" i="1"/>
  <c r="C2563" i="1"/>
  <c r="O2562" i="1"/>
  <c r="P2562" i="1" s="1"/>
  <c r="M2562" i="1"/>
  <c r="O2528" i="1"/>
  <c r="P2528" i="1" s="1"/>
  <c r="M2528" i="1"/>
  <c r="O2527" i="1"/>
  <c r="Q2527" i="1" s="1"/>
  <c r="M2527" i="1"/>
  <c r="E2527" i="1"/>
  <c r="F2527" i="1" s="1"/>
  <c r="C2527" i="1"/>
  <c r="O2526" i="1"/>
  <c r="S2526" i="1" s="1"/>
  <c r="M2526" i="1"/>
  <c r="C2526" i="1"/>
  <c r="O2525" i="1"/>
  <c r="Q2525" i="1" s="1"/>
  <c r="M2525" i="1"/>
  <c r="C2525" i="1"/>
  <c r="O2524" i="1"/>
  <c r="S2524" i="1" s="1"/>
  <c r="M2524" i="1"/>
  <c r="C2524" i="1"/>
  <c r="O2523" i="1"/>
  <c r="Q2523" i="1" s="1"/>
  <c r="M2523" i="1"/>
  <c r="O2481" i="1"/>
  <c r="S2481" i="1" s="1"/>
  <c r="M2481" i="1"/>
  <c r="O2480" i="1"/>
  <c r="Q2480" i="1" s="1"/>
  <c r="M2480" i="1"/>
  <c r="E2480" i="1"/>
  <c r="F2480" i="1" s="1"/>
  <c r="C2480" i="1"/>
  <c r="O2479" i="1"/>
  <c r="S2479" i="1" s="1"/>
  <c r="M2479" i="1"/>
  <c r="C2479" i="1"/>
  <c r="O2478" i="1"/>
  <c r="Q2478" i="1" s="1"/>
  <c r="M2478" i="1"/>
  <c r="C2478" i="1"/>
  <c r="O2477" i="1"/>
  <c r="S2477" i="1" s="1"/>
  <c r="M2477" i="1"/>
  <c r="C2477" i="1"/>
  <c r="O2476" i="1"/>
  <c r="Q2476" i="1" s="1"/>
  <c r="M2476" i="1"/>
  <c r="O2419" i="1"/>
  <c r="Q2419" i="1" s="1"/>
  <c r="M2419" i="1"/>
  <c r="O2418" i="1"/>
  <c r="Q2418" i="1" s="1"/>
  <c r="M2418" i="1"/>
  <c r="E2418" i="1"/>
  <c r="F2418" i="1" s="1"/>
  <c r="C2418" i="1"/>
  <c r="O2417" i="1"/>
  <c r="S2417" i="1" s="1"/>
  <c r="M2417" i="1"/>
  <c r="C2417" i="1"/>
  <c r="O2416" i="1"/>
  <c r="Q2416" i="1" s="1"/>
  <c r="M2416" i="1"/>
  <c r="C2416" i="1"/>
  <c r="O2415" i="1"/>
  <c r="S2415" i="1" s="1"/>
  <c r="M2415" i="1"/>
  <c r="C2415" i="1"/>
  <c r="O2414" i="1"/>
  <c r="P2414" i="1" s="1"/>
  <c r="M2414" i="1"/>
  <c r="O2413" i="1"/>
  <c r="S2413" i="1" s="1"/>
  <c r="M2413" i="1"/>
  <c r="O2412" i="1"/>
  <c r="S2412" i="1" s="1"/>
  <c r="M2412" i="1"/>
  <c r="E2412" i="1"/>
  <c r="F2412" i="1" s="1"/>
  <c r="C2412" i="1"/>
  <c r="O2411" i="1"/>
  <c r="Q2411" i="1" s="1"/>
  <c r="M2411" i="1"/>
  <c r="E2411" i="1"/>
  <c r="F2411" i="1" s="1"/>
  <c r="C2411" i="1"/>
  <c r="O2410" i="1"/>
  <c r="S2410" i="1" s="1"/>
  <c r="M2410" i="1"/>
  <c r="C2410" i="1"/>
  <c r="O2409" i="1"/>
  <c r="P2409" i="1" s="1"/>
  <c r="M2409" i="1"/>
  <c r="O2408" i="1"/>
  <c r="Q2408" i="1" s="1"/>
  <c r="M2408" i="1"/>
  <c r="C2408" i="1"/>
  <c r="O2407" i="1"/>
  <c r="Q2407" i="1" s="1"/>
  <c r="M2407" i="1"/>
  <c r="O2406" i="1"/>
  <c r="Q2406" i="1" s="1"/>
  <c r="C2406" i="1"/>
  <c r="B2406" i="1"/>
  <c r="M2406" i="1" s="1"/>
  <c r="O2405" i="1"/>
  <c r="Q2405" i="1" s="1"/>
  <c r="M2405" i="1"/>
  <c r="O2404" i="1"/>
  <c r="S2404" i="1" s="1"/>
  <c r="C2404" i="1"/>
  <c r="B2404" i="1"/>
  <c r="M2404" i="1" s="1"/>
  <c r="O2403" i="1"/>
  <c r="Q2403" i="1" s="1"/>
  <c r="M2403" i="1"/>
  <c r="O2351" i="1"/>
  <c r="Q2351" i="1" s="1"/>
  <c r="M2351" i="1"/>
  <c r="O2350" i="1"/>
  <c r="Q2350" i="1" s="1"/>
  <c r="M2350" i="1"/>
  <c r="E2350" i="1"/>
  <c r="F2350" i="1" s="1"/>
  <c r="C2350" i="1"/>
  <c r="O2349" i="1"/>
  <c r="S2349" i="1" s="1"/>
  <c r="M2349" i="1"/>
  <c r="C2349" i="1"/>
  <c r="O2348" i="1"/>
  <c r="Q2348" i="1" s="1"/>
  <c r="M2348" i="1"/>
  <c r="C2348" i="1"/>
  <c r="O2347" i="1"/>
  <c r="S2347" i="1" s="1"/>
  <c r="M2347" i="1"/>
  <c r="C2347" i="1"/>
  <c r="O2346" i="1"/>
  <c r="P2346" i="1" s="1"/>
  <c r="M2346" i="1"/>
  <c r="O2314" i="1"/>
  <c r="Q2314" i="1" s="1"/>
  <c r="M2314" i="1"/>
  <c r="F2314" i="1"/>
  <c r="O2286" i="1"/>
  <c r="S2286" i="1" s="1"/>
  <c r="M2286" i="1"/>
  <c r="O2285" i="1"/>
  <c r="Q2285" i="1" s="1"/>
  <c r="M2285" i="1"/>
  <c r="E2285" i="1"/>
  <c r="F2285" i="1" s="1"/>
  <c r="C2285" i="1"/>
  <c r="O2284" i="1"/>
  <c r="S2284" i="1" s="1"/>
  <c r="M2284" i="1"/>
  <c r="C2284" i="1"/>
  <c r="O2283" i="1"/>
  <c r="Q2283" i="1" s="1"/>
  <c r="M2283" i="1"/>
  <c r="C2283" i="1"/>
  <c r="O2282" i="1"/>
  <c r="S2282" i="1" s="1"/>
  <c r="M2282" i="1"/>
  <c r="C2282" i="1"/>
  <c r="O2281" i="1"/>
  <c r="P2281" i="1" s="1"/>
  <c r="M2281" i="1"/>
  <c r="O2257" i="1"/>
  <c r="Q2257" i="1" s="1"/>
  <c r="M2257" i="1"/>
  <c r="O2207" i="1"/>
  <c r="S2207" i="1" s="1"/>
  <c r="M2207" i="1"/>
  <c r="O2206" i="1"/>
  <c r="Q2206" i="1" s="1"/>
  <c r="M2206" i="1"/>
  <c r="E2206" i="1"/>
  <c r="F2206" i="1" s="1"/>
  <c r="C2206" i="1"/>
  <c r="O2205" i="1"/>
  <c r="S2205" i="1" s="1"/>
  <c r="M2205" i="1"/>
  <c r="C2205" i="1"/>
  <c r="O2204" i="1"/>
  <c r="Q2204" i="1" s="1"/>
  <c r="M2204" i="1"/>
  <c r="C2204" i="1"/>
  <c r="O2203" i="1"/>
  <c r="S2203" i="1" s="1"/>
  <c r="M2203" i="1"/>
  <c r="C2203" i="1"/>
  <c r="O2202" i="1"/>
  <c r="P2202" i="1" s="1"/>
  <c r="M2202" i="1"/>
  <c r="O2158" i="1"/>
  <c r="Q2158" i="1" s="1"/>
  <c r="M2158" i="1"/>
  <c r="O2122" i="1"/>
  <c r="S2122" i="1" s="1"/>
  <c r="M2122" i="1"/>
  <c r="O2121" i="1"/>
  <c r="Q2121" i="1" s="1"/>
  <c r="M2121" i="1"/>
  <c r="E2121" i="1"/>
  <c r="F2121" i="1" s="1"/>
  <c r="C2121" i="1"/>
  <c r="O2120" i="1"/>
  <c r="S2120" i="1" s="1"/>
  <c r="M2120" i="1"/>
  <c r="C2120" i="1"/>
  <c r="O2119" i="1"/>
  <c r="Q2119" i="1" s="1"/>
  <c r="M2119" i="1"/>
  <c r="C2119" i="1"/>
  <c r="O2118" i="1"/>
  <c r="S2118" i="1" s="1"/>
  <c r="M2118" i="1"/>
  <c r="C2118" i="1"/>
  <c r="O2117" i="1"/>
  <c r="P2117" i="1" s="1"/>
  <c r="M2117" i="1"/>
  <c r="O2061" i="1"/>
  <c r="S2061" i="1" s="1"/>
  <c r="M2061" i="1"/>
  <c r="O2060" i="1"/>
  <c r="Q2060" i="1" s="1"/>
  <c r="M2060" i="1"/>
  <c r="E2060" i="1"/>
  <c r="F2060" i="1" s="1"/>
  <c r="C2060" i="1"/>
  <c r="O2059" i="1"/>
  <c r="S2059" i="1" s="1"/>
  <c r="M2059" i="1"/>
  <c r="C2059" i="1"/>
  <c r="O2058" i="1"/>
  <c r="Q2058" i="1" s="1"/>
  <c r="M2058" i="1"/>
  <c r="C2058" i="1"/>
  <c r="O2057" i="1"/>
  <c r="S2057" i="1" s="1"/>
  <c r="M2057" i="1"/>
  <c r="C2057" i="1"/>
  <c r="O2056" i="1"/>
  <c r="P2056" i="1" s="1"/>
  <c r="M2056" i="1"/>
  <c r="O2006" i="1"/>
  <c r="Q2006" i="1" s="1"/>
  <c r="M2006" i="1"/>
  <c r="O2005" i="1"/>
  <c r="P2005" i="1" s="1"/>
  <c r="M2005" i="1"/>
  <c r="E2005" i="1"/>
  <c r="F2005" i="1" s="1"/>
  <c r="C2005" i="1"/>
  <c r="O2004" i="1"/>
  <c r="S2004" i="1" s="1"/>
  <c r="M2004" i="1"/>
  <c r="C2004" i="1"/>
  <c r="O2003" i="1"/>
  <c r="P2003" i="1" s="1"/>
  <c r="M2003" i="1"/>
  <c r="C2003" i="1"/>
  <c r="O2002" i="1"/>
  <c r="S2002" i="1" s="1"/>
  <c r="M2002" i="1"/>
  <c r="C2002" i="1"/>
  <c r="O2001" i="1"/>
  <c r="Q2001" i="1" s="1"/>
  <c r="M2001" i="1"/>
  <c r="O1971" i="1"/>
  <c r="P1971" i="1" s="1"/>
  <c r="M1971" i="1"/>
  <c r="F1971" i="1"/>
  <c r="O1917" i="1"/>
  <c r="Q1917" i="1" s="1"/>
  <c r="M1917" i="1"/>
  <c r="O1943" i="1"/>
  <c r="Q1943" i="1" s="1"/>
  <c r="M1943" i="1"/>
  <c r="O1942" i="1"/>
  <c r="P1942" i="1" s="1"/>
  <c r="M1942" i="1"/>
  <c r="E1942" i="1"/>
  <c r="F1942" i="1" s="1"/>
  <c r="C1942" i="1"/>
  <c r="O1941" i="1"/>
  <c r="S1941" i="1" s="1"/>
  <c r="M1941" i="1"/>
  <c r="C1941" i="1"/>
  <c r="O1940" i="1"/>
  <c r="P1940" i="1" s="1"/>
  <c r="M1940" i="1"/>
  <c r="C1940" i="1"/>
  <c r="O1939" i="1"/>
  <c r="S1939" i="1" s="1"/>
  <c r="M1939" i="1"/>
  <c r="C1939" i="1"/>
  <c r="O1938" i="1"/>
  <c r="P1938" i="1" s="1"/>
  <c r="M1938" i="1"/>
  <c r="O1864" i="1"/>
  <c r="Q1864" i="1" s="1"/>
  <c r="M1864" i="1"/>
  <c r="O1863" i="1"/>
  <c r="P1863" i="1" s="1"/>
  <c r="M1863" i="1"/>
  <c r="E1863" i="1"/>
  <c r="F1863" i="1" s="1"/>
  <c r="C1863" i="1"/>
  <c r="O1862" i="1"/>
  <c r="S1862" i="1" s="1"/>
  <c r="M1862" i="1"/>
  <c r="C1862" i="1"/>
  <c r="O1861" i="1"/>
  <c r="P1861" i="1" s="1"/>
  <c r="M1861" i="1"/>
  <c r="C1861" i="1"/>
  <c r="O1860" i="1"/>
  <c r="S1860" i="1" s="1"/>
  <c r="M1860" i="1"/>
  <c r="C1860" i="1"/>
  <c r="O1859" i="1"/>
  <c r="P1859" i="1" s="1"/>
  <c r="M1859" i="1"/>
  <c r="O1780" i="1"/>
  <c r="Q1780" i="1" s="1"/>
  <c r="M1780" i="1"/>
  <c r="O1774" i="1"/>
  <c r="N1774" i="1" s="1"/>
  <c r="M1774" i="1"/>
  <c r="O1779" i="1"/>
  <c r="S1779" i="1" s="1"/>
  <c r="M1779" i="1"/>
  <c r="E1779" i="1"/>
  <c r="F1779" i="1" s="1"/>
  <c r="C1779" i="1"/>
  <c r="O1778" i="1"/>
  <c r="P1778" i="1" s="1"/>
  <c r="M1778" i="1"/>
  <c r="C1778" i="1"/>
  <c r="O1777" i="1"/>
  <c r="S1777" i="1" s="1"/>
  <c r="M1777" i="1"/>
  <c r="C1777" i="1"/>
  <c r="O1776" i="1"/>
  <c r="P1776" i="1" s="1"/>
  <c r="M1776" i="1"/>
  <c r="C1776" i="1"/>
  <c r="O1775" i="1"/>
  <c r="P1775" i="1" s="1"/>
  <c r="M1775" i="1"/>
  <c r="O1724" i="1"/>
  <c r="S1724" i="1" s="1"/>
  <c r="M1724" i="1"/>
  <c r="O1723" i="1"/>
  <c r="P1723" i="1" s="1"/>
  <c r="M1723" i="1"/>
  <c r="E1723" i="1"/>
  <c r="F1723" i="1" s="1"/>
  <c r="C1723" i="1"/>
  <c r="O1722" i="1"/>
  <c r="Q1722" i="1" s="1"/>
  <c r="M1722" i="1"/>
  <c r="C1722" i="1"/>
  <c r="O1721" i="1"/>
  <c r="S1721" i="1" s="1"/>
  <c r="M1721" i="1"/>
  <c r="C1721" i="1"/>
  <c r="O1720" i="1"/>
  <c r="S1720" i="1" s="1"/>
  <c r="M1720" i="1"/>
  <c r="C1720" i="1"/>
  <c r="O1719" i="1"/>
  <c r="S1719" i="1" s="1"/>
  <c r="M1719" i="1"/>
  <c r="O1665" i="1"/>
  <c r="S1665" i="1" s="1"/>
  <c r="M1665" i="1"/>
  <c r="O1664" i="1"/>
  <c r="Q1664" i="1" s="1"/>
  <c r="M1664" i="1"/>
  <c r="E1664" i="1"/>
  <c r="F1664" i="1" s="1"/>
  <c r="C1664" i="1"/>
  <c r="O1663" i="1"/>
  <c r="S1663" i="1" s="1"/>
  <c r="M1663" i="1"/>
  <c r="C1663" i="1"/>
  <c r="O1662" i="1"/>
  <c r="Q1662" i="1" s="1"/>
  <c r="M1662" i="1"/>
  <c r="C1662" i="1"/>
  <c r="O1661" i="1"/>
  <c r="S1661" i="1" s="1"/>
  <c r="M1661" i="1"/>
  <c r="C1661" i="1"/>
  <c r="O1660" i="1"/>
  <c r="S1660" i="1" s="1"/>
  <c r="M1660" i="1"/>
  <c r="O1609" i="1"/>
  <c r="S1609" i="1" s="1"/>
  <c r="M1609" i="1"/>
  <c r="O1608" i="1"/>
  <c r="Q1608" i="1" s="1"/>
  <c r="M1608" i="1"/>
  <c r="E1608" i="1"/>
  <c r="F1608" i="1" s="1"/>
  <c r="C1608" i="1"/>
  <c r="O1607" i="1"/>
  <c r="S1607" i="1" s="1"/>
  <c r="M1607" i="1"/>
  <c r="C1607" i="1"/>
  <c r="O1606" i="1"/>
  <c r="Q1606" i="1" s="1"/>
  <c r="M1606" i="1"/>
  <c r="C1606" i="1"/>
  <c r="O1605" i="1"/>
  <c r="S1605" i="1" s="1"/>
  <c r="M1605" i="1"/>
  <c r="C1605" i="1"/>
  <c r="O1604" i="1"/>
  <c r="Q1604" i="1" s="1"/>
  <c r="M1604" i="1"/>
  <c r="O1583" i="1"/>
  <c r="Q1583" i="1" s="1"/>
  <c r="M1583" i="1"/>
  <c r="F1583" i="1"/>
  <c r="O1640" i="1"/>
  <c r="Q1640" i="1" s="1"/>
  <c r="M1640" i="1"/>
  <c r="F1640" i="1"/>
  <c r="O1553" i="1"/>
  <c r="S1553" i="1" s="1"/>
  <c r="M1553" i="1"/>
  <c r="O1552" i="1"/>
  <c r="Q1552" i="1" s="1"/>
  <c r="M1552" i="1"/>
  <c r="E1552" i="1"/>
  <c r="F1552" i="1" s="1"/>
  <c r="C1552" i="1"/>
  <c r="O1551" i="1"/>
  <c r="S1551" i="1" s="1"/>
  <c r="M1551" i="1"/>
  <c r="C1551" i="1"/>
  <c r="O1550" i="1"/>
  <c r="Q1550" i="1" s="1"/>
  <c r="M1550" i="1"/>
  <c r="C1550" i="1"/>
  <c r="O1549" i="1"/>
  <c r="S1549" i="1" s="1"/>
  <c r="M1549" i="1"/>
  <c r="C1549" i="1"/>
  <c r="O1548" i="1"/>
  <c r="Q1548" i="1" s="1"/>
  <c r="M1548" i="1"/>
  <c r="O1494" i="1"/>
  <c r="S1494" i="1" s="1"/>
  <c r="M1494" i="1"/>
  <c r="O1493" i="1"/>
  <c r="Q1493" i="1" s="1"/>
  <c r="M1493" i="1"/>
  <c r="E1493" i="1"/>
  <c r="F1493" i="1" s="1"/>
  <c r="C1493" i="1"/>
  <c r="O1492" i="1"/>
  <c r="S1492" i="1" s="1"/>
  <c r="M1492" i="1"/>
  <c r="C1492" i="1"/>
  <c r="O1491" i="1"/>
  <c r="Q1491" i="1" s="1"/>
  <c r="M1491" i="1"/>
  <c r="C1491" i="1"/>
  <c r="O1490" i="1"/>
  <c r="S1490" i="1" s="1"/>
  <c r="M1490" i="1"/>
  <c r="C1490" i="1"/>
  <c r="O1489" i="1"/>
  <c r="P1489" i="1" s="1"/>
  <c r="M1489" i="1"/>
  <c r="O802" i="1"/>
  <c r="P802" i="1" s="1"/>
  <c r="M802" i="1"/>
  <c r="F802" i="1"/>
  <c r="O683" i="1"/>
  <c r="N683" i="1" s="1"/>
  <c r="M683" i="1"/>
  <c r="S3440" i="1" l="1"/>
  <c r="Q3440" i="1"/>
  <c r="P3379" i="1"/>
  <c r="Q3379" i="1"/>
  <c r="N3440" i="1"/>
  <c r="N3379" i="1"/>
  <c r="Q3380" i="1"/>
  <c r="P3384" i="1"/>
  <c r="P3445" i="1"/>
  <c r="Q3441" i="1"/>
  <c r="P3441" i="1"/>
  <c r="S3442" i="1"/>
  <c r="P3443" i="1"/>
  <c r="N3444" i="1"/>
  <c r="S3444" i="1"/>
  <c r="Q3443" i="1"/>
  <c r="P3442" i="1"/>
  <c r="N3443" i="1"/>
  <c r="P3444" i="1"/>
  <c r="Q3445" i="1"/>
  <c r="N3445" i="1"/>
  <c r="S3330" i="1"/>
  <c r="P3380" i="1"/>
  <c r="S3381" i="1"/>
  <c r="P3382" i="1"/>
  <c r="N3383" i="1"/>
  <c r="S3383" i="1"/>
  <c r="Q3382" i="1"/>
  <c r="P3381" i="1"/>
  <c r="N3382" i="1"/>
  <c r="P3383" i="1"/>
  <c r="Q3384" i="1"/>
  <c r="N3384" i="1"/>
  <c r="N3366" i="1"/>
  <c r="P3366" i="1"/>
  <c r="S3097" i="1"/>
  <c r="N3330" i="1"/>
  <c r="N3250" i="1"/>
  <c r="P3288" i="1"/>
  <c r="N3097" i="1"/>
  <c r="P3335" i="1"/>
  <c r="S3250" i="1"/>
  <c r="P3330" i="1"/>
  <c r="N3335" i="1"/>
  <c r="S3335" i="1"/>
  <c r="N3288" i="1"/>
  <c r="Q3097" i="1"/>
  <c r="Q3331" i="1"/>
  <c r="S3203" i="1"/>
  <c r="P3250" i="1"/>
  <c r="N3255" i="1"/>
  <c r="S3255" i="1"/>
  <c r="P3331" i="1"/>
  <c r="S3332" i="1"/>
  <c r="P3333" i="1"/>
  <c r="N3334" i="1"/>
  <c r="S3334" i="1"/>
  <c r="P3055" i="1"/>
  <c r="N3203" i="1"/>
  <c r="Q3333" i="1"/>
  <c r="P3255" i="1"/>
  <c r="P3332" i="1"/>
  <c r="N3333" i="1"/>
  <c r="P3334" i="1"/>
  <c r="P3203" i="1"/>
  <c r="Q3251" i="1"/>
  <c r="Q3204" i="1"/>
  <c r="P3251" i="1"/>
  <c r="S3252" i="1"/>
  <c r="P3253" i="1"/>
  <c r="N3254" i="1"/>
  <c r="S3254" i="1"/>
  <c r="Q3253" i="1"/>
  <c r="P3252" i="1"/>
  <c r="N3253" i="1"/>
  <c r="P3254" i="1"/>
  <c r="P3204" i="1"/>
  <c r="S3205" i="1"/>
  <c r="P3206" i="1"/>
  <c r="N3207" i="1"/>
  <c r="S3207" i="1"/>
  <c r="Q3206" i="1"/>
  <c r="P3208" i="1"/>
  <c r="P3205" i="1"/>
  <c r="N3206" i="1"/>
  <c r="P3207" i="1"/>
  <c r="Q3208" i="1"/>
  <c r="N3208" i="1"/>
  <c r="N3168" i="1"/>
  <c r="P2920" i="1"/>
  <c r="P3102" i="1"/>
  <c r="P3168" i="1"/>
  <c r="Q3017" i="1"/>
  <c r="Q3022" i="1"/>
  <c r="N3055" i="1"/>
  <c r="N3017" i="1"/>
  <c r="S3017" i="1"/>
  <c r="N3022" i="1"/>
  <c r="S3022" i="1"/>
  <c r="P2914" i="1"/>
  <c r="Q2970" i="1"/>
  <c r="S2722" i="1"/>
  <c r="P3098" i="1"/>
  <c r="S3099" i="1"/>
  <c r="P3100" i="1"/>
  <c r="N3101" i="1"/>
  <c r="S3101" i="1"/>
  <c r="Q3098" i="1"/>
  <c r="Q3100" i="1"/>
  <c r="Q2914" i="1"/>
  <c r="Q2920" i="1"/>
  <c r="P3099" i="1"/>
  <c r="N3100" i="1"/>
  <c r="P3101" i="1"/>
  <c r="Q3102" i="1"/>
  <c r="N3102" i="1"/>
  <c r="P2912" i="1"/>
  <c r="S2921" i="1"/>
  <c r="P2970" i="1"/>
  <c r="P2975" i="1"/>
  <c r="P3018" i="1"/>
  <c r="S3019" i="1"/>
  <c r="P3020" i="1"/>
  <c r="N3021" i="1"/>
  <c r="S3021" i="1"/>
  <c r="Q2911" i="1"/>
  <c r="S2912" i="1"/>
  <c r="S2975" i="1"/>
  <c r="Q3018" i="1"/>
  <c r="Q3020" i="1"/>
  <c r="N2921" i="1"/>
  <c r="N2970" i="1"/>
  <c r="N2975" i="1"/>
  <c r="P3019" i="1"/>
  <c r="N3020" i="1"/>
  <c r="P3021" i="1"/>
  <c r="Q2910" i="1"/>
  <c r="N2912" i="1"/>
  <c r="N2914" i="1"/>
  <c r="N2920" i="1"/>
  <c r="P2921" i="1"/>
  <c r="P2971" i="1"/>
  <c r="S2972" i="1"/>
  <c r="P2973" i="1"/>
  <c r="N2974" i="1"/>
  <c r="S2974" i="1"/>
  <c r="N2910" i="1"/>
  <c r="S2910" i="1"/>
  <c r="Q2971" i="1"/>
  <c r="Q2973" i="1"/>
  <c r="Q2786" i="1"/>
  <c r="P2972" i="1"/>
  <c r="N2973" i="1"/>
  <c r="P2974" i="1"/>
  <c r="Q2922" i="1"/>
  <c r="Q2722" i="1"/>
  <c r="N2786" i="1"/>
  <c r="S2786" i="1"/>
  <c r="P2911" i="1"/>
  <c r="S2913" i="1"/>
  <c r="Q2915" i="1"/>
  <c r="N2916" i="1"/>
  <c r="S2916" i="1"/>
  <c r="P2917" i="1"/>
  <c r="N2918" i="1"/>
  <c r="S2918" i="1"/>
  <c r="P2919" i="1"/>
  <c r="P2922" i="1"/>
  <c r="S2923" i="1"/>
  <c r="P2924" i="1"/>
  <c r="N2925" i="1"/>
  <c r="S2925" i="1"/>
  <c r="S2915" i="1"/>
  <c r="Q2917" i="1"/>
  <c r="Q2919" i="1"/>
  <c r="Q2924" i="1"/>
  <c r="P2926" i="1"/>
  <c r="N2722" i="1"/>
  <c r="P2791" i="1"/>
  <c r="P2913" i="1"/>
  <c r="P2916" i="1"/>
  <c r="N2917" i="1"/>
  <c r="P2918" i="1"/>
  <c r="N2919" i="1"/>
  <c r="P2923" i="1"/>
  <c r="N2924" i="1"/>
  <c r="P2925" i="1"/>
  <c r="Q2926" i="1"/>
  <c r="N2926" i="1"/>
  <c r="P2787" i="1"/>
  <c r="S2788" i="1"/>
  <c r="P2789" i="1"/>
  <c r="N2790" i="1"/>
  <c r="S2790" i="1"/>
  <c r="Q2787" i="1"/>
  <c r="Q2789" i="1"/>
  <c r="P2788" i="1"/>
  <c r="N2789" i="1"/>
  <c r="P2790" i="1"/>
  <c r="Q2791" i="1"/>
  <c r="N2791" i="1"/>
  <c r="N2727" i="1"/>
  <c r="S2727" i="1"/>
  <c r="N2799" i="1"/>
  <c r="P2727" i="1"/>
  <c r="P2799" i="1"/>
  <c r="S2643" i="1"/>
  <c r="N2756" i="1"/>
  <c r="P2756" i="1"/>
  <c r="P2523" i="1"/>
  <c r="Q2643" i="1"/>
  <c r="P2723" i="1"/>
  <c r="S2724" i="1"/>
  <c r="P2725" i="1"/>
  <c r="N2726" i="1"/>
  <c r="S2726" i="1"/>
  <c r="Q2723" i="1"/>
  <c r="Q2725" i="1"/>
  <c r="N2643" i="1"/>
  <c r="P2724" i="1"/>
  <c r="N2725" i="1"/>
  <c r="P2726" i="1"/>
  <c r="N2600" i="1"/>
  <c r="S2523" i="1"/>
  <c r="Q2600" i="1"/>
  <c r="N2698" i="1"/>
  <c r="P2698" i="1"/>
  <c r="S2562" i="1"/>
  <c r="N2562" i="1"/>
  <c r="P2644" i="1"/>
  <c r="S2645" i="1"/>
  <c r="P2646" i="1"/>
  <c r="N2647" i="1"/>
  <c r="S2647" i="1"/>
  <c r="Q2644" i="1"/>
  <c r="Q2646" i="1"/>
  <c r="P2648" i="1"/>
  <c r="Q2562" i="1"/>
  <c r="P2645" i="1"/>
  <c r="N2646" i="1"/>
  <c r="P2647" i="1"/>
  <c r="Q2648" i="1"/>
  <c r="N2648" i="1"/>
  <c r="S2403" i="1"/>
  <c r="N2403" i="1"/>
  <c r="Q2528" i="1"/>
  <c r="N2567" i="1"/>
  <c r="S2414" i="1"/>
  <c r="N2523" i="1"/>
  <c r="N2528" i="1"/>
  <c r="S2528" i="1"/>
  <c r="Q2567" i="1"/>
  <c r="S2567" i="1"/>
  <c r="S2281" i="1"/>
  <c r="N2414" i="1"/>
  <c r="Q2524" i="1"/>
  <c r="P2563" i="1"/>
  <c r="S2564" i="1"/>
  <c r="P2565" i="1"/>
  <c r="N2566" i="1"/>
  <c r="S2566" i="1"/>
  <c r="Q2563" i="1"/>
  <c r="Q2565" i="1"/>
  <c r="Q2414" i="1"/>
  <c r="P2564" i="1"/>
  <c r="N2565" i="1"/>
  <c r="P2566" i="1"/>
  <c r="S2476" i="1"/>
  <c r="P2524" i="1"/>
  <c r="S2525" i="1"/>
  <c r="P2526" i="1"/>
  <c r="N2527" i="1"/>
  <c r="S2527" i="1"/>
  <c r="S2346" i="1"/>
  <c r="P2403" i="1"/>
  <c r="Q2526" i="1"/>
  <c r="P2405" i="1"/>
  <c r="N2476" i="1"/>
  <c r="P2525" i="1"/>
  <c r="N2526" i="1"/>
  <c r="P2527" i="1"/>
  <c r="S2480" i="1"/>
  <c r="P2408" i="1"/>
  <c r="Q2409" i="1"/>
  <c r="P2476" i="1"/>
  <c r="S2408" i="1"/>
  <c r="P2479" i="1"/>
  <c r="N2480" i="1"/>
  <c r="N2407" i="1"/>
  <c r="S2407" i="1"/>
  <c r="P2419" i="1"/>
  <c r="P2477" i="1"/>
  <c r="S2478" i="1"/>
  <c r="P2413" i="1"/>
  <c r="S2419" i="1"/>
  <c r="Q2477" i="1"/>
  <c r="Q2479" i="1"/>
  <c r="P2481" i="1"/>
  <c r="S2405" i="1"/>
  <c r="P2407" i="1"/>
  <c r="Q2413" i="1"/>
  <c r="N2419" i="1"/>
  <c r="P2478" i="1"/>
  <c r="N2479" i="1"/>
  <c r="P2480" i="1"/>
  <c r="Q2481" i="1"/>
  <c r="N2405" i="1"/>
  <c r="N2413" i="1"/>
  <c r="N2481" i="1"/>
  <c r="N2346" i="1"/>
  <c r="P2404" i="1"/>
  <c r="S2406" i="1"/>
  <c r="N2409" i="1"/>
  <c r="S2409" i="1"/>
  <c r="P2410" i="1"/>
  <c r="N2411" i="1"/>
  <c r="S2411" i="1"/>
  <c r="P2412" i="1"/>
  <c r="P2415" i="1"/>
  <c r="S2416" i="1"/>
  <c r="P2417" i="1"/>
  <c r="N2418" i="1"/>
  <c r="S2418" i="1"/>
  <c r="Q2404" i="1"/>
  <c r="Q2410" i="1"/>
  <c r="Q2412" i="1"/>
  <c r="Q2415" i="1"/>
  <c r="Q2417" i="1"/>
  <c r="Q2346" i="1"/>
  <c r="P2406" i="1"/>
  <c r="N2410" i="1"/>
  <c r="P2411" i="1"/>
  <c r="N2412" i="1"/>
  <c r="P2416" i="1"/>
  <c r="N2417" i="1"/>
  <c r="P2418" i="1"/>
  <c r="N2351" i="1"/>
  <c r="P2351" i="1"/>
  <c r="S2351" i="1"/>
  <c r="N2281" i="1"/>
  <c r="P2347" i="1"/>
  <c r="S2348" i="1"/>
  <c r="P2349" i="1"/>
  <c r="N2350" i="1"/>
  <c r="S2350" i="1"/>
  <c r="Q2347" i="1"/>
  <c r="Q2349" i="1"/>
  <c r="Q2281" i="1"/>
  <c r="P2348" i="1"/>
  <c r="N2349" i="1"/>
  <c r="P2350" i="1"/>
  <c r="N2314" i="1"/>
  <c r="P2314" i="1"/>
  <c r="S2202" i="1"/>
  <c r="Q2056" i="1"/>
  <c r="N2202" i="1"/>
  <c r="P2282" i="1"/>
  <c r="S2283" i="1"/>
  <c r="P2284" i="1"/>
  <c r="N2285" i="1"/>
  <c r="S2285" i="1"/>
  <c r="Q2282" i="1"/>
  <c r="Q2284" i="1"/>
  <c r="P2286" i="1"/>
  <c r="S2056" i="1"/>
  <c r="Q2202" i="1"/>
  <c r="P2283" i="1"/>
  <c r="N2284" i="1"/>
  <c r="P2285" i="1"/>
  <c r="Q2286" i="1"/>
  <c r="N2286" i="1"/>
  <c r="Q2117" i="1"/>
  <c r="N2257" i="1"/>
  <c r="P2257" i="1"/>
  <c r="S2117" i="1"/>
  <c r="P2203" i="1"/>
  <c r="S2204" i="1"/>
  <c r="P2205" i="1"/>
  <c r="N2206" i="1"/>
  <c r="S2206" i="1"/>
  <c r="Q2203" i="1"/>
  <c r="Q2205" i="1"/>
  <c r="P2207" i="1"/>
  <c r="N2117" i="1"/>
  <c r="P2204" i="1"/>
  <c r="N2205" i="1"/>
  <c r="P2206" i="1"/>
  <c r="Q2207" i="1"/>
  <c r="N2207" i="1"/>
  <c r="P2158" i="1"/>
  <c r="N2158" i="1"/>
  <c r="N2056" i="1"/>
  <c r="P2118" i="1"/>
  <c r="S2119" i="1"/>
  <c r="P2120" i="1"/>
  <c r="N2121" i="1"/>
  <c r="S2121" i="1"/>
  <c r="Q2118" i="1"/>
  <c r="Q2120" i="1"/>
  <c r="P2122" i="1"/>
  <c r="N1971" i="1"/>
  <c r="P2119" i="1"/>
  <c r="N2120" i="1"/>
  <c r="P2121" i="1"/>
  <c r="Q2122" i="1"/>
  <c r="N2122" i="1"/>
  <c r="Q1938" i="1"/>
  <c r="P2057" i="1"/>
  <c r="S2058" i="1"/>
  <c r="P2059" i="1"/>
  <c r="N2060" i="1"/>
  <c r="S2060" i="1"/>
  <c r="Q2057" i="1"/>
  <c r="Q2059" i="1"/>
  <c r="P2061" i="1"/>
  <c r="N1938" i="1"/>
  <c r="P2058" i="1"/>
  <c r="N2059" i="1"/>
  <c r="P2060" i="1"/>
  <c r="Q2061" i="1"/>
  <c r="N2061" i="1"/>
  <c r="S1938" i="1"/>
  <c r="N2001" i="1"/>
  <c r="S2001" i="1"/>
  <c r="Q1971" i="1"/>
  <c r="P2001" i="1"/>
  <c r="Q2002" i="1"/>
  <c r="Q2003" i="1"/>
  <c r="Q2005" i="1"/>
  <c r="N2006" i="1"/>
  <c r="P2002" i="1"/>
  <c r="S2003" i="1"/>
  <c r="P2004" i="1"/>
  <c r="N2005" i="1"/>
  <c r="S2005" i="1"/>
  <c r="Q2004" i="1"/>
  <c r="P2006" i="1"/>
  <c r="N2004" i="1"/>
  <c r="N1917" i="1"/>
  <c r="P1917" i="1"/>
  <c r="S1859" i="1"/>
  <c r="S1775" i="1"/>
  <c r="N1859" i="1"/>
  <c r="Q1859" i="1"/>
  <c r="Q1940" i="1"/>
  <c r="Q1942" i="1"/>
  <c r="N1943" i="1"/>
  <c r="P1939" i="1"/>
  <c r="S1940" i="1"/>
  <c r="P1941" i="1"/>
  <c r="N1942" i="1"/>
  <c r="S1942" i="1"/>
  <c r="Q1860" i="1"/>
  <c r="Q1939" i="1"/>
  <c r="Q1941" i="1"/>
  <c r="P1943" i="1"/>
  <c r="N1941" i="1"/>
  <c r="Q1861" i="1"/>
  <c r="Q1863" i="1"/>
  <c r="N1864" i="1"/>
  <c r="N1775" i="1"/>
  <c r="P1860" i="1"/>
  <c r="S1861" i="1"/>
  <c r="P1862" i="1"/>
  <c r="N1863" i="1"/>
  <c r="S1863" i="1"/>
  <c r="Q1862" i="1"/>
  <c r="P1864" i="1"/>
  <c r="Q1775" i="1"/>
  <c r="N1862" i="1"/>
  <c r="N1780" i="1"/>
  <c r="P1780" i="1"/>
  <c r="P1548" i="1"/>
  <c r="P1774" i="1"/>
  <c r="S1548" i="1"/>
  <c r="Q1774" i="1"/>
  <c r="Q1776" i="1"/>
  <c r="Q1778" i="1"/>
  <c r="S1776" i="1"/>
  <c r="P1777" i="1"/>
  <c r="N1778" i="1"/>
  <c r="S1778" i="1"/>
  <c r="P1779" i="1"/>
  <c r="Q1777" i="1"/>
  <c r="Q1779" i="1"/>
  <c r="N1779" i="1"/>
  <c r="P1722" i="1"/>
  <c r="P1660" i="1"/>
  <c r="P1719" i="1"/>
  <c r="Q1660" i="1"/>
  <c r="P1724" i="1"/>
  <c r="P1604" i="1"/>
  <c r="P1720" i="1"/>
  <c r="Q1724" i="1"/>
  <c r="N1724" i="1"/>
  <c r="N1604" i="1"/>
  <c r="N1722" i="1"/>
  <c r="S1722" i="1"/>
  <c r="Q1723" i="1"/>
  <c r="Q1719" i="1"/>
  <c r="Q1720" i="1"/>
  <c r="P1721" i="1"/>
  <c r="N1723" i="1"/>
  <c r="S1723" i="1"/>
  <c r="N1719" i="1"/>
  <c r="Q1721" i="1"/>
  <c r="S1604" i="1"/>
  <c r="N1660" i="1"/>
  <c r="P1609" i="1"/>
  <c r="P1661" i="1"/>
  <c r="S1662" i="1"/>
  <c r="P1663" i="1"/>
  <c r="N1664" i="1"/>
  <c r="S1664" i="1"/>
  <c r="Q1609" i="1"/>
  <c r="Q1661" i="1"/>
  <c r="Q1663" i="1"/>
  <c r="P1665" i="1"/>
  <c r="N1548" i="1"/>
  <c r="Q1553" i="1"/>
  <c r="Q1605" i="1"/>
  <c r="P1662" i="1"/>
  <c r="N1663" i="1"/>
  <c r="P1664" i="1"/>
  <c r="Q1665" i="1"/>
  <c r="N1665" i="1"/>
  <c r="P1553" i="1"/>
  <c r="N1640" i="1"/>
  <c r="N1583" i="1"/>
  <c r="P1605" i="1"/>
  <c r="S1606" i="1"/>
  <c r="P1607" i="1"/>
  <c r="N1608" i="1"/>
  <c r="S1608" i="1"/>
  <c r="Q1607" i="1"/>
  <c r="P1606" i="1"/>
  <c r="N1607" i="1"/>
  <c r="P1608" i="1"/>
  <c r="N1609" i="1"/>
  <c r="P1583" i="1"/>
  <c r="P1640" i="1"/>
  <c r="P1549" i="1"/>
  <c r="S1550" i="1"/>
  <c r="P1551" i="1"/>
  <c r="N1552" i="1"/>
  <c r="S1552" i="1"/>
  <c r="Q1489" i="1"/>
  <c r="S1489" i="1"/>
  <c r="Q1551" i="1"/>
  <c r="Q1549" i="1"/>
  <c r="N1489" i="1"/>
  <c r="P1550" i="1"/>
  <c r="N1551" i="1"/>
  <c r="P1552" i="1"/>
  <c r="N1553" i="1"/>
  <c r="Q1494" i="1"/>
  <c r="S1491" i="1"/>
  <c r="P1492" i="1"/>
  <c r="N1493" i="1"/>
  <c r="S1493" i="1"/>
  <c r="P1490" i="1"/>
  <c r="Q1490" i="1"/>
  <c r="Q1492" i="1"/>
  <c r="P1494" i="1"/>
  <c r="P1491" i="1"/>
  <c r="N1492" i="1"/>
  <c r="P1493" i="1"/>
  <c r="N1494" i="1"/>
  <c r="Q802" i="1"/>
  <c r="N802" i="1"/>
  <c r="P683" i="1"/>
  <c r="Q683" i="1"/>
  <c r="M933" i="1"/>
  <c r="M934" i="1"/>
  <c r="M935" i="1"/>
  <c r="M936" i="1"/>
  <c r="M937" i="1"/>
  <c r="M938" i="1"/>
  <c r="M939" i="1"/>
  <c r="M940" i="1"/>
  <c r="M941" i="1"/>
  <c r="M942" i="1"/>
  <c r="M943" i="1"/>
  <c r="M944" i="1"/>
  <c r="M945" i="1"/>
  <c r="M946" i="1"/>
  <c r="M947" i="1"/>
  <c r="M948" i="1"/>
  <c r="M949" i="1"/>
  <c r="M950" i="1"/>
  <c r="M951"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O1436" i="1"/>
  <c r="S1436" i="1" s="1"/>
  <c r="M1436" i="1"/>
  <c r="O1435" i="1"/>
  <c r="Q1435" i="1" s="1"/>
  <c r="M1435" i="1"/>
  <c r="E1435" i="1"/>
  <c r="F1435" i="1" s="1"/>
  <c r="C1435" i="1"/>
  <c r="O1434" i="1"/>
  <c r="S1434" i="1" s="1"/>
  <c r="M1434" i="1"/>
  <c r="C1434" i="1"/>
  <c r="O1433" i="1"/>
  <c r="Q1433" i="1" s="1"/>
  <c r="M1433" i="1"/>
  <c r="C1433" i="1"/>
  <c r="O1432" i="1"/>
  <c r="S1432" i="1" s="1"/>
  <c r="M1432" i="1"/>
  <c r="C1432" i="1"/>
  <c r="O1431" i="1"/>
  <c r="P1431" i="1" s="1"/>
  <c r="M1431" i="1"/>
  <c r="O1417" i="1"/>
  <c r="Q1417" i="1" s="1"/>
  <c r="M1417" i="1"/>
  <c r="O1244" i="1"/>
  <c r="Q1244" i="1" s="1"/>
  <c r="M1244" i="1"/>
  <c r="O1269" i="1"/>
  <c r="Q1269" i="1" s="1"/>
  <c r="M1269" i="1"/>
  <c r="O1268" i="1"/>
  <c r="Q1268" i="1" s="1"/>
  <c r="M1268" i="1"/>
  <c r="E1268" i="1"/>
  <c r="F1268" i="1" s="1"/>
  <c r="C1268" i="1"/>
  <c r="O1267" i="1"/>
  <c r="S1267" i="1" s="1"/>
  <c r="M1267" i="1"/>
  <c r="C1267" i="1"/>
  <c r="O1266" i="1"/>
  <c r="Q1266" i="1" s="1"/>
  <c r="M1266" i="1"/>
  <c r="C1266" i="1"/>
  <c r="O1265" i="1"/>
  <c r="S1265" i="1" s="1"/>
  <c r="M1265" i="1"/>
  <c r="C1265" i="1"/>
  <c r="O1264" i="1"/>
  <c r="P1264" i="1" s="1"/>
  <c r="M1264" i="1"/>
  <c r="O1207" i="1"/>
  <c r="S1207" i="1" s="1"/>
  <c r="M1207" i="1"/>
  <c r="O1206" i="1"/>
  <c r="Q1206" i="1" s="1"/>
  <c r="M1206" i="1"/>
  <c r="E1206" i="1"/>
  <c r="F1206" i="1" s="1"/>
  <c r="C1206" i="1"/>
  <c r="O1205" i="1"/>
  <c r="S1205" i="1" s="1"/>
  <c r="M1205" i="1"/>
  <c r="C1205" i="1"/>
  <c r="O1204" i="1"/>
  <c r="Q1204" i="1" s="1"/>
  <c r="M1204" i="1"/>
  <c r="C1204" i="1"/>
  <c r="O1203" i="1"/>
  <c r="S1203" i="1" s="1"/>
  <c r="M1203" i="1"/>
  <c r="C1203" i="1"/>
  <c r="O1202" i="1"/>
  <c r="P1202" i="1" s="1"/>
  <c r="M1202" i="1"/>
  <c r="O1168" i="1"/>
  <c r="Q1168" i="1" s="1"/>
  <c r="M1168" i="1"/>
  <c r="O1131" i="1"/>
  <c r="S1131" i="1" s="1"/>
  <c r="M1131" i="1"/>
  <c r="O1130" i="1"/>
  <c r="Q1130" i="1" s="1"/>
  <c r="M1130" i="1"/>
  <c r="E1130" i="1"/>
  <c r="F1130" i="1" s="1"/>
  <c r="C1130" i="1"/>
  <c r="O1129" i="1"/>
  <c r="S1129" i="1" s="1"/>
  <c r="M1129" i="1"/>
  <c r="C1129" i="1"/>
  <c r="O1128" i="1"/>
  <c r="Q1128" i="1" s="1"/>
  <c r="M1128" i="1"/>
  <c r="C1128" i="1"/>
  <c r="O1127" i="1"/>
  <c r="S1127" i="1" s="1"/>
  <c r="M1127" i="1"/>
  <c r="C1127" i="1"/>
  <c r="O1126" i="1"/>
  <c r="Q1126" i="1" s="1"/>
  <c r="M1126" i="1"/>
  <c r="O1091" i="1"/>
  <c r="Q1091" i="1" s="1"/>
  <c r="M1091" i="1"/>
  <c r="M1077" i="1"/>
  <c r="M1078" i="1"/>
  <c r="M1079" i="1"/>
  <c r="M1080" i="1"/>
  <c r="M1081" i="1"/>
  <c r="M1082" i="1"/>
  <c r="M1083" i="1"/>
  <c r="M1084" i="1"/>
  <c r="M1085" i="1"/>
  <c r="M1086" i="1"/>
  <c r="M1087" i="1"/>
  <c r="M1088" i="1"/>
  <c r="M1089" i="1"/>
  <c r="M1090" i="1"/>
  <c r="M1092" i="1"/>
  <c r="M1093" i="1"/>
  <c r="M1094" i="1"/>
  <c r="M1095" i="1"/>
  <c r="M1096" i="1"/>
  <c r="M1097" i="1"/>
  <c r="M1098" i="1"/>
  <c r="M1099" i="1"/>
  <c r="M1101" i="1"/>
  <c r="M1102" i="1"/>
  <c r="M1103" i="1"/>
  <c r="M1104" i="1"/>
  <c r="M1105" i="1"/>
  <c r="M1106" i="1"/>
  <c r="M1107" i="1"/>
  <c r="M1108" i="1"/>
  <c r="M1109" i="1"/>
  <c r="M1110" i="1"/>
  <c r="M1111" i="1"/>
  <c r="M1112" i="1"/>
  <c r="M1113" i="1"/>
  <c r="M1132" i="1"/>
  <c r="M1133" i="1"/>
  <c r="M1134" i="1"/>
  <c r="M1135" i="1"/>
  <c r="M1136" i="1"/>
  <c r="M1137" i="1"/>
  <c r="M1138" i="1"/>
  <c r="M1139" i="1"/>
  <c r="M1140" i="1"/>
  <c r="M1141" i="1"/>
  <c r="M1142" i="1"/>
  <c r="M1143" i="1"/>
  <c r="O1059" i="1"/>
  <c r="S1059" i="1" s="1"/>
  <c r="M1059" i="1"/>
  <c r="O1058" i="1"/>
  <c r="Q1058" i="1" s="1"/>
  <c r="M1058" i="1"/>
  <c r="E1058" i="1"/>
  <c r="F1058" i="1" s="1"/>
  <c r="C1058" i="1"/>
  <c r="O1057" i="1"/>
  <c r="S1057" i="1" s="1"/>
  <c r="M1057" i="1"/>
  <c r="C1057" i="1"/>
  <c r="O1056" i="1"/>
  <c r="Q1056" i="1" s="1"/>
  <c r="M1056" i="1"/>
  <c r="C1056" i="1"/>
  <c r="O1055" i="1"/>
  <c r="S1055" i="1" s="1"/>
  <c r="M1055" i="1"/>
  <c r="C1055" i="1"/>
  <c r="O1054" i="1"/>
  <c r="P1054" i="1" s="1"/>
  <c r="M1054"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O1019" i="1"/>
  <c r="S1019" i="1" s="1"/>
  <c r="O1018" i="1"/>
  <c r="Q1018" i="1" s="1"/>
  <c r="E1018" i="1"/>
  <c r="F1018" i="1" s="1"/>
  <c r="C1018" i="1"/>
  <c r="O1017" i="1"/>
  <c r="S1017" i="1" s="1"/>
  <c r="C1017" i="1"/>
  <c r="O1016" i="1"/>
  <c r="Q1016" i="1" s="1"/>
  <c r="C1016" i="1"/>
  <c r="O1015" i="1"/>
  <c r="S1015" i="1" s="1"/>
  <c r="C1015" i="1"/>
  <c r="O1014" i="1"/>
  <c r="P1014" i="1" s="1"/>
  <c r="O972" i="1"/>
  <c r="P972" i="1" s="1"/>
  <c r="O971" i="1"/>
  <c r="P971" i="1" s="1"/>
  <c r="E971" i="1"/>
  <c r="F971" i="1" s="1"/>
  <c r="C971" i="1"/>
  <c r="O970" i="1"/>
  <c r="Q970" i="1" s="1"/>
  <c r="C970" i="1"/>
  <c r="O969" i="1"/>
  <c r="S969" i="1" s="1"/>
  <c r="C969" i="1"/>
  <c r="O968" i="1"/>
  <c r="S968" i="1" s="1"/>
  <c r="C968" i="1"/>
  <c r="O967" i="1"/>
  <c r="S967" i="1" s="1"/>
  <c r="O910" i="1"/>
  <c r="S910" i="1" s="1"/>
  <c r="M910" i="1"/>
  <c r="O909" i="1"/>
  <c r="P909" i="1" s="1"/>
  <c r="M909" i="1"/>
  <c r="E909" i="1"/>
  <c r="F909" i="1" s="1"/>
  <c r="C909" i="1"/>
  <c r="O908" i="1"/>
  <c r="Q908" i="1" s="1"/>
  <c r="M908" i="1"/>
  <c r="C908" i="1"/>
  <c r="O907" i="1"/>
  <c r="S907" i="1" s="1"/>
  <c r="M907" i="1"/>
  <c r="C907" i="1"/>
  <c r="O906" i="1"/>
  <c r="S906" i="1" s="1"/>
  <c r="M906" i="1"/>
  <c r="C906" i="1"/>
  <c r="O905" i="1"/>
  <c r="S905" i="1" s="1"/>
  <c r="M905" i="1"/>
  <c r="O904" i="1"/>
  <c r="S904" i="1" s="1"/>
  <c r="M904" i="1"/>
  <c r="O903" i="1"/>
  <c r="P903" i="1" s="1"/>
  <c r="M903" i="1"/>
  <c r="E903" i="1"/>
  <c r="F903" i="1" s="1"/>
  <c r="C903" i="1"/>
  <c r="O902" i="1"/>
  <c r="Q902" i="1" s="1"/>
  <c r="M902" i="1"/>
  <c r="E902" i="1"/>
  <c r="F902" i="1" s="1"/>
  <c r="C902" i="1"/>
  <c r="O901" i="1"/>
  <c r="S901" i="1" s="1"/>
  <c r="M901" i="1"/>
  <c r="C901" i="1"/>
  <c r="O900" i="1"/>
  <c r="P900" i="1" s="1"/>
  <c r="M900" i="1"/>
  <c r="O899" i="1"/>
  <c r="Q899" i="1" s="1"/>
  <c r="M899" i="1"/>
  <c r="C899" i="1"/>
  <c r="O898" i="1"/>
  <c r="S898" i="1" s="1"/>
  <c r="M898" i="1"/>
  <c r="O897" i="1"/>
  <c r="P897" i="1" s="1"/>
  <c r="C897" i="1"/>
  <c r="B897" i="1"/>
  <c r="M897" i="1" s="1"/>
  <c r="O896" i="1"/>
  <c r="S896" i="1" s="1"/>
  <c r="M896" i="1"/>
  <c r="O895" i="1"/>
  <c r="P895" i="1" s="1"/>
  <c r="C895" i="1"/>
  <c r="B895" i="1"/>
  <c r="M895" i="1" s="1"/>
  <c r="O894" i="1"/>
  <c r="S894" i="1" s="1"/>
  <c r="M894" i="1"/>
  <c r="O832" i="1"/>
  <c r="Q832" i="1" s="1"/>
  <c r="M832" i="1"/>
  <c r="O838" i="1"/>
  <c r="S838" i="1" s="1"/>
  <c r="M838" i="1"/>
  <c r="O837" i="1"/>
  <c r="Q837" i="1" s="1"/>
  <c r="M837" i="1"/>
  <c r="E837" i="1"/>
  <c r="F837" i="1" s="1"/>
  <c r="C837" i="1"/>
  <c r="O836" i="1"/>
  <c r="S836" i="1" s="1"/>
  <c r="M836" i="1"/>
  <c r="C836" i="1"/>
  <c r="O835" i="1"/>
  <c r="Q835" i="1" s="1"/>
  <c r="M835" i="1"/>
  <c r="C835" i="1"/>
  <c r="O834" i="1"/>
  <c r="S834" i="1" s="1"/>
  <c r="M834" i="1"/>
  <c r="C834" i="1"/>
  <c r="O833" i="1"/>
  <c r="P833" i="1" s="1"/>
  <c r="M833" i="1"/>
  <c r="O774" i="1"/>
  <c r="S774" i="1" s="1"/>
  <c r="O773" i="1"/>
  <c r="Q773" i="1" s="1"/>
  <c r="E773" i="1"/>
  <c r="F773" i="1" s="1"/>
  <c r="C773" i="1"/>
  <c r="O772" i="1"/>
  <c r="S772" i="1" s="1"/>
  <c r="C772" i="1"/>
  <c r="O771" i="1"/>
  <c r="Q771" i="1" s="1"/>
  <c r="C771" i="1"/>
  <c r="O770" i="1"/>
  <c r="S770" i="1" s="1"/>
  <c r="C770" i="1"/>
  <c r="O769" i="1"/>
  <c r="P769" i="1" s="1"/>
  <c r="O722" i="1"/>
  <c r="S722" i="1" s="1"/>
  <c r="M722" i="1"/>
  <c r="O721" i="1"/>
  <c r="Q721" i="1" s="1"/>
  <c r="M721" i="1"/>
  <c r="E721" i="1"/>
  <c r="F721" i="1" s="1"/>
  <c r="C721" i="1"/>
  <c r="O720" i="1"/>
  <c r="S720" i="1" s="1"/>
  <c r="M720" i="1"/>
  <c r="C720" i="1"/>
  <c r="O719" i="1"/>
  <c r="Q719" i="1" s="1"/>
  <c r="M719" i="1"/>
  <c r="C719" i="1"/>
  <c r="O718" i="1"/>
  <c r="S718" i="1" s="1"/>
  <c r="M718" i="1"/>
  <c r="C718" i="1"/>
  <c r="O717" i="1"/>
  <c r="Q717" i="1" s="1"/>
  <c r="M717" i="1"/>
  <c r="O648" i="1"/>
  <c r="Q648" i="1" s="1"/>
  <c r="M648" i="1"/>
  <c r="O647" i="1"/>
  <c r="P647" i="1" s="1"/>
  <c r="M647" i="1"/>
  <c r="E647" i="1"/>
  <c r="F647" i="1" s="1"/>
  <c r="C647" i="1"/>
  <c r="O646" i="1"/>
  <c r="Q646" i="1" s="1"/>
  <c r="M646" i="1"/>
  <c r="C646" i="1"/>
  <c r="O645" i="1"/>
  <c r="S645" i="1" s="1"/>
  <c r="M645" i="1"/>
  <c r="C645" i="1"/>
  <c r="O644" i="1"/>
  <c r="S644" i="1" s="1"/>
  <c r="M644" i="1"/>
  <c r="C644" i="1"/>
  <c r="O643" i="1"/>
  <c r="S643" i="1" s="1"/>
  <c r="M643" i="1"/>
  <c r="O624" i="1"/>
  <c r="Q624" i="1" s="1"/>
  <c r="M624" i="1"/>
  <c r="O623" i="1"/>
  <c r="M623" i="1"/>
  <c r="C623" i="1"/>
  <c r="E227" i="1"/>
  <c r="F227" i="1" s="1"/>
  <c r="O227" i="1"/>
  <c r="Q227" i="1" s="1"/>
  <c r="M227" i="1"/>
  <c r="E604" i="1"/>
  <c r="F604" i="1" s="1"/>
  <c r="M604" i="1"/>
  <c r="O604" i="1"/>
  <c r="N604" i="1" s="1"/>
  <c r="O588" i="1"/>
  <c r="Q588" i="1" s="1"/>
  <c r="M588" i="1"/>
  <c r="O587" i="1"/>
  <c r="P587" i="1" s="1"/>
  <c r="M587" i="1"/>
  <c r="E587" i="1"/>
  <c r="F587" i="1" s="1"/>
  <c r="C587" i="1"/>
  <c r="O586" i="1"/>
  <c r="Q586" i="1" s="1"/>
  <c r="M586" i="1"/>
  <c r="C586" i="1"/>
  <c r="O585" i="1"/>
  <c r="S585" i="1" s="1"/>
  <c r="M585" i="1"/>
  <c r="C585" i="1"/>
  <c r="O584" i="1"/>
  <c r="S584" i="1" s="1"/>
  <c r="M584" i="1"/>
  <c r="C584" i="1"/>
  <c r="O583" i="1"/>
  <c r="S583" i="1" s="1"/>
  <c r="M583" i="1"/>
  <c r="O582" i="1"/>
  <c r="S582" i="1" s="1"/>
  <c r="M582" i="1"/>
  <c r="O581" i="1"/>
  <c r="P581" i="1" s="1"/>
  <c r="M581" i="1"/>
  <c r="E581" i="1"/>
  <c r="F581" i="1" s="1"/>
  <c r="C581" i="1"/>
  <c r="O580" i="1"/>
  <c r="Q580" i="1" s="1"/>
  <c r="M580" i="1"/>
  <c r="E580" i="1"/>
  <c r="F580" i="1" s="1"/>
  <c r="C580" i="1"/>
  <c r="O579" i="1"/>
  <c r="S579" i="1" s="1"/>
  <c r="M579" i="1"/>
  <c r="C579" i="1"/>
  <c r="O578" i="1"/>
  <c r="S578" i="1" s="1"/>
  <c r="M578" i="1"/>
  <c r="O577" i="1"/>
  <c r="Q577" i="1" s="1"/>
  <c r="M577" i="1"/>
  <c r="C577" i="1"/>
  <c r="O576" i="1"/>
  <c r="S576" i="1" s="1"/>
  <c r="M576" i="1"/>
  <c r="O575" i="1"/>
  <c r="P575" i="1" s="1"/>
  <c r="C575" i="1"/>
  <c r="B575" i="1"/>
  <c r="M575" i="1" s="1"/>
  <c r="O574" i="1"/>
  <c r="S574" i="1" s="1"/>
  <c r="M574" i="1"/>
  <c r="O573" i="1"/>
  <c r="P573" i="1" s="1"/>
  <c r="C573" i="1"/>
  <c r="B573" i="1"/>
  <c r="M573" i="1" s="1"/>
  <c r="O572" i="1"/>
  <c r="S572" i="1" s="1"/>
  <c r="M572" i="1"/>
  <c r="S1431" i="1" l="1"/>
  <c r="N1431" i="1"/>
  <c r="N1264" i="1"/>
  <c r="Q1431" i="1"/>
  <c r="Q1264" i="1"/>
  <c r="Q1432" i="1"/>
  <c r="S1264" i="1"/>
  <c r="N1269" i="1"/>
  <c r="P1432" i="1"/>
  <c r="S1433" i="1"/>
  <c r="P1434" i="1"/>
  <c r="N1435" i="1"/>
  <c r="S1435" i="1"/>
  <c r="Q1434" i="1"/>
  <c r="P1436" i="1"/>
  <c r="P1433" i="1"/>
  <c r="N1434" i="1"/>
  <c r="P1435" i="1"/>
  <c r="Q1436" i="1"/>
  <c r="N1436" i="1"/>
  <c r="N1417" i="1"/>
  <c r="P1417" i="1"/>
  <c r="S1269" i="1"/>
  <c r="P1269" i="1"/>
  <c r="N1244" i="1"/>
  <c r="Q1202" i="1"/>
  <c r="P1244" i="1"/>
  <c r="S1054" i="1"/>
  <c r="P1131" i="1"/>
  <c r="N1202" i="1"/>
  <c r="S1202" i="1"/>
  <c r="P1265" i="1"/>
  <c r="S1266" i="1"/>
  <c r="P1267" i="1"/>
  <c r="N1268" i="1"/>
  <c r="S1268" i="1"/>
  <c r="Q1265" i="1"/>
  <c r="Q1267" i="1"/>
  <c r="P1266" i="1"/>
  <c r="N1267" i="1"/>
  <c r="P1268" i="1"/>
  <c r="Q1054" i="1"/>
  <c r="N1126" i="1"/>
  <c r="P1203" i="1"/>
  <c r="S1204" i="1"/>
  <c r="P1205" i="1"/>
  <c r="N1206" i="1"/>
  <c r="S1206" i="1"/>
  <c r="Q1203" i="1"/>
  <c r="Q1205" i="1"/>
  <c r="P1207" i="1"/>
  <c r="N1054" i="1"/>
  <c r="S1126" i="1"/>
  <c r="P1204" i="1"/>
  <c r="N1205" i="1"/>
  <c r="P1206" i="1"/>
  <c r="Q1207" i="1"/>
  <c r="N1207" i="1"/>
  <c r="P1126" i="1"/>
  <c r="N1168" i="1"/>
  <c r="P1168" i="1"/>
  <c r="Q1127" i="1"/>
  <c r="Q1014" i="1"/>
  <c r="P1127" i="1"/>
  <c r="S1128" i="1"/>
  <c r="P1129" i="1"/>
  <c r="N1130" i="1"/>
  <c r="S1130" i="1"/>
  <c r="Q1129" i="1"/>
  <c r="P1128" i="1"/>
  <c r="N1129" i="1"/>
  <c r="P1130" i="1"/>
  <c r="Q1131" i="1"/>
  <c r="N1131" i="1"/>
  <c r="N1091" i="1"/>
  <c r="Q972" i="1"/>
  <c r="P1091" i="1"/>
  <c r="N1014" i="1"/>
  <c r="S1014" i="1"/>
  <c r="P1055" i="1"/>
  <c r="S1056" i="1"/>
  <c r="P1057" i="1"/>
  <c r="N1058" i="1"/>
  <c r="S1058" i="1"/>
  <c r="Q1055" i="1"/>
  <c r="Q1057" i="1"/>
  <c r="P1059" i="1"/>
  <c r="P908" i="1"/>
  <c r="P1056" i="1"/>
  <c r="N1057" i="1"/>
  <c r="P1058" i="1"/>
  <c r="Q1059" i="1"/>
  <c r="N1059" i="1"/>
  <c r="N972" i="1"/>
  <c r="S972" i="1"/>
  <c r="P1015" i="1"/>
  <c r="S1016" i="1"/>
  <c r="P1017" i="1"/>
  <c r="N1018" i="1"/>
  <c r="S1018" i="1"/>
  <c r="Q1015" i="1"/>
  <c r="Q1017" i="1"/>
  <c r="P1019" i="1"/>
  <c r="P970" i="1"/>
  <c r="P1016" i="1"/>
  <c r="N1017" i="1"/>
  <c r="P1018" i="1"/>
  <c r="Q1019" i="1"/>
  <c r="N1019" i="1"/>
  <c r="S900" i="1"/>
  <c r="P905" i="1"/>
  <c r="P967" i="1"/>
  <c r="S769" i="1"/>
  <c r="N900" i="1"/>
  <c r="P906" i="1"/>
  <c r="S897" i="1"/>
  <c r="N897" i="1"/>
  <c r="Q900" i="1"/>
  <c r="P910" i="1"/>
  <c r="P968" i="1"/>
  <c r="Q894" i="1"/>
  <c r="S895" i="1"/>
  <c r="N970" i="1"/>
  <c r="S970" i="1"/>
  <c r="Q971" i="1"/>
  <c r="Q769" i="1"/>
  <c r="Q833" i="1"/>
  <c r="N895" i="1"/>
  <c r="S902" i="1"/>
  <c r="Q906" i="1"/>
  <c r="Q967" i="1"/>
  <c r="Q968" i="1"/>
  <c r="P969" i="1"/>
  <c r="N971" i="1"/>
  <c r="S971" i="1"/>
  <c r="S833" i="1"/>
  <c r="Q903" i="1"/>
  <c r="N967" i="1"/>
  <c r="Q969" i="1"/>
  <c r="P894" i="1"/>
  <c r="P896" i="1"/>
  <c r="Q897" i="1"/>
  <c r="P898" i="1"/>
  <c r="N902" i="1"/>
  <c r="Q895" i="1"/>
  <c r="N899" i="1"/>
  <c r="S899" i="1"/>
  <c r="N908" i="1"/>
  <c r="S908" i="1"/>
  <c r="Q909" i="1"/>
  <c r="P901" i="1"/>
  <c r="N903" i="1"/>
  <c r="S903" i="1"/>
  <c r="P904" i="1"/>
  <c r="Q905" i="1"/>
  <c r="P907" i="1"/>
  <c r="N909" i="1"/>
  <c r="S909" i="1"/>
  <c r="Q896" i="1"/>
  <c r="Q898" i="1"/>
  <c r="P899" i="1"/>
  <c r="Q901" i="1"/>
  <c r="P902" i="1"/>
  <c r="Q904" i="1"/>
  <c r="N905" i="1"/>
  <c r="N906" i="1"/>
  <c r="Q907" i="1"/>
  <c r="Q910" i="1"/>
  <c r="N833" i="1"/>
  <c r="Q838" i="1"/>
  <c r="N894" i="1"/>
  <c r="N896" i="1"/>
  <c r="N898" i="1"/>
  <c r="N901" i="1"/>
  <c r="N904" i="1"/>
  <c r="N907" i="1"/>
  <c r="N910" i="1"/>
  <c r="P838" i="1"/>
  <c r="N832" i="1"/>
  <c r="N769" i="1"/>
  <c r="N717" i="1"/>
  <c r="P832" i="1"/>
  <c r="P834" i="1"/>
  <c r="S835" i="1"/>
  <c r="P836" i="1"/>
  <c r="N837" i="1"/>
  <c r="S837" i="1"/>
  <c r="P227" i="1"/>
  <c r="S717" i="1"/>
  <c r="Q834" i="1"/>
  <c r="Q836" i="1"/>
  <c r="P722" i="1"/>
  <c r="P835" i="1"/>
  <c r="N836" i="1"/>
  <c r="P837" i="1"/>
  <c r="N838" i="1"/>
  <c r="P643" i="1"/>
  <c r="P717" i="1"/>
  <c r="P770" i="1"/>
  <c r="S771" i="1"/>
  <c r="P772" i="1"/>
  <c r="N773" i="1"/>
  <c r="S773" i="1"/>
  <c r="Q770" i="1"/>
  <c r="Q772" i="1"/>
  <c r="P774" i="1"/>
  <c r="P771" i="1"/>
  <c r="N772" i="1"/>
  <c r="P773" i="1"/>
  <c r="Q774" i="1"/>
  <c r="Q718" i="1"/>
  <c r="N774" i="1"/>
  <c r="N648" i="1"/>
  <c r="P718" i="1"/>
  <c r="S719" i="1"/>
  <c r="P720" i="1"/>
  <c r="N721" i="1"/>
  <c r="S721" i="1"/>
  <c r="Q720" i="1"/>
  <c r="P646" i="1"/>
  <c r="S648" i="1"/>
  <c r="P719" i="1"/>
  <c r="N720" i="1"/>
  <c r="P721" i="1"/>
  <c r="Q722" i="1"/>
  <c r="P644" i="1"/>
  <c r="N722" i="1"/>
  <c r="N646" i="1"/>
  <c r="S646" i="1"/>
  <c r="Q647" i="1"/>
  <c r="P586" i="1"/>
  <c r="Q643" i="1"/>
  <c r="Q644" i="1"/>
  <c r="P645" i="1"/>
  <c r="N647" i="1"/>
  <c r="S647" i="1"/>
  <c r="P648" i="1"/>
  <c r="N643" i="1"/>
  <c r="Q645" i="1"/>
  <c r="P623" i="1"/>
  <c r="N624" i="1"/>
  <c r="Q623" i="1"/>
  <c r="P624" i="1"/>
  <c r="Q578" i="1"/>
  <c r="N227" i="1"/>
  <c r="N580" i="1"/>
  <c r="Q604" i="1"/>
  <c r="P604" i="1"/>
  <c r="P583" i="1"/>
  <c r="P572" i="1"/>
  <c r="Q573" i="1"/>
  <c r="P574" i="1"/>
  <c r="Q575" i="1"/>
  <c r="N573" i="1"/>
  <c r="S573" i="1"/>
  <c r="N575" i="1"/>
  <c r="S575" i="1"/>
  <c r="S580" i="1"/>
  <c r="N588" i="1"/>
  <c r="P578" i="1"/>
  <c r="Q581" i="1"/>
  <c r="P588" i="1"/>
  <c r="N578" i="1"/>
  <c r="P584" i="1"/>
  <c r="S588" i="1"/>
  <c r="N577" i="1"/>
  <c r="S577" i="1"/>
  <c r="N586" i="1"/>
  <c r="S586" i="1"/>
  <c r="Q587" i="1"/>
  <c r="P579" i="1"/>
  <c r="N581" i="1"/>
  <c r="S581" i="1"/>
  <c r="P582" i="1"/>
  <c r="Q583" i="1"/>
  <c r="Q584" i="1"/>
  <c r="P585" i="1"/>
  <c r="N587" i="1"/>
  <c r="S587" i="1"/>
  <c r="P576" i="1"/>
  <c r="Q574" i="1"/>
  <c r="Q582" i="1"/>
  <c r="N583" i="1"/>
  <c r="N584" i="1"/>
  <c r="Q585" i="1"/>
  <c r="Q572" i="1"/>
  <c r="Q576" i="1"/>
  <c r="P577" i="1"/>
  <c r="Q579" i="1"/>
  <c r="P580" i="1"/>
  <c r="N572" i="1"/>
  <c r="N574" i="1"/>
  <c r="N576" i="1"/>
  <c r="N579" i="1"/>
  <c r="N582" i="1"/>
  <c r="N585" i="1"/>
  <c r="O489" i="1" l="1"/>
  <c r="N489" i="1" s="1"/>
  <c r="M489" i="1"/>
  <c r="F489" i="1"/>
  <c r="O522" i="1"/>
  <c r="S522" i="1" s="1"/>
  <c r="M522" i="1"/>
  <c r="O521" i="1"/>
  <c r="P521" i="1" s="1"/>
  <c r="M521" i="1"/>
  <c r="E521" i="1"/>
  <c r="F521" i="1" s="1"/>
  <c r="C521" i="1"/>
  <c r="O520" i="1"/>
  <c r="Q520" i="1" s="1"/>
  <c r="M520" i="1"/>
  <c r="C520" i="1"/>
  <c r="O519" i="1"/>
  <c r="S519" i="1" s="1"/>
  <c r="M519" i="1"/>
  <c r="C519" i="1"/>
  <c r="O518" i="1"/>
  <c r="S518" i="1" s="1"/>
  <c r="M518" i="1"/>
  <c r="C518" i="1"/>
  <c r="O517" i="1"/>
  <c r="S517" i="1" s="1"/>
  <c r="M517" i="1"/>
  <c r="O461" i="1"/>
  <c r="S461" i="1" s="1"/>
  <c r="M461" i="1"/>
  <c r="O460" i="1"/>
  <c r="P460" i="1" s="1"/>
  <c r="M460" i="1"/>
  <c r="E460" i="1"/>
  <c r="F460" i="1" s="1"/>
  <c r="C460" i="1"/>
  <c r="O459" i="1"/>
  <c r="Q459" i="1" s="1"/>
  <c r="M459" i="1"/>
  <c r="C459" i="1"/>
  <c r="O458" i="1"/>
  <c r="S458" i="1" s="1"/>
  <c r="M458" i="1"/>
  <c r="C458" i="1"/>
  <c r="O457" i="1"/>
  <c r="S457" i="1" s="1"/>
  <c r="M457" i="1"/>
  <c r="C457" i="1"/>
  <c r="O456" i="1"/>
  <c r="S456" i="1" s="1"/>
  <c r="M456" i="1"/>
  <c r="O355" i="1"/>
  <c r="P355" i="1" s="1"/>
  <c r="M355" i="1"/>
  <c r="O354" i="1"/>
  <c r="P354" i="1" s="1"/>
  <c r="M354" i="1"/>
  <c r="E354" i="1"/>
  <c r="F354" i="1" s="1"/>
  <c r="C354" i="1"/>
  <c r="O353" i="1"/>
  <c r="Q353" i="1" s="1"/>
  <c r="M353" i="1"/>
  <c r="C353" i="1"/>
  <c r="O352" i="1"/>
  <c r="S352" i="1" s="1"/>
  <c r="M352" i="1"/>
  <c r="C352" i="1"/>
  <c r="O351" i="1"/>
  <c r="S351" i="1" s="1"/>
  <c r="M351" i="1"/>
  <c r="C351" i="1"/>
  <c r="O350" i="1"/>
  <c r="S350" i="1" s="1"/>
  <c r="M350" i="1"/>
  <c r="O272" i="1"/>
  <c r="S272" i="1" s="1"/>
  <c r="M272" i="1"/>
  <c r="O271" i="1"/>
  <c r="P271" i="1" s="1"/>
  <c r="M271" i="1"/>
  <c r="E271" i="1"/>
  <c r="F271" i="1" s="1"/>
  <c r="C271" i="1"/>
  <c r="O270" i="1"/>
  <c r="Q270" i="1" s="1"/>
  <c r="M270" i="1"/>
  <c r="C270" i="1"/>
  <c r="O269" i="1"/>
  <c r="S269" i="1" s="1"/>
  <c r="M269" i="1"/>
  <c r="C269" i="1"/>
  <c r="O268" i="1"/>
  <c r="S268" i="1" s="1"/>
  <c r="M268" i="1"/>
  <c r="C268" i="1"/>
  <c r="O267" i="1"/>
  <c r="S267" i="1" s="1"/>
  <c r="M267" i="1"/>
  <c r="C207" i="1"/>
  <c r="O203" i="1"/>
  <c r="S203" i="1" s="1"/>
  <c r="M203" i="1"/>
  <c r="E203" i="1"/>
  <c r="F203" i="1" s="1"/>
  <c r="C203" i="1"/>
  <c r="O211" i="1"/>
  <c r="S211" i="1" s="1"/>
  <c r="M211" i="1"/>
  <c r="O210" i="1"/>
  <c r="P210" i="1" s="1"/>
  <c r="M210" i="1"/>
  <c r="E210" i="1"/>
  <c r="F210" i="1" s="1"/>
  <c r="C210" i="1"/>
  <c r="O209" i="1"/>
  <c r="Q209" i="1" s="1"/>
  <c r="M209" i="1"/>
  <c r="C209" i="1"/>
  <c r="O208" i="1"/>
  <c r="S208" i="1" s="1"/>
  <c r="M208" i="1"/>
  <c r="C208" i="1"/>
  <c r="O207" i="1"/>
  <c r="S207" i="1" s="1"/>
  <c r="M207" i="1"/>
  <c r="O206" i="1"/>
  <c r="S206" i="1" s="1"/>
  <c r="M206" i="1"/>
  <c r="O205" i="1"/>
  <c r="S205" i="1" s="1"/>
  <c r="M205" i="1"/>
  <c r="O204" i="1"/>
  <c r="P204" i="1" s="1"/>
  <c r="M204" i="1"/>
  <c r="E204" i="1"/>
  <c r="F204" i="1" s="1"/>
  <c r="C204" i="1"/>
  <c r="O202" i="1"/>
  <c r="S202" i="1" s="1"/>
  <c r="M202" i="1"/>
  <c r="C202" i="1"/>
  <c r="O201" i="1"/>
  <c r="S201" i="1" s="1"/>
  <c r="M201" i="1"/>
  <c r="O200" i="1"/>
  <c r="Q200" i="1" s="1"/>
  <c r="M200" i="1"/>
  <c r="C200" i="1"/>
  <c r="O199" i="1"/>
  <c r="S199" i="1" s="1"/>
  <c r="M199" i="1"/>
  <c r="O198" i="1"/>
  <c r="P198" i="1" s="1"/>
  <c r="C198" i="1"/>
  <c r="B198" i="1"/>
  <c r="M198" i="1" s="1"/>
  <c r="O197" i="1"/>
  <c r="S197" i="1" s="1"/>
  <c r="M197" i="1"/>
  <c r="O196" i="1"/>
  <c r="P196" i="1" s="1"/>
  <c r="C196" i="1"/>
  <c r="B196" i="1"/>
  <c r="M196" i="1" s="1"/>
  <c r="O195" i="1"/>
  <c r="S195" i="1" s="1"/>
  <c r="M195" i="1"/>
  <c r="P520" i="1" l="1"/>
  <c r="P459" i="1"/>
  <c r="P522" i="1"/>
  <c r="P457" i="1"/>
  <c r="P517" i="1"/>
  <c r="P350" i="1"/>
  <c r="S355" i="1"/>
  <c r="N355" i="1"/>
  <c r="Q457" i="1"/>
  <c r="P489" i="1"/>
  <c r="P353" i="1"/>
  <c r="Q355" i="1"/>
  <c r="P456" i="1"/>
  <c r="Q461" i="1"/>
  <c r="P518" i="1"/>
  <c r="Q489" i="1"/>
  <c r="P267" i="1"/>
  <c r="N520" i="1"/>
  <c r="S520" i="1"/>
  <c r="Q521" i="1"/>
  <c r="Q211" i="1"/>
  <c r="Q517" i="1"/>
  <c r="Q518" i="1"/>
  <c r="P519" i="1"/>
  <c r="N521" i="1"/>
  <c r="S521" i="1"/>
  <c r="P461" i="1"/>
  <c r="N517" i="1"/>
  <c r="N518" i="1"/>
  <c r="Q519" i="1"/>
  <c r="Q522" i="1"/>
  <c r="N519" i="1"/>
  <c r="N522" i="1"/>
  <c r="N459" i="1"/>
  <c r="S459" i="1"/>
  <c r="Q460" i="1"/>
  <c r="Q456" i="1"/>
  <c r="P458" i="1"/>
  <c r="N460" i="1"/>
  <c r="S460" i="1"/>
  <c r="N456" i="1"/>
  <c r="N457" i="1"/>
  <c r="Q458" i="1"/>
  <c r="N458" i="1"/>
  <c r="N461" i="1"/>
  <c r="P270" i="1"/>
  <c r="P351" i="1"/>
  <c r="N353" i="1"/>
  <c r="S353" i="1"/>
  <c r="Q354" i="1"/>
  <c r="Q350" i="1"/>
  <c r="Q351" i="1"/>
  <c r="P352" i="1"/>
  <c r="N354" i="1"/>
  <c r="S354" i="1"/>
  <c r="N350" i="1"/>
  <c r="N351" i="1"/>
  <c r="Q352" i="1"/>
  <c r="N352" i="1"/>
  <c r="N196" i="1"/>
  <c r="S196" i="1"/>
  <c r="P209" i="1"/>
  <c r="P268" i="1"/>
  <c r="N270" i="1"/>
  <c r="S270" i="1"/>
  <c r="Q271" i="1"/>
  <c r="Q267" i="1"/>
  <c r="Q268" i="1"/>
  <c r="P269" i="1"/>
  <c r="N271" i="1"/>
  <c r="S271" i="1"/>
  <c r="P272" i="1"/>
  <c r="N267" i="1"/>
  <c r="N268" i="1"/>
  <c r="Q269" i="1"/>
  <c r="Q272" i="1"/>
  <c r="N269" i="1"/>
  <c r="N272" i="1"/>
  <c r="P201" i="1"/>
  <c r="S200" i="1"/>
  <c r="P206" i="1"/>
  <c r="P203" i="1"/>
  <c r="N200" i="1"/>
  <c r="Q198" i="1"/>
  <c r="Q196" i="1"/>
  <c r="N198" i="1"/>
  <c r="S198" i="1"/>
  <c r="P205" i="1"/>
  <c r="Q206" i="1"/>
  <c r="Q203" i="1"/>
  <c r="N203" i="1"/>
  <c r="P207" i="1"/>
  <c r="Q204" i="1"/>
  <c r="S204" i="1"/>
  <c r="N204" i="1"/>
  <c r="N209" i="1"/>
  <c r="S209" i="1"/>
  <c r="Q210" i="1"/>
  <c r="P199" i="1"/>
  <c r="Q201" i="1"/>
  <c r="P202" i="1"/>
  <c r="Q205" i="1"/>
  <c r="N206" i="1"/>
  <c r="Q207" i="1"/>
  <c r="P208" i="1"/>
  <c r="N210" i="1"/>
  <c r="S210" i="1"/>
  <c r="P211" i="1"/>
  <c r="P197" i="1"/>
  <c r="Q195" i="1"/>
  <c r="Q199" i="1"/>
  <c r="P200" i="1"/>
  <c r="N201" i="1"/>
  <c r="Q202" i="1"/>
  <c r="N205" i="1"/>
  <c r="N207" i="1"/>
  <c r="Q208" i="1"/>
  <c r="P195" i="1"/>
  <c r="Q197" i="1"/>
  <c r="N195" i="1"/>
  <c r="N197" i="1"/>
  <c r="N199" i="1"/>
  <c r="N202" i="1"/>
  <c r="N208" i="1"/>
  <c r="N211" i="1"/>
  <c r="O3307" i="1" l="1"/>
  <c r="Q3307" i="1" s="1"/>
  <c r="M3307" i="1"/>
  <c r="E3307" i="1"/>
  <c r="F3307" i="1" s="1"/>
  <c r="C3307" i="1"/>
  <c r="O3188" i="1"/>
  <c r="Q3188" i="1" s="1"/>
  <c r="M3188" i="1"/>
  <c r="E3188" i="1"/>
  <c r="F3188" i="1" s="1"/>
  <c r="C3188" i="1"/>
  <c r="O3074" i="1"/>
  <c r="Q3074" i="1" s="1"/>
  <c r="M3074" i="1"/>
  <c r="E3074" i="1"/>
  <c r="F3074" i="1" s="1"/>
  <c r="C3074" i="1"/>
  <c r="O2620" i="1"/>
  <c r="Q2620" i="1" s="1"/>
  <c r="M2620" i="1"/>
  <c r="E2620" i="1"/>
  <c r="F2620" i="1" s="1"/>
  <c r="C2620" i="1"/>
  <c r="O2179" i="1"/>
  <c r="Q2179" i="1" s="1"/>
  <c r="M2179" i="1"/>
  <c r="E2179" i="1"/>
  <c r="F2179" i="1" s="1"/>
  <c r="C2179" i="1"/>
  <c r="O1933" i="1"/>
  <c r="P1933" i="1" s="1"/>
  <c r="M1933" i="1"/>
  <c r="O1836" i="1"/>
  <c r="Q1836" i="1" s="1"/>
  <c r="M1836" i="1"/>
  <c r="E1836" i="1"/>
  <c r="F1836" i="1" s="1"/>
  <c r="C1836" i="1"/>
  <c r="O3329" i="1"/>
  <c r="Q3329" i="1" s="1"/>
  <c r="M3329" i="1"/>
  <c r="O3328" i="1"/>
  <c r="N3328" i="1" s="1"/>
  <c r="M3328" i="1"/>
  <c r="E3328" i="1"/>
  <c r="F3328" i="1" s="1"/>
  <c r="C3328" i="1"/>
  <c r="O3327" i="1"/>
  <c r="Q3327" i="1" s="1"/>
  <c r="M3327" i="1"/>
  <c r="E3327" i="1"/>
  <c r="F3327" i="1" s="1"/>
  <c r="C3327" i="1"/>
  <c r="O3326" i="1"/>
  <c r="N3326" i="1" s="1"/>
  <c r="M3326" i="1"/>
  <c r="C3326" i="1"/>
  <c r="O3325" i="1"/>
  <c r="Q3325" i="1" s="1"/>
  <c r="M3325" i="1"/>
  <c r="O3324" i="1"/>
  <c r="Q3324" i="1" s="1"/>
  <c r="M3324" i="1"/>
  <c r="C3324" i="1"/>
  <c r="O3323" i="1"/>
  <c r="Q3323" i="1" s="1"/>
  <c r="M3323" i="1"/>
  <c r="C3323" i="1"/>
  <c r="O3322" i="1"/>
  <c r="N3322" i="1" s="1"/>
  <c r="M3322" i="1"/>
  <c r="L3322" i="1"/>
  <c r="L3323" i="1" s="1"/>
  <c r="L3324" i="1" s="1"/>
  <c r="L3325" i="1" s="1"/>
  <c r="L3326" i="1" s="1"/>
  <c r="L3327" i="1" s="1"/>
  <c r="L3328" i="1" s="1"/>
  <c r="O3309" i="1"/>
  <c r="P3309" i="1" s="1"/>
  <c r="M3309" i="1"/>
  <c r="O3308" i="1"/>
  <c r="N3308" i="1" s="1"/>
  <c r="M3308" i="1"/>
  <c r="E3308" i="1"/>
  <c r="F3308" i="1" s="1"/>
  <c r="C3308" i="1"/>
  <c r="O3306" i="1"/>
  <c r="P3306" i="1" s="1"/>
  <c r="M3306" i="1"/>
  <c r="C3306" i="1"/>
  <c r="O3305" i="1"/>
  <c r="N3305" i="1" s="1"/>
  <c r="M3305" i="1"/>
  <c r="O3304" i="1"/>
  <c r="Q3304" i="1" s="1"/>
  <c r="M3304" i="1"/>
  <c r="C3304" i="1"/>
  <c r="O3303" i="1"/>
  <c r="M3303" i="1"/>
  <c r="C3303" i="1"/>
  <c r="O3302" i="1"/>
  <c r="P3302" i="1" s="1"/>
  <c r="M3302" i="1"/>
  <c r="L3302" i="1"/>
  <c r="L3303" i="1" s="1"/>
  <c r="L3304" i="1" s="1"/>
  <c r="L3305" i="1" s="1"/>
  <c r="L3306" i="1" s="1"/>
  <c r="L3308" i="1" s="1"/>
  <c r="O3186" i="1"/>
  <c r="Q3186" i="1" s="1"/>
  <c r="M3186" i="1"/>
  <c r="O3092" i="1"/>
  <c r="P3092" i="1" s="1"/>
  <c r="M3092" i="1"/>
  <c r="O3091" i="1"/>
  <c r="P3091" i="1" s="1"/>
  <c r="M3091" i="1"/>
  <c r="C3091" i="1"/>
  <c r="O3072" i="1"/>
  <c r="Q3072" i="1" s="1"/>
  <c r="M3072" i="1"/>
  <c r="O2717" i="1"/>
  <c r="Q2717" i="1" s="1"/>
  <c r="M2717" i="1"/>
  <c r="O2638" i="1"/>
  <c r="Q2638" i="1" s="1"/>
  <c r="M2638" i="1"/>
  <c r="O2637" i="1"/>
  <c r="P2637" i="1" s="1"/>
  <c r="M2637" i="1"/>
  <c r="C2637" i="1"/>
  <c r="O2618" i="1"/>
  <c r="Q2618" i="1" s="1"/>
  <c r="M2618" i="1"/>
  <c r="O2276" i="1"/>
  <c r="Q2276" i="1" s="1"/>
  <c r="M2276" i="1"/>
  <c r="O2197" i="1"/>
  <c r="Q2197" i="1" s="1"/>
  <c r="M2197" i="1"/>
  <c r="O2196" i="1"/>
  <c r="P2196" i="1" s="1"/>
  <c r="M2196" i="1"/>
  <c r="C2196" i="1"/>
  <c r="O2177" i="1"/>
  <c r="Q2177" i="1" s="1"/>
  <c r="M2177" i="1"/>
  <c r="O1854" i="1"/>
  <c r="N1854" i="1" s="1"/>
  <c r="M1854" i="1"/>
  <c r="O1834" i="1"/>
  <c r="Q1834" i="1" s="1"/>
  <c r="M1834" i="1"/>
  <c r="O1531" i="1"/>
  <c r="Q1531" i="1" s="1"/>
  <c r="M1531" i="1"/>
  <c r="O1530" i="1"/>
  <c r="P1530" i="1" s="1"/>
  <c r="M1530" i="1"/>
  <c r="C1530" i="1"/>
  <c r="O1472" i="1"/>
  <c r="Q1472" i="1" s="1"/>
  <c r="M1472" i="1"/>
  <c r="O1185" i="1"/>
  <c r="P1185" i="1" s="1"/>
  <c r="M1185" i="1"/>
  <c r="O1109" i="1"/>
  <c r="Q1109" i="1" s="1"/>
  <c r="O700" i="1"/>
  <c r="N700" i="1" s="1"/>
  <c r="M700" i="1"/>
  <c r="O451" i="1"/>
  <c r="Q451" i="1" s="1"/>
  <c r="M451" i="1"/>
  <c r="O345" i="1"/>
  <c r="Q345" i="1" s="1"/>
  <c r="M345" i="1"/>
  <c r="E327" i="1"/>
  <c r="F327" i="1" s="1"/>
  <c r="O327" i="1"/>
  <c r="Q327" i="1" s="1"/>
  <c r="M327" i="1"/>
  <c r="C327" i="1"/>
  <c r="O325" i="1"/>
  <c r="Q325" i="1" s="1"/>
  <c r="M325" i="1"/>
  <c r="C36" i="1"/>
  <c r="O36" i="1"/>
  <c r="Q36" i="1" s="1"/>
  <c r="M36" i="1"/>
  <c r="E36" i="1"/>
  <c r="F36" i="1" s="1"/>
  <c r="O34" i="1"/>
  <c r="P34" i="1" s="1"/>
  <c r="M34" i="1"/>
  <c r="O3190" i="1"/>
  <c r="N3190" i="1" s="1"/>
  <c r="M3190" i="1"/>
  <c r="O3189" i="1"/>
  <c r="N3189" i="1" s="1"/>
  <c r="M3189" i="1"/>
  <c r="E3189" i="1"/>
  <c r="F3189" i="1" s="1"/>
  <c r="C3189" i="1"/>
  <c r="O3187" i="1"/>
  <c r="Q3187" i="1" s="1"/>
  <c r="M3187" i="1"/>
  <c r="C3187" i="1"/>
  <c r="O3185" i="1"/>
  <c r="M3185" i="1"/>
  <c r="C3185" i="1"/>
  <c r="O3184" i="1"/>
  <c r="Q3184" i="1" s="1"/>
  <c r="M3184" i="1"/>
  <c r="C3184" i="1"/>
  <c r="O3183" i="1"/>
  <c r="N3183" i="1" s="1"/>
  <c r="M3183" i="1"/>
  <c r="L3183" i="1"/>
  <c r="L3184" i="1" s="1"/>
  <c r="L3185" i="1" s="1"/>
  <c r="L3186" i="1" s="1"/>
  <c r="L3187" i="1" s="1"/>
  <c r="L3189" i="1" s="1"/>
  <c r="O3149" i="1"/>
  <c r="Q3149" i="1" s="1"/>
  <c r="M3149" i="1"/>
  <c r="F3149" i="1"/>
  <c r="O3148" i="1"/>
  <c r="P3148" i="1" s="1"/>
  <c r="M3148" i="1"/>
  <c r="O3147" i="1"/>
  <c r="N3147" i="1" s="1"/>
  <c r="M3147" i="1"/>
  <c r="O3146" i="1"/>
  <c r="P3146" i="1" s="1"/>
  <c r="M3146" i="1"/>
  <c r="L3146" i="1"/>
  <c r="E3146" i="1"/>
  <c r="F3146" i="1" s="1"/>
  <c r="C3146" i="1"/>
  <c r="O3145" i="1"/>
  <c r="N3145" i="1" s="1"/>
  <c r="M3145" i="1"/>
  <c r="C3145" i="1"/>
  <c r="O3144" i="1"/>
  <c r="N3144" i="1" s="1"/>
  <c r="M3144" i="1"/>
  <c r="O3143" i="1"/>
  <c r="Q3143" i="1" s="1"/>
  <c r="M3143" i="1"/>
  <c r="E3143" i="1"/>
  <c r="F3143" i="1" s="1"/>
  <c r="C3143" i="1"/>
  <c r="O3142" i="1"/>
  <c r="N3142" i="1" s="1"/>
  <c r="M3142" i="1"/>
  <c r="E3142" i="1"/>
  <c r="F3142" i="1" s="1"/>
  <c r="C3142" i="1"/>
  <c r="O3141" i="1"/>
  <c r="P3141" i="1" s="1"/>
  <c r="M3141" i="1"/>
  <c r="C3141" i="1"/>
  <c r="O3140" i="1"/>
  <c r="P3140" i="1" s="1"/>
  <c r="M3140" i="1"/>
  <c r="O3138" i="1"/>
  <c r="Q3138" i="1" s="1"/>
  <c r="M3138" i="1"/>
  <c r="L3138" i="1"/>
  <c r="O3137" i="1"/>
  <c r="Q3137" i="1" s="1"/>
  <c r="M3137" i="1"/>
  <c r="Q3136" i="1"/>
  <c r="K3136" i="1"/>
  <c r="K3137" i="1" s="1"/>
  <c r="K3138" i="1" s="1"/>
  <c r="O3134" i="1"/>
  <c r="Q3134" i="1" s="1"/>
  <c r="M3134" i="1"/>
  <c r="F3134" i="1"/>
  <c r="O3133" i="1"/>
  <c r="P3133" i="1" s="1"/>
  <c r="M3133" i="1"/>
  <c r="O3132" i="1"/>
  <c r="N3132" i="1" s="1"/>
  <c r="M3132" i="1"/>
  <c r="O3131" i="1"/>
  <c r="P3131" i="1" s="1"/>
  <c r="M3131" i="1"/>
  <c r="L3131" i="1"/>
  <c r="E3131" i="1"/>
  <c r="F3131" i="1" s="1"/>
  <c r="C3131" i="1"/>
  <c r="O3130" i="1"/>
  <c r="N3130" i="1" s="1"/>
  <c r="M3130" i="1"/>
  <c r="C3130" i="1"/>
  <c r="O3129" i="1"/>
  <c r="Q3129" i="1" s="1"/>
  <c r="M3129" i="1"/>
  <c r="O3128" i="1"/>
  <c r="P3128" i="1" s="1"/>
  <c r="M3128" i="1"/>
  <c r="E3128" i="1"/>
  <c r="F3128" i="1" s="1"/>
  <c r="C3128" i="1"/>
  <c r="O3127" i="1"/>
  <c r="N3127" i="1" s="1"/>
  <c r="M3127" i="1"/>
  <c r="E3127" i="1"/>
  <c r="F3127" i="1" s="1"/>
  <c r="C3127" i="1"/>
  <c r="O3126" i="1"/>
  <c r="P3126" i="1" s="1"/>
  <c r="M3126" i="1"/>
  <c r="C3126" i="1"/>
  <c r="O3125" i="1"/>
  <c r="P3125" i="1" s="1"/>
  <c r="M3125" i="1"/>
  <c r="O3124" i="1"/>
  <c r="Q3124" i="1" s="1"/>
  <c r="M3124" i="1"/>
  <c r="C3124" i="1"/>
  <c r="O3123" i="1"/>
  <c r="Q3123" i="1" s="1"/>
  <c r="M3123" i="1"/>
  <c r="L3123" i="1"/>
  <c r="L3124" i="1" s="1"/>
  <c r="L3126" i="1" s="1"/>
  <c r="L3125" i="1" s="1"/>
  <c r="L3128" i="1" s="1"/>
  <c r="O3122" i="1"/>
  <c r="Q3122" i="1" s="1"/>
  <c r="M3122" i="1"/>
  <c r="Q3121" i="1"/>
  <c r="K3121" i="1"/>
  <c r="K3122" i="1" s="1"/>
  <c r="K3123" i="1" s="1"/>
  <c r="K3124" i="1" s="1"/>
  <c r="K3126" i="1" s="1"/>
  <c r="K3125" i="1" s="1"/>
  <c r="K3127" i="1" s="1"/>
  <c r="K3128" i="1" s="1"/>
  <c r="K3129" i="1" s="1"/>
  <c r="K3130" i="1" s="1"/>
  <c r="K3131" i="1" s="1"/>
  <c r="K3132" i="1" s="1"/>
  <c r="K3133" i="1" s="1"/>
  <c r="K3134" i="1" s="1"/>
  <c r="O3096" i="1"/>
  <c r="Q3096" i="1" s="1"/>
  <c r="M3096" i="1"/>
  <c r="O3095" i="1"/>
  <c r="N3095" i="1" s="1"/>
  <c r="M3095" i="1"/>
  <c r="E3095" i="1"/>
  <c r="F3095" i="1" s="1"/>
  <c r="C3095" i="1"/>
  <c r="O3094" i="1"/>
  <c r="Q3094" i="1" s="1"/>
  <c r="M3094" i="1"/>
  <c r="E3094" i="1"/>
  <c r="F3094" i="1" s="1"/>
  <c r="C3094" i="1"/>
  <c r="O3093" i="1"/>
  <c r="N3093" i="1" s="1"/>
  <c r="M3093" i="1"/>
  <c r="C3093" i="1"/>
  <c r="O3090" i="1"/>
  <c r="M3090" i="1"/>
  <c r="C3090" i="1"/>
  <c r="O3089" i="1"/>
  <c r="Q3089" i="1" s="1"/>
  <c r="M3089" i="1"/>
  <c r="L3089" i="1"/>
  <c r="L3090" i="1" s="1"/>
  <c r="O3076" i="1"/>
  <c r="Q3076" i="1" s="1"/>
  <c r="M3076" i="1"/>
  <c r="O3075" i="1"/>
  <c r="N3075" i="1" s="1"/>
  <c r="M3075" i="1"/>
  <c r="E3075" i="1"/>
  <c r="F3075" i="1" s="1"/>
  <c r="C3075" i="1"/>
  <c r="O3073" i="1"/>
  <c r="Q3073" i="1" s="1"/>
  <c r="M3073" i="1"/>
  <c r="C3073" i="1"/>
  <c r="O3071" i="1"/>
  <c r="M3071" i="1"/>
  <c r="C3071" i="1"/>
  <c r="O3070" i="1"/>
  <c r="Q3070" i="1" s="1"/>
  <c r="M3070" i="1"/>
  <c r="C3070" i="1"/>
  <c r="O3069" i="1"/>
  <c r="N3069" i="1" s="1"/>
  <c r="M3069" i="1"/>
  <c r="L3069" i="1"/>
  <c r="L3070" i="1" s="1"/>
  <c r="L3071" i="1" s="1"/>
  <c r="L3072" i="1" s="1"/>
  <c r="L3073" i="1" s="1"/>
  <c r="L3074" i="1" s="1"/>
  <c r="O2721" i="1"/>
  <c r="Q2721" i="1" s="1"/>
  <c r="M2721" i="1"/>
  <c r="O2720" i="1"/>
  <c r="N2720" i="1" s="1"/>
  <c r="M2720" i="1"/>
  <c r="E2720" i="1"/>
  <c r="F2720" i="1" s="1"/>
  <c r="C2720" i="1"/>
  <c r="O2719" i="1"/>
  <c r="Q2719" i="1" s="1"/>
  <c r="M2719" i="1"/>
  <c r="E2719" i="1"/>
  <c r="F2719" i="1" s="1"/>
  <c r="C2719" i="1"/>
  <c r="O2718" i="1"/>
  <c r="N2718" i="1" s="1"/>
  <c r="M2718" i="1"/>
  <c r="C2718" i="1"/>
  <c r="O2716" i="1"/>
  <c r="Q2716" i="1" s="1"/>
  <c r="M2716" i="1"/>
  <c r="C2716" i="1"/>
  <c r="O2715" i="1"/>
  <c r="M2715" i="1"/>
  <c r="C2715" i="1"/>
  <c r="O2714" i="1"/>
  <c r="Q2714" i="1" s="1"/>
  <c r="M2714" i="1"/>
  <c r="L2714" i="1"/>
  <c r="L2715" i="1" s="1"/>
  <c r="L2716" i="1" s="1"/>
  <c r="L2719" i="1" s="1"/>
  <c r="L2720" i="1" s="1"/>
  <c r="O2679" i="1"/>
  <c r="Q2679" i="1" s="1"/>
  <c r="M2679" i="1"/>
  <c r="F2679" i="1"/>
  <c r="O2678" i="1"/>
  <c r="P2678" i="1" s="1"/>
  <c r="M2678" i="1"/>
  <c r="O2677" i="1"/>
  <c r="N2677" i="1" s="1"/>
  <c r="M2677" i="1"/>
  <c r="O2676" i="1"/>
  <c r="P2676" i="1" s="1"/>
  <c r="M2676" i="1"/>
  <c r="L2676" i="1"/>
  <c r="E2676" i="1"/>
  <c r="F2676" i="1" s="1"/>
  <c r="C2676" i="1"/>
  <c r="O2675" i="1"/>
  <c r="N2675" i="1" s="1"/>
  <c r="M2675" i="1"/>
  <c r="C2675" i="1"/>
  <c r="O2674" i="1"/>
  <c r="N2674" i="1" s="1"/>
  <c r="M2674" i="1"/>
  <c r="O2673" i="1"/>
  <c r="Q2673" i="1" s="1"/>
  <c r="M2673" i="1"/>
  <c r="E2673" i="1"/>
  <c r="F2673" i="1" s="1"/>
  <c r="C2673" i="1"/>
  <c r="O2672" i="1"/>
  <c r="N2672" i="1" s="1"/>
  <c r="M2672" i="1"/>
  <c r="E2672" i="1"/>
  <c r="F2672" i="1" s="1"/>
  <c r="C2672" i="1"/>
  <c r="O2671" i="1"/>
  <c r="P2671" i="1" s="1"/>
  <c r="M2671" i="1"/>
  <c r="C2671" i="1"/>
  <c r="O2670" i="1"/>
  <c r="P2670" i="1" s="1"/>
  <c r="M2670" i="1"/>
  <c r="O2669" i="1"/>
  <c r="Q2669" i="1" s="1"/>
  <c r="M2669" i="1"/>
  <c r="C2669" i="1"/>
  <c r="O2668" i="1"/>
  <c r="Q2668" i="1" s="1"/>
  <c r="M2668" i="1"/>
  <c r="L2668" i="1"/>
  <c r="L2669" i="1" s="1"/>
  <c r="L2671" i="1" s="1"/>
  <c r="L2670" i="1" s="1"/>
  <c r="L2673" i="1" s="1"/>
  <c r="O2667" i="1"/>
  <c r="Q2667" i="1" s="1"/>
  <c r="M2667" i="1"/>
  <c r="Q2666" i="1"/>
  <c r="K2666" i="1"/>
  <c r="K2667" i="1" s="1"/>
  <c r="K2668" i="1" s="1"/>
  <c r="K2669" i="1" s="1"/>
  <c r="K2671" i="1" s="1"/>
  <c r="K2670" i="1" s="1"/>
  <c r="K2672" i="1" s="1"/>
  <c r="K2673" i="1" s="1"/>
  <c r="K2674" i="1" s="1"/>
  <c r="K2675" i="1" s="1"/>
  <c r="K2676" i="1" s="1"/>
  <c r="K2677" i="1" s="1"/>
  <c r="K2678" i="1" s="1"/>
  <c r="K2679" i="1" s="1"/>
  <c r="O2642" i="1"/>
  <c r="Q2642" i="1" s="1"/>
  <c r="M2642" i="1"/>
  <c r="O2641" i="1"/>
  <c r="N2641" i="1" s="1"/>
  <c r="M2641" i="1"/>
  <c r="E2641" i="1"/>
  <c r="F2641" i="1" s="1"/>
  <c r="C2641" i="1"/>
  <c r="O2640" i="1"/>
  <c r="Q2640" i="1" s="1"/>
  <c r="M2640" i="1"/>
  <c r="E2640" i="1"/>
  <c r="F2640" i="1" s="1"/>
  <c r="C2640" i="1"/>
  <c r="O2639" i="1"/>
  <c r="N2639" i="1" s="1"/>
  <c r="M2639" i="1"/>
  <c r="C2639" i="1"/>
  <c r="O2636" i="1"/>
  <c r="M2636" i="1"/>
  <c r="C2636" i="1"/>
  <c r="O2635" i="1"/>
  <c r="Q2635" i="1" s="1"/>
  <c r="M2635" i="1"/>
  <c r="L2635" i="1"/>
  <c r="L2636" i="1" s="1"/>
  <c r="O2622" i="1"/>
  <c r="Q2622" i="1" s="1"/>
  <c r="M2622" i="1"/>
  <c r="O2621" i="1"/>
  <c r="N2621" i="1" s="1"/>
  <c r="M2621" i="1"/>
  <c r="E2621" i="1"/>
  <c r="F2621" i="1" s="1"/>
  <c r="C2621" i="1"/>
  <c r="O2619" i="1"/>
  <c r="Q2619" i="1" s="1"/>
  <c r="M2619" i="1"/>
  <c r="C2619" i="1"/>
  <c r="O2617" i="1"/>
  <c r="M2617" i="1"/>
  <c r="C2617" i="1"/>
  <c r="O2616" i="1"/>
  <c r="Q2616" i="1" s="1"/>
  <c r="M2616" i="1"/>
  <c r="C2616" i="1"/>
  <c r="O2615" i="1"/>
  <c r="N2615" i="1" s="1"/>
  <c r="M2615" i="1"/>
  <c r="L2615" i="1"/>
  <c r="L2616" i="1" s="1"/>
  <c r="L2617" i="1" s="1"/>
  <c r="L2619" i="1" s="1"/>
  <c r="L2621" i="1" s="1"/>
  <c r="O2280" i="1"/>
  <c r="Q2280" i="1" s="1"/>
  <c r="M2280" i="1"/>
  <c r="O2279" i="1"/>
  <c r="N2279" i="1" s="1"/>
  <c r="M2279" i="1"/>
  <c r="E2279" i="1"/>
  <c r="F2279" i="1" s="1"/>
  <c r="C2279" i="1"/>
  <c r="O2278" i="1"/>
  <c r="Q2278" i="1" s="1"/>
  <c r="M2278" i="1"/>
  <c r="E2278" i="1"/>
  <c r="F2278" i="1" s="1"/>
  <c r="C2278" i="1"/>
  <c r="O2277" i="1"/>
  <c r="N2277" i="1" s="1"/>
  <c r="M2277" i="1"/>
  <c r="C2277" i="1"/>
  <c r="O2275" i="1"/>
  <c r="Q2275" i="1" s="1"/>
  <c r="M2275" i="1"/>
  <c r="C2275" i="1"/>
  <c r="O2274" i="1"/>
  <c r="M2274" i="1"/>
  <c r="C2274" i="1"/>
  <c r="O2273" i="1"/>
  <c r="Q2273" i="1" s="1"/>
  <c r="M2273" i="1"/>
  <c r="L2273" i="1"/>
  <c r="L2274" i="1" s="1"/>
  <c r="L2275" i="1" s="1"/>
  <c r="L2278" i="1" s="1"/>
  <c r="L2279" i="1" s="1"/>
  <c r="O2238" i="1"/>
  <c r="Q2238" i="1" s="1"/>
  <c r="M2238" i="1"/>
  <c r="F2238" i="1"/>
  <c r="O2237" i="1"/>
  <c r="P2237" i="1" s="1"/>
  <c r="M2237" i="1"/>
  <c r="O2236" i="1"/>
  <c r="N2236" i="1" s="1"/>
  <c r="M2236" i="1"/>
  <c r="O2235" i="1"/>
  <c r="P2235" i="1" s="1"/>
  <c r="M2235" i="1"/>
  <c r="L2235" i="1"/>
  <c r="E2235" i="1"/>
  <c r="F2235" i="1" s="1"/>
  <c r="C2235" i="1"/>
  <c r="O2234" i="1"/>
  <c r="N2234" i="1" s="1"/>
  <c r="M2234" i="1"/>
  <c r="C2234" i="1"/>
  <c r="O2233" i="1"/>
  <c r="Q2233" i="1" s="1"/>
  <c r="M2233" i="1"/>
  <c r="O2232" i="1"/>
  <c r="Q2232" i="1" s="1"/>
  <c r="M2232" i="1"/>
  <c r="E2232" i="1"/>
  <c r="F2232" i="1" s="1"/>
  <c r="C2232" i="1"/>
  <c r="O2231" i="1"/>
  <c r="N2231" i="1" s="1"/>
  <c r="M2231" i="1"/>
  <c r="E2231" i="1"/>
  <c r="F2231" i="1" s="1"/>
  <c r="C2231" i="1"/>
  <c r="O2230" i="1"/>
  <c r="P2230" i="1" s="1"/>
  <c r="M2230" i="1"/>
  <c r="C2230" i="1"/>
  <c r="O2229" i="1"/>
  <c r="P2229" i="1" s="1"/>
  <c r="M2229" i="1"/>
  <c r="O2228" i="1"/>
  <c r="Q2228" i="1" s="1"/>
  <c r="M2228" i="1"/>
  <c r="C2228" i="1"/>
  <c r="O2227" i="1"/>
  <c r="Q2227" i="1" s="1"/>
  <c r="M2227" i="1"/>
  <c r="L2227" i="1"/>
  <c r="L2228" i="1" s="1"/>
  <c r="L2230" i="1" s="1"/>
  <c r="L2229" i="1" s="1"/>
  <c r="L2232" i="1" s="1"/>
  <c r="O2226" i="1"/>
  <c r="Q2226" i="1" s="1"/>
  <c r="M2226" i="1"/>
  <c r="Q2225" i="1"/>
  <c r="K2225" i="1"/>
  <c r="K2226" i="1" s="1"/>
  <c r="K2227" i="1" s="1"/>
  <c r="K2228" i="1" s="1"/>
  <c r="K2230" i="1" s="1"/>
  <c r="K2229" i="1" s="1"/>
  <c r="K2231" i="1" s="1"/>
  <c r="K2232" i="1" s="1"/>
  <c r="K2233" i="1" s="1"/>
  <c r="K2234" i="1" s="1"/>
  <c r="K2235" i="1" s="1"/>
  <c r="K2236" i="1" s="1"/>
  <c r="K2237" i="1" s="1"/>
  <c r="K2238" i="1" s="1"/>
  <c r="O2201" i="1"/>
  <c r="Q2201" i="1" s="1"/>
  <c r="M2201" i="1"/>
  <c r="O2200" i="1"/>
  <c r="N2200" i="1" s="1"/>
  <c r="M2200" i="1"/>
  <c r="E2200" i="1"/>
  <c r="F2200" i="1" s="1"/>
  <c r="C2200" i="1"/>
  <c r="O2199" i="1"/>
  <c r="Q2199" i="1" s="1"/>
  <c r="M2199" i="1"/>
  <c r="E2199" i="1"/>
  <c r="F2199" i="1" s="1"/>
  <c r="C2199" i="1"/>
  <c r="O2198" i="1"/>
  <c r="N2198" i="1" s="1"/>
  <c r="M2198" i="1"/>
  <c r="C2198" i="1"/>
  <c r="O2195" i="1"/>
  <c r="Q2195" i="1" s="1"/>
  <c r="M2195" i="1"/>
  <c r="C2195" i="1"/>
  <c r="O2194" i="1"/>
  <c r="Q2194" i="1" s="1"/>
  <c r="M2194" i="1"/>
  <c r="L2194" i="1"/>
  <c r="L2195" i="1" s="1"/>
  <c r="L2196" i="1" s="1"/>
  <c r="L2197" i="1" s="1"/>
  <c r="L2198" i="1" s="1"/>
  <c r="L2199" i="1" s="1"/>
  <c r="L2200" i="1" s="1"/>
  <c r="O2181" i="1"/>
  <c r="Q2181" i="1" s="1"/>
  <c r="M2181" i="1"/>
  <c r="O2180" i="1"/>
  <c r="N2180" i="1" s="1"/>
  <c r="M2180" i="1"/>
  <c r="E2180" i="1"/>
  <c r="F2180" i="1" s="1"/>
  <c r="C2180" i="1"/>
  <c r="O2178" i="1"/>
  <c r="Q2178" i="1" s="1"/>
  <c r="M2178" i="1"/>
  <c r="C2178" i="1"/>
  <c r="O2176" i="1"/>
  <c r="M2176" i="1"/>
  <c r="C2176" i="1"/>
  <c r="O2175" i="1"/>
  <c r="Q2175" i="1" s="1"/>
  <c r="M2175" i="1"/>
  <c r="C2175" i="1"/>
  <c r="O2174" i="1"/>
  <c r="N2174" i="1" s="1"/>
  <c r="M2174" i="1"/>
  <c r="L2174" i="1"/>
  <c r="L2175" i="1" s="1"/>
  <c r="O1937" i="1"/>
  <c r="Q1937" i="1" s="1"/>
  <c r="M1937" i="1"/>
  <c r="O1936" i="1"/>
  <c r="N1936" i="1" s="1"/>
  <c r="M1936" i="1"/>
  <c r="E1936" i="1"/>
  <c r="F1936" i="1" s="1"/>
  <c r="C1936" i="1"/>
  <c r="O1935" i="1"/>
  <c r="Q1935" i="1" s="1"/>
  <c r="M1935" i="1"/>
  <c r="E1935" i="1"/>
  <c r="F1935" i="1" s="1"/>
  <c r="C1935" i="1"/>
  <c r="O1934" i="1"/>
  <c r="N1934" i="1" s="1"/>
  <c r="M1934" i="1"/>
  <c r="C1934" i="1"/>
  <c r="O1932" i="1"/>
  <c r="Q1932" i="1" s="1"/>
  <c r="M1932" i="1"/>
  <c r="C1932" i="1"/>
  <c r="O1931" i="1"/>
  <c r="M1931" i="1"/>
  <c r="C1931" i="1"/>
  <c r="O1930" i="1"/>
  <c r="Q1930" i="1" s="1"/>
  <c r="M1930" i="1"/>
  <c r="O1898" i="1"/>
  <c r="Q1898" i="1" s="1"/>
  <c r="F1898" i="1"/>
  <c r="O1897" i="1"/>
  <c r="P1897" i="1" s="1"/>
  <c r="O1896" i="1"/>
  <c r="N1896" i="1" s="1"/>
  <c r="O1895" i="1"/>
  <c r="P1895" i="1" s="1"/>
  <c r="L1895" i="1"/>
  <c r="E1895" i="1"/>
  <c r="F1895" i="1" s="1"/>
  <c r="C1895" i="1"/>
  <c r="O1894" i="1"/>
  <c r="N1894" i="1" s="1"/>
  <c r="C1894" i="1"/>
  <c r="O1893" i="1"/>
  <c r="N1893" i="1" s="1"/>
  <c r="O1892" i="1"/>
  <c r="N1892" i="1" s="1"/>
  <c r="E1892" i="1"/>
  <c r="F1892" i="1" s="1"/>
  <c r="C1892" i="1"/>
  <c r="O1891" i="1"/>
  <c r="N1891" i="1" s="1"/>
  <c r="E1891" i="1"/>
  <c r="F1891" i="1" s="1"/>
  <c r="C1891" i="1"/>
  <c r="O1890" i="1"/>
  <c r="P1890" i="1" s="1"/>
  <c r="C1890" i="1"/>
  <c r="O1889" i="1"/>
  <c r="P1889" i="1" s="1"/>
  <c r="O1888" i="1"/>
  <c r="Q1888" i="1" s="1"/>
  <c r="C1888" i="1"/>
  <c r="O1887" i="1"/>
  <c r="Q1887" i="1" s="1"/>
  <c r="M1887" i="1"/>
  <c r="L1887" i="1"/>
  <c r="L1888" i="1" s="1"/>
  <c r="L1890" i="1" s="1"/>
  <c r="L1889" i="1" s="1"/>
  <c r="L1892" i="1" s="1"/>
  <c r="O1886" i="1"/>
  <c r="Q1886" i="1" s="1"/>
  <c r="M1886" i="1"/>
  <c r="Q1885" i="1"/>
  <c r="K1885" i="1"/>
  <c r="K1886" i="1" s="1"/>
  <c r="K1887" i="1" s="1"/>
  <c r="K1888" i="1" s="1"/>
  <c r="K1890" i="1" s="1"/>
  <c r="K1889" i="1" s="1"/>
  <c r="K1891" i="1" s="1"/>
  <c r="K1892" i="1" s="1"/>
  <c r="K1893" i="1" s="1"/>
  <c r="K1894" i="1" s="1"/>
  <c r="K1895" i="1" s="1"/>
  <c r="K1896" i="1" s="1"/>
  <c r="K1897" i="1" s="1"/>
  <c r="K1898" i="1" s="1"/>
  <c r="O1857" i="1"/>
  <c r="N1857" i="1" s="1"/>
  <c r="M1857" i="1"/>
  <c r="E1857" i="1"/>
  <c r="F1857" i="1" s="1"/>
  <c r="C1857" i="1"/>
  <c r="O1856" i="1"/>
  <c r="Q1856" i="1" s="1"/>
  <c r="M1856" i="1"/>
  <c r="E1856" i="1"/>
  <c r="F1856" i="1" s="1"/>
  <c r="C1856" i="1"/>
  <c r="O1855" i="1"/>
  <c r="N1855" i="1" s="1"/>
  <c r="M1855" i="1"/>
  <c r="C1855" i="1"/>
  <c r="O1853" i="1"/>
  <c r="Q1853" i="1" s="1"/>
  <c r="M1853" i="1"/>
  <c r="C1853" i="1"/>
  <c r="O1852" i="1"/>
  <c r="M1852" i="1"/>
  <c r="C1852" i="1"/>
  <c r="O1851" i="1"/>
  <c r="Q1851" i="1" s="1"/>
  <c r="M1851" i="1"/>
  <c r="L1851" i="1"/>
  <c r="L1852" i="1" s="1"/>
  <c r="L1853" i="1" s="1"/>
  <c r="L1856" i="1" s="1"/>
  <c r="L1857" i="1" s="1"/>
  <c r="O1838" i="1"/>
  <c r="Q1838" i="1" s="1"/>
  <c r="M1838" i="1"/>
  <c r="O1837" i="1"/>
  <c r="N1837" i="1" s="1"/>
  <c r="M1837" i="1"/>
  <c r="E1837" i="1"/>
  <c r="F1837" i="1" s="1"/>
  <c r="C1837" i="1"/>
  <c r="O1835" i="1"/>
  <c r="Q1835" i="1" s="1"/>
  <c r="M1835" i="1"/>
  <c r="C1835" i="1"/>
  <c r="O1833" i="1"/>
  <c r="Q1833" i="1" s="1"/>
  <c r="M1833" i="1"/>
  <c r="C1833" i="1"/>
  <c r="O1832" i="1"/>
  <c r="Q1832" i="1" s="1"/>
  <c r="M1832" i="1"/>
  <c r="C1832" i="1"/>
  <c r="O1831" i="1"/>
  <c r="N1831" i="1" s="1"/>
  <c r="M1831" i="1"/>
  <c r="L1831" i="1"/>
  <c r="L1832" i="1" s="1"/>
  <c r="L1833" i="1" s="1"/>
  <c r="L1834" i="1" s="1"/>
  <c r="L1835" i="1" s="1"/>
  <c r="L1836" i="1" s="1"/>
  <c r="L1837" i="1" s="1"/>
  <c r="O455" i="1"/>
  <c r="Q455" i="1" s="1"/>
  <c r="M455" i="1"/>
  <c r="O454" i="1"/>
  <c r="N454" i="1" s="1"/>
  <c r="M454" i="1"/>
  <c r="E454" i="1"/>
  <c r="F454" i="1" s="1"/>
  <c r="C454" i="1"/>
  <c r="O453" i="1"/>
  <c r="Q453" i="1" s="1"/>
  <c r="M453" i="1"/>
  <c r="E453" i="1"/>
  <c r="F453" i="1" s="1"/>
  <c r="C453" i="1"/>
  <c r="O452" i="1"/>
  <c r="N452" i="1" s="1"/>
  <c r="M452" i="1"/>
  <c r="C452" i="1"/>
  <c r="O450" i="1"/>
  <c r="Q450" i="1" s="1"/>
  <c r="M450" i="1"/>
  <c r="C450" i="1"/>
  <c r="O449" i="1"/>
  <c r="M449" i="1"/>
  <c r="C449" i="1"/>
  <c r="O448" i="1"/>
  <c r="Q448" i="1" s="1"/>
  <c r="M448" i="1"/>
  <c r="L448" i="1"/>
  <c r="L449" i="1" s="1"/>
  <c r="L450" i="1" s="1"/>
  <c r="L453" i="1" s="1"/>
  <c r="L454" i="1" s="1"/>
  <c r="O1547" i="1"/>
  <c r="Q1547" i="1" s="1"/>
  <c r="M1547" i="1"/>
  <c r="O1534" i="1"/>
  <c r="N1534" i="1" s="1"/>
  <c r="M1534" i="1"/>
  <c r="E1534" i="1"/>
  <c r="F1534" i="1" s="1"/>
  <c r="C1534" i="1"/>
  <c r="O1533" i="1"/>
  <c r="Q1533" i="1" s="1"/>
  <c r="M1533" i="1"/>
  <c r="E1533" i="1"/>
  <c r="F1533" i="1" s="1"/>
  <c r="C1533" i="1"/>
  <c r="O1532" i="1"/>
  <c r="N1532" i="1" s="1"/>
  <c r="M1532" i="1"/>
  <c r="C1532" i="1"/>
  <c r="O1529" i="1"/>
  <c r="M1529" i="1"/>
  <c r="C1529" i="1"/>
  <c r="O1528" i="1"/>
  <c r="Q1528" i="1" s="1"/>
  <c r="M1528" i="1"/>
  <c r="L1528" i="1"/>
  <c r="L1529" i="1" s="1"/>
  <c r="L1530" i="1" s="1"/>
  <c r="L1531" i="1" s="1"/>
  <c r="O1476" i="1"/>
  <c r="Q1476" i="1" s="1"/>
  <c r="M1476" i="1"/>
  <c r="O1475" i="1"/>
  <c r="N1475" i="1" s="1"/>
  <c r="M1475" i="1"/>
  <c r="E1475" i="1"/>
  <c r="F1475" i="1" s="1"/>
  <c r="C1475" i="1"/>
  <c r="O1474" i="1"/>
  <c r="Q1474" i="1" s="1"/>
  <c r="M1474" i="1"/>
  <c r="E1474" i="1"/>
  <c r="F1474" i="1" s="1"/>
  <c r="C1474" i="1"/>
  <c r="O1473" i="1"/>
  <c r="N1473" i="1" s="1"/>
  <c r="M1473" i="1"/>
  <c r="C1473" i="1"/>
  <c r="O1471" i="1"/>
  <c r="Q1471" i="1" s="1"/>
  <c r="M1471" i="1"/>
  <c r="C1471" i="1"/>
  <c r="O1470" i="1"/>
  <c r="M1470" i="1"/>
  <c r="C1470" i="1"/>
  <c r="O1469" i="1"/>
  <c r="Q1469" i="1" s="1"/>
  <c r="M1469" i="1"/>
  <c r="L1469" i="1"/>
  <c r="L1470" i="1" s="1"/>
  <c r="L1471" i="1" s="1"/>
  <c r="L1472" i="1" s="1"/>
  <c r="L1473" i="1" s="1"/>
  <c r="L1474" i="1" s="1"/>
  <c r="O1189" i="1"/>
  <c r="Q1189" i="1" s="1"/>
  <c r="M1189" i="1"/>
  <c r="O1188" i="1"/>
  <c r="N1188" i="1" s="1"/>
  <c r="M1188" i="1"/>
  <c r="E1188" i="1"/>
  <c r="F1188" i="1" s="1"/>
  <c r="C1188" i="1"/>
  <c r="O1187" i="1"/>
  <c r="Q1187" i="1" s="1"/>
  <c r="M1187" i="1"/>
  <c r="E1187" i="1"/>
  <c r="F1187" i="1" s="1"/>
  <c r="C1187" i="1"/>
  <c r="O1186" i="1"/>
  <c r="N1186" i="1" s="1"/>
  <c r="M1186" i="1"/>
  <c r="C1186" i="1"/>
  <c r="O1184" i="1"/>
  <c r="Q1184" i="1" s="1"/>
  <c r="M1184" i="1"/>
  <c r="C1184" i="1"/>
  <c r="O1183" i="1"/>
  <c r="M1183" i="1"/>
  <c r="C1183" i="1"/>
  <c r="O1182" i="1"/>
  <c r="Q1182" i="1" s="1"/>
  <c r="M1182" i="1"/>
  <c r="L1182" i="1"/>
  <c r="L1183" i="1" s="1"/>
  <c r="L1184" i="1" s="1"/>
  <c r="L1185" i="1" s="1"/>
  <c r="O1113" i="1"/>
  <c r="Q1113" i="1" s="1"/>
  <c r="O1112" i="1"/>
  <c r="N1112" i="1" s="1"/>
  <c r="E1112" i="1"/>
  <c r="F1112" i="1" s="1"/>
  <c r="C1112" i="1"/>
  <c r="O1111" i="1"/>
  <c r="Q1111" i="1" s="1"/>
  <c r="E1111" i="1"/>
  <c r="F1111" i="1" s="1"/>
  <c r="C1111" i="1"/>
  <c r="O1110" i="1"/>
  <c r="N1110" i="1" s="1"/>
  <c r="C1110" i="1"/>
  <c r="O1108" i="1"/>
  <c r="Q1108" i="1" s="1"/>
  <c r="C1108" i="1"/>
  <c r="O1107" i="1"/>
  <c r="C1107" i="1"/>
  <c r="O1106" i="1"/>
  <c r="Q1106" i="1" s="1"/>
  <c r="L1106" i="1"/>
  <c r="L1107" i="1" s="1"/>
  <c r="L1108" i="1" s="1"/>
  <c r="L1109" i="1" s="1"/>
  <c r="L1110" i="1" s="1"/>
  <c r="L1111" i="1" s="1"/>
  <c r="M669" i="1"/>
  <c r="M670" i="1"/>
  <c r="M671" i="1"/>
  <c r="M672" i="1"/>
  <c r="M673" i="1"/>
  <c r="M674" i="1"/>
  <c r="M675" i="1"/>
  <c r="M676" i="1"/>
  <c r="M677" i="1"/>
  <c r="M678" i="1"/>
  <c r="M679" i="1"/>
  <c r="M680" i="1"/>
  <c r="M681" i="1"/>
  <c r="M682" i="1"/>
  <c r="M684" i="1"/>
  <c r="M685" i="1"/>
  <c r="M686" i="1"/>
  <c r="M687" i="1"/>
  <c r="M688" i="1"/>
  <c r="M689" i="1"/>
  <c r="M690" i="1"/>
  <c r="M692" i="1"/>
  <c r="M693" i="1"/>
  <c r="M694" i="1"/>
  <c r="M695" i="1"/>
  <c r="M696" i="1"/>
  <c r="M697" i="1"/>
  <c r="M698" i="1"/>
  <c r="M699" i="1"/>
  <c r="M701" i="1"/>
  <c r="M702" i="1"/>
  <c r="M703" i="1"/>
  <c r="M716" i="1"/>
  <c r="M723" i="1"/>
  <c r="M724" i="1"/>
  <c r="M725" i="1"/>
  <c r="M726" i="1"/>
  <c r="M727" i="1"/>
  <c r="M728" i="1"/>
  <c r="M729" i="1"/>
  <c r="M730" i="1"/>
  <c r="M731" i="1"/>
  <c r="M732" i="1"/>
  <c r="M733" i="1"/>
  <c r="M734" i="1"/>
  <c r="O702" i="1"/>
  <c r="Q702" i="1" s="1"/>
  <c r="E702" i="1"/>
  <c r="F702" i="1" s="1"/>
  <c r="C702" i="1"/>
  <c r="O415" i="1"/>
  <c r="Q415" i="1" s="1"/>
  <c r="M415" i="1"/>
  <c r="F415" i="1"/>
  <c r="O414" i="1"/>
  <c r="P414" i="1" s="1"/>
  <c r="M414" i="1"/>
  <c r="O413" i="1"/>
  <c r="Q413" i="1" s="1"/>
  <c r="M413" i="1"/>
  <c r="O412" i="1"/>
  <c r="P412" i="1" s="1"/>
  <c r="M412" i="1"/>
  <c r="L412" i="1"/>
  <c r="E412" i="1"/>
  <c r="F412" i="1" s="1"/>
  <c r="C412" i="1"/>
  <c r="O411" i="1"/>
  <c r="N411" i="1" s="1"/>
  <c r="M411" i="1"/>
  <c r="C411" i="1"/>
  <c r="O410" i="1"/>
  <c r="Q410" i="1" s="1"/>
  <c r="M410" i="1"/>
  <c r="O409" i="1"/>
  <c r="P409" i="1" s="1"/>
  <c r="M409" i="1"/>
  <c r="E409" i="1"/>
  <c r="F409" i="1" s="1"/>
  <c r="C409" i="1"/>
  <c r="O408" i="1"/>
  <c r="N408" i="1" s="1"/>
  <c r="M408" i="1"/>
  <c r="E408" i="1"/>
  <c r="F408" i="1" s="1"/>
  <c r="C408" i="1"/>
  <c r="O407" i="1"/>
  <c r="P407" i="1" s="1"/>
  <c r="M407" i="1"/>
  <c r="C407" i="1"/>
  <c r="O406" i="1"/>
  <c r="P406" i="1" s="1"/>
  <c r="M406" i="1"/>
  <c r="O405" i="1"/>
  <c r="Q405" i="1" s="1"/>
  <c r="M405" i="1"/>
  <c r="C405" i="1"/>
  <c r="O404" i="1"/>
  <c r="Q404" i="1" s="1"/>
  <c r="M404" i="1"/>
  <c r="L404" i="1"/>
  <c r="L405" i="1" s="1"/>
  <c r="L407" i="1" s="1"/>
  <c r="L406" i="1" s="1"/>
  <c r="L409" i="1" s="1"/>
  <c r="O403" i="1"/>
  <c r="Q403" i="1" s="1"/>
  <c r="M403" i="1"/>
  <c r="Q402" i="1"/>
  <c r="K402" i="1"/>
  <c r="K403" i="1" s="1"/>
  <c r="K404" i="1" s="1"/>
  <c r="K405" i="1" s="1"/>
  <c r="K406" i="1" s="1"/>
  <c r="K407" i="1" s="1"/>
  <c r="K408" i="1" s="1"/>
  <c r="K409" i="1" s="1"/>
  <c r="K410" i="1" s="1"/>
  <c r="K411" i="1" s="1"/>
  <c r="K412" i="1" s="1"/>
  <c r="K413" i="1" s="1"/>
  <c r="K414" i="1" s="1"/>
  <c r="K415" i="1" s="1"/>
  <c r="M390" i="1"/>
  <c r="M391" i="1"/>
  <c r="M393" i="1"/>
  <c r="M392" i="1"/>
  <c r="M394" i="1"/>
  <c r="M395" i="1"/>
  <c r="M396" i="1"/>
  <c r="M397" i="1"/>
  <c r="M398" i="1"/>
  <c r="M399" i="1"/>
  <c r="M400" i="1"/>
  <c r="O400" i="1"/>
  <c r="Q400" i="1" s="1"/>
  <c r="F400" i="1"/>
  <c r="O399" i="1"/>
  <c r="Q399" i="1" s="1"/>
  <c r="O398" i="1"/>
  <c r="N398" i="1" s="1"/>
  <c r="O397" i="1"/>
  <c r="P397" i="1" s="1"/>
  <c r="L397" i="1"/>
  <c r="E397" i="1"/>
  <c r="F397" i="1" s="1"/>
  <c r="C397" i="1"/>
  <c r="O396" i="1"/>
  <c r="N396" i="1" s="1"/>
  <c r="C396" i="1"/>
  <c r="O395" i="1"/>
  <c r="Q395" i="1" s="1"/>
  <c r="O394" i="1"/>
  <c r="P394" i="1" s="1"/>
  <c r="E394" i="1"/>
  <c r="F394" i="1" s="1"/>
  <c r="C394" i="1"/>
  <c r="O392" i="1"/>
  <c r="N392" i="1" s="1"/>
  <c r="E392" i="1"/>
  <c r="F392" i="1" s="1"/>
  <c r="C392" i="1"/>
  <c r="O391" i="1"/>
  <c r="P391" i="1" s="1"/>
  <c r="O393" i="1"/>
  <c r="N393" i="1" s="1"/>
  <c r="C393" i="1"/>
  <c r="O390" i="1"/>
  <c r="P390" i="1" s="1"/>
  <c r="C390" i="1"/>
  <c r="O389" i="1"/>
  <c r="N389" i="1" s="1"/>
  <c r="M389" i="1"/>
  <c r="L389" i="1"/>
  <c r="L390" i="1" s="1"/>
  <c r="L393" i="1" s="1"/>
  <c r="L391" i="1" s="1"/>
  <c r="L394" i="1" s="1"/>
  <c r="O388" i="1"/>
  <c r="N388" i="1" s="1"/>
  <c r="M388" i="1"/>
  <c r="Q387" i="1"/>
  <c r="K387" i="1"/>
  <c r="K388" i="1" s="1"/>
  <c r="K389" i="1" s="1"/>
  <c r="K390" i="1" s="1"/>
  <c r="K391" i="1" s="1"/>
  <c r="K393" i="1" s="1"/>
  <c r="K392" i="1" s="1"/>
  <c r="K394" i="1" s="1"/>
  <c r="K395" i="1" s="1"/>
  <c r="K396" i="1" s="1"/>
  <c r="K397" i="1" s="1"/>
  <c r="K398" i="1" s="1"/>
  <c r="K399" i="1" s="1"/>
  <c r="K400" i="1" s="1"/>
  <c r="M371" i="1"/>
  <c r="O371" i="1"/>
  <c r="P371" i="1" s="1"/>
  <c r="M375" i="1"/>
  <c r="M377" i="1"/>
  <c r="M376" i="1"/>
  <c r="M379" i="1"/>
  <c r="M380" i="1"/>
  <c r="M378" i="1"/>
  <c r="M381" i="1"/>
  <c r="M382" i="1"/>
  <c r="M383" i="1"/>
  <c r="M384" i="1"/>
  <c r="L342" i="1"/>
  <c r="O346" i="1"/>
  <c r="Q346" i="1" s="1"/>
  <c r="M346" i="1"/>
  <c r="C346" i="1"/>
  <c r="O385" i="1"/>
  <c r="Q385" i="1" s="1"/>
  <c r="M385" i="1"/>
  <c r="F385" i="1"/>
  <c r="O384" i="1"/>
  <c r="P384" i="1" s="1"/>
  <c r="O383" i="1"/>
  <c r="Q383" i="1" s="1"/>
  <c r="O382" i="1"/>
  <c r="P382" i="1" s="1"/>
  <c r="L382" i="1"/>
  <c r="E382" i="1"/>
  <c r="F382" i="1" s="1"/>
  <c r="C382" i="1"/>
  <c r="O381" i="1"/>
  <c r="N381" i="1" s="1"/>
  <c r="C381" i="1"/>
  <c r="O378" i="1"/>
  <c r="N378" i="1" s="1"/>
  <c r="E378" i="1"/>
  <c r="F378" i="1" s="1"/>
  <c r="C378" i="1"/>
  <c r="O380" i="1"/>
  <c r="Q380" i="1" s="1"/>
  <c r="O379" i="1"/>
  <c r="N379" i="1" s="1"/>
  <c r="E379" i="1"/>
  <c r="F379" i="1" s="1"/>
  <c r="C379" i="1"/>
  <c r="O376" i="1"/>
  <c r="Q376" i="1" s="1"/>
  <c r="O377" i="1"/>
  <c r="P377" i="1" s="1"/>
  <c r="C377" i="1"/>
  <c r="O375" i="1"/>
  <c r="P375" i="1" s="1"/>
  <c r="C375" i="1"/>
  <c r="O374" i="1"/>
  <c r="P374" i="1" s="1"/>
  <c r="M374" i="1"/>
  <c r="L374" i="1"/>
  <c r="L375" i="1" s="1"/>
  <c r="L377" i="1" s="1"/>
  <c r="L376" i="1" s="1"/>
  <c r="L379" i="1" s="1"/>
  <c r="O373" i="1"/>
  <c r="P373" i="1" s="1"/>
  <c r="M373" i="1"/>
  <c r="Q372" i="1"/>
  <c r="K372" i="1"/>
  <c r="K373" i="1" s="1"/>
  <c r="K374" i="1" s="1"/>
  <c r="K375" i="1" s="1"/>
  <c r="K377" i="1" s="1"/>
  <c r="K376" i="1" s="1"/>
  <c r="K378" i="1" s="1"/>
  <c r="K379" i="1" s="1"/>
  <c r="K380" i="1" s="1"/>
  <c r="K381" i="1" s="1"/>
  <c r="K382" i="1" s="1"/>
  <c r="K383" i="1" s="1"/>
  <c r="K384" i="1" s="1"/>
  <c r="K385" i="1" s="1"/>
  <c r="O59" i="1"/>
  <c r="Q59" i="1" s="1"/>
  <c r="M59" i="1"/>
  <c r="L3139" i="1" l="1"/>
  <c r="L3141" i="1" s="1"/>
  <c r="L3140" i="1" s="1"/>
  <c r="L3143" i="1" s="1"/>
  <c r="K3139" i="1"/>
  <c r="K3141" i="1" s="1"/>
  <c r="K3140" i="1" s="1"/>
  <c r="K3142" i="1" s="1"/>
  <c r="K3143" i="1" s="1"/>
  <c r="K3144" i="1" s="1"/>
  <c r="K3145" i="1" s="1"/>
  <c r="K3146" i="1" s="1"/>
  <c r="K3147" i="1" s="1"/>
  <c r="K3148" i="1" s="1"/>
  <c r="K3149" i="1" s="1"/>
  <c r="L2176" i="1"/>
  <c r="L2177" i="1" s="1"/>
  <c r="L2178" i="1" s="1"/>
  <c r="L2179" i="1" s="1"/>
  <c r="L2620" i="1"/>
  <c r="N3307" i="1"/>
  <c r="L3307" i="1"/>
  <c r="P3307" i="1"/>
  <c r="N3188" i="1"/>
  <c r="L3188" i="1"/>
  <c r="P3188" i="1"/>
  <c r="N3074" i="1"/>
  <c r="P3074" i="1"/>
  <c r="N2620" i="1"/>
  <c r="P2620" i="1"/>
  <c r="N3128" i="1"/>
  <c r="Q1933" i="1"/>
  <c r="N2179" i="1"/>
  <c r="P2179" i="1"/>
  <c r="N1933" i="1"/>
  <c r="Q3302" i="1"/>
  <c r="Q3309" i="1"/>
  <c r="N1836" i="1"/>
  <c r="P1836" i="1"/>
  <c r="N3309" i="1"/>
  <c r="P3322" i="1"/>
  <c r="P3324" i="1"/>
  <c r="Q3322" i="1"/>
  <c r="Q3092" i="1"/>
  <c r="N3302" i="1"/>
  <c r="P3303" i="1"/>
  <c r="Q3306" i="1"/>
  <c r="N3325" i="1"/>
  <c r="P3326" i="1"/>
  <c r="N3327" i="1"/>
  <c r="P3328" i="1"/>
  <c r="N3329" i="1"/>
  <c r="Q3303" i="1"/>
  <c r="P3305" i="1"/>
  <c r="N3306" i="1"/>
  <c r="P3308" i="1"/>
  <c r="P3323" i="1"/>
  <c r="Q3326" i="1"/>
  <c r="Q3328" i="1"/>
  <c r="P3304" i="1"/>
  <c r="Q3305" i="1"/>
  <c r="Q3308" i="1"/>
  <c r="P3325" i="1"/>
  <c r="P3327" i="1"/>
  <c r="P3329" i="1"/>
  <c r="N3186" i="1"/>
  <c r="P3186" i="1"/>
  <c r="L3075" i="1"/>
  <c r="L2717" i="1"/>
  <c r="L3091" i="1"/>
  <c r="L3092" i="1" s="1"/>
  <c r="L3093" i="1" s="1"/>
  <c r="L3094" i="1" s="1"/>
  <c r="L3095" i="1" s="1"/>
  <c r="Q3091" i="1"/>
  <c r="N3092" i="1"/>
  <c r="N3072" i="1"/>
  <c r="P3072" i="1"/>
  <c r="N2717" i="1"/>
  <c r="P2717" i="1"/>
  <c r="L2276" i="1"/>
  <c r="L2637" i="1"/>
  <c r="Q2637" i="1"/>
  <c r="N2638" i="1"/>
  <c r="P2638" i="1"/>
  <c r="N2618" i="1"/>
  <c r="L2618" i="1"/>
  <c r="P2618" i="1"/>
  <c r="N2276" i="1"/>
  <c r="P2276" i="1"/>
  <c r="P2177" i="1"/>
  <c r="L1854" i="1"/>
  <c r="Q2196" i="1"/>
  <c r="N2197" i="1"/>
  <c r="Q1854" i="1"/>
  <c r="P2197" i="1"/>
  <c r="N2177" i="1"/>
  <c r="P1854" i="1"/>
  <c r="N1834" i="1"/>
  <c r="P1834" i="1"/>
  <c r="L451" i="1"/>
  <c r="Q1530" i="1"/>
  <c r="N1531" i="1"/>
  <c r="P1531" i="1"/>
  <c r="Q1185" i="1"/>
  <c r="N1472" i="1"/>
  <c r="P1472" i="1"/>
  <c r="N1185" i="1"/>
  <c r="N1109" i="1"/>
  <c r="P1109" i="1"/>
  <c r="P700" i="1"/>
  <c r="Q700" i="1"/>
  <c r="Q34" i="1"/>
  <c r="N451" i="1"/>
  <c r="P451" i="1"/>
  <c r="N345" i="1"/>
  <c r="P345" i="1"/>
  <c r="N327" i="1"/>
  <c r="P327" i="1"/>
  <c r="N325" i="1"/>
  <c r="P325" i="1"/>
  <c r="N36" i="1"/>
  <c r="P36" i="1"/>
  <c r="N34" i="1"/>
  <c r="P3190" i="1"/>
  <c r="Q3190" i="1"/>
  <c r="P3183" i="1"/>
  <c r="P3185" i="1"/>
  <c r="N3187" i="1"/>
  <c r="P3189" i="1"/>
  <c r="Q3183" i="1"/>
  <c r="Q3185" i="1"/>
  <c r="Q3189" i="1"/>
  <c r="P3184" i="1"/>
  <c r="P3187" i="1"/>
  <c r="N3148" i="1"/>
  <c r="Q3140" i="1"/>
  <c r="N3122" i="1"/>
  <c r="N3123" i="1"/>
  <c r="N3143" i="1"/>
  <c r="P3147" i="1"/>
  <c r="P3143" i="1"/>
  <c r="Q3147" i="1"/>
  <c r="N3137" i="1"/>
  <c r="N3138" i="1"/>
  <c r="N3140" i="1"/>
  <c r="P3129" i="1"/>
  <c r="P3137" i="1"/>
  <c r="P3138" i="1"/>
  <c r="Q3141" i="1"/>
  <c r="P3142" i="1"/>
  <c r="P3144" i="1"/>
  <c r="Q3146" i="1"/>
  <c r="Q3148" i="1"/>
  <c r="N3149" i="1"/>
  <c r="Q3128" i="1"/>
  <c r="N3133" i="1"/>
  <c r="N3141" i="1"/>
  <c r="Q3142" i="1"/>
  <c r="Q3144" i="1"/>
  <c r="P3145" i="1"/>
  <c r="N3146" i="1"/>
  <c r="P3124" i="1"/>
  <c r="Q3145" i="1"/>
  <c r="P3149" i="1"/>
  <c r="Q3132" i="1"/>
  <c r="N3125" i="1"/>
  <c r="P3132" i="1"/>
  <c r="Q3125" i="1"/>
  <c r="N3129" i="1"/>
  <c r="N3124" i="1"/>
  <c r="P3122" i="1"/>
  <c r="P3123" i="1"/>
  <c r="Q3126" i="1"/>
  <c r="P3127" i="1"/>
  <c r="Q3131" i="1"/>
  <c r="Q3133" i="1"/>
  <c r="N3134" i="1"/>
  <c r="N3126" i="1"/>
  <c r="Q3127" i="1"/>
  <c r="P3130" i="1"/>
  <c r="N3131" i="1"/>
  <c r="Q3130" i="1"/>
  <c r="P3134" i="1"/>
  <c r="Q2670" i="1"/>
  <c r="P2677" i="1"/>
  <c r="Q3069" i="1"/>
  <c r="N3096" i="1"/>
  <c r="N2678" i="1"/>
  <c r="P3069" i="1"/>
  <c r="P3071" i="1"/>
  <c r="N3073" i="1"/>
  <c r="P3075" i="1"/>
  <c r="N3076" i="1"/>
  <c r="N3089" i="1"/>
  <c r="P3090" i="1"/>
  <c r="P3093" i="1"/>
  <c r="N3094" i="1"/>
  <c r="P3095" i="1"/>
  <c r="Q3071" i="1"/>
  <c r="Q3075" i="1"/>
  <c r="Q3090" i="1"/>
  <c r="Q3093" i="1"/>
  <c r="Q3095" i="1"/>
  <c r="P3070" i="1"/>
  <c r="P3073" i="1"/>
  <c r="P3076" i="1"/>
  <c r="P3089" i="1"/>
  <c r="P3094" i="1"/>
  <c r="P3096" i="1"/>
  <c r="N2673" i="1"/>
  <c r="P2673" i="1"/>
  <c r="N2670" i="1"/>
  <c r="P2669" i="1"/>
  <c r="N2714" i="1"/>
  <c r="P2715" i="1"/>
  <c r="L2718" i="1"/>
  <c r="P2718" i="1"/>
  <c r="N2719" i="1"/>
  <c r="P2720" i="1"/>
  <c r="N2721" i="1"/>
  <c r="Q2715" i="1"/>
  <c r="Q2718" i="1"/>
  <c r="Q2720" i="1"/>
  <c r="N2667" i="1"/>
  <c r="N2668" i="1"/>
  <c r="P2714" i="1"/>
  <c r="P2716" i="1"/>
  <c r="P2719" i="1"/>
  <c r="P2721" i="1"/>
  <c r="N2669" i="1"/>
  <c r="P2667" i="1"/>
  <c r="P2668" i="1"/>
  <c r="Q2671" i="1"/>
  <c r="P2672" i="1"/>
  <c r="P2674" i="1"/>
  <c r="Q2676" i="1"/>
  <c r="Q2678" i="1"/>
  <c r="N2679" i="1"/>
  <c r="N2671" i="1"/>
  <c r="Q2672" i="1"/>
  <c r="Q2674" i="1"/>
  <c r="P2675" i="1"/>
  <c r="N2676" i="1"/>
  <c r="Q2675" i="1"/>
  <c r="Q2677" i="1"/>
  <c r="P2679" i="1"/>
  <c r="P2236" i="1"/>
  <c r="P2615" i="1"/>
  <c r="P2617" i="1"/>
  <c r="N2619" i="1"/>
  <c r="P2621" i="1"/>
  <c r="N2622" i="1"/>
  <c r="N2635" i="1"/>
  <c r="P2636" i="1"/>
  <c r="L2639" i="1"/>
  <c r="P2639" i="1"/>
  <c r="N2640" i="1"/>
  <c r="P2641" i="1"/>
  <c r="N2642" i="1"/>
  <c r="Q2615" i="1"/>
  <c r="Q2617" i="1"/>
  <c r="Q2621" i="1"/>
  <c r="Q2636" i="1"/>
  <c r="Q2639" i="1"/>
  <c r="Q2641" i="1"/>
  <c r="P2616" i="1"/>
  <c r="P2619" i="1"/>
  <c r="P2622" i="1"/>
  <c r="P2635" i="1"/>
  <c r="P2640" i="1"/>
  <c r="P2642" i="1"/>
  <c r="N2233" i="1"/>
  <c r="P2228" i="1"/>
  <c r="N2237" i="1"/>
  <c r="Q2229" i="1"/>
  <c r="N2232" i="1"/>
  <c r="N2273" i="1"/>
  <c r="P2274" i="1"/>
  <c r="L2277" i="1"/>
  <c r="P2277" i="1"/>
  <c r="N2278" i="1"/>
  <c r="P2279" i="1"/>
  <c r="N2280" i="1"/>
  <c r="Q2274" i="1"/>
  <c r="Q2277" i="1"/>
  <c r="Q2279" i="1"/>
  <c r="N2226" i="1"/>
  <c r="N2227" i="1"/>
  <c r="N2229" i="1"/>
  <c r="P2232" i="1"/>
  <c r="P2273" i="1"/>
  <c r="P2275" i="1"/>
  <c r="P2278" i="1"/>
  <c r="P2280" i="1"/>
  <c r="N2228" i="1"/>
  <c r="P2226" i="1"/>
  <c r="P2227" i="1"/>
  <c r="Q2230" i="1"/>
  <c r="P2231" i="1"/>
  <c r="P2233" i="1"/>
  <c r="Q2235" i="1"/>
  <c r="Q2237" i="1"/>
  <c r="N2238" i="1"/>
  <c r="N2230" i="1"/>
  <c r="Q2231" i="1"/>
  <c r="P2234" i="1"/>
  <c r="N2235" i="1"/>
  <c r="Q2234" i="1"/>
  <c r="Q2236" i="1"/>
  <c r="P2238" i="1"/>
  <c r="N1889" i="1"/>
  <c r="N2194" i="1"/>
  <c r="P2195" i="1"/>
  <c r="P2198" i="1"/>
  <c r="N2199" i="1"/>
  <c r="P2200" i="1"/>
  <c r="N2201" i="1"/>
  <c r="Q2198" i="1"/>
  <c r="Q2200" i="1"/>
  <c r="N2181" i="1"/>
  <c r="P2194" i="1"/>
  <c r="P2199" i="1"/>
  <c r="P2201" i="1"/>
  <c r="P2174" i="1"/>
  <c r="P2176" i="1"/>
  <c r="N2178" i="1"/>
  <c r="P2180" i="1"/>
  <c r="Q1896" i="1"/>
  <c r="Q2174" i="1"/>
  <c r="Q2176" i="1"/>
  <c r="Q2180" i="1"/>
  <c r="P2175" i="1"/>
  <c r="P2178" i="1"/>
  <c r="P2181" i="1"/>
  <c r="Q1889" i="1"/>
  <c r="P1892" i="1"/>
  <c r="N1897" i="1"/>
  <c r="P1937" i="1"/>
  <c r="N1886" i="1"/>
  <c r="N1887" i="1"/>
  <c r="P1896" i="1"/>
  <c r="N1930" i="1"/>
  <c r="P1931" i="1"/>
  <c r="P1934" i="1"/>
  <c r="N1935" i="1"/>
  <c r="P1936" i="1"/>
  <c r="N1937" i="1"/>
  <c r="Q1931" i="1"/>
  <c r="Q1934" i="1"/>
  <c r="Q1936" i="1"/>
  <c r="P1888" i="1"/>
  <c r="Q1892" i="1"/>
  <c r="P1930" i="1"/>
  <c r="P1932" i="1"/>
  <c r="P1935" i="1"/>
  <c r="N1888" i="1"/>
  <c r="P1886" i="1"/>
  <c r="P1887" i="1"/>
  <c r="Q1890" i="1"/>
  <c r="P1891" i="1"/>
  <c r="P1893" i="1"/>
  <c r="Q1895" i="1"/>
  <c r="Q1897" i="1"/>
  <c r="N1898" i="1"/>
  <c r="N1890" i="1"/>
  <c r="Q1891" i="1"/>
  <c r="Q1893" i="1"/>
  <c r="P1894" i="1"/>
  <c r="N1895" i="1"/>
  <c r="Q1894" i="1"/>
  <c r="P1898" i="1"/>
  <c r="Q1831" i="1"/>
  <c r="P1831" i="1"/>
  <c r="P1833" i="1"/>
  <c r="N1835" i="1"/>
  <c r="P1837" i="1"/>
  <c r="N1838" i="1"/>
  <c r="N1851" i="1"/>
  <c r="P1852" i="1"/>
  <c r="L1855" i="1"/>
  <c r="P1855" i="1"/>
  <c r="N1856" i="1"/>
  <c r="P1857" i="1"/>
  <c r="Q1837" i="1"/>
  <c r="Q1852" i="1"/>
  <c r="Q1855" i="1"/>
  <c r="Q1857" i="1"/>
  <c r="P1832" i="1"/>
  <c r="P1835" i="1"/>
  <c r="P1838" i="1"/>
  <c r="P1851" i="1"/>
  <c r="P1853" i="1"/>
  <c r="P1856" i="1"/>
  <c r="N448" i="1"/>
  <c r="P449" i="1"/>
  <c r="L452" i="1"/>
  <c r="P452" i="1"/>
  <c r="N453" i="1"/>
  <c r="P454" i="1"/>
  <c r="N455" i="1"/>
  <c r="Q449" i="1"/>
  <c r="Q452" i="1"/>
  <c r="Q454" i="1"/>
  <c r="P448" i="1"/>
  <c r="P450" i="1"/>
  <c r="P453" i="1"/>
  <c r="P455" i="1"/>
  <c r="L1533" i="1"/>
  <c r="L1532" i="1"/>
  <c r="L1534" i="1" s="1"/>
  <c r="N1528" i="1"/>
  <c r="P1529" i="1"/>
  <c r="P1532" i="1"/>
  <c r="N1533" i="1"/>
  <c r="P1534" i="1"/>
  <c r="N1547" i="1"/>
  <c r="Q1529" i="1"/>
  <c r="Q1532" i="1"/>
  <c r="Q1534" i="1"/>
  <c r="P1528" i="1"/>
  <c r="P1533" i="1"/>
  <c r="P1547" i="1"/>
  <c r="L1475" i="1"/>
  <c r="N1469" i="1"/>
  <c r="P1470" i="1"/>
  <c r="P1473" i="1"/>
  <c r="N1474" i="1"/>
  <c r="P1475" i="1"/>
  <c r="N1476" i="1"/>
  <c r="Q1470" i="1"/>
  <c r="Q1473" i="1"/>
  <c r="Q1475" i="1"/>
  <c r="P1469" i="1"/>
  <c r="P1471" i="1"/>
  <c r="P1474" i="1"/>
  <c r="P1476" i="1"/>
  <c r="L1187" i="1"/>
  <c r="L1186" i="1"/>
  <c r="L1188" i="1" s="1"/>
  <c r="N1182" i="1"/>
  <c r="P1183" i="1"/>
  <c r="P1186" i="1"/>
  <c r="N1187" i="1"/>
  <c r="P1188" i="1"/>
  <c r="N1189" i="1"/>
  <c r="Q1183" i="1"/>
  <c r="Q1186" i="1"/>
  <c r="Q1188" i="1"/>
  <c r="P1182" i="1"/>
  <c r="P1184" i="1"/>
  <c r="P1187" i="1"/>
  <c r="P1189" i="1"/>
  <c r="L1112" i="1"/>
  <c r="N1106" i="1"/>
  <c r="P1107" i="1"/>
  <c r="P1110" i="1"/>
  <c r="N1111" i="1"/>
  <c r="P1112" i="1"/>
  <c r="N1113" i="1"/>
  <c r="Q1107" i="1"/>
  <c r="Q1110" i="1"/>
  <c r="Q1112" i="1"/>
  <c r="P1106" i="1"/>
  <c r="P1108" i="1"/>
  <c r="P1111" i="1"/>
  <c r="P1113" i="1"/>
  <c r="N702" i="1"/>
  <c r="P702" i="1"/>
  <c r="P410" i="1"/>
  <c r="N403" i="1"/>
  <c r="N404" i="1"/>
  <c r="N413" i="1"/>
  <c r="P405" i="1"/>
  <c r="N409" i="1"/>
  <c r="P413" i="1"/>
  <c r="Q409" i="1"/>
  <c r="N406" i="1"/>
  <c r="Q406" i="1"/>
  <c r="N410" i="1"/>
  <c r="N405" i="1"/>
  <c r="P403" i="1"/>
  <c r="P404" i="1"/>
  <c r="Q407" i="1"/>
  <c r="P408" i="1"/>
  <c r="Q412" i="1"/>
  <c r="Q414" i="1"/>
  <c r="N415" i="1"/>
  <c r="N407" i="1"/>
  <c r="Q408" i="1"/>
  <c r="P411" i="1"/>
  <c r="N412" i="1"/>
  <c r="N414" i="1"/>
  <c r="Q411" i="1"/>
  <c r="P415" i="1"/>
  <c r="P395" i="1"/>
  <c r="P398" i="1"/>
  <c r="Q394" i="1"/>
  <c r="N394" i="1"/>
  <c r="Q398" i="1"/>
  <c r="P399" i="1"/>
  <c r="N395" i="1"/>
  <c r="N399" i="1"/>
  <c r="Q390" i="1"/>
  <c r="P388" i="1"/>
  <c r="P389" i="1"/>
  <c r="N390" i="1"/>
  <c r="P393" i="1"/>
  <c r="Q391" i="1"/>
  <c r="P392" i="1"/>
  <c r="Q397" i="1"/>
  <c r="N400" i="1"/>
  <c r="Q388" i="1"/>
  <c r="Q389" i="1"/>
  <c r="Q393" i="1"/>
  <c r="N391" i="1"/>
  <c r="Q392" i="1"/>
  <c r="P396" i="1"/>
  <c r="N397" i="1"/>
  <c r="Q396" i="1"/>
  <c r="P400" i="1"/>
  <c r="Q371" i="1"/>
  <c r="N371" i="1"/>
  <c r="N384" i="1"/>
  <c r="Q374" i="1"/>
  <c r="N376" i="1"/>
  <c r="Q379" i="1"/>
  <c r="N374" i="1"/>
  <c r="N380" i="1"/>
  <c r="P380" i="1"/>
  <c r="N383" i="1"/>
  <c r="N346" i="1"/>
  <c r="N373" i="1"/>
  <c r="Q377" i="1"/>
  <c r="P379" i="1"/>
  <c r="P383" i="1"/>
  <c r="P346" i="1"/>
  <c r="Q373" i="1"/>
  <c r="N377" i="1"/>
  <c r="Q375" i="1"/>
  <c r="P376" i="1"/>
  <c r="P378" i="1"/>
  <c r="Q382" i="1"/>
  <c r="Q384" i="1"/>
  <c r="N385" i="1"/>
  <c r="N375" i="1"/>
  <c r="Q378" i="1"/>
  <c r="P381" i="1"/>
  <c r="N382" i="1"/>
  <c r="Q381" i="1"/>
  <c r="P385" i="1"/>
  <c r="N59" i="1"/>
  <c r="P59" i="1"/>
  <c r="L2180" i="1" l="1"/>
  <c r="L2638" i="1"/>
  <c r="L2641" i="1" s="1"/>
  <c r="L2640" i="1"/>
  <c r="O1696" i="1" l="1"/>
  <c r="Q1696" i="1" s="1"/>
  <c r="M1696" i="1"/>
  <c r="L1696" i="1"/>
  <c r="C1696" i="1"/>
  <c r="O1238" i="1"/>
  <c r="Q1238" i="1" s="1"/>
  <c r="M1238" i="1"/>
  <c r="C1238" i="1"/>
  <c r="O120" i="1"/>
  <c r="Q120" i="1" s="1"/>
  <c r="M120" i="1"/>
  <c r="P1696" i="1" l="1"/>
  <c r="P1238" i="1"/>
  <c r="N120" i="1"/>
  <c r="P120" i="1"/>
  <c r="O2469" i="1" l="1"/>
  <c r="Q2469" i="1" s="1"/>
  <c r="M2469" i="1"/>
  <c r="F2469" i="1"/>
  <c r="O2110" i="1"/>
  <c r="Q2110" i="1" s="1"/>
  <c r="M2110" i="1"/>
  <c r="F2110" i="1"/>
  <c r="O1768" i="1"/>
  <c r="Q1768" i="1" s="1"/>
  <c r="M1768" i="1"/>
  <c r="F1768" i="1"/>
  <c r="O959" i="1"/>
  <c r="Q959" i="1" s="1"/>
  <c r="F959" i="1"/>
  <c r="O960" i="1"/>
  <c r="Q960" i="1" s="1"/>
  <c r="F960" i="1"/>
  <c r="O636" i="1"/>
  <c r="Q636" i="1" s="1"/>
  <c r="M636" i="1"/>
  <c r="F636" i="1"/>
  <c r="O258" i="1"/>
  <c r="Q258" i="1" s="1"/>
  <c r="M258" i="1"/>
  <c r="O627" i="1"/>
  <c r="Q627" i="1" s="1"/>
  <c r="M627" i="1"/>
  <c r="C627" i="1"/>
  <c r="O180" i="1"/>
  <c r="Q180" i="1" s="1"/>
  <c r="M180" i="1"/>
  <c r="C180" i="1"/>
  <c r="O3006" i="1"/>
  <c r="Q3006" i="1" s="1"/>
  <c r="M3006" i="1"/>
  <c r="C3006" i="1"/>
  <c r="O2959" i="1"/>
  <c r="Q2959" i="1" s="1"/>
  <c r="M2959" i="1"/>
  <c r="C2959" i="1"/>
  <c r="O2885" i="1"/>
  <c r="Q2885" i="1" s="1"/>
  <c r="M2885" i="1"/>
  <c r="C2885" i="1"/>
  <c r="O2460" i="1"/>
  <c r="Q2460" i="1" s="1"/>
  <c r="M2460" i="1"/>
  <c r="C2460" i="1"/>
  <c r="O2387" i="1"/>
  <c r="Q2387" i="1" s="1"/>
  <c r="M2387" i="1"/>
  <c r="C2387" i="1"/>
  <c r="O2101" i="1"/>
  <c r="Q2101" i="1" s="1"/>
  <c r="M2101" i="1"/>
  <c r="C2101" i="1"/>
  <c r="O2042" i="1"/>
  <c r="Q2042" i="1" s="1"/>
  <c r="M2042" i="1"/>
  <c r="C2042" i="1"/>
  <c r="O1760" i="1"/>
  <c r="Q1760" i="1" s="1"/>
  <c r="M1760" i="1"/>
  <c r="C1760" i="1"/>
  <c r="O1702" i="1"/>
  <c r="Q1702" i="1" s="1"/>
  <c r="M1702" i="1"/>
  <c r="C1702" i="1"/>
  <c r="O951" i="1"/>
  <c r="Q951" i="1" s="1"/>
  <c r="C951" i="1"/>
  <c r="O874" i="1"/>
  <c r="Q874" i="1" s="1"/>
  <c r="M874" i="1"/>
  <c r="C874" i="1"/>
  <c r="B560" i="1"/>
  <c r="B559" i="1"/>
  <c r="B558" i="1"/>
  <c r="O557" i="1"/>
  <c r="Q557" i="1" s="1"/>
  <c r="M557" i="1"/>
  <c r="C557" i="1"/>
  <c r="O556" i="1"/>
  <c r="M556" i="1"/>
  <c r="C556" i="1"/>
  <c r="O250" i="1"/>
  <c r="Q250" i="1" s="1"/>
  <c r="M250" i="1"/>
  <c r="C250" i="1"/>
  <c r="C251" i="1"/>
  <c r="M251" i="1"/>
  <c r="O251" i="1"/>
  <c r="P251" i="1" s="1"/>
  <c r="N2469" i="1" l="1"/>
  <c r="P2469" i="1"/>
  <c r="N2110" i="1"/>
  <c r="P2110" i="1"/>
  <c r="N1768" i="1"/>
  <c r="P1768" i="1"/>
  <c r="P959" i="1"/>
  <c r="N959" i="1"/>
  <c r="N960" i="1"/>
  <c r="P960" i="1"/>
  <c r="N636" i="1"/>
  <c r="P636" i="1"/>
  <c r="P258" i="1"/>
  <c r="P627" i="1"/>
  <c r="P180" i="1"/>
  <c r="P3006" i="1"/>
  <c r="P2959" i="1"/>
  <c r="P2885" i="1"/>
  <c r="P2460" i="1"/>
  <c r="P2387" i="1"/>
  <c r="P2101" i="1"/>
  <c r="P2042" i="1"/>
  <c r="P1760" i="1"/>
  <c r="P1702" i="1"/>
  <c r="P951" i="1"/>
  <c r="P874" i="1"/>
  <c r="P556" i="1"/>
  <c r="Q556" i="1"/>
  <c r="P557" i="1"/>
  <c r="P250" i="1"/>
  <c r="Q251" i="1"/>
  <c r="O2882" i="1"/>
  <c r="Q2882" i="1" s="1"/>
  <c r="M2882" i="1"/>
  <c r="O2881" i="1"/>
  <c r="M2881" i="1"/>
  <c r="E2881" i="1"/>
  <c r="F2881" i="1" s="1"/>
  <c r="C2881" i="1"/>
  <c r="O2880" i="1"/>
  <c r="P2880" i="1" s="1"/>
  <c r="M2880" i="1"/>
  <c r="E2880" i="1"/>
  <c r="F2880" i="1" s="1"/>
  <c r="C2880" i="1"/>
  <c r="O2879" i="1"/>
  <c r="Q2879" i="1" s="1"/>
  <c r="M2879" i="1"/>
  <c r="E2879" i="1"/>
  <c r="F2879" i="1" s="1"/>
  <c r="C2879" i="1"/>
  <c r="O2878" i="1"/>
  <c r="Q2878" i="1" s="1"/>
  <c r="M2878" i="1"/>
  <c r="C2878" i="1"/>
  <c r="O2877" i="1"/>
  <c r="M2877" i="1"/>
  <c r="C2877" i="1"/>
  <c r="O2876" i="1"/>
  <c r="Q2876" i="1" s="1"/>
  <c r="M2876" i="1"/>
  <c r="O2875" i="1"/>
  <c r="Q2875" i="1" s="1"/>
  <c r="M2875" i="1"/>
  <c r="C2875" i="1"/>
  <c r="O2874" i="1"/>
  <c r="Q2874" i="1" s="1"/>
  <c r="M2874" i="1"/>
  <c r="C2874" i="1"/>
  <c r="O2873" i="1"/>
  <c r="Q2873" i="1" s="1"/>
  <c r="M2873" i="1"/>
  <c r="O2872" i="1"/>
  <c r="P2872" i="1" s="1"/>
  <c r="M2872" i="1"/>
  <c r="C2872" i="1"/>
  <c r="O2871" i="1"/>
  <c r="M2871" i="1"/>
  <c r="C2871" i="1"/>
  <c r="O2870" i="1"/>
  <c r="Q2870" i="1" s="1"/>
  <c r="M2870" i="1"/>
  <c r="C2870" i="1"/>
  <c r="O2869" i="1"/>
  <c r="M2869" i="1"/>
  <c r="O2868" i="1"/>
  <c r="Q2868" i="1" s="1"/>
  <c r="M2868" i="1"/>
  <c r="C2868" i="1"/>
  <c r="C2834" i="1" s="1"/>
  <c r="O2867" i="1"/>
  <c r="Q2867" i="1" s="1"/>
  <c r="M2867" i="1"/>
  <c r="C2867" i="1"/>
  <c r="C2829" i="1" s="1"/>
  <c r="O2866" i="1"/>
  <c r="M2866" i="1"/>
  <c r="O2865" i="1"/>
  <c r="Q2865" i="1" s="1"/>
  <c r="M2865" i="1"/>
  <c r="O2864" i="1"/>
  <c r="M2864" i="1"/>
  <c r="O2863" i="1"/>
  <c r="Q2863" i="1" s="1"/>
  <c r="M2863" i="1"/>
  <c r="O2862" i="1"/>
  <c r="Q2862" i="1" s="1"/>
  <c r="M2862" i="1"/>
  <c r="O2861" i="1"/>
  <c r="Q2861" i="1" s="1"/>
  <c r="M2861" i="1"/>
  <c r="O2860" i="1"/>
  <c r="M2860" i="1"/>
  <c r="O2859" i="1"/>
  <c r="Q2859" i="1" s="1"/>
  <c r="M2859" i="1"/>
  <c r="O2858" i="1"/>
  <c r="Q2858" i="1" s="1"/>
  <c r="M2858" i="1"/>
  <c r="O2857" i="1"/>
  <c r="Q2857" i="1" s="1"/>
  <c r="M2857" i="1"/>
  <c r="O2856" i="1"/>
  <c r="P2856" i="1" s="1"/>
  <c r="M2856" i="1"/>
  <c r="O2855" i="1"/>
  <c r="P2855" i="1" s="1"/>
  <c r="M2855" i="1"/>
  <c r="O2854" i="1"/>
  <c r="Q2854" i="1" s="1"/>
  <c r="M2854" i="1"/>
  <c r="Q2853" i="1"/>
  <c r="M2853" i="1"/>
  <c r="O2852" i="1"/>
  <c r="Q2852" i="1" s="1"/>
  <c r="M2852" i="1"/>
  <c r="O2851" i="1"/>
  <c r="M2851" i="1"/>
  <c r="O2850" i="1"/>
  <c r="Q2850" i="1" s="1"/>
  <c r="M2850" i="1"/>
  <c r="O2849" i="1"/>
  <c r="Q2849" i="1" s="1"/>
  <c r="M2849" i="1"/>
  <c r="O2848" i="1"/>
  <c r="Q2848" i="1" s="1"/>
  <c r="M2848" i="1"/>
  <c r="O2847" i="1"/>
  <c r="M2847" i="1"/>
  <c r="O2846" i="1"/>
  <c r="Q2846" i="1" s="1"/>
  <c r="M2846" i="1"/>
  <c r="O2845" i="1"/>
  <c r="Q2845" i="1" s="1"/>
  <c r="M2845" i="1"/>
  <c r="O2844" i="1"/>
  <c r="Q2844" i="1" s="1"/>
  <c r="M2844" i="1"/>
  <c r="O2843" i="1"/>
  <c r="M2843" i="1"/>
  <c r="O2842" i="1"/>
  <c r="Q2842" i="1" s="1"/>
  <c r="M2842" i="1"/>
  <c r="M2841" i="1"/>
  <c r="O2840" i="1"/>
  <c r="Q2840" i="1" s="1"/>
  <c r="M2840" i="1"/>
  <c r="O2839" i="1"/>
  <c r="Q2839" i="1" s="1"/>
  <c r="M2839" i="1"/>
  <c r="O2838" i="1"/>
  <c r="Q2838" i="1" s="1"/>
  <c r="M2838" i="1"/>
  <c r="O2837" i="1"/>
  <c r="M2837" i="1"/>
  <c r="O2836" i="1"/>
  <c r="Q2836" i="1" s="1"/>
  <c r="M2836" i="1"/>
  <c r="O2835" i="1"/>
  <c r="Q2835" i="1" s="1"/>
  <c r="M2835" i="1"/>
  <c r="O2834" i="1"/>
  <c r="Q2834" i="1" s="1"/>
  <c r="M2834" i="1"/>
  <c r="O2833" i="1"/>
  <c r="Q2833" i="1" s="1"/>
  <c r="M2833" i="1"/>
  <c r="O2832" i="1"/>
  <c r="P2832" i="1" s="1"/>
  <c r="B2832" i="1"/>
  <c r="M2832" i="1" s="1"/>
  <c r="O2831" i="1"/>
  <c r="Q2831" i="1" s="1"/>
  <c r="M2831" i="1"/>
  <c r="O2830" i="1"/>
  <c r="M2830" i="1"/>
  <c r="O2829" i="1"/>
  <c r="Q2829" i="1" s="1"/>
  <c r="M2829" i="1"/>
  <c r="O2828" i="1"/>
  <c r="M2828" i="1"/>
  <c r="O2827" i="1"/>
  <c r="Q2827" i="1" s="1"/>
  <c r="B2827" i="1"/>
  <c r="M2827" i="1" s="1"/>
  <c r="O2826" i="1"/>
  <c r="P2826" i="1" s="1"/>
  <c r="M2826" i="1"/>
  <c r="O2825" i="1"/>
  <c r="Q2825" i="1" s="1"/>
  <c r="M2825" i="1"/>
  <c r="O2824" i="1"/>
  <c r="P2824" i="1" s="1"/>
  <c r="M2824" i="1"/>
  <c r="O2823" i="1"/>
  <c r="P2823" i="1" s="1"/>
  <c r="M2823" i="1"/>
  <c r="O2822" i="1"/>
  <c r="Q2822" i="1" s="1"/>
  <c r="M2822" i="1"/>
  <c r="Q2821" i="1"/>
  <c r="O2820" i="1"/>
  <c r="Q2820" i="1" s="1"/>
  <c r="M2820" i="1"/>
  <c r="N2873" i="1" l="1"/>
  <c r="N2832" i="1"/>
  <c r="Q2832" i="1"/>
  <c r="Q2824" i="1"/>
  <c r="P2822" i="1"/>
  <c r="Q2826" i="1"/>
  <c r="Q2855" i="1"/>
  <c r="P2875" i="1"/>
  <c r="P2878" i="1"/>
  <c r="N2825" i="1"/>
  <c r="N2826" i="1"/>
  <c r="N2833" i="1"/>
  <c r="N2854" i="1"/>
  <c r="N2855" i="1"/>
  <c r="P2873" i="1"/>
  <c r="P2876" i="1"/>
  <c r="Q2823" i="1"/>
  <c r="P2825" i="1"/>
  <c r="P2833" i="1"/>
  <c r="P2854" i="1"/>
  <c r="P2870" i="1"/>
  <c r="N2876" i="1"/>
  <c r="P2882" i="1"/>
  <c r="Q2872" i="1"/>
  <c r="P2867" i="1"/>
  <c r="N2820" i="1"/>
  <c r="P2820" i="1"/>
  <c r="N2835" i="1"/>
  <c r="P2835" i="1"/>
  <c r="N2839" i="1"/>
  <c r="P2839" i="1"/>
  <c r="N2845" i="1"/>
  <c r="P2845" i="1"/>
  <c r="N2849" i="1"/>
  <c r="P2849" i="1"/>
  <c r="P2858" i="1"/>
  <c r="N2858" i="1"/>
  <c r="P2862" i="1"/>
  <c r="N2862" i="1"/>
  <c r="P2866" i="1"/>
  <c r="N2866" i="1"/>
  <c r="Q2866" i="1"/>
  <c r="Q2869" i="1"/>
  <c r="P2869" i="1"/>
  <c r="N2869" i="1"/>
  <c r="N2830" i="1"/>
  <c r="P2830" i="1"/>
  <c r="N2837" i="1"/>
  <c r="P2837" i="1"/>
  <c r="N2843" i="1"/>
  <c r="P2843" i="1"/>
  <c r="N2847" i="1"/>
  <c r="P2847" i="1"/>
  <c r="N2851" i="1"/>
  <c r="P2851" i="1"/>
  <c r="P2831" i="1"/>
  <c r="N2831" i="1"/>
  <c r="P2834" i="1"/>
  <c r="N2834" i="1"/>
  <c r="P2838" i="1"/>
  <c r="N2838" i="1"/>
  <c r="P2844" i="1"/>
  <c r="N2844" i="1"/>
  <c r="P2848" i="1"/>
  <c r="N2848" i="1"/>
  <c r="P2852" i="1"/>
  <c r="N2852" i="1"/>
  <c r="N2857" i="1"/>
  <c r="P2857" i="1"/>
  <c r="N2861" i="1"/>
  <c r="P2861" i="1"/>
  <c r="N2865" i="1"/>
  <c r="P2865" i="1"/>
  <c r="P2828" i="1"/>
  <c r="N2828" i="1"/>
  <c r="P2860" i="1"/>
  <c r="N2860" i="1"/>
  <c r="P2864" i="1"/>
  <c r="N2864" i="1"/>
  <c r="N2827" i="1"/>
  <c r="P2827" i="1"/>
  <c r="Q2828" i="1"/>
  <c r="P2829" i="1"/>
  <c r="N2829" i="1"/>
  <c r="Q2830" i="1"/>
  <c r="P2836" i="1"/>
  <c r="N2836" i="1"/>
  <c r="Q2837" i="1"/>
  <c r="P2840" i="1"/>
  <c r="N2840" i="1"/>
  <c r="P2842" i="1"/>
  <c r="N2842" i="1"/>
  <c r="Q2843" i="1"/>
  <c r="P2846" i="1"/>
  <c r="N2846" i="1"/>
  <c r="Q2847" i="1"/>
  <c r="P2850" i="1"/>
  <c r="N2850" i="1"/>
  <c r="Q2851" i="1"/>
  <c r="Q2856" i="1"/>
  <c r="N2859" i="1"/>
  <c r="P2859" i="1"/>
  <c r="Q2860" i="1"/>
  <c r="N2863" i="1"/>
  <c r="P2863" i="1"/>
  <c r="Q2864" i="1"/>
  <c r="P2868" i="1"/>
  <c r="P2871" i="1"/>
  <c r="P2874" i="1"/>
  <c r="P2877" i="1"/>
  <c r="Q2880" i="1"/>
  <c r="P2881" i="1"/>
  <c r="N2882" i="1"/>
  <c r="Q2877" i="1"/>
  <c r="N2880" i="1"/>
  <c r="Q2881" i="1"/>
  <c r="Q2871" i="1"/>
  <c r="P2879" i="1"/>
  <c r="C75" i="1" l="1"/>
  <c r="E663" i="1" l="1"/>
  <c r="O3457" i="1" l="1"/>
  <c r="Q3457" i="1" s="1"/>
  <c r="E3457" i="1"/>
  <c r="F3457" i="1" s="1"/>
  <c r="O3395" i="1"/>
  <c r="Q3395" i="1" s="1"/>
  <c r="E3395" i="1"/>
  <c r="F3395" i="1" s="1"/>
  <c r="O3346" i="1"/>
  <c r="Q3346" i="1" s="1"/>
  <c r="M3346" i="1"/>
  <c r="E3346" i="1"/>
  <c r="F3346" i="1" s="1"/>
  <c r="O3267" i="1"/>
  <c r="Q3267" i="1" s="1"/>
  <c r="M3267" i="1"/>
  <c r="E3267" i="1"/>
  <c r="F3267" i="1" s="1"/>
  <c r="O3219" i="1"/>
  <c r="Q3219" i="1" s="1"/>
  <c r="M3219" i="1"/>
  <c r="E3219" i="1"/>
  <c r="F3219" i="1" s="1"/>
  <c r="O3114" i="1"/>
  <c r="Q3114" i="1" s="1"/>
  <c r="M3114" i="1"/>
  <c r="E3114" i="1"/>
  <c r="F3114" i="1" s="1"/>
  <c r="O3034" i="1"/>
  <c r="Q3034" i="1" s="1"/>
  <c r="M3034" i="1"/>
  <c r="E3034" i="1"/>
  <c r="F3034" i="1" s="1"/>
  <c r="O2987" i="1"/>
  <c r="Q2987" i="1" s="1"/>
  <c r="M2987" i="1"/>
  <c r="E2987" i="1"/>
  <c r="F2987" i="1" s="1"/>
  <c r="O2940" i="1"/>
  <c r="N2940" i="1" s="1"/>
  <c r="M2940" i="1"/>
  <c r="E2940" i="1"/>
  <c r="F2940" i="1" s="1"/>
  <c r="O2803" i="1"/>
  <c r="Q2803" i="1" s="1"/>
  <c r="M2803" i="1"/>
  <c r="E2803" i="1"/>
  <c r="F2803" i="1" s="1"/>
  <c r="O2738" i="1"/>
  <c r="Q2738" i="1" s="1"/>
  <c r="M2738" i="1"/>
  <c r="E2738" i="1"/>
  <c r="F2738" i="1" s="1"/>
  <c r="O2659" i="1"/>
  <c r="Q2659" i="1" s="1"/>
  <c r="M2659" i="1"/>
  <c r="E2659" i="1"/>
  <c r="F2659" i="1" s="1"/>
  <c r="O2579" i="1"/>
  <c r="Q2579" i="1" s="1"/>
  <c r="M2579" i="1"/>
  <c r="E2579" i="1"/>
  <c r="F2579" i="1" s="1"/>
  <c r="O2540" i="1"/>
  <c r="P2540" i="1" s="1"/>
  <c r="M2540" i="1"/>
  <c r="E2540" i="1"/>
  <c r="F2540" i="1" s="1"/>
  <c r="O2497" i="1"/>
  <c r="Q2497" i="1" s="1"/>
  <c r="M2497" i="1"/>
  <c r="E2497" i="1"/>
  <c r="F2497" i="1" s="1"/>
  <c r="O2436" i="1"/>
  <c r="Q2436" i="1" s="1"/>
  <c r="M2436" i="1"/>
  <c r="E2436" i="1"/>
  <c r="F2436" i="1" s="1"/>
  <c r="O2363" i="1"/>
  <c r="Q2363" i="1" s="1"/>
  <c r="M2363" i="1"/>
  <c r="E2363" i="1"/>
  <c r="F2363" i="1" s="1"/>
  <c r="O2297" i="1"/>
  <c r="P2297" i="1" s="1"/>
  <c r="M2297" i="1"/>
  <c r="E2297" i="1"/>
  <c r="F2297" i="1" s="1"/>
  <c r="O2218" i="1"/>
  <c r="Q2218" i="1" s="1"/>
  <c r="M2218" i="1"/>
  <c r="E2218" i="1"/>
  <c r="F2218" i="1" s="1"/>
  <c r="O2138" i="1"/>
  <c r="Q2138" i="1" s="1"/>
  <c r="M2138" i="1"/>
  <c r="E2138" i="1"/>
  <c r="F2138" i="1" s="1"/>
  <c r="O2077" i="1"/>
  <c r="Q2077" i="1" s="1"/>
  <c r="M2077" i="1"/>
  <c r="E2077" i="1"/>
  <c r="F2077" i="1" s="1"/>
  <c r="O2018" i="1"/>
  <c r="Q2018" i="1" s="1"/>
  <c r="M2018" i="1"/>
  <c r="E2018" i="1"/>
  <c r="F2018" i="1" s="1"/>
  <c r="O1954" i="1"/>
  <c r="Q1954" i="1" s="1"/>
  <c r="M1954" i="1"/>
  <c r="E1954" i="1"/>
  <c r="F1954" i="1" s="1"/>
  <c r="O1878" i="1"/>
  <c r="Q1878" i="1" s="1"/>
  <c r="M1878" i="1"/>
  <c r="E1878" i="1"/>
  <c r="F1878" i="1" s="1"/>
  <c r="O1796" i="1"/>
  <c r="Q1796" i="1" s="1"/>
  <c r="M1796" i="1"/>
  <c r="E1796" i="1"/>
  <c r="F1796" i="1" s="1"/>
  <c r="O1737" i="1"/>
  <c r="Q1737" i="1" s="1"/>
  <c r="M1737" i="1"/>
  <c r="E1737" i="1"/>
  <c r="F1737" i="1" s="1"/>
  <c r="O1678" i="1"/>
  <c r="Q1678" i="1" s="1"/>
  <c r="M1678" i="1"/>
  <c r="E1678" i="1"/>
  <c r="F1678" i="1" s="1"/>
  <c r="O1623" i="1"/>
  <c r="Q1623" i="1" s="1"/>
  <c r="M1623" i="1"/>
  <c r="E1623" i="1"/>
  <c r="F1623" i="1" s="1"/>
  <c r="O1566" i="1"/>
  <c r="Q1566" i="1" s="1"/>
  <c r="M1566" i="1"/>
  <c r="E1566" i="1"/>
  <c r="F1566" i="1" s="1"/>
  <c r="O1506" i="1"/>
  <c r="Q1506" i="1" s="1"/>
  <c r="M1506" i="1"/>
  <c r="E1506" i="1"/>
  <c r="F1506" i="1" s="1"/>
  <c r="O1447" i="1"/>
  <c r="P1447" i="1" s="1"/>
  <c r="M1447" i="1"/>
  <c r="E1447" i="1"/>
  <c r="F1447" i="1" s="1"/>
  <c r="O1395" i="1"/>
  <c r="N1395" i="1" s="1"/>
  <c r="M1395" i="1"/>
  <c r="E1395" i="1"/>
  <c r="F1395" i="1" s="1"/>
  <c r="O1357" i="1"/>
  <c r="Q1357" i="1" s="1"/>
  <c r="M1357" i="1"/>
  <c r="E1357" i="1"/>
  <c r="F1357" i="1" s="1"/>
  <c r="O1318" i="1"/>
  <c r="Q1318" i="1" s="1"/>
  <c r="M1318" i="1"/>
  <c r="E1318" i="1"/>
  <c r="F1318" i="1" s="1"/>
  <c r="O1280" i="1"/>
  <c r="P1280" i="1" s="1"/>
  <c r="M1280" i="1"/>
  <c r="E1280" i="1"/>
  <c r="F1280" i="1" s="1"/>
  <c r="O1218" i="1"/>
  <c r="Q1218" i="1" s="1"/>
  <c r="M1218" i="1"/>
  <c r="E1218" i="1"/>
  <c r="F1218" i="1" s="1"/>
  <c r="O1142" i="1"/>
  <c r="Q1142" i="1" s="1"/>
  <c r="E1142" i="1"/>
  <c r="F1142" i="1" s="1"/>
  <c r="O1071" i="1"/>
  <c r="Q1071" i="1" s="1"/>
  <c r="M1071" i="1"/>
  <c r="E1071" i="1"/>
  <c r="F1071" i="1" s="1"/>
  <c r="O1031" i="1"/>
  <c r="Q1031" i="1" s="1"/>
  <c r="E1031" i="1"/>
  <c r="F1031" i="1" s="1"/>
  <c r="O988" i="1"/>
  <c r="Q988" i="1" s="1"/>
  <c r="E988" i="1"/>
  <c r="F988" i="1" s="1"/>
  <c r="O927" i="1"/>
  <c r="Q927" i="1" s="1"/>
  <c r="M927" i="1"/>
  <c r="O850" i="1"/>
  <c r="P850" i="1" s="1"/>
  <c r="M850" i="1"/>
  <c r="E850" i="1"/>
  <c r="F850" i="1" s="1"/>
  <c r="O785" i="1"/>
  <c r="Q785" i="1" s="1"/>
  <c r="E785" i="1"/>
  <c r="F785" i="1" s="1"/>
  <c r="O733" i="1"/>
  <c r="Q733" i="1" s="1"/>
  <c r="E733" i="1"/>
  <c r="F733" i="1" s="1"/>
  <c r="O663" i="1"/>
  <c r="Q663" i="1" s="1"/>
  <c r="M663" i="1"/>
  <c r="F663" i="1"/>
  <c r="O605" i="1"/>
  <c r="Q605" i="1" s="1"/>
  <c r="M605" i="1"/>
  <c r="E605" i="1"/>
  <c r="F605" i="1" s="1"/>
  <c r="O534" i="1"/>
  <c r="P534" i="1" s="1"/>
  <c r="M534" i="1"/>
  <c r="E534" i="1"/>
  <c r="F534" i="1" s="1"/>
  <c r="O472" i="1"/>
  <c r="Q472" i="1" s="1"/>
  <c r="M472" i="1"/>
  <c r="E472" i="1"/>
  <c r="F472" i="1" s="1"/>
  <c r="O365" i="1"/>
  <c r="P365" i="1" s="1"/>
  <c r="M365" i="1"/>
  <c r="E365" i="1"/>
  <c r="F365" i="1" s="1"/>
  <c r="O288" i="1"/>
  <c r="Q288" i="1" s="1"/>
  <c r="M288" i="1"/>
  <c r="E288" i="1"/>
  <c r="F288" i="1" s="1"/>
  <c r="O228" i="1"/>
  <c r="Q228" i="1" s="1"/>
  <c r="M228" i="1"/>
  <c r="E228" i="1"/>
  <c r="F228" i="1" s="1"/>
  <c r="O157" i="1"/>
  <c r="Q157" i="1" s="1"/>
  <c r="M157" i="1"/>
  <c r="E157" i="1"/>
  <c r="F157" i="1" s="1"/>
  <c r="O124" i="1"/>
  <c r="Q124" i="1" s="1"/>
  <c r="M124" i="1"/>
  <c r="E124" i="1"/>
  <c r="F124" i="1" s="1"/>
  <c r="E64" i="1"/>
  <c r="F64" i="1" s="1"/>
  <c r="O64" i="1"/>
  <c r="Q64" i="1" s="1"/>
  <c r="M64" i="1"/>
  <c r="O3408" i="1"/>
  <c r="N3408" i="1" s="1"/>
  <c r="O3407" i="1"/>
  <c r="N3407" i="1" s="1"/>
  <c r="O3406" i="1"/>
  <c r="N3406" i="1" s="1"/>
  <c r="C3406" i="1"/>
  <c r="O3405" i="1"/>
  <c r="P3405" i="1" s="1"/>
  <c r="F3405" i="1"/>
  <c r="O3404" i="1"/>
  <c r="P3404" i="1" s="1"/>
  <c r="E3404" i="1"/>
  <c r="F3404" i="1" s="1"/>
  <c r="C3404" i="1"/>
  <c r="O3403" i="1"/>
  <c r="N3403" i="1" s="1"/>
  <c r="O3402" i="1"/>
  <c r="Q3402" i="1" s="1"/>
  <c r="C3402" i="1"/>
  <c r="O3401" i="1"/>
  <c r="Q3401" i="1" s="1"/>
  <c r="L3401" i="1"/>
  <c r="L3404" i="1" s="1"/>
  <c r="C3401" i="1"/>
  <c r="O3400" i="1"/>
  <c r="Q3400" i="1" s="1"/>
  <c r="L3400" i="1"/>
  <c r="L3402" i="1" s="1"/>
  <c r="O3359" i="1"/>
  <c r="Q3359" i="1" s="1"/>
  <c r="O3358" i="1"/>
  <c r="N3358" i="1" s="1"/>
  <c r="L3358" i="1"/>
  <c r="O3357" i="1"/>
  <c r="N3357" i="1" s="1"/>
  <c r="C3357" i="1"/>
  <c r="O3356" i="1"/>
  <c r="P3356" i="1" s="1"/>
  <c r="F3356" i="1"/>
  <c r="O3355" i="1"/>
  <c r="P3355" i="1" s="1"/>
  <c r="E3355" i="1"/>
  <c r="F3355" i="1" s="1"/>
  <c r="C3355" i="1"/>
  <c r="O3354" i="1"/>
  <c r="N3354" i="1" s="1"/>
  <c r="O3353" i="1"/>
  <c r="Q3353" i="1" s="1"/>
  <c r="C3353" i="1"/>
  <c r="O3352" i="1"/>
  <c r="Q3352" i="1" s="1"/>
  <c r="L3352" i="1"/>
  <c r="L3355" i="1" s="1"/>
  <c r="C3352" i="1"/>
  <c r="O3351" i="1"/>
  <c r="N3351" i="1" s="1"/>
  <c r="M3351" i="1"/>
  <c r="L3351" i="1"/>
  <c r="L3353" i="1" s="1"/>
  <c r="O3279" i="1"/>
  <c r="N3279" i="1" s="1"/>
  <c r="M3279" i="1"/>
  <c r="L3279" i="1"/>
  <c r="O3278" i="1"/>
  <c r="N3278" i="1" s="1"/>
  <c r="M3278" i="1"/>
  <c r="C3278" i="1"/>
  <c r="O3277" i="1"/>
  <c r="P3277" i="1" s="1"/>
  <c r="M3277" i="1"/>
  <c r="F3277" i="1"/>
  <c r="O3276" i="1"/>
  <c r="P3276" i="1" s="1"/>
  <c r="M3276" i="1"/>
  <c r="E3276" i="1"/>
  <c r="F3276" i="1" s="1"/>
  <c r="C3276" i="1"/>
  <c r="O3275" i="1"/>
  <c r="N3275" i="1" s="1"/>
  <c r="M3275" i="1"/>
  <c r="O3274" i="1"/>
  <c r="Q3274" i="1" s="1"/>
  <c r="M3274" i="1"/>
  <c r="C3274" i="1"/>
  <c r="O3273" i="1"/>
  <c r="Q3273" i="1" s="1"/>
  <c r="M3273" i="1"/>
  <c r="L3273" i="1"/>
  <c r="L3276" i="1" s="1"/>
  <c r="C3273" i="1"/>
  <c r="O3272" i="1"/>
  <c r="N3272" i="1" s="1"/>
  <c r="M3272" i="1"/>
  <c r="L3272" i="1"/>
  <c r="L3274" i="1" s="1"/>
  <c r="O3237" i="1"/>
  <c r="Q3237" i="1" s="1"/>
  <c r="M3237" i="1"/>
  <c r="O3236" i="1"/>
  <c r="N3236" i="1" s="1"/>
  <c r="M3236" i="1"/>
  <c r="L3236" i="1"/>
  <c r="O3235" i="1"/>
  <c r="N3235" i="1" s="1"/>
  <c r="M3235" i="1"/>
  <c r="C3235" i="1"/>
  <c r="O3234" i="1"/>
  <c r="P3234" i="1" s="1"/>
  <c r="M3234" i="1"/>
  <c r="F3234" i="1"/>
  <c r="O3233" i="1"/>
  <c r="P3233" i="1" s="1"/>
  <c r="M3233" i="1"/>
  <c r="E3233" i="1"/>
  <c r="F3233" i="1" s="1"/>
  <c r="C3233" i="1"/>
  <c r="O3232" i="1"/>
  <c r="N3232" i="1" s="1"/>
  <c r="M3232" i="1"/>
  <c r="O3231" i="1"/>
  <c r="Q3231" i="1" s="1"/>
  <c r="M3231" i="1"/>
  <c r="C3231" i="1"/>
  <c r="O3230" i="1"/>
  <c r="Q3230" i="1" s="1"/>
  <c r="M3230" i="1"/>
  <c r="L3230" i="1"/>
  <c r="L3233" i="1" s="1"/>
  <c r="C3230" i="1"/>
  <c r="O3229" i="1"/>
  <c r="N3229" i="1" s="1"/>
  <c r="M3229" i="1"/>
  <c r="L3229" i="1"/>
  <c r="L3231" i="1" s="1"/>
  <c r="O3161" i="1"/>
  <c r="Q3161" i="1" s="1"/>
  <c r="M3161" i="1"/>
  <c r="O3160" i="1"/>
  <c r="N3160" i="1" s="1"/>
  <c r="M3160" i="1"/>
  <c r="L3160" i="1"/>
  <c r="O3159" i="1"/>
  <c r="N3159" i="1" s="1"/>
  <c r="M3159" i="1"/>
  <c r="C3159" i="1"/>
  <c r="O3158" i="1"/>
  <c r="P3158" i="1" s="1"/>
  <c r="M3158" i="1"/>
  <c r="F3158" i="1"/>
  <c r="O3157" i="1"/>
  <c r="P3157" i="1" s="1"/>
  <c r="M3157" i="1"/>
  <c r="E3157" i="1"/>
  <c r="F3157" i="1" s="1"/>
  <c r="C3157" i="1"/>
  <c r="O3156" i="1"/>
  <c r="N3156" i="1" s="1"/>
  <c r="M3156" i="1"/>
  <c r="O3155" i="1"/>
  <c r="Q3155" i="1" s="1"/>
  <c r="M3155" i="1"/>
  <c r="C3155" i="1"/>
  <c r="O3154" i="1"/>
  <c r="Q3154" i="1" s="1"/>
  <c r="M3154" i="1"/>
  <c r="L3154" i="1"/>
  <c r="L3157" i="1" s="1"/>
  <c r="C3154" i="1"/>
  <c r="O3153" i="1"/>
  <c r="Q3153" i="1" s="1"/>
  <c r="M3153" i="1"/>
  <c r="L3153" i="1"/>
  <c r="L3155" i="1" s="1"/>
  <c r="O3047" i="1"/>
  <c r="N3047" i="1" s="1"/>
  <c r="M3047" i="1"/>
  <c r="O3046" i="1"/>
  <c r="N3046" i="1" s="1"/>
  <c r="M3046" i="1"/>
  <c r="L3046" i="1"/>
  <c r="O3045" i="1"/>
  <c r="N3045" i="1" s="1"/>
  <c r="M3045" i="1"/>
  <c r="C3045" i="1"/>
  <c r="O3044" i="1"/>
  <c r="P3044" i="1" s="1"/>
  <c r="M3044" i="1"/>
  <c r="F3044" i="1"/>
  <c r="O3043" i="1"/>
  <c r="P3043" i="1" s="1"/>
  <c r="M3043" i="1"/>
  <c r="E3043" i="1"/>
  <c r="F3043" i="1" s="1"/>
  <c r="C3043" i="1"/>
  <c r="O3042" i="1"/>
  <c r="N3042" i="1" s="1"/>
  <c r="M3042" i="1"/>
  <c r="O3041" i="1"/>
  <c r="Q3041" i="1" s="1"/>
  <c r="M3041" i="1"/>
  <c r="C3041" i="1"/>
  <c r="O3040" i="1"/>
  <c r="Q3040" i="1" s="1"/>
  <c r="M3040" i="1"/>
  <c r="L3040" i="1"/>
  <c r="L3043" i="1" s="1"/>
  <c r="C3040" i="1"/>
  <c r="O3039" i="1"/>
  <c r="Q3039" i="1" s="1"/>
  <c r="M3039" i="1"/>
  <c r="L3039" i="1"/>
  <c r="L3041" i="1" s="1"/>
  <c r="O3000" i="1"/>
  <c r="Q3000" i="1" s="1"/>
  <c r="M3000" i="1"/>
  <c r="O2999" i="1"/>
  <c r="N2999" i="1" s="1"/>
  <c r="M2999" i="1"/>
  <c r="L2999" i="1"/>
  <c r="O2998" i="1"/>
  <c r="N2998" i="1" s="1"/>
  <c r="M2998" i="1"/>
  <c r="C2998" i="1"/>
  <c r="O2997" i="1"/>
  <c r="P2997" i="1" s="1"/>
  <c r="M2997" i="1"/>
  <c r="F2997" i="1"/>
  <c r="O2996" i="1"/>
  <c r="P2996" i="1" s="1"/>
  <c r="M2996" i="1"/>
  <c r="E2996" i="1"/>
  <c r="F2996" i="1" s="1"/>
  <c r="C2996" i="1"/>
  <c r="O2995" i="1"/>
  <c r="N2995" i="1" s="1"/>
  <c r="M2995" i="1"/>
  <c r="O2994" i="1"/>
  <c r="Q2994" i="1" s="1"/>
  <c r="M2994" i="1"/>
  <c r="C2994" i="1"/>
  <c r="O2993" i="1"/>
  <c r="Q2993" i="1" s="1"/>
  <c r="M2993" i="1"/>
  <c r="L2993" i="1"/>
  <c r="L2996" i="1" s="1"/>
  <c r="C2993" i="1"/>
  <c r="O2992" i="1"/>
  <c r="N2992" i="1" s="1"/>
  <c r="M2992" i="1"/>
  <c r="L2992" i="1"/>
  <c r="L2994" i="1" s="1"/>
  <c r="O2953" i="1"/>
  <c r="Q2953" i="1" s="1"/>
  <c r="M2953" i="1"/>
  <c r="O2952" i="1"/>
  <c r="N2952" i="1" s="1"/>
  <c r="M2952" i="1"/>
  <c r="L2952" i="1"/>
  <c r="O2951" i="1"/>
  <c r="N2951" i="1" s="1"/>
  <c r="M2951" i="1"/>
  <c r="C2951" i="1"/>
  <c r="O2950" i="1"/>
  <c r="P2950" i="1" s="1"/>
  <c r="M2950" i="1"/>
  <c r="F2950" i="1"/>
  <c r="O2949" i="1"/>
  <c r="P2949" i="1" s="1"/>
  <c r="M2949" i="1"/>
  <c r="E2949" i="1"/>
  <c r="F2949" i="1" s="1"/>
  <c r="C2949" i="1"/>
  <c r="O2948" i="1"/>
  <c r="N2948" i="1" s="1"/>
  <c r="M2948" i="1"/>
  <c r="O2947" i="1"/>
  <c r="Q2947" i="1" s="1"/>
  <c r="M2947" i="1"/>
  <c r="C2947" i="1"/>
  <c r="O2946" i="1"/>
  <c r="Q2946" i="1" s="1"/>
  <c r="M2946" i="1"/>
  <c r="L2946" i="1"/>
  <c r="L2949" i="1" s="1"/>
  <c r="C2946" i="1"/>
  <c r="O2945" i="1"/>
  <c r="N2945" i="1" s="1"/>
  <c r="M2945" i="1"/>
  <c r="L2945" i="1"/>
  <c r="L2947" i="1" s="1"/>
  <c r="O2816" i="1"/>
  <c r="Q2816" i="1" s="1"/>
  <c r="M2816" i="1"/>
  <c r="O2815" i="1"/>
  <c r="N2815" i="1" s="1"/>
  <c r="M2815" i="1"/>
  <c r="L2815" i="1"/>
  <c r="O2814" i="1"/>
  <c r="N2814" i="1" s="1"/>
  <c r="M2814" i="1"/>
  <c r="C2814" i="1"/>
  <c r="O2813" i="1"/>
  <c r="P2813" i="1" s="1"/>
  <c r="M2813" i="1"/>
  <c r="F2813" i="1"/>
  <c r="O2812" i="1"/>
  <c r="P2812" i="1" s="1"/>
  <c r="M2812" i="1"/>
  <c r="E2812" i="1"/>
  <c r="F2812" i="1" s="1"/>
  <c r="C2812" i="1"/>
  <c r="O2811" i="1"/>
  <c r="N2811" i="1" s="1"/>
  <c r="M2811" i="1"/>
  <c r="O2810" i="1"/>
  <c r="Q2810" i="1" s="1"/>
  <c r="M2810" i="1"/>
  <c r="C2810" i="1"/>
  <c r="O2809" i="1"/>
  <c r="Q2809" i="1" s="1"/>
  <c r="M2809" i="1"/>
  <c r="L2809" i="1"/>
  <c r="L2812" i="1" s="1"/>
  <c r="C2809" i="1"/>
  <c r="O2808" i="1"/>
  <c r="N2808" i="1" s="1"/>
  <c r="M2808" i="1"/>
  <c r="L2808" i="1"/>
  <c r="L2810" i="1" s="1"/>
  <c r="O2752" i="1"/>
  <c r="Q2752" i="1" s="1"/>
  <c r="M2752" i="1"/>
  <c r="O2751" i="1"/>
  <c r="N2751" i="1" s="1"/>
  <c r="M2751" i="1"/>
  <c r="L2751" i="1"/>
  <c r="O2750" i="1"/>
  <c r="N2750" i="1" s="1"/>
  <c r="M2750" i="1"/>
  <c r="C2750" i="1"/>
  <c r="O2749" i="1"/>
  <c r="P2749" i="1" s="1"/>
  <c r="M2749" i="1"/>
  <c r="F2749" i="1"/>
  <c r="O2748" i="1"/>
  <c r="P2748" i="1" s="1"/>
  <c r="M2748" i="1"/>
  <c r="E2748" i="1"/>
  <c r="F2748" i="1" s="1"/>
  <c r="C2748" i="1"/>
  <c r="O2747" i="1"/>
  <c r="N2747" i="1" s="1"/>
  <c r="M2747" i="1"/>
  <c r="O2746" i="1"/>
  <c r="Q2746" i="1" s="1"/>
  <c r="M2746" i="1"/>
  <c r="C2746" i="1"/>
  <c r="O2745" i="1"/>
  <c r="Q2745" i="1" s="1"/>
  <c r="M2745" i="1"/>
  <c r="L2745" i="1"/>
  <c r="L2748" i="1" s="1"/>
  <c r="C2745" i="1"/>
  <c r="O2744" i="1"/>
  <c r="N2744" i="1" s="1"/>
  <c r="M2744" i="1"/>
  <c r="L2744" i="1"/>
  <c r="L2746" i="1" s="1"/>
  <c r="O2691" i="1"/>
  <c r="Q2691" i="1" s="1"/>
  <c r="M2691" i="1"/>
  <c r="O2690" i="1"/>
  <c r="N2690" i="1" s="1"/>
  <c r="M2690" i="1"/>
  <c r="L2690" i="1"/>
  <c r="O2689" i="1"/>
  <c r="N2689" i="1" s="1"/>
  <c r="M2689" i="1"/>
  <c r="C2689" i="1"/>
  <c r="O2688" i="1"/>
  <c r="P2688" i="1" s="1"/>
  <c r="M2688" i="1"/>
  <c r="F2688" i="1"/>
  <c r="O2687" i="1"/>
  <c r="P2687" i="1" s="1"/>
  <c r="M2687" i="1"/>
  <c r="E2687" i="1"/>
  <c r="F2687" i="1" s="1"/>
  <c r="C2687" i="1"/>
  <c r="O2686" i="1"/>
  <c r="N2686" i="1" s="1"/>
  <c r="M2686" i="1"/>
  <c r="O2685" i="1"/>
  <c r="Q2685" i="1" s="1"/>
  <c r="M2685" i="1"/>
  <c r="C2685" i="1"/>
  <c r="O2684" i="1"/>
  <c r="Q2684" i="1" s="1"/>
  <c r="M2684" i="1"/>
  <c r="L2684" i="1"/>
  <c r="L2687" i="1" s="1"/>
  <c r="C2684" i="1"/>
  <c r="O2683" i="1"/>
  <c r="N2683" i="1" s="1"/>
  <c r="M2683" i="1"/>
  <c r="L2683" i="1"/>
  <c r="L2685" i="1" s="1"/>
  <c r="O2592" i="1"/>
  <c r="Q2592" i="1" s="1"/>
  <c r="M2592" i="1"/>
  <c r="O2591" i="1"/>
  <c r="N2591" i="1" s="1"/>
  <c r="M2591" i="1"/>
  <c r="L2591" i="1"/>
  <c r="O2590" i="1"/>
  <c r="N2590" i="1" s="1"/>
  <c r="M2590" i="1"/>
  <c r="C2590" i="1"/>
  <c r="O2589" i="1"/>
  <c r="P2589" i="1" s="1"/>
  <c r="M2589" i="1"/>
  <c r="F2589" i="1"/>
  <c r="O2588" i="1"/>
  <c r="P2588" i="1" s="1"/>
  <c r="M2588" i="1"/>
  <c r="E2588" i="1"/>
  <c r="F2588" i="1" s="1"/>
  <c r="C2588" i="1"/>
  <c r="O2587" i="1"/>
  <c r="N2587" i="1" s="1"/>
  <c r="M2587" i="1"/>
  <c r="O2586" i="1"/>
  <c r="Q2586" i="1" s="1"/>
  <c r="M2586" i="1"/>
  <c r="C2586" i="1"/>
  <c r="O2585" i="1"/>
  <c r="Q2585" i="1" s="1"/>
  <c r="M2585" i="1"/>
  <c r="L2585" i="1"/>
  <c r="L2588" i="1" s="1"/>
  <c r="C2585" i="1"/>
  <c r="O2584" i="1"/>
  <c r="Q2584" i="1" s="1"/>
  <c r="M2584" i="1"/>
  <c r="L2584" i="1"/>
  <c r="L2586" i="1" s="1"/>
  <c r="O2553" i="1"/>
  <c r="Q2553" i="1" s="1"/>
  <c r="M2553" i="1"/>
  <c r="O2552" i="1"/>
  <c r="N2552" i="1" s="1"/>
  <c r="M2552" i="1"/>
  <c r="L2552" i="1"/>
  <c r="O2551" i="1"/>
  <c r="N2551" i="1" s="1"/>
  <c r="M2551" i="1"/>
  <c r="C2551" i="1"/>
  <c r="O2550" i="1"/>
  <c r="P2550" i="1" s="1"/>
  <c r="M2550" i="1"/>
  <c r="F2550" i="1"/>
  <c r="O2549" i="1"/>
  <c r="P2549" i="1" s="1"/>
  <c r="M2549" i="1"/>
  <c r="E2549" i="1"/>
  <c r="F2549" i="1" s="1"/>
  <c r="C2549" i="1"/>
  <c r="O2548" i="1"/>
  <c r="N2548" i="1" s="1"/>
  <c r="M2548" i="1"/>
  <c r="O2547" i="1"/>
  <c r="Q2547" i="1" s="1"/>
  <c r="M2547" i="1"/>
  <c r="C2547" i="1"/>
  <c r="O2546" i="1"/>
  <c r="Q2546" i="1" s="1"/>
  <c r="M2546" i="1"/>
  <c r="L2546" i="1"/>
  <c r="L2549" i="1" s="1"/>
  <c r="C2546" i="1"/>
  <c r="O2545" i="1"/>
  <c r="N2545" i="1" s="1"/>
  <c r="M2545" i="1"/>
  <c r="L2545" i="1"/>
  <c r="L2547" i="1" s="1"/>
  <c r="O2510" i="1"/>
  <c r="Q2510" i="1" s="1"/>
  <c r="M2510" i="1"/>
  <c r="O2509" i="1"/>
  <c r="N2509" i="1" s="1"/>
  <c r="M2509" i="1"/>
  <c r="L2509" i="1"/>
  <c r="O2508" i="1"/>
  <c r="N2508" i="1" s="1"/>
  <c r="M2508" i="1"/>
  <c r="C2508" i="1"/>
  <c r="O2507" i="1"/>
  <c r="P2507" i="1" s="1"/>
  <c r="M2507" i="1"/>
  <c r="F2507" i="1"/>
  <c r="O2506" i="1"/>
  <c r="P2506" i="1" s="1"/>
  <c r="M2506" i="1"/>
  <c r="E2506" i="1"/>
  <c r="F2506" i="1" s="1"/>
  <c r="C2506" i="1"/>
  <c r="O2505" i="1"/>
  <c r="N2505" i="1" s="1"/>
  <c r="M2505" i="1"/>
  <c r="O2504" i="1"/>
  <c r="Q2504" i="1" s="1"/>
  <c r="M2504" i="1"/>
  <c r="C2504" i="1"/>
  <c r="O2503" i="1"/>
  <c r="Q2503" i="1" s="1"/>
  <c r="M2503" i="1"/>
  <c r="L2503" i="1"/>
  <c r="L2506" i="1" s="1"/>
  <c r="C2503" i="1"/>
  <c r="O2502" i="1"/>
  <c r="Q2502" i="1" s="1"/>
  <c r="M2502" i="1"/>
  <c r="L2502" i="1"/>
  <c r="L2504" i="1" s="1"/>
  <c r="O2449" i="1"/>
  <c r="Q2449" i="1" s="1"/>
  <c r="M2449" i="1"/>
  <c r="O2448" i="1"/>
  <c r="N2448" i="1" s="1"/>
  <c r="M2448" i="1"/>
  <c r="L2448" i="1"/>
  <c r="O2447" i="1"/>
  <c r="N2447" i="1" s="1"/>
  <c r="M2447" i="1"/>
  <c r="C2447" i="1"/>
  <c r="O2446" i="1"/>
  <c r="P2446" i="1" s="1"/>
  <c r="M2446" i="1"/>
  <c r="F2446" i="1"/>
  <c r="O2445" i="1"/>
  <c r="P2445" i="1" s="1"/>
  <c r="M2445" i="1"/>
  <c r="E2445" i="1"/>
  <c r="F2445" i="1" s="1"/>
  <c r="C2445" i="1"/>
  <c r="O2444" i="1"/>
  <c r="N2444" i="1" s="1"/>
  <c r="M2444" i="1"/>
  <c r="O2443" i="1"/>
  <c r="Q2443" i="1" s="1"/>
  <c r="M2443" i="1"/>
  <c r="C2443" i="1"/>
  <c r="O2442" i="1"/>
  <c r="Q2442" i="1" s="1"/>
  <c r="M2442" i="1"/>
  <c r="L2442" i="1"/>
  <c r="L2445" i="1" s="1"/>
  <c r="C2442" i="1"/>
  <c r="O2441" i="1"/>
  <c r="N2441" i="1" s="1"/>
  <c r="M2441" i="1"/>
  <c r="L2441" i="1"/>
  <c r="L2443" i="1" s="1"/>
  <c r="O2376" i="1"/>
  <c r="Q2376" i="1" s="1"/>
  <c r="M2376" i="1"/>
  <c r="O2375" i="1"/>
  <c r="N2375" i="1" s="1"/>
  <c r="M2375" i="1"/>
  <c r="L2375" i="1"/>
  <c r="O2374" i="1"/>
  <c r="N2374" i="1" s="1"/>
  <c r="M2374" i="1"/>
  <c r="C2374" i="1"/>
  <c r="O2373" i="1"/>
  <c r="P2373" i="1" s="1"/>
  <c r="M2373" i="1"/>
  <c r="F2373" i="1"/>
  <c r="O2372" i="1"/>
  <c r="P2372" i="1" s="1"/>
  <c r="M2372" i="1"/>
  <c r="E2372" i="1"/>
  <c r="F2372" i="1" s="1"/>
  <c r="C2372" i="1"/>
  <c r="O2371" i="1"/>
  <c r="N2371" i="1" s="1"/>
  <c r="M2371" i="1"/>
  <c r="O2370" i="1"/>
  <c r="Q2370" i="1" s="1"/>
  <c r="M2370" i="1"/>
  <c r="C2370" i="1"/>
  <c r="O2369" i="1"/>
  <c r="Q2369" i="1" s="1"/>
  <c r="M2369" i="1"/>
  <c r="L2369" i="1"/>
  <c r="L2372" i="1" s="1"/>
  <c r="C2369" i="1"/>
  <c r="O2368" i="1"/>
  <c r="Q2368" i="1" s="1"/>
  <c r="M2368" i="1"/>
  <c r="L2368" i="1"/>
  <c r="L2370" i="1" s="1"/>
  <c r="O2310" i="1"/>
  <c r="Q2310" i="1" s="1"/>
  <c r="M2310" i="1"/>
  <c r="O2309" i="1"/>
  <c r="N2309" i="1" s="1"/>
  <c r="M2309" i="1"/>
  <c r="O2308" i="1"/>
  <c r="N2308" i="1" s="1"/>
  <c r="M2308" i="1"/>
  <c r="C2308" i="1"/>
  <c r="O2307" i="1"/>
  <c r="P2307" i="1" s="1"/>
  <c r="M2307" i="1"/>
  <c r="F2307" i="1"/>
  <c r="O2306" i="1"/>
  <c r="P2306" i="1" s="1"/>
  <c r="M2306" i="1"/>
  <c r="E2306" i="1"/>
  <c r="F2306" i="1" s="1"/>
  <c r="C2306" i="1"/>
  <c r="O2305" i="1"/>
  <c r="N2305" i="1" s="1"/>
  <c r="M2305" i="1"/>
  <c r="O2304" i="1"/>
  <c r="Q2304" i="1" s="1"/>
  <c r="M2304" i="1"/>
  <c r="C2304" i="1"/>
  <c r="O2303" i="1"/>
  <c r="Q2303" i="1" s="1"/>
  <c r="M2303" i="1"/>
  <c r="L2303" i="1"/>
  <c r="L2306" i="1" s="1"/>
  <c r="C2303" i="1"/>
  <c r="O2302" i="1"/>
  <c r="N2302" i="1" s="1"/>
  <c r="M2302" i="1"/>
  <c r="L2302" i="1"/>
  <c r="L2304" i="1" s="1"/>
  <c r="O2250" i="1"/>
  <c r="Q2250" i="1" s="1"/>
  <c r="M2250" i="1"/>
  <c r="O2249" i="1"/>
  <c r="N2249" i="1" s="1"/>
  <c r="M2249" i="1"/>
  <c r="L2249" i="1"/>
  <c r="O2248" i="1"/>
  <c r="N2248" i="1" s="1"/>
  <c r="M2248" i="1"/>
  <c r="C2248" i="1"/>
  <c r="O2247" i="1"/>
  <c r="P2247" i="1" s="1"/>
  <c r="M2247" i="1"/>
  <c r="F2247" i="1"/>
  <c r="O2246" i="1"/>
  <c r="P2246" i="1" s="1"/>
  <c r="M2246" i="1"/>
  <c r="E2246" i="1"/>
  <c r="F2246" i="1" s="1"/>
  <c r="C2246" i="1"/>
  <c r="O2245" i="1"/>
  <c r="N2245" i="1" s="1"/>
  <c r="M2245" i="1"/>
  <c r="O2244" i="1"/>
  <c r="Q2244" i="1" s="1"/>
  <c r="M2244" i="1"/>
  <c r="C2244" i="1"/>
  <c r="O2243" i="1"/>
  <c r="Q2243" i="1" s="1"/>
  <c r="M2243" i="1"/>
  <c r="L2243" i="1"/>
  <c r="L2246" i="1" s="1"/>
  <c r="C2243" i="1"/>
  <c r="O2242" i="1"/>
  <c r="N2242" i="1" s="1"/>
  <c r="M2242" i="1"/>
  <c r="L2242" i="1"/>
  <c r="L2244" i="1" s="1"/>
  <c r="O2151" i="1"/>
  <c r="P2151" i="1" s="1"/>
  <c r="M2151" i="1"/>
  <c r="O2150" i="1"/>
  <c r="N2150" i="1" s="1"/>
  <c r="M2150" i="1"/>
  <c r="L2150" i="1"/>
  <c r="O2149" i="1"/>
  <c r="N2149" i="1" s="1"/>
  <c r="M2149" i="1"/>
  <c r="C2149" i="1"/>
  <c r="O2148" i="1"/>
  <c r="P2148" i="1" s="1"/>
  <c r="M2148" i="1"/>
  <c r="F2148" i="1"/>
  <c r="O2147" i="1"/>
  <c r="P2147" i="1" s="1"/>
  <c r="M2147" i="1"/>
  <c r="E2147" i="1"/>
  <c r="F2147" i="1" s="1"/>
  <c r="C2147" i="1"/>
  <c r="O2146" i="1"/>
  <c r="N2146" i="1" s="1"/>
  <c r="M2146" i="1"/>
  <c r="O2145" i="1"/>
  <c r="Q2145" i="1" s="1"/>
  <c r="M2145" i="1"/>
  <c r="C2145" i="1"/>
  <c r="O2144" i="1"/>
  <c r="Q2144" i="1" s="1"/>
  <c r="M2144" i="1"/>
  <c r="L2144" i="1"/>
  <c r="L2147" i="1" s="1"/>
  <c r="C2144" i="1"/>
  <c r="O2143" i="1"/>
  <c r="Q2143" i="1" s="1"/>
  <c r="M2143" i="1"/>
  <c r="L2143" i="1"/>
  <c r="L2145" i="1" s="1"/>
  <c r="O2090" i="1"/>
  <c r="P2090" i="1" s="1"/>
  <c r="M2090" i="1"/>
  <c r="O2089" i="1"/>
  <c r="N2089" i="1" s="1"/>
  <c r="M2089" i="1"/>
  <c r="L2089" i="1"/>
  <c r="O2088" i="1"/>
  <c r="N2088" i="1" s="1"/>
  <c r="M2088" i="1"/>
  <c r="C2088" i="1"/>
  <c r="O2087" i="1"/>
  <c r="P2087" i="1" s="1"/>
  <c r="M2087" i="1"/>
  <c r="F2087" i="1"/>
  <c r="O2086" i="1"/>
  <c r="P2086" i="1" s="1"/>
  <c r="M2086" i="1"/>
  <c r="E2086" i="1"/>
  <c r="F2086" i="1" s="1"/>
  <c r="C2086" i="1"/>
  <c r="O2085" i="1"/>
  <c r="N2085" i="1" s="1"/>
  <c r="M2085" i="1"/>
  <c r="O2084" i="1"/>
  <c r="Q2084" i="1" s="1"/>
  <c r="M2084" i="1"/>
  <c r="C2084" i="1"/>
  <c r="O2083" i="1"/>
  <c r="Q2083" i="1" s="1"/>
  <c r="M2083" i="1"/>
  <c r="L2083" i="1"/>
  <c r="L2086" i="1" s="1"/>
  <c r="C2083" i="1"/>
  <c r="O2082" i="1"/>
  <c r="N2082" i="1" s="1"/>
  <c r="M2082" i="1"/>
  <c r="L2082" i="1"/>
  <c r="L2084" i="1" s="1"/>
  <c r="O2031" i="1"/>
  <c r="Q2031" i="1" s="1"/>
  <c r="M2031" i="1"/>
  <c r="O2030" i="1"/>
  <c r="N2030" i="1" s="1"/>
  <c r="M2030" i="1"/>
  <c r="L2030" i="1"/>
  <c r="O2029" i="1"/>
  <c r="N2029" i="1" s="1"/>
  <c r="M2029" i="1"/>
  <c r="C2029" i="1"/>
  <c r="O2028" i="1"/>
  <c r="P2028" i="1" s="1"/>
  <c r="M2028" i="1"/>
  <c r="F2028" i="1"/>
  <c r="O2027" i="1"/>
  <c r="P2027" i="1" s="1"/>
  <c r="M2027" i="1"/>
  <c r="E2027" i="1"/>
  <c r="F2027" i="1" s="1"/>
  <c r="C2027" i="1"/>
  <c r="O2026" i="1"/>
  <c r="N2026" i="1" s="1"/>
  <c r="M2026" i="1"/>
  <c r="O2025" i="1"/>
  <c r="Q2025" i="1" s="1"/>
  <c r="M2025" i="1"/>
  <c r="C2025" i="1"/>
  <c r="O2024" i="1"/>
  <c r="Q2024" i="1" s="1"/>
  <c r="M2024" i="1"/>
  <c r="L2024" i="1"/>
  <c r="L2027" i="1" s="1"/>
  <c r="C2024" i="1"/>
  <c r="O2023" i="1"/>
  <c r="N2023" i="1" s="1"/>
  <c r="M2023" i="1"/>
  <c r="L2023" i="1"/>
  <c r="L2025" i="1" s="1"/>
  <c r="O1967" i="1"/>
  <c r="N1967" i="1" s="1"/>
  <c r="M1967" i="1"/>
  <c r="O1966" i="1"/>
  <c r="N1966" i="1" s="1"/>
  <c r="M1966" i="1"/>
  <c r="L1966" i="1"/>
  <c r="O1965" i="1"/>
  <c r="N1965" i="1" s="1"/>
  <c r="M1965" i="1"/>
  <c r="C1965" i="1"/>
  <c r="O1964" i="1"/>
  <c r="P1964" i="1" s="1"/>
  <c r="M1964" i="1"/>
  <c r="F1964" i="1"/>
  <c r="O1963" i="1"/>
  <c r="P1963" i="1" s="1"/>
  <c r="M1963" i="1"/>
  <c r="E1963" i="1"/>
  <c r="F1963" i="1" s="1"/>
  <c r="C1963" i="1"/>
  <c r="O1962" i="1"/>
  <c r="N1962" i="1" s="1"/>
  <c r="M1962" i="1"/>
  <c r="O1961" i="1"/>
  <c r="Q1961" i="1" s="1"/>
  <c r="M1961" i="1"/>
  <c r="C1961" i="1"/>
  <c r="O1960" i="1"/>
  <c r="Q1960" i="1" s="1"/>
  <c r="M1960" i="1"/>
  <c r="L1960" i="1"/>
  <c r="L1963" i="1" s="1"/>
  <c r="C1960" i="1"/>
  <c r="O1959" i="1"/>
  <c r="N1959" i="1" s="1"/>
  <c r="M1959" i="1"/>
  <c r="L1959" i="1"/>
  <c r="L1961" i="1" s="1"/>
  <c r="O1910" i="1"/>
  <c r="Q1910" i="1" s="1"/>
  <c r="M1910" i="1"/>
  <c r="O1909" i="1"/>
  <c r="N1909" i="1" s="1"/>
  <c r="M1909" i="1"/>
  <c r="L1909" i="1"/>
  <c r="O1908" i="1"/>
  <c r="N1908" i="1" s="1"/>
  <c r="M1908" i="1"/>
  <c r="C1908" i="1"/>
  <c r="O1907" i="1"/>
  <c r="P1907" i="1" s="1"/>
  <c r="M1907" i="1"/>
  <c r="F1907" i="1"/>
  <c r="O1906" i="1"/>
  <c r="P1906" i="1" s="1"/>
  <c r="M1906" i="1"/>
  <c r="E1906" i="1"/>
  <c r="F1906" i="1" s="1"/>
  <c r="C1906" i="1"/>
  <c r="O1905" i="1"/>
  <c r="N1905" i="1" s="1"/>
  <c r="M1905" i="1"/>
  <c r="O1904" i="1"/>
  <c r="Q1904" i="1" s="1"/>
  <c r="M1904" i="1"/>
  <c r="C1904" i="1"/>
  <c r="O1903" i="1"/>
  <c r="Q1903" i="1" s="1"/>
  <c r="M1903" i="1"/>
  <c r="L1903" i="1"/>
  <c r="L1906" i="1" s="1"/>
  <c r="C1903" i="1"/>
  <c r="O1902" i="1"/>
  <c r="N1902" i="1" s="1"/>
  <c r="M1902" i="1"/>
  <c r="L1902" i="1"/>
  <c r="L1904" i="1" s="1"/>
  <c r="O1809" i="1"/>
  <c r="Q1809" i="1" s="1"/>
  <c r="M1809" i="1"/>
  <c r="O1808" i="1"/>
  <c r="N1808" i="1" s="1"/>
  <c r="M1808" i="1"/>
  <c r="L1808" i="1"/>
  <c r="O1807" i="1"/>
  <c r="N1807" i="1" s="1"/>
  <c r="M1807" i="1"/>
  <c r="C1807" i="1"/>
  <c r="O1806" i="1"/>
  <c r="P1806" i="1" s="1"/>
  <c r="M1806" i="1"/>
  <c r="F1806" i="1"/>
  <c r="O1805" i="1"/>
  <c r="P1805" i="1" s="1"/>
  <c r="M1805" i="1"/>
  <c r="E1805" i="1"/>
  <c r="F1805" i="1" s="1"/>
  <c r="C1805" i="1"/>
  <c r="O1804" i="1"/>
  <c r="N1804" i="1" s="1"/>
  <c r="M1804" i="1"/>
  <c r="O1803" i="1"/>
  <c r="Q1803" i="1" s="1"/>
  <c r="M1803" i="1"/>
  <c r="C1803" i="1"/>
  <c r="O1802" i="1"/>
  <c r="Q1802" i="1" s="1"/>
  <c r="M1802" i="1"/>
  <c r="L1802" i="1"/>
  <c r="L1805" i="1" s="1"/>
  <c r="C1802" i="1"/>
  <c r="O1801" i="1"/>
  <c r="N1801" i="1" s="1"/>
  <c r="M1801" i="1"/>
  <c r="L1801" i="1"/>
  <c r="L1803" i="1" s="1"/>
  <c r="O1750" i="1"/>
  <c r="Q1750" i="1" s="1"/>
  <c r="M1750" i="1"/>
  <c r="O1749" i="1"/>
  <c r="N1749" i="1" s="1"/>
  <c r="M1749" i="1"/>
  <c r="O1748" i="1"/>
  <c r="N1748" i="1" s="1"/>
  <c r="M1748" i="1"/>
  <c r="C1748" i="1"/>
  <c r="O1747" i="1"/>
  <c r="P1747" i="1" s="1"/>
  <c r="M1747" i="1"/>
  <c r="F1747" i="1"/>
  <c r="O1746" i="1"/>
  <c r="P1746" i="1" s="1"/>
  <c r="M1746" i="1"/>
  <c r="E1746" i="1"/>
  <c r="F1746" i="1" s="1"/>
  <c r="C1746" i="1"/>
  <c r="O1745" i="1"/>
  <c r="N1745" i="1" s="1"/>
  <c r="M1745" i="1"/>
  <c r="O1744" i="1"/>
  <c r="Q1744" i="1" s="1"/>
  <c r="M1744" i="1"/>
  <c r="C1744" i="1"/>
  <c r="O1743" i="1"/>
  <c r="Q1743" i="1" s="1"/>
  <c r="M1743" i="1"/>
  <c r="L1743" i="1"/>
  <c r="L1746" i="1" s="1"/>
  <c r="C1743" i="1"/>
  <c r="O1742" i="1"/>
  <c r="N1742" i="1" s="1"/>
  <c r="M1742" i="1"/>
  <c r="L1742" i="1"/>
  <c r="L1744" i="1" s="1"/>
  <c r="O1691" i="1"/>
  <c r="Q1691" i="1" s="1"/>
  <c r="M1691" i="1"/>
  <c r="O1690" i="1"/>
  <c r="N1690" i="1" s="1"/>
  <c r="M1690" i="1"/>
  <c r="L1690" i="1"/>
  <c r="O1689" i="1"/>
  <c r="N1689" i="1" s="1"/>
  <c r="M1689" i="1"/>
  <c r="C1689" i="1"/>
  <c r="O1688" i="1"/>
  <c r="P1688" i="1" s="1"/>
  <c r="M1688" i="1"/>
  <c r="F1688" i="1"/>
  <c r="O1687" i="1"/>
  <c r="P1687" i="1" s="1"/>
  <c r="M1687" i="1"/>
  <c r="E1687" i="1"/>
  <c r="F1687" i="1" s="1"/>
  <c r="C1687" i="1"/>
  <c r="O1686" i="1"/>
  <c r="N1686" i="1" s="1"/>
  <c r="M1686" i="1"/>
  <c r="O1685" i="1"/>
  <c r="Q1685" i="1" s="1"/>
  <c r="M1685" i="1"/>
  <c r="C1685" i="1"/>
  <c r="O1684" i="1"/>
  <c r="Q1684" i="1" s="1"/>
  <c r="M1684" i="1"/>
  <c r="L1684" i="1"/>
  <c r="L1687" i="1" s="1"/>
  <c r="C1684" i="1"/>
  <c r="O1683" i="1"/>
  <c r="Q1683" i="1" s="1"/>
  <c r="M1683" i="1"/>
  <c r="L1683" i="1"/>
  <c r="L1685" i="1" s="1"/>
  <c r="O1636" i="1"/>
  <c r="Q1636" i="1" s="1"/>
  <c r="M1636" i="1"/>
  <c r="O1635" i="1"/>
  <c r="P1635" i="1" s="1"/>
  <c r="M1635" i="1"/>
  <c r="L1635" i="1"/>
  <c r="O1634" i="1"/>
  <c r="N1634" i="1" s="1"/>
  <c r="M1634" i="1"/>
  <c r="C1634" i="1"/>
  <c r="O1633" i="1"/>
  <c r="P1633" i="1" s="1"/>
  <c r="M1633" i="1"/>
  <c r="F1633" i="1"/>
  <c r="O1632" i="1"/>
  <c r="P1632" i="1" s="1"/>
  <c r="M1632" i="1"/>
  <c r="E1632" i="1"/>
  <c r="F1632" i="1" s="1"/>
  <c r="C1632" i="1"/>
  <c r="O1631" i="1"/>
  <c r="N1631" i="1" s="1"/>
  <c r="M1631" i="1"/>
  <c r="O1630" i="1"/>
  <c r="Q1630" i="1" s="1"/>
  <c r="M1630" i="1"/>
  <c r="C1630" i="1"/>
  <c r="O1629" i="1"/>
  <c r="Q1629" i="1" s="1"/>
  <c r="M1629" i="1"/>
  <c r="L1629" i="1"/>
  <c r="L1632" i="1" s="1"/>
  <c r="C1629" i="1"/>
  <c r="O1628" i="1"/>
  <c r="N1628" i="1" s="1"/>
  <c r="M1628" i="1"/>
  <c r="L1628" i="1"/>
  <c r="L1630" i="1" s="1"/>
  <c r="O1579" i="1"/>
  <c r="Q1579" i="1" s="1"/>
  <c r="M1579" i="1"/>
  <c r="O1578" i="1"/>
  <c r="N1578" i="1" s="1"/>
  <c r="M1578" i="1"/>
  <c r="L1578" i="1"/>
  <c r="O1577" i="1"/>
  <c r="N1577" i="1" s="1"/>
  <c r="M1577" i="1"/>
  <c r="C1577" i="1"/>
  <c r="O1576" i="1"/>
  <c r="P1576" i="1" s="1"/>
  <c r="M1576" i="1"/>
  <c r="F1576" i="1"/>
  <c r="O1575" i="1"/>
  <c r="P1575" i="1" s="1"/>
  <c r="M1575" i="1"/>
  <c r="E1575" i="1"/>
  <c r="F1575" i="1" s="1"/>
  <c r="C1575" i="1"/>
  <c r="O1574" i="1"/>
  <c r="N1574" i="1" s="1"/>
  <c r="M1574" i="1"/>
  <c r="O1573" i="1"/>
  <c r="Q1573" i="1" s="1"/>
  <c r="M1573" i="1"/>
  <c r="C1573" i="1"/>
  <c r="O1572" i="1"/>
  <c r="Q1572" i="1" s="1"/>
  <c r="M1572" i="1"/>
  <c r="L1572" i="1"/>
  <c r="L1575" i="1" s="1"/>
  <c r="C1572" i="1"/>
  <c r="O1571" i="1"/>
  <c r="N1571" i="1" s="1"/>
  <c r="M1571" i="1"/>
  <c r="L1571" i="1"/>
  <c r="L1573" i="1" s="1"/>
  <c r="O1519" i="1"/>
  <c r="P1519" i="1" s="1"/>
  <c r="M1519" i="1"/>
  <c r="O1518" i="1"/>
  <c r="N1518" i="1" s="1"/>
  <c r="M1518" i="1"/>
  <c r="L1518" i="1"/>
  <c r="O1517" i="1"/>
  <c r="N1517" i="1" s="1"/>
  <c r="M1517" i="1"/>
  <c r="C1517" i="1"/>
  <c r="O1516" i="1"/>
  <c r="P1516" i="1" s="1"/>
  <c r="M1516" i="1"/>
  <c r="F1516" i="1"/>
  <c r="O1515" i="1"/>
  <c r="P1515" i="1" s="1"/>
  <c r="M1515" i="1"/>
  <c r="E1515" i="1"/>
  <c r="F1515" i="1" s="1"/>
  <c r="C1515" i="1"/>
  <c r="O1514" i="1"/>
  <c r="N1514" i="1" s="1"/>
  <c r="M1514" i="1"/>
  <c r="O1513" i="1"/>
  <c r="Q1513" i="1" s="1"/>
  <c r="M1513" i="1"/>
  <c r="C1513" i="1"/>
  <c r="O1512" i="1"/>
  <c r="Q1512" i="1" s="1"/>
  <c r="M1512" i="1"/>
  <c r="L1512" i="1"/>
  <c r="L1515" i="1" s="1"/>
  <c r="C1512" i="1"/>
  <c r="O1511" i="1"/>
  <c r="N1511" i="1" s="1"/>
  <c r="M1511" i="1"/>
  <c r="L1511" i="1"/>
  <c r="L1513" i="1" s="1"/>
  <c r="O1460" i="1"/>
  <c r="Q1460" i="1" s="1"/>
  <c r="M1460" i="1"/>
  <c r="O1459" i="1"/>
  <c r="N1459" i="1" s="1"/>
  <c r="M1459" i="1"/>
  <c r="O1458" i="1"/>
  <c r="N1458" i="1" s="1"/>
  <c r="M1458" i="1"/>
  <c r="C1458" i="1"/>
  <c r="O1457" i="1"/>
  <c r="P1457" i="1" s="1"/>
  <c r="M1457" i="1"/>
  <c r="F1457" i="1"/>
  <c r="O1456" i="1"/>
  <c r="P1456" i="1" s="1"/>
  <c r="M1456" i="1"/>
  <c r="E1456" i="1"/>
  <c r="F1456" i="1" s="1"/>
  <c r="C1456" i="1"/>
  <c r="O1455" i="1"/>
  <c r="N1455" i="1" s="1"/>
  <c r="M1455" i="1"/>
  <c r="O1454" i="1"/>
  <c r="Q1454" i="1" s="1"/>
  <c r="M1454" i="1"/>
  <c r="C1454" i="1"/>
  <c r="O1453" i="1"/>
  <c r="Q1453" i="1" s="1"/>
  <c r="M1453" i="1"/>
  <c r="L1453" i="1"/>
  <c r="L1456" i="1" s="1"/>
  <c r="C1453" i="1"/>
  <c r="O1452" i="1"/>
  <c r="N1452" i="1" s="1"/>
  <c r="M1452" i="1"/>
  <c r="L1452" i="1"/>
  <c r="L1454" i="1" s="1"/>
  <c r="O1408" i="1"/>
  <c r="Q1408" i="1" s="1"/>
  <c r="M1408" i="1"/>
  <c r="O1407" i="1"/>
  <c r="N1407" i="1" s="1"/>
  <c r="M1407" i="1"/>
  <c r="L1407" i="1"/>
  <c r="O1406" i="1"/>
  <c r="N1406" i="1" s="1"/>
  <c r="M1406" i="1"/>
  <c r="C1406" i="1"/>
  <c r="O1405" i="1"/>
  <c r="P1405" i="1" s="1"/>
  <c r="M1405" i="1"/>
  <c r="F1405" i="1"/>
  <c r="O1404" i="1"/>
  <c r="P1404" i="1" s="1"/>
  <c r="M1404" i="1"/>
  <c r="E1404" i="1"/>
  <c r="F1404" i="1" s="1"/>
  <c r="C1404" i="1"/>
  <c r="O1403" i="1"/>
  <c r="N1403" i="1" s="1"/>
  <c r="M1403" i="1"/>
  <c r="O1402" i="1"/>
  <c r="Q1402" i="1" s="1"/>
  <c r="M1402" i="1"/>
  <c r="C1402" i="1"/>
  <c r="O1401" i="1"/>
  <c r="Q1401" i="1" s="1"/>
  <c r="M1401" i="1"/>
  <c r="L1401" i="1"/>
  <c r="L1404" i="1" s="1"/>
  <c r="C1401" i="1"/>
  <c r="O1400" i="1"/>
  <c r="N1400" i="1" s="1"/>
  <c r="M1400" i="1"/>
  <c r="L1400" i="1"/>
  <c r="L1402" i="1" s="1"/>
  <c r="O1375" i="1"/>
  <c r="Q1375" i="1" s="1"/>
  <c r="M1375" i="1"/>
  <c r="O1374" i="1"/>
  <c r="N1374" i="1" s="1"/>
  <c r="M1374" i="1"/>
  <c r="L1374" i="1"/>
  <c r="O1373" i="1"/>
  <c r="N1373" i="1" s="1"/>
  <c r="M1373" i="1"/>
  <c r="C1373" i="1"/>
  <c r="O1372" i="1"/>
  <c r="P1372" i="1" s="1"/>
  <c r="M1372" i="1"/>
  <c r="F1372" i="1"/>
  <c r="O1371" i="1"/>
  <c r="P1371" i="1" s="1"/>
  <c r="M1371" i="1"/>
  <c r="E1371" i="1"/>
  <c r="F1371" i="1" s="1"/>
  <c r="C1371" i="1"/>
  <c r="O1370" i="1"/>
  <c r="N1370" i="1" s="1"/>
  <c r="M1370" i="1"/>
  <c r="O1369" i="1"/>
  <c r="Q1369" i="1" s="1"/>
  <c r="M1369" i="1"/>
  <c r="C1369" i="1"/>
  <c r="O1368" i="1"/>
  <c r="Q1368" i="1" s="1"/>
  <c r="M1368" i="1"/>
  <c r="L1368" i="1"/>
  <c r="L1371" i="1" s="1"/>
  <c r="C1368" i="1"/>
  <c r="O1367" i="1"/>
  <c r="N1367" i="1" s="1"/>
  <c r="M1367" i="1"/>
  <c r="L1367" i="1"/>
  <c r="L1369" i="1" s="1"/>
  <c r="O1336" i="1"/>
  <c r="Q1336" i="1" s="1"/>
  <c r="M1336" i="1"/>
  <c r="O1335" i="1"/>
  <c r="N1335" i="1" s="1"/>
  <c r="M1335" i="1"/>
  <c r="L1335" i="1"/>
  <c r="O1334" i="1"/>
  <c r="N1334" i="1" s="1"/>
  <c r="M1334" i="1"/>
  <c r="C1334" i="1"/>
  <c r="O1333" i="1"/>
  <c r="P1333" i="1" s="1"/>
  <c r="M1333" i="1"/>
  <c r="F1333" i="1"/>
  <c r="O1332" i="1"/>
  <c r="P1332" i="1" s="1"/>
  <c r="M1332" i="1"/>
  <c r="E1332" i="1"/>
  <c r="F1332" i="1" s="1"/>
  <c r="C1332" i="1"/>
  <c r="O1331" i="1"/>
  <c r="N1331" i="1" s="1"/>
  <c r="M1331" i="1"/>
  <c r="O1330" i="1"/>
  <c r="Q1330" i="1" s="1"/>
  <c r="M1330" i="1"/>
  <c r="C1330" i="1"/>
  <c r="O1329" i="1"/>
  <c r="Q1329" i="1" s="1"/>
  <c r="M1329" i="1"/>
  <c r="L1329" i="1"/>
  <c r="L1332" i="1" s="1"/>
  <c r="C1329" i="1"/>
  <c r="O1328" i="1"/>
  <c r="N1328" i="1" s="1"/>
  <c r="M1328" i="1"/>
  <c r="L1328" i="1"/>
  <c r="L1330" i="1" s="1"/>
  <c r="O1298" i="1"/>
  <c r="Q1298" i="1" s="1"/>
  <c r="M1298" i="1"/>
  <c r="O1297" i="1"/>
  <c r="N1297" i="1" s="1"/>
  <c r="M1297" i="1"/>
  <c r="L1297" i="1"/>
  <c r="O1296" i="1"/>
  <c r="N1296" i="1" s="1"/>
  <c r="M1296" i="1"/>
  <c r="C1296" i="1"/>
  <c r="O1295" i="1"/>
  <c r="P1295" i="1" s="1"/>
  <c r="M1295" i="1"/>
  <c r="F1295" i="1"/>
  <c r="O1294" i="1"/>
  <c r="P1294" i="1" s="1"/>
  <c r="M1294" i="1"/>
  <c r="E1294" i="1"/>
  <c r="F1294" i="1" s="1"/>
  <c r="C1294" i="1"/>
  <c r="O1293" i="1"/>
  <c r="N1293" i="1" s="1"/>
  <c r="M1293" i="1"/>
  <c r="O1292" i="1"/>
  <c r="Q1292" i="1" s="1"/>
  <c r="M1292" i="1"/>
  <c r="C1292" i="1"/>
  <c r="O1291" i="1"/>
  <c r="Q1291" i="1" s="1"/>
  <c r="M1291" i="1"/>
  <c r="L1291" i="1"/>
  <c r="L1294" i="1" s="1"/>
  <c r="C1291" i="1"/>
  <c r="O1290" i="1"/>
  <c r="N1290" i="1" s="1"/>
  <c r="M1290" i="1"/>
  <c r="L1290" i="1"/>
  <c r="L1292" i="1" s="1"/>
  <c r="O1235" i="1"/>
  <c r="Q1235" i="1" s="1"/>
  <c r="M1235" i="1"/>
  <c r="O1234" i="1"/>
  <c r="P1234" i="1" s="1"/>
  <c r="M1234" i="1"/>
  <c r="L1234" i="1"/>
  <c r="O1233" i="1"/>
  <c r="N1233" i="1" s="1"/>
  <c r="M1233" i="1"/>
  <c r="C1233" i="1"/>
  <c r="O1232" i="1"/>
  <c r="P1232" i="1" s="1"/>
  <c r="M1232" i="1"/>
  <c r="F1232" i="1"/>
  <c r="O1231" i="1"/>
  <c r="P1231" i="1" s="1"/>
  <c r="M1231" i="1"/>
  <c r="E1231" i="1"/>
  <c r="F1231" i="1" s="1"/>
  <c r="C1231" i="1"/>
  <c r="O1230" i="1"/>
  <c r="N1230" i="1" s="1"/>
  <c r="M1230" i="1"/>
  <c r="O1229" i="1"/>
  <c r="Q1229" i="1" s="1"/>
  <c r="M1229" i="1"/>
  <c r="C1229" i="1"/>
  <c r="O1228" i="1"/>
  <c r="Q1228" i="1" s="1"/>
  <c r="M1228" i="1"/>
  <c r="L1228" i="1"/>
  <c r="L1231" i="1" s="1"/>
  <c r="C1228" i="1"/>
  <c r="O1227" i="1"/>
  <c r="Q1227" i="1" s="1"/>
  <c r="M1227" i="1"/>
  <c r="L1227" i="1"/>
  <c r="L1229" i="1" s="1"/>
  <c r="O1159" i="1"/>
  <c r="Q1159" i="1" s="1"/>
  <c r="M1159" i="1"/>
  <c r="O1158" i="1"/>
  <c r="N1158" i="1" s="1"/>
  <c r="M1158" i="1"/>
  <c r="L1158" i="1"/>
  <c r="O1157" i="1"/>
  <c r="N1157" i="1" s="1"/>
  <c r="M1157" i="1"/>
  <c r="C1157" i="1"/>
  <c r="O1156" i="1"/>
  <c r="P1156" i="1" s="1"/>
  <c r="M1156" i="1"/>
  <c r="F1156" i="1"/>
  <c r="O1155" i="1"/>
  <c r="P1155" i="1" s="1"/>
  <c r="M1155" i="1"/>
  <c r="E1155" i="1"/>
  <c r="F1155" i="1" s="1"/>
  <c r="C1155" i="1"/>
  <c r="O1154" i="1"/>
  <c r="N1154" i="1" s="1"/>
  <c r="M1154" i="1"/>
  <c r="O1153" i="1"/>
  <c r="Q1153" i="1" s="1"/>
  <c r="M1153" i="1"/>
  <c r="C1153" i="1"/>
  <c r="O1152" i="1"/>
  <c r="Q1152" i="1" s="1"/>
  <c r="M1152" i="1"/>
  <c r="L1152" i="1"/>
  <c r="L1155" i="1" s="1"/>
  <c r="C1152" i="1"/>
  <c r="O1151" i="1"/>
  <c r="N1151" i="1" s="1"/>
  <c r="M1151" i="1"/>
  <c r="L1151" i="1"/>
  <c r="L1153" i="1" s="1"/>
  <c r="O1084" i="1"/>
  <c r="Q1084" i="1" s="1"/>
  <c r="O1083" i="1"/>
  <c r="N1083" i="1" s="1"/>
  <c r="L1083" i="1"/>
  <c r="O1082" i="1"/>
  <c r="N1082" i="1" s="1"/>
  <c r="C1082" i="1"/>
  <c r="O1081" i="1"/>
  <c r="P1081" i="1" s="1"/>
  <c r="F1081" i="1"/>
  <c r="O1080" i="1"/>
  <c r="P1080" i="1" s="1"/>
  <c r="E1080" i="1"/>
  <c r="F1080" i="1" s="1"/>
  <c r="C1080" i="1"/>
  <c r="O1079" i="1"/>
  <c r="N1079" i="1" s="1"/>
  <c r="O1078" i="1"/>
  <c r="Q1078" i="1" s="1"/>
  <c r="C1078" i="1"/>
  <c r="O1077" i="1"/>
  <c r="Q1077" i="1" s="1"/>
  <c r="L1077" i="1"/>
  <c r="L1080" i="1" s="1"/>
  <c r="C1077" i="1"/>
  <c r="O1076" i="1"/>
  <c r="N1076" i="1" s="1"/>
  <c r="M1076" i="1"/>
  <c r="L1076" i="1"/>
  <c r="L1078" i="1" s="1"/>
  <c r="O1044" i="1"/>
  <c r="Q1044" i="1" s="1"/>
  <c r="M1044" i="1"/>
  <c r="O1043" i="1"/>
  <c r="P1043" i="1" s="1"/>
  <c r="M1043" i="1"/>
  <c r="L1043" i="1"/>
  <c r="O1042" i="1"/>
  <c r="N1042" i="1" s="1"/>
  <c r="M1042" i="1"/>
  <c r="C1042" i="1"/>
  <c r="O1041" i="1"/>
  <c r="P1041" i="1" s="1"/>
  <c r="M1041" i="1"/>
  <c r="F1041" i="1"/>
  <c r="O1040" i="1"/>
  <c r="P1040" i="1" s="1"/>
  <c r="M1040" i="1"/>
  <c r="E1040" i="1"/>
  <c r="F1040" i="1" s="1"/>
  <c r="C1040" i="1"/>
  <c r="O1039" i="1"/>
  <c r="N1039" i="1" s="1"/>
  <c r="M1039" i="1"/>
  <c r="O1038" i="1"/>
  <c r="Q1038" i="1" s="1"/>
  <c r="M1038" i="1"/>
  <c r="C1038" i="1"/>
  <c r="O1037" i="1"/>
  <c r="Q1037" i="1" s="1"/>
  <c r="M1037" i="1"/>
  <c r="L1037" i="1"/>
  <c r="L1040" i="1" s="1"/>
  <c r="C1037" i="1"/>
  <c r="O1036" i="1"/>
  <c r="N1036" i="1" s="1"/>
  <c r="M1036" i="1"/>
  <c r="L1036" i="1"/>
  <c r="L1038" i="1" s="1"/>
  <c r="O1001" i="1"/>
  <c r="Q1001" i="1" s="1"/>
  <c r="O1000" i="1"/>
  <c r="P1000" i="1" s="1"/>
  <c r="L1000" i="1"/>
  <c r="O999" i="1"/>
  <c r="N999" i="1" s="1"/>
  <c r="C999" i="1"/>
  <c r="O998" i="1"/>
  <c r="P998" i="1" s="1"/>
  <c r="F998" i="1"/>
  <c r="O997" i="1"/>
  <c r="P997" i="1" s="1"/>
  <c r="E997" i="1"/>
  <c r="F997" i="1" s="1"/>
  <c r="C997" i="1"/>
  <c r="O996" i="1"/>
  <c r="N996" i="1" s="1"/>
  <c r="O995" i="1"/>
  <c r="Q995" i="1" s="1"/>
  <c r="C995" i="1"/>
  <c r="O994" i="1"/>
  <c r="Q994" i="1" s="1"/>
  <c r="L994" i="1"/>
  <c r="L997" i="1" s="1"/>
  <c r="C994" i="1"/>
  <c r="O993" i="1"/>
  <c r="N993" i="1" s="1"/>
  <c r="L993" i="1"/>
  <c r="L995" i="1" s="1"/>
  <c r="O940" i="1"/>
  <c r="Q940" i="1" s="1"/>
  <c r="O939" i="1"/>
  <c r="N939" i="1" s="1"/>
  <c r="L939" i="1"/>
  <c r="O938" i="1"/>
  <c r="N938" i="1" s="1"/>
  <c r="C938" i="1"/>
  <c r="O937" i="1"/>
  <c r="P937" i="1" s="1"/>
  <c r="F937" i="1"/>
  <c r="O936" i="1"/>
  <c r="P936" i="1" s="1"/>
  <c r="E936" i="1"/>
  <c r="F936" i="1" s="1"/>
  <c r="C936" i="1"/>
  <c r="O935" i="1"/>
  <c r="N935" i="1" s="1"/>
  <c r="O934" i="1"/>
  <c r="Q934" i="1" s="1"/>
  <c r="C934" i="1"/>
  <c r="O933" i="1"/>
  <c r="Q933" i="1" s="1"/>
  <c r="L933" i="1"/>
  <c r="L936" i="1" s="1"/>
  <c r="C933" i="1"/>
  <c r="O932" i="1"/>
  <c r="N932" i="1" s="1"/>
  <c r="M932" i="1"/>
  <c r="L932" i="1"/>
  <c r="L934" i="1" s="1"/>
  <c r="O863" i="1"/>
  <c r="Q863" i="1" s="1"/>
  <c r="M863" i="1"/>
  <c r="O862" i="1"/>
  <c r="N862" i="1" s="1"/>
  <c r="M862" i="1"/>
  <c r="L862" i="1"/>
  <c r="O861" i="1"/>
  <c r="N861" i="1" s="1"/>
  <c r="M861" i="1"/>
  <c r="C861" i="1"/>
  <c r="O860" i="1"/>
  <c r="P860" i="1" s="1"/>
  <c r="M860" i="1"/>
  <c r="F860" i="1"/>
  <c r="O859" i="1"/>
  <c r="P859" i="1" s="1"/>
  <c r="M859" i="1"/>
  <c r="E859" i="1"/>
  <c r="F859" i="1" s="1"/>
  <c r="C859" i="1"/>
  <c r="O858" i="1"/>
  <c r="N858" i="1" s="1"/>
  <c r="M858" i="1"/>
  <c r="O857" i="1"/>
  <c r="Q857" i="1" s="1"/>
  <c r="M857" i="1"/>
  <c r="C857" i="1"/>
  <c r="O856" i="1"/>
  <c r="Q856" i="1" s="1"/>
  <c r="M856" i="1"/>
  <c r="L856" i="1"/>
  <c r="L859" i="1" s="1"/>
  <c r="C856" i="1"/>
  <c r="O855" i="1"/>
  <c r="N855" i="1" s="1"/>
  <c r="M855" i="1"/>
  <c r="L855" i="1"/>
  <c r="L857" i="1" s="1"/>
  <c r="O798" i="1"/>
  <c r="Q798" i="1" s="1"/>
  <c r="M798" i="1"/>
  <c r="O797" i="1"/>
  <c r="N797" i="1" s="1"/>
  <c r="M797" i="1"/>
  <c r="L797" i="1"/>
  <c r="O796" i="1"/>
  <c r="N796" i="1" s="1"/>
  <c r="M796" i="1"/>
  <c r="C796" i="1"/>
  <c r="O795" i="1"/>
  <c r="P795" i="1" s="1"/>
  <c r="M795" i="1"/>
  <c r="F795" i="1"/>
  <c r="O794" i="1"/>
  <c r="P794" i="1" s="1"/>
  <c r="M794" i="1"/>
  <c r="E794" i="1"/>
  <c r="F794" i="1" s="1"/>
  <c r="C794" i="1"/>
  <c r="O793" i="1"/>
  <c r="N793" i="1" s="1"/>
  <c r="M793" i="1"/>
  <c r="O792" i="1"/>
  <c r="Q792" i="1" s="1"/>
  <c r="M792" i="1"/>
  <c r="C792" i="1"/>
  <c r="O791" i="1"/>
  <c r="Q791" i="1" s="1"/>
  <c r="M791" i="1"/>
  <c r="L791" i="1"/>
  <c r="L794" i="1" s="1"/>
  <c r="C791" i="1"/>
  <c r="O790" i="1"/>
  <c r="N790" i="1" s="1"/>
  <c r="M790" i="1"/>
  <c r="L790" i="1"/>
  <c r="L792" i="1" s="1"/>
  <c r="O750" i="1"/>
  <c r="Q750" i="1" s="1"/>
  <c r="O749" i="1"/>
  <c r="N749" i="1" s="1"/>
  <c r="L749" i="1"/>
  <c r="O748" i="1"/>
  <c r="N748" i="1" s="1"/>
  <c r="C748" i="1"/>
  <c r="O747" i="1"/>
  <c r="P747" i="1" s="1"/>
  <c r="F747" i="1"/>
  <c r="O746" i="1"/>
  <c r="P746" i="1" s="1"/>
  <c r="E746" i="1"/>
  <c r="F746" i="1" s="1"/>
  <c r="C746" i="1"/>
  <c r="O745" i="1"/>
  <c r="N745" i="1" s="1"/>
  <c r="O744" i="1"/>
  <c r="Q744" i="1" s="1"/>
  <c r="C744" i="1"/>
  <c r="O743" i="1"/>
  <c r="Q743" i="1" s="1"/>
  <c r="L743" i="1"/>
  <c r="L746" i="1" s="1"/>
  <c r="C743" i="1"/>
  <c r="O742" i="1"/>
  <c r="N742" i="1" s="1"/>
  <c r="M742" i="1"/>
  <c r="L742" i="1"/>
  <c r="L744" i="1" s="1"/>
  <c r="O676" i="1"/>
  <c r="Q676" i="1" s="1"/>
  <c r="O675" i="1"/>
  <c r="N675" i="1" s="1"/>
  <c r="L675" i="1"/>
  <c r="O674" i="1"/>
  <c r="N674" i="1" s="1"/>
  <c r="C674" i="1"/>
  <c r="O673" i="1"/>
  <c r="P673" i="1" s="1"/>
  <c r="F673" i="1"/>
  <c r="O672" i="1"/>
  <c r="P672" i="1" s="1"/>
  <c r="E672" i="1"/>
  <c r="F672" i="1" s="1"/>
  <c r="C672" i="1"/>
  <c r="O671" i="1"/>
  <c r="N671" i="1" s="1"/>
  <c r="O670" i="1"/>
  <c r="Q670" i="1" s="1"/>
  <c r="C670" i="1"/>
  <c r="O669" i="1"/>
  <c r="Q669" i="1" s="1"/>
  <c r="L669" i="1"/>
  <c r="L672" i="1" s="1"/>
  <c r="C669" i="1"/>
  <c r="O668" i="1"/>
  <c r="Q668" i="1" s="1"/>
  <c r="M668" i="1"/>
  <c r="L668" i="1"/>
  <c r="L670" i="1" s="1"/>
  <c r="O618" i="1"/>
  <c r="Q618" i="1" s="1"/>
  <c r="M618" i="1"/>
  <c r="O617" i="1"/>
  <c r="N617" i="1" s="1"/>
  <c r="M617" i="1"/>
  <c r="L617" i="1"/>
  <c r="O616" i="1"/>
  <c r="N616" i="1" s="1"/>
  <c r="M616" i="1"/>
  <c r="C616" i="1"/>
  <c r="O615" i="1"/>
  <c r="P615" i="1" s="1"/>
  <c r="M615" i="1"/>
  <c r="F615" i="1"/>
  <c r="O614" i="1"/>
  <c r="P614" i="1" s="1"/>
  <c r="M614" i="1"/>
  <c r="E614" i="1"/>
  <c r="F614" i="1" s="1"/>
  <c r="C614" i="1"/>
  <c r="O613" i="1"/>
  <c r="N613" i="1" s="1"/>
  <c r="M613" i="1"/>
  <c r="O612" i="1"/>
  <c r="Q612" i="1" s="1"/>
  <c r="M612" i="1"/>
  <c r="C612" i="1"/>
  <c r="O611" i="1"/>
  <c r="Q611" i="1" s="1"/>
  <c r="M611" i="1"/>
  <c r="L611" i="1"/>
  <c r="L614" i="1" s="1"/>
  <c r="C611" i="1"/>
  <c r="O610" i="1"/>
  <c r="N610" i="1" s="1"/>
  <c r="M610" i="1"/>
  <c r="L610" i="1"/>
  <c r="L612" i="1" s="1"/>
  <c r="O547" i="1"/>
  <c r="Q547" i="1" s="1"/>
  <c r="M547" i="1"/>
  <c r="O546" i="1"/>
  <c r="N546" i="1" s="1"/>
  <c r="M546" i="1"/>
  <c r="L546" i="1"/>
  <c r="O545" i="1"/>
  <c r="N545" i="1" s="1"/>
  <c r="M545" i="1"/>
  <c r="C545" i="1"/>
  <c r="O544" i="1"/>
  <c r="P544" i="1" s="1"/>
  <c r="M544" i="1"/>
  <c r="F544" i="1"/>
  <c r="O543" i="1"/>
  <c r="P543" i="1" s="1"/>
  <c r="M543" i="1"/>
  <c r="E543" i="1"/>
  <c r="F543" i="1" s="1"/>
  <c r="C543" i="1"/>
  <c r="O542" i="1"/>
  <c r="N542" i="1" s="1"/>
  <c r="M542" i="1"/>
  <c r="O541" i="1"/>
  <c r="Q541" i="1" s="1"/>
  <c r="M541" i="1"/>
  <c r="C541" i="1"/>
  <c r="O540" i="1"/>
  <c r="Q540" i="1" s="1"/>
  <c r="M540" i="1"/>
  <c r="L540" i="1"/>
  <c r="L543" i="1" s="1"/>
  <c r="C540" i="1"/>
  <c r="O539" i="1"/>
  <c r="N539" i="1" s="1"/>
  <c r="M539" i="1"/>
  <c r="L539" i="1"/>
  <c r="L541" i="1" s="1"/>
  <c r="O485" i="1"/>
  <c r="Q485" i="1" s="1"/>
  <c r="M485" i="1"/>
  <c r="O484" i="1"/>
  <c r="N484" i="1" s="1"/>
  <c r="M484" i="1"/>
  <c r="L484" i="1"/>
  <c r="O483" i="1"/>
  <c r="N483" i="1" s="1"/>
  <c r="M483" i="1"/>
  <c r="C483" i="1"/>
  <c r="O482" i="1"/>
  <c r="P482" i="1" s="1"/>
  <c r="M482" i="1"/>
  <c r="F482" i="1"/>
  <c r="O481" i="1"/>
  <c r="P481" i="1" s="1"/>
  <c r="M481" i="1"/>
  <c r="E481" i="1"/>
  <c r="F481" i="1" s="1"/>
  <c r="C481" i="1"/>
  <c r="O480" i="1"/>
  <c r="N480" i="1" s="1"/>
  <c r="M480" i="1"/>
  <c r="O479" i="1"/>
  <c r="Q479" i="1" s="1"/>
  <c r="M479" i="1"/>
  <c r="C479" i="1"/>
  <c r="O478" i="1"/>
  <c r="Q478" i="1" s="1"/>
  <c r="M478" i="1"/>
  <c r="L478" i="1"/>
  <c r="L481" i="1" s="1"/>
  <c r="C478" i="1"/>
  <c r="O477" i="1"/>
  <c r="Q477" i="1" s="1"/>
  <c r="M477" i="1"/>
  <c r="L477" i="1"/>
  <c r="L479" i="1" s="1"/>
  <c r="O427" i="1"/>
  <c r="Q427" i="1" s="1"/>
  <c r="M427" i="1"/>
  <c r="O426" i="1"/>
  <c r="N426" i="1" s="1"/>
  <c r="M426" i="1"/>
  <c r="L426" i="1"/>
  <c r="O425" i="1"/>
  <c r="N425" i="1" s="1"/>
  <c r="M425" i="1"/>
  <c r="C425" i="1"/>
  <c r="O424" i="1"/>
  <c r="P424" i="1" s="1"/>
  <c r="M424" i="1"/>
  <c r="F424" i="1"/>
  <c r="O423" i="1"/>
  <c r="P423" i="1" s="1"/>
  <c r="M423" i="1"/>
  <c r="E423" i="1"/>
  <c r="F423" i="1" s="1"/>
  <c r="C423" i="1"/>
  <c r="O422" i="1"/>
  <c r="N422" i="1" s="1"/>
  <c r="M422" i="1"/>
  <c r="O421" i="1"/>
  <c r="Q421" i="1" s="1"/>
  <c r="M421" i="1"/>
  <c r="C421" i="1"/>
  <c r="O420" i="1"/>
  <c r="Q420" i="1" s="1"/>
  <c r="M420" i="1"/>
  <c r="L420" i="1"/>
  <c r="L423" i="1" s="1"/>
  <c r="C420" i="1"/>
  <c r="O419" i="1"/>
  <c r="N419" i="1" s="1"/>
  <c r="M419" i="1"/>
  <c r="L419" i="1"/>
  <c r="L421" i="1" s="1"/>
  <c r="O301" i="1"/>
  <c r="Q301" i="1" s="1"/>
  <c r="M301" i="1"/>
  <c r="O300" i="1"/>
  <c r="N300" i="1" s="1"/>
  <c r="M300" i="1"/>
  <c r="L300" i="1"/>
  <c r="O299" i="1"/>
  <c r="N299" i="1" s="1"/>
  <c r="M299" i="1"/>
  <c r="C299" i="1"/>
  <c r="O298" i="1"/>
  <c r="P298" i="1" s="1"/>
  <c r="M298" i="1"/>
  <c r="F298" i="1"/>
  <c r="O297" i="1"/>
  <c r="P297" i="1" s="1"/>
  <c r="M297" i="1"/>
  <c r="E297" i="1"/>
  <c r="F297" i="1" s="1"/>
  <c r="C297" i="1"/>
  <c r="O296" i="1"/>
  <c r="N296" i="1" s="1"/>
  <c r="M296" i="1"/>
  <c r="O295" i="1"/>
  <c r="Q295" i="1" s="1"/>
  <c r="M295" i="1"/>
  <c r="C295" i="1"/>
  <c r="O294" i="1"/>
  <c r="Q294" i="1" s="1"/>
  <c r="M294" i="1"/>
  <c r="L294" i="1"/>
  <c r="L297" i="1" s="1"/>
  <c r="C294" i="1"/>
  <c r="O293" i="1"/>
  <c r="N293" i="1" s="1"/>
  <c r="M293" i="1"/>
  <c r="L293" i="1"/>
  <c r="L295" i="1" s="1"/>
  <c r="O241" i="1"/>
  <c r="Q241" i="1" s="1"/>
  <c r="M241" i="1"/>
  <c r="O240" i="1"/>
  <c r="N240" i="1" s="1"/>
  <c r="M240" i="1"/>
  <c r="L240" i="1"/>
  <c r="O239" i="1"/>
  <c r="N239" i="1" s="1"/>
  <c r="M239" i="1"/>
  <c r="C239" i="1"/>
  <c r="O238" i="1"/>
  <c r="P238" i="1" s="1"/>
  <c r="M238" i="1"/>
  <c r="F238" i="1"/>
  <c r="O237" i="1"/>
  <c r="P237" i="1" s="1"/>
  <c r="M237" i="1"/>
  <c r="E237" i="1"/>
  <c r="F237" i="1" s="1"/>
  <c r="C237" i="1"/>
  <c r="O236" i="1"/>
  <c r="N236" i="1" s="1"/>
  <c r="M236" i="1"/>
  <c r="O235" i="1"/>
  <c r="Q235" i="1" s="1"/>
  <c r="M235" i="1"/>
  <c r="C235" i="1"/>
  <c r="O234" i="1"/>
  <c r="Q234" i="1" s="1"/>
  <c r="M234" i="1"/>
  <c r="L234" i="1"/>
  <c r="L237" i="1" s="1"/>
  <c r="C234" i="1"/>
  <c r="O233" i="1"/>
  <c r="Q233" i="1" s="1"/>
  <c r="M233" i="1"/>
  <c r="L233" i="1"/>
  <c r="L235" i="1" s="1"/>
  <c r="O170" i="1"/>
  <c r="Q170" i="1" s="1"/>
  <c r="M170" i="1"/>
  <c r="O169" i="1"/>
  <c r="N169" i="1" s="1"/>
  <c r="M169" i="1"/>
  <c r="L169" i="1"/>
  <c r="O168" i="1"/>
  <c r="N168" i="1" s="1"/>
  <c r="M168" i="1"/>
  <c r="C168" i="1"/>
  <c r="O167" i="1"/>
  <c r="P167" i="1" s="1"/>
  <c r="M167" i="1"/>
  <c r="F167" i="1"/>
  <c r="O166" i="1"/>
  <c r="P166" i="1" s="1"/>
  <c r="M166" i="1"/>
  <c r="E166" i="1"/>
  <c r="F166" i="1" s="1"/>
  <c r="C166" i="1"/>
  <c r="O165" i="1"/>
  <c r="N165" i="1" s="1"/>
  <c r="M165" i="1"/>
  <c r="O164" i="1"/>
  <c r="Q164" i="1" s="1"/>
  <c r="M164" i="1"/>
  <c r="C164" i="1"/>
  <c r="O163" i="1"/>
  <c r="Q163" i="1" s="1"/>
  <c r="M163" i="1"/>
  <c r="L163" i="1"/>
  <c r="L166" i="1" s="1"/>
  <c r="C163" i="1"/>
  <c r="O162" i="1"/>
  <c r="Q162" i="1" s="1"/>
  <c r="M162" i="1"/>
  <c r="L162" i="1"/>
  <c r="L164" i="1" s="1"/>
  <c r="O137" i="1"/>
  <c r="Q137" i="1" s="1"/>
  <c r="M137" i="1"/>
  <c r="O136" i="1"/>
  <c r="N136" i="1" s="1"/>
  <c r="M136" i="1"/>
  <c r="L136" i="1"/>
  <c r="O135" i="1"/>
  <c r="N135" i="1" s="1"/>
  <c r="M135" i="1"/>
  <c r="C135" i="1"/>
  <c r="O134" i="1"/>
  <c r="P134" i="1" s="1"/>
  <c r="M134" i="1"/>
  <c r="F134" i="1"/>
  <c r="O133" i="1"/>
  <c r="P133" i="1" s="1"/>
  <c r="M133" i="1"/>
  <c r="E133" i="1"/>
  <c r="F133" i="1" s="1"/>
  <c r="C133" i="1"/>
  <c r="O132" i="1"/>
  <c r="N132" i="1" s="1"/>
  <c r="M132" i="1"/>
  <c r="O131" i="1"/>
  <c r="Q131" i="1" s="1"/>
  <c r="M131" i="1"/>
  <c r="C131" i="1"/>
  <c r="O130" i="1"/>
  <c r="Q130" i="1" s="1"/>
  <c r="M130" i="1"/>
  <c r="L130" i="1"/>
  <c r="L133" i="1" s="1"/>
  <c r="C130" i="1"/>
  <c r="O129" i="1"/>
  <c r="N129" i="1" s="1"/>
  <c r="M129" i="1"/>
  <c r="L129" i="1"/>
  <c r="L131" i="1" s="1"/>
  <c r="O79" i="1"/>
  <c r="Q79" i="1" s="1"/>
  <c r="M79" i="1"/>
  <c r="C79" i="1"/>
  <c r="O78" i="1"/>
  <c r="N78" i="1" s="1"/>
  <c r="M78" i="1"/>
  <c r="F78" i="1"/>
  <c r="O77" i="1"/>
  <c r="M77" i="1"/>
  <c r="E77" i="1"/>
  <c r="F77" i="1" s="1"/>
  <c r="C77" i="1"/>
  <c r="O76" i="1"/>
  <c r="P76" i="1" s="1"/>
  <c r="M76" i="1"/>
  <c r="O75" i="1"/>
  <c r="P75" i="1" s="1"/>
  <c r="M75" i="1"/>
  <c r="O74" i="1"/>
  <c r="Q74" i="1" s="1"/>
  <c r="M74" i="1"/>
  <c r="L74" i="1"/>
  <c r="L77" i="1" s="1"/>
  <c r="C74" i="1"/>
  <c r="O73" i="1"/>
  <c r="N73" i="1" s="1"/>
  <c r="M73" i="1"/>
  <c r="L73" i="1"/>
  <c r="L75" i="1" s="1"/>
  <c r="O16" i="1"/>
  <c r="Q16" i="1" s="1"/>
  <c r="M16" i="1"/>
  <c r="C16" i="1"/>
  <c r="O17" i="1"/>
  <c r="Q17" i="1" s="1"/>
  <c r="M17" i="1"/>
  <c r="O13" i="1"/>
  <c r="Q13" i="1" s="1"/>
  <c r="M13" i="1"/>
  <c r="L13" i="1"/>
  <c r="L16" i="1" s="1"/>
  <c r="C13" i="1"/>
  <c r="Q3403" i="1" l="1"/>
  <c r="Q3354" i="1"/>
  <c r="Q3042" i="1"/>
  <c r="Q3275" i="1"/>
  <c r="Q2245" i="1"/>
  <c r="N3457" i="1"/>
  <c r="P3457" i="1"/>
  <c r="N3395" i="1"/>
  <c r="P3395" i="1"/>
  <c r="N3346" i="1"/>
  <c r="P3346" i="1"/>
  <c r="N3267" i="1"/>
  <c r="P3267" i="1"/>
  <c r="N3219" i="1"/>
  <c r="P3219" i="1"/>
  <c r="N3114" i="1"/>
  <c r="P3114" i="1"/>
  <c r="N3034" i="1"/>
  <c r="P3034" i="1"/>
  <c r="N2987" i="1"/>
  <c r="P2940" i="1"/>
  <c r="P2987" i="1"/>
  <c r="Q2940" i="1"/>
  <c r="N2803" i="1"/>
  <c r="P2803" i="1"/>
  <c r="N2738" i="1"/>
  <c r="P2738" i="1"/>
  <c r="N2659" i="1"/>
  <c r="P2659" i="1"/>
  <c r="N2579" i="1"/>
  <c r="P2579" i="1"/>
  <c r="Q2540" i="1"/>
  <c r="N2540" i="1"/>
  <c r="N2497" i="1"/>
  <c r="P2497" i="1"/>
  <c r="N2436" i="1"/>
  <c r="P2436" i="1"/>
  <c r="N2363" i="1"/>
  <c r="P2363" i="1"/>
  <c r="Q2297" i="1"/>
  <c r="N2297" i="1"/>
  <c r="N2218" i="1"/>
  <c r="P2218" i="1"/>
  <c r="N2138" i="1"/>
  <c r="P2138" i="1"/>
  <c r="N2077" i="1"/>
  <c r="P2077" i="1"/>
  <c r="N2018" i="1"/>
  <c r="P2018" i="1"/>
  <c r="N1954" i="1"/>
  <c r="P1954" i="1"/>
  <c r="N1878" i="1"/>
  <c r="P1878" i="1"/>
  <c r="N1796" i="1"/>
  <c r="P1796" i="1"/>
  <c r="N1737" i="1"/>
  <c r="P1737" i="1"/>
  <c r="N1678" i="1"/>
  <c r="P1678" i="1"/>
  <c r="N1623" i="1"/>
  <c r="P1623" i="1"/>
  <c r="N1566" i="1"/>
  <c r="P1566" i="1"/>
  <c r="N1506" i="1"/>
  <c r="Q1395" i="1"/>
  <c r="P1506" i="1"/>
  <c r="Q1447" i="1"/>
  <c r="N1447" i="1"/>
  <c r="P1395" i="1"/>
  <c r="N1357" i="1"/>
  <c r="N1280" i="1"/>
  <c r="P1357" i="1"/>
  <c r="N1318" i="1"/>
  <c r="P1318" i="1"/>
  <c r="Q1280" i="1"/>
  <c r="N1218" i="1"/>
  <c r="P1218" i="1"/>
  <c r="N1142" i="1"/>
  <c r="P1142" i="1"/>
  <c r="P1071" i="1"/>
  <c r="N1071" i="1"/>
  <c r="N1031" i="1"/>
  <c r="P1031" i="1"/>
  <c r="N988" i="1"/>
  <c r="P988" i="1"/>
  <c r="N927" i="1"/>
  <c r="P927" i="1"/>
  <c r="Q850" i="1"/>
  <c r="N850" i="1"/>
  <c r="N785" i="1"/>
  <c r="P785" i="1"/>
  <c r="N733" i="1"/>
  <c r="P733" i="1"/>
  <c r="N663" i="1"/>
  <c r="P663" i="1"/>
  <c r="N605" i="1"/>
  <c r="P605" i="1"/>
  <c r="Q534" i="1"/>
  <c r="N534" i="1"/>
  <c r="N472" i="1"/>
  <c r="P472" i="1"/>
  <c r="Q365" i="1"/>
  <c r="N365" i="1"/>
  <c r="N288" i="1"/>
  <c r="N228" i="1"/>
  <c r="P288" i="1"/>
  <c r="P228" i="1"/>
  <c r="N157" i="1"/>
  <c r="P157" i="1"/>
  <c r="N124" i="1"/>
  <c r="P124" i="1"/>
  <c r="N64" i="1"/>
  <c r="P64" i="1"/>
  <c r="Q296" i="1"/>
  <c r="Q2444" i="1"/>
  <c r="Q996" i="1"/>
  <c r="Q1686" i="1"/>
  <c r="Q2948" i="1"/>
  <c r="P3402" i="1"/>
  <c r="Q2686" i="1"/>
  <c r="Q3232" i="1"/>
  <c r="P3400" i="1"/>
  <c r="P3408" i="1"/>
  <c r="Q3405" i="1"/>
  <c r="Q3408" i="1"/>
  <c r="L3405" i="1"/>
  <c r="L3403" i="1"/>
  <c r="L3406" i="1" s="1"/>
  <c r="P3351" i="1"/>
  <c r="N3400" i="1"/>
  <c r="P3401" i="1"/>
  <c r="Q3404" i="1"/>
  <c r="P3407" i="1"/>
  <c r="Q3351" i="1"/>
  <c r="P3403" i="1"/>
  <c r="N3405" i="1"/>
  <c r="P3406" i="1"/>
  <c r="Q3407" i="1"/>
  <c r="Q3406" i="1"/>
  <c r="Q3356" i="1"/>
  <c r="P3353" i="1"/>
  <c r="L3356" i="1"/>
  <c r="L3354" i="1"/>
  <c r="L3357" i="1" s="1"/>
  <c r="Q3272" i="1"/>
  <c r="P3352" i="1"/>
  <c r="Q3355" i="1"/>
  <c r="P3358" i="1"/>
  <c r="N3359" i="1"/>
  <c r="P3354" i="1"/>
  <c r="N3356" i="1"/>
  <c r="P3357" i="1"/>
  <c r="Q3358" i="1"/>
  <c r="Q3357" i="1"/>
  <c r="P3359" i="1"/>
  <c r="P3272" i="1"/>
  <c r="P3274" i="1"/>
  <c r="L3277" i="1"/>
  <c r="L3275" i="1"/>
  <c r="L3278" i="1" s="1"/>
  <c r="P3229" i="1"/>
  <c r="P3273" i="1"/>
  <c r="Q3276" i="1"/>
  <c r="Q3277" i="1"/>
  <c r="P3279" i="1"/>
  <c r="Q3229" i="1"/>
  <c r="P3275" i="1"/>
  <c r="N3277" i="1"/>
  <c r="P3278" i="1"/>
  <c r="Q3279" i="1"/>
  <c r="Q3278" i="1"/>
  <c r="Q3236" i="1"/>
  <c r="P3231" i="1"/>
  <c r="L3234" i="1"/>
  <c r="L3232" i="1"/>
  <c r="L3235" i="1" s="1"/>
  <c r="Q3160" i="1"/>
  <c r="P3230" i="1"/>
  <c r="Q3233" i="1"/>
  <c r="Q3234" i="1"/>
  <c r="P3236" i="1"/>
  <c r="N3237" i="1"/>
  <c r="P3153" i="1"/>
  <c r="P3232" i="1"/>
  <c r="N3234" i="1"/>
  <c r="P3235" i="1"/>
  <c r="Q3235" i="1"/>
  <c r="P3237" i="1"/>
  <c r="Q2811" i="1"/>
  <c r="P3154" i="1"/>
  <c r="P3155" i="1"/>
  <c r="N3153" i="1"/>
  <c r="P3160" i="1"/>
  <c r="N3161" i="1"/>
  <c r="Q3158" i="1"/>
  <c r="L3158" i="1"/>
  <c r="L3156" i="1"/>
  <c r="L3159" i="1" s="1"/>
  <c r="Q3157" i="1"/>
  <c r="Q2995" i="1"/>
  <c r="P3156" i="1"/>
  <c r="N3158" i="1"/>
  <c r="P3159" i="1"/>
  <c r="Q3156" i="1"/>
  <c r="Q3159" i="1"/>
  <c r="P3161" i="1"/>
  <c r="Q3047" i="1"/>
  <c r="Q3044" i="1"/>
  <c r="P3039" i="1"/>
  <c r="P3041" i="1"/>
  <c r="P3047" i="1"/>
  <c r="L3044" i="1"/>
  <c r="L3042" i="1"/>
  <c r="L3045" i="1" s="1"/>
  <c r="P2992" i="1"/>
  <c r="N3039" i="1"/>
  <c r="P3040" i="1"/>
  <c r="Q3043" i="1"/>
  <c r="P3046" i="1"/>
  <c r="Q2992" i="1"/>
  <c r="P3042" i="1"/>
  <c r="N3044" i="1"/>
  <c r="P3045" i="1"/>
  <c r="Q3046" i="1"/>
  <c r="Q3045" i="1"/>
  <c r="Q2997" i="1"/>
  <c r="P2994" i="1"/>
  <c r="L2997" i="1"/>
  <c r="L2995" i="1"/>
  <c r="L2998" i="1" s="1"/>
  <c r="P2945" i="1"/>
  <c r="P2993" i="1"/>
  <c r="Q2996" i="1"/>
  <c r="P2999" i="1"/>
  <c r="N3000" i="1"/>
  <c r="Q2945" i="1"/>
  <c r="P2995" i="1"/>
  <c r="N2997" i="1"/>
  <c r="P2998" i="1"/>
  <c r="Q2999" i="1"/>
  <c r="Q2998" i="1"/>
  <c r="P3000" i="1"/>
  <c r="Q2950" i="1"/>
  <c r="P2947" i="1"/>
  <c r="L2950" i="1"/>
  <c r="L2948" i="1"/>
  <c r="L2951" i="1" s="1"/>
  <c r="P2808" i="1"/>
  <c r="P2946" i="1"/>
  <c r="Q2949" i="1"/>
  <c r="P2952" i="1"/>
  <c r="N2953" i="1"/>
  <c r="Q2808" i="1"/>
  <c r="P2948" i="1"/>
  <c r="N2950" i="1"/>
  <c r="P2951" i="1"/>
  <c r="Q2952" i="1"/>
  <c r="Q2951" i="1"/>
  <c r="P2953" i="1"/>
  <c r="P2810" i="1"/>
  <c r="Q2587" i="1"/>
  <c r="L2813" i="1"/>
  <c r="L2811" i="1"/>
  <c r="L2814" i="1" s="1"/>
  <c r="P2809" i="1"/>
  <c r="Q2812" i="1"/>
  <c r="Q2813" i="1"/>
  <c r="P2815" i="1"/>
  <c r="N2816" i="1"/>
  <c r="P2746" i="1"/>
  <c r="P2811" i="1"/>
  <c r="N2813" i="1"/>
  <c r="P2814" i="1"/>
  <c r="Q2815" i="1"/>
  <c r="Q2814" i="1"/>
  <c r="P2816" i="1"/>
  <c r="Q2747" i="1"/>
  <c r="Q2751" i="1"/>
  <c r="Q1403" i="1"/>
  <c r="P2744" i="1"/>
  <c r="Q2744" i="1"/>
  <c r="L2749" i="1"/>
  <c r="L2747" i="1"/>
  <c r="L2750" i="1" s="1"/>
  <c r="P2683" i="1"/>
  <c r="P2745" i="1"/>
  <c r="Q2748" i="1"/>
  <c r="Q2749" i="1"/>
  <c r="P2751" i="1"/>
  <c r="N2752" i="1"/>
  <c r="Q2683" i="1"/>
  <c r="P2747" i="1"/>
  <c r="N2749" i="1"/>
  <c r="P2750" i="1"/>
  <c r="Q2750" i="1"/>
  <c r="P2752" i="1"/>
  <c r="Q2690" i="1"/>
  <c r="Q2548" i="1"/>
  <c r="P2685" i="1"/>
  <c r="L2688" i="1"/>
  <c r="L2686" i="1"/>
  <c r="L2689" i="1" s="1"/>
  <c r="P2684" i="1"/>
  <c r="Q2687" i="1"/>
  <c r="Q2688" i="1"/>
  <c r="P2690" i="1"/>
  <c r="N2691" i="1"/>
  <c r="P2686" i="1"/>
  <c r="N2688" i="1"/>
  <c r="P2689" i="1"/>
  <c r="Q2689" i="1"/>
  <c r="P2691" i="1"/>
  <c r="Q2591" i="1"/>
  <c r="Q2589" i="1"/>
  <c r="P2584" i="1"/>
  <c r="P2586" i="1"/>
  <c r="L2589" i="1"/>
  <c r="L2587" i="1"/>
  <c r="L2590" i="1" s="1"/>
  <c r="P2545" i="1"/>
  <c r="N2584" i="1"/>
  <c r="P2585" i="1"/>
  <c r="Q2588" i="1"/>
  <c r="P2591" i="1"/>
  <c r="N2592" i="1"/>
  <c r="Q2545" i="1"/>
  <c r="P2587" i="1"/>
  <c r="N2589" i="1"/>
  <c r="P2590" i="1"/>
  <c r="Q2590" i="1"/>
  <c r="P2592" i="1"/>
  <c r="Q2371" i="1"/>
  <c r="Q2552" i="1"/>
  <c r="Q2550" i="1"/>
  <c r="P2547" i="1"/>
  <c r="L2550" i="1"/>
  <c r="L2548" i="1"/>
  <c r="L2551" i="1" s="1"/>
  <c r="P2546" i="1"/>
  <c r="Q2549" i="1"/>
  <c r="P2552" i="1"/>
  <c r="N2553" i="1"/>
  <c r="P2548" i="1"/>
  <c r="N2550" i="1"/>
  <c r="P2551" i="1"/>
  <c r="P2502" i="1"/>
  <c r="Q2551" i="1"/>
  <c r="P2553" i="1"/>
  <c r="N2502" i="1"/>
  <c r="Q2509" i="1"/>
  <c r="Q2507" i="1"/>
  <c r="P2441" i="1"/>
  <c r="P2503" i="1"/>
  <c r="P2504" i="1"/>
  <c r="L2507" i="1"/>
  <c r="L2505" i="1"/>
  <c r="L2508" i="1" s="1"/>
  <c r="Q2506" i="1"/>
  <c r="P2509" i="1"/>
  <c r="N2510" i="1"/>
  <c r="Q2441" i="1"/>
  <c r="P2505" i="1"/>
  <c r="N2507" i="1"/>
  <c r="P2508" i="1"/>
  <c r="Q2505" i="1"/>
  <c r="Q2508" i="1"/>
  <c r="P2510" i="1"/>
  <c r="Q2446" i="1"/>
  <c r="P2443" i="1"/>
  <c r="L2446" i="1"/>
  <c r="L2444" i="1"/>
  <c r="L2447" i="1" s="1"/>
  <c r="P2442" i="1"/>
  <c r="Q2445" i="1"/>
  <c r="P2448" i="1"/>
  <c r="N2449" i="1"/>
  <c r="P2444" i="1"/>
  <c r="N2446" i="1"/>
  <c r="P2447" i="1"/>
  <c r="Q2448" i="1"/>
  <c r="Q2447" i="1"/>
  <c r="P2449" i="1"/>
  <c r="Q2026" i="1"/>
  <c r="Q2375" i="1"/>
  <c r="P2368" i="1"/>
  <c r="P2370" i="1"/>
  <c r="L2373" i="1"/>
  <c r="L2371" i="1"/>
  <c r="L2374" i="1" s="1"/>
  <c r="N2368" i="1"/>
  <c r="P2369" i="1"/>
  <c r="Q2372" i="1"/>
  <c r="Q2373" i="1"/>
  <c r="P2375" i="1"/>
  <c r="N2376" i="1"/>
  <c r="P2371" i="1"/>
  <c r="N2373" i="1"/>
  <c r="P2374" i="1"/>
  <c r="Q2374" i="1"/>
  <c r="P2376" i="1"/>
  <c r="Q1804" i="1"/>
  <c r="Q2146" i="1"/>
  <c r="P2304" i="1"/>
  <c r="Q2302" i="1"/>
  <c r="Q2305" i="1"/>
  <c r="P2302" i="1"/>
  <c r="L2307" i="1"/>
  <c r="L2305" i="1"/>
  <c r="L2308" i="1" s="1"/>
  <c r="Q2242" i="1"/>
  <c r="Q2249" i="1"/>
  <c r="P2303" i="1"/>
  <c r="Q2306" i="1"/>
  <c r="Q2307" i="1"/>
  <c r="P2309" i="1"/>
  <c r="N2310" i="1"/>
  <c r="P2305" i="1"/>
  <c r="N2307" i="1"/>
  <c r="P2308" i="1"/>
  <c r="Q2309" i="1"/>
  <c r="Q2308" i="1"/>
  <c r="P2310" i="1"/>
  <c r="P2242" i="1"/>
  <c r="Q2085" i="1"/>
  <c r="P2244" i="1"/>
  <c r="L2247" i="1"/>
  <c r="L2245" i="1"/>
  <c r="L2248" i="1" s="1"/>
  <c r="P2243" i="1"/>
  <c r="Q2246" i="1"/>
  <c r="Q2247" i="1"/>
  <c r="P2249" i="1"/>
  <c r="N2250" i="1"/>
  <c r="P2245" i="1"/>
  <c r="N2247" i="1"/>
  <c r="P2248" i="1"/>
  <c r="Q2248" i="1"/>
  <c r="P2250" i="1"/>
  <c r="Q1962" i="1"/>
  <c r="P2143" i="1"/>
  <c r="P2145" i="1"/>
  <c r="Q2151" i="1"/>
  <c r="L2148" i="1"/>
  <c r="L2146" i="1"/>
  <c r="L2149" i="1" s="1"/>
  <c r="Q2082" i="1"/>
  <c r="N2143" i="1"/>
  <c r="P2144" i="1"/>
  <c r="Q2147" i="1"/>
  <c r="Q2148" i="1"/>
  <c r="P2150" i="1"/>
  <c r="N2151" i="1"/>
  <c r="P2146" i="1"/>
  <c r="N2148" i="1"/>
  <c r="P2149" i="1"/>
  <c r="Q2150" i="1"/>
  <c r="Q745" i="1"/>
  <c r="Q2149" i="1"/>
  <c r="P2082" i="1"/>
  <c r="Q2090" i="1"/>
  <c r="Q2087" i="1"/>
  <c r="Q1514" i="1"/>
  <c r="P2084" i="1"/>
  <c r="L2087" i="1"/>
  <c r="L2085" i="1"/>
  <c r="L2088" i="1" s="1"/>
  <c r="P2023" i="1"/>
  <c r="P2083" i="1"/>
  <c r="Q2086" i="1"/>
  <c r="P2089" i="1"/>
  <c r="N2090" i="1"/>
  <c r="Q2023" i="1"/>
  <c r="P2085" i="1"/>
  <c r="N2087" i="1"/>
  <c r="P2088" i="1"/>
  <c r="Q2089" i="1"/>
  <c r="Q2088" i="1"/>
  <c r="Q2030" i="1"/>
  <c r="Q1905" i="1"/>
  <c r="P2025" i="1"/>
  <c r="L2028" i="1"/>
  <c r="L2026" i="1"/>
  <c r="L2029" i="1" s="1"/>
  <c r="P2024" i="1"/>
  <c r="Q2027" i="1"/>
  <c r="Q2028" i="1"/>
  <c r="P2030" i="1"/>
  <c r="N2031" i="1"/>
  <c r="P2026" i="1"/>
  <c r="N2028" i="1"/>
  <c r="P2029" i="1"/>
  <c r="Q2029" i="1"/>
  <c r="P2031" i="1"/>
  <c r="Q1967" i="1"/>
  <c r="P1961" i="1"/>
  <c r="P1959" i="1"/>
  <c r="Q1959" i="1"/>
  <c r="P1967" i="1"/>
  <c r="Q1964" i="1"/>
  <c r="L1964" i="1"/>
  <c r="L1962" i="1"/>
  <c r="L1965" i="1" s="1"/>
  <c r="P1902" i="1"/>
  <c r="P1960" i="1"/>
  <c r="Q1963" i="1"/>
  <c r="P1966" i="1"/>
  <c r="Q1902" i="1"/>
  <c r="P1962" i="1"/>
  <c r="N1964" i="1"/>
  <c r="P1965" i="1"/>
  <c r="Q1966" i="1"/>
  <c r="Q1965" i="1"/>
  <c r="P1904" i="1"/>
  <c r="Q1745" i="1"/>
  <c r="L1907" i="1"/>
  <c r="L1905" i="1"/>
  <c r="L1908" i="1" s="1"/>
  <c r="P1801" i="1"/>
  <c r="P1903" i="1"/>
  <c r="Q1906" i="1"/>
  <c r="Q1907" i="1"/>
  <c r="P1909" i="1"/>
  <c r="N1910" i="1"/>
  <c r="Q1801" i="1"/>
  <c r="P1905" i="1"/>
  <c r="N1907" i="1"/>
  <c r="P1908" i="1"/>
  <c r="Q1909" i="1"/>
  <c r="Q1908" i="1"/>
  <c r="P1910" i="1"/>
  <c r="Q1808" i="1"/>
  <c r="Q1806" i="1"/>
  <c r="P1803" i="1"/>
  <c r="L1806" i="1"/>
  <c r="L1804" i="1"/>
  <c r="L1807" i="1" s="1"/>
  <c r="P1742" i="1"/>
  <c r="P1802" i="1"/>
  <c r="Q1805" i="1"/>
  <c r="P1808" i="1"/>
  <c r="N1809" i="1"/>
  <c r="Q1742" i="1"/>
  <c r="P1804" i="1"/>
  <c r="N1806" i="1"/>
  <c r="P1807" i="1"/>
  <c r="Q1807" i="1"/>
  <c r="P1809" i="1"/>
  <c r="Q1749" i="1"/>
  <c r="P1744" i="1"/>
  <c r="L1747" i="1"/>
  <c r="L1745" i="1"/>
  <c r="L1748" i="1" s="1"/>
  <c r="P1743" i="1"/>
  <c r="Q1746" i="1"/>
  <c r="Q1747" i="1"/>
  <c r="P1749" i="1"/>
  <c r="N1750" i="1"/>
  <c r="P1745" i="1"/>
  <c r="N1747" i="1"/>
  <c r="P1748" i="1"/>
  <c r="Q1748" i="1"/>
  <c r="P1750" i="1"/>
  <c r="P1683" i="1"/>
  <c r="P1685" i="1"/>
  <c r="L1688" i="1"/>
  <c r="L1686" i="1"/>
  <c r="L1689" i="1" s="1"/>
  <c r="Q1230" i="1"/>
  <c r="N1683" i="1"/>
  <c r="P1684" i="1"/>
  <c r="Q1687" i="1"/>
  <c r="Q1688" i="1"/>
  <c r="P1690" i="1"/>
  <c r="N1691" i="1"/>
  <c r="P1686" i="1"/>
  <c r="N1688" i="1"/>
  <c r="P1689" i="1"/>
  <c r="Q1690" i="1"/>
  <c r="Q1689" i="1"/>
  <c r="P1691" i="1"/>
  <c r="Q1631" i="1"/>
  <c r="P1630" i="1"/>
  <c r="P1628" i="1"/>
  <c r="Q1635" i="1"/>
  <c r="Q1628" i="1"/>
  <c r="N1635" i="1"/>
  <c r="Q1633" i="1"/>
  <c r="L1633" i="1"/>
  <c r="L1631" i="1"/>
  <c r="L1634" i="1" s="1"/>
  <c r="P1629" i="1"/>
  <c r="Q1632" i="1"/>
  <c r="N1636" i="1"/>
  <c r="P1573" i="1"/>
  <c r="P1631" i="1"/>
  <c r="N1633" i="1"/>
  <c r="P1634" i="1"/>
  <c r="Q1634" i="1"/>
  <c r="P1636" i="1"/>
  <c r="Q1571" i="1"/>
  <c r="Q1455" i="1"/>
  <c r="Q1574" i="1"/>
  <c r="Q542" i="1"/>
  <c r="Q1370" i="1"/>
  <c r="P1571" i="1"/>
  <c r="L1576" i="1"/>
  <c r="L1574" i="1"/>
  <c r="L1577" i="1" s="1"/>
  <c r="Q1511" i="1"/>
  <c r="P1572" i="1"/>
  <c r="Q1575" i="1"/>
  <c r="Q1576" i="1"/>
  <c r="P1578" i="1"/>
  <c r="N1579" i="1"/>
  <c r="P1574" i="1"/>
  <c r="N1576" i="1"/>
  <c r="P1577" i="1"/>
  <c r="Q1578" i="1"/>
  <c r="Q1577" i="1"/>
  <c r="P1579" i="1"/>
  <c r="P1511" i="1"/>
  <c r="Q1519" i="1"/>
  <c r="Q1516" i="1"/>
  <c r="P1513" i="1"/>
  <c r="L1516" i="1"/>
  <c r="L1514" i="1"/>
  <c r="L1517" i="1" s="1"/>
  <c r="P1452" i="1"/>
  <c r="P1512" i="1"/>
  <c r="Q1515" i="1"/>
  <c r="P1518" i="1"/>
  <c r="N1519" i="1"/>
  <c r="Q1452" i="1"/>
  <c r="P1514" i="1"/>
  <c r="N1516" i="1"/>
  <c r="P1517" i="1"/>
  <c r="Q1518" i="1"/>
  <c r="Q1517" i="1"/>
  <c r="Q1457" i="1"/>
  <c r="P1454" i="1"/>
  <c r="L1457" i="1"/>
  <c r="L1455" i="1"/>
  <c r="L1458" i="1" s="1"/>
  <c r="P1400" i="1"/>
  <c r="P1453" i="1"/>
  <c r="Q1456" i="1"/>
  <c r="P1459" i="1"/>
  <c r="N1460" i="1"/>
  <c r="Q1400" i="1"/>
  <c r="P1455" i="1"/>
  <c r="N1457" i="1"/>
  <c r="P1458" i="1"/>
  <c r="Q1459" i="1"/>
  <c r="Q1458" i="1"/>
  <c r="P1460" i="1"/>
  <c r="P1402" i="1"/>
  <c r="Q1331" i="1"/>
  <c r="L1405" i="1"/>
  <c r="L1403" i="1"/>
  <c r="L1406" i="1" s="1"/>
  <c r="P1367" i="1"/>
  <c r="P1401" i="1"/>
  <c r="Q1404" i="1"/>
  <c r="Q1405" i="1"/>
  <c r="P1407" i="1"/>
  <c r="N1408" i="1"/>
  <c r="Q1367" i="1"/>
  <c r="P1403" i="1"/>
  <c r="N1405" i="1"/>
  <c r="P1406" i="1"/>
  <c r="Q1407" i="1"/>
  <c r="Q1406" i="1"/>
  <c r="P1408" i="1"/>
  <c r="Q1154" i="1"/>
  <c r="P1369" i="1"/>
  <c r="Q1293" i="1"/>
  <c r="L1372" i="1"/>
  <c r="L1370" i="1"/>
  <c r="L1373" i="1" s="1"/>
  <c r="P1328" i="1"/>
  <c r="P1368" i="1"/>
  <c r="Q1371" i="1"/>
  <c r="Q1372" i="1"/>
  <c r="P1374" i="1"/>
  <c r="N1375" i="1"/>
  <c r="Q1328" i="1"/>
  <c r="P1370" i="1"/>
  <c r="N1372" i="1"/>
  <c r="P1373" i="1"/>
  <c r="Q1374" i="1"/>
  <c r="Q1373" i="1"/>
  <c r="P1375" i="1"/>
  <c r="Q1335" i="1"/>
  <c r="Q1333" i="1"/>
  <c r="Q1079" i="1"/>
  <c r="P1330" i="1"/>
  <c r="L1333" i="1"/>
  <c r="L1331" i="1"/>
  <c r="L1334" i="1" s="1"/>
  <c r="P1329" i="1"/>
  <c r="Q1332" i="1"/>
  <c r="P1335" i="1"/>
  <c r="N1336" i="1"/>
  <c r="P1331" i="1"/>
  <c r="N1333" i="1"/>
  <c r="P1334" i="1"/>
  <c r="Q1334" i="1"/>
  <c r="P1336" i="1"/>
  <c r="Q132" i="1"/>
  <c r="Q935" i="1"/>
  <c r="P1290" i="1"/>
  <c r="Q1290" i="1"/>
  <c r="Q1295" i="1"/>
  <c r="P1292" i="1"/>
  <c r="L1295" i="1"/>
  <c r="L1293" i="1"/>
  <c r="L1296" i="1" s="1"/>
  <c r="P1291" i="1"/>
  <c r="Q1294" i="1"/>
  <c r="P1297" i="1"/>
  <c r="N1298" i="1"/>
  <c r="P1293" i="1"/>
  <c r="N1295" i="1"/>
  <c r="P1296" i="1"/>
  <c r="Q1297" i="1"/>
  <c r="Q1296" i="1"/>
  <c r="P1298" i="1"/>
  <c r="P1227" i="1"/>
  <c r="P1229" i="1"/>
  <c r="Q1232" i="1"/>
  <c r="Q1234" i="1"/>
  <c r="Q1039" i="1"/>
  <c r="N1232" i="1"/>
  <c r="N1234" i="1"/>
  <c r="L1232" i="1"/>
  <c r="L1230" i="1"/>
  <c r="L1233" i="1" s="1"/>
  <c r="P1151" i="1"/>
  <c r="N1227" i="1"/>
  <c r="P1228" i="1"/>
  <c r="Q1231" i="1"/>
  <c r="N1235" i="1"/>
  <c r="Q1151" i="1"/>
  <c r="P1230" i="1"/>
  <c r="P1233" i="1"/>
  <c r="Q1233" i="1"/>
  <c r="P1235" i="1"/>
  <c r="Q1158" i="1"/>
  <c r="Q1156" i="1"/>
  <c r="P1153" i="1"/>
  <c r="L1156" i="1"/>
  <c r="L1154" i="1"/>
  <c r="L1157" i="1" s="1"/>
  <c r="Q858" i="1"/>
  <c r="N1043" i="1"/>
  <c r="P1076" i="1"/>
  <c r="P1152" i="1"/>
  <c r="Q1155" i="1"/>
  <c r="P1158" i="1"/>
  <c r="N1159" i="1"/>
  <c r="Q1076" i="1"/>
  <c r="P1154" i="1"/>
  <c r="N1156" i="1"/>
  <c r="P1157" i="1"/>
  <c r="Q1157" i="1"/>
  <c r="P1159" i="1"/>
  <c r="N1081" i="1"/>
  <c r="P1078" i="1"/>
  <c r="Q1081" i="1"/>
  <c r="L1081" i="1"/>
  <c r="L1079" i="1"/>
  <c r="L1082" i="1" s="1"/>
  <c r="Q1036" i="1"/>
  <c r="P1077" i="1"/>
  <c r="Q1080" i="1"/>
  <c r="P1083" i="1"/>
  <c r="N1084" i="1"/>
  <c r="P1079" i="1"/>
  <c r="P1082" i="1"/>
  <c r="Q1083" i="1"/>
  <c r="Q1082" i="1"/>
  <c r="P1084" i="1"/>
  <c r="P1036" i="1"/>
  <c r="Q1041" i="1"/>
  <c r="Q1043" i="1"/>
  <c r="P1038" i="1"/>
  <c r="L1041" i="1"/>
  <c r="L1039" i="1"/>
  <c r="L1042" i="1" s="1"/>
  <c r="P993" i="1"/>
  <c r="P1037" i="1"/>
  <c r="Q1040" i="1"/>
  <c r="N1044" i="1"/>
  <c r="Q993" i="1"/>
  <c r="P1039" i="1"/>
  <c r="N1041" i="1"/>
  <c r="P1042" i="1"/>
  <c r="Q1042" i="1"/>
  <c r="P1044" i="1"/>
  <c r="P995" i="1"/>
  <c r="N1000" i="1"/>
  <c r="Q998" i="1"/>
  <c r="Q1000" i="1"/>
  <c r="P1001" i="1"/>
  <c r="L998" i="1"/>
  <c r="L996" i="1"/>
  <c r="L999" i="1" s="1"/>
  <c r="P932" i="1"/>
  <c r="P994" i="1"/>
  <c r="Q997" i="1"/>
  <c r="N1001" i="1"/>
  <c r="Q932" i="1"/>
  <c r="P996" i="1"/>
  <c r="N998" i="1"/>
  <c r="P999" i="1"/>
  <c r="Q999" i="1"/>
  <c r="Q939" i="1"/>
  <c r="P934" i="1"/>
  <c r="L937" i="1"/>
  <c r="L935" i="1"/>
  <c r="L938" i="1" s="1"/>
  <c r="P855" i="1"/>
  <c r="P933" i="1"/>
  <c r="Q936" i="1"/>
  <c r="Q937" i="1"/>
  <c r="P939" i="1"/>
  <c r="N940" i="1"/>
  <c r="Q855" i="1"/>
  <c r="P935" i="1"/>
  <c r="N937" i="1"/>
  <c r="P938" i="1"/>
  <c r="Q938" i="1"/>
  <c r="P940" i="1"/>
  <c r="Q671" i="1"/>
  <c r="Q860" i="1"/>
  <c r="P857" i="1"/>
  <c r="L860" i="1"/>
  <c r="L858" i="1"/>
  <c r="L861" i="1" s="1"/>
  <c r="P856" i="1"/>
  <c r="Q859" i="1"/>
  <c r="P862" i="1"/>
  <c r="N863" i="1"/>
  <c r="P792" i="1"/>
  <c r="P858" i="1"/>
  <c r="N860" i="1"/>
  <c r="P861" i="1"/>
  <c r="Q862" i="1"/>
  <c r="Q861" i="1"/>
  <c r="P863" i="1"/>
  <c r="Q793" i="1"/>
  <c r="Q797" i="1"/>
  <c r="P790" i="1"/>
  <c r="Q790" i="1"/>
  <c r="L795" i="1"/>
  <c r="L793" i="1"/>
  <c r="L796" i="1" s="1"/>
  <c r="P742" i="1"/>
  <c r="P791" i="1"/>
  <c r="Q794" i="1"/>
  <c r="Q795" i="1"/>
  <c r="P797" i="1"/>
  <c r="N798" i="1"/>
  <c r="Q742" i="1"/>
  <c r="P793" i="1"/>
  <c r="N795" i="1"/>
  <c r="P796" i="1"/>
  <c r="Q796" i="1"/>
  <c r="P798" i="1"/>
  <c r="P744" i="1"/>
  <c r="Q613" i="1"/>
  <c r="L747" i="1"/>
  <c r="L745" i="1"/>
  <c r="L748" i="1" s="1"/>
  <c r="P743" i="1"/>
  <c r="Q746" i="1"/>
  <c r="Q747" i="1"/>
  <c r="P749" i="1"/>
  <c r="N750" i="1"/>
  <c r="P745" i="1"/>
  <c r="N747" i="1"/>
  <c r="P748" i="1"/>
  <c r="Q749" i="1"/>
  <c r="Q748" i="1"/>
  <c r="P750" i="1"/>
  <c r="Q675" i="1"/>
  <c r="P668" i="1"/>
  <c r="P670" i="1"/>
  <c r="L673" i="1"/>
  <c r="L671" i="1"/>
  <c r="L674" i="1" s="1"/>
  <c r="P610" i="1"/>
  <c r="N668" i="1"/>
  <c r="P669" i="1"/>
  <c r="Q672" i="1"/>
  <c r="Q673" i="1"/>
  <c r="P675" i="1"/>
  <c r="N676" i="1"/>
  <c r="Q610" i="1"/>
  <c r="P671" i="1"/>
  <c r="N673" i="1"/>
  <c r="P674" i="1"/>
  <c r="Q674" i="1"/>
  <c r="P676" i="1"/>
  <c r="Q617" i="1"/>
  <c r="Q615" i="1"/>
  <c r="P479" i="1"/>
  <c r="P612" i="1"/>
  <c r="L615" i="1"/>
  <c r="L613" i="1"/>
  <c r="L616" i="1" s="1"/>
  <c r="P539" i="1"/>
  <c r="P611" i="1"/>
  <c r="Q614" i="1"/>
  <c r="P617" i="1"/>
  <c r="N618" i="1"/>
  <c r="Q539" i="1"/>
  <c r="P613" i="1"/>
  <c r="N615" i="1"/>
  <c r="P616" i="1"/>
  <c r="Q616" i="1"/>
  <c r="P618" i="1"/>
  <c r="Q546" i="1"/>
  <c r="P541" i="1"/>
  <c r="L544" i="1"/>
  <c r="L542" i="1"/>
  <c r="L545" i="1" s="1"/>
  <c r="P540" i="1"/>
  <c r="Q543" i="1"/>
  <c r="Q544" i="1"/>
  <c r="P546" i="1"/>
  <c r="N547" i="1"/>
  <c r="P542" i="1"/>
  <c r="N544" i="1"/>
  <c r="P545" i="1"/>
  <c r="Q545" i="1"/>
  <c r="P547" i="1"/>
  <c r="Q480" i="1"/>
  <c r="Q484" i="1"/>
  <c r="Q422" i="1"/>
  <c r="P477" i="1"/>
  <c r="L482" i="1"/>
  <c r="L480" i="1"/>
  <c r="L483" i="1" s="1"/>
  <c r="P419" i="1"/>
  <c r="N477" i="1"/>
  <c r="P478" i="1"/>
  <c r="Q481" i="1"/>
  <c r="Q482" i="1"/>
  <c r="P484" i="1"/>
  <c r="N485" i="1"/>
  <c r="Q419" i="1"/>
  <c r="P480" i="1"/>
  <c r="N482" i="1"/>
  <c r="P483" i="1"/>
  <c r="Q483" i="1"/>
  <c r="P485" i="1"/>
  <c r="Q426" i="1"/>
  <c r="Q236" i="1"/>
  <c r="P421" i="1"/>
  <c r="L424" i="1"/>
  <c r="L422" i="1"/>
  <c r="L425" i="1" s="1"/>
  <c r="P293" i="1"/>
  <c r="P420" i="1"/>
  <c r="Q423" i="1"/>
  <c r="Q424" i="1"/>
  <c r="P426" i="1"/>
  <c r="N427" i="1"/>
  <c r="Q293" i="1"/>
  <c r="P422" i="1"/>
  <c r="N424" i="1"/>
  <c r="P425" i="1"/>
  <c r="Q425" i="1"/>
  <c r="P427" i="1"/>
  <c r="Q300" i="1"/>
  <c r="Q76" i="1"/>
  <c r="Q165" i="1"/>
  <c r="P295" i="1"/>
  <c r="L298" i="1"/>
  <c r="L296" i="1"/>
  <c r="L299" i="1" s="1"/>
  <c r="P294" i="1"/>
  <c r="Q297" i="1"/>
  <c r="Q298" i="1"/>
  <c r="P300" i="1"/>
  <c r="N301" i="1"/>
  <c r="P296" i="1"/>
  <c r="N298" i="1"/>
  <c r="P299" i="1"/>
  <c r="Q299" i="1"/>
  <c r="P301" i="1"/>
  <c r="Q240" i="1"/>
  <c r="Q238" i="1"/>
  <c r="P233" i="1"/>
  <c r="P235" i="1"/>
  <c r="L238" i="1"/>
  <c r="L236" i="1"/>
  <c r="L239" i="1" s="1"/>
  <c r="N233" i="1"/>
  <c r="P234" i="1"/>
  <c r="Q237" i="1"/>
  <c r="P240" i="1"/>
  <c r="N241" i="1"/>
  <c r="P236" i="1"/>
  <c r="N238" i="1"/>
  <c r="P239" i="1"/>
  <c r="Q239" i="1"/>
  <c r="P241" i="1"/>
  <c r="Q169" i="1"/>
  <c r="P162" i="1"/>
  <c r="P164" i="1"/>
  <c r="L167" i="1"/>
  <c r="L165" i="1"/>
  <c r="L168" i="1" s="1"/>
  <c r="N162" i="1"/>
  <c r="P163" i="1"/>
  <c r="Q166" i="1"/>
  <c r="Q167" i="1"/>
  <c r="P169" i="1"/>
  <c r="N170" i="1"/>
  <c r="P165" i="1"/>
  <c r="N167" i="1"/>
  <c r="P168" i="1"/>
  <c r="Q168" i="1"/>
  <c r="P170" i="1"/>
  <c r="Q136" i="1"/>
  <c r="Q134" i="1"/>
  <c r="P129" i="1"/>
  <c r="P131" i="1"/>
  <c r="L134" i="1"/>
  <c r="L132" i="1"/>
  <c r="L135" i="1" s="1"/>
  <c r="Q129" i="1"/>
  <c r="P130" i="1"/>
  <c r="Q133" i="1"/>
  <c r="P136" i="1"/>
  <c r="N137" i="1"/>
  <c r="P132" i="1"/>
  <c r="N134" i="1"/>
  <c r="P135" i="1"/>
  <c r="Q135" i="1"/>
  <c r="P137" i="1"/>
  <c r="Q78" i="1"/>
  <c r="P73" i="1"/>
  <c r="Q73" i="1"/>
  <c r="L76" i="1"/>
  <c r="L79" i="1" s="1"/>
  <c r="L78" i="1"/>
  <c r="Q75" i="1"/>
  <c r="N76" i="1"/>
  <c r="P77" i="1"/>
  <c r="P78" i="1"/>
  <c r="N79" i="1"/>
  <c r="P74" i="1"/>
  <c r="Q77" i="1"/>
  <c r="P79" i="1"/>
  <c r="P16" i="1"/>
  <c r="N17" i="1"/>
  <c r="P17" i="1"/>
  <c r="P13" i="1"/>
  <c r="E2939" i="1" l="1"/>
  <c r="E3454" i="1" l="1"/>
  <c r="E3392" i="1"/>
  <c r="E3343" i="1"/>
  <c r="E3263" i="1"/>
  <c r="E3216" i="1"/>
  <c r="E3111" i="1"/>
  <c r="E3030" i="1"/>
  <c r="E2983" i="1"/>
  <c r="E2936" i="1"/>
  <c r="E2800" i="1"/>
  <c r="O63" i="1"/>
  <c r="Q63" i="1" s="1"/>
  <c r="M63" i="1"/>
  <c r="E63" i="1"/>
  <c r="F63" i="1" s="1"/>
  <c r="O123" i="1"/>
  <c r="Q123" i="1" s="1"/>
  <c r="M123" i="1"/>
  <c r="E123" i="1"/>
  <c r="F123" i="1" s="1"/>
  <c r="O156" i="1"/>
  <c r="Q156" i="1" s="1"/>
  <c r="M156" i="1"/>
  <c r="E156" i="1"/>
  <c r="F156" i="1" s="1"/>
  <c r="O287" i="1"/>
  <c r="Q287" i="1" s="1"/>
  <c r="M287" i="1"/>
  <c r="E287" i="1"/>
  <c r="F287" i="1" s="1"/>
  <c r="O364" i="1"/>
  <c r="Q364" i="1" s="1"/>
  <c r="M364" i="1"/>
  <c r="E364" i="1"/>
  <c r="F364" i="1" s="1"/>
  <c r="O471" i="1"/>
  <c r="Q471" i="1" s="1"/>
  <c r="M471" i="1"/>
  <c r="E471" i="1"/>
  <c r="F471" i="1" s="1"/>
  <c r="O533" i="1"/>
  <c r="Q533" i="1" s="1"/>
  <c r="M533" i="1"/>
  <c r="E533" i="1"/>
  <c r="F533" i="1" s="1"/>
  <c r="O662" i="1"/>
  <c r="Q662" i="1" s="1"/>
  <c r="M662" i="1"/>
  <c r="E662" i="1"/>
  <c r="F662" i="1" s="1"/>
  <c r="O732" i="1"/>
  <c r="Q732" i="1" s="1"/>
  <c r="E732" i="1"/>
  <c r="F732" i="1" s="1"/>
  <c r="O784" i="1"/>
  <c r="Q784" i="1" s="1"/>
  <c r="E784" i="1"/>
  <c r="F784" i="1" s="1"/>
  <c r="O849" i="1"/>
  <c r="Q849" i="1" s="1"/>
  <c r="M849" i="1"/>
  <c r="E849" i="1"/>
  <c r="F849" i="1" s="1"/>
  <c r="O987" i="1"/>
  <c r="Q987" i="1" s="1"/>
  <c r="E987" i="1"/>
  <c r="F987" i="1" s="1"/>
  <c r="O1030" i="1"/>
  <c r="Q1030" i="1" s="1"/>
  <c r="E1030" i="1"/>
  <c r="F1030" i="1" s="1"/>
  <c r="O1070" i="1"/>
  <c r="Q1070" i="1" s="1"/>
  <c r="M1070" i="1"/>
  <c r="E1070" i="1"/>
  <c r="F1070" i="1" s="1"/>
  <c r="O1141" i="1"/>
  <c r="Q1141" i="1" s="1"/>
  <c r="E1141" i="1"/>
  <c r="F1141" i="1" s="1"/>
  <c r="O1217" i="1"/>
  <c r="Q1217" i="1" s="1"/>
  <c r="M1217" i="1"/>
  <c r="E1217" i="1"/>
  <c r="F1217" i="1" s="1"/>
  <c r="O1279" i="1"/>
  <c r="Q1279" i="1" s="1"/>
  <c r="M1279" i="1"/>
  <c r="E1279" i="1"/>
  <c r="F1279" i="1" s="1"/>
  <c r="O1317" i="1"/>
  <c r="Q1317" i="1" s="1"/>
  <c r="M1317" i="1"/>
  <c r="E1317" i="1"/>
  <c r="F1317" i="1" s="1"/>
  <c r="O1356" i="1"/>
  <c r="Q1356" i="1" s="1"/>
  <c r="M1356" i="1"/>
  <c r="E1356" i="1"/>
  <c r="F1356" i="1" s="1"/>
  <c r="O1394" i="1"/>
  <c r="Q1394" i="1" s="1"/>
  <c r="M1394" i="1"/>
  <c r="E1394" i="1"/>
  <c r="F1394" i="1" s="1"/>
  <c r="O1446" i="1"/>
  <c r="Q1446" i="1" s="1"/>
  <c r="M1446" i="1"/>
  <c r="E1446" i="1"/>
  <c r="F1446" i="1" s="1"/>
  <c r="O1505" i="1"/>
  <c r="Q1505" i="1" s="1"/>
  <c r="M1505" i="1"/>
  <c r="E1505" i="1"/>
  <c r="F1505" i="1" s="1"/>
  <c r="O1565" i="1"/>
  <c r="Q1565" i="1" s="1"/>
  <c r="M1565" i="1"/>
  <c r="E1565" i="1"/>
  <c r="F1565" i="1" s="1"/>
  <c r="O1622" i="1"/>
  <c r="P1622" i="1" s="1"/>
  <c r="M1622" i="1"/>
  <c r="E1622" i="1"/>
  <c r="F1622" i="1" s="1"/>
  <c r="O1677" i="1"/>
  <c r="Q1677" i="1" s="1"/>
  <c r="M1677" i="1"/>
  <c r="E1677" i="1"/>
  <c r="F1677" i="1" s="1"/>
  <c r="O1795" i="1"/>
  <c r="P1795" i="1" s="1"/>
  <c r="M1795" i="1"/>
  <c r="E1795" i="1"/>
  <c r="F1795" i="1" s="1"/>
  <c r="O1877" i="1"/>
  <c r="Q1877" i="1" s="1"/>
  <c r="M1877" i="1"/>
  <c r="E1877" i="1"/>
  <c r="F1877" i="1" s="1"/>
  <c r="O1953" i="1"/>
  <c r="Q1953" i="1" s="1"/>
  <c r="M1953" i="1"/>
  <c r="E1953" i="1"/>
  <c r="F1953" i="1" s="1"/>
  <c r="O2017" i="1"/>
  <c r="Q2017" i="1" s="1"/>
  <c r="M2017" i="1"/>
  <c r="E2017" i="1"/>
  <c r="F2017" i="1" s="1"/>
  <c r="O2076" i="1"/>
  <c r="Q2076" i="1" s="1"/>
  <c r="M2076" i="1"/>
  <c r="E2076" i="1"/>
  <c r="F2076" i="1" s="1"/>
  <c r="O2137" i="1"/>
  <c r="N2137" i="1" s="1"/>
  <c r="M2137" i="1"/>
  <c r="E2137" i="1"/>
  <c r="F2137" i="1" s="1"/>
  <c r="O2217" i="1"/>
  <c r="Q2217" i="1" s="1"/>
  <c r="M2217" i="1"/>
  <c r="E2217" i="1"/>
  <c r="F2217" i="1" s="1"/>
  <c r="O2296" i="1"/>
  <c r="Q2296" i="1" s="1"/>
  <c r="M2296" i="1"/>
  <c r="E2296" i="1"/>
  <c r="F2296" i="1" s="1"/>
  <c r="O2362" i="1"/>
  <c r="Q2362" i="1" s="1"/>
  <c r="M2362" i="1"/>
  <c r="E2362" i="1"/>
  <c r="F2362" i="1" s="1"/>
  <c r="O2496" i="1"/>
  <c r="Q2496" i="1" s="1"/>
  <c r="M2496" i="1"/>
  <c r="E2496" i="1"/>
  <c r="F2496" i="1" s="1"/>
  <c r="O2539" i="1"/>
  <c r="P2539" i="1" s="1"/>
  <c r="M2539" i="1"/>
  <c r="E2539" i="1"/>
  <c r="F2539" i="1" s="1"/>
  <c r="O2578" i="1"/>
  <c r="Q2578" i="1" s="1"/>
  <c r="M2578" i="1"/>
  <c r="E2578" i="1"/>
  <c r="F2578" i="1" s="1"/>
  <c r="O2658" i="1"/>
  <c r="Q2658" i="1" s="1"/>
  <c r="M2658" i="1"/>
  <c r="E2658" i="1"/>
  <c r="F2658" i="1" s="1"/>
  <c r="O2737" i="1"/>
  <c r="Q2737" i="1" s="1"/>
  <c r="M2737" i="1"/>
  <c r="E2737" i="1"/>
  <c r="F2737" i="1" s="1"/>
  <c r="O2802" i="1"/>
  <c r="Q2802" i="1" s="1"/>
  <c r="M2802" i="1"/>
  <c r="E2802" i="1"/>
  <c r="F2802" i="1" s="1"/>
  <c r="O2939" i="1"/>
  <c r="N2939" i="1" s="1"/>
  <c r="M2939" i="1"/>
  <c r="F2939" i="1"/>
  <c r="O2986" i="1"/>
  <c r="Q2986" i="1" s="1"/>
  <c r="M2986" i="1"/>
  <c r="E2986" i="1"/>
  <c r="F2986" i="1" s="1"/>
  <c r="O3033" i="1"/>
  <c r="Q3033" i="1" s="1"/>
  <c r="M3033" i="1"/>
  <c r="E3033" i="1"/>
  <c r="F3033" i="1" s="1"/>
  <c r="O3113" i="1"/>
  <c r="Q3113" i="1" s="1"/>
  <c r="M3113" i="1"/>
  <c r="E3113" i="1"/>
  <c r="F3113" i="1" s="1"/>
  <c r="O3218" i="1"/>
  <c r="Q3218" i="1" s="1"/>
  <c r="M3218" i="1"/>
  <c r="E3218" i="1"/>
  <c r="F3218" i="1" s="1"/>
  <c r="O3266" i="1"/>
  <c r="Q3266" i="1" s="1"/>
  <c r="M3266" i="1"/>
  <c r="E3266" i="1"/>
  <c r="F3266" i="1" s="1"/>
  <c r="O3345" i="1"/>
  <c r="Q3345" i="1" s="1"/>
  <c r="M3345" i="1"/>
  <c r="E3345" i="1"/>
  <c r="F3345" i="1" s="1"/>
  <c r="O3394" i="1"/>
  <c r="Q3394" i="1" s="1"/>
  <c r="E3394" i="1"/>
  <c r="F3394" i="1" s="1"/>
  <c r="E3456" i="1"/>
  <c r="F3456" i="1" s="1"/>
  <c r="O3456" i="1"/>
  <c r="Q3456" i="1" s="1"/>
  <c r="N63" i="1" l="1"/>
  <c r="P63" i="1"/>
  <c r="N123" i="1"/>
  <c r="P123" i="1"/>
  <c r="N156" i="1"/>
  <c r="P156" i="1"/>
  <c r="N287" i="1"/>
  <c r="P287" i="1"/>
  <c r="N364" i="1"/>
  <c r="P364" i="1"/>
  <c r="N471" i="1"/>
  <c r="P471" i="1"/>
  <c r="N533" i="1"/>
  <c r="P533" i="1"/>
  <c r="N662" i="1"/>
  <c r="P662" i="1"/>
  <c r="P732" i="1"/>
  <c r="N732" i="1"/>
  <c r="N784" i="1"/>
  <c r="P784" i="1"/>
  <c r="N849" i="1"/>
  <c r="P849" i="1"/>
  <c r="N987" i="1"/>
  <c r="P987" i="1"/>
  <c r="N1030" i="1"/>
  <c r="N1141" i="1"/>
  <c r="P1030" i="1"/>
  <c r="N1070" i="1"/>
  <c r="P1070" i="1"/>
  <c r="P1141" i="1"/>
  <c r="N1217" i="1"/>
  <c r="P1217" i="1"/>
  <c r="N1279" i="1"/>
  <c r="P1279" i="1"/>
  <c r="N1317" i="1"/>
  <c r="P1317" i="1"/>
  <c r="N1356" i="1"/>
  <c r="P1356" i="1"/>
  <c r="N1394" i="1"/>
  <c r="P1394" i="1"/>
  <c r="N1446" i="1"/>
  <c r="N1505" i="1"/>
  <c r="P1446" i="1"/>
  <c r="P1505" i="1"/>
  <c r="N1565" i="1"/>
  <c r="P1565" i="1"/>
  <c r="Q1622" i="1"/>
  <c r="N1622" i="1"/>
  <c r="N1677" i="1"/>
  <c r="P1677" i="1"/>
  <c r="Q1795" i="1"/>
  <c r="N1795" i="1"/>
  <c r="N1877" i="1"/>
  <c r="P1877" i="1"/>
  <c r="N1953" i="1"/>
  <c r="P1953" i="1"/>
  <c r="N2017" i="1"/>
  <c r="P2017" i="1"/>
  <c r="N2076" i="1"/>
  <c r="P2137" i="1"/>
  <c r="P2076" i="1"/>
  <c r="Q2137" i="1"/>
  <c r="N2217" i="1"/>
  <c r="P2217" i="1"/>
  <c r="N2296" i="1"/>
  <c r="P2296" i="1"/>
  <c r="N2362" i="1"/>
  <c r="P2362" i="1"/>
  <c r="N2496" i="1"/>
  <c r="P2578" i="1"/>
  <c r="P2496" i="1"/>
  <c r="Q2539" i="1"/>
  <c r="N2539" i="1"/>
  <c r="N2578" i="1"/>
  <c r="N2658" i="1"/>
  <c r="P2658" i="1"/>
  <c r="N2737" i="1"/>
  <c r="P2737" i="1"/>
  <c r="N2802" i="1"/>
  <c r="P2939" i="1"/>
  <c r="P2802" i="1"/>
  <c r="Q2939" i="1"/>
  <c r="N2986" i="1"/>
  <c r="P2986" i="1"/>
  <c r="N3033" i="1"/>
  <c r="P3033" i="1"/>
  <c r="N3113" i="1"/>
  <c r="P3113" i="1"/>
  <c r="N3218" i="1"/>
  <c r="P3218" i="1"/>
  <c r="N3266" i="1"/>
  <c r="P3266" i="1"/>
  <c r="N3345" i="1"/>
  <c r="P3345" i="1"/>
  <c r="N3394" i="1"/>
  <c r="P3394" i="1"/>
  <c r="P3456" i="1"/>
  <c r="N3456" i="1"/>
  <c r="M498" i="1" l="1"/>
  <c r="M499" i="1"/>
  <c r="M500" i="1"/>
  <c r="M501" i="1"/>
  <c r="M502" i="1"/>
  <c r="M503" i="1"/>
  <c r="M504" i="1"/>
  <c r="M505" i="1"/>
  <c r="M506" i="1"/>
  <c r="M507" i="1"/>
  <c r="M508" i="1"/>
  <c r="M509" i="1"/>
  <c r="M510" i="1"/>
  <c r="M511" i="1"/>
  <c r="M512" i="1"/>
  <c r="M513" i="1"/>
  <c r="M514" i="1"/>
  <c r="M515" i="1"/>
  <c r="M486" i="1"/>
  <c r="M487" i="1"/>
  <c r="M488" i="1"/>
  <c r="M490" i="1"/>
  <c r="M491" i="1"/>
  <c r="M492" i="1"/>
  <c r="M493" i="1"/>
  <c r="M494" i="1"/>
  <c r="M495" i="1"/>
  <c r="M496" i="1"/>
  <c r="M497" i="1"/>
  <c r="M428" i="1"/>
  <c r="M429" i="1"/>
  <c r="M430" i="1"/>
  <c r="M431" i="1"/>
  <c r="M432" i="1"/>
  <c r="M433" i="1"/>
  <c r="M434" i="1"/>
  <c r="M435" i="1"/>
  <c r="M436" i="1"/>
  <c r="M437" i="1"/>
  <c r="M438" i="1"/>
  <c r="M439" i="1"/>
  <c r="M440" i="1"/>
  <c r="M441" i="1"/>
  <c r="M442" i="1"/>
  <c r="M443" i="1"/>
  <c r="M444" i="1"/>
  <c r="M445" i="1"/>
  <c r="M446" i="1"/>
  <c r="M358" i="1"/>
  <c r="M359" i="1"/>
  <c r="M360" i="1"/>
  <c r="M361" i="1"/>
  <c r="M362" i="1"/>
  <c r="M363" i="1"/>
  <c r="M366" i="1"/>
  <c r="M315" i="1"/>
  <c r="M316" i="1"/>
  <c r="M317" i="1"/>
  <c r="M318" i="1"/>
  <c r="M319" i="1"/>
  <c r="M320" i="1"/>
  <c r="M321" i="1"/>
  <c r="M302" i="1"/>
  <c r="M303" i="1"/>
  <c r="M304" i="1"/>
  <c r="M305" i="1"/>
  <c r="M306" i="1"/>
  <c r="M307" i="1"/>
  <c r="M308" i="1"/>
  <c r="M309" i="1"/>
  <c r="M310" i="1"/>
  <c r="M311" i="1"/>
  <c r="M312" i="1"/>
  <c r="M313" i="1"/>
  <c r="M242" i="1"/>
  <c r="M243" i="1"/>
  <c r="M244" i="1"/>
  <c r="M245" i="1"/>
  <c r="M246" i="1"/>
  <c r="M247" i="1"/>
  <c r="M214" i="1"/>
  <c r="M215" i="1"/>
  <c r="M216" i="1"/>
  <c r="M217" i="1"/>
  <c r="M218" i="1"/>
  <c r="M219" i="1"/>
  <c r="M220" i="1"/>
  <c r="M221" i="1"/>
  <c r="M222" i="1"/>
  <c r="M223" i="1"/>
  <c r="M224" i="1"/>
  <c r="M225" i="1"/>
  <c r="M171" i="1"/>
  <c r="M172" i="1"/>
  <c r="M173" i="1"/>
  <c r="M174" i="1"/>
  <c r="M175" i="1"/>
  <c r="M176" i="1"/>
  <c r="M138" i="1"/>
  <c r="M139" i="1"/>
  <c r="M140" i="1"/>
  <c r="M141" i="1"/>
  <c r="M142" i="1"/>
  <c r="M143" i="1"/>
  <c r="M144" i="1"/>
  <c r="M145" i="1"/>
  <c r="M146" i="1"/>
  <c r="M147" i="1"/>
  <c r="M148" i="1"/>
  <c r="M149" i="1"/>
  <c r="M150" i="1"/>
  <c r="M100" i="1"/>
  <c r="M101" i="1"/>
  <c r="M102" i="1"/>
  <c r="M103" i="1"/>
  <c r="M104" i="1"/>
  <c r="M105" i="1"/>
  <c r="M106" i="1"/>
  <c r="M107" i="1"/>
  <c r="M108" i="1"/>
  <c r="M109" i="1"/>
  <c r="M110" i="1"/>
  <c r="M111" i="1"/>
  <c r="M112" i="1"/>
  <c r="M113" i="1"/>
  <c r="M114" i="1"/>
  <c r="M115" i="1"/>
  <c r="M116" i="1"/>
  <c r="M117" i="1"/>
  <c r="M118" i="1"/>
  <c r="M119" i="1"/>
  <c r="M121" i="1"/>
  <c r="M81" i="1"/>
  <c r="M82" i="1"/>
  <c r="M83" i="1"/>
  <c r="M84" i="1"/>
  <c r="M85" i="1"/>
  <c r="M86" i="1"/>
  <c r="M87" i="1"/>
  <c r="M88" i="1"/>
  <c r="M89" i="1"/>
  <c r="M90" i="1"/>
  <c r="M91" i="1"/>
  <c r="M92" i="1"/>
  <c r="M93" i="1"/>
  <c r="M94" i="1"/>
  <c r="M95" i="1"/>
  <c r="M96" i="1"/>
  <c r="M97" i="1"/>
  <c r="M98" i="1"/>
  <c r="M14" i="1"/>
  <c r="M15" i="1"/>
  <c r="M18" i="1"/>
  <c r="M19" i="1"/>
  <c r="M20" i="1"/>
  <c r="M21" i="1"/>
  <c r="M22" i="1"/>
  <c r="M23" i="1"/>
  <c r="M24" i="1"/>
  <c r="M25" i="1"/>
  <c r="O3012" i="1" l="1"/>
  <c r="Q3012" i="1" s="1"/>
  <c r="M3012" i="1"/>
  <c r="C3012" i="1"/>
  <c r="M3048" i="1"/>
  <c r="M3049" i="1"/>
  <c r="M3050" i="1"/>
  <c r="M3051" i="1"/>
  <c r="M3052" i="1"/>
  <c r="M3053" i="1"/>
  <c r="M3054" i="1"/>
  <c r="M3056" i="1"/>
  <c r="M3057" i="1"/>
  <c r="M3058" i="1"/>
  <c r="M3059" i="1"/>
  <c r="M3060" i="1"/>
  <c r="M3061" i="1"/>
  <c r="M3062" i="1"/>
  <c r="M3063" i="1"/>
  <c r="M3064" i="1"/>
  <c r="M3065" i="1"/>
  <c r="M3066" i="1"/>
  <c r="M3067" i="1"/>
  <c r="M3068" i="1"/>
  <c r="M3103" i="1"/>
  <c r="M3104" i="1"/>
  <c r="M3105" i="1"/>
  <c r="M3106" i="1"/>
  <c r="M3107" i="1"/>
  <c r="M3108" i="1"/>
  <c r="M3109" i="1"/>
  <c r="M3110" i="1"/>
  <c r="M3111" i="1"/>
  <c r="M3112" i="1"/>
  <c r="M3115" i="1"/>
  <c r="O2107" i="1"/>
  <c r="Q2107" i="1" s="1"/>
  <c r="M2107" i="1"/>
  <c r="C2107" i="1"/>
  <c r="O2048" i="1"/>
  <c r="Q2048" i="1" s="1"/>
  <c r="M2048" i="1"/>
  <c r="C2048" i="1"/>
  <c r="O1708" i="1"/>
  <c r="Q1708" i="1" s="1"/>
  <c r="M1708" i="1"/>
  <c r="C1708" i="1"/>
  <c r="O1736" i="1"/>
  <c r="N1736" i="1" s="1"/>
  <c r="M1736" i="1"/>
  <c r="E1736" i="1"/>
  <c r="F1736" i="1" s="1"/>
  <c r="P3012" i="1" l="1"/>
  <c r="P2107" i="1"/>
  <c r="P2048" i="1"/>
  <c r="P1708" i="1"/>
  <c r="P1736" i="1"/>
  <c r="Q1736" i="1"/>
  <c r="C3014" i="1" l="1"/>
  <c r="O3014" i="1"/>
  <c r="Q3014" i="1" s="1"/>
  <c r="M3014" i="1"/>
  <c r="O3036" i="1"/>
  <c r="Q3036" i="1" s="1"/>
  <c r="O3035" i="1"/>
  <c r="Q3035" i="1" s="1"/>
  <c r="M3035" i="1"/>
  <c r="F3035" i="1"/>
  <c r="O3032" i="1"/>
  <c r="P3032" i="1" s="1"/>
  <c r="M3032" i="1"/>
  <c r="F3032" i="1"/>
  <c r="O3031" i="1"/>
  <c r="N3031" i="1" s="1"/>
  <c r="M3031" i="1"/>
  <c r="E3031" i="1"/>
  <c r="F3031" i="1" s="1"/>
  <c r="C3031" i="1"/>
  <c r="O3030" i="1"/>
  <c r="P3030" i="1" s="1"/>
  <c r="M3030" i="1"/>
  <c r="F3030" i="1"/>
  <c r="C3030" i="1"/>
  <c r="O3029" i="1"/>
  <c r="Q3029" i="1" s="1"/>
  <c r="M3029" i="1"/>
  <c r="O3028" i="1"/>
  <c r="P3028" i="1" s="1"/>
  <c r="M3028" i="1"/>
  <c r="O3027" i="1"/>
  <c r="Q3027" i="1" s="1"/>
  <c r="M3027" i="1"/>
  <c r="O3026" i="1"/>
  <c r="P3026" i="1" s="1"/>
  <c r="M3026" i="1"/>
  <c r="C3026" i="1"/>
  <c r="O3025" i="1"/>
  <c r="P3025" i="1" s="1"/>
  <c r="M3025" i="1"/>
  <c r="O3024" i="1"/>
  <c r="P3024" i="1" s="1"/>
  <c r="M3024" i="1"/>
  <c r="C3024" i="1"/>
  <c r="O3023" i="1"/>
  <c r="P3023" i="1" s="1"/>
  <c r="M3023" i="1"/>
  <c r="O3016" i="1"/>
  <c r="Q3016" i="1" s="1"/>
  <c r="M3016" i="1"/>
  <c r="O3015" i="1"/>
  <c r="N3015" i="1" s="1"/>
  <c r="M3015" i="1"/>
  <c r="E3015" i="1"/>
  <c r="F3015" i="1" s="1"/>
  <c r="C3015" i="1"/>
  <c r="O3013" i="1"/>
  <c r="P3013" i="1" s="1"/>
  <c r="M3013" i="1"/>
  <c r="C3013" i="1"/>
  <c r="O3011" i="1"/>
  <c r="P3011" i="1" s="1"/>
  <c r="M3011" i="1"/>
  <c r="O3010" i="1"/>
  <c r="Q3010" i="1" s="1"/>
  <c r="M3010" i="1"/>
  <c r="O3009" i="1"/>
  <c r="N3009" i="1" s="1"/>
  <c r="E3009" i="1"/>
  <c r="C3009" i="1"/>
  <c r="B3009" i="1"/>
  <c r="M3009" i="1" s="1"/>
  <c r="O3008" i="1"/>
  <c r="Q3008" i="1" s="1"/>
  <c r="C3008" i="1"/>
  <c r="B3008" i="1"/>
  <c r="M3008" i="1" s="1"/>
  <c r="O3007" i="1"/>
  <c r="N3007" i="1" s="1"/>
  <c r="E3007" i="1"/>
  <c r="C3007" i="1"/>
  <c r="B3007" i="1"/>
  <c r="M3007" i="1" s="1"/>
  <c r="O3005" i="1"/>
  <c r="Q3005" i="1" s="1"/>
  <c r="M3005" i="1"/>
  <c r="C3005" i="1"/>
  <c r="O3004" i="1"/>
  <c r="N3004" i="1" s="1"/>
  <c r="M3004" i="1"/>
  <c r="O3003" i="1"/>
  <c r="Q3003" i="1" s="1"/>
  <c r="M3003" i="1"/>
  <c r="O3002" i="1"/>
  <c r="P3002" i="1" s="1"/>
  <c r="M3002" i="1"/>
  <c r="C3002" i="1"/>
  <c r="O3001" i="1"/>
  <c r="N3001" i="1" s="1"/>
  <c r="M3001" i="1"/>
  <c r="O2991" i="1"/>
  <c r="Q2991" i="1" s="1"/>
  <c r="M2991" i="1"/>
  <c r="O2990" i="1"/>
  <c r="P2990" i="1" s="1"/>
  <c r="K2990" i="1"/>
  <c r="K2991" i="1" s="1"/>
  <c r="O3430" i="1"/>
  <c r="Q3430" i="1" s="1"/>
  <c r="C3430" i="1"/>
  <c r="O3391" i="1"/>
  <c r="Q3391" i="1" s="1"/>
  <c r="F3377" i="1"/>
  <c r="O3378" i="1"/>
  <c r="Q3378" i="1" s="1"/>
  <c r="O3377" i="1"/>
  <c r="N3377" i="1" s="1"/>
  <c r="O3376" i="1"/>
  <c r="N3376" i="1" s="1"/>
  <c r="E3376" i="1"/>
  <c r="F3376" i="1" s="1"/>
  <c r="C3376" i="1"/>
  <c r="O3375" i="1"/>
  <c r="P3375" i="1" s="1"/>
  <c r="C3375" i="1"/>
  <c r="O3373" i="1"/>
  <c r="Q3373" i="1" s="1"/>
  <c r="O3372" i="1"/>
  <c r="Q3372" i="1" s="1"/>
  <c r="O3371" i="1"/>
  <c r="N3371" i="1" s="1"/>
  <c r="F3371" i="1"/>
  <c r="O3370" i="1"/>
  <c r="P3370" i="1" s="1"/>
  <c r="E3370" i="1"/>
  <c r="F3370" i="1" s="1"/>
  <c r="C3370" i="1"/>
  <c r="O3369" i="1"/>
  <c r="Q3369" i="1" s="1"/>
  <c r="C3369" i="1"/>
  <c r="O3368" i="1"/>
  <c r="C3368" i="1"/>
  <c r="O3367" i="1"/>
  <c r="Q3367" i="1" s="1"/>
  <c r="O3365" i="1"/>
  <c r="Q3365" i="1" s="1"/>
  <c r="F3365" i="1"/>
  <c r="O3364" i="1"/>
  <c r="P3364" i="1" s="1"/>
  <c r="C3364" i="1"/>
  <c r="O3363" i="1"/>
  <c r="N3363" i="1" s="1"/>
  <c r="O3342" i="1"/>
  <c r="Q3342" i="1" s="1"/>
  <c r="M3342" i="1"/>
  <c r="F3300" i="1"/>
  <c r="O3296" i="1"/>
  <c r="Q3296" i="1" s="1"/>
  <c r="M3296" i="1"/>
  <c r="C3296" i="1"/>
  <c r="O3285" i="1"/>
  <c r="Q3285" i="1" s="1"/>
  <c r="M3285" i="1"/>
  <c r="C3285" i="1"/>
  <c r="O3301" i="1"/>
  <c r="N3301" i="1" s="1"/>
  <c r="M3301" i="1"/>
  <c r="O3300" i="1"/>
  <c r="N3300" i="1" s="1"/>
  <c r="M3300" i="1"/>
  <c r="O3299" i="1"/>
  <c r="N3299" i="1" s="1"/>
  <c r="M3299" i="1"/>
  <c r="E3299" i="1"/>
  <c r="F3299" i="1" s="1"/>
  <c r="C3299" i="1"/>
  <c r="O3298" i="1"/>
  <c r="P3298" i="1" s="1"/>
  <c r="M3298" i="1"/>
  <c r="C3298" i="1"/>
  <c r="O3295" i="1"/>
  <c r="N3295" i="1" s="1"/>
  <c r="M3295" i="1"/>
  <c r="O3294" i="1"/>
  <c r="Q3294" i="1" s="1"/>
  <c r="M3294" i="1"/>
  <c r="O3293" i="1"/>
  <c r="N3293" i="1" s="1"/>
  <c r="M3293" i="1"/>
  <c r="F3293" i="1"/>
  <c r="O3292" i="1"/>
  <c r="P3292" i="1" s="1"/>
  <c r="M3292" i="1"/>
  <c r="E3292" i="1"/>
  <c r="F3292" i="1" s="1"/>
  <c r="C3292" i="1"/>
  <c r="O3291" i="1"/>
  <c r="Q3291" i="1" s="1"/>
  <c r="M3291" i="1"/>
  <c r="C3291" i="1"/>
  <c r="O3290" i="1"/>
  <c r="Q3290" i="1" s="1"/>
  <c r="M3290" i="1"/>
  <c r="C3290" i="1"/>
  <c r="O3289" i="1"/>
  <c r="N3289" i="1" s="1"/>
  <c r="M3289" i="1"/>
  <c r="O3287" i="1"/>
  <c r="Q3287" i="1" s="1"/>
  <c r="M3287" i="1"/>
  <c r="F3287" i="1"/>
  <c r="O3286" i="1"/>
  <c r="Q3286" i="1" s="1"/>
  <c r="M3286" i="1"/>
  <c r="C3286" i="1"/>
  <c r="O3284" i="1"/>
  <c r="Q3284" i="1" s="1"/>
  <c r="M3284" i="1"/>
  <c r="O3262" i="1"/>
  <c r="Q3262" i="1" s="1"/>
  <c r="M3262" i="1"/>
  <c r="O3240" i="1"/>
  <c r="Q3240" i="1" s="1"/>
  <c r="M3240" i="1"/>
  <c r="C3240" i="1"/>
  <c r="O3171" i="1"/>
  <c r="Q3171" i="1" s="1"/>
  <c r="M3171" i="1"/>
  <c r="C3171" i="1"/>
  <c r="O3170" i="1"/>
  <c r="Q3170" i="1" s="1"/>
  <c r="M3170" i="1"/>
  <c r="C3170" i="1"/>
  <c r="O3182" i="1"/>
  <c r="P3182" i="1" s="1"/>
  <c r="M3182" i="1"/>
  <c r="O3181" i="1"/>
  <c r="N3181" i="1" s="1"/>
  <c r="M3181" i="1"/>
  <c r="F3181" i="1"/>
  <c r="O3180" i="1"/>
  <c r="N3180" i="1" s="1"/>
  <c r="M3180" i="1"/>
  <c r="E3180" i="1"/>
  <c r="F3180" i="1" s="1"/>
  <c r="C3180" i="1"/>
  <c r="O3179" i="1"/>
  <c r="M3179" i="1"/>
  <c r="C3179" i="1"/>
  <c r="O3178" i="1"/>
  <c r="P3178" i="1" s="1"/>
  <c r="M3178" i="1"/>
  <c r="C3178" i="1"/>
  <c r="O3177" i="1"/>
  <c r="P3177" i="1" s="1"/>
  <c r="M3177" i="1"/>
  <c r="O3176" i="1"/>
  <c r="P3176" i="1" s="1"/>
  <c r="M3176" i="1"/>
  <c r="O3175" i="1"/>
  <c r="P3175" i="1" s="1"/>
  <c r="M3175" i="1"/>
  <c r="F3175" i="1"/>
  <c r="O3174" i="1"/>
  <c r="N3174" i="1" s="1"/>
  <c r="M3174" i="1"/>
  <c r="E3174" i="1"/>
  <c r="F3174" i="1" s="1"/>
  <c r="C3174" i="1"/>
  <c r="O3173" i="1"/>
  <c r="M3173" i="1"/>
  <c r="C3173" i="1"/>
  <c r="O3172" i="1"/>
  <c r="M3172" i="1"/>
  <c r="C3172" i="1"/>
  <c r="O3169" i="1"/>
  <c r="N3169" i="1" s="1"/>
  <c r="M3169" i="1"/>
  <c r="O3167" i="1"/>
  <c r="Q3167" i="1" s="1"/>
  <c r="M3167" i="1"/>
  <c r="F3167" i="1"/>
  <c r="O3166" i="1"/>
  <c r="M3166" i="1"/>
  <c r="C3166" i="1"/>
  <c r="O3165" i="1"/>
  <c r="N3165" i="1" s="1"/>
  <c r="M3165" i="1"/>
  <c r="O3052" i="1"/>
  <c r="Q3052" i="1" s="1"/>
  <c r="C3052" i="1"/>
  <c r="O3053" i="1"/>
  <c r="Q3053" i="1" s="1"/>
  <c r="C3053" i="1"/>
  <c r="O3068" i="1"/>
  <c r="N3068" i="1" s="1"/>
  <c r="O3067" i="1"/>
  <c r="N3067" i="1" s="1"/>
  <c r="F3067" i="1"/>
  <c r="O3066" i="1"/>
  <c r="N3066" i="1" s="1"/>
  <c r="E3066" i="1"/>
  <c r="F3066" i="1" s="1"/>
  <c r="C3066" i="1"/>
  <c r="O3065" i="1"/>
  <c r="C3065" i="1"/>
  <c r="O3064" i="1"/>
  <c r="P3064" i="1" s="1"/>
  <c r="C3064" i="1"/>
  <c r="O3063" i="1"/>
  <c r="Q3063" i="1" s="1"/>
  <c r="C3063" i="1"/>
  <c r="O3062" i="1"/>
  <c r="P3062" i="1" s="1"/>
  <c r="O3061" i="1"/>
  <c r="P3061" i="1" s="1"/>
  <c r="O3060" i="1"/>
  <c r="P3060" i="1" s="1"/>
  <c r="F3060" i="1"/>
  <c r="O3059" i="1"/>
  <c r="N3059" i="1" s="1"/>
  <c r="E3059" i="1"/>
  <c r="F3059" i="1" s="1"/>
  <c r="C3059" i="1"/>
  <c r="O3058" i="1"/>
  <c r="Q3058" i="1" s="1"/>
  <c r="C3058" i="1"/>
  <c r="O3057" i="1"/>
  <c r="C3057" i="1"/>
  <c r="O3056" i="1"/>
  <c r="Q3056" i="1" s="1"/>
  <c r="O3054" i="1"/>
  <c r="N3054" i="1" s="1"/>
  <c r="F3054" i="1"/>
  <c r="O3051" i="1"/>
  <c r="N3051" i="1" s="1"/>
  <c r="O2966" i="1"/>
  <c r="Q2966" i="1" s="1"/>
  <c r="M2966" i="1"/>
  <c r="C2966" i="1"/>
  <c r="O2965" i="1"/>
  <c r="Q2965" i="1" s="1"/>
  <c r="M2965" i="1"/>
  <c r="C2965" i="1"/>
  <c r="O2895" i="1"/>
  <c r="Q2895" i="1" s="1"/>
  <c r="M2895" i="1"/>
  <c r="C2895" i="1"/>
  <c r="K2993" i="1" l="1"/>
  <c r="K2995" i="1" s="1"/>
  <c r="K2997" i="1" s="1"/>
  <c r="K2999" i="1" s="1"/>
  <c r="K3001" i="1" s="1"/>
  <c r="K3003" i="1" s="1"/>
  <c r="K3005" i="1" s="1"/>
  <c r="K3008" i="1" s="1"/>
  <c r="K3010" i="1" s="1"/>
  <c r="K3012" i="1" s="1"/>
  <c r="K3014" i="1" s="1"/>
  <c r="K3016" i="1" s="1"/>
  <c r="K2992" i="1"/>
  <c r="K2994" i="1" s="1"/>
  <c r="K2996" i="1" s="1"/>
  <c r="K2998" i="1" s="1"/>
  <c r="K3000" i="1" s="1"/>
  <c r="K3002" i="1" s="1"/>
  <c r="N2990" i="1"/>
  <c r="F3007" i="1"/>
  <c r="F3009" i="1"/>
  <c r="Q3024" i="1"/>
  <c r="Q2990" i="1"/>
  <c r="N3023" i="1"/>
  <c r="P3014" i="1"/>
  <c r="Q3026" i="1"/>
  <c r="P2991" i="1"/>
  <c r="P3003" i="1"/>
  <c r="P3004" i="1"/>
  <c r="Q3011" i="1"/>
  <c r="Q3015" i="1"/>
  <c r="Q3028" i="1"/>
  <c r="Q3001" i="1"/>
  <c r="Q3004" i="1"/>
  <c r="N3025" i="1"/>
  <c r="N2991" i="1"/>
  <c r="N3003" i="1"/>
  <c r="Q3007" i="1"/>
  <c r="N3011" i="1"/>
  <c r="Q3023" i="1"/>
  <c r="N3028" i="1"/>
  <c r="N3032" i="1"/>
  <c r="Q3002" i="1"/>
  <c r="P3001" i="1"/>
  <c r="P3007" i="1"/>
  <c r="N3008" i="1"/>
  <c r="P3009" i="1"/>
  <c r="N3010" i="1"/>
  <c r="Q3013" i="1"/>
  <c r="P3015" i="1"/>
  <c r="N3016" i="1"/>
  <c r="Q3025" i="1"/>
  <c r="N3027" i="1"/>
  <c r="N3029" i="1"/>
  <c r="Q3030" i="1"/>
  <c r="P3031" i="1"/>
  <c r="Q3032" i="1"/>
  <c r="N3035" i="1"/>
  <c r="N3036" i="1"/>
  <c r="Q3009" i="1"/>
  <c r="N3030" i="1"/>
  <c r="Q3031" i="1"/>
  <c r="N3373" i="1"/>
  <c r="P3005" i="1"/>
  <c r="P3008" i="1"/>
  <c r="P3010" i="1"/>
  <c r="P3016" i="1"/>
  <c r="P3027" i="1"/>
  <c r="P3029" i="1"/>
  <c r="P3035" i="1"/>
  <c r="P3036" i="1"/>
  <c r="P3430" i="1"/>
  <c r="N3391" i="1"/>
  <c r="P3391" i="1"/>
  <c r="N3367" i="1"/>
  <c r="N3372" i="1"/>
  <c r="P3377" i="1"/>
  <c r="N3365" i="1"/>
  <c r="Q3364" i="1"/>
  <c r="P3371" i="1"/>
  <c r="Q3377" i="1"/>
  <c r="P3365" i="1"/>
  <c r="P3369" i="1"/>
  <c r="Q3371" i="1"/>
  <c r="P3372" i="1"/>
  <c r="P3373" i="1"/>
  <c r="P3367" i="1"/>
  <c r="N3378" i="1"/>
  <c r="Q3370" i="1"/>
  <c r="P3363" i="1"/>
  <c r="P3368" i="1"/>
  <c r="N3370" i="1"/>
  <c r="Q3375" i="1"/>
  <c r="P3376" i="1"/>
  <c r="Q3363" i="1"/>
  <c r="Q3368" i="1"/>
  <c r="Q3376" i="1"/>
  <c r="P3378" i="1"/>
  <c r="N3342" i="1"/>
  <c r="P3342" i="1"/>
  <c r="P3295" i="1"/>
  <c r="P3296" i="1"/>
  <c r="P3293" i="1"/>
  <c r="Q3295" i="1"/>
  <c r="P3301" i="1"/>
  <c r="P3284" i="1"/>
  <c r="Q3293" i="1"/>
  <c r="P3287" i="1"/>
  <c r="P3289" i="1"/>
  <c r="P3291" i="1"/>
  <c r="N3284" i="1"/>
  <c r="Q3289" i="1"/>
  <c r="N3287" i="1"/>
  <c r="N3294" i="1"/>
  <c r="Q3301" i="1"/>
  <c r="P3285" i="1"/>
  <c r="Q3292" i="1"/>
  <c r="P3294" i="1"/>
  <c r="Q3298" i="1"/>
  <c r="P3300" i="1"/>
  <c r="P3286" i="1"/>
  <c r="P3290" i="1"/>
  <c r="N3292" i="1"/>
  <c r="P3299" i="1"/>
  <c r="Q3300" i="1"/>
  <c r="Q3299" i="1"/>
  <c r="N3262" i="1"/>
  <c r="P3262" i="1"/>
  <c r="P3240" i="1"/>
  <c r="Q3169" i="1"/>
  <c r="P3171" i="1"/>
  <c r="Q3177" i="1"/>
  <c r="P3169" i="1"/>
  <c r="P3174" i="1"/>
  <c r="N3175" i="1"/>
  <c r="P3170" i="1"/>
  <c r="Q3174" i="1"/>
  <c r="N3167" i="1"/>
  <c r="Q3175" i="1"/>
  <c r="N3177" i="1"/>
  <c r="Q3182" i="1"/>
  <c r="P3165" i="1"/>
  <c r="P3172" i="1"/>
  <c r="Q3176" i="1"/>
  <c r="Q3178" i="1"/>
  <c r="P3179" i="1"/>
  <c r="P3181" i="1"/>
  <c r="N3182" i="1"/>
  <c r="Q3165" i="1"/>
  <c r="P3166" i="1"/>
  <c r="P3167" i="1"/>
  <c r="Q3172" i="1"/>
  <c r="P3173" i="1"/>
  <c r="N3176" i="1"/>
  <c r="Q3179" i="1"/>
  <c r="P3180" i="1"/>
  <c r="Q3181" i="1"/>
  <c r="Q3166" i="1"/>
  <c r="Q3173" i="1"/>
  <c r="Q3180" i="1"/>
  <c r="P3059" i="1"/>
  <c r="N3056" i="1"/>
  <c r="N3060" i="1"/>
  <c r="Q3062" i="1"/>
  <c r="P3063" i="1"/>
  <c r="P3052" i="1"/>
  <c r="Q3054" i="1"/>
  <c r="Q3051" i="1"/>
  <c r="P3068" i="1"/>
  <c r="Q3059" i="1"/>
  <c r="P3051" i="1"/>
  <c r="P3054" i="1"/>
  <c r="Q3060" i="1"/>
  <c r="N3062" i="1"/>
  <c r="Q3068" i="1"/>
  <c r="P3053" i="1"/>
  <c r="Q3061" i="1"/>
  <c r="Q3064" i="1"/>
  <c r="P3065" i="1"/>
  <c r="P3067" i="1"/>
  <c r="P3057" i="1"/>
  <c r="P3056" i="1"/>
  <c r="Q3057" i="1"/>
  <c r="P3058" i="1"/>
  <c r="N3061" i="1"/>
  <c r="Q3065" i="1"/>
  <c r="P3066" i="1"/>
  <c r="Q3067" i="1"/>
  <c r="Q3066" i="1"/>
  <c r="P2966" i="1"/>
  <c r="P2965" i="1"/>
  <c r="P2895" i="1"/>
  <c r="O2909" i="1"/>
  <c r="Q2909" i="1" s="1"/>
  <c r="M2909" i="1"/>
  <c r="O2905" i="1"/>
  <c r="Q2905" i="1" s="1"/>
  <c r="M2905" i="1"/>
  <c r="O2904" i="1"/>
  <c r="Q2904" i="1" s="1"/>
  <c r="M2904" i="1"/>
  <c r="C2904" i="1"/>
  <c r="O2903" i="1"/>
  <c r="N2903" i="1" s="1"/>
  <c r="M2903" i="1"/>
  <c r="E2903" i="1"/>
  <c r="F2903" i="1" s="1"/>
  <c r="C2903" i="1"/>
  <c r="O2902" i="1"/>
  <c r="M2902" i="1"/>
  <c r="C2902" i="1"/>
  <c r="O2901" i="1"/>
  <c r="P2901" i="1" s="1"/>
  <c r="M2901" i="1"/>
  <c r="C2901" i="1"/>
  <c r="O2900" i="1"/>
  <c r="N2900" i="1" s="1"/>
  <c r="M2900" i="1"/>
  <c r="K3024" i="1" l="1"/>
  <c r="K3026" i="1" s="1"/>
  <c r="K3028" i="1" s="1"/>
  <c r="K3030" i="1" s="1"/>
  <c r="K3032" i="1" s="1"/>
  <c r="K3034" i="1" s="1"/>
  <c r="K3017" i="1"/>
  <c r="K3018" i="1" s="1"/>
  <c r="K3004" i="1"/>
  <c r="K3007" i="1" s="1"/>
  <c r="K3009" i="1" s="1"/>
  <c r="K3011" i="1" s="1"/>
  <c r="K3013" i="1" s="1"/>
  <c r="K3015" i="1" s="1"/>
  <c r="K3023" i="1" s="1"/>
  <c r="K3025" i="1" s="1"/>
  <c r="K3027" i="1" s="1"/>
  <c r="K3029" i="1" s="1"/>
  <c r="K3031" i="1" s="1"/>
  <c r="K3033" i="1" s="1"/>
  <c r="K3006" i="1"/>
  <c r="N3006" i="1" s="1"/>
  <c r="N2994" i="1"/>
  <c r="N2996" i="1"/>
  <c r="N2993" i="1"/>
  <c r="N3002" i="1"/>
  <c r="N2909" i="1"/>
  <c r="P2909" i="1"/>
  <c r="N2905" i="1"/>
  <c r="P2905" i="1"/>
  <c r="Q2900" i="1"/>
  <c r="P2900" i="1"/>
  <c r="N2904" i="1"/>
  <c r="Q2901" i="1"/>
  <c r="P2902" i="1"/>
  <c r="Q2902" i="1"/>
  <c r="P2903" i="1"/>
  <c r="Q2903" i="1"/>
  <c r="P2904" i="1"/>
  <c r="K3035" i="1" l="1"/>
  <c r="K3019" i="1"/>
  <c r="N3018" i="1"/>
  <c r="N3012" i="1"/>
  <c r="N3005" i="1"/>
  <c r="K3020" i="1" l="1"/>
  <c r="K3021" i="1" s="1"/>
  <c r="K3022" i="1" s="1"/>
  <c r="N3019" i="1"/>
  <c r="N3014" i="1"/>
  <c r="N3013" i="1" l="1"/>
  <c r="N3024" i="1" l="1"/>
  <c r="N3026" i="1" l="1"/>
  <c r="O2708" i="1" l="1"/>
  <c r="Q2708" i="1" s="1"/>
  <c r="M2708" i="1"/>
  <c r="C2708" i="1"/>
  <c r="O2713" i="1"/>
  <c r="N2713" i="1" s="1"/>
  <c r="M2713" i="1"/>
  <c r="O2712" i="1"/>
  <c r="N2712" i="1" s="1"/>
  <c r="M2712" i="1"/>
  <c r="F2712" i="1"/>
  <c r="O2711" i="1"/>
  <c r="N2711" i="1" s="1"/>
  <c r="M2711" i="1"/>
  <c r="E2711" i="1"/>
  <c r="F2711" i="1" s="1"/>
  <c r="C2711" i="1"/>
  <c r="O2710" i="1"/>
  <c r="M2710" i="1"/>
  <c r="C2710" i="1"/>
  <c r="O2709" i="1"/>
  <c r="P2709" i="1" s="1"/>
  <c r="M2709" i="1"/>
  <c r="C2709" i="1"/>
  <c r="O2707" i="1"/>
  <c r="N2707" i="1" s="1"/>
  <c r="M2707" i="1"/>
  <c r="O2706" i="1"/>
  <c r="Q2706" i="1" s="1"/>
  <c r="M2706" i="1"/>
  <c r="O2705" i="1"/>
  <c r="N2705" i="1" s="1"/>
  <c r="M2705" i="1"/>
  <c r="F2705" i="1"/>
  <c r="O2704" i="1"/>
  <c r="P2704" i="1" s="1"/>
  <c r="M2704" i="1"/>
  <c r="E2704" i="1"/>
  <c r="F2704" i="1" s="1"/>
  <c r="C2704" i="1"/>
  <c r="O2703" i="1"/>
  <c r="Q2703" i="1" s="1"/>
  <c r="M2703" i="1"/>
  <c r="C2703" i="1"/>
  <c r="O2702" i="1"/>
  <c r="M2702" i="1"/>
  <c r="C2702" i="1"/>
  <c r="O2701" i="1"/>
  <c r="Q2701" i="1" s="1"/>
  <c r="M2701" i="1"/>
  <c r="C2701" i="1"/>
  <c r="O2700" i="1"/>
  <c r="P2700" i="1" s="1"/>
  <c r="M2700" i="1"/>
  <c r="C2700" i="1"/>
  <c r="O2699" i="1"/>
  <c r="P2699" i="1" s="1"/>
  <c r="M2699" i="1"/>
  <c r="O2697" i="1"/>
  <c r="Q2697" i="1" s="1"/>
  <c r="M2697" i="1"/>
  <c r="F2697" i="1"/>
  <c r="O2696" i="1"/>
  <c r="M2696" i="1"/>
  <c r="C2696" i="1"/>
  <c r="O2695" i="1"/>
  <c r="Q2695" i="1" s="1"/>
  <c r="M2695" i="1"/>
  <c r="O2595" i="1"/>
  <c r="Q2595" i="1" s="1"/>
  <c r="M2595" i="1"/>
  <c r="L2595" i="1"/>
  <c r="C2595" i="1"/>
  <c r="O2614" i="1"/>
  <c r="Q2614" i="1" s="1"/>
  <c r="M2614" i="1"/>
  <c r="O2613" i="1"/>
  <c r="N2613" i="1" s="1"/>
  <c r="M2613" i="1"/>
  <c r="F2613" i="1"/>
  <c r="O2612" i="1"/>
  <c r="N2612" i="1" s="1"/>
  <c r="M2612" i="1"/>
  <c r="E2612" i="1"/>
  <c r="F2612" i="1" s="1"/>
  <c r="C2612" i="1"/>
  <c r="O2611" i="1"/>
  <c r="M2611" i="1"/>
  <c r="C2611" i="1"/>
  <c r="O2610" i="1"/>
  <c r="P2610" i="1" s="1"/>
  <c r="M2610" i="1"/>
  <c r="C2610" i="1"/>
  <c r="O2609" i="1"/>
  <c r="P2609" i="1" s="1"/>
  <c r="M2609" i="1"/>
  <c r="O2608" i="1"/>
  <c r="P2608" i="1" s="1"/>
  <c r="M2608" i="1"/>
  <c r="O2607" i="1"/>
  <c r="P2607" i="1" s="1"/>
  <c r="M2607" i="1"/>
  <c r="F2607" i="1"/>
  <c r="O2606" i="1"/>
  <c r="Q2606" i="1" s="1"/>
  <c r="M2606" i="1"/>
  <c r="E2606" i="1"/>
  <c r="F2606" i="1" s="1"/>
  <c r="C2606" i="1"/>
  <c r="O2605" i="1"/>
  <c r="M2605" i="1"/>
  <c r="C2605" i="1"/>
  <c r="O2604" i="1"/>
  <c r="M2604" i="1"/>
  <c r="C2604" i="1"/>
  <c r="O2603" i="1"/>
  <c r="Q2603" i="1" s="1"/>
  <c r="M2603" i="1"/>
  <c r="C2603" i="1"/>
  <c r="O2602" i="1"/>
  <c r="P2602" i="1" s="1"/>
  <c r="M2602" i="1"/>
  <c r="C2602" i="1"/>
  <c r="O2601" i="1"/>
  <c r="Q2601" i="1" s="1"/>
  <c r="M2601" i="1"/>
  <c r="O2599" i="1"/>
  <c r="N2599" i="1" s="1"/>
  <c r="M2599" i="1"/>
  <c r="F2599" i="1"/>
  <c r="O2598" i="1"/>
  <c r="M2598" i="1"/>
  <c r="C2598" i="1"/>
  <c r="O2597" i="1"/>
  <c r="N2597" i="1" s="1"/>
  <c r="M2597" i="1"/>
  <c r="O2517" i="1"/>
  <c r="Q2517" i="1" s="1"/>
  <c r="M2517" i="1"/>
  <c r="C2517" i="1"/>
  <c r="O2513" i="1"/>
  <c r="Q2513" i="1" s="1"/>
  <c r="M2513" i="1"/>
  <c r="C2513" i="1"/>
  <c r="O2492" i="1"/>
  <c r="Q2492" i="1" s="1"/>
  <c r="M2492" i="1"/>
  <c r="O2468" i="1"/>
  <c r="Q2468" i="1" s="1"/>
  <c r="M2468" i="1"/>
  <c r="C2468" i="1"/>
  <c r="O2466" i="1"/>
  <c r="Q2466" i="1" s="1"/>
  <c r="M2466" i="1"/>
  <c r="C2466" i="1"/>
  <c r="O2454" i="1"/>
  <c r="Q2454" i="1" s="1"/>
  <c r="M2454" i="1"/>
  <c r="C2454" i="1"/>
  <c r="O2431" i="1"/>
  <c r="Q2431" i="1" s="1"/>
  <c r="M2431" i="1"/>
  <c r="O2394" i="1"/>
  <c r="Q2394" i="1" s="1"/>
  <c r="M2394" i="1"/>
  <c r="C2394" i="1"/>
  <c r="O2381" i="1"/>
  <c r="Q2381" i="1" s="1"/>
  <c r="M2381" i="1"/>
  <c r="C2381" i="1"/>
  <c r="O2359" i="1"/>
  <c r="Q2359" i="1" s="1"/>
  <c r="M2359" i="1"/>
  <c r="O2340" i="1"/>
  <c r="Q2340" i="1" s="1"/>
  <c r="M2340" i="1"/>
  <c r="C2340" i="1"/>
  <c r="O2339" i="1"/>
  <c r="M2339" i="1"/>
  <c r="C2339" i="1"/>
  <c r="O2293" i="1"/>
  <c r="Q2293" i="1" s="1"/>
  <c r="M2293" i="1"/>
  <c r="O2272" i="1"/>
  <c r="Q2272" i="1" s="1"/>
  <c r="M2272" i="1"/>
  <c r="O2271" i="1"/>
  <c r="N2271" i="1" s="1"/>
  <c r="M2271" i="1"/>
  <c r="F2271" i="1"/>
  <c r="O2270" i="1"/>
  <c r="N2270" i="1" s="1"/>
  <c r="M2270" i="1"/>
  <c r="E2270" i="1"/>
  <c r="F2270" i="1" s="1"/>
  <c r="C2270" i="1"/>
  <c r="O2269" i="1"/>
  <c r="M2269" i="1"/>
  <c r="C2269" i="1"/>
  <c r="O2268" i="1"/>
  <c r="P2268" i="1" s="1"/>
  <c r="M2268" i="1"/>
  <c r="C2268" i="1"/>
  <c r="O2267" i="1"/>
  <c r="P2267" i="1" s="1"/>
  <c r="M2267" i="1"/>
  <c r="C2267" i="1"/>
  <c r="O2266" i="1"/>
  <c r="P2266" i="1" s="1"/>
  <c r="M2266" i="1"/>
  <c r="O2265" i="1"/>
  <c r="P2265" i="1" s="1"/>
  <c r="M2265" i="1"/>
  <c r="O2264" i="1"/>
  <c r="P2264" i="1" s="1"/>
  <c r="M2264" i="1"/>
  <c r="F2264" i="1"/>
  <c r="O2263" i="1"/>
  <c r="N2263" i="1" s="1"/>
  <c r="M2263" i="1"/>
  <c r="E2263" i="1"/>
  <c r="F2263" i="1" s="1"/>
  <c r="C2263" i="1"/>
  <c r="O2262" i="1"/>
  <c r="M2262" i="1"/>
  <c r="C2262" i="1"/>
  <c r="O2261" i="1"/>
  <c r="M2261" i="1"/>
  <c r="C2261" i="1"/>
  <c r="O2260" i="1"/>
  <c r="Q2260" i="1" s="1"/>
  <c r="M2260" i="1"/>
  <c r="C2260" i="1"/>
  <c r="O2259" i="1"/>
  <c r="P2259" i="1" s="1"/>
  <c r="M2259" i="1"/>
  <c r="C2259" i="1"/>
  <c r="O2258" i="1"/>
  <c r="Q2258" i="1" s="1"/>
  <c r="M2258" i="1"/>
  <c r="O2256" i="1"/>
  <c r="N2256" i="1" s="1"/>
  <c r="M2256" i="1"/>
  <c r="F2256" i="1"/>
  <c r="O2255" i="1"/>
  <c r="M2255" i="1"/>
  <c r="C2255" i="1"/>
  <c r="O2254" i="1"/>
  <c r="N2254" i="1" s="1"/>
  <c r="M2254" i="1"/>
  <c r="M2251" i="1"/>
  <c r="M2252" i="1"/>
  <c r="M2253" i="1"/>
  <c r="M2287" i="1"/>
  <c r="M2288" i="1"/>
  <c r="M2289" i="1"/>
  <c r="M2290" i="1"/>
  <c r="M2291" i="1"/>
  <c r="M2292" i="1"/>
  <c r="M2294" i="1"/>
  <c r="M2295" i="1"/>
  <c r="M2298" i="1"/>
  <c r="O2214" i="1"/>
  <c r="Q2214" i="1" s="1"/>
  <c r="M2214" i="1"/>
  <c r="O2173" i="1"/>
  <c r="Q2173" i="1" s="1"/>
  <c r="M2173" i="1"/>
  <c r="O2172" i="1"/>
  <c r="N2172" i="1" s="1"/>
  <c r="M2172" i="1"/>
  <c r="F2172" i="1"/>
  <c r="O2171" i="1"/>
  <c r="N2171" i="1" s="1"/>
  <c r="M2171" i="1"/>
  <c r="E2171" i="1"/>
  <c r="F2171" i="1" s="1"/>
  <c r="C2171" i="1"/>
  <c r="O2170" i="1"/>
  <c r="M2170" i="1"/>
  <c r="C2170" i="1"/>
  <c r="O2169" i="1"/>
  <c r="P2169" i="1" s="1"/>
  <c r="M2169" i="1"/>
  <c r="C2169" i="1"/>
  <c r="O2168" i="1"/>
  <c r="Q2168" i="1" s="1"/>
  <c r="M2168" i="1"/>
  <c r="C2168" i="1"/>
  <c r="O2167" i="1"/>
  <c r="P2167" i="1" s="1"/>
  <c r="M2167" i="1"/>
  <c r="O2166" i="1"/>
  <c r="P2166" i="1" s="1"/>
  <c r="M2166" i="1"/>
  <c r="O2165" i="1"/>
  <c r="P2165" i="1" s="1"/>
  <c r="M2165" i="1"/>
  <c r="F2165" i="1"/>
  <c r="O2164" i="1"/>
  <c r="N2164" i="1" s="1"/>
  <c r="M2164" i="1"/>
  <c r="E2164" i="1"/>
  <c r="F2164" i="1" s="1"/>
  <c r="C2164" i="1"/>
  <c r="O2163" i="1"/>
  <c r="M2163" i="1"/>
  <c r="C2163" i="1"/>
  <c r="O2162" i="1"/>
  <c r="M2162" i="1"/>
  <c r="C2162" i="1"/>
  <c r="O2161" i="1"/>
  <c r="P2161" i="1" s="1"/>
  <c r="M2161" i="1"/>
  <c r="C2161" i="1"/>
  <c r="O2160" i="1"/>
  <c r="P2160" i="1" s="1"/>
  <c r="M2160" i="1"/>
  <c r="C2160" i="1"/>
  <c r="O2159" i="1"/>
  <c r="Q2159" i="1" s="1"/>
  <c r="M2159" i="1"/>
  <c r="O2157" i="1"/>
  <c r="N2157" i="1" s="1"/>
  <c r="M2157" i="1"/>
  <c r="F2157" i="1"/>
  <c r="O2156" i="1"/>
  <c r="M2156" i="1"/>
  <c r="C2156" i="1"/>
  <c r="O2155" i="1"/>
  <c r="N2155" i="1" s="1"/>
  <c r="M2155" i="1"/>
  <c r="O2133" i="1"/>
  <c r="Q2133" i="1" s="1"/>
  <c r="M2133" i="1"/>
  <c r="O2116" i="1"/>
  <c r="Q2116" i="1" s="1"/>
  <c r="M2116" i="1"/>
  <c r="O2095" i="1"/>
  <c r="Q2095" i="1" s="1"/>
  <c r="M2095" i="1"/>
  <c r="L2095" i="1"/>
  <c r="C2095" i="1"/>
  <c r="O2072" i="1"/>
  <c r="Q2072" i="1" s="1"/>
  <c r="M2072" i="1"/>
  <c r="O2055" i="1"/>
  <c r="Q2055" i="1" s="1"/>
  <c r="M2055" i="1"/>
  <c r="O2036" i="1"/>
  <c r="Q2036" i="1" s="1"/>
  <c r="M2036" i="1"/>
  <c r="C2036" i="1"/>
  <c r="O2014" i="1"/>
  <c r="Q2014" i="1" s="1"/>
  <c r="M2014" i="1"/>
  <c r="M1968" i="1"/>
  <c r="M1969" i="1"/>
  <c r="M1970"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7" i="1"/>
  <c r="M2008" i="1"/>
  <c r="M2009" i="1"/>
  <c r="M2010" i="1"/>
  <c r="M2011" i="1"/>
  <c r="M2012" i="1"/>
  <c r="M2013" i="1"/>
  <c r="M2015" i="1"/>
  <c r="M2016" i="1"/>
  <c r="M2019" i="1"/>
  <c r="O1950" i="1"/>
  <c r="Q1950" i="1" s="1"/>
  <c r="M1950" i="1"/>
  <c r="F1928" i="1"/>
  <c r="M1911" i="1"/>
  <c r="M1912" i="1"/>
  <c r="M1913" i="1"/>
  <c r="M1914" i="1"/>
  <c r="M1915" i="1"/>
  <c r="M1916" i="1"/>
  <c r="M1918" i="1"/>
  <c r="M1919" i="1"/>
  <c r="M1920" i="1"/>
  <c r="M1921" i="1"/>
  <c r="M1922" i="1"/>
  <c r="M1923" i="1"/>
  <c r="O1929" i="1"/>
  <c r="Q1929" i="1" s="1"/>
  <c r="M1929" i="1"/>
  <c r="O1928" i="1"/>
  <c r="N1928" i="1" s="1"/>
  <c r="M1928" i="1"/>
  <c r="O1927" i="1"/>
  <c r="N1927" i="1" s="1"/>
  <c r="M1927" i="1"/>
  <c r="E1927" i="1"/>
  <c r="F1927" i="1" s="1"/>
  <c r="C1927" i="1"/>
  <c r="O1926" i="1"/>
  <c r="P1926" i="1" s="1"/>
  <c r="M1926" i="1"/>
  <c r="C1926" i="1"/>
  <c r="O1924" i="1"/>
  <c r="P1924" i="1" s="1"/>
  <c r="M1924" i="1"/>
  <c r="O1923" i="1"/>
  <c r="P1923" i="1" s="1"/>
  <c r="O1922" i="1"/>
  <c r="P1922" i="1" s="1"/>
  <c r="F1922" i="1"/>
  <c r="O1921" i="1"/>
  <c r="Q1921" i="1" s="1"/>
  <c r="E1921" i="1"/>
  <c r="F1921" i="1" s="1"/>
  <c r="C1921" i="1"/>
  <c r="O1920" i="1"/>
  <c r="Q1920" i="1" s="1"/>
  <c r="C1920" i="1"/>
  <c r="O1919" i="1"/>
  <c r="C1919" i="1"/>
  <c r="O1918" i="1"/>
  <c r="Q1918" i="1" s="1"/>
  <c r="O1916" i="1"/>
  <c r="N1916" i="1" s="1"/>
  <c r="F1916" i="1"/>
  <c r="O1915" i="1"/>
  <c r="C1915" i="1"/>
  <c r="O1914" i="1"/>
  <c r="N1914" i="1" s="1"/>
  <c r="O1874" i="1"/>
  <c r="Q1874" i="1" s="1"/>
  <c r="M1874" i="1"/>
  <c r="F1829" i="1"/>
  <c r="O1825" i="1"/>
  <c r="M1825" i="1"/>
  <c r="C1825" i="1"/>
  <c r="O1818" i="1"/>
  <c r="Q1818" i="1" s="1"/>
  <c r="M1818" i="1"/>
  <c r="C1818" i="1"/>
  <c r="O1817" i="1"/>
  <c r="M1817" i="1"/>
  <c r="C1817" i="1"/>
  <c r="O1830" i="1"/>
  <c r="Q1830" i="1" s="1"/>
  <c r="M1830" i="1"/>
  <c r="O1829" i="1"/>
  <c r="P1829" i="1" s="1"/>
  <c r="M1829" i="1"/>
  <c r="O1828" i="1"/>
  <c r="N1828" i="1" s="1"/>
  <c r="M1828" i="1"/>
  <c r="E1828" i="1"/>
  <c r="F1828" i="1" s="1"/>
  <c r="C1828" i="1"/>
  <c r="O1827" i="1"/>
  <c r="M1827" i="1"/>
  <c r="C1827" i="1"/>
  <c r="O1826" i="1"/>
  <c r="P1826" i="1" s="1"/>
  <c r="M1826" i="1"/>
  <c r="C1826" i="1"/>
  <c r="O1824" i="1"/>
  <c r="N1824" i="1" s="1"/>
  <c r="M1824" i="1"/>
  <c r="O1823" i="1"/>
  <c r="Q1823" i="1" s="1"/>
  <c r="M1823" i="1"/>
  <c r="O1822" i="1"/>
  <c r="N1822" i="1" s="1"/>
  <c r="M1822" i="1"/>
  <c r="F1822" i="1"/>
  <c r="O1821" i="1"/>
  <c r="P1821" i="1" s="1"/>
  <c r="M1821" i="1"/>
  <c r="E1821" i="1"/>
  <c r="F1821" i="1" s="1"/>
  <c r="C1821" i="1"/>
  <c r="O1820" i="1"/>
  <c r="Q1820" i="1" s="1"/>
  <c r="M1820" i="1"/>
  <c r="C1820" i="1"/>
  <c r="O1819" i="1"/>
  <c r="M1819" i="1"/>
  <c r="C1819" i="1"/>
  <c r="O1816" i="1"/>
  <c r="Q1816" i="1" s="1"/>
  <c r="M1816" i="1"/>
  <c r="O1815" i="1"/>
  <c r="Q1815" i="1" s="1"/>
  <c r="M1815" i="1"/>
  <c r="F1815" i="1"/>
  <c r="O1814" i="1"/>
  <c r="Q1814" i="1" s="1"/>
  <c r="M1814" i="1"/>
  <c r="C1814" i="1"/>
  <c r="O1813" i="1"/>
  <c r="N1813" i="1" s="1"/>
  <c r="M1813" i="1"/>
  <c r="O1791" i="1"/>
  <c r="Q1791" i="1" s="1"/>
  <c r="M1791" i="1"/>
  <c r="O1732" i="1"/>
  <c r="Q1732" i="1" s="1"/>
  <c r="M1732" i="1"/>
  <c r="Q2705" i="1" l="1"/>
  <c r="N2697" i="1"/>
  <c r="P2707" i="1"/>
  <c r="N2699" i="1"/>
  <c r="N2492" i="1"/>
  <c r="N2695" i="1"/>
  <c r="Q2699" i="1"/>
  <c r="P2705" i="1"/>
  <c r="P2708" i="1"/>
  <c r="Q2707" i="1"/>
  <c r="P2703" i="1"/>
  <c r="P2695" i="1"/>
  <c r="P2697" i="1"/>
  <c r="P2701" i="1"/>
  <c r="P2713" i="1"/>
  <c r="N2601" i="1"/>
  <c r="N2706" i="1"/>
  <c r="Q2713" i="1"/>
  <c r="Q2700" i="1"/>
  <c r="Q2704" i="1"/>
  <c r="P2706" i="1"/>
  <c r="Q2709" i="1"/>
  <c r="P2710" i="1"/>
  <c r="P2712" i="1"/>
  <c r="P2696" i="1"/>
  <c r="P2702" i="1"/>
  <c r="N2704" i="1"/>
  <c r="Q2710" i="1"/>
  <c r="P2711" i="1"/>
  <c r="Q2712" i="1"/>
  <c r="Q2696" i="1"/>
  <c r="Q2702" i="1"/>
  <c r="Q2711" i="1"/>
  <c r="P2595" i="1"/>
  <c r="Q2597" i="1"/>
  <c r="N2607" i="1"/>
  <c r="Q2613" i="1"/>
  <c r="Q2602" i="1"/>
  <c r="P2603" i="1"/>
  <c r="Q2607" i="1"/>
  <c r="P2597" i="1"/>
  <c r="Q2599" i="1"/>
  <c r="P2599" i="1"/>
  <c r="N2606" i="1"/>
  <c r="N2609" i="1"/>
  <c r="P2606" i="1"/>
  <c r="Q2609" i="1"/>
  <c r="P2598" i="1"/>
  <c r="P2604" i="1"/>
  <c r="Q2608" i="1"/>
  <c r="Q2610" i="1"/>
  <c r="P2611" i="1"/>
  <c r="P2613" i="1"/>
  <c r="N2614" i="1"/>
  <c r="Q2598" i="1"/>
  <c r="P2601" i="1"/>
  <c r="Q2604" i="1"/>
  <c r="P2605" i="1"/>
  <c r="N2608" i="1"/>
  <c r="Q2611" i="1"/>
  <c r="P2612" i="1"/>
  <c r="Q2605" i="1"/>
  <c r="Q2612" i="1"/>
  <c r="P2614" i="1"/>
  <c r="P2517" i="1"/>
  <c r="P2513" i="1"/>
  <c r="P2492" i="1"/>
  <c r="P2468" i="1"/>
  <c r="P2466" i="1"/>
  <c r="P2454" i="1"/>
  <c r="N2431" i="1"/>
  <c r="P2431" i="1"/>
  <c r="P2394" i="1"/>
  <c r="P2381" i="1"/>
  <c r="N2359" i="1"/>
  <c r="P2359" i="1"/>
  <c r="N2258" i="1"/>
  <c r="P2339" i="1"/>
  <c r="Q2339" i="1"/>
  <c r="P2340" i="1"/>
  <c r="P2260" i="1"/>
  <c r="N2293" i="1"/>
  <c r="P2293" i="1"/>
  <c r="Q2256" i="1"/>
  <c r="Q2271" i="1"/>
  <c r="Q2259" i="1"/>
  <c r="P2263" i="1"/>
  <c r="N2264" i="1"/>
  <c r="Q2263" i="1"/>
  <c r="Q2254" i="1"/>
  <c r="Q2266" i="1"/>
  <c r="Q2267" i="1"/>
  <c r="P2254" i="1"/>
  <c r="P2256" i="1"/>
  <c r="Q2264" i="1"/>
  <c r="N2266" i="1"/>
  <c r="P2255" i="1"/>
  <c r="P2261" i="1"/>
  <c r="Q2265" i="1"/>
  <c r="Q2268" i="1"/>
  <c r="P2269" i="1"/>
  <c r="P2271" i="1"/>
  <c r="N2272" i="1"/>
  <c r="Q2255" i="1"/>
  <c r="P2258" i="1"/>
  <c r="Q2261" i="1"/>
  <c r="P2262" i="1"/>
  <c r="N2265" i="1"/>
  <c r="Q2269" i="1"/>
  <c r="P2270" i="1"/>
  <c r="Q2262" i="1"/>
  <c r="Q2270" i="1"/>
  <c r="P2272" i="1"/>
  <c r="Q2157" i="1"/>
  <c r="N2214" i="1"/>
  <c r="P2214" i="1"/>
  <c r="N2159" i="1"/>
  <c r="Q2161" i="1"/>
  <c r="Q2164" i="1"/>
  <c r="Q2155" i="1"/>
  <c r="Q2167" i="1"/>
  <c r="P2168" i="1"/>
  <c r="Q2160" i="1"/>
  <c r="P2164" i="1"/>
  <c r="N2165" i="1"/>
  <c r="Q2172" i="1"/>
  <c r="P2155" i="1"/>
  <c r="P2157" i="1"/>
  <c r="Q2165" i="1"/>
  <c r="N2167" i="1"/>
  <c r="P2156" i="1"/>
  <c r="P2162" i="1"/>
  <c r="Q2166" i="1"/>
  <c r="Q2169" i="1"/>
  <c r="P2170" i="1"/>
  <c r="P2172" i="1"/>
  <c r="N2173" i="1"/>
  <c r="Q2156" i="1"/>
  <c r="P2159" i="1"/>
  <c r="Q2162" i="1"/>
  <c r="P2163" i="1"/>
  <c r="N2166" i="1"/>
  <c r="Q2170" i="1"/>
  <c r="P2171" i="1"/>
  <c r="Q2163" i="1"/>
  <c r="Q2171" i="1"/>
  <c r="P2173" i="1"/>
  <c r="N2133" i="1"/>
  <c r="P2116" i="1"/>
  <c r="P2133" i="1"/>
  <c r="N2116" i="1"/>
  <c r="P2095" i="1"/>
  <c r="N2072" i="1"/>
  <c r="P2072" i="1"/>
  <c r="N2055" i="1"/>
  <c r="P2055" i="1"/>
  <c r="P2036" i="1"/>
  <c r="N2014" i="1"/>
  <c r="P2014" i="1"/>
  <c r="N1950" i="1"/>
  <c r="P1950" i="1"/>
  <c r="Q1922" i="1"/>
  <c r="Q1924" i="1"/>
  <c r="P1914" i="1"/>
  <c r="Q1914" i="1"/>
  <c r="N1922" i="1"/>
  <c r="N1918" i="1"/>
  <c r="N1921" i="1"/>
  <c r="P1916" i="1"/>
  <c r="P1921" i="1"/>
  <c r="N1924" i="1"/>
  <c r="Q1916" i="1"/>
  <c r="Q1928" i="1"/>
  <c r="P1915" i="1"/>
  <c r="P1919" i="1"/>
  <c r="Q1923" i="1"/>
  <c r="Q1926" i="1"/>
  <c r="P1928" i="1"/>
  <c r="N1929" i="1"/>
  <c r="Q1915" i="1"/>
  <c r="P1918" i="1"/>
  <c r="Q1919" i="1"/>
  <c r="P1920" i="1"/>
  <c r="N1923" i="1"/>
  <c r="P1927" i="1"/>
  <c r="Q1927" i="1"/>
  <c r="P1929" i="1"/>
  <c r="N1874" i="1"/>
  <c r="P1874" i="1"/>
  <c r="Q1822" i="1"/>
  <c r="N1816" i="1"/>
  <c r="P1825" i="1"/>
  <c r="Q1825" i="1"/>
  <c r="N1815" i="1"/>
  <c r="P1817" i="1"/>
  <c r="Q1817" i="1"/>
  <c r="P1818" i="1"/>
  <c r="P1824" i="1"/>
  <c r="P1822" i="1"/>
  <c r="Q1824" i="1"/>
  <c r="P1830" i="1"/>
  <c r="Q1829" i="1"/>
  <c r="Q1813" i="1"/>
  <c r="P1814" i="1"/>
  <c r="P1815" i="1"/>
  <c r="P1820" i="1"/>
  <c r="P1816" i="1"/>
  <c r="N1823" i="1"/>
  <c r="N1829" i="1"/>
  <c r="Q1821" i="1"/>
  <c r="P1823" i="1"/>
  <c r="Q1826" i="1"/>
  <c r="P1827" i="1"/>
  <c r="N1830" i="1"/>
  <c r="P1813" i="1"/>
  <c r="P1819" i="1"/>
  <c r="N1821" i="1"/>
  <c r="Q1827" i="1"/>
  <c r="P1828" i="1"/>
  <c r="Q1828" i="1"/>
  <c r="Q1819" i="1"/>
  <c r="P1791" i="1"/>
  <c r="N1791" i="1"/>
  <c r="N1732" i="1"/>
  <c r="P1732" i="1"/>
  <c r="O1655" i="1" l="1"/>
  <c r="Q1655" i="1" s="1"/>
  <c r="M1655" i="1"/>
  <c r="C1655" i="1"/>
  <c r="O1649" i="1"/>
  <c r="Q1649" i="1" s="1"/>
  <c r="M1649" i="1"/>
  <c r="C1649" i="1"/>
  <c r="O1672" i="1"/>
  <c r="Q1672" i="1" s="1"/>
  <c r="M1672" i="1"/>
  <c r="E1672" i="1"/>
  <c r="F1672" i="1" s="1"/>
  <c r="C1672" i="1"/>
  <c r="O1617" i="1"/>
  <c r="Q1617" i="1" s="1"/>
  <c r="M1617" i="1"/>
  <c r="E1617" i="1"/>
  <c r="F1617" i="1" s="1"/>
  <c r="C1617" i="1"/>
  <c r="O535" i="1"/>
  <c r="Q535" i="1" s="1"/>
  <c r="M535" i="1"/>
  <c r="F535" i="1"/>
  <c r="O851" i="1"/>
  <c r="Q851" i="1" s="1"/>
  <c r="M851" i="1"/>
  <c r="F851" i="1"/>
  <c r="O1679" i="1"/>
  <c r="Q1679" i="1" s="1"/>
  <c r="M1679" i="1"/>
  <c r="F1679" i="1"/>
  <c r="O1599" i="1"/>
  <c r="Q1599" i="1" s="1"/>
  <c r="M1599" i="1"/>
  <c r="C1599" i="1"/>
  <c r="O1598" i="1"/>
  <c r="Q1598" i="1" s="1"/>
  <c r="M1598" i="1"/>
  <c r="O1592" i="1"/>
  <c r="Q1592" i="1" s="1"/>
  <c r="M1592" i="1"/>
  <c r="C1592" i="1"/>
  <c r="O1411" i="1"/>
  <c r="Q1411" i="1" s="1"/>
  <c r="M1411" i="1"/>
  <c r="L1411" i="1"/>
  <c r="C1411" i="1"/>
  <c r="O1430" i="1"/>
  <c r="Q1430" i="1" s="1"/>
  <c r="M1430" i="1"/>
  <c r="O1429" i="1"/>
  <c r="N1429" i="1" s="1"/>
  <c r="M1429" i="1"/>
  <c r="F1429" i="1"/>
  <c r="O1428" i="1"/>
  <c r="N1428" i="1" s="1"/>
  <c r="M1428" i="1"/>
  <c r="E1428" i="1"/>
  <c r="F1428" i="1" s="1"/>
  <c r="C1428" i="1"/>
  <c r="O1427" i="1"/>
  <c r="M1427" i="1"/>
  <c r="C1427" i="1"/>
  <c r="O1426" i="1"/>
  <c r="P1426" i="1" s="1"/>
  <c r="M1426" i="1"/>
  <c r="C1426" i="1"/>
  <c r="O1424" i="1"/>
  <c r="P1424" i="1" s="1"/>
  <c r="M1424" i="1"/>
  <c r="O1423" i="1"/>
  <c r="P1423" i="1" s="1"/>
  <c r="M1423" i="1"/>
  <c r="O1422" i="1"/>
  <c r="P1422" i="1" s="1"/>
  <c r="M1422" i="1"/>
  <c r="F1422" i="1"/>
  <c r="O1421" i="1"/>
  <c r="N1421" i="1" s="1"/>
  <c r="M1421" i="1"/>
  <c r="E1421" i="1"/>
  <c r="F1421" i="1" s="1"/>
  <c r="C1421" i="1"/>
  <c r="O1420" i="1"/>
  <c r="M1420" i="1"/>
  <c r="C1420" i="1"/>
  <c r="O1419" i="1"/>
  <c r="M1419" i="1"/>
  <c r="C1419" i="1"/>
  <c r="O1418" i="1"/>
  <c r="N1418" i="1" s="1"/>
  <c r="M1418" i="1"/>
  <c r="O1416" i="1"/>
  <c r="Q1416" i="1" s="1"/>
  <c r="M1416" i="1"/>
  <c r="F1416" i="1"/>
  <c r="O1415" i="1"/>
  <c r="P1415" i="1" s="1"/>
  <c r="M1415" i="1"/>
  <c r="C1415" i="1"/>
  <c r="O1414" i="1"/>
  <c r="M1414" i="1"/>
  <c r="C1414" i="1"/>
  <c r="O1413" i="1"/>
  <c r="N1413" i="1" s="1"/>
  <c r="M1413" i="1"/>
  <c r="O1252" i="1"/>
  <c r="Q1252" i="1" s="1"/>
  <c r="M1252" i="1"/>
  <c r="C1252" i="1"/>
  <c r="O1162" i="1"/>
  <c r="Q1162" i="1" s="1"/>
  <c r="M1162" i="1"/>
  <c r="L1162" i="1"/>
  <c r="C1162" i="1"/>
  <c r="O1258" i="1"/>
  <c r="Q1258" i="1" s="1"/>
  <c r="M1258" i="1"/>
  <c r="O1257" i="1"/>
  <c r="N1257" i="1" s="1"/>
  <c r="M1257" i="1"/>
  <c r="F1257" i="1"/>
  <c r="O1256" i="1"/>
  <c r="N1256" i="1" s="1"/>
  <c r="M1256" i="1"/>
  <c r="E1256" i="1"/>
  <c r="F1256" i="1" s="1"/>
  <c r="C1256" i="1"/>
  <c r="O1255" i="1"/>
  <c r="M1255" i="1"/>
  <c r="C1255" i="1"/>
  <c r="O1254" i="1"/>
  <c r="P1254" i="1" s="1"/>
  <c r="M1254" i="1"/>
  <c r="C1254" i="1"/>
  <c r="O1251" i="1"/>
  <c r="N1251" i="1" s="1"/>
  <c r="M1251" i="1"/>
  <c r="O1250" i="1"/>
  <c r="Q1250" i="1" s="1"/>
  <c r="M1250" i="1"/>
  <c r="O1249" i="1"/>
  <c r="N1249" i="1" s="1"/>
  <c r="M1249" i="1"/>
  <c r="F1249" i="1"/>
  <c r="O1248" i="1"/>
  <c r="P1248" i="1" s="1"/>
  <c r="M1248" i="1"/>
  <c r="E1248" i="1"/>
  <c r="F1248" i="1" s="1"/>
  <c r="C1248" i="1"/>
  <c r="O1247" i="1"/>
  <c r="P1247" i="1" s="1"/>
  <c r="M1247" i="1"/>
  <c r="C1247" i="1"/>
  <c r="O1246" i="1"/>
  <c r="M1246" i="1"/>
  <c r="C1246" i="1"/>
  <c r="O1245" i="1"/>
  <c r="Q1245" i="1" s="1"/>
  <c r="M1245" i="1"/>
  <c r="O1243" i="1"/>
  <c r="P1243" i="1" s="1"/>
  <c r="M1243" i="1"/>
  <c r="F1243" i="1"/>
  <c r="O1242" i="1"/>
  <c r="P1242" i="1" s="1"/>
  <c r="M1242" i="1"/>
  <c r="C1242" i="1"/>
  <c r="O1241" i="1"/>
  <c r="Q1241" i="1" s="1"/>
  <c r="M1241" i="1"/>
  <c r="C1241" i="1"/>
  <c r="O1240" i="1"/>
  <c r="N1240" i="1" s="1"/>
  <c r="M1240" i="1"/>
  <c r="F1180" i="1"/>
  <c r="O1181" i="1"/>
  <c r="Q1181" i="1" s="1"/>
  <c r="M1181" i="1"/>
  <c r="O1180" i="1"/>
  <c r="N1180" i="1" s="1"/>
  <c r="M1180" i="1"/>
  <c r="O1179" i="1"/>
  <c r="N1179" i="1" s="1"/>
  <c r="M1179" i="1"/>
  <c r="E1179" i="1"/>
  <c r="F1179" i="1" s="1"/>
  <c r="C1179" i="1"/>
  <c r="O1178" i="1"/>
  <c r="P1178" i="1" s="1"/>
  <c r="M1178" i="1"/>
  <c r="C1178" i="1"/>
  <c r="O1177" i="1"/>
  <c r="P1177" i="1" s="1"/>
  <c r="M1177" i="1"/>
  <c r="C1177" i="1"/>
  <c r="O1175" i="1"/>
  <c r="P1175" i="1" s="1"/>
  <c r="M1175" i="1"/>
  <c r="O1174" i="1"/>
  <c r="Q1174" i="1" s="1"/>
  <c r="M1174" i="1"/>
  <c r="O1173" i="1"/>
  <c r="Q1173" i="1" s="1"/>
  <c r="M1173" i="1"/>
  <c r="F1173" i="1"/>
  <c r="O1172" i="1"/>
  <c r="P1172" i="1" s="1"/>
  <c r="M1172" i="1"/>
  <c r="E1172" i="1"/>
  <c r="F1172" i="1" s="1"/>
  <c r="C1172" i="1"/>
  <c r="O1171" i="1"/>
  <c r="P1171" i="1" s="1"/>
  <c r="M1171" i="1"/>
  <c r="C1171" i="1"/>
  <c r="O1170" i="1"/>
  <c r="M1170" i="1"/>
  <c r="C1170" i="1"/>
  <c r="O1169" i="1"/>
  <c r="Q1169" i="1" s="1"/>
  <c r="M1169" i="1"/>
  <c r="O1167" i="1"/>
  <c r="P1167" i="1" s="1"/>
  <c r="M1167" i="1"/>
  <c r="F1167" i="1"/>
  <c r="O1166" i="1"/>
  <c r="P1166" i="1" s="1"/>
  <c r="M1166" i="1"/>
  <c r="C1166" i="1"/>
  <c r="O1165" i="1"/>
  <c r="Q1165" i="1" s="1"/>
  <c r="M1165" i="1"/>
  <c r="C1165" i="1"/>
  <c r="O1164" i="1"/>
  <c r="N1164" i="1" s="1"/>
  <c r="M1164" i="1"/>
  <c r="O1089" i="1"/>
  <c r="Q1089" i="1" s="1"/>
  <c r="C1089" i="1"/>
  <c r="O1105" i="1"/>
  <c r="P1105" i="1" s="1"/>
  <c r="O1104" i="1"/>
  <c r="N1104" i="1" s="1"/>
  <c r="F1104" i="1"/>
  <c r="O1103" i="1"/>
  <c r="N1103" i="1" s="1"/>
  <c r="E1103" i="1"/>
  <c r="F1103" i="1" s="1"/>
  <c r="C1103" i="1"/>
  <c r="O1102" i="1"/>
  <c r="C1102" i="1"/>
  <c r="O1101" i="1"/>
  <c r="P1101" i="1" s="1"/>
  <c r="C1101" i="1"/>
  <c r="O1099" i="1"/>
  <c r="N1099" i="1" s="1"/>
  <c r="O1098" i="1"/>
  <c r="Q1098" i="1" s="1"/>
  <c r="O1097" i="1"/>
  <c r="N1097" i="1" s="1"/>
  <c r="F1097" i="1"/>
  <c r="O1096" i="1"/>
  <c r="P1096" i="1" s="1"/>
  <c r="E1096" i="1"/>
  <c r="F1096" i="1" s="1"/>
  <c r="C1096" i="1"/>
  <c r="O1095" i="1"/>
  <c r="Q1095" i="1" s="1"/>
  <c r="C1095" i="1"/>
  <c r="O1094" i="1"/>
  <c r="P1094" i="1" s="1"/>
  <c r="C1094" i="1"/>
  <c r="O1093" i="1"/>
  <c r="P1093" i="1" s="1"/>
  <c r="O1092" i="1"/>
  <c r="Q1092" i="1" s="1"/>
  <c r="F1092" i="1"/>
  <c r="O1090" i="1"/>
  <c r="P1090" i="1" s="1"/>
  <c r="C1090" i="1"/>
  <c r="O1088" i="1"/>
  <c r="Q1088" i="1" s="1"/>
  <c r="O1010" i="1"/>
  <c r="Q1010" i="1" s="1"/>
  <c r="C1010" i="1"/>
  <c r="O1009" i="1"/>
  <c r="Q1009" i="1" s="1"/>
  <c r="C1009" i="1"/>
  <c r="O1008" i="1"/>
  <c r="Q1008" i="1" s="1"/>
  <c r="C1008" i="1"/>
  <c r="O983" i="1"/>
  <c r="Q983" i="1" s="1"/>
  <c r="O957" i="1"/>
  <c r="Q957" i="1" s="1"/>
  <c r="C957" i="1"/>
  <c r="O945" i="1"/>
  <c r="Q945" i="1" s="1"/>
  <c r="L945" i="1"/>
  <c r="C945" i="1"/>
  <c r="O883" i="1"/>
  <c r="Q883" i="1" s="1"/>
  <c r="M883" i="1"/>
  <c r="L883" i="1"/>
  <c r="C883" i="1"/>
  <c r="O881" i="1"/>
  <c r="Q881" i="1" s="1"/>
  <c r="M881" i="1"/>
  <c r="L881" i="1"/>
  <c r="C881" i="1"/>
  <c r="O922" i="1"/>
  <c r="Q922" i="1" s="1"/>
  <c r="M922" i="1"/>
  <c r="O886" i="1"/>
  <c r="Q886" i="1" s="1"/>
  <c r="M886" i="1"/>
  <c r="C886" i="1"/>
  <c r="O868" i="1"/>
  <c r="Q868" i="1" s="1"/>
  <c r="M868" i="1"/>
  <c r="L868" i="1"/>
  <c r="C868" i="1"/>
  <c r="O781" i="1"/>
  <c r="Q781" i="1" s="1"/>
  <c r="O768" i="1"/>
  <c r="Q768" i="1" s="1"/>
  <c r="O767" i="1"/>
  <c r="N767" i="1" s="1"/>
  <c r="F767" i="1"/>
  <c r="O766" i="1"/>
  <c r="N766" i="1" s="1"/>
  <c r="E766" i="1"/>
  <c r="F766" i="1" s="1"/>
  <c r="C766" i="1"/>
  <c r="O765" i="1"/>
  <c r="P765" i="1" s="1"/>
  <c r="C765" i="1"/>
  <c r="O764" i="1"/>
  <c r="Q764" i="1" s="1"/>
  <c r="O763" i="1"/>
  <c r="Q763" i="1" s="1"/>
  <c r="O762" i="1"/>
  <c r="P762" i="1" s="1"/>
  <c r="F762" i="1"/>
  <c r="O761" i="1"/>
  <c r="P761" i="1" s="1"/>
  <c r="E761" i="1"/>
  <c r="F761" i="1" s="1"/>
  <c r="C761" i="1"/>
  <c r="O760" i="1"/>
  <c r="Q760" i="1" s="1"/>
  <c r="C760" i="1"/>
  <c r="O759" i="1"/>
  <c r="C759" i="1"/>
  <c r="O758" i="1"/>
  <c r="Q758" i="1" s="1"/>
  <c r="O756" i="1"/>
  <c r="Q756" i="1" s="1"/>
  <c r="F756" i="1"/>
  <c r="O755" i="1"/>
  <c r="P755" i="1" s="1"/>
  <c r="C755" i="1"/>
  <c r="O754" i="1"/>
  <c r="N754" i="1" s="1"/>
  <c r="O729" i="1"/>
  <c r="Q729" i="1" s="1"/>
  <c r="O696" i="1"/>
  <c r="Q696" i="1" s="1"/>
  <c r="O695" i="1"/>
  <c r="N695" i="1" s="1"/>
  <c r="F695" i="1"/>
  <c r="O694" i="1"/>
  <c r="N694" i="1" s="1"/>
  <c r="E694" i="1"/>
  <c r="F694" i="1" s="1"/>
  <c r="C694" i="1"/>
  <c r="O693" i="1"/>
  <c r="C693" i="1"/>
  <c r="O692" i="1"/>
  <c r="P692" i="1" s="1"/>
  <c r="C692" i="1"/>
  <c r="O690" i="1"/>
  <c r="N690" i="1" s="1"/>
  <c r="O689" i="1"/>
  <c r="P689" i="1" s="1"/>
  <c r="O688" i="1"/>
  <c r="N688" i="1" s="1"/>
  <c r="F688" i="1"/>
  <c r="O687" i="1"/>
  <c r="P687" i="1" s="1"/>
  <c r="E687" i="1"/>
  <c r="F687" i="1" s="1"/>
  <c r="C687" i="1"/>
  <c r="O686" i="1"/>
  <c r="Q686" i="1" s="1"/>
  <c r="C686" i="1"/>
  <c r="O685" i="1"/>
  <c r="C685" i="1"/>
  <c r="O684" i="1"/>
  <c r="N684" i="1" s="1"/>
  <c r="O682" i="1"/>
  <c r="Q682" i="1" s="1"/>
  <c r="F682" i="1"/>
  <c r="O681" i="1"/>
  <c r="Q681" i="1" s="1"/>
  <c r="C681" i="1"/>
  <c r="O680" i="1"/>
  <c r="N680" i="1" s="1"/>
  <c r="O633" i="1"/>
  <c r="Q633" i="1" s="1"/>
  <c r="M633" i="1"/>
  <c r="C633" i="1"/>
  <c r="O600" i="1"/>
  <c r="Q600" i="1" s="1"/>
  <c r="M600" i="1"/>
  <c r="O551" i="1"/>
  <c r="Q551" i="1" s="1"/>
  <c r="M551" i="1"/>
  <c r="C551" i="1"/>
  <c r="O257" i="1"/>
  <c r="P257" i="1" s="1"/>
  <c r="M257" i="1"/>
  <c r="C257" i="1"/>
  <c r="N1416" i="1" l="1"/>
  <c r="P1655" i="1"/>
  <c r="P1649" i="1"/>
  <c r="N1672" i="1"/>
  <c r="P1672" i="1"/>
  <c r="P1418" i="1"/>
  <c r="N535" i="1"/>
  <c r="N1617" i="1"/>
  <c r="P1617" i="1"/>
  <c r="P535" i="1"/>
  <c r="N851" i="1"/>
  <c r="P851" i="1"/>
  <c r="N1679" i="1"/>
  <c r="P1679" i="1"/>
  <c r="P1599" i="1"/>
  <c r="N1598" i="1"/>
  <c r="P1598" i="1"/>
  <c r="P1592" i="1"/>
  <c r="Q1422" i="1"/>
  <c r="Q1418" i="1"/>
  <c r="N1422" i="1"/>
  <c r="Q1429" i="1"/>
  <c r="P1411" i="1"/>
  <c r="P1421" i="1"/>
  <c r="Q1424" i="1"/>
  <c r="Q1421" i="1"/>
  <c r="N1424" i="1"/>
  <c r="Q1415" i="1"/>
  <c r="P1413" i="1"/>
  <c r="P1419" i="1"/>
  <c r="Q1423" i="1"/>
  <c r="Q1426" i="1"/>
  <c r="P1427" i="1"/>
  <c r="P1429" i="1"/>
  <c r="N1430" i="1"/>
  <c r="P764" i="1"/>
  <c r="Q1413" i="1"/>
  <c r="P1414" i="1"/>
  <c r="P1416" i="1"/>
  <c r="Q1419" i="1"/>
  <c r="P1420" i="1"/>
  <c r="N1423" i="1"/>
  <c r="Q1427" i="1"/>
  <c r="P1428" i="1"/>
  <c r="Q1414" i="1"/>
  <c r="Q1420" i="1"/>
  <c r="Q1428" i="1"/>
  <c r="P1430" i="1"/>
  <c r="N764" i="1"/>
  <c r="N1245" i="1"/>
  <c r="P1252" i="1"/>
  <c r="Q1249" i="1"/>
  <c r="P1251" i="1"/>
  <c r="Q1251" i="1"/>
  <c r="P1249" i="1"/>
  <c r="P1162" i="1"/>
  <c r="N1175" i="1"/>
  <c r="Q1243" i="1"/>
  <c r="P1245" i="1"/>
  <c r="Q1247" i="1"/>
  <c r="N1243" i="1"/>
  <c r="N1250" i="1"/>
  <c r="Q1240" i="1"/>
  <c r="P1241" i="1"/>
  <c r="Q1242" i="1"/>
  <c r="Q1248" i="1"/>
  <c r="P1250" i="1"/>
  <c r="Q1254" i="1"/>
  <c r="P1255" i="1"/>
  <c r="P1257" i="1"/>
  <c r="N1258" i="1"/>
  <c r="N1169" i="1"/>
  <c r="N1174" i="1"/>
  <c r="P1240" i="1"/>
  <c r="P1246" i="1"/>
  <c r="N1248" i="1"/>
  <c r="Q1255" i="1"/>
  <c r="P1256" i="1"/>
  <c r="Q1257" i="1"/>
  <c r="Q1246" i="1"/>
  <c r="Q1256" i="1"/>
  <c r="P1258" i="1"/>
  <c r="N1167" i="1"/>
  <c r="Q1167" i="1"/>
  <c r="P1169" i="1"/>
  <c r="Q1171" i="1"/>
  <c r="N1173" i="1"/>
  <c r="Q1175" i="1"/>
  <c r="Q1177" i="1"/>
  <c r="N1181" i="1"/>
  <c r="Q1166" i="1"/>
  <c r="P1173" i="1"/>
  <c r="P1174" i="1"/>
  <c r="P1180" i="1"/>
  <c r="P1165" i="1"/>
  <c r="Q1172" i="1"/>
  <c r="P1164" i="1"/>
  <c r="P1170" i="1"/>
  <c r="N1172" i="1"/>
  <c r="Q1178" i="1"/>
  <c r="P1179" i="1"/>
  <c r="Q1180" i="1"/>
  <c r="Q1164" i="1"/>
  <c r="Q1170" i="1"/>
  <c r="Q1179" i="1"/>
  <c r="P1181" i="1"/>
  <c r="Q1093" i="1"/>
  <c r="Q1097" i="1"/>
  <c r="Q1099" i="1"/>
  <c r="N1093" i="1"/>
  <c r="P1089" i="1"/>
  <c r="P1097" i="1"/>
  <c r="P1099" i="1"/>
  <c r="Q1105" i="1"/>
  <c r="N1098" i="1"/>
  <c r="N1088" i="1"/>
  <c r="Q1090" i="1"/>
  <c r="N1092" i="1"/>
  <c r="Q1096" i="1"/>
  <c r="P1098" i="1"/>
  <c r="Q1101" i="1"/>
  <c r="P1102" i="1"/>
  <c r="P1104" i="1"/>
  <c r="N1105" i="1"/>
  <c r="N1096" i="1"/>
  <c r="Q1102" i="1"/>
  <c r="P1103" i="1"/>
  <c r="Q1104" i="1"/>
  <c r="P1088" i="1"/>
  <c r="P1092" i="1"/>
  <c r="Q1094" i="1"/>
  <c r="P1095" i="1"/>
  <c r="Q1103" i="1"/>
  <c r="P1010" i="1"/>
  <c r="P1009" i="1"/>
  <c r="P1008" i="1"/>
  <c r="N983" i="1"/>
  <c r="P983" i="1"/>
  <c r="P957" i="1"/>
  <c r="P945" i="1"/>
  <c r="P883" i="1"/>
  <c r="P881" i="1"/>
  <c r="N922" i="1"/>
  <c r="P922" i="1"/>
  <c r="P886" i="1"/>
  <c r="N756" i="1"/>
  <c r="P868" i="1"/>
  <c r="P781" i="1"/>
  <c r="N781" i="1"/>
  <c r="Q754" i="1"/>
  <c r="P756" i="1"/>
  <c r="P760" i="1"/>
  <c r="Q762" i="1"/>
  <c r="N762" i="1"/>
  <c r="Q767" i="1"/>
  <c r="P754" i="1"/>
  <c r="N758" i="1"/>
  <c r="P758" i="1"/>
  <c r="N763" i="1"/>
  <c r="Q755" i="1"/>
  <c r="Q761" i="1"/>
  <c r="P763" i="1"/>
  <c r="Q765" i="1"/>
  <c r="P767" i="1"/>
  <c r="N768" i="1"/>
  <c r="P759" i="1"/>
  <c r="N761" i="1"/>
  <c r="P766" i="1"/>
  <c r="Q759" i="1"/>
  <c r="Q766" i="1"/>
  <c r="P768" i="1"/>
  <c r="N729" i="1"/>
  <c r="P729" i="1"/>
  <c r="Q688" i="1"/>
  <c r="Q690" i="1"/>
  <c r="N682" i="1"/>
  <c r="Q695" i="1"/>
  <c r="N687" i="1"/>
  <c r="P684" i="1"/>
  <c r="Q684" i="1"/>
  <c r="Q687" i="1"/>
  <c r="Q689" i="1"/>
  <c r="Q692" i="1"/>
  <c r="P693" i="1"/>
  <c r="P695" i="1"/>
  <c r="N696" i="1"/>
  <c r="P680" i="1"/>
  <c r="P685" i="1"/>
  <c r="Q680" i="1"/>
  <c r="P681" i="1"/>
  <c r="P682" i="1"/>
  <c r="Q685" i="1"/>
  <c r="P686" i="1"/>
  <c r="P688" i="1"/>
  <c r="N689" i="1"/>
  <c r="P690" i="1"/>
  <c r="Q693" i="1"/>
  <c r="P694" i="1"/>
  <c r="Q694" i="1"/>
  <c r="P696" i="1"/>
  <c r="P633" i="1"/>
  <c r="N600" i="1"/>
  <c r="P600" i="1"/>
  <c r="P551" i="1"/>
  <c r="Q257" i="1"/>
  <c r="O530" i="1" l="1"/>
  <c r="Q530" i="1" s="1"/>
  <c r="M530" i="1"/>
  <c r="O473" i="1"/>
  <c r="Q473" i="1" s="1"/>
  <c r="M473" i="1"/>
  <c r="F473" i="1"/>
  <c r="O468" i="1"/>
  <c r="Q468" i="1" s="1"/>
  <c r="M468" i="1"/>
  <c r="O434" i="1"/>
  <c r="P434" i="1" s="1"/>
  <c r="O447" i="1"/>
  <c r="N447" i="1" s="1"/>
  <c r="M447" i="1"/>
  <c r="O446" i="1"/>
  <c r="N446" i="1" s="1"/>
  <c r="F446" i="1"/>
  <c r="O445" i="1"/>
  <c r="N445" i="1" s="1"/>
  <c r="E445" i="1"/>
  <c r="F445" i="1" s="1"/>
  <c r="C445" i="1"/>
  <c r="O444" i="1"/>
  <c r="C444" i="1"/>
  <c r="O443" i="1"/>
  <c r="P443" i="1" s="1"/>
  <c r="C443" i="1"/>
  <c r="O442" i="1"/>
  <c r="P442" i="1" s="1"/>
  <c r="C442" i="1"/>
  <c r="O441" i="1"/>
  <c r="N441" i="1" s="1"/>
  <c r="O440" i="1"/>
  <c r="P440" i="1" s="1"/>
  <c r="O439" i="1"/>
  <c r="N439" i="1" s="1"/>
  <c r="F439" i="1"/>
  <c r="O438" i="1"/>
  <c r="Q438" i="1" s="1"/>
  <c r="E438" i="1"/>
  <c r="F438" i="1" s="1"/>
  <c r="C438" i="1"/>
  <c r="O437" i="1"/>
  <c r="Q437" i="1" s="1"/>
  <c r="C437" i="1"/>
  <c r="O436" i="1"/>
  <c r="C436" i="1"/>
  <c r="O435" i="1"/>
  <c r="N435" i="1" s="1"/>
  <c r="O433" i="1"/>
  <c r="Q433" i="1" s="1"/>
  <c r="F433" i="1"/>
  <c r="O432" i="1"/>
  <c r="P432" i="1" s="1"/>
  <c r="C432" i="1"/>
  <c r="O431" i="1"/>
  <c r="N431" i="1" s="1"/>
  <c r="O260" i="1"/>
  <c r="Q260" i="1" s="1"/>
  <c r="M260" i="1"/>
  <c r="C260" i="1"/>
  <c r="O223" i="1"/>
  <c r="Q223" i="1" s="1"/>
  <c r="M314" i="1"/>
  <c r="O321" i="1"/>
  <c r="Q321" i="1" s="1"/>
  <c r="O320" i="1"/>
  <c r="Q320" i="1" s="1"/>
  <c r="F320" i="1"/>
  <c r="O308" i="1"/>
  <c r="Q308" i="1" s="1"/>
  <c r="F308" i="1"/>
  <c r="O313" i="1"/>
  <c r="Q313" i="1" s="1"/>
  <c r="F313" i="1"/>
  <c r="C316" i="1"/>
  <c r="C317" i="1"/>
  <c r="O319" i="1"/>
  <c r="Q319" i="1" s="1"/>
  <c r="E319" i="1"/>
  <c r="F319" i="1" s="1"/>
  <c r="C319" i="1"/>
  <c r="O318" i="1"/>
  <c r="Q318" i="1" s="1"/>
  <c r="C318" i="1"/>
  <c r="O317" i="1"/>
  <c r="O316" i="1"/>
  <c r="Q316" i="1" s="1"/>
  <c r="O315" i="1"/>
  <c r="P315" i="1" s="1"/>
  <c r="O306" i="1"/>
  <c r="Q306" i="1" s="1"/>
  <c r="C306" i="1"/>
  <c r="O307" i="1"/>
  <c r="Q307" i="1" s="1"/>
  <c r="C307" i="1"/>
  <c r="O305" i="1"/>
  <c r="N305" i="1" s="1"/>
  <c r="N530" i="1" l="1"/>
  <c r="P530" i="1"/>
  <c r="N473" i="1"/>
  <c r="P473" i="1"/>
  <c r="N468" i="1"/>
  <c r="Q434" i="1"/>
  <c r="P468" i="1"/>
  <c r="Q439" i="1"/>
  <c r="Q442" i="1"/>
  <c r="N433" i="1"/>
  <c r="N438" i="1"/>
  <c r="Q441" i="1"/>
  <c r="Q432" i="1"/>
  <c r="Q435" i="1"/>
  <c r="P438" i="1"/>
  <c r="P447" i="1"/>
  <c r="N434" i="1"/>
  <c r="P435" i="1"/>
  <c r="Q447" i="1"/>
  <c r="Q440" i="1"/>
  <c r="Q443" i="1"/>
  <c r="P444" i="1"/>
  <c r="P446" i="1"/>
  <c r="P431" i="1"/>
  <c r="P436" i="1"/>
  <c r="Q431" i="1"/>
  <c r="P433" i="1"/>
  <c r="Q436" i="1"/>
  <c r="P437" i="1"/>
  <c r="P439" i="1"/>
  <c r="N440" i="1"/>
  <c r="P441" i="1"/>
  <c r="Q444" i="1"/>
  <c r="P445" i="1"/>
  <c r="Q446" i="1"/>
  <c r="Q445" i="1"/>
  <c r="P260" i="1"/>
  <c r="N223" i="1"/>
  <c r="P223" i="1"/>
  <c r="N321" i="1"/>
  <c r="P321" i="1"/>
  <c r="N320" i="1"/>
  <c r="P320" i="1"/>
  <c r="P313" i="1"/>
  <c r="N308" i="1"/>
  <c r="P308" i="1"/>
  <c r="N313" i="1"/>
  <c r="Q315" i="1"/>
  <c r="P316" i="1"/>
  <c r="N315" i="1"/>
  <c r="N319" i="1"/>
  <c r="P317" i="1"/>
  <c r="Q317" i="1"/>
  <c r="P318" i="1"/>
  <c r="P319" i="1"/>
  <c r="P306" i="1"/>
  <c r="P305" i="1"/>
  <c r="Q305" i="1"/>
  <c r="P307" i="1"/>
  <c r="O283" i="1"/>
  <c r="Q283" i="1" s="1"/>
  <c r="M283" i="1"/>
  <c r="O245" i="1"/>
  <c r="Q245" i="1" s="1"/>
  <c r="C245" i="1"/>
  <c r="M177" i="1"/>
  <c r="M178" i="1"/>
  <c r="M179" i="1"/>
  <c r="O142" i="1"/>
  <c r="P142" i="1" s="1"/>
  <c r="C142" i="1"/>
  <c r="N283" i="1" l="1"/>
  <c r="P283" i="1"/>
  <c r="P245" i="1"/>
  <c r="Q142" i="1"/>
  <c r="O62" i="1"/>
  <c r="Q62" i="1" s="1"/>
  <c r="M62" i="1"/>
  <c r="F62" i="1"/>
  <c r="N62" i="1" l="1"/>
  <c r="P62" i="1"/>
  <c r="O2740" i="1" l="1"/>
  <c r="N2740" i="1" s="1"/>
  <c r="M2740" i="1"/>
  <c r="P2740" i="1" l="1"/>
  <c r="Q2740" i="1"/>
  <c r="O55" i="1"/>
  <c r="Q55" i="1" s="1"/>
  <c r="M55" i="1"/>
  <c r="C55" i="1"/>
  <c r="O54" i="1"/>
  <c r="N54" i="1" s="1"/>
  <c r="M54" i="1"/>
  <c r="O53" i="1"/>
  <c r="N53" i="1" s="1"/>
  <c r="M53" i="1"/>
  <c r="O52" i="1"/>
  <c r="M52" i="1"/>
  <c r="C52" i="1"/>
  <c r="O51" i="1"/>
  <c r="N51" i="1" s="1"/>
  <c r="M51" i="1"/>
  <c r="P53" i="1" l="1"/>
  <c r="P54" i="1"/>
  <c r="Q53" i="1"/>
  <c r="P51" i="1"/>
  <c r="Q51" i="1"/>
  <c r="P52" i="1"/>
  <c r="Q52" i="1"/>
  <c r="Q54" i="1"/>
  <c r="P55" i="1"/>
  <c r="O15" i="1"/>
  <c r="Q15" i="1" s="1"/>
  <c r="O18" i="1"/>
  <c r="Q18" i="1" s="1"/>
  <c r="O19" i="1"/>
  <c r="Q19" i="1" s="1"/>
  <c r="O20" i="1"/>
  <c r="Q20" i="1" s="1"/>
  <c r="O21" i="1"/>
  <c r="Q21" i="1" s="1"/>
  <c r="O22" i="1"/>
  <c r="Q22" i="1" s="1"/>
  <c r="O23" i="1"/>
  <c r="Q23" i="1" s="1"/>
  <c r="O24" i="1"/>
  <c r="Q24" i="1" s="1"/>
  <c r="O25" i="1"/>
  <c r="Q25" i="1" s="1"/>
  <c r="O26" i="1"/>
  <c r="Q26" i="1" s="1"/>
  <c r="O27" i="1"/>
  <c r="Q27" i="1" s="1"/>
  <c r="O28" i="1"/>
  <c r="Q28" i="1" s="1"/>
  <c r="O29" i="1"/>
  <c r="Q29" i="1" s="1"/>
  <c r="O30" i="1"/>
  <c r="Q30" i="1" s="1"/>
  <c r="O31" i="1"/>
  <c r="Q31" i="1" s="1"/>
  <c r="O32" i="1"/>
  <c r="Q32" i="1" s="1"/>
  <c r="O33" i="1"/>
  <c r="Q33" i="1" s="1"/>
  <c r="O35" i="1"/>
  <c r="Q35" i="1" s="1"/>
  <c r="O37" i="1"/>
  <c r="Q37" i="1" s="1"/>
  <c r="O50" i="1"/>
  <c r="Q50" i="1" s="1"/>
  <c r="O56" i="1"/>
  <c r="Q56" i="1" s="1"/>
  <c r="O57" i="1"/>
  <c r="Q57" i="1" s="1"/>
  <c r="O58" i="1"/>
  <c r="Q58" i="1" s="1"/>
  <c r="O60" i="1"/>
  <c r="Q60" i="1" s="1"/>
  <c r="O61" i="1"/>
  <c r="Q61" i="1" s="1"/>
  <c r="O65" i="1"/>
  <c r="Q65" i="1" s="1"/>
  <c r="O70" i="1"/>
  <c r="Q70" i="1" s="1"/>
  <c r="O71" i="1"/>
  <c r="O72" i="1"/>
  <c r="Q72" i="1" s="1"/>
  <c r="O80" i="1"/>
  <c r="O81" i="1"/>
  <c r="N81" i="1" s="1"/>
  <c r="O82" i="1"/>
  <c r="Q82" i="1" s="1"/>
  <c r="O83" i="1"/>
  <c r="P83" i="1" s="1"/>
  <c r="O84" i="1"/>
  <c r="Q84" i="1" s="1"/>
  <c r="O85" i="1"/>
  <c r="N85" i="1" s="1"/>
  <c r="O86" i="1"/>
  <c r="Q86" i="1" s="1"/>
  <c r="O87" i="1"/>
  <c r="O88" i="1"/>
  <c r="Q88" i="1" s="1"/>
  <c r="O89" i="1"/>
  <c r="O90" i="1"/>
  <c r="Q90" i="1" s="1"/>
  <c r="O91" i="1"/>
  <c r="P91" i="1" s="1"/>
  <c r="O92" i="1"/>
  <c r="Q92" i="1" s="1"/>
  <c r="O93" i="1"/>
  <c r="O94" i="1"/>
  <c r="Q94" i="1" s="1"/>
  <c r="O95" i="1"/>
  <c r="O96" i="1"/>
  <c r="Q96" i="1" s="1"/>
  <c r="O97" i="1"/>
  <c r="O98" i="1"/>
  <c r="Q98" i="1" s="1"/>
  <c r="O99" i="1"/>
  <c r="P99" i="1" s="1"/>
  <c r="O100" i="1"/>
  <c r="Q100" i="1" s="1"/>
  <c r="O101" i="1"/>
  <c r="O102" i="1"/>
  <c r="Q102" i="1" s="1"/>
  <c r="O103" i="1"/>
  <c r="O104" i="1"/>
  <c r="Q104" i="1" s="1"/>
  <c r="O105" i="1"/>
  <c r="O106" i="1"/>
  <c r="Q106" i="1" s="1"/>
  <c r="O107" i="1"/>
  <c r="P107" i="1" s="1"/>
  <c r="O108" i="1"/>
  <c r="Q108" i="1" s="1"/>
  <c r="O109" i="1"/>
  <c r="O110" i="1"/>
  <c r="Q110" i="1" s="1"/>
  <c r="O111" i="1"/>
  <c r="O112" i="1"/>
  <c r="Q112" i="1" s="1"/>
  <c r="O113" i="1"/>
  <c r="O114" i="1"/>
  <c r="Q114" i="1" s="1"/>
  <c r="O115" i="1"/>
  <c r="N115" i="1" s="1"/>
  <c r="O116" i="1"/>
  <c r="O117" i="1"/>
  <c r="N117" i="1" s="1"/>
  <c r="O118" i="1"/>
  <c r="N118" i="1" s="1"/>
  <c r="O119" i="1"/>
  <c r="N119" i="1" s="1"/>
  <c r="O121" i="1"/>
  <c r="O122" i="1"/>
  <c r="N122" i="1" s="1"/>
  <c r="O125" i="1"/>
  <c r="N125" i="1" s="1"/>
  <c r="O126" i="1"/>
  <c r="N126" i="1" s="1"/>
  <c r="O127" i="1"/>
  <c r="O128" i="1"/>
  <c r="N128" i="1" s="1"/>
  <c r="O138" i="1"/>
  <c r="Q138" i="1" s="1"/>
  <c r="O139" i="1"/>
  <c r="Q139" i="1" s="1"/>
  <c r="O140" i="1"/>
  <c r="N140" i="1" s="1"/>
  <c r="O141" i="1"/>
  <c r="N141" i="1" s="1"/>
  <c r="O143" i="1"/>
  <c r="P143" i="1" s="1"/>
  <c r="O144" i="1"/>
  <c r="O145" i="1"/>
  <c r="O146" i="1"/>
  <c r="N146" i="1" s="1"/>
  <c r="O147" i="1"/>
  <c r="P147" i="1" s="1"/>
  <c r="O148" i="1"/>
  <c r="O149" i="1"/>
  <c r="O150" i="1"/>
  <c r="N150" i="1" s="1"/>
  <c r="O151" i="1"/>
  <c r="N151" i="1" s="1"/>
  <c r="O152" i="1"/>
  <c r="N152" i="1" s="1"/>
  <c r="O153" i="1"/>
  <c r="N153" i="1" s="1"/>
  <c r="O154" i="1"/>
  <c r="O155" i="1"/>
  <c r="O158" i="1"/>
  <c r="Q158" i="1" s="1"/>
  <c r="O159" i="1"/>
  <c r="N159" i="1" s="1"/>
  <c r="O160" i="1"/>
  <c r="O161" i="1"/>
  <c r="O171" i="1"/>
  <c r="Q171" i="1" s="1"/>
  <c r="O172" i="1"/>
  <c r="N172" i="1" s="1"/>
  <c r="O173" i="1"/>
  <c r="O175" i="1"/>
  <c r="O176" i="1"/>
  <c r="Q176" i="1" s="1"/>
  <c r="O177" i="1"/>
  <c r="N177" i="1" s="1"/>
  <c r="O178" i="1"/>
  <c r="N178" i="1" s="1"/>
  <c r="O179" i="1"/>
  <c r="O181" i="1"/>
  <c r="N181" i="1" s="1"/>
  <c r="O182" i="1"/>
  <c r="N182" i="1" s="1"/>
  <c r="O183" i="1"/>
  <c r="N183" i="1" s="1"/>
  <c r="O184" i="1"/>
  <c r="N184" i="1" s="1"/>
  <c r="O185" i="1"/>
  <c r="N185" i="1" s="1"/>
  <c r="O186" i="1"/>
  <c r="Q186" i="1" s="1"/>
  <c r="O187" i="1"/>
  <c r="P187" i="1" s="1"/>
  <c r="O188" i="1"/>
  <c r="O189" i="1"/>
  <c r="O190" i="1"/>
  <c r="N190" i="1" s="1"/>
  <c r="O191" i="1"/>
  <c r="Q191" i="1" s="1"/>
  <c r="O192" i="1"/>
  <c r="O193" i="1"/>
  <c r="O194" i="1"/>
  <c r="N194" i="1" s="1"/>
  <c r="O212" i="1"/>
  <c r="Q212" i="1" s="1"/>
  <c r="O213" i="1"/>
  <c r="N213" i="1" s="1"/>
  <c r="O214" i="1"/>
  <c r="O215" i="1"/>
  <c r="N215" i="1" s="1"/>
  <c r="O216" i="1"/>
  <c r="Q216" i="1" s="1"/>
  <c r="O217" i="1"/>
  <c r="O218" i="1"/>
  <c r="O219" i="1"/>
  <c r="Q219" i="1" s="1"/>
  <c r="O220" i="1"/>
  <c r="O221" i="1"/>
  <c r="O222" i="1"/>
  <c r="N222" i="1" s="1"/>
  <c r="O174" i="1"/>
  <c r="Q174" i="1" s="1"/>
  <c r="O224" i="1"/>
  <c r="N224" i="1" s="1"/>
  <c r="O225" i="1"/>
  <c r="O226" i="1"/>
  <c r="N226" i="1" s="1"/>
  <c r="O229" i="1"/>
  <c r="Q229" i="1" s="1"/>
  <c r="O230" i="1"/>
  <c r="N230" i="1" s="1"/>
  <c r="O231" i="1"/>
  <c r="O232" i="1"/>
  <c r="N232" i="1" s="1"/>
  <c r="O242" i="1"/>
  <c r="Q242" i="1" s="1"/>
  <c r="O243" i="1"/>
  <c r="N243" i="1" s="1"/>
  <c r="O244" i="1"/>
  <c r="O246" i="1"/>
  <c r="N246" i="1" s="1"/>
  <c r="O247" i="1"/>
  <c r="Q247" i="1" s="1"/>
  <c r="O248" i="1"/>
  <c r="N248" i="1" s="1"/>
  <c r="O249" i="1"/>
  <c r="O252" i="1"/>
  <c r="O253" i="1"/>
  <c r="N253" i="1" s="1"/>
  <c r="O254" i="1"/>
  <c r="Q254" i="1" s="1"/>
  <c r="O255" i="1"/>
  <c r="P255" i="1" s="1"/>
  <c r="O256" i="1"/>
  <c r="P256" i="1" s="1"/>
  <c r="O259" i="1"/>
  <c r="P259" i="1" s="1"/>
  <c r="O261" i="1"/>
  <c r="P261" i="1" s="1"/>
  <c r="O262" i="1"/>
  <c r="P262" i="1" s="1"/>
  <c r="O263" i="1"/>
  <c r="P263" i="1" s="1"/>
  <c r="O264" i="1"/>
  <c r="O265" i="1"/>
  <c r="O266" i="1"/>
  <c r="N266" i="1" s="1"/>
  <c r="O273" i="1"/>
  <c r="Q273" i="1" s="1"/>
  <c r="O274" i="1"/>
  <c r="N274" i="1" s="1"/>
  <c r="O275" i="1"/>
  <c r="O276" i="1"/>
  <c r="N276" i="1" s="1"/>
  <c r="O277" i="1"/>
  <c r="Q277" i="1" s="1"/>
  <c r="O278" i="1"/>
  <c r="Q278" i="1" s="1"/>
  <c r="O279" i="1"/>
  <c r="O280" i="1"/>
  <c r="Q280" i="1" s="1"/>
  <c r="O281" i="1"/>
  <c r="O282" i="1"/>
  <c r="Q282" i="1" s="1"/>
  <c r="O284" i="1"/>
  <c r="Q284" i="1" s="1"/>
  <c r="O285" i="1"/>
  <c r="Q285" i="1" s="1"/>
  <c r="O286" i="1"/>
  <c r="O289" i="1"/>
  <c r="P289" i="1" s="1"/>
  <c r="O290" i="1"/>
  <c r="Q290" i="1" s="1"/>
  <c r="O291" i="1"/>
  <c r="Q291" i="1" s="1"/>
  <c r="O292" i="1"/>
  <c r="N292" i="1" s="1"/>
  <c r="O302" i="1"/>
  <c r="Q302" i="1" s="1"/>
  <c r="O303" i="1"/>
  <c r="Q303" i="1" s="1"/>
  <c r="O304" i="1"/>
  <c r="Q304" i="1" s="1"/>
  <c r="O309" i="1"/>
  <c r="Q309" i="1" s="1"/>
  <c r="O310" i="1"/>
  <c r="Q310" i="1" s="1"/>
  <c r="O311" i="1"/>
  <c r="Q311" i="1" s="1"/>
  <c r="O312" i="1"/>
  <c r="Q312" i="1" s="1"/>
  <c r="O314" i="1"/>
  <c r="Q314" i="1" s="1"/>
  <c r="O322" i="1"/>
  <c r="Q322" i="1" s="1"/>
  <c r="O323" i="1"/>
  <c r="Q323" i="1" s="1"/>
  <c r="O324" i="1"/>
  <c r="Q324" i="1" s="1"/>
  <c r="O326" i="1"/>
  <c r="Q326" i="1" s="1"/>
  <c r="O328" i="1"/>
  <c r="Q328" i="1" s="1"/>
  <c r="O329" i="1"/>
  <c r="Q329" i="1" s="1"/>
  <c r="O342" i="1"/>
  <c r="Q342" i="1" s="1"/>
  <c r="O343" i="1"/>
  <c r="Q343" i="1" s="1"/>
  <c r="O344" i="1"/>
  <c r="Q344" i="1" s="1"/>
  <c r="O347" i="1"/>
  <c r="Q347" i="1" s="1"/>
  <c r="O348" i="1"/>
  <c r="Q348" i="1" s="1"/>
  <c r="O349" i="1"/>
  <c r="Q349" i="1" s="1"/>
  <c r="O356" i="1"/>
  <c r="Q356" i="1" s="1"/>
  <c r="O357" i="1"/>
  <c r="Q357" i="1" s="1"/>
  <c r="O358" i="1"/>
  <c r="Q358" i="1" s="1"/>
  <c r="O359" i="1"/>
  <c r="Q359" i="1" s="1"/>
  <c r="O360" i="1"/>
  <c r="Q360" i="1" s="1"/>
  <c r="O361" i="1"/>
  <c r="Q361" i="1" s="1"/>
  <c r="O362" i="1"/>
  <c r="Q362" i="1" s="1"/>
  <c r="O363" i="1"/>
  <c r="Q363" i="1" s="1"/>
  <c r="O366" i="1"/>
  <c r="Q366" i="1" s="1"/>
  <c r="O417" i="1"/>
  <c r="Q417" i="1" s="1"/>
  <c r="O418" i="1"/>
  <c r="Q418" i="1" s="1"/>
  <c r="O428" i="1"/>
  <c r="Q428" i="1" s="1"/>
  <c r="O429" i="1"/>
  <c r="Q429" i="1" s="1"/>
  <c r="O430" i="1"/>
  <c r="Q430" i="1" s="1"/>
  <c r="O462" i="1"/>
  <c r="Q462" i="1" s="1"/>
  <c r="O463" i="1"/>
  <c r="O464" i="1"/>
  <c r="Q464" i="1" s="1"/>
  <c r="O465" i="1"/>
  <c r="Q465" i="1" s="1"/>
  <c r="O466" i="1"/>
  <c r="Q466" i="1" s="1"/>
  <c r="O467" i="1"/>
  <c r="N467" i="1" s="1"/>
  <c r="O469" i="1"/>
  <c r="Q469" i="1" s="1"/>
  <c r="O470" i="1"/>
  <c r="Q470" i="1" s="1"/>
  <c r="O474" i="1"/>
  <c r="Q474" i="1" s="1"/>
  <c r="O475" i="1"/>
  <c r="O476" i="1"/>
  <c r="O486" i="1"/>
  <c r="O487" i="1"/>
  <c r="Q487" i="1" s="1"/>
  <c r="O488" i="1"/>
  <c r="O490" i="1"/>
  <c r="O491" i="1"/>
  <c r="O492" i="1"/>
  <c r="O493" i="1"/>
  <c r="O494" i="1"/>
  <c r="Q494" i="1" s="1"/>
  <c r="O495" i="1"/>
  <c r="O496" i="1"/>
  <c r="O497" i="1"/>
  <c r="O498" i="1"/>
  <c r="Q498" i="1" s="1"/>
  <c r="O499" i="1"/>
  <c r="O500" i="1"/>
  <c r="O501" i="1"/>
  <c r="O502" i="1"/>
  <c r="O503" i="1"/>
  <c r="O504" i="1"/>
  <c r="O505" i="1"/>
  <c r="Q505" i="1" s="1"/>
  <c r="O506" i="1"/>
  <c r="O507" i="1"/>
  <c r="O508" i="1"/>
  <c r="O509" i="1"/>
  <c r="Q509" i="1" s="1"/>
  <c r="O510" i="1"/>
  <c r="O511" i="1"/>
  <c r="O512" i="1"/>
  <c r="O513" i="1"/>
  <c r="Q513" i="1" s="1"/>
  <c r="O514" i="1"/>
  <c r="O515" i="1"/>
  <c r="O516" i="1"/>
  <c r="O523" i="1"/>
  <c r="Q523" i="1" s="1"/>
  <c r="O524" i="1"/>
  <c r="O525" i="1"/>
  <c r="O526" i="1"/>
  <c r="O527" i="1"/>
  <c r="Q527" i="1" s="1"/>
  <c r="O528" i="1"/>
  <c r="O529" i="1"/>
  <c r="O531" i="1"/>
  <c r="Q531" i="1" s="1"/>
  <c r="O532" i="1"/>
  <c r="O536" i="1"/>
  <c r="O537" i="1"/>
  <c r="Q537" i="1" s="1"/>
  <c r="O538" i="1"/>
  <c r="O548" i="1"/>
  <c r="O549" i="1"/>
  <c r="O550" i="1"/>
  <c r="Q550" i="1" s="1"/>
  <c r="O552" i="1"/>
  <c r="O553" i="1"/>
  <c r="O554" i="1"/>
  <c r="Q554" i="1" s="1"/>
  <c r="O555" i="1"/>
  <c r="Q555" i="1" s="1"/>
  <c r="O558" i="1"/>
  <c r="O559" i="1"/>
  <c r="Q559" i="1" s="1"/>
  <c r="O560" i="1"/>
  <c r="O561" i="1"/>
  <c r="Q561" i="1" s="1"/>
  <c r="O562" i="1"/>
  <c r="O563" i="1"/>
  <c r="Q563" i="1" s="1"/>
  <c r="O564" i="1"/>
  <c r="O565" i="1"/>
  <c r="O566" i="1"/>
  <c r="Q566" i="1" s="1"/>
  <c r="O567" i="1"/>
  <c r="O568" i="1"/>
  <c r="Q568" i="1" s="1"/>
  <c r="O569" i="1"/>
  <c r="O570" i="1"/>
  <c r="Q570" i="1" s="1"/>
  <c r="O571" i="1"/>
  <c r="O589" i="1"/>
  <c r="Q589" i="1" s="1"/>
  <c r="O590" i="1"/>
  <c r="O591" i="1"/>
  <c r="Q591" i="1" s="1"/>
  <c r="O592" i="1"/>
  <c r="O593" i="1"/>
  <c r="Q593" i="1" s="1"/>
  <c r="O594" i="1"/>
  <c r="O595" i="1"/>
  <c r="Q595" i="1" s="1"/>
  <c r="O596" i="1"/>
  <c r="O597" i="1"/>
  <c r="Q597" i="1" s="1"/>
  <c r="O598" i="1"/>
  <c r="P598" i="1" s="1"/>
  <c r="O599" i="1"/>
  <c r="Q599" i="1" s="1"/>
  <c r="O601" i="1"/>
  <c r="Q601" i="1" s="1"/>
  <c r="O602" i="1"/>
  <c r="O603" i="1"/>
  <c r="Q603" i="1" s="1"/>
  <c r="O606" i="1"/>
  <c r="O607" i="1"/>
  <c r="Q607" i="1" s="1"/>
  <c r="O608" i="1"/>
  <c r="P608" i="1" s="1"/>
  <c r="O609" i="1"/>
  <c r="Q609" i="1" s="1"/>
  <c r="O619" i="1"/>
  <c r="O620" i="1"/>
  <c r="Q620" i="1" s="1"/>
  <c r="O621" i="1"/>
  <c r="O622" i="1"/>
  <c r="N622" i="1" s="1"/>
  <c r="O625" i="1"/>
  <c r="O626" i="1"/>
  <c r="O628" i="1"/>
  <c r="N628" i="1" s="1"/>
  <c r="O629" i="1"/>
  <c r="N629" i="1" s="1"/>
  <c r="O630" i="1"/>
  <c r="O631" i="1"/>
  <c r="O632" i="1"/>
  <c r="N632" i="1" s="1"/>
  <c r="O634" i="1"/>
  <c r="P634" i="1" s="1"/>
  <c r="O635" i="1"/>
  <c r="Q635" i="1" s="1"/>
  <c r="O637" i="1"/>
  <c r="N637" i="1" s="1"/>
  <c r="O638" i="1"/>
  <c r="N638" i="1" s="1"/>
  <c r="O639" i="1"/>
  <c r="Q639" i="1" s="1"/>
  <c r="O640" i="1"/>
  <c r="Q640" i="1" s="1"/>
  <c r="O641" i="1"/>
  <c r="P641" i="1" s="1"/>
  <c r="O642" i="1"/>
  <c r="N642" i="1" s="1"/>
  <c r="O649" i="1"/>
  <c r="O650" i="1"/>
  <c r="N650" i="1" s="1"/>
  <c r="O651" i="1"/>
  <c r="N651" i="1" s="1"/>
  <c r="O652" i="1"/>
  <c r="N652" i="1" s="1"/>
  <c r="O653" i="1"/>
  <c r="Q653" i="1" s="1"/>
  <c r="O654" i="1"/>
  <c r="Q654" i="1" s="1"/>
  <c r="O655" i="1"/>
  <c r="N655" i="1" s="1"/>
  <c r="O656" i="1"/>
  <c r="O657" i="1"/>
  <c r="Q657" i="1" s="1"/>
  <c r="O658" i="1"/>
  <c r="N658" i="1" s="1"/>
  <c r="O659" i="1"/>
  <c r="N659" i="1" s="1"/>
  <c r="O660" i="1"/>
  <c r="Q660" i="1" s="1"/>
  <c r="O661" i="1"/>
  <c r="N661" i="1" s="1"/>
  <c r="O664" i="1"/>
  <c r="N664" i="1" s="1"/>
  <c r="O665" i="1"/>
  <c r="N665" i="1" s="1"/>
  <c r="O666" i="1"/>
  <c r="O667" i="1"/>
  <c r="N667" i="1" s="1"/>
  <c r="O677" i="1"/>
  <c r="N677" i="1" s="1"/>
  <c r="O678" i="1"/>
  <c r="Q678" i="1" s="1"/>
  <c r="O679" i="1"/>
  <c r="N679" i="1" s="1"/>
  <c r="O697" i="1"/>
  <c r="N697" i="1" s="1"/>
  <c r="O698" i="1"/>
  <c r="O699" i="1"/>
  <c r="O701" i="1"/>
  <c r="O703" i="1"/>
  <c r="N703" i="1" s="1"/>
  <c r="O716" i="1"/>
  <c r="N716" i="1" s="1"/>
  <c r="O723" i="1"/>
  <c r="N723" i="1" s="1"/>
  <c r="O724" i="1"/>
  <c r="P724" i="1" s="1"/>
  <c r="O725" i="1"/>
  <c r="N725" i="1" s="1"/>
  <c r="O726" i="1"/>
  <c r="P726" i="1" s="1"/>
  <c r="O727" i="1"/>
  <c r="N727" i="1" s="1"/>
  <c r="O728" i="1"/>
  <c r="N728" i="1" s="1"/>
  <c r="O730" i="1"/>
  <c r="N730" i="1" s="1"/>
  <c r="O731" i="1"/>
  <c r="N731" i="1" s="1"/>
  <c r="O734" i="1"/>
  <c r="N734" i="1" s="1"/>
  <c r="O739" i="1"/>
  <c r="N739" i="1" s="1"/>
  <c r="O740" i="1"/>
  <c r="N740" i="1" s="1"/>
  <c r="O741" i="1"/>
  <c r="N741" i="1" s="1"/>
  <c r="O751" i="1"/>
  <c r="N751" i="1" s="1"/>
  <c r="O752" i="1"/>
  <c r="P752" i="1" s="1"/>
  <c r="O753" i="1"/>
  <c r="N753" i="1" s="1"/>
  <c r="O775" i="1"/>
  <c r="N775" i="1" s="1"/>
  <c r="O776" i="1"/>
  <c r="O777" i="1"/>
  <c r="N777" i="1" s="1"/>
  <c r="O778" i="1"/>
  <c r="O779" i="1"/>
  <c r="N779" i="1" s="1"/>
  <c r="O780" i="1"/>
  <c r="N780" i="1" s="1"/>
  <c r="O782" i="1"/>
  <c r="O783" i="1"/>
  <c r="N783" i="1" s="1"/>
  <c r="O786" i="1"/>
  <c r="N786" i="1" s="1"/>
  <c r="O787" i="1"/>
  <c r="O788" i="1"/>
  <c r="N788" i="1" s="1"/>
  <c r="O789" i="1"/>
  <c r="N789" i="1" s="1"/>
  <c r="O799" i="1"/>
  <c r="N799" i="1" s="1"/>
  <c r="O800" i="1"/>
  <c r="O801" i="1"/>
  <c r="N801" i="1" s="1"/>
  <c r="O803" i="1"/>
  <c r="N803" i="1" s="1"/>
  <c r="O804" i="1"/>
  <c r="O805" i="1"/>
  <c r="N805" i="1" s="1"/>
  <c r="O806" i="1"/>
  <c r="N806" i="1" s="1"/>
  <c r="O807" i="1"/>
  <c r="N807" i="1" s="1"/>
  <c r="O808" i="1"/>
  <c r="O809" i="1"/>
  <c r="P809" i="1" s="1"/>
  <c r="O810" i="1"/>
  <c r="N810" i="1" s="1"/>
  <c r="O811" i="1"/>
  <c r="N811" i="1" s="1"/>
  <c r="O812" i="1"/>
  <c r="O813" i="1"/>
  <c r="P813" i="1" s="1"/>
  <c r="O814" i="1"/>
  <c r="O815" i="1"/>
  <c r="N815" i="1" s="1"/>
  <c r="O816" i="1"/>
  <c r="O817" i="1"/>
  <c r="N817" i="1" s="1"/>
  <c r="O818" i="1"/>
  <c r="N818" i="1" s="1"/>
  <c r="O819" i="1"/>
  <c r="N819" i="1" s="1"/>
  <c r="O820" i="1"/>
  <c r="O821" i="1"/>
  <c r="N821" i="1" s="1"/>
  <c r="O822" i="1"/>
  <c r="N822" i="1" s="1"/>
  <c r="O823" i="1"/>
  <c r="P823" i="1" s="1"/>
  <c r="O824" i="1"/>
  <c r="O825" i="1"/>
  <c r="N825" i="1" s="1"/>
  <c r="O826" i="1"/>
  <c r="N826" i="1" s="1"/>
  <c r="O827" i="1"/>
  <c r="P827" i="1" s="1"/>
  <c r="O828" i="1"/>
  <c r="O829" i="1"/>
  <c r="P829" i="1" s="1"/>
  <c r="O830" i="1"/>
  <c r="N830" i="1" s="1"/>
  <c r="O831" i="1"/>
  <c r="N831" i="1" s="1"/>
  <c r="O839" i="1"/>
  <c r="O840" i="1"/>
  <c r="P840" i="1" s="1"/>
  <c r="O841" i="1"/>
  <c r="N841" i="1" s="1"/>
  <c r="O842" i="1"/>
  <c r="N842" i="1" s="1"/>
  <c r="O843" i="1"/>
  <c r="O844" i="1"/>
  <c r="N844" i="1" s="1"/>
  <c r="O845" i="1"/>
  <c r="N845" i="1" s="1"/>
  <c r="O846" i="1"/>
  <c r="N846" i="1" s="1"/>
  <c r="O847" i="1"/>
  <c r="N847" i="1" s="1"/>
  <c r="O848" i="1"/>
  <c r="Q848" i="1" s="1"/>
  <c r="O852" i="1"/>
  <c r="Q852" i="1" s="1"/>
  <c r="O853" i="1"/>
  <c r="N853" i="1" s="1"/>
  <c r="O854" i="1"/>
  <c r="Q854" i="1" s="1"/>
  <c r="O864" i="1"/>
  <c r="N864" i="1" s="1"/>
  <c r="O865" i="1"/>
  <c r="Q865" i="1" s="1"/>
  <c r="O866" i="1"/>
  <c r="N866" i="1" s="1"/>
  <c r="O867" i="1"/>
  <c r="Q867" i="1" s="1"/>
  <c r="O869" i="1"/>
  <c r="N869" i="1" s="1"/>
  <c r="O870" i="1"/>
  <c r="P870" i="1" s="1"/>
  <c r="O871" i="1"/>
  <c r="N871" i="1" s="1"/>
  <c r="O872" i="1"/>
  <c r="O873" i="1"/>
  <c r="P873" i="1" s="1"/>
  <c r="O875" i="1"/>
  <c r="O876" i="1"/>
  <c r="N876" i="1" s="1"/>
  <c r="O877" i="1"/>
  <c r="Q877" i="1" s="1"/>
  <c r="O878" i="1"/>
  <c r="N878" i="1" s="1"/>
  <c r="O879" i="1"/>
  <c r="Q879" i="1" s="1"/>
  <c r="O880" i="1"/>
  <c r="P880" i="1" s="1"/>
  <c r="O882" i="1"/>
  <c r="O884" i="1"/>
  <c r="P884" i="1" s="1"/>
  <c r="O885" i="1"/>
  <c r="O887" i="1"/>
  <c r="Q887" i="1" s="1"/>
  <c r="O888" i="1"/>
  <c r="N888" i="1" s="1"/>
  <c r="O889" i="1"/>
  <c r="Q889" i="1" s="1"/>
  <c r="O890" i="1"/>
  <c r="N890" i="1" s="1"/>
  <c r="O891" i="1"/>
  <c r="O892" i="1"/>
  <c r="P892" i="1" s="1"/>
  <c r="O893" i="1"/>
  <c r="O911" i="1"/>
  <c r="N911" i="1" s="1"/>
  <c r="O912" i="1"/>
  <c r="Q912" i="1" s="1"/>
  <c r="O913" i="1"/>
  <c r="N913" i="1" s="1"/>
  <c r="O914" i="1"/>
  <c r="Q914" i="1" s="1"/>
  <c r="O915" i="1"/>
  <c r="N915" i="1" s="1"/>
  <c r="O916" i="1"/>
  <c r="O917" i="1"/>
  <c r="N917" i="1" s="1"/>
  <c r="O918" i="1"/>
  <c r="O919" i="1"/>
  <c r="O920" i="1"/>
  <c r="Q920" i="1" s="1"/>
  <c r="O921" i="1"/>
  <c r="N921" i="1" s="1"/>
  <c r="O923" i="1"/>
  <c r="Q923" i="1" s="1"/>
  <c r="O924" i="1"/>
  <c r="N924" i="1" s="1"/>
  <c r="O925" i="1"/>
  <c r="O926" i="1"/>
  <c r="N926" i="1" s="1"/>
  <c r="O928" i="1"/>
  <c r="O929" i="1"/>
  <c r="N929" i="1" s="1"/>
  <c r="O930" i="1"/>
  <c r="Q930" i="1" s="1"/>
  <c r="O931" i="1"/>
  <c r="N931" i="1" s="1"/>
  <c r="O941" i="1"/>
  <c r="O942" i="1"/>
  <c r="N942" i="1" s="1"/>
  <c r="O943" i="1"/>
  <c r="Q943" i="1" s="1"/>
  <c r="O944" i="1"/>
  <c r="O946" i="1"/>
  <c r="Q946" i="1" s="1"/>
  <c r="O947" i="1"/>
  <c r="Q947" i="1" s="1"/>
  <c r="O948" i="1"/>
  <c r="Q948" i="1" s="1"/>
  <c r="O949" i="1"/>
  <c r="N949" i="1" s="1"/>
  <c r="O950" i="1"/>
  <c r="O952" i="1"/>
  <c r="N952" i="1" s="1"/>
  <c r="O953" i="1"/>
  <c r="Q953" i="1" s="1"/>
  <c r="O954" i="1"/>
  <c r="Q954" i="1" s="1"/>
  <c r="O955" i="1"/>
  <c r="O956" i="1"/>
  <c r="O958" i="1"/>
  <c r="O961" i="1"/>
  <c r="O962" i="1"/>
  <c r="Q962" i="1" s="1"/>
  <c r="O963" i="1"/>
  <c r="N963" i="1" s="1"/>
  <c r="O964" i="1"/>
  <c r="O965" i="1"/>
  <c r="O966" i="1"/>
  <c r="Q966" i="1" s="1"/>
  <c r="O973" i="1"/>
  <c r="N973" i="1" s="1"/>
  <c r="O974" i="1"/>
  <c r="O975" i="1"/>
  <c r="O976" i="1"/>
  <c r="Q976" i="1" s="1"/>
  <c r="O977" i="1"/>
  <c r="O978" i="1"/>
  <c r="O979" i="1"/>
  <c r="O980" i="1"/>
  <c r="Q980" i="1" s="1"/>
  <c r="O981" i="1"/>
  <c r="N981" i="1" s="1"/>
  <c r="O982" i="1"/>
  <c r="O984" i="1"/>
  <c r="O985" i="1"/>
  <c r="Q985" i="1" s="1"/>
  <c r="O986" i="1"/>
  <c r="O989" i="1"/>
  <c r="O990" i="1"/>
  <c r="O991" i="1"/>
  <c r="Q991" i="1" s="1"/>
  <c r="O992" i="1"/>
  <c r="N992" i="1" s="1"/>
  <c r="O1002" i="1"/>
  <c r="Q1002" i="1" s="1"/>
  <c r="O1003" i="1"/>
  <c r="Q1003" i="1" s="1"/>
  <c r="O1004" i="1"/>
  <c r="Q1004" i="1" s="1"/>
  <c r="O1005" i="1"/>
  <c r="N1005" i="1" s="1"/>
  <c r="O1006" i="1"/>
  <c r="Q1006" i="1" s="1"/>
  <c r="O1007" i="1"/>
  <c r="P1007" i="1" s="1"/>
  <c r="O1011" i="1"/>
  <c r="Q1011" i="1" s="1"/>
  <c r="O1012" i="1"/>
  <c r="N1012" i="1" s="1"/>
  <c r="O1013" i="1"/>
  <c r="N1013" i="1" s="1"/>
  <c r="O1020" i="1"/>
  <c r="N1020" i="1" s="1"/>
  <c r="O1021" i="1"/>
  <c r="Q1021" i="1" s="1"/>
  <c r="O1022" i="1"/>
  <c r="P1022" i="1" s="1"/>
  <c r="O1023" i="1"/>
  <c r="P1023" i="1" s="1"/>
  <c r="O1024" i="1"/>
  <c r="Q1024" i="1" s="1"/>
  <c r="O1025" i="1"/>
  <c r="N1025" i="1" s="1"/>
  <c r="O1026" i="1"/>
  <c r="N1026" i="1" s="1"/>
  <c r="O1027" i="1"/>
  <c r="N1027" i="1" s="1"/>
  <c r="O1028" i="1"/>
  <c r="Q1028" i="1" s="1"/>
  <c r="O1029" i="1"/>
  <c r="N1029" i="1" s="1"/>
  <c r="O1032" i="1"/>
  <c r="N1032" i="1" s="1"/>
  <c r="O1033" i="1"/>
  <c r="N1033" i="1" s="1"/>
  <c r="O1034" i="1"/>
  <c r="N1034" i="1" s="1"/>
  <c r="O1035" i="1"/>
  <c r="Q1035" i="1" s="1"/>
  <c r="O1045" i="1"/>
  <c r="N1045" i="1" s="1"/>
  <c r="O1046" i="1"/>
  <c r="O1047" i="1"/>
  <c r="N1047" i="1" s="1"/>
  <c r="O1048" i="1"/>
  <c r="N1048" i="1" s="1"/>
  <c r="O1049" i="1"/>
  <c r="P1049" i="1" s="1"/>
  <c r="O1051" i="1"/>
  <c r="P1051" i="1" s="1"/>
  <c r="O1052" i="1"/>
  <c r="N1052" i="1" s="1"/>
  <c r="O1053" i="1"/>
  <c r="N1053" i="1" s="1"/>
  <c r="O1060" i="1"/>
  <c r="N1060" i="1" s="1"/>
  <c r="O1061" i="1"/>
  <c r="P1061" i="1" s="1"/>
  <c r="O1062" i="1"/>
  <c r="N1062" i="1" s="1"/>
  <c r="O1063" i="1"/>
  <c r="P1063" i="1" s="1"/>
  <c r="O1064" i="1"/>
  <c r="P1064" i="1" s="1"/>
  <c r="O1065" i="1"/>
  <c r="N1065" i="1" s="1"/>
  <c r="O1066" i="1"/>
  <c r="N1066" i="1" s="1"/>
  <c r="O1067" i="1"/>
  <c r="N1067" i="1" s="1"/>
  <c r="O1068" i="1"/>
  <c r="N1068" i="1" s="1"/>
  <c r="O1069" i="1"/>
  <c r="N1069" i="1" s="1"/>
  <c r="O1072" i="1"/>
  <c r="N1072" i="1" s="1"/>
  <c r="O1073" i="1"/>
  <c r="N1073" i="1" s="1"/>
  <c r="O1074" i="1"/>
  <c r="N1074" i="1" s="1"/>
  <c r="O1075" i="1"/>
  <c r="N1075" i="1" s="1"/>
  <c r="O1085" i="1"/>
  <c r="N1085" i="1" s="1"/>
  <c r="O1086" i="1"/>
  <c r="P1086" i="1" s="1"/>
  <c r="O1087" i="1"/>
  <c r="N1087" i="1" s="1"/>
  <c r="O1132" i="1"/>
  <c r="N1132" i="1" s="1"/>
  <c r="O1133" i="1"/>
  <c r="P1133" i="1" s="1"/>
  <c r="O1134" i="1"/>
  <c r="N1134" i="1" s="1"/>
  <c r="O1135" i="1"/>
  <c r="P1135" i="1" s="1"/>
  <c r="O1136" i="1"/>
  <c r="P1136" i="1" s="1"/>
  <c r="O1137" i="1"/>
  <c r="N1137" i="1" s="1"/>
  <c r="O1138" i="1"/>
  <c r="N1138" i="1" s="1"/>
  <c r="O1139" i="1"/>
  <c r="N1139" i="1" s="1"/>
  <c r="O1140" i="1"/>
  <c r="O1143" i="1"/>
  <c r="N1143" i="1" s="1"/>
  <c r="O1148" i="1"/>
  <c r="P1148" i="1" s="1"/>
  <c r="O1149" i="1"/>
  <c r="N1149" i="1" s="1"/>
  <c r="O1150" i="1"/>
  <c r="N1150" i="1" s="1"/>
  <c r="O1160" i="1"/>
  <c r="Q1160" i="1" s="1"/>
  <c r="O1161" i="1"/>
  <c r="O1163" i="1"/>
  <c r="O1208" i="1"/>
  <c r="N1208" i="1" s="1"/>
  <c r="O1209" i="1"/>
  <c r="O1210" i="1"/>
  <c r="N1210" i="1" s="1"/>
  <c r="O1211" i="1"/>
  <c r="P1211" i="1" s="1"/>
  <c r="O1212" i="1"/>
  <c r="N1212" i="1" s="1"/>
  <c r="O1213" i="1"/>
  <c r="N1213" i="1" s="1"/>
  <c r="O1214" i="1"/>
  <c r="N1214" i="1" s="1"/>
  <c r="O1215" i="1"/>
  <c r="N1215" i="1" s="1"/>
  <c r="O1216" i="1"/>
  <c r="N1216" i="1" s="1"/>
  <c r="O1219" i="1"/>
  <c r="P1219" i="1" s="1"/>
  <c r="O1224" i="1"/>
  <c r="N1224" i="1" s="1"/>
  <c r="O1225" i="1"/>
  <c r="N1225" i="1" s="1"/>
  <c r="O1226" i="1"/>
  <c r="Q1226" i="1" s="1"/>
  <c r="O1236" i="1"/>
  <c r="N1236" i="1" s="1"/>
  <c r="O1237" i="1"/>
  <c r="Q1237" i="1" s="1"/>
  <c r="O1239" i="1"/>
  <c r="P1239" i="1" s="1"/>
  <c r="O1259" i="1"/>
  <c r="N1259" i="1" s="1"/>
  <c r="O1260" i="1"/>
  <c r="O1261" i="1"/>
  <c r="Q1261" i="1" s="1"/>
  <c r="O1262" i="1"/>
  <c r="P1262" i="1" s="1"/>
  <c r="O1263" i="1"/>
  <c r="N1263" i="1" s="1"/>
  <c r="O1270" i="1"/>
  <c r="N1270" i="1" s="1"/>
  <c r="O1271" i="1"/>
  <c r="Q1271" i="1" s="1"/>
  <c r="O1272" i="1"/>
  <c r="P1272" i="1" s="1"/>
  <c r="O1273" i="1"/>
  <c r="O1274" i="1"/>
  <c r="N1274" i="1" s="1"/>
  <c r="O1275" i="1"/>
  <c r="Q1275" i="1" s="1"/>
  <c r="O1276" i="1"/>
  <c r="P1276" i="1" s="1"/>
  <c r="O1277" i="1"/>
  <c r="N1277" i="1" s="1"/>
  <c r="O1278" i="1"/>
  <c r="N1278" i="1" s="1"/>
  <c r="O1281" i="1"/>
  <c r="O1282" i="1"/>
  <c r="N1282" i="1" s="1"/>
  <c r="O1283" i="1"/>
  <c r="N1283" i="1" s="1"/>
  <c r="O1284" i="1"/>
  <c r="O1285" i="1"/>
  <c r="P1285" i="1" s="1"/>
  <c r="O1287" i="1"/>
  <c r="O1288" i="1"/>
  <c r="N1288" i="1" s="1"/>
  <c r="O1289" i="1"/>
  <c r="N1289" i="1" s="1"/>
  <c r="O1299" i="1"/>
  <c r="N1299" i="1" s="1"/>
  <c r="O1300" i="1"/>
  <c r="P1300" i="1" s="1"/>
  <c r="O1301" i="1"/>
  <c r="O1302" i="1"/>
  <c r="O1303" i="1"/>
  <c r="O1304" i="1"/>
  <c r="Q1304" i="1" s="1"/>
  <c r="O1305" i="1"/>
  <c r="O1306" i="1"/>
  <c r="N1306" i="1" s="1"/>
  <c r="O1307" i="1"/>
  <c r="O1308" i="1"/>
  <c r="N1308" i="1" s="1"/>
  <c r="O1309" i="1"/>
  <c r="O1310" i="1"/>
  <c r="N1310" i="1" s="1"/>
  <c r="O1311" i="1"/>
  <c r="O1312" i="1"/>
  <c r="N1312" i="1" s="1"/>
  <c r="O1313" i="1"/>
  <c r="O1314" i="1"/>
  <c r="N1314" i="1" s="1"/>
  <c r="O1315" i="1"/>
  <c r="O1316" i="1"/>
  <c r="N1316" i="1" s="1"/>
  <c r="O1319" i="1"/>
  <c r="Q1319" i="1" s="1"/>
  <c r="O1320" i="1"/>
  <c r="N1320" i="1" s="1"/>
  <c r="O1321" i="1"/>
  <c r="O1322" i="1"/>
  <c r="N1322" i="1" s="1"/>
  <c r="O1323" i="1"/>
  <c r="Q1323" i="1" s="1"/>
  <c r="O1325" i="1"/>
  <c r="O1326" i="1"/>
  <c r="O1327" i="1"/>
  <c r="N1327" i="1" s="1"/>
  <c r="O1337" i="1"/>
  <c r="N1337" i="1" s="1"/>
  <c r="O1338" i="1"/>
  <c r="O1339" i="1"/>
  <c r="P1339" i="1" s="1"/>
  <c r="O1340" i="1"/>
  <c r="Q1340" i="1" s="1"/>
  <c r="O1341" i="1"/>
  <c r="O1342" i="1"/>
  <c r="P1342" i="1" s="1"/>
  <c r="O1343" i="1"/>
  <c r="Q1343" i="1" s="1"/>
  <c r="O1344" i="1"/>
  <c r="Q1344" i="1" s="1"/>
  <c r="O1345" i="1"/>
  <c r="Q1345" i="1" s="1"/>
  <c r="O1346" i="1"/>
  <c r="P1346" i="1" s="1"/>
  <c r="O1347" i="1"/>
  <c r="N1347" i="1" s="1"/>
  <c r="O1348" i="1"/>
  <c r="P1348" i="1" s="1"/>
  <c r="O1349" i="1"/>
  <c r="Q1349" i="1" s="1"/>
  <c r="O1350" i="1"/>
  <c r="P1350" i="1" s="1"/>
  <c r="O1351" i="1"/>
  <c r="N1351" i="1" s="1"/>
  <c r="O1352" i="1"/>
  <c r="Q1352" i="1" s="1"/>
  <c r="O1353" i="1"/>
  <c r="Q1353" i="1" s="1"/>
  <c r="O1354" i="1"/>
  <c r="P1354" i="1" s="1"/>
  <c r="O1355" i="1"/>
  <c r="N1355" i="1" s="1"/>
  <c r="O1358" i="1"/>
  <c r="O1359" i="1"/>
  <c r="Q1359" i="1" s="1"/>
  <c r="O1360" i="1"/>
  <c r="P1360" i="1" s="1"/>
  <c r="O1361" i="1"/>
  <c r="N1361" i="1" s="1"/>
  <c r="O1362" i="1"/>
  <c r="N1362" i="1" s="1"/>
  <c r="O1364" i="1"/>
  <c r="Q1364" i="1" s="1"/>
  <c r="O1365" i="1"/>
  <c r="P1365" i="1" s="1"/>
  <c r="O1366" i="1"/>
  <c r="N1366" i="1" s="1"/>
  <c r="O1376" i="1"/>
  <c r="P1376" i="1" s="1"/>
  <c r="O1377" i="1"/>
  <c r="O1378" i="1"/>
  <c r="P1378" i="1" s="1"/>
  <c r="O1379" i="1"/>
  <c r="Q1379" i="1" s="1"/>
  <c r="O1380" i="1"/>
  <c r="P1380" i="1" s="1"/>
  <c r="O1381" i="1"/>
  <c r="Q1381" i="1" s="1"/>
  <c r="O1382" i="1"/>
  <c r="O1383" i="1"/>
  <c r="Q1383" i="1" s="1"/>
  <c r="O1384" i="1"/>
  <c r="P1384" i="1" s="1"/>
  <c r="O1385" i="1"/>
  <c r="N1385" i="1" s="1"/>
  <c r="O1386" i="1"/>
  <c r="P1386" i="1" s="1"/>
  <c r="O1387" i="1"/>
  <c r="Q1387" i="1" s="1"/>
  <c r="O1388" i="1"/>
  <c r="P1388" i="1" s="1"/>
  <c r="O1389" i="1"/>
  <c r="O1390" i="1"/>
  <c r="N1390" i="1" s="1"/>
  <c r="O1391" i="1"/>
  <c r="Q1391" i="1" s="1"/>
  <c r="O1392" i="1"/>
  <c r="P1392" i="1" s="1"/>
  <c r="O1393" i="1"/>
  <c r="N1393" i="1" s="1"/>
  <c r="O1396" i="1"/>
  <c r="Q1396" i="1" s="1"/>
  <c r="O1397" i="1"/>
  <c r="Q1397" i="1" s="1"/>
  <c r="O1398" i="1"/>
  <c r="P1398" i="1" s="1"/>
  <c r="O1399" i="1"/>
  <c r="N1399" i="1" s="1"/>
  <c r="O1409" i="1"/>
  <c r="P1409" i="1" s="1"/>
  <c r="O1410" i="1"/>
  <c r="Q1410" i="1" s="1"/>
  <c r="O1412" i="1"/>
  <c r="Q1412" i="1" s="1"/>
  <c r="O1437" i="1"/>
  <c r="N1437" i="1" s="1"/>
  <c r="O1438" i="1"/>
  <c r="P1438" i="1" s="1"/>
  <c r="O1439" i="1"/>
  <c r="Q1439" i="1" s="1"/>
  <c r="O1440" i="1"/>
  <c r="P1440" i="1" s="1"/>
  <c r="O1441" i="1"/>
  <c r="O1442" i="1"/>
  <c r="N1442" i="1" s="1"/>
  <c r="O1443" i="1"/>
  <c r="Q1443" i="1" s="1"/>
  <c r="O1444" i="1"/>
  <c r="P1444" i="1" s="1"/>
  <c r="O1445" i="1"/>
  <c r="O1448" i="1"/>
  <c r="N1448" i="1" s="1"/>
  <c r="O1449" i="1"/>
  <c r="Q1449" i="1" s="1"/>
  <c r="O1450" i="1"/>
  <c r="O1451" i="1"/>
  <c r="Q1451" i="1" s="1"/>
  <c r="O1461" i="1"/>
  <c r="O1462" i="1"/>
  <c r="Q1462" i="1" s="1"/>
  <c r="O1463" i="1"/>
  <c r="N1463" i="1" s="1"/>
  <c r="O1464" i="1"/>
  <c r="Q1464" i="1" s="1"/>
  <c r="O1465" i="1"/>
  <c r="Q1465" i="1" s="1"/>
  <c r="O1466" i="1"/>
  <c r="O1467" i="1"/>
  <c r="Q1467" i="1" s="1"/>
  <c r="O1468" i="1"/>
  <c r="O1495" i="1"/>
  <c r="O1496" i="1"/>
  <c r="Q1496" i="1" s="1"/>
  <c r="O1497" i="1"/>
  <c r="N1497" i="1" s="1"/>
  <c r="O1498" i="1"/>
  <c r="Q1498" i="1" s="1"/>
  <c r="O1499" i="1"/>
  <c r="N1499" i="1" s="1"/>
  <c r="O1500" i="1"/>
  <c r="Q1500" i="1" s="1"/>
  <c r="O1501" i="1"/>
  <c r="O1502" i="1"/>
  <c r="Q1502" i="1" s="1"/>
  <c r="O1503" i="1"/>
  <c r="O1504" i="1"/>
  <c r="Q1504" i="1" s="1"/>
  <c r="O1507" i="1"/>
  <c r="N1507" i="1" s="1"/>
  <c r="O1508" i="1"/>
  <c r="Q1508" i="1" s="1"/>
  <c r="O1509" i="1"/>
  <c r="N1509" i="1" s="1"/>
  <c r="O1510" i="1"/>
  <c r="Q1510" i="1" s="1"/>
  <c r="O1520" i="1"/>
  <c r="N1520" i="1" s="1"/>
  <c r="O1521" i="1"/>
  <c r="Q1521" i="1" s="1"/>
  <c r="O1522" i="1"/>
  <c r="O1523" i="1"/>
  <c r="Q1523" i="1" s="1"/>
  <c r="O1524" i="1"/>
  <c r="Q1524" i="1" s="1"/>
  <c r="O1525" i="1"/>
  <c r="O1526" i="1"/>
  <c r="Q1526" i="1" s="1"/>
  <c r="O1527" i="1"/>
  <c r="N1527" i="1" s="1"/>
  <c r="O1554" i="1"/>
  <c r="N1554" i="1" s="1"/>
  <c r="O1555" i="1"/>
  <c r="Q1555" i="1" s="1"/>
  <c r="O1556" i="1"/>
  <c r="O1557" i="1"/>
  <c r="Q1557" i="1" s="1"/>
  <c r="O1558" i="1"/>
  <c r="O1559" i="1"/>
  <c r="Q1559" i="1" s="1"/>
  <c r="O1560" i="1"/>
  <c r="N1560" i="1" s="1"/>
  <c r="O1561" i="1"/>
  <c r="Q1561" i="1" s="1"/>
  <c r="O1562" i="1"/>
  <c r="N1562" i="1" s="1"/>
  <c r="O1563" i="1"/>
  <c r="Q1563" i="1" s="1"/>
  <c r="O1564" i="1"/>
  <c r="O1567" i="1"/>
  <c r="Q1567" i="1" s="1"/>
  <c r="O1568" i="1"/>
  <c r="O1569" i="1"/>
  <c r="Q1569" i="1" s="1"/>
  <c r="O1570" i="1"/>
  <c r="N1570" i="1" s="1"/>
  <c r="O1580" i="1"/>
  <c r="Q1580" i="1" s="1"/>
  <c r="O1581" i="1"/>
  <c r="O1582" i="1"/>
  <c r="Q1582" i="1" s="1"/>
  <c r="O1584" i="1"/>
  <c r="Q1584" i="1" s="1"/>
  <c r="O1585" i="1"/>
  <c r="N1585" i="1" s="1"/>
  <c r="O1586" i="1"/>
  <c r="Q1586" i="1" s="1"/>
  <c r="O1587" i="1"/>
  <c r="O1588" i="1"/>
  <c r="Q1588" i="1" s="1"/>
  <c r="O1589" i="1"/>
  <c r="O1590" i="1"/>
  <c r="Q1590" i="1" s="1"/>
  <c r="O1591" i="1"/>
  <c r="O1593" i="1"/>
  <c r="N1593" i="1" s="1"/>
  <c r="O1594" i="1"/>
  <c r="Q1594" i="1" s="1"/>
  <c r="O1595" i="1"/>
  <c r="O1596" i="1"/>
  <c r="Q1596" i="1" s="1"/>
  <c r="O1597" i="1"/>
  <c r="O1600" i="1"/>
  <c r="Q1600" i="1" s="1"/>
  <c r="O1601" i="1"/>
  <c r="O1602" i="1"/>
  <c r="Q1602" i="1" s="1"/>
  <c r="O1603" i="1"/>
  <c r="N1603" i="1" s="1"/>
  <c r="O1610" i="1"/>
  <c r="Q1610" i="1" s="1"/>
  <c r="O1611" i="1"/>
  <c r="O1612" i="1"/>
  <c r="Q1612" i="1" s="1"/>
  <c r="O1613" i="1"/>
  <c r="O1614" i="1"/>
  <c r="Q1614" i="1" s="1"/>
  <c r="O1616" i="1"/>
  <c r="N1616" i="1" s="1"/>
  <c r="O1618" i="1"/>
  <c r="N1618" i="1" s="1"/>
  <c r="O1619" i="1"/>
  <c r="Q1619" i="1" s="1"/>
  <c r="O1620" i="1"/>
  <c r="O1621" i="1"/>
  <c r="Q1621" i="1" s="1"/>
  <c r="O1624" i="1"/>
  <c r="O1625" i="1"/>
  <c r="Q1625" i="1" s="1"/>
  <c r="O1626" i="1"/>
  <c r="N1626" i="1" s="1"/>
  <c r="O1627" i="1"/>
  <c r="Q1627" i="1" s="1"/>
  <c r="O1637" i="1"/>
  <c r="O1638" i="1"/>
  <c r="Q1638" i="1" s="1"/>
  <c r="O1639" i="1"/>
  <c r="N1639" i="1" s="1"/>
  <c r="O1641" i="1"/>
  <c r="N1641" i="1" s="1"/>
  <c r="O1642" i="1"/>
  <c r="Q1642" i="1" s="1"/>
  <c r="O1643" i="1"/>
  <c r="O1644" i="1"/>
  <c r="Q1644" i="1" s="1"/>
  <c r="O1645" i="1"/>
  <c r="O1646" i="1"/>
  <c r="Q1646" i="1" s="1"/>
  <c r="O1647" i="1"/>
  <c r="N1647" i="1" s="1"/>
  <c r="O1648" i="1"/>
  <c r="Q1648" i="1" s="1"/>
  <c r="O1650" i="1"/>
  <c r="Q1650" i="1" s="1"/>
  <c r="O1651" i="1"/>
  <c r="O1652" i="1"/>
  <c r="Q1652" i="1" s="1"/>
  <c r="O1653" i="1"/>
  <c r="O1654" i="1"/>
  <c r="Q1654" i="1" s="1"/>
  <c r="O1656" i="1"/>
  <c r="O1657" i="1"/>
  <c r="Q1657" i="1" s="1"/>
  <c r="O1658" i="1"/>
  <c r="N1658" i="1" s="1"/>
  <c r="O1659" i="1"/>
  <c r="Q1659" i="1" s="1"/>
  <c r="O1666" i="1"/>
  <c r="O1667" i="1"/>
  <c r="Q1667" i="1" s="1"/>
  <c r="O1668" i="1"/>
  <c r="O1669" i="1"/>
  <c r="Q1669" i="1" s="1"/>
  <c r="O1670" i="1"/>
  <c r="N1670" i="1" s="1"/>
  <c r="O1671" i="1"/>
  <c r="Q1671" i="1" s="1"/>
  <c r="O1673" i="1"/>
  <c r="Q1673" i="1" s="1"/>
  <c r="O1674" i="1"/>
  <c r="O1675" i="1"/>
  <c r="Q1675" i="1" s="1"/>
  <c r="O1676" i="1"/>
  <c r="O1680" i="1"/>
  <c r="N1680" i="1" s="1"/>
  <c r="O1681" i="1"/>
  <c r="Q1681" i="1" s="1"/>
  <c r="O1682" i="1"/>
  <c r="P1682" i="1" s="1"/>
  <c r="O1692" i="1"/>
  <c r="Q1692" i="1" s="1"/>
  <c r="O1693" i="1"/>
  <c r="P1693" i="1" s="1"/>
  <c r="O1694" i="1"/>
  <c r="Q1694" i="1" s="1"/>
  <c r="O1695" i="1"/>
  <c r="P1695" i="1" s="1"/>
  <c r="O1697" i="1"/>
  <c r="Q1697" i="1" s="1"/>
  <c r="O1698" i="1"/>
  <c r="Q1698" i="1" s="1"/>
  <c r="O1699" i="1"/>
  <c r="Q1699" i="1" s="1"/>
  <c r="O1700" i="1"/>
  <c r="P1700" i="1" s="1"/>
  <c r="O1701" i="1"/>
  <c r="Q1701" i="1" s="1"/>
  <c r="O1703" i="1"/>
  <c r="P1703" i="1" s="1"/>
  <c r="O1704" i="1"/>
  <c r="Q1704" i="1" s="1"/>
  <c r="O1705" i="1"/>
  <c r="P1705" i="1" s="1"/>
  <c r="O1706" i="1"/>
  <c r="Q1706" i="1" s="1"/>
  <c r="O1707" i="1"/>
  <c r="P1707" i="1" s="1"/>
  <c r="O1709" i="1"/>
  <c r="Q1709" i="1" s="1"/>
  <c r="O1710" i="1"/>
  <c r="P1710" i="1" s="1"/>
  <c r="O1711" i="1"/>
  <c r="Q1711" i="1" s="1"/>
  <c r="O1712" i="1"/>
  <c r="P1712" i="1" s="1"/>
  <c r="O1713" i="1"/>
  <c r="P1713" i="1" s="1"/>
  <c r="O1714" i="1"/>
  <c r="P1714" i="1" s="1"/>
  <c r="O1715" i="1"/>
  <c r="P1715" i="1" s="1"/>
  <c r="O1716" i="1"/>
  <c r="P1716" i="1" s="1"/>
  <c r="O1717" i="1"/>
  <c r="P1717" i="1" s="1"/>
  <c r="O1718" i="1"/>
  <c r="P1718" i="1" s="1"/>
  <c r="O1725" i="1"/>
  <c r="P1725" i="1" s="1"/>
  <c r="O1726" i="1"/>
  <c r="P1726" i="1" s="1"/>
  <c r="O1727" i="1"/>
  <c r="P1727" i="1" s="1"/>
  <c r="O1728" i="1"/>
  <c r="P1728" i="1" s="1"/>
  <c r="O1729" i="1"/>
  <c r="P1729" i="1" s="1"/>
  <c r="O1730" i="1"/>
  <c r="P1730" i="1" s="1"/>
  <c r="O1731" i="1"/>
  <c r="P1731" i="1" s="1"/>
  <c r="O1733" i="1"/>
  <c r="P1733" i="1" s="1"/>
  <c r="O1734" i="1"/>
  <c r="P1734" i="1" s="1"/>
  <c r="O1735" i="1"/>
  <c r="P1735" i="1" s="1"/>
  <c r="O1738" i="1"/>
  <c r="P1738" i="1" s="1"/>
  <c r="O1739" i="1"/>
  <c r="P1739" i="1" s="1"/>
  <c r="O1740" i="1"/>
  <c r="P1740" i="1" s="1"/>
  <c r="O1741" i="1"/>
  <c r="P1741" i="1" s="1"/>
  <c r="O1751" i="1"/>
  <c r="P1751" i="1" s="1"/>
  <c r="O1752" i="1"/>
  <c r="O1753" i="1"/>
  <c r="P1753" i="1" s="1"/>
  <c r="O1754" i="1"/>
  <c r="O1755" i="1"/>
  <c r="P1755" i="1" s="1"/>
  <c r="O1756" i="1"/>
  <c r="P1756" i="1" s="1"/>
  <c r="O1757" i="1"/>
  <c r="P1757" i="1" s="1"/>
  <c r="O1758" i="1"/>
  <c r="O1759" i="1"/>
  <c r="P1759" i="1" s="1"/>
  <c r="O1761" i="1"/>
  <c r="O1762" i="1"/>
  <c r="P1762" i="1" s="1"/>
  <c r="O1763" i="1"/>
  <c r="O1764" i="1"/>
  <c r="P1764" i="1" s="1"/>
  <c r="O1765" i="1"/>
  <c r="O1766" i="1"/>
  <c r="P1766" i="1" s="1"/>
  <c r="O1767" i="1"/>
  <c r="O1769" i="1"/>
  <c r="P1769" i="1" s="1"/>
  <c r="O1770" i="1"/>
  <c r="O1771" i="1"/>
  <c r="P1771" i="1" s="1"/>
  <c r="O1772" i="1"/>
  <c r="O1773" i="1"/>
  <c r="P1773" i="1" s="1"/>
  <c r="O1781" i="1"/>
  <c r="O1782" i="1"/>
  <c r="P1782" i="1" s="1"/>
  <c r="O1783" i="1"/>
  <c r="O1784" i="1"/>
  <c r="P1784" i="1" s="1"/>
  <c r="O1785" i="1"/>
  <c r="O1786" i="1"/>
  <c r="P1786" i="1" s="1"/>
  <c r="O1787" i="1"/>
  <c r="O1788" i="1"/>
  <c r="P1788" i="1" s="1"/>
  <c r="O1789" i="1"/>
  <c r="O1790" i="1"/>
  <c r="P1790" i="1" s="1"/>
  <c r="O1792" i="1"/>
  <c r="P1792" i="1" s="1"/>
  <c r="O1793" i="1"/>
  <c r="O1794" i="1"/>
  <c r="P1794" i="1" s="1"/>
  <c r="O1797" i="1"/>
  <c r="O1798" i="1"/>
  <c r="P1798" i="1" s="1"/>
  <c r="O1799" i="1"/>
  <c r="O1800" i="1"/>
  <c r="P1800" i="1" s="1"/>
  <c r="O1810" i="1"/>
  <c r="P1810" i="1" s="1"/>
  <c r="O1811" i="1"/>
  <c r="O1812" i="1"/>
  <c r="P1812" i="1" s="1"/>
  <c r="O1858" i="1"/>
  <c r="O1865" i="1"/>
  <c r="P1865" i="1" s="1"/>
  <c r="O1866" i="1"/>
  <c r="O1867" i="1"/>
  <c r="P1867" i="1" s="1"/>
  <c r="O1868" i="1"/>
  <c r="O1869" i="1"/>
  <c r="P1869" i="1" s="1"/>
  <c r="O1870" i="1"/>
  <c r="O1871" i="1"/>
  <c r="P1871" i="1" s="1"/>
  <c r="O1872" i="1"/>
  <c r="O1873" i="1"/>
  <c r="P1873" i="1" s="1"/>
  <c r="O1875" i="1"/>
  <c r="P1875" i="1" s="1"/>
  <c r="O1876" i="1"/>
  <c r="O1879" i="1"/>
  <c r="O1884" i="1"/>
  <c r="P1884" i="1" s="1"/>
  <c r="O1900" i="1"/>
  <c r="O1901" i="1"/>
  <c r="P1901" i="1" s="1"/>
  <c r="O1911" i="1"/>
  <c r="P1911" i="1" s="1"/>
  <c r="O1912" i="1"/>
  <c r="O1913" i="1"/>
  <c r="P1913" i="1" s="1"/>
  <c r="O1944" i="1"/>
  <c r="O1945" i="1"/>
  <c r="P1945" i="1" s="1"/>
  <c r="O1946" i="1"/>
  <c r="O1947" i="1"/>
  <c r="P1947" i="1" s="1"/>
  <c r="O1948" i="1"/>
  <c r="O1949" i="1"/>
  <c r="P1949" i="1" s="1"/>
  <c r="O1951" i="1"/>
  <c r="P1951" i="1" s="1"/>
  <c r="O1952" i="1"/>
  <c r="O1955" i="1"/>
  <c r="O1956" i="1"/>
  <c r="O1957" i="1"/>
  <c r="P1957" i="1" s="1"/>
  <c r="O1958" i="1"/>
  <c r="O1968" i="1"/>
  <c r="P1968" i="1" s="1"/>
  <c r="O1969" i="1"/>
  <c r="O1970" i="1"/>
  <c r="P1970" i="1" s="1"/>
  <c r="O1972" i="1"/>
  <c r="P1972" i="1" s="1"/>
  <c r="O1973" i="1"/>
  <c r="O1974" i="1"/>
  <c r="P1974" i="1" s="1"/>
  <c r="O1975" i="1"/>
  <c r="O1976" i="1"/>
  <c r="P1976" i="1" s="1"/>
  <c r="O1977" i="1"/>
  <c r="O1978" i="1"/>
  <c r="P1978" i="1" s="1"/>
  <c r="O1979" i="1"/>
  <c r="O1980" i="1"/>
  <c r="P1980" i="1" s="1"/>
  <c r="O1981" i="1"/>
  <c r="O1982" i="1"/>
  <c r="P1982" i="1" s="1"/>
  <c r="O1983" i="1"/>
  <c r="O1984" i="1"/>
  <c r="P1984" i="1" s="1"/>
  <c r="O1985" i="1"/>
  <c r="O1986" i="1"/>
  <c r="P1986" i="1" s="1"/>
  <c r="O1987" i="1"/>
  <c r="O1988" i="1"/>
  <c r="P1988" i="1" s="1"/>
  <c r="O1989" i="1"/>
  <c r="O1990" i="1"/>
  <c r="P1990" i="1" s="1"/>
  <c r="O1991" i="1"/>
  <c r="O1992" i="1"/>
  <c r="P1992" i="1" s="1"/>
  <c r="O1993" i="1"/>
  <c r="O1994" i="1"/>
  <c r="P1994" i="1" s="1"/>
  <c r="O1995" i="1"/>
  <c r="O1996" i="1"/>
  <c r="P1996" i="1" s="1"/>
  <c r="O1997" i="1"/>
  <c r="O1998" i="1"/>
  <c r="P1998" i="1" s="1"/>
  <c r="O1999" i="1"/>
  <c r="O2000" i="1"/>
  <c r="P2000" i="1" s="1"/>
  <c r="O2007" i="1"/>
  <c r="O2008" i="1"/>
  <c r="P2008" i="1" s="1"/>
  <c r="O2009" i="1"/>
  <c r="O2010" i="1"/>
  <c r="P2010" i="1" s="1"/>
  <c r="O2011" i="1"/>
  <c r="O2012" i="1"/>
  <c r="P2012" i="1" s="1"/>
  <c r="O2013" i="1"/>
  <c r="O2015" i="1"/>
  <c r="P2015" i="1" s="1"/>
  <c r="O2016" i="1"/>
  <c r="O2019" i="1"/>
  <c r="P2019" i="1" s="1"/>
  <c r="O2020" i="1"/>
  <c r="O2021" i="1"/>
  <c r="P2021" i="1" s="1"/>
  <c r="O2022" i="1"/>
  <c r="O2032" i="1"/>
  <c r="P2032" i="1" s="1"/>
  <c r="O2033" i="1"/>
  <c r="O2034" i="1"/>
  <c r="P2034" i="1" s="1"/>
  <c r="O2035" i="1"/>
  <c r="O2037" i="1"/>
  <c r="P2037" i="1" s="1"/>
  <c r="O2038" i="1"/>
  <c r="P2038" i="1" s="1"/>
  <c r="O2039" i="1"/>
  <c r="P2039" i="1" s="1"/>
  <c r="O2040" i="1"/>
  <c r="O2041" i="1"/>
  <c r="P2041" i="1" s="1"/>
  <c r="O2043" i="1"/>
  <c r="O2044" i="1"/>
  <c r="P2044" i="1" s="1"/>
  <c r="O2045" i="1"/>
  <c r="O2046" i="1"/>
  <c r="P2046" i="1" s="1"/>
  <c r="O2047" i="1"/>
  <c r="O2049" i="1"/>
  <c r="P2049" i="1" s="1"/>
  <c r="O2050" i="1"/>
  <c r="O2051" i="1"/>
  <c r="P2051" i="1" s="1"/>
  <c r="O2052" i="1"/>
  <c r="O2053" i="1"/>
  <c r="P2053" i="1" s="1"/>
  <c r="O2054" i="1"/>
  <c r="O2062" i="1"/>
  <c r="P2062" i="1" s="1"/>
  <c r="O2063" i="1"/>
  <c r="O2064" i="1"/>
  <c r="P2064" i="1" s="1"/>
  <c r="O2065" i="1"/>
  <c r="O2066" i="1"/>
  <c r="P2066" i="1" s="1"/>
  <c r="O2067" i="1"/>
  <c r="O2068" i="1"/>
  <c r="P2068" i="1" s="1"/>
  <c r="O2069" i="1"/>
  <c r="O2070" i="1"/>
  <c r="P2070" i="1" s="1"/>
  <c r="O2071" i="1"/>
  <c r="O2073" i="1"/>
  <c r="O2074" i="1"/>
  <c r="P2074" i="1" s="1"/>
  <c r="O2075" i="1"/>
  <c r="O2078" i="1"/>
  <c r="P2078" i="1" s="1"/>
  <c r="O2079" i="1"/>
  <c r="O2080" i="1"/>
  <c r="P2080" i="1" s="1"/>
  <c r="O2081" i="1"/>
  <c r="O2091" i="1"/>
  <c r="P2091" i="1" s="1"/>
  <c r="O2092" i="1"/>
  <c r="O2093" i="1"/>
  <c r="P2093" i="1" s="1"/>
  <c r="O2094" i="1"/>
  <c r="O2096" i="1"/>
  <c r="P2096" i="1" s="1"/>
  <c r="O2097" i="1"/>
  <c r="P2097" i="1" s="1"/>
  <c r="O2098" i="1"/>
  <c r="P2098" i="1" s="1"/>
  <c r="O2099" i="1"/>
  <c r="O2100" i="1"/>
  <c r="P2100" i="1" s="1"/>
  <c r="O2102" i="1"/>
  <c r="O2103" i="1"/>
  <c r="P2103" i="1" s="1"/>
  <c r="O2104" i="1"/>
  <c r="O2105" i="1"/>
  <c r="P2105" i="1" s="1"/>
  <c r="O2106" i="1"/>
  <c r="O2108" i="1"/>
  <c r="P2108" i="1" s="1"/>
  <c r="O2109" i="1"/>
  <c r="O2111" i="1"/>
  <c r="P2111" i="1" s="1"/>
  <c r="O2112" i="1"/>
  <c r="O2113" i="1"/>
  <c r="P2113" i="1" s="1"/>
  <c r="O2114" i="1"/>
  <c r="O2115" i="1"/>
  <c r="P2115" i="1" s="1"/>
  <c r="O2123" i="1"/>
  <c r="O2124" i="1"/>
  <c r="P2124" i="1" s="1"/>
  <c r="O2125" i="1"/>
  <c r="O2126" i="1"/>
  <c r="P2126" i="1" s="1"/>
  <c r="O2127" i="1"/>
  <c r="Q2127" i="1" s="1"/>
  <c r="O2128" i="1"/>
  <c r="P2128" i="1" s="1"/>
  <c r="O2129" i="1"/>
  <c r="Q2129" i="1" s="1"/>
  <c r="O2130" i="1"/>
  <c r="P2130" i="1" s="1"/>
  <c r="O2131" i="1"/>
  <c r="Q2131" i="1" s="1"/>
  <c r="O2132" i="1"/>
  <c r="P2132" i="1" s="1"/>
  <c r="O2134" i="1"/>
  <c r="P2134" i="1" s="1"/>
  <c r="O2135" i="1"/>
  <c r="Q2135" i="1" s="1"/>
  <c r="O2136" i="1"/>
  <c r="P2136" i="1" s="1"/>
  <c r="O2139" i="1"/>
  <c r="Q2139" i="1" s="1"/>
  <c r="O2140" i="1"/>
  <c r="P2140" i="1" s="1"/>
  <c r="O2141" i="1"/>
  <c r="Q2141" i="1" s="1"/>
  <c r="O2142" i="1"/>
  <c r="P2142" i="1" s="1"/>
  <c r="O2152" i="1"/>
  <c r="O2153" i="1"/>
  <c r="Q2153" i="1" s="1"/>
  <c r="O2154" i="1"/>
  <c r="P2154" i="1" s="1"/>
  <c r="O2208" i="1"/>
  <c r="O2209" i="1"/>
  <c r="Q2209" i="1" s="1"/>
  <c r="O2210" i="1"/>
  <c r="O2211" i="1"/>
  <c r="O2212" i="1"/>
  <c r="O2213" i="1"/>
  <c r="Q2213" i="1" s="1"/>
  <c r="O2215" i="1"/>
  <c r="Q2215" i="1" s="1"/>
  <c r="O2216" i="1"/>
  <c r="O2219" i="1"/>
  <c r="O2224" i="1"/>
  <c r="O2240" i="1"/>
  <c r="O2241" i="1"/>
  <c r="Q2241" i="1" s="1"/>
  <c r="O2251" i="1"/>
  <c r="O2252" i="1"/>
  <c r="O2253" i="1"/>
  <c r="Q2253" i="1" s="1"/>
  <c r="O2287" i="1"/>
  <c r="O2288" i="1"/>
  <c r="Q2288" i="1" s="1"/>
  <c r="O2289" i="1"/>
  <c r="O2290" i="1"/>
  <c r="O2291" i="1"/>
  <c r="O2292" i="1"/>
  <c r="Q2292" i="1" s="1"/>
  <c r="O2294" i="1"/>
  <c r="Q2294" i="1" s="1"/>
  <c r="O2295" i="1"/>
  <c r="O2298" i="1"/>
  <c r="O2299" i="1"/>
  <c r="O2300" i="1"/>
  <c r="Q2300" i="1" s="1"/>
  <c r="O2301" i="1"/>
  <c r="O2311" i="1"/>
  <c r="Q2311" i="1" s="1"/>
  <c r="O2312" i="1"/>
  <c r="O2313" i="1"/>
  <c r="Q2313" i="1" s="1"/>
  <c r="O2315" i="1"/>
  <c r="O2316" i="1"/>
  <c r="O2317" i="1"/>
  <c r="Q2317" i="1" s="1"/>
  <c r="O2318" i="1"/>
  <c r="O2319" i="1"/>
  <c r="Q2319" i="1" s="1"/>
  <c r="O2320" i="1"/>
  <c r="O2321" i="1"/>
  <c r="Q2321" i="1" s="1"/>
  <c r="O2322" i="1"/>
  <c r="O2323" i="1"/>
  <c r="O2324" i="1"/>
  <c r="O2325" i="1"/>
  <c r="Q2325" i="1" s="1"/>
  <c r="O2326" i="1"/>
  <c r="O2327" i="1"/>
  <c r="Q2327" i="1" s="1"/>
  <c r="O2328" i="1"/>
  <c r="O2329" i="1"/>
  <c r="Q2329" i="1" s="1"/>
  <c r="O2330" i="1"/>
  <c r="O2331" i="1"/>
  <c r="O2332" i="1"/>
  <c r="O2333" i="1"/>
  <c r="Q2333" i="1" s="1"/>
  <c r="O2334" i="1"/>
  <c r="O2335" i="1"/>
  <c r="Q2335" i="1" s="1"/>
  <c r="O2336" i="1"/>
  <c r="O2337" i="1"/>
  <c r="N2337" i="1" s="1"/>
  <c r="O2338" i="1"/>
  <c r="N2338" i="1" s="1"/>
  <c r="O2341" i="1"/>
  <c r="P2341" i="1" s="1"/>
  <c r="O2342" i="1"/>
  <c r="O2343" i="1"/>
  <c r="N2343" i="1" s="1"/>
  <c r="O2344" i="1"/>
  <c r="N2344" i="1" s="1"/>
  <c r="O2345" i="1"/>
  <c r="N2345" i="1" s="1"/>
  <c r="O2352" i="1"/>
  <c r="O2353" i="1"/>
  <c r="P2353" i="1" s="1"/>
  <c r="O2354" i="1"/>
  <c r="Q2354" i="1" s="1"/>
  <c r="O2355" i="1"/>
  <c r="O2356" i="1"/>
  <c r="Q2356" i="1" s="1"/>
  <c r="O2357" i="1"/>
  <c r="Q2357" i="1" s="1"/>
  <c r="O2358" i="1"/>
  <c r="Q2358" i="1" s="1"/>
  <c r="O2360" i="1"/>
  <c r="Q2360" i="1" s="1"/>
  <c r="O2361" i="1"/>
  <c r="Q2361" i="1" s="1"/>
  <c r="O2364" i="1"/>
  <c r="Q2364" i="1" s="1"/>
  <c r="O2365" i="1"/>
  <c r="Q2365" i="1" s="1"/>
  <c r="O2366" i="1"/>
  <c r="Q2366" i="1" s="1"/>
  <c r="O2367" i="1"/>
  <c r="Q2367" i="1" s="1"/>
  <c r="O2377" i="1"/>
  <c r="Q2377" i="1" s="1"/>
  <c r="O2378" i="1"/>
  <c r="Q2378" i="1" s="1"/>
  <c r="O2379" i="1"/>
  <c r="Q2379" i="1" s="1"/>
  <c r="O2380" i="1"/>
  <c r="Q2380" i="1" s="1"/>
  <c r="O2382" i="1"/>
  <c r="Q2382" i="1" s="1"/>
  <c r="O2383" i="1"/>
  <c r="Q2383" i="1" s="1"/>
  <c r="O2384" i="1"/>
  <c r="Q2384" i="1" s="1"/>
  <c r="O2385" i="1"/>
  <c r="Q2385" i="1" s="1"/>
  <c r="O2386" i="1"/>
  <c r="O2388" i="1"/>
  <c r="Q2388" i="1" s="1"/>
  <c r="O2389" i="1"/>
  <c r="Q2389" i="1" s="1"/>
  <c r="O2390" i="1"/>
  <c r="Q2390" i="1" s="1"/>
  <c r="O2391" i="1"/>
  <c r="O2392" i="1"/>
  <c r="Q2392" i="1" s="1"/>
  <c r="O2393" i="1"/>
  <c r="Q2393" i="1" s="1"/>
  <c r="O2395" i="1"/>
  <c r="O2396" i="1"/>
  <c r="O2397" i="1"/>
  <c r="Q2397" i="1" s="1"/>
  <c r="O2398" i="1"/>
  <c r="O2399" i="1"/>
  <c r="O2400" i="1"/>
  <c r="O2401" i="1"/>
  <c r="O2402" i="1"/>
  <c r="Q2402" i="1" s="1"/>
  <c r="O2420" i="1"/>
  <c r="O2421" i="1"/>
  <c r="O2422" i="1"/>
  <c r="O2423" i="1"/>
  <c r="Q2423" i="1" s="1"/>
  <c r="O2424" i="1"/>
  <c r="O2425" i="1"/>
  <c r="O2426" i="1"/>
  <c r="O2427" i="1"/>
  <c r="Q2427" i="1" s="1"/>
  <c r="O2428" i="1"/>
  <c r="O2429" i="1"/>
  <c r="O2430" i="1"/>
  <c r="O2432" i="1"/>
  <c r="Q2432" i="1" s="1"/>
  <c r="O2433" i="1"/>
  <c r="O2434" i="1"/>
  <c r="O2435" i="1"/>
  <c r="O2437" i="1"/>
  <c r="O2438" i="1"/>
  <c r="O2439" i="1"/>
  <c r="O2440" i="1"/>
  <c r="O2450" i="1"/>
  <c r="Q2450" i="1" s="1"/>
  <c r="O2451" i="1"/>
  <c r="O2452" i="1"/>
  <c r="O2453" i="1"/>
  <c r="O2455" i="1"/>
  <c r="Q2455" i="1" s="1"/>
  <c r="O2456" i="1"/>
  <c r="O2457" i="1"/>
  <c r="O2458" i="1"/>
  <c r="O2459" i="1"/>
  <c r="O2461" i="1"/>
  <c r="O2462" i="1"/>
  <c r="O2463" i="1"/>
  <c r="O2464" i="1"/>
  <c r="O2465" i="1"/>
  <c r="O2467" i="1"/>
  <c r="Q2467" i="1" s="1"/>
  <c r="O2470" i="1"/>
  <c r="O2471" i="1"/>
  <c r="O2472" i="1"/>
  <c r="O2473" i="1"/>
  <c r="Q2473" i="1" s="1"/>
  <c r="O2474" i="1"/>
  <c r="O2475" i="1"/>
  <c r="O2482" i="1"/>
  <c r="O2483" i="1"/>
  <c r="Q2483" i="1" s="1"/>
  <c r="O2484" i="1"/>
  <c r="O2485" i="1"/>
  <c r="O2486" i="1"/>
  <c r="O2487" i="1"/>
  <c r="Q2487" i="1" s="1"/>
  <c r="O2488" i="1"/>
  <c r="O2489" i="1"/>
  <c r="O2490" i="1"/>
  <c r="O2491" i="1"/>
  <c r="O2493" i="1"/>
  <c r="O2494" i="1"/>
  <c r="O2495" i="1"/>
  <c r="O2498" i="1"/>
  <c r="Q2498" i="1" s="1"/>
  <c r="O2499" i="1"/>
  <c r="O2500" i="1"/>
  <c r="O2501" i="1"/>
  <c r="O2511" i="1"/>
  <c r="O2512" i="1"/>
  <c r="O2514" i="1"/>
  <c r="O2515" i="1"/>
  <c r="O2516" i="1"/>
  <c r="O2518" i="1"/>
  <c r="O2519" i="1"/>
  <c r="Q2519" i="1" s="1"/>
  <c r="O2520" i="1"/>
  <c r="O2521" i="1"/>
  <c r="O2522" i="1"/>
  <c r="O2529" i="1"/>
  <c r="Q2529" i="1" s="1"/>
  <c r="O2530" i="1"/>
  <c r="O2531" i="1"/>
  <c r="O2532" i="1"/>
  <c r="O2533" i="1"/>
  <c r="Q2533" i="1" s="1"/>
  <c r="O2534" i="1"/>
  <c r="O2535" i="1"/>
  <c r="O2536" i="1"/>
  <c r="O2537" i="1"/>
  <c r="Q2537" i="1" s="1"/>
  <c r="O2538" i="1"/>
  <c r="O2541" i="1"/>
  <c r="O2542" i="1"/>
  <c r="O2543" i="1"/>
  <c r="Q2543" i="1" s="1"/>
  <c r="O2544" i="1"/>
  <c r="O2554" i="1"/>
  <c r="Q2554" i="1" s="1"/>
  <c r="O2555" i="1"/>
  <c r="O2556" i="1"/>
  <c r="O2557" i="1"/>
  <c r="O2558" i="1"/>
  <c r="Q2558" i="1" s="1"/>
  <c r="O2559" i="1"/>
  <c r="O2560" i="1"/>
  <c r="O2561" i="1"/>
  <c r="O2568" i="1"/>
  <c r="O2569" i="1"/>
  <c r="O2570" i="1"/>
  <c r="O2571" i="1"/>
  <c r="O2572" i="1"/>
  <c r="Q2572" i="1" s="1"/>
  <c r="O2573" i="1"/>
  <c r="O2574" i="1"/>
  <c r="O2575" i="1"/>
  <c r="O2576" i="1"/>
  <c r="O2577" i="1"/>
  <c r="O2580" i="1"/>
  <c r="O2581" i="1"/>
  <c r="O2681" i="1"/>
  <c r="Q2681" i="1" s="1"/>
  <c r="O2682" i="1"/>
  <c r="O2692" i="1"/>
  <c r="Q2692" i="1" s="1"/>
  <c r="O2693" i="1"/>
  <c r="O2694" i="1"/>
  <c r="O2728" i="1"/>
  <c r="O2729" i="1"/>
  <c r="P2729" i="1" s="1"/>
  <c r="O2730" i="1"/>
  <c r="O2731" i="1"/>
  <c r="O2732" i="1"/>
  <c r="N2732" i="1" s="1"/>
  <c r="O2733" i="1"/>
  <c r="P2733" i="1" s="1"/>
  <c r="O2734" i="1"/>
  <c r="Q2734" i="1" s="1"/>
  <c r="O2735" i="1"/>
  <c r="O2736" i="1"/>
  <c r="O2739" i="1"/>
  <c r="Q2739" i="1" s="1"/>
  <c r="O2741" i="1"/>
  <c r="O2742" i="1"/>
  <c r="P2742" i="1" s="1"/>
  <c r="O2743" i="1"/>
  <c r="O2753" i="1"/>
  <c r="O2754" i="1"/>
  <c r="O2755" i="1"/>
  <c r="P2755" i="1" s="1"/>
  <c r="O2757" i="1"/>
  <c r="O2758" i="1"/>
  <c r="N2758" i="1" s="1"/>
  <c r="O2759" i="1"/>
  <c r="O2760" i="1"/>
  <c r="N2760" i="1" s="1"/>
  <c r="O2761" i="1"/>
  <c r="O2762" i="1"/>
  <c r="O2763" i="1"/>
  <c r="P2763" i="1" s="1"/>
  <c r="O2764" i="1"/>
  <c r="O2765" i="1"/>
  <c r="O2766" i="1"/>
  <c r="N2766" i="1" s="1"/>
  <c r="O2767" i="1"/>
  <c r="P2767" i="1" s="1"/>
  <c r="O2768" i="1"/>
  <c r="Q2768" i="1" s="1"/>
  <c r="O2769" i="1"/>
  <c r="O2770" i="1"/>
  <c r="O2771" i="1"/>
  <c r="P2771" i="1" s="1"/>
  <c r="O2772" i="1"/>
  <c r="Q2772" i="1" s="1"/>
  <c r="O2773" i="1"/>
  <c r="O2774" i="1"/>
  <c r="N2774" i="1" s="1"/>
  <c r="O2775" i="1"/>
  <c r="O2776" i="1"/>
  <c r="Q2776" i="1" s="1"/>
  <c r="O2777" i="1"/>
  <c r="O2778" i="1"/>
  <c r="O2779" i="1"/>
  <c r="P2779" i="1" s="1"/>
  <c r="O2780" i="1"/>
  <c r="N2780" i="1" s="1"/>
  <c r="O2781" i="1"/>
  <c r="O2782" i="1"/>
  <c r="N2782" i="1" s="1"/>
  <c r="O2783" i="1"/>
  <c r="P2783" i="1" s="1"/>
  <c r="O2784" i="1"/>
  <c r="Q2784" i="1" s="1"/>
  <c r="O2785" i="1"/>
  <c r="O2792" i="1"/>
  <c r="O2793" i="1"/>
  <c r="P2793" i="1" s="1"/>
  <c r="O2794" i="1"/>
  <c r="Q2794" i="1" s="1"/>
  <c r="O2795" i="1"/>
  <c r="O2796" i="1"/>
  <c r="N2796" i="1" s="1"/>
  <c r="O2797" i="1"/>
  <c r="O2798" i="1"/>
  <c r="P2798" i="1" s="1"/>
  <c r="O2800" i="1"/>
  <c r="O2801" i="1"/>
  <c r="O2804" i="1"/>
  <c r="P2804" i="1" s="1"/>
  <c r="O2805" i="1"/>
  <c r="O2582" i="1"/>
  <c r="O2583" i="1"/>
  <c r="N2583" i="1" s="1"/>
  <c r="O2593" i="1"/>
  <c r="O2594" i="1"/>
  <c r="O2596" i="1"/>
  <c r="O2649" i="1"/>
  <c r="Q2649" i="1" s="1"/>
  <c r="O2650" i="1"/>
  <c r="P2650" i="1" s="1"/>
  <c r="O2651" i="1"/>
  <c r="N2651" i="1" s="1"/>
  <c r="O2652" i="1"/>
  <c r="O2653" i="1"/>
  <c r="Q2653" i="1" s="1"/>
  <c r="O2654" i="1"/>
  <c r="O2655" i="1"/>
  <c r="P2655" i="1" s="1"/>
  <c r="O2656" i="1"/>
  <c r="O2657" i="1"/>
  <c r="Q2657" i="1" s="1"/>
  <c r="O2660" i="1"/>
  <c r="N2660" i="1" s="1"/>
  <c r="O2665" i="1"/>
  <c r="O2806" i="1"/>
  <c r="O2807" i="1"/>
  <c r="Q2807" i="1" s="1"/>
  <c r="O2817" i="1"/>
  <c r="O2818" i="1"/>
  <c r="Q2818" i="1" s="1"/>
  <c r="O2819" i="1"/>
  <c r="O2883" i="1"/>
  <c r="Q2883" i="1" s="1"/>
  <c r="O2884" i="1"/>
  <c r="O2886" i="1"/>
  <c r="Q2886" i="1" s="1"/>
  <c r="O2887" i="1"/>
  <c r="O2888" i="1"/>
  <c r="Q2888" i="1" s="1"/>
  <c r="O2889" i="1"/>
  <c r="O2890" i="1"/>
  <c r="Q2890" i="1" s="1"/>
  <c r="O2891" i="1"/>
  <c r="O2892" i="1"/>
  <c r="Q2892" i="1" s="1"/>
  <c r="O2893" i="1"/>
  <c r="Q2893" i="1" s="1"/>
  <c r="O2894" i="1"/>
  <c r="Q2894" i="1" s="1"/>
  <c r="O2896" i="1"/>
  <c r="Q2896" i="1" s="1"/>
  <c r="O2897" i="1"/>
  <c r="Q2897" i="1" s="1"/>
  <c r="O2898" i="1"/>
  <c r="Q2898" i="1" s="1"/>
  <c r="O2899" i="1"/>
  <c r="Q2899" i="1" s="1"/>
  <c r="O2906" i="1"/>
  <c r="Q2906" i="1" s="1"/>
  <c r="O2907" i="1"/>
  <c r="Q2907" i="1" s="1"/>
  <c r="O2908" i="1"/>
  <c r="Q2908" i="1" s="1"/>
  <c r="O2927" i="1"/>
  <c r="Q2927" i="1" s="1"/>
  <c r="O2928" i="1"/>
  <c r="Q2928" i="1" s="1"/>
  <c r="O2929" i="1"/>
  <c r="Q2929" i="1" s="1"/>
  <c r="O2930" i="1"/>
  <c r="Q2930" i="1" s="1"/>
  <c r="O2931" i="1"/>
  <c r="Q2931" i="1" s="1"/>
  <c r="O2932" i="1"/>
  <c r="Q2932" i="1" s="1"/>
  <c r="O2933" i="1"/>
  <c r="Q2933" i="1" s="1"/>
  <c r="O2934" i="1"/>
  <c r="Q2934" i="1" s="1"/>
  <c r="O2935" i="1"/>
  <c r="Q2935" i="1" s="1"/>
  <c r="O2936" i="1"/>
  <c r="Q2936" i="1" s="1"/>
  <c r="O2937" i="1"/>
  <c r="Q2937" i="1" s="1"/>
  <c r="O2938" i="1"/>
  <c r="Q2938" i="1" s="1"/>
  <c r="O2941" i="1"/>
  <c r="Q2941" i="1" s="1"/>
  <c r="O2942" i="1"/>
  <c r="Q2942" i="1" s="1"/>
  <c r="O2943" i="1"/>
  <c r="Q2943" i="1" s="1"/>
  <c r="O2944" i="1"/>
  <c r="Q2944" i="1" s="1"/>
  <c r="O2954" i="1"/>
  <c r="Q2954" i="1" s="1"/>
  <c r="O2955" i="1"/>
  <c r="Q2955" i="1" s="1"/>
  <c r="O2956" i="1"/>
  <c r="Q2956" i="1" s="1"/>
  <c r="O2957" i="1"/>
  <c r="Q2957" i="1" s="1"/>
  <c r="O2958" i="1"/>
  <c r="Q2958" i="1" s="1"/>
  <c r="O2960" i="1"/>
  <c r="Q2960" i="1" s="1"/>
  <c r="O2961" i="1"/>
  <c r="Q2961" i="1" s="1"/>
  <c r="O2962" i="1"/>
  <c r="Q2962" i="1" s="1"/>
  <c r="O2963" i="1"/>
  <c r="Q2963" i="1" s="1"/>
  <c r="O2964" i="1"/>
  <c r="Q2964" i="1" s="1"/>
  <c r="O2967" i="1"/>
  <c r="Q2967" i="1" s="1"/>
  <c r="O2968" i="1"/>
  <c r="Q2968" i="1" s="1"/>
  <c r="O2969" i="1"/>
  <c r="Q2969" i="1" s="1"/>
  <c r="O2976" i="1"/>
  <c r="Q2976" i="1" s="1"/>
  <c r="O2977" i="1"/>
  <c r="Q2977" i="1" s="1"/>
  <c r="O2978" i="1"/>
  <c r="Q2978" i="1" s="1"/>
  <c r="O2979" i="1"/>
  <c r="Q2979" i="1" s="1"/>
  <c r="O2980" i="1"/>
  <c r="Q2980" i="1" s="1"/>
  <c r="O2981" i="1"/>
  <c r="Q2981" i="1" s="1"/>
  <c r="O2982" i="1"/>
  <c r="Q2982" i="1" s="1"/>
  <c r="O2983" i="1"/>
  <c r="Q2983" i="1" s="1"/>
  <c r="O2984" i="1"/>
  <c r="Q2984" i="1" s="1"/>
  <c r="O2985" i="1"/>
  <c r="Q2985" i="1" s="1"/>
  <c r="O2988" i="1"/>
  <c r="Q2988" i="1" s="1"/>
  <c r="O2989" i="1"/>
  <c r="Q2989" i="1" s="1"/>
  <c r="O3037" i="1"/>
  <c r="Q3037" i="1" s="1"/>
  <c r="O3038" i="1"/>
  <c r="Q3038" i="1" s="1"/>
  <c r="O3048" i="1"/>
  <c r="Q3048" i="1" s="1"/>
  <c r="O3049" i="1"/>
  <c r="Q3049" i="1" s="1"/>
  <c r="O3050" i="1"/>
  <c r="Q3050" i="1" s="1"/>
  <c r="O3103" i="1"/>
  <c r="Q3103" i="1" s="1"/>
  <c r="O3104" i="1"/>
  <c r="Q3104" i="1" s="1"/>
  <c r="O3105" i="1"/>
  <c r="Q3105" i="1" s="1"/>
  <c r="O3106" i="1"/>
  <c r="Q3106" i="1" s="1"/>
  <c r="O3107" i="1"/>
  <c r="Q3107" i="1" s="1"/>
  <c r="O3108" i="1"/>
  <c r="Q3108" i="1" s="1"/>
  <c r="O3109" i="1"/>
  <c r="Q3109" i="1" s="1"/>
  <c r="O3110" i="1"/>
  <c r="Q3110" i="1" s="1"/>
  <c r="O3111" i="1"/>
  <c r="Q3111" i="1" s="1"/>
  <c r="O3112" i="1"/>
  <c r="Q3112" i="1" s="1"/>
  <c r="O3115" i="1"/>
  <c r="Q3115" i="1" s="1"/>
  <c r="O3120" i="1"/>
  <c r="Q3120" i="1" s="1"/>
  <c r="O3151" i="1"/>
  <c r="Q3151" i="1" s="1"/>
  <c r="O3152" i="1"/>
  <c r="Q3152" i="1" s="1"/>
  <c r="O3162" i="1"/>
  <c r="Q3162" i="1" s="1"/>
  <c r="O3163" i="1"/>
  <c r="Q3163" i="1" s="1"/>
  <c r="O3164" i="1"/>
  <c r="Q3164" i="1" s="1"/>
  <c r="O3209" i="1"/>
  <c r="Q3209" i="1" s="1"/>
  <c r="O3210" i="1"/>
  <c r="Q3210" i="1" s="1"/>
  <c r="O3211" i="1"/>
  <c r="Q3211" i="1" s="1"/>
  <c r="O3212" i="1"/>
  <c r="Q3212" i="1" s="1"/>
  <c r="O3213" i="1"/>
  <c r="Q3213" i="1" s="1"/>
  <c r="O3214" i="1"/>
  <c r="Q3214" i="1" s="1"/>
  <c r="O3215" i="1"/>
  <c r="Q3215" i="1" s="1"/>
  <c r="O3216" i="1"/>
  <c r="Q3216" i="1" s="1"/>
  <c r="O3217" i="1"/>
  <c r="Q3217" i="1" s="1"/>
  <c r="O3220" i="1"/>
  <c r="Q3220" i="1" s="1"/>
  <c r="O3227" i="1"/>
  <c r="Q3227" i="1" s="1"/>
  <c r="O3228" i="1"/>
  <c r="Q3228" i="1" s="1"/>
  <c r="O3238" i="1"/>
  <c r="Q3238" i="1" s="1"/>
  <c r="O3239" i="1"/>
  <c r="Q3239" i="1" s="1"/>
  <c r="O3241" i="1"/>
  <c r="Q3241" i="1" s="1"/>
  <c r="O3244" i="1"/>
  <c r="Q3244" i="1" s="1"/>
  <c r="O3245" i="1"/>
  <c r="Q3245" i="1" s="1"/>
  <c r="O3246" i="1"/>
  <c r="Q3246" i="1" s="1"/>
  <c r="O3247" i="1"/>
  <c r="Q3247" i="1" s="1"/>
  <c r="O3248" i="1"/>
  <c r="Q3248" i="1" s="1"/>
  <c r="O3249" i="1"/>
  <c r="Q3249" i="1" s="1"/>
  <c r="O3256" i="1"/>
  <c r="Q3256" i="1" s="1"/>
  <c r="O3257" i="1"/>
  <c r="Q3257" i="1" s="1"/>
  <c r="O3258" i="1"/>
  <c r="Q3258" i="1" s="1"/>
  <c r="O3259" i="1"/>
  <c r="Q3259" i="1" s="1"/>
  <c r="O3260" i="1"/>
  <c r="Q3260" i="1" s="1"/>
  <c r="O3261" i="1"/>
  <c r="Q3261" i="1" s="1"/>
  <c r="O3263" i="1"/>
  <c r="Q3263" i="1" s="1"/>
  <c r="O3264" i="1"/>
  <c r="Q3264" i="1" s="1"/>
  <c r="O3265" i="1"/>
  <c r="Q3265" i="1" s="1"/>
  <c r="O3268" i="1"/>
  <c r="Q3268" i="1" s="1"/>
  <c r="O3269" i="1"/>
  <c r="Q3269" i="1" s="1"/>
  <c r="O3270" i="1"/>
  <c r="Q3270" i="1" s="1"/>
  <c r="O3271" i="1"/>
  <c r="Q3271" i="1" s="1"/>
  <c r="O3280" i="1"/>
  <c r="Q3280" i="1" s="1"/>
  <c r="O3281" i="1"/>
  <c r="Q3281" i="1" s="1"/>
  <c r="O3282" i="1"/>
  <c r="Q3282" i="1" s="1"/>
  <c r="O3283" i="1"/>
  <c r="Q3283" i="1" s="1"/>
  <c r="O3336" i="1"/>
  <c r="Q3336" i="1" s="1"/>
  <c r="O3337" i="1"/>
  <c r="Q3337" i="1" s="1"/>
  <c r="O3338" i="1"/>
  <c r="Q3338" i="1" s="1"/>
  <c r="O3339" i="1"/>
  <c r="Q3339" i="1" s="1"/>
  <c r="O3340" i="1"/>
  <c r="Q3340" i="1" s="1"/>
  <c r="O3341" i="1"/>
  <c r="Q3341" i="1" s="1"/>
  <c r="O3343" i="1"/>
  <c r="Q3343" i="1" s="1"/>
  <c r="O3344" i="1"/>
  <c r="Q3344" i="1" s="1"/>
  <c r="O3347" i="1"/>
  <c r="Q3347" i="1" s="1"/>
  <c r="O3348" i="1"/>
  <c r="Q3348" i="1" s="1"/>
  <c r="O3349" i="1"/>
  <c r="Q3349" i="1" s="1"/>
  <c r="O3350" i="1"/>
  <c r="Q3350" i="1" s="1"/>
  <c r="O3360" i="1"/>
  <c r="Q3360" i="1" s="1"/>
  <c r="O3361" i="1"/>
  <c r="Q3361" i="1" s="1"/>
  <c r="O3362" i="1"/>
  <c r="Q3362" i="1" s="1"/>
  <c r="O3385" i="1"/>
  <c r="Q3385" i="1" s="1"/>
  <c r="O3386" i="1"/>
  <c r="Q3386" i="1" s="1"/>
  <c r="O3387" i="1"/>
  <c r="Q3387" i="1" s="1"/>
  <c r="O3388" i="1"/>
  <c r="Q3388" i="1" s="1"/>
  <c r="O3389" i="1"/>
  <c r="Q3389" i="1" s="1"/>
  <c r="O3390" i="1"/>
  <c r="Q3390" i="1" s="1"/>
  <c r="O3392" i="1"/>
  <c r="Q3392" i="1" s="1"/>
  <c r="O3393" i="1"/>
  <c r="Q3393" i="1" s="1"/>
  <c r="O3396" i="1"/>
  <c r="Q3396" i="1" s="1"/>
  <c r="O3397" i="1"/>
  <c r="Q3397" i="1" s="1"/>
  <c r="O3398" i="1"/>
  <c r="Q3398" i="1" s="1"/>
  <c r="O3399" i="1"/>
  <c r="Q3399" i="1" s="1"/>
  <c r="O3409" i="1"/>
  <c r="Q3409" i="1" s="1"/>
  <c r="O3410" i="1"/>
  <c r="Q3410" i="1" s="1"/>
  <c r="O3411" i="1"/>
  <c r="Q3411" i="1" s="1"/>
  <c r="O3412" i="1"/>
  <c r="Q3412" i="1" s="1"/>
  <c r="O3413" i="1"/>
  <c r="Q3413" i="1" s="1"/>
  <c r="O3414" i="1"/>
  <c r="Q3414" i="1" s="1"/>
  <c r="O3415" i="1"/>
  <c r="Q3415" i="1" s="1"/>
  <c r="O3416" i="1"/>
  <c r="Q3416" i="1" s="1"/>
  <c r="O3417" i="1"/>
  <c r="Q3417" i="1" s="1"/>
  <c r="O3418" i="1"/>
  <c r="Q3418" i="1" s="1"/>
  <c r="O3419" i="1"/>
  <c r="Q3419" i="1" s="1"/>
  <c r="O3420" i="1"/>
  <c r="Q3420" i="1" s="1"/>
  <c r="O3421" i="1"/>
  <c r="Q3421" i="1" s="1"/>
  <c r="O3422" i="1"/>
  <c r="Q3422" i="1" s="1"/>
  <c r="O3423" i="1"/>
  <c r="Q3423" i="1" s="1"/>
  <c r="O3424" i="1"/>
  <c r="Q3424" i="1" s="1"/>
  <c r="O3425" i="1"/>
  <c r="Q3425" i="1" s="1"/>
  <c r="O3426" i="1"/>
  <c r="Q3426" i="1" s="1"/>
  <c r="O3427" i="1"/>
  <c r="Q3427" i="1" s="1"/>
  <c r="O3428" i="1"/>
  <c r="Q3428" i="1" s="1"/>
  <c r="O3429" i="1"/>
  <c r="Q3429" i="1" s="1"/>
  <c r="O3431" i="1"/>
  <c r="Q3431" i="1" s="1"/>
  <c r="O3432" i="1"/>
  <c r="Q3432" i="1" s="1"/>
  <c r="O3433" i="1"/>
  <c r="Q3433" i="1" s="1"/>
  <c r="O3434" i="1"/>
  <c r="Q3434" i="1" s="1"/>
  <c r="O3435" i="1"/>
  <c r="Q3435" i="1" s="1"/>
  <c r="O3436" i="1"/>
  <c r="Q3436" i="1" s="1"/>
  <c r="O3437" i="1"/>
  <c r="Q3437" i="1" s="1"/>
  <c r="O3438" i="1"/>
  <c r="Q3438" i="1" s="1"/>
  <c r="O3439" i="1"/>
  <c r="Q3439" i="1" s="1"/>
  <c r="O3446" i="1"/>
  <c r="Q3446" i="1" s="1"/>
  <c r="O3447" i="1"/>
  <c r="Q3447" i="1" s="1"/>
  <c r="O3448" i="1"/>
  <c r="Q3448" i="1" s="1"/>
  <c r="O3449" i="1"/>
  <c r="Q3449" i="1" s="1"/>
  <c r="O3450" i="1"/>
  <c r="Q3450" i="1" s="1"/>
  <c r="O3451" i="1"/>
  <c r="Q3451" i="1" s="1"/>
  <c r="O3452" i="1"/>
  <c r="Q3452" i="1" s="1"/>
  <c r="O3453" i="1"/>
  <c r="Q3453" i="1" s="1"/>
  <c r="O3454" i="1"/>
  <c r="Q3454" i="1" s="1"/>
  <c r="O3455" i="1"/>
  <c r="Q3455" i="1" s="1"/>
  <c r="O3458" i="1"/>
  <c r="Q3458" i="1" s="1"/>
  <c r="O3459" i="1"/>
  <c r="Q3459" i="1" s="1"/>
  <c r="O3460" i="1"/>
  <c r="N3460" i="1" s="1"/>
  <c r="O3461" i="1"/>
  <c r="N3461" i="1" s="1"/>
  <c r="O3462" i="1"/>
  <c r="N3462" i="1" s="1"/>
  <c r="O3478" i="1"/>
  <c r="N3478" i="1" s="1"/>
  <c r="O3479" i="1"/>
  <c r="N3479" i="1" s="1"/>
  <c r="O3480" i="1"/>
  <c r="N3480" i="1" s="1"/>
  <c r="O3481" i="1"/>
  <c r="N3481" i="1" s="1"/>
  <c r="O3482" i="1"/>
  <c r="N3482" i="1" s="1"/>
  <c r="O3476" i="1"/>
  <c r="N3476" i="1" s="1"/>
  <c r="O3483" i="1"/>
  <c r="N3483" i="1" s="1"/>
  <c r="O3484" i="1"/>
  <c r="N3484" i="1" s="1"/>
  <c r="O3485" i="1"/>
  <c r="N3485" i="1" s="1"/>
  <c r="O3486" i="1"/>
  <c r="N3486" i="1" s="1"/>
  <c r="O3488" i="1"/>
  <c r="N3488" i="1" s="1"/>
  <c r="O3489" i="1"/>
  <c r="N3489" i="1" s="1"/>
  <c r="O3491" i="1"/>
  <c r="N3491" i="1" s="1"/>
  <c r="O3492" i="1"/>
  <c r="N3492" i="1" s="1"/>
  <c r="O3500" i="1"/>
  <c r="N3500" i="1" s="1"/>
  <c r="O3501" i="1"/>
  <c r="N3501" i="1" s="1"/>
  <c r="O3502" i="1"/>
  <c r="N3502" i="1" s="1"/>
  <c r="O3503" i="1"/>
  <c r="N3503" i="1" s="1"/>
  <c r="O3504" i="1"/>
  <c r="N3504" i="1" s="1"/>
  <c r="O3505" i="1"/>
  <c r="N3505" i="1" s="1"/>
  <c r="O3506" i="1"/>
  <c r="N3506" i="1" s="1"/>
  <c r="O3507" i="1"/>
  <c r="N3507" i="1" s="1"/>
  <c r="O3508" i="1"/>
  <c r="N3508" i="1" s="1"/>
  <c r="O3509" i="1"/>
  <c r="N3509" i="1" s="1"/>
  <c r="O3510" i="1"/>
  <c r="N3510" i="1" s="1"/>
  <c r="O3511" i="1"/>
  <c r="N3511" i="1" s="1"/>
  <c r="O3512" i="1"/>
  <c r="N3512" i="1" s="1"/>
  <c r="O3513" i="1"/>
  <c r="N3513" i="1" s="1"/>
  <c r="O3514" i="1"/>
  <c r="N3514" i="1" s="1"/>
  <c r="O3515" i="1"/>
  <c r="N3515" i="1" s="1"/>
  <c r="O3516" i="1"/>
  <c r="N3516" i="1" s="1"/>
  <c r="O3517" i="1"/>
  <c r="N3517" i="1" s="1"/>
  <c r="O3518" i="1"/>
  <c r="N3518" i="1" s="1"/>
  <c r="O3519" i="1"/>
  <c r="N3519" i="1" s="1"/>
  <c r="O3520" i="1"/>
  <c r="N3520" i="1" s="1"/>
  <c r="O3521" i="1"/>
  <c r="N3521" i="1" s="1"/>
  <c r="O3522" i="1"/>
  <c r="N3522" i="1" s="1"/>
  <c r="O3523" i="1"/>
  <c r="N3523" i="1" s="1"/>
  <c r="O3524" i="1"/>
  <c r="N3524" i="1" s="1"/>
  <c r="O3525" i="1"/>
  <c r="N3525" i="1" s="1"/>
  <c r="O3526" i="1"/>
  <c r="N3526" i="1" s="1"/>
  <c r="O3527" i="1"/>
  <c r="N3527" i="1" s="1"/>
  <c r="O3528" i="1"/>
  <c r="N3528" i="1" s="1"/>
  <c r="O3529" i="1"/>
  <c r="N3529" i="1" s="1"/>
  <c r="O3530" i="1"/>
  <c r="N3530" i="1" s="1"/>
  <c r="O3531" i="1"/>
  <c r="N3531" i="1" s="1"/>
  <c r="O3532" i="1"/>
  <c r="N3532" i="1" s="1"/>
  <c r="O3533" i="1"/>
  <c r="N3533" i="1" s="1"/>
  <c r="O3534" i="1"/>
  <c r="N3534" i="1" s="1"/>
  <c r="O3535" i="1"/>
  <c r="N3535" i="1" s="1"/>
  <c r="O3536" i="1"/>
  <c r="N3536" i="1" s="1"/>
  <c r="O3537" i="1"/>
  <c r="N3537" i="1" s="1"/>
  <c r="O3538" i="1"/>
  <c r="N3538" i="1" s="1"/>
  <c r="O3539" i="1"/>
  <c r="N3539" i="1" s="1"/>
  <c r="O3540" i="1"/>
  <c r="N3540" i="1" s="1"/>
  <c r="O3541" i="1"/>
  <c r="N3541" i="1" s="1"/>
  <c r="O3542" i="1"/>
  <c r="N3542" i="1" s="1"/>
  <c r="O3543" i="1"/>
  <c r="N3543" i="1" s="1"/>
  <c r="O3544" i="1"/>
  <c r="N3544" i="1" s="1"/>
  <c r="O3545" i="1"/>
  <c r="N3545" i="1" s="1"/>
  <c r="O3546" i="1"/>
  <c r="N3546" i="1" s="1"/>
  <c r="O3547" i="1"/>
  <c r="N3547" i="1" s="1"/>
  <c r="O3548" i="1"/>
  <c r="N3548" i="1" s="1"/>
  <c r="O3549" i="1"/>
  <c r="N3549" i="1" s="1"/>
  <c r="O3550" i="1"/>
  <c r="N3550" i="1" s="1"/>
  <c r="O3551" i="1"/>
  <c r="N3551" i="1" s="1"/>
  <c r="O3552" i="1"/>
  <c r="N3552" i="1" s="1"/>
  <c r="O3553" i="1"/>
  <c r="N3553" i="1" s="1"/>
  <c r="M248" i="1"/>
  <c r="M249" i="1"/>
  <c r="M255" i="1"/>
  <c r="M256" i="1"/>
  <c r="M259" i="1"/>
  <c r="M261" i="1"/>
  <c r="M262" i="1"/>
  <c r="M263" i="1"/>
  <c r="M264" i="1"/>
  <c r="M265" i="1"/>
  <c r="M266" i="1"/>
  <c r="M273" i="1"/>
  <c r="M274" i="1"/>
  <c r="M275" i="1"/>
  <c r="M276" i="1"/>
  <c r="M277" i="1"/>
  <c r="M278" i="1"/>
  <c r="M279" i="1"/>
  <c r="M280" i="1"/>
  <c r="M281" i="1"/>
  <c r="M282" i="1"/>
  <c r="M284" i="1"/>
  <c r="M285" i="1"/>
  <c r="M286" i="1"/>
  <c r="M289" i="1"/>
  <c r="M800" i="1"/>
  <c r="M801" i="1"/>
  <c r="M803" i="1"/>
  <c r="M804" i="1"/>
  <c r="M805" i="1"/>
  <c r="M806" i="1"/>
  <c r="M807" i="1"/>
  <c r="P3227" i="1" l="1"/>
  <c r="P597" i="1"/>
  <c r="P100" i="1"/>
  <c r="P3257" i="1"/>
  <c r="N2554" i="1"/>
  <c r="P3525" i="1"/>
  <c r="P3551" i="1"/>
  <c r="P3478" i="1"/>
  <c r="P3438" i="1"/>
  <c r="P952" i="1"/>
  <c r="P3541" i="1"/>
  <c r="P3503" i="1"/>
  <c r="P3452" i="1"/>
  <c r="P3423" i="1"/>
  <c r="P3389" i="1"/>
  <c r="Q1312" i="1"/>
  <c r="Q911" i="1"/>
  <c r="P3270" i="1"/>
  <c r="P917" i="1"/>
  <c r="Q815" i="1"/>
  <c r="P3337" i="1"/>
  <c r="Q1385" i="1"/>
  <c r="Q1362" i="1"/>
  <c r="P949" i="1"/>
  <c r="N2533" i="1"/>
  <c r="P329" i="1"/>
  <c r="P326" i="1"/>
  <c r="P3501" i="1"/>
  <c r="P3413" i="1"/>
  <c r="P3392" i="1"/>
  <c r="P3268" i="1"/>
  <c r="P3210" i="1"/>
  <c r="P2883" i="1"/>
  <c r="P2529" i="1"/>
  <c r="P2393" i="1"/>
  <c r="Q2338" i="1"/>
  <c r="Q1211" i="1"/>
  <c r="P1045" i="1"/>
  <c r="P1029" i="1"/>
  <c r="Q992" i="1"/>
  <c r="Q823" i="1"/>
  <c r="Q679" i="1"/>
  <c r="P3549" i="1"/>
  <c r="P3535" i="1"/>
  <c r="P3517" i="1"/>
  <c r="P3462" i="1"/>
  <c r="P3446" i="1"/>
  <c r="P3429" i="1"/>
  <c r="P3349" i="1"/>
  <c r="P2558" i="1"/>
  <c r="N2543" i="1"/>
  <c r="P2537" i="1"/>
  <c r="P2519" i="1"/>
  <c r="P2423" i="1"/>
  <c r="P2380" i="1"/>
  <c r="P1442" i="1"/>
  <c r="P1137" i="1"/>
  <c r="Q949" i="1"/>
  <c r="P915" i="1"/>
  <c r="Q786" i="1"/>
  <c r="N2378" i="1"/>
  <c r="N88" i="1"/>
  <c r="N31" i="1"/>
  <c r="P3533" i="1"/>
  <c r="P3519" i="1"/>
  <c r="P3509" i="1"/>
  <c r="P3476" i="1"/>
  <c r="P3421" i="1"/>
  <c r="P3347" i="1"/>
  <c r="P3280" i="1"/>
  <c r="P3164" i="1"/>
  <c r="P2955" i="1"/>
  <c r="P2427" i="1"/>
  <c r="P2383" i="1"/>
  <c r="P2365" i="1"/>
  <c r="Q1339" i="1"/>
  <c r="Q1137" i="1"/>
  <c r="Q869" i="1"/>
  <c r="Q777" i="1"/>
  <c r="P730" i="1"/>
  <c r="P561" i="1"/>
  <c r="P559" i="1"/>
  <c r="N290" i="1"/>
  <c r="P280" i="1"/>
  <c r="Q194" i="1"/>
  <c r="Q143" i="1"/>
  <c r="P2896" i="1"/>
  <c r="P2894" i="1"/>
  <c r="P2776" i="1"/>
  <c r="N2427" i="1"/>
  <c r="P609" i="1"/>
  <c r="P593" i="1"/>
  <c r="N561" i="1"/>
  <c r="N559" i="1"/>
  <c r="N263" i="1"/>
  <c r="Q226" i="1"/>
  <c r="Q182" i="1"/>
  <c r="Q178" i="1"/>
  <c r="Q2568" i="1"/>
  <c r="N2568" i="1"/>
  <c r="Q2398" i="1"/>
  <c r="P2398" i="1"/>
  <c r="Q2760" i="1"/>
  <c r="P2760" i="1"/>
  <c r="Q2514" i="1"/>
  <c r="P2514" i="1"/>
  <c r="N2514" i="1"/>
  <c r="Q2491" i="1"/>
  <c r="P2491" i="1"/>
  <c r="N2491" i="1"/>
  <c r="Q2462" i="1"/>
  <c r="P2462" i="1"/>
  <c r="Q2457" i="1"/>
  <c r="N2457" i="1"/>
  <c r="Q2456" i="1"/>
  <c r="P2456" i="1"/>
  <c r="Q2437" i="1"/>
  <c r="N2437" i="1"/>
  <c r="P3216" i="1"/>
  <c r="P3107" i="1"/>
  <c r="P3049" i="1"/>
  <c r="P2934" i="1"/>
  <c r="P2890" i="1"/>
  <c r="Q2576" i="1"/>
  <c r="P2576" i="1"/>
  <c r="P3543" i="1"/>
  <c r="P3527" i="1"/>
  <c r="P3511" i="1"/>
  <c r="P3483" i="1"/>
  <c r="P3454" i="1"/>
  <c r="P3432" i="1"/>
  <c r="P3415" i="1"/>
  <c r="P3361" i="1"/>
  <c r="P3339" i="1"/>
  <c r="P3282" i="1"/>
  <c r="P3259" i="1"/>
  <c r="P3239" i="1"/>
  <c r="P3109" i="1"/>
  <c r="P2930" i="1"/>
  <c r="P2892" i="1"/>
  <c r="N2576" i="1"/>
  <c r="P2568" i="1"/>
  <c r="P1343" i="1"/>
  <c r="P1322" i="1"/>
  <c r="P1149" i="1"/>
  <c r="P1005" i="1"/>
  <c r="Q831" i="1"/>
  <c r="Q799" i="1"/>
  <c r="Q752" i="1"/>
  <c r="P629" i="1"/>
  <c r="P568" i="1"/>
  <c r="Q183" i="1"/>
  <c r="P112" i="1"/>
  <c r="P84" i="1"/>
  <c r="N30" i="1"/>
  <c r="P23" i="1"/>
  <c r="P2455" i="1"/>
  <c r="P2432" i="1"/>
  <c r="P2402" i="1"/>
  <c r="P2384" i="1"/>
  <c r="P2356" i="1"/>
  <c r="P2354" i="1"/>
  <c r="Q151" i="1"/>
  <c r="N1715" i="1"/>
  <c r="Q1068" i="1"/>
  <c r="P1033" i="1"/>
  <c r="Q973" i="1"/>
  <c r="N262" i="1"/>
  <c r="N84" i="1"/>
  <c r="N2450" i="1"/>
  <c r="N2402" i="1"/>
  <c r="N2356" i="1"/>
  <c r="N2354" i="1"/>
  <c r="Q2344" i="1"/>
  <c r="Q1399" i="1"/>
  <c r="Q1327" i="1"/>
  <c r="P1068" i="1"/>
  <c r="Q1045" i="1"/>
  <c r="P1012" i="1"/>
  <c r="P1003" i="1"/>
  <c r="P973" i="1"/>
  <c r="Q890" i="1"/>
  <c r="Q846" i="1"/>
  <c r="Q807" i="1"/>
  <c r="P655" i="1"/>
  <c r="P589" i="1"/>
  <c r="P342" i="1"/>
  <c r="P324" i="1"/>
  <c r="N302" i="1"/>
  <c r="N291" i="1"/>
  <c r="N96" i="1"/>
  <c r="P3553" i="1"/>
  <c r="P3545" i="1"/>
  <c r="P3537" i="1"/>
  <c r="P3529" i="1"/>
  <c r="P3521" i="1"/>
  <c r="P3513" i="1"/>
  <c r="P3505" i="1"/>
  <c r="P3491" i="1"/>
  <c r="P3485" i="1"/>
  <c r="P3480" i="1"/>
  <c r="P3458" i="1"/>
  <c r="P3448" i="1"/>
  <c r="P3434" i="1"/>
  <c r="P3425" i="1"/>
  <c r="P3417" i="1"/>
  <c r="P3409" i="1"/>
  <c r="P3398" i="1"/>
  <c r="P3385" i="1"/>
  <c r="P3341" i="1"/>
  <c r="P3261" i="1"/>
  <c r="P3244" i="1"/>
  <c r="P3212" i="1"/>
  <c r="P3111" i="1"/>
  <c r="P3103" i="1"/>
  <c r="P2944" i="1"/>
  <c r="P2908" i="1"/>
  <c r="P2886" i="1"/>
  <c r="P2818" i="1"/>
  <c r="Q2805" i="1"/>
  <c r="P2805" i="1"/>
  <c r="Q2730" i="1"/>
  <c r="N2730" i="1"/>
  <c r="P2730" i="1"/>
  <c r="P3547" i="1"/>
  <c r="P3539" i="1"/>
  <c r="P3531" i="1"/>
  <c r="P3523" i="1"/>
  <c r="P3515" i="1"/>
  <c r="P3507" i="1"/>
  <c r="P3488" i="1"/>
  <c r="P3482" i="1"/>
  <c r="P3460" i="1"/>
  <c r="P3450" i="1"/>
  <c r="P3436" i="1"/>
  <c r="P3427" i="1"/>
  <c r="P3419" i="1"/>
  <c r="P3411" i="1"/>
  <c r="P3387" i="1"/>
  <c r="P3344" i="1"/>
  <c r="P3264" i="1"/>
  <c r="P3249" i="1"/>
  <c r="P3214" i="1"/>
  <c r="P3162" i="1"/>
  <c r="P3151" i="1"/>
  <c r="P3105" i="1"/>
  <c r="P2938" i="1"/>
  <c r="P2898" i="1"/>
  <c r="P2893" i="1"/>
  <c r="P2888" i="1"/>
  <c r="P2807" i="1"/>
  <c r="N2805" i="1"/>
  <c r="Q2764" i="1"/>
  <c r="N2764" i="1"/>
  <c r="P2764" i="1"/>
  <c r="Q2798" i="1"/>
  <c r="N2798" i="1"/>
  <c r="N2807" i="1"/>
  <c r="Q2780" i="1"/>
  <c r="P2780" i="1"/>
  <c r="Q2743" i="1"/>
  <c r="N2743" i="1"/>
  <c r="P2743" i="1"/>
  <c r="P2692" i="1"/>
  <c r="P2681" i="1"/>
  <c r="P2572" i="1"/>
  <c r="P2498" i="1"/>
  <c r="P2487" i="1"/>
  <c r="P2467" i="1"/>
  <c r="P2389" i="1"/>
  <c r="N2384" i="1"/>
  <c r="P2345" i="1"/>
  <c r="Q2343" i="1"/>
  <c r="Q2337" i="1"/>
  <c r="Q1727" i="1"/>
  <c r="Q1725" i="1"/>
  <c r="Q1717" i="1"/>
  <c r="Q1715" i="1"/>
  <c r="Q1713" i="1"/>
  <c r="Q1351" i="1"/>
  <c r="P1327" i="1"/>
  <c r="P1312" i="1"/>
  <c r="Q1132" i="1"/>
  <c r="Q1069" i="1"/>
  <c r="N986" i="1"/>
  <c r="P986" i="1"/>
  <c r="N977" i="1"/>
  <c r="Q977" i="1"/>
  <c r="P919" i="1"/>
  <c r="Q919" i="1"/>
  <c r="P2483" i="1"/>
  <c r="P2367" i="1"/>
  <c r="P2361" i="1"/>
  <c r="P2343" i="1"/>
  <c r="P2337" i="1"/>
  <c r="Q1741" i="1"/>
  <c r="Q1739" i="1"/>
  <c r="Q1735" i="1"/>
  <c r="Q1733" i="1"/>
  <c r="Q1731" i="1"/>
  <c r="Q1729" i="1"/>
  <c r="Q1378" i="1"/>
  <c r="P1362" i="1"/>
  <c r="P1351" i="1"/>
  <c r="Q1316" i="1"/>
  <c r="Q1308" i="1"/>
  <c r="Q1289" i="1"/>
  <c r="P1132" i="1"/>
  <c r="Q1075" i="1"/>
  <c r="P1073" i="1"/>
  <c r="P1069" i="1"/>
  <c r="Q1051" i="1"/>
  <c r="N2692" i="1"/>
  <c r="N2681" i="1"/>
  <c r="N2572" i="1"/>
  <c r="N2498" i="1"/>
  <c r="N2389" i="1"/>
  <c r="N1727" i="1"/>
  <c r="N1725" i="1"/>
  <c r="N1717" i="1"/>
  <c r="Q1322" i="1"/>
  <c r="P1316" i="1"/>
  <c r="P1308" i="1"/>
  <c r="P1299" i="1"/>
  <c r="P1289" i="1"/>
  <c r="Q1215" i="1"/>
  <c r="Q1149" i="1"/>
  <c r="Q1133" i="1"/>
  <c r="P1075" i="1"/>
  <c r="N1064" i="1"/>
  <c r="Q1064" i="1"/>
  <c r="P1053" i="1"/>
  <c r="N1035" i="1"/>
  <c r="P1035" i="1"/>
  <c r="N1028" i="1"/>
  <c r="P1028" i="1"/>
  <c r="N954" i="1"/>
  <c r="P954" i="1"/>
  <c r="P2554" i="1"/>
  <c r="P2543" i="1"/>
  <c r="N2537" i="1"/>
  <c r="P2533" i="1"/>
  <c r="N2529" i="1"/>
  <c r="N2483" i="1"/>
  <c r="P2473" i="1"/>
  <c r="N2462" i="1"/>
  <c r="P2457" i="1"/>
  <c r="N2455" i="1"/>
  <c r="P2450" i="1"/>
  <c r="P2437" i="1"/>
  <c r="N2432" i="1"/>
  <c r="N2423" i="1"/>
  <c r="N2398" i="1"/>
  <c r="P2358" i="1"/>
  <c r="N1741" i="1"/>
  <c r="N1739" i="1"/>
  <c r="N1735" i="1"/>
  <c r="N1733" i="1"/>
  <c r="N1731" i="1"/>
  <c r="P1215" i="1"/>
  <c r="P1046" i="1"/>
  <c r="Q1046" i="1"/>
  <c r="N1024" i="1"/>
  <c r="P1024" i="1"/>
  <c r="Q870" i="1"/>
  <c r="Q740" i="1"/>
  <c r="Q255" i="1"/>
  <c r="Q147" i="1"/>
  <c r="P104" i="1"/>
  <c r="P19" i="1"/>
  <c r="Q1029" i="1"/>
  <c r="Q915" i="1"/>
  <c r="P913" i="1"/>
  <c r="Q842" i="1"/>
  <c r="Q819" i="1"/>
  <c r="Q803" i="1"/>
  <c r="P740" i="1"/>
  <c r="Q716" i="1"/>
  <c r="Q667" i="1"/>
  <c r="P664" i="1"/>
  <c r="Q658" i="1"/>
  <c r="P651" i="1"/>
  <c r="P637" i="1"/>
  <c r="N603" i="1"/>
  <c r="P599" i="1"/>
  <c r="P591" i="1"/>
  <c r="P566" i="1"/>
  <c r="P554" i="1"/>
  <c r="P469" i="1"/>
  <c r="P464" i="1"/>
  <c r="P418" i="1"/>
  <c r="P366" i="1"/>
  <c r="P356" i="1"/>
  <c r="N285" i="1"/>
  <c r="Q261" i="1"/>
  <c r="Q177" i="1"/>
  <c r="P27" i="1"/>
  <c r="N255" i="1"/>
  <c r="P890" i="1"/>
  <c r="Q827" i="1"/>
  <c r="Q811" i="1"/>
  <c r="Q661" i="1"/>
  <c r="Q650" i="1"/>
  <c r="P622" i="1"/>
  <c r="P603" i="1"/>
  <c r="P595" i="1"/>
  <c r="P570" i="1"/>
  <c r="P563" i="1"/>
  <c r="N554" i="1"/>
  <c r="P465" i="1"/>
  <c r="N366" i="1"/>
  <c r="P360" i="1"/>
  <c r="N358" i="1"/>
  <c r="P349" i="1"/>
  <c r="N348" i="1"/>
  <c r="N261" i="1"/>
  <c r="N256" i="1"/>
  <c r="Q232" i="1"/>
  <c r="Q222" i="1"/>
  <c r="Q215" i="1"/>
  <c r="Q190" i="1"/>
  <c r="P185" i="1"/>
  <c r="P183" i="1"/>
  <c r="P181" i="1"/>
  <c r="P178" i="1"/>
  <c r="P151" i="1"/>
  <c r="P126" i="1"/>
  <c r="N112" i="1"/>
  <c r="P108" i="1"/>
  <c r="N100" i="1"/>
  <c r="P96" i="1"/>
  <c r="P94" i="1"/>
  <c r="P88" i="1"/>
  <c r="P86" i="1"/>
  <c r="P30" i="1"/>
  <c r="N20" i="1"/>
  <c r="N2985" i="1"/>
  <c r="N2981" i="1"/>
  <c r="N2941" i="1"/>
  <c r="N2931" i="1"/>
  <c r="N2927" i="1"/>
  <c r="N2899" i="1"/>
  <c r="Q2660" i="1"/>
  <c r="P2660" i="1"/>
  <c r="Q2800" i="1"/>
  <c r="N2800" i="1"/>
  <c r="P2794" i="1"/>
  <c r="Q2781" i="1"/>
  <c r="N2781" i="1"/>
  <c r="P2768" i="1"/>
  <c r="Q2761" i="1"/>
  <c r="N2761" i="1"/>
  <c r="N2739" i="1"/>
  <c r="P2734" i="1"/>
  <c r="N3038" i="1"/>
  <c r="N2961" i="1"/>
  <c r="N2956" i="1"/>
  <c r="N2935" i="1"/>
  <c r="P3552" i="1"/>
  <c r="P3550" i="1"/>
  <c r="P3548" i="1"/>
  <c r="P3546" i="1"/>
  <c r="P3544" i="1"/>
  <c r="P3542" i="1"/>
  <c r="P3540" i="1"/>
  <c r="P3538" i="1"/>
  <c r="P3536" i="1"/>
  <c r="P3534" i="1"/>
  <c r="P3532" i="1"/>
  <c r="P3530" i="1"/>
  <c r="P3528" i="1"/>
  <c r="P3526" i="1"/>
  <c r="P3524" i="1"/>
  <c r="P3522" i="1"/>
  <c r="P3520" i="1"/>
  <c r="P3518" i="1"/>
  <c r="P3516" i="1"/>
  <c r="P3514" i="1"/>
  <c r="P3512" i="1"/>
  <c r="P3510" i="1"/>
  <c r="P3508" i="1"/>
  <c r="P3506" i="1"/>
  <c r="P3504" i="1"/>
  <c r="P3502" i="1"/>
  <c r="P3500" i="1"/>
  <c r="P3492" i="1"/>
  <c r="P3489" i="1"/>
  <c r="P3486" i="1"/>
  <c r="P3484" i="1"/>
  <c r="P3481" i="1"/>
  <c r="P3479" i="1"/>
  <c r="P3461" i="1"/>
  <c r="P3459" i="1"/>
  <c r="P3455" i="1"/>
  <c r="P3453" i="1"/>
  <c r="P3451" i="1"/>
  <c r="P3449" i="1"/>
  <c r="P3447" i="1"/>
  <c r="P3439" i="1"/>
  <c r="P3437" i="1"/>
  <c r="P3435" i="1"/>
  <c r="P3433" i="1"/>
  <c r="P3431" i="1"/>
  <c r="P3428" i="1"/>
  <c r="P3426" i="1"/>
  <c r="P3424" i="1"/>
  <c r="P3422" i="1"/>
  <c r="P3420" i="1"/>
  <c r="P3418" i="1"/>
  <c r="P3416" i="1"/>
  <c r="P3414" i="1"/>
  <c r="P3412" i="1"/>
  <c r="P3410" i="1"/>
  <c r="P3399" i="1"/>
  <c r="P3397" i="1"/>
  <c r="P3396" i="1"/>
  <c r="P3393" i="1"/>
  <c r="P3390" i="1"/>
  <c r="P3388" i="1"/>
  <c r="P3386" i="1"/>
  <c r="P3362" i="1"/>
  <c r="P3360" i="1"/>
  <c r="P3350" i="1"/>
  <c r="P3348" i="1"/>
  <c r="P3343" i="1"/>
  <c r="P3340" i="1"/>
  <c r="P3338" i="1"/>
  <c r="P3336" i="1"/>
  <c r="P3283" i="1"/>
  <c r="P3281" i="1"/>
  <c r="P3271" i="1"/>
  <c r="P3269" i="1"/>
  <c r="P3265" i="1"/>
  <c r="P3263" i="1"/>
  <c r="P3260" i="1"/>
  <c r="P3258" i="1"/>
  <c r="P3256" i="1"/>
  <c r="P3248" i="1"/>
  <c r="P3247" i="1"/>
  <c r="P3246" i="1"/>
  <c r="P3245" i="1"/>
  <c r="P3241" i="1"/>
  <c r="P3238" i="1"/>
  <c r="P3228" i="1"/>
  <c r="P3220" i="1"/>
  <c r="P3217" i="1"/>
  <c r="P3215" i="1"/>
  <c r="P3213" i="1"/>
  <c r="P3211" i="1"/>
  <c r="P3209" i="1"/>
  <c r="P3163" i="1"/>
  <c r="P3152" i="1"/>
  <c r="P3120" i="1"/>
  <c r="P3115" i="1"/>
  <c r="P3112" i="1"/>
  <c r="P3110" i="1"/>
  <c r="P3108" i="1"/>
  <c r="P3106" i="1"/>
  <c r="P3104" i="1"/>
  <c r="P3050" i="1"/>
  <c r="P3048" i="1"/>
  <c r="P3037" i="1"/>
  <c r="N2988" i="1"/>
  <c r="P2984" i="1"/>
  <c r="N2982" i="1"/>
  <c r="P2980" i="1"/>
  <c r="N2978" i="1"/>
  <c r="P2976" i="1"/>
  <c r="N2968" i="1"/>
  <c r="P2964" i="1"/>
  <c r="N2962" i="1"/>
  <c r="P2960" i="1"/>
  <c r="N2957" i="1"/>
  <c r="N2942" i="1"/>
  <c r="N2936" i="1"/>
  <c r="N2928" i="1"/>
  <c r="N2906" i="1"/>
  <c r="N2893" i="1"/>
  <c r="N2892" i="1"/>
  <c r="N2890" i="1"/>
  <c r="N2888" i="1"/>
  <c r="N2886" i="1"/>
  <c r="N2883" i="1"/>
  <c r="N2818" i="1"/>
  <c r="Q2593" i="1"/>
  <c r="N2593" i="1"/>
  <c r="Q2785" i="1"/>
  <c r="N2785" i="1"/>
  <c r="Q2773" i="1"/>
  <c r="N2773" i="1"/>
  <c r="Q2753" i="1"/>
  <c r="N2753" i="1"/>
  <c r="Q2577" i="1"/>
  <c r="N2577" i="1"/>
  <c r="Q2575" i="1"/>
  <c r="P2575" i="1"/>
  <c r="Q2569" i="1"/>
  <c r="Q2559" i="1"/>
  <c r="Q2557" i="1"/>
  <c r="P2557" i="1"/>
  <c r="Q2538" i="1"/>
  <c r="N2538" i="1"/>
  <c r="Q2536" i="1"/>
  <c r="P2536" i="1"/>
  <c r="Q2530" i="1"/>
  <c r="Q2520" i="1"/>
  <c r="Q2518" i="1"/>
  <c r="P2518" i="1"/>
  <c r="Q2499" i="1"/>
  <c r="N2499" i="1"/>
  <c r="Q2495" i="1"/>
  <c r="P2495" i="1"/>
  <c r="Q2488" i="1"/>
  <c r="N2488" i="1"/>
  <c r="Q2486" i="1"/>
  <c r="P2486" i="1"/>
  <c r="Q2474" i="1"/>
  <c r="Q2472" i="1"/>
  <c r="P2472" i="1"/>
  <c r="Q2463" i="1"/>
  <c r="N2463" i="1"/>
  <c r="Q2461" i="1"/>
  <c r="P2461" i="1"/>
  <c r="Q2451" i="1"/>
  <c r="N2451" i="1"/>
  <c r="Q2438" i="1"/>
  <c r="N2438" i="1"/>
  <c r="Q2435" i="1"/>
  <c r="P2435" i="1"/>
  <c r="Q2428" i="1"/>
  <c r="Q2426" i="1"/>
  <c r="P2426" i="1"/>
  <c r="Q2420" i="1"/>
  <c r="N2420" i="1"/>
  <c r="Q2401" i="1"/>
  <c r="P2401" i="1"/>
  <c r="Q2395" i="1"/>
  <c r="P3038" i="1"/>
  <c r="P2985" i="1"/>
  <c r="P2981" i="1"/>
  <c r="P2977" i="1"/>
  <c r="P2967" i="1"/>
  <c r="P2961" i="1"/>
  <c r="P2956" i="1"/>
  <c r="P2941" i="1"/>
  <c r="P2935" i="1"/>
  <c r="P2931" i="1"/>
  <c r="P2927" i="1"/>
  <c r="P2899" i="1"/>
  <c r="Q2655" i="1"/>
  <c r="N2655" i="1"/>
  <c r="Q2651" i="1"/>
  <c r="P2651" i="1"/>
  <c r="Q2582" i="1"/>
  <c r="N2582" i="1"/>
  <c r="N2794" i="1"/>
  <c r="P2784" i="1"/>
  <c r="Q2777" i="1"/>
  <c r="P2772" i="1"/>
  <c r="N2768" i="1"/>
  <c r="Q2765" i="1"/>
  <c r="N2765" i="1"/>
  <c r="P2739" i="1"/>
  <c r="N2734" i="1"/>
  <c r="Q2731" i="1"/>
  <c r="Q2795" i="1"/>
  <c r="Q2769" i="1"/>
  <c r="N2769" i="1"/>
  <c r="Q2757" i="1"/>
  <c r="N2757" i="1"/>
  <c r="Q2735" i="1"/>
  <c r="N2735" i="1"/>
  <c r="Q2693" i="1"/>
  <c r="Q2682" i="1"/>
  <c r="N2682" i="1"/>
  <c r="Q2581" i="1"/>
  <c r="P2581" i="1"/>
  <c r="Q2573" i="1"/>
  <c r="N2573" i="1"/>
  <c r="Q2571" i="1"/>
  <c r="P2571" i="1"/>
  <c r="Q2561" i="1"/>
  <c r="P2561" i="1"/>
  <c r="Q2555" i="1"/>
  <c r="Q2544" i="1"/>
  <c r="N2544" i="1"/>
  <c r="Q2542" i="1"/>
  <c r="P2542" i="1"/>
  <c r="Q2534" i="1"/>
  <c r="N2534" i="1"/>
  <c r="Q2532" i="1"/>
  <c r="P2532" i="1"/>
  <c r="Q2522" i="1"/>
  <c r="P2522" i="1"/>
  <c r="Q2515" i="1"/>
  <c r="N2515" i="1"/>
  <c r="Q2512" i="1"/>
  <c r="P2512" i="1"/>
  <c r="Q2501" i="1"/>
  <c r="P2501" i="1"/>
  <c r="Q2493" i="1"/>
  <c r="N2493" i="1"/>
  <c r="Q2490" i="1"/>
  <c r="P2490" i="1"/>
  <c r="Q2484" i="1"/>
  <c r="N2484" i="1"/>
  <c r="Q2482" i="1"/>
  <c r="P2482" i="1"/>
  <c r="Q2470" i="1"/>
  <c r="N2470" i="1"/>
  <c r="Q2465" i="1"/>
  <c r="P2465" i="1"/>
  <c r="Q2458" i="1"/>
  <c r="N2458" i="1"/>
  <c r="Q2453" i="1"/>
  <c r="P2453" i="1"/>
  <c r="Q2440" i="1"/>
  <c r="P2440" i="1"/>
  <c r="Q2433" i="1"/>
  <c r="N2433" i="1"/>
  <c r="Q2430" i="1"/>
  <c r="P2430" i="1"/>
  <c r="Q2424" i="1"/>
  <c r="N2424" i="1"/>
  <c r="Q2422" i="1"/>
  <c r="P2422" i="1"/>
  <c r="Q2399" i="1"/>
  <c r="N2399" i="1"/>
  <c r="N2382" i="1"/>
  <c r="N2377" i="1"/>
  <c r="P2397" i="1"/>
  <c r="P2392" i="1"/>
  <c r="N2390" i="1"/>
  <c r="P2388" i="1"/>
  <c r="N2385" i="1"/>
  <c r="P2382" i="1"/>
  <c r="P2377" i="1"/>
  <c r="N2352" i="1"/>
  <c r="P2352" i="1"/>
  <c r="Q2352" i="1"/>
  <c r="P2342" i="1"/>
  <c r="Q2342" i="1"/>
  <c r="N2365" i="1"/>
  <c r="N2361" i="1"/>
  <c r="N2358" i="1"/>
  <c r="P2331" i="1"/>
  <c r="N2331" i="1"/>
  <c r="P2323" i="1"/>
  <c r="N2323" i="1"/>
  <c r="P2315" i="1"/>
  <c r="N2315" i="1"/>
  <c r="P2290" i="1"/>
  <c r="P2251" i="1"/>
  <c r="N2251" i="1"/>
  <c r="P2224" i="1"/>
  <c r="N2224" i="1"/>
  <c r="P2211" i="1"/>
  <c r="Q2355" i="1"/>
  <c r="P2355" i="1"/>
  <c r="P2333" i="1"/>
  <c r="N2333" i="1"/>
  <c r="P2325" i="1"/>
  <c r="P2317" i="1"/>
  <c r="N2317" i="1"/>
  <c r="P2292" i="1"/>
  <c r="N2292" i="1"/>
  <c r="P2253" i="1"/>
  <c r="N2253" i="1"/>
  <c r="P2241" i="1"/>
  <c r="N2241" i="1"/>
  <c r="P2213" i="1"/>
  <c r="N2213" i="1"/>
  <c r="P2135" i="1"/>
  <c r="N2135" i="1"/>
  <c r="P2127" i="1"/>
  <c r="N2127" i="1"/>
  <c r="P2123" i="1"/>
  <c r="N2123" i="1"/>
  <c r="Q2123" i="1"/>
  <c r="P2112" i="1"/>
  <c r="N2112" i="1"/>
  <c r="Q2112" i="1"/>
  <c r="P2106" i="1"/>
  <c r="N2106" i="1"/>
  <c r="Q2106" i="1"/>
  <c r="P2102" i="1"/>
  <c r="N2102" i="1"/>
  <c r="Q2102" i="1"/>
  <c r="P2094" i="1"/>
  <c r="Q2094" i="1"/>
  <c r="P2081" i="1"/>
  <c r="N2081" i="1"/>
  <c r="Q2081" i="1"/>
  <c r="P2075" i="1"/>
  <c r="N2075" i="1"/>
  <c r="Q2075" i="1"/>
  <c r="P2071" i="1"/>
  <c r="N2071" i="1"/>
  <c r="Q2071" i="1"/>
  <c r="P2067" i="1"/>
  <c r="Q2067" i="1"/>
  <c r="P2063" i="1"/>
  <c r="N2063" i="1"/>
  <c r="Q2063" i="1"/>
  <c r="P2052" i="1"/>
  <c r="N2052" i="1"/>
  <c r="Q2052" i="1"/>
  <c r="P2047" i="1"/>
  <c r="N2047" i="1"/>
  <c r="Q2047" i="1"/>
  <c r="P2043" i="1"/>
  <c r="N2043" i="1"/>
  <c r="Q2043" i="1"/>
  <c r="P2035" i="1"/>
  <c r="Q2035" i="1"/>
  <c r="P2022" i="1"/>
  <c r="N2022" i="1"/>
  <c r="Q2022" i="1"/>
  <c r="P2016" i="1"/>
  <c r="N2016" i="1"/>
  <c r="Q2016" i="1"/>
  <c r="P2013" i="1"/>
  <c r="N2013" i="1"/>
  <c r="Q2013" i="1"/>
  <c r="P2009" i="1"/>
  <c r="N2009" i="1"/>
  <c r="Q2009" i="1"/>
  <c r="P1999" i="1"/>
  <c r="N1999" i="1"/>
  <c r="Q1999" i="1"/>
  <c r="P1995" i="1"/>
  <c r="N1995" i="1"/>
  <c r="Q1995" i="1"/>
  <c r="P1991" i="1"/>
  <c r="N1991" i="1"/>
  <c r="Q1991" i="1"/>
  <c r="P1987" i="1"/>
  <c r="N1987" i="1"/>
  <c r="Q1987" i="1"/>
  <c r="P1983" i="1"/>
  <c r="Q1983" i="1"/>
  <c r="P1979" i="1"/>
  <c r="N1979" i="1"/>
  <c r="Q1979" i="1"/>
  <c r="P1975" i="1"/>
  <c r="N1975" i="1"/>
  <c r="Q1975" i="1"/>
  <c r="P1958" i="1"/>
  <c r="N1958" i="1"/>
  <c r="Q1958" i="1"/>
  <c r="P1955" i="1"/>
  <c r="N1955" i="1"/>
  <c r="Q1955" i="1"/>
  <c r="P1946" i="1"/>
  <c r="N1946" i="1"/>
  <c r="Q1946" i="1"/>
  <c r="P1912" i="1"/>
  <c r="Q1912" i="1"/>
  <c r="P1900" i="1"/>
  <c r="N1900" i="1"/>
  <c r="Q1900" i="1"/>
  <c r="P1876" i="1"/>
  <c r="N1876" i="1"/>
  <c r="Q1876" i="1"/>
  <c r="P1872" i="1"/>
  <c r="N1872" i="1"/>
  <c r="Q1872" i="1"/>
  <c r="P1868" i="1"/>
  <c r="N1868" i="1"/>
  <c r="Q1868" i="1"/>
  <c r="P1858" i="1"/>
  <c r="N1858" i="1"/>
  <c r="Q1858" i="1"/>
  <c r="P1811" i="1"/>
  <c r="Q1811" i="1"/>
  <c r="P1799" i="1"/>
  <c r="N1799" i="1"/>
  <c r="Q1799" i="1"/>
  <c r="P1793" i="1"/>
  <c r="N1793" i="1"/>
  <c r="Q1793" i="1"/>
  <c r="P1789" i="1"/>
  <c r="N1789" i="1"/>
  <c r="Q1789" i="1"/>
  <c r="P1785" i="1"/>
  <c r="N1785" i="1"/>
  <c r="Q1785" i="1"/>
  <c r="P1781" i="1"/>
  <c r="N1781" i="1"/>
  <c r="Q1781" i="1"/>
  <c r="P1770" i="1"/>
  <c r="N1770" i="1"/>
  <c r="Q1770" i="1"/>
  <c r="P1765" i="1"/>
  <c r="N1765" i="1"/>
  <c r="Q1765" i="1"/>
  <c r="P1761" i="1"/>
  <c r="N1761" i="1"/>
  <c r="Q1761" i="1"/>
  <c r="P1754" i="1"/>
  <c r="Q1754" i="1"/>
  <c r="P2335" i="1"/>
  <c r="P2327" i="1"/>
  <c r="N2327" i="1"/>
  <c r="P2319" i="1"/>
  <c r="N2319" i="1"/>
  <c r="P2311" i="1"/>
  <c r="N2311" i="1"/>
  <c r="P2294" i="1"/>
  <c r="N2294" i="1"/>
  <c r="P2215" i="1"/>
  <c r="N2215" i="1"/>
  <c r="P2139" i="1"/>
  <c r="N2139" i="1"/>
  <c r="P2129" i="1"/>
  <c r="N2129" i="1"/>
  <c r="Q2353" i="1"/>
  <c r="Q2345" i="1"/>
  <c r="P2344" i="1"/>
  <c r="Q2341" i="1"/>
  <c r="P2338" i="1"/>
  <c r="Q2331" i="1"/>
  <c r="P2329" i="1"/>
  <c r="N2329" i="1"/>
  <c r="Q2323" i="1"/>
  <c r="P2321" i="1"/>
  <c r="Q2315" i="1"/>
  <c r="P2313" i="1"/>
  <c r="N2313" i="1"/>
  <c r="P2300" i="1"/>
  <c r="N2300" i="1"/>
  <c r="Q2290" i="1"/>
  <c r="P2288" i="1"/>
  <c r="Q2251" i="1"/>
  <c r="Q2224" i="1"/>
  <c r="Q2211" i="1"/>
  <c r="P2209" i="1"/>
  <c r="P2153" i="1"/>
  <c r="P2141" i="1"/>
  <c r="N2141" i="1"/>
  <c r="P2131" i="1"/>
  <c r="N2131" i="1"/>
  <c r="P2125" i="1"/>
  <c r="N2125" i="1"/>
  <c r="Q2125" i="1"/>
  <c r="P2114" i="1"/>
  <c r="Q2114" i="1"/>
  <c r="P2109" i="1"/>
  <c r="Q2109" i="1"/>
  <c r="P2104" i="1"/>
  <c r="N2104" i="1"/>
  <c r="Q2104" i="1"/>
  <c r="P2099" i="1"/>
  <c r="N2099" i="1"/>
  <c r="Q2099" i="1"/>
  <c r="P2092" i="1"/>
  <c r="N2092" i="1"/>
  <c r="Q2092" i="1"/>
  <c r="P2079" i="1"/>
  <c r="N2079" i="1"/>
  <c r="Q2079" i="1"/>
  <c r="P2073" i="1"/>
  <c r="N2073" i="1"/>
  <c r="Q2073" i="1"/>
  <c r="P2069" i="1"/>
  <c r="Q2069" i="1"/>
  <c r="P2065" i="1"/>
  <c r="N2065" i="1"/>
  <c r="Q2065" i="1"/>
  <c r="P2054" i="1"/>
  <c r="Q2054" i="1"/>
  <c r="P2050" i="1"/>
  <c r="N2050" i="1"/>
  <c r="Q2050" i="1"/>
  <c r="P2045" i="1"/>
  <c r="N2045" i="1"/>
  <c r="Q2045" i="1"/>
  <c r="P2040" i="1"/>
  <c r="N2040" i="1"/>
  <c r="Q2040" i="1"/>
  <c r="P2033" i="1"/>
  <c r="N2033" i="1"/>
  <c r="Q2033" i="1"/>
  <c r="P2020" i="1"/>
  <c r="N2020" i="1"/>
  <c r="Q2020" i="1"/>
  <c r="P2011" i="1"/>
  <c r="N2011" i="1"/>
  <c r="Q2011" i="1"/>
  <c r="P2007" i="1"/>
  <c r="N2007" i="1"/>
  <c r="Q2007" i="1"/>
  <c r="P1997" i="1"/>
  <c r="Q1997" i="1"/>
  <c r="P1993" i="1"/>
  <c r="N1993" i="1"/>
  <c r="Q1993" i="1"/>
  <c r="P1989" i="1"/>
  <c r="N1989" i="1"/>
  <c r="Q1989" i="1"/>
  <c r="P1985" i="1"/>
  <c r="N1985" i="1"/>
  <c r="Q1985" i="1"/>
  <c r="P1981" i="1"/>
  <c r="N1981" i="1"/>
  <c r="Q1981" i="1"/>
  <c r="P1977" i="1"/>
  <c r="N1977" i="1"/>
  <c r="Q1977" i="1"/>
  <c r="P1973" i="1"/>
  <c r="N1973" i="1"/>
  <c r="Q1973" i="1"/>
  <c r="P1969" i="1"/>
  <c r="N1969" i="1"/>
  <c r="Q1969" i="1"/>
  <c r="P1956" i="1"/>
  <c r="N1956" i="1"/>
  <c r="Q1956" i="1"/>
  <c r="P1952" i="1"/>
  <c r="N1952" i="1"/>
  <c r="Q1952" i="1"/>
  <c r="P1948" i="1"/>
  <c r="N1948" i="1"/>
  <c r="Q1948" i="1"/>
  <c r="P1944" i="1"/>
  <c r="N1944" i="1"/>
  <c r="Q1944" i="1"/>
  <c r="P1879" i="1"/>
  <c r="N1879" i="1"/>
  <c r="Q1879" i="1"/>
  <c r="P1870" i="1"/>
  <c r="N1870" i="1"/>
  <c r="Q1870" i="1"/>
  <c r="P1866" i="1"/>
  <c r="N1866" i="1"/>
  <c r="Q1866" i="1"/>
  <c r="P1797" i="1"/>
  <c r="N1797" i="1"/>
  <c r="Q1797" i="1"/>
  <c r="P1787" i="1"/>
  <c r="N1787" i="1"/>
  <c r="Q1787" i="1"/>
  <c r="P1783" i="1"/>
  <c r="N1783" i="1"/>
  <c r="Q1783" i="1"/>
  <c r="P1772" i="1"/>
  <c r="Q1772" i="1"/>
  <c r="P1767" i="1"/>
  <c r="Q1767" i="1"/>
  <c r="P1763" i="1"/>
  <c r="N1763" i="1"/>
  <c r="Q1763" i="1"/>
  <c r="P1758" i="1"/>
  <c r="N1758" i="1"/>
  <c r="Q1758" i="1"/>
  <c r="P1752" i="1"/>
  <c r="N1752" i="1"/>
  <c r="Q1752" i="1"/>
  <c r="P1706" i="1"/>
  <c r="N1706" i="1"/>
  <c r="P1694" i="1"/>
  <c r="N1694" i="1"/>
  <c r="P1681" i="1"/>
  <c r="N1681" i="1"/>
  <c r="P1709" i="1"/>
  <c r="P1699" i="1"/>
  <c r="N1699" i="1"/>
  <c r="P1698" i="1"/>
  <c r="P1697" i="1"/>
  <c r="N1697" i="1"/>
  <c r="P1711" i="1"/>
  <c r="N1711" i="1"/>
  <c r="P1701" i="1"/>
  <c r="P1704" i="1"/>
  <c r="N1704" i="1"/>
  <c r="P1692" i="1"/>
  <c r="N1692" i="1"/>
  <c r="Q1658" i="1"/>
  <c r="P1658" i="1"/>
  <c r="Q1641" i="1"/>
  <c r="P1641" i="1"/>
  <c r="Q1618" i="1"/>
  <c r="P1618" i="1"/>
  <c r="Q1603" i="1"/>
  <c r="P1603" i="1"/>
  <c r="Q1593" i="1"/>
  <c r="P1593" i="1"/>
  <c r="Q1585" i="1"/>
  <c r="P1585" i="1"/>
  <c r="Q1562" i="1"/>
  <c r="P1562" i="1"/>
  <c r="Q1554" i="1"/>
  <c r="P1554" i="1"/>
  <c r="Q1527" i="1"/>
  <c r="P1527" i="1"/>
  <c r="Q1520" i="1"/>
  <c r="P1520" i="1"/>
  <c r="Q1509" i="1"/>
  <c r="P1509" i="1"/>
  <c r="Q1499" i="1"/>
  <c r="P1499" i="1"/>
  <c r="Q1445" i="1"/>
  <c r="P1445" i="1"/>
  <c r="Q1442" i="1"/>
  <c r="P1390" i="1"/>
  <c r="P1382" i="1"/>
  <c r="N1307" i="1"/>
  <c r="P1307" i="1"/>
  <c r="Q1674" i="1"/>
  <c r="P1674" i="1"/>
  <c r="Q1666" i="1"/>
  <c r="P1666" i="1"/>
  <c r="Q1651" i="1"/>
  <c r="P1651" i="1"/>
  <c r="Q1643" i="1"/>
  <c r="P1643" i="1"/>
  <c r="Q1620" i="1"/>
  <c r="P1620" i="1"/>
  <c r="Q1611" i="1"/>
  <c r="P1611" i="1"/>
  <c r="Q1595" i="1"/>
  <c r="P1595" i="1"/>
  <c r="Q1587" i="1"/>
  <c r="P1587" i="1"/>
  <c r="Q1564" i="1"/>
  <c r="P1564" i="1"/>
  <c r="Q1556" i="1"/>
  <c r="P1556" i="1"/>
  <c r="Q1522" i="1"/>
  <c r="P1522" i="1"/>
  <c r="Q1501" i="1"/>
  <c r="P1501" i="1"/>
  <c r="Q1466" i="1"/>
  <c r="P1466" i="1"/>
  <c r="Q1448" i="1"/>
  <c r="P1448" i="1"/>
  <c r="N1445" i="1"/>
  <c r="N1412" i="1"/>
  <c r="P1412" i="1"/>
  <c r="Q1676" i="1"/>
  <c r="P1676" i="1"/>
  <c r="N1674" i="1"/>
  <c r="Q1668" i="1"/>
  <c r="P1668" i="1"/>
  <c r="N1666" i="1"/>
  <c r="Q1653" i="1"/>
  <c r="P1653" i="1"/>
  <c r="N1651" i="1"/>
  <c r="Q1645" i="1"/>
  <c r="P1645" i="1"/>
  <c r="Q1637" i="1"/>
  <c r="P1637" i="1"/>
  <c r="Q1624" i="1"/>
  <c r="P1624" i="1"/>
  <c r="N1620" i="1"/>
  <c r="Q1613" i="1"/>
  <c r="P1613" i="1"/>
  <c r="Q1597" i="1"/>
  <c r="P1597" i="1"/>
  <c r="Q1589" i="1"/>
  <c r="P1589" i="1"/>
  <c r="N1587" i="1"/>
  <c r="Q1581" i="1"/>
  <c r="P1581" i="1"/>
  <c r="Q1568" i="1"/>
  <c r="P1568" i="1"/>
  <c r="N1564" i="1"/>
  <c r="Q1558" i="1"/>
  <c r="P1558" i="1"/>
  <c r="N1522" i="1"/>
  <c r="Q1503" i="1"/>
  <c r="P1503" i="1"/>
  <c r="N1501" i="1"/>
  <c r="Q1495" i="1"/>
  <c r="P1495" i="1"/>
  <c r="Q1468" i="1"/>
  <c r="P1468" i="1"/>
  <c r="Q1461" i="1"/>
  <c r="P1461" i="1"/>
  <c r="Q1450" i="1"/>
  <c r="P1450" i="1"/>
  <c r="N1389" i="1"/>
  <c r="Q1389" i="1"/>
  <c r="Q1386" i="1"/>
  <c r="N1358" i="1"/>
  <c r="Q1358" i="1"/>
  <c r="P1358" i="1"/>
  <c r="N1313" i="1"/>
  <c r="P1313" i="1"/>
  <c r="Q1313" i="1"/>
  <c r="N1281" i="1"/>
  <c r="Q1281" i="1"/>
  <c r="P1281" i="1"/>
  <c r="Q1680" i="1"/>
  <c r="P1680" i="1"/>
  <c r="N1676" i="1"/>
  <c r="Q1670" i="1"/>
  <c r="P1670" i="1"/>
  <c r="N1668" i="1"/>
  <c r="Q1656" i="1"/>
  <c r="P1656" i="1"/>
  <c r="N1653" i="1"/>
  <c r="Q1647" i="1"/>
  <c r="P1647" i="1"/>
  <c r="N1645" i="1"/>
  <c r="Q1639" i="1"/>
  <c r="P1639" i="1"/>
  <c r="N1637" i="1"/>
  <c r="Q1626" i="1"/>
  <c r="P1626" i="1"/>
  <c r="N1624" i="1"/>
  <c r="Q1616" i="1"/>
  <c r="P1616" i="1"/>
  <c r="Q1601" i="1"/>
  <c r="P1601" i="1"/>
  <c r="N1597" i="1"/>
  <c r="Q1591" i="1"/>
  <c r="P1591" i="1"/>
  <c r="N1589" i="1"/>
  <c r="N1581" i="1"/>
  <c r="Q1570" i="1"/>
  <c r="P1570" i="1"/>
  <c r="N1568" i="1"/>
  <c r="Q1560" i="1"/>
  <c r="P1560" i="1"/>
  <c r="Q1525" i="1"/>
  <c r="P1525" i="1"/>
  <c r="Q1507" i="1"/>
  <c r="P1507" i="1"/>
  <c r="N1503" i="1"/>
  <c r="Q1497" i="1"/>
  <c r="P1497" i="1"/>
  <c r="N1495" i="1"/>
  <c r="N1468" i="1"/>
  <c r="Q1463" i="1"/>
  <c r="P1463" i="1"/>
  <c r="N1461" i="1"/>
  <c r="N1450" i="1"/>
  <c r="N1441" i="1"/>
  <c r="Q1441" i="1"/>
  <c r="Q1438" i="1"/>
  <c r="N1396" i="1"/>
  <c r="P1396" i="1"/>
  <c r="Q1390" i="1"/>
  <c r="Q1382" i="1"/>
  <c r="N1284" i="1"/>
  <c r="P1284" i="1"/>
  <c r="Q1284" i="1"/>
  <c r="P1309" i="1"/>
  <c r="Q1305" i="1"/>
  <c r="N1163" i="1"/>
  <c r="P1163" i="1"/>
  <c r="N1140" i="1"/>
  <c r="Q1140" i="1"/>
  <c r="N1275" i="1"/>
  <c r="P1275" i="1"/>
  <c r="N1272" i="1"/>
  <c r="Q1272" i="1"/>
  <c r="N1262" i="1"/>
  <c r="Q1262" i="1"/>
  <c r="P1237" i="1"/>
  <c r="N1226" i="1"/>
  <c r="P1226" i="1"/>
  <c r="N1148" i="1"/>
  <c r="Q1148" i="1"/>
  <c r="N1352" i="1"/>
  <c r="P1352" i="1"/>
  <c r="Q1348" i="1"/>
  <c r="P1340" i="1"/>
  <c r="N1319" i="1"/>
  <c r="P1319" i="1"/>
  <c r="P1304" i="1"/>
  <c r="Q1301" i="1"/>
  <c r="Q1300" i="1"/>
  <c r="Q1214" i="1"/>
  <c r="Q1210" i="1"/>
  <c r="Q1361" i="1"/>
  <c r="P1344" i="1"/>
  <c r="N1323" i="1"/>
  <c r="P1323" i="1"/>
  <c r="Q1309" i="1"/>
  <c r="P1305" i="1"/>
  <c r="P1303" i="1"/>
  <c r="P1301" i="1"/>
  <c r="P1288" i="1"/>
  <c r="N1285" i="1"/>
  <c r="Q1285" i="1"/>
  <c r="N1276" i="1"/>
  <c r="Q1276" i="1"/>
  <c r="P1271" i="1"/>
  <c r="N1261" i="1"/>
  <c r="P1261" i="1"/>
  <c r="N1239" i="1"/>
  <c r="Q1239" i="1"/>
  <c r="N1219" i="1"/>
  <c r="Q1219" i="1"/>
  <c r="P1214" i="1"/>
  <c r="P1210" i="1"/>
  <c r="N1160" i="1"/>
  <c r="P1160" i="1"/>
  <c r="P1140" i="1"/>
  <c r="N1136" i="1"/>
  <c r="Q1136" i="1"/>
  <c r="Q1065" i="1"/>
  <c r="Q1060" i="1"/>
  <c r="Q1025" i="1"/>
  <c r="Q1020" i="1"/>
  <c r="P728" i="1"/>
  <c r="N666" i="1"/>
  <c r="P666" i="1"/>
  <c r="N649" i="1"/>
  <c r="P649" i="1"/>
  <c r="N631" i="1"/>
  <c r="P631" i="1"/>
  <c r="Q1085" i="1"/>
  <c r="Q1074" i="1"/>
  <c r="P1067" i="1"/>
  <c r="P1065" i="1"/>
  <c r="Q1061" i="1"/>
  <c r="P1060" i="1"/>
  <c r="P1048" i="1"/>
  <c r="Q1034" i="1"/>
  <c r="P1027" i="1"/>
  <c r="P1025" i="1"/>
  <c r="P1020" i="1"/>
  <c r="P1013" i="1"/>
  <c r="P992" i="1"/>
  <c r="Q981" i="1"/>
  <c r="P977" i="1"/>
  <c r="Q963" i="1"/>
  <c r="Q924" i="1"/>
  <c r="P921" i="1"/>
  <c r="P911" i="1"/>
  <c r="Q880" i="1"/>
  <c r="P871" i="1"/>
  <c r="P869" i="1"/>
  <c r="P866" i="1"/>
  <c r="Q864" i="1"/>
  <c r="P853" i="1"/>
  <c r="P847" i="1"/>
  <c r="P846" i="1"/>
  <c r="P844" i="1"/>
  <c r="P842" i="1"/>
  <c r="P831" i="1"/>
  <c r="P825" i="1"/>
  <c r="P821" i="1"/>
  <c r="P819" i="1"/>
  <c r="P817" i="1"/>
  <c r="P815" i="1"/>
  <c r="P811" i="1"/>
  <c r="P807" i="1"/>
  <c r="P805" i="1"/>
  <c r="P803" i="1"/>
  <c r="P801" i="1"/>
  <c r="P799" i="1"/>
  <c r="P788" i="1"/>
  <c r="P786" i="1"/>
  <c r="P783" i="1"/>
  <c r="P779" i="1"/>
  <c r="P777" i="1"/>
  <c r="P775" i="1"/>
  <c r="P698" i="1"/>
  <c r="N653" i="1"/>
  <c r="P653" i="1"/>
  <c r="N630" i="1"/>
  <c r="Q630" i="1"/>
  <c r="Q1086" i="1"/>
  <c r="P1085" i="1"/>
  <c r="P1074" i="1"/>
  <c r="Q1049" i="1"/>
  <c r="P1034" i="1"/>
  <c r="Q986" i="1"/>
  <c r="P981" i="1"/>
  <c r="P963" i="1"/>
  <c r="Q942" i="1"/>
  <c r="P931" i="1"/>
  <c r="Q929" i="1"/>
  <c r="P926" i="1"/>
  <c r="P924" i="1"/>
  <c r="P878" i="1"/>
  <c r="Q876" i="1"/>
  <c r="P864" i="1"/>
  <c r="Q727" i="1"/>
  <c r="Q723" i="1"/>
  <c r="N701" i="1"/>
  <c r="P701" i="1"/>
  <c r="P678" i="1"/>
  <c r="N657" i="1"/>
  <c r="P657" i="1"/>
  <c r="N625" i="1"/>
  <c r="Q625" i="1"/>
  <c r="P944" i="1"/>
  <c r="P942" i="1"/>
  <c r="P929" i="1"/>
  <c r="P888" i="1"/>
  <c r="P876" i="1"/>
  <c r="Q845" i="1"/>
  <c r="Q841" i="1"/>
  <c r="Q830" i="1"/>
  <c r="Q826" i="1"/>
  <c r="Q822" i="1"/>
  <c r="Q818" i="1"/>
  <c r="Q814" i="1"/>
  <c r="Q810" i="1"/>
  <c r="Q806" i="1"/>
  <c r="Q789" i="1"/>
  <c r="Q780" i="1"/>
  <c r="Q776" i="1"/>
  <c r="Q751" i="1"/>
  <c r="Q739" i="1"/>
  <c r="Q731" i="1"/>
  <c r="Q724" i="1"/>
  <c r="Q699" i="1"/>
  <c r="Q666" i="1"/>
  <c r="N660" i="1"/>
  <c r="P660" i="1"/>
  <c r="Q649" i="1"/>
  <c r="N639" i="1"/>
  <c r="P639" i="1"/>
  <c r="N609" i="1"/>
  <c r="N599" i="1"/>
  <c r="N595" i="1"/>
  <c r="N593" i="1"/>
  <c r="N591" i="1"/>
  <c r="N589" i="1"/>
  <c r="N568" i="1"/>
  <c r="N566" i="1"/>
  <c r="P302" i="1"/>
  <c r="N282" i="1"/>
  <c r="Q274" i="1"/>
  <c r="P274" i="1"/>
  <c r="Q263" i="1"/>
  <c r="Q259" i="1"/>
  <c r="N249" i="1"/>
  <c r="P249" i="1"/>
  <c r="P174" i="1"/>
  <c r="N216" i="1"/>
  <c r="P216" i="1"/>
  <c r="N191" i="1"/>
  <c r="P191" i="1"/>
  <c r="N160" i="1"/>
  <c r="P160" i="1"/>
  <c r="N155" i="1"/>
  <c r="Q155" i="1"/>
  <c r="N145" i="1"/>
  <c r="P145" i="1"/>
  <c r="N537" i="1"/>
  <c r="P531" i="1"/>
  <c r="N527" i="1"/>
  <c r="P523" i="1"/>
  <c r="P509" i="1"/>
  <c r="N505" i="1"/>
  <c r="N498" i="1"/>
  <c r="P494" i="1"/>
  <c r="P487" i="1"/>
  <c r="P474" i="1"/>
  <c r="P470" i="1"/>
  <c r="P466" i="1"/>
  <c r="P462" i="1"/>
  <c r="P429" i="1"/>
  <c r="P417" i="1"/>
  <c r="P363" i="1"/>
  <c r="P357" i="1"/>
  <c r="P347" i="1"/>
  <c r="P328" i="1"/>
  <c r="P322" i="1"/>
  <c r="P314" i="1"/>
  <c r="P311" i="1"/>
  <c r="P304" i="1"/>
  <c r="Q281" i="1"/>
  <c r="N281" i="1"/>
  <c r="Q276" i="1"/>
  <c r="P276" i="1"/>
  <c r="N252" i="1"/>
  <c r="P252" i="1"/>
  <c r="Q248" i="1"/>
  <c r="Q246" i="1"/>
  <c r="N225" i="1"/>
  <c r="P225" i="1"/>
  <c r="N218" i="1"/>
  <c r="P218" i="1"/>
  <c r="P193" i="1"/>
  <c r="N175" i="1"/>
  <c r="Q175" i="1"/>
  <c r="N171" i="1"/>
  <c r="P171" i="1"/>
  <c r="N154" i="1"/>
  <c r="P154" i="1"/>
  <c r="N144" i="1"/>
  <c r="Q144" i="1"/>
  <c r="Q264" i="1"/>
  <c r="P264" i="1"/>
  <c r="N254" i="1"/>
  <c r="P254" i="1"/>
  <c r="N242" i="1"/>
  <c r="P242" i="1"/>
  <c r="N229" i="1"/>
  <c r="P229" i="1"/>
  <c r="N219" i="1"/>
  <c r="P219" i="1"/>
  <c r="N212" i="1"/>
  <c r="P212" i="1"/>
  <c r="P173" i="1"/>
  <c r="P149" i="1"/>
  <c r="N138" i="1"/>
  <c r="P138" i="1"/>
  <c r="N127" i="1"/>
  <c r="Q127" i="1"/>
  <c r="Q629" i="1"/>
  <c r="P626" i="1"/>
  <c r="P550" i="1"/>
  <c r="P537" i="1"/>
  <c r="N531" i="1"/>
  <c r="P527" i="1"/>
  <c r="N523" i="1"/>
  <c r="P513" i="1"/>
  <c r="N509" i="1"/>
  <c r="P505" i="1"/>
  <c r="P498" i="1"/>
  <c r="N494" i="1"/>
  <c r="N487" i="1"/>
  <c r="N474" i="1"/>
  <c r="N470" i="1"/>
  <c r="N466" i="1"/>
  <c r="N462" i="1"/>
  <c r="N328" i="1"/>
  <c r="N322" i="1"/>
  <c r="N314" i="1"/>
  <c r="P309" i="1"/>
  <c r="P290" i="1"/>
  <c r="P284" i="1"/>
  <c r="Q266" i="1"/>
  <c r="P266" i="1"/>
  <c r="Q262" i="1"/>
  <c r="Q256" i="1"/>
  <c r="Q253" i="1"/>
  <c r="Q249" i="1"/>
  <c r="P244" i="1"/>
  <c r="N231" i="1"/>
  <c r="P231" i="1"/>
  <c r="N221" i="1"/>
  <c r="P221" i="1"/>
  <c r="N214" i="1"/>
  <c r="P214" i="1"/>
  <c r="N189" i="1"/>
  <c r="P189" i="1"/>
  <c r="N161" i="1"/>
  <c r="Q161" i="1"/>
  <c r="N158" i="1"/>
  <c r="P158" i="1"/>
  <c r="N148" i="1"/>
  <c r="Q148" i="1"/>
  <c r="N121" i="1"/>
  <c r="Q121" i="1"/>
  <c r="P35" i="1"/>
  <c r="Q117" i="1"/>
  <c r="N92" i="1"/>
  <c r="N82" i="1"/>
  <c r="P72" i="1"/>
  <c r="P70" i="1"/>
  <c r="P65" i="1"/>
  <c r="P61" i="1"/>
  <c r="P58" i="1"/>
  <c r="P56" i="1"/>
  <c r="N23" i="1"/>
  <c r="N19" i="1"/>
  <c r="P128" i="1"/>
  <c r="Q126" i="1"/>
  <c r="P122" i="1"/>
  <c r="P118" i="1"/>
  <c r="P116" i="1"/>
  <c r="P92" i="1"/>
  <c r="P82" i="1"/>
  <c r="N72" i="1"/>
  <c r="N70" i="1"/>
  <c r="N65" i="1"/>
  <c r="N61" i="1"/>
  <c r="N58" i="1"/>
  <c r="N56" i="1"/>
  <c r="N2929" i="1"/>
  <c r="N2983" i="1"/>
  <c r="N2954" i="1"/>
  <c r="N3459" i="1"/>
  <c r="N3458" i="1"/>
  <c r="N3455" i="1"/>
  <c r="N3454" i="1"/>
  <c r="N3453" i="1"/>
  <c r="N3452" i="1"/>
  <c r="N3451" i="1"/>
  <c r="N3450" i="1"/>
  <c r="N3448" i="1"/>
  <c r="N3446" i="1"/>
  <c r="N3439" i="1"/>
  <c r="N3436" i="1"/>
  <c r="N3435" i="1"/>
  <c r="N3434" i="1"/>
  <c r="N3433" i="1"/>
  <c r="N3429" i="1"/>
  <c r="N3428" i="1"/>
  <c r="N3427" i="1"/>
  <c r="N3425" i="1"/>
  <c r="N3424" i="1"/>
  <c r="N3423" i="1"/>
  <c r="N3422" i="1"/>
  <c r="N3421" i="1"/>
  <c r="N3420" i="1"/>
  <c r="N3419" i="1"/>
  <c r="N3418" i="1"/>
  <c r="N3416" i="1"/>
  <c r="N3415" i="1"/>
  <c r="N3414" i="1"/>
  <c r="N3413" i="1"/>
  <c r="N3412" i="1"/>
  <c r="N3411" i="1"/>
  <c r="N3409" i="1"/>
  <c r="N3399" i="1"/>
  <c r="N3398" i="1"/>
  <c r="N3397" i="1"/>
  <c r="N3396" i="1"/>
  <c r="N3393" i="1"/>
  <c r="N3392" i="1"/>
  <c r="N3390" i="1"/>
  <c r="N3389" i="1"/>
  <c r="N3387" i="1"/>
  <c r="N3385" i="1"/>
  <c r="N3362" i="1"/>
  <c r="N3360" i="1"/>
  <c r="N3350" i="1"/>
  <c r="N3349" i="1"/>
  <c r="N3348" i="1"/>
  <c r="N3347" i="1"/>
  <c r="N3344" i="1"/>
  <c r="N3343" i="1"/>
  <c r="N3341" i="1"/>
  <c r="N3340" i="1"/>
  <c r="N3338" i="1"/>
  <c r="N3336" i="1"/>
  <c r="N3283" i="1"/>
  <c r="N3281" i="1"/>
  <c r="N3280" i="1"/>
  <c r="N3271" i="1"/>
  <c r="N3270" i="1"/>
  <c r="N3269" i="1"/>
  <c r="N3268" i="1"/>
  <c r="N3265" i="1"/>
  <c r="N3264" i="1"/>
  <c r="N3263" i="1"/>
  <c r="N3261" i="1"/>
  <c r="N3260" i="1"/>
  <c r="N3258" i="1"/>
  <c r="N3256" i="1"/>
  <c r="N3249" i="1"/>
  <c r="N3248" i="1"/>
  <c r="N3244" i="1"/>
  <c r="N3241" i="1"/>
  <c r="N3238" i="1"/>
  <c r="N3228" i="1"/>
  <c r="N3227" i="1"/>
  <c r="N3220" i="1"/>
  <c r="N3217" i="1"/>
  <c r="N3216" i="1"/>
  <c r="N3215" i="1"/>
  <c r="N3214" i="1"/>
  <c r="N3213" i="1"/>
  <c r="N3211" i="1"/>
  <c r="N3209" i="1"/>
  <c r="N3164" i="1"/>
  <c r="N3162" i="1"/>
  <c r="N3152" i="1"/>
  <c r="N3151" i="1"/>
  <c r="N3120" i="1"/>
  <c r="N3115" i="1"/>
  <c r="N3112" i="1"/>
  <c r="N3111" i="1"/>
  <c r="N3110" i="1"/>
  <c r="N3109" i="1"/>
  <c r="N3108" i="1"/>
  <c r="N3106" i="1"/>
  <c r="N3104" i="1"/>
  <c r="N3103" i="1"/>
  <c r="N3050" i="1"/>
  <c r="N3048" i="1"/>
  <c r="N3037" i="1"/>
  <c r="P2988" i="1"/>
  <c r="N2984" i="1"/>
  <c r="P2982" i="1"/>
  <c r="N2980" i="1"/>
  <c r="P2978" i="1"/>
  <c r="N2976" i="1"/>
  <c r="P2968" i="1"/>
  <c r="N2964" i="1"/>
  <c r="P2962" i="1"/>
  <c r="N2960" i="1"/>
  <c r="P2957" i="1"/>
  <c r="N2944" i="1"/>
  <c r="P2942" i="1"/>
  <c r="N2938" i="1"/>
  <c r="P2936" i="1"/>
  <c r="N2934" i="1"/>
  <c r="P2932" i="1"/>
  <c r="P2928" i="1"/>
  <c r="P2906" i="1"/>
  <c r="N2898" i="1"/>
  <c r="P2897" i="1"/>
  <c r="N2989" i="1"/>
  <c r="N2969" i="1"/>
  <c r="N2963" i="1"/>
  <c r="N2943" i="1"/>
  <c r="N2937" i="1"/>
  <c r="N2933" i="1"/>
  <c r="P2989" i="1"/>
  <c r="P2983" i="1"/>
  <c r="P2979" i="1"/>
  <c r="P2969" i="1"/>
  <c r="P2963" i="1"/>
  <c r="P2958" i="1"/>
  <c r="P2954" i="1"/>
  <c r="P2943" i="1"/>
  <c r="P2937" i="1"/>
  <c r="P2933" i="1"/>
  <c r="P2929" i="1"/>
  <c r="P2907" i="1"/>
  <c r="Q2891" i="1"/>
  <c r="P2891" i="1"/>
  <c r="Q2889" i="1"/>
  <c r="P2889" i="1"/>
  <c r="N2889" i="1"/>
  <c r="Q2887" i="1"/>
  <c r="N2887" i="1"/>
  <c r="P2887" i="1"/>
  <c r="Q2884" i="1"/>
  <c r="P2884" i="1"/>
  <c r="Q2819" i="1"/>
  <c r="N2819" i="1"/>
  <c r="P2819" i="1"/>
  <c r="Q2817" i="1"/>
  <c r="P2817" i="1"/>
  <c r="N2817" i="1"/>
  <c r="Q2806" i="1"/>
  <c r="N2806" i="1"/>
  <c r="P2806" i="1"/>
  <c r="Q2665" i="1"/>
  <c r="P2665" i="1"/>
  <c r="Q2654" i="1"/>
  <c r="N2654" i="1"/>
  <c r="Q2652" i="1"/>
  <c r="P2652" i="1"/>
  <c r="Q2596" i="1"/>
  <c r="N2596" i="1"/>
  <c r="Q2801" i="1"/>
  <c r="P2801" i="1"/>
  <c r="Q2797" i="1"/>
  <c r="N2797" i="1"/>
  <c r="Q2778" i="1"/>
  <c r="P2778" i="1"/>
  <c r="Q2775" i="1"/>
  <c r="N2775" i="1"/>
  <c r="Q2762" i="1"/>
  <c r="P2762" i="1"/>
  <c r="Q2759" i="1"/>
  <c r="N2759" i="1"/>
  <c r="Q2741" i="1"/>
  <c r="P2741" i="1"/>
  <c r="Q2728" i="1"/>
  <c r="P2728" i="1"/>
  <c r="N2665" i="1"/>
  <c r="N2657" i="1"/>
  <c r="P2653" i="1"/>
  <c r="N2649" i="1"/>
  <c r="Q2594" i="1"/>
  <c r="P2594" i="1"/>
  <c r="N2801" i="1"/>
  <c r="Q2796" i="1"/>
  <c r="P2796" i="1"/>
  <c r="Q2793" i="1"/>
  <c r="Q2774" i="1"/>
  <c r="P2774" i="1"/>
  <c r="Q2771" i="1"/>
  <c r="N2771" i="1"/>
  <c r="N2762" i="1"/>
  <c r="Q2758" i="1"/>
  <c r="P2758" i="1"/>
  <c r="Q2755" i="1"/>
  <c r="N2755" i="1"/>
  <c r="N2741" i="1"/>
  <c r="N2728" i="1"/>
  <c r="Q2656" i="1"/>
  <c r="P2656" i="1"/>
  <c r="Q2650" i="1"/>
  <c r="Q2792" i="1"/>
  <c r="P2792" i="1"/>
  <c r="Q2783" i="1"/>
  <c r="Q2770" i="1"/>
  <c r="P2770" i="1"/>
  <c r="Q2767" i="1"/>
  <c r="N2767" i="1"/>
  <c r="Q2754" i="1"/>
  <c r="P2754" i="1"/>
  <c r="Q2736" i="1"/>
  <c r="P2736" i="1"/>
  <c r="Q2733" i="1"/>
  <c r="N2733" i="1"/>
  <c r="Q2694" i="1"/>
  <c r="P2694" i="1"/>
  <c r="N2694" i="1"/>
  <c r="Q2580" i="1"/>
  <c r="P2580" i="1"/>
  <c r="N2580" i="1"/>
  <c r="Q2574" i="1"/>
  <c r="P2574" i="1"/>
  <c r="N2574" i="1"/>
  <c r="Q2570" i="1"/>
  <c r="P2570" i="1"/>
  <c r="N2570" i="1"/>
  <c r="Q2560" i="1"/>
  <c r="P2560" i="1"/>
  <c r="N2560" i="1"/>
  <c r="Q2556" i="1"/>
  <c r="P2556" i="1"/>
  <c r="N2556" i="1"/>
  <c r="Q2541" i="1"/>
  <c r="P2541" i="1"/>
  <c r="N2541" i="1"/>
  <c r="Q2535" i="1"/>
  <c r="P2535" i="1"/>
  <c r="N2535" i="1"/>
  <c r="Q2531" i="1"/>
  <c r="P2531" i="1"/>
  <c r="N2531" i="1"/>
  <c r="Q2521" i="1"/>
  <c r="P2521" i="1"/>
  <c r="N2521" i="1"/>
  <c r="Q2516" i="1"/>
  <c r="P2516" i="1"/>
  <c r="Q2511" i="1"/>
  <c r="P2511" i="1"/>
  <c r="N2511" i="1"/>
  <c r="Q2500" i="1"/>
  <c r="P2500" i="1"/>
  <c r="N2500" i="1"/>
  <c r="Q2494" i="1"/>
  <c r="P2494" i="1"/>
  <c r="N2494" i="1"/>
  <c r="Q2489" i="1"/>
  <c r="P2489" i="1"/>
  <c r="Q2485" i="1"/>
  <c r="P2485" i="1"/>
  <c r="N2485" i="1"/>
  <c r="Q2475" i="1"/>
  <c r="P2475" i="1"/>
  <c r="N2475" i="1"/>
  <c r="Q2471" i="1"/>
  <c r="P2471" i="1"/>
  <c r="N2471" i="1"/>
  <c r="Q2464" i="1"/>
  <c r="P2464" i="1"/>
  <c r="N2464" i="1"/>
  <c r="Q2459" i="1"/>
  <c r="P2459" i="1"/>
  <c r="Q2452" i="1"/>
  <c r="P2452" i="1"/>
  <c r="N2452" i="1"/>
  <c r="Q2439" i="1"/>
  <c r="P2439" i="1"/>
  <c r="N2439" i="1"/>
  <c r="Q2434" i="1"/>
  <c r="P2434" i="1"/>
  <c r="N2434" i="1"/>
  <c r="Q2429" i="1"/>
  <c r="P2429" i="1"/>
  <c r="N2429" i="1"/>
  <c r="Q2425" i="1"/>
  <c r="P2425" i="1"/>
  <c r="Q2421" i="1"/>
  <c r="P2421" i="1"/>
  <c r="N2421" i="1"/>
  <c r="Q2400" i="1"/>
  <c r="P2400" i="1"/>
  <c r="Q2396" i="1"/>
  <c r="P2396" i="1"/>
  <c r="Q2391" i="1"/>
  <c r="P2391" i="1"/>
  <c r="N2391" i="1"/>
  <c r="Q2386" i="1"/>
  <c r="P2386" i="1"/>
  <c r="P2657" i="1"/>
  <c r="N2656" i="1"/>
  <c r="P2654" i="1"/>
  <c r="N2653" i="1"/>
  <c r="P2649" i="1"/>
  <c r="P2596" i="1"/>
  <c r="Q2583" i="1"/>
  <c r="P2583" i="1"/>
  <c r="Q2804" i="1"/>
  <c r="N2804" i="1"/>
  <c r="P2797" i="1"/>
  <c r="N2792" i="1"/>
  <c r="Q2782" i="1"/>
  <c r="P2782" i="1"/>
  <c r="Q2779" i="1"/>
  <c r="N2779" i="1"/>
  <c r="P2775" i="1"/>
  <c r="N2770" i="1"/>
  <c r="Q2766" i="1"/>
  <c r="P2766" i="1"/>
  <c r="Q2763" i="1"/>
  <c r="P2759" i="1"/>
  <c r="N2754" i="1"/>
  <c r="Q2742" i="1"/>
  <c r="N2742" i="1"/>
  <c r="N2736" i="1"/>
  <c r="Q2732" i="1"/>
  <c r="P2732" i="1"/>
  <c r="Q2729" i="1"/>
  <c r="P2336" i="1"/>
  <c r="Q2336" i="1"/>
  <c r="N2336" i="1"/>
  <c r="P2334" i="1"/>
  <c r="N2334" i="1"/>
  <c r="Q2334" i="1"/>
  <c r="P2332" i="1"/>
  <c r="Q2332" i="1"/>
  <c r="N2332" i="1"/>
  <c r="P2330" i="1"/>
  <c r="N2330" i="1"/>
  <c r="Q2330" i="1"/>
  <c r="P2328" i="1"/>
  <c r="Q2328" i="1"/>
  <c r="N2328" i="1"/>
  <c r="P2326" i="1"/>
  <c r="Q2326" i="1"/>
  <c r="P2324" i="1"/>
  <c r="Q2324" i="1"/>
  <c r="N2324" i="1"/>
  <c r="P2322" i="1"/>
  <c r="N2322" i="1"/>
  <c r="Q2322" i="1"/>
  <c r="P2320" i="1"/>
  <c r="Q2320" i="1"/>
  <c r="N2320" i="1"/>
  <c r="P2318" i="1"/>
  <c r="N2318" i="1"/>
  <c r="Q2318" i="1"/>
  <c r="P2316" i="1"/>
  <c r="Q2316" i="1"/>
  <c r="N2316" i="1"/>
  <c r="P2312" i="1"/>
  <c r="Q2312" i="1"/>
  <c r="N2312" i="1"/>
  <c r="P2301" i="1"/>
  <c r="N2301" i="1"/>
  <c r="Q2301" i="1"/>
  <c r="P2299" i="1"/>
  <c r="Q2299" i="1"/>
  <c r="N2299" i="1"/>
  <c r="P2298" i="1"/>
  <c r="N2298" i="1"/>
  <c r="Q2298" i="1"/>
  <c r="P2295" i="1"/>
  <c r="Q2295" i="1"/>
  <c r="N2295" i="1"/>
  <c r="P2291" i="1"/>
  <c r="Q2291" i="1"/>
  <c r="N2291" i="1"/>
  <c r="P2289" i="1"/>
  <c r="N2289" i="1"/>
  <c r="Q2289" i="1"/>
  <c r="P2287" i="1"/>
  <c r="Q2287" i="1"/>
  <c r="N2287" i="1"/>
  <c r="P2252" i="1"/>
  <c r="Q2252" i="1"/>
  <c r="P2240" i="1"/>
  <c r="Q2240" i="1"/>
  <c r="N2240" i="1"/>
  <c r="P2219" i="1"/>
  <c r="N2219" i="1"/>
  <c r="Q2219" i="1"/>
  <c r="P2216" i="1"/>
  <c r="Q2216" i="1"/>
  <c r="N2216" i="1"/>
  <c r="P2212" i="1"/>
  <c r="Q2212" i="1"/>
  <c r="N2212" i="1"/>
  <c r="P2210" i="1"/>
  <c r="N2210" i="1"/>
  <c r="Q2210" i="1"/>
  <c r="P2208" i="1"/>
  <c r="Q2208" i="1"/>
  <c r="N2208" i="1"/>
  <c r="P2152" i="1"/>
  <c r="Q2152" i="1"/>
  <c r="N2152" i="1"/>
  <c r="N2379" i="1"/>
  <c r="N2366" i="1"/>
  <c r="N2364" i="1"/>
  <c r="P2360" i="1"/>
  <c r="P2357" i="1"/>
  <c r="P2593" i="1"/>
  <c r="P2582" i="1"/>
  <c r="P2800" i="1"/>
  <c r="P2795" i="1"/>
  <c r="P2785" i="1"/>
  <c r="P2781" i="1"/>
  <c r="P2777" i="1"/>
  <c r="P2773" i="1"/>
  <c r="P2769" i="1"/>
  <c r="P2765" i="1"/>
  <c r="P2761" i="1"/>
  <c r="P2757" i="1"/>
  <c r="P2753" i="1"/>
  <c r="P2735" i="1"/>
  <c r="P2731" i="1"/>
  <c r="P2693" i="1"/>
  <c r="P2682" i="1"/>
  <c r="N2581" i="1"/>
  <c r="P2577" i="1"/>
  <c r="N2575" i="1"/>
  <c r="P2573" i="1"/>
  <c r="P2569" i="1"/>
  <c r="N2561" i="1"/>
  <c r="P2559" i="1"/>
  <c r="N2557" i="1"/>
  <c r="P2555" i="1"/>
  <c r="P2544" i="1"/>
  <c r="N2542" i="1"/>
  <c r="P2538" i="1"/>
  <c r="N2536" i="1"/>
  <c r="P2534" i="1"/>
  <c r="P2530" i="1"/>
  <c r="N2522" i="1"/>
  <c r="P2520" i="1"/>
  <c r="P2515" i="1"/>
  <c r="N2501" i="1"/>
  <c r="P2499" i="1"/>
  <c r="N2495" i="1"/>
  <c r="P2493" i="1"/>
  <c r="N2490" i="1"/>
  <c r="P2488" i="1"/>
  <c r="N2486" i="1"/>
  <c r="P2484" i="1"/>
  <c r="N2482" i="1"/>
  <c r="P2474" i="1"/>
  <c r="N2472" i="1"/>
  <c r="P2470" i="1"/>
  <c r="N2465" i="1"/>
  <c r="P2463" i="1"/>
  <c r="N2461" i="1"/>
  <c r="P2458" i="1"/>
  <c r="P2451" i="1"/>
  <c r="N2440" i="1"/>
  <c r="P2438" i="1"/>
  <c r="N2435" i="1"/>
  <c r="P2433" i="1"/>
  <c r="N2430" i="1"/>
  <c r="P2428" i="1"/>
  <c r="N2426" i="1"/>
  <c r="P2424" i="1"/>
  <c r="N2422" i="1"/>
  <c r="P2420" i="1"/>
  <c r="P2399" i="1"/>
  <c r="N2397" i="1"/>
  <c r="P2395" i="1"/>
  <c r="N2392" i="1"/>
  <c r="P2390" i="1"/>
  <c r="N2388" i="1"/>
  <c r="P2385" i="1"/>
  <c r="P2378" i="1"/>
  <c r="N2367" i="1"/>
  <c r="P2379" i="1"/>
  <c r="P2366" i="1"/>
  <c r="P2364" i="1"/>
  <c r="N2360" i="1"/>
  <c r="N2357" i="1"/>
  <c r="Q2154" i="1"/>
  <c r="Q2142" i="1"/>
  <c r="N2140" i="1"/>
  <c r="Q2136" i="1"/>
  <c r="N2134" i="1"/>
  <c r="Q2132" i="1"/>
  <c r="Q2128" i="1"/>
  <c r="N2126" i="1"/>
  <c r="Q2124" i="1"/>
  <c r="Q2113" i="1"/>
  <c r="N2111" i="1"/>
  <c r="Q2108" i="1"/>
  <c r="N2105" i="1"/>
  <c r="Q2103" i="1"/>
  <c r="Q2098" i="1"/>
  <c r="Q2097" i="1"/>
  <c r="Q2096" i="1"/>
  <c r="N2093" i="1"/>
  <c r="Q2091" i="1"/>
  <c r="N2080" i="1"/>
  <c r="Q2078" i="1"/>
  <c r="N2074" i="1"/>
  <c r="N2070" i="1"/>
  <c r="Q2068" i="1"/>
  <c r="N2066" i="1"/>
  <c r="Q2064" i="1"/>
  <c r="N2062" i="1"/>
  <c r="Q2053" i="1"/>
  <c r="N2051" i="1"/>
  <c r="Q2049" i="1"/>
  <c r="N2046" i="1"/>
  <c r="Q2044" i="1"/>
  <c r="Q2039" i="1"/>
  <c r="Q2038" i="1"/>
  <c r="Q2037" i="1"/>
  <c r="N2034" i="1"/>
  <c r="Q2032" i="1"/>
  <c r="N2021" i="1"/>
  <c r="Q2019" i="1"/>
  <c r="N2015" i="1"/>
  <c r="N2012" i="1"/>
  <c r="Q2010" i="1"/>
  <c r="Q2000" i="1"/>
  <c r="N1998" i="1"/>
  <c r="Q1996" i="1"/>
  <c r="N1994" i="1"/>
  <c r="Q1992" i="1"/>
  <c r="N1990" i="1"/>
  <c r="Q1988" i="1"/>
  <c r="N1986" i="1"/>
  <c r="Q1984" i="1"/>
  <c r="Q1980" i="1"/>
  <c r="Q1976" i="1"/>
  <c r="N1974" i="1"/>
  <c r="Q1972" i="1"/>
  <c r="N1970" i="1"/>
  <c r="Q1968" i="1"/>
  <c r="N1957" i="1"/>
  <c r="Q1951" i="1"/>
  <c r="N1949" i="1"/>
  <c r="Q1947" i="1"/>
  <c r="Q1913" i="1"/>
  <c r="N1911" i="1"/>
  <c r="Q1901" i="1"/>
  <c r="N1884" i="1"/>
  <c r="N1875" i="1"/>
  <c r="Q1873" i="1"/>
  <c r="Q1869" i="1"/>
  <c r="N1867" i="1"/>
  <c r="Q1865" i="1"/>
  <c r="Q1812" i="1"/>
  <c r="N1810" i="1"/>
  <c r="Q1800" i="1"/>
  <c r="N1798" i="1"/>
  <c r="Q1794" i="1"/>
  <c r="N1792" i="1"/>
  <c r="Q1790" i="1"/>
  <c r="Q1786" i="1"/>
  <c r="N1784" i="1"/>
  <c r="Q1782" i="1"/>
  <c r="Q1771" i="1"/>
  <c r="N1769" i="1"/>
  <c r="Q1766" i="1"/>
  <c r="N1764" i="1"/>
  <c r="Q1762" i="1"/>
  <c r="Q1757" i="1"/>
  <c r="Q1756" i="1"/>
  <c r="Q1755" i="1"/>
  <c r="N1753" i="1"/>
  <c r="Q1751" i="1"/>
  <c r="N1740" i="1"/>
  <c r="Q1738" i="1"/>
  <c r="N1734" i="1"/>
  <c r="N1730" i="1"/>
  <c r="Q1728" i="1"/>
  <c r="Q1718" i="1"/>
  <c r="N1716" i="1"/>
  <c r="Q1714" i="1"/>
  <c r="N1712" i="1"/>
  <c r="Q1710" i="1"/>
  <c r="N1707" i="1"/>
  <c r="Q1705" i="1"/>
  <c r="N1703" i="1"/>
  <c r="Q1700" i="1"/>
  <c r="Q1693" i="1"/>
  <c r="N1682" i="1"/>
  <c r="N2154" i="1"/>
  <c r="N2142" i="1"/>
  <c r="Q2140" i="1"/>
  <c r="N2136" i="1"/>
  <c r="Q2134" i="1"/>
  <c r="N2132" i="1"/>
  <c r="Q2130" i="1"/>
  <c r="Q2126" i="1"/>
  <c r="N2124" i="1"/>
  <c r="Q2115" i="1"/>
  <c r="N2113" i="1"/>
  <c r="Q2111" i="1"/>
  <c r="Q2105" i="1"/>
  <c r="N2103" i="1"/>
  <c r="Q2100" i="1"/>
  <c r="N2098" i="1"/>
  <c r="N2096" i="1"/>
  <c r="Q2093" i="1"/>
  <c r="N2091" i="1"/>
  <c r="Q2080" i="1"/>
  <c r="N2078" i="1"/>
  <c r="Q2074" i="1"/>
  <c r="Q2070" i="1"/>
  <c r="N2068" i="1"/>
  <c r="Q2066" i="1"/>
  <c r="N2064" i="1"/>
  <c r="Q2062" i="1"/>
  <c r="Q2051" i="1"/>
  <c r="Q2046" i="1"/>
  <c r="N2044" i="1"/>
  <c r="Q2041" i="1"/>
  <c r="N2039" i="1"/>
  <c r="N2037" i="1"/>
  <c r="Q2034" i="1"/>
  <c r="N2032" i="1"/>
  <c r="Q2021" i="1"/>
  <c r="N2019" i="1"/>
  <c r="Q2015" i="1"/>
  <c r="Q2012" i="1"/>
  <c r="Q2008" i="1"/>
  <c r="N2000" i="1"/>
  <c r="Q1998" i="1"/>
  <c r="Q1994" i="1"/>
  <c r="Q1990" i="1"/>
  <c r="N1988" i="1"/>
  <c r="Q1986" i="1"/>
  <c r="N1984" i="1"/>
  <c r="Q1982" i="1"/>
  <c r="N1980" i="1"/>
  <c r="Q1978" i="1"/>
  <c r="N1976" i="1"/>
  <c r="Q1974" i="1"/>
  <c r="N1972" i="1"/>
  <c r="Q1970" i="1"/>
  <c r="N1968" i="1"/>
  <c r="Q1957" i="1"/>
  <c r="N1951" i="1"/>
  <c r="Q1949" i="1"/>
  <c r="Q1945" i="1"/>
  <c r="N1913" i="1"/>
  <c r="Q1911" i="1"/>
  <c r="N1901" i="1"/>
  <c r="Q1884" i="1"/>
  <c r="Q1875" i="1"/>
  <c r="N1873" i="1"/>
  <c r="Q1871" i="1"/>
  <c r="Q1867" i="1"/>
  <c r="N1865" i="1"/>
  <c r="N1812" i="1"/>
  <c r="Q1810" i="1"/>
  <c r="N1800" i="1"/>
  <c r="Q1798" i="1"/>
  <c r="N1794" i="1"/>
  <c r="Q1792" i="1"/>
  <c r="N1790" i="1"/>
  <c r="Q1788" i="1"/>
  <c r="Q1784" i="1"/>
  <c r="N1782" i="1"/>
  <c r="Q1773" i="1"/>
  <c r="N1771" i="1"/>
  <c r="Q1769" i="1"/>
  <c r="Q1764" i="1"/>
  <c r="N1762" i="1"/>
  <c r="Q1759" i="1"/>
  <c r="N1757" i="1"/>
  <c r="N1755" i="1"/>
  <c r="Q1753" i="1"/>
  <c r="N1751" i="1"/>
  <c r="Q1740" i="1"/>
  <c r="N1738" i="1"/>
  <c r="Q1734" i="1"/>
  <c r="Q1730" i="1"/>
  <c r="N1728" i="1"/>
  <c r="Q1726" i="1"/>
  <c r="N1718" i="1"/>
  <c r="Q1716" i="1"/>
  <c r="Q1712" i="1"/>
  <c r="N1710" i="1"/>
  <c r="Q1707" i="1"/>
  <c r="N1705" i="1"/>
  <c r="Q1703" i="1"/>
  <c r="N1700" i="1"/>
  <c r="Q1695" i="1"/>
  <c r="N1693" i="1"/>
  <c r="Q1682" i="1"/>
  <c r="N1675" i="1"/>
  <c r="P1673" i="1"/>
  <c r="N1671" i="1"/>
  <c r="P1669" i="1"/>
  <c r="P1659" i="1"/>
  <c r="P1654" i="1"/>
  <c r="P1650" i="1"/>
  <c r="P1646" i="1"/>
  <c r="N1644" i="1"/>
  <c r="P1642" i="1"/>
  <c r="P1638" i="1"/>
  <c r="N1627" i="1"/>
  <c r="P1625" i="1"/>
  <c r="N1621" i="1"/>
  <c r="P1619" i="1"/>
  <c r="P1614" i="1"/>
  <c r="N1612" i="1"/>
  <c r="P1610" i="1"/>
  <c r="N1602" i="1"/>
  <c r="P1600" i="1"/>
  <c r="N1596" i="1"/>
  <c r="P1594" i="1"/>
  <c r="P1590" i="1"/>
  <c r="N1588" i="1"/>
  <c r="P1586" i="1"/>
  <c r="N1584" i="1"/>
  <c r="P1582" i="1"/>
  <c r="N1580" i="1"/>
  <c r="P1569" i="1"/>
  <c r="N1567" i="1"/>
  <c r="P1563" i="1"/>
  <c r="N1561" i="1"/>
  <c r="P1559" i="1"/>
  <c r="N1557" i="1"/>
  <c r="P1555" i="1"/>
  <c r="N1526" i="1"/>
  <c r="P1524" i="1"/>
  <c r="N1523" i="1"/>
  <c r="P1521" i="1"/>
  <c r="P1510" i="1"/>
  <c r="N1508" i="1"/>
  <c r="P1504" i="1"/>
  <c r="N1502" i="1"/>
  <c r="P1500" i="1"/>
  <c r="P1496" i="1"/>
  <c r="N1467" i="1"/>
  <c r="P1465" i="1"/>
  <c r="N1464" i="1"/>
  <c r="P1462" i="1"/>
  <c r="P1451" i="1"/>
  <c r="N1449" i="1"/>
  <c r="P1437" i="1"/>
  <c r="P1393" i="1"/>
  <c r="P1385" i="1"/>
  <c r="P1377" i="1"/>
  <c r="P1366" i="1"/>
  <c r="P1355" i="1"/>
  <c r="P1347" i="1"/>
  <c r="N1443" i="1"/>
  <c r="P1443" i="1"/>
  <c r="Q1440" i="1"/>
  <c r="N1409" i="1"/>
  <c r="Q1409" i="1"/>
  <c r="N1398" i="1"/>
  <c r="Q1398" i="1"/>
  <c r="N1391" i="1"/>
  <c r="P1391" i="1"/>
  <c r="Q1388" i="1"/>
  <c r="N1383" i="1"/>
  <c r="P1383" i="1"/>
  <c r="Q1380" i="1"/>
  <c r="P1364" i="1"/>
  <c r="N1360" i="1"/>
  <c r="Q1360" i="1"/>
  <c r="N1353" i="1"/>
  <c r="P1353" i="1"/>
  <c r="Q1350" i="1"/>
  <c r="N1345" i="1"/>
  <c r="P1345" i="1"/>
  <c r="Q1342" i="1"/>
  <c r="N1338" i="1"/>
  <c r="P1338" i="1"/>
  <c r="Q1338" i="1"/>
  <c r="N1326" i="1"/>
  <c r="P1326" i="1"/>
  <c r="Q1326" i="1"/>
  <c r="N1321" i="1"/>
  <c r="P1321" i="1"/>
  <c r="Q1321" i="1"/>
  <c r="N1315" i="1"/>
  <c r="P1315" i="1"/>
  <c r="Q1315" i="1"/>
  <c r="P1675" i="1"/>
  <c r="N1673" i="1"/>
  <c r="P1671" i="1"/>
  <c r="P1667" i="1"/>
  <c r="N1659" i="1"/>
  <c r="P1657" i="1"/>
  <c r="N1654" i="1"/>
  <c r="P1652" i="1"/>
  <c r="N1650" i="1"/>
  <c r="P1648" i="1"/>
  <c r="N1646" i="1"/>
  <c r="P1644" i="1"/>
  <c r="N1642" i="1"/>
  <c r="N1638" i="1"/>
  <c r="P1627" i="1"/>
  <c r="N1625" i="1"/>
  <c r="P1621" i="1"/>
  <c r="N1619" i="1"/>
  <c r="N1614" i="1"/>
  <c r="P1612" i="1"/>
  <c r="N1610" i="1"/>
  <c r="P1602" i="1"/>
  <c r="P1596" i="1"/>
  <c r="N1594" i="1"/>
  <c r="N1590" i="1"/>
  <c r="P1588" i="1"/>
  <c r="P1584" i="1"/>
  <c r="N1582" i="1"/>
  <c r="P1580" i="1"/>
  <c r="N1569" i="1"/>
  <c r="P1567" i="1"/>
  <c r="N1563" i="1"/>
  <c r="P1561" i="1"/>
  <c r="N1559" i="1"/>
  <c r="P1557" i="1"/>
  <c r="N1555" i="1"/>
  <c r="P1526" i="1"/>
  <c r="P1523" i="1"/>
  <c r="N1510" i="1"/>
  <c r="P1508" i="1"/>
  <c r="N1504" i="1"/>
  <c r="P1502" i="1"/>
  <c r="N1500" i="1"/>
  <c r="P1498" i="1"/>
  <c r="P1467" i="1"/>
  <c r="P1464" i="1"/>
  <c r="N1451" i="1"/>
  <c r="P1449" i="1"/>
  <c r="P1441" i="1"/>
  <c r="P1410" i="1"/>
  <c r="P1399" i="1"/>
  <c r="P1389" i="1"/>
  <c r="P1381" i="1"/>
  <c r="P1361" i="1"/>
  <c r="N1444" i="1"/>
  <c r="Q1444" i="1"/>
  <c r="N1439" i="1"/>
  <c r="P1439" i="1"/>
  <c r="Q1437" i="1"/>
  <c r="N1397" i="1"/>
  <c r="P1397" i="1"/>
  <c r="Q1393" i="1"/>
  <c r="N1392" i="1"/>
  <c r="Q1392" i="1"/>
  <c r="N1387" i="1"/>
  <c r="P1387" i="1"/>
  <c r="N1384" i="1"/>
  <c r="Q1384" i="1"/>
  <c r="P1379" i="1"/>
  <c r="Q1377" i="1"/>
  <c r="N1376" i="1"/>
  <c r="Q1376" i="1"/>
  <c r="Q1366" i="1"/>
  <c r="N1365" i="1"/>
  <c r="Q1365" i="1"/>
  <c r="N1359" i="1"/>
  <c r="P1359" i="1"/>
  <c r="Q1355" i="1"/>
  <c r="N1354" i="1"/>
  <c r="Q1354" i="1"/>
  <c r="N1349" i="1"/>
  <c r="P1349" i="1"/>
  <c r="Q1347" i="1"/>
  <c r="N1346" i="1"/>
  <c r="Q1346" i="1"/>
  <c r="P1341" i="1"/>
  <c r="P1337" i="1"/>
  <c r="P1325" i="1"/>
  <c r="P1320" i="1"/>
  <c r="P1314" i="1"/>
  <c r="Q1311" i="1"/>
  <c r="P1310" i="1"/>
  <c r="Q1307" i="1"/>
  <c r="P1306" i="1"/>
  <c r="Q1303" i="1"/>
  <c r="P1302" i="1"/>
  <c r="Q1299" i="1"/>
  <c r="Q1288" i="1"/>
  <c r="P1287" i="1"/>
  <c r="Q1283" i="1"/>
  <c r="P1282" i="1"/>
  <c r="Q1278" i="1"/>
  <c r="P1277" i="1"/>
  <c r="Q1274" i="1"/>
  <c r="P1273" i="1"/>
  <c r="Q1270" i="1"/>
  <c r="P1263" i="1"/>
  <c r="Q1260" i="1"/>
  <c r="P1259" i="1"/>
  <c r="Q1236" i="1"/>
  <c r="Q1225" i="1"/>
  <c r="P1224" i="1"/>
  <c r="P1216" i="1"/>
  <c r="Q1213" i="1"/>
  <c r="P1212" i="1"/>
  <c r="Q1209" i="1"/>
  <c r="P1208" i="1"/>
  <c r="Q1163" i="1"/>
  <c r="P1161" i="1"/>
  <c r="P1150" i="1"/>
  <c r="P1143" i="1"/>
  <c r="Q1139" i="1"/>
  <c r="P1138" i="1"/>
  <c r="Q1135" i="1"/>
  <c r="P1134" i="1"/>
  <c r="P1087" i="1"/>
  <c r="Q1073" i="1"/>
  <c r="P1072" i="1"/>
  <c r="Q1067" i="1"/>
  <c r="P1066" i="1"/>
  <c r="Q1063" i="1"/>
  <c r="P1062" i="1"/>
  <c r="Q1053" i="1"/>
  <c r="P1052" i="1"/>
  <c r="Q1048" i="1"/>
  <c r="P1047" i="1"/>
  <c r="Q1033" i="1"/>
  <c r="P1032" i="1"/>
  <c r="Q1027" i="1"/>
  <c r="P1026" i="1"/>
  <c r="Q1023" i="1"/>
  <c r="N1022" i="1"/>
  <c r="Q1022" i="1"/>
  <c r="Q1013" i="1"/>
  <c r="N985" i="1"/>
  <c r="P985" i="1"/>
  <c r="N979" i="1"/>
  <c r="Q979" i="1"/>
  <c r="P979" i="1"/>
  <c r="N974" i="1"/>
  <c r="P974" i="1"/>
  <c r="Q974" i="1"/>
  <c r="N962" i="1"/>
  <c r="P962" i="1"/>
  <c r="N956" i="1"/>
  <c r="Q956" i="1"/>
  <c r="P956" i="1"/>
  <c r="N941" i="1"/>
  <c r="P941" i="1"/>
  <c r="Q941" i="1"/>
  <c r="P885" i="1"/>
  <c r="Q885" i="1"/>
  <c r="P1311" i="1"/>
  <c r="P1283" i="1"/>
  <c r="P1278" i="1"/>
  <c r="P1274" i="1"/>
  <c r="P1270" i="1"/>
  <c r="P1260" i="1"/>
  <c r="P1236" i="1"/>
  <c r="P1225" i="1"/>
  <c r="P1213" i="1"/>
  <c r="P1209" i="1"/>
  <c r="P1139" i="1"/>
  <c r="N991" i="1"/>
  <c r="P991" i="1"/>
  <c r="N984" i="1"/>
  <c r="Q984" i="1"/>
  <c r="P984" i="1"/>
  <c r="P978" i="1"/>
  <c r="Q978" i="1"/>
  <c r="N966" i="1"/>
  <c r="P966" i="1"/>
  <c r="N961" i="1"/>
  <c r="Q961" i="1"/>
  <c r="P961" i="1"/>
  <c r="N955" i="1"/>
  <c r="P955" i="1"/>
  <c r="Q955" i="1"/>
  <c r="P950" i="1"/>
  <c r="Q950" i="1"/>
  <c r="P916" i="1"/>
  <c r="Q916" i="1"/>
  <c r="P1021" i="1"/>
  <c r="P1011" i="1"/>
  <c r="N1006" i="1"/>
  <c r="P1006" i="1"/>
  <c r="P1004" i="1"/>
  <c r="N990" i="1"/>
  <c r="Q990" i="1"/>
  <c r="P990" i="1"/>
  <c r="N982" i="1"/>
  <c r="P982" i="1"/>
  <c r="Q982" i="1"/>
  <c r="N976" i="1"/>
  <c r="P976" i="1"/>
  <c r="Q965" i="1"/>
  <c r="P965" i="1"/>
  <c r="P958" i="1"/>
  <c r="Q958" i="1"/>
  <c r="N953" i="1"/>
  <c r="P953" i="1"/>
  <c r="N918" i="1"/>
  <c r="P918" i="1"/>
  <c r="Q918" i="1"/>
  <c r="Q1341" i="1"/>
  <c r="Q1337" i="1"/>
  <c r="Q1325" i="1"/>
  <c r="Q1320" i="1"/>
  <c r="Q1314" i="1"/>
  <c r="Q1310" i="1"/>
  <c r="Q1306" i="1"/>
  <c r="Q1302" i="1"/>
  <c r="Q1287" i="1"/>
  <c r="Q1282" i="1"/>
  <c r="Q1277" i="1"/>
  <c r="Q1273" i="1"/>
  <c r="Q1263" i="1"/>
  <c r="Q1259" i="1"/>
  <c r="Q1224" i="1"/>
  <c r="Q1216" i="1"/>
  <c r="Q1212" i="1"/>
  <c r="Q1208" i="1"/>
  <c r="Q1161" i="1"/>
  <c r="Q1150" i="1"/>
  <c r="Q1143" i="1"/>
  <c r="Q1138" i="1"/>
  <c r="Q1134" i="1"/>
  <c r="Q1087" i="1"/>
  <c r="Q1072" i="1"/>
  <c r="Q1066" i="1"/>
  <c r="Q1062" i="1"/>
  <c r="Q1052" i="1"/>
  <c r="Q1047" i="1"/>
  <c r="Q1032" i="1"/>
  <c r="Q1026" i="1"/>
  <c r="N1002" i="1"/>
  <c r="P1002" i="1"/>
  <c r="N989" i="1"/>
  <c r="P989" i="1"/>
  <c r="Q989" i="1"/>
  <c r="P980" i="1"/>
  <c r="N975" i="1"/>
  <c r="Q975" i="1"/>
  <c r="P975" i="1"/>
  <c r="P964" i="1"/>
  <c r="Q964" i="1"/>
  <c r="P882" i="1"/>
  <c r="Q882" i="1"/>
  <c r="N928" i="1"/>
  <c r="P928" i="1"/>
  <c r="N925" i="1"/>
  <c r="P925" i="1"/>
  <c r="N893" i="1"/>
  <c r="P893" i="1"/>
  <c r="P891" i="1"/>
  <c r="N875" i="1"/>
  <c r="P875" i="1"/>
  <c r="N872" i="1"/>
  <c r="P872" i="1"/>
  <c r="Q1007" i="1"/>
  <c r="N948" i="1"/>
  <c r="P948" i="1"/>
  <c r="P946" i="1"/>
  <c r="N943" i="1"/>
  <c r="P943" i="1"/>
  <c r="N923" i="1"/>
  <c r="P923" i="1"/>
  <c r="N920" i="1"/>
  <c r="P920" i="1"/>
  <c r="N889" i="1"/>
  <c r="P889" i="1"/>
  <c r="P887" i="1"/>
  <c r="N854" i="1"/>
  <c r="P854" i="1"/>
  <c r="N852" i="1"/>
  <c r="P852" i="1"/>
  <c r="N848" i="1"/>
  <c r="P848" i="1"/>
  <c r="P843" i="1"/>
  <c r="Q843" i="1"/>
  <c r="N839" i="1"/>
  <c r="P839" i="1"/>
  <c r="Q839" i="1"/>
  <c r="P828" i="1"/>
  <c r="Q828" i="1"/>
  <c r="N824" i="1"/>
  <c r="P824" i="1"/>
  <c r="Q824" i="1"/>
  <c r="N820" i="1"/>
  <c r="P820" i="1"/>
  <c r="Q820" i="1"/>
  <c r="N816" i="1"/>
  <c r="P816" i="1"/>
  <c r="Q816" i="1"/>
  <c r="N812" i="1"/>
  <c r="P812" i="1"/>
  <c r="Q812" i="1"/>
  <c r="N808" i="1"/>
  <c r="P808" i="1"/>
  <c r="Q808" i="1"/>
  <c r="N804" i="1"/>
  <c r="P804" i="1"/>
  <c r="Q804" i="1"/>
  <c r="N800" i="1"/>
  <c r="P800" i="1"/>
  <c r="Q800" i="1"/>
  <c r="N787" i="1"/>
  <c r="P787" i="1"/>
  <c r="Q787" i="1"/>
  <c r="N782" i="1"/>
  <c r="P782" i="1"/>
  <c r="Q782" i="1"/>
  <c r="Q1012" i="1"/>
  <c r="Q1005" i="1"/>
  <c r="P947" i="1"/>
  <c r="N930" i="1"/>
  <c r="P930" i="1"/>
  <c r="Q928" i="1"/>
  <c r="Q925" i="1"/>
  <c r="N914" i="1"/>
  <c r="P914" i="1"/>
  <c r="N912" i="1"/>
  <c r="P912" i="1"/>
  <c r="Q893" i="1"/>
  <c r="Q891" i="1"/>
  <c r="N879" i="1"/>
  <c r="P879" i="1"/>
  <c r="N877" i="1"/>
  <c r="P877" i="1"/>
  <c r="Q875" i="1"/>
  <c r="Q872" i="1"/>
  <c r="P867" i="1"/>
  <c r="N865" i="1"/>
  <c r="P865" i="1"/>
  <c r="Q778" i="1"/>
  <c r="Q753" i="1"/>
  <c r="Q741" i="1"/>
  <c r="Q734" i="1"/>
  <c r="Q725" i="1"/>
  <c r="Q703" i="1"/>
  <c r="Q697" i="1"/>
  <c r="Q677" i="1"/>
  <c r="Q665" i="1"/>
  <c r="Q659" i="1"/>
  <c r="Q656" i="1"/>
  <c r="Q652" i="1"/>
  <c r="Q642" i="1"/>
  <c r="Q638" i="1"/>
  <c r="Q632" i="1"/>
  <c r="Q628" i="1"/>
  <c r="Q621" i="1"/>
  <c r="Q602" i="1"/>
  <c r="N602" i="1"/>
  <c r="Q952" i="1"/>
  <c r="Q944" i="1"/>
  <c r="Q931" i="1"/>
  <c r="Q926" i="1"/>
  <c r="Q921" i="1"/>
  <c r="Q917" i="1"/>
  <c r="Q913" i="1"/>
  <c r="Q892" i="1"/>
  <c r="Q888" i="1"/>
  <c r="Q884" i="1"/>
  <c r="Q878" i="1"/>
  <c r="Q873" i="1"/>
  <c r="Q866" i="1"/>
  <c r="Q853" i="1"/>
  <c r="Q847" i="1"/>
  <c r="Q844" i="1"/>
  <c r="Q840" i="1"/>
  <c r="Q829" i="1"/>
  <c r="Q825" i="1"/>
  <c r="Q821" i="1"/>
  <c r="Q817" i="1"/>
  <c r="Q813" i="1"/>
  <c r="Q809" i="1"/>
  <c r="Q805" i="1"/>
  <c r="Q801" i="1"/>
  <c r="Q788" i="1"/>
  <c r="Q783" i="1"/>
  <c r="Q779" i="1"/>
  <c r="P778" i="1"/>
  <c r="Q775" i="1"/>
  <c r="P753" i="1"/>
  <c r="P741" i="1"/>
  <c r="P734" i="1"/>
  <c r="Q730" i="1"/>
  <c r="Q726" i="1"/>
  <c r="P725" i="1"/>
  <c r="P703" i="1"/>
  <c r="Q698" i="1"/>
  <c r="P697" i="1"/>
  <c r="P677" i="1"/>
  <c r="P665" i="1"/>
  <c r="P659" i="1"/>
  <c r="P656" i="1"/>
  <c r="P652" i="1"/>
  <c r="P642" i="1"/>
  <c r="P638" i="1"/>
  <c r="Q634" i="1"/>
  <c r="P632" i="1"/>
  <c r="P628" i="1"/>
  <c r="Q622" i="1"/>
  <c r="P621" i="1"/>
  <c r="N620" i="1"/>
  <c r="N607" i="1"/>
  <c r="P601" i="1"/>
  <c r="Q619" i="1"/>
  <c r="P619" i="1"/>
  <c r="Q608" i="1"/>
  <c r="N608" i="1"/>
  <c r="Q606" i="1"/>
  <c r="P606" i="1"/>
  <c r="Q598" i="1"/>
  <c r="N598" i="1"/>
  <c r="Q596" i="1"/>
  <c r="N596" i="1"/>
  <c r="P596" i="1"/>
  <c r="Q594" i="1"/>
  <c r="P594" i="1"/>
  <c r="Q592" i="1"/>
  <c r="N592" i="1"/>
  <c r="P592" i="1"/>
  <c r="Q590" i="1"/>
  <c r="P590" i="1"/>
  <c r="N590" i="1"/>
  <c r="Q571" i="1"/>
  <c r="N571" i="1"/>
  <c r="P571" i="1"/>
  <c r="Q569" i="1"/>
  <c r="P569" i="1"/>
  <c r="Q567" i="1"/>
  <c r="N567" i="1"/>
  <c r="P567" i="1"/>
  <c r="Q565" i="1"/>
  <c r="P565" i="1"/>
  <c r="Q564" i="1"/>
  <c r="P564" i="1"/>
  <c r="Q562" i="1"/>
  <c r="P562" i="1"/>
  <c r="N562" i="1"/>
  <c r="Q560" i="1"/>
  <c r="N560" i="1"/>
  <c r="P560" i="1"/>
  <c r="Q558" i="1"/>
  <c r="P558" i="1"/>
  <c r="N558" i="1"/>
  <c r="Q871" i="1"/>
  <c r="P845" i="1"/>
  <c r="P841" i="1"/>
  <c r="P830" i="1"/>
  <c r="P826" i="1"/>
  <c r="P822" i="1"/>
  <c r="P818" i="1"/>
  <c r="P814" i="1"/>
  <c r="P810" i="1"/>
  <c r="P806" i="1"/>
  <c r="P789" i="1"/>
  <c r="P780" i="1"/>
  <c r="P776" i="1"/>
  <c r="P751" i="1"/>
  <c r="P739" i="1"/>
  <c r="P731" i="1"/>
  <c r="Q728" i="1"/>
  <c r="P727" i="1"/>
  <c r="P723" i="1"/>
  <c r="P716" i="1"/>
  <c r="Q701" i="1"/>
  <c r="P699" i="1"/>
  <c r="P679" i="1"/>
  <c r="P667" i="1"/>
  <c r="Q664" i="1"/>
  <c r="P661" i="1"/>
  <c r="P658" i="1"/>
  <c r="Q655" i="1"/>
  <c r="P654" i="1"/>
  <c r="Q651" i="1"/>
  <c r="P650" i="1"/>
  <c r="Q641" i="1"/>
  <c r="P640" i="1"/>
  <c r="Q637" i="1"/>
  <c r="P635" i="1"/>
  <c r="Q631" i="1"/>
  <c r="P630" i="1"/>
  <c r="Q626" i="1"/>
  <c r="P625" i="1"/>
  <c r="P620" i="1"/>
  <c r="N619" i="1"/>
  <c r="P607" i="1"/>
  <c r="N606" i="1"/>
  <c r="P602" i="1"/>
  <c r="N601" i="1"/>
  <c r="P555" i="1"/>
  <c r="Q548" i="1"/>
  <c r="P548" i="1"/>
  <c r="N548" i="1"/>
  <c r="Q525" i="1"/>
  <c r="P525" i="1"/>
  <c r="N525" i="1"/>
  <c r="Q511" i="1"/>
  <c r="P511" i="1"/>
  <c r="N511" i="1"/>
  <c r="Q503" i="1"/>
  <c r="P503" i="1"/>
  <c r="N503" i="1"/>
  <c r="Q496" i="1"/>
  <c r="P496" i="1"/>
  <c r="N496" i="1"/>
  <c r="Q476" i="1"/>
  <c r="P476" i="1"/>
  <c r="N476" i="1"/>
  <c r="Q532" i="1"/>
  <c r="P532" i="1"/>
  <c r="N532" i="1"/>
  <c r="Q524" i="1"/>
  <c r="P524" i="1"/>
  <c r="Q516" i="1"/>
  <c r="N516" i="1"/>
  <c r="P516" i="1"/>
  <c r="Q510" i="1"/>
  <c r="P510" i="1"/>
  <c r="N510" i="1"/>
  <c r="Q508" i="1"/>
  <c r="P508" i="1"/>
  <c r="Q502" i="1"/>
  <c r="P502" i="1"/>
  <c r="N502" i="1"/>
  <c r="Q501" i="1"/>
  <c r="N501" i="1"/>
  <c r="P501" i="1"/>
  <c r="Q495" i="1"/>
  <c r="P495" i="1"/>
  <c r="Q493" i="1"/>
  <c r="N493" i="1"/>
  <c r="P493" i="1"/>
  <c r="Q488" i="1"/>
  <c r="P488" i="1"/>
  <c r="N488" i="1"/>
  <c r="Q486" i="1"/>
  <c r="N486" i="1"/>
  <c r="P486" i="1"/>
  <c r="Q475" i="1"/>
  <c r="P475" i="1"/>
  <c r="N475" i="1"/>
  <c r="Q463" i="1"/>
  <c r="P463" i="1"/>
  <c r="N555" i="1"/>
  <c r="Q529" i="1"/>
  <c r="N529" i="1"/>
  <c r="P529" i="1"/>
  <c r="Q515" i="1"/>
  <c r="N515" i="1"/>
  <c r="P515" i="1"/>
  <c r="Q507" i="1"/>
  <c r="N507" i="1"/>
  <c r="P507" i="1"/>
  <c r="Q500" i="1"/>
  <c r="P500" i="1"/>
  <c r="Q492" i="1"/>
  <c r="N492" i="1"/>
  <c r="P492" i="1"/>
  <c r="Q553" i="1"/>
  <c r="P553" i="1"/>
  <c r="Q552" i="1"/>
  <c r="P552" i="1"/>
  <c r="N552" i="1"/>
  <c r="Q549" i="1"/>
  <c r="N549" i="1"/>
  <c r="P549" i="1"/>
  <c r="Q538" i="1"/>
  <c r="P538" i="1"/>
  <c r="N538" i="1"/>
  <c r="Q536" i="1"/>
  <c r="N536" i="1"/>
  <c r="P536" i="1"/>
  <c r="Q528" i="1"/>
  <c r="P528" i="1"/>
  <c r="N528" i="1"/>
  <c r="Q526" i="1"/>
  <c r="P526" i="1"/>
  <c r="Q514" i="1"/>
  <c r="P514" i="1"/>
  <c r="N514" i="1"/>
  <c r="Q512" i="1"/>
  <c r="P512" i="1"/>
  <c r="Q506" i="1"/>
  <c r="P506" i="1"/>
  <c r="N506" i="1"/>
  <c r="Q504" i="1"/>
  <c r="N504" i="1"/>
  <c r="P504" i="1"/>
  <c r="Q499" i="1"/>
  <c r="P499" i="1"/>
  <c r="Q497" i="1"/>
  <c r="N497" i="1"/>
  <c r="P497" i="1"/>
  <c r="Q491" i="1"/>
  <c r="P491" i="1"/>
  <c r="N491" i="1"/>
  <c r="Q490" i="1"/>
  <c r="N490" i="1"/>
  <c r="P490" i="1"/>
  <c r="Q467" i="1"/>
  <c r="P467" i="1"/>
  <c r="N464" i="1"/>
  <c r="N417" i="1"/>
  <c r="N363" i="1"/>
  <c r="N360" i="1"/>
  <c r="P358" i="1"/>
  <c r="N356" i="1"/>
  <c r="N349" i="1"/>
  <c r="P348" i="1"/>
  <c r="P343" i="1"/>
  <c r="N329" i="1"/>
  <c r="N304" i="1"/>
  <c r="Q286" i="1"/>
  <c r="P286" i="1"/>
  <c r="N469" i="1"/>
  <c r="N430" i="1"/>
  <c r="P428" i="1"/>
  <c r="N418" i="1"/>
  <c r="P362" i="1"/>
  <c r="N361" i="1"/>
  <c r="P359" i="1"/>
  <c r="N347" i="1"/>
  <c r="P344" i="1"/>
  <c r="N342" i="1"/>
  <c r="N326" i="1"/>
  <c r="P323" i="1"/>
  <c r="N312" i="1"/>
  <c r="P310" i="1"/>
  <c r="N309" i="1"/>
  <c r="P303" i="1"/>
  <c r="N286" i="1"/>
  <c r="Q275" i="1"/>
  <c r="N275" i="1"/>
  <c r="P275" i="1"/>
  <c r="Q265" i="1"/>
  <c r="P265" i="1"/>
  <c r="P430" i="1"/>
  <c r="N428" i="1"/>
  <c r="N362" i="1"/>
  <c r="P361" i="1"/>
  <c r="P312" i="1"/>
  <c r="Q292" i="1"/>
  <c r="P292" i="1"/>
  <c r="Q289" i="1"/>
  <c r="N289" i="1"/>
  <c r="Q279" i="1"/>
  <c r="N279" i="1"/>
  <c r="P279" i="1"/>
  <c r="N277" i="1"/>
  <c r="N273" i="1"/>
  <c r="P291" i="1"/>
  <c r="P285" i="1"/>
  <c r="P281" i="1"/>
  <c r="P277" i="1"/>
  <c r="P273" i="1"/>
  <c r="N284" i="1"/>
  <c r="P282" i="1"/>
  <c r="P278" i="1"/>
  <c r="Q243" i="1"/>
  <c r="Q230" i="1"/>
  <c r="Q224" i="1"/>
  <c r="Q220" i="1"/>
  <c r="Q217" i="1"/>
  <c r="Q213" i="1"/>
  <c r="Q192" i="1"/>
  <c r="Q188" i="1"/>
  <c r="Q184" i="1"/>
  <c r="Q179" i="1"/>
  <c r="Q172" i="1"/>
  <c r="Q159" i="1"/>
  <c r="Q153" i="1"/>
  <c r="Q150" i="1"/>
  <c r="Q146" i="1"/>
  <c r="Q141" i="1"/>
  <c r="P140" i="1"/>
  <c r="Q125" i="1"/>
  <c r="Q119" i="1"/>
  <c r="Q115" i="1"/>
  <c r="Q111" i="1"/>
  <c r="N111" i="1"/>
  <c r="Q109" i="1"/>
  <c r="P109" i="1"/>
  <c r="Q103" i="1"/>
  <c r="N103" i="1"/>
  <c r="Q101" i="1"/>
  <c r="P101" i="1"/>
  <c r="Q95" i="1"/>
  <c r="Q93" i="1"/>
  <c r="P93" i="1"/>
  <c r="Q87" i="1"/>
  <c r="N87" i="1"/>
  <c r="Q85" i="1"/>
  <c r="P85" i="1"/>
  <c r="Q80" i="1"/>
  <c r="N80" i="1"/>
  <c r="P80" i="1"/>
  <c r="Q71" i="1"/>
  <c r="P71" i="1"/>
  <c r="N71" i="1"/>
  <c r="Q252" i="1"/>
  <c r="Q244" i="1"/>
  <c r="P243" i="1"/>
  <c r="Q231" i="1"/>
  <c r="P230" i="1"/>
  <c r="Q225" i="1"/>
  <c r="P224" i="1"/>
  <c r="Q221" i="1"/>
  <c r="P220" i="1"/>
  <c r="Q218" i="1"/>
  <c r="P217" i="1"/>
  <c r="Q214" i="1"/>
  <c r="P213" i="1"/>
  <c r="Q193" i="1"/>
  <c r="P192" i="1"/>
  <c r="Q189" i="1"/>
  <c r="P188" i="1"/>
  <c r="Q185" i="1"/>
  <c r="P184" i="1"/>
  <c r="Q181" i="1"/>
  <c r="P179" i="1"/>
  <c r="Q173" i="1"/>
  <c r="P172" i="1"/>
  <c r="Q160" i="1"/>
  <c r="P159" i="1"/>
  <c r="Q154" i="1"/>
  <c r="P153" i="1"/>
  <c r="P150" i="1"/>
  <c r="P146" i="1"/>
  <c r="P141" i="1"/>
  <c r="P125" i="1"/>
  <c r="P119" i="1"/>
  <c r="Q116" i="1"/>
  <c r="P115" i="1"/>
  <c r="P110" i="1"/>
  <c r="N106" i="1"/>
  <c r="P102" i="1"/>
  <c r="N101" i="1"/>
  <c r="N98" i="1"/>
  <c r="N93" i="1"/>
  <c r="Q152" i="1"/>
  <c r="Q113" i="1"/>
  <c r="P113" i="1"/>
  <c r="Q107" i="1"/>
  <c r="N107" i="1"/>
  <c r="Q105" i="1"/>
  <c r="P105" i="1"/>
  <c r="Q99" i="1"/>
  <c r="N99" i="1"/>
  <c r="Q97" i="1"/>
  <c r="P97" i="1"/>
  <c r="Q91" i="1"/>
  <c r="N91" i="1"/>
  <c r="Q89" i="1"/>
  <c r="P89" i="1"/>
  <c r="Q83" i="1"/>
  <c r="Q81" i="1"/>
  <c r="P81" i="1"/>
  <c r="P253" i="1"/>
  <c r="P248" i="1"/>
  <c r="P247" i="1"/>
  <c r="P246" i="1"/>
  <c r="P232" i="1"/>
  <c r="P226" i="1"/>
  <c r="P222" i="1"/>
  <c r="P215" i="1"/>
  <c r="P194" i="1"/>
  <c r="P190" i="1"/>
  <c r="Q187" i="1"/>
  <c r="P186" i="1"/>
  <c r="P182" i="1"/>
  <c r="P177" i="1"/>
  <c r="P176" i="1"/>
  <c r="P175" i="1"/>
  <c r="P161" i="1"/>
  <c r="P155" i="1"/>
  <c r="P152" i="1"/>
  <c r="Q149" i="1"/>
  <c r="P148" i="1"/>
  <c r="Q145" i="1"/>
  <c r="P144" i="1"/>
  <c r="Q140" i="1"/>
  <c r="P139" i="1"/>
  <c r="Q128" i="1"/>
  <c r="P127" i="1"/>
  <c r="Q122" i="1"/>
  <c r="P121" i="1"/>
  <c r="Q118" i="1"/>
  <c r="P117" i="1"/>
  <c r="P114" i="1"/>
  <c r="N113" i="1"/>
  <c r="P111" i="1"/>
  <c r="N110" i="1"/>
  <c r="P106" i="1"/>
  <c r="N105" i="1"/>
  <c r="P103" i="1"/>
  <c r="N102" i="1"/>
  <c r="P98" i="1"/>
  <c r="N97" i="1"/>
  <c r="P95" i="1"/>
  <c r="P90" i="1"/>
  <c r="N89" i="1"/>
  <c r="P87" i="1"/>
  <c r="N86" i="1"/>
  <c r="P60" i="1"/>
  <c r="P57" i="1"/>
  <c r="N50" i="1"/>
  <c r="P37" i="1"/>
  <c r="P31" i="1"/>
  <c r="N29" i="1"/>
  <c r="P28" i="1"/>
  <c r="P24" i="1"/>
  <c r="N22" i="1"/>
  <c r="P20" i="1"/>
  <c r="N18" i="1"/>
  <c r="N35" i="1"/>
  <c r="P32" i="1"/>
  <c r="P25" i="1"/>
  <c r="P21" i="1"/>
  <c r="P15" i="1"/>
  <c r="N60" i="1"/>
  <c r="N57" i="1"/>
  <c r="P50" i="1"/>
  <c r="N37" i="1"/>
  <c r="P33" i="1"/>
  <c r="P29" i="1"/>
  <c r="P26" i="1"/>
  <c r="P22" i="1"/>
  <c r="P18" i="1"/>
  <c r="N15" i="1"/>
  <c r="Q3553" i="1"/>
  <c r="Q3552" i="1"/>
  <c r="Q3551" i="1"/>
  <c r="Q3550" i="1"/>
  <c r="Q3549" i="1"/>
  <c r="Q3548" i="1"/>
  <c r="Q3547" i="1"/>
  <c r="Q3546" i="1"/>
  <c r="Q3545" i="1"/>
  <c r="Q3544" i="1"/>
  <c r="Q3543" i="1"/>
  <c r="Q3542" i="1"/>
  <c r="Q3541" i="1"/>
  <c r="Q3540" i="1"/>
  <c r="Q3539" i="1"/>
  <c r="Q3538" i="1"/>
  <c r="Q3537" i="1"/>
  <c r="Q3536" i="1"/>
  <c r="Q3535" i="1"/>
  <c r="Q3534" i="1"/>
  <c r="Q3533" i="1"/>
  <c r="Q3532" i="1"/>
  <c r="Q3531" i="1"/>
  <c r="Q3530" i="1"/>
  <c r="Q3529" i="1"/>
  <c r="Q3528" i="1"/>
  <c r="Q3527" i="1"/>
  <c r="Q3526" i="1"/>
  <c r="Q3525" i="1"/>
  <c r="Q3524" i="1"/>
  <c r="Q3523" i="1"/>
  <c r="Q3522" i="1"/>
  <c r="Q3521" i="1"/>
  <c r="Q3520" i="1"/>
  <c r="Q3519" i="1"/>
  <c r="Q3518" i="1"/>
  <c r="Q3517" i="1"/>
  <c r="Q3516" i="1"/>
  <c r="Q3515" i="1"/>
  <c r="Q3514" i="1"/>
  <c r="Q3513" i="1"/>
  <c r="Q3512" i="1"/>
  <c r="Q3511" i="1"/>
  <c r="Q3510" i="1"/>
  <c r="Q3509" i="1"/>
  <c r="Q3508" i="1"/>
  <c r="Q3507" i="1"/>
  <c r="Q3506" i="1"/>
  <c r="Q3505" i="1"/>
  <c r="Q3504" i="1"/>
  <c r="Q3503" i="1"/>
  <c r="Q3502" i="1"/>
  <c r="Q3501" i="1"/>
  <c r="Q3500" i="1"/>
  <c r="Q3492" i="1"/>
  <c r="Q3491" i="1"/>
  <c r="Q3489" i="1"/>
  <c r="Q3488" i="1"/>
  <c r="Q3486" i="1"/>
  <c r="Q3485" i="1"/>
  <c r="Q3484" i="1"/>
  <c r="Q3483" i="1"/>
  <c r="Q3476" i="1"/>
  <c r="Q3482" i="1"/>
  <c r="Q3481" i="1"/>
  <c r="Q3480" i="1"/>
  <c r="Q3479" i="1"/>
  <c r="Q3478" i="1"/>
  <c r="Q3462" i="1"/>
  <c r="Q3461" i="1"/>
  <c r="Q3460" i="1"/>
  <c r="M2692" i="1"/>
  <c r="M2693" i="1"/>
  <c r="M2694" i="1"/>
  <c r="M2728" i="1"/>
  <c r="M2729" i="1"/>
  <c r="M2730" i="1"/>
  <c r="M2731" i="1"/>
  <c r="M2732" i="1"/>
  <c r="M2733" i="1"/>
  <c r="M2734" i="1"/>
  <c r="M2735" i="1"/>
  <c r="M2736" i="1"/>
  <c r="M2739" i="1"/>
  <c r="O3554" i="1" l="1"/>
  <c r="Q3554" i="1" s="1"/>
  <c r="O3555" i="1"/>
  <c r="P3555" i="1" s="1"/>
  <c r="O3556" i="1"/>
  <c r="O3557" i="1"/>
  <c r="Q3557" i="1" s="1"/>
  <c r="O3558" i="1"/>
  <c r="O3559" i="1"/>
  <c r="P3559" i="1" s="1"/>
  <c r="O3560" i="1"/>
  <c r="O3561" i="1"/>
  <c r="Q3561" i="1" s="1"/>
  <c r="O3562" i="1"/>
  <c r="P3562" i="1" s="1"/>
  <c r="O3563" i="1"/>
  <c r="N3563" i="1" s="1"/>
  <c r="O3564" i="1"/>
  <c r="N3564" i="1" s="1"/>
  <c r="O3565" i="1"/>
  <c r="N3565" i="1" s="1"/>
  <c r="O3566" i="1"/>
  <c r="P3566" i="1" s="1"/>
  <c r="O3567" i="1"/>
  <c r="N3567" i="1" s="1"/>
  <c r="O3568" i="1"/>
  <c r="N3568" i="1" s="1"/>
  <c r="O3569" i="1"/>
  <c r="N3569" i="1" s="1"/>
  <c r="O3570" i="1"/>
  <c r="P3570" i="1" s="1"/>
  <c r="O3571" i="1"/>
  <c r="N3571" i="1" s="1"/>
  <c r="O3572" i="1"/>
  <c r="N3572" i="1" s="1"/>
  <c r="O3573" i="1"/>
  <c r="N3573" i="1" s="1"/>
  <c r="O3574" i="1"/>
  <c r="P3574" i="1" s="1"/>
  <c r="O3575" i="1"/>
  <c r="N3575" i="1" s="1"/>
  <c r="O3576" i="1"/>
  <c r="N3576" i="1" s="1"/>
  <c r="O3577" i="1"/>
  <c r="N3577" i="1" s="1"/>
  <c r="O3578" i="1"/>
  <c r="P3578" i="1" s="1"/>
  <c r="O3579" i="1"/>
  <c r="N3579" i="1" s="1"/>
  <c r="O3580" i="1"/>
  <c r="N3580" i="1" s="1"/>
  <c r="O3581" i="1"/>
  <c r="N3581" i="1" s="1"/>
  <c r="O3582" i="1"/>
  <c r="P3582" i="1" s="1"/>
  <c r="O3583" i="1"/>
  <c r="N3583" i="1" s="1"/>
  <c r="O3584" i="1"/>
  <c r="N3584" i="1" s="1"/>
  <c r="O3585" i="1"/>
  <c r="N3585" i="1" s="1"/>
  <c r="O3586" i="1"/>
  <c r="P3586" i="1" s="1"/>
  <c r="P3557" i="1" l="1"/>
  <c r="P3581" i="1"/>
  <c r="P3573" i="1"/>
  <c r="P3565" i="1"/>
  <c r="P3579" i="1"/>
  <c r="P3563" i="1"/>
  <c r="P3571" i="1"/>
  <c r="P3583" i="1"/>
  <c r="P3575" i="1"/>
  <c r="P3567" i="1"/>
  <c r="P3585" i="1"/>
  <c r="P3577" i="1"/>
  <c r="P3569" i="1"/>
  <c r="P3561" i="1"/>
  <c r="N3560" i="1"/>
  <c r="Q3560" i="1"/>
  <c r="N3556" i="1"/>
  <c r="Q3556" i="1"/>
  <c r="N3561" i="1"/>
  <c r="N3559" i="1"/>
  <c r="Q3559" i="1"/>
  <c r="N3557" i="1"/>
  <c r="N3555" i="1"/>
  <c r="Q3555" i="1"/>
  <c r="P3584" i="1"/>
  <c r="P3580" i="1"/>
  <c r="P3576" i="1"/>
  <c r="P3572" i="1"/>
  <c r="P3568" i="1"/>
  <c r="P3564" i="1"/>
  <c r="P3560" i="1"/>
  <c r="P3558" i="1"/>
  <c r="Q3558" i="1"/>
  <c r="P3556" i="1"/>
  <c r="N3578" i="1"/>
  <c r="N3558" i="1"/>
  <c r="N3554" i="1"/>
  <c r="N3586" i="1"/>
  <c r="N3582" i="1"/>
  <c r="N3574" i="1"/>
  <c r="N3570" i="1"/>
  <c r="N3566" i="1"/>
  <c r="N3562" i="1"/>
  <c r="F3458" i="1" l="1"/>
  <c r="E3455" i="1"/>
  <c r="F3455" i="1" s="1"/>
  <c r="C3455" i="1"/>
  <c r="F3454" i="1"/>
  <c r="C3454" i="1"/>
  <c r="E3452" i="1"/>
  <c r="F3452" i="1" s="1"/>
  <c r="C3452" i="1"/>
  <c r="E3451" i="1"/>
  <c r="F3451" i="1" s="1"/>
  <c r="C3451" i="1"/>
  <c r="C3449" i="1"/>
  <c r="C3447" i="1"/>
  <c r="C3438" i="1"/>
  <c r="C3437" i="1"/>
  <c r="F3434" i="1"/>
  <c r="E3433" i="1"/>
  <c r="F3433" i="1" s="1"/>
  <c r="C3433" i="1"/>
  <c r="C3432" i="1"/>
  <c r="C3431" i="1"/>
  <c r="E3427" i="1"/>
  <c r="F3427" i="1" s="1"/>
  <c r="C3427" i="1"/>
  <c r="C3426" i="1"/>
  <c r="L3425" i="1"/>
  <c r="L3426" i="1" s="1"/>
  <c r="L3427" i="1" s="1"/>
  <c r="E3421" i="1"/>
  <c r="F3421" i="1" s="1"/>
  <c r="C3421" i="1"/>
  <c r="C3417" i="1"/>
  <c r="E3414" i="1"/>
  <c r="F3414" i="1" s="1"/>
  <c r="C3414" i="1"/>
  <c r="C3410" i="1"/>
  <c r="M3399" i="1"/>
  <c r="K3398" i="1"/>
  <c r="K3399" i="1" s="1"/>
  <c r="K3400" i="1" s="1"/>
  <c r="K3401" i="1" s="1"/>
  <c r="K3402" i="1" s="1"/>
  <c r="K3403" i="1" s="1"/>
  <c r="K3404" i="1" s="1"/>
  <c r="K3405" i="1" s="1"/>
  <c r="K3406" i="1" s="1"/>
  <c r="K3407" i="1" s="1"/>
  <c r="K3408" i="1" s="1"/>
  <c r="K3409" i="1" s="1"/>
  <c r="K3410" i="1" s="1"/>
  <c r="K3411" i="1" s="1"/>
  <c r="K3412" i="1" s="1"/>
  <c r="K3413" i="1" s="1"/>
  <c r="K3414" i="1" s="1"/>
  <c r="K3415" i="1" s="1"/>
  <c r="K3416" i="1" s="1"/>
  <c r="K3417" i="1" s="1"/>
  <c r="K3418" i="1" s="1"/>
  <c r="K3419" i="1" s="1"/>
  <c r="K3420" i="1" s="1"/>
  <c r="K3421" i="1" s="1"/>
  <c r="K3422" i="1" s="1"/>
  <c r="K3423" i="1" s="1"/>
  <c r="K3424" i="1" s="1"/>
  <c r="K3425" i="1" s="1"/>
  <c r="K3426" i="1" s="1"/>
  <c r="K3427" i="1" s="1"/>
  <c r="K3428" i="1" s="1"/>
  <c r="K3429" i="1" s="1"/>
  <c r="K3430" i="1" s="1"/>
  <c r="K3431" i="1" s="1"/>
  <c r="K3432" i="1" s="1"/>
  <c r="K3433" i="1" s="1"/>
  <c r="K3434" i="1" s="1"/>
  <c r="K3435" i="1" s="1"/>
  <c r="K3436" i="1" s="1"/>
  <c r="K3437" i="1" s="1"/>
  <c r="K3438" i="1" s="1"/>
  <c r="K3439" i="1" s="1"/>
  <c r="K3440" i="1" s="1"/>
  <c r="K3441" i="1" s="1"/>
  <c r="K3442" i="1" s="1"/>
  <c r="K3443" i="1" s="1"/>
  <c r="K3444" i="1" s="1"/>
  <c r="K3445" i="1" s="1"/>
  <c r="K3446" i="1" s="1"/>
  <c r="K3447" i="1" s="1"/>
  <c r="K3448" i="1" s="1"/>
  <c r="K3449" i="1" s="1"/>
  <c r="K3450" i="1" s="1"/>
  <c r="K3451" i="1" s="1"/>
  <c r="K3452" i="1" s="1"/>
  <c r="K3453" i="1" s="1"/>
  <c r="K3454" i="1" s="1"/>
  <c r="K3455" i="1" s="1"/>
  <c r="K3456" i="1" s="1"/>
  <c r="K3457" i="1" s="1"/>
  <c r="K3458" i="1" s="1"/>
  <c r="F3396" i="1"/>
  <c r="E3393" i="1"/>
  <c r="F3393" i="1" s="1"/>
  <c r="C3393" i="1"/>
  <c r="F3392" i="1"/>
  <c r="C3392" i="1"/>
  <c r="E3390" i="1"/>
  <c r="F3390" i="1" s="1"/>
  <c r="C3390" i="1"/>
  <c r="C3388" i="1"/>
  <c r="C3386" i="1"/>
  <c r="C3361" i="1"/>
  <c r="M3350" i="1"/>
  <c r="K3349" i="1"/>
  <c r="K3350" i="1" s="1"/>
  <c r="M3347" i="1"/>
  <c r="F3347" i="1"/>
  <c r="M3344" i="1"/>
  <c r="E3344" i="1"/>
  <c r="F3344" i="1" s="1"/>
  <c r="C3344" i="1"/>
  <c r="M3343" i="1"/>
  <c r="F3343" i="1"/>
  <c r="C3343" i="1"/>
  <c r="M3341" i="1"/>
  <c r="E3341" i="1"/>
  <c r="F3341" i="1" s="1"/>
  <c r="C3341" i="1"/>
  <c r="M3340" i="1"/>
  <c r="M3339" i="1"/>
  <c r="C3339" i="1"/>
  <c r="M3338" i="1"/>
  <c r="M3337" i="1"/>
  <c r="C3337" i="1"/>
  <c r="M3336" i="1"/>
  <c r="M3283" i="1"/>
  <c r="M3282" i="1"/>
  <c r="C3282" i="1"/>
  <c r="M3281" i="1"/>
  <c r="M3280" i="1"/>
  <c r="M3271" i="1"/>
  <c r="K3270" i="1"/>
  <c r="K3271" i="1" s="1"/>
  <c r="K3272" i="1" s="1"/>
  <c r="K3273" i="1" s="1"/>
  <c r="K3274" i="1" s="1"/>
  <c r="K3275" i="1" s="1"/>
  <c r="K3276" i="1" s="1"/>
  <c r="K3277" i="1" s="1"/>
  <c r="K3278" i="1" s="1"/>
  <c r="K3279" i="1" s="1"/>
  <c r="K3280" i="1" s="1"/>
  <c r="K3281" i="1" s="1"/>
  <c r="K3282" i="1" s="1"/>
  <c r="K3283" i="1" s="1"/>
  <c r="K3284" i="1" s="1"/>
  <c r="K3285" i="1" s="1"/>
  <c r="K3286" i="1" s="1"/>
  <c r="K3287" i="1" s="1"/>
  <c r="K3288" i="1" s="1"/>
  <c r="K3289" i="1" s="1"/>
  <c r="K3290" i="1" s="1"/>
  <c r="K3291" i="1" s="1"/>
  <c r="K3292" i="1" s="1"/>
  <c r="K3293" i="1" s="1"/>
  <c r="K3294" i="1" s="1"/>
  <c r="K3295" i="1" s="1"/>
  <c r="M3268" i="1"/>
  <c r="F3268" i="1"/>
  <c r="M3265" i="1"/>
  <c r="F3265" i="1"/>
  <c r="M3264" i="1"/>
  <c r="E3264" i="1"/>
  <c r="F3264" i="1" s="1"/>
  <c r="C3264" i="1"/>
  <c r="M3263" i="1"/>
  <c r="F3263" i="1"/>
  <c r="C3263" i="1"/>
  <c r="M3261" i="1"/>
  <c r="E3261" i="1"/>
  <c r="F3261" i="1" s="1"/>
  <c r="C3261" i="1"/>
  <c r="M3260" i="1"/>
  <c r="M3259" i="1"/>
  <c r="C3259" i="1"/>
  <c r="M3258" i="1"/>
  <c r="M3257" i="1"/>
  <c r="C3257" i="1"/>
  <c r="M3256" i="1"/>
  <c r="M3249" i="1"/>
  <c r="M3248" i="1"/>
  <c r="F3248" i="1"/>
  <c r="C3248" i="1"/>
  <c r="M3247" i="1"/>
  <c r="C3247" i="1"/>
  <c r="M3246" i="1"/>
  <c r="C3246" i="1"/>
  <c r="M3245" i="1"/>
  <c r="C3245" i="1"/>
  <c r="M3244" i="1"/>
  <c r="M3241" i="1"/>
  <c r="M3239" i="1"/>
  <c r="C3239" i="1"/>
  <c r="M3238" i="1"/>
  <c r="M3228" i="1"/>
  <c r="K3227" i="1"/>
  <c r="K3228" i="1" s="1"/>
  <c r="M3220" i="1"/>
  <c r="F3220" i="1"/>
  <c r="M3217" i="1"/>
  <c r="E3217" i="1"/>
  <c r="F3217" i="1" s="1"/>
  <c r="C3217" i="1"/>
  <c r="M3216" i="1"/>
  <c r="F3216" i="1"/>
  <c r="C3216" i="1"/>
  <c r="M3215" i="1"/>
  <c r="M3214" i="1"/>
  <c r="M3213" i="1"/>
  <c r="M3212" i="1"/>
  <c r="C3212" i="1"/>
  <c r="M3211" i="1"/>
  <c r="M3210" i="1"/>
  <c r="C3210" i="1"/>
  <c r="M3209" i="1"/>
  <c r="M3164" i="1"/>
  <c r="M3163" i="1"/>
  <c r="C3163" i="1"/>
  <c r="M3162" i="1"/>
  <c r="M3152" i="1"/>
  <c r="K3151" i="1"/>
  <c r="K3152" i="1" s="1"/>
  <c r="F3115" i="1"/>
  <c r="E3112" i="1"/>
  <c r="F3112" i="1" s="1"/>
  <c r="C3112" i="1"/>
  <c r="F3111" i="1"/>
  <c r="C3111" i="1"/>
  <c r="C3107" i="1"/>
  <c r="C3105" i="1"/>
  <c r="C3049" i="1"/>
  <c r="M3038" i="1"/>
  <c r="K3037" i="1"/>
  <c r="K3038" i="1" s="1"/>
  <c r="M2988" i="1"/>
  <c r="F2988" i="1"/>
  <c r="M2985" i="1"/>
  <c r="F2985" i="1"/>
  <c r="M2984" i="1"/>
  <c r="E2984" i="1"/>
  <c r="F2984" i="1" s="1"/>
  <c r="C2984" i="1"/>
  <c r="M2983" i="1"/>
  <c r="F2983" i="1"/>
  <c r="C2983" i="1"/>
  <c r="M2982" i="1"/>
  <c r="M2981" i="1"/>
  <c r="M2980" i="1"/>
  <c r="M2979" i="1"/>
  <c r="C2979" i="1"/>
  <c r="M2978" i="1"/>
  <c r="M2977" i="1"/>
  <c r="C2977" i="1"/>
  <c r="M2976" i="1"/>
  <c r="M2969" i="1"/>
  <c r="M2968" i="1"/>
  <c r="E2968" i="1"/>
  <c r="F2968" i="1" s="1"/>
  <c r="C2968" i="1"/>
  <c r="M2967" i="1"/>
  <c r="C2967" i="1"/>
  <c r="M2964" i="1"/>
  <c r="M2963" i="1"/>
  <c r="E2962" i="1"/>
  <c r="C2962" i="1"/>
  <c r="B2962" i="1"/>
  <c r="M2962" i="1" s="1"/>
  <c r="C2961" i="1"/>
  <c r="B2961" i="1"/>
  <c r="M2961" i="1" s="1"/>
  <c r="E2960" i="1"/>
  <c r="C2960" i="1"/>
  <c r="B2960" i="1"/>
  <c r="M2960" i="1" s="1"/>
  <c r="M2958" i="1"/>
  <c r="C2958" i="1"/>
  <c r="M2957" i="1"/>
  <c r="M2956" i="1"/>
  <c r="M2955" i="1"/>
  <c r="C2955" i="1"/>
  <c r="M2954" i="1"/>
  <c r="M2944" i="1"/>
  <c r="K2943" i="1"/>
  <c r="K2944" i="1" s="1"/>
  <c r="M2941" i="1"/>
  <c r="F2941" i="1"/>
  <c r="M2938" i="1"/>
  <c r="F2938" i="1"/>
  <c r="M2937" i="1"/>
  <c r="E2937" i="1"/>
  <c r="F2937" i="1" s="1"/>
  <c r="C2937" i="1"/>
  <c r="M2936" i="1"/>
  <c r="F2936" i="1"/>
  <c r="C2936" i="1"/>
  <c r="M2935" i="1"/>
  <c r="M2934" i="1"/>
  <c r="M2933" i="1"/>
  <c r="M2932" i="1"/>
  <c r="C2932" i="1"/>
  <c r="M2931" i="1"/>
  <c r="M2930" i="1"/>
  <c r="C2930" i="1"/>
  <c r="M2929" i="1"/>
  <c r="M2928" i="1"/>
  <c r="M2927" i="1"/>
  <c r="M2908" i="1"/>
  <c r="C2908" i="1"/>
  <c r="M2907" i="1"/>
  <c r="C2907" i="1"/>
  <c r="M2906" i="1"/>
  <c r="M2899" i="1"/>
  <c r="M2898" i="1"/>
  <c r="F2898" i="1"/>
  <c r="C2898" i="1"/>
  <c r="M2897" i="1"/>
  <c r="C2897" i="1"/>
  <c r="M2896" i="1"/>
  <c r="C2896" i="1"/>
  <c r="M2894" i="1"/>
  <c r="C2894" i="1"/>
  <c r="M2893" i="1"/>
  <c r="M2892" i="1"/>
  <c r="F2892" i="1"/>
  <c r="M2891" i="1"/>
  <c r="C2891" i="1"/>
  <c r="M2890" i="1"/>
  <c r="M2889" i="1"/>
  <c r="E2888" i="1"/>
  <c r="C2888" i="1"/>
  <c r="B2888" i="1"/>
  <c r="M2888" i="1" s="1"/>
  <c r="C2887" i="1"/>
  <c r="B2887" i="1"/>
  <c r="M2887" i="1" s="1"/>
  <c r="E2886" i="1"/>
  <c r="C2886" i="1"/>
  <c r="B2886" i="1"/>
  <c r="M2886" i="1" s="1"/>
  <c r="M2884" i="1"/>
  <c r="C2884" i="1"/>
  <c r="M2883" i="1"/>
  <c r="M2819" i="1"/>
  <c r="M2818" i="1"/>
  <c r="M2817" i="1"/>
  <c r="C2817" i="1"/>
  <c r="M2807" i="1"/>
  <c r="K2806" i="1"/>
  <c r="K2807" i="1" s="1"/>
  <c r="M2660" i="1"/>
  <c r="F2660" i="1"/>
  <c r="M2657" i="1"/>
  <c r="E2657" i="1"/>
  <c r="F2657" i="1" s="1"/>
  <c r="C2657" i="1"/>
  <c r="M2656" i="1"/>
  <c r="E2656" i="1"/>
  <c r="F2656" i="1" s="1"/>
  <c r="C2656" i="1"/>
  <c r="M2655" i="1"/>
  <c r="M2654" i="1"/>
  <c r="M2653" i="1"/>
  <c r="M2652" i="1"/>
  <c r="C2652" i="1"/>
  <c r="M2651" i="1"/>
  <c r="M2650" i="1"/>
  <c r="C2650" i="1"/>
  <c r="M2649" i="1"/>
  <c r="M2596" i="1"/>
  <c r="M2594" i="1"/>
  <c r="C2594" i="1"/>
  <c r="M2593" i="1"/>
  <c r="M2583" i="1"/>
  <c r="K2582" i="1"/>
  <c r="K2583" i="1" s="1"/>
  <c r="K2584" i="1" s="1"/>
  <c r="K2585" i="1" s="1"/>
  <c r="K2586" i="1" s="1"/>
  <c r="K2587" i="1" s="1"/>
  <c r="K2588" i="1" s="1"/>
  <c r="K2589" i="1" s="1"/>
  <c r="K2590" i="1" s="1"/>
  <c r="K2591" i="1" s="1"/>
  <c r="K2592" i="1" s="1"/>
  <c r="K2593" i="1" s="1"/>
  <c r="K2594" i="1" s="1"/>
  <c r="K2595" i="1" s="1"/>
  <c r="K2596" i="1" s="1"/>
  <c r="K2597" i="1" s="1"/>
  <c r="K2598" i="1" s="1"/>
  <c r="K2599" i="1" s="1"/>
  <c r="K2600" i="1" s="1"/>
  <c r="K2601" i="1" s="1"/>
  <c r="K2602" i="1" s="1"/>
  <c r="K2603" i="1" s="1"/>
  <c r="K2604" i="1" s="1"/>
  <c r="K2605" i="1" s="1"/>
  <c r="K2606" i="1" s="1"/>
  <c r="K2607" i="1" s="1"/>
  <c r="K2608" i="1" s="1"/>
  <c r="K2609" i="1" s="1"/>
  <c r="K2610" i="1" s="1"/>
  <c r="K2611" i="1" s="1"/>
  <c r="K2612" i="1" s="1"/>
  <c r="K2613" i="1" s="1"/>
  <c r="K2614" i="1" s="1"/>
  <c r="K2615" i="1" s="1"/>
  <c r="K2616" i="1" s="1"/>
  <c r="K2617" i="1" s="1"/>
  <c r="K2618" i="1" s="1"/>
  <c r="K2619" i="1" s="1"/>
  <c r="K2620" i="1" s="1"/>
  <c r="K2621" i="1" s="1"/>
  <c r="M2804" i="1"/>
  <c r="F2804" i="1"/>
  <c r="M2801" i="1"/>
  <c r="E2801" i="1"/>
  <c r="F2801" i="1" s="1"/>
  <c r="C2801" i="1"/>
  <c r="M2800" i="1"/>
  <c r="F2800" i="1"/>
  <c r="C2800" i="1"/>
  <c r="M2798" i="1"/>
  <c r="E2798" i="1"/>
  <c r="F2798" i="1" s="1"/>
  <c r="C2798" i="1"/>
  <c r="M2797" i="1"/>
  <c r="E2797" i="1"/>
  <c r="F2797" i="1" s="1"/>
  <c r="C2797" i="1"/>
  <c r="M2796" i="1"/>
  <c r="M2795" i="1"/>
  <c r="C2795" i="1"/>
  <c r="M2794" i="1"/>
  <c r="M2793" i="1"/>
  <c r="C2793" i="1"/>
  <c r="M2792" i="1"/>
  <c r="M2785" i="1"/>
  <c r="M2784" i="1"/>
  <c r="C2784" i="1"/>
  <c r="M2783" i="1"/>
  <c r="C2783" i="1"/>
  <c r="M2782" i="1"/>
  <c r="M2781" i="1"/>
  <c r="M2780" i="1"/>
  <c r="F2780" i="1"/>
  <c r="M2779" i="1"/>
  <c r="E2779" i="1"/>
  <c r="F2779" i="1" s="1"/>
  <c r="C2779" i="1"/>
  <c r="M2778" i="1"/>
  <c r="C2778" i="1"/>
  <c r="M2777" i="1"/>
  <c r="C2777" i="1"/>
  <c r="M2776" i="1"/>
  <c r="C2776" i="1"/>
  <c r="M2775" i="1"/>
  <c r="M2774" i="1"/>
  <c r="M2773" i="1"/>
  <c r="E2773" i="1"/>
  <c r="F2773" i="1" s="1"/>
  <c r="C2773" i="1"/>
  <c r="M2772" i="1"/>
  <c r="C2772" i="1"/>
  <c r="M2771" i="1"/>
  <c r="L2771" i="1"/>
  <c r="L2772" i="1" s="1"/>
  <c r="L2773" i="1" s="1"/>
  <c r="M2770" i="1"/>
  <c r="M2769" i="1"/>
  <c r="M2768" i="1"/>
  <c r="M2767" i="1"/>
  <c r="E2767" i="1"/>
  <c r="F2767" i="1" s="1"/>
  <c r="C2767" i="1"/>
  <c r="M2766" i="1"/>
  <c r="M2765" i="1"/>
  <c r="M2764" i="1"/>
  <c r="M2763" i="1"/>
  <c r="C2763" i="1"/>
  <c r="M2762" i="1"/>
  <c r="M2761" i="1"/>
  <c r="M2760" i="1"/>
  <c r="E2760" i="1"/>
  <c r="F2760" i="1" s="1"/>
  <c r="C2760" i="1"/>
  <c r="M2759" i="1"/>
  <c r="M2758" i="1"/>
  <c r="M2757" i="1"/>
  <c r="M2755" i="1"/>
  <c r="M2754" i="1"/>
  <c r="M2753" i="1"/>
  <c r="C2753" i="1"/>
  <c r="M2743" i="1"/>
  <c r="K2742" i="1"/>
  <c r="K2743" i="1" s="1"/>
  <c r="F2739" i="1"/>
  <c r="E2736" i="1"/>
  <c r="F2736" i="1" s="1"/>
  <c r="C2736" i="1"/>
  <c r="E2735" i="1"/>
  <c r="F2735" i="1" s="1"/>
  <c r="C2735" i="1"/>
  <c r="C2731" i="1"/>
  <c r="C2729" i="1"/>
  <c r="C2693" i="1"/>
  <c r="M2682" i="1"/>
  <c r="K2681" i="1"/>
  <c r="K2682" i="1" s="1"/>
  <c r="M2580" i="1"/>
  <c r="F2580" i="1"/>
  <c r="M2577" i="1"/>
  <c r="F2577" i="1"/>
  <c r="M2576" i="1"/>
  <c r="E2576" i="1"/>
  <c r="F2576" i="1" s="1"/>
  <c r="C2576" i="1"/>
  <c r="M2575" i="1"/>
  <c r="E2575" i="1"/>
  <c r="F2575" i="1" s="1"/>
  <c r="C2575" i="1"/>
  <c r="M2574" i="1"/>
  <c r="M2573" i="1"/>
  <c r="M2572" i="1"/>
  <c r="M2571" i="1"/>
  <c r="C2571" i="1"/>
  <c r="M2570" i="1"/>
  <c r="M2569" i="1"/>
  <c r="C2569" i="1"/>
  <c r="M2568" i="1"/>
  <c r="M2561" i="1"/>
  <c r="M2560" i="1"/>
  <c r="E2560" i="1"/>
  <c r="F2560" i="1" s="1"/>
  <c r="C2560" i="1"/>
  <c r="M2559" i="1"/>
  <c r="C2559" i="1"/>
  <c r="M2558" i="1"/>
  <c r="C2558" i="1"/>
  <c r="M2557" i="1"/>
  <c r="M2556" i="1"/>
  <c r="M2555" i="1"/>
  <c r="C2555" i="1"/>
  <c r="M2554" i="1"/>
  <c r="M2544" i="1"/>
  <c r="K2543" i="1"/>
  <c r="K2544" i="1" s="1"/>
  <c r="M2541" i="1"/>
  <c r="F2541" i="1"/>
  <c r="M2538" i="1"/>
  <c r="F2538" i="1"/>
  <c r="M2537" i="1"/>
  <c r="E2537" i="1"/>
  <c r="F2537" i="1" s="1"/>
  <c r="C2537" i="1"/>
  <c r="M2536" i="1"/>
  <c r="E2536" i="1"/>
  <c r="F2536" i="1" s="1"/>
  <c r="C2536" i="1"/>
  <c r="M2535" i="1"/>
  <c r="M2534" i="1"/>
  <c r="M2533" i="1"/>
  <c r="M2532" i="1"/>
  <c r="C2532" i="1"/>
  <c r="M2531" i="1"/>
  <c r="M2530" i="1"/>
  <c r="C2530" i="1"/>
  <c r="M2529" i="1"/>
  <c r="M2522" i="1"/>
  <c r="M2521" i="1"/>
  <c r="E2521" i="1"/>
  <c r="F2521" i="1" s="1"/>
  <c r="C2521" i="1"/>
  <c r="M2520" i="1"/>
  <c r="C2520" i="1"/>
  <c r="M2519" i="1"/>
  <c r="C2519" i="1"/>
  <c r="M2518" i="1"/>
  <c r="C2518" i="1"/>
  <c r="M2516" i="1"/>
  <c r="C2516" i="1"/>
  <c r="M2515" i="1"/>
  <c r="M2514" i="1"/>
  <c r="M2512" i="1"/>
  <c r="C2512" i="1"/>
  <c r="M2511" i="1"/>
  <c r="M2501" i="1"/>
  <c r="K2500" i="1"/>
  <c r="K2501" i="1" s="1"/>
  <c r="M2498" i="1"/>
  <c r="F2498" i="1"/>
  <c r="M2495" i="1"/>
  <c r="F2495" i="1"/>
  <c r="M2494" i="1"/>
  <c r="E2494" i="1"/>
  <c r="F2494" i="1" s="1"/>
  <c r="C2494" i="1"/>
  <c r="M2493" i="1"/>
  <c r="E2493" i="1"/>
  <c r="F2493" i="1" s="1"/>
  <c r="C2493" i="1"/>
  <c r="M2491" i="1"/>
  <c r="M2490" i="1"/>
  <c r="M2489" i="1"/>
  <c r="C2489" i="1"/>
  <c r="M2488" i="1"/>
  <c r="M2487" i="1"/>
  <c r="C2487" i="1"/>
  <c r="M2486" i="1"/>
  <c r="M2485" i="1"/>
  <c r="M2484" i="1"/>
  <c r="C2484" i="1"/>
  <c r="M2483" i="1"/>
  <c r="C2483" i="1"/>
  <c r="M2482" i="1"/>
  <c r="M2475" i="1"/>
  <c r="M2474" i="1"/>
  <c r="C2474" i="1"/>
  <c r="M2473" i="1"/>
  <c r="C2473" i="1"/>
  <c r="M2472" i="1"/>
  <c r="M2471" i="1"/>
  <c r="M2470" i="1"/>
  <c r="E2470" i="1"/>
  <c r="F2470" i="1" s="1"/>
  <c r="C2470" i="1"/>
  <c r="M2467" i="1"/>
  <c r="C2467" i="1"/>
  <c r="M2465" i="1"/>
  <c r="M2464" i="1"/>
  <c r="E2463" i="1"/>
  <c r="C2463" i="1"/>
  <c r="B2463" i="1"/>
  <c r="M2463" i="1" s="1"/>
  <c r="C2462" i="1"/>
  <c r="B2462" i="1"/>
  <c r="M2462" i="1" s="1"/>
  <c r="E2461" i="1"/>
  <c r="C2461" i="1"/>
  <c r="B2461" i="1"/>
  <c r="M2461" i="1" s="1"/>
  <c r="M2459" i="1"/>
  <c r="C2459" i="1"/>
  <c r="M2458" i="1"/>
  <c r="M2457" i="1"/>
  <c r="M2456" i="1"/>
  <c r="C2456" i="1"/>
  <c r="M2455" i="1"/>
  <c r="M2453" i="1"/>
  <c r="C2453" i="1"/>
  <c r="M2452" i="1"/>
  <c r="M2451" i="1"/>
  <c r="M2450" i="1"/>
  <c r="C2450" i="1"/>
  <c r="M2440" i="1"/>
  <c r="K2439" i="1"/>
  <c r="K2440" i="1" s="1"/>
  <c r="K2441" i="1" s="1"/>
  <c r="K2442" i="1" s="1"/>
  <c r="K2443" i="1" s="1"/>
  <c r="K2444" i="1" s="1"/>
  <c r="K2445" i="1" s="1"/>
  <c r="K2446" i="1" s="1"/>
  <c r="K2447" i="1" s="1"/>
  <c r="K2448" i="1" s="1"/>
  <c r="K2449" i="1" s="1"/>
  <c r="K2450" i="1" s="1"/>
  <c r="K2451" i="1" s="1"/>
  <c r="K2452" i="1" s="1"/>
  <c r="K2453" i="1" s="1"/>
  <c r="K2454" i="1" s="1"/>
  <c r="K2455" i="1" s="1"/>
  <c r="K2456" i="1" s="1"/>
  <c r="K2457" i="1" s="1"/>
  <c r="K2458" i="1" s="1"/>
  <c r="K2459" i="1" s="1"/>
  <c r="K2460" i="1" s="1"/>
  <c r="K2461" i="1" s="1"/>
  <c r="K2462" i="1" s="1"/>
  <c r="K2463" i="1" s="1"/>
  <c r="K2464" i="1" s="1"/>
  <c r="K2465" i="1" s="1"/>
  <c r="K2466" i="1" s="1"/>
  <c r="K2467" i="1" s="1"/>
  <c r="K2468" i="1" s="1"/>
  <c r="K2469" i="1" s="1"/>
  <c r="K2470" i="1" s="1"/>
  <c r="K2471" i="1" s="1"/>
  <c r="K2472" i="1" s="1"/>
  <c r="K2473" i="1" s="1"/>
  <c r="K2474" i="1" s="1"/>
  <c r="K2475" i="1" s="1"/>
  <c r="K2476" i="1" s="1"/>
  <c r="K2477" i="1" s="1"/>
  <c r="K2478" i="1" s="1"/>
  <c r="K2479" i="1" s="1"/>
  <c r="K2480" i="1" s="1"/>
  <c r="K2481" i="1" s="1"/>
  <c r="K2482" i="1" s="1"/>
  <c r="K2483" i="1" s="1"/>
  <c r="K2484" i="1" s="1"/>
  <c r="K2485" i="1" s="1"/>
  <c r="K2486" i="1" s="1"/>
  <c r="K2487" i="1" s="1"/>
  <c r="K2488" i="1" s="1"/>
  <c r="K2489" i="1" s="1"/>
  <c r="K2490" i="1" s="1"/>
  <c r="K2491" i="1" s="1"/>
  <c r="K2492" i="1" s="1"/>
  <c r="K2493" i="1" s="1"/>
  <c r="K2494" i="1" s="1"/>
  <c r="K2495" i="1" s="1"/>
  <c r="K2496" i="1" s="1"/>
  <c r="K2497" i="1" s="1"/>
  <c r="K2498" i="1" s="1"/>
  <c r="M2437" i="1"/>
  <c r="F2437" i="1"/>
  <c r="M2435" i="1"/>
  <c r="M2434" i="1"/>
  <c r="F2434" i="1"/>
  <c r="M2433" i="1"/>
  <c r="E2433" i="1"/>
  <c r="F2433" i="1" s="1"/>
  <c r="C2433" i="1"/>
  <c r="M2432" i="1"/>
  <c r="E2432" i="1"/>
  <c r="F2432" i="1" s="1"/>
  <c r="C2432" i="1"/>
  <c r="M2430" i="1"/>
  <c r="E2430" i="1"/>
  <c r="F2430" i="1" s="1"/>
  <c r="C2430" i="1"/>
  <c r="M2429" i="1"/>
  <c r="M2428" i="1"/>
  <c r="C2428" i="1"/>
  <c r="M2427" i="1"/>
  <c r="M2426" i="1"/>
  <c r="M2425" i="1"/>
  <c r="C2425" i="1"/>
  <c r="M2424" i="1"/>
  <c r="M2423" i="1"/>
  <c r="M2422" i="1"/>
  <c r="C2422" i="1"/>
  <c r="M2421" i="1"/>
  <c r="C2421" i="1"/>
  <c r="M2420" i="1"/>
  <c r="M2402" i="1"/>
  <c r="M2401" i="1"/>
  <c r="C2401" i="1"/>
  <c r="M2400" i="1"/>
  <c r="C2400" i="1"/>
  <c r="M2399" i="1"/>
  <c r="M2398" i="1"/>
  <c r="M2397" i="1"/>
  <c r="E2397" i="1"/>
  <c r="F2397" i="1" s="1"/>
  <c r="C2397" i="1"/>
  <c r="M2396" i="1"/>
  <c r="C2396" i="1"/>
  <c r="M2395" i="1"/>
  <c r="C2395" i="1"/>
  <c r="M2393" i="1"/>
  <c r="C2393" i="1"/>
  <c r="M2392" i="1"/>
  <c r="M2391" i="1"/>
  <c r="E2390" i="1"/>
  <c r="C2390" i="1"/>
  <c r="B2390" i="1"/>
  <c r="M2390" i="1" s="1"/>
  <c r="C2389" i="1"/>
  <c r="B2389" i="1"/>
  <c r="M2389" i="1" s="1"/>
  <c r="E2388" i="1"/>
  <c r="C2388" i="1"/>
  <c r="B2388" i="1"/>
  <c r="M2388" i="1" s="1"/>
  <c r="M2386" i="1"/>
  <c r="C2386" i="1"/>
  <c r="M2385" i="1"/>
  <c r="M2384" i="1"/>
  <c r="M2383" i="1"/>
  <c r="C2383" i="1"/>
  <c r="M2382" i="1"/>
  <c r="M2380" i="1"/>
  <c r="C2380" i="1"/>
  <c r="M2379" i="1"/>
  <c r="M2378" i="1"/>
  <c r="M2377" i="1"/>
  <c r="C2377" i="1"/>
  <c r="M2367" i="1"/>
  <c r="K2366" i="1"/>
  <c r="K2367" i="1" s="1"/>
  <c r="M1676" i="1"/>
  <c r="F1676" i="1"/>
  <c r="M1675" i="1"/>
  <c r="E1675" i="1"/>
  <c r="F1675" i="1" s="1"/>
  <c r="C1675" i="1"/>
  <c r="M1674" i="1"/>
  <c r="E1674" i="1"/>
  <c r="F1674" i="1" s="1"/>
  <c r="C1674" i="1"/>
  <c r="M1673" i="1"/>
  <c r="M1671" i="1"/>
  <c r="M1670" i="1"/>
  <c r="M1669" i="1"/>
  <c r="C1669" i="1"/>
  <c r="M1668" i="1"/>
  <c r="M1667" i="1"/>
  <c r="C1667" i="1"/>
  <c r="M1666" i="1"/>
  <c r="M1659" i="1"/>
  <c r="M1658" i="1"/>
  <c r="E1658" i="1"/>
  <c r="F1658" i="1" s="1"/>
  <c r="C1658" i="1"/>
  <c r="M1657" i="1"/>
  <c r="C1657" i="1"/>
  <c r="M1656" i="1"/>
  <c r="C1656" i="1"/>
  <c r="M1654" i="1"/>
  <c r="M1653" i="1"/>
  <c r="F1653" i="1"/>
  <c r="M1652" i="1"/>
  <c r="C1652" i="1"/>
  <c r="M1651" i="1"/>
  <c r="L1651" i="1"/>
  <c r="L1652" i="1" s="1"/>
  <c r="L1653" i="1" s="1"/>
  <c r="M1650" i="1"/>
  <c r="M1648" i="1"/>
  <c r="C1648" i="1"/>
  <c r="M1647" i="1"/>
  <c r="M1646" i="1"/>
  <c r="E1646" i="1"/>
  <c r="F1646" i="1" s="1"/>
  <c r="C1646" i="1"/>
  <c r="M1645" i="1"/>
  <c r="M1644" i="1"/>
  <c r="M1643" i="1"/>
  <c r="C1643" i="1"/>
  <c r="M1642" i="1"/>
  <c r="M1641" i="1"/>
  <c r="M1639" i="1"/>
  <c r="M1638" i="1"/>
  <c r="M1637" i="1"/>
  <c r="C1637" i="1"/>
  <c r="M1627" i="1"/>
  <c r="K1626" i="1"/>
  <c r="K1627" i="1" s="1"/>
  <c r="M1624" i="1"/>
  <c r="F1624" i="1"/>
  <c r="M1621" i="1"/>
  <c r="F1621" i="1"/>
  <c r="M1620" i="1"/>
  <c r="E1620" i="1"/>
  <c r="F1620" i="1" s="1"/>
  <c r="C1620" i="1"/>
  <c r="M1619" i="1"/>
  <c r="E1619" i="1"/>
  <c r="F1619" i="1" s="1"/>
  <c r="C1619" i="1"/>
  <c r="M1618" i="1"/>
  <c r="M1616" i="1"/>
  <c r="M1614" i="1"/>
  <c r="M1613" i="1"/>
  <c r="C1613" i="1"/>
  <c r="M1612" i="1"/>
  <c r="M1611" i="1"/>
  <c r="C1611" i="1"/>
  <c r="M1610" i="1"/>
  <c r="M1603" i="1"/>
  <c r="M1602" i="1"/>
  <c r="E1602" i="1"/>
  <c r="F1602" i="1" s="1"/>
  <c r="C1602" i="1"/>
  <c r="M1601" i="1"/>
  <c r="C1601" i="1"/>
  <c r="M1600" i="1"/>
  <c r="C1600" i="1"/>
  <c r="M1597" i="1"/>
  <c r="M1596" i="1"/>
  <c r="F1596" i="1"/>
  <c r="M1595" i="1"/>
  <c r="C1595" i="1"/>
  <c r="M1594" i="1"/>
  <c r="L1594" i="1"/>
  <c r="L1595" i="1" s="1"/>
  <c r="L1596" i="1" s="1"/>
  <c r="M1593" i="1"/>
  <c r="M1591" i="1"/>
  <c r="C1591" i="1"/>
  <c r="M1590" i="1"/>
  <c r="M1589" i="1"/>
  <c r="E1589" i="1"/>
  <c r="F1589" i="1" s="1"/>
  <c r="C1589" i="1"/>
  <c r="M1588" i="1"/>
  <c r="M1587" i="1"/>
  <c r="M1586" i="1"/>
  <c r="C1586" i="1"/>
  <c r="M1585" i="1"/>
  <c r="M1584" i="1"/>
  <c r="M1582" i="1"/>
  <c r="M1581" i="1"/>
  <c r="M1580" i="1"/>
  <c r="C1580" i="1"/>
  <c r="M1570" i="1"/>
  <c r="K1569" i="1"/>
  <c r="K1570" i="1" s="1"/>
  <c r="M1567" i="1"/>
  <c r="F1567" i="1"/>
  <c r="M1564" i="1"/>
  <c r="F1564" i="1"/>
  <c r="M1563" i="1"/>
  <c r="E1563" i="1"/>
  <c r="F1563" i="1" s="1"/>
  <c r="C1563" i="1"/>
  <c r="M1562" i="1"/>
  <c r="E1562" i="1"/>
  <c r="F1562" i="1" s="1"/>
  <c r="C1562" i="1"/>
  <c r="M1561" i="1"/>
  <c r="M1560" i="1"/>
  <c r="M1559" i="1"/>
  <c r="M1558" i="1"/>
  <c r="C1558" i="1"/>
  <c r="M1557" i="1"/>
  <c r="M1556" i="1"/>
  <c r="C1556" i="1"/>
  <c r="M1555" i="1"/>
  <c r="M1554" i="1"/>
  <c r="M1527" i="1"/>
  <c r="M1526" i="1"/>
  <c r="E1526" i="1"/>
  <c r="F1526" i="1" s="1"/>
  <c r="C1526" i="1"/>
  <c r="M1525" i="1"/>
  <c r="C1525" i="1"/>
  <c r="M1524" i="1"/>
  <c r="C1524" i="1"/>
  <c r="M1523" i="1"/>
  <c r="M1522" i="1"/>
  <c r="M1521" i="1"/>
  <c r="C1521" i="1"/>
  <c r="M1520" i="1"/>
  <c r="M1510" i="1"/>
  <c r="K1509" i="1"/>
  <c r="K1510" i="1" s="1"/>
  <c r="M1507" i="1"/>
  <c r="F1507" i="1"/>
  <c r="M1504" i="1"/>
  <c r="F1504" i="1"/>
  <c r="M1503" i="1"/>
  <c r="E1503" i="1"/>
  <c r="F1503" i="1" s="1"/>
  <c r="C1503" i="1"/>
  <c r="M1502" i="1"/>
  <c r="E1502" i="1"/>
  <c r="F1502" i="1" s="1"/>
  <c r="C1502" i="1"/>
  <c r="M1501" i="1"/>
  <c r="M1500" i="1"/>
  <c r="M1499" i="1"/>
  <c r="M1498" i="1"/>
  <c r="C1498" i="1"/>
  <c r="M1497" i="1"/>
  <c r="M1496" i="1"/>
  <c r="C1496" i="1"/>
  <c r="M1495" i="1"/>
  <c r="M1468" i="1"/>
  <c r="M1467" i="1"/>
  <c r="E1467" i="1"/>
  <c r="F1467" i="1" s="1"/>
  <c r="C1467" i="1"/>
  <c r="M1466" i="1"/>
  <c r="C1466" i="1"/>
  <c r="M1465" i="1"/>
  <c r="C1465" i="1"/>
  <c r="M1464" i="1"/>
  <c r="M1463" i="1"/>
  <c r="M1462" i="1"/>
  <c r="C1462" i="1"/>
  <c r="M1461" i="1"/>
  <c r="M1451" i="1"/>
  <c r="K1450" i="1"/>
  <c r="K1451" i="1" s="1"/>
  <c r="K1452" i="1" s="1"/>
  <c r="K1453" i="1" s="1"/>
  <c r="K1454" i="1" s="1"/>
  <c r="K1455" i="1" s="1"/>
  <c r="K1456" i="1" s="1"/>
  <c r="K1457" i="1" s="1"/>
  <c r="K1458" i="1" s="1"/>
  <c r="K1459" i="1" s="1"/>
  <c r="K1460" i="1" s="1"/>
  <c r="K1461" i="1" s="1"/>
  <c r="K1462" i="1" s="1"/>
  <c r="K1463" i="1" s="1"/>
  <c r="K1464" i="1" s="1"/>
  <c r="K1465" i="1" s="1"/>
  <c r="K1466" i="1" s="1"/>
  <c r="K1467" i="1" s="1"/>
  <c r="K1468" i="1" s="1"/>
  <c r="K1469" i="1" s="1"/>
  <c r="K1470" i="1" s="1"/>
  <c r="K1471" i="1" s="1"/>
  <c r="K1472" i="1" s="1"/>
  <c r="K1473" i="1" s="1"/>
  <c r="K1474" i="1" s="1"/>
  <c r="K1475" i="1" s="1"/>
  <c r="M1448" i="1"/>
  <c r="F1448" i="1"/>
  <c r="M1445" i="1"/>
  <c r="E1445" i="1"/>
  <c r="F1445" i="1" s="1"/>
  <c r="C1445" i="1"/>
  <c r="M1444" i="1"/>
  <c r="E1444" i="1"/>
  <c r="F1444" i="1" s="1"/>
  <c r="C1444" i="1"/>
  <c r="M1443" i="1"/>
  <c r="M1442" i="1"/>
  <c r="M1441" i="1"/>
  <c r="M1440" i="1"/>
  <c r="C1440" i="1"/>
  <c r="M1439" i="1"/>
  <c r="M1438" i="1"/>
  <c r="C1438" i="1"/>
  <c r="M1437" i="1"/>
  <c r="M1412" i="1"/>
  <c r="M1410" i="1"/>
  <c r="C1410" i="1"/>
  <c r="M1409" i="1"/>
  <c r="M1399" i="1"/>
  <c r="K1398" i="1"/>
  <c r="K1399" i="1" s="1"/>
  <c r="M1396" i="1"/>
  <c r="F1396" i="1"/>
  <c r="M1393" i="1"/>
  <c r="E1393" i="1"/>
  <c r="F1393" i="1" s="1"/>
  <c r="C1393" i="1"/>
  <c r="M1392" i="1"/>
  <c r="E1392" i="1"/>
  <c r="F1392" i="1" s="1"/>
  <c r="C1392" i="1"/>
  <c r="M1391" i="1"/>
  <c r="M1390" i="1"/>
  <c r="M1389" i="1"/>
  <c r="M1388" i="1"/>
  <c r="C1388" i="1"/>
  <c r="M1387" i="1"/>
  <c r="M1386" i="1"/>
  <c r="C1386" i="1"/>
  <c r="M1385" i="1"/>
  <c r="M1384" i="1"/>
  <c r="M1383" i="1"/>
  <c r="F1383" i="1"/>
  <c r="C1382" i="1"/>
  <c r="C1381" i="1"/>
  <c r="M1380" i="1"/>
  <c r="C1380" i="1"/>
  <c r="M1379" i="1"/>
  <c r="C1379" i="1"/>
  <c r="M1378" i="1"/>
  <c r="C1378" i="1"/>
  <c r="M1377" i="1"/>
  <c r="C1377" i="1"/>
  <c r="M1376" i="1"/>
  <c r="M1366" i="1"/>
  <c r="M1365" i="1"/>
  <c r="L1365" i="1"/>
  <c r="M1364" i="1"/>
  <c r="C1364" i="1"/>
  <c r="M1362" i="1"/>
  <c r="M1361" i="1"/>
  <c r="K1360" i="1"/>
  <c r="K1361" i="1" s="1"/>
  <c r="M1358" i="1"/>
  <c r="F1358" i="1"/>
  <c r="M1355" i="1"/>
  <c r="E1355" i="1"/>
  <c r="F1355" i="1" s="1"/>
  <c r="C1355" i="1"/>
  <c r="M1354" i="1"/>
  <c r="E1354" i="1"/>
  <c r="F1354" i="1" s="1"/>
  <c r="C1354" i="1"/>
  <c r="M1353" i="1"/>
  <c r="M1352" i="1"/>
  <c r="M1351" i="1"/>
  <c r="M1350" i="1"/>
  <c r="C1350" i="1"/>
  <c r="M1349" i="1"/>
  <c r="M1348" i="1"/>
  <c r="C1348" i="1"/>
  <c r="M1347" i="1"/>
  <c r="M1346" i="1"/>
  <c r="M1345" i="1"/>
  <c r="F1345" i="1"/>
  <c r="C1344" i="1"/>
  <c r="C1343" i="1"/>
  <c r="M1342" i="1"/>
  <c r="C1342" i="1"/>
  <c r="M1341" i="1"/>
  <c r="C1341" i="1"/>
  <c r="M1340" i="1"/>
  <c r="C1340" i="1"/>
  <c r="M1339" i="1"/>
  <c r="C1339" i="1"/>
  <c r="M1338" i="1"/>
  <c r="M1337" i="1"/>
  <c r="M1327" i="1"/>
  <c r="M1326" i="1"/>
  <c r="L1326" i="1"/>
  <c r="M1325" i="1"/>
  <c r="C1325" i="1"/>
  <c r="M1323" i="1"/>
  <c r="M1322" i="1"/>
  <c r="K1321" i="1"/>
  <c r="K1322" i="1" s="1"/>
  <c r="M1319" i="1"/>
  <c r="F1319" i="1"/>
  <c r="M1316" i="1"/>
  <c r="E1316" i="1"/>
  <c r="F1316" i="1" s="1"/>
  <c r="C1316" i="1"/>
  <c r="M1315" i="1"/>
  <c r="E1315" i="1"/>
  <c r="F1315" i="1" s="1"/>
  <c r="C1315" i="1"/>
  <c r="M1314" i="1"/>
  <c r="M1313" i="1"/>
  <c r="M1312" i="1"/>
  <c r="M1311" i="1"/>
  <c r="C1311" i="1"/>
  <c r="M1310" i="1"/>
  <c r="M1309" i="1"/>
  <c r="C1309" i="1"/>
  <c r="M1308" i="1"/>
  <c r="M1307" i="1"/>
  <c r="M1306" i="1"/>
  <c r="F1306" i="1"/>
  <c r="C1305" i="1"/>
  <c r="C1304" i="1"/>
  <c r="M1303" i="1"/>
  <c r="C1303" i="1"/>
  <c r="M1302" i="1"/>
  <c r="C1302" i="1"/>
  <c r="M1301" i="1"/>
  <c r="C1301" i="1"/>
  <c r="M1300" i="1"/>
  <c r="C1300" i="1"/>
  <c r="M1299" i="1"/>
  <c r="M1289" i="1"/>
  <c r="M1288" i="1"/>
  <c r="L1288" i="1"/>
  <c r="M1287" i="1"/>
  <c r="C1287" i="1"/>
  <c r="M1285" i="1"/>
  <c r="M1284" i="1"/>
  <c r="K1283" i="1"/>
  <c r="K1284" i="1" s="1"/>
  <c r="K1286" i="1" s="1"/>
  <c r="N1286" i="1" s="1"/>
  <c r="M1281" i="1"/>
  <c r="F1281" i="1"/>
  <c r="M1278" i="1"/>
  <c r="E1278" i="1"/>
  <c r="F1278" i="1" s="1"/>
  <c r="C1278" i="1"/>
  <c r="M1277" i="1"/>
  <c r="E1277" i="1"/>
  <c r="F1277" i="1" s="1"/>
  <c r="C1277" i="1"/>
  <c r="M1276" i="1"/>
  <c r="M1275" i="1"/>
  <c r="M1274" i="1"/>
  <c r="M1273" i="1"/>
  <c r="C1273" i="1"/>
  <c r="M1272" i="1"/>
  <c r="M1271" i="1"/>
  <c r="C1271" i="1"/>
  <c r="M1270" i="1"/>
  <c r="M1263" i="1"/>
  <c r="M1262" i="1"/>
  <c r="E1262" i="1"/>
  <c r="F1262" i="1" s="1"/>
  <c r="C1262" i="1"/>
  <c r="M1261" i="1"/>
  <c r="C1261" i="1"/>
  <c r="M1260" i="1"/>
  <c r="C1260" i="1"/>
  <c r="L1259" i="1"/>
  <c r="L1260" i="1" s="1"/>
  <c r="L1262" i="1" s="1"/>
  <c r="M1239" i="1"/>
  <c r="M1237" i="1"/>
  <c r="C1237" i="1"/>
  <c r="M1236" i="1"/>
  <c r="M1226" i="1"/>
  <c r="K1225" i="1"/>
  <c r="K1226" i="1" s="1"/>
  <c r="M1219" i="1"/>
  <c r="F1219" i="1"/>
  <c r="M1216" i="1"/>
  <c r="E1216" i="1"/>
  <c r="F1216" i="1" s="1"/>
  <c r="C1216" i="1"/>
  <c r="M1215" i="1"/>
  <c r="E1215" i="1"/>
  <c r="F1215" i="1" s="1"/>
  <c r="C1215" i="1"/>
  <c r="M1214" i="1"/>
  <c r="M1213" i="1"/>
  <c r="M1212" i="1"/>
  <c r="M1211" i="1"/>
  <c r="C1211" i="1"/>
  <c r="M1210" i="1"/>
  <c r="M1209" i="1"/>
  <c r="C1209" i="1"/>
  <c r="M1208" i="1"/>
  <c r="M1163" i="1"/>
  <c r="M1161" i="1"/>
  <c r="C1161" i="1"/>
  <c r="M1160" i="1"/>
  <c r="M1150" i="1"/>
  <c r="K1149" i="1"/>
  <c r="K1150" i="1" s="1"/>
  <c r="F1143" i="1"/>
  <c r="E1140" i="1"/>
  <c r="F1140" i="1" s="1"/>
  <c r="C1140" i="1"/>
  <c r="E1139" i="1"/>
  <c r="F1139" i="1" s="1"/>
  <c r="C1139" i="1"/>
  <c r="C1135" i="1"/>
  <c r="C1133" i="1"/>
  <c r="C1086" i="1"/>
  <c r="M1075" i="1"/>
  <c r="K1074" i="1"/>
  <c r="K1075" i="1" s="1"/>
  <c r="M1072" i="1"/>
  <c r="F1072" i="1"/>
  <c r="M1069" i="1"/>
  <c r="F1069" i="1"/>
  <c r="M1068" i="1"/>
  <c r="E1068" i="1"/>
  <c r="F1068" i="1" s="1"/>
  <c r="C1068" i="1"/>
  <c r="M1067" i="1"/>
  <c r="E1067" i="1"/>
  <c r="F1067" i="1" s="1"/>
  <c r="C1067" i="1"/>
  <c r="M1066" i="1"/>
  <c r="M1065" i="1"/>
  <c r="M1064" i="1"/>
  <c r="M1063" i="1"/>
  <c r="C1063" i="1"/>
  <c r="M1062" i="1"/>
  <c r="M1061" i="1"/>
  <c r="C1061" i="1"/>
  <c r="M1060" i="1"/>
  <c r="M1053" i="1"/>
  <c r="M1052" i="1"/>
  <c r="E1052" i="1"/>
  <c r="F1052" i="1" s="1"/>
  <c r="C1052" i="1"/>
  <c r="M1051" i="1"/>
  <c r="C1051" i="1"/>
  <c r="M1049" i="1"/>
  <c r="C1049" i="1"/>
  <c r="M1048" i="1"/>
  <c r="M1047" i="1"/>
  <c r="M1046" i="1"/>
  <c r="C1046" i="1"/>
  <c r="M1045" i="1"/>
  <c r="M1035" i="1"/>
  <c r="K1034" i="1"/>
  <c r="K1035" i="1" s="1"/>
  <c r="K1036" i="1" s="1"/>
  <c r="K1037" i="1" s="1"/>
  <c r="K1038" i="1" s="1"/>
  <c r="K1039" i="1" s="1"/>
  <c r="K1040" i="1" s="1"/>
  <c r="K1041" i="1" s="1"/>
  <c r="K1042" i="1" s="1"/>
  <c r="K1043" i="1" s="1"/>
  <c r="K1044" i="1" s="1"/>
  <c r="K1045" i="1" s="1"/>
  <c r="K1046" i="1" s="1"/>
  <c r="K1047" i="1" s="1"/>
  <c r="K1048" i="1" s="1"/>
  <c r="F1032" i="1"/>
  <c r="F1029" i="1"/>
  <c r="E1028" i="1"/>
  <c r="F1028" i="1" s="1"/>
  <c r="C1028" i="1"/>
  <c r="E1027" i="1"/>
  <c r="F1027" i="1" s="1"/>
  <c r="C1027" i="1"/>
  <c r="C1023" i="1"/>
  <c r="C1021" i="1"/>
  <c r="E1012" i="1"/>
  <c r="F1012" i="1" s="1"/>
  <c r="C1012" i="1"/>
  <c r="C1011" i="1"/>
  <c r="C1007" i="1"/>
  <c r="C1004" i="1"/>
  <c r="C1003" i="1"/>
  <c r="M992" i="1"/>
  <c r="K991" i="1"/>
  <c r="K992" i="1" s="1"/>
  <c r="K993" i="1" s="1"/>
  <c r="K994" i="1" s="1"/>
  <c r="K995" i="1" s="1"/>
  <c r="K996" i="1" s="1"/>
  <c r="K997" i="1" s="1"/>
  <c r="K998" i="1" s="1"/>
  <c r="K999" i="1" s="1"/>
  <c r="K1000" i="1" s="1"/>
  <c r="K1001" i="1" s="1"/>
  <c r="K1002" i="1" s="1"/>
  <c r="K1003" i="1" s="1"/>
  <c r="K1004" i="1" s="1"/>
  <c r="K1005" i="1" s="1"/>
  <c r="K1006" i="1" s="1"/>
  <c r="K1007" i="1" s="1"/>
  <c r="K1008" i="1" s="1"/>
  <c r="K1009" i="1" s="1"/>
  <c r="K1010" i="1" s="1"/>
  <c r="K1011" i="1" s="1"/>
  <c r="K1012" i="1" s="1"/>
  <c r="K1013" i="1" s="1"/>
  <c r="K1014" i="1" s="1"/>
  <c r="K1015" i="1" s="1"/>
  <c r="K1016" i="1" s="1"/>
  <c r="K1017" i="1" s="1"/>
  <c r="K1018" i="1" s="1"/>
  <c r="K1019" i="1" s="1"/>
  <c r="K1020" i="1" s="1"/>
  <c r="K1021" i="1" s="1"/>
  <c r="K1022" i="1" s="1"/>
  <c r="K1023" i="1" s="1"/>
  <c r="K1024" i="1" s="1"/>
  <c r="K1025" i="1" s="1"/>
  <c r="K1026" i="1" s="1"/>
  <c r="K1027" i="1" s="1"/>
  <c r="K1028" i="1" s="1"/>
  <c r="K1029" i="1" s="1"/>
  <c r="K1030" i="1" s="1"/>
  <c r="K1031" i="1" s="1"/>
  <c r="K1032" i="1" s="1"/>
  <c r="F989" i="1"/>
  <c r="F986" i="1"/>
  <c r="E985" i="1"/>
  <c r="F985" i="1" s="1"/>
  <c r="C985" i="1"/>
  <c r="E984" i="1"/>
  <c r="F984" i="1" s="1"/>
  <c r="C984" i="1"/>
  <c r="C980" i="1"/>
  <c r="C978" i="1"/>
  <c r="C975" i="1"/>
  <c r="C974" i="1"/>
  <c r="C965" i="1"/>
  <c r="C964" i="1"/>
  <c r="E961" i="1"/>
  <c r="F961" i="1" s="1"/>
  <c r="C961" i="1"/>
  <c r="C958" i="1"/>
  <c r="E954" i="1"/>
  <c r="C954" i="1"/>
  <c r="B954" i="1"/>
  <c r="M954" i="1" s="1"/>
  <c r="C953" i="1"/>
  <c r="B953" i="1"/>
  <c r="M953" i="1" s="1"/>
  <c r="E952" i="1"/>
  <c r="C952" i="1"/>
  <c r="B952" i="1"/>
  <c r="M952" i="1" s="1"/>
  <c r="C950" i="1"/>
  <c r="C947" i="1"/>
  <c r="C944" i="1"/>
  <c r="C941" i="1"/>
  <c r="M931" i="1"/>
  <c r="K930" i="1"/>
  <c r="K931" i="1" s="1"/>
  <c r="M928" i="1"/>
  <c r="E928" i="1"/>
  <c r="E927" i="1" s="1"/>
  <c r="F927" i="1" s="1"/>
  <c r="M926" i="1"/>
  <c r="M925" i="1"/>
  <c r="F925" i="1"/>
  <c r="M924" i="1"/>
  <c r="E924" i="1"/>
  <c r="F924" i="1" s="1"/>
  <c r="C924" i="1"/>
  <c r="M923" i="1"/>
  <c r="E923" i="1"/>
  <c r="F923" i="1" s="1"/>
  <c r="C923" i="1"/>
  <c r="M921" i="1"/>
  <c r="E921" i="1"/>
  <c r="F921" i="1" s="1"/>
  <c r="C921" i="1"/>
  <c r="M920" i="1"/>
  <c r="M919" i="1"/>
  <c r="C919" i="1"/>
  <c r="M918" i="1"/>
  <c r="M917" i="1"/>
  <c r="M916" i="1"/>
  <c r="C916" i="1"/>
  <c r="M915" i="1"/>
  <c r="M914" i="1"/>
  <c r="M913" i="1"/>
  <c r="C913" i="1"/>
  <c r="M912" i="1"/>
  <c r="C912" i="1"/>
  <c r="M911" i="1"/>
  <c r="M893" i="1"/>
  <c r="M892" i="1"/>
  <c r="C892" i="1"/>
  <c r="M891" i="1"/>
  <c r="C891" i="1"/>
  <c r="M890" i="1"/>
  <c r="M889" i="1"/>
  <c r="M888" i="1"/>
  <c r="E888" i="1"/>
  <c r="F888" i="1" s="1"/>
  <c r="C888" i="1"/>
  <c r="M887" i="1"/>
  <c r="C887" i="1"/>
  <c r="M885" i="1"/>
  <c r="C885" i="1"/>
  <c r="M884" i="1"/>
  <c r="C884" i="1"/>
  <c r="M882" i="1"/>
  <c r="C882" i="1"/>
  <c r="M880" i="1"/>
  <c r="C880" i="1"/>
  <c r="M879" i="1"/>
  <c r="M878" i="1"/>
  <c r="E877" i="1"/>
  <c r="C877" i="1"/>
  <c r="B877" i="1"/>
  <c r="M877" i="1" s="1"/>
  <c r="C876" i="1"/>
  <c r="B876" i="1"/>
  <c r="M876" i="1" s="1"/>
  <c r="E875" i="1"/>
  <c r="C875" i="1"/>
  <c r="B875" i="1"/>
  <c r="M875" i="1" s="1"/>
  <c r="M873" i="1"/>
  <c r="C873" i="1"/>
  <c r="M872" i="1"/>
  <c r="M871" i="1"/>
  <c r="M870" i="1"/>
  <c r="C870" i="1"/>
  <c r="M869" i="1"/>
  <c r="M867" i="1"/>
  <c r="C867" i="1"/>
  <c r="M866" i="1"/>
  <c r="M865" i="1"/>
  <c r="M864" i="1"/>
  <c r="C864" i="1"/>
  <c r="M854" i="1"/>
  <c r="K853" i="1"/>
  <c r="K854" i="1" s="1"/>
  <c r="K3296" i="1" l="1"/>
  <c r="K3298" i="1" s="1"/>
  <c r="K3299" i="1" s="1"/>
  <c r="K3300" i="1" s="1"/>
  <c r="K3301" i="1" s="1"/>
  <c r="K3302" i="1" s="1"/>
  <c r="K3303" i="1" s="1"/>
  <c r="K3304" i="1" s="1"/>
  <c r="K3305" i="1" s="1"/>
  <c r="K3306" i="1" s="1"/>
  <c r="K3307" i="1" s="1"/>
  <c r="K3308" i="1" s="1"/>
  <c r="K3309" i="1" s="1"/>
  <c r="K3297" i="1"/>
  <c r="N3297" i="1" s="1"/>
  <c r="K2622" i="1"/>
  <c r="K2623" i="1"/>
  <c r="K2625" i="1" s="1"/>
  <c r="K2627" i="1" s="1"/>
  <c r="K2629" i="1" s="1"/>
  <c r="K2631" i="1" s="1"/>
  <c r="K2633" i="1" s="1"/>
  <c r="K1323" i="1"/>
  <c r="K1325" i="1" s="1"/>
  <c r="K1326" i="1" s="1"/>
  <c r="K1327" i="1" s="1"/>
  <c r="K1328" i="1" s="1"/>
  <c r="K1329" i="1" s="1"/>
  <c r="K1330" i="1" s="1"/>
  <c r="K1331" i="1" s="1"/>
  <c r="K1332" i="1" s="1"/>
  <c r="K1333" i="1" s="1"/>
  <c r="K1334" i="1" s="1"/>
  <c r="K1335" i="1" s="1"/>
  <c r="K1336" i="1" s="1"/>
  <c r="K1337" i="1" s="1"/>
  <c r="K1338" i="1" s="1"/>
  <c r="K1339" i="1" s="1"/>
  <c r="K1340" i="1" s="1"/>
  <c r="K1341" i="1" s="1"/>
  <c r="K1342" i="1" s="1"/>
  <c r="K1343" i="1" s="1"/>
  <c r="K1344" i="1" s="1"/>
  <c r="K1345" i="1" s="1"/>
  <c r="K1346" i="1" s="1"/>
  <c r="K1347" i="1" s="1"/>
  <c r="K1348" i="1" s="1"/>
  <c r="K1349" i="1" s="1"/>
  <c r="K1350" i="1" s="1"/>
  <c r="K1351" i="1" s="1"/>
  <c r="K1352" i="1" s="1"/>
  <c r="K1353" i="1" s="1"/>
  <c r="K1354" i="1" s="1"/>
  <c r="K1355" i="1" s="1"/>
  <c r="K1324" i="1"/>
  <c r="N1324" i="1" s="1"/>
  <c r="K1362" i="1"/>
  <c r="K1364" i="1" s="1"/>
  <c r="N1364" i="1" s="1"/>
  <c r="K1363" i="1"/>
  <c r="N1363" i="1" s="1"/>
  <c r="K1476" i="1"/>
  <c r="K1477" i="1"/>
  <c r="K1479" i="1" s="1"/>
  <c r="K1481" i="1" s="1"/>
  <c r="K1483" i="1" s="1"/>
  <c r="K1485" i="1" s="1"/>
  <c r="K1487" i="1" s="1"/>
  <c r="K1488" i="1" s="1"/>
  <c r="K1049" i="1"/>
  <c r="K1051" i="1" s="1"/>
  <c r="K1052" i="1" s="1"/>
  <c r="K1053" i="1" s="1"/>
  <c r="K1054" i="1" s="1"/>
  <c r="K1055" i="1" s="1"/>
  <c r="K1056" i="1" s="1"/>
  <c r="K1057" i="1" s="1"/>
  <c r="K1058" i="1" s="1"/>
  <c r="K1059" i="1" s="1"/>
  <c r="K1060" i="1" s="1"/>
  <c r="K1061" i="1" s="1"/>
  <c r="K1062" i="1" s="1"/>
  <c r="K1063" i="1" s="1"/>
  <c r="K1064" i="1" s="1"/>
  <c r="K1065" i="1" s="1"/>
  <c r="K1066" i="1" s="1"/>
  <c r="K1067" i="1" s="1"/>
  <c r="K1068" i="1" s="1"/>
  <c r="K1069" i="1" s="1"/>
  <c r="K1070" i="1" s="1"/>
  <c r="K1071" i="1" s="1"/>
  <c r="K1072" i="1" s="1"/>
  <c r="K1050" i="1"/>
  <c r="N1050" i="1" s="1"/>
  <c r="K1285" i="1"/>
  <c r="K1287" i="1" s="1"/>
  <c r="K1288" i="1" s="1"/>
  <c r="K1289" i="1" s="1"/>
  <c r="K1290" i="1" s="1"/>
  <c r="K1291" i="1" s="1"/>
  <c r="K1292" i="1" s="1"/>
  <c r="K1293" i="1" s="1"/>
  <c r="K1294" i="1" s="1"/>
  <c r="K1295" i="1" s="1"/>
  <c r="K1296" i="1" s="1"/>
  <c r="K1297" i="1" s="1"/>
  <c r="K1298" i="1" s="1"/>
  <c r="K1299" i="1" s="1"/>
  <c r="K1300" i="1" s="1"/>
  <c r="K1301" i="1" s="1"/>
  <c r="K1302" i="1" s="1"/>
  <c r="K1303" i="1" s="1"/>
  <c r="K1304" i="1" s="1"/>
  <c r="K1305" i="1" s="1"/>
  <c r="K1306" i="1" s="1"/>
  <c r="K1307" i="1" s="1"/>
  <c r="K1308" i="1" s="1"/>
  <c r="K1309" i="1" s="1"/>
  <c r="K1310" i="1" s="1"/>
  <c r="K1311" i="1" s="1"/>
  <c r="K1312" i="1" s="1"/>
  <c r="K1313" i="1" s="1"/>
  <c r="K1314" i="1" s="1"/>
  <c r="K1315" i="1" s="1"/>
  <c r="K1316" i="1" s="1"/>
  <c r="K3352" i="1"/>
  <c r="K3351" i="1"/>
  <c r="K3353" i="1" s="1"/>
  <c r="K3230" i="1"/>
  <c r="K3229" i="1"/>
  <c r="K3231" i="1" s="1"/>
  <c r="K3153" i="1"/>
  <c r="K3154" i="1" s="1"/>
  <c r="K3155" i="1" s="1"/>
  <c r="K3156" i="1" s="1"/>
  <c r="K3157" i="1" s="1"/>
  <c r="K3158" i="1" s="1"/>
  <c r="K3159" i="1" s="1"/>
  <c r="K3160" i="1" s="1"/>
  <c r="K3161" i="1" s="1"/>
  <c r="K3162" i="1" s="1"/>
  <c r="K3163" i="1" s="1"/>
  <c r="K3164" i="1" s="1"/>
  <c r="K3165" i="1" s="1"/>
  <c r="K3166" i="1" s="1"/>
  <c r="K3167" i="1" s="1"/>
  <c r="K3040" i="1"/>
  <c r="K3039" i="1"/>
  <c r="K3041" i="1" s="1"/>
  <c r="K2946" i="1"/>
  <c r="K2948" i="1" s="1"/>
  <c r="K2950" i="1" s="1"/>
  <c r="K2952" i="1" s="1"/>
  <c r="K2954" i="1" s="1"/>
  <c r="K2956" i="1" s="1"/>
  <c r="K2958" i="1" s="1"/>
  <c r="K2961" i="1" s="1"/>
  <c r="K2963" i="1" s="1"/>
  <c r="K2965" i="1" s="1"/>
  <c r="K2967" i="1" s="1"/>
  <c r="K2969" i="1" s="1"/>
  <c r="K2945" i="1"/>
  <c r="K2947" i="1" s="1"/>
  <c r="K2949" i="1" s="1"/>
  <c r="K2951" i="1" s="1"/>
  <c r="K2953" i="1" s="1"/>
  <c r="K2955" i="1" s="1"/>
  <c r="N2955" i="1" s="1"/>
  <c r="K2809" i="1"/>
  <c r="K2811" i="1" s="1"/>
  <c r="K2813" i="1" s="1"/>
  <c r="K2815" i="1" s="1"/>
  <c r="K2817" i="1" s="1"/>
  <c r="K2819" i="1" s="1"/>
  <c r="K2808" i="1"/>
  <c r="K2810" i="1" s="1"/>
  <c r="K2812" i="1" s="1"/>
  <c r="K2814" i="1" s="1"/>
  <c r="K2816" i="1" s="1"/>
  <c r="K2818" i="1" s="1"/>
  <c r="K2744" i="1"/>
  <c r="K2746" i="1" s="1"/>
  <c r="K2748" i="1" s="1"/>
  <c r="K2750" i="1" s="1"/>
  <c r="K2752" i="1" s="1"/>
  <c r="K2754" i="1" s="1"/>
  <c r="K2745" i="1"/>
  <c r="K2747" i="1" s="1"/>
  <c r="K2749" i="1" s="1"/>
  <c r="K2751" i="1" s="1"/>
  <c r="K2753" i="1" s="1"/>
  <c r="K2683" i="1"/>
  <c r="K2684" i="1" s="1"/>
  <c r="K2685" i="1" s="1"/>
  <c r="K2686" i="1" s="1"/>
  <c r="K2687" i="1" s="1"/>
  <c r="K2688" i="1" s="1"/>
  <c r="K2689" i="1" s="1"/>
  <c r="K2690" i="1" s="1"/>
  <c r="K2691" i="1" s="1"/>
  <c r="K2692" i="1" s="1"/>
  <c r="K2693" i="1" s="1"/>
  <c r="K2694" i="1" s="1"/>
  <c r="K2695" i="1" s="1"/>
  <c r="K2696" i="1" s="1"/>
  <c r="K2697" i="1" s="1"/>
  <c r="K2698" i="1" s="1"/>
  <c r="K2699" i="1" s="1"/>
  <c r="K2700" i="1" s="1"/>
  <c r="K2701" i="1" s="1"/>
  <c r="K2702" i="1" s="1"/>
  <c r="K2703" i="1" s="1"/>
  <c r="K2704" i="1" s="1"/>
  <c r="K2705" i="1" s="1"/>
  <c r="K2706" i="1" s="1"/>
  <c r="K2707" i="1" s="1"/>
  <c r="K2708" i="1" s="1"/>
  <c r="K2709" i="1" s="1"/>
  <c r="K2710" i="1" s="1"/>
  <c r="K2711" i="1" s="1"/>
  <c r="K2712" i="1" s="1"/>
  <c r="K2713" i="1" s="1"/>
  <c r="K2714" i="1" s="1"/>
  <c r="K2715" i="1" s="1"/>
  <c r="K2716" i="1" s="1"/>
  <c r="K2717" i="1" s="1"/>
  <c r="K2718" i="1" s="1"/>
  <c r="K2719" i="1" s="1"/>
  <c r="K2720" i="1" s="1"/>
  <c r="K2721" i="1" s="1"/>
  <c r="K2722" i="1" s="1"/>
  <c r="K2723" i="1" s="1"/>
  <c r="K2724" i="1" s="1"/>
  <c r="K2725" i="1" s="1"/>
  <c r="K2726" i="1" s="1"/>
  <c r="K2727" i="1" s="1"/>
  <c r="K2728" i="1" s="1"/>
  <c r="K2729" i="1" s="1"/>
  <c r="K2730" i="1" s="1"/>
  <c r="K2731" i="1" s="1"/>
  <c r="K2732" i="1" s="1"/>
  <c r="K2733" i="1" s="1"/>
  <c r="K2734" i="1" s="1"/>
  <c r="K2735" i="1" s="1"/>
  <c r="K2736" i="1" s="1"/>
  <c r="K2737" i="1" s="1"/>
  <c r="K2738" i="1" s="1"/>
  <c r="K2739" i="1" s="1"/>
  <c r="K2740" i="1" s="1"/>
  <c r="K2546" i="1"/>
  <c r="K2545" i="1"/>
  <c r="K2547" i="1" s="1"/>
  <c r="K2503" i="1"/>
  <c r="K2502" i="1"/>
  <c r="K2504" i="1" s="1"/>
  <c r="K2369" i="1"/>
  <c r="K2368" i="1"/>
  <c r="K2370" i="1" s="1"/>
  <c r="K1629" i="1"/>
  <c r="K1631" i="1" s="1"/>
  <c r="K1633" i="1" s="1"/>
  <c r="K1635" i="1" s="1"/>
  <c r="K1637" i="1" s="1"/>
  <c r="K1639" i="1" s="1"/>
  <c r="K1641" i="1" s="1"/>
  <c r="K1643" i="1" s="1"/>
  <c r="K1645" i="1" s="1"/>
  <c r="K1647" i="1" s="1"/>
  <c r="K1649" i="1" s="1"/>
  <c r="K1651" i="1" s="1"/>
  <c r="K1653" i="1" s="1"/>
  <c r="K1655" i="1" s="1"/>
  <c r="K1657" i="1" s="1"/>
  <c r="K1659" i="1" s="1"/>
  <c r="K1628" i="1"/>
  <c r="K1630" i="1" s="1"/>
  <c r="K1632" i="1" s="1"/>
  <c r="K1634" i="1" s="1"/>
  <c r="K1636" i="1" s="1"/>
  <c r="K1638" i="1" s="1"/>
  <c r="K1640" i="1" s="1"/>
  <c r="K1642" i="1" s="1"/>
  <c r="K1644" i="1" s="1"/>
  <c r="K1646" i="1" s="1"/>
  <c r="K1648" i="1" s="1"/>
  <c r="K1650" i="1" s="1"/>
  <c r="K1652" i="1" s="1"/>
  <c r="K1654" i="1" s="1"/>
  <c r="K1656" i="1" s="1"/>
  <c r="K1658" i="1" s="1"/>
  <c r="K1666" i="1" s="1"/>
  <c r="K1668" i="1" s="1"/>
  <c r="K1670" i="1" s="1"/>
  <c r="K1672" i="1" s="1"/>
  <c r="K1674" i="1" s="1"/>
  <c r="K1676" i="1" s="1"/>
  <c r="K1678" i="1" s="1"/>
  <c r="K1571" i="1"/>
  <c r="K1573" i="1" s="1"/>
  <c r="K1572" i="1"/>
  <c r="K1512" i="1"/>
  <c r="K1511" i="1"/>
  <c r="K1401" i="1"/>
  <c r="K1400" i="1"/>
  <c r="K1402" i="1" s="1"/>
  <c r="K1228" i="1"/>
  <c r="K1230" i="1" s="1"/>
  <c r="K1232" i="1" s="1"/>
  <c r="K1234" i="1" s="1"/>
  <c r="K1236" i="1" s="1"/>
  <c r="K1227" i="1"/>
  <c r="K1229" i="1" s="1"/>
  <c r="K1231" i="1" s="1"/>
  <c r="K1233" i="1" s="1"/>
  <c r="K1235" i="1" s="1"/>
  <c r="K1237" i="1" s="1"/>
  <c r="K1240" i="1" s="1"/>
  <c r="K1243" i="1" s="1"/>
  <c r="K1246" i="1" s="1"/>
  <c r="K1249" i="1" s="1"/>
  <c r="K1152" i="1"/>
  <c r="K1154" i="1" s="1"/>
  <c r="K1156" i="1" s="1"/>
  <c r="K1158" i="1" s="1"/>
  <c r="K1160" i="1" s="1"/>
  <c r="K1162" i="1" s="1"/>
  <c r="K1164" i="1" s="1"/>
  <c r="K1166" i="1" s="1"/>
  <c r="K1168" i="1" s="1"/>
  <c r="K1170" i="1" s="1"/>
  <c r="K1172" i="1" s="1"/>
  <c r="K1174" i="1" s="1"/>
  <c r="K1177" i="1" s="1"/>
  <c r="K1179" i="1" s="1"/>
  <c r="K1181" i="1" s="1"/>
  <c r="K1183" i="1" s="1"/>
  <c r="K1185" i="1" s="1"/>
  <c r="K1187" i="1" s="1"/>
  <c r="K1189" i="1" s="1"/>
  <c r="K1151" i="1"/>
  <c r="K1153" i="1" s="1"/>
  <c r="K1155" i="1" s="1"/>
  <c r="K1157" i="1" s="1"/>
  <c r="K1159" i="1" s="1"/>
  <c r="K1161" i="1" s="1"/>
  <c r="K1163" i="1" s="1"/>
  <c r="K1165" i="1" s="1"/>
  <c r="K1167" i="1" s="1"/>
  <c r="K1169" i="1" s="1"/>
  <c r="K1171" i="1" s="1"/>
  <c r="K1173" i="1" s="1"/>
  <c r="K1077" i="1"/>
  <c r="K1076" i="1"/>
  <c r="K1078" i="1" s="1"/>
  <c r="K933" i="1"/>
  <c r="K932" i="1"/>
  <c r="K934" i="1" s="1"/>
  <c r="K856" i="1"/>
  <c r="K855" i="1"/>
  <c r="K857" i="1" s="1"/>
  <c r="F928" i="1"/>
  <c r="E926" i="1"/>
  <c r="F926" i="1" s="1"/>
  <c r="F2960" i="1"/>
  <c r="F2886" i="1"/>
  <c r="F954" i="1"/>
  <c r="F2888" i="1"/>
  <c r="F2388" i="1"/>
  <c r="F2390" i="1"/>
  <c r="E2435" i="1"/>
  <c r="F2435" i="1" s="1"/>
  <c r="F2461" i="1"/>
  <c r="F2463" i="1"/>
  <c r="F2962" i="1"/>
  <c r="L2456" i="1"/>
  <c r="N3410" i="1"/>
  <c r="F952" i="1"/>
  <c r="F875" i="1"/>
  <c r="F877" i="1"/>
  <c r="L1261" i="1"/>
  <c r="K1365" i="1" l="1"/>
  <c r="K1366" i="1" s="1"/>
  <c r="K3310" i="1"/>
  <c r="K3312" i="1" s="1"/>
  <c r="K3314" i="1" s="1"/>
  <c r="K3316" i="1" s="1"/>
  <c r="K3318" i="1" s="1"/>
  <c r="K3320" i="1" s="1"/>
  <c r="K3322" i="1"/>
  <c r="K3323" i="1" s="1"/>
  <c r="K3324" i="1" s="1"/>
  <c r="K3325" i="1" s="1"/>
  <c r="K3326" i="1" s="1"/>
  <c r="K3327" i="1" s="1"/>
  <c r="K3328" i="1" s="1"/>
  <c r="K3329" i="1" s="1"/>
  <c r="K3330" i="1" s="1"/>
  <c r="K3331" i="1" s="1"/>
  <c r="K3332" i="1" s="1"/>
  <c r="K3333" i="1" s="1"/>
  <c r="K3334" i="1" s="1"/>
  <c r="K3335" i="1" s="1"/>
  <c r="K3336" i="1" s="1"/>
  <c r="K3337" i="1" s="1"/>
  <c r="K3338" i="1" s="1"/>
  <c r="K3339" i="1" s="1"/>
  <c r="K3340" i="1" s="1"/>
  <c r="K3341" i="1" s="1"/>
  <c r="K3342" i="1" s="1"/>
  <c r="K3343" i="1" s="1"/>
  <c r="K3344" i="1" s="1"/>
  <c r="K3345" i="1" s="1"/>
  <c r="K3346" i="1" s="1"/>
  <c r="K3347" i="1" s="1"/>
  <c r="K3311" i="1"/>
  <c r="N1325" i="1"/>
  <c r="K2635" i="1"/>
  <c r="K2636" i="1" s="1"/>
  <c r="K2637" i="1" s="1"/>
  <c r="K2638" i="1" s="1"/>
  <c r="K2639" i="1" s="1"/>
  <c r="K2640" i="1" s="1"/>
  <c r="K2641" i="1" s="1"/>
  <c r="K2642" i="1" s="1"/>
  <c r="K2643" i="1" s="1"/>
  <c r="K2644" i="1" s="1"/>
  <c r="K2645" i="1" s="1"/>
  <c r="K2646" i="1" s="1"/>
  <c r="K2647" i="1" s="1"/>
  <c r="K2648" i="1" s="1"/>
  <c r="K2649" i="1" s="1"/>
  <c r="K2650" i="1" s="1"/>
  <c r="K2651" i="1" s="1"/>
  <c r="K2652" i="1" s="1"/>
  <c r="K2653" i="1" s="1"/>
  <c r="K2654" i="1" s="1"/>
  <c r="K2655" i="1" s="1"/>
  <c r="K2656" i="1" s="1"/>
  <c r="K2657" i="1" s="1"/>
  <c r="K2658" i="1" s="1"/>
  <c r="K2659" i="1" s="1"/>
  <c r="K2624" i="1"/>
  <c r="K1252" i="1"/>
  <c r="K1256" i="1" s="1"/>
  <c r="K1259" i="1" s="1"/>
  <c r="K1262" i="1" s="1"/>
  <c r="K1265" i="1" s="1"/>
  <c r="K1268" i="1" s="1"/>
  <c r="K1271" i="1" s="1"/>
  <c r="K1274" i="1" s="1"/>
  <c r="K1277" i="1" s="1"/>
  <c r="K1280" i="1" s="1"/>
  <c r="K1253" i="1"/>
  <c r="N1253" i="1" s="1"/>
  <c r="K1175" i="1"/>
  <c r="K1178" i="1" s="1"/>
  <c r="K1180" i="1" s="1"/>
  <c r="K1182" i="1" s="1"/>
  <c r="K1184" i="1" s="1"/>
  <c r="K1186" i="1" s="1"/>
  <c r="K1188" i="1" s="1"/>
  <c r="K1202" i="1" s="1"/>
  <c r="K1204" i="1" s="1"/>
  <c r="K1206" i="1" s="1"/>
  <c r="K1208" i="1" s="1"/>
  <c r="K1210" i="1" s="1"/>
  <c r="K1212" i="1" s="1"/>
  <c r="K1214" i="1" s="1"/>
  <c r="K1216" i="1" s="1"/>
  <c r="K1218" i="1" s="1"/>
  <c r="K1221" i="1" s="1"/>
  <c r="K1223" i="1" s="1"/>
  <c r="N1223" i="1" s="1"/>
  <c r="K1176" i="1"/>
  <c r="N1176" i="1" s="1"/>
  <c r="K1203" i="1"/>
  <c r="K1205" i="1" s="1"/>
  <c r="K1207" i="1" s="1"/>
  <c r="K1209" i="1" s="1"/>
  <c r="K1211" i="1" s="1"/>
  <c r="K1213" i="1" s="1"/>
  <c r="K1215" i="1" s="1"/>
  <c r="K1217" i="1" s="1"/>
  <c r="K1191" i="1"/>
  <c r="K1489" i="1"/>
  <c r="K1490" i="1" s="1"/>
  <c r="K1491" i="1" s="1"/>
  <c r="K1492" i="1" s="1"/>
  <c r="K1493" i="1" s="1"/>
  <c r="K1494" i="1" s="1"/>
  <c r="K1495" i="1" s="1"/>
  <c r="K1496" i="1" s="1"/>
  <c r="K1497" i="1" s="1"/>
  <c r="K1498" i="1" s="1"/>
  <c r="K1499" i="1" s="1"/>
  <c r="K1500" i="1" s="1"/>
  <c r="K1501" i="1" s="1"/>
  <c r="K1502" i="1" s="1"/>
  <c r="K1503" i="1" s="1"/>
  <c r="K1504" i="1" s="1"/>
  <c r="K1505" i="1" s="1"/>
  <c r="K1506" i="1" s="1"/>
  <c r="K1507" i="1" s="1"/>
  <c r="K1478" i="1"/>
  <c r="K3169" i="1"/>
  <c r="K3170" i="1" s="1"/>
  <c r="K3171" i="1" s="1"/>
  <c r="K3172" i="1" s="1"/>
  <c r="K3173" i="1" s="1"/>
  <c r="K3174" i="1" s="1"/>
  <c r="K3175" i="1" s="1"/>
  <c r="K3176" i="1" s="1"/>
  <c r="K3177" i="1" s="1"/>
  <c r="K3178" i="1" s="1"/>
  <c r="K3179" i="1" s="1"/>
  <c r="K3180" i="1" s="1"/>
  <c r="K3181" i="1" s="1"/>
  <c r="K3182" i="1" s="1"/>
  <c r="K3183" i="1" s="1"/>
  <c r="K3184" i="1" s="1"/>
  <c r="K3185" i="1" s="1"/>
  <c r="K3186" i="1" s="1"/>
  <c r="K3187" i="1" s="1"/>
  <c r="K3188" i="1" s="1"/>
  <c r="K3189" i="1" s="1"/>
  <c r="K3168" i="1"/>
  <c r="K2977" i="1"/>
  <c r="K2979" i="1" s="1"/>
  <c r="K2981" i="1" s="1"/>
  <c r="K2983" i="1" s="1"/>
  <c r="K2985" i="1" s="1"/>
  <c r="K2988" i="1" s="1"/>
  <c r="K2970" i="1"/>
  <c r="K2971" i="1" s="1"/>
  <c r="K2755" i="1"/>
  <c r="K2757" i="1" s="1"/>
  <c r="K2759" i="1" s="1"/>
  <c r="K2761" i="1" s="1"/>
  <c r="K2763" i="1" s="1"/>
  <c r="K2765" i="1" s="1"/>
  <c r="K2767" i="1" s="1"/>
  <c r="K2769" i="1" s="1"/>
  <c r="K2771" i="1" s="1"/>
  <c r="K2773" i="1" s="1"/>
  <c r="K2775" i="1" s="1"/>
  <c r="K2777" i="1" s="1"/>
  <c r="K2779" i="1" s="1"/>
  <c r="K2781" i="1" s="1"/>
  <c r="K2783" i="1" s="1"/>
  <c r="K2785" i="1" s="1"/>
  <c r="K2756" i="1"/>
  <c r="K2758" i="1" s="1"/>
  <c r="K2760" i="1" s="1"/>
  <c r="K2762" i="1" s="1"/>
  <c r="K2764" i="1" s="1"/>
  <c r="K2766" i="1" s="1"/>
  <c r="K2768" i="1" s="1"/>
  <c r="K2770" i="1" s="1"/>
  <c r="K2772" i="1" s="1"/>
  <c r="K2774" i="1" s="1"/>
  <c r="K2776" i="1" s="1"/>
  <c r="K2778" i="1" s="1"/>
  <c r="K2780" i="1" s="1"/>
  <c r="K2782" i="1" s="1"/>
  <c r="K2784" i="1" s="1"/>
  <c r="K2792" i="1" s="1"/>
  <c r="K2794" i="1" s="1"/>
  <c r="K2796" i="1" s="1"/>
  <c r="K2798" i="1" s="1"/>
  <c r="K2801" i="1" s="1"/>
  <c r="N2644" i="1"/>
  <c r="K1667" i="1"/>
  <c r="K1669" i="1" s="1"/>
  <c r="K1671" i="1" s="1"/>
  <c r="K1673" i="1" s="1"/>
  <c r="K1675" i="1" s="1"/>
  <c r="K1677" i="1" s="1"/>
  <c r="K1679" i="1" s="1"/>
  <c r="K1660" i="1"/>
  <c r="K1661" i="1" s="1"/>
  <c r="K1239" i="1"/>
  <c r="K1242" i="1" s="1"/>
  <c r="K1245" i="1" s="1"/>
  <c r="K1248" i="1" s="1"/>
  <c r="K1251" i="1" s="1"/>
  <c r="K1255" i="1" s="1"/>
  <c r="K1258" i="1" s="1"/>
  <c r="K1261" i="1" s="1"/>
  <c r="K1264" i="1" s="1"/>
  <c r="K1267" i="1" s="1"/>
  <c r="K1270" i="1" s="1"/>
  <c r="K1273" i="1" s="1"/>
  <c r="K1276" i="1" s="1"/>
  <c r="K1279" i="1" s="1"/>
  <c r="K1238" i="1"/>
  <c r="K2957" i="1"/>
  <c r="K2960" i="1" s="1"/>
  <c r="K2962" i="1" s="1"/>
  <c r="K2964" i="1" s="1"/>
  <c r="K2966" i="1" s="1"/>
  <c r="K2968" i="1" s="1"/>
  <c r="K2976" i="1" s="1"/>
  <c r="K2978" i="1" s="1"/>
  <c r="K2980" i="1" s="1"/>
  <c r="K2982" i="1" s="1"/>
  <c r="K2984" i="1" s="1"/>
  <c r="K2986" i="1" s="1"/>
  <c r="K2959" i="1"/>
  <c r="N2959" i="1" s="1"/>
  <c r="K2820" i="1"/>
  <c r="K2821" i="1" s="1"/>
  <c r="K2822" i="1" s="1"/>
  <c r="K2823" i="1" s="1"/>
  <c r="K2824" i="1" s="1"/>
  <c r="K2825" i="1" s="1"/>
  <c r="K2826" i="1" s="1"/>
  <c r="K2827" i="1" s="1"/>
  <c r="K2828" i="1" s="1"/>
  <c r="K2829" i="1" s="1"/>
  <c r="K2830" i="1" s="1"/>
  <c r="K2831" i="1" s="1"/>
  <c r="K2832" i="1" s="1"/>
  <c r="K2833" i="1" s="1"/>
  <c r="K2834" i="1" s="1"/>
  <c r="K2835" i="1" s="1"/>
  <c r="K2836" i="1" s="1"/>
  <c r="K2837" i="1" s="1"/>
  <c r="K2838" i="1" s="1"/>
  <c r="K2839" i="1" s="1"/>
  <c r="K2840" i="1" s="1"/>
  <c r="K2841" i="1" s="1"/>
  <c r="K2842" i="1" s="1"/>
  <c r="K2843" i="1" s="1"/>
  <c r="K2844" i="1" s="1"/>
  <c r="K2845" i="1" s="1"/>
  <c r="K2846" i="1" s="1"/>
  <c r="K2847" i="1" s="1"/>
  <c r="K2848" i="1" s="1"/>
  <c r="K2849" i="1" s="1"/>
  <c r="K2850" i="1" s="1"/>
  <c r="K2851" i="1" s="1"/>
  <c r="K2852" i="1" s="1"/>
  <c r="K2853" i="1" s="1"/>
  <c r="K2854" i="1" s="1"/>
  <c r="K2855" i="1" s="1"/>
  <c r="K2856" i="1" s="1"/>
  <c r="K2857" i="1" s="1"/>
  <c r="K2858" i="1" s="1"/>
  <c r="K2859" i="1" s="1"/>
  <c r="K2860" i="1" s="1"/>
  <c r="K2861" i="1" s="1"/>
  <c r="K2862" i="1" s="1"/>
  <c r="K2863" i="1" s="1"/>
  <c r="K2864" i="1" s="1"/>
  <c r="K2865" i="1" s="1"/>
  <c r="K2866" i="1" s="1"/>
  <c r="K2867" i="1" s="1"/>
  <c r="N1237" i="1"/>
  <c r="K1317" i="1"/>
  <c r="K1319" i="1" s="1"/>
  <c r="K1318" i="1"/>
  <c r="N1287" i="1"/>
  <c r="K1356" i="1"/>
  <c r="K1358" i="1" s="1"/>
  <c r="K1357" i="1"/>
  <c r="K1513" i="1"/>
  <c r="N3402" i="1"/>
  <c r="N3404" i="1"/>
  <c r="N3401" i="1"/>
  <c r="K3354" i="1"/>
  <c r="K3355" i="1" s="1"/>
  <c r="K3356" i="1" s="1"/>
  <c r="K3357" i="1" s="1"/>
  <c r="K3358" i="1" s="1"/>
  <c r="K3359" i="1" s="1"/>
  <c r="K3360" i="1" s="1"/>
  <c r="K3361" i="1" s="1"/>
  <c r="K3362" i="1" s="1"/>
  <c r="K3363" i="1" s="1"/>
  <c r="K3364" i="1" s="1"/>
  <c r="K3365" i="1" s="1"/>
  <c r="K3366" i="1" s="1"/>
  <c r="K3367" i="1" s="1"/>
  <c r="K3368" i="1" s="1"/>
  <c r="K3369" i="1" s="1"/>
  <c r="K3370" i="1" s="1"/>
  <c r="K3371" i="1" s="1"/>
  <c r="K3372" i="1" s="1"/>
  <c r="N3353" i="1"/>
  <c r="N3352" i="1"/>
  <c r="N3274" i="1"/>
  <c r="N3273" i="1"/>
  <c r="N3163" i="1"/>
  <c r="K3232" i="1"/>
  <c r="K3233" i="1" s="1"/>
  <c r="K3234" i="1" s="1"/>
  <c r="K3235" i="1" s="1"/>
  <c r="K3236" i="1" s="1"/>
  <c r="K3237" i="1" s="1"/>
  <c r="K3238" i="1" s="1"/>
  <c r="K3239" i="1" s="1"/>
  <c r="K3240" i="1" s="1"/>
  <c r="K3241" i="1" s="1"/>
  <c r="K3242" i="1" s="1"/>
  <c r="K3243" i="1" s="1"/>
  <c r="K3244" i="1" s="1"/>
  <c r="K3245" i="1" s="1"/>
  <c r="K3246" i="1" s="1"/>
  <c r="K3247" i="1" s="1"/>
  <c r="K3248" i="1" s="1"/>
  <c r="K3249" i="1" s="1"/>
  <c r="K3250" i="1" s="1"/>
  <c r="K3251" i="1" s="1"/>
  <c r="K3252" i="1" s="1"/>
  <c r="K3253" i="1" s="1"/>
  <c r="K3254" i="1" s="1"/>
  <c r="K3255" i="1" s="1"/>
  <c r="K3256" i="1" s="1"/>
  <c r="K3257" i="1" s="1"/>
  <c r="K3258" i="1" s="1"/>
  <c r="K3259" i="1" s="1"/>
  <c r="K3260" i="1" s="1"/>
  <c r="K3261" i="1" s="1"/>
  <c r="K3262" i="1" s="1"/>
  <c r="K3263" i="1" s="1"/>
  <c r="K3264" i="1" s="1"/>
  <c r="K3265" i="1" s="1"/>
  <c r="K3266" i="1" s="1"/>
  <c r="K3267" i="1" s="1"/>
  <c r="K3268" i="1" s="1"/>
  <c r="N3231" i="1"/>
  <c r="N3230" i="1"/>
  <c r="N3155" i="1"/>
  <c r="N3157" i="1"/>
  <c r="N3154" i="1"/>
  <c r="K3044" i="1"/>
  <c r="K3047" i="1" s="1"/>
  <c r="K3050" i="1" s="1"/>
  <c r="K3053" i="1" s="1"/>
  <c r="K3057" i="1" s="1"/>
  <c r="K3060" i="1" s="1"/>
  <c r="K3063" i="1" s="1"/>
  <c r="K3066" i="1" s="1"/>
  <c r="K3042" i="1"/>
  <c r="K3045" i="1" s="1"/>
  <c r="K3048" i="1" s="1"/>
  <c r="K3051" i="1" s="1"/>
  <c r="K3054" i="1" s="1"/>
  <c r="K3058" i="1" s="1"/>
  <c r="K3061" i="1" s="1"/>
  <c r="K3064" i="1" s="1"/>
  <c r="K3067" i="1" s="1"/>
  <c r="N3041" i="1"/>
  <c r="K3043" i="1"/>
  <c r="N3040" i="1"/>
  <c r="N2947" i="1"/>
  <c r="N2949" i="1"/>
  <c r="N2946" i="1"/>
  <c r="N2810" i="1"/>
  <c r="N2812" i="1"/>
  <c r="N2809" i="1"/>
  <c r="N2748" i="1"/>
  <c r="N2745" i="1"/>
  <c r="N2746" i="1"/>
  <c r="N2685" i="1"/>
  <c r="N2687" i="1"/>
  <c r="N2684" i="1"/>
  <c r="N2586" i="1"/>
  <c r="N2585" i="1"/>
  <c r="K2548" i="1"/>
  <c r="K2549" i="1" s="1"/>
  <c r="K2550" i="1" s="1"/>
  <c r="K2551" i="1" s="1"/>
  <c r="K2552" i="1" s="1"/>
  <c r="K2553" i="1" s="1"/>
  <c r="K2554" i="1" s="1"/>
  <c r="K2555" i="1" s="1"/>
  <c r="K2556" i="1" s="1"/>
  <c r="K2557" i="1" s="1"/>
  <c r="K2558" i="1" s="1"/>
  <c r="K2559" i="1" s="1"/>
  <c r="K2560" i="1" s="1"/>
  <c r="K2561" i="1" s="1"/>
  <c r="K2562" i="1" s="1"/>
  <c r="K2563" i="1" s="1"/>
  <c r="K2564" i="1" s="1"/>
  <c r="K2565" i="1" s="1"/>
  <c r="K2566" i="1" s="1"/>
  <c r="K2567" i="1" s="1"/>
  <c r="K2568" i="1" s="1"/>
  <c r="K2569" i="1" s="1"/>
  <c r="K2570" i="1" s="1"/>
  <c r="K2571" i="1" s="1"/>
  <c r="K2572" i="1" s="1"/>
  <c r="K2573" i="1" s="1"/>
  <c r="K2574" i="1" s="1"/>
  <c r="K2575" i="1" s="1"/>
  <c r="K2576" i="1" s="1"/>
  <c r="K2577" i="1" s="1"/>
  <c r="K2578" i="1" s="1"/>
  <c r="K2579" i="1" s="1"/>
  <c r="K2580" i="1" s="1"/>
  <c r="N2547" i="1"/>
  <c r="N2546" i="1"/>
  <c r="K2505" i="1"/>
  <c r="K2506" i="1" s="1"/>
  <c r="K2507" i="1" s="1"/>
  <c r="K2508" i="1" s="1"/>
  <c r="K2509" i="1" s="1"/>
  <c r="K2510" i="1" s="1"/>
  <c r="K2511" i="1" s="1"/>
  <c r="K2512" i="1" s="1"/>
  <c r="K2513" i="1" s="1"/>
  <c r="K2514" i="1" s="1"/>
  <c r="K2515" i="1" s="1"/>
  <c r="K2516" i="1" s="1"/>
  <c r="K2517" i="1" s="1"/>
  <c r="K2518" i="1" s="1"/>
  <c r="K2519" i="1" s="1"/>
  <c r="K2520" i="1" s="1"/>
  <c r="K2521" i="1" s="1"/>
  <c r="K2522" i="1" s="1"/>
  <c r="N2504" i="1"/>
  <c r="N2503" i="1"/>
  <c r="N2443" i="1"/>
  <c r="N2442" i="1"/>
  <c r="K2371" i="1"/>
  <c r="K2372" i="1" s="1"/>
  <c r="K2373" i="1" s="1"/>
  <c r="K2374" i="1" s="1"/>
  <c r="K2375" i="1" s="1"/>
  <c r="K2376" i="1" s="1"/>
  <c r="K2377" i="1" s="1"/>
  <c r="K2378" i="1" s="1"/>
  <c r="K2379" i="1" s="1"/>
  <c r="K2380" i="1" s="1"/>
  <c r="K2381" i="1" s="1"/>
  <c r="K2382" i="1" s="1"/>
  <c r="K2383" i="1" s="1"/>
  <c r="K2384" i="1" s="1"/>
  <c r="K2385" i="1" s="1"/>
  <c r="K2386" i="1" s="1"/>
  <c r="K2387" i="1" s="1"/>
  <c r="K2388" i="1" s="1"/>
  <c r="K2389" i="1" s="1"/>
  <c r="K2390" i="1" s="1"/>
  <c r="K2391" i="1" s="1"/>
  <c r="K2392" i="1" s="1"/>
  <c r="K2393" i="1" s="1"/>
  <c r="K2394" i="1" s="1"/>
  <c r="K2395" i="1" s="1"/>
  <c r="K2396" i="1" s="1"/>
  <c r="K2397" i="1" s="1"/>
  <c r="K2398" i="1" s="1"/>
  <c r="K2399" i="1" s="1"/>
  <c r="K2400" i="1" s="1"/>
  <c r="K2401" i="1" s="1"/>
  <c r="K2402" i="1" s="1"/>
  <c r="N2370" i="1"/>
  <c r="N2369" i="1"/>
  <c r="N1630" i="1"/>
  <c r="N1632" i="1"/>
  <c r="N1629" i="1"/>
  <c r="K1575" i="1"/>
  <c r="N1572" i="1"/>
  <c r="K1574" i="1"/>
  <c r="K1577" i="1" s="1"/>
  <c r="K1580" i="1" s="1"/>
  <c r="N1573" i="1"/>
  <c r="K1576" i="1"/>
  <c r="K1579" i="1" s="1"/>
  <c r="K1582" i="1" s="1"/>
  <c r="K1585" i="1" s="1"/>
  <c r="K1588" i="1" s="1"/>
  <c r="K1591" i="1" s="1"/>
  <c r="K1594" i="1" s="1"/>
  <c r="K1597" i="1" s="1"/>
  <c r="K1600" i="1" s="1"/>
  <c r="K1603" i="1" s="1"/>
  <c r="K1515" i="1"/>
  <c r="K1518" i="1" s="1"/>
  <c r="K1521" i="1" s="1"/>
  <c r="K1524" i="1" s="1"/>
  <c r="K1527" i="1" s="1"/>
  <c r="K1530" i="1" s="1"/>
  <c r="K1533" i="1" s="1"/>
  <c r="N1512" i="1"/>
  <c r="N1454" i="1"/>
  <c r="N1453" i="1"/>
  <c r="K1403" i="1"/>
  <c r="K1404" i="1" s="1"/>
  <c r="K1405" i="1" s="1"/>
  <c r="K1406" i="1" s="1"/>
  <c r="K1407" i="1" s="1"/>
  <c r="K1408" i="1" s="1"/>
  <c r="K1409" i="1" s="1"/>
  <c r="K1410" i="1" s="1"/>
  <c r="K1411" i="1" s="1"/>
  <c r="K1412" i="1" s="1"/>
  <c r="K1413" i="1" s="1"/>
  <c r="K1414" i="1" s="1"/>
  <c r="K1415" i="1" s="1"/>
  <c r="K1416" i="1" s="1"/>
  <c r="K1417" i="1" s="1"/>
  <c r="K1418" i="1" s="1"/>
  <c r="K1419" i="1" s="1"/>
  <c r="K1420" i="1" s="1"/>
  <c r="K1421" i="1" s="1"/>
  <c r="K1422" i="1" s="1"/>
  <c r="K1423" i="1" s="1"/>
  <c r="N1402" i="1"/>
  <c r="N1401" i="1"/>
  <c r="K1368" i="1"/>
  <c r="K1370" i="1" s="1"/>
  <c r="K1372" i="1" s="1"/>
  <c r="K1374" i="1" s="1"/>
  <c r="K1376" i="1" s="1"/>
  <c r="K1378" i="1" s="1"/>
  <c r="K1380" i="1" s="1"/>
  <c r="K1382" i="1" s="1"/>
  <c r="K1384" i="1" s="1"/>
  <c r="K1386" i="1" s="1"/>
  <c r="K1388" i="1" s="1"/>
  <c r="K1390" i="1" s="1"/>
  <c r="K1392" i="1" s="1"/>
  <c r="K1394" i="1" s="1"/>
  <c r="K1367" i="1"/>
  <c r="K1369" i="1" s="1"/>
  <c r="K1371" i="1" s="1"/>
  <c r="K1373" i="1" s="1"/>
  <c r="K1375" i="1" s="1"/>
  <c r="K1377" i="1" s="1"/>
  <c r="K1379" i="1" s="1"/>
  <c r="K1381" i="1" s="1"/>
  <c r="K1383" i="1" s="1"/>
  <c r="K1385" i="1" s="1"/>
  <c r="K1387" i="1" s="1"/>
  <c r="K1389" i="1" s="1"/>
  <c r="K1391" i="1" s="1"/>
  <c r="K1393" i="1" s="1"/>
  <c r="N1339" i="1"/>
  <c r="N1300" i="1"/>
  <c r="N1229" i="1"/>
  <c r="N1231" i="1"/>
  <c r="N1228" i="1"/>
  <c r="N1153" i="1"/>
  <c r="N1155" i="1"/>
  <c r="N1152" i="1"/>
  <c r="K1081" i="1"/>
  <c r="K1084" i="1" s="1"/>
  <c r="K1087" i="1" s="1"/>
  <c r="K1090" i="1" s="1"/>
  <c r="K1093" i="1" s="1"/>
  <c r="K1096" i="1" s="1"/>
  <c r="K1079" i="1"/>
  <c r="K1082" i="1" s="1"/>
  <c r="K1085" i="1" s="1"/>
  <c r="K1088" i="1" s="1"/>
  <c r="N1078" i="1"/>
  <c r="K1080" i="1"/>
  <c r="N1077" i="1"/>
  <c r="N1038" i="1"/>
  <c r="N1037" i="1"/>
  <c r="N995" i="1"/>
  <c r="N994" i="1"/>
  <c r="N933" i="1"/>
  <c r="K935" i="1"/>
  <c r="K936" i="1" s="1"/>
  <c r="K937" i="1" s="1"/>
  <c r="K938" i="1" s="1"/>
  <c r="K939" i="1" s="1"/>
  <c r="K940" i="1" s="1"/>
  <c r="K941" i="1" s="1"/>
  <c r="K942" i="1" s="1"/>
  <c r="K943" i="1" s="1"/>
  <c r="K944" i="1" s="1"/>
  <c r="K945" i="1" s="1"/>
  <c r="K946" i="1" s="1"/>
  <c r="K947" i="1" s="1"/>
  <c r="K948" i="1" s="1"/>
  <c r="K949" i="1" s="1"/>
  <c r="K950" i="1" s="1"/>
  <c r="K951" i="1" s="1"/>
  <c r="K952" i="1" s="1"/>
  <c r="K953" i="1" s="1"/>
  <c r="K954" i="1" s="1"/>
  <c r="K955" i="1" s="1"/>
  <c r="K956" i="1" s="1"/>
  <c r="K957" i="1" s="1"/>
  <c r="K958" i="1" s="1"/>
  <c r="K959" i="1" s="1"/>
  <c r="K960" i="1" s="1"/>
  <c r="K961" i="1" s="1"/>
  <c r="K962" i="1" s="1"/>
  <c r="K963" i="1" s="1"/>
  <c r="K964" i="1" s="1"/>
  <c r="K965" i="1" s="1"/>
  <c r="K966" i="1" s="1"/>
  <c r="K967" i="1" s="1"/>
  <c r="K968" i="1" s="1"/>
  <c r="N934" i="1"/>
  <c r="K860" i="1"/>
  <c r="K863" i="1" s="1"/>
  <c r="K866" i="1" s="1"/>
  <c r="K869" i="1" s="1"/>
  <c r="K872" i="1" s="1"/>
  <c r="K875" i="1" s="1"/>
  <c r="K878" i="1" s="1"/>
  <c r="K881" i="1" s="1"/>
  <c r="K884" i="1" s="1"/>
  <c r="K887" i="1" s="1"/>
  <c r="K890" i="1" s="1"/>
  <c r="K893" i="1" s="1"/>
  <c r="K913" i="1" s="1"/>
  <c r="K916" i="1" s="1"/>
  <c r="K919" i="1" s="1"/>
  <c r="K922" i="1" s="1"/>
  <c r="K925" i="1" s="1"/>
  <c r="K928" i="1" s="1"/>
  <c r="K858" i="1"/>
  <c r="K861" i="1" s="1"/>
  <c r="K864" i="1" s="1"/>
  <c r="K867" i="1" s="1"/>
  <c r="K870" i="1" s="1"/>
  <c r="K873" i="1" s="1"/>
  <c r="K876" i="1" s="1"/>
  <c r="K879" i="1" s="1"/>
  <c r="K882" i="1" s="1"/>
  <c r="K885" i="1" s="1"/>
  <c r="K888" i="1" s="1"/>
  <c r="K891" i="1" s="1"/>
  <c r="K911" i="1" s="1"/>
  <c r="K914" i="1" s="1"/>
  <c r="K917" i="1" s="1"/>
  <c r="K920" i="1" s="1"/>
  <c r="K923" i="1" s="1"/>
  <c r="K926" i="1" s="1"/>
  <c r="N857" i="1"/>
  <c r="K859" i="1"/>
  <c r="K862" i="1" s="1"/>
  <c r="K865" i="1" s="1"/>
  <c r="K868" i="1" s="1"/>
  <c r="K871" i="1" s="1"/>
  <c r="K874" i="1" s="1"/>
  <c r="K877" i="1" s="1"/>
  <c r="K880" i="1" s="1"/>
  <c r="K883" i="1" s="1"/>
  <c r="K886" i="1" s="1"/>
  <c r="K889" i="1" s="1"/>
  <c r="K892" i="1" s="1"/>
  <c r="K912" i="1" s="1"/>
  <c r="K915" i="1" s="1"/>
  <c r="K918" i="1" s="1"/>
  <c r="K921" i="1" s="1"/>
  <c r="K924" i="1" s="1"/>
  <c r="K927" i="1" s="1"/>
  <c r="N856" i="1"/>
  <c r="N2595" i="1"/>
  <c r="N1161" i="1"/>
  <c r="N1162" i="1"/>
  <c r="N2693" i="1"/>
  <c r="N1643" i="1"/>
  <c r="N3417" i="1"/>
  <c r="N2958" i="1"/>
  <c r="K3373" i="1" l="1"/>
  <c r="K3375" i="1" s="1"/>
  <c r="K3376" i="1" s="1"/>
  <c r="K3377" i="1" s="1"/>
  <c r="K3378" i="1" s="1"/>
  <c r="K3379" i="1" s="1"/>
  <c r="K3380" i="1" s="1"/>
  <c r="K3381" i="1" s="1"/>
  <c r="K3382" i="1" s="1"/>
  <c r="K3383" i="1" s="1"/>
  <c r="K3384" i="1" s="1"/>
  <c r="K3385" i="1" s="1"/>
  <c r="K3386" i="1" s="1"/>
  <c r="K3387" i="1" s="1"/>
  <c r="K3388" i="1" s="1"/>
  <c r="K3389" i="1" s="1"/>
  <c r="K3390" i="1" s="1"/>
  <c r="K3391" i="1" s="1"/>
  <c r="K3392" i="1" s="1"/>
  <c r="K3393" i="1" s="1"/>
  <c r="K3394" i="1" s="1"/>
  <c r="K3395" i="1" s="1"/>
  <c r="K3396" i="1" s="1"/>
  <c r="K3374" i="1"/>
  <c r="N3374" i="1" s="1"/>
  <c r="K3190" i="1"/>
  <c r="K3191" i="1"/>
  <c r="K3193" i="1" s="1"/>
  <c r="K3195" i="1" s="1"/>
  <c r="K3197" i="1" s="1"/>
  <c r="K3199" i="1" s="1"/>
  <c r="K3201" i="1" s="1"/>
  <c r="K3313" i="1"/>
  <c r="K3315" i="1" s="1"/>
  <c r="K3317" i="1" s="1"/>
  <c r="N3311" i="1"/>
  <c r="K2660" i="1"/>
  <c r="K2662" i="1" s="1"/>
  <c r="K2664" i="1" s="1"/>
  <c r="N2664" i="1" s="1"/>
  <c r="K2661" i="1"/>
  <c r="K2663" i="1" s="1"/>
  <c r="N2663" i="1" s="1"/>
  <c r="K2626" i="1"/>
  <c r="K2628" i="1" s="1"/>
  <c r="K2630" i="1" s="1"/>
  <c r="N2624" i="1"/>
  <c r="K1424" i="1"/>
  <c r="K1426" i="1" s="1"/>
  <c r="K1427" i="1" s="1"/>
  <c r="K1428" i="1" s="1"/>
  <c r="K1429" i="1" s="1"/>
  <c r="K1430" i="1" s="1"/>
  <c r="K1431" i="1" s="1"/>
  <c r="K1432" i="1" s="1"/>
  <c r="K1433" i="1" s="1"/>
  <c r="K1434" i="1" s="1"/>
  <c r="K1435" i="1" s="1"/>
  <c r="K1436" i="1" s="1"/>
  <c r="K1437" i="1" s="1"/>
  <c r="K1438" i="1" s="1"/>
  <c r="K1439" i="1" s="1"/>
  <c r="K1440" i="1" s="1"/>
  <c r="K1441" i="1" s="1"/>
  <c r="K1442" i="1" s="1"/>
  <c r="K1443" i="1" s="1"/>
  <c r="K1444" i="1" s="1"/>
  <c r="K1445" i="1" s="1"/>
  <c r="K1446" i="1" s="1"/>
  <c r="K1447" i="1" s="1"/>
  <c r="K1448" i="1" s="1"/>
  <c r="K1425" i="1"/>
  <c r="N1425" i="1" s="1"/>
  <c r="K1190" i="1"/>
  <c r="K1192" i="1" s="1"/>
  <c r="K1194" i="1" s="1"/>
  <c r="K1196" i="1" s="1"/>
  <c r="K1198" i="1" s="1"/>
  <c r="K1200" i="1" s="1"/>
  <c r="N1490" i="1"/>
  <c r="K1554" i="1"/>
  <c r="K1557" i="1" s="1"/>
  <c r="K1560" i="1" s="1"/>
  <c r="K1563" i="1" s="1"/>
  <c r="K1566" i="1" s="1"/>
  <c r="K1536" i="1"/>
  <c r="K1538" i="1" s="1"/>
  <c r="K1540" i="1" s="1"/>
  <c r="K1542" i="1" s="1"/>
  <c r="K1544" i="1" s="1"/>
  <c r="K1546" i="1" s="1"/>
  <c r="K2987" i="1"/>
  <c r="K1219" i="1"/>
  <c r="K1220" i="1"/>
  <c r="K1222" i="1" s="1"/>
  <c r="N1222" i="1" s="1"/>
  <c r="K1193" i="1"/>
  <c r="K1195" i="1" s="1"/>
  <c r="K1197" i="1" s="1"/>
  <c r="N1191" i="1"/>
  <c r="K1480" i="1"/>
  <c r="K1482" i="1" s="1"/>
  <c r="K1484" i="1" s="1"/>
  <c r="N1478" i="1"/>
  <c r="K1099" i="1"/>
  <c r="K1103" i="1" s="1"/>
  <c r="K1106" i="1" s="1"/>
  <c r="K1109" i="1" s="1"/>
  <c r="K1112" i="1" s="1"/>
  <c r="K1100" i="1"/>
  <c r="N1100" i="1" s="1"/>
  <c r="N3053" i="1"/>
  <c r="N2513" i="1"/>
  <c r="N3171" i="1"/>
  <c r="N2763" i="1"/>
  <c r="N3170" i="1"/>
  <c r="N3441" i="1"/>
  <c r="K2803" i="1"/>
  <c r="K2804" i="1"/>
  <c r="K2972" i="1"/>
  <c r="N2971" i="1"/>
  <c r="K2793" i="1"/>
  <c r="K2795" i="1" s="1"/>
  <c r="K2797" i="1" s="1"/>
  <c r="K2800" i="1" s="1"/>
  <c r="K2802" i="1" s="1"/>
  <c r="K2786" i="1"/>
  <c r="K2787" i="1" s="1"/>
  <c r="N2723" i="1"/>
  <c r="N2645" i="1"/>
  <c r="K2529" i="1"/>
  <c r="K2530" i="1" s="1"/>
  <c r="K2531" i="1" s="1"/>
  <c r="K2532" i="1" s="1"/>
  <c r="K2533" i="1" s="1"/>
  <c r="K2534" i="1" s="1"/>
  <c r="K2535" i="1" s="1"/>
  <c r="K2536" i="1" s="1"/>
  <c r="K2537" i="1" s="1"/>
  <c r="K2538" i="1" s="1"/>
  <c r="K2539" i="1" s="1"/>
  <c r="K2540" i="1" s="1"/>
  <c r="K2541" i="1" s="1"/>
  <c r="K2523" i="1"/>
  <c r="K2524" i="1" s="1"/>
  <c r="K2403" i="1"/>
  <c r="K2404" i="1" s="1"/>
  <c r="N3239" i="1"/>
  <c r="K1662" i="1"/>
  <c r="N1661" i="1"/>
  <c r="K1612" i="1"/>
  <c r="K1615" i="1" s="1"/>
  <c r="K1618" i="1" s="1"/>
  <c r="K1621" i="1" s="1"/>
  <c r="K1623" i="1" s="1"/>
  <c r="K1604" i="1"/>
  <c r="K1605" i="1" s="1"/>
  <c r="N1491" i="1"/>
  <c r="N1238" i="1"/>
  <c r="K1241" i="1"/>
  <c r="K1244" i="1" s="1"/>
  <c r="K1247" i="1" s="1"/>
  <c r="K1250" i="1" s="1"/>
  <c r="K1254" i="1" s="1"/>
  <c r="K1257" i="1" s="1"/>
  <c r="K1260" i="1" s="1"/>
  <c r="K1263" i="1" s="1"/>
  <c r="K1266" i="1" s="1"/>
  <c r="K1269" i="1" s="1"/>
  <c r="K1272" i="1" s="1"/>
  <c r="K1275" i="1" s="1"/>
  <c r="K1278" i="1" s="1"/>
  <c r="K1281" i="1" s="1"/>
  <c r="K1091" i="1"/>
  <c r="K1094" i="1" s="1"/>
  <c r="K1097" i="1" s="1"/>
  <c r="K1101" i="1" s="1"/>
  <c r="K1104" i="1" s="1"/>
  <c r="K1107" i="1" s="1"/>
  <c r="K1110" i="1" s="1"/>
  <c r="K1113" i="1" s="1"/>
  <c r="K969" i="1"/>
  <c r="N968" i="1"/>
  <c r="N3185" i="1"/>
  <c r="K3069" i="1"/>
  <c r="K3071" i="1" s="1"/>
  <c r="K3073" i="1" s="1"/>
  <c r="K3076" i="1" s="1"/>
  <c r="N2716" i="1"/>
  <c r="N2617" i="1"/>
  <c r="N1183" i="1"/>
  <c r="K1514" i="1"/>
  <c r="K1517" i="1" s="1"/>
  <c r="K1520" i="1" s="1"/>
  <c r="N1513" i="1"/>
  <c r="K1516" i="1"/>
  <c r="K1519" i="1" s="1"/>
  <c r="K1522" i="1" s="1"/>
  <c r="K1525" i="1" s="1"/>
  <c r="K1528" i="1" s="1"/>
  <c r="K1531" i="1" s="1"/>
  <c r="K1534" i="1" s="1"/>
  <c r="N2453" i="1"/>
  <c r="N1410" i="1"/>
  <c r="N3240" i="1"/>
  <c r="N3361" i="1"/>
  <c r="N2460" i="1"/>
  <c r="N2387" i="1"/>
  <c r="N1465" i="1"/>
  <c r="N951" i="1"/>
  <c r="N874" i="1"/>
  <c r="K2868" i="1"/>
  <c r="N2867" i="1"/>
  <c r="N1004" i="1"/>
  <c r="N1575" i="1"/>
  <c r="K1578" i="1"/>
  <c r="K1581" i="1" s="1"/>
  <c r="N3355" i="1"/>
  <c r="K1396" i="1"/>
  <c r="K1395" i="1"/>
  <c r="N1080" i="1"/>
  <c r="K1083" i="1"/>
  <c r="K1086" i="1" s="1"/>
  <c r="K1089" i="1" s="1"/>
  <c r="K1092" i="1" s="1"/>
  <c r="K1095" i="1" s="1"/>
  <c r="K1098" i="1" s="1"/>
  <c r="K1102" i="1" s="1"/>
  <c r="K1105" i="1" s="1"/>
  <c r="K1108" i="1" s="1"/>
  <c r="K1111" i="1" s="1"/>
  <c r="K1126" i="1" s="1"/>
  <c r="K1129" i="1" s="1"/>
  <c r="K1132" i="1" s="1"/>
  <c r="K1135" i="1" s="1"/>
  <c r="K1138" i="1" s="1"/>
  <c r="K1141" i="1" s="1"/>
  <c r="K1144" i="1" s="1"/>
  <c r="K1146" i="1" s="1"/>
  <c r="N1146" i="1" s="1"/>
  <c r="N1040" i="1"/>
  <c r="N944" i="1"/>
  <c r="N945" i="1"/>
  <c r="N997" i="1"/>
  <c r="N936" i="1"/>
  <c r="N867" i="1"/>
  <c r="N859" i="1"/>
  <c r="N2506" i="1"/>
  <c r="N2549" i="1"/>
  <c r="N2512" i="1"/>
  <c r="N1404" i="1"/>
  <c r="N1456" i="1"/>
  <c r="N2372" i="1"/>
  <c r="N2445" i="1"/>
  <c r="N2555" i="1"/>
  <c r="N3276" i="1"/>
  <c r="N1411" i="1"/>
  <c r="N1515" i="1"/>
  <c r="N2380" i="1"/>
  <c r="N2588" i="1"/>
  <c r="N3043" i="1"/>
  <c r="K3046" i="1"/>
  <c r="K3049" i="1" s="1"/>
  <c r="N3233" i="1"/>
  <c r="N1521" i="1"/>
  <c r="N1340" i="1"/>
  <c r="N1301" i="1"/>
  <c r="N1369" i="1"/>
  <c r="N1371" i="1"/>
  <c r="N1368" i="1"/>
  <c r="N1330" i="1"/>
  <c r="N1332" i="1"/>
  <c r="N1329" i="1"/>
  <c r="N1292" i="1"/>
  <c r="N1294" i="1"/>
  <c r="N1291" i="1"/>
  <c r="N2516" i="1"/>
  <c r="N2517" i="1"/>
  <c r="N1378" i="1"/>
  <c r="N1377" i="1"/>
  <c r="N1414" i="1"/>
  <c r="N1165" i="1"/>
  <c r="N946" i="1"/>
  <c r="N1379" i="1"/>
  <c r="N1380" i="1"/>
  <c r="N2772" i="1"/>
  <c r="N1466" i="1"/>
  <c r="N2518" i="1"/>
  <c r="N2383" i="1"/>
  <c r="N2966" i="1"/>
  <c r="N3426" i="1"/>
  <c r="N1302" i="1"/>
  <c r="K3203" i="1" l="1"/>
  <c r="K3204" i="1" s="1"/>
  <c r="K3205" i="1" s="1"/>
  <c r="K3206" i="1" s="1"/>
  <c r="K3207" i="1" s="1"/>
  <c r="K3208" i="1" s="1"/>
  <c r="K3209" i="1" s="1"/>
  <c r="K3210" i="1" s="1"/>
  <c r="K3211" i="1" s="1"/>
  <c r="K3212" i="1" s="1"/>
  <c r="K3213" i="1" s="1"/>
  <c r="K3214" i="1" s="1"/>
  <c r="K3215" i="1" s="1"/>
  <c r="K3216" i="1" s="1"/>
  <c r="K3217" i="1" s="1"/>
  <c r="K3218" i="1" s="1"/>
  <c r="K3219" i="1" s="1"/>
  <c r="K3192" i="1"/>
  <c r="N3245" i="1"/>
  <c r="K3319" i="1"/>
  <c r="K3321" i="1" s="1"/>
  <c r="N3317" i="1"/>
  <c r="K3090" i="1"/>
  <c r="K3092" i="1" s="1"/>
  <c r="K3094" i="1" s="1"/>
  <c r="K3096" i="1" s="1"/>
  <c r="K3104" i="1" s="1"/>
  <c r="K3106" i="1" s="1"/>
  <c r="K3108" i="1" s="1"/>
  <c r="K3110" i="1" s="1"/>
  <c r="K3112" i="1" s="1"/>
  <c r="K3114" i="1" s="1"/>
  <c r="K3117" i="1" s="1"/>
  <c r="K3119" i="1" s="1"/>
  <c r="N3119" i="1" s="1"/>
  <c r="K3078" i="1"/>
  <c r="K2632" i="1"/>
  <c r="K2634" i="1" s="1"/>
  <c r="N2630" i="1"/>
  <c r="K1523" i="1"/>
  <c r="K1526" i="1" s="1"/>
  <c r="K1529" i="1" s="1"/>
  <c r="K1532" i="1" s="1"/>
  <c r="K1547" i="1" s="1"/>
  <c r="K1548" i="1" s="1"/>
  <c r="K1549" i="1" s="1"/>
  <c r="K1535" i="1"/>
  <c r="K1555" i="1"/>
  <c r="K1558" i="1" s="1"/>
  <c r="K1561" i="1" s="1"/>
  <c r="K1564" i="1" s="1"/>
  <c r="K1567" i="1" s="1"/>
  <c r="K1537" i="1"/>
  <c r="K1199" i="1"/>
  <c r="K1201" i="1" s="1"/>
  <c r="N1197" i="1"/>
  <c r="K1486" i="1"/>
  <c r="N1484" i="1"/>
  <c r="K1128" i="1"/>
  <c r="K1131" i="1" s="1"/>
  <c r="K1134" i="1" s="1"/>
  <c r="K1137" i="1" s="1"/>
  <c r="K1140" i="1" s="1"/>
  <c r="K1143" i="1" s="1"/>
  <c r="K1115" i="1"/>
  <c r="K1127" i="1"/>
  <c r="K1130" i="1" s="1"/>
  <c r="K1133" i="1" s="1"/>
  <c r="K1136" i="1" s="1"/>
  <c r="K1139" i="1" s="1"/>
  <c r="K1142" i="1" s="1"/>
  <c r="K1145" i="1" s="1"/>
  <c r="K1147" i="1" s="1"/>
  <c r="N1147" i="1" s="1"/>
  <c r="K1114" i="1"/>
  <c r="K1116" i="1" s="1"/>
  <c r="K1118" i="1" s="1"/>
  <c r="K1120" i="1" s="1"/>
  <c r="K1122" i="1" s="1"/>
  <c r="N3242" i="1"/>
  <c r="N3442" i="1"/>
  <c r="K2799" i="1"/>
  <c r="N3380" i="1"/>
  <c r="N3251" i="1"/>
  <c r="N3204" i="1"/>
  <c r="K2973" i="1"/>
  <c r="K2974" i="1" s="1"/>
  <c r="K2975" i="1" s="1"/>
  <c r="N2972" i="1"/>
  <c r="K2788" i="1"/>
  <c r="N2787" i="1"/>
  <c r="N2724" i="1"/>
  <c r="K2525" i="1"/>
  <c r="N2524" i="1"/>
  <c r="K2405" i="1"/>
  <c r="K2406" i="1" s="1"/>
  <c r="N2404" i="1"/>
  <c r="N1525" i="1"/>
  <c r="K1663" i="1"/>
  <c r="K1664" i="1" s="1"/>
  <c r="K1665" i="1" s="1"/>
  <c r="N1662" i="1"/>
  <c r="K1584" i="1"/>
  <c r="K1587" i="1" s="1"/>
  <c r="K1590" i="1" s="1"/>
  <c r="K1593" i="1" s="1"/>
  <c r="K1596" i="1" s="1"/>
  <c r="K1599" i="1" s="1"/>
  <c r="N1599" i="1" s="1"/>
  <c r="K1583" i="1"/>
  <c r="K1586" i="1" s="1"/>
  <c r="K1606" i="1"/>
  <c r="N1605" i="1"/>
  <c r="N1241" i="1"/>
  <c r="N1265" i="1"/>
  <c r="N1055" i="1"/>
  <c r="N1015" i="1"/>
  <c r="K970" i="1"/>
  <c r="K971" i="1" s="1"/>
  <c r="K972" i="1" s="1"/>
  <c r="K973" i="1" s="1"/>
  <c r="K974" i="1" s="1"/>
  <c r="K975" i="1" s="1"/>
  <c r="K976" i="1" s="1"/>
  <c r="K977" i="1" s="1"/>
  <c r="K978" i="1" s="1"/>
  <c r="K979" i="1" s="1"/>
  <c r="K980" i="1" s="1"/>
  <c r="K981" i="1" s="1"/>
  <c r="K982" i="1" s="1"/>
  <c r="K983" i="1" s="1"/>
  <c r="K984" i="1" s="1"/>
  <c r="K985" i="1" s="1"/>
  <c r="K986" i="1" s="1"/>
  <c r="K987" i="1" s="1"/>
  <c r="K988" i="1" s="1"/>
  <c r="K989" i="1" s="1"/>
  <c r="N969" i="1"/>
  <c r="N3304" i="1"/>
  <c r="N1530" i="1"/>
  <c r="N3184" i="1"/>
  <c r="N3071" i="1"/>
  <c r="N2715" i="1"/>
  <c r="N2616" i="1"/>
  <c r="N1470" i="1"/>
  <c r="N1471" i="1"/>
  <c r="N1184" i="1"/>
  <c r="N3282" i="1"/>
  <c r="N1107" i="1"/>
  <c r="N2394" i="1"/>
  <c r="N1086" i="1"/>
  <c r="K2869" i="1"/>
  <c r="K2870" i="1" s="1"/>
  <c r="N2868" i="1"/>
  <c r="N1089" i="1"/>
  <c r="N1046" i="1"/>
  <c r="N1003" i="1"/>
  <c r="N868" i="1"/>
  <c r="N2558" i="1"/>
  <c r="N1462" i="1"/>
  <c r="N1524" i="1"/>
  <c r="N3285" i="1"/>
  <c r="N2454" i="1"/>
  <c r="K3052" i="1"/>
  <c r="K3055" i="1" s="1"/>
  <c r="N3049" i="1"/>
  <c r="N2594" i="1"/>
  <c r="N1341" i="1"/>
  <c r="N3286" i="1"/>
  <c r="N3166" i="1"/>
  <c r="N2967" i="1"/>
  <c r="N2965" i="1"/>
  <c r="N2696" i="1"/>
  <c r="N2598" i="1"/>
  <c r="N1648" i="1"/>
  <c r="N1649" i="1"/>
  <c r="N1591" i="1"/>
  <c r="N1415" i="1"/>
  <c r="N1242" i="1"/>
  <c r="N1166" i="1"/>
  <c r="N1381" i="1"/>
  <c r="N1090" i="1"/>
  <c r="N947" i="1"/>
  <c r="N1010" i="1"/>
  <c r="N1007" i="1"/>
  <c r="N1008" i="1"/>
  <c r="N3246" i="1"/>
  <c r="N1051" i="1"/>
  <c r="N2519" i="1"/>
  <c r="N2776" i="1"/>
  <c r="N1303" i="1"/>
  <c r="K3097" i="1" l="1"/>
  <c r="K3098" i="1" s="1"/>
  <c r="K3220" i="1"/>
  <c r="K3222" i="1" s="1"/>
  <c r="K3224" i="1" s="1"/>
  <c r="N3224" i="1" s="1"/>
  <c r="K3221" i="1"/>
  <c r="K3223" i="1" s="1"/>
  <c r="K3225" i="1" s="1"/>
  <c r="N3225" i="1" s="1"/>
  <c r="K3194" i="1"/>
  <c r="K3196" i="1" s="1"/>
  <c r="K3198" i="1" s="1"/>
  <c r="N3192" i="1"/>
  <c r="K3080" i="1"/>
  <c r="K3082" i="1" s="1"/>
  <c r="K3084" i="1" s="1"/>
  <c r="N3078" i="1"/>
  <c r="K1556" i="1"/>
  <c r="K1559" i="1" s="1"/>
  <c r="K1562" i="1" s="1"/>
  <c r="K1565" i="1" s="1"/>
  <c r="K1539" i="1"/>
  <c r="K1541" i="1" s="1"/>
  <c r="K1543" i="1" s="1"/>
  <c r="N1537" i="1"/>
  <c r="K1124" i="1"/>
  <c r="K1125" i="1"/>
  <c r="K1117" i="1"/>
  <c r="K1119" i="1" s="1"/>
  <c r="K1121" i="1" s="1"/>
  <c r="N1115" i="1"/>
  <c r="N3381" i="1"/>
  <c r="N3252" i="1"/>
  <c r="N3205" i="1"/>
  <c r="K3099" i="1"/>
  <c r="N3098" i="1"/>
  <c r="K2789" i="1"/>
  <c r="K2790" i="1" s="1"/>
  <c r="K2791" i="1" s="1"/>
  <c r="N2788" i="1"/>
  <c r="K2526" i="1"/>
  <c r="K2527" i="1" s="1"/>
  <c r="K2528" i="1" s="1"/>
  <c r="N2525" i="1"/>
  <c r="K1602" i="1"/>
  <c r="K1611" i="1" s="1"/>
  <c r="K1614" i="1" s="1"/>
  <c r="K1617" i="1" s="1"/>
  <c r="K1620" i="1" s="1"/>
  <c r="K1624" i="1" s="1"/>
  <c r="N2477" i="1"/>
  <c r="K2407" i="1"/>
  <c r="K2408" i="1" s="1"/>
  <c r="N2406" i="1"/>
  <c r="K1607" i="1"/>
  <c r="K1608" i="1" s="1"/>
  <c r="K1609" i="1" s="1"/>
  <c r="N1606" i="1"/>
  <c r="K1589" i="1"/>
  <c r="K1592" i="1" s="1"/>
  <c r="N1586" i="1"/>
  <c r="K1550" i="1"/>
  <c r="N1549" i="1"/>
  <c r="N1432" i="1"/>
  <c r="N1266" i="1"/>
  <c r="N1203" i="1"/>
  <c r="N1056" i="1"/>
  <c r="N1016" i="1"/>
  <c r="N1009" i="1"/>
  <c r="N3323" i="1"/>
  <c r="N2637" i="1"/>
  <c r="N2636" i="1"/>
  <c r="N1529" i="1"/>
  <c r="N2870" i="1"/>
  <c r="K2871" i="1"/>
  <c r="N1049" i="1"/>
  <c r="N870" i="1"/>
  <c r="K3056" i="1"/>
  <c r="K3059" i="1" s="1"/>
  <c r="K3062" i="1" s="1"/>
  <c r="K3065" i="1" s="1"/>
  <c r="K3068" i="1" s="1"/>
  <c r="K3070" i="1" s="1"/>
  <c r="K3072" i="1" s="1"/>
  <c r="N3052" i="1"/>
  <c r="N2456" i="1"/>
  <c r="N2559" i="1"/>
  <c r="N1342" i="1"/>
  <c r="N2977" i="1"/>
  <c r="N3431" i="1"/>
  <c r="N3430" i="1"/>
  <c r="N3364" i="1"/>
  <c r="N2708" i="1"/>
  <c r="N2700" i="1"/>
  <c r="N2602" i="1"/>
  <c r="N1419" i="1"/>
  <c r="N1246" i="1"/>
  <c r="N1382" i="1"/>
  <c r="N1170" i="1"/>
  <c r="N1011" i="1"/>
  <c r="N1094" i="1"/>
  <c r="N3247" i="1"/>
  <c r="N1343" i="1"/>
  <c r="N1652" i="1"/>
  <c r="N2520" i="1"/>
  <c r="N2777" i="1"/>
  <c r="N1304" i="1"/>
  <c r="K3200" i="1" l="1"/>
  <c r="K3202" i="1" s="1"/>
  <c r="N3198" i="1"/>
  <c r="K3086" i="1"/>
  <c r="K3088" i="1" s="1"/>
  <c r="N3084" i="1"/>
  <c r="K1545" i="1"/>
  <c r="N1543" i="1"/>
  <c r="K1123" i="1"/>
  <c r="N1121" i="1"/>
  <c r="K3100" i="1"/>
  <c r="K3101" i="1" s="1"/>
  <c r="K3102" i="1" s="1"/>
  <c r="N3099" i="1"/>
  <c r="N2478" i="1"/>
  <c r="K2409" i="1"/>
  <c r="K2410" i="1" s="1"/>
  <c r="K2411" i="1" s="1"/>
  <c r="K2412" i="1" s="1"/>
  <c r="K2413" i="1" s="1"/>
  <c r="K2414" i="1" s="1"/>
  <c r="K2415" i="1" s="1"/>
  <c r="K2416" i="1" s="1"/>
  <c r="K2417" i="1" s="1"/>
  <c r="K2418" i="1" s="1"/>
  <c r="K2419" i="1" s="1"/>
  <c r="K2420" i="1" s="1"/>
  <c r="K2421" i="1" s="1"/>
  <c r="K2422" i="1" s="1"/>
  <c r="K2423" i="1" s="1"/>
  <c r="K2424" i="1" s="1"/>
  <c r="K2425" i="1" s="1"/>
  <c r="K2426" i="1" s="1"/>
  <c r="K2427" i="1" s="1"/>
  <c r="K2428" i="1" s="1"/>
  <c r="K2429" i="1" s="1"/>
  <c r="K2430" i="1" s="1"/>
  <c r="K2431" i="1" s="1"/>
  <c r="K2432" i="1" s="1"/>
  <c r="K2433" i="1" s="1"/>
  <c r="K2434" i="1" s="1"/>
  <c r="K2435" i="1" s="1"/>
  <c r="K2436" i="1" s="1"/>
  <c r="K2437" i="1" s="1"/>
  <c r="N2408" i="1"/>
  <c r="K1595" i="1"/>
  <c r="N1592" i="1"/>
  <c r="K1551" i="1"/>
  <c r="K1552" i="1" s="1"/>
  <c r="K1553" i="1" s="1"/>
  <c r="N1550" i="1"/>
  <c r="N1433" i="1"/>
  <c r="N1204" i="1"/>
  <c r="N1127" i="1"/>
  <c r="K3075" i="1"/>
  <c r="K3074" i="1"/>
  <c r="N3303" i="1"/>
  <c r="N1108" i="1"/>
  <c r="K2872" i="1"/>
  <c r="N2871" i="1"/>
  <c r="N2979" i="1"/>
  <c r="N3432" i="1"/>
  <c r="N3368" i="1"/>
  <c r="N3172" i="1"/>
  <c r="N2701" i="1"/>
  <c r="N2603" i="1"/>
  <c r="N1420" i="1"/>
  <c r="N1247" i="1"/>
  <c r="N3257" i="1"/>
  <c r="N1171" i="1"/>
  <c r="N1095" i="1"/>
  <c r="N1344" i="1"/>
  <c r="N2778" i="1"/>
  <c r="N3437" i="1"/>
  <c r="N1386" i="1"/>
  <c r="N1305" i="1"/>
  <c r="N1600" i="1"/>
  <c r="K3089" i="1" l="1"/>
  <c r="K3091" i="1" s="1"/>
  <c r="K3093" i="1" s="1"/>
  <c r="K3095" i="1" s="1"/>
  <c r="K3103" i="1" s="1"/>
  <c r="K3105" i="1" s="1"/>
  <c r="K3107" i="1" s="1"/>
  <c r="K3109" i="1" s="1"/>
  <c r="K3111" i="1" s="1"/>
  <c r="K3113" i="1" s="1"/>
  <c r="K3077" i="1"/>
  <c r="K3079" i="1" s="1"/>
  <c r="K3081" i="1" s="1"/>
  <c r="K3083" i="1" s="1"/>
  <c r="K3085" i="1" s="1"/>
  <c r="K3087" i="1" s="1"/>
  <c r="N3331" i="1"/>
  <c r="N2415" i="1"/>
  <c r="N3091" i="1"/>
  <c r="K1598" i="1"/>
  <c r="K1601" i="1" s="1"/>
  <c r="K1610" i="1" s="1"/>
  <c r="K1613" i="1" s="1"/>
  <c r="K1616" i="1" s="1"/>
  <c r="K1619" i="1" s="1"/>
  <c r="K1622" i="1" s="1"/>
  <c r="N1595" i="1"/>
  <c r="N1128" i="1"/>
  <c r="N3070" i="1"/>
  <c r="K2873" i="1"/>
  <c r="K2874" i="1" s="1"/>
  <c r="N2872" i="1"/>
  <c r="N3369" i="1"/>
  <c r="N3290" i="1"/>
  <c r="N3173" i="1"/>
  <c r="N3057" i="1"/>
  <c r="N2702" i="1"/>
  <c r="N2604" i="1"/>
  <c r="N3259" i="1"/>
  <c r="N1656" i="1"/>
  <c r="N1655" i="1"/>
  <c r="N1252" i="1"/>
  <c r="N1177" i="1"/>
  <c r="N1101" i="1"/>
  <c r="N3337" i="1"/>
  <c r="N1348" i="1"/>
  <c r="N1061" i="1"/>
  <c r="N1388" i="1"/>
  <c r="N2783" i="1"/>
  <c r="N3438" i="1"/>
  <c r="N3210" i="1"/>
  <c r="K3115" i="1" l="1"/>
  <c r="K3116" i="1"/>
  <c r="K3118" i="1" s="1"/>
  <c r="N3118" i="1" s="1"/>
  <c r="N3332" i="1"/>
  <c r="N1601" i="1"/>
  <c r="N2416" i="1"/>
  <c r="N3324" i="1"/>
  <c r="N3090" i="1"/>
  <c r="K2875" i="1"/>
  <c r="N2874" i="1"/>
  <c r="N2569" i="1"/>
  <c r="N1021" i="1"/>
  <c r="N3291" i="1"/>
  <c r="N3058" i="1"/>
  <c r="N3386" i="1"/>
  <c r="N2703" i="1"/>
  <c r="N2605" i="1"/>
  <c r="N1657" i="1"/>
  <c r="N3339" i="1"/>
  <c r="N1254" i="1"/>
  <c r="N1426" i="1"/>
  <c r="N1255" i="1"/>
  <c r="N1178" i="1"/>
  <c r="N1102" i="1"/>
  <c r="N1063" i="1"/>
  <c r="N3388" i="1"/>
  <c r="N2784" i="1"/>
  <c r="N3212" i="1"/>
  <c r="N2530" i="1"/>
  <c r="N1350" i="1"/>
  <c r="N2459" i="1"/>
  <c r="N1309" i="1"/>
  <c r="N2563" i="1" l="1"/>
  <c r="K2876" i="1"/>
  <c r="K2877" i="1" s="1"/>
  <c r="N2875" i="1"/>
  <c r="N2571" i="1"/>
  <c r="N950" i="1"/>
  <c r="N1023" i="1"/>
  <c r="N3375" i="1"/>
  <c r="N3298" i="1"/>
  <c r="N3178" i="1"/>
  <c r="N3063" i="1"/>
  <c r="N1669" i="1"/>
  <c r="N2709" i="1"/>
  <c r="N873" i="1"/>
  <c r="N1427" i="1"/>
  <c r="N1260" i="1"/>
  <c r="N1311" i="1"/>
  <c r="N2793" i="1"/>
  <c r="N1556" i="1"/>
  <c r="N1496" i="1"/>
  <c r="N1133" i="1"/>
  <c r="N2532" i="1"/>
  <c r="N2386" i="1"/>
  <c r="N3449" i="1"/>
  <c r="N3447" i="1"/>
  <c r="N1611" i="1"/>
  <c r="N1613" i="1"/>
  <c r="N2564" i="1" l="1"/>
  <c r="K2878" i="1"/>
  <c r="K2879" i="1" s="1"/>
  <c r="K2880" i="1" s="1"/>
  <c r="K2881" i="1" s="1"/>
  <c r="K2882" i="1" s="1"/>
  <c r="K2883" i="1" s="1"/>
  <c r="K2884" i="1" s="1"/>
  <c r="K2885" i="1" s="1"/>
  <c r="K2886" i="1" s="1"/>
  <c r="K2887" i="1" s="1"/>
  <c r="K2888" i="1" s="1"/>
  <c r="K2889" i="1" s="1"/>
  <c r="K2890" i="1" s="1"/>
  <c r="K2891" i="1" s="1"/>
  <c r="K2892" i="1" s="1"/>
  <c r="K2893" i="1" s="1"/>
  <c r="K2894" i="1" s="1"/>
  <c r="K2895" i="1" s="1"/>
  <c r="K2896" i="1" s="1"/>
  <c r="K2897" i="1" s="1"/>
  <c r="K2898" i="1" s="1"/>
  <c r="K2899" i="1" s="1"/>
  <c r="K2900" i="1" s="1"/>
  <c r="K2901" i="1" s="1"/>
  <c r="K2902" i="1" s="1"/>
  <c r="K2903" i="1" s="1"/>
  <c r="K2904" i="1" s="1"/>
  <c r="K2905" i="1" s="1"/>
  <c r="K2906" i="1" s="1"/>
  <c r="K2907" i="1" s="1"/>
  <c r="K2908" i="1" s="1"/>
  <c r="K2909" i="1" s="1"/>
  <c r="N2877" i="1"/>
  <c r="N880" i="1"/>
  <c r="N1667" i="1"/>
  <c r="N881" i="1"/>
  <c r="N3296" i="1"/>
  <c r="N3179" i="1"/>
  <c r="N3064" i="1"/>
  <c r="N2710" i="1"/>
  <c r="N2610" i="1"/>
  <c r="N2467" i="1"/>
  <c r="N957" i="1"/>
  <c r="N883" i="1"/>
  <c r="N1558" i="1"/>
  <c r="N1498" i="1"/>
  <c r="N1135" i="1"/>
  <c r="N2795" i="1"/>
  <c r="N2393" i="1"/>
  <c r="N882" i="1"/>
  <c r="K2910" i="1" l="1"/>
  <c r="K2911" i="1" s="1"/>
  <c r="N2878" i="1"/>
  <c r="N3065" i="1"/>
  <c r="N2473" i="1"/>
  <c r="N2611" i="1"/>
  <c r="N2466" i="1"/>
  <c r="N2468" i="1"/>
  <c r="N1438" i="1"/>
  <c r="N886" i="1"/>
  <c r="N2395" i="1"/>
  <c r="N884" i="1"/>
  <c r="K2912" i="1" l="1"/>
  <c r="K2913" i="1" s="1"/>
  <c r="K2914" i="1" s="1"/>
  <c r="K2915" i="1" s="1"/>
  <c r="K2916" i="1" s="1"/>
  <c r="K2917" i="1" s="1"/>
  <c r="K2918" i="1" s="1"/>
  <c r="K2919" i="1" s="1"/>
  <c r="K2920" i="1" s="1"/>
  <c r="K2921" i="1" s="1"/>
  <c r="K2922" i="1" s="1"/>
  <c r="K2923" i="1" s="1"/>
  <c r="K2924" i="1" s="1"/>
  <c r="K2925" i="1" s="1"/>
  <c r="K2926" i="1" s="1"/>
  <c r="K2927" i="1" s="1"/>
  <c r="K2928" i="1" s="1"/>
  <c r="K2929" i="1" s="1"/>
  <c r="K2930" i="1" s="1"/>
  <c r="K2931" i="1" s="1"/>
  <c r="K2932" i="1" s="1"/>
  <c r="K2933" i="1" s="1"/>
  <c r="K2934" i="1" s="1"/>
  <c r="K2935" i="1" s="1"/>
  <c r="K2936" i="1" s="1"/>
  <c r="K2937" i="1" s="1"/>
  <c r="K2938" i="1" s="1"/>
  <c r="K2939" i="1" s="1"/>
  <c r="K2940" i="1" s="1"/>
  <c r="K2941" i="1" s="1"/>
  <c r="N2911" i="1"/>
  <c r="N2879" i="1"/>
  <c r="N2474" i="1"/>
  <c r="N958" i="1"/>
  <c r="N1440" i="1"/>
  <c r="N1271" i="1"/>
  <c r="N2487" i="1"/>
  <c r="N3105" i="1"/>
  <c r="N2396" i="1"/>
  <c r="N885" i="1"/>
  <c r="N2913" i="1" l="1"/>
  <c r="N964" i="1"/>
  <c r="N1273" i="1"/>
  <c r="N2489" i="1"/>
  <c r="N3107" i="1"/>
  <c r="N2400" i="1"/>
  <c r="N2915" i="1" l="1"/>
  <c r="N2881" i="1"/>
  <c r="N2884" i="1"/>
  <c r="N965" i="1"/>
  <c r="N1209" i="1"/>
  <c r="N2401" i="1"/>
  <c r="N887" i="1"/>
  <c r="N2922" i="1" l="1"/>
  <c r="N2885" i="1"/>
  <c r="N978" i="1"/>
  <c r="N1211" i="1"/>
  <c r="N2650" i="1"/>
  <c r="N2425" i="1"/>
  <c r="N891" i="1"/>
  <c r="N2923" i="1" l="1"/>
  <c r="N2891" i="1"/>
  <c r="N2729" i="1"/>
  <c r="N2652" i="1"/>
  <c r="N980" i="1"/>
  <c r="N2428" i="1"/>
  <c r="N892" i="1"/>
  <c r="N2894" i="1" l="1"/>
  <c r="N2731" i="1"/>
  <c r="N916" i="1"/>
  <c r="N2895" i="1" l="1"/>
  <c r="N2381" i="1"/>
  <c r="N919" i="1"/>
  <c r="N2896" i="1" l="1"/>
  <c r="M2355" i="1"/>
  <c r="C2355" i="1"/>
  <c r="M2354" i="1"/>
  <c r="C2290" i="1"/>
  <c r="M2211" i="1"/>
  <c r="C2211" i="1"/>
  <c r="M2210" i="1"/>
  <c r="M2130" i="1"/>
  <c r="C2130" i="1"/>
  <c r="M2129" i="1"/>
  <c r="M2069" i="1"/>
  <c r="C2069" i="1"/>
  <c r="M2068" i="1"/>
  <c r="C2010" i="1"/>
  <c r="M1947" i="1"/>
  <c r="C1947" i="1"/>
  <c r="M1946" i="1"/>
  <c r="M1871" i="1"/>
  <c r="C1871" i="1"/>
  <c r="M1870" i="1"/>
  <c r="M1788" i="1"/>
  <c r="C1788" i="1"/>
  <c r="M1787" i="1"/>
  <c r="M1729" i="1"/>
  <c r="C1729" i="1"/>
  <c r="M1728" i="1"/>
  <c r="M840" i="1"/>
  <c r="C840" i="1"/>
  <c r="M839" i="1"/>
  <c r="C778" i="1"/>
  <c r="C726" i="1"/>
  <c r="M656" i="1"/>
  <c r="C656" i="1"/>
  <c r="M655" i="1"/>
  <c r="M597" i="1"/>
  <c r="C597" i="1"/>
  <c r="M596" i="1"/>
  <c r="M526" i="1"/>
  <c r="C526" i="1"/>
  <c r="M525" i="1"/>
  <c r="M465" i="1"/>
  <c r="C465" i="1"/>
  <c r="M464" i="1"/>
  <c r="C359" i="1"/>
  <c r="C280" i="1"/>
  <c r="C220" i="1"/>
  <c r="C149" i="1"/>
  <c r="C116" i="1"/>
  <c r="N2897" i="1" l="1"/>
  <c r="N2901" i="1" l="1"/>
  <c r="M1866" i="1"/>
  <c r="E1866" i="1"/>
  <c r="F1866" i="1" s="1"/>
  <c r="C1866" i="1"/>
  <c r="M1865" i="1"/>
  <c r="M1858" i="1"/>
  <c r="M328" i="1"/>
  <c r="E328" i="1"/>
  <c r="F328" i="1" s="1"/>
  <c r="C328" i="1"/>
  <c r="M326" i="1"/>
  <c r="C326" i="1"/>
  <c r="M324" i="1"/>
  <c r="C324" i="1"/>
  <c r="M323" i="1"/>
  <c r="C323" i="1"/>
  <c r="M322" i="1"/>
  <c r="L322" i="1"/>
  <c r="L323" i="1" s="1"/>
  <c r="L324" i="1" s="1"/>
  <c r="L325" i="1" s="1"/>
  <c r="L327" i="1" s="1"/>
  <c r="M344" i="1"/>
  <c r="C344" i="1"/>
  <c r="M349" i="1"/>
  <c r="M50" i="1"/>
  <c r="L326" i="1" l="1"/>
  <c r="L328" i="1" s="1"/>
  <c r="N2902" i="1"/>
  <c r="M639" i="1"/>
  <c r="M568" i="1"/>
  <c r="M651" i="1"/>
  <c r="C651" i="1"/>
  <c r="M650" i="1"/>
  <c r="C650" i="1"/>
  <c r="M649" i="1"/>
  <c r="M642" i="1"/>
  <c r="M622" i="1"/>
  <c r="M606" i="1"/>
  <c r="F606" i="1"/>
  <c r="M595" i="1"/>
  <c r="M553" i="1"/>
  <c r="C553" i="1"/>
  <c r="M552" i="1"/>
  <c r="M591" i="1"/>
  <c r="C591" i="1"/>
  <c r="M590" i="1"/>
  <c r="C590" i="1"/>
  <c r="M589" i="1"/>
  <c r="M571" i="1"/>
  <c r="C275" i="1"/>
  <c r="C274" i="1"/>
  <c r="C214" i="1"/>
  <c r="M213" i="1"/>
  <c r="C213" i="1"/>
  <c r="M212" i="1"/>
  <c r="C311" i="1"/>
  <c r="M191" i="1"/>
  <c r="C247" i="1"/>
  <c r="C176" i="1"/>
  <c r="N2907" i="1" l="1"/>
  <c r="M229" i="1"/>
  <c r="F229" i="1"/>
  <c r="M226" i="1"/>
  <c r="F226" i="1"/>
  <c r="E225" i="1"/>
  <c r="F225" i="1" s="1"/>
  <c r="C225" i="1"/>
  <c r="E224" i="1"/>
  <c r="F224" i="1" s="1"/>
  <c r="C224" i="1"/>
  <c r="C174" i="1"/>
  <c r="E222" i="1"/>
  <c r="F222" i="1" s="1"/>
  <c r="C222" i="1"/>
  <c r="C217" i="1"/>
  <c r="N2908" i="1" l="1"/>
  <c r="M827" i="1"/>
  <c r="C827" i="1"/>
  <c r="M848" i="1"/>
  <c r="E848" i="1"/>
  <c r="F848" i="1" s="1"/>
  <c r="C848" i="1"/>
  <c r="M847" i="1"/>
  <c r="E847" i="1"/>
  <c r="F847" i="1" s="1"/>
  <c r="C847" i="1"/>
  <c r="M846" i="1"/>
  <c r="E846" i="1"/>
  <c r="F846" i="1" s="1"/>
  <c r="C846" i="1"/>
  <c r="M845" i="1"/>
  <c r="E845" i="1"/>
  <c r="F845" i="1" s="1"/>
  <c r="C845" i="1"/>
  <c r="M844" i="1"/>
  <c r="M843" i="1"/>
  <c r="C843" i="1"/>
  <c r="M842" i="1"/>
  <c r="M841" i="1"/>
  <c r="M831" i="1"/>
  <c r="F831" i="1"/>
  <c r="M830" i="1"/>
  <c r="E830" i="1"/>
  <c r="F830" i="1" s="1"/>
  <c r="C830" i="1"/>
  <c r="M829" i="1"/>
  <c r="C829" i="1"/>
  <c r="M828" i="1"/>
  <c r="C828" i="1"/>
  <c r="M826" i="1"/>
  <c r="M825" i="1"/>
  <c r="M824" i="1"/>
  <c r="E824" i="1"/>
  <c r="F824" i="1" s="1"/>
  <c r="C824" i="1"/>
  <c r="M823" i="1"/>
  <c r="C823" i="1"/>
  <c r="M822" i="1"/>
  <c r="L822" i="1"/>
  <c r="L823" i="1" s="1"/>
  <c r="L824" i="1" s="1"/>
  <c r="M821" i="1"/>
  <c r="M820" i="1"/>
  <c r="M819" i="1"/>
  <c r="M818" i="1"/>
  <c r="E818" i="1"/>
  <c r="F818" i="1" s="1"/>
  <c r="C818" i="1"/>
  <c r="M817" i="1"/>
  <c r="M816" i="1"/>
  <c r="M815" i="1"/>
  <c r="M814" i="1"/>
  <c r="C814" i="1"/>
  <c r="M813" i="1"/>
  <c r="C813" i="1"/>
  <c r="M812" i="1"/>
  <c r="M811" i="1"/>
  <c r="M810" i="1"/>
  <c r="F810" i="1"/>
  <c r="M809" i="1"/>
  <c r="C809" i="1"/>
  <c r="M808" i="1"/>
  <c r="E806" i="1"/>
  <c r="F806" i="1" s="1"/>
  <c r="C806" i="1"/>
  <c r="M799" i="1"/>
  <c r="C799" i="1"/>
  <c r="M789" i="1"/>
  <c r="K788" i="1"/>
  <c r="K789" i="1" s="1"/>
  <c r="M532" i="1"/>
  <c r="E532" i="1"/>
  <c r="F532" i="1" s="1"/>
  <c r="C532" i="1"/>
  <c r="M531" i="1"/>
  <c r="E531" i="1"/>
  <c r="F531" i="1" s="1"/>
  <c r="C531" i="1"/>
  <c r="M529" i="1"/>
  <c r="E529" i="1"/>
  <c r="F529" i="1" s="1"/>
  <c r="C529" i="1"/>
  <c r="M528" i="1"/>
  <c r="E528" i="1"/>
  <c r="F528" i="1" s="1"/>
  <c r="C528" i="1"/>
  <c r="M527" i="1"/>
  <c r="M524" i="1"/>
  <c r="C524" i="1"/>
  <c r="M523" i="1"/>
  <c r="M516" i="1"/>
  <c r="F515" i="1"/>
  <c r="E514" i="1"/>
  <c r="F514" i="1" s="1"/>
  <c r="C514" i="1"/>
  <c r="C513" i="1"/>
  <c r="C512" i="1"/>
  <c r="E509" i="1"/>
  <c r="F509" i="1" s="1"/>
  <c r="C509" i="1"/>
  <c r="C508" i="1"/>
  <c r="L507" i="1"/>
  <c r="L508" i="1" s="1"/>
  <c r="L509" i="1" s="1"/>
  <c r="E503" i="1"/>
  <c r="F503" i="1" s="1"/>
  <c r="C503" i="1"/>
  <c r="C500" i="1"/>
  <c r="C499" i="1"/>
  <c r="F496" i="1"/>
  <c r="C495" i="1"/>
  <c r="E492" i="1"/>
  <c r="F492" i="1" s="1"/>
  <c r="C492" i="1"/>
  <c r="C486" i="1"/>
  <c r="M476" i="1"/>
  <c r="K475" i="1"/>
  <c r="K476" i="1" s="1"/>
  <c r="M125" i="1"/>
  <c r="F125" i="1"/>
  <c r="M122" i="1"/>
  <c r="E122" i="1"/>
  <c r="F122" i="1" s="1"/>
  <c r="C122" i="1"/>
  <c r="E121" i="1"/>
  <c r="F121" i="1" s="1"/>
  <c r="C121" i="1"/>
  <c r="F118" i="1"/>
  <c r="C114" i="1"/>
  <c r="F111" i="1"/>
  <c r="E110" i="1"/>
  <c r="F110" i="1" s="1"/>
  <c r="C110" i="1"/>
  <c r="C109" i="1"/>
  <c r="C108" i="1"/>
  <c r="E105" i="1"/>
  <c r="F105" i="1" s="1"/>
  <c r="C105" i="1"/>
  <c r="C104" i="1"/>
  <c r="L103" i="1"/>
  <c r="L104" i="1" s="1"/>
  <c r="L105" i="1" s="1"/>
  <c r="M99" i="1"/>
  <c r="E99" i="1"/>
  <c r="F99" i="1" s="1"/>
  <c r="C99" i="1"/>
  <c r="C95" i="1"/>
  <c r="C94" i="1"/>
  <c r="F91" i="1"/>
  <c r="C90" i="1"/>
  <c r="E87" i="1"/>
  <c r="F87" i="1" s="1"/>
  <c r="C87" i="1"/>
  <c r="C83" i="1"/>
  <c r="M80" i="1"/>
  <c r="L80" i="1"/>
  <c r="M72" i="1"/>
  <c r="K71" i="1"/>
  <c r="K72" i="1" s="1"/>
  <c r="N2930" i="1" l="1"/>
  <c r="K790" i="1"/>
  <c r="K792" i="1" s="1"/>
  <c r="K791" i="1"/>
  <c r="K477" i="1"/>
  <c r="K479" i="1" s="1"/>
  <c r="K478" i="1"/>
  <c r="K73" i="1"/>
  <c r="K74" i="1" s="1"/>
  <c r="K75" i="1" s="1"/>
  <c r="K76" i="1" s="1"/>
  <c r="K77" i="1" s="1"/>
  <c r="K78" i="1" s="1"/>
  <c r="K79" i="1" s="1"/>
  <c r="K80" i="1" s="1"/>
  <c r="K81" i="1" s="1"/>
  <c r="K82" i="1" s="1"/>
  <c r="K83" i="1" s="1"/>
  <c r="K84" i="1" s="1"/>
  <c r="K85" i="1" s="1"/>
  <c r="K86" i="1" s="1"/>
  <c r="K87" i="1" s="1"/>
  <c r="K88" i="1" s="1"/>
  <c r="K89" i="1" s="1"/>
  <c r="K90" i="1" s="1"/>
  <c r="K91" i="1" s="1"/>
  <c r="K92" i="1" s="1"/>
  <c r="K93" i="1" s="1"/>
  <c r="K94" i="1" s="1"/>
  <c r="K95" i="1" s="1"/>
  <c r="K96" i="1" s="1"/>
  <c r="K97" i="1" s="1"/>
  <c r="K98" i="1" s="1"/>
  <c r="K99" i="1" s="1"/>
  <c r="K100" i="1" s="1"/>
  <c r="K101" i="1" s="1"/>
  <c r="K102" i="1" s="1"/>
  <c r="K103" i="1" s="1"/>
  <c r="K104" i="1" s="1"/>
  <c r="K105" i="1" s="1"/>
  <c r="K106" i="1" s="1"/>
  <c r="K107" i="1" s="1"/>
  <c r="K108" i="1" s="1"/>
  <c r="K109" i="1" s="1"/>
  <c r="K110" i="1" s="1"/>
  <c r="K111" i="1" s="1"/>
  <c r="K112" i="1" s="1"/>
  <c r="K113" i="1" s="1"/>
  <c r="K114" i="1" s="1"/>
  <c r="K115" i="1" s="1"/>
  <c r="K116" i="1" s="1"/>
  <c r="K117" i="1" s="1"/>
  <c r="K118" i="1" s="1"/>
  <c r="K119" i="1" s="1"/>
  <c r="K120" i="1" s="1"/>
  <c r="K121" i="1" s="1"/>
  <c r="K122" i="1" s="1"/>
  <c r="K123" i="1" s="1"/>
  <c r="K124" i="1" s="1"/>
  <c r="K125" i="1" s="1"/>
  <c r="N2932" i="1" l="1"/>
  <c r="K794" i="1"/>
  <c r="N791" i="1"/>
  <c r="K795" i="1"/>
  <c r="K798" i="1" s="1"/>
  <c r="K801" i="1" s="1"/>
  <c r="K804" i="1" s="1"/>
  <c r="K807" i="1" s="1"/>
  <c r="K810" i="1" s="1"/>
  <c r="K813" i="1" s="1"/>
  <c r="K816" i="1" s="1"/>
  <c r="K819" i="1" s="1"/>
  <c r="K822" i="1" s="1"/>
  <c r="K793" i="1"/>
  <c r="K796" i="1" s="1"/>
  <c r="K799" i="1" s="1"/>
  <c r="N792" i="1"/>
  <c r="K481" i="1"/>
  <c r="N478" i="1"/>
  <c r="N479" i="1"/>
  <c r="K482" i="1"/>
  <c r="K485" i="1" s="1"/>
  <c r="K488" i="1" s="1"/>
  <c r="K491" i="1" s="1"/>
  <c r="K494" i="1" s="1"/>
  <c r="K497" i="1" s="1"/>
  <c r="K500" i="1" s="1"/>
  <c r="K503" i="1" s="1"/>
  <c r="K506" i="1" s="1"/>
  <c r="K509" i="1" s="1"/>
  <c r="K512" i="1" s="1"/>
  <c r="K515" i="1" s="1"/>
  <c r="K524" i="1" s="1"/>
  <c r="K527" i="1" s="1"/>
  <c r="K530" i="1" s="1"/>
  <c r="K533" i="1" s="1"/>
  <c r="K480" i="1"/>
  <c r="K483" i="1" s="1"/>
  <c r="K486" i="1" s="1"/>
  <c r="N75" i="1"/>
  <c r="N77" i="1"/>
  <c r="N74" i="1"/>
  <c r="N83" i="1"/>
  <c r="K825" i="1" l="1"/>
  <c r="K828" i="1" s="1"/>
  <c r="K831" i="1" s="1"/>
  <c r="K835" i="1" s="1"/>
  <c r="K832" i="1"/>
  <c r="N481" i="1"/>
  <c r="K484" i="1"/>
  <c r="K487" i="1" s="1"/>
  <c r="N794" i="1"/>
  <c r="K797" i="1"/>
  <c r="K800" i="1" s="1"/>
  <c r="N90" i="1"/>
  <c r="M654" i="1"/>
  <c r="C654" i="1"/>
  <c r="M653" i="1"/>
  <c r="M652" i="1"/>
  <c r="M594" i="1"/>
  <c r="C594" i="1"/>
  <c r="M593" i="1"/>
  <c r="M592" i="1"/>
  <c r="C278" i="1"/>
  <c r="M194" i="1"/>
  <c r="C147" i="1"/>
  <c r="C776" i="1"/>
  <c r="C724" i="1"/>
  <c r="E703" i="1"/>
  <c r="F703" i="1" s="1"/>
  <c r="C703" i="1"/>
  <c r="C701" i="1"/>
  <c r="C699" i="1"/>
  <c r="C698" i="1"/>
  <c r="L697" i="1"/>
  <c r="L698" i="1" s="1"/>
  <c r="L699" i="1" s="1"/>
  <c r="L700" i="1" s="1"/>
  <c r="M463" i="1"/>
  <c r="C463" i="1"/>
  <c r="M462" i="1"/>
  <c r="M357" i="1"/>
  <c r="C357" i="1"/>
  <c r="M356" i="1"/>
  <c r="M348" i="1"/>
  <c r="E348" i="1"/>
  <c r="F348" i="1" s="1"/>
  <c r="C348" i="1"/>
  <c r="M347" i="1"/>
  <c r="C347" i="1"/>
  <c r="M343" i="1"/>
  <c r="C343" i="1"/>
  <c r="M342" i="1"/>
  <c r="M329" i="1"/>
  <c r="K841" i="1" l="1"/>
  <c r="K844" i="1" s="1"/>
  <c r="K847" i="1" s="1"/>
  <c r="K851" i="1" s="1"/>
  <c r="K803" i="1"/>
  <c r="K806" i="1" s="1"/>
  <c r="K809" i="1" s="1"/>
  <c r="K812" i="1" s="1"/>
  <c r="K815" i="1" s="1"/>
  <c r="K818" i="1" s="1"/>
  <c r="K821" i="1" s="1"/>
  <c r="K824" i="1" s="1"/>
  <c r="K827" i="1" s="1"/>
  <c r="K830" i="1" s="1"/>
  <c r="K834" i="1" s="1"/>
  <c r="K802" i="1"/>
  <c r="K805" i="1" s="1"/>
  <c r="K808" i="1" s="1"/>
  <c r="K811" i="1" s="1"/>
  <c r="K814" i="1" s="1"/>
  <c r="K817" i="1" s="1"/>
  <c r="K820" i="1" s="1"/>
  <c r="K823" i="1" s="1"/>
  <c r="K826" i="1" s="1"/>
  <c r="K829" i="1" s="1"/>
  <c r="K838" i="1"/>
  <c r="N835" i="1"/>
  <c r="K840" i="1"/>
  <c r="K843" i="1" s="1"/>
  <c r="K846" i="1" s="1"/>
  <c r="K849" i="1" s="1"/>
  <c r="K490" i="1"/>
  <c r="K493" i="1" s="1"/>
  <c r="K496" i="1" s="1"/>
  <c r="K499" i="1" s="1"/>
  <c r="K502" i="1" s="1"/>
  <c r="K505" i="1" s="1"/>
  <c r="K508" i="1" s="1"/>
  <c r="K511" i="1" s="1"/>
  <c r="K514" i="1" s="1"/>
  <c r="K523" i="1" s="1"/>
  <c r="K526" i="1" s="1"/>
  <c r="K529" i="1" s="1"/>
  <c r="K532" i="1" s="1"/>
  <c r="K534" i="1" s="1"/>
  <c r="K489" i="1"/>
  <c r="K492" i="1" s="1"/>
  <c r="K495" i="1" s="1"/>
  <c r="K498" i="1" s="1"/>
  <c r="K501" i="1" s="1"/>
  <c r="K504" i="1" s="1"/>
  <c r="K507" i="1" s="1"/>
  <c r="K510" i="1" s="1"/>
  <c r="K513" i="1" s="1"/>
  <c r="K516" i="1" s="1"/>
  <c r="K525" i="1" s="1"/>
  <c r="K528" i="1" s="1"/>
  <c r="K531" i="1" s="1"/>
  <c r="K535" i="1" s="1"/>
  <c r="L701" i="1"/>
  <c r="L703" i="1" s="1"/>
  <c r="L702" i="1"/>
  <c r="L343" i="1"/>
  <c r="N813" i="1"/>
  <c r="N94" i="1"/>
  <c r="E780" i="1"/>
  <c r="F780" i="1" s="1"/>
  <c r="C780" i="1"/>
  <c r="E728" i="1"/>
  <c r="F728" i="1" s="1"/>
  <c r="C728" i="1"/>
  <c r="M658" i="1"/>
  <c r="E658" i="1"/>
  <c r="F658" i="1" s="1"/>
  <c r="C658" i="1"/>
  <c r="M599" i="1"/>
  <c r="E599" i="1"/>
  <c r="F599" i="1" s="1"/>
  <c r="C599" i="1"/>
  <c r="M467" i="1"/>
  <c r="E467" i="1"/>
  <c r="F467" i="1" s="1"/>
  <c r="C467" i="1"/>
  <c r="E361" i="1"/>
  <c r="F361" i="1" s="1"/>
  <c r="C361" i="1"/>
  <c r="E282" i="1"/>
  <c r="F282" i="1" s="1"/>
  <c r="C282" i="1"/>
  <c r="M152" i="1"/>
  <c r="E152" i="1"/>
  <c r="F152" i="1" s="1"/>
  <c r="C152" i="1"/>
  <c r="M151" i="1"/>
  <c r="E151" i="1"/>
  <c r="F151" i="1" s="1"/>
  <c r="C151" i="1"/>
  <c r="C58" i="1"/>
  <c r="C57" i="1"/>
  <c r="E58" i="1"/>
  <c r="F58" i="1" s="1"/>
  <c r="E57" i="1"/>
  <c r="F57" i="1" s="1"/>
  <c r="M37" i="1"/>
  <c r="E37" i="1"/>
  <c r="F37" i="1" s="1"/>
  <c r="C37" i="1"/>
  <c r="M35" i="1"/>
  <c r="C35" i="1"/>
  <c r="M33" i="1"/>
  <c r="C33" i="1"/>
  <c r="M32" i="1"/>
  <c r="C32" i="1"/>
  <c r="M31" i="1"/>
  <c r="L31" i="1"/>
  <c r="L32" i="1" s="1"/>
  <c r="L33" i="1" s="1"/>
  <c r="M30" i="1"/>
  <c r="C171" i="1"/>
  <c r="M741" i="1"/>
  <c r="M667" i="1"/>
  <c r="M609" i="1"/>
  <c r="M538" i="1"/>
  <c r="M418" i="1"/>
  <c r="M292" i="1"/>
  <c r="M232" i="1"/>
  <c r="M161" i="1"/>
  <c r="M128" i="1"/>
  <c r="N499" i="1" l="1"/>
  <c r="N495" i="1"/>
  <c r="N809" i="1"/>
  <c r="K833" i="1"/>
  <c r="K836" i="1" s="1"/>
  <c r="K839" i="1"/>
  <c r="K842" i="1" s="1"/>
  <c r="K845" i="1" s="1"/>
  <c r="K848" i="1" s="1"/>
  <c r="K850" i="1" s="1"/>
  <c r="K837" i="1"/>
  <c r="N834" i="1"/>
  <c r="L35" i="1"/>
  <c r="L37" i="1" s="1"/>
  <c r="L34" i="1"/>
  <c r="L36" i="1" s="1"/>
  <c r="L344" i="1"/>
  <c r="L346" i="1"/>
  <c r="N814" i="1"/>
  <c r="N500" i="1"/>
  <c r="N95" i="1"/>
  <c r="C18" i="1"/>
  <c r="O14" i="1"/>
  <c r="P14" i="1" s="1"/>
  <c r="C14" i="1"/>
  <c r="O12" i="1"/>
  <c r="P12" i="1" s="1"/>
  <c r="M12" i="1"/>
  <c r="L12" i="1"/>
  <c r="L14" i="1" s="1"/>
  <c r="M11" i="1"/>
  <c r="L347" i="1" l="1"/>
  <c r="L348" i="1" s="1"/>
  <c r="L345" i="1"/>
  <c r="L15" i="1"/>
  <c r="L18" i="1" s="1"/>
  <c r="L17" i="1"/>
  <c r="N823" i="1"/>
  <c r="N508" i="1"/>
  <c r="N104" i="1"/>
  <c r="N12" i="1"/>
  <c r="Q12" i="1"/>
  <c r="Q14" i="1"/>
  <c r="N512" i="1" l="1"/>
  <c r="F786" i="1"/>
  <c r="E783" i="1"/>
  <c r="F783" i="1" s="1"/>
  <c r="C783" i="1"/>
  <c r="E782" i="1"/>
  <c r="F782" i="1" s="1"/>
  <c r="C782" i="1"/>
  <c r="C752" i="1"/>
  <c r="K740" i="1"/>
  <c r="K741" i="1" s="1"/>
  <c r="F734" i="1"/>
  <c r="E731" i="1"/>
  <c r="F731" i="1" s="1"/>
  <c r="C731" i="1"/>
  <c r="E730" i="1"/>
  <c r="F730" i="1" s="1"/>
  <c r="C730" i="1"/>
  <c r="C678" i="1"/>
  <c r="K666" i="1"/>
  <c r="M664" i="1"/>
  <c r="F664" i="1"/>
  <c r="M661" i="1"/>
  <c r="F661" i="1"/>
  <c r="M660" i="1"/>
  <c r="E660" i="1"/>
  <c r="F660" i="1" s="1"/>
  <c r="C660" i="1"/>
  <c r="M659" i="1"/>
  <c r="E659" i="1"/>
  <c r="F659" i="1" s="1"/>
  <c r="C659" i="1"/>
  <c r="M657" i="1"/>
  <c r="M641" i="1"/>
  <c r="C641" i="1"/>
  <c r="M640" i="1"/>
  <c r="C640" i="1"/>
  <c r="M638" i="1"/>
  <c r="M637" i="1"/>
  <c r="E637" i="1"/>
  <c r="F637" i="1" s="1"/>
  <c r="C637" i="1"/>
  <c r="M635" i="1"/>
  <c r="C635" i="1"/>
  <c r="M634" i="1"/>
  <c r="C634" i="1"/>
  <c r="M632" i="1"/>
  <c r="M631" i="1"/>
  <c r="E630" i="1"/>
  <c r="C630" i="1"/>
  <c r="B630" i="1"/>
  <c r="M630" i="1" s="1"/>
  <c r="C629" i="1"/>
  <c r="B629" i="1"/>
  <c r="M629" i="1" s="1"/>
  <c r="E628" i="1"/>
  <c r="C628" i="1"/>
  <c r="B628" i="1"/>
  <c r="M628" i="1" s="1"/>
  <c r="M626" i="1"/>
  <c r="C626" i="1"/>
  <c r="M625" i="1"/>
  <c r="M621" i="1"/>
  <c r="C621" i="1"/>
  <c r="M620" i="1"/>
  <c r="M619" i="1"/>
  <c r="C619" i="1"/>
  <c r="K608" i="1"/>
  <c r="M603" i="1"/>
  <c r="F603" i="1"/>
  <c r="M602" i="1"/>
  <c r="E602" i="1"/>
  <c r="F602" i="1" s="1"/>
  <c r="C602" i="1"/>
  <c r="M601" i="1"/>
  <c r="E601" i="1"/>
  <c r="F601" i="1" s="1"/>
  <c r="C601" i="1"/>
  <c r="M598" i="1"/>
  <c r="M570" i="1"/>
  <c r="C570" i="1"/>
  <c r="M569" i="1"/>
  <c r="C569" i="1"/>
  <c r="M567" i="1"/>
  <c r="M566" i="1"/>
  <c r="E566" i="1"/>
  <c r="F566" i="1" s="1"/>
  <c r="C566" i="1"/>
  <c r="M565" i="1"/>
  <c r="C565" i="1"/>
  <c r="M564" i="1"/>
  <c r="C564" i="1"/>
  <c r="M563" i="1"/>
  <c r="C563" i="1"/>
  <c r="M562" i="1"/>
  <c r="M561" i="1"/>
  <c r="E560" i="1"/>
  <c r="C560" i="1"/>
  <c r="M560" i="1"/>
  <c r="C559" i="1"/>
  <c r="M559" i="1"/>
  <c r="E558" i="1"/>
  <c r="C558" i="1"/>
  <c r="M558" i="1"/>
  <c r="M555" i="1"/>
  <c r="M554" i="1"/>
  <c r="M550" i="1"/>
  <c r="C550" i="1"/>
  <c r="M549" i="1"/>
  <c r="M548" i="1"/>
  <c r="C548" i="1"/>
  <c r="K537" i="1"/>
  <c r="M470" i="1"/>
  <c r="E470" i="1"/>
  <c r="F470" i="1" s="1"/>
  <c r="C470" i="1"/>
  <c r="M469" i="1"/>
  <c r="E469" i="1"/>
  <c r="F469" i="1" s="1"/>
  <c r="C469" i="1"/>
  <c r="M466" i="1"/>
  <c r="C429" i="1"/>
  <c r="K417" i="1"/>
  <c r="K418" i="1" s="1"/>
  <c r="F366" i="1"/>
  <c r="E363" i="1"/>
  <c r="F363" i="1" s="1"/>
  <c r="C363" i="1"/>
  <c r="E362" i="1"/>
  <c r="F362" i="1" s="1"/>
  <c r="C362" i="1"/>
  <c r="C312" i="1"/>
  <c r="C310" i="1"/>
  <c r="C303" i="1"/>
  <c r="K291" i="1"/>
  <c r="F289" i="1"/>
  <c r="F286" i="1"/>
  <c r="E285" i="1"/>
  <c r="F285" i="1" s="1"/>
  <c r="C285" i="1"/>
  <c r="E284" i="1"/>
  <c r="F284" i="1" s="1"/>
  <c r="C284" i="1"/>
  <c r="C265" i="1"/>
  <c r="C264" i="1"/>
  <c r="E261" i="1"/>
  <c r="F261" i="1" s="1"/>
  <c r="C261" i="1"/>
  <c r="C259" i="1"/>
  <c r="E254" i="1"/>
  <c r="C254" i="1"/>
  <c r="B254" i="1"/>
  <c r="M254" i="1" s="1"/>
  <c r="C253" i="1"/>
  <c r="B253" i="1"/>
  <c r="M253" i="1" s="1"/>
  <c r="E252" i="1"/>
  <c r="C252" i="1"/>
  <c r="B252" i="1"/>
  <c r="M252" i="1" s="1"/>
  <c r="C244" i="1"/>
  <c r="C242" i="1"/>
  <c r="K231" i="1"/>
  <c r="M193" i="1"/>
  <c r="C193" i="1"/>
  <c r="M192" i="1"/>
  <c r="C192" i="1"/>
  <c r="M190" i="1"/>
  <c r="M189" i="1"/>
  <c r="E189" i="1"/>
  <c r="F189" i="1" s="1"/>
  <c r="C189" i="1"/>
  <c r="M188" i="1"/>
  <c r="C188" i="1"/>
  <c r="M187" i="1"/>
  <c r="C187" i="1"/>
  <c r="M186" i="1"/>
  <c r="C186" i="1"/>
  <c r="M185" i="1"/>
  <c r="M184" i="1"/>
  <c r="E183" i="1"/>
  <c r="C183" i="1"/>
  <c r="B183" i="1"/>
  <c r="M183" i="1" s="1"/>
  <c r="C182" i="1"/>
  <c r="B182" i="1"/>
  <c r="M182" i="1" s="1"/>
  <c r="E181" i="1"/>
  <c r="C181" i="1"/>
  <c r="B181" i="1"/>
  <c r="M181" i="1" s="1"/>
  <c r="C179" i="1"/>
  <c r="C173" i="1"/>
  <c r="K160" i="1"/>
  <c r="M158" i="1"/>
  <c r="F158" i="1"/>
  <c r="M155" i="1"/>
  <c r="F155" i="1"/>
  <c r="M154" i="1"/>
  <c r="E154" i="1"/>
  <c r="F154" i="1" s="1"/>
  <c r="C154" i="1"/>
  <c r="M153" i="1"/>
  <c r="E153" i="1"/>
  <c r="F153" i="1" s="1"/>
  <c r="C153" i="1"/>
  <c r="E144" i="1"/>
  <c r="F144" i="1" s="1"/>
  <c r="C144" i="1"/>
  <c r="C143" i="1"/>
  <c r="C139" i="1"/>
  <c r="K127" i="1"/>
  <c r="M65" i="1"/>
  <c r="F65" i="1"/>
  <c r="M61" i="1"/>
  <c r="E61" i="1"/>
  <c r="F61" i="1" s="1"/>
  <c r="C61" i="1"/>
  <c r="M60" i="1"/>
  <c r="E60" i="1"/>
  <c r="F60" i="1" s="1"/>
  <c r="C60" i="1"/>
  <c r="M58" i="1"/>
  <c r="M57" i="1"/>
  <c r="M56" i="1"/>
  <c r="M29" i="1"/>
  <c r="C29" i="1"/>
  <c r="M28" i="1"/>
  <c r="C28" i="1"/>
  <c r="M27" i="1"/>
  <c r="C27" i="1"/>
  <c r="M26" i="1"/>
  <c r="C26" i="1"/>
  <c r="C25" i="1"/>
  <c r="C24" i="1"/>
  <c r="C21" i="1"/>
  <c r="O10" i="1"/>
  <c r="P10" i="1" s="1"/>
  <c r="K10" i="1"/>
  <c r="O9" i="1"/>
  <c r="P9" i="1" s="1"/>
  <c r="K742" i="1" l="1"/>
  <c r="K743" i="1" s="1"/>
  <c r="K744" i="1" s="1"/>
  <c r="K745" i="1" s="1"/>
  <c r="K746" i="1" s="1"/>
  <c r="K747" i="1" s="1"/>
  <c r="K748" i="1" s="1"/>
  <c r="K749" i="1" s="1"/>
  <c r="K750" i="1" s="1"/>
  <c r="K751" i="1" s="1"/>
  <c r="K752" i="1" s="1"/>
  <c r="K753" i="1" s="1"/>
  <c r="K754" i="1" s="1"/>
  <c r="K755" i="1" s="1"/>
  <c r="K756" i="1" s="1"/>
  <c r="K757" i="1" s="1"/>
  <c r="K758" i="1" s="1"/>
  <c r="K759" i="1" s="1"/>
  <c r="K760" i="1" s="1"/>
  <c r="K761" i="1" s="1"/>
  <c r="K762" i="1" s="1"/>
  <c r="K763" i="1" s="1"/>
  <c r="K764" i="1" s="1"/>
  <c r="K765" i="1" s="1"/>
  <c r="K766" i="1" s="1"/>
  <c r="K767" i="1" s="1"/>
  <c r="K768" i="1" s="1"/>
  <c r="K769" i="1" s="1"/>
  <c r="K770" i="1" s="1"/>
  <c r="K771" i="1" s="1"/>
  <c r="K772" i="1" s="1"/>
  <c r="K773" i="1" s="1"/>
  <c r="K774" i="1" s="1"/>
  <c r="K775" i="1" s="1"/>
  <c r="K776" i="1" s="1"/>
  <c r="K777" i="1" s="1"/>
  <c r="K778" i="1" s="1"/>
  <c r="K779" i="1" s="1"/>
  <c r="K780" i="1" s="1"/>
  <c r="K781" i="1" s="1"/>
  <c r="K782" i="1" s="1"/>
  <c r="K783" i="1" s="1"/>
  <c r="K784" i="1" s="1"/>
  <c r="K785" i="1" s="1"/>
  <c r="K786" i="1" s="1"/>
  <c r="K420" i="1"/>
  <c r="K419" i="1"/>
  <c r="K421" i="1" s="1"/>
  <c r="K424" i="1" s="1"/>
  <c r="K427" i="1" s="1"/>
  <c r="K430" i="1" s="1"/>
  <c r="K433" i="1" s="1"/>
  <c r="K436" i="1" s="1"/>
  <c r="K439" i="1" s="1"/>
  <c r="K442" i="1" s="1"/>
  <c r="K445" i="1" s="1"/>
  <c r="K448" i="1" s="1"/>
  <c r="K451" i="1" s="1"/>
  <c r="K454" i="1" s="1"/>
  <c r="K463" i="1" s="1"/>
  <c r="K466" i="1" s="1"/>
  <c r="K469" i="1" s="1"/>
  <c r="K472" i="1" s="1"/>
  <c r="N108" i="1"/>
  <c r="N828" i="1"/>
  <c r="N827" i="1"/>
  <c r="N513" i="1"/>
  <c r="N109" i="1"/>
  <c r="K667" i="1"/>
  <c r="K609" i="1"/>
  <c r="K538" i="1"/>
  <c r="F560" i="1"/>
  <c r="F628" i="1"/>
  <c r="F630" i="1"/>
  <c r="K232" i="1"/>
  <c r="K11" i="1"/>
  <c r="K12" i="1" s="1"/>
  <c r="K13" i="1" s="1"/>
  <c r="K14" i="1" s="1"/>
  <c r="K15" i="1" s="1"/>
  <c r="K16" i="1" s="1"/>
  <c r="K17" i="1" s="1"/>
  <c r="K18" i="1" s="1"/>
  <c r="K19" i="1" s="1"/>
  <c r="K20" i="1" s="1"/>
  <c r="K21" i="1" s="1"/>
  <c r="K22" i="1" s="1"/>
  <c r="K23" i="1" s="1"/>
  <c r="K24" i="1" s="1"/>
  <c r="K25" i="1" s="1"/>
  <c r="K26" i="1" s="1"/>
  <c r="K27" i="1" s="1"/>
  <c r="K28" i="1" s="1"/>
  <c r="K29" i="1" s="1"/>
  <c r="K30" i="1" s="1"/>
  <c r="K31" i="1" s="1"/>
  <c r="K32" i="1" s="1"/>
  <c r="K128" i="1"/>
  <c r="K161" i="1"/>
  <c r="K162" i="1" s="1"/>
  <c r="K163" i="1" s="1"/>
  <c r="K164" i="1" s="1"/>
  <c r="K165" i="1" s="1"/>
  <c r="K166" i="1" s="1"/>
  <c r="K167" i="1" s="1"/>
  <c r="K168" i="1" s="1"/>
  <c r="K169" i="1" s="1"/>
  <c r="K170" i="1" s="1"/>
  <c r="K171" i="1" s="1"/>
  <c r="K172" i="1" s="1"/>
  <c r="K173" i="1" s="1"/>
  <c r="K174" i="1" s="1"/>
  <c r="K175" i="1" s="1"/>
  <c r="K176" i="1" s="1"/>
  <c r="K177" i="1" s="1"/>
  <c r="K178" i="1" s="1"/>
  <c r="K179" i="1" s="1"/>
  <c r="K180" i="1" s="1"/>
  <c r="K181" i="1" s="1"/>
  <c r="K182" i="1" s="1"/>
  <c r="K183" i="1" s="1"/>
  <c r="K184" i="1" s="1"/>
  <c r="K185" i="1" s="1"/>
  <c r="K186" i="1" s="1"/>
  <c r="K187" i="1" s="1"/>
  <c r="K188" i="1" s="1"/>
  <c r="K189" i="1" s="1"/>
  <c r="K190" i="1" s="1"/>
  <c r="K191" i="1" s="1"/>
  <c r="K192" i="1" s="1"/>
  <c r="K193" i="1" s="1"/>
  <c r="K194" i="1" s="1"/>
  <c r="K212" i="1" s="1"/>
  <c r="K213" i="1" s="1"/>
  <c r="K214" i="1" s="1"/>
  <c r="K215" i="1" s="1"/>
  <c r="K216" i="1" s="1"/>
  <c r="K217" i="1" s="1"/>
  <c r="K218" i="1" s="1"/>
  <c r="K219" i="1" s="1"/>
  <c r="K220" i="1" s="1"/>
  <c r="K221" i="1" s="1"/>
  <c r="K222" i="1" s="1"/>
  <c r="K223" i="1" s="1"/>
  <c r="K224" i="1" s="1"/>
  <c r="F252" i="1"/>
  <c r="F181" i="1"/>
  <c r="F183" i="1"/>
  <c r="F254" i="1"/>
  <c r="K292" i="1"/>
  <c r="F558" i="1"/>
  <c r="Q10" i="1"/>
  <c r="N9" i="1"/>
  <c r="N10" i="1"/>
  <c r="Q9" i="1"/>
  <c r="K225" i="1" l="1"/>
  <c r="K226" i="1" s="1"/>
  <c r="K228" i="1" s="1"/>
  <c r="K229" i="1" s="1"/>
  <c r="K227" i="1"/>
  <c r="K33" i="1"/>
  <c r="N744" i="1"/>
  <c r="N743" i="1"/>
  <c r="K669" i="1"/>
  <c r="K668" i="1"/>
  <c r="K670" i="1" s="1"/>
  <c r="K611" i="1"/>
  <c r="K610" i="1"/>
  <c r="K612" i="1" s="1"/>
  <c r="K540" i="1"/>
  <c r="K539" i="1"/>
  <c r="K541" i="1" s="1"/>
  <c r="K422" i="1"/>
  <c r="K425" i="1" s="1"/>
  <c r="K428" i="1" s="1"/>
  <c r="K431" i="1" s="1"/>
  <c r="K434" i="1" s="1"/>
  <c r="K437" i="1" s="1"/>
  <c r="K440" i="1" s="1"/>
  <c r="K443" i="1" s="1"/>
  <c r="K446" i="1" s="1"/>
  <c r="K449" i="1" s="1"/>
  <c r="K452" i="1" s="1"/>
  <c r="K455" i="1" s="1"/>
  <c r="K464" i="1" s="1"/>
  <c r="K467" i="1" s="1"/>
  <c r="K470" i="1" s="1"/>
  <c r="K473" i="1" s="1"/>
  <c r="N421" i="1"/>
  <c r="K423" i="1"/>
  <c r="N420" i="1"/>
  <c r="K294" i="1"/>
  <c r="K296" i="1" s="1"/>
  <c r="K298" i="1" s="1"/>
  <c r="K300" i="1" s="1"/>
  <c r="K302" i="1" s="1"/>
  <c r="K304" i="1" s="1"/>
  <c r="K306" i="1" s="1"/>
  <c r="K308" i="1" s="1"/>
  <c r="K310" i="1" s="1"/>
  <c r="K312" i="1" s="1"/>
  <c r="K314" i="1" s="1"/>
  <c r="K316" i="1" s="1"/>
  <c r="K318" i="1" s="1"/>
  <c r="K320" i="1" s="1"/>
  <c r="K322" i="1" s="1"/>
  <c r="K324" i="1" s="1"/>
  <c r="K326" i="1" s="1"/>
  <c r="K328" i="1" s="1"/>
  <c r="K293" i="1"/>
  <c r="K295" i="1" s="1"/>
  <c r="K297" i="1" s="1"/>
  <c r="K299" i="1" s="1"/>
  <c r="K301" i="1" s="1"/>
  <c r="K303" i="1" s="1"/>
  <c r="K305" i="1" s="1"/>
  <c r="K307" i="1" s="1"/>
  <c r="K309" i="1" s="1"/>
  <c r="K311" i="1" s="1"/>
  <c r="K313" i="1" s="1"/>
  <c r="K315" i="1" s="1"/>
  <c r="K317" i="1" s="1"/>
  <c r="K319" i="1" s="1"/>
  <c r="K321" i="1" s="1"/>
  <c r="K323" i="1" s="1"/>
  <c r="K325" i="1" s="1"/>
  <c r="K327" i="1" s="1"/>
  <c r="K329" i="1" s="1"/>
  <c r="K234" i="1"/>
  <c r="K236" i="1" s="1"/>
  <c r="K238" i="1" s="1"/>
  <c r="K240" i="1" s="1"/>
  <c r="K242" i="1" s="1"/>
  <c r="K244" i="1" s="1"/>
  <c r="K246" i="1" s="1"/>
  <c r="K248" i="1" s="1"/>
  <c r="K250" i="1" s="1"/>
  <c r="K252" i="1" s="1"/>
  <c r="K254" i="1" s="1"/>
  <c r="K256" i="1" s="1"/>
  <c r="K258" i="1" s="1"/>
  <c r="K260" i="1" s="1"/>
  <c r="K262" i="1" s="1"/>
  <c r="K264" i="1" s="1"/>
  <c r="K266" i="1" s="1"/>
  <c r="K274" i="1" s="1"/>
  <c r="K276" i="1" s="1"/>
  <c r="K278" i="1" s="1"/>
  <c r="K280" i="1" s="1"/>
  <c r="K282" i="1" s="1"/>
  <c r="K284" i="1" s="1"/>
  <c r="K286" i="1" s="1"/>
  <c r="K288" i="1" s="1"/>
  <c r="K233" i="1"/>
  <c r="K235" i="1" s="1"/>
  <c r="K237" i="1" s="1"/>
  <c r="K239" i="1" s="1"/>
  <c r="K241" i="1" s="1"/>
  <c r="K243" i="1" s="1"/>
  <c r="K245" i="1" s="1"/>
  <c r="K247" i="1" s="1"/>
  <c r="K249" i="1" s="1"/>
  <c r="K251" i="1" s="1"/>
  <c r="K253" i="1" s="1"/>
  <c r="K255" i="1" s="1"/>
  <c r="K257" i="1" s="1"/>
  <c r="K259" i="1" s="1"/>
  <c r="K261" i="1" s="1"/>
  <c r="K263" i="1" s="1"/>
  <c r="K265" i="1" s="1"/>
  <c r="K273" i="1" s="1"/>
  <c r="K275" i="1" s="1"/>
  <c r="K277" i="1" s="1"/>
  <c r="K279" i="1" s="1"/>
  <c r="K281" i="1" s="1"/>
  <c r="K283" i="1" s="1"/>
  <c r="K285" i="1" s="1"/>
  <c r="K287" i="1" s="1"/>
  <c r="K289" i="1" s="1"/>
  <c r="K129" i="1"/>
  <c r="K131" i="1" s="1"/>
  <c r="K130" i="1"/>
  <c r="N829" i="1"/>
  <c r="K342" i="1" l="1"/>
  <c r="K344" i="1" s="1"/>
  <c r="K346" i="1" s="1"/>
  <c r="K348" i="1" s="1"/>
  <c r="K356" i="1" s="1"/>
  <c r="K358" i="1" s="1"/>
  <c r="K360" i="1" s="1"/>
  <c r="K362" i="1" s="1"/>
  <c r="K364" i="1" s="1"/>
  <c r="K366" i="1" s="1"/>
  <c r="K330" i="1"/>
  <c r="K332" i="1" s="1"/>
  <c r="K334" i="1" s="1"/>
  <c r="K336" i="1" s="1"/>
  <c r="K338" i="1" s="1"/>
  <c r="K340" i="1" s="1"/>
  <c r="K343" i="1"/>
  <c r="K345" i="1" s="1"/>
  <c r="K347" i="1" s="1"/>
  <c r="K349" i="1" s="1"/>
  <c r="K357" i="1" s="1"/>
  <c r="K359" i="1" s="1"/>
  <c r="K361" i="1" s="1"/>
  <c r="K363" i="1" s="1"/>
  <c r="K365" i="1" s="1"/>
  <c r="K331" i="1"/>
  <c r="N771" i="1"/>
  <c r="K35" i="1"/>
  <c r="K37" i="1" s="1"/>
  <c r="K34" i="1"/>
  <c r="K36" i="1" s="1"/>
  <c r="N746" i="1"/>
  <c r="N423" i="1"/>
  <c r="K426" i="1"/>
  <c r="K429" i="1" s="1"/>
  <c r="K673" i="1"/>
  <c r="K676" i="1" s="1"/>
  <c r="K679" i="1" s="1"/>
  <c r="K682" i="1" s="1"/>
  <c r="K686" i="1" s="1"/>
  <c r="K689" i="1" s="1"/>
  <c r="K671" i="1"/>
  <c r="K674" i="1" s="1"/>
  <c r="K677" i="1" s="1"/>
  <c r="K680" i="1" s="1"/>
  <c r="N670" i="1"/>
  <c r="K672" i="1"/>
  <c r="N669" i="1"/>
  <c r="N21" i="1"/>
  <c r="K615" i="1"/>
  <c r="K618" i="1" s="1"/>
  <c r="K621" i="1" s="1"/>
  <c r="K624" i="1" s="1"/>
  <c r="K627" i="1" s="1"/>
  <c r="K630" i="1" s="1"/>
  <c r="K633" i="1" s="1"/>
  <c r="K636" i="1" s="1"/>
  <c r="K639" i="1" s="1"/>
  <c r="K642" i="1" s="1"/>
  <c r="K645" i="1" s="1"/>
  <c r="K613" i="1"/>
  <c r="K616" i="1" s="1"/>
  <c r="K619" i="1" s="1"/>
  <c r="K622" i="1" s="1"/>
  <c r="K625" i="1" s="1"/>
  <c r="K628" i="1" s="1"/>
  <c r="K631" i="1" s="1"/>
  <c r="K634" i="1" s="1"/>
  <c r="K637" i="1" s="1"/>
  <c r="K640" i="1" s="1"/>
  <c r="K643" i="1" s="1"/>
  <c r="K646" i="1" s="1"/>
  <c r="K649" i="1" s="1"/>
  <c r="K652" i="1" s="1"/>
  <c r="K655" i="1" s="1"/>
  <c r="K658" i="1" s="1"/>
  <c r="K661" i="1" s="1"/>
  <c r="K664" i="1" s="1"/>
  <c r="N612" i="1"/>
  <c r="K614" i="1"/>
  <c r="N611" i="1"/>
  <c r="K544" i="1"/>
  <c r="K547" i="1" s="1"/>
  <c r="K550" i="1" s="1"/>
  <c r="K553" i="1" s="1"/>
  <c r="K556" i="1" s="1"/>
  <c r="K559" i="1" s="1"/>
  <c r="K562" i="1" s="1"/>
  <c r="K565" i="1" s="1"/>
  <c r="K568" i="1" s="1"/>
  <c r="K571" i="1" s="1"/>
  <c r="K591" i="1" s="1"/>
  <c r="K594" i="1" s="1"/>
  <c r="K597" i="1" s="1"/>
  <c r="K600" i="1" s="1"/>
  <c r="K603" i="1" s="1"/>
  <c r="K606" i="1" s="1"/>
  <c r="K542" i="1"/>
  <c r="K545" i="1" s="1"/>
  <c r="K548" i="1" s="1"/>
  <c r="K551" i="1" s="1"/>
  <c r="K554" i="1" s="1"/>
  <c r="K557" i="1" s="1"/>
  <c r="K560" i="1" s="1"/>
  <c r="K563" i="1" s="1"/>
  <c r="K566" i="1" s="1"/>
  <c r="K569" i="1" s="1"/>
  <c r="K589" i="1" s="1"/>
  <c r="K592" i="1" s="1"/>
  <c r="K595" i="1" s="1"/>
  <c r="K598" i="1" s="1"/>
  <c r="K601" i="1" s="1"/>
  <c r="K604" i="1" s="1"/>
  <c r="N541" i="1"/>
  <c r="K543" i="1"/>
  <c r="N540" i="1"/>
  <c r="N14" i="1"/>
  <c r="N295" i="1"/>
  <c r="N297" i="1"/>
  <c r="N294" i="1"/>
  <c r="N235" i="1"/>
  <c r="N234" i="1"/>
  <c r="N164" i="1"/>
  <c r="N163" i="1"/>
  <c r="N130" i="1"/>
  <c r="K132" i="1"/>
  <c r="K133" i="1" s="1"/>
  <c r="K134" i="1" s="1"/>
  <c r="K135" i="1" s="1"/>
  <c r="K136" i="1" s="1"/>
  <c r="K137" i="1" s="1"/>
  <c r="K138" i="1" s="1"/>
  <c r="K139" i="1" s="1"/>
  <c r="N131" i="1"/>
  <c r="N13" i="1"/>
  <c r="N16" i="1"/>
  <c r="N24" i="1"/>
  <c r="N524" i="1"/>
  <c r="N526" i="1"/>
  <c r="K693" i="1" l="1"/>
  <c r="K696" i="1" s="1"/>
  <c r="K699" i="1" s="1"/>
  <c r="K702" i="1" s="1"/>
  <c r="K717" i="1" s="1"/>
  <c r="K720" i="1" s="1"/>
  <c r="K723" i="1" s="1"/>
  <c r="K726" i="1" s="1"/>
  <c r="K729" i="1" s="1"/>
  <c r="K732" i="1" s="1"/>
  <c r="K735" i="1" s="1"/>
  <c r="K737" i="1" s="1"/>
  <c r="N737" i="1" s="1"/>
  <c r="K704" i="1"/>
  <c r="K371" i="1"/>
  <c r="K367" i="1"/>
  <c r="K369" i="1" s="1"/>
  <c r="N369" i="1" s="1"/>
  <c r="K368" i="1"/>
  <c r="K370" i="1" s="1"/>
  <c r="N370" i="1" s="1"/>
  <c r="K333" i="1"/>
  <c r="K335" i="1" s="1"/>
  <c r="K337" i="1" s="1"/>
  <c r="N331" i="1"/>
  <c r="K39" i="1"/>
  <c r="K41" i="1" s="1"/>
  <c r="K43" i="1" s="1"/>
  <c r="K45" i="1" s="1"/>
  <c r="K47" i="1" s="1"/>
  <c r="K49" i="1" s="1"/>
  <c r="K38" i="1"/>
  <c r="K50" i="1"/>
  <c r="K51" i="1" s="1"/>
  <c r="K52" i="1" s="1"/>
  <c r="K53" i="1" s="1"/>
  <c r="K54" i="1" s="1"/>
  <c r="K55" i="1" s="1"/>
  <c r="K56" i="1" s="1"/>
  <c r="K57" i="1" s="1"/>
  <c r="K58" i="1" s="1"/>
  <c r="K59" i="1" s="1"/>
  <c r="K60" i="1" s="1"/>
  <c r="K61" i="1" s="1"/>
  <c r="K62" i="1" s="1"/>
  <c r="K63" i="1" s="1"/>
  <c r="K64" i="1" s="1"/>
  <c r="K40" i="1"/>
  <c r="K684" i="1"/>
  <c r="K687" i="1" s="1"/>
  <c r="K683" i="1"/>
  <c r="K648" i="1"/>
  <c r="K651" i="1" s="1"/>
  <c r="K654" i="1" s="1"/>
  <c r="K657" i="1" s="1"/>
  <c r="K660" i="1" s="1"/>
  <c r="K663" i="1" s="1"/>
  <c r="N645" i="1"/>
  <c r="N250" i="1"/>
  <c r="N173" i="1"/>
  <c r="N752" i="1"/>
  <c r="N672" i="1"/>
  <c r="K675" i="1"/>
  <c r="K678" i="1" s="1"/>
  <c r="K681" i="1" s="1"/>
  <c r="K685" i="1" s="1"/>
  <c r="K688" i="1" s="1"/>
  <c r="K692" i="1" s="1"/>
  <c r="K695" i="1" s="1"/>
  <c r="K698" i="1" s="1"/>
  <c r="K701" i="1" s="1"/>
  <c r="K716" i="1" s="1"/>
  <c r="K719" i="1" s="1"/>
  <c r="K722" i="1" s="1"/>
  <c r="K725" i="1" s="1"/>
  <c r="K728" i="1" s="1"/>
  <c r="K731" i="1" s="1"/>
  <c r="K734" i="1" s="1"/>
  <c r="N133" i="1"/>
  <c r="N621" i="1"/>
  <c r="N614" i="1"/>
  <c r="K617" i="1"/>
  <c r="K620" i="1" s="1"/>
  <c r="K623" i="1" s="1"/>
  <c r="K626" i="1" s="1"/>
  <c r="K629" i="1" s="1"/>
  <c r="K632" i="1" s="1"/>
  <c r="K635" i="1" s="1"/>
  <c r="K638" i="1" s="1"/>
  <c r="K641" i="1" s="1"/>
  <c r="K644" i="1" s="1"/>
  <c r="N550" i="1"/>
  <c r="N543" i="1"/>
  <c r="K546" i="1"/>
  <c r="K549" i="1" s="1"/>
  <c r="K552" i="1" s="1"/>
  <c r="K555" i="1" s="1"/>
  <c r="K558" i="1" s="1"/>
  <c r="K561" i="1" s="1"/>
  <c r="K564" i="1" s="1"/>
  <c r="K567" i="1" s="1"/>
  <c r="K570" i="1" s="1"/>
  <c r="K590" i="1" s="1"/>
  <c r="K593" i="1" s="1"/>
  <c r="K596" i="1" s="1"/>
  <c r="K599" i="1" s="1"/>
  <c r="K602" i="1" s="1"/>
  <c r="K605" i="1" s="1"/>
  <c r="K432" i="1"/>
  <c r="K435" i="1" s="1"/>
  <c r="K438" i="1" s="1"/>
  <c r="K441" i="1" s="1"/>
  <c r="K444" i="1" s="1"/>
  <c r="K447" i="1" s="1"/>
  <c r="K450" i="1" s="1"/>
  <c r="K453" i="1" s="1"/>
  <c r="K462" i="1" s="1"/>
  <c r="K465" i="1" s="1"/>
  <c r="K468" i="1" s="1"/>
  <c r="K471" i="1" s="1"/>
  <c r="N429" i="1"/>
  <c r="N237" i="1"/>
  <c r="N244" i="1"/>
  <c r="N166" i="1"/>
  <c r="K140" i="1"/>
  <c r="K141" i="1" s="1"/>
  <c r="K142" i="1" s="1"/>
  <c r="K143" i="1" s="1"/>
  <c r="K144" i="1" s="1"/>
  <c r="K145" i="1" s="1"/>
  <c r="K146" i="1" s="1"/>
  <c r="K147" i="1" s="1"/>
  <c r="K148" i="1" s="1"/>
  <c r="K149" i="1" s="1"/>
  <c r="K150" i="1" s="1"/>
  <c r="K151" i="1" s="1"/>
  <c r="K152" i="1" s="1"/>
  <c r="K153" i="1" s="1"/>
  <c r="K154" i="1" s="1"/>
  <c r="K155" i="1" s="1"/>
  <c r="N139" i="1"/>
  <c r="N303" i="1"/>
  <c r="N114" i="1"/>
  <c r="N25" i="1"/>
  <c r="N553" i="1"/>
  <c r="N247" i="1"/>
  <c r="N176" i="1"/>
  <c r="K705" i="1" l="1"/>
  <c r="K707" i="1" s="1"/>
  <c r="K709" i="1" s="1"/>
  <c r="K711" i="1" s="1"/>
  <c r="K713" i="1" s="1"/>
  <c r="K715" i="1" s="1"/>
  <c r="K690" i="1"/>
  <c r="K694" i="1" s="1"/>
  <c r="K697" i="1" s="1"/>
  <c r="K700" i="1" s="1"/>
  <c r="K703" i="1" s="1"/>
  <c r="K691" i="1"/>
  <c r="N691" i="1" s="1"/>
  <c r="K339" i="1"/>
  <c r="K341" i="1" s="1"/>
  <c r="N337" i="1"/>
  <c r="K65" i="1"/>
  <c r="K67" i="1" s="1"/>
  <c r="K69" i="1" s="1"/>
  <c r="N69" i="1" s="1"/>
  <c r="K66" i="1"/>
  <c r="K68" i="1" s="1"/>
  <c r="N68" i="1" s="1"/>
  <c r="K42" i="1"/>
  <c r="K44" i="1" s="1"/>
  <c r="K46" i="1" s="1"/>
  <c r="N40" i="1"/>
  <c r="N755" i="1"/>
  <c r="K647" i="1"/>
  <c r="K650" i="1" s="1"/>
  <c r="K653" i="1" s="1"/>
  <c r="K656" i="1" s="1"/>
  <c r="K659" i="1" s="1"/>
  <c r="K662" i="1" s="1"/>
  <c r="N644" i="1"/>
  <c r="N623" i="1"/>
  <c r="N449" i="1"/>
  <c r="N626" i="1"/>
  <c r="N627" i="1"/>
  <c r="N556" i="1"/>
  <c r="N179" i="1"/>
  <c r="N180" i="1"/>
  <c r="N251" i="1"/>
  <c r="N678" i="1"/>
  <c r="N142" i="1"/>
  <c r="N143" i="1"/>
  <c r="K156" i="1"/>
  <c r="K158" i="1" s="1"/>
  <c r="K157" i="1"/>
  <c r="N840" i="1"/>
  <c r="N759" i="1"/>
  <c r="N634" i="1"/>
  <c r="N432" i="1"/>
  <c r="N116" i="1"/>
  <c r="N843" i="1"/>
  <c r="N26" i="1"/>
  <c r="K718" i="1" l="1"/>
  <c r="K706" i="1"/>
  <c r="K48" i="1"/>
  <c r="N46" i="1"/>
  <c r="N770" i="1"/>
  <c r="N719" i="1"/>
  <c r="N450" i="1"/>
  <c r="N557" i="1"/>
  <c r="N681" i="1"/>
  <c r="N186" i="1"/>
  <c r="N633" i="1"/>
  <c r="N307" i="1"/>
  <c r="N306" i="1"/>
  <c r="N760" i="1"/>
  <c r="N564" i="1"/>
  <c r="N635" i="1"/>
  <c r="N563" i="1"/>
  <c r="N436" i="1"/>
  <c r="N310" i="1"/>
  <c r="N147" i="1"/>
  <c r="N698" i="1"/>
  <c r="N311" i="1"/>
  <c r="N27" i="1"/>
  <c r="N699" i="1"/>
  <c r="N187" i="1"/>
  <c r="K708" i="1" l="1"/>
  <c r="K710" i="1" s="1"/>
  <c r="K712" i="1" s="1"/>
  <c r="N706" i="1"/>
  <c r="K721" i="1"/>
  <c r="K724" i="1" s="1"/>
  <c r="K727" i="1" s="1"/>
  <c r="K730" i="1" s="1"/>
  <c r="K733" i="1" s="1"/>
  <c r="K736" i="1" s="1"/>
  <c r="K738" i="1" s="1"/>
  <c r="N738" i="1" s="1"/>
  <c r="N718" i="1"/>
  <c r="N258" i="1"/>
  <c r="N640" i="1"/>
  <c r="N776" i="1"/>
  <c r="N765" i="1"/>
  <c r="N685" i="1"/>
  <c r="N437" i="1"/>
  <c r="N316" i="1"/>
  <c r="N149" i="1"/>
  <c r="N565" i="1"/>
  <c r="N641" i="1"/>
  <c r="N28" i="1"/>
  <c r="N188" i="1"/>
  <c r="K714" i="1" l="1"/>
  <c r="N712" i="1"/>
  <c r="N778" i="1"/>
  <c r="N686" i="1"/>
  <c r="N317" i="1"/>
  <c r="N32" i="1"/>
  <c r="N724" i="1"/>
  <c r="N192" i="1"/>
  <c r="N726" i="1" l="1"/>
  <c r="N442" i="1"/>
  <c r="N318" i="1"/>
  <c r="N323" i="1"/>
  <c r="N193" i="1"/>
  <c r="N654" i="1"/>
  <c r="N656" i="1"/>
  <c r="N569" i="1"/>
  <c r="N443" i="1" l="1"/>
  <c r="N33" i="1"/>
  <c r="N324" i="1"/>
  <c r="N570" i="1"/>
  <c r="N692" i="1" l="1"/>
  <c r="N444" i="1"/>
  <c r="N594" i="1"/>
  <c r="N217" i="1"/>
  <c r="N693" i="1" l="1"/>
  <c r="N257" i="1"/>
  <c r="N343" i="1"/>
  <c r="N52" i="1"/>
  <c r="N55" i="1"/>
  <c r="N344" i="1"/>
  <c r="N597" i="1"/>
  <c r="N174" i="1"/>
  <c r="N551" i="1" l="1"/>
  <c r="N259" i="1"/>
  <c r="N260" i="1"/>
  <c r="N220" i="1"/>
  <c r="M2075" i="1"/>
  <c r="F2075" i="1"/>
  <c r="M2322" i="1"/>
  <c r="F2322" i="1"/>
  <c r="M2364" i="1"/>
  <c r="F2364" i="1"/>
  <c r="F1979" i="1"/>
  <c r="F2019" i="1"/>
  <c r="N463" i="1" l="1"/>
  <c r="N465" i="1"/>
  <c r="N264" i="1"/>
  <c r="N357" i="1" l="1"/>
  <c r="N265" i="1"/>
  <c r="M2361" i="1"/>
  <c r="E2361" i="1"/>
  <c r="F2361" i="1" s="1"/>
  <c r="C2361" i="1"/>
  <c r="M2360" i="1"/>
  <c r="E2360" i="1"/>
  <c r="F2360" i="1" s="1"/>
  <c r="C2360" i="1"/>
  <c r="M2358" i="1"/>
  <c r="E2358" i="1"/>
  <c r="F2358" i="1" s="1"/>
  <c r="C2358" i="1"/>
  <c r="M2357" i="1"/>
  <c r="E2357" i="1"/>
  <c r="F2357" i="1" s="1"/>
  <c r="C2357" i="1"/>
  <c r="M2356" i="1"/>
  <c r="M2353" i="1"/>
  <c r="C2353" i="1"/>
  <c r="M2352" i="1"/>
  <c r="M2345" i="1"/>
  <c r="M2326" i="1"/>
  <c r="C2326" i="1"/>
  <c r="M2325" i="1"/>
  <c r="C2325" i="1"/>
  <c r="M2324" i="1"/>
  <c r="M2323" i="1"/>
  <c r="M2344" i="1"/>
  <c r="F2344" i="1"/>
  <c r="M2343" i="1"/>
  <c r="E2343" i="1"/>
  <c r="F2343" i="1" s="1"/>
  <c r="C2343" i="1"/>
  <c r="M2342" i="1"/>
  <c r="C2342" i="1"/>
  <c r="M2341" i="1"/>
  <c r="C2341" i="1"/>
  <c r="M2338" i="1"/>
  <c r="M2337" i="1"/>
  <c r="M2336" i="1"/>
  <c r="E2336" i="1"/>
  <c r="F2336" i="1" s="1"/>
  <c r="C2336" i="1"/>
  <c r="M2335" i="1"/>
  <c r="C2335" i="1"/>
  <c r="M2334" i="1"/>
  <c r="L2334" i="1"/>
  <c r="L2335" i="1" s="1"/>
  <c r="L2336" i="1" s="1"/>
  <c r="M2333" i="1"/>
  <c r="M2332" i="1"/>
  <c r="M2331" i="1"/>
  <c r="M2330" i="1"/>
  <c r="E2330" i="1"/>
  <c r="F2330" i="1" s="1"/>
  <c r="C2330" i="1"/>
  <c r="M2329" i="1"/>
  <c r="M2328" i="1"/>
  <c r="M2327" i="1"/>
  <c r="M2321" i="1"/>
  <c r="C2321" i="1"/>
  <c r="M2320" i="1"/>
  <c r="M2319" i="1"/>
  <c r="M2318" i="1"/>
  <c r="E2318" i="1"/>
  <c r="F2318" i="1" s="1"/>
  <c r="C2318" i="1"/>
  <c r="M2317" i="1"/>
  <c r="M2316" i="1"/>
  <c r="M2315" i="1"/>
  <c r="M2313" i="1"/>
  <c r="M2312" i="1"/>
  <c r="M2311" i="1"/>
  <c r="C2311" i="1"/>
  <c r="M2301" i="1"/>
  <c r="K2300" i="1"/>
  <c r="K2301" i="1" s="1"/>
  <c r="F2298" i="1"/>
  <c r="E2295" i="1"/>
  <c r="F2295" i="1" s="1"/>
  <c r="C2295" i="1"/>
  <c r="E2294" i="1"/>
  <c r="F2294" i="1" s="1"/>
  <c r="C2294" i="1"/>
  <c r="E2292" i="1"/>
  <c r="F2292" i="1" s="1"/>
  <c r="C2292" i="1"/>
  <c r="C2288" i="1"/>
  <c r="C2252" i="1"/>
  <c r="M2241" i="1"/>
  <c r="K2240" i="1"/>
  <c r="K2241" i="1" s="1"/>
  <c r="K2302" i="1" l="1"/>
  <c r="K2304" i="1" s="1"/>
  <c r="K2303" i="1"/>
  <c r="K2243" i="1"/>
  <c r="K2242" i="1"/>
  <c r="K2244" i="1" s="1"/>
  <c r="K2247" i="1" s="1"/>
  <c r="K2250" i="1" s="1"/>
  <c r="K2253" i="1" s="1"/>
  <c r="K2256" i="1" s="1"/>
  <c r="K2260" i="1" s="1"/>
  <c r="K2263" i="1" s="1"/>
  <c r="K2266" i="1" s="1"/>
  <c r="K2269" i="1" s="1"/>
  <c r="K2272" i="1" s="1"/>
  <c r="K2275" i="1" s="1"/>
  <c r="K2278" i="1" s="1"/>
  <c r="K2281" i="1" s="1"/>
  <c r="K2284" i="1" s="1"/>
  <c r="K2287" i="1" s="1"/>
  <c r="K2290" i="1" s="1"/>
  <c r="K2293" i="1" s="1"/>
  <c r="K2296" i="1" s="1"/>
  <c r="N359" i="1"/>
  <c r="M2219" i="1"/>
  <c r="F2219" i="1"/>
  <c r="M2216" i="1"/>
  <c r="E2216" i="1"/>
  <c r="F2216" i="1" s="1"/>
  <c r="C2216" i="1"/>
  <c r="M2215" i="1"/>
  <c r="E2215" i="1"/>
  <c r="F2215" i="1" s="1"/>
  <c r="C2215" i="1"/>
  <c r="M2213" i="1"/>
  <c r="E2213" i="1"/>
  <c r="F2213" i="1" s="1"/>
  <c r="C2213" i="1"/>
  <c r="M2212" i="1"/>
  <c r="M2209" i="1"/>
  <c r="C2209" i="1"/>
  <c r="M2208" i="1"/>
  <c r="M2154" i="1"/>
  <c r="M2153" i="1"/>
  <c r="C2153" i="1"/>
  <c r="M2152" i="1"/>
  <c r="M2142" i="1"/>
  <c r="K2141" i="1"/>
  <c r="K2142" i="1" s="1"/>
  <c r="M2139" i="1"/>
  <c r="F2139" i="1"/>
  <c r="M2136" i="1"/>
  <c r="F2136" i="1"/>
  <c r="M2135" i="1"/>
  <c r="E2135" i="1"/>
  <c r="F2135" i="1" s="1"/>
  <c r="C2135" i="1"/>
  <c r="M2134" i="1"/>
  <c r="E2134" i="1"/>
  <c r="F2134" i="1" s="1"/>
  <c r="C2134" i="1"/>
  <c r="M2132" i="1"/>
  <c r="E2132" i="1"/>
  <c r="F2132" i="1" s="1"/>
  <c r="C2132" i="1"/>
  <c r="M2131" i="1"/>
  <c r="M2128" i="1"/>
  <c r="C2128" i="1"/>
  <c r="M2127" i="1"/>
  <c r="M2126" i="1"/>
  <c r="M2125" i="1"/>
  <c r="C2125" i="1"/>
  <c r="M2124" i="1"/>
  <c r="C2124" i="1"/>
  <c r="M2123" i="1"/>
  <c r="M2115" i="1"/>
  <c r="C2115" i="1"/>
  <c r="M2114" i="1"/>
  <c r="C2114" i="1"/>
  <c r="M2113" i="1"/>
  <c r="M2112" i="1"/>
  <c r="M2111" i="1"/>
  <c r="E2111" i="1"/>
  <c r="F2111" i="1" s="1"/>
  <c r="C2111" i="1"/>
  <c r="M2109" i="1"/>
  <c r="C2109" i="1"/>
  <c r="M2108" i="1"/>
  <c r="C2108" i="1"/>
  <c r="M2106" i="1"/>
  <c r="M2105" i="1"/>
  <c r="E2104" i="1"/>
  <c r="C2104" i="1"/>
  <c r="B2104" i="1"/>
  <c r="M2104" i="1" s="1"/>
  <c r="C2103" i="1"/>
  <c r="B2103" i="1"/>
  <c r="M2103" i="1" s="1"/>
  <c r="E2102" i="1"/>
  <c r="C2102" i="1"/>
  <c r="B2102" i="1"/>
  <c r="M2102" i="1" s="1"/>
  <c r="M2100" i="1"/>
  <c r="C2100" i="1"/>
  <c r="M2099" i="1"/>
  <c r="M2098" i="1"/>
  <c r="M2097" i="1"/>
  <c r="C2097" i="1"/>
  <c r="M2096" i="1"/>
  <c r="M2094" i="1"/>
  <c r="C2094" i="1"/>
  <c r="M2093" i="1"/>
  <c r="M2092" i="1"/>
  <c r="M2091" i="1"/>
  <c r="C2091" i="1"/>
  <c r="M2081" i="1"/>
  <c r="K2080" i="1"/>
  <c r="K2081" i="1" s="1"/>
  <c r="M2078" i="1"/>
  <c r="F2078" i="1"/>
  <c r="M2074" i="1"/>
  <c r="E2074" i="1"/>
  <c r="F2074" i="1" s="1"/>
  <c r="C2074" i="1"/>
  <c r="M2073" i="1"/>
  <c r="E2073" i="1"/>
  <c r="F2073" i="1" s="1"/>
  <c r="C2073" i="1"/>
  <c r="M2071" i="1"/>
  <c r="E2071" i="1"/>
  <c r="F2071" i="1" s="1"/>
  <c r="C2071" i="1"/>
  <c r="M2070" i="1"/>
  <c r="M2067" i="1"/>
  <c r="C2067" i="1"/>
  <c r="M2066" i="1"/>
  <c r="M2065" i="1"/>
  <c r="M2064" i="1"/>
  <c r="C2064" i="1"/>
  <c r="M2063" i="1"/>
  <c r="C2063" i="1"/>
  <c r="M2062" i="1"/>
  <c r="M2054" i="1"/>
  <c r="C2054" i="1"/>
  <c r="M2053" i="1"/>
  <c r="C2053" i="1"/>
  <c r="M2052" i="1"/>
  <c r="M2051" i="1"/>
  <c r="M2050" i="1"/>
  <c r="E2050" i="1"/>
  <c r="F2050" i="1" s="1"/>
  <c r="C2050" i="1"/>
  <c r="M2049" i="1"/>
  <c r="C2049" i="1"/>
  <c r="M2047" i="1"/>
  <c r="M2046" i="1"/>
  <c r="E2045" i="1"/>
  <c r="C2045" i="1"/>
  <c r="B2045" i="1"/>
  <c r="M2045" i="1" s="1"/>
  <c r="C2044" i="1"/>
  <c r="B2044" i="1"/>
  <c r="M2044" i="1" s="1"/>
  <c r="E2043" i="1"/>
  <c r="C2043" i="1"/>
  <c r="B2043" i="1"/>
  <c r="M2043" i="1" s="1"/>
  <c r="M2041" i="1"/>
  <c r="C2041" i="1"/>
  <c r="M2040" i="1"/>
  <c r="M2039" i="1"/>
  <c r="M2038" i="1"/>
  <c r="C2038" i="1"/>
  <c r="M2037" i="1"/>
  <c r="M2035" i="1"/>
  <c r="C2035" i="1"/>
  <c r="M2034" i="1"/>
  <c r="M2033" i="1"/>
  <c r="M2032" i="1"/>
  <c r="C2032" i="1"/>
  <c r="M2022" i="1"/>
  <c r="K2021" i="1"/>
  <c r="K2022" i="1" s="1"/>
  <c r="N2303" i="1" l="1"/>
  <c r="K2305" i="1"/>
  <c r="K2306" i="1" s="1"/>
  <c r="K2307" i="1" s="1"/>
  <c r="K2308" i="1" s="1"/>
  <c r="K2309" i="1" s="1"/>
  <c r="K2310" i="1" s="1"/>
  <c r="K2311" i="1" s="1"/>
  <c r="K2312" i="1" s="1"/>
  <c r="K2313" i="1" s="1"/>
  <c r="K2314" i="1" s="1"/>
  <c r="N2304" i="1"/>
  <c r="K2245" i="1"/>
  <c r="K2248" i="1" s="1"/>
  <c r="K2251" i="1" s="1"/>
  <c r="K2254" i="1" s="1"/>
  <c r="N2244" i="1"/>
  <c r="K2246" i="1"/>
  <c r="N2243" i="1"/>
  <c r="K2144" i="1"/>
  <c r="K2146" i="1" s="1"/>
  <c r="K2148" i="1" s="1"/>
  <c r="K2150" i="1" s="1"/>
  <c r="K2152" i="1" s="1"/>
  <c r="K2154" i="1" s="1"/>
  <c r="K2156" i="1" s="1"/>
  <c r="K2143" i="1"/>
  <c r="K2145" i="1" s="1"/>
  <c r="K2147" i="1" s="1"/>
  <c r="K2149" i="1" s="1"/>
  <c r="K2151" i="1" s="1"/>
  <c r="K2153" i="1" s="1"/>
  <c r="K2155" i="1" s="1"/>
  <c r="K2157" i="1" s="1"/>
  <c r="K2160" i="1" s="1"/>
  <c r="K2162" i="1" s="1"/>
  <c r="K2164" i="1" s="1"/>
  <c r="K2166" i="1" s="1"/>
  <c r="K2168" i="1" s="1"/>
  <c r="K2170" i="1" s="1"/>
  <c r="K2172" i="1" s="1"/>
  <c r="K2174" i="1" s="1"/>
  <c r="K2176" i="1" s="1"/>
  <c r="K2178" i="1" s="1"/>
  <c r="K2180" i="1" s="1"/>
  <c r="K2082" i="1"/>
  <c r="K2083" i="1" s="1"/>
  <c r="K2084" i="1" s="1"/>
  <c r="K2085" i="1" s="1"/>
  <c r="K2086" i="1" s="1"/>
  <c r="K2087" i="1" s="1"/>
  <c r="K2088" i="1" s="1"/>
  <c r="K2089" i="1" s="1"/>
  <c r="K2090" i="1" s="1"/>
  <c r="K2091" i="1" s="1"/>
  <c r="K2092" i="1" s="1"/>
  <c r="K2093" i="1" s="1"/>
  <c r="K2094" i="1" s="1"/>
  <c r="K2095" i="1" s="1"/>
  <c r="K2096" i="1" s="1"/>
  <c r="K2097" i="1" s="1"/>
  <c r="K2098" i="1" s="1"/>
  <c r="K2099" i="1" s="1"/>
  <c r="K2100" i="1" s="1"/>
  <c r="K2101" i="1" s="1"/>
  <c r="K2102" i="1" s="1"/>
  <c r="K2103" i="1" s="1"/>
  <c r="K2104" i="1" s="1"/>
  <c r="K2105" i="1" s="1"/>
  <c r="K2106" i="1" s="1"/>
  <c r="K2107" i="1" s="1"/>
  <c r="K2108" i="1" s="1"/>
  <c r="K2109" i="1" s="1"/>
  <c r="K2110" i="1" s="1"/>
  <c r="K2111" i="1" s="1"/>
  <c r="K2112" i="1" s="1"/>
  <c r="K2113" i="1" s="1"/>
  <c r="K2114" i="1" s="1"/>
  <c r="K2115" i="1" s="1"/>
  <c r="K2116" i="1" s="1"/>
  <c r="K2117" i="1" s="1"/>
  <c r="K2118" i="1" s="1"/>
  <c r="K2119" i="1" s="1"/>
  <c r="K2120" i="1" s="1"/>
  <c r="K2121" i="1" s="1"/>
  <c r="K2122" i="1" s="1"/>
  <c r="K2123" i="1" s="1"/>
  <c r="K2124" i="1" s="1"/>
  <c r="K2125" i="1" s="1"/>
  <c r="K2126" i="1" s="1"/>
  <c r="K2127" i="1" s="1"/>
  <c r="K2128" i="1" s="1"/>
  <c r="K2129" i="1" s="1"/>
  <c r="K2130" i="1" s="1"/>
  <c r="K2131" i="1" s="1"/>
  <c r="K2132" i="1" s="1"/>
  <c r="K2133" i="1" s="1"/>
  <c r="K2134" i="1" s="1"/>
  <c r="K2135" i="1" s="1"/>
  <c r="K2136" i="1" s="1"/>
  <c r="K2137" i="1" s="1"/>
  <c r="K2138" i="1" s="1"/>
  <c r="K2139" i="1" s="1"/>
  <c r="K2024" i="1"/>
  <c r="K2023" i="1"/>
  <c r="K2025" i="1" s="1"/>
  <c r="K2028" i="1" s="1"/>
  <c r="K2031" i="1" s="1"/>
  <c r="K2034" i="1" s="1"/>
  <c r="K2037" i="1" s="1"/>
  <c r="K2040" i="1" s="1"/>
  <c r="K2043" i="1" s="1"/>
  <c r="K2046" i="1" s="1"/>
  <c r="K2049" i="1" s="1"/>
  <c r="K2052" i="1" s="1"/>
  <c r="K2055" i="1" s="1"/>
  <c r="K2058" i="1" s="1"/>
  <c r="K2061" i="1" s="1"/>
  <c r="K2064" i="1" s="1"/>
  <c r="K2067" i="1" s="1"/>
  <c r="K2070" i="1" s="1"/>
  <c r="K2073" i="1" s="1"/>
  <c r="K2076" i="1" s="1"/>
  <c r="N278" i="1"/>
  <c r="N280" i="1"/>
  <c r="F2102" i="1"/>
  <c r="F2104" i="1"/>
  <c r="F2043" i="1"/>
  <c r="F2045" i="1"/>
  <c r="K2194" i="1" l="1"/>
  <c r="K2196" i="1" s="1"/>
  <c r="K2198" i="1" s="1"/>
  <c r="K2200" i="1" s="1"/>
  <c r="K2202" i="1" s="1"/>
  <c r="K2204" i="1" s="1"/>
  <c r="K2206" i="1" s="1"/>
  <c r="K2208" i="1" s="1"/>
  <c r="K2210" i="1" s="1"/>
  <c r="K2212" i="1" s="1"/>
  <c r="K2214" i="1" s="1"/>
  <c r="K2216" i="1" s="1"/>
  <c r="K2218" i="1" s="1"/>
  <c r="K2221" i="1" s="1"/>
  <c r="K2223" i="1" s="1"/>
  <c r="N2223" i="1" s="1"/>
  <c r="K2182" i="1"/>
  <c r="K2184" i="1" s="1"/>
  <c r="K2186" i="1" s="1"/>
  <c r="K2188" i="1" s="1"/>
  <c r="K2190" i="1" s="1"/>
  <c r="K2192" i="1" s="1"/>
  <c r="K2258" i="1"/>
  <c r="K2261" i="1" s="1"/>
  <c r="K2264" i="1" s="1"/>
  <c r="K2267" i="1" s="1"/>
  <c r="K2270" i="1" s="1"/>
  <c r="K2273" i="1" s="1"/>
  <c r="K2276" i="1" s="1"/>
  <c r="K2279" i="1" s="1"/>
  <c r="K2282" i="1" s="1"/>
  <c r="K2285" i="1" s="1"/>
  <c r="K2288" i="1" s="1"/>
  <c r="K2291" i="1" s="1"/>
  <c r="K2294" i="1" s="1"/>
  <c r="K2297" i="1" s="1"/>
  <c r="K2257" i="1"/>
  <c r="K2159" i="1"/>
  <c r="K2161" i="1" s="1"/>
  <c r="K2163" i="1" s="1"/>
  <c r="K2165" i="1" s="1"/>
  <c r="K2167" i="1" s="1"/>
  <c r="K2169" i="1" s="1"/>
  <c r="K2171" i="1" s="1"/>
  <c r="K2173" i="1" s="1"/>
  <c r="K2175" i="1" s="1"/>
  <c r="K2177" i="1" s="1"/>
  <c r="K2179" i="1" s="1"/>
  <c r="K2181" i="1" s="1"/>
  <c r="K2158" i="1"/>
  <c r="N2275" i="1"/>
  <c r="N2101" i="1"/>
  <c r="K2315" i="1"/>
  <c r="K2316" i="1" s="1"/>
  <c r="K2317" i="1" s="1"/>
  <c r="K2318" i="1" s="1"/>
  <c r="K2319" i="1" s="1"/>
  <c r="K2320" i="1" s="1"/>
  <c r="K2321" i="1" s="1"/>
  <c r="N2306" i="1"/>
  <c r="N2246" i="1"/>
  <c r="K2249" i="1"/>
  <c r="K2252" i="1" s="1"/>
  <c r="N2153" i="1"/>
  <c r="N2145" i="1"/>
  <c r="N2147" i="1"/>
  <c r="N2144" i="1"/>
  <c r="N2084" i="1"/>
  <c r="N2086" i="1"/>
  <c r="N2083" i="1"/>
  <c r="K2026" i="1"/>
  <c r="K2029" i="1" s="1"/>
  <c r="K2032" i="1" s="1"/>
  <c r="K2035" i="1" s="1"/>
  <c r="K2038" i="1" s="1"/>
  <c r="K2041" i="1" s="1"/>
  <c r="K2044" i="1" s="1"/>
  <c r="K2047" i="1" s="1"/>
  <c r="K2050" i="1" s="1"/>
  <c r="K2053" i="1" s="1"/>
  <c r="K2056" i="1" s="1"/>
  <c r="K2059" i="1" s="1"/>
  <c r="K2062" i="1" s="1"/>
  <c r="K2065" i="1" s="1"/>
  <c r="K2068" i="1" s="1"/>
  <c r="K2071" i="1" s="1"/>
  <c r="K2074" i="1" s="1"/>
  <c r="K2077" i="1" s="1"/>
  <c r="N2025" i="1"/>
  <c r="K2027" i="1"/>
  <c r="K2030" i="1" s="1"/>
  <c r="K2033" i="1" s="1"/>
  <c r="K2036" i="1" s="1"/>
  <c r="K2039" i="1" s="1"/>
  <c r="K2042" i="1" s="1"/>
  <c r="K2045" i="1" s="1"/>
  <c r="K2048" i="1" s="1"/>
  <c r="K2051" i="1" s="1"/>
  <c r="K2054" i="1" s="1"/>
  <c r="K2057" i="1" s="1"/>
  <c r="K2060" i="1" s="1"/>
  <c r="K2063" i="1" s="1"/>
  <c r="K2066" i="1" s="1"/>
  <c r="K2069" i="1" s="1"/>
  <c r="K2072" i="1" s="1"/>
  <c r="K2075" i="1" s="1"/>
  <c r="K2078" i="1" s="1"/>
  <c r="N2024" i="1"/>
  <c r="N2094" i="1"/>
  <c r="N2095" i="1"/>
  <c r="L2097" i="1"/>
  <c r="K2195" i="1" l="1"/>
  <c r="K2197" i="1" s="1"/>
  <c r="K2199" i="1" s="1"/>
  <c r="K2201" i="1" s="1"/>
  <c r="K2203" i="1" s="1"/>
  <c r="K2205" i="1" s="1"/>
  <c r="K2207" i="1" s="1"/>
  <c r="K2209" i="1" s="1"/>
  <c r="K2211" i="1" s="1"/>
  <c r="K2213" i="1" s="1"/>
  <c r="K2215" i="1" s="1"/>
  <c r="K2217" i="1" s="1"/>
  <c r="K2183" i="1"/>
  <c r="N2042" i="1"/>
  <c r="N2176" i="1"/>
  <c r="N2175" i="1"/>
  <c r="K2322" i="1"/>
  <c r="K2323" i="1" s="1"/>
  <c r="K2324" i="1" s="1"/>
  <c r="K2325" i="1" s="1"/>
  <c r="N2321" i="1"/>
  <c r="N2035" i="1"/>
  <c r="N2027" i="1"/>
  <c r="K2255" i="1"/>
  <c r="N2252" i="1"/>
  <c r="N2048" i="1"/>
  <c r="N2260" i="1"/>
  <c r="N245" i="1"/>
  <c r="N2097" i="1"/>
  <c r="E2016" i="1"/>
  <c r="F2016" i="1" s="1"/>
  <c r="C2016" i="1"/>
  <c r="E2015" i="1"/>
  <c r="F2015" i="1" s="1"/>
  <c r="C2015" i="1"/>
  <c r="E2013" i="1"/>
  <c r="F2013" i="1" s="1"/>
  <c r="C2013" i="1"/>
  <c r="E2012" i="1"/>
  <c r="F2012" i="1" s="1"/>
  <c r="C2012" i="1"/>
  <c r="C2008" i="1"/>
  <c r="C1983" i="1"/>
  <c r="C1982" i="1"/>
  <c r="F1999" i="1"/>
  <c r="E1998" i="1"/>
  <c r="F1998" i="1" s="1"/>
  <c r="C1998" i="1"/>
  <c r="C1997" i="1"/>
  <c r="C1996" i="1"/>
  <c r="E1993" i="1"/>
  <c r="F1993" i="1" s="1"/>
  <c r="C1993" i="1"/>
  <c r="C1992" i="1"/>
  <c r="L1991" i="1"/>
  <c r="L1992" i="1" s="1"/>
  <c r="L1993" i="1" s="1"/>
  <c r="E1987" i="1"/>
  <c r="F1987" i="1" s="1"/>
  <c r="C1987" i="1"/>
  <c r="C1978" i="1"/>
  <c r="E1975" i="1"/>
  <c r="F1975" i="1" s="1"/>
  <c r="C1975" i="1"/>
  <c r="C1968" i="1"/>
  <c r="M1958" i="1"/>
  <c r="K1957" i="1"/>
  <c r="K1958" i="1" s="1"/>
  <c r="M1955" i="1"/>
  <c r="F1955" i="1"/>
  <c r="M1952" i="1"/>
  <c r="E1952" i="1"/>
  <c r="F1952" i="1" s="1"/>
  <c r="C1952" i="1"/>
  <c r="M1951" i="1"/>
  <c r="E1951" i="1"/>
  <c r="F1951" i="1" s="1"/>
  <c r="C1951" i="1"/>
  <c r="M1949" i="1"/>
  <c r="E1949" i="1"/>
  <c r="F1949" i="1" s="1"/>
  <c r="C1949" i="1"/>
  <c r="M1948" i="1"/>
  <c r="M1945" i="1"/>
  <c r="C1945" i="1"/>
  <c r="M1944" i="1"/>
  <c r="C1912" i="1"/>
  <c r="M1901" i="1"/>
  <c r="K1900" i="1"/>
  <c r="K1901" i="1" s="1"/>
  <c r="K2219" i="1" l="1"/>
  <c r="K2220" i="1"/>
  <c r="K2222" i="1" s="1"/>
  <c r="N2222" i="1" s="1"/>
  <c r="K2185" i="1"/>
  <c r="K2187" i="1" s="1"/>
  <c r="K2189" i="1" s="1"/>
  <c r="N2183" i="1"/>
  <c r="N2282" i="1"/>
  <c r="N2203" i="1"/>
  <c r="N2118" i="1"/>
  <c r="N2196" i="1"/>
  <c r="N2195" i="1"/>
  <c r="N2107" i="1"/>
  <c r="K2326" i="1"/>
  <c r="N2325" i="1"/>
  <c r="N2036" i="1"/>
  <c r="K2259" i="1"/>
  <c r="N2255" i="1"/>
  <c r="K1959" i="1"/>
  <c r="K1961" i="1" s="1"/>
  <c r="K1960" i="1"/>
  <c r="K1902" i="1"/>
  <c r="K1903" i="1" s="1"/>
  <c r="K1904" i="1" s="1"/>
  <c r="K1905" i="1" s="1"/>
  <c r="K1906" i="1" s="1"/>
  <c r="K1907" i="1" s="1"/>
  <c r="K1908" i="1" s="1"/>
  <c r="K1909" i="1" s="1"/>
  <c r="K1910" i="1" s="1"/>
  <c r="K1911" i="1" s="1"/>
  <c r="K1912" i="1" s="1"/>
  <c r="K1913" i="1" s="1"/>
  <c r="K1914" i="1" s="1"/>
  <c r="K1915" i="1" s="1"/>
  <c r="K1916" i="1" s="1"/>
  <c r="K1917" i="1" s="1"/>
  <c r="K1918" i="1" s="1"/>
  <c r="K1919" i="1" s="1"/>
  <c r="K1920" i="1" s="1"/>
  <c r="K1921" i="1" s="1"/>
  <c r="K1922" i="1" s="1"/>
  <c r="K1923" i="1" s="1"/>
  <c r="K1924" i="1" s="1"/>
  <c r="K1925" i="1" s="1"/>
  <c r="K1926" i="1" s="1"/>
  <c r="K1927" i="1" s="1"/>
  <c r="K1928" i="1" s="1"/>
  <c r="K1929" i="1" s="1"/>
  <c r="K1930" i="1" s="1"/>
  <c r="K1931" i="1" s="1"/>
  <c r="K1932" i="1" s="1"/>
  <c r="K1933" i="1" s="1"/>
  <c r="K1934" i="1" s="1"/>
  <c r="K1935" i="1" s="1"/>
  <c r="K1936" i="1" s="1"/>
  <c r="K1937" i="1" s="1"/>
  <c r="K1938" i="1" s="1"/>
  <c r="K1939" i="1" s="1"/>
  <c r="K1940" i="1" s="1"/>
  <c r="K1941" i="1" s="1"/>
  <c r="K1942" i="1" s="1"/>
  <c r="K1943" i="1" s="1"/>
  <c r="K1944" i="1" s="1"/>
  <c r="K1945" i="1" s="1"/>
  <c r="K1946" i="1" s="1"/>
  <c r="K1947" i="1" s="1"/>
  <c r="K1948" i="1" s="1"/>
  <c r="K1949" i="1" s="1"/>
  <c r="K1950" i="1" s="1"/>
  <c r="K1951" i="1" s="1"/>
  <c r="K1952" i="1" s="1"/>
  <c r="K1953" i="1" s="1"/>
  <c r="K1954" i="1" s="1"/>
  <c r="K1955" i="1" s="1"/>
  <c r="N2261" i="1"/>
  <c r="N2156" i="1"/>
  <c r="M1879" i="1"/>
  <c r="F1879" i="1"/>
  <c r="M1876" i="1"/>
  <c r="E1876" i="1"/>
  <c r="F1876" i="1" s="1"/>
  <c r="C1876" i="1"/>
  <c r="M1875" i="1"/>
  <c r="E1875" i="1"/>
  <c r="F1875" i="1" s="1"/>
  <c r="C1875" i="1"/>
  <c r="M1873" i="1"/>
  <c r="E1873" i="1"/>
  <c r="F1873" i="1" s="1"/>
  <c r="C1873" i="1"/>
  <c r="M1872" i="1"/>
  <c r="M1869" i="1"/>
  <c r="C1869" i="1"/>
  <c r="M1868" i="1"/>
  <c r="M1867" i="1"/>
  <c r="M1812" i="1"/>
  <c r="M1811" i="1"/>
  <c r="C1811" i="1"/>
  <c r="M1810" i="1"/>
  <c r="M1800" i="1"/>
  <c r="K1799" i="1"/>
  <c r="K1800" i="1" s="1"/>
  <c r="K1801" i="1" s="1"/>
  <c r="K1802" i="1" s="1"/>
  <c r="K1803" i="1" s="1"/>
  <c r="K1804" i="1" s="1"/>
  <c r="K1805" i="1" s="1"/>
  <c r="K1806" i="1" s="1"/>
  <c r="K1807" i="1" s="1"/>
  <c r="K1808" i="1" s="1"/>
  <c r="K1809" i="1" s="1"/>
  <c r="K1810" i="1" s="1"/>
  <c r="K1811" i="1" s="1"/>
  <c r="K1812" i="1" s="1"/>
  <c r="K1813" i="1" s="1"/>
  <c r="K1814" i="1" s="1"/>
  <c r="K1815" i="1" s="1"/>
  <c r="K1816" i="1" s="1"/>
  <c r="K1817" i="1" s="1"/>
  <c r="K1818" i="1" s="1"/>
  <c r="K1819" i="1" s="1"/>
  <c r="K1820" i="1" s="1"/>
  <c r="K1821" i="1" s="1"/>
  <c r="K1822" i="1" s="1"/>
  <c r="K1823" i="1" s="1"/>
  <c r="K1824" i="1" s="1"/>
  <c r="K1825" i="1" s="1"/>
  <c r="K1826" i="1" s="1"/>
  <c r="K1827" i="1" s="1"/>
  <c r="K1828" i="1" s="1"/>
  <c r="K1829" i="1" s="1"/>
  <c r="K1830" i="1" s="1"/>
  <c r="K1831" i="1" s="1"/>
  <c r="K1832" i="1" s="1"/>
  <c r="K1833" i="1" s="1"/>
  <c r="K1834" i="1" s="1"/>
  <c r="K1835" i="1" s="1"/>
  <c r="K1836" i="1" s="1"/>
  <c r="K1837" i="1" s="1"/>
  <c r="M1797" i="1"/>
  <c r="F1797" i="1"/>
  <c r="M1794" i="1"/>
  <c r="F1794" i="1"/>
  <c r="M1793" i="1"/>
  <c r="E1793" i="1"/>
  <c r="F1793" i="1" s="1"/>
  <c r="C1793" i="1"/>
  <c r="M1792" i="1"/>
  <c r="E1792" i="1"/>
  <c r="F1792" i="1" s="1"/>
  <c r="C1792" i="1"/>
  <c r="M1790" i="1"/>
  <c r="E1790" i="1"/>
  <c r="F1790" i="1" s="1"/>
  <c r="C1790" i="1"/>
  <c r="M1789" i="1"/>
  <c r="M1786" i="1"/>
  <c r="C1786" i="1"/>
  <c r="M1785" i="1"/>
  <c r="M1784" i="1"/>
  <c r="M1783" i="1"/>
  <c r="C1783" i="1"/>
  <c r="M1782" i="1"/>
  <c r="C1782" i="1"/>
  <c r="M1781" i="1"/>
  <c r="M1773" i="1"/>
  <c r="C1773" i="1"/>
  <c r="M1772" i="1"/>
  <c r="C1772" i="1"/>
  <c r="M1771" i="1"/>
  <c r="M1770" i="1"/>
  <c r="M1769" i="1"/>
  <c r="E1769" i="1"/>
  <c r="F1769" i="1" s="1"/>
  <c r="C1769" i="1"/>
  <c r="M1767" i="1"/>
  <c r="C1767" i="1"/>
  <c r="M1766" i="1"/>
  <c r="C1766" i="1"/>
  <c r="M1765" i="1"/>
  <c r="M1764" i="1"/>
  <c r="E1763" i="1"/>
  <c r="C1763" i="1"/>
  <c r="B1763" i="1"/>
  <c r="M1763" i="1" s="1"/>
  <c r="C1762" i="1"/>
  <c r="B1762" i="1"/>
  <c r="M1762" i="1" s="1"/>
  <c r="E1761" i="1"/>
  <c r="C1761" i="1"/>
  <c r="B1761" i="1"/>
  <c r="M1761" i="1" s="1"/>
  <c r="M1759" i="1"/>
  <c r="C1759" i="1"/>
  <c r="M1758" i="1"/>
  <c r="M1757" i="1"/>
  <c r="M1756" i="1"/>
  <c r="C1756" i="1"/>
  <c r="M1755" i="1"/>
  <c r="M1754" i="1"/>
  <c r="C1754" i="1"/>
  <c r="M1753" i="1"/>
  <c r="M1752" i="1"/>
  <c r="M1751" i="1"/>
  <c r="C1751" i="1"/>
  <c r="M1741" i="1"/>
  <c r="K1740" i="1"/>
  <c r="K1741" i="1" s="1"/>
  <c r="K2191" i="1" l="1"/>
  <c r="K2193" i="1" s="1"/>
  <c r="N2189" i="1"/>
  <c r="N1925" i="1"/>
  <c r="K1838" i="1"/>
  <c r="K1839" i="1"/>
  <c r="K1841" i="1" s="1"/>
  <c r="K1843" i="1" s="1"/>
  <c r="K1845" i="1" s="1"/>
  <c r="K1847" i="1" s="1"/>
  <c r="K1849" i="1" s="1"/>
  <c r="K1850" i="1" s="1"/>
  <c r="N2204" i="1"/>
  <c r="N2119" i="1"/>
  <c r="K2327" i="1"/>
  <c r="K2328" i="1" s="1"/>
  <c r="K2329" i="1" s="1"/>
  <c r="K2330" i="1" s="1"/>
  <c r="K2331" i="1" s="1"/>
  <c r="K2332" i="1" s="1"/>
  <c r="K2333" i="1" s="1"/>
  <c r="K2334" i="1" s="1"/>
  <c r="K2335" i="1" s="1"/>
  <c r="K2336" i="1" s="1"/>
  <c r="K2337" i="1" s="1"/>
  <c r="K2338" i="1" s="1"/>
  <c r="K2339" i="1" s="1"/>
  <c r="K2340" i="1" s="1"/>
  <c r="K2341" i="1" s="1"/>
  <c r="K2342" i="1" s="1"/>
  <c r="K2343" i="1" s="1"/>
  <c r="N2326" i="1"/>
  <c r="K2262" i="1"/>
  <c r="K2265" i="1" s="1"/>
  <c r="K2268" i="1" s="1"/>
  <c r="K2271" i="1" s="1"/>
  <c r="K2274" i="1" s="1"/>
  <c r="N2259" i="1"/>
  <c r="N2038" i="1"/>
  <c r="N1960" i="1"/>
  <c r="K1962" i="1"/>
  <c r="K1963" i="1" s="1"/>
  <c r="K1964" i="1" s="1"/>
  <c r="K1965" i="1" s="1"/>
  <c r="K1966" i="1" s="1"/>
  <c r="K1967" i="1" s="1"/>
  <c r="K1968" i="1" s="1"/>
  <c r="K1969" i="1" s="1"/>
  <c r="K1970" i="1" s="1"/>
  <c r="K1971" i="1" s="1"/>
  <c r="K1972" i="1" s="1"/>
  <c r="K1973" i="1" s="1"/>
  <c r="K1974" i="1" s="1"/>
  <c r="K1975" i="1" s="1"/>
  <c r="K1976" i="1" s="1"/>
  <c r="K1977" i="1" s="1"/>
  <c r="K1978" i="1" s="1"/>
  <c r="K1979" i="1" s="1"/>
  <c r="K1980" i="1" s="1"/>
  <c r="N1961" i="1"/>
  <c r="N1904" i="1"/>
  <c r="N1906" i="1"/>
  <c r="N1903" i="1"/>
  <c r="K1743" i="1"/>
  <c r="K1745" i="1" s="1"/>
  <c r="K1747" i="1" s="1"/>
  <c r="K1749" i="1" s="1"/>
  <c r="K1751" i="1" s="1"/>
  <c r="K1753" i="1" s="1"/>
  <c r="K1755" i="1" s="1"/>
  <c r="K1757" i="1" s="1"/>
  <c r="K1759" i="1" s="1"/>
  <c r="K1761" i="1" s="1"/>
  <c r="K1763" i="1" s="1"/>
  <c r="K1765" i="1" s="1"/>
  <c r="K1767" i="1" s="1"/>
  <c r="K1769" i="1" s="1"/>
  <c r="K1771" i="1" s="1"/>
  <c r="K1773" i="1" s="1"/>
  <c r="K1742" i="1"/>
  <c r="K1744" i="1" s="1"/>
  <c r="K1746" i="1" s="1"/>
  <c r="K1748" i="1" s="1"/>
  <c r="K1750" i="1" s="1"/>
  <c r="K1752" i="1" s="1"/>
  <c r="K1754" i="1" s="1"/>
  <c r="K1756" i="1" s="1"/>
  <c r="K1758" i="1" s="1"/>
  <c r="K1760" i="1" s="1"/>
  <c r="K1762" i="1" s="1"/>
  <c r="K1764" i="1" s="1"/>
  <c r="K1766" i="1" s="1"/>
  <c r="K1768" i="1" s="1"/>
  <c r="K1770" i="1" s="1"/>
  <c r="K1772" i="1" s="1"/>
  <c r="N2161" i="1"/>
  <c r="N2160" i="1"/>
  <c r="N2162" i="1"/>
  <c r="N1912" i="1"/>
  <c r="F1763" i="1"/>
  <c r="F1761" i="1"/>
  <c r="M1738" i="1"/>
  <c r="F1738" i="1"/>
  <c r="M1735" i="1"/>
  <c r="F1735" i="1"/>
  <c r="M1734" i="1"/>
  <c r="E1734" i="1"/>
  <c r="F1734" i="1" s="1"/>
  <c r="C1734" i="1"/>
  <c r="M1733" i="1"/>
  <c r="E1733" i="1"/>
  <c r="F1733" i="1" s="1"/>
  <c r="C1733" i="1"/>
  <c r="M1731" i="1"/>
  <c r="E1731" i="1"/>
  <c r="F1731" i="1" s="1"/>
  <c r="C1731" i="1"/>
  <c r="M1730" i="1"/>
  <c r="M1727" i="1"/>
  <c r="M1726" i="1"/>
  <c r="C1726" i="1"/>
  <c r="M1725" i="1"/>
  <c r="M1718" i="1"/>
  <c r="M1717" i="1"/>
  <c r="C1717" i="1"/>
  <c r="M1716" i="1"/>
  <c r="C1716" i="1"/>
  <c r="M1715" i="1"/>
  <c r="M1714" i="1"/>
  <c r="C1714" i="1"/>
  <c r="M1713" i="1"/>
  <c r="C1713" i="1"/>
  <c r="M1712" i="1"/>
  <c r="M1711" i="1"/>
  <c r="M1710" i="1"/>
  <c r="E1710" i="1"/>
  <c r="F1710" i="1" s="1"/>
  <c r="C1710" i="1"/>
  <c r="M1709" i="1"/>
  <c r="C1709" i="1"/>
  <c r="M1707" i="1"/>
  <c r="M1706" i="1"/>
  <c r="E1705" i="1"/>
  <c r="C1705" i="1"/>
  <c r="B1705" i="1"/>
  <c r="M1705" i="1" s="1"/>
  <c r="C1704" i="1"/>
  <c r="B1704" i="1"/>
  <c r="M1704" i="1" s="1"/>
  <c r="E1703" i="1"/>
  <c r="C1703" i="1"/>
  <c r="B1703" i="1"/>
  <c r="M1703" i="1" s="1"/>
  <c r="M1701" i="1"/>
  <c r="C1701" i="1"/>
  <c r="M1700" i="1"/>
  <c r="M1699" i="1"/>
  <c r="M1698" i="1"/>
  <c r="C1698" i="1"/>
  <c r="M1697" i="1"/>
  <c r="M1695" i="1"/>
  <c r="C1695" i="1"/>
  <c r="M1694" i="1"/>
  <c r="M1693" i="1"/>
  <c r="M1692" i="1"/>
  <c r="C1692" i="1"/>
  <c r="M1682" i="1"/>
  <c r="K1681" i="1"/>
  <c r="K1682" i="1" s="1"/>
  <c r="K1683" i="1" s="1"/>
  <c r="K1684" i="1" s="1"/>
  <c r="K1685" i="1" s="1"/>
  <c r="K1686" i="1" s="1"/>
  <c r="K1687" i="1" s="1"/>
  <c r="K1688" i="1" s="1"/>
  <c r="K1689" i="1" s="1"/>
  <c r="K1690" i="1" s="1"/>
  <c r="K1691" i="1" s="1"/>
  <c r="K1692" i="1" s="1"/>
  <c r="K1693" i="1" s="1"/>
  <c r="K1694" i="1" s="1"/>
  <c r="K1695" i="1" s="1"/>
  <c r="K1696" i="1" s="1"/>
  <c r="K1697" i="1" s="1"/>
  <c r="K1698" i="1" s="1"/>
  <c r="K1699" i="1" s="1"/>
  <c r="K1700" i="1" s="1"/>
  <c r="K1701" i="1" s="1"/>
  <c r="K1702" i="1" s="1"/>
  <c r="K1703" i="1" s="1"/>
  <c r="K1704" i="1" s="1"/>
  <c r="K1705" i="1" s="1"/>
  <c r="K1706" i="1" s="1"/>
  <c r="K1707" i="1" s="1"/>
  <c r="K1708" i="1" s="1"/>
  <c r="K1709" i="1" s="1"/>
  <c r="K1710" i="1" s="1"/>
  <c r="K1711" i="1" s="1"/>
  <c r="K1712" i="1" s="1"/>
  <c r="K1713" i="1" s="1"/>
  <c r="K1714" i="1" s="1"/>
  <c r="K1715" i="1" s="1"/>
  <c r="K1716" i="1" s="1"/>
  <c r="K1717" i="1" s="1"/>
  <c r="K1718" i="1" s="1"/>
  <c r="K1719" i="1" s="1"/>
  <c r="K1720" i="1" s="1"/>
  <c r="K1721" i="1" s="1"/>
  <c r="K1722" i="1" s="1"/>
  <c r="K1723" i="1" s="1"/>
  <c r="K1724" i="1" s="1"/>
  <c r="K1725" i="1" s="1"/>
  <c r="K1726" i="1" s="1"/>
  <c r="K1727" i="1" s="1"/>
  <c r="K1728" i="1" s="1"/>
  <c r="K1729" i="1" s="1"/>
  <c r="K1730" i="1" s="1"/>
  <c r="K1731" i="1" s="1"/>
  <c r="K1732" i="1" s="1"/>
  <c r="K1733" i="1" s="1"/>
  <c r="K1734" i="1" s="1"/>
  <c r="K1735" i="1" s="1"/>
  <c r="K1736" i="1" s="1"/>
  <c r="K1737" i="1" s="1"/>
  <c r="K1738" i="1" s="1"/>
  <c r="K1982" i="1" l="1"/>
  <c r="K1985" i="1" s="1"/>
  <c r="K1988" i="1" s="1"/>
  <c r="K1991" i="1" s="1"/>
  <c r="K1994" i="1" s="1"/>
  <c r="K1997" i="1" s="1"/>
  <c r="K2000" i="1" s="1"/>
  <c r="K1851" i="1"/>
  <c r="K1852" i="1" s="1"/>
  <c r="K1853" i="1" s="1"/>
  <c r="K1854" i="1" s="1"/>
  <c r="K1855" i="1" s="1"/>
  <c r="K1856" i="1" s="1"/>
  <c r="K1857" i="1" s="1"/>
  <c r="K1840" i="1"/>
  <c r="K2344" i="1"/>
  <c r="K2346" i="1"/>
  <c r="K2349" i="1" s="1"/>
  <c r="K2277" i="1"/>
  <c r="K2280" i="1" s="1"/>
  <c r="K2283" i="1" s="1"/>
  <c r="N2274" i="1"/>
  <c r="N2057" i="1"/>
  <c r="K2009" i="1"/>
  <c r="K2012" i="1" s="1"/>
  <c r="K2015" i="1" s="1"/>
  <c r="K2019" i="1" s="1"/>
  <c r="K2001" i="1"/>
  <c r="K2002" i="1" s="1"/>
  <c r="N1939" i="1"/>
  <c r="K1781" i="1"/>
  <c r="K1783" i="1" s="1"/>
  <c r="K1785" i="1" s="1"/>
  <c r="K1787" i="1" s="1"/>
  <c r="K1789" i="1" s="1"/>
  <c r="K1791" i="1" s="1"/>
  <c r="K1793" i="1" s="1"/>
  <c r="K1795" i="1" s="1"/>
  <c r="K1797" i="1" s="1"/>
  <c r="K1774" i="1"/>
  <c r="K1782" i="1"/>
  <c r="K1784" i="1" s="1"/>
  <c r="K1786" i="1" s="1"/>
  <c r="K1788" i="1" s="1"/>
  <c r="K1790" i="1" s="1"/>
  <c r="K1792" i="1" s="1"/>
  <c r="K1794" i="1" s="1"/>
  <c r="K1796" i="1" s="1"/>
  <c r="K1775" i="1"/>
  <c r="K1776" i="1" s="1"/>
  <c r="N1932" i="1"/>
  <c r="N1833" i="1"/>
  <c r="N1696" i="1"/>
  <c r="N2262" i="1"/>
  <c r="N1963" i="1"/>
  <c r="N1754" i="1"/>
  <c r="N1811" i="1"/>
  <c r="N1803" i="1"/>
  <c r="N1805" i="1"/>
  <c r="N1802" i="1"/>
  <c r="N1744" i="1"/>
  <c r="N1746" i="1"/>
  <c r="N1743" i="1"/>
  <c r="N2335" i="1"/>
  <c r="N2341" i="1"/>
  <c r="N2267" i="1"/>
  <c r="N2163" i="1"/>
  <c r="N1818" i="1"/>
  <c r="N1817" i="1"/>
  <c r="N2342" i="1"/>
  <c r="F1703" i="1"/>
  <c r="F1705" i="1"/>
  <c r="N1695" i="1"/>
  <c r="K1842" i="1" l="1"/>
  <c r="K1844" i="1" s="1"/>
  <c r="K1846" i="1" s="1"/>
  <c r="N1840" i="1"/>
  <c r="K1858" i="1"/>
  <c r="K1865" i="1" s="1"/>
  <c r="K1866" i="1" s="1"/>
  <c r="K1867" i="1" s="1"/>
  <c r="K1868" i="1" s="1"/>
  <c r="K1869" i="1" s="1"/>
  <c r="K1870" i="1" s="1"/>
  <c r="K1871" i="1" s="1"/>
  <c r="K1872" i="1" s="1"/>
  <c r="K1873" i="1" s="1"/>
  <c r="K1874" i="1" s="1"/>
  <c r="K1875" i="1" s="1"/>
  <c r="K1876" i="1" s="1"/>
  <c r="K1877" i="1" s="1"/>
  <c r="K1859" i="1"/>
  <c r="K1860" i="1" s="1"/>
  <c r="K2286" i="1"/>
  <c r="K2289" i="1" s="1"/>
  <c r="K2292" i="1" s="1"/>
  <c r="K2295" i="1" s="1"/>
  <c r="K2298" i="1" s="1"/>
  <c r="N2283" i="1"/>
  <c r="K2345" i="1"/>
  <c r="K2347" i="1"/>
  <c r="N2058" i="1"/>
  <c r="K2003" i="1"/>
  <c r="N2002" i="1"/>
  <c r="K1981" i="1"/>
  <c r="K1984" i="1" s="1"/>
  <c r="K1987" i="1" s="1"/>
  <c r="K1990" i="1" s="1"/>
  <c r="K1993" i="1" s="1"/>
  <c r="K1996" i="1" s="1"/>
  <c r="K1999" i="1" s="1"/>
  <c r="K2008" i="1" s="1"/>
  <c r="K2011" i="1" s="1"/>
  <c r="K2014" i="1" s="1"/>
  <c r="K2017" i="1" s="1"/>
  <c r="K1983" i="1"/>
  <c r="K1986" i="1" s="1"/>
  <c r="K1989" i="1" s="1"/>
  <c r="K1992" i="1" s="1"/>
  <c r="K1995" i="1" s="1"/>
  <c r="K1998" i="1" s="1"/>
  <c r="K2007" i="1" s="1"/>
  <c r="K2010" i="1" s="1"/>
  <c r="K2013" i="1" s="1"/>
  <c r="K2016" i="1" s="1"/>
  <c r="K2018" i="1" s="1"/>
  <c r="N1940" i="1"/>
  <c r="K1777" i="1"/>
  <c r="N1776" i="1"/>
  <c r="N1931" i="1"/>
  <c r="N1832" i="1"/>
  <c r="N1853" i="1"/>
  <c r="N1702" i="1"/>
  <c r="N1760" i="1"/>
  <c r="N1978" i="1"/>
  <c r="N1685" i="1"/>
  <c r="N1687" i="1"/>
  <c r="N1684" i="1"/>
  <c r="N2340" i="1"/>
  <c r="N2339" i="1"/>
  <c r="N2268" i="1"/>
  <c r="N2168" i="1"/>
  <c r="N1915" i="1"/>
  <c r="N1825" i="1"/>
  <c r="L1698" i="1"/>
  <c r="N1756" i="1"/>
  <c r="N1982" i="1"/>
  <c r="K1878" i="1" l="1"/>
  <c r="K1880" i="1"/>
  <c r="K1882" i="1" s="1"/>
  <c r="N1882" i="1" s="1"/>
  <c r="K1861" i="1"/>
  <c r="N1860" i="1"/>
  <c r="K1848" i="1"/>
  <c r="N1846" i="1"/>
  <c r="K2350" i="1"/>
  <c r="N2347" i="1"/>
  <c r="K2352" i="1"/>
  <c r="K2353" i="1" s="1"/>
  <c r="K2354" i="1" s="1"/>
  <c r="K2355" i="1" s="1"/>
  <c r="K2356" i="1" s="1"/>
  <c r="K2357" i="1" s="1"/>
  <c r="K2358" i="1" s="1"/>
  <c r="K2359" i="1" s="1"/>
  <c r="K2360" i="1" s="1"/>
  <c r="K2361" i="1" s="1"/>
  <c r="K2348" i="1"/>
  <c r="K2004" i="1"/>
  <c r="K2005" i="1" s="1"/>
  <c r="K2006" i="1" s="1"/>
  <c r="N2003" i="1"/>
  <c r="K1778" i="1"/>
  <c r="N1777" i="1"/>
  <c r="N1852" i="1"/>
  <c r="N2269" i="1"/>
  <c r="N2169" i="1"/>
  <c r="N1919" i="1"/>
  <c r="N1814" i="1"/>
  <c r="N1983" i="1"/>
  <c r="N2100" i="1"/>
  <c r="N1698" i="1"/>
  <c r="K1879" i="1" l="1"/>
  <c r="K1881" i="1"/>
  <c r="K1883" i="1" s="1"/>
  <c r="N1883" i="1" s="1"/>
  <c r="K1862" i="1"/>
  <c r="N1861" i="1"/>
  <c r="N2355" i="1"/>
  <c r="N2353" i="1"/>
  <c r="K2362" i="1"/>
  <c r="K2364" i="1" s="1"/>
  <c r="K2363" i="1"/>
  <c r="K2351" i="1"/>
  <c r="N2348" i="1"/>
  <c r="K1779" i="1"/>
  <c r="K1780" i="1"/>
  <c r="N2170" i="1"/>
  <c r="N1920" i="1"/>
  <c r="N2041" i="1"/>
  <c r="N1992" i="1"/>
  <c r="K1863" i="1" l="1"/>
  <c r="K1864" i="1"/>
  <c r="N1720" i="1"/>
  <c r="N1819" i="1"/>
  <c r="N2049" i="1"/>
  <c r="N1996" i="1"/>
  <c r="N1721" i="1" l="1"/>
  <c r="N1926" i="1"/>
  <c r="N1820" i="1"/>
  <c r="N2053" i="1"/>
  <c r="N1997" i="1"/>
  <c r="N2108" i="1" l="1"/>
  <c r="N1826" i="1"/>
  <c r="N2054" i="1"/>
  <c r="N2109" i="1" l="1"/>
  <c r="N2114" i="1"/>
  <c r="N1827" i="1"/>
  <c r="N1759" i="1"/>
  <c r="N2010" i="1"/>
  <c r="N2008" i="1"/>
  <c r="N2115" i="1"/>
  <c r="N2067" i="1" l="1"/>
  <c r="N2069" i="1"/>
  <c r="N1701" i="1"/>
  <c r="N1766" i="1" l="1"/>
  <c r="N1767" i="1"/>
  <c r="N2288" i="1"/>
  <c r="N2290" i="1"/>
  <c r="N1709" i="1" l="1"/>
  <c r="N1708" i="1"/>
  <c r="N2211" i="1"/>
  <c r="N2209" i="1"/>
  <c r="N1713" i="1"/>
  <c r="N1772" i="1"/>
  <c r="N1945" i="1"/>
  <c r="N1947" i="1"/>
  <c r="N2128" i="1"/>
  <c r="N2130" i="1"/>
  <c r="N1714" i="1" l="1"/>
  <c r="N1773" i="1"/>
  <c r="N1786" i="1" l="1"/>
  <c r="N1788" i="1" l="1"/>
  <c r="N1726" i="1"/>
  <c r="N1729" i="1"/>
  <c r="N1871" i="1"/>
  <c r="N1869" i="1"/>
  <c r="L233" i="5" l="1"/>
  <c r="M233" i="5" s="1"/>
  <c r="D233" i="5"/>
  <c r="L232" i="5"/>
  <c r="M232" i="5" s="1"/>
  <c r="D232" i="5"/>
  <c r="L231" i="5"/>
  <c r="M231" i="5" s="1"/>
  <c r="D231" i="5"/>
  <c r="L230" i="5"/>
  <c r="M230" i="5" s="1"/>
  <c r="D230" i="5"/>
  <c r="L229" i="5"/>
  <c r="M229" i="5" s="1"/>
  <c r="D229" i="5"/>
  <c r="L228" i="5"/>
  <c r="M228" i="5" s="1"/>
  <c r="D228" i="5"/>
  <c r="L227" i="5"/>
  <c r="M227" i="5" s="1"/>
  <c r="D227" i="5"/>
  <c r="L226" i="5"/>
  <c r="M226" i="5" s="1"/>
  <c r="H226" i="5"/>
  <c r="D226" i="5" s="1"/>
  <c r="L225" i="5"/>
  <c r="M225" i="5" s="1"/>
  <c r="D225" i="5"/>
  <c r="I221" i="5"/>
  <c r="I220" i="5"/>
  <c r="L221" i="5"/>
  <c r="M221" i="5" s="1"/>
  <c r="D221" i="5"/>
  <c r="L220" i="5"/>
  <c r="M220" i="5" s="1"/>
  <c r="D220" i="5"/>
  <c r="L219" i="5"/>
  <c r="M219" i="5" s="1"/>
  <c r="D219" i="5"/>
  <c r="L218" i="5"/>
  <c r="M218" i="5" s="1"/>
  <c r="D218" i="5"/>
  <c r="L217" i="5"/>
  <c r="M217" i="5" s="1"/>
  <c r="D217" i="5"/>
  <c r="L216" i="5"/>
  <c r="M216" i="5" s="1"/>
  <c r="D216" i="5"/>
  <c r="L215" i="5"/>
  <c r="M215" i="5" s="1"/>
  <c r="D215" i="5"/>
  <c r="L214" i="5"/>
  <c r="M214" i="5" s="1"/>
  <c r="H214" i="5"/>
  <c r="D214" i="5" s="1"/>
  <c r="L213" i="5"/>
  <c r="M213" i="5" s="1"/>
  <c r="D213" i="5"/>
  <c r="L209" i="5"/>
  <c r="M209" i="5" s="1"/>
  <c r="D209" i="5"/>
  <c r="L208" i="5"/>
  <c r="M208" i="5" s="1"/>
  <c r="D208" i="5"/>
  <c r="L207" i="5"/>
  <c r="M207" i="5" s="1"/>
  <c r="D207" i="5"/>
  <c r="L206" i="5"/>
  <c r="M206" i="5" s="1"/>
  <c r="D206" i="5"/>
  <c r="L205" i="5"/>
  <c r="M205" i="5" s="1"/>
  <c r="D205" i="5"/>
  <c r="L204" i="5"/>
  <c r="M204" i="5" s="1"/>
  <c r="D204" i="5"/>
  <c r="L203" i="5"/>
  <c r="M203" i="5" s="1"/>
  <c r="D203" i="5"/>
  <c r="L202" i="5"/>
  <c r="M202" i="5" s="1"/>
  <c r="H202" i="5"/>
  <c r="D202" i="5" s="1"/>
  <c r="L201" i="5"/>
  <c r="M201" i="5" s="1"/>
  <c r="D201" i="5"/>
  <c r="L197" i="5"/>
  <c r="M197" i="5" s="1"/>
  <c r="D197" i="5"/>
  <c r="L196" i="5"/>
  <c r="M196" i="5" s="1"/>
  <c r="D196" i="5"/>
  <c r="L195" i="5"/>
  <c r="M195" i="5" s="1"/>
  <c r="D195" i="5"/>
  <c r="M194" i="5"/>
  <c r="L194" i="5"/>
  <c r="D194" i="5"/>
  <c r="L193" i="5"/>
  <c r="M193" i="5" s="1"/>
  <c r="D193" i="5"/>
  <c r="L192" i="5"/>
  <c r="M192" i="5" s="1"/>
  <c r="D192" i="5"/>
  <c r="L191" i="5"/>
  <c r="M191" i="5" s="1"/>
  <c r="D191" i="5"/>
  <c r="L190" i="5"/>
  <c r="M190" i="5" s="1"/>
  <c r="H190" i="5"/>
  <c r="D190" i="5" s="1"/>
  <c r="L189" i="5"/>
  <c r="M189" i="5" s="1"/>
  <c r="D189" i="5"/>
  <c r="L185" i="5" l="1"/>
  <c r="M185" i="5" s="1"/>
  <c r="D185" i="5"/>
  <c r="L184" i="5"/>
  <c r="M184" i="5" s="1"/>
  <c r="D184" i="5"/>
  <c r="L183" i="5"/>
  <c r="M183" i="5" s="1"/>
  <c r="D183" i="5"/>
  <c r="L182" i="5"/>
  <c r="M182" i="5" s="1"/>
  <c r="D182" i="5"/>
  <c r="L181" i="5"/>
  <c r="M181" i="5" s="1"/>
  <c r="D181" i="5"/>
  <c r="L180" i="5"/>
  <c r="M180" i="5" s="1"/>
  <c r="D180" i="5"/>
  <c r="L179" i="5"/>
  <c r="M179" i="5" s="1"/>
  <c r="D179" i="5"/>
  <c r="L178" i="5"/>
  <c r="M178" i="5" s="1"/>
  <c r="H178" i="5"/>
  <c r="D178" i="5"/>
  <c r="L177" i="5"/>
  <c r="M177" i="5" s="1"/>
  <c r="D177" i="5"/>
  <c r="L160" i="5"/>
  <c r="M160" i="5" s="1"/>
  <c r="D160" i="5"/>
  <c r="L159" i="5"/>
  <c r="M159" i="5" s="1"/>
  <c r="D159" i="5"/>
  <c r="L158" i="5"/>
  <c r="M158" i="5" s="1"/>
  <c r="D158" i="5"/>
  <c r="L157" i="5"/>
  <c r="M157" i="5" s="1"/>
  <c r="D157" i="5"/>
  <c r="L156" i="5"/>
  <c r="M156" i="5" s="1"/>
  <c r="D156" i="5"/>
  <c r="L155" i="5"/>
  <c r="M155" i="5" s="1"/>
  <c r="D155" i="5"/>
  <c r="L154" i="5"/>
  <c r="M154" i="5" s="1"/>
  <c r="D154" i="5"/>
  <c r="L153" i="5"/>
  <c r="M153" i="5" s="1"/>
  <c r="H153" i="5"/>
  <c r="D153" i="5" s="1"/>
  <c r="L152" i="5"/>
  <c r="M152" i="5" s="1"/>
  <c r="D152" i="5"/>
  <c r="I110" i="5" l="1"/>
  <c r="I109" i="5"/>
  <c r="Q99" i="5"/>
  <c r="I99" i="5"/>
  <c r="L110" i="5"/>
  <c r="M110" i="5" s="1"/>
  <c r="D110" i="5"/>
  <c r="L109" i="5"/>
  <c r="M109" i="5" s="1"/>
  <c r="K109" i="5"/>
  <c r="D109" i="5"/>
  <c r="L108" i="5"/>
  <c r="M108" i="5" s="1"/>
  <c r="D108" i="5"/>
  <c r="L107" i="5"/>
  <c r="M107" i="5" s="1"/>
  <c r="D107" i="5"/>
  <c r="L106" i="5"/>
  <c r="M106" i="5" s="1"/>
  <c r="D106" i="5"/>
  <c r="L105" i="5"/>
  <c r="M105" i="5" s="1"/>
  <c r="D105" i="5"/>
  <c r="L104" i="5"/>
  <c r="M104" i="5" s="1"/>
  <c r="D104" i="5"/>
  <c r="L103" i="5"/>
  <c r="M103" i="5" s="1"/>
  <c r="D103" i="5"/>
  <c r="L102" i="5"/>
  <c r="M102" i="5" s="1"/>
  <c r="D102" i="5"/>
  <c r="L101" i="5"/>
  <c r="M101" i="5" s="1"/>
  <c r="D101" i="5"/>
  <c r="L100" i="5"/>
  <c r="M100" i="5" s="1"/>
  <c r="D100" i="5"/>
  <c r="P99" i="5"/>
  <c r="L99" i="5"/>
  <c r="M99" i="5" s="1"/>
  <c r="D99" i="5"/>
  <c r="L98" i="5"/>
  <c r="M98" i="5" s="1"/>
  <c r="H98" i="5"/>
  <c r="D98" i="5" s="1"/>
  <c r="L97" i="5"/>
  <c r="M97" i="5" s="1"/>
  <c r="D97" i="5"/>
  <c r="I137" i="5" l="1"/>
  <c r="I136" i="5"/>
  <c r="L137" i="5"/>
  <c r="M137" i="5" s="1"/>
  <c r="D137" i="5"/>
  <c r="L136" i="5"/>
  <c r="M136" i="5" s="1"/>
  <c r="D136" i="5"/>
  <c r="L135" i="5"/>
  <c r="M135" i="5" s="1"/>
  <c r="D135" i="5"/>
  <c r="L134" i="5"/>
  <c r="M134" i="5" s="1"/>
  <c r="D134" i="5"/>
  <c r="L133" i="5"/>
  <c r="M133" i="5" s="1"/>
  <c r="D133" i="5"/>
  <c r="L132" i="5"/>
  <c r="M132" i="5" s="1"/>
  <c r="D132" i="5"/>
  <c r="M131" i="5"/>
  <c r="L131" i="5"/>
  <c r="D131" i="5"/>
  <c r="L130" i="5"/>
  <c r="M130" i="5" s="1"/>
  <c r="D130" i="5"/>
  <c r="L129" i="5"/>
  <c r="M129" i="5" s="1"/>
  <c r="D129" i="5"/>
  <c r="L128" i="5"/>
  <c r="M128" i="5" s="1"/>
  <c r="D128" i="5"/>
  <c r="L127" i="5"/>
  <c r="M127" i="5" s="1"/>
  <c r="D127" i="5"/>
  <c r="L126" i="5"/>
  <c r="M126" i="5" s="1"/>
  <c r="D126" i="5"/>
  <c r="L125" i="5"/>
  <c r="M125" i="5" s="1"/>
  <c r="D125" i="5"/>
  <c r="L124" i="5"/>
  <c r="M124" i="5" s="1"/>
  <c r="D124" i="5"/>
  <c r="L123" i="5"/>
  <c r="M123" i="5" s="1"/>
  <c r="D123" i="5"/>
  <c r="L122" i="5"/>
  <c r="M122" i="5" s="1"/>
  <c r="D122" i="5"/>
  <c r="L121" i="5"/>
  <c r="M121" i="5" s="1"/>
  <c r="D121" i="5"/>
  <c r="L120" i="5"/>
  <c r="M120" i="5" s="1"/>
  <c r="D120" i="5"/>
  <c r="L119" i="5"/>
  <c r="M119" i="5" s="1"/>
  <c r="D119" i="5"/>
  <c r="L118" i="5"/>
  <c r="M118" i="5" s="1"/>
  <c r="D118" i="5"/>
  <c r="L117" i="5"/>
  <c r="M117" i="5" s="1"/>
  <c r="D117" i="5"/>
  <c r="Q116" i="5"/>
  <c r="L116" i="5"/>
  <c r="M116" i="5" s="1"/>
  <c r="D116" i="5"/>
  <c r="L115" i="5"/>
  <c r="M115" i="5" s="1"/>
  <c r="H115" i="5"/>
  <c r="D115" i="5" s="1"/>
  <c r="L114" i="5"/>
  <c r="M114" i="5" s="1"/>
  <c r="D114" i="5"/>
  <c r="K66" i="5" l="1"/>
  <c r="K93" i="5"/>
  <c r="I94" i="5"/>
  <c r="I93" i="5"/>
  <c r="T73" i="5"/>
  <c r="L91" i="5"/>
  <c r="M91" i="5" s="1"/>
  <c r="D91" i="5"/>
  <c r="L90" i="5"/>
  <c r="M90" i="5" s="1"/>
  <c r="D90" i="5"/>
  <c r="L89" i="5"/>
  <c r="M89" i="5" s="1"/>
  <c r="D89" i="5"/>
  <c r="L88" i="5"/>
  <c r="M88" i="5" s="1"/>
  <c r="D88" i="5"/>
  <c r="L87" i="5"/>
  <c r="M87" i="5" s="1"/>
  <c r="D87" i="5"/>
  <c r="I67" i="5"/>
  <c r="I66" i="5"/>
  <c r="D65" i="5"/>
  <c r="L65" i="5"/>
  <c r="M65" i="5" s="1"/>
  <c r="L94" i="5"/>
  <c r="M94" i="5" s="1"/>
  <c r="D94" i="5"/>
  <c r="L93" i="5"/>
  <c r="M93" i="5" s="1"/>
  <c r="D93" i="5"/>
  <c r="L92" i="5"/>
  <c r="M92" i="5" s="1"/>
  <c r="D92" i="5"/>
  <c r="L86" i="5"/>
  <c r="M86" i="5" s="1"/>
  <c r="D86" i="5"/>
  <c r="L85" i="5"/>
  <c r="M85" i="5" s="1"/>
  <c r="D85" i="5"/>
  <c r="L84" i="5"/>
  <c r="M84" i="5" s="1"/>
  <c r="D84" i="5"/>
  <c r="L83" i="5"/>
  <c r="M83" i="5" s="1"/>
  <c r="D83" i="5"/>
  <c r="L82" i="5"/>
  <c r="M82" i="5" s="1"/>
  <c r="D82" i="5"/>
  <c r="L81" i="5"/>
  <c r="M81" i="5" s="1"/>
  <c r="D81" i="5"/>
  <c r="L80" i="5"/>
  <c r="M80" i="5" s="1"/>
  <c r="D80" i="5"/>
  <c r="L79" i="5"/>
  <c r="M79" i="5" s="1"/>
  <c r="D79" i="5"/>
  <c r="L78" i="5"/>
  <c r="M78" i="5" s="1"/>
  <c r="D78" i="5"/>
  <c r="L77" i="5"/>
  <c r="M77" i="5" s="1"/>
  <c r="D77" i="5"/>
  <c r="L76" i="5"/>
  <c r="M76" i="5" s="1"/>
  <c r="D76" i="5"/>
  <c r="L75" i="5"/>
  <c r="M75" i="5" s="1"/>
  <c r="D75" i="5"/>
  <c r="L74" i="5"/>
  <c r="M74" i="5" s="1"/>
  <c r="D74" i="5"/>
  <c r="S73" i="5"/>
  <c r="R73" i="5"/>
  <c r="Q73" i="5"/>
  <c r="P73" i="5"/>
  <c r="L73" i="5"/>
  <c r="M73" i="5" s="1"/>
  <c r="D73" i="5"/>
  <c r="L72" i="5"/>
  <c r="M72" i="5" s="1"/>
  <c r="H72" i="5"/>
  <c r="D72" i="5" s="1"/>
  <c r="L71" i="5"/>
  <c r="M71" i="5" s="1"/>
  <c r="D71" i="5"/>
  <c r="S56" i="5"/>
  <c r="I60" i="5"/>
  <c r="L67" i="5" l="1"/>
  <c r="M67" i="5" s="1"/>
  <c r="D67" i="5"/>
  <c r="L66" i="5"/>
  <c r="M66" i="5" s="1"/>
  <c r="D66" i="5"/>
  <c r="L64" i="5"/>
  <c r="M64" i="5" s="1"/>
  <c r="D64" i="5"/>
  <c r="L63" i="5"/>
  <c r="M63" i="5" s="1"/>
  <c r="D63" i="5"/>
  <c r="L62" i="5"/>
  <c r="M62" i="5" s="1"/>
  <c r="D62" i="5"/>
  <c r="L61" i="5"/>
  <c r="M61" i="5" s="1"/>
  <c r="D61" i="5"/>
  <c r="L60" i="5"/>
  <c r="M60" i="5" s="1"/>
  <c r="D60" i="5"/>
  <c r="L59" i="5"/>
  <c r="M59" i="5" s="1"/>
  <c r="D59" i="5"/>
  <c r="L58" i="5"/>
  <c r="M58" i="5" s="1"/>
  <c r="D58" i="5"/>
  <c r="L57" i="5"/>
  <c r="M57" i="5" s="1"/>
  <c r="D57" i="5"/>
  <c r="R56" i="5"/>
  <c r="Q56" i="5"/>
  <c r="P56" i="5"/>
  <c r="L56" i="5"/>
  <c r="M56" i="5" s="1"/>
  <c r="D56" i="5"/>
  <c r="L55" i="5"/>
  <c r="M55" i="5" s="1"/>
  <c r="H55" i="5"/>
  <c r="D55" i="5" s="1"/>
  <c r="L54" i="5"/>
  <c r="M54" i="5" s="1"/>
  <c r="D54" i="5"/>
  <c r="I41" i="5"/>
  <c r="L50" i="5"/>
  <c r="M50" i="5" s="1"/>
  <c r="D50" i="5"/>
  <c r="L49" i="5"/>
  <c r="M49" i="5" s="1"/>
  <c r="D49" i="5"/>
  <c r="L48" i="5"/>
  <c r="M48" i="5" s="1"/>
  <c r="D48" i="5"/>
  <c r="L47" i="5"/>
  <c r="M47" i="5" s="1"/>
  <c r="D47" i="5"/>
  <c r="L46" i="5"/>
  <c r="M46" i="5" s="1"/>
  <c r="D46" i="5"/>
  <c r="L45" i="5"/>
  <c r="M45" i="5" s="1"/>
  <c r="D45" i="5"/>
  <c r="L44" i="5"/>
  <c r="M44" i="5" s="1"/>
  <c r="D44" i="5"/>
  <c r="S43" i="5"/>
  <c r="R43" i="5"/>
  <c r="Q43" i="5"/>
  <c r="P43" i="5"/>
  <c r="L43" i="5"/>
  <c r="M43" i="5" s="1"/>
  <c r="D43" i="5"/>
  <c r="L42" i="5"/>
  <c r="M42" i="5" s="1"/>
  <c r="H42" i="5"/>
  <c r="D42" i="5" s="1"/>
  <c r="L41" i="5"/>
  <c r="M41" i="5" s="1"/>
  <c r="D41" i="5"/>
  <c r="K37" i="5" l="1"/>
  <c r="I38" i="5"/>
  <c r="I37" i="5"/>
  <c r="S17" i="5"/>
  <c r="L32" i="5"/>
  <c r="M32" i="5" s="1"/>
  <c r="D32" i="5"/>
  <c r="L31" i="5"/>
  <c r="M31" i="5" s="1"/>
  <c r="D31" i="5"/>
  <c r="L30" i="5"/>
  <c r="M30" i="5" s="1"/>
  <c r="D30" i="5"/>
  <c r="L29" i="5"/>
  <c r="M29" i="5" s="1"/>
  <c r="J29" i="5"/>
  <c r="D29" i="5"/>
  <c r="D33" i="5"/>
  <c r="L33" i="5"/>
  <c r="M33" i="5" s="1"/>
  <c r="D34" i="5"/>
  <c r="L34" i="5"/>
  <c r="M34" i="5" s="1"/>
  <c r="D35" i="5"/>
  <c r="L35" i="5"/>
  <c r="M35" i="5" s="1"/>
  <c r="R17" i="5"/>
  <c r="L22" i="5"/>
  <c r="M22" i="5" s="1"/>
  <c r="D22" i="5"/>
  <c r="L21" i="5"/>
  <c r="M21" i="5" s="1"/>
  <c r="D21" i="5"/>
  <c r="L20" i="5"/>
  <c r="M20" i="5" s="1"/>
  <c r="D20" i="5"/>
  <c r="L19" i="5"/>
  <c r="M19" i="5" s="1"/>
  <c r="J19" i="5"/>
  <c r="D19" i="5"/>
  <c r="L26" i="5"/>
  <c r="M26" i="5" s="1"/>
  <c r="D26" i="5"/>
  <c r="L25" i="5"/>
  <c r="M25" i="5" s="1"/>
  <c r="D25" i="5"/>
  <c r="L24" i="5"/>
  <c r="M24" i="5" s="1"/>
  <c r="J24" i="5"/>
  <c r="D24" i="5"/>
  <c r="L23" i="5"/>
  <c r="M23" i="5" s="1"/>
  <c r="D23" i="5"/>
  <c r="L28" i="5"/>
  <c r="M28" i="5" s="1"/>
  <c r="D28" i="5"/>
  <c r="L27" i="5"/>
  <c r="M27" i="5" s="1"/>
  <c r="D27" i="5"/>
  <c r="Q17" i="5"/>
  <c r="P17" i="5"/>
  <c r="Q10" i="5"/>
  <c r="N19" i="5" l="1"/>
  <c r="N29" i="5"/>
  <c r="N24" i="5"/>
  <c r="P10" i="5"/>
  <c r="L245" i="5" l="1"/>
  <c r="M245" i="5" s="1"/>
  <c r="D245" i="5"/>
  <c r="L244" i="5"/>
  <c r="M244" i="5" s="1"/>
  <c r="D244" i="5"/>
  <c r="L243" i="5"/>
  <c r="M243" i="5" s="1"/>
  <c r="D243" i="5"/>
  <c r="L242" i="5"/>
  <c r="M242" i="5" s="1"/>
  <c r="D242" i="5"/>
  <c r="L241" i="5"/>
  <c r="M241" i="5" s="1"/>
  <c r="D241" i="5"/>
  <c r="L240" i="5"/>
  <c r="M240" i="5" s="1"/>
  <c r="D240" i="5"/>
  <c r="L239" i="5"/>
  <c r="M239" i="5" s="1"/>
  <c r="D239" i="5"/>
  <c r="L238" i="5"/>
  <c r="M238" i="5" s="1"/>
  <c r="H238" i="5"/>
  <c r="D238" i="5" s="1"/>
  <c r="L237" i="5"/>
  <c r="M237" i="5" s="1"/>
  <c r="D237" i="5"/>
  <c r="L259" i="5" l="1"/>
  <c r="M259" i="5" s="1"/>
  <c r="D259" i="5"/>
  <c r="L258" i="5"/>
  <c r="M258" i="5" s="1"/>
  <c r="D258" i="5"/>
  <c r="L257" i="5"/>
  <c r="M257" i="5" s="1"/>
  <c r="D257" i="5"/>
  <c r="L256" i="5"/>
  <c r="M256" i="5" s="1"/>
  <c r="D256" i="5"/>
  <c r="L255" i="5"/>
  <c r="M255" i="5" s="1"/>
  <c r="D255" i="5"/>
  <c r="L254" i="5"/>
  <c r="M254" i="5" s="1"/>
  <c r="D254" i="5"/>
  <c r="L253" i="5"/>
  <c r="M253" i="5" s="1"/>
  <c r="D253" i="5"/>
  <c r="L252" i="5"/>
  <c r="M252" i="5" s="1"/>
  <c r="H252" i="5"/>
  <c r="D252" i="5" s="1"/>
  <c r="L251" i="5"/>
  <c r="M251" i="5" s="1"/>
  <c r="D251" i="5"/>
  <c r="L286" i="5"/>
  <c r="M286" i="5" s="1"/>
  <c r="D286" i="5"/>
  <c r="L285" i="5"/>
  <c r="M285" i="5" s="1"/>
  <c r="D285" i="5"/>
  <c r="L284" i="5"/>
  <c r="M284" i="5" s="1"/>
  <c r="D284" i="5"/>
  <c r="L283" i="5"/>
  <c r="M283" i="5" s="1"/>
  <c r="D283" i="5"/>
  <c r="L282" i="5"/>
  <c r="M282" i="5" s="1"/>
  <c r="D282" i="5"/>
  <c r="L281" i="5"/>
  <c r="M281" i="5" s="1"/>
  <c r="D281" i="5"/>
  <c r="L280" i="5"/>
  <c r="M280" i="5" s="1"/>
  <c r="D280" i="5"/>
  <c r="L279" i="5"/>
  <c r="M279" i="5" s="1"/>
  <c r="H279" i="5"/>
  <c r="D279" i="5" s="1"/>
  <c r="L278" i="5"/>
  <c r="M278" i="5" s="1"/>
  <c r="D278" i="5"/>
  <c r="L272" i="5" l="1"/>
  <c r="M272" i="5" s="1"/>
  <c r="D272" i="5"/>
  <c r="L271" i="5"/>
  <c r="M271" i="5" s="1"/>
  <c r="D271" i="5"/>
  <c r="L270" i="5"/>
  <c r="M270" i="5" s="1"/>
  <c r="D270" i="5"/>
  <c r="L269" i="5"/>
  <c r="M269" i="5" s="1"/>
  <c r="D269" i="5"/>
  <c r="L268" i="5"/>
  <c r="M268" i="5" s="1"/>
  <c r="D268" i="5"/>
  <c r="L267" i="5"/>
  <c r="M267" i="5" s="1"/>
  <c r="D267" i="5"/>
  <c r="L266" i="5"/>
  <c r="M266" i="5" s="1"/>
  <c r="D266" i="5"/>
  <c r="L265" i="5"/>
  <c r="M265" i="5" s="1"/>
  <c r="H265" i="5"/>
  <c r="D265" i="5" s="1"/>
  <c r="L264" i="5"/>
  <c r="M264" i="5" s="1"/>
  <c r="D264" i="5"/>
  <c r="L173" i="5"/>
  <c r="M173" i="5" s="1"/>
  <c r="D173" i="5"/>
  <c r="L172" i="5"/>
  <c r="M172" i="5" s="1"/>
  <c r="D172" i="5"/>
  <c r="L171" i="5"/>
  <c r="M171" i="5" s="1"/>
  <c r="D171" i="5"/>
  <c r="L170" i="5"/>
  <c r="M170" i="5" s="1"/>
  <c r="D170" i="5"/>
  <c r="L169" i="5"/>
  <c r="M169" i="5" s="1"/>
  <c r="D169" i="5"/>
  <c r="L168" i="5"/>
  <c r="M168" i="5" s="1"/>
  <c r="D168" i="5"/>
  <c r="L167" i="5"/>
  <c r="M167" i="5" s="1"/>
  <c r="D167" i="5"/>
  <c r="L166" i="5"/>
  <c r="M166" i="5" s="1"/>
  <c r="H166" i="5"/>
  <c r="D166" i="5" s="1"/>
  <c r="L165" i="5"/>
  <c r="M165" i="5" s="1"/>
  <c r="D165" i="5"/>
  <c r="L149" i="5" l="1"/>
  <c r="M149" i="5" s="1"/>
  <c r="D149" i="5"/>
  <c r="L148" i="5"/>
  <c r="M148" i="5" s="1"/>
  <c r="D148" i="5"/>
  <c r="L147" i="5"/>
  <c r="M147" i="5" s="1"/>
  <c r="D147" i="5"/>
  <c r="L146" i="5"/>
  <c r="M146" i="5" s="1"/>
  <c r="D146" i="5"/>
  <c r="L145" i="5"/>
  <c r="M145" i="5" s="1"/>
  <c r="D145" i="5"/>
  <c r="L144" i="5"/>
  <c r="M144" i="5" s="1"/>
  <c r="D144" i="5"/>
  <c r="L143" i="5"/>
  <c r="M143" i="5" s="1"/>
  <c r="D143" i="5"/>
  <c r="L142" i="5"/>
  <c r="M142" i="5" s="1"/>
  <c r="H142" i="5"/>
  <c r="D142" i="5" s="1"/>
  <c r="L141" i="5"/>
  <c r="M141" i="5" s="1"/>
  <c r="D141" i="5"/>
  <c r="L38" i="5"/>
  <c r="M38" i="5" s="1"/>
  <c r="J38" i="5"/>
  <c r="D38" i="5"/>
  <c r="L37" i="5"/>
  <c r="M37" i="5" s="1"/>
  <c r="J37" i="5"/>
  <c r="D37" i="5"/>
  <c r="L36" i="5"/>
  <c r="M36" i="5" s="1"/>
  <c r="D36" i="5"/>
  <c r="L18" i="5"/>
  <c r="M18" i="5" s="1"/>
  <c r="D18" i="5"/>
  <c r="L17" i="5"/>
  <c r="M17" i="5" s="1"/>
  <c r="D17" i="5"/>
  <c r="L16" i="5"/>
  <c r="M16" i="5" s="1"/>
  <c r="H16" i="5"/>
  <c r="D16" i="5" s="1"/>
  <c r="L15" i="5"/>
  <c r="M15" i="5" s="1"/>
  <c r="J15" i="5"/>
  <c r="D15" i="5"/>
  <c r="N38" i="5" l="1"/>
  <c r="N37" i="5"/>
  <c r="N15" i="5"/>
  <c r="G10" i="2" l="1"/>
  <c r="G9" i="2" l="1"/>
  <c r="G11" i="2" l="1"/>
  <c r="I47" i="11" l="1"/>
  <c r="I48" i="11" s="1"/>
  <c r="I49" i="11" s="1"/>
  <c r="I50" i="11" s="1"/>
  <c r="F47" i="11"/>
  <c r="F48" i="11" s="1"/>
  <c r="F49" i="11" s="1"/>
  <c r="F50" i="11" s="1"/>
  <c r="H44" i="11"/>
  <c r="E44" i="11"/>
  <c r="B44" i="11"/>
  <c r="BB43" i="11"/>
  <c r="AP43" i="11"/>
  <c r="AD43" i="11"/>
  <c r="BB42" i="11"/>
  <c r="AP42" i="11"/>
  <c r="AD42" i="11"/>
  <c r="BB41" i="11"/>
  <c r="AP41" i="11"/>
  <c r="AD41" i="11"/>
  <c r="BB40" i="11"/>
  <c r="AY40" i="11"/>
  <c r="AP40" i="11"/>
  <c r="AM40" i="11"/>
  <c r="AJ40" i="11"/>
  <c r="AD40" i="11"/>
  <c r="AA40" i="11"/>
  <c r="Y40" i="11"/>
  <c r="AK40" i="11" s="1"/>
  <c r="X40" i="11"/>
  <c r="BB39" i="11"/>
  <c r="AY39" i="11"/>
  <c r="AP39" i="11"/>
  <c r="AM39" i="11"/>
  <c r="AJ39" i="11"/>
  <c r="AD39" i="11"/>
  <c r="AA39" i="11"/>
  <c r="Y39" i="11"/>
  <c r="AK39" i="11" s="1"/>
  <c r="X39" i="11"/>
  <c r="W39" i="11"/>
  <c r="V39" i="11"/>
  <c r="BB38" i="11"/>
  <c r="AY38" i="11"/>
  <c r="AP38" i="11"/>
  <c r="AM38" i="11"/>
  <c r="AJ38" i="11"/>
  <c r="AD38" i="11"/>
  <c r="AA38" i="11"/>
  <c r="Y38" i="11"/>
  <c r="AK38" i="11" s="1"/>
  <c r="X38" i="11"/>
  <c r="W38" i="11"/>
  <c r="V38" i="11"/>
  <c r="BB37" i="11"/>
  <c r="AY37" i="11"/>
  <c r="AP37" i="11"/>
  <c r="AM37" i="11"/>
  <c r="AJ37" i="11"/>
  <c r="AD37" i="11"/>
  <c r="AA37" i="11"/>
  <c r="Y37" i="11"/>
  <c r="AK37" i="11" s="1"/>
  <c r="X37" i="11"/>
  <c r="W37" i="11"/>
  <c r="V37" i="11"/>
  <c r="BB36" i="11"/>
  <c r="AY36" i="11"/>
  <c r="AP36" i="11"/>
  <c r="AM36" i="11"/>
  <c r="AJ36" i="11"/>
  <c r="AD36" i="11"/>
  <c r="AA36" i="11"/>
  <c r="Y36" i="11"/>
  <c r="AK36" i="11" s="1"/>
  <c r="X36" i="11"/>
  <c r="W36" i="11"/>
  <c r="V36" i="11"/>
  <c r="BB35" i="11"/>
  <c r="AY35" i="11"/>
  <c r="AQ35" i="11"/>
  <c r="AP35" i="11"/>
  <c r="AN35" i="11"/>
  <c r="AM35" i="11"/>
  <c r="AJ35" i="11"/>
  <c r="AD35" i="11"/>
  <c r="AA35" i="11"/>
  <c r="Y35" i="11"/>
  <c r="AK35" i="11" s="1"/>
  <c r="X35" i="11"/>
  <c r="W35" i="11"/>
  <c r="V35" i="11"/>
  <c r="BB34" i="11"/>
  <c r="AY34" i="11"/>
  <c r="AP34" i="11"/>
  <c r="AM34" i="11"/>
  <c r="AJ34" i="11"/>
  <c r="AD34" i="11"/>
  <c r="AA34" i="11"/>
  <c r="Y34" i="11"/>
  <c r="AK34" i="11" s="1"/>
  <c r="X34" i="11"/>
  <c r="W34" i="11"/>
  <c r="V34" i="11"/>
  <c r="BB33" i="11"/>
  <c r="AY33" i="11"/>
  <c r="AP33" i="11"/>
  <c r="AM33" i="11"/>
  <c r="AJ33" i="11"/>
  <c r="AD33" i="11"/>
  <c r="AA33" i="11"/>
  <c r="Y33" i="11"/>
  <c r="AK33" i="11" s="1"/>
  <c r="X33" i="11"/>
  <c r="W33" i="11"/>
  <c r="V33" i="11"/>
  <c r="BB32" i="11"/>
  <c r="AY32" i="11"/>
  <c r="AP32" i="11"/>
  <c r="AM32" i="11"/>
  <c r="AJ32" i="11"/>
  <c r="AH32" i="11"/>
  <c r="AD32" i="11"/>
  <c r="AA32" i="11"/>
  <c r="Y32" i="11"/>
  <c r="AK32" i="11" s="1"/>
  <c r="X32" i="11"/>
  <c r="W32" i="11"/>
  <c r="AI32" i="11" s="1"/>
  <c r="V32" i="11"/>
  <c r="BB31" i="11"/>
  <c r="AY31" i="11"/>
  <c r="AP31" i="11"/>
  <c r="AM31" i="11"/>
  <c r="AJ31" i="11"/>
  <c r="AH31" i="11"/>
  <c r="AD31" i="11"/>
  <c r="AA31" i="11"/>
  <c r="Y31" i="11"/>
  <c r="AK31" i="11" s="1"/>
  <c r="X31" i="11"/>
  <c r="W31" i="11"/>
  <c r="AI31" i="11" s="1"/>
  <c r="V31" i="11"/>
  <c r="BB30" i="11"/>
  <c r="AY30" i="11"/>
  <c r="AV30" i="11"/>
  <c r="AQ30" i="11"/>
  <c r="AP30" i="11"/>
  <c r="AN30" i="11"/>
  <c r="AM30" i="11"/>
  <c r="AJ30" i="11"/>
  <c r="AH30" i="11"/>
  <c r="AD30" i="11"/>
  <c r="AE43" i="11" s="1"/>
  <c r="AA30" i="11"/>
  <c r="Y30" i="11"/>
  <c r="AK30" i="11" s="1"/>
  <c r="AW30" i="11" s="1"/>
  <c r="X30" i="11"/>
  <c r="W30" i="11"/>
  <c r="AI30" i="11" s="1"/>
  <c r="V30" i="11"/>
  <c r="L20" i="11"/>
  <c r="H20" i="11"/>
  <c r="E20" i="11"/>
  <c r="B20" i="11"/>
  <c r="BB19" i="11"/>
  <c r="AP19" i="11"/>
  <c r="AD19" i="11"/>
  <c r="I19" i="11"/>
  <c r="I20" i="11" s="1"/>
  <c r="I21" i="11" s="1"/>
  <c r="I22" i="11" s="1"/>
  <c r="I23" i="11" s="1"/>
  <c r="I24" i="11" s="1"/>
  <c r="I25" i="11" s="1"/>
  <c r="I26" i="11" s="1"/>
  <c r="F19" i="11"/>
  <c r="F20" i="11" s="1"/>
  <c r="F21" i="11" s="1"/>
  <c r="F22" i="11" s="1"/>
  <c r="F23" i="11" s="1"/>
  <c r="F24" i="11" s="1"/>
  <c r="F25" i="11" s="1"/>
  <c r="F26" i="11" s="1"/>
  <c r="C19" i="11"/>
  <c r="BB18" i="11"/>
  <c r="AP18" i="11"/>
  <c r="AD18" i="11"/>
  <c r="M18" i="11"/>
  <c r="BB17" i="11"/>
  <c r="AP17" i="11"/>
  <c r="AD17" i="11"/>
  <c r="M17" i="11"/>
  <c r="BB16" i="11"/>
  <c r="AY16" i="11"/>
  <c r="AP16" i="11"/>
  <c r="AM16" i="11"/>
  <c r="AJ16" i="11"/>
  <c r="AD16" i="11"/>
  <c r="AA16" i="11"/>
  <c r="Y16" i="11"/>
  <c r="AK16" i="11" s="1"/>
  <c r="X16" i="11"/>
  <c r="M16" i="11"/>
  <c r="BB15" i="11"/>
  <c r="AY15" i="11"/>
  <c r="AP15" i="11"/>
  <c r="AM15" i="11"/>
  <c r="AJ15" i="11"/>
  <c r="AD15" i="11"/>
  <c r="AA15" i="11"/>
  <c r="Y15" i="11"/>
  <c r="AK15" i="11" s="1"/>
  <c r="X15" i="11"/>
  <c r="M15" i="11"/>
  <c r="BB14" i="11"/>
  <c r="AY14" i="11"/>
  <c r="AP14" i="11"/>
  <c r="AM14" i="11"/>
  <c r="AJ14" i="11"/>
  <c r="AD14" i="11"/>
  <c r="AA14" i="11"/>
  <c r="Y14" i="11"/>
  <c r="AK14" i="11" s="1"/>
  <c r="X14" i="11"/>
  <c r="W14" i="11"/>
  <c r="V14" i="11"/>
  <c r="M14" i="11"/>
  <c r="BB13" i="11"/>
  <c r="AY13" i="11"/>
  <c r="AP13" i="11"/>
  <c r="AM13" i="11"/>
  <c r="AJ13" i="11"/>
  <c r="AD13" i="11"/>
  <c r="AA13" i="11"/>
  <c r="Y13" i="11"/>
  <c r="AK13" i="11" s="1"/>
  <c r="X13" i="11"/>
  <c r="W13" i="11"/>
  <c r="V13" i="11"/>
  <c r="M13" i="11"/>
  <c r="BB12" i="11"/>
  <c r="AY12" i="11"/>
  <c r="AP12" i="11"/>
  <c r="AM12" i="11"/>
  <c r="AJ12" i="11"/>
  <c r="AD12" i="11"/>
  <c r="AA12" i="11"/>
  <c r="Y12" i="11"/>
  <c r="AK12" i="11" s="1"/>
  <c r="X12" i="11"/>
  <c r="W12" i="11"/>
  <c r="V12" i="11"/>
  <c r="M12" i="11"/>
  <c r="BB11" i="11"/>
  <c r="AY11" i="11"/>
  <c r="AQ11" i="11"/>
  <c r="AP11" i="11"/>
  <c r="AN11" i="11"/>
  <c r="AM11" i="11"/>
  <c r="AJ11" i="11"/>
  <c r="AD11" i="11"/>
  <c r="AA11" i="11"/>
  <c r="AB9" i="11" s="1"/>
  <c r="Y11" i="11"/>
  <c r="AK11" i="11" s="1"/>
  <c r="X11" i="11"/>
  <c r="W11" i="11"/>
  <c r="V11" i="11"/>
  <c r="M11" i="11"/>
  <c r="BB10" i="11"/>
  <c r="AY10" i="11"/>
  <c r="AP10" i="11"/>
  <c r="AM10" i="11"/>
  <c r="AJ10" i="11"/>
  <c r="AH10" i="11"/>
  <c r="AD10" i="11"/>
  <c r="AA10" i="11"/>
  <c r="Y10" i="11"/>
  <c r="AK10" i="11" s="1"/>
  <c r="X10" i="11"/>
  <c r="W10" i="11"/>
  <c r="AI10" i="11" s="1"/>
  <c r="V10" i="11"/>
  <c r="M10" i="11"/>
  <c r="BB9" i="11"/>
  <c r="AY9" i="11"/>
  <c r="AP9" i="11"/>
  <c r="AM9" i="11"/>
  <c r="AJ9" i="11"/>
  <c r="AH9" i="11"/>
  <c r="AD9" i="11"/>
  <c r="AA9" i="11"/>
  <c r="Y9" i="11"/>
  <c r="AK9" i="11" s="1"/>
  <c r="X9" i="11"/>
  <c r="W9" i="11"/>
  <c r="AI9" i="11" s="1"/>
  <c r="V9" i="11"/>
  <c r="M9" i="11"/>
  <c r="BB8" i="11"/>
  <c r="BC8" i="11" s="1"/>
  <c r="AY8" i="11"/>
  <c r="AP8" i="11"/>
  <c r="AM8" i="11"/>
  <c r="AJ8" i="11"/>
  <c r="AH8" i="11"/>
  <c r="AD8" i="11"/>
  <c r="AA8" i="11"/>
  <c r="Y8" i="11"/>
  <c r="AK8" i="11" s="1"/>
  <c r="X8" i="11"/>
  <c r="W8" i="11"/>
  <c r="AI8" i="11" s="1"/>
  <c r="V8" i="11"/>
  <c r="M8" i="11"/>
  <c r="BB7" i="11"/>
  <c r="AY7" i="11"/>
  <c r="AP7" i="11"/>
  <c r="AM7" i="11"/>
  <c r="AJ7" i="11"/>
  <c r="AH7" i="11"/>
  <c r="AD7" i="11"/>
  <c r="AA7" i="11"/>
  <c r="Y7" i="11"/>
  <c r="AK7" i="11" s="1"/>
  <c r="X7" i="11"/>
  <c r="W7" i="11"/>
  <c r="AI7" i="11" s="1"/>
  <c r="V7" i="11"/>
  <c r="M7" i="11"/>
  <c r="BB6" i="11"/>
  <c r="AY6" i="11"/>
  <c r="AZ9" i="11" s="1"/>
  <c r="AV6" i="11"/>
  <c r="AQ6" i="11"/>
  <c r="AP6" i="11"/>
  <c r="AN6" i="11"/>
  <c r="AM6" i="11"/>
  <c r="AJ6" i="11"/>
  <c r="AH6" i="11"/>
  <c r="AD6" i="11"/>
  <c r="AA6" i="11"/>
  <c r="Y6" i="11"/>
  <c r="AK6" i="11" s="1"/>
  <c r="AW6" i="11" s="1"/>
  <c r="X6" i="11"/>
  <c r="W6" i="11"/>
  <c r="AI6" i="11" s="1"/>
  <c r="V6" i="11"/>
  <c r="M6" i="11"/>
  <c r="M5" i="11"/>
  <c r="L12" i="5"/>
  <c r="M12" i="5" s="1"/>
  <c r="D12" i="5"/>
  <c r="L11" i="5"/>
  <c r="M11" i="5" s="1"/>
  <c r="D11" i="5"/>
  <c r="L10" i="5"/>
  <c r="M10" i="5" s="1"/>
  <c r="D10" i="5"/>
  <c r="L9" i="5"/>
  <c r="M9" i="5" s="1"/>
  <c r="H9" i="5"/>
  <c r="D9" i="5" s="1"/>
  <c r="L8" i="5"/>
  <c r="M8" i="5" s="1"/>
  <c r="D8" i="5"/>
  <c r="AB10" i="11" l="1"/>
  <c r="AE7" i="11"/>
  <c r="BC17" i="11"/>
  <c r="AE19" i="11"/>
  <c r="BC16" i="11"/>
  <c r="AE17" i="11"/>
  <c r="AZ31" i="11"/>
  <c r="AN9" i="11"/>
  <c r="BC19" i="11"/>
  <c r="AE34" i="11"/>
  <c r="AZ34" i="11"/>
  <c r="AZ10" i="11"/>
  <c r="AN10" i="11" s="1"/>
  <c r="BC12" i="11"/>
  <c r="AB31" i="11"/>
  <c r="AZ32" i="11"/>
  <c r="AE36" i="11"/>
  <c r="AZ36" i="11"/>
  <c r="BC39" i="11"/>
  <c r="BC42" i="11"/>
  <c r="AE8" i="11"/>
  <c r="AQ8" i="11" s="1"/>
  <c r="AE14" i="11"/>
  <c r="AZ14" i="11"/>
  <c r="AB32" i="11"/>
  <c r="AN32" i="11" s="1"/>
  <c r="BC33" i="11"/>
  <c r="AE15" i="11"/>
  <c r="BC7" i="11"/>
  <c r="AQ7" i="11" s="1"/>
  <c r="BC13" i="11"/>
  <c r="BC15" i="11"/>
  <c r="AB16" i="11"/>
  <c r="AB33" i="11"/>
  <c r="AB37" i="11"/>
  <c r="AN37" i="11" s="1"/>
  <c r="AB12" i="11"/>
  <c r="AB13" i="11"/>
  <c r="C20" i="11"/>
  <c r="M19" i="11"/>
  <c r="AQ19" i="11"/>
  <c r="AB15" i="11"/>
  <c r="BC37" i="11"/>
  <c r="AB39" i="11"/>
  <c r="AQ17" i="11"/>
  <c r="AB38" i="11"/>
  <c r="BC43" i="11"/>
  <c r="AQ43" i="11" s="1"/>
  <c r="AE38" i="11"/>
  <c r="AZ38" i="11"/>
  <c r="AB40" i="11"/>
  <c r="AZ15" i="11"/>
  <c r="AB7" i="11"/>
  <c r="BC9" i="11"/>
  <c r="AZ40" i="11"/>
  <c r="BC40" i="11"/>
  <c r="AE42" i="11"/>
  <c r="AQ42" i="11" s="1"/>
  <c r="AB8" i="11"/>
  <c r="AZ8" i="11"/>
  <c r="AE10" i="11"/>
  <c r="BC10" i="11"/>
  <c r="AE12" i="11"/>
  <c r="AQ12" i="11" s="1"/>
  <c r="AZ12" i="11"/>
  <c r="AB14" i="11"/>
  <c r="BC14" i="11"/>
  <c r="AQ14" i="11" s="1"/>
  <c r="AE16" i="11"/>
  <c r="AQ16" i="11" s="1"/>
  <c r="AZ16" i="11"/>
  <c r="AN16" i="11" s="1"/>
  <c r="AE18" i="11"/>
  <c r="BC18" i="11"/>
  <c r="AE31" i="11"/>
  <c r="BC31" i="11"/>
  <c r="AE32" i="11"/>
  <c r="BC32" i="11"/>
  <c r="AE33" i="11"/>
  <c r="AZ33" i="11"/>
  <c r="AB34" i="11"/>
  <c r="BC34" i="11"/>
  <c r="AQ34" i="11" s="1"/>
  <c r="AB36" i="11"/>
  <c r="AN36" i="11" s="1"/>
  <c r="BC36" i="11"/>
  <c r="AE37" i="11"/>
  <c r="AQ37" i="11" s="1"/>
  <c r="AZ37" i="11"/>
  <c r="BC38" i="11"/>
  <c r="AE39" i="11"/>
  <c r="AQ39" i="11" s="1"/>
  <c r="AZ39" i="11"/>
  <c r="AE40" i="11"/>
  <c r="AE41" i="11"/>
  <c r="BC41" i="11"/>
  <c r="AZ7" i="11"/>
  <c r="AE9" i="11"/>
  <c r="AE13" i="11"/>
  <c r="AQ13" i="11" s="1"/>
  <c r="AZ13" i="11"/>
  <c r="AN34" i="11" l="1"/>
  <c r="AN31" i="11"/>
  <c r="AQ9" i="11"/>
  <c r="AQ36" i="11"/>
  <c r="AN38" i="11"/>
  <c r="AN33" i="11"/>
  <c r="AQ32" i="11"/>
  <c r="AQ18" i="11"/>
  <c r="AN14" i="11"/>
  <c r="AQ10" i="11"/>
  <c r="AQ15" i="11"/>
  <c r="AQ33" i="11"/>
  <c r="AN12" i="11"/>
  <c r="AN40" i="11"/>
  <c r="AN15" i="11"/>
  <c r="AQ40" i="11"/>
  <c r="AN7" i="11"/>
  <c r="AQ38" i="11"/>
  <c r="AN39" i="11"/>
  <c r="AN13" i="11"/>
  <c r="AQ41" i="11"/>
  <c r="AQ31" i="11"/>
  <c r="AN8" i="11"/>
  <c r="C21" i="11"/>
  <c r="M20" i="11"/>
  <c r="C22" i="11" l="1"/>
  <c r="M21" i="11"/>
  <c r="C23" i="11" l="1"/>
  <c r="M22" i="11"/>
  <c r="C24" i="11" l="1"/>
  <c r="M23" i="11"/>
  <c r="C25" i="11" l="1"/>
  <c r="M24" i="11"/>
  <c r="C26" i="11" l="1"/>
  <c r="M26" i="11" s="1"/>
  <c r="M25" i="11"/>
  <c r="C14" i="2" l="1"/>
  <c r="F14" i="2"/>
  <c r="D7172" i="2" l="1"/>
  <c r="F7172" i="2" s="1"/>
  <c r="D7170" i="2"/>
  <c r="F7170" i="2" s="1"/>
  <c r="D7168" i="2"/>
  <c r="F7168" i="2" s="1"/>
  <c r="D7166" i="2"/>
  <c r="F7166" i="2" s="1"/>
  <c r="D7159" i="2"/>
  <c r="F7159" i="2" s="1"/>
  <c r="D7157" i="2"/>
  <c r="F7157" i="2" s="1"/>
  <c r="D7155" i="2"/>
  <c r="F7155" i="2" s="1"/>
  <c r="D7153" i="2"/>
  <c r="F7153" i="2" s="1"/>
  <c r="D7151" i="2"/>
  <c r="F7151" i="2" s="1"/>
  <c r="D7149" i="2"/>
  <c r="F7149" i="2" s="1"/>
  <c r="D7147" i="2"/>
  <c r="F7147" i="2" s="1"/>
  <c r="D7145" i="2"/>
  <c r="F7145" i="2" s="1"/>
  <c r="D7143" i="2"/>
  <c r="F7143" i="2" s="1"/>
  <c r="D7141" i="2"/>
  <c r="F7141" i="2" s="1"/>
  <c r="D7139" i="2"/>
  <c r="F7139" i="2" s="1"/>
  <c r="D7137" i="2"/>
  <c r="F7137" i="2" s="1"/>
  <c r="D7135" i="2"/>
  <c r="F7135" i="2" s="1"/>
  <c r="D7128" i="2"/>
  <c r="F7128" i="2" s="1"/>
  <c r="D7126" i="2"/>
  <c r="F7126" i="2" s="1"/>
  <c r="D7119" i="2"/>
  <c r="F7119" i="2" s="1"/>
  <c r="D7117" i="2"/>
  <c r="F7117" i="2" s="1"/>
  <c r="D7114" i="2"/>
  <c r="F7114" i="2" s="1"/>
  <c r="D7112" i="2"/>
  <c r="F7112" i="2" s="1"/>
  <c r="D7109" i="2"/>
  <c r="F7109" i="2" s="1"/>
  <c r="D7107" i="2"/>
  <c r="F7107" i="2" s="1"/>
  <c r="D7105" i="2"/>
  <c r="F7105" i="2" s="1"/>
  <c r="D7103" i="2"/>
  <c r="F7103" i="2" s="1"/>
  <c r="D7101" i="2"/>
  <c r="F7101" i="2" s="1"/>
  <c r="D7099" i="2"/>
  <c r="F7099" i="2" s="1"/>
  <c r="D7097" i="2"/>
  <c r="F7097" i="2" s="1"/>
  <c r="D7095" i="2"/>
  <c r="F7095" i="2" s="1"/>
  <c r="D7093" i="2"/>
  <c r="F7093" i="2" s="1"/>
  <c r="E2915" i="1" s="1"/>
  <c r="F2915" i="1" s="1"/>
  <c r="D7091" i="2"/>
  <c r="F7091" i="2" s="1"/>
  <c r="D7084" i="2"/>
  <c r="F7084" i="2" s="1"/>
  <c r="D7082" i="2"/>
  <c r="F7082" i="2" s="1"/>
  <c r="D7080" i="2"/>
  <c r="F7080" i="2" s="1"/>
  <c r="D7078" i="2"/>
  <c r="F7078" i="2" s="1"/>
  <c r="D7076" i="2"/>
  <c r="F7076" i="2" s="1"/>
  <c r="D7070" i="2"/>
  <c r="F7070" i="2" s="1"/>
  <c r="D7066" i="2"/>
  <c r="F7066" i="2" s="1"/>
  <c r="D7064" i="2"/>
  <c r="F7064" i="2" s="1"/>
  <c r="D7059" i="2"/>
  <c r="F7059" i="2" s="1"/>
  <c r="D7057" i="2"/>
  <c r="F7057" i="2" s="1"/>
  <c r="D7054" i="2"/>
  <c r="F7054" i="2" s="1"/>
  <c r="D7050" i="2"/>
  <c r="F7050" i="2" s="1"/>
  <c r="D7048" i="2"/>
  <c r="F7048" i="2" s="1"/>
  <c r="D7046" i="2"/>
  <c r="F7046" i="2" s="1"/>
  <c r="D7044" i="2"/>
  <c r="F7044" i="2" s="1"/>
  <c r="D7042" i="2"/>
  <c r="F7042" i="2" s="1"/>
  <c r="D7039" i="2"/>
  <c r="F7039" i="2" s="1"/>
  <c r="D7037" i="2"/>
  <c r="F7037" i="2" s="1"/>
  <c r="D7035" i="2"/>
  <c r="F7035" i="2" s="1"/>
  <c r="D7033" i="2"/>
  <c r="F7033" i="2" s="1"/>
  <c r="D7022" i="2"/>
  <c r="F7022" i="2" s="1"/>
  <c r="D7019" i="2"/>
  <c r="F7019" i="2" s="1"/>
  <c r="D7016" i="2"/>
  <c r="F7016" i="2" s="1"/>
  <c r="D7013" i="2"/>
  <c r="F7013" i="2" s="1"/>
  <c r="D7008" i="2"/>
  <c r="F7008" i="2" s="1"/>
  <c r="D7006" i="2"/>
  <c r="F7006" i="2" s="1"/>
  <c r="D7003" i="2"/>
  <c r="F7003" i="2" s="1"/>
  <c r="D7000" i="2"/>
  <c r="F7000" i="2" s="1"/>
  <c r="D6998" i="2"/>
  <c r="F6998" i="2" s="1"/>
  <c r="D6995" i="2"/>
  <c r="F6995" i="2" s="1"/>
  <c r="D6993" i="2"/>
  <c r="F6993" i="2" s="1"/>
  <c r="D6990" i="2"/>
  <c r="F6990" i="2" s="1"/>
  <c r="D6988" i="2"/>
  <c r="F6988" i="2" s="1"/>
  <c r="D6985" i="2"/>
  <c r="F6985" i="2" s="1"/>
  <c r="D6982" i="2"/>
  <c r="F6982" i="2" s="1"/>
  <c r="D6980" i="2"/>
  <c r="F6980" i="2" s="1"/>
  <c r="D6977" i="2"/>
  <c r="F6977" i="2" s="1"/>
  <c r="D6975" i="2"/>
  <c r="F6975" i="2" s="1"/>
  <c r="D6972" i="2"/>
  <c r="F6972" i="2" s="1"/>
  <c r="D6970" i="2"/>
  <c r="F6970" i="2" s="1"/>
  <c r="D6967" i="2"/>
  <c r="F6967" i="2" s="1"/>
  <c r="D6965" i="2"/>
  <c r="F6965" i="2" s="1"/>
  <c r="D6960" i="2"/>
  <c r="F6960" i="2" s="1"/>
  <c r="D6958" i="2"/>
  <c r="F6958" i="2" s="1"/>
  <c r="D6956" i="2"/>
  <c r="F6956" i="2" s="1"/>
  <c r="D6954" i="2"/>
  <c r="F6954" i="2" s="1"/>
  <c r="D6952" i="2"/>
  <c r="F6952" i="2" s="1"/>
  <c r="D6949" i="2"/>
  <c r="F6949" i="2" s="1"/>
  <c r="D6947" i="2"/>
  <c r="F6947" i="2" s="1"/>
  <c r="D6945" i="2"/>
  <c r="F6945" i="2" s="1"/>
  <c r="D6943" i="2"/>
  <c r="F6943" i="2" s="1"/>
  <c r="D6940" i="2"/>
  <c r="F6940" i="2" s="1"/>
  <c r="D7171" i="2"/>
  <c r="F7171" i="2" s="1"/>
  <c r="D7169" i="2"/>
  <c r="F7169" i="2" s="1"/>
  <c r="D7167" i="2"/>
  <c r="F7167" i="2" s="1"/>
  <c r="D7160" i="2"/>
  <c r="F7160" i="2" s="1"/>
  <c r="D7158" i="2"/>
  <c r="F7158" i="2" s="1"/>
  <c r="D7156" i="2"/>
  <c r="F7156" i="2" s="1"/>
  <c r="D7154" i="2"/>
  <c r="F7154" i="2" s="1"/>
  <c r="D7152" i="2"/>
  <c r="F7152" i="2" s="1"/>
  <c r="D7150" i="2"/>
  <c r="F7150" i="2" s="1"/>
  <c r="D7148" i="2"/>
  <c r="F7148" i="2" s="1"/>
  <c r="D7146" i="2"/>
  <c r="F7146" i="2" s="1"/>
  <c r="D7144" i="2"/>
  <c r="F7144" i="2" s="1"/>
  <c r="D7142" i="2"/>
  <c r="F7142" i="2" s="1"/>
  <c r="D7140" i="2"/>
  <c r="F7140" i="2" s="1"/>
  <c r="D7138" i="2"/>
  <c r="F7138" i="2" s="1"/>
  <c r="D7136" i="2"/>
  <c r="F7136" i="2" s="1"/>
  <c r="D7134" i="2"/>
  <c r="F7134" i="2" s="1"/>
  <c r="D7127" i="2"/>
  <c r="F7127" i="2" s="1"/>
  <c r="D7125" i="2"/>
  <c r="F7125" i="2" s="1"/>
  <c r="D7118" i="2"/>
  <c r="F7118" i="2" s="1"/>
  <c r="D7115" i="2"/>
  <c r="F7115" i="2" s="1"/>
  <c r="D7113" i="2"/>
  <c r="F7113" i="2" s="1"/>
  <c r="D7111" i="2"/>
  <c r="F7111" i="2" s="1"/>
  <c r="D7108" i="2"/>
  <c r="F7108" i="2" s="1"/>
  <c r="D7106" i="2"/>
  <c r="F7106" i="2" s="1"/>
  <c r="D7104" i="2"/>
  <c r="F7104" i="2" s="1"/>
  <c r="D7102" i="2"/>
  <c r="F7102" i="2" s="1"/>
  <c r="D7100" i="2"/>
  <c r="F7100" i="2" s="1"/>
  <c r="D7098" i="2"/>
  <c r="F7098" i="2" s="1"/>
  <c r="D7096" i="2"/>
  <c r="F7096" i="2" s="1"/>
  <c r="D7094" i="2"/>
  <c r="F7094" i="2" s="1"/>
  <c r="D7092" i="2"/>
  <c r="F7092" i="2" s="1"/>
  <c r="D7090" i="2"/>
  <c r="F7090" i="2" s="1"/>
  <c r="D7083" i="2"/>
  <c r="F7083" i="2" s="1"/>
  <c r="D7081" i="2"/>
  <c r="F7081" i="2" s="1"/>
  <c r="D7079" i="2"/>
  <c r="F7079" i="2" s="1"/>
  <c r="D7077" i="2"/>
  <c r="F7077" i="2" s="1"/>
  <c r="D7071" i="2"/>
  <c r="F7071" i="2" s="1"/>
  <c r="D7067" i="2"/>
  <c r="F7067" i="2" s="1"/>
  <c r="D7065" i="2"/>
  <c r="F7065" i="2" s="1"/>
  <c r="D7063" i="2"/>
  <c r="F7063" i="2" s="1"/>
  <c r="D7058" i="2"/>
  <c r="F7058" i="2" s="1"/>
  <c r="D7055" i="2"/>
  <c r="F7055" i="2" s="1"/>
  <c r="D7053" i="2"/>
  <c r="F7053" i="2" s="1"/>
  <c r="D7049" i="2"/>
  <c r="F7049" i="2" s="1"/>
  <c r="D7047" i="2"/>
  <c r="F7047" i="2" s="1"/>
  <c r="D7045" i="2"/>
  <c r="F7045" i="2" s="1"/>
  <c r="D7043" i="2"/>
  <c r="F7043" i="2" s="1"/>
  <c r="D7040" i="2"/>
  <c r="F7040" i="2" s="1"/>
  <c r="D7038" i="2"/>
  <c r="F7038" i="2" s="1"/>
  <c r="D7036" i="2"/>
  <c r="F7036" i="2" s="1"/>
  <c r="D7034" i="2"/>
  <c r="F7034" i="2" s="1"/>
  <c r="D7032" i="2"/>
  <c r="F7032" i="2" s="1"/>
  <c r="D7021" i="2"/>
  <c r="F7021" i="2" s="1"/>
  <c r="D7018" i="2"/>
  <c r="F7018" i="2" s="1"/>
  <c r="D7015" i="2"/>
  <c r="F7015" i="2" s="1"/>
  <c r="D7012" i="2"/>
  <c r="F7012" i="2" s="1"/>
  <c r="D7007" i="2"/>
  <c r="F7007" i="2" s="1"/>
  <c r="D7004" i="2"/>
  <c r="F7004" i="2" s="1"/>
  <c r="D7002" i="2"/>
  <c r="F7002" i="2" s="1"/>
  <c r="D6999" i="2"/>
  <c r="F6999" i="2" s="1"/>
  <c r="D6997" i="2"/>
  <c r="F6997" i="2" s="1"/>
  <c r="D6994" i="2"/>
  <c r="F6994" i="2" s="1"/>
  <c r="D6991" i="2"/>
  <c r="F6991" i="2" s="1"/>
  <c r="D6989" i="2"/>
  <c r="F6989" i="2" s="1"/>
  <c r="D6986" i="2"/>
  <c r="F6986" i="2" s="1"/>
  <c r="D6984" i="2"/>
  <c r="F6984" i="2" s="1"/>
  <c r="D6981" i="2"/>
  <c r="F6981" i="2" s="1"/>
  <c r="D6979" i="2"/>
  <c r="F6979" i="2" s="1"/>
  <c r="D6976" i="2"/>
  <c r="F6976" i="2" s="1"/>
  <c r="D6974" i="2"/>
  <c r="F6974" i="2" s="1"/>
  <c r="D6971" i="2"/>
  <c r="F6971" i="2" s="1"/>
  <c r="D6968" i="2"/>
  <c r="F6968" i="2" s="1"/>
  <c r="D6966" i="2"/>
  <c r="F6966" i="2" s="1"/>
  <c r="D6964" i="2"/>
  <c r="F6964" i="2" s="1"/>
  <c r="D6959" i="2"/>
  <c r="F6959" i="2" s="1"/>
  <c r="D6957" i="2"/>
  <c r="F6957" i="2" s="1"/>
  <c r="D6955" i="2"/>
  <c r="F6955" i="2" s="1"/>
  <c r="D6953" i="2"/>
  <c r="F6953" i="2" s="1"/>
  <c r="D6950" i="2"/>
  <c r="F6950" i="2" s="1"/>
  <c r="D6948" i="2"/>
  <c r="F6948" i="2" s="1"/>
  <c r="D6946" i="2"/>
  <c r="F6946" i="2" s="1"/>
  <c r="D6944" i="2"/>
  <c r="F6944" i="2" s="1"/>
  <c r="D6942" i="2"/>
  <c r="F6942" i="2" s="1"/>
  <c r="D6939" i="2"/>
  <c r="F6939" i="2" s="1"/>
  <c r="D6815" i="2"/>
  <c r="D6811" i="2"/>
  <c r="D6805" i="2"/>
  <c r="D6801" i="2"/>
  <c r="D6796" i="2"/>
  <c r="D6791" i="2"/>
  <c r="D6786" i="2"/>
  <c r="D6781" i="2"/>
  <c r="D6775" i="2"/>
  <c r="D6770" i="2"/>
  <c r="D6762" i="2"/>
  <c r="D6757" i="2"/>
  <c r="D6752" i="2"/>
  <c r="D6747" i="2"/>
  <c r="D6938" i="2"/>
  <c r="F6938" i="2" s="1"/>
  <c r="D6936" i="2"/>
  <c r="F6936" i="2" s="1"/>
  <c r="D6934" i="2"/>
  <c r="F6934" i="2" s="1"/>
  <c r="D6932" i="2"/>
  <c r="F6932" i="2" s="1"/>
  <c r="D6929" i="2"/>
  <c r="F6929" i="2" s="1"/>
  <c r="D6927" i="2"/>
  <c r="F6927" i="2" s="1"/>
  <c r="D6925" i="2"/>
  <c r="F6925" i="2" s="1"/>
  <c r="D6923" i="2"/>
  <c r="F6923" i="2" s="1"/>
  <c r="D6921" i="2"/>
  <c r="F6921" i="2" s="1"/>
  <c r="D6919" i="2"/>
  <c r="F6919" i="2" s="1"/>
  <c r="D6916" i="2"/>
  <c r="F6916" i="2" s="1"/>
  <c r="D6914" i="2"/>
  <c r="F6914" i="2" s="1"/>
  <c r="D6912" i="2"/>
  <c r="F6912" i="2" s="1"/>
  <c r="D6910" i="2"/>
  <c r="F6910" i="2" s="1"/>
  <c r="D6902" i="2"/>
  <c r="F6902" i="2" s="1"/>
  <c r="D6900" i="2"/>
  <c r="F6900" i="2" s="1"/>
  <c r="D6897" i="2"/>
  <c r="F6897" i="2" s="1"/>
  <c r="D6894" i="2"/>
  <c r="F6894" i="2" s="1"/>
  <c r="D6891" i="2"/>
  <c r="F6891" i="2" s="1"/>
  <c r="D6889" i="2"/>
  <c r="F6889" i="2" s="1"/>
  <c r="D6886" i="2"/>
  <c r="F6886" i="2" s="1"/>
  <c r="D6884" i="2"/>
  <c r="F6884" i="2" s="1"/>
  <c r="D6882" i="2"/>
  <c r="F6882" i="2" s="1"/>
  <c r="D6880" i="2"/>
  <c r="F6880" i="2" s="1"/>
  <c r="D6873" i="2"/>
  <c r="F6873" i="2" s="1"/>
  <c r="D6870" i="2"/>
  <c r="F6870" i="2" s="1"/>
  <c r="D6868" i="2"/>
  <c r="F6868" i="2" s="1"/>
  <c r="D6865" i="2"/>
  <c r="F6865" i="2" s="1"/>
  <c r="D6862" i="2"/>
  <c r="F6862" i="2" s="1"/>
  <c r="D6860" i="2"/>
  <c r="F6860" i="2" s="1"/>
  <c r="D6857" i="2"/>
  <c r="F6857" i="2" s="1"/>
  <c r="D6855" i="2"/>
  <c r="F6855" i="2" s="1"/>
  <c r="D6853" i="2"/>
  <c r="F6853" i="2" s="1"/>
  <c r="D6849" i="2"/>
  <c r="F6849" i="2" s="1"/>
  <c r="D6847" i="2"/>
  <c r="F6847" i="2" s="1"/>
  <c r="D6843" i="2"/>
  <c r="F6843" i="2" s="1"/>
  <c r="D6841" i="2"/>
  <c r="F6841" i="2" s="1"/>
  <c r="D6839" i="2"/>
  <c r="F6839" i="2" s="1"/>
  <c r="D6835" i="2"/>
  <c r="F6835" i="2" s="1"/>
  <c r="D6831" i="2"/>
  <c r="F6831" i="2" s="1"/>
  <c r="D6827" i="2"/>
  <c r="F6827" i="2" s="1"/>
  <c r="D6825" i="2"/>
  <c r="F6825" i="2" s="1"/>
  <c r="D6821" i="2"/>
  <c r="F6821" i="2" s="1"/>
  <c r="D6819" i="2"/>
  <c r="F6819" i="2" s="1"/>
  <c r="D6817" i="2"/>
  <c r="F6817" i="2" s="1"/>
  <c r="D6812" i="2"/>
  <c r="D6808" i="2"/>
  <c r="D6802" i="2"/>
  <c r="D6797" i="2"/>
  <c r="D6792" i="2"/>
  <c r="D6787" i="2"/>
  <c r="D6782" i="2"/>
  <c r="D6777" i="2"/>
  <c r="D6813" i="2"/>
  <c r="D6809" i="2"/>
  <c r="D6803" i="2"/>
  <c r="D6798" i="2"/>
  <c r="D6793" i="2"/>
  <c r="D6788" i="2"/>
  <c r="D6783" i="2"/>
  <c r="D6778" i="2"/>
  <c r="D6773" i="2"/>
  <c r="D6764" i="2"/>
  <c r="D6759" i="2"/>
  <c r="D6754" i="2"/>
  <c r="D6749" i="2"/>
  <c r="D6744" i="2"/>
  <c r="D6937" i="2"/>
  <c r="F6937" i="2" s="1"/>
  <c r="D6935" i="2"/>
  <c r="F6935" i="2" s="1"/>
  <c r="D6933" i="2"/>
  <c r="F6933" i="2" s="1"/>
  <c r="D6930" i="2"/>
  <c r="F6930" i="2" s="1"/>
  <c r="D6928" i="2"/>
  <c r="F6928" i="2" s="1"/>
  <c r="D6926" i="2"/>
  <c r="F6926" i="2" s="1"/>
  <c r="D6924" i="2"/>
  <c r="F6924" i="2" s="1"/>
  <c r="D6922" i="2"/>
  <c r="F6922" i="2" s="1"/>
  <c r="D6920" i="2"/>
  <c r="F6920" i="2" s="1"/>
  <c r="D6917" i="2"/>
  <c r="F6917" i="2" s="1"/>
  <c r="D6915" i="2"/>
  <c r="F6915" i="2" s="1"/>
  <c r="D6913" i="2"/>
  <c r="F6913" i="2" s="1"/>
  <c r="D6911" i="2"/>
  <c r="F6911" i="2" s="1"/>
  <c r="D6909" i="2"/>
  <c r="F6909" i="2" s="1"/>
  <c r="D6901" i="2"/>
  <c r="F6901" i="2" s="1"/>
  <c r="D6899" i="2"/>
  <c r="F6899" i="2" s="1"/>
  <c r="D6896" i="2"/>
  <c r="F6896" i="2" s="1"/>
  <c r="D6893" i="2"/>
  <c r="F6893" i="2" s="1"/>
  <c r="D6890" i="2"/>
  <c r="F6890" i="2" s="1"/>
  <c r="D6888" i="2"/>
  <c r="F6888" i="2" s="1"/>
  <c r="D6885" i="2"/>
  <c r="F6885" i="2" s="1"/>
  <c r="D6883" i="2"/>
  <c r="F6883" i="2" s="1"/>
  <c r="D6881" i="2"/>
  <c r="F6881" i="2" s="1"/>
  <c r="D6879" i="2"/>
  <c r="F6879" i="2" s="1"/>
  <c r="D6872" i="2"/>
  <c r="F6872" i="2" s="1"/>
  <c r="D6869" i="2"/>
  <c r="F6869" i="2" s="1"/>
  <c r="D6866" i="2"/>
  <c r="F6866" i="2" s="1"/>
  <c r="D6863" i="2"/>
  <c r="F6863" i="2" s="1"/>
  <c r="D6861" i="2"/>
  <c r="F6861" i="2" s="1"/>
  <c r="D6859" i="2"/>
  <c r="F6859" i="2" s="1"/>
  <c r="D6856" i="2"/>
  <c r="F6856" i="2" s="1"/>
  <c r="D6854" i="2"/>
  <c r="F6854" i="2" s="1"/>
  <c r="D6850" i="2"/>
  <c r="F6850" i="2" s="1"/>
  <c r="D6848" i="2"/>
  <c r="F6848" i="2" s="1"/>
  <c r="D6846" i="2"/>
  <c r="F6846" i="2" s="1"/>
  <c r="D6842" i="2"/>
  <c r="F6842" i="2" s="1"/>
  <c r="D6840" i="2"/>
  <c r="F6840" i="2" s="1"/>
  <c r="D6838" i="2"/>
  <c r="F6838" i="2" s="1"/>
  <c r="D6834" i="2"/>
  <c r="F6834" i="2" s="1"/>
  <c r="D6830" i="2"/>
  <c r="F6830" i="2" s="1"/>
  <c r="D6826" i="2"/>
  <c r="F6826" i="2" s="1"/>
  <c r="D6824" i="2"/>
  <c r="F6824" i="2" s="1"/>
  <c r="D6820" i="2"/>
  <c r="F6820" i="2" s="1"/>
  <c r="D6818" i="2"/>
  <c r="F6818" i="2" s="1"/>
  <c r="D6814" i="2"/>
  <c r="D6810" i="2"/>
  <c r="D6804" i="2"/>
  <c r="D6800" i="2"/>
  <c r="D6795" i="2"/>
  <c r="D6790" i="2"/>
  <c r="D6785" i="2"/>
  <c r="D6779" i="2"/>
  <c r="D6774" i="2"/>
  <c r="D6769" i="2"/>
  <c r="D6761" i="2"/>
  <c r="D6756" i="2"/>
  <c r="D6751" i="2"/>
  <c r="D6746" i="2"/>
  <c r="D6771" i="2"/>
  <c r="D6748" i="2"/>
  <c r="D6742" i="2"/>
  <c r="D6737" i="2"/>
  <c r="D6732" i="2"/>
  <c r="D6727" i="2"/>
  <c r="D6722" i="2"/>
  <c r="D6717" i="2"/>
  <c r="D6712" i="2"/>
  <c r="D6706" i="2"/>
  <c r="D6701" i="2"/>
  <c r="D6696" i="2"/>
  <c r="D6691" i="2"/>
  <c r="D6682" i="2"/>
  <c r="D6675" i="2"/>
  <c r="D6669" i="2"/>
  <c r="D6555" i="2"/>
  <c r="F6555" i="2" s="1"/>
  <c r="D6753" i="2"/>
  <c r="D6743" i="2"/>
  <c r="D6738" i="2"/>
  <c r="D6733" i="2"/>
  <c r="D6728" i="2"/>
  <c r="D6723" i="2"/>
  <c r="D6718" i="2"/>
  <c r="D6713" i="2"/>
  <c r="D6707" i="2"/>
  <c r="D6702" i="2"/>
  <c r="D6697" i="2"/>
  <c r="D6692" i="2"/>
  <c r="D6684" i="2"/>
  <c r="D6678" i="2"/>
  <c r="D6671" i="2"/>
  <c r="D6664" i="2"/>
  <c r="D6660" i="2"/>
  <c r="F6660" i="2" s="1"/>
  <c r="D6655" i="2"/>
  <c r="F6655" i="2" s="1"/>
  <c r="D6653" i="2"/>
  <c r="F6653" i="2" s="1"/>
  <c r="D6649" i="2"/>
  <c r="F6649" i="2" s="1"/>
  <c r="D6647" i="2"/>
  <c r="F6647" i="2" s="1"/>
  <c r="D6643" i="2"/>
  <c r="F6643" i="2" s="1"/>
  <c r="D6640" i="2"/>
  <c r="F6640" i="2" s="1"/>
  <c r="D6638" i="2"/>
  <c r="F6638" i="2" s="1"/>
  <c r="D6636" i="2"/>
  <c r="F6636" i="2" s="1"/>
  <c r="D6634" i="2"/>
  <c r="F6634" i="2" s="1"/>
  <c r="D6630" i="2"/>
  <c r="F6630" i="2" s="1"/>
  <c r="D6628" i="2"/>
  <c r="F6628" i="2" s="1"/>
  <c r="D6626" i="2"/>
  <c r="F6626" i="2" s="1"/>
  <c r="D6624" i="2"/>
  <c r="F6624" i="2" s="1"/>
  <c r="D6621" i="2"/>
  <c r="F6621" i="2" s="1"/>
  <c r="D6619" i="2"/>
  <c r="F6619" i="2" s="1"/>
  <c r="D6617" i="2"/>
  <c r="F6617" i="2" s="1"/>
  <c r="D6614" i="2"/>
  <c r="F6614" i="2" s="1"/>
  <c r="D6612" i="2"/>
  <c r="F6612" i="2" s="1"/>
  <c r="D6610" i="2"/>
  <c r="F6610" i="2" s="1"/>
  <c r="D6608" i="2"/>
  <c r="F6608" i="2" s="1"/>
  <c r="D6605" i="2"/>
  <c r="F6605" i="2" s="1"/>
  <c r="D6603" i="2"/>
  <c r="F6603" i="2" s="1"/>
  <c r="D6601" i="2"/>
  <c r="F6601" i="2" s="1"/>
  <c r="D6596" i="2"/>
  <c r="F6596" i="2" s="1"/>
  <c r="D6594" i="2"/>
  <c r="F6594" i="2" s="1"/>
  <c r="D6592" i="2"/>
  <c r="F6592" i="2" s="1"/>
  <c r="D6589" i="2"/>
  <c r="F6589" i="2" s="1"/>
  <c r="D6587" i="2"/>
  <c r="F6587" i="2" s="1"/>
  <c r="D6585" i="2"/>
  <c r="F6585" i="2" s="1"/>
  <c r="D6583" i="2"/>
  <c r="F6583" i="2" s="1"/>
  <c r="D6581" i="2"/>
  <c r="F6581" i="2" s="1"/>
  <c r="D6578" i="2"/>
  <c r="F6578" i="2" s="1"/>
  <c r="D6576" i="2"/>
  <c r="F6576" i="2" s="1"/>
  <c r="D6574" i="2"/>
  <c r="F6574" i="2" s="1"/>
  <c r="D6572" i="2"/>
  <c r="F6572" i="2" s="1"/>
  <c r="D6569" i="2"/>
  <c r="F6569" i="2" s="1"/>
  <c r="D6567" i="2"/>
  <c r="F6567" i="2" s="1"/>
  <c r="D6758" i="2"/>
  <c r="D6739" i="2"/>
  <c r="D6734" i="2"/>
  <c r="D6729" i="2"/>
  <c r="D6724" i="2"/>
  <c r="D6719" i="2"/>
  <c r="D6714" i="2"/>
  <c r="D6708" i="2"/>
  <c r="D6703" i="2"/>
  <c r="D6698" i="2"/>
  <c r="D6693" i="2"/>
  <c r="D6685" i="2"/>
  <c r="D6679" i="2"/>
  <c r="D6672" i="2"/>
  <c r="D6665" i="2"/>
  <c r="D6763" i="2"/>
  <c r="D6741" i="2"/>
  <c r="D6736" i="2"/>
  <c r="D6731" i="2"/>
  <c r="D6726" i="2"/>
  <c r="D6721" i="2"/>
  <c r="D6716" i="2"/>
  <c r="D6711" i="2"/>
  <c r="D6705" i="2"/>
  <c r="D6700" i="2"/>
  <c r="D6695" i="2"/>
  <c r="D6690" i="2"/>
  <c r="D6681" i="2"/>
  <c r="D6674" i="2"/>
  <c r="D6668" i="2"/>
  <c r="D6661" i="2"/>
  <c r="F6661" i="2" s="1"/>
  <c r="D6659" i="2"/>
  <c r="F6659" i="2" s="1"/>
  <c r="D6654" i="2"/>
  <c r="F6654" i="2" s="1"/>
  <c r="D6650" i="2"/>
  <c r="F6650" i="2" s="1"/>
  <c r="D6648" i="2"/>
  <c r="F6648" i="2" s="1"/>
  <c r="D6644" i="2"/>
  <c r="F6644" i="2" s="1"/>
  <c r="D6642" i="2"/>
  <c r="F6642" i="2" s="1"/>
  <c r="D6639" i="2"/>
  <c r="F6639" i="2" s="1"/>
  <c r="D6637" i="2"/>
  <c r="F6637" i="2" s="1"/>
  <c r="D6635" i="2"/>
  <c r="F6635" i="2" s="1"/>
  <c r="D6633" i="2"/>
  <c r="F6633" i="2" s="1"/>
  <c r="D6629" i="2"/>
  <c r="F6629" i="2" s="1"/>
  <c r="D6627" i="2"/>
  <c r="F6627" i="2" s="1"/>
  <c r="D6625" i="2"/>
  <c r="F6625" i="2" s="1"/>
  <c r="D6622" i="2"/>
  <c r="F6622" i="2" s="1"/>
  <c r="D6620" i="2"/>
  <c r="F6620" i="2" s="1"/>
  <c r="D6618" i="2"/>
  <c r="F6618" i="2" s="1"/>
  <c r="D6616" i="2"/>
  <c r="F6616" i="2" s="1"/>
  <c r="D6613" i="2"/>
  <c r="F6613" i="2" s="1"/>
  <c r="D6611" i="2"/>
  <c r="F6611" i="2" s="1"/>
  <c r="D6609" i="2"/>
  <c r="F6609" i="2" s="1"/>
  <c r="D6606" i="2"/>
  <c r="F6606" i="2" s="1"/>
  <c r="D6604" i="2"/>
  <c r="F6604" i="2" s="1"/>
  <c r="D6602" i="2"/>
  <c r="F6602" i="2" s="1"/>
  <c r="D6600" i="2"/>
  <c r="F6600" i="2" s="1"/>
  <c r="D6595" i="2"/>
  <c r="F6595" i="2" s="1"/>
  <c r="D6593" i="2"/>
  <c r="F6593" i="2" s="1"/>
  <c r="D6591" i="2"/>
  <c r="F6591" i="2" s="1"/>
  <c r="D6588" i="2"/>
  <c r="F6588" i="2" s="1"/>
  <c r="D6586" i="2"/>
  <c r="F6586" i="2" s="1"/>
  <c r="D6584" i="2"/>
  <c r="F6584" i="2" s="1"/>
  <c r="D6582" i="2"/>
  <c r="F6582" i="2" s="1"/>
  <c r="D6579" i="2"/>
  <c r="F6579" i="2" s="1"/>
  <c r="D6577" i="2"/>
  <c r="F6577" i="2" s="1"/>
  <c r="D6575" i="2"/>
  <c r="F6575" i="2" s="1"/>
  <c r="D6573" i="2"/>
  <c r="F6573" i="2" s="1"/>
  <c r="D6571" i="2"/>
  <c r="F6571" i="2" s="1"/>
  <c r="D6568" i="2"/>
  <c r="F6568" i="2" s="1"/>
  <c r="D6566" i="2"/>
  <c r="F6566" i="2" s="1"/>
  <c r="D6564" i="2"/>
  <c r="F6564" i="2" s="1"/>
  <c r="D6562" i="2"/>
  <c r="F6562" i="2" s="1"/>
  <c r="D6554" i="2"/>
  <c r="F6554" i="2" s="1"/>
  <c r="D6565" i="2"/>
  <c r="F6565" i="2" s="1"/>
  <c r="D6552" i="2"/>
  <c r="F6552" i="2" s="1"/>
  <c r="D6544" i="2"/>
  <c r="F6544" i="2" s="1"/>
  <c r="D6538" i="2"/>
  <c r="F6538" i="2" s="1"/>
  <c r="D6529" i="2"/>
  <c r="F6529" i="2" s="1"/>
  <c r="D6513" i="2"/>
  <c r="F6513" i="2" s="1"/>
  <c r="D6507" i="2"/>
  <c r="F6507" i="2" s="1"/>
  <c r="D6505" i="2"/>
  <c r="F6505" i="2" s="1"/>
  <c r="D6503" i="2"/>
  <c r="F6503" i="2" s="1"/>
  <c r="D6498" i="2"/>
  <c r="F6498" i="2" s="1"/>
  <c r="D6489" i="2"/>
  <c r="F6489" i="2" s="1"/>
  <c r="D6487" i="2"/>
  <c r="F6487" i="2" s="1"/>
  <c r="D6485" i="2"/>
  <c r="F6485" i="2" s="1"/>
  <c r="D6479" i="2"/>
  <c r="F6479" i="2" s="1"/>
  <c r="D6476" i="2"/>
  <c r="F6476" i="2" s="1"/>
  <c r="D6451" i="2"/>
  <c r="F6451" i="2" s="1"/>
  <c r="D6447" i="2"/>
  <c r="F6447" i="2" s="1"/>
  <c r="D6443" i="2"/>
  <c r="F6443" i="2" s="1"/>
  <c r="D6439" i="2"/>
  <c r="F6439" i="2" s="1"/>
  <c r="D6432" i="2"/>
  <c r="F6432" i="2" s="1"/>
  <c r="D6428" i="2"/>
  <c r="F6428" i="2" s="1"/>
  <c r="D6424" i="2"/>
  <c r="F6424" i="2" s="1"/>
  <c r="D6416" i="2"/>
  <c r="F6416" i="2" s="1"/>
  <c r="D6410" i="2"/>
  <c r="F6410" i="2" s="1"/>
  <c r="D6406" i="2"/>
  <c r="F6406" i="2" s="1"/>
  <c r="D6402" i="2"/>
  <c r="F6402" i="2" s="1"/>
  <c r="D6396" i="2"/>
  <c r="F6396" i="2" s="1"/>
  <c r="D6392" i="2"/>
  <c r="F6392" i="2" s="1"/>
  <c r="D6388" i="2"/>
  <c r="F6388" i="2" s="1"/>
  <c r="D6384" i="2"/>
  <c r="F6384" i="2" s="1"/>
  <c r="D6378" i="2"/>
  <c r="F6378" i="2" s="1"/>
  <c r="D6374" i="2"/>
  <c r="F6374" i="2" s="1"/>
  <c r="D6370" i="2"/>
  <c r="F6370" i="2" s="1"/>
  <c r="D6366" i="2"/>
  <c r="F6366" i="2" s="1"/>
  <c r="D6362" i="2"/>
  <c r="F6362" i="2" s="1"/>
  <c r="D6353" i="2"/>
  <c r="F6353" i="2" s="1"/>
  <c r="D6346" i="2"/>
  <c r="F6346" i="2" s="1"/>
  <c r="D6321" i="2"/>
  <c r="F6321" i="2" s="1"/>
  <c r="D6316" i="2"/>
  <c r="F6316" i="2" s="1"/>
  <c r="D6308" i="2"/>
  <c r="F6308" i="2" s="1"/>
  <c r="D6292" i="2"/>
  <c r="F6292" i="2" s="1"/>
  <c r="D6288" i="2"/>
  <c r="F6288" i="2" s="1"/>
  <c r="D6284" i="2"/>
  <c r="F6284" i="2" s="1"/>
  <c r="D6280" i="2"/>
  <c r="F6280" i="2" s="1"/>
  <c r="D6276" i="2"/>
  <c r="F6276" i="2" s="1"/>
  <c r="D6238" i="2"/>
  <c r="F6238" i="2" s="1"/>
  <c r="D6234" i="2"/>
  <c r="F6234" i="2" s="1"/>
  <c r="D6230" i="2"/>
  <c r="F6230" i="2" s="1"/>
  <c r="D6225" i="2"/>
  <c r="F6225" i="2" s="1"/>
  <c r="D6221" i="2"/>
  <c r="F6221" i="2" s="1"/>
  <c r="D6217" i="2"/>
  <c r="F6217" i="2" s="1"/>
  <c r="D6211" i="2"/>
  <c r="F6211" i="2" s="1"/>
  <c r="D6207" i="2"/>
  <c r="F6207" i="2" s="1"/>
  <c r="D6203" i="2"/>
  <c r="F6203" i="2" s="1"/>
  <c r="D6195" i="2"/>
  <c r="F6195" i="2" s="1"/>
  <c r="D6190" i="2"/>
  <c r="F6190" i="2" s="1"/>
  <c r="D6186" i="2"/>
  <c r="F6186" i="2" s="1"/>
  <c r="D6182" i="2"/>
  <c r="F6182" i="2" s="1"/>
  <c r="D6176" i="2"/>
  <c r="F6176" i="2" s="1"/>
  <c r="D6172" i="2"/>
  <c r="F6172" i="2" s="1"/>
  <c r="D6168" i="2"/>
  <c r="F6168" i="2" s="1"/>
  <c r="D6164" i="2"/>
  <c r="F6164" i="2" s="1"/>
  <c r="D6158" i="2"/>
  <c r="F6158" i="2" s="1"/>
  <c r="D6154" i="2"/>
  <c r="F6154" i="2" s="1"/>
  <c r="D6150" i="2"/>
  <c r="F6150" i="2" s="1"/>
  <c r="D6142" i="2"/>
  <c r="F6142" i="2" s="1"/>
  <c r="D6563" i="2"/>
  <c r="F6563" i="2" s="1"/>
  <c r="D6545" i="2"/>
  <c r="F6545" i="2" s="1"/>
  <c r="D6539" i="2"/>
  <c r="F6539" i="2" s="1"/>
  <c r="D6531" i="2"/>
  <c r="F6531" i="2" s="1"/>
  <c r="D6526" i="2"/>
  <c r="F6526" i="2" s="1"/>
  <c r="D6514" i="2"/>
  <c r="F6514" i="2" s="1"/>
  <c r="D6511" i="2"/>
  <c r="F6511" i="2" s="1"/>
  <c r="D6499" i="2"/>
  <c r="F6499" i="2" s="1"/>
  <c r="D6494" i="2"/>
  <c r="F6494" i="2" s="1"/>
  <c r="D6473" i="2"/>
  <c r="F6473" i="2" s="1"/>
  <c r="D6470" i="2"/>
  <c r="F6470" i="2" s="1"/>
  <c r="D6467" i="2"/>
  <c r="F6467" i="2" s="1"/>
  <c r="D6464" i="2"/>
  <c r="F6464" i="2" s="1"/>
  <c r="D6459" i="2"/>
  <c r="F6459" i="2" s="1"/>
  <c r="D6452" i="2"/>
  <c r="F6452" i="2" s="1"/>
  <c r="D6448" i="2"/>
  <c r="F6448" i="2" s="1"/>
  <c r="D6444" i="2"/>
  <c r="F6444" i="2" s="1"/>
  <c r="D6440" i="2"/>
  <c r="F6440" i="2" s="1"/>
  <c r="D6433" i="2"/>
  <c r="F6433" i="2" s="1"/>
  <c r="D6429" i="2"/>
  <c r="F6429" i="2" s="1"/>
  <c r="D6425" i="2"/>
  <c r="F6425" i="2" s="1"/>
  <c r="D6417" i="2"/>
  <c r="F6417" i="2" s="1"/>
  <c r="D6413" i="2"/>
  <c r="F6413" i="2" s="1"/>
  <c r="D6407" i="2"/>
  <c r="F6407" i="2" s="1"/>
  <c r="D6403" i="2"/>
  <c r="F6403" i="2" s="1"/>
  <c r="D6397" i="2"/>
  <c r="F6397" i="2" s="1"/>
  <c r="D6393" i="2"/>
  <c r="F6393" i="2" s="1"/>
  <c r="D6389" i="2"/>
  <c r="F6389" i="2" s="1"/>
  <c r="D6385" i="2"/>
  <c r="F6385" i="2" s="1"/>
  <c r="D6379" i="2"/>
  <c r="F6379" i="2" s="1"/>
  <c r="D6375" i="2"/>
  <c r="F6375" i="2" s="1"/>
  <c r="D6371" i="2"/>
  <c r="F6371" i="2" s="1"/>
  <c r="D6367" i="2"/>
  <c r="F6367" i="2" s="1"/>
  <c r="D6363" i="2"/>
  <c r="F6363" i="2" s="1"/>
  <c r="D6354" i="2"/>
  <c r="F6354" i="2" s="1"/>
  <c r="D6347" i="2"/>
  <c r="F6347" i="2" s="1"/>
  <c r="D6343" i="2"/>
  <c r="F6343" i="2" s="1"/>
  <c r="D6339" i="2"/>
  <c r="F6339" i="2" s="1"/>
  <c r="D6337" i="2"/>
  <c r="F6337" i="2" s="1"/>
  <c r="D6335" i="2"/>
  <c r="F6335" i="2" s="1"/>
  <c r="D6333" i="2"/>
  <c r="F6333" i="2" s="1"/>
  <c r="D6331" i="2"/>
  <c r="F6331" i="2" s="1"/>
  <c r="D6329" i="2"/>
  <c r="F6329" i="2" s="1"/>
  <c r="D6327" i="2"/>
  <c r="F6327" i="2" s="1"/>
  <c r="D6309" i="2"/>
  <c r="F6309" i="2" s="1"/>
  <c r="D6293" i="2"/>
  <c r="F6293" i="2" s="1"/>
  <c r="D6289" i="2"/>
  <c r="F6289" i="2" s="1"/>
  <c r="D6285" i="2"/>
  <c r="F6285" i="2" s="1"/>
  <c r="D6281" i="2"/>
  <c r="F6281" i="2" s="1"/>
  <c r="D6277" i="2"/>
  <c r="F6277" i="2" s="1"/>
  <c r="D6273" i="2"/>
  <c r="F6273" i="2" s="1"/>
  <c r="D6270" i="2"/>
  <c r="D6269" i="2"/>
  <c r="D6268" i="2"/>
  <c r="D6267" i="2"/>
  <c r="D6265" i="2"/>
  <c r="D6264" i="2"/>
  <c r="D6263" i="2"/>
  <c r="D6262" i="2"/>
  <c r="D6260" i="2"/>
  <c r="D6259" i="2"/>
  <c r="D6258" i="2"/>
  <c r="D6257" i="2"/>
  <c r="D6256" i="2"/>
  <c r="D6255" i="2"/>
  <c r="D6254" i="2"/>
  <c r="D6253" i="2"/>
  <c r="D6248" i="2"/>
  <c r="D6247" i="2"/>
  <c r="D6246" i="2"/>
  <c r="D6245" i="2"/>
  <c r="D6243" i="2"/>
  <c r="D6242" i="2"/>
  <c r="D6241" i="2"/>
  <c r="D6240" i="2"/>
  <c r="D6235" i="2"/>
  <c r="F6235" i="2" s="1"/>
  <c r="D6231" i="2"/>
  <c r="F6231" i="2" s="1"/>
  <c r="D6227" i="2"/>
  <c r="F6227" i="2" s="1"/>
  <c r="D6222" i="2"/>
  <c r="F6222" i="2" s="1"/>
  <c r="D6218" i="2"/>
  <c r="F6218" i="2" s="1"/>
  <c r="D6214" i="2"/>
  <c r="F6214" i="2" s="1"/>
  <c r="D6208" i="2"/>
  <c r="F6208" i="2" s="1"/>
  <c r="D6204" i="2"/>
  <c r="F6204" i="2" s="1"/>
  <c r="D6199" i="2"/>
  <c r="F6199" i="2" s="1"/>
  <c r="D6191" i="2"/>
  <c r="F6191" i="2" s="1"/>
  <c r="D6187" i="2"/>
  <c r="F6187" i="2" s="1"/>
  <c r="D6183" i="2"/>
  <c r="F6183" i="2" s="1"/>
  <c r="D6177" i="2"/>
  <c r="F6177" i="2" s="1"/>
  <c r="D6173" i="2"/>
  <c r="F6173" i="2" s="1"/>
  <c r="D6169" i="2"/>
  <c r="F6169" i="2" s="1"/>
  <c r="D6165" i="2"/>
  <c r="F6165" i="2" s="1"/>
  <c r="D6159" i="2"/>
  <c r="F6159" i="2" s="1"/>
  <c r="D6155" i="2"/>
  <c r="F6155" i="2" s="1"/>
  <c r="D6151" i="2"/>
  <c r="F6151" i="2" s="1"/>
  <c r="D6143" i="2"/>
  <c r="F6143" i="2" s="1"/>
  <c r="D6137" i="2"/>
  <c r="F6137" i="2" s="1"/>
  <c r="D6561" i="2"/>
  <c r="F6561" i="2" s="1"/>
  <c r="D6547" i="2"/>
  <c r="F6547" i="2" s="1"/>
  <c r="D6540" i="2"/>
  <c r="F6540" i="2" s="1"/>
  <c r="D6532" i="2"/>
  <c r="F6532" i="2" s="1"/>
  <c r="D6527" i="2"/>
  <c r="F6527" i="2" s="1"/>
  <c r="D6512" i="2"/>
  <c r="F6512" i="2" s="1"/>
  <c r="D6509" i="2"/>
  <c r="F6509" i="2" s="1"/>
  <c r="D6506" i="2"/>
  <c r="F6506" i="2" s="1"/>
  <c r="D6504" i="2"/>
  <c r="F6504" i="2" s="1"/>
  <c r="D6502" i="2"/>
  <c r="F6502" i="2" s="1"/>
  <c r="D6495" i="2"/>
  <c r="F6495" i="2" s="1"/>
  <c r="D6490" i="2"/>
  <c r="F6490" i="2" s="1"/>
  <c r="D6488" i="2"/>
  <c r="F6488" i="2" s="1"/>
  <c r="D6486" i="2"/>
  <c r="F6486" i="2" s="1"/>
  <c r="D6484" i="2"/>
  <c r="F6484" i="2" s="1"/>
  <c r="D6477" i="2"/>
  <c r="F6477" i="2" s="1"/>
  <c r="D6453" i="2"/>
  <c r="F6453" i="2" s="1"/>
  <c r="D6449" i="2"/>
  <c r="F6449" i="2" s="1"/>
  <c r="D6445" i="2"/>
  <c r="F6445" i="2" s="1"/>
  <c r="D6441" i="2"/>
  <c r="F6441" i="2" s="1"/>
  <c r="D6434" i="2"/>
  <c r="F6434" i="2" s="1"/>
  <c r="D6430" i="2"/>
  <c r="F6430" i="2" s="1"/>
  <c r="D6426" i="2"/>
  <c r="F6426" i="2" s="1"/>
  <c r="D6418" i="2"/>
  <c r="F6418" i="2" s="1"/>
  <c r="D6414" i="2"/>
  <c r="F6414" i="2" s="1"/>
  <c r="D6408" i="2"/>
  <c r="F6408" i="2" s="1"/>
  <c r="D6404" i="2"/>
  <c r="F6404" i="2" s="1"/>
  <c r="D6400" i="2"/>
  <c r="F6400" i="2" s="1"/>
  <c r="D6394" i="2"/>
  <c r="F6394" i="2" s="1"/>
  <c r="D6390" i="2"/>
  <c r="F6390" i="2" s="1"/>
  <c r="D6386" i="2"/>
  <c r="F6386" i="2" s="1"/>
  <c r="D6382" i="2"/>
  <c r="F6382" i="2" s="1"/>
  <c r="D6376" i="2"/>
  <c r="F6376" i="2" s="1"/>
  <c r="D6372" i="2"/>
  <c r="F6372" i="2" s="1"/>
  <c r="D6368" i="2"/>
  <c r="F6368" i="2" s="1"/>
  <c r="D6364" i="2"/>
  <c r="F6364" i="2" s="1"/>
  <c r="D6355" i="2"/>
  <c r="F6355" i="2" s="1"/>
  <c r="D6348" i="2"/>
  <c r="F6348" i="2" s="1"/>
  <c r="D6344" i="2"/>
  <c r="F6344" i="2" s="1"/>
  <c r="D6317" i="2"/>
  <c r="F6317" i="2" s="1"/>
  <c r="D6315" i="2"/>
  <c r="F6315" i="2" s="1"/>
  <c r="D6310" i="2"/>
  <c r="D6294" i="2"/>
  <c r="F6294" i="2" s="1"/>
  <c r="D6290" i="2"/>
  <c r="F6290" i="2" s="1"/>
  <c r="D6286" i="2"/>
  <c r="F6286" i="2" s="1"/>
  <c r="D6282" i="2"/>
  <c r="F6282" i="2" s="1"/>
  <c r="D6278" i="2"/>
  <c r="F6278" i="2" s="1"/>
  <c r="D6274" i="2"/>
  <c r="F6274" i="2" s="1"/>
  <c r="D6236" i="2"/>
  <c r="F6236" i="2" s="1"/>
  <c r="D6232" i="2"/>
  <c r="F6232" i="2" s="1"/>
  <c r="D6228" i="2"/>
  <c r="F6228" i="2" s="1"/>
  <c r="D6223" i="2"/>
  <c r="F6223" i="2" s="1"/>
  <c r="D6219" i="2"/>
  <c r="F6219" i="2" s="1"/>
  <c r="D6215" i="2"/>
  <c r="F6215" i="2" s="1"/>
  <c r="D6209" i="2"/>
  <c r="F6209" i="2" s="1"/>
  <c r="D6205" i="2"/>
  <c r="F6205" i="2" s="1"/>
  <c r="D6200" i="2"/>
  <c r="F6200" i="2" s="1"/>
  <c r="D6192" i="2"/>
  <c r="F6192" i="2" s="1"/>
  <c r="D6188" i="2"/>
  <c r="F6188" i="2" s="1"/>
  <c r="D6184" i="2"/>
  <c r="F6184" i="2" s="1"/>
  <c r="D6180" i="2"/>
  <c r="F6180" i="2" s="1"/>
  <c r="D6174" i="2"/>
  <c r="F6174" i="2" s="1"/>
  <c r="D6170" i="2"/>
  <c r="F6170" i="2" s="1"/>
  <c r="D6166" i="2"/>
  <c r="F6166" i="2" s="1"/>
  <c r="D6160" i="2"/>
  <c r="F6160" i="2" s="1"/>
  <c r="D6156" i="2"/>
  <c r="F6156" i="2" s="1"/>
  <c r="D6152" i="2"/>
  <c r="F6152" i="2" s="1"/>
  <c r="D6145" i="2"/>
  <c r="F6145" i="2" s="1"/>
  <c r="D6138" i="2"/>
  <c r="F6138" i="2" s="1"/>
  <c r="D6548" i="2"/>
  <c r="F6548" i="2" s="1"/>
  <c r="D6543" i="2"/>
  <c r="F6543" i="2" s="1"/>
  <c r="D6536" i="2"/>
  <c r="F6536" i="2" s="1"/>
  <c r="D6528" i="2"/>
  <c r="F6528" i="2" s="1"/>
  <c r="D6516" i="2"/>
  <c r="F6516" i="2" s="1"/>
  <c r="D6510" i="2"/>
  <c r="F6510" i="2" s="1"/>
  <c r="D6497" i="2"/>
  <c r="F6497" i="2" s="1"/>
  <c r="D6491" i="2"/>
  <c r="F6491" i="2" s="1"/>
  <c r="D6474" i="2"/>
  <c r="F6474" i="2" s="1"/>
  <c r="D6472" i="2"/>
  <c r="F6472" i="2" s="1"/>
  <c r="D6469" i="2"/>
  <c r="F6469" i="2" s="1"/>
  <c r="D6466" i="2"/>
  <c r="F6466" i="2" s="1"/>
  <c r="D6463" i="2"/>
  <c r="F6463" i="2" s="1"/>
  <c r="D6458" i="2"/>
  <c r="F6458" i="2" s="1"/>
  <c r="D6450" i="2"/>
  <c r="F6450" i="2" s="1"/>
  <c r="D6446" i="2"/>
  <c r="F6446" i="2" s="1"/>
  <c r="D6442" i="2"/>
  <c r="F6442" i="2" s="1"/>
  <c r="D6435" i="2"/>
  <c r="F6435" i="2" s="1"/>
  <c r="D6431" i="2"/>
  <c r="F6431" i="2" s="1"/>
  <c r="D6427" i="2"/>
  <c r="F6427" i="2" s="1"/>
  <c r="D6423" i="2"/>
  <c r="F6423" i="2" s="1"/>
  <c r="D6415" i="2"/>
  <c r="F6415" i="2" s="1"/>
  <c r="D6409" i="2"/>
  <c r="F6409" i="2" s="1"/>
  <c r="D6405" i="2"/>
  <c r="F6405" i="2" s="1"/>
  <c r="D6401" i="2"/>
  <c r="F6401" i="2" s="1"/>
  <c r="D6395" i="2"/>
  <c r="F6395" i="2" s="1"/>
  <c r="D6391" i="2"/>
  <c r="F6391" i="2" s="1"/>
  <c r="D6387" i="2"/>
  <c r="F6387" i="2" s="1"/>
  <c r="D6383" i="2"/>
  <c r="F6383" i="2" s="1"/>
  <c r="D6377" i="2"/>
  <c r="F6377" i="2" s="1"/>
  <c r="D6373" i="2"/>
  <c r="F6373" i="2" s="1"/>
  <c r="D6369" i="2"/>
  <c r="F6369" i="2" s="1"/>
  <c r="D6365" i="2"/>
  <c r="F6365" i="2" s="1"/>
  <c r="D6361" i="2"/>
  <c r="F6361" i="2" s="1"/>
  <c r="D6352" i="2"/>
  <c r="F6352" i="2" s="1"/>
  <c r="D6345" i="2"/>
  <c r="F6345" i="2" s="1"/>
  <c r="D6340" i="2"/>
  <c r="F6340" i="2" s="1"/>
  <c r="D6338" i="2"/>
  <c r="F6338" i="2" s="1"/>
  <c r="D6336" i="2"/>
  <c r="F6336" i="2" s="1"/>
  <c r="D6334" i="2"/>
  <c r="F6334" i="2" s="1"/>
  <c r="D6332" i="2"/>
  <c r="F6332" i="2" s="1"/>
  <c r="D6330" i="2"/>
  <c r="F6330" i="2" s="1"/>
  <c r="D6328" i="2"/>
  <c r="F6328" i="2" s="1"/>
  <c r="D6303" i="2"/>
  <c r="D6302" i="2"/>
  <c r="D6301" i="2"/>
  <c r="D6300" i="2"/>
  <c r="D6295" i="2"/>
  <c r="F6295" i="2" s="1"/>
  <c r="D6291" i="2"/>
  <c r="F6291" i="2" s="1"/>
  <c r="D6287" i="2"/>
  <c r="F6287" i="2" s="1"/>
  <c r="D6283" i="2"/>
  <c r="F6283" i="2" s="1"/>
  <c r="D6279" i="2"/>
  <c r="F6279" i="2" s="1"/>
  <c r="D6275" i="2"/>
  <c r="F6275" i="2" s="1"/>
  <c r="D6237" i="2"/>
  <c r="F6237" i="2" s="1"/>
  <c r="D6233" i="2"/>
  <c r="F6233" i="2" s="1"/>
  <c r="D6229" i="2"/>
  <c r="F6229" i="2" s="1"/>
  <c r="D6224" i="2"/>
  <c r="F6224" i="2" s="1"/>
  <c r="D6220" i="2"/>
  <c r="F6220" i="2" s="1"/>
  <c r="D6216" i="2"/>
  <c r="F6216" i="2" s="1"/>
  <c r="D6210" i="2"/>
  <c r="F6210" i="2" s="1"/>
  <c r="D6206" i="2"/>
  <c r="F6206" i="2" s="1"/>
  <c r="D6202" i="2"/>
  <c r="F6202" i="2" s="1"/>
  <c r="D6194" i="2"/>
  <c r="F6194" i="2" s="1"/>
  <c r="D6189" i="2"/>
  <c r="F6189" i="2" s="1"/>
  <c r="D6185" i="2"/>
  <c r="F6185" i="2" s="1"/>
  <c r="D6181" i="2"/>
  <c r="F6181" i="2" s="1"/>
  <c r="D6175" i="2"/>
  <c r="F6175" i="2" s="1"/>
  <c r="D6171" i="2"/>
  <c r="F6171" i="2" s="1"/>
  <c r="D6167" i="2"/>
  <c r="F6167" i="2" s="1"/>
  <c r="D6163" i="2"/>
  <c r="F6163" i="2" s="1"/>
  <c r="D6157" i="2"/>
  <c r="F6157" i="2" s="1"/>
  <c r="D6153" i="2"/>
  <c r="F6153" i="2" s="1"/>
  <c r="D6146" i="2"/>
  <c r="F6146" i="2" s="1"/>
  <c r="D6139" i="2"/>
  <c r="F6139" i="2" s="1"/>
  <c r="D6135" i="2"/>
  <c r="F6135" i="2" s="1"/>
  <c r="D6130" i="2"/>
  <c r="F6130" i="2" s="1"/>
  <c r="D6126" i="2"/>
  <c r="F6126" i="2" s="1"/>
  <c r="D6122" i="2"/>
  <c r="F6122" i="2" s="1"/>
  <c r="D6106" i="2"/>
  <c r="F6106" i="2" s="1"/>
  <c r="D6102" i="2"/>
  <c r="F6102" i="2" s="1"/>
  <c r="D6094" i="2"/>
  <c r="F6094" i="2" s="1"/>
  <c r="D6087" i="2"/>
  <c r="F6087" i="2" s="1"/>
  <c r="D6081" i="2"/>
  <c r="F6081" i="2" s="1"/>
  <c r="D6076" i="2"/>
  <c r="F6076" i="2" s="1"/>
  <c r="D6071" i="2"/>
  <c r="F6071" i="2" s="1"/>
  <c r="D6066" i="2"/>
  <c r="F6066" i="2" s="1"/>
  <c r="D6061" i="2"/>
  <c r="F6061" i="2" s="1"/>
  <c r="D6054" i="2"/>
  <c r="F6054" i="2" s="1"/>
  <c r="D6050" i="2"/>
  <c r="F6050" i="2" s="1"/>
  <c r="D6042" i="2"/>
  <c r="F6042" i="2" s="1"/>
  <c r="D6038" i="2"/>
  <c r="F6038" i="2" s="1"/>
  <c r="D6033" i="2"/>
  <c r="F6033" i="2" s="1"/>
  <c r="D6029" i="2"/>
  <c r="F6029" i="2" s="1"/>
  <c r="D6024" i="2"/>
  <c r="F6024" i="2" s="1"/>
  <c r="D6016" i="2"/>
  <c r="F6016" i="2" s="1"/>
  <c r="D6012" i="2"/>
  <c r="F6012" i="2" s="1"/>
  <c r="D6007" i="2"/>
  <c r="F6007" i="2" s="1"/>
  <c r="D6003" i="2"/>
  <c r="F6003" i="2" s="1"/>
  <c r="D5998" i="2"/>
  <c r="F5998" i="2" s="1"/>
  <c r="D5994" i="2"/>
  <c r="F5994" i="2" s="1"/>
  <c r="D5986" i="2"/>
  <c r="F5986" i="2" s="1"/>
  <c r="D5982" i="2"/>
  <c r="F5982" i="2" s="1"/>
  <c r="D5977" i="2"/>
  <c r="F5977" i="2" s="1"/>
  <c r="D5973" i="2"/>
  <c r="F5973" i="2" s="1"/>
  <c r="D5968" i="2"/>
  <c r="F5968" i="2" s="1"/>
  <c r="D5964" i="2"/>
  <c r="F5964" i="2" s="1"/>
  <c r="D5618" i="2"/>
  <c r="F5618" i="2" s="1"/>
  <c r="D5615" i="2"/>
  <c r="F5615" i="2" s="1"/>
  <c r="D5612" i="2"/>
  <c r="F5612" i="2" s="1"/>
  <c r="D5609" i="2"/>
  <c r="F5609" i="2" s="1"/>
  <c r="D5607" i="2"/>
  <c r="F5607" i="2" s="1"/>
  <c r="D5604" i="2"/>
  <c r="F5604" i="2" s="1"/>
  <c r="D5602" i="2"/>
  <c r="F5602" i="2" s="1"/>
  <c r="D5600" i="2"/>
  <c r="F5600" i="2" s="1"/>
  <c r="D5591" i="2"/>
  <c r="F5591" i="2" s="1"/>
  <c r="D5587" i="2"/>
  <c r="F5587" i="2" s="1"/>
  <c r="D5582" i="2"/>
  <c r="F5582" i="2" s="1"/>
  <c r="D5578" i="2"/>
  <c r="F5578" i="2" s="1"/>
  <c r="D5573" i="2"/>
  <c r="F5573" i="2" s="1"/>
  <c r="D5529" i="2"/>
  <c r="F5529" i="2" s="1"/>
  <c r="D5510" i="2"/>
  <c r="F5510" i="2" s="1"/>
  <c r="D5506" i="2"/>
  <c r="F5506" i="2" s="1"/>
  <c r="D5498" i="2"/>
  <c r="F5498" i="2" s="1"/>
  <c r="D5487" i="2"/>
  <c r="F5487" i="2" s="1"/>
  <c r="D5483" i="2"/>
  <c r="F5483" i="2" s="1"/>
  <c r="D5479" i="2"/>
  <c r="F5479" i="2" s="1"/>
  <c r="D5468" i="2"/>
  <c r="F5468" i="2" s="1"/>
  <c r="D5457" i="2"/>
  <c r="F5457" i="2" s="1"/>
  <c r="D5451" i="2"/>
  <c r="F5451" i="2" s="1"/>
  <c r="D5444" i="2"/>
  <c r="F5444" i="2" s="1"/>
  <c r="D5440" i="2"/>
  <c r="F5440" i="2" s="1"/>
  <c r="D5434" i="2"/>
  <c r="F5434" i="2" s="1"/>
  <c r="D5430" i="2"/>
  <c r="F5430" i="2" s="1"/>
  <c r="D5421" i="2"/>
  <c r="F5421" i="2" s="1"/>
  <c r="D5417" i="2"/>
  <c r="F5417" i="2" s="1"/>
  <c r="D5413" i="2"/>
  <c r="F5413" i="2" s="1"/>
  <c r="D5409" i="2"/>
  <c r="F5409" i="2" s="1"/>
  <c r="D5400" i="2"/>
  <c r="F5400" i="2" s="1"/>
  <c r="D5391" i="2"/>
  <c r="F5391" i="2" s="1"/>
  <c r="D5387" i="2"/>
  <c r="F5387" i="2" s="1"/>
  <c r="D5380" i="2"/>
  <c r="F5380" i="2" s="1"/>
  <c r="D5374" i="2"/>
  <c r="F5374" i="2" s="1"/>
  <c r="D5363" i="2"/>
  <c r="F5363" i="2" s="1"/>
  <c r="D5356" i="2"/>
  <c r="F5356" i="2" s="1"/>
  <c r="D5342" i="2"/>
  <c r="F5342" i="2" s="1"/>
  <c r="D5335" i="2"/>
  <c r="F5335" i="2" s="1"/>
  <c r="D5327" i="2"/>
  <c r="F5327" i="2" s="1"/>
  <c r="D5322" i="2"/>
  <c r="F5322" i="2" s="1"/>
  <c r="D6136" i="2"/>
  <c r="F6136" i="2" s="1"/>
  <c r="D6132" i="2"/>
  <c r="F6132" i="2" s="1"/>
  <c r="D6127" i="2"/>
  <c r="F6127" i="2" s="1"/>
  <c r="D6123" i="2"/>
  <c r="F6123" i="2" s="1"/>
  <c r="D6095" i="2"/>
  <c r="F6095" i="2" s="1"/>
  <c r="D6088" i="2"/>
  <c r="F6088" i="2" s="1"/>
  <c r="D6083" i="2"/>
  <c r="F6083" i="2" s="1"/>
  <c r="D6077" i="2"/>
  <c r="F6077" i="2" s="1"/>
  <c r="D6073" i="2"/>
  <c r="F6073" i="2" s="1"/>
  <c r="D6067" i="2"/>
  <c r="F6067" i="2" s="1"/>
  <c r="D6062" i="2"/>
  <c r="F6062" i="2" s="1"/>
  <c r="D6055" i="2"/>
  <c r="F6055" i="2" s="1"/>
  <c r="D6051" i="2"/>
  <c r="F6051" i="2" s="1"/>
  <c r="D6043" i="2"/>
  <c r="F6043" i="2" s="1"/>
  <c r="D6040" i="2"/>
  <c r="D6034" i="2"/>
  <c r="F6034" i="2" s="1"/>
  <c r="D6031" i="2"/>
  <c r="D6025" i="2"/>
  <c r="F6025" i="2" s="1"/>
  <c r="D6017" i="2"/>
  <c r="F6017" i="2" s="1"/>
  <c r="D6013" i="2"/>
  <c r="F6013" i="2" s="1"/>
  <c r="D6008" i="2"/>
  <c r="F6008" i="2" s="1"/>
  <c r="D6004" i="2"/>
  <c r="F6004" i="2" s="1"/>
  <c r="D5999" i="2"/>
  <c r="F5999" i="2" s="1"/>
  <c r="D5995" i="2"/>
  <c r="F5995" i="2" s="1"/>
  <c r="D5987" i="2"/>
  <c r="F5987" i="2" s="1"/>
  <c r="D5983" i="2"/>
  <c r="F5983" i="2" s="1"/>
  <c r="D5978" i="2"/>
  <c r="F5978" i="2" s="1"/>
  <c r="D5974" i="2"/>
  <c r="F5974" i="2" s="1"/>
  <c r="D5969" i="2"/>
  <c r="F5969" i="2" s="1"/>
  <c r="D5965" i="2"/>
  <c r="F5965" i="2" s="1"/>
  <c r="D5643" i="2"/>
  <c r="F5643" i="2" s="1"/>
  <c r="D5641" i="2"/>
  <c r="F5641" i="2" s="1"/>
  <c r="D5638" i="2"/>
  <c r="F5638" i="2" s="1"/>
  <c r="D5635" i="2"/>
  <c r="F5635" i="2" s="1"/>
  <c r="D5633" i="2"/>
  <c r="F5633" i="2" s="1"/>
  <c r="D5631" i="2"/>
  <c r="F5631" i="2" s="1"/>
  <c r="D5627" i="2"/>
  <c r="F5627" i="2" s="1"/>
  <c r="D5622" i="2"/>
  <c r="F5622" i="2" s="1"/>
  <c r="D5592" i="2"/>
  <c r="F5592" i="2" s="1"/>
  <c r="D5588" i="2"/>
  <c r="F5588" i="2" s="1"/>
  <c r="D5583" i="2"/>
  <c r="F5583" i="2" s="1"/>
  <c r="D5579" i="2"/>
  <c r="F5579" i="2" s="1"/>
  <c r="D5574" i="2"/>
  <c r="F5574" i="2" s="1"/>
  <c r="D5566" i="2"/>
  <c r="F5566" i="2" s="1"/>
  <c r="D5564" i="2"/>
  <c r="F5564" i="2" s="1"/>
  <c r="D5561" i="2"/>
  <c r="F5561" i="2" s="1"/>
  <c r="D5556" i="2"/>
  <c r="F5556" i="2" s="1"/>
  <c r="D5548" i="2"/>
  <c r="F5548" i="2" s="1"/>
  <c r="D5541" i="2"/>
  <c r="F5541" i="2" s="1"/>
  <c r="D5538" i="2"/>
  <c r="F5538" i="2" s="1"/>
  <c r="D5532" i="2"/>
  <c r="F5532" i="2" s="1"/>
  <c r="D5524" i="2"/>
  <c r="F5524" i="2" s="1"/>
  <c r="D5522" i="2"/>
  <c r="F5522" i="2" s="1"/>
  <c r="D5518" i="2"/>
  <c r="F5518" i="2" s="1"/>
  <c r="D5516" i="2"/>
  <c r="F5516" i="2" s="1"/>
  <c r="D5513" i="2"/>
  <c r="F5513" i="2" s="1"/>
  <c r="D5511" i="2"/>
  <c r="F5511" i="2" s="1"/>
  <c r="D5507" i="2"/>
  <c r="F5507" i="2" s="1"/>
  <c r="D5503" i="2"/>
  <c r="F5503" i="2" s="1"/>
  <c r="D5488" i="2"/>
  <c r="F5488" i="2" s="1"/>
  <c r="D5484" i="2"/>
  <c r="F5484" i="2" s="1"/>
  <c r="D5480" i="2"/>
  <c r="F5480" i="2" s="1"/>
  <c r="D5470" i="2"/>
  <c r="F5470" i="2" s="1"/>
  <c r="D5460" i="2"/>
  <c r="F5460" i="2" s="1"/>
  <c r="D5453" i="2"/>
  <c r="F5453" i="2" s="1"/>
  <c r="D5448" i="2"/>
  <c r="F5448" i="2" s="1"/>
  <c r="D5445" i="2"/>
  <c r="F5445" i="2" s="1"/>
  <c r="D5441" i="2"/>
  <c r="F5441" i="2" s="1"/>
  <c r="D5435" i="2"/>
  <c r="F5435" i="2" s="1"/>
  <c r="D5431" i="2"/>
  <c r="F5431" i="2" s="1"/>
  <c r="D5427" i="2"/>
  <c r="F5427" i="2" s="1"/>
  <c r="D5424" i="2"/>
  <c r="F5424" i="2" s="1"/>
  <c r="D5418" i="2"/>
  <c r="F5418" i="2" s="1"/>
  <c r="D5414" i="2"/>
  <c r="F5414" i="2" s="1"/>
  <c r="D5410" i="2"/>
  <c r="F5410" i="2" s="1"/>
  <c r="D5401" i="2"/>
  <c r="F5401" i="2" s="1"/>
  <c r="D5393" i="2"/>
  <c r="F5393" i="2" s="1"/>
  <c r="D5388" i="2"/>
  <c r="F5388" i="2" s="1"/>
  <c r="D5381" i="2"/>
  <c r="F5381" i="2" s="1"/>
  <c r="D5375" i="2"/>
  <c r="F5375" i="2" s="1"/>
  <c r="D5364" i="2"/>
  <c r="F5364" i="2" s="1"/>
  <c r="D5358" i="2"/>
  <c r="F5358" i="2" s="1"/>
  <c r="D5347" i="2"/>
  <c r="F5347" i="2" s="1"/>
  <c r="D5343" i="2"/>
  <c r="F5343" i="2" s="1"/>
  <c r="D5336" i="2"/>
  <c r="F5336" i="2" s="1"/>
  <c r="D5329" i="2"/>
  <c r="F5329" i="2" s="1"/>
  <c r="D5323" i="2"/>
  <c r="F5323" i="2" s="1"/>
  <c r="D5318" i="2"/>
  <c r="F5318" i="2" s="1"/>
  <c r="D6133" i="2"/>
  <c r="F6133" i="2" s="1"/>
  <c r="D6128" i="2"/>
  <c r="F6128" i="2" s="1"/>
  <c r="D6124" i="2"/>
  <c r="F6124" i="2" s="1"/>
  <c r="D6107" i="2"/>
  <c r="F6107" i="2" s="1"/>
  <c r="D6103" i="2"/>
  <c r="F6103" i="2" s="1"/>
  <c r="D6099" i="2"/>
  <c r="F6099" i="2" s="1"/>
  <c r="D6089" i="2"/>
  <c r="F6089" i="2" s="1"/>
  <c r="D6084" i="2"/>
  <c r="F6084" i="2" s="1"/>
  <c r="D6078" i="2"/>
  <c r="F6078" i="2" s="1"/>
  <c r="D6074" i="2"/>
  <c r="F6074" i="2" s="1"/>
  <c r="D6068" i="2"/>
  <c r="F6068" i="2" s="1"/>
  <c r="D6063" i="2"/>
  <c r="F6063" i="2" s="1"/>
  <c r="D6059" i="2"/>
  <c r="F6059" i="2" s="1"/>
  <c r="D6052" i="2"/>
  <c r="F6052" i="2" s="1"/>
  <c r="D6047" i="2"/>
  <c r="F6047" i="2" s="1"/>
  <c r="D6036" i="2"/>
  <c r="F6036" i="2" s="1"/>
  <c r="D6027" i="2"/>
  <c r="F6027" i="2" s="1"/>
  <c r="D6018" i="2"/>
  <c r="F6018" i="2" s="1"/>
  <c r="D6014" i="2"/>
  <c r="F6014" i="2" s="1"/>
  <c r="D6009" i="2"/>
  <c r="F6009" i="2" s="1"/>
  <c r="D6005" i="2"/>
  <c r="F6005" i="2" s="1"/>
  <c r="D6000" i="2"/>
  <c r="F6000" i="2" s="1"/>
  <c r="D5996" i="2"/>
  <c r="F5996" i="2" s="1"/>
  <c r="D5988" i="2"/>
  <c r="F5988" i="2" s="1"/>
  <c r="D5984" i="2"/>
  <c r="F5984" i="2" s="1"/>
  <c r="D5979" i="2"/>
  <c r="F5979" i="2" s="1"/>
  <c r="D5975" i="2"/>
  <c r="F5975" i="2" s="1"/>
  <c r="D5970" i="2"/>
  <c r="F5970" i="2" s="1"/>
  <c r="D5966" i="2"/>
  <c r="F5966" i="2" s="1"/>
  <c r="D5620" i="2"/>
  <c r="F5620" i="2" s="1"/>
  <c r="D5616" i="2"/>
  <c r="F5616" i="2" s="1"/>
  <c r="D5613" i="2"/>
  <c r="F5613" i="2" s="1"/>
  <c r="D5610" i="2"/>
  <c r="F5610" i="2" s="1"/>
  <c r="D5608" i="2"/>
  <c r="F5608" i="2" s="1"/>
  <c r="D5605" i="2"/>
  <c r="F5605" i="2" s="1"/>
  <c r="D5603" i="2"/>
  <c r="F5603" i="2" s="1"/>
  <c r="D5601" i="2"/>
  <c r="F5601" i="2" s="1"/>
  <c r="D5598" i="2"/>
  <c r="F5598" i="2" s="1"/>
  <c r="D5589" i="2"/>
  <c r="F5589" i="2" s="1"/>
  <c r="D5585" i="2"/>
  <c r="F5585" i="2" s="1"/>
  <c r="D5580" i="2"/>
  <c r="F5580" i="2" s="1"/>
  <c r="D5575" i="2"/>
  <c r="F5575" i="2" s="1"/>
  <c r="D5550" i="2"/>
  <c r="F5550" i="2" s="1"/>
  <c r="D5508" i="2"/>
  <c r="F5508" i="2" s="1"/>
  <c r="D5504" i="2"/>
  <c r="F5504" i="2" s="1"/>
  <c r="D5489" i="2"/>
  <c r="F5489" i="2" s="1"/>
  <c r="D5485" i="2"/>
  <c r="F5485" i="2" s="1"/>
  <c r="D5481" i="2"/>
  <c r="F5481" i="2" s="1"/>
  <c r="D5475" i="2"/>
  <c r="F5475" i="2" s="1"/>
  <c r="D5472" i="2"/>
  <c r="F5472" i="2" s="1"/>
  <c r="D5461" i="2"/>
  <c r="F5461" i="2" s="1"/>
  <c r="D5454" i="2"/>
  <c r="F5454" i="2" s="1"/>
  <c r="D5449" i="2"/>
  <c r="F5449" i="2" s="1"/>
  <c r="D5446" i="2"/>
  <c r="F5446" i="2" s="1"/>
  <c r="D5442" i="2"/>
  <c r="F5442" i="2" s="1"/>
  <c r="D5436" i="2"/>
  <c r="F5436" i="2" s="1"/>
  <c r="D5432" i="2"/>
  <c r="F5432" i="2" s="1"/>
  <c r="D5428" i="2"/>
  <c r="F5428" i="2" s="1"/>
  <c r="D5425" i="2"/>
  <c r="F5425" i="2" s="1"/>
  <c r="D5419" i="2"/>
  <c r="F5419" i="2" s="1"/>
  <c r="D5415" i="2"/>
  <c r="F5415" i="2" s="1"/>
  <c r="D5411" i="2"/>
  <c r="F5411" i="2" s="1"/>
  <c r="D5402" i="2"/>
  <c r="F5402" i="2" s="1"/>
  <c r="D5394" i="2"/>
  <c r="F5394" i="2" s="1"/>
  <c r="D5389" i="2"/>
  <c r="F5389" i="2" s="1"/>
  <c r="D5385" i="2"/>
  <c r="F5385" i="2" s="1"/>
  <c r="D5377" i="2"/>
  <c r="F5377" i="2" s="1"/>
  <c r="D5365" i="2"/>
  <c r="F5365" i="2" s="1"/>
  <c r="D5359" i="2"/>
  <c r="F5359" i="2" s="1"/>
  <c r="D5345" i="2"/>
  <c r="F5345" i="2" s="1"/>
  <c r="D5337" i="2"/>
  <c r="F5337" i="2" s="1"/>
  <c r="D5332" i="2"/>
  <c r="F5332" i="2" s="1"/>
  <c r="D5325" i="2"/>
  <c r="F5325" i="2" s="1"/>
  <c r="D6134" i="2"/>
  <c r="F6134" i="2" s="1"/>
  <c r="D6129" i="2"/>
  <c r="F6129" i="2" s="1"/>
  <c r="D6125" i="2"/>
  <c r="F6125" i="2" s="1"/>
  <c r="D6090" i="2"/>
  <c r="F6090" i="2" s="1"/>
  <c r="D6086" i="2"/>
  <c r="F6086" i="2" s="1"/>
  <c r="D6080" i="2"/>
  <c r="F6080" i="2" s="1"/>
  <c r="D6075" i="2"/>
  <c r="F6075" i="2" s="1"/>
  <c r="D6069" i="2"/>
  <c r="F6069" i="2" s="1"/>
  <c r="D6065" i="2"/>
  <c r="F6065" i="2" s="1"/>
  <c r="D6060" i="2"/>
  <c r="F6060" i="2" s="1"/>
  <c r="D6053" i="2"/>
  <c r="F6053" i="2" s="1"/>
  <c r="D6048" i="2"/>
  <c r="F6048" i="2" s="1"/>
  <c r="D6041" i="2"/>
  <c r="F6041" i="2" s="1"/>
  <c r="D6037" i="2"/>
  <c r="F6037" i="2" s="1"/>
  <c r="D6032" i="2"/>
  <c r="F6032" i="2" s="1"/>
  <c r="D6028" i="2"/>
  <c r="F6028" i="2" s="1"/>
  <c r="D6023" i="2"/>
  <c r="F6023" i="2" s="1"/>
  <c r="D6019" i="2"/>
  <c r="F6019" i="2" s="1"/>
  <c r="D6015" i="2"/>
  <c r="F6015" i="2" s="1"/>
  <c r="D6010" i="2"/>
  <c r="F6010" i="2" s="1"/>
  <c r="D6006" i="2"/>
  <c r="F6006" i="2" s="1"/>
  <c r="D6001" i="2"/>
  <c r="F6001" i="2" s="1"/>
  <c r="D5997" i="2"/>
  <c r="F5997" i="2" s="1"/>
  <c r="D5989" i="2"/>
  <c r="F5989" i="2" s="1"/>
  <c r="D5985" i="2"/>
  <c r="F5985" i="2" s="1"/>
  <c r="D5980" i="2"/>
  <c r="F5980" i="2" s="1"/>
  <c r="D5976" i="2"/>
  <c r="F5976" i="2" s="1"/>
  <c r="D5971" i="2"/>
  <c r="F5971" i="2" s="1"/>
  <c r="D5967" i="2"/>
  <c r="F5967" i="2" s="1"/>
  <c r="D5645" i="2"/>
  <c r="F5645" i="2" s="1"/>
  <c r="D5642" i="2"/>
  <c r="F5642" i="2" s="1"/>
  <c r="D5640" i="2"/>
  <c r="F5640" i="2" s="1"/>
  <c r="D5637" i="2"/>
  <c r="F5637" i="2" s="1"/>
  <c r="D5634" i="2"/>
  <c r="F5634" i="2" s="1"/>
  <c r="D5632" i="2"/>
  <c r="F5632" i="2" s="1"/>
  <c r="D5630" i="2"/>
  <c r="F5630" i="2" s="1"/>
  <c r="D5624" i="2"/>
  <c r="F5624" i="2" s="1"/>
  <c r="D5621" i="2"/>
  <c r="F5621" i="2" s="1"/>
  <c r="D5590" i="2"/>
  <c r="F5590" i="2" s="1"/>
  <c r="D5586" i="2"/>
  <c r="F5586" i="2" s="1"/>
  <c r="D5581" i="2"/>
  <c r="F5581" i="2" s="1"/>
  <c r="D5576" i="2"/>
  <c r="F5576" i="2" s="1"/>
  <c r="D5572" i="2"/>
  <c r="F5572" i="2" s="1"/>
  <c r="D5565" i="2"/>
  <c r="F5565" i="2" s="1"/>
  <c r="D5562" i="2"/>
  <c r="F5562" i="2" s="1"/>
  <c r="D5560" i="2"/>
  <c r="F5560" i="2" s="1"/>
  <c r="D5555" i="2"/>
  <c r="F5555" i="2" s="1"/>
  <c r="D5543" i="2"/>
  <c r="F5543" i="2" s="1"/>
  <c r="D5540" i="2"/>
  <c r="F5540" i="2" s="1"/>
  <c r="D5537" i="2"/>
  <c r="F5537" i="2" s="1"/>
  <c r="D5527" i="2"/>
  <c r="F5527" i="2" s="1"/>
  <c r="D5523" i="2"/>
  <c r="F5523" i="2" s="1"/>
  <c r="D5519" i="2"/>
  <c r="F5519" i="2" s="1"/>
  <c r="D5517" i="2"/>
  <c r="F5517" i="2" s="1"/>
  <c r="D5515" i="2"/>
  <c r="F5515" i="2" s="1"/>
  <c r="D5512" i="2"/>
  <c r="F5512" i="2" s="1"/>
  <c r="D5509" i="2"/>
  <c r="F5509" i="2" s="1"/>
  <c r="D5505" i="2"/>
  <c r="F5505" i="2" s="1"/>
  <c r="D5486" i="2"/>
  <c r="F5486" i="2" s="1"/>
  <c r="D5482" i="2"/>
  <c r="F5482" i="2" s="1"/>
  <c r="D5478" i="2"/>
  <c r="F5478" i="2" s="1"/>
  <c r="D5462" i="2"/>
  <c r="F5462" i="2" s="1"/>
  <c r="D5456" i="2"/>
  <c r="F5456" i="2" s="1"/>
  <c r="D5450" i="2"/>
  <c r="F5450" i="2" s="1"/>
  <c r="D5443" i="2"/>
  <c r="F5443" i="2" s="1"/>
  <c r="D5437" i="2"/>
  <c r="F5437" i="2" s="1"/>
  <c r="D5433" i="2"/>
  <c r="F5433" i="2" s="1"/>
  <c r="D5429" i="2"/>
  <c r="F5429" i="2" s="1"/>
  <c r="D5420" i="2"/>
  <c r="F5420" i="2" s="1"/>
  <c r="D5416" i="2"/>
  <c r="F5416" i="2" s="1"/>
  <c r="D5412" i="2"/>
  <c r="F5412" i="2" s="1"/>
  <c r="D5408" i="2"/>
  <c r="F5408" i="2" s="1"/>
  <c r="D5399" i="2"/>
  <c r="F5399" i="2" s="1"/>
  <c r="D5390" i="2"/>
  <c r="F5390" i="2" s="1"/>
  <c r="D5386" i="2"/>
  <c r="F5386" i="2" s="1"/>
  <c r="D5378" i="2"/>
  <c r="F5378" i="2" s="1"/>
  <c r="D5370" i="2"/>
  <c r="F5370" i="2" s="1"/>
  <c r="D5360" i="2"/>
  <c r="F5360" i="2" s="1"/>
  <c r="D5355" i="2"/>
  <c r="F5355" i="2" s="1"/>
  <c r="D5346" i="2"/>
  <c r="F5346" i="2" s="1"/>
  <c r="D5339" i="2"/>
  <c r="F5339" i="2" s="1"/>
  <c r="D5333" i="2"/>
  <c r="F5333" i="2" s="1"/>
  <c r="D5326" i="2"/>
  <c r="F5326" i="2" s="1"/>
  <c r="D5321" i="2"/>
  <c r="F5321" i="2" s="1"/>
  <c r="D5310" i="2"/>
  <c r="F5310" i="2" s="1"/>
  <c r="D5304" i="2"/>
  <c r="F5304" i="2" s="1"/>
  <c r="D5299" i="2"/>
  <c r="F5299" i="2" s="1"/>
  <c r="D5290" i="2"/>
  <c r="F5290" i="2" s="1"/>
  <c r="D5284" i="2"/>
  <c r="F5284" i="2" s="1"/>
  <c r="D5277" i="2"/>
  <c r="F5277" i="2" s="1"/>
  <c r="D5272" i="2"/>
  <c r="F5272" i="2" s="1"/>
  <c r="D5267" i="2"/>
  <c r="F5267" i="2" s="1"/>
  <c r="D5261" i="2"/>
  <c r="F5261" i="2" s="1"/>
  <c r="D5255" i="2"/>
  <c r="F5255" i="2" s="1"/>
  <c r="D5250" i="2"/>
  <c r="F5250" i="2" s="1"/>
  <c r="D5240" i="2"/>
  <c r="F5240" i="2" s="1"/>
  <c r="D5234" i="2"/>
  <c r="F5234" i="2" s="1"/>
  <c r="D5228" i="2"/>
  <c r="F5228" i="2" s="1"/>
  <c r="D5222" i="2"/>
  <c r="F5222" i="2" s="1"/>
  <c r="D5216" i="2"/>
  <c r="F5216" i="2" s="1"/>
  <c r="D5209" i="2"/>
  <c r="F5209" i="2" s="1"/>
  <c r="D5200" i="2"/>
  <c r="F5200" i="2" s="1"/>
  <c r="D5173" i="2"/>
  <c r="D5167" i="2"/>
  <c r="D5163" i="2"/>
  <c r="D5158" i="2"/>
  <c r="D5153" i="2"/>
  <c r="D5144" i="2"/>
  <c r="D5138" i="2"/>
  <c r="D5132" i="2"/>
  <c r="D5128" i="2"/>
  <c r="D5123" i="2"/>
  <c r="D5117" i="2"/>
  <c r="D5111" i="2"/>
  <c r="D5102" i="2"/>
  <c r="F5102" i="2" s="1"/>
  <c r="D5096" i="2"/>
  <c r="F5096" i="2" s="1"/>
  <c r="D5094" i="2"/>
  <c r="F5094" i="2" s="1"/>
  <c r="D5088" i="2"/>
  <c r="F5088" i="2" s="1"/>
  <c r="D5084" i="2"/>
  <c r="F5084" i="2" s="1"/>
  <c r="D5081" i="2"/>
  <c r="F5081" i="2" s="1"/>
  <c r="D5079" i="2"/>
  <c r="F5079" i="2" s="1"/>
  <c r="D5076" i="2"/>
  <c r="F5076" i="2" s="1"/>
  <c r="D5073" i="2"/>
  <c r="F5073" i="2" s="1"/>
  <c r="D5067" i="2"/>
  <c r="F5067" i="2" s="1"/>
  <c r="D5064" i="2"/>
  <c r="F5064" i="2" s="1"/>
  <c r="D5061" i="2"/>
  <c r="F5061" i="2" s="1"/>
  <c r="D5059" i="2"/>
  <c r="F5059" i="2" s="1"/>
  <c r="D5055" i="2"/>
  <c r="F5055" i="2" s="1"/>
  <c r="D5047" i="2"/>
  <c r="F5047" i="2" s="1"/>
  <c r="D5045" i="2"/>
  <c r="F5045" i="2" s="1"/>
  <c r="D5042" i="2"/>
  <c r="F5042" i="2" s="1"/>
  <c r="D5040" i="2"/>
  <c r="F5040" i="2" s="1"/>
  <c r="D5038" i="2"/>
  <c r="F5038" i="2" s="1"/>
  <c r="D5036" i="2"/>
  <c r="F5036" i="2" s="1"/>
  <c r="D5034" i="2"/>
  <c r="F5034" i="2" s="1"/>
  <c r="D5032" i="2"/>
  <c r="F5032" i="2" s="1"/>
  <c r="D5030" i="2"/>
  <c r="F5030" i="2" s="1"/>
  <c r="D5027" i="2"/>
  <c r="F5027" i="2" s="1"/>
  <c r="D5025" i="2"/>
  <c r="F5025" i="2" s="1"/>
  <c r="D5023" i="2"/>
  <c r="F5023" i="2" s="1"/>
  <c r="D5021" i="2"/>
  <c r="F5021" i="2" s="1"/>
  <c r="D5019" i="2"/>
  <c r="F5019" i="2" s="1"/>
  <c r="D5016" i="2"/>
  <c r="F5016" i="2" s="1"/>
  <c r="D5012" i="2"/>
  <c r="F5012" i="2" s="1"/>
  <c r="D5009" i="2"/>
  <c r="F5009" i="2" s="1"/>
  <c r="D5007" i="2"/>
  <c r="F5007" i="2" s="1"/>
  <c r="D5005" i="2"/>
  <c r="F5005" i="2" s="1"/>
  <c r="D5003" i="2"/>
  <c r="F5003" i="2" s="1"/>
  <c r="D5000" i="2"/>
  <c r="F5000" i="2" s="1"/>
  <c r="D4998" i="2"/>
  <c r="F4998" i="2" s="1"/>
  <c r="D4996" i="2"/>
  <c r="F4996" i="2" s="1"/>
  <c r="D4994" i="2"/>
  <c r="F4994" i="2" s="1"/>
  <c r="D4985" i="2"/>
  <c r="F4985" i="2" s="1"/>
  <c r="D4982" i="2"/>
  <c r="F4982" i="2" s="1"/>
  <c r="D4976" i="2"/>
  <c r="F4976" i="2" s="1"/>
  <c r="D4974" i="2"/>
  <c r="F4974" i="2" s="1"/>
  <c r="D4972" i="2"/>
  <c r="F4972" i="2" s="1"/>
  <c r="D4970" i="2"/>
  <c r="F4970" i="2" s="1"/>
  <c r="D4968" i="2"/>
  <c r="F4968" i="2" s="1"/>
  <c r="D4962" i="2"/>
  <c r="F4962" i="2" s="1"/>
  <c r="D4955" i="2"/>
  <c r="F4955" i="2" s="1"/>
  <c r="D4950" i="2"/>
  <c r="F4950" i="2" s="1"/>
  <c r="D4946" i="2"/>
  <c r="F4946" i="2" s="1"/>
  <c r="D4943" i="2"/>
  <c r="F4943" i="2" s="1"/>
  <c r="D4941" i="2"/>
  <c r="F4941" i="2" s="1"/>
  <c r="D4938" i="2"/>
  <c r="F4938" i="2" s="1"/>
  <c r="D4931" i="2"/>
  <c r="F4931" i="2" s="1"/>
  <c r="D4929" i="2"/>
  <c r="F4929" i="2" s="1"/>
  <c r="D4926" i="2"/>
  <c r="F4926" i="2" s="1"/>
  <c r="D4922" i="2"/>
  <c r="F4922" i="2" s="1"/>
  <c r="D4920" i="2"/>
  <c r="F4920" i="2" s="1"/>
  <c r="D4915" i="2"/>
  <c r="F4915" i="2" s="1"/>
  <c r="D4912" i="2"/>
  <c r="F4912" i="2" s="1"/>
  <c r="D4909" i="2"/>
  <c r="F4909" i="2" s="1"/>
  <c r="D4906" i="2"/>
  <c r="F4906" i="2" s="1"/>
  <c r="D4904" i="2"/>
  <c r="F4904" i="2" s="1"/>
  <c r="D4902" i="2"/>
  <c r="F4902" i="2" s="1"/>
  <c r="D4899" i="2"/>
  <c r="F4899" i="2" s="1"/>
  <c r="D4897" i="2"/>
  <c r="F4897" i="2" s="1"/>
  <c r="D4893" i="2"/>
  <c r="F4893" i="2" s="1"/>
  <c r="D4891" i="2"/>
  <c r="F4891" i="2" s="1"/>
  <c r="D4888" i="2"/>
  <c r="F4888" i="2" s="1"/>
  <c r="D4886" i="2"/>
  <c r="F4886" i="2" s="1"/>
  <c r="D4884" i="2"/>
  <c r="F4884" i="2" s="1"/>
  <c r="D5312" i="2"/>
  <c r="F5312" i="2" s="1"/>
  <c r="D5306" i="2"/>
  <c r="F5306" i="2" s="1"/>
  <c r="D5301" i="2"/>
  <c r="F5301" i="2" s="1"/>
  <c r="D5295" i="2"/>
  <c r="F5295" i="2" s="1"/>
  <c r="D5293" i="2"/>
  <c r="F5293" i="2" s="1"/>
  <c r="D5291" i="2"/>
  <c r="F5291" i="2" s="1"/>
  <c r="D5286" i="2"/>
  <c r="F5286" i="2" s="1"/>
  <c r="D5280" i="2"/>
  <c r="F5280" i="2" s="1"/>
  <c r="D5269" i="2"/>
  <c r="F5269" i="2" s="1"/>
  <c r="D5262" i="2"/>
  <c r="F5262" i="2" s="1"/>
  <c r="D5256" i="2"/>
  <c r="F5256" i="2" s="1"/>
  <c r="D5246" i="2"/>
  <c r="F5246" i="2" s="1"/>
  <c r="D5235" i="2"/>
  <c r="F5235" i="2" s="1"/>
  <c r="D5229" i="2"/>
  <c r="F5229" i="2" s="1"/>
  <c r="D5223" i="2"/>
  <c r="F5223" i="2" s="1"/>
  <c r="D5217" i="2"/>
  <c r="F5217" i="2" s="1"/>
  <c r="D5211" i="2"/>
  <c r="F5211" i="2" s="1"/>
  <c r="D5203" i="2"/>
  <c r="F5203" i="2" s="1"/>
  <c r="D5174" i="2"/>
  <c r="D5169" i="2"/>
  <c r="D5164" i="2"/>
  <c r="D5159" i="2"/>
  <c r="D5154" i="2"/>
  <c r="D5148" i="2"/>
  <c r="D5145" i="2"/>
  <c r="D5139" i="2"/>
  <c r="D5133" i="2"/>
  <c r="D5129" i="2"/>
  <c r="D5124" i="2"/>
  <c r="D5119" i="2"/>
  <c r="D5112" i="2"/>
  <c r="D5103" i="2"/>
  <c r="F5103" i="2" s="1"/>
  <c r="D4986" i="2"/>
  <c r="F4986" i="2" s="1"/>
  <c r="D4977" i="2"/>
  <c r="F4977" i="2" s="1"/>
  <c r="D5319" i="2"/>
  <c r="F5319" i="2" s="1"/>
  <c r="D5313" i="2"/>
  <c r="F5313" i="2" s="1"/>
  <c r="D5307" i="2"/>
  <c r="F5307" i="2" s="1"/>
  <c r="D5302" i="2"/>
  <c r="F5302" i="2" s="1"/>
  <c r="D5296" i="2"/>
  <c r="F5296" i="2" s="1"/>
  <c r="D5294" i="2"/>
  <c r="D5292" i="2"/>
  <c r="D5287" i="2"/>
  <c r="F5287" i="2" s="1"/>
  <c r="D5281" i="2"/>
  <c r="F5281" i="2" s="1"/>
  <c r="D5264" i="2"/>
  <c r="F5264" i="2" s="1"/>
  <c r="D5258" i="2"/>
  <c r="F5258" i="2" s="1"/>
  <c r="D5247" i="2"/>
  <c r="F5247" i="2" s="1"/>
  <c r="D5237" i="2"/>
  <c r="F5237" i="2" s="1"/>
  <c r="D5231" i="2"/>
  <c r="F5231" i="2" s="1"/>
  <c r="D5225" i="2"/>
  <c r="F5225" i="2" s="1"/>
  <c r="D5219" i="2"/>
  <c r="F5219" i="2" s="1"/>
  <c r="D5212" i="2"/>
  <c r="F5212" i="2" s="1"/>
  <c r="D5204" i="2"/>
  <c r="F5204" i="2" s="1"/>
  <c r="D5176" i="2"/>
  <c r="D5170" i="2"/>
  <c r="D5165" i="2"/>
  <c r="D5160" i="2"/>
  <c r="D5155" i="2"/>
  <c r="D5150" i="2"/>
  <c r="D5141" i="2"/>
  <c r="D5135" i="2"/>
  <c r="D5130" i="2"/>
  <c r="D5125" i="2"/>
  <c r="D5120" i="2"/>
  <c r="D5114" i="2"/>
  <c r="D5105" i="2"/>
  <c r="F5105" i="2" s="1"/>
  <c r="D5100" i="2"/>
  <c r="F5100" i="2" s="1"/>
  <c r="D5095" i="2"/>
  <c r="F5095" i="2" s="1"/>
  <c r="D5093" i="2"/>
  <c r="F5093" i="2" s="1"/>
  <c r="D5086" i="2"/>
  <c r="F5086" i="2" s="1"/>
  <c r="D5083" i="2"/>
  <c r="F5083" i="2" s="1"/>
  <c r="D5080" i="2"/>
  <c r="F5080" i="2" s="1"/>
  <c r="D5078" i="2"/>
  <c r="F5078" i="2" s="1"/>
  <c r="D5074" i="2"/>
  <c r="F5074" i="2" s="1"/>
  <c r="D5069" i="2"/>
  <c r="F5069" i="2" s="1"/>
  <c r="D5065" i="2"/>
  <c r="F5065" i="2" s="1"/>
  <c r="D5062" i="2"/>
  <c r="F5062" i="2" s="1"/>
  <c r="D5060" i="2"/>
  <c r="F5060" i="2" s="1"/>
  <c r="D5057" i="2"/>
  <c r="F5057" i="2" s="1"/>
  <c r="D5054" i="2"/>
  <c r="F5054" i="2" s="1"/>
  <c r="D5046" i="2"/>
  <c r="F5046" i="2" s="1"/>
  <c r="D5044" i="2"/>
  <c r="F5044" i="2" s="1"/>
  <c r="D5041" i="2"/>
  <c r="F5041" i="2" s="1"/>
  <c r="D5039" i="2"/>
  <c r="F5039" i="2" s="1"/>
  <c r="D5037" i="2"/>
  <c r="F5037" i="2" s="1"/>
  <c r="D5035" i="2"/>
  <c r="F5035" i="2" s="1"/>
  <c r="D5033" i="2"/>
  <c r="F5033" i="2" s="1"/>
  <c r="D5031" i="2"/>
  <c r="F5031" i="2" s="1"/>
  <c r="D5029" i="2"/>
  <c r="F5029" i="2" s="1"/>
  <c r="D5026" i="2"/>
  <c r="F5026" i="2" s="1"/>
  <c r="D5024" i="2"/>
  <c r="F5024" i="2" s="1"/>
  <c r="D5022" i="2"/>
  <c r="F5022" i="2" s="1"/>
  <c r="D5020" i="2"/>
  <c r="F5020" i="2" s="1"/>
  <c r="D5017" i="2"/>
  <c r="F5017" i="2" s="1"/>
  <c r="D5015" i="2"/>
  <c r="F5015" i="2" s="1"/>
  <c r="D5011" i="2"/>
  <c r="F5011" i="2" s="1"/>
  <c r="D5008" i="2"/>
  <c r="F5008" i="2" s="1"/>
  <c r="D5006" i="2"/>
  <c r="F5006" i="2" s="1"/>
  <c r="D5004" i="2"/>
  <c r="F5004" i="2" s="1"/>
  <c r="D5001" i="2"/>
  <c r="F5001" i="2" s="1"/>
  <c r="D4999" i="2"/>
  <c r="F4999" i="2" s="1"/>
  <c r="D4997" i="2"/>
  <c r="F4997" i="2" s="1"/>
  <c r="D4995" i="2"/>
  <c r="F4995" i="2" s="1"/>
  <c r="D4993" i="2"/>
  <c r="F4993" i="2" s="1"/>
  <c r="D4983" i="2"/>
  <c r="F4983" i="2" s="1"/>
  <c r="D4978" i="2"/>
  <c r="F4978" i="2" s="1"/>
  <c r="D4975" i="2"/>
  <c r="F4975" i="2" s="1"/>
  <c r="D4973" i="2"/>
  <c r="F4973" i="2" s="1"/>
  <c r="D4971" i="2"/>
  <c r="F4971" i="2" s="1"/>
  <c r="D4969" i="2"/>
  <c r="F4969" i="2" s="1"/>
  <c r="D4963" i="2"/>
  <c r="F4963" i="2" s="1"/>
  <c r="D4956" i="2"/>
  <c r="F4956" i="2" s="1"/>
  <c r="D4952" i="2"/>
  <c r="F4952" i="2" s="1"/>
  <c r="D4949" i="2"/>
  <c r="F4949" i="2" s="1"/>
  <c r="D4944" i="2"/>
  <c r="F4944" i="2" s="1"/>
  <c r="D4942" i="2"/>
  <c r="F4942" i="2" s="1"/>
  <c r="D4939" i="2"/>
  <c r="F4939" i="2" s="1"/>
  <c r="D4930" i="2"/>
  <c r="F4930" i="2" s="1"/>
  <c r="D4928" i="2"/>
  <c r="F4928" i="2" s="1"/>
  <c r="D4925" i="2"/>
  <c r="F4925" i="2" s="1"/>
  <c r="D4921" i="2"/>
  <c r="F4921" i="2" s="1"/>
  <c r="D4918" i="2"/>
  <c r="F4918" i="2" s="1"/>
  <c r="E3139" i="1" s="1"/>
  <c r="F3139" i="1" s="1"/>
  <c r="D4914" i="2"/>
  <c r="F4914" i="2" s="1"/>
  <c r="D4911" i="2"/>
  <c r="F4911" i="2" s="1"/>
  <c r="D4908" i="2"/>
  <c r="F4908" i="2" s="1"/>
  <c r="D4905" i="2"/>
  <c r="F4905" i="2" s="1"/>
  <c r="D4903" i="2"/>
  <c r="F4903" i="2" s="1"/>
  <c r="D4901" i="2"/>
  <c r="F4901" i="2" s="1"/>
  <c r="D4898" i="2"/>
  <c r="F4898" i="2" s="1"/>
  <c r="D4896" i="2"/>
  <c r="F4896" i="2" s="1"/>
  <c r="D4892" i="2"/>
  <c r="F4892" i="2" s="1"/>
  <c r="D4890" i="2"/>
  <c r="F4890" i="2" s="1"/>
  <c r="D4887" i="2"/>
  <c r="F4887" i="2" s="1"/>
  <c r="D4885" i="2"/>
  <c r="F4885" i="2" s="1"/>
  <c r="D4883" i="2"/>
  <c r="F4883" i="2" s="1"/>
  <c r="D5309" i="2"/>
  <c r="F5309" i="2" s="1"/>
  <c r="D5303" i="2"/>
  <c r="F5303" i="2" s="1"/>
  <c r="D5298" i="2"/>
  <c r="F5298" i="2" s="1"/>
  <c r="D5288" i="2"/>
  <c r="F5288" i="2" s="1"/>
  <c r="D5283" i="2"/>
  <c r="F5283" i="2" s="1"/>
  <c r="D5275" i="2"/>
  <c r="F5275" i="2" s="1"/>
  <c r="D5266" i="2"/>
  <c r="F5266" i="2" s="1"/>
  <c r="D5259" i="2"/>
  <c r="F5259" i="2" s="1"/>
  <c r="D5248" i="2"/>
  <c r="F5248" i="2" s="1"/>
  <c r="D5238" i="2"/>
  <c r="F5238" i="2" s="1"/>
  <c r="D5232" i="2"/>
  <c r="F5232" i="2" s="1"/>
  <c r="D5226" i="2"/>
  <c r="F5226" i="2" s="1"/>
  <c r="D5220" i="2"/>
  <c r="F5220" i="2" s="1"/>
  <c r="D5214" i="2"/>
  <c r="F5214" i="2" s="1"/>
  <c r="D5208" i="2"/>
  <c r="F5208" i="2" s="1"/>
  <c r="D5194" i="2"/>
  <c r="F5194" i="2" s="1"/>
  <c r="D5171" i="2"/>
  <c r="D5166" i="2"/>
  <c r="D5161" i="2"/>
  <c r="D5156" i="2"/>
  <c r="D5151" i="2"/>
  <c r="D5142" i="2"/>
  <c r="D5137" i="2"/>
  <c r="D5131" i="2"/>
  <c r="D5127" i="2"/>
  <c r="D5122" i="2"/>
  <c r="D5115" i="2"/>
  <c r="D5110" i="2"/>
  <c r="D5101" i="2"/>
  <c r="F5101" i="2" s="1"/>
  <c r="D4980" i="2"/>
  <c r="D4581" i="2"/>
  <c r="D4432" i="2"/>
  <c r="F4432" i="2" s="1"/>
  <c r="D4353" i="2"/>
  <c r="F4353" i="2" s="1"/>
  <c r="D4351" i="2"/>
  <c r="F4351" i="2" s="1"/>
  <c r="D4349" i="2"/>
  <c r="F4349" i="2" s="1"/>
  <c r="D4347" i="2"/>
  <c r="F4347" i="2" s="1"/>
  <c r="D4345" i="2"/>
  <c r="F4345" i="2" s="1"/>
  <c r="D4341" i="2"/>
  <c r="F4341" i="2" s="1"/>
  <c r="D4339" i="2"/>
  <c r="F4339" i="2" s="1"/>
  <c r="D4337" i="2"/>
  <c r="F4337" i="2" s="1"/>
  <c r="D4335" i="2"/>
  <c r="F4335" i="2" s="1"/>
  <c r="D4333" i="2"/>
  <c r="F4333" i="2" s="1"/>
  <c r="D4329" i="2"/>
  <c r="F4329" i="2" s="1"/>
  <c r="D4327" i="2"/>
  <c r="F4327" i="2" s="1"/>
  <c r="D4325" i="2"/>
  <c r="F4325" i="2" s="1"/>
  <c r="D4323" i="2"/>
  <c r="F4323" i="2" s="1"/>
  <c r="D4319" i="2"/>
  <c r="F4319" i="2" s="1"/>
  <c r="D4317" i="2"/>
  <c r="F4317" i="2" s="1"/>
  <c r="D4315" i="2"/>
  <c r="F4315" i="2" s="1"/>
  <c r="D4313" i="2"/>
  <c r="F4313" i="2" s="1"/>
  <c r="D4311" i="2"/>
  <c r="F4311" i="2" s="1"/>
  <c r="D4307" i="2"/>
  <c r="F4307" i="2" s="1"/>
  <c r="D4305" i="2"/>
  <c r="F4305" i="2" s="1"/>
  <c r="D4303" i="2"/>
  <c r="F4303" i="2" s="1"/>
  <c r="D4301" i="2"/>
  <c r="F4301" i="2" s="1"/>
  <c r="D4291" i="2"/>
  <c r="F4291" i="2" s="1"/>
  <c r="D4289" i="2"/>
  <c r="F4289" i="2" s="1"/>
  <c r="D4287" i="2"/>
  <c r="F4287" i="2" s="1"/>
  <c r="D4285" i="2"/>
  <c r="F4285" i="2" s="1"/>
  <c r="D4280" i="2"/>
  <c r="F4280" i="2" s="1"/>
  <c r="D4277" i="2"/>
  <c r="F4277" i="2" s="1"/>
  <c r="D4272" i="2"/>
  <c r="F4272" i="2" s="1"/>
  <c r="D4267" i="2"/>
  <c r="F4267" i="2" s="1"/>
  <c r="D4265" i="2"/>
  <c r="F4265" i="2" s="1"/>
  <c r="D4234" i="2"/>
  <c r="F4234" i="2" s="1"/>
  <c r="D4231" i="2"/>
  <c r="F4231" i="2" s="1"/>
  <c r="D3178" i="2"/>
  <c r="F3178" i="2" s="1"/>
  <c r="D3174" i="2"/>
  <c r="F3174" i="2" s="1"/>
  <c r="D4578" i="2"/>
  <c r="D4566" i="2"/>
  <c r="F4566" i="2" s="1"/>
  <c r="D4433" i="2"/>
  <c r="F4433" i="2" s="1"/>
  <c r="D4274" i="2"/>
  <c r="F4274" i="2" s="1"/>
  <c r="D4270" i="2"/>
  <c r="F4270" i="2" s="1"/>
  <c r="D4261" i="2"/>
  <c r="F4261" i="2" s="1"/>
  <c r="D4257" i="2"/>
  <c r="F4257" i="2" s="1"/>
  <c r="D4252" i="2"/>
  <c r="F4252" i="2" s="1"/>
  <c r="D4249" i="2"/>
  <c r="F4249" i="2" s="1"/>
  <c r="D4247" i="2"/>
  <c r="F4247" i="2" s="1"/>
  <c r="D4243" i="2"/>
  <c r="F4243" i="2" s="1"/>
  <c r="D4241" i="2"/>
  <c r="F4241" i="2" s="1"/>
  <c r="D4239" i="2"/>
  <c r="F4239" i="2" s="1"/>
  <c r="D4235" i="2"/>
  <c r="F4235" i="2" s="1"/>
  <c r="D3986" i="2"/>
  <c r="F3986" i="2" s="1"/>
  <c r="D3984" i="2"/>
  <c r="F3984" i="2" s="1"/>
  <c r="D3982" i="2"/>
  <c r="F3982" i="2" s="1"/>
  <c r="D3979" i="2"/>
  <c r="F3979" i="2" s="1"/>
  <c r="D3977" i="2"/>
  <c r="F3977" i="2" s="1"/>
  <c r="D3974" i="2"/>
  <c r="F3974" i="2" s="1"/>
  <c r="D3972" i="2"/>
  <c r="F3972" i="2" s="1"/>
  <c r="D3175" i="2"/>
  <c r="F3175" i="2" s="1"/>
  <c r="D3170" i="2"/>
  <c r="F3170" i="2" s="1"/>
  <c r="E2428" i="1" s="1"/>
  <c r="F2428" i="1" s="1"/>
  <c r="D3162" i="2"/>
  <c r="F3162" i="2" s="1"/>
  <c r="D3160" i="2"/>
  <c r="F3160" i="2" s="1"/>
  <c r="D3158" i="2"/>
  <c r="F3158" i="2" s="1"/>
  <c r="D3154" i="2"/>
  <c r="F3154" i="2" s="1"/>
  <c r="D3152" i="2"/>
  <c r="F3152" i="2" s="1"/>
  <c r="D3150" i="2"/>
  <c r="F3150" i="2" s="1"/>
  <c r="D3147" i="2"/>
  <c r="F3147" i="2" s="1"/>
  <c r="D3145" i="2"/>
  <c r="F3145" i="2" s="1"/>
  <c r="D3143" i="2"/>
  <c r="F3143" i="2" s="1"/>
  <c r="D3140" i="2"/>
  <c r="F3140" i="2" s="1"/>
  <c r="D3138" i="2"/>
  <c r="F3138" i="2" s="1"/>
  <c r="D3136" i="2"/>
  <c r="F3136" i="2" s="1"/>
  <c r="D3133" i="2"/>
  <c r="F3133" i="2" s="1"/>
  <c r="D3131" i="2"/>
  <c r="F3131" i="2" s="1"/>
  <c r="D3129" i="2"/>
  <c r="F3129" i="2" s="1"/>
  <c r="D3126" i="2"/>
  <c r="F3126" i="2" s="1"/>
  <c r="D3124" i="2"/>
  <c r="F3124" i="2" s="1"/>
  <c r="D3122" i="2"/>
  <c r="F3122" i="2" s="1"/>
  <c r="D3117" i="2"/>
  <c r="F3117" i="2" s="1"/>
  <c r="D3115" i="2"/>
  <c r="F3115" i="2" s="1"/>
  <c r="D3113" i="2"/>
  <c r="F3113" i="2" s="1"/>
  <c r="D3110" i="2"/>
  <c r="F3110" i="2" s="1"/>
  <c r="D3108" i="2"/>
  <c r="F3108" i="2" s="1"/>
  <c r="D3106" i="2"/>
  <c r="F3106" i="2" s="1"/>
  <c r="D3103" i="2"/>
  <c r="F3103" i="2" s="1"/>
  <c r="D3101" i="2"/>
  <c r="F3101" i="2" s="1"/>
  <c r="D3099" i="2"/>
  <c r="F3099" i="2" s="1"/>
  <c r="D3097" i="2"/>
  <c r="F3097" i="2" s="1"/>
  <c r="D3095" i="2"/>
  <c r="F3095" i="2" s="1"/>
  <c r="D3092" i="2"/>
  <c r="F3092" i="2" s="1"/>
  <c r="D3090" i="2"/>
  <c r="F3090" i="2" s="1"/>
  <c r="D3088" i="2"/>
  <c r="F3088" i="2" s="1"/>
  <c r="D3086" i="2"/>
  <c r="F3086" i="2" s="1"/>
  <c r="D3083" i="2"/>
  <c r="F3083" i="2" s="1"/>
  <c r="D3081" i="2"/>
  <c r="F3081" i="2" s="1"/>
  <c r="D3079" i="2"/>
  <c r="F3079" i="2" s="1"/>
  <c r="D3077" i="2"/>
  <c r="F3077" i="2" s="1"/>
  <c r="D3075" i="2"/>
  <c r="F3075" i="2" s="1"/>
  <c r="D3072" i="2"/>
  <c r="F3072" i="2" s="1"/>
  <c r="D3070" i="2"/>
  <c r="F3070" i="2" s="1"/>
  <c r="D3068" i="2"/>
  <c r="F3068" i="2" s="1"/>
  <c r="D3066" i="2"/>
  <c r="F3066" i="2" s="1"/>
  <c r="D3063" i="2"/>
  <c r="F3063" i="2" s="1"/>
  <c r="D3061" i="2"/>
  <c r="F3061" i="2" s="1"/>
  <c r="D3059" i="2"/>
  <c r="F3059" i="2" s="1"/>
  <c r="D3057" i="2"/>
  <c r="F3057" i="2" s="1"/>
  <c r="D3055" i="2"/>
  <c r="F3055" i="2" s="1"/>
  <c r="D3052" i="2"/>
  <c r="F3052" i="2" s="1"/>
  <c r="D3050" i="2"/>
  <c r="F3050" i="2" s="1"/>
  <c r="D3048" i="2"/>
  <c r="F3048" i="2" s="1"/>
  <c r="D3046" i="2"/>
  <c r="F3046" i="2" s="1"/>
  <c r="D3043" i="2"/>
  <c r="F3043" i="2" s="1"/>
  <c r="D3041" i="2"/>
  <c r="F3041" i="2" s="1"/>
  <c r="D3039" i="2"/>
  <c r="F3039" i="2" s="1"/>
  <c r="D3037" i="2"/>
  <c r="F3037" i="2" s="1"/>
  <c r="D3035" i="2"/>
  <c r="F3035" i="2" s="1"/>
  <c r="D3032" i="2"/>
  <c r="F3032" i="2" s="1"/>
  <c r="D3030" i="2"/>
  <c r="F3030" i="2" s="1"/>
  <c r="D3028" i="2"/>
  <c r="F3028" i="2" s="1"/>
  <c r="D3026" i="2"/>
  <c r="F3026" i="2" s="1"/>
  <c r="D3023" i="2"/>
  <c r="F3023" i="2" s="1"/>
  <c r="D3021" i="2"/>
  <c r="F3021" i="2" s="1"/>
  <c r="D3019" i="2"/>
  <c r="F3019" i="2" s="1"/>
  <c r="D4579" i="2"/>
  <c r="D4487" i="2"/>
  <c r="F4487" i="2" s="1"/>
  <c r="D4434" i="2"/>
  <c r="F4434" i="2" s="1"/>
  <c r="D4430" i="2"/>
  <c r="F4430" i="2" s="1"/>
  <c r="D4354" i="2"/>
  <c r="F4354" i="2" s="1"/>
  <c r="D4352" i="2"/>
  <c r="F4352" i="2" s="1"/>
  <c r="D4350" i="2"/>
  <c r="F4350" i="2" s="1"/>
  <c r="D4348" i="2"/>
  <c r="F4348" i="2" s="1"/>
  <c r="D4346" i="2"/>
  <c r="F4346" i="2" s="1"/>
  <c r="D4344" i="2"/>
  <c r="F4344" i="2" s="1"/>
  <c r="D4340" i="2"/>
  <c r="F4340" i="2" s="1"/>
  <c r="D4338" i="2"/>
  <c r="F4338" i="2" s="1"/>
  <c r="D4336" i="2"/>
  <c r="F4336" i="2" s="1"/>
  <c r="D4334" i="2"/>
  <c r="F4334" i="2" s="1"/>
  <c r="D4332" i="2"/>
  <c r="F4332" i="2" s="1"/>
  <c r="D4328" i="2"/>
  <c r="F4328" i="2" s="1"/>
  <c r="D4326" i="2"/>
  <c r="F4326" i="2" s="1"/>
  <c r="D4324" i="2"/>
  <c r="F4324" i="2" s="1"/>
  <c r="D4322" i="2"/>
  <c r="F4322" i="2" s="1"/>
  <c r="D4318" i="2"/>
  <c r="F4318" i="2" s="1"/>
  <c r="D4316" i="2"/>
  <c r="F4316" i="2" s="1"/>
  <c r="D4314" i="2"/>
  <c r="F4314" i="2" s="1"/>
  <c r="D4312" i="2"/>
  <c r="F4312" i="2" s="1"/>
  <c r="D4310" i="2"/>
  <c r="F4310" i="2" s="1"/>
  <c r="D4306" i="2"/>
  <c r="F4306" i="2" s="1"/>
  <c r="D4304" i="2"/>
  <c r="F4304" i="2" s="1"/>
  <c r="D4302" i="2"/>
  <c r="F4302" i="2" s="1"/>
  <c r="D4296" i="2"/>
  <c r="F4296" i="2" s="1"/>
  <c r="D4290" i="2"/>
  <c r="F4290" i="2" s="1"/>
  <c r="D4288" i="2"/>
  <c r="F4288" i="2" s="1"/>
  <c r="D4286" i="2"/>
  <c r="F4286" i="2" s="1"/>
  <c r="D4284" i="2"/>
  <c r="F4284" i="2" s="1"/>
  <c r="D4279" i="2"/>
  <c r="F4279" i="2" s="1"/>
  <c r="D4276" i="2"/>
  <c r="F4276" i="2" s="1"/>
  <c r="D4271" i="2"/>
  <c r="F4271" i="2" s="1"/>
  <c r="D4266" i="2"/>
  <c r="F4266" i="2" s="1"/>
  <c r="D4236" i="2"/>
  <c r="F4236" i="2" s="1"/>
  <c r="D4232" i="2"/>
  <c r="F4232" i="2" s="1"/>
  <c r="D4230" i="2"/>
  <c r="F4230" i="2" s="1"/>
  <c r="D3176" i="2"/>
  <c r="F3176" i="2" s="1"/>
  <c r="D3171" i="2"/>
  <c r="F3171" i="2" s="1"/>
  <c r="D4580" i="2"/>
  <c r="D4568" i="2"/>
  <c r="F4568" i="2" s="1"/>
  <c r="D4564" i="2"/>
  <c r="F4564" i="2" s="1"/>
  <c r="D4431" i="2"/>
  <c r="F4431" i="2" s="1"/>
  <c r="D4262" i="2"/>
  <c r="F4262" i="2" s="1"/>
  <c r="D4258" i="2"/>
  <c r="F4258" i="2" s="1"/>
  <c r="D4256" i="2"/>
  <c r="F4256" i="2" s="1"/>
  <c r="D4251" i="2"/>
  <c r="F4251" i="2" s="1"/>
  <c r="D4248" i="2"/>
  <c r="F4248" i="2" s="1"/>
  <c r="D4246" i="2"/>
  <c r="F4246" i="2" s="1"/>
  <c r="E3005" i="1" s="1"/>
  <c r="F3005" i="1" s="1"/>
  <c r="D4242" i="2"/>
  <c r="F4242" i="2" s="1"/>
  <c r="D4240" i="2"/>
  <c r="F4240" i="2" s="1"/>
  <c r="D4238" i="2"/>
  <c r="F4238" i="2" s="1"/>
  <c r="D3985" i="2"/>
  <c r="F3985" i="2" s="1"/>
  <c r="D3983" i="2"/>
  <c r="F3983" i="2" s="1"/>
  <c r="D3980" i="2"/>
  <c r="F3980" i="2" s="1"/>
  <c r="D3978" i="2"/>
  <c r="F3978" i="2" s="1"/>
  <c r="D3976" i="2"/>
  <c r="F3976" i="2" s="1"/>
  <c r="D3973" i="2"/>
  <c r="F3973" i="2" s="1"/>
  <c r="D3177" i="2"/>
  <c r="F3177" i="2" s="1"/>
  <c r="D3172" i="2"/>
  <c r="F3172" i="2" s="1"/>
  <c r="D3163" i="2"/>
  <c r="F3163" i="2" s="1"/>
  <c r="D3161" i="2"/>
  <c r="F3161" i="2" s="1"/>
  <c r="D3159" i="2"/>
  <c r="F3159" i="2" s="1"/>
  <c r="D3157" i="2"/>
  <c r="F3157" i="2" s="1"/>
  <c r="D3153" i="2"/>
  <c r="F3153" i="2" s="1"/>
  <c r="D3151" i="2"/>
  <c r="F3151" i="2" s="1"/>
  <c r="D3149" i="2"/>
  <c r="F3149" i="2" s="1"/>
  <c r="D3146" i="2"/>
  <c r="F3146" i="2" s="1"/>
  <c r="D3144" i="2"/>
  <c r="F3144" i="2" s="1"/>
  <c r="D3142" i="2"/>
  <c r="F3142" i="2" s="1"/>
  <c r="D3139" i="2"/>
  <c r="F3139" i="2" s="1"/>
  <c r="D3137" i="2"/>
  <c r="F3137" i="2" s="1"/>
  <c r="D3135" i="2"/>
  <c r="F3135" i="2" s="1"/>
  <c r="D3132" i="2"/>
  <c r="F3132" i="2" s="1"/>
  <c r="D3130" i="2"/>
  <c r="F3130" i="2" s="1"/>
  <c r="D3128" i="2"/>
  <c r="F3128" i="2" s="1"/>
  <c r="D3125" i="2"/>
  <c r="F3125" i="2" s="1"/>
  <c r="D3123" i="2"/>
  <c r="F3123" i="2" s="1"/>
  <c r="D3121" i="2"/>
  <c r="F3121" i="2" s="1"/>
  <c r="D3116" i="2"/>
  <c r="F3116" i="2" s="1"/>
  <c r="D3114" i="2"/>
  <c r="F3114" i="2" s="1"/>
  <c r="D3112" i="2"/>
  <c r="F3112" i="2" s="1"/>
  <c r="D3109" i="2"/>
  <c r="F3109" i="2" s="1"/>
  <c r="D3107" i="2"/>
  <c r="F3107" i="2" s="1"/>
  <c r="D3105" i="2"/>
  <c r="F3105" i="2" s="1"/>
  <c r="D3102" i="2"/>
  <c r="F3102" i="2" s="1"/>
  <c r="D3100" i="2"/>
  <c r="F3100" i="2" s="1"/>
  <c r="D3098" i="2"/>
  <c r="F3098" i="2" s="1"/>
  <c r="D3096" i="2"/>
  <c r="F3096" i="2" s="1"/>
  <c r="D3093" i="2"/>
  <c r="F3093" i="2" s="1"/>
  <c r="D3091" i="2"/>
  <c r="F3091" i="2" s="1"/>
  <c r="D3089" i="2"/>
  <c r="F3089" i="2" s="1"/>
  <c r="D3087" i="2"/>
  <c r="F3087" i="2" s="1"/>
  <c r="D3085" i="2"/>
  <c r="F3085" i="2" s="1"/>
  <c r="D3082" i="2"/>
  <c r="F3082" i="2" s="1"/>
  <c r="D3080" i="2"/>
  <c r="F3080" i="2" s="1"/>
  <c r="D3078" i="2"/>
  <c r="F3078" i="2" s="1"/>
  <c r="D3076" i="2"/>
  <c r="F3076" i="2" s="1"/>
  <c r="D3073" i="2"/>
  <c r="F3073" i="2" s="1"/>
  <c r="D3071" i="2"/>
  <c r="F3071" i="2" s="1"/>
  <c r="D3069" i="2"/>
  <c r="F3069" i="2" s="1"/>
  <c r="D3067" i="2"/>
  <c r="F3067" i="2" s="1"/>
  <c r="D3065" i="2"/>
  <c r="F3065" i="2" s="1"/>
  <c r="D3062" i="2"/>
  <c r="F3062" i="2" s="1"/>
  <c r="D3060" i="2"/>
  <c r="F3060" i="2" s="1"/>
  <c r="D3058" i="2"/>
  <c r="F3058" i="2" s="1"/>
  <c r="D3056" i="2"/>
  <c r="F3056" i="2" s="1"/>
  <c r="D3053" i="2"/>
  <c r="F3053" i="2" s="1"/>
  <c r="D3051" i="2"/>
  <c r="F3051" i="2" s="1"/>
  <c r="D3049" i="2"/>
  <c r="F3049" i="2" s="1"/>
  <c r="D3047" i="2"/>
  <c r="F3047" i="2" s="1"/>
  <c r="D3045" i="2"/>
  <c r="F3045" i="2" s="1"/>
  <c r="D3042" i="2"/>
  <c r="F3042" i="2" s="1"/>
  <c r="D3040" i="2"/>
  <c r="F3040" i="2" s="1"/>
  <c r="D3038" i="2"/>
  <c r="F3038" i="2" s="1"/>
  <c r="D3036" i="2"/>
  <c r="F3036" i="2" s="1"/>
  <c r="D3033" i="2"/>
  <c r="F3033" i="2" s="1"/>
  <c r="D3031" i="2"/>
  <c r="F3031" i="2" s="1"/>
  <c r="D3029" i="2"/>
  <c r="F3029" i="2" s="1"/>
  <c r="D3027" i="2"/>
  <c r="F3027" i="2" s="1"/>
  <c r="D3025" i="2"/>
  <c r="F3025" i="2" s="1"/>
  <c r="D3022" i="2"/>
  <c r="F3022" i="2" s="1"/>
  <c r="D3020" i="2"/>
  <c r="F3020" i="2" s="1"/>
  <c r="D3018" i="2"/>
  <c r="F3018" i="2" s="1"/>
  <c r="D3016" i="2"/>
  <c r="F3016" i="2" s="1"/>
  <c r="D3013" i="2"/>
  <c r="F3013" i="2" s="1"/>
  <c r="D3011" i="2"/>
  <c r="F3011" i="2" s="1"/>
  <c r="D3009" i="2"/>
  <c r="F3009" i="2" s="1"/>
  <c r="D3007" i="2"/>
  <c r="F3007" i="2" s="1"/>
  <c r="D3005" i="2"/>
  <c r="F3005" i="2" s="1"/>
  <c r="D3002" i="2"/>
  <c r="F3002" i="2" s="1"/>
  <c r="D3000" i="2"/>
  <c r="F3000" i="2" s="1"/>
  <c r="D2998" i="2"/>
  <c r="F2998" i="2" s="1"/>
  <c r="D2996" i="2"/>
  <c r="F2996" i="2" s="1"/>
  <c r="D2994" i="2"/>
  <c r="F2994" i="2" s="1"/>
  <c r="D2991" i="2"/>
  <c r="F2991" i="2" s="1"/>
  <c r="D2989" i="2"/>
  <c r="F2989" i="2" s="1"/>
  <c r="D2987" i="2"/>
  <c r="F2987" i="2" s="1"/>
  <c r="D2985" i="2"/>
  <c r="F2985" i="2" s="1"/>
  <c r="D2983" i="2"/>
  <c r="F2983" i="2" s="1"/>
  <c r="D2979" i="2"/>
  <c r="F2979" i="2" s="1"/>
  <c r="D2975" i="2"/>
  <c r="F2975" i="2" s="1"/>
  <c r="D2973" i="2"/>
  <c r="F2973" i="2" s="1"/>
  <c r="D2970" i="2"/>
  <c r="F2970" i="2" s="1"/>
  <c r="D2966" i="2"/>
  <c r="F2966" i="2" s="1"/>
  <c r="D2962" i="2"/>
  <c r="F2962" i="2" s="1"/>
  <c r="D2960" i="2"/>
  <c r="F2960" i="2" s="1"/>
  <c r="D2953" i="2"/>
  <c r="F2953" i="2" s="1"/>
  <c r="D3015" i="2"/>
  <c r="F3015" i="2" s="1"/>
  <c r="D3006" i="2"/>
  <c r="F3006" i="2" s="1"/>
  <c r="D2997" i="2"/>
  <c r="F2997" i="2" s="1"/>
  <c r="D2988" i="2"/>
  <c r="F2988" i="2" s="1"/>
  <c r="D2978" i="2"/>
  <c r="F2978" i="2" s="1"/>
  <c r="D2963" i="2"/>
  <c r="F2963" i="2" s="1"/>
  <c r="D3012" i="2"/>
  <c r="F3012" i="2" s="1"/>
  <c r="D3004" i="2"/>
  <c r="F3004" i="2" s="1"/>
  <c r="D2995" i="2"/>
  <c r="F2995" i="2" s="1"/>
  <c r="D2986" i="2"/>
  <c r="F2986" i="2" s="1"/>
  <c r="D2974" i="2"/>
  <c r="F2974" i="2" s="1"/>
  <c r="D2961" i="2"/>
  <c r="F2961" i="2" s="1"/>
  <c r="D2800" i="2"/>
  <c r="F2800" i="2" s="1"/>
  <c r="D2458" i="2"/>
  <c r="F2458" i="2" s="1"/>
  <c r="D2456" i="2"/>
  <c r="F2456" i="2" s="1"/>
  <c r="D2454" i="2"/>
  <c r="F2454" i="2" s="1"/>
  <c r="D2452" i="2"/>
  <c r="F2452" i="2" s="1"/>
  <c r="D2450" i="2"/>
  <c r="F2450" i="2" s="1"/>
  <c r="D2448" i="2"/>
  <c r="F2448" i="2" s="1"/>
  <c r="D2446" i="2"/>
  <c r="F2446" i="2" s="1"/>
  <c r="D2444" i="2"/>
  <c r="F2444" i="2" s="1"/>
  <c r="D2440" i="2"/>
  <c r="F2440" i="2" s="1"/>
  <c r="D2437" i="2"/>
  <c r="F2437" i="2" s="1"/>
  <c r="D2435" i="2"/>
  <c r="F2435" i="2" s="1"/>
  <c r="D2433" i="2"/>
  <c r="F2433" i="2" s="1"/>
  <c r="D2431" i="2"/>
  <c r="F2431" i="2" s="1"/>
  <c r="D2429" i="2"/>
  <c r="F2429" i="2" s="1"/>
  <c r="D2427" i="2"/>
  <c r="F2427" i="2" s="1"/>
  <c r="D2425" i="2"/>
  <c r="F2425" i="2" s="1"/>
  <c r="D2153" i="2"/>
  <c r="F2153" i="2" s="1"/>
  <c r="D3017" i="2"/>
  <c r="F3017" i="2" s="1"/>
  <c r="D3008" i="2"/>
  <c r="F3008" i="2" s="1"/>
  <c r="D2999" i="2"/>
  <c r="F2999" i="2" s="1"/>
  <c r="D2990" i="2"/>
  <c r="F2990" i="2" s="1"/>
  <c r="D2982" i="2"/>
  <c r="F2982" i="2" s="1"/>
  <c r="D2967" i="2"/>
  <c r="F2967" i="2" s="1"/>
  <c r="D2460" i="2"/>
  <c r="F2460" i="2" s="1"/>
  <c r="D2457" i="2"/>
  <c r="F2457" i="2" s="1"/>
  <c r="D2455" i="2"/>
  <c r="F2455" i="2" s="1"/>
  <c r="D2453" i="2"/>
  <c r="F2453" i="2" s="1"/>
  <c r="D2451" i="2"/>
  <c r="F2451" i="2" s="1"/>
  <c r="D2449" i="2"/>
  <c r="F2449" i="2" s="1"/>
  <c r="D2447" i="2"/>
  <c r="F2447" i="2" s="1"/>
  <c r="D2445" i="2"/>
  <c r="F2445" i="2" s="1"/>
  <c r="D2441" i="2"/>
  <c r="F2441" i="2" s="1"/>
  <c r="D2439" i="2"/>
  <c r="F2439" i="2" s="1"/>
  <c r="D2436" i="2"/>
  <c r="F2436" i="2" s="1"/>
  <c r="D2434" i="2"/>
  <c r="F2434" i="2" s="1"/>
  <c r="D2432" i="2"/>
  <c r="F2432" i="2" s="1"/>
  <c r="D2430" i="2"/>
  <c r="F2430" i="2" s="1"/>
  <c r="D2428" i="2"/>
  <c r="F2428" i="2" s="1"/>
  <c r="D2426" i="2"/>
  <c r="F2426" i="2" s="1"/>
  <c r="D2416" i="2"/>
  <c r="F2416" i="2" s="1"/>
  <c r="D3001" i="2"/>
  <c r="F3001" i="2" s="1"/>
  <c r="D2958" i="2"/>
  <c r="F2958" i="2" s="1"/>
  <c r="D2993" i="2"/>
  <c r="F2993" i="2" s="1"/>
  <c r="D2984" i="2"/>
  <c r="F2984" i="2" s="1"/>
  <c r="D3010" i="2"/>
  <c r="F3010" i="2" s="1"/>
  <c r="D2972" i="2"/>
  <c r="F2972" i="2" s="1"/>
  <c r="D4422" i="2"/>
  <c r="F4422" i="2" s="1"/>
  <c r="D4573" i="2"/>
  <c r="F4573" i="2" s="1"/>
  <c r="D4574" i="2"/>
  <c r="F4574" i="2" s="1"/>
  <c r="D4567" i="2"/>
  <c r="F4567" i="2" s="1"/>
  <c r="E1261" i="1" s="1"/>
  <c r="F1261" i="1" s="1"/>
  <c r="D5118" i="2"/>
  <c r="D6114" i="2"/>
  <c r="F6114" i="2" s="1"/>
  <c r="D6113" i="2"/>
  <c r="F6113" i="2" s="1"/>
  <c r="D6500" i="2"/>
  <c r="F6500" i="2" s="1"/>
  <c r="D6115" i="2"/>
  <c r="F6115" i="2" s="1"/>
  <c r="D6120" i="2"/>
  <c r="F6120" i="2" s="1"/>
  <c r="D4589" i="2"/>
  <c r="F4589" i="2" s="1"/>
  <c r="D5149" i="2"/>
  <c r="D5175" i="2"/>
  <c r="D6116" i="2"/>
  <c r="F6116" i="2" s="1"/>
  <c r="D6117" i="2"/>
  <c r="F6117" i="2" s="1"/>
  <c r="D4565" i="2"/>
  <c r="F4565" i="2" s="1"/>
  <c r="D4935" i="2"/>
  <c r="F4935" i="2" s="1"/>
  <c r="D4569" i="2"/>
  <c r="F4569" i="2" s="1"/>
  <c r="D5476" i="2"/>
  <c r="F5476" i="2" s="1"/>
  <c r="D6118" i="2"/>
  <c r="F6118" i="2" s="1"/>
  <c r="D6119" i="2"/>
  <c r="F6119" i="2" s="1"/>
  <c r="D4576" i="2"/>
  <c r="F4576" i="2" s="1"/>
  <c r="D5134" i="2"/>
  <c r="D4934" i="2"/>
  <c r="F4934" i="2" s="1"/>
  <c r="D6112" i="2"/>
  <c r="F6112" i="2" s="1"/>
  <c r="D4572" i="2"/>
  <c r="F4572" i="2" s="1"/>
  <c r="D4571" i="2"/>
  <c r="F4571" i="2" s="1"/>
  <c r="D4575" i="2"/>
  <c r="F4575" i="2" s="1"/>
  <c r="D4570" i="2"/>
  <c r="F4570" i="2" s="1"/>
  <c r="E1726" i="1"/>
  <c r="F1726" i="1" s="1"/>
  <c r="E3118" i="1" l="1"/>
  <c r="F3118" i="1" s="1"/>
  <c r="E3224" i="1"/>
  <c r="F3224" i="1" s="1"/>
  <c r="E3119" i="1"/>
  <c r="F3119" i="1" s="1"/>
  <c r="E3225" i="1"/>
  <c r="F3225" i="1" s="1"/>
  <c r="E3194" i="1"/>
  <c r="F3194" i="1" s="1"/>
  <c r="E3200" i="1"/>
  <c r="F3200" i="1" s="1"/>
  <c r="E3319" i="1"/>
  <c r="F3319" i="1" s="1"/>
  <c r="E3313" i="1"/>
  <c r="F3313" i="1" s="1"/>
  <c r="E3080" i="1"/>
  <c r="F3080" i="1" s="1"/>
  <c r="E3086" i="1"/>
  <c r="F3086" i="1" s="1"/>
  <c r="E2222" i="1"/>
  <c r="F2222" i="1" s="1"/>
  <c r="E2663" i="1"/>
  <c r="F2663" i="1" s="1"/>
  <c r="E2223" i="1"/>
  <c r="F2223" i="1" s="1"/>
  <c r="E2664" i="1"/>
  <c r="F2664" i="1" s="1"/>
  <c r="E2626" i="1"/>
  <c r="F2626" i="1" s="1"/>
  <c r="E2632" i="1"/>
  <c r="F2632" i="1" s="1"/>
  <c r="E2185" i="1"/>
  <c r="F2185" i="1" s="1"/>
  <c r="E2191" i="1"/>
  <c r="F2191" i="1" s="1"/>
  <c r="E1222" i="1"/>
  <c r="F1222" i="1" s="1"/>
  <c r="E1882" i="1"/>
  <c r="F1882" i="1" s="1"/>
  <c r="E1223" i="1"/>
  <c r="F1223" i="1" s="1"/>
  <c r="E1883" i="1"/>
  <c r="F1883" i="1" s="1"/>
  <c r="E1848" i="1"/>
  <c r="F1848" i="1" s="1"/>
  <c r="E1842" i="1"/>
  <c r="F1842" i="1" s="1"/>
  <c r="E1545" i="1"/>
  <c r="F1545" i="1" s="1"/>
  <c r="E1539" i="1"/>
  <c r="F1539" i="1" s="1"/>
  <c r="E1199" i="1"/>
  <c r="F1199" i="1" s="1"/>
  <c r="E1193" i="1"/>
  <c r="F1193" i="1" s="1"/>
  <c r="E1486" i="1"/>
  <c r="F1486" i="1" s="1"/>
  <c r="E1480" i="1"/>
  <c r="F1480" i="1" s="1"/>
  <c r="E737" i="1"/>
  <c r="F737" i="1" s="1"/>
  <c r="E1146" i="1"/>
  <c r="F1146" i="1" s="1"/>
  <c r="E738" i="1"/>
  <c r="F738" i="1" s="1"/>
  <c r="E1147" i="1"/>
  <c r="F1147" i="1" s="1"/>
  <c r="E1123" i="1"/>
  <c r="F1123" i="1" s="1"/>
  <c r="E1117" i="1"/>
  <c r="F1117" i="1" s="1"/>
  <c r="E714" i="1"/>
  <c r="F714" i="1" s="1"/>
  <c r="E708" i="1"/>
  <c r="F708" i="1" s="1"/>
  <c r="E68" i="1"/>
  <c r="F68" i="1" s="1"/>
  <c r="E369" i="1"/>
  <c r="F369" i="1" s="1"/>
  <c r="E69" i="1"/>
  <c r="F69" i="1" s="1"/>
  <c r="E370" i="1"/>
  <c r="F370" i="1" s="1"/>
  <c r="E333" i="1"/>
  <c r="F333" i="1" s="1"/>
  <c r="E339" i="1"/>
  <c r="F339" i="1" s="1"/>
  <c r="E48" i="1"/>
  <c r="F48" i="1" s="1"/>
  <c r="E42" i="1"/>
  <c r="F42" i="1" s="1"/>
  <c r="E5175" i="2"/>
  <c r="F5175" i="2" s="1"/>
  <c r="E4578" i="2"/>
  <c r="F4578" i="2" s="1"/>
  <c r="E5127" i="2"/>
  <c r="F5127" i="2" s="1"/>
  <c r="E5151" i="2"/>
  <c r="F5151" i="2" s="1"/>
  <c r="E5171" i="2"/>
  <c r="F5171" i="2" s="1"/>
  <c r="E5120" i="2"/>
  <c r="F5120" i="2" s="1"/>
  <c r="E5141" i="2"/>
  <c r="F5141" i="2" s="1"/>
  <c r="E5165" i="2"/>
  <c r="F5165" i="2" s="1"/>
  <c r="E5112" i="2"/>
  <c r="F5112" i="2" s="1"/>
  <c r="E5133" i="2"/>
  <c r="F5133" i="2" s="1"/>
  <c r="E5154" i="2"/>
  <c r="F5154" i="2" s="1"/>
  <c r="E5174" i="2"/>
  <c r="F5174" i="2" s="1"/>
  <c r="E5128" i="2"/>
  <c r="F5128" i="2" s="1"/>
  <c r="E5153" i="2"/>
  <c r="F5153" i="2" s="1"/>
  <c r="E5173" i="2"/>
  <c r="F5173" i="2" s="1"/>
  <c r="E6302" i="2"/>
  <c r="F6302" i="2" s="1"/>
  <c r="E6310" i="2"/>
  <c r="F6310" i="2" s="1"/>
  <c r="E6241" i="2"/>
  <c r="F6241" i="2" s="1"/>
  <c r="E6246" i="2"/>
  <c r="F6246" i="2" s="1"/>
  <c r="E6254" i="2"/>
  <c r="F6254" i="2" s="1"/>
  <c r="E6258" i="2"/>
  <c r="F6258" i="2" s="1"/>
  <c r="E6263" i="2"/>
  <c r="F6263" i="2" s="1"/>
  <c r="E6268" i="2"/>
  <c r="F6268" i="2" s="1"/>
  <c r="E6681" i="2"/>
  <c r="F6681" i="2" s="1"/>
  <c r="E6705" i="2"/>
  <c r="F6705" i="2" s="1"/>
  <c r="E6726" i="2"/>
  <c r="F6726" i="2" s="1"/>
  <c r="E6763" i="2"/>
  <c r="F6763" i="2" s="1"/>
  <c r="E6685" i="2"/>
  <c r="F6685" i="2" s="1"/>
  <c r="E6708" i="2"/>
  <c r="F6708" i="2" s="1"/>
  <c r="E6729" i="2"/>
  <c r="F6729" i="2" s="1"/>
  <c r="E6678" i="2"/>
  <c r="F6678" i="2" s="1"/>
  <c r="E6702" i="2"/>
  <c r="F6702" i="2" s="1"/>
  <c r="E6723" i="2"/>
  <c r="F6723" i="2" s="1"/>
  <c r="E6743" i="2"/>
  <c r="F6743" i="2" s="1"/>
  <c r="E6675" i="2"/>
  <c r="F6675" i="2" s="1"/>
  <c r="E6701" i="2"/>
  <c r="F6701" i="2" s="1"/>
  <c r="E6722" i="2"/>
  <c r="F6722" i="2" s="1"/>
  <c r="E6742" i="2"/>
  <c r="F6742" i="2" s="1"/>
  <c r="E6751" i="2"/>
  <c r="F6751" i="2" s="1"/>
  <c r="E6774" i="2"/>
  <c r="F6774" i="2" s="1"/>
  <c r="E6795" i="2"/>
  <c r="F6795" i="2" s="1"/>
  <c r="E6814" i="2"/>
  <c r="F6814" i="2" s="1"/>
  <c r="E6759" i="2"/>
  <c r="F6759" i="2" s="1"/>
  <c r="E6783" i="2"/>
  <c r="F6783" i="2" s="1"/>
  <c r="E6803" i="2"/>
  <c r="F6803" i="2" s="1"/>
  <c r="E6782" i="2"/>
  <c r="F6782" i="2" s="1"/>
  <c r="E6802" i="2"/>
  <c r="F6802" i="2" s="1"/>
  <c r="E6747" i="2"/>
  <c r="F6747" i="2" s="1"/>
  <c r="E6770" i="2"/>
  <c r="F6770" i="2" s="1"/>
  <c r="E6791" i="2"/>
  <c r="F6791" i="2" s="1"/>
  <c r="E6811" i="2"/>
  <c r="F6811" i="2" s="1"/>
  <c r="E5149" i="2"/>
  <c r="F5149" i="2" s="1"/>
  <c r="E5118" i="2"/>
  <c r="F5118" i="2" s="1"/>
  <c r="E5110" i="2"/>
  <c r="F5110" i="2" s="1"/>
  <c r="E5131" i="2"/>
  <c r="F5131" i="2" s="1"/>
  <c r="E5156" i="2"/>
  <c r="F5156" i="2" s="1"/>
  <c r="E5125" i="2"/>
  <c r="F5125" i="2" s="1"/>
  <c r="E5150" i="2"/>
  <c r="F5150" i="2" s="1"/>
  <c r="E5170" i="2"/>
  <c r="F5170" i="2" s="1"/>
  <c r="E5119" i="2"/>
  <c r="F5119" i="2" s="1"/>
  <c r="E5139" i="2"/>
  <c r="F5139" i="2" s="1"/>
  <c r="E5159" i="2"/>
  <c r="F5159" i="2" s="1"/>
  <c r="E5111" i="2"/>
  <c r="F5111" i="2" s="1"/>
  <c r="E5132" i="2"/>
  <c r="F5132" i="2" s="1"/>
  <c r="E5158" i="2"/>
  <c r="F5158" i="2" s="1"/>
  <c r="E6303" i="2"/>
  <c r="F6303" i="2" s="1"/>
  <c r="E6242" i="2"/>
  <c r="F6242" i="2" s="1"/>
  <c r="E6247" i="2"/>
  <c r="F6247" i="2" s="1"/>
  <c r="E6255" i="2"/>
  <c r="F6255" i="2" s="1"/>
  <c r="E6259" i="2"/>
  <c r="F6259" i="2" s="1"/>
  <c r="E6264" i="2"/>
  <c r="F6264" i="2" s="1"/>
  <c r="E6269" i="2"/>
  <c r="F6269" i="2" s="1"/>
  <c r="E6690" i="2"/>
  <c r="F6690" i="2" s="1"/>
  <c r="E6711" i="2"/>
  <c r="F6711" i="2" s="1"/>
  <c r="E6731" i="2"/>
  <c r="F6731" i="2" s="1"/>
  <c r="E6665" i="2"/>
  <c r="F6665" i="2" s="1"/>
  <c r="E6693" i="2"/>
  <c r="F6693" i="2" s="1"/>
  <c r="E6714" i="2"/>
  <c r="F6714" i="2" s="1"/>
  <c r="E6734" i="2"/>
  <c r="F6734" i="2" s="1"/>
  <c r="E6684" i="2"/>
  <c r="F6684" i="2" s="1"/>
  <c r="E6707" i="2"/>
  <c r="F6707" i="2" s="1"/>
  <c r="E6728" i="2"/>
  <c r="F6728" i="2" s="1"/>
  <c r="E6753" i="2"/>
  <c r="F6753" i="2" s="1"/>
  <c r="E6682" i="2"/>
  <c r="F6682" i="2" s="1"/>
  <c r="E6706" i="2"/>
  <c r="F6706" i="2" s="1"/>
  <c r="E6727" i="2"/>
  <c r="F6727" i="2" s="1"/>
  <c r="E6748" i="2"/>
  <c r="F6748" i="2" s="1"/>
  <c r="E6756" i="2"/>
  <c r="F6756" i="2" s="1"/>
  <c r="E6779" i="2"/>
  <c r="F6779" i="2" s="1"/>
  <c r="E6800" i="2"/>
  <c r="F6800" i="2" s="1"/>
  <c r="E6744" i="2"/>
  <c r="F6744" i="2" s="1"/>
  <c r="E6764" i="2"/>
  <c r="F6764" i="2" s="1"/>
  <c r="E6788" i="2"/>
  <c r="F6788" i="2" s="1"/>
  <c r="E6809" i="2"/>
  <c r="F6809" i="2" s="1"/>
  <c r="E6787" i="2"/>
  <c r="F6787" i="2" s="1"/>
  <c r="E6808" i="2"/>
  <c r="F6808" i="2" s="1"/>
  <c r="E6752" i="2"/>
  <c r="F6752" i="2" s="1"/>
  <c r="E6775" i="2"/>
  <c r="F6775" i="2" s="1"/>
  <c r="E6796" i="2"/>
  <c r="F6796" i="2" s="1"/>
  <c r="E6815" i="2"/>
  <c r="F6815" i="2" s="1"/>
  <c r="E5134" i="2"/>
  <c r="F5134" i="2" s="1"/>
  <c r="E4579" i="2"/>
  <c r="F4579" i="2" s="1"/>
  <c r="E4581" i="2"/>
  <c r="F4581" i="2" s="1"/>
  <c r="E5115" i="2"/>
  <c r="F5115" i="2" s="1"/>
  <c r="E5137" i="2"/>
  <c r="F5137" i="2" s="1"/>
  <c r="E5161" i="2"/>
  <c r="F5161" i="2" s="1"/>
  <c r="E5130" i="2"/>
  <c r="F5130" i="2" s="1"/>
  <c r="E5155" i="2"/>
  <c r="F5155" i="2" s="1"/>
  <c r="E5176" i="2"/>
  <c r="F5176" i="2" s="1"/>
  <c r="E5124" i="2"/>
  <c r="F5124" i="2" s="1"/>
  <c r="E5145" i="2"/>
  <c r="F5145" i="2" s="1"/>
  <c r="E5164" i="2"/>
  <c r="F5164" i="2" s="1"/>
  <c r="E5117" i="2"/>
  <c r="F5117" i="2" s="1"/>
  <c r="E5138" i="2"/>
  <c r="F5138" i="2" s="1"/>
  <c r="E5163" i="2"/>
  <c r="F5163" i="2" s="1"/>
  <c r="E6300" i="2"/>
  <c r="F6300" i="2" s="1"/>
  <c r="E6243" i="2"/>
  <c r="F6243" i="2" s="1"/>
  <c r="E6248" i="2"/>
  <c r="F6248" i="2" s="1"/>
  <c r="E6256" i="2"/>
  <c r="F6256" i="2" s="1"/>
  <c r="E6260" i="2"/>
  <c r="F6260" i="2" s="1"/>
  <c r="E6265" i="2"/>
  <c r="F6265" i="2" s="1"/>
  <c r="E6270" i="2"/>
  <c r="F6270" i="2" s="1"/>
  <c r="E6668" i="2"/>
  <c r="F6668" i="2" s="1"/>
  <c r="E6695" i="2"/>
  <c r="F6695" i="2" s="1"/>
  <c r="E6716" i="2"/>
  <c r="F6716" i="2" s="1"/>
  <c r="E6736" i="2"/>
  <c r="F6736" i="2" s="1"/>
  <c r="E6672" i="2"/>
  <c r="F6672" i="2" s="1"/>
  <c r="E6698" i="2"/>
  <c r="F6698" i="2" s="1"/>
  <c r="E6719" i="2"/>
  <c r="F6719" i="2" s="1"/>
  <c r="E6739" i="2"/>
  <c r="F6739" i="2" s="1"/>
  <c r="E6664" i="2"/>
  <c r="F6664" i="2" s="1"/>
  <c r="E6692" i="2"/>
  <c r="F6692" i="2" s="1"/>
  <c r="E6713" i="2"/>
  <c r="F6713" i="2" s="1"/>
  <c r="E6733" i="2"/>
  <c r="F6733" i="2" s="1"/>
  <c r="E6691" i="2"/>
  <c r="F6691" i="2" s="1"/>
  <c r="E6712" i="2"/>
  <c r="F6712" i="2" s="1"/>
  <c r="E6732" i="2"/>
  <c r="F6732" i="2" s="1"/>
  <c r="E6771" i="2"/>
  <c r="F6771" i="2" s="1"/>
  <c r="E6761" i="2"/>
  <c r="F6761" i="2" s="1"/>
  <c r="E6785" i="2"/>
  <c r="F6785" i="2" s="1"/>
  <c r="E6804" i="2"/>
  <c r="F6804" i="2" s="1"/>
  <c r="E6749" i="2"/>
  <c r="F6749" i="2" s="1"/>
  <c r="E6773" i="2"/>
  <c r="F6773" i="2" s="1"/>
  <c r="E6793" i="2"/>
  <c r="F6793" i="2" s="1"/>
  <c r="E6813" i="2"/>
  <c r="F6813" i="2" s="1"/>
  <c r="E6792" i="2"/>
  <c r="F6792" i="2" s="1"/>
  <c r="E6812" i="2"/>
  <c r="F6812" i="2" s="1"/>
  <c r="E6757" i="2"/>
  <c r="F6757" i="2" s="1"/>
  <c r="E6781" i="2"/>
  <c r="F6781" i="2" s="1"/>
  <c r="E6801" i="2"/>
  <c r="F6801" i="2" s="1"/>
  <c r="E4580" i="2"/>
  <c r="F4580" i="2" s="1"/>
  <c r="E4980" i="2"/>
  <c r="F4980" i="2" s="1"/>
  <c r="E5122" i="2"/>
  <c r="F5122" i="2" s="1"/>
  <c r="E5142" i="2"/>
  <c r="F5142" i="2" s="1"/>
  <c r="E5166" i="2"/>
  <c r="F5166" i="2" s="1"/>
  <c r="E5114" i="2"/>
  <c r="F5114" i="2" s="1"/>
  <c r="E5135" i="2"/>
  <c r="F5135" i="2" s="1"/>
  <c r="E5160" i="2"/>
  <c r="F5160" i="2" s="1"/>
  <c r="E5129" i="2"/>
  <c r="F5129" i="2" s="1"/>
  <c r="E5148" i="2"/>
  <c r="F5148" i="2" s="1"/>
  <c r="E5169" i="2"/>
  <c r="F5169" i="2" s="1"/>
  <c r="E5123" i="2"/>
  <c r="F5123" i="2" s="1"/>
  <c r="E5144" i="2"/>
  <c r="F5144" i="2" s="1"/>
  <c r="E5167" i="2"/>
  <c r="F5167" i="2" s="1"/>
  <c r="E6301" i="2"/>
  <c r="F6301" i="2" s="1"/>
  <c r="E6240" i="2"/>
  <c r="F6240" i="2" s="1"/>
  <c r="E6245" i="2"/>
  <c r="F6245" i="2" s="1"/>
  <c r="E6253" i="2"/>
  <c r="F6253" i="2" s="1"/>
  <c r="E6257" i="2"/>
  <c r="F6257" i="2" s="1"/>
  <c r="E6262" i="2"/>
  <c r="F6262" i="2" s="1"/>
  <c r="E6267" i="2"/>
  <c r="F6267" i="2" s="1"/>
  <c r="E6674" i="2"/>
  <c r="F6674" i="2" s="1"/>
  <c r="E6700" i="2"/>
  <c r="F6700" i="2" s="1"/>
  <c r="E6721" i="2"/>
  <c r="F6721" i="2" s="1"/>
  <c r="E6741" i="2"/>
  <c r="F6741" i="2" s="1"/>
  <c r="E6679" i="2"/>
  <c r="F6679" i="2" s="1"/>
  <c r="E6703" i="2"/>
  <c r="F6703" i="2" s="1"/>
  <c r="E6724" i="2"/>
  <c r="F6724" i="2" s="1"/>
  <c r="E6758" i="2"/>
  <c r="F6758" i="2" s="1"/>
  <c r="E6671" i="2"/>
  <c r="F6671" i="2" s="1"/>
  <c r="E6697" i="2"/>
  <c r="F6697" i="2" s="1"/>
  <c r="E6718" i="2"/>
  <c r="F6718" i="2" s="1"/>
  <c r="E6738" i="2"/>
  <c r="F6738" i="2" s="1"/>
  <c r="E6669" i="2"/>
  <c r="F6669" i="2" s="1"/>
  <c r="E6696" i="2"/>
  <c r="F6696" i="2" s="1"/>
  <c r="E6717" i="2"/>
  <c r="F6717" i="2" s="1"/>
  <c r="E6737" i="2"/>
  <c r="F6737" i="2" s="1"/>
  <c r="E6746" i="2"/>
  <c r="F6746" i="2" s="1"/>
  <c r="E6769" i="2"/>
  <c r="F6769" i="2" s="1"/>
  <c r="E6790" i="2"/>
  <c r="F6790" i="2" s="1"/>
  <c r="E6810" i="2"/>
  <c r="F6810" i="2" s="1"/>
  <c r="E6754" i="2"/>
  <c r="F6754" i="2" s="1"/>
  <c r="E6778" i="2"/>
  <c r="F6778" i="2" s="1"/>
  <c r="E6798" i="2"/>
  <c r="F6798" i="2" s="1"/>
  <c r="E6777" i="2"/>
  <c r="F6777" i="2" s="1"/>
  <c r="E6797" i="2"/>
  <c r="F6797" i="2" s="1"/>
  <c r="E6762" i="2"/>
  <c r="F6762" i="2" s="1"/>
  <c r="E6786" i="2"/>
  <c r="F6786" i="2" s="1"/>
  <c r="E6805" i="2"/>
  <c r="F6805" i="2" s="1"/>
  <c r="E207" i="1"/>
  <c r="F207" i="1" s="1"/>
  <c r="E518" i="1"/>
  <c r="F518" i="1" s="1"/>
  <c r="E770" i="1"/>
  <c r="F770" i="1" s="1"/>
  <c r="E1015" i="1"/>
  <c r="F1015" i="1" s="1"/>
  <c r="E1265" i="1"/>
  <c r="F1265" i="1" s="1"/>
  <c r="E1605" i="1"/>
  <c r="F1605" i="1" s="1"/>
  <c r="E1860" i="1"/>
  <c r="F1860" i="1" s="1"/>
  <c r="E2118" i="1"/>
  <c r="F2118" i="1" s="1"/>
  <c r="E2415" i="1"/>
  <c r="F2415" i="1" s="1"/>
  <c r="E2644" i="1"/>
  <c r="F2644" i="1" s="1"/>
  <c r="E2971" i="1"/>
  <c r="F2971" i="1" s="1"/>
  <c r="E3251" i="1"/>
  <c r="F3251" i="1" s="1"/>
  <c r="E268" i="1"/>
  <c r="F268" i="1" s="1"/>
  <c r="E584" i="1"/>
  <c r="F584" i="1" s="1"/>
  <c r="E834" i="1"/>
  <c r="F834" i="1" s="1"/>
  <c r="E1055" i="1"/>
  <c r="F1055" i="1" s="1"/>
  <c r="E1432" i="1"/>
  <c r="F1432" i="1" s="1"/>
  <c r="E1661" i="1"/>
  <c r="F1661" i="1" s="1"/>
  <c r="E1939" i="1"/>
  <c r="F1939" i="1" s="1"/>
  <c r="E2203" i="1"/>
  <c r="F2203" i="1" s="1"/>
  <c r="E2477" i="1"/>
  <c r="F2477" i="1" s="1"/>
  <c r="E2723" i="1"/>
  <c r="F2723" i="1" s="1"/>
  <c r="E3018" i="1"/>
  <c r="F3018" i="1" s="1"/>
  <c r="E3331" i="1"/>
  <c r="F3331" i="1" s="1"/>
  <c r="E351" i="1"/>
  <c r="F351" i="1" s="1"/>
  <c r="E644" i="1"/>
  <c r="F644" i="1" s="1"/>
  <c r="E906" i="1"/>
  <c r="F906" i="1" s="1"/>
  <c r="E1127" i="1"/>
  <c r="F1127" i="1" s="1"/>
  <c r="E1490" i="1"/>
  <c r="F1490" i="1" s="1"/>
  <c r="E1720" i="1"/>
  <c r="F1720" i="1" s="1"/>
  <c r="E2002" i="1"/>
  <c r="F2002" i="1" s="1"/>
  <c r="E2282" i="1"/>
  <c r="F2282" i="1" s="1"/>
  <c r="E2524" i="1"/>
  <c r="F2524" i="1" s="1"/>
  <c r="E2787" i="1"/>
  <c r="F2787" i="1" s="1"/>
  <c r="E3098" i="1"/>
  <c r="F3098" i="1" s="1"/>
  <c r="E3380" i="1"/>
  <c r="F3380" i="1" s="1"/>
  <c r="E457" i="1"/>
  <c r="F457" i="1" s="1"/>
  <c r="E718" i="1"/>
  <c r="F718" i="1" s="1"/>
  <c r="E968" i="1"/>
  <c r="F968" i="1" s="1"/>
  <c r="E1203" i="1"/>
  <c r="F1203" i="1" s="1"/>
  <c r="E1549" i="1"/>
  <c r="F1549" i="1" s="1"/>
  <c r="E1776" i="1"/>
  <c r="F1776" i="1" s="1"/>
  <c r="E2057" i="1"/>
  <c r="F2057" i="1" s="1"/>
  <c r="E2347" i="1"/>
  <c r="F2347" i="1" s="1"/>
  <c r="E2563" i="1"/>
  <c r="F2563" i="1" s="1"/>
  <c r="E2922" i="1"/>
  <c r="F2922" i="1" s="1"/>
  <c r="E3204" i="1"/>
  <c r="F3204" i="1" s="1"/>
  <c r="E3441" i="1"/>
  <c r="F3441" i="1" s="1"/>
  <c r="E2911" i="1"/>
  <c r="F2911" i="1" s="1"/>
  <c r="E2913" i="1"/>
  <c r="F2913" i="1" s="1"/>
  <c r="E3382" i="1"/>
  <c r="F3382" i="1" s="1"/>
  <c r="E3443" i="1"/>
  <c r="F3443" i="1" s="1"/>
  <c r="E3381" i="1"/>
  <c r="F3381" i="1" s="1"/>
  <c r="E3442" i="1"/>
  <c r="F3442" i="1" s="1"/>
  <c r="F3440" i="1" s="1"/>
  <c r="E3253" i="1"/>
  <c r="F3253" i="1" s="1"/>
  <c r="E3333" i="1"/>
  <c r="F3333" i="1" s="1"/>
  <c r="E3252" i="1"/>
  <c r="F3252" i="1" s="1"/>
  <c r="E3332" i="1"/>
  <c r="F3332" i="1" s="1"/>
  <c r="E3100" i="1"/>
  <c r="F3100" i="1" s="1"/>
  <c r="E3206" i="1"/>
  <c r="F3206" i="1" s="1"/>
  <c r="E3099" i="1"/>
  <c r="F3099" i="1" s="1"/>
  <c r="E3205" i="1"/>
  <c r="F3205" i="1" s="1"/>
  <c r="F3203" i="1" s="1"/>
  <c r="E2972" i="1"/>
  <c r="F2972" i="1" s="1"/>
  <c r="E3019" i="1"/>
  <c r="F3019" i="1" s="1"/>
  <c r="E2973" i="1"/>
  <c r="F2973" i="1" s="1"/>
  <c r="E3020" i="1"/>
  <c r="F3020" i="1" s="1"/>
  <c r="E2788" i="1"/>
  <c r="F2788" i="1" s="1"/>
  <c r="E2923" i="1"/>
  <c r="F2923" i="1" s="1"/>
  <c r="E2924" i="1"/>
  <c r="F2924" i="1" s="1"/>
  <c r="E2917" i="1"/>
  <c r="F2917" i="1" s="1"/>
  <c r="E2725" i="1"/>
  <c r="F2725" i="1" s="1"/>
  <c r="E2789" i="1"/>
  <c r="F2789" i="1" s="1"/>
  <c r="E2645" i="1"/>
  <c r="F2645" i="1" s="1"/>
  <c r="E2724" i="1"/>
  <c r="F2724" i="1" s="1"/>
  <c r="E2565" i="1"/>
  <c r="F2565" i="1" s="1"/>
  <c r="E2646" i="1"/>
  <c r="F2646" i="1" s="1"/>
  <c r="E2525" i="1"/>
  <c r="F2525" i="1" s="1"/>
  <c r="E2564" i="1"/>
  <c r="F2564" i="1" s="1"/>
  <c r="E2479" i="1"/>
  <c r="F2479" i="1" s="1"/>
  <c r="E2526" i="1"/>
  <c r="F2526" i="1" s="1"/>
  <c r="E2416" i="1"/>
  <c r="F2416" i="1" s="1"/>
  <c r="E2478" i="1"/>
  <c r="F2478" i="1" s="1"/>
  <c r="F2476" i="1" s="1"/>
  <c r="E2417" i="1"/>
  <c r="F2417" i="1" s="1"/>
  <c r="E2410" i="1"/>
  <c r="F2410" i="1" s="1"/>
  <c r="E2404" i="1"/>
  <c r="F2404" i="1" s="1"/>
  <c r="E2408" i="1"/>
  <c r="F2408" i="1" s="1"/>
  <c r="E2406" i="1"/>
  <c r="F2406" i="1" s="1"/>
  <c r="E2283" i="1"/>
  <c r="F2283" i="1" s="1"/>
  <c r="E2348" i="1"/>
  <c r="F2348" i="1" s="1"/>
  <c r="E2284" i="1"/>
  <c r="F2284" i="1" s="1"/>
  <c r="E2349" i="1"/>
  <c r="F2349" i="1" s="1"/>
  <c r="E2119" i="1"/>
  <c r="F2119" i="1" s="1"/>
  <c r="E2204" i="1"/>
  <c r="F2204" i="1" s="1"/>
  <c r="E2120" i="1"/>
  <c r="F2120" i="1" s="1"/>
  <c r="E2205" i="1"/>
  <c r="F2205" i="1" s="1"/>
  <c r="E2003" i="1"/>
  <c r="F2003" i="1" s="1"/>
  <c r="E2058" i="1"/>
  <c r="F2058" i="1" s="1"/>
  <c r="E2059" i="1"/>
  <c r="F2059" i="1" s="1"/>
  <c r="E1941" i="1"/>
  <c r="F1941" i="1" s="1"/>
  <c r="E2004" i="1"/>
  <c r="F2004" i="1" s="1"/>
  <c r="E1861" i="1"/>
  <c r="F1861" i="1" s="1"/>
  <c r="E1940" i="1"/>
  <c r="F1940" i="1" s="1"/>
  <c r="E1778" i="1"/>
  <c r="F1778" i="1" s="1"/>
  <c r="E1862" i="1"/>
  <c r="F1862" i="1" s="1"/>
  <c r="E1721" i="1"/>
  <c r="F1721" i="1" s="1"/>
  <c r="E1777" i="1"/>
  <c r="F1777" i="1" s="1"/>
  <c r="E1663" i="1"/>
  <c r="F1663" i="1" s="1"/>
  <c r="E1722" i="1"/>
  <c r="F1722" i="1" s="1"/>
  <c r="E895" i="1"/>
  <c r="F895" i="1" s="1"/>
  <c r="E899" i="1"/>
  <c r="F899" i="1" s="1"/>
  <c r="E897" i="1"/>
  <c r="F897" i="1" s="1"/>
  <c r="E1606" i="1"/>
  <c r="F1606" i="1" s="1"/>
  <c r="E1662" i="1"/>
  <c r="F1662" i="1" s="1"/>
  <c r="E1551" i="1"/>
  <c r="F1551" i="1" s="1"/>
  <c r="E1607" i="1"/>
  <c r="F1607" i="1" s="1"/>
  <c r="E1491" i="1"/>
  <c r="F1491" i="1" s="1"/>
  <c r="E1550" i="1"/>
  <c r="F1550" i="1" s="1"/>
  <c r="E1434" i="1"/>
  <c r="F1434" i="1" s="1"/>
  <c r="E1492" i="1"/>
  <c r="F1492" i="1" s="1"/>
  <c r="E1266" i="1"/>
  <c r="F1266" i="1" s="1"/>
  <c r="E1433" i="1"/>
  <c r="F1433" i="1" s="1"/>
  <c r="E1205" i="1"/>
  <c r="F1205" i="1" s="1"/>
  <c r="E1267" i="1"/>
  <c r="F1267" i="1" s="1"/>
  <c r="E1128" i="1"/>
  <c r="F1128" i="1" s="1"/>
  <c r="E1204" i="1"/>
  <c r="F1204" i="1" s="1"/>
  <c r="E1057" i="1"/>
  <c r="F1057" i="1" s="1"/>
  <c r="E1129" i="1"/>
  <c r="F1129" i="1" s="1"/>
  <c r="E1016" i="1"/>
  <c r="F1016" i="1" s="1"/>
  <c r="E1056" i="1"/>
  <c r="F1056" i="1" s="1"/>
  <c r="E970" i="1"/>
  <c r="F970" i="1" s="1"/>
  <c r="E1017" i="1"/>
  <c r="F1017" i="1" s="1"/>
  <c r="E907" i="1"/>
  <c r="F907" i="1" s="1"/>
  <c r="E969" i="1"/>
  <c r="F969" i="1" s="1"/>
  <c r="E908" i="1"/>
  <c r="F908" i="1" s="1"/>
  <c r="E901" i="1"/>
  <c r="F901" i="1" s="1"/>
  <c r="E771" i="1"/>
  <c r="F771" i="1" s="1"/>
  <c r="E835" i="1"/>
  <c r="F835" i="1" s="1"/>
  <c r="E772" i="1"/>
  <c r="F772" i="1" s="1"/>
  <c r="E836" i="1"/>
  <c r="F836" i="1" s="1"/>
  <c r="E645" i="1"/>
  <c r="F645" i="1" s="1"/>
  <c r="E719" i="1"/>
  <c r="F719" i="1" s="1"/>
  <c r="F717" i="1" s="1"/>
  <c r="E646" i="1"/>
  <c r="F646" i="1" s="1"/>
  <c r="E720" i="1"/>
  <c r="F720" i="1" s="1"/>
  <c r="E519" i="1"/>
  <c r="F519" i="1" s="1"/>
  <c r="E585" i="1"/>
  <c r="F585" i="1" s="1"/>
  <c r="E586" i="1"/>
  <c r="F586" i="1" s="1"/>
  <c r="E579" i="1"/>
  <c r="F579" i="1" s="1"/>
  <c r="E196" i="1"/>
  <c r="F196" i="1" s="1"/>
  <c r="E573" i="1"/>
  <c r="F573" i="1" s="1"/>
  <c r="E200" i="1"/>
  <c r="F200" i="1" s="1"/>
  <c r="E577" i="1"/>
  <c r="F577" i="1" s="1"/>
  <c r="E198" i="1"/>
  <c r="F198" i="1" s="1"/>
  <c r="E575" i="1"/>
  <c r="F575" i="1" s="1"/>
  <c r="E459" i="1"/>
  <c r="F459" i="1" s="1"/>
  <c r="E520" i="1"/>
  <c r="F520" i="1" s="1"/>
  <c r="E352" i="1"/>
  <c r="F352" i="1" s="1"/>
  <c r="E458" i="1"/>
  <c r="F458" i="1" s="1"/>
  <c r="E270" i="1"/>
  <c r="F270" i="1" s="1"/>
  <c r="E353" i="1"/>
  <c r="F353" i="1" s="1"/>
  <c r="E208" i="1"/>
  <c r="F208" i="1" s="1"/>
  <c r="E269" i="1"/>
  <c r="F269" i="1" s="1"/>
  <c r="E1759" i="1"/>
  <c r="F1759" i="1" s="1"/>
  <c r="E209" i="1"/>
  <c r="F209" i="1" s="1"/>
  <c r="E202" i="1"/>
  <c r="F202" i="1" s="1"/>
  <c r="E3187" i="1"/>
  <c r="F3187" i="1" s="1"/>
  <c r="E3326" i="1"/>
  <c r="F3326" i="1" s="1"/>
  <c r="E3306" i="1"/>
  <c r="F3306" i="1" s="1"/>
  <c r="E3145" i="1"/>
  <c r="F3145" i="1" s="1"/>
  <c r="E3141" i="1"/>
  <c r="F3141" i="1" s="1"/>
  <c r="E3130" i="1"/>
  <c r="F3130" i="1" s="1"/>
  <c r="E3126" i="1"/>
  <c r="F3126" i="1" s="1"/>
  <c r="E2718" i="1"/>
  <c r="F2718" i="1" s="1"/>
  <c r="E3073" i="1"/>
  <c r="F3073" i="1" s="1"/>
  <c r="E3093" i="1"/>
  <c r="F3093" i="1" s="1"/>
  <c r="E2675" i="1"/>
  <c r="F2675" i="1" s="1"/>
  <c r="E2671" i="1"/>
  <c r="F2671" i="1" s="1"/>
  <c r="E2277" i="1"/>
  <c r="F2277" i="1" s="1"/>
  <c r="E2619" i="1"/>
  <c r="F2619" i="1" s="1"/>
  <c r="E2639" i="1"/>
  <c r="F2639" i="1" s="1"/>
  <c r="E2234" i="1"/>
  <c r="F2234" i="1" s="1"/>
  <c r="E2230" i="1"/>
  <c r="F2230" i="1" s="1"/>
  <c r="E2198" i="1"/>
  <c r="F2198" i="1" s="1"/>
  <c r="E1934" i="1"/>
  <c r="F1934" i="1" s="1"/>
  <c r="E2178" i="1"/>
  <c r="F2178" i="1" s="1"/>
  <c r="E1894" i="1"/>
  <c r="F1894" i="1" s="1"/>
  <c r="E1890" i="1"/>
  <c r="F1890" i="1" s="1"/>
  <c r="E1835" i="1"/>
  <c r="F1835" i="1" s="1"/>
  <c r="E1855" i="1"/>
  <c r="F1855" i="1" s="1"/>
  <c r="E452" i="1"/>
  <c r="F452" i="1" s="1"/>
  <c r="E1473" i="1"/>
  <c r="F1473" i="1" s="1"/>
  <c r="E1532" i="1"/>
  <c r="F1532" i="1" s="1"/>
  <c r="E1186" i="1"/>
  <c r="F1186" i="1" s="1"/>
  <c r="E1110" i="1"/>
  <c r="F1110" i="1" s="1"/>
  <c r="E411" i="1"/>
  <c r="F411" i="1" s="1"/>
  <c r="E407" i="1"/>
  <c r="F407" i="1" s="1"/>
  <c r="E396" i="1"/>
  <c r="F396" i="1" s="1"/>
  <c r="E393" i="1"/>
  <c r="F393" i="1" s="1"/>
  <c r="E346" i="1"/>
  <c r="F346" i="1" s="1"/>
  <c r="E381" i="1"/>
  <c r="F381" i="1" s="1"/>
  <c r="E377" i="1"/>
  <c r="F377" i="1" s="1"/>
  <c r="E180" i="1"/>
  <c r="F180" i="1" s="1"/>
  <c r="E627" i="1"/>
  <c r="F627" i="1" s="1"/>
  <c r="E2959" i="1"/>
  <c r="F2959" i="1" s="1"/>
  <c r="E3006" i="1"/>
  <c r="F3006" i="1" s="1"/>
  <c r="E2460" i="1"/>
  <c r="F2460" i="1" s="1"/>
  <c r="E2885" i="1"/>
  <c r="F2885" i="1" s="1"/>
  <c r="E2101" i="1"/>
  <c r="F2101" i="1" s="1"/>
  <c r="E2387" i="1"/>
  <c r="F2387" i="1" s="1"/>
  <c r="E1760" i="1"/>
  <c r="F1760" i="1" s="1"/>
  <c r="E2042" i="1"/>
  <c r="F2042" i="1" s="1"/>
  <c r="E951" i="1"/>
  <c r="F951" i="1" s="1"/>
  <c r="E1702" i="1"/>
  <c r="F1702" i="1" s="1"/>
  <c r="E557" i="1"/>
  <c r="F557" i="1" s="1"/>
  <c r="E874" i="1"/>
  <c r="F874" i="1" s="1"/>
  <c r="E556" i="1"/>
  <c r="F556" i="1" s="1"/>
  <c r="E250" i="1"/>
  <c r="F250" i="1" s="1"/>
  <c r="E251" i="1"/>
  <c r="F251" i="1" s="1"/>
  <c r="E3406" i="1"/>
  <c r="F3406" i="1" s="1"/>
  <c r="E3278" i="1"/>
  <c r="F3278" i="1" s="1"/>
  <c r="E3357" i="1"/>
  <c r="F3357" i="1" s="1"/>
  <c r="E3159" i="1"/>
  <c r="F3159" i="1" s="1"/>
  <c r="E3235" i="1"/>
  <c r="F3235" i="1" s="1"/>
  <c r="E2998" i="1"/>
  <c r="F2998" i="1" s="1"/>
  <c r="E3045" i="1"/>
  <c r="F3045" i="1" s="1"/>
  <c r="E2814" i="1"/>
  <c r="F2814" i="1" s="1"/>
  <c r="E2951" i="1"/>
  <c r="F2951" i="1" s="1"/>
  <c r="E2689" i="1"/>
  <c r="F2689" i="1" s="1"/>
  <c r="E2750" i="1"/>
  <c r="F2750" i="1" s="1"/>
  <c r="E2551" i="1"/>
  <c r="F2551" i="1" s="1"/>
  <c r="E2590" i="1"/>
  <c r="F2590" i="1" s="1"/>
  <c r="E2447" i="1"/>
  <c r="F2447" i="1" s="1"/>
  <c r="E2508" i="1"/>
  <c r="F2508" i="1" s="1"/>
  <c r="E2374" i="1"/>
  <c r="F2374" i="1" s="1"/>
  <c r="E2248" i="1"/>
  <c r="F2248" i="1" s="1"/>
  <c r="E2308" i="1"/>
  <c r="F2308" i="1" s="1"/>
  <c r="E2088" i="1"/>
  <c r="F2088" i="1" s="1"/>
  <c r="E2149" i="1"/>
  <c r="F2149" i="1" s="1"/>
  <c r="E1965" i="1"/>
  <c r="F1965" i="1" s="1"/>
  <c r="E2029" i="1"/>
  <c r="F2029" i="1" s="1"/>
  <c r="E1807" i="1"/>
  <c r="F1807" i="1" s="1"/>
  <c r="E1908" i="1"/>
  <c r="F1908" i="1" s="1"/>
  <c r="E1689" i="1"/>
  <c r="F1689" i="1" s="1"/>
  <c r="E1748" i="1"/>
  <c r="F1748" i="1" s="1"/>
  <c r="E1634" i="1"/>
  <c r="F1634" i="1" s="1"/>
  <c r="E1517" i="1"/>
  <c r="F1517" i="1" s="1"/>
  <c r="E1577" i="1"/>
  <c r="F1577" i="1" s="1"/>
  <c r="E1406" i="1"/>
  <c r="F1406" i="1" s="1"/>
  <c r="E1458" i="1"/>
  <c r="F1458" i="1" s="1"/>
  <c r="E1334" i="1"/>
  <c r="F1334" i="1" s="1"/>
  <c r="E1373" i="1"/>
  <c r="F1373" i="1" s="1"/>
  <c r="E1233" i="1"/>
  <c r="F1233" i="1" s="1"/>
  <c r="E1296" i="1"/>
  <c r="F1296" i="1" s="1"/>
  <c r="E1082" i="1"/>
  <c r="F1082" i="1" s="1"/>
  <c r="E1157" i="1"/>
  <c r="F1157" i="1" s="1"/>
  <c r="E999" i="1"/>
  <c r="F999" i="1" s="1"/>
  <c r="E1042" i="1"/>
  <c r="F1042" i="1" s="1"/>
  <c r="E861" i="1"/>
  <c r="F861" i="1" s="1"/>
  <c r="E938" i="1"/>
  <c r="F938" i="1" s="1"/>
  <c r="E748" i="1"/>
  <c r="F748" i="1" s="1"/>
  <c r="E796" i="1"/>
  <c r="F796" i="1" s="1"/>
  <c r="E616" i="1"/>
  <c r="F616" i="1" s="1"/>
  <c r="E674" i="1"/>
  <c r="F674" i="1" s="1"/>
  <c r="E483" i="1"/>
  <c r="F483" i="1" s="1"/>
  <c r="E545" i="1"/>
  <c r="F545" i="1" s="1"/>
  <c r="E299" i="1"/>
  <c r="F299" i="1" s="1"/>
  <c r="E425" i="1"/>
  <c r="F425" i="1" s="1"/>
  <c r="E168" i="1"/>
  <c r="F168" i="1" s="1"/>
  <c r="E239" i="1"/>
  <c r="F239" i="1" s="1"/>
  <c r="E79" i="1"/>
  <c r="F79" i="1" s="1"/>
  <c r="E135" i="1"/>
  <c r="F135" i="1" s="1"/>
  <c r="F17" i="1"/>
  <c r="E16" i="1"/>
  <c r="F16" i="1" s="1"/>
  <c r="E3024" i="1"/>
  <c r="F3024" i="1" s="1"/>
  <c r="E55" i="1"/>
  <c r="F55" i="1" s="1"/>
  <c r="E3026" i="1"/>
  <c r="F3026" i="1" s="1"/>
  <c r="E3008" i="1"/>
  <c r="F3008" i="1" s="1"/>
  <c r="E2904" i="1"/>
  <c r="F2904" i="1" s="1"/>
  <c r="E326" i="1"/>
  <c r="F326" i="1" s="1"/>
  <c r="E52" i="1"/>
  <c r="F52" i="1" s="1"/>
  <c r="E2958" i="1"/>
  <c r="F2958" i="1" s="1"/>
  <c r="E2884" i="1"/>
  <c r="F2884" i="1" s="1"/>
  <c r="E2386" i="1"/>
  <c r="F2386" i="1" s="1"/>
  <c r="E2459" i="1"/>
  <c r="F2459" i="1" s="1"/>
  <c r="E3447" i="1"/>
  <c r="F3447" i="1" s="1"/>
  <c r="E3386" i="1"/>
  <c r="F3386" i="1" s="1"/>
  <c r="E3337" i="1"/>
  <c r="F3337" i="1" s="1"/>
  <c r="E3257" i="1"/>
  <c r="F3257" i="1" s="1"/>
  <c r="E2793" i="1"/>
  <c r="F2793" i="1" s="1"/>
  <c r="E217" i="1"/>
  <c r="F217" i="1" s="1"/>
  <c r="E3210" i="1"/>
  <c r="F3210" i="1" s="1"/>
  <c r="E3105" i="1"/>
  <c r="F3105" i="1" s="1"/>
  <c r="E2977" i="1"/>
  <c r="F2977" i="1" s="1"/>
  <c r="E2930" i="1"/>
  <c r="F2930" i="1" s="1"/>
  <c r="E2650" i="1"/>
  <c r="F2650" i="1" s="1"/>
  <c r="E2530" i="1"/>
  <c r="F2530" i="1" s="1"/>
  <c r="E2569" i="1"/>
  <c r="F2569" i="1" s="1"/>
  <c r="E2729" i="1"/>
  <c r="F2729" i="1" s="1"/>
  <c r="E2425" i="1"/>
  <c r="F2425" i="1" s="1"/>
  <c r="E2487" i="1"/>
  <c r="F2487" i="1" s="1"/>
  <c r="E3388" i="1"/>
  <c r="F3388" i="1" s="1"/>
  <c r="E3449" i="1"/>
  <c r="F3449" i="1" s="1"/>
  <c r="E3339" i="1"/>
  <c r="F3339" i="1" s="1"/>
  <c r="E3259" i="1"/>
  <c r="F3259" i="1" s="1"/>
  <c r="E3212" i="1"/>
  <c r="F3212" i="1" s="1"/>
  <c r="E3107" i="1"/>
  <c r="F3107" i="1" s="1"/>
  <c r="E2979" i="1"/>
  <c r="F2979" i="1" s="1"/>
  <c r="E2932" i="1"/>
  <c r="F2932" i="1" s="1"/>
  <c r="E2795" i="1"/>
  <c r="F2795" i="1" s="1"/>
  <c r="E2652" i="1"/>
  <c r="F2652" i="1" s="1"/>
  <c r="E2489" i="1"/>
  <c r="F2489" i="1" s="1"/>
  <c r="E2532" i="1"/>
  <c r="F2532" i="1" s="1"/>
  <c r="E2571" i="1"/>
  <c r="F2571" i="1" s="1"/>
  <c r="E2731" i="1"/>
  <c r="F2731" i="1" s="1"/>
  <c r="E2961" i="1"/>
  <c r="F2961" i="1" s="1"/>
  <c r="E2887" i="1"/>
  <c r="F2887" i="1" s="1"/>
  <c r="E2389" i="1"/>
  <c r="F2389" i="1" s="1"/>
  <c r="E2462" i="1"/>
  <c r="F2462" i="1" s="1"/>
  <c r="E919" i="1"/>
  <c r="F919" i="1" s="1"/>
  <c r="E873" i="1"/>
  <c r="F873" i="1" s="1"/>
  <c r="E950" i="1"/>
  <c r="F950" i="1" s="1"/>
  <c r="E1341" i="1"/>
  <c r="F1341" i="1" s="1"/>
  <c r="E1379" i="1"/>
  <c r="F1379" i="1" s="1"/>
  <c r="E1302" i="1"/>
  <c r="F1302" i="1" s="1"/>
  <c r="E1667" i="1"/>
  <c r="F1667" i="1" s="1"/>
  <c r="E1611" i="1"/>
  <c r="F1611" i="1" s="1"/>
  <c r="E1556" i="1"/>
  <c r="F1556" i="1" s="1"/>
  <c r="E1386" i="1"/>
  <c r="F1386" i="1" s="1"/>
  <c r="E1496" i="1"/>
  <c r="F1496" i="1" s="1"/>
  <c r="E1438" i="1"/>
  <c r="F1438" i="1" s="1"/>
  <c r="E1209" i="1"/>
  <c r="F1209" i="1" s="1"/>
  <c r="E1271" i="1"/>
  <c r="F1271" i="1" s="1"/>
  <c r="E1348" i="1"/>
  <c r="F1348" i="1" s="1"/>
  <c r="E1309" i="1"/>
  <c r="F1309" i="1" s="1"/>
  <c r="E1061" i="1"/>
  <c r="F1061" i="1" s="1"/>
  <c r="E1133" i="1"/>
  <c r="F1133" i="1" s="1"/>
  <c r="E978" i="1"/>
  <c r="F978" i="1" s="1"/>
  <c r="E916" i="1"/>
  <c r="F916" i="1" s="1"/>
  <c r="E1021" i="1"/>
  <c r="F1021" i="1" s="1"/>
  <c r="E1344" i="1"/>
  <c r="F1344" i="1" s="1"/>
  <c r="E1382" i="1"/>
  <c r="F1382" i="1" s="1"/>
  <c r="E1305" i="1"/>
  <c r="F1305" i="1" s="1"/>
  <c r="E1613" i="1"/>
  <c r="F1613" i="1" s="1"/>
  <c r="E1669" i="1"/>
  <c r="F1669" i="1" s="1"/>
  <c r="E1558" i="1"/>
  <c r="F1558" i="1" s="1"/>
  <c r="E1498" i="1"/>
  <c r="F1498" i="1" s="1"/>
  <c r="E1350" i="1"/>
  <c r="F1350" i="1" s="1"/>
  <c r="E1388" i="1"/>
  <c r="F1388" i="1" s="1"/>
  <c r="E1440" i="1"/>
  <c r="F1440" i="1" s="1"/>
  <c r="E1273" i="1"/>
  <c r="F1273" i="1" s="1"/>
  <c r="E1311" i="1"/>
  <c r="F1311" i="1" s="1"/>
  <c r="E1211" i="1"/>
  <c r="F1211" i="1" s="1"/>
  <c r="E1135" i="1"/>
  <c r="F1135" i="1" s="1"/>
  <c r="E1023" i="1"/>
  <c r="F1023" i="1" s="1"/>
  <c r="E1063" i="1"/>
  <c r="F1063" i="1" s="1"/>
  <c r="E980" i="1"/>
  <c r="F980" i="1" s="1"/>
  <c r="E1378" i="1"/>
  <c r="F1378" i="1" s="1"/>
  <c r="E1301" i="1"/>
  <c r="F1301" i="1" s="1"/>
  <c r="E1340" i="1"/>
  <c r="F1340" i="1" s="1"/>
  <c r="E876" i="1"/>
  <c r="F876" i="1" s="1"/>
  <c r="E953" i="1"/>
  <c r="F953" i="1" s="1"/>
  <c r="E1343" i="1"/>
  <c r="F1343" i="1" s="1"/>
  <c r="E1381" i="1"/>
  <c r="F1381" i="1" s="1"/>
  <c r="E1304" i="1"/>
  <c r="F1304" i="1" s="1"/>
  <c r="E2355" i="1"/>
  <c r="F2355" i="1" s="1"/>
  <c r="E2211" i="1"/>
  <c r="F2211" i="1" s="1"/>
  <c r="E2290" i="1"/>
  <c r="F2290" i="1" s="1"/>
  <c r="E2069" i="1"/>
  <c r="F2069" i="1" s="1"/>
  <c r="E2130" i="1"/>
  <c r="F2130" i="1" s="1"/>
  <c r="E1947" i="1"/>
  <c r="F1947" i="1" s="1"/>
  <c r="E2010" i="1"/>
  <c r="F2010" i="1" s="1"/>
  <c r="E1788" i="1"/>
  <c r="F1788" i="1" s="1"/>
  <c r="E1871" i="1"/>
  <c r="F1871" i="1" s="1"/>
  <c r="E1729" i="1"/>
  <c r="F1729" i="1" s="1"/>
  <c r="E778" i="1"/>
  <c r="F778" i="1" s="1"/>
  <c r="E840" i="1"/>
  <c r="F840" i="1" s="1"/>
  <c r="E656" i="1"/>
  <c r="F656" i="1" s="1"/>
  <c r="E726" i="1"/>
  <c r="F726" i="1" s="1"/>
  <c r="E220" i="1"/>
  <c r="F220" i="1" s="1"/>
  <c r="E597" i="1"/>
  <c r="F597" i="1" s="1"/>
  <c r="E465" i="1"/>
  <c r="F465" i="1" s="1"/>
  <c r="E526" i="1"/>
  <c r="F526" i="1" s="1"/>
  <c r="E280" i="1"/>
  <c r="F280" i="1" s="1"/>
  <c r="E359" i="1"/>
  <c r="F359" i="1" s="1"/>
  <c r="E116" i="1"/>
  <c r="F116" i="1" s="1"/>
  <c r="E149" i="1"/>
  <c r="F149" i="1" s="1"/>
  <c r="E843" i="1"/>
  <c r="F843" i="1" s="1"/>
  <c r="E114" i="1"/>
  <c r="F114" i="1" s="1"/>
  <c r="E524" i="1"/>
  <c r="F524" i="1" s="1"/>
  <c r="E654" i="1"/>
  <c r="F654" i="1" s="1"/>
  <c r="E594" i="1"/>
  <c r="F594" i="1" s="1"/>
  <c r="E278" i="1"/>
  <c r="F278" i="1" s="1"/>
  <c r="E147" i="1"/>
  <c r="F147" i="1" s="1"/>
  <c r="E776" i="1"/>
  <c r="F776" i="1" s="1"/>
  <c r="E463" i="1"/>
  <c r="F463" i="1" s="1"/>
  <c r="E724" i="1"/>
  <c r="F724" i="1" s="1"/>
  <c r="E701" i="1"/>
  <c r="F701" i="1" s="1"/>
  <c r="E357" i="1"/>
  <c r="F357" i="1" s="1"/>
  <c r="E35" i="1"/>
  <c r="F35" i="1" s="1"/>
  <c r="E347" i="1"/>
  <c r="F347" i="1" s="1"/>
  <c r="E18" i="1"/>
  <c r="F18" i="1" s="1"/>
  <c r="E559" i="1"/>
  <c r="F559" i="1" s="1"/>
  <c r="E629" i="1"/>
  <c r="F629" i="1" s="1"/>
  <c r="E253" i="1"/>
  <c r="F253" i="1" s="1"/>
  <c r="E182" i="1"/>
  <c r="F182" i="1" s="1"/>
  <c r="E626" i="1"/>
  <c r="F626" i="1" s="1"/>
  <c r="E179" i="1"/>
  <c r="F179" i="1" s="1"/>
  <c r="E2067" i="1"/>
  <c r="F2067" i="1" s="1"/>
  <c r="E2288" i="1"/>
  <c r="F2288" i="1" s="1"/>
  <c r="E2353" i="1"/>
  <c r="F2353" i="1" s="1"/>
  <c r="E2128" i="1"/>
  <c r="F2128" i="1" s="1"/>
  <c r="E2209" i="1"/>
  <c r="F2209" i="1" s="1"/>
  <c r="E2103" i="1"/>
  <c r="F2103" i="1" s="1"/>
  <c r="E2041" i="1"/>
  <c r="F2041" i="1" s="1"/>
  <c r="E2100" i="1"/>
  <c r="F2100" i="1" s="1"/>
  <c r="E2044" i="1"/>
  <c r="F2044" i="1" s="1"/>
  <c r="E1945" i="1"/>
  <c r="F1945" i="1" s="1"/>
  <c r="E2008" i="1"/>
  <c r="F2008" i="1" s="1"/>
  <c r="E1786" i="1"/>
  <c r="F1786" i="1" s="1"/>
  <c r="E1869" i="1"/>
  <c r="F1869" i="1" s="1"/>
  <c r="E1762" i="1"/>
  <c r="F1762" i="1" s="1"/>
  <c r="E1701" i="1"/>
  <c r="F1701" i="1" s="1"/>
  <c r="E1704" i="1"/>
  <c r="F1704" i="1" s="1"/>
  <c r="F3330" i="1" l="1"/>
  <c r="F1660" i="1"/>
  <c r="F3250" i="1"/>
  <c r="F267" i="1"/>
  <c r="F583" i="1"/>
  <c r="F1054" i="1"/>
  <c r="F2910" i="1"/>
  <c r="F456" i="1"/>
  <c r="F967" i="1"/>
  <c r="F1202" i="1"/>
  <c r="F3097" i="1"/>
  <c r="F3379" i="1"/>
  <c r="F1431" i="1"/>
  <c r="F1548" i="1"/>
  <c r="F643" i="1"/>
  <c r="F195" i="1"/>
  <c r="F894" i="1"/>
  <c r="F2921" i="1"/>
  <c r="F2970" i="1"/>
  <c r="F3017" i="1"/>
  <c r="F2562" i="1"/>
  <c r="F2722" i="1"/>
  <c r="F2786" i="1"/>
  <c r="F2643" i="1"/>
  <c r="F2523" i="1"/>
  <c r="F2056" i="1"/>
  <c r="F2202" i="1"/>
  <c r="F2346" i="1"/>
  <c r="F2117" i="1"/>
  <c r="F2281" i="1"/>
  <c r="F2414" i="1"/>
  <c r="F2403" i="1"/>
  <c r="F1775" i="1"/>
  <c r="F1938" i="1"/>
  <c r="F2001" i="1"/>
  <c r="F1859" i="1"/>
  <c r="F1719" i="1"/>
  <c r="F1604" i="1"/>
  <c r="F1489" i="1"/>
  <c r="F517" i="1"/>
  <c r="F1014" i="1"/>
  <c r="F1126" i="1"/>
  <c r="F905" i="1"/>
  <c r="F833" i="1"/>
  <c r="F769" i="1"/>
  <c r="F572" i="1"/>
  <c r="F350" i="1"/>
  <c r="F206" i="1"/>
  <c r="E2817" i="1"/>
  <c r="F2817" i="1" s="1"/>
  <c r="E2753" i="1"/>
  <c r="F2753" i="1" s="1"/>
  <c r="E2421" i="1"/>
  <c r="F2421" i="1" s="1"/>
  <c r="E2483" i="1"/>
  <c r="F2483" i="1" s="1"/>
  <c r="E2450" i="1"/>
  <c r="F2450" i="1" s="1"/>
  <c r="E2377" i="1"/>
  <c r="F2377" i="1" s="1"/>
  <c r="E2484" i="1"/>
  <c r="F2484" i="1" s="1"/>
  <c r="E2422" i="1"/>
  <c r="F2422" i="1" s="1"/>
  <c r="E1637" i="1"/>
  <c r="F1637" i="1" s="1"/>
  <c r="E1580" i="1"/>
  <c r="F1580" i="1" s="1"/>
  <c r="E941" i="1"/>
  <c r="F941" i="1" s="1"/>
  <c r="E974" i="1"/>
  <c r="F974" i="1" s="1"/>
  <c r="E912" i="1"/>
  <c r="F912" i="1" s="1"/>
  <c r="E864" i="1"/>
  <c r="F864" i="1" s="1"/>
  <c r="E975" i="1"/>
  <c r="F975" i="1" s="1"/>
  <c r="E913" i="1"/>
  <c r="F913" i="1" s="1"/>
  <c r="E650" i="1"/>
  <c r="F650" i="1" s="1"/>
  <c r="E651" i="1"/>
  <c r="F651" i="1" s="1"/>
  <c r="E591" i="1"/>
  <c r="F591" i="1" s="1"/>
  <c r="E274" i="1"/>
  <c r="F274" i="1" s="1"/>
  <c r="E590" i="1"/>
  <c r="F590" i="1" s="1"/>
  <c r="E214" i="1"/>
  <c r="F214" i="1" s="1"/>
  <c r="E275" i="1"/>
  <c r="F275" i="1" s="1"/>
  <c r="E171" i="1"/>
  <c r="F171" i="1" s="1"/>
  <c r="E213" i="1"/>
  <c r="F213" i="1" s="1"/>
  <c r="E486" i="1"/>
  <c r="F486" i="1" s="1"/>
  <c r="E799" i="1"/>
  <c r="F799" i="1" s="1"/>
  <c r="E548" i="1"/>
  <c r="F548" i="1" s="1"/>
  <c r="E619" i="1"/>
  <c r="F619" i="1" s="1"/>
  <c r="E242" i="1"/>
  <c r="F242" i="1" s="1"/>
  <c r="E2311" i="1"/>
  <c r="F2311" i="1" s="1"/>
  <c r="E2064" i="1"/>
  <c r="F2064" i="1" s="1"/>
  <c r="E2125" i="1"/>
  <c r="F2125" i="1" s="1"/>
  <c r="E2091" i="1"/>
  <c r="F2091" i="1" s="1"/>
  <c r="E2124" i="1"/>
  <c r="F2124" i="1" s="1"/>
  <c r="E1968" i="1"/>
  <c r="F1968" i="1" s="1"/>
  <c r="E2032" i="1"/>
  <c r="F2032" i="1" s="1"/>
  <c r="E2063" i="1"/>
  <c r="F2063" i="1" s="1"/>
  <c r="E1751" i="1"/>
  <c r="F1751" i="1" s="1"/>
  <c r="E1782" i="1"/>
  <c r="F1782" i="1" s="1"/>
  <c r="E1717" i="1"/>
  <c r="F1717" i="1" s="1"/>
  <c r="E1783" i="1"/>
  <c r="F1783" i="1" s="1"/>
  <c r="E1692" i="1"/>
  <c r="F1692" i="1" s="1"/>
  <c r="E1716" i="1"/>
  <c r="F1716" i="1" s="1"/>
  <c r="F1316" i="46"/>
  <c r="F745" i="48" l="1"/>
  <c r="F733" i="48"/>
  <c r="F720" i="48"/>
  <c r="F707" i="48"/>
  <c r="F692" i="48"/>
  <c r="F678" i="48"/>
  <c r="F663" i="48"/>
  <c r="F650" i="48"/>
  <c r="F637" i="48"/>
  <c r="F624" i="48"/>
  <c r="F608" i="48"/>
  <c r="F592" i="48"/>
  <c r="F576" i="48"/>
  <c r="F558" i="48"/>
  <c r="F542" i="48"/>
  <c r="F526" i="48"/>
  <c r="F508" i="48"/>
  <c r="F495" i="48"/>
  <c r="F482" i="48"/>
  <c r="F469" i="48"/>
  <c r="F453" i="48"/>
  <c r="F439" i="48"/>
  <c r="F425" i="48"/>
  <c r="F411" i="48"/>
  <c r="F393" i="48"/>
  <c r="F346" i="48"/>
  <c r="F319" i="48"/>
  <c r="F281" i="48"/>
  <c r="F221" i="48"/>
  <c r="F158" i="48"/>
  <c r="F120" i="48"/>
  <c r="F62" i="48"/>
  <c r="F23" i="48"/>
  <c r="F794" i="48" l="1"/>
  <c r="F795" i="48" s="1"/>
  <c r="F796" i="48" s="1"/>
  <c r="F1317" i="46" l="1"/>
  <c r="F1318" i="46" s="1"/>
  <c r="J8" i="1"/>
  <c r="I8" i="1"/>
  <c r="I6" i="1"/>
  <c r="I5" i="1"/>
  <c r="E5" i="1"/>
  <c r="Q17" i="21" l="1"/>
  <c r="Q213" i="3" l="1"/>
  <c r="Q212" i="3"/>
  <c r="Q210" i="3"/>
  <c r="Q208" i="3"/>
  <c r="Q21" i="21" l="1"/>
  <c r="Q20" i="21"/>
  <c r="Q27" i="21"/>
  <c r="Q25" i="21"/>
  <c r="Q14" i="21"/>
  <c r="Q28" i="21" l="1"/>
  <c r="D7" i="17" l="1"/>
  <c r="E7" i="17" s="1"/>
  <c r="F7" i="17"/>
  <c r="D8" i="17"/>
  <c r="G8" i="17" s="1"/>
  <c r="F8" i="17"/>
  <c r="D9" i="17"/>
  <c r="E9" i="17" s="1"/>
  <c r="F9" i="17"/>
  <c r="D10" i="17"/>
  <c r="E10" i="17" s="1"/>
  <c r="F10" i="17"/>
  <c r="D11" i="17"/>
  <c r="G11" i="17" s="1"/>
  <c r="F11" i="17"/>
  <c r="D12" i="17"/>
  <c r="G12" i="17" s="1"/>
  <c r="F12" i="17"/>
  <c r="D13" i="17"/>
  <c r="G13" i="17" s="1"/>
  <c r="F13" i="17"/>
  <c r="D14" i="17"/>
  <c r="E14" i="17" s="1"/>
  <c r="F14" i="17"/>
  <c r="D15" i="17"/>
  <c r="E15" i="17" s="1"/>
  <c r="F15" i="17"/>
  <c r="D16" i="17"/>
  <c r="G16" i="17" s="1"/>
  <c r="F16" i="17"/>
  <c r="D17" i="17"/>
  <c r="E17" i="17" s="1"/>
  <c r="F17" i="17"/>
  <c r="D18" i="17"/>
  <c r="E18" i="17" s="1"/>
  <c r="F18" i="17"/>
  <c r="D19" i="17"/>
  <c r="G19" i="17" s="1"/>
  <c r="F19" i="17"/>
  <c r="D20" i="17"/>
  <c r="G20" i="17" s="1"/>
  <c r="F20" i="17"/>
  <c r="D21" i="17"/>
  <c r="G21" i="17" s="1"/>
  <c r="F21" i="17"/>
  <c r="D22" i="17"/>
  <c r="E22" i="17" s="1"/>
  <c r="F22" i="17"/>
  <c r="D23" i="17"/>
  <c r="E23" i="17" s="1"/>
  <c r="F23" i="17"/>
  <c r="D24" i="17"/>
  <c r="G24" i="17" s="1"/>
  <c r="F24" i="17"/>
  <c r="D25" i="17"/>
  <c r="E25" i="17" s="1"/>
  <c r="F25" i="17"/>
  <c r="D26" i="17"/>
  <c r="E26" i="17" s="1"/>
  <c r="F26" i="17"/>
  <c r="D27" i="17"/>
  <c r="G27" i="17" s="1"/>
  <c r="F27" i="17"/>
  <c r="D28" i="17"/>
  <c r="G28" i="17" s="1"/>
  <c r="F28" i="17"/>
  <c r="D29" i="17"/>
  <c r="G29" i="17" s="1"/>
  <c r="F29" i="17"/>
  <c r="D30" i="17"/>
  <c r="E30" i="17" s="1"/>
  <c r="F30" i="17"/>
  <c r="D31" i="17"/>
  <c r="E31" i="17" s="1"/>
  <c r="F31" i="17"/>
  <c r="D32" i="17"/>
  <c r="G32" i="17" s="1"/>
  <c r="F32" i="17"/>
  <c r="D33" i="17"/>
  <c r="E33" i="17" s="1"/>
  <c r="F33" i="17"/>
  <c r="D34" i="17"/>
  <c r="E34" i="17" s="1"/>
  <c r="F34" i="17"/>
  <c r="D35" i="17"/>
  <c r="G35" i="17" s="1"/>
  <c r="F35" i="17"/>
  <c r="D36" i="17"/>
  <c r="G36" i="17" s="1"/>
  <c r="F36" i="17"/>
  <c r="D37" i="17"/>
  <c r="G37" i="17" s="1"/>
  <c r="F37" i="17"/>
  <c r="D38" i="17"/>
  <c r="E38" i="17" s="1"/>
  <c r="F38" i="17"/>
  <c r="D39" i="17"/>
  <c r="E39" i="17" s="1"/>
  <c r="F39" i="17"/>
  <c r="D40" i="17"/>
  <c r="G40" i="17" s="1"/>
  <c r="F40" i="17"/>
  <c r="D41" i="17"/>
  <c r="E41" i="17" s="1"/>
  <c r="F41" i="17"/>
  <c r="D42" i="17"/>
  <c r="E42" i="17" s="1"/>
  <c r="F42" i="17"/>
  <c r="D43" i="17"/>
  <c r="G43" i="17" s="1"/>
  <c r="F43" i="17"/>
  <c r="D44" i="17"/>
  <c r="G44" i="17" s="1"/>
  <c r="F44" i="17"/>
  <c r="D45" i="17"/>
  <c r="G45" i="17" s="1"/>
  <c r="F45" i="17"/>
  <c r="D46" i="17"/>
  <c r="F46" i="17"/>
  <c r="D47" i="17"/>
  <c r="F47" i="17"/>
  <c r="D48" i="17"/>
  <c r="G48" i="17" s="1"/>
  <c r="F48" i="17"/>
  <c r="D49" i="17"/>
  <c r="E49" i="17" s="1"/>
  <c r="F49" i="17"/>
  <c r="D50" i="17"/>
  <c r="E50" i="17" s="1"/>
  <c r="F50" i="17"/>
  <c r="D51" i="17"/>
  <c r="G51" i="17" s="1"/>
  <c r="F51" i="17"/>
  <c r="D52" i="17"/>
  <c r="G52" i="17" s="1"/>
  <c r="F52" i="17"/>
  <c r="D53" i="17"/>
  <c r="G53" i="17" s="1"/>
  <c r="F53" i="17"/>
  <c r="D54" i="17"/>
  <c r="E54" i="17" s="1"/>
  <c r="F54" i="17"/>
  <c r="D55" i="17"/>
  <c r="E55" i="17" s="1"/>
  <c r="F55" i="17"/>
  <c r="D56" i="17"/>
  <c r="G56" i="17" s="1"/>
  <c r="F56" i="17"/>
  <c r="D57" i="17"/>
  <c r="E57" i="17" s="1"/>
  <c r="F57" i="17"/>
  <c r="D58" i="17"/>
  <c r="E58" i="17" s="1"/>
  <c r="F58" i="17"/>
  <c r="D59" i="17"/>
  <c r="G59" i="17" s="1"/>
  <c r="F59" i="17"/>
  <c r="D60" i="17"/>
  <c r="G60" i="17" s="1"/>
  <c r="F60" i="17"/>
  <c r="D61" i="17"/>
  <c r="G61" i="17" s="1"/>
  <c r="F61" i="17"/>
  <c r="D62" i="17"/>
  <c r="E62" i="17" s="1"/>
  <c r="F62" i="17"/>
  <c r="D63" i="17"/>
  <c r="E63" i="17" s="1"/>
  <c r="F63" i="17"/>
  <c r="D64" i="17"/>
  <c r="G64" i="17" s="1"/>
  <c r="F64" i="17"/>
  <c r="D65" i="17"/>
  <c r="E65" i="17" s="1"/>
  <c r="F65" i="17"/>
  <c r="D66" i="17"/>
  <c r="E66" i="17" s="1"/>
  <c r="F66" i="17"/>
  <c r="D67" i="17"/>
  <c r="G67" i="17" s="1"/>
  <c r="F67" i="17"/>
  <c r="D68" i="17"/>
  <c r="G68" i="17" s="1"/>
  <c r="F68" i="17"/>
  <c r="D69" i="17"/>
  <c r="G69" i="17" s="1"/>
  <c r="F69" i="17"/>
  <c r="D70" i="17"/>
  <c r="F70" i="17"/>
  <c r="D71" i="17"/>
  <c r="F71" i="17"/>
  <c r="D72" i="17"/>
  <c r="G72" i="17" s="1"/>
  <c r="F72" i="17"/>
  <c r="D73" i="17"/>
  <c r="E73" i="17" s="1"/>
  <c r="F73" i="17"/>
  <c r="D74" i="17"/>
  <c r="F74" i="17"/>
  <c r="D75" i="17"/>
  <c r="G75" i="17" s="1"/>
  <c r="F75" i="17"/>
  <c r="D76" i="17"/>
  <c r="G76" i="17" s="1"/>
  <c r="F76" i="17"/>
  <c r="D77" i="17"/>
  <c r="G77" i="17" s="1"/>
  <c r="F77" i="17"/>
  <c r="D78" i="17"/>
  <c r="E78" i="17" s="1"/>
  <c r="F78" i="17"/>
  <c r="D79" i="17"/>
  <c r="F79" i="17"/>
  <c r="D80" i="17"/>
  <c r="G80" i="17" s="1"/>
  <c r="F80" i="17"/>
  <c r="D81" i="17"/>
  <c r="E81" i="17" s="1"/>
  <c r="F81" i="17"/>
  <c r="D82" i="17"/>
  <c r="E82" i="17" s="1"/>
  <c r="F82" i="17"/>
  <c r="D83" i="17"/>
  <c r="G83" i="17" s="1"/>
  <c r="F83" i="17"/>
  <c r="D84" i="17"/>
  <c r="G84" i="17" s="1"/>
  <c r="F84" i="17"/>
  <c r="D85" i="17"/>
  <c r="G85" i="17" s="1"/>
  <c r="F85" i="17"/>
  <c r="D86" i="17"/>
  <c r="E86" i="17" s="1"/>
  <c r="F86" i="17"/>
  <c r="D87" i="17"/>
  <c r="E87" i="17" s="1"/>
  <c r="F87" i="17"/>
  <c r="D88" i="17"/>
  <c r="G88" i="17" s="1"/>
  <c r="F88" i="17"/>
  <c r="D89" i="17"/>
  <c r="F89" i="17"/>
  <c r="D90" i="17"/>
  <c r="E90" i="17" s="1"/>
  <c r="F90" i="17"/>
  <c r="D91" i="17"/>
  <c r="G91" i="17" s="1"/>
  <c r="F91" i="17"/>
  <c r="D92" i="17"/>
  <c r="G92" i="17" s="1"/>
  <c r="F92" i="17"/>
  <c r="D93" i="17"/>
  <c r="G93" i="17" s="1"/>
  <c r="F93" i="17"/>
  <c r="D94" i="17"/>
  <c r="E94" i="17" s="1"/>
  <c r="F94" i="17"/>
  <c r="D95" i="17"/>
  <c r="E95" i="17" s="1"/>
  <c r="F95" i="17"/>
  <c r="D96" i="17"/>
  <c r="G96" i="17" s="1"/>
  <c r="F96" i="17"/>
  <c r="D97" i="17"/>
  <c r="E97" i="17" s="1"/>
  <c r="F97" i="17"/>
  <c r="D98" i="17"/>
  <c r="E98" i="17" s="1"/>
  <c r="F98" i="17"/>
  <c r="D99" i="17"/>
  <c r="G99" i="17" s="1"/>
  <c r="F99" i="17"/>
  <c r="D100" i="17"/>
  <c r="G100" i="17" s="1"/>
  <c r="F100" i="17"/>
  <c r="D101" i="17"/>
  <c r="G101" i="17" s="1"/>
  <c r="F101" i="17"/>
  <c r="D102" i="17"/>
  <c r="E102" i="17" s="1"/>
  <c r="F102" i="17"/>
  <c r="D103" i="17"/>
  <c r="G103" i="17" s="1"/>
  <c r="F103" i="17"/>
  <c r="D104" i="17"/>
  <c r="G104" i="17" s="1"/>
  <c r="F104" i="17"/>
  <c r="D105" i="17"/>
  <c r="G105" i="17" s="1"/>
  <c r="F105" i="17"/>
  <c r="D106" i="17"/>
  <c r="E106" i="17" s="1"/>
  <c r="F106" i="17"/>
  <c r="D107" i="17"/>
  <c r="G107" i="17" s="1"/>
  <c r="F107" i="17"/>
  <c r="D108" i="17"/>
  <c r="G108" i="17" s="1"/>
  <c r="F108" i="17"/>
  <c r="D109" i="17"/>
  <c r="G109" i="17" s="1"/>
  <c r="F109" i="17"/>
  <c r="D110" i="17"/>
  <c r="E110" i="17" s="1"/>
  <c r="F110" i="17"/>
  <c r="D111" i="17"/>
  <c r="G111" i="17" s="1"/>
  <c r="F111" i="17"/>
  <c r="D112" i="17"/>
  <c r="G112" i="17" s="1"/>
  <c r="F112" i="17"/>
  <c r="D113" i="17"/>
  <c r="G113" i="17" s="1"/>
  <c r="F113" i="17"/>
  <c r="D114" i="17"/>
  <c r="E114" i="17" s="1"/>
  <c r="F114" i="17"/>
  <c r="D115" i="17"/>
  <c r="G115" i="17" s="1"/>
  <c r="F115" i="17"/>
  <c r="D116" i="17"/>
  <c r="G116" i="17" s="1"/>
  <c r="F116" i="17"/>
  <c r="D117" i="17"/>
  <c r="G117" i="17" s="1"/>
  <c r="F117" i="17"/>
  <c r="D118" i="17"/>
  <c r="E118" i="17" s="1"/>
  <c r="F118" i="17"/>
  <c r="D119" i="17"/>
  <c r="G119" i="17" s="1"/>
  <c r="F119" i="17"/>
  <c r="D120" i="17"/>
  <c r="G120" i="17" s="1"/>
  <c r="F120" i="17"/>
  <c r="D121" i="17"/>
  <c r="G121" i="17" s="1"/>
  <c r="F121" i="17"/>
  <c r="D122" i="17"/>
  <c r="E122" i="17" s="1"/>
  <c r="F122" i="17"/>
  <c r="D123" i="17"/>
  <c r="G123" i="17" s="1"/>
  <c r="F123" i="17"/>
  <c r="D124" i="17"/>
  <c r="G124" i="17" s="1"/>
  <c r="F124" i="17"/>
  <c r="D125" i="17"/>
  <c r="G125" i="17" s="1"/>
  <c r="F125" i="17"/>
  <c r="D126" i="17"/>
  <c r="E126" i="17" s="1"/>
  <c r="F126" i="17"/>
  <c r="D127" i="17"/>
  <c r="G127" i="17" s="1"/>
  <c r="F127" i="17"/>
  <c r="D128" i="17"/>
  <c r="G128" i="17" s="1"/>
  <c r="F128" i="17"/>
  <c r="D129" i="17"/>
  <c r="G129" i="17" s="1"/>
  <c r="F129" i="17"/>
  <c r="D130" i="17"/>
  <c r="E130" i="17" s="1"/>
  <c r="F130" i="17"/>
  <c r="D131" i="17"/>
  <c r="G131" i="17" s="1"/>
  <c r="F131" i="17"/>
  <c r="D132" i="17"/>
  <c r="G132" i="17" s="1"/>
  <c r="F132" i="17"/>
  <c r="D133" i="17"/>
  <c r="G133" i="17" s="1"/>
  <c r="F133" i="17"/>
  <c r="D134" i="17"/>
  <c r="E134" i="17" s="1"/>
  <c r="F134" i="17"/>
  <c r="D135" i="17"/>
  <c r="G135" i="17" s="1"/>
  <c r="F135" i="17"/>
  <c r="D136" i="17"/>
  <c r="G136" i="17" s="1"/>
  <c r="F136" i="17"/>
  <c r="D137" i="17"/>
  <c r="G137" i="17" s="1"/>
  <c r="F137" i="17"/>
  <c r="D138" i="17"/>
  <c r="E138" i="17" s="1"/>
  <c r="F138" i="17"/>
  <c r="G39" i="17" l="1"/>
  <c r="H61" i="17"/>
  <c r="H95" i="17"/>
  <c r="G95" i="17"/>
  <c r="H63" i="17"/>
  <c r="H9" i="17"/>
  <c r="H31" i="17"/>
  <c r="H71" i="17"/>
  <c r="H53" i="17"/>
  <c r="H29" i="17"/>
  <c r="H135" i="17"/>
  <c r="G71" i="17"/>
  <c r="H39" i="17"/>
  <c r="H17" i="17"/>
  <c r="H7" i="17"/>
  <c r="H107" i="17"/>
  <c r="H93" i="17"/>
  <c r="H21" i="17"/>
  <c r="H103" i="17"/>
  <c r="H85" i="17"/>
  <c r="G63" i="17"/>
  <c r="H79" i="17"/>
  <c r="H47" i="17"/>
  <c r="H123" i="17"/>
  <c r="H101" i="17"/>
  <c r="H87" i="17"/>
  <c r="G79" i="17"/>
  <c r="H69" i="17"/>
  <c r="H55" i="17"/>
  <c r="G47" i="17"/>
  <c r="H37" i="17"/>
  <c r="H25" i="17"/>
  <c r="H15" i="17"/>
  <c r="H119" i="17"/>
  <c r="G87" i="17"/>
  <c r="H77" i="17"/>
  <c r="G55" i="17"/>
  <c r="H45" i="17"/>
  <c r="H33" i="17"/>
  <c r="H23" i="17"/>
  <c r="H13" i="17"/>
  <c r="E101" i="17"/>
  <c r="H99" i="17"/>
  <c r="E93" i="17"/>
  <c r="H91" i="17"/>
  <c r="H83" i="17"/>
  <c r="H75" i="17"/>
  <c r="E69" i="17"/>
  <c r="H67" i="17"/>
  <c r="E61" i="17"/>
  <c r="H59" i="17"/>
  <c r="E53" i="17"/>
  <c r="H51" i="17"/>
  <c r="H43" i="17"/>
  <c r="E37" i="17"/>
  <c r="H35" i="17"/>
  <c r="G31" i="17"/>
  <c r="E29" i="17"/>
  <c r="H27" i="17"/>
  <c r="G23" i="17"/>
  <c r="E21" i="17"/>
  <c r="H19" i="17"/>
  <c r="G15" i="17"/>
  <c r="H11" i="17"/>
  <c r="G7" i="17"/>
  <c r="H131" i="17"/>
  <c r="H115" i="17"/>
  <c r="H127" i="17"/>
  <c r="H111" i="17"/>
  <c r="E99" i="17"/>
  <c r="H97" i="17"/>
  <c r="E91" i="17"/>
  <c r="H89" i="17"/>
  <c r="E83" i="17"/>
  <c r="H81" i="17"/>
  <c r="H73" i="17"/>
  <c r="E67" i="17"/>
  <c r="H65" i="17"/>
  <c r="E59" i="17"/>
  <c r="H57" i="17"/>
  <c r="E51" i="17"/>
  <c r="H49" i="17"/>
  <c r="E43" i="17"/>
  <c r="H41" i="17"/>
  <c r="E35" i="17"/>
  <c r="E27" i="17"/>
  <c r="E19" i="17"/>
  <c r="E11" i="17"/>
  <c r="H136" i="17"/>
  <c r="H132" i="17"/>
  <c r="H128" i="17"/>
  <c r="H108" i="17"/>
  <c r="H104" i="17"/>
  <c r="G97" i="17"/>
  <c r="G89" i="17"/>
  <c r="G73" i="17"/>
  <c r="G57" i="17"/>
  <c r="G49" i="17"/>
  <c r="G41" i="17"/>
  <c r="G33" i="17"/>
  <c r="G25" i="17"/>
  <c r="G17" i="17"/>
  <c r="G9" i="17"/>
  <c r="H137" i="17"/>
  <c r="H133" i="17"/>
  <c r="H129" i="17"/>
  <c r="H125" i="17"/>
  <c r="H121" i="17"/>
  <c r="H117" i="17"/>
  <c r="H113" i="17"/>
  <c r="H109" i="17"/>
  <c r="H105" i="17"/>
  <c r="H124" i="17"/>
  <c r="H120" i="17"/>
  <c r="H116" i="17"/>
  <c r="H112" i="17"/>
  <c r="G81" i="17"/>
  <c r="G65" i="17"/>
  <c r="E136" i="17"/>
  <c r="E132" i="17"/>
  <c r="E128" i="17"/>
  <c r="E124" i="17"/>
  <c r="E120" i="17"/>
  <c r="E116" i="17"/>
  <c r="E112" i="17"/>
  <c r="E108" i="17"/>
  <c r="G138" i="17"/>
  <c r="G134" i="17"/>
  <c r="G130" i="17"/>
  <c r="G126" i="17"/>
  <c r="G122" i="17"/>
  <c r="G118" i="17"/>
  <c r="G114" i="17"/>
  <c r="G110" i="17"/>
  <c r="G106" i="17"/>
  <c r="G102" i="17"/>
  <c r="H100" i="17"/>
  <c r="H98" i="17"/>
  <c r="H96" i="17"/>
  <c r="H94" i="17"/>
  <c r="H92" i="17"/>
  <c r="H90" i="17"/>
  <c r="H88" i="17"/>
  <c r="H86" i="17"/>
  <c r="H84" i="17"/>
  <c r="H82" i="17"/>
  <c r="H80" i="17"/>
  <c r="H78" i="17"/>
  <c r="H76" i="17"/>
  <c r="H74" i="17"/>
  <c r="H72" i="17"/>
  <c r="H70" i="17"/>
  <c r="H68" i="17"/>
  <c r="H66" i="17"/>
  <c r="H64" i="17"/>
  <c r="H62" i="17"/>
  <c r="H60" i="17"/>
  <c r="H58" i="17"/>
  <c r="H56" i="17"/>
  <c r="H54" i="17"/>
  <c r="H52" i="17"/>
  <c r="H50" i="17"/>
  <c r="H48" i="17"/>
  <c r="H46" i="17"/>
  <c r="H44" i="17"/>
  <c r="H42" i="17"/>
  <c r="H40" i="17"/>
  <c r="H38" i="17"/>
  <c r="H36" i="17"/>
  <c r="H34" i="17"/>
  <c r="H32" i="17"/>
  <c r="H30" i="17"/>
  <c r="H28" i="17"/>
  <c r="H26" i="17"/>
  <c r="H24" i="17"/>
  <c r="H22" i="17"/>
  <c r="H20" i="17"/>
  <c r="H18" i="17"/>
  <c r="H16" i="17"/>
  <c r="H14" i="17"/>
  <c r="H12" i="17"/>
  <c r="H10" i="17"/>
  <c r="H8" i="17"/>
  <c r="E135" i="17"/>
  <c r="E131" i="17"/>
  <c r="E127" i="17"/>
  <c r="E123" i="17"/>
  <c r="E119" i="17"/>
  <c r="E115" i="17"/>
  <c r="E111" i="17"/>
  <c r="E107" i="17"/>
  <c r="E103" i="17"/>
  <c r="H138" i="17"/>
  <c r="H134" i="17"/>
  <c r="H130" i="17"/>
  <c r="H126" i="17"/>
  <c r="H122" i="17"/>
  <c r="H118" i="17"/>
  <c r="H114" i="17"/>
  <c r="H110" i="17"/>
  <c r="H106" i="17"/>
  <c r="H102" i="17"/>
  <c r="E137" i="17"/>
  <c r="E133" i="17"/>
  <c r="E121" i="17"/>
  <c r="E117" i="17"/>
  <c r="E113" i="17"/>
  <c r="E109" i="17"/>
  <c r="E105" i="17"/>
  <c r="E100" i="17"/>
  <c r="G98" i="17"/>
  <c r="E96" i="17"/>
  <c r="G94" i="17"/>
  <c r="E92" i="17"/>
  <c r="G90" i="17"/>
  <c r="E88" i="17"/>
  <c r="G86" i="17"/>
  <c r="E84" i="17"/>
  <c r="G82" i="17"/>
  <c r="G78" i="17"/>
  <c r="G74" i="17"/>
  <c r="G70" i="17"/>
  <c r="E68" i="17"/>
  <c r="G66" i="17"/>
  <c r="E64" i="17"/>
  <c r="G62" i="17"/>
  <c r="E60" i="17"/>
  <c r="G58" i="17"/>
  <c r="E56" i="17"/>
  <c r="G54" i="17"/>
  <c r="E52" i="17"/>
  <c r="G50" i="17"/>
  <c r="E48" i="17"/>
  <c r="G46" i="17"/>
  <c r="G42" i="17"/>
  <c r="E40" i="17"/>
  <c r="G38" i="17"/>
  <c r="E36" i="17"/>
  <c r="G34" i="17"/>
  <c r="E32" i="17"/>
  <c r="G30" i="17"/>
  <c r="E28" i="17"/>
  <c r="G26" i="17"/>
  <c r="E24" i="17"/>
  <c r="G22" i="17"/>
  <c r="E20" i="17"/>
  <c r="G18" i="17"/>
  <c r="E16" i="17"/>
  <c r="G14" i="17"/>
  <c r="G10" i="17"/>
  <c r="E8" i="17"/>
  <c r="B64" i="6" l="1"/>
  <c r="C64" i="6" s="1"/>
  <c r="B60" i="6" l="1"/>
  <c r="C60" i="6" s="1"/>
  <c r="Q11" i="19" l="1"/>
  <c r="Q18" i="21" l="1"/>
  <c r="Q16" i="21"/>
  <c r="Q15" i="21"/>
  <c r="Q10" i="21"/>
  <c r="Q9" i="21"/>
  <c r="Q8" i="21"/>
  <c r="Q7" i="21"/>
  <c r="B52" i="6" l="1"/>
  <c r="B56" i="6"/>
  <c r="C56" i="6" s="1"/>
  <c r="C52" i="6" l="1"/>
  <c r="B48" i="6" l="1"/>
  <c r="B44" i="6"/>
  <c r="B40" i="6"/>
  <c r="B36" i="6" l="1"/>
  <c r="E104" i="17" l="1"/>
  <c r="E85" i="17"/>
  <c r="E71" i="17" l="1"/>
  <c r="E72" i="17"/>
  <c r="E80" i="17"/>
  <c r="E79" i="17"/>
  <c r="E70" i="17"/>
  <c r="E89" i="17"/>
  <c r="E75" i="17"/>
  <c r="E74" i="17"/>
  <c r="F6" i="17" l="1"/>
  <c r="D6" i="17"/>
  <c r="H6" i="17" s="1"/>
  <c r="F5" i="17"/>
  <c r="D5" i="17"/>
  <c r="H5" i="17" s="1"/>
  <c r="G5" i="17" l="1"/>
  <c r="G6" i="17"/>
  <c r="E6" i="17"/>
  <c r="E5" i="17"/>
  <c r="C19" i="3" l="1"/>
  <c r="C20" i="3" s="1"/>
  <c r="C21" i="3" s="1"/>
  <c r="C22" i="3" s="1"/>
  <c r="C23" i="3" s="1"/>
  <c r="C24" i="3" s="1"/>
  <c r="C25" i="3" s="1"/>
  <c r="C26" i="3" s="1"/>
  <c r="C27" i="3" s="1"/>
  <c r="C28" i="3" s="1"/>
  <c r="C29" i="3" s="1"/>
  <c r="C30" i="3" s="1"/>
  <c r="C31" i="3" s="1"/>
  <c r="C32" i="3" s="1"/>
  <c r="C33" i="3" s="1"/>
  <c r="C34" i="3" s="1"/>
  <c r="C35" i="3" s="1"/>
  <c r="C36" i="3" s="1"/>
  <c r="C48" i="6" l="1"/>
  <c r="C44" i="6"/>
  <c r="C40" i="6"/>
  <c r="I17" i="4" l="1"/>
  <c r="J17" i="4" s="1"/>
  <c r="J14" i="4"/>
  <c r="J219" i="5" l="1"/>
  <c r="N219" i="5" s="1"/>
  <c r="J214" i="5"/>
  <c r="N214" i="5" s="1"/>
  <c r="J207" i="5"/>
  <c r="N207" i="5" s="1"/>
  <c r="J206" i="5"/>
  <c r="N206" i="5" s="1"/>
  <c r="J229" i="5"/>
  <c r="N229" i="5" s="1"/>
  <c r="J228" i="5"/>
  <c r="N228" i="5" s="1"/>
  <c r="J213" i="5"/>
  <c r="N213" i="5" s="1"/>
  <c r="J192" i="5"/>
  <c r="N192" i="5" s="1"/>
  <c r="J230" i="5"/>
  <c r="N230" i="5" s="1"/>
  <c r="J217" i="5"/>
  <c r="N217" i="5" s="1"/>
  <c r="J216" i="5"/>
  <c r="N216" i="5" s="1"/>
  <c r="J193" i="5"/>
  <c r="N193" i="5" s="1"/>
  <c r="J231" i="5"/>
  <c r="N231" i="5" s="1"/>
  <c r="J218" i="5"/>
  <c r="N218" i="5" s="1"/>
  <c r="J204" i="5"/>
  <c r="N204" i="5" s="1"/>
  <c r="J195" i="5"/>
  <c r="N195" i="5" s="1"/>
  <c r="J194" i="5"/>
  <c r="N194" i="5" s="1"/>
  <c r="J205" i="5"/>
  <c r="N205" i="5" s="1"/>
  <c r="J180" i="5"/>
  <c r="N180" i="5" s="1"/>
  <c r="J158" i="5"/>
  <c r="N158" i="5" s="1"/>
  <c r="J181" i="5"/>
  <c r="N181" i="5" s="1"/>
  <c r="J183" i="5"/>
  <c r="N183" i="5" s="1"/>
  <c r="J182" i="5"/>
  <c r="N182" i="5" s="1"/>
  <c r="J156" i="5"/>
  <c r="N156" i="5" s="1"/>
  <c r="J155" i="5"/>
  <c r="N155" i="5" s="1"/>
  <c r="J157" i="5"/>
  <c r="N157" i="5" s="1"/>
  <c r="J106" i="5"/>
  <c r="N106" i="5" s="1"/>
  <c r="J105" i="5"/>
  <c r="N105" i="5" s="1"/>
  <c r="J104" i="5"/>
  <c r="N104" i="5" s="1"/>
  <c r="J122" i="5"/>
  <c r="N122" i="5" s="1"/>
  <c r="J121" i="5"/>
  <c r="N121" i="5" s="1"/>
  <c r="J123" i="5"/>
  <c r="N123" i="5" s="1"/>
  <c r="J133" i="5"/>
  <c r="N133" i="5" s="1"/>
  <c r="J90" i="5"/>
  <c r="N90" i="5" s="1"/>
  <c r="J80" i="5"/>
  <c r="N80" i="5" s="1"/>
  <c r="J78" i="5"/>
  <c r="N78" i="5" s="1"/>
  <c r="J79" i="5"/>
  <c r="N79" i="5" s="1"/>
  <c r="J61" i="5"/>
  <c r="N61" i="5" s="1"/>
  <c r="J62" i="5"/>
  <c r="N62" i="5" s="1"/>
  <c r="J63" i="5"/>
  <c r="N63" i="5" s="1"/>
  <c r="J35" i="5"/>
  <c r="N35" i="5" s="1"/>
  <c r="J34" i="5"/>
  <c r="N34" i="5" s="1"/>
  <c r="J33" i="5"/>
  <c r="N33" i="5" s="1"/>
  <c r="J244" i="5"/>
  <c r="N244" i="5" s="1"/>
  <c r="J240" i="5"/>
  <c r="N240" i="5" s="1"/>
  <c r="J241" i="5"/>
  <c r="N241" i="5" s="1"/>
  <c r="J237" i="5"/>
  <c r="N237" i="5" s="1"/>
  <c r="J242" i="5"/>
  <c r="N242" i="5" s="1"/>
  <c r="J238" i="5"/>
  <c r="N238" i="5" s="1"/>
  <c r="J243" i="5"/>
  <c r="N243" i="5" s="1"/>
  <c r="J254" i="5"/>
  <c r="N254" i="5" s="1"/>
  <c r="J282" i="5"/>
  <c r="N282" i="5" s="1"/>
  <c r="J278" i="5"/>
  <c r="N278" i="5" s="1"/>
  <c r="J255" i="5"/>
  <c r="N255" i="5" s="1"/>
  <c r="J283" i="5"/>
  <c r="N283" i="5" s="1"/>
  <c r="J279" i="5"/>
  <c r="N279" i="5" s="1"/>
  <c r="J256" i="5"/>
  <c r="N256" i="5" s="1"/>
  <c r="J284" i="5"/>
  <c r="N284" i="5" s="1"/>
  <c r="J257" i="5"/>
  <c r="N257" i="5" s="1"/>
  <c r="J285" i="5"/>
  <c r="N285" i="5" s="1"/>
  <c r="J281" i="5"/>
  <c r="N281" i="5" s="1"/>
  <c r="J269" i="5"/>
  <c r="N269" i="5" s="1"/>
  <c r="J265" i="5"/>
  <c r="N265" i="5" s="1"/>
  <c r="J171" i="5"/>
  <c r="N171" i="5" s="1"/>
  <c r="J170" i="5"/>
  <c r="N170" i="5" s="1"/>
  <c r="J270" i="5"/>
  <c r="N270" i="5" s="1"/>
  <c r="J168" i="5"/>
  <c r="N168" i="5" s="1"/>
  <c r="J271" i="5"/>
  <c r="N271" i="5" s="1"/>
  <c r="J267" i="5"/>
  <c r="N267" i="5" s="1"/>
  <c r="J169" i="5"/>
  <c r="N169" i="5" s="1"/>
  <c r="J264" i="5"/>
  <c r="N264" i="5" s="1"/>
  <c r="J268" i="5"/>
  <c r="N268" i="5" s="1"/>
  <c r="J146" i="5"/>
  <c r="N146" i="5" s="1"/>
  <c r="J147" i="5"/>
  <c r="N147" i="5" s="1"/>
  <c r="J144" i="5"/>
  <c r="N144" i="5" s="1"/>
  <c r="J145" i="5"/>
  <c r="N145" i="5" s="1"/>
  <c r="J11" i="5"/>
  <c r="N11" i="5" s="1"/>
  <c r="E77" i="17" l="1"/>
  <c r="E47" i="17"/>
  <c r="E76" i="17"/>
  <c r="E46" i="17"/>
  <c r="E45" i="17"/>
  <c r="E125" i="17" l="1"/>
  <c r="M33" i="12"/>
  <c r="R33" i="12"/>
  <c r="S33" i="12"/>
  <c r="T33" i="12"/>
  <c r="U33" i="12" s="1"/>
  <c r="X33" i="12"/>
  <c r="M34" i="12"/>
  <c r="R34" i="12"/>
  <c r="S34" i="12"/>
  <c r="T34" i="12" s="1"/>
  <c r="U34" i="12" s="1"/>
  <c r="X34" i="12"/>
  <c r="M35" i="12"/>
  <c r="R35" i="12"/>
  <c r="S35" i="12"/>
  <c r="T35" i="12" s="1"/>
  <c r="U35" i="12" s="1"/>
  <c r="X35" i="12"/>
  <c r="M36" i="12"/>
  <c r="R36" i="12"/>
  <c r="S36" i="12"/>
  <c r="T36" i="12" s="1"/>
  <c r="U36" i="12" s="1"/>
  <c r="X36" i="12"/>
  <c r="M37" i="12"/>
  <c r="R37" i="12"/>
  <c r="S37" i="12"/>
  <c r="T37" i="12" s="1"/>
  <c r="U37" i="12" s="1"/>
  <c r="X37" i="12"/>
  <c r="M38" i="12"/>
  <c r="R38" i="12"/>
  <c r="S38" i="12"/>
  <c r="T38" i="12" s="1"/>
  <c r="U38" i="12" s="1"/>
  <c r="X38" i="12"/>
  <c r="M39" i="12"/>
  <c r="R39" i="12"/>
  <c r="S39" i="12"/>
  <c r="T39" i="12" s="1"/>
  <c r="U39" i="12" s="1"/>
  <c r="X39" i="12"/>
  <c r="M40" i="12"/>
  <c r="R40" i="12"/>
  <c r="S40" i="12"/>
  <c r="T40" i="12" s="1"/>
  <c r="U40" i="12" s="1"/>
  <c r="X40" i="12"/>
  <c r="M41" i="12"/>
  <c r="R41" i="12"/>
  <c r="S41" i="12"/>
  <c r="T41" i="12" s="1"/>
  <c r="U41" i="12" s="1"/>
  <c r="X41" i="12"/>
  <c r="M42" i="12"/>
  <c r="R42" i="12"/>
  <c r="S42" i="12"/>
  <c r="T42" i="12" s="1"/>
  <c r="U42" i="12" s="1"/>
  <c r="X42" i="12"/>
  <c r="M43" i="12"/>
  <c r="R43" i="12"/>
  <c r="S43" i="12"/>
  <c r="T43" i="12" s="1"/>
  <c r="U43" i="12" s="1"/>
  <c r="X43" i="12"/>
  <c r="M44" i="12"/>
  <c r="R44" i="12"/>
  <c r="S44" i="12"/>
  <c r="T44" i="12" s="1"/>
  <c r="U44" i="12" s="1"/>
  <c r="X44" i="12"/>
  <c r="M45" i="12"/>
  <c r="R45" i="12"/>
  <c r="S45" i="12"/>
  <c r="T45" i="12" s="1"/>
  <c r="U45" i="12" s="1"/>
  <c r="X45" i="12"/>
  <c r="M46" i="12"/>
  <c r="R46" i="12"/>
  <c r="S46" i="12"/>
  <c r="T46" i="12" s="1"/>
  <c r="U46" i="12" s="1"/>
  <c r="X46" i="12"/>
  <c r="M47" i="12"/>
  <c r="R47" i="12"/>
  <c r="S47" i="12"/>
  <c r="T47" i="12" s="1"/>
  <c r="U47" i="12" s="1"/>
  <c r="X47" i="12"/>
  <c r="M48" i="12"/>
  <c r="R48" i="12"/>
  <c r="S48" i="12"/>
  <c r="T48" i="12" s="1"/>
  <c r="X48" i="12"/>
  <c r="M49" i="12"/>
  <c r="R49" i="12"/>
  <c r="S49" i="12"/>
  <c r="T49" i="12" s="1"/>
  <c r="U49" i="12" s="1"/>
  <c r="X49" i="12"/>
  <c r="C50" i="12"/>
  <c r="C51" i="12" s="1"/>
  <c r="D50" i="12"/>
  <c r="D51" i="12" s="1"/>
  <c r="E50" i="12"/>
  <c r="E51" i="12" s="1"/>
  <c r="F50" i="12"/>
  <c r="F51" i="12" s="1"/>
  <c r="G50" i="12"/>
  <c r="G51" i="12" s="1"/>
  <c r="H50" i="12"/>
  <c r="H51" i="12" s="1"/>
  <c r="I50" i="12"/>
  <c r="I51" i="12" s="1"/>
  <c r="J50" i="12"/>
  <c r="J51" i="12" s="1"/>
  <c r="K50" i="12"/>
  <c r="K51" i="12" s="1"/>
  <c r="L50" i="12"/>
  <c r="L51" i="12" s="1"/>
  <c r="N50" i="12"/>
  <c r="N51" i="12" s="1"/>
  <c r="O50" i="12"/>
  <c r="O51" i="12" s="1"/>
  <c r="P50" i="12"/>
  <c r="Q50" i="12"/>
  <c r="Q51" i="12" s="1"/>
  <c r="V50" i="12"/>
  <c r="V51" i="12" s="1"/>
  <c r="W50" i="12"/>
  <c r="W51" i="12" s="1"/>
  <c r="P51" i="12"/>
  <c r="R50" i="12" l="1"/>
  <c r="R51" i="12" s="1"/>
  <c r="M50" i="12"/>
  <c r="M51" i="12" s="1"/>
  <c r="X50" i="12"/>
  <c r="X51" i="12" s="1"/>
  <c r="S50" i="12"/>
  <c r="S51" i="12" s="1"/>
  <c r="U48" i="12"/>
  <c r="T50" i="12"/>
  <c r="U50" i="12" l="1"/>
  <c r="T51" i="12"/>
  <c r="U51" i="12" s="1"/>
  <c r="E129" i="17" l="1"/>
  <c r="G8" i="2" l="1"/>
  <c r="G7" i="2"/>
  <c r="D2922" i="2" l="1"/>
  <c r="F2922" i="2" s="1"/>
  <c r="D2900" i="2"/>
  <c r="F2900" i="2" s="1"/>
  <c r="D2892" i="2"/>
  <c r="F2892" i="2" s="1"/>
  <c r="D2871" i="2"/>
  <c r="F2871" i="2" s="1"/>
  <c r="D2862" i="2"/>
  <c r="F2862" i="2" s="1"/>
  <c r="D2841" i="2"/>
  <c r="F2841" i="2" s="1"/>
  <c r="D2827" i="2"/>
  <c r="F2827" i="2" s="1"/>
  <c r="D2816" i="2"/>
  <c r="F2816" i="2" s="1"/>
  <c r="D2808" i="2"/>
  <c r="F2808" i="2" s="1"/>
  <c r="D2923" i="2"/>
  <c r="F2923" i="2" s="1"/>
  <c r="D2897" i="2"/>
  <c r="F2897" i="2" s="1"/>
  <c r="D2935" i="2"/>
  <c r="F2935" i="2" s="1"/>
  <c r="D2950" i="2"/>
  <c r="F2950" i="2" s="1"/>
  <c r="D2881" i="2"/>
  <c r="F2881" i="2" s="1"/>
  <c r="D2849" i="2"/>
  <c r="F2849" i="2" s="1"/>
  <c r="D2811" i="2"/>
  <c r="F2811" i="2" s="1"/>
  <c r="D2630" i="2"/>
  <c r="F2630" i="2" s="1"/>
  <c r="D2592" i="2"/>
  <c r="F2592" i="2" s="1"/>
  <c r="D2570" i="2"/>
  <c r="F2570" i="2" s="1"/>
  <c r="D2549" i="2"/>
  <c r="F2549" i="2" s="1"/>
  <c r="D2162" i="2"/>
  <c r="F2162" i="2" s="1"/>
  <c r="D2136" i="2"/>
  <c r="D2114" i="2"/>
  <c r="D2072" i="2"/>
  <c r="D2041" i="2"/>
  <c r="D2002" i="2"/>
  <c r="D1966" i="2"/>
  <c r="F1966" i="2" s="1"/>
  <c r="D2926" i="2"/>
  <c r="F2926" i="2" s="1"/>
  <c r="D2880" i="2"/>
  <c r="F2880" i="2" s="1"/>
  <c r="D2851" i="2"/>
  <c r="F2851" i="2" s="1"/>
  <c r="D2813" i="2"/>
  <c r="F2813" i="2" s="1"/>
  <c r="D2642" i="2"/>
  <c r="F2642" i="2" s="1"/>
  <c r="D2608" i="2"/>
  <c r="F2608" i="2" s="1"/>
  <c r="D2584" i="2"/>
  <c r="F2584" i="2" s="1"/>
  <c r="D2562" i="2"/>
  <c r="F2562" i="2" s="1"/>
  <c r="D2540" i="2"/>
  <c r="F2540" i="2" s="1"/>
  <c r="D2525" i="2"/>
  <c r="F2525" i="2" s="1"/>
  <c r="D2514" i="2"/>
  <c r="F2514" i="2" s="1"/>
  <c r="D2495" i="2"/>
  <c r="F2495" i="2" s="1"/>
  <c r="D2485" i="2"/>
  <c r="F2485" i="2" s="1"/>
  <c r="D2477" i="2"/>
  <c r="F2477" i="2" s="1"/>
  <c r="D2469" i="2"/>
  <c r="F2469" i="2" s="1"/>
  <c r="D2418" i="2"/>
  <c r="F2418" i="2" s="1"/>
  <c r="D2406" i="2"/>
  <c r="F2406" i="2" s="1"/>
  <c r="D2396" i="2"/>
  <c r="F2396" i="2" s="1"/>
  <c r="D2387" i="2"/>
  <c r="F2387" i="2" s="1"/>
  <c r="D2378" i="2"/>
  <c r="F2378" i="2" s="1"/>
  <c r="D2368" i="2"/>
  <c r="F2368" i="2" s="1"/>
  <c r="D2358" i="2"/>
  <c r="F2358" i="2" s="1"/>
  <c r="D2348" i="2"/>
  <c r="F2348" i="2" s="1"/>
  <c r="D2336" i="2"/>
  <c r="F2336" i="2" s="1"/>
  <c r="D2328" i="2"/>
  <c r="F2328" i="2" s="1"/>
  <c r="D2317" i="2"/>
  <c r="F2317" i="2" s="1"/>
  <c r="D2306" i="2"/>
  <c r="F2306" i="2" s="1"/>
  <c r="D2298" i="2"/>
  <c r="F2298" i="2" s="1"/>
  <c r="D2290" i="2"/>
  <c r="F2290" i="2" s="1"/>
  <c r="D2275" i="2"/>
  <c r="F2275" i="2" s="1"/>
  <c r="D2264" i="2"/>
  <c r="F2264" i="2" s="1"/>
  <c r="D2255" i="2"/>
  <c r="F2255" i="2" s="1"/>
  <c r="D2243" i="2"/>
  <c r="F2243" i="2" s="1"/>
  <c r="D2232" i="2"/>
  <c r="F2232" i="2" s="1"/>
  <c r="D2223" i="2"/>
  <c r="F2223" i="2" s="1"/>
  <c r="D2212" i="2"/>
  <c r="F2212" i="2" s="1"/>
  <c r="D2204" i="2"/>
  <c r="F2204" i="2" s="1"/>
  <c r="D2194" i="2"/>
  <c r="F2194" i="2" s="1"/>
  <c r="D2186" i="2"/>
  <c r="F2186" i="2" s="1"/>
  <c r="D2178" i="2"/>
  <c r="F2178" i="2" s="1"/>
  <c r="D2124" i="2"/>
  <c r="D2107" i="2"/>
  <c r="D2085" i="2"/>
  <c r="F2085" i="2" s="1"/>
  <c r="D2073" i="2"/>
  <c r="D2061" i="2"/>
  <c r="F2061" i="2" s="1"/>
  <c r="D2046" i="2"/>
  <c r="F2046" i="2" s="1"/>
  <c r="D2030" i="2"/>
  <c r="D2014" i="2"/>
  <c r="D1999" i="2"/>
  <c r="D1976" i="2"/>
  <c r="F1976" i="2" s="1"/>
  <c r="D2952" i="2"/>
  <c r="F2952" i="2" s="1"/>
  <c r="D2882" i="2"/>
  <c r="F2882" i="2" s="1"/>
  <c r="D2850" i="2"/>
  <c r="F2850" i="2" s="1"/>
  <c r="D2818" i="2"/>
  <c r="F2818" i="2" s="1"/>
  <c r="D2641" i="2"/>
  <c r="F2641" i="2" s="1"/>
  <c r="D2601" i="2"/>
  <c r="F2601" i="2" s="1"/>
  <c r="D2578" i="2"/>
  <c r="F2578" i="2" s="1"/>
  <c r="D2557" i="2"/>
  <c r="F2557" i="2" s="1"/>
  <c r="D2916" i="2"/>
  <c r="F2916" i="2" s="1"/>
  <c r="D2898" i="2"/>
  <c r="F2898" i="2" s="1"/>
  <c r="D2890" i="2"/>
  <c r="F2890" i="2" s="1"/>
  <c r="D2868" i="2"/>
  <c r="F2868" i="2" s="1"/>
  <c r="D2860" i="2"/>
  <c r="F2860" i="2" s="1"/>
  <c r="D2839" i="2"/>
  <c r="F2839" i="2" s="1"/>
  <c r="D2824" i="2"/>
  <c r="F2824" i="2" s="1"/>
  <c r="D2814" i="2"/>
  <c r="F2814" i="2" s="1"/>
  <c r="D2806" i="2"/>
  <c r="F2806" i="2" s="1"/>
  <c r="D2917" i="2"/>
  <c r="F2917" i="2" s="1"/>
  <c r="D2895" i="2"/>
  <c r="F2895" i="2" s="1"/>
  <c r="D2951" i="2"/>
  <c r="F2951" i="2" s="1"/>
  <c r="D2931" i="2"/>
  <c r="F2931" i="2" s="1"/>
  <c r="D2910" i="2"/>
  <c r="F2910" i="2" s="1"/>
  <c r="D2872" i="2"/>
  <c r="F2872" i="2" s="1"/>
  <c r="D2844" i="2"/>
  <c r="F2844" i="2" s="1"/>
  <c r="D2652" i="2"/>
  <c r="F2652" i="2" s="1"/>
  <c r="D2609" i="2"/>
  <c r="F2609" i="2" s="1"/>
  <c r="D2586" i="2"/>
  <c r="F2586" i="2" s="1"/>
  <c r="D2563" i="2"/>
  <c r="F2563" i="2" s="1"/>
  <c r="D2541" i="2"/>
  <c r="F2541" i="2" s="1"/>
  <c r="D2160" i="2"/>
  <c r="F2160" i="2" s="1"/>
  <c r="D2129" i="2"/>
  <c r="D2110" i="2"/>
  <c r="E2110" i="2" s="1"/>
  <c r="F2110" i="2" s="1"/>
  <c r="D2060" i="2"/>
  <c r="D2029" i="2"/>
  <c r="E2029" i="2" s="1"/>
  <c r="F2029" i="2" s="1"/>
  <c r="D1998" i="2"/>
  <c r="D2909" i="2"/>
  <c r="F2909" i="2" s="1"/>
  <c r="D2874" i="2"/>
  <c r="F2874" i="2" s="1"/>
  <c r="D2846" i="2"/>
  <c r="F2846" i="2" s="1"/>
  <c r="D2632" i="2"/>
  <c r="F2632" i="2" s="1"/>
  <c r="D2600" i="2"/>
  <c r="F2600" i="2" s="1"/>
  <c r="D2577" i="2"/>
  <c r="F2577" i="2" s="1"/>
  <c r="D2555" i="2"/>
  <c r="F2555" i="2" s="1"/>
  <c r="D2535" i="2"/>
  <c r="F2535" i="2" s="1"/>
  <c r="F2536" i="2" s="1"/>
  <c r="D2522" i="2"/>
  <c r="F2522" i="2" s="1"/>
  <c r="D2510" i="2"/>
  <c r="F2510" i="2" s="1"/>
  <c r="D2493" i="2"/>
  <c r="F2493" i="2" s="1"/>
  <c r="D2483" i="2"/>
  <c r="F2483" i="2" s="1"/>
  <c r="D2475" i="2"/>
  <c r="F2475" i="2" s="1"/>
  <c r="D2467" i="2"/>
  <c r="F2467" i="2" s="1"/>
  <c r="D2415" i="2"/>
  <c r="F2415" i="2" s="1"/>
  <c r="D2404" i="2"/>
  <c r="F2404" i="2" s="1"/>
  <c r="D2394" i="2"/>
  <c r="F2394" i="2" s="1"/>
  <c r="D2385" i="2"/>
  <c r="F2385" i="2" s="1"/>
  <c r="D2376" i="2"/>
  <c r="F2376" i="2" s="1"/>
  <c r="D2366" i="2"/>
  <c r="F2366" i="2" s="1"/>
  <c r="D2355" i="2"/>
  <c r="F2355" i="2" s="1"/>
  <c r="D2346" i="2"/>
  <c r="F2346" i="2" s="1"/>
  <c r="D2334" i="2"/>
  <c r="F2334" i="2" s="1"/>
  <c r="D2323" i="2"/>
  <c r="F2323" i="2" s="1"/>
  <c r="D2315" i="2"/>
  <c r="F2315" i="2" s="1"/>
  <c r="D2304" i="2"/>
  <c r="F2304" i="2" s="1"/>
  <c r="D2296" i="2"/>
  <c r="F2296" i="2" s="1"/>
  <c r="D2288" i="2"/>
  <c r="F2288" i="2" s="1"/>
  <c r="D2271" i="2"/>
  <c r="F2271" i="2" s="1"/>
  <c r="D2262" i="2"/>
  <c r="F2262" i="2" s="1"/>
  <c r="D2252" i="2"/>
  <c r="F2252" i="2" s="1"/>
  <c r="D2239" i="2"/>
  <c r="F2239" i="2" s="1"/>
  <c r="D2229" i="2"/>
  <c r="F2229" i="2" s="1"/>
  <c r="D2221" i="2"/>
  <c r="F2221" i="2" s="1"/>
  <c r="D2210" i="2"/>
  <c r="F2210" i="2" s="1"/>
  <c r="D2202" i="2"/>
  <c r="F2202" i="2" s="1"/>
  <c r="D2192" i="2"/>
  <c r="F2192" i="2" s="1"/>
  <c r="D2184" i="2"/>
  <c r="F2184" i="2" s="1"/>
  <c r="D2168" i="2"/>
  <c r="F2168" i="2" s="1"/>
  <c r="D2143" i="2"/>
  <c r="D2120" i="2"/>
  <c r="D2101" i="2"/>
  <c r="D2083" i="2"/>
  <c r="F2083" i="2" s="1"/>
  <c r="D2070" i="2"/>
  <c r="F2070" i="2" s="1"/>
  <c r="D2057" i="2"/>
  <c r="D2042" i="2"/>
  <c r="D2026" i="2"/>
  <c r="D2011" i="2"/>
  <c r="F2011" i="2" s="1"/>
  <c r="D1996" i="2"/>
  <c r="F1996" i="2" s="1"/>
  <c r="D1974" i="2"/>
  <c r="F1974" i="2" s="1"/>
  <c r="D2911" i="2"/>
  <c r="F2911" i="2" s="1"/>
  <c r="D2878" i="2"/>
  <c r="F2878" i="2" s="1"/>
  <c r="D2847" i="2"/>
  <c r="F2847" i="2" s="1"/>
  <c r="D2809" i="2"/>
  <c r="F2809" i="2" s="1"/>
  <c r="D2633" i="2"/>
  <c r="F2633" i="2" s="1"/>
  <c r="D2594" i="2"/>
  <c r="F2594" i="2" s="1"/>
  <c r="D2572" i="2"/>
  <c r="F2572" i="2" s="1"/>
  <c r="D2550" i="2"/>
  <c r="F2550" i="2" s="1"/>
  <c r="D2941" i="2"/>
  <c r="F2941" i="2" s="1"/>
  <c r="D2914" i="2"/>
  <c r="F2914" i="2" s="1"/>
  <c r="D2896" i="2"/>
  <c r="F2896" i="2" s="1"/>
  <c r="D2875" i="2"/>
  <c r="F2875" i="2" s="1"/>
  <c r="D2866" i="2"/>
  <c r="F2866" i="2" s="1"/>
  <c r="D2858" i="2"/>
  <c r="F2858" i="2" s="1"/>
  <c r="D2832" i="2"/>
  <c r="F2832" i="2" s="1"/>
  <c r="D2822" i="2"/>
  <c r="F2822" i="2" s="1"/>
  <c r="D2812" i="2"/>
  <c r="F2812" i="2" s="1"/>
  <c r="D2768" i="2"/>
  <c r="F2768" i="2" s="1"/>
  <c r="D2942" i="2"/>
  <c r="F2942" i="2" s="1"/>
  <c r="D2915" i="2"/>
  <c r="F2915" i="2" s="1"/>
  <c r="D2893" i="2"/>
  <c r="F2893" i="2" s="1"/>
  <c r="D2948" i="2"/>
  <c r="F2948" i="2" s="1"/>
  <c r="D2905" i="2"/>
  <c r="F2905" i="2" s="1"/>
  <c r="D2863" i="2"/>
  <c r="F2863" i="2" s="1"/>
  <c r="D2831" i="2"/>
  <c r="F2831" i="2" s="1"/>
  <c r="D2643" i="2"/>
  <c r="F2643" i="2" s="1"/>
  <c r="D2606" i="2"/>
  <c r="F2606" i="2" s="1"/>
  <c r="D2582" i="2"/>
  <c r="F2582" i="2" s="1"/>
  <c r="D2559" i="2"/>
  <c r="F2559" i="2" s="1"/>
  <c r="D2173" i="2"/>
  <c r="F2173" i="2" s="1"/>
  <c r="D2158" i="2"/>
  <c r="F2158" i="2" s="1"/>
  <c r="D2123" i="2"/>
  <c r="D2105" i="2"/>
  <c r="E2105" i="2" s="1"/>
  <c r="F2105" i="2" s="1"/>
  <c r="D2056" i="2"/>
  <c r="D2017" i="2"/>
  <c r="E2017" i="2" s="1"/>
  <c r="F2017" i="2" s="1"/>
  <c r="D1970" i="2"/>
  <c r="F1970" i="2" s="1"/>
  <c r="D2888" i="2"/>
  <c r="F2888" i="2" s="1"/>
  <c r="D2865" i="2"/>
  <c r="F2865" i="2" s="1"/>
  <c r="D2835" i="2"/>
  <c r="F2835" i="2" s="1"/>
  <c r="D2657" i="2"/>
  <c r="F2657" i="2" s="1"/>
  <c r="D2629" i="2"/>
  <c r="F2629" i="2" s="1"/>
  <c r="D2595" i="2"/>
  <c r="F2595" i="2" s="1"/>
  <c r="D2573" i="2"/>
  <c r="F2573" i="2" s="1"/>
  <c r="D2551" i="2"/>
  <c r="F2551" i="2" s="1"/>
  <c r="D2531" i="2"/>
  <c r="F2531" i="2" s="1"/>
  <c r="D2519" i="2"/>
  <c r="F2519" i="2" s="1"/>
  <c r="D2508" i="2"/>
  <c r="F2508" i="2" s="1"/>
  <c r="D2490" i="2"/>
  <c r="F2490" i="2" s="1"/>
  <c r="D2481" i="2"/>
  <c r="F2481" i="2" s="1"/>
  <c r="D2473" i="2"/>
  <c r="F2473" i="2" s="1"/>
  <c r="D2465" i="2"/>
  <c r="F2465" i="2" s="1"/>
  <c r="D2413" i="2"/>
  <c r="F2413" i="2" s="1"/>
  <c r="D2401" i="2"/>
  <c r="F2401" i="2" s="1"/>
  <c r="D2391" i="2"/>
  <c r="F2391" i="2" s="1"/>
  <c r="D2383" i="2"/>
  <c r="F2383" i="2" s="1"/>
  <c r="D2374" i="2"/>
  <c r="F2374" i="2" s="1"/>
  <c r="D2364" i="2"/>
  <c r="F2364" i="2" s="1"/>
  <c r="D2352" i="2"/>
  <c r="F2352" i="2" s="1"/>
  <c r="D2343" i="2"/>
  <c r="F2343" i="2" s="1"/>
  <c r="D2332" i="2"/>
  <c r="F2332" i="2" s="1"/>
  <c r="D2321" i="2"/>
  <c r="F2321" i="2" s="1"/>
  <c r="D2313" i="2"/>
  <c r="F2313" i="2" s="1"/>
  <c r="D2302" i="2"/>
  <c r="F2302" i="2" s="1"/>
  <c r="D2294" i="2"/>
  <c r="F2294" i="2" s="1"/>
  <c r="D2279" i="2"/>
  <c r="F2279" i="2" s="1"/>
  <c r="D2269" i="2"/>
  <c r="F2269" i="2" s="1"/>
  <c r="D2259" i="2"/>
  <c r="F2259" i="2" s="1"/>
  <c r="D2250" i="2"/>
  <c r="F2250" i="2" s="1"/>
  <c r="D2236" i="2"/>
  <c r="F2236" i="2" s="1"/>
  <c r="D2227" i="2"/>
  <c r="F2227" i="2" s="1"/>
  <c r="D2219" i="2"/>
  <c r="F2219" i="2" s="1"/>
  <c r="D2208" i="2"/>
  <c r="F2208" i="2" s="1"/>
  <c r="D2200" i="2"/>
  <c r="F2200" i="2" s="1"/>
  <c r="D2190" i="2"/>
  <c r="F2190" i="2" s="1"/>
  <c r="D2182" i="2"/>
  <c r="F2182" i="2" s="1"/>
  <c r="D2166" i="2"/>
  <c r="F2166" i="2" s="1"/>
  <c r="D2138" i="2"/>
  <c r="E2138" i="2" s="1"/>
  <c r="F2138" i="2" s="1"/>
  <c r="D2115" i="2"/>
  <c r="D2091" i="2"/>
  <c r="F2091" i="2" s="1"/>
  <c r="D2081" i="2"/>
  <c r="F2081" i="2" s="1"/>
  <c r="D2068" i="2"/>
  <c r="F2068" i="2" s="1"/>
  <c r="D2054" i="2"/>
  <c r="F2054" i="2" s="1"/>
  <c r="D2039" i="2"/>
  <c r="F2039" i="2" s="1"/>
  <c r="D2024" i="2"/>
  <c r="F2024" i="2" s="1"/>
  <c r="D2009" i="2"/>
  <c r="F2009" i="2" s="1"/>
  <c r="D1990" i="2"/>
  <c r="F1990" i="2" s="1"/>
  <c r="D2906" i="2"/>
  <c r="F2906" i="2" s="1"/>
  <c r="D2861" i="2"/>
  <c r="F2861" i="2" s="1"/>
  <c r="D2842" i="2"/>
  <c r="F2842" i="2" s="1"/>
  <c r="D2656" i="2"/>
  <c r="F2656" i="2" s="1"/>
  <c r="D2613" i="2"/>
  <c r="F2613" i="2" s="1"/>
  <c r="D2590" i="2"/>
  <c r="F2590" i="2" s="1"/>
  <c r="D2924" i="2"/>
  <c r="F2924" i="2" s="1"/>
  <c r="D2903" i="2"/>
  <c r="F2903" i="2" s="1"/>
  <c r="D2894" i="2"/>
  <c r="F2894" i="2" s="1"/>
  <c r="D2873" i="2"/>
  <c r="F2873" i="2" s="1"/>
  <c r="D2864" i="2"/>
  <c r="F2864" i="2" s="1"/>
  <c r="D2843" i="2"/>
  <c r="F2843" i="2" s="1"/>
  <c r="D2830" i="2"/>
  <c r="F2830" i="2" s="1"/>
  <c r="D2819" i="2"/>
  <c r="F2819" i="2" s="1"/>
  <c r="D2810" i="2"/>
  <c r="F2810" i="2" s="1"/>
  <c r="D2940" i="2"/>
  <c r="F2940" i="2" s="1"/>
  <c r="D2899" i="2"/>
  <c r="F2899" i="2" s="1"/>
  <c r="D2891" i="2"/>
  <c r="F2891" i="2" s="1"/>
  <c r="D2944" i="2"/>
  <c r="F2944" i="2" s="1"/>
  <c r="D2885" i="2"/>
  <c r="F2885" i="2" s="1"/>
  <c r="D2852" i="2"/>
  <c r="F2852" i="2" s="1"/>
  <c r="D2820" i="2"/>
  <c r="F2820" i="2" s="1"/>
  <c r="D2635" i="2"/>
  <c r="F2635" i="2" s="1"/>
  <c r="D2596" i="2"/>
  <c r="F2596" i="2" s="1"/>
  <c r="D2574" i="2"/>
  <c r="F2574" i="2" s="1"/>
  <c r="D2553" i="2"/>
  <c r="F2553" i="2" s="1"/>
  <c r="D2171" i="2"/>
  <c r="F2171" i="2" s="1"/>
  <c r="D2141" i="2"/>
  <c r="D2119" i="2"/>
  <c r="D2087" i="2"/>
  <c r="D2045" i="2"/>
  <c r="D2013" i="2"/>
  <c r="D1968" i="2"/>
  <c r="F1968" i="2" s="1"/>
  <c r="D2933" i="2"/>
  <c r="F2933" i="2" s="1"/>
  <c r="D2884" i="2"/>
  <c r="F2884" i="2" s="1"/>
  <c r="D2854" i="2"/>
  <c r="F2854" i="2" s="1"/>
  <c r="D2823" i="2"/>
  <c r="F2823" i="2" s="1"/>
  <c r="D2649" i="2"/>
  <c r="F2649" i="2" s="1"/>
  <c r="D2612" i="2"/>
  <c r="F2612" i="2" s="1"/>
  <c r="D2588" i="2"/>
  <c r="F2588" i="2" s="1"/>
  <c r="D2567" i="2"/>
  <c r="F2567" i="2" s="1"/>
  <c r="D2545" i="2"/>
  <c r="F2545" i="2" s="1"/>
  <c r="D2527" i="2"/>
  <c r="F2527" i="2" s="1"/>
  <c r="D2517" i="2"/>
  <c r="F2517" i="2" s="1"/>
  <c r="D2497" i="2"/>
  <c r="F2497" i="2" s="1"/>
  <c r="D2488" i="2"/>
  <c r="F2488" i="2" s="1"/>
  <c r="D2479" i="2"/>
  <c r="F2479" i="2" s="1"/>
  <c r="D2471" i="2"/>
  <c r="F2471" i="2" s="1"/>
  <c r="D2463" i="2"/>
  <c r="F2463" i="2" s="1"/>
  <c r="D2410" i="2"/>
  <c r="F2410" i="2" s="1"/>
  <c r="D2399" i="2"/>
  <c r="F2399" i="2" s="1"/>
  <c r="D2389" i="2"/>
  <c r="F2389" i="2" s="1"/>
  <c r="D2380" i="2"/>
  <c r="F2380" i="2" s="1"/>
  <c r="D2370" i="2"/>
  <c r="F2370" i="2" s="1"/>
  <c r="D2360" i="2"/>
  <c r="F2360" i="2" s="1"/>
  <c r="D2350" i="2"/>
  <c r="F2350" i="2" s="1"/>
  <c r="D2339" i="2"/>
  <c r="F2339" i="2" s="1"/>
  <c r="D2330" i="2"/>
  <c r="F2330" i="2" s="1"/>
  <c r="D2319" i="2"/>
  <c r="F2319" i="2" s="1"/>
  <c r="D2308" i="2"/>
  <c r="F2308" i="2" s="1"/>
  <c r="D2300" i="2"/>
  <c r="F2300" i="2" s="1"/>
  <c r="D2292" i="2"/>
  <c r="F2292" i="2" s="1"/>
  <c r="D2277" i="2"/>
  <c r="F2277" i="2" s="1"/>
  <c r="D2267" i="2"/>
  <c r="F2267" i="2" s="1"/>
  <c r="D2257" i="2"/>
  <c r="F2257" i="2" s="1"/>
  <c r="D2248" i="2"/>
  <c r="F2248" i="2" s="1"/>
  <c r="D2234" i="2"/>
  <c r="F2234" i="2" s="1"/>
  <c r="D2225" i="2"/>
  <c r="F2225" i="2" s="1"/>
  <c r="D2216" i="2"/>
  <c r="F2216" i="2" s="1"/>
  <c r="D2206" i="2"/>
  <c r="F2206" i="2" s="1"/>
  <c r="D2198" i="2"/>
  <c r="F2198" i="2" s="1"/>
  <c r="D2188" i="2"/>
  <c r="F2188" i="2" s="1"/>
  <c r="D2180" i="2"/>
  <c r="F2180" i="2" s="1"/>
  <c r="D2164" i="2"/>
  <c r="F2164" i="2" s="1"/>
  <c r="D2130" i="2"/>
  <c r="D2111" i="2"/>
  <c r="E2111" i="2" s="1"/>
  <c r="F2111" i="2" s="1"/>
  <c r="D2088" i="2"/>
  <c r="D2076" i="2"/>
  <c r="F2076" i="2" s="1"/>
  <c r="D2066" i="2"/>
  <c r="F2066" i="2" s="1"/>
  <c r="D2052" i="2"/>
  <c r="F2052" i="2" s="1"/>
  <c r="D2033" i="2"/>
  <c r="F2033" i="2" s="1"/>
  <c r="D2018" i="2"/>
  <c r="F2018" i="2" s="1"/>
  <c r="D2003" i="2"/>
  <c r="F2003" i="2" s="1"/>
  <c r="D1986" i="2"/>
  <c r="F1986" i="2" s="1"/>
  <c r="D2886" i="2"/>
  <c r="F2886" i="2" s="1"/>
  <c r="D2855" i="2"/>
  <c r="F2855" i="2" s="1"/>
  <c r="D2828" i="2"/>
  <c r="F2828" i="2" s="1"/>
  <c r="D2650" i="2"/>
  <c r="F2650" i="2" s="1"/>
  <c r="D2607" i="2"/>
  <c r="F2607" i="2" s="1"/>
  <c r="D2583" i="2"/>
  <c r="F2583" i="2" s="1"/>
  <c r="D2561" i="2"/>
  <c r="F2561" i="2" s="1"/>
  <c r="D2539" i="2"/>
  <c r="F2539" i="2" s="1"/>
  <c r="D2526" i="2"/>
  <c r="F2526" i="2" s="1"/>
  <c r="D2515" i="2"/>
  <c r="F2515" i="2" s="1"/>
  <c r="D2496" i="2"/>
  <c r="F2496" i="2" s="1"/>
  <c r="D2487" i="2"/>
  <c r="F2487" i="2" s="1"/>
  <c r="D2478" i="2"/>
  <c r="F2478" i="2" s="1"/>
  <c r="D2470" i="2"/>
  <c r="F2470" i="2" s="1"/>
  <c r="D2420" i="2"/>
  <c r="F2420" i="2" s="1"/>
  <c r="D2409" i="2"/>
  <c r="F2409" i="2" s="1"/>
  <c r="D2398" i="2"/>
  <c r="F2398" i="2" s="1"/>
  <c r="D2388" i="2"/>
  <c r="F2388" i="2" s="1"/>
  <c r="D2379" i="2"/>
  <c r="F2379" i="2" s="1"/>
  <c r="D2369" i="2"/>
  <c r="F2369" i="2" s="1"/>
  <c r="D2359" i="2"/>
  <c r="F2359" i="2" s="1"/>
  <c r="D2349" i="2"/>
  <c r="F2349" i="2" s="1"/>
  <c r="D2337" i="2"/>
  <c r="F2337" i="2" s="1"/>
  <c r="D2329" i="2"/>
  <c r="F2329" i="2" s="1"/>
  <c r="D2318" i="2"/>
  <c r="F2318" i="2" s="1"/>
  <c r="D2307" i="2"/>
  <c r="F2307" i="2" s="1"/>
  <c r="D2299" i="2"/>
  <c r="F2299" i="2" s="1"/>
  <c r="D2291" i="2"/>
  <c r="F2291" i="2" s="1"/>
  <c r="D2276" i="2"/>
  <c r="F2276" i="2" s="1"/>
  <c r="D2266" i="2"/>
  <c r="F2266" i="2" s="1"/>
  <c r="D2256" i="2"/>
  <c r="F2256" i="2" s="1"/>
  <c r="D2247" i="2"/>
  <c r="F2247" i="2" s="1"/>
  <c r="D2233" i="2"/>
  <c r="F2233" i="2" s="1"/>
  <c r="D2224" i="2"/>
  <c r="F2224" i="2" s="1"/>
  <c r="D2215" i="2"/>
  <c r="F2215" i="2" s="1"/>
  <c r="D2205" i="2"/>
  <c r="F2205" i="2" s="1"/>
  <c r="D2197" i="2"/>
  <c r="F2197" i="2" s="1"/>
  <c r="D2187" i="2"/>
  <c r="F2187" i="2" s="1"/>
  <c r="D2179" i="2"/>
  <c r="F2179" i="2" s="1"/>
  <c r="D2151" i="2"/>
  <c r="F2151" i="2" s="1"/>
  <c r="D2122" i="2"/>
  <c r="E2122" i="2" s="1"/>
  <c r="F2122" i="2" s="1"/>
  <c r="D2104" i="2"/>
  <c r="E2104" i="2" s="1"/>
  <c r="F2104" i="2" s="1"/>
  <c r="D2084" i="2"/>
  <c r="F2084" i="2" s="1"/>
  <c r="D2071" i="2"/>
  <c r="E2071" i="2" s="1"/>
  <c r="F2071" i="2" s="1"/>
  <c r="D2059" i="2"/>
  <c r="E2059" i="2" s="1"/>
  <c r="F2059" i="2" s="1"/>
  <c r="D2044" i="2"/>
  <c r="E2044" i="2" s="1"/>
  <c r="F2044" i="2" s="1"/>
  <c r="D2028" i="2"/>
  <c r="E2028" i="2" s="1"/>
  <c r="F2028" i="2" s="1"/>
  <c r="D2012" i="2"/>
  <c r="E2012" i="2" s="1"/>
  <c r="F2012" i="2" s="1"/>
  <c r="D1997" i="2"/>
  <c r="E1997" i="2" s="1"/>
  <c r="F1997" i="2" s="1"/>
  <c r="D1975" i="2"/>
  <c r="F1975" i="2" s="1"/>
  <c r="D2908" i="2"/>
  <c r="F2908" i="2" s="1"/>
  <c r="D2631" i="2"/>
  <c r="F2631" i="2" s="1"/>
  <c r="D2537" i="2"/>
  <c r="F2537" i="2" s="1"/>
  <c r="D2108" i="2"/>
  <c r="E2108" i="2" s="1"/>
  <c r="F2108" i="2" s="1"/>
  <c r="D1965" i="2"/>
  <c r="F1965" i="2" s="1"/>
  <c r="D1873" i="2"/>
  <c r="F1873" i="2" s="1"/>
  <c r="D1832" i="2"/>
  <c r="F1832" i="2" s="1"/>
  <c r="D1808" i="2"/>
  <c r="F1808" i="2" s="1"/>
  <c r="D1798" i="2"/>
  <c r="F1798" i="2" s="1"/>
  <c r="D1751" i="2"/>
  <c r="F1751" i="2" s="1"/>
  <c r="D1731" i="2"/>
  <c r="F1731" i="2" s="1"/>
  <c r="D1719" i="2"/>
  <c r="F1719" i="2" s="1"/>
  <c r="D1703" i="2"/>
  <c r="F1703" i="2" s="1"/>
  <c r="D1687" i="2"/>
  <c r="F1687" i="2" s="1"/>
  <c r="D1668" i="2"/>
  <c r="F1668" i="2" s="1"/>
  <c r="D1653" i="2"/>
  <c r="F1653" i="2" s="1"/>
  <c r="D1642" i="2"/>
  <c r="F1642" i="2" s="1"/>
  <c r="D1630" i="2"/>
  <c r="F1630" i="2" s="1"/>
  <c r="D1618" i="2"/>
  <c r="F1618" i="2" s="1"/>
  <c r="D1608" i="2"/>
  <c r="F1608" i="2" s="1"/>
  <c r="D1598" i="2"/>
  <c r="F1598" i="2" s="1"/>
  <c r="D1585" i="2"/>
  <c r="F1585" i="2" s="1"/>
  <c r="D1547" i="2"/>
  <c r="D1527" i="2"/>
  <c r="E1527" i="2" s="1"/>
  <c r="F1527" i="2" s="1"/>
  <c r="D1505" i="2"/>
  <c r="D1477" i="2"/>
  <c r="E1477" i="2" s="1"/>
  <c r="F1477" i="2" s="1"/>
  <c r="D1448" i="2"/>
  <c r="F1448" i="2" s="1"/>
  <c r="D1430" i="2"/>
  <c r="D1406" i="2"/>
  <c r="E1406" i="2" s="1"/>
  <c r="F1406" i="2" s="1"/>
  <c r="D1381" i="2"/>
  <c r="D1350" i="2"/>
  <c r="F1350" i="2" s="1"/>
  <c r="D2887" i="2"/>
  <c r="F2887" i="2" s="1"/>
  <c r="D2807" i="2"/>
  <c r="F2807" i="2" s="1"/>
  <c r="D2558" i="2"/>
  <c r="F2558" i="2" s="1"/>
  <c r="D2112" i="2"/>
  <c r="E2112" i="2" s="1"/>
  <c r="F2112" i="2" s="1"/>
  <c r="D2015" i="2"/>
  <c r="D1959" i="2"/>
  <c r="F1959" i="2" s="1"/>
  <c r="D1942" i="2"/>
  <c r="F1942" i="2" s="1"/>
  <c r="D1929" i="2"/>
  <c r="F1929" i="2" s="1"/>
  <c r="D1911" i="2"/>
  <c r="F1911" i="2" s="1"/>
  <c r="D1899" i="2"/>
  <c r="F1899" i="2" s="1"/>
  <c r="D1886" i="2"/>
  <c r="F1886" i="2" s="1"/>
  <c r="D1875" i="2"/>
  <c r="F1875" i="2" s="1"/>
  <c r="D2536" i="2"/>
  <c r="D2523" i="2"/>
  <c r="F2523" i="2" s="1"/>
  <c r="D2513" i="2"/>
  <c r="F2513" i="2" s="1"/>
  <c r="D2494" i="2"/>
  <c r="F2494" i="2" s="1"/>
  <c r="D2484" i="2"/>
  <c r="F2484" i="2" s="1"/>
  <c r="D2476" i="2"/>
  <c r="F2476" i="2" s="1"/>
  <c r="D2468" i="2"/>
  <c r="F2468" i="2" s="1"/>
  <c r="D2405" i="2"/>
  <c r="F2405" i="2" s="1"/>
  <c r="D2395" i="2"/>
  <c r="F2395" i="2" s="1"/>
  <c r="D2386" i="2"/>
  <c r="F2386" i="2" s="1"/>
  <c r="D2377" i="2"/>
  <c r="F2377" i="2" s="1"/>
  <c r="D2367" i="2"/>
  <c r="F2367" i="2" s="1"/>
  <c r="D2356" i="2"/>
  <c r="F2356" i="2" s="1"/>
  <c r="D2347" i="2"/>
  <c r="F2347" i="2" s="1"/>
  <c r="D2335" i="2"/>
  <c r="F2335" i="2" s="1"/>
  <c r="D2327" i="2"/>
  <c r="F2327" i="2" s="1"/>
  <c r="D2316" i="2"/>
  <c r="F2316" i="2" s="1"/>
  <c r="D2305" i="2"/>
  <c r="F2305" i="2" s="1"/>
  <c r="D2297" i="2"/>
  <c r="F2297" i="2" s="1"/>
  <c r="D2289" i="2"/>
  <c r="F2289" i="2" s="1"/>
  <c r="D2273" i="2"/>
  <c r="F2273" i="2" s="1"/>
  <c r="D2263" i="2"/>
  <c r="F2263" i="2" s="1"/>
  <c r="D2254" i="2"/>
  <c r="F2254" i="2" s="1"/>
  <c r="D2242" i="2"/>
  <c r="F2242" i="2" s="1"/>
  <c r="D2231" i="2"/>
  <c r="F2231" i="2" s="1"/>
  <c r="D2222" i="2"/>
  <c r="F2222" i="2" s="1"/>
  <c r="D2211" i="2"/>
  <c r="F2211" i="2" s="1"/>
  <c r="D2203" i="2"/>
  <c r="F2203" i="2" s="1"/>
  <c r="D2193" i="2"/>
  <c r="F2193" i="2" s="1"/>
  <c r="D2185" i="2"/>
  <c r="F2185" i="2" s="1"/>
  <c r="D2176" i="2"/>
  <c r="F2176" i="2" s="1"/>
  <c r="D2140" i="2"/>
  <c r="E2140" i="2" s="1"/>
  <c r="F2140" i="2" s="1"/>
  <c r="D2118" i="2"/>
  <c r="E2118" i="2" s="1"/>
  <c r="F2118" i="2" s="1"/>
  <c r="D2092" i="2"/>
  <c r="F2092" i="2" s="1"/>
  <c r="D2082" i="2"/>
  <c r="F2082" i="2" s="1"/>
  <c r="D2069" i="2"/>
  <c r="F2069" i="2" s="1"/>
  <c r="D2055" i="2"/>
  <c r="E2055" i="2" s="1"/>
  <c r="F2055" i="2" s="1"/>
  <c r="D2040" i="2"/>
  <c r="E2040" i="2" s="1"/>
  <c r="F2040" i="2" s="1"/>
  <c r="D2025" i="2"/>
  <c r="F2025" i="2" s="1"/>
  <c r="D2010" i="2"/>
  <c r="F2010" i="2" s="1"/>
  <c r="D1995" i="2"/>
  <c r="F1995" i="2" s="1"/>
  <c r="D1973" i="2"/>
  <c r="F1973" i="2" s="1"/>
  <c r="D2859" i="2"/>
  <c r="F2859" i="2" s="1"/>
  <c r="D2591" i="2"/>
  <c r="F2591" i="2" s="1"/>
  <c r="D2172" i="2"/>
  <c r="F2172" i="2" s="1"/>
  <c r="D2043" i="2"/>
  <c r="E2043" i="2" s="1"/>
  <c r="F2043" i="2" s="1"/>
  <c r="D1947" i="2"/>
  <c r="F1947" i="2" s="1"/>
  <c r="D1851" i="2"/>
  <c r="E1851" i="2" s="1"/>
  <c r="F1851" i="2" s="1"/>
  <c r="D1830" i="2"/>
  <c r="F1830" i="2" s="1"/>
  <c r="D1805" i="2"/>
  <c r="F1805" i="2" s="1"/>
  <c r="D1796" i="2"/>
  <c r="F1796" i="2" s="1"/>
  <c r="D1741" i="2"/>
  <c r="F1741" i="2" s="1"/>
  <c r="D1728" i="2"/>
  <c r="F1728" i="2" s="1"/>
  <c r="D1715" i="2"/>
  <c r="F1715" i="2" s="1"/>
  <c r="D1701" i="2"/>
  <c r="F1701" i="2" s="1"/>
  <c r="D1685" i="2"/>
  <c r="F1685" i="2" s="1"/>
  <c r="D1665" i="2"/>
  <c r="F1665" i="2" s="1"/>
  <c r="D1648" i="2"/>
  <c r="F1648" i="2" s="1"/>
  <c r="D1640" i="2"/>
  <c r="F1640" i="2" s="1"/>
  <c r="D1627" i="2"/>
  <c r="F1627" i="2" s="1"/>
  <c r="D1616" i="2"/>
  <c r="F1616" i="2" s="1"/>
  <c r="D1606" i="2"/>
  <c r="F1606" i="2" s="1"/>
  <c r="D1595" i="2"/>
  <c r="F1595" i="2" s="1"/>
  <c r="D1582" i="2"/>
  <c r="E1582" i="2" s="1"/>
  <c r="F1582" i="2" s="1"/>
  <c r="D1545" i="2"/>
  <c r="E1545" i="2" s="1"/>
  <c r="F1545" i="2" s="1"/>
  <c r="D1521" i="2"/>
  <c r="E1521" i="2" s="1"/>
  <c r="F1521" i="2" s="1"/>
  <c r="D1499" i="2"/>
  <c r="E1499" i="2" s="1"/>
  <c r="F1499" i="2" s="1"/>
  <c r="D1470" i="2"/>
  <c r="E1470" i="2" s="1"/>
  <c r="F1470" i="2" s="1"/>
  <c r="D1444" i="2"/>
  <c r="F1444" i="2" s="1"/>
  <c r="D1426" i="2"/>
  <c r="E1426" i="2" s="1"/>
  <c r="F1426" i="2" s="1"/>
  <c r="D1404" i="2"/>
  <c r="E1404" i="2" s="1"/>
  <c r="F1404" i="2" s="1"/>
  <c r="D1375" i="2"/>
  <c r="E1375" i="2" s="1"/>
  <c r="F1375" i="2" s="1"/>
  <c r="D1348" i="2"/>
  <c r="F1348" i="2" s="1"/>
  <c r="D2876" i="2"/>
  <c r="F2876" i="2" s="1"/>
  <c r="D2644" i="2"/>
  <c r="F2644" i="2" s="1"/>
  <c r="D2542" i="2"/>
  <c r="F2542" i="2" s="1"/>
  <c r="D2074" i="2"/>
  <c r="E2074" i="2" s="1"/>
  <c r="F2074" i="2" s="1"/>
  <c r="D1971" i="2"/>
  <c r="F1971" i="2" s="1"/>
  <c r="D1956" i="2"/>
  <c r="F1956" i="2" s="1"/>
  <c r="D1940" i="2"/>
  <c r="F1940" i="2" s="1"/>
  <c r="D1920" i="2"/>
  <c r="F1920" i="2" s="1"/>
  <c r="D1908" i="2"/>
  <c r="F1908" i="2" s="1"/>
  <c r="D1897" i="2"/>
  <c r="F1897" i="2" s="1"/>
  <c r="D1884" i="2"/>
  <c r="F1884" i="2" s="1"/>
  <c r="D1869" i="2"/>
  <c r="F1869" i="2" s="1"/>
  <c r="D2568" i="2"/>
  <c r="F2568" i="2" s="1"/>
  <c r="D2533" i="2"/>
  <c r="F2533" i="2" s="1"/>
  <c r="D2521" i="2"/>
  <c r="F2521" i="2" s="1"/>
  <c r="D2509" i="2"/>
  <c r="F2509" i="2" s="1"/>
  <c r="D2492" i="2"/>
  <c r="F2492" i="2" s="1"/>
  <c r="D2482" i="2"/>
  <c r="F2482" i="2" s="1"/>
  <c r="D2474" i="2"/>
  <c r="F2474" i="2" s="1"/>
  <c r="D2466" i="2"/>
  <c r="F2466" i="2" s="1"/>
  <c r="D2414" i="2"/>
  <c r="F2414" i="2" s="1"/>
  <c r="D2402" i="2"/>
  <c r="F2402" i="2" s="1"/>
  <c r="D2393" i="2"/>
  <c r="F2393" i="2" s="1"/>
  <c r="D2384" i="2"/>
  <c r="F2384" i="2" s="1"/>
  <c r="D2375" i="2"/>
  <c r="F2375" i="2" s="1"/>
  <c r="D2365" i="2"/>
  <c r="F2365" i="2" s="1"/>
  <c r="D2353" i="2"/>
  <c r="F2353" i="2" s="1"/>
  <c r="D2344" i="2"/>
  <c r="F2344" i="2" s="1"/>
  <c r="D2333" i="2"/>
  <c r="F2333" i="2" s="1"/>
  <c r="D2322" i="2"/>
  <c r="F2322" i="2" s="1"/>
  <c r="D2314" i="2"/>
  <c r="F2314" i="2" s="1"/>
  <c r="D2303" i="2"/>
  <c r="F2303" i="2" s="1"/>
  <c r="D2295" i="2"/>
  <c r="F2295" i="2" s="1"/>
  <c r="D2280" i="2"/>
  <c r="F2280" i="2" s="1"/>
  <c r="D2270" i="2"/>
  <c r="F2270" i="2" s="1"/>
  <c r="D2261" i="2"/>
  <c r="F2261" i="2" s="1"/>
  <c r="D2251" i="2"/>
  <c r="F2251" i="2" s="1"/>
  <c r="D2237" i="2"/>
  <c r="F2237" i="2" s="1"/>
  <c r="D2228" i="2"/>
  <c r="F2228" i="2" s="1"/>
  <c r="D2220" i="2"/>
  <c r="F2220" i="2" s="1"/>
  <c r="D2209" i="2"/>
  <c r="F2209" i="2" s="1"/>
  <c r="D2201" i="2"/>
  <c r="F2201" i="2" s="1"/>
  <c r="D2191" i="2"/>
  <c r="F2191" i="2" s="1"/>
  <c r="D2183" i="2"/>
  <c r="F2183" i="2" s="1"/>
  <c r="D2167" i="2"/>
  <c r="F2167" i="2" s="1"/>
  <c r="D2133" i="2"/>
  <c r="D2113" i="2"/>
  <c r="E2113" i="2" s="1"/>
  <c r="F2113" i="2" s="1"/>
  <c r="D2090" i="2"/>
  <c r="F2090" i="2" s="1"/>
  <c r="D2077" i="2"/>
  <c r="F2077" i="2" s="1"/>
  <c r="D2067" i="2"/>
  <c r="F2067" i="2" s="1"/>
  <c r="D2053" i="2"/>
  <c r="F2053" i="2" s="1"/>
  <c r="D2038" i="2"/>
  <c r="F2038" i="2" s="1"/>
  <c r="D2019" i="2"/>
  <c r="F2019" i="2" s="1"/>
  <c r="D2004" i="2"/>
  <c r="F2004" i="2" s="1"/>
  <c r="D1987" i="2"/>
  <c r="F1987" i="2" s="1"/>
  <c r="D2840" i="2"/>
  <c r="F2840" i="2" s="1"/>
  <c r="D2575" i="2"/>
  <c r="F2575" i="2" s="1"/>
  <c r="D2156" i="2"/>
  <c r="F2156" i="2" s="1"/>
  <c r="D2027" i="2"/>
  <c r="E2027" i="2" s="1"/>
  <c r="F2027" i="2" s="1"/>
  <c r="D1945" i="2"/>
  <c r="F1945" i="2" s="1"/>
  <c r="D1836" i="2"/>
  <c r="F1836" i="2" s="1"/>
  <c r="D1828" i="2"/>
  <c r="F1828" i="2" s="1"/>
  <c r="D1802" i="2"/>
  <c r="F1802" i="2" s="1"/>
  <c r="D1755" i="2"/>
  <c r="F1755" i="2" s="1"/>
  <c r="D1739" i="2"/>
  <c r="F1739" i="2" s="1"/>
  <c r="D1725" i="2"/>
  <c r="F1725" i="2" s="1"/>
  <c r="D1712" i="2"/>
  <c r="F1712" i="2" s="1"/>
  <c r="D1699" i="2"/>
  <c r="F1699" i="2" s="1"/>
  <c r="D1673" i="2"/>
  <c r="F1673" i="2" s="1"/>
  <c r="D1663" i="2"/>
  <c r="F1663" i="2" s="1"/>
  <c r="D1646" i="2"/>
  <c r="F1646" i="2" s="1"/>
  <c r="D1634" i="2"/>
  <c r="F1634" i="2" s="1"/>
  <c r="D1625" i="2"/>
  <c r="F1625" i="2" s="1"/>
  <c r="D1613" i="2"/>
  <c r="F1613" i="2" s="1"/>
  <c r="D1603" i="2"/>
  <c r="F1603" i="2" s="1"/>
  <c r="D1593" i="2"/>
  <c r="F1593" i="2" s="1"/>
  <c r="D1560" i="2"/>
  <c r="E1560" i="2" s="1"/>
  <c r="F1560" i="2" s="1"/>
  <c r="D1539" i="2"/>
  <c r="E1539" i="2" s="1"/>
  <c r="F1539" i="2" s="1"/>
  <c r="D1511" i="2"/>
  <c r="E1511" i="2" s="1"/>
  <c r="F1511" i="2" s="1"/>
  <c r="D1489" i="2"/>
  <c r="E1489" i="2" s="1"/>
  <c r="F1489" i="2" s="1"/>
  <c r="D1464" i="2"/>
  <c r="E1464" i="2" s="1"/>
  <c r="F1464" i="2" s="1"/>
  <c r="D1442" i="2"/>
  <c r="F1442" i="2" s="1"/>
  <c r="D1422" i="2"/>
  <c r="E1422" i="2" s="1"/>
  <c r="F1422" i="2" s="1"/>
  <c r="D1398" i="2"/>
  <c r="E1398" i="2" s="1"/>
  <c r="F1398" i="2" s="1"/>
  <c r="D1368" i="2"/>
  <c r="E1368" i="2" s="1"/>
  <c r="F1368" i="2" s="1"/>
  <c r="D1344" i="2"/>
  <c r="E1344" i="2" s="1"/>
  <c r="F1344" i="2" s="1"/>
  <c r="D2867" i="2"/>
  <c r="F2867" i="2" s="1"/>
  <c r="D2603" i="2"/>
  <c r="F2603" i="2" s="1"/>
  <c r="D2170" i="2"/>
  <c r="F2170" i="2" s="1"/>
  <c r="D2058" i="2"/>
  <c r="E2058" i="2" s="1"/>
  <c r="F2058" i="2" s="1"/>
  <c r="D1964" i="2"/>
  <c r="F1964" i="2" s="1"/>
  <c r="D1952" i="2"/>
  <c r="F1952" i="2" s="1"/>
  <c r="D1938" i="2"/>
  <c r="F1938" i="2" s="1"/>
  <c r="D1918" i="2"/>
  <c r="F1918" i="2" s="1"/>
  <c r="D1903" i="2"/>
  <c r="F1903" i="2" s="1"/>
  <c r="D1895" i="2"/>
  <c r="F1895" i="2" s="1"/>
  <c r="D1881" i="2"/>
  <c r="F1881" i="2" s="1"/>
  <c r="D2546" i="2"/>
  <c r="F2546" i="2" s="1"/>
  <c r="D2529" i="2"/>
  <c r="F2529" i="2" s="1"/>
  <c r="D2518" i="2"/>
  <c r="F2518" i="2" s="1"/>
  <c r="D2501" i="2"/>
  <c r="F2501" i="2" s="1"/>
  <c r="D2489" i="2"/>
  <c r="F2489" i="2" s="1"/>
  <c r="D2480" i="2"/>
  <c r="F2480" i="2" s="1"/>
  <c r="D2472" i="2"/>
  <c r="F2472" i="2" s="1"/>
  <c r="D2464" i="2"/>
  <c r="F2464" i="2" s="1"/>
  <c r="D2411" i="2"/>
  <c r="F2411" i="2" s="1"/>
  <c r="D2400" i="2"/>
  <c r="F2400" i="2" s="1"/>
  <c r="D2390" i="2"/>
  <c r="F2390" i="2" s="1"/>
  <c r="D2382" i="2"/>
  <c r="F2382" i="2" s="1"/>
  <c r="D2371" i="2"/>
  <c r="F2371" i="2" s="1"/>
  <c r="D2361" i="2"/>
  <c r="F2361" i="2" s="1"/>
  <c r="D2351" i="2"/>
  <c r="F2351" i="2" s="1"/>
  <c r="D2341" i="2"/>
  <c r="F2341" i="2" s="1"/>
  <c r="D2331" i="2"/>
  <c r="F2331" i="2" s="1"/>
  <c r="D2320" i="2"/>
  <c r="F2320" i="2" s="1"/>
  <c r="D2310" i="2"/>
  <c r="F2310" i="2" s="1"/>
  <c r="D2301" i="2"/>
  <c r="F2301" i="2" s="1"/>
  <c r="D2293" i="2"/>
  <c r="F2293" i="2" s="1"/>
  <c r="D2278" i="2"/>
  <c r="F2278" i="2" s="1"/>
  <c r="D2268" i="2"/>
  <c r="F2268" i="2" s="1"/>
  <c r="D2258" i="2"/>
  <c r="F2258" i="2" s="1"/>
  <c r="D2249" i="2"/>
  <c r="F2249" i="2" s="1"/>
  <c r="D2235" i="2"/>
  <c r="F2235" i="2" s="1"/>
  <c r="D2226" i="2"/>
  <c r="F2226" i="2" s="1"/>
  <c r="D2218" i="2"/>
  <c r="F2218" i="2" s="1"/>
  <c r="D2207" i="2"/>
  <c r="F2207" i="2" s="1"/>
  <c r="D2199" i="2"/>
  <c r="F2199" i="2" s="1"/>
  <c r="D2189" i="2"/>
  <c r="F2189" i="2" s="1"/>
  <c r="D2181" i="2"/>
  <c r="F2181" i="2" s="1"/>
  <c r="D2165" i="2"/>
  <c r="F2165" i="2" s="1"/>
  <c r="D2127" i="2"/>
  <c r="D2109" i="2"/>
  <c r="E2109" i="2" s="1"/>
  <c r="F2109" i="2" s="1"/>
  <c r="D2086" i="2"/>
  <c r="D2075" i="2"/>
  <c r="F2075" i="2" s="1"/>
  <c r="D2062" i="2"/>
  <c r="F2062" i="2" s="1"/>
  <c r="D2047" i="2"/>
  <c r="F2047" i="2" s="1"/>
  <c r="D2032" i="2"/>
  <c r="F2032" i="2" s="1"/>
  <c r="D2016" i="2"/>
  <c r="E2016" i="2" s="1"/>
  <c r="F2016" i="2" s="1"/>
  <c r="D2001" i="2"/>
  <c r="D1980" i="2"/>
  <c r="F1980" i="2" s="1"/>
  <c r="D2651" i="2"/>
  <c r="F2651" i="2" s="1"/>
  <c r="D2547" i="2"/>
  <c r="F2547" i="2" s="1"/>
  <c r="D2125" i="2"/>
  <c r="D2000" i="2"/>
  <c r="E2000" i="2" s="1"/>
  <c r="F2000" i="2" s="1"/>
  <c r="D1934" i="2"/>
  <c r="F1934" i="2" s="1"/>
  <c r="D1834" i="2"/>
  <c r="F1834" i="2" s="1"/>
  <c r="D1826" i="2"/>
  <c r="F1826" i="2" s="1"/>
  <c r="D1800" i="2"/>
  <c r="F1800" i="2" s="1"/>
  <c r="D1753" i="2"/>
  <c r="F1753" i="2" s="1"/>
  <c r="D1734" i="2"/>
  <c r="F1734" i="2" s="1"/>
  <c r="D1722" i="2"/>
  <c r="F1722" i="2" s="1"/>
  <c r="D1705" i="2"/>
  <c r="F1705" i="2" s="1"/>
  <c r="D1696" i="2"/>
  <c r="F1696" i="2" s="1"/>
  <c r="D1671" i="2"/>
  <c r="F1671" i="2" s="1"/>
  <c r="D1655" i="2"/>
  <c r="F1655" i="2" s="1"/>
  <c r="D1644" i="2"/>
  <c r="F1644" i="2" s="1"/>
  <c r="D1632" i="2"/>
  <c r="F1632" i="2" s="1"/>
  <c r="D1623" i="2"/>
  <c r="F1623" i="2" s="1"/>
  <c r="D1611" i="2"/>
  <c r="F1611" i="2" s="1"/>
  <c r="D1601" i="2"/>
  <c r="F1601" i="2" s="1"/>
  <c r="D1589" i="2"/>
  <c r="D1555" i="2"/>
  <c r="E1555" i="2" s="1"/>
  <c r="F1555" i="2" s="1"/>
  <c r="D1533" i="2"/>
  <c r="D1509" i="2"/>
  <c r="E1509" i="2" s="1"/>
  <c r="F1509" i="2" s="1"/>
  <c r="D1483" i="2"/>
  <c r="D1459" i="2"/>
  <c r="E1459" i="2" s="1"/>
  <c r="F1459" i="2" s="1"/>
  <c r="D1438" i="2"/>
  <c r="D1414" i="2"/>
  <c r="E1414" i="2" s="1"/>
  <c r="F1414" i="2" s="1"/>
  <c r="D1389" i="2"/>
  <c r="D1356" i="2"/>
  <c r="E1356" i="2" s="1"/>
  <c r="F1356" i="2" s="1"/>
  <c r="D2848" i="2"/>
  <c r="F2848" i="2" s="1"/>
  <c r="D2587" i="2"/>
  <c r="F2587" i="2" s="1"/>
  <c r="D2132" i="2"/>
  <c r="D2031" i="2"/>
  <c r="E2031" i="2" s="1"/>
  <c r="F2031" i="2" s="1"/>
  <c r="D1961" i="2"/>
  <c r="F1961" i="2" s="1"/>
  <c r="D1949" i="2"/>
  <c r="F1949" i="2" s="1"/>
  <c r="D1931" i="2"/>
  <c r="F1931" i="2" s="1"/>
  <c r="D1916" i="2"/>
  <c r="F1916" i="2" s="1"/>
  <c r="D1901" i="2"/>
  <c r="F1901" i="2" s="1"/>
  <c r="D1889" i="2"/>
  <c r="F1889" i="2" s="1"/>
  <c r="D1877" i="2"/>
  <c r="F1877" i="2" s="1"/>
  <c r="D1862" i="2"/>
  <c r="F1862" i="2" s="1"/>
  <c r="D1847" i="2"/>
  <c r="F1847" i="2" s="1"/>
  <c r="D1838" i="2"/>
  <c r="F1838" i="2" s="1"/>
  <c r="D1814" i="2"/>
  <c r="F1814" i="2" s="1"/>
  <c r="D1787" i="2"/>
  <c r="F1787" i="2" s="1"/>
  <c r="D1777" i="2"/>
  <c r="F1777" i="2" s="1"/>
  <c r="D1768" i="2"/>
  <c r="F1768" i="2" s="1"/>
  <c r="D1746" i="2"/>
  <c r="F1746" i="2" s="1"/>
  <c r="D1681" i="2"/>
  <c r="F1681" i="2" s="1"/>
  <c r="D1590" i="2"/>
  <c r="F1590" i="2" s="1"/>
  <c r="D1574" i="2"/>
  <c r="F1574" i="2" s="1"/>
  <c r="D1564" i="2"/>
  <c r="F1564" i="2" s="1"/>
  <c r="D1548" i="2"/>
  <c r="D1528" i="2"/>
  <c r="E1528" i="2" s="1"/>
  <c r="F1528" i="2" s="1"/>
  <c r="D1506" i="2"/>
  <c r="D1486" i="2"/>
  <c r="E1486" i="2" s="1"/>
  <c r="F1486" i="2" s="1"/>
  <c r="D1466" i="2"/>
  <c r="D1431" i="2"/>
  <c r="F1431" i="2" s="1"/>
  <c r="D1407" i="2"/>
  <c r="E1407" i="2" s="1"/>
  <c r="F1407" i="2" s="1"/>
  <c r="D1382" i="2"/>
  <c r="D1360" i="2"/>
  <c r="F1360" i="2" s="1"/>
  <c r="D2615" i="2"/>
  <c r="F2615" i="2" s="1"/>
  <c r="D2161" i="2"/>
  <c r="F2161" i="2" s="1"/>
  <c r="D1969" i="2"/>
  <c r="F1969" i="2" s="1"/>
  <c r="D1922" i="2"/>
  <c r="F1922" i="2" s="1"/>
  <c r="D1833" i="2"/>
  <c r="F1833" i="2" s="1"/>
  <c r="D1810" i="2"/>
  <c r="F1810" i="2" s="1"/>
  <c r="D1799" i="2"/>
  <c r="F1799" i="2" s="1"/>
  <c r="D1752" i="2"/>
  <c r="F1752" i="2" s="1"/>
  <c r="D1732" i="2"/>
  <c r="F1732" i="2" s="1"/>
  <c r="D1720" i="2"/>
  <c r="F1720" i="2" s="1"/>
  <c r="D1706" i="2"/>
  <c r="F1706" i="2" s="1"/>
  <c r="D1695" i="2"/>
  <c r="F1695" i="2" s="1"/>
  <c r="D1670" i="2"/>
  <c r="F1670" i="2" s="1"/>
  <c r="D1654" i="2"/>
  <c r="F1654" i="2" s="1"/>
  <c r="D1643" i="2"/>
  <c r="F1643" i="2" s="1"/>
  <c r="D1633" i="2"/>
  <c r="F1633" i="2" s="1"/>
  <c r="D1624" i="2"/>
  <c r="F1624" i="2" s="1"/>
  <c r="D1612" i="2"/>
  <c r="F1612" i="2" s="1"/>
  <c r="D1602" i="2"/>
  <c r="F1602" i="2" s="1"/>
  <c r="D1587" i="2"/>
  <c r="D1543" i="2"/>
  <c r="E1543" i="2" s="1"/>
  <c r="F1543" i="2" s="1"/>
  <c r="D1525" i="2"/>
  <c r="D1507" i="2"/>
  <c r="E1507" i="2" s="1"/>
  <c r="F1507" i="2" s="1"/>
  <c r="D1479" i="2"/>
  <c r="D1455" i="2"/>
  <c r="E1455" i="2" s="1"/>
  <c r="F1455" i="2" s="1"/>
  <c r="D1428" i="2"/>
  <c r="D1408" i="2"/>
  <c r="E1408" i="2" s="1"/>
  <c r="F1408" i="2" s="1"/>
  <c r="D1384" i="2"/>
  <c r="D1358" i="2"/>
  <c r="E1358" i="2" s="1"/>
  <c r="F1358" i="2" s="1"/>
  <c r="D1339" i="2"/>
  <c r="D2879" i="2"/>
  <c r="F2879" i="2" s="1"/>
  <c r="D2610" i="2"/>
  <c r="F2610" i="2" s="1"/>
  <c r="D2159" i="2"/>
  <c r="F2159" i="2" s="1"/>
  <c r="D1967" i="2"/>
  <c r="F1967" i="2" s="1"/>
  <c r="D1950" i="2"/>
  <c r="F1950" i="2" s="1"/>
  <c r="D1937" i="2"/>
  <c r="F1937" i="2" s="1"/>
  <c r="D1919" i="2"/>
  <c r="F1919" i="2" s="1"/>
  <c r="D1905" i="2"/>
  <c r="F1905" i="2" s="1"/>
  <c r="D1896" i="2"/>
  <c r="F1896" i="2" s="1"/>
  <c r="D1883" i="2"/>
  <c r="F1883" i="2" s="1"/>
  <c r="D1866" i="2"/>
  <c r="F1866" i="2" s="1"/>
  <c r="D1849" i="2"/>
  <c r="E1849" i="2" s="1"/>
  <c r="F1849" i="2" s="1"/>
  <c r="D1840" i="2"/>
  <c r="F1840" i="2" s="1"/>
  <c r="D1817" i="2"/>
  <c r="F1817" i="2" s="1"/>
  <c r="D1790" i="2"/>
  <c r="F1790" i="2" s="1"/>
  <c r="D1778" i="2"/>
  <c r="F1778" i="2" s="1"/>
  <c r="D1769" i="2"/>
  <c r="F1769" i="2" s="1"/>
  <c r="D1749" i="2"/>
  <c r="F1749" i="2" s="1"/>
  <c r="D1692" i="2"/>
  <c r="F1692" i="2" s="1"/>
  <c r="D1676" i="2"/>
  <c r="F1676" i="2" s="1"/>
  <c r="D1588" i="2"/>
  <c r="E1588" i="2" s="1"/>
  <c r="F1588" i="2" s="1"/>
  <c r="D1573" i="2"/>
  <c r="F1573" i="2" s="1"/>
  <c r="D1563" i="2"/>
  <c r="F1563" i="2" s="1"/>
  <c r="D1538" i="2"/>
  <c r="E1538" i="2" s="1"/>
  <c r="F1538" i="2" s="1"/>
  <c r="D1520" i="2"/>
  <c r="E1520" i="2" s="1"/>
  <c r="F1520" i="2" s="1"/>
  <c r="D1502" i="2"/>
  <c r="E1502" i="2" s="1"/>
  <c r="F1502" i="2" s="1"/>
  <c r="D1480" i="2"/>
  <c r="E1480" i="2" s="1"/>
  <c r="F1480" i="2" s="1"/>
  <c r="D1457" i="2"/>
  <c r="E1457" i="2" s="1"/>
  <c r="F1457" i="2" s="1"/>
  <c r="D1429" i="2"/>
  <c r="E1429" i="2" s="1"/>
  <c r="F1429" i="2" s="1"/>
  <c r="D1403" i="2"/>
  <c r="E1403" i="2" s="1"/>
  <c r="F1403" i="2" s="1"/>
  <c r="D1379" i="2"/>
  <c r="E1379" i="2" s="1"/>
  <c r="F1379" i="2" s="1"/>
  <c r="D1359" i="2"/>
  <c r="F1359" i="2" s="1"/>
  <c r="D1333" i="2"/>
  <c r="E1333" i="2" s="1"/>
  <c r="F1333" i="2" s="1"/>
  <c r="D1860" i="2"/>
  <c r="F1860" i="2" s="1"/>
  <c r="D1845" i="2"/>
  <c r="F1845" i="2" s="1"/>
  <c r="D1823" i="2"/>
  <c r="F1823" i="2" s="1"/>
  <c r="D1793" i="2"/>
  <c r="F1793" i="2" s="1"/>
  <c r="D1783" i="2"/>
  <c r="F1783" i="2" s="1"/>
  <c r="D1774" i="2"/>
  <c r="F1774" i="2" s="1"/>
  <c r="D1764" i="2"/>
  <c r="F1764" i="2" s="1"/>
  <c r="D1709" i="2"/>
  <c r="F1709" i="2" s="1"/>
  <c r="D1677" i="2"/>
  <c r="F1677" i="2" s="1"/>
  <c r="D1583" i="2"/>
  <c r="D1572" i="2"/>
  <c r="F1572" i="2" s="1"/>
  <c r="D1562" i="2"/>
  <c r="F1562" i="2" s="1"/>
  <c r="D1542" i="2"/>
  <c r="D1522" i="2"/>
  <c r="D1500" i="2"/>
  <c r="D1484" i="2"/>
  <c r="D1460" i="2"/>
  <c r="D1427" i="2"/>
  <c r="D1399" i="2"/>
  <c r="D1377" i="2"/>
  <c r="D1357" i="2"/>
  <c r="D2883" i="2"/>
  <c r="F2883" i="2" s="1"/>
  <c r="D2599" i="2"/>
  <c r="F2599" i="2" s="1"/>
  <c r="D2139" i="2"/>
  <c r="E2139" i="2" s="1"/>
  <c r="F2139" i="2" s="1"/>
  <c r="D1963" i="2"/>
  <c r="F1963" i="2" s="1"/>
  <c r="D1891" i="2"/>
  <c r="F1891" i="2" s="1"/>
  <c r="D1831" i="2"/>
  <c r="F1831" i="2" s="1"/>
  <c r="D1806" i="2"/>
  <c r="F1806" i="2" s="1"/>
  <c r="D1797" i="2"/>
  <c r="F1797" i="2" s="1"/>
  <c r="D1743" i="2"/>
  <c r="F1743" i="2" s="1"/>
  <c r="D1729" i="2"/>
  <c r="F1729" i="2" s="1"/>
  <c r="D1717" i="2"/>
  <c r="F1717" i="2" s="1"/>
  <c r="D1704" i="2"/>
  <c r="F1704" i="2" s="1"/>
  <c r="D1688" i="2"/>
  <c r="F1688" i="2" s="1"/>
  <c r="D1666" i="2"/>
  <c r="F1666" i="2" s="1"/>
  <c r="D1652" i="2"/>
  <c r="F1652" i="2" s="1"/>
  <c r="D1641" i="2"/>
  <c r="F1641" i="2" s="1"/>
  <c r="D1631" i="2"/>
  <c r="F1631" i="2" s="1"/>
  <c r="D1619" i="2"/>
  <c r="F1619" i="2" s="1"/>
  <c r="D1609" i="2"/>
  <c r="F1609" i="2" s="1"/>
  <c r="D1599" i="2"/>
  <c r="F1599" i="2" s="1"/>
  <c r="D1584" i="2"/>
  <c r="F1584" i="2" s="1"/>
  <c r="D1537" i="2"/>
  <c r="E1537" i="2" s="1"/>
  <c r="F1537" i="2" s="1"/>
  <c r="D1523" i="2"/>
  <c r="E1523" i="2" s="1"/>
  <c r="F1523" i="2" s="1"/>
  <c r="D1501" i="2"/>
  <c r="E1501" i="2" s="1"/>
  <c r="F1501" i="2" s="1"/>
  <c r="D1473" i="2"/>
  <c r="E1473" i="2" s="1"/>
  <c r="F1473" i="2" s="1"/>
  <c r="D1447" i="2"/>
  <c r="F1447" i="2" s="1"/>
  <c r="D1418" i="2"/>
  <c r="E1418" i="2" s="1"/>
  <c r="F1418" i="2" s="1"/>
  <c r="D1402" i="2"/>
  <c r="E1402" i="2" s="1"/>
  <c r="F1402" i="2" s="1"/>
  <c r="D1378" i="2"/>
  <c r="E1378" i="2" s="1"/>
  <c r="F1378" i="2" s="1"/>
  <c r="D1351" i="2"/>
  <c r="E1351" i="2" s="1"/>
  <c r="F1351" i="2" s="1"/>
  <c r="D2853" i="2"/>
  <c r="F2853" i="2" s="1"/>
  <c r="D2579" i="2"/>
  <c r="F2579" i="2" s="1"/>
  <c r="D2144" i="2"/>
  <c r="E2144" i="2" s="1"/>
  <c r="F2144" i="2" s="1"/>
  <c r="D1962" i="2"/>
  <c r="F1962" i="2" s="1"/>
  <c r="D1943" i="2"/>
  <c r="F1943" i="2" s="1"/>
  <c r="D1932" i="2"/>
  <c r="F1932" i="2" s="1"/>
  <c r="D1917" i="2"/>
  <c r="F1917" i="2" s="1"/>
  <c r="D1902" i="2"/>
  <c r="F1902" i="2" s="1"/>
  <c r="D1894" i="2"/>
  <c r="F1894" i="2" s="1"/>
  <c r="D1878" i="2"/>
  <c r="F1878" i="2" s="1"/>
  <c r="D1861" i="2"/>
  <c r="F1861" i="2" s="1"/>
  <c r="D1846" i="2"/>
  <c r="F1846" i="2" s="1"/>
  <c r="D1824" i="2"/>
  <c r="F1824" i="2" s="1"/>
  <c r="D1812" i="2"/>
  <c r="F1812" i="2" s="1"/>
  <c r="D1788" i="2"/>
  <c r="F1788" i="2" s="1"/>
  <c r="D1775" i="2"/>
  <c r="F1775" i="2" s="1"/>
  <c r="D1766" i="2"/>
  <c r="F1766" i="2" s="1"/>
  <c r="D1747" i="2"/>
  <c r="F1747" i="2" s="1"/>
  <c r="D1690" i="2"/>
  <c r="F1690" i="2" s="1"/>
  <c r="D1661" i="2"/>
  <c r="F1661" i="2" s="1"/>
  <c r="D1581" i="2"/>
  <c r="E1581" i="2" s="1"/>
  <c r="F1581" i="2" s="1"/>
  <c r="D1570" i="2"/>
  <c r="F1570" i="2" s="1"/>
  <c r="D1558" i="2"/>
  <c r="E1558" i="2" s="1"/>
  <c r="F1558" i="2" s="1"/>
  <c r="D1532" i="2"/>
  <c r="E1532" i="2" s="1"/>
  <c r="F1532" i="2" s="1"/>
  <c r="D1516" i="2"/>
  <c r="E1516" i="2" s="1"/>
  <c r="F1516" i="2" s="1"/>
  <c r="D1498" i="2"/>
  <c r="E1498" i="2" s="1"/>
  <c r="F1498" i="2" s="1"/>
  <c r="D1474" i="2"/>
  <c r="E1474" i="2" s="1"/>
  <c r="F1474" i="2" s="1"/>
  <c r="D1441" i="2"/>
  <c r="E1441" i="2" s="1"/>
  <c r="F1441" i="2" s="1"/>
  <c r="D1421" i="2"/>
  <c r="E1421" i="2" s="1"/>
  <c r="F1421" i="2" s="1"/>
  <c r="D1394" i="2"/>
  <c r="F1394" i="2" s="1"/>
  <c r="D1373" i="2"/>
  <c r="E1373" i="2" s="1"/>
  <c r="F1373" i="2" s="1"/>
  <c r="D1355" i="2"/>
  <c r="E1355" i="2" s="1"/>
  <c r="F1355" i="2" s="1"/>
  <c r="D1867" i="2"/>
  <c r="F1867" i="2" s="1"/>
  <c r="D1858" i="2"/>
  <c r="F1858" i="2" s="1"/>
  <c r="D1843" i="2"/>
  <c r="F1843" i="2" s="1"/>
  <c r="D1820" i="2"/>
  <c r="F1820" i="2" s="1"/>
  <c r="D1791" i="2"/>
  <c r="F1791" i="2" s="1"/>
  <c r="D1781" i="2"/>
  <c r="F1781" i="2" s="1"/>
  <c r="D1772" i="2"/>
  <c r="F1772" i="2" s="1"/>
  <c r="D1759" i="2"/>
  <c r="F1759" i="2" s="1"/>
  <c r="D1693" i="2"/>
  <c r="F1693" i="2" s="1"/>
  <c r="D1675" i="2"/>
  <c r="F1675" i="2" s="1"/>
  <c r="D1579" i="2"/>
  <c r="F1579" i="2" s="1"/>
  <c r="D1569" i="2"/>
  <c r="F1569" i="2" s="1"/>
  <c r="D1556" i="2"/>
  <c r="D1540" i="2"/>
  <c r="D1514" i="2"/>
  <c r="D1493" i="2"/>
  <c r="D1478" i="2"/>
  <c r="D1439" i="2"/>
  <c r="D1417" i="2"/>
  <c r="D1393" i="2"/>
  <c r="F1393" i="2" s="1"/>
  <c r="D1370" i="2"/>
  <c r="D1345" i="2"/>
  <c r="D2856" i="2"/>
  <c r="F2856" i="2" s="1"/>
  <c r="D2569" i="2"/>
  <c r="F2569" i="2" s="1"/>
  <c r="D2117" i="2"/>
  <c r="E2117" i="2" s="1"/>
  <c r="F2117" i="2" s="1"/>
  <c r="D1946" i="2"/>
  <c r="F1946" i="2" s="1"/>
  <c r="D1872" i="2"/>
  <c r="F1872" i="2" s="1"/>
  <c r="D1829" i="2"/>
  <c r="F1829" i="2" s="1"/>
  <c r="D1803" i="2"/>
  <c r="F1803" i="2" s="1"/>
  <c r="D1756" i="2"/>
  <c r="F1756" i="2" s="1"/>
  <c r="D1740" i="2"/>
  <c r="F1740" i="2" s="1"/>
  <c r="D1726" i="2"/>
  <c r="F1726" i="2" s="1"/>
  <c r="D1714" i="2"/>
  <c r="F1714" i="2" s="1"/>
  <c r="D1702" i="2"/>
  <c r="F1702" i="2" s="1"/>
  <c r="D1686" i="2"/>
  <c r="F1686" i="2" s="1"/>
  <c r="D1664" i="2"/>
  <c r="F1664" i="2" s="1"/>
  <c r="D1647" i="2"/>
  <c r="F1647" i="2" s="1"/>
  <c r="D1639" i="2"/>
  <c r="F1639" i="2" s="1"/>
  <c r="D1628" i="2"/>
  <c r="F1628" i="2" s="1"/>
  <c r="D1617" i="2"/>
  <c r="F1617" i="2" s="1"/>
  <c r="D1607" i="2"/>
  <c r="F1607" i="2" s="1"/>
  <c r="D1596" i="2"/>
  <c r="F1596" i="2" s="1"/>
  <c r="D1557" i="2"/>
  <c r="E1557" i="2" s="1"/>
  <c r="F1557" i="2" s="1"/>
  <c r="D1535" i="2"/>
  <c r="E1535" i="2" s="1"/>
  <c r="F1535" i="2" s="1"/>
  <c r="D1519" i="2"/>
  <c r="E1519" i="2" s="1"/>
  <c r="F1519" i="2" s="1"/>
  <c r="D1497" i="2"/>
  <c r="E1497" i="2" s="1"/>
  <c r="F1497" i="2" s="1"/>
  <c r="D1468" i="2"/>
  <c r="E1468" i="2" s="1"/>
  <c r="F1468" i="2" s="1"/>
  <c r="D1443" i="2"/>
  <c r="F1443" i="2" s="1"/>
  <c r="D1412" i="2"/>
  <c r="E1412" i="2" s="1"/>
  <c r="F1412" i="2" s="1"/>
  <c r="D1400" i="2"/>
  <c r="E1400" i="2" s="1"/>
  <c r="F1400" i="2" s="1"/>
  <c r="D1371" i="2"/>
  <c r="E1371" i="2" s="1"/>
  <c r="F1371" i="2" s="1"/>
  <c r="D1349" i="2"/>
  <c r="F1349" i="2" s="1"/>
  <c r="D2826" i="2"/>
  <c r="F2826" i="2" s="1"/>
  <c r="D2566" i="2"/>
  <c r="F2566" i="2" s="1"/>
  <c r="D2121" i="2"/>
  <c r="D1960" i="2"/>
  <c r="F1960" i="2" s="1"/>
  <c r="D1941" i="2"/>
  <c r="F1941" i="2" s="1"/>
  <c r="D1930" i="2"/>
  <c r="F1930" i="2" s="1"/>
  <c r="D1912" i="2"/>
  <c r="F1912" i="2" s="1"/>
  <c r="D1900" i="2"/>
  <c r="F1900" i="2" s="1"/>
  <c r="D1888" i="2"/>
  <c r="F1888" i="2" s="1"/>
  <c r="D1876" i="2"/>
  <c r="F1876" i="2" s="1"/>
  <c r="D1859" i="2"/>
  <c r="F1859" i="2" s="1"/>
  <c r="D1844" i="2"/>
  <c r="F1844" i="2" s="1"/>
  <c r="D1821" i="2"/>
  <c r="F1821" i="2" s="1"/>
  <c r="D1794" i="2"/>
  <c r="F1794" i="2" s="1"/>
  <c r="D1782" i="2"/>
  <c r="F1782" i="2" s="1"/>
  <c r="D1773" i="2"/>
  <c r="F1773" i="2" s="1"/>
  <c r="D1760" i="2"/>
  <c r="F1760" i="2" s="1"/>
  <c r="D1745" i="2"/>
  <c r="F1745" i="2" s="1"/>
  <c r="D1682" i="2"/>
  <c r="F1682" i="2" s="1"/>
  <c r="D1659" i="2"/>
  <c r="F1659" i="2" s="1"/>
  <c r="D1577" i="2"/>
  <c r="F1577" i="2" s="1"/>
  <c r="D1568" i="2"/>
  <c r="F1568" i="2" s="1"/>
  <c r="D1554" i="2"/>
  <c r="E1554" i="2" s="1"/>
  <c r="F1554" i="2" s="1"/>
  <c r="D1530" i="2"/>
  <c r="D1508" i="2"/>
  <c r="E1508" i="2" s="1"/>
  <c r="F1508" i="2" s="1"/>
  <c r="D1488" i="2"/>
  <c r="D1469" i="2"/>
  <c r="E1469" i="2" s="1"/>
  <c r="F1469" i="2" s="1"/>
  <c r="D1437" i="2"/>
  <c r="D1419" i="2"/>
  <c r="E1419" i="2" s="1"/>
  <c r="F1419" i="2" s="1"/>
  <c r="D1392" i="2"/>
  <c r="F1392" i="2" s="1"/>
  <c r="D1367" i="2"/>
  <c r="D1347" i="2"/>
  <c r="E1347" i="2" s="1"/>
  <c r="F1347" i="2" s="1"/>
  <c r="D1865" i="2"/>
  <c r="F1865" i="2" s="1"/>
  <c r="D1855" i="2"/>
  <c r="F1855" i="2" s="1"/>
  <c r="D1841" i="2"/>
  <c r="F1841" i="2" s="1"/>
  <c r="D1818" i="2"/>
  <c r="F1818" i="2" s="1"/>
  <c r="D1789" i="2"/>
  <c r="F1789" i="2" s="1"/>
  <c r="D1779" i="2"/>
  <c r="F1779" i="2" s="1"/>
  <c r="D1770" i="2"/>
  <c r="F1770" i="2" s="1"/>
  <c r="D1748" i="2"/>
  <c r="F1748" i="2" s="1"/>
  <c r="D1691" i="2"/>
  <c r="F1691" i="2" s="1"/>
  <c r="D1660" i="2"/>
  <c r="F1660" i="2" s="1"/>
  <c r="D1576" i="2"/>
  <c r="F1576" i="2" s="1"/>
  <c r="D1567" i="2"/>
  <c r="F1567" i="2" s="1"/>
  <c r="D1550" i="2"/>
  <c r="E1550" i="2" s="1"/>
  <c r="F1550" i="2" s="1"/>
  <c r="D1534" i="2"/>
  <c r="D1512" i="2"/>
  <c r="E1512" i="2" s="1"/>
  <c r="F1512" i="2" s="1"/>
  <c r="D1491" i="2"/>
  <c r="D1471" i="2"/>
  <c r="E1471" i="2" s="1"/>
  <c r="F1471" i="2" s="1"/>
  <c r="D1433" i="2"/>
  <c r="F1433" i="2" s="1"/>
  <c r="D1415" i="2"/>
  <c r="D1390" i="2"/>
  <c r="E1390" i="2" s="1"/>
  <c r="F1390" i="2" s="1"/>
  <c r="D1362" i="2"/>
  <c r="D1338" i="2"/>
  <c r="D2815" i="2"/>
  <c r="F2815" i="2" s="1"/>
  <c r="D2554" i="2"/>
  <c r="F2554" i="2" s="1"/>
  <c r="D2089" i="2"/>
  <c r="E2089" i="2" s="1"/>
  <c r="F2089" i="2" s="1"/>
  <c r="D1935" i="2"/>
  <c r="F1935" i="2" s="1"/>
  <c r="D1835" i="2"/>
  <c r="F1835" i="2" s="1"/>
  <c r="D1827" i="2"/>
  <c r="F1827" i="2" s="1"/>
  <c r="D1801" i="2"/>
  <c r="F1801" i="2" s="1"/>
  <c r="D1754" i="2"/>
  <c r="F1754" i="2" s="1"/>
  <c r="D1738" i="2"/>
  <c r="F1738" i="2" s="1"/>
  <c r="D1723" i="2"/>
  <c r="F1723" i="2" s="1"/>
  <c r="D1711" i="2"/>
  <c r="F1711" i="2" s="1"/>
  <c r="D1700" i="2"/>
  <c r="F1700" i="2" s="1"/>
  <c r="D1672" i="2"/>
  <c r="F1672" i="2" s="1"/>
  <c r="D1656" i="2"/>
  <c r="F1656" i="2" s="1"/>
  <c r="D1645" i="2"/>
  <c r="F1645" i="2" s="1"/>
  <c r="D1635" i="2"/>
  <c r="F1635" i="2" s="1"/>
  <c r="D1626" i="2"/>
  <c r="F1626" i="2" s="1"/>
  <c r="D1614" i="2"/>
  <c r="F1614" i="2" s="1"/>
  <c r="D1604" i="2"/>
  <c r="F1604" i="2" s="1"/>
  <c r="D1594" i="2"/>
  <c r="F1594" i="2" s="1"/>
  <c r="D1551" i="2"/>
  <c r="D1529" i="2"/>
  <c r="E1529" i="2" s="1"/>
  <c r="F1529" i="2" s="1"/>
  <c r="D1515" i="2"/>
  <c r="D1487" i="2"/>
  <c r="E1487" i="2" s="1"/>
  <c r="F1487" i="2" s="1"/>
  <c r="D1462" i="2"/>
  <c r="D1440" i="2"/>
  <c r="E1440" i="2" s="1"/>
  <c r="F1440" i="2" s="1"/>
  <c r="D1410" i="2"/>
  <c r="D1391" i="2"/>
  <c r="E1391" i="2" s="1"/>
  <c r="F1391" i="2" s="1"/>
  <c r="D1366" i="2"/>
  <c r="D1346" i="2"/>
  <c r="E1346" i="2" s="1"/>
  <c r="F1346" i="2" s="1"/>
  <c r="D2929" i="2"/>
  <c r="F2929" i="2" s="1"/>
  <c r="D2634" i="2"/>
  <c r="F2634" i="2" s="1"/>
  <c r="D2174" i="2"/>
  <c r="F2174" i="2" s="1"/>
  <c r="D2102" i="2"/>
  <c r="E2102" i="2" s="1"/>
  <c r="F2102" i="2" s="1"/>
  <c r="D1954" i="2"/>
  <c r="F1954" i="2" s="1"/>
  <c r="D1939" i="2"/>
  <c r="F1939" i="2" s="1"/>
  <c r="D1924" i="2"/>
  <c r="F1924" i="2" s="1"/>
  <c r="D1909" i="2"/>
  <c r="F1909" i="2" s="1"/>
  <c r="D1898" i="2"/>
  <c r="F1898" i="2" s="1"/>
  <c r="D1885" i="2"/>
  <c r="F1885" i="2" s="1"/>
  <c r="D1868" i="2"/>
  <c r="F1868" i="2" s="1"/>
  <c r="D1856" i="2"/>
  <c r="F1856" i="2" s="1"/>
  <c r="D1842" i="2"/>
  <c r="F1842" i="2" s="1"/>
  <c r="D1819" i="2"/>
  <c r="F1819" i="2" s="1"/>
  <c r="D1792" i="2"/>
  <c r="F1792" i="2" s="1"/>
  <c r="D1780" i="2"/>
  <c r="F1780" i="2" s="1"/>
  <c r="D1771" i="2"/>
  <c r="F1771" i="2" s="1"/>
  <c r="D1758" i="2"/>
  <c r="F1758" i="2" s="1"/>
  <c r="D1708" i="2"/>
  <c r="F1708" i="2" s="1"/>
  <c r="D1680" i="2"/>
  <c r="F1680" i="2" s="1"/>
  <c r="D1591" i="2"/>
  <c r="D1575" i="2"/>
  <c r="F1575" i="2" s="1"/>
  <c r="D1565" i="2"/>
  <c r="F1565" i="2" s="1"/>
  <c r="D1544" i="2"/>
  <c r="E1544" i="2" s="1"/>
  <c r="F1544" i="2" s="1"/>
  <c r="D1526" i="2"/>
  <c r="D1504" i="2"/>
  <c r="E1504" i="2" s="1"/>
  <c r="F1504" i="2" s="1"/>
  <c r="D1482" i="2"/>
  <c r="D1463" i="2"/>
  <c r="E1463" i="2" s="1"/>
  <c r="F1463" i="2" s="1"/>
  <c r="D1432" i="2"/>
  <c r="F1432" i="2" s="1"/>
  <c r="D1413" i="2"/>
  <c r="D1388" i="2"/>
  <c r="E1388" i="2" s="1"/>
  <c r="F1388" i="2" s="1"/>
  <c r="D1361" i="2"/>
  <c r="F1361" i="2" s="1"/>
  <c r="D1343" i="2"/>
  <c r="D1310" i="2"/>
  <c r="E1310" i="2" s="1"/>
  <c r="F1310" i="2" s="1"/>
  <c r="D1284" i="2"/>
  <c r="E1284" i="2" s="1"/>
  <c r="F1284" i="2" s="1"/>
  <c r="D1230" i="2"/>
  <c r="F1230" i="2" s="1"/>
  <c r="D1220" i="2"/>
  <c r="F1220" i="2" s="1"/>
  <c r="D1209" i="2"/>
  <c r="F1209" i="2" s="1"/>
  <c r="D1200" i="2"/>
  <c r="F1200" i="2" s="1"/>
  <c r="D1148" i="2"/>
  <c r="E1148" i="2" s="1"/>
  <c r="F1148" i="2" s="1"/>
  <c r="D1127" i="2"/>
  <c r="E1127" i="2" s="1"/>
  <c r="F1127" i="2" s="1"/>
  <c r="D1074" i="2"/>
  <c r="E1074" i="2" s="1"/>
  <c r="F1074" i="2" s="1"/>
  <c r="D1053" i="2"/>
  <c r="E1053" i="2" s="1"/>
  <c r="F1053" i="2" s="1"/>
  <c r="D1034" i="2"/>
  <c r="E1034" i="2" s="1"/>
  <c r="F1034" i="2" s="1"/>
  <c r="D1014" i="2"/>
  <c r="E1014" i="2" s="1"/>
  <c r="F1014" i="2" s="1"/>
  <c r="D993" i="2"/>
  <c r="E993" i="2" s="1"/>
  <c r="F993" i="2" s="1"/>
  <c r="D892" i="2"/>
  <c r="F892" i="2" s="1"/>
  <c r="D884" i="2"/>
  <c r="F884" i="2" s="1"/>
  <c r="D871" i="2"/>
  <c r="F871" i="2" s="1"/>
  <c r="D851" i="2"/>
  <c r="F851" i="2" s="1"/>
  <c r="D843" i="2"/>
  <c r="F843" i="2" s="1"/>
  <c r="D832" i="2"/>
  <c r="F832" i="2" s="1"/>
  <c r="D761" i="2"/>
  <c r="F761" i="2" s="1"/>
  <c r="D743" i="2"/>
  <c r="D727" i="2"/>
  <c r="F727" i="2" s="1"/>
  <c r="D719" i="2"/>
  <c r="F719" i="2" s="1"/>
  <c r="D710" i="2"/>
  <c r="F710" i="2" s="1"/>
  <c r="D701" i="2"/>
  <c r="F701" i="2" s="1"/>
  <c r="D693" i="2"/>
  <c r="F693" i="2" s="1"/>
  <c r="D678" i="2"/>
  <c r="F678" i="2" s="1"/>
  <c r="D663" i="2"/>
  <c r="F663" i="2" s="1"/>
  <c r="D652" i="2"/>
  <c r="F652" i="2" s="1"/>
  <c r="D642" i="2"/>
  <c r="F642" i="2" s="1"/>
  <c r="D634" i="2"/>
  <c r="F634" i="2" s="1"/>
  <c r="D625" i="2"/>
  <c r="F625" i="2" s="1"/>
  <c r="D1329" i="2"/>
  <c r="D1302" i="2"/>
  <c r="E1302" i="2" s="1"/>
  <c r="F1302" i="2" s="1"/>
  <c r="D1281" i="2"/>
  <c r="F1281" i="2" s="1"/>
  <c r="D1267" i="2"/>
  <c r="F1267" i="2" s="1"/>
  <c r="D1255" i="2"/>
  <c r="F1255" i="2" s="1"/>
  <c r="D1238" i="2"/>
  <c r="F1238" i="2" s="1"/>
  <c r="D1182" i="2"/>
  <c r="F1182" i="2" s="1"/>
  <c r="D1169" i="2"/>
  <c r="F1169" i="2" s="1"/>
  <c r="D1149" i="2"/>
  <c r="D1128" i="2"/>
  <c r="E1128" i="2" s="1"/>
  <c r="F1128" i="2" s="1"/>
  <c r="D1115" i="2"/>
  <c r="F1115" i="2" s="1"/>
  <c r="D1104" i="2"/>
  <c r="F1104" i="2" s="1"/>
  <c r="D1089" i="2"/>
  <c r="F1089" i="2" s="1"/>
  <c r="D1064" i="2"/>
  <c r="D1044" i="2"/>
  <c r="E1044" i="2" s="1"/>
  <c r="F1044" i="2" s="1"/>
  <c r="D1024" i="2"/>
  <c r="D1005" i="2"/>
  <c r="E1005" i="2" s="1"/>
  <c r="F1005" i="2" s="1"/>
  <c r="D983" i="2"/>
  <c r="D967" i="2"/>
  <c r="F967" i="2" s="1"/>
  <c r="D959" i="2"/>
  <c r="F959" i="2" s="1"/>
  <c r="D950" i="2"/>
  <c r="F950" i="2" s="1"/>
  <c r="D940" i="2"/>
  <c r="F940" i="2" s="1"/>
  <c r="D929" i="2"/>
  <c r="F929" i="2" s="1"/>
  <c r="D921" i="2"/>
  <c r="F921" i="2" s="1"/>
  <c r="D911" i="2"/>
  <c r="F911" i="2" s="1"/>
  <c r="D902" i="2"/>
  <c r="F902" i="2" s="1"/>
  <c r="D894" i="2"/>
  <c r="F894" i="2" s="1"/>
  <c r="D858" i="2"/>
  <c r="F858" i="2" s="1"/>
  <c r="D817" i="2"/>
  <c r="F817" i="2" s="1"/>
  <c r="D809" i="2"/>
  <c r="F809" i="2" s="1"/>
  <c r="D794" i="2"/>
  <c r="F794" i="2" s="1"/>
  <c r="D784" i="2"/>
  <c r="F784" i="2" s="1"/>
  <c r="D773" i="2"/>
  <c r="F773" i="2" s="1"/>
  <c r="D756" i="2"/>
  <c r="D731" i="2"/>
  <c r="D674" i="2"/>
  <c r="F674" i="2" s="1"/>
  <c r="D1331" i="2"/>
  <c r="E1331" i="2" s="1"/>
  <c r="F1331" i="2" s="1"/>
  <c r="D1304" i="2"/>
  <c r="E1304" i="2" s="1"/>
  <c r="F1304" i="2" s="1"/>
  <c r="D1245" i="2"/>
  <c r="F1245" i="2" s="1"/>
  <c r="D1229" i="2"/>
  <c r="F1229" i="2" s="1"/>
  <c r="D1219" i="2"/>
  <c r="F1219" i="2" s="1"/>
  <c r="D1210" i="2"/>
  <c r="F1210" i="2" s="1"/>
  <c r="D1201" i="2"/>
  <c r="F1201" i="2" s="1"/>
  <c r="D1151" i="2"/>
  <c r="E1151" i="2" s="1"/>
  <c r="F1151" i="2" s="1"/>
  <c r="D1130" i="2"/>
  <c r="E1130" i="2" s="1"/>
  <c r="F1130" i="2" s="1"/>
  <c r="D1072" i="2"/>
  <c r="E1072" i="2" s="1"/>
  <c r="F1072" i="2" s="1"/>
  <c r="D1051" i="2"/>
  <c r="E1051" i="2" s="1"/>
  <c r="F1051" i="2" s="1"/>
  <c r="D1032" i="2"/>
  <c r="E1032" i="2" s="1"/>
  <c r="F1032" i="2" s="1"/>
  <c r="D1012" i="2"/>
  <c r="E1012" i="2" s="1"/>
  <c r="F1012" i="2" s="1"/>
  <c r="D990" i="2"/>
  <c r="E990" i="2" s="1"/>
  <c r="F990" i="2" s="1"/>
  <c r="D891" i="2"/>
  <c r="F891" i="2" s="1"/>
  <c r="D883" i="2"/>
  <c r="F883" i="2" s="1"/>
  <c r="D865" i="2"/>
  <c r="F865" i="2" s="1"/>
  <c r="D1327" i="2"/>
  <c r="E1327" i="2" s="1"/>
  <c r="F1327" i="2" s="1"/>
  <c r="D1301" i="2"/>
  <c r="E1301" i="2" s="1"/>
  <c r="F1301" i="2" s="1"/>
  <c r="D1246" i="2"/>
  <c r="F1246" i="2" s="1"/>
  <c r="D1228" i="2"/>
  <c r="F1228" i="2" s="1"/>
  <c r="D1215" i="2"/>
  <c r="F1215" i="2" s="1"/>
  <c r="D1206" i="2"/>
  <c r="F1206" i="2" s="1"/>
  <c r="D1196" i="2"/>
  <c r="F1196" i="2" s="1"/>
  <c r="D1143" i="2"/>
  <c r="E1143" i="2" s="1"/>
  <c r="F1143" i="2" s="1"/>
  <c r="D1088" i="2"/>
  <c r="E1088" i="2" s="1"/>
  <c r="F1088" i="2" s="1"/>
  <c r="D1070" i="2"/>
  <c r="E1070" i="2" s="1"/>
  <c r="F1070" i="2" s="1"/>
  <c r="D1047" i="2"/>
  <c r="E1047" i="2" s="1"/>
  <c r="F1047" i="2" s="1"/>
  <c r="D1030" i="2"/>
  <c r="E1030" i="2" s="1"/>
  <c r="F1030" i="2" s="1"/>
  <c r="D1008" i="2"/>
  <c r="E1008" i="2" s="1"/>
  <c r="F1008" i="2" s="1"/>
  <c r="D987" i="2"/>
  <c r="E987" i="2" s="1"/>
  <c r="F987" i="2" s="1"/>
  <c r="D890" i="2"/>
  <c r="F890" i="2" s="1"/>
  <c r="D882" i="2"/>
  <c r="F882" i="2" s="1"/>
  <c r="D867" i="2"/>
  <c r="F867" i="2" s="1"/>
  <c r="D849" i="2"/>
  <c r="F849" i="2" s="1"/>
  <c r="D838" i="2"/>
  <c r="F838" i="2" s="1"/>
  <c r="D828" i="2"/>
  <c r="F828" i="2" s="1"/>
  <c r="D755" i="2"/>
  <c r="D739" i="2"/>
  <c r="D725" i="2"/>
  <c r="F725" i="2" s="1"/>
  <c r="D717" i="2"/>
  <c r="F717" i="2" s="1"/>
  <c r="D708" i="2"/>
  <c r="F708" i="2" s="1"/>
  <c r="D699" i="2"/>
  <c r="F699" i="2" s="1"/>
  <c r="D691" i="2"/>
  <c r="F691" i="2" s="1"/>
  <c r="D673" i="2"/>
  <c r="F673" i="2" s="1"/>
  <c r="D658" i="2"/>
  <c r="F658" i="2" s="1"/>
  <c r="D650" i="2"/>
  <c r="F650" i="2" s="1"/>
  <c r="D640" i="2"/>
  <c r="F640" i="2" s="1"/>
  <c r="D632" i="2"/>
  <c r="F632" i="2" s="1"/>
  <c r="D623" i="2"/>
  <c r="F623" i="2" s="1"/>
  <c r="D1323" i="2"/>
  <c r="D1297" i="2"/>
  <c r="E1297" i="2" s="1"/>
  <c r="F1297" i="2" s="1"/>
  <c r="D1279" i="2"/>
  <c r="F1279" i="2" s="1"/>
  <c r="D1264" i="2"/>
  <c r="F1264" i="2" s="1"/>
  <c r="D1251" i="2"/>
  <c r="F1251" i="2" s="1"/>
  <c r="D1236" i="2"/>
  <c r="F1236" i="2" s="1"/>
  <c r="D1179" i="2"/>
  <c r="F1179" i="2" s="1"/>
  <c r="D1166" i="2"/>
  <c r="F1166" i="2" s="1"/>
  <c r="D1144" i="2"/>
  <c r="D1123" i="2"/>
  <c r="F1123" i="2" s="1"/>
  <c r="D1113" i="2"/>
  <c r="F1113" i="2" s="1"/>
  <c r="D1101" i="2"/>
  <c r="F1101" i="2" s="1"/>
  <c r="D1085" i="2"/>
  <c r="E1085" i="2" s="1"/>
  <c r="F1085" i="2" s="1"/>
  <c r="D1058" i="2"/>
  <c r="D1040" i="2"/>
  <c r="E1040" i="2" s="1"/>
  <c r="F1040" i="2" s="1"/>
  <c r="D1019" i="2"/>
  <c r="D1001" i="2"/>
  <c r="E1001" i="2" s="1"/>
  <c r="F1001" i="2" s="1"/>
  <c r="D979" i="2"/>
  <c r="D965" i="2"/>
  <c r="F965" i="2" s="1"/>
  <c r="D956" i="2"/>
  <c r="F956" i="2" s="1"/>
  <c r="D948" i="2"/>
  <c r="F948" i="2" s="1"/>
  <c r="D938" i="2"/>
  <c r="F938" i="2" s="1"/>
  <c r="D927" i="2"/>
  <c r="F927" i="2" s="1"/>
  <c r="D917" i="2"/>
  <c r="F917" i="2" s="1"/>
  <c r="D909" i="2"/>
  <c r="F909" i="2" s="1"/>
  <c r="D900" i="2"/>
  <c r="F900" i="2" s="1"/>
  <c r="D872" i="2"/>
  <c r="F872" i="2" s="1"/>
  <c r="D829" i="2"/>
  <c r="F829" i="2" s="1"/>
  <c r="D815" i="2"/>
  <c r="F815" i="2" s="1"/>
  <c r="D802" i="2"/>
  <c r="F802" i="2" s="1"/>
  <c r="D792" i="2"/>
  <c r="F792" i="2" s="1"/>
  <c r="D782" i="2"/>
  <c r="F782" i="2" s="1"/>
  <c r="D771" i="2"/>
  <c r="F771" i="2" s="1"/>
  <c r="D744" i="2"/>
  <c r="D687" i="2"/>
  <c r="F687" i="2" s="1"/>
  <c r="D670" i="2"/>
  <c r="F670" i="2" s="1"/>
  <c r="D1325" i="2"/>
  <c r="E1325" i="2" s="1"/>
  <c r="F1325" i="2" s="1"/>
  <c r="D1298" i="2"/>
  <c r="D1243" i="2"/>
  <c r="F1243" i="2" s="1"/>
  <c r="D1227" i="2"/>
  <c r="F1227" i="2" s="1"/>
  <c r="E2875" i="1" s="1"/>
  <c r="F2875" i="1" s="1"/>
  <c r="D1216" i="2"/>
  <c r="F1216" i="2" s="1"/>
  <c r="D1207" i="2"/>
  <c r="F1207" i="2" s="1"/>
  <c r="E1004" i="1" s="1"/>
  <c r="F1004" i="1" s="1"/>
  <c r="D1197" i="2"/>
  <c r="F1197" i="2" s="1"/>
  <c r="D1145" i="2"/>
  <c r="E1145" i="2" s="1"/>
  <c r="F1145" i="2" s="1"/>
  <c r="D1086" i="2"/>
  <c r="D1065" i="2"/>
  <c r="E1065" i="2" s="1"/>
  <c r="F1065" i="2" s="1"/>
  <c r="D1045" i="2"/>
  <c r="D1028" i="2"/>
  <c r="E1028" i="2" s="1"/>
  <c r="F1028" i="2" s="1"/>
  <c r="D1006" i="2"/>
  <c r="D984" i="2"/>
  <c r="F984" i="2" s="1"/>
  <c r="D889" i="2"/>
  <c r="F889" i="2" s="1"/>
  <c r="D879" i="2"/>
  <c r="F879" i="2" s="1"/>
  <c r="D1322" i="2"/>
  <c r="D1295" i="2"/>
  <c r="E1295" i="2" s="1"/>
  <c r="F1295" i="2" s="1"/>
  <c r="D1244" i="2"/>
  <c r="F1244" i="2" s="1"/>
  <c r="D1225" i="2"/>
  <c r="F1225" i="2" s="1"/>
  <c r="D1213" i="2"/>
  <c r="F1213" i="2" s="1"/>
  <c r="D1204" i="2"/>
  <c r="F1204" i="2" s="1"/>
  <c r="D1190" i="2"/>
  <c r="D1138" i="2"/>
  <c r="E1138" i="2" s="1"/>
  <c r="F1138" i="2" s="1"/>
  <c r="D1084" i="2"/>
  <c r="D1063" i="2"/>
  <c r="E1063" i="2" s="1"/>
  <c r="F1063" i="2" s="1"/>
  <c r="D1043" i="2"/>
  <c r="D1023" i="2"/>
  <c r="E1023" i="2" s="1"/>
  <c r="F1023" i="2" s="1"/>
  <c r="D1004" i="2"/>
  <c r="D982" i="2"/>
  <c r="E982" i="2" s="1"/>
  <c r="F982" i="2" s="1"/>
  <c r="D888" i="2"/>
  <c r="F888" i="2" s="1"/>
  <c r="E2894" i="1" s="1"/>
  <c r="F2894" i="1" s="1"/>
  <c r="D878" i="2"/>
  <c r="F878" i="2" s="1"/>
  <c r="D861" i="2"/>
  <c r="F861" i="2" s="1"/>
  <c r="D847" i="2"/>
  <c r="F847" i="2" s="1"/>
  <c r="D836" i="2"/>
  <c r="F836" i="2" s="1"/>
  <c r="D824" i="2"/>
  <c r="F824" i="2" s="1"/>
  <c r="D751" i="2"/>
  <c r="F751" i="2" s="1"/>
  <c r="D734" i="2"/>
  <c r="D723" i="2"/>
  <c r="F723" i="2" s="1"/>
  <c r="D714" i="2"/>
  <c r="F714" i="2" s="1"/>
  <c r="D706" i="2"/>
  <c r="F706" i="2" s="1"/>
  <c r="D697" i="2"/>
  <c r="F697" i="2" s="1"/>
  <c r="D686" i="2"/>
  <c r="F686" i="2" s="1"/>
  <c r="D669" i="2"/>
  <c r="F669" i="2" s="1"/>
  <c r="D656" i="2"/>
  <c r="F656" i="2" s="1"/>
  <c r="D648" i="2"/>
  <c r="F648" i="2" s="1"/>
  <c r="D638" i="2"/>
  <c r="F638" i="2" s="1"/>
  <c r="D629" i="2"/>
  <c r="F629" i="2" s="1"/>
  <c r="D621" i="2"/>
  <c r="F621" i="2" s="1"/>
  <c r="D1317" i="2"/>
  <c r="E1317" i="2" s="1"/>
  <c r="F1317" i="2" s="1"/>
  <c r="D1291" i="2"/>
  <c r="D1276" i="2"/>
  <c r="F1276" i="2" s="1"/>
  <c r="D1261" i="2"/>
  <c r="F1261" i="2" s="1"/>
  <c r="D1248" i="2"/>
  <c r="F1248" i="2" s="1"/>
  <c r="D1191" i="2"/>
  <c r="E1191" i="2" s="1"/>
  <c r="F1191" i="2" s="1"/>
  <c r="D1176" i="2"/>
  <c r="F1176" i="2" s="1"/>
  <c r="D1162" i="2"/>
  <c r="F1162" i="2" s="1"/>
  <c r="D1139" i="2"/>
  <c r="D1121" i="2"/>
  <c r="F1121" i="2" s="1"/>
  <c r="D1110" i="2"/>
  <c r="F1110" i="2" s="1"/>
  <c r="D1098" i="2"/>
  <c r="F1098" i="2" s="1"/>
  <c r="D1075" i="2"/>
  <c r="E1075" i="2" s="1"/>
  <c r="F1075" i="2" s="1"/>
  <c r="D1054" i="2"/>
  <c r="D1035" i="2"/>
  <c r="E1035" i="2" s="1"/>
  <c r="F1035" i="2" s="1"/>
  <c r="D1015" i="2"/>
  <c r="D994" i="2"/>
  <c r="E994" i="2" s="1"/>
  <c r="F994" i="2" s="1"/>
  <c r="D975" i="2"/>
  <c r="D963" i="2"/>
  <c r="F963" i="2" s="1"/>
  <c r="D954" i="2"/>
  <c r="F954" i="2" s="1"/>
  <c r="D944" i="2"/>
  <c r="F944" i="2" s="1"/>
  <c r="D936" i="2"/>
  <c r="F936" i="2" s="1"/>
  <c r="D925" i="2"/>
  <c r="F925" i="2" s="1"/>
  <c r="D915" i="2"/>
  <c r="F915" i="2" s="1"/>
  <c r="D907" i="2"/>
  <c r="F907" i="2" s="1"/>
  <c r="D898" i="2"/>
  <c r="F898" i="2" s="1"/>
  <c r="D868" i="2"/>
  <c r="F868" i="2" s="1"/>
  <c r="D825" i="2"/>
  <c r="F825" i="2" s="1"/>
  <c r="D813" i="2"/>
  <c r="F813" i="2" s="1"/>
  <c r="E21" i="1" s="1"/>
  <c r="F21" i="1" s="1"/>
  <c r="D800" i="2"/>
  <c r="F800" i="2" s="1"/>
  <c r="D790" i="2"/>
  <c r="F790" i="2" s="1"/>
  <c r="D778" i="2"/>
  <c r="F778" i="2" s="1"/>
  <c r="D765" i="2"/>
  <c r="E765" i="2" s="1"/>
  <c r="F765" i="2" s="1"/>
  <c r="D740" i="2"/>
  <c r="D683" i="2"/>
  <c r="F683" i="2" s="1"/>
  <c r="D666" i="2"/>
  <c r="F666" i="2" s="1"/>
  <c r="D1319" i="2"/>
  <c r="D1293" i="2"/>
  <c r="E1293" i="2" s="1"/>
  <c r="F1293" i="2" s="1"/>
  <c r="D1233" i="2"/>
  <c r="F1233" i="2" s="1"/>
  <c r="D1224" i="2"/>
  <c r="F1224" i="2" s="1"/>
  <c r="D1214" i="2"/>
  <c r="F1214" i="2" s="1"/>
  <c r="D1205" i="2"/>
  <c r="F1205" i="2" s="1"/>
  <c r="D1193" i="2"/>
  <c r="D1140" i="2"/>
  <c r="E1140" i="2" s="1"/>
  <c r="F1140" i="2" s="1"/>
  <c r="D1082" i="2"/>
  <c r="D1060" i="2"/>
  <c r="E1060" i="2" s="1"/>
  <c r="F1060" i="2" s="1"/>
  <c r="D1041" i="2"/>
  <c r="D1020" i="2"/>
  <c r="E1020" i="2" s="1"/>
  <c r="F1020" i="2" s="1"/>
  <c r="D1002" i="2"/>
  <c r="D980" i="2"/>
  <c r="E980" i="2" s="1"/>
  <c r="F980" i="2" s="1"/>
  <c r="D887" i="2"/>
  <c r="F887" i="2" s="1"/>
  <c r="D877" i="2"/>
  <c r="F877" i="2" s="1"/>
  <c r="D1315" i="2"/>
  <c r="E1315" i="2" s="1"/>
  <c r="F1315" i="2" s="1"/>
  <c r="D1289" i="2"/>
  <c r="D1232" i="2"/>
  <c r="F1232" i="2" s="1"/>
  <c r="D1222" i="2"/>
  <c r="F1222" i="2" s="1"/>
  <c r="D1211" i="2"/>
  <c r="F1211" i="2" s="1"/>
  <c r="D1202" i="2"/>
  <c r="F1202" i="2" s="1"/>
  <c r="E1696" i="1" s="1"/>
  <c r="F1696" i="1" s="1"/>
  <c r="D1153" i="2"/>
  <c r="E1153" i="2" s="1"/>
  <c r="F1153" i="2" s="1"/>
  <c r="D1132" i="2"/>
  <c r="D1078" i="2"/>
  <c r="F1078" i="2" s="1"/>
  <c r="D1057" i="2"/>
  <c r="E1057" i="2" s="1"/>
  <c r="F1057" i="2" s="1"/>
  <c r="D1038" i="2"/>
  <c r="D1018" i="2"/>
  <c r="E1018" i="2" s="1"/>
  <c r="F1018" i="2" s="1"/>
  <c r="D1000" i="2"/>
  <c r="D978" i="2"/>
  <c r="E978" i="2" s="1"/>
  <c r="F978" i="2" s="1"/>
  <c r="D886" i="2"/>
  <c r="F886" i="2" s="1"/>
  <c r="D876" i="2"/>
  <c r="F876" i="2" s="1"/>
  <c r="D857" i="2"/>
  <c r="F857" i="2" s="1"/>
  <c r="D845" i="2"/>
  <c r="F845" i="2" s="1"/>
  <c r="D834" i="2"/>
  <c r="F834" i="2" s="1"/>
  <c r="D768" i="2"/>
  <c r="D749" i="2"/>
  <c r="F749" i="2" s="1"/>
  <c r="D730" i="2"/>
  <c r="E730" i="2" s="1"/>
  <c r="F730" i="2" s="1"/>
  <c r="D721" i="2"/>
  <c r="F721" i="2" s="1"/>
  <c r="D712" i="2"/>
  <c r="F712" i="2" s="1"/>
  <c r="D704" i="2"/>
  <c r="F704" i="2" s="1"/>
  <c r="D695" i="2"/>
  <c r="F695" i="2" s="1"/>
  <c r="D682" i="2"/>
  <c r="F682" i="2" s="1"/>
  <c r="D665" i="2"/>
  <c r="F665" i="2" s="1"/>
  <c r="D654" i="2"/>
  <c r="F654" i="2" s="1"/>
  <c r="D645" i="2"/>
  <c r="F645" i="2" s="1"/>
  <c r="D636" i="2"/>
  <c r="F636" i="2" s="1"/>
  <c r="D627" i="2"/>
  <c r="F627" i="2" s="1"/>
  <c r="D1334" i="2"/>
  <c r="D1311" i="2"/>
  <c r="D1285" i="2"/>
  <c r="D1270" i="2"/>
  <c r="F1270" i="2" s="1"/>
  <c r="D1258" i="2"/>
  <c r="F1258" i="2" s="1"/>
  <c r="D1240" i="2"/>
  <c r="F1240" i="2" s="1"/>
  <c r="D1185" i="2"/>
  <c r="D1174" i="2"/>
  <c r="F1174" i="2" s="1"/>
  <c r="D1160" i="2"/>
  <c r="F1160" i="2" s="1"/>
  <c r="D1134" i="2"/>
  <c r="D1118" i="2"/>
  <c r="F1118" i="2" s="1"/>
  <c r="D1106" i="2"/>
  <c r="F1106" i="2" s="1"/>
  <c r="D1096" i="2"/>
  <c r="F1096" i="2" s="1"/>
  <c r="D1071" i="2"/>
  <c r="D1048" i="2"/>
  <c r="D1031" i="2"/>
  <c r="D1011" i="2"/>
  <c r="D988" i="2"/>
  <c r="D971" i="2"/>
  <c r="F971" i="2" s="1"/>
  <c r="D961" i="2"/>
  <c r="F961" i="2" s="1"/>
  <c r="D952" i="2"/>
  <c r="F952" i="2" s="1"/>
  <c r="D942" i="2"/>
  <c r="F942" i="2" s="1"/>
  <c r="D931" i="2"/>
  <c r="F931" i="2" s="1"/>
  <c r="D923" i="2"/>
  <c r="F923" i="2" s="1"/>
  <c r="D913" i="2"/>
  <c r="F913" i="2" s="1"/>
  <c r="E884" i="1" s="1"/>
  <c r="F884" i="1" s="1"/>
  <c r="D904" i="2"/>
  <c r="F904" i="2" s="1"/>
  <c r="D896" i="2"/>
  <c r="F896" i="2" s="1"/>
  <c r="D862" i="2"/>
  <c r="F862" i="2" s="1"/>
  <c r="D821" i="2"/>
  <c r="F821" i="2" s="1"/>
  <c r="D811" i="2"/>
  <c r="F811" i="2" s="1"/>
  <c r="D797" i="2"/>
  <c r="F797" i="2" s="1"/>
  <c r="D787" i="2"/>
  <c r="F787" i="2" s="1"/>
  <c r="E3014" i="1" s="1"/>
  <c r="F3014" i="1" s="1"/>
  <c r="D776" i="2"/>
  <c r="F776" i="2" s="1"/>
  <c r="D758" i="2"/>
  <c r="F758" i="2" s="1"/>
  <c r="D736" i="2"/>
  <c r="D679" i="2"/>
  <c r="F679" i="2" s="1"/>
  <c r="D1335" i="2"/>
  <c r="E1335" i="2" s="1"/>
  <c r="F1335" i="2" s="1"/>
  <c r="D1312" i="2"/>
  <c r="E1312" i="2" s="1"/>
  <c r="F1312" i="2" s="1"/>
  <c r="D1287" i="2"/>
  <c r="E1287" i="2" s="1"/>
  <c r="F1287" i="2" s="1"/>
  <c r="D1231" i="2"/>
  <c r="F1231" i="2" s="1"/>
  <c r="D1221" i="2"/>
  <c r="F1221" i="2" s="1"/>
  <c r="D1212" i="2"/>
  <c r="F1212" i="2" s="1"/>
  <c r="D1203" i="2"/>
  <c r="F1203" i="2" s="1"/>
  <c r="D1187" i="2"/>
  <c r="E1187" i="2" s="1"/>
  <c r="F1187" i="2" s="1"/>
  <c r="D1135" i="2"/>
  <c r="E1135" i="2" s="1"/>
  <c r="F1135" i="2" s="1"/>
  <c r="D1076" i="2"/>
  <c r="E1076" i="2" s="1"/>
  <c r="F1076" i="2" s="1"/>
  <c r="D1055" i="2"/>
  <c r="E1055" i="2" s="1"/>
  <c r="F1055" i="2" s="1"/>
  <c r="D1036" i="2"/>
  <c r="E1036" i="2" s="1"/>
  <c r="F1036" i="2" s="1"/>
  <c r="D1016" i="2"/>
  <c r="E1016" i="2" s="1"/>
  <c r="F1016" i="2" s="1"/>
  <c r="D996" i="2"/>
  <c r="E996" i="2" s="1"/>
  <c r="F996" i="2" s="1"/>
  <c r="D976" i="2"/>
  <c r="E976" i="2" s="1"/>
  <c r="F976" i="2" s="1"/>
  <c r="D885" i="2"/>
  <c r="F885" i="2" s="1"/>
  <c r="D869" i="2"/>
  <c r="F869" i="2" s="1"/>
  <c r="D855" i="2"/>
  <c r="F855" i="2" s="1"/>
  <c r="D850" i="2"/>
  <c r="F850" i="2" s="1"/>
  <c r="D842" i="2"/>
  <c r="F842" i="2" s="1"/>
  <c r="D831" i="2"/>
  <c r="F831" i="2" s="1"/>
  <c r="D759" i="2"/>
  <c r="F759" i="2" s="1"/>
  <c r="D737" i="2"/>
  <c r="E737" i="2" s="1"/>
  <c r="F737" i="2" s="1"/>
  <c r="D724" i="2"/>
  <c r="F724" i="2" s="1"/>
  <c r="D715" i="2"/>
  <c r="F715" i="2" s="1"/>
  <c r="D707" i="2"/>
  <c r="F707" i="2" s="1"/>
  <c r="D698" i="2"/>
  <c r="F698" i="2" s="1"/>
  <c r="D688" i="2"/>
  <c r="F688" i="2" s="1"/>
  <c r="D671" i="2"/>
  <c r="F671" i="2" s="1"/>
  <c r="D657" i="2"/>
  <c r="F657" i="2" s="1"/>
  <c r="D649" i="2"/>
  <c r="F649" i="2" s="1"/>
  <c r="D639" i="2"/>
  <c r="F639" i="2" s="1"/>
  <c r="D631" i="2"/>
  <c r="F631" i="2" s="1"/>
  <c r="D622" i="2"/>
  <c r="F622" i="2" s="1"/>
  <c r="D1321" i="2"/>
  <c r="E1321" i="2" s="1"/>
  <c r="F1321" i="2" s="1"/>
  <c r="D1294" i="2"/>
  <c r="E1294" i="2" s="1"/>
  <c r="F1294" i="2" s="1"/>
  <c r="D1277" i="2"/>
  <c r="F1277" i="2" s="1"/>
  <c r="D1262" i="2"/>
  <c r="F1262" i="2" s="1"/>
  <c r="D1249" i="2"/>
  <c r="F1249" i="2" s="1"/>
  <c r="D1194" i="2"/>
  <c r="E1194" i="2" s="1"/>
  <c r="F1194" i="2" s="1"/>
  <c r="D1178" i="2"/>
  <c r="F1178" i="2" s="1"/>
  <c r="D1164" i="2"/>
  <c r="F1164" i="2" s="1"/>
  <c r="D1141" i="2"/>
  <c r="E1141" i="2" s="1"/>
  <c r="F1141" i="2" s="1"/>
  <c r="D1122" i="2"/>
  <c r="F1122" i="2" s="1"/>
  <c r="D1111" i="2"/>
  <c r="F1111" i="2" s="1"/>
  <c r="D1100" i="2"/>
  <c r="F1100" i="2" s="1"/>
  <c r="D1083" i="2"/>
  <c r="E1083" i="2" s="1"/>
  <c r="F1083" i="2" s="1"/>
  <c r="D1061" i="2"/>
  <c r="E1061" i="2" s="1"/>
  <c r="F1061" i="2" s="1"/>
  <c r="D1042" i="2"/>
  <c r="E1042" i="2" s="1"/>
  <c r="F1042" i="2" s="1"/>
  <c r="D1022" i="2"/>
  <c r="E1022" i="2" s="1"/>
  <c r="F1022" i="2" s="1"/>
  <c r="D1003" i="2"/>
  <c r="E1003" i="2" s="1"/>
  <c r="F1003" i="2" s="1"/>
  <c r="D977" i="2"/>
  <c r="E977" i="2" s="1"/>
  <c r="F977" i="2" s="1"/>
  <c r="D964" i="2"/>
  <c r="F964" i="2" s="1"/>
  <c r="D955" i="2"/>
  <c r="F955" i="2" s="1"/>
  <c r="D945" i="2"/>
  <c r="F945" i="2" s="1"/>
  <c r="D937" i="2"/>
  <c r="F937" i="2" s="1"/>
  <c r="D928" i="2"/>
  <c r="F928" i="2" s="1"/>
  <c r="D918" i="2"/>
  <c r="F918" i="2" s="1"/>
  <c r="D910" i="2"/>
  <c r="F910" i="2" s="1"/>
  <c r="D899" i="2"/>
  <c r="F899" i="2" s="1"/>
  <c r="D866" i="2"/>
  <c r="F866" i="2" s="1"/>
  <c r="D823" i="2"/>
  <c r="F823" i="2" s="1"/>
  <c r="D812" i="2"/>
  <c r="F812" i="2" s="1"/>
  <c r="D798" i="2"/>
  <c r="F798" i="2" s="1"/>
  <c r="D789" i="2"/>
  <c r="F789" i="2" s="1"/>
  <c r="D777" i="2"/>
  <c r="F777" i="2" s="1"/>
  <c r="D760" i="2"/>
  <c r="F760" i="2" s="1"/>
  <c r="D733" i="2"/>
  <c r="E733" i="2" s="1"/>
  <c r="F733" i="2" s="1"/>
  <c r="D677" i="2"/>
  <c r="F677" i="2" s="1"/>
  <c r="D863" i="2"/>
  <c r="F863" i="2" s="1"/>
  <c r="D848" i="2"/>
  <c r="F848" i="2" s="1"/>
  <c r="D837" i="2"/>
  <c r="F837" i="2" s="1"/>
  <c r="D826" i="2"/>
  <c r="F826" i="2" s="1"/>
  <c r="D753" i="2"/>
  <c r="D732" i="2"/>
  <c r="D722" i="2"/>
  <c r="F722" i="2" s="1"/>
  <c r="D713" i="2"/>
  <c r="F713" i="2" s="1"/>
  <c r="D705" i="2"/>
  <c r="F705" i="2" s="1"/>
  <c r="D696" i="2"/>
  <c r="F696" i="2" s="1"/>
  <c r="D684" i="2"/>
  <c r="F684" i="2" s="1"/>
  <c r="D667" i="2"/>
  <c r="F667" i="2" s="1"/>
  <c r="D655" i="2"/>
  <c r="F655" i="2" s="1"/>
  <c r="D647" i="2"/>
  <c r="F647" i="2" s="1"/>
  <c r="D637" i="2"/>
  <c r="F637" i="2" s="1"/>
  <c r="D628" i="2"/>
  <c r="F628" i="2" s="1"/>
  <c r="D1337" i="2"/>
  <c r="E1337" i="2" s="1"/>
  <c r="F1337" i="2" s="1"/>
  <c r="D1314" i="2"/>
  <c r="E1314" i="2" s="1"/>
  <c r="F1314" i="2" s="1"/>
  <c r="D1288" i="2"/>
  <c r="E1288" i="2" s="1"/>
  <c r="F1288" i="2" s="1"/>
  <c r="D1275" i="2"/>
  <c r="F1275" i="2" s="1"/>
  <c r="D1260" i="2"/>
  <c r="F1260" i="2" s="1"/>
  <c r="D1239" i="2"/>
  <c r="F1239" i="2" s="1"/>
  <c r="E2872" i="1" s="1"/>
  <c r="F2872" i="1" s="1"/>
  <c r="D1189" i="2"/>
  <c r="E1189" i="2" s="1"/>
  <c r="F1189" i="2" s="1"/>
  <c r="D1175" i="2"/>
  <c r="F1175" i="2" s="1"/>
  <c r="D1161" i="2"/>
  <c r="F1161" i="2" s="1"/>
  <c r="D1136" i="2"/>
  <c r="E1136" i="2" s="1"/>
  <c r="F1136" i="2" s="1"/>
  <c r="D1119" i="2"/>
  <c r="F1119" i="2" s="1"/>
  <c r="D1109" i="2"/>
  <c r="F1109" i="2" s="1"/>
  <c r="D1097" i="2"/>
  <c r="F1097" i="2" s="1"/>
  <c r="D1077" i="2"/>
  <c r="E1077" i="2" s="1"/>
  <c r="F1077" i="2" s="1"/>
  <c r="D1056" i="2"/>
  <c r="E1056" i="2" s="1"/>
  <c r="F1056" i="2" s="1"/>
  <c r="D1037" i="2"/>
  <c r="E1037" i="2" s="1"/>
  <c r="F1037" i="2" s="1"/>
  <c r="D1017" i="2"/>
  <c r="E1017" i="2" s="1"/>
  <c r="F1017" i="2" s="1"/>
  <c r="D999" i="2"/>
  <c r="E999" i="2" s="1"/>
  <c r="F999" i="2" s="1"/>
  <c r="D972" i="2"/>
  <c r="F972" i="2" s="1"/>
  <c r="D962" i="2"/>
  <c r="F962" i="2" s="1"/>
  <c r="D953" i="2"/>
  <c r="F953" i="2" s="1"/>
  <c r="D943" i="2"/>
  <c r="F943" i="2" s="1"/>
  <c r="D935" i="2"/>
  <c r="F935" i="2" s="1"/>
  <c r="D926" i="2"/>
  <c r="F926" i="2" s="1"/>
  <c r="D916" i="2"/>
  <c r="F916" i="2" s="1"/>
  <c r="D908" i="2"/>
  <c r="F908" i="2" s="1"/>
  <c r="D897" i="2"/>
  <c r="F897" i="2" s="1"/>
  <c r="D860" i="2"/>
  <c r="F860" i="2" s="1"/>
  <c r="D818" i="2"/>
  <c r="F818" i="2" s="1"/>
  <c r="D810" i="2"/>
  <c r="F810" i="2" s="1"/>
  <c r="D795" i="2"/>
  <c r="F795" i="2" s="1"/>
  <c r="D785" i="2"/>
  <c r="F785" i="2" s="1"/>
  <c r="D774" i="2"/>
  <c r="F774" i="2" s="1"/>
  <c r="D754" i="2"/>
  <c r="D689" i="2"/>
  <c r="F689" i="2" s="1"/>
  <c r="D672" i="2"/>
  <c r="F672" i="2" s="1"/>
  <c r="D2530" i="2"/>
  <c r="D859" i="2"/>
  <c r="F859" i="2" s="1"/>
  <c r="D846" i="2"/>
  <c r="F846" i="2" s="1"/>
  <c r="D835" i="2"/>
  <c r="F835" i="2" s="1"/>
  <c r="D822" i="2"/>
  <c r="F822" i="2" s="1"/>
  <c r="D750" i="2"/>
  <c r="F750" i="2" s="1"/>
  <c r="D728" i="2"/>
  <c r="F728" i="2" s="1"/>
  <c r="D720" i="2"/>
  <c r="F720" i="2" s="1"/>
  <c r="D711" i="2"/>
  <c r="F711" i="2" s="1"/>
  <c r="D702" i="2"/>
  <c r="F702" i="2" s="1"/>
  <c r="D694" i="2"/>
  <c r="F694" i="2" s="1"/>
  <c r="D680" i="2"/>
  <c r="F680" i="2" s="1"/>
  <c r="D664" i="2"/>
  <c r="F664" i="2" s="1"/>
  <c r="D653" i="2"/>
  <c r="F653" i="2" s="1"/>
  <c r="D643" i="2"/>
  <c r="F643" i="2" s="1"/>
  <c r="D635" i="2"/>
  <c r="F635" i="2" s="1"/>
  <c r="D626" i="2"/>
  <c r="F626" i="2" s="1"/>
  <c r="D1332" i="2"/>
  <c r="D1305" i="2"/>
  <c r="E1305" i="2" s="1"/>
  <c r="F1305" i="2" s="1"/>
  <c r="D1283" i="2"/>
  <c r="D1269" i="2"/>
  <c r="F1269" i="2" s="1"/>
  <c r="D1256" i="2"/>
  <c r="F1256" i="2" s="1"/>
  <c r="D1237" i="2"/>
  <c r="F1237" i="2" s="1"/>
  <c r="D1183" i="2"/>
  <c r="F1183" i="2" s="1"/>
  <c r="D1171" i="2"/>
  <c r="F1171" i="2" s="1"/>
  <c r="D1152" i="2"/>
  <c r="E1152" i="2" s="1"/>
  <c r="F1152" i="2" s="1"/>
  <c r="D1131" i="2"/>
  <c r="D1117" i="2"/>
  <c r="F1117" i="2" s="1"/>
  <c r="D1105" i="2"/>
  <c r="F1105" i="2" s="1"/>
  <c r="D1095" i="2"/>
  <c r="F1095" i="2" s="1"/>
  <c r="D1073" i="2"/>
  <c r="E1073" i="2" s="1"/>
  <c r="F1073" i="2" s="1"/>
  <c r="D1052" i="2"/>
  <c r="D1033" i="2"/>
  <c r="E1033" i="2" s="1"/>
  <c r="F1033" i="2" s="1"/>
  <c r="D1013" i="2"/>
  <c r="D991" i="2"/>
  <c r="E991" i="2" s="1"/>
  <c r="F991" i="2" s="1"/>
  <c r="D968" i="2"/>
  <c r="F968" i="2" s="1"/>
  <c r="D960" i="2"/>
  <c r="F960" i="2" s="1"/>
  <c r="D951" i="2"/>
  <c r="F951" i="2" s="1"/>
  <c r="D941" i="2"/>
  <c r="F941" i="2" s="1"/>
  <c r="D932" i="2"/>
  <c r="F932" i="2" s="1"/>
  <c r="D924" i="2"/>
  <c r="F924" i="2" s="1"/>
  <c r="D914" i="2"/>
  <c r="F914" i="2" s="1"/>
  <c r="D903" i="2"/>
  <c r="F903" i="2" s="1"/>
  <c r="D895" i="2"/>
  <c r="F895" i="2" s="1"/>
  <c r="D856" i="2"/>
  <c r="F856" i="2" s="1"/>
  <c r="D816" i="2"/>
  <c r="F816" i="2" s="1"/>
  <c r="D808" i="2"/>
  <c r="F808" i="2" s="1"/>
  <c r="D793" i="2"/>
  <c r="F793" i="2" s="1"/>
  <c r="D783" i="2"/>
  <c r="F783" i="2" s="1"/>
  <c r="D772" i="2"/>
  <c r="F772" i="2" s="1"/>
  <c r="D746" i="2"/>
  <c r="D685" i="2"/>
  <c r="F685" i="2" s="1"/>
  <c r="D668" i="2"/>
  <c r="F668" i="2" s="1"/>
  <c r="D852" i="2"/>
  <c r="F852" i="2" s="1"/>
  <c r="D844" i="2"/>
  <c r="F844" i="2" s="1"/>
  <c r="D833" i="2"/>
  <c r="F833" i="2" s="1"/>
  <c r="D766" i="2"/>
  <c r="E766" i="2" s="1"/>
  <c r="F766" i="2" s="1"/>
  <c r="D745" i="2"/>
  <c r="D726" i="2"/>
  <c r="F726" i="2" s="1"/>
  <c r="D718" i="2"/>
  <c r="F718" i="2" s="1"/>
  <c r="D709" i="2"/>
  <c r="F709" i="2" s="1"/>
  <c r="D700" i="2"/>
  <c r="F700" i="2" s="1"/>
  <c r="D692" i="2"/>
  <c r="F692" i="2" s="1"/>
  <c r="D675" i="2"/>
  <c r="F675" i="2" s="1"/>
  <c r="D659" i="2"/>
  <c r="F659" i="2" s="1"/>
  <c r="D651" i="2"/>
  <c r="F651" i="2" s="1"/>
  <c r="D641" i="2"/>
  <c r="F641" i="2" s="1"/>
  <c r="D633" i="2"/>
  <c r="F633" i="2" s="1"/>
  <c r="D624" i="2"/>
  <c r="F624" i="2" s="1"/>
  <c r="D1326" i="2"/>
  <c r="E1326" i="2" s="1"/>
  <c r="F1326" i="2" s="1"/>
  <c r="D1299" i="2"/>
  <c r="D1280" i="2"/>
  <c r="F1280" i="2" s="1"/>
  <c r="D1265" i="2"/>
  <c r="F1265" i="2" s="1"/>
  <c r="D1252" i="2"/>
  <c r="F1252" i="2" s="1"/>
  <c r="D1235" i="2"/>
  <c r="F1235" i="2" s="1"/>
  <c r="E2870" i="1" s="1"/>
  <c r="F2870" i="1" s="1"/>
  <c r="D1181" i="2"/>
  <c r="F1181" i="2" s="1"/>
  <c r="D1167" i="2"/>
  <c r="F1167" i="2" s="1"/>
  <c r="D1147" i="2"/>
  <c r="E1147" i="2" s="1"/>
  <c r="F1147" i="2" s="1"/>
  <c r="D1126" i="2"/>
  <c r="D1114" i="2"/>
  <c r="F1114" i="2" s="1"/>
  <c r="D1102" i="2"/>
  <c r="F1102" i="2" s="1"/>
  <c r="D1087" i="2"/>
  <c r="E1087" i="2" s="1"/>
  <c r="F1087" i="2" s="1"/>
  <c r="D1069" i="2"/>
  <c r="D1046" i="2"/>
  <c r="E1046" i="2" s="1"/>
  <c r="F1046" i="2" s="1"/>
  <c r="D1029" i="2"/>
  <c r="D1007" i="2"/>
  <c r="E1007" i="2" s="1"/>
  <c r="F1007" i="2" s="1"/>
  <c r="D981" i="2"/>
  <c r="E981" i="2" s="1"/>
  <c r="F981" i="2" s="1"/>
  <c r="D966" i="2"/>
  <c r="F966" i="2" s="1"/>
  <c r="D958" i="2"/>
  <c r="F958" i="2" s="1"/>
  <c r="D949" i="2"/>
  <c r="F949" i="2" s="1"/>
  <c r="D939" i="2"/>
  <c r="F939" i="2" s="1"/>
  <c r="D930" i="2"/>
  <c r="F930" i="2" s="1"/>
  <c r="D922" i="2"/>
  <c r="F922" i="2" s="1"/>
  <c r="D912" i="2"/>
  <c r="F912" i="2" s="1"/>
  <c r="D901" i="2"/>
  <c r="F901" i="2" s="1"/>
  <c r="D870" i="2"/>
  <c r="F870" i="2" s="1"/>
  <c r="D827" i="2"/>
  <c r="F827" i="2" s="1"/>
  <c r="D814" i="2"/>
  <c r="F814" i="2" s="1"/>
  <c r="D801" i="2"/>
  <c r="F801" i="2" s="1"/>
  <c r="D791" i="2"/>
  <c r="F791" i="2" s="1"/>
  <c r="D779" i="2"/>
  <c r="F779" i="2" s="1"/>
  <c r="D767" i="2"/>
  <c r="E767" i="2" s="1"/>
  <c r="F767" i="2" s="1"/>
  <c r="D738" i="2"/>
  <c r="E738" i="2" s="1"/>
  <c r="F738" i="2" s="1"/>
  <c r="D681" i="2"/>
  <c r="F681" i="2" s="1"/>
  <c r="D2796" i="2"/>
  <c r="F2796" i="2" s="1"/>
  <c r="D2786" i="2"/>
  <c r="F2786" i="2" s="1"/>
  <c r="D2772" i="2"/>
  <c r="F2772" i="2" s="1"/>
  <c r="D2752" i="2"/>
  <c r="F2752" i="2" s="1"/>
  <c r="D2720" i="2"/>
  <c r="F2720" i="2" s="1"/>
  <c r="D2758" i="2"/>
  <c r="F2758" i="2" s="1"/>
  <c r="D2697" i="2"/>
  <c r="F2697" i="2" s="1"/>
  <c r="D2678" i="2"/>
  <c r="F2678" i="2" s="1"/>
  <c r="D2662" i="2"/>
  <c r="F2662" i="2" s="1"/>
  <c r="D2775" i="2"/>
  <c r="F2775" i="2" s="1"/>
  <c r="D2739" i="2"/>
  <c r="F2739" i="2" s="1"/>
  <c r="D2706" i="2"/>
  <c r="F2706" i="2" s="1"/>
  <c r="D2688" i="2"/>
  <c r="F2688" i="2" s="1"/>
  <c r="D2669" i="2"/>
  <c r="F2669" i="2" s="1"/>
  <c r="D2771" i="2"/>
  <c r="F2771" i="2" s="1"/>
  <c r="D2740" i="2"/>
  <c r="F2740" i="2" s="1"/>
  <c r="D2707" i="2"/>
  <c r="F2707" i="2" s="1"/>
  <c r="D2684" i="2"/>
  <c r="F2684" i="2" s="1"/>
  <c r="D2668" i="2"/>
  <c r="F2668" i="2" s="1"/>
  <c r="D2693" i="2"/>
  <c r="F2693" i="2" s="1"/>
  <c r="D2730" i="2"/>
  <c r="F2730" i="2" s="1"/>
  <c r="D2698" i="2"/>
  <c r="F2698" i="2" s="1"/>
  <c r="D2716" i="2"/>
  <c r="F2716" i="2" s="1"/>
  <c r="D612" i="2"/>
  <c r="F612" i="2" s="1"/>
  <c r="D601" i="2"/>
  <c r="F601" i="2" s="1"/>
  <c r="D589" i="2"/>
  <c r="F589" i="2" s="1"/>
  <c r="D579" i="2"/>
  <c r="F579" i="2" s="1"/>
  <c r="D613" i="2"/>
  <c r="F613" i="2" s="1"/>
  <c r="D602" i="2"/>
  <c r="F602" i="2" s="1"/>
  <c r="D591" i="2"/>
  <c r="F591" i="2" s="1"/>
  <c r="D580" i="2"/>
  <c r="F580" i="2" s="1"/>
  <c r="D568" i="2"/>
  <c r="F568" i="2" s="1"/>
  <c r="D552" i="2"/>
  <c r="F552" i="2" s="1"/>
  <c r="D438" i="2"/>
  <c r="F438" i="2" s="1"/>
  <c r="D418" i="2"/>
  <c r="F418" i="2" s="1"/>
  <c r="D408" i="2"/>
  <c r="F408" i="2" s="1"/>
  <c r="D398" i="2"/>
  <c r="F398" i="2" s="1"/>
  <c r="D386" i="2"/>
  <c r="F386" i="2" s="1"/>
  <c r="D368" i="2"/>
  <c r="F368" i="2" s="1"/>
  <c r="D341" i="2"/>
  <c r="F341" i="2" s="1"/>
  <c r="D315" i="2"/>
  <c r="F315" i="2" s="1"/>
  <c r="D306" i="2"/>
  <c r="F306" i="2" s="1"/>
  <c r="D297" i="2"/>
  <c r="F297" i="2" s="1"/>
  <c r="D287" i="2"/>
  <c r="F287" i="2" s="1"/>
  <c r="D278" i="2"/>
  <c r="F278" i="2" s="1"/>
  <c r="D269" i="2"/>
  <c r="F269" i="2" s="1"/>
  <c r="D261" i="2"/>
  <c r="F261" i="2" s="1"/>
  <c r="D252" i="2"/>
  <c r="F252" i="2" s="1"/>
  <c r="D242" i="2"/>
  <c r="F242" i="2" s="1"/>
  <c r="D233" i="2"/>
  <c r="F233" i="2" s="1"/>
  <c r="D222" i="2"/>
  <c r="F222" i="2" s="1"/>
  <c r="D191" i="2"/>
  <c r="F191" i="2" s="1"/>
  <c r="D174" i="2"/>
  <c r="F174" i="2" s="1"/>
  <c r="D165" i="2"/>
  <c r="F165" i="2" s="1"/>
  <c r="D145" i="2"/>
  <c r="F145" i="2" s="1"/>
  <c r="D24" i="2"/>
  <c r="F24" i="2" s="1"/>
  <c r="D543" i="2"/>
  <c r="F543" i="2" s="1"/>
  <c r="D528" i="2"/>
  <c r="F528" i="2" s="1"/>
  <c r="D515" i="2"/>
  <c r="F515" i="2" s="1"/>
  <c r="D506" i="2"/>
  <c r="F506" i="2" s="1"/>
  <c r="D493" i="2"/>
  <c r="F493" i="2" s="1"/>
  <c r="D485" i="2"/>
  <c r="F485" i="2" s="1"/>
  <c r="D474" i="2"/>
  <c r="F474" i="2" s="1"/>
  <c r="D462" i="2"/>
  <c r="F462" i="2" s="1"/>
  <c r="D450" i="2"/>
  <c r="F450" i="2" s="1"/>
  <c r="D374" i="2"/>
  <c r="F374" i="2" s="1"/>
  <c r="D354" i="2"/>
  <c r="F354" i="2" s="1"/>
  <c r="D326" i="2"/>
  <c r="F326" i="2" s="1"/>
  <c r="D212" i="2"/>
  <c r="F212" i="2" s="1"/>
  <c r="D203" i="2"/>
  <c r="F203" i="2" s="1"/>
  <c r="D186" i="2"/>
  <c r="F186" i="2" s="1"/>
  <c r="D156" i="2"/>
  <c r="F156" i="2" s="1"/>
  <c r="D134" i="2"/>
  <c r="F134" i="2" s="1"/>
  <c r="D126" i="2"/>
  <c r="F126" i="2" s="1"/>
  <c r="D117" i="2"/>
  <c r="F117" i="2" s="1"/>
  <c r="D105" i="2"/>
  <c r="F105" i="2" s="1"/>
  <c r="D95" i="2"/>
  <c r="F95" i="2" s="1"/>
  <c r="D86" i="2"/>
  <c r="F86" i="2" s="1"/>
  <c r="D76" i="2"/>
  <c r="F76" i="2" s="1"/>
  <c r="D66" i="2"/>
  <c r="F66" i="2" s="1"/>
  <c r="D57" i="2"/>
  <c r="F57" i="2" s="1"/>
  <c r="D48" i="2"/>
  <c r="F48" i="2" s="1"/>
  <c r="D39" i="2"/>
  <c r="F39" i="2" s="1"/>
  <c r="D565" i="2"/>
  <c r="F565" i="2" s="1"/>
  <c r="D547" i="2"/>
  <c r="F547" i="2" s="1"/>
  <c r="D437" i="2"/>
  <c r="F437" i="2" s="1"/>
  <c r="D417" i="2"/>
  <c r="F417" i="2" s="1"/>
  <c r="D407" i="2"/>
  <c r="F407" i="2" s="1"/>
  <c r="D396" i="2"/>
  <c r="F396" i="2" s="1"/>
  <c r="D384" i="2"/>
  <c r="F384" i="2" s="1"/>
  <c r="D363" i="2"/>
  <c r="F363" i="2" s="1"/>
  <c r="D344" i="2"/>
  <c r="F344" i="2" s="1"/>
  <c r="D320" i="2"/>
  <c r="F320" i="2" s="1"/>
  <c r="D310" i="2"/>
  <c r="F310" i="2" s="1"/>
  <c r="D301" i="2"/>
  <c r="F301" i="2" s="1"/>
  <c r="D292" i="2"/>
  <c r="F292" i="2" s="1"/>
  <c r="D282" i="2"/>
  <c r="F282" i="2" s="1"/>
  <c r="D273" i="2"/>
  <c r="F273" i="2" s="1"/>
  <c r="D264" i="2"/>
  <c r="F264" i="2" s="1"/>
  <c r="D255" i="2"/>
  <c r="F255" i="2" s="1"/>
  <c r="D245" i="2"/>
  <c r="F245" i="2" s="1"/>
  <c r="D236" i="2"/>
  <c r="F236" i="2" s="1"/>
  <c r="D227" i="2"/>
  <c r="F227" i="2" s="1"/>
  <c r="D196" i="2"/>
  <c r="F196" i="2" s="1"/>
  <c r="D177" i="2"/>
  <c r="F177" i="2" s="1"/>
  <c r="D168" i="2"/>
  <c r="F168" i="2" s="1"/>
  <c r="D160" i="2"/>
  <c r="F160" i="2" s="1"/>
  <c r="D142" i="2"/>
  <c r="F142" i="2" s="1"/>
  <c r="D563" i="2"/>
  <c r="F563" i="2" s="1"/>
  <c r="D544" i="2"/>
  <c r="F544" i="2" s="1"/>
  <c r="D529" i="2"/>
  <c r="F529" i="2" s="1"/>
  <c r="D517" i="2"/>
  <c r="F517" i="2" s="1"/>
  <c r="D507" i="2"/>
  <c r="F507" i="2" s="1"/>
  <c r="D494" i="2"/>
  <c r="F494" i="2" s="1"/>
  <c r="D486" i="2"/>
  <c r="F486" i="2" s="1"/>
  <c r="D476" i="2"/>
  <c r="F476" i="2" s="1"/>
  <c r="D466" i="2"/>
  <c r="F466" i="2" s="1"/>
  <c r="D451" i="2"/>
  <c r="F451" i="2" s="1"/>
  <c r="D428" i="2"/>
  <c r="F428" i="2" s="1"/>
  <c r="D334" i="2"/>
  <c r="F334" i="2" s="1"/>
  <c r="D325" i="2"/>
  <c r="F325" i="2" s="1"/>
  <c r="D211" i="2"/>
  <c r="F211" i="2" s="1"/>
  <c r="D202" i="2"/>
  <c r="F202" i="2" s="1"/>
  <c r="D185" i="2"/>
  <c r="F185" i="2" s="1"/>
  <c r="D153" i="2"/>
  <c r="F153" i="2" s="1"/>
  <c r="D131" i="2"/>
  <c r="F131" i="2" s="1"/>
  <c r="D122" i="2"/>
  <c r="F122" i="2" s="1"/>
  <c r="D114" i="2"/>
  <c r="F114" i="2" s="1"/>
  <c r="D102" i="2"/>
  <c r="F102" i="2" s="1"/>
  <c r="D92" i="2"/>
  <c r="F92" i="2" s="1"/>
  <c r="D83" i="2"/>
  <c r="F83" i="2" s="1"/>
  <c r="D73" i="2"/>
  <c r="F73" i="2" s="1"/>
  <c r="D63" i="2"/>
  <c r="F63" i="2" s="1"/>
  <c r="D54" i="2"/>
  <c r="F54" i="2" s="1"/>
  <c r="D45" i="2"/>
  <c r="F45" i="2" s="1"/>
  <c r="D36" i="2"/>
  <c r="F36" i="2" s="1"/>
  <c r="D27" i="2"/>
  <c r="F27" i="2" s="1"/>
  <c r="D5653" i="2"/>
  <c r="F5653" i="2" s="1"/>
  <c r="D2794" i="2"/>
  <c r="F2794" i="2" s="1"/>
  <c r="D2784" i="2"/>
  <c r="F2784" i="2" s="1"/>
  <c r="D2770" i="2"/>
  <c r="F2770" i="2" s="1"/>
  <c r="D2742" i="2"/>
  <c r="F2742" i="2" s="1"/>
  <c r="D2709" i="2"/>
  <c r="F2709" i="2" s="1"/>
  <c r="D2797" i="2"/>
  <c r="F2797" i="2" s="1"/>
  <c r="D2741" i="2"/>
  <c r="F2741" i="2" s="1"/>
  <c r="D2694" i="2"/>
  <c r="F2694" i="2" s="1"/>
  <c r="D2675" i="2"/>
  <c r="F2675" i="2" s="1"/>
  <c r="D2619" i="2"/>
  <c r="F2619" i="2" s="1"/>
  <c r="D2767" i="2"/>
  <c r="F2767" i="2" s="1"/>
  <c r="D2729" i="2"/>
  <c r="F2729" i="2" s="1"/>
  <c r="D2699" i="2"/>
  <c r="F2699" i="2" s="1"/>
  <c r="D2680" i="2"/>
  <c r="F2680" i="2" s="1"/>
  <c r="D2664" i="2"/>
  <c r="F2664" i="2" s="1"/>
  <c r="D2763" i="2"/>
  <c r="F2763" i="2" s="1"/>
  <c r="D2728" i="2"/>
  <c r="F2728" i="2" s="1"/>
  <c r="D2700" i="2"/>
  <c r="F2700" i="2" s="1"/>
  <c r="D2681" i="2"/>
  <c r="F2681" i="2" s="1"/>
  <c r="D2665" i="2"/>
  <c r="F2665" i="2" s="1"/>
  <c r="D2679" i="2"/>
  <c r="F2679" i="2" s="1"/>
  <c r="D2704" i="2"/>
  <c r="F2704" i="2" s="1"/>
  <c r="D2674" i="2"/>
  <c r="F2674" i="2" s="1"/>
  <c r="D2682" i="2"/>
  <c r="F2682" i="2" s="1"/>
  <c r="D608" i="2"/>
  <c r="F608" i="2" s="1"/>
  <c r="D599" i="2"/>
  <c r="F599" i="2" s="1"/>
  <c r="D586" i="2"/>
  <c r="F586" i="2" s="1"/>
  <c r="D577" i="2"/>
  <c r="F577" i="2" s="1"/>
  <c r="D610" i="2"/>
  <c r="F610" i="2" s="1"/>
  <c r="D600" i="2"/>
  <c r="F600" i="2" s="1"/>
  <c r="D587" i="2"/>
  <c r="F587" i="2" s="1"/>
  <c r="D578" i="2"/>
  <c r="F578" i="2" s="1"/>
  <c r="D548" i="2"/>
  <c r="F548" i="2" s="1"/>
  <c r="D436" i="2"/>
  <c r="F436" i="2" s="1"/>
  <c r="D416" i="2"/>
  <c r="F416" i="2" s="1"/>
  <c r="D406" i="2"/>
  <c r="F406" i="2" s="1"/>
  <c r="D395" i="2"/>
  <c r="F395" i="2" s="1"/>
  <c r="D383" i="2"/>
  <c r="F383" i="2" s="1"/>
  <c r="D362" i="2"/>
  <c r="F362" i="2" s="1"/>
  <c r="D339" i="2"/>
  <c r="F339" i="2" s="1"/>
  <c r="D313" i="2"/>
  <c r="F313" i="2" s="1"/>
  <c r="D304" i="2"/>
  <c r="F304" i="2" s="1"/>
  <c r="D295" i="2"/>
  <c r="F295" i="2" s="1"/>
  <c r="D285" i="2"/>
  <c r="F285" i="2" s="1"/>
  <c r="D276" i="2"/>
  <c r="F276" i="2" s="1"/>
  <c r="D267" i="2"/>
  <c r="F267" i="2" s="1"/>
  <c r="D258" i="2"/>
  <c r="F258" i="2" s="1"/>
  <c r="D248" i="2"/>
  <c r="F248" i="2" s="1"/>
  <c r="D239" i="2"/>
  <c r="F239" i="2" s="1"/>
  <c r="D228" i="2"/>
  <c r="F228" i="2" s="1"/>
  <c r="D197" i="2"/>
  <c r="F197" i="2" s="1"/>
  <c r="D180" i="2"/>
  <c r="F180" i="2" s="1"/>
  <c r="D172" i="2"/>
  <c r="F172" i="2" s="1"/>
  <c r="E1925" i="1" s="1"/>
  <c r="F1925" i="1" s="1"/>
  <c r="D163" i="2"/>
  <c r="F163" i="2" s="1"/>
  <c r="D143" i="2"/>
  <c r="F143" i="2" s="1"/>
  <c r="D566" i="2"/>
  <c r="F566" i="2" s="1"/>
  <c r="D538" i="2"/>
  <c r="F538" i="2" s="1"/>
  <c r="D526" i="2"/>
  <c r="F526" i="2" s="1"/>
  <c r="D512" i="2"/>
  <c r="F512" i="2" s="1"/>
  <c r="D503" i="2"/>
  <c r="F503" i="2" s="1"/>
  <c r="D491" i="2"/>
  <c r="F491" i="2" s="1"/>
  <c r="D483" i="2"/>
  <c r="F483" i="2" s="1"/>
  <c r="D471" i="2"/>
  <c r="F471" i="2" s="1"/>
  <c r="D457" i="2"/>
  <c r="F457" i="2" s="1"/>
  <c r="D443" i="2"/>
  <c r="F443" i="2" s="1"/>
  <c r="D372" i="2"/>
  <c r="F372" i="2" s="1"/>
  <c r="D333" i="2"/>
  <c r="F333" i="2" s="1"/>
  <c r="D323" i="2"/>
  <c r="F323" i="2" s="1"/>
  <c r="D210" i="2"/>
  <c r="F210" i="2" s="1"/>
  <c r="D201" i="2"/>
  <c r="F201" i="2" s="1"/>
  <c r="D184" i="2"/>
  <c r="F184" i="2" s="1"/>
  <c r="D154" i="2"/>
  <c r="F154" i="2" s="1"/>
  <c r="D132" i="2"/>
  <c r="F132" i="2" s="1"/>
  <c r="E3430" i="1" s="1"/>
  <c r="F3430" i="1" s="1"/>
  <c r="D124" i="2"/>
  <c r="F124" i="2" s="1"/>
  <c r="D115" i="2"/>
  <c r="F115" i="2" s="1"/>
  <c r="D103" i="2"/>
  <c r="F103" i="2" s="1"/>
  <c r="D93" i="2"/>
  <c r="F93" i="2" s="1"/>
  <c r="D84" i="2"/>
  <c r="F84" i="2" s="1"/>
  <c r="D74" i="2"/>
  <c r="F74" i="2" s="1"/>
  <c r="D64" i="2"/>
  <c r="F64" i="2" s="1"/>
  <c r="D55" i="2"/>
  <c r="F55" i="2" s="1"/>
  <c r="D46" i="2"/>
  <c r="F46" i="2" s="1"/>
  <c r="D37" i="2"/>
  <c r="F37" i="2" s="1"/>
  <c r="D558" i="2"/>
  <c r="F558" i="2" s="1"/>
  <c r="D447" i="2"/>
  <c r="F447" i="2" s="1"/>
  <c r="D435" i="2"/>
  <c r="F435" i="2" s="1"/>
  <c r="D415" i="2"/>
  <c r="F415" i="2" s="1"/>
  <c r="D403" i="2"/>
  <c r="F403" i="2" s="1"/>
  <c r="D394" i="2"/>
  <c r="F394" i="2" s="1"/>
  <c r="D382" i="2"/>
  <c r="F382" i="2" s="1"/>
  <c r="E3369" i="1" s="1"/>
  <c r="F3369" i="1" s="1"/>
  <c r="D361" i="2"/>
  <c r="F361" i="2" s="1"/>
  <c r="D342" i="2"/>
  <c r="F342" i="2" s="1"/>
  <c r="D316" i="2"/>
  <c r="F316" i="2" s="1"/>
  <c r="D307" i="2"/>
  <c r="F307" i="2" s="1"/>
  <c r="D298" i="2"/>
  <c r="F298" i="2" s="1"/>
  <c r="D288" i="2"/>
  <c r="F288" i="2" s="1"/>
  <c r="D279" i="2"/>
  <c r="F279" i="2" s="1"/>
  <c r="D271" i="2"/>
  <c r="F271" i="2" s="1"/>
  <c r="D262" i="2"/>
  <c r="F262" i="2" s="1"/>
  <c r="D253" i="2"/>
  <c r="F253" i="2" s="1"/>
  <c r="D243" i="2"/>
  <c r="F243" i="2" s="1"/>
  <c r="D234" i="2"/>
  <c r="F234" i="2" s="1"/>
  <c r="D225" i="2"/>
  <c r="F225" i="2" s="1"/>
  <c r="D194" i="2"/>
  <c r="F194" i="2" s="1"/>
  <c r="D175" i="2"/>
  <c r="F175" i="2" s="1"/>
  <c r="D166" i="2"/>
  <c r="F166" i="2" s="1"/>
  <c r="D148" i="2"/>
  <c r="F148" i="2" s="1"/>
  <c r="D139" i="2"/>
  <c r="F139" i="2" s="1"/>
  <c r="D557" i="2"/>
  <c r="F557" i="2" s="1"/>
  <c r="D539" i="2"/>
  <c r="F539" i="2" s="1"/>
  <c r="D527" i="2"/>
  <c r="F527" i="2" s="1"/>
  <c r="D514" i="2"/>
  <c r="F514" i="2" s="1"/>
  <c r="D505" i="2"/>
  <c r="F505" i="2" s="1"/>
  <c r="D492" i="2"/>
  <c r="F492" i="2" s="1"/>
  <c r="D484" i="2"/>
  <c r="F484" i="2" s="1"/>
  <c r="D472" i="2"/>
  <c r="F472" i="2" s="1"/>
  <c r="D461" i="2"/>
  <c r="F461" i="2" s="1"/>
  <c r="D449" i="2"/>
  <c r="F449" i="2" s="1"/>
  <c r="D373" i="2"/>
  <c r="F373" i="2" s="1"/>
  <c r="D332" i="2"/>
  <c r="F332" i="2" s="1"/>
  <c r="D322" i="2"/>
  <c r="F322" i="2" s="1"/>
  <c r="D209" i="2"/>
  <c r="F209" i="2" s="1"/>
  <c r="D200" i="2"/>
  <c r="F200" i="2" s="1"/>
  <c r="D183" i="2"/>
  <c r="F183" i="2" s="1"/>
  <c r="D151" i="2"/>
  <c r="F151" i="2" s="1"/>
  <c r="D129" i="2"/>
  <c r="F129" i="2" s="1"/>
  <c r="D120" i="2"/>
  <c r="F120" i="2" s="1"/>
  <c r="D108" i="2"/>
  <c r="F108" i="2" s="1"/>
  <c r="D98" i="2"/>
  <c r="F98" i="2" s="1"/>
  <c r="D90" i="2"/>
  <c r="F90" i="2" s="1"/>
  <c r="D81" i="2"/>
  <c r="F81" i="2" s="1"/>
  <c r="D69" i="2"/>
  <c r="F69" i="2" s="1"/>
  <c r="D60" i="2"/>
  <c r="F60" i="2" s="1"/>
  <c r="D51" i="2"/>
  <c r="F51" i="2" s="1"/>
  <c r="D42" i="2"/>
  <c r="F42" i="2" s="1"/>
  <c r="D34" i="2"/>
  <c r="F34" i="2" s="1"/>
  <c r="D28" i="2"/>
  <c r="F28" i="2" s="1"/>
  <c r="D2790" i="2"/>
  <c r="F2790" i="2" s="1"/>
  <c r="D2776" i="2"/>
  <c r="F2776" i="2" s="1"/>
  <c r="D2734" i="2"/>
  <c r="F2734" i="2" s="1"/>
  <c r="D2705" i="2"/>
  <c r="F2705" i="2" s="1"/>
  <c r="D2787" i="2"/>
  <c r="F2787" i="2" s="1"/>
  <c r="D2723" i="2"/>
  <c r="F2723" i="2" s="1"/>
  <c r="D2689" i="2"/>
  <c r="F2689" i="2" s="1"/>
  <c r="D2670" i="2"/>
  <c r="F2670" i="2" s="1"/>
  <c r="D2753" i="2"/>
  <c r="F2753" i="2" s="1"/>
  <c r="D2721" i="2"/>
  <c r="F2721" i="2" s="1"/>
  <c r="D2696" i="2"/>
  <c r="F2696" i="2" s="1"/>
  <c r="D2677" i="2"/>
  <c r="F2677" i="2" s="1"/>
  <c r="D2795" i="2"/>
  <c r="F2795" i="2" s="1"/>
  <c r="D2757" i="2"/>
  <c r="F2757" i="2" s="1"/>
  <c r="D2722" i="2"/>
  <c r="F2722" i="2" s="1"/>
  <c r="D2695" i="2"/>
  <c r="F2695" i="2" s="1"/>
  <c r="D2676" i="2"/>
  <c r="F2676" i="2" s="1"/>
  <c r="D2620" i="2"/>
  <c r="F2620" i="2" s="1"/>
  <c r="D2690" i="2"/>
  <c r="F2690" i="2" s="1"/>
  <c r="D2663" i="2"/>
  <c r="F2663" i="2" s="1"/>
  <c r="D2783" i="2"/>
  <c r="F2783" i="2" s="1"/>
  <c r="D2671" i="2"/>
  <c r="F2671" i="2" s="1"/>
  <c r="D606" i="2"/>
  <c r="F606" i="2" s="1"/>
  <c r="D596" i="2"/>
  <c r="F596" i="2" s="1"/>
  <c r="D584" i="2"/>
  <c r="F584" i="2" s="1"/>
  <c r="D573" i="2"/>
  <c r="F573" i="2" s="1"/>
  <c r="D607" i="2"/>
  <c r="F607" i="2" s="1"/>
  <c r="D598" i="2"/>
  <c r="F598" i="2" s="1"/>
  <c r="D585" i="2"/>
  <c r="F585" i="2" s="1"/>
  <c r="D575" i="2"/>
  <c r="F575" i="2" s="1"/>
  <c r="D546" i="2"/>
  <c r="F546" i="2" s="1"/>
  <c r="E2901" i="1" s="1"/>
  <c r="F2901" i="1" s="1"/>
  <c r="D434" i="2"/>
  <c r="F434" i="2" s="1"/>
  <c r="D414" i="2"/>
  <c r="F414" i="2" s="1"/>
  <c r="D402" i="2"/>
  <c r="F402" i="2" s="1"/>
  <c r="D393" i="2"/>
  <c r="F393" i="2" s="1"/>
  <c r="D377" i="2"/>
  <c r="F377" i="2" s="1"/>
  <c r="D350" i="2"/>
  <c r="F350" i="2" s="1"/>
  <c r="D337" i="2"/>
  <c r="F337" i="2" s="1"/>
  <c r="D311" i="2"/>
  <c r="F311" i="2" s="1"/>
  <c r="D302" i="2"/>
  <c r="F302" i="2" s="1"/>
  <c r="D293" i="2"/>
  <c r="F293" i="2" s="1"/>
  <c r="D283" i="2"/>
  <c r="F283" i="2" s="1"/>
  <c r="D274" i="2"/>
  <c r="F274" i="2" s="1"/>
  <c r="D265" i="2"/>
  <c r="F265" i="2" s="1"/>
  <c r="D256" i="2"/>
  <c r="F256" i="2" s="1"/>
  <c r="D246" i="2"/>
  <c r="F246" i="2" s="1"/>
  <c r="D237" i="2"/>
  <c r="F237" i="2" s="1"/>
  <c r="D226" i="2"/>
  <c r="F226" i="2" s="1"/>
  <c r="D195" i="2"/>
  <c r="F195" i="2" s="1"/>
  <c r="D178" i="2"/>
  <c r="F178" i="2" s="1"/>
  <c r="D170" i="2"/>
  <c r="F170" i="2" s="1"/>
  <c r="D161" i="2"/>
  <c r="F161" i="2" s="1"/>
  <c r="D141" i="2"/>
  <c r="F141" i="2" s="1"/>
  <c r="D559" i="2"/>
  <c r="F559" i="2" s="1"/>
  <c r="D534" i="2"/>
  <c r="F534" i="2" s="1"/>
  <c r="D524" i="2"/>
  <c r="F524" i="2" s="1"/>
  <c r="D510" i="2"/>
  <c r="F510" i="2" s="1"/>
  <c r="D499" i="2"/>
  <c r="F499" i="2" s="1"/>
  <c r="D489" i="2"/>
  <c r="F489" i="2" s="1"/>
  <c r="D481" i="2"/>
  <c r="F481" i="2" s="1"/>
  <c r="D469" i="2"/>
  <c r="F469" i="2" s="1"/>
  <c r="D455" i="2"/>
  <c r="F455" i="2" s="1"/>
  <c r="D431" i="2"/>
  <c r="F431" i="2" s="1"/>
  <c r="D359" i="2"/>
  <c r="F359" i="2" s="1"/>
  <c r="D331" i="2"/>
  <c r="F331" i="2" s="1"/>
  <c r="D216" i="2"/>
  <c r="F216" i="2" s="1"/>
  <c r="D207" i="2"/>
  <c r="F207" i="2" s="1"/>
  <c r="D199" i="2"/>
  <c r="F199" i="2" s="1"/>
  <c r="D182" i="2"/>
  <c r="F182" i="2" s="1"/>
  <c r="D152" i="2"/>
  <c r="F152" i="2" s="1"/>
  <c r="D130" i="2"/>
  <c r="F130" i="2" s="1"/>
  <c r="D121" i="2"/>
  <c r="F121" i="2" s="1"/>
  <c r="D111" i="2"/>
  <c r="F111" i="2" s="1"/>
  <c r="D101" i="2"/>
  <c r="F101" i="2" s="1"/>
  <c r="D91" i="2"/>
  <c r="F91" i="2" s="1"/>
  <c r="D82" i="2"/>
  <c r="F82" i="2" s="1"/>
  <c r="D72" i="2"/>
  <c r="F72" i="2" s="1"/>
  <c r="D62" i="2"/>
  <c r="F62" i="2" s="1"/>
  <c r="D53" i="2"/>
  <c r="F53" i="2" s="1"/>
  <c r="D44" i="2"/>
  <c r="F44" i="2" s="1"/>
  <c r="D35" i="2"/>
  <c r="F35" i="2" s="1"/>
  <c r="D554" i="2"/>
  <c r="F554" i="2" s="1"/>
  <c r="D445" i="2"/>
  <c r="F445" i="2" s="1"/>
  <c r="D426" i="2"/>
  <c r="F426" i="2" s="1"/>
  <c r="D413" i="2"/>
  <c r="F413" i="2" s="1"/>
  <c r="D401" i="2"/>
  <c r="F401" i="2" s="1"/>
  <c r="D392" i="2"/>
  <c r="F392" i="2" s="1"/>
  <c r="D376" i="2"/>
  <c r="F376" i="2" s="1"/>
  <c r="D351" i="2"/>
  <c r="F351" i="2" s="1"/>
  <c r="D340" i="2"/>
  <c r="F340" i="2" s="1"/>
  <c r="D314" i="2"/>
  <c r="F314" i="2" s="1"/>
  <c r="D305" i="2"/>
  <c r="F305" i="2" s="1"/>
  <c r="D296" i="2"/>
  <c r="F296" i="2" s="1"/>
  <c r="D286" i="2"/>
  <c r="F286" i="2" s="1"/>
  <c r="D277" i="2"/>
  <c r="F277" i="2" s="1"/>
  <c r="D268" i="2"/>
  <c r="F268" i="2" s="1"/>
  <c r="D259" i="2"/>
  <c r="F259" i="2" s="1"/>
  <c r="D251" i="2"/>
  <c r="F251" i="2" s="1"/>
  <c r="D241" i="2"/>
  <c r="F241" i="2" s="1"/>
  <c r="D232" i="2"/>
  <c r="F232" i="2" s="1"/>
  <c r="D223" i="2"/>
  <c r="F223" i="2" s="1"/>
  <c r="D192" i="2"/>
  <c r="F192" i="2" s="1"/>
  <c r="D173" i="2"/>
  <c r="F173" i="2" s="1"/>
  <c r="D164" i="2"/>
  <c r="F164" i="2" s="1"/>
  <c r="D146" i="2"/>
  <c r="F146" i="2" s="1"/>
  <c r="D25" i="2"/>
  <c r="F25" i="2" s="1"/>
  <c r="D553" i="2"/>
  <c r="F553" i="2" s="1"/>
  <c r="D535" i="2"/>
  <c r="F535" i="2" s="1"/>
  <c r="D525" i="2"/>
  <c r="F525" i="2" s="1"/>
  <c r="D511" i="2"/>
  <c r="F511" i="2" s="1"/>
  <c r="D500" i="2"/>
  <c r="F500" i="2" s="1"/>
  <c r="D490" i="2"/>
  <c r="F490" i="2" s="1"/>
  <c r="D482" i="2"/>
  <c r="F482" i="2" s="1"/>
  <c r="D470" i="2"/>
  <c r="F470" i="2" s="1"/>
  <c r="D456" i="2"/>
  <c r="F456" i="2" s="1"/>
  <c r="D432" i="2"/>
  <c r="F432" i="2" s="1"/>
  <c r="D358" i="2"/>
  <c r="F358" i="2" s="1"/>
  <c r="D330" i="2"/>
  <c r="F330" i="2" s="1"/>
  <c r="D215" i="2"/>
  <c r="F215" i="2" s="1"/>
  <c r="D206" i="2"/>
  <c r="F206" i="2" s="1"/>
  <c r="D189" i="2"/>
  <c r="F189" i="2" s="1"/>
  <c r="D157" i="2"/>
  <c r="F157" i="2" s="1"/>
  <c r="D135" i="2"/>
  <c r="F135" i="2" s="1"/>
  <c r="D127" i="2"/>
  <c r="F127" i="2" s="1"/>
  <c r="D118" i="2"/>
  <c r="F118" i="2" s="1"/>
  <c r="D106" i="2"/>
  <c r="F106" i="2" s="1"/>
  <c r="D96" i="2"/>
  <c r="F96" i="2" s="1"/>
  <c r="D87" i="2"/>
  <c r="F87" i="2" s="1"/>
  <c r="D77" i="2"/>
  <c r="F77" i="2" s="1"/>
  <c r="D67" i="2"/>
  <c r="F67" i="2" s="1"/>
  <c r="D58" i="2"/>
  <c r="F58" i="2" s="1"/>
  <c r="D49" i="2"/>
  <c r="F49" i="2" s="1"/>
  <c r="D40" i="2"/>
  <c r="F40" i="2" s="1"/>
  <c r="D31" i="2"/>
  <c r="F31" i="2" s="1"/>
  <c r="D2798" i="2"/>
  <c r="F2798" i="2" s="1"/>
  <c r="D2788" i="2"/>
  <c r="F2788" i="2" s="1"/>
  <c r="D2774" i="2"/>
  <c r="F2774" i="2" s="1"/>
  <c r="D2759" i="2"/>
  <c r="F2759" i="2" s="1"/>
  <c r="D2724" i="2"/>
  <c r="F2724" i="2" s="1"/>
  <c r="D2773" i="2"/>
  <c r="F2773" i="2" s="1"/>
  <c r="D2708" i="2"/>
  <c r="F2708" i="2" s="1"/>
  <c r="D2683" i="2"/>
  <c r="F2683" i="2" s="1"/>
  <c r="D2667" i="2"/>
  <c r="F2667" i="2" s="1"/>
  <c r="D2789" i="2"/>
  <c r="F2789" i="2" s="1"/>
  <c r="D2747" i="2"/>
  <c r="F2747" i="2" s="1"/>
  <c r="D2715" i="2"/>
  <c r="F2715" i="2" s="1"/>
  <c r="D2691" i="2"/>
  <c r="F2691" i="2" s="1"/>
  <c r="D2672" i="2"/>
  <c r="F2672" i="2" s="1"/>
  <c r="D2785" i="2"/>
  <c r="F2785" i="2" s="1"/>
  <c r="D2746" i="2"/>
  <c r="F2746" i="2" s="1"/>
  <c r="D2710" i="2"/>
  <c r="F2710" i="2" s="1"/>
  <c r="D2692" i="2"/>
  <c r="F2692" i="2" s="1"/>
  <c r="D2673" i="2"/>
  <c r="F2673" i="2" s="1"/>
  <c r="D2793" i="2"/>
  <c r="F2793" i="2" s="1"/>
  <c r="D2666" i="2"/>
  <c r="F2666" i="2" s="1"/>
  <c r="D2769" i="2"/>
  <c r="F2769" i="2" s="1"/>
  <c r="D2751" i="2"/>
  <c r="F2751" i="2" s="1"/>
  <c r="D614" i="2"/>
  <c r="F614" i="2" s="1"/>
  <c r="D604" i="2"/>
  <c r="F604" i="2" s="1"/>
  <c r="D592" i="2"/>
  <c r="F592" i="2" s="1"/>
  <c r="D581" i="2"/>
  <c r="F581" i="2" s="1"/>
  <c r="D569" i="2"/>
  <c r="F569" i="2" s="1"/>
  <c r="D616" i="2"/>
  <c r="F616" i="2" s="1"/>
  <c r="D605" i="2"/>
  <c r="F605" i="2" s="1"/>
  <c r="D595" i="2"/>
  <c r="F595" i="2" s="1"/>
  <c r="D583" i="2"/>
  <c r="F583" i="2" s="1"/>
  <c r="D571" i="2"/>
  <c r="F571" i="2" s="1"/>
  <c r="D560" i="2"/>
  <c r="F560" i="2" s="1"/>
  <c r="D446" i="2"/>
  <c r="F446" i="2" s="1"/>
  <c r="D425" i="2"/>
  <c r="F425" i="2" s="1"/>
  <c r="D410" i="2"/>
  <c r="F410" i="2" s="1"/>
  <c r="D400" i="2"/>
  <c r="F400" i="2" s="1"/>
  <c r="D388" i="2"/>
  <c r="F388" i="2" s="1"/>
  <c r="D370" i="2"/>
  <c r="F370" i="2" s="1"/>
  <c r="D343" i="2"/>
  <c r="F343" i="2" s="1"/>
  <c r="D319" i="2"/>
  <c r="F319" i="2" s="1"/>
  <c r="D309" i="2"/>
  <c r="F309" i="2" s="1"/>
  <c r="D300" i="2"/>
  <c r="F300" i="2" s="1"/>
  <c r="D289" i="2"/>
  <c r="F289" i="2" s="1"/>
  <c r="D281" i="2"/>
  <c r="F281" i="2" s="1"/>
  <c r="D272" i="2"/>
  <c r="F272" i="2" s="1"/>
  <c r="D263" i="2"/>
  <c r="F263" i="2" s="1"/>
  <c r="D254" i="2"/>
  <c r="F254" i="2" s="1"/>
  <c r="D244" i="2"/>
  <c r="F244" i="2" s="1"/>
  <c r="D235" i="2"/>
  <c r="F235" i="2" s="1"/>
  <c r="D224" i="2"/>
  <c r="F224" i="2" s="1"/>
  <c r="D193" i="2"/>
  <c r="F193" i="2" s="1"/>
  <c r="D176" i="2"/>
  <c r="F176" i="2" s="1"/>
  <c r="D167" i="2"/>
  <c r="F167" i="2" s="1"/>
  <c r="D147" i="2"/>
  <c r="F147" i="2" s="1"/>
  <c r="D32" i="2"/>
  <c r="F32" i="2" s="1"/>
  <c r="D551" i="2"/>
  <c r="F551" i="2" s="1"/>
  <c r="D530" i="2"/>
  <c r="F530" i="2" s="1"/>
  <c r="D522" i="2"/>
  <c r="F522" i="2" s="1"/>
  <c r="D508" i="2"/>
  <c r="F508" i="2" s="1"/>
  <c r="D495" i="2"/>
  <c r="F495" i="2" s="1"/>
  <c r="D487" i="2"/>
  <c r="F487" i="2" s="1"/>
  <c r="D478" i="2"/>
  <c r="F478" i="2" s="1"/>
  <c r="D467" i="2"/>
  <c r="F467" i="2" s="1"/>
  <c r="D452" i="2"/>
  <c r="F452" i="2" s="1"/>
  <c r="D429" i="2"/>
  <c r="F429" i="2" s="1"/>
  <c r="D357" i="2"/>
  <c r="F357" i="2" s="1"/>
  <c r="D329" i="2"/>
  <c r="F329" i="2" s="1"/>
  <c r="D214" i="2"/>
  <c r="F214" i="2" s="1"/>
  <c r="D205" i="2"/>
  <c r="F205" i="2" s="1"/>
  <c r="D188" i="2"/>
  <c r="F188" i="2" s="1"/>
  <c r="D158" i="2"/>
  <c r="F158" i="2" s="1"/>
  <c r="D136" i="2"/>
  <c r="F136" i="2" s="1"/>
  <c r="D128" i="2"/>
  <c r="F128" i="2" s="1"/>
  <c r="E3374" i="1" s="1"/>
  <c r="F3374" i="1" s="1"/>
  <c r="D119" i="2"/>
  <c r="F119" i="2" s="1"/>
  <c r="D107" i="2"/>
  <c r="F107" i="2" s="1"/>
  <c r="D97" i="2"/>
  <c r="F97" i="2" s="1"/>
  <c r="D88" i="2"/>
  <c r="F88" i="2" s="1"/>
  <c r="D80" i="2"/>
  <c r="F80" i="2" s="1"/>
  <c r="D68" i="2"/>
  <c r="F68" i="2" s="1"/>
  <c r="D59" i="2"/>
  <c r="F59" i="2" s="1"/>
  <c r="D50" i="2"/>
  <c r="F50" i="2" s="1"/>
  <c r="D41" i="2"/>
  <c r="F41" i="2" s="1"/>
  <c r="D30" i="2"/>
  <c r="F30" i="2" s="1"/>
  <c r="D550" i="2"/>
  <c r="F550" i="2" s="1"/>
  <c r="D439" i="2"/>
  <c r="F439" i="2" s="1"/>
  <c r="D424" i="2"/>
  <c r="F424" i="2" s="1"/>
  <c r="D409" i="2"/>
  <c r="F409" i="2" s="1"/>
  <c r="D399" i="2"/>
  <c r="F399" i="2" s="1"/>
  <c r="D387" i="2"/>
  <c r="F387" i="2" s="1"/>
  <c r="E1286" i="1" s="1"/>
  <c r="F1286" i="1" s="1"/>
  <c r="D369" i="2"/>
  <c r="F369" i="2" s="1"/>
  <c r="D349" i="2"/>
  <c r="F349" i="2" s="1"/>
  <c r="D338" i="2"/>
  <c r="F338" i="2" s="1"/>
  <c r="D312" i="2"/>
  <c r="F312" i="2" s="1"/>
  <c r="D303" i="2"/>
  <c r="F303" i="2" s="1"/>
  <c r="D294" i="2"/>
  <c r="F294" i="2" s="1"/>
  <c r="D284" i="2"/>
  <c r="F284" i="2" s="1"/>
  <c r="D275" i="2"/>
  <c r="F275" i="2" s="1"/>
  <c r="D266" i="2"/>
  <c r="F266" i="2" s="1"/>
  <c r="D257" i="2"/>
  <c r="F257" i="2" s="1"/>
  <c r="D247" i="2"/>
  <c r="F247" i="2" s="1"/>
  <c r="D238" i="2"/>
  <c r="F238" i="2" s="1"/>
  <c r="D229" i="2"/>
  <c r="F229" i="2" s="1"/>
  <c r="D219" i="2"/>
  <c r="F219" i="2" s="1"/>
  <c r="D179" i="2"/>
  <c r="F179" i="2" s="1"/>
  <c r="D171" i="2"/>
  <c r="F171" i="2" s="1"/>
  <c r="E2878" i="1" s="1"/>
  <c r="F2878" i="1" s="1"/>
  <c r="D162" i="2"/>
  <c r="F162" i="2" s="1"/>
  <c r="D144" i="2"/>
  <c r="F144" i="2" s="1"/>
  <c r="D26" i="2"/>
  <c r="F26" i="2" s="1"/>
  <c r="D549" i="2"/>
  <c r="F549" i="2" s="1"/>
  <c r="D532" i="2"/>
  <c r="F532" i="2" s="1"/>
  <c r="D523" i="2"/>
  <c r="F523" i="2" s="1"/>
  <c r="D509" i="2"/>
  <c r="F509" i="2" s="1"/>
  <c r="D498" i="2"/>
  <c r="F498" i="2" s="1"/>
  <c r="D488" i="2"/>
  <c r="F488" i="2" s="1"/>
  <c r="D480" i="2"/>
  <c r="F480" i="2" s="1"/>
  <c r="D468" i="2"/>
  <c r="F468" i="2" s="1"/>
  <c r="D454" i="2"/>
  <c r="F454" i="2" s="1"/>
  <c r="D430" i="2"/>
  <c r="F430" i="2" s="1"/>
  <c r="D353" i="2"/>
  <c r="F353" i="2" s="1"/>
  <c r="D328" i="2"/>
  <c r="F328" i="2" s="1"/>
  <c r="D213" i="2"/>
  <c r="F213" i="2" s="1"/>
  <c r="D204" i="2"/>
  <c r="F204" i="2" s="1"/>
  <c r="D187" i="2"/>
  <c r="F187" i="2" s="1"/>
  <c r="D155" i="2"/>
  <c r="F155" i="2" s="1"/>
  <c r="D133" i="2"/>
  <c r="F133" i="2" s="1"/>
  <c r="D125" i="2"/>
  <c r="F125" i="2" s="1"/>
  <c r="D116" i="2"/>
  <c r="F116" i="2" s="1"/>
  <c r="D104" i="2"/>
  <c r="F104" i="2" s="1"/>
  <c r="D94" i="2"/>
  <c r="F94" i="2" s="1"/>
  <c r="D85" i="2"/>
  <c r="F85" i="2" s="1"/>
  <c r="D75" i="2"/>
  <c r="F75" i="2" s="1"/>
  <c r="D65" i="2"/>
  <c r="F65" i="2" s="1"/>
  <c r="D56" i="2"/>
  <c r="F56" i="2" s="1"/>
  <c r="D47" i="2"/>
  <c r="F47" i="2" s="1"/>
  <c r="D38" i="2"/>
  <c r="F38" i="2" s="1"/>
  <c r="D29" i="2"/>
  <c r="F29" i="2" s="1"/>
  <c r="E870" i="1"/>
  <c r="F870" i="1" s="1"/>
  <c r="E1238" i="1"/>
  <c r="F1238" i="1" s="1"/>
  <c r="E3240" i="1"/>
  <c r="F3240" i="1" s="1"/>
  <c r="E885" i="1"/>
  <c r="F885" i="1" s="1"/>
  <c r="F3138" i="1"/>
  <c r="G3136" i="1" s="1"/>
  <c r="E752" i="1"/>
  <c r="F752" i="1" s="1"/>
  <c r="F258" i="1"/>
  <c r="E2868" i="1"/>
  <c r="F2868" i="1" s="1"/>
  <c r="E1046" i="1"/>
  <c r="F1046" i="1" s="1"/>
  <c r="E2595" i="1"/>
  <c r="F2595" i="1" s="1"/>
  <c r="E13" i="17"/>
  <c r="E12" i="17"/>
  <c r="E44" i="17"/>
  <c r="E2871" i="1" l="1"/>
  <c r="F2871" i="1" s="1"/>
  <c r="E1425" i="1"/>
  <c r="F1425" i="1" s="1"/>
  <c r="E3297" i="1"/>
  <c r="F3297" i="1" s="1"/>
  <c r="E3311" i="1"/>
  <c r="F3311" i="1" s="1"/>
  <c r="F3310" i="1" s="1"/>
  <c r="E3192" i="1"/>
  <c r="F3192" i="1" s="1"/>
  <c r="F3191" i="1" s="1"/>
  <c r="E2624" i="1"/>
  <c r="F2624" i="1" s="1"/>
  <c r="F2623" i="1" s="1"/>
  <c r="E3078" i="1"/>
  <c r="F3078" i="1" s="1"/>
  <c r="F3077" i="1" s="1"/>
  <c r="E1840" i="1"/>
  <c r="F1840" i="1" s="1"/>
  <c r="F1839" i="1" s="1"/>
  <c r="E2183" i="1"/>
  <c r="F2183" i="1" s="1"/>
  <c r="F2182" i="1" s="1"/>
  <c r="E1324" i="1"/>
  <c r="F1324" i="1" s="1"/>
  <c r="E1363" i="1"/>
  <c r="F1363" i="1" s="1"/>
  <c r="E1176" i="1"/>
  <c r="F1176" i="1" s="1"/>
  <c r="E1253" i="1"/>
  <c r="F1253" i="1" s="1"/>
  <c r="E1191" i="1"/>
  <c r="F1191" i="1" s="1"/>
  <c r="F1190" i="1" s="1"/>
  <c r="E1537" i="1"/>
  <c r="F1537" i="1" s="1"/>
  <c r="F1536" i="1" s="1"/>
  <c r="E1115" i="1"/>
  <c r="F1115" i="1" s="1"/>
  <c r="F1114" i="1" s="1"/>
  <c r="E1478" i="1"/>
  <c r="F1478" i="1" s="1"/>
  <c r="F1477" i="1" s="1"/>
  <c r="E1050" i="1"/>
  <c r="F1050" i="1" s="1"/>
  <c r="E1100" i="1"/>
  <c r="F1100" i="1" s="1"/>
  <c r="E691" i="1"/>
  <c r="F691" i="1" s="1"/>
  <c r="E331" i="1"/>
  <c r="F331" i="1" s="1"/>
  <c r="F330" i="1" s="1"/>
  <c r="E706" i="1"/>
  <c r="F706" i="1" s="1"/>
  <c r="F705" i="1" s="1"/>
  <c r="F2530" i="2"/>
  <c r="E40" i="1"/>
  <c r="F40" i="1" s="1"/>
  <c r="F39" i="1" s="1"/>
  <c r="E1029" i="2"/>
  <c r="F1029" i="2" s="1"/>
  <c r="E988" i="2"/>
  <c r="F988" i="2" s="1"/>
  <c r="E1071" i="2"/>
  <c r="F1071" i="2" s="1"/>
  <c r="E1134" i="2"/>
  <c r="F1134" i="2" s="1"/>
  <c r="E1311" i="2"/>
  <c r="F1311" i="2" s="1"/>
  <c r="E1289" i="2"/>
  <c r="F1289" i="2" s="1"/>
  <c r="E740" i="2"/>
  <c r="F740" i="2" s="1"/>
  <c r="E975" i="2"/>
  <c r="F975" i="2" s="1"/>
  <c r="E1054" i="2"/>
  <c r="F1054" i="2" s="1"/>
  <c r="E1291" i="2"/>
  <c r="F1291" i="2" s="1"/>
  <c r="E1043" i="2"/>
  <c r="F1043" i="2" s="1"/>
  <c r="E1190" i="2"/>
  <c r="F1190" i="2" s="1"/>
  <c r="E1045" i="2"/>
  <c r="F1045" i="2" s="1"/>
  <c r="E1149" i="2"/>
  <c r="F1149" i="2" s="1"/>
  <c r="E1329" i="2"/>
  <c r="F1329" i="2" s="1"/>
  <c r="E743" i="2"/>
  <c r="E753" i="2" s="1"/>
  <c r="F753" i="2" s="1"/>
  <c r="E1413" i="2"/>
  <c r="F1413" i="2" s="1"/>
  <c r="E1338" i="2"/>
  <c r="F1338" i="2" s="1"/>
  <c r="E1534" i="2"/>
  <c r="F1534" i="2" s="1"/>
  <c r="E1488" i="2"/>
  <c r="F1488" i="2" s="1"/>
  <c r="E1345" i="2"/>
  <c r="F1345" i="2" s="1"/>
  <c r="E1439" i="2"/>
  <c r="F1439" i="2" s="1"/>
  <c r="E1540" i="2"/>
  <c r="F1540" i="2" s="1"/>
  <c r="E1357" i="2"/>
  <c r="F1357" i="2" s="1"/>
  <c r="E1460" i="2"/>
  <c r="F1460" i="2" s="1"/>
  <c r="E1542" i="2"/>
  <c r="F1542" i="2" s="1"/>
  <c r="E1384" i="2"/>
  <c r="F1384" i="2" s="1"/>
  <c r="E1479" i="2"/>
  <c r="F1479" i="2" s="1"/>
  <c r="E1587" i="2"/>
  <c r="F1587" i="2" s="1"/>
  <c r="E1466" i="2"/>
  <c r="F1466" i="2" s="1"/>
  <c r="E1548" i="2"/>
  <c r="F1548" i="2" s="1"/>
  <c r="E2133" i="2"/>
  <c r="F2133" i="2" s="1"/>
  <c r="E1381" i="2"/>
  <c r="F1381" i="2" s="1"/>
  <c r="E2013" i="2"/>
  <c r="F2013" i="2" s="1"/>
  <c r="E2141" i="2"/>
  <c r="F2141" i="2" s="1"/>
  <c r="E2115" i="2"/>
  <c r="F2115" i="2" s="1"/>
  <c r="E2056" i="2"/>
  <c r="F2056" i="2" s="1"/>
  <c r="E2143" i="2"/>
  <c r="F2143" i="2" s="1"/>
  <c r="E1998" i="2"/>
  <c r="F1998" i="2" s="1"/>
  <c r="E2129" i="2"/>
  <c r="F2129" i="2" s="1"/>
  <c r="E1999" i="2"/>
  <c r="F1999" i="2" s="1"/>
  <c r="E2124" i="2"/>
  <c r="F2124" i="2" s="1"/>
  <c r="E2072" i="2"/>
  <c r="F2072" i="2" s="1"/>
  <c r="E1052" i="2"/>
  <c r="F1052" i="2" s="1"/>
  <c r="E1283" i="2"/>
  <c r="F1283" i="2" s="1"/>
  <c r="E1011" i="2"/>
  <c r="F1011" i="2" s="1"/>
  <c r="E1334" i="2"/>
  <c r="F1334" i="2" s="1"/>
  <c r="E1000" i="2"/>
  <c r="F1000" i="2" s="1"/>
  <c r="E1002" i="2"/>
  <c r="F1002" i="2" s="1"/>
  <c r="E1082" i="2"/>
  <c r="F1082" i="2" s="1"/>
  <c r="E1319" i="2"/>
  <c r="F1319" i="2" s="1"/>
  <c r="E1139" i="2"/>
  <c r="F1139" i="2" s="1"/>
  <c r="E734" i="2"/>
  <c r="F734" i="2" s="1"/>
  <c r="E1298" i="2"/>
  <c r="F1298" i="2" s="1"/>
  <c r="E744" i="2"/>
  <c r="E754" i="2" s="1"/>
  <c r="F754" i="2" s="1"/>
  <c r="E979" i="2"/>
  <c r="F979" i="2" s="1"/>
  <c r="E1058" i="2"/>
  <c r="F1058" i="2" s="1"/>
  <c r="E1024" i="2"/>
  <c r="F1024" i="2" s="1"/>
  <c r="E1343" i="2"/>
  <c r="F1343" i="2" s="1"/>
  <c r="E1526" i="2"/>
  <c r="F1526" i="2" s="1"/>
  <c r="E1591" i="2"/>
  <c r="F1591" i="2" s="1"/>
  <c r="E1410" i="2"/>
  <c r="F1410" i="2" s="1"/>
  <c r="E1515" i="2"/>
  <c r="F1515" i="2" s="1"/>
  <c r="E1362" i="2"/>
  <c r="F1362" i="2" s="1"/>
  <c r="E1370" i="2"/>
  <c r="F1370" i="2" s="1"/>
  <c r="E1478" i="2"/>
  <c r="F1478" i="2" s="1"/>
  <c r="E1556" i="2"/>
  <c r="F1556" i="2" s="1"/>
  <c r="E1377" i="2"/>
  <c r="F1377" i="2" s="1"/>
  <c r="E1484" i="2"/>
  <c r="F1484" i="2" s="1"/>
  <c r="E1382" i="2"/>
  <c r="F1382" i="2" s="1"/>
  <c r="E2132" i="2"/>
  <c r="F2132" i="2" s="1"/>
  <c r="E1389" i="2"/>
  <c r="F1389" i="2" s="1"/>
  <c r="E1483" i="2"/>
  <c r="F1483" i="2" s="1"/>
  <c r="E1589" i="2"/>
  <c r="F1589" i="2" s="1"/>
  <c r="E2086" i="2"/>
  <c r="F2086" i="2" s="1"/>
  <c r="E1505" i="2"/>
  <c r="F1505" i="2" s="1"/>
  <c r="E2130" i="2"/>
  <c r="F2130" i="2" s="1"/>
  <c r="E2045" i="2"/>
  <c r="F2045" i="2" s="1"/>
  <c r="E2026" i="2"/>
  <c r="F2026" i="2" s="1"/>
  <c r="E2014" i="2"/>
  <c r="F2014" i="2" s="1"/>
  <c r="E2073" i="2"/>
  <c r="F2073" i="2" s="1"/>
  <c r="E2114" i="2"/>
  <c r="F2114" i="2" s="1"/>
  <c r="E1069" i="2"/>
  <c r="F1069" i="2" s="1"/>
  <c r="E1126" i="2"/>
  <c r="F1126" i="2" s="1"/>
  <c r="E1299" i="2"/>
  <c r="F1299" i="2" s="1"/>
  <c r="E746" i="2"/>
  <c r="E756" i="2" s="1"/>
  <c r="F756" i="2" s="1"/>
  <c r="E1131" i="2"/>
  <c r="F1131" i="2" s="1"/>
  <c r="E1031" i="2"/>
  <c r="F1031" i="2" s="1"/>
  <c r="E768" i="2"/>
  <c r="F768" i="2" s="1"/>
  <c r="E1132" i="2"/>
  <c r="F1132" i="2" s="1"/>
  <c r="E1015" i="2"/>
  <c r="F1015" i="2" s="1"/>
  <c r="E1004" i="2"/>
  <c r="F1004" i="2" s="1"/>
  <c r="E1084" i="2"/>
  <c r="F1084" i="2" s="1"/>
  <c r="E1322" i="2"/>
  <c r="F1322" i="2" s="1"/>
  <c r="E1006" i="2"/>
  <c r="F1006" i="2" s="1"/>
  <c r="E1086" i="2"/>
  <c r="F1086" i="2" s="1"/>
  <c r="E1144" i="2"/>
  <c r="F1144" i="2" s="1"/>
  <c r="E1323" i="2"/>
  <c r="F1323" i="2" s="1"/>
  <c r="E739" i="2"/>
  <c r="F739" i="2" s="1"/>
  <c r="E731" i="2"/>
  <c r="F731" i="2" s="1"/>
  <c r="E1491" i="2"/>
  <c r="F1491" i="2" s="1"/>
  <c r="E1437" i="2"/>
  <c r="F1437" i="2" s="1"/>
  <c r="E1530" i="2"/>
  <c r="F1530" i="2" s="1"/>
  <c r="E1493" i="2"/>
  <c r="F1493" i="2" s="1"/>
  <c r="E1399" i="2"/>
  <c r="F1399" i="2" s="1"/>
  <c r="E1500" i="2"/>
  <c r="F1500" i="2" s="1"/>
  <c r="E1339" i="2"/>
  <c r="F1339" i="2" s="1"/>
  <c r="E1428" i="2"/>
  <c r="F1428" i="2" s="1"/>
  <c r="E1525" i="2"/>
  <c r="F1525" i="2" s="1"/>
  <c r="E1506" i="2"/>
  <c r="F1506" i="2" s="1"/>
  <c r="E2015" i="2"/>
  <c r="F2015" i="2" s="1"/>
  <c r="E1430" i="2"/>
  <c r="F1430" i="2" s="1"/>
  <c r="E2087" i="2"/>
  <c r="F2087" i="2" s="1"/>
  <c r="E2123" i="2"/>
  <c r="F2123" i="2" s="1"/>
  <c r="E2042" i="2"/>
  <c r="F2042" i="2" s="1"/>
  <c r="E2101" i="2"/>
  <c r="F2101" i="2" s="1"/>
  <c r="E2060" i="2"/>
  <c r="F2060" i="2" s="1"/>
  <c r="E2030" i="2"/>
  <c r="F2030" i="2" s="1"/>
  <c r="E2002" i="2"/>
  <c r="F2002" i="2" s="1"/>
  <c r="E2136" i="2"/>
  <c r="F2136" i="2" s="1"/>
  <c r="E745" i="2"/>
  <c r="E755" i="2" s="1"/>
  <c r="E1013" i="2"/>
  <c r="F1013" i="2" s="1"/>
  <c r="E1332" i="2"/>
  <c r="F1332" i="2" s="1"/>
  <c r="E732" i="2"/>
  <c r="F732" i="2" s="1"/>
  <c r="E736" i="2"/>
  <c r="F736" i="2" s="1"/>
  <c r="E1048" i="2"/>
  <c r="F1048" i="2" s="1"/>
  <c r="E1185" i="2"/>
  <c r="F1185" i="2" s="1"/>
  <c r="E1285" i="2"/>
  <c r="F1285" i="2" s="1"/>
  <c r="E1038" i="2"/>
  <c r="F1038" i="2" s="1"/>
  <c r="E1041" i="2"/>
  <c r="F1041" i="2" s="1"/>
  <c r="E1193" i="2"/>
  <c r="F1193" i="2" s="1"/>
  <c r="E1019" i="2"/>
  <c r="F1019" i="2" s="1"/>
  <c r="F755" i="2"/>
  <c r="E983" i="2"/>
  <c r="F983" i="2" s="1"/>
  <c r="E1064" i="2"/>
  <c r="F1064" i="2" s="1"/>
  <c r="E1482" i="2"/>
  <c r="F1482" i="2" s="1"/>
  <c r="E1366" i="2"/>
  <c r="F1366" i="2" s="1"/>
  <c r="E1462" i="2"/>
  <c r="F1462" i="2" s="1"/>
  <c r="E1551" i="2"/>
  <c r="F1551" i="2" s="1"/>
  <c r="E1415" i="2"/>
  <c r="F1415" i="2" s="1"/>
  <c r="E1367" i="2"/>
  <c r="F1367" i="2" s="1"/>
  <c r="E2121" i="2"/>
  <c r="F2121" i="2" s="1"/>
  <c r="E1417" i="2"/>
  <c r="F1417" i="2" s="1"/>
  <c r="E1514" i="2"/>
  <c r="F1514" i="2" s="1"/>
  <c r="E1427" i="2"/>
  <c r="F1427" i="2" s="1"/>
  <c r="E1522" i="2"/>
  <c r="F1522" i="2" s="1"/>
  <c r="E1583" i="2"/>
  <c r="F1583" i="2" s="1"/>
  <c r="E1438" i="2"/>
  <c r="F1438" i="2" s="1"/>
  <c r="E1533" i="2"/>
  <c r="F1533" i="2" s="1"/>
  <c r="E2125" i="2"/>
  <c r="F2125" i="2" s="1"/>
  <c r="E2001" i="2"/>
  <c r="F2001" i="2" s="1"/>
  <c r="E2127" i="2"/>
  <c r="F2127" i="2" s="1"/>
  <c r="E1547" i="2"/>
  <c r="F1547" i="2" s="1"/>
  <c r="E2088" i="2"/>
  <c r="F2088" i="2" s="1"/>
  <c r="E2119" i="2"/>
  <c r="F2119" i="2" s="1"/>
  <c r="E2057" i="2"/>
  <c r="F2057" i="2" s="1"/>
  <c r="E2120" i="2"/>
  <c r="F2120" i="2" s="1"/>
  <c r="E2107" i="2"/>
  <c r="F2107" i="2" s="1"/>
  <c r="E2041" i="2"/>
  <c r="F2041" i="2" s="1"/>
  <c r="E623" i="1"/>
  <c r="F623" i="1" s="1"/>
  <c r="E3242" i="1"/>
  <c r="F3242" i="1" s="1"/>
  <c r="H3136" i="1"/>
  <c r="I3136" i="1" s="1"/>
  <c r="J3136" i="1" s="1"/>
  <c r="E3091" i="1"/>
  <c r="F3091" i="1" s="1"/>
  <c r="E3304" i="1"/>
  <c r="F3304" i="1" s="1"/>
  <c r="E3324" i="1"/>
  <c r="F3324" i="1" s="1"/>
  <c r="E3184" i="1"/>
  <c r="F3184" i="1" s="1"/>
  <c r="E3323" i="1"/>
  <c r="F3323" i="1" s="1"/>
  <c r="E3303" i="1"/>
  <c r="F3303" i="1" s="1"/>
  <c r="F3302" i="1" s="1"/>
  <c r="E2196" i="1"/>
  <c r="F2196" i="1" s="1"/>
  <c r="E2637" i="1"/>
  <c r="F2637" i="1" s="1"/>
  <c r="E3185" i="1"/>
  <c r="F3185" i="1" s="1"/>
  <c r="E1530" i="1"/>
  <c r="F1530" i="1" s="1"/>
  <c r="E2669" i="1"/>
  <c r="F2669" i="1" s="1"/>
  <c r="F2668" i="1" s="1"/>
  <c r="G2666" i="1" s="1"/>
  <c r="E3124" i="1"/>
  <c r="F3124" i="1" s="1"/>
  <c r="F3123" i="1" s="1"/>
  <c r="G3121" i="1" s="1"/>
  <c r="E2716" i="1"/>
  <c r="F2716" i="1" s="1"/>
  <c r="E3071" i="1"/>
  <c r="F3071" i="1" s="1"/>
  <c r="E2715" i="1"/>
  <c r="F2715" i="1" s="1"/>
  <c r="E3070" i="1"/>
  <c r="F3070" i="1" s="1"/>
  <c r="E3090" i="1"/>
  <c r="F3090" i="1" s="1"/>
  <c r="F3089" i="1" s="1"/>
  <c r="E2617" i="1"/>
  <c r="F2617" i="1" s="1"/>
  <c r="E2616" i="1"/>
  <c r="F2616" i="1" s="1"/>
  <c r="E2636" i="1"/>
  <c r="F2636" i="1" s="1"/>
  <c r="E2275" i="1"/>
  <c r="F2275" i="1" s="1"/>
  <c r="E2195" i="1"/>
  <c r="F2195" i="1" s="1"/>
  <c r="E2274" i="1"/>
  <c r="F2274" i="1" s="1"/>
  <c r="E1888" i="1"/>
  <c r="F1888" i="1" s="1"/>
  <c r="F1887" i="1" s="1"/>
  <c r="G1885" i="1" s="1"/>
  <c r="E2228" i="1"/>
  <c r="F2228" i="1" s="1"/>
  <c r="F2227" i="1" s="1"/>
  <c r="G2225" i="1" s="1"/>
  <c r="E1932" i="1"/>
  <c r="F1932" i="1" s="1"/>
  <c r="E2176" i="1"/>
  <c r="F2176" i="1" s="1"/>
  <c r="E1931" i="1"/>
  <c r="F1931" i="1" s="1"/>
  <c r="E2175" i="1"/>
  <c r="F2175" i="1" s="1"/>
  <c r="E1853" i="1"/>
  <c r="F1853" i="1" s="1"/>
  <c r="E1833" i="1"/>
  <c r="F1833" i="1" s="1"/>
  <c r="E1832" i="1"/>
  <c r="F1832" i="1" s="1"/>
  <c r="E1852" i="1"/>
  <c r="F1852" i="1" s="1"/>
  <c r="E450" i="1"/>
  <c r="F450" i="1" s="1"/>
  <c r="E449" i="1"/>
  <c r="F449" i="1" s="1"/>
  <c r="E1471" i="1"/>
  <c r="F1471" i="1" s="1"/>
  <c r="E1470" i="1"/>
  <c r="F1470" i="1" s="1"/>
  <c r="E1529" i="1"/>
  <c r="F1529" i="1" s="1"/>
  <c r="E1108" i="1"/>
  <c r="F1108" i="1" s="1"/>
  <c r="E1184" i="1"/>
  <c r="F1184" i="1" s="1"/>
  <c r="E1107" i="1"/>
  <c r="F1107" i="1" s="1"/>
  <c r="E1183" i="1"/>
  <c r="F1183" i="1" s="1"/>
  <c r="E3012" i="1"/>
  <c r="F3012" i="1" s="1"/>
  <c r="E390" i="1"/>
  <c r="F390" i="1" s="1"/>
  <c r="F389" i="1" s="1"/>
  <c r="G387" i="1" s="1"/>
  <c r="E405" i="1"/>
  <c r="F405" i="1" s="1"/>
  <c r="F404" i="1" s="1"/>
  <c r="E375" i="1"/>
  <c r="F375" i="1" s="1"/>
  <c r="F374" i="1" s="1"/>
  <c r="G372" i="1" s="1"/>
  <c r="E2874" i="1"/>
  <c r="F2874" i="1" s="1"/>
  <c r="E2877" i="1"/>
  <c r="F2877" i="1" s="1"/>
  <c r="E678" i="1"/>
  <c r="F678" i="1" s="1"/>
  <c r="E3402" i="1"/>
  <c r="F3402" i="1" s="1"/>
  <c r="F3400" i="1" s="1"/>
  <c r="E3401" i="1"/>
  <c r="F3401" i="1" s="1"/>
  <c r="E944" i="1"/>
  <c r="F944" i="1" s="1"/>
  <c r="E3273" i="1"/>
  <c r="F3273" i="1" s="1"/>
  <c r="E3352" i="1"/>
  <c r="F3352" i="1" s="1"/>
  <c r="E3274" i="1"/>
  <c r="F3274" i="1" s="1"/>
  <c r="F3272" i="1" s="1"/>
  <c r="E3353" i="1"/>
  <c r="F3353" i="1" s="1"/>
  <c r="F3351" i="1" s="1"/>
  <c r="E3155" i="1"/>
  <c r="F3155" i="1" s="1"/>
  <c r="F3153" i="1" s="1"/>
  <c r="E3231" i="1"/>
  <c r="F3231" i="1" s="1"/>
  <c r="F3229" i="1" s="1"/>
  <c r="E3154" i="1"/>
  <c r="F3154" i="1" s="1"/>
  <c r="E3230" i="1"/>
  <c r="F3230" i="1" s="1"/>
  <c r="E2994" i="1"/>
  <c r="F2994" i="1" s="1"/>
  <c r="F2992" i="1" s="1"/>
  <c r="E3041" i="1"/>
  <c r="F3041" i="1" s="1"/>
  <c r="F3039" i="1" s="1"/>
  <c r="E2993" i="1"/>
  <c r="F2993" i="1" s="1"/>
  <c r="E3040" i="1"/>
  <c r="F3040" i="1" s="1"/>
  <c r="E2810" i="1"/>
  <c r="F2810" i="1" s="1"/>
  <c r="F2808" i="1" s="1"/>
  <c r="E2947" i="1"/>
  <c r="F2947" i="1" s="1"/>
  <c r="F2945" i="1" s="1"/>
  <c r="E2809" i="1"/>
  <c r="F2809" i="1" s="1"/>
  <c r="E2946" i="1"/>
  <c r="F2946" i="1" s="1"/>
  <c r="E2685" i="1"/>
  <c r="F2685" i="1" s="1"/>
  <c r="F2683" i="1" s="1"/>
  <c r="E2746" i="1"/>
  <c r="F2746" i="1" s="1"/>
  <c r="F2744" i="1" s="1"/>
  <c r="E2684" i="1"/>
  <c r="F2684" i="1" s="1"/>
  <c r="E2745" i="1"/>
  <c r="F2745" i="1" s="1"/>
  <c r="E2547" i="1"/>
  <c r="F2547" i="1" s="1"/>
  <c r="F2545" i="1" s="1"/>
  <c r="E2586" i="1"/>
  <c r="F2586" i="1" s="1"/>
  <c r="F2584" i="1" s="1"/>
  <c r="E2546" i="1"/>
  <c r="F2546" i="1" s="1"/>
  <c r="E2585" i="1"/>
  <c r="F2585" i="1" s="1"/>
  <c r="E2443" i="1"/>
  <c r="F2443" i="1" s="1"/>
  <c r="F2441" i="1" s="1"/>
  <c r="E2504" i="1"/>
  <c r="F2504" i="1" s="1"/>
  <c r="F2502" i="1" s="1"/>
  <c r="E2442" i="1"/>
  <c r="F2442" i="1" s="1"/>
  <c r="E2503" i="1"/>
  <c r="F2503" i="1" s="1"/>
  <c r="E2370" i="1"/>
  <c r="F2370" i="1" s="1"/>
  <c r="F2368" i="1" s="1"/>
  <c r="E2369" i="1"/>
  <c r="F2369" i="1" s="1"/>
  <c r="E2244" i="1"/>
  <c r="F2244" i="1" s="1"/>
  <c r="F2242" i="1" s="1"/>
  <c r="E2304" i="1"/>
  <c r="F2304" i="1" s="1"/>
  <c r="F2302" i="1" s="1"/>
  <c r="E2243" i="1"/>
  <c r="F2243" i="1" s="1"/>
  <c r="E2303" i="1"/>
  <c r="F2303" i="1" s="1"/>
  <c r="E2084" i="1"/>
  <c r="F2084" i="1" s="1"/>
  <c r="F2082" i="1" s="1"/>
  <c r="E2145" i="1"/>
  <c r="F2145" i="1" s="1"/>
  <c r="F2143" i="1" s="1"/>
  <c r="E2083" i="1"/>
  <c r="F2083" i="1" s="1"/>
  <c r="E2144" i="1"/>
  <c r="F2144" i="1" s="1"/>
  <c r="E1961" i="1"/>
  <c r="F1961" i="1" s="1"/>
  <c r="F1959" i="1" s="1"/>
  <c r="E2025" i="1"/>
  <c r="F2025" i="1" s="1"/>
  <c r="F2023" i="1" s="1"/>
  <c r="E1960" i="1"/>
  <c r="F1960" i="1" s="1"/>
  <c r="E2024" i="1"/>
  <c r="F2024" i="1" s="1"/>
  <c r="E1803" i="1"/>
  <c r="F1803" i="1" s="1"/>
  <c r="F1801" i="1" s="1"/>
  <c r="E1904" i="1"/>
  <c r="F1904" i="1" s="1"/>
  <c r="F1902" i="1" s="1"/>
  <c r="E1802" i="1"/>
  <c r="F1802" i="1" s="1"/>
  <c r="E1903" i="1"/>
  <c r="F1903" i="1" s="1"/>
  <c r="E1685" i="1"/>
  <c r="F1685" i="1" s="1"/>
  <c r="F1683" i="1" s="1"/>
  <c r="E1744" i="1"/>
  <c r="F1744" i="1" s="1"/>
  <c r="F1742" i="1" s="1"/>
  <c r="E1684" i="1"/>
  <c r="F1684" i="1" s="1"/>
  <c r="E1743" i="1"/>
  <c r="F1743" i="1" s="1"/>
  <c r="E1630" i="1"/>
  <c r="F1630" i="1" s="1"/>
  <c r="F1628" i="1" s="1"/>
  <c r="E1629" i="1"/>
  <c r="F1629" i="1" s="1"/>
  <c r="E1513" i="1"/>
  <c r="F1513" i="1" s="1"/>
  <c r="F1511" i="1" s="1"/>
  <c r="E1573" i="1"/>
  <c r="F1573" i="1" s="1"/>
  <c r="F1571" i="1" s="1"/>
  <c r="E1512" i="1"/>
  <c r="F1512" i="1" s="1"/>
  <c r="E1572" i="1"/>
  <c r="F1572" i="1" s="1"/>
  <c r="E1401" i="1"/>
  <c r="F1401" i="1" s="1"/>
  <c r="E1453" i="1"/>
  <c r="F1453" i="1" s="1"/>
  <c r="E1402" i="1"/>
  <c r="F1402" i="1" s="1"/>
  <c r="F1400" i="1" s="1"/>
  <c r="E1454" i="1"/>
  <c r="F1454" i="1" s="1"/>
  <c r="F1452" i="1" s="1"/>
  <c r="E1330" i="1"/>
  <c r="F1330" i="1" s="1"/>
  <c r="F1328" i="1" s="1"/>
  <c r="E1369" i="1"/>
  <c r="F1369" i="1" s="1"/>
  <c r="F1367" i="1" s="1"/>
  <c r="E1329" i="1"/>
  <c r="F1329" i="1" s="1"/>
  <c r="E1368" i="1"/>
  <c r="F1368" i="1" s="1"/>
  <c r="E1229" i="1"/>
  <c r="F1229" i="1" s="1"/>
  <c r="F1227" i="1" s="1"/>
  <c r="E1292" i="1"/>
  <c r="F1292" i="1" s="1"/>
  <c r="F1290" i="1" s="1"/>
  <c r="E1228" i="1"/>
  <c r="F1228" i="1" s="1"/>
  <c r="E1291" i="1"/>
  <c r="F1291" i="1" s="1"/>
  <c r="E1078" i="1"/>
  <c r="F1078" i="1" s="1"/>
  <c r="F1076" i="1" s="1"/>
  <c r="E1153" i="1"/>
  <c r="F1153" i="1" s="1"/>
  <c r="F1151" i="1" s="1"/>
  <c r="E1077" i="1"/>
  <c r="F1077" i="1" s="1"/>
  <c r="E1152" i="1"/>
  <c r="F1152" i="1" s="1"/>
  <c r="E995" i="1"/>
  <c r="F995" i="1" s="1"/>
  <c r="F993" i="1" s="1"/>
  <c r="E1038" i="1"/>
  <c r="F1038" i="1" s="1"/>
  <c r="F1036" i="1" s="1"/>
  <c r="E994" i="1"/>
  <c r="F994" i="1" s="1"/>
  <c r="E1037" i="1"/>
  <c r="F1037" i="1" s="1"/>
  <c r="E857" i="1"/>
  <c r="F857" i="1" s="1"/>
  <c r="F855" i="1" s="1"/>
  <c r="E934" i="1"/>
  <c r="F934" i="1" s="1"/>
  <c r="F932" i="1" s="1"/>
  <c r="E856" i="1"/>
  <c r="F856" i="1" s="1"/>
  <c r="E933" i="1"/>
  <c r="F933" i="1" s="1"/>
  <c r="E744" i="1"/>
  <c r="F744" i="1" s="1"/>
  <c r="F742" i="1" s="1"/>
  <c r="E792" i="1"/>
  <c r="F792" i="1" s="1"/>
  <c r="F790" i="1" s="1"/>
  <c r="E743" i="1"/>
  <c r="F743" i="1" s="1"/>
  <c r="E791" i="1"/>
  <c r="F791" i="1" s="1"/>
  <c r="E612" i="1"/>
  <c r="F612" i="1" s="1"/>
  <c r="F610" i="1" s="1"/>
  <c r="E670" i="1"/>
  <c r="F670" i="1" s="1"/>
  <c r="F668" i="1" s="1"/>
  <c r="E611" i="1"/>
  <c r="F611" i="1" s="1"/>
  <c r="E669" i="1"/>
  <c r="F669" i="1" s="1"/>
  <c r="E479" i="1"/>
  <c r="F479" i="1" s="1"/>
  <c r="F477" i="1" s="1"/>
  <c r="E541" i="1"/>
  <c r="F541" i="1" s="1"/>
  <c r="F539" i="1" s="1"/>
  <c r="E478" i="1"/>
  <c r="F478" i="1" s="1"/>
  <c r="E540" i="1"/>
  <c r="F540" i="1" s="1"/>
  <c r="E295" i="1"/>
  <c r="F295" i="1" s="1"/>
  <c r="F293" i="1" s="1"/>
  <c r="E421" i="1"/>
  <c r="F421" i="1" s="1"/>
  <c r="F419" i="1" s="1"/>
  <c r="E294" i="1"/>
  <c r="F294" i="1" s="1"/>
  <c r="E420" i="1"/>
  <c r="F420" i="1" s="1"/>
  <c r="E164" i="1"/>
  <c r="F164" i="1" s="1"/>
  <c r="F162" i="1" s="1"/>
  <c r="E235" i="1"/>
  <c r="F235" i="1" s="1"/>
  <c r="F233" i="1" s="1"/>
  <c r="E163" i="1"/>
  <c r="F163" i="1" s="1"/>
  <c r="E234" i="1"/>
  <c r="F234" i="1" s="1"/>
  <c r="E75" i="1"/>
  <c r="F75" i="1" s="1"/>
  <c r="F73" i="1" s="1"/>
  <c r="E131" i="1"/>
  <c r="F131" i="1" s="1"/>
  <c r="F129" i="1" s="1"/>
  <c r="E74" i="1"/>
  <c r="F74" i="1" s="1"/>
  <c r="E130" i="1"/>
  <c r="F130" i="1" s="1"/>
  <c r="E13" i="1"/>
  <c r="F13" i="1" s="1"/>
  <c r="E1695" i="1"/>
  <c r="F1695" i="1" s="1"/>
  <c r="E174" i="1"/>
  <c r="F174" i="1" s="1"/>
  <c r="E2048" i="1"/>
  <c r="F2048" i="1" s="1"/>
  <c r="E2107" i="1"/>
  <c r="F2107" i="1" s="1"/>
  <c r="E2895" i="1"/>
  <c r="F2895" i="1" s="1"/>
  <c r="E1708" i="1"/>
  <c r="F1708" i="1" s="1"/>
  <c r="E3002" i="1"/>
  <c r="F3002" i="1" s="1"/>
  <c r="E2966" i="1"/>
  <c r="F2966" i="1" s="1"/>
  <c r="E3013" i="1"/>
  <c r="F3013" i="1" s="1"/>
  <c r="E3285" i="1"/>
  <c r="F3285" i="1" s="1"/>
  <c r="E3296" i="1"/>
  <c r="F3296" i="1" s="1"/>
  <c r="E3368" i="1"/>
  <c r="F3368" i="1" s="1"/>
  <c r="E3375" i="1"/>
  <c r="F3375" i="1" s="1"/>
  <c r="E3364" i="1"/>
  <c r="F3364" i="1" s="1"/>
  <c r="E3286" i="1"/>
  <c r="F3286" i="1" s="1"/>
  <c r="E3170" i="1"/>
  <c r="F3170" i="1" s="1"/>
  <c r="E3290" i="1"/>
  <c r="F3290" i="1" s="1"/>
  <c r="E3298" i="1"/>
  <c r="F3298" i="1" s="1"/>
  <c r="E3053" i="1"/>
  <c r="F3053" i="1" s="1"/>
  <c r="E3291" i="1"/>
  <c r="F3291" i="1" s="1"/>
  <c r="E3171" i="1"/>
  <c r="F3171" i="1" s="1"/>
  <c r="E3172" i="1"/>
  <c r="F3172" i="1" s="1"/>
  <c r="E3178" i="1"/>
  <c r="F3178" i="1" s="1"/>
  <c r="E1010" i="1"/>
  <c r="F1010" i="1" s="1"/>
  <c r="E3173" i="1"/>
  <c r="F3173" i="1" s="1"/>
  <c r="E3179" i="1"/>
  <c r="F3179" i="1" s="1"/>
  <c r="E3052" i="1"/>
  <c r="F3052" i="1" s="1"/>
  <c r="E3166" i="1"/>
  <c r="F3166" i="1" s="1"/>
  <c r="E3057" i="1"/>
  <c r="F3057" i="1" s="1"/>
  <c r="E3064" i="1"/>
  <c r="F3064" i="1" s="1"/>
  <c r="E3063" i="1"/>
  <c r="F3063" i="1" s="1"/>
  <c r="E3065" i="1"/>
  <c r="F3065" i="1" s="1"/>
  <c r="E3058" i="1"/>
  <c r="F3058" i="1" s="1"/>
  <c r="E25" i="1"/>
  <c r="F25" i="1" s="1"/>
  <c r="E2965" i="1"/>
  <c r="F2965" i="1" s="1"/>
  <c r="E2902" i="1"/>
  <c r="F2902" i="1" s="1"/>
  <c r="E2700" i="1"/>
  <c r="F2700" i="1" s="1"/>
  <c r="E2708" i="1"/>
  <c r="F2708" i="1" s="1"/>
  <c r="E2696" i="1"/>
  <c r="F2696" i="1" s="1"/>
  <c r="E2702" i="1"/>
  <c r="F2702" i="1" s="1"/>
  <c r="E2709" i="1"/>
  <c r="F2709" i="1" s="1"/>
  <c r="E2603" i="1"/>
  <c r="F2603" i="1" s="1"/>
  <c r="E2701" i="1"/>
  <c r="F2701" i="1" s="1"/>
  <c r="E2710" i="1"/>
  <c r="F2710" i="1" s="1"/>
  <c r="E2703" i="1"/>
  <c r="F2703" i="1" s="1"/>
  <c r="E2604" i="1"/>
  <c r="F2604" i="1" s="1"/>
  <c r="E2610" i="1"/>
  <c r="F2610" i="1" s="1"/>
  <c r="E2598" i="1"/>
  <c r="F2598" i="1" s="1"/>
  <c r="E2602" i="1"/>
  <c r="F2602" i="1" s="1"/>
  <c r="E2605" i="1"/>
  <c r="F2605" i="1" s="1"/>
  <c r="E2611" i="1"/>
  <c r="F2611" i="1" s="1"/>
  <c r="E2517" i="1"/>
  <c r="F2517" i="1" s="1"/>
  <c r="E2454" i="1"/>
  <c r="F2454" i="1" s="1"/>
  <c r="E2513" i="1"/>
  <c r="F2513" i="1" s="1"/>
  <c r="E2466" i="1"/>
  <c r="F2466" i="1" s="1"/>
  <c r="E2468" i="1"/>
  <c r="F2468" i="1" s="1"/>
  <c r="E2381" i="1"/>
  <c r="F2381" i="1" s="1"/>
  <c r="E2394" i="1"/>
  <c r="F2394" i="1" s="1"/>
  <c r="E2255" i="1"/>
  <c r="F2255" i="1" s="1"/>
  <c r="E2339" i="1"/>
  <c r="F2339" i="1" s="1"/>
  <c r="E2340" i="1"/>
  <c r="F2340" i="1" s="1"/>
  <c r="E2168" i="1"/>
  <c r="F2168" i="1" s="1"/>
  <c r="E2267" i="1"/>
  <c r="F2267" i="1" s="1"/>
  <c r="E2261" i="1"/>
  <c r="F2261" i="1" s="1"/>
  <c r="E2268" i="1"/>
  <c r="F2268" i="1" s="1"/>
  <c r="E2161" i="1"/>
  <c r="F2161" i="1" s="1"/>
  <c r="E2260" i="1"/>
  <c r="F2260" i="1" s="1"/>
  <c r="E2160" i="1"/>
  <c r="F2160" i="1" s="1"/>
  <c r="E2259" i="1"/>
  <c r="F2259" i="1" s="1"/>
  <c r="E2262" i="1"/>
  <c r="F2262" i="1" s="1"/>
  <c r="E2269" i="1"/>
  <c r="F2269" i="1" s="1"/>
  <c r="E1915" i="1"/>
  <c r="F1915" i="1" s="1"/>
  <c r="E2156" i="1"/>
  <c r="F2156" i="1" s="1"/>
  <c r="E2162" i="1"/>
  <c r="F2162" i="1" s="1"/>
  <c r="E2169" i="1"/>
  <c r="F2169" i="1" s="1"/>
  <c r="E2163" i="1"/>
  <c r="F2163" i="1" s="1"/>
  <c r="E2170" i="1"/>
  <c r="F2170" i="1" s="1"/>
  <c r="E2036" i="1"/>
  <c r="F2036" i="1" s="1"/>
  <c r="E2095" i="1"/>
  <c r="F2095" i="1" s="1"/>
  <c r="E1919" i="1"/>
  <c r="F1919" i="1" s="1"/>
  <c r="E1926" i="1"/>
  <c r="F1926" i="1" s="1"/>
  <c r="E1920" i="1"/>
  <c r="F1920" i="1" s="1"/>
  <c r="E1817" i="1"/>
  <c r="F1817" i="1" s="1"/>
  <c r="E1825" i="1"/>
  <c r="F1825" i="1" s="1"/>
  <c r="E1818" i="1"/>
  <c r="F1818" i="1" s="1"/>
  <c r="E1814" i="1"/>
  <c r="F1814" i="1" s="1"/>
  <c r="E1819" i="1"/>
  <c r="F1819" i="1" s="1"/>
  <c r="E1826" i="1"/>
  <c r="F1826" i="1" s="1"/>
  <c r="E1827" i="1"/>
  <c r="F1827" i="1" s="1"/>
  <c r="E1820" i="1"/>
  <c r="F1820" i="1" s="1"/>
  <c r="E323" i="1"/>
  <c r="F323" i="1" s="1"/>
  <c r="E957" i="1"/>
  <c r="F957" i="1" s="1"/>
  <c r="E945" i="1"/>
  <c r="F945" i="1" s="1"/>
  <c r="E260" i="1"/>
  <c r="F260" i="1" s="1"/>
  <c r="E1599" i="1"/>
  <c r="F1599" i="1" s="1"/>
  <c r="E1655" i="1"/>
  <c r="F1655" i="1" s="1"/>
  <c r="E1592" i="1"/>
  <c r="F1592" i="1" s="1"/>
  <c r="E1649" i="1"/>
  <c r="F1649" i="1" s="1"/>
  <c r="E1162" i="1"/>
  <c r="F1162" i="1" s="1"/>
  <c r="F1411" i="1"/>
  <c r="E1415" i="1"/>
  <c r="F1415" i="1" s="1"/>
  <c r="E1165" i="1"/>
  <c r="F1165" i="1" s="1"/>
  <c r="E1414" i="1"/>
  <c r="F1414" i="1" s="1"/>
  <c r="E1419" i="1"/>
  <c r="F1419" i="1" s="1"/>
  <c r="E1426" i="1"/>
  <c r="F1426" i="1" s="1"/>
  <c r="E1420" i="1"/>
  <c r="F1420" i="1" s="1"/>
  <c r="E1427" i="1"/>
  <c r="F1427" i="1" s="1"/>
  <c r="E1252" i="1"/>
  <c r="F1252" i="1" s="1"/>
  <c r="E1166" i="1"/>
  <c r="F1166" i="1" s="1"/>
  <c r="E1242" i="1"/>
  <c r="F1242" i="1" s="1"/>
  <c r="E681" i="1"/>
  <c r="F681" i="1" s="1"/>
  <c r="E1241" i="1"/>
  <c r="F1241" i="1" s="1"/>
  <c r="E1246" i="1"/>
  <c r="F1246" i="1" s="1"/>
  <c r="E1254" i="1"/>
  <c r="F1254" i="1" s="1"/>
  <c r="E1255" i="1"/>
  <c r="F1255" i="1" s="1"/>
  <c r="E1247" i="1"/>
  <c r="F1247" i="1" s="1"/>
  <c r="E1170" i="1"/>
  <c r="F1170" i="1" s="1"/>
  <c r="E1177" i="1"/>
  <c r="F1177" i="1" s="1"/>
  <c r="E1178" i="1"/>
  <c r="F1178" i="1" s="1"/>
  <c r="E1171" i="1"/>
  <c r="F1171" i="1" s="1"/>
  <c r="E1090" i="1"/>
  <c r="F1090" i="1" s="1"/>
  <c r="E1089" i="1"/>
  <c r="F1089" i="1" s="1"/>
  <c r="E1094" i="1"/>
  <c r="F1094" i="1" s="1"/>
  <c r="E1101" i="1"/>
  <c r="F1101" i="1" s="1"/>
  <c r="E1102" i="1"/>
  <c r="F1102" i="1" s="1"/>
  <c r="E1095" i="1"/>
  <c r="F1095" i="1" s="1"/>
  <c r="E1008" i="1"/>
  <c r="F1008" i="1" s="1"/>
  <c r="E1009" i="1"/>
  <c r="F1009" i="1" s="1"/>
  <c r="E883" i="1"/>
  <c r="F883" i="1" s="1"/>
  <c r="E868" i="1"/>
  <c r="F868" i="1" s="1"/>
  <c r="E881" i="1"/>
  <c r="F881" i="1" s="1"/>
  <c r="E887" i="1"/>
  <c r="F887" i="1" s="1"/>
  <c r="E886" i="1"/>
  <c r="F886" i="1" s="1"/>
  <c r="E755" i="1"/>
  <c r="F755" i="1" s="1"/>
  <c r="E759" i="1"/>
  <c r="F759" i="1" s="1"/>
  <c r="E765" i="1"/>
  <c r="F765" i="1" s="1"/>
  <c r="E760" i="1"/>
  <c r="F760" i="1" s="1"/>
  <c r="E551" i="1"/>
  <c r="F551" i="1" s="1"/>
  <c r="E1912" i="1"/>
  <c r="F1912" i="1" s="1"/>
  <c r="E633" i="1"/>
  <c r="F633" i="1" s="1"/>
  <c r="E685" i="1"/>
  <c r="F685" i="1" s="1"/>
  <c r="E692" i="1"/>
  <c r="F692" i="1" s="1"/>
  <c r="E432" i="1"/>
  <c r="F432" i="1" s="1"/>
  <c r="E693" i="1"/>
  <c r="F693" i="1" s="1"/>
  <c r="E686" i="1"/>
  <c r="F686" i="1" s="1"/>
  <c r="E257" i="1"/>
  <c r="F257" i="1" s="1"/>
  <c r="E316" i="1"/>
  <c r="F316" i="1" s="1"/>
  <c r="E442" i="1"/>
  <c r="F442" i="1" s="1"/>
  <c r="E436" i="1"/>
  <c r="F436" i="1" s="1"/>
  <c r="E443" i="1"/>
  <c r="F443" i="1" s="1"/>
  <c r="E318" i="1"/>
  <c r="F318" i="1" s="1"/>
  <c r="E437" i="1"/>
  <c r="F437" i="1" s="1"/>
  <c r="E444" i="1"/>
  <c r="F444" i="1" s="1"/>
  <c r="E142" i="1"/>
  <c r="F142" i="1" s="1"/>
  <c r="E317" i="1"/>
  <c r="F317" i="1" s="1"/>
  <c r="E307" i="1"/>
  <c r="F307" i="1" s="1"/>
  <c r="E306" i="1"/>
  <c r="F306" i="1" s="1"/>
  <c r="E245" i="1"/>
  <c r="F245" i="1" s="1"/>
  <c r="E2867" i="1"/>
  <c r="F2867" i="1" s="1"/>
  <c r="E2783" i="1"/>
  <c r="F2783" i="1" s="1"/>
  <c r="E2772" i="1"/>
  <c r="F2772" i="1" s="1"/>
  <c r="F2771" i="1" s="1"/>
  <c r="E2763" i="1"/>
  <c r="F2763" i="1" s="1"/>
  <c r="E2518" i="1"/>
  <c r="F2518" i="1" s="1"/>
  <c r="E2908" i="1"/>
  <c r="F2908" i="1" s="1"/>
  <c r="E2401" i="1"/>
  <c r="F2401" i="1" s="1"/>
  <c r="E2474" i="1"/>
  <c r="F2474" i="1" s="1"/>
  <c r="E3245" i="1"/>
  <c r="F3245" i="1" s="1"/>
  <c r="E3410" i="1"/>
  <c r="F3410" i="1" s="1"/>
  <c r="E3361" i="1"/>
  <c r="F3361" i="1" s="1"/>
  <c r="E3163" i="1"/>
  <c r="F3163" i="1" s="1"/>
  <c r="E2967" i="1"/>
  <c r="F2967" i="1" s="1"/>
  <c r="E2558" i="1"/>
  <c r="F2558" i="1" s="1"/>
  <c r="E2693" i="1"/>
  <c r="F2693" i="1" s="1"/>
  <c r="E2955" i="1"/>
  <c r="F2955" i="1" s="1"/>
  <c r="E2555" i="1"/>
  <c r="F2555" i="1" s="1"/>
  <c r="E958" i="1"/>
  <c r="F958" i="1" s="1"/>
  <c r="E947" i="1"/>
  <c r="F947" i="1" s="1"/>
  <c r="E2456" i="1"/>
  <c r="F2456" i="1" s="1"/>
  <c r="E2383" i="1"/>
  <c r="F2383" i="1" s="1"/>
  <c r="E3437" i="1"/>
  <c r="F3437" i="1" s="1"/>
  <c r="E3426" i="1"/>
  <c r="F3426" i="1" s="1"/>
  <c r="F3425" i="1" s="1"/>
  <c r="E3417" i="1"/>
  <c r="F3417" i="1" s="1"/>
  <c r="E3432" i="1"/>
  <c r="F3432" i="1" s="1"/>
  <c r="E2778" i="1"/>
  <c r="F2778" i="1" s="1"/>
  <c r="E3431" i="1"/>
  <c r="F3431" i="1" s="1"/>
  <c r="E3247" i="1"/>
  <c r="F3247" i="1" s="1"/>
  <c r="E2777" i="1"/>
  <c r="F2777" i="1" s="1"/>
  <c r="E2520" i="1"/>
  <c r="F2520" i="1" s="1"/>
  <c r="E1051" i="1"/>
  <c r="F1051" i="1" s="1"/>
  <c r="E3246" i="1"/>
  <c r="F3246" i="1" s="1"/>
  <c r="E2776" i="1"/>
  <c r="F2776" i="1" s="1"/>
  <c r="E2559" i="1"/>
  <c r="F2559" i="1" s="1"/>
  <c r="E2519" i="1"/>
  <c r="F2519" i="1" s="1"/>
  <c r="E2907" i="1"/>
  <c r="F2907" i="1" s="1"/>
  <c r="E2453" i="1"/>
  <c r="F2453" i="1" s="1"/>
  <c r="E2897" i="1"/>
  <c r="F2897" i="1" s="1"/>
  <c r="E2396" i="1"/>
  <c r="F2396" i="1" s="1"/>
  <c r="E2395" i="1"/>
  <c r="F2395" i="1" s="1"/>
  <c r="E2784" i="1"/>
  <c r="F2784" i="1" s="1"/>
  <c r="E964" i="1"/>
  <c r="F964" i="1" s="1"/>
  <c r="E2473" i="1"/>
  <c r="F2473" i="1" s="1"/>
  <c r="E2400" i="1"/>
  <c r="F2400" i="1" s="1"/>
  <c r="E2594" i="1"/>
  <c r="F2594" i="1" s="1"/>
  <c r="E2516" i="1"/>
  <c r="F2516" i="1" s="1"/>
  <c r="E186" i="1"/>
  <c r="F186" i="1" s="1"/>
  <c r="E2380" i="1"/>
  <c r="F2380" i="1" s="1"/>
  <c r="E303" i="1"/>
  <c r="F303" i="1" s="1"/>
  <c r="E3438" i="1"/>
  <c r="F3438" i="1" s="1"/>
  <c r="E2891" i="1"/>
  <c r="F2891" i="1" s="1"/>
  <c r="E2393" i="1"/>
  <c r="F2393" i="1" s="1"/>
  <c r="E2896" i="1"/>
  <c r="F2896" i="1" s="1"/>
  <c r="E2467" i="1"/>
  <c r="F2467" i="1" s="1"/>
  <c r="E3049" i="1"/>
  <c r="F3049" i="1" s="1"/>
  <c r="E2512" i="1"/>
  <c r="F2512" i="1" s="1"/>
  <c r="E3282" i="1"/>
  <c r="F3282" i="1" s="1"/>
  <c r="E3239" i="1"/>
  <c r="F3239" i="1" s="1"/>
  <c r="E1652" i="1"/>
  <c r="F1652" i="1" s="1"/>
  <c r="F1651" i="1" s="1"/>
  <c r="E1648" i="1"/>
  <c r="F1648" i="1" s="1"/>
  <c r="E1643" i="1"/>
  <c r="F1643" i="1" s="1"/>
  <c r="E965" i="1"/>
  <c r="F965" i="1" s="1"/>
  <c r="E892" i="1"/>
  <c r="F892" i="1" s="1"/>
  <c r="E891" i="1"/>
  <c r="F891" i="1" s="1"/>
  <c r="E1521" i="1"/>
  <c r="F1521" i="1" s="1"/>
  <c r="E1462" i="1"/>
  <c r="F1462" i="1" s="1"/>
  <c r="E1049" i="1"/>
  <c r="F1049" i="1" s="1"/>
  <c r="E1339" i="1"/>
  <c r="F1339" i="1" s="1"/>
  <c r="E1377" i="1"/>
  <c r="F1377" i="1" s="1"/>
  <c r="E1300" i="1"/>
  <c r="F1300" i="1" s="1"/>
  <c r="E1260" i="1"/>
  <c r="F1260" i="1" s="1"/>
  <c r="F1259" i="1" s="1"/>
  <c r="E1657" i="1"/>
  <c r="F1657" i="1" s="1"/>
  <c r="E1601" i="1"/>
  <c r="F1601" i="1" s="1"/>
  <c r="E1656" i="1"/>
  <c r="F1656" i="1" s="1"/>
  <c r="E1600" i="1"/>
  <c r="F1600" i="1" s="1"/>
  <c r="E1524" i="1"/>
  <c r="F1524" i="1" s="1"/>
  <c r="E1465" i="1"/>
  <c r="F1465" i="1" s="1"/>
  <c r="E1380" i="1"/>
  <c r="F1380" i="1" s="1"/>
  <c r="E1342" i="1"/>
  <c r="F1342" i="1" s="1"/>
  <c r="E1303" i="1"/>
  <c r="F1303" i="1" s="1"/>
  <c r="E1364" i="1"/>
  <c r="F1364" i="1" s="1"/>
  <c r="E1325" i="1"/>
  <c r="F1325" i="1" s="1"/>
  <c r="E1287" i="1"/>
  <c r="F1287" i="1" s="1"/>
  <c r="E1983" i="1"/>
  <c r="F1983" i="1" s="1"/>
  <c r="E1237" i="1"/>
  <c r="F1237" i="1" s="1"/>
  <c r="E1007" i="1"/>
  <c r="F1007" i="1" s="1"/>
  <c r="E1586" i="1"/>
  <c r="F1586" i="1" s="1"/>
  <c r="E1595" i="1"/>
  <c r="F1595" i="1" s="1"/>
  <c r="F1594" i="1" s="1"/>
  <c r="E1591" i="1"/>
  <c r="F1591" i="1" s="1"/>
  <c r="E1525" i="1"/>
  <c r="F1525" i="1" s="1"/>
  <c r="E1466" i="1"/>
  <c r="F1466" i="1" s="1"/>
  <c r="E1410" i="1"/>
  <c r="F1410" i="1" s="1"/>
  <c r="E1161" i="1"/>
  <c r="F1161" i="1" s="1"/>
  <c r="E1086" i="1"/>
  <c r="F1086" i="1" s="1"/>
  <c r="E1011" i="1"/>
  <c r="F1011" i="1" s="1"/>
  <c r="E324" i="1"/>
  <c r="F324" i="1" s="1"/>
  <c r="E344" i="1"/>
  <c r="F344" i="1" s="1"/>
  <c r="E641" i="1"/>
  <c r="F641" i="1" s="1"/>
  <c r="E570" i="1"/>
  <c r="F570" i="1" s="1"/>
  <c r="E265" i="1"/>
  <c r="F265" i="1" s="1"/>
  <c r="E193" i="1"/>
  <c r="F193" i="1" s="1"/>
  <c r="E553" i="1"/>
  <c r="F553" i="1" s="1"/>
  <c r="E829" i="1"/>
  <c r="F829" i="1" s="1"/>
  <c r="E311" i="1"/>
  <c r="F311" i="1" s="1"/>
  <c r="E176" i="1"/>
  <c r="F176" i="1" s="1"/>
  <c r="E247" i="1"/>
  <c r="F247" i="1" s="1"/>
  <c r="E828" i="1"/>
  <c r="F828" i="1" s="1"/>
  <c r="E827" i="1"/>
  <c r="F827" i="1" s="1"/>
  <c r="E500" i="1"/>
  <c r="F500" i="1" s="1"/>
  <c r="E814" i="1"/>
  <c r="F814" i="1" s="1"/>
  <c r="E813" i="1"/>
  <c r="F813" i="1" s="1"/>
  <c r="E809" i="1"/>
  <c r="F809" i="1" s="1"/>
  <c r="E823" i="1"/>
  <c r="F823" i="1" s="1"/>
  <c r="F822" i="1" s="1"/>
  <c r="E108" i="1"/>
  <c r="F108" i="1" s="1"/>
  <c r="E512" i="1"/>
  <c r="F512" i="1" s="1"/>
  <c r="E508" i="1"/>
  <c r="F508" i="1" s="1"/>
  <c r="F507" i="1" s="1"/>
  <c r="E499" i="1"/>
  <c r="F499" i="1" s="1"/>
  <c r="E495" i="1"/>
  <c r="F495" i="1" s="1"/>
  <c r="E109" i="1"/>
  <c r="F109" i="1" s="1"/>
  <c r="E513" i="1"/>
  <c r="F513" i="1" s="1"/>
  <c r="E95" i="1"/>
  <c r="F95" i="1" s="1"/>
  <c r="E83" i="1"/>
  <c r="F83" i="1" s="1"/>
  <c r="E104" i="1"/>
  <c r="F104" i="1" s="1"/>
  <c r="F103" i="1" s="1"/>
  <c r="E94" i="1"/>
  <c r="F94" i="1" s="1"/>
  <c r="E90" i="1"/>
  <c r="F90" i="1" s="1"/>
  <c r="E699" i="1"/>
  <c r="F699" i="1" s="1"/>
  <c r="E698" i="1"/>
  <c r="F698" i="1" s="1"/>
  <c r="E33" i="1"/>
  <c r="F33" i="1" s="1"/>
  <c r="E32" i="1"/>
  <c r="F32" i="1" s="1"/>
  <c r="E343" i="1"/>
  <c r="F343" i="1" s="1"/>
  <c r="E14" i="1"/>
  <c r="F14" i="1" s="1"/>
  <c r="F12" i="1" s="1"/>
  <c r="E26" i="1"/>
  <c r="F26" i="1" s="1"/>
  <c r="E569" i="1"/>
  <c r="F569" i="1" s="1"/>
  <c r="E564" i="1"/>
  <c r="F564" i="1" s="1"/>
  <c r="E640" i="1"/>
  <c r="F640" i="1" s="1"/>
  <c r="E621" i="1"/>
  <c r="F621" i="1" s="1"/>
  <c r="E264" i="1"/>
  <c r="F264" i="1" s="1"/>
  <c r="E192" i="1"/>
  <c r="F192" i="1" s="1"/>
  <c r="E565" i="1"/>
  <c r="F565" i="1" s="1"/>
  <c r="E634" i="1"/>
  <c r="F634" i="1" s="1"/>
  <c r="E259" i="1"/>
  <c r="F259" i="1" s="1"/>
  <c r="E188" i="1"/>
  <c r="F188" i="1" s="1"/>
  <c r="E635" i="1"/>
  <c r="F635" i="1" s="1"/>
  <c r="E310" i="1"/>
  <c r="F310" i="1" s="1"/>
  <c r="E143" i="1"/>
  <c r="F143" i="1" s="1"/>
  <c r="E27" i="1"/>
  <c r="F27" i="1" s="1"/>
  <c r="E550" i="1"/>
  <c r="F550" i="1" s="1"/>
  <c r="E173" i="1"/>
  <c r="F173" i="1" s="1"/>
  <c r="E244" i="1"/>
  <c r="F244" i="1" s="1"/>
  <c r="E29" i="1"/>
  <c r="F29" i="1" s="1"/>
  <c r="E429" i="1"/>
  <c r="F429" i="1" s="1"/>
  <c r="E139" i="1"/>
  <c r="F139" i="1" s="1"/>
  <c r="E24" i="1"/>
  <c r="F24" i="1" s="1"/>
  <c r="E312" i="1"/>
  <c r="F312" i="1" s="1"/>
  <c r="E28" i="1"/>
  <c r="F28" i="1" s="1"/>
  <c r="E563" i="1"/>
  <c r="F563" i="1" s="1"/>
  <c r="E187" i="1"/>
  <c r="F187" i="1" s="1"/>
  <c r="E2252" i="1"/>
  <c r="F2252" i="1" s="1"/>
  <c r="E2342" i="1"/>
  <c r="F2342" i="1" s="1"/>
  <c r="E2341" i="1"/>
  <c r="F2341" i="1" s="1"/>
  <c r="E2109" i="1"/>
  <c r="F2109" i="1" s="1"/>
  <c r="E2108" i="1"/>
  <c r="F2108" i="1" s="1"/>
  <c r="E2326" i="1"/>
  <c r="F2326" i="1" s="1"/>
  <c r="E2335" i="1"/>
  <c r="F2335" i="1" s="1"/>
  <c r="F2334" i="1" s="1"/>
  <c r="E2325" i="1"/>
  <c r="F2325" i="1" s="1"/>
  <c r="E2321" i="1"/>
  <c r="F2321" i="1" s="1"/>
  <c r="E2153" i="1"/>
  <c r="F2153" i="1" s="1"/>
  <c r="E2038" i="1"/>
  <c r="F2038" i="1" s="1"/>
  <c r="E2097" i="1"/>
  <c r="F2097" i="1" s="1"/>
  <c r="E2054" i="1"/>
  <c r="F2054" i="1" s="1"/>
  <c r="E2115" i="1"/>
  <c r="F2115" i="1" s="1"/>
  <c r="E2094" i="1"/>
  <c r="F2094" i="1" s="1"/>
  <c r="E2114" i="1"/>
  <c r="F2114" i="1" s="1"/>
  <c r="E2049" i="1"/>
  <c r="F2049" i="1" s="1"/>
  <c r="E2053" i="1"/>
  <c r="F2053" i="1" s="1"/>
  <c r="E2035" i="1"/>
  <c r="F2035" i="1" s="1"/>
  <c r="E1992" i="1"/>
  <c r="F1992" i="1" s="1"/>
  <c r="F1991" i="1" s="1"/>
  <c r="E1982" i="1"/>
  <c r="F1982" i="1" s="1"/>
  <c r="E1978" i="1"/>
  <c r="F1978" i="1" s="1"/>
  <c r="E1996" i="1"/>
  <c r="F1996" i="1" s="1"/>
  <c r="E1766" i="1"/>
  <c r="F1766" i="1" s="1"/>
  <c r="E1997" i="1"/>
  <c r="F1997" i="1" s="1"/>
  <c r="E1754" i="1"/>
  <c r="F1754" i="1" s="1"/>
  <c r="E1811" i="1"/>
  <c r="F1811" i="1" s="1"/>
  <c r="E1714" i="1"/>
  <c r="F1714" i="1" s="1"/>
  <c r="E1773" i="1"/>
  <c r="F1773" i="1" s="1"/>
  <c r="E1698" i="1"/>
  <c r="F1698" i="1" s="1"/>
  <c r="E1756" i="1"/>
  <c r="F1756" i="1" s="1"/>
  <c r="E1709" i="1"/>
  <c r="F1709" i="1" s="1"/>
  <c r="E1767" i="1"/>
  <c r="F1767" i="1" s="1"/>
  <c r="E1713" i="1"/>
  <c r="F1713" i="1" s="1"/>
  <c r="E1772" i="1"/>
  <c r="F1772" i="1" s="1"/>
  <c r="G1283" i="1" l="1"/>
  <c r="G127" i="1"/>
  <c r="G231" i="1"/>
  <c r="G537" i="1"/>
  <c r="G788" i="1"/>
  <c r="H788" i="1" s="1"/>
  <c r="I788" i="1" s="1"/>
  <c r="J788" i="1" s="1"/>
  <c r="G930" i="1"/>
  <c r="G1034" i="1"/>
  <c r="H1034" i="1" s="1"/>
  <c r="I1034" i="1" s="1"/>
  <c r="J1034" i="1" s="1"/>
  <c r="G1569" i="1"/>
  <c r="H1569" i="1" s="1"/>
  <c r="I1569" i="1" s="1"/>
  <c r="J1569" i="1" s="1"/>
  <c r="G2500" i="1"/>
  <c r="H2500" i="1" s="1"/>
  <c r="I2500" i="1" s="1"/>
  <c r="J2500" i="1" s="1"/>
  <c r="G2742" i="1"/>
  <c r="G2943" i="1"/>
  <c r="G3398" i="1"/>
  <c r="G71" i="1"/>
  <c r="G160" i="1"/>
  <c r="G608" i="1"/>
  <c r="G740" i="1"/>
  <c r="G1225" i="1"/>
  <c r="H1225" i="1" s="1"/>
  <c r="I1225" i="1" s="1"/>
  <c r="J1225" i="1" s="1"/>
  <c r="G2439" i="1"/>
  <c r="G2543" i="1"/>
  <c r="G2806" i="1"/>
  <c r="G2990" i="1"/>
  <c r="H2990" i="1" s="1"/>
  <c r="I2990" i="1" s="1"/>
  <c r="J2990" i="1" s="1"/>
  <c r="G1360" i="1"/>
  <c r="G1740" i="1"/>
  <c r="G2021" i="1"/>
  <c r="G2300" i="1"/>
  <c r="H2300" i="1" s="1"/>
  <c r="I2300" i="1" s="1"/>
  <c r="J2300" i="1" s="1"/>
  <c r="G3349" i="1"/>
  <c r="G1321" i="1"/>
  <c r="G1398" i="1"/>
  <c r="G1626" i="1"/>
  <c r="G1957" i="1"/>
  <c r="G2080" i="1"/>
  <c r="G3227" i="1"/>
  <c r="H3227" i="1" s="1"/>
  <c r="I3227" i="1" s="1"/>
  <c r="J3227" i="1" s="1"/>
  <c r="F745" i="2"/>
  <c r="F744" i="2"/>
  <c r="F743" i="2"/>
  <c r="F746" i="2"/>
  <c r="F3183" i="1"/>
  <c r="F3322" i="1"/>
  <c r="G3270" i="1" s="1"/>
  <c r="H1283" i="1"/>
  <c r="I1283" i="1" s="1"/>
  <c r="J1283" i="1" s="1"/>
  <c r="G475" i="1"/>
  <c r="H475" i="1" s="1"/>
  <c r="I475" i="1" s="1"/>
  <c r="J475" i="1" s="1"/>
  <c r="G2366" i="1"/>
  <c r="H2543" i="1"/>
  <c r="I2543" i="1" s="1"/>
  <c r="J2543" i="1" s="1"/>
  <c r="H2806" i="1"/>
  <c r="I2806" i="1" s="1"/>
  <c r="J2806" i="1" s="1"/>
  <c r="H387" i="1"/>
  <c r="I387" i="1" s="1"/>
  <c r="J387" i="1" s="1"/>
  <c r="H3349" i="1"/>
  <c r="I3349" i="1" s="1"/>
  <c r="J3349" i="1" s="1"/>
  <c r="H2225" i="1"/>
  <c r="I2225" i="1" s="1"/>
  <c r="J2225" i="1" s="1"/>
  <c r="H1321" i="1"/>
  <c r="I1321" i="1" s="1"/>
  <c r="J1321" i="1" s="1"/>
  <c r="H1398" i="1"/>
  <c r="I1398" i="1" s="1"/>
  <c r="J1398" i="1" s="1"/>
  <c r="G1681" i="1"/>
  <c r="H1957" i="1"/>
  <c r="I1957" i="1" s="1"/>
  <c r="J1957" i="1" s="1"/>
  <c r="H1885" i="1"/>
  <c r="I1885" i="1" s="1"/>
  <c r="J1885" i="1" s="1"/>
  <c r="H3121" i="1"/>
  <c r="I3121" i="1" s="1"/>
  <c r="J3121" i="1" s="1"/>
  <c r="H127" i="1"/>
  <c r="I127" i="1" s="1"/>
  <c r="J127" i="1" s="1"/>
  <c r="H930" i="1"/>
  <c r="I930" i="1" s="1"/>
  <c r="J930" i="1" s="1"/>
  <c r="H2742" i="1"/>
  <c r="I2742" i="1" s="1"/>
  <c r="J2742" i="1" s="1"/>
  <c r="H2943" i="1"/>
  <c r="I2943" i="1" s="1"/>
  <c r="J2943" i="1" s="1"/>
  <c r="H3398" i="1"/>
  <c r="I3398" i="1" s="1"/>
  <c r="J3398" i="1" s="1"/>
  <c r="G402" i="1"/>
  <c r="H402" i="1" s="1"/>
  <c r="I402" i="1" s="1"/>
  <c r="J402" i="1" s="1"/>
  <c r="H2666" i="1"/>
  <c r="I2666" i="1" s="1"/>
  <c r="J2666" i="1" s="1"/>
  <c r="F1469" i="1"/>
  <c r="G1450" i="1" s="1"/>
  <c r="F2714" i="1"/>
  <c r="G2681" i="1" s="1"/>
  <c r="F2194" i="1"/>
  <c r="F3069" i="1"/>
  <c r="G3037" i="1" s="1"/>
  <c r="F342" i="1"/>
  <c r="F2635" i="1"/>
  <c r="F2615" i="1"/>
  <c r="F2273" i="1"/>
  <c r="G2240" i="1" s="1"/>
  <c r="F1930" i="1"/>
  <c r="G1900" i="1" s="1"/>
  <c r="F2174" i="1"/>
  <c r="F1106" i="1"/>
  <c r="G1074" i="1" s="1"/>
  <c r="F1851" i="1"/>
  <c r="F1831" i="1"/>
  <c r="F448" i="1"/>
  <c r="G417" i="1" s="1"/>
  <c r="F1528" i="1"/>
  <c r="F1182" i="1"/>
  <c r="G1149" i="1" s="1"/>
  <c r="H372" i="1"/>
  <c r="I372" i="1" s="1"/>
  <c r="J372" i="1" s="1"/>
  <c r="F322" i="1"/>
  <c r="H1360" i="1"/>
  <c r="I1360" i="1" s="1"/>
  <c r="J1360" i="1" s="1"/>
  <c r="H71" i="1"/>
  <c r="I71" i="1" s="1"/>
  <c r="J71" i="1" s="1"/>
  <c r="H1626" i="1"/>
  <c r="I1626" i="1" s="1"/>
  <c r="J1626" i="1" s="1"/>
  <c r="E1003" i="1"/>
  <c r="F1003" i="1" s="1"/>
  <c r="G991" i="1" s="1"/>
  <c r="E882" i="1"/>
  <c r="F882" i="1" s="1"/>
  <c r="E867" i="1"/>
  <c r="F867" i="1" s="1"/>
  <c r="E880" i="1"/>
  <c r="F880" i="1" s="1"/>
  <c r="F697" i="1"/>
  <c r="G666" i="1" s="1"/>
  <c r="F67" i="3"/>
  <c r="H67" i="3" s="1"/>
  <c r="F99" i="3"/>
  <c r="H99" i="3" s="1"/>
  <c r="F95" i="3"/>
  <c r="H95" i="3" s="1"/>
  <c r="F97" i="3"/>
  <c r="H97" i="3" s="1"/>
  <c r="F70" i="3"/>
  <c r="H70" i="3" s="1"/>
  <c r="F96" i="3"/>
  <c r="H96" i="3" s="1"/>
  <c r="W27" i="12"/>
  <c r="Y27" i="12"/>
  <c r="Z27" i="12"/>
  <c r="X17" i="12"/>
  <c r="X18" i="12"/>
  <c r="X19" i="12"/>
  <c r="X20" i="12"/>
  <c r="X21" i="12"/>
  <c r="X22" i="12"/>
  <c r="X23" i="12"/>
  <c r="X24" i="12"/>
  <c r="X25" i="12"/>
  <c r="X26" i="12"/>
  <c r="X8" i="12"/>
  <c r="X9" i="12"/>
  <c r="X10" i="12"/>
  <c r="X11" i="12"/>
  <c r="X12" i="12"/>
  <c r="X13" i="12"/>
  <c r="X14" i="12"/>
  <c r="X15" i="12"/>
  <c r="X16" i="12"/>
  <c r="X7" i="12"/>
  <c r="X6" i="12"/>
  <c r="AA11" i="12"/>
  <c r="AA10" i="12"/>
  <c r="AA9" i="12"/>
  <c r="AA8" i="12"/>
  <c r="AA7" i="12"/>
  <c r="AA6" i="12"/>
  <c r="AA13" i="12"/>
  <c r="G2582" i="1" l="1"/>
  <c r="G1799" i="1"/>
  <c r="G2141" i="1"/>
  <c r="H2141" i="1" s="1"/>
  <c r="I2141" i="1" s="1"/>
  <c r="J2141" i="1" s="1"/>
  <c r="G853" i="1"/>
  <c r="H853" i="1" s="1"/>
  <c r="I853" i="1" s="1"/>
  <c r="J853" i="1" s="1"/>
  <c r="G3151" i="1"/>
  <c r="H3151" i="1" s="1"/>
  <c r="I3151" i="1" s="1"/>
  <c r="J3151" i="1" s="1"/>
  <c r="G1509" i="1"/>
  <c r="H1509" i="1" s="1"/>
  <c r="I1509" i="1" s="1"/>
  <c r="J1509" i="1" s="1"/>
  <c r="G291" i="1"/>
  <c r="H291" i="1" s="1"/>
  <c r="I291" i="1" s="1"/>
  <c r="J291" i="1" s="1"/>
  <c r="H2582" i="1"/>
  <c r="I2582" i="1" s="1"/>
  <c r="J2582" i="1" s="1"/>
  <c r="H1799" i="1"/>
  <c r="I1799" i="1" s="1"/>
  <c r="J1799" i="1" s="1"/>
  <c r="H1074" i="1"/>
  <c r="I1074" i="1" s="1"/>
  <c r="J1074" i="1" s="1"/>
  <c r="H1450" i="1"/>
  <c r="I1450" i="1" s="1"/>
  <c r="J1450" i="1" s="1"/>
  <c r="F31" i="1"/>
  <c r="H3037" i="1"/>
  <c r="I3037" i="1" s="1"/>
  <c r="J3037" i="1" s="1"/>
  <c r="H2681" i="1"/>
  <c r="I2681" i="1" s="1"/>
  <c r="J2681" i="1" s="1"/>
  <c r="H1149" i="1"/>
  <c r="I1149" i="1" s="1"/>
  <c r="J1149" i="1" s="1"/>
  <c r="H991" i="1"/>
  <c r="I991" i="1" s="1"/>
  <c r="J991" i="1" s="1"/>
  <c r="H3270" i="1"/>
  <c r="I3270" i="1" s="1"/>
  <c r="J3270" i="1" s="1"/>
  <c r="H417" i="1"/>
  <c r="I417" i="1" s="1"/>
  <c r="J417" i="1" s="1"/>
  <c r="H1900" i="1"/>
  <c r="I1900" i="1" s="1"/>
  <c r="J1900" i="1" s="1"/>
  <c r="H2240" i="1"/>
  <c r="I2240" i="1" s="1"/>
  <c r="J2240" i="1" s="1"/>
  <c r="H160" i="1"/>
  <c r="I160" i="1" s="1"/>
  <c r="J160" i="1" s="1"/>
  <c r="H1740" i="1"/>
  <c r="I1740" i="1" s="1"/>
  <c r="J1740" i="1" s="1"/>
  <c r="H1681" i="1"/>
  <c r="I1681" i="1" s="1"/>
  <c r="J1681" i="1" s="1"/>
  <c r="H740" i="1"/>
  <c r="I740" i="1" s="1"/>
  <c r="J740" i="1" s="1"/>
  <c r="H2439" i="1"/>
  <c r="I2439" i="1" s="1"/>
  <c r="J2439" i="1" s="1"/>
  <c r="H608" i="1"/>
  <c r="I608" i="1" s="1"/>
  <c r="J608" i="1" s="1"/>
  <c r="H231" i="1"/>
  <c r="I231" i="1" s="1"/>
  <c r="J231" i="1" s="1"/>
  <c r="H537" i="1"/>
  <c r="I537" i="1" s="1"/>
  <c r="J537" i="1" s="1"/>
  <c r="H2366" i="1"/>
  <c r="I2366" i="1" s="1"/>
  <c r="J2366" i="1" s="1"/>
  <c r="H666" i="1"/>
  <c r="I666" i="1" s="1"/>
  <c r="J666" i="1" s="1"/>
  <c r="H2021" i="1"/>
  <c r="I2021" i="1" s="1"/>
  <c r="J2021" i="1" s="1"/>
  <c r="H2080" i="1"/>
  <c r="I2080" i="1" s="1"/>
  <c r="J2080" i="1" s="1"/>
  <c r="X27" i="12"/>
  <c r="F62" i="3"/>
  <c r="H62" i="3" s="1"/>
  <c r="F163" i="3"/>
  <c r="H163" i="3" s="1"/>
  <c r="F127" i="3"/>
  <c r="H127" i="3" s="1"/>
  <c r="F126" i="3"/>
  <c r="H126" i="3" s="1"/>
  <c r="F138" i="3"/>
  <c r="H138" i="3" s="1"/>
  <c r="F140" i="3"/>
  <c r="H140" i="3" s="1"/>
  <c r="F124" i="3"/>
  <c r="H124" i="3" s="1"/>
  <c r="F181" i="3"/>
  <c r="H181" i="3" s="1"/>
  <c r="F146" i="3"/>
  <c r="H146" i="3" s="1"/>
  <c r="F120" i="3"/>
  <c r="H120" i="3" s="1"/>
  <c r="F76" i="3"/>
  <c r="H76" i="3" s="1"/>
  <c r="F75" i="3"/>
  <c r="H75" i="3" s="1"/>
  <c r="F156" i="3"/>
  <c r="H156" i="3" s="1"/>
  <c r="F122" i="3"/>
  <c r="H122" i="3" s="1"/>
  <c r="F168" i="3"/>
  <c r="H168" i="3" s="1"/>
  <c r="F125" i="3"/>
  <c r="H125" i="3" s="1"/>
  <c r="F165" i="3"/>
  <c r="H165" i="3" s="1"/>
  <c r="F117" i="3"/>
  <c r="H117" i="3" s="1"/>
  <c r="F164" i="3"/>
  <c r="H164" i="3" s="1"/>
  <c r="F118" i="3"/>
  <c r="H118" i="3" s="1"/>
  <c r="F74" i="3"/>
  <c r="H74" i="3" s="1"/>
  <c r="F98" i="3"/>
  <c r="H98" i="3" s="1"/>
  <c r="F81" i="3"/>
  <c r="H81" i="3" s="1"/>
  <c r="F143" i="3"/>
  <c r="H143" i="3" s="1"/>
  <c r="F147" i="3"/>
  <c r="H147" i="3" s="1"/>
  <c r="F153" i="3"/>
  <c r="H153" i="3" s="1"/>
  <c r="F121" i="3"/>
  <c r="H121" i="3" s="1"/>
  <c r="F160" i="3"/>
  <c r="H160" i="3" s="1"/>
  <c r="F103" i="3"/>
  <c r="H103" i="3" s="1"/>
  <c r="F157" i="3"/>
  <c r="H157" i="3" s="1"/>
  <c r="F102" i="3"/>
  <c r="H102" i="3" s="1"/>
  <c r="F133" i="3"/>
  <c r="H133" i="3" s="1"/>
  <c r="F64" i="3"/>
  <c r="H64" i="3" s="1"/>
  <c r="F72" i="3"/>
  <c r="H72" i="3" s="1"/>
  <c r="F77" i="3"/>
  <c r="H77" i="3" s="1"/>
  <c r="F173" i="3"/>
  <c r="H173" i="3" s="1"/>
  <c r="F145" i="3"/>
  <c r="H145" i="3" s="1"/>
  <c r="F158" i="3"/>
  <c r="H158" i="3" s="1"/>
  <c r="F137" i="3"/>
  <c r="H137" i="3" s="1"/>
  <c r="F100" i="3"/>
  <c r="H100" i="3" s="1"/>
  <c r="F166" i="3"/>
  <c r="H166" i="3" s="1"/>
  <c r="F119" i="3"/>
  <c r="H119" i="3" s="1"/>
  <c r="F142" i="3"/>
  <c r="H142" i="3" s="1"/>
  <c r="F150" i="3"/>
  <c r="H150" i="3" s="1"/>
  <c r="F187" i="3"/>
  <c r="H187" i="3" s="1"/>
  <c r="AA12" i="12"/>
  <c r="AA14" i="12"/>
  <c r="AA15" i="12"/>
  <c r="AA16" i="12"/>
  <c r="AA17" i="12"/>
  <c r="AA18" i="12"/>
  <c r="AA19" i="12"/>
  <c r="AA20" i="12"/>
  <c r="AA21" i="12"/>
  <c r="AA22" i="12"/>
  <c r="AA23" i="12"/>
  <c r="AA24" i="12"/>
  <c r="AA25" i="12"/>
  <c r="AA26" i="12"/>
  <c r="AA27" i="12"/>
  <c r="G10" i="1" l="1"/>
  <c r="H10" i="1" s="1"/>
  <c r="I10" i="1" s="1"/>
  <c r="J10" i="1" s="1"/>
  <c r="J6" i="1" s="1"/>
  <c r="F82" i="3"/>
  <c r="H82" i="3" s="1"/>
  <c r="F104" i="3"/>
  <c r="H104" i="3" s="1"/>
  <c r="F155" i="3"/>
  <c r="H155" i="3" s="1"/>
  <c r="F107" i="3"/>
  <c r="H107" i="3" s="1"/>
  <c r="F130" i="3"/>
  <c r="H130" i="3" s="1"/>
  <c r="F108" i="3"/>
  <c r="H108" i="3" s="1"/>
  <c r="F169" i="3"/>
  <c r="H169" i="3" s="1"/>
  <c r="F116" i="3"/>
  <c r="H116" i="3" s="1"/>
  <c r="F148" i="3"/>
  <c r="H148" i="3" s="1"/>
  <c r="F113" i="3"/>
  <c r="H113" i="3" s="1"/>
  <c r="F78" i="3"/>
  <c r="H78" i="3" s="1"/>
  <c r="F110" i="3"/>
  <c r="H110" i="3" s="1"/>
  <c r="F123" i="3"/>
  <c r="H123" i="3" s="1"/>
  <c r="F172" i="3"/>
  <c r="H172" i="3" s="1"/>
  <c r="F105" i="3"/>
  <c r="H105" i="3" s="1"/>
  <c r="F111" i="3"/>
  <c r="H111" i="3" s="1"/>
  <c r="F149" i="3"/>
  <c r="H149" i="3" s="1"/>
  <c r="F144" i="3"/>
  <c r="H144" i="3" s="1"/>
  <c r="F132" i="3"/>
  <c r="H132" i="3" s="1"/>
  <c r="F101" i="3"/>
  <c r="H101" i="3" s="1"/>
  <c r="F80" i="3"/>
  <c r="H80" i="3" s="1"/>
  <c r="F171" i="3"/>
  <c r="H171" i="3" s="1"/>
  <c r="F170" i="3"/>
  <c r="H170" i="3" s="1"/>
  <c r="F162" i="3"/>
  <c r="H162" i="3" s="1"/>
  <c r="F112" i="3"/>
  <c r="H112" i="3" s="1"/>
  <c r="F106" i="3"/>
  <c r="H106" i="3" s="1"/>
  <c r="F139" i="3"/>
  <c r="H139" i="3" s="1"/>
  <c r="F151" i="3"/>
  <c r="H151" i="3" s="1"/>
  <c r="F128" i="3"/>
  <c r="H128" i="3" s="1"/>
  <c r="F129" i="3"/>
  <c r="H129" i="3" s="1"/>
  <c r="F141" i="3"/>
  <c r="H141" i="3" s="1"/>
  <c r="F83" i="3"/>
  <c r="H83" i="3" s="1"/>
  <c r="F134" i="3"/>
  <c r="H134" i="3" s="1"/>
  <c r="F109" i="3"/>
  <c r="H109" i="3" s="1"/>
  <c r="F154" i="3"/>
  <c r="H154" i="3" s="1"/>
  <c r="F131" i="3"/>
  <c r="H131" i="3" s="1"/>
  <c r="F174" i="3"/>
  <c r="H174" i="3" s="1"/>
  <c r="F152" i="3"/>
  <c r="H152" i="3" s="1"/>
  <c r="F135" i="3"/>
  <c r="H135" i="3" s="1"/>
  <c r="F161" i="3"/>
  <c r="H161" i="3" s="1"/>
  <c r="F167" i="3"/>
  <c r="H167" i="3" s="1"/>
  <c r="F136" i="3"/>
  <c r="H136" i="3" s="1"/>
  <c r="C93" i="6" l="1"/>
  <c r="B88" i="6"/>
  <c r="C88" i="6" s="1"/>
  <c r="B83" i="6" l="1"/>
  <c r="C83" i="6" s="1"/>
  <c r="B77" i="6" l="1"/>
  <c r="C77" i="6" s="1"/>
  <c r="C36" i="6" l="1"/>
  <c r="C5" i="18" l="1"/>
  <c r="B2" i="18"/>
  <c r="C6" i="18" l="1"/>
  <c r="C7" i="18" s="1"/>
  <c r="C8" i="18" s="1"/>
  <c r="C9" i="18" s="1"/>
  <c r="C10" i="18" s="1"/>
  <c r="C11" i="18" s="1"/>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37" i="3" l="1"/>
  <c r="C38" i="3" s="1"/>
  <c r="C39" i="3" s="1"/>
  <c r="C40" i="3" l="1"/>
  <c r="C41" i="3" s="1"/>
  <c r="C42" i="3" s="1"/>
  <c r="C43" i="3" s="1"/>
  <c r="C44" i="3" s="1"/>
  <c r="C45" i="3" s="1"/>
  <c r="C46" i="3" s="1"/>
  <c r="C47" i="3" s="1"/>
  <c r="C48" i="3" s="1"/>
  <c r="C49" i="3" s="1"/>
  <c r="C50" i="3" s="1"/>
  <c r="C51" i="3" s="1"/>
  <c r="C52" i="3" s="1"/>
  <c r="C53" i="3" s="1"/>
  <c r="C54" i="3" s="1"/>
  <c r="C55" i="3" s="1"/>
  <c r="C56" i="3" s="1"/>
  <c r="C57" i="3" s="1"/>
  <c r="C58" i="3" s="1"/>
  <c r="C59" i="3" s="1"/>
  <c r="C60" i="3" s="1"/>
  <c r="C61" i="3" s="1"/>
  <c r="C62" i="3" s="1"/>
  <c r="C63" i="3" s="1"/>
  <c r="C64" i="3" s="1"/>
  <c r="C65" i="3" s="1"/>
  <c r="C66" i="3" s="1"/>
  <c r="C67" i="3" s="1"/>
  <c r="C68" i="3" s="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C164" i="3" s="1"/>
  <c r="C165" i="3" s="1"/>
  <c r="C166" i="3" s="1"/>
  <c r="C167" i="3" s="1"/>
  <c r="C168" i="3" s="1"/>
  <c r="C169" i="3" s="1"/>
  <c r="C170" i="3" s="1"/>
  <c r="C171" i="3" s="1"/>
  <c r="C172" i="3" s="1"/>
  <c r="C173" i="3" s="1"/>
  <c r="C174" i="3" s="1"/>
  <c r="C175" i="3" s="1"/>
  <c r="C176" i="3" s="1"/>
  <c r="C177" i="3" s="1"/>
  <c r="C178" i="3" s="1"/>
  <c r="C179" i="3" s="1"/>
  <c r="C180" i="3" s="1"/>
  <c r="C181" i="3" s="1"/>
  <c r="C182" i="3" s="1"/>
  <c r="C183" i="3" s="1"/>
  <c r="C184" i="3" s="1"/>
  <c r="C185" i="3" s="1"/>
  <c r="C186" i="3" s="1"/>
  <c r="C187" i="3" s="1"/>
  <c r="F34" i="3" l="1"/>
  <c r="H34" i="3" s="1"/>
  <c r="F50" i="3"/>
  <c r="H50" i="3" s="1"/>
  <c r="F65" i="3"/>
  <c r="H65" i="3" s="1"/>
  <c r="F71" i="3"/>
  <c r="H71" i="3" s="1"/>
  <c r="F92" i="3"/>
  <c r="H92" i="3" s="1"/>
  <c r="F185" i="3"/>
  <c r="H185" i="3" s="1"/>
  <c r="F36" i="3"/>
  <c r="H36" i="3" s="1"/>
  <c r="F38" i="3"/>
  <c r="H38" i="3" s="1"/>
  <c r="F49" i="3"/>
  <c r="H49" i="3" s="1"/>
  <c r="F63" i="3"/>
  <c r="H63" i="3" s="1"/>
  <c r="F69" i="3"/>
  <c r="H69" i="3" s="1"/>
  <c r="F186" i="3"/>
  <c r="H186" i="3" s="1"/>
  <c r="F39" i="3"/>
  <c r="H39" i="3" s="1"/>
  <c r="F68" i="3"/>
  <c r="H68" i="3" s="1"/>
  <c r="F45" i="3"/>
  <c r="H45" i="3" s="1"/>
  <c r="F37" i="3"/>
  <c r="H37" i="3" s="1"/>
  <c r="F35" i="3"/>
  <c r="H35" i="3" s="1"/>
  <c r="F85" i="3"/>
  <c r="H85" i="3" s="1"/>
  <c r="F66" i="3"/>
  <c r="H66" i="3" s="1"/>
  <c r="F25" i="3"/>
  <c r="H25" i="3" s="1"/>
  <c r="F31" i="3"/>
  <c r="H31" i="3" s="1"/>
  <c r="O6" i="1" l="1"/>
  <c r="F28" i="3"/>
  <c r="H28" i="3" s="1"/>
  <c r="F29" i="3"/>
  <c r="H29" i="3" s="1"/>
  <c r="F26" i="3"/>
  <c r="H26" i="3" s="1"/>
  <c r="F42" i="3"/>
  <c r="H42" i="3" s="1"/>
  <c r="F88" i="3"/>
  <c r="H88" i="3" s="1"/>
  <c r="F86" i="3"/>
  <c r="H86" i="3" s="1"/>
  <c r="F73" i="3"/>
  <c r="H73" i="3" s="1"/>
  <c r="F55" i="3"/>
  <c r="H55" i="3" s="1"/>
  <c r="F59" i="3"/>
  <c r="H59" i="3" s="1"/>
  <c r="F176" i="3"/>
  <c r="H176" i="3" s="1"/>
  <c r="F159" i="3"/>
  <c r="H159" i="3" s="1"/>
  <c r="F41" i="3"/>
  <c r="H41" i="3" s="1"/>
  <c r="F48" i="3"/>
  <c r="H48" i="3" s="1"/>
  <c r="F94" i="3"/>
  <c r="H94" i="3" s="1"/>
  <c r="F79" i="3"/>
  <c r="H79" i="3" s="1"/>
  <c r="F90" i="3"/>
  <c r="H90" i="3" s="1"/>
  <c r="F52" i="3"/>
  <c r="H52" i="3" s="1"/>
  <c r="F56" i="3"/>
  <c r="H56" i="3" s="1"/>
  <c r="F40" i="3"/>
  <c r="H40" i="3" s="1"/>
  <c r="F184" i="3"/>
  <c r="H184" i="3" s="1"/>
  <c r="F180" i="3"/>
  <c r="H180" i="3" s="1"/>
  <c r="F27" i="3"/>
  <c r="H27" i="3" s="1"/>
  <c r="F32" i="3"/>
  <c r="H32" i="3" s="1"/>
  <c r="F44" i="3"/>
  <c r="H44" i="3" s="1"/>
  <c r="F47" i="3"/>
  <c r="H47" i="3" s="1"/>
  <c r="F93" i="3"/>
  <c r="H93" i="3" s="1"/>
  <c r="F87" i="3"/>
  <c r="H87" i="3" s="1"/>
  <c r="F91" i="3"/>
  <c r="H91" i="3" s="1"/>
  <c r="F54" i="3"/>
  <c r="H54" i="3" s="1"/>
  <c r="F53" i="3"/>
  <c r="H53" i="3" s="1"/>
  <c r="F177" i="3"/>
  <c r="H177" i="3" s="1"/>
  <c r="F182" i="3"/>
  <c r="H182" i="3" s="1"/>
  <c r="F33" i="3"/>
  <c r="H33" i="3" s="1"/>
  <c r="F43" i="3"/>
  <c r="H43" i="3" s="1"/>
  <c r="F84" i="3"/>
  <c r="H84" i="3" s="1"/>
  <c r="F89" i="3"/>
  <c r="H89" i="3" s="1"/>
  <c r="F51" i="3"/>
  <c r="H51" i="3" s="1"/>
  <c r="F58" i="3"/>
  <c r="H58" i="3" s="1"/>
  <c r="F46" i="3"/>
  <c r="H46" i="3" s="1"/>
  <c r="F60" i="3"/>
  <c r="H60" i="3" s="1"/>
  <c r="F183" i="3"/>
  <c r="H183" i="3" s="1"/>
  <c r="F179" i="3"/>
  <c r="H179" i="3" s="1"/>
  <c r="F18" i="3"/>
  <c r="H18" i="3" s="1"/>
  <c r="F19" i="3"/>
  <c r="H19" i="3" s="1"/>
  <c r="F24" i="3"/>
  <c r="H24" i="3" s="1"/>
  <c r="F22" i="3"/>
  <c r="H22" i="3" s="1"/>
  <c r="F23" i="3"/>
  <c r="H23" i="3" s="1"/>
  <c r="B72" i="6"/>
  <c r="C72" i="6" s="1"/>
  <c r="F57" i="3" l="1"/>
  <c r="H57" i="3" s="1"/>
  <c r="F175" i="3"/>
  <c r="H175" i="3" s="1"/>
  <c r="F178" i="3"/>
  <c r="H178" i="3" s="1"/>
  <c r="F115" i="3"/>
  <c r="H115" i="3" s="1"/>
  <c r="F114" i="3"/>
  <c r="H114" i="3" s="1"/>
  <c r="F21" i="3"/>
  <c r="H21" i="3" s="1"/>
  <c r="F4" i="17" l="1"/>
  <c r="D4" i="17"/>
  <c r="F3" i="17"/>
  <c r="D3" i="17"/>
  <c r="G4" i="17" l="1"/>
  <c r="H4" i="17"/>
  <c r="G3" i="17"/>
  <c r="H3" i="17"/>
  <c r="E4" i="17"/>
  <c r="E3" i="17"/>
  <c r="V27" i="12" l="1"/>
  <c r="U27" i="12"/>
  <c r="T27" i="12"/>
  <c r="S27" i="12"/>
  <c r="R27" i="12"/>
  <c r="Q27" i="12"/>
  <c r="P27" i="12"/>
  <c r="O27" i="12"/>
  <c r="N27" i="12"/>
  <c r="J27" i="12"/>
  <c r="I27" i="12"/>
  <c r="H27" i="12"/>
  <c r="G27" i="12"/>
  <c r="F27" i="12"/>
  <c r="E27" i="12"/>
  <c r="D27" i="12"/>
  <c r="C27" i="12"/>
  <c r="C7" i="6" l="1"/>
  <c r="M26" i="12" l="1"/>
  <c r="L26" i="12"/>
  <c r="K26" i="12"/>
  <c r="M25" i="12"/>
  <c r="L25" i="12"/>
  <c r="K25" i="12"/>
  <c r="M24" i="12"/>
  <c r="L24" i="12"/>
  <c r="K24" i="12"/>
  <c r="M23" i="12"/>
  <c r="L23" i="12"/>
  <c r="K23" i="12"/>
  <c r="M22" i="12"/>
  <c r="L22" i="12"/>
  <c r="K22" i="12"/>
  <c r="M21" i="12"/>
  <c r="L21" i="12"/>
  <c r="K21" i="12"/>
  <c r="M20" i="12"/>
  <c r="L20" i="12"/>
  <c r="K20" i="12"/>
  <c r="M19" i="12"/>
  <c r="L19" i="12"/>
  <c r="K19" i="12"/>
  <c r="M18" i="12"/>
  <c r="L18" i="12"/>
  <c r="K18" i="12"/>
  <c r="M17" i="12"/>
  <c r="L17" i="12"/>
  <c r="K17" i="12"/>
  <c r="M16" i="12"/>
  <c r="L16" i="12"/>
  <c r="K16" i="12"/>
  <c r="M15" i="12"/>
  <c r="L15" i="12"/>
  <c r="K15" i="12"/>
  <c r="M14" i="12"/>
  <c r="L14" i="12"/>
  <c r="K14" i="12"/>
  <c r="M13" i="12"/>
  <c r="L13" i="12"/>
  <c r="K13" i="12"/>
  <c r="M12" i="12"/>
  <c r="L12" i="12"/>
  <c r="K12" i="12"/>
  <c r="M11" i="12"/>
  <c r="L11" i="12"/>
  <c r="K11" i="12"/>
  <c r="M10" i="12"/>
  <c r="L10" i="12"/>
  <c r="K10" i="12"/>
  <c r="M9" i="12"/>
  <c r="L9" i="12"/>
  <c r="K9" i="12"/>
  <c r="M8" i="12"/>
  <c r="L8" i="12"/>
  <c r="K8" i="12"/>
  <c r="M7" i="12"/>
  <c r="L7" i="12"/>
  <c r="K7" i="12"/>
  <c r="M6" i="12"/>
  <c r="L6" i="12"/>
  <c r="K6" i="12"/>
  <c r="M27" i="12" l="1"/>
  <c r="L27" i="12"/>
  <c r="K27" i="12"/>
  <c r="F7" i="6" l="1"/>
  <c r="J24" i="4" l="1"/>
  <c r="J10" i="4"/>
  <c r="J232" i="5" l="1"/>
  <c r="N232" i="5" s="1"/>
  <c r="J225" i="5"/>
  <c r="N225" i="5" s="1"/>
  <c r="J196" i="5"/>
  <c r="N196" i="5" s="1"/>
  <c r="J233" i="5"/>
  <c r="N233" i="5" s="1"/>
  <c r="J221" i="5"/>
  <c r="N221" i="5" s="1"/>
  <c r="J220" i="5"/>
  <c r="N220" i="5" s="1"/>
  <c r="J197" i="5"/>
  <c r="N197" i="5" s="1"/>
  <c r="J208" i="5"/>
  <c r="N208" i="5" s="1"/>
  <c r="J226" i="5"/>
  <c r="N226" i="5" s="1"/>
  <c r="J209" i="5"/>
  <c r="N209" i="5" s="1"/>
  <c r="J190" i="5"/>
  <c r="N190" i="5" s="1"/>
  <c r="J189" i="5"/>
  <c r="N189" i="5" s="1"/>
  <c r="J202" i="5"/>
  <c r="N202" i="5" s="1"/>
  <c r="J201" i="5"/>
  <c r="N201" i="5" s="1"/>
  <c r="J185" i="5"/>
  <c r="N185" i="5" s="1"/>
  <c r="J178" i="5"/>
  <c r="N178" i="5" s="1"/>
  <c r="J177" i="5"/>
  <c r="N177" i="5" s="1"/>
  <c r="J184" i="5"/>
  <c r="N184" i="5" s="1"/>
  <c r="J132" i="5"/>
  <c r="N132" i="5" s="1"/>
  <c r="J131" i="5"/>
  <c r="N131" i="5" s="1"/>
  <c r="J89" i="5"/>
  <c r="N89" i="5" s="1"/>
  <c r="J88" i="5"/>
  <c r="N88" i="5" s="1"/>
  <c r="J286" i="5"/>
  <c r="N286" i="5" s="1"/>
  <c r="J172" i="5"/>
  <c r="N172" i="5" s="1"/>
  <c r="J166" i="5"/>
  <c r="N166" i="5" s="1"/>
  <c r="J173" i="5"/>
  <c r="N173" i="5" s="1"/>
  <c r="J165" i="5"/>
  <c r="N165" i="5" s="1"/>
  <c r="J272" i="5"/>
  <c r="N272" i="5" s="1"/>
  <c r="J142" i="5"/>
  <c r="N142" i="5" s="1"/>
  <c r="J141" i="5"/>
  <c r="N141" i="5" s="1"/>
  <c r="J148" i="5"/>
  <c r="N148" i="5" s="1"/>
  <c r="J149" i="5"/>
  <c r="N149" i="5" s="1"/>
  <c r="E7" i="6"/>
  <c r="B7" i="6" l="1"/>
  <c r="Q4" i="5" l="1"/>
  <c r="J23" i="4" l="1"/>
  <c r="J7" i="4"/>
  <c r="J8" i="4"/>
  <c r="J9" i="4"/>
  <c r="J11" i="4"/>
  <c r="J12" i="4"/>
  <c r="J13" i="4"/>
  <c r="J15" i="4"/>
  <c r="J16" i="4"/>
  <c r="J18" i="4"/>
  <c r="J19" i="4"/>
  <c r="J20" i="4"/>
  <c r="J21" i="4"/>
  <c r="J22" i="4"/>
  <c r="J6" i="4"/>
  <c r="J227" i="5" l="1"/>
  <c r="N227" i="5" s="1"/>
  <c r="N234" i="5" s="1"/>
  <c r="J191" i="5"/>
  <c r="N191" i="5" s="1"/>
  <c r="N198" i="5" s="1"/>
  <c r="J215" i="5"/>
  <c r="N215" i="5" s="1"/>
  <c r="N222" i="5" s="1"/>
  <c r="J203" i="5"/>
  <c r="N203" i="5" s="1"/>
  <c r="N210" i="5" s="1"/>
  <c r="J154" i="5"/>
  <c r="N154" i="5" s="1"/>
  <c r="J179" i="5"/>
  <c r="N179" i="5" s="1"/>
  <c r="N186" i="5" s="1"/>
  <c r="J239" i="5"/>
  <c r="N239" i="5" s="1"/>
  <c r="J280" i="5"/>
  <c r="N280" i="5" s="1"/>
  <c r="N287" i="5" s="1"/>
  <c r="J253" i="5"/>
  <c r="N253" i="5" s="1"/>
  <c r="J167" i="5"/>
  <c r="N167" i="5" s="1"/>
  <c r="N174" i="5" s="1"/>
  <c r="J266" i="5"/>
  <c r="N266" i="5" s="1"/>
  <c r="N273" i="5" s="1"/>
  <c r="J143" i="5"/>
  <c r="N143" i="5" s="1"/>
  <c r="N150" i="5" s="1"/>
  <c r="J97" i="5"/>
  <c r="N97" i="5" s="1"/>
  <c r="J98" i="5"/>
  <c r="N98" i="5" s="1"/>
  <c r="J119" i="5"/>
  <c r="N119" i="5" s="1"/>
  <c r="J118" i="5"/>
  <c r="N118" i="5" s="1"/>
  <c r="J76" i="5"/>
  <c r="N76" i="5" s="1"/>
  <c r="J72" i="5"/>
  <c r="N72" i="5" s="1"/>
  <c r="J75" i="5"/>
  <c r="N75" i="5" s="1"/>
  <c r="J58" i="5"/>
  <c r="N58" i="5" s="1"/>
  <c r="J55" i="5"/>
  <c r="N55" i="5" s="1"/>
  <c r="J59" i="5"/>
  <c r="N59" i="5" s="1"/>
  <c r="J258" i="5"/>
  <c r="N258" i="5" s="1"/>
  <c r="J251" i="5"/>
  <c r="N251" i="5" s="1"/>
  <c r="J252" i="5"/>
  <c r="N252" i="5" s="1"/>
  <c r="J100" i="5"/>
  <c r="N100" i="5" s="1"/>
  <c r="J99" i="5"/>
  <c r="N99" i="5" s="1"/>
  <c r="J109" i="5"/>
  <c r="N109" i="5" s="1"/>
  <c r="J103" i="5"/>
  <c r="N103" i="5" s="1"/>
  <c r="J101" i="5"/>
  <c r="N101" i="5" s="1"/>
  <c r="J110" i="5"/>
  <c r="N110" i="5" s="1"/>
  <c r="J108" i="5"/>
  <c r="N108" i="5" s="1"/>
  <c r="J102" i="5"/>
  <c r="N102" i="5" s="1"/>
  <c r="J130" i="5"/>
  <c r="N130" i="5" s="1"/>
  <c r="J129" i="5"/>
  <c r="N129" i="5" s="1"/>
  <c r="J137" i="5"/>
  <c r="N137" i="5" s="1"/>
  <c r="J136" i="5"/>
  <c r="N136" i="5" s="1"/>
  <c r="J135" i="5"/>
  <c r="N135" i="5" s="1"/>
  <c r="J128" i="5"/>
  <c r="N128" i="5" s="1"/>
  <c r="J127" i="5"/>
  <c r="N127" i="5" s="1"/>
  <c r="J120" i="5"/>
  <c r="N120" i="5" s="1"/>
  <c r="J116" i="5"/>
  <c r="N116" i="5" s="1"/>
  <c r="J114" i="5"/>
  <c r="N114" i="5" s="1"/>
  <c r="J126" i="5"/>
  <c r="N126" i="5" s="1"/>
  <c r="J125" i="5"/>
  <c r="N125" i="5" s="1"/>
  <c r="J117" i="5"/>
  <c r="N117" i="5" s="1"/>
  <c r="J115" i="5"/>
  <c r="N115" i="5" s="1"/>
  <c r="J87" i="5"/>
  <c r="N87" i="5" s="1"/>
  <c r="J93" i="5"/>
  <c r="N93" i="5" s="1"/>
  <c r="J84" i="5"/>
  <c r="N84" i="5" s="1"/>
  <c r="J73" i="5"/>
  <c r="N73" i="5" s="1"/>
  <c r="J86" i="5"/>
  <c r="N86" i="5" s="1"/>
  <c r="J82" i="5"/>
  <c r="N82" i="5" s="1"/>
  <c r="J74" i="5"/>
  <c r="N74" i="5" s="1"/>
  <c r="J83" i="5"/>
  <c r="N83" i="5" s="1"/>
  <c r="J65" i="5"/>
  <c r="N65" i="5" s="1"/>
  <c r="J94" i="5"/>
  <c r="N94" i="5" s="1"/>
  <c r="J85" i="5"/>
  <c r="N85" i="5" s="1"/>
  <c r="J77" i="5"/>
  <c r="N77" i="5" s="1"/>
  <c r="J92" i="5"/>
  <c r="N92" i="5" s="1"/>
  <c r="J71" i="5"/>
  <c r="N71" i="5" s="1"/>
  <c r="J60" i="5"/>
  <c r="N60" i="5" s="1"/>
  <c r="J49" i="5"/>
  <c r="N49" i="5" s="1"/>
  <c r="J45" i="5"/>
  <c r="N45" i="5" s="1"/>
  <c r="J41" i="5"/>
  <c r="N41" i="5" s="1"/>
  <c r="J66" i="5"/>
  <c r="N66" i="5" s="1"/>
  <c r="J57" i="5"/>
  <c r="N57" i="5" s="1"/>
  <c r="J54" i="5"/>
  <c r="N54" i="5" s="1"/>
  <c r="J50" i="5"/>
  <c r="N50" i="5" s="1"/>
  <c r="J46" i="5"/>
  <c r="N46" i="5" s="1"/>
  <c r="J42" i="5"/>
  <c r="N42" i="5" s="1"/>
  <c r="J67" i="5"/>
  <c r="N67" i="5" s="1"/>
  <c r="J47" i="5"/>
  <c r="N47" i="5" s="1"/>
  <c r="J43" i="5"/>
  <c r="N43" i="5" s="1"/>
  <c r="J56" i="5"/>
  <c r="N56" i="5" s="1"/>
  <c r="J48" i="5"/>
  <c r="N48" i="5" s="1"/>
  <c r="J44" i="5"/>
  <c r="N44" i="5" s="1"/>
  <c r="J30" i="5"/>
  <c r="N30" i="5" s="1"/>
  <c r="J22" i="5"/>
  <c r="N22" i="5" s="1"/>
  <c r="J31" i="5"/>
  <c r="N31" i="5" s="1"/>
  <c r="J23" i="5"/>
  <c r="N23" i="5" s="1"/>
  <c r="J32" i="5"/>
  <c r="N32" i="5" s="1"/>
  <c r="J20" i="5"/>
  <c r="N20" i="5" s="1"/>
  <c r="J21" i="5"/>
  <c r="N21" i="5" s="1"/>
  <c r="J25" i="5"/>
  <c r="N25" i="5" s="1"/>
  <c r="J18" i="5"/>
  <c r="N18" i="5" s="1"/>
  <c r="J36" i="5"/>
  <c r="N36" i="5" s="1"/>
  <c r="J16" i="5"/>
  <c r="N16" i="5" s="1"/>
  <c r="J17" i="5"/>
  <c r="N17" i="5" s="1"/>
  <c r="J153" i="5"/>
  <c r="N153" i="5" s="1"/>
  <c r="J152" i="5"/>
  <c r="N152" i="5" s="1"/>
  <c r="J159" i="5"/>
  <c r="N159" i="5" s="1"/>
  <c r="J160" i="5"/>
  <c r="N160" i="5" s="1"/>
  <c r="J107" i="5"/>
  <c r="N107" i="5" s="1"/>
  <c r="J124" i="5"/>
  <c r="N124" i="5" s="1"/>
  <c r="J134" i="5"/>
  <c r="N134" i="5" s="1"/>
  <c r="J91" i="5"/>
  <c r="N91" i="5" s="1"/>
  <c r="J81" i="5"/>
  <c r="N81" i="5" s="1"/>
  <c r="J64" i="5"/>
  <c r="N64" i="5" s="1"/>
  <c r="J26" i="5"/>
  <c r="N26" i="5" s="1"/>
  <c r="J28" i="5"/>
  <c r="N28" i="5" s="1"/>
  <c r="J27" i="5"/>
  <c r="N27" i="5" s="1"/>
  <c r="J245" i="5"/>
  <c r="N245" i="5" s="1"/>
  <c r="J259" i="5"/>
  <c r="N259" i="5" s="1"/>
  <c r="J9" i="5"/>
  <c r="N9" i="5" s="1"/>
  <c r="J8" i="5"/>
  <c r="N8" i="5" s="1"/>
  <c r="J10" i="5"/>
  <c r="N10" i="5" s="1"/>
  <c r="J12" i="5"/>
  <c r="N12" i="5" s="1"/>
  <c r="N39" i="5" l="1"/>
  <c r="N68" i="5"/>
  <c r="N260" i="5"/>
  <c r="N138" i="5"/>
  <c r="N246" i="5"/>
  <c r="N161" i="5"/>
  <c r="N111" i="5"/>
  <c r="N13" i="5"/>
  <c r="N51" i="5"/>
  <c r="N95" i="5"/>
  <c r="F30" i="3"/>
  <c r="H30" i="3" s="1"/>
  <c r="F20" i="3" l="1"/>
  <c r="H20" i="3" s="1"/>
  <c r="F61" i="3" l="1"/>
  <c r="H61" i="3" s="1"/>
  <c r="H189" i="3" s="1"/>
  <c r="H190" i="3" s="1"/>
  <c r="H191"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Jorge Arturo Espinoza</author>
    <author>Jean Inga</author>
  </authors>
  <commentList>
    <comment ref="D5" authorId="0" shapeId="0" xr:uid="{00000000-0006-0000-0000-000001000000}">
      <text>
        <r>
          <rPr>
            <b/>
            <sz val="9"/>
            <color indexed="81"/>
            <rFont val="Tahoma"/>
            <family val="2"/>
          </rPr>
          <t>Jorge Arturo Espinoza:</t>
        </r>
        <r>
          <rPr>
            <sz val="9"/>
            <color indexed="81"/>
            <rFont val="Tahoma"/>
            <family val="2"/>
          </rPr>
          <t xml:space="preserve">
el mayor</t>
        </r>
      </text>
    </comment>
    <comment ref="B210" authorId="0" shapeId="0" xr:uid="{00000000-0006-0000-0000-000002000000}">
      <text>
        <r>
          <rPr>
            <b/>
            <sz val="9"/>
            <color indexed="81"/>
            <rFont val="Tahoma"/>
            <family val="2"/>
          </rPr>
          <t>Jorge Arturo Espinoza:</t>
        </r>
        <r>
          <rPr>
            <sz val="9"/>
            <color indexed="81"/>
            <rFont val="Tahoma"/>
            <family val="2"/>
          </rPr>
          <t xml:space="preserve">
Solo si tiene linea neutro</t>
        </r>
      </text>
    </comment>
    <comment ref="D210" authorId="0" shapeId="0" xr:uid="{00000000-0006-0000-0000-000003000000}">
      <text>
        <r>
          <rPr>
            <b/>
            <sz val="9"/>
            <color indexed="81"/>
            <rFont val="Tahoma"/>
            <family val="2"/>
          </rPr>
          <t>Jorge Arturo Espinoza:</t>
        </r>
        <r>
          <rPr>
            <sz val="9"/>
            <color indexed="81"/>
            <rFont val="Tahoma"/>
            <family val="2"/>
          </rPr>
          <t xml:space="preserve">
Solo si tiene linea neutro</t>
        </r>
      </text>
    </comment>
    <comment ref="B271" authorId="0" shapeId="0" xr:uid="{00000000-0006-0000-0000-000004000000}">
      <text>
        <r>
          <rPr>
            <b/>
            <sz val="9"/>
            <color indexed="81"/>
            <rFont val="Tahoma"/>
            <family val="2"/>
          </rPr>
          <t>Jorge Arturo Espinoza:</t>
        </r>
        <r>
          <rPr>
            <sz val="9"/>
            <color indexed="81"/>
            <rFont val="Tahoma"/>
            <family val="2"/>
          </rPr>
          <t xml:space="preserve">
Solo si tiene linea neutro</t>
        </r>
      </text>
    </comment>
    <comment ref="D271" authorId="0" shapeId="0" xr:uid="{00000000-0006-0000-0000-000005000000}">
      <text>
        <r>
          <rPr>
            <b/>
            <sz val="9"/>
            <color indexed="81"/>
            <rFont val="Tahoma"/>
            <family val="2"/>
          </rPr>
          <t>Jorge Arturo Espinoza:</t>
        </r>
        <r>
          <rPr>
            <sz val="9"/>
            <color indexed="81"/>
            <rFont val="Tahoma"/>
            <family val="2"/>
          </rPr>
          <t xml:space="preserve">
Solo si tiene linea neutro</t>
        </r>
      </text>
    </comment>
    <comment ref="B354" authorId="0" shapeId="0" xr:uid="{00000000-0006-0000-0000-000006000000}">
      <text>
        <r>
          <rPr>
            <b/>
            <sz val="9"/>
            <color indexed="81"/>
            <rFont val="Tahoma"/>
            <family val="2"/>
          </rPr>
          <t>Jorge Arturo Espinoza:</t>
        </r>
        <r>
          <rPr>
            <sz val="9"/>
            <color indexed="81"/>
            <rFont val="Tahoma"/>
            <family val="2"/>
          </rPr>
          <t xml:space="preserve">
Solo si tiene linea neutro</t>
        </r>
      </text>
    </comment>
    <comment ref="D354" authorId="0" shapeId="0" xr:uid="{00000000-0006-0000-0000-000007000000}">
      <text>
        <r>
          <rPr>
            <b/>
            <sz val="9"/>
            <color indexed="81"/>
            <rFont val="Tahoma"/>
            <family val="2"/>
          </rPr>
          <t>Jorge Arturo Espinoza:</t>
        </r>
        <r>
          <rPr>
            <sz val="9"/>
            <color indexed="81"/>
            <rFont val="Tahoma"/>
            <family val="2"/>
          </rPr>
          <t xml:space="preserve">
Solo si tiene linea neutro</t>
        </r>
      </text>
    </comment>
    <comment ref="B460" authorId="0" shapeId="0" xr:uid="{00000000-0006-0000-0000-000008000000}">
      <text>
        <r>
          <rPr>
            <b/>
            <sz val="9"/>
            <color indexed="81"/>
            <rFont val="Tahoma"/>
            <family val="2"/>
          </rPr>
          <t>Jorge Arturo Espinoza:</t>
        </r>
        <r>
          <rPr>
            <sz val="9"/>
            <color indexed="81"/>
            <rFont val="Tahoma"/>
            <family val="2"/>
          </rPr>
          <t xml:space="preserve">
Solo si tiene linea neutro</t>
        </r>
      </text>
    </comment>
    <comment ref="D460" authorId="0" shapeId="0" xr:uid="{00000000-0006-0000-0000-000009000000}">
      <text>
        <r>
          <rPr>
            <b/>
            <sz val="9"/>
            <color indexed="81"/>
            <rFont val="Tahoma"/>
            <family val="2"/>
          </rPr>
          <t>Jorge Arturo Espinoza:</t>
        </r>
        <r>
          <rPr>
            <sz val="9"/>
            <color indexed="81"/>
            <rFont val="Tahoma"/>
            <family val="2"/>
          </rPr>
          <t xml:space="preserve">
Solo si tiene linea neutro</t>
        </r>
      </text>
    </comment>
    <comment ref="B521" authorId="0" shapeId="0" xr:uid="{00000000-0006-0000-0000-00000A000000}">
      <text>
        <r>
          <rPr>
            <b/>
            <sz val="9"/>
            <color indexed="81"/>
            <rFont val="Tahoma"/>
            <family val="2"/>
          </rPr>
          <t>Jorge Arturo Espinoza:</t>
        </r>
        <r>
          <rPr>
            <sz val="9"/>
            <color indexed="81"/>
            <rFont val="Tahoma"/>
            <family val="2"/>
          </rPr>
          <t xml:space="preserve">
Solo si tiene linea neutro</t>
        </r>
      </text>
    </comment>
    <comment ref="D521" authorId="0" shapeId="0" xr:uid="{00000000-0006-0000-0000-00000B000000}">
      <text>
        <r>
          <rPr>
            <b/>
            <sz val="9"/>
            <color indexed="81"/>
            <rFont val="Tahoma"/>
            <family val="2"/>
          </rPr>
          <t>Jorge Arturo Espinoza:</t>
        </r>
        <r>
          <rPr>
            <sz val="9"/>
            <color indexed="81"/>
            <rFont val="Tahoma"/>
            <family val="2"/>
          </rPr>
          <t xml:space="preserve">
Solo si tiene linea neutro</t>
        </r>
      </text>
    </comment>
    <comment ref="B587" authorId="0" shapeId="0" xr:uid="{00000000-0006-0000-0000-00000C000000}">
      <text>
        <r>
          <rPr>
            <b/>
            <sz val="9"/>
            <color indexed="81"/>
            <rFont val="Tahoma"/>
            <family val="2"/>
          </rPr>
          <t>Jorge Arturo Espinoza:</t>
        </r>
        <r>
          <rPr>
            <sz val="9"/>
            <color indexed="81"/>
            <rFont val="Tahoma"/>
            <family val="2"/>
          </rPr>
          <t xml:space="preserve">
Solo si tiene linea neutro</t>
        </r>
      </text>
    </comment>
    <comment ref="D587" authorId="0" shapeId="0" xr:uid="{00000000-0006-0000-0000-00000D000000}">
      <text>
        <r>
          <rPr>
            <b/>
            <sz val="9"/>
            <color indexed="81"/>
            <rFont val="Tahoma"/>
            <family val="2"/>
          </rPr>
          <t>Jorge Arturo Espinoza:</t>
        </r>
        <r>
          <rPr>
            <sz val="9"/>
            <color indexed="81"/>
            <rFont val="Tahoma"/>
            <family val="2"/>
          </rPr>
          <t xml:space="preserve">
Solo si tiene linea neutro</t>
        </r>
      </text>
    </comment>
    <comment ref="B647" authorId="0" shapeId="0" xr:uid="{00000000-0006-0000-0000-00000E000000}">
      <text>
        <r>
          <rPr>
            <b/>
            <sz val="9"/>
            <color indexed="81"/>
            <rFont val="Tahoma"/>
            <family val="2"/>
          </rPr>
          <t>Jorge Arturo Espinoza:</t>
        </r>
        <r>
          <rPr>
            <sz val="9"/>
            <color indexed="81"/>
            <rFont val="Tahoma"/>
            <family val="2"/>
          </rPr>
          <t xml:space="preserve">
Solo si tiene linea neutro</t>
        </r>
      </text>
    </comment>
    <comment ref="D647" authorId="0" shapeId="0" xr:uid="{00000000-0006-0000-0000-00000F000000}">
      <text>
        <r>
          <rPr>
            <b/>
            <sz val="9"/>
            <color indexed="81"/>
            <rFont val="Tahoma"/>
            <family val="2"/>
          </rPr>
          <t>Jorge Arturo Espinoza:</t>
        </r>
        <r>
          <rPr>
            <sz val="9"/>
            <color indexed="81"/>
            <rFont val="Tahoma"/>
            <family val="2"/>
          </rPr>
          <t xml:space="preserve">
Solo si tiene linea neutro</t>
        </r>
      </text>
    </comment>
    <comment ref="B721" authorId="0" shapeId="0" xr:uid="{00000000-0006-0000-0000-000010000000}">
      <text>
        <r>
          <rPr>
            <b/>
            <sz val="9"/>
            <color indexed="81"/>
            <rFont val="Tahoma"/>
            <family val="2"/>
          </rPr>
          <t>Jorge Arturo Espinoza:</t>
        </r>
        <r>
          <rPr>
            <sz val="9"/>
            <color indexed="81"/>
            <rFont val="Tahoma"/>
            <family val="2"/>
          </rPr>
          <t xml:space="preserve">
Solo si tiene linea neutro</t>
        </r>
      </text>
    </comment>
    <comment ref="D721" authorId="0" shapeId="0" xr:uid="{00000000-0006-0000-0000-000011000000}">
      <text>
        <r>
          <rPr>
            <b/>
            <sz val="9"/>
            <color indexed="81"/>
            <rFont val="Tahoma"/>
            <family val="2"/>
          </rPr>
          <t>Jorge Arturo Espinoza:</t>
        </r>
        <r>
          <rPr>
            <sz val="9"/>
            <color indexed="81"/>
            <rFont val="Tahoma"/>
            <family val="2"/>
          </rPr>
          <t xml:space="preserve">
Solo si tiene linea neutro</t>
        </r>
      </text>
    </comment>
    <comment ref="B773" authorId="0" shapeId="0" xr:uid="{00000000-0006-0000-0000-000012000000}">
      <text>
        <r>
          <rPr>
            <b/>
            <sz val="9"/>
            <color indexed="81"/>
            <rFont val="Tahoma"/>
            <family val="2"/>
          </rPr>
          <t>Jorge Arturo Espinoza:</t>
        </r>
        <r>
          <rPr>
            <sz val="9"/>
            <color indexed="81"/>
            <rFont val="Tahoma"/>
            <family val="2"/>
          </rPr>
          <t xml:space="preserve">
Solo si tiene linea neutro</t>
        </r>
      </text>
    </comment>
    <comment ref="D773" authorId="0" shapeId="0" xr:uid="{00000000-0006-0000-0000-000013000000}">
      <text>
        <r>
          <rPr>
            <b/>
            <sz val="9"/>
            <color indexed="81"/>
            <rFont val="Tahoma"/>
            <family val="2"/>
          </rPr>
          <t>Jorge Arturo Espinoza:</t>
        </r>
        <r>
          <rPr>
            <sz val="9"/>
            <color indexed="81"/>
            <rFont val="Tahoma"/>
            <family val="2"/>
          </rPr>
          <t xml:space="preserve">
Solo si tiene linea neutro</t>
        </r>
      </text>
    </comment>
    <comment ref="B837" authorId="0" shapeId="0" xr:uid="{00000000-0006-0000-0000-000014000000}">
      <text>
        <r>
          <rPr>
            <b/>
            <sz val="9"/>
            <color indexed="81"/>
            <rFont val="Tahoma"/>
            <family val="2"/>
          </rPr>
          <t>Jorge Arturo Espinoza:</t>
        </r>
        <r>
          <rPr>
            <sz val="9"/>
            <color indexed="81"/>
            <rFont val="Tahoma"/>
            <family val="2"/>
          </rPr>
          <t xml:space="preserve">
Solo si tiene linea neutro</t>
        </r>
      </text>
    </comment>
    <comment ref="D837" authorId="0" shapeId="0" xr:uid="{00000000-0006-0000-0000-000015000000}">
      <text>
        <r>
          <rPr>
            <b/>
            <sz val="9"/>
            <color indexed="81"/>
            <rFont val="Tahoma"/>
            <family val="2"/>
          </rPr>
          <t>Jorge Arturo Espinoza:</t>
        </r>
        <r>
          <rPr>
            <sz val="9"/>
            <color indexed="81"/>
            <rFont val="Tahoma"/>
            <family val="2"/>
          </rPr>
          <t xml:space="preserve">
Solo si tiene linea neutro</t>
        </r>
      </text>
    </comment>
    <comment ref="B909" authorId="0" shapeId="0" xr:uid="{00000000-0006-0000-0000-000016000000}">
      <text>
        <r>
          <rPr>
            <b/>
            <sz val="9"/>
            <color indexed="81"/>
            <rFont val="Tahoma"/>
            <family val="2"/>
          </rPr>
          <t>Jorge Arturo Espinoza:</t>
        </r>
        <r>
          <rPr>
            <sz val="9"/>
            <color indexed="81"/>
            <rFont val="Tahoma"/>
            <family val="2"/>
          </rPr>
          <t xml:space="preserve">
Solo si tiene linea neutro</t>
        </r>
      </text>
    </comment>
    <comment ref="B971" authorId="0" shapeId="0" xr:uid="{00000000-0006-0000-0000-000017000000}">
      <text>
        <r>
          <rPr>
            <b/>
            <sz val="9"/>
            <color indexed="81"/>
            <rFont val="Tahoma"/>
            <family val="2"/>
          </rPr>
          <t>Jorge Arturo Espinoza:</t>
        </r>
        <r>
          <rPr>
            <sz val="9"/>
            <color indexed="81"/>
            <rFont val="Tahoma"/>
            <family val="2"/>
          </rPr>
          <t xml:space="preserve">
Solo si tiene linea neutro</t>
        </r>
      </text>
    </comment>
    <comment ref="D971" authorId="0" shapeId="0" xr:uid="{00000000-0006-0000-0000-000018000000}">
      <text>
        <r>
          <rPr>
            <b/>
            <sz val="9"/>
            <color indexed="81"/>
            <rFont val="Tahoma"/>
            <family val="2"/>
          </rPr>
          <t>Jorge Arturo Espinoza:</t>
        </r>
        <r>
          <rPr>
            <sz val="9"/>
            <color indexed="81"/>
            <rFont val="Tahoma"/>
            <family val="2"/>
          </rPr>
          <t xml:space="preserve">
Solo si tiene linea neutro</t>
        </r>
      </text>
    </comment>
    <comment ref="B1018" authorId="0" shapeId="0" xr:uid="{00000000-0006-0000-0000-000019000000}">
      <text>
        <r>
          <rPr>
            <b/>
            <sz val="9"/>
            <color indexed="81"/>
            <rFont val="Tahoma"/>
            <family val="2"/>
          </rPr>
          <t>Jorge Arturo Espinoza:</t>
        </r>
        <r>
          <rPr>
            <sz val="9"/>
            <color indexed="81"/>
            <rFont val="Tahoma"/>
            <family val="2"/>
          </rPr>
          <t xml:space="preserve">
Solo si tiene linea neutro</t>
        </r>
      </text>
    </comment>
    <comment ref="D1018" authorId="0" shapeId="0" xr:uid="{00000000-0006-0000-0000-00001A000000}">
      <text>
        <r>
          <rPr>
            <b/>
            <sz val="9"/>
            <color indexed="81"/>
            <rFont val="Tahoma"/>
            <family val="2"/>
          </rPr>
          <t>Jorge Arturo Espinoza:</t>
        </r>
        <r>
          <rPr>
            <sz val="9"/>
            <color indexed="81"/>
            <rFont val="Tahoma"/>
            <family val="2"/>
          </rPr>
          <t xml:space="preserve">
Solo si tiene linea neutro</t>
        </r>
      </text>
    </comment>
    <comment ref="B1058" authorId="0" shapeId="0" xr:uid="{00000000-0006-0000-0000-00001B000000}">
      <text>
        <r>
          <rPr>
            <b/>
            <sz val="9"/>
            <color indexed="81"/>
            <rFont val="Tahoma"/>
            <family val="2"/>
          </rPr>
          <t>Jorge Arturo Espinoza:</t>
        </r>
        <r>
          <rPr>
            <sz val="9"/>
            <color indexed="81"/>
            <rFont val="Tahoma"/>
            <family val="2"/>
          </rPr>
          <t xml:space="preserve">
Solo si tiene linea neutro</t>
        </r>
      </text>
    </comment>
    <comment ref="D1058" authorId="0" shapeId="0" xr:uid="{00000000-0006-0000-0000-00001C000000}">
      <text>
        <r>
          <rPr>
            <b/>
            <sz val="9"/>
            <color indexed="81"/>
            <rFont val="Tahoma"/>
            <family val="2"/>
          </rPr>
          <t>Jorge Arturo Espinoza:</t>
        </r>
        <r>
          <rPr>
            <sz val="9"/>
            <color indexed="81"/>
            <rFont val="Tahoma"/>
            <family val="2"/>
          </rPr>
          <t xml:space="preserve">
Solo si tiene linea neutro</t>
        </r>
      </text>
    </comment>
    <comment ref="B1130" authorId="0" shapeId="0" xr:uid="{00000000-0006-0000-0000-00001D000000}">
      <text>
        <r>
          <rPr>
            <b/>
            <sz val="9"/>
            <color indexed="81"/>
            <rFont val="Tahoma"/>
            <family val="2"/>
          </rPr>
          <t>Jorge Arturo Espinoza:</t>
        </r>
        <r>
          <rPr>
            <sz val="9"/>
            <color indexed="81"/>
            <rFont val="Tahoma"/>
            <family val="2"/>
          </rPr>
          <t xml:space="preserve">
Solo si tiene linea neutro</t>
        </r>
      </text>
    </comment>
    <comment ref="D1130" authorId="0" shapeId="0" xr:uid="{00000000-0006-0000-0000-00001E000000}">
      <text>
        <r>
          <rPr>
            <b/>
            <sz val="9"/>
            <color indexed="81"/>
            <rFont val="Tahoma"/>
            <family val="2"/>
          </rPr>
          <t>Jorge Arturo Espinoza:</t>
        </r>
        <r>
          <rPr>
            <sz val="9"/>
            <color indexed="81"/>
            <rFont val="Tahoma"/>
            <family val="2"/>
          </rPr>
          <t xml:space="preserve">
Solo si tiene linea neutro</t>
        </r>
      </text>
    </comment>
    <comment ref="B1206" authorId="0" shapeId="0" xr:uid="{00000000-0006-0000-0000-00001F000000}">
      <text>
        <r>
          <rPr>
            <b/>
            <sz val="9"/>
            <color indexed="81"/>
            <rFont val="Tahoma"/>
            <family val="2"/>
          </rPr>
          <t>Jorge Arturo Espinoza:</t>
        </r>
        <r>
          <rPr>
            <sz val="9"/>
            <color indexed="81"/>
            <rFont val="Tahoma"/>
            <family val="2"/>
          </rPr>
          <t xml:space="preserve">
Solo si tiene linea neutro</t>
        </r>
      </text>
    </comment>
    <comment ref="D1206" authorId="0" shapeId="0" xr:uid="{00000000-0006-0000-0000-000020000000}">
      <text>
        <r>
          <rPr>
            <b/>
            <sz val="9"/>
            <color indexed="81"/>
            <rFont val="Tahoma"/>
            <family val="2"/>
          </rPr>
          <t>Jorge Arturo Espinoza:</t>
        </r>
        <r>
          <rPr>
            <sz val="9"/>
            <color indexed="81"/>
            <rFont val="Tahoma"/>
            <family val="2"/>
          </rPr>
          <t xml:space="preserve">
Solo si tiene linea neutro</t>
        </r>
      </text>
    </comment>
    <comment ref="B1268" authorId="0" shapeId="0" xr:uid="{00000000-0006-0000-0000-000021000000}">
      <text>
        <r>
          <rPr>
            <b/>
            <sz val="9"/>
            <color indexed="81"/>
            <rFont val="Tahoma"/>
            <family val="2"/>
          </rPr>
          <t>Jorge Arturo Espinoza:</t>
        </r>
        <r>
          <rPr>
            <sz val="9"/>
            <color indexed="81"/>
            <rFont val="Tahoma"/>
            <family val="2"/>
          </rPr>
          <t xml:space="preserve">
Solo si tiene linea neutro</t>
        </r>
      </text>
    </comment>
    <comment ref="D1268" authorId="0" shapeId="0" xr:uid="{00000000-0006-0000-0000-000022000000}">
      <text>
        <r>
          <rPr>
            <b/>
            <sz val="9"/>
            <color indexed="81"/>
            <rFont val="Tahoma"/>
            <family val="2"/>
          </rPr>
          <t>Jorge Arturo Espinoza:</t>
        </r>
        <r>
          <rPr>
            <sz val="9"/>
            <color indexed="81"/>
            <rFont val="Tahoma"/>
            <family val="2"/>
          </rPr>
          <t xml:space="preserve">
Solo si tiene linea neutro</t>
        </r>
      </text>
    </comment>
    <comment ref="B1435" authorId="0" shapeId="0" xr:uid="{00000000-0006-0000-0000-000023000000}">
      <text>
        <r>
          <rPr>
            <b/>
            <sz val="9"/>
            <color indexed="81"/>
            <rFont val="Tahoma"/>
            <family val="2"/>
          </rPr>
          <t>Jorge Arturo Espinoza:</t>
        </r>
        <r>
          <rPr>
            <sz val="9"/>
            <color indexed="81"/>
            <rFont val="Tahoma"/>
            <family val="2"/>
          </rPr>
          <t xml:space="preserve">
Solo si tiene linea neutro</t>
        </r>
      </text>
    </comment>
    <comment ref="D1435" authorId="0" shapeId="0" xr:uid="{00000000-0006-0000-0000-000024000000}">
      <text>
        <r>
          <rPr>
            <b/>
            <sz val="9"/>
            <color indexed="81"/>
            <rFont val="Tahoma"/>
            <family val="2"/>
          </rPr>
          <t>Jorge Arturo Espinoza:</t>
        </r>
        <r>
          <rPr>
            <sz val="9"/>
            <color indexed="81"/>
            <rFont val="Tahoma"/>
            <family val="2"/>
          </rPr>
          <t xml:space="preserve">
Solo si tiene linea neutro</t>
        </r>
      </text>
    </comment>
    <comment ref="B1493" authorId="0" shapeId="0" xr:uid="{00000000-0006-0000-0000-000025000000}">
      <text>
        <r>
          <rPr>
            <b/>
            <sz val="9"/>
            <color indexed="81"/>
            <rFont val="Tahoma"/>
            <family val="2"/>
          </rPr>
          <t>Jorge Arturo Espinoza:</t>
        </r>
        <r>
          <rPr>
            <sz val="9"/>
            <color indexed="81"/>
            <rFont val="Tahoma"/>
            <family val="2"/>
          </rPr>
          <t xml:space="preserve">
Solo si tiene linea neutro</t>
        </r>
      </text>
    </comment>
    <comment ref="D1493" authorId="0" shapeId="0" xr:uid="{00000000-0006-0000-0000-000026000000}">
      <text>
        <r>
          <rPr>
            <b/>
            <sz val="9"/>
            <color indexed="81"/>
            <rFont val="Tahoma"/>
            <family val="2"/>
          </rPr>
          <t>Jorge Arturo Espinoza:</t>
        </r>
        <r>
          <rPr>
            <sz val="9"/>
            <color indexed="81"/>
            <rFont val="Tahoma"/>
            <family val="2"/>
          </rPr>
          <t xml:space="preserve">
Solo si tiene linea neutro</t>
        </r>
      </text>
    </comment>
    <comment ref="B1552" authorId="0" shapeId="0" xr:uid="{00000000-0006-0000-0000-000027000000}">
      <text>
        <r>
          <rPr>
            <b/>
            <sz val="9"/>
            <color indexed="81"/>
            <rFont val="Tahoma"/>
            <family val="2"/>
          </rPr>
          <t>Jorge Arturo Espinoza:</t>
        </r>
        <r>
          <rPr>
            <sz val="9"/>
            <color indexed="81"/>
            <rFont val="Tahoma"/>
            <family val="2"/>
          </rPr>
          <t xml:space="preserve">
Solo si tiene linea neutro</t>
        </r>
      </text>
    </comment>
    <comment ref="D1552" authorId="0" shapeId="0" xr:uid="{00000000-0006-0000-0000-000028000000}">
      <text>
        <r>
          <rPr>
            <b/>
            <sz val="9"/>
            <color indexed="81"/>
            <rFont val="Tahoma"/>
            <family val="2"/>
          </rPr>
          <t>Jorge Arturo Espinoza:</t>
        </r>
        <r>
          <rPr>
            <sz val="9"/>
            <color indexed="81"/>
            <rFont val="Tahoma"/>
            <family val="2"/>
          </rPr>
          <t xml:space="preserve">
Solo si tiene linea neutro</t>
        </r>
      </text>
    </comment>
    <comment ref="B1608" authorId="0" shapeId="0" xr:uid="{00000000-0006-0000-0000-000029000000}">
      <text>
        <r>
          <rPr>
            <b/>
            <sz val="9"/>
            <color indexed="81"/>
            <rFont val="Tahoma"/>
            <family val="2"/>
          </rPr>
          <t>Jorge Arturo Espinoza:</t>
        </r>
        <r>
          <rPr>
            <sz val="9"/>
            <color indexed="81"/>
            <rFont val="Tahoma"/>
            <family val="2"/>
          </rPr>
          <t xml:space="preserve">
Solo si tiene linea neutro</t>
        </r>
      </text>
    </comment>
    <comment ref="D1608" authorId="0" shapeId="0" xr:uid="{00000000-0006-0000-0000-00002A000000}">
      <text>
        <r>
          <rPr>
            <b/>
            <sz val="9"/>
            <color indexed="81"/>
            <rFont val="Tahoma"/>
            <family val="2"/>
          </rPr>
          <t>Jorge Arturo Espinoza:</t>
        </r>
        <r>
          <rPr>
            <sz val="9"/>
            <color indexed="81"/>
            <rFont val="Tahoma"/>
            <family val="2"/>
          </rPr>
          <t xml:space="preserve">
Solo si tiene linea neutro</t>
        </r>
      </text>
    </comment>
    <comment ref="B1664" authorId="0" shapeId="0" xr:uid="{00000000-0006-0000-0000-00002B000000}">
      <text>
        <r>
          <rPr>
            <b/>
            <sz val="9"/>
            <color indexed="81"/>
            <rFont val="Tahoma"/>
            <family val="2"/>
          </rPr>
          <t>Jorge Arturo Espinoza:</t>
        </r>
        <r>
          <rPr>
            <sz val="9"/>
            <color indexed="81"/>
            <rFont val="Tahoma"/>
            <family val="2"/>
          </rPr>
          <t xml:space="preserve">
Solo si tiene linea neutro</t>
        </r>
      </text>
    </comment>
    <comment ref="D1664" authorId="0" shapeId="0" xr:uid="{00000000-0006-0000-0000-00002C000000}">
      <text>
        <r>
          <rPr>
            <b/>
            <sz val="9"/>
            <color indexed="81"/>
            <rFont val="Tahoma"/>
            <family val="2"/>
          </rPr>
          <t>Jorge Arturo Espinoza:</t>
        </r>
        <r>
          <rPr>
            <sz val="9"/>
            <color indexed="81"/>
            <rFont val="Tahoma"/>
            <family val="2"/>
          </rPr>
          <t xml:space="preserve">
Solo si tiene linea neutro</t>
        </r>
      </text>
    </comment>
    <comment ref="C1719" authorId="1" shapeId="0" xr:uid="{00000000-0006-0000-0000-00002D000000}">
      <text>
        <r>
          <rPr>
            <b/>
            <sz val="9"/>
            <color indexed="81"/>
            <rFont val="Tahoma"/>
            <family val="2"/>
          </rPr>
          <t>Jean
no se considera el sistema de iluminacion ya que en la hoja de datos no indica.</t>
        </r>
      </text>
    </comment>
    <comment ref="B1723" authorId="0" shapeId="0" xr:uid="{00000000-0006-0000-0000-00002E000000}">
      <text>
        <r>
          <rPr>
            <b/>
            <sz val="9"/>
            <color indexed="81"/>
            <rFont val="Tahoma"/>
            <family val="2"/>
          </rPr>
          <t>Jorge Arturo Espinoza:</t>
        </r>
        <r>
          <rPr>
            <sz val="9"/>
            <color indexed="81"/>
            <rFont val="Tahoma"/>
            <family val="2"/>
          </rPr>
          <t xml:space="preserve">
Solo si tiene linea neutro</t>
        </r>
      </text>
    </comment>
    <comment ref="D1723" authorId="0" shapeId="0" xr:uid="{00000000-0006-0000-0000-00002F000000}">
      <text>
        <r>
          <rPr>
            <b/>
            <sz val="9"/>
            <color indexed="81"/>
            <rFont val="Tahoma"/>
            <family val="2"/>
          </rPr>
          <t>Jorge Arturo Espinoza:</t>
        </r>
        <r>
          <rPr>
            <sz val="9"/>
            <color indexed="81"/>
            <rFont val="Tahoma"/>
            <family val="2"/>
          </rPr>
          <t xml:space="preserve">
Solo si tiene linea neutro</t>
        </r>
      </text>
    </comment>
    <comment ref="B1779" authorId="0" shapeId="0" xr:uid="{00000000-0006-0000-0000-000030000000}">
      <text>
        <r>
          <rPr>
            <b/>
            <sz val="9"/>
            <color indexed="81"/>
            <rFont val="Tahoma"/>
            <family val="2"/>
          </rPr>
          <t>Jorge Arturo Espinoza:</t>
        </r>
        <r>
          <rPr>
            <sz val="9"/>
            <color indexed="81"/>
            <rFont val="Tahoma"/>
            <family val="2"/>
          </rPr>
          <t xml:space="preserve">
Solo si tiene linea neutro</t>
        </r>
      </text>
    </comment>
    <comment ref="D1779" authorId="0" shapeId="0" xr:uid="{00000000-0006-0000-0000-000031000000}">
      <text>
        <r>
          <rPr>
            <b/>
            <sz val="9"/>
            <color indexed="81"/>
            <rFont val="Tahoma"/>
            <family val="2"/>
          </rPr>
          <t>Jorge Arturo Espinoza:</t>
        </r>
        <r>
          <rPr>
            <sz val="9"/>
            <color indexed="81"/>
            <rFont val="Tahoma"/>
            <family val="2"/>
          </rPr>
          <t xml:space="preserve">
Solo si tiene linea neutro</t>
        </r>
      </text>
    </comment>
    <comment ref="B1863" authorId="0" shapeId="0" xr:uid="{00000000-0006-0000-0000-000032000000}">
      <text>
        <r>
          <rPr>
            <b/>
            <sz val="9"/>
            <color indexed="81"/>
            <rFont val="Tahoma"/>
            <family val="2"/>
          </rPr>
          <t>Jorge Arturo Espinoza:</t>
        </r>
        <r>
          <rPr>
            <sz val="9"/>
            <color indexed="81"/>
            <rFont val="Tahoma"/>
            <family val="2"/>
          </rPr>
          <t xml:space="preserve">
Solo si tiene linea neutro</t>
        </r>
      </text>
    </comment>
    <comment ref="D1863" authorId="0" shapeId="0" xr:uid="{00000000-0006-0000-0000-000033000000}">
      <text>
        <r>
          <rPr>
            <b/>
            <sz val="9"/>
            <color indexed="81"/>
            <rFont val="Tahoma"/>
            <family val="2"/>
          </rPr>
          <t>Jorge Arturo Espinoza:</t>
        </r>
        <r>
          <rPr>
            <sz val="9"/>
            <color indexed="81"/>
            <rFont val="Tahoma"/>
            <family val="2"/>
          </rPr>
          <t xml:space="preserve">
Solo si tiene linea neutro</t>
        </r>
      </text>
    </comment>
    <comment ref="B1942" authorId="0" shapeId="0" xr:uid="{00000000-0006-0000-0000-000034000000}">
      <text>
        <r>
          <rPr>
            <b/>
            <sz val="9"/>
            <color indexed="81"/>
            <rFont val="Tahoma"/>
            <family val="2"/>
          </rPr>
          <t>Jorge Arturo Espinoza:</t>
        </r>
        <r>
          <rPr>
            <sz val="9"/>
            <color indexed="81"/>
            <rFont val="Tahoma"/>
            <family val="2"/>
          </rPr>
          <t xml:space="preserve">
Solo si tiene linea neutro</t>
        </r>
      </text>
    </comment>
    <comment ref="D1942" authorId="0" shapeId="0" xr:uid="{00000000-0006-0000-0000-000035000000}">
      <text>
        <r>
          <rPr>
            <b/>
            <sz val="9"/>
            <color indexed="81"/>
            <rFont val="Tahoma"/>
            <family val="2"/>
          </rPr>
          <t>Jorge Arturo Espinoza:</t>
        </r>
        <r>
          <rPr>
            <sz val="9"/>
            <color indexed="81"/>
            <rFont val="Tahoma"/>
            <family val="2"/>
          </rPr>
          <t xml:space="preserve">
Solo si tiene linea neutro</t>
        </r>
      </text>
    </comment>
    <comment ref="B2005" authorId="0" shapeId="0" xr:uid="{00000000-0006-0000-0000-000036000000}">
      <text>
        <r>
          <rPr>
            <b/>
            <sz val="9"/>
            <color indexed="81"/>
            <rFont val="Tahoma"/>
            <family val="2"/>
          </rPr>
          <t>Jorge Arturo Espinoza:</t>
        </r>
        <r>
          <rPr>
            <sz val="9"/>
            <color indexed="81"/>
            <rFont val="Tahoma"/>
            <family val="2"/>
          </rPr>
          <t xml:space="preserve">
Solo si tiene linea neutro</t>
        </r>
      </text>
    </comment>
    <comment ref="D2005" authorId="0" shapeId="0" xr:uid="{00000000-0006-0000-0000-000037000000}">
      <text>
        <r>
          <rPr>
            <b/>
            <sz val="9"/>
            <color indexed="81"/>
            <rFont val="Tahoma"/>
            <family val="2"/>
          </rPr>
          <t>Jorge Arturo Espinoza:</t>
        </r>
        <r>
          <rPr>
            <sz val="9"/>
            <color indexed="81"/>
            <rFont val="Tahoma"/>
            <family val="2"/>
          </rPr>
          <t xml:space="preserve">
Solo si tiene linea neutro</t>
        </r>
      </text>
    </comment>
    <comment ref="C2056" authorId="1" shapeId="0" xr:uid="{00000000-0006-0000-0000-000038000000}">
      <text>
        <r>
          <rPr>
            <b/>
            <sz val="9"/>
            <color indexed="81"/>
            <rFont val="Tahoma"/>
            <family val="2"/>
          </rPr>
          <t>Jean Inga:</t>
        </r>
        <r>
          <rPr>
            <sz val="9"/>
            <color indexed="81"/>
            <rFont val="Tahoma"/>
            <family val="2"/>
          </rPr>
          <t xml:space="preserve">
solo se considera calefaccion ya que el sistema de iluminacion no hace mension en  la hoja de datos</t>
        </r>
      </text>
    </comment>
    <comment ref="B2060" authorId="0" shapeId="0" xr:uid="{00000000-0006-0000-0000-000039000000}">
      <text>
        <r>
          <rPr>
            <b/>
            <sz val="9"/>
            <color indexed="81"/>
            <rFont val="Tahoma"/>
            <family val="2"/>
          </rPr>
          <t>Jorge Arturo Espinoza:</t>
        </r>
        <r>
          <rPr>
            <sz val="9"/>
            <color indexed="81"/>
            <rFont val="Tahoma"/>
            <family val="2"/>
          </rPr>
          <t xml:space="preserve">
Solo si tiene linea neutro</t>
        </r>
      </text>
    </comment>
    <comment ref="D2060" authorId="0" shapeId="0" xr:uid="{00000000-0006-0000-0000-00003A000000}">
      <text>
        <r>
          <rPr>
            <b/>
            <sz val="9"/>
            <color indexed="81"/>
            <rFont val="Tahoma"/>
            <family val="2"/>
          </rPr>
          <t>Jorge Arturo Espinoza:</t>
        </r>
        <r>
          <rPr>
            <sz val="9"/>
            <color indexed="81"/>
            <rFont val="Tahoma"/>
            <family val="2"/>
          </rPr>
          <t xml:space="preserve">
Solo si tiene linea neutro</t>
        </r>
      </text>
    </comment>
    <comment ref="B2121" authorId="0" shapeId="0" xr:uid="{00000000-0006-0000-0000-00003B000000}">
      <text>
        <r>
          <rPr>
            <b/>
            <sz val="9"/>
            <color indexed="81"/>
            <rFont val="Tahoma"/>
            <family val="2"/>
          </rPr>
          <t>Jorge Arturo Espinoza:</t>
        </r>
        <r>
          <rPr>
            <sz val="9"/>
            <color indexed="81"/>
            <rFont val="Tahoma"/>
            <family val="2"/>
          </rPr>
          <t xml:space="preserve">
Solo si tiene linea neutro</t>
        </r>
      </text>
    </comment>
    <comment ref="D2121" authorId="0" shapeId="0" xr:uid="{00000000-0006-0000-0000-00003C000000}">
      <text>
        <r>
          <rPr>
            <b/>
            <sz val="9"/>
            <color indexed="81"/>
            <rFont val="Tahoma"/>
            <family val="2"/>
          </rPr>
          <t>Jorge Arturo Espinoza:</t>
        </r>
        <r>
          <rPr>
            <sz val="9"/>
            <color indexed="81"/>
            <rFont val="Tahoma"/>
            <family val="2"/>
          </rPr>
          <t xml:space="preserve">
Solo si tiene linea neutro</t>
        </r>
      </text>
    </comment>
    <comment ref="B2206" authorId="0" shapeId="0" xr:uid="{00000000-0006-0000-0000-00003D000000}">
      <text>
        <r>
          <rPr>
            <b/>
            <sz val="9"/>
            <color indexed="81"/>
            <rFont val="Tahoma"/>
            <family val="2"/>
          </rPr>
          <t>Jorge Arturo Espinoza:</t>
        </r>
        <r>
          <rPr>
            <sz val="9"/>
            <color indexed="81"/>
            <rFont val="Tahoma"/>
            <family val="2"/>
          </rPr>
          <t xml:space="preserve">
Solo si tiene linea neutro</t>
        </r>
      </text>
    </comment>
    <comment ref="D2206" authorId="0" shapeId="0" xr:uid="{00000000-0006-0000-0000-00003E000000}">
      <text>
        <r>
          <rPr>
            <b/>
            <sz val="9"/>
            <color indexed="81"/>
            <rFont val="Tahoma"/>
            <family val="2"/>
          </rPr>
          <t>Jorge Arturo Espinoza:</t>
        </r>
        <r>
          <rPr>
            <sz val="9"/>
            <color indexed="81"/>
            <rFont val="Tahoma"/>
            <family val="2"/>
          </rPr>
          <t xml:space="preserve">
Solo si tiene linea neutro</t>
        </r>
      </text>
    </comment>
    <comment ref="B2285" authorId="0" shapeId="0" xr:uid="{00000000-0006-0000-0000-00003F000000}">
      <text>
        <r>
          <rPr>
            <b/>
            <sz val="9"/>
            <color indexed="81"/>
            <rFont val="Tahoma"/>
            <family val="2"/>
          </rPr>
          <t>Jorge Arturo Espinoza:</t>
        </r>
        <r>
          <rPr>
            <sz val="9"/>
            <color indexed="81"/>
            <rFont val="Tahoma"/>
            <family val="2"/>
          </rPr>
          <t xml:space="preserve">
Solo si tiene linea neutro</t>
        </r>
      </text>
    </comment>
    <comment ref="B2350" authorId="0" shapeId="0" xr:uid="{00000000-0006-0000-0000-000040000000}">
      <text>
        <r>
          <rPr>
            <b/>
            <sz val="9"/>
            <color indexed="81"/>
            <rFont val="Tahoma"/>
            <family val="2"/>
          </rPr>
          <t>Jorge Arturo Espinoza:</t>
        </r>
        <r>
          <rPr>
            <sz val="9"/>
            <color indexed="81"/>
            <rFont val="Tahoma"/>
            <family val="2"/>
          </rPr>
          <t xml:space="preserve">
Solo si tiene linea neutro</t>
        </r>
      </text>
    </comment>
    <comment ref="D2350" authorId="0" shapeId="0" xr:uid="{00000000-0006-0000-0000-000041000000}">
      <text>
        <r>
          <rPr>
            <b/>
            <sz val="9"/>
            <color indexed="81"/>
            <rFont val="Tahoma"/>
            <family val="2"/>
          </rPr>
          <t>Jorge Arturo Espinoza:</t>
        </r>
        <r>
          <rPr>
            <sz val="9"/>
            <color indexed="81"/>
            <rFont val="Tahoma"/>
            <family val="2"/>
          </rPr>
          <t xml:space="preserve">
Solo si tiene linea neutro</t>
        </r>
      </text>
    </comment>
    <comment ref="B2418" authorId="0" shapeId="0" xr:uid="{00000000-0006-0000-0000-000042000000}">
      <text>
        <r>
          <rPr>
            <b/>
            <sz val="9"/>
            <color indexed="81"/>
            <rFont val="Tahoma"/>
            <family val="2"/>
          </rPr>
          <t>Jorge Arturo Espinoza:</t>
        </r>
        <r>
          <rPr>
            <sz val="9"/>
            <color indexed="81"/>
            <rFont val="Tahoma"/>
            <family val="2"/>
          </rPr>
          <t xml:space="preserve">
Solo si tiene linea neutro</t>
        </r>
      </text>
    </comment>
    <comment ref="D2418" authorId="0" shapeId="0" xr:uid="{00000000-0006-0000-0000-000043000000}">
      <text>
        <r>
          <rPr>
            <b/>
            <sz val="9"/>
            <color indexed="81"/>
            <rFont val="Tahoma"/>
            <family val="2"/>
          </rPr>
          <t>Jorge Arturo Espinoza:</t>
        </r>
        <r>
          <rPr>
            <sz val="9"/>
            <color indexed="81"/>
            <rFont val="Tahoma"/>
            <family val="2"/>
          </rPr>
          <t xml:space="preserve">
Solo si tiene linea neutro</t>
        </r>
      </text>
    </comment>
    <comment ref="B2480" authorId="0" shapeId="0" xr:uid="{00000000-0006-0000-0000-000044000000}">
      <text>
        <r>
          <rPr>
            <b/>
            <sz val="9"/>
            <color indexed="81"/>
            <rFont val="Tahoma"/>
            <family val="2"/>
          </rPr>
          <t>Jorge Arturo Espinoza:</t>
        </r>
        <r>
          <rPr>
            <sz val="9"/>
            <color indexed="81"/>
            <rFont val="Tahoma"/>
            <family val="2"/>
          </rPr>
          <t xml:space="preserve">
Solo si tiene linea neutro</t>
        </r>
      </text>
    </comment>
    <comment ref="D2480" authorId="0" shapeId="0" xr:uid="{00000000-0006-0000-0000-000045000000}">
      <text>
        <r>
          <rPr>
            <b/>
            <sz val="9"/>
            <color indexed="81"/>
            <rFont val="Tahoma"/>
            <family val="2"/>
          </rPr>
          <t>Jorge Arturo Espinoza:</t>
        </r>
        <r>
          <rPr>
            <sz val="9"/>
            <color indexed="81"/>
            <rFont val="Tahoma"/>
            <family val="2"/>
          </rPr>
          <t xml:space="preserve">
Solo si tiene linea neutro</t>
        </r>
      </text>
    </comment>
    <comment ref="B2527" authorId="0" shapeId="0" xr:uid="{00000000-0006-0000-0000-000046000000}">
      <text>
        <r>
          <rPr>
            <b/>
            <sz val="9"/>
            <color indexed="81"/>
            <rFont val="Tahoma"/>
            <family val="2"/>
          </rPr>
          <t>Jorge Arturo Espinoza:</t>
        </r>
        <r>
          <rPr>
            <sz val="9"/>
            <color indexed="81"/>
            <rFont val="Tahoma"/>
            <family val="2"/>
          </rPr>
          <t xml:space="preserve">
Solo si tiene linea neutro</t>
        </r>
      </text>
    </comment>
    <comment ref="D2527" authorId="0" shapeId="0" xr:uid="{00000000-0006-0000-0000-000047000000}">
      <text>
        <r>
          <rPr>
            <b/>
            <sz val="9"/>
            <color indexed="81"/>
            <rFont val="Tahoma"/>
            <family val="2"/>
          </rPr>
          <t>Jorge Arturo Espinoza:</t>
        </r>
        <r>
          <rPr>
            <sz val="9"/>
            <color indexed="81"/>
            <rFont val="Tahoma"/>
            <family val="2"/>
          </rPr>
          <t xml:space="preserve">
Solo si tiene linea neutro</t>
        </r>
      </text>
    </comment>
    <comment ref="B2566" authorId="0" shapeId="0" xr:uid="{00000000-0006-0000-0000-000048000000}">
      <text>
        <r>
          <rPr>
            <b/>
            <sz val="9"/>
            <color indexed="81"/>
            <rFont val="Tahoma"/>
            <family val="2"/>
          </rPr>
          <t>Jorge Arturo Espinoza:</t>
        </r>
        <r>
          <rPr>
            <sz val="9"/>
            <color indexed="81"/>
            <rFont val="Tahoma"/>
            <family val="2"/>
          </rPr>
          <t xml:space="preserve">
Solo si tiene linea neutro</t>
        </r>
      </text>
    </comment>
    <comment ref="D2566" authorId="0" shapeId="0" xr:uid="{00000000-0006-0000-0000-000049000000}">
      <text>
        <r>
          <rPr>
            <b/>
            <sz val="9"/>
            <color indexed="81"/>
            <rFont val="Tahoma"/>
            <family val="2"/>
          </rPr>
          <t>Jorge Arturo Espinoza:</t>
        </r>
        <r>
          <rPr>
            <sz val="9"/>
            <color indexed="81"/>
            <rFont val="Tahoma"/>
            <family val="2"/>
          </rPr>
          <t xml:space="preserve">
Solo si tiene linea neutro</t>
        </r>
      </text>
    </comment>
    <comment ref="B2647" authorId="0" shapeId="0" xr:uid="{00000000-0006-0000-0000-00004A000000}">
      <text>
        <r>
          <rPr>
            <b/>
            <sz val="9"/>
            <color indexed="81"/>
            <rFont val="Tahoma"/>
            <family val="2"/>
          </rPr>
          <t>Jorge Arturo Espinoza:</t>
        </r>
        <r>
          <rPr>
            <sz val="9"/>
            <color indexed="81"/>
            <rFont val="Tahoma"/>
            <family val="2"/>
          </rPr>
          <t xml:space="preserve">
Solo si tiene linea neutro</t>
        </r>
      </text>
    </comment>
    <comment ref="D2647" authorId="0" shapeId="0" xr:uid="{00000000-0006-0000-0000-00004B000000}">
      <text>
        <r>
          <rPr>
            <b/>
            <sz val="9"/>
            <color indexed="81"/>
            <rFont val="Tahoma"/>
            <family val="2"/>
          </rPr>
          <t>Jorge Arturo Espinoza:</t>
        </r>
        <r>
          <rPr>
            <sz val="9"/>
            <color indexed="81"/>
            <rFont val="Tahoma"/>
            <family val="2"/>
          </rPr>
          <t xml:space="preserve">
Solo si tiene linea neutro</t>
        </r>
      </text>
    </comment>
    <comment ref="B2726" authorId="0" shapeId="0" xr:uid="{00000000-0006-0000-0000-00004C000000}">
      <text>
        <r>
          <rPr>
            <b/>
            <sz val="9"/>
            <color indexed="81"/>
            <rFont val="Tahoma"/>
            <family val="2"/>
          </rPr>
          <t>Jorge Arturo Espinoza:</t>
        </r>
        <r>
          <rPr>
            <sz val="9"/>
            <color indexed="81"/>
            <rFont val="Tahoma"/>
            <family val="2"/>
          </rPr>
          <t xml:space="preserve">
Solo si tiene linea neutro</t>
        </r>
      </text>
    </comment>
    <comment ref="D2726" authorId="0" shapeId="0" xr:uid="{00000000-0006-0000-0000-00004D000000}">
      <text>
        <r>
          <rPr>
            <b/>
            <sz val="9"/>
            <color indexed="81"/>
            <rFont val="Tahoma"/>
            <family val="2"/>
          </rPr>
          <t>Jorge Arturo Espinoza:</t>
        </r>
        <r>
          <rPr>
            <sz val="9"/>
            <color indexed="81"/>
            <rFont val="Tahoma"/>
            <family val="2"/>
          </rPr>
          <t xml:space="preserve">
Solo si tiene linea neutro</t>
        </r>
      </text>
    </comment>
    <comment ref="B2790" authorId="0" shapeId="0" xr:uid="{00000000-0006-0000-0000-00004E000000}">
      <text>
        <r>
          <rPr>
            <b/>
            <sz val="9"/>
            <color indexed="81"/>
            <rFont val="Tahoma"/>
            <family val="2"/>
          </rPr>
          <t>Jorge Arturo Espinoza:</t>
        </r>
        <r>
          <rPr>
            <sz val="9"/>
            <color indexed="81"/>
            <rFont val="Tahoma"/>
            <family val="2"/>
          </rPr>
          <t xml:space="preserve">
Solo si tiene linea neutro</t>
        </r>
      </text>
    </comment>
    <comment ref="D2790" authorId="0" shapeId="0" xr:uid="{00000000-0006-0000-0000-00004F000000}">
      <text>
        <r>
          <rPr>
            <b/>
            <sz val="9"/>
            <color indexed="81"/>
            <rFont val="Tahoma"/>
            <family val="2"/>
          </rPr>
          <t>Jorge Arturo Espinoza:</t>
        </r>
        <r>
          <rPr>
            <sz val="9"/>
            <color indexed="81"/>
            <rFont val="Tahoma"/>
            <family val="2"/>
          </rPr>
          <t xml:space="preserve">
Solo si tiene linea neutro</t>
        </r>
      </text>
    </comment>
    <comment ref="B2881" authorId="0" shapeId="0" xr:uid="{00000000-0006-0000-0000-000050000000}">
      <text>
        <r>
          <rPr>
            <b/>
            <sz val="9"/>
            <color indexed="81"/>
            <rFont val="Tahoma"/>
            <family val="2"/>
          </rPr>
          <t>Jorge Arturo Espinoza:</t>
        </r>
        <r>
          <rPr>
            <sz val="9"/>
            <color indexed="81"/>
            <rFont val="Tahoma"/>
            <family val="2"/>
          </rPr>
          <t xml:space="preserve">
4, SI ES POR ENCLAVAMIENTO MECANICO</t>
        </r>
      </text>
    </comment>
    <comment ref="B2925" authorId="0" shapeId="0" xr:uid="{00000000-0006-0000-0000-000051000000}">
      <text>
        <r>
          <rPr>
            <b/>
            <sz val="9"/>
            <color indexed="81"/>
            <rFont val="Tahoma"/>
            <family val="2"/>
          </rPr>
          <t>Jorge Arturo Espinoza:</t>
        </r>
        <r>
          <rPr>
            <sz val="9"/>
            <color indexed="81"/>
            <rFont val="Tahoma"/>
            <family val="2"/>
          </rPr>
          <t xml:space="preserve">
Solo si tiene linea neutro</t>
        </r>
      </text>
    </comment>
    <comment ref="D2925" authorId="0" shapeId="0" xr:uid="{00000000-0006-0000-0000-000052000000}">
      <text>
        <r>
          <rPr>
            <b/>
            <sz val="9"/>
            <color indexed="81"/>
            <rFont val="Tahoma"/>
            <family val="2"/>
          </rPr>
          <t>Jorge Arturo Espinoza:</t>
        </r>
        <r>
          <rPr>
            <sz val="9"/>
            <color indexed="81"/>
            <rFont val="Tahoma"/>
            <family val="2"/>
          </rPr>
          <t xml:space="preserve">
Solo si tiene linea neutro</t>
        </r>
      </text>
    </comment>
    <comment ref="B2974" authorId="0" shapeId="0" xr:uid="{00000000-0006-0000-0000-000053000000}">
      <text>
        <r>
          <rPr>
            <b/>
            <sz val="9"/>
            <color indexed="81"/>
            <rFont val="Tahoma"/>
            <family val="2"/>
          </rPr>
          <t>Jorge Arturo Espinoza:</t>
        </r>
        <r>
          <rPr>
            <sz val="9"/>
            <color indexed="81"/>
            <rFont val="Tahoma"/>
            <family val="2"/>
          </rPr>
          <t xml:space="preserve">
Solo si tiene linea neutro</t>
        </r>
      </text>
    </comment>
    <comment ref="D2974" authorId="0" shapeId="0" xr:uid="{00000000-0006-0000-0000-000054000000}">
      <text>
        <r>
          <rPr>
            <b/>
            <sz val="9"/>
            <color indexed="81"/>
            <rFont val="Tahoma"/>
            <family val="2"/>
          </rPr>
          <t>Jorge Arturo Espinoza:</t>
        </r>
        <r>
          <rPr>
            <sz val="9"/>
            <color indexed="81"/>
            <rFont val="Tahoma"/>
            <family val="2"/>
          </rPr>
          <t xml:space="preserve">
Solo si tiene linea neutro</t>
        </r>
      </text>
    </comment>
    <comment ref="B3021" authorId="0" shapeId="0" xr:uid="{00000000-0006-0000-0000-000055000000}">
      <text>
        <r>
          <rPr>
            <b/>
            <sz val="9"/>
            <color indexed="81"/>
            <rFont val="Tahoma"/>
            <family val="2"/>
          </rPr>
          <t>Jorge Arturo Espinoza:</t>
        </r>
        <r>
          <rPr>
            <sz val="9"/>
            <color indexed="81"/>
            <rFont val="Tahoma"/>
            <family val="2"/>
          </rPr>
          <t xml:space="preserve">
Solo si tiene linea neutro</t>
        </r>
      </text>
    </comment>
    <comment ref="D3021" authorId="0" shapeId="0" xr:uid="{00000000-0006-0000-0000-000056000000}">
      <text>
        <r>
          <rPr>
            <b/>
            <sz val="9"/>
            <color indexed="81"/>
            <rFont val="Tahoma"/>
            <family val="2"/>
          </rPr>
          <t>Jorge Arturo Espinoza:</t>
        </r>
        <r>
          <rPr>
            <sz val="9"/>
            <color indexed="81"/>
            <rFont val="Tahoma"/>
            <family val="2"/>
          </rPr>
          <t xml:space="preserve">
Solo si tiene linea neutro</t>
        </r>
      </text>
    </comment>
    <comment ref="B3101" authorId="0" shapeId="0" xr:uid="{00000000-0006-0000-0000-000057000000}">
      <text>
        <r>
          <rPr>
            <b/>
            <sz val="9"/>
            <color indexed="81"/>
            <rFont val="Tahoma"/>
            <family val="2"/>
          </rPr>
          <t>Jorge Arturo Espinoza:</t>
        </r>
        <r>
          <rPr>
            <sz val="9"/>
            <color indexed="81"/>
            <rFont val="Tahoma"/>
            <family val="2"/>
          </rPr>
          <t xml:space="preserve">
Solo si tiene linea neutro</t>
        </r>
      </text>
    </comment>
    <comment ref="D3101" authorId="0" shapeId="0" xr:uid="{00000000-0006-0000-0000-000058000000}">
      <text>
        <r>
          <rPr>
            <b/>
            <sz val="9"/>
            <color indexed="81"/>
            <rFont val="Tahoma"/>
            <family val="2"/>
          </rPr>
          <t>Jorge Arturo Espinoza:</t>
        </r>
        <r>
          <rPr>
            <sz val="9"/>
            <color indexed="81"/>
            <rFont val="Tahoma"/>
            <family val="2"/>
          </rPr>
          <t xml:space="preserve">
Solo si tiene linea neutro</t>
        </r>
      </text>
    </comment>
    <comment ref="B3207" authorId="0" shapeId="0" xr:uid="{00000000-0006-0000-0000-000059000000}">
      <text>
        <r>
          <rPr>
            <b/>
            <sz val="9"/>
            <color indexed="81"/>
            <rFont val="Tahoma"/>
            <family val="2"/>
          </rPr>
          <t>Jorge Arturo Espinoza:</t>
        </r>
        <r>
          <rPr>
            <sz val="9"/>
            <color indexed="81"/>
            <rFont val="Tahoma"/>
            <family val="2"/>
          </rPr>
          <t xml:space="preserve">
Solo si tiene linea neutro</t>
        </r>
      </text>
    </comment>
    <comment ref="D3207" authorId="0" shapeId="0" xr:uid="{00000000-0006-0000-0000-00005A000000}">
      <text>
        <r>
          <rPr>
            <b/>
            <sz val="9"/>
            <color indexed="81"/>
            <rFont val="Tahoma"/>
            <family val="2"/>
          </rPr>
          <t>Jorge Arturo Espinoza:</t>
        </r>
        <r>
          <rPr>
            <sz val="9"/>
            <color indexed="81"/>
            <rFont val="Tahoma"/>
            <family val="2"/>
          </rPr>
          <t xml:space="preserve">
Solo si tiene linea neutro</t>
        </r>
      </text>
    </comment>
    <comment ref="C3242" authorId="1" shapeId="0" xr:uid="{00000000-0006-0000-0000-00005B000000}">
      <text>
        <r>
          <rPr>
            <b/>
            <sz val="9"/>
            <color indexed="81"/>
            <rFont val="Tahoma"/>
            <family val="2"/>
          </rPr>
          <t>Jean Inga:</t>
        </r>
        <r>
          <rPr>
            <sz val="9"/>
            <color indexed="81"/>
            <rFont val="Tahoma"/>
            <family val="2"/>
          </rPr>
          <t xml:space="preserve">
INDICA EN  LA HOJA DE DATOS
</t>
        </r>
      </text>
    </comment>
    <comment ref="B3254" authorId="0" shapeId="0" xr:uid="{00000000-0006-0000-0000-00005C000000}">
      <text>
        <r>
          <rPr>
            <b/>
            <sz val="9"/>
            <color indexed="81"/>
            <rFont val="Tahoma"/>
            <family val="2"/>
          </rPr>
          <t>Jorge Arturo Espinoza:</t>
        </r>
        <r>
          <rPr>
            <sz val="9"/>
            <color indexed="81"/>
            <rFont val="Tahoma"/>
            <family val="2"/>
          </rPr>
          <t xml:space="preserve">
Solo si tiene linea neutro</t>
        </r>
      </text>
    </comment>
    <comment ref="D3254" authorId="0" shapeId="0" xr:uid="{00000000-0006-0000-0000-00005D000000}">
      <text>
        <r>
          <rPr>
            <b/>
            <sz val="9"/>
            <color indexed="81"/>
            <rFont val="Tahoma"/>
            <family val="2"/>
          </rPr>
          <t>Jorge Arturo Espinoza:</t>
        </r>
        <r>
          <rPr>
            <sz val="9"/>
            <color indexed="81"/>
            <rFont val="Tahoma"/>
            <family val="2"/>
          </rPr>
          <t xml:space="preserve">
Solo si tiene linea neutro</t>
        </r>
      </text>
    </comment>
    <comment ref="B3334" authorId="0" shapeId="0" xr:uid="{00000000-0006-0000-0000-00005E000000}">
      <text>
        <r>
          <rPr>
            <b/>
            <sz val="9"/>
            <color indexed="81"/>
            <rFont val="Tahoma"/>
            <family val="2"/>
          </rPr>
          <t>Jorge Arturo Espinoza:</t>
        </r>
        <r>
          <rPr>
            <sz val="9"/>
            <color indexed="81"/>
            <rFont val="Tahoma"/>
            <family val="2"/>
          </rPr>
          <t xml:space="preserve">
Solo si tiene linea neutro</t>
        </r>
      </text>
    </comment>
    <comment ref="D3334" authorId="0" shapeId="0" xr:uid="{00000000-0006-0000-0000-00005F000000}">
      <text>
        <r>
          <rPr>
            <b/>
            <sz val="9"/>
            <color indexed="81"/>
            <rFont val="Tahoma"/>
            <family val="2"/>
          </rPr>
          <t>Jorge Arturo Espinoza:</t>
        </r>
        <r>
          <rPr>
            <sz val="9"/>
            <color indexed="81"/>
            <rFont val="Tahoma"/>
            <family val="2"/>
          </rPr>
          <t xml:space="preserve">
Solo si tiene linea neutro</t>
        </r>
      </text>
    </comment>
    <comment ref="B3383" authorId="0" shapeId="0" xr:uid="{00000000-0006-0000-0000-000060000000}">
      <text>
        <r>
          <rPr>
            <b/>
            <sz val="9"/>
            <color indexed="81"/>
            <rFont val="Tahoma"/>
            <family val="2"/>
          </rPr>
          <t>Jorge Arturo Espinoza:</t>
        </r>
        <r>
          <rPr>
            <sz val="9"/>
            <color indexed="81"/>
            <rFont val="Tahoma"/>
            <family val="2"/>
          </rPr>
          <t xml:space="preserve">
Solo si tiene linea neutro</t>
        </r>
      </text>
    </comment>
    <comment ref="D3383" authorId="0" shapeId="0" xr:uid="{00000000-0006-0000-0000-000061000000}">
      <text>
        <r>
          <rPr>
            <b/>
            <sz val="9"/>
            <color indexed="81"/>
            <rFont val="Tahoma"/>
            <family val="2"/>
          </rPr>
          <t>Jorge Arturo Espinoza:</t>
        </r>
        <r>
          <rPr>
            <sz val="9"/>
            <color indexed="81"/>
            <rFont val="Tahoma"/>
            <family val="2"/>
          </rPr>
          <t xml:space="preserve">
Solo si tiene linea neutro</t>
        </r>
      </text>
    </comment>
    <comment ref="B3444" authorId="0" shapeId="0" xr:uid="{00000000-0006-0000-0000-000062000000}">
      <text>
        <r>
          <rPr>
            <b/>
            <sz val="9"/>
            <color indexed="81"/>
            <rFont val="Tahoma"/>
            <family val="2"/>
          </rPr>
          <t>Jorge Arturo Espinoza:</t>
        </r>
        <r>
          <rPr>
            <sz val="9"/>
            <color indexed="81"/>
            <rFont val="Tahoma"/>
            <family val="2"/>
          </rPr>
          <t xml:space="preserve">
Solo si tiene linea neutro</t>
        </r>
      </text>
    </comment>
    <comment ref="D3444" authorId="0" shapeId="0" xr:uid="{00000000-0006-0000-0000-000063000000}">
      <text>
        <r>
          <rPr>
            <b/>
            <sz val="9"/>
            <color indexed="81"/>
            <rFont val="Tahoma"/>
            <family val="2"/>
          </rPr>
          <t>Jorge Arturo Espinoza:</t>
        </r>
        <r>
          <rPr>
            <sz val="9"/>
            <color indexed="81"/>
            <rFont val="Tahoma"/>
            <family val="2"/>
          </rPr>
          <t xml:space="preserve">
Solo si tiene linea neutro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Jorge Arturo Espinoza</author>
    <author>Roberto Meza</author>
    <author>Dario Martinez</author>
    <author>Paulo Olano</author>
    <author>Jean Inga</author>
    <author>Rosalyn Rincon</author>
  </authors>
  <commentList>
    <comment ref="B7" authorId="0" shapeId="0" xr:uid="{00000000-0006-0000-0100-000001000000}">
      <text>
        <r>
          <rPr>
            <b/>
            <sz val="9"/>
            <color indexed="81"/>
            <rFont val="Tahoma"/>
            <family val="2"/>
          </rPr>
          <t>Jorge Arturo Espinoza:</t>
        </r>
        <r>
          <rPr>
            <sz val="9"/>
            <color indexed="81"/>
            <rFont val="Tahoma"/>
            <family val="2"/>
          </rPr>
          <t xml:space="preserve">
BREAKERS AND SWITCHES + ENCLOSURES</t>
        </r>
      </text>
    </comment>
    <comment ref="B8" authorId="0" shapeId="0" xr:uid="{00000000-0006-0000-0100-000002000000}">
      <text>
        <r>
          <rPr>
            <b/>
            <sz val="9"/>
            <color indexed="81"/>
            <rFont val="Tahoma"/>
            <family val="2"/>
          </rPr>
          <t>Jorge Arturo Espinoza:</t>
        </r>
        <r>
          <rPr>
            <sz val="9"/>
            <color indexed="81"/>
            <rFont val="Tahoma"/>
            <family val="2"/>
          </rPr>
          <t xml:space="preserve">
BUILDING PRODUCTS</t>
        </r>
      </text>
    </comment>
    <comment ref="B9" authorId="0" shapeId="0" xr:uid="{00000000-0006-0000-0100-000003000000}">
      <text>
        <r>
          <rPr>
            <b/>
            <sz val="9"/>
            <color indexed="81"/>
            <rFont val="Tahoma"/>
            <family val="2"/>
          </rPr>
          <t>Jorge Arturo Espinoza:</t>
        </r>
        <r>
          <rPr>
            <sz val="9"/>
            <color indexed="81"/>
            <rFont val="Tahoma"/>
            <family val="2"/>
          </rPr>
          <t xml:space="preserve">
BUILDING PRODUCTS</t>
        </r>
      </text>
    </comment>
    <comment ref="B10" authorId="0" shapeId="0" xr:uid="{00000000-0006-0000-0100-000004000000}">
      <text>
        <r>
          <rPr>
            <b/>
            <sz val="9"/>
            <color indexed="81"/>
            <rFont val="Tahoma"/>
            <family val="2"/>
          </rPr>
          <t>Jorge Arturo Espinoza:</t>
        </r>
        <r>
          <rPr>
            <sz val="9"/>
            <color indexed="81"/>
            <rFont val="Tahoma"/>
            <family val="2"/>
          </rPr>
          <t xml:space="preserve">
BUILDING PRODUCTS</t>
        </r>
      </text>
    </comment>
    <comment ref="B11" authorId="0" shapeId="0" xr:uid="{00000000-0006-0000-0100-000005000000}">
      <text>
        <r>
          <rPr>
            <b/>
            <sz val="9"/>
            <color indexed="81"/>
            <rFont val="Tahoma"/>
            <family val="2"/>
          </rPr>
          <t>Jorge Arturo Espinoza:</t>
        </r>
        <r>
          <rPr>
            <sz val="9"/>
            <color indexed="81"/>
            <rFont val="Tahoma"/>
            <family val="2"/>
          </rPr>
          <t xml:space="preserve">
BUILDING PRODUCTS</t>
        </r>
      </text>
    </comment>
    <comment ref="C17" authorId="0" shapeId="0" xr:uid="{00000000-0006-0000-0100-000006000000}">
      <text>
        <r>
          <rPr>
            <b/>
            <sz val="9"/>
            <color indexed="81"/>
            <rFont val="Tahoma"/>
            <family val="2"/>
          </rPr>
          <t>Jorge Arturo Espinoza:</t>
        </r>
        <r>
          <rPr>
            <sz val="9"/>
            <color indexed="81"/>
            <rFont val="Tahoma"/>
            <family val="2"/>
          </rPr>
          <t xml:space="preserve">
el menor</t>
        </r>
      </text>
    </comment>
    <comment ref="C111" authorId="0" shapeId="0" xr:uid="{00000000-0006-0000-0100-000007000000}">
      <text>
        <r>
          <rPr>
            <b/>
            <sz val="9"/>
            <color indexed="81"/>
            <rFont val="Tahoma"/>
            <family val="2"/>
          </rPr>
          <t>Jorge Arturo Espinoza:</t>
        </r>
        <r>
          <rPr>
            <sz val="9"/>
            <color indexed="81"/>
            <rFont val="Tahoma"/>
            <family val="2"/>
          </rPr>
          <t xml:space="preserve">
ASUMIDO.
CONSULTAR A ABB.</t>
        </r>
      </text>
    </comment>
    <comment ref="H111" authorId="0" shapeId="0" xr:uid="{00000000-0006-0000-0100-000008000000}">
      <text>
        <r>
          <rPr>
            <b/>
            <sz val="9"/>
            <color indexed="81"/>
            <rFont val="Tahoma"/>
            <family val="2"/>
          </rPr>
          <t>Jorge Arturo Espinoza:</t>
        </r>
        <r>
          <rPr>
            <sz val="9"/>
            <color indexed="81"/>
            <rFont val="Tahoma"/>
            <family val="2"/>
          </rPr>
          <t xml:space="preserve">
no viene de Argentina</t>
        </r>
      </text>
    </comment>
    <comment ref="C151" authorId="0" shapeId="0" xr:uid="{00000000-0006-0000-0100-000009000000}">
      <text>
        <r>
          <rPr>
            <b/>
            <sz val="9"/>
            <color indexed="81"/>
            <rFont val="Tahoma"/>
            <family val="2"/>
          </rPr>
          <t>Jorge Arturo Espinoza:</t>
        </r>
        <r>
          <rPr>
            <sz val="9"/>
            <color indexed="81"/>
            <rFont val="Tahoma"/>
            <family val="2"/>
          </rPr>
          <t xml:space="preserve">
ASUMIDO.
CONSULTAR A ABB.</t>
        </r>
      </text>
    </comment>
    <comment ref="C152" authorId="0" shapeId="0" xr:uid="{00000000-0006-0000-0100-00000A000000}">
      <text>
        <r>
          <rPr>
            <b/>
            <sz val="9"/>
            <color indexed="81"/>
            <rFont val="Tahoma"/>
            <family val="2"/>
          </rPr>
          <t>Jorge Arturo Espinoza:</t>
        </r>
        <r>
          <rPr>
            <sz val="9"/>
            <color indexed="81"/>
            <rFont val="Tahoma"/>
            <family val="2"/>
          </rPr>
          <t xml:space="preserve">
ASUMIDO.
CONSULTAR A ABB.</t>
        </r>
      </text>
    </comment>
    <comment ref="C153" authorId="0" shapeId="0" xr:uid="{00000000-0006-0000-0100-00000B000000}">
      <text>
        <r>
          <rPr>
            <b/>
            <sz val="9"/>
            <color indexed="81"/>
            <rFont val="Tahoma"/>
            <family val="2"/>
          </rPr>
          <t>Jorge Arturo Espinoza:</t>
        </r>
        <r>
          <rPr>
            <sz val="9"/>
            <color indexed="81"/>
            <rFont val="Tahoma"/>
            <family val="2"/>
          </rPr>
          <t xml:space="preserve">
ASUMIDO.
CONSULTAR A ABB.</t>
        </r>
      </text>
    </comment>
    <comment ref="C154" authorId="0" shapeId="0" xr:uid="{00000000-0006-0000-0100-00000C000000}">
      <text>
        <r>
          <rPr>
            <b/>
            <sz val="9"/>
            <color indexed="81"/>
            <rFont val="Tahoma"/>
            <family val="2"/>
          </rPr>
          <t>Jorge Arturo Espinoza:</t>
        </r>
        <r>
          <rPr>
            <sz val="9"/>
            <color indexed="81"/>
            <rFont val="Tahoma"/>
            <family val="2"/>
          </rPr>
          <t xml:space="preserve">
ASUMIDO.
CONSULTAR A ABB.</t>
        </r>
      </text>
    </comment>
    <comment ref="C155" authorId="0" shapeId="0" xr:uid="{00000000-0006-0000-0100-00000D000000}">
      <text>
        <r>
          <rPr>
            <b/>
            <sz val="9"/>
            <color indexed="81"/>
            <rFont val="Tahoma"/>
            <family val="2"/>
          </rPr>
          <t>Jorge Arturo Espinoza:</t>
        </r>
        <r>
          <rPr>
            <sz val="9"/>
            <color indexed="81"/>
            <rFont val="Tahoma"/>
            <family val="2"/>
          </rPr>
          <t xml:space="preserve">
ASUMIDO.
CONSULTAR A ABB.</t>
        </r>
      </text>
    </comment>
    <comment ref="C156" authorId="0" shapeId="0" xr:uid="{00000000-0006-0000-0100-00000E000000}">
      <text>
        <r>
          <rPr>
            <b/>
            <sz val="9"/>
            <color indexed="81"/>
            <rFont val="Tahoma"/>
            <family val="2"/>
          </rPr>
          <t>Jorge Arturo Espinoza:</t>
        </r>
        <r>
          <rPr>
            <sz val="9"/>
            <color indexed="81"/>
            <rFont val="Tahoma"/>
            <family val="2"/>
          </rPr>
          <t xml:space="preserve">
ASUMIDO.
CONSULTAR A ABB</t>
        </r>
      </text>
    </comment>
    <comment ref="C157" authorId="0" shapeId="0" xr:uid="{00000000-0006-0000-0100-00000F000000}">
      <text>
        <r>
          <rPr>
            <b/>
            <sz val="9"/>
            <color indexed="81"/>
            <rFont val="Tahoma"/>
            <family val="2"/>
          </rPr>
          <t>Jorge Arturo Espinoza:</t>
        </r>
        <r>
          <rPr>
            <sz val="9"/>
            <color indexed="81"/>
            <rFont val="Tahoma"/>
            <family val="2"/>
          </rPr>
          <t xml:space="preserve">
ASUMIDO.
CONSULTAR A ABB</t>
        </r>
      </text>
    </comment>
    <comment ref="C158" authorId="0" shapeId="0" xr:uid="{00000000-0006-0000-0100-000010000000}">
      <text>
        <r>
          <rPr>
            <b/>
            <sz val="9"/>
            <color indexed="81"/>
            <rFont val="Tahoma"/>
            <family val="2"/>
          </rPr>
          <t>Jorge Arturo Espinoza:</t>
        </r>
        <r>
          <rPr>
            <sz val="9"/>
            <color indexed="81"/>
            <rFont val="Tahoma"/>
            <family val="2"/>
          </rPr>
          <t xml:space="preserve">
ASUMIDO.
CONSULTAR A ABB</t>
        </r>
      </text>
    </comment>
    <comment ref="C191" authorId="0" shapeId="0" xr:uid="{00000000-0006-0000-0100-000011000000}">
      <text>
        <r>
          <rPr>
            <b/>
            <sz val="9"/>
            <color indexed="81"/>
            <rFont val="Tahoma"/>
            <family val="2"/>
          </rPr>
          <t>Jorge Arturo Espinoza:</t>
        </r>
        <r>
          <rPr>
            <sz val="9"/>
            <color indexed="81"/>
            <rFont val="Tahoma"/>
            <family val="2"/>
          </rPr>
          <t xml:space="preserve">
ASUMIDO.
CONSULTAR A ABB</t>
        </r>
      </text>
    </comment>
    <comment ref="C192" authorId="0" shapeId="0" xr:uid="{00000000-0006-0000-0100-000012000000}">
      <text>
        <r>
          <rPr>
            <b/>
            <sz val="9"/>
            <color indexed="81"/>
            <rFont val="Tahoma"/>
            <family val="2"/>
          </rPr>
          <t>Jorge Arturo Espinoza:</t>
        </r>
        <r>
          <rPr>
            <sz val="9"/>
            <color indexed="81"/>
            <rFont val="Tahoma"/>
            <family val="2"/>
          </rPr>
          <t xml:space="preserve">
ASUMIDO.
CONSULTAR A ABB</t>
        </r>
      </text>
    </comment>
    <comment ref="C193" authorId="0" shapeId="0" xr:uid="{00000000-0006-0000-0100-000013000000}">
      <text>
        <r>
          <rPr>
            <b/>
            <sz val="9"/>
            <color indexed="81"/>
            <rFont val="Tahoma"/>
            <family val="2"/>
          </rPr>
          <t>Jorge Arturo Espinoza:</t>
        </r>
        <r>
          <rPr>
            <sz val="9"/>
            <color indexed="81"/>
            <rFont val="Tahoma"/>
            <family val="2"/>
          </rPr>
          <t xml:space="preserve">
ASUMIDO.
CONSULTAR A ABB</t>
        </r>
      </text>
    </comment>
    <comment ref="C194" authorId="0" shapeId="0" xr:uid="{00000000-0006-0000-0100-000014000000}">
      <text>
        <r>
          <rPr>
            <b/>
            <sz val="9"/>
            <color indexed="81"/>
            <rFont val="Tahoma"/>
            <family val="2"/>
          </rPr>
          <t>Jorge Arturo Espinoza:</t>
        </r>
        <r>
          <rPr>
            <sz val="9"/>
            <color indexed="81"/>
            <rFont val="Tahoma"/>
            <family val="2"/>
          </rPr>
          <t xml:space="preserve">
ASUMIDO.
CONSULTAR A ABB</t>
        </r>
      </text>
    </comment>
    <comment ref="C195" authorId="0" shapeId="0" xr:uid="{00000000-0006-0000-0100-000015000000}">
      <text>
        <r>
          <rPr>
            <b/>
            <sz val="9"/>
            <color indexed="81"/>
            <rFont val="Tahoma"/>
            <family val="2"/>
          </rPr>
          <t>Jorge Arturo Espinoza:</t>
        </r>
        <r>
          <rPr>
            <sz val="9"/>
            <color indexed="81"/>
            <rFont val="Tahoma"/>
            <family val="2"/>
          </rPr>
          <t xml:space="preserve">
ASUMIDO.
CONSULTAR A ABB</t>
        </r>
      </text>
    </comment>
    <comment ref="C196" authorId="0" shapeId="0" xr:uid="{00000000-0006-0000-0100-000016000000}">
      <text>
        <r>
          <rPr>
            <b/>
            <sz val="9"/>
            <color indexed="81"/>
            <rFont val="Tahoma"/>
            <family val="2"/>
          </rPr>
          <t>Jorge Arturo Espinoza:</t>
        </r>
        <r>
          <rPr>
            <sz val="9"/>
            <color indexed="81"/>
            <rFont val="Tahoma"/>
            <family val="2"/>
          </rPr>
          <t xml:space="preserve">
ASUMIDO.
CONSULTAR A ABB</t>
        </r>
      </text>
    </comment>
    <comment ref="C197" authorId="0" shapeId="0" xr:uid="{00000000-0006-0000-0100-000017000000}">
      <text>
        <r>
          <rPr>
            <b/>
            <sz val="9"/>
            <color indexed="81"/>
            <rFont val="Tahoma"/>
            <family val="2"/>
          </rPr>
          <t>Jorge Arturo Espinoza:</t>
        </r>
        <r>
          <rPr>
            <sz val="9"/>
            <color indexed="81"/>
            <rFont val="Tahoma"/>
            <family val="2"/>
          </rPr>
          <t xml:space="preserve">
ASUMIDO.
CONSULTAR A ABB</t>
        </r>
      </text>
    </comment>
    <comment ref="C363" authorId="0" shapeId="0" xr:uid="{00000000-0006-0000-0100-000018000000}">
      <text>
        <r>
          <rPr>
            <b/>
            <sz val="9"/>
            <color indexed="81"/>
            <rFont val="Tahoma"/>
            <family val="2"/>
          </rPr>
          <t>Jorge Arturo Espinoza:</t>
        </r>
        <r>
          <rPr>
            <sz val="9"/>
            <color indexed="81"/>
            <rFont val="Tahoma"/>
            <family val="2"/>
          </rPr>
          <t xml:space="preserve">
ES EXTRAÑO, CONSULTAR A ABB</t>
        </r>
      </text>
    </comment>
    <comment ref="C403" authorId="0" shapeId="0" xr:uid="{00000000-0006-0000-0100-000019000000}">
      <text>
        <r>
          <rPr>
            <b/>
            <sz val="9"/>
            <color indexed="81"/>
            <rFont val="Tahoma"/>
            <family val="2"/>
          </rPr>
          <t>Jorge Arturo Espinoza:</t>
        </r>
        <r>
          <rPr>
            <sz val="9"/>
            <color indexed="81"/>
            <rFont val="Tahoma"/>
            <family val="2"/>
          </rPr>
          <t xml:space="preserve">
ES EXTRAÑO, CONSULTAR A ABB</t>
        </r>
      </text>
    </comment>
    <comment ref="C439" authorId="0" shapeId="0" xr:uid="{00000000-0006-0000-0100-00001A000000}">
      <text>
        <r>
          <rPr>
            <b/>
            <sz val="9"/>
            <color indexed="81"/>
            <rFont val="Tahoma"/>
            <family val="2"/>
          </rPr>
          <t>Jorge Arturo Espinoza:</t>
        </r>
        <r>
          <rPr>
            <sz val="9"/>
            <color indexed="81"/>
            <rFont val="Tahoma"/>
            <family val="2"/>
          </rPr>
          <t xml:space="preserve">
ES EXTRAÑO, CONSULTAR A ABB</t>
        </r>
      </text>
    </comment>
    <comment ref="G500" authorId="0" shapeId="0" xr:uid="{00000000-0006-0000-0100-00001B000000}">
      <text>
        <r>
          <rPr>
            <b/>
            <sz val="9"/>
            <color indexed="81"/>
            <rFont val="Tahoma"/>
            <family val="2"/>
          </rPr>
          <t>Jorge Arturo Espinoza:</t>
        </r>
        <r>
          <rPr>
            <sz val="9"/>
            <color indexed="81"/>
            <rFont val="Tahoma"/>
            <family val="2"/>
          </rPr>
          <t xml:space="preserve">
Un=255V y Uc=255V tambien?</t>
        </r>
      </text>
    </comment>
    <comment ref="B506" authorId="0" shapeId="0" xr:uid="{00000000-0006-0000-0100-00001C000000}">
      <text>
        <r>
          <rPr>
            <b/>
            <sz val="9"/>
            <color indexed="81"/>
            <rFont val="Tahoma"/>
            <family val="2"/>
          </rPr>
          <t>Jorge Arturo Espinoza:</t>
        </r>
        <r>
          <rPr>
            <sz val="9"/>
            <color indexed="81"/>
            <rFont val="Tahoma"/>
            <family val="2"/>
          </rPr>
          <t xml:space="preserve">
STOCK ??</t>
        </r>
      </text>
    </comment>
    <comment ref="G506" authorId="0" shapeId="0" xr:uid="{00000000-0006-0000-0100-00001D000000}">
      <text>
        <r>
          <rPr>
            <b/>
            <sz val="9"/>
            <color indexed="81"/>
            <rFont val="Tahoma"/>
            <family val="2"/>
          </rPr>
          <t>Jorge Arturo Espinoza:</t>
        </r>
        <r>
          <rPr>
            <sz val="9"/>
            <color indexed="81"/>
            <rFont val="Tahoma"/>
            <family val="2"/>
          </rPr>
          <t xml:space="preserve">
IT ? o TT ?? Verificar</t>
        </r>
      </text>
    </comment>
    <comment ref="B508" authorId="0" shapeId="0" xr:uid="{00000000-0006-0000-0100-00001E000000}">
      <text>
        <r>
          <rPr>
            <b/>
            <sz val="9"/>
            <color indexed="81"/>
            <rFont val="Tahoma"/>
            <family val="2"/>
          </rPr>
          <t>Jorge Arturo Espinoza:</t>
        </r>
        <r>
          <rPr>
            <sz val="9"/>
            <color indexed="81"/>
            <rFont val="Tahoma"/>
            <family val="2"/>
          </rPr>
          <t xml:space="preserve">
IMPORTACION</t>
        </r>
      </text>
    </comment>
    <comment ref="B509" authorId="0" shapeId="0" xr:uid="{00000000-0006-0000-0100-00001F000000}">
      <text>
        <r>
          <rPr>
            <b/>
            <sz val="9"/>
            <color indexed="81"/>
            <rFont val="Tahoma"/>
            <family val="2"/>
          </rPr>
          <t>Jorge Arturo Espinoza:</t>
        </r>
        <r>
          <rPr>
            <sz val="9"/>
            <color indexed="81"/>
            <rFont val="Tahoma"/>
            <family val="2"/>
          </rPr>
          <t xml:space="preserve">
IMPORTACION</t>
        </r>
      </text>
    </comment>
    <comment ref="B510" authorId="0" shapeId="0" xr:uid="{00000000-0006-0000-0100-000020000000}">
      <text>
        <r>
          <rPr>
            <b/>
            <sz val="9"/>
            <color indexed="81"/>
            <rFont val="Tahoma"/>
            <family val="2"/>
          </rPr>
          <t>Jorge Arturo Espinoza:</t>
        </r>
        <r>
          <rPr>
            <sz val="9"/>
            <color indexed="81"/>
            <rFont val="Tahoma"/>
            <family val="2"/>
          </rPr>
          <t xml:space="preserve">
IMPORTACION</t>
        </r>
      </text>
    </comment>
    <comment ref="B511" authorId="0" shapeId="0" xr:uid="{00000000-0006-0000-0100-000021000000}">
      <text>
        <r>
          <rPr>
            <b/>
            <sz val="9"/>
            <color indexed="81"/>
            <rFont val="Tahoma"/>
            <family val="2"/>
          </rPr>
          <t>Jorge Arturo Espinoza:</t>
        </r>
        <r>
          <rPr>
            <sz val="9"/>
            <color indexed="81"/>
            <rFont val="Tahoma"/>
            <family val="2"/>
          </rPr>
          <t xml:space="preserve">
IMPORTACION</t>
        </r>
      </text>
    </comment>
    <comment ref="B514" authorId="0" shapeId="0" xr:uid="{00000000-0006-0000-0100-000022000000}">
      <text>
        <r>
          <rPr>
            <b/>
            <sz val="9"/>
            <color indexed="81"/>
            <rFont val="Tahoma"/>
            <family val="2"/>
          </rPr>
          <t>Jorge Arturo Espinoza:</t>
        </r>
        <r>
          <rPr>
            <sz val="9"/>
            <color indexed="81"/>
            <rFont val="Tahoma"/>
            <family val="2"/>
          </rPr>
          <t xml:space="preserve">
NO VIGENTE, IMPORTACION</t>
        </r>
      </text>
    </comment>
    <comment ref="G514" authorId="0" shapeId="0" xr:uid="{00000000-0006-0000-0100-000023000000}">
      <text>
        <r>
          <rPr>
            <b/>
            <sz val="9"/>
            <color indexed="81"/>
            <rFont val="Tahoma"/>
            <family val="2"/>
          </rPr>
          <t>Jorge Arturo Espinoza:</t>
        </r>
        <r>
          <rPr>
            <sz val="9"/>
            <color indexed="81"/>
            <rFont val="Tahoma"/>
            <family val="2"/>
          </rPr>
          <t xml:space="preserve">
LISTA DE PRECIOSA
DICE QUE Un=230V</t>
        </r>
      </text>
    </comment>
    <comment ref="B515" authorId="0" shapeId="0" xr:uid="{00000000-0006-0000-0100-000024000000}">
      <text>
        <r>
          <rPr>
            <b/>
            <sz val="9"/>
            <color indexed="81"/>
            <rFont val="Tahoma"/>
            <family val="2"/>
          </rPr>
          <t>Jorge Arturo Espinoza:</t>
        </r>
        <r>
          <rPr>
            <sz val="9"/>
            <color indexed="81"/>
            <rFont val="Tahoma"/>
            <family val="2"/>
          </rPr>
          <t xml:space="preserve">
IMPORTACION</t>
        </r>
      </text>
    </comment>
    <comment ref="G515" authorId="0" shapeId="0" xr:uid="{00000000-0006-0000-0100-000025000000}">
      <text>
        <r>
          <rPr>
            <b/>
            <sz val="9"/>
            <color indexed="81"/>
            <rFont val="Tahoma"/>
            <family val="2"/>
          </rPr>
          <t>Jorge Arturo Espinoza:</t>
        </r>
        <r>
          <rPr>
            <sz val="9"/>
            <color indexed="81"/>
            <rFont val="Tahoma"/>
            <family val="2"/>
          </rPr>
          <t xml:space="preserve">
FALTA CONSULTAR SI REALMENTE ES:
Un=400/690V
Uc=440V/760V</t>
        </r>
      </text>
    </comment>
    <comment ref="B517" authorId="0" shapeId="0" xr:uid="{00000000-0006-0000-0100-000026000000}">
      <text>
        <r>
          <rPr>
            <b/>
            <sz val="9"/>
            <color indexed="81"/>
            <rFont val="Tahoma"/>
            <family val="2"/>
          </rPr>
          <t>Jorge Arturo Espinoza:</t>
        </r>
        <r>
          <rPr>
            <sz val="9"/>
            <color indexed="81"/>
            <rFont val="Tahoma"/>
            <family val="2"/>
          </rPr>
          <t xml:space="preserve">
IMPORTACION</t>
        </r>
      </text>
    </comment>
    <comment ref="F565" authorId="1" shapeId="0" xr:uid="{00000000-0006-0000-0100-000027000000}">
      <text>
        <r>
          <rPr>
            <b/>
            <sz val="9"/>
            <color indexed="81"/>
            <rFont val="Tahoma"/>
            <family val="2"/>
          </rPr>
          <t>Roberto Meza:</t>
        </r>
        <r>
          <rPr>
            <sz val="9"/>
            <color indexed="81"/>
            <rFont val="Tahoma"/>
            <family val="2"/>
          </rPr>
          <t xml:space="preserve">
precio real</t>
        </r>
      </text>
    </comment>
    <comment ref="F566" authorId="1" shapeId="0" xr:uid="{00000000-0006-0000-0100-000028000000}">
      <text>
        <r>
          <rPr>
            <b/>
            <sz val="9"/>
            <color indexed="81"/>
            <rFont val="Tahoma"/>
            <family val="2"/>
          </rPr>
          <t>Roberto Meza:</t>
        </r>
        <r>
          <rPr>
            <sz val="9"/>
            <color indexed="81"/>
            <rFont val="Tahoma"/>
            <family val="2"/>
          </rPr>
          <t xml:space="preserve">
precio real</t>
        </r>
      </text>
    </comment>
    <comment ref="F569" authorId="1" shapeId="0" xr:uid="{00000000-0006-0000-0100-000029000000}">
      <text>
        <r>
          <rPr>
            <b/>
            <sz val="9"/>
            <color indexed="81"/>
            <rFont val="Tahoma"/>
            <family val="2"/>
          </rPr>
          <t>Roberto Meza:</t>
        </r>
        <r>
          <rPr>
            <sz val="9"/>
            <color indexed="81"/>
            <rFont val="Tahoma"/>
            <family val="2"/>
          </rPr>
          <t xml:space="preserve">
precio real</t>
        </r>
      </text>
    </comment>
    <comment ref="B631" authorId="0" shapeId="0" xr:uid="{00000000-0006-0000-0100-00002A000000}">
      <text>
        <r>
          <rPr>
            <b/>
            <sz val="9"/>
            <color indexed="81"/>
            <rFont val="Tahoma"/>
            <family val="2"/>
          </rPr>
          <t>Jorge Arturo Espinoza:</t>
        </r>
        <r>
          <rPr>
            <sz val="9"/>
            <color indexed="81"/>
            <rFont val="Tahoma"/>
            <family val="2"/>
          </rPr>
          <t xml:space="preserve">
NO ESTAN EN LISTA DE PRECIOS</t>
        </r>
      </text>
    </comment>
    <comment ref="B639" authorId="0" shapeId="0" xr:uid="{00000000-0006-0000-0100-00002B000000}">
      <text>
        <r>
          <rPr>
            <b/>
            <sz val="9"/>
            <color indexed="81"/>
            <rFont val="Tahoma"/>
            <family val="2"/>
          </rPr>
          <t>Jorge Arturo Espinoza:</t>
        </r>
        <r>
          <rPr>
            <sz val="9"/>
            <color indexed="81"/>
            <rFont val="Tahoma"/>
            <family val="2"/>
          </rPr>
          <t xml:space="preserve">
PREGUNTAR DISPONIBILIDAD</t>
        </r>
      </text>
    </comment>
    <comment ref="B640" authorId="0" shapeId="0" xr:uid="{00000000-0006-0000-0100-00002C000000}">
      <text>
        <r>
          <rPr>
            <b/>
            <sz val="9"/>
            <color indexed="81"/>
            <rFont val="Tahoma"/>
            <family val="2"/>
          </rPr>
          <t>Jorge Arturo Espinoza:</t>
        </r>
        <r>
          <rPr>
            <sz val="9"/>
            <color indexed="81"/>
            <rFont val="Tahoma"/>
            <family val="2"/>
          </rPr>
          <t xml:space="preserve">
PREGUNTAR DISPONIBILIDAD</t>
        </r>
      </text>
    </comment>
    <comment ref="B641" authorId="0" shapeId="0" xr:uid="{00000000-0006-0000-0100-00002D000000}">
      <text>
        <r>
          <rPr>
            <b/>
            <sz val="9"/>
            <color indexed="81"/>
            <rFont val="Tahoma"/>
            <family val="2"/>
          </rPr>
          <t>Jorge Arturo Espinoza:</t>
        </r>
        <r>
          <rPr>
            <sz val="9"/>
            <color indexed="81"/>
            <rFont val="Tahoma"/>
            <family val="2"/>
          </rPr>
          <t xml:space="preserve">
PREGUNTAR DISPONIBILIDAD</t>
        </r>
      </text>
    </comment>
    <comment ref="B642" authorId="0" shapeId="0" xr:uid="{00000000-0006-0000-0100-00002E000000}">
      <text>
        <r>
          <rPr>
            <b/>
            <sz val="9"/>
            <color indexed="81"/>
            <rFont val="Tahoma"/>
            <family val="2"/>
          </rPr>
          <t>Jorge Arturo Espinoza:</t>
        </r>
        <r>
          <rPr>
            <sz val="9"/>
            <color indexed="81"/>
            <rFont val="Tahoma"/>
            <family val="2"/>
          </rPr>
          <t xml:space="preserve">
PREGUNTAR DISPONIBILIDAD</t>
        </r>
      </text>
    </comment>
    <comment ref="B643" authorId="0" shapeId="0" xr:uid="{00000000-0006-0000-0100-00002F000000}">
      <text>
        <r>
          <rPr>
            <b/>
            <sz val="9"/>
            <color indexed="81"/>
            <rFont val="Tahoma"/>
            <family val="2"/>
          </rPr>
          <t>Jorge Arturo Espinoza:</t>
        </r>
        <r>
          <rPr>
            <sz val="9"/>
            <color indexed="81"/>
            <rFont val="Tahoma"/>
            <family val="2"/>
          </rPr>
          <t xml:space="preserve">
PREGUNTAR DISPONIBILIDAD</t>
        </r>
      </text>
    </comment>
    <comment ref="B647" authorId="0" shapeId="0" xr:uid="{00000000-0006-0000-0100-000030000000}">
      <text>
        <r>
          <rPr>
            <b/>
            <sz val="9"/>
            <color indexed="81"/>
            <rFont val="Tahoma"/>
            <family val="2"/>
          </rPr>
          <t>Jorge Arturo Espinoza:</t>
        </r>
        <r>
          <rPr>
            <sz val="9"/>
            <color indexed="81"/>
            <rFont val="Tahoma"/>
            <family val="2"/>
          </rPr>
          <t xml:space="preserve">
NO ESTAN EN LISTA DE PRECIOS</t>
        </r>
      </text>
    </comment>
    <comment ref="B648" authorId="0" shapeId="0" xr:uid="{00000000-0006-0000-0100-000031000000}">
      <text>
        <r>
          <rPr>
            <b/>
            <sz val="9"/>
            <color indexed="81"/>
            <rFont val="Tahoma"/>
            <family val="2"/>
          </rPr>
          <t>Jorge Arturo Espinoza:</t>
        </r>
        <r>
          <rPr>
            <sz val="9"/>
            <color indexed="81"/>
            <rFont val="Tahoma"/>
            <family val="2"/>
          </rPr>
          <t xml:space="preserve">
NO ESTAN EN LISTA DE PRECIOS</t>
        </r>
      </text>
    </comment>
    <comment ref="B649" authorId="0" shapeId="0" xr:uid="{00000000-0006-0000-0100-000032000000}">
      <text>
        <r>
          <rPr>
            <b/>
            <sz val="9"/>
            <color indexed="81"/>
            <rFont val="Tahoma"/>
            <family val="2"/>
          </rPr>
          <t>Jorge Arturo Espinoza:</t>
        </r>
        <r>
          <rPr>
            <sz val="9"/>
            <color indexed="81"/>
            <rFont val="Tahoma"/>
            <family val="2"/>
          </rPr>
          <t xml:space="preserve">
NO ESTAN EN LISTA DE PRECIOS</t>
        </r>
      </text>
    </comment>
    <comment ref="B663" authorId="0" shapeId="0" xr:uid="{00000000-0006-0000-0100-000033000000}">
      <text>
        <r>
          <rPr>
            <b/>
            <sz val="9"/>
            <color indexed="81"/>
            <rFont val="Tahoma"/>
            <family val="2"/>
          </rPr>
          <t>Jorge Arturo Espinoza:</t>
        </r>
        <r>
          <rPr>
            <sz val="9"/>
            <color indexed="81"/>
            <rFont val="Tahoma"/>
            <family val="2"/>
          </rPr>
          <t xml:space="preserve">
NO ESTAN EN LISTA DE PRECIOS</t>
        </r>
      </text>
    </comment>
    <comment ref="C663" authorId="0" shapeId="0" xr:uid="{00000000-0006-0000-0100-000034000000}">
      <text>
        <r>
          <rPr>
            <b/>
            <sz val="9"/>
            <color indexed="81"/>
            <rFont val="Tahoma"/>
            <family val="2"/>
          </rPr>
          <t>Jorge Arturo Espinoza:</t>
        </r>
        <r>
          <rPr>
            <sz val="9"/>
            <color indexed="81"/>
            <rFont val="Tahoma"/>
            <family val="2"/>
          </rPr>
          <t xml:space="preserve">
FALTA CONFIRMAR POR ABB</t>
        </r>
      </text>
    </comment>
    <comment ref="B664" authorId="0" shapeId="0" xr:uid="{00000000-0006-0000-0100-000035000000}">
      <text>
        <r>
          <rPr>
            <b/>
            <sz val="9"/>
            <color indexed="81"/>
            <rFont val="Tahoma"/>
            <family val="2"/>
          </rPr>
          <t>Jorge Arturo Espinoza:</t>
        </r>
        <r>
          <rPr>
            <sz val="9"/>
            <color indexed="81"/>
            <rFont val="Tahoma"/>
            <family val="2"/>
          </rPr>
          <t xml:space="preserve">
NO ESTAN EN LISTA DE PRECIOS</t>
        </r>
      </text>
    </comment>
    <comment ref="C664" authorId="0" shapeId="0" xr:uid="{00000000-0006-0000-0100-000036000000}">
      <text>
        <r>
          <rPr>
            <b/>
            <sz val="9"/>
            <color indexed="81"/>
            <rFont val="Tahoma"/>
            <family val="2"/>
          </rPr>
          <t>Jorge Arturo Espinoza:</t>
        </r>
        <r>
          <rPr>
            <sz val="9"/>
            <color indexed="81"/>
            <rFont val="Tahoma"/>
            <family val="2"/>
          </rPr>
          <t xml:space="preserve">
FALTA CONFIRMAR POR ABB</t>
        </r>
      </text>
    </comment>
    <comment ref="B665" authorId="0" shapeId="0" xr:uid="{00000000-0006-0000-0100-000037000000}">
      <text>
        <r>
          <rPr>
            <b/>
            <sz val="9"/>
            <color indexed="81"/>
            <rFont val="Tahoma"/>
            <family val="2"/>
          </rPr>
          <t>Jorge Arturo Espinoza:</t>
        </r>
        <r>
          <rPr>
            <sz val="9"/>
            <color indexed="81"/>
            <rFont val="Tahoma"/>
            <family val="2"/>
          </rPr>
          <t xml:space="preserve">
NO ESTAN EN LISTA DE PRECIOS</t>
        </r>
      </text>
    </comment>
    <comment ref="B677" authorId="0" shapeId="0" xr:uid="{00000000-0006-0000-0100-000038000000}">
      <text>
        <r>
          <rPr>
            <b/>
            <sz val="9"/>
            <color indexed="81"/>
            <rFont val="Tahoma"/>
            <family val="2"/>
          </rPr>
          <t>Jorge Arturo Espinoza:</t>
        </r>
        <r>
          <rPr>
            <sz val="9"/>
            <color indexed="81"/>
            <rFont val="Tahoma"/>
            <family val="2"/>
          </rPr>
          <t xml:space="preserve">
IMPORTACION</t>
        </r>
      </text>
    </comment>
    <comment ref="B678" authorId="0" shapeId="0" xr:uid="{00000000-0006-0000-0100-000039000000}">
      <text>
        <r>
          <rPr>
            <b/>
            <sz val="9"/>
            <color indexed="81"/>
            <rFont val="Tahoma"/>
            <family val="2"/>
          </rPr>
          <t>Jorge Arturo Espinoza:</t>
        </r>
        <r>
          <rPr>
            <sz val="9"/>
            <color indexed="81"/>
            <rFont val="Tahoma"/>
            <family val="2"/>
          </rPr>
          <t xml:space="preserve">
IMPORTACION</t>
        </r>
      </text>
    </comment>
    <comment ref="B679" authorId="0" shapeId="0" xr:uid="{00000000-0006-0000-0100-00003A000000}">
      <text>
        <r>
          <rPr>
            <b/>
            <sz val="9"/>
            <color indexed="81"/>
            <rFont val="Tahoma"/>
            <family val="2"/>
          </rPr>
          <t>Jorge Arturo Espinoza:</t>
        </r>
        <r>
          <rPr>
            <sz val="9"/>
            <color indexed="81"/>
            <rFont val="Tahoma"/>
            <family val="2"/>
          </rPr>
          <t xml:space="preserve">
IMPORTACION</t>
        </r>
      </text>
    </comment>
    <comment ref="B680" authorId="0" shapeId="0" xr:uid="{00000000-0006-0000-0100-00003B000000}">
      <text>
        <r>
          <rPr>
            <b/>
            <sz val="9"/>
            <color indexed="81"/>
            <rFont val="Tahoma"/>
            <family val="2"/>
          </rPr>
          <t>Jorge Arturo Espinoza:</t>
        </r>
        <r>
          <rPr>
            <sz val="9"/>
            <color indexed="81"/>
            <rFont val="Tahoma"/>
            <family val="2"/>
          </rPr>
          <t xml:space="preserve">
IMPORTACION</t>
        </r>
      </text>
    </comment>
    <comment ref="B681" authorId="0" shapeId="0" xr:uid="{00000000-0006-0000-0100-00003C000000}">
      <text>
        <r>
          <rPr>
            <b/>
            <sz val="9"/>
            <color indexed="81"/>
            <rFont val="Tahoma"/>
            <family val="2"/>
          </rPr>
          <t>Jorge Arturo Espinoza:</t>
        </r>
        <r>
          <rPr>
            <sz val="9"/>
            <color indexed="81"/>
            <rFont val="Tahoma"/>
            <family val="2"/>
          </rPr>
          <t xml:space="preserve">
IMPORTACION</t>
        </r>
      </text>
    </comment>
    <comment ref="B682" authorId="0" shapeId="0" xr:uid="{00000000-0006-0000-0100-00003D000000}">
      <text>
        <r>
          <rPr>
            <b/>
            <sz val="9"/>
            <color indexed="81"/>
            <rFont val="Tahoma"/>
            <family val="2"/>
          </rPr>
          <t>Jorge Arturo Espinoza:</t>
        </r>
        <r>
          <rPr>
            <sz val="9"/>
            <color indexed="81"/>
            <rFont val="Tahoma"/>
            <family val="2"/>
          </rPr>
          <t xml:space="preserve">
IMPORTACION</t>
        </r>
      </text>
    </comment>
    <comment ref="B683" authorId="0" shapeId="0" xr:uid="{00000000-0006-0000-0100-00003E000000}">
      <text>
        <r>
          <rPr>
            <b/>
            <sz val="9"/>
            <color indexed="81"/>
            <rFont val="Tahoma"/>
            <family val="2"/>
          </rPr>
          <t>Jorge Arturo Espinoza:</t>
        </r>
        <r>
          <rPr>
            <sz val="9"/>
            <color indexed="81"/>
            <rFont val="Tahoma"/>
            <family val="2"/>
          </rPr>
          <t xml:space="preserve">
IMPORTACION</t>
        </r>
      </text>
    </comment>
    <comment ref="B684" authorId="0" shapeId="0" xr:uid="{00000000-0006-0000-0100-00003F000000}">
      <text>
        <r>
          <rPr>
            <b/>
            <sz val="9"/>
            <color indexed="81"/>
            <rFont val="Tahoma"/>
            <family val="2"/>
          </rPr>
          <t>Jorge Arturo Espinoza:</t>
        </r>
        <r>
          <rPr>
            <sz val="9"/>
            <color indexed="81"/>
            <rFont val="Tahoma"/>
            <family val="2"/>
          </rPr>
          <t xml:space="preserve">
IMPORTACION</t>
        </r>
      </text>
    </comment>
    <comment ref="B685" authorId="0" shapeId="0" xr:uid="{00000000-0006-0000-0100-000040000000}">
      <text>
        <r>
          <rPr>
            <b/>
            <sz val="9"/>
            <color indexed="81"/>
            <rFont val="Tahoma"/>
            <family val="2"/>
          </rPr>
          <t>Jorge Arturo Espinoza:</t>
        </r>
        <r>
          <rPr>
            <sz val="9"/>
            <color indexed="81"/>
            <rFont val="Tahoma"/>
            <family val="2"/>
          </rPr>
          <t xml:space="preserve">
IMPORTACION</t>
        </r>
      </text>
    </comment>
    <comment ref="B686" authorId="0" shapeId="0" xr:uid="{00000000-0006-0000-0100-000041000000}">
      <text>
        <r>
          <rPr>
            <b/>
            <sz val="9"/>
            <color indexed="81"/>
            <rFont val="Tahoma"/>
            <family val="2"/>
          </rPr>
          <t>Jorge Arturo Espinoza:</t>
        </r>
        <r>
          <rPr>
            <sz val="9"/>
            <color indexed="81"/>
            <rFont val="Tahoma"/>
            <family val="2"/>
          </rPr>
          <t xml:space="preserve">
IMPORTACION</t>
        </r>
      </text>
    </comment>
    <comment ref="B687" authorId="0" shapeId="0" xr:uid="{00000000-0006-0000-0100-000042000000}">
      <text>
        <r>
          <rPr>
            <b/>
            <sz val="9"/>
            <color indexed="81"/>
            <rFont val="Tahoma"/>
            <family val="2"/>
          </rPr>
          <t>Jorge Arturo Espinoza:</t>
        </r>
        <r>
          <rPr>
            <sz val="9"/>
            <color indexed="81"/>
            <rFont val="Tahoma"/>
            <family val="2"/>
          </rPr>
          <t xml:space="preserve">
IMPORTACION</t>
        </r>
      </text>
    </comment>
    <comment ref="B688" authorId="0" shapeId="0" xr:uid="{00000000-0006-0000-0100-000043000000}">
      <text>
        <r>
          <rPr>
            <b/>
            <sz val="9"/>
            <color indexed="81"/>
            <rFont val="Tahoma"/>
            <family val="2"/>
          </rPr>
          <t>Jorge Arturo Espinoza:</t>
        </r>
        <r>
          <rPr>
            <sz val="9"/>
            <color indexed="81"/>
            <rFont val="Tahoma"/>
            <family val="2"/>
          </rPr>
          <t xml:space="preserve">
IMPORTACION</t>
        </r>
      </text>
    </comment>
    <comment ref="B689" authorId="0" shapeId="0" xr:uid="{00000000-0006-0000-0100-000044000000}">
      <text>
        <r>
          <rPr>
            <b/>
            <sz val="9"/>
            <color indexed="81"/>
            <rFont val="Tahoma"/>
            <family val="2"/>
          </rPr>
          <t>Jorge Arturo Espinoza:</t>
        </r>
        <r>
          <rPr>
            <sz val="9"/>
            <color indexed="81"/>
            <rFont val="Tahoma"/>
            <family val="2"/>
          </rPr>
          <t xml:space="preserve">
IMPORTACION</t>
        </r>
      </text>
    </comment>
    <comment ref="B717" authorId="0" shapeId="0" xr:uid="{00000000-0006-0000-0100-000045000000}">
      <text>
        <r>
          <rPr>
            <b/>
            <sz val="9"/>
            <color indexed="81"/>
            <rFont val="Tahoma"/>
            <family val="2"/>
          </rPr>
          <t>Jorge Arturo Espinoza:</t>
        </r>
        <r>
          <rPr>
            <sz val="9"/>
            <color indexed="81"/>
            <rFont val="Tahoma"/>
            <family val="2"/>
          </rPr>
          <t xml:space="preserve">
IMPORTACION</t>
        </r>
      </text>
    </comment>
    <comment ref="B718" authorId="0" shapeId="0" xr:uid="{00000000-0006-0000-0100-000046000000}">
      <text>
        <r>
          <rPr>
            <b/>
            <sz val="9"/>
            <color indexed="81"/>
            <rFont val="Tahoma"/>
            <family val="2"/>
          </rPr>
          <t>Jorge Arturo Espinoza:</t>
        </r>
        <r>
          <rPr>
            <sz val="9"/>
            <color indexed="81"/>
            <rFont val="Tahoma"/>
            <family val="2"/>
          </rPr>
          <t xml:space="preserve">
IMPORTACION</t>
        </r>
      </text>
    </comment>
    <comment ref="B719" authorId="0" shapeId="0" xr:uid="{00000000-0006-0000-0100-000047000000}">
      <text>
        <r>
          <rPr>
            <b/>
            <sz val="9"/>
            <color indexed="81"/>
            <rFont val="Tahoma"/>
            <family val="2"/>
          </rPr>
          <t>Jorge Arturo Espinoza:</t>
        </r>
        <r>
          <rPr>
            <sz val="9"/>
            <color indexed="81"/>
            <rFont val="Tahoma"/>
            <family val="2"/>
          </rPr>
          <t xml:space="preserve">
IMPORTACION</t>
        </r>
      </text>
    </comment>
    <comment ref="B720" authorId="0" shapeId="0" xr:uid="{00000000-0006-0000-0100-000048000000}">
      <text>
        <r>
          <rPr>
            <b/>
            <sz val="9"/>
            <color indexed="81"/>
            <rFont val="Tahoma"/>
            <family val="2"/>
          </rPr>
          <t>Jorge Arturo Espinoza:</t>
        </r>
        <r>
          <rPr>
            <sz val="9"/>
            <color indexed="81"/>
            <rFont val="Tahoma"/>
            <family val="2"/>
          </rPr>
          <t xml:space="preserve">
IMPORTACION</t>
        </r>
      </text>
    </comment>
    <comment ref="B721" authorId="0" shapeId="0" xr:uid="{00000000-0006-0000-0100-000049000000}">
      <text>
        <r>
          <rPr>
            <b/>
            <sz val="9"/>
            <color indexed="81"/>
            <rFont val="Tahoma"/>
            <family val="2"/>
          </rPr>
          <t>Jorge Arturo Espinoza:</t>
        </r>
        <r>
          <rPr>
            <sz val="9"/>
            <color indexed="81"/>
            <rFont val="Tahoma"/>
            <family val="2"/>
          </rPr>
          <t xml:space="preserve">
IMPORTACION</t>
        </r>
      </text>
    </comment>
    <comment ref="B722" authorId="0" shapeId="0" xr:uid="{00000000-0006-0000-0100-00004A000000}">
      <text>
        <r>
          <rPr>
            <b/>
            <sz val="9"/>
            <color indexed="81"/>
            <rFont val="Tahoma"/>
            <family val="2"/>
          </rPr>
          <t>Jorge Arturo Espinoza:</t>
        </r>
        <r>
          <rPr>
            <sz val="9"/>
            <color indexed="81"/>
            <rFont val="Tahoma"/>
            <family val="2"/>
          </rPr>
          <t xml:space="preserve">
IMPORTACION</t>
        </r>
      </text>
    </comment>
    <comment ref="B723" authorId="0" shapeId="0" xr:uid="{00000000-0006-0000-0100-00004B000000}">
      <text>
        <r>
          <rPr>
            <b/>
            <sz val="9"/>
            <color indexed="81"/>
            <rFont val="Tahoma"/>
            <family val="2"/>
          </rPr>
          <t>Jorge Arturo Espinoza:</t>
        </r>
        <r>
          <rPr>
            <sz val="9"/>
            <color indexed="81"/>
            <rFont val="Tahoma"/>
            <family val="2"/>
          </rPr>
          <t xml:space="preserve">
IMPORTACION</t>
        </r>
      </text>
    </comment>
    <comment ref="B724" authorId="0" shapeId="0" xr:uid="{00000000-0006-0000-0100-00004C000000}">
      <text>
        <r>
          <rPr>
            <b/>
            <sz val="9"/>
            <color indexed="81"/>
            <rFont val="Tahoma"/>
            <family val="2"/>
          </rPr>
          <t>Jorge Arturo Espinoza:</t>
        </r>
        <r>
          <rPr>
            <sz val="9"/>
            <color indexed="81"/>
            <rFont val="Tahoma"/>
            <family val="2"/>
          </rPr>
          <t xml:space="preserve">
IMPORTACION</t>
        </r>
      </text>
    </comment>
    <comment ref="B725" authorId="0" shapeId="0" xr:uid="{00000000-0006-0000-0100-00004D000000}">
      <text>
        <r>
          <rPr>
            <b/>
            <sz val="9"/>
            <color indexed="81"/>
            <rFont val="Tahoma"/>
            <family val="2"/>
          </rPr>
          <t>Jorge Arturo Espinoza:</t>
        </r>
        <r>
          <rPr>
            <sz val="9"/>
            <color indexed="81"/>
            <rFont val="Tahoma"/>
            <family val="2"/>
          </rPr>
          <t xml:space="preserve">
IMPORTACION</t>
        </r>
      </text>
    </comment>
    <comment ref="B726" authorId="0" shapeId="0" xr:uid="{00000000-0006-0000-0100-00004E000000}">
      <text>
        <r>
          <rPr>
            <b/>
            <sz val="9"/>
            <color indexed="81"/>
            <rFont val="Tahoma"/>
            <family val="2"/>
          </rPr>
          <t>Jorge Arturo Espinoza:</t>
        </r>
        <r>
          <rPr>
            <sz val="9"/>
            <color indexed="81"/>
            <rFont val="Tahoma"/>
            <family val="2"/>
          </rPr>
          <t xml:space="preserve">
IMPORTACION</t>
        </r>
      </text>
    </comment>
    <comment ref="B727" authorId="0" shapeId="0" xr:uid="{00000000-0006-0000-0100-00004F000000}">
      <text>
        <r>
          <rPr>
            <b/>
            <sz val="9"/>
            <color indexed="81"/>
            <rFont val="Tahoma"/>
            <family val="2"/>
          </rPr>
          <t>Jorge Arturo Espinoza:</t>
        </r>
        <r>
          <rPr>
            <sz val="9"/>
            <color indexed="81"/>
            <rFont val="Tahoma"/>
            <family val="2"/>
          </rPr>
          <t xml:space="preserve">
IMPORTACION</t>
        </r>
      </text>
    </comment>
    <comment ref="B728" authorId="0" shapeId="0" xr:uid="{00000000-0006-0000-0100-000050000000}">
      <text>
        <r>
          <rPr>
            <b/>
            <sz val="9"/>
            <color indexed="81"/>
            <rFont val="Tahoma"/>
            <family val="2"/>
          </rPr>
          <t>Jorge Arturo Espinoza:</t>
        </r>
        <r>
          <rPr>
            <sz val="9"/>
            <color indexed="81"/>
            <rFont val="Tahoma"/>
            <family val="2"/>
          </rPr>
          <t xml:space="preserve">
IMPORTACION</t>
        </r>
      </text>
    </comment>
    <comment ref="B730" authorId="0" shapeId="0" xr:uid="{00000000-0006-0000-0100-000051000000}">
      <text>
        <r>
          <rPr>
            <b/>
            <sz val="9"/>
            <color indexed="81"/>
            <rFont val="Tahoma"/>
            <family val="2"/>
          </rPr>
          <t>Jorge Arturo Espinoza:</t>
        </r>
        <r>
          <rPr>
            <sz val="9"/>
            <color indexed="81"/>
            <rFont val="Tahoma"/>
            <family val="2"/>
          </rPr>
          <t xml:space="preserve">
No está en Lista de Precios</t>
        </r>
      </text>
    </comment>
    <comment ref="B731" authorId="0" shapeId="0" xr:uid="{00000000-0006-0000-0100-000052000000}">
      <text>
        <r>
          <rPr>
            <b/>
            <sz val="9"/>
            <color indexed="81"/>
            <rFont val="Tahoma"/>
            <family val="2"/>
          </rPr>
          <t>Jorge Arturo Espinoza:</t>
        </r>
        <r>
          <rPr>
            <sz val="9"/>
            <color indexed="81"/>
            <rFont val="Tahoma"/>
            <family val="2"/>
          </rPr>
          <t xml:space="preserve">
No está en Lista de Precios</t>
        </r>
      </text>
    </comment>
    <comment ref="B732" authorId="0" shapeId="0" xr:uid="{00000000-0006-0000-0100-000053000000}">
      <text>
        <r>
          <rPr>
            <b/>
            <sz val="9"/>
            <color indexed="81"/>
            <rFont val="Tahoma"/>
            <family val="2"/>
          </rPr>
          <t>Jorge Arturo Espinoza:</t>
        </r>
        <r>
          <rPr>
            <sz val="9"/>
            <color indexed="81"/>
            <rFont val="Tahoma"/>
            <family val="2"/>
          </rPr>
          <t xml:space="preserve">
No está en Lista de Precios</t>
        </r>
      </text>
    </comment>
    <comment ref="B733" authorId="0" shapeId="0" xr:uid="{00000000-0006-0000-0100-000054000000}">
      <text>
        <r>
          <rPr>
            <b/>
            <sz val="9"/>
            <color indexed="81"/>
            <rFont val="Tahoma"/>
            <family val="2"/>
          </rPr>
          <t>Jorge Arturo Espinoza:</t>
        </r>
        <r>
          <rPr>
            <sz val="9"/>
            <color indexed="81"/>
            <rFont val="Tahoma"/>
            <family val="2"/>
          </rPr>
          <t xml:space="preserve">
No está en Lista de Precios</t>
        </r>
      </text>
    </comment>
    <comment ref="B734" authorId="0" shapeId="0" xr:uid="{00000000-0006-0000-0100-000055000000}">
      <text>
        <r>
          <rPr>
            <b/>
            <sz val="9"/>
            <color indexed="81"/>
            <rFont val="Tahoma"/>
            <family val="2"/>
          </rPr>
          <t>Jorge Arturo Espinoza:</t>
        </r>
        <r>
          <rPr>
            <sz val="9"/>
            <color indexed="81"/>
            <rFont val="Tahoma"/>
            <family val="2"/>
          </rPr>
          <t xml:space="preserve">
No está en Lista de Precios</t>
        </r>
      </text>
    </comment>
    <comment ref="B743" authorId="0" shapeId="0" xr:uid="{00000000-0006-0000-0100-000056000000}">
      <text>
        <r>
          <rPr>
            <b/>
            <sz val="9"/>
            <color indexed="81"/>
            <rFont val="Tahoma"/>
            <family val="2"/>
          </rPr>
          <t>Jorge Arturo Espinoza:</t>
        </r>
        <r>
          <rPr>
            <sz val="9"/>
            <color indexed="81"/>
            <rFont val="Tahoma"/>
            <family val="2"/>
          </rPr>
          <t xml:space="preserve">
No está en Lista de Precios</t>
        </r>
      </text>
    </comment>
    <comment ref="B749" authorId="0" shapeId="0" xr:uid="{00000000-0006-0000-0100-000057000000}">
      <text>
        <r>
          <rPr>
            <b/>
            <sz val="9"/>
            <color indexed="81"/>
            <rFont val="Tahoma"/>
            <family val="2"/>
          </rPr>
          <t>Jorge Arturo Espinoza:</t>
        </r>
        <r>
          <rPr>
            <sz val="9"/>
            <color indexed="81"/>
            <rFont val="Tahoma"/>
            <family val="2"/>
          </rPr>
          <t xml:space="preserve">
NO ESTA EN LISTA DE PRECIOS</t>
        </r>
      </text>
    </comment>
    <comment ref="B750" authorId="0" shapeId="0" xr:uid="{00000000-0006-0000-0100-000058000000}">
      <text>
        <r>
          <rPr>
            <b/>
            <sz val="9"/>
            <color indexed="81"/>
            <rFont val="Tahoma"/>
            <family val="2"/>
          </rPr>
          <t>Jorge Arturo Espinoza:</t>
        </r>
        <r>
          <rPr>
            <sz val="9"/>
            <color indexed="81"/>
            <rFont val="Tahoma"/>
            <family val="2"/>
          </rPr>
          <t xml:space="preserve">
NO ESTA EN LISTA DE PRECIOS</t>
        </r>
      </text>
    </comment>
    <comment ref="B751" authorId="0" shapeId="0" xr:uid="{00000000-0006-0000-0100-000059000000}">
      <text>
        <r>
          <rPr>
            <b/>
            <sz val="9"/>
            <color indexed="81"/>
            <rFont val="Tahoma"/>
            <family val="2"/>
          </rPr>
          <t>Jorge Arturo Espinoza:</t>
        </r>
        <r>
          <rPr>
            <sz val="9"/>
            <color indexed="81"/>
            <rFont val="Tahoma"/>
            <family val="2"/>
          </rPr>
          <t xml:space="preserve">
NO ESTA EN LISTA DE PRECIOS</t>
        </r>
      </text>
    </comment>
    <comment ref="B753" authorId="0" shapeId="0" xr:uid="{00000000-0006-0000-0100-00005A000000}">
      <text>
        <r>
          <rPr>
            <b/>
            <sz val="9"/>
            <color indexed="81"/>
            <rFont val="Tahoma"/>
            <family val="2"/>
          </rPr>
          <t>Jorge Arturo Espinoza:</t>
        </r>
        <r>
          <rPr>
            <sz val="9"/>
            <color indexed="81"/>
            <rFont val="Tahoma"/>
            <family val="2"/>
          </rPr>
          <t xml:space="preserve">
NO ESTA EN LISTA DE PRECIOS</t>
        </r>
      </text>
    </comment>
    <comment ref="B754" authorId="0" shapeId="0" xr:uid="{00000000-0006-0000-0100-00005B000000}">
      <text>
        <r>
          <rPr>
            <b/>
            <sz val="9"/>
            <color indexed="81"/>
            <rFont val="Tahoma"/>
            <family val="2"/>
          </rPr>
          <t>Jorge Arturo Espinoza:</t>
        </r>
        <r>
          <rPr>
            <sz val="9"/>
            <color indexed="81"/>
            <rFont val="Tahoma"/>
            <family val="2"/>
          </rPr>
          <t xml:space="preserve">
NO ESTA EN LISTA DE PRECIOS</t>
        </r>
      </text>
    </comment>
    <comment ref="B755" authorId="0" shapeId="0" xr:uid="{00000000-0006-0000-0100-00005C000000}">
      <text>
        <r>
          <rPr>
            <b/>
            <sz val="9"/>
            <color indexed="81"/>
            <rFont val="Tahoma"/>
            <family val="2"/>
          </rPr>
          <t>Jorge Arturo Espinoza:</t>
        </r>
        <r>
          <rPr>
            <sz val="9"/>
            <color indexed="81"/>
            <rFont val="Tahoma"/>
            <family val="2"/>
          </rPr>
          <t xml:space="preserve">
NO ESTA EN LISTA DE PRECIOS</t>
        </r>
      </text>
    </comment>
    <comment ref="B756" authorId="0" shapeId="0" xr:uid="{00000000-0006-0000-0100-00005D000000}">
      <text>
        <r>
          <rPr>
            <b/>
            <sz val="9"/>
            <color indexed="81"/>
            <rFont val="Tahoma"/>
            <family val="2"/>
          </rPr>
          <t>Jorge Arturo Espinoza:</t>
        </r>
        <r>
          <rPr>
            <sz val="9"/>
            <color indexed="81"/>
            <rFont val="Tahoma"/>
            <family val="2"/>
          </rPr>
          <t xml:space="preserve">
NO ESTA EN LISTA DE PRECIOS</t>
        </r>
      </text>
    </comment>
    <comment ref="B758" authorId="0" shapeId="0" xr:uid="{00000000-0006-0000-0100-00005E000000}">
      <text>
        <r>
          <rPr>
            <b/>
            <sz val="9"/>
            <color indexed="81"/>
            <rFont val="Tahoma"/>
            <family val="2"/>
          </rPr>
          <t>Jorge Arturo Espinoza:</t>
        </r>
        <r>
          <rPr>
            <sz val="9"/>
            <color indexed="81"/>
            <rFont val="Tahoma"/>
            <family val="2"/>
          </rPr>
          <t xml:space="preserve">
NO ESTA EN LISTA DE PRECIOS</t>
        </r>
      </text>
    </comment>
    <comment ref="B759" authorId="0" shapeId="0" xr:uid="{00000000-0006-0000-0100-00005F000000}">
      <text>
        <r>
          <rPr>
            <b/>
            <sz val="9"/>
            <color indexed="81"/>
            <rFont val="Tahoma"/>
            <family val="2"/>
          </rPr>
          <t>Jorge Arturo Espinoza:</t>
        </r>
        <r>
          <rPr>
            <sz val="9"/>
            <color indexed="81"/>
            <rFont val="Tahoma"/>
            <family val="2"/>
          </rPr>
          <t xml:space="preserve">
NO ESTA EN LISTA DE PRECIOS</t>
        </r>
      </text>
    </comment>
    <comment ref="B760" authorId="0" shapeId="0" xr:uid="{00000000-0006-0000-0100-000060000000}">
      <text>
        <r>
          <rPr>
            <b/>
            <sz val="9"/>
            <color indexed="81"/>
            <rFont val="Tahoma"/>
            <family val="2"/>
          </rPr>
          <t>Jorge Arturo Espinoza:</t>
        </r>
        <r>
          <rPr>
            <sz val="9"/>
            <color indexed="81"/>
            <rFont val="Tahoma"/>
            <family val="2"/>
          </rPr>
          <t xml:space="preserve">
NO ESTA EN LISTA DE PRECIOS</t>
        </r>
      </text>
    </comment>
    <comment ref="B761" authorId="0" shapeId="0" xr:uid="{00000000-0006-0000-0100-000061000000}">
      <text>
        <r>
          <rPr>
            <b/>
            <sz val="9"/>
            <color indexed="81"/>
            <rFont val="Tahoma"/>
            <family val="2"/>
          </rPr>
          <t>Jorge Arturo Espinoza:</t>
        </r>
        <r>
          <rPr>
            <sz val="9"/>
            <color indexed="81"/>
            <rFont val="Tahoma"/>
            <family val="2"/>
          </rPr>
          <t xml:space="preserve">
NO ESTA EN LISTA DE PRECIOS</t>
        </r>
      </text>
    </comment>
    <comment ref="B789" authorId="0" shapeId="0" xr:uid="{00000000-0006-0000-0100-000062000000}">
      <text>
        <r>
          <rPr>
            <b/>
            <sz val="9"/>
            <color indexed="81"/>
            <rFont val="Tahoma"/>
            <family val="2"/>
          </rPr>
          <t>Jorge Arturo Espinoza:</t>
        </r>
        <r>
          <rPr>
            <sz val="9"/>
            <color indexed="81"/>
            <rFont val="Tahoma"/>
            <family val="2"/>
          </rPr>
          <t xml:space="preserve">
IMPORTACION</t>
        </r>
      </text>
    </comment>
    <comment ref="C1222" authorId="0" shapeId="0" xr:uid="{00000000-0006-0000-0100-000063000000}">
      <text>
        <r>
          <rPr>
            <b/>
            <sz val="9"/>
            <color indexed="81"/>
            <rFont val="Tahoma"/>
            <family val="2"/>
          </rPr>
          <t>Jorge Arturo Espinoza:</t>
        </r>
        <r>
          <rPr>
            <sz val="9"/>
            <color indexed="81"/>
            <rFont val="Tahoma"/>
            <family val="2"/>
          </rPr>
          <t xml:space="preserve">
ASUMIDO
FALTA CONFIRMAR</t>
        </r>
      </text>
    </comment>
    <comment ref="B1235" authorId="0" shapeId="0" xr:uid="{00000000-0006-0000-0100-000064000000}">
      <text>
        <r>
          <rPr>
            <b/>
            <sz val="9"/>
            <color indexed="81"/>
            <rFont val="Tahoma"/>
            <family val="2"/>
          </rPr>
          <t>Jorge Arturo Espinoza:</t>
        </r>
        <r>
          <rPr>
            <sz val="9"/>
            <color indexed="81"/>
            <rFont val="Tahoma"/>
            <family val="2"/>
          </rPr>
          <t xml:space="preserve">
(1) Armazon + (2) Placas</t>
        </r>
      </text>
    </comment>
    <comment ref="B1236" authorId="0" shapeId="0" xr:uid="{00000000-0006-0000-0100-000065000000}">
      <text>
        <r>
          <rPr>
            <b/>
            <sz val="9"/>
            <color indexed="81"/>
            <rFont val="Tahoma"/>
            <family val="2"/>
          </rPr>
          <t>Jorge Arturo Espinoza:</t>
        </r>
        <r>
          <rPr>
            <sz val="9"/>
            <color indexed="81"/>
            <rFont val="Tahoma"/>
            <family val="2"/>
          </rPr>
          <t xml:space="preserve">
(1) Armazon + (2) Placas</t>
        </r>
      </text>
    </comment>
    <comment ref="B1237" authorId="0" shapeId="0" xr:uid="{00000000-0006-0000-0100-000066000000}">
      <text>
        <r>
          <rPr>
            <b/>
            <sz val="9"/>
            <color indexed="81"/>
            <rFont val="Tahoma"/>
            <family val="2"/>
          </rPr>
          <t>Jorge Arturo Espinoza:</t>
        </r>
        <r>
          <rPr>
            <sz val="9"/>
            <color indexed="81"/>
            <rFont val="Tahoma"/>
            <family val="2"/>
          </rPr>
          <t xml:space="preserve">
(1) Armazon + (2) Placas</t>
        </r>
      </text>
    </comment>
    <comment ref="B1238" authorId="0" shapeId="0" xr:uid="{00000000-0006-0000-0100-000067000000}">
      <text>
        <r>
          <rPr>
            <b/>
            <sz val="9"/>
            <color indexed="81"/>
            <rFont val="Tahoma"/>
            <family val="2"/>
          </rPr>
          <t>Jorge Arturo Espinoza:</t>
        </r>
        <r>
          <rPr>
            <sz val="9"/>
            <color indexed="81"/>
            <rFont val="Tahoma"/>
            <family val="2"/>
          </rPr>
          <t xml:space="preserve">
(1) Armazon + (2) Placas</t>
        </r>
      </text>
    </comment>
    <comment ref="B1239" authorId="0" shapeId="0" xr:uid="{00000000-0006-0000-0100-000068000000}">
      <text>
        <r>
          <rPr>
            <b/>
            <sz val="9"/>
            <color indexed="81"/>
            <rFont val="Tahoma"/>
            <family val="2"/>
          </rPr>
          <t>Jorge Arturo Espinoza:</t>
        </r>
        <r>
          <rPr>
            <sz val="9"/>
            <color indexed="81"/>
            <rFont val="Tahoma"/>
            <family val="2"/>
          </rPr>
          <t xml:space="preserve">
(1) Armazon + (2) Placas</t>
        </r>
      </text>
    </comment>
    <comment ref="B1240" authorId="0" shapeId="0" xr:uid="{00000000-0006-0000-0100-000069000000}">
      <text>
        <r>
          <rPr>
            <b/>
            <sz val="9"/>
            <color indexed="81"/>
            <rFont val="Tahoma"/>
            <family val="2"/>
          </rPr>
          <t>Jorge Arturo Espinoza:</t>
        </r>
        <r>
          <rPr>
            <sz val="9"/>
            <color indexed="81"/>
            <rFont val="Tahoma"/>
            <family val="2"/>
          </rPr>
          <t xml:space="preserve">
(1) Armazon + (2) Placas</t>
        </r>
      </text>
    </comment>
    <comment ref="C1690" authorId="0" shapeId="0" xr:uid="{00000000-0006-0000-0100-00006A000000}">
      <text>
        <r>
          <rPr>
            <b/>
            <sz val="9"/>
            <color indexed="81"/>
            <rFont val="Tahoma"/>
            <family val="2"/>
          </rPr>
          <t>Jorge Arturo Espinoza:</t>
        </r>
        <r>
          <rPr>
            <sz val="9"/>
            <color indexed="81"/>
            <rFont val="Tahoma"/>
            <family val="2"/>
          </rPr>
          <t xml:space="preserve">
fue corregido</t>
        </r>
      </text>
    </comment>
    <comment ref="C1691" authorId="0" shapeId="0" xr:uid="{00000000-0006-0000-0100-00006B000000}">
      <text>
        <r>
          <rPr>
            <b/>
            <sz val="9"/>
            <color indexed="81"/>
            <rFont val="Tahoma"/>
            <family val="2"/>
          </rPr>
          <t>Jorge Arturo Espinoza:</t>
        </r>
        <r>
          <rPr>
            <sz val="9"/>
            <color indexed="81"/>
            <rFont val="Tahoma"/>
            <family val="2"/>
          </rPr>
          <t xml:space="preserve">
fue corregido</t>
        </r>
      </text>
    </comment>
    <comment ref="C1692" authorId="0" shapeId="0" xr:uid="{00000000-0006-0000-0100-00006C000000}">
      <text>
        <r>
          <rPr>
            <b/>
            <sz val="9"/>
            <color indexed="81"/>
            <rFont val="Tahoma"/>
            <family val="2"/>
          </rPr>
          <t>Jorge Arturo Espinoza:</t>
        </r>
        <r>
          <rPr>
            <sz val="9"/>
            <color indexed="81"/>
            <rFont val="Tahoma"/>
            <family val="2"/>
          </rPr>
          <t xml:space="preserve">
fue corregido</t>
        </r>
      </text>
    </comment>
    <comment ref="C1693" authorId="0" shapeId="0" xr:uid="{00000000-0006-0000-0100-00006D000000}">
      <text>
        <r>
          <rPr>
            <b/>
            <sz val="9"/>
            <color indexed="81"/>
            <rFont val="Tahoma"/>
            <family val="2"/>
          </rPr>
          <t>Jorge Arturo Espinoza:</t>
        </r>
        <r>
          <rPr>
            <sz val="9"/>
            <color indexed="81"/>
            <rFont val="Tahoma"/>
            <family val="2"/>
          </rPr>
          <t xml:space="preserve">
fue corregido</t>
        </r>
      </text>
    </comment>
    <comment ref="B1699" authorId="0" shapeId="0" xr:uid="{00000000-0006-0000-0100-00006E000000}">
      <text>
        <r>
          <rPr>
            <b/>
            <sz val="9"/>
            <color indexed="81"/>
            <rFont val="Tahoma"/>
            <family val="2"/>
          </rPr>
          <t>Jorge Arturo Espinoza:</t>
        </r>
        <r>
          <rPr>
            <sz val="9"/>
            <color indexed="81"/>
            <rFont val="Tahoma"/>
            <family val="2"/>
          </rPr>
          <t xml:space="preserve">
(1) Armazon + (1) Placas</t>
        </r>
      </text>
    </comment>
    <comment ref="B1700" authorId="0" shapeId="0" xr:uid="{00000000-0006-0000-0100-00006F000000}">
      <text>
        <r>
          <rPr>
            <b/>
            <sz val="9"/>
            <color indexed="81"/>
            <rFont val="Tahoma"/>
            <family val="2"/>
          </rPr>
          <t>Jorge Arturo Espinoza:</t>
        </r>
        <r>
          <rPr>
            <sz val="9"/>
            <color indexed="81"/>
            <rFont val="Tahoma"/>
            <family val="2"/>
          </rPr>
          <t xml:space="preserve">
(1) Armazon + (1) Placas</t>
        </r>
      </text>
    </comment>
    <comment ref="B1701" authorId="0" shapeId="0" xr:uid="{00000000-0006-0000-0100-000070000000}">
      <text>
        <r>
          <rPr>
            <b/>
            <sz val="9"/>
            <color indexed="81"/>
            <rFont val="Tahoma"/>
            <family val="2"/>
          </rPr>
          <t>Jorge Arturo Espinoza:</t>
        </r>
        <r>
          <rPr>
            <sz val="9"/>
            <color indexed="81"/>
            <rFont val="Tahoma"/>
            <family val="2"/>
          </rPr>
          <t xml:space="preserve">
(1) Armazon + (1) Placas</t>
        </r>
      </text>
    </comment>
    <comment ref="B1702" authorId="0" shapeId="0" xr:uid="{00000000-0006-0000-0100-000071000000}">
      <text>
        <r>
          <rPr>
            <b/>
            <sz val="9"/>
            <color indexed="81"/>
            <rFont val="Tahoma"/>
            <family val="2"/>
          </rPr>
          <t>Jorge Arturo Espinoza:</t>
        </r>
        <r>
          <rPr>
            <sz val="9"/>
            <color indexed="81"/>
            <rFont val="Tahoma"/>
            <family val="2"/>
          </rPr>
          <t xml:space="preserve">
(1) Armazon + (1) Placas</t>
        </r>
      </text>
    </comment>
    <comment ref="B1703" authorId="0" shapeId="0" xr:uid="{00000000-0006-0000-0100-000072000000}">
      <text>
        <r>
          <rPr>
            <b/>
            <sz val="9"/>
            <color indexed="81"/>
            <rFont val="Tahoma"/>
            <family val="2"/>
          </rPr>
          <t>Jorge Arturo Espinoza:</t>
        </r>
        <r>
          <rPr>
            <sz val="9"/>
            <color indexed="81"/>
            <rFont val="Tahoma"/>
            <family val="2"/>
          </rPr>
          <t xml:space="preserve">
(1) Armazon + (1) Placas</t>
        </r>
      </text>
    </comment>
    <comment ref="B1704" authorId="0" shapeId="0" xr:uid="{00000000-0006-0000-0100-000073000000}">
      <text>
        <r>
          <rPr>
            <b/>
            <sz val="9"/>
            <color indexed="81"/>
            <rFont val="Tahoma"/>
            <family val="2"/>
          </rPr>
          <t>Jorge Arturo Espinoza:</t>
        </r>
        <r>
          <rPr>
            <sz val="9"/>
            <color indexed="81"/>
            <rFont val="Tahoma"/>
            <family val="2"/>
          </rPr>
          <t xml:space="preserve">
(1) Armazon + (1) Placas</t>
        </r>
      </text>
    </comment>
    <comment ref="B1705" authorId="0" shapeId="0" xr:uid="{00000000-0006-0000-0100-000074000000}">
      <text>
        <r>
          <rPr>
            <b/>
            <sz val="9"/>
            <color indexed="81"/>
            <rFont val="Tahoma"/>
            <family val="2"/>
          </rPr>
          <t>Jorge Arturo Espinoza:</t>
        </r>
        <r>
          <rPr>
            <sz val="9"/>
            <color indexed="81"/>
            <rFont val="Tahoma"/>
            <family val="2"/>
          </rPr>
          <t xml:space="preserve">
(1) Armazon + (1) Placas</t>
        </r>
      </text>
    </comment>
    <comment ref="B1706" authorId="0" shapeId="0" xr:uid="{00000000-0006-0000-0100-000075000000}">
      <text>
        <r>
          <rPr>
            <b/>
            <sz val="9"/>
            <color indexed="81"/>
            <rFont val="Tahoma"/>
            <family val="2"/>
          </rPr>
          <t>Jorge Arturo Espinoza:</t>
        </r>
        <r>
          <rPr>
            <sz val="9"/>
            <color indexed="81"/>
            <rFont val="Tahoma"/>
            <family val="2"/>
          </rPr>
          <t xml:space="preserve">
(1) Armazon + (1) Placas</t>
        </r>
      </text>
    </comment>
    <comment ref="B1708" authorId="0" shapeId="0" xr:uid="{00000000-0006-0000-0100-000076000000}">
      <text>
        <r>
          <rPr>
            <b/>
            <sz val="9"/>
            <color indexed="81"/>
            <rFont val="Tahoma"/>
            <family val="2"/>
          </rPr>
          <t>Jorge Arturo Espinoza:</t>
        </r>
        <r>
          <rPr>
            <sz val="9"/>
            <color indexed="81"/>
            <rFont val="Tahoma"/>
            <family val="2"/>
          </rPr>
          <t xml:space="preserve">
(01) placa</t>
        </r>
      </text>
    </comment>
    <comment ref="B1709" authorId="0" shapeId="0" xr:uid="{00000000-0006-0000-0100-000077000000}">
      <text>
        <r>
          <rPr>
            <b/>
            <sz val="9"/>
            <color indexed="81"/>
            <rFont val="Tahoma"/>
            <family val="2"/>
          </rPr>
          <t>Jorge Arturo Espinoza:</t>
        </r>
        <r>
          <rPr>
            <sz val="9"/>
            <color indexed="81"/>
            <rFont val="Tahoma"/>
            <family val="2"/>
          </rPr>
          <t xml:space="preserve">
(01) placa</t>
        </r>
      </text>
    </comment>
    <comment ref="B1711" authorId="0" shapeId="0" xr:uid="{00000000-0006-0000-0100-000078000000}">
      <text>
        <r>
          <rPr>
            <b/>
            <sz val="9"/>
            <color indexed="81"/>
            <rFont val="Tahoma"/>
            <family val="2"/>
          </rPr>
          <t>Jorge Arturo Espinoza:</t>
        </r>
        <r>
          <rPr>
            <sz val="9"/>
            <color indexed="81"/>
            <rFont val="Tahoma"/>
            <family val="2"/>
          </rPr>
          <t xml:space="preserve">
(02) placas + (01) kit cables</t>
        </r>
      </text>
    </comment>
    <comment ref="B1712" authorId="0" shapeId="0" xr:uid="{00000000-0006-0000-0100-000079000000}">
      <text>
        <r>
          <rPr>
            <b/>
            <sz val="9"/>
            <color indexed="81"/>
            <rFont val="Tahoma"/>
            <family val="2"/>
          </rPr>
          <t>Jorge Arturo Espinoza:</t>
        </r>
        <r>
          <rPr>
            <sz val="9"/>
            <color indexed="81"/>
            <rFont val="Tahoma"/>
            <family val="2"/>
          </rPr>
          <t xml:space="preserve">
(02) placas + (01) kit cables</t>
        </r>
      </text>
    </comment>
    <comment ref="C1717" authorId="0" shapeId="0" xr:uid="{00000000-0006-0000-0100-00007A000000}">
      <text>
        <r>
          <rPr>
            <b/>
            <sz val="9"/>
            <color indexed="81"/>
            <rFont val="Tahoma"/>
            <family val="2"/>
          </rPr>
          <t>Jorge Arturo Espinoza:</t>
        </r>
        <r>
          <rPr>
            <sz val="9"/>
            <color indexed="81"/>
            <rFont val="Tahoma"/>
            <family val="2"/>
          </rPr>
          <t xml:space="preserve">
ESTIMADO:
SE DEBE CONSULTAR A ABB</t>
        </r>
      </text>
    </comment>
    <comment ref="E1717" authorId="0" shapeId="0" xr:uid="{00000000-0006-0000-0100-00007B000000}">
      <text>
        <r>
          <rPr>
            <b/>
            <sz val="9"/>
            <color indexed="81"/>
            <rFont val="Tahoma"/>
            <family val="2"/>
          </rPr>
          <t>Jorge Arturo Espinoza:</t>
        </r>
        <r>
          <rPr>
            <sz val="9"/>
            <color indexed="81"/>
            <rFont val="Tahoma"/>
            <family val="2"/>
          </rPr>
          <t xml:space="preserve">
E1 -&gt; 400
E2 -&gt; 500
E4 -&gt; 600
E1-4p -&gt; 500
E2-4p -&gt; 600
E4-4p -&gt; 700</t>
        </r>
      </text>
    </comment>
    <comment ref="H1717" authorId="0" shapeId="0" xr:uid="{00000000-0006-0000-0100-00007C000000}">
      <text>
        <r>
          <rPr>
            <b/>
            <sz val="9"/>
            <color indexed="81"/>
            <rFont val="Tahoma"/>
            <family val="2"/>
          </rPr>
          <t>Jorge Arturo Espinoza:</t>
        </r>
        <r>
          <rPr>
            <sz val="9"/>
            <color indexed="81"/>
            <rFont val="Tahoma"/>
            <family val="2"/>
          </rPr>
          <t xml:space="preserve">
NO APARECE EN LISTA DE PRECIOS</t>
        </r>
      </text>
    </comment>
    <comment ref="D1719" authorId="0" shapeId="0" xr:uid="{00000000-0006-0000-0100-00007D000000}">
      <text>
        <r>
          <rPr>
            <b/>
            <sz val="9"/>
            <color indexed="81"/>
            <rFont val="Tahoma"/>
            <family val="2"/>
          </rPr>
          <t>Jorge Arturo Espinoza:</t>
        </r>
        <r>
          <rPr>
            <sz val="9"/>
            <color indexed="81"/>
            <rFont val="Tahoma"/>
            <family val="2"/>
          </rPr>
          <t xml:space="preserve">
E1 -&gt; 400
E2 -&gt; 500
E4 -&gt; 600
E1-4p -&gt; 500
E2-4p -&gt; 600
E4-4p -&gt; 700</t>
        </r>
      </text>
    </comment>
    <comment ref="E1719" authorId="0" shapeId="0" xr:uid="{00000000-0006-0000-0100-00007E000000}">
      <text>
        <r>
          <rPr>
            <b/>
            <sz val="9"/>
            <color indexed="81"/>
            <rFont val="Tahoma"/>
            <family val="2"/>
          </rPr>
          <t>Jorge Arturo Espinoza:</t>
        </r>
        <r>
          <rPr>
            <sz val="9"/>
            <color indexed="81"/>
            <rFont val="Tahoma"/>
            <family val="2"/>
          </rPr>
          <t xml:space="preserve">
E1 -&gt; 400
E2 -&gt; 500
E4 -&gt; 600
E1-4p -&gt; 500
E2-4p -&gt; 600
E4-4p -&gt; 700</t>
        </r>
      </text>
    </comment>
    <comment ref="E1720" authorId="0" shapeId="0" xr:uid="{00000000-0006-0000-0100-00007F000000}">
      <text>
        <r>
          <rPr>
            <b/>
            <sz val="9"/>
            <color indexed="81"/>
            <rFont val="Tahoma"/>
            <family val="2"/>
          </rPr>
          <t>Jorge Arturo Espinoza:</t>
        </r>
        <r>
          <rPr>
            <sz val="9"/>
            <color indexed="81"/>
            <rFont val="Tahoma"/>
            <family val="2"/>
          </rPr>
          <t xml:space="preserve">
E1 -&gt; 400
E2 -&gt; 500
E4 -&gt; 600
E1-4p -&gt; 500
E2-4p -&gt; 600
E4-4p -&gt; 700</t>
        </r>
      </text>
    </comment>
    <comment ref="E1722" authorId="0" shapeId="0" xr:uid="{00000000-0006-0000-0100-000080000000}">
      <text>
        <r>
          <rPr>
            <b/>
            <sz val="9"/>
            <color indexed="81"/>
            <rFont val="Tahoma"/>
            <family val="2"/>
          </rPr>
          <t>Jorge Arturo Espinoza:</t>
        </r>
        <r>
          <rPr>
            <sz val="9"/>
            <color indexed="81"/>
            <rFont val="Tahoma"/>
            <family val="2"/>
          </rPr>
          <t xml:space="preserve">
E1 -&gt; 400
E2 -&gt; 500
E4 -&gt; 600
E1-4p -&gt; 500
E2-4p -&gt; 600
E4-4p -&gt; 700</t>
        </r>
      </text>
    </comment>
    <comment ref="E1723" authorId="0" shapeId="0" xr:uid="{00000000-0006-0000-0100-000081000000}">
      <text>
        <r>
          <rPr>
            <b/>
            <sz val="9"/>
            <color indexed="81"/>
            <rFont val="Tahoma"/>
            <family val="2"/>
          </rPr>
          <t>Jorge Arturo Espinoza:</t>
        </r>
        <r>
          <rPr>
            <sz val="9"/>
            <color indexed="81"/>
            <rFont val="Tahoma"/>
            <family val="2"/>
          </rPr>
          <t xml:space="preserve">
E1 -&gt; 400
E2 -&gt; 500
E4 -&gt; 600
E1-4p -&gt; 500
E2-4p -&gt; 600
E4-4p -&gt; 700</t>
        </r>
      </text>
    </comment>
    <comment ref="E1725" authorId="0" shapeId="0" xr:uid="{00000000-0006-0000-0100-000082000000}">
      <text>
        <r>
          <rPr>
            <b/>
            <sz val="9"/>
            <color indexed="81"/>
            <rFont val="Tahoma"/>
            <family val="2"/>
          </rPr>
          <t>Jorge Arturo Espinoza:</t>
        </r>
        <r>
          <rPr>
            <sz val="9"/>
            <color indexed="81"/>
            <rFont val="Tahoma"/>
            <family val="2"/>
          </rPr>
          <t xml:space="preserve">
E1 -&gt; 400
E2 -&gt; 500
E4 -&gt; 600
E1-4p -&gt; 500
E2-4p -&gt; 600
E4-4p -&gt; 700</t>
        </r>
      </text>
    </comment>
    <comment ref="E1726" authorId="0" shapeId="0" xr:uid="{00000000-0006-0000-0100-000083000000}">
      <text>
        <r>
          <rPr>
            <b/>
            <sz val="9"/>
            <color indexed="81"/>
            <rFont val="Tahoma"/>
            <family val="2"/>
          </rPr>
          <t>Jorge Arturo Espinoza:</t>
        </r>
        <r>
          <rPr>
            <sz val="9"/>
            <color indexed="81"/>
            <rFont val="Tahoma"/>
            <family val="2"/>
          </rPr>
          <t xml:space="preserve">
E1 -&gt; 400
E2 -&gt; 500
E4 -&gt; 600
E1-4p -&gt; 500
E2-4p -&gt; 600
E4-4p -&gt; 700</t>
        </r>
      </text>
    </comment>
    <comment ref="D1728" authorId="0" shapeId="0" xr:uid="{00000000-0006-0000-0100-000084000000}">
      <text>
        <r>
          <rPr>
            <b/>
            <sz val="9"/>
            <color indexed="81"/>
            <rFont val="Tahoma"/>
            <family val="2"/>
          </rPr>
          <t>Jorge Arturo Espinoza:</t>
        </r>
        <r>
          <rPr>
            <sz val="9"/>
            <color indexed="81"/>
            <rFont val="Tahoma"/>
            <family val="2"/>
          </rPr>
          <t xml:space="preserve">
E1 -&gt; 400
E2 -&gt; 500
E4 -&gt; 600
E1-4p -&gt; 500
E2-4p -&gt; 600
E4-4p -&gt; 700</t>
        </r>
      </text>
    </comment>
    <comment ref="E1728" authorId="0" shapeId="0" xr:uid="{00000000-0006-0000-0100-000085000000}">
      <text>
        <r>
          <rPr>
            <b/>
            <sz val="9"/>
            <color indexed="81"/>
            <rFont val="Tahoma"/>
            <family val="2"/>
          </rPr>
          <t>Jorge Arturo Espinoza:</t>
        </r>
        <r>
          <rPr>
            <sz val="9"/>
            <color indexed="81"/>
            <rFont val="Tahoma"/>
            <family val="2"/>
          </rPr>
          <t xml:space="preserve">
E1 -&gt; 400
E2 -&gt; 500
E4 -&gt; 600
E1-4p -&gt; 500
E2-4p -&gt; 600
E4-4p -&gt; 700</t>
        </r>
      </text>
    </comment>
    <comment ref="E1729" authorId="0" shapeId="0" xr:uid="{00000000-0006-0000-0100-000086000000}">
      <text>
        <r>
          <rPr>
            <b/>
            <sz val="9"/>
            <color indexed="81"/>
            <rFont val="Tahoma"/>
            <family val="2"/>
          </rPr>
          <t>Jorge Arturo Espinoza:</t>
        </r>
        <r>
          <rPr>
            <sz val="9"/>
            <color indexed="81"/>
            <rFont val="Tahoma"/>
            <family val="2"/>
          </rPr>
          <t xml:space="preserve">
E1 -&gt; 400
E2 -&gt; 500
E4 -&gt; 600
E1-4p -&gt; 500
E2-4p -&gt; 600
E4-4p -&gt; 700</t>
        </r>
      </text>
    </comment>
    <comment ref="D1731" authorId="0" shapeId="0" xr:uid="{00000000-0006-0000-0100-000087000000}">
      <text>
        <r>
          <rPr>
            <b/>
            <sz val="9"/>
            <color indexed="81"/>
            <rFont val="Tahoma"/>
            <family val="2"/>
          </rPr>
          <t>Jorge Arturo Espinoza:</t>
        </r>
        <r>
          <rPr>
            <sz val="9"/>
            <color indexed="81"/>
            <rFont val="Tahoma"/>
            <family val="2"/>
          </rPr>
          <t xml:space="preserve">
E1 -&gt; 400
E2 -&gt; 500
E4 -&gt; 600
E1-4p -&gt; 500
E2-4p -&gt; 600
E4-4p -&gt; 700</t>
        </r>
      </text>
    </comment>
    <comment ref="E1731" authorId="0" shapeId="0" xr:uid="{00000000-0006-0000-0100-000088000000}">
      <text>
        <r>
          <rPr>
            <b/>
            <sz val="9"/>
            <color indexed="81"/>
            <rFont val="Tahoma"/>
            <family val="2"/>
          </rPr>
          <t>Jorge Arturo Espinoza:</t>
        </r>
        <r>
          <rPr>
            <sz val="9"/>
            <color indexed="81"/>
            <rFont val="Tahoma"/>
            <family val="2"/>
          </rPr>
          <t xml:space="preserve">
E1 -&gt; 400
E2 -&gt; 500
E4 -&gt; 600
E1-4p -&gt; 500
E2-4p -&gt; 600
E4-4p -&gt; 700</t>
        </r>
      </text>
    </comment>
    <comment ref="E1732" authorId="0" shapeId="0" xr:uid="{00000000-0006-0000-0100-000089000000}">
      <text>
        <r>
          <rPr>
            <b/>
            <sz val="9"/>
            <color indexed="81"/>
            <rFont val="Tahoma"/>
            <family val="2"/>
          </rPr>
          <t>Jorge Arturo Espinoza:</t>
        </r>
        <r>
          <rPr>
            <sz val="9"/>
            <color indexed="81"/>
            <rFont val="Tahoma"/>
            <family val="2"/>
          </rPr>
          <t xml:space="preserve">
E1 -&gt; 400
E2 -&gt; 500
E4 -&gt; 600
E1-4p -&gt; 500
E2-4p -&gt; 600
E4-4p -&gt; 700</t>
        </r>
      </text>
    </comment>
    <comment ref="E1734" authorId="0" shapeId="0" xr:uid="{00000000-0006-0000-0100-00008A000000}">
      <text>
        <r>
          <rPr>
            <b/>
            <sz val="9"/>
            <color indexed="81"/>
            <rFont val="Tahoma"/>
            <family val="2"/>
          </rPr>
          <t>Jorge Arturo Espinoza:</t>
        </r>
        <r>
          <rPr>
            <sz val="9"/>
            <color indexed="81"/>
            <rFont val="Tahoma"/>
            <family val="2"/>
          </rPr>
          <t xml:space="preserve">
E1 -&gt; 400
E2 -&gt; 500
E4 -&gt; 600
E1-4p -&gt; 500
E2-4p -&gt; 600
E4-4p -&gt; 700</t>
        </r>
      </text>
    </comment>
    <comment ref="D1738" authorId="0" shapeId="0" xr:uid="{00000000-0006-0000-0100-00008B000000}">
      <text>
        <r>
          <rPr>
            <b/>
            <sz val="9"/>
            <color indexed="81"/>
            <rFont val="Tahoma"/>
            <family val="2"/>
          </rPr>
          <t>Jorge Arturo Espinoza:</t>
        </r>
        <r>
          <rPr>
            <sz val="9"/>
            <color indexed="81"/>
            <rFont val="Tahoma"/>
            <family val="2"/>
          </rPr>
          <t xml:space="preserve">
E1 -&gt; 400
E2 -&gt; 500
E4 -&gt; 600
E1-4p -&gt; 500
E2-4p -&gt; 600
E4-4p -&gt; 700</t>
        </r>
      </text>
    </comment>
    <comment ref="E1738" authorId="0" shapeId="0" xr:uid="{00000000-0006-0000-0100-00008C000000}">
      <text>
        <r>
          <rPr>
            <b/>
            <sz val="9"/>
            <color indexed="81"/>
            <rFont val="Tahoma"/>
            <family val="2"/>
          </rPr>
          <t>Jorge Arturo Espinoza:</t>
        </r>
        <r>
          <rPr>
            <sz val="9"/>
            <color indexed="81"/>
            <rFont val="Tahoma"/>
            <family val="2"/>
          </rPr>
          <t xml:space="preserve">
E1 -&gt; 400
E2 -&gt; 500
E4 -&gt; 600
E1-4p -&gt; 500
E2-4p -&gt; 600
E4-4p -&gt; 700</t>
        </r>
      </text>
    </comment>
    <comment ref="E1739" authorId="0" shapeId="0" xr:uid="{00000000-0006-0000-0100-00008D000000}">
      <text>
        <r>
          <rPr>
            <b/>
            <sz val="9"/>
            <color indexed="81"/>
            <rFont val="Tahoma"/>
            <family val="2"/>
          </rPr>
          <t>Jorge Arturo Espinoza:</t>
        </r>
        <r>
          <rPr>
            <sz val="9"/>
            <color indexed="81"/>
            <rFont val="Tahoma"/>
            <family val="2"/>
          </rPr>
          <t xml:space="preserve">
E1 -&gt; 400
E2 -&gt; 500
E4 -&gt; 600
E1-4p -&gt; 500
E2-4p -&gt; 600
E4-4p -&gt; 700</t>
        </r>
      </text>
    </comment>
    <comment ref="E1740" authorId="0" shapeId="0" xr:uid="{00000000-0006-0000-0100-00008E000000}">
      <text>
        <r>
          <rPr>
            <b/>
            <sz val="9"/>
            <color indexed="81"/>
            <rFont val="Tahoma"/>
            <family val="2"/>
          </rPr>
          <t>Jorge Arturo Espinoza:</t>
        </r>
        <r>
          <rPr>
            <sz val="9"/>
            <color indexed="81"/>
            <rFont val="Tahoma"/>
            <family val="2"/>
          </rPr>
          <t xml:space="preserve">
E1 -&gt; 400
E2 -&gt; 500
E4 -&gt; 600
E1-4p -&gt; 500
E2-4p -&gt; 600
E4-4p -&gt; 700</t>
        </r>
      </text>
    </comment>
    <comment ref="E1741" authorId="0" shapeId="0" xr:uid="{00000000-0006-0000-0100-00008F000000}">
      <text>
        <r>
          <rPr>
            <b/>
            <sz val="9"/>
            <color indexed="81"/>
            <rFont val="Tahoma"/>
            <family val="2"/>
          </rPr>
          <t>Jorge Arturo Espinoza:</t>
        </r>
        <r>
          <rPr>
            <sz val="9"/>
            <color indexed="81"/>
            <rFont val="Tahoma"/>
            <family val="2"/>
          </rPr>
          <t xml:space="preserve">
E1 -&gt; 400
E2 -&gt; 500
E4 -&gt; 600
E1-4p -&gt; 500
E2-4p -&gt; 600
E4-4p -&gt; 700</t>
        </r>
      </text>
    </comment>
    <comment ref="E1743" authorId="0" shapeId="0" xr:uid="{00000000-0006-0000-0100-000090000000}">
      <text>
        <r>
          <rPr>
            <b/>
            <sz val="9"/>
            <color indexed="81"/>
            <rFont val="Tahoma"/>
            <family val="2"/>
          </rPr>
          <t>Jorge Arturo Espinoza:</t>
        </r>
        <r>
          <rPr>
            <sz val="9"/>
            <color indexed="81"/>
            <rFont val="Tahoma"/>
            <family val="2"/>
          </rPr>
          <t xml:space="preserve">
E1 -&gt; 400
E2 -&gt; 500
E4 -&gt; 600
E1-4p -&gt; 500
E2-4p -&gt; 600
E4-4p -&gt; 700</t>
        </r>
      </text>
    </comment>
    <comment ref="C1745" authorId="0" shapeId="0" xr:uid="{00000000-0006-0000-0100-000091000000}">
      <text>
        <r>
          <rPr>
            <b/>
            <sz val="9"/>
            <color indexed="81"/>
            <rFont val="Tahoma"/>
            <family val="2"/>
          </rPr>
          <t>Jorge Arturo Espinoza:</t>
        </r>
        <r>
          <rPr>
            <sz val="9"/>
            <color indexed="81"/>
            <rFont val="Tahoma"/>
            <family val="2"/>
          </rPr>
          <t xml:space="preserve">
ESTIMADO:
SE DEBE CONSULTAR A ABB</t>
        </r>
      </text>
    </comment>
    <comment ref="E1745" authorId="0" shapeId="0" xr:uid="{00000000-0006-0000-0100-000092000000}">
      <text>
        <r>
          <rPr>
            <b/>
            <sz val="9"/>
            <color indexed="81"/>
            <rFont val="Tahoma"/>
            <family val="2"/>
          </rPr>
          <t>Jorge Arturo Espinoza:</t>
        </r>
        <r>
          <rPr>
            <sz val="9"/>
            <color indexed="81"/>
            <rFont val="Tahoma"/>
            <family val="2"/>
          </rPr>
          <t xml:space="preserve">
E1 -&gt; 400
E2 -&gt; 500
E4 -&gt; 600
E1-4p -&gt; 500
E2-4p -&gt; 600
E4-4p -&gt; 700</t>
        </r>
      </text>
    </comment>
    <comment ref="H1745" authorId="0" shapeId="0" xr:uid="{00000000-0006-0000-0100-000093000000}">
      <text>
        <r>
          <rPr>
            <b/>
            <sz val="9"/>
            <color indexed="81"/>
            <rFont val="Tahoma"/>
            <family val="2"/>
          </rPr>
          <t>Jorge Arturo Espinoza:</t>
        </r>
        <r>
          <rPr>
            <sz val="9"/>
            <color indexed="81"/>
            <rFont val="Tahoma"/>
            <family val="2"/>
          </rPr>
          <t xml:space="preserve">
NO APARECE EN LISTA DE PRECIOS</t>
        </r>
      </text>
    </comment>
    <comment ref="C1746" authorId="0" shapeId="0" xr:uid="{00000000-0006-0000-0100-000094000000}">
      <text>
        <r>
          <rPr>
            <b/>
            <sz val="9"/>
            <color indexed="81"/>
            <rFont val="Tahoma"/>
            <family val="2"/>
          </rPr>
          <t>Jorge Arturo Espinoza:</t>
        </r>
        <r>
          <rPr>
            <sz val="9"/>
            <color indexed="81"/>
            <rFont val="Tahoma"/>
            <family val="2"/>
          </rPr>
          <t xml:space="preserve">
PRECIO DADO POR ABB
EL 28-DIC-2015</t>
        </r>
      </text>
    </comment>
    <comment ref="E1746" authorId="0" shapeId="0" xr:uid="{00000000-0006-0000-0100-000095000000}">
      <text>
        <r>
          <rPr>
            <b/>
            <sz val="9"/>
            <color indexed="81"/>
            <rFont val="Tahoma"/>
            <family val="2"/>
          </rPr>
          <t>Jorge Arturo Espinoza:</t>
        </r>
        <r>
          <rPr>
            <sz val="9"/>
            <color indexed="81"/>
            <rFont val="Tahoma"/>
            <family val="2"/>
          </rPr>
          <t xml:space="preserve">
E1 -&gt; 400
E2 -&gt; 500
E4 -&gt; 600
E1-4p -&gt; 500
E2-4p -&gt; 600
E4-4p -&gt; 700</t>
        </r>
      </text>
    </comment>
    <comment ref="H1746" authorId="0" shapeId="0" xr:uid="{00000000-0006-0000-0100-000096000000}">
      <text>
        <r>
          <rPr>
            <b/>
            <sz val="9"/>
            <color indexed="81"/>
            <rFont val="Tahoma"/>
            <family val="2"/>
          </rPr>
          <t>Jorge Arturo Espinoza:</t>
        </r>
        <r>
          <rPr>
            <sz val="9"/>
            <color indexed="81"/>
            <rFont val="Tahoma"/>
            <family val="2"/>
          </rPr>
          <t xml:space="preserve">
NO APARECE EN LISTA DE PRECIOS</t>
        </r>
      </text>
    </comment>
    <comment ref="E1747" authorId="0" shapeId="0" xr:uid="{00000000-0006-0000-0100-000097000000}">
      <text>
        <r>
          <rPr>
            <b/>
            <sz val="9"/>
            <color indexed="81"/>
            <rFont val="Tahoma"/>
            <family val="2"/>
          </rPr>
          <t>Jorge Arturo Espinoza:</t>
        </r>
        <r>
          <rPr>
            <sz val="9"/>
            <color indexed="81"/>
            <rFont val="Tahoma"/>
            <family val="2"/>
          </rPr>
          <t xml:space="preserve">
E1 -&gt; 400
E2 -&gt; 500
E4 -&gt; 600
E1-4p -&gt; 500
E2-4p -&gt; 600
E4-4p -&gt; 700</t>
        </r>
      </text>
    </comment>
    <comment ref="E1748" authorId="0" shapeId="0" xr:uid="{00000000-0006-0000-0100-000098000000}">
      <text>
        <r>
          <rPr>
            <b/>
            <sz val="9"/>
            <color indexed="81"/>
            <rFont val="Tahoma"/>
            <family val="2"/>
          </rPr>
          <t>Jorge Arturo Espinoza:</t>
        </r>
        <r>
          <rPr>
            <sz val="9"/>
            <color indexed="81"/>
            <rFont val="Tahoma"/>
            <family val="2"/>
          </rPr>
          <t xml:space="preserve">
E1 -&gt; 400
E2 -&gt; 500
E4 -&gt; 600
E1-4p -&gt; 500
E2-4p -&gt; 600
E4-4p -&gt; 700</t>
        </r>
      </text>
    </comment>
    <comment ref="E1749" authorId="0" shapeId="0" xr:uid="{00000000-0006-0000-0100-000099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1" authorId="0" shapeId="0" xr:uid="{00000000-0006-0000-0100-00009A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2" authorId="0" shapeId="0" xr:uid="{00000000-0006-0000-0100-00009B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3" authorId="0" shapeId="0" xr:uid="{00000000-0006-0000-0100-00009C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4" authorId="0" shapeId="0" xr:uid="{00000000-0006-0000-0100-00009D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5" authorId="0" shapeId="0" xr:uid="{00000000-0006-0000-0100-00009E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6" authorId="0" shapeId="0" xr:uid="{00000000-0006-0000-0100-00009F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8" authorId="0" shapeId="0" xr:uid="{00000000-0006-0000-0100-0000A0000000}">
      <text>
        <r>
          <rPr>
            <b/>
            <sz val="9"/>
            <color indexed="81"/>
            <rFont val="Tahoma"/>
            <family val="2"/>
          </rPr>
          <t>Jorge Arturo Espinoza:</t>
        </r>
        <r>
          <rPr>
            <sz val="9"/>
            <color indexed="81"/>
            <rFont val="Tahoma"/>
            <family val="2"/>
          </rPr>
          <t xml:space="preserve">
E1 -&gt; 400
E2 -&gt; 500
E4 -&gt; 600
E1-4p -&gt; 500
E2-4p -&gt; 600
E4-4p -&gt; 700</t>
        </r>
      </text>
    </comment>
    <comment ref="E1759" authorId="0" shapeId="0" xr:uid="{00000000-0006-0000-0100-0000A1000000}">
      <text>
        <r>
          <rPr>
            <b/>
            <sz val="9"/>
            <color indexed="81"/>
            <rFont val="Tahoma"/>
            <family val="2"/>
          </rPr>
          <t>Jorge Arturo Espinoza:</t>
        </r>
        <r>
          <rPr>
            <sz val="9"/>
            <color indexed="81"/>
            <rFont val="Tahoma"/>
            <family val="2"/>
          </rPr>
          <t xml:space="preserve">
E1 -&gt; 400
E2 -&gt; 500
E4 -&gt; 600
E1-4p -&gt; 500
E2-4p -&gt; 600
E4-4p -&gt; 700</t>
        </r>
      </text>
    </comment>
    <comment ref="E1760" authorId="0" shapeId="0" xr:uid="{00000000-0006-0000-0100-0000A2000000}">
      <text>
        <r>
          <rPr>
            <b/>
            <sz val="9"/>
            <color indexed="81"/>
            <rFont val="Tahoma"/>
            <family val="2"/>
          </rPr>
          <t>Jorge Arturo Espinoza:</t>
        </r>
        <r>
          <rPr>
            <sz val="9"/>
            <color indexed="81"/>
            <rFont val="Tahoma"/>
            <family val="2"/>
          </rPr>
          <t xml:space="preserve">
E1 -&gt; 400
E2 -&gt; 500
E4 -&gt; 600
E1-4p -&gt; 500
E2-4p -&gt; 600
E4-4p -&gt; 700</t>
        </r>
      </text>
    </comment>
    <comment ref="E1764" authorId="0" shapeId="0" xr:uid="{00000000-0006-0000-0100-0000A3000000}">
      <text>
        <r>
          <rPr>
            <b/>
            <sz val="9"/>
            <color indexed="81"/>
            <rFont val="Tahoma"/>
            <family val="2"/>
          </rPr>
          <t>Jorge Arturo Espinoza:</t>
        </r>
        <r>
          <rPr>
            <sz val="9"/>
            <color indexed="81"/>
            <rFont val="Tahoma"/>
            <family val="2"/>
          </rPr>
          <t xml:space="preserve">
E1 -&gt; 400
E2 -&gt; 500
E4 -&gt; 600
E1-4p -&gt; 500
E2-4p -&gt; 600
E4-4p -&gt; 700</t>
        </r>
      </text>
    </comment>
    <comment ref="E1766" authorId="0" shapeId="0" xr:uid="{00000000-0006-0000-0100-0000A4000000}">
      <text>
        <r>
          <rPr>
            <b/>
            <sz val="9"/>
            <color indexed="81"/>
            <rFont val="Tahoma"/>
            <family val="2"/>
          </rPr>
          <t>Jorge Arturo Espinoza:</t>
        </r>
        <r>
          <rPr>
            <sz val="9"/>
            <color indexed="81"/>
            <rFont val="Tahoma"/>
            <family val="2"/>
          </rPr>
          <t xml:space="preserve">
E1 -&gt; 400
E2 -&gt; 500
E4 -&gt; 600
E1-4p -&gt; 500
E2-4p -&gt; 600
E4-4p -&gt; 700</t>
        </r>
      </text>
    </comment>
    <comment ref="E1768" authorId="0" shapeId="0" xr:uid="{00000000-0006-0000-0100-0000A5000000}">
      <text>
        <r>
          <rPr>
            <b/>
            <sz val="9"/>
            <color indexed="81"/>
            <rFont val="Tahoma"/>
            <family val="2"/>
          </rPr>
          <t>Jorge Arturo Espinoza:</t>
        </r>
        <r>
          <rPr>
            <sz val="9"/>
            <color indexed="81"/>
            <rFont val="Tahoma"/>
            <family val="2"/>
          </rPr>
          <t xml:space="preserve">
E1 -&gt; 400
E2 -&gt; 500
E4 -&gt; 600
E1-4p -&gt; 500
E2-4p -&gt; 600
E4-4p -&gt; 700</t>
        </r>
      </text>
    </comment>
    <comment ref="E1769" authorId="0" shapeId="0" xr:uid="{00000000-0006-0000-0100-0000A6000000}">
      <text>
        <r>
          <rPr>
            <b/>
            <sz val="9"/>
            <color indexed="81"/>
            <rFont val="Tahoma"/>
            <family val="2"/>
          </rPr>
          <t>Jorge Arturo Espinoza:</t>
        </r>
        <r>
          <rPr>
            <sz val="9"/>
            <color indexed="81"/>
            <rFont val="Tahoma"/>
            <family val="2"/>
          </rPr>
          <t xml:space="preserve">
E1 -&gt; 400
E2 -&gt; 500
E4 -&gt; 600
E1-4p -&gt; 500
E2-4p -&gt; 600
E4-4p -&gt; 700</t>
        </r>
      </text>
    </comment>
    <comment ref="E1770" authorId="0" shapeId="0" xr:uid="{00000000-0006-0000-0100-0000A7000000}">
      <text>
        <r>
          <rPr>
            <b/>
            <sz val="9"/>
            <color indexed="81"/>
            <rFont val="Tahoma"/>
            <family val="2"/>
          </rPr>
          <t>Jorge Arturo Espinoza:</t>
        </r>
        <r>
          <rPr>
            <sz val="9"/>
            <color indexed="81"/>
            <rFont val="Tahoma"/>
            <family val="2"/>
          </rPr>
          <t xml:space="preserve">
E1 -&gt; 400
E2 -&gt; 500
E4 -&gt; 600
E1-4p -&gt; 500
E2-4p -&gt; 600
E4-4p -&gt; 700</t>
        </r>
      </text>
    </comment>
    <comment ref="E1771" authorId="0" shapeId="0" xr:uid="{00000000-0006-0000-0100-0000A8000000}">
      <text>
        <r>
          <rPr>
            <b/>
            <sz val="9"/>
            <color indexed="81"/>
            <rFont val="Tahoma"/>
            <family val="2"/>
          </rPr>
          <t>Jorge Arturo Espinoza:</t>
        </r>
        <r>
          <rPr>
            <sz val="9"/>
            <color indexed="81"/>
            <rFont val="Tahoma"/>
            <family val="2"/>
          </rPr>
          <t xml:space="preserve">
E1 -&gt; 400
E2 -&gt; 500
E4 -&gt; 600
E1-4p -&gt; 500
E2-4p -&gt; 600
E4-4p -&gt; 700</t>
        </r>
      </text>
    </comment>
    <comment ref="E1772" authorId="0" shapeId="0" xr:uid="{00000000-0006-0000-0100-0000A9000000}">
      <text>
        <r>
          <rPr>
            <b/>
            <sz val="9"/>
            <color indexed="81"/>
            <rFont val="Tahoma"/>
            <family val="2"/>
          </rPr>
          <t>Jorge Arturo Espinoza:</t>
        </r>
        <r>
          <rPr>
            <sz val="9"/>
            <color indexed="81"/>
            <rFont val="Tahoma"/>
            <family val="2"/>
          </rPr>
          <t xml:space="preserve">
E1 -&gt; 400
E2 -&gt; 500
E4 -&gt; 600
E1-4p -&gt; 500
E2-4p -&gt; 600
E4-4p -&gt; 700</t>
        </r>
      </text>
    </comment>
    <comment ref="E1773" authorId="0" shapeId="0" xr:uid="{00000000-0006-0000-0100-0000AA000000}">
      <text>
        <r>
          <rPr>
            <b/>
            <sz val="9"/>
            <color indexed="81"/>
            <rFont val="Tahoma"/>
            <family val="2"/>
          </rPr>
          <t>Jorge Arturo Espinoza:</t>
        </r>
        <r>
          <rPr>
            <sz val="9"/>
            <color indexed="81"/>
            <rFont val="Tahoma"/>
            <family val="2"/>
          </rPr>
          <t xml:space="preserve">
E1 -&gt; 400
E2 -&gt; 500
E4 -&gt; 600
E1-4p -&gt; 500
E2-4p -&gt; 600
E4-4p -&gt; 700</t>
        </r>
      </text>
    </comment>
    <comment ref="E1774" authorId="0" shapeId="0" xr:uid="{00000000-0006-0000-0100-0000AB000000}">
      <text>
        <r>
          <rPr>
            <b/>
            <sz val="9"/>
            <color indexed="81"/>
            <rFont val="Tahoma"/>
            <family val="2"/>
          </rPr>
          <t>Jorge Arturo Espinoza:</t>
        </r>
        <r>
          <rPr>
            <sz val="9"/>
            <color indexed="81"/>
            <rFont val="Tahoma"/>
            <family val="2"/>
          </rPr>
          <t xml:space="preserve">
E1 -&gt; 400
E2 -&gt; 500
E4 -&gt; 600
E1-4p -&gt; 500
E2-4p -&gt; 600
E4-4p -&gt; 700</t>
        </r>
      </text>
    </comment>
    <comment ref="E1775" authorId="0" shapeId="0" xr:uid="{00000000-0006-0000-0100-0000AC000000}">
      <text>
        <r>
          <rPr>
            <b/>
            <sz val="9"/>
            <color indexed="81"/>
            <rFont val="Tahoma"/>
            <family val="2"/>
          </rPr>
          <t>Jorge Arturo Espinoza:</t>
        </r>
        <r>
          <rPr>
            <sz val="9"/>
            <color indexed="81"/>
            <rFont val="Tahoma"/>
            <family val="2"/>
          </rPr>
          <t xml:space="preserve">
E1 -&gt; 400
E2 -&gt; 500
E4 -&gt; 600
E1-4p -&gt; 500
E2-4p -&gt; 600
E4-4p -&gt; 700</t>
        </r>
      </text>
    </comment>
    <comment ref="E1777" authorId="0" shapeId="0" xr:uid="{00000000-0006-0000-0100-0000AD000000}">
      <text>
        <r>
          <rPr>
            <b/>
            <sz val="9"/>
            <color indexed="81"/>
            <rFont val="Tahoma"/>
            <family val="2"/>
          </rPr>
          <t>Jorge Arturo Espinoza:</t>
        </r>
        <r>
          <rPr>
            <sz val="9"/>
            <color indexed="81"/>
            <rFont val="Tahoma"/>
            <family val="2"/>
          </rPr>
          <t xml:space="preserve">
E1 -&gt; 400
E2 -&gt; 500
E4 -&gt; 600
E1-4p -&gt; 500
E2-4p -&gt; 600
E4-4p -&gt; 700</t>
        </r>
      </text>
    </comment>
    <comment ref="E1778" authorId="0" shapeId="0" xr:uid="{00000000-0006-0000-0100-0000AE000000}">
      <text>
        <r>
          <rPr>
            <b/>
            <sz val="9"/>
            <color indexed="81"/>
            <rFont val="Tahoma"/>
            <family val="2"/>
          </rPr>
          <t>Jorge Arturo Espinoza:</t>
        </r>
        <r>
          <rPr>
            <sz val="9"/>
            <color indexed="81"/>
            <rFont val="Tahoma"/>
            <family val="2"/>
          </rPr>
          <t xml:space="preserve">
E1 -&gt; 400
E2 -&gt; 500
E4 -&gt; 600
E1-4p -&gt; 500
E2-4p -&gt; 600
E4-4p -&gt; 700</t>
        </r>
      </text>
    </comment>
    <comment ref="E1779" authorId="0" shapeId="0" xr:uid="{00000000-0006-0000-0100-0000AF000000}">
      <text>
        <r>
          <rPr>
            <b/>
            <sz val="9"/>
            <color indexed="81"/>
            <rFont val="Tahoma"/>
            <family val="2"/>
          </rPr>
          <t>Jorge Arturo Espinoza:</t>
        </r>
        <r>
          <rPr>
            <sz val="9"/>
            <color indexed="81"/>
            <rFont val="Tahoma"/>
            <family val="2"/>
          </rPr>
          <t xml:space="preserve">
E1 -&gt; 400
E2 -&gt; 500
E4 -&gt; 600
E1-4p -&gt; 500
E2-4p -&gt; 600
E4-4p -&gt; 700</t>
        </r>
      </text>
    </comment>
    <comment ref="E1780" authorId="0" shapeId="0" xr:uid="{00000000-0006-0000-0100-0000B0000000}">
      <text>
        <r>
          <rPr>
            <b/>
            <sz val="9"/>
            <color indexed="81"/>
            <rFont val="Tahoma"/>
            <family val="2"/>
          </rPr>
          <t>Jorge Arturo Espinoza:</t>
        </r>
        <r>
          <rPr>
            <sz val="9"/>
            <color indexed="81"/>
            <rFont val="Tahoma"/>
            <family val="2"/>
          </rPr>
          <t xml:space="preserve">
E1 -&gt; 400
E2 -&gt; 500
E4 -&gt; 600
E1-4p -&gt; 500
E2-4p -&gt; 600
E4-4p -&gt; 700</t>
        </r>
      </text>
    </comment>
    <comment ref="E1781" authorId="0" shapeId="0" xr:uid="{00000000-0006-0000-0100-0000B1000000}">
      <text>
        <r>
          <rPr>
            <b/>
            <sz val="9"/>
            <color indexed="81"/>
            <rFont val="Tahoma"/>
            <family val="2"/>
          </rPr>
          <t>Jorge Arturo Espinoza:</t>
        </r>
        <r>
          <rPr>
            <sz val="9"/>
            <color indexed="81"/>
            <rFont val="Tahoma"/>
            <family val="2"/>
          </rPr>
          <t xml:space="preserve">
E1 -&gt; 400
E2 -&gt; 500
E4 -&gt; 600
E1-4p -&gt; 500
E2-4p -&gt; 600
E4-4p -&gt; 700</t>
        </r>
      </text>
    </comment>
    <comment ref="E1782" authorId="0" shapeId="0" xr:uid="{00000000-0006-0000-0100-0000B2000000}">
      <text>
        <r>
          <rPr>
            <b/>
            <sz val="9"/>
            <color indexed="81"/>
            <rFont val="Tahoma"/>
            <family val="2"/>
          </rPr>
          <t>Jorge Arturo Espinoza:</t>
        </r>
        <r>
          <rPr>
            <sz val="9"/>
            <color indexed="81"/>
            <rFont val="Tahoma"/>
            <family val="2"/>
          </rPr>
          <t xml:space="preserve">
E1 -&gt; 400
E2 -&gt; 500
E4 -&gt; 600
E1-4p -&gt; 500
E2-4p -&gt; 600
E4-4p -&gt; 700</t>
        </r>
      </text>
    </comment>
    <comment ref="E1783" authorId="0" shapeId="0" xr:uid="{00000000-0006-0000-0100-0000B3000000}">
      <text>
        <r>
          <rPr>
            <b/>
            <sz val="9"/>
            <color indexed="81"/>
            <rFont val="Tahoma"/>
            <family val="2"/>
          </rPr>
          <t>Jorge Arturo Espinoza:</t>
        </r>
        <r>
          <rPr>
            <sz val="9"/>
            <color indexed="81"/>
            <rFont val="Tahoma"/>
            <family val="2"/>
          </rPr>
          <t xml:space="preserve">
E1 -&gt; 400
E2 -&gt; 500
E4 -&gt; 600
E1-4p -&gt; 500
E2-4p -&gt; 600
E4-4p -&gt; 700</t>
        </r>
      </text>
    </comment>
    <comment ref="B1787" authorId="0" shapeId="0" xr:uid="{00000000-0006-0000-0100-0000B4000000}">
      <text>
        <r>
          <rPr>
            <b/>
            <sz val="9"/>
            <color indexed="81"/>
            <rFont val="Tahoma"/>
            <family val="2"/>
          </rPr>
          <t>Jorge Arturo Espinoza:</t>
        </r>
        <r>
          <rPr>
            <sz val="9"/>
            <color indexed="81"/>
            <rFont val="Tahoma"/>
            <family val="2"/>
          </rPr>
          <t xml:space="preserve">
</t>
        </r>
      </text>
    </comment>
    <comment ref="E1787" authorId="0" shapeId="0" xr:uid="{00000000-0006-0000-0100-0000B5000000}">
      <text>
        <r>
          <rPr>
            <b/>
            <sz val="9"/>
            <color indexed="81"/>
            <rFont val="Tahoma"/>
            <family val="2"/>
          </rPr>
          <t>Jorge Arturo Espinoza:</t>
        </r>
        <r>
          <rPr>
            <sz val="9"/>
            <color indexed="81"/>
            <rFont val="Tahoma"/>
            <family val="2"/>
          </rPr>
          <t xml:space="preserve">
E1 -&gt; 400
E2 -&gt; 500
E4 -&gt; 600
E1-4p -&gt; 500
E2-4p -&gt; 600
E4-4p -&gt; 700</t>
        </r>
      </text>
    </comment>
    <comment ref="B1788" authorId="0" shapeId="0" xr:uid="{00000000-0006-0000-0100-0000B6000000}">
      <text>
        <r>
          <rPr>
            <b/>
            <sz val="9"/>
            <color indexed="81"/>
            <rFont val="Tahoma"/>
            <family val="2"/>
          </rPr>
          <t>Jorge Arturo Espinoza:</t>
        </r>
        <r>
          <rPr>
            <sz val="9"/>
            <color indexed="81"/>
            <rFont val="Tahoma"/>
            <family val="2"/>
          </rPr>
          <t xml:space="preserve">
</t>
        </r>
      </text>
    </comment>
    <comment ref="E1788" authorId="0" shapeId="0" xr:uid="{00000000-0006-0000-0100-0000B7000000}">
      <text>
        <r>
          <rPr>
            <b/>
            <sz val="9"/>
            <color indexed="81"/>
            <rFont val="Tahoma"/>
            <family val="2"/>
          </rPr>
          <t>Jorge Arturo Espinoza:</t>
        </r>
        <r>
          <rPr>
            <sz val="9"/>
            <color indexed="81"/>
            <rFont val="Tahoma"/>
            <family val="2"/>
          </rPr>
          <t xml:space="preserve">
E1 -&gt; 400
E2 -&gt; 500
E4 -&gt; 600
E1-4p -&gt; 500
E2-4p -&gt; 600
E4-4p -&gt; 700</t>
        </r>
      </text>
    </comment>
    <comment ref="B1789" authorId="0" shapeId="0" xr:uid="{00000000-0006-0000-0100-0000B8000000}">
      <text>
        <r>
          <rPr>
            <b/>
            <sz val="9"/>
            <color indexed="81"/>
            <rFont val="Tahoma"/>
            <family val="2"/>
          </rPr>
          <t>Jorge Arturo Espinoza:</t>
        </r>
        <r>
          <rPr>
            <sz val="9"/>
            <color indexed="81"/>
            <rFont val="Tahoma"/>
            <family val="2"/>
          </rPr>
          <t xml:space="preserve">
NO ESTÁN EN LA LISTA DE PRECIOS</t>
        </r>
      </text>
    </comment>
    <comment ref="E1789" authorId="0" shapeId="0" xr:uid="{00000000-0006-0000-0100-0000B9000000}">
      <text>
        <r>
          <rPr>
            <b/>
            <sz val="9"/>
            <color indexed="81"/>
            <rFont val="Tahoma"/>
            <family val="2"/>
          </rPr>
          <t>Jorge Arturo Espinoza:</t>
        </r>
        <r>
          <rPr>
            <sz val="9"/>
            <color indexed="81"/>
            <rFont val="Tahoma"/>
            <family val="2"/>
          </rPr>
          <t xml:space="preserve">
E1 -&gt; 400
E2 -&gt; 500
E4 -&gt; 600
E1-4p -&gt; 500
E2-4p -&gt; 600
E4-4p -&gt; 700</t>
        </r>
      </text>
    </comment>
    <comment ref="E1790" authorId="0" shapeId="0" xr:uid="{00000000-0006-0000-0100-0000BA000000}">
      <text>
        <r>
          <rPr>
            <b/>
            <sz val="9"/>
            <color indexed="81"/>
            <rFont val="Tahoma"/>
            <family val="2"/>
          </rPr>
          <t>Jorge Arturo Espinoza:</t>
        </r>
        <r>
          <rPr>
            <sz val="9"/>
            <color indexed="81"/>
            <rFont val="Tahoma"/>
            <family val="2"/>
          </rPr>
          <t xml:space="preserve">
E1 -&gt; 400
E2 -&gt; 500
E4 -&gt; 600
E1-4p -&gt; 500
E2-4p -&gt; 600
E4-4p -&gt; 700</t>
        </r>
      </text>
    </comment>
    <comment ref="E1791" authorId="0" shapeId="0" xr:uid="{00000000-0006-0000-0100-0000BB000000}">
      <text>
        <r>
          <rPr>
            <b/>
            <sz val="9"/>
            <color indexed="81"/>
            <rFont val="Tahoma"/>
            <family val="2"/>
          </rPr>
          <t>Jorge Arturo Espinoza:</t>
        </r>
        <r>
          <rPr>
            <sz val="9"/>
            <color indexed="81"/>
            <rFont val="Tahoma"/>
            <family val="2"/>
          </rPr>
          <t xml:space="preserve">
E1 -&gt; 400
E2 -&gt; 500
E4 -&gt; 600
E1-4p -&gt; 500
E2-4p -&gt; 600
E4-4p -&gt; 700</t>
        </r>
      </text>
    </comment>
    <comment ref="E1792" authorId="0" shapeId="0" xr:uid="{00000000-0006-0000-0100-0000BC000000}">
      <text>
        <r>
          <rPr>
            <b/>
            <sz val="9"/>
            <color indexed="81"/>
            <rFont val="Tahoma"/>
            <family val="2"/>
          </rPr>
          <t>Jorge Arturo Espinoza:</t>
        </r>
        <r>
          <rPr>
            <sz val="9"/>
            <color indexed="81"/>
            <rFont val="Tahoma"/>
            <family val="2"/>
          </rPr>
          <t xml:space="preserve">
E1 -&gt; 400
E2 -&gt; 500
E4 -&gt; 600
E1-4p -&gt; 500
E2-4p -&gt; 600
E4-4p -&gt; 700</t>
        </r>
      </text>
    </comment>
    <comment ref="E1793" authorId="0" shapeId="0" xr:uid="{00000000-0006-0000-0100-0000BD000000}">
      <text>
        <r>
          <rPr>
            <b/>
            <sz val="9"/>
            <color indexed="81"/>
            <rFont val="Tahoma"/>
            <family val="2"/>
          </rPr>
          <t>Jorge Arturo Espinoza:</t>
        </r>
        <r>
          <rPr>
            <sz val="9"/>
            <color indexed="81"/>
            <rFont val="Tahoma"/>
            <family val="2"/>
          </rPr>
          <t xml:space="preserve">
E1 -&gt; 400
E2 -&gt; 500
E4 -&gt; 600
E1-4p -&gt; 500
E2-4p -&gt; 600
E4-4p -&gt; 700</t>
        </r>
      </text>
    </comment>
    <comment ref="E1794" authorId="0" shapeId="0" xr:uid="{00000000-0006-0000-0100-0000BE000000}">
      <text>
        <r>
          <rPr>
            <b/>
            <sz val="9"/>
            <color indexed="81"/>
            <rFont val="Tahoma"/>
            <family val="2"/>
          </rPr>
          <t>Jorge Arturo Espinoza:</t>
        </r>
        <r>
          <rPr>
            <sz val="9"/>
            <color indexed="81"/>
            <rFont val="Tahoma"/>
            <family val="2"/>
          </rPr>
          <t xml:space="preserve">
E1 -&gt; 400
E2 -&gt; 500
E4 -&gt; 600
E1-4p -&gt; 500
E2-4p -&gt; 600
E4-4p -&gt; 700</t>
        </r>
      </text>
    </comment>
    <comment ref="E1796" authorId="0" shapeId="0" xr:uid="{00000000-0006-0000-0100-0000BF000000}">
      <text>
        <r>
          <rPr>
            <b/>
            <sz val="9"/>
            <color indexed="81"/>
            <rFont val="Tahoma"/>
            <family val="2"/>
          </rPr>
          <t>Jorge Arturo Espinoza:</t>
        </r>
        <r>
          <rPr>
            <sz val="9"/>
            <color indexed="81"/>
            <rFont val="Tahoma"/>
            <family val="2"/>
          </rPr>
          <t xml:space="preserve">
E1 -&gt; 400
E2 -&gt; 500
E4 -&gt; 600
E1-4p -&gt; 500
E2-4p -&gt; 600
E4-4p -&gt; 700</t>
        </r>
      </text>
    </comment>
    <comment ref="E1797" authorId="0" shapeId="0" xr:uid="{00000000-0006-0000-0100-0000C0000000}">
      <text>
        <r>
          <rPr>
            <b/>
            <sz val="9"/>
            <color indexed="81"/>
            <rFont val="Tahoma"/>
            <family val="2"/>
          </rPr>
          <t>Jorge Arturo Espinoza:</t>
        </r>
        <r>
          <rPr>
            <sz val="9"/>
            <color indexed="81"/>
            <rFont val="Tahoma"/>
            <family val="2"/>
          </rPr>
          <t xml:space="preserve">
E1 -&gt; 400
E2 -&gt; 500
E4 -&gt; 600
E1-4p -&gt; 500
E2-4p -&gt; 600
E4-4p -&gt; 700</t>
        </r>
      </text>
    </comment>
    <comment ref="E1798" authorId="0" shapeId="0" xr:uid="{00000000-0006-0000-0100-0000C1000000}">
      <text>
        <r>
          <rPr>
            <b/>
            <sz val="9"/>
            <color indexed="81"/>
            <rFont val="Tahoma"/>
            <family val="2"/>
          </rPr>
          <t>Jorge Arturo Espinoza:</t>
        </r>
        <r>
          <rPr>
            <sz val="9"/>
            <color indexed="81"/>
            <rFont val="Tahoma"/>
            <family val="2"/>
          </rPr>
          <t xml:space="preserve">
E1 -&gt; 400
E2 -&gt; 500
E4 -&gt; 600
E1-4p -&gt; 500
E2-4p -&gt; 600
E4-4p -&gt; 700</t>
        </r>
      </text>
    </comment>
    <comment ref="E1799" authorId="0" shapeId="0" xr:uid="{00000000-0006-0000-0100-0000C2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0" authorId="0" shapeId="0" xr:uid="{00000000-0006-0000-0100-0000C3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1" authorId="0" shapeId="0" xr:uid="{00000000-0006-0000-0100-0000C4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2" authorId="0" shapeId="0" xr:uid="{00000000-0006-0000-0100-0000C5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3" authorId="0" shapeId="0" xr:uid="{00000000-0006-0000-0100-0000C6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5" authorId="0" shapeId="0" xr:uid="{00000000-0006-0000-0100-0000C7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6" authorId="0" shapeId="0" xr:uid="{00000000-0006-0000-0100-0000C8000000}">
      <text>
        <r>
          <rPr>
            <b/>
            <sz val="9"/>
            <color indexed="81"/>
            <rFont val="Tahoma"/>
            <family val="2"/>
          </rPr>
          <t>Jorge Arturo Espinoza:</t>
        </r>
        <r>
          <rPr>
            <sz val="9"/>
            <color indexed="81"/>
            <rFont val="Tahoma"/>
            <family val="2"/>
          </rPr>
          <t xml:space="preserve">
E1 -&gt; 400
E2 -&gt; 500
E4 -&gt; 600
E1-4p -&gt; 500
E2-4p -&gt; 600
E4-4p -&gt; 700</t>
        </r>
      </text>
    </comment>
    <comment ref="E1808" authorId="0" shapeId="0" xr:uid="{00000000-0006-0000-0100-0000C9000000}">
      <text>
        <r>
          <rPr>
            <b/>
            <sz val="9"/>
            <color indexed="81"/>
            <rFont val="Tahoma"/>
            <family val="2"/>
          </rPr>
          <t>Jorge Arturo Espinoza:</t>
        </r>
        <r>
          <rPr>
            <sz val="9"/>
            <color indexed="81"/>
            <rFont val="Tahoma"/>
            <family val="2"/>
          </rPr>
          <t xml:space="preserve">
E1 -&gt; 400
E2 -&gt; 500
E4 -&gt; 600
E1-4p -&gt; 500
E2-4p -&gt; 600
E4-4p -&gt; 700</t>
        </r>
      </text>
    </comment>
    <comment ref="E1810" authorId="0" shapeId="0" xr:uid="{00000000-0006-0000-0100-0000CA000000}">
      <text>
        <r>
          <rPr>
            <b/>
            <sz val="9"/>
            <color indexed="81"/>
            <rFont val="Tahoma"/>
            <family val="2"/>
          </rPr>
          <t>Jorge Arturo Espinoza:</t>
        </r>
        <r>
          <rPr>
            <sz val="9"/>
            <color indexed="81"/>
            <rFont val="Tahoma"/>
            <family val="2"/>
          </rPr>
          <t xml:space="preserve">
E1 -&gt; 400
E2 -&gt; 500
E4 -&gt; 600
E1-4p -&gt; 500
E2-4p -&gt; 600
E4-4p -&gt; 700</t>
        </r>
      </text>
    </comment>
    <comment ref="E1812" authorId="0" shapeId="0" xr:uid="{00000000-0006-0000-0100-0000CB000000}">
      <text>
        <r>
          <rPr>
            <b/>
            <sz val="9"/>
            <color indexed="81"/>
            <rFont val="Tahoma"/>
            <family val="2"/>
          </rPr>
          <t>Jorge Arturo Espinoza:</t>
        </r>
        <r>
          <rPr>
            <sz val="9"/>
            <color indexed="81"/>
            <rFont val="Tahoma"/>
            <family val="2"/>
          </rPr>
          <t xml:space="preserve">
E1 -&gt; 400
E2 -&gt; 500
E4 -&gt; 600
E1-4p -&gt; 500
E2-4p -&gt; 600
E4-4p -&gt; 700</t>
        </r>
      </text>
    </comment>
    <comment ref="E1814" authorId="0" shapeId="0" xr:uid="{00000000-0006-0000-0100-0000CC000000}">
      <text>
        <r>
          <rPr>
            <b/>
            <sz val="9"/>
            <color indexed="81"/>
            <rFont val="Tahoma"/>
            <family val="2"/>
          </rPr>
          <t>Jorge Arturo Espinoza:</t>
        </r>
        <r>
          <rPr>
            <sz val="9"/>
            <color indexed="81"/>
            <rFont val="Tahoma"/>
            <family val="2"/>
          </rPr>
          <t xml:space="preserve">
E1 -&gt; 400
E2 -&gt; 500
E4 -&gt; 600
E1-4p -&gt; 500
E2-4p -&gt; 600
E4-4p -&gt; 700</t>
        </r>
      </text>
    </comment>
    <comment ref="E1817" authorId="0" shapeId="0" xr:uid="{00000000-0006-0000-0100-0000CD000000}">
      <text>
        <r>
          <rPr>
            <b/>
            <sz val="9"/>
            <color indexed="81"/>
            <rFont val="Tahoma"/>
            <family val="2"/>
          </rPr>
          <t>Jorge Arturo Espinoza:</t>
        </r>
        <r>
          <rPr>
            <sz val="9"/>
            <color indexed="81"/>
            <rFont val="Tahoma"/>
            <family val="2"/>
          </rPr>
          <t xml:space="preserve">
E1 -&gt; 400
E2 -&gt; 500
E4 -&gt; 600
E1-4p -&gt; 500
E2-4p -&gt; 600
E4-4p -&gt; 700</t>
        </r>
      </text>
    </comment>
    <comment ref="E1818" authorId="0" shapeId="0" xr:uid="{00000000-0006-0000-0100-0000CE000000}">
      <text>
        <r>
          <rPr>
            <b/>
            <sz val="9"/>
            <color indexed="81"/>
            <rFont val="Tahoma"/>
            <family val="2"/>
          </rPr>
          <t>Jorge Arturo Espinoza:</t>
        </r>
        <r>
          <rPr>
            <sz val="9"/>
            <color indexed="81"/>
            <rFont val="Tahoma"/>
            <family val="2"/>
          </rPr>
          <t xml:space="preserve">
E1 -&gt; 400
E2 -&gt; 500
E4 -&gt; 600
E1-4p -&gt; 500
E2-4p -&gt; 600
E4-4p -&gt; 700</t>
        </r>
      </text>
    </comment>
    <comment ref="E1819" authorId="0" shapeId="0" xr:uid="{00000000-0006-0000-0100-0000CF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0" authorId="0" shapeId="0" xr:uid="{00000000-0006-0000-0100-0000D0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1" authorId="0" shapeId="0" xr:uid="{00000000-0006-0000-0100-0000D1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3" authorId="0" shapeId="0" xr:uid="{00000000-0006-0000-0100-0000D2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4" authorId="0" shapeId="0" xr:uid="{00000000-0006-0000-0100-0000D3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6" authorId="0" shapeId="0" xr:uid="{00000000-0006-0000-0100-0000D4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7" authorId="0" shapeId="0" xr:uid="{00000000-0006-0000-0100-0000D5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8" authorId="0" shapeId="0" xr:uid="{00000000-0006-0000-0100-0000D6000000}">
      <text>
        <r>
          <rPr>
            <b/>
            <sz val="9"/>
            <color indexed="81"/>
            <rFont val="Tahoma"/>
            <family val="2"/>
          </rPr>
          <t>Jorge Arturo Espinoza:</t>
        </r>
        <r>
          <rPr>
            <sz val="9"/>
            <color indexed="81"/>
            <rFont val="Tahoma"/>
            <family val="2"/>
          </rPr>
          <t xml:space="preserve">
E1 -&gt; 400
E2 -&gt; 500
E4 -&gt; 600
E1-4p -&gt; 500
E2-4p -&gt; 600
E4-4p -&gt; 700</t>
        </r>
      </text>
    </comment>
    <comment ref="E1829" authorId="0" shapeId="0" xr:uid="{00000000-0006-0000-0100-0000D7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0" authorId="0" shapeId="0" xr:uid="{00000000-0006-0000-0100-0000D8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1" authorId="0" shapeId="0" xr:uid="{00000000-0006-0000-0100-0000D9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2" authorId="0" shapeId="0" xr:uid="{00000000-0006-0000-0100-0000DA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3" authorId="0" shapeId="0" xr:uid="{00000000-0006-0000-0100-0000DB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4" authorId="0" shapeId="0" xr:uid="{00000000-0006-0000-0100-0000DC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5" authorId="0" shapeId="0" xr:uid="{00000000-0006-0000-0100-0000DD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6" authorId="0" shapeId="0" xr:uid="{00000000-0006-0000-0100-0000DE000000}">
      <text>
        <r>
          <rPr>
            <b/>
            <sz val="9"/>
            <color indexed="81"/>
            <rFont val="Tahoma"/>
            <family val="2"/>
          </rPr>
          <t>Jorge Arturo Espinoza:</t>
        </r>
        <r>
          <rPr>
            <sz val="9"/>
            <color indexed="81"/>
            <rFont val="Tahoma"/>
            <family val="2"/>
          </rPr>
          <t xml:space="preserve">
E1 -&gt; 400
E2 -&gt; 500
E4 -&gt; 600
E1-4p -&gt; 500
E2-4p -&gt; 600
E4-4p -&gt; 700</t>
        </r>
      </text>
    </comment>
    <comment ref="E1838" authorId="0" shapeId="0" xr:uid="{00000000-0006-0000-0100-0000DF000000}">
      <text>
        <r>
          <rPr>
            <b/>
            <sz val="9"/>
            <color indexed="81"/>
            <rFont val="Tahoma"/>
            <family val="2"/>
          </rPr>
          <t>Jorge Arturo Espinoza:</t>
        </r>
        <r>
          <rPr>
            <sz val="9"/>
            <color indexed="81"/>
            <rFont val="Tahoma"/>
            <family val="2"/>
          </rPr>
          <t xml:space="preserve">
E1 -&gt; 400
E2 -&gt; 500
E4 -&gt; 600
E1-4p -&gt; 500
E2-4p -&gt; 600
E4-4p -&gt; 700</t>
        </r>
      </text>
    </comment>
    <comment ref="E1840" authorId="0" shapeId="0" xr:uid="{00000000-0006-0000-0100-0000E0000000}">
      <text>
        <r>
          <rPr>
            <b/>
            <sz val="9"/>
            <color indexed="81"/>
            <rFont val="Tahoma"/>
            <family val="2"/>
          </rPr>
          <t>Jorge Arturo Espinoza:</t>
        </r>
        <r>
          <rPr>
            <sz val="9"/>
            <color indexed="81"/>
            <rFont val="Tahoma"/>
            <family val="2"/>
          </rPr>
          <t xml:space="preserve">
E1 -&gt; 400
E2 -&gt; 500
E4 -&gt; 600
E1-4p -&gt; 500
E2-4p -&gt; 600
E4-4p -&gt; 700</t>
        </r>
      </text>
    </comment>
    <comment ref="E1841" authorId="0" shapeId="0" xr:uid="{00000000-0006-0000-0100-0000E1000000}">
      <text>
        <r>
          <rPr>
            <b/>
            <sz val="9"/>
            <color indexed="81"/>
            <rFont val="Tahoma"/>
            <family val="2"/>
          </rPr>
          <t>Jorge Arturo Espinoza:</t>
        </r>
        <r>
          <rPr>
            <sz val="9"/>
            <color indexed="81"/>
            <rFont val="Tahoma"/>
            <family val="2"/>
          </rPr>
          <t xml:space="preserve">
E1 -&gt; 400
E2 -&gt; 500
E4 -&gt; 600
E1-4p -&gt; 500
E2-4p -&gt; 600
E4-4p -&gt; 700</t>
        </r>
      </text>
    </comment>
    <comment ref="E1842" authorId="0" shapeId="0" xr:uid="{00000000-0006-0000-0100-0000E2000000}">
      <text>
        <r>
          <rPr>
            <b/>
            <sz val="9"/>
            <color indexed="81"/>
            <rFont val="Tahoma"/>
            <family val="2"/>
          </rPr>
          <t>Jorge Arturo Espinoza:</t>
        </r>
        <r>
          <rPr>
            <sz val="9"/>
            <color indexed="81"/>
            <rFont val="Tahoma"/>
            <family val="2"/>
          </rPr>
          <t xml:space="preserve">
E1 -&gt; 400
E2 -&gt; 500
E4 -&gt; 600
E1-4p -&gt; 500
E2-4p -&gt; 600
E4-4p -&gt; 700</t>
        </r>
      </text>
    </comment>
    <comment ref="E1843" authorId="0" shapeId="0" xr:uid="{00000000-0006-0000-0100-0000E3000000}">
      <text>
        <r>
          <rPr>
            <b/>
            <sz val="9"/>
            <color indexed="81"/>
            <rFont val="Tahoma"/>
            <family val="2"/>
          </rPr>
          <t>Jorge Arturo Espinoza:</t>
        </r>
        <r>
          <rPr>
            <sz val="9"/>
            <color indexed="81"/>
            <rFont val="Tahoma"/>
            <family val="2"/>
          </rPr>
          <t xml:space="preserve">
E1 -&gt; 400
E2 -&gt; 500
E4 -&gt; 600
E1-4p -&gt; 500
E2-4p -&gt; 600
E4-4p -&gt; 700</t>
        </r>
      </text>
    </comment>
    <comment ref="E1844" authorId="0" shapeId="0" xr:uid="{00000000-0006-0000-0100-0000E4000000}">
      <text>
        <r>
          <rPr>
            <b/>
            <sz val="9"/>
            <color indexed="81"/>
            <rFont val="Tahoma"/>
            <family val="2"/>
          </rPr>
          <t>Jorge Arturo Espinoza:</t>
        </r>
        <r>
          <rPr>
            <sz val="9"/>
            <color indexed="81"/>
            <rFont val="Tahoma"/>
            <family val="2"/>
          </rPr>
          <t xml:space="preserve">
E1 -&gt; 400
E2 -&gt; 500
E4 -&gt; 600
E1-4p -&gt; 500
E2-4p -&gt; 600
E4-4p -&gt; 700</t>
        </r>
      </text>
    </comment>
    <comment ref="E1845" authorId="0" shapeId="0" xr:uid="{00000000-0006-0000-0100-0000E5000000}">
      <text>
        <r>
          <rPr>
            <b/>
            <sz val="9"/>
            <color indexed="81"/>
            <rFont val="Tahoma"/>
            <family val="2"/>
          </rPr>
          <t>Jorge Arturo Espinoza:</t>
        </r>
        <r>
          <rPr>
            <sz val="9"/>
            <color indexed="81"/>
            <rFont val="Tahoma"/>
            <family val="2"/>
          </rPr>
          <t xml:space="preserve">
E1 -&gt; 400
E2 -&gt; 500
E4 -&gt; 600
E1-4p -&gt; 500
E2-4p -&gt; 600
E4-4p -&gt; 700</t>
        </r>
      </text>
    </comment>
    <comment ref="E1846" authorId="0" shapeId="0" xr:uid="{00000000-0006-0000-0100-0000E6000000}">
      <text>
        <r>
          <rPr>
            <b/>
            <sz val="9"/>
            <color indexed="81"/>
            <rFont val="Tahoma"/>
            <family val="2"/>
          </rPr>
          <t>Jorge Arturo Espinoza:</t>
        </r>
        <r>
          <rPr>
            <sz val="9"/>
            <color indexed="81"/>
            <rFont val="Tahoma"/>
            <family val="2"/>
          </rPr>
          <t xml:space="preserve">
E1 -&gt; 400
E2 -&gt; 500
E4 -&gt; 600
E1-4p -&gt; 500
E2-4p -&gt; 600
E4-4p -&gt; 700</t>
        </r>
      </text>
    </comment>
    <comment ref="E1847" authorId="0" shapeId="0" xr:uid="{00000000-0006-0000-0100-0000E7000000}">
      <text>
        <r>
          <rPr>
            <b/>
            <sz val="9"/>
            <color indexed="81"/>
            <rFont val="Tahoma"/>
            <family val="2"/>
          </rPr>
          <t>Jorge Arturo Espinoza:</t>
        </r>
        <r>
          <rPr>
            <sz val="9"/>
            <color indexed="81"/>
            <rFont val="Tahoma"/>
            <family val="2"/>
          </rPr>
          <t xml:space="preserve">
E1 -&gt; 400
E2 -&gt; 500
E4 -&gt; 600
E1-4p -&gt; 500
E2-4p -&gt; 600
E4-4p -&gt; 700</t>
        </r>
      </text>
    </comment>
    <comment ref="E1855" authorId="0" shapeId="0" xr:uid="{00000000-0006-0000-0100-0000E8000000}">
      <text>
        <r>
          <rPr>
            <b/>
            <sz val="9"/>
            <color indexed="81"/>
            <rFont val="Tahoma"/>
            <family val="2"/>
          </rPr>
          <t>Jorge Arturo Espinoza:</t>
        </r>
        <r>
          <rPr>
            <sz val="9"/>
            <color indexed="81"/>
            <rFont val="Tahoma"/>
            <family val="2"/>
          </rPr>
          <t xml:space="preserve">
E1 -&gt; 400
E2 -&gt; 500
E4 -&gt; 600
E1-4p -&gt; 500
E2-4p -&gt; 600
E4-4p -&gt; 700</t>
        </r>
      </text>
    </comment>
    <comment ref="E1856" authorId="0" shapeId="0" xr:uid="{00000000-0006-0000-0100-0000E9000000}">
      <text>
        <r>
          <rPr>
            <b/>
            <sz val="9"/>
            <color indexed="81"/>
            <rFont val="Tahoma"/>
            <family val="2"/>
          </rPr>
          <t>Jorge Arturo Espinoza:</t>
        </r>
        <r>
          <rPr>
            <sz val="9"/>
            <color indexed="81"/>
            <rFont val="Tahoma"/>
            <family val="2"/>
          </rPr>
          <t xml:space="preserve">
E1 -&gt; 400
E2 -&gt; 500
E4 -&gt; 600
E1-4p -&gt; 500
E2-4p -&gt; 600
E4-4p -&gt; 700</t>
        </r>
      </text>
    </comment>
    <comment ref="E1858" authorId="0" shapeId="0" xr:uid="{00000000-0006-0000-0100-0000EA000000}">
      <text>
        <r>
          <rPr>
            <b/>
            <sz val="9"/>
            <color indexed="81"/>
            <rFont val="Tahoma"/>
            <family val="2"/>
          </rPr>
          <t>Jorge Arturo Espinoza:</t>
        </r>
        <r>
          <rPr>
            <sz val="9"/>
            <color indexed="81"/>
            <rFont val="Tahoma"/>
            <family val="2"/>
          </rPr>
          <t xml:space="preserve">
E1 -&gt; 400
E2 -&gt; 500
E4 -&gt; 600
E1-4p -&gt; 500
E2-4p -&gt; 600
E4-4p -&gt; 700</t>
        </r>
      </text>
    </comment>
    <comment ref="E1859" authorId="0" shapeId="0" xr:uid="{00000000-0006-0000-0100-0000EB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0" authorId="0" shapeId="0" xr:uid="{00000000-0006-0000-0100-0000EC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1" authorId="0" shapeId="0" xr:uid="{00000000-0006-0000-0100-0000ED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2" authorId="0" shapeId="0" xr:uid="{00000000-0006-0000-0100-0000EE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5" authorId="0" shapeId="0" xr:uid="{00000000-0006-0000-0100-0000EF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6" authorId="0" shapeId="0" xr:uid="{00000000-0006-0000-0100-0000F0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7" authorId="0" shapeId="0" xr:uid="{00000000-0006-0000-0100-0000F1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8" authorId="0" shapeId="0" xr:uid="{00000000-0006-0000-0100-0000F2000000}">
      <text>
        <r>
          <rPr>
            <b/>
            <sz val="9"/>
            <color indexed="81"/>
            <rFont val="Tahoma"/>
            <family val="2"/>
          </rPr>
          <t>Jorge Arturo Espinoza:</t>
        </r>
        <r>
          <rPr>
            <sz val="9"/>
            <color indexed="81"/>
            <rFont val="Tahoma"/>
            <family val="2"/>
          </rPr>
          <t xml:space="preserve">
E1 -&gt; 400
E2 -&gt; 500
E4 -&gt; 600
E1-4p -&gt; 500
E2-4p -&gt; 600
E4-4p -&gt; 700</t>
        </r>
      </text>
    </comment>
    <comment ref="E1869" authorId="0" shapeId="0" xr:uid="{00000000-0006-0000-0100-0000F3000000}">
      <text>
        <r>
          <rPr>
            <b/>
            <sz val="9"/>
            <color indexed="81"/>
            <rFont val="Tahoma"/>
            <family val="2"/>
          </rPr>
          <t>Jorge Arturo Espinoza:</t>
        </r>
        <r>
          <rPr>
            <sz val="9"/>
            <color indexed="81"/>
            <rFont val="Tahoma"/>
            <family val="2"/>
          </rPr>
          <t xml:space="preserve">
E1 -&gt; 400
E2 -&gt; 500
E4 -&gt; 600
E1-4p -&gt; 500
E2-4p -&gt; 600
E4-4p -&gt; 700</t>
        </r>
      </text>
    </comment>
    <comment ref="E1872" authorId="0" shapeId="0" xr:uid="{00000000-0006-0000-0100-0000F4000000}">
      <text>
        <r>
          <rPr>
            <b/>
            <sz val="9"/>
            <color indexed="81"/>
            <rFont val="Tahoma"/>
            <family val="2"/>
          </rPr>
          <t>Jorge Arturo Espinoza:</t>
        </r>
        <r>
          <rPr>
            <sz val="9"/>
            <color indexed="81"/>
            <rFont val="Tahoma"/>
            <family val="2"/>
          </rPr>
          <t xml:space="preserve">
E1 -&gt; 400
E2 -&gt; 500
E4 -&gt; 600
E1-4p -&gt; 500
E2-4p -&gt; 600
E4-4p -&gt; 700</t>
        </r>
      </text>
    </comment>
    <comment ref="E1873" authorId="0" shapeId="0" xr:uid="{00000000-0006-0000-0100-0000F5000000}">
      <text>
        <r>
          <rPr>
            <b/>
            <sz val="9"/>
            <color indexed="81"/>
            <rFont val="Tahoma"/>
            <family val="2"/>
          </rPr>
          <t>Jorge Arturo Espinoza:</t>
        </r>
        <r>
          <rPr>
            <sz val="9"/>
            <color indexed="81"/>
            <rFont val="Tahoma"/>
            <family val="2"/>
          </rPr>
          <t xml:space="preserve">
E1 -&gt; 400
E2 -&gt; 500
E4 -&gt; 600
E1-4p -&gt; 500
E2-4p -&gt; 600
E4-4p -&gt; 700</t>
        </r>
      </text>
    </comment>
    <comment ref="E1875" authorId="0" shapeId="0" xr:uid="{00000000-0006-0000-0100-0000F6000000}">
      <text>
        <r>
          <rPr>
            <b/>
            <sz val="9"/>
            <color indexed="81"/>
            <rFont val="Tahoma"/>
            <family val="2"/>
          </rPr>
          <t>Jorge Arturo Espinoza:</t>
        </r>
        <r>
          <rPr>
            <sz val="9"/>
            <color indexed="81"/>
            <rFont val="Tahoma"/>
            <family val="2"/>
          </rPr>
          <t xml:space="preserve">
E1 -&gt; 400
E2 -&gt; 500
E4 -&gt; 600
E1-4p -&gt; 500
E2-4p -&gt; 600
E4-4p -&gt; 700</t>
        </r>
      </text>
    </comment>
    <comment ref="E1876" authorId="0" shapeId="0" xr:uid="{00000000-0006-0000-0100-0000F7000000}">
      <text>
        <r>
          <rPr>
            <b/>
            <sz val="9"/>
            <color indexed="81"/>
            <rFont val="Tahoma"/>
            <family val="2"/>
          </rPr>
          <t>Jorge Arturo Espinoza:</t>
        </r>
        <r>
          <rPr>
            <sz val="9"/>
            <color indexed="81"/>
            <rFont val="Tahoma"/>
            <family val="2"/>
          </rPr>
          <t xml:space="preserve">
E1 -&gt; 400
E2 -&gt; 500
E4 -&gt; 600
E1-4p -&gt; 500
E2-4p -&gt; 600
E4-4p -&gt; 700</t>
        </r>
      </text>
    </comment>
    <comment ref="E1877" authorId="0" shapeId="0" xr:uid="{00000000-0006-0000-0100-0000F8000000}">
      <text>
        <r>
          <rPr>
            <b/>
            <sz val="9"/>
            <color indexed="81"/>
            <rFont val="Tahoma"/>
            <family val="2"/>
          </rPr>
          <t>Jorge Arturo Espinoza:</t>
        </r>
        <r>
          <rPr>
            <sz val="9"/>
            <color indexed="81"/>
            <rFont val="Tahoma"/>
            <family val="2"/>
          </rPr>
          <t xml:space="preserve">
E1 -&gt; 400
E2 -&gt; 500
E4 -&gt; 600
E1-4p -&gt; 500
E2-4p -&gt; 600
E4-4p -&gt; 700</t>
        </r>
      </text>
    </comment>
    <comment ref="E1878" authorId="0" shapeId="0" xr:uid="{00000000-0006-0000-0100-0000F9000000}">
      <text>
        <r>
          <rPr>
            <b/>
            <sz val="9"/>
            <color indexed="81"/>
            <rFont val="Tahoma"/>
            <family val="2"/>
          </rPr>
          <t>Jorge Arturo Espinoza:</t>
        </r>
        <r>
          <rPr>
            <sz val="9"/>
            <color indexed="81"/>
            <rFont val="Tahoma"/>
            <family val="2"/>
          </rPr>
          <t xml:space="preserve">
E1 -&gt; 400
E2 -&gt; 500
E4 -&gt; 600
E1-4p -&gt; 500
E2-4p -&gt; 600
E4-4p -&gt; 700</t>
        </r>
      </text>
    </comment>
    <comment ref="E1881" authorId="0" shapeId="0" xr:uid="{00000000-0006-0000-0100-0000FA000000}">
      <text>
        <r>
          <rPr>
            <b/>
            <sz val="9"/>
            <color indexed="81"/>
            <rFont val="Tahoma"/>
            <family val="2"/>
          </rPr>
          <t>Jorge Arturo Espinoza:</t>
        </r>
        <r>
          <rPr>
            <sz val="9"/>
            <color indexed="81"/>
            <rFont val="Tahoma"/>
            <family val="2"/>
          </rPr>
          <t xml:space="preserve">
E1 -&gt; 400
E2 -&gt; 500
E4 -&gt; 600
E1-4p -&gt; 500
E2-4p -&gt; 600
E4-4p -&gt; 700</t>
        </r>
      </text>
    </comment>
    <comment ref="E1883" authorId="0" shapeId="0" xr:uid="{00000000-0006-0000-0100-0000FB000000}">
      <text>
        <r>
          <rPr>
            <b/>
            <sz val="9"/>
            <color indexed="81"/>
            <rFont val="Tahoma"/>
            <family val="2"/>
          </rPr>
          <t>Jorge Arturo Espinoza:</t>
        </r>
        <r>
          <rPr>
            <sz val="9"/>
            <color indexed="81"/>
            <rFont val="Tahoma"/>
            <family val="2"/>
          </rPr>
          <t xml:space="preserve">
E1 -&gt; 400
E2 -&gt; 500
E4 -&gt; 600
E1-4p -&gt; 500
E2-4p -&gt; 600
E4-4p -&gt; 700</t>
        </r>
      </text>
    </comment>
    <comment ref="E1884" authorId="0" shapeId="0" xr:uid="{00000000-0006-0000-0100-0000FC000000}">
      <text>
        <r>
          <rPr>
            <b/>
            <sz val="9"/>
            <color indexed="81"/>
            <rFont val="Tahoma"/>
            <family val="2"/>
          </rPr>
          <t>Jorge Arturo Espinoza:</t>
        </r>
        <r>
          <rPr>
            <sz val="9"/>
            <color indexed="81"/>
            <rFont val="Tahoma"/>
            <family val="2"/>
          </rPr>
          <t xml:space="preserve">
E1 -&gt; 400
E2 -&gt; 500
E4 -&gt; 600
E1-4p -&gt; 500
E2-4p -&gt; 600
E4-4p -&gt; 700</t>
        </r>
      </text>
    </comment>
    <comment ref="E1885" authorId="0" shapeId="0" xr:uid="{00000000-0006-0000-0100-0000FD000000}">
      <text>
        <r>
          <rPr>
            <b/>
            <sz val="9"/>
            <color indexed="81"/>
            <rFont val="Tahoma"/>
            <family val="2"/>
          </rPr>
          <t>Jorge Arturo Espinoza:</t>
        </r>
        <r>
          <rPr>
            <sz val="9"/>
            <color indexed="81"/>
            <rFont val="Tahoma"/>
            <family val="2"/>
          </rPr>
          <t xml:space="preserve">
E1 -&gt; 400
E2 -&gt; 500
E4 -&gt; 600
E1-4p -&gt; 500
E2-4p -&gt; 600
E4-4p -&gt; 700</t>
        </r>
      </text>
    </comment>
    <comment ref="E1886" authorId="0" shapeId="0" xr:uid="{00000000-0006-0000-0100-0000FE000000}">
      <text>
        <r>
          <rPr>
            <b/>
            <sz val="9"/>
            <color indexed="81"/>
            <rFont val="Tahoma"/>
            <family val="2"/>
          </rPr>
          <t>Jorge Arturo Espinoza:</t>
        </r>
        <r>
          <rPr>
            <sz val="9"/>
            <color indexed="81"/>
            <rFont val="Tahoma"/>
            <family val="2"/>
          </rPr>
          <t xml:space="preserve">
E1 -&gt; 400
E2 -&gt; 500
E4 -&gt; 600
E1-4p -&gt; 500
E2-4p -&gt; 600
E4-4p -&gt; 700</t>
        </r>
      </text>
    </comment>
    <comment ref="E1888" authorId="0" shapeId="0" xr:uid="{00000000-0006-0000-0100-0000FF000000}">
      <text>
        <r>
          <rPr>
            <b/>
            <sz val="9"/>
            <color indexed="81"/>
            <rFont val="Tahoma"/>
            <family val="2"/>
          </rPr>
          <t>Jorge Arturo Espinoza:</t>
        </r>
        <r>
          <rPr>
            <sz val="9"/>
            <color indexed="81"/>
            <rFont val="Tahoma"/>
            <family val="2"/>
          </rPr>
          <t xml:space="preserve">
E1 -&gt; 400
E2 -&gt; 500
E4 -&gt; 600
E1-4p -&gt; 500
E2-4p -&gt; 600
E4-4p -&gt; 700</t>
        </r>
      </text>
    </comment>
    <comment ref="E1889" authorId="0" shapeId="0" xr:uid="{00000000-0006-0000-0100-000000010000}">
      <text>
        <r>
          <rPr>
            <b/>
            <sz val="9"/>
            <color indexed="81"/>
            <rFont val="Tahoma"/>
            <family val="2"/>
          </rPr>
          <t>Jorge Arturo Espinoza:</t>
        </r>
        <r>
          <rPr>
            <sz val="9"/>
            <color indexed="81"/>
            <rFont val="Tahoma"/>
            <family val="2"/>
          </rPr>
          <t xml:space="preserve">
E1 -&gt; 400
E2 -&gt; 500
E4 -&gt; 600
E1-4p -&gt; 500
E2-4p -&gt; 600
E4-4p -&gt; 700</t>
        </r>
      </text>
    </comment>
    <comment ref="E1891" authorId="0" shapeId="0" xr:uid="{00000000-0006-0000-0100-000001010000}">
      <text>
        <r>
          <rPr>
            <b/>
            <sz val="9"/>
            <color indexed="81"/>
            <rFont val="Tahoma"/>
            <family val="2"/>
          </rPr>
          <t>Jorge Arturo Espinoza:</t>
        </r>
        <r>
          <rPr>
            <sz val="9"/>
            <color indexed="81"/>
            <rFont val="Tahoma"/>
            <family val="2"/>
          </rPr>
          <t xml:space="preserve">
E1 -&gt; 400
E2 -&gt; 500
E4 -&gt; 600
E1-4p -&gt; 500
E2-4p -&gt; 600
E4-4p -&gt; 700</t>
        </r>
      </text>
    </comment>
    <comment ref="E1894" authorId="0" shapeId="0" xr:uid="{00000000-0006-0000-0100-000002010000}">
      <text>
        <r>
          <rPr>
            <b/>
            <sz val="9"/>
            <color indexed="81"/>
            <rFont val="Tahoma"/>
            <family val="2"/>
          </rPr>
          <t>Jorge Arturo Espinoza:</t>
        </r>
        <r>
          <rPr>
            <sz val="9"/>
            <color indexed="81"/>
            <rFont val="Tahoma"/>
            <family val="2"/>
          </rPr>
          <t xml:space="preserve">
E1 -&gt; 400
E2 -&gt; 500
E4 -&gt; 600
E1-4p -&gt; 500
E2-4p -&gt; 600
E4-4p -&gt; 700</t>
        </r>
      </text>
    </comment>
    <comment ref="E1895" authorId="0" shapeId="0" xr:uid="{00000000-0006-0000-0100-000003010000}">
      <text>
        <r>
          <rPr>
            <b/>
            <sz val="9"/>
            <color indexed="81"/>
            <rFont val="Tahoma"/>
            <family val="2"/>
          </rPr>
          <t>Jorge Arturo Espinoza:</t>
        </r>
        <r>
          <rPr>
            <sz val="9"/>
            <color indexed="81"/>
            <rFont val="Tahoma"/>
            <family val="2"/>
          </rPr>
          <t xml:space="preserve">
E1 -&gt; 400
E2 -&gt; 500
E4 -&gt; 600
E1-4p -&gt; 500
E2-4p -&gt; 600
E4-4p -&gt; 700</t>
        </r>
      </text>
    </comment>
    <comment ref="E1896" authorId="0" shapeId="0" xr:uid="{00000000-0006-0000-0100-000004010000}">
      <text>
        <r>
          <rPr>
            <b/>
            <sz val="9"/>
            <color indexed="81"/>
            <rFont val="Tahoma"/>
            <family val="2"/>
          </rPr>
          <t>Jorge Arturo Espinoza:</t>
        </r>
        <r>
          <rPr>
            <sz val="9"/>
            <color indexed="81"/>
            <rFont val="Tahoma"/>
            <family val="2"/>
          </rPr>
          <t xml:space="preserve">
E1 -&gt; 400
E2 -&gt; 500
E4 -&gt; 600
E1-4p -&gt; 500
E2-4p -&gt; 600
E4-4p -&gt; 700</t>
        </r>
      </text>
    </comment>
    <comment ref="E1897" authorId="0" shapeId="0" xr:uid="{00000000-0006-0000-0100-000005010000}">
      <text>
        <r>
          <rPr>
            <b/>
            <sz val="9"/>
            <color indexed="81"/>
            <rFont val="Tahoma"/>
            <family val="2"/>
          </rPr>
          <t>Jorge Arturo Espinoza:</t>
        </r>
        <r>
          <rPr>
            <sz val="9"/>
            <color indexed="81"/>
            <rFont val="Tahoma"/>
            <family val="2"/>
          </rPr>
          <t xml:space="preserve">
E1 -&gt; 400
E2 -&gt; 500
E4 -&gt; 600
E1-4p -&gt; 500
E2-4p -&gt; 600
E4-4p -&gt; 700</t>
        </r>
      </text>
    </comment>
    <comment ref="E1898" authorId="0" shapeId="0" xr:uid="{00000000-0006-0000-0100-000006010000}">
      <text>
        <r>
          <rPr>
            <b/>
            <sz val="9"/>
            <color indexed="81"/>
            <rFont val="Tahoma"/>
            <family val="2"/>
          </rPr>
          <t>Jorge Arturo Espinoza:</t>
        </r>
        <r>
          <rPr>
            <sz val="9"/>
            <color indexed="81"/>
            <rFont val="Tahoma"/>
            <family val="2"/>
          </rPr>
          <t xml:space="preserve">
E1 -&gt; 400
E2 -&gt; 500
E4 -&gt; 600
E1-4p -&gt; 500
E2-4p -&gt; 600
E4-4p -&gt; 700</t>
        </r>
      </text>
    </comment>
    <comment ref="E1899" authorId="0" shapeId="0" xr:uid="{00000000-0006-0000-0100-000007010000}">
      <text>
        <r>
          <rPr>
            <b/>
            <sz val="9"/>
            <color indexed="81"/>
            <rFont val="Tahoma"/>
            <family val="2"/>
          </rPr>
          <t>Jorge Arturo Espinoza:</t>
        </r>
        <r>
          <rPr>
            <sz val="9"/>
            <color indexed="81"/>
            <rFont val="Tahoma"/>
            <family val="2"/>
          </rPr>
          <t xml:space="preserve">
E1 -&gt; 400
E2 -&gt; 500
E4 -&gt; 600
E1-4p -&gt; 500
E2-4p -&gt; 600
E4-4p -&gt; 700</t>
        </r>
      </text>
    </comment>
    <comment ref="E1900" authorId="0" shapeId="0" xr:uid="{00000000-0006-0000-0100-000008010000}">
      <text>
        <r>
          <rPr>
            <b/>
            <sz val="9"/>
            <color indexed="81"/>
            <rFont val="Tahoma"/>
            <family val="2"/>
          </rPr>
          <t>Jorge Arturo Espinoza:</t>
        </r>
        <r>
          <rPr>
            <sz val="9"/>
            <color indexed="81"/>
            <rFont val="Tahoma"/>
            <family val="2"/>
          </rPr>
          <t xml:space="preserve">
E1 -&gt; 400
E2 -&gt; 500
E4 -&gt; 600
E1-4p -&gt; 500
E2-4p -&gt; 600
E4-4p -&gt; 700</t>
        </r>
      </text>
    </comment>
    <comment ref="E1901" authorId="0" shapeId="0" xr:uid="{00000000-0006-0000-0100-000009010000}">
      <text>
        <r>
          <rPr>
            <b/>
            <sz val="9"/>
            <color indexed="81"/>
            <rFont val="Tahoma"/>
            <family val="2"/>
          </rPr>
          <t>Jorge Arturo Espinoza:</t>
        </r>
        <r>
          <rPr>
            <sz val="9"/>
            <color indexed="81"/>
            <rFont val="Tahoma"/>
            <family val="2"/>
          </rPr>
          <t xml:space="preserve">
E1 -&gt; 400
E2 -&gt; 500
E4 -&gt; 600
E1-4p -&gt; 500
E2-4p -&gt; 600
E4-4p -&gt; 700</t>
        </r>
      </text>
    </comment>
    <comment ref="E1902" authorId="0" shapeId="0" xr:uid="{00000000-0006-0000-0100-00000A010000}">
      <text>
        <r>
          <rPr>
            <b/>
            <sz val="9"/>
            <color indexed="81"/>
            <rFont val="Tahoma"/>
            <family val="2"/>
          </rPr>
          <t>Jorge Arturo Espinoza:</t>
        </r>
        <r>
          <rPr>
            <sz val="9"/>
            <color indexed="81"/>
            <rFont val="Tahoma"/>
            <family val="2"/>
          </rPr>
          <t xml:space="preserve">
E1 -&gt; 400
E2 -&gt; 500
E4 -&gt; 600
E1-4p -&gt; 500
E2-4p -&gt; 600
E4-4p -&gt; 700</t>
        </r>
      </text>
    </comment>
    <comment ref="E1903" authorId="0" shapeId="0" xr:uid="{00000000-0006-0000-0100-00000B010000}">
      <text>
        <r>
          <rPr>
            <b/>
            <sz val="9"/>
            <color indexed="81"/>
            <rFont val="Tahoma"/>
            <family val="2"/>
          </rPr>
          <t>Jorge Arturo Espinoza:</t>
        </r>
        <r>
          <rPr>
            <sz val="9"/>
            <color indexed="81"/>
            <rFont val="Tahoma"/>
            <family val="2"/>
          </rPr>
          <t xml:space="preserve">
E1 -&gt; 400
E2 -&gt; 500
E4 -&gt; 600
E1-4p -&gt; 500
E2-4p -&gt; 600
E4-4p -&gt; 700</t>
        </r>
      </text>
    </comment>
    <comment ref="E1905" authorId="0" shapeId="0" xr:uid="{00000000-0006-0000-0100-00000C010000}">
      <text>
        <r>
          <rPr>
            <b/>
            <sz val="9"/>
            <color indexed="81"/>
            <rFont val="Tahoma"/>
            <family val="2"/>
          </rPr>
          <t>Jorge Arturo Espinoza:</t>
        </r>
        <r>
          <rPr>
            <sz val="9"/>
            <color indexed="81"/>
            <rFont val="Tahoma"/>
            <family val="2"/>
          </rPr>
          <t xml:space="preserve">
E1 -&gt; 400
E2 -&gt; 500
E4 -&gt; 600
E1-4p -&gt; 500
E2-4p -&gt; 600
E4-4p -&gt; 700</t>
        </r>
      </text>
    </comment>
    <comment ref="B1927" authorId="0" shapeId="0" xr:uid="{00000000-0006-0000-0100-00000D010000}">
      <text>
        <r>
          <rPr>
            <b/>
            <sz val="9"/>
            <color indexed="81"/>
            <rFont val="Tahoma"/>
            <family val="2"/>
          </rPr>
          <t>Jorge Arturo Espinoza:</t>
        </r>
        <r>
          <rPr>
            <sz val="9"/>
            <color indexed="81"/>
            <rFont val="Tahoma"/>
            <family val="2"/>
          </rPr>
          <t xml:space="preserve">
Viene 04 por defecto</t>
        </r>
      </text>
    </comment>
    <comment ref="B1928" authorId="0" shapeId="0" xr:uid="{00000000-0006-0000-0100-00000E010000}">
      <text>
        <r>
          <rPr>
            <b/>
            <sz val="9"/>
            <color indexed="81"/>
            <rFont val="Tahoma"/>
            <family val="2"/>
          </rPr>
          <t>Jorge Arturo Espinoza:</t>
        </r>
        <r>
          <rPr>
            <sz val="9"/>
            <color indexed="81"/>
            <rFont val="Tahoma"/>
            <family val="2"/>
          </rPr>
          <t xml:space="preserve">
Viene 01 por defecto</t>
        </r>
      </text>
    </comment>
    <comment ref="B1934" authorId="0" shapeId="0" xr:uid="{00000000-0006-0000-0100-00000F010000}">
      <text>
        <r>
          <rPr>
            <b/>
            <sz val="9"/>
            <color indexed="81"/>
            <rFont val="Tahoma"/>
            <family val="2"/>
          </rPr>
          <t>Jorge Arturo Espinoza:</t>
        </r>
        <r>
          <rPr>
            <sz val="9"/>
            <color indexed="81"/>
            <rFont val="Tahoma"/>
            <family val="2"/>
          </rPr>
          <t xml:space="preserve">
NECESARIO PARA LOS MODULOS DE COM</t>
        </r>
      </text>
    </comment>
    <comment ref="B1935" authorId="0" shapeId="0" xr:uid="{00000000-0006-0000-0100-000010010000}">
      <text>
        <r>
          <rPr>
            <b/>
            <sz val="9"/>
            <color indexed="81"/>
            <rFont val="Tahoma"/>
            <family val="2"/>
          </rPr>
          <t>Jorge Arturo Espinoza:</t>
        </r>
        <r>
          <rPr>
            <sz val="9"/>
            <color indexed="81"/>
            <rFont val="Tahoma"/>
            <family val="2"/>
          </rPr>
          <t xml:space="preserve">
NECESARIO PARA LOS MODULOS DE COM</t>
        </r>
      </text>
    </comment>
    <comment ref="B1950" authorId="0" shapeId="0" xr:uid="{00000000-0006-0000-0100-000011010000}">
      <text>
        <r>
          <rPr>
            <b/>
            <sz val="9"/>
            <color indexed="81"/>
            <rFont val="Tahoma"/>
            <family val="2"/>
          </rPr>
          <t>Jorge Arturo Espinoza:</t>
        </r>
        <r>
          <rPr>
            <sz val="9"/>
            <color indexed="81"/>
            <rFont val="Tahoma"/>
            <family val="2"/>
          </rPr>
          <t xml:space="preserve">
TAMBIEN SIRVE PARA E4.2 (4p) ??</t>
        </r>
      </text>
    </comment>
    <comment ref="G1950" authorId="0" shapeId="0" xr:uid="{00000000-0006-0000-0100-000012010000}">
      <text>
        <r>
          <rPr>
            <b/>
            <sz val="9"/>
            <color indexed="81"/>
            <rFont val="Tahoma"/>
            <family val="2"/>
          </rPr>
          <t>Jorge Arturo Espinoza:</t>
        </r>
        <r>
          <rPr>
            <sz val="9"/>
            <color indexed="81"/>
            <rFont val="Tahoma"/>
            <family val="2"/>
          </rPr>
          <t xml:space="preserve">
TAMBIEN SIRVE PARA E4.2 (4p) ??</t>
        </r>
      </text>
    </comment>
    <comment ref="B1959" authorId="0" shapeId="0" xr:uid="{00000000-0006-0000-0100-000013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1960" authorId="0" shapeId="0" xr:uid="{00000000-0006-0000-0100-000014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1961" authorId="0" shapeId="0" xr:uid="{00000000-0006-0000-0100-000015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1962" authorId="0" shapeId="0" xr:uid="{00000000-0006-0000-0100-000016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1963" authorId="0" shapeId="0" xr:uid="{00000000-0006-0000-0100-000017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G1963" authorId="0" shapeId="0" xr:uid="{00000000-0006-0000-0100-000018010000}">
      <text>
        <r>
          <rPr>
            <b/>
            <sz val="9"/>
            <color indexed="81"/>
            <rFont val="Tahoma"/>
            <family val="2"/>
          </rPr>
          <t>Jorge Arturo Espinoza:</t>
        </r>
        <r>
          <rPr>
            <sz val="9"/>
            <color indexed="81"/>
            <rFont val="Tahoma"/>
            <family val="2"/>
          </rPr>
          <t xml:space="preserve">
¿Es el mismo codigo para 4p??</t>
        </r>
      </text>
    </comment>
    <comment ref="B1964" authorId="0" shapeId="0" xr:uid="{00000000-0006-0000-0100-000019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G1964" authorId="0" shapeId="0" xr:uid="{00000000-0006-0000-0100-00001A010000}">
      <text>
        <r>
          <rPr>
            <b/>
            <sz val="9"/>
            <color indexed="81"/>
            <rFont val="Tahoma"/>
            <family val="2"/>
          </rPr>
          <t>Jorge Arturo Espinoza:</t>
        </r>
        <r>
          <rPr>
            <sz val="9"/>
            <color indexed="81"/>
            <rFont val="Tahoma"/>
            <family val="2"/>
          </rPr>
          <t xml:space="preserve">
¿Es el mismo codigo para 4p??</t>
        </r>
      </text>
    </comment>
    <comment ref="B1965" authorId="0" shapeId="0" xr:uid="{00000000-0006-0000-0100-00001B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G1965" authorId="0" shapeId="0" xr:uid="{00000000-0006-0000-0100-00001C010000}">
      <text>
        <r>
          <rPr>
            <b/>
            <sz val="9"/>
            <color indexed="81"/>
            <rFont val="Tahoma"/>
            <family val="2"/>
          </rPr>
          <t>Jorge Arturo Espinoza:</t>
        </r>
        <r>
          <rPr>
            <sz val="9"/>
            <color indexed="81"/>
            <rFont val="Tahoma"/>
            <family val="2"/>
          </rPr>
          <t xml:space="preserve">
¿existe codigo para 4p??</t>
        </r>
      </text>
    </comment>
    <comment ref="B1966" authorId="0" shapeId="0" xr:uid="{00000000-0006-0000-0100-00001D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1967" authorId="0" shapeId="0" xr:uid="{00000000-0006-0000-0100-00001E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1968" authorId="0" shapeId="0" xr:uid="{00000000-0006-0000-0100-00001F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1969" authorId="0" shapeId="0" xr:uid="{00000000-0006-0000-0100-000020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1970" authorId="0" shapeId="0" xr:uid="{00000000-0006-0000-0100-000021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1971" authorId="0" shapeId="0" xr:uid="{00000000-0006-0000-0100-000022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E1980" authorId="0" shapeId="0" xr:uid="{00000000-0006-0000-0100-000023010000}">
      <text>
        <r>
          <rPr>
            <b/>
            <sz val="9"/>
            <color indexed="81"/>
            <rFont val="Tahoma"/>
            <family val="2"/>
          </rPr>
          <t>Jorge Arturo Espinoza:</t>
        </r>
        <r>
          <rPr>
            <sz val="9"/>
            <color indexed="81"/>
            <rFont val="Tahoma"/>
            <family val="2"/>
          </rPr>
          <t xml:space="preserve">
E1 -&gt; 400
E2 -&gt; 500
E4 -&gt; 600
E1-4p -&gt; 500
E2-4p -&gt; 600
E4-4p -&gt; 700</t>
        </r>
      </text>
    </comment>
    <comment ref="E1986" authorId="0" shapeId="0" xr:uid="{00000000-0006-0000-0100-000024010000}">
      <text>
        <r>
          <rPr>
            <b/>
            <sz val="9"/>
            <color indexed="81"/>
            <rFont val="Tahoma"/>
            <family val="2"/>
          </rPr>
          <t>Jorge Arturo Espinoza:</t>
        </r>
        <r>
          <rPr>
            <sz val="9"/>
            <color indexed="81"/>
            <rFont val="Tahoma"/>
            <family val="2"/>
          </rPr>
          <t xml:space="preserve">
E1 -&gt; 400
E2 -&gt; 500
E4 -&gt; 600
E1-4p -&gt; 500
E2-4p -&gt; 600
E4-4p -&gt; 700</t>
        </r>
      </text>
    </comment>
    <comment ref="E1987" authorId="0" shapeId="0" xr:uid="{00000000-0006-0000-0100-000025010000}">
      <text>
        <r>
          <rPr>
            <b/>
            <sz val="9"/>
            <color indexed="81"/>
            <rFont val="Tahoma"/>
            <family val="2"/>
          </rPr>
          <t>Jorge Arturo Espinoza:</t>
        </r>
        <r>
          <rPr>
            <sz val="9"/>
            <color indexed="81"/>
            <rFont val="Tahoma"/>
            <family val="2"/>
          </rPr>
          <t xml:space="preserve">
E1 -&gt; 400
E2 -&gt; 500
E4 -&gt; 600
E1-4p -&gt; 500
E2-4p -&gt; 600
E4-4p -&gt; 700</t>
        </r>
      </text>
    </comment>
    <comment ref="E1990" authorId="0" shapeId="0" xr:uid="{00000000-0006-0000-0100-000026010000}">
      <text>
        <r>
          <rPr>
            <b/>
            <sz val="9"/>
            <color indexed="81"/>
            <rFont val="Tahoma"/>
            <family val="2"/>
          </rPr>
          <t>Jorge Arturo Espinoza:</t>
        </r>
        <r>
          <rPr>
            <sz val="9"/>
            <color indexed="81"/>
            <rFont val="Tahoma"/>
            <family val="2"/>
          </rPr>
          <t xml:space="preserve">
E1 -&gt; 400
E2 -&gt; 500
E4 -&gt; 600
E1-4p -&gt; 500
E2-4p -&gt; 600
E4-4p -&gt; 700</t>
        </r>
      </text>
    </comment>
    <comment ref="E1995" authorId="0" shapeId="0" xr:uid="{00000000-0006-0000-0100-000027010000}">
      <text>
        <r>
          <rPr>
            <b/>
            <sz val="9"/>
            <color indexed="81"/>
            <rFont val="Tahoma"/>
            <family val="2"/>
          </rPr>
          <t>Jorge Arturo Espinoza:</t>
        </r>
        <r>
          <rPr>
            <sz val="9"/>
            <color indexed="81"/>
            <rFont val="Tahoma"/>
            <family val="2"/>
          </rPr>
          <t xml:space="preserve">
E1 -&gt; 400
E2 -&gt; 500
E4 -&gt; 600
E1-4p -&gt; 500
E2-4p -&gt; 600
E4-4p -&gt; 700</t>
        </r>
      </text>
    </comment>
    <comment ref="E1996" authorId="0" shapeId="0" xr:uid="{00000000-0006-0000-0100-000028010000}">
      <text>
        <r>
          <rPr>
            <b/>
            <sz val="9"/>
            <color indexed="81"/>
            <rFont val="Tahoma"/>
            <family val="2"/>
          </rPr>
          <t>Jorge Arturo Espinoza:</t>
        </r>
        <r>
          <rPr>
            <sz val="9"/>
            <color indexed="81"/>
            <rFont val="Tahoma"/>
            <family val="2"/>
          </rPr>
          <t xml:space="preserve">
E1 -&gt; 400
E2 -&gt; 500
E4 -&gt; 600
E1-4p -&gt; 500
E2-4p -&gt; 600
E4-4p -&gt; 700</t>
        </r>
      </text>
    </comment>
    <comment ref="E2009" authorId="0" shapeId="0" xr:uid="{00000000-0006-0000-0100-000029010000}">
      <text>
        <r>
          <rPr>
            <b/>
            <sz val="9"/>
            <color indexed="81"/>
            <rFont val="Tahoma"/>
            <family val="2"/>
          </rPr>
          <t>Jorge Arturo Espinoza:</t>
        </r>
        <r>
          <rPr>
            <sz val="9"/>
            <color indexed="81"/>
            <rFont val="Tahoma"/>
            <family val="2"/>
          </rPr>
          <t xml:space="preserve">
E1 -&gt; 400
E2 -&gt; 500
E4 -&gt; 600
E1-4p -&gt; 500
E2-4p -&gt; 600
E4-4p -&gt; 700</t>
        </r>
      </text>
    </comment>
    <comment ref="E2010" authorId="0" shapeId="0" xr:uid="{00000000-0006-0000-0100-00002A010000}">
      <text>
        <r>
          <rPr>
            <b/>
            <sz val="9"/>
            <color indexed="81"/>
            <rFont val="Tahoma"/>
            <family val="2"/>
          </rPr>
          <t>Jorge Arturo Espinoza:</t>
        </r>
        <r>
          <rPr>
            <sz val="9"/>
            <color indexed="81"/>
            <rFont val="Tahoma"/>
            <family val="2"/>
          </rPr>
          <t xml:space="preserve">
E1 -&gt; 400
E2 -&gt; 500
E4 -&gt; 600
E1-4p -&gt; 500
E2-4p -&gt; 600
E4-4p -&gt; 700</t>
        </r>
      </text>
    </comment>
    <comment ref="E2011" authorId="0" shapeId="0" xr:uid="{00000000-0006-0000-0100-00002B010000}">
      <text>
        <r>
          <rPr>
            <b/>
            <sz val="9"/>
            <color indexed="81"/>
            <rFont val="Tahoma"/>
            <family val="2"/>
          </rPr>
          <t>Jorge Arturo Espinoza:</t>
        </r>
        <r>
          <rPr>
            <sz val="9"/>
            <color indexed="81"/>
            <rFont val="Tahoma"/>
            <family val="2"/>
          </rPr>
          <t xml:space="preserve">
E1 -&gt; 400
E2 -&gt; 500
E4 -&gt; 600
E1-4p -&gt; 500
E2-4p -&gt; 600
E4-4p -&gt; 700</t>
        </r>
      </text>
    </comment>
    <comment ref="E2024" authorId="0" shapeId="0" xr:uid="{00000000-0006-0000-0100-00002C010000}">
      <text>
        <r>
          <rPr>
            <b/>
            <sz val="9"/>
            <color indexed="81"/>
            <rFont val="Tahoma"/>
            <family val="2"/>
          </rPr>
          <t>Jorge Arturo Espinoza:</t>
        </r>
        <r>
          <rPr>
            <sz val="9"/>
            <color indexed="81"/>
            <rFont val="Tahoma"/>
            <family val="2"/>
          </rPr>
          <t xml:space="preserve">
E1 -&gt; 400
E2 -&gt; 500
E4 -&gt; 600
E1-4p -&gt; 500
E2-4p -&gt; 600
E4-4p -&gt; 700</t>
        </r>
      </text>
    </comment>
    <comment ref="E2025" authorId="0" shapeId="0" xr:uid="{00000000-0006-0000-0100-00002D010000}">
      <text>
        <r>
          <rPr>
            <b/>
            <sz val="9"/>
            <color indexed="81"/>
            <rFont val="Tahoma"/>
            <family val="2"/>
          </rPr>
          <t>Jorge Arturo Espinoza:</t>
        </r>
        <r>
          <rPr>
            <sz val="9"/>
            <color indexed="81"/>
            <rFont val="Tahoma"/>
            <family val="2"/>
          </rPr>
          <t xml:space="preserve">
E1 -&gt; 400
E2 -&gt; 500
E4 -&gt; 600
E1-4p -&gt; 500
E2-4p -&gt; 600
E4-4p -&gt; 700</t>
        </r>
      </text>
    </comment>
    <comment ref="E2038" authorId="0" shapeId="0" xr:uid="{00000000-0006-0000-0100-00002E010000}">
      <text>
        <r>
          <rPr>
            <b/>
            <sz val="9"/>
            <color indexed="81"/>
            <rFont val="Tahoma"/>
            <family val="2"/>
          </rPr>
          <t>Jorge Arturo Espinoza:</t>
        </r>
        <r>
          <rPr>
            <sz val="9"/>
            <color indexed="81"/>
            <rFont val="Tahoma"/>
            <family val="2"/>
          </rPr>
          <t xml:space="preserve">
E1 -&gt; 400
E2 -&gt; 500
E4 -&gt; 600
E1-4p -&gt; 500
E2-4p -&gt; 600
E4-4p -&gt; 700</t>
        </r>
      </text>
    </comment>
    <comment ref="E2039" authorId="0" shapeId="0" xr:uid="{00000000-0006-0000-0100-00002F010000}">
      <text>
        <r>
          <rPr>
            <b/>
            <sz val="9"/>
            <color indexed="81"/>
            <rFont val="Tahoma"/>
            <family val="2"/>
          </rPr>
          <t>Jorge Arturo Espinoza:</t>
        </r>
        <r>
          <rPr>
            <sz val="9"/>
            <color indexed="81"/>
            <rFont val="Tahoma"/>
            <family val="2"/>
          </rPr>
          <t xml:space="preserve">
E1 -&gt; 400
E2 -&gt; 500
E4 -&gt; 600
E1-4p -&gt; 500
E2-4p -&gt; 600
E4-4p -&gt; 700</t>
        </r>
      </text>
    </comment>
    <comment ref="E2052" authorId="0" shapeId="0" xr:uid="{00000000-0006-0000-0100-000030010000}">
      <text>
        <r>
          <rPr>
            <b/>
            <sz val="9"/>
            <color indexed="81"/>
            <rFont val="Tahoma"/>
            <family val="2"/>
          </rPr>
          <t>Jorge Arturo Espinoza:</t>
        </r>
        <r>
          <rPr>
            <sz val="9"/>
            <color indexed="81"/>
            <rFont val="Tahoma"/>
            <family val="2"/>
          </rPr>
          <t xml:space="preserve">
E1 -&gt; 400
E2 -&gt; 500
E4 -&gt; 600
E1-4p -&gt; 500
E2-4p -&gt; 600
E4-4p -&gt; 700</t>
        </r>
      </text>
    </comment>
    <comment ref="E2066" authorId="0" shapeId="0" xr:uid="{00000000-0006-0000-0100-000031010000}">
      <text>
        <r>
          <rPr>
            <b/>
            <sz val="9"/>
            <color indexed="81"/>
            <rFont val="Tahoma"/>
            <family val="2"/>
          </rPr>
          <t>Jorge Arturo Espinoza:</t>
        </r>
        <r>
          <rPr>
            <sz val="9"/>
            <color indexed="81"/>
            <rFont val="Tahoma"/>
            <family val="2"/>
          </rPr>
          <t xml:space="preserve">
E1 -&gt; 400
E2 -&gt; 500
E4 -&gt; 600
E1-4p -&gt; 500
E2-4p -&gt; 600
E4-4p -&gt; 700</t>
        </r>
      </text>
    </comment>
    <comment ref="E2067" authorId="0" shapeId="0" xr:uid="{00000000-0006-0000-0100-000032010000}">
      <text>
        <r>
          <rPr>
            <b/>
            <sz val="9"/>
            <color indexed="81"/>
            <rFont val="Tahoma"/>
            <family val="2"/>
          </rPr>
          <t>Jorge Arturo Espinoza:</t>
        </r>
        <r>
          <rPr>
            <sz val="9"/>
            <color indexed="81"/>
            <rFont val="Tahoma"/>
            <family val="2"/>
          </rPr>
          <t xml:space="preserve">
E1 -&gt; 400
E2 -&gt; 500
E4 -&gt; 600
E1-4p -&gt; 500
E2-4p -&gt; 600
E4-4p -&gt; 700</t>
        </r>
      </text>
    </comment>
    <comment ref="E2073" authorId="0" shapeId="0" xr:uid="{00000000-0006-0000-0100-000033010000}">
      <text>
        <r>
          <rPr>
            <b/>
            <sz val="9"/>
            <color indexed="81"/>
            <rFont val="Tahoma"/>
            <family val="2"/>
          </rPr>
          <t>Jorge Arturo Espinoza:</t>
        </r>
        <r>
          <rPr>
            <sz val="9"/>
            <color indexed="81"/>
            <rFont val="Tahoma"/>
            <family val="2"/>
          </rPr>
          <t xml:space="preserve">
E1 -&gt; 400
E2 -&gt; 500
E4 -&gt; 600
E1-4p -&gt; 500
E2-4p -&gt; 600
E4-4p -&gt; 700</t>
        </r>
      </text>
    </comment>
    <comment ref="B2075" authorId="0" shapeId="0" xr:uid="{00000000-0006-0000-0100-000034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076" authorId="0" shapeId="0" xr:uid="{00000000-0006-0000-0100-000035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077" authorId="0" shapeId="0" xr:uid="{00000000-0006-0000-0100-000036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E2081" authorId="0" shapeId="0" xr:uid="{00000000-0006-0000-0100-000037010000}">
      <text>
        <r>
          <rPr>
            <b/>
            <sz val="9"/>
            <color indexed="81"/>
            <rFont val="Tahoma"/>
            <family val="2"/>
          </rPr>
          <t>Jorge Arturo Espinoza:</t>
        </r>
        <r>
          <rPr>
            <sz val="9"/>
            <color indexed="81"/>
            <rFont val="Tahoma"/>
            <family val="2"/>
          </rPr>
          <t xml:space="preserve">
E1 -&gt; 400
E2 -&gt; 500
E4 -&gt; 600
E1-4p -&gt; 500
E2-4p -&gt; 600
E4-4p -&gt; 700</t>
        </r>
      </text>
    </comment>
    <comment ref="E2082" authorId="0" shapeId="0" xr:uid="{00000000-0006-0000-0100-000038010000}">
      <text>
        <r>
          <rPr>
            <b/>
            <sz val="9"/>
            <color indexed="81"/>
            <rFont val="Tahoma"/>
            <family val="2"/>
          </rPr>
          <t>Jorge Arturo Espinoza:</t>
        </r>
        <r>
          <rPr>
            <sz val="9"/>
            <color indexed="81"/>
            <rFont val="Tahoma"/>
            <family val="2"/>
          </rPr>
          <t xml:space="preserve">
E1 -&gt; 400
E2 -&gt; 500
E4 -&gt; 600
E1-4p -&gt; 500
E2-4p -&gt; 600
E4-4p -&gt; 700</t>
        </r>
      </text>
    </comment>
    <comment ref="E2088" authorId="0" shapeId="0" xr:uid="{00000000-0006-0000-0100-000039010000}">
      <text>
        <r>
          <rPr>
            <b/>
            <sz val="9"/>
            <color indexed="81"/>
            <rFont val="Tahoma"/>
            <family val="2"/>
          </rPr>
          <t>Jorge Arturo Espinoza:</t>
        </r>
        <r>
          <rPr>
            <sz val="9"/>
            <color indexed="81"/>
            <rFont val="Tahoma"/>
            <family val="2"/>
          </rPr>
          <t xml:space="preserve">
E1 -&gt; 400
E2 -&gt; 500
E4 -&gt; 600
E1-4p -&gt; 500
E2-4p -&gt; 600
E4-4p -&gt; 700</t>
        </r>
      </text>
    </comment>
    <comment ref="B2090" authorId="0" shapeId="0" xr:uid="{00000000-0006-0000-0100-00003A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091" authorId="0" shapeId="0" xr:uid="{00000000-0006-0000-0100-00003B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092" authorId="0" shapeId="0" xr:uid="{00000000-0006-0000-0100-00003C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109" authorId="0" shapeId="0" xr:uid="{00000000-0006-0000-0100-00003D010000}">
      <text>
        <r>
          <rPr>
            <b/>
            <sz val="9"/>
            <color indexed="81"/>
            <rFont val="Tahoma"/>
            <family val="2"/>
          </rPr>
          <t>Jorge Arturo Espinoza:</t>
        </r>
        <r>
          <rPr>
            <sz val="9"/>
            <color indexed="81"/>
            <rFont val="Tahoma"/>
            <family val="2"/>
          </rPr>
          <t xml:space="preserve">
FUNCIONA SOLO CON UN T5 AGUAS ARRIBA</t>
        </r>
      </text>
    </comment>
    <comment ref="B2112" authorId="0" shapeId="0" xr:uid="{00000000-0006-0000-0100-00003E010000}">
      <text>
        <r>
          <rPr>
            <b/>
            <sz val="9"/>
            <color indexed="81"/>
            <rFont val="Tahoma"/>
            <family val="2"/>
          </rPr>
          <t>Jorge Arturo Espinoza:</t>
        </r>
        <r>
          <rPr>
            <sz val="9"/>
            <color indexed="81"/>
            <rFont val="Tahoma"/>
            <family val="2"/>
          </rPr>
          <t xml:space="preserve">
FUNCIONA SOLO CON UN T6 AGUAS ARRIBA</t>
        </r>
      </text>
    </comment>
    <comment ref="B2119" authorId="0" shapeId="0" xr:uid="{00000000-0006-0000-0100-00003F010000}">
      <text>
        <r>
          <rPr>
            <b/>
            <sz val="9"/>
            <color indexed="81"/>
            <rFont val="Tahoma"/>
            <family val="2"/>
          </rPr>
          <t>Jorge Arturo Espinoza:</t>
        </r>
        <r>
          <rPr>
            <sz val="9"/>
            <color indexed="81"/>
            <rFont val="Tahoma"/>
            <family val="2"/>
          </rPr>
          <t xml:space="preserve">
FUNCIONA SOLO CON UN T5 AGUAS ARRIBA</t>
        </r>
      </text>
    </comment>
    <comment ref="B2122" authorId="0" shapeId="0" xr:uid="{00000000-0006-0000-0100-000040010000}">
      <text>
        <r>
          <rPr>
            <b/>
            <sz val="9"/>
            <color indexed="81"/>
            <rFont val="Tahoma"/>
            <family val="2"/>
          </rPr>
          <t>Jorge Arturo Espinoza:</t>
        </r>
        <r>
          <rPr>
            <sz val="9"/>
            <color indexed="81"/>
            <rFont val="Tahoma"/>
            <family val="2"/>
          </rPr>
          <t xml:space="preserve">
FUNCIONA SOLO CON UN T6 AGUAS ARRIBA</t>
        </r>
      </text>
    </comment>
    <comment ref="B2197" authorId="0" shapeId="0" xr:uid="{00000000-0006-0000-0100-000041010000}">
      <text>
        <r>
          <rPr>
            <b/>
            <sz val="9"/>
            <color indexed="81"/>
            <rFont val="Tahoma"/>
            <family val="2"/>
          </rPr>
          <t>Jorge Arturo Espinoza:</t>
        </r>
        <r>
          <rPr>
            <sz val="9"/>
            <color indexed="81"/>
            <rFont val="Tahoma"/>
            <family val="2"/>
          </rPr>
          <t xml:space="preserve">
IMPORTACION</t>
        </r>
      </text>
    </comment>
    <comment ref="H2270" authorId="0" shapeId="0" xr:uid="{00000000-0006-0000-0100-000042010000}">
      <text>
        <r>
          <rPr>
            <b/>
            <sz val="9"/>
            <color indexed="81"/>
            <rFont val="Tahoma"/>
            <family val="2"/>
          </rPr>
          <t>Jorge Arturo Espinoza:</t>
        </r>
        <r>
          <rPr>
            <sz val="9"/>
            <color indexed="81"/>
            <rFont val="Tahoma"/>
            <family val="2"/>
          </rPr>
          <t xml:space="preserve">
CORREGIDO</t>
        </r>
      </text>
    </comment>
    <comment ref="H2271" authorId="0" shapeId="0" xr:uid="{00000000-0006-0000-0100-000043010000}">
      <text>
        <r>
          <rPr>
            <b/>
            <sz val="9"/>
            <color indexed="81"/>
            <rFont val="Tahoma"/>
            <family val="2"/>
          </rPr>
          <t>Jorge Arturo Espinoza:</t>
        </r>
        <r>
          <rPr>
            <sz val="9"/>
            <color indexed="81"/>
            <rFont val="Tahoma"/>
            <family val="2"/>
          </rPr>
          <t xml:space="preserve">
CORREGIDO</t>
        </r>
      </text>
    </comment>
    <comment ref="B2292" authorId="0" shapeId="0" xr:uid="{00000000-0006-0000-0100-000044010000}">
      <text>
        <r>
          <rPr>
            <b/>
            <sz val="9"/>
            <color indexed="81"/>
            <rFont val="Tahoma"/>
            <family val="2"/>
          </rPr>
          <t>Jorge Arturo Espinoza:</t>
        </r>
        <r>
          <rPr>
            <sz val="9"/>
            <color indexed="81"/>
            <rFont val="Tahoma"/>
            <family val="2"/>
          </rPr>
          <t xml:space="preserve">
SIN CONTACTO AUX</t>
        </r>
      </text>
    </comment>
    <comment ref="B2293" authorId="0" shapeId="0" xr:uid="{00000000-0006-0000-0100-000045010000}">
      <text>
        <r>
          <rPr>
            <b/>
            <sz val="9"/>
            <color indexed="81"/>
            <rFont val="Tahoma"/>
            <family val="2"/>
          </rPr>
          <t>Jorge Arturo Espinoza:</t>
        </r>
        <r>
          <rPr>
            <sz val="9"/>
            <color indexed="81"/>
            <rFont val="Tahoma"/>
            <family val="2"/>
          </rPr>
          <t xml:space="preserve">
IMPORTACION
1NA+1NC FRONTALES</t>
        </r>
      </text>
    </comment>
    <comment ref="B2295" authorId="0" shapeId="0" xr:uid="{00000000-0006-0000-0100-000046010000}">
      <text>
        <r>
          <rPr>
            <b/>
            <sz val="9"/>
            <color indexed="81"/>
            <rFont val="Tahoma"/>
            <family val="2"/>
          </rPr>
          <t>Jorge Arturo Espinoza:</t>
        </r>
        <r>
          <rPr>
            <sz val="9"/>
            <color indexed="81"/>
            <rFont val="Tahoma"/>
            <family val="2"/>
          </rPr>
          <t xml:space="preserve">
SIN CONTACTO AUX</t>
        </r>
      </text>
    </comment>
    <comment ref="B2296" authorId="0" shapeId="0" xr:uid="{00000000-0006-0000-0100-000047010000}">
      <text>
        <r>
          <rPr>
            <b/>
            <sz val="9"/>
            <color indexed="81"/>
            <rFont val="Tahoma"/>
            <family val="2"/>
          </rPr>
          <t>Jorge Arturo Espinoza:</t>
        </r>
        <r>
          <rPr>
            <sz val="9"/>
            <color indexed="81"/>
            <rFont val="Tahoma"/>
            <family val="2"/>
          </rPr>
          <t xml:space="preserve">
IMPORTACION
1NA+1NC FRONTALES</t>
        </r>
      </text>
    </comment>
    <comment ref="B2299" authorId="0" shapeId="0" xr:uid="{00000000-0006-0000-0100-000048010000}">
      <text>
        <r>
          <rPr>
            <b/>
            <sz val="9"/>
            <color indexed="81"/>
            <rFont val="Tahoma"/>
            <family val="2"/>
          </rPr>
          <t>Jorge Arturo Espinoza:</t>
        </r>
        <r>
          <rPr>
            <sz val="9"/>
            <color indexed="81"/>
            <rFont val="Tahoma"/>
            <family val="2"/>
          </rPr>
          <t xml:space="preserve">
SIN CONTACTO AUX</t>
        </r>
      </text>
    </comment>
    <comment ref="B2300" authorId="0" shapeId="0" xr:uid="{00000000-0006-0000-0100-000049010000}">
      <text>
        <r>
          <rPr>
            <b/>
            <sz val="9"/>
            <color indexed="81"/>
            <rFont val="Tahoma"/>
            <family val="2"/>
          </rPr>
          <t>Jorge Arturo Espinoza:</t>
        </r>
        <r>
          <rPr>
            <sz val="9"/>
            <color indexed="81"/>
            <rFont val="Tahoma"/>
            <family val="2"/>
          </rPr>
          <t xml:space="preserve">
SIN CONTACTO AUX</t>
        </r>
      </text>
    </comment>
    <comment ref="B2301" authorId="0" shapeId="0" xr:uid="{00000000-0006-0000-0100-00004A010000}">
      <text>
        <r>
          <rPr>
            <b/>
            <sz val="9"/>
            <color indexed="81"/>
            <rFont val="Tahoma"/>
            <family val="2"/>
          </rPr>
          <t>Jorge Arturo Espinoza:</t>
        </r>
        <r>
          <rPr>
            <sz val="9"/>
            <color indexed="81"/>
            <rFont val="Tahoma"/>
            <family val="2"/>
          </rPr>
          <t xml:space="preserve">
SIN CONTACTO AUX</t>
        </r>
      </text>
    </comment>
    <comment ref="B2302" authorId="0" shapeId="0" xr:uid="{00000000-0006-0000-0100-00004B010000}">
      <text>
        <r>
          <rPr>
            <b/>
            <sz val="9"/>
            <color indexed="81"/>
            <rFont val="Tahoma"/>
            <family val="2"/>
          </rPr>
          <t>Jorge Arturo Espinoza:</t>
        </r>
        <r>
          <rPr>
            <sz val="9"/>
            <color indexed="81"/>
            <rFont val="Tahoma"/>
            <family val="2"/>
          </rPr>
          <t xml:space="preserve">
SIN CONTACTO AUX</t>
        </r>
      </text>
    </comment>
    <comment ref="B2303" authorId="0" shapeId="0" xr:uid="{00000000-0006-0000-0100-00004C010000}">
      <text>
        <r>
          <rPr>
            <b/>
            <sz val="9"/>
            <color indexed="81"/>
            <rFont val="Tahoma"/>
            <family val="2"/>
          </rPr>
          <t>Jorge Arturo Espinoza:</t>
        </r>
        <r>
          <rPr>
            <sz val="9"/>
            <color indexed="81"/>
            <rFont val="Tahoma"/>
            <family val="2"/>
          </rPr>
          <t xml:space="preserve">
SIN CONTACTO AUX</t>
        </r>
      </text>
    </comment>
    <comment ref="B2304" authorId="0" shapeId="0" xr:uid="{00000000-0006-0000-0100-00004D010000}">
      <text>
        <r>
          <rPr>
            <b/>
            <sz val="9"/>
            <color indexed="81"/>
            <rFont val="Tahoma"/>
            <family val="2"/>
          </rPr>
          <t>Jorge Arturo Espinoza:</t>
        </r>
        <r>
          <rPr>
            <sz val="9"/>
            <color indexed="81"/>
            <rFont val="Tahoma"/>
            <family val="2"/>
          </rPr>
          <t xml:space="preserve">
SIN CONTACTO AUX</t>
        </r>
      </text>
    </comment>
    <comment ref="B2305" authorId="0" shapeId="0" xr:uid="{00000000-0006-0000-0100-00004E010000}">
      <text>
        <r>
          <rPr>
            <b/>
            <sz val="9"/>
            <color indexed="81"/>
            <rFont val="Tahoma"/>
            <family val="2"/>
          </rPr>
          <t>Jorge Arturo Espinoza:</t>
        </r>
        <r>
          <rPr>
            <sz val="9"/>
            <color indexed="81"/>
            <rFont val="Tahoma"/>
            <family val="2"/>
          </rPr>
          <t xml:space="preserve">
SIN CONTACTO AUX</t>
        </r>
      </text>
    </comment>
    <comment ref="B2306" authorId="0" shapeId="0" xr:uid="{00000000-0006-0000-0100-00004F010000}">
      <text>
        <r>
          <rPr>
            <b/>
            <sz val="9"/>
            <color indexed="81"/>
            <rFont val="Tahoma"/>
            <family val="2"/>
          </rPr>
          <t>Jorge Arturo Espinoza:</t>
        </r>
        <r>
          <rPr>
            <sz val="9"/>
            <color indexed="81"/>
            <rFont val="Tahoma"/>
            <family val="2"/>
          </rPr>
          <t xml:space="preserve">
SIN CONTACTO AUX</t>
        </r>
      </text>
    </comment>
    <comment ref="B2307" authorId="0" shapeId="0" xr:uid="{00000000-0006-0000-0100-000050010000}">
      <text>
        <r>
          <rPr>
            <b/>
            <sz val="9"/>
            <color indexed="81"/>
            <rFont val="Tahoma"/>
            <family val="2"/>
          </rPr>
          <t>Jorge Arturo Espinoza:</t>
        </r>
        <r>
          <rPr>
            <sz val="9"/>
            <color indexed="81"/>
            <rFont val="Tahoma"/>
            <family val="2"/>
          </rPr>
          <t xml:space="preserve">
SIN CONTACTO AUX</t>
        </r>
      </text>
    </comment>
    <comment ref="B2308" authorId="0" shapeId="0" xr:uid="{00000000-0006-0000-0100-000051010000}">
      <text>
        <r>
          <rPr>
            <b/>
            <sz val="9"/>
            <color indexed="81"/>
            <rFont val="Tahoma"/>
            <family val="2"/>
          </rPr>
          <t>Jorge Arturo Espinoza:</t>
        </r>
        <r>
          <rPr>
            <sz val="9"/>
            <color indexed="81"/>
            <rFont val="Tahoma"/>
            <family val="2"/>
          </rPr>
          <t xml:space="preserve">
SIN CONTACTO AUX</t>
        </r>
      </text>
    </comment>
    <comment ref="B2319" authorId="0" shapeId="0" xr:uid="{00000000-0006-0000-0100-000052010000}">
      <text>
        <r>
          <rPr>
            <b/>
            <sz val="9"/>
            <color indexed="81"/>
            <rFont val="Tahoma"/>
            <family val="2"/>
          </rPr>
          <t>Jorge Arturo Espinoza:</t>
        </r>
        <r>
          <rPr>
            <sz val="9"/>
            <color indexed="81"/>
            <rFont val="Tahoma"/>
            <family val="2"/>
          </rPr>
          <t xml:space="preserve">
SIN CONTACTO AUX</t>
        </r>
      </text>
    </comment>
    <comment ref="B2320" authorId="0" shapeId="0" xr:uid="{00000000-0006-0000-0100-000053010000}">
      <text>
        <r>
          <rPr>
            <b/>
            <sz val="9"/>
            <color indexed="81"/>
            <rFont val="Tahoma"/>
            <family val="2"/>
          </rPr>
          <t>Jorge Arturo Espinoza:</t>
        </r>
        <r>
          <rPr>
            <sz val="9"/>
            <color indexed="81"/>
            <rFont val="Tahoma"/>
            <family val="2"/>
          </rPr>
          <t xml:space="preserve">
SIN CONTACTO AUX</t>
        </r>
      </text>
    </comment>
    <comment ref="B2321" authorId="0" shapeId="0" xr:uid="{00000000-0006-0000-0100-000054010000}">
      <text>
        <r>
          <rPr>
            <b/>
            <sz val="9"/>
            <color indexed="81"/>
            <rFont val="Tahoma"/>
            <family val="2"/>
          </rPr>
          <t>Jorge Arturo Espinoza:</t>
        </r>
        <r>
          <rPr>
            <sz val="9"/>
            <color indexed="81"/>
            <rFont val="Tahoma"/>
            <family val="2"/>
          </rPr>
          <t xml:space="preserve">
SIN CONTACTO AUX</t>
        </r>
      </text>
    </comment>
    <comment ref="B2322" authorId="0" shapeId="0" xr:uid="{00000000-0006-0000-0100-000055010000}">
      <text>
        <r>
          <rPr>
            <b/>
            <sz val="9"/>
            <color indexed="81"/>
            <rFont val="Tahoma"/>
            <family val="2"/>
          </rPr>
          <t>Jorge Arturo Espinoza:</t>
        </r>
        <r>
          <rPr>
            <sz val="9"/>
            <color indexed="81"/>
            <rFont val="Tahoma"/>
            <family val="2"/>
          </rPr>
          <t xml:space="preserve">
SIN CONTACTO AUX</t>
        </r>
      </text>
    </comment>
    <comment ref="B2323" authorId="0" shapeId="0" xr:uid="{00000000-0006-0000-0100-000056010000}">
      <text>
        <r>
          <rPr>
            <b/>
            <sz val="9"/>
            <color indexed="81"/>
            <rFont val="Tahoma"/>
            <family val="2"/>
          </rPr>
          <t>Jorge Arturo Espinoza:</t>
        </r>
        <r>
          <rPr>
            <sz val="9"/>
            <color indexed="81"/>
            <rFont val="Tahoma"/>
            <family val="2"/>
          </rPr>
          <t xml:space="preserve">
SIN CONTACTO AUX</t>
        </r>
      </text>
    </comment>
    <comment ref="G2330" authorId="0" shapeId="0" xr:uid="{00000000-0006-0000-0100-000057010000}">
      <text>
        <r>
          <rPr>
            <b/>
            <sz val="9"/>
            <color indexed="81"/>
            <rFont val="Tahoma"/>
            <family val="2"/>
          </rPr>
          <t>Jorge Arturo Espinoza:</t>
        </r>
        <r>
          <rPr>
            <sz val="9"/>
            <color indexed="81"/>
            <rFont val="Tahoma"/>
            <family val="2"/>
          </rPr>
          <t xml:space="preserve">
tambien 22A igual que el AF26 ??</t>
        </r>
      </text>
    </comment>
    <comment ref="B2343" authorId="0" shapeId="0" xr:uid="{00000000-0006-0000-0100-000058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H2343" authorId="0" shapeId="0" xr:uid="{00000000-0006-0000-0100-000059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G2364" authorId="0" shapeId="0" xr:uid="{00000000-0006-0000-0100-00005A010000}">
      <text>
        <r>
          <rPr>
            <b/>
            <sz val="9"/>
            <color indexed="81"/>
            <rFont val="Tahoma"/>
            <family val="2"/>
          </rPr>
          <t>Jorge Arturo Espinoza:</t>
        </r>
        <r>
          <rPr>
            <sz val="9"/>
            <color indexed="81"/>
            <rFont val="Tahoma"/>
            <family val="2"/>
          </rPr>
          <t xml:space="preserve">
kVAR en LdP difiere del catálogo de fábrica. Se ha colocado lo que figura en catalogo de los UA-RA</t>
        </r>
      </text>
    </comment>
    <comment ref="C2367" authorId="0" shapeId="0" xr:uid="{00000000-0006-0000-0100-00005B010000}">
      <text>
        <r>
          <rPr>
            <b/>
            <sz val="9"/>
            <color indexed="81"/>
            <rFont val="Tahoma"/>
            <family val="2"/>
          </rPr>
          <t>Jorge Arturo Espinoza:</t>
        </r>
        <r>
          <rPr>
            <sz val="9"/>
            <color indexed="81"/>
            <rFont val="Tahoma"/>
            <family val="2"/>
          </rPr>
          <t xml:space="preserve">
raro, verificar</t>
        </r>
      </text>
    </comment>
    <comment ref="C2368" authorId="0" shapeId="0" xr:uid="{00000000-0006-0000-0100-00005C010000}">
      <text>
        <r>
          <rPr>
            <b/>
            <sz val="9"/>
            <color indexed="81"/>
            <rFont val="Tahoma"/>
            <family val="2"/>
          </rPr>
          <t>Jorge Arturo Espinoza:</t>
        </r>
        <r>
          <rPr>
            <sz val="9"/>
            <color indexed="81"/>
            <rFont val="Tahoma"/>
            <family val="2"/>
          </rPr>
          <t xml:space="preserve">
raro, verificar</t>
        </r>
      </text>
    </comment>
    <comment ref="C2371" authorId="0" shapeId="0" xr:uid="{00000000-0006-0000-0100-00005D010000}">
      <text>
        <r>
          <rPr>
            <b/>
            <sz val="9"/>
            <color indexed="81"/>
            <rFont val="Tahoma"/>
            <family val="2"/>
          </rPr>
          <t>Jorge Arturo Espinoza:</t>
        </r>
        <r>
          <rPr>
            <sz val="9"/>
            <color indexed="81"/>
            <rFont val="Tahoma"/>
            <family val="2"/>
          </rPr>
          <t xml:space="preserve">
raro, verificar</t>
        </r>
      </text>
    </comment>
    <comment ref="C2441" authorId="1" shapeId="0" xr:uid="{00000000-0006-0000-0100-00005E010000}">
      <text>
        <r>
          <rPr>
            <b/>
            <sz val="9"/>
            <color indexed="81"/>
            <rFont val="Tahoma"/>
            <family val="2"/>
          </rPr>
          <t>Roberto Meza:</t>
        </r>
        <r>
          <rPr>
            <sz val="9"/>
            <color indexed="81"/>
            <rFont val="Tahoma"/>
            <family val="2"/>
          </rPr>
          <t xml:space="preserve">
Falta actualizar precio.</t>
        </r>
      </text>
    </comment>
    <comment ref="G2513" authorId="0" shapeId="0" xr:uid="{00000000-0006-0000-0100-00005F010000}">
      <text>
        <r>
          <rPr>
            <b/>
            <sz val="9"/>
            <color indexed="81"/>
            <rFont val="Tahoma"/>
            <family val="2"/>
          </rPr>
          <t>Jorge Arturo Espinoza:</t>
        </r>
        <r>
          <rPr>
            <sz val="9"/>
            <color indexed="81"/>
            <rFont val="Tahoma"/>
            <family val="2"/>
          </rPr>
          <t xml:space="preserve">
Es desde 230V ??</t>
        </r>
      </text>
    </comment>
    <comment ref="G2514" authorId="0" shapeId="0" xr:uid="{00000000-0006-0000-0100-000060010000}">
      <text>
        <r>
          <rPr>
            <b/>
            <sz val="9"/>
            <color indexed="81"/>
            <rFont val="Tahoma"/>
            <family val="2"/>
          </rPr>
          <t>Jorge Arturo Espinoza:</t>
        </r>
        <r>
          <rPr>
            <sz val="9"/>
            <color indexed="81"/>
            <rFont val="Tahoma"/>
            <family val="2"/>
          </rPr>
          <t xml:space="preserve">
Es desde 230V ??</t>
        </r>
      </text>
    </comment>
    <comment ref="G2515" authorId="0" shapeId="0" xr:uid="{00000000-0006-0000-0100-000061010000}">
      <text>
        <r>
          <rPr>
            <b/>
            <sz val="9"/>
            <color indexed="81"/>
            <rFont val="Tahoma"/>
            <family val="2"/>
          </rPr>
          <t>Jorge Arturo Espinoza:</t>
        </r>
        <r>
          <rPr>
            <sz val="9"/>
            <color indexed="81"/>
            <rFont val="Tahoma"/>
            <family val="2"/>
          </rPr>
          <t xml:space="preserve">
Es desde 230V ??</t>
        </r>
      </text>
    </comment>
    <comment ref="G2517" authorId="0" shapeId="0" xr:uid="{00000000-0006-0000-0100-000062010000}">
      <text>
        <r>
          <rPr>
            <b/>
            <sz val="9"/>
            <color indexed="81"/>
            <rFont val="Tahoma"/>
            <family val="2"/>
          </rPr>
          <t>Jorge Arturo Espinoza:</t>
        </r>
        <r>
          <rPr>
            <sz val="9"/>
            <color indexed="81"/>
            <rFont val="Tahoma"/>
            <family val="2"/>
          </rPr>
          <t xml:space="preserve">
Es desde 230V ??</t>
        </r>
      </text>
    </comment>
    <comment ref="G2518" authorId="0" shapeId="0" xr:uid="{00000000-0006-0000-0100-000063010000}">
      <text>
        <r>
          <rPr>
            <b/>
            <sz val="9"/>
            <color indexed="81"/>
            <rFont val="Tahoma"/>
            <family val="2"/>
          </rPr>
          <t>Jorge Arturo Espinoza:</t>
        </r>
        <r>
          <rPr>
            <sz val="9"/>
            <color indexed="81"/>
            <rFont val="Tahoma"/>
            <family val="2"/>
          </rPr>
          <t xml:space="preserve">
Es desde 230V ??</t>
        </r>
      </text>
    </comment>
    <comment ref="G2519" authorId="0" shapeId="0" xr:uid="{00000000-0006-0000-0100-000064010000}">
      <text>
        <r>
          <rPr>
            <b/>
            <sz val="9"/>
            <color indexed="81"/>
            <rFont val="Tahoma"/>
            <family val="2"/>
          </rPr>
          <t>Jorge Arturo Espinoza:</t>
        </r>
        <r>
          <rPr>
            <sz val="9"/>
            <color indexed="81"/>
            <rFont val="Tahoma"/>
            <family val="2"/>
          </rPr>
          <t xml:space="preserve">
Es desde 230V ??</t>
        </r>
      </text>
    </comment>
    <comment ref="G2521" authorId="0" shapeId="0" xr:uid="{00000000-0006-0000-0100-000065010000}">
      <text>
        <r>
          <rPr>
            <b/>
            <sz val="9"/>
            <color indexed="81"/>
            <rFont val="Tahoma"/>
            <family val="2"/>
          </rPr>
          <t>Jorge Arturo Espinoza:</t>
        </r>
        <r>
          <rPr>
            <sz val="9"/>
            <color indexed="81"/>
            <rFont val="Tahoma"/>
            <family val="2"/>
          </rPr>
          <t xml:space="preserve">
Es desde 230V ??</t>
        </r>
      </text>
    </comment>
    <comment ref="G2522" authorId="0" shapeId="0" xr:uid="{00000000-0006-0000-0100-000066010000}">
      <text>
        <r>
          <rPr>
            <b/>
            <sz val="9"/>
            <color indexed="81"/>
            <rFont val="Tahoma"/>
            <family val="2"/>
          </rPr>
          <t>Jorge Arturo Espinoza:</t>
        </r>
        <r>
          <rPr>
            <sz val="9"/>
            <color indexed="81"/>
            <rFont val="Tahoma"/>
            <family val="2"/>
          </rPr>
          <t xml:space="preserve">
Es desde 230V ??</t>
        </r>
      </text>
    </comment>
    <comment ref="G2523" authorId="0" shapeId="0" xr:uid="{00000000-0006-0000-0100-000067010000}">
      <text>
        <r>
          <rPr>
            <b/>
            <sz val="9"/>
            <color indexed="81"/>
            <rFont val="Tahoma"/>
            <family val="2"/>
          </rPr>
          <t>Jorge Arturo Espinoza:</t>
        </r>
        <r>
          <rPr>
            <sz val="9"/>
            <color indexed="81"/>
            <rFont val="Tahoma"/>
            <family val="2"/>
          </rPr>
          <t xml:space="preserve">
Es desde 230V ??</t>
        </r>
      </text>
    </comment>
    <comment ref="G2525" authorId="0" shapeId="0" xr:uid="{00000000-0006-0000-0100-000068010000}">
      <text>
        <r>
          <rPr>
            <b/>
            <sz val="9"/>
            <color indexed="81"/>
            <rFont val="Tahoma"/>
            <family val="2"/>
          </rPr>
          <t>Jorge Arturo Espinoza:</t>
        </r>
        <r>
          <rPr>
            <sz val="9"/>
            <color indexed="81"/>
            <rFont val="Tahoma"/>
            <family val="2"/>
          </rPr>
          <t xml:space="preserve">
Es desde 230V ??</t>
        </r>
      </text>
    </comment>
    <comment ref="G2526" authorId="0" shapeId="0" xr:uid="{00000000-0006-0000-0100-000069010000}">
      <text>
        <r>
          <rPr>
            <b/>
            <sz val="9"/>
            <color indexed="81"/>
            <rFont val="Tahoma"/>
            <family val="2"/>
          </rPr>
          <t>Jorge Arturo Espinoza:</t>
        </r>
        <r>
          <rPr>
            <sz val="9"/>
            <color indexed="81"/>
            <rFont val="Tahoma"/>
            <family val="2"/>
          </rPr>
          <t xml:space="preserve">
Es desde 230V ??</t>
        </r>
      </text>
    </comment>
    <comment ref="G2527" authorId="0" shapeId="0" xr:uid="{00000000-0006-0000-0100-00006A010000}">
      <text>
        <r>
          <rPr>
            <b/>
            <sz val="9"/>
            <color indexed="81"/>
            <rFont val="Tahoma"/>
            <family val="2"/>
          </rPr>
          <t>Jorge Arturo Espinoza:</t>
        </r>
        <r>
          <rPr>
            <sz val="9"/>
            <color indexed="81"/>
            <rFont val="Tahoma"/>
            <family val="2"/>
          </rPr>
          <t xml:space="preserve">
Es desde 230V ??</t>
        </r>
      </text>
    </comment>
    <comment ref="B2570" authorId="0" shapeId="0" xr:uid="{00000000-0006-0000-0100-00006B010000}">
      <text>
        <r>
          <rPr>
            <b/>
            <sz val="9"/>
            <color indexed="81"/>
            <rFont val="Tahoma"/>
            <family val="2"/>
          </rPr>
          <t>Jorge Arturo Espinoza:</t>
        </r>
        <r>
          <rPr>
            <sz val="9"/>
            <color indexed="81"/>
            <rFont val="Tahoma"/>
            <family val="2"/>
          </rPr>
          <t xml:space="preserve">
Necesario una sola herramienta</t>
        </r>
      </text>
    </comment>
    <comment ref="B2575" authorId="0" shapeId="0" xr:uid="{00000000-0006-0000-0100-00006C010000}">
      <text>
        <r>
          <rPr>
            <b/>
            <sz val="9"/>
            <color indexed="81"/>
            <rFont val="Tahoma"/>
            <family val="2"/>
          </rPr>
          <t>Jorge Arturo Espinoza:</t>
        </r>
        <r>
          <rPr>
            <sz val="9"/>
            <color indexed="81"/>
            <rFont val="Tahoma"/>
            <family val="2"/>
          </rPr>
          <t xml:space="preserve">
Necesario una sola herramienta</t>
        </r>
      </text>
    </comment>
    <comment ref="D2629" authorId="0" shapeId="0" xr:uid="{00000000-0006-0000-0100-00006D010000}">
      <text>
        <r>
          <rPr>
            <b/>
            <sz val="9"/>
            <color indexed="81"/>
            <rFont val="Tahoma"/>
            <family val="2"/>
          </rPr>
          <t>Jorge Arturo Espinoza:</t>
        </r>
        <r>
          <rPr>
            <sz val="9"/>
            <color indexed="81"/>
            <rFont val="Tahoma"/>
            <family val="2"/>
          </rPr>
          <t xml:space="preserve">
FALTA CONFIRMAR EL DESCUENTO</t>
        </r>
      </text>
    </comment>
    <comment ref="D2630" authorId="0" shapeId="0" xr:uid="{00000000-0006-0000-0100-00006E010000}">
      <text>
        <r>
          <rPr>
            <b/>
            <sz val="9"/>
            <color indexed="81"/>
            <rFont val="Tahoma"/>
            <family val="2"/>
          </rPr>
          <t>Jorge Arturo Espinoza:</t>
        </r>
        <r>
          <rPr>
            <sz val="9"/>
            <color indexed="81"/>
            <rFont val="Tahoma"/>
            <family val="2"/>
          </rPr>
          <t xml:space="preserve">
FALTA CONFIRMAR EL DESCUENTO</t>
        </r>
      </text>
    </comment>
    <comment ref="D2631" authorId="0" shapeId="0" xr:uid="{00000000-0006-0000-0100-00006F010000}">
      <text>
        <r>
          <rPr>
            <b/>
            <sz val="9"/>
            <color indexed="81"/>
            <rFont val="Tahoma"/>
            <family val="2"/>
          </rPr>
          <t>Jorge Arturo Espinoza:</t>
        </r>
        <r>
          <rPr>
            <sz val="9"/>
            <color indexed="81"/>
            <rFont val="Tahoma"/>
            <family val="2"/>
          </rPr>
          <t xml:space="preserve">
FALTA CONFIRMAR EL DESCUENTO</t>
        </r>
      </text>
    </comment>
    <comment ref="D2632" authorId="0" shapeId="0" xr:uid="{00000000-0006-0000-0100-000070010000}">
      <text>
        <r>
          <rPr>
            <b/>
            <sz val="9"/>
            <color indexed="81"/>
            <rFont val="Tahoma"/>
            <family val="2"/>
          </rPr>
          <t>Jorge Arturo Espinoza:</t>
        </r>
        <r>
          <rPr>
            <sz val="9"/>
            <color indexed="81"/>
            <rFont val="Tahoma"/>
            <family val="2"/>
          </rPr>
          <t xml:space="preserve">
FALTA CONFIRMAR EL DESCUENTO</t>
        </r>
      </text>
    </comment>
    <comment ref="D2633" authorId="0" shapeId="0" xr:uid="{00000000-0006-0000-0100-000071010000}">
      <text>
        <r>
          <rPr>
            <b/>
            <sz val="9"/>
            <color indexed="81"/>
            <rFont val="Tahoma"/>
            <family val="2"/>
          </rPr>
          <t>Jorge Arturo Espinoza:</t>
        </r>
        <r>
          <rPr>
            <sz val="9"/>
            <color indexed="81"/>
            <rFont val="Tahoma"/>
            <family val="2"/>
          </rPr>
          <t xml:space="preserve">
FALTA CONFIRMAR EL DESCUENTO</t>
        </r>
      </text>
    </comment>
    <comment ref="D2634" authorId="0" shapeId="0" xr:uid="{00000000-0006-0000-0100-000072010000}">
      <text>
        <r>
          <rPr>
            <b/>
            <sz val="9"/>
            <color indexed="81"/>
            <rFont val="Tahoma"/>
            <family val="2"/>
          </rPr>
          <t>Jorge Arturo Espinoza:</t>
        </r>
        <r>
          <rPr>
            <sz val="9"/>
            <color indexed="81"/>
            <rFont val="Tahoma"/>
            <family val="2"/>
          </rPr>
          <t xml:space="preserve">
FALTA CONFIRMAR EL DESCUENTO</t>
        </r>
      </text>
    </comment>
    <comment ref="D2635" authorId="0" shapeId="0" xr:uid="{00000000-0006-0000-0100-000073010000}">
      <text>
        <r>
          <rPr>
            <b/>
            <sz val="9"/>
            <color indexed="81"/>
            <rFont val="Tahoma"/>
            <family val="2"/>
          </rPr>
          <t>Jorge Arturo Espinoza:</t>
        </r>
        <r>
          <rPr>
            <sz val="9"/>
            <color indexed="81"/>
            <rFont val="Tahoma"/>
            <family val="2"/>
          </rPr>
          <t xml:space="preserve">
FALTA CONFIRMAR EL DESCUENTO</t>
        </r>
      </text>
    </comment>
    <comment ref="D2641" authorId="0" shapeId="0" xr:uid="{00000000-0006-0000-0100-000074010000}">
      <text>
        <r>
          <rPr>
            <b/>
            <sz val="9"/>
            <color indexed="81"/>
            <rFont val="Tahoma"/>
            <family val="2"/>
          </rPr>
          <t>Jorge Arturo Espinoza:</t>
        </r>
        <r>
          <rPr>
            <sz val="9"/>
            <color indexed="81"/>
            <rFont val="Tahoma"/>
            <family val="2"/>
          </rPr>
          <t xml:space="preserve">
FALTA CONFIRMAR EL DESCUENTO</t>
        </r>
      </text>
    </comment>
    <comment ref="D2642" authorId="0" shapeId="0" xr:uid="{00000000-0006-0000-0100-000075010000}">
      <text>
        <r>
          <rPr>
            <b/>
            <sz val="9"/>
            <color indexed="81"/>
            <rFont val="Tahoma"/>
            <family val="2"/>
          </rPr>
          <t>Jorge Arturo Espinoza:</t>
        </r>
        <r>
          <rPr>
            <sz val="9"/>
            <color indexed="81"/>
            <rFont val="Tahoma"/>
            <family val="2"/>
          </rPr>
          <t xml:space="preserve">
FALTA CONFIRMAR EL DESCUENTO</t>
        </r>
      </text>
    </comment>
    <comment ref="D2643" authorId="0" shapeId="0" xr:uid="{00000000-0006-0000-0100-000076010000}">
      <text>
        <r>
          <rPr>
            <b/>
            <sz val="9"/>
            <color indexed="81"/>
            <rFont val="Tahoma"/>
            <family val="2"/>
          </rPr>
          <t>Jorge Arturo Espinoza:</t>
        </r>
        <r>
          <rPr>
            <sz val="9"/>
            <color indexed="81"/>
            <rFont val="Tahoma"/>
            <family val="2"/>
          </rPr>
          <t xml:space="preserve">
FALTA CONFIRMAR EL DESCUENTO</t>
        </r>
      </text>
    </comment>
    <comment ref="D2644" authorId="0" shapeId="0" xr:uid="{00000000-0006-0000-0100-000077010000}">
      <text>
        <r>
          <rPr>
            <b/>
            <sz val="9"/>
            <color indexed="81"/>
            <rFont val="Tahoma"/>
            <family val="2"/>
          </rPr>
          <t>Jorge Arturo Espinoza:</t>
        </r>
        <r>
          <rPr>
            <sz val="9"/>
            <color indexed="81"/>
            <rFont val="Tahoma"/>
            <family val="2"/>
          </rPr>
          <t xml:space="preserve">
FALTA CONFIRMAR EL DESCUENTO</t>
        </r>
      </text>
    </comment>
    <comment ref="D2649" authorId="0" shapeId="0" xr:uid="{00000000-0006-0000-0100-000078010000}">
      <text>
        <r>
          <rPr>
            <b/>
            <sz val="9"/>
            <color indexed="81"/>
            <rFont val="Tahoma"/>
            <family val="2"/>
          </rPr>
          <t>Jorge Arturo Espinoza:</t>
        </r>
        <r>
          <rPr>
            <sz val="9"/>
            <color indexed="81"/>
            <rFont val="Tahoma"/>
            <family val="2"/>
          </rPr>
          <t xml:space="preserve">
FALTA CONFIRMAR EL DESCUENTO</t>
        </r>
      </text>
    </comment>
    <comment ref="D2650" authorId="0" shapeId="0" xr:uid="{00000000-0006-0000-0100-000079010000}">
      <text>
        <r>
          <rPr>
            <b/>
            <sz val="9"/>
            <color indexed="81"/>
            <rFont val="Tahoma"/>
            <family val="2"/>
          </rPr>
          <t>Jorge Arturo Espinoza:</t>
        </r>
        <r>
          <rPr>
            <sz val="9"/>
            <color indexed="81"/>
            <rFont val="Tahoma"/>
            <family val="2"/>
          </rPr>
          <t xml:space="preserve">
FALTA CONFIRMAR EL DESCUENTO</t>
        </r>
      </text>
    </comment>
    <comment ref="D2651" authorId="0" shapeId="0" xr:uid="{00000000-0006-0000-0100-00007A010000}">
      <text>
        <r>
          <rPr>
            <b/>
            <sz val="9"/>
            <color indexed="81"/>
            <rFont val="Tahoma"/>
            <family val="2"/>
          </rPr>
          <t>Jorge Arturo Espinoza:</t>
        </r>
        <r>
          <rPr>
            <sz val="9"/>
            <color indexed="81"/>
            <rFont val="Tahoma"/>
            <family val="2"/>
          </rPr>
          <t xml:space="preserve">
FALTA CONFIRMAR EL DESCUENTO</t>
        </r>
      </text>
    </comment>
    <comment ref="D2652" authorId="0" shapeId="0" xr:uid="{00000000-0006-0000-0100-00007B010000}">
      <text>
        <r>
          <rPr>
            <b/>
            <sz val="9"/>
            <color indexed="81"/>
            <rFont val="Tahoma"/>
            <family val="2"/>
          </rPr>
          <t>Jorge Arturo Espinoza:</t>
        </r>
        <r>
          <rPr>
            <sz val="9"/>
            <color indexed="81"/>
            <rFont val="Tahoma"/>
            <family val="2"/>
          </rPr>
          <t xml:space="preserve">
FALTA CONFIRMAR EL DESCUENTO</t>
        </r>
      </text>
    </comment>
    <comment ref="D2656" authorId="0" shapeId="0" xr:uid="{00000000-0006-0000-0100-00007C010000}">
      <text>
        <r>
          <rPr>
            <b/>
            <sz val="9"/>
            <color indexed="81"/>
            <rFont val="Tahoma"/>
            <family val="2"/>
          </rPr>
          <t>Jorge Arturo Espinoza:</t>
        </r>
        <r>
          <rPr>
            <sz val="9"/>
            <color indexed="81"/>
            <rFont val="Tahoma"/>
            <family val="2"/>
          </rPr>
          <t xml:space="preserve">
FALTA CONFIRMAR EL DESCUENTO</t>
        </r>
      </text>
    </comment>
    <comment ref="D2657" authorId="0" shapeId="0" xr:uid="{00000000-0006-0000-0100-00007D010000}">
      <text>
        <r>
          <rPr>
            <b/>
            <sz val="9"/>
            <color indexed="81"/>
            <rFont val="Tahoma"/>
            <family val="2"/>
          </rPr>
          <t>Jorge Arturo Espinoza:</t>
        </r>
        <r>
          <rPr>
            <sz val="9"/>
            <color indexed="81"/>
            <rFont val="Tahoma"/>
            <family val="2"/>
          </rPr>
          <t xml:space="preserve">
FALTA CONFIRMAR EL DESCUENTO</t>
        </r>
      </text>
    </comment>
    <comment ref="C2688" authorId="2" shapeId="0" xr:uid="{00000000-0006-0000-0100-00007E010000}">
      <text>
        <r>
          <rPr>
            <b/>
            <sz val="9"/>
            <color indexed="81"/>
            <rFont val="Tahoma"/>
            <family val="2"/>
          </rPr>
          <t>Dario Martinez:</t>
        </r>
        <r>
          <rPr>
            <sz val="9"/>
            <color indexed="81"/>
            <rFont val="Tahoma"/>
            <family val="2"/>
          </rPr>
          <t xml:space="preserve">
Se aumento 15% por el mandil.</t>
        </r>
      </text>
    </comment>
    <comment ref="D2767" authorId="0" shapeId="0" xr:uid="{00000000-0006-0000-0100-00007F010000}">
      <text>
        <r>
          <rPr>
            <b/>
            <sz val="9"/>
            <color indexed="81"/>
            <rFont val="Tahoma"/>
            <family val="2"/>
          </rPr>
          <t>Jorge Arturo Espinoza:</t>
        </r>
        <r>
          <rPr>
            <sz val="9"/>
            <color indexed="81"/>
            <rFont val="Tahoma"/>
            <family val="2"/>
          </rPr>
          <t xml:space="preserve">
FALTA CONFIRMAR EL DESCUENTO</t>
        </r>
      </text>
    </comment>
    <comment ref="D2768" authorId="0" shapeId="0" xr:uid="{00000000-0006-0000-0100-000080010000}">
      <text>
        <r>
          <rPr>
            <b/>
            <sz val="9"/>
            <color indexed="81"/>
            <rFont val="Tahoma"/>
            <family val="2"/>
          </rPr>
          <t>Jorge Arturo Espinoza:</t>
        </r>
        <r>
          <rPr>
            <sz val="9"/>
            <color indexed="81"/>
            <rFont val="Tahoma"/>
            <family val="2"/>
          </rPr>
          <t xml:space="preserve">
FALTA CONFIRMAR EL DESCUENTO</t>
        </r>
      </text>
    </comment>
    <comment ref="D2769" authorId="0" shapeId="0" xr:uid="{00000000-0006-0000-0100-000081010000}">
      <text>
        <r>
          <rPr>
            <b/>
            <sz val="9"/>
            <color indexed="81"/>
            <rFont val="Tahoma"/>
            <family val="2"/>
          </rPr>
          <t>Jorge Arturo Espinoza:</t>
        </r>
        <r>
          <rPr>
            <sz val="9"/>
            <color indexed="81"/>
            <rFont val="Tahoma"/>
            <family val="2"/>
          </rPr>
          <t xml:space="preserve">
FALTA CONFIRMAR EL DESCUENTO</t>
        </r>
      </text>
    </comment>
    <comment ref="D2770" authorId="0" shapeId="0" xr:uid="{00000000-0006-0000-0100-000082010000}">
      <text>
        <r>
          <rPr>
            <b/>
            <sz val="9"/>
            <color indexed="81"/>
            <rFont val="Tahoma"/>
            <family val="2"/>
          </rPr>
          <t>Jorge Arturo Espinoza:</t>
        </r>
        <r>
          <rPr>
            <sz val="9"/>
            <color indexed="81"/>
            <rFont val="Tahoma"/>
            <family val="2"/>
          </rPr>
          <t xml:space="preserve">
FALTA CONFIRMAR EL DESCUENTO</t>
        </r>
      </text>
    </comment>
    <comment ref="D2771" authorId="0" shapeId="0" xr:uid="{00000000-0006-0000-0100-000083010000}">
      <text>
        <r>
          <rPr>
            <b/>
            <sz val="9"/>
            <color indexed="81"/>
            <rFont val="Tahoma"/>
            <family val="2"/>
          </rPr>
          <t>Jorge Arturo Espinoza:</t>
        </r>
        <r>
          <rPr>
            <sz val="9"/>
            <color indexed="81"/>
            <rFont val="Tahoma"/>
            <family val="2"/>
          </rPr>
          <t xml:space="preserve">
FALTA CONFIRMAR EL DESCUENTO</t>
        </r>
      </text>
    </comment>
    <comment ref="D2772" authorId="0" shapeId="0" xr:uid="{00000000-0006-0000-0100-000084010000}">
      <text>
        <r>
          <rPr>
            <b/>
            <sz val="9"/>
            <color indexed="81"/>
            <rFont val="Tahoma"/>
            <family val="2"/>
          </rPr>
          <t>Jorge Arturo Espinoza:</t>
        </r>
        <r>
          <rPr>
            <sz val="9"/>
            <color indexed="81"/>
            <rFont val="Tahoma"/>
            <family val="2"/>
          </rPr>
          <t xml:space="preserve">
FALTA CONFIRMAR EL DESCUENTO</t>
        </r>
      </text>
    </comment>
    <comment ref="D2773" authorId="0" shapeId="0" xr:uid="{00000000-0006-0000-0100-000085010000}">
      <text>
        <r>
          <rPr>
            <b/>
            <sz val="9"/>
            <color indexed="81"/>
            <rFont val="Tahoma"/>
            <family val="2"/>
          </rPr>
          <t>Jorge Arturo Espinoza:</t>
        </r>
        <r>
          <rPr>
            <sz val="9"/>
            <color indexed="81"/>
            <rFont val="Tahoma"/>
            <family val="2"/>
          </rPr>
          <t xml:space="preserve">
FALTA CONFIRMAR EL DESCUENTO</t>
        </r>
      </text>
    </comment>
    <comment ref="D2774" authorId="0" shapeId="0" xr:uid="{00000000-0006-0000-0100-000086010000}">
      <text>
        <r>
          <rPr>
            <b/>
            <sz val="9"/>
            <color indexed="81"/>
            <rFont val="Tahoma"/>
            <family val="2"/>
          </rPr>
          <t>Jorge Arturo Espinoza:</t>
        </r>
        <r>
          <rPr>
            <sz val="9"/>
            <color indexed="81"/>
            <rFont val="Tahoma"/>
            <family val="2"/>
          </rPr>
          <t xml:space="preserve">
FALTA CONFIRMAR EL DESCUENTO</t>
        </r>
      </text>
    </comment>
    <comment ref="D2775" authorId="0" shapeId="0" xr:uid="{00000000-0006-0000-0100-000087010000}">
      <text>
        <r>
          <rPr>
            <b/>
            <sz val="9"/>
            <color indexed="81"/>
            <rFont val="Tahoma"/>
            <family val="2"/>
          </rPr>
          <t>Jorge Arturo Espinoza:</t>
        </r>
        <r>
          <rPr>
            <sz val="9"/>
            <color indexed="81"/>
            <rFont val="Tahoma"/>
            <family val="2"/>
          </rPr>
          <t xml:space="preserve">
FALTA CONFIRMAR EL DESCUENTO</t>
        </r>
      </text>
    </comment>
    <comment ref="D2776" authorId="0" shapeId="0" xr:uid="{00000000-0006-0000-0100-000088010000}">
      <text>
        <r>
          <rPr>
            <b/>
            <sz val="9"/>
            <color indexed="81"/>
            <rFont val="Tahoma"/>
            <family val="2"/>
          </rPr>
          <t>Jorge Arturo Espinoza:</t>
        </r>
        <r>
          <rPr>
            <sz val="9"/>
            <color indexed="81"/>
            <rFont val="Tahoma"/>
            <family val="2"/>
          </rPr>
          <t xml:space="preserve">
FALTA CONFIRMAR EL DESCUENTO</t>
        </r>
      </text>
    </comment>
    <comment ref="B2922" authorId="0" shapeId="0" xr:uid="{00000000-0006-0000-0100-000089010000}">
      <text>
        <r>
          <rPr>
            <b/>
            <sz val="9"/>
            <color indexed="81"/>
            <rFont val="Tahoma"/>
            <family val="2"/>
          </rPr>
          <t>Jorge Arturo Espinoza:</t>
        </r>
        <r>
          <rPr>
            <sz val="9"/>
            <color indexed="81"/>
            <rFont val="Tahoma"/>
            <family val="2"/>
          </rPr>
          <t xml:space="preserve">
</t>
        </r>
      </text>
    </comment>
    <comment ref="E2922" authorId="0" shapeId="0" xr:uid="{00000000-0006-0000-0100-00008A010000}">
      <text>
        <r>
          <rPr>
            <b/>
            <sz val="9"/>
            <color indexed="81"/>
            <rFont val="Tahoma"/>
            <family val="2"/>
          </rPr>
          <t>Jorge Arturo Espinoza:</t>
        </r>
        <r>
          <rPr>
            <sz val="9"/>
            <color indexed="81"/>
            <rFont val="Tahoma"/>
            <family val="2"/>
          </rPr>
          <t xml:space="preserve">
E1 -&gt; 400
E2 -&gt; 500
E4 -&gt; 600
E1-4p -&gt; 500
E2-4p -&gt; 600
E4-4p -&gt; 700</t>
        </r>
      </text>
    </comment>
    <comment ref="B2923" authorId="0" shapeId="0" xr:uid="{00000000-0006-0000-0100-00008B010000}">
      <text>
        <r>
          <rPr>
            <b/>
            <sz val="9"/>
            <color indexed="81"/>
            <rFont val="Tahoma"/>
            <family val="2"/>
          </rPr>
          <t>Jorge Arturo Espinoza:</t>
        </r>
        <r>
          <rPr>
            <sz val="9"/>
            <color indexed="81"/>
            <rFont val="Tahoma"/>
            <family val="2"/>
          </rPr>
          <t xml:space="preserve">
</t>
        </r>
      </text>
    </comment>
    <comment ref="C2923" authorId="0" shapeId="0" xr:uid="{00000000-0006-0000-0100-00008C010000}">
      <text>
        <r>
          <rPr>
            <b/>
            <sz val="9"/>
            <color indexed="81"/>
            <rFont val="Tahoma"/>
            <family val="2"/>
          </rPr>
          <t>Jorge Arturo Espinoza:</t>
        </r>
        <r>
          <rPr>
            <sz val="9"/>
            <color indexed="81"/>
            <rFont val="Tahoma"/>
            <family val="2"/>
          </rPr>
          <t xml:space="preserve">
FALTA CONFIRMAR PRECIO CON ABB</t>
        </r>
      </text>
    </comment>
    <comment ref="E2923" authorId="0" shapeId="0" xr:uid="{00000000-0006-0000-0100-00008D010000}">
      <text>
        <r>
          <rPr>
            <b/>
            <sz val="9"/>
            <color indexed="81"/>
            <rFont val="Tahoma"/>
            <family val="2"/>
          </rPr>
          <t>Jorge Arturo Espinoza:</t>
        </r>
        <r>
          <rPr>
            <sz val="9"/>
            <color indexed="81"/>
            <rFont val="Tahoma"/>
            <family val="2"/>
          </rPr>
          <t xml:space="preserve">
E1 -&gt; 400
E2 -&gt; 500
E4 -&gt; 600
E1-4p -&gt; 500
E2-4p -&gt; 600
E4-4p -&gt; 700</t>
        </r>
      </text>
    </comment>
    <comment ref="B2924" authorId="0" shapeId="0" xr:uid="{00000000-0006-0000-0100-00008E010000}">
      <text>
        <r>
          <rPr>
            <b/>
            <sz val="9"/>
            <color indexed="81"/>
            <rFont val="Tahoma"/>
            <family val="2"/>
          </rPr>
          <t>Jorge Arturo Espinoza:</t>
        </r>
        <r>
          <rPr>
            <sz val="9"/>
            <color indexed="81"/>
            <rFont val="Tahoma"/>
            <family val="2"/>
          </rPr>
          <t xml:space="preserve">
</t>
        </r>
      </text>
    </comment>
    <comment ref="C2924" authorId="0" shapeId="0" xr:uid="{00000000-0006-0000-0100-00008F010000}">
      <text>
        <r>
          <rPr>
            <b/>
            <sz val="9"/>
            <color indexed="81"/>
            <rFont val="Tahoma"/>
            <family val="2"/>
          </rPr>
          <t>Jorge Arturo Espinoza:</t>
        </r>
        <r>
          <rPr>
            <sz val="9"/>
            <color indexed="81"/>
            <rFont val="Tahoma"/>
            <family val="2"/>
          </rPr>
          <t xml:space="preserve">
FALTA CONFIRMAR PRECIO CON ABB</t>
        </r>
      </text>
    </comment>
    <comment ref="E2924" authorId="0" shapeId="0" xr:uid="{00000000-0006-0000-0100-000090010000}">
      <text>
        <r>
          <rPr>
            <b/>
            <sz val="9"/>
            <color indexed="81"/>
            <rFont val="Tahoma"/>
            <family val="2"/>
          </rPr>
          <t>Jorge Arturo Espinoza:</t>
        </r>
        <r>
          <rPr>
            <sz val="9"/>
            <color indexed="81"/>
            <rFont val="Tahoma"/>
            <family val="2"/>
          </rPr>
          <t xml:space="preserve">
E1 -&gt; 400
E2 -&gt; 500
E4 -&gt; 600
E1-4p -&gt; 500
E2-4p -&gt; 600
E4-4p -&gt; 700</t>
        </r>
      </text>
    </comment>
    <comment ref="B2929" authorId="0" shapeId="0" xr:uid="{00000000-0006-0000-0100-000091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930" authorId="0" shapeId="0" xr:uid="{00000000-0006-0000-0100-000092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931" authorId="0" shapeId="0" xr:uid="{00000000-0006-0000-0100-000093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932" authorId="0" shapeId="0" xr:uid="{00000000-0006-0000-0100-000094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933" authorId="0" shapeId="0" xr:uid="{00000000-0006-0000-0100-000095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934" authorId="0" shapeId="0" xr:uid="{00000000-0006-0000-0100-000096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B2935" authorId="0" shapeId="0" xr:uid="{00000000-0006-0000-0100-000097010000}">
      <text>
        <r>
          <rPr>
            <b/>
            <sz val="9"/>
            <color indexed="81"/>
            <rFont val="Tahoma"/>
            <family val="2"/>
          </rPr>
          <t>Jorge Arturo Espinoza:</t>
        </r>
        <r>
          <rPr>
            <sz val="9"/>
            <color indexed="81"/>
            <rFont val="Tahoma"/>
            <family val="2"/>
          </rPr>
          <t xml:space="preserve">
E1:
(01) Kit cables
(02) Soportes
E2, E4, E6:
(01) Kit cables
(02) Mecanismos
(02) Soportes
</t>
        </r>
      </text>
    </comment>
    <comment ref="G2935" authorId="0" shapeId="0" xr:uid="{00000000-0006-0000-0100-000098010000}">
      <text>
        <r>
          <rPr>
            <b/>
            <sz val="9"/>
            <color indexed="81"/>
            <rFont val="Tahoma"/>
            <family val="2"/>
          </rPr>
          <t>Jorge Arturo Espinoza:</t>
        </r>
        <r>
          <rPr>
            <sz val="9"/>
            <color indexed="81"/>
            <rFont val="Tahoma"/>
            <family val="2"/>
          </rPr>
          <t xml:space="preserve">
¿Es el mismo codigo para 4p??</t>
        </r>
      </text>
    </comment>
    <comment ref="D2950" authorId="0" shapeId="0" xr:uid="{00000000-0006-0000-0100-000099010000}">
      <text>
        <r>
          <rPr>
            <b/>
            <sz val="9"/>
            <color indexed="81"/>
            <rFont val="Tahoma"/>
            <family val="2"/>
          </rPr>
          <t>Jorge Arturo Espinoza:</t>
        </r>
        <r>
          <rPr>
            <sz val="9"/>
            <color indexed="81"/>
            <rFont val="Tahoma"/>
            <family val="2"/>
          </rPr>
          <t xml:space="preserve">
DM: DSCTO MANUAL</t>
        </r>
      </text>
    </comment>
    <comment ref="D2958" authorId="0" shapeId="0" xr:uid="{00000000-0006-0000-0100-00009A010000}">
      <text>
        <r>
          <rPr>
            <b/>
            <sz val="9"/>
            <color indexed="81"/>
            <rFont val="Tahoma"/>
            <family val="2"/>
          </rPr>
          <t>Jorge Arturo Espinoza:</t>
        </r>
        <r>
          <rPr>
            <sz val="9"/>
            <color indexed="81"/>
            <rFont val="Tahoma"/>
            <family val="2"/>
          </rPr>
          <t xml:space="preserve">
DM: DSCTO MANUAL</t>
        </r>
      </text>
    </comment>
    <comment ref="D2959" authorId="0" shapeId="0" xr:uid="{00000000-0006-0000-0100-00009B010000}">
      <text>
        <r>
          <rPr>
            <b/>
            <sz val="9"/>
            <color indexed="81"/>
            <rFont val="Tahoma"/>
            <family val="2"/>
          </rPr>
          <t>Jorge Arturo Espinoza:</t>
        </r>
        <r>
          <rPr>
            <sz val="9"/>
            <color indexed="81"/>
            <rFont val="Tahoma"/>
            <family val="2"/>
          </rPr>
          <t xml:space="preserve">
DM: DSCTO MANUAL</t>
        </r>
      </text>
    </comment>
    <comment ref="D2960" authorId="0" shapeId="0" xr:uid="{00000000-0006-0000-0100-00009C010000}">
      <text>
        <r>
          <rPr>
            <b/>
            <sz val="9"/>
            <color indexed="81"/>
            <rFont val="Tahoma"/>
            <family val="2"/>
          </rPr>
          <t>Jorge Arturo Espinoza:</t>
        </r>
        <r>
          <rPr>
            <sz val="9"/>
            <color indexed="81"/>
            <rFont val="Tahoma"/>
            <family val="2"/>
          </rPr>
          <t xml:space="preserve">
DM: DSCTO MANUAL</t>
        </r>
      </text>
    </comment>
    <comment ref="D2961" authorId="0" shapeId="0" xr:uid="{00000000-0006-0000-0100-00009D010000}">
      <text>
        <r>
          <rPr>
            <b/>
            <sz val="9"/>
            <color indexed="81"/>
            <rFont val="Tahoma"/>
            <family val="2"/>
          </rPr>
          <t>Jorge Arturo Espinoza:</t>
        </r>
        <r>
          <rPr>
            <sz val="9"/>
            <color indexed="81"/>
            <rFont val="Tahoma"/>
            <family val="2"/>
          </rPr>
          <t xml:space="preserve">
DM: DSCTO MANUAL</t>
        </r>
      </text>
    </comment>
    <comment ref="D2962" authorId="0" shapeId="0" xr:uid="{00000000-0006-0000-0100-00009E010000}">
      <text>
        <r>
          <rPr>
            <b/>
            <sz val="9"/>
            <color indexed="81"/>
            <rFont val="Tahoma"/>
            <family val="2"/>
          </rPr>
          <t>Jorge Arturo Espinoza:</t>
        </r>
        <r>
          <rPr>
            <sz val="9"/>
            <color indexed="81"/>
            <rFont val="Tahoma"/>
            <family val="2"/>
          </rPr>
          <t xml:space="preserve">
DM: DSCTO MANUAL</t>
        </r>
      </text>
    </comment>
    <comment ref="D2963" authorId="0" shapeId="0" xr:uid="{00000000-0006-0000-0100-00009F010000}">
      <text>
        <r>
          <rPr>
            <b/>
            <sz val="9"/>
            <color indexed="81"/>
            <rFont val="Tahoma"/>
            <family val="2"/>
          </rPr>
          <t>Jorge Arturo Espinoza:</t>
        </r>
        <r>
          <rPr>
            <sz val="9"/>
            <color indexed="81"/>
            <rFont val="Tahoma"/>
            <family val="2"/>
          </rPr>
          <t xml:space="preserve">
DM: DSCTO MANUAL</t>
        </r>
      </text>
    </comment>
    <comment ref="D2964" authorId="0" shapeId="0" xr:uid="{00000000-0006-0000-0100-0000A0010000}">
      <text>
        <r>
          <rPr>
            <b/>
            <sz val="9"/>
            <color indexed="81"/>
            <rFont val="Tahoma"/>
            <family val="2"/>
          </rPr>
          <t>Jorge Arturo Espinoza:</t>
        </r>
        <r>
          <rPr>
            <sz val="9"/>
            <color indexed="81"/>
            <rFont val="Tahoma"/>
            <family val="2"/>
          </rPr>
          <t xml:space="preserve">
DM: DSCTO MANUAL</t>
        </r>
      </text>
    </comment>
    <comment ref="D2965" authorId="0" shapeId="0" xr:uid="{00000000-0006-0000-0100-0000A1010000}">
      <text>
        <r>
          <rPr>
            <b/>
            <sz val="9"/>
            <color indexed="81"/>
            <rFont val="Tahoma"/>
            <family val="2"/>
          </rPr>
          <t>Jorge Arturo Espinoza:</t>
        </r>
        <r>
          <rPr>
            <sz val="9"/>
            <color indexed="81"/>
            <rFont val="Tahoma"/>
            <family val="2"/>
          </rPr>
          <t xml:space="preserve">
DM: DSCTO MANUAL</t>
        </r>
      </text>
    </comment>
    <comment ref="D2967" authorId="0" shapeId="0" xr:uid="{00000000-0006-0000-0100-0000A2010000}">
      <text>
        <r>
          <rPr>
            <b/>
            <sz val="9"/>
            <color indexed="81"/>
            <rFont val="Tahoma"/>
            <family val="2"/>
          </rPr>
          <t>Jorge Arturo Espinoza:</t>
        </r>
        <r>
          <rPr>
            <sz val="9"/>
            <color indexed="81"/>
            <rFont val="Tahoma"/>
            <family val="2"/>
          </rPr>
          <t xml:space="preserve">
DM: DSCTO MANUAL</t>
        </r>
      </text>
    </comment>
    <comment ref="D2970" authorId="0" shapeId="0" xr:uid="{00000000-0006-0000-0100-0000A3010000}">
      <text>
        <r>
          <rPr>
            <b/>
            <sz val="9"/>
            <color indexed="81"/>
            <rFont val="Tahoma"/>
            <family val="2"/>
          </rPr>
          <t>Jorge Arturo Espinoza:</t>
        </r>
        <r>
          <rPr>
            <sz val="9"/>
            <color indexed="81"/>
            <rFont val="Tahoma"/>
            <family val="2"/>
          </rPr>
          <t xml:space="preserve">
DM: DSCTO MANUAL</t>
        </r>
      </text>
    </comment>
    <comment ref="D2971" authorId="0" shapeId="0" xr:uid="{00000000-0006-0000-0100-0000A4010000}">
      <text>
        <r>
          <rPr>
            <b/>
            <sz val="9"/>
            <color indexed="81"/>
            <rFont val="Tahoma"/>
            <family val="2"/>
          </rPr>
          <t>Jorge Arturo Espinoza:</t>
        </r>
        <r>
          <rPr>
            <sz val="9"/>
            <color indexed="81"/>
            <rFont val="Tahoma"/>
            <family val="2"/>
          </rPr>
          <t xml:space="preserve">
DM: DSCTO MANUAL</t>
        </r>
      </text>
    </comment>
    <comment ref="D2972" authorId="0" shapeId="0" xr:uid="{00000000-0006-0000-0100-0000A5010000}">
      <text>
        <r>
          <rPr>
            <b/>
            <sz val="9"/>
            <color indexed="81"/>
            <rFont val="Tahoma"/>
            <family val="2"/>
          </rPr>
          <t>Jorge Arturo Espinoza:</t>
        </r>
        <r>
          <rPr>
            <sz val="9"/>
            <color indexed="81"/>
            <rFont val="Tahoma"/>
            <family val="2"/>
          </rPr>
          <t xml:space="preserve">
DM: DSCTO MANUAL</t>
        </r>
      </text>
    </comment>
    <comment ref="D2973" authorId="0" shapeId="0" xr:uid="{00000000-0006-0000-0100-0000A6010000}">
      <text>
        <r>
          <rPr>
            <b/>
            <sz val="9"/>
            <color indexed="81"/>
            <rFont val="Tahoma"/>
            <family val="2"/>
          </rPr>
          <t>Jorge Arturo Espinoza:</t>
        </r>
        <r>
          <rPr>
            <sz val="9"/>
            <color indexed="81"/>
            <rFont val="Tahoma"/>
            <family val="2"/>
          </rPr>
          <t xml:space="preserve">
DM: DSCTO MANUAL</t>
        </r>
      </text>
    </comment>
    <comment ref="D2974" authorId="0" shapeId="0" xr:uid="{00000000-0006-0000-0100-0000A7010000}">
      <text>
        <r>
          <rPr>
            <b/>
            <sz val="9"/>
            <color indexed="81"/>
            <rFont val="Tahoma"/>
            <family val="2"/>
          </rPr>
          <t>Jorge Arturo Espinoza:</t>
        </r>
        <r>
          <rPr>
            <sz val="9"/>
            <color indexed="81"/>
            <rFont val="Tahoma"/>
            <family val="2"/>
          </rPr>
          <t xml:space="preserve">
DM: DSCTO MANUAL</t>
        </r>
      </text>
    </comment>
    <comment ref="D2975" authorId="0" shapeId="0" xr:uid="{00000000-0006-0000-0100-0000A8010000}">
      <text>
        <r>
          <rPr>
            <b/>
            <sz val="9"/>
            <color indexed="81"/>
            <rFont val="Tahoma"/>
            <family val="2"/>
          </rPr>
          <t>Jorge Arturo Espinoza:</t>
        </r>
        <r>
          <rPr>
            <sz val="9"/>
            <color indexed="81"/>
            <rFont val="Tahoma"/>
            <family val="2"/>
          </rPr>
          <t xml:space="preserve">
DM: DSCTO MANUAL</t>
        </r>
      </text>
    </comment>
    <comment ref="D2976" authorId="0" shapeId="0" xr:uid="{00000000-0006-0000-0100-0000A9010000}">
      <text>
        <r>
          <rPr>
            <b/>
            <sz val="9"/>
            <color indexed="81"/>
            <rFont val="Tahoma"/>
            <family val="2"/>
          </rPr>
          <t>Jorge Arturo Espinoza:</t>
        </r>
        <r>
          <rPr>
            <sz val="9"/>
            <color indexed="81"/>
            <rFont val="Tahoma"/>
            <family val="2"/>
          </rPr>
          <t xml:space="preserve">
DM: DSCTO MANUAL</t>
        </r>
      </text>
    </comment>
    <comment ref="D2977" authorId="0" shapeId="0" xr:uid="{00000000-0006-0000-0100-0000AA010000}">
      <text>
        <r>
          <rPr>
            <b/>
            <sz val="9"/>
            <color indexed="81"/>
            <rFont val="Tahoma"/>
            <family val="2"/>
          </rPr>
          <t>Jorge Arturo Espinoza:</t>
        </r>
        <r>
          <rPr>
            <sz val="9"/>
            <color indexed="81"/>
            <rFont val="Tahoma"/>
            <family val="2"/>
          </rPr>
          <t xml:space="preserve">
DM: DSCTO MANUAL</t>
        </r>
      </text>
    </comment>
    <comment ref="D2979" authorId="0" shapeId="0" xr:uid="{00000000-0006-0000-0100-0000AB010000}">
      <text>
        <r>
          <rPr>
            <b/>
            <sz val="9"/>
            <color indexed="81"/>
            <rFont val="Tahoma"/>
            <family val="2"/>
          </rPr>
          <t>Jorge Arturo Espinoza:</t>
        </r>
        <r>
          <rPr>
            <sz val="9"/>
            <color indexed="81"/>
            <rFont val="Tahoma"/>
            <family val="2"/>
          </rPr>
          <t xml:space="preserve">
DM: DSCTO MANUAL</t>
        </r>
      </text>
    </comment>
    <comment ref="D2982" authorId="0" shapeId="0" xr:uid="{00000000-0006-0000-0100-0000AC010000}">
      <text>
        <r>
          <rPr>
            <b/>
            <sz val="9"/>
            <color indexed="81"/>
            <rFont val="Tahoma"/>
            <family val="2"/>
          </rPr>
          <t>Jorge Arturo Espinoza:</t>
        </r>
        <r>
          <rPr>
            <sz val="9"/>
            <color indexed="81"/>
            <rFont val="Tahoma"/>
            <family val="2"/>
          </rPr>
          <t xml:space="preserve">
DM: DSCTO MANUAL</t>
        </r>
      </text>
    </comment>
    <comment ref="D2983" authorId="0" shapeId="0" xr:uid="{00000000-0006-0000-0100-0000AD010000}">
      <text>
        <r>
          <rPr>
            <b/>
            <sz val="9"/>
            <color indexed="81"/>
            <rFont val="Tahoma"/>
            <family val="2"/>
          </rPr>
          <t>Jorge Arturo Espinoza:</t>
        </r>
        <r>
          <rPr>
            <sz val="9"/>
            <color indexed="81"/>
            <rFont val="Tahoma"/>
            <family val="2"/>
          </rPr>
          <t xml:space="preserve">
DM: DSCTO MANUAL</t>
        </r>
      </text>
    </comment>
    <comment ref="D2984" authorId="0" shapeId="0" xr:uid="{00000000-0006-0000-0100-0000AE010000}">
      <text>
        <r>
          <rPr>
            <b/>
            <sz val="9"/>
            <color indexed="81"/>
            <rFont val="Tahoma"/>
            <family val="2"/>
          </rPr>
          <t>Jorge Arturo Espinoza:</t>
        </r>
        <r>
          <rPr>
            <sz val="9"/>
            <color indexed="81"/>
            <rFont val="Tahoma"/>
            <family val="2"/>
          </rPr>
          <t xml:space="preserve">
DM: DSCTO MANUAL</t>
        </r>
      </text>
    </comment>
    <comment ref="D2985" authorId="0" shapeId="0" xr:uid="{00000000-0006-0000-0100-0000AF010000}">
      <text>
        <r>
          <rPr>
            <b/>
            <sz val="9"/>
            <color indexed="81"/>
            <rFont val="Tahoma"/>
            <family val="2"/>
          </rPr>
          <t>Jorge Arturo Espinoza:</t>
        </r>
        <r>
          <rPr>
            <sz val="9"/>
            <color indexed="81"/>
            <rFont val="Tahoma"/>
            <family val="2"/>
          </rPr>
          <t xml:space="preserve">
DM: DSCTO MANUAL</t>
        </r>
      </text>
    </comment>
    <comment ref="D2986" authorId="0" shapeId="0" xr:uid="{00000000-0006-0000-0100-0000B0010000}">
      <text>
        <r>
          <rPr>
            <b/>
            <sz val="9"/>
            <color indexed="81"/>
            <rFont val="Tahoma"/>
            <family val="2"/>
          </rPr>
          <t>Jorge Arturo Espinoza:</t>
        </r>
        <r>
          <rPr>
            <sz val="9"/>
            <color indexed="81"/>
            <rFont val="Tahoma"/>
            <family val="2"/>
          </rPr>
          <t xml:space="preserve">
DM: DSCTO MANUAL</t>
        </r>
      </text>
    </comment>
    <comment ref="D2987" authorId="0" shapeId="0" xr:uid="{00000000-0006-0000-0100-0000B1010000}">
      <text>
        <r>
          <rPr>
            <b/>
            <sz val="9"/>
            <color indexed="81"/>
            <rFont val="Tahoma"/>
            <family val="2"/>
          </rPr>
          <t>Jorge Arturo Espinoza:</t>
        </r>
        <r>
          <rPr>
            <sz val="9"/>
            <color indexed="81"/>
            <rFont val="Tahoma"/>
            <family val="2"/>
          </rPr>
          <t xml:space="preserve">
DM: DSCTO MANUAL</t>
        </r>
      </text>
    </comment>
    <comment ref="D2988" authorId="0" shapeId="0" xr:uid="{00000000-0006-0000-0100-0000B2010000}">
      <text>
        <r>
          <rPr>
            <b/>
            <sz val="9"/>
            <color indexed="81"/>
            <rFont val="Tahoma"/>
            <family val="2"/>
          </rPr>
          <t>Jorge Arturo Espinoza:</t>
        </r>
        <r>
          <rPr>
            <sz val="9"/>
            <color indexed="81"/>
            <rFont val="Tahoma"/>
            <family val="2"/>
          </rPr>
          <t xml:space="preserve">
DM: DSCTO MANUAL</t>
        </r>
      </text>
    </comment>
    <comment ref="D2989" authorId="0" shapeId="0" xr:uid="{00000000-0006-0000-0100-0000B3010000}">
      <text>
        <r>
          <rPr>
            <b/>
            <sz val="9"/>
            <color indexed="81"/>
            <rFont val="Tahoma"/>
            <family val="2"/>
          </rPr>
          <t>Jorge Arturo Espinoza:</t>
        </r>
        <r>
          <rPr>
            <sz val="9"/>
            <color indexed="81"/>
            <rFont val="Tahoma"/>
            <family val="2"/>
          </rPr>
          <t xml:space="preserve">
DM: DSCTO MANUAL</t>
        </r>
      </text>
    </comment>
    <comment ref="D2990" authorId="0" shapeId="0" xr:uid="{00000000-0006-0000-0100-0000B4010000}">
      <text>
        <r>
          <rPr>
            <b/>
            <sz val="9"/>
            <color indexed="81"/>
            <rFont val="Tahoma"/>
            <family val="2"/>
          </rPr>
          <t>Jorge Arturo Espinoza:</t>
        </r>
        <r>
          <rPr>
            <sz val="9"/>
            <color indexed="81"/>
            <rFont val="Tahoma"/>
            <family val="2"/>
          </rPr>
          <t xml:space="preserve">
DM: DSCTO MANUAL</t>
        </r>
      </text>
    </comment>
    <comment ref="D2991" authorId="0" shapeId="0" xr:uid="{00000000-0006-0000-0100-0000B5010000}">
      <text>
        <r>
          <rPr>
            <b/>
            <sz val="9"/>
            <color indexed="81"/>
            <rFont val="Tahoma"/>
            <family val="2"/>
          </rPr>
          <t>Jorge Arturo Espinoza:</t>
        </r>
        <r>
          <rPr>
            <sz val="9"/>
            <color indexed="81"/>
            <rFont val="Tahoma"/>
            <family val="2"/>
          </rPr>
          <t xml:space="preserve">
DM: DSCTO MANUAL</t>
        </r>
      </text>
    </comment>
    <comment ref="D2993" authorId="0" shapeId="0" xr:uid="{00000000-0006-0000-0100-0000B6010000}">
      <text>
        <r>
          <rPr>
            <b/>
            <sz val="9"/>
            <color indexed="81"/>
            <rFont val="Tahoma"/>
            <family val="2"/>
          </rPr>
          <t>Jorge Arturo Espinoza:</t>
        </r>
        <r>
          <rPr>
            <sz val="9"/>
            <color indexed="81"/>
            <rFont val="Tahoma"/>
            <family val="2"/>
          </rPr>
          <t xml:space="preserve">
DM: DSCTO MANUAL</t>
        </r>
      </text>
    </comment>
    <comment ref="D2994" authorId="0" shapeId="0" xr:uid="{00000000-0006-0000-0100-0000B7010000}">
      <text>
        <r>
          <rPr>
            <b/>
            <sz val="9"/>
            <color indexed="81"/>
            <rFont val="Tahoma"/>
            <family val="2"/>
          </rPr>
          <t>Jorge Arturo Espinoza:</t>
        </r>
        <r>
          <rPr>
            <sz val="9"/>
            <color indexed="81"/>
            <rFont val="Tahoma"/>
            <family val="2"/>
          </rPr>
          <t xml:space="preserve">
DM: DSCTO MANUAL</t>
        </r>
      </text>
    </comment>
    <comment ref="D2995" authorId="0" shapeId="0" xr:uid="{00000000-0006-0000-0100-0000B8010000}">
      <text>
        <r>
          <rPr>
            <b/>
            <sz val="9"/>
            <color indexed="81"/>
            <rFont val="Tahoma"/>
            <family val="2"/>
          </rPr>
          <t>Jorge Arturo Espinoza:</t>
        </r>
        <r>
          <rPr>
            <sz val="9"/>
            <color indexed="81"/>
            <rFont val="Tahoma"/>
            <family val="2"/>
          </rPr>
          <t xml:space="preserve">
DM: DSCTO MANUAL</t>
        </r>
      </text>
    </comment>
    <comment ref="D2996" authorId="0" shapeId="0" xr:uid="{00000000-0006-0000-0100-0000B9010000}">
      <text>
        <r>
          <rPr>
            <b/>
            <sz val="9"/>
            <color indexed="81"/>
            <rFont val="Tahoma"/>
            <family val="2"/>
          </rPr>
          <t>Jorge Arturo Espinoza:</t>
        </r>
        <r>
          <rPr>
            <sz val="9"/>
            <color indexed="81"/>
            <rFont val="Tahoma"/>
            <family val="2"/>
          </rPr>
          <t xml:space="preserve">
DM: DSCTO MANUAL</t>
        </r>
      </text>
    </comment>
    <comment ref="D2997" authorId="0" shapeId="0" xr:uid="{00000000-0006-0000-0100-0000BA010000}">
      <text>
        <r>
          <rPr>
            <b/>
            <sz val="9"/>
            <color indexed="81"/>
            <rFont val="Tahoma"/>
            <family val="2"/>
          </rPr>
          <t>Jorge Arturo Espinoza:</t>
        </r>
        <r>
          <rPr>
            <sz val="9"/>
            <color indexed="81"/>
            <rFont val="Tahoma"/>
            <family val="2"/>
          </rPr>
          <t xml:space="preserve">
DM: DSCTO MANUAL</t>
        </r>
      </text>
    </comment>
    <comment ref="D2998" authorId="0" shapeId="0" xr:uid="{00000000-0006-0000-0100-0000BB010000}">
      <text>
        <r>
          <rPr>
            <b/>
            <sz val="9"/>
            <color indexed="81"/>
            <rFont val="Tahoma"/>
            <family val="2"/>
          </rPr>
          <t>Jorge Arturo Espinoza:</t>
        </r>
        <r>
          <rPr>
            <sz val="9"/>
            <color indexed="81"/>
            <rFont val="Tahoma"/>
            <family val="2"/>
          </rPr>
          <t xml:space="preserve">
DM: DSCTO MANUAL</t>
        </r>
      </text>
    </comment>
    <comment ref="D2999" authorId="0" shapeId="0" xr:uid="{00000000-0006-0000-0100-0000BC010000}">
      <text>
        <r>
          <rPr>
            <b/>
            <sz val="9"/>
            <color indexed="81"/>
            <rFont val="Tahoma"/>
            <family val="2"/>
          </rPr>
          <t>Jorge Arturo Espinoza:</t>
        </r>
        <r>
          <rPr>
            <sz val="9"/>
            <color indexed="81"/>
            <rFont val="Tahoma"/>
            <family val="2"/>
          </rPr>
          <t xml:space="preserve">
DM: DSCTO MANUAL</t>
        </r>
      </text>
    </comment>
    <comment ref="D3000" authorId="0" shapeId="0" xr:uid="{00000000-0006-0000-0100-0000BD010000}">
      <text>
        <r>
          <rPr>
            <b/>
            <sz val="9"/>
            <color indexed="81"/>
            <rFont val="Tahoma"/>
            <family val="2"/>
          </rPr>
          <t>Jorge Arturo Espinoza:</t>
        </r>
        <r>
          <rPr>
            <sz val="9"/>
            <color indexed="81"/>
            <rFont val="Tahoma"/>
            <family val="2"/>
          </rPr>
          <t xml:space="preserve">
DM: DSCTO MANUAL</t>
        </r>
      </text>
    </comment>
    <comment ref="D3001" authorId="0" shapeId="0" xr:uid="{00000000-0006-0000-0100-0000BE010000}">
      <text>
        <r>
          <rPr>
            <b/>
            <sz val="9"/>
            <color indexed="81"/>
            <rFont val="Tahoma"/>
            <family val="2"/>
          </rPr>
          <t>Jorge Arturo Espinoza:</t>
        </r>
        <r>
          <rPr>
            <sz val="9"/>
            <color indexed="81"/>
            <rFont val="Tahoma"/>
            <family val="2"/>
          </rPr>
          <t xml:space="preserve">
DM: DSCTO MANUAL</t>
        </r>
      </text>
    </comment>
    <comment ref="D3002" authorId="0" shapeId="0" xr:uid="{00000000-0006-0000-0100-0000BF010000}">
      <text>
        <r>
          <rPr>
            <b/>
            <sz val="9"/>
            <color indexed="81"/>
            <rFont val="Tahoma"/>
            <family val="2"/>
          </rPr>
          <t>Jorge Arturo Espinoza:</t>
        </r>
        <r>
          <rPr>
            <sz val="9"/>
            <color indexed="81"/>
            <rFont val="Tahoma"/>
            <family val="2"/>
          </rPr>
          <t xml:space="preserve">
DM: DSCTO MANUAL</t>
        </r>
      </text>
    </comment>
    <comment ref="D3004" authorId="0" shapeId="0" xr:uid="{00000000-0006-0000-0100-0000C0010000}">
      <text>
        <r>
          <rPr>
            <b/>
            <sz val="9"/>
            <color indexed="81"/>
            <rFont val="Tahoma"/>
            <family val="2"/>
          </rPr>
          <t>Jorge Arturo Espinoza:</t>
        </r>
        <r>
          <rPr>
            <sz val="9"/>
            <color indexed="81"/>
            <rFont val="Tahoma"/>
            <family val="2"/>
          </rPr>
          <t xml:space="preserve">
DM: DSCTO MANUAL</t>
        </r>
      </text>
    </comment>
    <comment ref="D3005" authorId="0" shapeId="0" xr:uid="{00000000-0006-0000-0100-0000C1010000}">
      <text>
        <r>
          <rPr>
            <b/>
            <sz val="9"/>
            <color indexed="81"/>
            <rFont val="Tahoma"/>
            <family val="2"/>
          </rPr>
          <t>Jorge Arturo Espinoza:</t>
        </r>
        <r>
          <rPr>
            <sz val="9"/>
            <color indexed="81"/>
            <rFont val="Tahoma"/>
            <family val="2"/>
          </rPr>
          <t xml:space="preserve">
DM: DSCTO MANUAL</t>
        </r>
      </text>
    </comment>
    <comment ref="D3006" authorId="0" shapeId="0" xr:uid="{00000000-0006-0000-0100-0000C2010000}">
      <text>
        <r>
          <rPr>
            <b/>
            <sz val="9"/>
            <color indexed="81"/>
            <rFont val="Tahoma"/>
            <family val="2"/>
          </rPr>
          <t>Jorge Arturo Espinoza:</t>
        </r>
        <r>
          <rPr>
            <sz val="9"/>
            <color indexed="81"/>
            <rFont val="Tahoma"/>
            <family val="2"/>
          </rPr>
          <t xml:space="preserve">
DM: DSCTO MANUAL</t>
        </r>
      </text>
    </comment>
    <comment ref="D3007" authorId="0" shapeId="0" xr:uid="{00000000-0006-0000-0100-0000C3010000}">
      <text>
        <r>
          <rPr>
            <b/>
            <sz val="9"/>
            <color indexed="81"/>
            <rFont val="Tahoma"/>
            <family val="2"/>
          </rPr>
          <t>Jorge Arturo Espinoza:</t>
        </r>
        <r>
          <rPr>
            <sz val="9"/>
            <color indexed="81"/>
            <rFont val="Tahoma"/>
            <family val="2"/>
          </rPr>
          <t xml:space="preserve">
DM: DSCTO MANUAL</t>
        </r>
      </text>
    </comment>
    <comment ref="D3008" authorId="0" shapeId="0" xr:uid="{00000000-0006-0000-0100-0000C4010000}">
      <text>
        <r>
          <rPr>
            <b/>
            <sz val="9"/>
            <color indexed="81"/>
            <rFont val="Tahoma"/>
            <family val="2"/>
          </rPr>
          <t>Jorge Arturo Espinoza:</t>
        </r>
        <r>
          <rPr>
            <sz val="9"/>
            <color indexed="81"/>
            <rFont val="Tahoma"/>
            <family val="2"/>
          </rPr>
          <t xml:space="preserve">
DM: DSCTO MANUAL</t>
        </r>
      </text>
    </comment>
    <comment ref="D3009" authorId="0" shapeId="0" xr:uid="{00000000-0006-0000-0100-0000C5010000}">
      <text>
        <r>
          <rPr>
            <b/>
            <sz val="9"/>
            <color indexed="81"/>
            <rFont val="Tahoma"/>
            <family val="2"/>
          </rPr>
          <t>Jorge Arturo Espinoza:</t>
        </r>
        <r>
          <rPr>
            <sz val="9"/>
            <color indexed="81"/>
            <rFont val="Tahoma"/>
            <family val="2"/>
          </rPr>
          <t xml:space="preserve">
DM: DSCTO MANUAL</t>
        </r>
      </text>
    </comment>
    <comment ref="D3010" authorId="0" shapeId="0" xr:uid="{00000000-0006-0000-0100-0000C6010000}">
      <text>
        <r>
          <rPr>
            <b/>
            <sz val="9"/>
            <color indexed="81"/>
            <rFont val="Tahoma"/>
            <family val="2"/>
          </rPr>
          <t>Jorge Arturo Espinoza:</t>
        </r>
        <r>
          <rPr>
            <sz val="9"/>
            <color indexed="81"/>
            <rFont val="Tahoma"/>
            <family val="2"/>
          </rPr>
          <t xml:space="preserve">
DM: DSCTO MANUAL</t>
        </r>
      </text>
    </comment>
    <comment ref="D3011" authorId="0" shapeId="0" xr:uid="{00000000-0006-0000-0100-0000C7010000}">
      <text>
        <r>
          <rPr>
            <b/>
            <sz val="9"/>
            <color indexed="81"/>
            <rFont val="Tahoma"/>
            <family val="2"/>
          </rPr>
          <t>Jorge Arturo Espinoza:</t>
        </r>
        <r>
          <rPr>
            <sz val="9"/>
            <color indexed="81"/>
            <rFont val="Tahoma"/>
            <family val="2"/>
          </rPr>
          <t xml:space="preserve">
DM: DSCTO MANUAL</t>
        </r>
      </text>
    </comment>
    <comment ref="D3012" authorId="0" shapeId="0" xr:uid="{00000000-0006-0000-0100-0000C8010000}">
      <text>
        <r>
          <rPr>
            <b/>
            <sz val="9"/>
            <color indexed="81"/>
            <rFont val="Tahoma"/>
            <family val="2"/>
          </rPr>
          <t>Jorge Arturo Espinoza:</t>
        </r>
        <r>
          <rPr>
            <sz val="9"/>
            <color indexed="81"/>
            <rFont val="Tahoma"/>
            <family val="2"/>
          </rPr>
          <t xml:space="preserve">
DM: DSCTO MANUAL</t>
        </r>
      </text>
    </comment>
    <comment ref="D3013" authorId="0" shapeId="0" xr:uid="{00000000-0006-0000-0100-0000C9010000}">
      <text>
        <r>
          <rPr>
            <b/>
            <sz val="9"/>
            <color indexed="81"/>
            <rFont val="Tahoma"/>
            <family val="2"/>
          </rPr>
          <t>Jorge Arturo Espinoza:</t>
        </r>
        <r>
          <rPr>
            <sz val="9"/>
            <color indexed="81"/>
            <rFont val="Tahoma"/>
            <family val="2"/>
          </rPr>
          <t xml:space="preserve">
DM: DSCTO MANUAL</t>
        </r>
      </text>
    </comment>
    <comment ref="D3015" authorId="0" shapeId="0" xr:uid="{00000000-0006-0000-0100-0000CA010000}">
      <text>
        <r>
          <rPr>
            <b/>
            <sz val="9"/>
            <color indexed="81"/>
            <rFont val="Tahoma"/>
            <family val="2"/>
          </rPr>
          <t>Jorge Arturo Espinoza:</t>
        </r>
        <r>
          <rPr>
            <sz val="9"/>
            <color indexed="81"/>
            <rFont val="Tahoma"/>
            <family val="2"/>
          </rPr>
          <t xml:space="preserve">
DM: DSCTO MANUAL</t>
        </r>
      </text>
    </comment>
    <comment ref="D3016" authorId="0" shapeId="0" xr:uid="{00000000-0006-0000-0100-0000CB010000}">
      <text>
        <r>
          <rPr>
            <b/>
            <sz val="9"/>
            <color indexed="81"/>
            <rFont val="Tahoma"/>
            <family val="2"/>
          </rPr>
          <t>Jorge Arturo Espinoza:</t>
        </r>
        <r>
          <rPr>
            <sz val="9"/>
            <color indexed="81"/>
            <rFont val="Tahoma"/>
            <family val="2"/>
          </rPr>
          <t xml:space="preserve">
DM: DSCTO MANUAL</t>
        </r>
      </text>
    </comment>
    <comment ref="D3017" authorId="0" shapeId="0" xr:uid="{00000000-0006-0000-0100-0000CC010000}">
      <text>
        <r>
          <rPr>
            <b/>
            <sz val="9"/>
            <color indexed="81"/>
            <rFont val="Tahoma"/>
            <family val="2"/>
          </rPr>
          <t>Jorge Arturo Espinoza:</t>
        </r>
        <r>
          <rPr>
            <sz val="9"/>
            <color indexed="81"/>
            <rFont val="Tahoma"/>
            <family val="2"/>
          </rPr>
          <t xml:space="preserve">
DM: DSCTO MANUAL</t>
        </r>
      </text>
    </comment>
    <comment ref="D3018" authorId="0" shapeId="0" xr:uid="{00000000-0006-0000-0100-0000CD010000}">
      <text>
        <r>
          <rPr>
            <b/>
            <sz val="9"/>
            <color indexed="81"/>
            <rFont val="Tahoma"/>
            <family val="2"/>
          </rPr>
          <t>Jorge Arturo Espinoza:</t>
        </r>
        <r>
          <rPr>
            <sz val="9"/>
            <color indexed="81"/>
            <rFont val="Tahoma"/>
            <family val="2"/>
          </rPr>
          <t xml:space="preserve">
DM: DSCTO MANUAL</t>
        </r>
      </text>
    </comment>
    <comment ref="D3019" authorId="0" shapeId="0" xr:uid="{00000000-0006-0000-0100-0000CE010000}">
      <text>
        <r>
          <rPr>
            <b/>
            <sz val="9"/>
            <color indexed="81"/>
            <rFont val="Tahoma"/>
            <family val="2"/>
          </rPr>
          <t>Jorge Arturo Espinoza:</t>
        </r>
        <r>
          <rPr>
            <sz val="9"/>
            <color indexed="81"/>
            <rFont val="Tahoma"/>
            <family val="2"/>
          </rPr>
          <t xml:space="preserve">
DM: DSCTO MANUAL</t>
        </r>
      </text>
    </comment>
    <comment ref="D3020" authorId="0" shapeId="0" xr:uid="{00000000-0006-0000-0100-0000CF010000}">
      <text>
        <r>
          <rPr>
            <b/>
            <sz val="9"/>
            <color indexed="81"/>
            <rFont val="Tahoma"/>
            <family val="2"/>
          </rPr>
          <t>Jorge Arturo Espinoza:</t>
        </r>
        <r>
          <rPr>
            <sz val="9"/>
            <color indexed="81"/>
            <rFont val="Tahoma"/>
            <family val="2"/>
          </rPr>
          <t xml:space="preserve">
DM: DSCTO MANUAL</t>
        </r>
      </text>
    </comment>
    <comment ref="D3021" authorId="0" shapeId="0" xr:uid="{00000000-0006-0000-0100-0000D0010000}">
      <text>
        <r>
          <rPr>
            <b/>
            <sz val="9"/>
            <color indexed="81"/>
            <rFont val="Tahoma"/>
            <family val="2"/>
          </rPr>
          <t>Jorge Arturo Espinoza:</t>
        </r>
        <r>
          <rPr>
            <sz val="9"/>
            <color indexed="81"/>
            <rFont val="Tahoma"/>
            <family val="2"/>
          </rPr>
          <t xml:space="preserve">
DM: DSCTO MANUAL</t>
        </r>
      </text>
    </comment>
    <comment ref="D3022" authorId="0" shapeId="0" xr:uid="{00000000-0006-0000-0100-0000D1010000}">
      <text>
        <r>
          <rPr>
            <b/>
            <sz val="9"/>
            <color indexed="81"/>
            <rFont val="Tahoma"/>
            <family val="2"/>
          </rPr>
          <t>Jorge Arturo Espinoza:</t>
        </r>
        <r>
          <rPr>
            <sz val="9"/>
            <color indexed="81"/>
            <rFont val="Tahoma"/>
            <family val="2"/>
          </rPr>
          <t xml:space="preserve">
DM: DSCTO MANUAL</t>
        </r>
      </text>
    </comment>
    <comment ref="D3023" authorId="0" shapeId="0" xr:uid="{00000000-0006-0000-0100-0000D2010000}">
      <text>
        <r>
          <rPr>
            <b/>
            <sz val="9"/>
            <color indexed="81"/>
            <rFont val="Tahoma"/>
            <family val="2"/>
          </rPr>
          <t>Jorge Arturo Espinoza:</t>
        </r>
        <r>
          <rPr>
            <sz val="9"/>
            <color indexed="81"/>
            <rFont val="Tahoma"/>
            <family val="2"/>
          </rPr>
          <t xml:space="preserve">
DM: DSCTO MANUAL</t>
        </r>
      </text>
    </comment>
    <comment ref="D3025" authorId="0" shapeId="0" xr:uid="{00000000-0006-0000-0100-0000D3010000}">
      <text>
        <r>
          <rPr>
            <b/>
            <sz val="9"/>
            <color indexed="81"/>
            <rFont val="Tahoma"/>
            <family val="2"/>
          </rPr>
          <t>Jorge Arturo Espinoza:</t>
        </r>
        <r>
          <rPr>
            <sz val="9"/>
            <color indexed="81"/>
            <rFont val="Tahoma"/>
            <family val="2"/>
          </rPr>
          <t xml:space="preserve">
DM: DSCTO MANUAL</t>
        </r>
      </text>
    </comment>
    <comment ref="D3026" authorId="0" shapeId="0" xr:uid="{00000000-0006-0000-0100-0000D4010000}">
      <text>
        <r>
          <rPr>
            <b/>
            <sz val="9"/>
            <color indexed="81"/>
            <rFont val="Tahoma"/>
            <family val="2"/>
          </rPr>
          <t>Jorge Arturo Espinoza:</t>
        </r>
        <r>
          <rPr>
            <sz val="9"/>
            <color indexed="81"/>
            <rFont val="Tahoma"/>
            <family val="2"/>
          </rPr>
          <t xml:space="preserve">
DM: DSCTO MANUAL</t>
        </r>
      </text>
    </comment>
    <comment ref="D3027" authorId="0" shapeId="0" xr:uid="{00000000-0006-0000-0100-0000D5010000}">
      <text>
        <r>
          <rPr>
            <b/>
            <sz val="9"/>
            <color indexed="81"/>
            <rFont val="Tahoma"/>
            <family val="2"/>
          </rPr>
          <t>Jorge Arturo Espinoza:</t>
        </r>
        <r>
          <rPr>
            <sz val="9"/>
            <color indexed="81"/>
            <rFont val="Tahoma"/>
            <family val="2"/>
          </rPr>
          <t xml:space="preserve">
DM: DSCTO MANUAL</t>
        </r>
      </text>
    </comment>
    <comment ref="D3028" authorId="0" shapeId="0" xr:uid="{00000000-0006-0000-0100-0000D6010000}">
      <text>
        <r>
          <rPr>
            <b/>
            <sz val="9"/>
            <color indexed="81"/>
            <rFont val="Tahoma"/>
            <family val="2"/>
          </rPr>
          <t>Jorge Arturo Espinoza:</t>
        </r>
        <r>
          <rPr>
            <sz val="9"/>
            <color indexed="81"/>
            <rFont val="Tahoma"/>
            <family val="2"/>
          </rPr>
          <t xml:space="preserve">
DM: DSCTO MANUAL</t>
        </r>
      </text>
    </comment>
    <comment ref="D3029" authorId="0" shapeId="0" xr:uid="{00000000-0006-0000-0100-0000D7010000}">
      <text>
        <r>
          <rPr>
            <b/>
            <sz val="9"/>
            <color indexed="81"/>
            <rFont val="Tahoma"/>
            <family val="2"/>
          </rPr>
          <t>Jorge Arturo Espinoza:</t>
        </r>
        <r>
          <rPr>
            <sz val="9"/>
            <color indexed="81"/>
            <rFont val="Tahoma"/>
            <family val="2"/>
          </rPr>
          <t xml:space="preserve">
DM: DSCTO MANUAL</t>
        </r>
      </text>
    </comment>
    <comment ref="D3030" authorId="0" shapeId="0" xr:uid="{00000000-0006-0000-0100-0000D8010000}">
      <text>
        <r>
          <rPr>
            <b/>
            <sz val="9"/>
            <color indexed="81"/>
            <rFont val="Tahoma"/>
            <family val="2"/>
          </rPr>
          <t>Jorge Arturo Espinoza:</t>
        </r>
        <r>
          <rPr>
            <sz val="9"/>
            <color indexed="81"/>
            <rFont val="Tahoma"/>
            <family val="2"/>
          </rPr>
          <t xml:space="preserve">
DM: DSCTO MANUAL</t>
        </r>
      </text>
    </comment>
    <comment ref="D3031" authorId="0" shapeId="0" xr:uid="{00000000-0006-0000-0100-0000D9010000}">
      <text>
        <r>
          <rPr>
            <b/>
            <sz val="9"/>
            <color indexed="81"/>
            <rFont val="Tahoma"/>
            <family val="2"/>
          </rPr>
          <t>Jorge Arturo Espinoza:</t>
        </r>
        <r>
          <rPr>
            <sz val="9"/>
            <color indexed="81"/>
            <rFont val="Tahoma"/>
            <family val="2"/>
          </rPr>
          <t xml:space="preserve">
DM: DSCTO MANUAL</t>
        </r>
      </text>
    </comment>
    <comment ref="D3032" authorId="0" shapeId="0" xr:uid="{00000000-0006-0000-0100-0000DA010000}">
      <text>
        <r>
          <rPr>
            <b/>
            <sz val="9"/>
            <color indexed="81"/>
            <rFont val="Tahoma"/>
            <family val="2"/>
          </rPr>
          <t>Jorge Arturo Espinoza:</t>
        </r>
        <r>
          <rPr>
            <sz val="9"/>
            <color indexed="81"/>
            <rFont val="Tahoma"/>
            <family val="2"/>
          </rPr>
          <t xml:space="preserve">
DM: DSCTO MANUAL</t>
        </r>
      </text>
    </comment>
    <comment ref="D3033" authorId="0" shapeId="0" xr:uid="{00000000-0006-0000-0100-0000DB010000}">
      <text>
        <r>
          <rPr>
            <b/>
            <sz val="9"/>
            <color indexed="81"/>
            <rFont val="Tahoma"/>
            <family val="2"/>
          </rPr>
          <t>Jorge Arturo Espinoza:</t>
        </r>
        <r>
          <rPr>
            <sz val="9"/>
            <color indexed="81"/>
            <rFont val="Tahoma"/>
            <family val="2"/>
          </rPr>
          <t xml:space="preserve">
DM: DSCTO MANUAL</t>
        </r>
      </text>
    </comment>
    <comment ref="D3035" authorId="0" shapeId="0" xr:uid="{00000000-0006-0000-0100-0000DC010000}">
      <text>
        <r>
          <rPr>
            <b/>
            <sz val="9"/>
            <color indexed="81"/>
            <rFont val="Tahoma"/>
            <family val="2"/>
          </rPr>
          <t>Jorge Arturo Espinoza:</t>
        </r>
        <r>
          <rPr>
            <sz val="9"/>
            <color indexed="81"/>
            <rFont val="Tahoma"/>
            <family val="2"/>
          </rPr>
          <t xml:space="preserve">
DM: DSCTO MANUAL</t>
        </r>
      </text>
    </comment>
    <comment ref="D3036" authorId="0" shapeId="0" xr:uid="{00000000-0006-0000-0100-0000DD010000}">
      <text>
        <r>
          <rPr>
            <b/>
            <sz val="9"/>
            <color indexed="81"/>
            <rFont val="Tahoma"/>
            <family val="2"/>
          </rPr>
          <t>Jorge Arturo Espinoza:</t>
        </r>
        <r>
          <rPr>
            <sz val="9"/>
            <color indexed="81"/>
            <rFont val="Tahoma"/>
            <family val="2"/>
          </rPr>
          <t xml:space="preserve">
DM: DSCTO MANUAL</t>
        </r>
      </text>
    </comment>
    <comment ref="D3037" authorId="0" shapeId="0" xr:uid="{00000000-0006-0000-0100-0000DE010000}">
      <text>
        <r>
          <rPr>
            <b/>
            <sz val="9"/>
            <color indexed="81"/>
            <rFont val="Tahoma"/>
            <family val="2"/>
          </rPr>
          <t>Jorge Arturo Espinoza:</t>
        </r>
        <r>
          <rPr>
            <sz val="9"/>
            <color indexed="81"/>
            <rFont val="Tahoma"/>
            <family val="2"/>
          </rPr>
          <t xml:space="preserve">
DM: DSCTO MANUAL</t>
        </r>
      </text>
    </comment>
    <comment ref="D3038" authorId="0" shapeId="0" xr:uid="{00000000-0006-0000-0100-0000DF010000}">
      <text>
        <r>
          <rPr>
            <b/>
            <sz val="9"/>
            <color indexed="81"/>
            <rFont val="Tahoma"/>
            <family val="2"/>
          </rPr>
          <t>Jorge Arturo Espinoza:</t>
        </r>
        <r>
          <rPr>
            <sz val="9"/>
            <color indexed="81"/>
            <rFont val="Tahoma"/>
            <family val="2"/>
          </rPr>
          <t xml:space="preserve">
DM: DSCTO MANUAL</t>
        </r>
      </text>
    </comment>
    <comment ref="D3039" authorId="0" shapeId="0" xr:uid="{00000000-0006-0000-0100-0000E0010000}">
      <text>
        <r>
          <rPr>
            <b/>
            <sz val="9"/>
            <color indexed="81"/>
            <rFont val="Tahoma"/>
            <family val="2"/>
          </rPr>
          <t>Jorge Arturo Espinoza:</t>
        </r>
        <r>
          <rPr>
            <sz val="9"/>
            <color indexed="81"/>
            <rFont val="Tahoma"/>
            <family val="2"/>
          </rPr>
          <t xml:space="preserve">
DM: DSCTO MANUAL</t>
        </r>
      </text>
    </comment>
    <comment ref="D3040" authorId="0" shapeId="0" xr:uid="{00000000-0006-0000-0100-0000E1010000}">
      <text>
        <r>
          <rPr>
            <b/>
            <sz val="9"/>
            <color indexed="81"/>
            <rFont val="Tahoma"/>
            <family val="2"/>
          </rPr>
          <t>Jorge Arturo Espinoza:</t>
        </r>
        <r>
          <rPr>
            <sz val="9"/>
            <color indexed="81"/>
            <rFont val="Tahoma"/>
            <family val="2"/>
          </rPr>
          <t xml:space="preserve">
DM: DSCTO MANUAL</t>
        </r>
      </text>
    </comment>
    <comment ref="D3041" authorId="0" shapeId="0" xr:uid="{00000000-0006-0000-0100-0000E2010000}">
      <text>
        <r>
          <rPr>
            <b/>
            <sz val="9"/>
            <color indexed="81"/>
            <rFont val="Tahoma"/>
            <family val="2"/>
          </rPr>
          <t>Jorge Arturo Espinoza:</t>
        </r>
        <r>
          <rPr>
            <sz val="9"/>
            <color indexed="81"/>
            <rFont val="Tahoma"/>
            <family val="2"/>
          </rPr>
          <t xml:space="preserve">
DM: DSCTO MANUAL</t>
        </r>
      </text>
    </comment>
    <comment ref="D3042" authorId="0" shapeId="0" xr:uid="{00000000-0006-0000-0100-0000E3010000}">
      <text>
        <r>
          <rPr>
            <b/>
            <sz val="9"/>
            <color indexed="81"/>
            <rFont val="Tahoma"/>
            <family val="2"/>
          </rPr>
          <t>Jorge Arturo Espinoza:</t>
        </r>
        <r>
          <rPr>
            <sz val="9"/>
            <color indexed="81"/>
            <rFont val="Tahoma"/>
            <family val="2"/>
          </rPr>
          <t xml:space="preserve">
DM: DSCTO MANUAL</t>
        </r>
      </text>
    </comment>
    <comment ref="D3043" authorId="0" shapeId="0" xr:uid="{00000000-0006-0000-0100-0000E4010000}">
      <text>
        <r>
          <rPr>
            <b/>
            <sz val="9"/>
            <color indexed="81"/>
            <rFont val="Tahoma"/>
            <family val="2"/>
          </rPr>
          <t>Jorge Arturo Espinoza:</t>
        </r>
        <r>
          <rPr>
            <sz val="9"/>
            <color indexed="81"/>
            <rFont val="Tahoma"/>
            <family val="2"/>
          </rPr>
          <t xml:space="preserve">
DM: DSCTO MANUAL</t>
        </r>
      </text>
    </comment>
    <comment ref="D3045" authorId="0" shapeId="0" xr:uid="{00000000-0006-0000-0100-0000E5010000}">
      <text>
        <r>
          <rPr>
            <b/>
            <sz val="9"/>
            <color indexed="81"/>
            <rFont val="Tahoma"/>
            <family val="2"/>
          </rPr>
          <t>Jorge Arturo Espinoza:</t>
        </r>
        <r>
          <rPr>
            <sz val="9"/>
            <color indexed="81"/>
            <rFont val="Tahoma"/>
            <family val="2"/>
          </rPr>
          <t xml:space="preserve">
DM: DSCTO MANUAL</t>
        </r>
      </text>
    </comment>
    <comment ref="D3046" authorId="0" shapeId="0" xr:uid="{00000000-0006-0000-0100-0000E6010000}">
      <text>
        <r>
          <rPr>
            <b/>
            <sz val="9"/>
            <color indexed="81"/>
            <rFont val="Tahoma"/>
            <family val="2"/>
          </rPr>
          <t>Jorge Arturo Espinoza:</t>
        </r>
        <r>
          <rPr>
            <sz val="9"/>
            <color indexed="81"/>
            <rFont val="Tahoma"/>
            <family val="2"/>
          </rPr>
          <t xml:space="preserve">
DM: DSCTO MANUAL</t>
        </r>
      </text>
    </comment>
    <comment ref="D3047" authorId="0" shapeId="0" xr:uid="{00000000-0006-0000-0100-0000E7010000}">
      <text>
        <r>
          <rPr>
            <b/>
            <sz val="9"/>
            <color indexed="81"/>
            <rFont val="Tahoma"/>
            <family val="2"/>
          </rPr>
          <t>Jorge Arturo Espinoza:</t>
        </r>
        <r>
          <rPr>
            <sz val="9"/>
            <color indexed="81"/>
            <rFont val="Tahoma"/>
            <family val="2"/>
          </rPr>
          <t xml:space="preserve">
DM: DSCTO MANUAL</t>
        </r>
      </text>
    </comment>
    <comment ref="D3048" authorId="0" shapeId="0" xr:uid="{00000000-0006-0000-0100-0000E8010000}">
      <text>
        <r>
          <rPr>
            <b/>
            <sz val="9"/>
            <color indexed="81"/>
            <rFont val="Tahoma"/>
            <family val="2"/>
          </rPr>
          <t>Jorge Arturo Espinoza:</t>
        </r>
        <r>
          <rPr>
            <sz val="9"/>
            <color indexed="81"/>
            <rFont val="Tahoma"/>
            <family val="2"/>
          </rPr>
          <t xml:space="preserve">
DM: DSCTO MANUAL</t>
        </r>
      </text>
    </comment>
    <comment ref="D3049" authorId="0" shapeId="0" xr:uid="{00000000-0006-0000-0100-0000E9010000}">
      <text>
        <r>
          <rPr>
            <b/>
            <sz val="9"/>
            <color indexed="81"/>
            <rFont val="Tahoma"/>
            <family val="2"/>
          </rPr>
          <t>Jorge Arturo Espinoza:</t>
        </r>
        <r>
          <rPr>
            <sz val="9"/>
            <color indexed="81"/>
            <rFont val="Tahoma"/>
            <family val="2"/>
          </rPr>
          <t xml:space="preserve">
DM: DSCTO MANUAL</t>
        </r>
      </text>
    </comment>
    <comment ref="D3050" authorId="0" shapeId="0" xr:uid="{00000000-0006-0000-0100-0000EA010000}">
      <text>
        <r>
          <rPr>
            <b/>
            <sz val="9"/>
            <color indexed="81"/>
            <rFont val="Tahoma"/>
            <family val="2"/>
          </rPr>
          <t>Jorge Arturo Espinoza:</t>
        </r>
        <r>
          <rPr>
            <sz val="9"/>
            <color indexed="81"/>
            <rFont val="Tahoma"/>
            <family val="2"/>
          </rPr>
          <t xml:space="preserve">
DM: DSCTO MANUAL</t>
        </r>
      </text>
    </comment>
    <comment ref="D3051" authorId="0" shapeId="0" xr:uid="{00000000-0006-0000-0100-0000EB010000}">
      <text>
        <r>
          <rPr>
            <b/>
            <sz val="9"/>
            <color indexed="81"/>
            <rFont val="Tahoma"/>
            <family val="2"/>
          </rPr>
          <t>Jorge Arturo Espinoza:</t>
        </r>
        <r>
          <rPr>
            <sz val="9"/>
            <color indexed="81"/>
            <rFont val="Tahoma"/>
            <family val="2"/>
          </rPr>
          <t xml:space="preserve">
DM: DSCTO MANUAL</t>
        </r>
      </text>
    </comment>
    <comment ref="D3052" authorId="0" shapeId="0" xr:uid="{00000000-0006-0000-0100-0000EC010000}">
      <text>
        <r>
          <rPr>
            <b/>
            <sz val="9"/>
            <color indexed="81"/>
            <rFont val="Tahoma"/>
            <family val="2"/>
          </rPr>
          <t>Jorge Arturo Espinoza:</t>
        </r>
        <r>
          <rPr>
            <sz val="9"/>
            <color indexed="81"/>
            <rFont val="Tahoma"/>
            <family val="2"/>
          </rPr>
          <t xml:space="preserve">
DM: DSCTO MANUAL</t>
        </r>
      </text>
    </comment>
    <comment ref="D3053" authorId="0" shapeId="0" xr:uid="{00000000-0006-0000-0100-0000ED010000}">
      <text>
        <r>
          <rPr>
            <b/>
            <sz val="9"/>
            <color indexed="81"/>
            <rFont val="Tahoma"/>
            <family val="2"/>
          </rPr>
          <t>Jorge Arturo Espinoza:</t>
        </r>
        <r>
          <rPr>
            <sz val="9"/>
            <color indexed="81"/>
            <rFont val="Tahoma"/>
            <family val="2"/>
          </rPr>
          <t xml:space="preserve">
DM: DSCTO MANUAL</t>
        </r>
      </text>
    </comment>
    <comment ref="D3055" authorId="0" shapeId="0" xr:uid="{00000000-0006-0000-0100-0000EE010000}">
      <text>
        <r>
          <rPr>
            <b/>
            <sz val="9"/>
            <color indexed="81"/>
            <rFont val="Tahoma"/>
            <family val="2"/>
          </rPr>
          <t>Jorge Arturo Espinoza:</t>
        </r>
        <r>
          <rPr>
            <sz val="9"/>
            <color indexed="81"/>
            <rFont val="Tahoma"/>
            <family val="2"/>
          </rPr>
          <t xml:space="preserve">
DM: DSCTO MANUAL</t>
        </r>
      </text>
    </comment>
    <comment ref="D3056" authorId="0" shapeId="0" xr:uid="{00000000-0006-0000-0100-0000EF010000}">
      <text>
        <r>
          <rPr>
            <b/>
            <sz val="9"/>
            <color indexed="81"/>
            <rFont val="Tahoma"/>
            <family val="2"/>
          </rPr>
          <t>Jorge Arturo Espinoza:</t>
        </r>
        <r>
          <rPr>
            <sz val="9"/>
            <color indexed="81"/>
            <rFont val="Tahoma"/>
            <family val="2"/>
          </rPr>
          <t xml:space="preserve">
DM: DSCTO MANUAL</t>
        </r>
      </text>
    </comment>
    <comment ref="D3057" authorId="0" shapeId="0" xr:uid="{00000000-0006-0000-0100-0000F0010000}">
      <text>
        <r>
          <rPr>
            <b/>
            <sz val="9"/>
            <color indexed="81"/>
            <rFont val="Tahoma"/>
            <family val="2"/>
          </rPr>
          <t>Jorge Arturo Espinoza:</t>
        </r>
        <r>
          <rPr>
            <sz val="9"/>
            <color indexed="81"/>
            <rFont val="Tahoma"/>
            <family val="2"/>
          </rPr>
          <t xml:space="preserve">
DM: DSCTO MANUAL</t>
        </r>
      </text>
    </comment>
    <comment ref="D3058" authorId="0" shapeId="0" xr:uid="{00000000-0006-0000-0100-0000F1010000}">
      <text>
        <r>
          <rPr>
            <b/>
            <sz val="9"/>
            <color indexed="81"/>
            <rFont val="Tahoma"/>
            <family val="2"/>
          </rPr>
          <t>Jorge Arturo Espinoza:</t>
        </r>
        <r>
          <rPr>
            <sz val="9"/>
            <color indexed="81"/>
            <rFont val="Tahoma"/>
            <family val="2"/>
          </rPr>
          <t xml:space="preserve">
DM: DSCTO MANUAL</t>
        </r>
      </text>
    </comment>
    <comment ref="D3059" authorId="0" shapeId="0" xr:uid="{00000000-0006-0000-0100-0000F2010000}">
      <text>
        <r>
          <rPr>
            <b/>
            <sz val="9"/>
            <color indexed="81"/>
            <rFont val="Tahoma"/>
            <family val="2"/>
          </rPr>
          <t>Jorge Arturo Espinoza:</t>
        </r>
        <r>
          <rPr>
            <sz val="9"/>
            <color indexed="81"/>
            <rFont val="Tahoma"/>
            <family val="2"/>
          </rPr>
          <t xml:space="preserve">
DM: DSCTO MANUAL</t>
        </r>
      </text>
    </comment>
    <comment ref="D3060" authorId="0" shapeId="0" xr:uid="{00000000-0006-0000-0100-0000F3010000}">
      <text>
        <r>
          <rPr>
            <b/>
            <sz val="9"/>
            <color indexed="81"/>
            <rFont val="Tahoma"/>
            <family val="2"/>
          </rPr>
          <t>Jorge Arturo Espinoza:</t>
        </r>
        <r>
          <rPr>
            <sz val="9"/>
            <color indexed="81"/>
            <rFont val="Tahoma"/>
            <family val="2"/>
          </rPr>
          <t xml:space="preserve">
DM: DSCTO MANUAL</t>
        </r>
      </text>
    </comment>
    <comment ref="D3061" authorId="0" shapeId="0" xr:uid="{00000000-0006-0000-0100-0000F4010000}">
      <text>
        <r>
          <rPr>
            <b/>
            <sz val="9"/>
            <color indexed="81"/>
            <rFont val="Tahoma"/>
            <family val="2"/>
          </rPr>
          <t>Jorge Arturo Espinoza:</t>
        </r>
        <r>
          <rPr>
            <sz val="9"/>
            <color indexed="81"/>
            <rFont val="Tahoma"/>
            <family val="2"/>
          </rPr>
          <t xml:space="preserve">
DM: DSCTO MANUAL</t>
        </r>
      </text>
    </comment>
    <comment ref="D3062" authorId="0" shapeId="0" xr:uid="{00000000-0006-0000-0100-0000F5010000}">
      <text>
        <r>
          <rPr>
            <b/>
            <sz val="9"/>
            <color indexed="81"/>
            <rFont val="Tahoma"/>
            <family val="2"/>
          </rPr>
          <t>Jorge Arturo Espinoza:</t>
        </r>
        <r>
          <rPr>
            <sz val="9"/>
            <color indexed="81"/>
            <rFont val="Tahoma"/>
            <family val="2"/>
          </rPr>
          <t xml:space="preserve">
DM: DSCTO MANUAL</t>
        </r>
      </text>
    </comment>
    <comment ref="D3063" authorId="0" shapeId="0" xr:uid="{00000000-0006-0000-0100-0000F6010000}">
      <text>
        <r>
          <rPr>
            <b/>
            <sz val="9"/>
            <color indexed="81"/>
            <rFont val="Tahoma"/>
            <family val="2"/>
          </rPr>
          <t>Jorge Arturo Espinoza:</t>
        </r>
        <r>
          <rPr>
            <sz val="9"/>
            <color indexed="81"/>
            <rFont val="Tahoma"/>
            <family val="2"/>
          </rPr>
          <t xml:space="preserve">
DM: DSCTO MANUAL</t>
        </r>
      </text>
    </comment>
    <comment ref="D3065" authorId="0" shapeId="0" xr:uid="{00000000-0006-0000-0100-0000F7010000}">
      <text>
        <r>
          <rPr>
            <b/>
            <sz val="9"/>
            <color indexed="81"/>
            <rFont val="Tahoma"/>
            <family val="2"/>
          </rPr>
          <t>Jorge Arturo Espinoza:</t>
        </r>
        <r>
          <rPr>
            <sz val="9"/>
            <color indexed="81"/>
            <rFont val="Tahoma"/>
            <family val="2"/>
          </rPr>
          <t xml:space="preserve">
DM: DSCTO MANUAL</t>
        </r>
      </text>
    </comment>
    <comment ref="D3066" authorId="0" shapeId="0" xr:uid="{00000000-0006-0000-0100-0000F8010000}">
      <text>
        <r>
          <rPr>
            <b/>
            <sz val="9"/>
            <color indexed="81"/>
            <rFont val="Tahoma"/>
            <family val="2"/>
          </rPr>
          <t>Jorge Arturo Espinoza:</t>
        </r>
        <r>
          <rPr>
            <sz val="9"/>
            <color indexed="81"/>
            <rFont val="Tahoma"/>
            <family val="2"/>
          </rPr>
          <t xml:space="preserve">
DM: DSCTO MANUAL</t>
        </r>
      </text>
    </comment>
    <comment ref="D3067" authorId="0" shapeId="0" xr:uid="{00000000-0006-0000-0100-0000F9010000}">
      <text>
        <r>
          <rPr>
            <b/>
            <sz val="9"/>
            <color indexed="81"/>
            <rFont val="Tahoma"/>
            <family val="2"/>
          </rPr>
          <t>Jorge Arturo Espinoza:</t>
        </r>
        <r>
          <rPr>
            <sz val="9"/>
            <color indexed="81"/>
            <rFont val="Tahoma"/>
            <family val="2"/>
          </rPr>
          <t xml:space="preserve">
DM: DSCTO MANUAL</t>
        </r>
      </text>
    </comment>
    <comment ref="D3068" authorId="0" shapeId="0" xr:uid="{00000000-0006-0000-0100-0000FA010000}">
      <text>
        <r>
          <rPr>
            <b/>
            <sz val="9"/>
            <color indexed="81"/>
            <rFont val="Tahoma"/>
            <family val="2"/>
          </rPr>
          <t>Jorge Arturo Espinoza:</t>
        </r>
        <r>
          <rPr>
            <sz val="9"/>
            <color indexed="81"/>
            <rFont val="Tahoma"/>
            <family val="2"/>
          </rPr>
          <t xml:space="preserve">
DM: DSCTO MANUAL</t>
        </r>
      </text>
    </comment>
    <comment ref="D3069" authorId="0" shapeId="0" xr:uid="{00000000-0006-0000-0100-0000FB010000}">
      <text>
        <r>
          <rPr>
            <b/>
            <sz val="9"/>
            <color indexed="81"/>
            <rFont val="Tahoma"/>
            <family val="2"/>
          </rPr>
          <t>Jorge Arturo Espinoza:</t>
        </r>
        <r>
          <rPr>
            <sz val="9"/>
            <color indexed="81"/>
            <rFont val="Tahoma"/>
            <family val="2"/>
          </rPr>
          <t xml:space="preserve">
DM: DSCTO MANUAL</t>
        </r>
      </text>
    </comment>
    <comment ref="D3070" authorId="0" shapeId="0" xr:uid="{00000000-0006-0000-0100-0000FC010000}">
      <text>
        <r>
          <rPr>
            <b/>
            <sz val="9"/>
            <color indexed="81"/>
            <rFont val="Tahoma"/>
            <family val="2"/>
          </rPr>
          <t>Jorge Arturo Espinoza:</t>
        </r>
        <r>
          <rPr>
            <sz val="9"/>
            <color indexed="81"/>
            <rFont val="Tahoma"/>
            <family val="2"/>
          </rPr>
          <t xml:space="preserve">
DM: DSCTO MANUAL</t>
        </r>
      </text>
    </comment>
    <comment ref="D3071" authorId="0" shapeId="0" xr:uid="{00000000-0006-0000-0100-0000FD010000}">
      <text>
        <r>
          <rPr>
            <b/>
            <sz val="9"/>
            <color indexed="81"/>
            <rFont val="Tahoma"/>
            <family val="2"/>
          </rPr>
          <t>Jorge Arturo Espinoza:</t>
        </r>
        <r>
          <rPr>
            <sz val="9"/>
            <color indexed="81"/>
            <rFont val="Tahoma"/>
            <family val="2"/>
          </rPr>
          <t xml:space="preserve">
DM: DSCTO MANUAL</t>
        </r>
      </text>
    </comment>
    <comment ref="D3072" authorId="0" shapeId="0" xr:uid="{00000000-0006-0000-0100-0000FE010000}">
      <text>
        <r>
          <rPr>
            <b/>
            <sz val="9"/>
            <color indexed="81"/>
            <rFont val="Tahoma"/>
            <family val="2"/>
          </rPr>
          <t>Jorge Arturo Espinoza:</t>
        </r>
        <r>
          <rPr>
            <sz val="9"/>
            <color indexed="81"/>
            <rFont val="Tahoma"/>
            <family val="2"/>
          </rPr>
          <t xml:space="preserve">
DM: DSCTO MANUAL</t>
        </r>
      </text>
    </comment>
    <comment ref="D3073" authorId="0" shapeId="0" xr:uid="{00000000-0006-0000-0100-0000FF010000}">
      <text>
        <r>
          <rPr>
            <b/>
            <sz val="9"/>
            <color indexed="81"/>
            <rFont val="Tahoma"/>
            <family val="2"/>
          </rPr>
          <t>Jorge Arturo Espinoza:</t>
        </r>
        <r>
          <rPr>
            <sz val="9"/>
            <color indexed="81"/>
            <rFont val="Tahoma"/>
            <family val="2"/>
          </rPr>
          <t xml:space="preserve">
DM: DSCTO MANUAL</t>
        </r>
      </text>
    </comment>
    <comment ref="D3075" authorId="0" shapeId="0" xr:uid="{00000000-0006-0000-0100-000000020000}">
      <text>
        <r>
          <rPr>
            <b/>
            <sz val="9"/>
            <color indexed="81"/>
            <rFont val="Tahoma"/>
            <family val="2"/>
          </rPr>
          <t>Jorge Arturo Espinoza:</t>
        </r>
        <r>
          <rPr>
            <sz val="9"/>
            <color indexed="81"/>
            <rFont val="Tahoma"/>
            <family val="2"/>
          </rPr>
          <t xml:space="preserve">
DM: DSCTO MANUAL</t>
        </r>
      </text>
    </comment>
    <comment ref="D3076" authorId="0" shapeId="0" xr:uid="{00000000-0006-0000-0100-000001020000}">
      <text>
        <r>
          <rPr>
            <b/>
            <sz val="9"/>
            <color indexed="81"/>
            <rFont val="Tahoma"/>
            <family val="2"/>
          </rPr>
          <t>Jorge Arturo Espinoza:</t>
        </r>
        <r>
          <rPr>
            <sz val="9"/>
            <color indexed="81"/>
            <rFont val="Tahoma"/>
            <family val="2"/>
          </rPr>
          <t xml:space="preserve">
DM: DSCTO MANUAL</t>
        </r>
      </text>
    </comment>
    <comment ref="D3077" authorId="0" shapeId="0" xr:uid="{00000000-0006-0000-0100-000002020000}">
      <text>
        <r>
          <rPr>
            <b/>
            <sz val="9"/>
            <color indexed="81"/>
            <rFont val="Tahoma"/>
            <family val="2"/>
          </rPr>
          <t>Jorge Arturo Espinoza:</t>
        </r>
        <r>
          <rPr>
            <sz val="9"/>
            <color indexed="81"/>
            <rFont val="Tahoma"/>
            <family val="2"/>
          </rPr>
          <t xml:space="preserve">
DM: DSCTO MANUAL</t>
        </r>
      </text>
    </comment>
    <comment ref="D3078" authorId="0" shapeId="0" xr:uid="{00000000-0006-0000-0100-000003020000}">
      <text>
        <r>
          <rPr>
            <b/>
            <sz val="9"/>
            <color indexed="81"/>
            <rFont val="Tahoma"/>
            <family val="2"/>
          </rPr>
          <t>Jorge Arturo Espinoza:</t>
        </r>
        <r>
          <rPr>
            <sz val="9"/>
            <color indexed="81"/>
            <rFont val="Tahoma"/>
            <family val="2"/>
          </rPr>
          <t xml:space="preserve">
DM: DSCTO MANUAL</t>
        </r>
      </text>
    </comment>
    <comment ref="D3079" authorId="0" shapeId="0" xr:uid="{00000000-0006-0000-0100-000004020000}">
      <text>
        <r>
          <rPr>
            <b/>
            <sz val="9"/>
            <color indexed="81"/>
            <rFont val="Tahoma"/>
            <family val="2"/>
          </rPr>
          <t>Jorge Arturo Espinoza:</t>
        </r>
        <r>
          <rPr>
            <sz val="9"/>
            <color indexed="81"/>
            <rFont val="Tahoma"/>
            <family val="2"/>
          </rPr>
          <t xml:space="preserve">
DM: DSCTO MANUAL</t>
        </r>
      </text>
    </comment>
    <comment ref="D3080" authorId="0" shapeId="0" xr:uid="{00000000-0006-0000-0100-000005020000}">
      <text>
        <r>
          <rPr>
            <b/>
            <sz val="9"/>
            <color indexed="81"/>
            <rFont val="Tahoma"/>
            <family val="2"/>
          </rPr>
          <t>Jorge Arturo Espinoza:</t>
        </r>
        <r>
          <rPr>
            <sz val="9"/>
            <color indexed="81"/>
            <rFont val="Tahoma"/>
            <family val="2"/>
          </rPr>
          <t xml:space="preserve">
DM: DSCTO MANUAL</t>
        </r>
      </text>
    </comment>
    <comment ref="D3081" authorId="0" shapeId="0" xr:uid="{00000000-0006-0000-0100-000006020000}">
      <text>
        <r>
          <rPr>
            <b/>
            <sz val="9"/>
            <color indexed="81"/>
            <rFont val="Tahoma"/>
            <family val="2"/>
          </rPr>
          <t>Jorge Arturo Espinoza:</t>
        </r>
        <r>
          <rPr>
            <sz val="9"/>
            <color indexed="81"/>
            <rFont val="Tahoma"/>
            <family val="2"/>
          </rPr>
          <t xml:space="preserve">
DM: DSCTO MANUAL</t>
        </r>
      </text>
    </comment>
    <comment ref="D3082" authorId="0" shapeId="0" xr:uid="{00000000-0006-0000-0100-000007020000}">
      <text>
        <r>
          <rPr>
            <b/>
            <sz val="9"/>
            <color indexed="81"/>
            <rFont val="Tahoma"/>
            <family val="2"/>
          </rPr>
          <t>Jorge Arturo Espinoza:</t>
        </r>
        <r>
          <rPr>
            <sz val="9"/>
            <color indexed="81"/>
            <rFont val="Tahoma"/>
            <family val="2"/>
          </rPr>
          <t xml:space="preserve">
DM: DSCTO MANUAL</t>
        </r>
      </text>
    </comment>
    <comment ref="D3083" authorId="0" shapeId="0" xr:uid="{00000000-0006-0000-0100-000008020000}">
      <text>
        <r>
          <rPr>
            <b/>
            <sz val="9"/>
            <color indexed="81"/>
            <rFont val="Tahoma"/>
            <family val="2"/>
          </rPr>
          <t>Jorge Arturo Espinoza:</t>
        </r>
        <r>
          <rPr>
            <sz val="9"/>
            <color indexed="81"/>
            <rFont val="Tahoma"/>
            <family val="2"/>
          </rPr>
          <t xml:space="preserve">
DM: DSCTO MANUAL</t>
        </r>
      </text>
    </comment>
    <comment ref="D3085" authorId="0" shapeId="0" xr:uid="{00000000-0006-0000-0100-000009020000}">
      <text>
        <r>
          <rPr>
            <b/>
            <sz val="9"/>
            <color indexed="81"/>
            <rFont val="Tahoma"/>
            <family val="2"/>
          </rPr>
          <t>Jorge Arturo Espinoza:</t>
        </r>
        <r>
          <rPr>
            <sz val="9"/>
            <color indexed="81"/>
            <rFont val="Tahoma"/>
            <family val="2"/>
          </rPr>
          <t xml:space="preserve">
DM: DSCTO MANUAL</t>
        </r>
      </text>
    </comment>
    <comment ref="D3086" authorId="0" shapeId="0" xr:uid="{00000000-0006-0000-0100-00000A020000}">
      <text>
        <r>
          <rPr>
            <b/>
            <sz val="9"/>
            <color indexed="81"/>
            <rFont val="Tahoma"/>
            <family val="2"/>
          </rPr>
          <t>Jorge Arturo Espinoza:</t>
        </r>
        <r>
          <rPr>
            <sz val="9"/>
            <color indexed="81"/>
            <rFont val="Tahoma"/>
            <family val="2"/>
          </rPr>
          <t xml:space="preserve">
DM: DSCTO MANUAL</t>
        </r>
      </text>
    </comment>
    <comment ref="D3087" authorId="0" shapeId="0" xr:uid="{00000000-0006-0000-0100-00000B020000}">
      <text>
        <r>
          <rPr>
            <b/>
            <sz val="9"/>
            <color indexed="81"/>
            <rFont val="Tahoma"/>
            <family val="2"/>
          </rPr>
          <t>Jorge Arturo Espinoza:</t>
        </r>
        <r>
          <rPr>
            <sz val="9"/>
            <color indexed="81"/>
            <rFont val="Tahoma"/>
            <family val="2"/>
          </rPr>
          <t xml:space="preserve">
DM: DSCTO MANUAL</t>
        </r>
      </text>
    </comment>
    <comment ref="D3088" authorId="0" shapeId="0" xr:uid="{00000000-0006-0000-0100-00000C020000}">
      <text>
        <r>
          <rPr>
            <b/>
            <sz val="9"/>
            <color indexed="81"/>
            <rFont val="Tahoma"/>
            <family val="2"/>
          </rPr>
          <t>Jorge Arturo Espinoza:</t>
        </r>
        <r>
          <rPr>
            <sz val="9"/>
            <color indexed="81"/>
            <rFont val="Tahoma"/>
            <family val="2"/>
          </rPr>
          <t xml:space="preserve">
DM: DSCTO MANUAL</t>
        </r>
      </text>
    </comment>
    <comment ref="D3089" authorId="0" shapeId="0" xr:uid="{00000000-0006-0000-0100-00000D020000}">
      <text>
        <r>
          <rPr>
            <b/>
            <sz val="9"/>
            <color indexed="81"/>
            <rFont val="Tahoma"/>
            <family val="2"/>
          </rPr>
          <t>Jorge Arturo Espinoza:</t>
        </r>
        <r>
          <rPr>
            <sz val="9"/>
            <color indexed="81"/>
            <rFont val="Tahoma"/>
            <family val="2"/>
          </rPr>
          <t xml:space="preserve">
DM: DSCTO MANUAL</t>
        </r>
      </text>
    </comment>
    <comment ref="D3090" authorId="0" shapeId="0" xr:uid="{00000000-0006-0000-0100-00000E020000}">
      <text>
        <r>
          <rPr>
            <b/>
            <sz val="9"/>
            <color indexed="81"/>
            <rFont val="Tahoma"/>
            <family val="2"/>
          </rPr>
          <t>Jorge Arturo Espinoza:</t>
        </r>
        <r>
          <rPr>
            <sz val="9"/>
            <color indexed="81"/>
            <rFont val="Tahoma"/>
            <family val="2"/>
          </rPr>
          <t xml:space="preserve">
DM: DSCTO MANUAL</t>
        </r>
      </text>
    </comment>
    <comment ref="D3091" authorId="0" shapeId="0" xr:uid="{00000000-0006-0000-0100-00000F020000}">
      <text>
        <r>
          <rPr>
            <b/>
            <sz val="9"/>
            <color indexed="81"/>
            <rFont val="Tahoma"/>
            <family val="2"/>
          </rPr>
          <t>Jorge Arturo Espinoza:</t>
        </r>
        <r>
          <rPr>
            <sz val="9"/>
            <color indexed="81"/>
            <rFont val="Tahoma"/>
            <family val="2"/>
          </rPr>
          <t xml:space="preserve">
DM: DSCTO MANUAL</t>
        </r>
      </text>
    </comment>
    <comment ref="D3092" authorId="0" shapeId="0" xr:uid="{00000000-0006-0000-0100-000010020000}">
      <text>
        <r>
          <rPr>
            <b/>
            <sz val="9"/>
            <color indexed="81"/>
            <rFont val="Tahoma"/>
            <family val="2"/>
          </rPr>
          <t>Jorge Arturo Espinoza:</t>
        </r>
        <r>
          <rPr>
            <sz val="9"/>
            <color indexed="81"/>
            <rFont val="Tahoma"/>
            <family val="2"/>
          </rPr>
          <t xml:space="preserve">
DM: DSCTO MANUAL</t>
        </r>
      </text>
    </comment>
    <comment ref="D3093" authorId="0" shapeId="0" xr:uid="{00000000-0006-0000-0100-000011020000}">
      <text>
        <r>
          <rPr>
            <b/>
            <sz val="9"/>
            <color indexed="81"/>
            <rFont val="Tahoma"/>
            <family val="2"/>
          </rPr>
          <t>Jorge Arturo Espinoza:</t>
        </r>
        <r>
          <rPr>
            <sz val="9"/>
            <color indexed="81"/>
            <rFont val="Tahoma"/>
            <family val="2"/>
          </rPr>
          <t xml:space="preserve">
DM: DSCTO MANUAL</t>
        </r>
      </text>
    </comment>
    <comment ref="D3095" authorId="0" shapeId="0" xr:uid="{00000000-0006-0000-0100-000012020000}">
      <text>
        <r>
          <rPr>
            <b/>
            <sz val="9"/>
            <color indexed="81"/>
            <rFont val="Tahoma"/>
            <family val="2"/>
          </rPr>
          <t>Jorge Arturo Espinoza:</t>
        </r>
        <r>
          <rPr>
            <sz val="9"/>
            <color indexed="81"/>
            <rFont val="Tahoma"/>
            <family val="2"/>
          </rPr>
          <t xml:space="preserve">
DM: DSCTO MANUAL</t>
        </r>
      </text>
    </comment>
    <comment ref="D3096" authorId="0" shapeId="0" xr:uid="{00000000-0006-0000-0100-000013020000}">
      <text>
        <r>
          <rPr>
            <b/>
            <sz val="9"/>
            <color indexed="81"/>
            <rFont val="Tahoma"/>
            <family val="2"/>
          </rPr>
          <t>Jorge Arturo Espinoza:</t>
        </r>
        <r>
          <rPr>
            <sz val="9"/>
            <color indexed="81"/>
            <rFont val="Tahoma"/>
            <family val="2"/>
          </rPr>
          <t xml:space="preserve">
DM: DSCTO MANUAL</t>
        </r>
      </text>
    </comment>
    <comment ref="D3097" authorId="0" shapeId="0" xr:uid="{00000000-0006-0000-0100-000014020000}">
      <text>
        <r>
          <rPr>
            <b/>
            <sz val="9"/>
            <color indexed="81"/>
            <rFont val="Tahoma"/>
            <family val="2"/>
          </rPr>
          <t>Jorge Arturo Espinoza:</t>
        </r>
        <r>
          <rPr>
            <sz val="9"/>
            <color indexed="81"/>
            <rFont val="Tahoma"/>
            <family val="2"/>
          </rPr>
          <t xml:space="preserve">
DM: DSCTO MANUAL</t>
        </r>
      </text>
    </comment>
    <comment ref="D3098" authorId="0" shapeId="0" xr:uid="{00000000-0006-0000-0100-000015020000}">
      <text>
        <r>
          <rPr>
            <b/>
            <sz val="9"/>
            <color indexed="81"/>
            <rFont val="Tahoma"/>
            <family val="2"/>
          </rPr>
          <t>Jorge Arturo Espinoza:</t>
        </r>
        <r>
          <rPr>
            <sz val="9"/>
            <color indexed="81"/>
            <rFont val="Tahoma"/>
            <family val="2"/>
          </rPr>
          <t xml:space="preserve">
DM: DSCTO MANUAL</t>
        </r>
      </text>
    </comment>
    <comment ref="D3099" authorId="0" shapeId="0" xr:uid="{00000000-0006-0000-0100-000016020000}">
      <text>
        <r>
          <rPr>
            <b/>
            <sz val="9"/>
            <color indexed="81"/>
            <rFont val="Tahoma"/>
            <family val="2"/>
          </rPr>
          <t>Jorge Arturo Espinoza:</t>
        </r>
        <r>
          <rPr>
            <sz val="9"/>
            <color indexed="81"/>
            <rFont val="Tahoma"/>
            <family val="2"/>
          </rPr>
          <t xml:space="preserve">
DM: DSCTO MANUAL</t>
        </r>
      </text>
    </comment>
    <comment ref="D3100" authorId="0" shapeId="0" xr:uid="{00000000-0006-0000-0100-000017020000}">
      <text>
        <r>
          <rPr>
            <b/>
            <sz val="9"/>
            <color indexed="81"/>
            <rFont val="Tahoma"/>
            <family val="2"/>
          </rPr>
          <t>Jorge Arturo Espinoza:</t>
        </r>
        <r>
          <rPr>
            <sz val="9"/>
            <color indexed="81"/>
            <rFont val="Tahoma"/>
            <family val="2"/>
          </rPr>
          <t xml:space="preserve">
DM: DSCTO MANUAL</t>
        </r>
      </text>
    </comment>
    <comment ref="D3101" authorId="0" shapeId="0" xr:uid="{00000000-0006-0000-0100-000018020000}">
      <text>
        <r>
          <rPr>
            <b/>
            <sz val="9"/>
            <color indexed="81"/>
            <rFont val="Tahoma"/>
            <family val="2"/>
          </rPr>
          <t>Jorge Arturo Espinoza:</t>
        </r>
        <r>
          <rPr>
            <sz val="9"/>
            <color indexed="81"/>
            <rFont val="Tahoma"/>
            <family val="2"/>
          </rPr>
          <t xml:space="preserve">
DM: DSCTO MANUAL</t>
        </r>
      </text>
    </comment>
    <comment ref="D3102" authorId="0" shapeId="0" xr:uid="{00000000-0006-0000-0100-000019020000}">
      <text>
        <r>
          <rPr>
            <b/>
            <sz val="9"/>
            <color indexed="81"/>
            <rFont val="Tahoma"/>
            <family val="2"/>
          </rPr>
          <t>Jorge Arturo Espinoza:</t>
        </r>
        <r>
          <rPr>
            <sz val="9"/>
            <color indexed="81"/>
            <rFont val="Tahoma"/>
            <family val="2"/>
          </rPr>
          <t xml:space="preserve">
DM: DSCTO MANUAL</t>
        </r>
      </text>
    </comment>
    <comment ref="D3103" authorId="0" shapeId="0" xr:uid="{00000000-0006-0000-0100-00001A020000}">
      <text>
        <r>
          <rPr>
            <b/>
            <sz val="9"/>
            <color indexed="81"/>
            <rFont val="Tahoma"/>
            <family val="2"/>
          </rPr>
          <t>Jorge Arturo Espinoza:</t>
        </r>
        <r>
          <rPr>
            <sz val="9"/>
            <color indexed="81"/>
            <rFont val="Tahoma"/>
            <family val="2"/>
          </rPr>
          <t xml:space="preserve">
DM: DSCTO MANUAL</t>
        </r>
      </text>
    </comment>
    <comment ref="D3105" authorId="0" shapeId="0" xr:uid="{00000000-0006-0000-0100-00001B020000}">
      <text>
        <r>
          <rPr>
            <b/>
            <sz val="9"/>
            <color indexed="81"/>
            <rFont val="Tahoma"/>
            <family val="2"/>
          </rPr>
          <t>Jorge Arturo Espinoza:</t>
        </r>
        <r>
          <rPr>
            <sz val="9"/>
            <color indexed="81"/>
            <rFont val="Tahoma"/>
            <family val="2"/>
          </rPr>
          <t xml:space="preserve">
DM: DSCTO MANUAL</t>
        </r>
      </text>
    </comment>
    <comment ref="D3106" authorId="0" shapeId="0" xr:uid="{00000000-0006-0000-0100-00001C020000}">
      <text>
        <r>
          <rPr>
            <b/>
            <sz val="9"/>
            <color indexed="81"/>
            <rFont val="Tahoma"/>
            <family val="2"/>
          </rPr>
          <t>Jorge Arturo Espinoza:</t>
        </r>
        <r>
          <rPr>
            <sz val="9"/>
            <color indexed="81"/>
            <rFont val="Tahoma"/>
            <family val="2"/>
          </rPr>
          <t xml:space="preserve">
DM: DSCTO MANUAL</t>
        </r>
      </text>
    </comment>
    <comment ref="D3107" authorId="0" shapeId="0" xr:uid="{00000000-0006-0000-0100-00001D020000}">
      <text>
        <r>
          <rPr>
            <b/>
            <sz val="9"/>
            <color indexed="81"/>
            <rFont val="Tahoma"/>
            <family val="2"/>
          </rPr>
          <t>Jorge Arturo Espinoza:</t>
        </r>
        <r>
          <rPr>
            <sz val="9"/>
            <color indexed="81"/>
            <rFont val="Tahoma"/>
            <family val="2"/>
          </rPr>
          <t xml:space="preserve">
DM: DSCTO MANUAL</t>
        </r>
      </text>
    </comment>
    <comment ref="D3108" authorId="0" shapeId="0" xr:uid="{00000000-0006-0000-0100-00001E020000}">
      <text>
        <r>
          <rPr>
            <b/>
            <sz val="9"/>
            <color indexed="81"/>
            <rFont val="Tahoma"/>
            <family val="2"/>
          </rPr>
          <t>Jorge Arturo Espinoza:</t>
        </r>
        <r>
          <rPr>
            <sz val="9"/>
            <color indexed="81"/>
            <rFont val="Tahoma"/>
            <family val="2"/>
          </rPr>
          <t xml:space="preserve">
DM: DSCTO MANUAL</t>
        </r>
      </text>
    </comment>
    <comment ref="D3109" authorId="0" shapeId="0" xr:uid="{00000000-0006-0000-0100-00001F020000}">
      <text>
        <r>
          <rPr>
            <b/>
            <sz val="9"/>
            <color indexed="81"/>
            <rFont val="Tahoma"/>
            <family val="2"/>
          </rPr>
          <t>Jorge Arturo Espinoza:</t>
        </r>
        <r>
          <rPr>
            <sz val="9"/>
            <color indexed="81"/>
            <rFont val="Tahoma"/>
            <family val="2"/>
          </rPr>
          <t xml:space="preserve">
DM: DSCTO MANUAL</t>
        </r>
      </text>
    </comment>
    <comment ref="D3110" authorId="0" shapeId="0" xr:uid="{00000000-0006-0000-0100-000020020000}">
      <text>
        <r>
          <rPr>
            <b/>
            <sz val="9"/>
            <color indexed="81"/>
            <rFont val="Tahoma"/>
            <family val="2"/>
          </rPr>
          <t>Jorge Arturo Espinoza:</t>
        </r>
        <r>
          <rPr>
            <sz val="9"/>
            <color indexed="81"/>
            <rFont val="Tahoma"/>
            <family val="2"/>
          </rPr>
          <t xml:space="preserve">
DM: DSCTO MANUAL</t>
        </r>
      </text>
    </comment>
    <comment ref="D3112" authorId="0" shapeId="0" xr:uid="{00000000-0006-0000-0100-000021020000}">
      <text>
        <r>
          <rPr>
            <b/>
            <sz val="9"/>
            <color indexed="81"/>
            <rFont val="Tahoma"/>
            <family val="2"/>
          </rPr>
          <t>Jorge Arturo Espinoza:</t>
        </r>
        <r>
          <rPr>
            <sz val="9"/>
            <color indexed="81"/>
            <rFont val="Tahoma"/>
            <family val="2"/>
          </rPr>
          <t xml:space="preserve">
DM: DSCTO MANUAL</t>
        </r>
      </text>
    </comment>
    <comment ref="D3113" authorId="0" shapeId="0" xr:uid="{00000000-0006-0000-0100-000022020000}">
      <text>
        <r>
          <rPr>
            <b/>
            <sz val="9"/>
            <color indexed="81"/>
            <rFont val="Tahoma"/>
            <family val="2"/>
          </rPr>
          <t>Jorge Arturo Espinoza:</t>
        </r>
        <r>
          <rPr>
            <sz val="9"/>
            <color indexed="81"/>
            <rFont val="Tahoma"/>
            <family val="2"/>
          </rPr>
          <t xml:space="preserve">
DM: DSCTO MANUAL</t>
        </r>
      </text>
    </comment>
    <comment ref="D3114" authorId="0" shapeId="0" xr:uid="{00000000-0006-0000-0100-000023020000}">
      <text>
        <r>
          <rPr>
            <b/>
            <sz val="9"/>
            <color indexed="81"/>
            <rFont val="Tahoma"/>
            <family val="2"/>
          </rPr>
          <t>Jorge Arturo Espinoza:</t>
        </r>
        <r>
          <rPr>
            <sz val="9"/>
            <color indexed="81"/>
            <rFont val="Tahoma"/>
            <family val="2"/>
          </rPr>
          <t xml:space="preserve">
DM: DSCTO MANUAL</t>
        </r>
      </text>
    </comment>
    <comment ref="D3115" authorId="0" shapeId="0" xr:uid="{00000000-0006-0000-0100-000024020000}">
      <text>
        <r>
          <rPr>
            <b/>
            <sz val="9"/>
            <color indexed="81"/>
            <rFont val="Tahoma"/>
            <family val="2"/>
          </rPr>
          <t>Jorge Arturo Espinoza:</t>
        </r>
        <r>
          <rPr>
            <sz val="9"/>
            <color indexed="81"/>
            <rFont val="Tahoma"/>
            <family val="2"/>
          </rPr>
          <t xml:space="preserve">
DM: DSCTO MANUAL</t>
        </r>
      </text>
    </comment>
    <comment ref="D3116" authorId="0" shapeId="0" xr:uid="{00000000-0006-0000-0100-000025020000}">
      <text>
        <r>
          <rPr>
            <b/>
            <sz val="9"/>
            <color indexed="81"/>
            <rFont val="Tahoma"/>
            <family val="2"/>
          </rPr>
          <t>Jorge Arturo Espinoza:</t>
        </r>
        <r>
          <rPr>
            <sz val="9"/>
            <color indexed="81"/>
            <rFont val="Tahoma"/>
            <family val="2"/>
          </rPr>
          <t xml:space="preserve">
DM: DSCTO MANUAL</t>
        </r>
      </text>
    </comment>
    <comment ref="D3117" authorId="0" shapeId="0" xr:uid="{00000000-0006-0000-0100-000026020000}">
      <text>
        <r>
          <rPr>
            <b/>
            <sz val="9"/>
            <color indexed="81"/>
            <rFont val="Tahoma"/>
            <family val="2"/>
          </rPr>
          <t>Jorge Arturo Espinoza:</t>
        </r>
        <r>
          <rPr>
            <sz val="9"/>
            <color indexed="81"/>
            <rFont val="Tahoma"/>
            <family val="2"/>
          </rPr>
          <t xml:space="preserve">
DM: DSCTO MANUAL</t>
        </r>
      </text>
    </comment>
    <comment ref="D3121" authorId="0" shapeId="0" xr:uid="{00000000-0006-0000-0100-000027020000}">
      <text>
        <r>
          <rPr>
            <b/>
            <sz val="9"/>
            <color indexed="81"/>
            <rFont val="Tahoma"/>
            <family val="2"/>
          </rPr>
          <t>Jorge Arturo Espinoza:</t>
        </r>
        <r>
          <rPr>
            <sz val="9"/>
            <color indexed="81"/>
            <rFont val="Tahoma"/>
            <family val="2"/>
          </rPr>
          <t xml:space="preserve">
DM: DSCTO MANUAL</t>
        </r>
      </text>
    </comment>
    <comment ref="D3122" authorId="0" shapeId="0" xr:uid="{00000000-0006-0000-0100-000028020000}">
      <text>
        <r>
          <rPr>
            <b/>
            <sz val="9"/>
            <color indexed="81"/>
            <rFont val="Tahoma"/>
            <family val="2"/>
          </rPr>
          <t>Jorge Arturo Espinoza:</t>
        </r>
        <r>
          <rPr>
            <sz val="9"/>
            <color indexed="81"/>
            <rFont val="Tahoma"/>
            <family val="2"/>
          </rPr>
          <t xml:space="preserve">
DM: DSCTO MANUAL</t>
        </r>
      </text>
    </comment>
    <comment ref="D3123" authorId="0" shapeId="0" xr:uid="{00000000-0006-0000-0100-000029020000}">
      <text>
        <r>
          <rPr>
            <b/>
            <sz val="9"/>
            <color indexed="81"/>
            <rFont val="Tahoma"/>
            <family val="2"/>
          </rPr>
          <t>Jorge Arturo Espinoza:</t>
        </r>
        <r>
          <rPr>
            <sz val="9"/>
            <color indexed="81"/>
            <rFont val="Tahoma"/>
            <family val="2"/>
          </rPr>
          <t xml:space="preserve">
DM: DSCTO MANUAL</t>
        </r>
      </text>
    </comment>
    <comment ref="D3124" authorId="0" shapeId="0" xr:uid="{00000000-0006-0000-0100-00002A020000}">
      <text>
        <r>
          <rPr>
            <b/>
            <sz val="9"/>
            <color indexed="81"/>
            <rFont val="Tahoma"/>
            <family val="2"/>
          </rPr>
          <t>Jorge Arturo Espinoza:</t>
        </r>
        <r>
          <rPr>
            <sz val="9"/>
            <color indexed="81"/>
            <rFont val="Tahoma"/>
            <family val="2"/>
          </rPr>
          <t xml:space="preserve">
DM: DSCTO MANUAL</t>
        </r>
      </text>
    </comment>
    <comment ref="D3125" authorId="0" shapeId="0" xr:uid="{00000000-0006-0000-0100-00002B020000}">
      <text>
        <r>
          <rPr>
            <b/>
            <sz val="9"/>
            <color indexed="81"/>
            <rFont val="Tahoma"/>
            <family val="2"/>
          </rPr>
          <t>Jorge Arturo Espinoza:</t>
        </r>
        <r>
          <rPr>
            <sz val="9"/>
            <color indexed="81"/>
            <rFont val="Tahoma"/>
            <family val="2"/>
          </rPr>
          <t xml:space="preserve">
DM: DSCTO MANUAL</t>
        </r>
      </text>
    </comment>
    <comment ref="D3126" authorId="0" shapeId="0" xr:uid="{00000000-0006-0000-0100-00002C020000}">
      <text>
        <r>
          <rPr>
            <b/>
            <sz val="9"/>
            <color indexed="81"/>
            <rFont val="Tahoma"/>
            <family val="2"/>
          </rPr>
          <t>Jorge Arturo Espinoza:</t>
        </r>
        <r>
          <rPr>
            <sz val="9"/>
            <color indexed="81"/>
            <rFont val="Tahoma"/>
            <family val="2"/>
          </rPr>
          <t xml:space="preserve">
DM: DSCTO MANUAL</t>
        </r>
      </text>
    </comment>
    <comment ref="D3128" authorId="0" shapeId="0" xr:uid="{00000000-0006-0000-0100-00002D020000}">
      <text>
        <r>
          <rPr>
            <b/>
            <sz val="9"/>
            <color indexed="81"/>
            <rFont val="Tahoma"/>
            <family val="2"/>
          </rPr>
          <t>Jorge Arturo Espinoza:</t>
        </r>
        <r>
          <rPr>
            <sz val="9"/>
            <color indexed="81"/>
            <rFont val="Tahoma"/>
            <family val="2"/>
          </rPr>
          <t xml:space="preserve">
DM: DSCTO MANUAL</t>
        </r>
      </text>
    </comment>
    <comment ref="D3129" authorId="0" shapeId="0" xr:uid="{00000000-0006-0000-0100-00002E020000}">
      <text>
        <r>
          <rPr>
            <b/>
            <sz val="9"/>
            <color indexed="81"/>
            <rFont val="Tahoma"/>
            <family val="2"/>
          </rPr>
          <t>Jorge Arturo Espinoza:</t>
        </r>
        <r>
          <rPr>
            <sz val="9"/>
            <color indexed="81"/>
            <rFont val="Tahoma"/>
            <family val="2"/>
          </rPr>
          <t xml:space="preserve">
DM: DSCTO MANUAL</t>
        </r>
      </text>
    </comment>
    <comment ref="D3130" authorId="0" shapeId="0" xr:uid="{00000000-0006-0000-0100-00002F020000}">
      <text>
        <r>
          <rPr>
            <b/>
            <sz val="9"/>
            <color indexed="81"/>
            <rFont val="Tahoma"/>
            <family val="2"/>
          </rPr>
          <t>Jorge Arturo Espinoza:</t>
        </r>
        <r>
          <rPr>
            <sz val="9"/>
            <color indexed="81"/>
            <rFont val="Tahoma"/>
            <family val="2"/>
          </rPr>
          <t xml:space="preserve">
DM: DSCTO MANUAL</t>
        </r>
      </text>
    </comment>
    <comment ref="D3131" authorId="0" shapeId="0" xr:uid="{00000000-0006-0000-0100-000030020000}">
      <text>
        <r>
          <rPr>
            <b/>
            <sz val="9"/>
            <color indexed="81"/>
            <rFont val="Tahoma"/>
            <family val="2"/>
          </rPr>
          <t>Jorge Arturo Espinoza:</t>
        </r>
        <r>
          <rPr>
            <sz val="9"/>
            <color indexed="81"/>
            <rFont val="Tahoma"/>
            <family val="2"/>
          </rPr>
          <t xml:space="preserve">
DM: DSCTO MANUAL</t>
        </r>
      </text>
    </comment>
    <comment ref="D3132" authorId="0" shapeId="0" xr:uid="{00000000-0006-0000-0100-000031020000}">
      <text>
        <r>
          <rPr>
            <b/>
            <sz val="9"/>
            <color indexed="81"/>
            <rFont val="Tahoma"/>
            <family val="2"/>
          </rPr>
          <t>Jorge Arturo Espinoza:</t>
        </r>
        <r>
          <rPr>
            <sz val="9"/>
            <color indexed="81"/>
            <rFont val="Tahoma"/>
            <family val="2"/>
          </rPr>
          <t xml:space="preserve">
DM: DSCTO MANUAL</t>
        </r>
      </text>
    </comment>
    <comment ref="D3133" authorId="0" shapeId="0" xr:uid="{00000000-0006-0000-0100-000032020000}">
      <text>
        <r>
          <rPr>
            <b/>
            <sz val="9"/>
            <color indexed="81"/>
            <rFont val="Tahoma"/>
            <family val="2"/>
          </rPr>
          <t>Jorge Arturo Espinoza:</t>
        </r>
        <r>
          <rPr>
            <sz val="9"/>
            <color indexed="81"/>
            <rFont val="Tahoma"/>
            <family val="2"/>
          </rPr>
          <t xml:space="preserve">
DM: DSCTO MANUAL</t>
        </r>
      </text>
    </comment>
    <comment ref="D3135" authorId="0" shapeId="0" xr:uid="{00000000-0006-0000-0100-000033020000}">
      <text>
        <r>
          <rPr>
            <b/>
            <sz val="9"/>
            <color indexed="81"/>
            <rFont val="Tahoma"/>
            <family val="2"/>
          </rPr>
          <t>Jorge Arturo Espinoza:</t>
        </r>
        <r>
          <rPr>
            <sz val="9"/>
            <color indexed="81"/>
            <rFont val="Tahoma"/>
            <family val="2"/>
          </rPr>
          <t xml:space="preserve">
DM: DSCTO MANUAL</t>
        </r>
      </text>
    </comment>
    <comment ref="D3136" authorId="0" shapeId="0" xr:uid="{00000000-0006-0000-0100-000034020000}">
      <text>
        <r>
          <rPr>
            <b/>
            <sz val="9"/>
            <color indexed="81"/>
            <rFont val="Tahoma"/>
            <family val="2"/>
          </rPr>
          <t>Jorge Arturo Espinoza:</t>
        </r>
        <r>
          <rPr>
            <sz val="9"/>
            <color indexed="81"/>
            <rFont val="Tahoma"/>
            <family val="2"/>
          </rPr>
          <t xml:space="preserve">
DM: DSCTO MANUAL</t>
        </r>
      </text>
    </comment>
    <comment ref="D3137" authorId="0" shapeId="0" xr:uid="{00000000-0006-0000-0100-000035020000}">
      <text>
        <r>
          <rPr>
            <b/>
            <sz val="9"/>
            <color indexed="81"/>
            <rFont val="Tahoma"/>
            <family val="2"/>
          </rPr>
          <t>Jorge Arturo Espinoza:</t>
        </r>
        <r>
          <rPr>
            <sz val="9"/>
            <color indexed="81"/>
            <rFont val="Tahoma"/>
            <family val="2"/>
          </rPr>
          <t xml:space="preserve">
DM: DSCTO MANUAL</t>
        </r>
      </text>
    </comment>
    <comment ref="D3138" authorId="0" shapeId="0" xr:uid="{00000000-0006-0000-0100-000036020000}">
      <text>
        <r>
          <rPr>
            <b/>
            <sz val="9"/>
            <color indexed="81"/>
            <rFont val="Tahoma"/>
            <family val="2"/>
          </rPr>
          <t>Jorge Arturo Espinoza:</t>
        </r>
        <r>
          <rPr>
            <sz val="9"/>
            <color indexed="81"/>
            <rFont val="Tahoma"/>
            <family val="2"/>
          </rPr>
          <t xml:space="preserve">
DM: DSCTO MANUAL</t>
        </r>
      </text>
    </comment>
    <comment ref="D3139" authorId="0" shapeId="0" xr:uid="{00000000-0006-0000-0100-000037020000}">
      <text>
        <r>
          <rPr>
            <b/>
            <sz val="9"/>
            <color indexed="81"/>
            <rFont val="Tahoma"/>
            <family val="2"/>
          </rPr>
          <t>Jorge Arturo Espinoza:</t>
        </r>
        <r>
          <rPr>
            <sz val="9"/>
            <color indexed="81"/>
            <rFont val="Tahoma"/>
            <family val="2"/>
          </rPr>
          <t xml:space="preserve">
DM: DSCTO MANUAL</t>
        </r>
      </text>
    </comment>
    <comment ref="D3140" authorId="0" shapeId="0" xr:uid="{00000000-0006-0000-0100-000038020000}">
      <text>
        <r>
          <rPr>
            <b/>
            <sz val="9"/>
            <color indexed="81"/>
            <rFont val="Tahoma"/>
            <family val="2"/>
          </rPr>
          <t>Jorge Arturo Espinoza:</t>
        </r>
        <r>
          <rPr>
            <sz val="9"/>
            <color indexed="81"/>
            <rFont val="Tahoma"/>
            <family val="2"/>
          </rPr>
          <t xml:space="preserve">
DM: DSCTO MANUAL</t>
        </r>
      </text>
    </comment>
    <comment ref="D3142" authorId="0" shapeId="0" xr:uid="{00000000-0006-0000-0100-000039020000}">
      <text>
        <r>
          <rPr>
            <b/>
            <sz val="9"/>
            <color indexed="81"/>
            <rFont val="Tahoma"/>
            <family val="2"/>
          </rPr>
          <t>Jorge Arturo Espinoza:</t>
        </r>
        <r>
          <rPr>
            <sz val="9"/>
            <color indexed="81"/>
            <rFont val="Tahoma"/>
            <family val="2"/>
          </rPr>
          <t xml:space="preserve">
DM: DSCTO MANUAL</t>
        </r>
      </text>
    </comment>
    <comment ref="D3143" authorId="0" shapeId="0" xr:uid="{00000000-0006-0000-0100-00003A020000}">
      <text>
        <r>
          <rPr>
            <b/>
            <sz val="9"/>
            <color indexed="81"/>
            <rFont val="Tahoma"/>
            <family val="2"/>
          </rPr>
          <t>Jorge Arturo Espinoza:</t>
        </r>
        <r>
          <rPr>
            <sz val="9"/>
            <color indexed="81"/>
            <rFont val="Tahoma"/>
            <family val="2"/>
          </rPr>
          <t xml:space="preserve">
DM: DSCTO MANUAL</t>
        </r>
      </text>
    </comment>
    <comment ref="D3144" authorId="0" shapeId="0" xr:uid="{00000000-0006-0000-0100-00003B020000}">
      <text>
        <r>
          <rPr>
            <b/>
            <sz val="9"/>
            <color indexed="81"/>
            <rFont val="Tahoma"/>
            <family val="2"/>
          </rPr>
          <t>Jorge Arturo Espinoza:</t>
        </r>
        <r>
          <rPr>
            <sz val="9"/>
            <color indexed="81"/>
            <rFont val="Tahoma"/>
            <family val="2"/>
          </rPr>
          <t xml:space="preserve">
DM: DSCTO MANUAL</t>
        </r>
      </text>
    </comment>
    <comment ref="D3145" authorId="0" shapeId="0" xr:uid="{00000000-0006-0000-0100-00003C020000}">
      <text>
        <r>
          <rPr>
            <b/>
            <sz val="9"/>
            <color indexed="81"/>
            <rFont val="Tahoma"/>
            <family val="2"/>
          </rPr>
          <t>Jorge Arturo Espinoza:</t>
        </r>
        <r>
          <rPr>
            <sz val="9"/>
            <color indexed="81"/>
            <rFont val="Tahoma"/>
            <family val="2"/>
          </rPr>
          <t xml:space="preserve">
DM: DSCTO MANUAL</t>
        </r>
      </text>
    </comment>
    <comment ref="D3146" authorId="0" shapeId="0" xr:uid="{00000000-0006-0000-0100-00003D020000}">
      <text>
        <r>
          <rPr>
            <b/>
            <sz val="9"/>
            <color indexed="81"/>
            <rFont val="Tahoma"/>
            <family val="2"/>
          </rPr>
          <t>Jorge Arturo Espinoza:</t>
        </r>
        <r>
          <rPr>
            <sz val="9"/>
            <color indexed="81"/>
            <rFont val="Tahoma"/>
            <family val="2"/>
          </rPr>
          <t xml:space="preserve">
DM: DSCTO MANUAL</t>
        </r>
      </text>
    </comment>
    <comment ref="D3147" authorId="0" shapeId="0" xr:uid="{00000000-0006-0000-0100-00003E020000}">
      <text>
        <r>
          <rPr>
            <b/>
            <sz val="9"/>
            <color indexed="81"/>
            <rFont val="Tahoma"/>
            <family val="2"/>
          </rPr>
          <t>Jorge Arturo Espinoza:</t>
        </r>
        <r>
          <rPr>
            <sz val="9"/>
            <color indexed="81"/>
            <rFont val="Tahoma"/>
            <family val="2"/>
          </rPr>
          <t xml:space="preserve">
DM: DSCTO MANUAL</t>
        </r>
      </text>
    </comment>
    <comment ref="D3149" authorId="0" shapeId="0" xr:uid="{00000000-0006-0000-0100-00003F020000}">
      <text>
        <r>
          <rPr>
            <b/>
            <sz val="9"/>
            <color indexed="81"/>
            <rFont val="Tahoma"/>
            <family val="2"/>
          </rPr>
          <t>Jorge Arturo Espinoza:</t>
        </r>
        <r>
          <rPr>
            <sz val="9"/>
            <color indexed="81"/>
            <rFont val="Tahoma"/>
            <family val="2"/>
          </rPr>
          <t xml:space="preserve">
DM: DSCTO MANUAL</t>
        </r>
      </text>
    </comment>
    <comment ref="D3150" authorId="0" shapeId="0" xr:uid="{00000000-0006-0000-0100-000040020000}">
      <text>
        <r>
          <rPr>
            <b/>
            <sz val="9"/>
            <color indexed="81"/>
            <rFont val="Tahoma"/>
            <family val="2"/>
          </rPr>
          <t>Jorge Arturo Espinoza:</t>
        </r>
        <r>
          <rPr>
            <sz val="9"/>
            <color indexed="81"/>
            <rFont val="Tahoma"/>
            <family val="2"/>
          </rPr>
          <t xml:space="preserve">
DM: DSCTO MANUAL</t>
        </r>
      </text>
    </comment>
    <comment ref="B3151" authorId="1" shapeId="0" xr:uid="{00000000-0006-0000-0100-000041020000}">
      <text>
        <r>
          <rPr>
            <b/>
            <sz val="9"/>
            <color indexed="81"/>
            <rFont val="Tahoma"/>
            <family val="2"/>
          </rPr>
          <t xml:space="preserve">Roberto Meza:
</t>
        </r>
        <r>
          <rPr>
            <sz val="9"/>
            <color indexed="81"/>
            <rFont val="Tahoma"/>
            <family val="2"/>
          </rPr>
          <t>Se esta considerando  precio de CHK-B1</t>
        </r>
      </text>
    </comment>
    <comment ref="D3151" authorId="0" shapeId="0" xr:uid="{00000000-0006-0000-0100-000042020000}">
      <text>
        <r>
          <rPr>
            <b/>
            <sz val="9"/>
            <color indexed="81"/>
            <rFont val="Tahoma"/>
            <family val="2"/>
          </rPr>
          <t>Jorge Arturo Espinoza:</t>
        </r>
        <r>
          <rPr>
            <sz val="9"/>
            <color indexed="81"/>
            <rFont val="Tahoma"/>
            <family val="2"/>
          </rPr>
          <t xml:space="preserve">
DM: DSCTO MANUAL</t>
        </r>
      </text>
    </comment>
    <comment ref="D3152" authorId="0" shapeId="0" xr:uid="{00000000-0006-0000-0100-000043020000}">
      <text>
        <r>
          <rPr>
            <b/>
            <sz val="9"/>
            <color indexed="81"/>
            <rFont val="Tahoma"/>
            <family val="2"/>
          </rPr>
          <t>Jorge Arturo Espinoza:</t>
        </r>
        <r>
          <rPr>
            <sz val="9"/>
            <color indexed="81"/>
            <rFont val="Tahoma"/>
            <family val="2"/>
          </rPr>
          <t xml:space="preserve">
DM: DSCTO MANUAL</t>
        </r>
      </text>
    </comment>
    <comment ref="D3153" authorId="0" shapeId="0" xr:uid="{00000000-0006-0000-0100-000044020000}">
      <text>
        <r>
          <rPr>
            <b/>
            <sz val="9"/>
            <color indexed="81"/>
            <rFont val="Tahoma"/>
            <family val="2"/>
          </rPr>
          <t>Jorge Arturo Espinoza:</t>
        </r>
        <r>
          <rPr>
            <sz val="9"/>
            <color indexed="81"/>
            <rFont val="Tahoma"/>
            <family val="2"/>
          </rPr>
          <t xml:space="preserve">
DM: DSCTO MANUAL</t>
        </r>
      </text>
    </comment>
    <comment ref="D3154" authorId="0" shapeId="0" xr:uid="{00000000-0006-0000-0100-000045020000}">
      <text>
        <r>
          <rPr>
            <b/>
            <sz val="9"/>
            <color indexed="81"/>
            <rFont val="Tahoma"/>
            <family val="2"/>
          </rPr>
          <t>Jorge Arturo Espinoza:</t>
        </r>
        <r>
          <rPr>
            <sz val="9"/>
            <color indexed="81"/>
            <rFont val="Tahoma"/>
            <family val="2"/>
          </rPr>
          <t xml:space="preserve">
DM: DSCTO MANUAL</t>
        </r>
      </text>
    </comment>
    <comment ref="D3157" authorId="0" shapeId="0" xr:uid="{00000000-0006-0000-0100-000046020000}">
      <text>
        <r>
          <rPr>
            <b/>
            <sz val="9"/>
            <color indexed="81"/>
            <rFont val="Tahoma"/>
            <family val="2"/>
          </rPr>
          <t>Jorge Arturo Espinoza:</t>
        </r>
        <r>
          <rPr>
            <sz val="9"/>
            <color indexed="81"/>
            <rFont val="Tahoma"/>
            <family val="2"/>
          </rPr>
          <t xml:space="preserve">
DM: DSCTO MANUAL</t>
        </r>
      </text>
    </comment>
    <comment ref="D3158" authorId="0" shapeId="0" xr:uid="{00000000-0006-0000-0100-000047020000}">
      <text>
        <r>
          <rPr>
            <b/>
            <sz val="9"/>
            <color indexed="81"/>
            <rFont val="Tahoma"/>
            <family val="2"/>
          </rPr>
          <t>Jorge Arturo Espinoza:</t>
        </r>
        <r>
          <rPr>
            <sz val="9"/>
            <color indexed="81"/>
            <rFont val="Tahoma"/>
            <family val="2"/>
          </rPr>
          <t xml:space="preserve">
DM: DSCTO MANUAL</t>
        </r>
      </text>
    </comment>
    <comment ref="D3159" authorId="0" shapeId="0" xr:uid="{00000000-0006-0000-0100-000048020000}">
      <text>
        <r>
          <rPr>
            <b/>
            <sz val="9"/>
            <color indexed="81"/>
            <rFont val="Tahoma"/>
            <family val="2"/>
          </rPr>
          <t>Jorge Arturo Espinoza:</t>
        </r>
        <r>
          <rPr>
            <sz val="9"/>
            <color indexed="81"/>
            <rFont val="Tahoma"/>
            <family val="2"/>
          </rPr>
          <t xml:space="preserve">
DM: DSCTO MANUAL</t>
        </r>
      </text>
    </comment>
    <comment ref="D3160" authorId="0" shapeId="0" xr:uid="{00000000-0006-0000-0100-000049020000}">
      <text>
        <r>
          <rPr>
            <b/>
            <sz val="9"/>
            <color indexed="81"/>
            <rFont val="Tahoma"/>
            <family val="2"/>
          </rPr>
          <t>Jorge Arturo Espinoza:</t>
        </r>
        <r>
          <rPr>
            <sz val="9"/>
            <color indexed="81"/>
            <rFont val="Tahoma"/>
            <family val="2"/>
          </rPr>
          <t xml:space="preserve">
DM: DSCTO MANUAL</t>
        </r>
      </text>
    </comment>
    <comment ref="D3161" authorId="0" shapeId="0" xr:uid="{00000000-0006-0000-0100-00004A020000}">
      <text>
        <r>
          <rPr>
            <b/>
            <sz val="9"/>
            <color indexed="81"/>
            <rFont val="Tahoma"/>
            <family val="2"/>
          </rPr>
          <t>Jorge Arturo Espinoza:</t>
        </r>
        <r>
          <rPr>
            <sz val="9"/>
            <color indexed="81"/>
            <rFont val="Tahoma"/>
            <family val="2"/>
          </rPr>
          <t xml:space="preserve">
DM: DSCTO MANUAL</t>
        </r>
      </text>
    </comment>
    <comment ref="D3162" authorId="0" shapeId="0" xr:uid="{00000000-0006-0000-0100-00004B020000}">
      <text>
        <r>
          <rPr>
            <b/>
            <sz val="9"/>
            <color indexed="81"/>
            <rFont val="Tahoma"/>
            <family val="2"/>
          </rPr>
          <t>Jorge Arturo Espinoza:</t>
        </r>
        <r>
          <rPr>
            <sz val="9"/>
            <color indexed="81"/>
            <rFont val="Tahoma"/>
            <family val="2"/>
          </rPr>
          <t xml:space="preserve">
DM: DSCTO MANUAL</t>
        </r>
      </text>
    </comment>
    <comment ref="D3163" authorId="0" shapeId="0" xr:uid="{00000000-0006-0000-0100-00004C020000}">
      <text>
        <r>
          <rPr>
            <b/>
            <sz val="9"/>
            <color indexed="81"/>
            <rFont val="Tahoma"/>
            <family val="2"/>
          </rPr>
          <t>Jorge Arturo Espinoza:</t>
        </r>
        <r>
          <rPr>
            <sz val="9"/>
            <color indexed="81"/>
            <rFont val="Tahoma"/>
            <family val="2"/>
          </rPr>
          <t xml:space="preserve">
DM: DSCTO MANUAL</t>
        </r>
      </text>
    </comment>
    <comment ref="B3194" authorId="3" shapeId="0" xr:uid="{00000000-0006-0000-0100-00004D020000}">
      <text>
        <r>
          <rPr>
            <b/>
            <sz val="9"/>
            <color indexed="81"/>
            <rFont val="Tahoma"/>
            <family val="2"/>
          </rPr>
          <t>Paulo Olano:</t>
        </r>
        <r>
          <rPr>
            <sz val="9"/>
            <color indexed="81"/>
            <rFont val="Tahoma"/>
            <family val="2"/>
          </rPr>
          <t xml:space="preserve">
PRECIO REMATE DADO POR DANIEL LIRA
</t>
        </r>
      </text>
    </comment>
    <comment ref="B3226" authorId="1" shapeId="0" xr:uid="{00000000-0006-0000-0100-00004E020000}">
      <text>
        <r>
          <rPr>
            <b/>
            <sz val="9"/>
            <color indexed="81"/>
            <rFont val="Tahoma"/>
            <family val="2"/>
          </rPr>
          <t>Roberto Meza:</t>
        </r>
        <r>
          <rPr>
            <sz val="9"/>
            <color indexed="81"/>
            <rFont val="Tahoma"/>
            <family val="2"/>
          </rPr>
          <t xml:space="preserve">
Marcial 24/11/17 </t>
        </r>
      </text>
    </comment>
    <comment ref="B3227" authorId="1" shapeId="0" xr:uid="{00000000-0006-0000-0100-00004F020000}">
      <text>
        <r>
          <rPr>
            <b/>
            <sz val="9"/>
            <color indexed="81"/>
            <rFont val="Tahoma"/>
            <family val="2"/>
          </rPr>
          <t>Roberto Meza:</t>
        </r>
        <r>
          <rPr>
            <sz val="9"/>
            <color indexed="81"/>
            <rFont val="Tahoma"/>
            <family val="2"/>
          </rPr>
          <t xml:space="preserve">
Marcial 24/11/17 </t>
        </r>
      </text>
    </comment>
    <comment ref="B3228" authorId="1" shapeId="0" xr:uid="{00000000-0006-0000-0100-000050020000}">
      <text>
        <r>
          <rPr>
            <b/>
            <sz val="9"/>
            <color indexed="81"/>
            <rFont val="Tahoma"/>
            <family val="2"/>
          </rPr>
          <t>Roberto Meza:</t>
        </r>
        <r>
          <rPr>
            <sz val="9"/>
            <color indexed="81"/>
            <rFont val="Tahoma"/>
            <family val="2"/>
          </rPr>
          <t xml:space="preserve">
Marcial 24/11/17 </t>
        </r>
      </text>
    </comment>
    <comment ref="B3229" authorId="1" shapeId="0" xr:uid="{00000000-0006-0000-0100-000051020000}">
      <text>
        <r>
          <rPr>
            <b/>
            <sz val="9"/>
            <color indexed="81"/>
            <rFont val="Tahoma"/>
            <family val="2"/>
          </rPr>
          <t>Roberto Meza:</t>
        </r>
        <r>
          <rPr>
            <sz val="9"/>
            <color indexed="81"/>
            <rFont val="Tahoma"/>
            <family val="2"/>
          </rPr>
          <t xml:space="preserve">
Marcial 24/11/17 </t>
        </r>
      </text>
    </comment>
    <comment ref="B3301" authorId="1" shapeId="0" xr:uid="{00000000-0006-0000-0100-000052020000}">
      <text>
        <r>
          <rPr>
            <b/>
            <sz val="9"/>
            <color indexed="81"/>
            <rFont val="Tahoma"/>
            <family val="2"/>
          </rPr>
          <t>Roberto Meza:</t>
        </r>
        <r>
          <rPr>
            <sz val="9"/>
            <color indexed="81"/>
            <rFont val="Tahoma"/>
            <family val="2"/>
          </rPr>
          <t xml:space="preserve">
Marcial 24/11/17 </t>
        </r>
      </text>
    </comment>
    <comment ref="B3302" authorId="1" shapeId="0" xr:uid="{00000000-0006-0000-0100-000053020000}">
      <text>
        <r>
          <rPr>
            <b/>
            <sz val="9"/>
            <color indexed="81"/>
            <rFont val="Tahoma"/>
            <family val="2"/>
          </rPr>
          <t>Roberto Meza:</t>
        </r>
        <r>
          <rPr>
            <sz val="9"/>
            <color indexed="81"/>
            <rFont val="Tahoma"/>
            <family val="2"/>
          </rPr>
          <t xml:space="preserve">
Marcial 24/11/17 </t>
        </r>
      </text>
    </comment>
    <comment ref="D3317" authorId="3" shapeId="0" xr:uid="{00000000-0006-0000-0100-000054020000}">
      <text>
        <r>
          <rPr>
            <b/>
            <sz val="9"/>
            <color indexed="81"/>
            <rFont val="Tahoma"/>
            <family val="2"/>
          </rPr>
          <t>Paulo Olano:</t>
        </r>
        <r>
          <rPr>
            <sz val="9"/>
            <color indexed="81"/>
            <rFont val="Tahoma"/>
            <family val="2"/>
          </rPr>
          <t xml:space="preserve">
Marcial septiembre 2019</t>
        </r>
      </text>
    </comment>
    <comment ref="D3318" authorId="3" shapeId="0" xr:uid="{00000000-0006-0000-0100-000055020000}">
      <text>
        <r>
          <rPr>
            <b/>
            <sz val="9"/>
            <color indexed="81"/>
            <rFont val="Tahoma"/>
            <family val="2"/>
          </rPr>
          <t>Paulo Olano:</t>
        </r>
        <r>
          <rPr>
            <sz val="9"/>
            <color indexed="81"/>
            <rFont val="Tahoma"/>
            <family val="2"/>
          </rPr>
          <t xml:space="preserve">
Marcial septiembre 2019</t>
        </r>
      </text>
    </comment>
    <comment ref="D3319" authorId="3" shapeId="0" xr:uid="{00000000-0006-0000-0100-000056020000}">
      <text>
        <r>
          <rPr>
            <b/>
            <sz val="9"/>
            <color indexed="81"/>
            <rFont val="Tahoma"/>
            <family val="2"/>
          </rPr>
          <t>Paulo Olano:</t>
        </r>
        <r>
          <rPr>
            <sz val="9"/>
            <color indexed="81"/>
            <rFont val="Tahoma"/>
            <family val="2"/>
          </rPr>
          <t xml:space="preserve">
Marcial septiembre 2019</t>
        </r>
      </text>
    </comment>
    <comment ref="D3320" authorId="3" shapeId="0" xr:uid="{00000000-0006-0000-0100-000057020000}">
      <text>
        <r>
          <rPr>
            <b/>
            <sz val="9"/>
            <color indexed="81"/>
            <rFont val="Tahoma"/>
            <family val="2"/>
          </rPr>
          <t>Paulo Olano:</t>
        </r>
        <r>
          <rPr>
            <sz val="9"/>
            <color indexed="81"/>
            <rFont val="Tahoma"/>
            <family val="2"/>
          </rPr>
          <t xml:space="preserve">
Marcial septiembre 2019</t>
        </r>
      </text>
    </comment>
    <comment ref="D3321" authorId="3" shapeId="0" xr:uid="{00000000-0006-0000-0100-000058020000}">
      <text>
        <r>
          <rPr>
            <b/>
            <sz val="9"/>
            <color indexed="81"/>
            <rFont val="Tahoma"/>
            <family val="2"/>
          </rPr>
          <t>Paulo Olano:</t>
        </r>
        <r>
          <rPr>
            <sz val="9"/>
            <color indexed="81"/>
            <rFont val="Tahoma"/>
            <family val="2"/>
          </rPr>
          <t xml:space="preserve">
Marcial septiembre 2019</t>
        </r>
      </text>
    </comment>
    <comment ref="D3322" authorId="3" shapeId="0" xr:uid="{00000000-0006-0000-0100-000059020000}">
      <text>
        <r>
          <rPr>
            <b/>
            <sz val="9"/>
            <color indexed="81"/>
            <rFont val="Tahoma"/>
            <family val="2"/>
          </rPr>
          <t>Paulo Olano:</t>
        </r>
        <r>
          <rPr>
            <sz val="9"/>
            <color indexed="81"/>
            <rFont val="Tahoma"/>
            <family val="2"/>
          </rPr>
          <t xml:space="preserve">
Marcial septiembre 2019</t>
        </r>
      </text>
    </comment>
    <comment ref="D3323" authorId="3" shapeId="0" xr:uid="{00000000-0006-0000-0100-00005A020000}">
      <text>
        <r>
          <rPr>
            <b/>
            <sz val="9"/>
            <color indexed="81"/>
            <rFont val="Tahoma"/>
            <family val="2"/>
          </rPr>
          <t>Paulo Olano:</t>
        </r>
        <r>
          <rPr>
            <sz val="9"/>
            <color indexed="81"/>
            <rFont val="Tahoma"/>
            <family val="2"/>
          </rPr>
          <t xml:space="preserve">
Marcial septiembre 2019</t>
        </r>
      </text>
    </comment>
    <comment ref="D3324" authorId="3" shapeId="0" xr:uid="{00000000-0006-0000-0100-00005B020000}">
      <text>
        <r>
          <rPr>
            <b/>
            <sz val="9"/>
            <color indexed="81"/>
            <rFont val="Tahoma"/>
            <family val="2"/>
          </rPr>
          <t>Paulo Olano:</t>
        </r>
        <r>
          <rPr>
            <sz val="9"/>
            <color indexed="81"/>
            <rFont val="Tahoma"/>
            <family val="2"/>
          </rPr>
          <t xml:space="preserve">
Marcial septiembre 2019</t>
        </r>
      </text>
    </comment>
    <comment ref="D3325" authorId="3" shapeId="0" xr:uid="{00000000-0006-0000-0100-00005C020000}">
      <text>
        <r>
          <rPr>
            <b/>
            <sz val="9"/>
            <color indexed="81"/>
            <rFont val="Tahoma"/>
            <family val="2"/>
          </rPr>
          <t>Paulo Olano:</t>
        </r>
        <r>
          <rPr>
            <sz val="9"/>
            <color indexed="81"/>
            <rFont val="Tahoma"/>
            <family val="2"/>
          </rPr>
          <t xml:space="preserve">
Marcial septiembre 2019</t>
        </r>
      </text>
    </comment>
    <comment ref="D3326" authorId="3" shapeId="0" xr:uid="{00000000-0006-0000-0100-00005D020000}">
      <text>
        <r>
          <rPr>
            <b/>
            <sz val="9"/>
            <color indexed="81"/>
            <rFont val="Tahoma"/>
            <family val="2"/>
          </rPr>
          <t>Paulo Olano:</t>
        </r>
        <r>
          <rPr>
            <sz val="9"/>
            <color indexed="81"/>
            <rFont val="Tahoma"/>
            <family val="2"/>
          </rPr>
          <t xml:space="preserve">
Marcial septiembre 2019</t>
        </r>
      </text>
    </comment>
    <comment ref="D3327" authorId="3" shapeId="0" xr:uid="{00000000-0006-0000-0100-00005E020000}">
      <text>
        <r>
          <rPr>
            <b/>
            <sz val="9"/>
            <color indexed="81"/>
            <rFont val="Tahoma"/>
            <family val="2"/>
          </rPr>
          <t>Paulo Olano:</t>
        </r>
        <r>
          <rPr>
            <sz val="9"/>
            <color indexed="81"/>
            <rFont val="Tahoma"/>
            <family val="2"/>
          </rPr>
          <t xml:space="preserve">
Marcial septiembre 2019</t>
        </r>
      </text>
    </comment>
    <comment ref="D3328" authorId="3" shapeId="0" xr:uid="{00000000-0006-0000-0100-00005F020000}">
      <text>
        <r>
          <rPr>
            <b/>
            <sz val="9"/>
            <color indexed="81"/>
            <rFont val="Tahoma"/>
            <family val="2"/>
          </rPr>
          <t>Paulo Olano:</t>
        </r>
        <r>
          <rPr>
            <sz val="9"/>
            <color indexed="81"/>
            <rFont val="Tahoma"/>
            <family val="2"/>
          </rPr>
          <t xml:space="preserve">
Marcial septiembre 2019</t>
        </r>
      </text>
    </comment>
    <comment ref="D3329" authorId="3" shapeId="0" xr:uid="{00000000-0006-0000-0100-000060020000}">
      <text>
        <r>
          <rPr>
            <b/>
            <sz val="9"/>
            <color indexed="81"/>
            <rFont val="Tahoma"/>
            <family val="2"/>
          </rPr>
          <t>Paulo Olano:</t>
        </r>
        <r>
          <rPr>
            <sz val="9"/>
            <color indexed="81"/>
            <rFont val="Tahoma"/>
            <family val="2"/>
          </rPr>
          <t xml:space="preserve">
Marcial septiembre 2019</t>
        </r>
      </text>
    </comment>
    <comment ref="D3330" authorId="3" shapeId="0" xr:uid="{00000000-0006-0000-0100-000061020000}">
      <text>
        <r>
          <rPr>
            <b/>
            <sz val="9"/>
            <color indexed="81"/>
            <rFont val="Tahoma"/>
            <family val="2"/>
          </rPr>
          <t>Paulo Olano:</t>
        </r>
        <r>
          <rPr>
            <sz val="9"/>
            <color indexed="81"/>
            <rFont val="Tahoma"/>
            <family val="2"/>
          </rPr>
          <t xml:space="preserve">
Marcial septiembre 2019</t>
        </r>
      </text>
    </comment>
    <comment ref="D3333" authorId="3" shapeId="0" xr:uid="{00000000-0006-0000-0100-000062020000}">
      <text>
        <r>
          <rPr>
            <b/>
            <sz val="9"/>
            <color indexed="81"/>
            <rFont val="Tahoma"/>
            <family val="2"/>
          </rPr>
          <t>Paulo Olano:</t>
        </r>
        <r>
          <rPr>
            <sz val="9"/>
            <color indexed="81"/>
            <rFont val="Tahoma"/>
            <family val="2"/>
          </rPr>
          <t xml:space="preserve">
Marcial septiembre 2019</t>
        </r>
      </text>
    </comment>
    <comment ref="D3334" authorId="3" shapeId="0" xr:uid="{00000000-0006-0000-0100-000063020000}">
      <text>
        <r>
          <rPr>
            <b/>
            <sz val="9"/>
            <color indexed="81"/>
            <rFont val="Tahoma"/>
            <family val="2"/>
          </rPr>
          <t>Paulo Olano:</t>
        </r>
        <r>
          <rPr>
            <sz val="9"/>
            <color indexed="81"/>
            <rFont val="Tahoma"/>
            <family val="2"/>
          </rPr>
          <t xml:space="preserve">
Marcial septiembre 2019</t>
        </r>
      </text>
    </comment>
    <comment ref="D3335" authorId="3" shapeId="0" xr:uid="{00000000-0006-0000-0100-000064020000}">
      <text>
        <r>
          <rPr>
            <b/>
            <sz val="9"/>
            <color indexed="81"/>
            <rFont val="Tahoma"/>
            <family val="2"/>
          </rPr>
          <t>Paulo Olano:</t>
        </r>
        <r>
          <rPr>
            <sz val="9"/>
            <color indexed="81"/>
            <rFont val="Tahoma"/>
            <family val="2"/>
          </rPr>
          <t xml:space="preserve">
Marcial septiembre 2019</t>
        </r>
      </text>
    </comment>
    <comment ref="D3336" authorId="3" shapeId="0" xr:uid="{00000000-0006-0000-0100-000065020000}">
      <text>
        <r>
          <rPr>
            <b/>
            <sz val="9"/>
            <color indexed="81"/>
            <rFont val="Tahoma"/>
            <family val="2"/>
          </rPr>
          <t>Paulo Olano:</t>
        </r>
        <r>
          <rPr>
            <sz val="9"/>
            <color indexed="81"/>
            <rFont val="Tahoma"/>
            <family val="2"/>
          </rPr>
          <t xml:space="preserve">
Marcial septiembre 2019</t>
        </r>
      </text>
    </comment>
    <comment ref="D3337" authorId="3" shapeId="0" xr:uid="{00000000-0006-0000-0100-000066020000}">
      <text>
        <r>
          <rPr>
            <b/>
            <sz val="9"/>
            <color indexed="81"/>
            <rFont val="Tahoma"/>
            <family val="2"/>
          </rPr>
          <t>Paulo Olano:</t>
        </r>
        <r>
          <rPr>
            <sz val="9"/>
            <color indexed="81"/>
            <rFont val="Tahoma"/>
            <family val="2"/>
          </rPr>
          <t xml:space="preserve">
Marcial septiembre 2019</t>
        </r>
      </text>
    </comment>
    <comment ref="D3338" authorId="3" shapeId="0" xr:uid="{00000000-0006-0000-0100-000067020000}">
      <text>
        <r>
          <rPr>
            <b/>
            <sz val="9"/>
            <color indexed="81"/>
            <rFont val="Tahoma"/>
            <family val="2"/>
          </rPr>
          <t>Paulo Olano:</t>
        </r>
        <r>
          <rPr>
            <sz val="9"/>
            <color indexed="81"/>
            <rFont val="Tahoma"/>
            <family val="2"/>
          </rPr>
          <t xml:space="preserve">
Marcial septiembre 2019</t>
        </r>
      </text>
    </comment>
    <comment ref="D3339" authorId="3" shapeId="0" xr:uid="{00000000-0006-0000-0100-000068020000}">
      <text>
        <r>
          <rPr>
            <b/>
            <sz val="9"/>
            <color indexed="81"/>
            <rFont val="Tahoma"/>
            <family val="2"/>
          </rPr>
          <t>Paulo Olano:</t>
        </r>
        <r>
          <rPr>
            <sz val="9"/>
            <color indexed="81"/>
            <rFont val="Tahoma"/>
            <family val="2"/>
          </rPr>
          <t xml:space="preserve">
Marcial septiembre 2019</t>
        </r>
      </text>
    </comment>
    <comment ref="D3340" authorId="3" shapeId="0" xr:uid="{00000000-0006-0000-0100-000069020000}">
      <text>
        <r>
          <rPr>
            <b/>
            <sz val="9"/>
            <color indexed="81"/>
            <rFont val="Tahoma"/>
            <family val="2"/>
          </rPr>
          <t>Paulo Olano:</t>
        </r>
        <r>
          <rPr>
            <sz val="9"/>
            <color indexed="81"/>
            <rFont val="Tahoma"/>
            <family val="2"/>
          </rPr>
          <t xml:space="preserve">
Marcial septiembre 2019</t>
        </r>
      </text>
    </comment>
    <comment ref="D3341" authorId="3" shapeId="0" xr:uid="{00000000-0006-0000-0100-00006A020000}">
      <text>
        <r>
          <rPr>
            <b/>
            <sz val="9"/>
            <color indexed="81"/>
            <rFont val="Tahoma"/>
            <family val="2"/>
          </rPr>
          <t>Paulo Olano:</t>
        </r>
        <r>
          <rPr>
            <sz val="9"/>
            <color indexed="81"/>
            <rFont val="Tahoma"/>
            <family val="2"/>
          </rPr>
          <t xml:space="preserve">
Marcial septiembre 2019</t>
        </r>
      </text>
    </comment>
    <comment ref="D3342" authorId="3" shapeId="0" xr:uid="{00000000-0006-0000-0100-00006B020000}">
      <text>
        <r>
          <rPr>
            <b/>
            <sz val="9"/>
            <color indexed="81"/>
            <rFont val="Tahoma"/>
            <family val="2"/>
          </rPr>
          <t>Paulo Olano:</t>
        </r>
        <r>
          <rPr>
            <sz val="9"/>
            <color indexed="81"/>
            <rFont val="Tahoma"/>
            <family val="2"/>
          </rPr>
          <t xml:space="preserve">
Marcial septiembre 2019</t>
        </r>
      </text>
    </comment>
    <comment ref="D3343" authorId="3" shapeId="0" xr:uid="{00000000-0006-0000-0100-00006C020000}">
      <text>
        <r>
          <rPr>
            <b/>
            <sz val="9"/>
            <color indexed="81"/>
            <rFont val="Tahoma"/>
            <family val="2"/>
          </rPr>
          <t>Paulo Olano:</t>
        </r>
        <r>
          <rPr>
            <sz val="9"/>
            <color indexed="81"/>
            <rFont val="Tahoma"/>
            <family val="2"/>
          </rPr>
          <t xml:space="preserve">
Marcial septiembre 2019</t>
        </r>
      </text>
    </comment>
    <comment ref="D3344" authorId="3" shapeId="0" xr:uid="{00000000-0006-0000-0100-00006D020000}">
      <text>
        <r>
          <rPr>
            <b/>
            <sz val="9"/>
            <color indexed="81"/>
            <rFont val="Tahoma"/>
            <family val="2"/>
          </rPr>
          <t>Paulo Olano:</t>
        </r>
        <r>
          <rPr>
            <sz val="9"/>
            <color indexed="81"/>
            <rFont val="Tahoma"/>
            <family val="2"/>
          </rPr>
          <t xml:space="preserve">
Marcial septiembre 2019</t>
        </r>
      </text>
    </comment>
    <comment ref="D3345" authorId="3" shapeId="0" xr:uid="{00000000-0006-0000-0100-00006E020000}">
      <text>
        <r>
          <rPr>
            <b/>
            <sz val="9"/>
            <color indexed="81"/>
            <rFont val="Tahoma"/>
            <family val="2"/>
          </rPr>
          <t>Paulo Olano:</t>
        </r>
        <r>
          <rPr>
            <sz val="9"/>
            <color indexed="81"/>
            <rFont val="Tahoma"/>
            <family val="2"/>
          </rPr>
          <t xml:space="preserve">
Marcial septiembre 2019</t>
        </r>
      </text>
    </comment>
    <comment ref="D3346" authorId="3" shapeId="0" xr:uid="{00000000-0006-0000-0100-00006F020000}">
      <text>
        <r>
          <rPr>
            <b/>
            <sz val="9"/>
            <color indexed="81"/>
            <rFont val="Tahoma"/>
            <family val="2"/>
          </rPr>
          <t>Paulo Olano:</t>
        </r>
        <r>
          <rPr>
            <sz val="9"/>
            <color indexed="81"/>
            <rFont val="Tahoma"/>
            <family val="2"/>
          </rPr>
          <t xml:space="preserve">
Marcial septiembre 2019</t>
        </r>
      </text>
    </comment>
    <comment ref="D3352" authorId="1" shapeId="0" xr:uid="{00000000-0006-0000-0100-000070020000}">
      <text>
        <r>
          <rPr>
            <b/>
            <sz val="9"/>
            <color indexed="81"/>
            <rFont val="Tahoma"/>
            <family val="2"/>
          </rPr>
          <t>Roberto Meza:</t>
        </r>
        <r>
          <rPr>
            <sz val="9"/>
            <color indexed="81"/>
            <rFont val="Tahoma"/>
            <family val="2"/>
          </rPr>
          <t xml:space="preserve">
Falta actualizar precio</t>
        </r>
      </text>
    </comment>
    <comment ref="D3353" authorId="1" shapeId="0" xr:uid="{00000000-0006-0000-0100-000071020000}">
      <text>
        <r>
          <rPr>
            <b/>
            <sz val="9"/>
            <color indexed="81"/>
            <rFont val="Tahoma"/>
            <family val="2"/>
          </rPr>
          <t>Roberto Meza:</t>
        </r>
        <r>
          <rPr>
            <sz val="9"/>
            <color indexed="81"/>
            <rFont val="Tahoma"/>
            <family val="2"/>
          </rPr>
          <t xml:space="preserve">
Falta actualizar precio</t>
        </r>
      </text>
    </comment>
    <comment ref="D3365" authorId="3" shapeId="0" xr:uid="{00000000-0006-0000-0100-000072020000}">
      <text>
        <r>
          <rPr>
            <b/>
            <sz val="9"/>
            <color indexed="81"/>
            <rFont val="Tahoma"/>
            <family val="2"/>
          </rPr>
          <t>Paulo Olano:</t>
        </r>
        <r>
          <rPr>
            <sz val="9"/>
            <color indexed="81"/>
            <rFont val="Tahoma"/>
            <family val="2"/>
          </rPr>
          <t xml:space="preserve">
PRECIO DANIEL LIRA 13/07/2017</t>
        </r>
      </text>
    </comment>
    <comment ref="D3368" authorId="0" shapeId="0" xr:uid="{00000000-0006-0000-0100-000073020000}">
      <text>
        <r>
          <rPr>
            <b/>
            <sz val="9"/>
            <color indexed="81"/>
            <rFont val="Tahoma"/>
            <family val="2"/>
          </rPr>
          <t>Jorge Arturo Espinoza:</t>
        </r>
        <r>
          <rPr>
            <sz val="9"/>
            <color indexed="81"/>
            <rFont val="Tahoma"/>
            <family val="2"/>
          </rPr>
          <t xml:space="preserve">
PRECIO DADO POR MARCIAL, JUL-2017</t>
        </r>
      </text>
    </comment>
    <comment ref="D3369" authorId="0" shapeId="0" xr:uid="{00000000-0006-0000-0100-000074020000}">
      <text>
        <r>
          <rPr>
            <b/>
            <sz val="9"/>
            <color indexed="81"/>
            <rFont val="Tahoma"/>
            <family val="2"/>
          </rPr>
          <t>Jorge Arturo Espinoza:</t>
        </r>
        <r>
          <rPr>
            <sz val="9"/>
            <color indexed="81"/>
            <rFont val="Tahoma"/>
            <family val="2"/>
          </rPr>
          <t xml:space="preserve">
PRECIO DADO POR MARCIAL, JUL-2017</t>
        </r>
      </text>
    </comment>
    <comment ref="D3370" authorId="0" shapeId="0" xr:uid="{00000000-0006-0000-0100-000075020000}">
      <text>
        <r>
          <rPr>
            <b/>
            <sz val="9"/>
            <color indexed="81"/>
            <rFont val="Tahoma"/>
            <family val="2"/>
          </rPr>
          <t>Jorge Arturo Espinoza:</t>
        </r>
        <r>
          <rPr>
            <sz val="9"/>
            <color indexed="81"/>
            <rFont val="Tahoma"/>
            <family val="2"/>
          </rPr>
          <t xml:space="preserve">
PRECIO DADO POR MARCIAL, JUL-2017</t>
        </r>
      </text>
    </comment>
    <comment ref="D3372" authorId="0" shapeId="0" xr:uid="{00000000-0006-0000-0100-000076020000}">
      <text>
        <r>
          <rPr>
            <b/>
            <sz val="9"/>
            <color indexed="81"/>
            <rFont val="Tahoma"/>
            <family val="2"/>
          </rPr>
          <t>Jorge Arturo Espinoza:</t>
        </r>
        <r>
          <rPr>
            <sz val="9"/>
            <color indexed="81"/>
            <rFont val="Tahoma"/>
            <family val="2"/>
          </rPr>
          <t xml:space="preserve">
PRECIO DADO POR MARCIAL, JUL-2017</t>
        </r>
      </text>
    </comment>
    <comment ref="D3373" authorId="0" shapeId="0" xr:uid="{00000000-0006-0000-0100-000077020000}">
      <text>
        <r>
          <rPr>
            <b/>
            <sz val="9"/>
            <color indexed="81"/>
            <rFont val="Tahoma"/>
            <family val="2"/>
          </rPr>
          <t>Jorge Arturo Espinoza:</t>
        </r>
        <r>
          <rPr>
            <sz val="9"/>
            <color indexed="81"/>
            <rFont val="Tahoma"/>
            <family val="2"/>
          </rPr>
          <t xml:space="preserve">
PRECIO DADO POR MARCIAL, JUL-2017</t>
        </r>
      </text>
    </comment>
    <comment ref="D3376" authorId="3" shapeId="0" xr:uid="{00000000-0006-0000-0100-000078020000}">
      <text>
        <r>
          <rPr>
            <b/>
            <sz val="9"/>
            <color indexed="81"/>
            <rFont val="Tahoma"/>
            <family val="2"/>
          </rPr>
          <t>Paulo Olano:</t>
        </r>
        <r>
          <rPr>
            <sz val="9"/>
            <color indexed="81"/>
            <rFont val="Tahoma"/>
            <family val="2"/>
          </rPr>
          <t xml:space="preserve">
agosto 2019 por andres castro</t>
        </r>
      </text>
    </comment>
    <comment ref="D3387" authorId="3" shapeId="0" xr:uid="{00000000-0006-0000-0100-000079020000}">
      <text>
        <r>
          <rPr>
            <b/>
            <sz val="9"/>
            <color indexed="81"/>
            <rFont val="Tahoma"/>
            <family val="2"/>
          </rPr>
          <t>Paulo Olano:</t>
        </r>
        <r>
          <rPr>
            <sz val="9"/>
            <color indexed="81"/>
            <rFont val="Tahoma"/>
            <family val="2"/>
          </rPr>
          <t xml:space="preserve">
agosto 2019 precio por andres castro</t>
        </r>
      </text>
    </comment>
    <comment ref="D3398" authorId="3" shapeId="0" xr:uid="{00000000-0006-0000-0100-00007A020000}">
      <text>
        <r>
          <rPr>
            <b/>
            <sz val="9"/>
            <color indexed="81"/>
            <rFont val="Tahoma"/>
            <family val="2"/>
          </rPr>
          <t>Paulo Olano:</t>
        </r>
        <r>
          <rPr>
            <sz val="9"/>
            <color indexed="81"/>
            <rFont val="Tahoma"/>
            <family val="2"/>
          </rPr>
          <t xml:space="preserve">
PRECIO DANIEL LIRA 13/07/2017</t>
        </r>
      </text>
    </comment>
    <comment ref="D3399" authorId="3" shapeId="0" xr:uid="{00000000-0006-0000-0100-00007B020000}">
      <text>
        <r>
          <rPr>
            <b/>
            <sz val="9"/>
            <color indexed="81"/>
            <rFont val="Tahoma"/>
            <family val="2"/>
          </rPr>
          <t>Paulo Olano:</t>
        </r>
        <r>
          <rPr>
            <sz val="9"/>
            <color indexed="81"/>
            <rFont val="Tahoma"/>
            <family val="2"/>
          </rPr>
          <t xml:space="preserve">
PRECIO DANIEL LIRA 13/07/2017</t>
        </r>
      </text>
    </comment>
    <comment ref="D3400" authorId="3" shapeId="0" xr:uid="{00000000-0006-0000-0100-00007C020000}">
      <text>
        <r>
          <rPr>
            <b/>
            <sz val="9"/>
            <color indexed="81"/>
            <rFont val="Tahoma"/>
            <family val="2"/>
          </rPr>
          <t>Paulo Olano:</t>
        </r>
        <r>
          <rPr>
            <sz val="9"/>
            <color indexed="81"/>
            <rFont val="Tahoma"/>
            <family val="2"/>
          </rPr>
          <t xml:space="preserve">
PRECIO DANIEL LIRA 13/07/2017</t>
        </r>
      </text>
    </comment>
    <comment ref="D3401" authorId="3" shapeId="0" xr:uid="{00000000-0006-0000-0100-00007D020000}">
      <text>
        <r>
          <rPr>
            <b/>
            <sz val="9"/>
            <color indexed="81"/>
            <rFont val="Tahoma"/>
            <family val="2"/>
          </rPr>
          <t>Paulo Olano:</t>
        </r>
        <r>
          <rPr>
            <sz val="9"/>
            <color indexed="81"/>
            <rFont val="Tahoma"/>
            <family val="2"/>
          </rPr>
          <t xml:space="preserve">
PRECIO DANIEL LIRA 13/07/2017</t>
        </r>
      </text>
    </comment>
    <comment ref="D3402" authorId="3" shapeId="0" xr:uid="{00000000-0006-0000-0100-00007E020000}">
      <text>
        <r>
          <rPr>
            <b/>
            <sz val="9"/>
            <color indexed="81"/>
            <rFont val="Tahoma"/>
            <family val="2"/>
          </rPr>
          <t>Paulo Olano:</t>
        </r>
        <r>
          <rPr>
            <sz val="9"/>
            <color indexed="81"/>
            <rFont val="Tahoma"/>
            <family val="2"/>
          </rPr>
          <t xml:space="preserve">
PRECIO DANIEL LIRA 13/07/2017</t>
        </r>
      </text>
    </comment>
    <comment ref="D3403" authorId="3" shapeId="0" xr:uid="{00000000-0006-0000-0100-00007F020000}">
      <text>
        <r>
          <rPr>
            <b/>
            <sz val="9"/>
            <color indexed="81"/>
            <rFont val="Tahoma"/>
            <family val="2"/>
          </rPr>
          <t>Paulo Olano:</t>
        </r>
        <r>
          <rPr>
            <sz val="9"/>
            <color indexed="81"/>
            <rFont val="Tahoma"/>
            <family val="2"/>
          </rPr>
          <t xml:space="preserve">
PRECIO DANIEL LIRA 13/07/2017</t>
        </r>
      </text>
    </comment>
    <comment ref="D3404" authorId="3" shapeId="0" xr:uid="{00000000-0006-0000-0100-000080020000}">
      <text>
        <r>
          <rPr>
            <b/>
            <sz val="9"/>
            <color indexed="81"/>
            <rFont val="Tahoma"/>
            <family val="2"/>
          </rPr>
          <t>Paulo Olano:</t>
        </r>
        <r>
          <rPr>
            <sz val="9"/>
            <color indexed="81"/>
            <rFont val="Tahoma"/>
            <family val="2"/>
          </rPr>
          <t xml:space="preserve">
PRECIO DANIEL LIRA 13/07/2017</t>
        </r>
      </text>
    </comment>
    <comment ref="D3405" authorId="3" shapeId="0" xr:uid="{00000000-0006-0000-0100-000081020000}">
      <text>
        <r>
          <rPr>
            <b/>
            <sz val="9"/>
            <color indexed="81"/>
            <rFont val="Tahoma"/>
            <family val="2"/>
          </rPr>
          <t>Paulo Olano:</t>
        </r>
        <r>
          <rPr>
            <sz val="9"/>
            <color indexed="81"/>
            <rFont val="Tahoma"/>
            <family val="2"/>
          </rPr>
          <t xml:space="preserve">
PRECIO DANIEL LIRA 13/07/2017</t>
        </r>
      </text>
    </comment>
    <comment ref="D3406" authorId="3" shapeId="0" xr:uid="{00000000-0006-0000-0100-000082020000}">
      <text>
        <r>
          <rPr>
            <b/>
            <sz val="9"/>
            <color indexed="81"/>
            <rFont val="Tahoma"/>
            <family val="2"/>
          </rPr>
          <t>Paulo Olano:</t>
        </r>
        <r>
          <rPr>
            <sz val="9"/>
            <color indexed="81"/>
            <rFont val="Tahoma"/>
            <family val="2"/>
          </rPr>
          <t xml:space="preserve">
PRECIO DANIEL LIRA 13/07/2017</t>
        </r>
      </text>
    </comment>
    <comment ref="D3407" authorId="3" shapeId="0" xr:uid="{00000000-0006-0000-0100-000083020000}">
      <text>
        <r>
          <rPr>
            <b/>
            <sz val="9"/>
            <color indexed="81"/>
            <rFont val="Tahoma"/>
            <family val="2"/>
          </rPr>
          <t>Paulo Olano:</t>
        </r>
        <r>
          <rPr>
            <sz val="9"/>
            <color indexed="81"/>
            <rFont val="Tahoma"/>
            <family val="2"/>
          </rPr>
          <t xml:space="preserve">
PRECIO DANIEL LIRA 13/07/2017</t>
        </r>
      </text>
    </comment>
    <comment ref="D3409" authorId="3" shapeId="0" xr:uid="{00000000-0006-0000-0100-000084020000}">
      <text>
        <r>
          <rPr>
            <b/>
            <sz val="9"/>
            <color indexed="81"/>
            <rFont val="Tahoma"/>
            <family val="2"/>
          </rPr>
          <t>Paulo Olano:</t>
        </r>
        <r>
          <rPr>
            <sz val="9"/>
            <color indexed="81"/>
            <rFont val="Tahoma"/>
            <family val="2"/>
          </rPr>
          <t xml:space="preserve">
PRECIO DANIEL LIRA 13/07/2017</t>
        </r>
      </text>
    </comment>
    <comment ref="D3413" authorId="0" shapeId="0" xr:uid="{00000000-0006-0000-0100-000085020000}">
      <text>
        <r>
          <rPr>
            <b/>
            <sz val="9"/>
            <color indexed="81"/>
            <rFont val="Tahoma"/>
            <family val="2"/>
          </rPr>
          <t>Jorge Arturo Espinoza:</t>
        </r>
        <r>
          <rPr>
            <sz val="9"/>
            <color indexed="81"/>
            <rFont val="Tahoma"/>
            <family val="2"/>
          </rPr>
          <t xml:space="preserve">
ASUMIDO</t>
        </r>
      </text>
    </comment>
    <comment ref="D3415" authorId="0" shapeId="0" xr:uid="{00000000-0006-0000-0100-000086020000}">
      <text>
        <r>
          <rPr>
            <b/>
            <sz val="9"/>
            <color indexed="81"/>
            <rFont val="Tahoma"/>
            <family val="2"/>
          </rPr>
          <t>Jorge Arturo Espinoza:</t>
        </r>
        <r>
          <rPr>
            <sz val="9"/>
            <color indexed="81"/>
            <rFont val="Tahoma"/>
            <family val="2"/>
          </rPr>
          <t xml:space="preserve">
POR MARCIAL.
en-2019
</t>
        </r>
      </text>
    </comment>
    <comment ref="D3416" authorId="0" shapeId="0" xr:uid="{00000000-0006-0000-0100-000087020000}">
      <text>
        <r>
          <rPr>
            <b/>
            <sz val="9"/>
            <color indexed="81"/>
            <rFont val="Tahoma"/>
            <family val="2"/>
          </rPr>
          <t>Jorge Arturo Espinoza:</t>
        </r>
        <r>
          <rPr>
            <sz val="9"/>
            <color indexed="81"/>
            <rFont val="Tahoma"/>
            <family val="2"/>
          </rPr>
          <t xml:space="preserve">
POR MARCIAL.
en-2019
</t>
        </r>
      </text>
    </comment>
    <comment ref="D3417" authorId="0" shapeId="0" xr:uid="{00000000-0006-0000-0100-000088020000}">
      <text>
        <r>
          <rPr>
            <b/>
            <sz val="9"/>
            <color indexed="81"/>
            <rFont val="Tahoma"/>
            <family val="2"/>
          </rPr>
          <t>Jorge Arturo Espinoza:</t>
        </r>
        <r>
          <rPr>
            <sz val="9"/>
            <color indexed="81"/>
            <rFont val="Tahoma"/>
            <family val="2"/>
          </rPr>
          <t xml:space="preserve">
aprox
era 258</t>
        </r>
      </text>
    </comment>
    <comment ref="D3418" authorId="0" shapeId="0" xr:uid="{00000000-0006-0000-0100-000089020000}">
      <text>
        <r>
          <rPr>
            <b/>
            <sz val="9"/>
            <color indexed="81"/>
            <rFont val="Tahoma"/>
            <family val="2"/>
          </rPr>
          <t>Jorge Arturo Espinoza:</t>
        </r>
        <r>
          <rPr>
            <sz val="9"/>
            <color indexed="81"/>
            <rFont val="Tahoma"/>
            <family val="2"/>
          </rPr>
          <t xml:space="preserve">
era 258</t>
        </r>
      </text>
    </comment>
    <comment ref="D3419" authorId="0" shapeId="0" xr:uid="{00000000-0006-0000-0100-00008A020000}">
      <text>
        <r>
          <rPr>
            <b/>
            <sz val="9"/>
            <color indexed="81"/>
            <rFont val="Tahoma"/>
            <family val="2"/>
          </rPr>
          <t>Jorge Arturo Espinoza:</t>
        </r>
        <r>
          <rPr>
            <sz val="9"/>
            <color indexed="81"/>
            <rFont val="Tahoma"/>
            <family val="2"/>
          </rPr>
          <t xml:space="preserve">
POR ANDRES.
ERA 258
en-2016</t>
        </r>
      </text>
    </comment>
    <comment ref="B3420" authorId="0" shapeId="0" xr:uid="{00000000-0006-0000-0100-00008B020000}">
      <text>
        <r>
          <rPr>
            <b/>
            <sz val="9"/>
            <color indexed="81"/>
            <rFont val="Tahoma"/>
            <family val="2"/>
          </rPr>
          <t>Jorge Arturo Espinoza:</t>
        </r>
        <r>
          <rPr>
            <sz val="9"/>
            <color indexed="81"/>
            <rFont val="Tahoma"/>
            <family val="2"/>
          </rPr>
          <t xml:space="preserve">
para un polo</t>
        </r>
      </text>
    </comment>
    <comment ref="D3420" authorId="0" shapeId="0" xr:uid="{00000000-0006-0000-0100-00008C020000}">
      <text>
        <r>
          <rPr>
            <b/>
            <sz val="9"/>
            <color indexed="81"/>
            <rFont val="Tahoma"/>
            <family val="2"/>
          </rPr>
          <t>Jorge Arturo Espinoza:</t>
        </r>
        <r>
          <rPr>
            <sz val="9"/>
            <color indexed="81"/>
            <rFont val="Tahoma"/>
            <family val="2"/>
          </rPr>
          <t xml:space="preserve">
POR ANDRES.
ERA 17</t>
        </r>
      </text>
    </comment>
    <comment ref="D3422" authorId="3" shapeId="0" xr:uid="{00000000-0006-0000-0100-00008D020000}">
      <text>
        <r>
          <rPr>
            <b/>
            <sz val="9"/>
            <color indexed="81"/>
            <rFont val="Tahoma"/>
            <family val="2"/>
          </rPr>
          <t>Paulo Olano:</t>
        </r>
        <r>
          <rPr>
            <sz val="9"/>
            <color indexed="81"/>
            <rFont val="Tahoma"/>
            <family val="2"/>
          </rPr>
          <t xml:space="preserve">
PRECIO DANIEL LIRA 13/07/2017</t>
        </r>
      </text>
    </comment>
    <comment ref="D3442" authorId="3" shapeId="0" xr:uid="{00000000-0006-0000-0100-00008E020000}">
      <text>
        <r>
          <rPr>
            <b/>
            <sz val="9"/>
            <color indexed="81"/>
            <rFont val="Tahoma"/>
            <family val="2"/>
          </rPr>
          <t>Rosalyn Rincón:</t>
        </r>
        <r>
          <rPr>
            <sz val="9"/>
            <color indexed="81"/>
            <rFont val="Tahoma"/>
            <family val="2"/>
          </rPr>
          <t xml:space="preserve">
PRECIO DANIEL LIRA 29/0752019</t>
        </r>
      </text>
    </comment>
    <comment ref="D3445" authorId="3" shapeId="0" xr:uid="{00000000-0006-0000-0100-00008F020000}">
      <text>
        <r>
          <rPr>
            <b/>
            <sz val="9"/>
            <color indexed="81"/>
            <rFont val="Tahoma"/>
            <family val="2"/>
          </rPr>
          <t>Paulo Olano:</t>
        </r>
        <r>
          <rPr>
            <sz val="9"/>
            <color indexed="81"/>
            <rFont val="Tahoma"/>
            <family val="2"/>
          </rPr>
          <t xml:space="preserve">
PRECIO DANIEL LIRA 13/07/2017</t>
        </r>
      </text>
    </comment>
    <comment ref="D3446" authorId="3" shapeId="0" xr:uid="{00000000-0006-0000-0100-000090020000}">
      <text>
        <r>
          <rPr>
            <b/>
            <sz val="9"/>
            <color indexed="81"/>
            <rFont val="Tahoma"/>
            <family val="2"/>
          </rPr>
          <t>Paulo Olano:</t>
        </r>
        <r>
          <rPr>
            <sz val="9"/>
            <color indexed="81"/>
            <rFont val="Tahoma"/>
            <family val="2"/>
          </rPr>
          <t xml:space="preserve">
PRECIO DANIEL LIRA 13/07/2017</t>
        </r>
      </text>
    </comment>
    <comment ref="D3447" authorId="3" shapeId="0" xr:uid="{00000000-0006-0000-0100-000091020000}">
      <text>
        <r>
          <rPr>
            <b/>
            <sz val="9"/>
            <color indexed="81"/>
            <rFont val="Tahoma"/>
            <family val="2"/>
          </rPr>
          <t>Paulo Olano:</t>
        </r>
        <r>
          <rPr>
            <sz val="9"/>
            <color indexed="81"/>
            <rFont val="Tahoma"/>
            <family val="2"/>
          </rPr>
          <t xml:space="preserve">
PRECIO DANIEL LIRA 13/07/2017</t>
        </r>
      </text>
    </comment>
    <comment ref="D3452" authorId="0" shapeId="0" xr:uid="{00000000-0006-0000-0100-000092020000}">
      <text>
        <r>
          <rPr>
            <b/>
            <sz val="9"/>
            <color indexed="81"/>
            <rFont val="Tahoma"/>
            <family val="2"/>
          </rPr>
          <t>Jorge Arturo Espinoza:</t>
        </r>
        <r>
          <rPr>
            <sz val="9"/>
            <color indexed="81"/>
            <rFont val="Tahoma"/>
            <family val="2"/>
          </rPr>
          <t xml:space="preserve">
aprox
era 258</t>
        </r>
      </text>
    </comment>
    <comment ref="D3453" authorId="0" shapeId="0" xr:uid="{00000000-0006-0000-0100-000093020000}">
      <text>
        <r>
          <rPr>
            <b/>
            <sz val="9"/>
            <color indexed="81"/>
            <rFont val="Tahoma"/>
            <family val="2"/>
          </rPr>
          <t>Jorge Arturo Espinoza:</t>
        </r>
        <r>
          <rPr>
            <sz val="9"/>
            <color indexed="81"/>
            <rFont val="Tahoma"/>
            <family val="2"/>
          </rPr>
          <t xml:space="preserve">
era 258</t>
        </r>
      </text>
    </comment>
    <comment ref="D3454" authorId="0" shapeId="0" xr:uid="{00000000-0006-0000-0100-000094020000}">
      <text>
        <r>
          <rPr>
            <b/>
            <sz val="9"/>
            <color indexed="81"/>
            <rFont val="Tahoma"/>
            <family val="2"/>
          </rPr>
          <t>Jorge Arturo Espinoza:</t>
        </r>
        <r>
          <rPr>
            <sz val="9"/>
            <color indexed="81"/>
            <rFont val="Tahoma"/>
            <family val="2"/>
          </rPr>
          <t xml:space="preserve">
POR ANDRES.
ERA 258
en-2016</t>
        </r>
      </text>
    </comment>
    <comment ref="D3455" authorId="0" shapeId="0" xr:uid="{00000000-0006-0000-0100-000095020000}">
      <text>
        <r>
          <rPr>
            <b/>
            <sz val="9"/>
            <color indexed="81"/>
            <rFont val="Tahoma"/>
            <family val="2"/>
          </rPr>
          <t>Jorge Arturo Espinoza:</t>
        </r>
        <r>
          <rPr>
            <sz val="9"/>
            <color indexed="81"/>
            <rFont val="Tahoma"/>
            <family val="2"/>
          </rPr>
          <t xml:space="preserve">
POR ANDRES.
ERA 17</t>
        </r>
      </text>
    </comment>
    <comment ref="D3456" authorId="0" shapeId="0" xr:uid="{00000000-0006-0000-0100-000096020000}">
      <text>
        <r>
          <rPr>
            <b/>
            <sz val="9"/>
            <color indexed="81"/>
            <rFont val="Tahoma"/>
            <family val="2"/>
          </rPr>
          <t>Jorge Arturo Espinoza:</t>
        </r>
        <r>
          <rPr>
            <sz val="9"/>
            <color indexed="81"/>
            <rFont val="Tahoma"/>
            <family val="2"/>
          </rPr>
          <t xml:space="preserve">
POR ANDRES.
ERA 258
en-2016</t>
        </r>
      </text>
    </comment>
    <comment ref="D3457" authorId="0" shapeId="0" xr:uid="{00000000-0006-0000-0100-000097020000}">
      <text>
        <r>
          <rPr>
            <b/>
            <sz val="9"/>
            <color indexed="81"/>
            <rFont val="Tahoma"/>
            <family val="2"/>
          </rPr>
          <t>Jorge Arturo Espinoza:</t>
        </r>
        <r>
          <rPr>
            <sz val="9"/>
            <color indexed="81"/>
            <rFont val="Tahoma"/>
            <family val="2"/>
          </rPr>
          <t xml:space="preserve">
POR ANDRES.
ERA 258
en-2016</t>
        </r>
      </text>
    </comment>
    <comment ref="D3461" authorId="1" shapeId="0" xr:uid="{00000000-0006-0000-0100-000098020000}">
      <text>
        <r>
          <rPr>
            <b/>
            <sz val="9"/>
            <color indexed="81"/>
            <rFont val="Tahoma"/>
            <family val="2"/>
          </rPr>
          <t>Roberto Meza:</t>
        </r>
        <r>
          <rPr>
            <sz val="9"/>
            <color indexed="81"/>
            <rFont val="Tahoma"/>
            <family val="2"/>
          </rPr>
          <t xml:space="preserve">
Daniel 7/2/18</t>
        </r>
      </text>
    </comment>
    <comment ref="D3462" authorId="1" shapeId="0" xr:uid="{00000000-0006-0000-0100-000099020000}">
      <text>
        <r>
          <rPr>
            <b/>
            <sz val="9"/>
            <color indexed="81"/>
            <rFont val="Tahoma"/>
            <family val="2"/>
          </rPr>
          <t>Roberto Meza:</t>
        </r>
        <r>
          <rPr>
            <sz val="9"/>
            <color indexed="81"/>
            <rFont val="Tahoma"/>
            <family val="2"/>
          </rPr>
          <t xml:space="preserve">
Daniel 7/2/18</t>
        </r>
      </text>
    </comment>
    <comment ref="D3463" authorId="1" shapeId="0" xr:uid="{00000000-0006-0000-0100-00009A020000}">
      <text>
        <r>
          <rPr>
            <b/>
            <sz val="9"/>
            <color indexed="81"/>
            <rFont val="Tahoma"/>
            <family val="2"/>
          </rPr>
          <t>Roberto Meza:</t>
        </r>
        <r>
          <rPr>
            <sz val="9"/>
            <color indexed="81"/>
            <rFont val="Tahoma"/>
            <family val="2"/>
          </rPr>
          <t xml:space="preserve">
Daniel 7/2/18</t>
        </r>
      </text>
    </comment>
    <comment ref="D3464" authorId="1" shapeId="0" xr:uid="{00000000-0006-0000-0100-00009B020000}">
      <text>
        <r>
          <rPr>
            <b/>
            <sz val="9"/>
            <color indexed="81"/>
            <rFont val="Tahoma"/>
            <family val="2"/>
          </rPr>
          <t>Roberto Meza:</t>
        </r>
        <r>
          <rPr>
            <sz val="9"/>
            <color indexed="81"/>
            <rFont val="Tahoma"/>
            <family val="2"/>
          </rPr>
          <t xml:space="preserve">
Daniel 7/2/18</t>
        </r>
      </text>
    </comment>
    <comment ref="D3466" authorId="0" shapeId="0" xr:uid="{00000000-0006-0000-0100-00009C020000}">
      <text>
        <r>
          <rPr>
            <b/>
            <sz val="9"/>
            <color indexed="81"/>
            <rFont val="Tahoma"/>
            <family val="2"/>
          </rPr>
          <t>Jorge Arturo Espinoza:</t>
        </r>
        <r>
          <rPr>
            <sz val="9"/>
            <color indexed="81"/>
            <rFont val="Tahoma"/>
            <family val="2"/>
          </rPr>
          <t xml:space="preserve">
POR ANDRES.
ERA 258
en-2016</t>
        </r>
      </text>
    </comment>
    <comment ref="D3467" authorId="0" shapeId="0" xr:uid="{00000000-0006-0000-0100-00009D020000}">
      <text>
        <r>
          <rPr>
            <b/>
            <sz val="9"/>
            <color indexed="81"/>
            <rFont val="Tahoma"/>
            <family val="2"/>
          </rPr>
          <t>Jorge Arturo Espinoza:</t>
        </r>
        <r>
          <rPr>
            <sz val="9"/>
            <color indexed="81"/>
            <rFont val="Tahoma"/>
            <family val="2"/>
          </rPr>
          <t xml:space="preserve">
era 258</t>
        </r>
      </text>
    </comment>
    <comment ref="D3468" authorId="0" shapeId="0" xr:uid="{00000000-0006-0000-0100-00009E020000}">
      <text>
        <r>
          <rPr>
            <b/>
            <sz val="9"/>
            <color indexed="81"/>
            <rFont val="Tahoma"/>
            <family val="2"/>
          </rPr>
          <t>Jorge Arturo Espinoza:</t>
        </r>
        <r>
          <rPr>
            <sz val="9"/>
            <color indexed="81"/>
            <rFont val="Tahoma"/>
            <family val="2"/>
          </rPr>
          <t xml:space="preserve">
aprox
era 258</t>
        </r>
      </text>
    </comment>
    <comment ref="D3481" authorId="0" shapeId="0" xr:uid="{00000000-0006-0000-0100-00009F020000}">
      <text>
        <r>
          <rPr>
            <b/>
            <sz val="9"/>
            <color indexed="81"/>
            <rFont val="Tahoma"/>
            <family val="2"/>
          </rPr>
          <t>Jorge Arturo Espinoza:</t>
        </r>
        <r>
          <rPr>
            <sz val="9"/>
            <color indexed="81"/>
            <rFont val="Tahoma"/>
            <family val="2"/>
          </rPr>
          <t xml:space="preserve">
aprox
era 258</t>
        </r>
      </text>
    </comment>
    <comment ref="D3482" authorId="0" shapeId="0" xr:uid="{00000000-0006-0000-0100-0000A0020000}">
      <text>
        <r>
          <rPr>
            <b/>
            <sz val="9"/>
            <color indexed="81"/>
            <rFont val="Tahoma"/>
            <family val="2"/>
          </rPr>
          <t>Jorge Arturo Espinoza:</t>
        </r>
        <r>
          <rPr>
            <sz val="9"/>
            <color indexed="81"/>
            <rFont val="Tahoma"/>
            <family val="2"/>
          </rPr>
          <t xml:space="preserve">
aprox
era 258</t>
        </r>
      </text>
    </comment>
    <comment ref="B3500" authorId="0" shapeId="0" xr:uid="{00000000-0006-0000-0100-0000A1020000}">
      <text>
        <r>
          <rPr>
            <b/>
            <sz val="9"/>
            <color indexed="81"/>
            <rFont val="Tahoma"/>
            <family val="2"/>
          </rPr>
          <t>Jorge Arturo Espinoza:</t>
        </r>
        <r>
          <rPr>
            <sz val="9"/>
            <color indexed="81"/>
            <rFont val="Tahoma"/>
            <family val="2"/>
          </rPr>
          <t xml:space="preserve">
MODELOS DESCONTINUADOS</t>
        </r>
      </text>
    </comment>
    <comment ref="D3500" authorId="0" shapeId="0" xr:uid="{00000000-0006-0000-0100-0000A2020000}">
      <text>
        <r>
          <rPr>
            <b/>
            <sz val="9"/>
            <color indexed="81"/>
            <rFont val="Tahoma"/>
            <family val="2"/>
          </rPr>
          <t>Jorge Arturo Espinoza:</t>
        </r>
        <r>
          <rPr>
            <sz val="9"/>
            <color indexed="81"/>
            <rFont val="Tahoma"/>
            <family val="2"/>
          </rPr>
          <t xml:space="preserve">
Precio por Marcial, 2018-02</t>
        </r>
      </text>
    </comment>
    <comment ref="B3501" authorId="0" shapeId="0" xr:uid="{00000000-0006-0000-0100-0000A3020000}">
      <text>
        <r>
          <rPr>
            <b/>
            <sz val="9"/>
            <color indexed="81"/>
            <rFont val="Tahoma"/>
            <family val="2"/>
          </rPr>
          <t>Jorge Arturo Espinoza:</t>
        </r>
        <r>
          <rPr>
            <sz val="9"/>
            <color indexed="81"/>
            <rFont val="Tahoma"/>
            <family val="2"/>
          </rPr>
          <t xml:space="preserve">
MODELOS DESCONTINUADOS</t>
        </r>
      </text>
    </comment>
    <comment ref="D3501" authorId="0" shapeId="0" xr:uid="{00000000-0006-0000-0100-0000A4020000}">
      <text>
        <r>
          <rPr>
            <b/>
            <sz val="9"/>
            <color indexed="81"/>
            <rFont val="Tahoma"/>
            <family val="2"/>
          </rPr>
          <t>Jorge Arturo Espinoza:</t>
        </r>
        <r>
          <rPr>
            <sz val="9"/>
            <color indexed="81"/>
            <rFont val="Tahoma"/>
            <family val="2"/>
          </rPr>
          <t xml:space="preserve">
Precio por Marcial, 2018-02</t>
        </r>
      </text>
    </comment>
    <comment ref="B3502" authorId="0" shapeId="0" xr:uid="{00000000-0006-0000-0100-0000A5020000}">
      <text>
        <r>
          <rPr>
            <b/>
            <sz val="9"/>
            <color indexed="81"/>
            <rFont val="Tahoma"/>
            <family val="2"/>
          </rPr>
          <t>Jorge Arturo Espinoza:</t>
        </r>
        <r>
          <rPr>
            <sz val="9"/>
            <color indexed="81"/>
            <rFont val="Tahoma"/>
            <family val="2"/>
          </rPr>
          <t xml:space="preserve">
MODELOS DESCONTINUADOS</t>
        </r>
      </text>
    </comment>
    <comment ref="D3502" authorId="0" shapeId="0" xr:uid="{00000000-0006-0000-0100-0000A6020000}">
      <text>
        <r>
          <rPr>
            <b/>
            <sz val="9"/>
            <color indexed="81"/>
            <rFont val="Tahoma"/>
            <family val="2"/>
          </rPr>
          <t>Jorge Arturo Espinoza:</t>
        </r>
        <r>
          <rPr>
            <sz val="9"/>
            <color indexed="81"/>
            <rFont val="Tahoma"/>
            <family val="2"/>
          </rPr>
          <t xml:space="preserve">
Precio por Marcial, 2018-02</t>
        </r>
      </text>
    </comment>
    <comment ref="B3504" authorId="0" shapeId="0" xr:uid="{00000000-0006-0000-0100-0000A7020000}">
      <text>
        <r>
          <rPr>
            <b/>
            <sz val="9"/>
            <color indexed="81"/>
            <rFont val="Tahoma"/>
            <family val="2"/>
          </rPr>
          <t>Jorge Arturo Espinoza:</t>
        </r>
        <r>
          <rPr>
            <sz val="9"/>
            <color indexed="81"/>
            <rFont val="Tahoma"/>
            <family val="2"/>
          </rPr>
          <t xml:space="preserve">
MODELOS DESCONTINUADOS</t>
        </r>
      </text>
    </comment>
    <comment ref="B3515" authorId="0" shapeId="0" xr:uid="{00000000-0006-0000-0100-0000A8020000}">
      <text>
        <r>
          <rPr>
            <b/>
            <sz val="9"/>
            <color indexed="81"/>
            <rFont val="Tahoma"/>
            <family val="2"/>
          </rPr>
          <t>Jorge Arturo Espinoza:</t>
        </r>
        <r>
          <rPr>
            <sz val="9"/>
            <color indexed="81"/>
            <rFont val="Tahoma"/>
            <family val="2"/>
          </rPr>
          <t xml:space="preserve">
MODELOS DESCONTINUADOS</t>
        </r>
      </text>
    </comment>
    <comment ref="B3526" authorId="0" shapeId="0" xr:uid="{00000000-0006-0000-0100-0000A9020000}">
      <text>
        <r>
          <rPr>
            <b/>
            <sz val="9"/>
            <color indexed="81"/>
            <rFont val="Tahoma"/>
            <family val="2"/>
          </rPr>
          <t>Jorge Arturo Espinoza:</t>
        </r>
        <r>
          <rPr>
            <sz val="9"/>
            <color indexed="81"/>
            <rFont val="Tahoma"/>
            <family val="2"/>
          </rPr>
          <t xml:space="preserve">
MODELOS DESCONTINUADOS</t>
        </r>
      </text>
    </comment>
    <comment ref="D3535" authorId="0" shapeId="0" xr:uid="{00000000-0006-0000-0100-0000AA020000}">
      <text>
        <r>
          <rPr>
            <b/>
            <sz val="9"/>
            <color indexed="81"/>
            <rFont val="Tahoma"/>
            <family val="2"/>
          </rPr>
          <t>Jorge Arturo Espinoza:</t>
        </r>
        <r>
          <rPr>
            <sz val="9"/>
            <color indexed="81"/>
            <rFont val="Tahoma"/>
            <family val="2"/>
          </rPr>
          <t xml:space="preserve">
ERA $96</t>
        </r>
      </text>
    </comment>
    <comment ref="B3540" authorId="0" shapeId="0" xr:uid="{00000000-0006-0000-0100-0000AB020000}">
      <text>
        <r>
          <rPr>
            <b/>
            <sz val="9"/>
            <color indexed="81"/>
            <rFont val="Tahoma"/>
            <family val="2"/>
          </rPr>
          <t>Jorge Arturo Espinoza:</t>
        </r>
        <r>
          <rPr>
            <sz val="9"/>
            <color indexed="81"/>
            <rFont val="Tahoma"/>
            <family val="2"/>
          </rPr>
          <t xml:space="preserve">
tiempo de importacion = 16 semanas</t>
        </r>
      </text>
    </comment>
    <comment ref="D3540" authorId="3" shapeId="0" xr:uid="{00000000-0006-0000-0100-0000AC020000}">
      <text>
        <r>
          <rPr>
            <b/>
            <sz val="9"/>
            <color indexed="81"/>
            <rFont val="Tahoma"/>
            <family val="2"/>
          </rPr>
          <t>Roberto Meza:</t>
        </r>
        <r>
          <rPr>
            <sz val="9"/>
            <color indexed="81"/>
            <rFont val="Tahoma"/>
            <family val="2"/>
          </rPr>
          <t xml:space="preserve">
ENVIADO POR MARCIAL 06/03/19
</t>
        </r>
      </text>
    </comment>
    <comment ref="B3541" authorId="0" shapeId="0" xr:uid="{00000000-0006-0000-0100-0000AD020000}">
      <text>
        <r>
          <rPr>
            <b/>
            <sz val="9"/>
            <color indexed="81"/>
            <rFont val="Tahoma"/>
            <family val="2"/>
          </rPr>
          <t>Jorge Arturo Espinoza:</t>
        </r>
        <r>
          <rPr>
            <sz val="9"/>
            <color indexed="81"/>
            <rFont val="Tahoma"/>
            <family val="2"/>
          </rPr>
          <t xml:space="preserve">
tiempo de importacion = 16 semanas</t>
        </r>
      </text>
    </comment>
    <comment ref="D3541" authorId="3" shapeId="0" xr:uid="{00000000-0006-0000-0100-0000AE020000}">
      <text>
        <r>
          <rPr>
            <b/>
            <sz val="9"/>
            <color indexed="81"/>
            <rFont val="Tahoma"/>
            <family val="2"/>
          </rPr>
          <t>Paulo Olano:</t>
        </r>
        <r>
          <rPr>
            <sz val="9"/>
            <color indexed="81"/>
            <rFont val="Tahoma"/>
            <family val="2"/>
          </rPr>
          <t xml:space="preserve">
ENVIADO POR MARCIAL 16/02/18
</t>
        </r>
      </text>
    </comment>
    <comment ref="B3542" authorId="0" shapeId="0" xr:uid="{00000000-0006-0000-0100-0000AF020000}">
      <text>
        <r>
          <rPr>
            <b/>
            <sz val="9"/>
            <color indexed="81"/>
            <rFont val="Tahoma"/>
            <family val="2"/>
          </rPr>
          <t>Jorge Arturo Espinoza:</t>
        </r>
        <r>
          <rPr>
            <sz val="9"/>
            <color indexed="81"/>
            <rFont val="Tahoma"/>
            <family val="2"/>
          </rPr>
          <t xml:space="preserve">
tiempo de importacion = 16 semanas</t>
        </r>
      </text>
    </comment>
    <comment ref="D3542" authorId="3" shapeId="0" xr:uid="{00000000-0006-0000-0100-0000B0020000}">
      <text>
        <r>
          <rPr>
            <b/>
            <sz val="9"/>
            <color indexed="81"/>
            <rFont val="Tahoma"/>
            <family val="2"/>
          </rPr>
          <t>Roberto Meza:</t>
        </r>
        <r>
          <rPr>
            <sz val="9"/>
            <color indexed="81"/>
            <rFont val="Tahoma"/>
            <family val="2"/>
          </rPr>
          <t xml:space="preserve">
ENVIADO POR MARCIAL 23/12/19
</t>
        </r>
      </text>
    </comment>
    <comment ref="B3549" authorId="0" shapeId="0" xr:uid="{00000000-0006-0000-0100-0000B1020000}">
      <text>
        <r>
          <rPr>
            <b/>
            <sz val="9"/>
            <color indexed="81"/>
            <rFont val="Tahoma"/>
            <family val="2"/>
          </rPr>
          <t>Roberto Meza:</t>
        </r>
        <r>
          <rPr>
            <sz val="9"/>
            <color indexed="81"/>
            <rFont val="Tahoma"/>
            <family val="2"/>
          </rPr>
          <t xml:space="preserve">
Tiempo de importacion: 12 semanas</t>
        </r>
      </text>
    </comment>
    <comment ref="D3549" authorId="3" shapeId="0" xr:uid="{00000000-0006-0000-0100-0000B2020000}">
      <text>
        <r>
          <rPr>
            <b/>
            <sz val="9"/>
            <color indexed="81"/>
            <rFont val="Tahoma"/>
            <family val="2"/>
          </rPr>
          <t>Roberto Meza:</t>
        </r>
        <r>
          <rPr>
            <sz val="9"/>
            <color indexed="81"/>
            <rFont val="Tahoma"/>
            <family val="2"/>
          </rPr>
          <t xml:space="preserve">
ENVIADO POR MARCIAL 03/05/2019
</t>
        </r>
      </text>
    </comment>
    <comment ref="B3550" authorId="0" shapeId="0" xr:uid="{00000000-0006-0000-0100-0000B3020000}">
      <text>
        <r>
          <rPr>
            <b/>
            <sz val="9"/>
            <color indexed="81"/>
            <rFont val="Tahoma"/>
            <family val="2"/>
          </rPr>
          <t>Jorge Arturo Espinoza:</t>
        </r>
        <r>
          <rPr>
            <sz val="9"/>
            <color indexed="81"/>
            <rFont val="Tahoma"/>
            <family val="2"/>
          </rPr>
          <t xml:space="preserve">
Tiempo de importacion: 16 semanas</t>
        </r>
      </text>
    </comment>
    <comment ref="D3550" authorId="3" shapeId="0" xr:uid="{00000000-0006-0000-0100-0000B4020000}">
      <text>
        <r>
          <rPr>
            <b/>
            <sz val="9"/>
            <color indexed="81"/>
            <rFont val="Tahoma"/>
            <family val="2"/>
          </rPr>
          <t>Paulo Olano:</t>
        </r>
        <r>
          <rPr>
            <sz val="9"/>
            <color indexed="81"/>
            <rFont val="Tahoma"/>
            <family val="2"/>
          </rPr>
          <t xml:space="preserve">
ENVIADO POR MARCIAL 18/05/2017
</t>
        </r>
      </text>
    </comment>
    <comment ref="B3551" authorId="0" shapeId="0" xr:uid="{00000000-0006-0000-0100-0000B5020000}">
      <text>
        <r>
          <rPr>
            <b/>
            <sz val="9"/>
            <color indexed="81"/>
            <rFont val="Tahoma"/>
            <family val="2"/>
          </rPr>
          <t>Jorge Arturo Espinoza:</t>
        </r>
        <r>
          <rPr>
            <sz val="9"/>
            <color indexed="81"/>
            <rFont val="Tahoma"/>
            <family val="2"/>
          </rPr>
          <t xml:space="preserve">
Tiempo de importacion: 16 semanas</t>
        </r>
      </text>
    </comment>
    <comment ref="D3551" authorId="3" shapeId="0" xr:uid="{00000000-0006-0000-0100-0000B6020000}">
      <text>
        <r>
          <rPr>
            <b/>
            <sz val="9"/>
            <color indexed="81"/>
            <rFont val="Tahoma"/>
            <family val="2"/>
          </rPr>
          <t>Paulo Olano:</t>
        </r>
        <r>
          <rPr>
            <sz val="9"/>
            <color indexed="81"/>
            <rFont val="Tahoma"/>
            <family val="2"/>
          </rPr>
          <t xml:space="preserve">
ENVIADO POR MARCIAL 18/05/2017
</t>
        </r>
      </text>
    </comment>
    <comment ref="B3552" authorId="0" shapeId="0" xr:uid="{00000000-0006-0000-0100-0000B7020000}">
      <text>
        <r>
          <rPr>
            <b/>
            <sz val="9"/>
            <color indexed="81"/>
            <rFont val="Tahoma"/>
            <family val="2"/>
          </rPr>
          <t>Jorge Arturo Espinoza:</t>
        </r>
        <r>
          <rPr>
            <sz val="9"/>
            <color indexed="81"/>
            <rFont val="Tahoma"/>
            <family val="2"/>
          </rPr>
          <t xml:space="preserve">
Tiempo de importacion: 16 semanas</t>
        </r>
      </text>
    </comment>
    <comment ref="D3552" authorId="3" shapeId="0" xr:uid="{00000000-0006-0000-0100-0000B8020000}">
      <text>
        <r>
          <rPr>
            <b/>
            <sz val="9"/>
            <color indexed="81"/>
            <rFont val="Tahoma"/>
            <family val="2"/>
          </rPr>
          <t>Paulo Olano:</t>
        </r>
        <r>
          <rPr>
            <sz val="9"/>
            <color indexed="81"/>
            <rFont val="Tahoma"/>
            <family val="2"/>
          </rPr>
          <t xml:space="preserve">
ENVIADO POR MARCIAL 18/05/2017
</t>
        </r>
      </text>
    </comment>
    <comment ref="B3553" authorId="0" shapeId="0" xr:uid="{00000000-0006-0000-0100-0000B9020000}">
      <text>
        <r>
          <rPr>
            <b/>
            <sz val="9"/>
            <color indexed="81"/>
            <rFont val="Tahoma"/>
            <family val="2"/>
          </rPr>
          <t>Jorge Arturo Espinoza:</t>
        </r>
        <r>
          <rPr>
            <sz val="9"/>
            <color indexed="81"/>
            <rFont val="Tahoma"/>
            <family val="2"/>
          </rPr>
          <t xml:space="preserve">
Tiempo de importacion: 16 semanas</t>
        </r>
      </text>
    </comment>
    <comment ref="D3553" authorId="3" shapeId="0" xr:uid="{00000000-0006-0000-0100-0000BA020000}">
      <text>
        <r>
          <rPr>
            <b/>
            <sz val="9"/>
            <color indexed="81"/>
            <rFont val="Tahoma"/>
            <family val="2"/>
          </rPr>
          <t>Paulo Olano:</t>
        </r>
        <r>
          <rPr>
            <sz val="9"/>
            <color indexed="81"/>
            <rFont val="Tahoma"/>
            <family val="2"/>
          </rPr>
          <t xml:space="preserve">
ENVIADO POR MARCIAL 18/05/2017
</t>
        </r>
      </text>
    </comment>
    <comment ref="B3554" authorId="0" shapeId="0" xr:uid="{00000000-0006-0000-0100-0000BB020000}">
      <text>
        <r>
          <rPr>
            <b/>
            <sz val="9"/>
            <color indexed="81"/>
            <rFont val="Tahoma"/>
            <family val="2"/>
          </rPr>
          <t>Jorge Arturo Espinoza:</t>
        </r>
        <r>
          <rPr>
            <sz val="9"/>
            <color indexed="81"/>
            <rFont val="Tahoma"/>
            <family val="2"/>
          </rPr>
          <t xml:space="preserve">
Tiempo de importacion: 16 semanas</t>
        </r>
      </text>
    </comment>
    <comment ref="D3554" authorId="3" shapeId="0" xr:uid="{00000000-0006-0000-0100-0000BC020000}">
      <text>
        <r>
          <rPr>
            <b/>
            <sz val="9"/>
            <color indexed="81"/>
            <rFont val="Tahoma"/>
            <family val="2"/>
          </rPr>
          <t>Paulo Olano:</t>
        </r>
        <r>
          <rPr>
            <sz val="9"/>
            <color indexed="81"/>
            <rFont val="Tahoma"/>
            <family val="2"/>
          </rPr>
          <t xml:space="preserve">
ENVIADO POR MARCIAL 18/05/2017
</t>
        </r>
      </text>
    </comment>
    <comment ref="B3555" authorId="0" shapeId="0" xr:uid="{00000000-0006-0000-0100-0000BD020000}">
      <text>
        <r>
          <rPr>
            <b/>
            <sz val="9"/>
            <color indexed="81"/>
            <rFont val="Tahoma"/>
            <family val="2"/>
          </rPr>
          <t>Jorge Arturo Espinoza:</t>
        </r>
        <r>
          <rPr>
            <sz val="9"/>
            <color indexed="81"/>
            <rFont val="Tahoma"/>
            <family val="2"/>
          </rPr>
          <t xml:space="preserve">
Tiempo de importacion: 16 semanas</t>
        </r>
      </text>
    </comment>
    <comment ref="D3555" authorId="3" shapeId="0" xr:uid="{00000000-0006-0000-0100-0000BE020000}">
      <text>
        <r>
          <rPr>
            <b/>
            <sz val="9"/>
            <color indexed="81"/>
            <rFont val="Tahoma"/>
            <family val="2"/>
          </rPr>
          <t>Paulo Olano:</t>
        </r>
        <r>
          <rPr>
            <sz val="9"/>
            <color indexed="81"/>
            <rFont val="Tahoma"/>
            <family val="2"/>
          </rPr>
          <t xml:space="preserve">
ENVIADO POR MARCIAL 18/05/2017
</t>
        </r>
      </text>
    </comment>
    <comment ref="B3556" authorId="0" shapeId="0" xr:uid="{00000000-0006-0000-0100-0000BF020000}">
      <text>
        <r>
          <rPr>
            <b/>
            <sz val="9"/>
            <color indexed="81"/>
            <rFont val="Tahoma"/>
            <family val="2"/>
          </rPr>
          <t>Jorge Arturo Espinoza:</t>
        </r>
        <r>
          <rPr>
            <sz val="9"/>
            <color indexed="81"/>
            <rFont val="Tahoma"/>
            <family val="2"/>
          </rPr>
          <t xml:space="preserve">
Tiempo de importacion: 16 semanas</t>
        </r>
      </text>
    </comment>
    <comment ref="D3556" authorId="3" shapeId="0" xr:uid="{00000000-0006-0000-0100-0000C0020000}">
      <text>
        <r>
          <rPr>
            <b/>
            <sz val="9"/>
            <color indexed="81"/>
            <rFont val="Tahoma"/>
            <family val="2"/>
          </rPr>
          <t>Paulo Olano:</t>
        </r>
        <r>
          <rPr>
            <sz val="9"/>
            <color indexed="81"/>
            <rFont val="Tahoma"/>
            <family val="2"/>
          </rPr>
          <t xml:space="preserve">
ENVIADO POR MARCIAL 18/05/2017
</t>
        </r>
      </text>
    </comment>
    <comment ref="B3557" authorId="0" shapeId="0" xr:uid="{00000000-0006-0000-0100-0000C1020000}">
      <text>
        <r>
          <rPr>
            <b/>
            <sz val="9"/>
            <color indexed="81"/>
            <rFont val="Tahoma"/>
            <family val="2"/>
          </rPr>
          <t>Jorge Arturo Espinoza:</t>
        </r>
        <r>
          <rPr>
            <sz val="9"/>
            <color indexed="81"/>
            <rFont val="Tahoma"/>
            <family val="2"/>
          </rPr>
          <t xml:space="preserve">
Tiempo de importacion: 16 semanas</t>
        </r>
      </text>
    </comment>
    <comment ref="D3557" authorId="3" shapeId="0" xr:uid="{00000000-0006-0000-0100-0000C2020000}">
      <text>
        <r>
          <rPr>
            <b/>
            <sz val="9"/>
            <color indexed="81"/>
            <rFont val="Tahoma"/>
            <family val="2"/>
          </rPr>
          <t>Paulo Olano:</t>
        </r>
        <r>
          <rPr>
            <sz val="9"/>
            <color indexed="81"/>
            <rFont val="Tahoma"/>
            <family val="2"/>
          </rPr>
          <t xml:space="preserve">
ENVIADO POR MARCIAL 18/05/2017
</t>
        </r>
      </text>
    </comment>
    <comment ref="B3558" authorId="0" shapeId="0" xr:uid="{00000000-0006-0000-0100-0000C3020000}">
      <text>
        <r>
          <rPr>
            <b/>
            <sz val="9"/>
            <color indexed="81"/>
            <rFont val="Tahoma"/>
            <family val="2"/>
          </rPr>
          <t>Jorge Arturo Espinoza:</t>
        </r>
        <r>
          <rPr>
            <sz val="9"/>
            <color indexed="81"/>
            <rFont val="Tahoma"/>
            <family val="2"/>
          </rPr>
          <t xml:space="preserve">
Tiempo de importacion: 16 semanas</t>
        </r>
      </text>
    </comment>
    <comment ref="D3558" authorId="3" shapeId="0" xr:uid="{00000000-0006-0000-0100-0000C4020000}">
      <text>
        <r>
          <rPr>
            <b/>
            <sz val="9"/>
            <color indexed="81"/>
            <rFont val="Tahoma"/>
            <family val="2"/>
          </rPr>
          <t>Paulo Olano:</t>
        </r>
        <r>
          <rPr>
            <sz val="9"/>
            <color indexed="81"/>
            <rFont val="Tahoma"/>
            <family val="2"/>
          </rPr>
          <t xml:space="preserve">
ENVIADO POR MARCIAL 18/05/2017
</t>
        </r>
      </text>
    </comment>
    <comment ref="B3559" authorId="0" shapeId="0" xr:uid="{00000000-0006-0000-0100-0000C5020000}">
      <text>
        <r>
          <rPr>
            <b/>
            <sz val="9"/>
            <color indexed="81"/>
            <rFont val="Tahoma"/>
            <family val="2"/>
          </rPr>
          <t>Jorge Arturo Espinoza:</t>
        </r>
        <r>
          <rPr>
            <sz val="9"/>
            <color indexed="81"/>
            <rFont val="Tahoma"/>
            <family val="2"/>
          </rPr>
          <t xml:space="preserve">
Tiempo de importacion: 16 semanas</t>
        </r>
      </text>
    </comment>
    <comment ref="D3559" authorId="3" shapeId="0" xr:uid="{00000000-0006-0000-0100-0000C6020000}">
      <text>
        <r>
          <rPr>
            <b/>
            <sz val="9"/>
            <color indexed="81"/>
            <rFont val="Tahoma"/>
            <family val="2"/>
          </rPr>
          <t>Paulo Olano:</t>
        </r>
        <r>
          <rPr>
            <sz val="9"/>
            <color indexed="81"/>
            <rFont val="Tahoma"/>
            <family val="2"/>
          </rPr>
          <t xml:space="preserve">
ENVIADO POR MARCIAL 18/05/2017
</t>
        </r>
      </text>
    </comment>
    <comment ref="B3561" authorId="0" shapeId="0" xr:uid="{00000000-0006-0000-0100-0000C7020000}">
      <text>
        <r>
          <rPr>
            <b/>
            <sz val="9"/>
            <color indexed="81"/>
            <rFont val="Tahoma"/>
            <family val="2"/>
          </rPr>
          <t>Jorge Arturo Espinoza:</t>
        </r>
        <r>
          <rPr>
            <sz val="9"/>
            <color indexed="81"/>
            <rFont val="Tahoma"/>
            <family val="2"/>
          </rPr>
          <t xml:space="preserve">
Tiempo de importacion: 16 semanas</t>
        </r>
      </text>
    </comment>
    <comment ref="D3561" authorId="3" shapeId="0" xr:uid="{00000000-0006-0000-0100-0000C8020000}">
      <text>
        <r>
          <rPr>
            <b/>
            <sz val="9"/>
            <color indexed="81"/>
            <rFont val="Tahoma"/>
            <family val="2"/>
          </rPr>
          <t>Roberto Meza:</t>
        </r>
        <r>
          <rPr>
            <sz val="9"/>
            <color indexed="81"/>
            <rFont val="Tahoma"/>
            <family val="2"/>
          </rPr>
          <t xml:space="preserve">
ENVIADO POR MARCIAL 23/12/2019
</t>
        </r>
      </text>
    </comment>
    <comment ref="B3563" authorId="0" shapeId="0" xr:uid="{00000000-0006-0000-0100-0000C9020000}">
      <text>
        <r>
          <rPr>
            <b/>
            <sz val="9"/>
            <color indexed="81"/>
            <rFont val="Tahoma"/>
            <family val="2"/>
          </rPr>
          <t>Jorge Arturo Espinoza:</t>
        </r>
        <r>
          <rPr>
            <sz val="9"/>
            <color indexed="81"/>
            <rFont val="Tahoma"/>
            <family val="2"/>
          </rPr>
          <t xml:space="preserve">
Tiempo de importacion: 16 semanas</t>
        </r>
      </text>
    </comment>
    <comment ref="D3563" authorId="3" shapeId="0" xr:uid="{00000000-0006-0000-0100-0000CA020000}">
      <text>
        <r>
          <rPr>
            <b/>
            <sz val="9"/>
            <color indexed="81"/>
            <rFont val="Tahoma"/>
            <family val="2"/>
          </rPr>
          <t>Roberto Meza:</t>
        </r>
        <r>
          <rPr>
            <sz val="9"/>
            <color indexed="81"/>
            <rFont val="Tahoma"/>
            <family val="2"/>
          </rPr>
          <t xml:space="preserve">
ENVIADO POR MARCIAL 23/12/2019
</t>
        </r>
      </text>
    </comment>
    <comment ref="D3565" authorId="3" shapeId="0" xr:uid="{00000000-0006-0000-0100-0000CB020000}">
      <text>
        <r>
          <rPr>
            <b/>
            <sz val="9"/>
            <color indexed="81"/>
            <rFont val="Tahoma"/>
            <family val="2"/>
          </rPr>
          <t>Roberto Meza:</t>
        </r>
        <r>
          <rPr>
            <sz val="9"/>
            <color indexed="81"/>
            <rFont val="Tahoma"/>
            <family val="2"/>
          </rPr>
          <t xml:space="preserve">
ENVIADO POR MARCIAL 23/12/2019
</t>
        </r>
      </text>
    </comment>
    <comment ref="B3570" authorId="0" shapeId="0" xr:uid="{00000000-0006-0000-0100-0000CC020000}">
      <text>
        <r>
          <rPr>
            <b/>
            <sz val="9"/>
            <color indexed="81"/>
            <rFont val="Tahoma"/>
            <family val="2"/>
          </rPr>
          <t>Jorge Arturo Espinoza:</t>
        </r>
        <r>
          <rPr>
            <sz val="9"/>
            <color indexed="81"/>
            <rFont val="Tahoma"/>
            <family val="2"/>
          </rPr>
          <t xml:space="preserve">
tiempo de importacion = 16 semanas</t>
        </r>
      </text>
    </comment>
    <comment ref="D3570" authorId="3" shapeId="0" xr:uid="{00000000-0006-0000-0100-0000CD020000}">
      <text>
        <r>
          <rPr>
            <b/>
            <sz val="9"/>
            <color indexed="81"/>
            <rFont val="Tahoma"/>
            <family val="2"/>
          </rPr>
          <t>Paulo Olano:</t>
        </r>
        <r>
          <rPr>
            <sz val="9"/>
            <color indexed="81"/>
            <rFont val="Tahoma"/>
            <family val="2"/>
          </rPr>
          <t xml:space="preserve">
ENVIADO POR MARCIAL 18/05/17
</t>
        </r>
      </text>
    </comment>
    <comment ref="B3571" authorId="0" shapeId="0" xr:uid="{00000000-0006-0000-0100-0000CE020000}">
      <text>
        <r>
          <rPr>
            <b/>
            <sz val="9"/>
            <color indexed="81"/>
            <rFont val="Tahoma"/>
            <family val="2"/>
          </rPr>
          <t>Jorge Arturo Espinoza:</t>
        </r>
        <r>
          <rPr>
            <sz val="9"/>
            <color indexed="81"/>
            <rFont val="Tahoma"/>
            <family val="2"/>
          </rPr>
          <t xml:space="preserve">
tiempo de importacion = 16 semanas</t>
        </r>
      </text>
    </comment>
    <comment ref="D3571" authorId="3" shapeId="0" xr:uid="{00000000-0006-0000-0100-0000CF020000}">
      <text>
        <r>
          <rPr>
            <b/>
            <sz val="9"/>
            <color indexed="81"/>
            <rFont val="Tahoma"/>
            <family val="2"/>
          </rPr>
          <t>Paulo Olano:</t>
        </r>
        <r>
          <rPr>
            <sz val="9"/>
            <color indexed="81"/>
            <rFont val="Tahoma"/>
            <family val="2"/>
          </rPr>
          <t xml:space="preserve">
ENVIADO POR MARCIAL 18/05/17
</t>
        </r>
      </text>
    </comment>
    <comment ref="B3572" authorId="0" shapeId="0" xr:uid="{00000000-0006-0000-0100-0000D0020000}">
      <text>
        <r>
          <rPr>
            <b/>
            <sz val="9"/>
            <color indexed="81"/>
            <rFont val="Tahoma"/>
            <family val="2"/>
          </rPr>
          <t>Jorge Arturo Espinoza:</t>
        </r>
        <r>
          <rPr>
            <sz val="9"/>
            <color indexed="81"/>
            <rFont val="Tahoma"/>
            <family val="2"/>
          </rPr>
          <t xml:space="preserve">
Tiempo de importacion: 16 semanas</t>
        </r>
      </text>
    </comment>
    <comment ref="D3572" authorId="3" shapeId="0" xr:uid="{00000000-0006-0000-0100-0000D1020000}">
      <text>
        <r>
          <rPr>
            <b/>
            <sz val="9"/>
            <color indexed="81"/>
            <rFont val="Tahoma"/>
            <family val="2"/>
          </rPr>
          <t>Paulo Olano:</t>
        </r>
        <r>
          <rPr>
            <sz val="9"/>
            <color indexed="81"/>
            <rFont val="Tahoma"/>
            <family val="2"/>
          </rPr>
          <t xml:space="preserve">
ENVIADO POR MARCIAL 18/05/2017
</t>
        </r>
      </text>
    </comment>
    <comment ref="B3573" authorId="0" shapeId="0" xr:uid="{00000000-0006-0000-0100-0000D2020000}">
      <text>
        <r>
          <rPr>
            <b/>
            <sz val="9"/>
            <color indexed="81"/>
            <rFont val="Tahoma"/>
            <family val="2"/>
          </rPr>
          <t>Jorge Arturo Espinoza:</t>
        </r>
        <r>
          <rPr>
            <sz val="9"/>
            <color indexed="81"/>
            <rFont val="Tahoma"/>
            <family val="2"/>
          </rPr>
          <t xml:space="preserve">
Tiempo de importacion: 16 semanas</t>
        </r>
      </text>
    </comment>
    <comment ref="D3573" authorId="3" shapeId="0" xr:uid="{00000000-0006-0000-0100-0000D3020000}">
      <text>
        <r>
          <rPr>
            <b/>
            <sz val="9"/>
            <color indexed="81"/>
            <rFont val="Tahoma"/>
            <family val="2"/>
          </rPr>
          <t>Paulo Olano:</t>
        </r>
        <r>
          <rPr>
            <sz val="9"/>
            <color indexed="81"/>
            <rFont val="Tahoma"/>
            <family val="2"/>
          </rPr>
          <t xml:space="preserve">
ENVIADO POR MARCIAL 18/05/2017
</t>
        </r>
      </text>
    </comment>
    <comment ref="B3574" authorId="0" shapeId="0" xr:uid="{00000000-0006-0000-0100-0000D4020000}">
      <text>
        <r>
          <rPr>
            <b/>
            <sz val="9"/>
            <color indexed="81"/>
            <rFont val="Tahoma"/>
            <family val="2"/>
          </rPr>
          <t>Jorge Arturo Espinoza:</t>
        </r>
        <r>
          <rPr>
            <sz val="9"/>
            <color indexed="81"/>
            <rFont val="Tahoma"/>
            <family val="2"/>
          </rPr>
          <t xml:space="preserve">
Tiempo de importacion: 16 semanas</t>
        </r>
      </text>
    </comment>
    <comment ref="D3574" authorId="3" shapeId="0" xr:uid="{00000000-0006-0000-0100-0000D5020000}">
      <text>
        <r>
          <rPr>
            <b/>
            <sz val="9"/>
            <color indexed="81"/>
            <rFont val="Tahoma"/>
            <family val="2"/>
          </rPr>
          <t>Paulo Olano:</t>
        </r>
        <r>
          <rPr>
            <sz val="9"/>
            <color indexed="81"/>
            <rFont val="Tahoma"/>
            <family val="2"/>
          </rPr>
          <t xml:space="preserve">
ENVIADO POR MARCIAL 18/05/2017
</t>
        </r>
      </text>
    </comment>
    <comment ref="B3575" authorId="0" shapeId="0" xr:uid="{00000000-0006-0000-0100-0000D6020000}">
      <text>
        <r>
          <rPr>
            <b/>
            <sz val="9"/>
            <color indexed="81"/>
            <rFont val="Tahoma"/>
            <family val="2"/>
          </rPr>
          <t>Jorge Arturo Espinoza:</t>
        </r>
        <r>
          <rPr>
            <sz val="9"/>
            <color indexed="81"/>
            <rFont val="Tahoma"/>
            <family val="2"/>
          </rPr>
          <t xml:space="preserve">
Tiempo de importacion: 16 semanas</t>
        </r>
      </text>
    </comment>
    <comment ref="D3575" authorId="3" shapeId="0" xr:uid="{00000000-0006-0000-0100-0000D7020000}">
      <text>
        <r>
          <rPr>
            <b/>
            <sz val="9"/>
            <color indexed="81"/>
            <rFont val="Tahoma"/>
            <family val="2"/>
          </rPr>
          <t>Paulo Olano:</t>
        </r>
        <r>
          <rPr>
            <sz val="9"/>
            <color indexed="81"/>
            <rFont val="Tahoma"/>
            <family val="2"/>
          </rPr>
          <t xml:space="preserve">
ENVIADO POR MARCIAL 18/05/2017
</t>
        </r>
      </text>
    </comment>
    <comment ref="B3576" authorId="0" shapeId="0" xr:uid="{00000000-0006-0000-0100-0000D8020000}">
      <text>
        <r>
          <rPr>
            <b/>
            <sz val="9"/>
            <color indexed="81"/>
            <rFont val="Tahoma"/>
            <family val="2"/>
          </rPr>
          <t>Jorge Arturo Espinoza:</t>
        </r>
        <r>
          <rPr>
            <sz val="9"/>
            <color indexed="81"/>
            <rFont val="Tahoma"/>
            <family val="2"/>
          </rPr>
          <t xml:space="preserve">
Tiempo de importacion: 16 semanas</t>
        </r>
      </text>
    </comment>
    <comment ref="D3576" authorId="3" shapeId="0" xr:uid="{00000000-0006-0000-0100-0000D9020000}">
      <text>
        <r>
          <rPr>
            <b/>
            <sz val="9"/>
            <color indexed="81"/>
            <rFont val="Tahoma"/>
            <family val="2"/>
          </rPr>
          <t>Paulo Olano:</t>
        </r>
        <r>
          <rPr>
            <sz val="9"/>
            <color indexed="81"/>
            <rFont val="Tahoma"/>
            <family val="2"/>
          </rPr>
          <t xml:space="preserve">
ENVIADO POR MARCIAL 18/05/2017</t>
        </r>
      </text>
    </comment>
    <comment ref="B3578" authorId="0" shapeId="0" xr:uid="{00000000-0006-0000-0100-0000DA020000}">
      <text>
        <r>
          <rPr>
            <b/>
            <sz val="9"/>
            <color indexed="81"/>
            <rFont val="Tahoma"/>
            <family val="2"/>
          </rPr>
          <t>Jorge Arturo Espinoza:</t>
        </r>
        <r>
          <rPr>
            <sz val="9"/>
            <color indexed="81"/>
            <rFont val="Tahoma"/>
            <family val="2"/>
          </rPr>
          <t xml:space="preserve">
Tiempo de importacion: 16 semanas</t>
        </r>
      </text>
    </comment>
    <comment ref="D3578" authorId="3" shapeId="0" xr:uid="{00000000-0006-0000-0100-0000DB020000}">
      <text>
        <r>
          <rPr>
            <b/>
            <sz val="9"/>
            <color indexed="81"/>
            <rFont val="Tahoma"/>
            <family val="2"/>
          </rPr>
          <t>Paulo Olano:</t>
        </r>
        <r>
          <rPr>
            <sz val="9"/>
            <color indexed="81"/>
            <rFont val="Tahoma"/>
            <family val="2"/>
          </rPr>
          <t xml:space="preserve">
ENVIADO POR MARCIAL 18/05/2017
</t>
        </r>
      </text>
    </comment>
    <comment ref="B3581" authorId="0" shapeId="0" xr:uid="{00000000-0006-0000-0100-0000DC020000}">
      <text>
        <r>
          <rPr>
            <b/>
            <sz val="9"/>
            <color indexed="81"/>
            <rFont val="Tahoma"/>
            <family val="2"/>
          </rPr>
          <t>Jorge Arturo Espinoza:</t>
        </r>
        <r>
          <rPr>
            <sz val="9"/>
            <color indexed="81"/>
            <rFont val="Tahoma"/>
            <family val="2"/>
          </rPr>
          <t xml:space="preserve">
Tiempo de importacion: 10 a 12 semanas</t>
        </r>
      </text>
    </comment>
    <comment ref="D3581" authorId="3" shapeId="0" xr:uid="{00000000-0006-0000-0100-0000DD020000}">
      <text>
        <r>
          <rPr>
            <b/>
            <sz val="9"/>
            <color indexed="81"/>
            <rFont val="Tahoma"/>
            <family val="2"/>
          </rPr>
          <t>Paulo Olano:</t>
        </r>
        <r>
          <rPr>
            <sz val="9"/>
            <color indexed="81"/>
            <rFont val="Tahoma"/>
            <family val="2"/>
          </rPr>
          <t xml:space="preserve">
ENVIADO POR DANIEL  19/06/2018
</t>
        </r>
      </text>
    </comment>
    <comment ref="B3582" authorId="0" shapeId="0" xr:uid="{00000000-0006-0000-0100-0000DE020000}">
      <text>
        <r>
          <rPr>
            <b/>
            <sz val="9"/>
            <color indexed="81"/>
            <rFont val="Tahoma"/>
            <family val="2"/>
          </rPr>
          <t>Jorge Arturo Espinoza:</t>
        </r>
        <r>
          <rPr>
            <sz val="9"/>
            <color indexed="81"/>
            <rFont val="Tahoma"/>
            <family val="2"/>
          </rPr>
          <t xml:space="preserve">
Tiempo de importacion: 10 a 12 semanas</t>
        </r>
      </text>
    </comment>
    <comment ref="D3582" authorId="3" shapeId="0" xr:uid="{00000000-0006-0000-0100-0000DF020000}">
      <text>
        <r>
          <rPr>
            <b/>
            <sz val="9"/>
            <color indexed="81"/>
            <rFont val="Tahoma"/>
            <family val="2"/>
          </rPr>
          <t>Paulo Olano:</t>
        </r>
        <r>
          <rPr>
            <sz val="9"/>
            <color indexed="81"/>
            <rFont val="Tahoma"/>
            <family val="2"/>
          </rPr>
          <t xml:space="preserve">
ENVIADO POR DANIEL  19/06/2018
</t>
        </r>
      </text>
    </comment>
    <comment ref="B3583" authorId="0" shapeId="0" xr:uid="{00000000-0006-0000-0100-0000E0020000}">
      <text>
        <r>
          <rPr>
            <b/>
            <sz val="9"/>
            <color indexed="81"/>
            <rFont val="Tahoma"/>
            <family val="2"/>
          </rPr>
          <t>Jorge Arturo Espinoza:</t>
        </r>
        <r>
          <rPr>
            <sz val="9"/>
            <color indexed="81"/>
            <rFont val="Tahoma"/>
            <family val="2"/>
          </rPr>
          <t xml:space="preserve">
Tiempo de importacion: 10 a 12 semanas</t>
        </r>
      </text>
    </comment>
    <comment ref="D3583" authorId="3" shapeId="0" xr:uid="{00000000-0006-0000-0100-0000E1020000}">
      <text>
        <r>
          <rPr>
            <b/>
            <sz val="9"/>
            <color indexed="81"/>
            <rFont val="Tahoma"/>
            <family val="2"/>
          </rPr>
          <t>Paulo Olano:</t>
        </r>
        <r>
          <rPr>
            <sz val="9"/>
            <color indexed="81"/>
            <rFont val="Tahoma"/>
            <family val="2"/>
          </rPr>
          <t xml:space="preserve">
ENVIADO POR DANIEL  19/06/2018
</t>
        </r>
      </text>
    </comment>
    <comment ref="B3584" authorId="0" shapeId="0" xr:uid="{00000000-0006-0000-0100-0000E2020000}">
      <text>
        <r>
          <rPr>
            <b/>
            <sz val="9"/>
            <color indexed="81"/>
            <rFont val="Tahoma"/>
            <family val="2"/>
          </rPr>
          <t>Jorge Arturo Espinoza:</t>
        </r>
        <r>
          <rPr>
            <sz val="9"/>
            <color indexed="81"/>
            <rFont val="Tahoma"/>
            <family val="2"/>
          </rPr>
          <t xml:space="preserve">
Tiempo de importacion: 10 a 12 semanas</t>
        </r>
      </text>
    </comment>
    <comment ref="D3584" authorId="3" shapeId="0" xr:uid="{00000000-0006-0000-0100-0000E3020000}">
      <text>
        <r>
          <rPr>
            <b/>
            <sz val="9"/>
            <color indexed="81"/>
            <rFont val="Tahoma"/>
            <family val="2"/>
          </rPr>
          <t>Paulo Olano:</t>
        </r>
        <r>
          <rPr>
            <sz val="9"/>
            <color indexed="81"/>
            <rFont val="Tahoma"/>
            <family val="2"/>
          </rPr>
          <t xml:space="preserve">
ENVIADO POR DANIEL 19/06/2018
</t>
        </r>
      </text>
    </comment>
    <comment ref="B3587" authorId="0" shapeId="0" xr:uid="{00000000-0006-0000-0100-0000E4020000}">
      <text>
        <r>
          <rPr>
            <b/>
            <sz val="9"/>
            <color indexed="81"/>
            <rFont val="Tahoma"/>
            <family val="2"/>
          </rPr>
          <t>Jorge Arturo Espinoza:</t>
        </r>
        <r>
          <rPr>
            <sz val="9"/>
            <color indexed="81"/>
            <rFont val="Tahoma"/>
            <family val="2"/>
          </rPr>
          <t xml:space="preserve">
tiempo de importacion = 16 semanas</t>
        </r>
      </text>
    </comment>
    <comment ref="D3587" authorId="3" shapeId="0" xr:uid="{00000000-0006-0000-0100-0000E5020000}">
      <text>
        <r>
          <rPr>
            <b/>
            <sz val="9"/>
            <color indexed="81"/>
            <rFont val="Tahoma"/>
            <family val="2"/>
          </rPr>
          <t>Paulo Olano:</t>
        </r>
        <r>
          <rPr>
            <sz val="9"/>
            <color indexed="81"/>
            <rFont val="Tahoma"/>
            <family val="2"/>
          </rPr>
          <t xml:space="preserve">
ENVIADO POR MARCIAL 18/05/17
</t>
        </r>
      </text>
    </comment>
    <comment ref="B3588" authorId="0" shapeId="0" xr:uid="{00000000-0006-0000-0100-0000E6020000}">
      <text>
        <r>
          <rPr>
            <b/>
            <sz val="9"/>
            <color indexed="81"/>
            <rFont val="Tahoma"/>
            <family val="2"/>
          </rPr>
          <t>Jorge Arturo Espinoza:</t>
        </r>
        <r>
          <rPr>
            <sz val="9"/>
            <color indexed="81"/>
            <rFont val="Tahoma"/>
            <family val="2"/>
          </rPr>
          <t xml:space="preserve">
tiempo de importacion: 16 semanas</t>
        </r>
      </text>
    </comment>
    <comment ref="D3588" authorId="0" shapeId="0" xr:uid="{00000000-0006-0000-0100-0000E7020000}">
      <text>
        <r>
          <rPr>
            <b/>
            <sz val="9"/>
            <color indexed="81"/>
            <rFont val="Tahoma"/>
            <family val="2"/>
          </rPr>
          <t>Jorge Arturo Espinoza:</t>
        </r>
        <r>
          <rPr>
            <sz val="9"/>
            <color indexed="81"/>
            <rFont val="Tahoma"/>
            <family val="2"/>
          </rPr>
          <t xml:space="preserve">
DESACTUALIZADO</t>
        </r>
      </text>
    </comment>
    <comment ref="B3589" authorId="0" shapeId="0" xr:uid="{00000000-0006-0000-0100-0000E8020000}">
      <text>
        <r>
          <rPr>
            <b/>
            <sz val="9"/>
            <color indexed="81"/>
            <rFont val="Tahoma"/>
            <family val="2"/>
          </rPr>
          <t>Jorge Arturo Espinoza:</t>
        </r>
        <r>
          <rPr>
            <sz val="9"/>
            <color indexed="81"/>
            <rFont val="Tahoma"/>
            <family val="2"/>
          </rPr>
          <t xml:space="preserve">
Tiempo de importacion: 16 semanas</t>
        </r>
      </text>
    </comment>
    <comment ref="D3589" authorId="0" shapeId="0" xr:uid="{00000000-0006-0000-0100-0000E9020000}">
      <text>
        <r>
          <rPr>
            <b/>
            <sz val="9"/>
            <color indexed="81"/>
            <rFont val="Tahoma"/>
            <family val="2"/>
          </rPr>
          <t xml:space="preserve">Jorge Arturo Espinoza:
</t>
        </r>
        <r>
          <rPr>
            <sz val="9"/>
            <color indexed="81"/>
            <rFont val="Tahoma"/>
            <family val="2"/>
          </rPr>
          <t>ENVIADO POR MARCIAL, EL 03-FEB-2016</t>
        </r>
      </text>
    </comment>
    <comment ref="B3590" authorId="0" shapeId="0" xr:uid="{00000000-0006-0000-0100-0000EA020000}">
      <text>
        <r>
          <rPr>
            <b/>
            <sz val="9"/>
            <color indexed="81"/>
            <rFont val="Tahoma"/>
            <family val="2"/>
          </rPr>
          <t>Jorge Arturo Espinoza:</t>
        </r>
        <r>
          <rPr>
            <sz val="9"/>
            <color indexed="81"/>
            <rFont val="Tahoma"/>
            <family val="2"/>
          </rPr>
          <t xml:space="preserve">
Tiempo de importacion: 16 semanas</t>
        </r>
      </text>
    </comment>
    <comment ref="D3590" authorId="3" shapeId="0" xr:uid="{00000000-0006-0000-0100-0000EB020000}">
      <text>
        <r>
          <rPr>
            <b/>
            <sz val="9"/>
            <color indexed="81"/>
            <rFont val="Tahoma"/>
            <family val="2"/>
          </rPr>
          <t>Paulo Olano:</t>
        </r>
        <r>
          <rPr>
            <sz val="9"/>
            <color indexed="81"/>
            <rFont val="Tahoma"/>
            <family val="2"/>
          </rPr>
          <t xml:space="preserve">
ENVIADO POR MARCIAL 18/05/2017
</t>
        </r>
      </text>
    </comment>
    <comment ref="B3591" authorId="0" shapeId="0" xr:uid="{00000000-0006-0000-0100-0000EC020000}">
      <text>
        <r>
          <rPr>
            <b/>
            <sz val="9"/>
            <color indexed="81"/>
            <rFont val="Tahoma"/>
            <family val="2"/>
          </rPr>
          <t>Jorge Arturo Espinoza:</t>
        </r>
        <r>
          <rPr>
            <sz val="9"/>
            <color indexed="81"/>
            <rFont val="Tahoma"/>
            <family val="2"/>
          </rPr>
          <t xml:space="preserve">
Tiempo de importacion: 16 semanas</t>
        </r>
      </text>
    </comment>
    <comment ref="D3591" authorId="3" shapeId="0" xr:uid="{00000000-0006-0000-0100-0000ED020000}">
      <text>
        <r>
          <rPr>
            <b/>
            <sz val="9"/>
            <color indexed="81"/>
            <rFont val="Tahoma"/>
            <family val="2"/>
          </rPr>
          <t>Paulo Olano:</t>
        </r>
        <r>
          <rPr>
            <sz val="9"/>
            <color indexed="81"/>
            <rFont val="Tahoma"/>
            <family val="2"/>
          </rPr>
          <t xml:space="preserve">
ENVIADO POR MARCIAL 18/05/2017
</t>
        </r>
      </text>
    </comment>
    <comment ref="B3592" authorId="0" shapeId="0" xr:uid="{00000000-0006-0000-0100-0000EE020000}">
      <text>
        <r>
          <rPr>
            <b/>
            <sz val="9"/>
            <color indexed="81"/>
            <rFont val="Tahoma"/>
            <family val="2"/>
          </rPr>
          <t>Jorge Arturo Espinoza:</t>
        </r>
        <r>
          <rPr>
            <sz val="9"/>
            <color indexed="81"/>
            <rFont val="Tahoma"/>
            <family val="2"/>
          </rPr>
          <t xml:space="preserve">
Tiempo de importacion: 16 semanas</t>
        </r>
      </text>
    </comment>
    <comment ref="D3592" authorId="3" shapeId="0" xr:uid="{00000000-0006-0000-0100-0000EF020000}">
      <text>
        <r>
          <rPr>
            <b/>
            <sz val="9"/>
            <color indexed="81"/>
            <rFont val="Tahoma"/>
            <family val="2"/>
          </rPr>
          <t>Paulo Olano:</t>
        </r>
        <r>
          <rPr>
            <sz val="9"/>
            <color indexed="81"/>
            <rFont val="Tahoma"/>
            <family val="2"/>
          </rPr>
          <t xml:space="preserve">
ENVIADO POR MARCIAL 18/05/2017
</t>
        </r>
      </text>
    </comment>
    <comment ref="B3593" authorId="0" shapeId="0" xr:uid="{00000000-0006-0000-0100-0000F0020000}">
      <text>
        <r>
          <rPr>
            <b/>
            <sz val="9"/>
            <color indexed="81"/>
            <rFont val="Tahoma"/>
            <family val="2"/>
          </rPr>
          <t>Jorge Arturo Espinoza:</t>
        </r>
        <r>
          <rPr>
            <sz val="9"/>
            <color indexed="81"/>
            <rFont val="Tahoma"/>
            <family val="2"/>
          </rPr>
          <t xml:space="preserve">
Tiempo de importacion: 16 semanas</t>
        </r>
      </text>
    </comment>
    <comment ref="D3593" authorId="3" shapeId="0" xr:uid="{00000000-0006-0000-0100-0000F1020000}">
      <text>
        <r>
          <rPr>
            <b/>
            <sz val="9"/>
            <color indexed="81"/>
            <rFont val="Tahoma"/>
            <family val="2"/>
          </rPr>
          <t>Paulo Olano:</t>
        </r>
        <r>
          <rPr>
            <sz val="9"/>
            <color indexed="81"/>
            <rFont val="Tahoma"/>
            <family val="2"/>
          </rPr>
          <t xml:space="preserve">
ENVIADO POR DANIEL LIRA 08/09/2017
</t>
        </r>
      </text>
    </comment>
    <comment ref="B3594" authorId="0" shapeId="0" xr:uid="{00000000-0006-0000-0100-0000F2020000}">
      <text>
        <r>
          <rPr>
            <b/>
            <sz val="9"/>
            <color indexed="81"/>
            <rFont val="Tahoma"/>
            <family val="2"/>
          </rPr>
          <t>Jorge Arturo Espinoza:</t>
        </r>
        <r>
          <rPr>
            <sz val="9"/>
            <color indexed="81"/>
            <rFont val="Tahoma"/>
            <family val="2"/>
          </rPr>
          <t xml:space="preserve">
Tiempo de importacion: 16 semanas</t>
        </r>
      </text>
    </comment>
    <comment ref="D3594" authorId="3" shapeId="0" xr:uid="{00000000-0006-0000-0100-0000F3020000}">
      <text>
        <r>
          <rPr>
            <b/>
            <sz val="9"/>
            <color indexed="81"/>
            <rFont val="Tahoma"/>
            <family val="2"/>
          </rPr>
          <t>Paulo Olano:</t>
        </r>
        <r>
          <rPr>
            <sz val="9"/>
            <color indexed="81"/>
            <rFont val="Tahoma"/>
            <family val="2"/>
          </rPr>
          <t xml:space="preserve">
ENVIADO POR MARCIAL 18/05/2017</t>
        </r>
      </text>
    </comment>
    <comment ref="B3595" authorId="0" shapeId="0" xr:uid="{00000000-0006-0000-0100-0000F4020000}">
      <text>
        <r>
          <rPr>
            <b/>
            <sz val="9"/>
            <color indexed="81"/>
            <rFont val="Tahoma"/>
            <family val="2"/>
          </rPr>
          <t>Jorge Arturo Espinoza:</t>
        </r>
        <r>
          <rPr>
            <sz val="9"/>
            <color indexed="81"/>
            <rFont val="Tahoma"/>
            <family val="2"/>
          </rPr>
          <t xml:space="preserve">
Tiempo de importacion: 16 semanas</t>
        </r>
      </text>
    </comment>
    <comment ref="D3595" authorId="3" shapeId="0" xr:uid="{00000000-0006-0000-0100-0000F5020000}">
      <text>
        <r>
          <rPr>
            <b/>
            <sz val="9"/>
            <color indexed="81"/>
            <rFont val="Tahoma"/>
            <family val="2"/>
          </rPr>
          <t>Paulo Olano:</t>
        </r>
        <r>
          <rPr>
            <sz val="9"/>
            <color indexed="81"/>
            <rFont val="Tahoma"/>
            <family val="2"/>
          </rPr>
          <t xml:space="preserve">
ENVIADO POR MARCIAL 18/05/2017</t>
        </r>
      </text>
    </comment>
    <comment ref="B3596" authorId="0" shapeId="0" xr:uid="{00000000-0006-0000-0100-0000F6020000}">
      <text>
        <r>
          <rPr>
            <b/>
            <sz val="9"/>
            <color indexed="81"/>
            <rFont val="Tahoma"/>
            <family val="2"/>
          </rPr>
          <t>Jorge Arturo Espinoza:</t>
        </r>
        <r>
          <rPr>
            <sz val="9"/>
            <color indexed="81"/>
            <rFont val="Tahoma"/>
            <family val="2"/>
          </rPr>
          <t xml:space="preserve">
Tiempo de importacion: 16 semanas.</t>
        </r>
      </text>
    </comment>
    <comment ref="D3596" authorId="0" shapeId="0" xr:uid="{00000000-0006-0000-0100-0000F7020000}">
      <text>
        <r>
          <rPr>
            <b/>
            <sz val="9"/>
            <color indexed="81"/>
            <rFont val="Tahoma"/>
            <family val="2"/>
          </rPr>
          <t>Jorge Arturo Espinoza:</t>
        </r>
        <r>
          <rPr>
            <sz val="9"/>
            <color indexed="81"/>
            <rFont val="Tahoma"/>
            <family val="2"/>
          </rPr>
          <t xml:space="preserve">
DESACTUALIZADO</t>
        </r>
      </text>
    </comment>
    <comment ref="B3597" authorId="0" shapeId="0" xr:uid="{00000000-0006-0000-0100-0000F8020000}">
      <text>
        <r>
          <rPr>
            <b/>
            <sz val="9"/>
            <color indexed="81"/>
            <rFont val="Tahoma"/>
            <family val="2"/>
          </rPr>
          <t>Jorge Arturo Espinoza:</t>
        </r>
        <r>
          <rPr>
            <sz val="9"/>
            <color indexed="81"/>
            <rFont val="Tahoma"/>
            <family val="2"/>
          </rPr>
          <t xml:space="preserve">
Tiempo de importacion: 16 semanas.</t>
        </r>
      </text>
    </comment>
    <comment ref="D3597" authorId="0" shapeId="0" xr:uid="{00000000-0006-0000-0100-0000F9020000}">
      <text>
        <r>
          <rPr>
            <b/>
            <sz val="9"/>
            <color indexed="81"/>
            <rFont val="Tahoma"/>
            <family val="2"/>
          </rPr>
          <t>Jorge Arturo Espinoza:</t>
        </r>
        <r>
          <rPr>
            <sz val="9"/>
            <color indexed="81"/>
            <rFont val="Tahoma"/>
            <family val="2"/>
          </rPr>
          <t xml:space="preserve">
DESACTUALIZADO</t>
        </r>
      </text>
    </comment>
    <comment ref="B3611" authorId="3" shapeId="0" xr:uid="{00000000-0006-0000-0100-0000FA020000}">
      <text>
        <r>
          <rPr>
            <b/>
            <sz val="9"/>
            <color indexed="81"/>
            <rFont val="Tahoma"/>
            <family val="2"/>
          </rPr>
          <t>Paulo Olano:</t>
        </r>
        <r>
          <rPr>
            <sz val="9"/>
            <color indexed="81"/>
            <rFont val="Tahoma"/>
            <family val="2"/>
          </rPr>
          <t xml:space="preserve">
DIC-2019</t>
        </r>
      </text>
    </comment>
    <comment ref="B3643" authorId="3" shapeId="0" xr:uid="{00000000-0006-0000-0100-0000FB020000}">
      <text>
        <r>
          <rPr>
            <b/>
            <sz val="9"/>
            <color indexed="81"/>
            <rFont val="Tahoma"/>
            <family val="2"/>
          </rPr>
          <t>Paulo Olano:</t>
        </r>
        <r>
          <rPr>
            <sz val="9"/>
            <color indexed="81"/>
            <rFont val="Tahoma"/>
            <family val="2"/>
          </rPr>
          <t xml:space="preserve">
DIC-2019</t>
        </r>
      </text>
    </comment>
    <comment ref="B3644" authorId="3" shapeId="0" xr:uid="{00000000-0006-0000-0100-0000FC020000}">
      <text>
        <r>
          <rPr>
            <b/>
            <sz val="9"/>
            <color indexed="81"/>
            <rFont val="Tahoma"/>
            <family val="2"/>
          </rPr>
          <t>Paulo Olano:</t>
        </r>
        <r>
          <rPr>
            <sz val="9"/>
            <color indexed="81"/>
            <rFont val="Tahoma"/>
            <family val="2"/>
          </rPr>
          <t xml:space="preserve">
DIC-2019</t>
        </r>
      </text>
    </comment>
    <comment ref="B3663" authorId="3" shapeId="0" xr:uid="{00000000-0006-0000-0100-0000FD020000}">
      <text>
        <r>
          <rPr>
            <b/>
            <sz val="9"/>
            <color indexed="81"/>
            <rFont val="Tahoma"/>
            <family val="2"/>
          </rPr>
          <t>Paulo Olano:</t>
        </r>
        <r>
          <rPr>
            <sz val="9"/>
            <color indexed="81"/>
            <rFont val="Tahoma"/>
            <family val="2"/>
          </rPr>
          <t xml:space="preserve">
DIC-2019</t>
        </r>
      </text>
    </comment>
    <comment ref="B3665" authorId="3" shapeId="0" xr:uid="{00000000-0006-0000-0100-0000FE020000}">
      <text>
        <r>
          <rPr>
            <b/>
            <sz val="9"/>
            <color indexed="81"/>
            <rFont val="Tahoma"/>
            <family val="2"/>
          </rPr>
          <t>Paulo Olano:</t>
        </r>
        <r>
          <rPr>
            <sz val="9"/>
            <color indexed="81"/>
            <rFont val="Tahoma"/>
            <family val="2"/>
          </rPr>
          <t xml:space="preserve">
DIC-2019</t>
        </r>
      </text>
    </comment>
    <comment ref="B3666" authorId="3" shapeId="0" xr:uid="{00000000-0006-0000-0100-0000FF020000}">
      <text>
        <r>
          <rPr>
            <b/>
            <sz val="9"/>
            <color indexed="81"/>
            <rFont val="Tahoma"/>
            <family val="2"/>
          </rPr>
          <t>Paulo Olano:</t>
        </r>
        <r>
          <rPr>
            <sz val="9"/>
            <color indexed="81"/>
            <rFont val="Tahoma"/>
            <family val="2"/>
          </rPr>
          <t xml:space="preserve">
DIC-2019</t>
        </r>
      </text>
    </comment>
    <comment ref="D3695" authorId="3" shapeId="0" xr:uid="{00000000-0006-0000-0100-000000030000}">
      <text>
        <r>
          <rPr>
            <b/>
            <sz val="9"/>
            <color indexed="81"/>
            <rFont val="Tahoma"/>
            <family val="2"/>
          </rPr>
          <t>Paulo Olano:</t>
        </r>
        <r>
          <rPr>
            <sz val="9"/>
            <color indexed="81"/>
            <rFont val="Tahoma"/>
            <family val="2"/>
          </rPr>
          <t xml:space="preserve">
PRECIO DANIEL LIRA 13/07/2017</t>
        </r>
      </text>
    </comment>
    <comment ref="D3696" authorId="3" shapeId="0" xr:uid="{00000000-0006-0000-0100-000001030000}">
      <text>
        <r>
          <rPr>
            <b/>
            <sz val="9"/>
            <color indexed="81"/>
            <rFont val="Tahoma"/>
            <family val="2"/>
          </rPr>
          <t>Paulo Olano:</t>
        </r>
        <r>
          <rPr>
            <sz val="9"/>
            <color indexed="81"/>
            <rFont val="Tahoma"/>
            <family val="2"/>
          </rPr>
          <t xml:space="preserve">
PRECIO DANIEL LIRA 13/07/2017</t>
        </r>
      </text>
    </comment>
    <comment ref="D3697" authorId="3" shapeId="0" xr:uid="{00000000-0006-0000-0100-000002030000}">
      <text>
        <r>
          <rPr>
            <b/>
            <sz val="9"/>
            <color indexed="81"/>
            <rFont val="Tahoma"/>
            <family val="2"/>
          </rPr>
          <t>Paulo Olano:</t>
        </r>
        <r>
          <rPr>
            <sz val="9"/>
            <color indexed="81"/>
            <rFont val="Tahoma"/>
            <family val="2"/>
          </rPr>
          <t xml:space="preserve">
PRECIO DANIEL LIRA 13/07/2017</t>
        </r>
      </text>
    </comment>
    <comment ref="D3698" authorId="3" shapeId="0" xr:uid="{00000000-0006-0000-0100-000003030000}">
      <text>
        <r>
          <rPr>
            <b/>
            <sz val="9"/>
            <color indexed="81"/>
            <rFont val="Tahoma"/>
            <family val="2"/>
          </rPr>
          <t>Paulo Olano:</t>
        </r>
        <r>
          <rPr>
            <sz val="9"/>
            <color indexed="81"/>
            <rFont val="Tahoma"/>
            <family val="2"/>
          </rPr>
          <t xml:space="preserve">
PRECIO DANIEL LIRA 13/07/2017</t>
        </r>
      </text>
    </comment>
    <comment ref="D3699" authorId="3" shapeId="0" xr:uid="{00000000-0006-0000-0100-000004030000}">
      <text>
        <r>
          <rPr>
            <b/>
            <sz val="9"/>
            <color indexed="81"/>
            <rFont val="Tahoma"/>
            <family val="2"/>
          </rPr>
          <t>Paulo Olano:</t>
        </r>
        <r>
          <rPr>
            <sz val="9"/>
            <color indexed="81"/>
            <rFont val="Tahoma"/>
            <family val="2"/>
          </rPr>
          <t xml:space="preserve">
PRECIO DANIEL LIRA 13/07/2017</t>
        </r>
      </text>
    </comment>
    <comment ref="D3700" authorId="3" shapeId="0" xr:uid="{00000000-0006-0000-0100-000005030000}">
      <text>
        <r>
          <rPr>
            <b/>
            <sz val="9"/>
            <color indexed="81"/>
            <rFont val="Tahoma"/>
            <family val="2"/>
          </rPr>
          <t>Paulo Olano:</t>
        </r>
        <r>
          <rPr>
            <sz val="9"/>
            <color indexed="81"/>
            <rFont val="Tahoma"/>
            <family val="2"/>
          </rPr>
          <t xml:space="preserve">
PRECIO DANIEL LIRA 13/07/2017</t>
        </r>
      </text>
    </comment>
    <comment ref="D3710" authorId="3" shapeId="0" xr:uid="{00000000-0006-0000-0100-000006030000}">
      <text>
        <r>
          <rPr>
            <b/>
            <sz val="9"/>
            <color indexed="81"/>
            <rFont val="Tahoma"/>
            <family val="2"/>
          </rPr>
          <t>Paulo Olano:</t>
        </r>
        <r>
          <rPr>
            <sz val="9"/>
            <color indexed="81"/>
            <rFont val="Tahoma"/>
            <family val="2"/>
          </rPr>
          <t xml:space="preserve">
PRECIO DANIEL LIRA 13/07/2017</t>
        </r>
      </text>
    </comment>
    <comment ref="D3711" authorId="3" shapeId="0" xr:uid="{00000000-0006-0000-0100-000007030000}">
      <text>
        <r>
          <rPr>
            <b/>
            <sz val="9"/>
            <color indexed="81"/>
            <rFont val="Tahoma"/>
            <family val="2"/>
          </rPr>
          <t>Paulo Olano:</t>
        </r>
        <r>
          <rPr>
            <sz val="9"/>
            <color indexed="81"/>
            <rFont val="Tahoma"/>
            <family val="2"/>
          </rPr>
          <t xml:space="preserve">
PRECIO DANIEL LIRA 13/07/2017</t>
        </r>
      </text>
    </comment>
    <comment ref="D3712" authorId="3" shapeId="0" xr:uid="{00000000-0006-0000-0100-000008030000}">
      <text>
        <r>
          <rPr>
            <b/>
            <sz val="9"/>
            <color indexed="81"/>
            <rFont val="Tahoma"/>
            <family val="2"/>
          </rPr>
          <t>Paulo Olano:</t>
        </r>
        <r>
          <rPr>
            <sz val="9"/>
            <color indexed="81"/>
            <rFont val="Tahoma"/>
            <family val="2"/>
          </rPr>
          <t xml:space="preserve">
PRECIO DANIEL LIRA 13/07/2017</t>
        </r>
      </text>
    </comment>
    <comment ref="D3713" authorId="3" shapeId="0" xr:uid="{00000000-0006-0000-0100-000009030000}">
      <text>
        <r>
          <rPr>
            <b/>
            <sz val="9"/>
            <color indexed="81"/>
            <rFont val="Tahoma"/>
            <family val="2"/>
          </rPr>
          <t>Paulo Olano:</t>
        </r>
        <r>
          <rPr>
            <sz val="9"/>
            <color indexed="81"/>
            <rFont val="Tahoma"/>
            <family val="2"/>
          </rPr>
          <t xml:space="preserve">
PRECIO DANIEL LIRA 13/07/2017</t>
        </r>
      </text>
    </comment>
    <comment ref="D3714" authorId="3" shapeId="0" xr:uid="{00000000-0006-0000-0100-00000A030000}">
      <text>
        <r>
          <rPr>
            <b/>
            <sz val="9"/>
            <color indexed="81"/>
            <rFont val="Tahoma"/>
            <family val="2"/>
          </rPr>
          <t>Paulo Olano:</t>
        </r>
        <r>
          <rPr>
            <sz val="9"/>
            <color indexed="81"/>
            <rFont val="Tahoma"/>
            <family val="2"/>
          </rPr>
          <t xml:space="preserve">
PRECIO DANIEL LIRA 13/07/2017</t>
        </r>
      </text>
    </comment>
    <comment ref="D3715" authorId="3" shapeId="0" xr:uid="{00000000-0006-0000-0100-00000B030000}">
      <text>
        <r>
          <rPr>
            <b/>
            <sz val="9"/>
            <color indexed="81"/>
            <rFont val="Tahoma"/>
            <family val="2"/>
          </rPr>
          <t>Paulo Olano:</t>
        </r>
        <r>
          <rPr>
            <sz val="9"/>
            <color indexed="81"/>
            <rFont val="Tahoma"/>
            <family val="2"/>
          </rPr>
          <t xml:space="preserve">
PRECIO DANIEL LIRA 13/07/2017</t>
        </r>
      </text>
    </comment>
    <comment ref="D3716" authorId="3" shapeId="0" xr:uid="{00000000-0006-0000-0100-00000C030000}">
      <text>
        <r>
          <rPr>
            <b/>
            <sz val="9"/>
            <color indexed="81"/>
            <rFont val="Tahoma"/>
            <family val="2"/>
          </rPr>
          <t>Paulo Olano:</t>
        </r>
        <r>
          <rPr>
            <sz val="9"/>
            <color indexed="81"/>
            <rFont val="Tahoma"/>
            <family val="2"/>
          </rPr>
          <t xml:space="preserve">
PRECIO DANIEL LIRA 13/07/2017</t>
        </r>
      </text>
    </comment>
    <comment ref="D3717" authorId="3" shapeId="0" xr:uid="{00000000-0006-0000-0100-00000D030000}">
      <text>
        <r>
          <rPr>
            <b/>
            <sz val="9"/>
            <color indexed="81"/>
            <rFont val="Tahoma"/>
            <family val="2"/>
          </rPr>
          <t>Paulo Olano:</t>
        </r>
        <r>
          <rPr>
            <sz val="9"/>
            <color indexed="81"/>
            <rFont val="Tahoma"/>
            <family val="2"/>
          </rPr>
          <t xml:space="preserve">
PRECIO DANIEL LIRA 13/07/2017</t>
        </r>
      </text>
    </comment>
    <comment ref="D3718" authorId="3" shapeId="0" xr:uid="{00000000-0006-0000-0100-00000E030000}">
      <text>
        <r>
          <rPr>
            <b/>
            <sz val="9"/>
            <color indexed="81"/>
            <rFont val="Tahoma"/>
            <family val="2"/>
          </rPr>
          <t>Paulo Olano:</t>
        </r>
        <r>
          <rPr>
            <sz val="9"/>
            <color indexed="81"/>
            <rFont val="Tahoma"/>
            <family val="2"/>
          </rPr>
          <t xml:space="preserve">
PRECIO DANIEL LIRA 13/07/2017</t>
        </r>
      </text>
    </comment>
    <comment ref="D3719" authorId="3" shapeId="0" xr:uid="{00000000-0006-0000-0100-00000F030000}">
      <text>
        <r>
          <rPr>
            <b/>
            <sz val="9"/>
            <color indexed="81"/>
            <rFont val="Tahoma"/>
            <family val="2"/>
          </rPr>
          <t>Paulo Olano:</t>
        </r>
        <r>
          <rPr>
            <sz val="9"/>
            <color indexed="81"/>
            <rFont val="Tahoma"/>
            <family val="2"/>
          </rPr>
          <t xml:space="preserve">
PRECIO DANIEL LIRA 13/07/2017</t>
        </r>
      </text>
    </comment>
    <comment ref="D3772" authorId="0" shapeId="0" xr:uid="{00000000-0006-0000-0100-000010030000}">
      <text>
        <r>
          <rPr>
            <b/>
            <sz val="9"/>
            <color indexed="81"/>
            <rFont val="Tahoma"/>
            <family val="2"/>
          </rPr>
          <t>Jorge Arturo Espinoza:</t>
        </r>
        <r>
          <rPr>
            <sz val="9"/>
            <color indexed="81"/>
            <rFont val="Tahoma"/>
            <family val="2"/>
          </rPr>
          <t xml:space="preserve">
CORREGIDO</t>
        </r>
      </text>
    </comment>
    <comment ref="B3794" authorId="0" shapeId="0" xr:uid="{00000000-0006-0000-0100-000011030000}">
      <text>
        <r>
          <rPr>
            <b/>
            <sz val="9"/>
            <color indexed="81"/>
            <rFont val="Tahoma"/>
            <family val="2"/>
          </rPr>
          <t>Jorge Arturo Espinoza:</t>
        </r>
        <r>
          <rPr>
            <sz val="9"/>
            <color indexed="81"/>
            <rFont val="Tahoma"/>
            <family val="2"/>
          </rPr>
          <t xml:space="preserve">
IMPORTACION</t>
        </r>
      </text>
    </comment>
    <comment ref="D3794" authorId="0" shapeId="0" xr:uid="{00000000-0006-0000-0100-000012030000}">
      <text>
        <r>
          <rPr>
            <b/>
            <sz val="9"/>
            <color indexed="81"/>
            <rFont val="Tahoma"/>
            <family val="2"/>
          </rPr>
          <t>Jorge Arturo Espinoza:</t>
        </r>
        <r>
          <rPr>
            <sz val="9"/>
            <color indexed="81"/>
            <rFont val="Tahoma"/>
            <family val="2"/>
          </rPr>
          <t xml:space="preserve">
PRECIO ACTUALIZADO</t>
        </r>
      </text>
    </comment>
    <comment ref="D3795" authorId="0" shapeId="0" xr:uid="{00000000-0006-0000-0100-000013030000}">
      <text>
        <r>
          <rPr>
            <b/>
            <sz val="9"/>
            <color indexed="81"/>
            <rFont val="Tahoma"/>
            <family val="2"/>
          </rPr>
          <t>Jorge Arturo Espinoza:</t>
        </r>
        <r>
          <rPr>
            <sz val="9"/>
            <color indexed="81"/>
            <rFont val="Tahoma"/>
            <family val="2"/>
          </rPr>
          <t xml:space="preserve">
PRECIO ACTUALIZADO</t>
        </r>
      </text>
    </comment>
    <comment ref="D3796" authorId="0" shapeId="0" xr:uid="{00000000-0006-0000-0100-000014030000}">
      <text>
        <r>
          <rPr>
            <b/>
            <sz val="9"/>
            <color indexed="81"/>
            <rFont val="Tahoma"/>
            <family val="2"/>
          </rPr>
          <t>Jorge Arturo Espinoza:</t>
        </r>
        <r>
          <rPr>
            <sz val="9"/>
            <color indexed="81"/>
            <rFont val="Tahoma"/>
            <family val="2"/>
          </rPr>
          <t xml:space="preserve">
PRECIO ACTUALIZADO</t>
        </r>
      </text>
    </comment>
    <comment ref="D3797" authorId="0" shapeId="0" xr:uid="{00000000-0006-0000-0100-000015030000}">
      <text>
        <r>
          <rPr>
            <b/>
            <sz val="9"/>
            <color indexed="81"/>
            <rFont val="Tahoma"/>
            <family val="2"/>
          </rPr>
          <t>Jorge Arturo Espinoza:</t>
        </r>
        <r>
          <rPr>
            <sz val="9"/>
            <color indexed="81"/>
            <rFont val="Tahoma"/>
            <family val="2"/>
          </rPr>
          <t xml:space="preserve">
PRECIO ACTUALIZADO</t>
        </r>
      </text>
    </comment>
    <comment ref="D3798" authorId="0" shapeId="0" xr:uid="{00000000-0006-0000-0100-000016030000}">
      <text>
        <r>
          <rPr>
            <b/>
            <sz val="9"/>
            <color indexed="81"/>
            <rFont val="Tahoma"/>
            <family val="2"/>
          </rPr>
          <t>Jorge Arturo Espinoza:</t>
        </r>
        <r>
          <rPr>
            <sz val="9"/>
            <color indexed="81"/>
            <rFont val="Tahoma"/>
            <family val="2"/>
          </rPr>
          <t xml:space="preserve">
PRECIO ACTUALIZADO</t>
        </r>
      </text>
    </comment>
    <comment ref="D3799" authorId="0" shapeId="0" xr:uid="{00000000-0006-0000-0100-000017030000}">
      <text>
        <r>
          <rPr>
            <b/>
            <sz val="9"/>
            <color indexed="81"/>
            <rFont val="Tahoma"/>
            <family val="2"/>
          </rPr>
          <t>Jorge Arturo Espinoza:</t>
        </r>
        <r>
          <rPr>
            <sz val="9"/>
            <color indexed="81"/>
            <rFont val="Tahoma"/>
            <family val="2"/>
          </rPr>
          <t xml:space="preserve">
PRECIO ACTUALIZADO</t>
        </r>
      </text>
    </comment>
    <comment ref="D3800" authorId="0" shapeId="0" xr:uid="{00000000-0006-0000-0100-000018030000}">
      <text>
        <r>
          <rPr>
            <b/>
            <sz val="9"/>
            <color indexed="81"/>
            <rFont val="Tahoma"/>
            <family val="2"/>
          </rPr>
          <t>Jorge Arturo Espinoza:</t>
        </r>
        <r>
          <rPr>
            <sz val="9"/>
            <color indexed="81"/>
            <rFont val="Tahoma"/>
            <family val="2"/>
          </rPr>
          <t xml:space="preserve">
PRECIO ACTUALIZADO</t>
        </r>
      </text>
    </comment>
    <comment ref="D3801" authorId="0" shapeId="0" xr:uid="{00000000-0006-0000-0100-000019030000}">
      <text>
        <r>
          <rPr>
            <b/>
            <sz val="9"/>
            <color indexed="81"/>
            <rFont val="Tahoma"/>
            <family val="2"/>
          </rPr>
          <t>Jorge Arturo Espinoza:</t>
        </r>
        <r>
          <rPr>
            <sz val="9"/>
            <color indexed="81"/>
            <rFont val="Tahoma"/>
            <family val="2"/>
          </rPr>
          <t xml:space="preserve">
PRECIO ACTUALIZADO</t>
        </r>
      </text>
    </comment>
    <comment ref="D3802" authorId="0" shapeId="0" xr:uid="{00000000-0006-0000-0100-00001A030000}">
      <text>
        <r>
          <rPr>
            <b/>
            <sz val="9"/>
            <color indexed="81"/>
            <rFont val="Tahoma"/>
            <family val="2"/>
          </rPr>
          <t>Jorge Arturo Espinoza:</t>
        </r>
        <r>
          <rPr>
            <sz val="9"/>
            <color indexed="81"/>
            <rFont val="Tahoma"/>
            <family val="2"/>
          </rPr>
          <t xml:space="preserve">
PRECIO ACTUALIZADO</t>
        </r>
      </text>
    </comment>
    <comment ref="B3814" authorId="0" shapeId="0" xr:uid="{00000000-0006-0000-0100-00001B030000}">
      <text>
        <r>
          <rPr>
            <b/>
            <sz val="9"/>
            <color indexed="81"/>
            <rFont val="Tahoma"/>
            <family val="2"/>
          </rPr>
          <t>Jorge Arturo Espinoza:</t>
        </r>
        <r>
          <rPr>
            <sz val="9"/>
            <color indexed="81"/>
            <rFont val="Tahoma"/>
            <family val="2"/>
          </rPr>
          <t xml:space="preserve">
IMPORTACION, NO SE TIENE EN SOTTOCK</t>
        </r>
      </text>
    </comment>
    <comment ref="D3840" authorId="0" shapeId="0" xr:uid="{00000000-0006-0000-0100-00001C030000}">
      <text>
        <r>
          <rPr>
            <b/>
            <sz val="9"/>
            <color indexed="81"/>
            <rFont val="Tahoma"/>
            <family val="2"/>
          </rPr>
          <t>Jorge Arturo Espinoza:</t>
        </r>
        <r>
          <rPr>
            <sz val="9"/>
            <color indexed="81"/>
            <rFont val="Tahoma"/>
            <family val="2"/>
          </rPr>
          <t xml:space="preserve">
ESTIMADO</t>
        </r>
      </text>
    </comment>
    <comment ref="D3842" authorId="0" shapeId="0" xr:uid="{00000000-0006-0000-0100-00001D030000}">
      <text>
        <r>
          <rPr>
            <b/>
            <sz val="9"/>
            <color indexed="81"/>
            <rFont val="Tahoma"/>
            <family val="2"/>
          </rPr>
          <t>Roberto Meza:</t>
        </r>
        <r>
          <rPr>
            <sz val="9"/>
            <color indexed="81"/>
            <rFont val="Tahoma"/>
            <family val="2"/>
          </rPr>
          <t xml:space="preserve">
Marcial / Marzo 2019</t>
        </r>
      </text>
    </comment>
    <comment ref="G3850" authorId="0" shapeId="0" xr:uid="{00000000-0006-0000-0100-00001E030000}">
      <text>
        <r>
          <rPr>
            <b/>
            <sz val="9"/>
            <color indexed="81"/>
            <rFont val="Tahoma"/>
            <family val="2"/>
          </rPr>
          <t>Jorge Arturo Espinoza:</t>
        </r>
        <r>
          <rPr>
            <sz val="9"/>
            <color indexed="81"/>
            <rFont val="Tahoma"/>
            <family val="2"/>
          </rPr>
          <t xml:space="preserve">
CORREGIDO POR MI</t>
        </r>
      </text>
    </comment>
    <comment ref="G3851" authorId="0" shapeId="0" xr:uid="{00000000-0006-0000-0100-00001F030000}">
      <text>
        <r>
          <rPr>
            <b/>
            <sz val="9"/>
            <color indexed="81"/>
            <rFont val="Tahoma"/>
            <family val="2"/>
          </rPr>
          <t>Jorge Arturo Espinoza:</t>
        </r>
        <r>
          <rPr>
            <sz val="9"/>
            <color indexed="81"/>
            <rFont val="Tahoma"/>
            <family val="2"/>
          </rPr>
          <t xml:space="preserve">
CORREGIDO POR MI</t>
        </r>
      </text>
    </comment>
    <comment ref="B3916" authorId="0" shapeId="0" xr:uid="{00000000-0006-0000-0100-000020030000}">
      <text>
        <r>
          <rPr>
            <b/>
            <sz val="9"/>
            <color indexed="81"/>
            <rFont val="Tahoma"/>
            <family val="2"/>
          </rPr>
          <t>Jorge Arturo Espinoza:</t>
        </r>
        <r>
          <rPr>
            <sz val="9"/>
            <color indexed="81"/>
            <rFont val="Tahoma"/>
            <family val="2"/>
          </rPr>
          <t xml:space="preserve">
tiempo de importacion = 16 semanas</t>
        </r>
      </text>
    </comment>
    <comment ref="B3917" authorId="0" shapeId="0" xr:uid="{00000000-0006-0000-0100-000021030000}">
      <text>
        <r>
          <rPr>
            <b/>
            <sz val="9"/>
            <color indexed="81"/>
            <rFont val="Tahoma"/>
            <family val="2"/>
          </rPr>
          <t>Jorge Arturo Espinoza:</t>
        </r>
        <r>
          <rPr>
            <sz val="9"/>
            <color indexed="81"/>
            <rFont val="Tahoma"/>
            <family val="2"/>
          </rPr>
          <t xml:space="preserve">
tiempo de importacion = 16 semanas</t>
        </r>
      </text>
    </comment>
    <comment ref="G3940" authorId="0" shapeId="0" xr:uid="{00000000-0006-0000-0100-000022030000}">
      <text>
        <r>
          <rPr>
            <b/>
            <sz val="9"/>
            <color indexed="81"/>
            <rFont val="Tahoma"/>
            <family val="2"/>
          </rPr>
          <t>Jorge Arturo Espinoza:</t>
        </r>
        <r>
          <rPr>
            <sz val="9"/>
            <color indexed="81"/>
            <rFont val="Tahoma"/>
            <family val="2"/>
          </rPr>
          <t xml:space="preserve">
es actuacion del interuptor ? O del relé ?</t>
        </r>
      </text>
    </comment>
    <comment ref="G3941" authorId="0" shapeId="0" xr:uid="{00000000-0006-0000-0100-000023030000}">
      <text>
        <r>
          <rPr>
            <b/>
            <sz val="9"/>
            <color indexed="81"/>
            <rFont val="Tahoma"/>
            <family val="2"/>
          </rPr>
          <t>Jorge Arturo Espinoza:</t>
        </r>
        <r>
          <rPr>
            <sz val="9"/>
            <color indexed="81"/>
            <rFont val="Tahoma"/>
            <family val="2"/>
          </rPr>
          <t xml:space="preserve">
es actuacion del interuptor ? O del relé ?</t>
        </r>
      </text>
    </comment>
    <comment ref="B4008" authorId="0" shapeId="0" xr:uid="{00000000-0006-0000-0100-000024030000}">
      <text>
        <r>
          <rPr>
            <b/>
            <sz val="9"/>
            <color indexed="81"/>
            <rFont val="Tahoma"/>
            <family val="2"/>
          </rPr>
          <t>Jorge Arturo Espinoza:</t>
        </r>
        <r>
          <rPr>
            <sz val="9"/>
            <color indexed="81"/>
            <rFont val="Tahoma"/>
            <family val="2"/>
          </rPr>
          <t xml:space="preserve">
VERIFICAR STOCK</t>
        </r>
      </text>
    </comment>
    <comment ref="B4044" authorId="0" shapeId="0" xr:uid="{00000000-0006-0000-0100-000025030000}">
      <text>
        <r>
          <rPr>
            <b/>
            <sz val="9"/>
            <color indexed="81"/>
            <rFont val="Tahoma"/>
            <family val="2"/>
          </rPr>
          <t>Jorge Arturo Espinoza:</t>
        </r>
        <r>
          <rPr>
            <sz val="9"/>
            <color indexed="81"/>
            <rFont val="Tahoma"/>
            <family val="2"/>
          </rPr>
          <t xml:space="preserve">
VERIFICAR STOCK</t>
        </r>
      </text>
    </comment>
    <comment ref="B4128" authorId="0" shapeId="0" xr:uid="{00000000-0006-0000-0100-000026030000}">
      <text>
        <r>
          <rPr>
            <b/>
            <sz val="9"/>
            <color indexed="81"/>
            <rFont val="Tahoma"/>
            <family val="2"/>
          </rPr>
          <t>Jorge Arturo Espinoza:</t>
        </r>
        <r>
          <rPr>
            <sz val="9"/>
            <color indexed="81"/>
            <rFont val="Tahoma"/>
            <family val="2"/>
          </rPr>
          <t xml:space="preserve">
EN STOCK?</t>
        </r>
      </text>
    </comment>
    <comment ref="D4128" authorId="0" shapeId="0" xr:uid="{00000000-0006-0000-0100-000027030000}">
      <text>
        <r>
          <rPr>
            <b/>
            <sz val="9"/>
            <color indexed="81"/>
            <rFont val="Tahoma"/>
            <family val="2"/>
          </rPr>
          <t>Jorge Arturo Espinoza:</t>
        </r>
        <r>
          <rPr>
            <sz val="9"/>
            <color indexed="81"/>
            <rFont val="Tahoma"/>
            <family val="2"/>
          </rPr>
          <t xml:space="preserve">
Enviado por Marcial, en Set-2015
Jorge Bascones, 02-Nov-2015</t>
        </r>
      </text>
    </comment>
    <comment ref="B4152" authorId="0" shapeId="0" xr:uid="{00000000-0006-0000-0100-000028030000}">
      <text>
        <r>
          <rPr>
            <b/>
            <sz val="9"/>
            <color indexed="81"/>
            <rFont val="Tahoma"/>
            <family val="2"/>
          </rPr>
          <t>Jorge Arturo Espinoza:</t>
        </r>
        <r>
          <rPr>
            <sz val="9"/>
            <color indexed="81"/>
            <rFont val="Tahoma"/>
            <family val="2"/>
          </rPr>
          <t xml:space="preserve">
IMPORTACION</t>
        </r>
      </text>
    </comment>
    <comment ref="D4152" authorId="0" shapeId="0" xr:uid="{00000000-0006-0000-0100-000029030000}">
      <text>
        <r>
          <rPr>
            <b/>
            <sz val="9"/>
            <color indexed="81"/>
            <rFont val="Tahoma"/>
            <family val="2"/>
          </rPr>
          <t>Jorge Arturo Espinoza:</t>
        </r>
        <r>
          <rPr>
            <sz val="9"/>
            <color indexed="81"/>
            <rFont val="Tahoma"/>
            <family val="2"/>
          </rPr>
          <t xml:space="preserve">
Enviado por Marcial, en 30-Mar-2016
Paulo Olano, 30-Mar-2016</t>
        </r>
      </text>
    </comment>
    <comment ref="D4156" authorId="1" shapeId="0" xr:uid="{00000000-0006-0000-0100-00002A030000}">
      <text>
        <r>
          <rPr>
            <b/>
            <sz val="9"/>
            <color indexed="81"/>
            <rFont val="Tahoma"/>
            <family val="2"/>
          </rPr>
          <t>Roberto Meza:</t>
        </r>
        <r>
          <rPr>
            <sz val="9"/>
            <color indexed="81"/>
            <rFont val="Tahoma"/>
            <family val="2"/>
          </rPr>
          <t xml:space="preserve">
Marcial - Mayo 2018 </t>
        </r>
      </text>
    </comment>
    <comment ref="D4157" authorId="1" shapeId="0" xr:uid="{00000000-0006-0000-0100-00002B030000}">
      <text>
        <r>
          <rPr>
            <b/>
            <sz val="9"/>
            <color indexed="81"/>
            <rFont val="Tahoma"/>
            <family val="2"/>
          </rPr>
          <t>Roberto Meza:</t>
        </r>
        <r>
          <rPr>
            <sz val="9"/>
            <color indexed="81"/>
            <rFont val="Tahoma"/>
            <family val="2"/>
          </rPr>
          <t xml:space="preserve">
Marcial - Mayo 2018 </t>
        </r>
      </text>
    </comment>
    <comment ref="D4218" authorId="0" shapeId="0" xr:uid="{00000000-0006-0000-0100-00002C030000}">
      <text>
        <r>
          <rPr>
            <b/>
            <sz val="9"/>
            <color indexed="81"/>
            <rFont val="Tahoma"/>
            <family val="2"/>
          </rPr>
          <t>Jorge Arturo Espinoza:</t>
        </r>
        <r>
          <rPr>
            <sz val="9"/>
            <color indexed="81"/>
            <rFont val="Tahoma"/>
            <family val="2"/>
          </rPr>
          <t xml:space="preserve">
Precio por Daniel Lira = $33
(02-Mayo-2016, verbalmente).
</t>
        </r>
      </text>
    </comment>
    <comment ref="D4219" authorId="0" shapeId="0" xr:uid="{00000000-0006-0000-0100-00002D030000}">
      <text>
        <r>
          <rPr>
            <b/>
            <sz val="9"/>
            <color indexed="81"/>
            <rFont val="Tahoma"/>
            <family val="2"/>
          </rPr>
          <t>Jorge Arturo Espinoza:</t>
        </r>
        <r>
          <rPr>
            <sz val="9"/>
            <color indexed="81"/>
            <rFont val="Tahoma"/>
            <family val="2"/>
          </rPr>
          <t xml:space="preserve">
Precio por Daniel Lira = $33
(02-Mayo-2016, verbalmente).</t>
        </r>
      </text>
    </comment>
    <comment ref="C4230" authorId="3" shapeId="0" xr:uid="{00000000-0006-0000-0100-00002E030000}">
      <text>
        <r>
          <rPr>
            <b/>
            <sz val="9"/>
            <color indexed="81"/>
            <rFont val="Tahoma"/>
            <family val="2"/>
          </rPr>
          <t>Paulo Olano:</t>
        </r>
        <r>
          <rPr>
            <sz val="9"/>
            <color indexed="81"/>
            <rFont val="Tahoma"/>
            <family val="2"/>
          </rPr>
          <t xml:space="preserve">
Nov. 2019</t>
        </r>
      </text>
    </comment>
    <comment ref="C4231" authorId="3" shapeId="0" xr:uid="{00000000-0006-0000-0100-00002F030000}">
      <text>
        <r>
          <rPr>
            <b/>
            <sz val="9"/>
            <color indexed="81"/>
            <rFont val="Tahoma"/>
            <family val="2"/>
          </rPr>
          <t>Paulo Olano:</t>
        </r>
        <r>
          <rPr>
            <sz val="9"/>
            <color indexed="81"/>
            <rFont val="Tahoma"/>
            <family val="2"/>
          </rPr>
          <t xml:space="preserve">
NOV 2019</t>
        </r>
      </text>
    </comment>
    <comment ref="C4232" authorId="3" shapeId="0" xr:uid="{00000000-0006-0000-0100-000030030000}">
      <text>
        <r>
          <rPr>
            <b/>
            <sz val="9"/>
            <color indexed="81"/>
            <rFont val="Tahoma"/>
            <family val="2"/>
          </rPr>
          <t>Paulo Olano:</t>
        </r>
        <r>
          <rPr>
            <sz val="9"/>
            <color indexed="81"/>
            <rFont val="Tahoma"/>
            <family val="2"/>
          </rPr>
          <t xml:space="preserve">
NOV 2019</t>
        </r>
      </text>
    </comment>
    <comment ref="C4234" authorId="3" shapeId="0" xr:uid="{00000000-0006-0000-0100-000031030000}">
      <text>
        <r>
          <rPr>
            <b/>
            <sz val="9"/>
            <color indexed="81"/>
            <rFont val="Tahoma"/>
            <family val="2"/>
          </rPr>
          <t>Paulo Olano:</t>
        </r>
        <r>
          <rPr>
            <sz val="9"/>
            <color indexed="81"/>
            <rFont val="Tahoma"/>
            <family val="2"/>
          </rPr>
          <t xml:space="preserve">
NOV 2019</t>
        </r>
      </text>
    </comment>
    <comment ref="C4235" authorId="3" shapeId="0" xr:uid="{00000000-0006-0000-0100-000032030000}">
      <text>
        <r>
          <rPr>
            <b/>
            <sz val="9"/>
            <color indexed="81"/>
            <rFont val="Tahoma"/>
            <family val="2"/>
          </rPr>
          <t>Paulo Olano:</t>
        </r>
        <r>
          <rPr>
            <sz val="9"/>
            <color indexed="81"/>
            <rFont val="Tahoma"/>
            <family val="2"/>
          </rPr>
          <t xml:space="preserve">
NOV 2019</t>
        </r>
      </text>
    </comment>
    <comment ref="C4236" authorId="3" shapeId="0" xr:uid="{00000000-0006-0000-0100-000033030000}">
      <text>
        <r>
          <rPr>
            <b/>
            <sz val="9"/>
            <color indexed="81"/>
            <rFont val="Tahoma"/>
            <family val="2"/>
          </rPr>
          <t>Paulo Olano:</t>
        </r>
        <r>
          <rPr>
            <sz val="9"/>
            <color indexed="81"/>
            <rFont val="Tahoma"/>
            <family val="2"/>
          </rPr>
          <t xml:space="preserve">
NOV 2019</t>
        </r>
      </text>
    </comment>
    <comment ref="C4238" authorId="0" shapeId="0" xr:uid="{00000000-0006-0000-0100-000034030000}">
      <text>
        <r>
          <rPr>
            <b/>
            <sz val="9"/>
            <color indexed="81"/>
            <rFont val="Tahoma"/>
            <family val="2"/>
          </rPr>
          <t>Jorge Arturo Espinoza:</t>
        </r>
        <r>
          <rPr>
            <sz val="9"/>
            <color indexed="81"/>
            <rFont val="Tahoma"/>
            <family val="2"/>
          </rPr>
          <t xml:space="preserve">
PRECIO NEGOCIADO POR PROYECTO PURUCHUCO</t>
        </r>
      </text>
    </comment>
    <comment ref="E4238" authorId="0" shapeId="0" xr:uid="{00000000-0006-0000-0100-000035030000}">
      <text>
        <r>
          <rPr>
            <b/>
            <sz val="9"/>
            <color indexed="81"/>
            <rFont val="Tahoma"/>
            <family val="2"/>
          </rPr>
          <t>Jorge Arturo Espinoza:</t>
        </r>
        <r>
          <rPr>
            <sz val="9"/>
            <color indexed="81"/>
            <rFont val="Tahoma"/>
            <family val="2"/>
          </rPr>
          <t xml:space="preserve">
EVALUAR</t>
        </r>
      </text>
    </comment>
    <comment ref="C4239" authorId="0" shapeId="0" xr:uid="{00000000-0006-0000-0100-000036030000}">
      <text>
        <r>
          <rPr>
            <b/>
            <sz val="9"/>
            <color indexed="81"/>
            <rFont val="Tahoma"/>
            <family val="2"/>
          </rPr>
          <t>Jorge Arturo Espinoza:</t>
        </r>
        <r>
          <rPr>
            <sz val="9"/>
            <color indexed="81"/>
            <rFont val="Tahoma"/>
            <family val="2"/>
          </rPr>
          <t xml:space="preserve">
PRECIO NEGOCIADO POR PROYECTO PURUCHUCO</t>
        </r>
      </text>
    </comment>
    <comment ref="C4240" authorId="3" shapeId="0" xr:uid="{00000000-0006-0000-0100-000037030000}">
      <text>
        <r>
          <rPr>
            <b/>
            <sz val="9"/>
            <color indexed="81"/>
            <rFont val="Tahoma"/>
            <family val="2"/>
          </rPr>
          <t>Paulo Olano:</t>
        </r>
        <r>
          <rPr>
            <sz val="9"/>
            <color indexed="81"/>
            <rFont val="Tahoma"/>
            <family val="2"/>
          </rPr>
          <t xml:space="preserve">
PRECIO DESCONTADO
COSELSA
</t>
        </r>
      </text>
    </comment>
    <comment ref="C4241" authorId="0" shapeId="0" xr:uid="{00000000-0006-0000-0100-000038030000}">
      <text>
        <r>
          <rPr>
            <b/>
            <sz val="9"/>
            <color indexed="81"/>
            <rFont val="Tahoma"/>
            <family val="2"/>
          </rPr>
          <t>Jorge Arturo Espinoza:</t>
        </r>
        <r>
          <rPr>
            <sz val="9"/>
            <color indexed="81"/>
            <rFont val="Tahoma"/>
            <family val="2"/>
          </rPr>
          <t xml:space="preserve">
PRECIO NEGOCIADO POR PROYECTO PURUCHUCO</t>
        </r>
      </text>
    </comment>
    <comment ref="C4242" authorId="0" shapeId="0" xr:uid="{00000000-0006-0000-0100-000039030000}">
      <text>
        <r>
          <rPr>
            <b/>
            <sz val="9"/>
            <color indexed="81"/>
            <rFont val="Tahoma"/>
            <family val="2"/>
          </rPr>
          <t>Jorge Arturo Espinoza:</t>
        </r>
        <r>
          <rPr>
            <sz val="9"/>
            <color indexed="81"/>
            <rFont val="Tahoma"/>
            <family val="2"/>
          </rPr>
          <t xml:space="preserve">
PRECIO NEGOCIADO POR PROYECTO PURUCHUCO</t>
        </r>
      </text>
    </comment>
    <comment ref="C4243" authorId="0" shapeId="0" xr:uid="{00000000-0006-0000-0100-00003A030000}">
      <text>
        <r>
          <rPr>
            <b/>
            <sz val="9"/>
            <color indexed="81"/>
            <rFont val="Tahoma"/>
            <family val="2"/>
          </rPr>
          <t>Jorge Arturo Espinoza:</t>
        </r>
        <r>
          <rPr>
            <sz val="9"/>
            <color indexed="81"/>
            <rFont val="Tahoma"/>
            <family val="2"/>
          </rPr>
          <t xml:space="preserve">
PRECIO NEGOCIADO POR PROYECTO PURUCHUCO</t>
        </r>
      </text>
    </comment>
    <comment ref="C4246" authorId="1" shapeId="0" xr:uid="{00000000-0006-0000-0100-00003B030000}">
      <text>
        <r>
          <rPr>
            <b/>
            <sz val="9"/>
            <color indexed="81"/>
            <rFont val="Tahoma"/>
            <family val="2"/>
          </rPr>
          <t>Roberto Meza:</t>
        </r>
        <r>
          <rPr>
            <sz val="9"/>
            <color indexed="81"/>
            <rFont val="Tahoma"/>
            <family val="2"/>
          </rPr>
          <t xml:space="preserve">
Marcial 28/08/19</t>
        </r>
      </text>
    </comment>
    <comment ref="E4246" authorId="0" shapeId="0" xr:uid="{00000000-0006-0000-0100-00003C030000}">
      <text>
        <r>
          <rPr>
            <b/>
            <sz val="9"/>
            <color indexed="81"/>
            <rFont val="Tahoma"/>
            <family val="2"/>
          </rPr>
          <t>Jorge Arturo Espinoza:</t>
        </r>
        <r>
          <rPr>
            <sz val="9"/>
            <color indexed="81"/>
            <rFont val="Tahoma"/>
            <family val="2"/>
          </rPr>
          <t xml:space="preserve">
EVALUAR</t>
        </r>
      </text>
    </comment>
    <comment ref="C4247" authorId="1" shapeId="0" xr:uid="{00000000-0006-0000-0100-00003D030000}">
      <text>
        <r>
          <rPr>
            <b/>
            <sz val="9"/>
            <color indexed="81"/>
            <rFont val="Tahoma"/>
            <family val="2"/>
          </rPr>
          <t>Roberto Meza:</t>
        </r>
        <r>
          <rPr>
            <sz val="9"/>
            <color indexed="81"/>
            <rFont val="Tahoma"/>
            <family val="2"/>
          </rPr>
          <t xml:space="preserve">
Marcial 28/08/19</t>
        </r>
      </text>
    </comment>
    <comment ref="C4248" authorId="1" shapeId="0" xr:uid="{00000000-0006-0000-0100-00003E030000}">
      <text>
        <r>
          <rPr>
            <b/>
            <sz val="9"/>
            <color indexed="81"/>
            <rFont val="Tahoma"/>
            <family val="2"/>
          </rPr>
          <t>Roberto Meza:</t>
        </r>
        <r>
          <rPr>
            <sz val="9"/>
            <color indexed="81"/>
            <rFont val="Tahoma"/>
            <family val="2"/>
          </rPr>
          <t xml:space="preserve">
Marcial 28/08/19</t>
        </r>
      </text>
    </comment>
    <comment ref="C4249" authorId="1" shapeId="0" xr:uid="{00000000-0006-0000-0100-00003F030000}">
      <text>
        <r>
          <rPr>
            <b/>
            <sz val="9"/>
            <color indexed="81"/>
            <rFont val="Tahoma"/>
            <family val="2"/>
          </rPr>
          <t>Roberto Meza:</t>
        </r>
        <r>
          <rPr>
            <sz val="9"/>
            <color indexed="81"/>
            <rFont val="Tahoma"/>
            <family val="2"/>
          </rPr>
          <t xml:space="preserve">
Marcial 28/08/19</t>
        </r>
      </text>
    </comment>
    <comment ref="C4251" authorId="1" shapeId="0" xr:uid="{00000000-0006-0000-0100-000040030000}">
      <text>
        <r>
          <rPr>
            <b/>
            <sz val="9"/>
            <color indexed="81"/>
            <rFont val="Tahoma"/>
            <family val="2"/>
          </rPr>
          <t>Roberto Meza:</t>
        </r>
        <r>
          <rPr>
            <sz val="9"/>
            <color indexed="81"/>
            <rFont val="Tahoma"/>
            <family val="2"/>
          </rPr>
          <t xml:space="preserve">
Marcial 28/08/19</t>
        </r>
      </text>
    </comment>
    <comment ref="E4251" authorId="0" shapeId="0" xr:uid="{00000000-0006-0000-0100-000041030000}">
      <text>
        <r>
          <rPr>
            <b/>
            <sz val="9"/>
            <color indexed="81"/>
            <rFont val="Tahoma"/>
            <family val="2"/>
          </rPr>
          <t>Jorge Arturo Espinoza:</t>
        </r>
        <r>
          <rPr>
            <sz val="9"/>
            <color indexed="81"/>
            <rFont val="Tahoma"/>
            <family val="2"/>
          </rPr>
          <t xml:space="preserve">
EVALUAR</t>
        </r>
      </text>
    </comment>
    <comment ref="C4252" authorId="1" shapeId="0" xr:uid="{00000000-0006-0000-0100-000042030000}">
      <text>
        <r>
          <rPr>
            <b/>
            <sz val="9"/>
            <color indexed="81"/>
            <rFont val="Tahoma"/>
            <family val="2"/>
          </rPr>
          <t>Roberto Meza:</t>
        </r>
        <r>
          <rPr>
            <sz val="9"/>
            <color indexed="81"/>
            <rFont val="Tahoma"/>
            <family val="2"/>
          </rPr>
          <t xml:space="preserve">
Marcial 28/08/19</t>
        </r>
      </text>
    </comment>
    <comment ref="C4256" authorId="0" shapeId="0" xr:uid="{00000000-0006-0000-0100-000043030000}">
      <text>
        <r>
          <rPr>
            <b/>
            <sz val="9"/>
            <color indexed="81"/>
            <rFont val="Tahoma"/>
            <family val="2"/>
          </rPr>
          <t>Jorge Arturo Espinoza:</t>
        </r>
        <r>
          <rPr>
            <sz val="9"/>
            <color indexed="81"/>
            <rFont val="Tahoma"/>
            <family val="2"/>
          </rPr>
          <t xml:space="preserve">
PRECIO NEGOCIADO POR PROYECTO PURUCHUCO</t>
        </r>
      </text>
    </comment>
    <comment ref="E4256" authorId="0" shapeId="0" xr:uid="{00000000-0006-0000-0100-000044030000}">
      <text>
        <r>
          <rPr>
            <b/>
            <sz val="9"/>
            <color indexed="81"/>
            <rFont val="Tahoma"/>
            <family val="2"/>
          </rPr>
          <t>Jorge Arturo Espinoza:</t>
        </r>
        <r>
          <rPr>
            <sz val="9"/>
            <color indexed="81"/>
            <rFont val="Tahoma"/>
            <family val="2"/>
          </rPr>
          <t xml:space="preserve">
EVALUAR</t>
        </r>
      </text>
    </comment>
    <comment ref="C4257" authorId="0" shapeId="0" xr:uid="{00000000-0006-0000-0100-000045030000}">
      <text>
        <r>
          <rPr>
            <b/>
            <sz val="9"/>
            <color indexed="81"/>
            <rFont val="Tahoma"/>
            <family val="2"/>
          </rPr>
          <t>Jorge Arturo Espinoza:</t>
        </r>
        <r>
          <rPr>
            <sz val="9"/>
            <color indexed="81"/>
            <rFont val="Tahoma"/>
            <family val="2"/>
          </rPr>
          <t xml:space="preserve">
PRECIO NEGOCIADO POR PROYECTO PURUCHUCO</t>
        </r>
      </text>
    </comment>
    <comment ref="C4258" authorId="0" shapeId="0" xr:uid="{00000000-0006-0000-0100-000046030000}">
      <text>
        <r>
          <rPr>
            <b/>
            <sz val="9"/>
            <color indexed="81"/>
            <rFont val="Tahoma"/>
            <family val="2"/>
          </rPr>
          <t>Jorge Arturo Espinoza:</t>
        </r>
        <r>
          <rPr>
            <sz val="9"/>
            <color indexed="81"/>
            <rFont val="Tahoma"/>
            <family val="2"/>
          </rPr>
          <t xml:space="preserve">
PRECIO NEGOCIADO POR PROYECTO PURUCHUCO</t>
        </r>
      </text>
    </comment>
    <comment ref="C4261" authorId="3" shapeId="0" xr:uid="{00000000-0006-0000-0100-000047030000}">
      <text>
        <r>
          <rPr>
            <b/>
            <sz val="9"/>
            <color indexed="81"/>
            <rFont val="Tahoma"/>
            <family val="2"/>
          </rPr>
          <t>Paulo Olano:</t>
        </r>
        <r>
          <rPr>
            <sz val="9"/>
            <color indexed="81"/>
            <rFont val="Tahoma"/>
            <family val="2"/>
          </rPr>
          <t xml:space="preserve">
MARCIAL MARZO 2019</t>
        </r>
      </text>
    </comment>
    <comment ref="C4262" authorId="3" shapeId="0" xr:uid="{00000000-0006-0000-0100-000048030000}">
      <text>
        <r>
          <rPr>
            <b/>
            <sz val="9"/>
            <color indexed="81"/>
            <rFont val="Tahoma"/>
            <family val="2"/>
          </rPr>
          <t>Paulo Olano:</t>
        </r>
        <r>
          <rPr>
            <sz val="9"/>
            <color indexed="81"/>
            <rFont val="Tahoma"/>
            <family val="2"/>
          </rPr>
          <t xml:space="preserve">
MARCIAL MARZO 2019</t>
        </r>
      </text>
    </comment>
    <comment ref="C4265" authorId="3" shapeId="0" xr:uid="{00000000-0006-0000-0100-000049030000}">
      <text>
        <r>
          <rPr>
            <b/>
            <sz val="9"/>
            <color indexed="81"/>
            <rFont val="Tahoma"/>
            <family val="2"/>
          </rPr>
          <t>Paulo Olano:</t>
        </r>
        <r>
          <rPr>
            <sz val="9"/>
            <color indexed="81"/>
            <rFont val="Tahoma"/>
            <family val="2"/>
          </rPr>
          <t xml:space="preserve">
MARCIAL MARZO 2019</t>
        </r>
      </text>
    </comment>
    <comment ref="C4266" authorId="3" shapeId="0" xr:uid="{00000000-0006-0000-0100-00004A030000}">
      <text>
        <r>
          <rPr>
            <b/>
            <sz val="9"/>
            <color indexed="81"/>
            <rFont val="Tahoma"/>
            <family val="2"/>
          </rPr>
          <t>Paulo Olano:</t>
        </r>
        <r>
          <rPr>
            <sz val="9"/>
            <color indexed="81"/>
            <rFont val="Tahoma"/>
            <family val="2"/>
          </rPr>
          <t xml:space="preserve">
MARCIAL MARZO 2019</t>
        </r>
      </text>
    </comment>
    <comment ref="D4268" authorId="0" shapeId="0" xr:uid="{00000000-0006-0000-0100-00004B030000}">
      <text>
        <r>
          <rPr>
            <b/>
            <sz val="9"/>
            <color indexed="81"/>
            <rFont val="Tahoma"/>
            <family val="2"/>
          </rPr>
          <t>Jorge Arturo Espinoza:</t>
        </r>
        <r>
          <rPr>
            <sz val="9"/>
            <color indexed="81"/>
            <rFont val="Tahoma"/>
            <family val="2"/>
          </rPr>
          <t xml:space="preserve">
Precio dado por Marcial, el 01-12-2015</t>
        </r>
      </text>
    </comment>
    <comment ref="D4269" authorId="0" shapeId="0" xr:uid="{00000000-0006-0000-0100-00004C030000}">
      <text>
        <r>
          <rPr>
            <b/>
            <sz val="9"/>
            <color indexed="81"/>
            <rFont val="Tahoma"/>
            <family val="2"/>
          </rPr>
          <t>Jorge Arturo Espinoza:</t>
        </r>
        <r>
          <rPr>
            <sz val="9"/>
            <color indexed="81"/>
            <rFont val="Tahoma"/>
            <family val="2"/>
          </rPr>
          <t xml:space="preserve">
Precio dado por Marcial, el 01-12-2015</t>
        </r>
      </text>
    </comment>
    <comment ref="C4270" authorId="1" shapeId="0" xr:uid="{00000000-0006-0000-0100-00004D030000}">
      <text>
        <r>
          <rPr>
            <b/>
            <sz val="9"/>
            <color indexed="81"/>
            <rFont val="Tahoma"/>
            <family val="2"/>
          </rPr>
          <t>Roberto Meza:</t>
        </r>
        <r>
          <rPr>
            <sz val="9"/>
            <color indexed="81"/>
            <rFont val="Tahoma"/>
            <family val="2"/>
          </rPr>
          <t xml:space="preserve">
MARCIAL MARZO 2019</t>
        </r>
      </text>
    </comment>
    <comment ref="C4274" authorId="3" shapeId="0" xr:uid="{00000000-0006-0000-0100-00004E030000}">
      <text>
        <r>
          <rPr>
            <b/>
            <sz val="9"/>
            <color indexed="81"/>
            <rFont val="Tahoma"/>
            <family val="2"/>
          </rPr>
          <t>Paulo Olano:</t>
        </r>
        <r>
          <rPr>
            <sz val="9"/>
            <color indexed="81"/>
            <rFont val="Tahoma"/>
            <family val="2"/>
          </rPr>
          <t xml:space="preserve">
MARCIAL MARZO 2019</t>
        </r>
      </text>
    </comment>
    <comment ref="C4284" authorId="3" shapeId="0" xr:uid="{00000000-0006-0000-0100-00004F030000}">
      <text>
        <r>
          <rPr>
            <b/>
            <sz val="9"/>
            <color indexed="81"/>
            <rFont val="Tahoma"/>
            <family val="2"/>
          </rPr>
          <t>Paulo Olano:</t>
        </r>
        <r>
          <rPr>
            <sz val="9"/>
            <color indexed="81"/>
            <rFont val="Tahoma"/>
            <family val="2"/>
          </rPr>
          <t xml:space="preserve">
MARCIAL MARZO 2019</t>
        </r>
      </text>
    </comment>
    <comment ref="C4285" authorId="3" shapeId="0" xr:uid="{00000000-0006-0000-0100-000050030000}">
      <text>
        <r>
          <rPr>
            <b/>
            <sz val="9"/>
            <color indexed="81"/>
            <rFont val="Tahoma"/>
            <family val="2"/>
          </rPr>
          <t>Paulo Olano:</t>
        </r>
        <r>
          <rPr>
            <sz val="9"/>
            <color indexed="81"/>
            <rFont val="Tahoma"/>
            <family val="2"/>
          </rPr>
          <t xml:space="preserve">
MARCIAL MARZO 2019</t>
        </r>
      </text>
    </comment>
    <comment ref="C4286" authorId="3" shapeId="0" xr:uid="{00000000-0006-0000-0100-000051030000}">
      <text>
        <r>
          <rPr>
            <b/>
            <sz val="9"/>
            <color indexed="81"/>
            <rFont val="Tahoma"/>
            <family val="2"/>
          </rPr>
          <t>Paulo Olano:</t>
        </r>
        <r>
          <rPr>
            <sz val="9"/>
            <color indexed="81"/>
            <rFont val="Tahoma"/>
            <family val="2"/>
          </rPr>
          <t xml:space="preserve">
MARCIAL MARZO 2019</t>
        </r>
      </text>
    </comment>
    <comment ref="C4287" authorId="3" shapeId="0" xr:uid="{00000000-0006-0000-0100-000052030000}">
      <text>
        <r>
          <rPr>
            <b/>
            <sz val="9"/>
            <color indexed="81"/>
            <rFont val="Tahoma"/>
            <family val="2"/>
          </rPr>
          <t>Paulo Olano:</t>
        </r>
        <r>
          <rPr>
            <sz val="9"/>
            <color indexed="81"/>
            <rFont val="Tahoma"/>
            <family val="2"/>
          </rPr>
          <t xml:space="preserve">
MARCIAL MARZO 2019</t>
        </r>
      </text>
    </comment>
    <comment ref="C4288" authorId="3" shapeId="0" xr:uid="{00000000-0006-0000-0100-000053030000}">
      <text>
        <r>
          <rPr>
            <b/>
            <sz val="9"/>
            <color indexed="81"/>
            <rFont val="Tahoma"/>
            <family val="2"/>
          </rPr>
          <t>Paulo Olano:</t>
        </r>
        <r>
          <rPr>
            <sz val="9"/>
            <color indexed="81"/>
            <rFont val="Tahoma"/>
            <family val="2"/>
          </rPr>
          <t xml:space="preserve">
MARCIAL MARZO 2019</t>
        </r>
      </text>
    </comment>
    <comment ref="C4289" authorId="3" shapeId="0" xr:uid="{00000000-0006-0000-0100-000054030000}">
      <text>
        <r>
          <rPr>
            <b/>
            <sz val="9"/>
            <color indexed="81"/>
            <rFont val="Tahoma"/>
            <family val="2"/>
          </rPr>
          <t>Paulo Olano:</t>
        </r>
        <r>
          <rPr>
            <sz val="9"/>
            <color indexed="81"/>
            <rFont val="Tahoma"/>
            <family val="2"/>
          </rPr>
          <t xml:space="preserve">
MARCIAL MARZO 2019</t>
        </r>
      </text>
    </comment>
    <comment ref="C4290" authorId="3" shapeId="0" xr:uid="{00000000-0006-0000-0100-000055030000}">
      <text>
        <r>
          <rPr>
            <b/>
            <sz val="9"/>
            <color indexed="81"/>
            <rFont val="Tahoma"/>
            <family val="2"/>
          </rPr>
          <t>Paulo Olano:</t>
        </r>
        <r>
          <rPr>
            <sz val="9"/>
            <color indexed="81"/>
            <rFont val="Tahoma"/>
            <family val="2"/>
          </rPr>
          <t xml:space="preserve">
MARCIAL MARZO 2019</t>
        </r>
      </text>
    </comment>
    <comment ref="C4291" authorId="3" shapeId="0" xr:uid="{00000000-0006-0000-0100-000056030000}">
      <text>
        <r>
          <rPr>
            <b/>
            <sz val="9"/>
            <color indexed="81"/>
            <rFont val="Tahoma"/>
            <family val="2"/>
          </rPr>
          <t>Paulo Olano:</t>
        </r>
        <r>
          <rPr>
            <sz val="9"/>
            <color indexed="81"/>
            <rFont val="Tahoma"/>
            <family val="2"/>
          </rPr>
          <t xml:space="preserve">
MARCIAL MARZO 2019</t>
        </r>
      </text>
    </comment>
    <comment ref="C4296" authorId="3" shapeId="0" xr:uid="{00000000-0006-0000-0100-000057030000}">
      <text>
        <r>
          <rPr>
            <b/>
            <sz val="9"/>
            <color indexed="81"/>
            <rFont val="Tahoma"/>
            <family val="2"/>
          </rPr>
          <t>Paulo Olano:</t>
        </r>
        <r>
          <rPr>
            <sz val="9"/>
            <color indexed="81"/>
            <rFont val="Tahoma"/>
            <family val="2"/>
          </rPr>
          <t xml:space="preserve">
MARCIAL MARZO 2019</t>
        </r>
      </text>
    </comment>
    <comment ref="C4301" authorId="3" shapeId="0" xr:uid="{00000000-0006-0000-0100-000058030000}">
      <text>
        <r>
          <rPr>
            <b/>
            <sz val="9"/>
            <color indexed="81"/>
            <rFont val="Tahoma"/>
            <family val="2"/>
          </rPr>
          <t>Paulo Olano:</t>
        </r>
        <r>
          <rPr>
            <sz val="9"/>
            <color indexed="81"/>
            <rFont val="Tahoma"/>
            <family val="2"/>
          </rPr>
          <t xml:space="preserve">
MARCIAL MARZO 2019</t>
        </r>
      </text>
    </comment>
    <comment ref="C4302" authorId="3" shapeId="0" xr:uid="{00000000-0006-0000-0100-000059030000}">
      <text>
        <r>
          <rPr>
            <b/>
            <sz val="9"/>
            <color indexed="81"/>
            <rFont val="Tahoma"/>
            <family val="2"/>
          </rPr>
          <t>Paulo Olano:</t>
        </r>
        <r>
          <rPr>
            <sz val="9"/>
            <color indexed="81"/>
            <rFont val="Tahoma"/>
            <family val="2"/>
          </rPr>
          <t xml:space="preserve">
MARCIAL MARZO 2019</t>
        </r>
      </text>
    </comment>
    <comment ref="C4303" authorId="3" shapeId="0" xr:uid="{00000000-0006-0000-0100-00005A030000}">
      <text>
        <r>
          <rPr>
            <b/>
            <sz val="9"/>
            <color indexed="81"/>
            <rFont val="Tahoma"/>
            <family val="2"/>
          </rPr>
          <t>Paulo Olano:</t>
        </r>
        <r>
          <rPr>
            <sz val="9"/>
            <color indexed="81"/>
            <rFont val="Tahoma"/>
            <family val="2"/>
          </rPr>
          <t xml:space="preserve">
MARCIAL MARZO 2019</t>
        </r>
      </text>
    </comment>
    <comment ref="C4304" authorId="3" shapeId="0" xr:uid="{00000000-0006-0000-0100-00005B030000}">
      <text>
        <r>
          <rPr>
            <b/>
            <sz val="9"/>
            <color indexed="81"/>
            <rFont val="Tahoma"/>
            <family val="2"/>
          </rPr>
          <t>Paulo Olano:</t>
        </r>
        <r>
          <rPr>
            <sz val="9"/>
            <color indexed="81"/>
            <rFont val="Tahoma"/>
            <family val="2"/>
          </rPr>
          <t xml:space="preserve">
MARCIAL MARZO 2019</t>
        </r>
      </text>
    </comment>
    <comment ref="C4305" authorId="3" shapeId="0" xr:uid="{00000000-0006-0000-0100-00005C030000}">
      <text>
        <r>
          <rPr>
            <b/>
            <sz val="9"/>
            <color indexed="81"/>
            <rFont val="Tahoma"/>
            <family val="2"/>
          </rPr>
          <t>Paulo Olano:</t>
        </r>
        <r>
          <rPr>
            <sz val="9"/>
            <color indexed="81"/>
            <rFont val="Tahoma"/>
            <family val="2"/>
          </rPr>
          <t xml:space="preserve">
MARCIAL MARZO 2019</t>
        </r>
      </text>
    </comment>
    <comment ref="C4306" authorId="3" shapeId="0" xr:uid="{00000000-0006-0000-0100-00005D030000}">
      <text>
        <r>
          <rPr>
            <b/>
            <sz val="9"/>
            <color indexed="81"/>
            <rFont val="Tahoma"/>
            <family val="2"/>
          </rPr>
          <t>Paulo Olano:</t>
        </r>
        <r>
          <rPr>
            <sz val="9"/>
            <color indexed="81"/>
            <rFont val="Tahoma"/>
            <family val="2"/>
          </rPr>
          <t xml:space="preserve">
MARCIAL MARZO 2019</t>
        </r>
      </text>
    </comment>
    <comment ref="C4307" authorId="3" shapeId="0" xr:uid="{00000000-0006-0000-0100-00005E030000}">
      <text>
        <r>
          <rPr>
            <b/>
            <sz val="9"/>
            <color indexed="81"/>
            <rFont val="Tahoma"/>
            <family val="2"/>
          </rPr>
          <t>Paulo Olano:</t>
        </r>
        <r>
          <rPr>
            <sz val="9"/>
            <color indexed="81"/>
            <rFont val="Tahoma"/>
            <family val="2"/>
          </rPr>
          <t xml:space="preserve">
MARCIAL MARZO 2019</t>
        </r>
      </text>
    </comment>
    <comment ref="C4310" authorId="3" shapeId="0" xr:uid="{00000000-0006-0000-0100-00005F030000}">
      <text>
        <r>
          <rPr>
            <b/>
            <sz val="9"/>
            <color indexed="81"/>
            <rFont val="Tahoma"/>
            <family val="2"/>
          </rPr>
          <t>Paulo Olano:</t>
        </r>
        <r>
          <rPr>
            <sz val="9"/>
            <color indexed="81"/>
            <rFont val="Tahoma"/>
            <family val="2"/>
          </rPr>
          <t xml:space="preserve">
MARCIAL MARZO 2019</t>
        </r>
      </text>
    </comment>
    <comment ref="C4311" authorId="3" shapeId="0" xr:uid="{00000000-0006-0000-0100-000060030000}">
      <text>
        <r>
          <rPr>
            <b/>
            <sz val="9"/>
            <color indexed="81"/>
            <rFont val="Tahoma"/>
            <family val="2"/>
          </rPr>
          <t>Paulo Olano:</t>
        </r>
        <r>
          <rPr>
            <sz val="9"/>
            <color indexed="81"/>
            <rFont val="Tahoma"/>
            <family val="2"/>
          </rPr>
          <t xml:space="preserve">
MARCIAL MARZO 2019</t>
        </r>
      </text>
    </comment>
    <comment ref="C4312" authorId="3" shapeId="0" xr:uid="{00000000-0006-0000-0100-000061030000}">
      <text>
        <r>
          <rPr>
            <b/>
            <sz val="9"/>
            <color indexed="81"/>
            <rFont val="Tahoma"/>
            <family val="2"/>
          </rPr>
          <t>Paulo Olano:</t>
        </r>
        <r>
          <rPr>
            <sz val="9"/>
            <color indexed="81"/>
            <rFont val="Tahoma"/>
            <family val="2"/>
          </rPr>
          <t xml:space="preserve">
MARCIAL MARZO 2019</t>
        </r>
      </text>
    </comment>
    <comment ref="C4313" authorId="3" shapeId="0" xr:uid="{00000000-0006-0000-0100-000062030000}">
      <text>
        <r>
          <rPr>
            <b/>
            <sz val="9"/>
            <color indexed="81"/>
            <rFont val="Tahoma"/>
            <family val="2"/>
          </rPr>
          <t>Paulo Olano:</t>
        </r>
        <r>
          <rPr>
            <sz val="9"/>
            <color indexed="81"/>
            <rFont val="Tahoma"/>
            <family val="2"/>
          </rPr>
          <t xml:space="preserve">
MARCIAL MARZO 2019</t>
        </r>
      </text>
    </comment>
    <comment ref="C4314" authorId="3" shapeId="0" xr:uid="{00000000-0006-0000-0100-000063030000}">
      <text>
        <r>
          <rPr>
            <b/>
            <sz val="9"/>
            <color indexed="81"/>
            <rFont val="Tahoma"/>
            <family val="2"/>
          </rPr>
          <t>Paulo Olano:</t>
        </r>
        <r>
          <rPr>
            <sz val="9"/>
            <color indexed="81"/>
            <rFont val="Tahoma"/>
            <family val="2"/>
          </rPr>
          <t xml:space="preserve">
MARCIAL MARZO 2019</t>
        </r>
      </text>
    </comment>
    <comment ref="C4315" authorId="3" shapeId="0" xr:uid="{00000000-0006-0000-0100-000064030000}">
      <text>
        <r>
          <rPr>
            <b/>
            <sz val="9"/>
            <color indexed="81"/>
            <rFont val="Tahoma"/>
            <family val="2"/>
          </rPr>
          <t>Paulo Olano:</t>
        </r>
        <r>
          <rPr>
            <sz val="9"/>
            <color indexed="81"/>
            <rFont val="Tahoma"/>
            <family val="2"/>
          </rPr>
          <t xml:space="preserve">
MARCIAL MARZO 2019</t>
        </r>
      </text>
    </comment>
    <comment ref="C4316" authorId="3" shapeId="0" xr:uid="{00000000-0006-0000-0100-000065030000}">
      <text>
        <r>
          <rPr>
            <b/>
            <sz val="9"/>
            <color indexed="81"/>
            <rFont val="Tahoma"/>
            <family val="2"/>
          </rPr>
          <t>Paulo Olano:</t>
        </r>
        <r>
          <rPr>
            <sz val="9"/>
            <color indexed="81"/>
            <rFont val="Tahoma"/>
            <family val="2"/>
          </rPr>
          <t xml:space="preserve">
MARCIAL MARZO 2019</t>
        </r>
      </text>
    </comment>
    <comment ref="C4317" authorId="3" shapeId="0" xr:uid="{00000000-0006-0000-0100-000066030000}">
      <text>
        <r>
          <rPr>
            <b/>
            <sz val="9"/>
            <color indexed="81"/>
            <rFont val="Tahoma"/>
            <family val="2"/>
          </rPr>
          <t>Paulo Olano:</t>
        </r>
        <r>
          <rPr>
            <sz val="9"/>
            <color indexed="81"/>
            <rFont val="Tahoma"/>
            <family val="2"/>
          </rPr>
          <t xml:space="preserve">
MARCIAL MARZO 2019</t>
        </r>
      </text>
    </comment>
    <comment ref="C4318" authorId="3" shapeId="0" xr:uid="{00000000-0006-0000-0100-000067030000}">
      <text>
        <r>
          <rPr>
            <b/>
            <sz val="9"/>
            <color indexed="81"/>
            <rFont val="Tahoma"/>
            <family val="2"/>
          </rPr>
          <t>Paulo Olano:</t>
        </r>
        <r>
          <rPr>
            <sz val="9"/>
            <color indexed="81"/>
            <rFont val="Tahoma"/>
            <family val="2"/>
          </rPr>
          <t xml:space="preserve">
MARCIAL MARZO 2019</t>
        </r>
      </text>
    </comment>
    <comment ref="C4319" authorId="3" shapeId="0" xr:uid="{00000000-0006-0000-0100-000068030000}">
      <text>
        <r>
          <rPr>
            <b/>
            <sz val="9"/>
            <color indexed="81"/>
            <rFont val="Tahoma"/>
            <family val="2"/>
          </rPr>
          <t>Paulo Olano:</t>
        </r>
        <r>
          <rPr>
            <sz val="9"/>
            <color indexed="81"/>
            <rFont val="Tahoma"/>
            <family val="2"/>
          </rPr>
          <t xml:space="preserve">
MARCIAL MARZO 2019</t>
        </r>
      </text>
    </comment>
    <comment ref="C4322" authorId="3" shapeId="0" xr:uid="{00000000-0006-0000-0100-000069030000}">
      <text>
        <r>
          <rPr>
            <b/>
            <sz val="9"/>
            <color indexed="81"/>
            <rFont val="Tahoma"/>
            <family val="2"/>
          </rPr>
          <t>Paulo Olano:</t>
        </r>
        <r>
          <rPr>
            <sz val="9"/>
            <color indexed="81"/>
            <rFont val="Tahoma"/>
            <family val="2"/>
          </rPr>
          <t xml:space="preserve">
MARCIAL MARZO 2019</t>
        </r>
      </text>
    </comment>
    <comment ref="C4323" authorId="3" shapeId="0" xr:uid="{00000000-0006-0000-0100-00006A030000}">
      <text>
        <r>
          <rPr>
            <b/>
            <sz val="9"/>
            <color indexed="81"/>
            <rFont val="Tahoma"/>
            <family val="2"/>
          </rPr>
          <t>Paulo Olano:</t>
        </r>
        <r>
          <rPr>
            <sz val="9"/>
            <color indexed="81"/>
            <rFont val="Tahoma"/>
            <family val="2"/>
          </rPr>
          <t xml:space="preserve">
MARCIAL MARZO 2019</t>
        </r>
      </text>
    </comment>
    <comment ref="C4324" authorId="3" shapeId="0" xr:uid="{00000000-0006-0000-0100-00006B030000}">
      <text>
        <r>
          <rPr>
            <b/>
            <sz val="9"/>
            <color indexed="81"/>
            <rFont val="Tahoma"/>
            <family val="2"/>
          </rPr>
          <t>Paulo Olano:</t>
        </r>
        <r>
          <rPr>
            <sz val="9"/>
            <color indexed="81"/>
            <rFont val="Tahoma"/>
            <family val="2"/>
          </rPr>
          <t xml:space="preserve">
MARCIAL MARZO 2019</t>
        </r>
      </text>
    </comment>
    <comment ref="C4325" authorId="3" shapeId="0" xr:uid="{00000000-0006-0000-0100-00006C030000}">
      <text>
        <r>
          <rPr>
            <b/>
            <sz val="9"/>
            <color indexed="81"/>
            <rFont val="Tahoma"/>
            <family val="2"/>
          </rPr>
          <t>Paulo Olano:</t>
        </r>
        <r>
          <rPr>
            <sz val="9"/>
            <color indexed="81"/>
            <rFont val="Tahoma"/>
            <family val="2"/>
          </rPr>
          <t xml:space="preserve">
MARCIAL MARZO 2019</t>
        </r>
      </text>
    </comment>
    <comment ref="C4326" authorId="3" shapeId="0" xr:uid="{00000000-0006-0000-0100-00006D030000}">
      <text>
        <r>
          <rPr>
            <b/>
            <sz val="9"/>
            <color indexed="81"/>
            <rFont val="Tahoma"/>
            <family val="2"/>
          </rPr>
          <t>Paulo Olano:</t>
        </r>
        <r>
          <rPr>
            <sz val="9"/>
            <color indexed="81"/>
            <rFont val="Tahoma"/>
            <family val="2"/>
          </rPr>
          <t xml:space="preserve">
MARCIAL MARZO 2019</t>
        </r>
      </text>
    </comment>
    <comment ref="C4327" authorId="3" shapeId="0" xr:uid="{00000000-0006-0000-0100-00006E030000}">
      <text>
        <r>
          <rPr>
            <b/>
            <sz val="9"/>
            <color indexed="81"/>
            <rFont val="Tahoma"/>
            <family val="2"/>
          </rPr>
          <t>Paulo Olano:</t>
        </r>
        <r>
          <rPr>
            <sz val="9"/>
            <color indexed="81"/>
            <rFont val="Tahoma"/>
            <family val="2"/>
          </rPr>
          <t xml:space="preserve">
MARCIAL MARZO 2019</t>
        </r>
      </text>
    </comment>
    <comment ref="C4328" authorId="3" shapeId="0" xr:uid="{00000000-0006-0000-0100-00006F030000}">
      <text>
        <r>
          <rPr>
            <b/>
            <sz val="9"/>
            <color indexed="81"/>
            <rFont val="Tahoma"/>
            <family val="2"/>
          </rPr>
          <t>Paulo Olano:</t>
        </r>
        <r>
          <rPr>
            <sz val="9"/>
            <color indexed="81"/>
            <rFont val="Tahoma"/>
            <family val="2"/>
          </rPr>
          <t xml:space="preserve">
MARCIAL MARZO 2019</t>
        </r>
      </text>
    </comment>
    <comment ref="C4329" authorId="3" shapeId="0" xr:uid="{00000000-0006-0000-0100-000070030000}">
      <text>
        <r>
          <rPr>
            <b/>
            <sz val="9"/>
            <color indexed="81"/>
            <rFont val="Tahoma"/>
            <family val="2"/>
          </rPr>
          <t>Paulo Olano:</t>
        </r>
        <r>
          <rPr>
            <sz val="9"/>
            <color indexed="81"/>
            <rFont val="Tahoma"/>
            <family val="2"/>
          </rPr>
          <t xml:space="preserve">
MARCIAL MARZO 2019</t>
        </r>
      </text>
    </comment>
    <comment ref="C4332" authorId="3" shapeId="0" xr:uid="{00000000-0006-0000-0100-000071030000}">
      <text>
        <r>
          <rPr>
            <b/>
            <sz val="9"/>
            <color indexed="81"/>
            <rFont val="Tahoma"/>
            <family val="2"/>
          </rPr>
          <t>Paulo Olano:</t>
        </r>
        <r>
          <rPr>
            <sz val="9"/>
            <color indexed="81"/>
            <rFont val="Tahoma"/>
            <family val="2"/>
          </rPr>
          <t xml:space="preserve">
MARCIAL MARZO 2019</t>
        </r>
      </text>
    </comment>
    <comment ref="C4333" authorId="3" shapeId="0" xr:uid="{00000000-0006-0000-0100-000072030000}">
      <text>
        <r>
          <rPr>
            <b/>
            <sz val="9"/>
            <color indexed="81"/>
            <rFont val="Tahoma"/>
            <family val="2"/>
          </rPr>
          <t>Paulo Olano:</t>
        </r>
        <r>
          <rPr>
            <sz val="9"/>
            <color indexed="81"/>
            <rFont val="Tahoma"/>
            <family val="2"/>
          </rPr>
          <t xml:space="preserve">
MARCIAL MARZO 2019</t>
        </r>
      </text>
    </comment>
    <comment ref="C4334" authorId="3" shapeId="0" xr:uid="{00000000-0006-0000-0100-000073030000}">
      <text>
        <r>
          <rPr>
            <b/>
            <sz val="9"/>
            <color indexed="81"/>
            <rFont val="Tahoma"/>
            <family val="2"/>
          </rPr>
          <t>Paulo Olano:</t>
        </r>
        <r>
          <rPr>
            <sz val="9"/>
            <color indexed="81"/>
            <rFont val="Tahoma"/>
            <family val="2"/>
          </rPr>
          <t xml:space="preserve">
MARCIAL MARZO 2019</t>
        </r>
      </text>
    </comment>
    <comment ref="C4335" authorId="3" shapeId="0" xr:uid="{00000000-0006-0000-0100-000074030000}">
      <text>
        <r>
          <rPr>
            <b/>
            <sz val="9"/>
            <color indexed="81"/>
            <rFont val="Tahoma"/>
            <family val="2"/>
          </rPr>
          <t>Paulo Olano:</t>
        </r>
        <r>
          <rPr>
            <sz val="9"/>
            <color indexed="81"/>
            <rFont val="Tahoma"/>
            <family val="2"/>
          </rPr>
          <t xml:space="preserve">
MARCIAL MARZO 2019</t>
        </r>
      </text>
    </comment>
    <comment ref="C4336" authorId="3" shapeId="0" xr:uid="{00000000-0006-0000-0100-000075030000}">
      <text>
        <r>
          <rPr>
            <b/>
            <sz val="9"/>
            <color indexed="81"/>
            <rFont val="Tahoma"/>
            <family val="2"/>
          </rPr>
          <t>Paulo Olano:</t>
        </r>
        <r>
          <rPr>
            <sz val="9"/>
            <color indexed="81"/>
            <rFont val="Tahoma"/>
            <family val="2"/>
          </rPr>
          <t xml:space="preserve">
MARCIAL MARZO 2019</t>
        </r>
      </text>
    </comment>
    <comment ref="C4337" authorId="3" shapeId="0" xr:uid="{00000000-0006-0000-0100-000076030000}">
      <text>
        <r>
          <rPr>
            <b/>
            <sz val="9"/>
            <color indexed="81"/>
            <rFont val="Tahoma"/>
            <family val="2"/>
          </rPr>
          <t>Paulo Olano:</t>
        </r>
        <r>
          <rPr>
            <sz val="9"/>
            <color indexed="81"/>
            <rFont val="Tahoma"/>
            <family val="2"/>
          </rPr>
          <t xml:space="preserve">
MARCIAL MARZO 2019</t>
        </r>
      </text>
    </comment>
    <comment ref="C4338" authorId="3" shapeId="0" xr:uid="{00000000-0006-0000-0100-000077030000}">
      <text>
        <r>
          <rPr>
            <b/>
            <sz val="9"/>
            <color indexed="81"/>
            <rFont val="Tahoma"/>
            <family val="2"/>
          </rPr>
          <t>Paulo Olano:</t>
        </r>
        <r>
          <rPr>
            <sz val="9"/>
            <color indexed="81"/>
            <rFont val="Tahoma"/>
            <family val="2"/>
          </rPr>
          <t xml:space="preserve">
MARCIAL MARZO 2019</t>
        </r>
      </text>
    </comment>
    <comment ref="C4339" authorId="3" shapeId="0" xr:uid="{00000000-0006-0000-0100-000078030000}">
      <text>
        <r>
          <rPr>
            <b/>
            <sz val="9"/>
            <color indexed="81"/>
            <rFont val="Tahoma"/>
            <family val="2"/>
          </rPr>
          <t>Paulo Olano:</t>
        </r>
        <r>
          <rPr>
            <sz val="9"/>
            <color indexed="81"/>
            <rFont val="Tahoma"/>
            <family val="2"/>
          </rPr>
          <t xml:space="preserve">
MARCIAL MARZO 2019</t>
        </r>
      </text>
    </comment>
    <comment ref="C4340" authorId="3" shapeId="0" xr:uid="{00000000-0006-0000-0100-000079030000}">
      <text>
        <r>
          <rPr>
            <b/>
            <sz val="9"/>
            <color indexed="81"/>
            <rFont val="Tahoma"/>
            <family val="2"/>
          </rPr>
          <t>Paulo Olano:</t>
        </r>
        <r>
          <rPr>
            <sz val="9"/>
            <color indexed="81"/>
            <rFont val="Tahoma"/>
            <family val="2"/>
          </rPr>
          <t xml:space="preserve">
MARCIAL MARZO 2019</t>
        </r>
      </text>
    </comment>
    <comment ref="C4341" authorId="3" shapeId="0" xr:uid="{00000000-0006-0000-0100-00007A030000}">
      <text>
        <r>
          <rPr>
            <b/>
            <sz val="9"/>
            <color indexed="81"/>
            <rFont val="Tahoma"/>
            <family val="2"/>
          </rPr>
          <t>Paulo Olano:</t>
        </r>
        <r>
          <rPr>
            <sz val="9"/>
            <color indexed="81"/>
            <rFont val="Tahoma"/>
            <family val="2"/>
          </rPr>
          <t xml:space="preserve">
MARCIAL MARZO 2019</t>
        </r>
      </text>
    </comment>
    <comment ref="C4344" authorId="3" shapeId="0" xr:uid="{00000000-0006-0000-0100-00007B030000}">
      <text>
        <r>
          <rPr>
            <b/>
            <sz val="9"/>
            <color indexed="81"/>
            <rFont val="Tahoma"/>
            <family val="2"/>
          </rPr>
          <t>Paulo Olano:</t>
        </r>
        <r>
          <rPr>
            <sz val="9"/>
            <color indexed="81"/>
            <rFont val="Tahoma"/>
            <family val="2"/>
          </rPr>
          <t xml:space="preserve">
MARCIAL MARZO 2019</t>
        </r>
      </text>
    </comment>
    <comment ref="C4345" authorId="3" shapeId="0" xr:uid="{00000000-0006-0000-0100-00007C030000}">
      <text>
        <r>
          <rPr>
            <b/>
            <sz val="9"/>
            <color indexed="81"/>
            <rFont val="Tahoma"/>
            <family val="2"/>
          </rPr>
          <t>Paulo Olano:</t>
        </r>
        <r>
          <rPr>
            <sz val="9"/>
            <color indexed="81"/>
            <rFont val="Tahoma"/>
            <family val="2"/>
          </rPr>
          <t xml:space="preserve">
MARCIAL MARZO 2019</t>
        </r>
      </text>
    </comment>
    <comment ref="C4346" authorId="3" shapeId="0" xr:uid="{00000000-0006-0000-0100-00007D030000}">
      <text>
        <r>
          <rPr>
            <b/>
            <sz val="9"/>
            <color indexed="81"/>
            <rFont val="Tahoma"/>
            <family val="2"/>
          </rPr>
          <t>Paulo Olano:</t>
        </r>
        <r>
          <rPr>
            <sz val="9"/>
            <color indexed="81"/>
            <rFont val="Tahoma"/>
            <family val="2"/>
          </rPr>
          <t xml:space="preserve">
MARCIAL MARZO 2019</t>
        </r>
      </text>
    </comment>
    <comment ref="C4347" authorId="3" shapeId="0" xr:uid="{00000000-0006-0000-0100-00007E030000}">
      <text>
        <r>
          <rPr>
            <b/>
            <sz val="9"/>
            <color indexed="81"/>
            <rFont val="Tahoma"/>
            <family val="2"/>
          </rPr>
          <t>Paulo Olano:</t>
        </r>
        <r>
          <rPr>
            <sz val="9"/>
            <color indexed="81"/>
            <rFont val="Tahoma"/>
            <family val="2"/>
          </rPr>
          <t xml:space="preserve">
MARCIAL MARZO 2019</t>
        </r>
      </text>
    </comment>
    <comment ref="C4348" authorId="3" shapeId="0" xr:uid="{00000000-0006-0000-0100-00007F030000}">
      <text>
        <r>
          <rPr>
            <b/>
            <sz val="9"/>
            <color indexed="81"/>
            <rFont val="Tahoma"/>
            <family val="2"/>
          </rPr>
          <t>Paulo Olano:</t>
        </r>
        <r>
          <rPr>
            <sz val="9"/>
            <color indexed="81"/>
            <rFont val="Tahoma"/>
            <family val="2"/>
          </rPr>
          <t xml:space="preserve">
MARCIAL MARZO 2019</t>
        </r>
      </text>
    </comment>
    <comment ref="C4349" authorId="3" shapeId="0" xr:uid="{00000000-0006-0000-0100-000080030000}">
      <text>
        <r>
          <rPr>
            <b/>
            <sz val="9"/>
            <color indexed="81"/>
            <rFont val="Tahoma"/>
            <family val="2"/>
          </rPr>
          <t>Paulo Olano:</t>
        </r>
        <r>
          <rPr>
            <sz val="9"/>
            <color indexed="81"/>
            <rFont val="Tahoma"/>
            <family val="2"/>
          </rPr>
          <t xml:space="preserve">
MARCIAL MARZO 2019</t>
        </r>
      </text>
    </comment>
    <comment ref="C4350" authorId="3" shapeId="0" xr:uid="{00000000-0006-0000-0100-000081030000}">
      <text>
        <r>
          <rPr>
            <b/>
            <sz val="9"/>
            <color indexed="81"/>
            <rFont val="Tahoma"/>
            <family val="2"/>
          </rPr>
          <t>Paulo Olano:</t>
        </r>
        <r>
          <rPr>
            <sz val="9"/>
            <color indexed="81"/>
            <rFont val="Tahoma"/>
            <family val="2"/>
          </rPr>
          <t xml:space="preserve">
MARCIAL MARZO 2019</t>
        </r>
      </text>
    </comment>
    <comment ref="C4351" authorId="3" shapeId="0" xr:uid="{00000000-0006-0000-0100-000082030000}">
      <text>
        <r>
          <rPr>
            <b/>
            <sz val="9"/>
            <color indexed="81"/>
            <rFont val="Tahoma"/>
            <family val="2"/>
          </rPr>
          <t>Paulo Olano:</t>
        </r>
        <r>
          <rPr>
            <sz val="9"/>
            <color indexed="81"/>
            <rFont val="Tahoma"/>
            <family val="2"/>
          </rPr>
          <t xml:space="preserve">
MARCIAL MARZO 2019</t>
        </r>
      </text>
    </comment>
    <comment ref="C4352" authorId="3" shapeId="0" xr:uid="{00000000-0006-0000-0100-000083030000}">
      <text>
        <r>
          <rPr>
            <b/>
            <sz val="9"/>
            <color indexed="81"/>
            <rFont val="Tahoma"/>
            <family val="2"/>
          </rPr>
          <t>Paulo Olano:</t>
        </r>
        <r>
          <rPr>
            <sz val="9"/>
            <color indexed="81"/>
            <rFont val="Tahoma"/>
            <family val="2"/>
          </rPr>
          <t xml:space="preserve">
MARCIAL MARZO 2019</t>
        </r>
      </text>
    </comment>
    <comment ref="C4353" authorId="3" shapeId="0" xr:uid="{00000000-0006-0000-0100-000084030000}">
      <text>
        <r>
          <rPr>
            <b/>
            <sz val="9"/>
            <color indexed="81"/>
            <rFont val="Tahoma"/>
            <family val="2"/>
          </rPr>
          <t>Paulo Olano:</t>
        </r>
        <r>
          <rPr>
            <sz val="9"/>
            <color indexed="81"/>
            <rFont val="Tahoma"/>
            <family val="2"/>
          </rPr>
          <t xml:space="preserve">
MARCIAL MARZO 2019</t>
        </r>
      </text>
    </comment>
    <comment ref="C4354" authorId="3" shapeId="0" xr:uid="{00000000-0006-0000-0100-000085030000}">
      <text>
        <r>
          <rPr>
            <b/>
            <sz val="9"/>
            <color indexed="81"/>
            <rFont val="Tahoma"/>
            <family val="2"/>
          </rPr>
          <t>Paulo Olano:</t>
        </r>
        <r>
          <rPr>
            <sz val="9"/>
            <color indexed="81"/>
            <rFont val="Tahoma"/>
            <family val="2"/>
          </rPr>
          <t xml:space="preserve">
MARCIAL MARZO 2019</t>
        </r>
      </text>
    </comment>
    <comment ref="D4391" authorId="0" shapeId="0" xr:uid="{00000000-0006-0000-0100-000086030000}">
      <text>
        <r>
          <rPr>
            <b/>
            <sz val="9"/>
            <color indexed="81"/>
            <rFont val="Tahoma"/>
            <family val="2"/>
          </rPr>
          <t>Jorge Arturo Espinoza:</t>
        </r>
        <r>
          <rPr>
            <sz val="9"/>
            <color indexed="81"/>
            <rFont val="Tahoma"/>
            <family val="2"/>
          </rPr>
          <t xml:space="preserve">
ASUMIDO</t>
        </r>
      </text>
    </comment>
    <comment ref="D4392" authorId="0" shapeId="0" xr:uid="{00000000-0006-0000-0100-000087030000}">
      <text>
        <r>
          <rPr>
            <b/>
            <sz val="9"/>
            <color indexed="81"/>
            <rFont val="Tahoma"/>
            <family val="2"/>
          </rPr>
          <t>Jorge Arturo Espinoza:</t>
        </r>
        <r>
          <rPr>
            <sz val="9"/>
            <color indexed="81"/>
            <rFont val="Tahoma"/>
            <family val="2"/>
          </rPr>
          <t xml:space="preserve">
ASUMIDO</t>
        </r>
      </text>
    </comment>
    <comment ref="D4428" authorId="0" shapeId="0" xr:uid="{00000000-0006-0000-0100-000088030000}">
      <text>
        <r>
          <rPr>
            <b/>
            <sz val="9"/>
            <color indexed="81"/>
            <rFont val="Tahoma"/>
            <family val="2"/>
          </rPr>
          <t>Jorge Arturo Espinoza:</t>
        </r>
        <r>
          <rPr>
            <sz val="9"/>
            <color indexed="81"/>
            <rFont val="Tahoma"/>
            <family val="2"/>
          </rPr>
          <t xml:space="preserve">
ASUMIDO</t>
        </r>
      </text>
    </comment>
    <comment ref="D4429" authorId="0" shapeId="0" xr:uid="{00000000-0006-0000-0100-000089030000}">
      <text>
        <r>
          <rPr>
            <b/>
            <sz val="9"/>
            <color indexed="81"/>
            <rFont val="Tahoma"/>
            <family val="2"/>
          </rPr>
          <t>Jorge Arturo Espinoza:</t>
        </r>
        <r>
          <rPr>
            <sz val="9"/>
            <color indexed="81"/>
            <rFont val="Tahoma"/>
            <family val="2"/>
          </rPr>
          <t xml:space="preserve">
ASUMIDO</t>
        </r>
      </text>
    </comment>
    <comment ref="C4430" authorId="0" shapeId="0" xr:uid="{00000000-0006-0000-0100-00008A030000}">
      <text>
        <r>
          <rPr>
            <b/>
            <sz val="9"/>
            <color indexed="81"/>
            <rFont val="Tahoma"/>
            <family val="2"/>
          </rPr>
          <t>Jorge Arturo Espinoza:</t>
        </r>
        <r>
          <rPr>
            <sz val="9"/>
            <color indexed="81"/>
            <rFont val="Tahoma"/>
            <family val="2"/>
          </rPr>
          <t xml:space="preserve">
CONFIRMADO POR JULIO SOTO</t>
        </r>
      </text>
    </comment>
    <comment ref="C4431" authorId="0" shapeId="0" xr:uid="{00000000-0006-0000-0100-00008B030000}">
      <text>
        <r>
          <rPr>
            <b/>
            <sz val="9"/>
            <color indexed="81"/>
            <rFont val="Tahoma"/>
            <family val="2"/>
          </rPr>
          <t>Jorge Arturo Espinoza:</t>
        </r>
        <r>
          <rPr>
            <sz val="9"/>
            <color indexed="81"/>
            <rFont val="Tahoma"/>
            <family val="2"/>
          </rPr>
          <t xml:space="preserve">
CONFIRMADO POR JULIO SOTO</t>
        </r>
      </text>
    </comment>
    <comment ref="C4432" authorId="0" shapeId="0" xr:uid="{00000000-0006-0000-0100-00008C030000}">
      <text>
        <r>
          <rPr>
            <b/>
            <sz val="9"/>
            <color indexed="81"/>
            <rFont val="Tahoma"/>
            <family val="2"/>
          </rPr>
          <t>Jorge Arturo Espinoza:</t>
        </r>
        <r>
          <rPr>
            <sz val="9"/>
            <color indexed="81"/>
            <rFont val="Tahoma"/>
            <family val="2"/>
          </rPr>
          <t xml:space="preserve">
CONFIRMADO POR JULIO SOTO</t>
        </r>
      </text>
    </comment>
    <comment ref="C4433" authorId="3" shapeId="0" xr:uid="{00000000-0006-0000-0100-00008D030000}">
      <text>
        <r>
          <rPr>
            <b/>
            <sz val="9"/>
            <color indexed="81"/>
            <rFont val="Tahoma"/>
            <family val="2"/>
          </rPr>
          <t>Paulo Olano:</t>
        </r>
        <r>
          <rPr>
            <sz val="9"/>
            <color indexed="81"/>
            <rFont val="Tahoma"/>
            <family val="2"/>
          </rPr>
          <t xml:space="preserve">
PRECIO POR JULIO SOTO
</t>
        </r>
      </text>
    </comment>
    <comment ref="C4434" authorId="3" shapeId="0" xr:uid="{00000000-0006-0000-0100-00008E030000}">
      <text>
        <r>
          <rPr>
            <b/>
            <sz val="9"/>
            <color indexed="81"/>
            <rFont val="Tahoma"/>
            <family val="2"/>
          </rPr>
          <t>Paulo Olano:</t>
        </r>
        <r>
          <rPr>
            <sz val="9"/>
            <color indexed="81"/>
            <rFont val="Tahoma"/>
            <family val="2"/>
          </rPr>
          <t xml:space="preserve">
PRECIO POR JULIO SOTO</t>
        </r>
      </text>
    </comment>
    <comment ref="D4438" authorId="0" shapeId="0" xr:uid="{00000000-0006-0000-0100-00008F030000}">
      <text>
        <r>
          <rPr>
            <b/>
            <sz val="9"/>
            <color indexed="81"/>
            <rFont val="Tahoma"/>
            <family val="2"/>
          </rPr>
          <t>Jorge Arturo Espinoza:</t>
        </r>
        <r>
          <rPr>
            <sz val="9"/>
            <color indexed="81"/>
            <rFont val="Tahoma"/>
            <family val="2"/>
          </rPr>
          <t xml:space="preserve">
era 25.
Reajuste por comparacion con ABB</t>
        </r>
      </text>
    </comment>
    <comment ref="D4445" authorId="3" shapeId="0" xr:uid="{00000000-0006-0000-0100-000090030000}">
      <text>
        <r>
          <rPr>
            <b/>
            <sz val="9"/>
            <color indexed="81"/>
            <rFont val="Tahoma"/>
            <family val="2"/>
          </rPr>
          <t>Paulo Olano:</t>
        </r>
        <r>
          <rPr>
            <sz val="9"/>
            <color indexed="81"/>
            <rFont val="Tahoma"/>
            <family val="2"/>
          </rPr>
          <t xml:space="preserve">
precio enero 2020 Marcial</t>
        </r>
      </text>
    </comment>
    <comment ref="D4446" authorId="3" shapeId="0" xr:uid="{00000000-0006-0000-0100-000091030000}">
      <text>
        <r>
          <rPr>
            <b/>
            <sz val="9"/>
            <color indexed="81"/>
            <rFont val="Tahoma"/>
            <family val="2"/>
          </rPr>
          <t>Paulo Olano:</t>
        </r>
        <r>
          <rPr>
            <sz val="9"/>
            <color indexed="81"/>
            <rFont val="Tahoma"/>
            <family val="2"/>
          </rPr>
          <t xml:space="preserve">
precio enero 2020 Marcial</t>
        </r>
      </text>
    </comment>
    <comment ref="D4474" authorId="0" shapeId="0" xr:uid="{00000000-0006-0000-0100-000092030000}">
      <text>
        <r>
          <rPr>
            <b/>
            <sz val="9"/>
            <color indexed="81"/>
            <rFont val="Tahoma"/>
            <family val="2"/>
          </rPr>
          <t>Jorge Arturo Espinoza:</t>
        </r>
        <r>
          <rPr>
            <sz val="9"/>
            <color indexed="81"/>
            <rFont val="Tahoma"/>
            <family val="2"/>
          </rPr>
          <t xml:space="preserve">
ERA 40</t>
        </r>
      </text>
    </comment>
    <comment ref="D4478" authorId="0" shapeId="0" xr:uid="{00000000-0006-0000-0100-000093030000}">
      <text>
        <r>
          <rPr>
            <b/>
            <sz val="9"/>
            <color indexed="81"/>
            <rFont val="Tahoma"/>
            <family val="2"/>
          </rPr>
          <t>Jorge Arturo Espinoza:</t>
        </r>
        <r>
          <rPr>
            <sz val="9"/>
            <color indexed="81"/>
            <rFont val="Tahoma"/>
            <family val="2"/>
          </rPr>
          <t xml:space="preserve">
ERA 60</t>
        </r>
      </text>
    </comment>
    <comment ref="D4479" authorId="0" shapeId="0" xr:uid="{00000000-0006-0000-0100-000094030000}">
      <text>
        <r>
          <rPr>
            <b/>
            <sz val="9"/>
            <color indexed="81"/>
            <rFont val="Tahoma"/>
            <family val="2"/>
          </rPr>
          <t>Jorge Arturo Espinoza:</t>
        </r>
        <r>
          <rPr>
            <sz val="9"/>
            <color indexed="81"/>
            <rFont val="Tahoma"/>
            <family val="2"/>
          </rPr>
          <t xml:space="preserve">
ERA 60</t>
        </r>
      </text>
    </comment>
    <comment ref="D4480" authorId="0" shapeId="0" xr:uid="{00000000-0006-0000-0100-000095030000}">
      <text>
        <r>
          <rPr>
            <b/>
            <sz val="9"/>
            <color indexed="81"/>
            <rFont val="Tahoma"/>
            <family val="2"/>
          </rPr>
          <t>Jorge Arturo Espinoza:</t>
        </r>
        <r>
          <rPr>
            <sz val="9"/>
            <color indexed="81"/>
            <rFont val="Tahoma"/>
            <family val="2"/>
          </rPr>
          <t xml:space="preserve">
ERA 60</t>
        </r>
      </text>
    </comment>
    <comment ref="D4482" authorId="0" shapeId="0" xr:uid="{00000000-0006-0000-0100-000096030000}">
      <text>
        <r>
          <rPr>
            <b/>
            <sz val="9"/>
            <color indexed="81"/>
            <rFont val="Tahoma"/>
            <family val="2"/>
          </rPr>
          <t>Jorge Arturo Espinoza:</t>
        </r>
        <r>
          <rPr>
            <sz val="9"/>
            <color indexed="81"/>
            <rFont val="Tahoma"/>
            <family val="2"/>
          </rPr>
          <t xml:space="preserve">
ERA 60</t>
        </r>
      </text>
    </comment>
    <comment ref="D4484" authorId="0" shapeId="0" xr:uid="{00000000-0006-0000-0100-000097030000}">
      <text>
        <r>
          <rPr>
            <b/>
            <sz val="9"/>
            <color indexed="81"/>
            <rFont val="Tahoma"/>
            <family val="2"/>
          </rPr>
          <t>Jorge Arturo Espinoza:</t>
        </r>
        <r>
          <rPr>
            <sz val="9"/>
            <color indexed="81"/>
            <rFont val="Tahoma"/>
            <family val="2"/>
          </rPr>
          <t xml:space="preserve">
ERA 50</t>
        </r>
      </text>
    </comment>
    <comment ref="D4485" authorId="0" shapeId="0" xr:uid="{00000000-0006-0000-0100-000098030000}">
      <text>
        <r>
          <rPr>
            <b/>
            <sz val="9"/>
            <color indexed="81"/>
            <rFont val="Tahoma"/>
            <family val="2"/>
          </rPr>
          <t>Jorge Arturo Espinoza:</t>
        </r>
        <r>
          <rPr>
            <sz val="9"/>
            <color indexed="81"/>
            <rFont val="Tahoma"/>
            <family val="2"/>
          </rPr>
          <t xml:space="preserve">
ERA 50</t>
        </r>
      </text>
    </comment>
    <comment ref="B4492" authorId="3" shapeId="0" xr:uid="{00000000-0006-0000-0100-000099030000}">
      <text>
        <r>
          <rPr>
            <b/>
            <sz val="9"/>
            <color indexed="81"/>
            <rFont val="Tahoma"/>
            <family val="2"/>
          </rPr>
          <t>Paulo Olano:</t>
        </r>
        <r>
          <rPr>
            <sz val="9"/>
            <color indexed="81"/>
            <rFont val="Tahoma"/>
            <family val="2"/>
          </rPr>
          <t xml:space="preserve">
considerando precio barra a tierra, con sus aisladores</t>
        </r>
      </text>
    </comment>
    <comment ref="F4511" authorId="0" shapeId="0" xr:uid="{00000000-0006-0000-0100-00009A030000}">
      <text>
        <r>
          <rPr>
            <b/>
            <sz val="9"/>
            <color indexed="81"/>
            <rFont val="Tahoma"/>
            <family val="2"/>
          </rPr>
          <t>Jorge Arturo Espinoza:</t>
        </r>
        <r>
          <rPr>
            <sz val="9"/>
            <color indexed="81"/>
            <rFont val="Tahoma"/>
            <family val="2"/>
          </rPr>
          <t xml:space="preserve">
ASUMIDO</t>
        </r>
      </text>
    </comment>
    <comment ref="F4562" authorId="0" shapeId="0" xr:uid="{00000000-0006-0000-0100-00009B030000}">
      <text>
        <r>
          <rPr>
            <b/>
            <sz val="9"/>
            <color indexed="81"/>
            <rFont val="Tahoma"/>
            <family val="2"/>
          </rPr>
          <t>Jorge Arturo Espinoza:</t>
        </r>
        <r>
          <rPr>
            <sz val="9"/>
            <color indexed="81"/>
            <rFont val="Tahoma"/>
            <family val="2"/>
          </rPr>
          <t xml:space="preserve">
costo minimo representativo, porque  el los ITM Riel-Din ya lo incluye como costo de instalacion.</t>
        </r>
      </text>
    </comment>
    <comment ref="F4563" authorId="0" shapeId="0" xr:uid="{00000000-0006-0000-0100-00009C030000}">
      <text>
        <r>
          <rPr>
            <b/>
            <sz val="9"/>
            <color indexed="81"/>
            <rFont val="Tahoma"/>
            <family val="2"/>
          </rPr>
          <t>Jorge Arturo Espinoza:</t>
        </r>
        <r>
          <rPr>
            <sz val="9"/>
            <color indexed="81"/>
            <rFont val="Tahoma"/>
            <family val="2"/>
          </rPr>
          <t xml:space="preserve">
costo minimo representativo, porque  el los ITM Riel-Din ya lo incluye como costo de instalacion.</t>
        </r>
      </text>
    </comment>
    <comment ref="C4564" authorId="0" shapeId="0" xr:uid="{00000000-0006-0000-0100-00009D030000}">
      <text>
        <r>
          <rPr>
            <b/>
            <sz val="9"/>
            <color indexed="81"/>
            <rFont val="Tahoma"/>
            <family val="2"/>
          </rPr>
          <t>Jorge Arturo Espinoza:</t>
        </r>
        <r>
          <rPr>
            <sz val="9"/>
            <color indexed="81"/>
            <rFont val="Tahoma"/>
            <family val="2"/>
          </rPr>
          <t xml:space="preserve">
70 SOLES EL METRO (48 polos)</t>
        </r>
      </text>
    </comment>
    <comment ref="C4565" authorId="0" shapeId="0" xr:uid="{00000000-0006-0000-0100-00009E030000}">
      <text>
        <r>
          <rPr>
            <b/>
            <sz val="9"/>
            <color indexed="81"/>
            <rFont val="Tahoma"/>
            <family val="2"/>
          </rPr>
          <t>Jorge Arturo Espinoza:</t>
        </r>
        <r>
          <rPr>
            <sz val="9"/>
            <color indexed="81"/>
            <rFont val="Tahoma"/>
            <family val="2"/>
          </rPr>
          <t xml:space="preserve">
70 SOLES EL METRO (48 polos)</t>
        </r>
      </text>
    </comment>
    <comment ref="C4566" authorId="0" shapeId="0" xr:uid="{00000000-0006-0000-0100-00009F030000}">
      <text>
        <r>
          <rPr>
            <b/>
            <sz val="9"/>
            <color indexed="81"/>
            <rFont val="Tahoma"/>
            <family val="2"/>
          </rPr>
          <t>Jorge Arturo Espinoza:</t>
        </r>
        <r>
          <rPr>
            <sz val="9"/>
            <color indexed="81"/>
            <rFont val="Tahoma"/>
            <family val="2"/>
          </rPr>
          <t xml:space="preserve">
70 SOLES EL METRO (48 polos)</t>
        </r>
      </text>
    </comment>
    <comment ref="C4567" authorId="0" shapeId="0" xr:uid="{00000000-0006-0000-0100-0000A0030000}">
      <text>
        <r>
          <rPr>
            <b/>
            <sz val="9"/>
            <color indexed="81"/>
            <rFont val="Tahoma"/>
            <family val="2"/>
          </rPr>
          <t>Jorge Arturo Espinoza:</t>
        </r>
        <r>
          <rPr>
            <sz val="9"/>
            <color indexed="81"/>
            <rFont val="Tahoma"/>
            <family val="2"/>
          </rPr>
          <t xml:space="preserve">
70 SOLES EL METRO (48 polos)</t>
        </r>
      </text>
    </comment>
    <comment ref="C4568" authorId="0" shapeId="0" xr:uid="{00000000-0006-0000-0100-0000A1030000}">
      <text>
        <r>
          <rPr>
            <b/>
            <sz val="9"/>
            <color indexed="81"/>
            <rFont val="Tahoma"/>
            <family val="2"/>
          </rPr>
          <t>Jorge Arturo Espinoza:</t>
        </r>
        <r>
          <rPr>
            <sz val="9"/>
            <color indexed="81"/>
            <rFont val="Tahoma"/>
            <family val="2"/>
          </rPr>
          <t xml:space="preserve">
70 SOLES EL METRO (48 polos)</t>
        </r>
      </text>
    </comment>
    <comment ref="C4569" authorId="0" shapeId="0" xr:uid="{00000000-0006-0000-0100-0000A2030000}">
      <text>
        <r>
          <rPr>
            <b/>
            <sz val="9"/>
            <color indexed="81"/>
            <rFont val="Tahoma"/>
            <family val="2"/>
          </rPr>
          <t>Jorge Arturo Espinoza:</t>
        </r>
        <r>
          <rPr>
            <sz val="9"/>
            <color indexed="81"/>
            <rFont val="Tahoma"/>
            <family val="2"/>
          </rPr>
          <t xml:space="preserve">
70 SOLES EL METRO (48 polos)</t>
        </r>
      </text>
    </comment>
    <comment ref="C4589" authorId="0" shapeId="0" xr:uid="{00000000-0006-0000-0100-0000A3030000}">
      <text>
        <r>
          <rPr>
            <b/>
            <sz val="9"/>
            <color indexed="81"/>
            <rFont val="Tahoma"/>
            <family val="2"/>
          </rPr>
          <t>Jorge Arturo Espinoza:</t>
        </r>
        <r>
          <rPr>
            <sz val="9"/>
            <color indexed="81"/>
            <rFont val="Tahoma"/>
            <family val="2"/>
          </rPr>
          <t xml:space="preserve">
No es precio de lista de TJ</t>
        </r>
      </text>
    </comment>
    <comment ref="D4592" authorId="3" shapeId="0" xr:uid="{00000000-0006-0000-0100-0000A4030000}">
      <text>
        <r>
          <rPr>
            <b/>
            <sz val="9"/>
            <color indexed="81"/>
            <rFont val="Tahoma"/>
            <family val="2"/>
          </rPr>
          <t>Paulo Olano:</t>
        </r>
        <r>
          <rPr>
            <sz val="9"/>
            <color indexed="81"/>
            <rFont val="Tahoma"/>
            <family val="2"/>
          </rPr>
          <t xml:space="preserve">
DANIEL LIRA JUNIO 2018</t>
        </r>
      </text>
    </comment>
    <comment ref="D4594" authorId="1" shapeId="0" xr:uid="{00000000-0006-0000-0100-0000A5030000}">
      <text>
        <r>
          <rPr>
            <b/>
            <sz val="9"/>
            <color indexed="81"/>
            <rFont val="Tahoma"/>
            <family val="2"/>
          </rPr>
          <t>Roberto Meza:</t>
        </r>
        <r>
          <rPr>
            <sz val="9"/>
            <color indexed="81"/>
            <rFont val="Tahoma"/>
            <family val="2"/>
          </rPr>
          <t xml:space="preserve">
Daniel Lira 10/2019</t>
        </r>
      </text>
    </comment>
    <comment ref="D4602" authorId="0" shapeId="0" xr:uid="{00000000-0006-0000-0100-0000A6030000}">
      <text>
        <r>
          <rPr>
            <b/>
            <sz val="9"/>
            <color indexed="81"/>
            <rFont val="Tahoma"/>
            <family val="2"/>
          </rPr>
          <t>Jorge Arturo Espinoza:</t>
        </r>
        <r>
          <rPr>
            <sz val="9"/>
            <color indexed="81"/>
            <rFont val="Tahoma"/>
            <family val="2"/>
          </rPr>
          <t xml:space="preserve">
Daniel : $ 960</t>
        </r>
      </text>
    </comment>
    <comment ref="D4604" authorId="0" shapeId="0" xr:uid="{00000000-0006-0000-0100-0000A7030000}">
      <text>
        <r>
          <rPr>
            <b/>
            <sz val="9"/>
            <color indexed="81"/>
            <rFont val="Tahoma"/>
            <family val="2"/>
          </rPr>
          <t>Rpsalyn Rincón</t>
        </r>
        <r>
          <rPr>
            <sz val="9"/>
            <color indexed="81"/>
            <rFont val="Tahoma"/>
            <family val="2"/>
          </rPr>
          <t xml:space="preserve">
precio dado por el Ing. Marcial 28/05/2019</t>
        </r>
      </text>
    </comment>
    <comment ref="D4607" authorId="0" shapeId="0" xr:uid="{00000000-0006-0000-0100-0000A8030000}">
      <text>
        <r>
          <rPr>
            <b/>
            <sz val="9"/>
            <color indexed="81"/>
            <rFont val="Tahoma"/>
            <family val="2"/>
          </rPr>
          <t>WH</t>
        </r>
        <r>
          <rPr>
            <sz val="9"/>
            <color indexed="81"/>
            <rFont val="Tahoma"/>
            <family val="2"/>
          </rPr>
          <t xml:space="preserve">
precio 05/12/2019</t>
        </r>
      </text>
    </comment>
    <comment ref="D4609" authorId="0" shapeId="0" xr:uid="{00000000-0006-0000-0100-0000A9030000}">
      <text>
        <r>
          <rPr>
            <b/>
            <sz val="9"/>
            <color indexed="81"/>
            <rFont val="Tahoma"/>
            <family val="2"/>
          </rPr>
          <t>Jorge Arturo Espinoza:</t>
        </r>
        <r>
          <rPr>
            <sz val="9"/>
            <color indexed="81"/>
            <rFont val="Tahoma"/>
            <family val="2"/>
          </rPr>
          <t xml:space="preserve">
Daniel : $ 960</t>
        </r>
      </text>
    </comment>
    <comment ref="D4610" authorId="0" shapeId="0" xr:uid="{00000000-0006-0000-0100-0000AA030000}">
      <text>
        <r>
          <rPr>
            <b/>
            <sz val="9"/>
            <color indexed="81"/>
            <rFont val="Tahoma"/>
            <family val="2"/>
          </rPr>
          <t>Jorge Arturo Espinoza:</t>
        </r>
        <r>
          <rPr>
            <sz val="9"/>
            <color indexed="81"/>
            <rFont val="Tahoma"/>
            <family val="2"/>
          </rPr>
          <t xml:space="preserve">
Daniel : $ 960</t>
        </r>
      </text>
    </comment>
    <comment ref="D4611" authorId="0" shapeId="0" xr:uid="{00000000-0006-0000-0100-0000AB030000}">
      <text>
        <r>
          <rPr>
            <b/>
            <sz val="9"/>
            <color indexed="81"/>
            <rFont val="Tahoma"/>
            <family val="2"/>
          </rPr>
          <t>Jorge Arturo Espinoza:</t>
        </r>
        <r>
          <rPr>
            <sz val="9"/>
            <color indexed="81"/>
            <rFont val="Tahoma"/>
            <family val="2"/>
          </rPr>
          <t xml:space="preserve">
Daniel : $ 960</t>
        </r>
      </text>
    </comment>
    <comment ref="D4622" authorId="3" shapeId="0" xr:uid="{00000000-0006-0000-0100-0000AC030000}">
      <text>
        <r>
          <rPr>
            <b/>
            <sz val="9"/>
            <color indexed="81"/>
            <rFont val="Tahoma"/>
            <family val="2"/>
          </rPr>
          <t>Paulo Olano:</t>
        </r>
        <r>
          <rPr>
            <sz val="9"/>
            <color indexed="81"/>
            <rFont val="Tahoma"/>
            <family val="2"/>
          </rPr>
          <t xml:space="preserve">
PRECIO POR DANIEL LIRA 13/07/17</t>
        </r>
      </text>
    </comment>
    <comment ref="D4623" authorId="3" shapeId="0" xr:uid="{00000000-0006-0000-0100-0000AD030000}">
      <text>
        <r>
          <rPr>
            <b/>
            <sz val="9"/>
            <color indexed="81"/>
            <rFont val="Tahoma"/>
            <family val="2"/>
          </rPr>
          <t>Paulo Olano:</t>
        </r>
        <r>
          <rPr>
            <sz val="9"/>
            <color indexed="81"/>
            <rFont val="Tahoma"/>
            <family val="2"/>
          </rPr>
          <t xml:space="preserve">
PRECIO POR DANIEL LIRA 13/07/17</t>
        </r>
      </text>
    </comment>
    <comment ref="D4625" authorId="1" shapeId="0" xr:uid="{00000000-0006-0000-0100-0000AE030000}">
      <text>
        <r>
          <rPr>
            <b/>
            <sz val="9"/>
            <color indexed="81"/>
            <rFont val="Tahoma"/>
            <family val="2"/>
          </rPr>
          <t>Roberto Meza:</t>
        </r>
        <r>
          <rPr>
            <sz val="9"/>
            <color indexed="81"/>
            <rFont val="Tahoma"/>
            <family val="2"/>
          </rPr>
          <t xml:space="preserve">
Daniel 7/2/18</t>
        </r>
      </text>
    </comment>
    <comment ref="D4626" authorId="1" shapeId="0" xr:uid="{00000000-0006-0000-0100-0000AF030000}">
      <text>
        <r>
          <rPr>
            <b/>
            <sz val="9"/>
            <color indexed="81"/>
            <rFont val="Tahoma"/>
            <family val="2"/>
          </rPr>
          <t>Roberto Meza:</t>
        </r>
        <r>
          <rPr>
            <sz val="9"/>
            <color indexed="81"/>
            <rFont val="Tahoma"/>
            <family val="2"/>
          </rPr>
          <t xml:space="preserve">
Daniel 7/2/18</t>
        </r>
      </text>
    </comment>
    <comment ref="D4628" authorId="3" shapeId="0" xr:uid="{00000000-0006-0000-0100-0000B0030000}">
      <text>
        <r>
          <rPr>
            <b/>
            <sz val="9"/>
            <color indexed="81"/>
            <rFont val="Tahoma"/>
            <family val="2"/>
          </rPr>
          <t>Paulo Olano:</t>
        </r>
        <r>
          <rPr>
            <sz val="9"/>
            <color indexed="81"/>
            <rFont val="Tahoma"/>
            <family val="2"/>
          </rPr>
          <t xml:space="preserve">
BASE DE DATOS ANTIGUA</t>
        </r>
      </text>
    </comment>
    <comment ref="D4716" authorId="0" shapeId="0" xr:uid="{00000000-0006-0000-0100-0000B1030000}">
      <text>
        <r>
          <rPr>
            <b/>
            <sz val="9"/>
            <color indexed="81"/>
            <rFont val="Tahoma"/>
            <family val="2"/>
          </rPr>
          <t>Jorge Arturo Espinoza:</t>
        </r>
        <r>
          <rPr>
            <sz val="9"/>
            <color indexed="81"/>
            <rFont val="Tahoma"/>
            <family val="2"/>
          </rPr>
          <t xml:space="preserve">
ESTIMACION POR MARCIAL</t>
        </r>
      </text>
    </comment>
    <comment ref="D4717" authorId="0" shapeId="0" xr:uid="{00000000-0006-0000-0100-0000B2030000}">
      <text>
        <r>
          <rPr>
            <b/>
            <sz val="9"/>
            <color indexed="81"/>
            <rFont val="Tahoma"/>
            <family val="2"/>
          </rPr>
          <t>Jorge Arturo Espinoza:</t>
        </r>
        <r>
          <rPr>
            <sz val="9"/>
            <color indexed="81"/>
            <rFont val="Tahoma"/>
            <family val="2"/>
          </rPr>
          <t xml:space="preserve">
ESTIMACION POR MARCIAL</t>
        </r>
      </text>
    </comment>
    <comment ref="D4718" authorId="0" shapeId="0" xr:uid="{00000000-0006-0000-0100-0000B3030000}">
      <text>
        <r>
          <rPr>
            <b/>
            <sz val="9"/>
            <color indexed="81"/>
            <rFont val="Tahoma"/>
            <family val="2"/>
          </rPr>
          <t>Jorge Arturo Espinoza:</t>
        </r>
        <r>
          <rPr>
            <sz val="9"/>
            <color indexed="81"/>
            <rFont val="Tahoma"/>
            <family val="2"/>
          </rPr>
          <t xml:space="preserve">
ESTIMACION POR MARCIAL</t>
        </r>
      </text>
    </comment>
    <comment ref="D4719" authorId="0" shapeId="0" xr:uid="{00000000-0006-0000-0100-0000B4030000}">
      <text>
        <r>
          <rPr>
            <b/>
            <sz val="9"/>
            <color indexed="81"/>
            <rFont val="Tahoma"/>
            <family val="2"/>
          </rPr>
          <t>Jorge Arturo Espinoza:</t>
        </r>
        <r>
          <rPr>
            <sz val="9"/>
            <color indexed="81"/>
            <rFont val="Tahoma"/>
            <family val="2"/>
          </rPr>
          <t xml:space="preserve">
ESTIMACION POR MARCIAL</t>
        </r>
      </text>
    </comment>
    <comment ref="D4720" authorId="0" shapeId="0" xr:uid="{00000000-0006-0000-0100-0000B5030000}">
      <text>
        <r>
          <rPr>
            <b/>
            <sz val="9"/>
            <color indexed="81"/>
            <rFont val="Tahoma"/>
            <family val="2"/>
          </rPr>
          <t>Jorge Arturo Espinoza:</t>
        </r>
        <r>
          <rPr>
            <sz val="9"/>
            <color indexed="81"/>
            <rFont val="Tahoma"/>
            <family val="2"/>
          </rPr>
          <t xml:space="preserve">
ESTIMACION POR MARCIAL</t>
        </r>
      </text>
    </comment>
    <comment ref="D4721" authorId="0" shapeId="0" xr:uid="{00000000-0006-0000-0100-0000B6030000}">
      <text>
        <r>
          <rPr>
            <b/>
            <sz val="9"/>
            <color indexed="81"/>
            <rFont val="Tahoma"/>
            <family val="2"/>
          </rPr>
          <t>Jorge Arturo Espinoza:</t>
        </r>
        <r>
          <rPr>
            <sz val="9"/>
            <color indexed="81"/>
            <rFont val="Tahoma"/>
            <family val="2"/>
          </rPr>
          <t xml:space="preserve">
ESTIMACION POR MARCIAL</t>
        </r>
      </text>
    </comment>
    <comment ref="D4722" authorId="0" shapeId="0" xr:uid="{00000000-0006-0000-0100-0000B7030000}">
      <text>
        <r>
          <rPr>
            <b/>
            <sz val="9"/>
            <color indexed="81"/>
            <rFont val="Tahoma"/>
            <family val="2"/>
          </rPr>
          <t>Jorge Arturo Espinoza:</t>
        </r>
        <r>
          <rPr>
            <sz val="9"/>
            <color indexed="81"/>
            <rFont val="Tahoma"/>
            <family val="2"/>
          </rPr>
          <t xml:space="preserve">
ESTIMACION POR MARCIAL</t>
        </r>
      </text>
    </comment>
    <comment ref="D4723" authorId="0" shapeId="0" xr:uid="{00000000-0006-0000-0100-0000B8030000}">
      <text>
        <r>
          <rPr>
            <b/>
            <sz val="9"/>
            <color indexed="81"/>
            <rFont val="Tahoma"/>
            <family val="2"/>
          </rPr>
          <t>Jorge Arturo Espinoza:</t>
        </r>
        <r>
          <rPr>
            <sz val="9"/>
            <color indexed="81"/>
            <rFont val="Tahoma"/>
            <family val="2"/>
          </rPr>
          <t xml:space="preserve">
ESTIMACION POR MARCIAL</t>
        </r>
      </text>
    </comment>
    <comment ref="D4750" authorId="0" shapeId="0" xr:uid="{00000000-0006-0000-0100-0000B9030000}">
      <text>
        <r>
          <rPr>
            <b/>
            <sz val="9"/>
            <color indexed="81"/>
            <rFont val="Tahoma"/>
            <family val="2"/>
          </rPr>
          <t>Jorge Arturo Espinoza:</t>
        </r>
        <r>
          <rPr>
            <sz val="9"/>
            <color indexed="81"/>
            <rFont val="Tahoma"/>
            <family val="2"/>
          </rPr>
          <t xml:space="preserve">
ASUMIDO</t>
        </r>
      </text>
    </comment>
    <comment ref="D4751" authorId="0" shapeId="0" xr:uid="{00000000-0006-0000-0100-0000BA030000}">
      <text>
        <r>
          <rPr>
            <b/>
            <sz val="9"/>
            <color indexed="81"/>
            <rFont val="Tahoma"/>
            <family val="2"/>
          </rPr>
          <t>Jorge Arturo Espinoza:</t>
        </r>
        <r>
          <rPr>
            <sz val="9"/>
            <color indexed="81"/>
            <rFont val="Tahoma"/>
            <family val="2"/>
          </rPr>
          <t xml:space="preserve">
ASUMIDO</t>
        </r>
      </text>
    </comment>
    <comment ref="D4752" authorId="0" shapeId="0" xr:uid="{00000000-0006-0000-0100-0000BB030000}">
      <text>
        <r>
          <rPr>
            <b/>
            <sz val="9"/>
            <color indexed="81"/>
            <rFont val="Tahoma"/>
            <family val="2"/>
          </rPr>
          <t>Jorge Arturo Espinoza:</t>
        </r>
        <r>
          <rPr>
            <sz val="9"/>
            <color indexed="81"/>
            <rFont val="Tahoma"/>
            <family val="2"/>
          </rPr>
          <t xml:space="preserve">
ASUMIDO</t>
        </r>
      </text>
    </comment>
    <comment ref="D4753" authorId="0" shapeId="0" xr:uid="{00000000-0006-0000-0100-0000BC030000}">
      <text>
        <r>
          <rPr>
            <b/>
            <sz val="9"/>
            <color indexed="81"/>
            <rFont val="Tahoma"/>
            <family val="2"/>
          </rPr>
          <t>Jorge Arturo Espinoza:</t>
        </r>
        <r>
          <rPr>
            <sz val="9"/>
            <color indexed="81"/>
            <rFont val="Tahoma"/>
            <family val="2"/>
          </rPr>
          <t xml:space="preserve">
ASUMIDO</t>
        </r>
      </text>
    </comment>
    <comment ref="D4754" authorId="0" shapeId="0" xr:uid="{00000000-0006-0000-0100-0000BD030000}">
      <text>
        <r>
          <rPr>
            <b/>
            <sz val="9"/>
            <color indexed="81"/>
            <rFont val="Tahoma"/>
            <family val="2"/>
          </rPr>
          <t>Jorge Arturo Espinoza:</t>
        </r>
        <r>
          <rPr>
            <sz val="9"/>
            <color indexed="81"/>
            <rFont val="Tahoma"/>
            <family val="2"/>
          </rPr>
          <t xml:space="preserve">
ASUMIDO</t>
        </r>
      </text>
    </comment>
    <comment ref="D4755" authorId="0" shapeId="0" xr:uid="{00000000-0006-0000-0100-0000BE030000}">
      <text>
        <r>
          <rPr>
            <b/>
            <sz val="9"/>
            <color indexed="81"/>
            <rFont val="Tahoma"/>
            <family val="2"/>
          </rPr>
          <t>Jorge Arturo Espinoza:</t>
        </r>
        <r>
          <rPr>
            <sz val="9"/>
            <color indexed="81"/>
            <rFont val="Tahoma"/>
            <family val="2"/>
          </rPr>
          <t xml:space="preserve">
ASUMIDO</t>
        </r>
      </text>
    </comment>
    <comment ref="D4756" authorId="0" shapeId="0" xr:uid="{00000000-0006-0000-0100-0000BF030000}">
      <text>
        <r>
          <rPr>
            <b/>
            <sz val="9"/>
            <color indexed="81"/>
            <rFont val="Tahoma"/>
            <family val="2"/>
          </rPr>
          <t>Jorge Arturo Espinoza:</t>
        </r>
        <r>
          <rPr>
            <sz val="9"/>
            <color indexed="81"/>
            <rFont val="Tahoma"/>
            <family val="2"/>
          </rPr>
          <t xml:space="preserve">
ASUMIDO</t>
        </r>
      </text>
    </comment>
    <comment ref="D4757" authorId="0" shapeId="0" xr:uid="{00000000-0006-0000-0100-0000C0030000}">
      <text>
        <r>
          <rPr>
            <b/>
            <sz val="9"/>
            <color indexed="81"/>
            <rFont val="Tahoma"/>
            <family val="2"/>
          </rPr>
          <t>Jorge Arturo Espinoza:</t>
        </r>
        <r>
          <rPr>
            <sz val="9"/>
            <color indexed="81"/>
            <rFont val="Tahoma"/>
            <family val="2"/>
          </rPr>
          <t xml:space="preserve">
ASUMIDO</t>
        </r>
      </text>
    </comment>
    <comment ref="D4766" authorId="0" shapeId="0" xr:uid="{00000000-0006-0000-0100-0000C1030000}">
      <text>
        <r>
          <rPr>
            <b/>
            <sz val="9"/>
            <color indexed="81"/>
            <rFont val="Tahoma"/>
            <family val="2"/>
          </rPr>
          <t>Jorge Arturo Espinoza:</t>
        </r>
        <r>
          <rPr>
            <sz val="9"/>
            <color indexed="81"/>
            <rFont val="Tahoma"/>
            <family val="2"/>
          </rPr>
          <t xml:space="preserve">
ASUMIDO</t>
        </r>
      </text>
    </comment>
    <comment ref="D4789" authorId="0" shapeId="0" xr:uid="{00000000-0006-0000-0100-0000C2030000}">
      <text>
        <r>
          <rPr>
            <b/>
            <sz val="9"/>
            <color indexed="81"/>
            <rFont val="Tahoma"/>
            <family val="2"/>
          </rPr>
          <t>Jorge Arturo Espinoza:</t>
        </r>
        <r>
          <rPr>
            <sz val="9"/>
            <color indexed="81"/>
            <rFont val="Tahoma"/>
            <family val="2"/>
          </rPr>
          <t xml:space="preserve">
ERA EL PRECIO DE 
2 ITM + ENCLAVAMIENTO</t>
        </r>
      </text>
    </comment>
    <comment ref="H4789" authorId="0" shapeId="0" xr:uid="{00000000-0006-0000-0100-0000C3030000}">
      <text>
        <r>
          <rPr>
            <b/>
            <sz val="9"/>
            <color indexed="81"/>
            <rFont val="Tahoma"/>
            <family val="2"/>
          </rPr>
          <t>Jorge Arturo Espinoza:</t>
        </r>
        <r>
          <rPr>
            <sz val="9"/>
            <color indexed="81"/>
            <rFont val="Tahoma"/>
            <family val="2"/>
          </rPr>
          <t xml:space="preserve">
FALTA CODIGO DE FABRICA</t>
        </r>
      </text>
    </comment>
    <comment ref="D4790" authorId="0" shapeId="0" xr:uid="{00000000-0006-0000-0100-0000C4030000}">
      <text>
        <r>
          <rPr>
            <b/>
            <sz val="9"/>
            <color indexed="81"/>
            <rFont val="Tahoma"/>
            <family val="2"/>
          </rPr>
          <t>Jorge Arturo Espinoza:</t>
        </r>
        <r>
          <rPr>
            <sz val="9"/>
            <color indexed="81"/>
            <rFont val="Tahoma"/>
            <family val="2"/>
          </rPr>
          <t xml:space="preserve">
ERA EL PRECIO DE 
2 ITM + ENCLAVAMIENTO</t>
        </r>
      </text>
    </comment>
    <comment ref="H4790" authorId="0" shapeId="0" xr:uid="{00000000-0006-0000-0100-0000C5030000}">
      <text>
        <r>
          <rPr>
            <b/>
            <sz val="9"/>
            <color indexed="81"/>
            <rFont val="Tahoma"/>
            <family val="2"/>
          </rPr>
          <t>Jorge Arturo Espinoza:</t>
        </r>
        <r>
          <rPr>
            <sz val="9"/>
            <color indexed="81"/>
            <rFont val="Tahoma"/>
            <family val="2"/>
          </rPr>
          <t xml:space="preserve">
FALTA CODIGO DE FABRICA</t>
        </r>
      </text>
    </comment>
    <comment ref="D4791" authorId="0" shapeId="0" xr:uid="{00000000-0006-0000-0100-0000C6030000}">
      <text>
        <r>
          <rPr>
            <b/>
            <sz val="9"/>
            <color indexed="81"/>
            <rFont val="Tahoma"/>
            <family val="2"/>
          </rPr>
          <t>Jorge Arturo Espinoza:</t>
        </r>
        <r>
          <rPr>
            <sz val="9"/>
            <color indexed="81"/>
            <rFont val="Tahoma"/>
            <family val="2"/>
          </rPr>
          <t xml:space="preserve">
ERA EL PRECIO DE 
2 ITM + ENCLAVAMIENTO</t>
        </r>
      </text>
    </comment>
    <comment ref="H4791" authorId="0" shapeId="0" xr:uid="{00000000-0006-0000-0100-0000C7030000}">
      <text>
        <r>
          <rPr>
            <b/>
            <sz val="9"/>
            <color indexed="81"/>
            <rFont val="Tahoma"/>
            <family val="2"/>
          </rPr>
          <t>Jorge Arturo Espinoza:</t>
        </r>
        <r>
          <rPr>
            <sz val="9"/>
            <color indexed="81"/>
            <rFont val="Tahoma"/>
            <family val="2"/>
          </rPr>
          <t xml:space="preserve">
FALTA CODIGO DE FABRICA</t>
        </r>
      </text>
    </comment>
    <comment ref="H4794" authorId="0" shapeId="0" xr:uid="{00000000-0006-0000-0100-0000C8030000}">
      <text>
        <r>
          <rPr>
            <b/>
            <sz val="9"/>
            <color indexed="81"/>
            <rFont val="Tahoma"/>
            <family val="2"/>
          </rPr>
          <t>Jorge Arturo Espinoza:</t>
        </r>
        <r>
          <rPr>
            <sz val="9"/>
            <color indexed="81"/>
            <rFont val="Tahoma"/>
            <family val="2"/>
          </rPr>
          <t xml:space="preserve">
FALTA CODIGO DE FABRICA</t>
        </r>
      </text>
    </comment>
    <comment ref="H4795" authorId="0" shapeId="0" xr:uid="{00000000-0006-0000-0100-0000C9030000}">
      <text>
        <r>
          <rPr>
            <b/>
            <sz val="9"/>
            <color indexed="81"/>
            <rFont val="Tahoma"/>
            <family val="2"/>
          </rPr>
          <t>Jorge Arturo Espinoza:</t>
        </r>
        <r>
          <rPr>
            <sz val="9"/>
            <color indexed="81"/>
            <rFont val="Tahoma"/>
            <family val="2"/>
          </rPr>
          <t xml:space="preserve">
FALTA CODIGO DE FABRICA</t>
        </r>
      </text>
    </comment>
    <comment ref="H4796" authorId="0" shapeId="0" xr:uid="{00000000-0006-0000-0100-0000CA030000}">
      <text>
        <r>
          <rPr>
            <b/>
            <sz val="9"/>
            <color indexed="81"/>
            <rFont val="Tahoma"/>
            <family val="2"/>
          </rPr>
          <t>Jorge Arturo Espinoza:</t>
        </r>
        <r>
          <rPr>
            <sz val="9"/>
            <color indexed="81"/>
            <rFont val="Tahoma"/>
            <family val="2"/>
          </rPr>
          <t xml:space="preserve">
FALTA CODIGO DE FABRICA</t>
        </r>
      </text>
    </comment>
    <comment ref="H4797" authorId="0" shapeId="0" xr:uid="{00000000-0006-0000-0100-0000CB030000}">
      <text>
        <r>
          <rPr>
            <b/>
            <sz val="9"/>
            <color indexed="81"/>
            <rFont val="Tahoma"/>
            <family val="2"/>
          </rPr>
          <t>Jorge Arturo Espinoza:</t>
        </r>
        <r>
          <rPr>
            <sz val="9"/>
            <color indexed="81"/>
            <rFont val="Tahoma"/>
            <family val="2"/>
          </rPr>
          <t xml:space="preserve">
FALTA CODIGO DE FABRICA</t>
        </r>
      </text>
    </comment>
    <comment ref="H4798" authorId="0" shapeId="0" xr:uid="{00000000-0006-0000-0100-0000CC030000}">
      <text>
        <r>
          <rPr>
            <b/>
            <sz val="9"/>
            <color indexed="81"/>
            <rFont val="Tahoma"/>
            <family val="2"/>
          </rPr>
          <t>Jorge Arturo Espinoza:</t>
        </r>
        <r>
          <rPr>
            <sz val="9"/>
            <color indexed="81"/>
            <rFont val="Tahoma"/>
            <family val="2"/>
          </rPr>
          <t xml:space="preserve">
FALTA CODIGO DE FABRICA</t>
        </r>
      </text>
    </comment>
    <comment ref="H4799" authorId="0" shapeId="0" xr:uid="{00000000-0006-0000-0100-0000CD030000}">
      <text>
        <r>
          <rPr>
            <b/>
            <sz val="9"/>
            <color indexed="81"/>
            <rFont val="Tahoma"/>
            <family val="2"/>
          </rPr>
          <t>Jorge Arturo Espinoza:</t>
        </r>
        <r>
          <rPr>
            <sz val="9"/>
            <color indexed="81"/>
            <rFont val="Tahoma"/>
            <family val="2"/>
          </rPr>
          <t xml:space="preserve">
FALTA CODIGO DE FABRICA</t>
        </r>
      </text>
    </comment>
    <comment ref="H4800" authorId="0" shapeId="0" xr:uid="{00000000-0006-0000-0100-0000CE030000}">
      <text>
        <r>
          <rPr>
            <b/>
            <sz val="9"/>
            <color indexed="81"/>
            <rFont val="Tahoma"/>
            <family val="2"/>
          </rPr>
          <t>Jorge Arturo Espinoza:</t>
        </r>
        <r>
          <rPr>
            <sz val="9"/>
            <color indexed="81"/>
            <rFont val="Tahoma"/>
            <family val="2"/>
          </rPr>
          <t xml:space="preserve">
FALTA CODIGO DE FABRICA</t>
        </r>
      </text>
    </comment>
    <comment ref="H4801" authorId="0" shapeId="0" xr:uid="{00000000-0006-0000-0100-0000CF030000}">
      <text>
        <r>
          <rPr>
            <b/>
            <sz val="9"/>
            <color indexed="81"/>
            <rFont val="Tahoma"/>
            <family val="2"/>
          </rPr>
          <t>Jorge Arturo Espinoza:</t>
        </r>
        <r>
          <rPr>
            <sz val="9"/>
            <color indexed="81"/>
            <rFont val="Tahoma"/>
            <family val="2"/>
          </rPr>
          <t xml:space="preserve">
FALTA CODIGO DE FABRICA</t>
        </r>
      </text>
    </comment>
    <comment ref="H4802" authorId="0" shapeId="0" xr:uid="{00000000-0006-0000-0100-0000D0030000}">
      <text>
        <r>
          <rPr>
            <b/>
            <sz val="9"/>
            <color indexed="81"/>
            <rFont val="Tahoma"/>
            <family val="2"/>
          </rPr>
          <t>Jorge Arturo Espinoza:</t>
        </r>
        <r>
          <rPr>
            <sz val="9"/>
            <color indexed="81"/>
            <rFont val="Tahoma"/>
            <family val="2"/>
          </rPr>
          <t xml:space="preserve">
FALTA CODIGO DE FABRICA</t>
        </r>
      </text>
    </comment>
    <comment ref="H4803" authorId="0" shapeId="0" xr:uid="{00000000-0006-0000-0100-0000D1030000}">
      <text>
        <r>
          <rPr>
            <b/>
            <sz val="9"/>
            <color indexed="81"/>
            <rFont val="Tahoma"/>
            <family val="2"/>
          </rPr>
          <t>Jorge Arturo Espinoza:</t>
        </r>
        <r>
          <rPr>
            <sz val="9"/>
            <color indexed="81"/>
            <rFont val="Tahoma"/>
            <family val="2"/>
          </rPr>
          <t xml:space="preserve">
FALTA CODIGO DE FABRICA</t>
        </r>
      </text>
    </comment>
    <comment ref="H4804" authorId="0" shapeId="0" xr:uid="{00000000-0006-0000-0100-0000D2030000}">
      <text>
        <r>
          <rPr>
            <b/>
            <sz val="9"/>
            <color indexed="81"/>
            <rFont val="Tahoma"/>
            <family val="2"/>
          </rPr>
          <t>Jorge Arturo Espinoza:</t>
        </r>
        <r>
          <rPr>
            <sz val="9"/>
            <color indexed="81"/>
            <rFont val="Tahoma"/>
            <family val="2"/>
          </rPr>
          <t xml:space="preserve">
FALTA CODIGO DE FABRICA</t>
        </r>
      </text>
    </comment>
    <comment ref="H4805" authorId="0" shapeId="0" xr:uid="{00000000-0006-0000-0100-0000D3030000}">
      <text>
        <r>
          <rPr>
            <b/>
            <sz val="9"/>
            <color indexed="81"/>
            <rFont val="Tahoma"/>
            <family val="2"/>
          </rPr>
          <t>Jorge Arturo Espinoza:</t>
        </r>
        <r>
          <rPr>
            <sz val="9"/>
            <color indexed="81"/>
            <rFont val="Tahoma"/>
            <family val="2"/>
          </rPr>
          <t xml:space="preserve">
FALTA CODIGO DE FABRICA</t>
        </r>
      </text>
    </comment>
    <comment ref="H4806" authorId="0" shapeId="0" xr:uid="{00000000-0006-0000-0100-0000D4030000}">
      <text>
        <r>
          <rPr>
            <b/>
            <sz val="9"/>
            <color indexed="81"/>
            <rFont val="Tahoma"/>
            <family val="2"/>
          </rPr>
          <t>Jorge Arturo Espinoza:</t>
        </r>
        <r>
          <rPr>
            <sz val="9"/>
            <color indexed="81"/>
            <rFont val="Tahoma"/>
            <family val="2"/>
          </rPr>
          <t xml:space="preserve">
FALTA CODIGO DE FABRICA</t>
        </r>
      </text>
    </comment>
    <comment ref="H4807" authorId="0" shapeId="0" xr:uid="{00000000-0006-0000-0100-0000D5030000}">
      <text>
        <r>
          <rPr>
            <b/>
            <sz val="9"/>
            <color indexed="81"/>
            <rFont val="Tahoma"/>
            <family val="2"/>
          </rPr>
          <t>Jorge Arturo Espinoza:</t>
        </r>
        <r>
          <rPr>
            <sz val="9"/>
            <color indexed="81"/>
            <rFont val="Tahoma"/>
            <family val="2"/>
          </rPr>
          <t xml:space="preserve">
FALTA CODIGO DE FABRICA</t>
        </r>
      </text>
    </comment>
    <comment ref="H4808" authorId="0" shapeId="0" xr:uid="{00000000-0006-0000-0100-0000D6030000}">
      <text>
        <r>
          <rPr>
            <b/>
            <sz val="9"/>
            <color indexed="81"/>
            <rFont val="Tahoma"/>
            <family val="2"/>
          </rPr>
          <t>Jorge Arturo Espinoza:</t>
        </r>
        <r>
          <rPr>
            <sz val="9"/>
            <color indexed="81"/>
            <rFont val="Tahoma"/>
            <family val="2"/>
          </rPr>
          <t xml:space="preserve">
FALTA CODIGO DE FABRICA</t>
        </r>
      </text>
    </comment>
    <comment ref="H4809" authorId="0" shapeId="0" xr:uid="{00000000-0006-0000-0100-0000D7030000}">
      <text>
        <r>
          <rPr>
            <b/>
            <sz val="9"/>
            <color indexed="81"/>
            <rFont val="Tahoma"/>
            <family val="2"/>
          </rPr>
          <t>Jorge Arturo Espinoza:</t>
        </r>
        <r>
          <rPr>
            <sz val="9"/>
            <color indexed="81"/>
            <rFont val="Tahoma"/>
            <family val="2"/>
          </rPr>
          <t xml:space="preserve">
FALTA CODIGO DE FABRICA</t>
        </r>
      </text>
    </comment>
    <comment ref="H4810" authorId="0" shapeId="0" xr:uid="{00000000-0006-0000-0100-0000D8030000}">
      <text>
        <r>
          <rPr>
            <b/>
            <sz val="9"/>
            <color indexed="81"/>
            <rFont val="Tahoma"/>
            <family val="2"/>
          </rPr>
          <t>Jorge Arturo Espinoza:</t>
        </r>
        <r>
          <rPr>
            <sz val="9"/>
            <color indexed="81"/>
            <rFont val="Tahoma"/>
            <family val="2"/>
          </rPr>
          <t xml:space="preserve">
FALTA CODIGO DE FABRICA</t>
        </r>
      </text>
    </comment>
    <comment ref="H4811" authorId="0" shapeId="0" xr:uid="{00000000-0006-0000-0100-0000D9030000}">
      <text>
        <r>
          <rPr>
            <b/>
            <sz val="9"/>
            <color indexed="81"/>
            <rFont val="Tahoma"/>
            <family val="2"/>
          </rPr>
          <t>Jorge Arturo Espinoza:</t>
        </r>
        <r>
          <rPr>
            <sz val="9"/>
            <color indexed="81"/>
            <rFont val="Tahoma"/>
            <family val="2"/>
          </rPr>
          <t xml:space="preserve">
FALTA CODIGO DE FABRICA</t>
        </r>
      </text>
    </comment>
    <comment ref="H4812" authorId="0" shapeId="0" xr:uid="{00000000-0006-0000-0100-0000DA030000}">
      <text>
        <r>
          <rPr>
            <b/>
            <sz val="9"/>
            <color indexed="81"/>
            <rFont val="Tahoma"/>
            <family val="2"/>
          </rPr>
          <t>Jorge Arturo Espinoza:</t>
        </r>
        <r>
          <rPr>
            <sz val="9"/>
            <color indexed="81"/>
            <rFont val="Tahoma"/>
            <family val="2"/>
          </rPr>
          <t xml:space="preserve">
FALTA CODIGO DE FABRICA</t>
        </r>
      </text>
    </comment>
    <comment ref="H4815" authorId="0" shapeId="0" xr:uid="{00000000-0006-0000-0100-0000DB030000}">
      <text>
        <r>
          <rPr>
            <b/>
            <sz val="9"/>
            <color indexed="81"/>
            <rFont val="Tahoma"/>
            <family val="2"/>
          </rPr>
          <t>Jorge Arturo Espinoza:</t>
        </r>
        <r>
          <rPr>
            <sz val="9"/>
            <color indexed="81"/>
            <rFont val="Tahoma"/>
            <family val="2"/>
          </rPr>
          <t xml:space="preserve">
FALTA CODIGO DE FABRICA</t>
        </r>
      </text>
    </comment>
    <comment ref="H4816" authorId="0" shapeId="0" xr:uid="{00000000-0006-0000-0100-0000DC030000}">
      <text>
        <r>
          <rPr>
            <b/>
            <sz val="9"/>
            <color indexed="81"/>
            <rFont val="Tahoma"/>
            <family val="2"/>
          </rPr>
          <t>Jorge Arturo Espinoza:</t>
        </r>
        <r>
          <rPr>
            <sz val="9"/>
            <color indexed="81"/>
            <rFont val="Tahoma"/>
            <family val="2"/>
          </rPr>
          <t xml:space="preserve">
FALTA CODIGO DE FABRICA</t>
        </r>
      </text>
    </comment>
    <comment ref="H4817" authorId="0" shapeId="0" xr:uid="{00000000-0006-0000-0100-0000DD030000}">
      <text>
        <r>
          <rPr>
            <b/>
            <sz val="9"/>
            <color indexed="81"/>
            <rFont val="Tahoma"/>
            <family val="2"/>
          </rPr>
          <t>Jorge Arturo Espinoza:</t>
        </r>
        <r>
          <rPr>
            <sz val="9"/>
            <color indexed="81"/>
            <rFont val="Tahoma"/>
            <family val="2"/>
          </rPr>
          <t xml:space="preserve">
FALTA CODIGO DE FABRICA</t>
        </r>
      </text>
    </comment>
    <comment ref="H4818" authorId="0" shapeId="0" xr:uid="{00000000-0006-0000-0100-0000DE030000}">
      <text>
        <r>
          <rPr>
            <b/>
            <sz val="9"/>
            <color indexed="81"/>
            <rFont val="Tahoma"/>
            <family val="2"/>
          </rPr>
          <t>Jorge Arturo Espinoza:</t>
        </r>
        <r>
          <rPr>
            <sz val="9"/>
            <color indexed="81"/>
            <rFont val="Tahoma"/>
            <family val="2"/>
          </rPr>
          <t xml:space="preserve">
FALTA CODIGO DE FABRICA</t>
        </r>
      </text>
    </comment>
    <comment ref="H4819" authorId="0" shapeId="0" xr:uid="{00000000-0006-0000-0100-0000DF030000}">
      <text>
        <r>
          <rPr>
            <b/>
            <sz val="9"/>
            <color indexed="81"/>
            <rFont val="Tahoma"/>
            <family val="2"/>
          </rPr>
          <t>Jorge Arturo Espinoza:</t>
        </r>
        <r>
          <rPr>
            <sz val="9"/>
            <color indexed="81"/>
            <rFont val="Tahoma"/>
            <family val="2"/>
          </rPr>
          <t xml:space="preserve">
FALTA CODIGO DE FABRICA</t>
        </r>
      </text>
    </comment>
    <comment ref="H4820" authorId="0" shapeId="0" xr:uid="{00000000-0006-0000-0100-0000E0030000}">
      <text>
        <r>
          <rPr>
            <b/>
            <sz val="9"/>
            <color indexed="81"/>
            <rFont val="Tahoma"/>
            <family val="2"/>
          </rPr>
          <t>Jorge Arturo Espinoza:</t>
        </r>
        <r>
          <rPr>
            <sz val="9"/>
            <color indexed="81"/>
            <rFont val="Tahoma"/>
            <family val="2"/>
          </rPr>
          <t xml:space="preserve">
FALTA CODIGO DE FABRICA</t>
        </r>
      </text>
    </comment>
    <comment ref="H4822" authorId="0" shapeId="0" xr:uid="{00000000-0006-0000-0100-0000E1030000}">
      <text>
        <r>
          <rPr>
            <b/>
            <sz val="9"/>
            <color indexed="81"/>
            <rFont val="Tahoma"/>
            <family val="2"/>
          </rPr>
          <t>Jorge Arturo Espinoza:</t>
        </r>
        <r>
          <rPr>
            <sz val="9"/>
            <color indexed="81"/>
            <rFont val="Tahoma"/>
            <family val="2"/>
          </rPr>
          <t xml:space="preserve">
FALTA CODIGO DE FABRICA</t>
        </r>
      </text>
    </comment>
    <comment ref="H4823" authorId="0" shapeId="0" xr:uid="{00000000-0006-0000-0100-0000E2030000}">
      <text>
        <r>
          <rPr>
            <b/>
            <sz val="9"/>
            <color indexed="81"/>
            <rFont val="Tahoma"/>
            <family val="2"/>
          </rPr>
          <t>Jorge Arturo Espinoza:</t>
        </r>
        <r>
          <rPr>
            <sz val="9"/>
            <color indexed="81"/>
            <rFont val="Tahoma"/>
            <family val="2"/>
          </rPr>
          <t xml:space="preserve">
FALTA CODIGO DE FABRICA</t>
        </r>
      </text>
    </comment>
    <comment ref="H4846" authorId="0" shapeId="0" xr:uid="{00000000-0006-0000-0100-0000E3030000}">
      <text>
        <r>
          <rPr>
            <b/>
            <sz val="9"/>
            <color indexed="81"/>
            <rFont val="Tahoma"/>
            <family val="2"/>
          </rPr>
          <t>Jorge Arturo Espinoza:</t>
        </r>
        <r>
          <rPr>
            <sz val="9"/>
            <color indexed="81"/>
            <rFont val="Tahoma"/>
            <family val="2"/>
          </rPr>
          <t xml:space="preserve">
FALTA CODIGO DE FABRICA</t>
        </r>
      </text>
    </comment>
    <comment ref="H4847" authorId="0" shapeId="0" xr:uid="{00000000-0006-0000-0100-0000E4030000}">
      <text>
        <r>
          <rPr>
            <b/>
            <sz val="9"/>
            <color indexed="81"/>
            <rFont val="Tahoma"/>
            <family val="2"/>
          </rPr>
          <t>Jorge Arturo Espinoza:</t>
        </r>
        <r>
          <rPr>
            <sz val="9"/>
            <color indexed="81"/>
            <rFont val="Tahoma"/>
            <family val="2"/>
          </rPr>
          <t xml:space="preserve">
FALTA CODIGO DE FABRICA</t>
        </r>
      </text>
    </comment>
    <comment ref="H4848" authorId="0" shapeId="0" xr:uid="{00000000-0006-0000-0100-0000E5030000}">
      <text>
        <r>
          <rPr>
            <b/>
            <sz val="9"/>
            <color indexed="81"/>
            <rFont val="Tahoma"/>
            <family val="2"/>
          </rPr>
          <t>Jorge Arturo Espinoza:</t>
        </r>
        <r>
          <rPr>
            <sz val="9"/>
            <color indexed="81"/>
            <rFont val="Tahoma"/>
            <family val="2"/>
          </rPr>
          <t xml:space="preserve">
FALTA CODIGO DE FABRICA</t>
        </r>
      </text>
    </comment>
    <comment ref="H4850" authorId="0" shapeId="0" xr:uid="{00000000-0006-0000-0100-0000E6030000}">
      <text>
        <r>
          <rPr>
            <b/>
            <sz val="9"/>
            <color indexed="81"/>
            <rFont val="Tahoma"/>
            <family val="2"/>
          </rPr>
          <t>Jorge Arturo Espinoza:</t>
        </r>
        <r>
          <rPr>
            <sz val="9"/>
            <color indexed="81"/>
            <rFont val="Tahoma"/>
            <family val="2"/>
          </rPr>
          <t xml:space="preserve">
FALTA CODIGO DE FABRICA</t>
        </r>
      </text>
    </comment>
    <comment ref="D4861" authorId="0" shapeId="0" xr:uid="{00000000-0006-0000-0100-0000E7030000}">
      <text>
        <r>
          <rPr>
            <b/>
            <sz val="9"/>
            <color indexed="81"/>
            <rFont val="Tahoma"/>
            <family val="2"/>
          </rPr>
          <t>Jorge Arturo Espinoza:</t>
        </r>
        <r>
          <rPr>
            <sz val="9"/>
            <color indexed="81"/>
            <rFont val="Tahoma"/>
            <family val="2"/>
          </rPr>
          <t xml:space="preserve">
ASUMIDO</t>
        </r>
      </text>
    </comment>
    <comment ref="H4861" authorId="0" shapeId="0" xr:uid="{00000000-0006-0000-0100-0000E8030000}">
      <text>
        <r>
          <rPr>
            <b/>
            <sz val="9"/>
            <color indexed="81"/>
            <rFont val="Tahoma"/>
            <family val="2"/>
          </rPr>
          <t>Jorge Arturo Espinoza:</t>
        </r>
        <r>
          <rPr>
            <sz val="9"/>
            <color indexed="81"/>
            <rFont val="Tahoma"/>
            <family val="2"/>
          </rPr>
          <t xml:space="preserve">
FALTA CODIGO DE FABRICA</t>
        </r>
      </text>
    </comment>
    <comment ref="D4862" authorId="0" shapeId="0" xr:uid="{00000000-0006-0000-0100-0000E9030000}">
      <text>
        <r>
          <rPr>
            <b/>
            <sz val="9"/>
            <color indexed="81"/>
            <rFont val="Tahoma"/>
            <family val="2"/>
          </rPr>
          <t>Jorge Arturo Espinoza:</t>
        </r>
        <r>
          <rPr>
            <sz val="9"/>
            <color indexed="81"/>
            <rFont val="Tahoma"/>
            <family val="2"/>
          </rPr>
          <t xml:space="preserve">
ASUMIDO</t>
        </r>
      </text>
    </comment>
    <comment ref="H4862" authorId="0" shapeId="0" xr:uid="{00000000-0006-0000-0100-0000EA030000}">
      <text>
        <r>
          <rPr>
            <b/>
            <sz val="9"/>
            <color indexed="81"/>
            <rFont val="Tahoma"/>
            <family val="2"/>
          </rPr>
          <t>Jorge Arturo Espinoza:</t>
        </r>
        <r>
          <rPr>
            <sz val="9"/>
            <color indexed="81"/>
            <rFont val="Tahoma"/>
            <family val="2"/>
          </rPr>
          <t xml:space="preserve">
FALTA CODIGO DE FABRICA</t>
        </r>
      </text>
    </comment>
    <comment ref="D4865" authorId="0" shapeId="0" xr:uid="{00000000-0006-0000-0100-0000EB030000}">
      <text>
        <r>
          <rPr>
            <b/>
            <sz val="9"/>
            <color indexed="81"/>
            <rFont val="Tahoma"/>
            <family val="2"/>
          </rPr>
          <t>Roberto Meza:</t>
        </r>
        <r>
          <rPr>
            <sz val="9"/>
            <color indexed="81"/>
            <rFont val="Tahoma"/>
            <family val="2"/>
          </rPr>
          <t xml:space="preserve">
ENVIADO POR MARCIAL
23/12/2019</t>
        </r>
      </text>
    </comment>
    <comment ref="H4865" authorId="0" shapeId="0" xr:uid="{00000000-0006-0000-0100-0000EC030000}">
      <text>
        <r>
          <rPr>
            <b/>
            <sz val="9"/>
            <color indexed="81"/>
            <rFont val="Tahoma"/>
            <family val="2"/>
          </rPr>
          <t>Jorge Arturo Espinoza:</t>
        </r>
        <r>
          <rPr>
            <sz val="9"/>
            <color indexed="81"/>
            <rFont val="Tahoma"/>
            <family val="2"/>
          </rPr>
          <t xml:space="preserve">
FALTA CODIGO DE FABRICA</t>
        </r>
      </text>
    </comment>
    <comment ref="D4867" authorId="0" shapeId="0" xr:uid="{00000000-0006-0000-0100-0000ED030000}">
      <text>
        <r>
          <rPr>
            <b/>
            <sz val="9"/>
            <color indexed="81"/>
            <rFont val="Tahoma"/>
            <family val="2"/>
          </rPr>
          <t>Jorge Arturo Espinoza:</t>
        </r>
        <r>
          <rPr>
            <sz val="9"/>
            <color indexed="81"/>
            <rFont val="Tahoma"/>
            <family val="2"/>
          </rPr>
          <t xml:space="preserve">
INCLUYE COSTO DE:
- CABLEADO
- CONFIGURACION
NO INCLUYE:
- ATC-300
- BARRAS
- TERMINALES
ATC-300:
1815: POR MARCIAL
2025: POR DANIEL</t>
        </r>
      </text>
    </comment>
    <comment ref="H4867" authorId="0" shapeId="0" xr:uid="{00000000-0006-0000-0100-0000EE030000}">
      <text>
        <r>
          <rPr>
            <b/>
            <sz val="9"/>
            <color indexed="81"/>
            <rFont val="Tahoma"/>
            <family val="2"/>
          </rPr>
          <t>Jorge Arturo Espinoza:</t>
        </r>
        <r>
          <rPr>
            <sz val="9"/>
            <color indexed="81"/>
            <rFont val="Tahoma"/>
            <family val="2"/>
          </rPr>
          <t xml:space="preserve">
FALTA CODIGO DE FABRICA</t>
        </r>
      </text>
    </comment>
    <comment ref="B4869" authorId="0" shapeId="0" xr:uid="{00000000-0006-0000-0100-0000EF030000}">
      <text>
        <r>
          <rPr>
            <b/>
            <sz val="9"/>
            <color indexed="81"/>
            <rFont val="Tahoma"/>
            <family val="2"/>
          </rPr>
          <t>Jorge Arturo Espinoza:</t>
        </r>
        <r>
          <rPr>
            <sz val="9"/>
            <color indexed="81"/>
            <rFont val="Tahoma"/>
            <family val="2"/>
          </rPr>
          <t xml:space="preserve">
APROXIMADO
</t>
        </r>
      </text>
    </comment>
    <comment ref="H4869" authorId="0" shapeId="0" xr:uid="{00000000-0006-0000-0100-0000F0030000}">
      <text>
        <r>
          <rPr>
            <b/>
            <sz val="9"/>
            <color indexed="81"/>
            <rFont val="Tahoma"/>
            <family val="2"/>
          </rPr>
          <t>Jorge Arturo Espinoza:</t>
        </r>
        <r>
          <rPr>
            <sz val="9"/>
            <color indexed="81"/>
            <rFont val="Tahoma"/>
            <family val="2"/>
          </rPr>
          <t xml:space="preserve">
FALTA CODIGO DE FABRICA</t>
        </r>
      </text>
    </comment>
    <comment ref="B4870" authorId="0" shapeId="0" xr:uid="{00000000-0006-0000-0100-0000F1030000}">
      <text>
        <r>
          <rPr>
            <b/>
            <sz val="9"/>
            <color indexed="81"/>
            <rFont val="Tahoma"/>
            <family val="2"/>
          </rPr>
          <t>Jorge Arturo Espinoza:</t>
        </r>
        <r>
          <rPr>
            <sz val="9"/>
            <color indexed="81"/>
            <rFont val="Tahoma"/>
            <family val="2"/>
          </rPr>
          <t xml:space="preserve">
APROXIMADO
</t>
        </r>
      </text>
    </comment>
    <comment ref="H4870" authorId="0" shapeId="0" xr:uid="{00000000-0006-0000-0100-0000F2030000}">
      <text>
        <r>
          <rPr>
            <b/>
            <sz val="9"/>
            <color indexed="81"/>
            <rFont val="Tahoma"/>
            <family val="2"/>
          </rPr>
          <t>Jorge Arturo Espinoza:</t>
        </r>
        <r>
          <rPr>
            <sz val="9"/>
            <color indexed="81"/>
            <rFont val="Tahoma"/>
            <family val="2"/>
          </rPr>
          <t xml:space="preserve">
FALTA CODIGO DE FABRICA</t>
        </r>
      </text>
    </comment>
    <comment ref="D4874" authorId="0" shapeId="0" xr:uid="{00000000-0006-0000-0100-0000F3030000}">
      <text>
        <r>
          <rPr>
            <b/>
            <sz val="9"/>
            <color indexed="81"/>
            <rFont val="Tahoma"/>
            <family val="2"/>
          </rPr>
          <t>Jorge Arturo Espinoza:</t>
        </r>
        <r>
          <rPr>
            <sz val="9"/>
            <color indexed="81"/>
            <rFont val="Tahoma"/>
            <family val="2"/>
          </rPr>
          <t xml:space="preserve">
ESTIMADO, FALTA CONFIRMAR</t>
        </r>
      </text>
    </comment>
    <comment ref="H4874" authorId="0" shapeId="0" xr:uid="{00000000-0006-0000-0100-0000F4030000}">
      <text>
        <r>
          <rPr>
            <b/>
            <sz val="9"/>
            <color indexed="81"/>
            <rFont val="Tahoma"/>
            <family val="2"/>
          </rPr>
          <t>Jorge Arturo Espinoza:</t>
        </r>
        <r>
          <rPr>
            <sz val="9"/>
            <color indexed="81"/>
            <rFont val="Tahoma"/>
            <family val="2"/>
          </rPr>
          <t xml:space="preserve">
FALTA CODIGO DE FABRICA</t>
        </r>
      </text>
    </comment>
    <comment ref="D4875" authorId="0" shapeId="0" xr:uid="{00000000-0006-0000-0100-0000F5030000}">
      <text>
        <r>
          <rPr>
            <b/>
            <sz val="9"/>
            <color indexed="81"/>
            <rFont val="Tahoma"/>
            <family val="2"/>
          </rPr>
          <t>Jorge Arturo Espinoza:</t>
        </r>
        <r>
          <rPr>
            <sz val="9"/>
            <color indexed="81"/>
            <rFont val="Tahoma"/>
            <family val="2"/>
          </rPr>
          <t xml:space="preserve">
ESTIMADO, FALTA CONFIRMAR</t>
        </r>
      </text>
    </comment>
    <comment ref="H4875" authorId="0" shapeId="0" xr:uid="{00000000-0006-0000-0100-0000F6030000}">
      <text>
        <r>
          <rPr>
            <b/>
            <sz val="9"/>
            <color indexed="81"/>
            <rFont val="Tahoma"/>
            <family val="2"/>
          </rPr>
          <t>Jorge Arturo Espinoza:</t>
        </r>
        <r>
          <rPr>
            <sz val="9"/>
            <color indexed="81"/>
            <rFont val="Tahoma"/>
            <family val="2"/>
          </rPr>
          <t xml:space="preserve">
FALTA CODIGO DE FABRICA</t>
        </r>
      </text>
    </comment>
    <comment ref="D4876" authorId="0" shapeId="0" xr:uid="{00000000-0006-0000-0100-0000F7030000}">
      <text>
        <r>
          <rPr>
            <b/>
            <sz val="9"/>
            <color indexed="81"/>
            <rFont val="Tahoma"/>
            <family val="2"/>
          </rPr>
          <t>Jorge Arturo Espinoza:</t>
        </r>
        <r>
          <rPr>
            <sz val="9"/>
            <color indexed="81"/>
            <rFont val="Tahoma"/>
            <family val="2"/>
          </rPr>
          <t xml:space="preserve">
ESTIMADO, FALTA CONFIRMAR</t>
        </r>
      </text>
    </comment>
    <comment ref="H4876" authorId="0" shapeId="0" xr:uid="{00000000-0006-0000-0100-0000F8030000}">
      <text>
        <r>
          <rPr>
            <b/>
            <sz val="9"/>
            <color indexed="81"/>
            <rFont val="Tahoma"/>
            <family val="2"/>
          </rPr>
          <t>Jorge Arturo Espinoza:</t>
        </r>
        <r>
          <rPr>
            <sz val="9"/>
            <color indexed="81"/>
            <rFont val="Tahoma"/>
            <family val="2"/>
          </rPr>
          <t xml:space="preserve">
FALTA CODIGO DE FABRICA</t>
        </r>
      </text>
    </comment>
    <comment ref="C4883" authorId="3" shapeId="0" xr:uid="{00000000-0006-0000-0100-0000F9030000}">
      <text>
        <r>
          <rPr>
            <b/>
            <sz val="9"/>
            <color indexed="81"/>
            <rFont val="Tahoma"/>
            <family val="2"/>
          </rPr>
          <t>Paulo Olano:</t>
        </r>
        <r>
          <rPr>
            <sz val="9"/>
            <color indexed="81"/>
            <rFont val="Tahoma"/>
            <family val="2"/>
          </rPr>
          <t xml:space="preserve">
Todos Mennekes
precio OCT-2019</t>
        </r>
      </text>
    </comment>
    <comment ref="C4918" authorId="1" shapeId="0" xr:uid="{00000000-0006-0000-0100-0000FA030000}">
      <text>
        <r>
          <rPr>
            <b/>
            <sz val="9"/>
            <color indexed="81"/>
            <rFont val="Tahoma"/>
            <family val="2"/>
          </rPr>
          <t>Roberto Meza:</t>
        </r>
        <r>
          <rPr>
            <sz val="9"/>
            <color indexed="81"/>
            <rFont val="Tahoma"/>
            <family val="2"/>
          </rPr>
          <t xml:space="preserve">
Julio Soto 04/01/20</t>
        </r>
      </text>
    </comment>
    <comment ref="C4934" authorId="0" shapeId="0" xr:uid="{00000000-0006-0000-0100-0000FB030000}">
      <text>
        <r>
          <rPr>
            <b/>
            <sz val="9"/>
            <color indexed="81"/>
            <rFont val="Tahoma"/>
            <family val="2"/>
          </rPr>
          <t>Jorge Arturo Espinoza:</t>
        </r>
        <r>
          <rPr>
            <sz val="9"/>
            <color indexed="81"/>
            <rFont val="Tahoma"/>
            <family val="2"/>
          </rPr>
          <t xml:space="preserve">
pendiente confirmar
REXEL PERU SAC</t>
        </r>
      </text>
    </comment>
    <comment ref="C4935" authorId="0" shapeId="0" xr:uid="{00000000-0006-0000-0100-0000FC030000}">
      <text>
        <r>
          <rPr>
            <b/>
            <sz val="9"/>
            <color indexed="81"/>
            <rFont val="Tahoma"/>
            <family val="2"/>
          </rPr>
          <t>Jorge Arturo Espinoza:</t>
        </r>
        <r>
          <rPr>
            <sz val="9"/>
            <color indexed="81"/>
            <rFont val="Tahoma"/>
            <family val="2"/>
          </rPr>
          <t xml:space="preserve">
pendiente confirmar
REXEL PERU SAC</t>
        </r>
      </text>
    </comment>
    <comment ref="C4962" authorId="0" shapeId="0" xr:uid="{00000000-0006-0000-0100-0000FD030000}">
      <text>
        <r>
          <rPr>
            <b/>
            <sz val="9"/>
            <color indexed="81"/>
            <rFont val="Tahoma"/>
            <family val="2"/>
          </rPr>
          <t>Jorge Arturo Espinoza:</t>
        </r>
        <r>
          <rPr>
            <sz val="9"/>
            <color indexed="81"/>
            <rFont val="Tahoma"/>
            <family val="2"/>
          </rPr>
          <t xml:space="preserve">
MEGA ELECTRO INDUSTRIAL</t>
        </r>
      </text>
    </comment>
    <comment ref="D4962" authorId="0" shapeId="0" xr:uid="{00000000-0006-0000-0100-0000FE030000}">
      <text>
        <r>
          <rPr>
            <b/>
            <sz val="9"/>
            <color indexed="81"/>
            <rFont val="Tahoma"/>
            <family val="2"/>
          </rPr>
          <t>Jorge Arturo Espinoza:</t>
        </r>
        <r>
          <rPr>
            <sz val="9"/>
            <color indexed="81"/>
            <rFont val="Tahoma"/>
            <family val="2"/>
          </rPr>
          <t xml:space="preserve">
FALTA CONFIRMAR EL DESCUENTO</t>
        </r>
      </text>
    </comment>
    <comment ref="C4963" authorId="0" shapeId="0" xr:uid="{00000000-0006-0000-0100-0000FF030000}">
      <text>
        <r>
          <rPr>
            <b/>
            <sz val="9"/>
            <color indexed="81"/>
            <rFont val="Tahoma"/>
            <family val="2"/>
          </rPr>
          <t>Jorge Arturo Espinoza:</t>
        </r>
        <r>
          <rPr>
            <sz val="9"/>
            <color indexed="81"/>
            <rFont val="Tahoma"/>
            <family val="2"/>
          </rPr>
          <t xml:space="preserve">
MEGA ELECTRO INDUSTRIAL</t>
        </r>
      </text>
    </comment>
    <comment ref="D4963" authorId="0" shapeId="0" xr:uid="{00000000-0006-0000-0100-000000040000}">
      <text>
        <r>
          <rPr>
            <b/>
            <sz val="9"/>
            <color indexed="81"/>
            <rFont val="Tahoma"/>
            <family val="2"/>
          </rPr>
          <t>Jorge Arturo Espinoza:</t>
        </r>
        <r>
          <rPr>
            <sz val="9"/>
            <color indexed="81"/>
            <rFont val="Tahoma"/>
            <family val="2"/>
          </rPr>
          <t xml:space="preserve">
FALTA CONFIRMAR EL DESCUENTO</t>
        </r>
      </text>
    </comment>
    <comment ref="C4968" authorId="0" shapeId="0" xr:uid="{00000000-0006-0000-0100-000001040000}">
      <text>
        <r>
          <rPr>
            <b/>
            <sz val="9"/>
            <color indexed="81"/>
            <rFont val="Tahoma"/>
            <family val="2"/>
          </rPr>
          <t>Jorge Arturo Espinoza:</t>
        </r>
        <r>
          <rPr>
            <sz val="9"/>
            <color indexed="81"/>
            <rFont val="Tahoma"/>
            <family val="2"/>
          </rPr>
          <t xml:space="preserve">
PRECIO DE GESCEL</t>
        </r>
      </text>
    </comment>
    <comment ref="D4968" authorId="0" shapeId="0" xr:uid="{00000000-0006-0000-0100-000002040000}">
      <text>
        <r>
          <rPr>
            <b/>
            <sz val="9"/>
            <color indexed="81"/>
            <rFont val="Tahoma"/>
            <family val="2"/>
          </rPr>
          <t>Jorge Arturo Espinoza:</t>
        </r>
        <r>
          <rPr>
            <sz val="9"/>
            <color indexed="81"/>
            <rFont val="Tahoma"/>
            <family val="2"/>
          </rPr>
          <t xml:space="preserve">
FALTA CONFIRMAR EL DESCUENTO</t>
        </r>
      </text>
    </comment>
    <comment ref="C4969" authorId="0" shapeId="0" xr:uid="{00000000-0006-0000-0100-000003040000}">
      <text>
        <r>
          <rPr>
            <b/>
            <sz val="9"/>
            <color indexed="81"/>
            <rFont val="Tahoma"/>
            <family val="2"/>
          </rPr>
          <t>Jorge Arturo Espinoza:</t>
        </r>
        <r>
          <rPr>
            <sz val="9"/>
            <color indexed="81"/>
            <rFont val="Tahoma"/>
            <family val="2"/>
          </rPr>
          <t xml:space="preserve">
PRECIO DE GESCEL</t>
        </r>
      </text>
    </comment>
    <comment ref="D4969" authorId="0" shapeId="0" xr:uid="{00000000-0006-0000-0100-000004040000}">
      <text>
        <r>
          <rPr>
            <b/>
            <sz val="9"/>
            <color indexed="81"/>
            <rFont val="Tahoma"/>
            <family val="2"/>
          </rPr>
          <t>Jorge Arturo Espinoza:</t>
        </r>
        <r>
          <rPr>
            <sz val="9"/>
            <color indexed="81"/>
            <rFont val="Tahoma"/>
            <family val="2"/>
          </rPr>
          <t xml:space="preserve">
FALTA CONFIRMAR EL DESCUENTO</t>
        </r>
      </text>
    </comment>
    <comment ref="C4970" authorId="0" shapeId="0" xr:uid="{00000000-0006-0000-0100-000005040000}">
      <text>
        <r>
          <rPr>
            <b/>
            <sz val="9"/>
            <color indexed="81"/>
            <rFont val="Tahoma"/>
            <family val="2"/>
          </rPr>
          <t>Jorge Arturo Espinoza:</t>
        </r>
        <r>
          <rPr>
            <sz val="9"/>
            <color indexed="81"/>
            <rFont val="Tahoma"/>
            <family val="2"/>
          </rPr>
          <t xml:space="preserve">
PRECIO DE GESCEL</t>
        </r>
      </text>
    </comment>
    <comment ref="D4970" authorId="0" shapeId="0" xr:uid="{00000000-0006-0000-0100-000006040000}">
      <text>
        <r>
          <rPr>
            <b/>
            <sz val="9"/>
            <color indexed="81"/>
            <rFont val="Tahoma"/>
            <family val="2"/>
          </rPr>
          <t>Jorge Arturo Espinoza:</t>
        </r>
        <r>
          <rPr>
            <sz val="9"/>
            <color indexed="81"/>
            <rFont val="Tahoma"/>
            <family val="2"/>
          </rPr>
          <t xml:space="preserve">
FALTA CONFIRMAR EL DESCUENTO</t>
        </r>
      </text>
    </comment>
    <comment ref="C4971" authorId="0" shapeId="0" xr:uid="{00000000-0006-0000-0100-000007040000}">
      <text>
        <r>
          <rPr>
            <b/>
            <sz val="9"/>
            <color indexed="81"/>
            <rFont val="Tahoma"/>
            <family val="2"/>
          </rPr>
          <t>Jorge Arturo Espinoza:</t>
        </r>
        <r>
          <rPr>
            <sz val="9"/>
            <color indexed="81"/>
            <rFont val="Tahoma"/>
            <family val="2"/>
          </rPr>
          <t xml:space="preserve">
PRECIO DE GESCEL</t>
        </r>
      </text>
    </comment>
    <comment ref="D4971" authorId="0" shapeId="0" xr:uid="{00000000-0006-0000-0100-000008040000}">
      <text>
        <r>
          <rPr>
            <b/>
            <sz val="9"/>
            <color indexed="81"/>
            <rFont val="Tahoma"/>
            <family val="2"/>
          </rPr>
          <t>Jorge Arturo Espinoza:</t>
        </r>
        <r>
          <rPr>
            <sz val="9"/>
            <color indexed="81"/>
            <rFont val="Tahoma"/>
            <family val="2"/>
          </rPr>
          <t xml:space="preserve">
FALTA CONFIRMAR EL DESCUENTO</t>
        </r>
      </text>
    </comment>
    <comment ref="C4972" authorId="0" shapeId="0" xr:uid="{00000000-0006-0000-0100-000009040000}">
      <text>
        <r>
          <rPr>
            <b/>
            <sz val="9"/>
            <color indexed="81"/>
            <rFont val="Tahoma"/>
            <family val="2"/>
          </rPr>
          <t>Jorge Arturo Espinoza:</t>
        </r>
        <r>
          <rPr>
            <sz val="9"/>
            <color indexed="81"/>
            <rFont val="Tahoma"/>
            <family val="2"/>
          </rPr>
          <t xml:space="preserve">
PRECIO DE GESCEL</t>
        </r>
      </text>
    </comment>
    <comment ref="D4972" authorId="0" shapeId="0" xr:uid="{00000000-0006-0000-0100-00000A040000}">
      <text>
        <r>
          <rPr>
            <b/>
            <sz val="9"/>
            <color indexed="81"/>
            <rFont val="Tahoma"/>
            <family val="2"/>
          </rPr>
          <t>Jorge Arturo Espinoza:</t>
        </r>
        <r>
          <rPr>
            <sz val="9"/>
            <color indexed="81"/>
            <rFont val="Tahoma"/>
            <family val="2"/>
          </rPr>
          <t xml:space="preserve">
FALTA CONFIRMAR EL DESCUENTO</t>
        </r>
      </text>
    </comment>
    <comment ref="C4973" authorId="0" shapeId="0" xr:uid="{00000000-0006-0000-0100-00000B040000}">
      <text>
        <r>
          <rPr>
            <b/>
            <sz val="9"/>
            <color indexed="81"/>
            <rFont val="Tahoma"/>
            <family val="2"/>
          </rPr>
          <t>Jorge Arturo Espinoza:</t>
        </r>
        <r>
          <rPr>
            <sz val="9"/>
            <color indexed="81"/>
            <rFont val="Tahoma"/>
            <family val="2"/>
          </rPr>
          <t xml:space="preserve">
PRECIO DE GESCEL</t>
        </r>
      </text>
    </comment>
    <comment ref="D4973" authorId="0" shapeId="0" xr:uid="{00000000-0006-0000-0100-00000C040000}">
      <text>
        <r>
          <rPr>
            <b/>
            <sz val="9"/>
            <color indexed="81"/>
            <rFont val="Tahoma"/>
            <family val="2"/>
          </rPr>
          <t>Jorge Arturo Espinoza:</t>
        </r>
        <r>
          <rPr>
            <sz val="9"/>
            <color indexed="81"/>
            <rFont val="Tahoma"/>
            <family val="2"/>
          </rPr>
          <t xml:space="preserve">
FALTA CONFIRMAR EL DESCUENTO</t>
        </r>
      </text>
    </comment>
    <comment ref="C4974" authorId="0" shapeId="0" xr:uid="{00000000-0006-0000-0100-00000D040000}">
      <text>
        <r>
          <rPr>
            <b/>
            <sz val="9"/>
            <color indexed="81"/>
            <rFont val="Tahoma"/>
            <family val="2"/>
          </rPr>
          <t>Jorge Arturo Espinoza:</t>
        </r>
        <r>
          <rPr>
            <sz val="9"/>
            <color indexed="81"/>
            <rFont val="Tahoma"/>
            <family val="2"/>
          </rPr>
          <t xml:space="preserve">
PRECIO DE GESCEL</t>
        </r>
      </text>
    </comment>
    <comment ref="D4974" authorId="0" shapeId="0" xr:uid="{00000000-0006-0000-0100-00000E040000}">
      <text>
        <r>
          <rPr>
            <b/>
            <sz val="9"/>
            <color indexed="81"/>
            <rFont val="Tahoma"/>
            <family val="2"/>
          </rPr>
          <t>Jorge Arturo Espinoza:</t>
        </r>
        <r>
          <rPr>
            <sz val="9"/>
            <color indexed="81"/>
            <rFont val="Tahoma"/>
            <family val="2"/>
          </rPr>
          <t xml:space="preserve">
FALTA CONFIRMAR EL DESCUENTO</t>
        </r>
      </text>
    </comment>
    <comment ref="C4975" authorId="0" shapeId="0" xr:uid="{00000000-0006-0000-0100-00000F040000}">
      <text>
        <r>
          <rPr>
            <b/>
            <sz val="9"/>
            <color indexed="81"/>
            <rFont val="Tahoma"/>
            <family val="2"/>
          </rPr>
          <t>Jorge Arturo Espinoza:</t>
        </r>
        <r>
          <rPr>
            <sz val="9"/>
            <color indexed="81"/>
            <rFont val="Tahoma"/>
            <family val="2"/>
          </rPr>
          <t xml:space="preserve">
PRECIO DE GESCEL</t>
        </r>
      </text>
    </comment>
    <comment ref="D4975" authorId="0" shapeId="0" xr:uid="{00000000-0006-0000-0100-000010040000}">
      <text>
        <r>
          <rPr>
            <b/>
            <sz val="9"/>
            <color indexed="81"/>
            <rFont val="Tahoma"/>
            <family val="2"/>
          </rPr>
          <t>Jorge Arturo Espinoza:</t>
        </r>
        <r>
          <rPr>
            <sz val="9"/>
            <color indexed="81"/>
            <rFont val="Tahoma"/>
            <family val="2"/>
          </rPr>
          <t xml:space="preserve">
FALTA CONFIRMAR EL DESCUENTO</t>
        </r>
      </text>
    </comment>
    <comment ref="C4976" authorId="0" shapeId="0" xr:uid="{00000000-0006-0000-0100-000011040000}">
      <text>
        <r>
          <rPr>
            <b/>
            <sz val="9"/>
            <color indexed="81"/>
            <rFont val="Tahoma"/>
            <family val="2"/>
          </rPr>
          <t>Jorge Arturo Espinoza:</t>
        </r>
        <r>
          <rPr>
            <sz val="9"/>
            <color indexed="81"/>
            <rFont val="Tahoma"/>
            <family val="2"/>
          </rPr>
          <t xml:space="preserve">
PRECIO DE GESCEL</t>
        </r>
      </text>
    </comment>
    <comment ref="D4976" authorId="0" shapeId="0" xr:uid="{00000000-0006-0000-0100-000012040000}">
      <text>
        <r>
          <rPr>
            <b/>
            <sz val="9"/>
            <color indexed="81"/>
            <rFont val="Tahoma"/>
            <family val="2"/>
          </rPr>
          <t>Jorge Arturo Espinoza:</t>
        </r>
        <r>
          <rPr>
            <sz val="9"/>
            <color indexed="81"/>
            <rFont val="Tahoma"/>
            <family val="2"/>
          </rPr>
          <t xml:space="preserve">
FALTA CONFIRMAR EL DESCUENTO</t>
        </r>
      </text>
    </comment>
    <comment ref="C4977" authorId="0" shapeId="0" xr:uid="{00000000-0006-0000-0100-000013040000}">
      <text>
        <r>
          <rPr>
            <b/>
            <sz val="9"/>
            <color indexed="81"/>
            <rFont val="Tahoma"/>
            <family val="2"/>
          </rPr>
          <t>Jorge Arturo Espinoza:</t>
        </r>
        <r>
          <rPr>
            <sz val="9"/>
            <color indexed="81"/>
            <rFont val="Tahoma"/>
            <family val="2"/>
          </rPr>
          <t xml:space="preserve">
PRECIO DE GESCEL</t>
        </r>
      </text>
    </comment>
    <comment ref="D4977" authorId="0" shapeId="0" xr:uid="{00000000-0006-0000-0100-000014040000}">
      <text>
        <r>
          <rPr>
            <b/>
            <sz val="9"/>
            <color indexed="81"/>
            <rFont val="Tahoma"/>
            <family val="2"/>
          </rPr>
          <t>Jorge Arturo Espinoza:</t>
        </r>
        <r>
          <rPr>
            <sz val="9"/>
            <color indexed="81"/>
            <rFont val="Tahoma"/>
            <family val="2"/>
          </rPr>
          <t xml:space="preserve">
FALTA CONFIRMAR EL DESCUENTO</t>
        </r>
      </text>
    </comment>
    <comment ref="D4978" authorId="0" shapeId="0" xr:uid="{00000000-0006-0000-0100-000015040000}">
      <text>
        <r>
          <rPr>
            <b/>
            <sz val="9"/>
            <color indexed="81"/>
            <rFont val="Tahoma"/>
            <family val="2"/>
          </rPr>
          <t>Jorge Arturo Espinoza:</t>
        </r>
        <r>
          <rPr>
            <sz val="9"/>
            <color indexed="81"/>
            <rFont val="Tahoma"/>
            <family val="2"/>
          </rPr>
          <t xml:space="preserve">
FALTA CONFIRMAR EL DESCUENTO</t>
        </r>
      </text>
    </comment>
    <comment ref="C4982" authorId="0" shapeId="0" xr:uid="{00000000-0006-0000-0100-000016040000}">
      <text>
        <r>
          <rPr>
            <b/>
            <sz val="9"/>
            <color indexed="81"/>
            <rFont val="Tahoma"/>
            <family val="2"/>
          </rPr>
          <t>Jorge Arturo Espinoza:</t>
        </r>
        <r>
          <rPr>
            <sz val="9"/>
            <color indexed="81"/>
            <rFont val="Tahoma"/>
            <family val="2"/>
          </rPr>
          <t xml:space="preserve">
PRECIO DE GESCEL</t>
        </r>
      </text>
    </comment>
    <comment ref="D4982" authorId="0" shapeId="0" xr:uid="{00000000-0006-0000-0100-000017040000}">
      <text>
        <r>
          <rPr>
            <b/>
            <sz val="9"/>
            <color indexed="81"/>
            <rFont val="Tahoma"/>
            <family val="2"/>
          </rPr>
          <t>Jorge Arturo Espinoza:</t>
        </r>
        <r>
          <rPr>
            <sz val="9"/>
            <color indexed="81"/>
            <rFont val="Tahoma"/>
            <family val="2"/>
          </rPr>
          <t xml:space="preserve">
FALTA CONFIRMAR EL DESCUENTO</t>
        </r>
      </text>
    </comment>
    <comment ref="C4983" authorId="0" shapeId="0" xr:uid="{00000000-0006-0000-0100-000018040000}">
      <text>
        <r>
          <rPr>
            <b/>
            <sz val="9"/>
            <color indexed="81"/>
            <rFont val="Tahoma"/>
            <family val="2"/>
          </rPr>
          <t>Jorge Arturo Espinoza:</t>
        </r>
        <r>
          <rPr>
            <sz val="9"/>
            <color indexed="81"/>
            <rFont val="Tahoma"/>
            <family val="2"/>
          </rPr>
          <t xml:space="preserve">
PRECIO DE GESCEL</t>
        </r>
      </text>
    </comment>
    <comment ref="D4983" authorId="0" shapeId="0" xr:uid="{00000000-0006-0000-0100-000019040000}">
      <text>
        <r>
          <rPr>
            <b/>
            <sz val="9"/>
            <color indexed="81"/>
            <rFont val="Tahoma"/>
            <family val="2"/>
          </rPr>
          <t>Jorge Arturo Espinoza:</t>
        </r>
        <r>
          <rPr>
            <sz val="9"/>
            <color indexed="81"/>
            <rFont val="Tahoma"/>
            <family val="2"/>
          </rPr>
          <t xml:space="preserve">
FALTA CONFIRMAR EL DESCUENTO</t>
        </r>
      </text>
    </comment>
    <comment ref="D4985" authorId="0" shapeId="0" xr:uid="{00000000-0006-0000-0100-00001A040000}">
      <text>
        <r>
          <rPr>
            <b/>
            <sz val="9"/>
            <color indexed="81"/>
            <rFont val="Tahoma"/>
            <family val="2"/>
          </rPr>
          <t>Jorge Arturo Espinoza:</t>
        </r>
        <r>
          <rPr>
            <sz val="9"/>
            <color indexed="81"/>
            <rFont val="Tahoma"/>
            <family val="2"/>
          </rPr>
          <t xml:space="preserve">
FALTA CONFIRMAR EL DESCUENTO</t>
        </r>
      </text>
    </comment>
    <comment ref="D4986" authorId="0" shapeId="0" xr:uid="{00000000-0006-0000-0100-00001B040000}">
      <text>
        <r>
          <rPr>
            <b/>
            <sz val="9"/>
            <color indexed="81"/>
            <rFont val="Tahoma"/>
            <family val="2"/>
          </rPr>
          <t>Jorge Arturo Espinoza:</t>
        </r>
        <r>
          <rPr>
            <sz val="9"/>
            <color indexed="81"/>
            <rFont val="Tahoma"/>
            <family val="2"/>
          </rPr>
          <t xml:space="preserve">
FALTA CONFIRMAR EL DESCUENTO</t>
        </r>
      </text>
    </comment>
    <comment ref="B4989" authorId="3" shapeId="0" xr:uid="{00000000-0006-0000-0100-00001C040000}">
      <text>
        <r>
          <rPr>
            <b/>
            <sz val="9"/>
            <color indexed="81"/>
            <rFont val="Tahoma"/>
            <family val="2"/>
          </rPr>
          <t>Paulo Olano:</t>
        </r>
        <r>
          <rPr>
            <sz val="9"/>
            <color indexed="81"/>
            <rFont val="Tahoma"/>
            <family val="2"/>
          </rPr>
          <t xml:space="preserve">
PRECIOS AGOSTO 2019</t>
        </r>
      </text>
    </comment>
    <comment ref="D5044" authorId="0" shapeId="0" xr:uid="{00000000-0006-0000-0100-00001D040000}">
      <text>
        <r>
          <rPr>
            <b/>
            <sz val="9"/>
            <color indexed="81"/>
            <rFont val="Tahoma"/>
            <family val="2"/>
          </rPr>
          <t>Jorge Arturo Espinoza:</t>
        </r>
        <r>
          <rPr>
            <sz val="9"/>
            <color indexed="81"/>
            <rFont val="Tahoma"/>
            <family val="2"/>
          </rPr>
          <t xml:space="preserve">
FALTA CONFIRMAR EL DESCUENTO</t>
        </r>
      </text>
    </comment>
    <comment ref="D5045" authorId="0" shapeId="0" xr:uid="{00000000-0006-0000-0100-00001E040000}">
      <text>
        <r>
          <rPr>
            <b/>
            <sz val="9"/>
            <color indexed="81"/>
            <rFont val="Tahoma"/>
            <family val="2"/>
          </rPr>
          <t>Jorge Arturo Espinoza:</t>
        </r>
        <r>
          <rPr>
            <sz val="9"/>
            <color indexed="81"/>
            <rFont val="Tahoma"/>
            <family val="2"/>
          </rPr>
          <t xml:space="preserve">
FALTA CONFIRMAR EL DESCUENTO</t>
        </r>
      </text>
    </comment>
    <comment ref="D5046" authorId="0" shapeId="0" xr:uid="{00000000-0006-0000-0100-00001F040000}">
      <text>
        <r>
          <rPr>
            <b/>
            <sz val="9"/>
            <color indexed="81"/>
            <rFont val="Tahoma"/>
            <family val="2"/>
          </rPr>
          <t>Jorge Arturo Espinoza:</t>
        </r>
        <r>
          <rPr>
            <sz val="9"/>
            <color indexed="81"/>
            <rFont val="Tahoma"/>
            <family val="2"/>
          </rPr>
          <t xml:space="preserve">
FALTA CONFIRMAR EL DESCUENTO</t>
        </r>
      </text>
    </comment>
    <comment ref="D5047" authorId="0" shapeId="0" xr:uid="{00000000-0006-0000-0100-000020040000}">
      <text>
        <r>
          <rPr>
            <b/>
            <sz val="9"/>
            <color indexed="81"/>
            <rFont val="Tahoma"/>
            <family val="2"/>
          </rPr>
          <t>Jorge Arturo Espinoza:</t>
        </r>
        <r>
          <rPr>
            <sz val="9"/>
            <color indexed="81"/>
            <rFont val="Tahoma"/>
            <family val="2"/>
          </rPr>
          <t xml:space="preserve">
FALTA CONFIRMAR EL DESCUENTO</t>
        </r>
      </text>
    </comment>
    <comment ref="C5083" authorId="1" shapeId="0" xr:uid="{00000000-0006-0000-0100-000021040000}">
      <text>
        <r>
          <rPr>
            <b/>
            <sz val="9"/>
            <color indexed="81"/>
            <rFont val="Tahoma"/>
            <family val="2"/>
          </rPr>
          <t>Roberto Meza:</t>
        </r>
        <r>
          <rPr>
            <sz val="9"/>
            <color indexed="81"/>
            <rFont val="Tahoma"/>
            <family val="2"/>
          </rPr>
          <t xml:space="preserve">
Precio asumido</t>
        </r>
      </text>
    </comment>
    <comment ref="D5100" authorId="0" shapeId="0" xr:uid="{00000000-0006-0000-0100-000022040000}">
      <text>
        <r>
          <rPr>
            <b/>
            <sz val="9"/>
            <color indexed="81"/>
            <rFont val="Tahoma"/>
            <family val="2"/>
          </rPr>
          <t>Jorge Arturo Espinoza:</t>
        </r>
        <r>
          <rPr>
            <sz val="9"/>
            <color indexed="81"/>
            <rFont val="Tahoma"/>
            <family val="2"/>
          </rPr>
          <t xml:space="preserve">
FALTA CONFIRMAR EL DESCUENTO</t>
        </r>
      </text>
    </comment>
    <comment ref="D5101" authorId="0" shapeId="0" xr:uid="{00000000-0006-0000-0100-000023040000}">
      <text>
        <r>
          <rPr>
            <b/>
            <sz val="9"/>
            <color indexed="81"/>
            <rFont val="Tahoma"/>
            <family val="2"/>
          </rPr>
          <t>Jorge Arturo Espinoza:</t>
        </r>
        <r>
          <rPr>
            <sz val="9"/>
            <color indexed="81"/>
            <rFont val="Tahoma"/>
            <family val="2"/>
          </rPr>
          <t xml:space="preserve">
FALTA CONFIRMAR EL DESCUENTO</t>
        </r>
      </text>
    </comment>
    <comment ref="B5102" authorId="4" shapeId="0" xr:uid="{00000000-0006-0000-0100-000024040000}">
      <text>
        <r>
          <rPr>
            <b/>
            <sz val="9"/>
            <color indexed="81"/>
            <rFont val="Tahoma"/>
            <family val="2"/>
          </rPr>
          <t>Jean Inga:</t>
        </r>
        <r>
          <rPr>
            <sz val="9"/>
            <color indexed="81"/>
            <rFont val="Tahoma"/>
            <family val="2"/>
          </rPr>
          <t xml:space="preserve">
06-12-19</t>
        </r>
      </text>
    </comment>
    <comment ref="D5103" authorId="0" shapeId="0" xr:uid="{00000000-0006-0000-0100-000025040000}">
      <text>
        <r>
          <rPr>
            <b/>
            <sz val="9"/>
            <color indexed="81"/>
            <rFont val="Tahoma"/>
            <family val="2"/>
          </rPr>
          <t>Jorge Arturo Espinoza:</t>
        </r>
        <r>
          <rPr>
            <sz val="9"/>
            <color indexed="81"/>
            <rFont val="Tahoma"/>
            <family val="2"/>
          </rPr>
          <t xml:space="preserve">
FALTA CONFIRMAR EL DESCUENTO</t>
        </r>
      </text>
    </comment>
    <comment ref="C5118" authorId="0" shapeId="0" xr:uid="{00000000-0006-0000-0100-000026040000}">
      <text>
        <r>
          <rPr>
            <b/>
            <sz val="9"/>
            <color indexed="81"/>
            <rFont val="Tahoma"/>
            <family val="2"/>
          </rPr>
          <t>Jorge Arturo Espinoza:</t>
        </r>
        <r>
          <rPr>
            <sz val="9"/>
            <color indexed="81"/>
            <rFont val="Tahoma"/>
            <family val="2"/>
          </rPr>
          <t xml:space="preserve">
ASUMIDO</t>
        </r>
      </text>
    </comment>
    <comment ref="C5122" authorId="0" shapeId="0" xr:uid="{00000000-0006-0000-0100-000027040000}">
      <text>
        <r>
          <rPr>
            <b/>
            <sz val="9"/>
            <color indexed="81"/>
            <rFont val="Tahoma"/>
            <family val="2"/>
          </rPr>
          <t>Jorge Arturo Espinoza:</t>
        </r>
        <r>
          <rPr>
            <sz val="9"/>
            <color indexed="81"/>
            <rFont val="Tahoma"/>
            <family val="2"/>
          </rPr>
          <t xml:space="preserve">
ASUMIDO</t>
        </r>
      </text>
    </comment>
    <comment ref="C5123" authorId="0" shapeId="0" xr:uid="{00000000-0006-0000-0100-000028040000}">
      <text>
        <r>
          <rPr>
            <b/>
            <sz val="9"/>
            <color indexed="81"/>
            <rFont val="Tahoma"/>
            <family val="2"/>
          </rPr>
          <t>Jorge Arturo Espinoza:</t>
        </r>
        <r>
          <rPr>
            <sz val="9"/>
            <color indexed="81"/>
            <rFont val="Tahoma"/>
            <family val="2"/>
          </rPr>
          <t xml:space="preserve">
ASUMIDO</t>
        </r>
      </text>
    </comment>
    <comment ref="C5124" authorId="0" shapeId="0" xr:uid="{00000000-0006-0000-0100-000029040000}">
      <text>
        <r>
          <rPr>
            <b/>
            <sz val="9"/>
            <color indexed="81"/>
            <rFont val="Tahoma"/>
            <family val="2"/>
          </rPr>
          <t>Jorge Arturo Espinoza:</t>
        </r>
        <r>
          <rPr>
            <sz val="9"/>
            <color indexed="81"/>
            <rFont val="Tahoma"/>
            <family val="2"/>
          </rPr>
          <t xml:space="preserve">
ASUMIDO</t>
        </r>
      </text>
    </comment>
    <comment ref="C5134" authorId="1" shapeId="0" xr:uid="{00000000-0006-0000-0100-00002A040000}">
      <text>
        <r>
          <rPr>
            <b/>
            <sz val="9"/>
            <color indexed="81"/>
            <rFont val="Tahoma"/>
            <family val="2"/>
          </rPr>
          <t>Roberto Meza:</t>
        </r>
        <r>
          <rPr>
            <sz val="9"/>
            <color indexed="81"/>
            <rFont val="Tahoma"/>
            <family val="2"/>
          </rPr>
          <t xml:space="preserve">
ASUMIDO
</t>
        </r>
      </text>
    </comment>
    <comment ref="C5137" authorId="0" shapeId="0" xr:uid="{00000000-0006-0000-0100-00002B040000}">
      <text>
        <r>
          <rPr>
            <b/>
            <sz val="9"/>
            <color indexed="81"/>
            <rFont val="Tahoma"/>
            <family val="2"/>
          </rPr>
          <t>Jorge Arturo Espinoza:</t>
        </r>
        <r>
          <rPr>
            <sz val="9"/>
            <color indexed="81"/>
            <rFont val="Tahoma"/>
            <family val="2"/>
          </rPr>
          <t xml:space="preserve">
ASUMIDO</t>
        </r>
      </text>
    </comment>
    <comment ref="C5138" authorId="0" shapeId="0" xr:uid="{00000000-0006-0000-0100-00002C040000}">
      <text>
        <r>
          <rPr>
            <b/>
            <sz val="9"/>
            <color indexed="81"/>
            <rFont val="Tahoma"/>
            <family val="2"/>
          </rPr>
          <t>Jorge Arturo Espinoza:</t>
        </r>
        <r>
          <rPr>
            <sz val="9"/>
            <color indexed="81"/>
            <rFont val="Tahoma"/>
            <family val="2"/>
          </rPr>
          <t xml:space="preserve">
ASUMIDO</t>
        </r>
      </text>
    </comment>
    <comment ref="C5144" authorId="1" shapeId="0" xr:uid="{00000000-0006-0000-0100-00002D040000}">
      <text>
        <r>
          <rPr>
            <b/>
            <sz val="9"/>
            <color indexed="81"/>
            <rFont val="Tahoma"/>
            <family val="2"/>
          </rPr>
          <t>Roberto Meza:</t>
        </r>
        <r>
          <rPr>
            <sz val="9"/>
            <color indexed="81"/>
            <rFont val="Tahoma"/>
            <family val="2"/>
          </rPr>
          <t xml:space="preserve">
Precio de Julio Soto - Junio 2019</t>
        </r>
      </text>
    </comment>
    <comment ref="C5145" authorId="1" shapeId="0" xr:uid="{00000000-0006-0000-0100-00002E040000}">
      <text>
        <r>
          <rPr>
            <b/>
            <sz val="9"/>
            <color indexed="81"/>
            <rFont val="Tahoma"/>
            <family val="2"/>
          </rPr>
          <t>Roberto Meza:</t>
        </r>
        <r>
          <rPr>
            <sz val="9"/>
            <color indexed="81"/>
            <rFont val="Tahoma"/>
            <family val="2"/>
          </rPr>
          <t xml:space="preserve">
Precio de Julio Soto - Junio 2019</t>
        </r>
      </text>
    </comment>
    <comment ref="B5148" authorId="3" shapeId="0" xr:uid="{00000000-0006-0000-0100-00002F040000}">
      <text>
        <r>
          <rPr>
            <b/>
            <sz val="9"/>
            <color indexed="81"/>
            <rFont val="Tahoma"/>
            <family val="2"/>
          </rPr>
          <t>Paulo Olano:</t>
        </r>
        <r>
          <rPr>
            <sz val="9"/>
            <color indexed="81"/>
            <rFont val="Tahoma"/>
            <family val="2"/>
          </rPr>
          <t xml:space="preserve">
AGO-2019</t>
        </r>
      </text>
    </comment>
    <comment ref="B5149" authorId="3" shapeId="0" xr:uid="{00000000-0006-0000-0100-000030040000}">
      <text>
        <r>
          <rPr>
            <b/>
            <sz val="9"/>
            <color indexed="81"/>
            <rFont val="Tahoma"/>
            <family val="2"/>
          </rPr>
          <t>Paulo Olano:</t>
        </r>
        <r>
          <rPr>
            <sz val="9"/>
            <color indexed="81"/>
            <rFont val="Tahoma"/>
            <family val="2"/>
          </rPr>
          <t xml:space="preserve">
AGO-2019</t>
        </r>
      </text>
    </comment>
    <comment ref="B5156" authorId="3" shapeId="0" xr:uid="{00000000-0006-0000-0100-000031040000}">
      <text>
        <r>
          <rPr>
            <b/>
            <sz val="9"/>
            <color indexed="81"/>
            <rFont val="Tahoma"/>
            <family val="2"/>
          </rPr>
          <t>Paulo Olano:</t>
        </r>
        <r>
          <rPr>
            <sz val="9"/>
            <color indexed="81"/>
            <rFont val="Tahoma"/>
            <family val="2"/>
          </rPr>
          <t xml:space="preserve">
DIC-2019</t>
        </r>
      </text>
    </comment>
    <comment ref="D5158" authorId="1" shapeId="0" xr:uid="{00000000-0006-0000-0100-000032040000}">
      <text>
        <r>
          <rPr>
            <b/>
            <sz val="9"/>
            <color indexed="81"/>
            <rFont val="Tahoma"/>
            <family val="2"/>
          </rPr>
          <t>Roberto Meza:</t>
        </r>
        <r>
          <rPr>
            <sz val="9"/>
            <color indexed="81"/>
            <rFont val="Tahoma"/>
            <family val="2"/>
          </rPr>
          <t xml:space="preserve">
Julio Soto 08/08/19</t>
        </r>
      </text>
    </comment>
    <comment ref="D5159" authorId="1" shapeId="0" xr:uid="{00000000-0006-0000-0100-000033040000}">
      <text>
        <r>
          <rPr>
            <b/>
            <sz val="9"/>
            <color indexed="81"/>
            <rFont val="Tahoma"/>
            <family val="2"/>
          </rPr>
          <t>Roberto Meza:</t>
        </r>
        <r>
          <rPr>
            <sz val="9"/>
            <color indexed="81"/>
            <rFont val="Tahoma"/>
            <family val="2"/>
          </rPr>
          <t xml:space="preserve">
Julio Soto 08/08/19</t>
        </r>
      </text>
    </comment>
    <comment ref="D5160" authorId="1" shapeId="0" xr:uid="{00000000-0006-0000-0100-000034040000}">
      <text>
        <r>
          <rPr>
            <b/>
            <sz val="9"/>
            <color indexed="81"/>
            <rFont val="Tahoma"/>
            <family val="2"/>
          </rPr>
          <t>Roberto Meza:</t>
        </r>
        <r>
          <rPr>
            <sz val="9"/>
            <color indexed="81"/>
            <rFont val="Tahoma"/>
            <family val="2"/>
          </rPr>
          <t xml:space="preserve">
Julio Soto 26/08/19</t>
        </r>
      </text>
    </comment>
    <comment ref="D5161" authorId="1" shapeId="0" xr:uid="{00000000-0006-0000-0100-000035040000}">
      <text>
        <r>
          <rPr>
            <b/>
            <sz val="9"/>
            <color indexed="81"/>
            <rFont val="Tahoma"/>
            <family val="2"/>
          </rPr>
          <t>Roberto Meza:</t>
        </r>
        <r>
          <rPr>
            <sz val="9"/>
            <color indexed="81"/>
            <rFont val="Tahoma"/>
            <family val="2"/>
          </rPr>
          <t xml:space="preserve">
Julio Soto 26/08/19</t>
        </r>
      </text>
    </comment>
    <comment ref="D5182" authorId="0" shapeId="0" xr:uid="{00000000-0006-0000-0100-000036040000}">
      <text>
        <r>
          <rPr>
            <b/>
            <sz val="9"/>
            <color indexed="81"/>
            <rFont val="Tahoma"/>
            <family val="2"/>
          </rPr>
          <t>Jorge Arturo Espinoza:</t>
        </r>
        <r>
          <rPr>
            <sz val="9"/>
            <color indexed="81"/>
            <rFont val="Tahoma"/>
            <family val="2"/>
          </rPr>
          <t xml:space="preserve">
ASUMIDO</t>
        </r>
      </text>
    </comment>
    <comment ref="B5184" authorId="0" shapeId="0" xr:uid="{00000000-0006-0000-0100-000037040000}">
      <text>
        <r>
          <rPr>
            <b/>
            <sz val="9"/>
            <color indexed="81"/>
            <rFont val="Tahoma"/>
            <family val="2"/>
          </rPr>
          <t>Jorge Arturo Espinoza:</t>
        </r>
        <r>
          <rPr>
            <sz val="9"/>
            <color indexed="81"/>
            <rFont val="Tahoma"/>
            <family val="2"/>
          </rPr>
          <t xml:space="preserve">
PARA MEDICION TRIFASICA, USAR 2</t>
        </r>
      </text>
    </comment>
    <comment ref="D5184" authorId="0" shapeId="0" xr:uid="{00000000-0006-0000-0100-000038040000}">
      <text>
        <r>
          <rPr>
            <b/>
            <sz val="9"/>
            <color indexed="81"/>
            <rFont val="Tahoma"/>
            <family val="2"/>
          </rPr>
          <t>Jorge Arturo Espinoza:</t>
        </r>
        <r>
          <rPr>
            <sz val="9"/>
            <color indexed="81"/>
            <rFont val="Tahoma"/>
            <family val="2"/>
          </rPr>
          <t xml:space="preserve">
Era 450</t>
        </r>
      </text>
    </comment>
    <comment ref="B5185" authorId="0" shapeId="0" xr:uid="{00000000-0006-0000-0100-000039040000}">
      <text>
        <r>
          <rPr>
            <b/>
            <sz val="9"/>
            <color indexed="81"/>
            <rFont val="Tahoma"/>
            <family val="2"/>
          </rPr>
          <t>Jorge Arturo Espinoza:</t>
        </r>
        <r>
          <rPr>
            <sz val="9"/>
            <color indexed="81"/>
            <rFont val="Tahoma"/>
            <family val="2"/>
          </rPr>
          <t xml:space="preserve">
PARA MEDICION TRIFASICA, USAR 2</t>
        </r>
      </text>
    </comment>
    <comment ref="D5185" authorId="0" shapeId="0" xr:uid="{00000000-0006-0000-0100-00003A040000}">
      <text>
        <r>
          <rPr>
            <b/>
            <sz val="9"/>
            <color indexed="81"/>
            <rFont val="Tahoma"/>
            <family val="2"/>
          </rPr>
          <t>Jorge Arturo Espinoza:</t>
        </r>
        <r>
          <rPr>
            <sz val="9"/>
            <color indexed="81"/>
            <rFont val="Tahoma"/>
            <family val="2"/>
          </rPr>
          <t xml:space="preserve">
Era 450</t>
        </r>
      </text>
    </comment>
    <comment ref="B5186" authorId="0" shapeId="0" xr:uid="{00000000-0006-0000-0100-00003B040000}">
      <text>
        <r>
          <rPr>
            <b/>
            <sz val="9"/>
            <color indexed="81"/>
            <rFont val="Tahoma"/>
            <family val="2"/>
          </rPr>
          <t>Jorge Arturo Espinoza:</t>
        </r>
        <r>
          <rPr>
            <sz val="9"/>
            <color indexed="81"/>
            <rFont val="Tahoma"/>
            <family val="2"/>
          </rPr>
          <t xml:space="preserve">
PARA MEDICION TRIFASICA, USAR 2</t>
        </r>
      </text>
    </comment>
    <comment ref="D5186" authorId="0" shapeId="0" xr:uid="{00000000-0006-0000-0100-00003C040000}">
      <text>
        <r>
          <rPr>
            <b/>
            <sz val="9"/>
            <color indexed="81"/>
            <rFont val="Tahoma"/>
            <family val="2"/>
          </rPr>
          <t>Jorge Arturo Espinoza:</t>
        </r>
        <r>
          <rPr>
            <sz val="9"/>
            <color indexed="81"/>
            <rFont val="Tahoma"/>
            <family val="2"/>
          </rPr>
          <t xml:space="preserve">
ASUMIDO</t>
        </r>
      </text>
    </comment>
    <comment ref="D5194" authorId="0" shapeId="0" xr:uid="{00000000-0006-0000-0100-00003D040000}">
      <text>
        <r>
          <rPr>
            <b/>
            <sz val="9"/>
            <color indexed="81"/>
            <rFont val="Tahoma"/>
            <family val="2"/>
          </rPr>
          <t>Jorge Arturo Espinoza:</t>
        </r>
        <r>
          <rPr>
            <sz val="9"/>
            <color indexed="81"/>
            <rFont val="Tahoma"/>
            <family val="2"/>
          </rPr>
          <t xml:space="preserve">
FALTA CONFIRMAR EL DESCUENTO</t>
        </r>
      </text>
    </comment>
    <comment ref="C5200" authorId="1" shapeId="0" xr:uid="{00000000-0006-0000-0100-00003E040000}">
      <text>
        <r>
          <rPr>
            <b/>
            <sz val="9"/>
            <color indexed="81"/>
            <rFont val="Tahoma"/>
            <family val="2"/>
          </rPr>
          <t>Roberto Meza:</t>
        </r>
        <r>
          <rPr>
            <sz val="9"/>
            <color indexed="81"/>
            <rFont val="Tahoma"/>
            <family val="2"/>
          </rPr>
          <t xml:space="preserve">
01/20 Marcial</t>
        </r>
      </text>
    </comment>
    <comment ref="E5200" authorId="0" shapeId="0" xr:uid="{00000000-0006-0000-0100-00003F040000}">
      <text>
        <r>
          <rPr>
            <b/>
            <sz val="9"/>
            <color indexed="81"/>
            <rFont val="Tahoma"/>
            <family val="2"/>
          </rPr>
          <t>Jorge Arturo Espinoza:</t>
        </r>
        <r>
          <rPr>
            <sz val="9"/>
            <color indexed="81"/>
            <rFont val="Tahoma"/>
            <family val="2"/>
          </rPr>
          <t xml:space="preserve">
para compensar alto precio</t>
        </r>
      </text>
    </comment>
    <comment ref="C5203" authorId="1" shapeId="0" xr:uid="{00000000-0006-0000-0100-000040040000}">
      <text>
        <r>
          <rPr>
            <b/>
            <sz val="9"/>
            <color indexed="81"/>
            <rFont val="Tahoma"/>
            <family val="2"/>
          </rPr>
          <t>Roberto Meza:</t>
        </r>
        <r>
          <rPr>
            <sz val="9"/>
            <color indexed="81"/>
            <rFont val="Tahoma"/>
            <family val="2"/>
          </rPr>
          <t xml:space="preserve">
01/20 Marcial</t>
        </r>
      </text>
    </comment>
    <comment ref="E5203" authorId="0" shapeId="0" xr:uid="{00000000-0006-0000-0100-000041040000}">
      <text>
        <r>
          <rPr>
            <b/>
            <sz val="9"/>
            <color indexed="81"/>
            <rFont val="Tahoma"/>
            <family val="2"/>
          </rPr>
          <t>Jorge Arturo Espinoza:</t>
        </r>
        <r>
          <rPr>
            <sz val="9"/>
            <color indexed="81"/>
            <rFont val="Tahoma"/>
            <family val="2"/>
          </rPr>
          <t xml:space="preserve">
para compensar alto precio</t>
        </r>
      </text>
    </comment>
    <comment ref="C5204" authorId="1" shapeId="0" xr:uid="{00000000-0006-0000-0100-000042040000}">
      <text>
        <r>
          <rPr>
            <b/>
            <sz val="9"/>
            <color indexed="81"/>
            <rFont val="Tahoma"/>
            <family val="2"/>
          </rPr>
          <t>Roberto Meza:</t>
        </r>
        <r>
          <rPr>
            <sz val="9"/>
            <color indexed="81"/>
            <rFont val="Tahoma"/>
            <family val="2"/>
          </rPr>
          <t xml:space="preserve">
01/20 Marcial</t>
        </r>
      </text>
    </comment>
    <comment ref="E5204" authorId="0" shapeId="0" xr:uid="{00000000-0006-0000-0100-000043040000}">
      <text>
        <r>
          <rPr>
            <b/>
            <sz val="9"/>
            <color indexed="81"/>
            <rFont val="Tahoma"/>
            <family val="2"/>
          </rPr>
          <t>Jorge Arturo Espinoza:</t>
        </r>
        <r>
          <rPr>
            <sz val="9"/>
            <color indexed="81"/>
            <rFont val="Tahoma"/>
            <family val="2"/>
          </rPr>
          <t xml:space="preserve">
para compensar alto precio</t>
        </r>
      </text>
    </comment>
    <comment ref="E5208" authorId="0" shapeId="0" xr:uid="{00000000-0006-0000-0100-000044040000}">
      <text>
        <r>
          <rPr>
            <b/>
            <sz val="9"/>
            <color indexed="81"/>
            <rFont val="Tahoma"/>
            <family val="2"/>
          </rPr>
          <t>Jorge Arturo Espinoza:</t>
        </r>
        <r>
          <rPr>
            <sz val="9"/>
            <color indexed="81"/>
            <rFont val="Tahoma"/>
            <family val="2"/>
          </rPr>
          <t xml:space="preserve">
para compensar alto precio</t>
        </r>
      </text>
    </comment>
    <comment ref="E5209" authorId="0" shapeId="0" xr:uid="{00000000-0006-0000-0100-000045040000}">
      <text>
        <r>
          <rPr>
            <b/>
            <sz val="9"/>
            <color indexed="81"/>
            <rFont val="Tahoma"/>
            <family val="2"/>
          </rPr>
          <t>Jorge Arturo Espinoza:</t>
        </r>
        <r>
          <rPr>
            <sz val="9"/>
            <color indexed="81"/>
            <rFont val="Tahoma"/>
            <family val="2"/>
          </rPr>
          <t xml:space="preserve">
para compensar alto precio</t>
        </r>
      </text>
    </comment>
    <comment ref="E5211" authorId="0" shapeId="0" xr:uid="{00000000-0006-0000-0100-000046040000}">
      <text>
        <r>
          <rPr>
            <b/>
            <sz val="9"/>
            <color indexed="81"/>
            <rFont val="Tahoma"/>
            <family val="2"/>
          </rPr>
          <t>Jorge Arturo Espinoza:</t>
        </r>
        <r>
          <rPr>
            <sz val="9"/>
            <color indexed="81"/>
            <rFont val="Tahoma"/>
            <family val="2"/>
          </rPr>
          <t xml:space="preserve">
para compensar alto precio</t>
        </r>
      </text>
    </comment>
    <comment ref="E5212" authorId="0" shapeId="0" xr:uid="{00000000-0006-0000-0100-000047040000}">
      <text>
        <r>
          <rPr>
            <b/>
            <sz val="9"/>
            <color indexed="81"/>
            <rFont val="Tahoma"/>
            <family val="2"/>
          </rPr>
          <t>Jorge Arturo Espinoza:</t>
        </r>
        <r>
          <rPr>
            <sz val="9"/>
            <color indexed="81"/>
            <rFont val="Tahoma"/>
            <family val="2"/>
          </rPr>
          <t xml:space="preserve">
para compensar alto precio</t>
        </r>
      </text>
    </comment>
    <comment ref="E5214" authorId="0" shapeId="0" xr:uid="{00000000-0006-0000-0100-000048040000}">
      <text>
        <r>
          <rPr>
            <b/>
            <sz val="9"/>
            <color indexed="81"/>
            <rFont val="Tahoma"/>
            <family val="2"/>
          </rPr>
          <t>Jorge Arturo Espinoza:</t>
        </r>
        <r>
          <rPr>
            <sz val="9"/>
            <color indexed="81"/>
            <rFont val="Tahoma"/>
            <family val="2"/>
          </rPr>
          <t xml:space="preserve">
para compensar alto precio</t>
        </r>
      </text>
    </comment>
    <comment ref="E5216" authorId="0" shapeId="0" xr:uid="{00000000-0006-0000-0100-000049040000}">
      <text>
        <r>
          <rPr>
            <b/>
            <sz val="9"/>
            <color indexed="81"/>
            <rFont val="Tahoma"/>
            <family val="2"/>
          </rPr>
          <t>Jorge Arturo Espinoza:</t>
        </r>
        <r>
          <rPr>
            <sz val="9"/>
            <color indexed="81"/>
            <rFont val="Tahoma"/>
            <family val="2"/>
          </rPr>
          <t xml:space="preserve">
para compensar alto precio</t>
        </r>
      </text>
    </comment>
    <comment ref="E5217" authorId="0" shapeId="0" xr:uid="{00000000-0006-0000-0100-00004A040000}">
      <text>
        <r>
          <rPr>
            <b/>
            <sz val="9"/>
            <color indexed="81"/>
            <rFont val="Tahoma"/>
            <family val="2"/>
          </rPr>
          <t>Jorge Arturo Espinoza:</t>
        </r>
        <r>
          <rPr>
            <sz val="9"/>
            <color indexed="81"/>
            <rFont val="Tahoma"/>
            <family val="2"/>
          </rPr>
          <t xml:space="preserve">
para compensar alto precio</t>
        </r>
      </text>
    </comment>
    <comment ref="E5219" authorId="0" shapeId="0" xr:uid="{00000000-0006-0000-0100-00004B040000}">
      <text>
        <r>
          <rPr>
            <b/>
            <sz val="9"/>
            <color indexed="81"/>
            <rFont val="Tahoma"/>
            <family val="2"/>
          </rPr>
          <t>Jorge Arturo Espinoza:</t>
        </r>
        <r>
          <rPr>
            <sz val="9"/>
            <color indexed="81"/>
            <rFont val="Tahoma"/>
            <family val="2"/>
          </rPr>
          <t xml:space="preserve">
para compensar alto precio</t>
        </r>
      </text>
    </comment>
    <comment ref="E5220" authorId="0" shapeId="0" xr:uid="{00000000-0006-0000-0100-00004C040000}">
      <text>
        <r>
          <rPr>
            <b/>
            <sz val="9"/>
            <color indexed="81"/>
            <rFont val="Tahoma"/>
            <family val="2"/>
          </rPr>
          <t>Jorge Arturo Espinoza:</t>
        </r>
        <r>
          <rPr>
            <sz val="9"/>
            <color indexed="81"/>
            <rFont val="Tahoma"/>
            <family val="2"/>
          </rPr>
          <t xml:space="preserve">
para compensar alto precio</t>
        </r>
      </text>
    </comment>
    <comment ref="E5240" authorId="0" shapeId="0" xr:uid="{00000000-0006-0000-0100-00004D040000}">
      <text>
        <r>
          <rPr>
            <b/>
            <sz val="9"/>
            <color indexed="81"/>
            <rFont val="Tahoma"/>
            <family val="2"/>
          </rPr>
          <t>Jorge Arturo Espinoza:</t>
        </r>
        <r>
          <rPr>
            <sz val="9"/>
            <color indexed="81"/>
            <rFont val="Tahoma"/>
            <family val="2"/>
          </rPr>
          <t xml:space="preserve">
para compensar alto precio</t>
        </r>
      </text>
    </comment>
    <comment ref="D5248" authorId="0" shapeId="0" xr:uid="{00000000-0006-0000-0100-00004E040000}">
      <text>
        <r>
          <rPr>
            <b/>
            <sz val="9"/>
            <color indexed="81"/>
            <rFont val="Tahoma"/>
            <family val="2"/>
          </rPr>
          <t>Jorge Arturo Espinoza:</t>
        </r>
        <r>
          <rPr>
            <sz val="9"/>
            <color indexed="81"/>
            <rFont val="Tahoma"/>
            <family val="2"/>
          </rPr>
          <t xml:space="preserve">
Era 680</t>
        </r>
      </text>
    </comment>
    <comment ref="D5250" authorId="0" shapeId="0" xr:uid="{00000000-0006-0000-0100-00004F040000}">
      <text>
        <r>
          <rPr>
            <b/>
            <sz val="9"/>
            <color indexed="81"/>
            <rFont val="Tahoma"/>
            <family val="2"/>
          </rPr>
          <t>Jorge Arturo Espinoza:</t>
        </r>
        <r>
          <rPr>
            <sz val="9"/>
            <color indexed="81"/>
            <rFont val="Tahoma"/>
            <family val="2"/>
          </rPr>
          <t xml:space="preserve">
ASUMIDO</t>
        </r>
      </text>
    </comment>
    <comment ref="D5258" authorId="0" shapeId="0" xr:uid="{00000000-0006-0000-0100-000050040000}">
      <text>
        <r>
          <rPr>
            <b/>
            <sz val="9"/>
            <color indexed="81"/>
            <rFont val="Tahoma"/>
            <family val="2"/>
          </rPr>
          <t>Jorge Arturo Espinoza:</t>
        </r>
        <r>
          <rPr>
            <sz val="9"/>
            <color indexed="81"/>
            <rFont val="Tahoma"/>
            <family val="2"/>
          </rPr>
          <t xml:space="preserve">
ASUMIDO</t>
        </r>
      </text>
    </comment>
    <comment ref="D5259" authorId="0" shapeId="0" xr:uid="{00000000-0006-0000-0100-000051040000}">
      <text>
        <r>
          <rPr>
            <b/>
            <sz val="9"/>
            <color indexed="81"/>
            <rFont val="Tahoma"/>
            <family val="2"/>
          </rPr>
          <t>Jorge Arturo Espinoza:</t>
        </r>
        <r>
          <rPr>
            <sz val="9"/>
            <color indexed="81"/>
            <rFont val="Tahoma"/>
            <family val="2"/>
          </rPr>
          <t xml:space="preserve">
ASUMIDO</t>
        </r>
      </text>
    </comment>
    <comment ref="D5270" authorId="0" shapeId="0" xr:uid="{00000000-0006-0000-0100-000052040000}">
      <text>
        <r>
          <rPr>
            <b/>
            <sz val="9"/>
            <color indexed="81"/>
            <rFont val="Tahoma"/>
            <family val="2"/>
          </rPr>
          <t>Jorge Arturo Espinoza:</t>
        </r>
        <r>
          <rPr>
            <sz val="9"/>
            <color indexed="81"/>
            <rFont val="Tahoma"/>
            <family val="2"/>
          </rPr>
          <t xml:space="preserve">
Era 680</t>
        </r>
      </text>
    </comment>
    <comment ref="D5273" authorId="0" shapeId="0" xr:uid="{00000000-0006-0000-0100-000053040000}">
      <text>
        <r>
          <rPr>
            <b/>
            <sz val="9"/>
            <color indexed="81"/>
            <rFont val="Tahoma"/>
            <family val="2"/>
          </rPr>
          <t>Jorge Arturo Espinoza:</t>
        </r>
        <r>
          <rPr>
            <sz val="9"/>
            <color indexed="81"/>
            <rFont val="Tahoma"/>
            <family val="2"/>
          </rPr>
          <t xml:space="preserve">
Era 680</t>
        </r>
      </text>
    </comment>
    <comment ref="D5276" authorId="0" shapeId="0" xr:uid="{00000000-0006-0000-0100-000054040000}">
      <text>
        <r>
          <rPr>
            <b/>
            <sz val="9"/>
            <color indexed="81"/>
            <rFont val="Tahoma"/>
            <family val="2"/>
          </rPr>
          <t>Jorge Arturo Espinoza:</t>
        </r>
        <r>
          <rPr>
            <sz val="9"/>
            <color indexed="81"/>
            <rFont val="Tahoma"/>
            <family val="2"/>
          </rPr>
          <t xml:space="preserve">
Era 680</t>
        </r>
      </text>
    </comment>
    <comment ref="D5283" authorId="0" shapeId="0" xr:uid="{00000000-0006-0000-0100-000055040000}">
      <text>
        <r>
          <rPr>
            <b/>
            <sz val="9"/>
            <color indexed="81"/>
            <rFont val="Tahoma"/>
            <family val="2"/>
          </rPr>
          <t>Jorge Arturo Espinoza:</t>
        </r>
        <r>
          <rPr>
            <sz val="9"/>
            <color indexed="81"/>
            <rFont val="Tahoma"/>
            <family val="2"/>
          </rPr>
          <t xml:space="preserve">
ASUMIDO</t>
        </r>
      </text>
    </comment>
    <comment ref="D5284" authorId="0" shapeId="0" xr:uid="{00000000-0006-0000-0100-000056040000}">
      <text>
        <r>
          <rPr>
            <b/>
            <sz val="9"/>
            <color indexed="81"/>
            <rFont val="Tahoma"/>
            <family val="2"/>
          </rPr>
          <t>Jorge Arturo Espinoza:</t>
        </r>
        <r>
          <rPr>
            <sz val="9"/>
            <color indexed="81"/>
            <rFont val="Tahoma"/>
            <family val="2"/>
          </rPr>
          <t xml:space="preserve">
ASUMIDO</t>
        </r>
      </text>
    </comment>
    <comment ref="D5286" authorId="0" shapeId="0" xr:uid="{00000000-0006-0000-0100-000057040000}">
      <text>
        <r>
          <rPr>
            <b/>
            <sz val="9"/>
            <color indexed="81"/>
            <rFont val="Tahoma"/>
            <family val="2"/>
          </rPr>
          <t>Jorge Arturo Espinoza:</t>
        </r>
        <r>
          <rPr>
            <sz val="9"/>
            <color indexed="81"/>
            <rFont val="Tahoma"/>
            <family val="2"/>
          </rPr>
          <t xml:space="preserve">
ASUMIDO</t>
        </r>
      </text>
    </comment>
    <comment ref="D5287" authorId="0" shapeId="0" xr:uid="{00000000-0006-0000-0100-000058040000}">
      <text>
        <r>
          <rPr>
            <b/>
            <sz val="9"/>
            <color indexed="81"/>
            <rFont val="Tahoma"/>
            <family val="2"/>
          </rPr>
          <t>Jorge Arturo Espinoza:</t>
        </r>
        <r>
          <rPr>
            <sz val="9"/>
            <color indexed="81"/>
            <rFont val="Tahoma"/>
            <family val="2"/>
          </rPr>
          <t xml:space="preserve">
ASUMIDO</t>
        </r>
      </text>
    </comment>
    <comment ref="C5288" authorId="3" shapeId="0" xr:uid="{00000000-0006-0000-0100-000059040000}">
      <text>
        <r>
          <rPr>
            <b/>
            <sz val="9"/>
            <color indexed="81"/>
            <rFont val="Tahoma"/>
            <family val="2"/>
          </rPr>
          <t>Paulo Olano:</t>
        </r>
        <r>
          <rPr>
            <sz val="9"/>
            <color indexed="81"/>
            <rFont val="Tahoma"/>
            <family val="2"/>
          </rPr>
          <t xml:space="preserve">
marzo 2019 - marcial
</t>
        </r>
      </text>
    </comment>
    <comment ref="C5290" authorId="5" shapeId="0" xr:uid="{00000000-0006-0000-0100-00005A040000}">
      <text>
        <r>
          <rPr>
            <b/>
            <sz val="9"/>
            <color indexed="81"/>
            <rFont val="Tahoma"/>
            <family val="2"/>
          </rPr>
          <t>Rosalyn Rincon:</t>
        </r>
        <r>
          <rPr>
            <sz val="9"/>
            <color indexed="81"/>
            <rFont val="Tahoma"/>
            <family val="2"/>
          </rPr>
          <t xml:space="preserve">
27/02/2019
</t>
        </r>
      </text>
    </comment>
    <comment ref="C5291" authorId="3" shapeId="0" xr:uid="{00000000-0006-0000-0100-00005B040000}">
      <text>
        <r>
          <rPr>
            <b/>
            <sz val="9"/>
            <color indexed="81"/>
            <rFont val="Tahoma"/>
            <family val="2"/>
          </rPr>
          <t>Paulo Olano:</t>
        </r>
        <r>
          <rPr>
            <sz val="9"/>
            <color indexed="81"/>
            <rFont val="Tahoma"/>
            <family val="2"/>
          </rPr>
          <t xml:space="preserve">
marzo 2019 - marcial
</t>
        </r>
      </text>
    </comment>
    <comment ref="C5293" authorId="3" shapeId="0" xr:uid="{00000000-0006-0000-0100-00005C040000}">
      <text>
        <r>
          <rPr>
            <b/>
            <sz val="9"/>
            <color indexed="81"/>
            <rFont val="Tahoma"/>
            <family val="2"/>
          </rPr>
          <t>Paulo Olano:</t>
        </r>
        <r>
          <rPr>
            <sz val="9"/>
            <color indexed="81"/>
            <rFont val="Tahoma"/>
            <family val="2"/>
          </rPr>
          <t xml:space="preserve">
marzo 2019 - marcial
</t>
        </r>
      </text>
    </comment>
    <comment ref="B5295" authorId="1" shapeId="0" xr:uid="{00000000-0006-0000-0100-00005D040000}">
      <text>
        <r>
          <rPr>
            <b/>
            <sz val="9"/>
            <color indexed="81"/>
            <rFont val="Tahoma"/>
            <family val="2"/>
          </rPr>
          <t>Roberto Meza:</t>
        </r>
        <r>
          <rPr>
            <sz val="9"/>
            <color indexed="81"/>
            <rFont val="Tahoma"/>
            <family val="2"/>
          </rPr>
          <t xml:space="preserve">
Marcial, Julio del 2019</t>
        </r>
      </text>
    </comment>
    <comment ref="B5296" authorId="1" shapeId="0" xr:uid="{00000000-0006-0000-0100-00005E040000}">
      <text>
        <r>
          <rPr>
            <b/>
            <sz val="9"/>
            <color indexed="81"/>
            <rFont val="Tahoma"/>
            <family val="2"/>
          </rPr>
          <t>Roberto Meza:</t>
        </r>
        <r>
          <rPr>
            <sz val="9"/>
            <color indexed="81"/>
            <rFont val="Tahoma"/>
            <family val="2"/>
          </rPr>
          <t xml:space="preserve">
Marcial, Julio del 2019</t>
        </r>
      </text>
    </comment>
    <comment ref="G5318" authorId="0" shapeId="0" xr:uid="{00000000-0006-0000-0100-00005F040000}">
      <text>
        <r>
          <rPr>
            <b/>
            <sz val="9"/>
            <color indexed="81"/>
            <rFont val="Tahoma"/>
            <family val="2"/>
          </rPr>
          <t>Jorge Arturo Espinoza:</t>
        </r>
        <r>
          <rPr>
            <sz val="9"/>
            <color indexed="81"/>
            <rFont val="Tahoma"/>
            <family val="2"/>
          </rPr>
          <t xml:space="preserve">
RX? o  RBX?</t>
        </r>
      </text>
    </comment>
    <comment ref="B5325" authorId="4" shapeId="0" xr:uid="{00000000-0006-0000-0100-000060040000}">
      <text>
        <r>
          <rPr>
            <b/>
            <sz val="9"/>
            <color indexed="81"/>
            <rFont val="Tahoma"/>
            <family val="2"/>
          </rPr>
          <t xml:space="preserve">PRECIOS ACTUALIZADOS 
ING. MARCIAL 
02-04-19
</t>
        </r>
      </text>
    </comment>
    <comment ref="B5326" authorId="4" shapeId="0" xr:uid="{00000000-0006-0000-0100-000061040000}">
      <text>
        <r>
          <rPr>
            <b/>
            <sz val="9"/>
            <color indexed="81"/>
            <rFont val="Tahoma"/>
            <family val="2"/>
          </rPr>
          <t>PRECIOS ACTUALIZADOS 
ING. MARCIAL 
02-04-19</t>
        </r>
        <r>
          <rPr>
            <sz val="9"/>
            <color indexed="81"/>
            <rFont val="Tahoma"/>
            <family val="2"/>
          </rPr>
          <t xml:space="preserve">
</t>
        </r>
      </text>
    </comment>
    <comment ref="B5329" authorId="4" shapeId="0" xr:uid="{00000000-0006-0000-0100-000062040000}">
      <text>
        <r>
          <rPr>
            <b/>
            <sz val="9"/>
            <color indexed="81"/>
            <rFont val="Tahoma"/>
            <family val="2"/>
          </rPr>
          <t>PRECIOS ACTUALIZADOS 
ING. MARCIAL 
02-04-19</t>
        </r>
      </text>
    </comment>
    <comment ref="B5332" authorId="4" shapeId="0" xr:uid="{00000000-0006-0000-0100-000063040000}">
      <text>
        <r>
          <rPr>
            <b/>
            <sz val="9"/>
            <color indexed="81"/>
            <rFont val="Tahoma"/>
            <family val="2"/>
          </rPr>
          <t>PRECIOS ACTUALIZADOS 
ING. MARCIAL 
02-04-19</t>
        </r>
      </text>
    </comment>
    <comment ref="B5333" authorId="4" shapeId="0" xr:uid="{00000000-0006-0000-0100-000064040000}">
      <text>
        <r>
          <rPr>
            <b/>
            <sz val="9"/>
            <color indexed="81"/>
            <rFont val="Tahoma"/>
            <family val="2"/>
          </rPr>
          <t>PRECIOS ACTUALIZADOS 
ING. MARCIAL 
02-04-19</t>
        </r>
        <r>
          <rPr>
            <sz val="9"/>
            <color indexed="81"/>
            <rFont val="Tahoma"/>
            <family val="2"/>
          </rPr>
          <t xml:space="preserve">
</t>
        </r>
      </text>
    </comment>
    <comment ref="B5335" authorId="4" shapeId="0" xr:uid="{00000000-0006-0000-0100-000065040000}">
      <text>
        <r>
          <rPr>
            <b/>
            <sz val="9"/>
            <color indexed="81"/>
            <rFont val="Tahoma"/>
            <family val="2"/>
          </rPr>
          <t>PRECIOS ACTUALIZADOS 
ING. MARCIAL 
02-04-19</t>
        </r>
      </text>
    </comment>
    <comment ref="B5339" authorId="4" shapeId="0" xr:uid="{00000000-0006-0000-0100-000066040000}">
      <text>
        <r>
          <rPr>
            <b/>
            <sz val="9"/>
            <color indexed="81"/>
            <rFont val="Tahoma"/>
            <family val="2"/>
          </rPr>
          <t>PRECIOS ACTUALIZADOS 
ING. MARCIAL 
02-04-19</t>
        </r>
      </text>
    </comment>
    <comment ref="C5415" authorId="1" shapeId="0" xr:uid="{00000000-0006-0000-0100-000067040000}">
      <text>
        <r>
          <rPr>
            <b/>
            <sz val="9"/>
            <color indexed="81"/>
            <rFont val="Tahoma"/>
            <family val="2"/>
          </rPr>
          <t>Roberto Meza:</t>
        </r>
        <r>
          <rPr>
            <sz val="9"/>
            <color indexed="81"/>
            <rFont val="Tahoma"/>
            <family val="2"/>
          </rPr>
          <t xml:space="preserve">
01/20 Marcial</t>
        </r>
      </text>
    </comment>
    <comment ref="B5430" authorId="1" shapeId="0" xr:uid="{00000000-0006-0000-0100-000068040000}">
      <text>
        <r>
          <rPr>
            <b/>
            <sz val="9"/>
            <color indexed="81"/>
            <rFont val="Tahoma"/>
            <family val="2"/>
          </rPr>
          <t>Roberto Meza:</t>
        </r>
        <r>
          <rPr>
            <sz val="9"/>
            <color indexed="81"/>
            <rFont val="Tahoma"/>
            <family val="2"/>
          </rPr>
          <t xml:space="preserve">
Marcial, Julio del 2019</t>
        </r>
      </text>
    </comment>
    <comment ref="B5444" authorId="4" shapeId="0" xr:uid="{00000000-0006-0000-0100-000069040000}">
      <text>
        <r>
          <rPr>
            <b/>
            <sz val="9"/>
            <color indexed="81"/>
            <rFont val="Tahoma"/>
            <family val="2"/>
          </rPr>
          <t>PRECIOS ACTUALIZADOS 
ING. MARCIAL 
02-04-19</t>
        </r>
        <r>
          <rPr>
            <sz val="9"/>
            <color indexed="81"/>
            <rFont val="Tahoma"/>
            <family val="2"/>
          </rPr>
          <t xml:space="preserve">
</t>
        </r>
      </text>
    </comment>
    <comment ref="B5446" authorId="4" shapeId="0" xr:uid="{00000000-0006-0000-0100-00006A040000}">
      <text>
        <r>
          <rPr>
            <b/>
            <sz val="9"/>
            <color indexed="81"/>
            <rFont val="Tahoma"/>
            <family val="2"/>
          </rPr>
          <t xml:space="preserve">
PRECIOS ACTUALIZADOS 
ING. MARCIAL 
02-04-19
</t>
        </r>
      </text>
    </comment>
    <comment ref="B5447" authorId="4" shapeId="0" xr:uid="{00000000-0006-0000-0100-00006B040000}">
      <text>
        <r>
          <rPr>
            <b/>
            <sz val="9"/>
            <color indexed="81"/>
            <rFont val="Tahoma"/>
            <family val="2"/>
          </rPr>
          <t xml:space="preserve">
PRECIOS ACTUALIZADOS 
ING. MARCIAL 
02-04-19
</t>
        </r>
      </text>
    </comment>
    <comment ref="B5478" authorId="3" shapeId="0" xr:uid="{00000000-0006-0000-0100-00006C040000}">
      <text>
        <r>
          <rPr>
            <b/>
            <sz val="9"/>
            <color indexed="81"/>
            <rFont val="Tahoma"/>
            <family val="2"/>
          </rPr>
          <t>Paulo Olano:</t>
        </r>
        <r>
          <rPr>
            <sz val="9"/>
            <color indexed="81"/>
            <rFont val="Tahoma"/>
            <family val="2"/>
          </rPr>
          <t xml:space="preserve">
marzo 2019 - marcial
</t>
        </r>
      </text>
    </comment>
    <comment ref="B5487" authorId="1" shapeId="0" xr:uid="{00000000-0006-0000-0100-00006D040000}">
      <text>
        <r>
          <rPr>
            <b/>
            <sz val="9"/>
            <color indexed="81"/>
            <rFont val="Tahoma"/>
            <family val="2"/>
          </rPr>
          <t>Roberto Meza:</t>
        </r>
        <r>
          <rPr>
            <sz val="9"/>
            <color indexed="81"/>
            <rFont val="Tahoma"/>
            <family val="2"/>
          </rPr>
          <t xml:space="preserve">
Marzo 2019 x Marcial
</t>
        </r>
      </text>
    </comment>
    <comment ref="C5503" authorId="0" shapeId="0" xr:uid="{00000000-0006-0000-0100-00006E040000}">
      <text>
        <r>
          <rPr>
            <b/>
            <sz val="9"/>
            <color indexed="81"/>
            <rFont val="Tahoma"/>
            <family val="2"/>
          </rPr>
          <t>Jorge Arturo Espinoza:</t>
        </r>
        <r>
          <rPr>
            <sz val="9"/>
            <color indexed="81"/>
            <rFont val="Tahoma"/>
            <family val="2"/>
          </rPr>
          <t xml:space="preserve">
*1.2 PORQUE SON PRECIOS AÑO 1012</t>
        </r>
      </text>
    </comment>
    <comment ref="C5504" authorId="0" shapeId="0" xr:uid="{00000000-0006-0000-0100-00006F040000}">
      <text>
        <r>
          <rPr>
            <b/>
            <sz val="9"/>
            <color indexed="81"/>
            <rFont val="Tahoma"/>
            <family val="2"/>
          </rPr>
          <t>Jorge Arturo Espinoza:</t>
        </r>
        <r>
          <rPr>
            <sz val="9"/>
            <color indexed="81"/>
            <rFont val="Tahoma"/>
            <family val="2"/>
          </rPr>
          <t xml:space="preserve">
COTIZADO POR CEYESA, PARA PROYECTO DE GLOBELEC</t>
        </r>
      </text>
    </comment>
    <comment ref="C5505" authorId="0" shapeId="0" xr:uid="{00000000-0006-0000-0100-000070040000}">
      <text>
        <r>
          <rPr>
            <b/>
            <sz val="9"/>
            <color indexed="81"/>
            <rFont val="Tahoma"/>
            <family val="2"/>
          </rPr>
          <t>Jorge Arturo Espinoza:</t>
        </r>
        <r>
          <rPr>
            <sz val="9"/>
            <color indexed="81"/>
            <rFont val="Tahoma"/>
            <family val="2"/>
          </rPr>
          <t xml:space="preserve">
COTIZADO POR CEYESA, PARA PROYECTO DE GLOBELEC</t>
        </r>
      </text>
    </comment>
    <comment ref="C5506" authorId="0" shapeId="0" xr:uid="{00000000-0006-0000-0100-000071040000}">
      <text>
        <r>
          <rPr>
            <b/>
            <sz val="9"/>
            <color indexed="81"/>
            <rFont val="Tahoma"/>
            <family val="2"/>
          </rPr>
          <t>Jorge Arturo Espinoza:</t>
        </r>
        <r>
          <rPr>
            <sz val="9"/>
            <color indexed="81"/>
            <rFont val="Tahoma"/>
            <family val="2"/>
          </rPr>
          <t xml:space="preserve">
COTIZADO POR PROMELSA</t>
        </r>
      </text>
    </comment>
    <comment ref="C5507" authorId="0" shapeId="0" xr:uid="{00000000-0006-0000-0100-000072040000}">
      <text>
        <r>
          <rPr>
            <b/>
            <sz val="9"/>
            <color indexed="81"/>
            <rFont val="Tahoma"/>
            <family val="2"/>
          </rPr>
          <t>Jorge Arturo Espinoza:</t>
        </r>
        <r>
          <rPr>
            <sz val="9"/>
            <color indexed="81"/>
            <rFont val="Tahoma"/>
            <family val="2"/>
          </rPr>
          <t xml:space="preserve">
COTIZADO POR CEYESA, PARA PROYECTO DE GLOBELEC</t>
        </r>
      </text>
    </comment>
    <comment ref="C5508" authorId="0" shapeId="0" xr:uid="{00000000-0006-0000-0100-000073040000}">
      <text>
        <r>
          <rPr>
            <b/>
            <sz val="9"/>
            <color indexed="81"/>
            <rFont val="Tahoma"/>
            <family val="2"/>
          </rPr>
          <t>Jorge Arturo Espinoza:</t>
        </r>
        <r>
          <rPr>
            <sz val="9"/>
            <color indexed="81"/>
            <rFont val="Tahoma"/>
            <family val="2"/>
          </rPr>
          <t xml:space="preserve">
COTIZADO POR CEYESA, PARA PROYECTO DE GLOBELEC</t>
        </r>
      </text>
    </comment>
    <comment ref="C5509" authorId="0" shapeId="0" xr:uid="{00000000-0006-0000-0100-000074040000}">
      <text>
        <r>
          <rPr>
            <b/>
            <sz val="9"/>
            <color indexed="81"/>
            <rFont val="Tahoma"/>
            <family val="2"/>
          </rPr>
          <t>Jorge Arturo Espinoza:</t>
        </r>
        <r>
          <rPr>
            <sz val="9"/>
            <color indexed="81"/>
            <rFont val="Tahoma"/>
            <family val="2"/>
          </rPr>
          <t xml:space="preserve">
COTIZADO POR CEYESA, PARA PROYECTO DE GLOBELEC</t>
        </r>
      </text>
    </comment>
    <comment ref="C5510" authorId="0" shapeId="0" xr:uid="{00000000-0006-0000-0100-000075040000}">
      <text>
        <r>
          <rPr>
            <b/>
            <sz val="9"/>
            <color indexed="81"/>
            <rFont val="Tahoma"/>
            <family val="2"/>
          </rPr>
          <t>Jorge Arturo Espinoza:</t>
        </r>
        <r>
          <rPr>
            <sz val="9"/>
            <color indexed="81"/>
            <rFont val="Tahoma"/>
            <family val="2"/>
          </rPr>
          <t xml:space="preserve">
COTIZADO POR CEYESA, PARA PROYECTO DE GLOBELEC</t>
        </r>
      </text>
    </comment>
    <comment ref="C5511" authorId="0" shapeId="0" xr:uid="{00000000-0006-0000-0100-000076040000}">
      <text>
        <r>
          <rPr>
            <b/>
            <sz val="9"/>
            <color indexed="81"/>
            <rFont val="Tahoma"/>
            <family val="2"/>
          </rPr>
          <t>Jorge Arturo Espinoza:</t>
        </r>
        <r>
          <rPr>
            <sz val="9"/>
            <color indexed="81"/>
            <rFont val="Tahoma"/>
            <family val="2"/>
          </rPr>
          <t xml:space="preserve">
COTIZADO POR CEYESA, PARA PROYECTO DE GLOBELEC</t>
        </r>
      </text>
    </comment>
    <comment ref="C5512" authorId="0" shapeId="0" xr:uid="{00000000-0006-0000-0100-000077040000}">
      <text>
        <r>
          <rPr>
            <b/>
            <sz val="9"/>
            <color indexed="81"/>
            <rFont val="Tahoma"/>
            <family val="2"/>
          </rPr>
          <t>Jorge Arturo Espinoza:</t>
        </r>
        <r>
          <rPr>
            <sz val="9"/>
            <color indexed="81"/>
            <rFont val="Tahoma"/>
            <family val="2"/>
          </rPr>
          <t xml:space="preserve">
COTIZADO POR CEYESA, PARA PROYECTO DE GLOBELEC</t>
        </r>
      </text>
    </comment>
    <comment ref="C5513" authorId="0" shapeId="0" xr:uid="{00000000-0006-0000-0100-000078040000}">
      <text>
        <r>
          <rPr>
            <b/>
            <sz val="9"/>
            <color indexed="81"/>
            <rFont val="Tahoma"/>
            <family val="2"/>
          </rPr>
          <t>Jorge Arturo Espinoza:</t>
        </r>
        <r>
          <rPr>
            <sz val="9"/>
            <color indexed="81"/>
            <rFont val="Tahoma"/>
            <family val="2"/>
          </rPr>
          <t xml:space="preserve">
COTIZADO POR CEYESA, PARA PROYECTO DE GLOBELEC</t>
        </r>
      </text>
    </comment>
    <comment ref="C5515" authorId="0" shapeId="0" xr:uid="{00000000-0006-0000-0100-000079040000}">
      <text>
        <r>
          <rPr>
            <b/>
            <sz val="9"/>
            <color indexed="81"/>
            <rFont val="Tahoma"/>
            <family val="2"/>
          </rPr>
          <t>Jorge Arturo Espinoza:</t>
        </r>
        <r>
          <rPr>
            <sz val="9"/>
            <color indexed="81"/>
            <rFont val="Tahoma"/>
            <family val="2"/>
          </rPr>
          <t xml:space="preserve">
COTIZADO POR CEYESA, PARA PROYECTO DE GLOBELEC</t>
        </r>
      </text>
    </comment>
    <comment ref="E5515" authorId="0" shapeId="0" xr:uid="{00000000-0006-0000-0100-00007A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C5516" authorId="0" shapeId="0" xr:uid="{00000000-0006-0000-0100-00007B040000}">
      <text>
        <r>
          <rPr>
            <b/>
            <sz val="9"/>
            <color indexed="81"/>
            <rFont val="Tahoma"/>
            <family val="2"/>
          </rPr>
          <t>Jorge Arturo Espinoza:</t>
        </r>
        <r>
          <rPr>
            <sz val="9"/>
            <color indexed="81"/>
            <rFont val="Tahoma"/>
            <family val="2"/>
          </rPr>
          <t xml:space="preserve">
COTIZADO POR CEYESA, PARA PROYECTO DE GLOBELEC</t>
        </r>
      </text>
    </comment>
    <comment ref="E5516" authorId="0" shapeId="0" xr:uid="{00000000-0006-0000-0100-00007C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C5517" authorId="0" shapeId="0" xr:uid="{00000000-0006-0000-0100-00007D040000}">
      <text>
        <r>
          <rPr>
            <b/>
            <sz val="9"/>
            <color indexed="81"/>
            <rFont val="Tahoma"/>
            <family val="2"/>
          </rPr>
          <t>Jorge Arturo Espinoza:</t>
        </r>
        <r>
          <rPr>
            <sz val="9"/>
            <color indexed="81"/>
            <rFont val="Tahoma"/>
            <family val="2"/>
          </rPr>
          <t xml:space="preserve">
COTIZADO POR CEYESA, PARA PROYECTO DE GLOBELEC</t>
        </r>
      </text>
    </comment>
    <comment ref="E5517" authorId="0" shapeId="0" xr:uid="{00000000-0006-0000-0100-00007E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C5518" authorId="0" shapeId="0" xr:uid="{00000000-0006-0000-0100-00007F040000}">
      <text>
        <r>
          <rPr>
            <b/>
            <sz val="9"/>
            <color indexed="81"/>
            <rFont val="Tahoma"/>
            <family val="2"/>
          </rPr>
          <t>Jorge Arturo Espinoza:</t>
        </r>
        <r>
          <rPr>
            <sz val="9"/>
            <color indexed="81"/>
            <rFont val="Tahoma"/>
            <family val="2"/>
          </rPr>
          <t xml:space="preserve">
COTIZADO POR CEYESA, PARA PROYECTO DE GLOBELEC</t>
        </r>
      </text>
    </comment>
    <comment ref="E5518" authorId="0" shapeId="0" xr:uid="{00000000-0006-0000-0100-000080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C5519" authorId="0" shapeId="0" xr:uid="{00000000-0006-0000-0100-000081040000}">
      <text>
        <r>
          <rPr>
            <b/>
            <sz val="9"/>
            <color indexed="81"/>
            <rFont val="Tahoma"/>
            <family val="2"/>
          </rPr>
          <t>Jorge Arturo Espinoza:</t>
        </r>
        <r>
          <rPr>
            <sz val="9"/>
            <color indexed="81"/>
            <rFont val="Tahoma"/>
            <family val="2"/>
          </rPr>
          <t xml:space="preserve">
COTIZADO POR CEYESA, PARA PROYECTO DE GLOBELEC</t>
        </r>
      </text>
    </comment>
    <comment ref="E5519" authorId="0" shapeId="0" xr:uid="{00000000-0006-0000-0100-000082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B5522" authorId="0" shapeId="0" xr:uid="{00000000-0006-0000-0100-000083040000}">
      <text>
        <r>
          <rPr>
            <b/>
            <sz val="9"/>
            <color indexed="81"/>
            <rFont val="Tahoma"/>
            <family val="2"/>
          </rPr>
          <t>Jorge Arturo Espinoza:</t>
        </r>
        <r>
          <rPr>
            <sz val="9"/>
            <color indexed="81"/>
            <rFont val="Tahoma"/>
            <family val="2"/>
          </rPr>
          <t xml:space="preserve">
1P</t>
        </r>
      </text>
    </comment>
    <comment ref="C5522" authorId="0" shapeId="0" xr:uid="{00000000-0006-0000-0100-000084040000}">
      <text>
        <r>
          <rPr>
            <b/>
            <sz val="9"/>
            <color indexed="81"/>
            <rFont val="Tahoma"/>
            <family val="2"/>
          </rPr>
          <t>Jorge Arturo Espinoza:</t>
        </r>
        <r>
          <rPr>
            <sz val="9"/>
            <color indexed="81"/>
            <rFont val="Tahoma"/>
            <family val="2"/>
          </rPr>
          <t xml:space="preserve">
COTIZADO POR CEYESA, PARA PROYECTO DE GLOBELEC</t>
        </r>
      </text>
    </comment>
    <comment ref="E5522" authorId="0" shapeId="0" xr:uid="{00000000-0006-0000-0100-000085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B5523" authorId="0" shapeId="0" xr:uid="{00000000-0006-0000-0100-000086040000}">
      <text>
        <r>
          <rPr>
            <b/>
            <sz val="9"/>
            <color indexed="81"/>
            <rFont val="Tahoma"/>
            <family val="2"/>
          </rPr>
          <t>Jorge Arturo Espinoza:</t>
        </r>
        <r>
          <rPr>
            <sz val="9"/>
            <color indexed="81"/>
            <rFont val="Tahoma"/>
            <family val="2"/>
          </rPr>
          <t xml:space="preserve">
1N</t>
        </r>
      </text>
    </comment>
    <comment ref="C5523" authorId="0" shapeId="0" xr:uid="{00000000-0006-0000-0100-000087040000}">
      <text>
        <r>
          <rPr>
            <b/>
            <sz val="9"/>
            <color indexed="81"/>
            <rFont val="Tahoma"/>
            <family val="2"/>
          </rPr>
          <t>Jorge Arturo Espinoza:</t>
        </r>
        <r>
          <rPr>
            <sz val="9"/>
            <color indexed="81"/>
            <rFont val="Tahoma"/>
            <family val="2"/>
          </rPr>
          <t xml:space="preserve">
COTIZADO POR CEYESA, PARA PROYECTO DE GLOBELEC</t>
        </r>
      </text>
    </comment>
    <comment ref="E5523" authorId="0" shapeId="0" xr:uid="{00000000-0006-0000-0100-000088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B5524" authorId="0" shapeId="0" xr:uid="{00000000-0006-0000-0100-000089040000}">
      <text>
        <r>
          <rPr>
            <b/>
            <sz val="9"/>
            <color indexed="81"/>
            <rFont val="Tahoma"/>
            <family val="2"/>
          </rPr>
          <t>Jorge Arturo Espinoza:</t>
        </r>
        <r>
          <rPr>
            <sz val="9"/>
            <color indexed="81"/>
            <rFont val="Tahoma"/>
            <family val="2"/>
          </rPr>
          <t xml:space="preserve">
BASE</t>
        </r>
      </text>
    </comment>
    <comment ref="C5524" authorId="0" shapeId="0" xr:uid="{00000000-0006-0000-0100-00008A040000}">
      <text>
        <r>
          <rPr>
            <b/>
            <sz val="9"/>
            <color indexed="81"/>
            <rFont val="Tahoma"/>
            <family val="2"/>
          </rPr>
          <t>Jorge Arturo Espinoza:</t>
        </r>
        <r>
          <rPr>
            <sz val="9"/>
            <color indexed="81"/>
            <rFont val="Tahoma"/>
            <family val="2"/>
          </rPr>
          <t xml:space="preserve">
COTIZADO POR CEYESA, PARA PROYECTO DE GLOBELEC</t>
        </r>
      </text>
    </comment>
    <comment ref="E5524" authorId="0" shapeId="0" xr:uid="{00000000-0006-0000-0100-00008B040000}">
      <text>
        <r>
          <rPr>
            <b/>
            <sz val="9"/>
            <color indexed="81"/>
            <rFont val="Tahoma"/>
            <family val="2"/>
          </rPr>
          <t>Jorge Arturo Espinoza:</t>
        </r>
        <r>
          <rPr>
            <sz val="9"/>
            <color indexed="81"/>
            <rFont val="Tahoma"/>
            <family val="2"/>
          </rPr>
          <t xml:space="preserve">
CONSIDERANDO CABLES DE FUERZA, EN LA PARTE INFERIOR DEL TABLERO AUTOSOPORTADO:
CABLE + TERM.PRENS + PERNOS/ARANDELAS</t>
        </r>
      </text>
    </comment>
    <comment ref="D5527" authorId="1" shapeId="0" xr:uid="{00000000-0006-0000-0100-00008C040000}">
      <text>
        <r>
          <rPr>
            <b/>
            <sz val="9"/>
            <color indexed="81"/>
            <rFont val="Tahoma"/>
            <family val="2"/>
          </rPr>
          <t>Roberto Meza:</t>
        </r>
        <r>
          <rPr>
            <sz val="9"/>
            <color indexed="81"/>
            <rFont val="Tahoma"/>
            <family val="2"/>
          </rPr>
          <t xml:space="preserve">
10/08/19</t>
        </r>
      </text>
    </comment>
    <comment ref="D5529" authorId="1" shapeId="0" xr:uid="{00000000-0006-0000-0100-00008D040000}">
      <text>
        <r>
          <rPr>
            <b/>
            <sz val="9"/>
            <color indexed="81"/>
            <rFont val="Tahoma"/>
            <family val="2"/>
          </rPr>
          <t>Roberto Meza:</t>
        </r>
        <r>
          <rPr>
            <sz val="9"/>
            <color indexed="81"/>
            <rFont val="Tahoma"/>
            <family val="2"/>
          </rPr>
          <t xml:space="preserve">
10/08/19</t>
        </r>
      </text>
    </comment>
    <comment ref="B5555" authorId="0" shapeId="0" xr:uid="{00000000-0006-0000-0100-00008E040000}">
      <text>
        <r>
          <rPr>
            <b/>
            <sz val="9"/>
            <color indexed="81"/>
            <rFont val="Tahoma"/>
            <family val="2"/>
          </rPr>
          <t>Jorge Arturo Espinoza:</t>
        </r>
        <r>
          <rPr>
            <sz val="9"/>
            <color indexed="81"/>
            <rFont val="Tahoma"/>
            <family val="2"/>
          </rPr>
          <t xml:space="preserve">
COTIZADO POR FAMETAL</t>
        </r>
      </text>
    </comment>
    <comment ref="B5556" authorId="0" shapeId="0" xr:uid="{00000000-0006-0000-0100-00008F040000}">
      <text>
        <r>
          <rPr>
            <b/>
            <sz val="9"/>
            <color indexed="81"/>
            <rFont val="Tahoma"/>
            <family val="2"/>
          </rPr>
          <t>Jorge Arturo Espinoza:</t>
        </r>
        <r>
          <rPr>
            <sz val="9"/>
            <color indexed="81"/>
            <rFont val="Tahoma"/>
            <family val="2"/>
          </rPr>
          <t xml:space="preserve">
COTIZADO POR FAMETAL</t>
        </r>
      </text>
    </comment>
    <comment ref="B5560" authorId="0" shapeId="0" xr:uid="{00000000-0006-0000-0100-000090040000}">
      <text>
        <r>
          <rPr>
            <b/>
            <sz val="9"/>
            <color indexed="81"/>
            <rFont val="Tahoma"/>
            <family val="2"/>
          </rPr>
          <t>Jorge Arturo Espinoza:</t>
        </r>
        <r>
          <rPr>
            <sz val="9"/>
            <color indexed="81"/>
            <rFont val="Tahoma"/>
            <family val="2"/>
          </rPr>
          <t xml:space="preserve">
COTIZADO POR CEYESA</t>
        </r>
      </text>
    </comment>
    <comment ref="B5562" authorId="0" shapeId="0" xr:uid="{00000000-0006-0000-0100-000091040000}">
      <text>
        <r>
          <rPr>
            <b/>
            <sz val="9"/>
            <color indexed="81"/>
            <rFont val="Tahoma"/>
            <family val="2"/>
          </rPr>
          <t>Jorge Arturo Espinoza:</t>
        </r>
        <r>
          <rPr>
            <sz val="9"/>
            <color indexed="81"/>
            <rFont val="Tahoma"/>
            <family val="2"/>
          </rPr>
          <t xml:space="preserve">
COTIZADO POR CEYESA</t>
        </r>
      </text>
    </comment>
    <comment ref="B5564" authorId="0" shapeId="0" xr:uid="{00000000-0006-0000-0100-000092040000}">
      <text>
        <r>
          <rPr>
            <b/>
            <sz val="9"/>
            <color indexed="81"/>
            <rFont val="Tahoma"/>
            <family val="2"/>
          </rPr>
          <t>Jorge Arturo Espinoza:</t>
        </r>
        <r>
          <rPr>
            <sz val="9"/>
            <color indexed="81"/>
            <rFont val="Tahoma"/>
            <family val="2"/>
          </rPr>
          <t xml:space="preserve">
COTIZADO POR CEYESA</t>
        </r>
      </text>
    </comment>
    <comment ref="B5566" authorId="0" shapeId="0" xr:uid="{00000000-0006-0000-0100-000093040000}">
      <text>
        <r>
          <rPr>
            <b/>
            <sz val="9"/>
            <color indexed="81"/>
            <rFont val="Tahoma"/>
            <family val="2"/>
          </rPr>
          <t>Jorge Arturo Espinoza:</t>
        </r>
        <r>
          <rPr>
            <sz val="9"/>
            <color indexed="81"/>
            <rFont val="Tahoma"/>
            <family val="2"/>
          </rPr>
          <t xml:space="preserve">
COTIZADO POR CEYESA</t>
        </r>
      </text>
    </comment>
    <comment ref="C5615" authorId="3" shapeId="0" xr:uid="{00000000-0006-0000-0100-000094040000}">
      <text>
        <r>
          <rPr>
            <b/>
            <sz val="9"/>
            <color indexed="81"/>
            <rFont val="Tahoma"/>
            <family val="2"/>
          </rPr>
          <t>Jean Inga:</t>
        </r>
        <r>
          <rPr>
            <sz val="9"/>
            <color indexed="81"/>
            <rFont val="Tahoma"/>
            <family val="2"/>
          </rPr>
          <t xml:space="preserve">
20/12/2019</t>
        </r>
      </text>
    </comment>
    <comment ref="C5616" authorId="3" shapeId="0" xr:uid="{00000000-0006-0000-0100-000095040000}">
      <text>
        <r>
          <rPr>
            <b/>
            <sz val="9"/>
            <color indexed="81"/>
            <rFont val="Tahoma"/>
            <family val="2"/>
          </rPr>
          <t>Paulo Olano:</t>
        </r>
        <r>
          <rPr>
            <sz val="9"/>
            <color indexed="81"/>
            <rFont val="Tahoma"/>
            <family val="2"/>
          </rPr>
          <t xml:space="preserve">
13/08/2019</t>
        </r>
      </text>
    </comment>
    <comment ref="C5618" authorId="3" shapeId="0" xr:uid="{00000000-0006-0000-0100-000096040000}">
      <text>
        <r>
          <rPr>
            <b/>
            <sz val="9"/>
            <color indexed="81"/>
            <rFont val="Tahoma"/>
            <family val="2"/>
          </rPr>
          <t>Paulo Olano:</t>
        </r>
        <r>
          <rPr>
            <sz val="9"/>
            <color indexed="81"/>
            <rFont val="Tahoma"/>
            <family val="2"/>
          </rPr>
          <t xml:space="preserve">
13/08/2019
</t>
        </r>
      </text>
    </comment>
    <comment ref="B5620" authorId="0" shapeId="0" xr:uid="{00000000-0006-0000-0100-000097040000}">
      <text>
        <r>
          <rPr>
            <b/>
            <sz val="9"/>
            <color indexed="81"/>
            <rFont val="Tahoma"/>
            <family val="2"/>
          </rPr>
          <t>Jorge Arturo Espinoza:</t>
        </r>
        <r>
          <rPr>
            <sz val="9"/>
            <color indexed="81"/>
            <rFont val="Tahoma"/>
            <family val="2"/>
          </rPr>
          <t xml:space="preserve">
Se recomienda minimo uno por cada Relé de Vig.
Repite los valores que muestra el Rele de Vgilancia.</t>
        </r>
      </text>
    </comment>
    <comment ref="C5620" authorId="3" shapeId="0" xr:uid="{00000000-0006-0000-0100-000098040000}">
      <text>
        <r>
          <rPr>
            <b/>
            <sz val="9"/>
            <color indexed="81"/>
            <rFont val="Tahoma"/>
            <family val="2"/>
          </rPr>
          <t>Paulo Olano:</t>
        </r>
        <r>
          <rPr>
            <sz val="9"/>
            <color indexed="81"/>
            <rFont val="Tahoma"/>
            <family val="2"/>
          </rPr>
          <t xml:space="preserve">
22/02/2019
</t>
        </r>
      </text>
    </comment>
    <comment ref="C5622" authorId="3" shapeId="0" xr:uid="{00000000-0006-0000-0100-000099040000}">
      <text>
        <r>
          <rPr>
            <b/>
            <sz val="9"/>
            <color indexed="81"/>
            <rFont val="Tahoma"/>
            <family val="2"/>
          </rPr>
          <t>Paulo Olano:</t>
        </r>
        <r>
          <rPr>
            <sz val="9"/>
            <color indexed="81"/>
            <rFont val="Tahoma"/>
            <family val="2"/>
          </rPr>
          <t xml:space="preserve">
13/08/2019
</t>
        </r>
      </text>
    </comment>
    <comment ref="C5624" authorId="3" shapeId="0" xr:uid="{00000000-0006-0000-0100-00009A040000}">
      <text>
        <r>
          <rPr>
            <b/>
            <sz val="9"/>
            <color indexed="81"/>
            <rFont val="Tahoma"/>
            <family val="2"/>
          </rPr>
          <t>Paulo Olano:</t>
        </r>
        <r>
          <rPr>
            <sz val="9"/>
            <color indexed="81"/>
            <rFont val="Tahoma"/>
            <family val="2"/>
          </rPr>
          <t xml:space="preserve">
22/02/2019</t>
        </r>
      </text>
    </comment>
    <comment ref="C5627" authorId="0" shapeId="0" xr:uid="{00000000-0006-0000-0100-00009B040000}">
      <text>
        <r>
          <rPr>
            <b/>
            <sz val="9"/>
            <color indexed="81"/>
            <rFont val="Tahoma"/>
            <family val="2"/>
          </rPr>
          <t>Jorge Arturo Espinoza:</t>
        </r>
        <r>
          <rPr>
            <sz val="9"/>
            <color indexed="81"/>
            <rFont val="Tahoma"/>
            <family val="2"/>
          </rPr>
          <t xml:space="preserve">
SUELTO</t>
        </r>
      </text>
    </comment>
    <comment ref="B5630" authorId="0" shapeId="0" xr:uid="{00000000-0006-0000-0100-00009C040000}">
      <text>
        <r>
          <rPr>
            <b/>
            <sz val="9"/>
            <color indexed="81"/>
            <rFont val="Tahoma"/>
            <family val="2"/>
          </rPr>
          <t>Jorge Arturo Espinoza:</t>
        </r>
        <r>
          <rPr>
            <sz val="9"/>
            <color indexed="81"/>
            <rFont val="Tahoma"/>
            <family val="2"/>
          </rPr>
          <t xml:space="preserve">
Se recomienda minimo uno por cada Relé de Vig.
Repite los valores que muestra el Rele de Vgilancia.</t>
        </r>
      </text>
    </comment>
    <comment ref="C5630" authorId="0" shapeId="0" xr:uid="{00000000-0006-0000-0100-00009D040000}">
      <text>
        <r>
          <rPr>
            <b/>
            <sz val="9"/>
            <color indexed="81"/>
            <rFont val="Tahoma"/>
            <family val="2"/>
          </rPr>
          <t>Jorge Arturo Espinoza:</t>
        </r>
        <r>
          <rPr>
            <sz val="9"/>
            <color indexed="81"/>
            <rFont val="Tahoma"/>
            <family val="2"/>
          </rPr>
          <t xml:space="preserve">
SUELTO</t>
        </r>
      </text>
    </comment>
    <comment ref="H5630" authorId="0" shapeId="0" xr:uid="{00000000-0006-0000-0100-00009E040000}">
      <text>
        <r>
          <rPr>
            <b/>
            <sz val="9"/>
            <color indexed="81"/>
            <rFont val="Tahoma"/>
            <family val="2"/>
          </rPr>
          <t>Jorge Arturo Espinoza:</t>
        </r>
        <r>
          <rPr>
            <sz val="9"/>
            <color indexed="81"/>
            <rFont val="Tahoma"/>
            <family val="2"/>
          </rPr>
          <t xml:space="preserve">
Se recomienda minimo uno por cada Relé de Vig.
Repite los valores que muestra el Rele de Vgilancia.</t>
        </r>
      </text>
    </comment>
    <comment ref="C5631" authorId="0" shapeId="0" xr:uid="{00000000-0006-0000-0100-00009F040000}">
      <text>
        <r>
          <rPr>
            <b/>
            <sz val="9"/>
            <color indexed="81"/>
            <rFont val="Tahoma"/>
            <family val="2"/>
          </rPr>
          <t>Jean Inga:</t>
        </r>
        <r>
          <rPr>
            <sz val="9"/>
            <color indexed="81"/>
            <rFont val="Tahoma"/>
            <family val="2"/>
          </rPr>
          <t xml:space="preserve">
20/12/2019</t>
        </r>
      </text>
    </comment>
    <comment ref="C5632" authorId="0" shapeId="0" xr:uid="{00000000-0006-0000-0100-0000A0040000}">
      <text>
        <r>
          <rPr>
            <b/>
            <sz val="9"/>
            <color indexed="81"/>
            <rFont val="Tahoma"/>
            <family val="2"/>
          </rPr>
          <t>Jorge Arturo Espinoza:</t>
        </r>
        <r>
          <rPr>
            <sz val="9"/>
            <color indexed="81"/>
            <rFont val="Tahoma"/>
            <family val="2"/>
          </rPr>
          <t xml:space="preserve">
SUELTO</t>
        </r>
      </text>
    </comment>
    <comment ref="B5633" authorId="0" shapeId="0" xr:uid="{00000000-0006-0000-0100-0000A1040000}">
      <text>
        <r>
          <rPr>
            <b/>
            <sz val="9"/>
            <color indexed="81"/>
            <rFont val="Tahoma"/>
            <family val="2"/>
          </rPr>
          <t>Jorge Arturo Espinoza:</t>
        </r>
        <r>
          <rPr>
            <sz val="9"/>
            <color indexed="81"/>
            <rFont val="Tahoma"/>
            <family val="2"/>
          </rPr>
          <t xml:space="preserve">
Se recomienda minimo uno por cada Relé de Vig.
Repite los valores que muestra el Rele de Vgilancia.</t>
        </r>
      </text>
    </comment>
    <comment ref="C5633" authorId="0" shapeId="0" xr:uid="{00000000-0006-0000-0100-0000A2040000}">
      <text>
        <r>
          <rPr>
            <b/>
            <sz val="9"/>
            <color indexed="81"/>
            <rFont val="Tahoma"/>
            <family val="2"/>
          </rPr>
          <t xml:space="preserve">Jean Inga:
</t>
        </r>
        <r>
          <rPr>
            <sz val="9"/>
            <color indexed="81"/>
            <rFont val="Tahoma"/>
            <family val="2"/>
          </rPr>
          <t>20/12/2019</t>
        </r>
      </text>
    </comment>
    <comment ref="H5633" authorId="0" shapeId="0" xr:uid="{00000000-0006-0000-0100-0000A3040000}">
      <text>
        <r>
          <rPr>
            <b/>
            <sz val="9"/>
            <color indexed="81"/>
            <rFont val="Tahoma"/>
            <family val="2"/>
          </rPr>
          <t>Jorge Arturo Espinoza:</t>
        </r>
        <r>
          <rPr>
            <sz val="9"/>
            <color indexed="81"/>
            <rFont val="Tahoma"/>
            <family val="2"/>
          </rPr>
          <t xml:space="preserve">
Se recomienda minimo uno por cada Relé de Vig.
Repite los valores que muestra el Rele de Vgilancia.</t>
        </r>
      </text>
    </comment>
    <comment ref="C5634" authorId="0" shapeId="0" xr:uid="{00000000-0006-0000-0100-0000A4040000}">
      <text>
        <r>
          <rPr>
            <b/>
            <sz val="9"/>
            <color indexed="81"/>
            <rFont val="Tahoma"/>
            <family val="2"/>
          </rPr>
          <t xml:space="preserve">Jean Inga:
</t>
        </r>
        <r>
          <rPr>
            <sz val="9"/>
            <color indexed="81"/>
            <rFont val="Tahoma"/>
            <family val="2"/>
          </rPr>
          <t>20/12/2019</t>
        </r>
      </text>
    </comment>
    <comment ref="C5635" authorId="0" shapeId="0" xr:uid="{00000000-0006-0000-0100-0000A5040000}">
      <text>
        <r>
          <rPr>
            <b/>
            <sz val="9"/>
            <color indexed="81"/>
            <rFont val="Tahoma"/>
            <family val="2"/>
          </rPr>
          <t>Jean Inga:</t>
        </r>
        <r>
          <rPr>
            <sz val="9"/>
            <color indexed="81"/>
            <rFont val="Tahoma"/>
            <family val="2"/>
          </rPr>
          <t xml:space="preserve">
20/12/2019
</t>
        </r>
      </text>
    </comment>
    <comment ref="C5637" authorId="3" shapeId="0" xr:uid="{00000000-0006-0000-0100-0000A6040000}">
      <text>
        <r>
          <rPr>
            <b/>
            <sz val="9"/>
            <color indexed="81"/>
            <rFont val="Tahoma"/>
            <family val="2"/>
          </rPr>
          <t>Paulo Olano:</t>
        </r>
        <r>
          <rPr>
            <sz val="9"/>
            <color indexed="81"/>
            <rFont val="Tahoma"/>
            <family val="2"/>
          </rPr>
          <t xml:space="preserve">
22/02/2019</t>
        </r>
      </text>
    </comment>
    <comment ref="C5638" authorId="3" shapeId="0" xr:uid="{00000000-0006-0000-0100-0000A7040000}">
      <text>
        <r>
          <rPr>
            <b/>
            <sz val="9"/>
            <color indexed="81"/>
            <rFont val="Tahoma"/>
            <family val="2"/>
          </rPr>
          <t>Paulo Olano:</t>
        </r>
        <r>
          <rPr>
            <sz val="9"/>
            <color indexed="81"/>
            <rFont val="Tahoma"/>
            <family val="2"/>
          </rPr>
          <t xml:space="preserve">
22/02/2019
</t>
        </r>
      </text>
    </comment>
    <comment ref="C5640" authorId="0" shapeId="0" xr:uid="{00000000-0006-0000-0100-0000A8040000}">
      <text>
        <r>
          <rPr>
            <b/>
            <sz val="9"/>
            <color indexed="81"/>
            <rFont val="Tahoma"/>
            <family val="2"/>
          </rPr>
          <t>Jorge Arturo Espinoza:</t>
        </r>
        <r>
          <rPr>
            <sz val="9"/>
            <color indexed="81"/>
            <rFont val="Tahoma"/>
            <family val="2"/>
          </rPr>
          <t xml:space="preserve">
SUELTO</t>
        </r>
      </text>
    </comment>
    <comment ref="C5642" authorId="3" shapeId="0" xr:uid="{00000000-0006-0000-0100-0000A9040000}">
      <text>
        <r>
          <rPr>
            <b/>
            <sz val="9"/>
            <color indexed="81"/>
            <rFont val="Tahoma"/>
            <family val="2"/>
          </rPr>
          <t>Paulo Olano:</t>
        </r>
        <r>
          <rPr>
            <sz val="9"/>
            <color indexed="81"/>
            <rFont val="Tahoma"/>
            <family val="2"/>
          </rPr>
          <t xml:space="preserve">
13/08/2019</t>
        </r>
      </text>
    </comment>
    <comment ref="C5643" authorId="3" shapeId="0" xr:uid="{00000000-0006-0000-0100-0000AA040000}">
      <text>
        <r>
          <rPr>
            <b/>
            <sz val="9"/>
            <color indexed="81"/>
            <rFont val="Tahoma"/>
            <family val="2"/>
          </rPr>
          <t>Paulo Olano:</t>
        </r>
        <r>
          <rPr>
            <sz val="9"/>
            <color indexed="81"/>
            <rFont val="Tahoma"/>
            <family val="2"/>
          </rPr>
          <t xml:space="preserve">
22/02/2019</t>
        </r>
      </text>
    </comment>
    <comment ref="C5645" authorId="3" shapeId="0" xr:uid="{00000000-0006-0000-0100-0000AB040000}">
      <text>
        <r>
          <rPr>
            <b/>
            <sz val="9"/>
            <color indexed="81"/>
            <rFont val="Tahoma"/>
            <family val="2"/>
          </rPr>
          <t>Paulo Olano:</t>
        </r>
        <r>
          <rPr>
            <sz val="9"/>
            <color indexed="81"/>
            <rFont val="Tahoma"/>
            <family val="2"/>
          </rPr>
          <t xml:space="preserve">
22/02/2019</t>
        </r>
      </text>
    </comment>
    <comment ref="C6486" authorId="3" shapeId="0" xr:uid="{00000000-0006-0000-0100-0000AC040000}">
      <text>
        <r>
          <rPr>
            <b/>
            <sz val="9"/>
            <color indexed="81"/>
            <rFont val="Tahoma"/>
            <family val="2"/>
          </rPr>
          <t>Paulo Olano:</t>
        </r>
        <r>
          <rPr>
            <sz val="9"/>
            <color indexed="81"/>
            <rFont val="Tahoma"/>
            <family val="2"/>
          </rPr>
          <t xml:space="preserve">
SEP-2019 PRECIO POR MEGA</t>
        </r>
      </text>
    </comment>
    <comment ref="C6487" authorId="3" shapeId="0" xr:uid="{00000000-0006-0000-0100-0000AD040000}">
      <text>
        <r>
          <rPr>
            <b/>
            <sz val="9"/>
            <color indexed="81"/>
            <rFont val="Tahoma"/>
            <family val="2"/>
          </rPr>
          <t>Paulo Olano:</t>
        </r>
        <r>
          <rPr>
            <sz val="9"/>
            <color indexed="81"/>
            <rFont val="Tahoma"/>
            <family val="2"/>
          </rPr>
          <t xml:space="preserve">
SEP-2019 PRECIO POR MEGA</t>
        </r>
      </text>
    </comment>
    <comment ref="C6490" authorId="3" shapeId="0" xr:uid="{00000000-0006-0000-0100-0000AE040000}">
      <text>
        <r>
          <rPr>
            <b/>
            <sz val="9"/>
            <color indexed="81"/>
            <rFont val="Tahoma"/>
            <family val="2"/>
          </rPr>
          <t>Paulo Olano:</t>
        </r>
        <r>
          <rPr>
            <sz val="9"/>
            <color indexed="81"/>
            <rFont val="Tahoma"/>
            <family val="2"/>
          </rPr>
          <t xml:space="preserve">
COTIZACO POR MEGA 09/04/2019</t>
        </r>
      </text>
    </comment>
    <comment ref="C6491" authorId="3" shapeId="0" xr:uid="{00000000-0006-0000-0100-0000AF040000}">
      <text>
        <r>
          <rPr>
            <b/>
            <sz val="9"/>
            <color indexed="81"/>
            <rFont val="Tahoma"/>
            <family val="2"/>
          </rPr>
          <t>Paulo Olano:</t>
        </r>
        <r>
          <rPr>
            <sz val="9"/>
            <color indexed="81"/>
            <rFont val="Tahoma"/>
            <family val="2"/>
          </rPr>
          <t xml:space="preserve">
COTIZACO POR MEGA 09/04/2019</t>
        </r>
      </text>
    </comment>
    <comment ref="C6497" authorId="3" shapeId="0" xr:uid="{00000000-0006-0000-0100-0000B0040000}">
      <text>
        <r>
          <rPr>
            <b/>
            <sz val="9"/>
            <color indexed="81"/>
            <rFont val="Tahoma"/>
            <family val="2"/>
          </rPr>
          <t>Paulo Olano:</t>
        </r>
        <r>
          <rPr>
            <sz val="9"/>
            <color indexed="81"/>
            <rFont val="Tahoma"/>
            <family val="2"/>
          </rPr>
          <t xml:space="preserve">
06/09/2017 JULIO SOTO</t>
        </r>
      </text>
    </comment>
    <comment ref="C6498" authorId="3" shapeId="0" xr:uid="{00000000-0006-0000-0100-0000B1040000}">
      <text>
        <r>
          <rPr>
            <b/>
            <sz val="9"/>
            <color indexed="81"/>
            <rFont val="Tahoma"/>
            <family val="2"/>
          </rPr>
          <t>Paulo Olano:</t>
        </r>
        <r>
          <rPr>
            <sz val="9"/>
            <color indexed="81"/>
            <rFont val="Tahoma"/>
            <family val="2"/>
          </rPr>
          <t xml:space="preserve">
06/09/2017 JULIO SOTO</t>
        </r>
      </text>
    </comment>
    <comment ref="C6499" authorId="3" shapeId="0" xr:uid="{00000000-0006-0000-0100-0000B2040000}">
      <text>
        <r>
          <rPr>
            <b/>
            <sz val="9"/>
            <color indexed="81"/>
            <rFont val="Tahoma"/>
            <family val="2"/>
          </rPr>
          <t>Paulo Olano:</t>
        </r>
        <r>
          <rPr>
            <sz val="9"/>
            <color indexed="81"/>
            <rFont val="Tahoma"/>
            <family val="2"/>
          </rPr>
          <t xml:space="preserve">
26/09/2017 JULIO SOTO
</t>
        </r>
      </text>
    </comment>
    <comment ref="C6500" authorId="0" shapeId="0" xr:uid="{00000000-0006-0000-0100-0000B3040000}">
      <text>
        <r>
          <rPr>
            <b/>
            <sz val="9"/>
            <color indexed="81"/>
            <rFont val="Tahoma"/>
            <family val="2"/>
          </rPr>
          <t>Jorge Arturo Espinoza:</t>
        </r>
        <r>
          <rPr>
            <sz val="9"/>
            <color indexed="81"/>
            <rFont val="Tahoma"/>
            <family val="2"/>
          </rPr>
          <t xml:space="preserve">
COTIZADO POR E&amp;P</t>
        </r>
      </text>
    </comment>
    <comment ref="C6502" authorId="3" shapeId="0" xr:uid="{00000000-0006-0000-0100-0000B4040000}">
      <text>
        <r>
          <rPr>
            <b/>
            <sz val="9"/>
            <color indexed="81"/>
            <rFont val="Tahoma"/>
            <family val="2"/>
          </rPr>
          <t>Paulo Olano:</t>
        </r>
        <r>
          <rPr>
            <sz val="9"/>
            <color indexed="81"/>
            <rFont val="Tahoma"/>
            <family val="2"/>
          </rPr>
          <t xml:space="preserve">
PRECIO SET-2019</t>
        </r>
      </text>
    </comment>
    <comment ref="C6503" authorId="3" shapeId="0" xr:uid="{00000000-0006-0000-0100-0000B5040000}">
      <text>
        <r>
          <rPr>
            <b/>
            <sz val="9"/>
            <color indexed="81"/>
            <rFont val="Tahoma"/>
            <family val="2"/>
          </rPr>
          <t>Paulo Olano:</t>
        </r>
        <r>
          <rPr>
            <sz val="9"/>
            <color indexed="81"/>
            <rFont val="Tahoma"/>
            <family val="2"/>
          </rPr>
          <t xml:space="preserve">
PRECIO SET-2019</t>
        </r>
      </text>
    </comment>
    <comment ref="C6504" authorId="3" shapeId="0" xr:uid="{00000000-0006-0000-0100-0000B6040000}">
      <text>
        <r>
          <rPr>
            <b/>
            <sz val="9"/>
            <color indexed="81"/>
            <rFont val="Tahoma"/>
            <family val="2"/>
          </rPr>
          <t>Paulo Olano:</t>
        </r>
        <r>
          <rPr>
            <sz val="9"/>
            <color indexed="81"/>
            <rFont val="Tahoma"/>
            <family val="2"/>
          </rPr>
          <t xml:space="preserve">
PRECIO SET-2019</t>
        </r>
      </text>
    </comment>
    <comment ref="C6505" authorId="3" shapeId="0" xr:uid="{00000000-0006-0000-0100-0000B7040000}">
      <text>
        <r>
          <rPr>
            <b/>
            <sz val="9"/>
            <color indexed="81"/>
            <rFont val="Tahoma"/>
            <family val="2"/>
          </rPr>
          <t>Paulo Olano:</t>
        </r>
        <r>
          <rPr>
            <sz val="9"/>
            <color indexed="81"/>
            <rFont val="Tahoma"/>
            <family val="2"/>
          </rPr>
          <t xml:space="preserve">
SET-2019</t>
        </r>
      </text>
    </comment>
    <comment ref="C6507" authorId="3" shapeId="0" xr:uid="{00000000-0006-0000-0100-0000B8040000}">
      <text>
        <r>
          <rPr>
            <b/>
            <sz val="9"/>
            <color indexed="81"/>
            <rFont val="Tahoma"/>
            <family val="2"/>
          </rPr>
          <t>Paulo Olano:</t>
        </r>
        <r>
          <rPr>
            <sz val="9"/>
            <color indexed="81"/>
            <rFont val="Tahoma"/>
            <family val="2"/>
          </rPr>
          <t xml:space="preserve">
SET-2019</t>
        </r>
      </text>
    </comment>
    <comment ref="C6509" authorId="3" shapeId="0" xr:uid="{00000000-0006-0000-0100-0000B9040000}">
      <text>
        <r>
          <rPr>
            <b/>
            <sz val="9"/>
            <color indexed="81"/>
            <rFont val="Tahoma"/>
            <family val="2"/>
          </rPr>
          <t>Paulo Olano:</t>
        </r>
        <r>
          <rPr>
            <sz val="9"/>
            <color indexed="81"/>
            <rFont val="Tahoma"/>
            <family val="2"/>
          </rPr>
          <t xml:space="preserve">
SET-2019</t>
        </r>
      </text>
    </comment>
    <comment ref="C6510" authorId="3" shapeId="0" xr:uid="{00000000-0006-0000-0100-0000BA040000}">
      <text>
        <r>
          <rPr>
            <b/>
            <sz val="9"/>
            <color indexed="81"/>
            <rFont val="Tahoma"/>
            <family val="2"/>
          </rPr>
          <t>Paulo Olano:</t>
        </r>
        <r>
          <rPr>
            <sz val="9"/>
            <color indexed="81"/>
            <rFont val="Tahoma"/>
            <family val="2"/>
          </rPr>
          <t xml:space="preserve">
SET-2019</t>
        </r>
      </text>
    </comment>
    <comment ref="C6511" authorId="3" shapeId="0" xr:uid="{00000000-0006-0000-0100-0000BB040000}">
      <text>
        <r>
          <rPr>
            <b/>
            <sz val="9"/>
            <color indexed="81"/>
            <rFont val="Tahoma"/>
            <family val="2"/>
          </rPr>
          <t>Paulo Olano:</t>
        </r>
        <r>
          <rPr>
            <sz val="9"/>
            <color indexed="81"/>
            <rFont val="Tahoma"/>
            <family val="2"/>
          </rPr>
          <t xml:space="preserve">
SET-2019</t>
        </r>
      </text>
    </comment>
    <comment ref="C6512" authorId="3" shapeId="0" xr:uid="{00000000-0006-0000-0100-0000BC040000}">
      <text>
        <r>
          <rPr>
            <b/>
            <sz val="9"/>
            <color indexed="81"/>
            <rFont val="Tahoma"/>
            <family val="2"/>
          </rPr>
          <t>Paulo Olano:</t>
        </r>
        <r>
          <rPr>
            <sz val="9"/>
            <color indexed="81"/>
            <rFont val="Tahoma"/>
            <family val="2"/>
          </rPr>
          <t xml:space="preserve">
SET-2019</t>
        </r>
      </text>
    </comment>
    <comment ref="C6513" authorId="3" shapeId="0" xr:uid="{00000000-0006-0000-0100-0000BD040000}">
      <text>
        <r>
          <rPr>
            <b/>
            <sz val="9"/>
            <color indexed="81"/>
            <rFont val="Tahoma"/>
            <family val="2"/>
          </rPr>
          <t>Paulo Olano:</t>
        </r>
        <r>
          <rPr>
            <sz val="9"/>
            <color indexed="81"/>
            <rFont val="Tahoma"/>
            <family val="2"/>
          </rPr>
          <t xml:space="preserve">
SET-2019</t>
        </r>
      </text>
    </comment>
    <comment ref="C6514" authorId="3" shapeId="0" xr:uid="{00000000-0006-0000-0100-0000BE040000}">
      <text>
        <r>
          <rPr>
            <b/>
            <sz val="9"/>
            <color indexed="81"/>
            <rFont val="Tahoma"/>
            <family val="2"/>
          </rPr>
          <t>Paulo Olano:</t>
        </r>
        <r>
          <rPr>
            <sz val="9"/>
            <color indexed="81"/>
            <rFont val="Tahoma"/>
            <family val="2"/>
          </rPr>
          <t xml:space="preserve">
SET-2019</t>
        </r>
      </text>
    </comment>
    <comment ref="C6516" authorId="4" shapeId="0" xr:uid="{00000000-0006-0000-0100-0000BF040000}">
      <text>
        <r>
          <rPr>
            <b/>
            <sz val="9"/>
            <color indexed="81"/>
            <rFont val="Tahoma"/>
            <family val="2"/>
          </rPr>
          <t>Jean Inga:
precio 18/05/19</t>
        </r>
      </text>
    </comment>
    <comment ref="C6526" authorId="0" shapeId="0" xr:uid="{00000000-0006-0000-0100-0000C0040000}">
      <text>
        <r>
          <rPr>
            <b/>
            <sz val="9"/>
            <color indexed="81"/>
            <rFont val="Tahoma"/>
            <family val="2"/>
          </rPr>
          <t>Jorge Arturo Espinoza:</t>
        </r>
        <r>
          <rPr>
            <sz val="9"/>
            <color indexed="81"/>
            <rFont val="Tahoma"/>
            <family val="2"/>
          </rPr>
          <t xml:space="preserve">
PRECIO NEGOCIADO</t>
        </r>
      </text>
    </comment>
    <comment ref="C6527" authorId="0" shapeId="0" xr:uid="{00000000-0006-0000-0100-0000C1040000}">
      <text>
        <r>
          <rPr>
            <b/>
            <sz val="9"/>
            <color indexed="81"/>
            <rFont val="Tahoma"/>
            <family val="2"/>
          </rPr>
          <t>Jorge Arturo Espinoza:</t>
        </r>
        <r>
          <rPr>
            <sz val="9"/>
            <color indexed="81"/>
            <rFont val="Tahoma"/>
            <family val="2"/>
          </rPr>
          <t xml:space="preserve">
PRECIO NEGOCIADO</t>
        </r>
      </text>
    </comment>
    <comment ref="C6528" authorId="0" shapeId="0" xr:uid="{00000000-0006-0000-0100-0000C2040000}">
      <text>
        <r>
          <rPr>
            <b/>
            <sz val="9"/>
            <color indexed="81"/>
            <rFont val="Tahoma"/>
            <family val="2"/>
          </rPr>
          <t>Jorge Arturo Espinoza:</t>
        </r>
        <r>
          <rPr>
            <sz val="9"/>
            <color indexed="81"/>
            <rFont val="Tahoma"/>
            <family val="2"/>
          </rPr>
          <t xml:space="preserve">
PRECIO NEGOCIADO</t>
        </r>
      </text>
    </comment>
    <comment ref="C6529" authorId="0" shapeId="0" xr:uid="{00000000-0006-0000-0100-0000C3040000}">
      <text>
        <r>
          <rPr>
            <b/>
            <sz val="9"/>
            <color indexed="81"/>
            <rFont val="Tahoma"/>
            <family val="2"/>
          </rPr>
          <t>Jorge Arturo Espinoza:</t>
        </r>
        <r>
          <rPr>
            <sz val="9"/>
            <color indexed="81"/>
            <rFont val="Tahoma"/>
            <family val="2"/>
          </rPr>
          <t xml:space="preserve">
PRECIO NEGOCIADO</t>
        </r>
      </text>
    </comment>
    <comment ref="C6531" authorId="0" shapeId="0" xr:uid="{00000000-0006-0000-0100-0000C4040000}">
      <text>
        <r>
          <rPr>
            <b/>
            <sz val="9"/>
            <color indexed="81"/>
            <rFont val="Tahoma"/>
            <family val="2"/>
          </rPr>
          <t>Jorge Arturo Espinoza:</t>
        </r>
        <r>
          <rPr>
            <sz val="9"/>
            <color indexed="81"/>
            <rFont val="Tahoma"/>
            <family val="2"/>
          </rPr>
          <t xml:space="preserve">
PRECIO NEGOCIADO</t>
        </r>
      </text>
    </comment>
    <comment ref="C6532" authorId="0" shapeId="0" xr:uid="{00000000-0006-0000-0100-0000C5040000}">
      <text>
        <r>
          <rPr>
            <b/>
            <sz val="9"/>
            <color indexed="81"/>
            <rFont val="Tahoma"/>
            <family val="2"/>
          </rPr>
          <t>Jorge Arturo Espinoza:</t>
        </r>
        <r>
          <rPr>
            <sz val="9"/>
            <color indexed="81"/>
            <rFont val="Tahoma"/>
            <family val="2"/>
          </rPr>
          <t xml:space="preserve">
PRECIO NEGOCIADO</t>
        </r>
      </text>
    </comment>
    <comment ref="C6536" authorId="0" shapeId="0" xr:uid="{00000000-0006-0000-0100-0000C6040000}">
      <text>
        <r>
          <rPr>
            <b/>
            <sz val="9"/>
            <color indexed="81"/>
            <rFont val="Tahoma"/>
            <family val="2"/>
          </rPr>
          <t>Jorge Arturo Espinoza:</t>
        </r>
        <r>
          <rPr>
            <sz val="9"/>
            <color indexed="81"/>
            <rFont val="Tahoma"/>
            <family val="2"/>
          </rPr>
          <t xml:space="preserve">
PRECIO NEGOCIADO</t>
        </r>
      </text>
    </comment>
    <comment ref="C6538" authorId="0" shapeId="0" xr:uid="{00000000-0006-0000-0100-0000C7040000}">
      <text>
        <r>
          <rPr>
            <b/>
            <sz val="9"/>
            <color indexed="81"/>
            <rFont val="Tahoma"/>
            <family val="2"/>
          </rPr>
          <t>Jorge Arturo Espinoza:</t>
        </r>
        <r>
          <rPr>
            <sz val="9"/>
            <color indexed="81"/>
            <rFont val="Tahoma"/>
            <family val="2"/>
          </rPr>
          <t xml:space="preserve">
PRECIO NEGOCIADO</t>
        </r>
      </text>
    </comment>
    <comment ref="C6539" authorId="0" shapeId="0" xr:uid="{00000000-0006-0000-0100-0000C8040000}">
      <text>
        <r>
          <rPr>
            <b/>
            <sz val="9"/>
            <color indexed="81"/>
            <rFont val="Tahoma"/>
            <family val="2"/>
          </rPr>
          <t>Jorge Arturo Espinoza:</t>
        </r>
        <r>
          <rPr>
            <sz val="9"/>
            <color indexed="81"/>
            <rFont val="Tahoma"/>
            <family val="2"/>
          </rPr>
          <t xml:space="preserve">
PRECIO NEGOCIADO</t>
        </r>
      </text>
    </comment>
    <comment ref="C6540" authorId="0" shapeId="0" xr:uid="{00000000-0006-0000-0100-0000C9040000}">
      <text>
        <r>
          <rPr>
            <b/>
            <sz val="9"/>
            <color indexed="81"/>
            <rFont val="Tahoma"/>
            <family val="2"/>
          </rPr>
          <t>Jorge Arturo Espinoza:</t>
        </r>
        <r>
          <rPr>
            <sz val="9"/>
            <color indexed="81"/>
            <rFont val="Tahoma"/>
            <family val="2"/>
          </rPr>
          <t xml:space="preserve">
PRECIO NEGOCIADO</t>
        </r>
      </text>
    </comment>
    <comment ref="C6543" authorId="0" shapeId="0" xr:uid="{00000000-0006-0000-0100-0000CA040000}">
      <text>
        <r>
          <rPr>
            <b/>
            <sz val="9"/>
            <color indexed="81"/>
            <rFont val="Tahoma"/>
            <family val="2"/>
          </rPr>
          <t>Jorge Arturo Espinoza:</t>
        </r>
        <r>
          <rPr>
            <sz val="9"/>
            <color indexed="81"/>
            <rFont val="Tahoma"/>
            <family val="2"/>
          </rPr>
          <t xml:space="preserve">
PRECIO NEGOCIADO</t>
        </r>
      </text>
    </comment>
    <comment ref="C6544" authorId="0" shapeId="0" xr:uid="{00000000-0006-0000-0100-0000CB040000}">
      <text>
        <r>
          <rPr>
            <b/>
            <sz val="9"/>
            <color indexed="81"/>
            <rFont val="Tahoma"/>
            <family val="2"/>
          </rPr>
          <t>Jorge Arturo Espinoza:</t>
        </r>
        <r>
          <rPr>
            <sz val="9"/>
            <color indexed="81"/>
            <rFont val="Tahoma"/>
            <family val="2"/>
          </rPr>
          <t xml:space="preserve">
PRECIO NEGOCIADO</t>
        </r>
      </text>
    </comment>
    <comment ref="C6547" authorId="0" shapeId="0" xr:uid="{00000000-0006-0000-0100-0000CC040000}">
      <text>
        <r>
          <rPr>
            <b/>
            <sz val="9"/>
            <color indexed="81"/>
            <rFont val="Tahoma"/>
            <family val="2"/>
          </rPr>
          <t>Jorge Arturo Espinoza:</t>
        </r>
        <r>
          <rPr>
            <sz val="9"/>
            <color indexed="81"/>
            <rFont val="Tahoma"/>
            <family val="2"/>
          </rPr>
          <t xml:space="preserve">
PRECIO NEGOCIADO</t>
        </r>
      </text>
    </comment>
    <comment ref="C6552" authorId="0" shapeId="0" xr:uid="{00000000-0006-0000-0100-0000CD040000}">
      <text>
        <r>
          <rPr>
            <b/>
            <sz val="9"/>
            <color indexed="81"/>
            <rFont val="Tahoma"/>
            <family val="2"/>
          </rPr>
          <t>Jorge Arturo Espinoza:</t>
        </r>
        <r>
          <rPr>
            <sz val="9"/>
            <color indexed="81"/>
            <rFont val="Tahoma"/>
            <family val="2"/>
          </rPr>
          <t xml:space="preserve">
PRECIO NEGOCIADO</t>
        </r>
      </text>
    </comment>
    <comment ref="C6554" authorId="0" shapeId="0" xr:uid="{00000000-0006-0000-0100-0000CE040000}">
      <text>
        <r>
          <rPr>
            <b/>
            <sz val="9"/>
            <color indexed="81"/>
            <rFont val="Tahoma"/>
            <family val="2"/>
          </rPr>
          <t>Jorge Arturo Espinoza:</t>
        </r>
        <r>
          <rPr>
            <sz val="9"/>
            <color indexed="81"/>
            <rFont val="Tahoma"/>
            <family val="2"/>
          </rPr>
          <t xml:space="preserve">
PRECIO NEGOCIADO</t>
        </r>
      </text>
    </comment>
    <comment ref="C6555" authorId="0" shapeId="0" xr:uid="{00000000-0006-0000-0100-0000CF040000}">
      <text>
        <r>
          <rPr>
            <b/>
            <sz val="9"/>
            <color indexed="81"/>
            <rFont val="Tahoma"/>
            <family val="2"/>
          </rPr>
          <t>Jorge Arturo Espinoza:</t>
        </r>
        <r>
          <rPr>
            <sz val="9"/>
            <color indexed="81"/>
            <rFont val="Tahoma"/>
            <family val="2"/>
          </rPr>
          <t xml:space="preserve">
PRECIO NEGOCIADO</t>
        </r>
      </text>
    </comment>
    <comment ref="C7168" authorId="3" shapeId="0" xr:uid="{00000000-0006-0000-0100-0000D0040000}">
      <text>
        <r>
          <rPr>
            <b/>
            <sz val="9"/>
            <color indexed="81"/>
            <rFont val="Tahoma"/>
            <family val="2"/>
          </rPr>
          <t>Paulo Olano:</t>
        </r>
        <r>
          <rPr>
            <sz val="9"/>
            <color indexed="81"/>
            <rFont val="Tahoma"/>
            <family val="2"/>
          </rPr>
          <t xml:space="preserve">
SEP-2019 PRECIO POR MEGA</t>
        </r>
      </text>
    </comment>
    <comment ref="C7169" authorId="3" shapeId="0" xr:uid="{00000000-0006-0000-0100-0000D1040000}">
      <text>
        <r>
          <rPr>
            <b/>
            <sz val="9"/>
            <color indexed="81"/>
            <rFont val="Tahoma"/>
            <family val="2"/>
          </rPr>
          <t>Paulo Olano:</t>
        </r>
        <r>
          <rPr>
            <sz val="9"/>
            <color indexed="81"/>
            <rFont val="Tahoma"/>
            <family val="2"/>
          </rPr>
          <t xml:space="preserve">
SEP-2019 PRECIO POR MEGA</t>
        </r>
      </text>
    </comment>
    <comment ref="C7172" authorId="3" shapeId="0" xr:uid="{00000000-0006-0000-0100-0000D2040000}">
      <text>
        <r>
          <rPr>
            <b/>
            <sz val="9"/>
            <color indexed="81"/>
            <rFont val="Tahoma"/>
            <family val="2"/>
          </rPr>
          <t>Paulo Olano:</t>
        </r>
        <r>
          <rPr>
            <sz val="9"/>
            <color indexed="81"/>
            <rFont val="Tahoma"/>
            <family val="2"/>
          </rPr>
          <t xml:space="preserve">
COTIZACO POR MEGA 09/04/2019</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Jorge Arturo Espinoza</author>
  </authors>
  <commentList>
    <comment ref="B17" authorId="0" shapeId="0" xr:uid="{00000000-0006-0000-0300-000001000000}">
      <text>
        <r>
          <rPr>
            <b/>
            <sz val="9"/>
            <color indexed="81"/>
            <rFont val="Tahoma"/>
            <family val="2"/>
          </rPr>
          <t>Jorge Arturo Espinoza:</t>
        </r>
        <r>
          <rPr>
            <sz val="9"/>
            <color indexed="81"/>
            <rFont val="Tahoma"/>
            <family val="2"/>
          </rPr>
          <t xml:space="preserve">
AGREGADO MANUALMENTE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Jorge Arturo Espinoza</author>
  </authors>
  <commentList>
    <comment ref="AB6" authorId="0" shapeId="0" xr:uid="{00000000-0006-0000-0500-000001000000}">
      <text>
        <r>
          <rPr>
            <b/>
            <sz val="9"/>
            <color indexed="81"/>
            <rFont val="Tahoma"/>
            <family val="2"/>
          </rPr>
          <t>Jorge Arturo Espinoza:</t>
        </r>
        <r>
          <rPr>
            <sz val="9"/>
            <color indexed="81"/>
            <rFont val="Tahoma"/>
            <family val="2"/>
          </rPr>
          <t xml:space="preserve">
Estimado por mí.</t>
        </r>
      </text>
    </comment>
    <comment ref="AE6" authorId="0" shapeId="0" xr:uid="{00000000-0006-0000-0500-000002000000}">
      <text>
        <r>
          <rPr>
            <b/>
            <sz val="9"/>
            <color indexed="81"/>
            <rFont val="Tahoma"/>
            <family val="2"/>
          </rPr>
          <t>Jorge Arturo Espinoza:</t>
        </r>
        <r>
          <rPr>
            <sz val="9"/>
            <color indexed="81"/>
            <rFont val="Tahoma"/>
            <family val="2"/>
          </rPr>
          <t xml:space="preserve">
Estimado por mí.</t>
        </r>
      </text>
    </comment>
    <comment ref="AZ6" authorId="0" shapeId="0" xr:uid="{00000000-0006-0000-0500-000003000000}">
      <text>
        <r>
          <rPr>
            <b/>
            <sz val="9"/>
            <color indexed="81"/>
            <rFont val="Tahoma"/>
            <family val="2"/>
          </rPr>
          <t>Jorge Arturo Espinoza:</t>
        </r>
        <r>
          <rPr>
            <sz val="9"/>
            <color indexed="81"/>
            <rFont val="Tahoma"/>
            <family val="2"/>
          </rPr>
          <t xml:space="preserve">
Estimado por mí.</t>
        </r>
      </text>
    </comment>
    <comment ref="BC6" authorId="0" shapeId="0" xr:uid="{00000000-0006-0000-0500-000004000000}">
      <text>
        <r>
          <rPr>
            <b/>
            <sz val="9"/>
            <color indexed="81"/>
            <rFont val="Tahoma"/>
            <family val="2"/>
          </rPr>
          <t>Jorge Arturo Espinoza:</t>
        </r>
        <r>
          <rPr>
            <sz val="9"/>
            <color indexed="81"/>
            <rFont val="Tahoma"/>
            <family val="2"/>
          </rPr>
          <t xml:space="preserve">
Estimado por mí.</t>
        </r>
      </text>
    </comment>
    <comment ref="AB11" authorId="0" shapeId="0" xr:uid="{00000000-0006-0000-0500-000005000000}">
      <text>
        <r>
          <rPr>
            <b/>
            <sz val="9"/>
            <color indexed="81"/>
            <rFont val="Tahoma"/>
            <family val="2"/>
          </rPr>
          <t>Jorge Arturo Espinoza:</t>
        </r>
        <r>
          <rPr>
            <sz val="9"/>
            <color indexed="81"/>
            <rFont val="Tahoma"/>
            <family val="2"/>
          </rPr>
          <t xml:space="preserve">
Estimado por mí.</t>
        </r>
      </text>
    </comment>
    <comment ref="AE11" authorId="0" shapeId="0" xr:uid="{00000000-0006-0000-0500-000006000000}">
      <text>
        <r>
          <rPr>
            <b/>
            <sz val="9"/>
            <color indexed="81"/>
            <rFont val="Tahoma"/>
            <family val="2"/>
          </rPr>
          <t>Jorge Arturo Espinoza:</t>
        </r>
        <r>
          <rPr>
            <sz val="9"/>
            <color indexed="81"/>
            <rFont val="Tahoma"/>
            <family val="2"/>
          </rPr>
          <t xml:space="preserve">
Estimado por mí.</t>
        </r>
      </text>
    </comment>
    <comment ref="AZ11" authorId="0" shapeId="0" xr:uid="{00000000-0006-0000-0500-000007000000}">
      <text>
        <r>
          <rPr>
            <b/>
            <sz val="9"/>
            <color indexed="81"/>
            <rFont val="Tahoma"/>
            <family val="2"/>
          </rPr>
          <t>Jorge Arturo Espinoza:</t>
        </r>
        <r>
          <rPr>
            <sz val="9"/>
            <color indexed="81"/>
            <rFont val="Tahoma"/>
            <family val="2"/>
          </rPr>
          <t xml:space="preserve">
Estimado por mí.</t>
        </r>
      </text>
    </comment>
    <comment ref="BC11" authorId="0" shapeId="0" xr:uid="{00000000-0006-0000-0500-000008000000}">
      <text>
        <r>
          <rPr>
            <b/>
            <sz val="9"/>
            <color indexed="81"/>
            <rFont val="Tahoma"/>
            <family val="2"/>
          </rPr>
          <t>Jorge Arturo Espinoza:</t>
        </r>
        <r>
          <rPr>
            <sz val="9"/>
            <color indexed="81"/>
            <rFont val="Tahoma"/>
            <family val="2"/>
          </rPr>
          <t xml:space="preserve">
Estimado por mí.</t>
        </r>
      </text>
    </comment>
    <comment ref="AB30" authorId="0" shapeId="0" xr:uid="{00000000-0006-0000-0500-000009000000}">
      <text>
        <r>
          <rPr>
            <b/>
            <sz val="9"/>
            <color indexed="81"/>
            <rFont val="Tahoma"/>
            <family val="2"/>
          </rPr>
          <t>Jorge Arturo Espinoza:</t>
        </r>
        <r>
          <rPr>
            <sz val="9"/>
            <color indexed="81"/>
            <rFont val="Tahoma"/>
            <family val="2"/>
          </rPr>
          <t xml:space="preserve">
Estimado por mí.</t>
        </r>
      </text>
    </comment>
    <comment ref="AE30" authorId="0" shapeId="0" xr:uid="{00000000-0006-0000-0500-00000A000000}">
      <text>
        <r>
          <rPr>
            <b/>
            <sz val="9"/>
            <color indexed="81"/>
            <rFont val="Tahoma"/>
            <family val="2"/>
          </rPr>
          <t>Jorge Arturo Espinoza:</t>
        </r>
        <r>
          <rPr>
            <sz val="9"/>
            <color indexed="81"/>
            <rFont val="Tahoma"/>
            <family val="2"/>
          </rPr>
          <t xml:space="preserve">
Estimado por mí.</t>
        </r>
      </text>
    </comment>
    <comment ref="AZ30" authorId="0" shapeId="0" xr:uid="{00000000-0006-0000-0500-00000B000000}">
      <text>
        <r>
          <rPr>
            <b/>
            <sz val="9"/>
            <color indexed="81"/>
            <rFont val="Tahoma"/>
            <family val="2"/>
          </rPr>
          <t>Jorge Arturo Espinoza:</t>
        </r>
        <r>
          <rPr>
            <sz val="9"/>
            <color indexed="81"/>
            <rFont val="Tahoma"/>
            <family val="2"/>
          </rPr>
          <t xml:space="preserve">
Estimado por mí.</t>
        </r>
      </text>
    </comment>
    <comment ref="BC30" authorId="0" shapeId="0" xr:uid="{00000000-0006-0000-0500-00000C000000}">
      <text>
        <r>
          <rPr>
            <b/>
            <sz val="9"/>
            <color indexed="81"/>
            <rFont val="Tahoma"/>
            <family val="2"/>
          </rPr>
          <t>Jorge Arturo Espinoza:</t>
        </r>
        <r>
          <rPr>
            <sz val="9"/>
            <color indexed="81"/>
            <rFont val="Tahoma"/>
            <family val="2"/>
          </rPr>
          <t xml:space="preserve">
Estimado por mí.</t>
        </r>
      </text>
    </comment>
    <comment ref="AB35" authorId="0" shapeId="0" xr:uid="{00000000-0006-0000-0500-00000D000000}">
      <text>
        <r>
          <rPr>
            <b/>
            <sz val="9"/>
            <color indexed="81"/>
            <rFont val="Tahoma"/>
            <family val="2"/>
          </rPr>
          <t>Jorge Arturo Espinoza:</t>
        </r>
        <r>
          <rPr>
            <sz val="9"/>
            <color indexed="81"/>
            <rFont val="Tahoma"/>
            <family val="2"/>
          </rPr>
          <t xml:space="preserve">
Estimado por mí.</t>
        </r>
      </text>
    </comment>
    <comment ref="AE35" authorId="0" shapeId="0" xr:uid="{00000000-0006-0000-0500-00000E000000}">
      <text>
        <r>
          <rPr>
            <b/>
            <sz val="9"/>
            <color indexed="81"/>
            <rFont val="Tahoma"/>
            <family val="2"/>
          </rPr>
          <t>Jorge Arturo Espinoza:</t>
        </r>
        <r>
          <rPr>
            <sz val="9"/>
            <color indexed="81"/>
            <rFont val="Tahoma"/>
            <family val="2"/>
          </rPr>
          <t xml:space="preserve">
Estimado por mí.</t>
        </r>
      </text>
    </comment>
    <comment ref="AZ35" authorId="0" shapeId="0" xr:uid="{00000000-0006-0000-0500-00000F000000}">
      <text>
        <r>
          <rPr>
            <b/>
            <sz val="9"/>
            <color indexed="81"/>
            <rFont val="Tahoma"/>
            <family val="2"/>
          </rPr>
          <t>Jorge Arturo Espinoza:</t>
        </r>
        <r>
          <rPr>
            <sz val="9"/>
            <color indexed="81"/>
            <rFont val="Tahoma"/>
            <family val="2"/>
          </rPr>
          <t xml:space="preserve">
Estimado por mí.</t>
        </r>
      </text>
    </comment>
    <comment ref="BC35" authorId="0" shapeId="0" xr:uid="{00000000-0006-0000-0500-000010000000}">
      <text>
        <r>
          <rPr>
            <b/>
            <sz val="9"/>
            <color indexed="81"/>
            <rFont val="Tahoma"/>
            <family val="2"/>
          </rPr>
          <t>Jorge Arturo Espinoza:</t>
        </r>
        <r>
          <rPr>
            <sz val="9"/>
            <color indexed="81"/>
            <rFont val="Tahoma"/>
            <family val="2"/>
          </rPr>
          <t xml:space="preserve">
Estimado por mí.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Jorge Arturo Espinoza</author>
  </authors>
  <commentList>
    <comment ref="B7" authorId="0" shapeId="0" xr:uid="{00000000-0006-0000-0700-000001000000}">
      <text>
        <r>
          <rPr>
            <b/>
            <sz val="9"/>
            <color indexed="81"/>
            <rFont val="Tahoma"/>
            <family val="2"/>
          </rPr>
          <t>Jorge Arturo Espinoza:</t>
        </r>
        <r>
          <rPr>
            <sz val="9"/>
            <color indexed="81"/>
            <rFont val="Tahoma"/>
            <family val="2"/>
          </rPr>
          <t xml:space="preserve">
Modificado por Roberto</t>
        </r>
      </text>
    </comment>
    <comment ref="E7" authorId="0" shapeId="0" xr:uid="{00000000-0006-0000-0700-000002000000}">
      <text>
        <r>
          <rPr>
            <b/>
            <sz val="9"/>
            <color indexed="81"/>
            <rFont val="Tahoma"/>
            <family val="2"/>
          </rPr>
          <t>Jorge Arturo Espinoza:</t>
        </r>
        <r>
          <rPr>
            <sz val="9"/>
            <color indexed="81"/>
            <rFont val="Tahoma"/>
            <family val="2"/>
          </rPr>
          <t xml:space="preserve">
modificado por Roberto</t>
        </r>
      </text>
    </comment>
    <comment ref="C36" authorId="0" shapeId="0" xr:uid="{00000000-0006-0000-0700-000003000000}">
      <text>
        <r>
          <rPr>
            <b/>
            <sz val="9"/>
            <color indexed="81"/>
            <rFont val="Tahoma"/>
            <family val="2"/>
          </rPr>
          <t>Jorge Arturo Espinoza:</t>
        </r>
        <r>
          <rPr>
            <sz val="9"/>
            <color indexed="81"/>
            <rFont val="Tahoma"/>
            <family val="2"/>
          </rPr>
          <t xml:space="preserve">
modificado por Roberto</t>
        </r>
      </text>
    </comment>
    <comment ref="C40" authorId="0" shapeId="0" xr:uid="{00000000-0006-0000-0700-000004000000}">
      <text>
        <r>
          <rPr>
            <b/>
            <sz val="9"/>
            <color indexed="81"/>
            <rFont val="Tahoma"/>
            <family val="2"/>
          </rPr>
          <t>Jorge Arturo Espinoza:</t>
        </r>
        <r>
          <rPr>
            <sz val="9"/>
            <color indexed="81"/>
            <rFont val="Tahoma"/>
            <family val="2"/>
          </rPr>
          <t xml:space="preserve">
modificado por Roberto</t>
        </r>
      </text>
    </comment>
    <comment ref="C44" authorId="0" shapeId="0" xr:uid="{00000000-0006-0000-0700-000005000000}">
      <text>
        <r>
          <rPr>
            <b/>
            <sz val="9"/>
            <color indexed="81"/>
            <rFont val="Tahoma"/>
            <family val="2"/>
          </rPr>
          <t>Jorge Arturo Espinoza:</t>
        </r>
        <r>
          <rPr>
            <sz val="9"/>
            <color indexed="81"/>
            <rFont val="Tahoma"/>
            <family val="2"/>
          </rPr>
          <t xml:space="preserve">
modificado por Roberto</t>
        </r>
      </text>
    </comment>
    <comment ref="C48" authorId="0" shapeId="0" xr:uid="{00000000-0006-0000-0700-000006000000}">
      <text>
        <r>
          <rPr>
            <b/>
            <sz val="9"/>
            <color indexed="81"/>
            <rFont val="Tahoma"/>
            <family val="2"/>
          </rPr>
          <t>Jorge Arturo Espinoza:</t>
        </r>
        <r>
          <rPr>
            <sz val="9"/>
            <color indexed="81"/>
            <rFont val="Tahoma"/>
            <family val="2"/>
          </rPr>
          <t xml:space="preserve">
modificado por Roberto</t>
        </r>
      </text>
    </comment>
    <comment ref="C52" authorId="0" shapeId="0" xr:uid="{00000000-0006-0000-0700-000007000000}">
      <text>
        <r>
          <rPr>
            <b/>
            <sz val="9"/>
            <color indexed="81"/>
            <rFont val="Tahoma"/>
            <family val="2"/>
          </rPr>
          <t>Jorge Arturo Espinoza:</t>
        </r>
        <r>
          <rPr>
            <sz val="9"/>
            <color indexed="81"/>
            <rFont val="Tahoma"/>
            <family val="2"/>
          </rPr>
          <t xml:space="preserve">
modificado por Roberto</t>
        </r>
      </text>
    </comment>
    <comment ref="C56" authorId="0" shapeId="0" xr:uid="{00000000-0006-0000-0700-000008000000}">
      <text>
        <r>
          <rPr>
            <b/>
            <sz val="9"/>
            <color indexed="81"/>
            <rFont val="Tahoma"/>
            <family val="2"/>
          </rPr>
          <t>Jorge Arturo Espinoza:</t>
        </r>
        <r>
          <rPr>
            <sz val="9"/>
            <color indexed="81"/>
            <rFont val="Tahoma"/>
            <family val="2"/>
          </rPr>
          <t xml:space="preserve">
modificado por Roberto</t>
        </r>
      </text>
    </comment>
    <comment ref="C60" authorId="0" shapeId="0" xr:uid="{00000000-0006-0000-0700-000009000000}">
      <text>
        <r>
          <rPr>
            <b/>
            <sz val="9"/>
            <color indexed="81"/>
            <rFont val="Tahoma"/>
            <family val="2"/>
          </rPr>
          <t>Jorge Arturo Espinoza:</t>
        </r>
        <r>
          <rPr>
            <sz val="9"/>
            <color indexed="81"/>
            <rFont val="Tahoma"/>
            <family val="2"/>
          </rPr>
          <t xml:space="preserve">
modificado por Roberto</t>
        </r>
      </text>
    </comment>
    <comment ref="C64" authorId="0" shapeId="0" xr:uid="{00000000-0006-0000-0700-00000A000000}">
      <text>
        <r>
          <rPr>
            <b/>
            <sz val="9"/>
            <color indexed="81"/>
            <rFont val="Tahoma"/>
            <family val="2"/>
          </rPr>
          <t>Jorge Arturo Espinoza:</t>
        </r>
        <r>
          <rPr>
            <sz val="9"/>
            <color indexed="81"/>
            <rFont val="Tahoma"/>
            <family val="2"/>
          </rPr>
          <t xml:space="preserve">
modificado por Roberto</t>
        </r>
      </text>
    </comment>
    <comment ref="C72" authorId="0" shapeId="0" xr:uid="{00000000-0006-0000-0700-00000B000000}">
      <text>
        <r>
          <rPr>
            <b/>
            <sz val="9"/>
            <color indexed="81"/>
            <rFont val="Tahoma"/>
            <family val="2"/>
          </rPr>
          <t>Jorge Arturo Espinoza:</t>
        </r>
        <r>
          <rPr>
            <sz val="9"/>
            <color indexed="81"/>
            <rFont val="Tahoma"/>
            <family val="2"/>
          </rPr>
          <t xml:space="preserve">
modificado por Roberto</t>
        </r>
      </text>
    </comment>
    <comment ref="C77" authorId="0" shapeId="0" xr:uid="{00000000-0006-0000-0700-00000C000000}">
      <text>
        <r>
          <rPr>
            <b/>
            <sz val="9"/>
            <color indexed="81"/>
            <rFont val="Tahoma"/>
            <family val="2"/>
          </rPr>
          <t>Jorge Arturo Espinoza:</t>
        </r>
        <r>
          <rPr>
            <sz val="9"/>
            <color indexed="81"/>
            <rFont val="Tahoma"/>
            <family val="2"/>
          </rPr>
          <t xml:space="preserve">
modificado por Roberto</t>
        </r>
      </text>
    </comment>
    <comment ref="C83" authorId="0" shapeId="0" xr:uid="{00000000-0006-0000-0700-00000D000000}">
      <text>
        <r>
          <rPr>
            <b/>
            <sz val="9"/>
            <color indexed="81"/>
            <rFont val="Tahoma"/>
            <family val="2"/>
          </rPr>
          <t>Jorge Arturo Espinoza:</t>
        </r>
        <r>
          <rPr>
            <sz val="9"/>
            <color indexed="81"/>
            <rFont val="Tahoma"/>
            <family val="2"/>
          </rPr>
          <t xml:space="preserve">
modificado por Roberto</t>
        </r>
      </text>
    </comment>
    <comment ref="C88" authorId="0" shapeId="0" xr:uid="{00000000-0006-0000-0700-00000E000000}">
      <text>
        <r>
          <rPr>
            <b/>
            <sz val="9"/>
            <color indexed="81"/>
            <rFont val="Tahoma"/>
            <family val="2"/>
          </rPr>
          <t>Jorge Arturo Espinoza:</t>
        </r>
        <r>
          <rPr>
            <sz val="9"/>
            <color indexed="81"/>
            <rFont val="Tahoma"/>
            <family val="2"/>
          </rPr>
          <t xml:space="preserve">
modificado por Roberto</t>
        </r>
      </text>
    </comment>
    <comment ref="C93" authorId="0" shapeId="0" xr:uid="{00000000-0006-0000-0700-00000F000000}">
      <text>
        <r>
          <rPr>
            <b/>
            <sz val="9"/>
            <color indexed="81"/>
            <rFont val="Tahoma"/>
            <family val="2"/>
          </rPr>
          <t>Jorge Arturo Espinoza:</t>
        </r>
        <r>
          <rPr>
            <sz val="9"/>
            <color indexed="81"/>
            <rFont val="Tahoma"/>
            <family val="2"/>
          </rPr>
          <t xml:space="preserve">
modificado por Roberto</t>
        </r>
      </text>
    </comment>
    <comment ref="C98" authorId="0" shapeId="0" xr:uid="{00000000-0006-0000-0700-000010000000}">
      <text>
        <r>
          <rPr>
            <b/>
            <sz val="9"/>
            <color indexed="81"/>
            <rFont val="Tahoma"/>
            <family val="2"/>
          </rPr>
          <t>Jorge Arturo Espinoza:</t>
        </r>
        <r>
          <rPr>
            <sz val="9"/>
            <color indexed="81"/>
            <rFont val="Tahoma"/>
            <family val="2"/>
          </rPr>
          <t xml:space="preserve">
modificado por Roberto</t>
        </r>
      </text>
    </comment>
    <comment ref="C103" authorId="0" shapeId="0" xr:uid="{00000000-0006-0000-0700-000011000000}">
      <text>
        <r>
          <rPr>
            <b/>
            <sz val="9"/>
            <color indexed="81"/>
            <rFont val="Tahoma"/>
            <family val="2"/>
          </rPr>
          <t>Jorge Arturo Espinoza:</t>
        </r>
        <r>
          <rPr>
            <sz val="9"/>
            <color indexed="81"/>
            <rFont val="Tahoma"/>
            <family val="2"/>
          </rPr>
          <t xml:space="preserve">
modificado por Roberto</t>
        </r>
      </text>
    </comment>
    <comment ref="C108" authorId="0" shapeId="0" xr:uid="{00000000-0006-0000-0700-000012000000}">
      <text>
        <r>
          <rPr>
            <b/>
            <sz val="9"/>
            <color indexed="81"/>
            <rFont val="Tahoma"/>
            <family val="2"/>
          </rPr>
          <t>Jorge Arturo Espinoza:</t>
        </r>
        <r>
          <rPr>
            <sz val="9"/>
            <color indexed="81"/>
            <rFont val="Tahoma"/>
            <family val="2"/>
          </rPr>
          <t xml:space="preserve">
modificado por Roberto</t>
        </r>
      </text>
    </comment>
    <comment ref="C113" authorId="0" shapeId="0" xr:uid="{00000000-0006-0000-0700-000013000000}">
      <text>
        <r>
          <rPr>
            <b/>
            <sz val="9"/>
            <color indexed="81"/>
            <rFont val="Tahoma"/>
            <family val="2"/>
          </rPr>
          <t>Jorge Arturo Espinoza:</t>
        </r>
        <r>
          <rPr>
            <sz val="9"/>
            <color indexed="81"/>
            <rFont val="Tahoma"/>
            <family val="2"/>
          </rPr>
          <t xml:space="preserve">
modificado por Roberto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Jorge Arturo Espinoza</author>
  </authors>
  <commentList>
    <comment ref="C61" authorId="0" shapeId="0" xr:uid="{00000000-0006-0000-1400-000001000000}">
      <text>
        <r>
          <rPr>
            <b/>
            <sz val="9"/>
            <color indexed="81"/>
            <rFont val="Tahoma"/>
            <family val="2"/>
          </rPr>
          <t>Jorge Arturo Espinoza:</t>
        </r>
        <r>
          <rPr>
            <sz val="9"/>
            <color indexed="81"/>
            <rFont val="Tahoma"/>
            <family val="2"/>
          </rPr>
          <t xml:space="preserve">
FALTA CAMBIAR A RITTAL, POR EL PRECIO</t>
        </r>
      </text>
    </comment>
    <comment ref="C163" authorId="0" shapeId="0" xr:uid="{00000000-0006-0000-1400-000002000000}">
      <text>
        <r>
          <rPr>
            <b/>
            <sz val="9"/>
            <color indexed="81"/>
            <rFont val="Tahoma"/>
            <family val="2"/>
          </rPr>
          <t>Jorge Arturo Espinoza:</t>
        </r>
        <r>
          <rPr>
            <sz val="9"/>
            <color indexed="81"/>
            <rFont val="Tahoma"/>
            <family val="2"/>
          </rPr>
          <t xml:space="preserve">
FALTA CAMBIAR A RITTAL, POR EL PRECIO</t>
        </r>
      </text>
    </comment>
    <comment ref="C281" authorId="0" shapeId="0" xr:uid="{00000000-0006-0000-1400-000003000000}">
      <text>
        <r>
          <rPr>
            <b/>
            <sz val="9"/>
            <color indexed="81"/>
            <rFont val="Tahoma"/>
            <family val="2"/>
          </rPr>
          <t>Jorge Arturo Espinoza:</t>
        </r>
        <r>
          <rPr>
            <sz val="9"/>
            <color indexed="81"/>
            <rFont val="Tahoma"/>
            <family val="2"/>
          </rPr>
          <t xml:space="preserve">
FALTA CAMBIAR A RITTAL, POR EL PRECIO</t>
        </r>
      </text>
    </comment>
    <comment ref="C337" authorId="0" shapeId="0" xr:uid="{00000000-0006-0000-1400-000004000000}">
      <text>
        <r>
          <rPr>
            <b/>
            <sz val="9"/>
            <color indexed="81"/>
            <rFont val="Tahoma"/>
            <family val="2"/>
          </rPr>
          <t>Jorge Arturo Espinoza:</t>
        </r>
        <r>
          <rPr>
            <sz val="9"/>
            <color indexed="81"/>
            <rFont val="Tahoma"/>
            <family val="2"/>
          </rPr>
          <t xml:space="preserve">
FALTA CAMBIAR A RITTAL, POR EL PRECIO</t>
        </r>
      </text>
    </comment>
    <comment ref="C406" authorId="0" shapeId="0" xr:uid="{00000000-0006-0000-1400-000005000000}">
      <text>
        <r>
          <rPr>
            <b/>
            <sz val="9"/>
            <color indexed="81"/>
            <rFont val="Tahoma"/>
            <family val="2"/>
          </rPr>
          <t>Jorge Arturo Espinoza:</t>
        </r>
        <r>
          <rPr>
            <sz val="9"/>
            <color indexed="81"/>
            <rFont val="Tahoma"/>
            <family val="2"/>
          </rPr>
          <t xml:space="preserve">
FALTA CAMBIAR A RITTAL, POR EL PRECIO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Jorge Arturo Espinoza</author>
  </authors>
  <commentList>
    <comment ref="C52" authorId="0" shapeId="0" xr:uid="{00000000-0006-0000-1500-000001000000}">
      <text>
        <r>
          <rPr>
            <b/>
            <sz val="9"/>
            <color indexed="81"/>
            <rFont val="Tahoma"/>
            <family val="2"/>
          </rPr>
          <t>Jorge Arturo Espinoza:</t>
        </r>
        <r>
          <rPr>
            <sz val="9"/>
            <color indexed="81"/>
            <rFont val="Tahoma"/>
            <family val="2"/>
          </rPr>
          <t xml:space="preserve">
FALTA CAMBIAR A RITTAL, POR EL PRECIO</t>
        </r>
      </text>
    </comment>
    <comment ref="C110" authorId="0" shapeId="0" xr:uid="{00000000-0006-0000-1500-000002000000}">
      <text>
        <r>
          <rPr>
            <b/>
            <sz val="9"/>
            <color indexed="81"/>
            <rFont val="Tahoma"/>
            <family val="2"/>
          </rPr>
          <t>Jorge Arturo Espinoza:</t>
        </r>
        <r>
          <rPr>
            <sz val="9"/>
            <color indexed="81"/>
            <rFont val="Tahoma"/>
            <family val="2"/>
          </rPr>
          <t xml:space="preserve">
FALTA CAMBIAR A RITTAL, POR EL PRECIO</t>
        </r>
      </text>
    </comment>
    <comment ref="C211" authorId="0" shapeId="0" xr:uid="{00000000-0006-0000-1500-000003000000}">
      <text>
        <r>
          <rPr>
            <b/>
            <sz val="9"/>
            <color indexed="81"/>
            <rFont val="Tahoma"/>
            <family val="2"/>
          </rPr>
          <t>Jorge Arturo Espinoza:</t>
        </r>
        <r>
          <rPr>
            <sz val="9"/>
            <color indexed="81"/>
            <rFont val="Tahoma"/>
            <family val="2"/>
          </rPr>
          <t xml:space="preserve">
FALTA CAMBIAR A RITTAL, POR EL PRECIO</t>
        </r>
      </text>
    </comment>
    <comment ref="C272" authorId="0" shapeId="0" xr:uid="{00000000-0006-0000-1500-000004000000}">
      <text>
        <r>
          <rPr>
            <b/>
            <sz val="9"/>
            <color indexed="81"/>
            <rFont val="Tahoma"/>
            <family val="2"/>
          </rPr>
          <t>Jorge Arturo Espinoza:</t>
        </r>
        <r>
          <rPr>
            <sz val="9"/>
            <color indexed="81"/>
            <rFont val="Tahoma"/>
            <family val="2"/>
          </rPr>
          <t xml:space="preserve">
FALTA CAMBIAR A RITTAL, POR EL PRECIO</t>
        </r>
      </text>
    </comment>
  </commentList>
</comments>
</file>

<file path=xl/sharedStrings.xml><?xml version="1.0" encoding="utf-8"?>
<sst xmlns="http://schemas.openxmlformats.org/spreadsheetml/2006/main" count="37160" uniqueCount="14160">
  <si>
    <t>Descripción</t>
  </si>
  <si>
    <t>GRH325T33WP40</t>
  </si>
  <si>
    <t>GRH320T33WP17</t>
  </si>
  <si>
    <t>GRH316T33WP09</t>
  </si>
  <si>
    <t>T1600RDM</t>
  </si>
  <si>
    <t>GNS316T33WP35</t>
  </si>
  <si>
    <t>GNS3125T33WP09</t>
  </si>
  <si>
    <t>GNS3800T33WP19</t>
  </si>
  <si>
    <t>T1200NB3M</t>
  </si>
  <si>
    <t>GLS3630AAM</t>
  </si>
  <si>
    <t>GLS3500AAM</t>
  </si>
  <si>
    <t>GLS3400AAM</t>
  </si>
  <si>
    <t>GLS3320AAM</t>
  </si>
  <si>
    <t>3TA631LK</t>
  </si>
  <si>
    <t>GJS3250AAM</t>
  </si>
  <si>
    <t>GJS3200AAM</t>
  </si>
  <si>
    <t>GJS3160AAM</t>
  </si>
  <si>
    <t>T250FJ</t>
  </si>
  <si>
    <t>GES3160AFM</t>
  </si>
  <si>
    <t>3TA160EFK</t>
  </si>
  <si>
    <t>GES3125AFM</t>
  </si>
  <si>
    <t>GES3100AFM</t>
  </si>
  <si>
    <t>GES3080AFM</t>
  </si>
  <si>
    <t>GES3063AFM</t>
  </si>
  <si>
    <t>GES3050AFM</t>
  </si>
  <si>
    <t>GES3040AFM</t>
  </si>
  <si>
    <t>GES3032AFM</t>
  </si>
  <si>
    <t>GES3020AFM</t>
  </si>
  <si>
    <t>3T125EF</t>
  </si>
  <si>
    <t>AUXALRMJPK</t>
  </si>
  <si>
    <t>AA115RPK</t>
  </si>
  <si>
    <t>TC 1000/5</t>
  </si>
  <si>
    <t>TC 600/5</t>
  </si>
  <si>
    <t>TC 250/5</t>
  </si>
  <si>
    <t>BC</t>
  </si>
  <si>
    <t>BT</t>
  </si>
  <si>
    <t>P. Lista</t>
  </si>
  <si>
    <t>P.U.</t>
  </si>
  <si>
    <t>SUB-TOTAL</t>
  </si>
  <si>
    <t>P.U. DESC.</t>
  </si>
  <si>
    <t>TOTAL :</t>
  </si>
  <si>
    <t>CANT.</t>
  </si>
  <si>
    <t>$</t>
  </si>
  <si>
    <t>Estimados señores :</t>
  </si>
  <si>
    <t>Atendiendo a su amable solicitud , nos es grato cotizar lo siguiente :</t>
  </si>
  <si>
    <t>Item</t>
  </si>
  <si>
    <t>Cant.</t>
  </si>
  <si>
    <t>DESCRIPCION</t>
  </si>
  <si>
    <t>GES2040FFG</t>
  </si>
  <si>
    <t>GEE3125FFM</t>
  </si>
  <si>
    <t>GEE3070FFM</t>
  </si>
  <si>
    <t>GEE3020FFM</t>
  </si>
  <si>
    <t>GEE3100FFM</t>
  </si>
  <si>
    <t>GEE3030FFM</t>
  </si>
  <si>
    <t>GEE3040FFM</t>
  </si>
  <si>
    <t>P.U</t>
  </si>
  <si>
    <t>Kg/m.</t>
  </si>
  <si>
    <t>$/m.</t>
  </si>
  <si>
    <t>12x2mm2.</t>
  </si>
  <si>
    <t>15x3mm2.</t>
  </si>
  <si>
    <t>20x3mm2.</t>
  </si>
  <si>
    <t>20x5mm2.</t>
  </si>
  <si>
    <t>20x10mm2.</t>
  </si>
  <si>
    <t>25x5mm2.</t>
  </si>
  <si>
    <t>0.5/400</t>
  </si>
  <si>
    <t>1/750</t>
  </si>
  <si>
    <t>1/1000</t>
  </si>
  <si>
    <t>1.5/1250</t>
  </si>
  <si>
    <t xml:space="preserve">          Aisladores</t>
  </si>
  <si>
    <t>Longitud</t>
  </si>
  <si>
    <t xml:space="preserve">Seccion </t>
  </si>
  <si>
    <t>Aislador</t>
  </si>
  <si>
    <t>TABLERO</t>
  </si>
  <si>
    <t>(m)</t>
  </si>
  <si>
    <t>(mm2)</t>
  </si>
  <si>
    <t>($/m)</t>
  </si>
  <si>
    <t>Base</t>
  </si>
  <si>
    <t>($/pza)</t>
  </si>
  <si>
    <t>GEE3060FFM</t>
  </si>
  <si>
    <t>GEE3050FFM</t>
  </si>
  <si>
    <t>QC2015</t>
  </si>
  <si>
    <t>QC2020</t>
  </si>
  <si>
    <t>QC2030</t>
  </si>
  <si>
    <t>QC2040</t>
  </si>
  <si>
    <t>QC2050</t>
  </si>
  <si>
    <t>QC2060</t>
  </si>
  <si>
    <t>QC2070</t>
  </si>
  <si>
    <t>QC2090</t>
  </si>
  <si>
    <t>QC2100</t>
  </si>
  <si>
    <t>GES2080FFG</t>
  </si>
  <si>
    <t>TC 1600/5</t>
  </si>
  <si>
    <t>GEE3015FFM</t>
  </si>
  <si>
    <t>GES1020FFG</t>
  </si>
  <si>
    <t>GES1030FFG</t>
  </si>
  <si>
    <t>150x10mm2.</t>
  </si>
  <si>
    <t>GJH3250AAM</t>
  </si>
  <si>
    <t>GJH3200AAM</t>
  </si>
  <si>
    <t>GJH3160AAM</t>
  </si>
  <si>
    <t>GEE3080FFM</t>
  </si>
  <si>
    <t>BAB2020</t>
  </si>
  <si>
    <t>BAB2015</t>
  </si>
  <si>
    <t>BAB2030</t>
  </si>
  <si>
    <t>BAB2040</t>
  </si>
  <si>
    <t>BAB2050</t>
  </si>
  <si>
    <t>BAB2060</t>
  </si>
  <si>
    <t>BAB2070</t>
  </si>
  <si>
    <t>BAB3040H</t>
  </si>
  <si>
    <t>BAB3050H</t>
  </si>
  <si>
    <t>BAB3060H</t>
  </si>
  <si>
    <t>BAB3070H</t>
  </si>
  <si>
    <t>BAB3080H</t>
  </si>
  <si>
    <t>BAB3090H</t>
  </si>
  <si>
    <t>BAB3100H</t>
  </si>
  <si>
    <t>BAB3020H</t>
  </si>
  <si>
    <t>BAB3030H</t>
  </si>
  <si>
    <t>BAB3015H</t>
  </si>
  <si>
    <t>QC3015H</t>
  </si>
  <si>
    <t>QC3020H</t>
  </si>
  <si>
    <t>QC3030H</t>
  </si>
  <si>
    <t>QC3040H</t>
  </si>
  <si>
    <t>QC3050H</t>
  </si>
  <si>
    <t>QC3060H</t>
  </si>
  <si>
    <t>QC3070H</t>
  </si>
  <si>
    <t>QC3080H</t>
  </si>
  <si>
    <t>QC3090H</t>
  </si>
  <si>
    <t>QC3100H</t>
  </si>
  <si>
    <t>BR220</t>
  </si>
  <si>
    <t>BR230</t>
  </si>
  <si>
    <t>BR240</t>
  </si>
  <si>
    <t>BR250</t>
  </si>
  <si>
    <t>BR260</t>
  </si>
  <si>
    <t>BR270</t>
  </si>
  <si>
    <t>BR3100</t>
  </si>
  <si>
    <t>BR315</t>
  </si>
  <si>
    <t>BR320</t>
  </si>
  <si>
    <t>BR330</t>
  </si>
  <si>
    <t>BR340</t>
  </si>
  <si>
    <t>BR350</t>
  </si>
  <si>
    <t>BR360</t>
  </si>
  <si>
    <t>BR370</t>
  </si>
  <si>
    <t>BR380</t>
  </si>
  <si>
    <t>BR215</t>
  </si>
  <si>
    <t>GES2020FFG</t>
  </si>
  <si>
    <t>TC 100/5</t>
  </si>
  <si>
    <t>GES2032FFG</t>
  </si>
  <si>
    <t>GEE3160FFM</t>
  </si>
  <si>
    <t>GEB3125FFM</t>
  </si>
  <si>
    <t>GEB3160FFM</t>
  </si>
  <si>
    <t>BZME1-A100-BT-AP</t>
  </si>
  <si>
    <t>BZME1-A80-BT-AP</t>
  </si>
  <si>
    <t>BZME1-A63-BT-AP</t>
  </si>
  <si>
    <t>BZME1-A50-BT-AP</t>
  </si>
  <si>
    <t>BZME1-A40-BT-AP</t>
  </si>
  <si>
    <t>BZME1-A32-BT-AP</t>
  </si>
  <si>
    <t>BZME1-A25-BT-AP</t>
  </si>
  <si>
    <t>BZME1-A20-BT-AP</t>
  </si>
  <si>
    <t>BZME1-A16-BT-AP</t>
  </si>
  <si>
    <t>BZMB1-A100-BT-AP</t>
  </si>
  <si>
    <t>BZMB1-A80-BT-AP</t>
  </si>
  <si>
    <t>BZMB1-A63-BT-AP</t>
  </si>
  <si>
    <t>BZMB1-A50-BT-AP</t>
  </si>
  <si>
    <t>BZMB1-A40-BT-AP</t>
  </si>
  <si>
    <t>BZMB1-A32-BT-AP</t>
  </si>
  <si>
    <t>BZMB1-A25-BT-AP</t>
  </si>
  <si>
    <t>BZMB1-A20-BT-AP</t>
  </si>
  <si>
    <t>BZMB1-A16-BT-AP</t>
  </si>
  <si>
    <t>BZMB2-A125</t>
  </si>
  <si>
    <t>BZMB2-A160</t>
  </si>
  <si>
    <t>BZMB2-A200</t>
  </si>
  <si>
    <t>BZMB2-A250</t>
  </si>
  <si>
    <t>LZMS1-A20</t>
  </si>
  <si>
    <t>LZMS1-A25</t>
  </si>
  <si>
    <t>LZMS1-A32</t>
  </si>
  <si>
    <t>LZMS1-A40</t>
  </si>
  <si>
    <t>LZMS1-A50</t>
  </si>
  <si>
    <t>LZMS1-A63</t>
  </si>
  <si>
    <t>LZMS1-A80</t>
  </si>
  <si>
    <t>LZMS1-A100</t>
  </si>
  <si>
    <t>LZMS1-A125</t>
  </si>
  <si>
    <t>LZMS1-A160</t>
  </si>
  <si>
    <t>LZMS2-A160</t>
  </si>
  <si>
    <t>LZMS2-A200</t>
  </si>
  <si>
    <t>LZMS2-A250</t>
  </si>
  <si>
    <t>LZMS2-A300</t>
  </si>
  <si>
    <t>LZMS3-A320</t>
  </si>
  <si>
    <t>LZMS3-A400</t>
  </si>
  <si>
    <t>LZMS3-A500</t>
  </si>
  <si>
    <t>LZMS3-VE400</t>
  </si>
  <si>
    <t>LZMS3-VE630</t>
  </si>
  <si>
    <t>LZMS4-VE800</t>
  </si>
  <si>
    <t>LZMS4-VE1000</t>
  </si>
  <si>
    <t>LZMS4-VE1250</t>
  </si>
  <si>
    <t>LZMS4-VE1600</t>
  </si>
  <si>
    <t>GHB1015</t>
  </si>
  <si>
    <t>GHB1020</t>
  </si>
  <si>
    <t>GHB1030</t>
  </si>
  <si>
    <t>GHB1040</t>
  </si>
  <si>
    <t>GHB1050</t>
  </si>
  <si>
    <t>GHB1060</t>
  </si>
  <si>
    <t>GHB1070</t>
  </si>
  <si>
    <t>GHB1080</t>
  </si>
  <si>
    <t>GHB1090</t>
  </si>
  <si>
    <t>GHB1100</t>
  </si>
  <si>
    <t>GHB2015</t>
  </si>
  <si>
    <t>GHB2020</t>
  </si>
  <si>
    <t>GHB2030</t>
  </si>
  <si>
    <t>GHB2040</t>
  </si>
  <si>
    <t>GHB2050</t>
  </si>
  <si>
    <t>GHB2060</t>
  </si>
  <si>
    <t>GHB2070</t>
  </si>
  <si>
    <t>GHB2080</t>
  </si>
  <si>
    <t>GHB2090</t>
  </si>
  <si>
    <t>GHB2100</t>
  </si>
  <si>
    <t>GHB3015</t>
  </si>
  <si>
    <t>GHB3020</t>
  </si>
  <si>
    <t>GHB3030</t>
  </si>
  <si>
    <t>GHB3040</t>
  </si>
  <si>
    <t>GHB3050</t>
  </si>
  <si>
    <t>GHB3060</t>
  </si>
  <si>
    <t>GHB3070</t>
  </si>
  <si>
    <t>GHB3080</t>
  </si>
  <si>
    <t>GHB3090</t>
  </si>
  <si>
    <t>GHB3100</t>
  </si>
  <si>
    <t>FD3100L</t>
  </si>
  <si>
    <t>FD3080L</t>
  </si>
  <si>
    <t>FD3070L</t>
  </si>
  <si>
    <t>mMCM-C10/1-MW</t>
  </si>
  <si>
    <t>mMCM-C16/1-MW</t>
  </si>
  <si>
    <t>mMCM-C20/1-MW</t>
  </si>
  <si>
    <t>mMCM-C25/1-MW</t>
  </si>
  <si>
    <t>mMCM-C32/1-MW</t>
  </si>
  <si>
    <t>mMCM-C40/1-MW</t>
  </si>
  <si>
    <t>mMCM-C50/1-MW</t>
  </si>
  <si>
    <t>mMCM-C63/1-MW</t>
  </si>
  <si>
    <t>mMCM-C10/2-MW</t>
  </si>
  <si>
    <t>mMCM-C16/2-MW</t>
  </si>
  <si>
    <t>mMCM-C20/2-MW</t>
  </si>
  <si>
    <t>mMCM-C25/2-MW</t>
  </si>
  <si>
    <t>mMCM-C32/2-MW</t>
  </si>
  <si>
    <t>mMCM-C40/2-MW</t>
  </si>
  <si>
    <t>mMCM-C50/2-MW</t>
  </si>
  <si>
    <t>mMCM-C63/2-MW</t>
  </si>
  <si>
    <t>mMCM-C10/3-MW</t>
  </si>
  <si>
    <t>mMCM-C16/3-MW</t>
  </si>
  <si>
    <t>mMCM-C20/3-MW</t>
  </si>
  <si>
    <t>mMCM-C25/3-MW</t>
  </si>
  <si>
    <t>mMCM-C32/3-MW</t>
  </si>
  <si>
    <t>mMCM-C40/3-MW</t>
  </si>
  <si>
    <t>mMCM-C50/3-MW</t>
  </si>
  <si>
    <t>mMCM-C63/3-MW</t>
  </si>
  <si>
    <t>mRCM-25/2/03-MW</t>
  </si>
  <si>
    <t>mRCM-40/2/03-MW</t>
  </si>
  <si>
    <t>mRCM-63/2/03-MW</t>
  </si>
  <si>
    <t>mRCM-80/2/03-MW</t>
  </si>
  <si>
    <t>mRCM-100/2/03-MW</t>
  </si>
  <si>
    <t>mRCM-25/4/03-MW</t>
  </si>
  <si>
    <t>mRCM-40/4/03-MW</t>
  </si>
  <si>
    <t>mRCM-63/4/03-MW</t>
  </si>
  <si>
    <t>mRCM-80/4/03-MW</t>
  </si>
  <si>
    <t>mRCM-100/4/03-MW</t>
  </si>
  <si>
    <t>mRCM-25/2/003-MW</t>
  </si>
  <si>
    <t>mRCM-40/2/003-MW</t>
  </si>
  <si>
    <t>mRCM-63/2/003-MW</t>
  </si>
  <si>
    <t>mRCM-80/2/003-MW</t>
  </si>
  <si>
    <t>mRCM-100/2/003-MW</t>
  </si>
  <si>
    <t>mRCM-25/4/003-MW</t>
  </si>
  <si>
    <t>mRCM-40/4/003-MW</t>
  </si>
  <si>
    <t>mRCM-63/4/003-MW</t>
  </si>
  <si>
    <t>mRCM-80/4/003-MW</t>
  </si>
  <si>
    <t>mRCM-100/4/003-MW</t>
  </si>
  <si>
    <t>mRCM-25/2/003-A-MW</t>
  </si>
  <si>
    <t>mRCM-40/2/003-A-MW</t>
  </si>
  <si>
    <t>mRCM-63/2/003-A-MW</t>
  </si>
  <si>
    <t>mRCM-25/4/003-A-MW</t>
  </si>
  <si>
    <t>mRCM-40/4/003-A-MW</t>
  </si>
  <si>
    <t>mRCM-63/4/003-A-MW</t>
  </si>
  <si>
    <t>mRCM-80/4/003-A-MW</t>
  </si>
  <si>
    <t>mRCM-100/4/003-A-MW</t>
  </si>
  <si>
    <t>DILM9-10</t>
  </si>
  <si>
    <t>DILM12-10</t>
  </si>
  <si>
    <t>DILM17-10</t>
  </si>
  <si>
    <t>DILM25-10</t>
  </si>
  <si>
    <t>DILM32-10</t>
  </si>
  <si>
    <t>DILM40</t>
  </si>
  <si>
    <t>DILM50</t>
  </si>
  <si>
    <t>DILM65</t>
  </si>
  <si>
    <t>DILM80</t>
  </si>
  <si>
    <t>DILM95</t>
  </si>
  <si>
    <t>DILM115</t>
  </si>
  <si>
    <t>DILM150</t>
  </si>
  <si>
    <t>DILM185-S/22</t>
  </si>
  <si>
    <t>DILM225-S/22</t>
  </si>
  <si>
    <t>DILM250-S/22</t>
  </si>
  <si>
    <t>DILM300-S/22</t>
  </si>
  <si>
    <t>FD3015L</t>
  </si>
  <si>
    <t>FD3020L</t>
  </si>
  <si>
    <t>FD3030L</t>
  </si>
  <si>
    <t>FD3040L</t>
  </si>
  <si>
    <t>FD3050L</t>
  </si>
  <si>
    <t>FD3060L</t>
  </si>
  <si>
    <t>FD3125L</t>
  </si>
  <si>
    <t>FD3150L</t>
  </si>
  <si>
    <t>FD3175L</t>
  </si>
  <si>
    <t>FD3200L</t>
  </si>
  <si>
    <t>FD3225L</t>
  </si>
  <si>
    <t>KD3300</t>
  </si>
  <si>
    <t>KD3350</t>
  </si>
  <si>
    <t>KD3400</t>
  </si>
  <si>
    <t xml:space="preserve">         Barras de Cobre</t>
  </si>
  <si>
    <t>(Pulgadas)</t>
  </si>
  <si>
    <t>(Metros)</t>
  </si>
  <si>
    <t>Seccion</t>
  </si>
  <si>
    <t>Por Fase</t>
  </si>
  <si>
    <t>Costo</t>
  </si>
  <si>
    <t>30x10mm2.</t>
  </si>
  <si>
    <t>50x10mm2.</t>
  </si>
  <si>
    <t>Barra a tierra.</t>
  </si>
  <si>
    <t>ITEM</t>
  </si>
  <si>
    <t>MODELO</t>
  </si>
  <si>
    <t>Serie G</t>
  </si>
  <si>
    <t>B20116RDM</t>
  </si>
  <si>
    <t>GES2063FFG</t>
  </si>
  <si>
    <t>Serie Universal</t>
  </si>
  <si>
    <t>Gi1015</t>
  </si>
  <si>
    <t>Gi1020</t>
  </si>
  <si>
    <t>Gi1030</t>
  </si>
  <si>
    <t>Gi1040</t>
  </si>
  <si>
    <t>Gi1050</t>
  </si>
  <si>
    <t>Gi1060</t>
  </si>
  <si>
    <t>Gi1070</t>
  </si>
  <si>
    <t>Gi1080</t>
  </si>
  <si>
    <t>Gi1090</t>
  </si>
  <si>
    <t>Gi1100</t>
  </si>
  <si>
    <t>Gi2015</t>
  </si>
  <si>
    <t>Gi2020</t>
  </si>
  <si>
    <t>Gi2030</t>
  </si>
  <si>
    <t>Gi2040</t>
  </si>
  <si>
    <t>Gi2050</t>
  </si>
  <si>
    <t>Gi2060</t>
  </si>
  <si>
    <t>Gi2070</t>
  </si>
  <si>
    <t>Gi2080</t>
  </si>
  <si>
    <t>Gi2090</t>
  </si>
  <si>
    <t>Gi2100</t>
  </si>
  <si>
    <t>Gi3015</t>
  </si>
  <si>
    <t>Gi3020</t>
  </si>
  <si>
    <t>Gi3030</t>
  </si>
  <si>
    <t>Gi3040</t>
  </si>
  <si>
    <t>Gi3050</t>
  </si>
  <si>
    <t>Gi3060</t>
  </si>
  <si>
    <t>Gi3070</t>
  </si>
  <si>
    <t>Gi3080</t>
  </si>
  <si>
    <t>Gi3090</t>
  </si>
  <si>
    <t>Gi3100</t>
  </si>
  <si>
    <t>Gi3125</t>
  </si>
  <si>
    <t>MAGNUM 3200</t>
  </si>
  <si>
    <t>MAGNUM 2000</t>
  </si>
  <si>
    <t>MAGNUM 1600</t>
  </si>
  <si>
    <t>MAGNUM 1250</t>
  </si>
  <si>
    <t>Modelo BZME</t>
  </si>
  <si>
    <t>Modelo BZMB</t>
  </si>
  <si>
    <t>BZMB3-A250</t>
  </si>
  <si>
    <t>BZMB3-A320</t>
  </si>
  <si>
    <t>BZMB3-A400</t>
  </si>
  <si>
    <t>Modelo LZM - Termomagneticos</t>
  </si>
  <si>
    <t>Modelo LZM - Electrónicos</t>
  </si>
  <si>
    <t>Accionamiento Motorizado</t>
  </si>
  <si>
    <t>NZM4-XR208-240AC</t>
  </si>
  <si>
    <t>NZM3-XR208-240AC</t>
  </si>
  <si>
    <t>NZM2-XR208-240AC</t>
  </si>
  <si>
    <t>Enclavamiento Mecánico</t>
  </si>
  <si>
    <t>NZM3/4-XMVR</t>
  </si>
  <si>
    <t>Contactos Auxiliares</t>
  </si>
  <si>
    <t>Terminales LZM - NZM</t>
  </si>
  <si>
    <t>Conmutador Manual</t>
  </si>
  <si>
    <t>CONM - 100A 3P</t>
  </si>
  <si>
    <t>CONM - 63A 2P</t>
  </si>
  <si>
    <t>Supresor de Transitorios PSPD</t>
  </si>
  <si>
    <t>PSPD050400Y1K</t>
  </si>
  <si>
    <t>TVSS-160kA</t>
  </si>
  <si>
    <t>Supresor de transitorios TVSS de 160kA / 380Vac.</t>
  </si>
  <si>
    <t>Modelo mMCM</t>
  </si>
  <si>
    <t>Modelo mRCM - Clase AC (30mA)</t>
  </si>
  <si>
    <t>Modelo mRCM - Clase A (30mA)</t>
  </si>
  <si>
    <t>Modelo mRCM - Clase AC (300mA)</t>
  </si>
  <si>
    <t>Serie Quiclag</t>
  </si>
  <si>
    <t>BR390</t>
  </si>
  <si>
    <t>CONTACTOR Serie DIL</t>
  </si>
  <si>
    <t>DILM400-S22</t>
  </si>
  <si>
    <t>DILM500-S22</t>
  </si>
  <si>
    <t>Transformador Núcleo Partido</t>
  </si>
  <si>
    <t>TC NP 3200/5</t>
  </si>
  <si>
    <t>Transformador de corriente nucleo partido de 3200/5A</t>
  </si>
  <si>
    <t>TC NP 2500/5</t>
  </si>
  <si>
    <t>Transformador de corriente nucleo partido de 2500/5A</t>
  </si>
  <si>
    <t>TC NP 2000/5</t>
  </si>
  <si>
    <t>Transformador de corriente nucleo partido de 2000/5A</t>
  </si>
  <si>
    <t>TC NP 1600/5</t>
  </si>
  <si>
    <t>Transformador de corriente nucleo partido de 1600/5A</t>
  </si>
  <si>
    <t>TC NP 1500/5</t>
  </si>
  <si>
    <t>Transformador de corriente nucleo partido de 1500/5A</t>
  </si>
  <si>
    <t>TC NP 1200/5</t>
  </si>
  <si>
    <t>Transformador de corriente nucleo partido de 1200/5A</t>
  </si>
  <si>
    <t>TC NP 1000/5</t>
  </si>
  <si>
    <t>Transformador de corriente nucleo partido de 1000/5A</t>
  </si>
  <si>
    <t>TC NP 800/5</t>
  </si>
  <si>
    <t>Transformador de corriente nucleo partido de 800/5A</t>
  </si>
  <si>
    <t>TC NP 600/5</t>
  </si>
  <si>
    <t>Transformador de corriente nucleo partido de 600/5A</t>
  </si>
  <si>
    <t>TC NP 500/5</t>
  </si>
  <si>
    <t>Transformador de corriente nucleo partido de 500/5A</t>
  </si>
  <si>
    <t>TC NP 400/5</t>
  </si>
  <si>
    <t>Transformador de corriente nucleo partido de 400/5A</t>
  </si>
  <si>
    <t>TC NP 250/5</t>
  </si>
  <si>
    <t>Transformador de corriente nucleo partido de 250/5A</t>
  </si>
  <si>
    <t>TC NP 200/5</t>
  </si>
  <si>
    <t>Transformador de corriente nucleo partido de 200/5A</t>
  </si>
  <si>
    <t>TC NP 100/5</t>
  </si>
  <si>
    <t>Transformador de corriente nucleo partido de 100/5A</t>
  </si>
  <si>
    <t>Transformador Núcleo Cerrado</t>
  </si>
  <si>
    <t>TC 3200/5</t>
  </si>
  <si>
    <t>Transformador de corriente de 3200/5A</t>
  </si>
  <si>
    <t>Transformador de corriente de 2500/5A</t>
  </si>
  <si>
    <t>Transformador de corriente de 2000/5A</t>
  </si>
  <si>
    <t>Transformador de corriente de 1600/5A</t>
  </si>
  <si>
    <t>Transformador de corriente de 1500/5A</t>
  </si>
  <si>
    <t>TC 1200/5</t>
  </si>
  <si>
    <t>Transformador de corriente de 1200/5A</t>
  </si>
  <si>
    <t>Transformador de corriente de 1000/5A</t>
  </si>
  <si>
    <t>Transformador de corriente de 800/5A</t>
  </si>
  <si>
    <t>Transformador de corriente de 600/5A</t>
  </si>
  <si>
    <t>Transformador de corriente de 500/5A</t>
  </si>
  <si>
    <t>Transformador de corriente de 400/5A</t>
  </si>
  <si>
    <t>Transformador de corriente de 250/5A</t>
  </si>
  <si>
    <t>Transformador de corriente de 200/5A</t>
  </si>
  <si>
    <t>Transformador de corriente de 100/5A</t>
  </si>
  <si>
    <t>BSC</t>
  </si>
  <si>
    <t>BN</t>
  </si>
  <si>
    <t>BOR.</t>
  </si>
  <si>
    <t>BE</t>
  </si>
  <si>
    <t>Base portafusibles + Fusibles de protección.</t>
  </si>
  <si>
    <t>LSPT</t>
  </si>
  <si>
    <t>INT. HORARIOS</t>
  </si>
  <si>
    <t>Interruptor Horario Analógico</t>
  </si>
  <si>
    <t>IH-DIG. ORBIS</t>
  </si>
  <si>
    <t>TVSS - SINETAMER</t>
  </si>
  <si>
    <t>SELECT. M-A</t>
  </si>
  <si>
    <t>SELECT. M-0-A</t>
  </si>
  <si>
    <t xml:space="preserve">DESCUENTO :        </t>
  </si>
  <si>
    <t>FORMULA UTILIZADA  =</t>
  </si>
  <si>
    <t>MEDIDAS</t>
  </si>
  <si>
    <t>TOTAL ( $ )</t>
  </si>
  <si>
    <t>6" x 1/2".</t>
  </si>
  <si>
    <t>1.5/1600</t>
  </si>
  <si>
    <t>FUSE (10x38mm)</t>
  </si>
  <si>
    <t>Modelo mMC6</t>
  </si>
  <si>
    <t>BOR.2</t>
  </si>
  <si>
    <t>CONM - 40A 2P</t>
  </si>
  <si>
    <t>D65VMLP480-B2</t>
  </si>
  <si>
    <t>NEMA 12</t>
  </si>
  <si>
    <t>MAGNUM 4000</t>
  </si>
  <si>
    <t>TC 2000/5 M70385</t>
  </si>
  <si>
    <t>TC 1500/5 M70375</t>
  </si>
  <si>
    <t>TC 2500/5 M70386</t>
  </si>
  <si>
    <t>TC 800/5 M70372</t>
  </si>
  <si>
    <t xml:space="preserve">TC 400/5 M70347  </t>
  </si>
  <si>
    <t>TC 200/5 M70344</t>
  </si>
  <si>
    <t>TC 500/5 M70336</t>
  </si>
  <si>
    <t>LZMS2-A100</t>
  </si>
  <si>
    <t>100x10mm2.</t>
  </si>
  <si>
    <t>40x10mm2.</t>
  </si>
  <si>
    <t>120x10mm2.</t>
  </si>
  <si>
    <t>mMC6-C10/1-MW</t>
  </si>
  <si>
    <t>mMC6-C16/1-MW</t>
  </si>
  <si>
    <t>mMC6-C20/1-MW</t>
  </si>
  <si>
    <t>mMC6-C25/1-MW</t>
  </si>
  <si>
    <t>mMC6-C32/1-MW</t>
  </si>
  <si>
    <t>mMC6-C40/1-MW</t>
  </si>
  <si>
    <t>mMC6-C50/1-MW</t>
  </si>
  <si>
    <t>mMC6-C63/1-MW</t>
  </si>
  <si>
    <t>mMC6-C10/2-MW</t>
  </si>
  <si>
    <t>mMC6-C16/2-MW</t>
  </si>
  <si>
    <t>mMC6-C20/2-MW</t>
  </si>
  <si>
    <t>mMC6-C25/2-MW</t>
  </si>
  <si>
    <t>mMC6-C32/2-MW</t>
  </si>
  <si>
    <t>mMC6-C40/2-MW</t>
  </si>
  <si>
    <t>mMC6-C50/2-MW</t>
  </si>
  <si>
    <t>mMC6-C63/2-MW</t>
  </si>
  <si>
    <t>mMC6-C10/3-MW</t>
  </si>
  <si>
    <t>mMC6-C16/3-MW</t>
  </si>
  <si>
    <t>mMC6-C20/3-MW</t>
  </si>
  <si>
    <t>mMC6-C25/3-MW</t>
  </si>
  <si>
    <t>mMC6-C32/3-MW</t>
  </si>
  <si>
    <t>mMC6-C40/3-MW</t>
  </si>
  <si>
    <t>mMC6-C50/3-MW</t>
  </si>
  <si>
    <t>mMC6-C63/3-MW</t>
  </si>
  <si>
    <t>BZME1-1-A20-BT-AP</t>
  </si>
  <si>
    <t>BZME1-1-A25-BT-AP</t>
  </si>
  <si>
    <t>BZME1-1-A32-BT-AP</t>
  </si>
  <si>
    <t>BZME1-1-A40-BT-AP</t>
  </si>
  <si>
    <t>BZME1-1-A50-BT-AP</t>
  </si>
  <si>
    <t>BZME1-1-A63-BT-AP</t>
  </si>
  <si>
    <t>BZME1-1-A80-BT-AP</t>
  </si>
  <si>
    <t>BZME1-1-A100-BT-AP</t>
  </si>
  <si>
    <t>BZME1-2-A20-BT-AP</t>
  </si>
  <si>
    <t>BZME1-2-A25-BT-AP</t>
  </si>
  <si>
    <t>BZME1-2-A32-BT-AP</t>
  </si>
  <si>
    <t>BZME1-2-A40-BT-AP</t>
  </si>
  <si>
    <t>BZME1-2-A50-BT-AP</t>
  </si>
  <si>
    <t>BZME1-2-A63-BT-AP</t>
  </si>
  <si>
    <t>BZME1-2-A80-BT-AP</t>
  </si>
  <si>
    <t>BZME1-2-A100-BT-AP</t>
  </si>
  <si>
    <t>BZME1-4-A16-BT-AP</t>
  </si>
  <si>
    <t>BZME1-4-A20-BT-AP</t>
  </si>
  <si>
    <t>BZME1-4-A25-BT-AP</t>
  </si>
  <si>
    <t>BZME1-4-A32-BT-AP</t>
  </si>
  <si>
    <t>BZME1-4-A40-BT-AP</t>
  </si>
  <si>
    <t>BZME1-4-A50-BT-AP</t>
  </si>
  <si>
    <t>BZME1-4-A63-BT-AP</t>
  </si>
  <si>
    <t>BZME1-4-A80-BT-AP</t>
  </si>
  <si>
    <t>BZME1-4-A100-BT-AP</t>
  </si>
  <si>
    <t>BZMB1-1-A20-BT-AP</t>
  </si>
  <si>
    <t>BZMB1-1-A25-BT-AP</t>
  </si>
  <si>
    <t>BZMB1-1-A32-BT-AP</t>
  </si>
  <si>
    <t>BZMB1-1-A40-BT-AP</t>
  </si>
  <si>
    <t>BZMB1-1-A50-BT-AP</t>
  </si>
  <si>
    <t>BZMB1-1-A63-BT-AP</t>
  </si>
  <si>
    <t>BZMB1-1-A80-BT-AP</t>
  </si>
  <si>
    <t>BZMB1-1-A100-BT-AP</t>
  </si>
  <si>
    <t>BZMB1-2-A20-BT-AP</t>
  </si>
  <si>
    <t>BZMB1-2-A25-BT-AP</t>
  </si>
  <si>
    <t>BZMB1-2-A32-BT-AP</t>
  </si>
  <si>
    <t>BZMB1-2-A40-BT-AP</t>
  </si>
  <si>
    <t>BZMB1-2-A50-BT-AP</t>
  </si>
  <si>
    <t>BZMB1-2-A63-BT-AP</t>
  </si>
  <si>
    <t>BZMB1-2-A80-BT-AP</t>
  </si>
  <si>
    <t>BZMB1-2-A100-BT-AP</t>
  </si>
  <si>
    <t>BZMB1-4-A16-BT-AP</t>
  </si>
  <si>
    <t>BZMB1-4-A20-BT-AP</t>
  </si>
  <si>
    <t>BZMB1-4-A25-BT-AP</t>
  </si>
  <si>
    <t>BZMB1-4-A32-BT-AP</t>
  </si>
  <si>
    <t>BZMB1-4-A40-BT-AP</t>
  </si>
  <si>
    <t>BZMB1-4-A50-BT-AP</t>
  </si>
  <si>
    <t>BZMB1-4-A63-BT-AP</t>
  </si>
  <si>
    <t>BZMB1-4-A80-BT-AP</t>
  </si>
  <si>
    <t>BZMB1-4-A100-BT-AP</t>
  </si>
  <si>
    <t>NEMA 1</t>
  </si>
  <si>
    <t>(Dolares - $)</t>
  </si>
  <si>
    <t xml:space="preserve">INTRODUCIR </t>
  </si>
  <si>
    <t>VALOR</t>
  </si>
  <si>
    <t xml:space="preserve">PRECIO DEL DÓLAR :   S/. </t>
  </si>
  <si>
    <t>Proteccion</t>
  </si>
  <si>
    <t>H = Altura</t>
  </si>
  <si>
    <t>W = Ancho</t>
  </si>
  <si>
    <t>F = Fondo</t>
  </si>
  <si>
    <t>ITEM - HOJA</t>
  </si>
  <si>
    <t>DE CALCULO</t>
  </si>
  <si>
    <t>CALCULO DE BARRAS</t>
  </si>
  <si>
    <t xml:space="preserve">Item - </t>
  </si>
  <si>
    <t xml:space="preserve">Barras </t>
  </si>
  <si>
    <r>
      <t>(Perimetro</t>
    </r>
    <r>
      <rPr>
        <b/>
        <vertAlign val="subscript"/>
        <sz val="11"/>
        <rFont val="Arial"/>
        <family val="2"/>
      </rPr>
      <t>1</t>
    </r>
    <r>
      <rPr>
        <b/>
        <sz val="11"/>
        <rFont val="Arial"/>
        <family val="2"/>
      </rPr>
      <t xml:space="preserve"> - mm)</t>
    </r>
  </si>
  <si>
    <r>
      <t>(Perimetro</t>
    </r>
    <r>
      <rPr>
        <b/>
        <vertAlign val="subscript"/>
        <sz val="11"/>
        <rFont val="Arial"/>
        <family val="2"/>
      </rPr>
      <t>2</t>
    </r>
    <r>
      <rPr>
        <b/>
        <sz val="11"/>
        <rFont val="Arial"/>
        <family val="2"/>
      </rPr>
      <t xml:space="preserve"> - mm)</t>
    </r>
  </si>
  <si>
    <r>
      <t>(Perimetro</t>
    </r>
    <r>
      <rPr>
        <b/>
        <vertAlign val="subscript"/>
        <sz val="11"/>
        <rFont val="Arial"/>
        <family val="2"/>
      </rPr>
      <t>b</t>
    </r>
    <r>
      <rPr>
        <b/>
        <sz val="11"/>
        <rFont val="Arial"/>
        <family val="2"/>
      </rPr>
      <t xml:space="preserve"> - mm)</t>
    </r>
  </si>
  <si>
    <r>
      <t>Perimetro</t>
    </r>
    <r>
      <rPr>
        <b/>
        <vertAlign val="subscript"/>
        <sz val="13"/>
        <rFont val="Arial"/>
        <family val="2"/>
      </rPr>
      <t>b</t>
    </r>
    <r>
      <rPr>
        <b/>
        <sz val="13"/>
        <rFont val="Arial"/>
        <family val="2"/>
      </rPr>
      <t xml:space="preserve"> = 2x(W+F) mm </t>
    </r>
  </si>
  <si>
    <t>2x(600+600) = 2.400</t>
  </si>
  <si>
    <t>Base = 2000x600x600 mm / (HxWxF mm)</t>
  </si>
  <si>
    <t>BAB1015</t>
  </si>
  <si>
    <t>BAB1020</t>
  </si>
  <si>
    <t>BAB1030</t>
  </si>
  <si>
    <t>BAB1040</t>
  </si>
  <si>
    <t>BAB1050</t>
  </si>
  <si>
    <t>BAB1060</t>
  </si>
  <si>
    <t>BAB1070</t>
  </si>
  <si>
    <t>BAB1080</t>
  </si>
  <si>
    <t>$/Kg =</t>
  </si>
  <si>
    <t>Peso</t>
  </si>
  <si>
    <t xml:space="preserve">     Amperaje</t>
  </si>
  <si>
    <t>Medida</t>
  </si>
  <si>
    <t>$/Pza</t>
  </si>
  <si>
    <t>25x10mm2.</t>
  </si>
  <si>
    <t>30x5mm2.</t>
  </si>
  <si>
    <t>40x5mm2.</t>
  </si>
  <si>
    <t>60x10mm2.</t>
  </si>
  <si>
    <t>80x10mm2.</t>
  </si>
  <si>
    <t>160x10mm2.</t>
  </si>
  <si>
    <t>200x10mm2.</t>
  </si>
  <si>
    <t>BASE DE BARRAS</t>
  </si>
  <si>
    <t>A40</t>
  </si>
  <si>
    <t>caracteruisticas:</t>
  </si>
  <si>
    <t>·          Compacto 96x96 mm, pantalla LCD retroiluminada.</t>
  </si>
  <si>
    <t>·          Medida en valores eficaces reales (TRMS):</t>
  </si>
  <si>
    <t>·          Tensión línea-línea y línea-neutro. Precisión 0.2%</t>
  </si>
  <si>
    <t>·          Corriente línea. Precisión 0.2%</t>
  </si>
  <si>
    <t>·          Potencia activa, reactiva, aparente t potencias por fases y totales. Precisión 0.5%</t>
  </si>
  <si>
    <t>·          Máxima demanda de corriente y potencia activa</t>
  </si>
  <si>
    <t>·          Factor de potencia. Precisión 0.5%</t>
  </si>
  <si>
    <t>·          Frecuencia. Precisión 0.1%</t>
  </si>
  <si>
    <t xml:space="preserve">·          Energía activa, reactiva y aparente. Precisión de energía activa (según IEC 62053-22): clase 0.5S, </t>
  </si>
  <si>
    <t xml:space="preserve">           Precisión de energía reactiva (según IEC 62053-23): clase 2.</t>
  </si>
  <si>
    <t>·          Tasa de Distorsión armónica THD de tensión y corriente por fase</t>
  </si>
  <si>
    <t>·          Análisis de armónico individual hasta el rango 63avo de tensión y corriente</t>
  </si>
  <si>
    <t>·          Comunicación: Bus RS485 protocolo MODBUS</t>
  </si>
  <si>
    <t>·          Alimentación auxiliar: 110-400Vac</t>
  </si>
  <si>
    <t>·          Medición de tensión directa entre fases: 50…700Vac</t>
  </si>
  <si>
    <t>A20</t>
  </si>
  <si>
    <t>·          Análisis de armónico individual hasta el rango 51avo de tensión y corriente</t>
  </si>
  <si>
    <t>·          Medición de tensión directa entre fases: 50…500Vac</t>
  </si>
  <si>
    <t xml:space="preserve">Interruptor de Transferencia Automático, 3 polos, …. A, ……Vac, 60Hz, con Dispositivo </t>
  </si>
  <si>
    <t>de Conmutación Automática, marca ABB.</t>
  </si>
  <si>
    <t xml:space="preserve">El Módulo de potencia está formado por dos interruptores tipo caja moldeada, marca </t>
  </si>
  <si>
    <t xml:space="preserve">ABB, Poder de corte ultimo en cortocircuito (Icu) de ....kA,  con sistema de mando </t>
  </si>
  <si>
    <t>eléctrico y enclavamiento mecánico entre interruptores.</t>
  </si>
  <si>
    <t xml:space="preserve">El Dispositivo de Conmutación Automática, modelo ATS022, marca ABB, tiene las </t>
  </si>
  <si>
    <t>siguientes características que a continuación se describe:</t>
  </si>
  <si>
    <t xml:space="preserve">A.- Supervisa la tensión de Suministro Principal y de Emergencia y registra cualquiera </t>
  </si>
  <si>
    <t xml:space="preserve"> de las siguientes anomalías:</t>
  </si>
  <si>
    <t xml:space="preserve">                - Tensión máxima y mínima.</t>
  </si>
  <si>
    <t xml:space="preserve">                - Frecuencia máxima y mínima.</t>
  </si>
  <si>
    <t xml:space="preserve">                - Falta de fase.</t>
  </si>
  <si>
    <t xml:space="preserve">                - Desequilibrio de tensión.</t>
  </si>
  <si>
    <t xml:space="preserve">                - Desequilibrio de frecuencia.</t>
  </si>
  <si>
    <t xml:space="preserve">B.- Controla todas las secuencias de conmutación aplicando los retardos temporales </t>
  </si>
  <si>
    <t xml:space="preserve">     programables siguientes:</t>
  </si>
  <si>
    <t xml:space="preserve"> - Retardo de arranque del generador después de la detección de una anomalía en la </t>
  </si>
  <si>
    <t xml:space="preserve">   red. Regulable de 0 a 30 s. </t>
  </si>
  <si>
    <t>- Retardo de cierre del interruptor suministro Principal. Regulable de 0 a 60 s.</t>
  </si>
  <si>
    <t>- Retardo de cierre del interruptor suministro Emergencia. Regulable de 0 a 60 s.</t>
  </si>
  <si>
    <t xml:space="preserve">- Retardo de apertura del interruptor de suministro Emergencia, después de detección </t>
  </si>
  <si>
    <t xml:space="preserve">  de la estabilización de tensión del suministro Principal. Regulable: 0…59s, 1, 2,...30min.</t>
  </si>
  <si>
    <t xml:space="preserve">- Retardo de apagado del Grupo Electrógeno  después del cierre del interruptor de </t>
  </si>
  <si>
    <t xml:space="preserve">  suministro.</t>
  </si>
  <si>
    <t xml:space="preserve">  Principal. Regulable: 0…59s, 1, 2,…30min.</t>
  </si>
  <si>
    <t xml:space="preserve">C.- Con un display grafico frontal, a través del cual el usuario puede verificar la </t>
  </si>
  <si>
    <t xml:space="preserve">     configuración y ver el estado de la unidad y de los interruptores conectados.</t>
  </si>
  <si>
    <t xml:space="preserve">D.- El display gráfico permite la visualización de la tensión y frecuencia de Suministro </t>
  </si>
  <si>
    <t xml:space="preserve">      Principal y de Emergencia.</t>
  </si>
  <si>
    <t>E.- Bornes para mando de arranque del Grupo electrógeno.</t>
  </si>
  <si>
    <t>TRANSFERENCIA EATON</t>
  </si>
  <si>
    <t>Transferencia Automático, 3 polos, 400 A, 380Vac, 60Hz, con la siguientes características:</t>
  </si>
  <si>
    <t xml:space="preserve">El módulo de potencia está formado por dos interruptores de caja moldeada, 3x400 A, </t>
  </si>
  <si>
    <t xml:space="preserve">capacidad de ruptura en cortocircuito de 70kA @ 415Vac, con sistema de accionamiento </t>
  </si>
  <si>
    <t>motorizado y enclavamiento mecánico.</t>
  </si>
  <si>
    <t xml:space="preserve">Controlador Automático, modelo ATC-300, marca EATON, basado en un microprocesador, </t>
  </si>
  <si>
    <t xml:space="preserve">con pantalla LCD de 16 caracteres, de dos líneas, a continuación se describe sus </t>
  </si>
  <si>
    <t>características de monitoreo y protección  :</t>
  </si>
  <si>
    <t xml:space="preserve">-      Retardo de transferencia de Normal a Emergencia - 0 a 1800 seg. </t>
  </si>
  <si>
    <t>-      Retardo de arranque de grupo - 0 a 120 seg.</t>
  </si>
  <si>
    <t>-      Retardo de transferencia de Emergencia a Normal - 0 a 1800 seg.</t>
  </si>
  <si>
    <t>-      Retardo de enfriamiento de grupo - 0 a 1800 seg.</t>
  </si>
  <si>
    <t xml:space="preserve">-      Supervisión  de mínima y máxima tensión trifásico de grupo electrógeno </t>
  </si>
  <si>
    <t xml:space="preserve">-      Supervisión de mínima y máxima   frecuencia   de   grupo electrógeno </t>
  </si>
  <si>
    <t>-      Supervisión de mínima y máxima trifásico de suministro Normal</t>
  </si>
  <si>
    <t>-      Supervisión mínima y máxima frecuencia de suministro Normal</t>
  </si>
  <si>
    <t>-      Bornes para mando de arranque del grupo electrógeno</t>
  </si>
  <si>
    <t xml:space="preserve">-      Ejercitador de planta, ofrece una operación de prueba automática del grupo. Los ciclos  </t>
  </si>
  <si>
    <t xml:space="preserve">       de prueba disponibles son diarios, de 7, 14 ó 28 días con una duración igual al tiempo </t>
  </si>
  <si>
    <t xml:space="preserve">       de prueba  de motor programado.</t>
  </si>
  <si>
    <t>Esquema mimico con Indicadores Luminosos  tipo LEDs , para señalización de Suministro 1</t>
  </si>
  <si>
    <t xml:space="preserve">Disponible, Suministro 1 Conectado, Suministro 2 Disponible y Suministro 2 Conectado. </t>
  </si>
  <si>
    <t>Indicador Luminoso tipo LED de estado del equipo.</t>
  </si>
  <si>
    <t xml:space="preserve">La pantalla LCD permite la visualización de tensión y frecuencia de cada suministro, revisar </t>
  </si>
  <si>
    <t xml:space="preserve">los parámetros regulados para operación de la transferencia y revisar la historia de las últimas </t>
  </si>
  <si>
    <t xml:space="preserve">16 operaciones de transferencia. </t>
  </si>
  <si>
    <t>La programación se hace con el mismo equipo.</t>
  </si>
  <si>
    <t>1- Selector de dos posiciones " MANUAL - AUTO " .</t>
  </si>
  <si>
    <t xml:space="preserve">1- Lámpara de señalización, color rojo,  de indicación de interruptor disparado </t>
  </si>
  <si>
    <t>"FALLA DE BREAKER" .</t>
  </si>
  <si>
    <t>Magnum</t>
  </si>
  <si>
    <t xml:space="preserve">Interruptor de potencia en aire tipo bastidor abierto, con mecanismo operado por acumulación </t>
  </si>
  <si>
    <r>
      <t xml:space="preserve">de energía, operación manual, modelo </t>
    </r>
    <r>
      <rPr>
        <u/>
        <sz val="11"/>
        <color rgb="FFFF0000"/>
        <rFont val="Times New Roman"/>
        <family val="1"/>
      </rPr>
      <t>Mágnum Narrow, 3x3200 A</t>
    </r>
    <r>
      <rPr>
        <sz val="11"/>
        <color rgb="FF0070C0"/>
        <rFont val="Times New Roman"/>
        <family val="1"/>
      </rPr>
      <t xml:space="preserve">, con capacidad de ruptura </t>
    </r>
  </si>
  <si>
    <r>
      <t xml:space="preserve">de </t>
    </r>
    <r>
      <rPr>
        <u/>
        <sz val="11"/>
        <color rgb="FFFF0000"/>
        <rFont val="Times New Roman"/>
        <family val="1"/>
      </rPr>
      <t>65kA</t>
    </r>
    <r>
      <rPr>
        <sz val="11"/>
        <color rgb="FF0070C0"/>
        <rFont val="Times New Roman"/>
        <family val="1"/>
      </rPr>
      <t xml:space="preserve"> hasta 480 Vac, marca EATON (antes Cutler Hammer) </t>
    </r>
  </si>
  <si>
    <r>
      <t>Con unidad de disparo electrónica modelo Digitrip 520 LSI</t>
    </r>
    <r>
      <rPr>
        <b/>
        <sz val="11"/>
        <color rgb="FF7030A0"/>
        <rFont val="Times New Roman"/>
        <family val="1"/>
      </rPr>
      <t>G</t>
    </r>
    <r>
      <rPr>
        <sz val="11"/>
        <color rgb="FF0070C0"/>
        <rFont val="Times New Roman"/>
        <family val="1"/>
      </rPr>
      <t xml:space="preserve">, Protección Térmica Ajustable </t>
    </r>
  </si>
  <si>
    <t xml:space="preserve">(0.4 a 1.0 de IN con retardos de 2 a 24 seg en 6 x IR), Protección Magnética Ajustable (2 a </t>
  </si>
  <si>
    <t xml:space="preserve">10 de IR con retardos de 0.1 a 0.5 seg, curva Flat y I2t), Disparo Instantáneo Ajustable (Off, 2 </t>
  </si>
  <si>
    <r>
      <t xml:space="preserve">a 10 veces IN) y Rating Plug de </t>
    </r>
    <r>
      <rPr>
        <u/>
        <sz val="11"/>
        <color rgb="FFFF0000"/>
        <rFont val="Times New Roman"/>
        <family val="1"/>
      </rPr>
      <t>3200 Amp</t>
    </r>
    <r>
      <rPr>
        <sz val="11"/>
        <color rgb="FF0070C0"/>
        <rFont val="Times New Roman"/>
        <family val="1"/>
      </rPr>
      <t>.</t>
    </r>
  </si>
  <si>
    <r>
      <t>Protección de Falla  a Tierra Ajustable (0.25 a 1.0 de I</t>
    </r>
    <r>
      <rPr>
        <b/>
        <vertAlign val="subscript"/>
        <sz val="11"/>
        <color rgb="FF7030A0"/>
        <rFont val="Times New Roman"/>
        <family val="1"/>
      </rPr>
      <t>N</t>
    </r>
    <r>
      <rPr>
        <b/>
        <sz val="11"/>
        <color rgb="FF7030A0"/>
        <rFont val="Times New Roman"/>
        <family val="1"/>
      </rPr>
      <t xml:space="preserve"> con retardos de 0.1 a 0.5 seg</t>
    </r>
  </si>
  <si>
    <t>, curva Flat y I2t)</t>
  </si>
  <si>
    <t>Incluye como accesorios Standard:</t>
  </si>
  <si>
    <r>
      <t>-</t>
    </r>
    <r>
      <rPr>
        <sz val="7"/>
        <color rgb="FF0070C0"/>
        <rFont val="Times New Roman"/>
        <family val="1"/>
      </rPr>
      <t xml:space="preserve">       </t>
    </r>
    <r>
      <rPr>
        <sz val="11"/>
        <color rgb="FF0070C0"/>
        <rFont val="Times New Roman"/>
        <family val="1"/>
      </rPr>
      <t>Contactos auxiliares 2NA + 2NC</t>
    </r>
  </si>
  <si>
    <r>
      <t>-</t>
    </r>
    <r>
      <rPr>
        <sz val="7"/>
        <color rgb="FF0070C0"/>
        <rFont val="Times New Roman"/>
        <family val="1"/>
      </rPr>
      <t xml:space="preserve">       </t>
    </r>
    <r>
      <rPr>
        <sz val="11"/>
        <color rgb="FF0070C0"/>
        <rFont val="Times New Roman"/>
        <family val="1"/>
      </rPr>
      <t>Contactos de alarma 2NA + 2NC conmutables</t>
    </r>
  </si>
  <si>
    <r>
      <t>-</t>
    </r>
    <r>
      <rPr>
        <sz val="7"/>
        <color rgb="FF0070C0"/>
        <rFont val="Times New Roman"/>
        <family val="1"/>
      </rPr>
      <t xml:space="preserve">       </t>
    </r>
    <r>
      <rPr>
        <sz val="11"/>
        <color rgb="FF0070C0"/>
        <rFont val="Times New Roman"/>
        <family val="1"/>
      </rPr>
      <t>Pulsadores de operación manual ON – OFF</t>
    </r>
  </si>
  <si>
    <r>
      <t>-</t>
    </r>
    <r>
      <rPr>
        <sz val="7"/>
        <color rgb="FF0070C0"/>
        <rFont val="Times New Roman"/>
        <family val="1"/>
      </rPr>
      <t xml:space="preserve">       </t>
    </r>
    <r>
      <rPr>
        <sz val="11"/>
        <color rgb="FF0070C0"/>
        <rFont val="Times New Roman"/>
        <family val="1"/>
      </rPr>
      <t>Palanca Manual para carga de Resorte</t>
    </r>
  </si>
  <si>
    <r>
      <t>-</t>
    </r>
    <r>
      <rPr>
        <sz val="7"/>
        <color rgb="FF0070C0"/>
        <rFont val="Times New Roman"/>
        <family val="1"/>
      </rPr>
      <t xml:space="preserve">       </t>
    </r>
    <r>
      <rPr>
        <sz val="11"/>
        <color rgb="FF0070C0"/>
        <rFont val="Times New Roman"/>
        <family val="1"/>
      </rPr>
      <t>Contador de Operaciones</t>
    </r>
  </si>
  <si>
    <t>Accesorios Opcionales:</t>
  </si>
  <si>
    <r>
      <t>-</t>
    </r>
    <r>
      <rPr>
        <sz val="7"/>
        <color rgb="FF548235"/>
        <rFont val="Times New Roman"/>
        <family val="1"/>
      </rPr>
      <t xml:space="preserve">       </t>
    </r>
    <r>
      <rPr>
        <sz val="11"/>
        <color rgb="FF548235"/>
        <rFont val="Times New Roman"/>
        <family val="1"/>
      </rPr>
      <t>Bobina de disparo (Shunt Trip en 220 Vac)</t>
    </r>
  </si>
  <si>
    <r>
      <t>-</t>
    </r>
    <r>
      <rPr>
        <sz val="7"/>
        <color rgb="FF548235"/>
        <rFont val="Times New Roman"/>
        <family val="1"/>
      </rPr>
      <t xml:space="preserve">       </t>
    </r>
    <r>
      <rPr>
        <sz val="11"/>
        <color rgb="FF548235"/>
        <rFont val="Times New Roman"/>
        <family val="1"/>
      </rPr>
      <t>Mando motorizado para carga automática del resorte (Motor Operator en 220 Vac)</t>
    </r>
  </si>
  <si>
    <r>
      <t>-</t>
    </r>
    <r>
      <rPr>
        <sz val="7"/>
        <color rgb="FF548235"/>
        <rFont val="Times New Roman"/>
        <family val="1"/>
      </rPr>
      <t xml:space="preserve">       </t>
    </r>
    <r>
      <rPr>
        <sz val="11"/>
        <color rgb="FF548235"/>
        <rFont val="Times New Roman"/>
        <family val="1"/>
      </rPr>
      <t>Bobina de cierre (Spring Release en 220 Vac)</t>
    </r>
  </si>
  <si>
    <r>
      <t>-</t>
    </r>
    <r>
      <rPr>
        <sz val="7"/>
        <color rgb="FF548235"/>
        <rFont val="Times New Roman"/>
        <family val="1"/>
      </rPr>
      <t xml:space="preserve">       </t>
    </r>
    <r>
      <rPr>
        <sz val="11"/>
        <color rgb="FF548235"/>
        <rFont val="Times New Roman"/>
        <family val="1"/>
      </rPr>
      <t>Bobina de Mínima Tensión (Undervoltage Release)</t>
    </r>
  </si>
  <si>
    <r>
      <t>-</t>
    </r>
    <r>
      <rPr>
        <sz val="7"/>
        <color rgb="FF548235"/>
        <rFont val="Times New Roman"/>
        <family val="1"/>
      </rPr>
      <t xml:space="preserve">       </t>
    </r>
    <r>
      <rPr>
        <sz val="11"/>
        <color rgb="FF548235"/>
        <rFont val="Times New Roman"/>
        <family val="1"/>
      </rPr>
      <t>Cubierta de Bloqueo para Pulsadores de Maniobra</t>
    </r>
  </si>
  <si>
    <r>
      <t>-</t>
    </r>
    <r>
      <rPr>
        <sz val="7"/>
        <color rgb="FF548235"/>
        <rFont val="Times New Roman"/>
        <family val="1"/>
      </rPr>
      <t xml:space="preserve">       </t>
    </r>
    <r>
      <rPr>
        <sz val="11"/>
        <color rgb="FF548235"/>
        <rFont val="Times New Roman"/>
        <family val="1"/>
      </rPr>
      <t>Contactos auxiliares 2NA + 2NC (adicionales)</t>
    </r>
  </si>
  <si>
    <t>Consideraciones a tomar en cuenta:</t>
  </si>
  <si>
    <r>
      <t>-</t>
    </r>
    <r>
      <rPr>
        <sz val="7"/>
        <color rgb="FFFF0000"/>
        <rFont val="Times New Roman"/>
        <family val="1"/>
      </rPr>
      <t xml:space="preserve">       </t>
    </r>
    <r>
      <rPr>
        <i/>
        <u/>
        <sz val="10"/>
        <color rgb="FFFF0000"/>
        <rFont val="Arial"/>
        <family val="2"/>
      </rPr>
      <t>El texto subrayado varía de acuerdo al modelo de interruptor, capacidad de ruptura, amperaje, etc.</t>
    </r>
  </si>
  <si>
    <r>
      <t>-</t>
    </r>
    <r>
      <rPr>
        <sz val="7"/>
        <color rgb="FF7030A0"/>
        <rFont val="Times New Roman"/>
        <family val="1"/>
      </rPr>
      <t xml:space="preserve">       </t>
    </r>
    <r>
      <rPr>
        <b/>
        <i/>
        <sz val="10"/>
        <color rgb="FF7030A0"/>
        <rFont val="Arial"/>
        <family val="2"/>
      </rPr>
      <t>El texto en morado se agrega si tiene protección de falla a tierra.</t>
    </r>
  </si>
  <si>
    <r>
      <t>-</t>
    </r>
    <r>
      <rPr>
        <sz val="7"/>
        <color rgb="FF548235"/>
        <rFont val="Times New Roman"/>
        <family val="1"/>
      </rPr>
      <t xml:space="preserve">       </t>
    </r>
    <r>
      <rPr>
        <i/>
        <sz val="10"/>
        <color rgb="FF548235"/>
        <rFont val="Arial"/>
        <family val="2"/>
      </rPr>
      <t>El texto en Verde es opcional y varía de acuerdo a la tensión de control, la tensión del sistema, los requerimientos del cliente y el proyecto.</t>
    </r>
  </si>
  <si>
    <t>BAB2080</t>
  </si>
  <si>
    <t>BAB2090</t>
  </si>
  <si>
    <t>QC1015</t>
  </si>
  <si>
    <t>QC1020</t>
  </si>
  <si>
    <t>QC1030</t>
  </si>
  <si>
    <t>QC1040</t>
  </si>
  <si>
    <t>QC1050</t>
  </si>
  <si>
    <t>QC1060</t>
  </si>
  <si>
    <t>QC1070</t>
  </si>
  <si>
    <t>QC2080</t>
  </si>
  <si>
    <t>BR115</t>
  </si>
  <si>
    <t>BR120</t>
  </si>
  <si>
    <t>BR130</t>
  </si>
  <si>
    <t>BR140</t>
  </si>
  <si>
    <t>BR150</t>
  </si>
  <si>
    <t>BR160</t>
  </si>
  <si>
    <t>BR170</t>
  </si>
  <si>
    <t>BR290</t>
  </si>
  <si>
    <t>BR2100</t>
  </si>
  <si>
    <t>DILM7-10</t>
  </si>
  <si>
    <t>DILM15-10</t>
  </si>
  <si>
    <t>DILM72</t>
  </si>
  <si>
    <t>DILM170</t>
  </si>
  <si>
    <t>BORNES DE 100A
Barras de 20x3mm</t>
  </si>
  <si>
    <t>BORNES DE 225A
Barras de 25x5mm</t>
  </si>
  <si>
    <t>BORNES DE 400A
Barras de 30x10mm</t>
  </si>
  <si>
    <t>PRECIO ($)</t>
  </si>
  <si>
    <t>FONDO (")</t>
  </si>
  <si>
    <t>ANCHO (")</t>
  </si>
  <si>
    <t>ALTO (")</t>
  </si>
  <si>
    <t>GABINETES AUTOSOPORTADOS</t>
  </si>
  <si>
    <t>04</t>
  </si>
  <si>
    <t>06</t>
  </si>
  <si>
    <t>08</t>
  </si>
  <si>
    <t>VOLTAJE</t>
  </si>
  <si>
    <t>(G7*I7*F7+J7*L7)*E7*1,67*1,25</t>
  </si>
  <si>
    <t>-----------------------------------------------------------------------------------</t>
  </si>
  <si>
    <t xml:space="preserve"> NEMA 4 = (NEMA 12) x 1,5</t>
  </si>
  <si>
    <t xml:space="preserve"> NEMA 3R = NEMA 12 + $100</t>
  </si>
  <si>
    <r>
      <rPr>
        <b/>
        <u/>
        <sz val="11"/>
        <rFont val="Arial"/>
        <family val="2"/>
      </rPr>
      <t>NOTA 1</t>
    </r>
    <r>
      <rPr>
        <b/>
        <sz val="11"/>
        <rFont val="Arial"/>
        <family val="2"/>
      </rPr>
      <t xml:space="preserve"> :   </t>
    </r>
  </si>
  <si>
    <r>
      <rPr>
        <b/>
        <u/>
        <sz val="11"/>
        <rFont val="Arial"/>
        <family val="2"/>
      </rPr>
      <t>NOTA 2</t>
    </r>
    <r>
      <rPr>
        <b/>
        <sz val="11"/>
        <rFont val="Arial"/>
        <family val="2"/>
      </rPr>
      <t xml:space="preserve"> :  </t>
    </r>
  </si>
  <si>
    <t xml:space="preserve">en las barras horizontales. </t>
  </si>
  <si>
    <t>BZME1-A125-BT-AP</t>
  </si>
  <si>
    <t>Contacto auxiliar 1NO + 1NC para interruptor LZM</t>
  </si>
  <si>
    <t>CONM - 63A 3P</t>
  </si>
  <si>
    <t>BAB20100</t>
  </si>
  <si>
    <t>Lamparas de señalizacion de presencia de tension , color rojo tipo led , 22mmØ.</t>
  </si>
  <si>
    <t>Modif.</t>
  </si>
  <si>
    <t>SI</t>
  </si>
  <si>
    <r>
      <rPr>
        <b/>
        <u/>
        <sz val="10"/>
        <rFont val="Arial"/>
        <family val="2"/>
      </rPr>
      <t>NOTAS</t>
    </r>
    <r>
      <rPr>
        <b/>
        <sz val="10"/>
        <rFont val="Arial"/>
        <family val="2"/>
      </rPr>
      <t xml:space="preserve"> :</t>
    </r>
  </si>
  <si>
    <t>MARCA</t>
  </si>
  <si>
    <t>CVM-C10-ITF-485-ICT2</t>
  </si>
  <si>
    <t>NZM3-XKP</t>
  </si>
  <si>
    <t>NZM4-XKP</t>
  </si>
  <si>
    <t>XTOB010BC1</t>
  </si>
  <si>
    <t>XTOB012BC1</t>
  </si>
  <si>
    <t>XTOB016BC1</t>
  </si>
  <si>
    <t>DILM32-XHI11</t>
  </si>
  <si>
    <t>FABRICACIONES LOCALES</t>
  </si>
  <si>
    <t>PRODUCTOS DE OTRAS MARCAS AGREGADOS</t>
  </si>
  <si>
    <t>ABB</t>
  </si>
  <si>
    <t>ATS022</t>
  </si>
  <si>
    <t>1SDA065524R1</t>
  </si>
  <si>
    <t>1SCA120095R1001</t>
  </si>
  <si>
    <t>1SCA120071R1001</t>
  </si>
  <si>
    <t>OTM_I-0-II_3p_63A</t>
  </si>
  <si>
    <t>OTM_I-0-II_3p_100A</t>
  </si>
  <si>
    <t>OTM_I-0-II_3p_160A</t>
  </si>
  <si>
    <t>OTM_I-0-II_3p_250A</t>
  </si>
  <si>
    <t>OTM_I-0-II_3p_400A</t>
  </si>
  <si>
    <t>OTM_I-0-II_3p_800A</t>
  </si>
  <si>
    <t>OTM_I-0-II_3p_1000A</t>
  </si>
  <si>
    <t>OTM_I-0-II_3p_1600A</t>
  </si>
  <si>
    <t>1SCA022845R8610</t>
  </si>
  <si>
    <t>1SCA022845R8960</t>
  </si>
  <si>
    <t>1SCA103570R1001</t>
  </si>
  <si>
    <t>1SCA112677R1001</t>
  </si>
  <si>
    <t>1SCA112678R1001</t>
  </si>
  <si>
    <t>DILM32-XHI11-S</t>
  </si>
  <si>
    <t>D2PR4B+D2PA6</t>
  </si>
  <si>
    <t>XTRM10A22B</t>
  </si>
  <si>
    <t>KIT-TRANSF_XT1N_80A</t>
  </si>
  <si>
    <t>1SDA067415P1</t>
  </si>
  <si>
    <t>KIT-TRANSF_XT1N_100A</t>
  </si>
  <si>
    <t>1SDA067416P1</t>
  </si>
  <si>
    <t>KIT-TRANSF_XT1N_125A</t>
  </si>
  <si>
    <t>1SDA067417P1</t>
  </si>
  <si>
    <t>KIT-TRANSF_XT1N_160A</t>
  </si>
  <si>
    <t>1SDA067418P1</t>
  </si>
  <si>
    <t>1SDA068058P1</t>
  </si>
  <si>
    <t>1SDA068059P1</t>
  </si>
  <si>
    <t>KIT-TRANSF_XT3N_200A</t>
  </si>
  <si>
    <t>KIT-TRANSF_XT3N_250A</t>
  </si>
  <si>
    <t>KIT-TRANSF_T5N_400A</t>
  </si>
  <si>
    <t>OTM_I-0-II_3p_630A</t>
  </si>
  <si>
    <t>1SCA103567R1001</t>
  </si>
  <si>
    <t>Boton Parada de Emergencia + base, golpe de puño oprimir-jalar, modelo M22.</t>
  </si>
  <si>
    <t>1SDA054317P1</t>
  </si>
  <si>
    <t>1SDA054396P1</t>
  </si>
  <si>
    <t>KIT-TRANSF_T5N_630A</t>
  </si>
  <si>
    <t>1SDA060268P1</t>
  </si>
  <si>
    <t>KIT-TRANSF_T6N_800A</t>
  </si>
  <si>
    <t>1SDA067415R1</t>
  </si>
  <si>
    <t>XT1N160-80A-3P-TMD</t>
  </si>
  <si>
    <t>1SDA067414R1</t>
  </si>
  <si>
    <t>XT1N160-63A-3P-TMD</t>
  </si>
  <si>
    <t>XT1N160-100A-3P-TMD</t>
  </si>
  <si>
    <t>1SDA067416R1</t>
  </si>
  <si>
    <t>B.N</t>
  </si>
  <si>
    <t>B.T</t>
  </si>
  <si>
    <t>M22-PV+M22-A</t>
  </si>
  <si>
    <t>1SDA070792R1</t>
  </si>
  <si>
    <t>E1.2C-1000A-3P-Ekip Touch LSI</t>
  </si>
  <si>
    <t>1SDA073674R1</t>
  </si>
  <si>
    <t>1SDA073711R1</t>
  </si>
  <si>
    <t>1SDA073687R1</t>
  </si>
  <si>
    <t>T6N800-800A-3P-PR222DS/P-LSI</t>
  </si>
  <si>
    <t>1SDA060270R1</t>
  </si>
  <si>
    <t>T5N630-630A-3P-PR222DS/P-LSI</t>
  </si>
  <si>
    <t>1SDA054398R1</t>
  </si>
  <si>
    <t>1SDA060280R1</t>
  </si>
  <si>
    <t>T6S800-800A-3P-PR222DS/P-LSI</t>
  </si>
  <si>
    <t>1SDA054406R1</t>
  </si>
  <si>
    <t>T5S630-630A-3P-PR222DS/P-LSI</t>
  </si>
  <si>
    <t>T5S400-400A-3P-PR222DS/P-LSI</t>
  </si>
  <si>
    <t>1SDA054337R1</t>
  </si>
  <si>
    <t>XT3S250-200A-3P-TMD</t>
  </si>
  <si>
    <t>1SDA068220R1</t>
  </si>
  <si>
    <t>XT2S160-32A-3P-TMD</t>
  </si>
  <si>
    <t>1SDA066905R1</t>
  </si>
  <si>
    <t>FC-Cu_XT1_3t</t>
  </si>
  <si>
    <t>1SDA067155R1</t>
  </si>
  <si>
    <t>1SDA066909R1</t>
  </si>
  <si>
    <t>FC-Cu_XT2_3t</t>
  </si>
  <si>
    <t>1SDA067167R1</t>
  </si>
  <si>
    <t>FC-Cu_XT3_3t</t>
  </si>
  <si>
    <t>1SDA066913R1</t>
  </si>
  <si>
    <t>1SDA067183R1</t>
  </si>
  <si>
    <t>FC-Cu_XT4_3t</t>
  </si>
  <si>
    <t>1SDA066917R1</t>
  </si>
  <si>
    <t>1SDA067195R1</t>
  </si>
  <si>
    <t>XT1C160-80A-3P-TMD</t>
  </si>
  <si>
    <t>XT1C160-63A-3P-TMD</t>
  </si>
  <si>
    <t>XT1C160-25A-3P-TMD</t>
  </si>
  <si>
    <t>XT1C160-125A-3P-TMD</t>
  </si>
  <si>
    <t>XT1C160-50A-3P-TMD</t>
  </si>
  <si>
    <t>1SDA067396R1</t>
  </si>
  <si>
    <t>1SDA067395R1</t>
  </si>
  <si>
    <t>1SDA067391R1</t>
  </si>
  <si>
    <t>1SDA067398R1</t>
  </si>
  <si>
    <t>1SDA067394R1</t>
  </si>
  <si>
    <t>XT2N160-16A-3P-TMD</t>
  </si>
  <si>
    <t>XT2N160-100A-3P-Ekip LS/I</t>
  </si>
  <si>
    <t>XT2N160-63A-3P-Ekip LS/I</t>
  </si>
  <si>
    <t>XT2N160-50A-3P-TMA</t>
  </si>
  <si>
    <t>XT2N160-100A-3P-TMA</t>
  </si>
  <si>
    <t>XT2N160-63A-3P-TMA</t>
  </si>
  <si>
    <t>XT2N160-32A-3P-TMD</t>
  </si>
  <si>
    <t>XT2N160-25A-3P-TMD</t>
  </si>
  <si>
    <t>XT2N160-160A-3P-TMA</t>
  </si>
  <si>
    <t>1SDA067010R1</t>
  </si>
  <si>
    <t>1SDA067057R1</t>
  </si>
  <si>
    <t>1SDA067056R1</t>
  </si>
  <si>
    <t>1SDA067015R1</t>
  </si>
  <si>
    <t>1SDA067018R1</t>
  </si>
  <si>
    <t>1SDA067016R1</t>
  </si>
  <si>
    <t>1SDA067012R1</t>
  </si>
  <si>
    <t>1SDA067014R1</t>
  </si>
  <si>
    <t>1SDA067020R1</t>
  </si>
  <si>
    <t>1SDA067013R1</t>
  </si>
  <si>
    <t>XT2N160-40A-3P-TMA</t>
  </si>
  <si>
    <t>XT2S160-100A-3P-Ekip LS/I</t>
  </si>
  <si>
    <t>XT2S160-63A-3P-Ekip LS/I</t>
  </si>
  <si>
    <t>XT2S160-100A-3P-TMA</t>
  </si>
  <si>
    <t>1SDA067803R1</t>
  </si>
  <si>
    <t>1SDA067802R1</t>
  </si>
  <si>
    <t>1SDA067558R1</t>
  </si>
  <si>
    <t>XT3N250-200A-3P-TMD</t>
  </si>
  <si>
    <t>XT3N250-250A-3P-TMD</t>
  </si>
  <si>
    <t>XT3S250-250A-3P-TMD</t>
  </si>
  <si>
    <t>1SDA068058R1</t>
  </si>
  <si>
    <t>1SDA068059R1</t>
  </si>
  <si>
    <t>1SDA068221R1</t>
  </si>
  <si>
    <t>XT4N160-160A-3P-Ekip LS/I</t>
  </si>
  <si>
    <t>XT4N160-100A-3P-Ekip LS/I</t>
  </si>
  <si>
    <t>XT4S160-160A-3P-Ekip LS/I</t>
  </si>
  <si>
    <t>XT4N250-200A-3P-TMA</t>
  </si>
  <si>
    <t>XT4S250-250A-3P-Ekip LS/I</t>
  </si>
  <si>
    <t>XT4N160-100A-3P-TMA</t>
  </si>
  <si>
    <t>XT4S250-200A-3P-TMA</t>
  </si>
  <si>
    <t>XT4S250-250A-3P-TMA</t>
  </si>
  <si>
    <t>XT4N160-80A-3P-TMA</t>
  </si>
  <si>
    <t>XT4N250-250A-3P-TMA</t>
  </si>
  <si>
    <t>XT4N160-63A-3P-TMA</t>
  </si>
  <si>
    <t>XT4N250-250A-3P-Ekip LS/I</t>
  </si>
  <si>
    <t>XT4N160-160A-3P-TMA</t>
  </si>
  <si>
    <t>XT4S160-100A-3P-Ekip LS/I</t>
  </si>
  <si>
    <t>XT4S160-160A-3p-TMA</t>
  </si>
  <si>
    <t>1SDA068125R1</t>
  </si>
  <si>
    <t>1SDA068124R1</t>
  </si>
  <si>
    <t>1SDA068474R1</t>
  </si>
  <si>
    <t>1SDA068090R1</t>
  </si>
  <si>
    <t>1SDA068475R1</t>
  </si>
  <si>
    <t>1SDA068087R1</t>
  </si>
  <si>
    <t>1SDA068310R1</t>
  </si>
  <si>
    <t>1SDA068312R1</t>
  </si>
  <si>
    <t>1SDA068305R1</t>
  </si>
  <si>
    <t>1SDA068086R1</t>
  </si>
  <si>
    <t>1SDA068092R1</t>
  </si>
  <si>
    <t>1SDA068085R1</t>
  </si>
  <si>
    <t>1SDA068126R1</t>
  </si>
  <si>
    <t>1SDA068089R1</t>
  </si>
  <si>
    <t>1SDA068473R1</t>
  </si>
  <si>
    <t>1SDA068309R1</t>
  </si>
  <si>
    <t>XT4S160-63A-3P-TMA</t>
  </si>
  <si>
    <t>T4S320-320A-3P-PR222DS/P-LSI</t>
  </si>
  <si>
    <t>1SDA054127R1</t>
  </si>
  <si>
    <t>1SDA054119R1</t>
  </si>
  <si>
    <t>T4N320-320A-3P-PR222DS/P-LSI</t>
  </si>
  <si>
    <t>T5N400-400A-3P-PR222DS/P-LSI</t>
  </si>
  <si>
    <t>T5N400-320A-3P-PR222DS/P-LSI</t>
  </si>
  <si>
    <t>1SDA054321R1</t>
  </si>
  <si>
    <t>T6N630-630A-3P-PR222DS/P-LSI</t>
  </si>
  <si>
    <t>T6S630-630A-3P-PR222DS/P-LSI</t>
  </si>
  <si>
    <t>1SDA060228R1</t>
  </si>
  <si>
    <t>1SDA060238R1</t>
  </si>
  <si>
    <t>T7S1600-1600A-3P-PR232/P-LSI</t>
  </si>
  <si>
    <t>T7S800-800A-3P-PR232/P-LSI</t>
  </si>
  <si>
    <t>T7S1000-1000A-3P-PR232/P-LSI</t>
  </si>
  <si>
    <t>1SDA062995R1</t>
  </si>
  <si>
    <t>1SDA061964R1</t>
  </si>
  <si>
    <t>1SDA062739R1</t>
  </si>
  <si>
    <t>E1.2C-1000A-3P-Ekip Dip LSI</t>
  </si>
  <si>
    <t>E1.2C-630A-3P-Ekip Dip LSI</t>
  </si>
  <si>
    <t>E1.2C-1250A-3P-Ekip Dip LSI</t>
  </si>
  <si>
    <t>1SDA070712R1</t>
  </si>
  <si>
    <t>1SDA070832R1</t>
  </si>
  <si>
    <t>1SDA070752R1</t>
  </si>
  <si>
    <t>E1.2C-800A-3P-Ekip Dip LSI</t>
  </si>
  <si>
    <t>E2.2N-1600A-3P-Ekip Touch LSI</t>
  </si>
  <si>
    <t>1SDA070995R1</t>
  </si>
  <si>
    <t>E4.2N-3200A-3P-Ekip Touch LSI</t>
  </si>
  <si>
    <t>1SDA071145R1</t>
  </si>
  <si>
    <t>1SDA071035R1</t>
  </si>
  <si>
    <t>E2.2N-2000A-3P-Ekip Touch LSI</t>
  </si>
  <si>
    <t>1SDA071065R1</t>
  </si>
  <si>
    <t>E2.2N-2500A-3P-Ekip Touch LSI</t>
  </si>
  <si>
    <t>1SDA071195R1</t>
  </si>
  <si>
    <t>E4.2N-4000A-3P-Ekip Touch LSI</t>
  </si>
  <si>
    <t>1SDA071155R1</t>
  </si>
  <si>
    <t>1SDA071205R1</t>
  </si>
  <si>
    <t>E4.2S-3200A-3P-Ekip Touch LSI</t>
  </si>
  <si>
    <t>E4.2S-4000A-3P-Ekip Touch LSI</t>
  </si>
  <si>
    <t>E1.2N-1000A-3P-Ekip Touch LSI</t>
  </si>
  <si>
    <t>E1.2N-1250A-3P-Ekip Touch LSI</t>
  </si>
  <si>
    <t>E1.2N-1600A-3P-Ekip Touch LSI</t>
  </si>
  <si>
    <t>1SDA070805R1</t>
  </si>
  <si>
    <t>1SDA070845R1</t>
  </si>
  <si>
    <t>1SDA070885R1</t>
  </si>
  <si>
    <t>1SDA073725R1</t>
  </si>
  <si>
    <t>YM_E1.2_220V</t>
  </si>
  <si>
    <t>YM_E2.2-6.2_220V</t>
  </si>
  <si>
    <t>1SDA073700R1</t>
  </si>
  <si>
    <t>FC-CuAl_XT1_3t</t>
  </si>
  <si>
    <t>FC-CuAl_XT2_3t</t>
  </si>
  <si>
    <t>FC-CuAl_XT3_3t</t>
  </si>
  <si>
    <t>FC-CuAl_XT4_3t</t>
  </si>
  <si>
    <t>FC-CuAl_T4_3t</t>
  </si>
  <si>
    <t>1SDA064549R1</t>
  </si>
  <si>
    <t>FC-CuAl_T5_3t</t>
  </si>
  <si>
    <t>FC-CuAl_T6_3t</t>
  </si>
  <si>
    <t>FC-CuAl_T7_3t</t>
  </si>
  <si>
    <t>1SDA063112R1</t>
  </si>
  <si>
    <t>1SDA070795R1</t>
  </si>
  <si>
    <t>S201-C-20A</t>
  </si>
  <si>
    <t>S201-C-16A</t>
  </si>
  <si>
    <t>S202-C-20A</t>
  </si>
  <si>
    <t>S202-C-16A</t>
  </si>
  <si>
    <t>S202-C-32A</t>
  </si>
  <si>
    <t>S202-C-50A</t>
  </si>
  <si>
    <t>S202-C-25A</t>
  </si>
  <si>
    <t>S202M-C-20A</t>
  </si>
  <si>
    <t>S202M-C-16A</t>
  </si>
  <si>
    <t>S202P-C-20A</t>
  </si>
  <si>
    <t>S202P-C-16A</t>
  </si>
  <si>
    <t>S202P-C-25A</t>
  </si>
  <si>
    <t>ITM Riel-Din 2x20A - S202-C-20A - 10kA@400V-IEC60947-2 - marca ABB.</t>
  </si>
  <si>
    <t>ITM Riel-Din 2x32A - S202-C-32A - 10kA@400V-IEC60947-2 - marca ABB.</t>
  </si>
  <si>
    <t>S203-C-32A</t>
  </si>
  <si>
    <t>S203-C-63A</t>
  </si>
  <si>
    <t>S203P-C-50A</t>
  </si>
  <si>
    <t>S203-C-16A</t>
  </si>
  <si>
    <t>S203-C-50A</t>
  </si>
  <si>
    <t>S203-C-20A</t>
  </si>
  <si>
    <t>S203M-C-32A</t>
  </si>
  <si>
    <t>S203M-C-16A</t>
  </si>
  <si>
    <t>S203-C-25A</t>
  </si>
  <si>
    <t>S203P-C-16A</t>
  </si>
  <si>
    <t>S203M-C-20A</t>
  </si>
  <si>
    <t>S202M-C-25A</t>
  </si>
  <si>
    <t>S202M-C-32A</t>
  </si>
  <si>
    <t>S202M-C-40A</t>
  </si>
  <si>
    <t>S202M-C-50A</t>
  </si>
  <si>
    <t>S202P-C-32A</t>
  </si>
  <si>
    <t>S203-C-40A</t>
  </si>
  <si>
    <t>S203M-C-25A</t>
  </si>
  <si>
    <t>S203M-C-40A</t>
  </si>
  <si>
    <t>S203M-C-50A</t>
  </si>
  <si>
    <t>S203M-C-63A</t>
  </si>
  <si>
    <t>S202-C-63A</t>
  </si>
  <si>
    <t>S201-C-25A</t>
  </si>
  <si>
    <t>S201-C-32A</t>
  </si>
  <si>
    <t>S201-C-40A</t>
  </si>
  <si>
    <t>S201-C-50A</t>
  </si>
  <si>
    <t>S201-C-63A</t>
  </si>
  <si>
    <t>ITM Riel-Din 2x40A - S202-C-40A - 10kA@400V-IEC60947-2 - marca ABB.</t>
  </si>
  <si>
    <t>S202-C-40A</t>
  </si>
  <si>
    <t>S202M-C-63A</t>
  </si>
  <si>
    <t>S202P-C-40A</t>
  </si>
  <si>
    <t>S202P-C-50A</t>
  </si>
  <si>
    <t>S202P-C-63A</t>
  </si>
  <si>
    <t>ITM Riel-Din 3x20A - S203-C-20A - 10kA@400V-IEC60947-2 - marca ABB.</t>
  </si>
  <si>
    <t>ITM Riel-Din 3x32A - S203-C-32A - 10kA@400V-IEC60947-2 - marca ABB.</t>
  </si>
  <si>
    <t>ITM Riel-Din 3x50A - S203-C-50A - 10kA@400V-IEC60947-2 - marca ABB.</t>
  </si>
  <si>
    <t>S203P-C-20A</t>
  </si>
  <si>
    <t>S203P-C-25A</t>
  </si>
  <si>
    <t>S203P-C-32A</t>
  </si>
  <si>
    <t>S203P-C-40A</t>
  </si>
  <si>
    <t>S203P-C-63A</t>
  </si>
  <si>
    <t>DSCTO 1</t>
  </si>
  <si>
    <t>DSCTO 2</t>
  </si>
  <si>
    <t>DSCTO 3</t>
  </si>
  <si>
    <t>Familia</t>
  </si>
  <si>
    <t>DSCTO FINAL</t>
  </si>
  <si>
    <t>DSCTO 4</t>
  </si>
  <si>
    <t>Factor de compra local</t>
  </si>
  <si>
    <t>Iz</t>
  </si>
  <si>
    <t>Pintada / Desnuda</t>
  </si>
  <si>
    <t>Barra Desnuda (I)</t>
  </si>
  <si>
    <t>Barra Desnuda (II)</t>
  </si>
  <si>
    <t>Barra Pintada (II)</t>
  </si>
  <si>
    <t>Barra Pintada (I)</t>
  </si>
  <si>
    <t>Barra Pintada (III)</t>
  </si>
  <si>
    <t>Por Fase (I, II, III)</t>
  </si>
  <si>
    <t>Pintada</t>
  </si>
  <si>
    <t>Desnuda</t>
  </si>
  <si>
    <t>1SDA055032R1</t>
  </si>
  <si>
    <t>Numero de hilos (3F,2F)</t>
  </si>
  <si>
    <t>Barra + aisladores</t>
  </si>
  <si>
    <t>RES-MON_DIN</t>
  </si>
  <si>
    <t>Nº POLOS</t>
  </si>
  <si>
    <t>DILA-XHI01-S</t>
  </si>
  <si>
    <t>Contacto auxiliar lateral 1NA+1NC para contactor DILM17-DILM38.</t>
  </si>
  <si>
    <t>DILA-XHI10-S</t>
  </si>
  <si>
    <t>SH201-C-16A</t>
  </si>
  <si>
    <t>SH201-C-20A</t>
  </si>
  <si>
    <t>SH201-C-25A</t>
  </si>
  <si>
    <t>SH201-C-32A</t>
  </si>
  <si>
    <t>SH201-C-40A</t>
  </si>
  <si>
    <t>SH201-C-50A</t>
  </si>
  <si>
    <t>SH202-C-16A</t>
  </si>
  <si>
    <t>SH202-C-20A</t>
  </si>
  <si>
    <t>SH202-C-25A</t>
  </si>
  <si>
    <t>SH202-C-32A</t>
  </si>
  <si>
    <t>SH202-C-40A</t>
  </si>
  <si>
    <t>SH202-C-50A</t>
  </si>
  <si>
    <t>SH202-C-63A</t>
  </si>
  <si>
    <t>SH203-C-16A</t>
  </si>
  <si>
    <t>SH203-C-20A</t>
  </si>
  <si>
    <t>SH203-C-25A</t>
  </si>
  <si>
    <t>SH203-C-32A</t>
  </si>
  <si>
    <t>SH203-C-40A</t>
  </si>
  <si>
    <t>SH203-C-50A</t>
  </si>
  <si>
    <t>SH203-C-63A</t>
  </si>
  <si>
    <t>T4N320-320A-3P-PR221DS-LS/I</t>
  </si>
  <si>
    <t>1SDA054117R1</t>
  </si>
  <si>
    <t>T4S320-320A-3P-PR221DS-LS/I</t>
  </si>
  <si>
    <t>1SDA054125R1</t>
  </si>
  <si>
    <t>T5N400-400A-3P-PR221DS-LS/I</t>
  </si>
  <si>
    <t>1SDA054317R1</t>
  </si>
  <si>
    <t>T5S400-400A-3P-PR221DS-LS/I</t>
  </si>
  <si>
    <t>1SDA054333R1</t>
  </si>
  <si>
    <t>T5S630-630A-3P-PR221DS-LS/I</t>
  </si>
  <si>
    <t>1SDA054396R1</t>
  </si>
  <si>
    <t>1SDA054404R1</t>
  </si>
  <si>
    <t>T5N630-630A-3P-PR221DS-LS/I</t>
  </si>
  <si>
    <t>T6N800-800A-3P-PR221DS-LS/I</t>
  </si>
  <si>
    <t>1SDA060268R1</t>
  </si>
  <si>
    <t>1SDA060278R1</t>
  </si>
  <si>
    <t>T6N1000-1000A-3P-PR221DS-LS/I</t>
  </si>
  <si>
    <t>1SDA060537R1</t>
  </si>
  <si>
    <t>T6S800-800A-3P-PR221DS-LS/I</t>
  </si>
  <si>
    <t>T6S1000-1000A-3P-PR221DS-LS/I</t>
  </si>
  <si>
    <t>1SDA060547R1</t>
  </si>
  <si>
    <t>1SDA062866R1</t>
  </si>
  <si>
    <t>1SDA062994R1</t>
  </si>
  <si>
    <t>1SDA062898R1</t>
  </si>
  <si>
    <t>1SDA063026R1</t>
  </si>
  <si>
    <t>T7S1250-1250A-3P-PR231 P-LS/I</t>
  </si>
  <si>
    <t>T7S1600-1600A-3P-PR231 P-LS/I</t>
  </si>
  <si>
    <t>T7H1250-1250A-3P-PR231 P-LS/I</t>
  </si>
  <si>
    <t>T7H1600-1600A-3P-PR231 P-LS/I</t>
  </si>
  <si>
    <t>T7S1250(M)-1250A-3P-PR231 P-LS/I</t>
  </si>
  <si>
    <t>T7S1600(M)-1600A-3P-PR231 P-LS/I</t>
  </si>
  <si>
    <t>T7H1250(M)-1250A-3P-PR231 P-LS/I</t>
  </si>
  <si>
    <t>T7H1600(M)-1600A-3P-PR231 P-LS/I</t>
  </si>
  <si>
    <t>1SDA062882R1</t>
  </si>
  <si>
    <t>1SDA063010R1</t>
  </si>
  <si>
    <t>1SDA062914R1</t>
  </si>
  <si>
    <t>1SDA063042R1</t>
  </si>
  <si>
    <t>FH202-AC-25A-30mA</t>
  </si>
  <si>
    <t>1TMF202006R1250</t>
  </si>
  <si>
    <t>FH202-AC-40A-30mA</t>
  </si>
  <si>
    <t>FH202-AC-63A-30mA</t>
  </si>
  <si>
    <t>1TMF202006R1400</t>
  </si>
  <si>
    <t>1TMF202006R1630</t>
  </si>
  <si>
    <t>FH204-AC-25A-30mA</t>
  </si>
  <si>
    <t>FH204-AC-40A-30mA</t>
  </si>
  <si>
    <t>FH204-AC-63A-30mA</t>
  </si>
  <si>
    <t>1TMF204006R1250</t>
  </si>
  <si>
    <t>1TMF204006R1400</t>
  </si>
  <si>
    <t>1TMF204006R1630</t>
  </si>
  <si>
    <t>F204-AC-80A-30mA</t>
  </si>
  <si>
    <t>F204-AC-100A-30mA</t>
  </si>
  <si>
    <t>2CSF204005R1800</t>
  </si>
  <si>
    <t>2CSF204005R1900</t>
  </si>
  <si>
    <t>F202-A-25A-30mA</t>
  </si>
  <si>
    <t>F202-A-40A-30mA</t>
  </si>
  <si>
    <t>F202-A-63A-30mA</t>
  </si>
  <si>
    <t>2CSF202101R1250</t>
  </si>
  <si>
    <t>2CSF202101R1400</t>
  </si>
  <si>
    <t>2CSF202101R1630</t>
  </si>
  <si>
    <t>F204-A-25A-30mA</t>
  </si>
  <si>
    <t>F204-A-40A-30mA</t>
  </si>
  <si>
    <t>F204-A-63A-30mA</t>
  </si>
  <si>
    <t>F204-A-80A-30mA</t>
  </si>
  <si>
    <t>F204-A-100A-30mA</t>
  </si>
  <si>
    <t>2CSF204101R1250</t>
  </si>
  <si>
    <t>2CSF204101R1400</t>
  </si>
  <si>
    <t>2CSF204101R1630</t>
  </si>
  <si>
    <t>2CSF204101R1800</t>
  </si>
  <si>
    <t>2CSF204101R1900</t>
  </si>
  <si>
    <t>F202-A APR-25A-30mA</t>
  </si>
  <si>
    <t>F202-A APR-40A-30mA</t>
  </si>
  <si>
    <t>F202-A APR-63A-30mA</t>
  </si>
  <si>
    <t>F204-A APR-25A-30mA</t>
  </si>
  <si>
    <t>F204-A APR-40A-30mA</t>
  </si>
  <si>
    <t>F204-A APR-63A-30mA</t>
  </si>
  <si>
    <t>F204-A APR-80A-30mA</t>
  </si>
  <si>
    <t>F204-A APR-100A-30mA</t>
  </si>
  <si>
    <t>2CSF202401R1250</t>
  </si>
  <si>
    <t>2CSF202401R1400</t>
  </si>
  <si>
    <t>2CSF202401R1630</t>
  </si>
  <si>
    <t>2CSF204401R1250</t>
  </si>
  <si>
    <t>2CSF204401R1400</t>
  </si>
  <si>
    <t>2CSF204401R1630</t>
  </si>
  <si>
    <t>2CSF204401R1800</t>
  </si>
  <si>
    <t>2CSF204401R1900</t>
  </si>
  <si>
    <t>1SBL137001R1310</t>
  </si>
  <si>
    <t>1SBL157001R1310</t>
  </si>
  <si>
    <t>1SBL177001R1310</t>
  </si>
  <si>
    <t>1SBL237001P1310</t>
  </si>
  <si>
    <t>1SBL277001P1310</t>
  </si>
  <si>
    <t>SH201-C-63A</t>
  </si>
  <si>
    <t>Contactor 3x09A(AC-3) / 3x25A(AC-1) +1NA - AF09-30-10-13 - bobina 100-250Vac/dc - marca ABB.</t>
  </si>
  <si>
    <t>Contactor 3x18A(AC-3) / 3x30A(AC-1) +1NA - AF16-30-10-13 - bobina 100-250Vac/dc - marca ABB.</t>
  </si>
  <si>
    <t>Contactor 3x26A(AC-3) / 3x45A(AC-1) +1NA - AF26-30-10-13 - bobina 100-250Vac/dc - marca ABB.</t>
  </si>
  <si>
    <t>Contactor 3x32A(AC-3) / 3x50A(AC-1) +1NA - AF30-30-10-13 - bobina 100-250Vac/dc - marca ABB.</t>
  </si>
  <si>
    <t>Contactor 3x12A(AC-3) / 3x28A(AC-1) +1NA - AF12-30-10-13 - bobina 100-250Vac/dc - marca ABB.</t>
  </si>
  <si>
    <t>No olvidar adicionar 0,2 m (Barra de empalme)</t>
  </si>
  <si>
    <t xml:space="preserve"> NEMA 3R = NEMA 12 + $30</t>
  </si>
  <si>
    <t>TABLEROS DE DISTRIBUCION:</t>
  </si>
  <si>
    <t>CÓDIGO</t>
  </si>
  <si>
    <t>FC-CuAl_A1_3t</t>
  </si>
  <si>
    <t>FC-CuAl_A2_3t</t>
  </si>
  <si>
    <t>FC-CuAl_A3_3t</t>
  </si>
  <si>
    <t>1SDA066242R1</t>
  </si>
  <si>
    <t>1SDA066248R1</t>
  </si>
  <si>
    <t>1SDA055024R1</t>
  </si>
  <si>
    <t>A1N/P125-16A-2P-TMF</t>
  </si>
  <si>
    <t>A1N/P125-20A-2P-TMF</t>
  </si>
  <si>
    <t>A1N/P125-25A-2P-TMF</t>
  </si>
  <si>
    <t>A1N/P125-32A-2P-TMF</t>
  </si>
  <si>
    <t>A1N/P125-40A-2P-TMF</t>
  </si>
  <si>
    <t>A1N/P125-50A-2P-TMF</t>
  </si>
  <si>
    <t>A1N/P125-63A-2P-TMF</t>
  </si>
  <si>
    <t>1SDA069551R1</t>
  </si>
  <si>
    <t>1SDA069552R1</t>
  </si>
  <si>
    <t>1SDA069553R1</t>
  </si>
  <si>
    <t>1SDA069555R1</t>
  </si>
  <si>
    <t>1SDA069556R1</t>
  </si>
  <si>
    <t>1SDA069557R1</t>
  </si>
  <si>
    <t>1SDA069559R1</t>
  </si>
  <si>
    <t>A1B125-20A-3P-TMF</t>
  </si>
  <si>
    <t>A1B125-25A-3P-TMF</t>
  </si>
  <si>
    <t>A1B125-40A-3P-TMF</t>
  </si>
  <si>
    <t>A1B125-50A-3P-TMF</t>
  </si>
  <si>
    <t>A1B125-70A-3P-TMF</t>
  </si>
  <si>
    <t>A1B125-80A-3P-TMF</t>
  </si>
  <si>
    <t>A1B125-90A-3P-TMF</t>
  </si>
  <si>
    <t>A1B125-100A-3P-TMF</t>
  </si>
  <si>
    <t>A1B125-125A-3P-TMF</t>
  </si>
  <si>
    <t>1SDA066698R1</t>
  </si>
  <si>
    <t>1SDA066699R1</t>
  </si>
  <si>
    <t>1SDA068758R1</t>
  </si>
  <si>
    <t>1SDA066701R1</t>
  </si>
  <si>
    <t>1SDA066702R1</t>
  </si>
  <si>
    <t>1SDA068769R1</t>
  </si>
  <si>
    <t>1SDA066704R1</t>
  </si>
  <si>
    <t>1SDA066705R1</t>
  </si>
  <si>
    <t>1SDA066706R1</t>
  </si>
  <si>
    <t>1SDA066707R1</t>
  </si>
  <si>
    <t>1SDA066708R1</t>
  </si>
  <si>
    <t>A2C250-160A-3P-TMF</t>
  </si>
  <si>
    <t>A2C250-200A-3P-TMF</t>
  </si>
  <si>
    <t>A2C250-250A-3P-TMF</t>
  </si>
  <si>
    <t>1SDA066776R1</t>
  </si>
  <si>
    <t>1SDA066778R1</t>
  </si>
  <si>
    <t>1SDA066780R1</t>
  </si>
  <si>
    <t>A3N400-320A-3P-TMF</t>
  </si>
  <si>
    <t>1SDA066560R1</t>
  </si>
  <si>
    <t>1SDA066561R1</t>
  </si>
  <si>
    <t>1SDA066566R1</t>
  </si>
  <si>
    <t>A3N400-400A-3P-TMF</t>
  </si>
  <si>
    <t>A3N630-630A-3P-ELT LI</t>
  </si>
  <si>
    <t>OVR-T1_100N_1P</t>
  </si>
  <si>
    <t>OVR-T1_25-440_1P</t>
  </si>
  <si>
    <t>2CTB815101R9300</t>
  </si>
  <si>
    <t>2CTB815101R0500</t>
  </si>
  <si>
    <t>1SFA611210P1206</t>
  </si>
  <si>
    <t>SEL_1-0-2</t>
  </si>
  <si>
    <t>PULS_START</t>
  </si>
  <si>
    <t>PULS_STOP</t>
  </si>
  <si>
    <t>PULS_STOP_MOD</t>
  </si>
  <si>
    <t>1SFA611100P3001</t>
  </si>
  <si>
    <t>PULS_START_MOD</t>
  </si>
  <si>
    <t>MOE_T4-T5</t>
  </si>
  <si>
    <t>1SDA054897R1</t>
  </si>
  <si>
    <t>MOE_T6</t>
  </si>
  <si>
    <t>1SDA060398R1</t>
  </si>
  <si>
    <t>YC_Emax2_220V</t>
  </si>
  <si>
    <t>YO_Emax2_220V</t>
  </si>
  <si>
    <t>YU_Emax2_220V</t>
  </si>
  <si>
    <t>Rele de apertura (YO) - Emax2 - 220-240V AC/DC.</t>
  </si>
  <si>
    <t>Rele de cierre (YC) - Emax2 - 220-240V AC/DC.</t>
  </si>
  <si>
    <t>Motor-reductor (YM) para la carga automática de los resortes - E1.2 - 220-250V AC/DC.</t>
  </si>
  <si>
    <t>Motor-reductor (YM) para la carga automática de los resortes - E2.2-6.2 - 220-250V AC/DC.</t>
  </si>
  <si>
    <t>Rele de minima tension (YU) - Emax2 - 220-240V AC/DC.</t>
  </si>
  <si>
    <t>YO_T7</t>
  </si>
  <si>
    <t>1SDA062116R1</t>
  </si>
  <si>
    <t>1SDA063548R1</t>
  </si>
  <si>
    <t>1SDA063550R1</t>
  </si>
  <si>
    <t>YU_T7</t>
  </si>
  <si>
    <t>1SDA063552R1</t>
  </si>
  <si>
    <t>YM_T7M</t>
  </si>
  <si>
    <t>YC_T7M</t>
  </si>
  <si>
    <t>1SDA054884R1</t>
  </si>
  <si>
    <t>LAMP_FLUOR</t>
  </si>
  <si>
    <t>LIMIT_SWITCH</t>
  </si>
  <si>
    <t>Switch de puerta - NSYDCM20 - 1NC + 1NA - 10A/500V.</t>
  </si>
  <si>
    <t>Lámpara fluorescente - NSYLAMCS - 11W, 900 lumens, 220V, IP20, con tomacorriente 16A - 372x40x63mm.</t>
  </si>
  <si>
    <t>KIT-TRANSF_T5S_630A</t>
  </si>
  <si>
    <t>KIT-TRANSF_T5S_400A</t>
  </si>
  <si>
    <t>1SDA054333P1</t>
  </si>
  <si>
    <t>KIT-TRANSF_T7S(M)_1250A</t>
  </si>
  <si>
    <t>KIT-TRANSF_T7S(M)_1600A</t>
  </si>
  <si>
    <t>1SDA054404P1</t>
  </si>
  <si>
    <t>KIT-TRANSF_T6S_800A</t>
  </si>
  <si>
    <t>1SDA060278P1</t>
  </si>
  <si>
    <t>KIT-TRANSF_T6S_1000A</t>
  </si>
  <si>
    <t>1SDA060547P1</t>
  </si>
  <si>
    <t>KIT-TRANSF_E1.2N_1250A</t>
  </si>
  <si>
    <t>1SDA070845P1</t>
  </si>
  <si>
    <t>1SDA070885P1</t>
  </si>
  <si>
    <t>KIT-TRANSF_E1.2N_1600A</t>
  </si>
  <si>
    <t>KIT-TRANSF_E2.2N_2000A</t>
  </si>
  <si>
    <t>1SDA071035P1</t>
  </si>
  <si>
    <t>KIT-TRANSF_E2.2N_2500A</t>
  </si>
  <si>
    <t>1SDA071065P1</t>
  </si>
  <si>
    <t>KIT-TRANSF_E4.2N_3200A</t>
  </si>
  <si>
    <t>1SDA071145P1</t>
  </si>
  <si>
    <t>KIT-TRANSF_E4.2N_4000A</t>
  </si>
  <si>
    <t>1SDA071205P1</t>
  </si>
  <si>
    <t>E1.2C-1000A-4P-Ekip Touch LSI</t>
  </si>
  <si>
    <t>1SDA071425R1</t>
  </si>
  <si>
    <t>1SFA611100P3002</t>
  </si>
  <si>
    <t>PULS_DOBLE</t>
  </si>
  <si>
    <t>1SFA611131P1108</t>
  </si>
  <si>
    <t>1SDA051369R1</t>
  </si>
  <si>
    <t>3Q+1SY_T4-T5-T6</t>
  </si>
  <si>
    <t>1SDA051368R1</t>
  </si>
  <si>
    <t>1Q+1SY_T4-T5-T6</t>
  </si>
  <si>
    <t>1S51_T4-T5</t>
  </si>
  <si>
    <t>1SDA055050R1</t>
  </si>
  <si>
    <t>1S51_T6</t>
  </si>
  <si>
    <t>1SDA060393R1</t>
  </si>
  <si>
    <t>1S51_T7</t>
  </si>
  <si>
    <t>1S51_T7M</t>
  </si>
  <si>
    <t>1SDA062105R1</t>
  </si>
  <si>
    <t>1SDA063553R1</t>
  </si>
  <si>
    <t>1Q+1SY_T7</t>
  </si>
  <si>
    <t>1SDA062104R1</t>
  </si>
  <si>
    <t>2Q_T7</t>
  </si>
  <si>
    <t>1SDA062102R1</t>
  </si>
  <si>
    <t>PULS_NEGRO</t>
  </si>
  <si>
    <t>1SFA619100R1016</t>
  </si>
  <si>
    <t>1SFA611100P310610</t>
  </si>
  <si>
    <t>GJH1211001R8220</t>
  </si>
  <si>
    <t>MINICONTACT_2NA+2NC</t>
  </si>
  <si>
    <t>MINICONTACT_4NA</t>
  </si>
  <si>
    <t>E1.2C-800A-3P-Ekip Touch LSI</t>
  </si>
  <si>
    <t>1SDA070755R1</t>
  </si>
  <si>
    <t>1SDA071385R1</t>
  </si>
  <si>
    <t>E1.2C-800A-4P-Ekip Touch LSI</t>
  </si>
  <si>
    <t>T7S800(M)-800A-3P-PR232/P-LSI</t>
  </si>
  <si>
    <t>T7S1000(M)-1000A-3P-PR232/P-LSI</t>
  </si>
  <si>
    <t>T7S1600(M)-1600A-3P-PR232/P-LSI</t>
  </si>
  <si>
    <t>1SDA061982R1</t>
  </si>
  <si>
    <t>1SDA062755R1</t>
  </si>
  <si>
    <t>1SDA063011R1</t>
  </si>
  <si>
    <t>T6S800-800A-4P-PR222DS/P-LSI</t>
  </si>
  <si>
    <t>1SDA060285R1</t>
  </si>
  <si>
    <t>XT1N160-125A-3P-TMD</t>
  </si>
  <si>
    <t>XT1N160-40A-3P-TMD</t>
  </si>
  <si>
    <t>XT1N160-32A-3P-TMD</t>
  </si>
  <si>
    <t>XT1N160-160A-3P-TMD</t>
  </si>
  <si>
    <t>XT1N160-50A-3P-TMD</t>
  </si>
  <si>
    <t>1SDA067411R1</t>
  </si>
  <si>
    <t>1SDA067412R1</t>
  </si>
  <si>
    <t>1SDA067413R1</t>
  </si>
  <si>
    <t>1SDA067417R1</t>
  </si>
  <si>
    <t>1SDA067418R1</t>
  </si>
  <si>
    <t>XT2N160-125A-3P-TMA</t>
  </si>
  <si>
    <t>1SDA067019R1</t>
  </si>
  <si>
    <t>1SDA067553R1</t>
  </si>
  <si>
    <t>XT2S160-16A-3P-TMD</t>
  </si>
  <si>
    <t>1SDA067550R1</t>
  </si>
  <si>
    <t>XT2S160-20A-3P-TMD</t>
  </si>
  <si>
    <t>XT2N160-20A-3P-TMD</t>
  </si>
  <si>
    <t>1SDA067011R1</t>
  </si>
  <si>
    <t>XT2S160-25A-3P-TMD</t>
  </si>
  <si>
    <t>XT2S160-40A-3P-TMA</t>
  </si>
  <si>
    <t>XT2S160-50A-3P-TMA</t>
  </si>
  <si>
    <t>XT2S160-63A-3P-TMA</t>
  </si>
  <si>
    <t>XT2S160-80A-3P-TMA</t>
  </si>
  <si>
    <t>XT2S160-125A-3P-TMA</t>
  </si>
  <si>
    <t>XT2S160-160A-3P-TMA</t>
  </si>
  <si>
    <t>1SDA067551R1</t>
  </si>
  <si>
    <t>1SDA067552R1</t>
  </si>
  <si>
    <t>1SDA067554R1</t>
  </si>
  <si>
    <t>1SDA067555R1</t>
  </si>
  <si>
    <t>1SDA067556R1</t>
  </si>
  <si>
    <t>1SDA067557R1</t>
  </si>
  <si>
    <t>1SDA067559R1</t>
  </si>
  <si>
    <t>1SDA067560R1</t>
  </si>
  <si>
    <t>E1.2N-800A-3P-Ekip Touch LSI</t>
  </si>
  <si>
    <t>1SDA070765R1</t>
  </si>
  <si>
    <t>T5H400-400A-3P-PR222DS/P-LSI</t>
  </si>
  <si>
    <t>1SDA068311R1</t>
  </si>
  <si>
    <t>XT4S250-225A-3P-TMA</t>
  </si>
  <si>
    <t>XT4H250-200A-3P-TMA</t>
  </si>
  <si>
    <t>XT4H250-225A-3P-TMA</t>
  </si>
  <si>
    <t>XT4H250-250A-3P-TMA</t>
  </si>
  <si>
    <t>1SDA068343R1</t>
  </si>
  <si>
    <t>1SDA068344R1</t>
  </si>
  <si>
    <t>1SDA068345R1</t>
  </si>
  <si>
    <t>T5H400-400A-3P-PR221DS-LS/I</t>
  </si>
  <si>
    <t>T5H630-630A-3P-PR221DS-LS/I</t>
  </si>
  <si>
    <t>1SDA054412R1</t>
  </si>
  <si>
    <t>1SDA054349R1</t>
  </si>
  <si>
    <t>T5H630-630A-3P-PR222DS/P-LSI</t>
  </si>
  <si>
    <t>1SDA054353R1</t>
  </si>
  <si>
    <t>1SDA054414R1</t>
  </si>
  <si>
    <t>1SDA066460R1</t>
  </si>
  <si>
    <t>MOD_XT1-XT3</t>
  </si>
  <si>
    <t>MOE_XT2-XT4</t>
  </si>
  <si>
    <t>1SDA066466R1</t>
  </si>
  <si>
    <t>1SDA066422R1</t>
  </si>
  <si>
    <t>1SDA066433R1</t>
  </si>
  <si>
    <t>1SDA066424R1</t>
  </si>
  <si>
    <t>1S51_XT2-XT4</t>
  </si>
  <si>
    <t>KIT-TRANSF_XT1S_80A</t>
  </si>
  <si>
    <t>KIT-TRANSF_XT1S_100A</t>
  </si>
  <si>
    <t>KIT-TRANSF_XT1S_125A</t>
  </si>
  <si>
    <t>KIT-TRANSF_XT1S_160A</t>
  </si>
  <si>
    <t>KIT-TRANSF_XT3S_200A</t>
  </si>
  <si>
    <t>KIT-TRANSF_XT3S_250A</t>
  </si>
  <si>
    <t>1SDA067433P1</t>
  </si>
  <si>
    <t>1SDA067434P1</t>
  </si>
  <si>
    <t>1SDA067435P1</t>
  </si>
  <si>
    <t>1SDA067436P1</t>
  </si>
  <si>
    <t>1SDA068220P1</t>
  </si>
  <si>
    <t>1SDA068221P1</t>
  </si>
  <si>
    <t>RITTAL</t>
  </si>
  <si>
    <t>1SDA067392R1</t>
  </si>
  <si>
    <t>1SDA067393R1</t>
  </si>
  <si>
    <t>XT1C160-32A-3P-TMD</t>
  </si>
  <si>
    <t>XT1C160-40A-3P-TMD</t>
  </si>
  <si>
    <t>* interpolacion</t>
  </si>
  <si>
    <t>S203-C-50A_NA</t>
  </si>
  <si>
    <t>2CDS283103R0504</t>
  </si>
  <si>
    <t>S203-C-32A_NA</t>
  </si>
  <si>
    <t>2CDS283103R0324</t>
  </si>
  <si>
    <t>S203P-C-50A_NA</t>
  </si>
  <si>
    <t>S203P-C-32A_NA</t>
  </si>
  <si>
    <t>S203M-C-50A_NA</t>
  </si>
  <si>
    <t>S203M-C-32A_NA</t>
  </si>
  <si>
    <t>2CDS273103R0504</t>
  </si>
  <si>
    <t>2CDS273103R0324</t>
  </si>
  <si>
    <t>2CDS253103R0504</t>
  </si>
  <si>
    <t>2CDS253103R0324</t>
  </si>
  <si>
    <t>OTM_I-0-II_3p_315A</t>
  </si>
  <si>
    <t>1SFL547002R1300</t>
  </si>
  <si>
    <t>PULS_NEGRO_MOD</t>
  </si>
  <si>
    <t>XT1C160-100A-3P-TMD</t>
  </si>
  <si>
    <t>1SDA067397R1</t>
  </si>
  <si>
    <t>XT1C160-160A-3P-TMD</t>
  </si>
  <si>
    <t>1SDA067399R1</t>
  </si>
  <si>
    <t>F202-AC-80A-30mA</t>
  </si>
  <si>
    <t>2CSF202005R1800</t>
  </si>
  <si>
    <t>F202-AC-100A-30mA</t>
  </si>
  <si>
    <t>2CSF202005R1900</t>
  </si>
  <si>
    <t>F204-AC-125A-30mA</t>
  </si>
  <si>
    <t>2CSF204001R1950</t>
  </si>
  <si>
    <t>F204-A-125A-30mA</t>
  </si>
  <si>
    <t>2CSF204101R1950</t>
  </si>
  <si>
    <t>F202-A-80A-30mA</t>
  </si>
  <si>
    <t>2CSF202101R1800</t>
  </si>
  <si>
    <t>F202-A-100A-30mA</t>
  </si>
  <si>
    <t>2CSF202101R1900</t>
  </si>
  <si>
    <t>Pulsador rasante con bizel metálico - color Rojo - contacto 1NC - MP1-30R-K - línea modular - marca ABB.</t>
  </si>
  <si>
    <t>Pulsador rasante con bizel metálico - color Verde - contacto 1NA - MP1-30G-K - línea modular - marca ABB.</t>
  </si>
  <si>
    <t>Pulsador rasante con bizel metálico - color Negro - contacto 1NA - MP1-30B-K - línea modular - marca ABB.</t>
  </si>
  <si>
    <t xml:space="preserve">Interruptor Horario Digital </t>
  </si>
  <si>
    <t>XT2N160-100A-4P-Ekip LS/I</t>
  </si>
  <si>
    <t>1SDA067093R1</t>
  </si>
  <si>
    <t>XT1B160-80A-4P-TMD</t>
  </si>
  <si>
    <t>1SDA066817R1</t>
  </si>
  <si>
    <t>XT1C160-80A-4P-TMD</t>
  </si>
  <si>
    <t>1SDA067405R1</t>
  </si>
  <si>
    <t>XT1B160-32A-4P-TMD</t>
  </si>
  <si>
    <t>1SDA066813R1</t>
  </si>
  <si>
    <t>XT1C160-32A-4P-TMD</t>
  </si>
  <si>
    <t>1SDA067401R1</t>
  </si>
  <si>
    <t>S201P-C-20A</t>
  </si>
  <si>
    <t>1SBL181024R7510</t>
  </si>
  <si>
    <t>1SBL241024R7510</t>
  </si>
  <si>
    <t>1SBL281024R7510</t>
  </si>
  <si>
    <t>1SBL351024R7500</t>
  </si>
  <si>
    <t>1SBL371024R7500</t>
  </si>
  <si>
    <t>1SBL411024R7500</t>
  </si>
  <si>
    <t>1SFL431024R8000</t>
  </si>
  <si>
    <t>1SFL451024R8000</t>
  </si>
  <si>
    <t>UA16-30-10_RA_3p</t>
  </si>
  <si>
    <t>AF09-30-10-13_3p</t>
  </si>
  <si>
    <t>AF12-30-10-13_3p</t>
  </si>
  <si>
    <t>AF16-30-10-13_3p</t>
  </si>
  <si>
    <t>AF26-30-10-13_3p</t>
  </si>
  <si>
    <t>AF30-30-10-13_3p</t>
  </si>
  <si>
    <t>UA26-30-10_RA_3p</t>
  </si>
  <si>
    <t>UA30-30-10_RA_3p</t>
  </si>
  <si>
    <t>UA50-30-00_RA_3p</t>
  </si>
  <si>
    <t>UA63-30-00_RA_3p</t>
  </si>
  <si>
    <t>UA75-30-00_RA_3p</t>
  </si>
  <si>
    <t>UA95-30-00_RA_3p</t>
  </si>
  <si>
    <t>UA110-30-00_RA_3p</t>
  </si>
  <si>
    <t>1SDA067055R1</t>
  </si>
  <si>
    <t>XT2N160-25A-3P-Ekip LS/I</t>
  </si>
  <si>
    <t>ITM Caja Moldeada 4x100A (electrónico [0.4-1.0] In) - XT2N160-100A-4P-Ekip LS/I - 65kA@230V, 36kA@415V - marca ABB.</t>
  </si>
  <si>
    <t>ITM Caja Moldeada 3x400A (electrónico [0.4-1.0] In) - T5N400-400A-3P-PR222DS/P-LSI - 70kA@230V, 36kA@415V - marca ABB.</t>
  </si>
  <si>
    <t>ITM Bastidor Abierto 3x630A (electrónico [0.4-1.0] In) - E1.2C-630A-3P-Ekip Dip LSI - 50kA@440Vac - marca ABB.</t>
  </si>
  <si>
    <t>ITM Bastidor Abierto 3x800A (electrónico [0.4-1.0] In) - E1.2C-800A-3P-Ekip Dip LSI - 50kA@440Vac - marca ABB.</t>
  </si>
  <si>
    <t>ITM Bastidor Abierto 3x1000A (electrónico [0.4-1.0] In) - E1.2C-1000A-3P-Ekip Dip LSI - 50kA@440Vac - marca ABB.</t>
  </si>
  <si>
    <t>ITM Bastidor Abierto 3x1250A (electrónico [0.4-1.0] In) - E1.2C-1250A-3P-Ekip Dip LSI - 50kA@440Vac - marca ABB.</t>
  </si>
  <si>
    <t>ITM Bastidor Abierto 3x800A (electrónico [0.4-1.0] In) - E1.2C-800A-3P-Ekip Touch LSI - 50kA@440Vac - marca ABB.</t>
  </si>
  <si>
    <t>ITM Bastidor Abierto 4x800A (electrónico [0.4-1.0] In) - E1.2C-800A-4P-Ekip Touch LSI - 50kA@440Vac - marca ABB.</t>
  </si>
  <si>
    <t>ITM Bastidor Abierto 3x1000A (electrónico [0.4-1.0] In) - E1.2C-1000A-3P-Ekip Touch LSI - 50kA@440Vac - marca ABB.</t>
  </si>
  <si>
    <t>ITM Bastidor Abierto 4x1000A (electrónico [0.4-1.0] In) - E1.2C-1000A-4P-Ekip Touch LSI - 50kA@440Vac - marca ABB.</t>
  </si>
  <si>
    <t>ITM Bastidor Abierto 3x800A (electrónico [0.4-1.0] In) - E1.2N-800A-3P-Ekip Touch LSI - 66kA@440Vac - marca ABB.</t>
  </si>
  <si>
    <t>ITM Bastidor Abierto 3x1000A (electrónico [0.4-1.0] In) - E1.2N-1000A-3P-Ekip Touch LSI - 66kA@440Vac - marca ABB.</t>
  </si>
  <si>
    <t>ITM Bastidor Abierto 3x1250A (electrónico [0.4-1.0] In) - E1.2N-1250A-3P-Ekip Touch LSI - 66kA@440Vac - marca ABB.</t>
  </si>
  <si>
    <t>ITM Bastidor Abierto 3x1600A (electrónico [0.4-1.0] In) - E1.2N-1600A-3P-Ekip Touch LSI - 66kA@440Vac - marca ABB.</t>
  </si>
  <si>
    <t>ITM Bastidor Abierto 3x3200A (electrónico [0.4-1.0] In) - E4.2N-3200A-3P-Ekip Touch LSI - 66kA@440Vac - marca ABB.</t>
  </si>
  <si>
    <t>ITM Bastidor Abierto 3x4000A (electrónico [0.4-1.0] In) - E4.2N-4000A-3P-Ekip Touch LSI - 66kA@440Vac - marca ABB.</t>
  </si>
  <si>
    <t>ITM Bastidor Abierto 3x3200A (electrónico [0.4-1.0] In) - E4.2S-3200A-3P-Ekip Touch LSI - 85kA@440Vac - marca ABB.</t>
  </si>
  <si>
    <t>ITM Bastidor Abierto 3x4000A (electrónico [0.4-1.0] In) - E4.2S-4000A-3P-Ekip Touch LSI - 85kA@440Vac - marca ABB.</t>
  </si>
  <si>
    <t>ITM Caja Moldeada 4x32A (reg.[0.7-1.0] In) - XT1C160-32A-4P-TMD - 40kA@230V, 25kA@415V - marca ABB.</t>
  </si>
  <si>
    <t>ITM Caja Moldeada 3x40A (reg.[0.7-1.0] In) - XT1C160-40A-3P-TMD - 40kA@230V, 25kA@415V - marca ABB.</t>
  </si>
  <si>
    <t>ITM Caja Moldeada 3x63A (reg.[0.7-1.0] In) - XT1C160-63A-3P-TMD - 40kA@230V, 25kA@415V - marca ABB.</t>
  </si>
  <si>
    <t>ITM Caja Moldeada 4x80A (reg.[0.7-1.0] In) - XT1C160-80A-4P-TMD - 40kA@230V, 25kA@415V - marca ABB.</t>
  </si>
  <si>
    <t>ITM Caja Moldeada 3x160A (reg.[0.7-1.0] In) - XT1C160-160A-3P-TMD - 40kA@230V, 25kA@415V - marca ABB.</t>
  </si>
  <si>
    <t>ITM Caja Moldeada 3x100A (reg.[0.7-1.0] In) - XT1N160-100A-3P-TMD - 65kA@230V, 36kA@415V - marca ABB.</t>
  </si>
  <si>
    <t>ITM Caja Moldeada 3x160A (reg.[0.7-1.0] In) - XT1N160-160A-3P-TMD - 65kA@230V, 36kA@415V - marca ABB.</t>
  </si>
  <si>
    <t>ITM Caja Moldeada 3x250A (reg.[0.7-1.0] In) - XT4N250-250A-3P-TMA - 65kA@230V, 36kA@415V - marca ABB.</t>
  </si>
  <si>
    <t>IRIGOYEN</t>
  </si>
  <si>
    <t>CODIGO</t>
  </si>
  <si>
    <t>2CDS281001R0204</t>
  </si>
  <si>
    <t>2CDS282001R0164</t>
  </si>
  <si>
    <t>2CDS282001R0204</t>
  </si>
  <si>
    <t>2CDS282001R0254</t>
  </si>
  <si>
    <t>2CDS282001R0324</t>
  </si>
  <si>
    <t>2CDS282001R0404</t>
  </si>
  <si>
    <t>2CDS282001R0504</t>
  </si>
  <si>
    <t>2CDS282001R0634</t>
  </si>
  <si>
    <t>2CDS283001R0164</t>
  </si>
  <si>
    <t>2CDS283001R0204</t>
  </si>
  <si>
    <t>2CDS283001R0254</t>
  </si>
  <si>
    <t>2CDS283001R0324</t>
  </si>
  <si>
    <t>2CDS283001R0404</t>
  </si>
  <si>
    <t>2CDS283001R0504</t>
  </si>
  <si>
    <t>2CDS283001R0634</t>
  </si>
  <si>
    <t>C1</t>
  </si>
  <si>
    <t>C2</t>
  </si>
  <si>
    <t>(3F)</t>
  </si>
  <si>
    <t>(2F)</t>
  </si>
  <si>
    <t>(3F+N)</t>
  </si>
  <si>
    <t>T8L2000-2000A-3P-PR331 P-LSI</t>
  </si>
  <si>
    <t>1SDA065723R1</t>
  </si>
  <si>
    <t>T8L2500-2500A-3P-PR331 P-LSI</t>
  </si>
  <si>
    <t>1SDA065758R1</t>
  </si>
  <si>
    <t>C3</t>
  </si>
  <si>
    <t>SWITCH_I-0-II_2p_40A</t>
  </si>
  <si>
    <t>1SCA100308R1001</t>
  </si>
  <si>
    <t>SWITCH_I-0-II_2p_100A</t>
  </si>
  <si>
    <t>SWITCH_I-0-II_2p_150A</t>
  </si>
  <si>
    <t>SWITCH_I-0-II_2p_170A</t>
  </si>
  <si>
    <t>SWITCH_I-0-II_2p_250A</t>
  </si>
  <si>
    <t>Conmutador de fuerza (I-0-II), 2p, 40A (AC22), modelo OL40U2RB - marca ABB.</t>
  </si>
  <si>
    <t>Conmutador de fuerza (I-0-II), 2p, 100A (AC22), modelo OL80U2RB - marca ABB.</t>
  </si>
  <si>
    <t>Conmutador de fuerza (I-0-II), 2p, 150A (AC22), modelo OL125U2RB - marca ABB.</t>
  </si>
  <si>
    <t>Conmutador de fuerza (I-0-II), 2p, 170A (AC22), modelo OL160U2RB - marca ABB.</t>
  </si>
  <si>
    <t>Conmutador de fuerza (I-0-II), 2p, 250A (AC22), modelo OL200U2RB - marca ABB.</t>
  </si>
  <si>
    <t>SWITCH_I-0-II_3p_100A</t>
  </si>
  <si>
    <t>SWITCH_I-0-II_3p_40A</t>
  </si>
  <si>
    <t>Conmutador de fuerza (I-0-II), 3p, 40A (AC22), modelo OL40U3RB - marca ABB.</t>
  </si>
  <si>
    <t>Conmutador de fuerza (I-0-II), 3p, 100A (AC22), modelo OL80U3RB - marca ABB.</t>
  </si>
  <si>
    <t>SWITCH_I-0-II_3p_150A</t>
  </si>
  <si>
    <t>Conmutador de fuerza (I-0-II), 3p, 150A (AC22), modelo OL125U3RB - marca ABB.</t>
  </si>
  <si>
    <t>SWITCH_I-0-II_3p_170A</t>
  </si>
  <si>
    <t>Conmutador de fuerza (I-0-II), 3p, 170A (AC22), modelo OL160U3RB - marca ABB.</t>
  </si>
  <si>
    <t>SWITCH_I-0-II_3p_250A</t>
  </si>
  <si>
    <t>Conmutador de fuerza (I-0-II), 3p, 250A (AC22), modelo OL200U3RB - marca ABB.</t>
  </si>
  <si>
    <t>1SCA022790R0640</t>
  </si>
  <si>
    <t>1SCA022790R2000</t>
  </si>
  <si>
    <t>1SCA022790R6920</t>
  </si>
  <si>
    <t>1SCA022790R7310</t>
  </si>
  <si>
    <t>1SCA100309R1001</t>
  </si>
  <si>
    <t>1SCA022790R0720</t>
  </si>
  <si>
    <t>1SCA022790R2180</t>
  </si>
  <si>
    <t>1SCA022790R7060</t>
  </si>
  <si>
    <t>1SCA022790R7490</t>
  </si>
  <si>
    <t>KIT-TRANSF_T6N_1000A</t>
  </si>
  <si>
    <t>1SDA060537P1</t>
  </si>
  <si>
    <t>1SCA120096R1001</t>
  </si>
  <si>
    <t>OTM_I-0-II_3p_40A</t>
  </si>
  <si>
    <t>Etiquetas de fila</t>
  </si>
  <si>
    <t>Total general</t>
  </si>
  <si>
    <t>Suma de CANT.</t>
  </si>
  <si>
    <t>1SCA022847R1210</t>
  </si>
  <si>
    <t>1SCA022847R1630</t>
  </si>
  <si>
    <t>E1.2B-1600A-3P-Ekip Dip LSI</t>
  </si>
  <si>
    <t>ITM Bastidor Abierto 3x1600A (electrónico [0.4-1.0] In) - E1.2B-1600A-3P-Ekip Dip LSI - 42kA@440Vac - marca ABB.</t>
  </si>
  <si>
    <t>E2.2B-2000A-3P-Ekip Dip LSI</t>
  </si>
  <si>
    <t>ITM Bastidor Abierto 3x2000A (electrónico [0.4-1.0] In) - E2.2B-2000A-3P-Ekip Dip LSI - 42kA@440Vac - marca ABB.</t>
  </si>
  <si>
    <t>1SDA070862R1</t>
  </si>
  <si>
    <t>1SDA071022R1</t>
  </si>
  <si>
    <t>E1.2B-800A-3P-Ekip Dip LSI</t>
  </si>
  <si>
    <t>ITM Bastidor Abierto 3x800A (electrónico [0.4-1.0] In) - E1.2B-800A-3P-Ekip Dip LSI - 42kA@440Vac - marca ABB.</t>
  </si>
  <si>
    <t>1SDA070742R1</t>
  </si>
  <si>
    <t>E1.2C-1600A-3P-Ekip Dip LSI</t>
  </si>
  <si>
    <t>1SDA070872R1</t>
  </si>
  <si>
    <t>01.</t>
  </si>
  <si>
    <t>1SDA023384R1</t>
  </si>
  <si>
    <t>Transferencia - (2) ITM Bastidor Abierto 3x1250A + enclav. mecánico + mando elect. - E1.2N-LSI-1250A - 66kA@440V - marca ABB.</t>
  </si>
  <si>
    <t>Transferencia - (2) ITM Bastidor Abierto 3x1600A + enclav. mecánico + mando elect. - E1.2N-LSI-1600A - 66kA@440V - marca ABB.</t>
  </si>
  <si>
    <t>Transferencia - (2) ITM Bastidor Abierto 3x2000A + enclav. mecánico + mando elect. - E2.2N-LSI-2000A - 66kA@440V - marca ABB.</t>
  </si>
  <si>
    <t>Transferencia - (2) ITM Bastidor Abierto 3x2500A + enclav. mecánico + mando elect. - E2.2N-LSI-2500A - 66kA@440V - marca ABB.</t>
  </si>
  <si>
    <t>Transferencia - (2) ITM Bastidor Abierto 3x3200A + enclav. mecánico + mando elect. - E4.2N-LSI-3200A - 66kA@440V - marca ABB.</t>
  </si>
  <si>
    <t>Transferencia - (2) ITM Bastidor Abierto 3x4000A + enclav. mecánico + mando elect. - E4.2N-LSI-4000A - 66kA@440V - marca ABB.</t>
  </si>
  <si>
    <t>CVM-B100-ITF-485-ICT2</t>
  </si>
  <si>
    <t>BZM2-XKSA - Juego de cubrebornes para interruptor BZM2.</t>
  </si>
  <si>
    <t>CUBREBOR_BZM2_3t</t>
  </si>
  <si>
    <t>Terminales BZM</t>
  </si>
  <si>
    <t>SCHNEIDER</t>
  </si>
  <si>
    <t>PM5340</t>
  </si>
  <si>
    <t>PM5560</t>
  </si>
  <si>
    <t>300x200x120mm</t>
  </si>
  <si>
    <t>300x200x155mm</t>
  </si>
  <si>
    <t>300x300x210mm</t>
  </si>
  <si>
    <t>400x300x210mm</t>
  </si>
  <si>
    <t>300x380x155mm</t>
  </si>
  <si>
    <t>380x380x210mm</t>
  </si>
  <si>
    <t>600x380x210mm</t>
  </si>
  <si>
    <t>500x400x210mm</t>
  </si>
  <si>
    <t>Tablero mural en acero - modelo AE, NEMA 12 / IP55 - 300x200x120mm - Ref.:1032.500 - marca RITTAL.</t>
  </si>
  <si>
    <t>Tablero mural en acero - modelo AE, NEMA 12 / IP55 - 300x200x155mm - Ref.:1035.500 - marca RITTAL.</t>
  </si>
  <si>
    <t>Tablero mural en acero - modelo AE, NEMA 4 / IP66 - 300x300x210mm - Ref.:1033.500 - marca RITTAL.</t>
  </si>
  <si>
    <t>Tablero mural en acero - modelo AE, NEMA 4 / IP66 - 400x300x210mm - Ref.:1034.500 - marca RITTAL.</t>
  </si>
  <si>
    <t>Tablero mural en acero - modelo AE, NEMA 4 / IP66 - 300x380x155mm - Ref.:1030.500 - marca RITTAL.</t>
  </si>
  <si>
    <t>Tablero mural en acero - modelo AE, NEMA 4 / IP66 - 380x380x210mm - Ref.:1380.500 - marca RITTAL.</t>
  </si>
  <si>
    <t>Tablero mural en acero - modelo AE, NEMA 4 / IP66 - 600x380x210mm - Ref.:1038.500 - marca RITTAL.</t>
  </si>
  <si>
    <t>500x500x210mm</t>
  </si>
  <si>
    <t>Tablero mural en acero - modelo AE, NEMA 4 / IP66 - 500x400x210mm - Ref.:1045.500 - marca RITTAL.</t>
  </si>
  <si>
    <t>Tablero mural en acero - modelo AE, NEMA 4 / IP66 - 500x500x210mm - Ref.:1050.500 - marca RITTAL.</t>
  </si>
  <si>
    <t>500x500x300mm</t>
  </si>
  <si>
    <t>Tablero mural en acero - modelo AE, NEMA 4 / IP66 - 500x500x300mm - Ref.:1350.500 - marca RITTAL.</t>
  </si>
  <si>
    <t>700x500x250mm</t>
  </si>
  <si>
    <t>600x600x210mm</t>
  </si>
  <si>
    <t>Tablero mural en acero - modelo AE, NEMA 4 / IP66 - 700x500x250mm - Ref.:1057.500 - marca RITTAL.</t>
  </si>
  <si>
    <t>Tablero mural en acero - modelo AE, NEMA 4 / IP66 - 600x600x210mm - Ref.:1060.500 - marca RITTAL.</t>
  </si>
  <si>
    <t>600x600x350mm</t>
  </si>
  <si>
    <t>Tablero mural en acero - modelo AE, NEMA 4 / IP66 - 600x600x350mm - Ref.:1360.500 - marca RITTAL.</t>
  </si>
  <si>
    <t>760x600x210mm</t>
  </si>
  <si>
    <t>Tablero mural en acero - modelo AE, NEMA 4 / IP66 - 760x600x210mm - Ref.:1076.500 - marca RITTAL.</t>
  </si>
  <si>
    <t>760x760x210mm</t>
  </si>
  <si>
    <t>Tablero mural en acero - modelo AE, NEMA 4 / IP66 - 760x760x210mm - Ref.:1077.500 - marca RITTAL.</t>
  </si>
  <si>
    <t>800x600x250mm</t>
  </si>
  <si>
    <t>Tablero mural en acero - modelo AE, NEMA 4 / IP66 - 800x600x250mm - Ref.:1058.500 - marca RITTAL.</t>
  </si>
  <si>
    <t>1000x600x250mm</t>
  </si>
  <si>
    <t>Tablero mural en acero - modelo AE, NEMA 4 / IP66 - 1000x600x250mm - Ref.:1090.500 - marca RITTAL.</t>
  </si>
  <si>
    <t>1200x600x300mm</t>
  </si>
  <si>
    <t>Tablero mural en acero - modelo AE, NEMA 4 / IP66 - 1200x600x300mm - Ref.:1260.500 - marca RITTAL.</t>
  </si>
  <si>
    <t>1000x800x300mm</t>
  </si>
  <si>
    <t>Tablero mural en acero - modelo AE, NEMA 4 / IP66 - 1000x800x300mm - Ref.:1180.500 - marca RITTAL.</t>
  </si>
  <si>
    <t>1200x800x300mm</t>
  </si>
  <si>
    <t>Tablero mural en acero - modelo AE, NEMA 4 / IP66 - 1200x800x300mm - Ref.:1280.500 - marca RITTAL.</t>
  </si>
  <si>
    <t>1200x1000x300mm</t>
  </si>
  <si>
    <t>1400x1000x300mm</t>
  </si>
  <si>
    <t>SOP-FIJ</t>
  </si>
  <si>
    <t>PORTA-ESQ</t>
  </si>
  <si>
    <t>Portaesquemas de plástico A4 con cintas autoadhesivas - Ref.:2514.000 - marca RITTAL.</t>
  </si>
  <si>
    <t>Tablero mural en acero - modelo AE, NEMA 12 / IP55 - 1200x1000x300mm (02 puertas) - Ref.:1213.500 - marca RITTAL.</t>
  </si>
  <si>
    <t>Tablero mural en acero - modelo AE, NEMA 12 / IP55 - 1400x1000x300mm (02 puertas) - Ref.:1114.500 - marca RITTAL.</t>
  </si>
  <si>
    <t>TunT_BZM2_3t: No existe. Tampoco se puede colocar los terminales Tunel del LZM2, porque es demasiado profundo para el BZM2.</t>
  </si>
  <si>
    <t>Módulo de protección diferencial (DR) LZM - NZM</t>
  </si>
  <si>
    <t>NZM1-XFI30R</t>
  </si>
  <si>
    <t>NZM1-XFI300R</t>
  </si>
  <si>
    <t>NZM1-XFIR</t>
  </si>
  <si>
    <r>
      <rPr>
        <sz val="10"/>
        <color rgb="FF0000FF"/>
        <rFont val="Arial"/>
        <family val="2"/>
      </rPr>
      <t xml:space="preserve">Módulo diferencial </t>
    </r>
    <r>
      <rPr>
        <sz val="10"/>
        <color indexed="10"/>
        <rFont val="Arial"/>
        <family val="2"/>
      </rPr>
      <t>para LZMS1</t>
    </r>
    <r>
      <rPr>
        <sz val="10"/>
        <color theme="1"/>
        <rFont val="Arial"/>
        <family val="2"/>
      </rPr>
      <t xml:space="preserve"> - </t>
    </r>
    <r>
      <rPr>
        <sz val="10"/>
        <color rgb="FF0000FF"/>
        <rFont val="Arial"/>
        <family val="2"/>
      </rPr>
      <t>3 polos, I_dif = 0.030A (lateral).</t>
    </r>
  </si>
  <si>
    <r>
      <rPr>
        <sz val="10"/>
        <color rgb="FF0000FF"/>
        <rFont val="Arial"/>
        <family val="2"/>
      </rPr>
      <t xml:space="preserve">Módulo diferencial </t>
    </r>
    <r>
      <rPr>
        <sz val="10"/>
        <color indexed="10"/>
        <rFont val="Arial"/>
        <family val="2"/>
      </rPr>
      <t>para LZMS1</t>
    </r>
    <r>
      <rPr>
        <sz val="10"/>
        <color theme="1"/>
        <rFont val="Arial"/>
        <family val="2"/>
      </rPr>
      <t xml:space="preserve"> - </t>
    </r>
    <r>
      <rPr>
        <sz val="10"/>
        <color rgb="FF0000FF"/>
        <rFont val="Arial"/>
        <family val="2"/>
      </rPr>
      <t>3 polos, I_dif = 0.3A (lateral).</t>
    </r>
  </si>
  <si>
    <r>
      <rPr>
        <sz val="10"/>
        <color rgb="FF0000FF"/>
        <rFont val="Arial"/>
        <family val="2"/>
      </rPr>
      <t xml:space="preserve">Módulo diferencial </t>
    </r>
    <r>
      <rPr>
        <sz val="10"/>
        <color indexed="10"/>
        <rFont val="Arial"/>
        <family val="2"/>
      </rPr>
      <t>para LZMS1</t>
    </r>
    <r>
      <rPr>
        <sz val="10"/>
        <color theme="1"/>
        <rFont val="Arial"/>
        <family val="2"/>
      </rPr>
      <t xml:space="preserve"> - </t>
    </r>
    <r>
      <rPr>
        <sz val="10"/>
        <color rgb="FF0000FF"/>
        <rFont val="Arial"/>
        <family val="2"/>
      </rPr>
      <t>3 polos, I_dif = 0.03 - 0.1 - 0.3 - 0.5 - 1 - 3A (lateral).</t>
    </r>
  </si>
  <si>
    <t>NZM1-XFIU</t>
  </si>
  <si>
    <r>
      <rPr>
        <sz val="10"/>
        <color rgb="FF0000FF"/>
        <rFont val="Arial"/>
        <family val="2"/>
      </rPr>
      <t xml:space="preserve">Módulo diferencial </t>
    </r>
    <r>
      <rPr>
        <sz val="10"/>
        <color indexed="10"/>
        <rFont val="Arial"/>
        <family val="2"/>
      </rPr>
      <t>para LZMS1</t>
    </r>
    <r>
      <rPr>
        <sz val="10"/>
        <color theme="1"/>
        <rFont val="Arial"/>
        <family val="2"/>
      </rPr>
      <t xml:space="preserve"> - </t>
    </r>
    <r>
      <rPr>
        <sz val="10"/>
        <color rgb="FF0000FF"/>
        <rFont val="Arial"/>
        <family val="2"/>
      </rPr>
      <t>3 polos, I_dif = 0.03 - 0.1 - 0.3 - 0.5 - 1 - 3A (debajo del interruptor).</t>
    </r>
  </si>
  <si>
    <t>PULS_STOP_MOD_GEN</t>
  </si>
  <si>
    <t>PULS_START_MOD_GEN</t>
  </si>
  <si>
    <t>PULS_NEGRO_MOD_GEN</t>
  </si>
  <si>
    <t>DILM150-XHI20</t>
  </si>
  <si>
    <t>Contacto auxiliar frontal 2NA para contactor DILM40..DILM170.</t>
  </si>
  <si>
    <t>Contacto auxiliar frontal 1NA+1NC para contactor DILM7..DILM38.</t>
  </si>
  <si>
    <t>Contacto auxiliar lateral 1NC para contactor DILM7..DILM15, DILA.</t>
  </si>
  <si>
    <t>Contacto auxiliar lateral 1NA para contactor DILM7..DILM15, DILA.</t>
  </si>
  <si>
    <t>DILM1000-XHI11-SA</t>
  </si>
  <si>
    <t>Contacto auxiliar lateral 1NA+1NC (externo) para contactor DILM40..DILM1600.</t>
  </si>
  <si>
    <t>DILM150-XHI02</t>
  </si>
  <si>
    <t>Contacto auxiliar frontal 2NC para contactor DILM40..DILM170.</t>
  </si>
  <si>
    <t>DILM12-XMV</t>
  </si>
  <si>
    <t>DILM32-XMV</t>
  </si>
  <si>
    <t>DILM65-XMV</t>
  </si>
  <si>
    <t>Selector tres posiciones "M-0-A".</t>
  </si>
  <si>
    <t>Enclavamiento mecánico para contactores DILM7..DILM15, DILA, DILMP.</t>
  </si>
  <si>
    <t>Enclavamiento mecánico para contactores DILM17..DILM38.</t>
  </si>
  <si>
    <t>Enclavamiento mecánico para contactores DILM40..DILM72.</t>
  </si>
  <si>
    <t>TRM</t>
  </si>
  <si>
    <t>TR1</t>
  </si>
  <si>
    <t>Toroide diferencial TRM p/ Riel-Din - d=29mm, In_max=65A@IEC60947-2(anexo M) - marca ABB.</t>
  </si>
  <si>
    <t>TR2</t>
  </si>
  <si>
    <t>TR3</t>
  </si>
  <si>
    <t>TR4</t>
  </si>
  <si>
    <t>2CSM029000R1211</t>
  </si>
  <si>
    <t>2CSG035100R1211</t>
  </si>
  <si>
    <t>2CSG060100R1211</t>
  </si>
  <si>
    <t>2CSG080100R1211</t>
  </si>
  <si>
    <t>2CSG110100R1211</t>
  </si>
  <si>
    <t>2CSG210100R1211</t>
  </si>
  <si>
    <t>TR5</t>
  </si>
  <si>
    <t>TR160</t>
  </si>
  <si>
    <t>2CSG160100R1211</t>
  </si>
  <si>
    <t>Cubrebornes BZM</t>
  </si>
  <si>
    <t>Accesorios BZM</t>
  </si>
  <si>
    <t>BZM1-3-XA230-240VAC</t>
  </si>
  <si>
    <t>M22-K10</t>
  </si>
  <si>
    <t>M22-K01</t>
  </si>
  <si>
    <t>NZM1-XA208-250AC/DC</t>
  </si>
  <si>
    <t>NZM2/3-XA208-250AC/DC</t>
  </si>
  <si>
    <t>NZM4-XA208-250AC/DC</t>
  </si>
  <si>
    <r>
      <rPr>
        <sz val="10"/>
        <color rgb="FF0000FF"/>
        <rFont val="Arial"/>
        <family val="2"/>
      </rPr>
      <t xml:space="preserve">Bobina de Disparo (impulso) </t>
    </r>
    <r>
      <rPr>
        <sz val="10"/>
        <color indexed="10"/>
        <rFont val="Arial"/>
        <family val="2"/>
      </rPr>
      <t>para LZM2-LZM3 / NZM2-NMZ3</t>
    </r>
    <r>
      <rPr>
        <sz val="10"/>
        <color rgb="FF0000FF"/>
        <rFont val="Arial"/>
        <family val="2"/>
      </rPr>
      <t xml:space="preserve"> - 208-250V AC/DC.</t>
    </r>
  </si>
  <si>
    <r>
      <rPr>
        <sz val="10"/>
        <color rgb="FF0000FF"/>
        <rFont val="Arial"/>
        <family val="2"/>
      </rPr>
      <t xml:space="preserve">Bobina de Disparo (impulso) </t>
    </r>
    <r>
      <rPr>
        <sz val="10"/>
        <color indexed="10"/>
        <rFont val="Arial"/>
        <family val="2"/>
      </rPr>
      <t>para LZM1 / NZM1</t>
    </r>
    <r>
      <rPr>
        <sz val="10"/>
        <color rgb="FF0000FF"/>
        <rFont val="Arial"/>
        <family val="2"/>
      </rPr>
      <t xml:space="preserve"> - 208-250V AC/DC.</t>
    </r>
  </si>
  <si>
    <r>
      <rPr>
        <sz val="10"/>
        <color rgb="FF0000FF"/>
        <rFont val="Arial"/>
        <family val="2"/>
      </rPr>
      <t xml:space="preserve">Bobina de Disparo (impulso) </t>
    </r>
    <r>
      <rPr>
        <sz val="10"/>
        <color indexed="10"/>
        <rFont val="Arial"/>
        <family val="2"/>
      </rPr>
      <t>para LZM4 / NZM4</t>
    </r>
    <r>
      <rPr>
        <sz val="10"/>
        <color rgb="FF0000FF"/>
        <rFont val="Arial"/>
        <family val="2"/>
      </rPr>
      <t xml:space="preserve"> - 208-250V AC/DC.</t>
    </r>
  </si>
  <si>
    <t>020-TDF-010</t>
  </si>
  <si>
    <t>020-TDF-011</t>
  </si>
  <si>
    <t>SIRENA</t>
  </si>
  <si>
    <t>Sirena zumbador, 240Vac, IP 55, 82DB.</t>
  </si>
  <si>
    <t>SIRENA_LUMINOSO</t>
  </si>
  <si>
    <t>Sirena zumbador luminoso, acústico, BIP OS93, orientab., 240Vac, 75DB.</t>
  </si>
  <si>
    <t>PM5110</t>
  </si>
  <si>
    <t>REACT_10kVAR/380V_p14</t>
  </si>
  <si>
    <t>COND_10kVAR/380V_p14</t>
  </si>
  <si>
    <t>REACT_20kVAR/380V_p14</t>
  </si>
  <si>
    <t>COND_20kVAR/380V_p14</t>
  </si>
  <si>
    <t>REACT_10kVAR/380V_p7</t>
  </si>
  <si>
    <t>COND_10kVAR/380V_p7</t>
  </si>
  <si>
    <t>REACT_20kVAR/380V_p7</t>
  </si>
  <si>
    <t>REACT_15kVAR/230V_p14</t>
  </si>
  <si>
    <t>COND_15kVAR/230V_p14</t>
  </si>
  <si>
    <t>YO_A1-A2</t>
  </si>
  <si>
    <t>1SDA066137R1</t>
  </si>
  <si>
    <t>YO_A3</t>
  </si>
  <si>
    <t>1SDA054873R1</t>
  </si>
  <si>
    <t>1SDA066149R1</t>
  </si>
  <si>
    <t>1Q+1SY_A3</t>
  </si>
  <si>
    <t>1SDA054910R1</t>
  </si>
  <si>
    <t>1SDA067122R1</t>
  </si>
  <si>
    <t>1SDA067127R1</t>
  </si>
  <si>
    <t>1SDA054866R1</t>
  </si>
  <si>
    <t>YO_T8</t>
  </si>
  <si>
    <t>1SDA038292R1</t>
  </si>
  <si>
    <t>YC_T8</t>
  </si>
  <si>
    <t>1SDA038302R1</t>
  </si>
  <si>
    <t>YU_T8</t>
  </si>
  <si>
    <t>1SDA038312R1</t>
  </si>
  <si>
    <t>MIR-HB_T4-T5</t>
  </si>
  <si>
    <t>1SDA054946R1</t>
  </si>
  <si>
    <t>MIR-VB_T4-T5</t>
  </si>
  <si>
    <t>1SDA054947R1</t>
  </si>
  <si>
    <t>MIR-P_tipoA</t>
  </si>
  <si>
    <t>1SDA054948R1</t>
  </si>
  <si>
    <t>MIR-P_tipoB</t>
  </si>
  <si>
    <t>1SDA054949R1</t>
  </si>
  <si>
    <t>MIR-P_tipoC</t>
  </si>
  <si>
    <t>1SDA054950R1</t>
  </si>
  <si>
    <t>MIR-P_tipoD</t>
  </si>
  <si>
    <t>1SDA054951R1</t>
  </si>
  <si>
    <t>MIR-P_tipoE</t>
  </si>
  <si>
    <t>1SDA054952R1</t>
  </si>
  <si>
    <t>MIR-P_tipoF</t>
  </si>
  <si>
    <t>1SDA054953R1</t>
  </si>
  <si>
    <t>MIR-HB_T6</t>
  </si>
  <si>
    <t>1SDA060685R1</t>
  </si>
  <si>
    <t>MIR-VB_T6</t>
  </si>
  <si>
    <t>1SDA060686R1</t>
  </si>
  <si>
    <t>MS116-0.63</t>
  </si>
  <si>
    <t>1SAM250000R1004</t>
  </si>
  <si>
    <t>MS116-1.0</t>
  </si>
  <si>
    <t>1SAM250000R1005</t>
  </si>
  <si>
    <t>MS116-1.6</t>
  </si>
  <si>
    <t>1SAM250000R1006</t>
  </si>
  <si>
    <t>MS116-2.5</t>
  </si>
  <si>
    <t>1SAM250000R1007</t>
  </si>
  <si>
    <t>MS116-4.0</t>
  </si>
  <si>
    <t>1SAM250000R1008</t>
  </si>
  <si>
    <t>MS116-6.3</t>
  </si>
  <si>
    <t>1SAM250000R1009</t>
  </si>
  <si>
    <t>MS116-10.0</t>
  </si>
  <si>
    <t>1SAM250000R1010</t>
  </si>
  <si>
    <t>GJH1211001R8400</t>
  </si>
  <si>
    <t>RELE_CR-P_2NA/NC</t>
  </si>
  <si>
    <t>Relé enchufable + 2NA/NC (8 pines) - CR-P230AC2 - 8A, bobina 220-250Vac - marca ABB.</t>
  </si>
  <si>
    <t>1SVR405601R3000</t>
  </si>
  <si>
    <t>RELE_CR-P_2NA/NC---Clip</t>
  </si>
  <si>
    <t>CR-PH - Clip de retención plástico (CR-P230AC2) - marca ABB.</t>
  </si>
  <si>
    <t>1SVR405659R0000</t>
  </si>
  <si>
    <t>RELE_CR-P_2NA/NC---Base</t>
  </si>
  <si>
    <t>CR-PLSX - Base lógica (CR-P230AC2) - marca ABB.</t>
  </si>
  <si>
    <t>1SVR405650R0100</t>
  </si>
  <si>
    <t>RELE_CR-M_4NA/NC</t>
  </si>
  <si>
    <t>Relé enchufable + 4NA/NC (14 pines) - CR-M230AC4 - 8A, bobina 220-250Vac - marca ABB.</t>
  </si>
  <si>
    <t>1SVR405613R3000</t>
  </si>
  <si>
    <t>RELE_CR-M_4NA/NC---Clip</t>
  </si>
  <si>
    <t>CR-MH - Clip de retención plástico (CR-M230AC4) - marca ABB.</t>
  </si>
  <si>
    <t>1SVR405659R1000</t>
  </si>
  <si>
    <t>RELE_CR-M_4NA/NC---Base</t>
  </si>
  <si>
    <t>CR-M4LS - Base lógica (CR-M230AC4) - marca ABB.</t>
  </si>
  <si>
    <t>1SVR405651R3100</t>
  </si>
  <si>
    <t>RELE_CR-U_2NA/NC</t>
  </si>
  <si>
    <t>Relé enchufable + 2NA/NC (8 pines) - CR-U230AC2 - 10A, bobina 220-250Vac - marca ABB.</t>
  </si>
  <si>
    <t>1SVR405621R3000</t>
  </si>
  <si>
    <t>RELE_CR-U_2NA/NC---Clip</t>
  </si>
  <si>
    <t>CR-UH - Clip de retención metálico (CR-U230AC2) - marca ABB.</t>
  </si>
  <si>
    <t>1SVR405669R0000</t>
  </si>
  <si>
    <t>RELE_CR-U_2NA/NC---Base</t>
  </si>
  <si>
    <t>CR-U2S - Base lógica (CR-U230AC2) - marca ABB.</t>
  </si>
  <si>
    <t>1SVR405670R0000</t>
  </si>
  <si>
    <t>RELE_CR-U_3NA/NC</t>
  </si>
  <si>
    <t>Relé de interface enchufable + 3NA/NC (11 pines) - CR-U230AC3 - 10A, bobina 220-250Vac - marca ABB.</t>
  </si>
  <si>
    <t>RELE_CR-U_3NA/NC---Clip</t>
  </si>
  <si>
    <t>CR-UH - Clip de retención metálico (CR-U230AC3) - marca ABB.</t>
  </si>
  <si>
    <t>RELE_CR-U_3NA/NC---Base</t>
  </si>
  <si>
    <t>CR-U3S - Base lógica (CR-U230AC3) - marca ABB.</t>
  </si>
  <si>
    <t>1SVR405660R0000</t>
  </si>
  <si>
    <t>SEL_0-1</t>
  </si>
  <si>
    <t>1SFA611201P1106</t>
  </si>
  <si>
    <t>MCB-10</t>
  </si>
  <si>
    <t>1SFA611610R1001</t>
  </si>
  <si>
    <t>MCB-01</t>
  </si>
  <si>
    <t>1SFA611610R1010</t>
  </si>
  <si>
    <t>BORNES DE 800A
Barras de 60x10mm</t>
  </si>
  <si>
    <t>PANEL DE BARRAS - CAJA MOLD. (LZM1 / XT2)</t>
  </si>
  <si>
    <t>XTCEXVSBB</t>
  </si>
  <si>
    <t>XTOB006BC1</t>
  </si>
  <si>
    <t>XTOB004BC1</t>
  </si>
  <si>
    <t>XTOB2P4BC1</t>
  </si>
  <si>
    <t>XTOB1P6BC1</t>
  </si>
  <si>
    <t>03.</t>
  </si>
  <si>
    <t>04.</t>
  </si>
  <si>
    <t>MAGNUM 3000</t>
  </si>
  <si>
    <t>EATON</t>
  </si>
  <si>
    <t>BZM1-XKP</t>
  </si>
  <si>
    <t>BZM1-XKP - Juego de 02 separadores de fase para interruptor BZM1.</t>
  </si>
  <si>
    <t>BZM2-XKP</t>
  </si>
  <si>
    <t>BZM2-XKP - Juego de 02 separadores de fase para interruptor BZM2.</t>
  </si>
  <si>
    <t>BZM1-XKAV</t>
  </si>
  <si>
    <t>LZMS2-A25</t>
  </si>
  <si>
    <t>LZMS2-A32</t>
  </si>
  <si>
    <t>Accesorios LZM</t>
  </si>
  <si>
    <t>NZM2/3-XU208-240AC</t>
  </si>
  <si>
    <t>NZM4-XU208-240AC</t>
  </si>
  <si>
    <t>Contacto auxiliar 1NO para interruptor LZM - contacto de estado / contacto de actuación del interruptor.</t>
  </si>
  <si>
    <t>Contacto auxiliar 1NC para interruptor LZM - contacto de estado / contacto de actuación del interruptor.</t>
  </si>
  <si>
    <t>PFIM-100/4/03</t>
  </si>
  <si>
    <t>TC 3000/5</t>
  </si>
  <si>
    <t>Transformador de corriente de 3000/5A</t>
  </si>
  <si>
    <t>TC 2500/5</t>
  </si>
  <si>
    <t>TC 2000/5</t>
  </si>
  <si>
    <t>TC 1500/5</t>
  </si>
  <si>
    <t>TC 800/5</t>
  </si>
  <si>
    <t>TC 500/5</t>
  </si>
  <si>
    <t>TC 400/5</t>
  </si>
  <si>
    <t>TC 200/5</t>
  </si>
  <si>
    <t>TC 160/5</t>
  </si>
  <si>
    <t>Transformador de corriente de 160/5A</t>
  </si>
  <si>
    <t>IH-ANAL_ORBIS</t>
  </si>
  <si>
    <t>IH-ANAL</t>
  </si>
  <si>
    <t>IH_GRASSLIN</t>
  </si>
  <si>
    <t>Interruptor Horario Digital - marca GRASSLIN.</t>
  </si>
  <si>
    <t>Pulsador rasante - color Rojo - contacto 1NC - línea modular.</t>
  </si>
  <si>
    <t>Pulsador rasante - color Verde - contacto 1NA - línea modular.</t>
  </si>
  <si>
    <t>Pulsador rasante - color Negro - contacto 1NA - línea modular.</t>
  </si>
  <si>
    <t>PULS_STOP_GEN</t>
  </si>
  <si>
    <t>Pulsador rasante - color Rojo - contacto 1NC - línea compacta.</t>
  </si>
  <si>
    <t>PULS_START_GEN</t>
  </si>
  <si>
    <t>Pulsador rasante - color Verde - contacto 1NA - línea compacta.</t>
  </si>
  <si>
    <t>PULS_NEGRO_GEN</t>
  </si>
  <si>
    <t>Pulsador rasante - color Negro - contacto 1NA - línea compacta.</t>
  </si>
  <si>
    <t>LAMP_ROJO_220V_GEN</t>
  </si>
  <si>
    <t>LAMP_VERDE_220V_GEN</t>
  </si>
  <si>
    <t>LAMP_AM_220V_GEN</t>
  </si>
  <si>
    <t>LAMP_ROJO_120V_GEN</t>
  </si>
  <si>
    <t>LAMP_VERDE_120V_GEN</t>
  </si>
  <si>
    <t>LAMP_AM_120V_GEN</t>
  </si>
  <si>
    <t xml:space="preserve">Pulsador doble Start/Stop (Rojo/Verde) con lampara tipo LED + contacto 1NA+1NC. </t>
  </si>
  <si>
    <t>Pulsador doble Start/Stop (Rojo/Verde) sin iluminación + contacto 1NA+1NC.</t>
  </si>
  <si>
    <t>MCB-10_GEN</t>
  </si>
  <si>
    <t>Contacto auxiliar 1NA - para selector.</t>
  </si>
  <si>
    <t>MCB-01_GEN</t>
  </si>
  <si>
    <t>Contacto auxiliar 1NC - para selector.</t>
  </si>
  <si>
    <t>NZM3-XKP - Juego de 02 separadores de Fase p/ NZM3 /LZM3.</t>
  </si>
  <si>
    <t>NZM4-XKP - Juego de 02 separadores de Fase p/ NZM3 /LZM4.</t>
  </si>
  <si>
    <t>Rele auxiliar enchufable +4NA/NC (D2PR4B + base D2PA6) - EATON.</t>
  </si>
  <si>
    <t>DILM32-XHI22</t>
  </si>
  <si>
    <t>Contacto auxiliar frontal 2NA+2NC para contactor DILM7..DILM38.</t>
  </si>
  <si>
    <t>XTRM10A22T</t>
  </si>
  <si>
    <t>XTCF020B00B</t>
  </si>
  <si>
    <t>XTCF032C10B</t>
  </si>
  <si>
    <t>XTCF045C10B</t>
  </si>
  <si>
    <t>XTCF063D00B</t>
  </si>
  <si>
    <t>XTCF080D00B</t>
  </si>
  <si>
    <t>XTCF125G00B</t>
  </si>
  <si>
    <t>XTCF160G00B</t>
  </si>
  <si>
    <t>XTCF200G00B</t>
  </si>
  <si>
    <t>mMCM-C10/4-MW</t>
  </si>
  <si>
    <t>mMCM-C16/4-MW</t>
  </si>
  <si>
    <t>mMCM-C20/4-MW</t>
  </si>
  <si>
    <t>mMCM-C25/4-MW</t>
  </si>
  <si>
    <t>mMCM-C32/4-MW</t>
  </si>
  <si>
    <t>mMCM-C40/4-MW</t>
  </si>
  <si>
    <t>mMCM-C50/4-MW</t>
  </si>
  <si>
    <t>mMCM-C63/4-MW</t>
  </si>
  <si>
    <t>LZMS1-4-A20</t>
  </si>
  <si>
    <t>LZMS1-4-A25</t>
  </si>
  <si>
    <t>LZMS1-4-A32</t>
  </si>
  <si>
    <t>LZMS1-4-A40</t>
  </si>
  <si>
    <t>LZMS1-4-A50</t>
  </si>
  <si>
    <t>LZMS1-4-A63</t>
  </si>
  <si>
    <t>LZMS1-4-A80</t>
  </si>
  <si>
    <t>LZMS1-4-A100</t>
  </si>
  <si>
    <t>LZMS1-4-A125</t>
  </si>
  <si>
    <t>LZMS1-4-A160</t>
  </si>
  <si>
    <t>LZMS2-4-A32</t>
  </si>
  <si>
    <t>LZMS2-4-A100</t>
  </si>
  <si>
    <t>LZMS2-4-A160</t>
  </si>
  <si>
    <t>LZMS2-4-A200</t>
  </si>
  <si>
    <t>LZMS2-4-A250</t>
  </si>
  <si>
    <t>LZMS3-4-A320</t>
  </si>
  <si>
    <t>LZMS3-4-A400</t>
  </si>
  <si>
    <t>LZMS3-4-A500</t>
  </si>
  <si>
    <t>Modelo LZM4 - Electrónicos</t>
  </si>
  <si>
    <t>LZMS3-4-VE400</t>
  </si>
  <si>
    <t>LZMS3-4-VE630</t>
  </si>
  <si>
    <t>LZMS4-4-VE800</t>
  </si>
  <si>
    <t>LZMS4-4-VE1000</t>
  </si>
  <si>
    <t>LZMS4-4-VE1250</t>
  </si>
  <si>
    <t>LZMS4-4-VE1600</t>
  </si>
  <si>
    <t>BoxT_LZM2_4t_160A</t>
  </si>
  <si>
    <t>BoxT_LZM2_4t</t>
  </si>
  <si>
    <t>TunT_LZM2_4t</t>
  </si>
  <si>
    <t>BoxT_LZM3_4t</t>
  </si>
  <si>
    <t>TunT_LZM3_4t_320A</t>
  </si>
  <si>
    <t>TunT_LZM3_4t</t>
  </si>
  <si>
    <t>TunT_LZM4_4t</t>
  </si>
  <si>
    <t>Magnum(S)_2500A_4p_Digitrip1150i-LSIG/A</t>
  </si>
  <si>
    <t>ITM Bastidor Abierto 4x2500A (electrónico [0.4-1.0] In) - Magnum(S)_2500A_4p_Digitrip1150i-LSIG/A - 65kA@480Vac, moto-operado, Uc=220Vac.</t>
  </si>
  <si>
    <t>Magnum(S)_2500A_4p_Digitrip520-LSIG</t>
  </si>
  <si>
    <t>ITM Bastidor Abierto 4x2500A (electrónico [0.4-1.0] In) - Magnum(S)_2500A_4p_Digitrip520-LSIG - 65kA@480Vac, moto-operado, Uc=220Vac.</t>
  </si>
  <si>
    <t>Magnum(S)_2500A_4p_Digitrip520-LSI</t>
  </si>
  <si>
    <t>ITM Bastidor Abierto 4x2500A (electrónico [0.4-1.0] In) - Magnum(S)_2500A_4p_Digitrip520-LSI - 65kA@480Vac, moto-operado, Uc=220Vac.</t>
  </si>
  <si>
    <t>Magnum(N)_2000A_4p_Digitrip520-LSIG</t>
  </si>
  <si>
    <t>ITM Bastidor Abierto 4x2000A (electrónico [0.4-1.0] In) - Magnum(N)_2000A_4p_Digitrip520-LSIG - 50kA@480Vac, moto-operado, Uc=220Vac.</t>
  </si>
  <si>
    <t>YO_Magnum_220V</t>
  </si>
  <si>
    <t>YC_Magnum_220V</t>
  </si>
  <si>
    <t>YM_Magnum_220V</t>
  </si>
  <si>
    <t>Motor-reductor (YM) para la carga automática de los resortes - Magnum - 220-250V AC/DC.</t>
  </si>
  <si>
    <t>1S51_Magnum</t>
  </si>
  <si>
    <t>1(S51) contacto por actuacion del relé - 250V - Magnum.</t>
  </si>
  <si>
    <t>Dif-63/4/03-B</t>
  </si>
  <si>
    <t>Interruptor Diferencial 4x63A - 300mA - clase B (para variador, alta inmunización).</t>
  </si>
  <si>
    <t>Dif-125/4/03-B</t>
  </si>
  <si>
    <t>Interruptor Diferencial 4x125A - 300mA - clase B (para variador, alta inmunización).</t>
  </si>
  <si>
    <t>ATC-300</t>
  </si>
  <si>
    <t>KIT-TRANSF_Magnum_2500A</t>
  </si>
  <si>
    <t>NZM2-XMVR</t>
  </si>
  <si>
    <t>NZM3-XMVR</t>
  </si>
  <si>
    <t>NZM4-XMVR</t>
  </si>
  <si>
    <t>BENDER</t>
  </si>
  <si>
    <t>BTICINO</t>
  </si>
  <si>
    <t>MENNEKES</t>
  </si>
  <si>
    <t>INT_DADO_BI</t>
  </si>
  <si>
    <t>DADO INT. BIPOLAR 16A 250VAC 5011 MAGIC - marca Bticino.</t>
  </si>
  <si>
    <t>PLACA_INT_DADO_BI</t>
  </si>
  <si>
    <t>PLACA ALUM 1CAV CHAMPAGNE C/TORN + S RESINA 503/1SR - marca Bticino.</t>
  </si>
  <si>
    <t>RCD_2x25A_300mA_A_K</t>
  </si>
  <si>
    <t>Interruptor diferencial 2x25A - 300mA, clase A, curva K - marca Schneider - Ref.: A9R54225.</t>
  </si>
  <si>
    <t>RCD_4x25A_300mA_B_S</t>
  </si>
  <si>
    <t>SIEMENS</t>
  </si>
  <si>
    <t>LOGO_DM8-24R</t>
  </si>
  <si>
    <t>LOGO_DM8-230R</t>
  </si>
  <si>
    <t>LOGO_DM16-24R</t>
  </si>
  <si>
    <t>Módulo de expansión para micro-PLC LOGO! - Ue=24Vdc - 8 entradas digitales + 8 salidas tipo relé - marca SIEMENS.</t>
  </si>
  <si>
    <t>LOGO_DM16-230R</t>
  </si>
  <si>
    <t>LOGO_POWER_24V</t>
  </si>
  <si>
    <t>BAT_7Ah</t>
  </si>
  <si>
    <t>REACT_18kVAR/380V_p14</t>
  </si>
  <si>
    <t>COND_18kVAR/380V_p14</t>
  </si>
  <si>
    <t>REACT_30kVAR/230V_p7</t>
  </si>
  <si>
    <t>COND_30kVAR/230V_p7</t>
  </si>
  <si>
    <t>REACT_40kVAR/380V_p14</t>
  </si>
  <si>
    <t>Reactancia para filtro de rechazo de armónicas, para paso de 40 kVAR, 380Vac, 60Hz, p=14%, tipo RBX, marca CIRCUTOR.</t>
  </si>
  <si>
    <t>COND_40kVAR/380V_p14</t>
  </si>
  <si>
    <t>Condensador, Trifásico, para paso de potencia efectiva de 40 kVAR, 380Vac, 60Hz, p=14%, tipo CFB, marca CIRCUTOR.</t>
  </si>
  <si>
    <t>Regulador de factor de potencia, 12 pasos, Ve = 100-520 Vac, modelo Computer SMART III, marca CIRCUTOR.</t>
  </si>
  <si>
    <t>BASE_FUSIBLE_NH</t>
  </si>
  <si>
    <t>BASE PORTAFUSIBLE TRIP.D/POLYESTER FIJ.DIN NH-00 690VCA + PLACAS SEPARADORAS P/BASES PORTAF.UNIPOLARES (EC) NH-00.</t>
  </si>
  <si>
    <t>DF ELECTRIC</t>
  </si>
  <si>
    <t>Modelo 5SL4</t>
  </si>
  <si>
    <t>Modelo 5SV - Clase AC (30mA)</t>
  </si>
  <si>
    <t>Modelo 5SV - Clase A (30mA)</t>
  </si>
  <si>
    <t>5SV3312-6</t>
  </si>
  <si>
    <t>Bastidor abierto</t>
  </si>
  <si>
    <t>3VA1125-5EE32-0AA0</t>
  </si>
  <si>
    <t>3VA1132-5EE32-0AA0</t>
  </si>
  <si>
    <t>3VA1225-5EF32-0AA0</t>
  </si>
  <si>
    <t>S202-C-10A</t>
  </si>
  <si>
    <t>S203-C-10A</t>
  </si>
  <si>
    <t>S204-C-10A</t>
  </si>
  <si>
    <t>S204-C-16A</t>
  </si>
  <si>
    <t>S204-C-20A</t>
  </si>
  <si>
    <t>S204-C-25A</t>
  </si>
  <si>
    <t>S204-C-32A</t>
  </si>
  <si>
    <t>S204-C-40A</t>
  </si>
  <si>
    <t>S204-C-50A</t>
  </si>
  <si>
    <t>S204-C-63A</t>
  </si>
  <si>
    <t>S204M-C-16A</t>
  </si>
  <si>
    <t>S204M-C-20A</t>
  </si>
  <si>
    <t>S204M-C-25A</t>
  </si>
  <si>
    <t>S204M-C-32A</t>
  </si>
  <si>
    <t>S204M-C-40A</t>
  </si>
  <si>
    <t>S204M-C-50A</t>
  </si>
  <si>
    <t>S204M-C-63A</t>
  </si>
  <si>
    <t>S204P-C-16A</t>
  </si>
  <si>
    <t>2CDS284001R0164</t>
  </si>
  <si>
    <t>S204P-C-20A</t>
  </si>
  <si>
    <t>2CDS284001R0204</t>
  </si>
  <si>
    <t>S204P-C-25A</t>
  </si>
  <si>
    <t>2CDS284001R0254</t>
  </si>
  <si>
    <t>S204P-C-32A</t>
  </si>
  <si>
    <t>2CDS284001R0324</t>
  </si>
  <si>
    <t>S204P-C-40A</t>
  </si>
  <si>
    <t>2CDS284001R0404</t>
  </si>
  <si>
    <t>S204P-C-50A</t>
  </si>
  <si>
    <t>2CDS284001R0504</t>
  </si>
  <si>
    <t>S204P-C-63A</t>
  </si>
  <si>
    <t>2CDS284001R0634</t>
  </si>
  <si>
    <t>CLASE AC</t>
  </si>
  <si>
    <t>Interruptor Diferencial 2x25A - 30mA - clase AC - FH202-AC-25A-30mA - marca ABB.</t>
  </si>
  <si>
    <t>Interruptor Diferencial 2x40A -  30mA - clase AC - FH202-AC-40A-30mA - marca ABB.</t>
  </si>
  <si>
    <t>Interruptor Diferencial 2x63A - 30mA - clase AC - FH202-AC-63A-30mA - marca ABB.</t>
  </si>
  <si>
    <t>Interruptor Diferencial 2x80A - 30mA - clase AC - F202-AC-80A-30mA - marca ABB.</t>
  </si>
  <si>
    <t>Interruptor Diferencial 2x100A - 30mA - clase AC - F202-AC-100A-30mA - marca ABB.</t>
  </si>
  <si>
    <t>Interruptor Diferencial 4x25A - 30mA - clase AC - FH204-AC-25A-30mA - marca ABB.</t>
  </si>
  <si>
    <t>Interruptor Diferencial 4x40A - 30mA - clase AC - FH204-AC-40A-30mA - marca ABB.</t>
  </si>
  <si>
    <t>Interruptor Diferencial 4x63A - 30mA - clase AC - FH204-AC-63A-30mA - marca ABB.</t>
  </si>
  <si>
    <t>Interruptor Diferencial 4x80A - 30mA - clase AC - F204-AC-80A-30mA - marca ABB.</t>
  </si>
  <si>
    <t>Interruptor Diferencial 4x100A - 30mA - clase AC - F204-AC-100A-30mA - marca ABB.</t>
  </si>
  <si>
    <t>Interruptor Diferencial 4x125A - 30mA - clase AC - F204-AC-125A-30mA - marca ABB.</t>
  </si>
  <si>
    <t>300mA</t>
  </si>
  <si>
    <t>FH202-AC-25A-300mA</t>
  </si>
  <si>
    <t>Interruptor Diferencial 2x25A - 300mA - clase AC - FH202-AC-25A-300mA  - marca ABB.</t>
  </si>
  <si>
    <t>1TMF202006R3250</t>
  </si>
  <si>
    <t>FH202-AC-40A-300mA</t>
  </si>
  <si>
    <t>Interruptor Diferencial 2x40A - 300mA - clase AC - FH202-AC-40A-300mA - marca ABB.</t>
  </si>
  <si>
    <t>1TMF202006R3400</t>
  </si>
  <si>
    <t>FH202-AC-63A-300mA</t>
  </si>
  <si>
    <t>Interruptor Diferencial 2x63A - 300mA - clase AC - FH202-AC-63A-300mA - marca ABB.</t>
  </si>
  <si>
    <t>1TMF202006R3630</t>
  </si>
  <si>
    <t>FH204-AC-25A-300mA</t>
  </si>
  <si>
    <t>Interruptor Diferencial 4x25A - 300mA - clase AC - FH204-AC-25A-300mA - marca ABB.</t>
  </si>
  <si>
    <t>1TMF204006R3250</t>
  </si>
  <si>
    <t>FH204-AC-40A-300mA</t>
  </si>
  <si>
    <t>Interruptor Diferencial 4x40A - 300mA - clase AC - FH204-AC-40A-300mA - marca ABB.</t>
  </si>
  <si>
    <t>1TMF204006R3400</t>
  </si>
  <si>
    <t>FH204-AC-63A-300mA</t>
  </si>
  <si>
    <t>Interruptor Diferencial 4x63A - 300mA - clase AC - FH204-AC-63A-300mA - marca ABB.</t>
  </si>
  <si>
    <t/>
  </si>
  <si>
    <t>F204-AC-80A-300mA</t>
  </si>
  <si>
    <t>Interruptor Diferencial 4x80A - 300mA - clase AC - F204-AC-80A-300mA - marca ABB.</t>
  </si>
  <si>
    <t>2CSF204005R3800</t>
  </si>
  <si>
    <t>F204-AC-100A-300mA</t>
  </si>
  <si>
    <t>Interruptor Diferencial 4x100A - 300mA - clase AC - F204-AC-100A-300mA - marca ABB.</t>
  </si>
  <si>
    <t>2CSF204005R3900</t>
  </si>
  <si>
    <t>CLASE A</t>
  </si>
  <si>
    <t>Interruptor Diferencial 2x25A - 30mA - clase A (inmunizado) - F202-A-25A-30mA - marca ABB.</t>
  </si>
  <si>
    <t>Interruptor Diferencial 2x40A - 30mA - clase A (inmunizado) - F202-A-40A-30mA - marca ABB.</t>
  </si>
  <si>
    <t>Interruptor Diferencial 2x63A - 30mA - clase A (inmunizado) - F202-A-63A-30mA - marca ABB.</t>
  </si>
  <si>
    <t>Interruptor Diferencial 2x80A - 30mA - clase A (inmunizado) - F202-A-80A-30mA - marca ABB.</t>
  </si>
  <si>
    <t>Interruptor Diferencial 2x100A - 30mA - clase A (inmunizado) - F202-A-100A-30mA - marca ABB.</t>
  </si>
  <si>
    <t>Interruptor Diferencial 4x25A - 30mA - clase A (inmunizado) - F204-A-25A-30mA - marca ABB.</t>
  </si>
  <si>
    <t>Interruptor Diferencial 4x40A - 30mA - clase A (inmunizado) - F204-A-40A-30mA - marca ABB.</t>
  </si>
  <si>
    <t>Interruptor Diferencial 4x63A - 30mA - clase A (inmunizado) - F204-A-63A-30mA - marca ABB.</t>
  </si>
  <si>
    <t>Interruptor Diferencial 4x80A - 30mA - clase A (inmunizado) - F204-A-80A-30mA - marca ABB.</t>
  </si>
  <si>
    <t>Interruptor Diferencial 4x100A - 30mA - clase A (inmunizado) - F204-A-100A-30mA - marca ABB.</t>
  </si>
  <si>
    <t>Interruptor Diferencial 4x125A - 30mA - clase A (inmunizado) - F204-A-125A-30mA - marca ABB.</t>
  </si>
  <si>
    <t>Interruptor Diferencial 2x25A - 30mA - clase A-APR (alta inmunización) - F202-A APR-25A-30mA  - marca ABB.</t>
  </si>
  <si>
    <t>Interruptor Diferencial 2x40A - 30mA - clase A-APR (alta inmunización) - F202-A APR-40A-30mA  - marca ABB.</t>
  </si>
  <si>
    <t>Interruptor Diferencial 2x63A - 30mA - clase A-APR (alta inmunización) - F202-A APR-63A-30mA  - marca ABB.</t>
  </si>
  <si>
    <t>Interruptor Diferencial 4x25A - 30mA - clase A-APR (alta inmunización) - F204-A APR-25A-30mA  - marca ABB.</t>
  </si>
  <si>
    <t>Interruptor Diferencial 4x40A - 30mA - clase A-APR (alta inmunización) - F204-A APR-40A-30mA  - marca ABB.</t>
  </si>
  <si>
    <t>Interruptor Diferencial 4x63A - 30mA - clase A-APR (alta inmunización) - F204-A APR-63A-30mA  - marca ABB.</t>
  </si>
  <si>
    <t>Interruptor Diferencial 4x80A - 30mA - clase A-APR (alta inmunización) - F204-A APR-80A-30mA  - marca ABB.</t>
  </si>
  <si>
    <t>Interruptor Diferencial 4x100A - 30mA - clase A-APR (alta inmunización) - F204-A APR-100A-30mA  - marca ABB.</t>
  </si>
  <si>
    <t>F204-A-25A-300mA</t>
  </si>
  <si>
    <t>Interruptor Diferencial 4x25A - 300mA - clase A (inmunizado) - F204-A-25A-300mA - marca ABB.</t>
  </si>
  <si>
    <t>2CSF204101R3250</t>
  </si>
  <si>
    <t>F204-A-40A-300mA</t>
  </si>
  <si>
    <t>Interruptor Diferencial 4x40A - 300mA - clase A (inmunizado) - F204-A-40A-300mA - marca ABB.</t>
  </si>
  <si>
    <t>2CSF204101R3400</t>
  </si>
  <si>
    <t>F204-A-63A-300mA</t>
  </si>
  <si>
    <t>Interruptor Diferencial 4x63A - 300mA - clase A (inmunizado) - F204-A-63A-300mA - marca ABB.</t>
  </si>
  <si>
    <t>2CSF204101R3630</t>
  </si>
  <si>
    <t>F204-A-80A-300mA</t>
  </si>
  <si>
    <t>Interruptor Diferencial 4x80A - 300mA - clase A (inmunizado) - F204-A-80A-300mA - marca ABB.</t>
  </si>
  <si>
    <t>2CSF204101R3800</t>
  </si>
  <si>
    <t>F204-A-100A-300mA</t>
  </si>
  <si>
    <t>Interruptor Diferencial 4x100A - 300mA - clase A (inmunizado) - F204-A-100A-300mA - marca ABB.</t>
  </si>
  <si>
    <t>2CSF204101R3900</t>
  </si>
  <si>
    <t>F204-A-125A-300mA</t>
  </si>
  <si>
    <t>Interruptor Diferencial 4x125A - 300mA - clase A (inmunizado) - F204-A-125A-300mA - marca ABB.</t>
  </si>
  <si>
    <t>2CSF204101R3950</t>
  </si>
  <si>
    <t>CLASE B</t>
  </si>
  <si>
    <t>F204-B-40A-30mA</t>
  </si>
  <si>
    <t>2CSF204501R1400</t>
  </si>
  <si>
    <t>F204-B-63A-30mA</t>
  </si>
  <si>
    <t>2CSF204501R1630</t>
  </si>
  <si>
    <t>F204-B-125A-30mA</t>
  </si>
  <si>
    <t>2CSF204523R1950</t>
  </si>
  <si>
    <t>F204-B-63A-300mA</t>
  </si>
  <si>
    <t>F204-B-125A-300mA</t>
  </si>
  <si>
    <t>2CSF204523R3950</t>
  </si>
  <si>
    <t>Protector de sobretensiones TIPO 2 - OVR-T2_3N_40-440_P_3P+N(TT)/(TNS) - Un=400V, Up=1.9kV - I_descarga=40kA, Uc=440V - marca ABB.</t>
  </si>
  <si>
    <t>Toroide diferencial TR1 (nucleo cerrado) - d=35mm, In_max=75A@IEC60947-2(anexo M) - marca ABB.</t>
  </si>
  <si>
    <t>Toroide diferencial TR2 (nucleo cerrado) - d=60mm, In_max=85A@IEC60947-2(anexo M) - marca ABB.</t>
  </si>
  <si>
    <t>Toroide diferencial TR3 (nucleo cerrado) - d=80mm, In_max=160A@IEC60947-2(anexo M) - marca ABB.</t>
  </si>
  <si>
    <t>Toroide diferencial TR4 (nucleo cerrado) - d=110mm, In_max=250A@IEC60947-2(anexo M) - marca ABB.</t>
  </si>
  <si>
    <t>ELR96P</t>
  </si>
  <si>
    <t>Relé de protección diferencial p/cuadro ELR96P - Reg.: 0.03..30A - Ue=110/230/400 Vac, 96x96mm (HxW). - marca ABB.</t>
  </si>
  <si>
    <t>2CSG152434R1202</t>
  </si>
  <si>
    <t>Toroide diferencial TR160 (nucleo cerrado) - d=160mm, In_max=400A@IEC60947-2(anexo M) - marca ABB.</t>
  </si>
  <si>
    <t>Toroide diferencial TR5 (nucleo cerrado) - d=210mm, In_max=630A@IEC60947-2(anexo M) - marca ABB.</t>
  </si>
  <si>
    <t>A1N/P125-70A-2P-TMF</t>
  </si>
  <si>
    <t>1SDA069560R1</t>
  </si>
  <si>
    <t>A1B125-20A-4P-TMF</t>
  </si>
  <si>
    <t>1SDA066734R1</t>
  </si>
  <si>
    <t>A1B125-25A-4P-TMF</t>
  </si>
  <si>
    <t>1SDA066735R1</t>
  </si>
  <si>
    <t>A1B125-40A-4P-TMF</t>
  </si>
  <si>
    <t>1SDA066737R1</t>
  </si>
  <si>
    <t>A1B125-50A-4P-TMF</t>
  </si>
  <si>
    <t>1SDA066738R1</t>
  </si>
  <si>
    <t>A1B125-70A-4P-TMF</t>
  </si>
  <si>
    <t>1SDA066740R1</t>
  </si>
  <si>
    <t>A1B125-80A-4P-TMF</t>
  </si>
  <si>
    <t>1SDA066741R1</t>
  </si>
  <si>
    <t>A1B125-90A-4P-TMF</t>
  </si>
  <si>
    <t>1SDA066742R1</t>
  </si>
  <si>
    <t>A1B125-100A-4P-TMF</t>
  </si>
  <si>
    <t>1SDA066743R1</t>
  </si>
  <si>
    <t>A1B125-125A-4P-TMF</t>
  </si>
  <si>
    <t>1SDA066744R1</t>
  </si>
  <si>
    <t>A1C125-20A-3P-TMF</t>
  </si>
  <si>
    <t>1SDA066710R1</t>
  </si>
  <si>
    <t>A1C125-25A-3P-TMF</t>
  </si>
  <si>
    <t>1SDA066711R1</t>
  </si>
  <si>
    <t>1SDA066712R1</t>
  </si>
  <si>
    <t>A1C125-40A-3P-TMF</t>
  </si>
  <si>
    <t>1SDA066713R1</t>
  </si>
  <si>
    <t>A1C125-50A-3P-TMF</t>
  </si>
  <si>
    <t>1SDA066714R1</t>
  </si>
  <si>
    <t>1SDA066715R1</t>
  </si>
  <si>
    <t>A1C125-70A-3P-TMF</t>
  </si>
  <si>
    <t>1SDA066716R1</t>
  </si>
  <si>
    <t>A1C125-80A-3P-TMF</t>
  </si>
  <si>
    <t>1SDA066717R1</t>
  </si>
  <si>
    <t>A1C125-90A-3P-TMF</t>
  </si>
  <si>
    <t>1SDA066718R1</t>
  </si>
  <si>
    <t>A1C125-100A-3P-TMF</t>
  </si>
  <si>
    <t>1SDA066719R1</t>
  </si>
  <si>
    <t>A1C125-125A-3P-TMF</t>
  </si>
  <si>
    <t>1SDA066720R1</t>
  </si>
  <si>
    <t>A2B250-160A-4P-TMF</t>
  </si>
  <si>
    <t>1SDA066555R1</t>
  </si>
  <si>
    <t>A2B250-175A-4P-TMF</t>
  </si>
  <si>
    <t>1SDA066556R1</t>
  </si>
  <si>
    <t>A2B250-200A-4P-TMF</t>
  </si>
  <si>
    <t>1SDA066557R1</t>
  </si>
  <si>
    <t>A2B250-225A-4P-TMF</t>
  </si>
  <si>
    <t>1SDA066558R1</t>
  </si>
  <si>
    <t>A2B250-250A-4P-TMF</t>
  </si>
  <si>
    <t>1SDA066559R1</t>
  </si>
  <si>
    <t>A2C250-125A-3P-TMF</t>
  </si>
  <si>
    <t>1SDA066775R1</t>
  </si>
  <si>
    <t>A2N250-160A-3P-TMF</t>
  </si>
  <si>
    <t>1SDA066782R1</t>
  </si>
  <si>
    <t>A2N250-200A-3P-TMF</t>
  </si>
  <si>
    <t>1SDA066784R1</t>
  </si>
  <si>
    <t>A2N250-250A-3P-TMF</t>
  </si>
  <si>
    <t>1SDA066786R1</t>
  </si>
  <si>
    <t>A3N630-630A-4P-ELT LI</t>
  </si>
  <si>
    <t>1SDA066574R1</t>
  </si>
  <si>
    <t>FC-CuAl_A1_4t</t>
  </si>
  <si>
    <t>1SDA066243R1</t>
  </si>
  <si>
    <t>FC-CuAl_A2_4t</t>
  </si>
  <si>
    <t>1SDA066249R1</t>
  </si>
  <si>
    <t>FC-CuAl_A3_3t_2-240mm2</t>
  </si>
  <si>
    <t>FC-CuAl_A3_4t</t>
  </si>
  <si>
    <t>1SDA055025R1</t>
  </si>
  <si>
    <t>FC-CuAl_A3_4t_2-240mm2</t>
  </si>
  <si>
    <t>1SDA055033R1</t>
  </si>
  <si>
    <t>PLL_A1-A2</t>
  </si>
  <si>
    <t>XT1B160-40A-4P-TMD</t>
  </si>
  <si>
    <t>1SDA066814R1</t>
  </si>
  <si>
    <t>XT1B160-50A-4P-TMD</t>
  </si>
  <si>
    <t>1SDA066815R1</t>
  </si>
  <si>
    <t>XT1B160-63A-4P-TMD</t>
  </si>
  <si>
    <t>1SDA066816R1</t>
  </si>
  <si>
    <t>XT1B160-100A-4P-TMD</t>
  </si>
  <si>
    <t>1SDA066818R1</t>
  </si>
  <si>
    <t>XT1B160-125A-4P-TMD</t>
  </si>
  <si>
    <t>1SDA066888R1</t>
  </si>
  <si>
    <t>XT1B160-160A-4P-TMD</t>
  </si>
  <si>
    <t>1SDA066821R1</t>
  </si>
  <si>
    <t>XT1C160-25A-4P-TMD</t>
  </si>
  <si>
    <t>ITM Caja Moldeada 4x25A (reg.[0.7-1.0] In) - XT1C160-25A-4P-TMD - 40kA@230V, 25kA@415V - marca ABB.</t>
  </si>
  <si>
    <t>1SDA067400R1</t>
  </si>
  <si>
    <t>XT1C160-40A-4P-TMD</t>
  </si>
  <si>
    <t>ITM Caja Moldeada 4x40A (reg.[0.7-1.0] In) - XT1C160-40A-4P-TMD - 40kA@230V, 25kA@415V - marca ABB.</t>
  </si>
  <si>
    <t>1SDA067402R1</t>
  </si>
  <si>
    <t>XT1C160-50A-4P-TMD</t>
  </si>
  <si>
    <t>ITM Caja Moldeada 4x50A (reg.[0.7-1.0] In) - XT1C160-50A-4P-TMD - 40kA@230V, 25kA@415V - marca ABB.</t>
  </si>
  <si>
    <t>1SDA067403R1</t>
  </si>
  <si>
    <t>XT1C160-63A-4P-TMD</t>
  </si>
  <si>
    <t>ITM Caja Moldeada 4x63A (reg.[0.7-1.0] In) - XT1C160-63A-4P-TMD - 40kA@230V, 25kA@415V - marca ABB.</t>
  </si>
  <si>
    <t>1SDA067404R1</t>
  </si>
  <si>
    <t>XT1C160-100A-4P-TMD</t>
  </si>
  <si>
    <t>ITM Caja Moldeada 4x100A (reg.[0.7-1.0] In) - XT1C160-100A-4P-TMD - 40kA@230V, 25kA@415V - marca ABB.</t>
  </si>
  <si>
    <t>1SDA067406R1</t>
  </si>
  <si>
    <t>XT1C160-125A-4P-TMD</t>
  </si>
  <si>
    <t>1SDA067409R1</t>
  </si>
  <si>
    <t>XT1C160-160A-4P-TMD</t>
  </si>
  <si>
    <t>1SDA067410R1</t>
  </si>
  <si>
    <t>XT2N160-32A-4P-TMD</t>
  </si>
  <si>
    <t>1SDA067034R1</t>
  </si>
  <si>
    <t>XT2N160-40A-4P-TMA</t>
  </si>
  <si>
    <t>1SDA067035R1</t>
  </si>
  <si>
    <t>XT2N160-50A-4P-TMA</t>
  </si>
  <si>
    <t>1SDA067036R1</t>
  </si>
  <si>
    <t>XT2N160-63A-4P-TMA</t>
  </si>
  <si>
    <t>1SDA067037R1</t>
  </si>
  <si>
    <t>XT2N160-80A-3P-TMA</t>
  </si>
  <si>
    <t>XT2N160-80A-4P-TMA</t>
  </si>
  <si>
    <t>1SDA067038R1</t>
  </si>
  <si>
    <t>XT2N160-100A-4P-TMA</t>
  </si>
  <si>
    <t>1SDA067039R1</t>
  </si>
  <si>
    <t>XT2S160-20A-4P-TMD</t>
  </si>
  <si>
    <t>1SDA067572R1</t>
  </si>
  <si>
    <t>XT2S160-32A-4P-TMD</t>
  </si>
  <si>
    <t>1SDA067574R1</t>
  </si>
  <si>
    <t>XT2S160-40A-4P-TMA</t>
  </si>
  <si>
    <t>1SDA067575R1</t>
  </si>
  <si>
    <t>XT2S160-50A-4P-TMA</t>
  </si>
  <si>
    <t>1SDA067576R1</t>
  </si>
  <si>
    <t>XT2S160-63A-4P-TMA</t>
  </si>
  <si>
    <t>1SDA067577R1</t>
  </si>
  <si>
    <t>XT2S160-80A-4P-TMA</t>
  </si>
  <si>
    <t>1SDA067578R1</t>
  </si>
  <si>
    <t>XT2S160-100A-4P-TMA</t>
  </si>
  <si>
    <t>1SDA067579R1</t>
  </si>
  <si>
    <t>XT3N250-200A-4P-TMD</t>
  </si>
  <si>
    <t>1SDA068069R1</t>
  </si>
  <si>
    <t>XT3N250-250A-4P-TMD</t>
  </si>
  <si>
    <t>1SDA068070R1</t>
  </si>
  <si>
    <t>XT3S250-250A-4P-TMD</t>
  </si>
  <si>
    <t>1SDA068232R1</t>
  </si>
  <si>
    <t>XT4S250-200A-4P-TMA</t>
  </si>
  <si>
    <t>1SDA068329R1</t>
  </si>
  <si>
    <t>XT4S250-250A-4P-TMA</t>
  </si>
  <si>
    <t>1SDA068331R1</t>
  </si>
  <si>
    <t>XT1D-3P</t>
  </si>
  <si>
    <t>1SDA068208R1</t>
  </si>
  <si>
    <t>XT1D-4P</t>
  </si>
  <si>
    <t>1SDA068209R1</t>
  </si>
  <si>
    <t>XT3D-3P</t>
  </si>
  <si>
    <t>1SDA068210R1</t>
  </si>
  <si>
    <t>XT3D-4P</t>
  </si>
  <si>
    <t>1SDA068211R1</t>
  </si>
  <si>
    <t>FC-Cu_XT1_4t</t>
  </si>
  <si>
    <t>1SDA066906R1</t>
  </si>
  <si>
    <t>FC-CuAl_XT1_4t</t>
  </si>
  <si>
    <t>1SDA067156R1</t>
  </si>
  <si>
    <t>FC-Cu_XT2_4t</t>
  </si>
  <si>
    <t>1SDA066910R1</t>
  </si>
  <si>
    <t>FC-CuAl_XT2_4t</t>
  </si>
  <si>
    <t>1SDA067168R1</t>
  </si>
  <si>
    <t>FC-Cu_XT3_4t</t>
  </si>
  <si>
    <t>1SDA066914R1</t>
  </si>
  <si>
    <t>FC-CuAl_XT3_4t</t>
  </si>
  <si>
    <t>1SDA067184R1</t>
  </si>
  <si>
    <t>FC-Cu_XT4_4t</t>
  </si>
  <si>
    <t>1SDA066918R1</t>
  </si>
  <si>
    <t>FC-CuAl_XT4_4t</t>
  </si>
  <si>
    <t>1SDA067196R1</t>
  </si>
  <si>
    <t>3Q_XT1</t>
  </si>
  <si>
    <t>1SDA066426R1</t>
  </si>
  <si>
    <t>3Q_XT2-XT4</t>
  </si>
  <si>
    <t>1SDA066427R1</t>
  </si>
  <si>
    <t>3Q_XT3</t>
  </si>
  <si>
    <t>1SDA066428R1</t>
  </si>
  <si>
    <t>1(S51) contacto por actuacion del relé - XT2-XT4 - relé electrónico (SA) - versión no cableada - marca ABB.</t>
  </si>
  <si>
    <t>MIR-H_XT1-XT4</t>
  </si>
  <si>
    <t>MIR-H - XT1, XT2, XT3, XT4 - Grupo armazón para enclavamiento horizontal - marca ABB.</t>
  </si>
  <si>
    <t>1SDA066637R1</t>
  </si>
  <si>
    <t>MIR-V_XT1-XT4</t>
  </si>
  <si>
    <t>MIR-V - XT1, XT2, XT3, XT4 - Grupo armazón para enclavamiento vertical - marca ABB.</t>
  </si>
  <si>
    <t>1SDA066638R1</t>
  </si>
  <si>
    <t>MIR-P_XT1-F</t>
  </si>
  <si>
    <t>Placa para enclavamiento XT1 (F) - marca ABB.</t>
  </si>
  <si>
    <t>1SDA066639R1</t>
  </si>
  <si>
    <t>MIR-P_XT3-F</t>
  </si>
  <si>
    <t>Placa para enclavamiento XT3 (F) - marca ABB.</t>
  </si>
  <si>
    <t>1SDA066643R1</t>
  </si>
  <si>
    <t>MIR-P_XT2-F</t>
  </si>
  <si>
    <t>Placa para enclavamiento XT2 (F) - marca ABB.</t>
  </si>
  <si>
    <t>1SDA066641R1</t>
  </si>
  <si>
    <t>MIR-P_XT4-F</t>
  </si>
  <si>
    <t>Placa para enclavamiento XT4 (F) - marca ABB.</t>
  </si>
  <si>
    <t>1SDA066645R1</t>
  </si>
  <si>
    <t>T5S400-400A-4P-PR221DS-LS/I</t>
  </si>
  <si>
    <t>1SDA054341R1</t>
  </si>
  <si>
    <t>T5S630-630A-4P-PR221DS-LS/I</t>
  </si>
  <si>
    <t>1SDA054408R1</t>
  </si>
  <si>
    <t>T6S800-800A-4P-PR221DS-LS/I</t>
  </si>
  <si>
    <t>1SDA060283R1</t>
  </si>
  <si>
    <t>T6S1000-1000A-4P-PR221DS-LS/I</t>
  </si>
  <si>
    <t>1SDA060556R1</t>
  </si>
  <si>
    <t>T7S1250-1250A-4P-PR231 P-LS/I</t>
  </si>
  <si>
    <t>1SDA062874R1</t>
  </si>
  <si>
    <t>T7S1250(M)-1250A-4P-PR231 P-LS/I</t>
  </si>
  <si>
    <t>1SDA062890R1</t>
  </si>
  <si>
    <t>T7S1250-1250A-3P-PR232/P-LSI</t>
  </si>
  <si>
    <t>1SDA062867R1</t>
  </si>
  <si>
    <t>FC-CuAl_T4_4t</t>
  </si>
  <si>
    <t>1SDA064550R1</t>
  </si>
  <si>
    <t>FC-CuAl_T5_4t</t>
  </si>
  <si>
    <t>FC-CuAl_T6_4t</t>
  </si>
  <si>
    <t>1SDA023394R1</t>
  </si>
  <si>
    <t>FC-CuAl_T7_4t</t>
  </si>
  <si>
    <t>1SDA063113R1</t>
  </si>
  <si>
    <t>Relé de apertura (YO) - T4-T5-T6 - SOR versión no cableada - 220-240V AC/DC - marca ABB.</t>
  </si>
  <si>
    <t>Mando motor (MOE) - T4-T5 - 220-250V AC/DC - (YM+YO+YC) - marca ABB.</t>
  </si>
  <si>
    <t>Mando motor (MOE) - T6 - 220-250V AC/DC - (YM+YO+YC) - marca ABB.</t>
  </si>
  <si>
    <t>Motor-reductor (YM) para la carga automática de los resortes - T7(M) - 220-250V AC/DC - marca ABB.</t>
  </si>
  <si>
    <t>Relé de apertura (YO) - T7 / T7(M) - SOR versión no cableada - 220-240V AC/DC - marca ABB.</t>
  </si>
  <si>
    <t>Relé de cierre (YC) - T7(M) - SCR versión no cableada - 220-240V AC/DC - marca ABB.</t>
  </si>
  <si>
    <t>1(Q) contacto conmutado NA/NC + 1(SY) contacto por disparo de interruptor - T4-T5-T6 - version no cableada - marca ABB.</t>
  </si>
  <si>
    <t>3(Q) contactos conmutado NA/NC + 1(SY) contacto por disparo de interruptor - T4-T5-T6 - version no cableada - marca ABB.</t>
  </si>
  <si>
    <t>1(Q) contactos conmutado NA/NC + 1(SY) contacto por disparo de interruptor - T7 - version no cableada - marca ABB.</t>
  </si>
  <si>
    <t>2(Q) contactos conmutado NA/NC - T7 / T7(M) - version no cableada - marca ABB.</t>
  </si>
  <si>
    <t>1(S51) contacto por actuacion del relé - T4-T5 - relé electrónico (SA) - marca ABB.</t>
  </si>
  <si>
    <t>1(S51) contacto por actuacion del relé - T6 - relé electrónico (SA) - marca ABB.</t>
  </si>
  <si>
    <t>1(S51) contacto por actuacion del relé - T7 - relé electrónico (SA) - marca ABB.</t>
  </si>
  <si>
    <t>1(S51) contacto por actuacion del relé - T7(M) - relé electrónico (SA) - marca ABB.</t>
  </si>
  <si>
    <t>MIR-HB T4..T5 - Grupo armazón para enclavamiento horizontal - marca ABB.</t>
  </si>
  <si>
    <t>MIR-VB T4..T5 - Grupo armazón para enclavamiento vertical - marca ABB.</t>
  </si>
  <si>
    <t>MIR-P tipo A - Placa para enclavamiento  T4 (F-P-W) + T4 (F-P-W) - marca ABB.</t>
  </si>
  <si>
    <t>MIR-P tipo B - Placa para enclavamiento T4 (F-P-W) + T5-400 (F-P-W) / T5-630(F) - marca ABB.</t>
  </si>
  <si>
    <t>MIR-P tipo C - Placa para enclavamiento T4 (F-P-W) + T5-630 (P-W) - marca ABB.</t>
  </si>
  <si>
    <t>MIR-P tipo D - Placa para enclavamiento T5-400 (F-P-W) / T5-630 (F) + T5-400 (F-P-W) / T5-630 (F) - marca ABB.</t>
  </si>
  <si>
    <t>MIR-P tipo E - Placa para enclavamiento T5-400 (F-P-W) / T5-630 (F) + T5-630 (P-W) - marca ABB.</t>
  </si>
  <si>
    <t>MIR-P tipo F - Placa para enclavamiento T5-630 (P-W) / T5-630 (P-W) - marca ABB.</t>
  </si>
  <si>
    <t>MIR-HB_T6 - Placa para enclavamiento horizontal - interruptores T6 - marca ABB.</t>
  </si>
  <si>
    <t>MIR-VB_T6 - Placa para enclavamiento vertical - interruptores T6 - marca ABB.</t>
  </si>
  <si>
    <t>MIR_T7</t>
  </si>
  <si>
    <t>MIR_T7 - Placa para enclavamiento - interruptor T7 - marca ABB.</t>
  </si>
  <si>
    <t>1SDA062129R1</t>
  </si>
  <si>
    <t>KIT-CAB_T7</t>
  </si>
  <si>
    <t>Kit de cables para enclavamiento - interruptores T7 - marca ABB.</t>
  </si>
  <si>
    <t>1SDA062127R1</t>
  </si>
  <si>
    <t>E2.2N-2000A-4P-Ekip Touch LSI</t>
  </si>
  <si>
    <t>ITM Bastidor Abierto 4x2000A (electrónico [0.4-1.0] In) - E2.2N-2000A-4P-Ekip Touch LSI - 66kA@440Vac - marca ABB.</t>
  </si>
  <si>
    <t>1SDA071665R1</t>
  </si>
  <si>
    <t>E2.2N-2000A-4P-Ekip Touch LSIG</t>
  </si>
  <si>
    <t>ITM Bastidor Abierto 4x2000A (electrónico [0.4-1.0] In) - E2.2N-2000A-4P-Ekip Touch LSIG - 66kA@440Vac - marca ABB.</t>
  </si>
  <si>
    <t>1SDA071666R1</t>
  </si>
  <si>
    <t>E2.2N-2500A-4P-Ekip Touch LSI</t>
  </si>
  <si>
    <t>ITM Bastidor Abierto 4x2500A (electrónico [0.4-1.0] In) - E2.2N-2500A-4P-Ekip Touch LSI - 66kA@440Vac - marca ABB.</t>
  </si>
  <si>
    <t>1SDA071695R1</t>
  </si>
  <si>
    <t>E2.2N-2500A-4P-Ekip Touch LSIG</t>
  </si>
  <si>
    <t>ITM Bastidor Abierto 4x2500A (electrónico [0.4-1.0] In) - E2.2N-2500A-4P-Ekip Touch LSIG - 66kA@440Vac - marca ABB.</t>
  </si>
  <si>
    <t>1SDA071696R1</t>
  </si>
  <si>
    <t>E2.2N-2500A-4P-Ekip Hi-Touch LSIG</t>
  </si>
  <si>
    <t>ITM Bastidor Abierto 4x2500A (electrónico [0.4-1.0] In) - E2.2N-2500A-4P-Ekip Hi-touch LSIG (funciones avanzadas) - 66kA@440Vac - marca ABB.</t>
  </si>
  <si>
    <t>1SDA071699R1</t>
  </si>
  <si>
    <t>1S51_E1.2</t>
  </si>
  <si>
    <t>1(S51) contacto por actuacion del relé - 250V - Emax E1.2.</t>
  </si>
  <si>
    <t>1SDA073776R1</t>
  </si>
  <si>
    <t>1SDA073778R1</t>
  </si>
  <si>
    <t>EKIP-MEAS_E1.2</t>
  </si>
  <si>
    <t>Módulo de medición "Ekip Measuring" - Emax E1.2 - marca ABB.</t>
  </si>
  <si>
    <t>1SDA074184R1</t>
  </si>
  <si>
    <t>EKIP-MEAS_E2.2</t>
  </si>
  <si>
    <t>Módulo de medición "Ekip Measuring" - Emax E2.2 - marca ABB.</t>
  </si>
  <si>
    <t>1SDA074185R1</t>
  </si>
  <si>
    <t>EKIP-MEAS_E4.2</t>
  </si>
  <si>
    <t>Módulo de medición "Ekip Measuring" - Emax E4.2 - marca ABB.</t>
  </si>
  <si>
    <t>1SDA074186R1</t>
  </si>
  <si>
    <t>EKIP-MEAS-PRO_E1.2</t>
  </si>
  <si>
    <t>Módulo de medición + protección "Ekip Measuring Pro" - Emax E1.2 - marca ABB.</t>
  </si>
  <si>
    <t>1SDA074187R1</t>
  </si>
  <si>
    <t>EKIP-MEAS-PRO_E2.2</t>
  </si>
  <si>
    <t>Módulo de medición + protección "Ekip Measuring Pro" - Emax E2.2 - marca ABB.</t>
  </si>
  <si>
    <t>1SDA074188R1</t>
  </si>
  <si>
    <t>EKIP-MEAS-PRO_E4.2</t>
  </si>
  <si>
    <t>Módulo de medición + protección "Ekip Measuring Pro" - Emax E4.2 - marca ABB.</t>
  </si>
  <si>
    <t>1SDA074189R1</t>
  </si>
  <si>
    <t>RATING-PLUG-RC_2000A</t>
  </si>
  <si>
    <t>RATING-PLUG-RC_3200A</t>
  </si>
  <si>
    <t>RATING-PLUG-RC_4000A</t>
  </si>
  <si>
    <t>TOROID-RC_E1.2-E2.2</t>
  </si>
  <si>
    <t>Toroide diferencial para Emax2 - Id = 3..30A - Emax E1.2 (3p/4p), E2.2 (3p) - marca ABB.</t>
  </si>
  <si>
    <t>1SDA073741R1</t>
  </si>
  <si>
    <t>TOROID-RC_E2.2-E4.2</t>
  </si>
  <si>
    <t>1SDA073742R1</t>
  </si>
  <si>
    <t>1SDA073881R1</t>
  </si>
  <si>
    <t>1SDA073885R1</t>
  </si>
  <si>
    <t>MEC_E2.2</t>
  </si>
  <si>
    <t>1SDA073889R1</t>
  </si>
  <si>
    <t>MEC_E4.2</t>
  </si>
  <si>
    <t>1SDA073890R1</t>
  </si>
  <si>
    <t>MEC_E6.2</t>
  </si>
  <si>
    <t>1SDA073891R1</t>
  </si>
  <si>
    <t>1SDA073893R1</t>
  </si>
  <si>
    <t>1SDA073895R1</t>
  </si>
  <si>
    <t>RCQ020_415V</t>
  </si>
  <si>
    <t>1SDA065980R1</t>
  </si>
  <si>
    <t>RCQ020_230V</t>
  </si>
  <si>
    <t>1SDA065979R1</t>
  </si>
  <si>
    <t>TR_D110mm</t>
  </si>
  <si>
    <t>Toroide diferencial para RCQ020 - núcleo cerrado, d=110 mm. - marca ABB.</t>
  </si>
  <si>
    <t>1SDA037395R1</t>
  </si>
  <si>
    <t>TR_D185mm</t>
  </si>
  <si>
    <t>Toroide diferencial para RCQ020 - núcleo cerrado, d=185 mm. - marca ABB.</t>
  </si>
  <si>
    <t>1SDA050543R1</t>
  </si>
  <si>
    <t>OTM_I-0-II_3p_80A</t>
  </si>
  <si>
    <t>1SCA120093R1001</t>
  </si>
  <si>
    <t>Transferencia - (2) ITM Caja Moldeada 3x80A + enclav. mecánico + mando elect. - XT1N-TMD-80A - 65kA@220V - ABB.</t>
  </si>
  <si>
    <t>Transferencia - (2) ITM Caja Moldeada 3x100A + enclav. mecánico + mando elect. - XT1N-TMD-100A - 65kA@220V - ABB.</t>
  </si>
  <si>
    <t>Transferencia - (2) ITM Caja Moldeada 3x125A + enclav. mecánico + mando elect. - XT1N-TMD-125A - 65kA@220V - ABB.</t>
  </si>
  <si>
    <t>Transferencia - (2) ITM Caja Moldeada 3x160A + enclav. mecánico + mando elect. - XT1N-TMD-160A - 65kA@220V - ABB.</t>
  </si>
  <si>
    <t>Transferencia - (2) ITM Caja Moldeada 3x200A + enclav. mecánico + mando elect. - XT3N-TMD-200A - 65kA@220V - ABB.</t>
  </si>
  <si>
    <t>Transferencia - (2) ITM Caja Moldeada 3x250A + enclav. mecánico + mando elect. - XT3N-TMD-250A - 65kA@220V - ABB.</t>
  </si>
  <si>
    <t>1SDA062882P1</t>
  </si>
  <si>
    <t>1SDA063010P1</t>
  </si>
  <si>
    <t>AF09-40-00-13_4p</t>
  </si>
  <si>
    <t>Contactor 4x09A(AC-3) / 4x25A(AC-1) - AF09-40-00-13 - bobina 100-250Vac/dc - marca ABB.</t>
  </si>
  <si>
    <t>1SBL137201R1300</t>
  </si>
  <si>
    <t>AF16-40-00-13_4p</t>
  </si>
  <si>
    <t>Contactor 4x18A(AC-3) / 4x30A(AC-1) - AF16-40-00-13 - bobina 100-250Vac/dc - marca ABB.</t>
  </si>
  <si>
    <t>1SBL177201R1300</t>
  </si>
  <si>
    <t>AF26-40-00-13_4p</t>
  </si>
  <si>
    <t>Contactor 4x22A(AC-3) / 4x45A(AC-1) - AF26-40-00-13 - bobina 100-250Vac/dc - marca ABB.</t>
  </si>
  <si>
    <t>1SBL237201R1300</t>
  </si>
  <si>
    <t>AF38-30-10-13_3p</t>
  </si>
  <si>
    <t>Contactor 3x38A(AC-3) / 3x50A(AC-1) +1NA - AF38-30-10-13 - bobina 100-250Vac/dc - marca ABB.</t>
  </si>
  <si>
    <t>1SBL297001P1310</t>
  </si>
  <si>
    <t>Contactor 4x22A(AC-3) / 4x55A(AC-1) - AF38-40-10-13 - bobina 100-250Vac/dc - marca ABB.</t>
  </si>
  <si>
    <t>1SBL297201R1300</t>
  </si>
  <si>
    <t>AF45-40-00-13_4p</t>
  </si>
  <si>
    <t>Contactor 4x37A(AC-3) / 4x70A(AC-1) - AF45-40-10-13 - bobina 100-250Vac/dc - marca ABB.</t>
  </si>
  <si>
    <t>1SBL337201R7000</t>
  </si>
  <si>
    <t>AF50-40-00-13_4p</t>
  </si>
  <si>
    <t>Contactor 4x50A(AC-3) / 4x100A(AC-1) - AF50-40-10-13 - bobina 100-250Vac/dc - marca ABB.</t>
  </si>
  <si>
    <t>1SBL357201R7000</t>
  </si>
  <si>
    <t>AF75-40-00-13_4p</t>
  </si>
  <si>
    <t>Contactor 4x75A(AC-3) / 4x125A(AC-1) - AF75-40-10-13 - bobina 100-250Vac/dc - marca ABB.</t>
  </si>
  <si>
    <t>1SBL417201R7000</t>
  </si>
  <si>
    <t>CA4-22M</t>
  </si>
  <si>
    <t>Contacto auxiliar frontal 2NA+2NC para contactor AF09..AF16-30-10, frontal - Modelo CA4-22M - marca ABB.</t>
  </si>
  <si>
    <t>SK1-11</t>
  </si>
  <si>
    <t>1SAM201903R1001</t>
  </si>
  <si>
    <t>Minicontactor de control +2NA +2NC - Modelo K6-22Z - bobina 220-240Vac - marca ABB.</t>
  </si>
  <si>
    <t>MINICONTACT_2NA+2NC_24V</t>
  </si>
  <si>
    <t>Minicontactor de control +2NA +2NC - Modelo K6-22Z - bobina 24Vac - marca ABB.</t>
  </si>
  <si>
    <t>GJH1211001R0221</t>
  </si>
  <si>
    <t>Minicontactor de control +4NA - Modelo K6-22Z - bobina 220-240Vac - marca ABB.</t>
  </si>
  <si>
    <t>1SFA619100R1041</t>
  </si>
  <si>
    <t>1SFA619100R1012</t>
  </si>
  <si>
    <t>Pulsador doble Start+Stop - color Verde+Rojo - contactos 1NA+1NC - MPD2-11C-K - línea modular - marca ABB.</t>
  </si>
  <si>
    <t>LED_ROJO_220V</t>
  </si>
  <si>
    <t>1SFA611621R1071</t>
  </si>
  <si>
    <t>LAMP_ROJO_220V</t>
  </si>
  <si>
    <t>LAMP_VERDE_220V</t>
  </si>
  <si>
    <t>LAMP_AM_220V</t>
  </si>
  <si>
    <t>LAMP_ROJO_120V</t>
  </si>
  <si>
    <t>LAMP_VERDE_120V</t>
  </si>
  <si>
    <t>LAMP_AM_120V</t>
  </si>
  <si>
    <t>Marca.</t>
  </si>
  <si>
    <t>2508.100</t>
  </si>
  <si>
    <t>2514.000</t>
  </si>
  <si>
    <t>DESCRIPCIÓN</t>
  </si>
  <si>
    <t>PANEL DE BARRAS - CAJA MOLD. (BZM1 / XT1 / A1)</t>
  </si>
  <si>
    <t>XTOB024CC1</t>
  </si>
  <si>
    <t>XTOB032CC1</t>
  </si>
  <si>
    <t>01</t>
  </si>
  <si>
    <t>PROYECTO:</t>
  </si>
  <si>
    <t>OFERTA ECONÓMICA</t>
  </si>
  <si>
    <t>+ I.G.V.:</t>
  </si>
  <si>
    <t>Barras princ (3F+N)</t>
  </si>
  <si>
    <t>TGE-1</t>
  </si>
  <si>
    <t>(1+G)*(1+U)</t>
  </si>
  <si>
    <t>OTM_I-0-II_4p_40A</t>
  </si>
  <si>
    <t>OTM_I-0-II_4p_63A</t>
  </si>
  <si>
    <t>OTM_I-0-II_4p_80A</t>
  </si>
  <si>
    <t>OTM_I-0-II_4p_100A</t>
  </si>
  <si>
    <t>OTM_I-0-II_4p_160A</t>
  </si>
  <si>
    <t>OTM_I-0-II_4p_250A</t>
  </si>
  <si>
    <t>OTM_I-0-II_4p_315A</t>
  </si>
  <si>
    <t>OTM_I-0-II_4p_400A</t>
  </si>
  <si>
    <t>1SCA120102R1001</t>
  </si>
  <si>
    <t>1SCA120101R1001</t>
  </si>
  <si>
    <t>1SCA120100R1001</t>
  </si>
  <si>
    <t>1SCA120098R1001</t>
  </si>
  <si>
    <t>1SCA022848R1510</t>
  </si>
  <si>
    <t>1SCA022846R1590</t>
  </si>
  <si>
    <t>1SCA022847R2870</t>
  </si>
  <si>
    <t>1SCA022847R3250</t>
  </si>
  <si>
    <t>OTM_I-0-II_4p_630A</t>
  </si>
  <si>
    <t>1SCA022873R1990</t>
  </si>
  <si>
    <t>Sistema de Transferencia Automática:</t>
  </si>
  <si>
    <t>1Q_OTM_40-125A</t>
  </si>
  <si>
    <t>1(Q) contacto conmutado de estado 1NA/NC para OTM40..125A - marca ABB.</t>
  </si>
  <si>
    <t>1Q_OTM_160-2500A</t>
  </si>
  <si>
    <t>1(Q) contacto conmutado de estado 1NA para OTM160..2500A - marca ABB.</t>
  </si>
  <si>
    <t>1SVR427032R0000</t>
  </si>
  <si>
    <t>TELERGON</t>
  </si>
  <si>
    <t>Magnum(MWN)-extraib_800A_4p_LSIA + enc</t>
  </si>
  <si>
    <t>ITM Bastidor Abierto 4x800A ([0.4-1.0] In) extraíble - Magnum(MWN)_800A_4p_LSIA - 50kA@480Vac, Uc=120Vac, moto-operado + enc. mec.</t>
  </si>
  <si>
    <t>Magnum(MWN)-extraib_2000A_3p_LSIA + enc</t>
  </si>
  <si>
    <t>ITM Bastidor Abierto 3x2000A ([0.4-1.0] In) extraíble - Magnum(MWN)_2000A_3p_LSIA - 50kA@480Vac, Uc=120Vac, moto-operado + enc. mec.</t>
  </si>
  <si>
    <t>Magnum(MWN)-extraib_1250A_3p_LSIA + enc</t>
  </si>
  <si>
    <t>ITM Bastidor Abierto 3x1250A([0.4-1.0] In) extraíble - Magnum(MWN)_1250A_3p_LSIA - 50kA@480Vac, Uc=120Vac, moto-operado + enc. mec.</t>
  </si>
  <si>
    <t>KIT-TRANSF_Magnum_800A</t>
  </si>
  <si>
    <t>KIT-TRANSF_Magnum_1250/2000A</t>
  </si>
  <si>
    <t>GES7160AFM</t>
  </si>
  <si>
    <t>GES7125AFM</t>
  </si>
  <si>
    <t>GES7100AFM</t>
  </si>
  <si>
    <t>GES7080AFM</t>
  </si>
  <si>
    <t>GES7063AFM</t>
  </si>
  <si>
    <t>GES7050AFM</t>
  </si>
  <si>
    <t>GES7040AFM</t>
  </si>
  <si>
    <t>GES7032AFM</t>
  </si>
  <si>
    <t>GES7020AFM</t>
  </si>
  <si>
    <t>Jgo. de 4 terminales hasta 125A - modelo GES.</t>
  </si>
  <si>
    <t>TunT_GES_4t_160A</t>
  </si>
  <si>
    <t>ICCGSA - AUTOSOPORTADOS</t>
  </si>
  <si>
    <t>AUDAX</t>
  </si>
  <si>
    <t>CVM-B100-ETHERNET</t>
  </si>
  <si>
    <t>CVM-B100-PROFIBUS</t>
  </si>
  <si>
    <t>GJS4200AAM</t>
  </si>
  <si>
    <t>GLS4400AAM</t>
  </si>
  <si>
    <t>IT</t>
  </si>
  <si>
    <t>020-TDF-012</t>
  </si>
  <si>
    <t>COMAP</t>
  </si>
  <si>
    <t>CCF06303PSO</t>
  </si>
  <si>
    <t>CCF04003PSO</t>
  </si>
  <si>
    <t>UM-C15230Z</t>
  </si>
  <si>
    <t>IA-NT PWR</t>
  </si>
  <si>
    <t>UM-C21230Z</t>
  </si>
  <si>
    <t>InteliATS</t>
  </si>
  <si>
    <t>CVM-C10</t>
  </si>
  <si>
    <t>CVM-B100</t>
  </si>
  <si>
    <t>CONMUTADOR 1-0-2, LTH 400A, 3 POLOS - modelo CCF04003PSO, marca TELERGON</t>
  </si>
  <si>
    <t>CONMUTADOR 1-0-2, LTH 630A, 3 POLOS - modelo CCF06303PSO, marca TELERGON</t>
  </si>
  <si>
    <t>MANDO MOTORIZADO P/CONMUTADOR DE 315-400A - modelo UM-C15230Z, marca TELERGON</t>
  </si>
  <si>
    <t>MANDO MOTORIZADO P/CONMUTADOR DE 500-630A - modelo UM-C21230Z, marca TELERGON</t>
  </si>
  <si>
    <t>CONTROLADOR DE TRANSFERENCIA AUTOMATICA - modelo INTELIATS, marca COMAP</t>
  </si>
  <si>
    <t>Medidor multifunción + Analizador de Redes - Modelo: CVM-B100 - presición 0.2% - RS485, Modbus RTU / BACnet - marca Circuitor.</t>
  </si>
  <si>
    <t>3VA2225-5HL32-0AA0</t>
  </si>
  <si>
    <t>3VA9267-0HA20</t>
  </si>
  <si>
    <t>REACT_20kVAR/230V_p14</t>
  </si>
  <si>
    <t>COND_20kVAR/230V_p14</t>
  </si>
  <si>
    <t>Magnum(MWS)-extraib_2500A_3p_LSIA</t>
  </si>
  <si>
    <t>BoxT_GES_4t</t>
  </si>
  <si>
    <t>Jgo. de 4 terminales 160A - modelo GES.</t>
  </si>
  <si>
    <t>DILM9-10_120V</t>
  </si>
  <si>
    <t>DILM7-10_120V</t>
  </si>
  <si>
    <t>DILM12-10_120V</t>
  </si>
  <si>
    <t>DILM15-10_120V</t>
  </si>
  <si>
    <t>DILM17-10_120V</t>
  </si>
  <si>
    <t>DILM25-10_120V</t>
  </si>
  <si>
    <t>DILM32-10_120V</t>
  </si>
  <si>
    <t>Supresor varistor para contactor magnético DILM7..12, 130 – 240Vac, modelo XT.</t>
  </si>
  <si>
    <t>GRASSLIN</t>
  </si>
  <si>
    <t>Transformador de tensión monofásico 220 / 120 Vac - 100VA.</t>
  </si>
  <si>
    <t>Transformador de tensión monofásico 380 / 24 Vac - 100VA.</t>
  </si>
  <si>
    <t>Transformador de tensión monofásico 380 / 220 Vac - 250VA.</t>
  </si>
  <si>
    <t>Transformador de tensión monofásico 380 / 220 Vac - 100VA.</t>
  </si>
  <si>
    <t>Transformador de tensión monofásico 460 / 220 Vac - 100VA.</t>
  </si>
  <si>
    <t>Transformador de tensión monofásico 460 / 220 Vac - 50VA.</t>
  </si>
  <si>
    <t>Transformador de tensión monofásico 460 / 120 Vac - 100VA.</t>
  </si>
  <si>
    <t>Transformador de tensión monofásico 460 / 120 Vac - 50VA.</t>
  </si>
  <si>
    <t>020-TGDFyA-001</t>
  </si>
  <si>
    <t>GLS4320AAM</t>
  </si>
  <si>
    <t>020-TDF-020 EMERGENCIA</t>
  </si>
  <si>
    <t>Transformador de tensión monofásico 380 / 120 Vac - 100VA.</t>
  </si>
  <si>
    <t>GJS4250AAM</t>
  </si>
  <si>
    <t>BoxT_GES_2t</t>
  </si>
  <si>
    <t>Jgo. de 2 terminales hasta 125A - modelo GES.</t>
  </si>
  <si>
    <t>Jgo. de 2 terminales 160A - modelo GES.</t>
  </si>
  <si>
    <t>TunT_GES_2t_160A</t>
  </si>
  <si>
    <t>GES2125FFG</t>
  </si>
  <si>
    <t>GES2100FFG</t>
  </si>
  <si>
    <t>GES2050FFG</t>
  </si>
  <si>
    <t>Magnum(MWS)-extraib_2500A_4p_LSIA</t>
  </si>
  <si>
    <t>ITM Bastidor Abierto 3x2500A ([0.4-1.0] In) extraíble - Magnum(MWS)_2500A_3p_LSIA - 65kA@480Vac.</t>
  </si>
  <si>
    <t>ITM Bastidor Abierto 4x2500A ([0.4-1.0] In) extraíble - Magnum(MWS)_2500A_4p_LSIA - 65kA@480Vac.</t>
  </si>
  <si>
    <t>Magnum(MWS)-extraib_3200A_3p_LSIA</t>
  </si>
  <si>
    <t>ITM Bastidor Abierto 3x3200A ([0.4-1.0] In) extraíble - Magnum(MWS)_3200A_3p_LSIA - 65kA@480Vac.</t>
  </si>
  <si>
    <t>GES7025AFM</t>
  </si>
  <si>
    <t>BZMB1-2-A16-BT-AP</t>
  </si>
  <si>
    <t>PARA SELECTIVIDAD:</t>
  </si>
  <si>
    <t>T6S1000-1000A-3P-PR222DS/P-LSI</t>
  </si>
  <si>
    <t>ITM Caja Moldeada 3x1000A (electrónico [0.4-1.0] In) - T6S1000-1000A-3P-PR222DS/P-LSI - 85kA@230V, 50kA@415V - marca ABB.</t>
  </si>
  <si>
    <t>1SDA060552R1</t>
  </si>
  <si>
    <t>T7H1600-1600A-3P-PR232/P-LSI</t>
  </si>
  <si>
    <t>1SDA063027R1</t>
  </si>
  <si>
    <t>T6H800-800A-3P-PR222DS/P-LSI</t>
  </si>
  <si>
    <t>1SDA060291R1</t>
  </si>
  <si>
    <t>T6H1000-1000A-3P-PR222DS/P-LSI</t>
  </si>
  <si>
    <t>1SDA060563R1</t>
  </si>
  <si>
    <t>XT2H160-160A-3P-TMA</t>
  </si>
  <si>
    <t>1SDA067604R1</t>
  </si>
  <si>
    <t>XT2H160-63A-3P-TMA</t>
  </si>
  <si>
    <t>1SDA067600R1</t>
  </si>
  <si>
    <t>XT2H160-40A-3P-TMA</t>
  </si>
  <si>
    <t>1SDA067598R1</t>
  </si>
  <si>
    <t>1SDA063043R1</t>
  </si>
  <si>
    <t>T7H1600(M)-1600A-3P-PR232/P-LSI</t>
  </si>
  <si>
    <t>XT2H160-40A-4P-TMA</t>
  </si>
  <si>
    <t>1SDA067619R1</t>
  </si>
  <si>
    <t>A1N/P125-80A-2P-TMF</t>
  </si>
  <si>
    <t>1SDA069561R1</t>
  </si>
  <si>
    <t>A1N/P125-90A-2P-TMF</t>
  </si>
  <si>
    <t>1SDA069562R1</t>
  </si>
  <si>
    <t>A1N/P125-100A-2P-TMF</t>
  </si>
  <si>
    <t>1SDA069563R1</t>
  </si>
  <si>
    <t>XT2H160-125A-3P-TMA</t>
  </si>
  <si>
    <t>1SDA067603R1</t>
  </si>
  <si>
    <t>1SDA067602R1</t>
  </si>
  <si>
    <t>XT2H160-100A-3P-TMA</t>
  </si>
  <si>
    <t>XT2H160-80A-3P-TMA</t>
  </si>
  <si>
    <t>1SDA067601R1</t>
  </si>
  <si>
    <t>XT2H160-50A-3P-TMA</t>
  </si>
  <si>
    <t>1SDA067597R1</t>
  </si>
  <si>
    <t>1SDA067596R1</t>
  </si>
  <si>
    <t>1SDA067595R1</t>
  </si>
  <si>
    <t>1SDA067594R1</t>
  </si>
  <si>
    <t>1SDA067599R1</t>
  </si>
  <si>
    <t>1SCA022353R4970</t>
  </si>
  <si>
    <t>1SCA022379R8100</t>
  </si>
  <si>
    <t>TERASAKI</t>
  </si>
  <si>
    <t>EPC06101</t>
  </si>
  <si>
    <t>EPC06161</t>
  </si>
  <si>
    <t>EPC06201</t>
  </si>
  <si>
    <t>EPC06251</t>
  </si>
  <si>
    <t>EPC06321</t>
  </si>
  <si>
    <t>EPC06401</t>
  </si>
  <si>
    <t>EPC06501</t>
  </si>
  <si>
    <t>EPC06631</t>
  </si>
  <si>
    <t>EPC06102</t>
  </si>
  <si>
    <t>EPC06162</t>
  </si>
  <si>
    <t>EPC06202</t>
  </si>
  <si>
    <t>EPC06252</t>
  </si>
  <si>
    <t>EPC06322</t>
  </si>
  <si>
    <t>EPC06402</t>
  </si>
  <si>
    <t>EPC06502</t>
  </si>
  <si>
    <t>EPC06632</t>
  </si>
  <si>
    <t>EPC06103</t>
  </si>
  <si>
    <t>EPC06163</t>
  </si>
  <si>
    <t>EPC06203</t>
  </si>
  <si>
    <t>EPC06253</t>
  </si>
  <si>
    <t>EPC06323</t>
  </si>
  <si>
    <t>EPC06403</t>
  </si>
  <si>
    <t>EPC06503</t>
  </si>
  <si>
    <t>EPC06633</t>
  </si>
  <si>
    <t>EPC06104</t>
  </si>
  <si>
    <t>EPC06164</t>
  </si>
  <si>
    <t>EPC06204</t>
  </si>
  <si>
    <t>EPC06254</t>
  </si>
  <si>
    <t>EPC06324</t>
  </si>
  <si>
    <t>EPC06404</t>
  </si>
  <si>
    <t>EPC06504</t>
  </si>
  <si>
    <t>EPC06634</t>
  </si>
  <si>
    <t>SGR2025030AC</t>
  </si>
  <si>
    <t>SGR2040030AC</t>
  </si>
  <si>
    <t>SGR2063030AC</t>
  </si>
  <si>
    <t>SGR4025030AC</t>
  </si>
  <si>
    <t>SGR4040030AC</t>
  </si>
  <si>
    <t>SGR4063030AC</t>
  </si>
  <si>
    <t>SGR2025030A</t>
  </si>
  <si>
    <t>SGR2040030A</t>
  </si>
  <si>
    <t>SGR2063030A</t>
  </si>
  <si>
    <t>SGR4025030A</t>
  </si>
  <si>
    <t>SGR4040030A</t>
  </si>
  <si>
    <t>SGR4063030A</t>
  </si>
  <si>
    <t>Panel de barras de cobre:</t>
  </si>
  <si>
    <t>1SDA067017R1</t>
  </si>
  <si>
    <t>OTM_I-0-II_4p_1000A</t>
  </si>
  <si>
    <t>1SCA112703R1001</t>
  </si>
  <si>
    <t>XT2H160-16A-3P-TMD</t>
  </si>
  <si>
    <t>XT2H160-20A-3P-TMD</t>
  </si>
  <si>
    <t>XT2H160-25A-3P-TMD</t>
  </si>
  <si>
    <t>XT2H160-32A-3P-TMD</t>
  </si>
  <si>
    <t>Interruptor principal:</t>
  </si>
  <si>
    <t>PANEL DE BARRAS - CAJA MOLD. (BZM2 / LZM2 / XT4 / A2)</t>
  </si>
  <si>
    <t>PANEL DE BARRAS - Riel-Din/BR/QC/BAB - ENTRADA TRIFÁSICA</t>
  </si>
  <si>
    <t>PANEL DE BARRAS - Riel-Din/BR/QC/BAB - ENTRADA MONOFÁSICA (2p)</t>
  </si>
  <si>
    <t>02.</t>
  </si>
  <si>
    <t>ST SP240-P</t>
  </si>
  <si>
    <t>RM OT210-1P2</t>
  </si>
  <si>
    <t>RM ST60 3N2</t>
  </si>
  <si>
    <t>RM ST60 3Y2</t>
  </si>
  <si>
    <t>RM ST120 3N2</t>
  </si>
  <si>
    <t>RM ST120 3Y2</t>
  </si>
  <si>
    <t>LA ST180 3N2</t>
  </si>
  <si>
    <t>LA ST180 3Y2</t>
  </si>
  <si>
    <t>HFD3015L</t>
  </si>
  <si>
    <t>HFD3020L</t>
  </si>
  <si>
    <t>HFD3030L</t>
  </si>
  <si>
    <t>HFD3040L</t>
  </si>
  <si>
    <t>HFD3050L</t>
  </si>
  <si>
    <t>HFD3060L</t>
  </si>
  <si>
    <t>HFD3070L</t>
  </si>
  <si>
    <t>HFD3080L</t>
  </si>
  <si>
    <t>HFD3100L</t>
  </si>
  <si>
    <t>HFD3125L</t>
  </si>
  <si>
    <t>SINE TAMMER</t>
  </si>
  <si>
    <t>--------------------------------------------------------------------</t>
  </si>
  <si>
    <t>PW9130i3000T-XL</t>
  </si>
  <si>
    <t>BBAT8GP09</t>
  </si>
  <si>
    <t>BANCO DE BATERÍAS PARA UPS 8 BAT X 9AH - CONFIGURABLE - 48V / 96V PARA AUTONOMÍA 20MIN.</t>
  </si>
  <si>
    <t>IEDA POWER</t>
  </si>
  <si>
    <t>NZM2-XMVR - Bloqueo mecánico para enclavamiento manual entre dos interruptores LZM2.</t>
  </si>
  <si>
    <t>NZM3-XMVR - Bloqueo mecánico para enclavamiento manual entre dos interruptores LZM3.</t>
  </si>
  <si>
    <t>NZM4-XMVR - Bloqueo mecánico para enclavamiento manual entre dos interruptores LZM4.</t>
  </si>
  <si>
    <t>TS8_2000x600x600mm</t>
  </si>
  <si>
    <t>TS8_2000x800x600mm</t>
  </si>
  <si>
    <t>TS8_TapLat_600mm</t>
  </si>
  <si>
    <t>Tapas latelares p/ TS 8, atornillables, chapa de acero, NEMA 12 / IP55, RAL 7035 - 600mm. (2 pzas.) - Ref.: 8106.235 - marca RITTAL.</t>
  </si>
  <si>
    <t>TS8_ZocFront+Post_600mm</t>
  </si>
  <si>
    <t>Zócalos frontal y porterior p/ TS 8, chapa de acero - 600mm. (2 juegos) - Ref.: 8601.600 - marca RITTAL.</t>
  </si>
  <si>
    <t>TS8_ZocFront+Post_800mm</t>
  </si>
  <si>
    <t>Zócalos frontal y porterior p/ TS 8, chapa de acero - 800mm. (2 juegos) - Ref.: 8601.800 - marca RITTAL.</t>
  </si>
  <si>
    <t>TS8_ZocLat_600mm</t>
  </si>
  <si>
    <t>Zócalos laterales p/ TS 8, chapa de acero - 600mm. (2 juegos) - Ref.: 8601.060 - marca RITTAL.</t>
  </si>
  <si>
    <t>TS8_PortEsq</t>
  </si>
  <si>
    <t>Portaplanos de plástico DIN A4 autoadhesivo p/ TS 8, RAL 7035 - Ref.: 2514.000 - marca RITTAL.</t>
  </si>
  <si>
    <t>TS8_Cancamos</t>
  </si>
  <si>
    <t>Cáncamos combinados p/ TS 8, chapa de acero galvanizada (4 pzas.) - Ref.: 4540.000 - marca RITTAL.</t>
  </si>
  <si>
    <t>TS8_2000x800x800mm</t>
  </si>
  <si>
    <t>TS8_2000x1200x800mm</t>
  </si>
  <si>
    <t>TS8_TapLat_800mm</t>
  </si>
  <si>
    <t>Tapas latelares p/ TS 8, atornillables, chapa de acero, NEMA 12 / IP55, RAL 7035 - 800mm. (2 pzas.) - Ref.: 8108.235 - marca RITTAL.</t>
  </si>
  <si>
    <t>Zócalos frontal y porterior p/ TS 8, chapa de acero - 800mm. (2 juegos) - Ref.: '8601.800 - marca RITTAL.</t>
  </si>
  <si>
    <t>TS8_ZocFront+Post_1200mm</t>
  </si>
  <si>
    <t>Zócalos frontal y porterior p/ TS 8, chapa de acero - 1200mm. (2 juegos) - Ref.: 8601.200 - marca RITTAL.</t>
  </si>
  <si>
    <t>TS8_ZocLat_800mm</t>
  </si>
  <si>
    <t>Zócalos laterales p/ TS 8, chapa de acero - 800mm. (2 juegos) - Ref.: 8601.080 - marca RITTAL.</t>
  </si>
  <si>
    <t>AF38-40-00-13_4p</t>
  </si>
  <si>
    <t>CA4-10</t>
  </si>
  <si>
    <t>1SBN010110R1010</t>
  </si>
  <si>
    <t>CA4-01</t>
  </si>
  <si>
    <t>1SBN010110R1001</t>
  </si>
  <si>
    <t>CONTACTOR 4 POLOS</t>
  </si>
  <si>
    <t>AF26-30-00-13_3p</t>
  </si>
  <si>
    <t>1SBL237001R1300</t>
  </si>
  <si>
    <t>AF26-30-11-13_3p</t>
  </si>
  <si>
    <t>1SBL237001R1311</t>
  </si>
  <si>
    <t>AF30-30-00-13_3p</t>
  </si>
  <si>
    <t>1SBL277001R1300</t>
  </si>
  <si>
    <t>AF30-30-11-13_3p</t>
  </si>
  <si>
    <t>Contactor 3x26A(AC-3) / 3x45A(AC-1) - AF26-30-00-13 - bobina 100-250Vac/dc - marca ABB.</t>
  </si>
  <si>
    <t>Contactor 3x26A(AC-3) / 3x45A(AC-1) +1NA +1NC frontales - AF26-30-11-13 - bobina 100-250Vac/dc - marca ABB.</t>
  </si>
  <si>
    <t>Contactor 3x32A(AC-3) / 3x50A(AC-1) +1NA - AF30-30-00-13 - bobina 100-250Vac/dc - marca ABB.</t>
  </si>
  <si>
    <t>Contactor 3x32A(AC-3) / 3x50A(AC-1) +1NA +1NC frontales - AF30-30-11-13 - bobina 100-250Vac/dc - marca ABB.</t>
  </si>
  <si>
    <t>1SBL277001R1311</t>
  </si>
  <si>
    <t>UVD_Emax2_220V</t>
  </si>
  <si>
    <t>Retardador electrónico para rele de minima tension (UVD) - Emax2 - 220-240V AC/DC.</t>
  </si>
  <si>
    <t>1SDA038320R1</t>
  </si>
  <si>
    <t>1SDA073199R1</t>
  </si>
  <si>
    <t>1SDA073069R1</t>
  </si>
  <si>
    <t>1SDA073065R1</t>
  </si>
  <si>
    <t>E2.2H-2500A-4P-Ekip Touch LSI_ext</t>
  </si>
  <si>
    <t>E2.2H-2500A-4P-Ekip Hi-Touch LSIG_ext</t>
  </si>
  <si>
    <t>E4.2H-4000A-4P-Ekip Hi-Touch LSIG_ext</t>
  </si>
  <si>
    <t>ITM Bastidor Abierto 4x2500A (Ith= [0.4-1.0] In) extraíble - E2.2H-2500A-3P-Ekip Touch LSI  - 100kA@440Vac - marca ABB.</t>
  </si>
  <si>
    <t>ITM Bastidor Abierto 4x2500A (Ith= [0.4-1.0] In) extraíble - E2.2H-2500A-3P-Ekip Hi-touch LSIG (funciones avanzadas) - 100kA@440Vac - marca ABB.</t>
  </si>
  <si>
    <t>ITM Bastidor Abierto 4x4000A (Ith= [0.4-1.0] In) extraíble - E4.2H-4000A-3P-Ekip Hi-touch LSIG (funciones avanzadas) - 100kA@440Vac - marca ABB.</t>
  </si>
  <si>
    <t>1S51_E2.2-E6.2</t>
  </si>
  <si>
    <t>AUP_E2.2-E6.2</t>
  </si>
  <si>
    <t>1(S51) contacto por actuacion del relé - 250V - Emax E2.2..E6.2.</t>
  </si>
  <si>
    <t>1SDA073764R1</t>
  </si>
  <si>
    <t>5(AUP) contactos de posición insertado/extraído - 250V - Emax E2...E6.2.</t>
  </si>
  <si>
    <t>RTC_E2.2-E6.2</t>
  </si>
  <si>
    <t>1(RTC) contacto de señalización "listo para cerrar" - 250V - Emax E2...E6.2.</t>
  </si>
  <si>
    <t>1SDA073773R1</t>
  </si>
  <si>
    <t>KIT-CAB_E1.2-E6.2_A/HB</t>
  </si>
  <si>
    <t>KIT-CAB_E1.2-E6.2_A/VB</t>
  </si>
  <si>
    <t>GRUPO 1</t>
  </si>
  <si>
    <t>GRUPO 2</t>
  </si>
  <si>
    <t>GRUPO 3</t>
  </si>
  <si>
    <t>Mecanismo de enclavamiento de interruptor -  Emax E2.2 (3p/4p) - marca ABB.</t>
  </si>
  <si>
    <t>Mecanismo de enclavamiento de interruptor -  Emax E4.2 (3p/4p)  - marca ABB.</t>
  </si>
  <si>
    <t>Mecanismo de enclavamiento de interruptor -  Emax E6.2 (3p)  - marca ABB.</t>
  </si>
  <si>
    <t>Kit de cables para enclavamiento horizontal, enclavamiento tipo A - interruptores Emax E1.2-E6.2 - marca ABB.</t>
  </si>
  <si>
    <t>Kit de cables para enclavamiento vertical, enclavamiento tipo A - interruptores Emax E1.2-E6.2 - marca ABB.</t>
  </si>
  <si>
    <t>Soporte para enclavamiento de interruptor fijo - enclavamiento tipo A -  Emax E1.2 - marca ABB.</t>
  </si>
  <si>
    <t>KIT-CAB_E2.2-E6.2_C/HB</t>
  </si>
  <si>
    <t>1SDA073882R1</t>
  </si>
  <si>
    <t>KIT-CAB_E2.2-E6.2_C/VB</t>
  </si>
  <si>
    <t>Kit de cables para enclavamiento vertical, enclavamiento tipo B, C, D - interruptores Emax E2.2-E6.2 - marca ABB.</t>
  </si>
  <si>
    <t>Kit de cables para enclavamiento horizontal, enclavamiento tipo B, C, D - interruptores Emax E2.2-E6.2 - marca ABB.</t>
  </si>
  <si>
    <t>1SDA073886R1</t>
  </si>
  <si>
    <t>GRUPO 4</t>
  </si>
  <si>
    <t>SOP_fijo_E1.2_A</t>
  </si>
  <si>
    <t>1SDA073897R1</t>
  </si>
  <si>
    <t>SOP_ext_E1.2_A</t>
  </si>
  <si>
    <t>Soporte para enclavamiento de interruptor extraíble - enclavamiento tipo A -  Emax E1.2 - marca ABB.</t>
  </si>
  <si>
    <t>1SDA073896R1</t>
  </si>
  <si>
    <t>SOP_E2.2..E6.2_A</t>
  </si>
  <si>
    <t>SOP_E2.2..E6.2_C</t>
  </si>
  <si>
    <t>Soporte para enclavamiento de interruptor fijo/extraíble - enclavamiento tipo A, B, D -  Emax E2.2..E6.2 - marca ABB.</t>
  </si>
  <si>
    <t>Soporte para enclavamiento de interruptor fijo/extraíble - enclavamiento tipo C -  Emax E2.2..E6.2 - marca ABB.</t>
  </si>
  <si>
    <t>1SDA067804R1</t>
  </si>
  <si>
    <t>XT2S160-160A-3P-Ekip LS/I</t>
  </si>
  <si>
    <t>XT2H160-63A-4P-Ekip LS/I</t>
  </si>
  <si>
    <t>XT2H160-100A-4P-Ekip LS/I</t>
  </si>
  <si>
    <t>XT2H160-160A-4P-Ekip LS/I</t>
  </si>
  <si>
    <t>1SDA067892R1</t>
  </si>
  <si>
    <t>1SDA067893R1</t>
  </si>
  <si>
    <t>1SDA067895R1</t>
  </si>
  <si>
    <t>1SDA067620R1</t>
  </si>
  <si>
    <t>1SDA067618R1</t>
  </si>
  <si>
    <t>1SDA067621R1</t>
  </si>
  <si>
    <t>1SDA067622R1</t>
  </si>
  <si>
    <t>1SDA067623R1</t>
  </si>
  <si>
    <t>1SDA067626R1</t>
  </si>
  <si>
    <t>1SDA067627R1</t>
  </si>
  <si>
    <t>XT2H160-50A-4P-TMA</t>
  </si>
  <si>
    <t>XT2H160-63A-4P-TMA</t>
  </si>
  <si>
    <t>XT2H160-80A-4P-TMA</t>
  </si>
  <si>
    <t>XT2H160-100A-4P-TMA</t>
  </si>
  <si>
    <t>XT2H160-125A-4P-TMA</t>
  </si>
  <si>
    <t>XT2H160-160A-4P-TMA</t>
  </si>
  <si>
    <t>E2.2-2500A-4P_ext(FP)</t>
  </si>
  <si>
    <t>Parte fija de interruptor extraíble - Frame E2.2 N/S/H 4x2500A - marca ABB.</t>
  </si>
  <si>
    <t>1SDA073912R1</t>
  </si>
  <si>
    <t>E4.2-4000A-4P_ext(FP)</t>
  </si>
  <si>
    <t>1SDA073916R1</t>
  </si>
  <si>
    <t>Parte fija de interruptor extraíble - Frame E4.2 N/S/H/V 4x4000A - marca ABB.</t>
  </si>
  <si>
    <t>1SDA067092R1</t>
  </si>
  <si>
    <t>1SDA067095R1</t>
  </si>
  <si>
    <t>XT2N160-63A-4P-Ekip LS/I</t>
  </si>
  <si>
    <t>XT2N160-160A-4P-Ekip LS/I</t>
  </si>
  <si>
    <t>ITM Caja Moldeada 4x63A (electrónico [0.4-1.0] In) - XT2N160-63A-4P-Ekip LS/I - 65kA@230V, 36kA@415V - marca ABB.</t>
  </si>
  <si>
    <t>ITM Caja Moldeada 4x160A (electrónico [0.4-1.0] In) - XT2N160-160A-4P-Ekip LS/I - 65kA@230V, 36kA@415V - marca ABB.</t>
  </si>
  <si>
    <t>1SDA067042R1</t>
  </si>
  <si>
    <t>1SDA067043R1</t>
  </si>
  <si>
    <t>XT2N160-125A-4P-TMA</t>
  </si>
  <si>
    <t>XT2N160-160A-4P-TMA</t>
  </si>
  <si>
    <t>XT2S160-100A-4P-Ekip LS/I</t>
  </si>
  <si>
    <t>XT2S160-63A-4P-Ekip LS/I</t>
  </si>
  <si>
    <t>XT2S160-160A-4P-Ekip LS/I</t>
  </si>
  <si>
    <t>T7H1250(M)-1250A-3P-PR232/P-LSI</t>
  </si>
  <si>
    <t>1SDA062923R1</t>
  </si>
  <si>
    <t>1SDA067835R1</t>
  </si>
  <si>
    <t>1SDA067836R1</t>
  </si>
  <si>
    <t>1SDA067838R1</t>
  </si>
  <si>
    <t>XT4N160-100A-4P-Ekip LS/I</t>
  </si>
  <si>
    <t>XT4N160-160A-4P-Ekip LS/I</t>
  </si>
  <si>
    <t>XT4N250-250A-4P-Ekip LS/I</t>
  </si>
  <si>
    <t>XT4S160-100A-4P-Ekip LS/I</t>
  </si>
  <si>
    <t>XT4S160-160A-4P-Ekip LS/I</t>
  </si>
  <si>
    <t>XT4S250-250A-4P-Ekip LS/I</t>
  </si>
  <si>
    <t>XT4H160-100A-4P-Ekip LS/I</t>
  </si>
  <si>
    <t>XT4H160-160A-4P-Ekip LS/I</t>
  </si>
  <si>
    <t>XT4H250-250A-4P-Ekip LS/I</t>
  </si>
  <si>
    <t>1SDA068145R1</t>
  </si>
  <si>
    <t>1SDA068146R1</t>
  </si>
  <si>
    <t>1SDA068147R1</t>
  </si>
  <si>
    <t>1SDA068493R1</t>
  </si>
  <si>
    <t>1SDA068494R1</t>
  </si>
  <si>
    <t>1SDA068495R1</t>
  </si>
  <si>
    <t>1SDA068533R1</t>
  </si>
  <si>
    <t>1SDA068534R1</t>
  </si>
  <si>
    <t>1SDA068535R1</t>
  </si>
  <si>
    <t>XT2N160-16A-4P-TMD</t>
  </si>
  <si>
    <t>XT2N160-20A-4P-TMD</t>
  </si>
  <si>
    <t>XT2N160-25A-4P-TMD</t>
  </si>
  <si>
    <t>1SDA067031R1</t>
  </si>
  <si>
    <t>1SDA067032R1</t>
  </si>
  <si>
    <t>1SDA067033R1</t>
  </si>
  <si>
    <t>XT1N160-32A-4P-TMD</t>
  </si>
  <si>
    <t>XT1N160-40A-4P-TMD</t>
  </si>
  <si>
    <t>XT1N160-50A-4P-TMD</t>
  </si>
  <si>
    <t>XT1N160-63A-4P-TMD</t>
  </si>
  <si>
    <t>XT1N160-80A-4P-TMD</t>
  </si>
  <si>
    <t>XT1N160-100A-4P-TMD</t>
  </si>
  <si>
    <t>XT1N160-125A-4P-TMD</t>
  </si>
  <si>
    <t>XT1N160-160A-4P-TMD</t>
  </si>
  <si>
    <t>ITM Caja Moldeada 4x100A (reg.[0.7-1.0] In) - XT1N160-100A-4P-TMD - 65kA@230V, 36kA@415V - marca ABB.</t>
  </si>
  <si>
    <t>1SDA067419R1</t>
  </si>
  <si>
    <t>1SDA067420R1</t>
  </si>
  <si>
    <t>1SDA067421R1</t>
  </si>
  <si>
    <t>1SDA067422R1</t>
  </si>
  <si>
    <t>1SDA067423R1</t>
  </si>
  <si>
    <t>1SDA067424R1</t>
  </si>
  <si>
    <t>1SDA067427R1</t>
  </si>
  <si>
    <t>1SDA067428R1</t>
  </si>
  <si>
    <t>XT1B160-25A-4P-TMD</t>
  </si>
  <si>
    <t>XT1B160-20A-4P-TMD</t>
  </si>
  <si>
    <t>XT1B160-16A-4P-TMD</t>
  </si>
  <si>
    <t>1SDA066812R1</t>
  </si>
  <si>
    <t>1SDA066811R1</t>
  </si>
  <si>
    <t>1SDA066810R1</t>
  </si>
  <si>
    <t>E2.2H-2000A-4P-Ekip Touch LSI</t>
  </si>
  <si>
    <t>ITM Bastidor Abierto 4x2000A (electrónico [0.4-1.0] In) - E2.2H-2000A-4P-Ekip Touch LSI - 100kA@440Vac - marca ABB.</t>
  </si>
  <si>
    <t>1SDA071685R1</t>
  </si>
  <si>
    <t>T5H630-630A-4P-PR222DS/P-LSI</t>
  </si>
  <si>
    <t>1SDA054418R1</t>
  </si>
  <si>
    <t>E2.2H-2500A-4P-Ekip Touch LSI</t>
  </si>
  <si>
    <t>ITM Bastidor Abierto 4x2500A (electrónico [0.4-1.0] In) - E2.2H-2500A-4P-Ekip Touch LSI - 100kA@440Vac - marca ABB.</t>
  </si>
  <si>
    <t>1SDA071715R1</t>
  </si>
  <si>
    <t>T7H1000(M)-1000A-4P-PR232/P-LSI</t>
  </si>
  <si>
    <t>1SDA062795R1</t>
  </si>
  <si>
    <t>T6H800-800A-4P-PR222DS/P-LSI</t>
  </si>
  <si>
    <t>XT2H160-32A-4P-TMD</t>
  </si>
  <si>
    <t>T7S1600-1600A-4P-PR232/P-LSI</t>
  </si>
  <si>
    <t>1SDA063003R1</t>
  </si>
  <si>
    <t>T4N320-320A-4P-PR222DS/P-LSI</t>
  </si>
  <si>
    <t>T4S320-320A-4P-PR222DS/P-LSI</t>
  </si>
  <si>
    <t>1SDA054123R1</t>
  </si>
  <si>
    <t>1SDA054131R1</t>
  </si>
  <si>
    <t>1SDA063019R1</t>
  </si>
  <si>
    <t>T7S1600(M)-1600A-4P-PR232/P-LSI</t>
  </si>
  <si>
    <t>ITM Caja Moldeada 4x1600A (electrónico [0.4-1.0] In) - T7S1600(M)-1600A-4P-PR232/P-LSI - 50kA@415V - marca ABB.</t>
  </si>
  <si>
    <t>T7S1000-1000A-4P-PR232/P-LSI</t>
  </si>
  <si>
    <t>1SDA062747R1</t>
  </si>
  <si>
    <t>T6N800-800A-4P-PR222DS/P-LSI</t>
  </si>
  <si>
    <t>KIT-TRANSF_XT1H_160A</t>
  </si>
  <si>
    <t>XT4N250-250A-4P-TMA</t>
  </si>
  <si>
    <t>El presupuesto se ha realizado en base a los diagramas unifilares de los planos.</t>
  </si>
  <si>
    <t xml:space="preserve">Cualquier modificación, producto o equipo que sea requerido por el cliente  </t>
  </si>
  <si>
    <t xml:space="preserve"> y que no se indique en nuestra oferta será cotizado de manera adicional.</t>
  </si>
  <si>
    <t>T5N400-400A-4P-PR221DS-LS/I</t>
  </si>
  <si>
    <t>1SDA054325R1</t>
  </si>
  <si>
    <t>1SDA054328R1</t>
  </si>
  <si>
    <t>T5N400-400A-4P-PR222DS/P-LSI</t>
  </si>
  <si>
    <t>BN-TD</t>
  </si>
  <si>
    <t>Barra a neutro.</t>
  </si>
  <si>
    <t>BTA-TD</t>
  </si>
  <si>
    <t>Barra a tierra aislada.</t>
  </si>
  <si>
    <t>BTA-TA</t>
  </si>
  <si>
    <t>ENC-MEC-QC</t>
  </si>
  <si>
    <t>RES-TRI_QC</t>
  </si>
  <si>
    <t>Espacio de reserva trifásica - tipo tornillo/engrampe.</t>
  </si>
  <si>
    <t>RES-TRI+DIF_QC</t>
  </si>
  <si>
    <t>Espacio de reserva trifásica + interruptor diferencial - tipo tornillo/engrampe.</t>
  </si>
  <si>
    <t>RES-MON_QC</t>
  </si>
  <si>
    <t>Espacio de reserva monofasica - tipo tornillo/engrampe.</t>
  </si>
  <si>
    <t>RES-MON+DIF_QC</t>
  </si>
  <si>
    <t>Espacio de reserva monofasica + interruptor diferencial - tipo tornillo/engrampe.</t>
  </si>
  <si>
    <t>RES-TRI_DIN</t>
  </si>
  <si>
    <t>Espacio de reserva trifásica - Riel-Din.</t>
  </si>
  <si>
    <t>RES-TRI+DIF_DIN</t>
  </si>
  <si>
    <t>Espacio de reserva trifásica + interruptor diferencial - Riel-Din.</t>
  </si>
  <si>
    <t>Espacio de reserva monofasica - Riel-Din.</t>
  </si>
  <si>
    <t>RES-MON+DIF_DIN</t>
  </si>
  <si>
    <t>Espacio de reserva monofasica + interruptor diferencial - Riel-Din.</t>
  </si>
  <si>
    <t>RES-DIF</t>
  </si>
  <si>
    <t>Espacio de reserva para interruptor diferencial monofásico.</t>
  </si>
  <si>
    <t>RES-MON_MOLD</t>
  </si>
  <si>
    <t>Espacio de reserva monofásica - Caja moldeada.</t>
  </si>
  <si>
    <t>RES-TRI_MOLD</t>
  </si>
  <si>
    <t>Espacio de reserva trifásica - Caja moldeada.</t>
  </si>
  <si>
    <t>RES-TRI_160F_MOLD</t>
  </si>
  <si>
    <t>Espacio de reserva trifásica - Caja moldeada - Frame 160A.</t>
  </si>
  <si>
    <t>RES-TRI_250F_MOLD</t>
  </si>
  <si>
    <t>Espacio de reserva trifásica - Caja moldeada - Frame 250A.</t>
  </si>
  <si>
    <t>RES-TRI+DIF_MOLD</t>
  </si>
  <si>
    <t>Espacio de reserva trifásica + interruptor diferencial - Caja moldeada.</t>
  </si>
  <si>
    <t>RES-TRI_40A_MOLD</t>
  </si>
  <si>
    <t>ITM Caja moldeada existente 40A (espacio de reserva trifásico).</t>
  </si>
  <si>
    <t>RES-TRI_50A_MOLD</t>
  </si>
  <si>
    <t>ITM Caja moldeada existente 50A (espacio de reserva trifásico).</t>
  </si>
  <si>
    <t>RES-TRI_80A_MOLD</t>
  </si>
  <si>
    <t>ITM Caja moldeada existente 80A (espacio de reserva trifásico).</t>
  </si>
  <si>
    <t>RES-TRI_160A_MOLD</t>
  </si>
  <si>
    <t>ITM Caja moldeada existente 160A (espacio de reserva trifásico).</t>
  </si>
  <si>
    <t>RES-TRI_250A_MOLD</t>
  </si>
  <si>
    <t>ITM Caja moldeada existente 250A (espacio de reserva trifásico).</t>
  </si>
  <si>
    <t>RES-TRI_320A_MOLD</t>
  </si>
  <si>
    <t>ITM Caja moldeada existente 320A (espacio de reserva trifásico).</t>
  </si>
  <si>
    <t>RES-TRI_400A_MOLD</t>
  </si>
  <si>
    <t>ITM Caja moldeada existente 400A (espacio de reserva trifásico).</t>
  </si>
  <si>
    <t>RES-TRI_630A_MOLD</t>
  </si>
  <si>
    <t>ITM Caja moldeada existente 630A (espacio de reserva trifásico).</t>
  </si>
  <si>
    <t>RES-CONT</t>
  </si>
  <si>
    <t>Espacio de reserva para contactor trifásico</t>
  </si>
  <si>
    <t>RES-LAMP</t>
  </si>
  <si>
    <t>Espacio de reserva para lámpara 22mm.</t>
  </si>
  <si>
    <t>TECH_INC</t>
  </si>
  <si>
    <t>Techo inclinado para tablero NEMA 4</t>
  </si>
  <si>
    <t>ABRAZ</t>
  </si>
  <si>
    <t>Abrazaderas para fijación a poste</t>
  </si>
  <si>
    <t>RIEL-DIN_RES</t>
  </si>
  <si>
    <t>Riel de reserva para componentes Din.</t>
  </si>
  <si>
    <t>RIEL-DIN</t>
  </si>
  <si>
    <t>Riel para componentes Din.</t>
  </si>
  <si>
    <t>PEINE_3F_12p</t>
  </si>
  <si>
    <t>"Peine" trifásico para 12 polos.</t>
  </si>
  <si>
    <t>PEINE_3F_9p</t>
  </si>
  <si>
    <t>"Peine" trifásico para 9 polos.</t>
  </si>
  <si>
    <t>PEINE_3F_6p</t>
  </si>
  <si>
    <t>"Peine" trifásico para 6 polos.</t>
  </si>
  <si>
    <t>PEINE_2F_12p</t>
  </si>
  <si>
    <t>"Peine" monofásico para 12 polos.</t>
  </si>
  <si>
    <t>PEINE_2F_9p</t>
  </si>
  <si>
    <t>"Peine" monofásico para 9 polos.</t>
  </si>
  <si>
    <t>PEINE_2F_6p</t>
  </si>
  <si>
    <t>"Peine" monofásico para 6 polos.</t>
  </si>
  <si>
    <t>DIRIS</t>
  </si>
  <si>
    <t>Se ha cotizado tableros con grado de protección NEMA 1 (equivalente IP10 / IP40,</t>
  </si>
  <si>
    <t>instalacion interior, proteccion a suciedad) o NEMA 12 (equivalente IP52 / IP54 / IP55,</t>
  </si>
  <si>
    <t>instalacion interior, proteccion a polvo y goteos de agua) o NEMA 3R (equivalente IP14,</t>
  </si>
  <si>
    <t>instalacion exterior, proteccion a suciedad, lluvia y nieve) o NEMA 4 (equivalente IP65 / IP66,</t>
  </si>
  <si>
    <t>instalacion exterior, proteccion a polvo en viento, agua proyectada y nieve)</t>
  </si>
  <si>
    <t>de fabricación nacional.</t>
  </si>
  <si>
    <t>instalacion interior, proteccion a suciedad) o NEMA 3R (equivalente IP14,</t>
  </si>
  <si>
    <t>instalacion exterior, proteccion a suciedad, lluvia y nieve) de fabricación nacional.</t>
  </si>
  <si>
    <t xml:space="preserve">El gabinete con grado de protección NEMA 12 empotrado (ITEM X) será construído </t>
  </si>
  <si>
    <t>como un gabinete adosado adaptado para empotrarse.</t>
  </si>
  <si>
    <t>El gabinete con grado de protección NEMA 3R empotrado (ITEM X) será construído</t>
  </si>
  <si>
    <t>Se ha considerado (en todos los tableros) interruptores diferenciales de CLASE A (inmunizado, para uso con</t>
  </si>
  <si>
    <t>cargas de corriente alterna y/o corriente pulsante DC), en cumplimiento de las epecificaciones técnicas (pg.51).</t>
  </si>
  <si>
    <t>Se ha considerado (en todos los tableros) interruptores termomagnéticos Riel-Din modelo "S200", con capacidad</t>
  </si>
  <si>
    <t>de ruptura de 10kA a 400V, según norma IEC60947-2 y fabricado bajo los estándares de esta norma.</t>
  </si>
  <si>
    <t>Esto, en cumplimiento de las especificaciones técnicas (pg.49).</t>
  </si>
  <si>
    <t>Se ha considerado en todos los tableros interruptores en caja moldeada con relé TERMOMAGNÉTICO regulable</t>
  </si>
  <si>
    <t>[0.7-1.0] In, para aquellos cuya corriente nominal se encuentra en el rango de 100A a 250A; e interruptores</t>
  </si>
  <si>
    <t>en caja moldeada con relé ELECTRÓNICO regulable [0.4-1.0] In, para aquellos cuya corriente nominal se</t>
  </si>
  <si>
    <t>encuentra en el rango de 320A a 630A. Este criterio, en cumplimiento de las especificaciones técnicas (pg.50).</t>
  </si>
  <si>
    <t>Se ha considerado los tableros "TTA-GE"(item 01), "TTA-1"(item 03) y "TC-HVAC"(item 04), con "interruptores</t>
  </si>
  <si>
    <t xml:space="preserve">de entrada" de tipo BASTIDOR ABIERTO con relé electrónico regulable [0.4-1.0] In, en cumplimiento de las </t>
  </si>
  <si>
    <t>especificaciones técnicas (pg.33).</t>
  </si>
  <si>
    <t>Se ha cotizado los tableros "TT-A1"(item 01), "TGA-G"(item 02), "TD-GE"(item 03) y "TP-380"(item 11)</t>
  </si>
  <si>
    <t xml:space="preserve">con interruptores generales de tipo BASTIDOR ABIERTO con relé electrónico de protección L-S-I </t>
  </si>
  <si>
    <t xml:space="preserve"> y pantalla gráfica Touch-screen.</t>
  </si>
  <si>
    <t>Se ha considerado en el tablero principal "TG", interruptores con capacidad de ruptura de 25kA.</t>
  </si>
  <si>
    <t>En el caso de los interruptores modulares DIN, en conjunto con un principal caja moldeada LZMS2,</t>
  </si>
  <si>
    <t>soportan un cortocircuito de hasta 25kA (conocido como "Back-up" o capacidad integrada).</t>
  </si>
  <si>
    <t>Se ha cotizado los sub-tableros de distribución con el concepto de "back-up" según</t>
  </si>
  <si>
    <t>normativa IEC. Se ha aplicado back-up debido a que para todos los sub-tableros de distribución</t>
  </si>
  <si>
    <t>se indica una corriente de falla de "Icc=25kA" en barra, según los diagramas unifilares.</t>
  </si>
  <si>
    <t>Según las tablas de back-up de fábrica de ABB:</t>
  </si>
  <si>
    <t>I_b ( S200 &gt;&gt; XT1C ) = 25kA @ 415Vac</t>
  </si>
  <si>
    <t>I_b ( XT1B &gt;&gt; XT1C ) = 25kA @ 415Vac</t>
  </si>
  <si>
    <t>I_b ( S200 &gt;&gt; S200M ) = 25kA @ 220Vac</t>
  </si>
  <si>
    <t>En consecuencia, los interruptores principales de los sub-tableros de distribución son interruptores</t>
  </si>
  <si>
    <t>en caja moldeada modelo XT1C o Riel-Din modelo S200M según sea el caso, para que se pueda</t>
  </si>
  <si>
    <t>cumplir el concepto de back-up hasta 25kA.</t>
  </si>
  <si>
    <t>Se ha cotizado los tableros generales con el concepto de "selectividad" según normativa IEC.</t>
  </si>
  <si>
    <t>Se ha aplicado selectividad en cumplimiento de las especificaciones técnicas (pag.37 y pag.12)</t>
  </si>
  <si>
    <t>en donde se indica que se debe "brindar una correcta selectividad y coordinación en la protección,</t>
  </si>
  <si>
    <t>considerando los interruptores aguas arriba y aguas abajo".</t>
  </si>
  <si>
    <t>Por ejemplo, según las tablas de selectividad de fábrica de ABB:</t>
  </si>
  <si>
    <t>I_s ( XT1N-125A &gt;&gt; T5N-400A ) = 36kA @ 415Vac</t>
  </si>
  <si>
    <t>I_s ( XT2S-80A &gt;&gt; T5S-630A ) = 50kA @ 415Vac</t>
  </si>
  <si>
    <t>I_s ( XT2N-100A &gt;&gt; XT4N-250A ) = 36kA @ 415Vac</t>
  </si>
  <si>
    <t>En consecuencia, se ha cotizado modelos de interruptores de tal manera que I_s sea mayor que</t>
  </si>
  <si>
    <t>Icc en barra indicado en los diagramas unifilares, para que se pueda cumplir la selectividad.</t>
  </si>
  <si>
    <t xml:space="preserve">La selectividad ha sido aplicado desde el 1er nivel hasta el el 3er nivel de distribución (hasta los tableros </t>
  </si>
  <si>
    <t xml:space="preserve">generales que derivan del tablero principal). Por ejemplo, los tableros "TGA-P"(item 04), "TGA-HAB"(item 05), </t>
  </si>
  <si>
    <t>TGN-SG(item 12), "TGN-AA"(item 13), … etc.</t>
  </si>
  <si>
    <t>Debido a la selectividad, algunos interruptores han sufrido aumentos de corriente nominal.</t>
  </si>
  <si>
    <t>Los interruptores generales de los tableros  "TLF-1.COC"(item 41), "TG-UPS"(item 09), "TGN-AA"(item 13)</t>
  </si>
  <si>
    <t>Asimismo, este cambio también se ve reflejado en su interruptor alimentador  aguas arriba, en los tableros</t>
  </si>
  <si>
    <t>TGA-G(item 02) y "TP-380"(item11).</t>
  </si>
  <si>
    <t>Se ha cotizado los interruptores en caja moldeada con corriente nominal a partir de 400A con relés</t>
  </si>
  <si>
    <t>electrónicos de alta gama (PR222DS/P-LSI y PR232/P-LSI), los cuales permiten una mayor resolución en la</t>
  </si>
  <si>
    <t>configuración de las protecciones y el funcionamiento de las 3 protecciones al mismo tiempo (L-S-I):</t>
  </si>
  <si>
    <t>L(sobrecarga) + S(c.c retardado) + I(c.c. instantáneo).</t>
  </si>
  <si>
    <t>En TJ CASTRO no fabricamos ni comercializamos UPS's, transformadores de</t>
  </si>
  <si>
    <t>Se ha cotizado los 02 tableros banco de condensadores "TA-BC"(item 10) y "TBC-380"(item 17) como un sistema de:</t>
  </si>
  <si>
    <t>Banco de Condensadores trifásico con reactancias para filtro de rechazo de armónicas, con factor de</t>
  </si>
  <si>
    <t>desintonia p=7% , en cumplimiento de las especificaciones técnicas (pg.19-20).</t>
  </si>
  <si>
    <t>Se ha considerado el sistema monofásico 220VAC (L-N) de fase y neutro seccionables.</t>
  </si>
  <si>
    <t>Por lo tanto, se ha cotizado interruptores de 2 polos, según lo acordado con del cliente.</t>
  </si>
  <si>
    <t>Se ha cotizado un solo selector M-0-A para el Tablero Bomba de Desague (ITEM X)</t>
  </si>
  <si>
    <t>según diseño propuesto por T.J. Castro.</t>
  </si>
  <si>
    <t>ESPECIFICACIONES
TÉCNICAS</t>
  </si>
  <si>
    <t>ESPECIFICACIONES TÉCNICAS</t>
  </si>
  <si>
    <t>-( * )-</t>
  </si>
  <si>
    <t>Transferencia de interruptores ABB.</t>
  </si>
  <si>
    <t>Kit de componentes para realizar una transferencia automática con AT021/ATS022, compuesta por:
    - (2) Interruptores automáticos.
    - (2) Estructuras de enclavamiento mecánico de los interruptores.
    - (2) Mando eléctrico Apertura + Cierre + Motor carga resortes (si es necesario) de los interruptores (YO+YC+YM).
    - Contactos auxiliares de estado (Q) y/o disparo del interruptor (SY).
    - Contactor/contactores de control con enclavamiento eléctrico.
(Según el modelo de los interruptores).</t>
  </si>
  <si>
    <t>Conmutador motorizado bajo carga (I-0-II), modelo OTM, marca ABB.</t>
  </si>
  <si>
    <t xml:space="preserve">Conmutador Motorizado bajo carga I-0-II; OTM compuesto por dos interruptores seccionadores individuales enclavados mecánicamente que previenen cualquier situación de paralelismo entre las fuentes durante la conmutación. </t>
  </si>
  <si>
    <t>Controlador de Conmutación Automática ATS022 - pantalla digital, con módulo de com. Modbus - marca ABB.</t>
  </si>
  <si>
    <t>El ATS es un dispositivo de conmutación automática, que al detectar una falla en la línea principal, puede controlar la puesta en marcha de un generador y conmutar automáticamente de una red a otra transmitiendo órdenes a los interruptores automáticos. Cambia automáticamente al generador o transformador después de un retardo predefinido. Tiene las siguientes características:</t>
  </si>
  <si>
    <r>
      <rPr>
        <b/>
        <sz val="10"/>
        <rFont val="Arial"/>
        <family val="2"/>
      </rPr>
      <t xml:space="preserve">A) </t>
    </r>
    <r>
      <rPr>
        <sz val="10"/>
        <rFont val="Arial"/>
        <family val="2"/>
      </rPr>
      <t>Supervisa la tensión de Suministro Principal y de Emergencia y registra cualquiera de las siguientes anomalías:
          - Tensión máxima y mínima.
          - Frecuencia máxima y mínima.
          - Falta de fase.
          - Desequilibrio de tensión.
          - Desequilibrio de frecuencia.</t>
    </r>
  </si>
  <si>
    <r>
      <rPr>
        <b/>
        <sz val="10"/>
        <rFont val="Arial"/>
        <family val="2"/>
      </rPr>
      <t xml:space="preserve">B) </t>
    </r>
    <r>
      <rPr>
        <sz val="10"/>
        <rFont val="Arial"/>
        <family val="2"/>
      </rPr>
      <t>Controla todas las secuencias de conmutación aplicando los retardos temporales programables siguientes:
          - Retardo de arranque del generador después de la detección de una anomalía en la red. Regulable de 0 a 30 s. 
          - Retardo de cierre del interruptor suministro Principal. Regulable de 0 a 60 s.
          - Retardo de cierre del interruptor suministro Emergencia. Regulable de 0 a 60 s.
          - Retardo de apertura del interruptor de suministro Emergencia, después de detección   de la estabilización de tensión
            del suministro principal. Regulable: 0…59s, 1, 2,...30min.
          - Retardo de apagado del Grupo Electrógeno  después del cierre del interruptor de suministro principal. 
            Regulable: 0…59s, 1, 2,…30min.</t>
    </r>
  </si>
  <si>
    <r>
      <rPr>
        <b/>
        <sz val="10"/>
        <rFont val="Arial"/>
        <family val="2"/>
      </rPr>
      <t xml:space="preserve">C) </t>
    </r>
    <r>
      <rPr>
        <sz val="10"/>
        <rFont val="Arial"/>
        <family val="2"/>
      </rPr>
      <t>Con un display grafico frontal, a través del cual el usuario puede verificar la configuración y ver el estado de la unidad
     y de los interruptores conectados.</t>
    </r>
  </si>
  <si>
    <r>
      <rPr>
        <b/>
        <sz val="10"/>
        <rFont val="Arial"/>
        <family val="2"/>
      </rPr>
      <t xml:space="preserve">D) </t>
    </r>
    <r>
      <rPr>
        <sz val="10"/>
        <rFont val="Arial"/>
        <family val="2"/>
      </rPr>
      <t>El display gráfico permite la visualización de la tensión y frecuencia de Suministro Principal y de Emergencia.</t>
    </r>
  </si>
  <si>
    <r>
      <rPr>
        <b/>
        <sz val="10"/>
        <rFont val="Arial"/>
        <family val="2"/>
      </rPr>
      <t xml:space="preserve">E) </t>
    </r>
    <r>
      <rPr>
        <sz val="10"/>
        <rFont val="Arial"/>
        <family val="2"/>
      </rPr>
      <t>Bornes para mando de arranque del Grupo electrógeno.</t>
    </r>
  </si>
  <si>
    <t>Accesorios:</t>
  </si>
  <si>
    <t>ADOSADO</t>
  </si>
  <si>
    <t>ROT_TAG-TA</t>
  </si>
  <si>
    <t>ROT_TAG-TD</t>
  </si>
  <si>
    <t>ROT_CIRC</t>
  </si>
  <si>
    <t>Rotulado por circuito.</t>
  </si>
  <si>
    <t>Rotulado para TAG - tablero de distribución.</t>
  </si>
  <si>
    <t>T6N630-630A-4P-PR222DS/P-LSI</t>
  </si>
  <si>
    <t>ITM Caja Moldeada 4x630A (electrónico [0.4-1.0] In) - T5N630-630A-4P-PR222DS/P-LSI - 70kA@230V, 36kA@415V - marca ABB.</t>
  </si>
  <si>
    <t>1SDA060233R1</t>
  </si>
  <si>
    <t>1SDA060275R1</t>
  </si>
  <si>
    <t>XT4N250-200A-4P-TMA</t>
  </si>
  <si>
    <t>1SDA068109R1</t>
  </si>
  <si>
    <t>1SDA068111R1</t>
  </si>
  <si>
    <t>T6S630-630A-4P-PR222DS/P-LSI</t>
  </si>
  <si>
    <t>1SDA060243R1</t>
  </si>
  <si>
    <t>TRAFO_2F_220-120V_100VA</t>
  </si>
  <si>
    <t>TRAFO_2F_380-24V_100VA</t>
  </si>
  <si>
    <t>TRAFO_2F_380-120V_100VA</t>
  </si>
  <si>
    <t>TRAFO_2F_380-220V_100VA</t>
  </si>
  <si>
    <t>TRAFO_2F_380-220V_250VA</t>
  </si>
  <si>
    <t>TRAFO_2F_460-120V_50VA</t>
  </si>
  <si>
    <t>TRAFO_2F_460-120V_100VA</t>
  </si>
  <si>
    <t>TRAFO_2F_460-220V_50VA</t>
  </si>
  <si>
    <t>TRAFO_2F_460-220V_100VA</t>
  </si>
  <si>
    <t>TRAFO_3F_460-120V_100VA_AUD</t>
  </si>
  <si>
    <t>TRAFO_2F_440-220V_100VA_AUD</t>
  </si>
  <si>
    <t>TRAFO_2F_440-220V_500VA_AUD</t>
  </si>
  <si>
    <t>TRAFO_2F_460-230V_5000VA_AUD</t>
  </si>
  <si>
    <t>TRAFO_3F_220-380V_100VA_AUD</t>
  </si>
  <si>
    <t>TRAFO_3F_460-230V_5000VA_AUD</t>
  </si>
  <si>
    <t>TRAFO_3F_480-232V_100VA_AUD</t>
  </si>
  <si>
    <t>1SDA066317R1</t>
  </si>
  <si>
    <t>ITM Caja Moldeada 4x100A (electrónico [0.4-1.0] In) - XT4N160-100A-3P-Ekip LS/I - 65kA@230V, 36kA@415V - marca ABB.</t>
  </si>
  <si>
    <t>ITM Caja Moldeada 4x160A (electrónico [0.4-1.0] In) - XT4N160-160A-3P-Ekip LS/I - 65kA@230V, 36kA@415V - marca ABB.</t>
  </si>
  <si>
    <t>T5S630-630A-4P-PR222DS/P-LSI</t>
  </si>
  <si>
    <t>1SDA054410R1</t>
  </si>
  <si>
    <t>T5N630-630A-4P-PR222DS/P-LSI</t>
  </si>
  <si>
    <t>1SDA054402R1</t>
  </si>
  <si>
    <t>T7S800-800A-4P-PR232/P-LSI</t>
  </si>
  <si>
    <t>1SDA061974R1</t>
  </si>
  <si>
    <t>T7S1250-1250A-4P-PR232/P-LSI</t>
  </si>
  <si>
    <t>1SDA062875R1</t>
  </si>
  <si>
    <t>T7S1000(M)-1000A-4P-PR232/P-LSI</t>
  </si>
  <si>
    <t>1SDA062763R1</t>
  </si>
  <si>
    <t>T7S800(M)-800A-4P-PR232/P-LSI</t>
  </si>
  <si>
    <t>1SDA061990R1</t>
  </si>
  <si>
    <t>T7S1250(M)-1250A-4P-PR232/P-LSI</t>
  </si>
  <si>
    <t>1SDA062891R1</t>
  </si>
  <si>
    <t>1SDA060558R1</t>
  </si>
  <si>
    <t>T6S1000-1000A-4P-PR222DS/P-LSI</t>
  </si>
  <si>
    <t>T5S400-400A-4P-PR222DS/P-LSI</t>
  </si>
  <si>
    <t>1SDA054344R1</t>
  </si>
  <si>
    <t>E1.2N-1600A-4P-Ekip Touch LSI</t>
  </si>
  <si>
    <t>ITM Bastidor Abierto 4x1600A (electrónico [0.4-1.0] In) - E1.2N-1600A-4P-Ekip Touch LSI - 66kA@440Vac - marca ABB.</t>
  </si>
  <si>
    <t>1SDA071515R1</t>
  </si>
  <si>
    <t>SPV050400Y2K</t>
  </si>
  <si>
    <t>PSPD120400Y3K</t>
  </si>
  <si>
    <t>PSPD250400Y3K</t>
  </si>
  <si>
    <t>RELE_TENSION_230Vac</t>
  </si>
  <si>
    <t>1SVR730884R1300</t>
  </si>
  <si>
    <t>RELE_TENSION_400Vac</t>
  </si>
  <si>
    <t>1SVR730884R3300</t>
  </si>
  <si>
    <t>XT2S160-125A-4P-TMA</t>
  </si>
  <si>
    <t>1SDA067582R1</t>
  </si>
  <si>
    <t>XT2S160-160A-4P-TMA</t>
  </si>
  <si>
    <t>1SDA067583R1</t>
  </si>
  <si>
    <t>ITM Bastidor Abierto 3x1600A (electrónico [0.4-1.0] In) - E2.2N-1600A-3P-Ekip Touch LSI - 66kA@440Vac - marca ABB.</t>
  </si>
  <si>
    <t>ITM Bastidor Abierto 3x2000A (electrónico [0.4-1.0] In) - E2.2N-2000A-3P-Ekip Touch LSI - 66kA@440Vac - marca ABB.</t>
  </si>
  <si>
    <t>QC123PL</t>
  </si>
  <si>
    <t>BAB2020H</t>
  </si>
  <si>
    <t>BAB2030H</t>
  </si>
  <si>
    <t>BAB2015H</t>
  </si>
  <si>
    <t>BAB2040H</t>
  </si>
  <si>
    <t>BAB2050H</t>
  </si>
  <si>
    <t>BAB2060H</t>
  </si>
  <si>
    <t>QC2020H</t>
  </si>
  <si>
    <t>QC2030H</t>
  </si>
  <si>
    <t>QC2050H</t>
  </si>
  <si>
    <t>QC2060H</t>
  </si>
  <si>
    <t>QC2080H</t>
  </si>
  <si>
    <t>QBGF2015</t>
  </si>
  <si>
    <t>QBGF2020</t>
  </si>
  <si>
    <t>QBGF2030</t>
  </si>
  <si>
    <t>QBGFEP2020</t>
  </si>
  <si>
    <t>QBGFEP2015</t>
  </si>
  <si>
    <t>PLK1</t>
  </si>
  <si>
    <t>PLK3</t>
  </si>
  <si>
    <t>TERMODIFERENCIALES (UL)</t>
  </si>
  <si>
    <t>Bloqueo por candado PLK1 para interruptor FD / HFD</t>
  </si>
  <si>
    <t>05.</t>
  </si>
  <si>
    <t>06.</t>
  </si>
  <si>
    <t>08.</t>
  </si>
  <si>
    <t>COND_30kVAR/380V_p7</t>
  </si>
  <si>
    <t>REACT_30kVAR/380V_p7</t>
  </si>
  <si>
    <t>Interruptor Principal:</t>
  </si>
  <si>
    <t>Juego de fusiles + portafusibles para medición de tensión.</t>
  </si>
  <si>
    <t>Juego de bornes seccionables para medición de corriente.</t>
  </si>
  <si>
    <t>PSPD100400Y3K</t>
  </si>
  <si>
    <t>AUTOSOPORTADO</t>
  </si>
  <si>
    <t>REACT_15kVAR/380V_p7</t>
  </si>
  <si>
    <t>COND_15kVAR/380V_p7</t>
  </si>
  <si>
    <t>50x5mm2.</t>
  </si>
  <si>
    <t>07.</t>
  </si>
  <si>
    <t>1SDA066150R1</t>
  </si>
  <si>
    <t>3Q+1SY_A3</t>
  </si>
  <si>
    <t>1SDA054911R1</t>
  </si>
  <si>
    <t>1SDA066258R1</t>
  </si>
  <si>
    <t>1SVR730830R0400</t>
  </si>
  <si>
    <t>CM-ESS.2S</t>
  </si>
  <si>
    <t>Transformador de tensión trifásico 460 / 380 Vac - 2000VA - (alto x ancho x fondo) 270 x 240 x 250 mm.</t>
  </si>
  <si>
    <t>Moneda</t>
  </si>
  <si>
    <t>2CSG213605R4011</t>
  </si>
  <si>
    <t>VLMD_P</t>
  </si>
  <si>
    <t>2CSG213625R4011</t>
  </si>
  <si>
    <t>AMTD-2P</t>
  </si>
  <si>
    <t>2CSM100140R1121</t>
  </si>
  <si>
    <t>SNT_1/200A</t>
  </si>
  <si>
    <t>Resistencia Shunt para medición de corriente DC, Uo=60mV DC - modelo SNT_1/200A - marca ABB.</t>
  </si>
  <si>
    <t>SH0306</t>
  </si>
  <si>
    <t>13016</t>
  </si>
  <si>
    <t>YSHUNTC2560</t>
  </si>
  <si>
    <t>25536</t>
  </si>
  <si>
    <t>Resistencia Shunt para medición de corriente DC, I_med=300A DC, Uo=60mV DC - modelo SH0306 - marca SIEMENS.</t>
  </si>
  <si>
    <t>Resistencia Shunt para medición de corriente DC, I_med=500A DC, Uo=60mV DC - modelo YSHUNTC2560- marca SIEMENS.</t>
  </si>
  <si>
    <t>1SVR750669R9400</t>
  </si>
  <si>
    <t>CM-IVN.S</t>
  </si>
  <si>
    <t>( * )</t>
  </si>
  <si>
    <t>Notas:</t>
  </si>
  <si>
    <t>El informe del estudio de coordinación de protecciones será entregado al finalizar la entrega de los tableros.</t>
  </si>
  <si>
    <t>Diagrama unifilar de la simulación del sistema eléctrico en software.</t>
  </si>
  <si>
    <t>Reporte de corrientes de cortocircuito por tablero de acuerdo a IEC-60909.</t>
  </si>
  <si>
    <t>A1.</t>
  </si>
  <si>
    <t>A2.</t>
  </si>
  <si>
    <t>El estudio de coordinación de protecciones contempla solo el sistema en baja tensión.</t>
  </si>
  <si>
    <t>El cumplimiento de la selectividad implica un aumento del precio de venta de los tableros, por las</t>
  </si>
  <si>
    <t>A3.</t>
  </si>
  <si>
    <t>Reporte de selectividad energética por tablero.</t>
  </si>
  <si>
    <t>A4.</t>
  </si>
  <si>
    <t>A5.</t>
  </si>
  <si>
    <t>-</t>
  </si>
  <si>
    <t>Informe de coordinación de protecciones en baja tensión. Anexos:</t>
  </si>
  <si>
    <t>Longitud de cables alimentadores en los niveles de distribución según el alcance requerido por el proyecto.</t>
  </si>
  <si>
    <t>Tiempo de entrega:</t>
  </si>
  <si>
    <t>Curvas tiempo-corriente y configuración de protecciones.</t>
  </si>
  <si>
    <t>Información requerida para el estudio:</t>
  </si>
  <si>
    <t>características superiores en modelo y tecnología que deben tener los interruptores y sus respectivos</t>
  </si>
  <si>
    <t>Cuadro de cargas por tablero o cuadro de caída de tensión, con la última información as-built.</t>
  </si>
  <si>
    <t>Los tableros fabricados por T.J. Castro serán entregados con sus interruptores ya configurados de</t>
  </si>
  <si>
    <t>acuerdo estudio de coordinación de protecciones realizado.</t>
  </si>
  <si>
    <t>Tablas de selectividad energética del fabricante.</t>
  </si>
  <si>
    <t>*</t>
  </si>
  <si>
    <t>Documentos entregables:</t>
  </si>
  <si>
    <t>De no entrregarse la información requerida (longitud de cables alimentadores y/o cuadro de cargas)</t>
  </si>
  <si>
    <t>requerida será la longitud de los cables alimentadores.</t>
  </si>
  <si>
    <t>relés de protección.</t>
  </si>
  <si>
    <t>según el alcance requerido por el proyecto. El resultado final se plasmará en un informe, y las</t>
  </si>
  <si>
    <t>(ESTUDIO)</t>
  </si>
  <si>
    <t>ESTUDIO DE COORDINACIÓN DE PROTECCIONES :</t>
  </si>
  <si>
    <t>dólar</t>
  </si>
  <si>
    <t>S2C-S/H6R</t>
  </si>
  <si>
    <t>2CDS200922R0001</t>
  </si>
  <si>
    <t>S2C-H6R</t>
  </si>
  <si>
    <t>2CDS200912R0001</t>
  </si>
  <si>
    <t>S2C-H6-20R</t>
  </si>
  <si>
    <t>2CDS200946R0002</t>
  </si>
  <si>
    <t>2(Q) contacto de estado NA - modelo S2C-H6-20R - p/Riel-Din, montaje lateral derecho - marca ABB.</t>
  </si>
  <si>
    <t>TRAFO_3F_460-380V_2000VA</t>
  </si>
  <si>
    <t>RELE_TENSION_PVE_400Vac</t>
  </si>
  <si>
    <t>1SVR550871R9500</t>
  </si>
  <si>
    <t>T.J. Castro podría presentar un informe básico (sin curvas de protecciones), en donde la información</t>
  </si>
  <si>
    <t>S2C-H20L</t>
  </si>
  <si>
    <t>2(Q) contacto de estado NA - modelo S2C-H20L - p/Riel-Din, montaje lateral izquierdo - marca ABB.</t>
  </si>
  <si>
    <t>2CDS200936R0002</t>
  </si>
  <si>
    <t>S2C-H10</t>
  </si>
  <si>
    <t>1(Q) contacto de estado NA - modelo S2C-H10 - p/S200, montaje integrado inferior - marca ABB.</t>
  </si>
  <si>
    <t>2CDS200970R0012</t>
  </si>
  <si>
    <t>1Q/1SY_XT1..XT4</t>
  </si>
  <si>
    <t>1(Q) contacto conmutado NA/NC / 1(SY) contacto por disparo de interruptor - XT1..XT4 - versión no cableada - marca ABB.</t>
  </si>
  <si>
    <t>1Q+1SY_XT1..XT4</t>
  </si>
  <si>
    <t>1SDA066431R1</t>
  </si>
  <si>
    <t>2Q+1SY_XT1..XT4</t>
  </si>
  <si>
    <t>Unidad de acoplamiento para Umed &lt;= 690V AC / 1000V DC - modelo CM-IVN.S - marca ABB.</t>
  </si>
  <si>
    <t>E1.2N-1250A-3P-Ekip Dip LSI</t>
  </si>
  <si>
    <t>ITM Bastidor Abierto 3x1600A (electrónico [0.4-1.0] In) - E1.2C-1600A-3P-Ekip Dip LSI - 50kA@440Vac - marca ABB.</t>
  </si>
  <si>
    <t>ITM Bastidor Abierto 3x1250A (electrónico [0.4-1.0] In) - E1.2N-1250A-3P-Ekip Dip LSI - 66kA@440Vac - marca ABB.</t>
  </si>
  <si>
    <t>1SDA070842R1</t>
  </si>
  <si>
    <t>E2.2N-2000A-3P-Ekip Dip LSI</t>
  </si>
  <si>
    <t>1SDA071032R1</t>
  </si>
  <si>
    <t>planos aprobados para fabricación, catálogos, protocolos de prueba y carta de garantía.</t>
  </si>
  <si>
    <t>Al finalizar la entrega de todos los tableros T.J. Castro entregará un Dossier con los</t>
  </si>
  <si>
    <t>Precio de Lista</t>
  </si>
  <si>
    <t>Dscto efectivo</t>
  </si>
  <si>
    <t>De ser requerido un sustento técnico de la coordinación en la etapa de evaluación del presupuesto,</t>
  </si>
  <si>
    <t>el proyecto).</t>
  </si>
  <si>
    <t>Datos del suministro en Media Tensión o Baja tensión (Potencia de cortocircuito, datos del transformador</t>
  </si>
  <si>
    <t>Media/Baja tensión).</t>
  </si>
  <si>
    <t>mMCM-C6/2-MW</t>
  </si>
  <si>
    <t>Este informe tomará entre 10 a 15 días útiles (según el número de circuitos y el alcance requerido por</t>
  </si>
  <si>
    <t>TS8_ZocFront+Post200_600mm</t>
  </si>
  <si>
    <t>Zócalos frontal y porterior h=200mm. p/ TS 8, chapa de acero - 600mm. (2 juegos) - Ref.: 8602.600 - marca RITTAL.</t>
  </si>
  <si>
    <t>TS8_ZocFront+Post200_800mm</t>
  </si>
  <si>
    <t>Zócalos frontal y porterior h=200mm. p/ TS 8, chapa de acero - 800mm. (2 juegos) - Ref.: 8602.800 - marca RITTAL.</t>
  </si>
  <si>
    <t>TS8_ZocLat200_600mm</t>
  </si>
  <si>
    <t>Zócalos laterales h=200mm. p/ TS 8, chapa de acero - 600mm. (2 juegos) - Ref.: 8602.060 - marca RITTAL.</t>
  </si>
  <si>
    <t>TS8_ZocFront+Post200_1200mm</t>
  </si>
  <si>
    <t>Zócalos frontal y porterior h=200mm. p/ TS 8, chapa de acero - 1200mm. (2 juegos) - Ref.: 8602.200 - marca RITTAL.</t>
  </si>
  <si>
    <t>TS8_ZocLat200_800mm</t>
  </si>
  <si>
    <t>Zócalos laterales h=200mm. p/ TS 8, chapa de acero - 800mm. (2 juegos) - Ref.: 8602.080 - marca RITTAL.</t>
  </si>
  <si>
    <t>BT-TA</t>
  </si>
  <si>
    <t>BN-TA</t>
  </si>
  <si>
    <t>protecciones de los interruptores termomagnéticos en baja tensión serán regulados bajo la</t>
  </si>
  <si>
    <t>configuración más óptima de acuerdo al estudio realizado.</t>
  </si>
  <si>
    <t>20 a 30 días útiles (según el número de circuitos y el alcance requerido por el proyecto), una vez</t>
  </si>
  <si>
    <t>entregado toda la información requerida para el estudio.</t>
  </si>
  <si>
    <t>FPF13KUG-100</t>
  </si>
  <si>
    <t>FANDIS</t>
  </si>
  <si>
    <t>REJ+FILT-12K</t>
  </si>
  <si>
    <t>Rejilla + filtro - 150x150mm. - modelo FPF12K - marca FANDIS.</t>
  </si>
  <si>
    <t>REJ+FILT-13K</t>
  </si>
  <si>
    <t>Rejilla + filtro - 204x204mm. - modelo FPF13K - marca FANDIS.</t>
  </si>
  <si>
    <t>FPF12KUG-100</t>
  </si>
  <si>
    <t>REJ+FILT-15K</t>
  </si>
  <si>
    <t>Rejilla + filtro - 250x250mm. - modelo FPF15K - marca FANDIS.</t>
  </si>
  <si>
    <t>FPF15KUG-100</t>
  </si>
  <si>
    <t>VENT+REJ+FILT-13K</t>
  </si>
  <si>
    <t>VENT+REJ+FILT-15K</t>
  </si>
  <si>
    <t>FPF13KPU230BE-110</t>
  </si>
  <si>
    <t>FPF15KU230BE-110</t>
  </si>
  <si>
    <t>TRT-10A230V-NO</t>
  </si>
  <si>
    <t>TRT-10A230V-NC</t>
  </si>
  <si>
    <t>TRT-1NA</t>
  </si>
  <si>
    <t>TRT-1NC</t>
  </si>
  <si>
    <t>Termostato para ventilación - 1NA - 230V - marca FANDIS.</t>
  </si>
  <si>
    <t>Termostato para calefacción - 1NC - 230Vac - marca FANDIS.</t>
  </si>
  <si>
    <t>CALEFACT-60W_FAND</t>
  </si>
  <si>
    <t>RACM-60</t>
  </si>
  <si>
    <t>Calefactor resistivo 60W, modelo RACM - marca FANDIS.</t>
  </si>
  <si>
    <t>Medidor multifunción + Analizador de Redes - Modelo IDM-G5 - presición 0.5% - RS485, Modbus RTU - marca ABB.</t>
  </si>
  <si>
    <t>T5N630-500A-3P-TMA</t>
  </si>
  <si>
    <t>1SDA054456R1</t>
  </si>
  <si>
    <t>T5S630-500A-3P-TMA</t>
  </si>
  <si>
    <t>1SDA054461R1</t>
  </si>
  <si>
    <t>XT2N160-160A-3P-Ekip LS/I</t>
  </si>
  <si>
    <t>1SDA067058R1</t>
  </si>
  <si>
    <t>OTM_I-0-II_3p_1250A</t>
  </si>
  <si>
    <t>1SCA112676R1001</t>
  </si>
  <si>
    <t>E4.2N-3200A-4P-Ekip Touch LSI</t>
  </si>
  <si>
    <t>ITM Bastidor Abierto 4x3200A (electrónico [0.4-1.0] In) - E4.2N-3200A-4P-Ekip Touch LSI - 66kA@440Vac - marca ABB.</t>
  </si>
  <si>
    <t>1SDA071775R1</t>
  </si>
  <si>
    <t>RES-TRI_320F_MOLD</t>
  </si>
  <si>
    <t xml:space="preserve">INTERRUPTORES </t>
  </si>
  <si>
    <t>CUMPLEN SELECTVIDAD</t>
  </si>
  <si>
    <t>E2.2N-1600A-4P-Ekip Touch LSI</t>
  </si>
  <si>
    <t>ITM Bastidor Abierto 4x1600A (electrónico [0.4-1.0] In) - E2.2N-1600A-4P-Ekip Touch LSI - 66kA@440Vac - marca ABB.</t>
  </si>
  <si>
    <t>1SDA071625R1</t>
  </si>
  <si>
    <t>XT4S160-125A-3p-TMA</t>
  </si>
  <si>
    <t>XT4S160-80A-3p-TMA</t>
  </si>
  <si>
    <t>XT4S160-100A-3p-TMA</t>
  </si>
  <si>
    <t>1SDA068306R1</t>
  </si>
  <si>
    <t>1SDA068307R1</t>
  </si>
  <si>
    <t>1SDA068308R1</t>
  </si>
  <si>
    <t>E1.2N-1250A-4P-Ekip Touch LSI</t>
  </si>
  <si>
    <t>ITM Bastidor Abierto 4x1250A (electrónico [0.4-1.0] In) - E1.2N-1250A-4P-Ekip Touch LSI - 66kA@440Vac - marca ABB.</t>
  </si>
  <si>
    <t>1SDA071475R1</t>
  </si>
  <si>
    <t>Conmutador motorizado bajo carga (I-0-II), modelo OTM-C, 3p, 40A (AC21..AC22) / 40A (AC23) - marca ABB.</t>
  </si>
  <si>
    <t>Conmutador motorizado bajo carga (I-0-II), modelo OTM-C, 3p, 63A (AC21..AC22) / 63A (AC23) - marca ABB.</t>
  </si>
  <si>
    <t>Conmutador motorizado bajo carga (I-0-II), modelo OTM-C, 3p, 80A (AC21..AC22) / 80A (AC23) - marca ABB.</t>
  </si>
  <si>
    <t>Conmutador motorizado bajo carga (I-0-II), modelo OTM-C, 3p, 100A (AC21..AC22) / 80A (AC23) - marca ABB.</t>
  </si>
  <si>
    <t>Conmutador motorizado bajo carga (I-0-II), modelo OTM-C, 3p, 160A (AC21..AC22) / 160A (AC23) - marca ABB.</t>
  </si>
  <si>
    <t>Conmutador motorizado bajo carga (I-0-II), modelo OTM-C, 3p, 250A (AC21..AC22) / 250A (AC23) - marca ABB.</t>
  </si>
  <si>
    <t>Conmutador motorizado bajo carga (I-0-II), modelo OTM-C, 3p, 315A (AC21..AC22) / 315A (AC23) - marca ABB.</t>
  </si>
  <si>
    <t>Conmutador motorizado bajo carga (I-0-II), modelo OTM-C, 3p, 400A (AC21..AC22) / 400A (AC23) - marca ABB.</t>
  </si>
  <si>
    <t>Conmutador motorizado bajo carga (I-0-II), modelo OTM-C, 3p, 630A (AC21..AC22) / 630A (AC23) - marca ABB.</t>
  </si>
  <si>
    <t>Conmutador motorizado bajo carga (I-0-II), modelo OTM-C, 3p, 800A (AC21..AC22) / 800A (AC23) - marca ABB.</t>
  </si>
  <si>
    <t>Conmutador motorizado bajo carga (I-0-II), modelo OTM-C, 3p, 1000A (AC21..AC22) / 1000A (AC23) - marca ABB.</t>
  </si>
  <si>
    <t>Conmutador motorizado bajo carga (I-0-II), modelo OTM-C, 3p, 1250A (AC21..AC22) / 1250A (AC23) - marca ABB.</t>
  </si>
  <si>
    <t>Conmutador motorizado bajo carga (I-0-II), modelo OTM-C, 3p, 1600A (AC21..AC22) / 1250A (AC23) - marca ABB.</t>
  </si>
  <si>
    <t>Conmutador motorizado bajo carga (I-0-II), modelo OTM-C, 4p, 40A (AC21..AC22) / 40A (AC23) - marca ABB.</t>
  </si>
  <si>
    <t>Conmutador motorizado bajo carga (I-0-II), modelo OTM-C, 4p, 63A (AC21..AC22) / 63A (AC23) - marca ABB.</t>
  </si>
  <si>
    <t>Conmutador motorizado bajo carga (I-0-II), modelo OTM-C, 4p, 80A (AC21..AC22) / 80A (AC23) - marca ABB.</t>
  </si>
  <si>
    <t>Conmutador motorizado bajo carga (I-0-II), modelo OTM-C, 4p, 100A (AC21..AC22) / 80A (AC23) - marca ABB.</t>
  </si>
  <si>
    <t>Conmutador motorizado bajo carga (I-0-II), modelo OTM-C, 4p, 160A (AC21..AC22) / 160A (AC23) - marca ABB.</t>
  </si>
  <si>
    <t>Conmutador motorizado bajo carga (I-0-II), modelo OTM-C, 4p, 250A (AC21..AC22) / 250A (AC23) - marca ABB.</t>
  </si>
  <si>
    <t>Conmutador motorizado bajo carga (I-0-II), modelo OTM-C, 4p, 315A (AC21..AC22) / 315A (AC23) - marca ABB.</t>
  </si>
  <si>
    <t>Conmutador motorizado bajo carga (I-0-II), modelo OTM-C, 4p, 400A (AC21..AC22) / 400A (AC23) - marca ABB.</t>
  </si>
  <si>
    <t>Conmutador motorizado bajo carga (I-0-II), modelo OTM-C, 4p, 630A (AC21..AC22) / 630A (AC23) - marca ABB.</t>
  </si>
  <si>
    <t>Conmutador motorizado bajo carga (I-0-II), modelo OTM-C, 4p, 1000A (AC21..AC22) / 1000A (AC23) - marca ABB.</t>
  </si>
  <si>
    <t>Relés auxiliares para cada paso.</t>
  </si>
  <si>
    <t>Sistema de Medición:</t>
  </si>
  <si>
    <t>CMC_29kVAR/230V</t>
  </si>
  <si>
    <t>CMC_42kVAR/230V</t>
  </si>
  <si>
    <t>CMC_32kVAR/230V</t>
  </si>
  <si>
    <t>Sistema de Ventilación forzada:</t>
  </si>
  <si>
    <t>Ventilador + Rejilla + filtro.</t>
  </si>
  <si>
    <t>Rejilla + filtro.</t>
  </si>
  <si>
    <t>Termostato para ventilación.</t>
  </si>
  <si>
    <t>Contactor.</t>
  </si>
  <si>
    <t>Juego de fusibles + bornes</t>
  </si>
  <si>
    <t>TOTAL (INC. IGV): S/.</t>
  </si>
  <si>
    <t>LOS PRECIOS SON EN SOLES.</t>
  </si>
  <si>
    <t>TRAFO_2F_460-220V_1000VA</t>
  </si>
  <si>
    <t>Transformador de tensión monofásico 460 / 220 Vac - 1000VA.</t>
  </si>
  <si>
    <t>Juego de fusibles y/o bornes</t>
  </si>
  <si>
    <t>YO_XT1..XT4</t>
  </si>
  <si>
    <t>T6N1000-1000A-3P-PR222DS/P-LSI</t>
  </si>
  <si>
    <t>1SDA060539R1</t>
  </si>
  <si>
    <t>Estudio de selectividad y/o back-up de los interruptores que contemplan los niveles de distribución</t>
  </si>
  <si>
    <t>PRECIO TOTAL (DESCONTADO): S/.</t>
  </si>
  <si>
    <t>SEÑORES : SIGRAL | PMP Holding.</t>
  </si>
  <si>
    <t>P. U. (S/.)
(Inc. Dscto.)</t>
  </si>
  <si>
    <t>SUB-TOTAL (S/.)
(Inc. Dscto.)</t>
  </si>
  <si>
    <t>T.J. Castro no podrá presentar ningún informe ni sustento técnico sobre la selectividad y/o back-up.</t>
  </si>
  <si>
    <t>Sistema de señalización de tensión + Prueba de lámparas:</t>
  </si>
  <si>
    <t>Interruptores derivados:</t>
  </si>
  <si>
    <t>Juego de fusibles y/o bornes para alimentación de control.</t>
  </si>
  <si>
    <t>Juego de bornes para señal/señales remotas.</t>
  </si>
  <si>
    <t xml:space="preserve">Al finalizar la entrega de todos los tableros T.J. Castro entregará un Dossier </t>
  </si>
  <si>
    <t>con los planos aprobados para fabricación, catálogos, protocolos y carta de garantía.</t>
  </si>
  <si>
    <t>TABLERO BANCO DE CONDENSADORES "BC1" - 720kVAR@400Vac, p=7% , 3Ø+N , 60Hz.</t>
  </si>
  <si>
    <t>REACT_40kVAR/380V_p7</t>
  </si>
  <si>
    <t>CMC_40kVAR/400V</t>
  </si>
  <si>
    <t>REACT_60kVAR/380V_p7</t>
  </si>
  <si>
    <t>CMC_60kVAR/400V</t>
  </si>
  <si>
    <t>CMC_80kVAR/400V</t>
  </si>
  <si>
    <t>Lamparas de señalizacion, tipo LED, 220V , 22mm.</t>
  </si>
  <si>
    <t>TABLERO BANCO DE CONDENSADORES "BC2" - 720kVAR@400Vac, p=7% , 3Ø+N , 60Hz.</t>
  </si>
  <si>
    <t>TABLERO BANCO DE CONDENSADORES "BC3" - 720kVAR@400Vac, p=7% , 3Ø+N , 60Hz.</t>
  </si>
  <si>
    <t>TABLERO BANCO DE CONDENSADORES "BC4" - 720kVAR@400Vac, p=7% , 3Ø+N , 60Hz.</t>
  </si>
  <si>
    <t>TABLERO BANCO DE CONDENSADORES "BC5" - 360kVAR@400Vac, p=7% , 3Ø+N , 60Hz.</t>
  </si>
  <si>
    <t>CMC_30kVAR/400V</t>
  </si>
  <si>
    <t>Contactor para maniobra de condensadores - 40kVAR@400V - Modelo CMC - bobina 230Vac/60Hz. - marca CIRCUITOR.</t>
  </si>
  <si>
    <t>LA ST120 3N2</t>
  </si>
  <si>
    <t>LA ST120 3Y2</t>
  </si>
  <si>
    <t>LA ST240 3N2</t>
  </si>
  <si>
    <t>LA ST240 3Y2</t>
  </si>
  <si>
    <t>Ventilador + rejilla + filtro - 204x204mm. - Ue=230V, 110/120 m3/h, 204x204mm. - modelo FPF13K - marca FANDIS.</t>
  </si>
  <si>
    <t>IP42 (Fab. Nacional)</t>
  </si>
  <si>
    <t>TABLERO  "TGN-1" : 380V, 3Ø+N+T, 60Hz.</t>
  </si>
  <si>
    <t>TGN-1</t>
  </si>
  <si>
    <t>TC 4000/5</t>
  </si>
  <si>
    <t>Transformador de corriente de 4000/5A</t>
  </si>
  <si>
    <t xml:space="preserve">De ser requerido este sustento, favor de ponerse en contacto con T.J. Castro S.A.C. </t>
  </si>
  <si>
    <t>LAMP_FLUOR_FAND</t>
  </si>
  <si>
    <t>Lámpara fluorescente - 230V, 60Hz 13W - modelo CLG, marca FANDIS.</t>
  </si>
  <si>
    <t>LIMIT_SWITCH_FAND</t>
  </si>
  <si>
    <t>Switch de puerta - FC-001.</t>
  </si>
  <si>
    <t>FOTOCELDA</t>
  </si>
  <si>
    <t>BASE_FOTOCELDA</t>
  </si>
  <si>
    <t>FOTOCELDA 1800VA 220V N/C (NF) 10 LUX STIELECTRONICA</t>
  </si>
  <si>
    <t>BASE C/SOPORTE P/CONTROL FOTOCELDA P/ADOSAR STIELECTRONICA</t>
  </si>
  <si>
    <t>0400RTF82S</t>
  </si>
  <si>
    <t>0400TPLS476</t>
  </si>
  <si>
    <t>STIELECTRONICA</t>
  </si>
  <si>
    <t>OTM_I-0-II_4p_800A</t>
  </si>
  <si>
    <t>1SCA022872R8340</t>
  </si>
  <si>
    <t>Conmutador motorizado bajo carga (I-0-II), modelo OTM-C, 4p, 800A (AC21..AC22) / 800A (AC23) - marca ABB.</t>
  </si>
  <si>
    <t>OTM_I-0-II_4p_1250A</t>
  </si>
  <si>
    <t>Conmutador motorizado bajo carga (I-0-II), modelo OTM-C, 4p, 1250A (AC21..AC22) / 1250A (AC23) - marca ABB.</t>
  </si>
  <si>
    <t>OTM_I-0-II_4p_1600A</t>
  </si>
  <si>
    <t>Conmutador motorizado bajo carga (I-0-II), modelo OTM-C, 4p, 1600A (AC21..AC22) / 1600A (AC23) - marca ABB.</t>
  </si>
  <si>
    <t>1SCA112702R1001</t>
  </si>
  <si>
    <t>1SCA112704R1001</t>
  </si>
  <si>
    <t>Juego de terminales para salida de cables alimentadores mayores o iguales a 50mm2.</t>
  </si>
  <si>
    <t>60Hz, controlado por un Dispositivo de Conmutación Automática.</t>
  </si>
  <si>
    <t>El módulo de potencia está formado por:</t>
  </si>
  <si>
    <t>descripción:</t>
  </si>
  <si>
    <t>A) Supervisa la tensión de Red Principal y de Emergencia y registra cualquiera de las siguientes anomalías:</t>
  </si>
  <si>
    <t>- Tensión máxima y mínima.</t>
  </si>
  <si>
    <t>- Frecuencia máxima y mínima.</t>
  </si>
  <si>
    <t>- Falta de fase.</t>
  </si>
  <si>
    <t>- Desequilibrio de tensión.</t>
  </si>
  <si>
    <t>- Desequilibrio de frecuencia.</t>
  </si>
  <si>
    <t>B) Controla todas las secuencias de conmutación aplicando los retardos temporales programables siguientes:</t>
  </si>
  <si>
    <t>- Retardo de arranque del generador después de la detección de una anomalía en la red. Regulable de</t>
  </si>
  <si>
    <t xml:space="preserve">  0 a 30 s. </t>
  </si>
  <si>
    <t>- Retardo de apertura del interruptor de suministro Emergencia, después de detección de la estabilización</t>
  </si>
  <si>
    <t xml:space="preserve">  de tensión del suministro principal. Regulable: 0…59s, 1, 2,...30min.</t>
  </si>
  <si>
    <t xml:space="preserve">- Retardo de apagado del Grupo Electrógeno  después del cierre del interruptor de suministro principal. </t>
  </si>
  <si>
    <t xml:space="preserve">  Regulable: 0…59s, 1, 2,…30min.</t>
  </si>
  <si>
    <t>C) Con un display grafico frontal, a través del cual el usuario puede verificar la configuración y ver el estado</t>
  </si>
  <si>
    <t xml:space="preserve">     de la unidad y de los interruptores conectados.</t>
  </si>
  <si>
    <t>D) El display gráfico permite la visualización de la tensión y frecuencia de Suministro Principal y de Emergencia.</t>
  </si>
  <si>
    <t xml:space="preserve">     Emergencia.</t>
  </si>
  <si>
    <t>E) Bornes para mando de arranque del Grupo electrógeno.</t>
  </si>
  <si>
    <t>1SDA062883R1</t>
  </si>
  <si>
    <t>Con sistema de mando eléctrico y accesorios para enclavamiento mecánico.</t>
  </si>
  <si>
    <t>TABLERO  "TNL11-1" : 380V, 3Ø+N+T, 60Hz.</t>
  </si>
  <si>
    <t>Sistema de señalización remota (p/ modelo XT):</t>
  </si>
  <si>
    <t>Sistema de señalización remota (p/ modelo T5):</t>
  </si>
  <si>
    <t>Juego de bornes para señales remotas.</t>
  </si>
  <si>
    <t>TNL11-1</t>
  </si>
  <si>
    <t>TABLERO  "TNL21-1" : 380V, 3Ø+N+T, 60Hz.</t>
  </si>
  <si>
    <t>T7S1250(M)-1250A-3P-PR232/P-LSI</t>
  </si>
  <si>
    <t>TNL21-1</t>
  </si>
  <si>
    <t>TABLERO  "TNL22-1" : 380V, 3Ø+N+T, 60Hz.</t>
  </si>
  <si>
    <t>TABLERO  "TNL31-1" : 380V, 3Ø+N+T, 60Hz.</t>
  </si>
  <si>
    <t>TNL31-1</t>
  </si>
  <si>
    <t>Portalámpara + lampara tipo LED - color Rojo - alimentacion: 220Vac, d=22mm. - línea compacta.</t>
  </si>
  <si>
    <t>Portalámpara + lampara tipo LED - color Verde - alimentacion: 220Vac, d=22mm. - línea compacta.</t>
  </si>
  <si>
    <t>Portalámpara + lampara tipo LED - color Amarillo - alimentacion: 220Vac, d=22mm. - línea compacta.</t>
  </si>
  <si>
    <t>Portalámpara + lampara tipo LED - color Rojo - alimentacion: 110-130Vac, d=22mm. - línea compacta.</t>
  </si>
  <si>
    <t>Portalámpara + lampara tipo LED - color Verde - alimentacion: 110-130Vac, d=22mm. - línea compacta.</t>
  </si>
  <si>
    <t>Portalámpara + lampara tipo LED - color Amarillo - alimentacion: 110-130Vac, d=22mm. - línea compacta.</t>
  </si>
  <si>
    <t>TABLERO  "TNL32-1" : 380V, 3Ø+N+T, 60Hz.</t>
  </si>
  <si>
    <t>TABLERO  "TEL21-1" : 380V, 3Ø+N+T, 60Hz.</t>
  </si>
  <si>
    <t>TABLERO  "TEL22-1" : 380V, 3Ø+N+T, 60Hz.</t>
  </si>
  <si>
    <t>A1C125-20A-4P-TMF</t>
  </si>
  <si>
    <t>A1C125-25A-4P-TMF</t>
  </si>
  <si>
    <t>A1C125-40A-4P-TMF</t>
  </si>
  <si>
    <t>A1C125-50A-4P-TMF</t>
  </si>
  <si>
    <t>A1C125-70A-4P-TMF</t>
  </si>
  <si>
    <t>A1C125-80A-4P-TMF</t>
  </si>
  <si>
    <t>A1C125-90A-4P-TMF</t>
  </si>
  <si>
    <t>A1C125-100A-4P-TMF</t>
  </si>
  <si>
    <t>A1C125-125A-4P-TMF</t>
  </si>
  <si>
    <t>1SDA066746R1</t>
  </si>
  <si>
    <t>1SDA066747R1</t>
  </si>
  <si>
    <t>1SDA066748R1</t>
  </si>
  <si>
    <t>1SDA066749R1</t>
  </si>
  <si>
    <t>1SDA066750R1</t>
  </si>
  <si>
    <t>1SDA066751R1</t>
  </si>
  <si>
    <t>1SDA066752R1</t>
  </si>
  <si>
    <t>1SDA066753R1</t>
  </si>
  <si>
    <t>1SDA066754R1</t>
  </si>
  <si>
    <t>1SDA066755R1</t>
  </si>
  <si>
    <t>1SDA066756R1</t>
  </si>
  <si>
    <t xml:space="preserve">Los interruptores termomagnéticos cumplen con selectividad en los tableros generales (hasta el 3er nivel), </t>
  </si>
  <si>
    <t>Los tableros de distribución (derivados) no forman parte del estudio de coordinación.</t>
  </si>
  <si>
    <t>Ver las notas del item 38 "Estudio de coordinación de protecciones".</t>
  </si>
  <si>
    <t>En los tableros de distribución (derivados) se ha considerado una corriente de corto-circuito (Icc) de 10kA@380Vac.</t>
  </si>
  <si>
    <t>Este valor será corroborado con el corriento en software del sistema eléctrico.</t>
  </si>
  <si>
    <t>Se ha considerado que el UPS que figura dentro del tablero "XX"(item XX) irá instalado</t>
  </si>
  <si>
    <t>fuera del tablero, por lo que no ha sido considerado dentro de este presupuesto.</t>
  </si>
  <si>
    <t>aislamiento ni estabilizadores. Estos quedarán a cargo del cliente.</t>
  </si>
  <si>
    <t>Se ha considerado todos los gabinetes de distribución (derivados) con mandil empernado a la estructura.</t>
  </si>
  <si>
    <t>1SDA071142R1</t>
  </si>
  <si>
    <t>ITM Bastidor Abierto 3x2000A (electrónico [0.4-1.0] In) - E2.2N-2000A-3P-Ekip Dip LSI - 66kA@440Vac - marca ABB.</t>
  </si>
  <si>
    <t>E4.2N-3200A-3P-Ekip Dip LSI</t>
  </si>
  <si>
    <t>ITM Bastidor Abierto 3x3200A (electrónico [0.4-1.0] In) - E4.2N-2000A-3P-Ekip Dip LSI - 66kA@440Vac - marca ABB.</t>
  </si>
  <si>
    <t>TABLERO  "TGN-2" : 380V, 3Ø+N+T, 60Hz.</t>
  </si>
  <si>
    <t>TABLERO  "TNL11-2" : 380V, 3Ø+N+T, 60Hz.</t>
  </si>
  <si>
    <t>TABLERO  "TNL21-2" : 380V, 3Ø+N+T, 60Hz.</t>
  </si>
  <si>
    <t>TNL21-2</t>
  </si>
  <si>
    <t>TABLERO  "TNL22-2" : 380V, 3Ø+N+T, 60Hz.</t>
  </si>
  <si>
    <t>TABLERO  "TNL31-2" : 380V, 3Ø+N+T, 60Hz.</t>
  </si>
  <si>
    <t>Toroide diferencial para Emax2 - Id = 3..30A - Emax E2.2 (4p), E4.2 (3p) - marca ABB.</t>
  </si>
  <si>
    <t>1SDA074255R1</t>
  </si>
  <si>
    <t>1SDA074256R1</t>
  </si>
  <si>
    <t>1SDA074257R1</t>
  </si>
  <si>
    <t>Calibre del relé de protección "Rating Plug" In=2000A + Protección Diferencial (Id = 3..30A) - Emax2 - marca ABB.</t>
  </si>
  <si>
    <t>Calibre del relé de protección "Rating Plug" In=3200A + Protección Diferencial (Id = 3..30A) - Emax2 - marca ABB.</t>
  </si>
  <si>
    <t>Calibre del relé de protección "Rating Plug" In=4000A + Protección Diferencial (Id = 3..30A) - Emax2 - marca ABB.</t>
  </si>
  <si>
    <t>TABLERO  "TEL31-2" : 380V, 3Ø+N+T, 60Hz.</t>
  </si>
  <si>
    <t>TABLERO  "TEL32-2" : 380V, 3Ø+N+T, 60Hz.</t>
  </si>
  <si>
    <t>Mando motor (MOD) - para XT1/XT3 - 220-250V AC/DC - (YO+YC) - marca ABB.</t>
  </si>
  <si>
    <t>Mando motor con energía acumulada (MOE) - para XT2/XT4 - 220-250V AC/DC - (YM+YO+YC) - marca ABB.</t>
  </si>
  <si>
    <t>TABLERO  "TNL32-2" : 380V, 3Ø+N+T, 60Hz.</t>
  </si>
  <si>
    <t>TABLERO  "TEL21-2" : 380V, 3Ø+N+T, 60Hz.</t>
  </si>
  <si>
    <t>TABLERO  "TEL22-2" : 380V, 3Ø+N+T, 60Hz.</t>
  </si>
  <si>
    <t>TABLERO  "TGN-3" : 380V, 3Ø+N+T, 60Hz.</t>
  </si>
  <si>
    <t>TGN-3</t>
  </si>
  <si>
    <t>TABLERO  "TNL2-3" : 380V, 3Ø+N+T, 60Hz.</t>
  </si>
  <si>
    <t>Se ha considerado los tableros de distribución del tipo empotrados con grado de protección IP-40 (instalacion</t>
  </si>
  <si>
    <t>interior, proteccion a suciedad) de fabricación nacional y los tableros de distribución del tipo adosados con</t>
  </si>
  <si>
    <t>grado de protección IP-54 (instalacion interior, proteccion a polvo y goteos de agua) de fabricación nacional.</t>
  </si>
  <si>
    <t>A1B125-15A-3P-TMF</t>
  </si>
  <si>
    <t>1SDA066697R1</t>
  </si>
  <si>
    <t>A1N/P125-125A-2P-TMF</t>
  </si>
  <si>
    <t>1SDA069564R1</t>
  </si>
  <si>
    <t>SNT_1/150A</t>
  </si>
  <si>
    <t>Resistencia Shunt para medición de corriente DC, Uo=60mV DC - modelo SNT_1/150A - marca ABB.</t>
  </si>
  <si>
    <t>2CSM100130R1121</t>
  </si>
  <si>
    <t>TABLERO  "TNL3-3" : 380V, 3Ø+N+T, 60Hz.</t>
  </si>
  <si>
    <t>TABLERO  "TEL3-3" : 380V, 3Ø+N+T, 60Hz.</t>
  </si>
  <si>
    <t>TABLERO  "TGN-4" : 380V, 3Ø+N+T, 60Hz.</t>
  </si>
  <si>
    <t>TABLERO  "TNL2-4" : 380V, 3Ø+N+T, 60Hz.</t>
  </si>
  <si>
    <t>(Fabricacion Nacional)</t>
  </si>
  <si>
    <t>MANDIL</t>
  </si>
  <si>
    <t>ABISAGRADO</t>
  </si>
  <si>
    <t>Interruptores cumplen</t>
  </si>
  <si>
    <t>con selectividad</t>
  </si>
  <si>
    <t>TABLERO  "TNL3-4" : 380V, 3Ø+N+T, 60Hz.</t>
  </si>
  <si>
    <t>TABLERO  "TGNM-4" : 380V, 3Ø+N+T, 60Hz.</t>
  </si>
  <si>
    <t>TABLERO  "TGNM-3" : 380V, 3Ø+N+T, 60Hz.</t>
  </si>
  <si>
    <t>TABLERO  "TGNM-2" : 380V, 3Ø+N+T, 60Hz.</t>
  </si>
  <si>
    <t>TABLERO  "TGNM-1" : 380V, 3Ø+N+T, 60Hz.</t>
  </si>
  <si>
    <t>TABLERO  "TGEM-2" : 380V, 3Ø+N+T, 60Hz.</t>
  </si>
  <si>
    <t>TABLERO  "TGEM-4" : 380V, 3Ø+N+T, 60Hz.</t>
  </si>
  <si>
    <t>TABLERO  "TGEM-3" : 380V, 3Ø+N+T, 60Hz.</t>
  </si>
  <si>
    <t>TABLERO  "TGEM-1" : 380V, 3Ø+N+T, 60Hz.</t>
  </si>
  <si>
    <t>Transformador de corriente de 2000/5A, para Banco de Condensadores.</t>
  </si>
  <si>
    <t>TABLERO  "TG-CH" : 380V, 3Ø+N+T, 60Hz.</t>
  </si>
  <si>
    <t>TABLERO  "TM3-4" : 380/220V, 3Ø+N+T, 60Hz.</t>
  </si>
  <si>
    <t>TABLERO  "TM2-4" : 380/220V, 3Ø+N+T, 60Hz.</t>
  </si>
  <si>
    <t>TABLERO  "TM1-4" : 380/220V, 3Ø+N+T, 60Hz.</t>
  </si>
  <si>
    <t>TABLERO  "TME1-4" : 380/220V, 3Ø+N+T, 60Hz.</t>
  </si>
  <si>
    <t>TABLERO  "TNSG2-1" : 380/220V, 3Ø+N+T, 60Hz.</t>
  </si>
  <si>
    <t>TABLERO  "TNSG3-1" : 380/220V, 3Ø+N+T, 60Hz.</t>
  </si>
  <si>
    <t>TABLERO  "TESG2-1" : 380/220V, 3Ø+N+T, 60Hz.</t>
  </si>
  <si>
    <t>TABLERO  "TESG3-1" : 380/220V, 3Ø+N+T, 60Hz.</t>
  </si>
  <si>
    <t>TABLERO  "TNSG2-2" : 380/220V, 3Ø+N+T, 60Hz.</t>
  </si>
  <si>
    <t>TABLERO  "TNSG3-2" : 380/220V, 3Ø+N+T, 60Hz.</t>
  </si>
  <si>
    <t>TABLERO  "TESG2-2" : 380/220V, 3Ø+N+T, 60Hz.</t>
  </si>
  <si>
    <t>TABLERO  "TESG3-2" : 380/220V, 3Ø+N+T, 60Hz.</t>
  </si>
  <si>
    <t>TABLERO  "TNSG2-3" : 380/220V, 3Ø+N+T, 60Hz.</t>
  </si>
  <si>
    <t>TABLERO  "TNSG3-3" : 380/220V, 3Ø+N+T, 60Hz.</t>
  </si>
  <si>
    <t>TABLERO  "TESG2-3" : 380/220V, 3Ø+N+T, 60Hz.</t>
  </si>
  <si>
    <t>TABLERO  "TESG3-3" : 380/220V, 3Ø+N+T, 60Hz.</t>
  </si>
  <si>
    <t>TABLERO  "TNSG2-4" : 380/220V, 3Ø+N+T, 60Hz.</t>
  </si>
  <si>
    <t>TABLERO  "TNSG3-4" : 380/220V, 3Ø+N+T, 60Hz.</t>
  </si>
  <si>
    <t>TABLERO  "TESG2-4" : 380/220V, 3Ø+N+T, 60Hz.</t>
  </si>
  <si>
    <t>TABLERO  "TESG3-4" : 380/220V, 3Ø+N+T, 60Hz.</t>
  </si>
  <si>
    <t>TABLERO  "TB-C" : 380/220V, 3Ø+N+T, 60Hz.</t>
  </si>
  <si>
    <t>TABLERO  "TB-S" : 380/220V, 3Ø+N+T, 60Hz.</t>
  </si>
  <si>
    <t>TABLERO  "TB-P" : 380/220V, 3Ø+N+T, 60Hz.</t>
  </si>
  <si>
    <t>TABLERO  "TME1-1" : 380/220V, 3Ø+N+T, 60Hz.</t>
  </si>
  <si>
    <t>TABLERO  "TM1-1" : 380/220V, 3Ø+N+T, 60Hz.</t>
  </si>
  <si>
    <t>TABLERO  "TM2-1" : 380/220V, 3Ø+N+T, 60Hz.</t>
  </si>
  <si>
    <t>TABLERO  "TM3-1" : 380/220V, 3Ø+N+T, 60Hz.</t>
  </si>
  <si>
    <t>A1C125-15A-3P-TMF</t>
  </si>
  <si>
    <t>1SDA066709R1</t>
  </si>
  <si>
    <t>A1N/P125-15A-2P-TMF</t>
  </si>
  <si>
    <t>1SDA069550R1</t>
  </si>
  <si>
    <t>1Q+1SY_A1(2p)</t>
  </si>
  <si>
    <t>1SDA066151R1</t>
  </si>
  <si>
    <t>1Q+1SY_A1-A2(3p)</t>
  </si>
  <si>
    <t>2Q+1SY_A1-A2(3p)</t>
  </si>
  <si>
    <t>TABLERO  "TME2-1" : 380/220V, 3Ø+N+T, 60Hz.</t>
  </si>
  <si>
    <t>TABLERO  "TM1-2" : 380/220V, 3Ø+N+T, 60Hz.</t>
  </si>
  <si>
    <t>TABLERO  "TM3-2" : 380/220V, 3Ø+N+T, 60Hz.</t>
  </si>
  <si>
    <t>TABLERO  "TM2-2" : 380/220V, 3Ø+N+T, 60Hz.</t>
  </si>
  <si>
    <t>TABLERO  "TM1-3" : 380/220V, 3Ø+N+T, 60Hz.</t>
  </si>
  <si>
    <t>TABLERO  "TM2-3" : 380/220V, 3Ø+N+T, 60Hz.</t>
  </si>
  <si>
    <t>TABLERO  "TM3-3" : 380/220V, 3Ø+N+T, 60Hz.</t>
  </si>
  <si>
    <t>TABLERO  "TNS-1" : 380/220V, 3Ø+N+T, 60Hz.</t>
  </si>
  <si>
    <t>TABLERO  "TES-1" : 380/220V, 3Ø+N+T, 60Hz.</t>
  </si>
  <si>
    <t>TABLERO  "TN1-1" : 380/220V, 3Ø+N+T, 60Hz.</t>
  </si>
  <si>
    <t>TABLERO  "TN2-1" : 380/220V, 3Ø+N+T, 60Hz.</t>
  </si>
  <si>
    <t>TABLERO  "TN3-1" : 380/220V, 3Ø+N+T, 60Hz.</t>
  </si>
  <si>
    <t>TABLERO  "TGEL-1" : 380/220V, 3Ø+N+T, 60Hz.</t>
  </si>
  <si>
    <t>TABLERO  "TSS-1" : 380/220V, 3Ø+N+T, 60Hz.</t>
  </si>
  <si>
    <t>Transferencia manual Trifasica compuesta por :</t>
  </si>
  <si>
    <t>Enclavamiento mecanico que permita la conexión de un solo suministro.</t>
  </si>
  <si>
    <t>TABLERO  "TEAA1-1" : 380/220V, 3Ø+N+T, 60Hz.</t>
  </si>
  <si>
    <t>TABLERO  "TEAA2-1" : 380/220V, 3Ø+N+T, 60Hz.</t>
  </si>
  <si>
    <t>TABLERO  "TJFS-1" : 380/220V, 3Ø+N+T, 60Hz.</t>
  </si>
  <si>
    <t>SubPanel por Peine:</t>
  </si>
  <si>
    <t>SubPanel-1:</t>
  </si>
  <si>
    <t>SubPanel-2:</t>
  </si>
  <si>
    <t>SubPanel-3:</t>
  </si>
  <si>
    <t>SubPanel-4:</t>
  </si>
  <si>
    <t>TABLERO  "TNALS-1" : 380/220V, 3Ø+N+T, 60Hz.</t>
  </si>
  <si>
    <t>TABLERO  "TNAL1-1" : 380/220V, 3Ø+N+T, 60Hz.</t>
  </si>
  <si>
    <t>TABLERO  "TNAL2-1" : 380/220V, 3Ø+N+T, 60Hz.</t>
  </si>
  <si>
    <t>TABLERO  "TNAL3-1" : 380/220V, 3Ø+N+T, 60Hz.</t>
  </si>
  <si>
    <t>TABLERO  "TNAEX-1" : 380/220V, 3Ø+N+T, 60Hz.</t>
  </si>
  <si>
    <t>TABLERO  "TEALS-1" : 380/220V, 3Ø+N+T, 60Hz.</t>
  </si>
  <si>
    <t>TABLERO  "TEAL1-1" : 380/220V, 3Ø+N+T, 60Hz.</t>
  </si>
  <si>
    <t>TABLERO  "TEAL2-1" : 380/220V, 3Ø+N+T, 60Hz.</t>
  </si>
  <si>
    <t>TABLERO  "TEAL3-1" : 380/220V, 3Ø+N+T, 60Hz.</t>
  </si>
  <si>
    <t>TABLERO  "TEAEX-1" : 380/220V, 3Ø+N+T, 60Hz.</t>
  </si>
  <si>
    <t>TABLERO  "TE-OA" : 380/220V, 3Ø+N+T, 60Hz.</t>
  </si>
  <si>
    <t>TABLERO  "TS-OA" : 380/220V, 3Ø+N+T, 60Hz.</t>
  </si>
  <si>
    <t>TABLERO  "TNS-2" : 380/220V, 3Ø+N+T, 60Hz.</t>
  </si>
  <si>
    <t>TABLERO  "TES-2" : 380/220V, 3Ø+N+T, 60Hz.</t>
  </si>
  <si>
    <t>TABLERO  "TN1-2" : 380/220V, 3Ø+N+T, 60Hz.</t>
  </si>
  <si>
    <t>TABLERO  "TN2-2" : 380/220V, 3Ø+N+T, 60Hz.</t>
  </si>
  <si>
    <t>TABLERO  "TN3-2" : 380/220V, 3Ø+N+T, 60Hz.</t>
  </si>
  <si>
    <t>TABLERO  "TGEL-2" : 380/220V, 3Ø+N+T, 60Hz.</t>
  </si>
  <si>
    <t>TABLERO  "TSS-2" : 380/220V, 3Ø+N+T, 60Hz.</t>
  </si>
  <si>
    <t>TABLERO  "TEAA1-2" : 380/220V, 3Ø+N+T, 60Hz.</t>
  </si>
  <si>
    <t>TABLERO  "TEAA2-2" : 380/220V, 3Ø+N+T, 60Hz.</t>
  </si>
  <si>
    <t>TABLERO  "TJFS-2" : 380/220V, 3Ø+N+T, 60Hz.</t>
  </si>
  <si>
    <t>TABLERO  "TNALS-2" : 380/220V, 3Ø+N+T, 60Hz.</t>
  </si>
  <si>
    <t>TABLERO  "TNAL1-2" : 380/220V, 3Ø+N+T, 60Hz.</t>
  </si>
  <si>
    <t>TABLERO  "TNAL2-2" : 380/220V, 3Ø+N+T, 60Hz.</t>
  </si>
  <si>
    <t>TABLERO  "TNAL3-2" : 380/220V, 3Ø+N+T, 60Hz.</t>
  </si>
  <si>
    <t>TABLERO  "TNAEX-2" : 380/220V, 3Ø+N+T, 60Hz.</t>
  </si>
  <si>
    <t>TABLERO  "TEALS-2" : 380/220V, 3Ø+N+T, 60Hz.</t>
  </si>
  <si>
    <t>TABLERO  "TEAL1-2" : 380/220V, 3Ø+N+T, 60Hz.</t>
  </si>
  <si>
    <t>TABLERO  "TEAL2-2" : 380/220V, 3Ø+N+T, 60Hz.</t>
  </si>
  <si>
    <t>TABLERO  "TEAL3-2" : 380/220V, 3Ø+N+T, 60Hz.</t>
  </si>
  <si>
    <t>TABLERO  "TEAEX-2" : 380/220V, 3Ø+N+T, 60Hz.</t>
  </si>
  <si>
    <t>TABLERO  "TNS-3" : 380/220V, 3Ø+N+T, 60Hz.</t>
  </si>
  <si>
    <t>TABLERO  "TES-3" : 380/220V, 3Ø+N+T, 60Hz.</t>
  </si>
  <si>
    <t>TABLERO  "TN1-3" : 380/220V, 3Ø+N+T, 60Hz.</t>
  </si>
  <si>
    <t>TABLERO  "TN2-3" : 380/220V, 3Ø+N+T, 60Hz.</t>
  </si>
  <si>
    <t>TABLERO  "TSS-3" : 380/220V, 3Ø+N+T, 60Hz.</t>
  </si>
  <si>
    <t>TABLERO  "TEAA1-3" : 380/220V, 3Ø+N+T, 60Hz.</t>
  </si>
  <si>
    <t>TABLERO  "TEAA2-3" : 380/220V, 3Ø+N+T, 60Hz.</t>
  </si>
  <si>
    <t>TABLERO  "TJFS-3" : 380/220V, 3Ø+N+T, 60Hz.</t>
  </si>
  <si>
    <t>TABLERO  "TGEL-3" : 380/220V, 3Ø+N+T, 60Hz.</t>
  </si>
  <si>
    <t>TABLERO  "TNALS-3" : 380/220V, 3Ø+N+T, 60Hz.</t>
  </si>
  <si>
    <t>TABLERO  "TNAL1-3" : 380/220V, 3Ø+N+T, 60Hz.</t>
  </si>
  <si>
    <t>TABLERO  "TNAL2-3" : 380/220V, 3Ø+N+T, 60Hz.</t>
  </si>
  <si>
    <t>TABLERO  "TNAL3-3" : 380/220V, 3Ø+N+T, 60Hz.</t>
  </si>
  <si>
    <t>TABLERO  "TNAEX-3" : 380/220V, 3Ø+N+T, 60Hz.</t>
  </si>
  <si>
    <t>TABLERO  "TEALS-3" : 380/220V, 3Ø+N+T, 60Hz.</t>
  </si>
  <si>
    <t>TABLERO  "TEAL1-3" : 380/220V, 3Ø+N+T, 60Hz.</t>
  </si>
  <si>
    <t>TABLERO  "TEAL2-3" : 380/220V, 3Ø+N+T, 60Hz.</t>
  </si>
  <si>
    <t>TABLERO  "TEAL3-3" : 380/220V, 3Ø+N+T, 60Hz.</t>
  </si>
  <si>
    <t>TABLERO  "TEAEX-3" : 380/220V, 3Ø+N+T, 60Hz.</t>
  </si>
  <si>
    <t>TABLERO  "TNS-4" : 380/220V, 3Ø+N+T, 60Hz.</t>
  </si>
  <si>
    <t>TABLERO  "TES-4" : 380/220V, 3Ø+N+T, 60Hz.</t>
  </si>
  <si>
    <t>TABLERO  "TN1-4" : 380/220V, 3Ø+N+T, 60Hz.</t>
  </si>
  <si>
    <t>TABLERO  "TG-B" : 380/220V, 3Ø+N+T, 60Hz.</t>
  </si>
  <si>
    <t>TABLERO  "TN3-4" : 380/220V, 3Ø+N+T, 60Hz.</t>
  </si>
  <si>
    <t>TABLERO  "TN2-4" : 380/220V, 3Ø+N+T, 60Hz.</t>
  </si>
  <si>
    <t>TABLERO  "TSS-4" : 380/220V, 3Ø+N+T, 60Hz.</t>
  </si>
  <si>
    <t>TABLERO  "TEAA1-4" : 380/220V, 3Ø+N+T, 60Hz.</t>
  </si>
  <si>
    <t>TABLERO  "TEAA2-4" : 380/220V, 3Ø+N+T, 60Hz.</t>
  </si>
  <si>
    <t>TABLERO  "TJFS-4" : 380/220V, 3Ø+N+T, 60Hz.</t>
  </si>
  <si>
    <t>TABLERO  "TGEL-4/5" : 380/220V, 3Ø+N+T, 60Hz.</t>
  </si>
  <si>
    <t>TABLERO  "TNALS-4" : 380/220V, 3Ø+N+T, 60Hz.</t>
  </si>
  <si>
    <t>TABLERO  "TNAL1-4" : 380/220V, 3Ø+N+T, 60Hz.</t>
  </si>
  <si>
    <t>TABLERO  "TNAL2-4" : 380/220V, 3Ø+N+T, 60Hz.</t>
  </si>
  <si>
    <t>TABLERO  "TNAL3-4" : 380/220V, 3Ø+N+T, 60Hz.</t>
  </si>
  <si>
    <t>TABLERO  "TEALS-4" : 380/220V, 3Ø+N+T, 60Hz.</t>
  </si>
  <si>
    <t>TABLERO  "TEAL1-4" : 380/220V, 3Ø+N+T, 60Hz.</t>
  </si>
  <si>
    <t>TABLERO  "TEAL2-4" : 380/220V, 3Ø+N+T, 60Hz.</t>
  </si>
  <si>
    <t>TABLERO  "TEAL3-4" : 380/220V, 3Ø+N+T, 60Hz.</t>
  </si>
  <si>
    <t>TABLERO  "T-TC1" : 380/220V, 3Ø+N+T, 60Hz.</t>
  </si>
  <si>
    <t>TABLERO  "T-BI1" : 380/220V, 3Ø+N+T, 60Hz.</t>
  </si>
  <si>
    <t>TABLERO  "T-BTI1" : 380/220V, 3Ø+N+T, 60Hz.</t>
  </si>
  <si>
    <t>TABLERO  "T-TC2" : 380/220V, 3Ø+N+T, 60Hz.</t>
  </si>
  <si>
    <t>TABLERO  "T-BI2" : 380/220V, 3Ø+N+T, 60Hz.</t>
  </si>
  <si>
    <t>TABLERO  "T-BTI2" : 380/220V, 3Ø+N+T, 60Hz.</t>
  </si>
  <si>
    <t>TABLERO  "T-BCI" : 380/220V, 3Ø+N+T, 60Hz.</t>
  </si>
  <si>
    <t>TABLERO  "T-ASC11/21" : 380/220V, 3Ø+N+T, 60Hz.</t>
  </si>
  <si>
    <t>TABLERO  "T-ASC13/14/22/31/42/43" : 380/220V, 3Ø+N+T, 60Hz.</t>
  </si>
  <si>
    <t>TABLERO  "T-ASC32" : 380/220V, 3Ø+N+T, 60Hz.</t>
  </si>
  <si>
    <t>TABLERO  "T-ASC12/33" : 380/220V, 3Ø+N+T, 60Hz.</t>
  </si>
  <si>
    <t>TABLERO  "T-ASC41" : 380/220V, 3Ø+N+T, 60Hz.</t>
  </si>
  <si>
    <t>ITM Riel-Din 2x80A - S802C-C-80A - 25kA@415Vac - marca ABB.</t>
  </si>
  <si>
    <t>ITM Caja Moldeada 4x63A (reg.[0.7-1.0] In) - XT4N160-63A-4P-TMA - 65kA@230V, 36kA@415V - marca ABB.</t>
  </si>
  <si>
    <t>ITM Caja Moldeada 4x80A (reg.[0.7-1.0] In) - XT4N160-80A-4P-TMA - 65kA@230V, 36kA@415V - marca ABB.</t>
  </si>
  <si>
    <t>ITM Caja Moldeada 4x100A (reg.[0.7-1.0] In) - XT4N160-100A-4P-TMA - 65kA@230V, 36kA@415V - marca ABB.</t>
  </si>
  <si>
    <t>ITM Caja Moldeada 4x160A (reg.[0.7-1.0] In) - XT4N160-160A-4P-TMA - 65kA@230V, 36kA@415V - marca ABB.</t>
  </si>
  <si>
    <t>XT4N160-63A-4P-TMA</t>
  </si>
  <si>
    <t>XT4N160-80A-4P-TMA</t>
  </si>
  <si>
    <t>XT4N160-100A-4P-TMA</t>
  </si>
  <si>
    <t>XT4N160-160A-4P-TMA</t>
  </si>
  <si>
    <t>1SDA068108R1</t>
  </si>
  <si>
    <t>XT4N160-125A-3P-TMA</t>
  </si>
  <si>
    <t>1SDA068088R1</t>
  </si>
  <si>
    <t>XT4N160-125A-4P-TMA</t>
  </si>
  <si>
    <t>ITM Caja Moldeada 4x125A (reg.[0.7-1.0] In) - XT4N160-125A-4P-TMA - 65kA@230V, 36kA@415V - marca ABB.</t>
  </si>
  <si>
    <t>1SDA068107R1</t>
  </si>
  <si>
    <t>1SDA068101R1</t>
  </si>
  <si>
    <t>1SDA068100R1</t>
  </si>
  <si>
    <t>1SDA068099R1</t>
  </si>
  <si>
    <t>1SDA054329R1</t>
  </si>
  <si>
    <t>T5N400-320A-4P-PR222DS/P-LSI</t>
  </si>
  <si>
    <t>ITM Caja Moldeada 4x400A (electrónico [0.4-1.0] In) - T5N400-400A-4P-PR222DS/P-LSI - 70kA@230V, 36A@415V - marca ABB.</t>
  </si>
  <si>
    <t>ITM Caja Moldeada 4x320A (electrónico [0.4-1.0] In) - T5N400-320A-4P-PR222DS/P-LSI - 70kA@230V, 36A@415V - marca ABB.</t>
  </si>
  <si>
    <t>ITM Caja Moldeada 4x200A (reg.[0.7-1.0] In) - XT3N250-200A-4P-TMD - 50kA@230V, 36kA@415V - marca ABB.</t>
  </si>
  <si>
    <t>ITM Caja Moldeada 4x250A (reg.[0.7-1.0] In) - XT4N250-250A-4P-TMA - 65kA@230V, 36kA@415V - marca ABB.</t>
  </si>
  <si>
    <t>En este presupuesto, los interruptores termomagnéticos cumplen con selectividad en los tableros generales</t>
  </si>
  <si>
    <t>(hasta el 3er y/o 4to nivel), y con back-up en los tableros derivados (hasta el 5to y/o 6to nivel).</t>
  </si>
  <si>
    <t>Ver las notas del item 239 "Estudio de coordinación de protecciones".</t>
  </si>
  <si>
    <t>EQUIPOS BIOMÉDICOS</t>
  </si>
  <si>
    <t>isoMED427P-2</t>
  </si>
  <si>
    <t>IR427-2</t>
  </si>
  <si>
    <t>STW2</t>
  </si>
  <si>
    <t>Transformador de corriente para los vigilantes de  aislamiento - modelo STW2, marca BENDER.</t>
  </si>
  <si>
    <t>MK2430-12</t>
  </si>
  <si>
    <t>Repetidores de alarma sugeridos para Sala de Operaciones / cuarto de enfermeras (UCI) - modelo MK2430-12, marca BENDER</t>
  </si>
  <si>
    <t>MK2007CBM</t>
  </si>
  <si>
    <t>MK7</t>
  </si>
  <si>
    <t>AN450</t>
  </si>
  <si>
    <t>Fuente de alimentacion para repetidores MK2430-12 o MK2007CBM o MK7 - modelo AN450, marca BENDER.</t>
  </si>
  <si>
    <t>ES710/10000-E</t>
  </si>
  <si>
    <t>Transformador de aislacion de 10KVA - modelo ES710/10000-E, marca BENDER.</t>
  </si>
  <si>
    <t>Ver las notas del item 170 "Estudio de coordinación de protecciones".</t>
  </si>
  <si>
    <t>En este presupuesto, los interruptores termomagnéticos cumplen con selectividad en todos los niveles (desde</t>
  </si>
  <si>
    <t>el 1er nivel hasta el 6to/7mo nivel de distribución), según lo indicado en las especificaciones técnicas.</t>
  </si>
  <si>
    <t>Para la selección de los interruptores de acuerdo a los criterios de selectividad, se ha considerado una corriente</t>
  </si>
  <si>
    <t>de corto-circuito en barra  (Icc) de 5kA en los tablero derivados del ultimo nivel (6to/7mo nivel). Asimismo, se ha</t>
  </si>
  <si>
    <t>Estos valores serán corroborados posteriormente con el corriento en software del sistema eléctrico.</t>
  </si>
  <si>
    <t>considerado una Icc de 10kA en los tableros del penúltimo nivel (5to/6to nivel), que alimentan a aquellos tableros</t>
  </si>
  <si>
    <t>del último nivel .</t>
  </si>
  <si>
    <t>Existen tableros no cotizados cuyos diagramas unifilares no se muestra (no se conoce el equipamiento interno),</t>
  </si>
  <si>
    <t>por lo que no se garatiza la selectividad en dichos tableros.</t>
  </si>
  <si>
    <t>Por mejora técnica, en todas las salidas en donde se indica un Control Externo (BMS) se ha considerado un control</t>
  </si>
  <si>
    <t>del tipo "Local-Remoto" mediante selector de tres posiciones (1-0-R). Por seguridad, en caso de fallo del sistema</t>
  </si>
  <si>
    <t>de control del BMS, debe tenerse la opción de accionar los circuitos manualmente desde el mismo tablero.</t>
  </si>
  <si>
    <t>PROFORMA 2016/1606</t>
  </si>
  <si>
    <t>TABLERO DE TRANSFERENCIA AUTOMÁTICA + DISTRIBUCIÓN "TTA-1 + TGE-1" : 380V, 3Ø+N+T, 60Hz.</t>
  </si>
  <si>
    <t>TABLERO DE TRANSFERENCIA AUTOMÁTICA + DISTRIBUCIÓN "TTA-2 + TGE-2" : 380V, 3Ø+N+T, 60Hz.</t>
  </si>
  <si>
    <t>TABLERO DE TRANSFERENCIA AUTOMÁTICA + DISTRIBUCIÓN "TTA-3 + TGE-3" : 380V, 3Ø+N+T, 60Hz.</t>
  </si>
  <si>
    <t>TABLERO DE TRANSFERENCIA AUTOMÁTICA + DISTRIBUCIÓN "TTA-4 + TGE-4" : 380V, 3Ø+N+T, 60Hz.</t>
  </si>
  <si>
    <t>02</t>
  </si>
  <si>
    <t>1.- Para  cualquier  información adicional contactarse con el Ing. Jorge Espinoza - celular 981322796.</t>
  </si>
  <si>
    <t>JE</t>
  </si>
  <si>
    <t>PROFORMA : PL-2016-1606</t>
  </si>
  <si>
    <t>Lima , 09 de Diciembre del 2016</t>
  </si>
  <si>
    <t>Ing. María Oliva Suárez</t>
  </si>
  <si>
    <t>REAL PLAZA PURUCHUCO</t>
  </si>
  <si>
    <t xml:space="preserve">                   una vez enviada su O/C y aprobado las dimensiones y planos mecánicos de los tableros.</t>
  </si>
  <si>
    <r>
      <t>NOTAS</t>
    </r>
    <r>
      <rPr>
        <b/>
        <sz val="9"/>
        <rFont val="Arial"/>
        <family val="2"/>
      </rPr>
      <t xml:space="preserve">:  </t>
    </r>
  </si>
  <si>
    <r>
      <t>CONDICIONES DE VENTA</t>
    </r>
    <r>
      <rPr>
        <sz val="11"/>
        <rFont val="Arial"/>
        <family val="2"/>
      </rPr>
      <t xml:space="preserve">:  </t>
    </r>
  </si>
  <si>
    <r>
      <t xml:space="preserve">1.- Forma de Pago:  </t>
    </r>
    <r>
      <rPr>
        <sz val="11"/>
        <rFont val="Arial"/>
        <family val="2"/>
      </rPr>
      <t>50% con la  orden de compra, saldo contra entrega.</t>
    </r>
  </si>
  <si>
    <r>
      <t xml:space="preserve">2.- Tiempo de Entrega:  </t>
    </r>
    <r>
      <rPr>
        <b/>
        <u/>
        <sz val="11"/>
        <rFont val="Arial"/>
        <family val="2"/>
      </rPr>
      <t>14 a 16 semanas</t>
    </r>
  </si>
  <si>
    <r>
      <t xml:space="preserve">3.- Validez de la oferta:  </t>
    </r>
    <r>
      <rPr>
        <sz val="11"/>
        <rFont val="Arial"/>
        <family val="2"/>
      </rPr>
      <t>30 días.</t>
    </r>
  </si>
  <si>
    <r>
      <t xml:space="preserve">Cta. Cte. Banco de Crédito (Dólares): </t>
    </r>
    <r>
      <rPr>
        <b/>
        <sz val="11"/>
        <rFont val="Arial"/>
        <family val="2"/>
      </rPr>
      <t>191-0667656-1-08</t>
    </r>
  </si>
  <si>
    <r>
      <t xml:space="preserve">Cta. Cte. Banco de Crédito (Soles): </t>
    </r>
    <r>
      <rPr>
        <b/>
        <sz val="11"/>
        <rFont val="Arial"/>
        <family val="2"/>
      </rPr>
      <t>191-0845885-0-91</t>
    </r>
  </si>
  <si>
    <t>Para cumplir la selectividad requerida, se ha aumentado la corriente nominal del interruptor principal en los</t>
  </si>
  <si>
    <t>tableros "TTA-1" (item 1), "TGN-3"(item 10), y "TGN-4"(item 15). Ver las notas del item 239 "Estudio de coordinación</t>
  </si>
  <si>
    <t>de protecciones".</t>
  </si>
  <si>
    <t>de corto-circuito en barra  (Icc) de 5kA en los tableros derivados del ultimo nivel (6to/7mo nivel). Asimismo, se ha</t>
  </si>
  <si>
    <t>Ver imagen adjunta (solo referencial).</t>
  </si>
  <si>
    <t>10.</t>
  </si>
  <si>
    <t>09.</t>
  </si>
  <si>
    <t>12.</t>
  </si>
  <si>
    <t>13.</t>
  </si>
  <si>
    <t>14.</t>
  </si>
  <si>
    <t>15.</t>
  </si>
  <si>
    <t>16.</t>
  </si>
  <si>
    <t>17.</t>
  </si>
  <si>
    <t>18.</t>
  </si>
  <si>
    <t>19.</t>
  </si>
  <si>
    <t>20.</t>
  </si>
  <si>
    <t>21.</t>
  </si>
  <si>
    <t>22.</t>
  </si>
  <si>
    <t>23.</t>
  </si>
  <si>
    <t>24.</t>
  </si>
  <si>
    <t>25.</t>
  </si>
  <si>
    <t>26.</t>
  </si>
  <si>
    <t>27.</t>
  </si>
  <si>
    <t>28.</t>
  </si>
  <si>
    <t>29.</t>
  </si>
  <si>
    <t>30.</t>
  </si>
  <si>
    <t>31.</t>
  </si>
  <si>
    <t>32.</t>
  </si>
  <si>
    <t>SOCOMEC</t>
  </si>
  <si>
    <t>DIRIS-A40</t>
  </si>
  <si>
    <t>4825 0201</t>
  </si>
  <si>
    <t>DIRIS-A40/Com</t>
  </si>
  <si>
    <t>4825 0092</t>
  </si>
  <si>
    <t>DIRIS-A40/Temp</t>
  </si>
  <si>
    <t>4825 0206</t>
  </si>
  <si>
    <t>Módulo de Temperatura para Analizador de Red, DIRIS-A40, marca SOCOMEC.</t>
  </si>
  <si>
    <t>DIRIS-A40/Mem</t>
  </si>
  <si>
    <t>4825 0097</t>
  </si>
  <si>
    <t>Módulo de memoria para Analizador de Red, DIRIS-A40, marca SOCOMEC.</t>
  </si>
  <si>
    <t>DIRIS-A40/Imp</t>
  </si>
  <si>
    <t>4825 0090</t>
  </si>
  <si>
    <t>Módulo de salida de impulsos para Analizador de Red, DIRIS-A40, marca SOCOMEC.</t>
  </si>
  <si>
    <t>Analizador de Redes DIRIS-A40 - precisión (V, I) 0.2%, precisión de energía activa / reactiva: clase 0,5S / clase 2 - marca SOCOMEC.</t>
  </si>
  <si>
    <t>410-QD1B-90B10</t>
  </si>
  <si>
    <t>Medidor de energía CIRWATT B 410D (conexión directa), Trifásico, 4 Hilos, 400/230V, 60 Hz, 10(100)A, Precisión en energía activa: Clase 1, puerto de comunicación RS485, marca CIRCUTOR.</t>
  </si>
  <si>
    <t>QB4H0</t>
  </si>
  <si>
    <t>410-QT5B-90B10</t>
  </si>
  <si>
    <t>Medidor de energía CIRWATT B 410T (conexión indirecta), Trifásico, 4 Hilos, 400/230V, 60 Hz, /5 A, Precisión en energía activa: Clase 1, puerto de comunicación RS485, marca CIRCUTOR.</t>
  </si>
  <si>
    <t>QB8D0</t>
  </si>
  <si>
    <t>(Ver Notas )</t>
  </si>
  <si>
    <t>FORMATO</t>
  </si>
  <si>
    <t xml:space="preserve">PRESUPUESTO  </t>
  </si>
  <si>
    <t>F-VTA.001</t>
  </si>
  <si>
    <t xml:space="preserve"> Jr. Carlos Gutierrez Nº 448 - La Victoria / Central Telefónica:  (051) 472-3848 - Entel 998117606</t>
  </si>
  <si>
    <t>PL Nº 2016-2298</t>
  </si>
  <si>
    <t xml:space="preserve">Señores:                         </t>
  </si>
  <si>
    <t>CONSTRUCTORA MALAGA</t>
  </si>
  <si>
    <t>Att.:</t>
  </si>
  <si>
    <t>ING. CESAR VASQUEZ / ING. OSCAR PONCE</t>
  </si>
  <si>
    <t>RUC: 20100292956</t>
  </si>
  <si>
    <t>Obra:</t>
  </si>
  <si>
    <t>NEOPLASICAS MACRO REGION CENTRO DEL PERU</t>
  </si>
  <si>
    <t>Presente.-</t>
  </si>
  <si>
    <t>En atencion a su amable solicitud nos es grato ofrecerles lo siguiente :</t>
  </si>
  <si>
    <t>P. Unitario</t>
  </si>
  <si>
    <t xml:space="preserve">P. Total </t>
  </si>
  <si>
    <t>TABLERO BANCO DE CONDENSADORES "BCA-2" - 400kVAR@380Vac, p=14% , 3Ø+N , 60Hz.</t>
  </si>
  <si>
    <t>IP-54 (Fab. Nacional)</t>
  </si>
  <si>
    <t>Pasos de 40kVAR@380Vac, p=14% - paso 1 al paso 10:</t>
  </si>
  <si>
    <t>UNIFILAR: IEM-01R</t>
  </si>
  <si>
    <t>Apertura Remota + Señalización:</t>
  </si>
  <si>
    <t>Juego de barras para conexión interna (1000A).</t>
  </si>
  <si>
    <t>TABLERO DE TRANFERENCIOA AUTOMÁTICA "TTA-02" : 380V, 3Ø+N+T, 60Hz.</t>
  </si>
  <si>
    <t>Transferencia Automática mediante enclavamiento de interruptores, 2000A, 4 polos, 380Vac,</t>
  </si>
  <si>
    <t>Interruptor tipo Bastidor Abierto, de ejecución fijo, modelo Emax2.2, marca ABB, con la siguiente</t>
  </si>
  <si>
    <t xml:space="preserve">El Dispositivo de Conmutación Automática, modelo ATS022, marca ABB, al detectar una falla </t>
  </si>
  <si>
    <t xml:space="preserve">en la línea principal, puede controlar la puesta en marcha de un generador y conmutar </t>
  </si>
  <si>
    <t xml:space="preserve">automáticamente de una  red a otra transmitiendo órdenes a los interruptores automáticos. </t>
  </si>
  <si>
    <t xml:space="preserve">Cambia automáticamente al generador  o transformador después de un retardo predefinido. </t>
  </si>
  <si>
    <t>Tiene las siguientes características:</t>
  </si>
  <si>
    <t xml:space="preserve">- Retardo de arranque del generador después de la detección de una anomalía en la red. </t>
  </si>
  <si>
    <t xml:space="preserve">Regulable de  0 a 30 s. </t>
  </si>
  <si>
    <t xml:space="preserve">- Retardo de apertura del interruptor de suministro Emergencia, después de detección de la </t>
  </si>
  <si>
    <t xml:space="preserve">  estabilización de tensión del suministro principal. Regulable: 0…59s, 1, 2,...30min.</t>
  </si>
  <si>
    <t xml:space="preserve"> suministro principal.  Regulable: 0…59s, 1, 2,…30min.</t>
  </si>
  <si>
    <t>C) Con un display grafico frontal, a través del cual el usuario puede verificar la configuración y</t>
  </si>
  <si>
    <t xml:space="preserve">      ver el estado de la unidad y de los interruptores conectados.</t>
  </si>
  <si>
    <t>D) El display gráfico permite la visualización de la tensión y frecuencia de Suministro Principal</t>
  </si>
  <si>
    <t xml:space="preserve">     y de Emergencia. Emergencia.</t>
  </si>
  <si>
    <t>Juego de terminales para entrada de cables de dos ternas (o más) por fase.</t>
  </si>
  <si>
    <t>Sistema de señalización de tensión:</t>
  </si>
  <si>
    <t>Juego de barras para entrada desde el Ducto de Barras (entrada de 4x2000A).</t>
  </si>
  <si>
    <t>TABLERO  "TG-T2" : 380V, 3Ø+N+T, 60Hz.</t>
  </si>
  <si>
    <t>(  -  )</t>
  </si>
  <si>
    <t>Interruptor Derivado:</t>
  </si>
  <si>
    <t>Panel de Control Remoto para Mando Motor (p/ modelo E2.2-2000A):</t>
  </si>
  <si>
    <t>Sistema de medición - 2000A:</t>
  </si>
  <si>
    <t>Juego de barras para salida hacia el Ducto de Barras (salida de 4x2000A).</t>
  </si>
  <si>
    <t>TABLERO  "TGN-2.1" : 380V, 3Ø+N+T, 60Hz.</t>
  </si>
  <si>
    <t>Panel de Control Remoto para Mando Motor (p/ modelo T7-1600A):</t>
  </si>
  <si>
    <t>Sistema de medición - 1600A:</t>
  </si>
  <si>
    <t>Juego de barras para entrada desde el Ducto de Barras (de 4x2000A).</t>
  </si>
  <si>
    <t>TABLERO  "TGE-2.1" : 380V, 3Ø+N+T, 60Hz.</t>
  </si>
  <si>
    <t xml:space="preserve">El Dispositivo de Conmutación Automática, modelo ATS022, marca ABB, al detectar una falla en la </t>
  </si>
  <si>
    <t xml:space="preserve">línea principal, puede controlar la puesta en marcha de un generador y conmutar automáticamente </t>
  </si>
  <si>
    <t>IP 54</t>
  </si>
  <si>
    <t>Espacios de reserva tetrapolar para modelo XT1C</t>
  </si>
  <si>
    <t>TABLERO  "T(Q)" : 380/220V, 3Ø+N+T, 60Hz.</t>
  </si>
  <si>
    <t>Aparato de vigilancia de aislamiento con vigilancia de carga y temperatura integrada y generador de corriente de prueba para dispositivos
de busqueda de fallos de aislamiento en sistemas IT MEDICOS- modelo isoMED427P-2, marca BENDER.</t>
  </si>
  <si>
    <t>TABLERO  "T(BM)" : 380/220V, 3Ø+N+T, 60Hz.</t>
  </si>
  <si>
    <t>Transferencia manual compuesta por :</t>
  </si>
  <si>
    <t>Espacios de reserva tetrapolar para modelo XT2N</t>
  </si>
  <si>
    <t>TABLERO DE TRANSFERENCIA AUTOMÁTICA "TT-BCI" : 380V, 3Ø+N+T, 60Hz.</t>
  </si>
  <si>
    <t>Transferencia Automática mediante conmutador seccionador + interruptores, 160A, 3 polos, 380Vac,</t>
  </si>
  <si>
    <t>Conmutador seccionador bajo carga (motorizado), modelo OTM-C, marca ABB, con la siguiente</t>
  </si>
  <si>
    <t>Interruptor tipo Caja Moldeada, de ejecución fijo, modelo Tmax XT1, marca ABB, con la siguiente</t>
  </si>
  <si>
    <t xml:space="preserve">de una  red a otra transmitiendo órdenes a los interruptores automáticos. Cambia automáticamente </t>
  </si>
  <si>
    <t>al generador o transformador después de un retardo predefinido. Tiene las siguientes características:</t>
  </si>
  <si>
    <t>TABLERO  "T(TI)" : 380/220V, 3Ø+N+T, 60Hz.</t>
  </si>
  <si>
    <t>Espacio de reserva monofasica + diferencial de 02 polos</t>
  </si>
  <si>
    <t>TABLERO  "T(TI)-B5.2" : 380/220V, 3Ø+N+T, 60Hz.</t>
  </si>
  <si>
    <t>TABLERO  "T(TI)-B5.3" : 380/220V, 3Ø+N+T, 60Hz.</t>
  </si>
  <si>
    <t>TABLERO  "T(TI)-A3.1" : 380/220V, 3Ø+N+T, 60Hz.</t>
  </si>
  <si>
    <t>TABLERO  "TE-A1.3" : 380/220V, 3Ø+N+T, 60Hz.</t>
  </si>
  <si>
    <t>TABLERO  "TE-C1" : 380/220V, 3Ø+N+T, 60Hz.</t>
  </si>
  <si>
    <t>TABLERO  "TE-C2" : 380/220V, 3Ø+N+T, 60Hz.</t>
  </si>
  <si>
    <t>TABLERO  "TE-C3" : 380/220V, 3Ø+N+T, 60Hz.</t>
  </si>
  <si>
    <t>Espacio de reserva monofasica.</t>
  </si>
  <si>
    <t>TABLERO  "TE(B4)" : 380/220V, 3Ø+N+T, 60Hz.</t>
  </si>
  <si>
    <t>TABLERO  "TE-B2.1" : 380/220V, 3Ø+N+T, 60Hz.</t>
  </si>
  <si>
    <t>TABLERO  "TE-B2.2" : 380/220V, 3Ø+N+T, 60Hz.</t>
  </si>
  <si>
    <t>TABLERO  "TE-B4.S" : 380/220V, 3Ø+N+T, 60Hz.</t>
  </si>
  <si>
    <t>TABLERO  "TE-B4.1" : 380/220V, 3Ø+N+T, 60Hz.</t>
  </si>
  <si>
    <t>TABLERO  "TE-B4.2" : 380/220V, 3Ø+N+T, 60Hz.</t>
  </si>
  <si>
    <t>TABLERO  "TE-B4.3" : 380/220V, 3Ø+N+T, 60Hz.</t>
  </si>
  <si>
    <t>TABLERO  "TE-C1 (2)" : 380/220V, 3Ø+N+T, 60Hz.</t>
  </si>
  <si>
    <t>TABLERO  "TE(AA)-3.3" : 380/220V, 3Ø+N+T, 60Hz.</t>
  </si>
  <si>
    <t>TABLERO  "TE(AA)-3.4" : 380/220V, 3Ø+N+T, 60Hz.</t>
  </si>
  <si>
    <t>TABLERO  "TE(AA)-4.1" : 380/220V, 3Ø+N+T, 60Hz.</t>
  </si>
  <si>
    <t>TABLERO  "TE(E1)" : 380/220V, 3Ø+N+T, 60Hz.</t>
  </si>
  <si>
    <t>TABLERO  "TE(E4)" : 380/220V, 3Ø+N+T, 60Hz.</t>
  </si>
  <si>
    <t>TABLERO  "TE-C2 (2)" : 380/220V, 3Ø+N+T, 60Hz.</t>
  </si>
  <si>
    <t>TABLERO  "TE-C3 (2)" : 380/220V, 3Ø+N+T, 60Hz.</t>
  </si>
  <si>
    <t>TABLERO  "TEB-S3" : 380/220V, 3Ø+N+T, 60Hz.</t>
  </si>
  <si>
    <t>Espacio de reserva tetrapolar para modelo XT1</t>
  </si>
  <si>
    <t>PRECIO TOTAL DESCONTADO</t>
  </si>
  <si>
    <t>LOS PRECIOS SON EN SOLES</t>
  </si>
  <si>
    <t>IGV</t>
  </si>
  <si>
    <t>En este presupuesto, los interruptores termomagnéticos cumplen con selectividad en todos los niveles, según</t>
  </si>
  <si>
    <t>lo indicado en las especificaciones técnicas.</t>
  </si>
  <si>
    <t>Ver las notas del item 141 "Estudio de coordinación de protecciones".</t>
  </si>
  <si>
    <t>Para cumplir la selectividad requerida, se ha aumentado la corriente nominal del interruptor general de ciertos</t>
  </si>
  <si>
    <t>tableros. Ver las notas del item 141 "Estudio de coordinación de protecciones".</t>
  </si>
  <si>
    <t>No se ha cotizado los tableros "TGE 01" ni "TGE 02". Se asume que será parte del suministro del equipador</t>
  </si>
  <si>
    <t>de los grupos electrógenos.</t>
  </si>
  <si>
    <t>Por corrección técnica, en los tableros  "TTA-02"(item 02) / "TTA-01"(item 07), se ha aumentado un interruptor de salida</t>
  </si>
  <si>
    <t>de 4x2000A /  4x2500A para el Ducto de Barra que alimenta a los tableros "TGN(E)-2" / "TGN(E)-1" respectivamente.</t>
  </si>
  <si>
    <t>Esto debido a que debe existir obligatoriamente una protección termomagnética para el Ducto de Barra.</t>
  </si>
  <si>
    <t>Por optimización técnica, se ha omitido el interruptor de llegada de los tableros "TG-T2"(item 08) y "TG-T1"(item 03).</t>
  </si>
  <si>
    <t>No son necesarios estos puesto que estos tableros irán en un cuerpo contiguo (al lado) a sus respectivos alimentadores</t>
  </si>
  <si>
    <t>(tableros de transferencias "TTA-02" y "TTA-01".</t>
  </si>
  <si>
    <t>Por optimización técnica, en los tableros "TG-T2"(item 08) y "TG-T1"(item 03)  se ha omitido los interruptores de salida</t>
  </si>
  <si>
    <t>para los bancos de condensadores puesto que estos tableros irán en un cuerpo contiguo (al lado) a sus respectivos</t>
  </si>
  <si>
    <t>Bancos de Condensadores, los cuales ya tienen su interruptor termomagnético.</t>
  </si>
  <si>
    <t>Por optimización técnica, en los tableros "TGN(E)-2"(item 05) y "TGN(E)-1"(item 09) no se ha considerado ningún interruptor</t>
  </si>
  <si>
    <t>de llegada desde el Ducto de Barras, debido a la corta longitud del Ducto de Barras y debido a que los tableros salida / llegada</t>
  </si>
  <si>
    <t>estarán dentro del mismo compartimiento de espacio.</t>
  </si>
  <si>
    <t>Por recomendación técnica, se ha considerado el tablero "TT-BCI"(item 11) como una transferencia automática.</t>
  </si>
  <si>
    <t>Por recomendación técnica, se ha omitido los Mandos Remotos de los interruptores de los tableros "TTA-02"(item 02)</t>
  </si>
  <si>
    <t>y "TTA-01"(item 07). El enclavamiento eléctrico y mecánico están relacionados directamente a los comandos del</t>
  </si>
  <si>
    <t>controlador de la transferencia, que es completamente automática.</t>
  </si>
  <si>
    <t>Solo se tendrá la opción de señalizar los estados de los interruptores (ON/OFF) vía remota por medio de contactos</t>
  </si>
  <si>
    <t>secos o por medio de comunicación Modbus.</t>
  </si>
  <si>
    <t>En los tableros "TGN(E)-2"(item 04, item 05) y "TGN(E)-1"(item 09, item 10) se ha considerado los interruptores principales</t>
  </si>
  <si>
    <t>con Mando Remoto + Señalización Remota (ON/OFF), y los interruptores derivados solo con Señalización Remota (ON/OFF).</t>
  </si>
  <si>
    <t>11.</t>
  </si>
  <si>
    <t xml:space="preserve">Se ha considerado los tableros autosoportados con grado de protección IP-54 (instalacion interior, </t>
  </si>
  <si>
    <t>proteccion a polvo y goteos de agua) de fabricación nacional.</t>
  </si>
  <si>
    <t xml:space="preserve">El alcance de nuestra oferta comprende estrictamente el equipamiento tal y como se muestra </t>
  </si>
  <si>
    <t>en nuestra propuesta por el suministro de los tableros eléctricos en baja tensión (BT).</t>
  </si>
  <si>
    <t>Se considera en el presupuesto a los tableros de distribucion tipo de encerramiento IP 54.</t>
  </si>
  <si>
    <t>Uso interior, Adosados o Empotrados según sus especificaciones.</t>
  </si>
  <si>
    <t>Se recomienda a considerar monitoreo de fugas a tierra por circuito en los tableros de Quirofanos.</t>
  </si>
  <si>
    <t>En los tableros Biomedicos solo se consideran monitor de aislamiento general sin deteccion de punto de falla.</t>
  </si>
  <si>
    <t>Se recomienda a utilizar una proteccion contra sobretensiones transitorias por cada transformador de aislamiento, en el</t>
  </si>
  <si>
    <t>tablero de sala de operaciones.</t>
  </si>
  <si>
    <t>No se considera la proteccion termomagnetica despues del transformador de aislamiento</t>
  </si>
  <si>
    <t>en el tablero T(Q), por optimizacion tecnica.</t>
  </si>
  <si>
    <t xml:space="preserve">En el tablero T(Q) y para los tableros de equipos biomedicos, se considera un ITM trifasico antes del transformador de aislamiento, </t>
  </si>
  <si>
    <t>debidamente cableado para salida monofasica.</t>
  </si>
  <si>
    <t>Todos los Repetidores de alarma para la indicacion de alarma y prueba de aislacion (modelos K2/K7)</t>
  </si>
  <si>
    <t>serán entregados como producto suelto, para que el cliente lo instale en donde se requiera.</t>
  </si>
  <si>
    <t>En TJ CASTRO no fabricamos ni comercializamos UPS's, ni estabilizadores, esto quedara a cargo del cliente.</t>
  </si>
  <si>
    <t>Por ello se considera que los UPS, estaran fuera del tablero.</t>
  </si>
  <si>
    <t>No se esta considerando en la oferta de la cotizacion el tablero de electrobombas,</t>
  </si>
  <si>
    <t>Estos tableros son mayormente suministrados por el EQUIPADOR de las bombas.</t>
  </si>
  <si>
    <t xml:space="preserve">Por optimizacion tecnica en los tableros de distribucion que contengas transferencias manuales, y esto sea derivado a una </t>
  </si>
  <si>
    <t xml:space="preserve">protecciion termomagnetica, esta ultima no sera considerada, ya que de la transferencia manual va a derivar directo </t>
  </si>
  <si>
    <t>al panel de barras que contiene a los circuitos derivados.</t>
  </si>
  <si>
    <t>En caso de existir discrepancias entre las especificaciones tecnicas y los planos del Proyecto,</t>
  </si>
  <si>
    <t>tendrá preeminencia lo indicado en planos.</t>
  </si>
  <si>
    <t xml:space="preserve">En el proyecto se esta utilizando un protector de sobretensiones TIPO 2, modelo OVR, marca ABB. Con una corriente </t>
  </si>
  <si>
    <t>pico por fase de 40kA.</t>
  </si>
  <si>
    <t>En los tableros que contiene circuitos que derivan a subtableros con un ITM general mayor, se considera</t>
  </si>
  <si>
    <t>el de mayor amperaje para ambos tableros.</t>
  </si>
  <si>
    <t>Algunos tableros no se esta garantizando selectividad, debido al cruce de curvas en la zona de sobrecarga.</t>
  </si>
  <si>
    <t xml:space="preserve">Para dar cumplimiento a la selectividad requerida, se han modificado las corrientes nominales de los interruptores de los tableros </t>
  </si>
  <si>
    <t xml:space="preserve">En el tablero TE(DC), se omite los ITM de 30A, por los ITM de 100A, segun indicado en su tablero general TGE-2.1, y asi dar </t>
  </si>
  <si>
    <t>cumplimiento a la selectividad requerida.</t>
  </si>
  <si>
    <t xml:space="preserve">Se considera en algunos casos por estudio de selectividad y optimizacion tecnica, la capacidad de ruptura de los ITM generales de </t>
  </si>
  <si>
    <t>los tableros derivados 25kA y no 36kA.</t>
  </si>
  <si>
    <t>Se encuentran tableros de distribucion que contienen circuitos que derivan a otros subtableros, los cuales no se encuentran</t>
  </si>
  <si>
    <t>en diagramas unifilares, por ende se considera el amperaje tal como muestra el tablero principal, para realizar</t>
  </si>
  <si>
    <t>el estudio de selectividad.</t>
  </si>
  <si>
    <t>Se esta considerando los tableros "TE-C1" "TE-C2" "TE-C3", dobles segun sus nomenclatura en los diagramas</t>
  </si>
  <si>
    <t>unifilares, pero diferentes segun sus caracteristicas.</t>
  </si>
  <si>
    <t>En todos los tableros autosoportados se ha considerado sistema de ventilación forzada mediante ventiladores y rejillas.</t>
  </si>
  <si>
    <t>33.</t>
  </si>
  <si>
    <t>34.</t>
  </si>
  <si>
    <t xml:space="preserve">Forma de pago : </t>
  </si>
  <si>
    <t xml:space="preserve">Tiempo estimado :  </t>
  </si>
  <si>
    <t>de entrega</t>
  </si>
  <si>
    <t>Garantía :</t>
  </si>
  <si>
    <t>Cuenta Corriente:</t>
  </si>
  <si>
    <t xml:space="preserve">  Banco de Crédito del Perú – Dolares  191-0667656-1-08</t>
  </si>
  <si>
    <t xml:space="preserve">                                              - Soles     191-0845885-0-91</t>
  </si>
  <si>
    <t xml:space="preserve">  Banco Continental               - Dólares  115-0100026258</t>
  </si>
  <si>
    <t xml:space="preserve">                                              - Soles       115-0100052763</t>
  </si>
  <si>
    <t>Lugar de entrega : La entrega de los productos se realizan en nuestro almacén</t>
  </si>
  <si>
    <t>Lima, 07 de Diciembre 2016</t>
  </si>
  <si>
    <t>Rev. 03</t>
  </si>
  <si>
    <t>DADA</t>
  </si>
  <si>
    <t>XT1C</t>
  </si>
  <si>
    <t>S20</t>
  </si>
  <si>
    <t>mMCM-</t>
  </si>
  <si>
    <t>LZMS1-</t>
  </si>
  <si>
    <t>AF</t>
  </si>
  <si>
    <t>DILM</t>
  </si>
  <si>
    <t>FH20</t>
  </si>
  <si>
    <t>mRCM</t>
  </si>
  <si>
    <t>Primera Aparicion</t>
  </si>
  <si>
    <t>LZMS1</t>
  </si>
  <si>
    <t>mMCM</t>
  </si>
  <si>
    <t>F204-A-</t>
  </si>
  <si>
    <t>F202-A-</t>
  </si>
  <si>
    <t xml:space="preserve"> COTIZADOR :</t>
  </si>
  <si>
    <t xml:space="preserve"> CONTACTO :</t>
  </si>
  <si>
    <t xml:space="preserve"> CLIENTE :</t>
  </si>
  <si>
    <t xml:space="preserve"> PROYECTO :</t>
  </si>
  <si>
    <t>SIGRAL S.A.</t>
  </si>
  <si>
    <t>IP-40</t>
  </si>
  <si>
    <t>IP-54</t>
  </si>
  <si>
    <t>IP-10</t>
  </si>
  <si>
    <t>IP-23</t>
  </si>
  <si>
    <t>IP-52</t>
  </si>
  <si>
    <t>IP-55</t>
  </si>
  <si>
    <t>IP-14</t>
  </si>
  <si>
    <t>IP-65</t>
  </si>
  <si>
    <t>IP-66</t>
  </si>
  <si>
    <t>NEMA 3R</t>
  </si>
  <si>
    <t>NEMA 4</t>
  </si>
  <si>
    <t>Color</t>
  </si>
  <si>
    <t>RAL 7032</t>
  </si>
  <si>
    <t>RAL 7035</t>
  </si>
  <si>
    <t>NOTAS :</t>
  </si>
  <si>
    <t>Marca</t>
  </si>
  <si>
    <t>Tension</t>
  </si>
  <si>
    <t>380/220Vac (3F+N)</t>
  </si>
  <si>
    <t>220Vac (3F)</t>
  </si>
  <si>
    <t>220Vac (1F+N)</t>
  </si>
  <si>
    <t>220Vac (2F)</t>
  </si>
  <si>
    <t>460Vac (3F)</t>
  </si>
  <si>
    <t>480Vac (3F)</t>
  </si>
  <si>
    <t>Vendedor</t>
  </si>
  <si>
    <t>Roberto Meza</t>
  </si>
  <si>
    <t>Luis Hernández</t>
  </si>
  <si>
    <t>Paulo Olano</t>
  </si>
  <si>
    <t>Walter Huamán</t>
  </si>
  <si>
    <t>Luis Gutiérrez</t>
  </si>
  <si>
    <t>Teléfono</t>
  </si>
  <si>
    <t>977574781</t>
  </si>
  <si>
    <t>Gabriel Artica</t>
  </si>
  <si>
    <t>998377673</t>
  </si>
  <si>
    <t>Grado de Protección</t>
  </si>
  <si>
    <t>VARIABLES GLOBALES</t>
  </si>
  <si>
    <t>Contacto</t>
  </si>
  <si>
    <t>Cliente</t>
  </si>
  <si>
    <t>Proyecto</t>
  </si>
  <si>
    <t>PL</t>
  </si>
  <si>
    <t>Cotizador</t>
  </si>
  <si>
    <t>Dscto</t>
  </si>
  <si>
    <t>PrecioTot</t>
  </si>
  <si>
    <t>ContactoImp</t>
  </si>
  <si>
    <t>ClienteImp</t>
  </si>
  <si>
    <t>ProyectoImp</t>
  </si>
  <si>
    <t>PLImp</t>
  </si>
  <si>
    <t>CotizadorImp_Fil</t>
  </si>
  <si>
    <t>CotizadorImp_Col</t>
  </si>
  <si>
    <t>DsctoImp_Fil</t>
  </si>
  <si>
    <t>DctoImp_Col</t>
  </si>
  <si>
    <t>PrecioTotImp_Fil</t>
  </si>
  <si>
    <t>PrecioTotImp_Col</t>
  </si>
  <si>
    <t>Item1Imp_Fil</t>
  </si>
  <si>
    <t>Item1Imp_Col</t>
  </si>
  <si>
    <t>FilIni</t>
  </si>
  <si>
    <t>FilFin</t>
  </si>
  <si>
    <t>FilFinTab</t>
  </si>
  <si>
    <t>FilasBorr</t>
  </si>
  <si>
    <t>FilasImpTab</t>
  </si>
  <si>
    <t>FilIniNotas</t>
  </si>
  <si>
    <t>B10</t>
  </si>
  <si>
    <t>A9</t>
  </si>
  <si>
    <t>B11</t>
  </si>
  <si>
    <t>D3</t>
  </si>
  <si>
    <t>DISTRIBUCIÓN</t>
  </si>
  <si>
    <t>Espesor</t>
  </si>
  <si>
    <t>Rev. 01</t>
  </si>
  <si>
    <t>Andrés Castro</t>
  </si>
  <si>
    <t>Liliam Córdova</t>
  </si>
  <si>
    <t>Daniel Lira</t>
  </si>
  <si>
    <t>Marcial Huaraca</t>
  </si>
  <si>
    <t>DESCUENTOS:</t>
  </si>
  <si>
    <t>T.C. - Soles a Dólares</t>
  </si>
  <si>
    <t>P. Instalación</t>
  </si>
  <si>
    <t xml:space="preserve"> Descripción</t>
  </si>
  <si>
    <t>Base de Datos - TJ Castro</t>
  </si>
  <si>
    <t xml:space="preserve"> Grado Protección</t>
  </si>
  <si>
    <t xml:space="preserve"> Color</t>
  </si>
  <si>
    <t xml:space="preserve"> Tensión</t>
  </si>
  <si>
    <t xml:space="preserve"> Vendedor</t>
  </si>
  <si>
    <t xml:space="preserve"> Marca</t>
  </si>
  <si>
    <t xml:space="preserve"> Espesor de Plancha</t>
  </si>
  <si>
    <t xml:space="preserve"> Grado de Protección</t>
  </si>
  <si>
    <t>1/16" (1.58 mm.)</t>
  </si>
  <si>
    <t>5/64" (1.98 mm.)</t>
  </si>
  <si>
    <t>1.5 mm.</t>
  </si>
  <si>
    <t>2.0 mm.</t>
  </si>
  <si>
    <t xml:space="preserve"> Tiempo de entrega</t>
  </si>
  <si>
    <t>Forma de Pago</t>
  </si>
  <si>
    <t>02 semanas</t>
  </si>
  <si>
    <t>03 semanas</t>
  </si>
  <si>
    <t>04 semanas</t>
  </si>
  <si>
    <t>Plazo de Entrega</t>
  </si>
  <si>
    <t>05 semanas</t>
  </si>
  <si>
    <t>10 días</t>
  </si>
  <si>
    <t>06 a 07 semanas</t>
  </si>
  <si>
    <t>07 a 08 semanas</t>
  </si>
  <si>
    <t>08 a 09 semanas</t>
  </si>
  <si>
    <t>10 a 11 semanas</t>
  </si>
  <si>
    <t>12 a 13 semanas</t>
  </si>
  <si>
    <t>14 a 15 semanas</t>
  </si>
  <si>
    <t>50%, saldo contra-entrega</t>
  </si>
  <si>
    <t>40%, saldo contra-entrega</t>
  </si>
  <si>
    <t>35%, saldo contra-entrega</t>
  </si>
  <si>
    <t>50%, saldo factura a 15 días</t>
  </si>
  <si>
    <t>40%, saldo factura a 15 días</t>
  </si>
  <si>
    <t>35%, saldo factura a 15 días</t>
  </si>
  <si>
    <t>50%, saldo factura a 30 días</t>
  </si>
  <si>
    <t>40%, saldo factura a 30 días</t>
  </si>
  <si>
    <t>35%, saldo factura a 30 días</t>
  </si>
  <si>
    <r>
      <rPr>
        <b/>
        <u/>
        <sz val="10"/>
        <color theme="1" tint="0.14999847407452621"/>
        <rFont val="Arial"/>
        <family val="2"/>
      </rPr>
      <t>10 a 12 Semanas</t>
    </r>
    <r>
      <rPr>
        <sz val="10"/>
        <color theme="1" tint="0.14999847407452621"/>
        <rFont val="Arial"/>
        <family val="2"/>
      </rPr>
      <t>, con entregas parciales una vez de recibir el adelanto correspondiente, una vez aprobado los planos de fabricación o de la aprobación de las dimensiones de las gabinetes de los tableros de distribución.</t>
    </r>
  </si>
  <si>
    <r>
      <rPr>
        <b/>
        <u/>
        <sz val="10"/>
        <color theme="1" tint="0.14999847407452621"/>
        <rFont val="Arial"/>
        <family val="2"/>
      </rPr>
      <t>02 años</t>
    </r>
    <r>
      <rPr>
        <sz val="10"/>
        <color theme="1" tint="0.14999847407452621"/>
        <rFont val="Arial"/>
        <family val="2"/>
      </rPr>
      <t xml:space="preserve"> contra desperfectos de fabricación, previa verificación de nuestro departamento técnico. Dicha garantía no cubre daños causados por mala operación, golpes o funcionamiento fuera de los rangos especificados.</t>
    </r>
  </si>
  <si>
    <r>
      <t>Condiciones Comerciales</t>
    </r>
    <r>
      <rPr>
        <b/>
        <sz val="11"/>
        <color theme="1" tint="0.14999847407452621"/>
        <rFont val="Arial"/>
        <family val="2"/>
      </rPr>
      <t xml:space="preserve"> :</t>
    </r>
  </si>
  <si>
    <r>
      <rPr>
        <b/>
        <u/>
        <sz val="10"/>
        <color theme="1" tint="0.14999847407452621"/>
        <rFont val="Arial"/>
        <family val="2"/>
      </rPr>
      <t>50%</t>
    </r>
    <r>
      <rPr>
        <sz val="10"/>
        <color theme="1" tint="0.14999847407452621"/>
        <rFont val="Arial"/>
        <family val="2"/>
      </rPr>
      <t xml:space="preserve"> con su amable orden de compra, saldo contra entrega.</t>
    </r>
  </si>
  <si>
    <t>Validez de la oferta:</t>
  </si>
  <si>
    <t>15 días, pasada esta fecha favor de consultar por variación de precios.</t>
  </si>
  <si>
    <t>(Fab. Nacional)</t>
  </si>
  <si>
    <r>
      <t xml:space="preserve">Estará equipado con componentes de fuerza </t>
    </r>
    <r>
      <rPr>
        <b/>
        <sz val="11"/>
        <rFont val="Arial"/>
        <family val="2"/>
      </rPr>
      <t>marca ABB,</t>
    </r>
    <r>
      <rPr>
        <sz val="11"/>
        <rFont val="Arial"/>
        <family val="2"/>
      </rPr>
      <t xml:space="preserve"> para un sistema trifásico de </t>
    </r>
    <r>
      <rPr>
        <b/>
        <sz val="11"/>
        <rFont val="Arial"/>
        <family val="2"/>
      </rPr>
      <t>380/220 Vac,</t>
    </r>
    <r>
      <rPr>
        <sz val="11"/>
        <rFont val="Arial"/>
        <family val="2"/>
      </rPr>
      <t xml:space="preserve"> 60Hz, fase a neutro y fase a tierra. </t>
    </r>
  </si>
  <si>
    <t xml:space="preserve"> Forma de Pago</t>
  </si>
  <si>
    <t>981138015</t>
  </si>
  <si>
    <t>981138041</t>
  </si>
  <si>
    <t>981138241</t>
  </si>
  <si>
    <t>981138462</t>
  </si>
  <si>
    <t>994264063</t>
  </si>
  <si>
    <t>998119178</t>
  </si>
  <si>
    <t>981450063</t>
  </si>
  <si>
    <t>Lugar de entrega :</t>
  </si>
  <si>
    <t>La entrega de los productos se realizan en nuestro almacén, ubicado en Jr. Carlos Gutierrez 448 - La Victoria.</t>
  </si>
  <si>
    <t>02 años contra desperfectos de fabricación, previa verificación de nuestro departamento técnico. Dicha garantía no cubre daños causados por mala operación, golpes o funcionamiento fuera de los rangos especificados.</t>
  </si>
  <si>
    <t>Las barras de los tableros estarán identificadas con los colores Rojo, Negro y Azul para las fases y  Verde para línea a tierra , de acuerdo al CNE - utilización 2006 - sección 030,036.</t>
  </si>
  <si>
    <t>50% con su amable Orden de Compra, saldo contra-entrega.</t>
  </si>
  <si>
    <t>P. Total</t>
  </si>
  <si>
    <t>Modelo / Código</t>
  </si>
  <si>
    <t>Cod. pedido/fabrica</t>
  </si>
  <si>
    <t>ITM Riel-Din 1x16A - SH201-C-16A - 10kA@230Vac, 6kA@400Vac-IEC60898 - marca ABB.</t>
  </si>
  <si>
    <t>ITM Riel-Din 1x20A - SH201-C-20A - 10kA@230Vac, 6kA@400Vac-IEC60898 - marca ABB.</t>
  </si>
  <si>
    <t>ITM Riel-Din 1x25A - SH201-C-25A - 10kA@230Vac, 6kA@400Vac-IEC60898 - marca ABB.</t>
  </si>
  <si>
    <t>ITM Riel-Din 1x32A - SH201-C-32A - 10kA@230Vac, 6kA@400Vac-IEC60898 - marca ABB.</t>
  </si>
  <si>
    <t>ITM Riel-Din 1x40A - SH201-C-40A - 10kA@230Vac, 6kA@400Vac-IEC60898 - marca ABB.</t>
  </si>
  <si>
    <t>ITM Riel-Din 1x50A - SH201-C-50A - 10kA@230Vac, 6kA@400Vac-IEC60898 - marca ABB.</t>
  </si>
  <si>
    <t>ITM Riel-Din 1x63A - SH201-C-63A - 10kA@230Vac, 6kA@400Vac-IEC60898 - marca ABB.</t>
  </si>
  <si>
    <t>ITM Riel-Din 2x16A - SH202-C-16A - 10kA@230Vac, 6kA@400Vac-IEC60898 - marca ABB.</t>
  </si>
  <si>
    <t>ITM Riel-Din 2x20A - SH202-C-20A - 10kA@230Vac, 6kA@400Vac-IEC60898 - marca ABB.</t>
  </si>
  <si>
    <t>ITM Riel-Din 2x25A - SH202-C-25A - 10kA@230Vac, 6kA@400Vac-IEC60898 - marca ABB.</t>
  </si>
  <si>
    <t>ITM Riel-Din 2x32A - SH202-C-32A - 10kA@230Vac, 6kA@400Vac-IEC60898 - marca ABB.</t>
  </si>
  <si>
    <t>ITM Riel-Din 2x40A - SH202-C-40A - 10kA@230Vac, 6kA@400Vac-IEC60898 - marca ABB.</t>
  </si>
  <si>
    <t>ITM Riel-Din 2x50A - SH202-C-50A - 10kA@230Vac, 6kA@400Vac-IEC60898 - marca ABB.</t>
  </si>
  <si>
    <t>ITM Riel-Din 2x63A - SH202-C-63A - 10kA@230Vac, 6kA@400Vac-IEC60898 - marca ABB.</t>
  </si>
  <si>
    <t>ITM Riel-Din 3x16A - SH203-C-16A - 10kA@230Vac, 6kA@400Vac-IEC60898 - marca ABB.</t>
  </si>
  <si>
    <t>ITM Riel-Din 3x20A - SH203-C-20A - 10kA@230Vac, 6kA@400Vac-IEC60898 - marca ABB.</t>
  </si>
  <si>
    <t>ITM Riel-Din 3x25A - SH203-C-25A - 10kA@230Vac, 6kA@400Vac-IEC60898 - marca ABB.</t>
  </si>
  <si>
    <t>ITM Riel-Din 3x32A - SH203-C-32A - 10kA@230Vac, 6kA@400Vac-IEC60898 - marca ABB.</t>
  </si>
  <si>
    <t>ITM Riel-Din 3x40A - SH203-C-40A - 10kA@230Vac, 6kA@400Vac-IEC60898 - marca ABB.</t>
  </si>
  <si>
    <t>ITM Riel-Din 3x50A - SH203-C-50A - 10kA@230Vac, 6kA@400Vac-IEC60898 - marca ABB.</t>
  </si>
  <si>
    <t>ITM Riel-Din 3x63A - SH203-C-63A - 10kA@230Vac, 6kA@400Vac-IEC60898 - marca ABB.</t>
  </si>
  <si>
    <t>ITM Riel-Din 1x16A - S201-C-16A - 10kA@230Vac-IEC60947-2 - marca ABB.</t>
  </si>
  <si>
    <t>ITM Riel-Din 1x20A - S201-C-20A - 10kA@230Vac-IEC60947-2 - marca ABB.</t>
  </si>
  <si>
    <t>ITM Riel-Din 1x25A - S201-C-25A - 10kA@230Vac-IEC60947-2 - marca ABB.</t>
  </si>
  <si>
    <t>ITM Riel-Din 1x32A - S201-C-32A - 10kA@230Vac-IEC60947-2 - marca ABB.</t>
  </si>
  <si>
    <t>ITM Riel-Din 1x40A - S201-C-40A - 10kA@230Vac-IEC60947-2 - marca ABB.</t>
  </si>
  <si>
    <t>ITM Riel-Din 1x50A - S201-C-50A - 10kA@230Vac-IEC60947-2 - marca ABB.</t>
  </si>
  <si>
    <t>ITM Riel-Din 1x63A - S201-C-63A - 10kA@230Vac-IEC60947-2 - marca ABB.</t>
  </si>
  <si>
    <t>ITM Riel-Din 2x10A - S202-C-10A - 10kA@400Vac-IEC60947-2 - marca ABB.</t>
  </si>
  <si>
    <t>ITM Riel-Din 2x16A - S202-C-16A - 10kA@400Vac-IEC60947-2 - marca ABB.</t>
  </si>
  <si>
    <t>ITM Riel-Din 2x20A - S202-C-20A - 10kA@400Vac-IEC60947-2 - marca ABB.</t>
  </si>
  <si>
    <t>ITM Riel-Din 2x25A - S202-C-25A - 10kA@400Vac-IEC60947-2 - marca ABB.</t>
  </si>
  <si>
    <t>ITM Riel-Din 2x32A - S202-C-32A - 10kA@400Vac-IEC60947-2 - marca ABB.</t>
  </si>
  <si>
    <t>ITM Riel-Din 2x40A - S202-C-40A - 10kA@400Vac-IEC60947-2 - marca ABB.</t>
  </si>
  <si>
    <t>ITM Riel-Din 2x50A - S202-C-50A - 10kA@400Vac-IEC60947-2 - marca ABB.</t>
  </si>
  <si>
    <t>ITM Riel-Din 2x63A - S202-C-63A - 10kA@400Vac-IEC60947-2 - marca ABB.</t>
  </si>
  <si>
    <t>ITM Riel-Din 2x16A - S202M-C-16A - 15kA@400Vac-IEC60947-2 - marca ABB.</t>
  </si>
  <si>
    <t>ITM Riel-Din 2x20A - S202M-C-20A - 15kA@400Vac-IEC60947-2 - marca ABB.</t>
  </si>
  <si>
    <t>ITM Riel-Din 2x25A - S202M-C-25A - 15kA@400Vac-IEC60947-2 - marca ABB.</t>
  </si>
  <si>
    <t>ITM Riel-Din 2x32A - S202M-C-32A - 15kA@400Vac-IEC60947-2 - marca ABB.</t>
  </si>
  <si>
    <t>ITM Riel-Din 2x40A - S202M-C-40A - 15kA@400Vac-IEC60947-2 - marca ABB.</t>
  </si>
  <si>
    <t>ITM Riel-Din 2x50A - S202M-C-50A - 10kA@400Vac-IEC60947-2 - marca ABB.</t>
  </si>
  <si>
    <t>ITM Riel-Din 2x63A - S202M-C-63A - 10kA@400Vac-IEC60947-2 - marca ABB.</t>
  </si>
  <si>
    <t>ITM Riel-Din 2x16A - S202P-C-16A - 25kA@400Vac-IEC60947-2 - marca ABB.</t>
  </si>
  <si>
    <t>ITM Riel-Din 2x20A - S202P-C-20A - 25kA@400Vac-IEC60947-2 - marca ABB.</t>
  </si>
  <si>
    <t>ITM Riel-Din 2x25A - S202P-C-25A - 25kA@400Vac-IEC60947-2 - marca ABB.</t>
  </si>
  <si>
    <t>ITM Riel-Din 2x32A - S202P-C-32A - 15kA@400Vac-IEC60947-2 - marca ABB.</t>
  </si>
  <si>
    <t>ITM Riel-Din 2x40A - S202P-C-40A - 15kA@400Vac-IEC60947-2 - marca ABB.</t>
  </si>
  <si>
    <t>ITM Riel-Din 2x50A - S202P-C-50A - 15kA@400Vac-IEC60947-2 - marca ABB.</t>
  </si>
  <si>
    <t>ITM Riel-Din 2x63A - S202P-C-50A - 15kA@400Vac-IEC60947-2 - marca ABB.</t>
  </si>
  <si>
    <t>ITM Riel-Din 3x10A - S203-C-10A - 10kA@400Vac-IEC60947-2 - marca ABB.</t>
  </si>
  <si>
    <t>ITM Riel-Din 3x16A - S203-C-16A - 10kA@400Vac-IEC60947-2 - marca ABB.</t>
  </si>
  <si>
    <t>ITM Riel-Din 3x20A - S203-C-20A - 10kA@400Vac-IEC60947-2 - marca ABB.</t>
  </si>
  <si>
    <t>ITM Riel-Din 3x25A - S203-C-25A - 10kA@400Vac-IEC60947-2 - marca ABB.</t>
  </si>
  <si>
    <t>ITM Riel-Din 3x32A - S203-C-32A - 10kA@400Vac-IEC60947-2 - marca ABB.</t>
  </si>
  <si>
    <t>ITM Riel-Din 3x40A - S203-C-40A - 10kA@400Vac-IEC60947-2 - marca ABB.</t>
  </si>
  <si>
    <t>ITM Riel-Din 3x50A - S203-C-50A - 10kA@400Vac-IEC60947-2 - marca ABB.</t>
  </si>
  <si>
    <t>ITM Riel-Din 3x63A - S203-C-63A - 10kA@400Vac-IEC60947-2 - marca ABB.</t>
  </si>
  <si>
    <t>ITM Riel-Din 3x16A - S203P-C-16A - 25kA@400Vac-IEC60947-2 - marca ABB.</t>
  </si>
  <si>
    <t>ITM Riel-Din 3x20A - S203P-C-20A - 25kA@400Vac-IEC60947-2 - marca ABB.</t>
  </si>
  <si>
    <t>ITM Riel-Din 3x25A - S203P-C-25A - 25kA@400Vac-IEC60947-2 - marca ABB.</t>
  </si>
  <si>
    <t>ITM Riel-Din 3x32A - S203P-C-32A - 15kA@400Vac-IEC60947-2 - marca ABB.</t>
  </si>
  <si>
    <t>ITM Riel-Din 3x40A - S203P-C-40A - 15kA@400Vac-IEC60947-2 - marca ABB.</t>
  </si>
  <si>
    <t>ITM Riel-Din 3x50A - S203P-C-50A - 15kA@400Vac-IEC60947-2 - marca ABB.</t>
  </si>
  <si>
    <t>ITM Riel-Din 3x63A - S203P-C-50A - 15kA@400Vac-IEC60947-2 - marca ABB.</t>
  </si>
  <si>
    <t>ITM Riel-Din 4x10A - S204-C-10A - 10kA@400Vac-IEC60947-2 - marca ABB.</t>
  </si>
  <si>
    <t>ITM Riel-Din 4x16A - S204-C-16A - 10kA@400Vac-IEC60947-2 - marca ABB.</t>
  </si>
  <si>
    <t>ITM Riel-Din 4x20A - S204-C-20A - 10kA@400Vac-IEC60947-2 - marca ABB.</t>
  </si>
  <si>
    <t>ITM Riel-Din 4x25A - S204-C-25A - 10kA@400Vac-IEC60947-2 - marca ABB.</t>
  </si>
  <si>
    <t>ITM Riel-Din 4x32A - S204-C-32A - 10kA@400Vac-IEC60947-2 - marca ABB.</t>
  </si>
  <si>
    <t>ITM Riel-Din 4x40A - S204-C-40A - 10kA@400Vac-IEC60947-2 - marca ABB.</t>
  </si>
  <si>
    <t>ITM Riel-Din 4x50A - S204-C-50A - 10kA@400Vac-IEC60947-2 - marca ABB.</t>
  </si>
  <si>
    <t>ITM Riel-Din 4x63A - S204-C-63A - 10kA@400Vac-IEC60947-2 - marca ABB.</t>
  </si>
  <si>
    <t>ITM Riel-Din 4x16A - S204M-C-16A - 15kA@400Vac-IEC60947-2 - marca ABB.</t>
  </si>
  <si>
    <t>ITM Riel-Din 4x20A - S204M-C-20A - 15kA@400Vac-IEC60947-2 - marca ABB.</t>
  </si>
  <si>
    <t>ITM Riel-Din 4x25A - S204M-C-25A - 15kA@400Vac-IEC60947-2 - marca ABB.</t>
  </si>
  <si>
    <t>ITM Riel-Din 4x32A - S204M-C-32A - 15kA@400Vac-IEC60947-2 - marca ABB.</t>
  </si>
  <si>
    <t>ITM Riel-Din 4x40A - S204M-C-40A - 15kA@400Vac-IEC60947-2 - marca ABB.</t>
  </si>
  <si>
    <t>ITM Riel-Din 4x16A - S204P-C-16A - 25kA@400Vac-IEC60947-2 - marca ABB.</t>
  </si>
  <si>
    <t>ITM Riel-Din 4x20A - S204P-C-20A - 25kA@400Vac-IEC60947-2 - marca ABB.</t>
  </si>
  <si>
    <t>ITM Riel-Din 4x25A - S204P-C-25A - 25kA@400Vac-IEC60947-2 - marca ABB.</t>
  </si>
  <si>
    <t>ITM Riel-Din 4x32A - S204P-C-32A - 15kA@400Vac-IEC60947-2 - marca ABB.</t>
  </si>
  <si>
    <t>ITM Riel-Din 4x40A - S204P-C-40A - 15kA@400Vac-IEC60947-2 - marca ABB.</t>
  </si>
  <si>
    <t>S2C-EST</t>
  </si>
  <si>
    <t>Base enchufable (1 polo) + accesorios de fijación - modelo S2C-EST - p/ S200, F200, DS200 - marca ABB.</t>
  </si>
  <si>
    <t>2CSS200999R0001</t>
  </si>
  <si>
    <t>Protector contra sobretensiones (Tipo 1) - OVR-T1_25-440_1P - Un=400/690V,  Uc=440V, Up=2.5kV - I_impulso=25kA - marca ABB.</t>
  </si>
  <si>
    <t>Protector contra sobretensiones (Tipo 1) - OVR-T1_100N_1P - Un=230/400V, Uc=255V, Up=2kV - I_impulso=100kA - marca ABB.</t>
  </si>
  <si>
    <t>OVR-T2_3N_40-440_P-QS_3P+N</t>
  </si>
  <si>
    <t>2CTB803973R1400</t>
  </si>
  <si>
    <t>Medidor multifunción - Modelo EQ_A44-452_100_Gold - presición Clase C (Cl. 0,5S) / Reactiva Cl. 2 - RS485, Modbus RTU - marca ABB.</t>
  </si>
  <si>
    <t>A41 111 - 100</t>
  </si>
  <si>
    <t>Medidor monofásico conexion directa, 80A, Categoría Steel (energía activa), Ue=57.7...288 Vac, clase B (CI. 1), salida de pulsos, modelo A41 111 - 100, marca ABB.</t>
  </si>
  <si>
    <t>2CMA170554R1000</t>
  </si>
  <si>
    <t>A43 111 - 100</t>
  </si>
  <si>
    <t>Medidor trifasico conexion directa, 80A, Categoría Steel (energía activa), Ue=3x57.7/100...288/500Vac, clase B (CI. 1), salida de pulsos , modelo A43 111 - 100, marca ABB.</t>
  </si>
  <si>
    <t>2CMA170520R1000</t>
  </si>
  <si>
    <t>VLM-2-60/72</t>
  </si>
  <si>
    <t>Voltímetro analógico DC, U_med=0-60Vdc, 72x72mm. - modelo VLM-2-60/72 - marca ABB.</t>
  </si>
  <si>
    <t>2CSG212110R4001</t>
  </si>
  <si>
    <t>VLM-2-80/72</t>
  </si>
  <si>
    <t>Voltímetro analógico DC, U_med=0-80Vdc, 72x72mm. - modelo VLM-2-80/72 - marca ABB.</t>
  </si>
  <si>
    <t>2CSG212120R4001</t>
  </si>
  <si>
    <t>VLM-2-100/72</t>
  </si>
  <si>
    <t>Voltímetro analógico DC, U_med=0-100Vdc, 72x72mm. - modelo VLM-2-100/72 - marca ABB.</t>
  </si>
  <si>
    <t>2CSG212130R4001</t>
  </si>
  <si>
    <t>VLM-2-150/72</t>
  </si>
  <si>
    <t>Voltímetro analógico DC, U_med=0-150Vdc, 72x72mm. - modelo VLM-2-150/72 - marca ABB.</t>
  </si>
  <si>
    <t>2CSG212150R4001</t>
  </si>
  <si>
    <t>COP-72</t>
  </si>
  <si>
    <t>Tapa transparente IP55, 72x72mm. - modelo COP-72 - marca ABB.</t>
  </si>
  <si>
    <t>2CSG400000R5041</t>
  </si>
  <si>
    <t>VLM-2-60/96</t>
  </si>
  <si>
    <t>Voltímetro analógico DC, U_med=0-60Vdc, 96x96mm. - modelo VLM-2-60/96 - marca ABB.</t>
  </si>
  <si>
    <t>2CSG213110R4001</t>
  </si>
  <si>
    <t>VLM-2-80/96</t>
  </si>
  <si>
    <t>Voltímetro analógico DC, U_med=0-80Vdc, 96x96mm. - modelo VLM-2-80/96 - marca ABB.</t>
  </si>
  <si>
    <t>2CSG213120R4001</t>
  </si>
  <si>
    <t>VLM-2-100/96</t>
  </si>
  <si>
    <t>Voltímetro analógico DC, U_med=0-100Vdc, 96x96mm. - modelo VLM-2-100/96 - marca ABB.</t>
  </si>
  <si>
    <t>2CSG213130R4001</t>
  </si>
  <si>
    <t>VLM-2-150/96</t>
  </si>
  <si>
    <t>Voltímetro analógico DC, U_med=0-150Vdc, 96x96mm. - modelo VLM-2-150/96 - marca ABB.</t>
  </si>
  <si>
    <t>2CSG213150R4001</t>
  </si>
  <si>
    <t>COP-96</t>
  </si>
  <si>
    <t>Tapa transparente IP55, 96x96mm. - modelo COP-96 - marca ABB.</t>
  </si>
  <si>
    <t>2CSG500000R5041</t>
  </si>
  <si>
    <t>Voltímetro digital AC/DC, U_med=0-600V AC/DC, modelo VLMD_P,  Uc= 230 Vac - marca ABB.</t>
  </si>
  <si>
    <t>AMT2-A2/72</t>
  </si>
  <si>
    <t>Amperímetro analógico DC, I_med= In/60mV DC, 72x72mm. - modelo AMT2-A2/96 - marca ABB.</t>
  </si>
  <si>
    <t>2CSG422270R4001</t>
  </si>
  <si>
    <t>SCL-A2-100/72</t>
  </si>
  <si>
    <t>Escala impresa para amperímetro analógico 100A DC - modelo SCL-A2-100/72 - marca ABB.</t>
  </si>
  <si>
    <t>2CSG232189R5011</t>
  </si>
  <si>
    <t>SCL-A2-150/72</t>
  </si>
  <si>
    <t>Escala impresa para amperímetro analógico 150A DC - modelo SCL-A2-150/72 - marca ABB.</t>
  </si>
  <si>
    <t>2CSG232209R5011</t>
  </si>
  <si>
    <t>SCL-A2-200/72</t>
  </si>
  <si>
    <t>Escala impresa para amperímetro analógico 200A DC - modelo SCL-A2-200/72 - marca ABB.</t>
  </si>
  <si>
    <t>2CSG232229R5011</t>
  </si>
  <si>
    <t>AMT2-A2/96</t>
  </si>
  <si>
    <t>Amperímetro analógico DC, I_med= In/60mV DC, 96x96mm. - modelo AMT2-A2/96 - marca ABB.</t>
  </si>
  <si>
    <t>2CSG423270R4001</t>
  </si>
  <si>
    <t>SCL-A2-100/96</t>
  </si>
  <si>
    <t>Escala impresa para amperímetro analógico 100A DC - modelo SCL-A2-100/96 - marca ABB.</t>
  </si>
  <si>
    <t>2CSG233189R5011</t>
  </si>
  <si>
    <t>SCL-A2-150/96</t>
  </si>
  <si>
    <t>Escala impresa para amperímetro analógico 150A DC - modelo SCL-A2-150/96 - marca ABB.</t>
  </si>
  <si>
    <t>2CSG233209R5011</t>
  </si>
  <si>
    <t>SCL-A2-200/96</t>
  </si>
  <si>
    <t>Escala impresa para amperímetro analógico 200A DC - modelo SCL-A2-200/96 - marca ABB.</t>
  </si>
  <si>
    <t>2CSG233229R5011</t>
  </si>
  <si>
    <t>Amperímetro digital DC, I_med=5A DC / In/60mV DC, Uc= 230 Vac - modelo AMTD-2P - marca ABB.</t>
  </si>
  <si>
    <t>SNT_1/100A</t>
  </si>
  <si>
    <t>Resistencia Shunt para medición de corriente DC, Uo=60mV DC - modelo SNT_1/100A - marca ABB.</t>
  </si>
  <si>
    <t>2CSM100120R1121</t>
  </si>
  <si>
    <t>ITM Caja Moldeada 2x16A - A1N/P125-16A-2P-TMF - 50kA@230Vac, 36kA@400Vac, 10kA@125Vdc - marca ABB.</t>
  </si>
  <si>
    <t>ITM Caja Moldeada 2x20A - A1N/P125-20A-2P-TMF - 50kA@230Vac, 36kA@400Vac, 10kA@125Vdc - marca ABB.</t>
  </si>
  <si>
    <t>ITM Caja Moldeada 2x25A - A1N/P125-25A-2P-TMF - 50kA@230Vac, 36kA@400Vac, 10kA@125Vdc - marca ABB.</t>
  </si>
  <si>
    <t>ITM Caja Moldeada 2x32A - A1N/P125-32A-2P-TMF - 50kA@230Vac, 36kA@400Vac, 10kA@125Vdc - marca ABB.</t>
  </si>
  <si>
    <t>ITM Caja Moldeada 2x40A - A1N/P125-40A-2P-TMF - 50kA@230Vac, 36kA@400Vac, 10kA@125Vdc - marca ABB.</t>
  </si>
  <si>
    <t>ITM Caja Moldeada 2x50A - A1N/P125-50A-2P-TMF - 50kA@230Vac, 36kA@400Vac, 10kA@125Vdc - marca ABB.</t>
  </si>
  <si>
    <t>ITM Caja Moldeada 2x63A - A1N/P125-63A-2P-TMF - 50kA@230Vac, 36kA@400Vac, 10kA@125Vdc - marca ABB.</t>
  </si>
  <si>
    <t>ITM Caja Moldeada 2x70A - A1N/P125-70A-2P-TMF - 50kA@230Vac, 36kA@400Vac, 10kA@125Vdc - marca ABB.</t>
  </si>
  <si>
    <t>ITM Caja Moldeada 2x80A - A1N/P125-80A-2P-TMF - 50kA@230Vac, 36kA@400Vac, 10kA@125Vdc - marca ABB.</t>
  </si>
  <si>
    <t>ITM Caja Moldeada 2x90A - A1N/P125-90A-2P-TMF - 50kA@230Vac, 36kA@400Vac, 10kA@125Vdc - marca ABB.</t>
  </si>
  <si>
    <t>ITM Caja Moldeada 2x100A - A1N/P125-100A-2P-TMF - 50kA@230Vac, 36kA@400Vac, 10kA@125Vdc - marca ABB.</t>
  </si>
  <si>
    <t>ITM Caja Moldeada 2x125A - A1N/P125-125A-2P-TMF - 50kA@230Vac, 36kA@400Vac, 10kA@125Vdc - marca ABB.</t>
  </si>
  <si>
    <t>ITM Caja Moldeada 3x15A - A1B125-15A-3P-TMF - 25kA@230Vac, 18kA@400Vac - marca ABB.</t>
  </si>
  <si>
    <t>ITM Caja Moldeada 3x20A - A1B125-20A-3P-TMF - 25kA@230Vac, 18kA@400Vac - marca ABB.</t>
  </si>
  <si>
    <t>ITM Caja Moldeada 3x25A - A1B125-25A-3P-TMF - 25kA@230Vac, 18kA@400Vac - marca ABB.</t>
  </si>
  <si>
    <t>ITM Caja Moldeada 3x40A - A1B125-40A-3P-TMF - 25kA@230Vac, 18kA@400Vac - marca ABB.</t>
  </si>
  <si>
    <t>ITM Caja Moldeada 3x50A - A1B125-50A-3P-TMF - 25kA@230Vac, 18kA@400Vac - marca ABB.</t>
  </si>
  <si>
    <t>ITM Caja Moldeada 3x70A - A1B125-70A-3P-TMF - 25kA@230Vac, 18kA@400Vac - marca ABB.</t>
  </si>
  <si>
    <t>ITM Caja Moldeada 3x80A - A1B125-80A-3P-TMF - 25kA@230Vac, 18kA@400Vac - marca ABB.</t>
  </si>
  <si>
    <t>ITM Caja Moldeada 3x90A - A1B125-90A-3P-TMF - 25kA@230Vac, 18kA@400Vac - marca ABB.</t>
  </si>
  <si>
    <t>ITM Caja Moldeada 3x100A - A1B125-100A-3P-TMF - 25kA@230Vac, 18kA@400Vac - marca ABB.</t>
  </si>
  <si>
    <t>ITM Caja Moldeada 3x125A - A1B125-125A-3P-TMF - 25kA@230Vac, 18kA@400Vac - marca ABB.</t>
  </si>
  <si>
    <t>ITM Caja Moldeada 4x20A - A1B125-20A-4P-TMF - 25kA@230Vac, 18kA@400Vac - marca ABB.</t>
  </si>
  <si>
    <t>ITM Caja Moldeada 4x25A - A1B125-25A-4P-TMF - 25kA@230Vac, 18kA@400Vac - marca ABB.</t>
  </si>
  <si>
    <t>ITM Caja Moldeada 4x40A - A1B125-40A-4P-TMF - 25kA@230Vac, 18kA@400Vac - marca ABB.</t>
  </si>
  <si>
    <t>ITM Caja Moldeada 4x50A - A1B125-50A-4P-TMF - 25kA@230Vac, 18kA@400Vac - marca ABB.</t>
  </si>
  <si>
    <t>ITM Caja Moldeada 4x70A - A1B125-70A-4P-TMF - 25kA@230Vac, 18kA@400Vac - marca ABB.</t>
  </si>
  <si>
    <t>ITM Caja Moldeada 4x80A - A1B125-80A-4P-TMF - 25kA@230Vac, 18kA@400Vac - marca ABB.</t>
  </si>
  <si>
    <t>ITM Caja Moldeada 4x90A - A1B125-90A-4P-TMF - 25kA@230Vac, 18kA@400Vac - marca ABB.</t>
  </si>
  <si>
    <t>ITM Caja Moldeada 4x100A - A1B125-100A-4P-TMF - 25kA@230Vac, 18kA@400Vac - marca ABB.</t>
  </si>
  <si>
    <t>ITM Caja Moldeada 4x125A - A1B125-125A-4P-TMF - 25kA@230Vac, 18kA@400Vac - marca ABB.</t>
  </si>
  <si>
    <t>ITM Caja Moldeada 4x160A - A2B250-160A-4P-TMF - 25kA@230Vac, 18kA@400Vac - marca ABB.</t>
  </si>
  <si>
    <t>ITM Caja Moldeada 4x175A - A2B250-175A-4P-TMF - 25kA@230Vac, 18kA@400Vac - marca ABB.</t>
  </si>
  <si>
    <t>ITM Caja Moldeada 4x200A - A2B250-200A-4P-TMF - 25kA@230Vac, 18kA@400Vac - marca ABB.</t>
  </si>
  <si>
    <t>ITM Caja Moldeada 4x225A - A2B250-225A-4P-TMF - 25kA@230Vac, 18kA@400Vac - marca ABB.</t>
  </si>
  <si>
    <t>ITM Caja Moldeada 4x250A - A2B250-250A-4P-TMF - 25kA@230Vac, 18kA@400Vac - marca ABB.</t>
  </si>
  <si>
    <t>ITM Caja Moldeada 3x125A - A2C250-125A-3P-TMF - 50kA@230Vac, 25kA@400Vac - marca ABB.</t>
  </si>
  <si>
    <t>ITM Caja Moldeada 3x160A - A2C250-160A-3P-TMF - 50kA@230Vac, 25kA@400Vac - marca ABB.</t>
  </si>
  <si>
    <t>ITM Caja Moldeada 3x200A - A2C250-200A-3P-TMF - 50kA@230Vac, 25kA@400Vac - marca ABB.</t>
  </si>
  <si>
    <t>ITM Caja Moldeada 3x250A - A2C250-250A-3P-TMF - 50kA@230Vac, 25kA@400Vac - marca ABB.</t>
  </si>
  <si>
    <t>ITM Caja Moldeada 3x160A - A2N250-160A-3P-TMF - 50kA@230Vac, 36kA@400Vac - marca ABB.</t>
  </si>
  <si>
    <t>ITM Caja Moldeada 3x200A - A2N250-200A-3P-TMF - 50kA@230Vac, 36kA@400Vac - marca ABB.</t>
  </si>
  <si>
    <t>ITM Caja Moldeada 3x250A - A2N250-250A-3P-TMF - 50kA@230Vac, 36kA@400Vac - marca ABB.</t>
  </si>
  <si>
    <t>ITM Caja Moldeada 3x320A - A3N400-320A-3P-TMF - 85kA@230Vac, 36kA@400Vac - marca ABB.</t>
  </si>
  <si>
    <t>ITM Caja Moldeada 3x400A - A3N400-400A-3P-TMF - 85kA@230Vac, 36kA@400Vac - marca ABB.</t>
  </si>
  <si>
    <t>ITM Caja Moldeada 3x630A - A3N630-630A-3P-ELT LI - 85kA@230Vac, 36kA@400Vac - marca ABB.</t>
  </si>
  <si>
    <t>ITM Caja Moldeada 4x630A - A3N630-630A-4P-ELT LI - 85kA@230Vac, 36kA@400Vac - marca ABB.</t>
  </si>
  <si>
    <t>AUX-C_A1..A2</t>
  </si>
  <si>
    <t>XT1B160-16A-3P-TMD</t>
  </si>
  <si>
    <t>1SDA066799R1</t>
  </si>
  <si>
    <t>XT1B160-20A-3P-TMD</t>
  </si>
  <si>
    <t>1SDA066800R1</t>
  </si>
  <si>
    <t>XT1B160-25A-3P-TMD</t>
  </si>
  <si>
    <t>1SDA066801R1</t>
  </si>
  <si>
    <t>XT1B160-32A-3P-TMD</t>
  </si>
  <si>
    <t>1SDA066802R1</t>
  </si>
  <si>
    <t>XT1B160-40A-3P-TMD</t>
  </si>
  <si>
    <t>1SDA066803R1</t>
  </si>
  <si>
    <t>XT1B160-50A-3P-TMD</t>
  </si>
  <si>
    <t>1SDA066804R1</t>
  </si>
  <si>
    <t>XT1B160-63A-3P-TMD</t>
  </si>
  <si>
    <t>1SDA066805R1</t>
  </si>
  <si>
    <t>XT1B160-80A-3P-TMD</t>
  </si>
  <si>
    <t>1SDA066806R1</t>
  </si>
  <si>
    <t>XT1B160-100A-3P-TMD</t>
  </si>
  <si>
    <t>1SDA066807R1</t>
  </si>
  <si>
    <t>XT1B160-125A-3P-TMD</t>
  </si>
  <si>
    <t>1SDA066808R1</t>
  </si>
  <si>
    <t>XT1B160-160A-3P-TMD</t>
  </si>
  <si>
    <t>1SDA066809R1</t>
  </si>
  <si>
    <t>ITM Caja Moldeada 3x25A (reg.[0.7-1.0] In) - XT1C160-25A-3P-TMD - 40kA@230Vac, 25kA@415Vac - marca ABB.</t>
  </si>
  <si>
    <t>ITM Caja Moldeada 3x32A (reg.[0.7-1.0] In) - XT1C160-32A-3P-TMD - 40kA@230Vac, 25kA@415Vac - marca ABB.</t>
  </si>
  <si>
    <t>ITM Caja Moldeada 3x40A (reg.[0.7-1.0] In) - XT1C160-40A-3P-TMD - 40kA@230Vac, 25kA@415Vac - marca ABB.</t>
  </si>
  <si>
    <t>ITM Caja Moldeada 3x50A (reg.[0.7-1.0] In) - XT1C160-50A-3P-TMD - 40kA@230Vac, 25kA@415Vac - marca ABB.</t>
  </si>
  <si>
    <t>ITM Caja Moldeada 3x63A (reg.[0.7-1.0] In) - XT1C160-63A-3P-TMD - 40kA@230Vac, 25kA@415Vac - marca ABB.</t>
  </si>
  <si>
    <t>ITM Caja Moldeada 3x80A (reg.[0.7-1.0] In) - XT1C160-80A-3P-TMD - 40kA@230Vac, 25kA@415Vac - marca ABB.</t>
  </si>
  <si>
    <t>ITM Caja Moldeada 3x100A (reg.[0.7-1.0] In) - XT1C160-100A-3P-TMD - 40kA@230Vac, 25kA@415Vac - marca ABB.</t>
  </si>
  <si>
    <t>ITM Caja Moldeada 3x125A (reg.[0.7-1.0] In) - XT1C160-125A-3P-TMD - 40kA@230Vac, 25kA@415Vac - marca ABB.</t>
  </si>
  <si>
    <t>ITM Caja Moldeada 3x160A (reg.[0.7-1.0] In) - XT1C160-160A-3P-TMD - 40kA@230Vac, 25kA@415Vac - marca ABB.</t>
  </si>
  <si>
    <t>ITM Caja Moldeada 3x32A (reg.[0.7-1.0] In) - XT1N160-32A-3P-TMD - 65kA@230Vac, 36kA@415Vac - marca ABB.</t>
  </si>
  <si>
    <t>ITM Caja Moldeada 3x40A (reg.[0.7-1.0] In) - XT1N160-40A-3P-TMD - 65kA@230Vac, 36kA@415Vac - marca ABB.</t>
  </si>
  <si>
    <t>ITM Caja Moldeada 3x50A (reg.[0.7-1.0] In) - XT1N160-50A-3P-TMD - 65kA@230Vac, 36kA@415Vac - marca ABB.</t>
  </si>
  <si>
    <t>ITM Caja Moldeada 3x63A (reg.[0.7-1.0] In) - XT1N160-63A-3P-TMD - 65kA@230Vac, 36kA@415Vac - marca ABB.</t>
  </si>
  <si>
    <t>ITM Caja Moldeada 3x80A (reg.[0.7-1.0] In) - XT1N160-80A-3P-TMD - 65kA@230Vac, 36kA@415Vac - marca ABB.</t>
  </si>
  <si>
    <t>ITM Caja Moldeada 3x100A (reg.[0.7-1.0] In) - XT1N160-100A-3P-TMD - 65kA@230Vac, 36kA@415Vac - marca ABB.</t>
  </si>
  <si>
    <t>ITM Caja Moldeada 3x125A (reg.[0.7-1.0] In) - XT1N160-125A-3P-TMD - 65kA@230Vac, 36kA@415Vac - marca ABB.</t>
  </si>
  <si>
    <t>ITM Caja Moldeada 3x160A (reg.[0.7-1.0] In) - XT1N160-160A-3P-TMD - 65kA@230Vac, 36kA@415Vac - marca ABB.</t>
  </si>
  <si>
    <t>ITM Caja Moldeada 4x16A (reg.[0.7-1.0] In) - XT1B160-16A-4P-TMD - 25kA@230Vac, 18kA@415Vac - marca ABB.</t>
  </si>
  <si>
    <t>ITM Caja Moldeada 4x20A (reg.[0.7-1.0] In) - XT1B160-20A-4P-TMD - 25kA@230Vac, 18kA@415Vac - marca ABB.</t>
  </si>
  <si>
    <t>ITM Caja Moldeada 4x25A (reg.[0.7-1.0] In) - XT1B160-25A-4P-TMD - 25kA@230Vac, 18kA@415Vac - marca ABB.</t>
  </si>
  <si>
    <t>ITM Caja Moldeada 4x32A (reg.[0.7-1.0] In) - XT1B160-32A-4P-TMD - 25kA@230Vac, 18kA@415Vac - marca ABB.</t>
  </si>
  <si>
    <t>ITM Caja Moldeada 4x40A (reg.[0.7-1.0] In) - XT1B160-40A-4P-TMD - 25kA@230Vac, 18kA@415Vac - marca ABB.</t>
  </si>
  <si>
    <t>ITM Caja Moldeada 4x50A (reg.[0.7-1.0] In) - XT1B160-50A-4P-TMD - 25kA@230Vac, 18kA@415Vac - marca ABB.</t>
  </si>
  <si>
    <t>ITM Caja Moldeada 4x63A (reg.[0.7-1.0] In) - XT1B160-63A-4P-TMD - 25kA@230Vac, 18kA@415Vac - marca ABB.</t>
  </si>
  <si>
    <t>ITM Caja Moldeada 4x80A (reg.[0.7-1.0] In) - XT1B160-80A-4P-TMD - 25kA@230Vac, 18kA@415Vac - marca ABB.</t>
  </si>
  <si>
    <t>ITM Caja Moldeada 4x100A (reg.[0.7-1.0] In) - XT1B160-100A-4P-TMD - 25kA@230Vac, 18kA@415Vac - marca ABB.</t>
  </si>
  <si>
    <t>ITM Caja Moldeada 4x125A (reg.[0.7-1.0] In) - XT1B160-125A-4P-TMD - 25kA@230Vac, 18kA@415Vac - marca ABB.</t>
  </si>
  <si>
    <t>ITM Caja Moldeada 4x160A (reg.[0.7-1.0] In) - XT1B160-160A-4P-TMD - 25kA@230Vac, 18kA@415Vac - marca ABB.</t>
  </si>
  <si>
    <t>ITM Caja Moldeada 4x25A (reg.[0.7-1.0] In) - XT1C160-25A-4P-TMD - 40kA@230Vac, 25kA@415Vac - marca ABB.</t>
  </si>
  <si>
    <t>ITM Caja Moldeada 4x32A (reg.[0.7-1.0] In) - XT1C160-32A-4P-TMD - 40kA@230Vac, 25kA@415Vac - marca ABB.</t>
  </si>
  <si>
    <t>ITM Caja Moldeada 4x40A (reg.[0.7-1.0] In) - XT1C160-40A-4P-TMD - 40kA@230Vac, 25kA@415Vac - marca ABB.</t>
  </si>
  <si>
    <t>ITM Caja Moldeada 4x50A (reg.[0.7-1.0] In) - XT1C160-50A-4P-TMD - 40kA@230Vac, 25kA@415Vac - marca ABB.</t>
  </si>
  <si>
    <t>ITM Caja Moldeada 4x63A (reg.[0.7-1.0] In) - XT1C160-63A-4P-TMD - 40kA@230Vac, 25kA@415Vac - marca ABB.</t>
  </si>
  <si>
    <t>ITM Caja Moldeada 4x80A (reg.[0.7-1.0] In) - XT1C160-80A-4P-TMD - 40kA@230Vac, 25kA@415Vac - marca ABB.</t>
  </si>
  <si>
    <t>ITM Caja Moldeada 4x100A (reg.[0.7-1.0] In) - XT1C160-100A-4P-TMD - 40kA@230Vac, 25kA@415Vac - marca ABB.</t>
  </si>
  <si>
    <t>ITM Caja Moldeada 4x125A (reg.[0.7-1.0] In) - XT1C160-125A-4P-TMD - 40kA@230Vac, 25kA@415Vac - marca ABB.</t>
  </si>
  <si>
    <t>ITM Caja Moldeada 4x160A (reg.[0.7-1.0] In) - XT1C160-160A-4P-TMD - 40kA@230Vac, 25kA@415Vac - marca ABB.</t>
  </si>
  <si>
    <t>ITM Caja Moldeada 4x32A (reg.[0.7-1.0] In) - XT1N160-32A-4P-TMD - 65kA@230Vac, 36kA@415Vac - marca ABB.</t>
  </si>
  <si>
    <t>ITM Caja Moldeada 4x40A (reg.[0.7-1.0] In) - XT1N160-40A-4P-TMD - 65kA@230Vac, 36kA@415Vac - marca ABB.</t>
  </si>
  <si>
    <t>ITM Caja Moldeada 4x50A (reg.[0.7-1.0] In) - XT1N160-50A-4P-TMD - 65kA@230Vac, 36kA@415Vac - marca ABB.</t>
  </si>
  <si>
    <t>ITM Caja Moldeada 4x80A (reg.[0.7-1.0] In) - XT1N160-80A-4P-TMD - 65kA@230Vac, 36kA@415Vac - marca ABB.</t>
  </si>
  <si>
    <t>ITM Caja Moldeada 4x100A (reg.[0.7-1.0] In) - XT1N160-100A-4P-TMD - 65kA@230Vac, 36kA@415Vac - marca ABB.</t>
  </si>
  <si>
    <t>ITM Caja Moldeada 4x125A (reg.[0.7-1.0] In) - XT1N160-125A-4P-TMD - 65kA@230Vac, 36kA@415Vac - marca ABB.</t>
  </si>
  <si>
    <t>ITM Caja Moldeada 4x160A (reg.[0.7-1.0] In) - XT1N160-160A-4P-TMD - 65kA@230Vac, 36kA@415Vac - marca ABB.</t>
  </si>
  <si>
    <t>ITM Caja Moldeada 3x16A (reg.[0.7-1.0] In) - XT2N160-16A-3P-TMD - 65kA@230Vac, 36kA@415Vac - marca ABB.</t>
  </si>
  <si>
    <t>ITM Caja Moldeada 3x20A (reg.[0.7-1.0] In) - XT2N160-20A-3P-TMD - 65kA@230Vac, 36kA@415Vac - marca ABB.</t>
  </si>
  <si>
    <t>ITM Caja Moldeada 3x25A (reg.[0.7-1.0] In) - XT2N160-25A-3P-TMD - 65kA@230Vac, 36kA@415Vac - marca ABB.</t>
  </si>
  <si>
    <t>ITM Caja Moldeada 3x32A (reg.[0.7-1.0] In) - XT2N160-32A-3P-TMD - 65kA@230Vac, 36kA@415Vac - marca ABB.</t>
  </si>
  <si>
    <t>ITM Caja Moldeada 3x40A (reg.[0.7-1.0] In) - XT2N160-40A-3P-TMA - 65kA@230Vac, 36kA@415Vac - marca ABB.</t>
  </si>
  <si>
    <t>ITM Caja Moldeada 3x50A (reg.[0.7-1.0] In) - XT2N160-50A-3P-TMA - 65kA@230Vac, 36kA@415Vac - marca ABB.</t>
  </si>
  <si>
    <t>ITM Caja Moldeada 3x63A (reg.[0.7-1.0] In) - XT2N160-63A-3P-TMA - 65kA@230Vac, 36kA@415Vac - marca ABB.</t>
  </si>
  <si>
    <t>ITM Caja Moldeada 3x80A (reg.[0.7-1.0] In) - XT2N160-80A-3P-TMA - 65kA@230Vac, 36kA@415Vac - marca ABB.</t>
  </si>
  <si>
    <t>ITM Caja Moldeada 3x100A (reg.[0.7-1.0] In) - XT2N160-100A-3P-TMA - 65kA@230Vac, 36kA@415Vac - marca ABB.</t>
  </si>
  <si>
    <t>ITM Caja Moldeada 3x125A (reg.[0.7-1.0] In) - XT2N160-125A-3P-TMA - 65kA@230Vac, 36kA@415Vac - marca ABB.</t>
  </si>
  <si>
    <t>ITM Caja Moldeada 3x160A (reg.[0.7-1.0] In) - XT2N160-160A-3P-TMA - 65kA@230Vac, 36kA@415Vac - marca ABB.</t>
  </si>
  <si>
    <t>ITM Caja Moldeada 4x16A (reg.[0.7-1.0] In) - XT2N160-16A-4P-TMD - 65kA@230Vac, 36kA@415Vac - marca ABB.</t>
  </si>
  <si>
    <t>ITM Caja Moldeada 4x20A (reg.[0.7-1.0] In) - XT2N160-20A-4P-TMD - 65kA@230Vac, 36kA@415Vac - marca ABB.</t>
  </si>
  <si>
    <t>ITM Caja Moldeada 4x25A (reg.[0.7-1.0] In) - XT2N160-25A-4P-TMD - 65kA@230Vac, 36kA@415Vac - marca ABB.</t>
  </si>
  <si>
    <t>ITM Caja Moldeada 4x32A (reg.[0.7-1.0] In) - XT2N160-32A-4P-TMD - 65kA@230Vac, 36kA@415Vac - marca ABB.</t>
  </si>
  <si>
    <t>ITM Caja Moldeada 4x40A (reg.[0.7-1.0] In) - XT2N160-40A-4P-TMA - 65kA@230Vac, 36kA@415Vac - marca ABB.</t>
  </si>
  <si>
    <t>ITM Caja Moldeada 4x50A (reg.[0.7-1.0] In) - XT2N160-50A-4P-TMA - 65kA@230Vac, 36kA@415Vac - marca ABB.</t>
  </si>
  <si>
    <t>ITM Caja Moldeada 4x63A (reg.[0.7-1.0] In) - XT2N160-63A-4P-TMA - 65kA@230Vac, 36kA@415Vac - marca ABB.</t>
  </si>
  <si>
    <t>ITM Caja Moldeada 4x80A (reg.[0.7-1.0] In) - XT2N160-80A-4P-TMA - 65kA@230Vac, 36kA@415Vac - marca ABB.</t>
  </si>
  <si>
    <t>ITM Caja Moldeada 4x100A (reg.[0.7-1.0] In) - XT2N160-100A-4P-TMA - 65kA@230Vac, 36kA@415Vac - marca ABB.</t>
  </si>
  <si>
    <t>ITM Caja Moldeada 4x125A (reg.[0.7-1.0] In) - XT2N160-125A-4P-TMA - 65kA@230Vac, 36kA@415Vac - marca ABB.</t>
  </si>
  <si>
    <t>ITM Caja Moldeada 3x16A (reg.[0.7-1.0] In) - XT2S160-16A-3P-TMD - 85kA@230Vac, 50kA@415Vac - marca ABB</t>
  </si>
  <si>
    <t>ITM Caja Moldeada 3x20A (reg.[0.7-1.0] In) - XT2S160-20A-3P-TMD - 85kA@230Vac, 50kA@415Vac - marca ABB</t>
  </si>
  <si>
    <t>ITM Caja Moldeada 3x25A (reg.[0.7-1.0] In) - XT2S160-25A-3P-TMD - 85kA@230Vac, 50kA@415Vac - marca ABB</t>
  </si>
  <si>
    <t>ITM Caja Moldeada 3x32A (reg.[0.7-1.0] In) - XT2S160-32A-3P-TMD - 85kA@230Vac, 50kA@415Vac - marca ABB</t>
  </si>
  <si>
    <t>ITM Caja Moldeada 3x40A (reg.[0.7-1.0] In) - XT2S160-40A-3P-TMA - 85kA@230Vac, 50kA@415Vac - marca ABB.</t>
  </si>
  <si>
    <t>ITM Caja Moldeada 3x50A (reg.[0.7-1.0] In) - XT2S160-50A-3P-TMA - 85kA@230Vac, 50kA@415Vac - marca ABB.</t>
  </si>
  <si>
    <t>ITM Caja Moldeada 3x63A (reg.[0.7-1.0] In) - XT2S160-63A-3P-TMA - 85kA@230Vac, 50kA@415Vac - marca ABB.</t>
  </si>
  <si>
    <t>ITM Caja Moldeada 3x80A (reg.[0.7-1.0] In) - XT2S160-80A-3P-TMA - 85kA@230Vac, 50kA@415Vac - marca ABB.</t>
  </si>
  <si>
    <t>ITM Caja Moldeada 3x100A (reg.[0.7-1.0] In) - XT2S160-100A-3P-TMA - 85kA@230Vac, 50kA@415Vac - marca ABB.</t>
  </si>
  <si>
    <t>ITM Caja Moldeada 3x125A (reg.[0.7-1.0] In) - XT2S160-125A-3P-TMA - 85kA@230Vac, 50kA@415Vac - marca ABB.</t>
  </si>
  <si>
    <t>ITM Caja Moldeada 3x160A (reg.[0.7-1.0] In) - XT2S160-160A-3P-TMA - 85kA@230Vac, 50kA@415Vac - marca ABB.</t>
  </si>
  <si>
    <t>ITM Caja Moldeada 4x20A (reg.[0.7-1.0] In) - XT2S160-20A-4P-TMD - 85kA@230Vac, 50kA@415Vac - marca ABB</t>
  </si>
  <si>
    <t>ITM Caja Moldeada 4x32A (reg.[0.7-1.0] In) - XT2S160-32A-4P-TMD - 85kA@230Vac, 50kA@415Vac - marca ABB</t>
  </si>
  <si>
    <t>ITM Caja Moldeada 4x40A (reg.[0.7-1.0] In) - XT2S160-40A-4P-TMA - 85kA@230Vac, 50kA@415Vac - marca ABB.</t>
  </si>
  <si>
    <t>ITM Caja Moldeada 4x50A (reg.[0.7-1.0] In) - XT2S160-50A-4P-TMA - 85kA@230Vac, 50kA@415Vac - marca ABB.</t>
  </si>
  <si>
    <t>ITM Caja Moldeada 4x63A (reg.[0.7-1.0] In) - XT2S160-63A-3P-TMA - 85kA@230Vac, 50kA@415Vac - marca ABB.</t>
  </si>
  <si>
    <t>ITM Caja Moldeada 4x80A (reg.[0.7-1.0] In) - XT2S160-80A-4P-TMA - 85kA@230Vac, 50kA@415Vac - marca ABB.</t>
  </si>
  <si>
    <t>ITM Caja Moldeada 4x100A (reg.[0.7-1.0] In) - XT2S160-100A-4P-TMA - 85kA@230Vac, 50kA@415Vac - marca ABB.</t>
  </si>
  <si>
    <t>ITM Caja Moldeada 4x125A (reg.[0.7-1.0] In) - XT2S160-125A-4P-TMA - 85kA@230Vac, 50kA@415Vac - marca ABB.</t>
  </si>
  <si>
    <t>ITM Caja Moldeada 4x160A (reg.[0.7-1.0] In) - XT2S160-160A-4P-TMA - 85kA@230Vac, 50kA@415Vac - marca ABB.</t>
  </si>
  <si>
    <t>ITM Caja Moldeada 3x16A (reg.[0.7-1.0] In) - XT2H160-16A-3P-TMD - 100kA@230Vac, 70kA@415Vac - marca ABB.</t>
  </si>
  <si>
    <t>ITM Caja Moldeada 3x20A (reg.[0.7-1.0] In) - XT2H160-20A-3P-TMD - 100kA@230Vac, 70kA@415Vac - marca ABB.</t>
  </si>
  <si>
    <t>ITM Caja Moldeada 3x25A (reg.[0.7-1.0] In) - XT2H160-25A-3P-TMD - 100kA@230Vac, 70kA@415Vac - marca ABB.</t>
  </si>
  <si>
    <t>ITM Caja Moldeada 3x32A (reg.[0.7-1.0] In) - XT2H160-32A-3P-TMD - 100kA@230Vac, 70kA@415Vac - marca ABB.</t>
  </si>
  <si>
    <t>ITM Caja Moldeada 3x40A (reg.[0.7-1.0] In) - XT2H160-40A-3P-TMA - 100kA@230Vac, 70kA@415Vac - marca ABB.</t>
  </si>
  <si>
    <t>ITM Caja Moldeada 3x50A (reg.[0.7-1.0] In) - XT2H160-50A-3P-TMA - 100kA@230Vac, 70kA@415Vac - marca ABB.</t>
  </si>
  <si>
    <t>ITM Caja Moldeada 3x63A (reg.[0.7-1.0] In) - XT2H160-63A-3P-TMA - 100kA@230Vac, 70kA@415Vac - marca ABB.</t>
  </si>
  <si>
    <t>ITM Caja Moldeada 3x80A (reg.[0.7-1.0] In) - XT2H160-80A-3P-TMA - 100kA@230Vac, 70kA@415Vac - marca ABB.</t>
  </si>
  <si>
    <t>ITM Caja Moldeada 3x100A (reg.[0.7-1.0] In) - XT2H160-100A-3P-TMA - 100kA@230Vac, 70kA@415Vac - marca ABB.</t>
  </si>
  <si>
    <t>ITM Caja Moldeada 3x125A (reg.[0.7-1.0] In) - XT2H160-125A-3P-TMA - 100kA@230Vac, 70kA@415Vac - marca ABB.</t>
  </si>
  <si>
    <t>ITM Caja Moldeada 3x160A (reg.[0.7-1.0] In) - XT2H160-160A-3P-TMA - 100kA@230Vac, 70kA@415Vac - marca ABB.</t>
  </si>
  <si>
    <t>ITM Caja Moldeada 4x40A (reg.[0.7-1.0] In) - XT2H160-40A-4P-TMA - 100kA@230Vac, 70kA@415Vac - marca ABB.</t>
  </si>
  <si>
    <t>ITM Caja Moldeada 4x50A (reg.[0.7-1.0] In) - XT2H160-50A-4P-TMA - 100kA@230Vac, 70kA@415Vac - marca ABB.</t>
  </si>
  <si>
    <t>ITM Caja Moldeada 4x63A (reg.[0.7-1.0] In) - XT2H160-63A-4P-TMA - 100kA@230Vac, 70kA@415Vac - marca ABB.</t>
  </si>
  <si>
    <t>ITM Caja Moldeada 4x80A (reg.[0.7-1.0] In) - XT2H160-80A-4P-TMA - 100kA@230Vac, 70kA@415Vac - marca ABB.</t>
  </si>
  <si>
    <t>ITM Caja Moldeada 4x100A (reg.[0.7-1.0] In) - XT2H160-100A-4P-TMA - 100kA@230Vac, 70kA@415Vac - marca ABB.</t>
  </si>
  <si>
    <t>ITM Caja Moldeada 4x125A (reg.[0.7-1.0] In) - XT2H160-125A-4P-TMA - 100kA@230Vac, 70kA@415Vac - marca ABB.</t>
  </si>
  <si>
    <t>ITM Caja Moldeada 4x160A (reg.[0.7-1.0] In) - XT2H160-160A-4P-TMA - 100kA@230Vac, 70kA@415Vac - marca ABB.</t>
  </si>
  <si>
    <t>ITM Caja Moldeada 3x200A (reg.[0.7-1.0] In) - XT3N250-200A-3P-TMD - 50kA@230Vac, 36kA@415Vac - marca ABB.</t>
  </si>
  <si>
    <t>ITM Caja Moldeada 3x250A (reg.[0.7-1.0] In) - XT3N250-250A-3P-TMD - 50kA@230Vac, 36kA@415Vac - marca ABB.</t>
  </si>
  <si>
    <t>ITM Caja Moldeada 4x250A (reg.[0.7-1.0] In) - XT3N250-250A-4P-TMD - 50kA@230Vac, 36kA@415Vac - marca ABB.</t>
  </si>
  <si>
    <t>ITM Caja Moldeada 3x200A (reg.[0.7-1.0] In) - XT3S250-200A-3P-TMD - 85kA@230Vac, 50kA@415Vac - marca ABB.</t>
  </si>
  <si>
    <t>ITM Caja Moldeada 3x250A (reg.[0.7-1.0] In) - XT3S250-250A-3P-TMD - 85kA@230Vac, 50kA@415Vac - marca ABB.</t>
  </si>
  <si>
    <t>ITM Caja Moldeada 4x250A (reg.[0.7-1.0] In) - XT3S250-250A-4P-TMD - 85kA@230Vac, 50kA@415Vac - marca ABB.</t>
  </si>
  <si>
    <t>ITM Caja Moldeada 3x63A (reg.[0.7-1.0] In) - XT4N160-63A-3P-TMA - 65kA@230Vac, 36kA@415Vac - marca ABB.</t>
  </si>
  <si>
    <t>ITM Caja Moldeada 3x80A (reg.[0.7-1.0] In) - XT4N160-80A-3P-TMA - 65kA@230Vac, 36kA@415Vac - marca ABB.</t>
  </si>
  <si>
    <t>ITM Caja Moldeada 3x100A (reg.[0.7-1.0] In) - XT4N160-100A-3P-TMA - 65kA@230Vac, 36kA@415Vac - marca ABB.</t>
  </si>
  <si>
    <t>ITM Caja Moldeada 3x125A (reg.[0.7-1.0] In) - XT4N160-125A-3P-TMA - 65kA@230Vac, 36kA@415Vac - marca ABB.</t>
  </si>
  <si>
    <t>ITM Caja Moldeada 3x160A (reg.[0.7-1.0] In) - XT4N160-160A-3P-TMA - 65kA@230Vac, 36kA@415Vac - marca ABB.</t>
  </si>
  <si>
    <t>ITM Caja Moldeada 3x200A (reg.[0.7-1.0] In) - XT4N250-200A-3P-TMA - 65kA@230Vac, 36kA@415Vac - marca ABB.</t>
  </si>
  <si>
    <t>ITM Caja Moldeada 3x250A (reg.[0.7-1.0] In) - XT4N250-250A-3P-TMA - 65kA@230Vac, 36kA@415Vac - marca ABB.</t>
  </si>
  <si>
    <t>ITM Caja Moldeada 3x63A (reg.[0.7-1.0] In) - XT4S160-63A-3P-TMA - 85kA@230Vac, 50kA@415Vac - marca ABB.</t>
  </si>
  <si>
    <t>ITM Caja Moldeada 3x80A (reg.[0.7-1.0] In) - XT4S160-80A-3P-TMA - 85kA@230Vac, 50kA@415Vac - marca ABB.</t>
  </si>
  <si>
    <t>ITM Caja Moldeada 3x100A (reg.[0.7-1.0] In) - XT4S160-100A-3P-TMA - 85kA@230Vac, 50kA@415Vac - marca ABB.</t>
  </si>
  <si>
    <t>ITM Caja Moldeada 3x125A (reg.[0.7-1.0] In) - XT4S160-125A-3P-TMA - 85kA@230Vac, 50kA@415Vac - marca ABB.</t>
  </si>
  <si>
    <t>ITM Caja Moldeada 3x160A (reg.[0.7-1.0] In) - XT4S160-160A-3P-TMA - 85kA@230Vac, 50kA@415Vac - marca ABB.</t>
  </si>
  <si>
    <t>ITM Caja Moldeada 3x200A (reg.[0.7-1.0] In) - XT4S250-200A-3P-TMA - 85kA@230Vac, 50kA@415Vac - marca ABB.</t>
  </si>
  <si>
    <t>ITM Caja Moldeada 3x225A (reg.[0.7-1.0] In) - XT4S250-225A-3P-TMA - 85kA@230Vac, 50kA@415Vac - marca ABB.</t>
  </si>
  <si>
    <t>ITM Caja Moldeada 3x250A (reg.[0.7-1.0] In) - XT4S250-250A-3P-TMA - 85kA@230Vac, 50kA@415Vac - marca ABB.</t>
  </si>
  <si>
    <t>ITM Caja Moldeada 3x200A (reg.[0.7-1.0] In) - XT4H250-200A-3P-TMA - 100kA@230Vac, 70kA@415Vac - marca ABB.</t>
  </si>
  <si>
    <t>ITM Caja Moldeada 3x225A (reg.[0.7-1.0] In) - XT4H250-225A-3P-TMA - 100kA@230Vac, 70kA@415Vac - marca ABB.</t>
  </si>
  <si>
    <t>ITM Caja Moldeada 3x250A (reg.[0.7-1.0] In) - XT4H250-250A-3P-TMA - 100kA@230Vac, 70kA@415Vac - marca ABB.</t>
  </si>
  <si>
    <t>ITM Caja Moldeada 3x25A (electrónico [0.4-1.0] In) - XT2N160-25A-3P-Ekip LS/I - 65kA@230Vac, 36kA@415Vac - marca ABB.</t>
  </si>
  <si>
    <t>ITM Caja Moldeada 3x63A (electrónico [0.4-1.0] In) - XT2N160-63A-3P-Ekip LS/I - 65kA@230Vac, 36kA@415Vac - marca ABB.</t>
  </si>
  <si>
    <t>ITM Caja Moldeada 3x100A (electrónico [0.4-1.0] In) - XT2N160-100A-3P-Ekip LS/I - 65kA@230Vac, 36kA@415Vac - marca ABB.</t>
  </si>
  <si>
    <t>ITM Caja Moldeada 3x160A (electrónico [0.4-1.0] In) - XT2N160-160A-3P-Ekip LS/I - 65kA@230Vac, 36kA@415Vac - marca ABB.</t>
  </si>
  <si>
    <t>ITM Caja Moldeada 3x63A (electrónico [0.4-1.0] In) - XT2S160-63A-3P-Ekip LS/I - 85kA@230Vac, 50kA@415Vac - marca ABB.</t>
  </si>
  <si>
    <t>ITM Caja Moldeada 3x100A (electrónico [0.4-1.0] In) - XT2S160-100A-3P-Ekip LS/I - 85kA@230Vac, 50kA@415Vac - marca ABB.</t>
  </si>
  <si>
    <t>ITM Caja Moldeada 3x160A (electrónico [0.4-1.0] In) - XT2S160-160A-3P-Ekip LS/I - 85kA@230Vac, 50kA@415Vac - marca ABB.</t>
  </si>
  <si>
    <t>ITM Caja Moldeada 4x63A (electrónico [0.4-1.0] In) - XT2N160-63A-4P-Ekip LS/I - 65kA@230Vac, 36kA@415Vac - marca ABB.</t>
  </si>
  <si>
    <t>ITM Caja Moldeada 4x100A (electrónico [0.4-1.0] In) - XT2N160-100A-4P-Ekip LS/I - 65kA@230Vac, 36kA@415Vac - marca ABB.</t>
  </si>
  <si>
    <t>ITM Caja Moldeada 4x160A (electrónico [0.4-1.0] In) - XT2N160-160A-4P-Ekip LS/I - 65kA@230Vac, 36kA@415Vac - marca ABB.</t>
  </si>
  <si>
    <t>ITM Caja Moldeada 4x63A (electrónico [0.4-1.0] In) - XT2S160-63A-4P-Ekip LS/I - 85kA@230Vac, 50kA@415Vac - marca ABB.</t>
  </si>
  <si>
    <t>ITM Caja Moldeada 4x100A (electrónico [0.4-1.0] In) - XT2S160-100A-4P-Ekip LS/I - 85kA@230Vac, 50kA@415Vac - marca ABB.</t>
  </si>
  <si>
    <t>ITM Caja Moldeada 4x160A (electrónico [0.4-1.0] In) - XT2S160-160A-4P-Ekip LS/I - 85kA@230Vac, 50kA@415Vac - marca ABB.</t>
  </si>
  <si>
    <t>ITM Caja Moldeada 4x63A (electrónico [0.4-1.0] In) - XT2H160-63A-4P-Ekip LS/I - 100kA@230Vac, 70kA@415Vac - marca ABB.</t>
  </si>
  <si>
    <t>ITM Caja Moldeada 4x100A (electrónico [0.4-1.0] In) - XT2H160-100A-4P-Ekip LS/I - 100kA@230Vac, 70kA@415Vac - marca ABB.</t>
  </si>
  <si>
    <t>ITM Caja Moldeada 4x160A (electrónico [0.4-1.0] In) - XT2H160-160A-4P-Ekip LS/I - 100kA@230Vac, 70kA@415Vac - marca ABB.</t>
  </si>
  <si>
    <t>ITM Caja Moldeada 3x100A (electrónico [0.4-1.0] In) - XT4N160-100A-3P-Ekip LS/I - 65kA@230Vac, 36kA@415Vac - marca ABB.</t>
  </si>
  <si>
    <t>ITM Caja Moldeada 3x160A (electrónico [0.4-1.0] In) - XT4N160-160A-3P-Ekip LS/I - 65kA@230Vac, 36kA@415Vac - marca ABB.</t>
  </si>
  <si>
    <t>ITM Caja Moldeada 3x250A (electrónico [0.4-1.0] In) - XT4N250-250A-3P-Ekip LS/I - 65kA@230Vac, 36kA@415Vac - marca ABB.</t>
  </si>
  <si>
    <t>ITM Caja Moldeada 3x100A (electrónico [0.4-1.0] In) - XT4S160-100A-3P-Ekip LS/I - 85kA@230Vac, 50kA@415Vac - marca ABB.</t>
  </si>
  <si>
    <t>ITM Caja Moldeada 3x160A (electrónico [0.4-1.0] In) - XT4S160-160A-3P-Ekip LS/I - 85kA@230Vac, 50kA@415Vac - marca ABB.</t>
  </si>
  <si>
    <t>ITM Caja Moldeada 3x250A (electrónico [0.4-1.0] In) - XT4S250-250A-3P-Ekip LS/I - 85kA@230Vac, 50kA@415Vac - marca ABB.</t>
  </si>
  <si>
    <t>XT4N160-63A-4P-Ekip LS/I</t>
  </si>
  <si>
    <t>ITM Caja Moldeada 4x63A (electrónico [0.4-1.0] In) - XT4N160-63A-4P-Ekip LS/I - 65kA@230Vac, 36kA@415Vac - marca ABB.</t>
  </si>
  <si>
    <t>1SDA068144R1</t>
  </si>
  <si>
    <t>ITM Caja Moldeada 4x100A (electrónico [0.4-1.0] In) - XT4N160-100A-4P-Ekip LS/I - 65kA@230Vac, 36kA@415Vac - marca ABB.</t>
  </si>
  <si>
    <t>ITM Caja Moldeada 4x160A (electrónico [0.4-1.0] In) - XT4N160-160A-4P-Ekip LS/I - 65kA@230Vac, 36kA@415Vac - marca ABB.</t>
  </si>
  <si>
    <t>ITM Caja Moldeada 4x100A (electrónico [0.4-1.0] In) - XT4S160-100A-4P-Ekip LS/I - 85kA@230Vac, 50kA@415Vac - marca ABB.</t>
  </si>
  <si>
    <t>ITM Caja Moldeada 4x160A (electrónico [0.4-1.0] In) - XT4S160-160A-4P-Ekip LS/I - 85kA@230Vac, 50kA@415Vac - marca ABB.</t>
  </si>
  <si>
    <t>ITM Caja Moldeada 4x100A (electrónico [0.4-1.0] In) - XT4H160-100A-4P-Ekip LS/I - 100kA@230Vac, 70kA@415Vac - marca ABB.</t>
  </si>
  <si>
    <t>ITM Caja Moldeada 4x160A (electrónico [0.4-1.0] In) - XT4H160-160A-4P-Ekip LS/I - 100kA@230Vac, 70kA@415Vac - marca ABB.</t>
  </si>
  <si>
    <t>ITM Caja Moldeada 4x250A (electrónico [0.4-1.0] In) - XT4H250-250A-4P-Ekip LS/I - 100kA@230Vac, 70kA@415Vac - marca ABB.</t>
  </si>
  <si>
    <t>ITM Caja Moldeada 3x320A (electrónico [0.4-1.0] In)  - T4N320-320A-3P-PR221DS-LS/I - 70kA@230Vac, 36kA@415Vac - marca ABB.</t>
  </si>
  <si>
    <t>ITM Caja Moldeada 3x320A (electrónico [0.4-1.0] In) - T4S320-320A-3P-PR221DS-LS/I - 85kA@230Vac, 50kA@415Vac - marca ABB.</t>
  </si>
  <si>
    <t>ITM Caja Moldeada 3x400A (electrónico [0.4-1.0] In) - T5N400-400A-3P-PR221DS-LS/I - 70kA@230Vac, 36kA@415Vac - marca ABB.</t>
  </si>
  <si>
    <t>ITM Caja Moldeada 3x630A (electrónico [0.4-1.0] In) - T5N630-630A-3P-PR221DS-LS/I - 70kA@230Vac, 36kA@415Vac - marca ABB.</t>
  </si>
  <si>
    <t>ITM Caja Moldeada 3x400A (electrónico [0.4-1.0] In) - T5S400-400A-3P-PR221DS-LS/I - 85kA@230Vac, 50kA@415Vac - marca ABB.</t>
  </si>
  <si>
    <t>ITM Caja Moldeada 3x630A (electrónico [0.4-1.0] In) - T5S630-630A-3P-PR221DS-LS/I - 85kA@230Vac, 50kA@415Vac - marca ABB.</t>
  </si>
  <si>
    <t>ITM Caja Moldeada 4x400A (electrónico [0.4-1.0] In) - T5N400-400A-4P-PR221DS-LS/I - 70kA@230Vac, 36kA@415Vac - marca ABB.</t>
  </si>
  <si>
    <t>ITM Caja Moldeada 4x400A (electrónico [0.4-1.0] In) - T5S400-400A-4P-PR221DS-LS/I - 85kA@230Vac, 50kA@415Vac - marca ABB.</t>
  </si>
  <si>
    <t>ITM Caja Moldeada 4x630A (electrónico [0.4-1.0] In) - T5S630-630A-4P-PR221DS-LS/I - 85kA@230Vac, 50kA@415Vac - marca ABB.</t>
  </si>
  <si>
    <t>ITM Caja Moldeada 3x400A (electrónico [0.4-1.0] In) - T5H400-400A-3P-PR221DS-LS/I - 100kA@230Vac, 70kA@415Vac - marca ABB.</t>
  </si>
  <si>
    <t>ITM Caja Moldeada 3x630A (electrónico [0.4-1.0] In) - T5H630-630A-3P-PR221DS-LS/I - 100kA@230Vac, 70kA@415Vac - marca ABB.</t>
  </si>
  <si>
    <t>ITM Caja Moldeada 3x800A (electrónico [0.4-1.0] In) - T6N800-800A-3P-PR221DS-LS/I - 70kA@230Vac, 36kA@415Vac - marca ABB.</t>
  </si>
  <si>
    <t>ITM Caja Moldeada 3x1000A (electrónico [0.4-1.0] In) - T6N1000-1000A-3P-PR221DS-LS/I - 70kA@230Vac, 36kA@415Vac - marca ABB.</t>
  </si>
  <si>
    <t>ITM Caja Moldeada 3x800A (electrónico [0.4-1.0] In) - T6S800-800A-3P-PR221DS-LS/I - 85kA@230Vac, 50kA@415Vac - marca ABB.</t>
  </si>
  <si>
    <t>ITM Caja Moldeada 3x1000A (electrónico [0.4-1.0] In) - T6S1000-1000A-3P-PR221DS-LS/I - 85kA@230Vac, 50kA@415Vac - marca ABB.</t>
  </si>
  <si>
    <t>ITM Caja Moldeada 4x800A (electrónico [0.4-1.0] In) - T6S800-800A-4P-PR221DS-LS/I - 85kA@230Vac, 50kA@415Vac - marca ABB.</t>
  </si>
  <si>
    <t>ITM Caja Moldeada 4x1000A (electrónico [0.4-1.0] In) - T6S1000-1000A-4P-PR221DS-LS/I - 85kA@230Vac, 50kA@415Vac - marca ABB.</t>
  </si>
  <si>
    <t>ITM Caja Moldeada 4x1250A (electrónico [0.4-1.0] In) - T7S1250-1250A-4P-PR231 P-LS/I - 50kA@415Vac - marca ABB.</t>
  </si>
  <si>
    <t>ITM Caja Moldeada 3x1250A (electrónico [0.4-1.0] In) - T7H1250-1250A-3P-PR231 P-LS/I - 70kA@415Vac - marca ABB.</t>
  </si>
  <si>
    <t>ITM Caja Moldeada 3x1600A (electrónico [0.4-1.0] In) - T7H1600-1600A-3P-PR231 P-LS/I - 70kA@415Vac - marca ABB.</t>
  </si>
  <si>
    <t>ITM Caja Moldeada 3x1250A (electrónico [0.4-1.0] In) - T7S1250-1250A-3P-PR231 P-LS/I (Motorizable) - 50kA@415Vac - marca ABB.</t>
  </si>
  <si>
    <t>ITM Caja Moldeada 4x1250A (electrónico [0.4-1.0] In) - T7S1250-1250A-4P-PR231 P-LS/I (Motorizable) - 50kA@415Vac - marca ABB.</t>
  </si>
  <si>
    <t>ITM Caja Moldeada 3x1600A (electrónico [0.4-1.0] In) - T7S1600-1600A-3P-PR231 P-LS/I (Motorizable) - 50kA@415Vac - marca ABB.</t>
  </si>
  <si>
    <t>ITM Caja Moldeada 3x1250A (electrónico [0.4-1.0] In) - T7H1250-1250A-3P-PR231 P-LS/I (Motorizable) - 70kA@415Vac - marca ABB.</t>
  </si>
  <si>
    <t>ITM Caja Moldeada 3x1600A (electrónico [0.4-1.0] In) - T7H1600-1600A-3P-PR231 P-LS/I (Motorizable) - 70kA@415Vac - marca ABB.</t>
  </si>
  <si>
    <t>ITM Caja Moldeada 3x2000A (electrónico [0.4-1.0] In) - T8L2000-2000A-3P-PR331 P-LSI - 85kA@415Vac - marca ABB.</t>
  </si>
  <si>
    <t>ITM Caja Moldeada 3x2500A (electrónico [0.4-1.0] In) - T8L2500-2500A-3P-PR331 P-LSI - 85kA@415Vac - marca ABB.</t>
  </si>
  <si>
    <t>ITM Caja Moldeada 3x320A (electrónico [0.4-1.0] In) - T4N320-320A-3P-PR222DS/P-LSI - 70kA@230Vac, 36kA@415Vac - marca ABB.</t>
  </si>
  <si>
    <t>ITM Caja Moldeada 3x320A (electrónico [0.4-1.0] In) - T4S320-320A-3P-PR222DS/P-LSI - 85kA@230Vac, 50kA@415Vac - marca ABB.</t>
  </si>
  <si>
    <t>T4H320-320A-3P-PR222DS/P-LSI</t>
  </si>
  <si>
    <t>ITM Caja Moldeada 3x320A (electrónico [0.4-1.0] In) - T4H320-320A-3P-PR222DS/P-LSI - 100kA@230Vac, 70kA@415Vac - marca ABB.</t>
  </si>
  <si>
    <t>1SDA054135R1</t>
  </si>
  <si>
    <t>ITM Caja Moldeada 4x320A (electrónico [0.4-1.0] In) - T4N320-320A-4P-PR222DS/P-LSI - 70kA@230Vac, 36kA@415Vac - marca ABB.</t>
  </si>
  <si>
    <t>ITM Caja Moldeada 4x320A (electrónico [0.4-1.0] In) - T4S320-320A-4P-PR222DS/P-LSI - 85kA@230Vac, 50kA@415Vac - marca ABB.</t>
  </si>
  <si>
    <t>ITM Caja Moldeada 3x320A (electrónico [0.4-1.0] In) - T5N400-320A-3P-PR222DS/P-LSI - 70kA@230Vac, 36kA@415Vac - marca ABB.</t>
  </si>
  <si>
    <t>ITM Caja Moldeada 3x400A (electrónico [0.4-1.0] In) - T5N400-400A-3P-PR222DS/P-LSI - 70kA@230Vac, 36kA@415Vac - marca ABB.</t>
  </si>
  <si>
    <t>ITM Caja Moldeada 3x630A (electrónico [0.4-1.0] In) - T5N630-630A-3P-PR222DS/P-LSI - 70kA@230Vac, 36kA@415Vac - marca ABB.</t>
  </si>
  <si>
    <t>ITM Caja Moldeada 3x500A (reg.[0.7-1.0] In) - T5N630-500A-3P-TMA - 70kA@230Vac, 36kA@415Vac - marca ABB.</t>
  </si>
  <si>
    <t>ITM Caja Moldeada 3x500A (reg.[0.7-1.0] In) - T5S630-500A-3P-TMA - 85kA@230Vac, 50kA@415Vac - marca ABB.</t>
  </si>
  <si>
    <t>ITM Caja Moldeada 3x400A (electrónico [0.4-1.0] In) - T5S400-400A-3P-PR222DS/P-LSI - 85kA@230Vac, 50kA@415Vac - marca ABB.</t>
  </si>
  <si>
    <t>ITM Caja Moldeada 3x630A (electrónico [0.4-1.0] In) - T5S630-630A-3P-PR222DS/P-LSI - 85kA@230Vac, 50kA@415Vac - marca ABB.</t>
  </si>
  <si>
    <t>ITM Caja Moldeada 3x400A (electrónico [0.4-1.0] In) - T5H400-400A-3P-PR222DS/P-LSI - 100kA@230Vac, 70kA@415Vac - marca ABB.</t>
  </si>
  <si>
    <t>ITM Caja Moldeada 3x630A (electrónico [0.4-1.0] In) - T5H630-630A-3P-PR222DS/P-LSI - 100kA@230Vac, 70kA@415Vac - marca ABB.</t>
  </si>
  <si>
    <t>ITM Caja Moldeada 4x320A (electrónico [0.4-1.0] In) - T5N400-320A-4P-PR222DS/P-LSI - 70kA@230Vac, 36A@415Vac - marca ABB.</t>
  </si>
  <si>
    <t>ITM Caja Moldeada 4x400A (electrónico [0.4-1.0] In) - T5N400-400A-4P-PR222DS/P-LSI - 70kA@230Vac, 36A@415Vac - marca ABB.</t>
  </si>
  <si>
    <t>ITM Caja Moldeada 4x630A (electrónico [0.4-1.0] In) - T5N630-630A-4P-PR222DS/P-LSI - 70kA@230Vac, 36kA@415Vac - marca ABB.</t>
  </si>
  <si>
    <t>ITM Caja Moldeada 4x400A (electrónico [0.4-1.0] In) - T5S400-400A-4P-PR222DS/P-LSI - 85kA@230Vac, 50kA@415Vac - marca ABB.</t>
  </si>
  <si>
    <t>ITM Caja Moldeada 4x630A (electrónico [0.4-1.0] In) - T5S630-630A-4P-PR222DS/P-LSI - 85kA@230Vac, 50kA@415Vac - marca ABB.</t>
  </si>
  <si>
    <t>ITM Caja Moldeada 4x630A (electrónico [0.4-1.0] In) - T5H630-630A-4P-PR222DS/P-LSI - 100kA@230Vac, 70kA@415Vac - marca ABB.</t>
  </si>
  <si>
    <t>ITM Caja Moldeada 3x630A (electrónico [0.4-1.0] In) - T6N630-630A-3P-PR222DS/P-LSI - 70kA@230Vac, 36kA@415Vac - marca ABB.</t>
  </si>
  <si>
    <t>ITM Caja Moldeada 3x800A (electrónico [0.4-1.0] In) - T6N800-800A-3P-PR222DS/P-LSI - 70kA@230Vac, 36kA@415Vac - marca ABB.</t>
  </si>
  <si>
    <t>ITM Caja Moldeada 3x1000A (electrónico [0.4-1.0] In) - T6N1000-1000A-3P-PR222DS/P-LSI - 70kA@230Vac, 36kA@415Vac - marca ABB.</t>
  </si>
  <si>
    <t>ITM Caja Moldeada 3x630A (electrónico [0.4-1.0] In) - T6S630-630A-3P-PR222DS/P-LSI - 85kA@230Vac, 50kA@415Vac - marca ABB.</t>
  </si>
  <si>
    <t>ITM Caja Moldeada 3x800A (electrónico [0.4-1.0] In) - T6S800-800A-3P-PR222DS/P-LSI - 85kA@230Vac, 50kA@415Vac - marca ABB.</t>
  </si>
  <si>
    <t>ITM Caja Moldeada 3x800A (electrónico [0.4-1.0] In) - T6H800-800A-3P-PR222DS/P-LSI - 100kA@230Vac, 70kA@415Vac - marca ABB.</t>
  </si>
  <si>
    <t>ITM Caja Moldeada 3x1000A (electrónico [0.4-1.0] In) - T6S1000-1000A-3P-PR222DS/P-LSI - 85kA@230Vac, 50kA@415Vac - marca ABB.</t>
  </si>
  <si>
    <t>ITM Caja Moldeada 3x1000A (electrónico [0.4-1.0] In) - T6H1000-1000A-3P-PR222DS/P-LSI - 100kA@230Vac, 70kA@415Vac - marca ABB.</t>
  </si>
  <si>
    <t>ITM Caja Moldeada 4x630A (electrónico [0.4-1.0] In) - T6N630-630A-4P-PR222DS/P-LSI - 70kA@230Vac, 36kA@415Vac - marca ABB.</t>
  </si>
  <si>
    <t>ITM Caja Moldeada 4x800A (electrónico [0.4-1.0] In) - T6N800-800A-4P-PR222DS/P-LSI - 70kA@230Vac, 36kA@415Vac - marca ABB.</t>
  </si>
  <si>
    <t>ITM Caja Moldeada 4x630A (electrónico [0.4-1.0] In) - T6S630-630A-4P-PR222DS/P-LSI - 85kA@230Vac, 50kA@415Vac - marca ABB.</t>
  </si>
  <si>
    <t>ITM Caja Moldeada 4x800A (electrónico [0.4-1.0] In) - T6S800-800A-4P-PR222DS/P-LSI - 85kA@230Vac, 50kA@415Vac - marca ABB.</t>
  </si>
  <si>
    <t>ITM Caja Moldeada 4x1000A (electrónico [0.4-1.0] In) - T6S1000-1000A-4P-PR222DS/P-LSI - 85kA@230Vac, 50kA@415Vac - marca ABB.</t>
  </si>
  <si>
    <t>ITM Caja Moldeada 4x800A (electrónico [0.4-1.0] In) - T6H800-800A-4P-PR222DS/P-LSI - 100kA@230Vac, 70kA@415Vac - marca ABB.</t>
  </si>
  <si>
    <t>ITM Caja Moldeada 3x1600A (electrónico [0.4-1.0] In) - T7S1600-1600A-3P-PR232/P-LSI - 50kA@415Vac - marca ABB.</t>
  </si>
  <si>
    <t>ITM Caja Moldeada 3x1600A (electrónico [0.4-1.0] In) - T7H1600-1600A-3P-PR232/P-LSI - 70kA@415Vac - marca ABB.</t>
  </si>
  <si>
    <t>ITM Caja Moldeada 4x800A (electrónico [0.4-1.0] In) - T7S1000-800A-4P-PR232/P-LSI - 50kA@415Vac - marca ABB.</t>
  </si>
  <si>
    <t>ITM Caja Moldeada 4x1000A (electrónico [0.4-1.0] In) - T7S1000-1000A-4P-PR232/P-LSI - 50kA@415Vac - marca ABB.</t>
  </si>
  <si>
    <t>ITM Caja Moldeada 4x1250A (electrónico [0.4-1.0] In) - T7S1250-1250A-4P-PR232/P-LSI - 50kA@415Vac - marca ABB.</t>
  </si>
  <si>
    <t>ITM Caja Moldeada 4x1600A (electrónico [0.4-1.0] In) - T7S1600-1600A-4P-PR232/P-LSI - 50kA@415Vac - marca ABB.</t>
  </si>
  <si>
    <t>ITM Caja Moldeada 3x800A (electrónico [0.4-1.0] In) - T7S800(M)-800A-3P-PR232/P-LSI - 50kA@415Vac - marca ABB.</t>
  </si>
  <si>
    <t>ITM Caja Moldeada 3x1000A (electrónico [0.4-1.0] In) - T7S1000(M)-1000A-3P-PR232/P-LSI - 50kA@415Vac - marca ABB.</t>
  </si>
  <si>
    <t>ITM Caja Moldeada 3x1250A (electrónico [0.4-1.0] In) - T7S1250(M)-1250A-3P-PR232/P-LSI - 50kA@415Vac - marca ABB.</t>
  </si>
  <si>
    <t>ITM Caja Moldeada 3x1600A (electrónico [0.4-1.0] In) - T7S1600(M)-1600A-3P-PR232/P-LSI - 50kA@415Vac - marca ABB.</t>
  </si>
  <si>
    <t>ITM Caja Moldeada 3x1250A (electrónico [0.4-1.0] In) - T7H1250(M)-1250A-3P-PR232/P-LSI - 70kA@415Vac - marca ABB.</t>
  </si>
  <si>
    <t>ITM Caja Moldeada 3x1600A (electrónico [0.4-1.0] In) - T7H1600(M)-1600A-3P-PR232/P-LSI - 70kA@415Vac - marca ABB.</t>
  </si>
  <si>
    <t>ITM Caja Moldeada 4x800A (electrónico [0.4-1.0] In) - T7S800(M)-800A-4P-PR232/P-LSI - 50kA@415Vac - marca ABB.</t>
  </si>
  <si>
    <t>ITM Caja Moldeada 4x1000A (electrónico [0.4-1.0] In) - T7S1000(M)-1000A-4P-PR232/P-LSI - 50kA@415Vac - marca ABB.</t>
  </si>
  <si>
    <t>ITM Caja Moldeada 4x1600A (electrónico [0.4-1.0] In) - T7S1600(M)-1600A-4P-PR232/P-LSI - 50kA@415Vac - marca ABB.</t>
  </si>
  <si>
    <t>ITM Caja Moldeada 4x1000A (electrónico [0.4-1.0] In) - T7H1000(M)-1000A-4P-PR232/P-LSI - 70kA@415Vac - marca ABB.</t>
  </si>
  <si>
    <t>XLP_000-6CC</t>
  </si>
  <si>
    <t>Seccionador tripolar de montaje y operación horizontal - 100A@500Vac, 100A@220Vdc - modelo XLP_000-6CC - marca ABB.</t>
  </si>
  <si>
    <t>1SEP201428R0001</t>
  </si>
  <si>
    <t>Controlador de Conmutación Automática ATS022 - pantalla digital, con módulo de com. Modbus-RS485 para monitoreo - marca ABB.</t>
  </si>
  <si>
    <t>OTM_I-0-II_3p_200A</t>
  </si>
  <si>
    <t>Conmutador motorizado bajo carga (I-0-II), modelo OTM-C, 3p, 200A (AC21..AC22) / 200A (AC23) - marca ABB.</t>
  </si>
  <si>
    <t>Transferencia - (2) ITM Caja Moldeada 3x80A + enclav. mecánico + mando elect. - XT1S-TMD-80A - 50kA@415Vac - ABB.</t>
  </si>
  <si>
    <t>Transferencia - (2) ITM Caja Moldeada 3x100A + enclav. mecánico + mando elect. - XT1S-TMD-100A - 50kA@415Vac - ABB.</t>
  </si>
  <si>
    <t>Transferencia - (2) ITM Caja Moldeada 3x125A + enclav. mecánico + mando elect. - XT1S-TMD-125A - 50kA@415Vac - ABB.</t>
  </si>
  <si>
    <t>Transferencia - (2) ITM Caja Moldeada 3x160A + enclav. mecánico + mando elect. - XT1S-TMD-160A - 50kA@415Vac - ABB.</t>
  </si>
  <si>
    <t>Transferencia - (2) ITM Caja Moldeada 3x200A + enclav. mecánico + mando elect. - XT3S-TMD-200A - 50kA@415Vac - ABB.</t>
  </si>
  <si>
    <t>Transferencia - (2) ITM Caja Moldeada 3x250A + enclav. mecánico + mando elect. - XT3S-TMD-250A - 50kA@415Vac - ABB.</t>
  </si>
  <si>
    <t>Transferencia - (2) ITM Caja Moldeada 3x400A + enclav. mecánico + mando elect. - T5N-LS/I-400A - 36kA@415Vac - marca ABB.</t>
  </si>
  <si>
    <t>Transferencia - (2) ITM Caja Moldeada 3x630A + enclav. mecánico + mando elect. - T5N-LS/I-630A - 36kA@415Vac - marca ABB.</t>
  </si>
  <si>
    <t>Transferencia - (2) ITM Caja Moldeada 3x800A + enclav. mecánico + mando elect. - T6N-LS/I-800A - 36kA@400Vac - marca ABB.</t>
  </si>
  <si>
    <t>Transferencia - (2) ITM Caja Moldeada 3x1000A + enclav. mecánico + mando elect. - T6N-LS/I-1000A - 36kA@415Vac - marca ABB.</t>
  </si>
  <si>
    <t>Transferencia - (2) ITM Caja Moldeada 3x400A + enclav. mecánico + mando elect. - T5S-LS/I-400A - 50kA@415Vac - marca ABB.</t>
  </si>
  <si>
    <t>Transferencia - (2) ITM Caja Moldeada 3x630A + enclav. mecánico + mando elect. - T5S-LS/I-630A - 50kA@415Vac - marca ABB.</t>
  </si>
  <si>
    <t>Transferencia - (2) ITM Caja Moldeada 3x800A + enclav. mecánico + mando elect. - T6S-LS/I-800A - 50kA@415Vac - marca ABB.</t>
  </si>
  <si>
    <t>Transferencia - (2) ITM Caja Moldeada 3x1000A + enclav. mecánico + mando elect. - T6S-LS/I-1000A - 50kA@415Vac - marca ABB.</t>
  </si>
  <si>
    <t>Transferencia - (2) ITM Caja Moldeada 3x1250A + enclav. mecánico + mando elect. - T7S(M)-LS/I-1250A - 50kA@415Vac - marca ABB.</t>
  </si>
  <si>
    <t>Transferencia - (2) ITM Caja Moldeada 3x1600A + enclav. mecánico + mando elect. - T7S(M)-LS/I-1600A - 50kA@415Vac - marca ABB.</t>
  </si>
  <si>
    <t>AF52-30-00-13_3p</t>
  </si>
  <si>
    <t>Contactor 3x53A(AC-3) / 3x100A(AC-1) - AF52-30-00-13 - bobina 100-250Vac/dc - marca ABB.</t>
  </si>
  <si>
    <t>1SBL367001R1300</t>
  </si>
  <si>
    <t>AF65-30-00-13_3p</t>
  </si>
  <si>
    <t>Contactor 3x63A(AC-3) / 3x105A(AC-1) - AF65-30-00-13 - bobina 100-250Vac/dc - marca ABB.</t>
  </si>
  <si>
    <t>1SBL387001R1300</t>
  </si>
  <si>
    <t>AF80-30-00-13_3p</t>
  </si>
  <si>
    <t>Contactor 3x80A(AC-3) / 3x125A(AC-1) - AF80-30-00-13 - bobina 100-250Vac/dc - marca ABB.</t>
  </si>
  <si>
    <t>1SBL397001R1300</t>
  </si>
  <si>
    <t>1SBN010140R1122</t>
  </si>
  <si>
    <t>CA4-22E</t>
  </si>
  <si>
    <t>Contacto auxiliar frontal 2NA+2NC para contactor AF26..AF96-30-00, frontal - Modelo CA4-22E - marca ABB.</t>
  </si>
  <si>
    <t>1SBN010140R1022</t>
  </si>
  <si>
    <t>VM4</t>
  </si>
  <si>
    <t>1SBN030105T1000</t>
  </si>
  <si>
    <t>VM96-4</t>
  </si>
  <si>
    <t>1SBN033405T1000</t>
  </si>
  <si>
    <t>SEL_1-0-2_mod</t>
  </si>
  <si>
    <t>SEL_N-0-E_mod</t>
  </si>
  <si>
    <t>SEL_0-1_mod</t>
  </si>
  <si>
    <t>Selector 3 posiciones mantenidos - 1-0-2 / M-0-A - maneta corta, contactos 2NA - C3SS1-10B-20 - compacto - marca ABB.</t>
  </si>
  <si>
    <t>1SFA619210R1026</t>
  </si>
  <si>
    <t>SEL_N-0-E</t>
  </si>
  <si>
    <t>Selector 3 posiciones mantenidos - N-0-E / 1-0-2  - maneta corta, contactos 2NA - C3SS1-10B-20 - compacto - marca ABB.</t>
  </si>
  <si>
    <t>Selector 2 posiciones mantenidos - 0-1 - maneta corta, contacto 1NA+1NC - C2SS2-10B-11 - compacto - marca ABB.</t>
  </si>
  <si>
    <t>1SFA619201R1076</t>
  </si>
  <si>
    <t>1SFA619403R5231</t>
  </si>
  <si>
    <t>1SFA619403R5232</t>
  </si>
  <si>
    <t>1SFA619403R5233</t>
  </si>
  <si>
    <t>1SFA619403R5131</t>
  </si>
  <si>
    <t>1SFA619403R5132</t>
  </si>
  <si>
    <t>1SFA619403R5133</t>
  </si>
  <si>
    <t>LAMP_ROJO_120Vdc</t>
  </si>
  <si>
    <t>1SFA619403R5151</t>
  </si>
  <si>
    <t>LAMP_VERDE_120Vdc</t>
  </si>
  <si>
    <t>1SFA619403R5152</t>
  </si>
  <si>
    <t>LAMP_AM_120Vdc</t>
  </si>
  <si>
    <t>1SFA619403R5153</t>
  </si>
  <si>
    <t>Relé de monitoreo de tensión (UL) modelo CM-PVE - Ue=320..460Vac - Max/min tensión, pérdida de fase, t=0.5s. - marca ABB.</t>
  </si>
  <si>
    <t>Relé de monitoreo de tensión (UL) modelo CM-MPS.31S -  Ue=160..300Vac - Max/min tensión, pérdida /secuencia /desbalance de fase, t=0, 0.1.. 30s. - marca ABB.</t>
  </si>
  <si>
    <t>Relé de monitoreo de tensión (UL) modelo CM-MPS.41S - Ue=300..500Vac - Max/min tensión, pérdida /secuencia /desbalance de fase, t=0, 0.1.. 30s. - marca ABB.</t>
  </si>
  <si>
    <t>Relé de monitoreo de tensión (UL) modelo CM-ESS.2S, Umed=30..300V AC/DC, Uc= 24-240V AC/DC - Max/min tensión, t=0, 0.1.. 30s., 2 salidas NA/NC - marca ABB.</t>
  </si>
  <si>
    <t>RELE_TENSION_500Vac</t>
  </si>
  <si>
    <t>Relé de monitoreo de tensión (UL) modelo CM-MPN.52S - Ue=350..580Vac - Max/min tensión, pérdida /secuencia /desbalance de fase, t=0, 0.1.. 30s. - marca ABB.</t>
  </si>
  <si>
    <t>1SVR750487R8300</t>
  </si>
  <si>
    <t>CM-IWS.1S</t>
  </si>
  <si>
    <t>Relé de monitoreo de aislamiento (UL) modelo CM-IWS.1S - Umed &lt;=  0-250V AC / 0-300V DC, R_an=1..100kOhm., Uc = 24-240V AC/DC, C_fuga&lt;= 10uF - marca ABB.</t>
  </si>
  <si>
    <t>1SVR730660R0100</t>
  </si>
  <si>
    <t>A1X1PK</t>
  </si>
  <si>
    <t>FUSIBLE_NH-000_63A</t>
  </si>
  <si>
    <t>FUSIBLE_NH-000_50A</t>
  </si>
  <si>
    <t>FUSIBLE_NH-000_50A_FS</t>
  </si>
  <si>
    <t>407FS52050</t>
  </si>
  <si>
    <t>FERRAZ SHAWMUT</t>
  </si>
  <si>
    <t>BORNE-70mm2</t>
  </si>
  <si>
    <t>Borne 70mm2, color gris - modelo UKH 50 - marca PHOENIX CONTACT.</t>
  </si>
  <si>
    <t>PHOENIX CONTACT</t>
  </si>
  <si>
    <t>BORNE-70mm2_azul</t>
  </si>
  <si>
    <t>Borne 70mm2, azul (señalizado) - modelo UKH 50 - marca PHOENIX CONTACT.</t>
  </si>
  <si>
    <t>BORNE-95mm2</t>
  </si>
  <si>
    <t>Borne 95mm2, color plomo - modelo UKH 95 - marca PHOENIX CONTACT.</t>
  </si>
  <si>
    <t>PUENTE_FIJO</t>
  </si>
  <si>
    <t>Puente fijo, modelo FBI 2-20 - PHOENIX CONTACT</t>
  </si>
  <si>
    <t>MARCADORES</t>
  </si>
  <si>
    <t>Tira de marcadores ZB10 (10 unidades) sin rotular - marca PHOENIX CONTACT.</t>
  </si>
  <si>
    <t>Protector contra Sobretensión Transitorio 1F+N , Ue=220Vac, corriente pico por fase 60kA - marca SINE TAMMER.</t>
  </si>
  <si>
    <t>Protector contra Sobretensión Transitorio 1F+T , Ue=220Vac, corriente pico por fase 100kA - marca SINE TAMMER.</t>
  </si>
  <si>
    <t>Protector contra Sobretensión Transitorio 3F+T , Ue=220Vac, corriente pico por fase 40kA - modelo RM-ST, marca SINE TAMMER.</t>
  </si>
  <si>
    <t>Protector contra Sobretensión Transitorio 3F+N+T , Ue=380/220Vac, corriente pico por fase 40kA - modelo RM-ST, marca SINE TAMMER.</t>
  </si>
  <si>
    <t>Protector contra Sobretensión Transitorio 3F+T , Ue=220Vac, corriente pico por fase 80kA - modelo RM-ST, marca SINE TAMMER.</t>
  </si>
  <si>
    <t>Protector contra Sobretensión Transitorio 3F+N+T , Ue=380/220Vac, corriente pico por fase 80kA - modelo RM-ST, marca SINE TAMMER.</t>
  </si>
  <si>
    <t>Protector contra Sobretensión Transitorio 3F+T , Ue=220Vac, corriente pico 120kA - modelo LA-ST, marca SINE TAMMER.</t>
  </si>
  <si>
    <t>Protector contra Sobretensión Transitorio 3F+N+T , Ue=380/220Vac, corriente pico 120kA - modelo LA-ST, marca SINE TAMMER.</t>
  </si>
  <si>
    <t>Protector contra Sobretensión Transitorio 3F+T , Ue=220Vac, corriente pico 180kA - modelo LA-ST, marca SINE TAMMER.</t>
  </si>
  <si>
    <t>Protector contra Sobretensión Transitorio 3F+N+T , Ue=380/220Vac, corriente pico 180kA - modelo LA-ST, marca SINE TAMMER.</t>
  </si>
  <si>
    <t>Protector contra Sobretensión Transitorio 3F+T , Ue=220Vac, corriente pico 240kA - modelo LA-ST, marca SINE TAMMER.</t>
  </si>
  <si>
    <t>Protector contra Sobretensión Transitorio 3F+N+T , Ue=380/220Vac, corriente pico 240kA - modelo LA-ST, marca SINE TAMMER.</t>
  </si>
  <si>
    <t>Relé de vigilancia de aislamiento - modelo isoMED427P-2 - Con vigilancia de carga y temperatura integrada y generador de corriente de prueba - Sistemas IT MEDICOS - marca BENDER.</t>
  </si>
  <si>
    <t>B72075301</t>
  </si>
  <si>
    <t>(econom.)</t>
  </si>
  <si>
    <t>Relé de vigilancia de aislamiento - modelo IR427-2 - Con vigilancia de carga y temperatura del transformador - marca BENDER.</t>
  </si>
  <si>
    <t>B72075300</t>
  </si>
  <si>
    <t>Transformador de corriente de carga, d=13mm. para isoMED427P-2 / IR427-2 - modelo STW2, marca BENDER.</t>
  </si>
  <si>
    <t>B942709</t>
  </si>
  <si>
    <t>B95100002</t>
  </si>
  <si>
    <t xml:space="preserve">Repetidor de alarma sugeridos para UCI - modelo MK2007CBM, marca BENDER. </t>
  </si>
  <si>
    <t>B923813</t>
  </si>
  <si>
    <t xml:space="preserve">Repetidor de alarma para la indicacion de alarma y prueba de aislacion para IR427-2 - modelo MK7, marca BENDER. </t>
  </si>
  <si>
    <t>B95100201</t>
  </si>
  <si>
    <t>Fuente de alimentacion para 04 repetidores MK2430-12 / MK2007CBM / MK7 - modelo AN450, marca BENDER.</t>
  </si>
  <si>
    <t>B924201</t>
  </si>
  <si>
    <t>ES710/5000-E</t>
  </si>
  <si>
    <t>Transformador de aislamiento de 5KVA, eficiencia=96%, h_max=5000msnm, normas IEC, VDE - modelo ES710/5000-E - marca BENDER.</t>
  </si>
  <si>
    <t>B92090103</t>
  </si>
  <si>
    <t>ES710/8000-E</t>
  </si>
  <si>
    <t>B92090105</t>
  </si>
  <si>
    <t>B92090106</t>
  </si>
  <si>
    <t>B91080101</t>
  </si>
  <si>
    <t>4x1600A - T7</t>
  </si>
  <si>
    <t>4x400A - T5</t>
  </si>
  <si>
    <t>Se ha considerado que los tableros generales "TG-P3"(item 06) y "TDB-E"(item 05) estén preparados para conexión a las salidas hacia</t>
  </si>
  <si>
    <t>el Ducto de Barras o las entradas desde el Ducto de Barras (en donde sea requerido según el diagrama unifilar) mediante un acople</t>
  </si>
  <si>
    <t>de barras. No forma parte del suministro la conexión con banda flexible entre dicho acople y el ducto de barras. La geometría y</t>
  </si>
  <si>
    <t>disposición física exacta de la llegada/entrada del Ducto de Barras serán definidas en la etapa de aprobación de planos mecánicos.</t>
  </si>
  <si>
    <t>Se ha cotizado el tablero "BC"(item 01) como un sistema de:</t>
  </si>
  <si>
    <t>Banco de Condensadores trifásico de 110kVAR@380Vac, incluye reactancias para filtro de rechazo de armónicas con un</t>
  </si>
  <si>
    <t>factor de desintonia p=7% , en cumplimiento de las especificaciones técnicas (pg.19-20).</t>
  </si>
  <si>
    <t>(Building Products)</t>
  </si>
  <si>
    <t>AUTOSOPORTADOS</t>
  </si>
  <si>
    <t>ADOSADOS</t>
  </si>
  <si>
    <t>EMPOTRADOS</t>
  </si>
  <si>
    <t>OTROS</t>
  </si>
  <si>
    <t>FORMATO DE
PRESUPUESTO v.2</t>
  </si>
  <si>
    <t xml:space="preserve">Tableros eléctricos tipo Autosoportado, modular, grado de protección IP-54, fabricados en plancha galvanizada de 1/16" de espesor , con puerta de acceso frontal en plancha de 5/64"  de espesor y chapa, tratamiento anticorrosivo de fosfatizado y acabado con pintura electrostática color RAL 7032 , interiormente llevará un juego de barras de cobre electrolítico de 99,9% de conductividad debidamente dimensionado y soportado sobre sus respectivos aisladores. </t>
  </si>
  <si>
    <t xml:space="preserve">Estará equipado con componentes marca ABB, para un sistema trifásico de 380/220 Vac, 60Hz, barra a neutro y barra a tierra. </t>
  </si>
  <si>
    <t>TABLEROS ELÉCTRICOS  AUTOSOPORTADOS</t>
  </si>
  <si>
    <t>TABLEROS ELÉCTRICOS  DE DISTRIBUCIÓN</t>
  </si>
  <si>
    <t>ELÉCTRICOS , segun el estudio realizado.</t>
  </si>
  <si>
    <r>
      <t xml:space="preserve">Tablero eléctrico de distribución, para </t>
    </r>
    <r>
      <rPr>
        <b/>
        <sz val="11"/>
        <rFont val="Arial"/>
        <family val="2"/>
      </rPr>
      <t xml:space="preserve">EMPOTRAR / ADOSAR, </t>
    </r>
    <r>
      <rPr>
        <sz val="11"/>
        <rFont val="Arial"/>
        <family val="2"/>
      </rPr>
      <t>grado de encerramiento tipo</t>
    </r>
    <r>
      <rPr>
        <b/>
        <sz val="11"/>
        <rFont val="Arial"/>
        <family val="2"/>
      </rPr>
      <t xml:space="preserve"> IP-42</t>
    </r>
    <r>
      <rPr>
        <sz val="11"/>
        <rFont val="Arial"/>
        <family val="2"/>
      </rPr>
      <t>, la caja y puerta de acceso frontal con chapa, fabricadas en plancha galvanizado con acabado electrostático RAL 7032 al horno; incluye directorio de circuitos e interiormente estará equipado con conectores de cobre.</t>
    </r>
  </si>
  <si>
    <t>NEMA 1 / NEMA 3R</t>
  </si>
  <si>
    <t>NEMA 12 / NEMA 3R</t>
  </si>
  <si>
    <t>IP-20</t>
  </si>
  <si>
    <t>IP-20 / IP-14</t>
  </si>
  <si>
    <t>NEMA 12 / NEMA 4</t>
  </si>
  <si>
    <t>IP-54 / IP-14</t>
  </si>
  <si>
    <t>IP-54 / IP-65</t>
  </si>
  <si>
    <t>IP-40 / IP-14</t>
  </si>
  <si>
    <t>125Vdc (2P)</t>
  </si>
  <si>
    <t>250Vdc (2P)</t>
  </si>
  <si>
    <t>480Vdc (2P)</t>
  </si>
  <si>
    <t>400/230Vac (3F+N)</t>
  </si>
  <si>
    <t>230Vac (3F)</t>
  </si>
  <si>
    <t>48Vdc (2P)</t>
  </si>
  <si>
    <t>TABLEROS ELÉCTRICOS AUTOSOPORTADOS</t>
  </si>
  <si>
    <t>A1B125-63A-3P-TMF</t>
  </si>
  <si>
    <t>A1B125-32A-3P-TMF</t>
  </si>
  <si>
    <t>PSPD120220Y3K</t>
  </si>
  <si>
    <t>SH203-C-10A</t>
  </si>
  <si>
    <t>CMC_15kVAR/230V</t>
  </si>
  <si>
    <t>REACT_15kVAR/220V_p7</t>
  </si>
  <si>
    <t>COND_15kVAR/220V_p7</t>
  </si>
  <si>
    <t>CMC_10kVAR/230V</t>
  </si>
  <si>
    <t>REACT_10kVAR/220V_p7</t>
  </si>
  <si>
    <t>COND_10kVAR/220V_p7</t>
  </si>
  <si>
    <t>REG_SMART_III_6p</t>
  </si>
  <si>
    <t>SELECT. N-0-E</t>
  </si>
  <si>
    <t>ITM Riel-Din 3x10A - SH203-C-10A - 10kA@230Vac, 6kA@400Vac-IEC60898 - marca ABB.</t>
  </si>
  <si>
    <t>A1N/P125-32A-1P-TMF</t>
  </si>
  <si>
    <t>ITM Caja Moldeada 1x32A - A1N/P125-32A-1P-TMF - 25kA@230V, 5kA@400V - marca ABB.</t>
  </si>
  <si>
    <t>1SDA066688R1</t>
  </si>
  <si>
    <t>ITM Caja Moldeada 3x32A - A1B125-32A-3P-TMF - 25kA@230Vac, 18kA@400Vac - marca ABB.</t>
  </si>
  <si>
    <t>ITM Caja Moldeada 3x63A - A1B125-63A-3P-TMF - 25kA@230Vac, 18kA@400Vac - marca ABB.</t>
  </si>
  <si>
    <t>A1B125-32A-4P-TMF</t>
  </si>
  <si>
    <t>ITM Caja Moldeada 4x32A - A1B125-32A-4P-TMF - 25kA@230Vac, 18kA@400Vac - marca ABB.</t>
  </si>
  <si>
    <t>A1B125-63A-4P-TMF</t>
  </si>
  <si>
    <t>ITM Caja Moldeada 4x63A - A1B125-63A-4P-TMF - 25kA@230Vac, 18kA@400Vac - marca ABB.</t>
  </si>
  <si>
    <t>A1C125-32A-3P-TMF</t>
  </si>
  <si>
    <t>A1C125-63A-3P-TMF</t>
  </si>
  <si>
    <t>ITM Caja Moldeada 4x20A - A1C125-20A-3P-TMF - 30kA@230Vac, 25kA@400Vac, 10kA@250Vdc - marca ABB.</t>
  </si>
  <si>
    <t>ITM Caja Moldeada 4x25A - A1C125-25A-3P-TMF - 30kA@230Vac, 25kA@400Vac, 10kA@250Vdc - marca ABB.</t>
  </si>
  <si>
    <t>A1C125-32A-4P-TMF</t>
  </si>
  <si>
    <t>ITM Caja Moldeada 4x32A - A1C125-32A-3P-TMF - 30kA@230Vac, 25kA@400Vac, 10kA@250Vdc - marca ABB.</t>
  </si>
  <si>
    <t>ITM Caja Moldeada 4x40A - A1C125-40A-3P-TMF - 30kA@230Vac, 25kA@400Vac, 10kA@250Vdc - marca ABB.</t>
  </si>
  <si>
    <t>ITM Caja Moldeada 4x50A - A1C125-50A-3P-TMF - 30kA@230Vac, 25kA@400Vac, 10kA@250Vdc - marca ABB.</t>
  </si>
  <si>
    <t>A1C125-63A-4P-TMF</t>
  </si>
  <si>
    <t>ITM Caja Moldeada 4x63A - A1C125-63A-3P-TMF - 30kA@230Vac, 25kA@400Vac, 10kA@250Vdc - marca ABB.</t>
  </si>
  <si>
    <t>ITM Caja Moldeada 4x70A - A1C125-70A-3P-TMF - 30kA@230Vac, 25kA@400Vac, 10kA@250Vdc - marca ABB.</t>
  </si>
  <si>
    <t>ITM Caja Moldeada 4x80A - A1C125-80A-3P-TMF - 30kA@230Vac, 25kA@400Vac, 10kA@250Vdc - marca ABB.</t>
  </si>
  <si>
    <t>ITM Caja Moldeada 4x90A - A1C125-90A-3P-TMF - 30kA@230Vac, 25kA@400Vac, 10kA@250Vdc - marca ABB.</t>
  </si>
  <si>
    <t>ITM Caja Moldeada 4x100A - A1C125-100A-3P-TMF - 30kA@230Vac, 25kA@400Vac, 10kA@250Vdc - marca ABB.</t>
  </si>
  <si>
    <t>ITM Caja Moldeada 4x125A - A1C125-125A-3P-TMF - 30kA@230Vac, 25kA@400Vac, 10kA@250Vdc - marca ABB.</t>
  </si>
  <si>
    <t>A2N250-160A-2P-TMF</t>
  </si>
  <si>
    <t>ITM Caja Moldeada 2x160A - A2N250-160A-2P-TMF - 10kA@125Vdc - marca ABB.</t>
  </si>
  <si>
    <t>1SDA066543R1</t>
  </si>
  <si>
    <t>A2N250-200A-2P-TMF</t>
  </si>
  <si>
    <t>ITM Caja Moldeada 2x200A - A2N250-200A-2P-TMF - 10kA@125Vdc - marca ABB.</t>
  </si>
  <si>
    <t>1SDA066545R1</t>
  </si>
  <si>
    <t>A2N250-250A-2P-TMF</t>
  </si>
  <si>
    <t>ITM Caja Moldeada 2x250A - A2N250-250A-2P-TMF - 10kA@125Vdc - marca ABB.</t>
  </si>
  <si>
    <t>1SDA066547R1</t>
  </si>
  <si>
    <t>A2N250-125A-3P-TMF</t>
  </si>
  <si>
    <t>ITM Caja Moldeada 3x125A - A2N250-125A-3P-TMF - 50kA@230Vac, 36kA@400Vac - marca ABB.</t>
  </si>
  <si>
    <t>1SDA066781R1</t>
  </si>
  <si>
    <t>A2N250-125A-4P-TMF</t>
  </si>
  <si>
    <t>ITM Caja Moldeada 4x125A - A2N250-125A-4P-TMF - 50kA@230Vac, 36kA@400Vac, 10kA@250Vdc - marca ABB.</t>
  </si>
  <si>
    <t>1SDA066793R1</t>
  </si>
  <si>
    <t>A2N250-160A-4P-TMF</t>
  </si>
  <si>
    <t>ITM Caja Moldeada 4x160A - A2N250-160A-4P-TMF - 50kA@230Vac, 36kA@400Vac, 10kA@250Vdc - marca ABB.</t>
  </si>
  <si>
    <t>1SDA066794R1</t>
  </si>
  <si>
    <t>A2N250-200A-4P-TMF</t>
  </si>
  <si>
    <t>ITM Caja Moldeada 4x200A - A2N250-200A-4P-TMF - 50kA@230Vac, 36kA@400Vac, 10kA@250Vdc - marca ABB.</t>
  </si>
  <si>
    <t>1SDA066796R1</t>
  </si>
  <si>
    <t>A2N250-250A-4P-TMF</t>
  </si>
  <si>
    <t>ITM Caja Moldeada 4x250A - A2N250-250A-4P-TMF - 50kA@230Vac, 36kA@400Vac, 10kA@250Vdc - marca ABB.</t>
  </si>
  <si>
    <t>1SDA066798R1</t>
  </si>
  <si>
    <t>FC-CuAl_A1 - Terminales + Cubrebornes - cables de cobre/aluminio hasta 1x50mm2 - 3 terminales (internos)</t>
  </si>
  <si>
    <t>FC-CuAl_A1 - Terminales + Cubrebornes - cables de cobre/aluminio hasta 1x50mm2 - 4 terminales (internos)</t>
  </si>
  <si>
    <t>FC-CuAl_A2 - Terminales + Cubrebornes - cables de cobre/aluminio hasta 1x120mm2 - 3 terminales (internos)</t>
  </si>
  <si>
    <t>FC-CuAl_A2 - Terminales + Cubrebornes - cables de cobre/aluminio hasta 1x120mm2 - 4 terminales (internos)</t>
  </si>
  <si>
    <t>FC-CuAl_A3 - Terminales - cables de cobre/aluminio hasta 1x300mm2 - 3 terminales (internos)</t>
  </si>
  <si>
    <t>FC-CuAl_A3 - Terminales + Cubrebornes - cables de cobre/aluminio hasta 2x240mm2 - 3 terminales (externos)</t>
  </si>
  <si>
    <t>FC-CuAl_A3 - Terminales - cables de cobre/aluminio hasta 1x300mm2 - 4 terminales (internos)</t>
  </si>
  <si>
    <t>FC-CuAl_A3 - Terminales + Cubrebornes - cables de cobre/aluminio hasta 2x240mm2 - 4 terminales (externos)</t>
  </si>
  <si>
    <t>Bobina de apertura (YO) - A1..A2 - SOR versión no cableada - 220-240V AC/DC - marca ABB.</t>
  </si>
  <si>
    <t>Bobina de apertura (YO) - A3 - SOR versión no cableada - 220-240V AC/DC - marca ABB.</t>
  </si>
  <si>
    <t>XT4N160-50A-3P-TMA</t>
  </si>
  <si>
    <t>ITM Caja Moldeada 3x50A (reg.[0.7-1.0] In) - XT4N160-50A-3P-TMA - 65kA@230Vac, 36kA@415Vac - marca ABB.</t>
  </si>
  <si>
    <t>1SDA068084R1</t>
  </si>
  <si>
    <t>XT4N160-40A-4P-TMA</t>
  </si>
  <si>
    <t>ITM Caja Moldeada 4x40A (reg.[0.7-1.0] In) - XT4N160-40A-4P-TMA - 65kA@230Vac, 36kA@415Vac, 36kA@500Vdc - marca ABB.</t>
  </si>
  <si>
    <t>1SDA068097R1</t>
  </si>
  <si>
    <t>XT4N160-50A-4P-TMA</t>
  </si>
  <si>
    <t>ITM Caja Moldeada 4x50A (reg.[0.7-1.0] In) - XT4N160-50A-4P-TMA - 65kA@230Vac, 36kA@415Vac, 36kA@500Vdc - marca ABB.</t>
  </si>
  <si>
    <t>1SDA068098R1</t>
  </si>
  <si>
    <t>ITM Caja Moldeada 4x63A (reg.[0.7-1.0] In) - XT4N160-63A-4P-TMA - 65kA@230Vac, 36kA@415Vac, 36kA@500Vdc - marca ABB.</t>
  </si>
  <si>
    <t>ITM Caja Moldeada 4x80A (reg.[0.7-1.0] In) - XT4N160-80A-4P-TMA - 65kA@230Vac, 36kA@415Vac, 36kA@500Vdc - marca ABB.</t>
  </si>
  <si>
    <t>ITM Caja Moldeada 4x100A (reg.[0.7-1.0] In) - XT4N160-100A-4P-TMA - 65kA@230Vac, 36kA@415Vac, 36kA@500Vdc - marca ABB.</t>
  </si>
  <si>
    <t>ITM Caja Moldeada 4x125A (reg.[0.7-1.0] In) - XT4N160-125A-4P-TMA - 65kA@230Vac, 36kA@415Vac, 36kA@500Vdc - marca ABB.</t>
  </si>
  <si>
    <t>ITM Caja Moldeada 4x160A (reg.[0.7-1.0] In) - XT4N160-160A-4P-TMA - 65kA@230Vac, 36kA@415Vac, 36kA@500Vdc - marca ABB.</t>
  </si>
  <si>
    <t>ITM Caja Moldeada 4x200A (reg.[0.7-1.0] In) - XT4N250-200A-4P-TMA - 65kA@230Vac, 36kA@415Vac, 36kA@500Vdc - marca ABB.</t>
  </si>
  <si>
    <t>ITM Caja Moldeada 4x250A (reg.[0.7-1.0] In) - XT4N250-250A-4P-TMA - 65kA@230Vac, 36kA@415Vac, 36kA@500Vdc - marca ABB.</t>
  </si>
  <si>
    <t>XT4S160-50A-3P-TMA</t>
  </si>
  <si>
    <t>ITM Caja Moldeada 3x50A (reg.[0.7-1.0] In) - XT4S160-50A-3P-TMA - 85kA@230Vac, 50kA@415Vac - marca ABB.</t>
  </si>
  <si>
    <t>1SDA068304R1</t>
  </si>
  <si>
    <t>XT4S160-50A-4P-TMA</t>
  </si>
  <si>
    <t>ITM Caja Moldeada 4x50A (reg.[0.7-1.0] In) - XT4S160-50A-4P-TMA - 85kA@230Vac, 50kA@415Vac, 50kA@500Vdc - marca ABB.</t>
  </si>
  <si>
    <t>1SDA068318R1</t>
  </si>
  <si>
    <t>XT4S160-63A-4P-TMA</t>
  </si>
  <si>
    <t>ITM Caja Moldeada 4x63A (reg.[0.7-1.0] In) - XT4S160-63A-4P-TMA - 85kA@230Vac, 50kA@415Vac, 50kA@500Vdc - marca ABB.</t>
  </si>
  <si>
    <t>1SDA068319R1</t>
  </si>
  <si>
    <t>XT4S160-80A-4p-TMA</t>
  </si>
  <si>
    <t>ITM Caja Moldeada 4x80A (reg.[0.7-1.0] In) - XT4S160-80A-4P-TMA - 85kA@230Vac, 50kA@415Vac, 50kA@500Vdc - marca ABB.</t>
  </si>
  <si>
    <t>1SDA068320R1</t>
  </si>
  <si>
    <t>XT4S160-100A-4p-TMA</t>
  </si>
  <si>
    <t>ITM Caja Moldeada 4x100A (reg.[0.7-1.0] In) - XT4S160-100A-4P-TMA - 85kA@230Vac, 50kA@415Vac, 50kA@500Vdc - marca ABB.</t>
  </si>
  <si>
    <t>1SDA068321R1</t>
  </si>
  <si>
    <t>XT4S160-125A-4p-TMA</t>
  </si>
  <si>
    <t>ITM Caja Moldeada 4x125A (reg.[0.7-1.0] In) - XT4S160-125A-4P-TMA - 85kA@230Vac, 50kA@415Vac, 50kA@500Vdc - marca ABB.</t>
  </si>
  <si>
    <t>1SDA068327R1</t>
  </si>
  <si>
    <t>XT4S160-160A-4p-TMA</t>
  </si>
  <si>
    <t>ITM Caja Moldeada 4x160A (reg.[0.7-1.0] In) - XT4S160-160A-4P-TMA - 85kA@230Vac, 50kA@415Vac, 50kA@500Vdc - marca ABB.</t>
  </si>
  <si>
    <t>1SDA068328R1</t>
  </si>
  <si>
    <t>ITM Caja Moldeada 4x200A (reg.[0.7-1.0] In) - XT4S250-200A-4P-TMA - 85kA@230Vac, 50kA@415Vac, 50kA@500Vdc - marca ABB.</t>
  </si>
  <si>
    <t>XT4S250-225A-4P-TMA</t>
  </si>
  <si>
    <t>ITM Caja Moldeada 4x250A (reg.[0.7-1.0] In) - XT4S250-225A-4P-TMA - 85kA@230Vac, 50kA@415Vac, 50kA@500Vdc - marca ABB.</t>
  </si>
  <si>
    <t>1SDA068330R1</t>
  </si>
  <si>
    <t>ITM Caja Moldeada 4x250A (reg.[0.7-1.0] In) - XT4S250-250A-4P-TMA - 85kA@230Vac, 50kA@415Vac, 50kA@500Vdc - marca ABB.</t>
  </si>
  <si>
    <t>FC-Cu_XT1 - Terminales - cables de cobre hasta 1x50mm2 - 3 terminales (internos)</t>
  </si>
  <si>
    <t>FC-Cu_XT1 - Terminales - cables de cobre hasta 1x50mm2 - 4 terminales (internos)</t>
  </si>
  <si>
    <t>FC-CuAl_XT1 - Terminales + Cubrebornes - cables de cobre/aluminio hasta 1x95mm2 - 3 terminales (externos)</t>
  </si>
  <si>
    <t>FC-CuAl_XT1 - Terminales + Cubrebornes - cables de cobre/aluminio hasta 1x95mm2 - 4 terminales (externos)</t>
  </si>
  <si>
    <t>FC-Cu_XT2 - Terminales - cables de cobre hasta 1x70mm2 - 3 terminales (internos)</t>
  </si>
  <si>
    <t>FC-Cu_XT2 - Terminales - cables de cobre hasta 1x70mm2 - 4 terminales (internos)</t>
  </si>
  <si>
    <t>FC-CuAl_XT2 - Terminales + Cubrebornes - cables de cobre/aluminio hasta 1x185mm2 - 3 terminales (externos)</t>
  </si>
  <si>
    <t>FC-CuAl_XT2 - Terminales + Cubrebornes - cables de cobre/aluminio hasta 1x185mm2 - 4 terminales (externos)</t>
  </si>
  <si>
    <t>FC-Cu_XT3 - Terminales - cables de cobre hasta 1x150mm2 - 3 terminales (internos)</t>
  </si>
  <si>
    <t>FC-Cu_XT3 - Terminales - cables de cobre hasta 1x150mm2 - 4 terminales (internos)</t>
  </si>
  <si>
    <t>FC-CuAl_XT3 - Terminales + Adaptador - cables de cobre/aluminio hasta 1x240mm2 - 3 terminales (externos)</t>
  </si>
  <si>
    <t>FC-CuAl_XT3 - Terminales + Adaptador - cables de cobre/aluminio hasta 1x240mm2 - 4 terminales (externos)</t>
  </si>
  <si>
    <t>FC-Cu_XT4 - Terminales - cables de cobre hasta 1x150mm2 - 3 terminales (internos)</t>
  </si>
  <si>
    <t>FC-Cu_XT4 - Terminales - cables de cobre hasta 1x150mm2 - 4 terminales (internos)</t>
  </si>
  <si>
    <t>FC-CuAl_XT4 - Terminales + Adaptador - cables de cobre/aluminio hasta 1x240mm2 - 3 terminales (externos)</t>
  </si>
  <si>
    <t>FC-CuAl_XT4 - Terminales + Adaptador - cables de cobre/aluminio hasta 1x240mm2 - 4 terminales (externos)</t>
  </si>
  <si>
    <t>Bobina de apertura (YO) - XT1..XT4 - SOR versión no cableada - 220-240V AC/DC - marca ABB.</t>
  </si>
  <si>
    <t>T5N400-320A-3P-TMA</t>
  </si>
  <si>
    <t>ITM Caja Moldeada 3x320A (reg.[0.7-1.0] In) - T5N400-320A-3P-TMA - 70kA@230Vac, 36kA@415Vac - marca ABB.</t>
  </si>
  <si>
    <t>1SDA054436R1</t>
  </si>
  <si>
    <t>T5N400-400A-3P-TMA</t>
  </si>
  <si>
    <t>ITM Caja Moldeada 3x400A (reg.[0.7-1.0] In) - T5N400-400A-3P-TMA - 70kA@230Vac, 36kA@415Vac - marca ABB.</t>
  </si>
  <si>
    <t>1SDA054437R1</t>
  </si>
  <si>
    <t>T5S400-320A-3P-TMA</t>
  </si>
  <si>
    <t>ITM Caja Moldeada 3x320A (reg.[0.7-1.0] In) - T5S400-320A-3P-TMA - 85kA@230Vac, 50kA@415Vac - marca ABB.</t>
  </si>
  <si>
    <t>1SDA054440R1</t>
  </si>
  <si>
    <t>T5S400-400A-3P-TMA</t>
  </si>
  <si>
    <t>ITM Caja Moldeada 3x400A (reg.[0.7-1.0] In) - T5S400-400A-3P-TMA - 85kA@230Vac, 50kA@415Vac - marca ABB.</t>
  </si>
  <si>
    <t>1SDA054441R1</t>
  </si>
  <si>
    <t>T5N400-320A-4P-TMA</t>
  </si>
  <si>
    <t>ITM Caja Moldeada 4x320A (reg.[0.7-1.0] In) - T5N400-320A-4P-TMA - 70kA@230Vac, 36kA@415Vac, 25kA@500Vdc - marca ABB.</t>
  </si>
  <si>
    <t>1SDA054477R1</t>
  </si>
  <si>
    <t>T5N400-400A-4P-TMA</t>
  </si>
  <si>
    <t>ITM Caja Moldeada 4x400A (reg.[0.7-1.0] In) - T5N400-400A-4P-TMA - 70kA@230Vac, 36kA@415Vac, 25kA@500Vdc - marca ABB.</t>
  </si>
  <si>
    <t>1SDA054478R1</t>
  </si>
  <si>
    <t>T5N630-500A-4P-TMA</t>
  </si>
  <si>
    <t>ITM Caja Moldeada 4x500A (reg.[0.7-1.0] In) - T5N630-500A-4P-TMA - 70kA@230Vac, 36kA@415Vac, 25kA@500Vdc - marca ABB.</t>
  </si>
  <si>
    <t>1SDA054487R1</t>
  </si>
  <si>
    <t>T5S400-320A-4P-TMA</t>
  </si>
  <si>
    <t>ITM Caja Moldeada 4x320A (reg.[0.7-1.0] In) - T5S400-320A-4P-TMA - 85kA@230Vac, 50kA@415Vac, 36kA@500Vdc - marca ABB.</t>
  </si>
  <si>
    <t>1SDA054479R1</t>
  </si>
  <si>
    <t>T5S400-400A-4P-TMA</t>
  </si>
  <si>
    <t>ITM Caja Moldeada 4x400A (reg.[0.7-1.0] In) - T5S400-400A-4P-TMA - 85kA@230Vac, 50kA@415Vac, 36kA@500Vdc - marca ABB.</t>
  </si>
  <si>
    <t>1SDA054480R1</t>
  </si>
  <si>
    <t>T5S630-500A-4P-TMA</t>
  </si>
  <si>
    <t>ITM Caja Moldeada 4x500A (reg.[0.7-1.0] In) - T5S630-500A-4P-TMA - 85kA@230Vac, 50kA@415Vac, 36kA@500Vdc - marca ABB.</t>
  </si>
  <si>
    <t>1SDA054489R1</t>
  </si>
  <si>
    <t>T5N630-630A-4P-PR221DS-LS/I</t>
  </si>
  <si>
    <t>ITM Caja Moldeada 4x630A (electrónico [0.4-1.0] In) - T5N630-630A-4P-PR221DS-LS/I - 70kA@230Vac, 36kA@415Vac - marca ABB.</t>
  </si>
  <si>
    <t>1SDA054400R1</t>
  </si>
  <si>
    <t>T6N800-800A-4P-PR221DS-LS/I</t>
  </si>
  <si>
    <t>ITM Caja Moldeada 4x800A (electrónico [0.4-1.0] In) - T6N800-800A-4P-PR221DS-LS/I - 70kA@230V, 36kA@415V - marca ABB.</t>
  </si>
  <si>
    <t>1SDA060273R1</t>
  </si>
  <si>
    <t>T6N1000-1000A-4P-PR221DS-LS/I</t>
  </si>
  <si>
    <t>ITM Caja Moldeada 4x1000A (electrónico [0.4-1.0] In) - T6N1000-1000A-4P-PR221DS-LS/I - 70kA@230V, 36kA@415V - marca ABB.</t>
  </si>
  <si>
    <t>1SDA060542R1</t>
  </si>
  <si>
    <t>T6N1000-1000A-4P-PR222DS/P-LSI</t>
  </si>
  <si>
    <t>ITM Caja Moldeada 4x1000A (electrónico [0.4-1.0] In) - T6N1000-1000A-4P-PR222DS/P-LSI - 70kA@230Vac, 36kA@415Vac - marca ABB.</t>
  </si>
  <si>
    <t>1SDA060544R1</t>
  </si>
  <si>
    <t>FC-CuAl_T4 - Terminales + Cubrebornes - cables de cobre/aluminio hasta 1x240mm2 - 4 terminales (externos)</t>
  </si>
  <si>
    <t>FC-CuAl_T5_3t_400A</t>
  </si>
  <si>
    <t>FC-CuAl_T5-400A - Terminales - cables de cobre/aluminio hasta 1x300mm2 - 3 terminales (internos).</t>
  </si>
  <si>
    <t>FC-CuAl_T5_4t_400A</t>
  </si>
  <si>
    <t>FC-CuAl_T5-400A - Terminales - cables de cobre/aluminio hasta 1x300mm2 - 4 terminales (internos).</t>
  </si>
  <si>
    <t>FC-CuAl_T5 - Terminales + Cubrebornes - cables de cobre/aluminio hasta 2x240mm2 - 4 terminales (externos)</t>
  </si>
  <si>
    <t>FC-CuAl_T6-800A - Terminales + Cubrebornes  - cables de cobre/aluminio hasta 3x185mm2 - 4 terminales (externos)</t>
  </si>
  <si>
    <t>FC-CuAl_T7-1250A/T7(M)-1250A - Terminales + Cubrebornes - cables de cobre/aluminio hasta 4x240mm2 - 4 terminales (externos)</t>
  </si>
  <si>
    <t>YO_T4-T5-T6</t>
  </si>
  <si>
    <t>Bobina de apertura (YO) - T4-T5-T6 - SOR versión no cableada - 220-240V AC/DC - marca ABB.</t>
  </si>
  <si>
    <t>YO_T4-T5-T6_48V</t>
  </si>
  <si>
    <t>Bobina de apertura (YO) - T4-T5-T6 - SOR versión no cableada - 48..60V AC/DC - marca ABB.</t>
  </si>
  <si>
    <t>1SDA054864R1</t>
  </si>
  <si>
    <t>Bobina de mínima tensión (YU) - T4-T5-T6 - UVR versión no cableada - 220-240V AC/DC - marca ABB.</t>
  </si>
  <si>
    <t>Bobina de apertura (YO) - T7 / T7(M) - SOR versión no cableada - 220-240V AC/DC - marca ABB.</t>
  </si>
  <si>
    <t>Bobina de cierre (YC) - T7(M) - SCR versión no cableada - 220-240V AC/DC - marca ABB.</t>
  </si>
  <si>
    <t>Bobina de mínima tensión (YU) - T7 / T7(M) - UVR versión no cableada - 220-240V AC/DC - marca ABB.</t>
  </si>
  <si>
    <t>Bobina de apertura (YO) - T8 - SOR versión no cableada - 220-240V AC/DC - marca ABB.</t>
  </si>
  <si>
    <t>Bobina de cierre (YC) - T8 - SCR versión no cableada - 220-240V AC/DC - marca ABB.</t>
  </si>
  <si>
    <t>Bobina de mínima tensión (YU) - T8 - UVR versión no cableada - 220-240V AC/DC - marca ABB.</t>
  </si>
  <si>
    <t>E1.2N-800A-4P-Ekip Hi-Touch LSIG</t>
  </si>
  <si>
    <t>ITM Bastidor Abierto 4x800A (electrónico [0.4-1.0] In) - E1.2N-800A-4P-Ekip Hi-touch LSIG (funciones avanzadas) - 66kA@440Vac - marca ABB.</t>
  </si>
  <si>
    <t>1SDA071399R1</t>
  </si>
  <si>
    <t>E1.2N-1600A-4P-Ekip Hi-Touch LSIG</t>
  </si>
  <si>
    <t>ITM Bastidor Abierto 4x1600A (electrónico [0.4-1.0] In) - E1.2N-1600A-4P-Ekip Hi-touch LSIG (funciones avanzadas) - 66kA@440Vac - marca ABB.</t>
  </si>
  <si>
    <t>1SDA071519R1</t>
  </si>
  <si>
    <t>Bobina de apertura (YO) - Emax2 - 220-240V AC/DC.</t>
  </si>
  <si>
    <t>Bobina de cierre (YC) - Emax2 - 220-240V AC/DC.</t>
  </si>
  <si>
    <t>EKIP-COM_E1.2-E6.2</t>
  </si>
  <si>
    <t>Módulo de comunicación RS-485, Modbus RTU -Emax E1.2…E6.2  - marca ABB.</t>
  </si>
  <si>
    <t>1SDA074150R1</t>
  </si>
  <si>
    <t>1SDA073804R1</t>
  </si>
  <si>
    <t>VV-ACS355-P/11kW</t>
  </si>
  <si>
    <t>3AUA0000058192</t>
  </si>
  <si>
    <t>DM</t>
  </si>
  <si>
    <t>CHK-04</t>
  </si>
  <si>
    <t>Reactancia de Entrada de L=1.5mH, IP 00 - modelo CHK-04, marca ABB</t>
  </si>
  <si>
    <t>NOCH0030-62</t>
  </si>
  <si>
    <t>Reactancia de Salida (Filtro du/dt). IP 22 - modelo NOCH0030-62, marca ABB.</t>
  </si>
  <si>
    <t>CBR-V 660</t>
  </si>
  <si>
    <t>Resistencia de Frenado de 33 Ohm. 1130W, IP 21 - modelo CBR-V 660 DHT 415 33R, marca ABB .</t>
  </si>
  <si>
    <t>KIT P/PANEL</t>
  </si>
  <si>
    <t>VV-ACS355-P/5.5kW</t>
  </si>
  <si>
    <t>3AUA0000058190</t>
  </si>
  <si>
    <t>CHK-03</t>
  </si>
  <si>
    <t>Reactancia de Entrada de L=2.7mH, IP 00 - modelo CHK-03, marca ABB</t>
  </si>
  <si>
    <t>NOCH0016-62</t>
  </si>
  <si>
    <t>Reactancia de Salida (Filtro du/dt) L=150uH. IP 22 - modelo NOCH0016-62, marca ABB.</t>
  </si>
  <si>
    <t>CBR-V 460</t>
  </si>
  <si>
    <t>Resistencia de Frenado de 80 Ohm. 790W, IP 21 - modelo CBR-V 460 DHT 281 80R, marca ABB .</t>
  </si>
  <si>
    <t>VV-ACS355-P/1.5kW</t>
  </si>
  <si>
    <t>3AUA0000058186</t>
  </si>
  <si>
    <t>CHK-02</t>
  </si>
  <si>
    <t>Reactancia de Entrada de L=4.6mH, IP 00 - modelo CHK-02, marca ABB</t>
  </si>
  <si>
    <t>ACS-CHK-C3</t>
  </si>
  <si>
    <t>Reactancia de Salida L=0.8mH. IP 20 - modelo ACS-CHK-C3, marca ABB.</t>
  </si>
  <si>
    <t>CBR-V 210</t>
  </si>
  <si>
    <t>Resistencia de Frenado de 200 Ohm. 360W, IP 21 - modelo CBR-V 210 DT 281 200R, marca ABB .</t>
  </si>
  <si>
    <t>VV-ACS355-P/2.2kW</t>
  </si>
  <si>
    <t>3AUA0000058187</t>
  </si>
  <si>
    <t>VV-ACS355-P/0.75kW</t>
  </si>
  <si>
    <t>3AUA0000058184</t>
  </si>
  <si>
    <t>CHK-01</t>
  </si>
  <si>
    <t>Reactancia de Entrada de L=6.4mH, IP 00 - modelo CHK-01, marca ABB</t>
  </si>
  <si>
    <t>ACS-CHK-B3</t>
  </si>
  <si>
    <t>Reactancia de Salida L=1.5mH. IP 20 - modelo ACS-CHK-B3, marca ABB.</t>
  </si>
  <si>
    <t>VV-ACS355-P/1.1kW</t>
  </si>
  <si>
    <t>3AUA0000058185</t>
  </si>
  <si>
    <t>BZM3-XKA1</t>
  </si>
  <si>
    <t>BZM3-XKA2</t>
  </si>
  <si>
    <t>Motor operador 220Vac. (Bobina de apertura + Bobina de cierre + motor-reductor) para interruptor LZM2</t>
  </si>
  <si>
    <t>Motor operador 220Vac. (Bobina de apertura + Bobina de cierre + motor-reductor) para interruptor LZM3</t>
  </si>
  <si>
    <t>Motor operador 220Vac. (Bobina de apertura + Bobina de cierre + motor-reductor) para interruptor LZM4</t>
  </si>
  <si>
    <t>NZM1-XKA</t>
  </si>
  <si>
    <t>NZM2-160-XKC</t>
  </si>
  <si>
    <t>NZM2-250-XKC</t>
  </si>
  <si>
    <t>NZM2-XKA</t>
  </si>
  <si>
    <t>NZM3-XKC</t>
  </si>
  <si>
    <t>NZM3-XKA1</t>
  </si>
  <si>
    <t>NZM3-XKA2</t>
  </si>
  <si>
    <t>NZM4-XKA</t>
  </si>
  <si>
    <t>CONM - 63A 4P</t>
  </si>
  <si>
    <t>BREMAS</t>
  </si>
  <si>
    <t>CONM - 40A 4P</t>
  </si>
  <si>
    <t>CONM - 25A 4P</t>
  </si>
  <si>
    <t>CONM - 40A 3P</t>
  </si>
  <si>
    <t>CONM - 32A 3P</t>
  </si>
  <si>
    <t>CONM - 25A 3P</t>
  </si>
  <si>
    <t>CONM - 100A 2P</t>
  </si>
  <si>
    <t>CONM - 32A 2P</t>
  </si>
  <si>
    <t>CONM - 25A 2P</t>
  </si>
  <si>
    <t>Modelo ER</t>
  </si>
  <si>
    <t>ER-C16/1-MW</t>
  </si>
  <si>
    <t>ER-C20/1-MW</t>
  </si>
  <si>
    <t>ER-C20/3-MW</t>
  </si>
  <si>
    <t>ELSTER</t>
  </si>
  <si>
    <t>ORBIS</t>
  </si>
  <si>
    <t>Interruptor Horario digital, marca ORBIS.</t>
  </si>
  <si>
    <t>Selector tres posiciones "NORMAL-0-EMERGENCIA".</t>
  </si>
  <si>
    <t>SELECT. A-P</t>
  </si>
  <si>
    <t>Selector dos posiciones "AUTO-PRUEBA".</t>
  </si>
  <si>
    <t>ENC-MEC-160F</t>
  </si>
  <si>
    <t>Bloqueo mecánico para enclavamiento manual entre dos interruptores (permite la conexión de un solo suministro) - Frame 160A.</t>
  </si>
  <si>
    <t>ENC-MEC-250F</t>
  </si>
  <si>
    <t>Bloqueo mecánico para enclavamiento manual entre dos interruptores (permite la conexión de un solo suministro) - Frame 250A.</t>
  </si>
  <si>
    <t>ENC-MEC-320F</t>
  </si>
  <si>
    <t>Bloqueo mecánico para enclavamiento manual entre dos interruptores (permite la conexión de un solo suministro) - Frame 320A.</t>
  </si>
  <si>
    <t>ENC-MEC-630F</t>
  </si>
  <si>
    <t>Bloqueo mecánico para enclavamiento manual entre dos interruptores (permite la conexión de un solo suministro) - Frame  630A.</t>
  </si>
  <si>
    <t>ENC-MEC-1000F</t>
  </si>
  <si>
    <t>Bloqueo mecánico para enclavamiento manual entre dos interruptores (permite la conexión de un solo suministro) - Frame 1000A.</t>
  </si>
  <si>
    <t>ENC-MEC-1600F</t>
  </si>
  <si>
    <t>Bloqueo mecánico para enclavamiento manual entre dos interruptores (permite la conexión de un solo suministro) - Frame 1600A.</t>
  </si>
  <si>
    <t>ZB12-0.16</t>
  </si>
  <si>
    <t>ZB12-0.24</t>
  </si>
  <si>
    <t>ZB12-0.4</t>
  </si>
  <si>
    <t>ZB12-0.6</t>
  </si>
  <si>
    <t>ZB12-1</t>
  </si>
  <si>
    <t>ZB12-1.6</t>
  </si>
  <si>
    <t>ZB12-2.4</t>
  </si>
  <si>
    <t>ZB12-4</t>
  </si>
  <si>
    <t>ZB12-6</t>
  </si>
  <si>
    <t>ZB12-10</t>
  </si>
  <si>
    <t>ZB12-12</t>
  </si>
  <si>
    <t>ZB12-16</t>
  </si>
  <si>
    <t>ZB32-0.16</t>
  </si>
  <si>
    <t>ZB32-0.24</t>
  </si>
  <si>
    <t>ZB32-0.4</t>
  </si>
  <si>
    <t>ZB32-0.6</t>
  </si>
  <si>
    <t>ZB32-1</t>
  </si>
  <si>
    <t>ZB32-1.6</t>
  </si>
  <si>
    <t>ZB32-2.4</t>
  </si>
  <si>
    <t>ZB32-4</t>
  </si>
  <si>
    <t>ZB32-6</t>
  </si>
  <si>
    <t>ZB32-10</t>
  </si>
  <si>
    <t>ZB32-16</t>
  </si>
  <si>
    <t>ZB32-24</t>
  </si>
  <si>
    <t>ZB32-32</t>
  </si>
  <si>
    <t>Bobina de apertura (YO) - Magnum - 220-240V AC/DC.</t>
  </si>
  <si>
    <t>Bobina de cierre (YC) - Magnum - 220-240V AC/DC.</t>
  </si>
  <si>
    <t>Soporte para fijación mural, distancia a pared de 15mm (4 pzas.) - Ref.:2508.100 - marca RITTAL.</t>
  </si>
  <si>
    <t>REACT_12.5kVAR/230V_p7</t>
  </si>
  <si>
    <t>COND_12.5kVAR/230V_p7</t>
  </si>
  <si>
    <t>Regulador de factor de potencia, 6 pasos, Ve = 100-520 Vac, modelo Computer SMART III, marca CIRCUTOR.</t>
  </si>
  <si>
    <t>CMC_12.5kVAR/230V</t>
  </si>
  <si>
    <t>Fusible 63A NH-000, 500VCA, 120kA C/I Falla clase gL - marca DF ELECTRIC.</t>
  </si>
  <si>
    <t>Fusible 50A NH-000, 500VCA, 120kA C/I Falla clase gL/gG - marca DF ELECTRIC.</t>
  </si>
  <si>
    <t>Fusible 50A NH-000, 500VAC, 120kA, gL/gG - marca FERRAZ SHAWMUT.</t>
  </si>
  <si>
    <t>FUSIBLE_J_250A_FS</t>
  </si>
  <si>
    <t>423FSAJT250</t>
  </si>
  <si>
    <t>BASE_FUSIBLE_J_400A</t>
  </si>
  <si>
    <t>Base Portafusible 1 polo, 201..400A, modelo 64031J - 3"x10", marca FERRAZ SHAWMUT.</t>
  </si>
  <si>
    <t>424FS64031J</t>
  </si>
  <si>
    <t>RM ST180 3N2</t>
  </si>
  <si>
    <t>Protector contra Sobretensión Transitorio 3F+T , Ue=220Vac, corriente pico por fase 120kA - modelo RM-ST, marca SINE TAMMER.</t>
  </si>
  <si>
    <t>RM ST180 3Y2</t>
  </si>
  <si>
    <t>Protector contra Sobretensión Transitorio 3F+N+T , Ue=380/220Vac, corriente pico por fase 120kA - modelo RM-ST, marca SINE TAMMER.</t>
  </si>
  <si>
    <t>Sistema de señalización de tensión por fase:</t>
  </si>
  <si>
    <t>Panel de Control Local-Remoto para Mando Motor (p/ modelo T7-1250A):</t>
  </si>
  <si>
    <t>Espacio de reserva unipolar + diferencial de 02 polos</t>
  </si>
  <si>
    <t>Sistema de Ventilacion:</t>
  </si>
  <si>
    <t xml:space="preserve">IP42 </t>
  </si>
  <si>
    <t>UNIFILAR: IE-233</t>
  </si>
  <si>
    <t>Bobina de disparo 380-600Vac para modelos GE/GJ/GL - marca EATON.</t>
  </si>
  <si>
    <t>ITM de  x 20A - tornillo - BAB,  10kA / 240Vac. , marca EATON.</t>
  </si>
  <si>
    <t>Bloqueo por candado en palanca de maniobra del interruptor - BZM1-XKAV - marca marca EATON.</t>
  </si>
  <si>
    <t>Bobina de mínima tensión para interruptor modelo LZMS2, 208V – 240V, 50/60 Hz. - marca marca EATON.</t>
  </si>
  <si>
    <t>Bobina de mínima tensión para interruptor modelo LZMS4, 208V – 240V, 50/60 Hz. - marca marca EATON.</t>
  </si>
  <si>
    <t xml:space="preserve">Contactor 20A (AC-1 ) / 7A (AC-3) + 1NA, bob. 220Vac. , marca EATON. </t>
  </si>
  <si>
    <t xml:space="preserve">Contactor 20A (AC-1 ) / 9A (AC-3) + 1NA, bob. 220Vac. , marca EATON. </t>
  </si>
  <si>
    <t xml:space="preserve">Contactor 20A (AC-1 ) / 12A (AC-3) + 1NA, bob. 220Vac. , marca EATON. </t>
  </si>
  <si>
    <t xml:space="preserve">Contactor 20A (AC-1 ) / 15A (AC-3) + 1NA, bob. 220Vac. , marca EATON. </t>
  </si>
  <si>
    <t xml:space="preserve">Contactor 35A (AC-1 ) / 17A (AC-3) + 1NA, bob. 220Vac. , marca EATON. </t>
  </si>
  <si>
    <t xml:space="preserve">Contactor 40A (AC-1 ) / 25A (AC-3) + 1NA, bob. 220Vac. , marca EATON. </t>
  </si>
  <si>
    <t xml:space="preserve">Contactor 40A (AC-1 ) / 32A (AC-3) + 1NA, bob. 220Vac. , marca EATON. </t>
  </si>
  <si>
    <t xml:space="preserve">Contactor 50A (AC-1 ) / 40A (AC-3) bob. 220Vac. , marca EATON. </t>
  </si>
  <si>
    <t xml:space="preserve">Contactor 65A (AC-1 ) / 50A (AC-3) bob. 220Vac. , marca EATON. </t>
  </si>
  <si>
    <t xml:space="preserve">Contactor 80A (AC-1 ) / 65A (AC-3) bob. 220Vac. , marca EATON. </t>
  </si>
  <si>
    <t xml:space="preserve">Contactor 80A (AC-1 ) / 72A (AC-3) bob. 220Vac. , marca EATON. </t>
  </si>
  <si>
    <t xml:space="preserve">Contactor 90A (AC-1 ) / 80A (AC-3) bob. 220Vac. , marca EATON. </t>
  </si>
  <si>
    <t xml:space="preserve">Contactor 110A (AC-1 ) / 95A (AC-3) bob. 220Vac. marca EATON. </t>
  </si>
  <si>
    <t xml:space="preserve">Contactor 130A (AC-1 ) / 115A (AC-3) bob. 220Vac. marca EATON. </t>
  </si>
  <si>
    <t xml:space="preserve">Contactor 160A (AC-1 ) / 150A (AC-3) bob. 220Vac. marca EATON. </t>
  </si>
  <si>
    <t xml:space="preserve">Contactor 185A (AC-1 ) / 170A (AC-3) bob. 220Vac. marca EATON. </t>
  </si>
  <si>
    <t xml:space="preserve">Contactor 275A (AC-1 ) / 185A (AC-3) bob. 220Vac. marca EATON. </t>
  </si>
  <si>
    <t xml:space="preserve">Contactor 315A (AC-1 ) / 225A (AC-3) bob. 220Vac. marca EATON. </t>
  </si>
  <si>
    <t xml:space="preserve">Contactor 330A (AC-1 ) / 250A (AC-3) bob. 220Vac. marca EATON. </t>
  </si>
  <si>
    <t xml:space="preserve">Contactor 400A (AC-1 ) / 300A (AC-3) bob. 220Vac. marca EATON. </t>
  </si>
  <si>
    <t xml:space="preserve">Contactor 500A (AC-1 ) / 400A (AC-3) bob. 220Vac. marca EATON. </t>
  </si>
  <si>
    <t xml:space="preserve">Contactor 700A (AC-1 ) / 500A (AC-3) bob. 220Vac. marca EATON. </t>
  </si>
  <si>
    <t xml:space="preserve">Contactor 20A (AC-1 ) / 7A (AC-3) + 1NA, bob. 110/120Vac., marca EATON. </t>
  </si>
  <si>
    <t xml:space="preserve">Contactor 20A (AC-1 ) / 9A (AC-3)+ 1NA, bob. 110/120Vac., marca EATON. </t>
  </si>
  <si>
    <t xml:space="preserve">Contactor 20A (AC-1 ) / 12A (AC-3) + 1NA, bob. 110/120Vac., marca EATON. </t>
  </si>
  <si>
    <t xml:space="preserve">Contactor 20A (AC-1 ) / 15A (AC-3) + 1NA, bob. 110/120Vac., marca EATON. </t>
  </si>
  <si>
    <t xml:space="preserve">Contactor 35A (AC-1 ) / 17A (AC-3) + 1NA, bob. 110/120Vac., marca EATON. </t>
  </si>
  <si>
    <t xml:space="preserve">Contactor 40A (AC-1 ) / 25A (AC-3) + 1NA, bob. 110/120Vac., marca EATON. </t>
  </si>
  <si>
    <t xml:space="preserve">Contactor 40A (AC-1 ) / 32A (AC-3) + 1NA, bob. 110/120Vac., marca EATON. </t>
  </si>
  <si>
    <t>Módulo de comunicación RS 485 MODBUS, para Analizador de Red, DIRIS-A40, marca SOCOMEC.</t>
  </si>
  <si>
    <t>DIRIS-A40/Com_Prof</t>
  </si>
  <si>
    <t>Módulo de comunicación RS 485, PROFIBUS PD, para Analizador de Red, DIRIS-A40, marca SOCOMEC.</t>
  </si>
  <si>
    <t>4825 0205</t>
  </si>
  <si>
    <t>PRODUCTOS marca EATON AGREGADOS MANUALMENTE</t>
  </si>
  <si>
    <t>Minicontactor de control DILER-22 / XTRM10A22B, 10A, 2NA+2NC, bobina 220Vac, marca EATON.</t>
  </si>
  <si>
    <t>Minicontactor de control XTRM10A22T, 10A, 2NA+2NC, bobina 24Vac, marca EATON.</t>
  </si>
  <si>
    <t>Contactor 4x12A(AC-3) / 4x22A(AC-1) - bobina 220Vac - Marca marca EATON.</t>
  </si>
  <si>
    <t>Contactor 4x18A(AC-3) / 4x32A(AC-1) - bobina 220Vac - Marca marca EATON.</t>
  </si>
  <si>
    <t>Contactor 4x25A(AC-3) / 4x45A(AC-1) - bobina 220Vac - Marca marca EATON.</t>
  </si>
  <si>
    <t>Contactor 4x40A(AC-3) / 4x63A(AC-1) - bobina 220Vac - Marca marca EATON.</t>
  </si>
  <si>
    <t>Contactor 4x50A(AC-3) / 4x80A(AC-1) - bobina 220Vac - Marca marca EATON.</t>
  </si>
  <si>
    <t>Contactor 4x80A(AC-3) / 4x125A(AC-1) - bobina 220Vac - Marca marca EATON.</t>
  </si>
  <si>
    <t>Contactor 4x95A(AC-3) / 4x160A(AC-1) - bobina 220Vac - Marca marca EATON.</t>
  </si>
  <si>
    <t>Contactor 4x115A(AC-3) / 4x200A(AC-1) - bobina 220Vac - Marca marca EATON.</t>
  </si>
  <si>
    <t>ITM de 4x10A - modular DIN - mMCM,  15kA - 230/400Vac., IEC 60947-2 , marca EATON.</t>
  </si>
  <si>
    <t>ITM de 4x16A - modular DIN - mMCM,  15kA - 230/400Vac., IEC 60947-2 , marca EATON.</t>
  </si>
  <si>
    <t>ITM de 4x20A - modular DIN - mMCM,  15kA - 230/400Vac., IEC 60947-2 , marca EATON.</t>
  </si>
  <si>
    <t>ITM de 4x25A - modular DIN - mMCM,  15kA - 230/400Vac., IEC 60947-2 , marca EATON.</t>
  </si>
  <si>
    <t>ITM de 4x32A - modular DIN - mMCM,  15kA - 230/400Vac., IEC 60947-2 , marca EATON.</t>
  </si>
  <si>
    <t>ITM de 4x40A - modular DIN - mMCM,  15kA - 230/400Vac., IEC 60947-2 , marca EATON.</t>
  </si>
  <si>
    <t>ITM de 4x50A - modular DIN - mMCM,  15kA - 230/400Vac., IEC 60947-2 , marca EATON.</t>
  </si>
  <si>
    <t>ITM de 4x63A - modular DIN - mMCM,  15kA - 230/400Vac., IEC 60947-2 , marca EATON.</t>
  </si>
  <si>
    <t>Controlador para Transferencia Automática, modelo ATC-300+, marca marca EATON.</t>
  </si>
  <si>
    <t>Kit de Transferencia para (2)ITM Bastidor Abierto 2500A - Enclav. mecánico + mando eléctrico + Circuito de control - marca EATON.</t>
  </si>
  <si>
    <t>Kit de Transferencia para (2)ITM Bastidor Abierto 800A - Circuito de control - marca EATON.</t>
  </si>
  <si>
    <t>Kit de Transferencia para (2)ITM Bastidor Abierto 1200/2000A - Circuito de control - marca EATON.</t>
  </si>
  <si>
    <t>Transformador de tensión monofásico 460 / 220 Vac - 5kVA.</t>
  </si>
  <si>
    <t>Transformador de tensión monofásico 460 / 220 Vac - 6kVA.</t>
  </si>
  <si>
    <t>Transformador de tensión monofásico 460 / 220 Vac - 10kVA.</t>
  </si>
  <si>
    <t>TRAFO_2F_480-240V_200VA</t>
  </si>
  <si>
    <t>Transformador de tensión monofásico 480 / 240 Vac - 200VA.</t>
  </si>
  <si>
    <t>COND_30kVAR/460V</t>
  </si>
  <si>
    <t>Juego de terminales para entrada de cables alimentadores (en interruptor principal).</t>
  </si>
  <si>
    <t>S201-B-6A</t>
  </si>
  <si>
    <t>ITM Riel-Din 1x6A - S201-B-6A - 10kA@230V-IEC60947-2 - marca ABB.</t>
  </si>
  <si>
    <t>S201-B-10A</t>
  </si>
  <si>
    <t>ITM Riel-Din 1x10A - S201-B-10A - 10kA@230V-IEC60947-2 - marca ABB.</t>
  </si>
  <si>
    <t>S201-B-16A</t>
  </si>
  <si>
    <t>ITM Riel-Din 1x16A - S201-B-16A - 10kA@230V-IEC60947-2 - marca ABB.</t>
  </si>
  <si>
    <t>2CDS251001R1165</t>
  </si>
  <si>
    <t>S201-B-20A</t>
  </si>
  <si>
    <t>ITM Riel-Din 1x20A - S201-B-20A - 10kA@230V-IEC60947-2 - marca ABB.</t>
  </si>
  <si>
    <t>S201-B-25A</t>
  </si>
  <si>
    <t>ITM Riel-Din 1x25A - S201-B-25A - 10kA@230V-IEC60947-2 - marca ABB.</t>
  </si>
  <si>
    <t>S201-B-32A</t>
  </si>
  <si>
    <t>ITM Riel-Din 1x32A - S201-B-32A - 10kA@230V-IEC60947-2 - marca ABB.</t>
  </si>
  <si>
    <t>S201-B-40A</t>
  </si>
  <si>
    <t>ITM Riel-Din 1x40A - S201-B-40A - 10kA@230V-IEC60947-2 - marca ABB.</t>
  </si>
  <si>
    <t>S201-B-50A</t>
  </si>
  <si>
    <t>ITM Riel-Din 1x50A - S201-B-50A - 10kA@230V-IEC60947-2 - marca ABB.</t>
  </si>
  <si>
    <t>S201-B-63A</t>
  </si>
  <si>
    <t>ITM Riel-Din 1x63A - S201-B-63A - 10kA@230V-IEC60947-2 - marca ABB.</t>
  </si>
  <si>
    <t>S202-B-6A</t>
  </si>
  <si>
    <t>ITM Riel-Din 2x6A - S202-B-6A - 10kA@230V-IEC60947-2 - marca ABB.</t>
  </si>
  <si>
    <t>S202-B-10A</t>
  </si>
  <si>
    <t>ITM Riel-Din 2x10A - S202-B-10A - 10kA@230V-IEC60947-2 - marca ABB.</t>
  </si>
  <si>
    <t>S202-B-16A</t>
  </si>
  <si>
    <t>ITM Riel-Din 2x16A - S202-B-16A - 10kA@230V-IEC60947-2 - marca ABB.</t>
  </si>
  <si>
    <t>S202-B-20A</t>
  </si>
  <si>
    <t>ITM Riel-Din 2x20A - S202-B-20A - 10kA@230V-IEC60947-2 - marca ABB.</t>
  </si>
  <si>
    <t>S202-B-25A</t>
  </si>
  <si>
    <t>ITM Riel-Din 2x25A - S202-B-25A - 10kA@230V-IEC60947-2 - marca ABB.</t>
  </si>
  <si>
    <t>S202-B-32A</t>
  </si>
  <si>
    <t>ITM Riel-Din 2x32A - S202-B-32A - 10kA@230V-IEC60947-2 - marca ABB.</t>
  </si>
  <si>
    <t>S202-B-40A</t>
  </si>
  <si>
    <t>ITM Riel-Din 2x40A - S202-B-40A - 10kA@230V-IEC60947-2 - marca ABB.</t>
  </si>
  <si>
    <t>S202-B-50A</t>
  </si>
  <si>
    <t>ITM Riel-Din 2x50A - S202-B-50A - 10kA@230V-IEC60947-2 - marca ABB.</t>
  </si>
  <si>
    <t>S202-B-63A</t>
  </si>
  <si>
    <t>ITM Riel-Din 2x63A - S202-B-63A - 10kA@230V-IEC60947-2 - marca ABB.</t>
  </si>
  <si>
    <t>S203-B-6A</t>
  </si>
  <si>
    <t>ITM Riel-Din 3x6A - S203-B-6A - 10kA@230V-IEC60947-2 - marca ABB.</t>
  </si>
  <si>
    <t>S203-B-10A</t>
  </si>
  <si>
    <t>ITM Riel-Din 3x10A - S203-B-10A - 10kA@230V-IEC60947-2 - marca ABB.</t>
  </si>
  <si>
    <t>S203-B-16A</t>
  </si>
  <si>
    <t>ITM Riel-Din 3x16A - S203-B-16A - 10kA@230V-IEC60947-2 - marca ABB.</t>
  </si>
  <si>
    <t>S203-B-20A</t>
  </si>
  <si>
    <t>ITM Riel-Din 3x20A - S203-B-20A - 10kA@230V-IEC60947-2 - marca ABB.</t>
  </si>
  <si>
    <t>S203-B-25A</t>
  </si>
  <si>
    <t>ITM Riel-Din 3x25A - S203-B-25A - 10kA@230V-IEC60947-2 - marca ABB.</t>
  </si>
  <si>
    <t>S203-B-32A</t>
  </si>
  <si>
    <t>ITM Riel-Din 3x32A - S203-B-32A - 10kA@230V-IEC60947-2 - marca ABB.</t>
  </si>
  <si>
    <t>S203-B-40A</t>
  </si>
  <si>
    <t>ITM Riel-Din 3x40A - S203-B-40A - 10kA@230V-IEC60947-2 - marca ABB.</t>
  </si>
  <si>
    <t>S203-B-50A</t>
  </si>
  <si>
    <t>ITM Riel-Din 3x50A - S203-B-50A - 10kA@230V-IEC60947-2 - marca ABB.</t>
  </si>
  <si>
    <t>S203-B-63A</t>
  </si>
  <si>
    <t>ITM Riel-Din 3x63A - S203-B-63A - 10kA@230V-IEC60947-2 - marca ABB.</t>
  </si>
  <si>
    <t>S204-B-6A</t>
  </si>
  <si>
    <t>ITM Riel-Din 4x6A - S204-B-6A - 10kA@230V-IEC60947-2 - marca ABB.</t>
  </si>
  <si>
    <t>S204-B-10A</t>
  </si>
  <si>
    <t>ITM Riel-Din 4x10A - S204-B-10A - 10kA@230V-IEC60947-2 - marca ABB.</t>
  </si>
  <si>
    <t>S204-B-16A</t>
  </si>
  <si>
    <t>ITM Riel-Din 4x16A - S204-B-16A - 10kA@230V-IEC60947-2 - marca ABB.</t>
  </si>
  <si>
    <t>S204-B-20A</t>
  </si>
  <si>
    <t>ITM Riel-Din 4x20A - S204-B-20A - 10kA@230V-IEC60947-2 - marca ABB.</t>
  </si>
  <si>
    <t>S204-B-25A</t>
  </si>
  <si>
    <t>ITM Riel-Din 4x25A - S204-B-25A - 10kA@230V-IEC60947-2 - marca ABB.</t>
  </si>
  <si>
    <t>S204-B-32A</t>
  </si>
  <si>
    <t>ITM Riel-Din 4x32A - S204-B-32A - 10kA@230V-IEC60947-2 - marca ABB.</t>
  </si>
  <si>
    <t>S204-B-40A</t>
  </si>
  <si>
    <t>ITM Riel-Din 4x40A - S204-B-40A - 10kA@230V-IEC60947-2 - marca ABB.</t>
  </si>
  <si>
    <t>S204-B-50A</t>
  </si>
  <si>
    <t>ITM Riel-Din 4x50A - S204-B-50A - 10kA@230V-IEC60947-2 - marca ABB.</t>
  </si>
  <si>
    <t>S204-B-63A</t>
  </si>
  <si>
    <t>ITM Riel-Din 4x63A - S204-B-63A - 10kA@230V-IEC60947-2 - marca ABB.</t>
  </si>
  <si>
    <t>S202-C-6A</t>
  </si>
  <si>
    <t>ITM Riel-Din 2x6A - S202-C-6A - 10kA@400V-IEC60947-2 - marca ABB.</t>
  </si>
  <si>
    <t>S202-C-80A</t>
  </si>
  <si>
    <t>ITM Riel-Din 2x80A - S202-C-80A - 10kA@400Vac-IEC60947-2 - marca ABB.</t>
  </si>
  <si>
    <t>2CDS252001R0804</t>
  </si>
  <si>
    <t>S202-C-100A</t>
  </si>
  <si>
    <t>ITM Riel-Din 2x100A - S202-C-63A - 10kA@400Vac-IEC60947-2 - marca ABB.</t>
  </si>
  <si>
    <t>2CDS252001R0824</t>
  </si>
  <si>
    <t>S203-C-6A</t>
  </si>
  <si>
    <t>ITM Riel-Din 3x6A - S203-C-6A - 10kA@400V-IEC60947-2 - marca ABB.</t>
  </si>
  <si>
    <t>S203-C-80A</t>
  </si>
  <si>
    <t>ITM Riel-Din 3x80A - S203-C-80A - 10kA@400Vac-IEC60947-2 - marca ABB.</t>
  </si>
  <si>
    <t>2CDS253001R0804</t>
  </si>
  <si>
    <t>S203-C-100A</t>
  </si>
  <si>
    <t>ITM Riel-Din 3x100A - S203-C-100A - 10kA@400Vac-IEC60947-2 - marca ABB.</t>
  </si>
  <si>
    <t>2CDS253001R0824</t>
  </si>
  <si>
    <t>ITM Riel-Din 3x50A + neutro seccionable NA - S203-C-50A_NA - 10kA@400Vac - marca ABB.</t>
  </si>
  <si>
    <t>ITM Riel-Din 3x32A + neutro seccionable NA - S203-C-32A_NA - 10kA@400Vac - marca ABB.</t>
  </si>
  <si>
    <t>ITM Riel-Din 3x50A + neutro seccionable NA - S203M-C-50A_NA - 15kA@400Vac - marca ABB.</t>
  </si>
  <si>
    <t>ITM Riel-Din 3x32A + neutro seccionable NA - S203M-C-32A_NA - 15kA@400Vac - marca ABB.</t>
  </si>
  <si>
    <t>ITM Riel-Din 3x50A + neutro seccionable NA - S203P-C-50A_NA - 15kA@400Vac - marca ABB.</t>
  </si>
  <si>
    <t>ITM Riel-Din 3x32A + neutro seccionable NA - S203P-C-32A_NA - 15kA@400Vac - marca ABB.</t>
  </si>
  <si>
    <t>S202-K16-16A</t>
  </si>
  <si>
    <t>ITM Riel-Din 2x16A - S202-K16-16A - 20kA@230V-IEC60947-2, 6kA@230/440V-IEC60898 - marca ABB.</t>
  </si>
  <si>
    <t>2CDS252001R0467</t>
  </si>
  <si>
    <t>S202-K20-20A</t>
  </si>
  <si>
    <t>ITM Riel-Din 2x20A - S202-K20-20A - 20kA@230V-IEC60947-2, 6kA@230/440V-IEC60898 - marca ABB.</t>
  </si>
  <si>
    <t>2CDS252001R0487</t>
  </si>
  <si>
    <t>S202-K25-25A</t>
  </si>
  <si>
    <t>ITM Riel-Din 2x25A - S202-K25-25A - 20kA@230V-IEC60947-2, 6kA@230/440V-IEC60898 - marca ABB.</t>
  </si>
  <si>
    <t>2CDS252001R0517</t>
  </si>
  <si>
    <t>S202-K32-32A</t>
  </si>
  <si>
    <t>ITM Riel-Din 2x32A - S202-K32-32A - 20kA@230V-IEC60947-2, 6kA@230/440V-IEC60898 - marca ABB.</t>
  </si>
  <si>
    <t>2CDS252001R0537</t>
  </si>
  <si>
    <t>S202-K40-40A</t>
  </si>
  <si>
    <t>ITM Riel-Din 2x40A - S202-K40-40A - 20kA@230V-IEC60947-2, 6kA@230/440V-IEC60898 - marca ABB.</t>
  </si>
  <si>
    <t>2CDS252001R0557</t>
  </si>
  <si>
    <t>S202-K50-50A</t>
  </si>
  <si>
    <t>ITM Riel-Din 2x50A - S202-K50-50A - 20kA@230V-IEC60947-2, 6kA@230/440V-IEC60898 - marca ABB.</t>
  </si>
  <si>
    <t>2CDS252001R0577</t>
  </si>
  <si>
    <t>S202-K63-63A</t>
  </si>
  <si>
    <t>ITM Riel-Din 2x63A - S202-K63-63A - 20kA@230V-IEC60947-2, 6kA@230/440V-IEC60898 - marca ABB.</t>
  </si>
  <si>
    <t>2CDS252001R0607</t>
  </si>
  <si>
    <t>S203-K10-10A</t>
  </si>
  <si>
    <t>ITM Riel-Din 3x10A - S203-K10-10A - 20kA@230V-IEC60947-2, 6kA@230/440V-IEC60898 - marca ABB.</t>
  </si>
  <si>
    <t>2CDS253001R0427</t>
  </si>
  <si>
    <t>S203-K16-16A</t>
  </si>
  <si>
    <t>ITM Riel-Din 3x16A - S203-K16-16A - 20kA@230V-IEC60947-2, 6kA@230/440V-IEC60898 - marca ABB.</t>
  </si>
  <si>
    <t>2CDS253001R0467</t>
  </si>
  <si>
    <t>S203-K20-20A</t>
  </si>
  <si>
    <t>ITM Riel-Din 3x20A - S203-K20-20A - 20kA@230V-IEC60947-2, 6kA@230/440V-IEC60898 - marca ABB.</t>
  </si>
  <si>
    <t>2CDS253001R0487</t>
  </si>
  <si>
    <t>S203-K25-25A</t>
  </si>
  <si>
    <t>ITM Riel-Din 3x25A - S203-K25-25A - 20kA@230V-IEC60947-2, 6kA@230/440V-IEC60898 - marca ABB.</t>
  </si>
  <si>
    <t>2CDS253001R0517</t>
  </si>
  <si>
    <t>S203-K32-32A</t>
  </si>
  <si>
    <t>ITM Riel-Din 3x32A - S203-K32-32A - 20kA@230V-IEC60947-2, 6kA@230/440V-IEC60898 - marca ABB.</t>
  </si>
  <si>
    <t>2CDS253001R0537</t>
  </si>
  <si>
    <t>S203-K40-40A</t>
  </si>
  <si>
    <t>ITM Riel-Din 3x40A - S203-K40-40A - 20kA@230V-IEC60947-2, 6kA@230/440V-IEC60898 - marca ABB.</t>
  </si>
  <si>
    <t>2CDS253001R0557</t>
  </si>
  <si>
    <t>S203-K50-50A</t>
  </si>
  <si>
    <t>ITM Riel-Din 3x50A - S203-K50-50A - 20kA@230V-IEC60947-2, 6kA@230/440V-IEC60898 - marca ABB.</t>
  </si>
  <si>
    <t>2CDS253001R0577</t>
  </si>
  <si>
    <t>S203-K63-63A</t>
  </si>
  <si>
    <t>ITM Riel-Din 3x63A - S203-K63-63A - 20kA@230V-IEC60947-2, 6kA@230/440V-IEC60898 - marca ABB.</t>
  </si>
  <si>
    <t>2CDS253001R0607</t>
  </si>
  <si>
    <t>CLASE A (HOME)</t>
  </si>
  <si>
    <t>FH202-A-25A-30mA</t>
  </si>
  <si>
    <t>Interruptor Diferencial 2x25A - 30mA - clase A (inmunizado) - FH202-A-25A-30mA - marca ABB.</t>
  </si>
  <si>
    <t>2CSF202102R1250</t>
  </si>
  <si>
    <t>FH202-A-40A-30mA</t>
  </si>
  <si>
    <t>Interruptor Diferencial 2x40A - 30mA - clase A (inmunizado) - FH202-A-40A-30mA - marca ABB.</t>
  </si>
  <si>
    <t>2CSF202102R1400</t>
  </si>
  <si>
    <t>FH202-A-63A-30mA</t>
  </si>
  <si>
    <t>Interruptor Diferencial 2x63A - 30mA - clase A (inmunizado) - FH202-A-63A-30mA - marca ABB.</t>
  </si>
  <si>
    <t>2CSF202102R1630</t>
  </si>
  <si>
    <t>FH204-A-25A-30mA</t>
  </si>
  <si>
    <t>Interruptor Diferencial 4x25A - 30mA - clase A (inmunizado) - FH204-A-25A-30mA - marca ABB.</t>
  </si>
  <si>
    <t>2CSF204102R1250</t>
  </si>
  <si>
    <t>FH204-A-40A-30mA</t>
  </si>
  <si>
    <t>Interruptor Diferencial 4x40A - 30mA - clase A (inmunizado) - FH204-A-40A-30mA - marca ABB.</t>
  </si>
  <si>
    <t>2CSF204102R1400</t>
  </si>
  <si>
    <t>FH204-A-63A-30mA</t>
  </si>
  <si>
    <t>Interruptor Diferencial 4x63A - 30mA - clase A (inmunizado) - FH204-A-63A-30mA - marca ABB.</t>
  </si>
  <si>
    <t>2CSF204102R1630</t>
  </si>
  <si>
    <t>CLASE A-APR</t>
  </si>
  <si>
    <t>S2C-A2</t>
  </si>
  <si>
    <t>Bobina de emision, Shunt Trip, 110...415VAC- modelo S2C-A2 - p/Riel-Din - marca ABB.</t>
  </si>
  <si>
    <t>2CDS200909R0002</t>
  </si>
  <si>
    <t>2CTB803972R1100</t>
  </si>
  <si>
    <t>A43 212 - 100</t>
  </si>
  <si>
    <t>Medidor trifasico conexion directa, 80A, Categoría Bronce (energía act./react.), clase B,  comunicacion RS-485 Modbus, pulse output , tipo A43 212 - 100, marca ABB.</t>
  </si>
  <si>
    <t>2CMA170522R1000</t>
  </si>
  <si>
    <t>A44 212 - 100</t>
  </si>
  <si>
    <t>Medidor trifasico conexion indirecta, Categoría Bronce (energía act./react.), clase B, comunicacion RS-485 Modbus, pulse output , tipo A44 212 - 100, marca ABB.</t>
  </si>
  <si>
    <t>2CMA170534R1000</t>
  </si>
  <si>
    <t>A2B250-160A-3P-TMF</t>
  </si>
  <si>
    <t>ITM Caja Moldeada 3x160A - A2B250-160A-3P-TMF - 25kA@230Vac, 18kA@400Vac - marca ABB.</t>
  </si>
  <si>
    <t>1SDA066549R1</t>
  </si>
  <si>
    <t>A2B250-175A-3P-TMF</t>
  </si>
  <si>
    <t>ITM Caja Moldeada 3x175A - A2B250-175A-3P-TMF - 25kA@230Vac, 18kA@400Vac - marca ABB.</t>
  </si>
  <si>
    <t>1SDA066550R1</t>
  </si>
  <si>
    <t>A2B250-200A-3P-TMF</t>
  </si>
  <si>
    <t>ITM Caja Moldeada 3x200A - A2B250-200A-3P-TMF - 25kA@230Vac, 18kA@400Vac - marca ABB.</t>
  </si>
  <si>
    <t>1SDA066551R1</t>
  </si>
  <si>
    <t>A2B250-225A-3P-TMF</t>
  </si>
  <si>
    <t>ITM Caja Moldeada 3x225A - A2B250-225A-3P-TMF - 25kA@230Vac, 18kA@400Vac - marca ABB.</t>
  </si>
  <si>
    <t>1SDA066552R1</t>
  </si>
  <si>
    <t>A2B250-250A-3P-TMF</t>
  </si>
  <si>
    <t>ITM Caja Moldeada 3x250A - A2B250-250A-3P-TMF - 25kA@230Vac, 18kA@400Vac - marca ABB.</t>
  </si>
  <si>
    <t>1SDA066553R1</t>
  </si>
  <si>
    <t>XT4H160-100A-3P-TMA</t>
  </si>
  <si>
    <t>ITM Caja Moldeada 3x100A (reg.[0.7-1.0] In) - XT4H160-100A-3P-TMA - 100kA@230V, 70kA@415V - marca ABB.</t>
  </si>
  <si>
    <t>1SDA068340R1</t>
  </si>
  <si>
    <t>XT2H160-63A-3P-Ekip LS/I</t>
  </si>
  <si>
    <t>ITM Caja Moldeada 3x63A (electrónico [0.4-1.0] In) - XT2H160-63A-3P-Ekip LS/I - 100kA@230V, 70kA@415V - marca ABB.</t>
  </si>
  <si>
    <t>1SDA067859R1</t>
  </si>
  <si>
    <t>XT2H160-100A-3P-Ekip LS/I</t>
  </si>
  <si>
    <t>ITM Caja Moldeada 3x100A (electrónico [0.4-1.0] In) - XT2H160-100A-3P-Ekip LS/I - 100kA@230V, 70kA@415V - marca ABB.</t>
  </si>
  <si>
    <t>1SDA067860R1</t>
  </si>
  <si>
    <t>XT2H160-160A-3P-Ekip LS/I</t>
  </si>
  <si>
    <t>ITM Caja Moldeada 3x160A (electrónico [0.4-1.0] In) - XT2H160-160A-3P-Ekip LS/I - 100kA@230V, 70kA@415V - marca ABB.</t>
  </si>
  <si>
    <t>1SDA067861R1</t>
  </si>
  <si>
    <t>XT4H160-100A-3P-Ekip LS/I</t>
  </si>
  <si>
    <t>ITM Caja Moldeada 3x100A (electrónico [0.4-1.0] In) - XT4H160-100A-3P-Ekip LS/I - 100kA@230V, 70kA@415V - marca ABB.</t>
  </si>
  <si>
    <t>1SDA068513R1</t>
  </si>
  <si>
    <t>XT4H160-160A-3P-Ekip LS/I</t>
  </si>
  <si>
    <t>ITM Caja Moldeada 3x160A (electrónico [0.4-1.0] In) - XT4H160-160A-3P-Ekip LS/I - 100kA@230V, 70kA@415V - marca ABB.</t>
  </si>
  <si>
    <t>1SDA068514R1</t>
  </si>
  <si>
    <t>XT4H250-250A-3P-Ekip LS/I</t>
  </si>
  <si>
    <t>ITM Caja Moldeada 3x250A (electrónico [0.4-1.0] In) - XT4H250-250A-3P-Ekip LS/I - 100kA@230V, 70kA@415V - marca ABB.</t>
  </si>
  <si>
    <t>1SDA068515R1</t>
  </si>
  <si>
    <t>Para soluciones con gran presición de regulación</t>
  </si>
  <si>
    <t>(por ejemplo selectividad  en transformador de aislamiento)</t>
  </si>
  <si>
    <t>XT2N160-63A-3P-Ekip LSI</t>
  </si>
  <si>
    <t>ITM Caja Moldeada 3x63A (electrónico [0.4-1.0] In) - XT2N160-63A-3P-Ekip LSI - 65kA@230Vac, 36kA@415Vac - marca ABB.</t>
  </si>
  <si>
    <t>1SDA067069R1</t>
  </si>
  <si>
    <t>XT2N160-100A-3P-Ekip LSI</t>
  </si>
  <si>
    <t>ITM Caja Moldeada 3x100A (electrónico [0.4-1.0] In) - XT2N160-100A-3P-Ekip LSI - 65kA@230Vac, 36kA@415Vac - marca ABB.</t>
  </si>
  <si>
    <t>1SDA067070R1</t>
  </si>
  <si>
    <t>XT2N160-160A-3P-Ekip LSI</t>
  </si>
  <si>
    <t>ITM Caja Moldeada 3x160A (electrónico [0.4-1.0] In) - XT2N160-160A-3P-Ekip LSI - 65kA@230Vac, 36kA@415Vac - marca ABB.</t>
  </si>
  <si>
    <t>1SDA067071R1</t>
  </si>
  <si>
    <t>XT4N160-160A-3P-Ekip LSI</t>
  </si>
  <si>
    <t>1SDA068135R1</t>
  </si>
  <si>
    <t>XT4N250-250A-3P-Ekip LSI</t>
  </si>
  <si>
    <t>ITM Caja Moldeada 3x250A (electrónico [0.4-1.0] In) - XT4N250-250A-3P-Ekip LSI - 65kA@230Vac, 36kA@415Vac - marca ABB.</t>
  </si>
  <si>
    <t>1SDA068136R1</t>
  </si>
  <si>
    <t>YO_XT1..XT4_24V</t>
  </si>
  <si>
    <t>Bobina de apertura (YO) - XT1..XT4 - SOR versión no cableada - 24-30V AC/DC - marca ABB.</t>
  </si>
  <si>
    <t>1SDA066314R1</t>
  </si>
  <si>
    <t>RHE_XT1-XT3</t>
  </si>
  <si>
    <t>1SDA066479R1</t>
  </si>
  <si>
    <t>RHE_XT2-XT4</t>
  </si>
  <si>
    <t>1SDA069055R1</t>
  </si>
  <si>
    <t>RHE_T4-T5</t>
  </si>
  <si>
    <t>1SDA054929R1</t>
  </si>
  <si>
    <t>RHE_T6</t>
  </si>
  <si>
    <t>1SDA060409R1</t>
  </si>
  <si>
    <t>RHE_T7</t>
  </si>
  <si>
    <t>1SDA062122R1</t>
  </si>
  <si>
    <t>T4H320-320A-3P-PR221DS-LS/I</t>
  </si>
  <si>
    <t>ITM Caja Moldeada 3x320A (electrónico [0.4-1.0] In) - T4H320-320A-3P-PR221DS-LS/I - 100kA@230Vac, 70kA@415Vac - marca ABB.</t>
  </si>
  <si>
    <t>1SDA054133R1</t>
  </si>
  <si>
    <t>1SDA054352R1</t>
  </si>
  <si>
    <t>T7H1250-1250A-3P-PR232/P-LSI</t>
  </si>
  <si>
    <t>1SDA062899R1</t>
  </si>
  <si>
    <t>YO_T4-T5-T6_24V</t>
  </si>
  <si>
    <t>Bobina de apertura (YO) - T4-T5-T6 - SOR versión no cableada - 24..30V AC/DC - marca ABB.</t>
  </si>
  <si>
    <t>1SDA054863R1</t>
  </si>
  <si>
    <t>E1.2N-1250A-4P-Ekip Touch LSIG</t>
  </si>
  <si>
    <t>ITM Bastidor Abierto 4x1250A (electrónico [0.4-1.0] In) - E1.2N-1250A-4P-Ekip Touch LSIG - 66kA@440Vac - marca ABB.</t>
  </si>
  <si>
    <t>1SDA071476R1</t>
  </si>
  <si>
    <t>E2.2N-2000A-3P-Ekip Touch LSIG</t>
  </si>
  <si>
    <t>ITM Bastidor Abierto 3x2000A (electrónico [0.4-1.0] In) - E2.2N-2000A-3P-Ekip Touch LSIG - 66kA@440Vac - marca ABB.</t>
  </si>
  <si>
    <t>1SDA071036R1</t>
  </si>
  <si>
    <t>E2.2N-1250A-4P-Ekip Touch LSI</t>
  </si>
  <si>
    <t>ITM Bastidor Abierto 4x1250A (electrónico [0.4-1.0] In) - E2.2N-1250A-4P-Ekip Touch LSI - 66kA@440Vac - marca ABB.</t>
  </si>
  <si>
    <t>1SDA071585R1</t>
  </si>
  <si>
    <t>E2.2N-1250A-4P-Ekip Touch LSIG</t>
  </si>
  <si>
    <t>ITM Bastidor Abierto 4x1250A (electrónico [0.4-1.0] In) - E2.2N-1250A-4P-Ekip Touch LSIG - 66kA@440Vac - marca ABB.</t>
  </si>
  <si>
    <t>1SDA071586R1</t>
  </si>
  <si>
    <t>E2.2N-1600A-4P-Ekip Touch LSIG</t>
  </si>
  <si>
    <t>ITM Bastidor Abierto 4x1600A (electrónico [0.4-1.0] In) - E2.2N-1600A-4P-Ekip Touch LSIG - 66kA@440Vac - marca ABB.</t>
  </si>
  <si>
    <t>1SDA071626R1</t>
  </si>
  <si>
    <t>E6.2H-5000A-3P-Ekip Touch LSI</t>
  </si>
  <si>
    <t>ITM Bastidor Abierto 3x5000A (electrónico [0.4-1.0] In) - E6.2H-5000A-3P-Ekip Touch LSI - 100kA@440Vac - marca ABB.</t>
  </si>
  <si>
    <t>1SDA071265R1</t>
  </si>
  <si>
    <t>1SDA073866R1</t>
  </si>
  <si>
    <t>1SDA073867R1</t>
  </si>
  <si>
    <t>YO_Emax2_24V</t>
  </si>
  <si>
    <t>Bobina de apertura (YO) - Emax2 - 24V AC/DC.</t>
  </si>
  <si>
    <t>1SDA073668R1</t>
  </si>
  <si>
    <t>EQUIPOS UL</t>
  </si>
  <si>
    <t>E1B-A_800A-3P-PR121/P-LSIG_UL</t>
  </si>
  <si>
    <t>ITM Bastidor Abierto (UL) 3x800A (electrónico [0.4-1.0] In) - E1B-A_800A-3P-PR121/P-LSIG - 42kA@480Vac - marca ABB.</t>
  </si>
  <si>
    <t>1SDA057215R1</t>
  </si>
  <si>
    <t>E1B-A_800A-3P-PR122/P-LSIG_UL</t>
  </si>
  <si>
    <t>ITM Bastidor Abierto (UL) 3x800A (electrónico [0.4-1.0] In) - E1B-A_800A-3P-PR122/P-LSIG - 42kA@480Vac - marca ABB.</t>
  </si>
  <si>
    <t>1SDA057227R1</t>
  </si>
  <si>
    <t>E1B-A_800A-3P-PR121/P-LSI_UL</t>
  </si>
  <si>
    <t>ITM Bastidor Abierto (UL) 3x800A (electrónico [0.4-1.0] In) - E1B-A_800A-3P-PR121/P-LSI - 42kA@480Vac - marca ABB.</t>
  </si>
  <si>
    <t>1SDA057211R1</t>
  </si>
  <si>
    <t>TRAFO-N_E1-E2-E4</t>
  </si>
  <si>
    <t>Transformador de corriente para Neutro p/ Emax E1, E2, E4 - Iu N = 2000A - marca ABB.</t>
  </si>
  <si>
    <t>1SDA058191R1</t>
  </si>
  <si>
    <t>G 10.1</t>
  </si>
  <si>
    <t>KIT-CAB_E1..E6_B/HB</t>
  </si>
  <si>
    <t>Kit de cables para enclavamiento horizontal, enclavamiento tipo B - interruptores E1..E6.2 - marca ABB. (UL)</t>
  </si>
  <si>
    <t>1SDA038330R1</t>
  </si>
  <si>
    <t>G 10.2</t>
  </si>
  <si>
    <t>SOP_fijo_E1..E2</t>
  </si>
  <si>
    <t>Mecanismo para enclavamiento para interruptor fijo / parte movil -  E1..E2 (3p) - marca ABB. (UL)</t>
  </si>
  <si>
    <t>1SDA038366R1</t>
  </si>
  <si>
    <t>G 10.3</t>
  </si>
  <si>
    <t>SOP_ext_E1..E6_B</t>
  </si>
  <si>
    <t>Mecanismo para enclavamiento para interruptor fijo / parte fija - enclavamiento tipo A / B / D -  E1..E6 - marca ABB. (UL)</t>
  </si>
  <si>
    <t>1SDA038364R1</t>
  </si>
  <si>
    <t>G 10.4</t>
  </si>
  <si>
    <t>MEC_E1..E6</t>
  </si>
  <si>
    <t>Soporte de enclavamiento de interruptor -  E1..E6 - marca ABB. (UL)</t>
  </si>
  <si>
    <t>1SDA038358R1</t>
  </si>
  <si>
    <t>YO_E1..E6_220V</t>
  </si>
  <si>
    <t>Rele de apertura (YO) - E1..E6 - 220-240V AC/DC. (UL).</t>
  </si>
  <si>
    <t>YC_E1..E6_220V</t>
  </si>
  <si>
    <t>Rele de cierre (YC) - E1..E6 - 220-240V AC/DC. (UL).</t>
  </si>
  <si>
    <t>YM_E1..E6_220V</t>
  </si>
  <si>
    <t>Motor-reductor (YM) para la carga automática de los resortes - E1..E6- 220-250V AC/DC. (UL).</t>
  </si>
  <si>
    <t>1SDA038324R1</t>
  </si>
  <si>
    <t>1S51_E1..E6</t>
  </si>
  <si>
    <t>1(S51) contacto por actuacion del relé - E1..E6 - 250V. (UL).</t>
  </si>
  <si>
    <t>1SDA058260R1</t>
  </si>
  <si>
    <t>PR120/K</t>
  </si>
  <si>
    <t>1SDA058255R1</t>
  </si>
  <si>
    <t>T5N400-300A-3P-TMA_UL</t>
  </si>
  <si>
    <t>ITM Caja Moldeada (UL) 3x300A (reg.[0.7-1.0] In)  - T5N400-300A-3P-TMA - 25kA@480V - marca ABB.</t>
  </si>
  <si>
    <t>1SDA060630R1</t>
  </si>
  <si>
    <t>T5N400-400A-3P-TMA_UL</t>
  </si>
  <si>
    <t>ITM Caja Moldeada (UL) 3x400A (reg.[0.7-1.0] In)  - T5N400-400A-3P-TMA - 25kA@480V - marca ABB.</t>
  </si>
  <si>
    <t>1SDA060631R1</t>
  </si>
  <si>
    <t>T5N400-300A-3P-PR221DS-LSIG_UL</t>
  </si>
  <si>
    <t>ITM Caja Moldeada (UL) 3x300A (electrónico [0.4-1.0] In)  - T5N400-300A-3P-PR222DS-LSIG - 25kA@480V - marca ABB.</t>
  </si>
  <si>
    <t>1SDA058154R1</t>
  </si>
  <si>
    <t>T1N100-15A-3P-TMF_UL</t>
  </si>
  <si>
    <t>ITM Caja Moldeada (UL) 3x15A - T1N100-15A-3P-TMF - 35kA@240Vac, 14kA@480Vac - marca ABB.</t>
  </si>
  <si>
    <t>1SDA053533R1</t>
  </si>
  <si>
    <t>T1N100-20A-3P-TMF_UL</t>
  </si>
  <si>
    <t>1SDA053534R1</t>
  </si>
  <si>
    <t>T1N100-25A-3P-TMF_UL</t>
  </si>
  <si>
    <t>1SDA053535R1</t>
  </si>
  <si>
    <t>T1N100-30A-3P-TMF_UL</t>
  </si>
  <si>
    <t>1SDA053536R1</t>
  </si>
  <si>
    <t>T1N100-40A-3P-TMF_UL</t>
  </si>
  <si>
    <t>1SDA053537R1</t>
  </si>
  <si>
    <t>T1N100-50A-3P-TMF_UL</t>
  </si>
  <si>
    <t>1SDA053538R1</t>
  </si>
  <si>
    <t>T1N100-60A-3P-TMF_UL</t>
  </si>
  <si>
    <t>1SDA053539R1</t>
  </si>
  <si>
    <t>T1N100-70A-3P-TMF_UL</t>
  </si>
  <si>
    <t>1SDA053540R1</t>
  </si>
  <si>
    <t>T1N100-80A-3P-TMF_UL</t>
  </si>
  <si>
    <t>1SDA053541R1</t>
  </si>
  <si>
    <t>T1N100-90A-3P-TMF_UL</t>
  </si>
  <si>
    <t>1SDA053542R1</t>
  </si>
  <si>
    <t>T1N100-100A-3P-TMF_UL</t>
  </si>
  <si>
    <t>1SDA053543R1</t>
  </si>
  <si>
    <t>1Q+1SY_T1..T6</t>
  </si>
  <si>
    <t>1(Q) contacto conmutado NA/NC + 1(SY) contacto por disparo de interruptor - T1..T6 - version no cableada - marca ABB.</t>
  </si>
  <si>
    <t>A2N250-125A-2P-TMF_UL</t>
  </si>
  <si>
    <t>ITM Caja Moldeada (UL) 2x125A - A2N250-125A-2P-TMF - 25kA@240Vac, 10kA@250Vdc - marca ABB.</t>
  </si>
  <si>
    <t>A2A250-150A-3P-TMF_UL</t>
  </si>
  <si>
    <t>A2A250-200A-3P-TMF_UL</t>
  </si>
  <si>
    <t>A1A100-15A-2P-TMF_UL</t>
  </si>
  <si>
    <t>ITM Caja Moldeada (UL) 2x15A - A1A100-15A-2P-TMF - 10kA@240Vac - marca ABB.</t>
  </si>
  <si>
    <t>A1A100-20A-2P-TMF_UL</t>
  </si>
  <si>
    <t>ITM Caja Moldeada (UL) 2x20A - A1A100-20A-2P-TMF - 10kA@240Vac - marca ABB.</t>
  </si>
  <si>
    <t>A1A100-25A-2P-TMF_UL</t>
  </si>
  <si>
    <t>ITM Caja Moldeada (UL) 2x25A - A1A100-25A-2P-TMF - 10kA@240Vac - marca ABB.</t>
  </si>
  <si>
    <t>A1A100-30A-2P-TMF_UL</t>
  </si>
  <si>
    <t>ITM Caja Moldeada (UL) 2x30A - A1A100-30A-2P-TMF - 10kA@240Vac - marca ABB.</t>
  </si>
  <si>
    <t>A1A100-40A-2P-TMF_UL</t>
  </si>
  <si>
    <t>ITM Caja Moldeada (UL) 2x40A - A1A100-40A-2P-TMF - 10kA@240Vac - marca ABB.</t>
  </si>
  <si>
    <t>A1A100-50A-2P-TMF_UL</t>
  </si>
  <si>
    <t>ITM Caja Moldeada (UL) 2x50A - A1A100-50A-2P-TMF - 10kA@240Vac - marca ABB.</t>
  </si>
  <si>
    <t>A1A100-60A-2P-TMF_UL</t>
  </si>
  <si>
    <t>ITM Caja Moldeada (UL) 2x60A - A1A100-60A-2P-TMF - 10kA@240Vac - marca ABB.</t>
  </si>
  <si>
    <t>A1A100-70A-2P-TMF_UL</t>
  </si>
  <si>
    <t>ITM Caja Moldeada (UL) 2x70A - A1A100-70A-2P-TMF - 10kA@240Vac - marca ABB.</t>
  </si>
  <si>
    <t>A1A100-80A-2P-TMF_UL</t>
  </si>
  <si>
    <t>ITM Caja Moldeada (UL) 2x80A - A1A100-80A-2P-TMF - 10kA@240Vac - marca ABB.</t>
  </si>
  <si>
    <t>A1A100-90A-2P-TMF_UL</t>
  </si>
  <si>
    <t>ITM Caja Moldeada (UL) 2x90A - A1A100-90A-2P-TMF - 10kA@240Vac - marca ABB.</t>
  </si>
  <si>
    <t>A1A100-100A-2P-TMF_UL</t>
  </si>
  <si>
    <t>ITM Caja Moldeada (UL) 2x100A - A1A100-100A-2P-TMF - 10kA@240Vac - marca ABB.</t>
  </si>
  <si>
    <t>A1A100-15A-3P-TMF_UL</t>
  </si>
  <si>
    <t>ITM Caja Moldeada (UL) 3x15A - A1A100-15A-3P-TMF - 10kA@240Vac - marca ABB.</t>
  </si>
  <si>
    <t>A1A100-20A-3P-TMF_UL</t>
  </si>
  <si>
    <t>ITM Caja Moldeada (UL) 3x20A - A1A100-20A-3P-TMF - 10kA@240Vac - marca ABB.</t>
  </si>
  <si>
    <t>A1A100-25A-3P-TMF_UL</t>
  </si>
  <si>
    <t>ITM Caja Moldeada (UL) 3x25A - A1A100-25A-3P-TMF - 10kA@240Vac - marca ABB.</t>
  </si>
  <si>
    <t>A1A100-30A-3P-TMF_UL</t>
  </si>
  <si>
    <t>ITM Caja Moldeada (UL) 3x30A - A1A100-30A-3P-TMF - 10kA@240Vac - marca ABB.</t>
  </si>
  <si>
    <t>A1A100-40A-3P-TMF_UL</t>
  </si>
  <si>
    <t>ITM Caja Moldeada (UL) 3x40A - A1A100-40A-3P-TMF - 10kA@240Vac - marca ABB.</t>
  </si>
  <si>
    <t>A1A100-50A-3P-TMF_UL</t>
  </si>
  <si>
    <t>ITM Caja Moldeada (UL) 3x50A - A1A100-50A-3P-TMF - 10kA@240Vac - marca ABB.</t>
  </si>
  <si>
    <t>A1A100-60A-3P-TMF_UL</t>
  </si>
  <si>
    <t>ITM Caja Moldeada (UL) 3x60A - A1A100-60A-3P-TMF - 10kA@240Vac - marca ABB.</t>
  </si>
  <si>
    <t>A1A100-70A-3P-TMF_UL</t>
  </si>
  <si>
    <t>ITM Caja Moldeada (UL) 3x70A - A1A100-70A-3P-TMF - 10kA@240Vac - marca ABB.</t>
  </si>
  <si>
    <t>A1A100-80A-3P-TMF_UL</t>
  </si>
  <si>
    <t>ITM Caja Moldeada (UL) 3x80A - A1A100-80A-3P-TMF - 10kA@240Vac - marca ABB.</t>
  </si>
  <si>
    <t>A1A100-90A-3P-TMF_UL</t>
  </si>
  <si>
    <t>ITM Caja Moldeada (UL) 3x90A - A1A100-90A-3P-TMF - 10kA@240Vac - marca ABB.</t>
  </si>
  <si>
    <t>A1A100-100A-3P-TMF_UL</t>
  </si>
  <si>
    <t>ITM Caja Moldeada (UL) 3x100A - A1A100-100A-3P-TMF - 10kA@240Vac - marca ABB.</t>
  </si>
  <si>
    <t>A1N100-15A-2P-TMF_UL</t>
  </si>
  <si>
    <t>ITM Caja Moldeada (UL) 2x15A - A1N100-15A-2P-TMF - 25kA@240Vac, 10kA@250Vdc - marca ABB.</t>
  </si>
  <si>
    <t>A1N100-20A-2P-TMF_UL</t>
  </si>
  <si>
    <t>ITM Caja Moldeada (UL) 2x20A - A1N100-20A-2P-TMF - 25kA@240Vac, 10kA@250Vdc - marca ABB.</t>
  </si>
  <si>
    <t>A1N100-25A-2P-TMF_UL</t>
  </si>
  <si>
    <t>ITM Caja Moldeada (UL) 2x25A - A1N100-25A-2P-TMF - 25kA@240Vac, 10kA@250Vdc - marca ABB.</t>
  </si>
  <si>
    <t>A1N100-30A-2P-TMF_UL</t>
  </si>
  <si>
    <t>ITM Caja Moldeada (UL) 2x30A - A1N100-30A-2P-TMF - 25kA@240Vac, 10kA@250Vdc - marca ABB.</t>
  </si>
  <si>
    <t>A1N100-40A-2P-TMF_UL</t>
  </si>
  <si>
    <t>ITM Caja Moldeada (UL) 2x40A - A1N100-40A-2P-TMF - 25kA@240Vac, 10kA@250Vdc - marca ABB.</t>
  </si>
  <si>
    <t>A1N100-50A-2P-TMF_UL</t>
  </si>
  <si>
    <t>ITM Caja Moldeada (UL) 2x50A - A1N100-50A-2P-TMF - 25kA@240Vac, 10kA@250Vdc - marca ABB.</t>
  </si>
  <si>
    <t>A1N100-60A-2P-TMF_UL</t>
  </si>
  <si>
    <t>ITM Caja Moldeada (UL) 2x60A - A1N100-60A-2P-TMF - 25kA@240Vac, 10kA@250Vdc - marca ABB.</t>
  </si>
  <si>
    <t>A1N100-70A-2P-TMF_UL</t>
  </si>
  <si>
    <t>ITM Caja Moldeada (UL) 2x70A - A1N100-70A-2P-TMF - 25kA@240Vac, 10kA@250Vdc - marca ABB.</t>
  </si>
  <si>
    <t>A1N100-80A-2P-TMF_UL</t>
  </si>
  <si>
    <t>ITM Caja Moldeada (UL) 2x80A - A1N100-80A-2P-TMF - 25kA@240Vac, 10kA@250Vdc - marca ABB.</t>
  </si>
  <si>
    <t>A1N100-90A-2P-TMF_UL</t>
  </si>
  <si>
    <t>ITM Caja Moldeada (UL) 2x90A - A1N100-90A-2P-TMF - 25kA@240Vac, 10kA@250Vdc - marca ABB.</t>
  </si>
  <si>
    <t>A1N100-100A-2P-TMF_UL</t>
  </si>
  <si>
    <t>ITM Caja Moldeada (UL) 2x100A - A1N100-100A-2P-TMF - 25kA@240Vac, 10kA@250Vdc - marca ABB.</t>
  </si>
  <si>
    <t>1Q+1SY_A1(2p)_UL</t>
  </si>
  <si>
    <t>1(Q) contacto conmutado NA/NC + 1(SY) contacto por disparo de interruptor, versión cableada - A1 (2p) - marca ABB.</t>
  </si>
  <si>
    <t>1Q+1SY_A1-A2(3p)_UL</t>
  </si>
  <si>
    <t>1(Q) contacto conmutado NA/NC + 1(SY) contacto por disparo de interruptor, versión cableada - A1..A2 (3p) - marca ABB.</t>
  </si>
  <si>
    <t>2Q+1SY_A2(2p)_UL</t>
  </si>
  <si>
    <t>OTM_I-0-II_3p_125A</t>
  </si>
  <si>
    <t>Conmutador motorizado bajo carga (I-0-II), modelo OTM-C, 3p, 125A (AC21..AC22) / 125A (AC23) - marca ABB.</t>
  </si>
  <si>
    <t>OTM_I-0-II_4p_125A</t>
  </si>
  <si>
    <t>Conmutador motorizado bajo carga (I-0-II), modelo OTM-C, 4p, 125A (AC21..AC22) / 125A (AC23) - marca ABB.</t>
  </si>
  <si>
    <t>OT_I-0-II_3p_160A</t>
  </si>
  <si>
    <t>Conmutador manual bajo carga (I-0-II), modelo OT-C, 3p, 160A (AC21..AC22) / 160A (AC23) - marca ABB.</t>
  </si>
  <si>
    <t>1SCA022772R6510</t>
  </si>
  <si>
    <t>OT_I-0-II_3p_200A</t>
  </si>
  <si>
    <t>Conmutador manual bajo carga (I-0-II), modelo OT-C, 3p, 200A (AC21..AC22) / 200A (AC23) - marca ABB.</t>
  </si>
  <si>
    <t>1SCA022771R7520</t>
  </si>
  <si>
    <t>OT_I-0-II_3p_250A</t>
  </si>
  <si>
    <t>Conmutador manual bajo carga (I-0-II), modelo OT-C, 3p, 250A (AC21..AC22) / 250A (AC23) - marca ABB.</t>
  </si>
  <si>
    <t>1SCA022771R3450</t>
  </si>
  <si>
    <t>OT_I-0-II_3p_315A</t>
  </si>
  <si>
    <t>Conmutador manual bajo carga (I-0-II), modelo OT-C, 3p, 315A (AC21..AC22) / 315A (AC23) - marca ABB.</t>
  </si>
  <si>
    <t>1SCA022772R6780</t>
  </si>
  <si>
    <t>OT_I-0-II_3p_400A</t>
  </si>
  <si>
    <t>Conmutador manual bajo carga (I-0-II), modelo OT-C, 3p, 400A (AC21..AC22) / 400A (AC23) - marca ABB.</t>
  </si>
  <si>
    <t>1SCA022771R8500</t>
  </si>
  <si>
    <t>OT_I-0-II_3p_630A</t>
  </si>
  <si>
    <t>Conmutador manual bajo carga (I-0-II), modelo OT-C, 3p, 630A (AC21..AC22) / 630A (AC23) - marca ABB.</t>
  </si>
  <si>
    <t>1SCA022785R6050</t>
  </si>
  <si>
    <t>OT_I-0-II_3p_800A</t>
  </si>
  <si>
    <t>Conmutador manual bajo carga (I-0-II), modelo OT-C, 3p, 800A (AC21..AC22) / 800A (AC23) - marca ABB.</t>
  </si>
  <si>
    <t>1SCA022785R6300</t>
  </si>
  <si>
    <t>OT_I-0-II_3p_1000A</t>
  </si>
  <si>
    <t>Conmutador manual bajo carga (I-0-II), modelo OT-C, 3p, 1000A (AC21..AC22) / 1000A (AC23) - marca ABB.</t>
  </si>
  <si>
    <t>1SCA022872R1680</t>
  </si>
  <si>
    <t>OT_I-0-II_3p_1250A</t>
  </si>
  <si>
    <t>Conmutador manual bajo carga (I-0-II), modelo OT-C, 3p, 1250A (AC21..AC22) / 1250A (AC23) - marca ABB.</t>
  </si>
  <si>
    <t>1SCA022872R0790</t>
  </si>
  <si>
    <t>OT_I-0-II_3p_1600A</t>
  </si>
  <si>
    <t>Conmutador manual bajo carga (I-0-II), modelo OT-C, 3p, 1600A (AC21..AC22) / 1250A (AC23) - marca ABB.</t>
  </si>
  <si>
    <t>1SCA022872R1840</t>
  </si>
  <si>
    <t>CONTACTOR 3 POLOS (Vc=100-250Vac/dc)</t>
  </si>
  <si>
    <t>AF96-30-00-13_3p</t>
  </si>
  <si>
    <t>Contactor 3x96A(AC-3) / 3x130A(AC-1) - AF96-30-00-13 - bobina 100-250Vac/dc - marca ABB.</t>
  </si>
  <si>
    <t>1SBL407001R1300</t>
  </si>
  <si>
    <t>AF116-30-00-13_3p</t>
  </si>
  <si>
    <t>Contactor 3x116A(AC-3) / 3x160A(AC-1) - AF116-30-00-13 - bobina 100-250Vac/dc - marca ABB.</t>
  </si>
  <si>
    <t>1SFL427001R1300</t>
  </si>
  <si>
    <t>AF190-30-00-13_3p</t>
  </si>
  <si>
    <t>Contactor 3x190A(AC-3) / 3x275A(AC-1) - AF190-30-00-13 - bobina 100-250Vac/dc - marca ABB.</t>
  </si>
  <si>
    <t>1SFL487002R1300</t>
  </si>
  <si>
    <t>AF265-30-00-13_3p</t>
  </si>
  <si>
    <t>Contactor 3x265A(AC-3) / 3x400A(AC-1) - AF265-30-00-13 - bobina 100-250Vac/dc - marca ABB.</t>
  </si>
  <si>
    <t>CONTACTOR 3 POLOS (Vc=24-60Vac/dc)</t>
  </si>
  <si>
    <t>AF09-30-10-11_3p</t>
  </si>
  <si>
    <t>Contactor 3x09A(AC-3) / 3x25A(AC-1) +1NA - AF09-30-10-11 - bobina 24-60Vac/dc - marca ABB.</t>
  </si>
  <si>
    <t>1SBL137001R1110</t>
  </si>
  <si>
    <t>AF12-30-10-11_3p</t>
  </si>
  <si>
    <t>Contactor 3x12A(AC-3) / 3x28A(AC-1) +1NA - AF12-30-10-11 - bobina 24-60Vac/dc - marca ABB.</t>
  </si>
  <si>
    <t>1SBL157001R1110</t>
  </si>
  <si>
    <t>AF16-30-10-11_3p</t>
  </si>
  <si>
    <t>Contactor 3x18A(AC-3) / 3x30A(AC-1) +1NA - AF16-30-10-11 - bobina 24-60Vac/dcc - marca ABB.</t>
  </si>
  <si>
    <t>1SBL177001R1110</t>
  </si>
  <si>
    <t>AF26-30-10-11_3p</t>
  </si>
  <si>
    <t>Contactor 3x26A(AC-3) / 3x45A(AC-1) +1NA - AF26-30-10-11 - bobina 24-60Vac/dc - marca ABB.</t>
  </si>
  <si>
    <t>1SBL237001P1110</t>
  </si>
  <si>
    <t>AF30-30-10-11_3p</t>
  </si>
  <si>
    <t>Contactor 3x32A(AC-3) / 3x50A(AC-1) +1NA - AF30-30-10-11 - bobina 24-60Vac/dc - marca ABB.</t>
  </si>
  <si>
    <t>1SBL277001P1110</t>
  </si>
  <si>
    <t>AF38-30-10-11_3p</t>
  </si>
  <si>
    <t>Contactor 3x38A(AC-3) / 3x50A(AC-1) +1NA - AF38-30-10-11 - bobina 24-60Vac/dc - marca ABB.</t>
  </si>
  <si>
    <t>1SBL297001P1110</t>
  </si>
  <si>
    <t>AF52-30-00-11_3p</t>
  </si>
  <si>
    <t>Contactor 3x53A(AC-3) / 3x100A(AC-1) - AF52-30-00-11 - bobina 24-60Vac/dc - marca ABB.</t>
  </si>
  <si>
    <t>1SBL367001R1100</t>
  </si>
  <si>
    <t>AF65-30-00-11_3p</t>
  </si>
  <si>
    <t>Contactor 3x63A(AC-3) / 3x105A(AC-1) - AF65-30-00-11 - bobina 24-60Vac/dc - marca ABB.</t>
  </si>
  <si>
    <t>1SBL387001R1100</t>
  </si>
  <si>
    <t>AF80-30-00-11_3p</t>
  </si>
  <si>
    <t>Contactor 3x80A(AC-3) / 3x125A(AC-1) - AF80-30-00-11 - bobina 24-60Vac/dc - marca ABB.</t>
  </si>
  <si>
    <t>1SBL397001R1100</t>
  </si>
  <si>
    <t>AF96-30-00-11_3p</t>
  </si>
  <si>
    <t>Contactor 3x96A(AC-3) / 3x130A(AC-1) - AF96-30-00-11 - bobina 24-60Vac/dc - marca ABB.</t>
  </si>
  <si>
    <t>1SBL407001R1100</t>
  </si>
  <si>
    <t>AF116-30-00-11_3p</t>
  </si>
  <si>
    <t>Contactor 3x116A(AC-3) / 3x160A(AC-1) - AF116-30-00 - bobina 24-60Vac/dc - marca ABB.</t>
  </si>
  <si>
    <t>1SFL427001R1100</t>
  </si>
  <si>
    <t>Contacto auxiliar frontal 1NC para contactor AF09..AF96, frontal - Modelo CA4-01 - marca ABB.</t>
  </si>
  <si>
    <t>CA4-11</t>
  </si>
  <si>
    <t>Contacto auxiliar frontal 1NA+1NC para contactor AF09..AF96, lateral - Modelo CA4-11 - marca ABB.</t>
  </si>
  <si>
    <t>1SBN010120R1011</t>
  </si>
  <si>
    <t>CAL-19-11</t>
  </si>
  <si>
    <t>Contacto auxiliar frontal 1NA+1NC para contactor AF116..AF370, frontal - Modelo CAL19-11 - marca ABB.</t>
  </si>
  <si>
    <t>1SFN010820R1011</t>
  </si>
  <si>
    <t>BEY16-4</t>
  </si>
  <si>
    <t>Set de conexión para arranque Estrella Triángulo p/ contactores AF09…16, modelo BEY16-4 - marca ABB.</t>
  </si>
  <si>
    <t>1SBN081313R2000</t>
  </si>
  <si>
    <t>BEY38-4</t>
  </si>
  <si>
    <t>Set de conexión para arranque Estrella Triángulo p/ contactores AF26…38, modelo BEY38-4 - marca ABB.</t>
  </si>
  <si>
    <t>1SBN082713R2000</t>
  </si>
  <si>
    <t>BEY65-4</t>
  </si>
  <si>
    <t>Set de conexión para arranque Estrella Triángulo p/ contactores AF52…65, modelo BEY65-4 - marca ABB.</t>
  </si>
  <si>
    <t>1SBN083413R2000</t>
  </si>
  <si>
    <t>BEY96-4</t>
  </si>
  <si>
    <t>Set de conexión para arranque Estrella Triángulo p/ contactores AF80…96, modelo BEY96-4 - marca ABB.</t>
  </si>
  <si>
    <t>1SBN083913R2000</t>
  </si>
  <si>
    <t>MS116 Guardamotor - Ith=0.4 ..0.63A - 0.16HP@220Vac / 0.33HP@440V - Icu=50kA@400Vac, clase disparo 10A - marca ABB.</t>
  </si>
  <si>
    <t>MS116 Guardamotor - Ith=0.63 ..1.0A - 0.25HP@220Vac / 0.5HP@440V - Icu=50kA@400Vac, clase disparo 10A - marca ABB.</t>
  </si>
  <si>
    <t>MS116 Guardamotor - Ith=1.0 ..1.6A - 0.3HP@220Vac / 0.75HP@440V - Icu=50kA@400Vac, clase disparo 10A - marca ABB.</t>
  </si>
  <si>
    <t>MS116 Guardamotor - Ith=1.6 ..2.5A - 0.5HP@220Vac / 1.5HP@440V - Icu=50kA@400Vac, clase disparo 10A - marca ABB.</t>
  </si>
  <si>
    <t>MS116 Guardamotor - Ith=2.5 ..4.0A - 1.0HP@220Vac / 2.0HP@440V - Icu=50kA@400Vac, clase disparo 10A - marca ABB.</t>
  </si>
  <si>
    <t>MS116 Guardamotor - Ith=4.0 ..6.3A - 2.0HP@220Vac / 4.0HP@440V - Icu=50kA@400Vac, clase disparo 10A - marca ABB.</t>
  </si>
  <si>
    <t>MS116 Guardamotor - Ith=6.3 ..10.0A - 3.0HP@220Vac / 5.5HP@440V - Icu=50kA@400Vac, clase disparo 10A - marca ABB.</t>
  </si>
  <si>
    <t>MS132-1.6</t>
  </si>
  <si>
    <t>MS132 Guardamotor - Ith=1.0 ..1.6A - 0.3HP@220Vac / 0.75HP@440V - Icu=100kA@400Vac, clase disparo 10 - marca ABB.</t>
  </si>
  <si>
    <t>1SAM350000R1006</t>
  </si>
  <si>
    <t>MS132-2.5</t>
  </si>
  <si>
    <t>MS132 Guardamotor - Ith=1.6 ..2.5A - 0.5HP@220Vac / 1.5HP@440V - Icu=100kA@400Vac, clase disparo 10 - marca ABB.</t>
  </si>
  <si>
    <t>1SAM350000R1007</t>
  </si>
  <si>
    <t>MS132-4.0</t>
  </si>
  <si>
    <t>MS132 Guardamotor - Ith=2.5 ..4.0A - 1.0HP@220Vac / 2.0HP@440V - Icu=100kA@400Vac, clase disparo 10 - marca ABB.</t>
  </si>
  <si>
    <t>1SAM350000R1008</t>
  </si>
  <si>
    <t>MS132-6.3</t>
  </si>
  <si>
    <t>MS132 Guardamotor - Ith=4.0 ..6.3A - 2.0HP@220Vac / 4.0HP@440V - Icu=100kA@400Vac, clase disparo 10 - marca ABB.</t>
  </si>
  <si>
    <t>1SAM350000R1009</t>
  </si>
  <si>
    <t>MS132-10.0</t>
  </si>
  <si>
    <t>MS132 Guardamotor - Ith=6.3 ..10.0A - 3.0HP@220Vac / 5.5HP@440V - Icu=100kA@400Vac, clase disparo 10 - marca ABB.</t>
  </si>
  <si>
    <t>1SAM350000R1010</t>
  </si>
  <si>
    <t>MS132-12.0</t>
  </si>
  <si>
    <t>MS132 Guardamotor - Ith=8.0 ..12.0A - 4.0HP@220Vac / 7.5HP@440V - Icu=100kA@400Vac, clase disparo 10 - marca ABB.</t>
  </si>
  <si>
    <t>1SAM350000R1012</t>
  </si>
  <si>
    <t>MS132-16.0</t>
  </si>
  <si>
    <t>MS132 Guardamotor - Ith=10.0 ..16.0A - 5.0HP@220Vac / 10.0HP@440V - Icu=100kA@400Vac, clase disparo 10 - marca ABB.</t>
  </si>
  <si>
    <t>1SAM350000R1011</t>
  </si>
  <si>
    <t>MS132-20.0</t>
  </si>
  <si>
    <t>MS132 Guardamotor - Ith=16.0 ..20.0A - 7.5HP@220Vac / 15.0HP@440V - Icu=100kA@400Vac, clase disparo 10 - marca ABB.</t>
  </si>
  <si>
    <t>1SAM350000R1013</t>
  </si>
  <si>
    <t>MS132-25.0</t>
  </si>
  <si>
    <t>MS132 Guardamotor - Ith=20.0 ..25.0A - 10.0HP@220Vac / 20.0HP@440V - Icu=50kA@400Vac, clase disparo 10 - marca ABB.</t>
  </si>
  <si>
    <t>1SAM350000R1014</t>
  </si>
  <si>
    <t>MS132-32.0</t>
  </si>
  <si>
    <t>MS132 Guardamotor - Ith=25.0 ..32.0A - 12.0HP@220Vac / 25.0HP@440V - Icu=25kA@400Vac, clase disparo 10 - marca ABB.</t>
  </si>
  <si>
    <t>1SAM350000R1015</t>
  </si>
  <si>
    <t>MS165-25</t>
  </si>
  <si>
    <t>MS165 Guardamotor - Ith=18 ..25A - 8HP@220Vac / 20HP@440V - Icu=75kA@400Vac, clase disparo 10 - marca ABB.</t>
  </si>
  <si>
    <t>1SAM451000R1013</t>
  </si>
  <si>
    <t>MS165-32</t>
  </si>
  <si>
    <t>MS165 Guardamotor - Ith=23 ..32A - 10HP@220Vac / 25HP@440V - Icu=75kA@400Vac, clase disparo 10 - marca ABB.</t>
  </si>
  <si>
    <t>1SAM451000R1014</t>
  </si>
  <si>
    <t>MS165-42</t>
  </si>
  <si>
    <t>MS165 Guardamotor - Ith=30 ..42A - 15HP@220Vac / 30HP@440V - Icu=25kA@400Vac, clase disparo 10 - marca ABB.</t>
  </si>
  <si>
    <t>1SAM451000R1015</t>
  </si>
  <si>
    <t>MS165-54</t>
  </si>
  <si>
    <t>MS165 Guardamotor - Ith=40 ..54A - 20HP@220Vac / 40HP@440V - Icu=25kA@400Vac, clase disparo 10 - marca ABB.</t>
  </si>
  <si>
    <t>1SAM451000R1016</t>
  </si>
  <si>
    <t>MS165-65</t>
  </si>
  <si>
    <t>MS165 Guardamotor - Ith=52 ..65A - 23HP@220Vac / 50HP@440V - Icu=25kA@400Vac, clase disparo 10 - marca ABB.</t>
  </si>
  <si>
    <t>1SAM451000R1017</t>
  </si>
  <si>
    <t>Contacto 1NA+1NC de señalización de disparo (falla) p/Guardamotor MS116/MS132/MS165, modelo SK1-11, montaje lateral derecho, marca ABB.</t>
  </si>
  <si>
    <t>BEA16-4</t>
  </si>
  <si>
    <t>Kit de conexión de guardamotor a contactor, MS116-0.16.. .25/MS132-0.16.. .25 + AF09...AF16, modelo BEA16-4, marca ABB.</t>
  </si>
  <si>
    <t>1SBN081306T1000</t>
  </si>
  <si>
    <t>BEA26-4</t>
  </si>
  <si>
    <t>Kit de conexión de guardamotor a contactor, MS116-0.16...16/MS132-0.16...10 + AF26...AF38, modelo BEA26-4, marca ABB.</t>
  </si>
  <si>
    <t>1SBN082306T1000</t>
  </si>
  <si>
    <t>BEA38-4</t>
  </si>
  <si>
    <t>Kit de conexión de guardamotor a contactor, MS116-20...32/MS132-12...32 + AF26...AF38, modelo BEA38-4, marca ABB.</t>
  </si>
  <si>
    <t>1SBN082306T2000</t>
  </si>
  <si>
    <t>BEA65-4</t>
  </si>
  <si>
    <t>Kit de conexión de guardamotor a contactor, MS116/MS132/MS165 + AF40...AF65, modelo BEA65-4, marca ABB.</t>
  </si>
  <si>
    <t>1SBN083406R1000</t>
  </si>
  <si>
    <t>TF42-29</t>
  </si>
  <si>
    <t>1SAZ721201R1052</t>
  </si>
  <si>
    <t>TF42-35</t>
  </si>
  <si>
    <t>1SAZ721201R1053</t>
  </si>
  <si>
    <t>TF42-38</t>
  </si>
  <si>
    <t>1SAZ721201R1055</t>
  </si>
  <si>
    <t>TF65-33</t>
  </si>
  <si>
    <t>TF65-33 Relé de sobrecarga - Ith=25 …33A, clase disparo 10 - p/ contactor AF52 … AF65 - marca ABB.</t>
  </si>
  <si>
    <t>1SAZ811201R1002</t>
  </si>
  <si>
    <t>TF65-40</t>
  </si>
  <si>
    <t>TF65-40 Relé de sobrecarga - Ith=30…40A, clase disparo 10 - p/ contactor AF52 … AF65 - marca ABB.</t>
  </si>
  <si>
    <t>1SAZ811201R1003</t>
  </si>
  <si>
    <t>TF65-47</t>
  </si>
  <si>
    <t>TF65-47 Relé de sobrecarga - Ith=36 …47A, clase disparo 10 - p/ contactor AF52 … AF65 - marca ABB.</t>
  </si>
  <si>
    <t>1SAZ811201R1004</t>
  </si>
  <si>
    <t>TF65-53</t>
  </si>
  <si>
    <t>TF65-53 Relé de sobrecarga - Ith=44 …53A, clase disparo 10 - p/ contactor AF52 … AF65 - marca ABB.</t>
  </si>
  <si>
    <t>1SAZ811201R1005</t>
  </si>
  <si>
    <t>TF96-51</t>
  </si>
  <si>
    <t>TF96-51 Relé de sobrecarga - Ith=40 …51A, clase disparo 10 - p/ contactor AF80 … AF96 - marca ABB.</t>
  </si>
  <si>
    <t>1SAZ911201R1001</t>
  </si>
  <si>
    <t>TF96-60</t>
  </si>
  <si>
    <t>TF96-60 Relé de sobrecarga - Ith=48 …60A, clase disparo 10 - p/ contactor AF80 … AF96 - marca ABB.</t>
  </si>
  <si>
    <t>1SAZ911201R1002</t>
  </si>
  <si>
    <t>TF96-68</t>
  </si>
  <si>
    <t>TF96-68 Relé de sobrecarga - Ith=57 …68A, clase disparo 10 - p/ contactor AF80 … AF96 - marca ABB.</t>
  </si>
  <si>
    <t>1SAZ911201R1003</t>
  </si>
  <si>
    <t>TF96-78</t>
  </si>
  <si>
    <t>TF96-78 Relé de sobrecarga - Ith=65 …78A, clase disparo 10 - p/ contactor AF80 … AF96 - marca ABB.</t>
  </si>
  <si>
    <t>1SAZ911201R1004</t>
  </si>
  <si>
    <t>TF96-87</t>
  </si>
  <si>
    <t>TF96-87 Relé de sobrecarga - Ith=75 …87A, clase disparo 10 - p/ contactor AF80 … AF96 - marca ABB.</t>
  </si>
  <si>
    <t>1SAZ911201R1005</t>
  </si>
  <si>
    <t>TF96-96</t>
  </si>
  <si>
    <t>TF96-96 Relé de sobrecarga - Ith=84 …96A, clase disparo 10 - p/ contactor AF80 … AF96 - marca ABB.</t>
  </si>
  <si>
    <t>1SAZ911201R1006</t>
  </si>
  <si>
    <t>CT-ERE-ON</t>
  </si>
  <si>
    <t>Temporizador electrónico +1NA/NC, td=0.3 …30s., Uc=24Vac/dc / 230Vac, modelo CT-ERE-ON - marca ABB.</t>
  </si>
  <si>
    <t>1SVR550107R4100</t>
  </si>
  <si>
    <t>PULS_STOP+led_220V</t>
  </si>
  <si>
    <t>1SFA619100R1341</t>
  </si>
  <si>
    <t>PULS_START+led_220V</t>
  </si>
  <si>
    <t>1SFA619100R1312</t>
  </si>
  <si>
    <t>MA1-8052</t>
  </si>
  <si>
    <t>Capuchón de goma IP67 para pulsadores rasantes - modelo MA1-8052 - marca ABB.</t>
  </si>
  <si>
    <t>1SFA611920R8052</t>
  </si>
  <si>
    <t>PULS_STOP+led_24V</t>
  </si>
  <si>
    <t>1SFA619100R1141</t>
  </si>
  <si>
    <t>PULS_START+led_24V</t>
  </si>
  <si>
    <t>1SFA619100R1112</t>
  </si>
  <si>
    <t>MEP2-0</t>
  </si>
  <si>
    <t>Caja de plástico color gris y gris claro, de 2 agujeros - modelo MEP2-0 - marca ABB.</t>
  </si>
  <si>
    <t>1SFA611812R1000</t>
  </si>
  <si>
    <t>MA6-1002</t>
  </si>
  <si>
    <t>Placa de plástico color aluminio, de 2 agujeros sin texto - modelo MA6-1002 - marca ABB.</t>
  </si>
  <si>
    <t>1SFA611930R1002</t>
  </si>
  <si>
    <t>MEP3-0</t>
  </si>
  <si>
    <t>Caja de plástico color gris y gris claro, de 3 agujeros - modelo MEP3-0 - marca ABB.</t>
  </si>
  <si>
    <t>1SFA611813R1000</t>
  </si>
  <si>
    <t>MA6-1003</t>
  </si>
  <si>
    <t>Placa de plástico color aluminio, de 3 agujeros sin texto - modelo MA6-1002 - marca ABB.</t>
  </si>
  <si>
    <t>1SFA611930R1003</t>
  </si>
  <si>
    <t>MA1-8015</t>
  </si>
  <si>
    <t>Herramienta para montaje de los pilotos - modelo MA1-8015 - marca ABB.</t>
  </si>
  <si>
    <t>1SFA611920R8015</t>
  </si>
  <si>
    <t>PULS_EMERG</t>
  </si>
  <si>
    <t>Pulsador compacto "Parada de Emergencia" - color Rojo - contactos 1NA+1NC - modelo CE4P-10R-11 - línea modular - marca ABB.</t>
  </si>
  <si>
    <t>1SFA619551R1071</t>
  </si>
  <si>
    <t>MEPY1-0</t>
  </si>
  <si>
    <t>Cajas de plástico color amarillo vacías para pulsador modular y compacto.</t>
  </si>
  <si>
    <t>1SFA611821R1000</t>
  </si>
  <si>
    <t>MA1-8053</t>
  </si>
  <si>
    <t>Cubierta pulsador 40 mm (para parada de emergencia).</t>
  </si>
  <si>
    <t>1SFA611920R8053</t>
  </si>
  <si>
    <t>LAMP_ROJO_24V</t>
  </si>
  <si>
    <t>1SFA619403R5021</t>
  </si>
  <si>
    <t>LAMP_VERDE_24V</t>
  </si>
  <si>
    <t>1SFA619403R5022</t>
  </si>
  <si>
    <t>LAMP_AM_24V</t>
  </si>
  <si>
    <t>1SFA619403R5023</t>
  </si>
  <si>
    <t>TABLEROS METALICOS AUTOSOPORTADOS - Serie Modular IS2</t>
  </si>
  <si>
    <t>IS2_2100x600x600mm</t>
  </si>
  <si>
    <t>GA206060P</t>
  </si>
  <si>
    <t>IS2_2100x800x600mm</t>
  </si>
  <si>
    <t>GA208060P</t>
  </si>
  <si>
    <t>IS2_2100x600x800mm</t>
  </si>
  <si>
    <t>GA206080P</t>
  </si>
  <si>
    <t>IS2_2100x800x800mm</t>
  </si>
  <si>
    <t>GA208080P</t>
  </si>
  <si>
    <t>IS2_2100x1000x600mm</t>
  </si>
  <si>
    <t>GA201060P</t>
  </si>
  <si>
    <t>IS2_2100x1000x800mm</t>
  </si>
  <si>
    <t>GA201080P</t>
  </si>
  <si>
    <t>IS2_2100x1000x1000mm</t>
  </si>
  <si>
    <t>GA201010P</t>
  </si>
  <si>
    <t>2 CUERPOS</t>
  </si>
  <si>
    <t>IS2_2100x1200x600mm</t>
  </si>
  <si>
    <t>GA201260P</t>
  </si>
  <si>
    <t>IS2_2100x1200x800mm</t>
  </si>
  <si>
    <t>GA201280P</t>
  </si>
  <si>
    <t>IS2_2100x1600x600mm</t>
  </si>
  <si>
    <t>GA201660P</t>
  </si>
  <si>
    <t>IS2_2100x1600x800mm</t>
  </si>
  <si>
    <t>GA201680P</t>
  </si>
  <si>
    <t>ACCESORIOS</t>
  </si>
  <si>
    <t>IS2_PortEsq</t>
  </si>
  <si>
    <t>Portaplanos de plástico A4 para tablero modelo IS2, RAL 7035 - marca ABB.</t>
  </si>
  <si>
    <t>EV1075K</t>
  </si>
  <si>
    <t>IS2_Cancamos</t>
  </si>
  <si>
    <t>Cáncamos de elevacion para tablero modelo IS2 (04 armellas tipo M12) - marca ABB.</t>
  </si>
  <si>
    <t>AA9610</t>
  </si>
  <si>
    <t>SRN3215K</t>
  </si>
  <si>
    <t>SRN3415K</t>
  </si>
  <si>
    <t>SRN4320K</t>
  </si>
  <si>
    <t>SRN4420K</t>
  </si>
  <si>
    <t>SRN5420K</t>
  </si>
  <si>
    <t>SRN5425K</t>
  </si>
  <si>
    <t>SRN10625K</t>
  </si>
  <si>
    <t>SRN10630K</t>
  </si>
  <si>
    <t>SRN10830K</t>
  </si>
  <si>
    <t>SRN12630K</t>
  </si>
  <si>
    <t>SRN12830K</t>
  </si>
  <si>
    <t>SOP-FIJ_SR2</t>
  </si>
  <si>
    <t>Soporte para fijación mural, (1 pza), para tablero serie SR2 - marca ABB.</t>
  </si>
  <si>
    <t>AA1206</t>
  </si>
  <si>
    <t>PORTA-ESQ_SR2</t>
  </si>
  <si>
    <t>Portaesquemas de plástico A4, para tablero serie SR2 - marca ABB.</t>
  </si>
  <si>
    <t>400x200mm_ACOPLE VERT</t>
  </si>
  <si>
    <t>Empaquetadura de acople vertical IP65 - 400x200mm, para tablero serie SR2 - marca ABB.</t>
  </si>
  <si>
    <t>GZ4020</t>
  </si>
  <si>
    <t>400x250mm_ACOPLE VERT</t>
  </si>
  <si>
    <t>Empaquetadura de acople vertical IP65 - 400x250mm, para tablero serie SR2 - marca ABB.</t>
  </si>
  <si>
    <t>GZ4025</t>
  </si>
  <si>
    <t>600x250mm_ACOPLE VERT</t>
  </si>
  <si>
    <t>Empaquetadura de acople vertical IP65 - 600x250mm, para tablero serie SR2 - marca ABB.</t>
  </si>
  <si>
    <t>GZ6025</t>
  </si>
  <si>
    <t>800x300mm_ACOPLE VERT</t>
  </si>
  <si>
    <t>Empaquetadura de acople vertical IP65 - 800x300mm, para tablero serie SR2 - marca ABB.</t>
  </si>
  <si>
    <t>GZ8030</t>
  </si>
  <si>
    <t>400x200mm_ZOCALO SOP INF</t>
  </si>
  <si>
    <t>Zocalo soporte inferior - 400x200mm, para tablero serie SR2 - marca ABB.</t>
  </si>
  <si>
    <t>ZA4020</t>
  </si>
  <si>
    <t>400x250mm_ZOCALO SOP INF</t>
  </si>
  <si>
    <t>Zocalo soporte inferior - 400x250mm, para tablero serie SR2 - marca ABB.</t>
  </si>
  <si>
    <t>ZA4025</t>
  </si>
  <si>
    <t>600x250mm_ZOCALO SOP INF</t>
  </si>
  <si>
    <t>Zocalo soporte inferior - 600x250mm, para tablero serie SR2 - marca ABB.</t>
  </si>
  <si>
    <t>ZA6025</t>
  </si>
  <si>
    <t>800x300mm_ZOCALO SOP INF</t>
  </si>
  <si>
    <t>Zocalo soporte inferior - 800x300mm, para tablero serie SR2 - marca ABB.</t>
  </si>
  <si>
    <t>ZA8030</t>
  </si>
  <si>
    <t>EGB3125FFG</t>
  </si>
  <si>
    <t>EGB3160FFG</t>
  </si>
  <si>
    <t>MWI64N3HEA</t>
  </si>
  <si>
    <t>LZMS2-A63</t>
  </si>
  <si>
    <t>Modelo LZM - solo magnéticos</t>
  </si>
  <si>
    <t>LZMS2-S200</t>
  </si>
  <si>
    <t>LZMS3-S500</t>
  </si>
  <si>
    <t>ENC. TRIPLE</t>
  </si>
  <si>
    <t>Enclavamiento mecánico triple para LZM4, fabricacion nacional.</t>
  </si>
  <si>
    <t>M22-CK11</t>
  </si>
  <si>
    <t>ER-C32/1-MW</t>
  </si>
  <si>
    <t>ER-C16/2-MW</t>
  </si>
  <si>
    <t>ER-C20/2-MW</t>
  </si>
  <si>
    <t>ER-C32/2-MW</t>
  </si>
  <si>
    <t>Modelo mMCT.</t>
  </si>
  <si>
    <t>mMCT-C80/1</t>
  </si>
  <si>
    <t>mMCT-C100/1</t>
  </si>
  <si>
    <t>mMCT-C125/1</t>
  </si>
  <si>
    <t>mMCT-C80/2</t>
  </si>
  <si>
    <t>mMCT-C100/2</t>
  </si>
  <si>
    <t>mMCT-C125/2</t>
  </si>
  <si>
    <t>mMCT-C80/3</t>
  </si>
  <si>
    <t>mMCT-C100/3</t>
  </si>
  <si>
    <t>mMCT-C125/3</t>
  </si>
  <si>
    <t>DILM150-XHI22</t>
  </si>
  <si>
    <t>DILM150-XMVE</t>
  </si>
  <si>
    <t>SISTEMA DE MEDICION</t>
  </si>
  <si>
    <t>410-QT5A-A0B10</t>
  </si>
  <si>
    <t>Medidor de energía CIRWATT B 410T (conexión indirecta), Trifásico, 4 Hilos, 400/230V, 60 Hz, /5 A, Precisión en energía activa: Clase 0.5 marca CIRCUTOR.</t>
  </si>
  <si>
    <t>AMPER-M10230</t>
  </si>
  <si>
    <t>Amperímetro analógico AC, sin escala, …/5A, medidas 96x96mm. - modelo EC96 - marca CIRCUTOR.</t>
  </si>
  <si>
    <t>M10230</t>
  </si>
  <si>
    <t>VOLT-M10436</t>
  </si>
  <si>
    <t>Voltímetro analógico AC, U_med=0-300V, medidas 96x96mm. - modelo EC96 - marca CIRCUTOR.</t>
  </si>
  <si>
    <t>M10436</t>
  </si>
  <si>
    <t>LSPT-R</t>
  </si>
  <si>
    <t>Lamparas de señalizacion para parada, color rojo tipo led , 22mmØ.</t>
  </si>
  <si>
    <t>LSPT-A</t>
  </si>
  <si>
    <t>Lamparas de señalizacion para falla, color amarillo tipo led , 22mmØ.</t>
  </si>
  <si>
    <t>LSPT-V</t>
  </si>
  <si>
    <t>Lamparas de señalizacion para arranque, color verde tipo led , 22mmØ.</t>
  </si>
  <si>
    <t>PULS_VERDE</t>
  </si>
  <si>
    <t xml:space="preserve">Pulsador Start (Verde) + contacto 1NA+1NC. </t>
  </si>
  <si>
    <t>PULS_ROJO</t>
  </si>
  <si>
    <t xml:space="preserve">Pulsador Stop (Rojo) + contacto 1NA+1NC. </t>
  </si>
  <si>
    <t>ENC-MEC-RD</t>
  </si>
  <si>
    <t>Bloqueo mecánico para enclavamiento manual entre dos interruptores - Riel-Din.</t>
  </si>
  <si>
    <t>RES-TETRA_DIN</t>
  </si>
  <si>
    <t>Espacio de reserva tetrapolar - Riel-Din.</t>
  </si>
  <si>
    <t>RES-TETRA_MOLD</t>
  </si>
  <si>
    <t>Espacio de reserva tetrapolar - Caja moldeada.</t>
  </si>
  <si>
    <t>PSPD400400Y3K</t>
  </si>
  <si>
    <t>PSPD120480Y3K</t>
  </si>
  <si>
    <t>Protector contra Sobretensión Transitorio, Trifásico, corriente pico por fase de 120kA, 4 Hilos, Estrella, 480Vac, con LED de indicación de estado de cada fase y contactos auxiliares de señalización de estado.</t>
  </si>
  <si>
    <t>PSPD250480Y3K</t>
  </si>
  <si>
    <t>Protector contra Sobretensión Transitorio, Trifásico, corriente pico por fase de 250kA, 4 Hilos, Estrella, 480Vac, con LED de indicación de estado de cada fase y contactos auxiliares de señalización de estado.</t>
  </si>
  <si>
    <t>EATON/MOELLER</t>
  </si>
  <si>
    <t>XTRE010B22B + XTCEXFCA22</t>
  </si>
  <si>
    <t>Contactor, 2NA + 2 NC, Bobina 240Vac</t>
  </si>
  <si>
    <t>TOMA-I-EMP_2P+T(16A)_IP67</t>
  </si>
  <si>
    <t>ENCH-IND 2P+T(16A)_IP67</t>
  </si>
  <si>
    <t>TOMA-I-EMP_3P+T(16A)_IP67</t>
  </si>
  <si>
    <t>ENCH-IND 3P+T(16A)_IP67</t>
  </si>
  <si>
    <t>TOMA-I-EMP_2P+T(32A)_IP67</t>
  </si>
  <si>
    <t>ENCH-IND 2P+T(32A)_IP67</t>
  </si>
  <si>
    <t>TOMA-I-EMP_3P+T(32A)_IP67</t>
  </si>
  <si>
    <t>ENCH-IND 3P+T(32A)_IP67</t>
  </si>
  <si>
    <t>TOMA-I-EMP_3P+N+T(16A)_IP67</t>
  </si>
  <si>
    <t>ENCH-IND 3P+N+T(16A)_IP67</t>
  </si>
  <si>
    <t>TRAFO_2F_440-24V_500VA</t>
  </si>
  <si>
    <t>Transformador de tensión monofásico 440 / 24 Vac - 500VA.</t>
  </si>
  <si>
    <t>TRAFO_2F_440-24V_750VA</t>
  </si>
  <si>
    <t>Transformador de tensión monofásico 440 / 24 Vac - 750VA.</t>
  </si>
  <si>
    <t>TRAFO_3F_440-220V_200VA</t>
  </si>
  <si>
    <t>Transformador de tensión de aislamiento trifásico 440 / 220 Vac - 200VA.</t>
  </si>
  <si>
    <t>CIRCUTOR</t>
  </si>
  <si>
    <t>C0050E2A</t>
  </si>
  <si>
    <t>Transformador de Tensión, 240/120Vac, 50VA - marca EATON.</t>
  </si>
  <si>
    <t>TSR-2</t>
  </si>
  <si>
    <t>Transformador sumador 2 entradas 5+5/5A, marca CIRCUTOR</t>
  </si>
  <si>
    <t>230Vac:</t>
  </si>
  <si>
    <t>REACT_20kVAR/220V_p7</t>
  </si>
  <si>
    <t>COND_20kVAR/220V_p7</t>
  </si>
  <si>
    <t>380Vac:</t>
  </si>
  <si>
    <t>COND_60kVAR/380V_p7</t>
  </si>
  <si>
    <t>400Vac:</t>
  </si>
  <si>
    <t>REACT_10kVAR/400V_p7</t>
  </si>
  <si>
    <t>REACT_15kVAR/400V_p7</t>
  </si>
  <si>
    <t>COND_15kVAR/400V_p7</t>
  </si>
  <si>
    <t>REACT_20kVAR/400V_p7</t>
  </si>
  <si>
    <t>REACT_30kVAR/400V_p7</t>
  </si>
  <si>
    <t>REACT_40kVAR/400V_p7</t>
  </si>
  <si>
    <t>COND_40kVAR/400V_p7</t>
  </si>
  <si>
    <t>REACT_60kVAR/400V_p7</t>
  </si>
  <si>
    <t>REACT_80kVAR/400V_p7</t>
  </si>
  <si>
    <t>440Vac:</t>
  </si>
  <si>
    <t>REACT_60kVAR/440V_p7</t>
  </si>
  <si>
    <t>COND_60kVAR/440V_p7</t>
  </si>
  <si>
    <t>460Vac:</t>
  </si>
  <si>
    <t>REG_SMART_III_14p</t>
  </si>
  <si>
    <t>Regulador de factor de potencia, 14 pasos, Tensión de alimentación: 100 – 520 V AC, tipo Computer SMART III, marca CIRCUTOR.</t>
  </si>
  <si>
    <t>REG_SMART_III_12p</t>
  </si>
  <si>
    <t>CMC_10kVAR/400V</t>
  </si>
  <si>
    <t>CMC_15kVAR/400V</t>
  </si>
  <si>
    <t>CMC_20kVAR/400V</t>
  </si>
  <si>
    <t>CMC_40kVAR/380V</t>
  </si>
  <si>
    <t>RGU-10</t>
  </si>
  <si>
    <t>Relé electrónico de protección diferencial - Reg.: 0.03…3A, serie RGU-10, marca CIRCUTOR.</t>
  </si>
  <si>
    <t>WGC-350x150</t>
  </si>
  <si>
    <t>F45-3-11-0</t>
  </si>
  <si>
    <t>Amperímetro digital (UL) 150ADC (50 mV), alimentación 24VDC Falcon F45-3-11-0, marca SIMPSON.</t>
  </si>
  <si>
    <t>700SP01293</t>
  </si>
  <si>
    <t>SIMPSON</t>
  </si>
  <si>
    <t>SNT_1/150A_SIMPSON</t>
  </si>
  <si>
    <t>Resistencia Shunt para medición de corriente DC, Uo=50mV DC - modelo 06714 - marca SIMPSON.</t>
  </si>
  <si>
    <t>700SP01297</t>
  </si>
  <si>
    <t>F45-3-14-0</t>
  </si>
  <si>
    <t>Voltimetro digital (UL) VDC Falcon F45-3-14-0, marca SIMPSON.</t>
  </si>
  <si>
    <t>700SP01298</t>
  </si>
  <si>
    <t>02750</t>
  </si>
  <si>
    <t>Amperímetro (UL Recognized) Serie Wide-Vue (analógico), marca SIMPSON.</t>
  </si>
  <si>
    <t>700SP50035</t>
  </si>
  <si>
    <t>06714</t>
  </si>
  <si>
    <t>Resistencia Shunt para medición de corriente DC, Uo=50mV DC  - marca SIMPSON.</t>
  </si>
  <si>
    <t>09800</t>
  </si>
  <si>
    <t>Voltímetro (UL Recognized) Serie Wide-Vue (analógico), marca SIMPSON.</t>
  </si>
  <si>
    <t>700SP50011</t>
  </si>
  <si>
    <t>Pasos de 40kVAR@400Vac, p=7% - paso 1 al paso 4:</t>
  </si>
  <si>
    <t>UNIFILAR: IE-222</t>
  </si>
  <si>
    <t>Paso de 60kVAR@400Vac, p=7% - paso 5 al paso 8:</t>
  </si>
  <si>
    <t>Paso de 80kVAR@400Vac, p=7% - paso 9 al paso 12:</t>
  </si>
  <si>
    <t>Juego de barras para conexión interna (1600A).</t>
  </si>
  <si>
    <t>Transformador de corriente de 4000/5A, para Banco de Condensadores.</t>
  </si>
  <si>
    <t>Juego de bornes de fuerza para salida de cables alimentadores menores a 50mm2.</t>
  </si>
  <si>
    <t>Panel de Control Local-Remoto para Mando Motor (p/ modelo T5-400A):</t>
  </si>
  <si>
    <t>Panel de Control Local-Remoto para Mando Motor (p/ modelo E4.2-4000A/3200A):</t>
  </si>
  <si>
    <t>Sistema de medición para Distribución - 4000A:</t>
  </si>
  <si>
    <t>Sistema de medición para Locatarios - 100A:</t>
  </si>
  <si>
    <t>Sistema de medición para Distribución - 630A:</t>
  </si>
  <si>
    <t>Sistema de medición para Distribución - 160A:</t>
  </si>
  <si>
    <t>Sistema de medición para Distribución - 100A:</t>
  </si>
  <si>
    <t>Juego de barras para entrada desde el Ducto de Barras (entrada de 4x4000A).</t>
  </si>
  <si>
    <t>Juego de barras para salida hacia el Ducto de Barras (salida de 4x3200A).</t>
  </si>
  <si>
    <t>UNIFILAR: IE-223</t>
  </si>
  <si>
    <t>siguiente descripción:</t>
  </si>
  <si>
    <t>El Dispositivo de Conmutación Automática, modelo ATS022, marca ABB, al detectar una falla</t>
  </si>
  <si>
    <t>en la línea principal, puede controlar la puesta en marcha de un generador y conmutar</t>
  </si>
  <si>
    <t>automáticamente de una  red a otra transmitiendo órdenes a los interruptores automáticos.</t>
  </si>
  <si>
    <t>Cambia automáticamente al generador o transformador después de un retardo predefinido.</t>
  </si>
  <si>
    <t>A) Supervisa la tensión de Red Principal y de Emergencia y registra cualquiera de las</t>
  </si>
  <si>
    <t xml:space="preserve">     siguientes anomalías:</t>
  </si>
  <si>
    <t>B) Controla todas las secuencias de conmutación aplicando los retardos temporales</t>
  </si>
  <si>
    <t>- Retardo de arranque del generador después de la detección de una anomalía en la red.</t>
  </si>
  <si>
    <t xml:space="preserve">  Regulable de 0 a 30 s. </t>
  </si>
  <si>
    <t>- Retardo de apertura del interruptor de suministro Emergencia, después de detección de</t>
  </si>
  <si>
    <t xml:space="preserve">  la estabilización de tensión del suministro principal. Regulable: 0…59s, 1, 2,...30min.</t>
  </si>
  <si>
    <t>- Retardo de apagado del Grupo Electrógeno  después del cierre del interruptor de</t>
  </si>
  <si>
    <t xml:space="preserve">  suministro principal. Regulable: 0…59s, 1, 2,…30min.</t>
  </si>
  <si>
    <t xml:space="preserve">     ver el estado de la unidad y de los interruptores conectados.</t>
  </si>
  <si>
    <t xml:space="preserve">     y de Emergencia.</t>
  </si>
  <si>
    <t>Panel de Control Local-Remoto para Mando Motor (p/ modelo T6-1000A):</t>
  </si>
  <si>
    <t>Sistema de medición para Distribución - 1250A:</t>
  </si>
  <si>
    <t>Juego de barras para salida hacia el Ducto de Barras (salida de 4x1000A).</t>
  </si>
  <si>
    <t>Panel de Control Local-Remoto para Mando Motor (p/ modelo T5-630A):</t>
  </si>
  <si>
    <t>Sistema de medición para Locatarios - 250A:</t>
  </si>
  <si>
    <t>Mandil Abisagrado</t>
  </si>
  <si>
    <t>UNIFILAR: IE-229</t>
  </si>
  <si>
    <t>Espacio de reserva Trifasica + interruptor diferencial de 04 polos..</t>
  </si>
  <si>
    <t>UNIFILAR: IE-231</t>
  </si>
  <si>
    <t>Espacio de reserva unipolar + interruptor diferencial de 02 polos.</t>
  </si>
  <si>
    <t>Circuito de control Local-Remoto (1-0-R) :</t>
  </si>
  <si>
    <t>Juego de fusibles y/o bornes.</t>
  </si>
  <si>
    <t>Espacio de reserva trifasica para modelo XT1C</t>
  </si>
  <si>
    <t>Espacio de reserva trifasico + diferencial de 04 polos</t>
  </si>
  <si>
    <t>Espacio de reserva trifasico</t>
  </si>
  <si>
    <t>Espacio de reserva unipolar.</t>
  </si>
  <si>
    <t>Espacio de reserva trifasica.</t>
  </si>
  <si>
    <t>Espacio de reserva Trifasica.</t>
  </si>
  <si>
    <t>SubPanel-5:</t>
  </si>
  <si>
    <t>SubPanel-6:</t>
  </si>
  <si>
    <t>SubPanel-7:</t>
  </si>
  <si>
    <t>SubPanel-8:</t>
  </si>
  <si>
    <t>SubPanel-9:</t>
  </si>
  <si>
    <t>SubPanel-10:</t>
  </si>
  <si>
    <t>SubPanel-11:</t>
  </si>
  <si>
    <t>SubPanel-12:</t>
  </si>
  <si>
    <t>SubPanel-13:</t>
  </si>
  <si>
    <t>Circuito de control LOCAL - REMOTO (1-0-R):</t>
  </si>
  <si>
    <t>UNIFILAR: IE-234</t>
  </si>
  <si>
    <t>Estudio de selectividad y/o back-up de los interruptores que contemplan los niveles de</t>
  </si>
  <si>
    <t>distribución según el alcance requerido por el proyecto. El resultado final se plasmará en un</t>
  </si>
  <si>
    <t>informe, y las protecciones de los interruptores termomagnéticos en baja tensión serán</t>
  </si>
  <si>
    <t>regulados bajo la configuración más óptima de acuerdo al estudio realizado.</t>
  </si>
  <si>
    <t>Datos del suministro en Media Tensión o Baja tensión (Potencia de cortocircuito, datos del</t>
  </si>
  <si>
    <t>transformador de Media o Baja tensión).</t>
  </si>
  <si>
    <t>Longitud de cables alimentadores en los niveles de distribución según el alcance requerido</t>
  </si>
  <si>
    <t>por el proyecto.</t>
  </si>
  <si>
    <t>características superiores en modelo y tecnología que deben tener los interruptores y sus</t>
  </si>
  <si>
    <t>respectivos relés de protección.</t>
  </si>
  <si>
    <t>El informe del estudio de coordinación de protecciones será entregado al finalizar la entrega de</t>
  </si>
  <si>
    <t>los tableros.</t>
  </si>
  <si>
    <t>De ser requerido un sustento técnico de la coordinación en la etapa de evaluación del</t>
  </si>
  <si>
    <t>presupuesto, T.J. Castro podría presentar un informe básico (sin curvas de protecciones),</t>
  </si>
  <si>
    <t>en donde la información requerida será la longitud de los cables alimentadores.</t>
  </si>
  <si>
    <t>Este informe tomará entre 10 a 15 días útiles (según el número de circuitos y el alcance</t>
  </si>
  <si>
    <t>requerido por el proyecto). De ser requerido este sustento, favor de ponerse en contacto</t>
  </si>
  <si>
    <t xml:space="preserve">con T.J. Castro S.A.C. </t>
  </si>
  <si>
    <t>De no entrregarse la información requerida (longitud de cables alimentadores y/o cuadro de</t>
  </si>
  <si>
    <t>cargas) T.J. Castro no podrá presentar ningún informe ni sustento técnico sobre la selectividad</t>
  </si>
  <si>
    <t>y/o back-up.</t>
  </si>
  <si>
    <t>Los tableros fabricados por T.J. Castro serán entregados con sus interruptores ya</t>
  </si>
  <si>
    <t>configurados de acuerdo estudio de coordinación de protecciones realizado.</t>
  </si>
  <si>
    <t>Para cumplir la selectividad requerida, se ha aumentado la corriente nominal del interruptor principal en</t>
  </si>
  <si>
    <t>ciertos tableros. Ver las notas del item 170 "Estudio de coordinación de protecciones".</t>
  </si>
  <si>
    <t>En los tableros generales, se ha considerado borneras de fuerza para todas las salidadas de cables menores</t>
  </si>
  <si>
    <t>a 50mm2  (solo para las tres fases) y pletinas de cobre para todas las salidas de cables mayores o igual a 50mm2,</t>
  </si>
  <si>
    <t>en cumplimiento de las especificaciones técnicas (pg. 33).</t>
  </si>
  <si>
    <t>En los tableros de distribución (derivados) no se ha considerado ninguna pletina de cobre o terminal interno.</t>
  </si>
  <si>
    <t>Se ha considerado supresores de picos de tensión, con una corriente pico de descarga de 240kA, en lugar de</t>
  </si>
  <si>
    <t>los 250kA indicados en el diagrama uifilar.</t>
  </si>
  <si>
    <t>Se ha considerado que los tableros "TGN-1/2/3/4" se encuentran contiguos de los tableros "BC-1/2/3/4 y los tableros</t>
  </si>
  <si>
    <t>"TGE-1/2/3/4", uno al costado del otro, e irán conectados mediante el mismo Bus de Barras principal.</t>
  </si>
  <si>
    <t>Por recomendación técnica, se ha considerado un interruptor de 3x32A en lugar de uno de 3x63A para la protección</t>
  </si>
  <si>
    <t>de los protectores de sobretensión.</t>
  </si>
  <si>
    <t>Se ha considerado que los tableros generales tengan su acople de barras para las salidas hacia el Ducto de Barras</t>
  </si>
  <si>
    <t>o las entradas desde el Ducto de Barras en donde se indique según el diagrama unifilar. Sin embargo, no se</t>
  </si>
  <si>
    <t>considera la conexión por barras entre el acople de barras y el Ducto de Barras. La geometría y disposición física</t>
  </si>
  <si>
    <t>exacta de la llegada/entrada del Ducto de Barras serán definidas en la etapa de aprobación de planos mecánicos.</t>
  </si>
  <si>
    <t>Se ha considerado medidores de energía según la aprobación técnica dada por SIGRAL.</t>
  </si>
  <si>
    <t>El modelo IDM-G5 (marca ABB) para los medidores de distribución, el modelo EQ_A44-452_100_Oro (marca ABB)</t>
  </si>
  <si>
    <t>para los medidores de locatarios, y el modelo Nexus-II (marca ABB) para equipos mecánicos.</t>
  </si>
  <si>
    <t>En los tableros generales se ha considerando transformadores de corriente de núcleo cerrado. De ser</t>
  </si>
  <si>
    <t>requerido,transformadores de nucleo partido informarnos para presentarle una cotización actualizada.</t>
  </si>
  <si>
    <t>En todos los tableros se ha considerado un 20% de espacio de reserva para futuras salidas, en cumplimiento</t>
  </si>
  <si>
    <t>de las especificaciones técnicas (pg.37 y pg.38).</t>
  </si>
  <si>
    <t xml:space="preserve">Se ha considerado todos los tableros con grado de protección IP-42 (instalacion interior, proteccion a polvo </t>
  </si>
  <si>
    <t>y goteos de agua) de fabricación nacional, en cumplimiento de las especificaciones técnicas.</t>
  </si>
  <si>
    <t>En los tableros generales, se ha considerado todos sus interruptores derivados con Señalización Remota</t>
  </si>
  <si>
    <t xml:space="preserve"> (estado ON/OFF + alarma por disparo), según lo indicado en las especificaciones técnicas (pg.31).</t>
  </si>
  <si>
    <t>Por optimización técnica, en todos los tableros de Transferencia Automática, se ha omitido el tercer interruptor</t>
  </si>
  <si>
    <t>que figura aguas debajo de la transferencia en el diagrama unifilar. Este no es necesario si ambos interruptores</t>
  </si>
  <si>
    <t>de transferencia poseen protección termomagnética.</t>
  </si>
  <si>
    <t xml:space="preserve">En los tableros generales se ha cotizado interruptores con una capacidad de ruptura según el valor indicado en </t>
  </si>
  <si>
    <t>la barra de los tableros. Se ha omitido el valor indicado dentro del dibujo del interruptor en caso de discrepancia.</t>
  </si>
  <si>
    <t>Se ha considerado en todos los tableros generales ventilación forzada mediante ventiladores.</t>
  </si>
  <si>
    <t>Se ha cotizado los tableros Banco de Condensadores como un sistema de:</t>
  </si>
  <si>
    <t>desintonia p=7% , en cumplimiento de las especificaciones técnicas (pg.27).</t>
  </si>
  <si>
    <t>No se ha considerado ninguna prueba de termografía después de de la puesta en marcha.</t>
  </si>
  <si>
    <t>Se ha cotizado tableros con grado de protección NEMA 1 (equivalente IP10 / IP20 / IP23 / IP40* ,</t>
  </si>
  <si>
    <t>SH202-C-6A</t>
  </si>
  <si>
    <t>ITM Riel-Din 2x6A - SH202-C-6A - 10kA@230Vac, 6kA@400Vac-IEC60898 - marca ABB.</t>
  </si>
  <si>
    <t>SH202-C-10A</t>
  </si>
  <si>
    <t>ITM Riel-Din 2x10A - SH202-C-10A - 10kA@230Vac, 6kA@400Vac-IEC60898 - marca ABB.</t>
  </si>
  <si>
    <t>OVR TIPO 1</t>
  </si>
  <si>
    <t>OVR TIPO 2</t>
  </si>
  <si>
    <t>OVR-T2_1N_40-275_P-QS_1P+N</t>
  </si>
  <si>
    <t>Protector de sobretensiones (Tipo 2) - OVR-T2_1N_40-275_P-QS_1P+N - Un=230V, Uc=275V, Up=1.25kV - I_descarga=40kA - marca ABB.</t>
  </si>
  <si>
    <t>E1.2N-800A-4P-Ekip Touch LSI</t>
  </si>
  <si>
    <t>ITM Bastidor Abierto 4x800A (electrónico [0.4-1.0] In) - E1.2N-800A-4P-Ekip Touch LSI - 66kA@440Vac - marca ABB.</t>
  </si>
  <si>
    <t>1SDA071395R1</t>
  </si>
  <si>
    <t>E1.2N-1000A-4P-Ekip Touch LSI</t>
  </si>
  <si>
    <t>ITM Bastidor Abierto 4x1000A (electrónico [0.4-1.0] In) - E1.2N-1000A-4P-Ekip Touch LSI - 66kA@440Vac - marca ABB.</t>
  </si>
  <si>
    <t>1SDA071435R1</t>
  </si>
  <si>
    <t>OT_I-0-II_3p_2000A</t>
  </si>
  <si>
    <t>Conmutador manual bajo carga (I-0-II), modelo OT-C, 3p, 2000A (AC21..AC22) - marca ABB.</t>
  </si>
  <si>
    <t>1SCA103908R1001</t>
  </si>
  <si>
    <t>IH_GRASSLIN doble</t>
  </si>
  <si>
    <t>Interruptor Horario Digital de dos canales - marca GRASSLIN.</t>
  </si>
  <si>
    <t>TRAFO_2F_440-24V_100VA</t>
  </si>
  <si>
    <t>Transformador de tensión monofásico 440 / 24 Vac - 100VA.</t>
  </si>
  <si>
    <t>Transferencia Automática mediante enclavamiento de interruptores, 1250A, 3 polos, 380Vac,</t>
  </si>
  <si>
    <t>Interruptor tipo Caja Moldeada, de ejecución fijo, modelo Tmax T7, marca ABB, con la</t>
  </si>
  <si>
    <t>( * ) Para  cualquier  información adicional contactarse con Luis Gutiérrez al número de celular 981138241.</t>
  </si>
  <si>
    <t>08 a 09 semanas, con entregas parciales una vez de recibir el adelanto correspondiente, y una vez aprobado los planos de fabricación o de la aprobación de las dimensiones de las gabinetes de los tableros de distribución.</t>
  </si>
  <si>
    <t>Estará equipado con componentes de fuerza marca EATON, para un sistema 380/220Vac (3F+N), 60 Hz, y barra a tierra.</t>
  </si>
  <si>
    <r>
      <t>Condiciones Comerciales</t>
    </r>
    <r>
      <rPr>
        <b/>
        <sz val="11"/>
        <color rgb="FF000066"/>
        <rFont val="Arial"/>
        <family val="2"/>
      </rPr>
      <t xml:space="preserve"> :</t>
    </r>
  </si>
  <si>
    <t>Banco de Crédito del Perú:</t>
  </si>
  <si>
    <t>Dólares: 191-0667656-1-08   |   Soles: 191-0845885-0-91</t>
  </si>
  <si>
    <t>Dólares: 0011-0115-0100026258   |   Soles: 0011-0115-0100052763</t>
  </si>
  <si>
    <t xml:space="preserve">Banco Continental:  </t>
  </si>
  <si>
    <t xml:space="preserve">Banco Interbank:  </t>
  </si>
  <si>
    <t>Dólares: 200-3000469928   |   Soles: 289-3000627891</t>
  </si>
  <si>
    <t>BUILDING PRODUCTS</t>
  </si>
  <si>
    <t>SH201-C-6A</t>
  </si>
  <si>
    <t>ITM Riel-Din 1x6A - SH201-C-6A - 10kA@230Vac, 6kA@400Vac-IEC60898 - marca ABB.</t>
  </si>
  <si>
    <t>SH201-C-10A</t>
  </si>
  <si>
    <t>ITM Riel-Din 1x10A - SH201-C-10A - 10kA@230Vac, 6kA@400Vac-IEC60898 - marca ABB.</t>
  </si>
  <si>
    <t>SH204-C-10A</t>
  </si>
  <si>
    <t>ITM Riel-Din 4x10A - SH204-C-10A - 10kA@230Vac, 6kA@400Vac-IEC60898 - marca ABB.</t>
  </si>
  <si>
    <t>SH204-C-16A</t>
  </si>
  <si>
    <t>ITM Riel-Din 4x16A - SH204-C-16A - 10kA@230Vac, 6kA@400Vac-IEC60898 - marca ABB.</t>
  </si>
  <si>
    <t>SH204-C-20A</t>
  </si>
  <si>
    <t>ITM Riel-Din 4x20A - SH204-C-20A - 10kA@230Vac, 6kA@400Vac-IEC60898 - marca ABB.</t>
  </si>
  <si>
    <t>SH204-C-25A</t>
  </si>
  <si>
    <t>ITM Riel-Din 4x25A - SH204-C-25A - 10kA@230Vac, 6kA@400Vac-IEC60898 - marca ABB.</t>
  </si>
  <si>
    <t>SH204-C-32A</t>
  </si>
  <si>
    <t>ITM Riel-Din 4x32A - SH204-C-32A - 10kA@230Vac, 6kA@400Vac-IEC60898 - marca ABB.</t>
  </si>
  <si>
    <t>SH204-C-40A</t>
  </si>
  <si>
    <t>ITM Riel-Din 4x40A - SH204-C-40A - 10kA@230Vac, 6kA@400Vac-IEC60898 - marca ABB.</t>
  </si>
  <si>
    <t>S201-C-10NA</t>
  </si>
  <si>
    <t>ITM Riel-Din 2x10A - S201-C-10NA - 10kA@400Vac-IEC60947-2 - marca ABB.</t>
  </si>
  <si>
    <t>2CDS251103R0104</t>
  </si>
  <si>
    <t>S201-C-16NA</t>
  </si>
  <si>
    <t>ITM Riel-Din 2x16A - S201-C-16NA - 10kA@400Vac-IEC60947-2 - marca ABB.</t>
  </si>
  <si>
    <t>2CDS251103R0164</t>
  </si>
  <si>
    <t>S201-C-20NA</t>
  </si>
  <si>
    <t>ITM Riel-Din 2x20A - S201-C-20NA - 10kA@400Vac-IEC60947-2 - marca ABB.</t>
  </si>
  <si>
    <t>2CDS251103R0204</t>
  </si>
  <si>
    <t>S201-C-0.5NA</t>
  </si>
  <si>
    <t>ITM Riel-Din 2x0.5A - S201-C-0.5NA - 10kA@400Vac-IEC60947-2 - marca ABB.</t>
  </si>
  <si>
    <t>2CDS251103R0984</t>
  </si>
  <si>
    <t>S201-C-1NA</t>
  </si>
  <si>
    <t>ITM Riel-Din 2x1A - S201-C-1NA - 10kA@400Vac-IEC60947-2 - marca ABB.</t>
  </si>
  <si>
    <t>2CDS251103R0014</t>
  </si>
  <si>
    <t>S201-C-2NA</t>
  </si>
  <si>
    <t>ITM Riel-Din 2x2A - S201-C-2NA - 10kA@400Vac-IEC60947-2 - marca ABB.</t>
  </si>
  <si>
    <t>2CDS251103R0024</t>
  </si>
  <si>
    <t>S201-C-3NA</t>
  </si>
  <si>
    <t>ITM Riel-Din 2x3A - S201-C-3NA - 10kA@400Vac-IEC60947-2 - marca ABB.</t>
  </si>
  <si>
    <t>2CDS251103R0034</t>
  </si>
  <si>
    <t>S201-C-6NA</t>
  </si>
  <si>
    <t>ITM Riel-Din 2x6A - S201-C-6NA - 10kA@400Vac-IEC60947-2 - marca ABB.</t>
  </si>
  <si>
    <t>2CDS251103R0064</t>
  </si>
  <si>
    <t>S203-C-10NA</t>
  </si>
  <si>
    <t>ITM Riel-Din 4x10A - S203-C-10NA - 10kA@400Vac-IEC60947-2 - marca ABB.</t>
  </si>
  <si>
    <t>2CDS253103R0104</t>
  </si>
  <si>
    <t>S203-C-16NA</t>
  </si>
  <si>
    <t>ITM Riel-Din 4x16A - S203-C-16NA - 10kA@400Vac-IEC60947-2 - marca ABB.</t>
  </si>
  <si>
    <t>2CDS253103R0164</t>
  </si>
  <si>
    <t>S203-C-25NA</t>
  </si>
  <si>
    <t>ITM Riel-Din 4x25A - S203-C-25NA - 10kA@400Vac-IEC60947-2 - marca ABB.</t>
  </si>
  <si>
    <t>2CDS253103R0254</t>
  </si>
  <si>
    <t>S203-C-40NA</t>
  </si>
  <si>
    <t>ITM Riel-Din 4x40A - S203-C-40NA - 10kA@400Vac-IEC60947-2 - marca ABB.</t>
  </si>
  <si>
    <t>2CDS253103R0404</t>
  </si>
  <si>
    <t>S203-C-6NA</t>
  </si>
  <si>
    <t>ITM Riel-Din 4x6A - S203-C-6NA - 10kA@400Vac-IEC60947-2 - marca ABB.</t>
  </si>
  <si>
    <t>2CDS253103R0064</t>
  </si>
  <si>
    <t>S203-C-32NA</t>
  </si>
  <si>
    <t>ITM Riel-Din 4x32A - S203-C-32NA - 10kA@400Vac-IEC60947-2 - marca ABB.</t>
  </si>
  <si>
    <t>S201-C-10A</t>
  </si>
  <si>
    <t>ITM Riel-Din 1x10A - S201-C-10A - 10kA@230Vac-IEC60947-2 - marca ABB.</t>
  </si>
  <si>
    <t>S202-C-2A</t>
  </si>
  <si>
    <t>ITM Riel-Din 2x2A - S202-C-2A - 10kA@400V-IEC60947-2 - marca ABB.</t>
  </si>
  <si>
    <t>S202-C-4A</t>
  </si>
  <si>
    <t>ITM Riel-Din 2x4A - S202-C-4A - 10kA@400V-IEC60947-2 - marca ABB.</t>
  </si>
  <si>
    <t>S202M-C-10A</t>
  </si>
  <si>
    <t>ITM Riel-Din 2x10A - S202M-C-10A - 15kA@400Vac-IEC60947-2 - marca ABB.</t>
  </si>
  <si>
    <t>S204M-C-10A</t>
  </si>
  <si>
    <t>ITM Riel-Din 4x10A - S204M-C-10A - 15kA@400Vac-IEC60947-2 - marca ABB.</t>
  </si>
  <si>
    <t>S201-D-6A</t>
  </si>
  <si>
    <t>ITM Riel-Din 1x6A - S201-D-6A - 10kA@230Vac-IEC60947-2 - marca ABB.</t>
  </si>
  <si>
    <t>2CDS251001R0061</t>
  </si>
  <si>
    <t>S201-D-10A</t>
  </si>
  <si>
    <t>ITM Riel-Din 1x10A - S201-D-10A - 10kA@230Vac-IEC60947-2 - marca ABB.</t>
  </si>
  <si>
    <t>2CDS251001R0101</t>
  </si>
  <si>
    <t>S201-D-16A</t>
  </si>
  <si>
    <t>ITM Riel-Din 1x16A - S201-D-16A - 10kA@230Vac-IEC60947-2 - marca ABB.</t>
  </si>
  <si>
    <t>2CDS251001R0161</t>
  </si>
  <si>
    <t>S201-D-20A</t>
  </si>
  <si>
    <t>ITM Riel-Din 1x20A - S201-D-20A - 10kA@230Vac-IEC60947-2 - marca ABB.</t>
  </si>
  <si>
    <t>2CDS251001R0201</t>
  </si>
  <si>
    <t>S201-D-25A</t>
  </si>
  <si>
    <t>ITM Riel-Din 1x25A - S201-D-25A - 10kA@230Vac-IEC60947-2 - marca ABB.</t>
  </si>
  <si>
    <t>2CDS251001R0251</t>
  </si>
  <si>
    <t>S201-D-32A</t>
  </si>
  <si>
    <t>ITM Riel-Din 1x32A - S201-D-32A - 10kA@230Vac-IEC60947-2 - marca ABB.</t>
  </si>
  <si>
    <t>2CDS251001R0321</t>
  </si>
  <si>
    <t>S201-D-40A</t>
  </si>
  <si>
    <t>ITM Riel-Din 1x40A - S201-D-40A - 10kA@230Vac-IEC60947-2 - marca ABB.</t>
  </si>
  <si>
    <t>2CDS251001R0401</t>
  </si>
  <si>
    <t>S201-D-50A</t>
  </si>
  <si>
    <t>ITM Riel-Din 1x50A - S201-D-50A - 10kA@230Vac-IEC60947-2 - marca ABB.</t>
  </si>
  <si>
    <t>2CDS251001R0501</t>
  </si>
  <si>
    <t>S201-D-63A</t>
  </si>
  <si>
    <t>ITM Riel-Din 1x63A - S201-D-63A - 10kA@230Vac-IEC60947-2 - marca ABB.</t>
  </si>
  <si>
    <t>2CDS251001R0631</t>
  </si>
  <si>
    <t>S202-D-6A</t>
  </si>
  <si>
    <t>ITM Riel-Din 2x6A - S202-D-6A - 10kA@230Vac-IEC60947-2 - marca ABB.</t>
  </si>
  <si>
    <t>2CDS252001R0061</t>
  </si>
  <si>
    <t>S202-D-10A</t>
  </si>
  <si>
    <t>ITM Riel-Din 2x10A - S202-D-10A - 10kA@230Vac-IEC60947-2 - marca ABB.</t>
  </si>
  <si>
    <t>2CDS252001R0101</t>
  </si>
  <si>
    <t>S202-D-16A</t>
  </si>
  <si>
    <t>ITM Riel-Din 2x16A - S202-D-16A - 10kA@230Vac-IEC60947-2 - marca ABB.</t>
  </si>
  <si>
    <t>2CDS252001R0161</t>
  </si>
  <si>
    <t>S202-D-20A</t>
  </si>
  <si>
    <t>ITM Riel-Din 2x20A - S202-D-20A - 10kA@230Vac-IEC60947-2 - marca ABB.</t>
  </si>
  <si>
    <t>2CDS252001R0201</t>
  </si>
  <si>
    <t>S202-D-25A</t>
  </si>
  <si>
    <t>ITM Riel-Din 2x25A - S202-D-25A - 10kA@230Vac-IEC60947-2 - marca ABB.</t>
  </si>
  <si>
    <t>2CDS252001R0251</t>
  </si>
  <si>
    <t>S202-D-32A</t>
  </si>
  <si>
    <t>ITM Riel-Din 2x32A - S202-D-32A - 10kA@230Vac-IEC60947-2 - marca ABB.</t>
  </si>
  <si>
    <t>2CDS252001R0321</t>
  </si>
  <si>
    <t>S202-D-40A</t>
  </si>
  <si>
    <t>ITM Riel-Din 2x40A - S202-D-40A - 10kA@230Vac-IEC60947-2 - marca ABB.</t>
  </si>
  <si>
    <t>2CDS252001R0401</t>
  </si>
  <si>
    <t>S202-D-50A</t>
  </si>
  <si>
    <t>ITM Riel-Din 2x50A - S202-D-50A - 10kA@230Vac-IEC60947-2 - marca ABB.</t>
  </si>
  <si>
    <t>2CDS252001R0501</t>
  </si>
  <si>
    <t>S202-D-63A</t>
  </si>
  <si>
    <t>ITM Riel-Din 2x63A - S202-D-63A - 10kA@230Vac-IEC60947-2 - marca ABB.</t>
  </si>
  <si>
    <t>2CDS252001R0631</t>
  </si>
  <si>
    <t>S203-D-6A</t>
  </si>
  <si>
    <t>ITM Riel-Din 3x6A - S203-D-6A - 10kA@230Vac-IEC60947-2 - marca ABB.</t>
  </si>
  <si>
    <t>2CDS253001R0061</t>
  </si>
  <si>
    <t>S203-D-10A</t>
  </si>
  <si>
    <t>ITM Riel-Din 3x10A - S203-D-10A - 10kA@230Vac-IEC60947-2 - marca ABB.</t>
  </si>
  <si>
    <t>2CDS253001R0101</t>
  </si>
  <si>
    <t>S203-D-16A</t>
  </si>
  <si>
    <t>ITM Riel-Din 3x16A - S203-D-16A - 10kA@230Vac-IEC60947-2 - marca ABB.</t>
  </si>
  <si>
    <t>2CDS253001R0161</t>
  </si>
  <si>
    <t>S203-D-20A</t>
  </si>
  <si>
    <t>ITM Riel-Din 3x20A - S203-D-20A - 10kA@230Vac-IEC60947-2 - marca ABB.</t>
  </si>
  <si>
    <t>2CDS253001R0201</t>
  </si>
  <si>
    <t>S203-D-25A</t>
  </si>
  <si>
    <t>ITM Riel-Din 3x25A - S203-D-25A - 10kA@230Vac-IEC60947-2 - marca ABB.</t>
  </si>
  <si>
    <t>2CDS253001R0251</t>
  </si>
  <si>
    <t>S203-D-32A</t>
  </si>
  <si>
    <t>ITM Riel-Din 3x32A - S203-D-32A - 10kA@230Vac-IEC60947-2 - marca ABB.</t>
  </si>
  <si>
    <t>2CDS253001R0321</t>
  </si>
  <si>
    <t>S203-D-40A</t>
  </si>
  <si>
    <t>ITM Riel-Din 3x40A - S203-D-40A - 10kA@230Vac-IEC60947-2 - marca ABB.</t>
  </si>
  <si>
    <t>2CDS253001R0401</t>
  </si>
  <si>
    <t>S203-D-50A</t>
  </si>
  <si>
    <t>ITM Riel-Din 3x50A - S203-D-50A - 10kA@230Vac-IEC60947-2 - marca ABB.</t>
  </si>
  <si>
    <t>2CDS253001R0501</t>
  </si>
  <si>
    <t>S203-D-63A</t>
  </si>
  <si>
    <t>ITM Riel-Din 3x63A - S203-D-63A - 10kA@230Vac-IEC60947-2 - marca ABB.</t>
  </si>
  <si>
    <t>2CDS253001R0631</t>
  </si>
  <si>
    <t>S204-D-6A</t>
  </si>
  <si>
    <t>ITM Riel-Din 4x6A - S204-D-6A - 10kA@230Vac-IEC60947-2 - marca ABB.</t>
  </si>
  <si>
    <t>2CDS254001R0061</t>
  </si>
  <si>
    <t>S204-D-10A</t>
  </si>
  <si>
    <t>ITM Riel-Din 4x10A - S204-D-10A - 10kA@230Vac-IEC60947-2 - marca ABB.</t>
  </si>
  <si>
    <t>2CDS254001R0101</t>
  </si>
  <si>
    <t>S204-D-16A</t>
  </si>
  <si>
    <t>ITM Riel-Din 4x16A - S204-D-16A - 10kA@230Vac-IEC60947-2 - marca ABB.</t>
  </si>
  <si>
    <t>2CDS254001R0161</t>
  </si>
  <si>
    <t>S204-D-20A</t>
  </si>
  <si>
    <t>ITM Riel-Din 4x20A - S204-D-20A - 10kA@230Vac-IEC60947-2 - marca ABB.</t>
  </si>
  <si>
    <t>2CDS254001R0201</t>
  </si>
  <si>
    <t>S204-D-25A</t>
  </si>
  <si>
    <t>ITM Riel-Din 4x25A - S204-D-25A - 10kA@230Vac-IEC60947-2 - marca ABB.</t>
  </si>
  <si>
    <t>2CDS254001R0251</t>
  </si>
  <si>
    <t>S204-D-32A</t>
  </si>
  <si>
    <t>ITM Riel-Din 4x32A - S204-D-32A - 10kA@230Vac-IEC60947-2 - marca ABB.</t>
  </si>
  <si>
    <t>2CDS254001R0321</t>
  </si>
  <si>
    <t>S204-D-40A</t>
  </si>
  <si>
    <t>ITM Riel-Din 4x40A - S204-D-40A - 10kA@230Vac-IEC60947-2 - marca ABB.</t>
  </si>
  <si>
    <t>2CDS254001R0401</t>
  </si>
  <si>
    <t>S204-D-50A</t>
  </si>
  <si>
    <t>ITM Riel-Din 4x50A - S204-D-50A - 10kA@230Vac-IEC60947-2 - marca ABB.</t>
  </si>
  <si>
    <t>2CDS254001R0501</t>
  </si>
  <si>
    <t>S204-D-63A</t>
  </si>
  <si>
    <t>ITM Riel-Din 4x63A - S204-D-63A - 10kA@230Vac-IEC60947-2 - marca ABB.</t>
  </si>
  <si>
    <t>2CDS254001R0631</t>
  </si>
  <si>
    <t>S201-K-16A</t>
  </si>
  <si>
    <t>ITM Riel-Din 1x16A - S201-K-16A - 10kA@230Vac-IEC60947-2 - marca ABB.</t>
  </si>
  <si>
    <t>2CDS251001R0467</t>
  </si>
  <si>
    <t>S201-K-20A</t>
  </si>
  <si>
    <t>ITM Riel-Din 1x20A - S201-K-20A - 10kA@230Vac-IEC60947-2 - marca ABB.</t>
  </si>
  <si>
    <t>2CDS251001R0487</t>
  </si>
  <si>
    <t>S201-K-25A</t>
  </si>
  <si>
    <t>ITM Riel-Din 1x25A - S201-K-25A - 10kA@230Vac-IEC60947-2 - marca ABB.</t>
  </si>
  <si>
    <t>2CDS251001R0517</t>
  </si>
  <si>
    <t>S201-K-32A</t>
  </si>
  <si>
    <t>ITM Riel-Din 1x32A - S201-K-32A - 10kA@230Vac-IEC60947-2 - marca ABB.</t>
  </si>
  <si>
    <t>2CDS251001R0537</t>
  </si>
  <si>
    <t>S201-K-40A</t>
  </si>
  <si>
    <t>ITM Riel-Din 1x40A - S201-K-40A - 10kA@230Vac-IEC60947-2 - marca ABB.</t>
  </si>
  <si>
    <t>2CDS251001R0557</t>
  </si>
  <si>
    <t>S201-K-50A</t>
  </si>
  <si>
    <t>ITM Riel-Din 1x50A - S201-K-50A - 10kA@230Vac-IEC60947-2 - marca ABB.</t>
  </si>
  <si>
    <t>2CDS251001R0577</t>
  </si>
  <si>
    <t>S201-K-63A</t>
  </si>
  <si>
    <t>ITM Riel-Din 1x63A - S201-K-63A - 10kA@230Vac-IEC60947-2 - marca ABB.</t>
  </si>
  <si>
    <t>2CDS251001R0607</t>
  </si>
  <si>
    <t>S202-K-16A</t>
  </si>
  <si>
    <t>ITM Riel-Din 2x16A - S202-K-16A - 10kA@230Vac-IEC60947-2 - marca ABB.</t>
  </si>
  <si>
    <t>S202-K-20A</t>
  </si>
  <si>
    <t>ITM Riel-Din 2x20A - S202-K-20A - 10kA@230Vac-IEC60947-2 - marca ABB.</t>
  </si>
  <si>
    <t>S202-K-25A</t>
  </si>
  <si>
    <t>ITM Riel-Din 2x25A - S202-K-25A - 10kA@230Vac-IEC60947-2 - marca ABB.</t>
  </si>
  <si>
    <t>S202-K-32A</t>
  </si>
  <si>
    <t>ITM Riel-Din 2x32A - S202-K-32A - 10kA@230Vac-IEC60947-2 - marca ABB.</t>
  </si>
  <si>
    <t>S202-K-40A</t>
  </si>
  <si>
    <t>ITM Riel-Din 2x40A - S202-K-40A - 10kA@230Vac-IEC60947-2 - marca ABB.</t>
  </si>
  <si>
    <t>S202-K-50A</t>
  </si>
  <si>
    <t>ITM Riel-Din 2x50A - S202-K-50A - 10kA@230Vac-IEC60947-2 - marca ABB.</t>
  </si>
  <si>
    <t>S202-K-63A</t>
  </si>
  <si>
    <t>ITM Riel-Din 2x63A - S202-K-63A - 10kA@230Vac-IEC60947-2 - marca ABB.</t>
  </si>
  <si>
    <t>S203-K-16A</t>
  </si>
  <si>
    <t>ITM Riel-Din 3x16A - S203-K-16A - 10kA@230Vac-IEC60947-2 - marca ABB.</t>
  </si>
  <si>
    <t>S203-K-20A</t>
  </si>
  <si>
    <t>ITM Riel-Din 3x20A - S203-K-20A - 10kA@230Vac-IEC60947-2 - marca ABB.</t>
  </si>
  <si>
    <t>S203-K-25A</t>
  </si>
  <si>
    <t>ITM Riel-Din 3x25A - S203-K-25A - 10kA@230Vac-IEC60947-2 - marca ABB.</t>
  </si>
  <si>
    <t>S203-K-32A</t>
  </si>
  <si>
    <t>ITM Riel-Din 3x32A - S203-K-32A - 10kA@230Vac-IEC60947-2 - marca ABB.</t>
  </si>
  <si>
    <t>S203-K-40A</t>
  </si>
  <si>
    <t>ITM Riel-Din 3x40A - S203-K-40A - 10kA@230Vac-IEC60947-2 - marca ABB.</t>
  </si>
  <si>
    <t>S203-K-50A</t>
  </si>
  <si>
    <t>ITM Riel-Din 3x50A - S203-K-50A - 10kA@230Vac-IEC60947-2 - marca ABB.</t>
  </si>
  <si>
    <t>S203-K-63A</t>
  </si>
  <si>
    <t>ITM Riel-Din 3x63A - S203-K-63A - 10kA@230Vac-IEC60947-2 - marca ABB.</t>
  </si>
  <si>
    <t>F202-A-25A-300mA</t>
  </si>
  <si>
    <t>Interruptor Diferencial 2x25A - 300mA - clase A (inmunizado) - F202-A-25A-300mA - marca ABB.</t>
  </si>
  <si>
    <t>2CSF202101R3250</t>
  </si>
  <si>
    <t>F202-A-40A-300mA</t>
  </si>
  <si>
    <t>Interruptor Diferencial 2x40A - 300mA - clase A (inmunizado) - F202-A-40A-300mA - marca ABB.</t>
  </si>
  <si>
    <t>2CSF202101R3400</t>
  </si>
  <si>
    <t>F202-A-63A-300mA</t>
  </si>
  <si>
    <t>Interruptor Diferencial 2x63A - 300mA - clase A (inmunizado) - F202-A-63A-300mA - marca ABB.</t>
  </si>
  <si>
    <t>2CSF202101R3630</t>
  </si>
  <si>
    <t>F202-A-80A-300mA</t>
  </si>
  <si>
    <t>Interruptor Diferencial 2x80A - 300mA - clase A (inmunizado) - F202-A-80A-300mA - marca ABB.</t>
  </si>
  <si>
    <t>2CSF202101R3800</t>
  </si>
  <si>
    <t>F202-A-100A-300mA</t>
  </si>
  <si>
    <t>Interruptor Diferencial 2x100A - 300mA - clase A (inmunizado) - F202-A-100A-300mA - marca ABB.</t>
  </si>
  <si>
    <t>2CSF202101R3900</t>
  </si>
  <si>
    <t>Interruptor Diferencial 4x40A - 30mA - clase B (alta inmunización: para variador, corriente pulsante o con rizado) - F204-B-40A-30mA - marca ABB.</t>
  </si>
  <si>
    <t>Interruptor Diferencial 4x63A - 30mA - clase B (alta inmunización: para variador, corriente pulsante o con rizado) - F204-B-63A-30mA - marca ABB.</t>
  </si>
  <si>
    <t>Interruptor Diferencial 4x125A - 30mA - clase B (alta inmunización: para variador, corriente pulsante o con rizado) - F204-B-125A-30mA - marca ABB.</t>
  </si>
  <si>
    <t>Interruptor Diferencial 4x63A - 300mA - clase B (alta inmunización: para variador, corriente pulsante o con rizado) - F204-B-63A-300mA - marca ABB.</t>
  </si>
  <si>
    <t>Interruptor Diferencial 4x125A - 300mA - clase B (alta inmunización: para variador, corriente pulsante o con rizado) - F204-B-125A-300mA - marca ABB.</t>
  </si>
  <si>
    <t>ACCESORIOS MCB</t>
  </si>
  <si>
    <t>1SY contacto por disparo de interruptor / 1(Q) contacto de estado (seleccionable) NA/NC - modelo S2C-S/H6R - p/Riel-Din, montaje lateral derecho - marca ABB.</t>
  </si>
  <si>
    <t>1(Q) contacto de estado NA/NC - modelo S2C-H6R - p/Riel-Din, montaje lateral derecho - marca ABB.</t>
  </si>
  <si>
    <t>2CDS200970R0002</t>
  </si>
  <si>
    <t>S2C-H01</t>
  </si>
  <si>
    <t>1(Q) contacto de estado NC - modelo S2C-H01 - p/S200, montaje integrado inferior - marca ABB.</t>
  </si>
  <si>
    <t>2CDS200970R0001</t>
  </si>
  <si>
    <t>S2C-H10x15</t>
  </si>
  <si>
    <t>1(Q) contacto de estado NA - modelo S2C-H10 (x15 unid) - p/S200, montaje integrado inferior - marca ABB.</t>
  </si>
  <si>
    <t>SA1E</t>
  </si>
  <si>
    <t>Dispositivo para bloqueo por candado en palanca de maniobra (bloqueo en posición "abierto" y "cerrado") - para uso con S200/F200 - modelo SA1E - marca ABB (no inluye el candado ni llaves).</t>
  </si>
  <si>
    <t>GJF1101903R0004</t>
  </si>
  <si>
    <t>OVR-T2_40-440_P-QS_1P</t>
  </si>
  <si>
    <t>Protector de sobretensiones (Tipo 2) - OVR-T2_40-440_P-QS_1P - Un=230/400V, Uc=440V, Up=1.8kV - I_descarga=40kA - marca ABB.</t>
  </si>
  <si>
    <t>2CTB803871R1200</t>
  </si>
  <si>
    <t xml:space="preserve">OVR T1-T2 3L 12.5-275s P TS QS </t>
  </si>
  <si>
    <t>Protector de sobretensiones (Tipo 1+2) - OVR T1-T2 3L 12.5-275s P TS QS - Un=230/400V,  Uc=275V, Up=1.4kV - I_descarga=80kA - marca ABB.</t>
  </si>
  <si>
    <t>2CTB815710R0600</t>
  </si>
  <si>
    <t>Protector de sobretensiones (Tipo 2) - OVR-T2_3N_40-440_P-QS_3P+N - Un=400/690V, Uc=440/760V, Up=2.1kV - I_descarga=40kA - marca ABB.</t>
  </si>
  <si>
    <t>OVR T2 3L 40-275 P QS</t>
  </si>
  <si>
    <t>Protector de sobretensiones (Tipo 2) - OVR-T2_3N_40-275_P_3P -  Uc=275V, Up=1.25kV - I_descarga=40kA - marca ABB.</t>
  </si>
  <si>
    <t>2CTB803873R2400</t>
  </si>
  <si>
    <t>OVR T2 3L 40-440 P QS</t>
  </si>
  <si>
    <t>Protector de sobretensiones (Tipo 2) - OVR-T2_3N_40-440_P_3P -  Uc=440V, Up=1.8kV - I_descarga=40kA - marca ABB.</t>
  </si>
  <si>
    <t>2CTB803873R2800</t>
  </si>
  <si>
    <t>OVRH  TIPO 1 (UL)</t>
  </si>
  <si>
    <t>OVRHSP802203Y</t>
  </si>
  <si>
    <t>Supresor contra sobretensiones (Tipo 1, UL 1449) - OVRHSP802203Y - I_max=80kA por fase, Un=220/380V,  MCOV=320V (L-N), VPR=1.2kV (L-N) - marca ABB.</t>
  </si>
  <si>
    <t>2CJB108220Y0000</t>
  </si>
  <si>
    <t>OVRHSP1002203Y</t>
  </si>
  <si>
    <t>Supresor contra sobretensiones (Tipo 1, UL 1449) - OVRHSP1002203Y - I_max=100kA por fase, Un=220/380V,  MCOV=320V (L-N), VPR=1.2kV (L-N) - marca ABB.</t>
  </si>
  <si>
    <t>2CJB110220Y0000</t>
  </si>
  <si>
    <t>OVRHSP1202203Y</t>
  </si>
  <si>
    <t>Supresor contra sobretensiones (Tipo 1, UL 1449) - OVRHSP1202203Y - I_max=120kA por fase, Un=220/380V,  MCOV=320V (L-N), VPR=1.0kV (L-N) - marca ABB.</t>
  </si>
  <si>
    <t>2CJB112220Y0000</t>
  </si>
  <si>
    <t>OVRHSP2402203Y</t>
  </si>
  <si>
    <t>Supresor contra sobretensiones (Tipo 1, UL 1449) - OVRHSP2402203Y - I_max=240kA por fase, Un=220/380V,  MCOV=320V (L-N), VPR=1.2kV (L-N) - marca ABB.</t>
  </si>
  <si>
    <t>2CJB124220Y0000</t>
  </si>
  <si>
    <t>OVRHSP3002203Y</t>
  </si>
  <si>
    <t>Supresor contra sobretensiones (Tipo 1, UL 1449) - OVRHSP3002203Y - I_max=300kA por fase, Un=220/380V,  MCOV=320V (L-N), VPR=1.2kV (L-N) - marca ABB.</t>
  </si>
  <si>
    <t>2CJB130220Y0000</t>
  </si>
  <si>
    <t>OVRHSP4002203Y</t>
  </si>
  <si>
    <t>Supresor contra sobretensiones (Tipo 1, UL 1449) - OVRHSP4002203Y - I_max=400kA por fase, Un=220/380V,  MCOV=320V (L-N), VPR=1.2kV (L-N) - marca ABB.</t>
  </si>
  <si>
    <t>2CJB140220Y0000</t>
  </si>
  <si>
    <t>OVRH  TIPO 2 (UL)</t>
  </si>
  <si>
    <t>OVRHTE252203Y</t>
  </si>
  <si>
    <t>2CJB302220Y0000</t>
  </si>
  <si>
    <t>OVRHTE502203Y</t>
  </si>
  <si>
    <t>2CJB305220Y0000</t>
  </si>
  <si>
    <t>RD2</t>
  </si>
  <si>
    <t>Relé de protección diferencial RD2 - Reg.: 0.03 - 0.1 - 0.3 - 0.5 - 1 - 2A - Ue=230-400 Vac - marca ABB.</t>
  </si>
  <si>
    <t>2CSM142120R1201</t>
  </si>
  <si>
    <t>RD2-48</t>
  </si>
  <si>
    <t>Relé de protección diferencial RD2-48 - Reg.: 0.03 - 0.1 - 0.3 - 0.5 - 1 - 2A - Ue=48-150 Vac/dc - marca ABB.</t>
  </si>
  <si>
    <t>2CSM242120R1201</t>
  </si>
  <si>
    <t>ELR48P</t>
  </si>
  <si>
    <t>Relé de protección diferencial p/cuadro ELR48P - Reg.: 0.03..30A - Ue=110/230 Vac, 48x48mm (HxW). - marca ABB.</t>
  </si>
  <si>
    <t>2CSG252211R1202</t>
  </si>
  <si>
    <t>M2M_Modbus</t>
  </si>
  <si>
    <t>Medidor multifunción + Analizador de Redes - Modelo M2M - presición 0.5%, tensión auxiliar 24-240Vac/dc - RS485, Modbus RTU - marca ABB.</t>
  </si>
  <si>
    <t>2CSG299893R4052</t>
  </si>
  <si>
    <t>BREAKERS AND SWITCHES</t>
  </si>
  <si>
    <t>A1N/P125-20A-1P-TMF</t>
  </si>
  <si>
    <t>1SDA066686R1</t>
  </si>
  <si>
    <t>A1N/P125-40A-1P-TMF</t>
  </si>
  <si>
    <t>ITM Caja Moldeada 1x40A - A1N/P125-40A-1P-TMF - 25kA@230V, 5kA@400V - marca ABB.</t>
  </si>
  <si>
    <t>1SDA066689R1</t>
  </si>
  <si>
    <t>A1N/P125-50A-1P-TMF</t>
  </si>
  <si>
    <t>ITM Caja Moldeada 1x50A - A1N/P125-50A-1P-TMF - 25kA@230V, 5kA@400V - marca ABB.</t>
  </si>
  <si>
    <t>1SDA066690R1</t>
  </si>
  <si>
    <t>ITM Caja Moldeada 3x15A - A1C125-15A-3P-TMF - 30kA@230Vac, 25kA@400Vac, 5kA@125Vdc - marca ABB.</t>
  </si>
  <si>
    <t>ITM Caja Moldeada 3x20A - A1C125-20A-3P-TMF - 30kA@230Vac, 25kA@400Vac, 5kA@125Vdc - marca ABB.</t>
  </si>
  <si>
    <t>ITM Caja Moldeada 3x25A - A1C125-25A-3P-TMF - 30kA@230Vac, 25kA@400Vac, 5kA@125Vdc - marca ABB.</t>
  </si>
  <si>
    <t>ITM Caja Moldeada 3x32A - A1C125-32A-3P-TMF - 30kA@230Vac, 25kA@400Vac, 5kA@125Vdc - marca ABB.</t>
  </si>
  <si>
    <t>ITM Caja Moldeada 3x40A - A1C125-40A-3P-TMF - 30kA@230Vac, 25kA@400Vac, 5kA@125Vdc - marca ABB.</t>
  </si>
  <si>
    <t>ITM Caja Moldeada 3x50A - A1C125-50A-3P-TMF - 30kA@230Vac, 25kA@400Vac, 5kA@125Vdc - marca ABB.</t>
  </si>
  <si>
    <t>ITM Caja Moldeada 3x63A - A1C125-63A-3P-TMF - 30kA@230Vac, 25kA@400Vac, 5kA@125Vdc - marca ABB.</t>
  </si>
  <si>
    <t>ITM Caja Moldeada 3x70A - A1C125-70A-3P-TMF - 30kA@230Vac, 25kA@400Vac, 5kA@125Vdc - marca ABB.</t>
  </si>
  <si>
    <t>ITM Caja Moldeada 3x80A - A1C125-80A-3P-TMF - 30kA@230Vac, 25kA@400Vac, 5kA@125Vdc - marca ABB.</t>
  </si>
  <si>
    <t>ITM Caja Moldeada 3x90A - A1C125-90A-3P-TMF - 30kA@230Vac, 25kA@400Vac, 5kA@125Vdc - marca ABB.</t>
  </si>
  <si>
    <t>ITM Caja Moldeada 3x100A - A1C125-100A-3P-TMF - 30kA@230Vac, 25kA@400Vac, 5kA@125Vdc - marca ABB.</t>
  </si>
  <si>
    <t>ITM Caja Moldeada 3x125A - A1C125-125A-3P-TMF - 30kA@230Vac, 25kA@400Vac, 5kA@125Vdc - marca ABB.</t>
  </si>
  <si>
    <t>A1N125-20A-3P-TMF</t>
  </si>
  <si>
    <t>ITM Caja Moldeada 3x20A - A1N125-20A-3P-TMF - 50kA@230V, 36kA@400V - marca ABB.</t>
  </si>
  <si>
    <t>1SDA066722R1</t>
  </si>
  <si>
    <t>A1N125-25A-3P-TMF</t>
  </si>
  <si>
    <t>ITM Caja Moldeada 3x25A - A1N125-25A-3P-TMF - 50kA@230V, 36kA@400V - marca ABB.</t>
  </si>
  <si>
    <t>1SDA066723R1</t>
  </si>
  <si>
    <t>A1N125-32A-3P-TMF</t>
  </si>
  <si>
    <t>ITM Caja Moldeada 3x32A - A1N125-32A-3P-TMF - 50kA@230V, 36kA@400V - marca ABB.</t>
  </si>
  <si>
    <t>1SDA068760R1</t>
  </si>
  <si>
    <t>A1N125-40A-3P-TMF</t>
  </si>
  <si>
    <t>ITM Caja Moldeada 3x40A - A1N125-40A-3P-TMF - 50kA@230V, 36kA@400V - marca ABB.</t>
  </si>
  <si>
    <t>1SDA066725R1</t>
  </si>
  <si>
    <t>A1N125-50A-3P-TMF</t>
  </si>
  <si>
    <t>ITM Caja Moldeada 3x50A - A1N125-50A-3P-TMF - 50kA@230V, 36kA@400V - marca ABB.</t>
  </si>
  <si>
    <t>1SDA066726R1</t>
  </si>
  <si>
    <t>A1N125-63A-3P-TMF</t>
  </si>
  <si>
    <t>ITM Caja Moldeada 3x63A - A1N125-63A-3P-TMF - 50kA@230V, 36kA@400V - marca ABB.</t>
  </si>
  <si>
    <t>1SDA068771R1</t>
  </si>
  <si>
    <t>A1N125-70A-3P-TMF</t>
  </si>
  <si>
    <t>ITM Caja Moldeada 3x70A - A1N125-70A-3P-TMF - 50kA@230V, 36kA@400V - marca ABB.</t>
  </si>
  <si>
    <t>1SDA066728R1</t>
  </si>
  <si>
    <t>A1N125-80A-3P-TMF</t>
  </si>
  <si>
    <t>ITM Caja Moldeada 3x80A - A1N125-80A-3P-TMF - 50kA@230V, 36kA@400V - marca ABB.</t>
  </si>
  <si>
    <t>1SDA066729R1</t>
  </si>
  <si>
    <t>A1N125-90A-3P-TMF</t>
  </si>
  <si>
    <t>ITM Caja Moldeada 3x90A - A1N125-90A-3P-TMF - 50kA@230V, 36kA@400V - marca ABB.</t>
  </si>
  <si>
    <t>1SDA066730R1</t>
  </si>
  <si>
    <t>A1N125-100A-3P-TMF</t>
  </si>
  <si>
    <t>ITM Caja Moldeada 3x100A - A1N125-100A-3P-TMF - 50kA@230V, 36kA@400V - marca ABB.</t>
  </si>
  <si>
    <t>1SDA066731R1</t>
  </si>
  <si>
    <t>A1N125-125A-3P-TMF</t>
  </si>
  <si>
    <t>ITM Caja Moldeada 3x125A - A1N125-125A-3P-TMF - 50kA@230V, 36kA@400V - marca ABB.</t>
  </si>
  <si>
    <t>1SDA066732R1</t>
  </si>
  <si>
    <t>1SDA068762R1</t>
  </si>
  <si>
    <t>1SDA068773R1</t>
  </si>
  <si>
    <t>A1N125-20A-4P-TMF</t>
  </si>
  <si>
    <t>ITM Caja Moldeada 4x20A - A1N125-20A-4P-TMF - 50kA@230V, 36kA@400V - marca ABB.</t>
  </si>
  <si>
    <t>1SDA066758R1</t>
  </si>
  <si>
    <t>A1N125-25A-4P-TMF</t>
  </si>
  <si>
    <t>ITM Caja Moldeada 4x25A - A1N125-25A-4P-TMF - 50kA@230V, 36kA@400V - marca ABB.</t>
  </si>
  <si>
    <t>1SDA066759R1</t>
  </si>
  <si>
    <t>A1N125-32A-4P-TMF</t>
  </si>
  <si>
    <t>ITM Caja Moldeada 4x32A - A1N125-32A-4P-TMF - 50kA@230V, 36kA@400V - marca ABB.</t>
  </si>
  <si>
    <t>1SDA068764R1</t>
  </si>
  <si>
    <t>A1N125-40A-4P-TMF</t>
  </si>
  <si>
    <t>ITM Caja Moldeada 4x40A - A1N125-40A-4P-TMF - 50kA@230V, 36kA@400V - marca ABB.</t>
  </si>
  <si>
    <t>1SDA066761R1</t>
  </si>
  <si>
    <t>A1N125-50A-4P-TMF</t>
  </si>
  <si>
    <t>ITM Caja Moldeada 4x50A - A1N125-50A-4P-TMF - 50kA@230V, 36kA@400V - marca ABB.</t>
  </si>
  <si>
    <t>1SDA066762R1</t>
  </si>
  <si>
    <t>A1N125-63A-4P-TMF</t>
  </si>
  <si>
    <t>ITM Caja Moldeada 4x63A - A1N125-63A-4P-TMF - 50kA@230V, 36kA@400V - marca ABB.</t>
  </si>
  <si>
    <t>1SDA068775R1</t>
  </si>
  <si>
    <t>A1N125-70A-4P-TMF</t>
  </si>
  <si>
    <t>ITM Caja Moldeada 4x70A - A1N125-70A-4P-TMF - 50kA@230V, 36kA@400V - marca ABB.</t>
  </si>
  <si>
    <t>1SDA066764R1</t>
  </si>
  <si>
    <t>A1N125-80A-4P-TMF</t>
  </si>
  <si>
    <t>ITM Caja Moldeada 4x80A - A1N125-80A-4P-TMF - 50kA@230V, 36kA@400V - marca ABB.</t>
  </si>
  <si>
    <t>1SDA066765R1</t>
  </si>
  <si>
    <t>A1N125-90A-4P-TMF</t>
  </si>
  <si>
    <t>ITM Caja Moldeada 4x90A - A1N125-90A-4P-TMF - 50kA@230V, 36kA@400V - marca ABB.</t>
  </si>
  <si>
    <t>1SDA066766R1</t>
  </si>
  <si>
    <t>A1N125-100A-4P-TMF</t>
  </si>
  <si>
    <t>ITM Caja Moldeada 4x100A - A1N125-100A-4P-TMF - 50kA@230V, 36kA@400V - marca ABB.</t>
  </si>
  <si>
    <t>1SDA066767R1</t>
  </si>
  <si>
    <t>1(Q) contacto conmutado de estado (NA/NC) / 1(SY) contacto por disparo de interruptor p/ A1, A2 - modelo AUX-C - marca ABB.</t>
  </si>
  <si>
    <t>1(Q) contacto conmutado de estado (NA/NC) + 1(SY) contacto por disparo de interruptor, versión cableada - A1 (2p) - marca ABB.</t>
  </si>
  <si>
    <t>1(Q) contacto conmutado de estado (NA/NC) + 1(SY) contacto por disparo de interruptor, versión cableada - A1..A2 (3p) - marca ABB.</t>
  </si>
  <si>
    <t>1(Q) contacto conmutado de estado (NA/NC) + 1(SY) contacto por disparo de interruptor, versión cableada - A3 - marca ABB.</t>
  </si>
  <si>
    <t>2Q+1SY_A2(2p)</t>
  </si>
  <si>
    <t>2(Q) contacto conmutado de estado (NA/NC) + 1(SY) contacto por disparo de interruptor, versión cableada - A2 (2p) - marca ABB.</t>
  </si>
  <si>
    <t>1SDA066152R1</t>
  </si>
  <si>
    <t>2(Q) contacto conmutado de estado (NA/NC) + 1(SY) contacto por disparo de interruptor, versión cableada - A1-A2 (3p) - marca ABB.</t>
  </si>
  <si>
    <t>3(Q) contacto conmutado de estado (NA/NC) + 1(SY) contacto por disparo de interruptor, versión cableada - A3 - marca ABB.</t>
  </si>
  <si>
    <t>1SDA066172R1</t>
  </si>
  <si>
    <t>PLL-ext_A1-A2</t>
  </si>
  <si>
    <t>Dispositivo para bloqueo por candado, en palanca de maniobra (bloqueo en posición abierto) - para uso con A1/A2 - modelo PLL_ext_A1-A2 - marca ABB (no inluye el candado ni llaves).</t>
  </si>
  <si>
    <t>1SDA066259R1</t>
  </si>
  <si>
    <t>ITM Caja Moldeada 3x16A (reg.[0.7-1.0] In) - XT1B160-16A-3P-TMD - 25kA@230Vac, 18kA@415Vac, 18kA@250Vdc - marca ABB.</t>
  </si>
  <si>
    <t>ITM Caja Moldeada 3x20A (reg.[0.7-1.0] In) - XT1B160-20A-3P-TMD - 25kA@230Vac, 18kA@415Vac, 18kA@250Vdc - marca ABB.</t>
  </si>
  <si>
    <t>ITM Caja Moldeada 3x25A (reg.[0.7-1.0] In)  - XT1B160-25A-3P-TMD - 25kA@230Vac,18kA@415Vac, 18kA@250Vdc - marca ABB.</t>
  </si>
  <si>
    <t>ITM Caja Moldeada 3x32A (reg.[0.7-1.0] In) - XT1B160-32A-3P-TMD - 25kA@230Vac, 18kA@415Vac, 18kA@250Vdc - marca ABB.</t>
  </si>
  <si>
    <t>ITM Caja Moldeada 3x40A (reg.[0.7-1.0] In) - XT1B160-40A-3P-TMD - 25kA@230Vac, 18kA@415Vac, 18kA@250Vdc - marca ABB.</t>
  </si>
  <si>
    <t>ITM Caja Moldeada 3x50A (reg.[0.7-1.0] In) - XT1B160-50A-3P-TMD - 25kA@230Vac, 18kA@415Vac, 18kA@250Vdc - marca ABB.</t>
  </si>
  <si>
    <t>ITM Caja Moldeada 3x63A (reg.[0.7-1.0] In) - XT1B160-63A-3P-TMD - 25kA@230Vac, 18kA@415Vac, 18kA@250Vdc - marca ABB.</t>
  </si>
  <si>
    <t>ITM Caja Moldeada 3x80A (reg.[0.7-1.0] In) - XT1B160-80A-3P-TMD - 25kA@230Vac, 18kA@415Vac, 18kA@250Vdc - marca ABB.</t>
  </si>
  <si>
    <t>ITM Caja Moldeada 3x100A (reg.[0.7-1.0] In) - XT1B160-100A-3P-TMD - 25kA@230Vac, 18kA@415Vac, 18kA@250Vdc - marca ABB.</t>
  </si>
  <si>
    <t>ITM Caja Moldeada 3x125A (reg.[0.7-1.0] In) - XT1B160-125A-3P-TMD - 25kA@230Vac, 18kA@415Vac, 18kA@250Vdc - marca ABB.</t>
  </si>
  <si>
    <t>ITM Caja Moldeada 3x160A (reg.[0.7-1.0] In) - XT1B160-160A-3P-TMD - 25kA@230Vac, 18kA@415Vac, 18kA@250Vdc - marca ABB.</t>
  </si>
  <si>
    <t>XT2N160-32A-3P-MA</t>
  </si>
  <si>
    <t>1SDA067050R1</t>
  </si>
  <si>
    <t>ITM Caja Moldeada 4x160A (reg.[0.7-1.0] In) - XT2N160-160A-4P-TMA - 65kA@230Vac, 36kA@415Vac, 36kA@500Vdc - marca ABB.</t>
  </si>
  <si>
    <t>XT2H160-20A-4P-TMD</t>
  </si>
  <si>
    <t>ITM Caja Moldeada 4x20A (reg.[0.7-1.0] In) - XT2H160-20A-4P-TMD - 100kA@230Vac, 70kA@415Vac - marca ABB.</t>
  </si>
  <si>
    <t>1SDA067616R1</t>
  </si>
  <si>
    <t>ITM Caja Moldeada 4x32A (reg.[0.7-1.0] In) - XT2H160-32A-4P-TMD - 100kA@230Vac, 70kA@415Vac - marca ABB.</t>
  </si>
  <si>
    <t>CAJA MOLDEADA EXTRAIBLE (XT2 160)- 4x100A,  Icu=70kA, Tipo H</t>
  </si>
  <si>
    <t xml:space="preserve">XT2H 160 Ekip LSIG In=100A 4p F F       </t>
  </si>
  <si>
    <t>ITM Caja Moldeada 4x100A (reg.[0.7-1.0] In) - XT2H160-100A-4P-LSIG - 100kA@230Vac, 70kA@415Vac - marca ABB.</t>
  </si>
  <si>
    <t>1SDA067911R1</t>
  </si>
  <si>
    <t xml:space="preserve">XT2 W FP 4p HR                          </t>
  </si>
  <si>
    <t>Kit W PF HR/VR (Parte fija de extraible) - marca ABB.</t>
  </si>
  <si>
    <t>1SDA068203R1</t>
  </si>
  <si>
    <t xml:space="preserve">KIT W MP XT2 4p                         </t>
  </si>
  <si>
    <t>Kit W MP (Kit de transformación interruptor fijo en parte movil de extraible) - marca ABB.</t>
  </si>
  <si>
    <t>1SDA066285R1</t>
  </si>
  <si>
    <t xml:space="preserve">SOR-C XT2-XT4 W 220-240Vac-220-250Vdc   </t>
  </si>
  <si>
    <t>Bobina de disparo (Se utiliza si hay protección diferencial) - marca ABB.</t>
  </si>
  <si>
    <t>1SDA066332R1</t>
  </si>
  <si>
    <t xml:space="preserve">AUX-C 2Q+2SY+1S51 250Vac/dc XT2-XT4 W   </t>
  </si>
  <si>
    <t>Contactos auxiliares - marca ABB.</t>
  </si>
  <si>
    <t>1SDA066439R1</t>
  </si>
  <si>
    <t>ITM Caja Moldeada 4x200A (reg.[0.7-1.0] In) - XT3N250-200A-4P-TMD - 50kA@230Vac, 36kA@415Vac, 36kA@500Vdc - marca ABB.</t>
  </si>
  <si>
    <t>1SDA068096R1</t>
  </si>
  <si>
    <t>XT4N250-200A-3P-MA</t>
  </si>
  <si>
    <t>1SDA068121R1</t>
  </si>
  <si>
    <t>XT4H160-125A-3P-TMA</t>
  </si>
  <si>
    <t>ITM Caja Moldeada 3x125A (reg.[0.7-1.0] In) - XT4H160-125A-3P-TMA - 100kA@230V, 70kA@415V - marca ABB.</t>
  </si>
  <si>
    <t>1SDA068341R1</t>
  </si>
  <si>
    <t>XT4H160-160A-3P-TMA</t>
  </si>
  <si>
    <t>ITM Caja Moldeada 3x160A (reg.[0.7-1.0] In) - XT4H160-160A-3P-TMA - 100kA@230V, 70kA@415V - marca ABB.</t>
  </si>
  <si>
    <t>1SDA068342R1</t>
  </si>
  <si>
    <t>XT4H250-200A-4P-TMA</t>
  </si>
  <si>
    <t>ITM Caja Moldeada 4x200A (reg.[0.7-1.0] In) - XT4H250-200A-4P-TMA - 100kA@230Vac, 70kA@415Vac, 50kA@500Vdc - marca ABB.</t>
  </si>
  <si>
    <t>1SDA068362R1</t>
  </si>
  <si>
    <t>XT4H250-250A-4P-TMA</t>
  </si>
  <si>
    <t>ITM Caja Moldeada 4x250A (reg.[0.7-1.0] In) - XT4H250-250A-4P-TMA - 100kA@230Vac, 70kA@415Vac, 50kA@500Vdc - marca ABB.</t>
  </si>
  <si>
    <t>1SDA068364R1</t>
  </si>
  <si>
    <t>CAJA MOLDEADA EXTRAIBLE (XT4 160)- 4x160A,  Icu=70kA, Tipo H</t>
  </si>
  <si>
    <t xml:space="preserve">XT4H 160 Ekip LSIG In=160A 4p F F       </t>
  </si>
  <si>
    <t>ITM Caja Moldeada 4x160A (reg.[0.7-1.0] In) - XT4H160-160A-4P-LSIG - 100kA@230Vac, 70kA@415Vac - marca ABB.</t>
  </si>
  <si>
    <t>1SDA068549R1</t>
  </si>
  <si>
    <t xml:space="preserve">XT4 W FP 4p HR                          </t>
  </si>
  <si>
    <t>Parte fija de extraible (W) - marca ABB.</t>
  </si>
  <si>
    <t>1SDA068207R1</t>
  </si>
  <si>
    <t xml:space="preserve">KIT P MP XT4 4p                         </t>
  </si>
  <si>
    <t>Kit de tranformación de fijo a parte móvil de enchufable - marca ABB.</t>
  </si>
  <si>
    <t>1SDA066283R1</t>
  </si>
  <si>
    <t xml:space="preserve">KIT W MP XT4 4p                         </t>
  </si>
  <si>
    <t>Kit de transformación de la parte móvil de versión enchufable en parte móvil de versión extraíble - marca ABB.</t>
  </si>
  <si>
    <t>1SDA066287R1</t>
  </si>
  <si>
    <t>Relé de apertura - marca ABB.</t>
  </si>
  <si>
    <t>Contactos Auxiliares - marca ABB.</t>
  </si>
  <si>
    <t>CAJA MOLDEADA EXTRAIBLE (XT4 250)- 4x250A,  Icu=70kA, Tipo H</t>
  </si>
  <si>
    <t xml:space="preserve">XT4H 250 Ekip LSIG In=250A 4p F F       </t>
  </si>
  <si>
    <t>ITM Caja Moldeada 4x250A (reg.[0.7-1.0] In) - XT4H250-250A-4P-LSIG - 100kA@230Vac, 70kA@415Vac, 50kA@500Vdc - marca ABB.</t>
  </si>
  <si>
    <t>1SDA068550R1</t>
  </si>
  <si>
    <t>XT2L160-63A-4P-Ekip LS/I</t>
  </si>
  <si>
    <t>ITM Caja Moldeada 4x63A (electrónico [0.4-1.0] In) - XT2L160-63A-4P-Ekip LS/I - 120kA@415Vac - marca ABB.</t>
  </si>
  <si>
    <t>1SDA067949R1</t>
  </si>
  <si>
    <t>XT2L160-100A-4P-Ekip LS/I</t>
  </si>
  <si>
    <t>ITM Caja Moldeada 4x100A (electrónico [0.4-1.0] In) - XT2L160-100A-4P-Ekip LS/I - 120kA@415Vac - marca ABB.</t>
  </si>
  <si>
    <t>1SDA067950R1</t>
  </si>
  <si>
    <t>XT2L160-160A-4P-Ekip LS/I</t>
  </si>
  <si>
    <t>ITM Caja Moldeada 4x160A (electrónico [0.4-1.0] In) - XT2L160-160A-4P-Ekip LS/I - 120kA@415Vac - marca ABB.</t>
  </si>
  <si>
    <t>1SDA067952R1</t>
  </si>
  <si>
    <t>XT4L160-100A-4P-Ekip LS/I</t>
  </si>
  <si>
    <t>ITM Caja Moldeada 4x100A (electrónico [0.4-1.0] In) - XT4L160-100A-4P-Ekip LS/I - 120kA@415Vac - marca ABB.</t>
  </si>
  <si>
    <t>1SDA068573R1</t>
  </si>
  <si>
    <t>XT4L160-160A-4P-Ekip LS/I</t>
  </si>
  <si>
    <t>ITM Caja Moldeada 4x160A (electrónico [0.4-1.0] In) - XT4L160-160A-4P-Ekip LS/I - 120kA@415Vac - marca ABB.</t>
  </si>
  <si>
    <t>1SDA068574R1</t>
  </si>
  <si>
    <t>XT4L250-250A-4P-Ekip LS/I</t>
  </si>
  <si>
    <t>ITM Caja Moldeada 4x250A (electrónico [0.4-1.0] In) - XT4L250-250A-4P-Ekip LS/I - 120kA@415Vac - marca ABB.</t>
  </si>
  <si>
    <t>1SDA068575R1</t>
  </si>
  <si>
    <t>XT4S160-63A-3P-Ekip LSI</t>
  </si>
  <si>
    <t>ITM Caja Moldeada 3x63A (electrónico [0.4-1.0] In) - XT4S160-63A-3P-Ekip LSI - 85kA@230Vac, 50kA@415Vac - marca ABB.</t>
  </si>
  <si>
    <t>1SDA068482R1</t>
  </si>
  <si>
    <t>ITM Caja Moldeada 3x160A (electrónico [0.4-1.0] In) - XT4N160-160A-3P-Ekip LSI - 65kA@230Vac, 36kA@415Vac - marca ABB.</t>
  </si>
  <si>
    <t>XT2N160-63A-4P-Ekip LSIG</t>
  </si>
  <si>
    <t>ITM Caja Moldeada 4x63A (electrónico [0.4-1.0] In) - XT2N160-63A-4P-Ekip LSIG - 65kA@230Vac, 36kA@415Vac - marca ABB.</t>
  </si>
  <si>
    <t>1SDA067110R1</t>
  </si>
  <si>
    <t>XT2N160-100A-4P-Ekip LSIG</t>
  </si>
  <si>
    <t>ITM Caja Moldeada 4x100A (electrónico [0.4-1.0] In) - XT2N160-100A-4P-Ekip LSIG - 65kA@230Vac, 36kA@415Vac - marca ABB.</t>
  </si>
  <si>
    <t>1SDA067111R1</t>
  </si>
  <si>
    <t>XT2S160-63A-4P-Ekip LSIG</t>
  </si>
  <si>
    <t>ITM Caja Moldeada 4x63A (electrónico [0.4-1.0] In) - XT2S160-63A-4P-Ekip LSIG - 85kA@230Vac, 50kA@415Vac - marca ABB.</t>
  </si>
  <si>
    <t>1SDA067853R1</t>
  </si>
  <si>
    <t>XT2S160-100A-4P-Ekip LSIG</t>
  </si>
  <si>
    <t>ITM Caja Moldeada 4x100A (electrónico [0.4-1.0] In) - XT2S160-100A-4P-Ekip LSIG - 85kA@230Vac, 50kA@415Vac - marca ABB.</t>
  </si>
  <si>
    <t>1SDA067854R1</t>
  </si>
  <si>
    <t>XT2S160-160A-4P-Ekip LSIG</t>
  </si>
  <si>
    <t>ITM Caja Moldeada 4x160A (electrónico [0.4-1.0] In) - XT2S160-160A-4P-Ekip LSIG - 85kA@230Vac, 50kA@415Vac - marca ABB.</t>
  </si>
  <si>
    <t>1SDA067856R1</t>
  </si>
  <si>
    <t>XT4S160-100A-3P-Ekip LSIG</t>
  </si>
  <si>
    <t>ITM Caja Moldeada 3x100A (electrónico [0.4-1.0] In) - XT4S160-100A-3P-Ekip LSIG - 85kA@230Vac, 50kA@415Vac - marca ABB.</t>
  </si>
  <si>
    <t>1SDA068488R1</t>
  </si>
  <si>
    <t>XT4N160-63A-4P-Ekip LSIG</t>
  </si>
  <si>
    <t>ITM Caja Moldeada 4x63A (electrónico [0.4-1.0] In) - XT4N160-63A-4P-Ekip LSIG - 65kA@230Vac, 36kA@415Vac - marca ABB.</t>
  </si>
  <si>
    <t>1SDA068159R1</t>
  </si>
  <si>
    <t>XT4N160-100A-4P-Ekip LSIG</t>
  </si>
  <si>
    <t>ITM Caja Moldeada 4x100A (electrónico [0.4-1.0] In) - XT4N160-100A-4P-Ekip LSIG - 65kA@230Vac, 36kA@415Vac - marca ABB.</t>
  </si>
  <si>
    <t>1SDA068160R1</t>
  </si>
  <si>
    <t>XT4N160-160A-4P-Ekip LSIG</t>
  </si>
  <si>
    <t>ITM Caja Moldeada 4x160A (electrónico [0.4-1.0] In) - XT4N160-160A-4P-Ekip LSIG - 65kA@230Vac, 36kA@415Vac - marca ABB.</t>
  </si>
  <si>
    <t>1SDA068161R1</t>
  </si>
  <si>
    <t>XT4S160-100A-4P-Ekip LSIG</t>
  </si>
  <si>
    <t>ITM Caja Moldeada 4x100A (electrónico [0.4-1.0] In) - XT4S160-100A-4P-Ekip LSIG - 85kA@230Vac, 50kA@415Vac - marca ABB.</t>
  </si>
  <si>
    <t>1SDA068508R1</t>
  </si>
  <si>
    <t>XT4S160-160A-4P-Ekip LSIG</t>
  </si>
  <si>
    <t>ITM Caja Moldeada 4x160A (electrónico [0.4-1.0] In) - XT4S160-160A-4P-Ekip LSIG - 85kA@230Vac, 50kA@415Vac - marca ABB.</t>
  </si>
  <si>
    <t>1SDA068509R1</t>
  </si>
  <si>
    <t>XT4N250-250A-3P-Ekip LSIG</t>
  </si>
  <si>
    <t>ITM Caja Moldeada 3x250A (electrónico [0.4-1.0] In) - XT4N250-250A-3P-Ekip LSIG - 65kA@230Vac, 36kA@415Vac - marca ABB.</t>
  </si>
  <si>
    <t>1SDA068141R1</t>
  </si>
  <si>
    <t>XT4N250-250A-4P-Ekip LSIG</t>
  </si>
  <si>
    <t>ITM Caja Moldeada 4x250A (electrónico [0.4-1.0] In) - XT4N250-250A-4P-Ekip LSIG - 65kA@230Vac, 36kA@415Vac - marca ABB.</t>
  </si>
  <si>
    <t>1SDA068162R1</t>
  </si>
  <si>
    <t>YO_XT1..XT4_120V</t>
  </si>
  <si>
    <t>Bobina de apertura (YO) - XT1..XT4 - SOR versión no cableada - 110-125V AC/DC - marca ABB.</t>
  </si>
  <si>
    <t>1SDA066316R1</t>
  </si>
  <si>
    <t>YU_XT1..XT4_48V</t>
  </si>
  <si>
    <t>Bobina de mínima tensión (YU) - XT1..XT4 - UVR versión no cableada - 48V AC/DC - marca ABB.</t>
  </si>
  <si>
    <t>1SDA069064R1</t>
  </si>
  <si>
    <t>1(Q) contacto conmutado de estado (NA/NC) / 1(SY) contacto por disparo de interruptor - XT1..XT4 - versión no cableada - marca ABB.</t>
  </si>
  <si>
    <t>1(Q) contacto conmutado de estado (NA/NC) + 1(SY) contacto por disparo de interruptor - XT1..XT4 - versión cableada - marca ABB.</t>
  </si>
  <si>
    <t>2(Q) contacto conmutado de estado (NA/NC) + 1(SY) contacto por disparo de interruptor - XT1..XT4 - versión cableada - marca ABB.</t>
  </si>
  <si>
    <t>3(Q) contacto conmutado de estado (NA/NC) - XT1 - versión cableada (izquierdo) - marca ABB.</t>
  </si>
  <si>
    <t>3(Q) contacto conmutado de estado (NA/NC) - XT2-XT4 - versión cableada (izquierdo) - marca ABB.</t>
  </si>
  <si>
    <t>3(Q) contacto conmutado de estado (NA/NC) - XT3 - versión cableada (izquierdo) - marca ABB.</t>
  </si>
  <si>
    <t>RC_Inst_XT1-3p</t>
  </si>
  <si>
    <t>Bloque relé diferencial para XT1-3p - modelo RC_Inst_XT1-3p - Reg.: 0.03 - 0.1 - 0.3 - 0.5 - 1 - 3A - marca ABB.</t>
  </si>
  <si>
    <t>RC_Inst_XT3-3p</t>
  </si>
  <si>
    <t>Bloque relé diferencial para XT3-3p - modelo RC_Inst_XT3-3p - Reg.: 0.03 - 0.1 - 0.3 - 0.5 - 1 - 3A - marca ABB.</t>
  </si>
  <si>
    <t>RC_Sel_XT2-4p</t>
  </si>
  <si>
    <t>Bloque relé diferencial para XT2-4p - modelo RC_Sel_XT2-4p - Reg.: 0.03 ... 10A - marca ABB.</t>
  </si>
  <si>
    <t>1SDA067126R1</t>
  </si>
  <si>
    <t>RC_Sel_XT4-4p</t>
  </si>
  <si>
    <t>Bloque relé diferencial para XT4-4p - modelo RC_Sel_XT4-4p - Reg.: 0.03 ... 10A - marca ABB.</t>
  </si>
  <si>
    <t>1SDA067131R1</t>
  </si>
  <si>
    <t>Mando giratorio reenviado - RHE (sobre puerta) normal para fijo y enchufable - p/modelo XT1-XT3, marca ABB.</t>
  </si>
  <si>
    <t>Mando giratorio reenviado - RHE (sobre puerta) normal para fijo y enchufable - p/modelo XT2-XT4, marca ABB.</t>
  </si>
  <si>
    <t>IP54_RHE_XT1..XT4</t>
  </si>
  <si>
    <t>Protección IP-54 para mando giratorio reenviado - RHE (sobre puerta) - p/modelo XT1..XT4, marca ABB.</t>
  </si>
  <si>
    <t>1SDA066587R1</t>
  </si>
  <si>
    <t>PLL_XT1-XT3</t>
  </si>
  <si>
    <t>Dispositivo para bloqueo por candado, fijo en interruptor (bloqueo en posición abierto) - p/modelo XT1-XT3 - marca ABB (no inluye el candado ni llaves).</t>
  </si>
  <si>
    <t>1SDA066589R1</t>
  </si>
  <si>
    <t>PLL_XT2-XT4</t>
  </si>
  <si>
    <t>Dispositivo para bloqueo por candado, fijo en interruptor (bloqueo en posición abierto) - p/modelo XT2-XT4 - marca ABB (no inluye el candado ni llaves).</t>
  </si>
  <si>
    <t>1SDA066590R1</t>
  </si>
  <si>
    <t>1SDA066171R1</t>
  </si>
  <si>
    <t>Ekip-Com_XT2-XT4</t>
  </si>
  <si>
    <t>Módulo de comunicación Ekip-Com (protocolo Modbus RTU) - p/ relé Ekip p/modelo XT2 / XT4 - marca ABB.</t>
  </si>
  <si>
    <t>1SDA068661R1</t>
  </si>
  <si>
    <t>KIT MC - XT2</t>
  </si>
  <si>
    <t>MC Terminales Multicable 6x (2,5….35mm2 ), 4 unidades, - p/modelo XT2.</t>
  </si>
  <si>
    <t>1SDA066926R1</t>
  </si>
  <si>
    <t>KIT MC - XT4</t>
  </si>
  <si>
    <t>MC Terminales Multicable 6x (2,5….35mm2 ), 4 unidades, - p/modelo XT4.</t>
  </si>
  <si>
    <t>1SDA066934R1</t>
  </si>
  <si>
    <t>T4N250-250A-3P-TMA</t>
  </si>
  <si>
    <t>1SDA054179R1</t>
  </si>
  <si>
    <t>T4N250-160A-4P-TMA</t>
  </si>
  <si>
    <t>1SDA054272R1</t>
  </si>
  <si>
    <t>T4N250-200A-4P-TMA</t>
  </si>
  <si>
    <t>1SDA054273R1</t>
  </si>
  <si>
    <t>T4N250-250A-4P-TMA</t>
  </si>
  <si>
    <t>1SDA054274R1</t>
  </si>
  <si>
    <t>T6N630-630A-3P-TMA</t>
  </si>
  <si>
    <t>1SDA060202R1</t>
  </si>
  <si>
    <t>T5N400-320A-3P-PR221DS-LS/I</t>
  </si>
  <si>
    <t>ITM Caja Moldeada 3x320A (electrónico [0.4-1.0] In) - T5N400-320A-3P-PR221DS-LS/I - 70kA@230Vac, 36kA@415Vac - marca ABB.</t>
  </si>
  <si>
    <t>1SDA054316R1</t>
  </si>
  <si>
    <t>CAJA MOLDEADA EXTRAIBLE (T5 400)- 4x400A,  Icu=70kA, Tipo H</t>
  </si>
  <si>
    <t xml:space="preserve">T5H 400 PR222DS/P-LSIG In=400 4p F F    </t>
  </si>
  <si>
    <t>ITM Caja Moldeada 4x400A (electrónico [0.4-1.0] In) - T5H400-400A-4P--LSIG - 100kA@230Vac, 70kA@415Vac - marca ABB.</t>
  </si>
  <si>
    <t>1SDA054363R1</t>
  </si>
  <si>
    <t xml:space="preserve">T5 400 W FP 4p EF                       </t>
  </si>
  <si>
    <t>Parte Fija - T5 400 W FP EF - marca ABB.</t>
  </si>
  <si>
    <t>1SDA054758R1</t>
  </si>
  <si>
    <t xml:space="preserve">KIT MP T5 400 W 4p                      </t>
  </si>
  <si>
    <t>Kit de transformación de fijo en parte móvil de extraible T4, … , T7 - marca ABB.</t>
  </si>
  <si>
    <t>1SDA054846R1</t>
  </si>
  <si>
    <t xml:space="preserve">KIT FLD for RC T4-T5 W 4p &lt;MP P         </t>
  </si>
  <si>
    <t>Kit de transformación de parte movil de enchufable en parte móvil de extraible … - marca ABB.</t>
  </si>
  <si>
    <t>1SDA055366R1</t>
  </si>
  <si>
    <t>CAJA MOLDEADA EXTRAIBLE (T5 630)- 4x630A,  Icu=70kA, Tipo H</t>
  </si>
  <si>
    <t xml:space="preserve">T5H 630 PR222DS/P-LSIG In=400 4p F F    </t>
  </si>
  <si>
    <t>ITM Caja Moldeada 4x630A (electrónico [0.4-1.0] In) - T5H630-630A-4P--LSIG - 100kA@230Vac, 70kA@415Vac - marca ABB.</t>
  </si>
  <si>
    <t>1SDA054419R1</t>
  </si>
  <si>
    <t xml:space="preserve">T5 630 W FP 4p EF                       </t>
  </si>
  <si>
    <t>Parte Fija - T5 630 W FP EF - marca ABB.</t>
  </si>
  <si>
    <t>1SDA054771R1</t>
  </si>
  <si>
    <t xml:space="preserve">KIT MP T5 630 W 4p                      </t>
  </si>
  <si>
    <t>1SDA054850R1</t>
  </si>
  <si>
    <t>T6N630-630A-3P-PR221DS-LS/I</t>
  </si>
  <si>
    <t>ITM Caja Moldeada 3x630A (electrónico [0.4-1.0] In) - T6N630-630A-3P-PR221DS-LS/I - 70kA@230Vac, 36kA@415Vac - marca ABB.</t>
  </si>
  <si>
    <t>1SDA060226R1</t>
  </si>
  <si>
    <t>T6H800-800A-3P-PR221DS-LS/I</t>
  </si>
  <si>
    <t>ITM Caja Moldeada 3x800A (electrónico [0.4-1.0] In) - T6H800-800A-3P-PR221DS-LS/I - 100kA@230Vac, 70kA@415Vac - marca ABB.</t>
  </si>
  <si>
    <t>1SDA060289R1</t>
  </si>
  <si>
    <t>CAJA MOLDEADA EXTRAIBLE - 4x800A,  Icu=70kA, Tipo H</t>
  </si>
  <si>
    <t xml:space="preserve">T6H 800 PR222DS/P-LSIG In=800 4p F F    </t>
  </si>
  <si>
    <t>ITM Caja Moldeada 4x800A (electrónico [0.4-1.0] In) - T6H800-800A-4P-LSIG - 100kA@230Vac, 70kA@415Vac - marca ABB.</t>
  </si>
  <si>
    <t>1SDA060297R1</t>
  </si>
  <si>
    <t xml:space="preserve">T6 W FP 4p EF                           </t>
  </si>
  <si>
    <t>T6 630/800 W FP EF  marca ABB.</t>
  </si>
  <si>
    <t>1SDA060387R1</t>
  </si>
  <si>
    <t xml:space="preserve">KIT MP T6 630/800 W 4p                  </t>
  </si>
  <si>
    <t>Kit de transformación de fijo en parte móvil de extraible T4, … , T7  marca ABB.</t>
  </si>
  <si>
    <t>1SDA060391R1</t>
  </si>
  <si>
    <t>T7S1000-1000A-3P-PR231 P-LS/I</t>
  </si>
  <si>
    <t>1SDA062738R1</t>
  </si>
  <si>
    <t>T7S1000-1000A-4P-PR231 P-LS/I</t>
  </si>
  <si>
    <t>ITM Caja Moldeada 4x1000A (electrónico [0.4-1.0] In) - T7S1000-1000A-4P-PR231 P-LS/I - 50kA@415Vac - marca ABB.</t>
  </si>
  <si>
    <t>1SDA062746R1</t>
  </si>
  <si>
    <t>T7S1600-1600A-4P-PR231 P-LS/I</t>
  </si>
  <si>
    <t>ITM Caja Moldeada 4x1600A (electrónico [0.4-1.0] In) - T7S1600-1600A-4P-PR231 P-LS/I - 50kA@415Vac - marca ABB.</t>
  </si>
  <si>
    <t>1SDA063002R1</t>
  </si>
  <si>
    <t>T7L1000-1000A-3P-PR221 P-LS/I</t>
  </si>
  <si>
    <t>ITM Caja Moldeada 3x1000A (electrónico [0.4-1.0] In) - T7L1000-1000A-3P-PR221 P-LS/I - 120kA@415Vac - marca ABB.</t>
  </si>
  <si>
    <t>1SDA060574R1</t>
  </si>
  <si>
    <t>T7S1000(M)-1000A-3P-PR231 P-LS/I</t>
  </si>
  <si>
    <t>ITM Caja Moldeada 3x1000A (electrónico [0.4-1.0] In) - T7S1000-1000A-3P-PR231 P-LS/I (Motorizable) - 50kA@415Vac - marca ABB.</t>
  </si>
  <si>
    <t>1SDA062754R1</t>
  </si>
  <si>
    <t>T7S1000(M)-1000A-4P-PR231 P-LS/I</t>
  </si>
  <si>
    <t>ITM Caja Moldeada 4x1000A (electrónico [0.4-1.0] In) - T7S1000-1000A-4P-PR231 P-LS/I (Motorizable) - 50kA@415Vac - marca ABB.</t>
  </si>
  <si>
    <t>1SDA062762R1</t>
  </si>
  <si>
    <t>T7S1600(M)-1600A-4P-PR231 P-LS/I</t>
  </si>
  <si>
    <t>ITM Caja Moldeada 4x1600A (electrónico [0.4-1.0] In) - T7S1600-1600A-4P-PR231 P-LS/I (Motorizable) - 50kA@415Vac - marca ABB.</t>
  </si>
  <si>
    <t>1SDA063018R1</t>
  </si>
  <si>
    <t>CAJA MOLDEADA EXTRAIBLE (T7 1600) - 4x1600A,  Icu=70kA, Tipo H</t>
  </si>
  <si>
    <t xml:space="preserve">T7H 1600 PR331/P LSIG In=1600A 4p F F   </t>
  </si>
  <si>
    <t>ITM Caja Moldeada 4x1600A (electrónico [0.4-1.0] In) - T7H1600-1600A-4P-LSIG - 70kA@415Vac - marca ABB.</t>
  </si>
  <si>
    <t>1SDA062780R1</t>
  </si>
  <si>
    <t xml:space="preserve">T7-X1 W FP 4p EF-EF                     </t>
  </si>
  <si>
    <t>T7-T7M W FP EF - Extraible parte fija (Terminales anteriores prolongados) - marca ABB.</t>
  </si>
  <si>
    <t>1SDA062049R1</t>
  </si>
  <si>
    <t xml:space="preserve">KIT MP T7-T7M-X1 W 4p                   </t>
  </si>
  <si>
    <t>Kit de transformación de fijo en parte móvil de extraible T4, … , T7  (Kit W MP T7-T7M) - marca ABB.</t>
  </si>
  <si>
    <t>1SDA062163R1</t>
  </si>
  <si>
    <t>CAJA MOLDEADA EXTRAIBLE (T7 1000) - 4x1000A,  Icu=70kA, Tipo H</t>
  </si>
  <si>
    <t xml:space="preserve">T7H 1000 PR331/P LSIG In=1000A 4p F F   </t>
  </si>
  <si>
    <t>ITM Caja Moldeada 4x1000A (electrónico [0.4-1.0] In) - T7H1000-1000A-4P-LSIG - 70kA@415Vac - marca ABB.</t>
  </si>
  <si>
    <t>T4H320-320A-4P-PR222DS/P-LSI</t>
  </si>
  <si>
    <t>ITM Caja Moldeada 4x320A (electrónico [0.4-1.0] In) - T4H320-320A-4P-PR222DS/P-LSI - 100kA@230Vac, 70kA@415Vac - marca ABB.</t>
  </si>
  <si>
    <t>1SDA054139R1</t>
  </si>
  <si>
    <t>T4N320-320A-4P-PR222DS/P-LSIG</t>
  </si>
  <si>
    <t>ITM Caja Moldeada 4x320A (electrónico [0.4-1.0] In) - T4N320-320A-4P-PR222DS/P-LSIG - 70kA@230Vac, 36kA@415Vac - marca ABB.</t>
  </si>
  <si>
    <t>1SDA054124R1</t>
  </si>
  <si>
    <t>T4L320-320A-4P-PR222DS/P-LSI</t>
  </si>
  <si>
    <t>ITM Caja Moldeada 4x320A (electrónico [0.4-1.0] In) - T4L320-320A-4P-PR222DS/P-LSI - 120kA@415Vac - marca ABB.</t>
  </si>
  <si>
    <t>1SDA054147R1</t>
  </si>
  <si>
    <t>T5S400-320A-3P-PR222DS/P-LSI</t>
  </si>
  <si>
    <t>ITM Caja Moldeada 3x320A (electrónico [0.4-1.0] In) - T5S400-320A-3P-PR222DS/P-LSI - 85kA@230Vac, 50kA@415Vac - marca ABB.</t>
  </si>
  <si>
    <t>1SDA054336R1</t>
  </si>
  <si>
    <t>T5H400-400A-3P-PR222DS/P-LSIG</t>
  </si>
  <si>
    <t>ITM Caja Moldeada 3x400A (electrónico [0.4-1.0] In) - T5H400-400A-3P-PR222DS/P-LSIG - 100kA@230Vac, 70kA@415Vac - marca ABB.</t>
  </si>
  <si>
    <t>1SDA054355R1</t>
  </si>
  <si>
    <t>T5L630-630A-3P-PR222DS/P-LSI</t>
  </si>
  <si>
    <t>1SDA054422R1</t>
  </si>
  <si>
    <t>T5N400-400A-3P-PR222DS/P-LSIG</t>
  </si>
  <si>
    <t>ITM Caja Moldeada 3x400A (electrónico [0.4-1.0] In) - T5N400-400A-3P-PR222DS/P-LSIG - 70kA@230Vac, 36A@415Vac - marca ABB.</t>
  </si>
  <si>
    <t>1SDA054323R1</t>
  </si>
  <si>
    <t>T5N630-630A-3P-PR222DS/P-LSIG</t>
  </si>
  <si>
    <t>ITM Caja Moldeada 3x630A (electrónico [0.4-1.0] In) - T5N630-630A-3P-PR222DS/P-LSIG - 70kA@230Vac, 36kA@415Vac - marca ABB.</t>
  </si>
  <si>
    <t>1SDA054399R1</t>
  </si>
  <si>
    <t>T5N400-320A-4P-PR222DS/P-LSIG</t>
  </si>
  <si>
    <t>ITM Caja Moldeada 4x320A (electrónico [0.4-1.0] In) - T5N400-320A-4P-PR222DS/P-LSIG - 70kA@230Vac, 36A@415Vac - marca ABB.</t>
  </si>
  <si>
    <t>1SDA054330R1</t>
  </si>
  <si>
    <t>T5N400-400A-4P-PR222DS/P-LSIG</t>
  </si>
  <si>
    <t>ITM Caja Moldeada 4x400A (electrónico [0.4-1.0] In) - T5N400-400A-4P-PR222DS/P-LSIG - 70kA@230Vac, 36A@415Vac - marca ABB.</t>
  </si>
  <si>
    <t>1SDA054331R1</t>
  </si>
  <si>
    <t>T5N630-630A-4P-PR222DS/P-LSIG</t>
  </si>
  <si>
    <t>ITM Caja Moldeada 4x630A (electrónico [0.4-1.0] In) - T5N630-630A-4P-PR222DS/P-LSIG - 70kA@230Vac, 36kA@415Vac - marca ABB.</t>
  </si>
  <si>
    <t>1SDA054403R1</t>
  </si>
  <si>
    <t>T5S400-320A-4P-PR222DS/P-LSI</t>
  </si>
  <si>
    <t>ITM Caja Moldeada 4x320A (electrónico [0.4-1.0] In) - T5S400-320A-4P-PR222DS/P-LSI - 85kA@230Vac, 50kA@415Vac - marca ABB.</t>
  </si>
  <si>
    <t>T5S400-320A-4P-PR222DS/P-LSIG</t>
  </si>
  <si>
    <t>ITM Caja Moldeada 4x320A (electrónico [0.4-1.0] In) - T5S400-320A-4P-PR222DS/P-LSIG - 85kA@230Vac, 50kA@415Vac - marca ABB.</t>
  </si>
  <si>
    <t>1SDA054346R1</t>
  </si>
  <si>
    <t>1SDA054345R1</t>
  </si>
  <si>
    <t>T5S400-400A-4P-PR222DS/P-LSIG</t>
  </si>
  <si>
    <t>ITM Caja Moldeada 4x400A (electrónico [0.4-1.0] In) - T5S400-400A-4P-PR222DS/P-LSIG - 85kA@230Vac, 50kA@415Vac - marca ABB.</t>
  </si>
  <si>
    <t>1SDA054347R1</t>
  </si>
  <si>
    <t>T5S630-630A-4P-PR222DS/P-LSIG</t>
  </si>
  <si>
    <t>ITM Caja Moldeada 4x630A (electrónico [0.4-1.0] In) - T5S630-630A-4P-PR222DS/P-LSIG - 85kA@230Vac, 50kA@415Vac - marca ABB.</t>
  </si>
  <si>
    <t>1SDA054411R1</t>
  </si>
  <si>
    <t>T5H400-400A-4P-PR222DS/P-LSI</t>
  </si>
  <si>
    <t>ITM Caja Moldeada 4x400A (electrónico [0.4-1.0] In) - T5H400-400A-4P-PR222DS/P-LSI - 100kA@230Vac, 70kA@415Vac - marca ABB.</t>
  </si>
  <si>
    <t>1SDA054361R1</t>
  </si>
  <si>
    <t>T5L400-400A-4P-PR222DS/P-LSI</t>
  </si>
  <si>
    <t>1SDA054377R1</t>
  </si>
  <si>
    <t>T5L630-630A-4P-PR222DS/P-LSI</t>
  </si>
  <si>
    <t>1SDA054426R1</t>
  </si>
  <si>
    <t>T6N1000-1000A-3P-PR222DS/P-LSIG</t>
  </si>
  <si>
    <t>ITM Caja Moldeada 3x1000A (electrónico [0.4-1.0] In) - T6N1000-1000A-3P-PR222DS/P-LSIG - 70kA@230Vac, 36kA@415Vac - marca ABB.</t>
  </si>
  <si>
    <t>1SDA060540R1</t>
  </si>
  <si>
    <t>T6S800-800A-3P-PR222DS/P-LSIG</t>
  </si>
  <si>
    <t>ITM Caja Moldeada 3x800A (electrónico [0.4-1.0] In) - T6S800-800A-3P-PR222DS/P-LSIG - 85kA@230Vac, 50kA@415Vac - marca ABB.</t>
  </si>
  <si>
    <t>1SDA060281R1</t>
  </si>
  <si>
    <t>T6H630-630A-3P-PR222DS/P-LSI</t>
  </si>
  <si>
    <t>ITM Caja Moldeada 3x630A (electrónico [0.4-1.0] In) - T6H630-630A-3P-PR222DS/P-LSI - 100kA@230Vac, 70kA@415Vac - marca ABB.</t>
  </si>
  <si>
    <t>1SDA060248R1</t>
  </si>
  <si>
    <t>T6S800-800A-4P-PR222DS/P-LSIG</t>
  </si>
  <si>
    <t>ITM Caja Moldeada 4x800A (electrónico [0.4-1.0] In) - T6S800-800A-4P-PR222DS/P-LSIG - 85kA@230Vac, 50kA@415Vac - marca ABB.</t>
  </si>
  <si>
    <t>1SDA060286R1</t>
  </si>
  <si>
    <t>T6H800-800A-4P-PR222DS/P-LSIG</t>
  </si>
  <si>
    <t>ITM Caja Moldeada 4x800A (electrónico [0.4-1.0] In) - T6H800-800A-4P-PR222DS/P-LSIG - 100kA@230Vac, 70kA@415Vac - marca ABB.</t>
  </si>
  <si>
    <t>1SDA060569R1</t>
  </si>
  <si>
    <t>T6L630-630A-4P-PR222DS/P-LSI</t>
  </si>
  <si>
    <t>ITM Caja Moldeada 4x630A (electrónico [0.4-1.0] In) - T6L630-630A-4P-PR222DS/P-LSI - 100kA@415Vac - marca ABB.</t>
  </si>
  <si>
    <t>1SDA060264R1</t>
  </si>
  <si>
    <t>T6L800-800A-4P-PR222DS/P-LSI</t>
  </si>
  <si>
    <t>ITM Caja Moldeada 4x800A (electrónico [0.4-1.0] In) - T6L800-800A-4P-PR222DS/P-LSI - 100kA@415Vac - marca ABB.</t>
  </si>
  <si>
    <t>1SDA060307R1</t>
  </si>
  <si>
    <t>T7S1600-1600A-3P-PR332/P-LSIG</t>
  </si>
  <si>
    <t>1SDA062999R1</t>
  </si>
  <si>
    <t>T7H800-800A-3P-PR232/P-LSI</t>
  </si>
  <si>
    <t>ITM Caja Moldeada 3x800A (electrónico [0.4-1.0] In) - T7H800-800A-3P-PR232/P-LSI - 70kA@415Vac - marca ABB.</t>
  </si>
  <si>
    <t>1SDA062643R1</t>
  </si>
  <si>
    <t>T7H1000-1000A-3P-PR232/P-LSI</t>
  </si>
  <si>
    <t>ITM Caja Moldeada 3x1000A (electrónico [0.4-1.0] In) - T7H1000-1000A-3P-PR232/P-LSI - 70kA@415Vac - marca ABB.</t>
  </si>
  <si>
    <t>1SDA062771R1</t>
  </si>
  <si>
    <t>ITM Caja Moldeada 3x1250A (electrónico [0.4-1.0] In) - T7H1250-1250A-3P-PR232/P-LSI - 70kA@415V - marca ABB.</t>
  </si>
  <si>
    <t>T7L1000-1000A-3P-PR232/P-LSI</t>
  </si>
  <si>
    <t>ITM Caja Moldeada 3x1000A (electrónico [0.4-1.0] In) - T7L1000-1000A-3P-PR232/P-LSI - 120kA@415Vac - marca ABB.</t>
  </si>
  <si>
    <t>1SDA062803R1</t>
  </si>
  <si>
    <t>T7S1600(M)-1600A-3P-PR332/P-LSIG</t>
  </si>
  <si>
    <t>ITM Caja Moldeada 3x1600A (electrónico [0.4-1.0] In) - T7S1600(M)-1600A-3PPR332/P-LSIG - 50kA@415Vac - marca ABB.</t>
  </si>
  <si>
    <t>1SDA063015R1</t>
  </si>
  <si>
    <t>T7H1250-1250A-4P-PR232/P-LSI</t>
  </si>
  <si>
    <t>ITM Caja Moldeada 4x1250A (electrónico [0.4-1.0] In) - T7H1250-1250A-4P-PR232/P-LSI - 70kA@415Vac - marca ABB.</t>
  </si>
  <si>
    <t>1SDA062907R1</t>
  </si>
  <si>
    <t>T7H1600-1600A-4P-PR232/P-LSI</t>
  </si>
  <si>
    <t>ITM Caja Moldeada 4x1600A (electrónico [0.4-1.0] In) - T7H1600-1600A-4P-PR232/P-LSI - 70kA@415Vac - marca ABB.</t>
  </si>
  <si>
    <t>T7L1250-1250A-4P-PR232/P-LSI</t>
  </si>
  <si>
    <t>ITM Caja Moldeada 4x1250A (electrónico [0.4-1.0] In) - T7L1250-1250A-4P-PR232/P-LSI - 120kA@415Vac - marca ABB.</t>
  </si>
  <si>
    <t>1SDA062939R1</t>
  </si>
  <si>
    <t>T7L1600-1600A-4P-PR232/P-LSI</t>
  </si>
  <si>
    <t>ITM Caja Moldeada 4x1600A (electrónico [0.4-1.0] In) - T7L1600-1600A-4P-PR232/P-LSI - 120kA@415Vac - marca ABB.</t>
  </si>
  <si>
    <t>1SDA063067R1</t>
  </si>
  <si>
    <t>T7H800(M)-800A-3P-PR232/P-LSI</t>
  </si>
  <si>
    <t>ITM Caja Moldeada 3x800A (electrónico [0.4-1.0] In) - T7H800(M)-800A-3P-PR232/P-LSI - 70kA@415Vac - marca ABB.</t>
  </si>
  <si>
    <t>1SDA062659R1</t>
  </si>
  <si>
    <t>T7H1000(M)-1000A-3P-PR232/P-LSI</t>
  </si>
  <si>
    <t>ITM Caja Moldeada 3x1000A (electrónico [0.4-1.0] In) - T7H1000(M)-1000A-3P-PR232/P-LSI - 70kA@415Vac - marca ABB.</t>
  </si>
  <si>
    <t>1SDA062790R1</t>
  </si>
  <si>
    <t>T7H1250(M)-1250A-4P-PR232/P-LSI</t>
  </si>
  <si>
    <t>ITM Caja Moldeada 4x1250A (electrónico [0.4-1.0] In) - T7H12500(M)-1250A-4P-PR232/P-LSI - 70kA@415Vac - marca ABB.</t>
  </si>
  <si>
    <t>T7H1250(M)-1250A-4P-PR331/P-LSIG</t>
  </si>
  <si>
    <t>ITM Caja Moldeada 4x1250A (electrónico [0.4-1.0] In) - T7H1250(M)-1250A-3P-PR331/P-LSIG - 70kA@415Vac - marca ABB.</t>
  </si>
  <si>
    <t>1SDA062924R1</t>
  </si>
  <si>
    <t>T7H1600(M)-1600A-4P-PR331/P-LSIG</t>
  </si>
  <si>
    <t>ITM Caja Moldeada 4x1600A (electrónico [0.4-1.0] In) - T7H1600(M)-1600A-3P-PR331/P-LSIG - 70kA@415Vac - marca ABB.</t>
  </si>
  <si>
    <t>1SDA063052R1</t>
  </si>
  <si>
    <t>T7L800(M)-800A-4P-PR232/P-LSI</t>
  </si>
  <si>
    <t>ITM Caja Moldeada 4x800A (electrónico [0.4-1.0] In) - T7L800(M)-800A-4P-PR232/P-LSI - 120kA@415Vac - marca ABB.</t>
  </si>
  <si>
    <t>1SDA062699R1</t>
  </si>
  <si>
    <t>T7L1000(M)-1000A-4P-PR232/P-LSI</t>
  </si>
  <si>
    <t>ITM Caja Moldeada 4x1000A (electrónico [0.4-1.0] In) - T7L1000(M)-1000A-4P-PR232/P-LSI - 120kA@415Vac - marca ABB.</t>
  </si>
  <si>
    <t>1SDA062827R1</t>
  </si>
  <si>
    <t>T7L1250(M)-1250A-4P-PR232/P-LSI</t>
  </si>
  <si>
    <t>ITM Caja Moldeada 4x1250A (electrónico [0.4-1.0] In) - T7L1250(M)-1250A-4P-PR232/P-LSI - 120kA@415Vac - marca ABB.</t>
  </si>
  <si>
    <t>1SDA062955R1</t>
  </si>
  <si>
    <t>T7L1600(M)-1600A-4P-PR232/P-LSI</t>
  </si>
  <si>
    <t>ITM Caja Moldeada 4x1600A (electrónico [0.4-1.0] In) - T7L1600(M)-1600A-4P-PR232/P-LSI - 120kA@415Vac - marca ABB.</t>
  </si>
  <si>
    <t>1SDA063086R1</t>
  </si>
  <si>
    <t>FC-CuAl_T4 - Terminales + Cubrebornes - cables de cobre/aluminio hasta 1x240mm2 - 3 terminales (externos).</t>
  </si>
  <si>
    <t>FC-CuAl_T5 - Terminales + Cubrebornes - cables de cobre/aluminio hasta 2x240mm2 - 3 terminales (externos).</t>
  </si>
  <si>
    <t>FC-CuAl_T6-800A - Terminales + Cubrebornes  - cables de cobre/aluminio hasta 3x185mm2 - 3 terminales (externos).</t>
  </si>
  <si>
    <t>FC-CuAl_T6_3t_1000A</t>
  </si>
  <si>
    <t>FC-CuAl_T6-1000A - Terminales + Cubrebornes  - cables de cobre/aluminio hasta 4x150mm2 - 3 terminales (externos).</t>
  </si>
  <si>
    <t>1SDA060687R1</t>
  </si>
  <si>
    <t>FC-CuAl_T7-1250A/T7(M)-1250A - Terminales + Cubrebornes - cables de cobre/aluminio hasta 4x240mm2 - 3 terminales (externos).</t>
  </si>
  <si>
    <t>FC-CuAl_T6_4t_1000A</t>
  </si>
  <si>
    <t>FC-CuAl_T6-1000A - Terminales + Cubrebornes  - cables de cobre/aluminio hasta 4x150mm2 - 4 terminales (externos).</t>
  </si>
  <si>
    <t>1SDA060688R1</t>
  </si>
  <si>
    <t>YO_T4-T5-T6_120V</t>
  </si>
  <si>
    <t>Bobina de apertura (YO) - T4-T5-T6 - SOR versión no cableada - 110-125V AC/DC - marca ABB.</t>
  </si>
  <si>
    <t>1SDA054865R1</t>
  </si>
  <si>
    <t>YU_T4-T5-T6</t>
  </si>
  <si>
    <t>YU_T4-T5-T6_48V</t>
  </si>
  <si>
    <t>Bobina de mínima tensión (YU) - T4-T5-T6 - UVR versión no cableada - 48V AC/DC - marca ABB.</t>
  </si>
  <si>
    <t>1SDA054881R1</t>
  </si>
  <si>
    <t>UVD_T4-T5-T6</t>
  </si>
  <si>
    <t>Retardador electronico (UVD) para relé de mínima tensión (YU) - T4-T5-T6 - 220...250 V AC/DC - marca ABB.</t>
  </si>
  <si>
    <t>1SDA051361R1</t>
  </si>
  <si>
    <t>UVD_T7-Emax</t>
  </si>
  <si>
    <t>Retardador electronico (UVD) para relé de mínima tensión (YU) - T7-Emax - 220...250 V AC/DC - marca ABB.</t>
  </si>
  <si>
    <t>RHD_NOR_ENCH_T5</t>
  </si>
  <si>
    <t>1SDA054926R1</t>
  </si>
  <si>
    <t>Mando giratorio reenviado - RHE (sobre puerta) normal para fijo y enchufable - p/modelo T4-T5, marca ABB.</t>
  </si>
  <si>
    <t>Mando giratorio reenviado - RHE (sobre puerta) normal para fijo y enchufable - p/modelo T6, marca ABB.</t>
  </si>
  <si>
    <t>Mando giratorio reenviado - RHE (sobre puerta) normal para fijo, enchufable y extraible - p/modelo T7, marca ABB.</t>
  </si>
  <si>
    <t>IP54_RHE_T4..T7</t>
  </si>
  <si>
    <t>Protección IP-54 para mando giratorio reenviado - RHE (sobre puerta) - p/modelo T4..T7, marca ABB.</t>
  </si>
  <si>
    <t>1SDA054938R1</t>
  </si>
  <si>
    <t>FLD_T4-T5</t>
  </si>
  <si>
    <t>Frontal para bloqueo por candado, fijo en interruptor (bloqueo en posición abierto) - p/modelo T4-T5 - marca ABB (no inluye el candado ni llaves).</t>
  </si>
  <si>
    <t>1SDA054944R1</t>
  </si>
  <si>
    <t>FLD_T6</t>
  </si>
  <si>
    <t>Frontal para bloqueo por candado, fijo en interruptor (bloqueo en posición abierto) - p/modelo T6 - marca ABB (no inluye el candado ni llaves).</t>
  </si>
  <si>
    <t>1SDA060417R1</t>
  </si>
  <si>
    <t>PLL_T7</t>
  </si>
  <si>
    <t>Dispositivo para bloqueo por candado, fijo en interruptor (bloqueo en posición abierto) - p/modelo T7 - marca ABB (no inluye el candado ni llaves).</t>
  </si>
  <si>
    <t>1SDA062150R1</t>
  </si>
  <si>
    <t>PLL_T7M</t>
  </si>
  <si>
    <t>Dispositivo para bloqueo por candado, fijo en interruptor (bloqueo en posición abierto) - p/modelo T7(M) - marca ABB (no inluye el candado ni llaves).</t>
  </si>
  <si>
    <t>1SDA069656R1</t>
  </si>
  <si>
    <t>PR222DS/PD-LSIG</t>
  </si>
  <si>
    <t>Relé electrónico modelo PR222DS/PD-LSIG (protocolo Modbus RTU) - p/modelo T4..T6 - marca ABB.</t>
  </si>
  <si>
    <t>1SDA055067R1</t>
  </si>
  <si>
    <t>PR330/V + T-INT TEN</t>
  </si>
  <si>
    <t>Módulo de medida PR330/V + Toma interna de tensión  p/ relé electrónico PR33x p/modelo T7 - marca ABB.</t>
  </si>
  <si>
    <t>1SDA063144R1</t>
  </si>
  <si>
    <t>PR330/V + T-EXT TEN</t>
  </si>
  <si>
    <t>Módulo de medida PR330/V + Toma externa de tensión  p/ relé electrónico PR33x p/modelo T7 - marca ABB.</t>
  </si>
  <si>
    <t>1SDA069126R1</t>
  </si>
  <si>
    <t>1(Q) contacto conmutado de estado (NA/NC) + 1(SY) contacto por disparo de interruptor - T4-T5-T6 - version no cableada - marca ABB.</t>
  </si>
  <si>
    <t>AUX-E-C_1Q+1SY_T4-T5</t>
  </si>
  <si>
    <t>1(Q) contacto conmutado de estado + 1(SY) contacto por disparo de interruptor (AUX-E-C) p/PR222DS/PD (T4-T5) - version cableada - marca ABB.</t>
  </si>
  <si>
    <t>1SDA054916R1</t>
  </si>
  <si>
    <t>AUX-E-C_1Q+1SY_T6</t>
  </si>
  <si>
    <t>1(Q) contacto conmutado de estado + 1(SY) contacto por disparo de interruptor (AUX-E-C) p/PR222DS/PD (T6) - version cableada - marca ABB.</t>
  </si>
  <si>
    <t>1SDA064161R1</t>
  </si>
  <si>
    <t>RC222/5_T5-4p</t>
  </si>
  <si>
    <t>Bloque relé diferencial para Tmax T5-4p - modelo RC222/5 - marca ABB.</t>
  </si>
  <si>
    <t>1SDA054955R1</t>
  </si>
  <si>
    <t>E1.2B-1250A-3P-Ekip Dip LSI</t>
  </si>
  <si>
    <t>ITM Bastidor Abierto 3x1250A (electrónico [0.4-1.0] In) - E1.2B-1250A-3P-Ekip Dip LSI - 42kA@440Vac - marca ABB.</t>
  </si>
  <si>
    <t>1SDA070822R1</t>
  </si>
  <si>
    <t>E1.2B-1000A-3P-Ekip Dip LSI</t>
  </si>
  <si>
    <t>ITM Bastidor Abierto 3x1000A (electrónico [0.4-1.0] In) - E1.2B-1000A-3P-Ekip Dip LSI - 42kA@440Vac - marca ABB.</t>
  </si>
  <si>
    <t>1SDA070782R1</t>
  </si>
  <si>
    <t>E1.2B-1000A-3P-Ekip Touch LSI</t>
  </si>
  <si>
    <t>ITM Bastidor Abierto 3x1000A (electrónico [0.4-1.0] In) - E1.2B-1000A-3P-Ekip Touch LSI - 42kA@440Vac - marca ABB.</t>
  </si>
  <si>
    <t>1SDA070785R1</t>
  </si>
  <si>
    <t>E1.2B-1000A-4P-Ekip Dip LSI</t>
  </si>
  <si>
    <t>ITM Bastidor Abierto 4x1000A (electrónico [0.4-1.0] In) - E1.2B-1000A-4P-Ekip Dip LSI - 42kA@440Vac - marca ABB.</t>
  </si>
  <si>
    <t>1SDA071412R1</t>
  </si>
  <si>
    <t>E1.2B-1000A-4P-Ekip Touch LSI</t>
  </si>
  <si>
    <t>ITM Bastidor Abierto 4x1000A (electrónico [0.4-1.0] In) - E1.2B-1000A-4P-Ekip Touch LSI - 42kA@440Vac - marca ABB.</t>
  </si>
  <si>
    <t>1SDA071415R1</t>
  </si>
  <si>
    <t>E1.2B-800A-4P-Ekip Touch LSI</t>
  </si>
  <si>
    <t>1SDA071375R1</t>
  </si>
  <si>
    <t>E1.2N-1600A-3P-Ekip Dip LSI</t>
  </si>
  <si>
    <t>ITM Bastidor Abierto 3x1600A (electrónico [0.4-1.0] In) - E1.2N-1600A-3P-Ekip Dip LSI - 66kA@440Vac - marca ABB.</t>
  </si>
  <si>
    <t>1SDA070882R1</t>
  </si>
  <si>
    <t>E1.2N-800A-3P-Ekip Touch LSIG</t>
  </si>
  <si>
    <t>ITM Bastidor Abierto 3x800A (electrónico [0.4-1.0] In) - E1.2N-800A-3P-Ekip Touch LSIG - 66kA@440Vac - marca ABB.</t>
  </si>
  <si>
    <t>1SDA070766R1</t>
  </si>
  <si>
    <t>E1.2N-1250A-3P-Ekip Touch LSIG</t>
  </si>
  <si>
    <t>ITM Bastidor Abierto 3x1250A (electrónico [0.4-1.0] In) - E1.2N-1250A-3P-Ekip Touch LSIG - 66kA@440Vac - marca ABB.</t>
  </si>
  <si>
    <t>1SDA070846R1</t>
  </si>
  <si>
    <t>E1.2N-1600A-3P-Ekip Touch LSIG</t>
  </si>
  <si>
    <t>ITM Bastidor Abierto 3x1600A (electrónico [0.4-1.0] In) - E1.2N-1600A-3P-Ekip Touch LSIG - 66kA@440Vac - marca ABB.</t>
  </si>
  <si>
    <t>1SDA070886R1</t>
  </si>
  <si>
    <t>E1.2N-1000A-4P-Ekip Touch LSIG</t>
  </si>
  <si>
    <t>ITM Bastidor Abierto 4x1000A (electrónico [0.4-1.0] In) - E1.2N-1000A-4P-Ekip Touch LSIG - 66kA@440Vac - marca ABB.</t>
  </si>
  <si>
    <t>1SDA071436R1</t>
  </si>
  <si>
    <t>E1.2N-1600A-4P-Ekip Touch LSIG</t>
  </si>
  <si>
    <t>ITM Bastidor Abierto 4x1600A (electrónico [0.4-1.0] In) - E1.2N-1600A-4P-Ekip Touch LSIG - 66kA@440Vac - marca ABB.</t>
  </si>
  <si>
    <t>1SDA071516R1</t>
  </si>
  <si>
    <t>E2.2B-2000A-4P-Ekip Touch LSI</t>
  </si>
  <si>
    <t>ITM Bastidor Abierto 4x2000A (electrónico [0.4-1.0] In) - E2.2B-2000A-4P-Ekip Touch LSI - 42kA@440Vac - marca ABB.</t>
  </si>
  <si>
    <t>1SDA071655R1</t>
  </si>
  <si>
    <t>E2.2B-2000A-4P-Ekip Touch LSIG</t>
  </si>
  <si>
    <t>ITM Bastidor Abierto 4x2000A (electrónico [0.4-1.0] In) - E2.2B-2000A-4P-Ekip Touch LSIG - 42kA@440Vac - marca ABB.</t>
  </si>
  <si>
    <t>1SDA071656R1</t>
  </si>
  <si>
    <t>ITM Bastidor Abierto 3x2500A (electrónico [0.4-1.0] In) - E2.2N-2500A-3P-Ekip Touch LSI - 66kA@440Vac - marca ABB.</t>
  </si>
  <si>
    <t>E2.2N-1000A-4P-Ekip Touch LSIG</t>
  </si>
  <si>
    <t>ITM Bastidor Abierto 4x1000A (electrónico [0.4-1.0] In) - E2.2N-1000A-4P-Ekip Touch LSIG - 66kA@440Vac - marca ABB.</t>
  </si>
  <si>
    <t>1SDA071556R1</t>
  </si>
  <si>
    <t>E2.2S-1600A-4P-Ekip Hi-Touch LSIG</t>
  </si>
  <si>
    <t>ITM Bastidor Abierto 4x1600A (electrónico [0.4-1.0] In) - E2.2S-1600A-4P-Ekip Hi-touch LSIG (funciones avanzadas) - 85kA@440Vac - marca ABB.</t>
  </si>
  <si>
    <t>1SDA071639R1</t>
  </si>
  <si>
    <t>E2.2S-1600A-4P-Ekip Touch LSI</t>
  </si>
  <si>
    <t>ITM Bastidor Abierto 4x1600A (electrónico [0.4-1.0] In) - E2.2S-1600A-4P-Ekip Touch LSI - 85kA@440Vac - marca ABB.</t>
  </si>
  <si>
    <t>1SDA071635R1</t>
  </si>
  <si>
    <t>E2.2S-2000A-4P-Ekip Touch LSI</t>
  </si>
  <si>
    <t>ITM Bastidor Abierto 4x2000A (electrónico [0.4-1.0] In) - E2.2S-2000A-4P-Ekip Touch LSI - 85kA@440Vac - marca ABB.</t>
  </si>
  <si>
    <t>1SDA071675R1</t>
  </si>
  <si>
    <t xml:space="preserve">Ekip Comm 110-240VAC/DC E1.2..E6.2    </t>
  </si>
  <si>
    <t>Ekip de Comunicación Ethernet/IP E1.2..E6.2 - marca ABB.</t>
  </si>
  <si>
    <t>1SDA074155R1</t>
  </si>
  <si>
    <t>MOC Coumput.Maniobras Mec. E1.2</t>
  </si>
  <si>
    <t>Cuentamaniobras mecánico - MOC (E1.2) - marca ABB.</t>
  </si>
  <si>
    <t>1SDA073780R1</t>
  </si>
  <si>
    <t>E2.2S-2500A-4P-Ekip Touch LSI</t>
  </si>
  <si>
    <t>ITM Bastidor Abierto 4x2500A (electrónico [0.4-1.0] In) - E2.2S-2500A-4P-Ekip Touch LSI - 85kA@440Vac - marca ABB.</t>
  </si>
  <si>
    <t>1SDA071705R1</t>
  </si>
  <si>
    <t>E2.2H-2000A-4P-Ekip Touch LSIG</t>
  </si>
  <si>
    <t>ITM Bastidor Abierto 4x2000A (electrónico [0.4-1.0] In) - E2.2H-2000A-4P-Ekip Touch LSIG - 100kA@440Vac - marca ABB.</t>
  </si>
  <si>
    <t>1SDA071686R1</t>
  </si>
  <si>
    <t>E2.2H-2500A-4P-Ekip Touch LSIG</t>
  </si>
  <si>
    <t>ITM Bastidor Abierto 4x2500A (electrónico [0.4-1.0] In) - E2.2H-2500A-4P-Ekip Touch LSIG - 100kA@440Vac - marca ABB.</t>
  </si>
  <si>
    <t>1SDA071716R1</t>
  </si>
  <si>
    <t>E2.2H-2500A-4P-Ekip Hi-Touch LSIG</t>
  </si>
  <si>
    <t>ITM Bastidor Abierto 4x2500A (electrónico [0.4-1.0] In) - E2.2H-2500A-4P-Ekip Hi-touch LSIG (funciones avanzadas) - 100kA@440Vac - marca ABB.</t>
  </si>
  <si>
    <t>1SDA071719R1</t>
  </si>
  <si>
    <t>E2.2S-1250A-4P-Ekip Touch LSIG</t>
  </si>
  <si>
    <t>ITM Bastidor Abierto 4x1250A (electrónico [0.4-1.0] In) - E2.2S-1250A-4P-Ekip Touch LSIG - 85kA@440Vac - marca ABB.</t>
  </si>
  <si>
    <t>1SDA071596R1</t>
  </si>
  <si>
    <t>E2.2S-1600A-4P-Ekip Touch LSIG</t>
  </si>
  <si>
    <t>ITM Bastidor Abierto 4x1600A (electrónico [0.4-1.0] In) - E2.2S-1600A-4P-Ekip Touch LSIG - 85kA@440Vac - marca ABB.</t>
  </si>
  <si>
    <t>1SDA071636R1</t>
  </si>
  <si>
    <t>E2.2S-2000A-4P-Ekip Touch LSIG</t>
  </si>
  <si>
    <t>ITM Bastidor Abierto 4x2000A (electrónico [0.4-1.0] In) - E2.2S-2000A-4P-Ekip Touch LSIG - 85kA@440Vac - marca ABB.</t>
  </si>
  <si>
    <t>1SDA071676R1</t>
  </si>
  <si>
    <t>E2.2S-2500A-4P-Ekip Touch LSIG</t>
  </si>
  <si>
    <t>ITM Bastidor Abierto 4x2500A (electrónico [0.4-1.0] In) - E2.2S-2500A-4P-Ekip Touch LSIG - 85kA@440Vac - marca ABB.</t>
  </si>
  <si>
    <t>1SDA071706R1</t>
  </si>
  <si>
    <t>E4.2S-3200A-4P-Ekip Touch LSIG</t>
  </si>
  <si>
    <t>ITM Bastidor Abierto 4x3200A (electrónico [0.4-1.0] In) - E4.2S-3200A-4P-Ekip Touch LSIG- 85kA@440Vac - marca ABB.</t>
  </si>
  <si>
    <t>1SDA071786R1</t>
  </si>
  <si>
    <t>E4.2S-4000A-4P-Ekip Touch LSIG</t>
  </si>
  <si>
    <t>ITM Bastidor Abierto 4x4000A (electrónico [0.4-1.0] In) - E4.2S-4000A-4P-Ekip Touch LSIG - 85kA@440Vac - marca ABB.</t>
  </si>
  <si>
    <t>1SDA071836R1</t>
  </si>
  <si>
    <t>E4.2H-3200A-4P-Ekip Touch LSI</t>
  </si>
  <si>
    <t>ITM Bastidor Abierto 4x3200A (electrónico [0.4-1.0] In) - E4.2H-3200A-4P-Ekip Touch LSI - 100kA@440Vac - marca ABB.</t>
  </si>
  <si>
    <t>1SDA071795R1</t>
  </si>
  <si>
    <t>IP54_E1.2</t>
  </si>
  <si>
    <t>Marco de protección IP-54 para puerta p/ modelo E1.2 - marca ABB.</t>
  </si>
  <si>
    <t>IP54_E2.2..E6.2</t>
  </si>
  <si>
    <t>Marco de protección IP-54 para puerta p/ modelo E2.2..E6.2 - marca ABB.</t>
  </si>
  <si>
    <t>Bloqueo por candado en posicion abierto, D=7mm - para interruptores Emax E1.2 - marca ABB.</t>
  </si>
  <si>
    <t>1SDA073801R1</t>
  </si>
  <si>
    <t>PLL_E1.2</t>
  </si>
  <si>
    <t>4Q_Emax2</t>
  </si>
  <si>
    <t>4(Q) contactos conmutado de estado (NA/NC) - Emax 2 - marca ABB.</t>
  </si>
  <si>
    <t>1S51_Emax2</t>
  </si>
  <si>
    <t>1(S51) contacto por actuacion del relé - 250V - Emax 2 - marca ABB.</t>
  </si>
  <si>
    <t>EKIP-SUPPLY-220V</t>
  </si>
  <si>
    <t>Módulo de alimentación - Ekip Supply - Vc=110-240V AC/DC - Emax E1.2…E6.2  - marca ABB.</t>
  </si>
  <si>
    <t>1SDA074172R1</t>
  </si>
  <si>
    <t>EKIP-SUPPLY-24V</t>
  </si>
  <si>
    <t>Módulo de alimentación - Ekip Supply - Vc=24-48VDC - Emax E1.2…E6.2  - marca ABB.</t>
  </si>
  <si>
    <t>1SDA074173R1</t>
  </si>
  <si>
    <t>EKIP-COM</t>
  </si>
  <si>
    <t>Módulo de comunicación RS-485, Modbus RTU -Emax E1.2..E6.2  - marca ABB.</t>
  </si>
  <si>
    <t>EKIP-SIGN-10K_E1.2-E6.2</t>
  </si>
  <si>
    <t>Módulo de señalización - Ekip Signalling 10K - Emax E1.2…E6.2  - marca ABB.</t>
  </si>
  <si>
    <t>1SDA074171R1</t>
  </si>
  <si>
    <t>Relé de protección diferencial para cuadro RCQ020 - Reg.: 0.03 .0.5A / 1..30A - Ue=415Vac - marca ABB.</t>
  </si>
  <si>
    <t>Relé de protección diferencial para cuadro RCQ020 - Reg.: 0.03 .0.5A / 1..30A - Ue=115-230Vac - marca ABB.</t>
  </si>
  <si>
    <t>BASTIDOR ABIERTO EXTRAIBLE DE 4 x 1600A (Icu=85kA)</t>
  </si>
  <si>
    <t xml:space="preserve">E2.2S 1600 Ekip Hi-Touch LSIG 4p WMP    </t>
  </si>
  <si>
    <t>ITM Bastidor Abierto 4x1600A (electrónico [0.4-1.0] In) - E2.2S-1600A-4P-Ekip Hi Touch LSIG - 85kA@440Vac - marca ABB.</t>
  </si>
  <si>
    <t>1SDA072989R1</t>
  </si>
  <si>
    <t xml:space="preserve">E2.2 W FP Iu=2000 4p HR HR              </t>
  </si>
  <si>
    <t>Parte fija del interruptor extraible (E2.2S) - marca ABB.</t>
  </si>
  <si>
    <t>1SDA073910R1</t>
  </si>
  <si>
    <t xml:space="preserve">AUX 4Q 400Vac E2.2...E6.2               </t>
  </si>
  <si>
    <t>Contacto auxiliares de abierto/cerrado - AUX (E2.2S) - marca ABB.</t>
  </si>
  <si>
    <t>1SDA073753R1</t>
  </si>
  <si>
    <t xml:space="preserve">S51 24V E2.2...E6.2                     </t>
  </si>
  <si>
    <t>Contacto de señalización actuación relés de protección - S51 (E2.2S) - marca ABB.</t>
  </si>
  <si>
    <t>1SDA073779R1</t>
  </si>
  <si>
    <t xml:space="preserve">MOC Coumput.Maniobras Mec. E2.2...E6.2  </t>
  </si>
  <si>
    <t>Cuentamaniobras mecánico - MOC (E2.2S) - marca ABB.</t>
  </si>
  <si>
    <t>1SDA073781R1</t>
  </si>
  <si>
    <t xml:space="preserve">PLC E2.2..E6.2 Padlocks in open D=8mm   </t>
  </si>
  <si>
    <t>Bloqueo para candados en posición de abierto PLC (E2.2S) - marca ABB.</t>
  </si>
  <si>
    <t>1SDA073805R1</t>
  </si>
  <si>
    <t>PLP Position padlock D=4/6/8mmE2.2..E6.2</t>
  </si>
  <si>
    <t>Bloqueo por candados en insertado/prueba/extraído - PLP (E2.2S) - marca ABB.</t>
  </si>
  <si>
    <t>1SDA073841R1</t>
  </si>
  <si>
    <t xml:space="preserve">Ekip Supply 110-240VAC/DC E1.2..E6.2    </t>
  </si>
  <si>
    <t>Modulo de alimentación - Ekip Supply 110-240V CA/CC (E2.2S) - marca ABB.</t>
  </si>
  <si>
    <t>BASTIDOR ABIERTO EXTRAIBLE DE 4 x 2500A, Icu=85kA, tipo E2.2S</t>
  </si>
  <si>
    <t xml:space="preserve">E2.2S 2500 Ekip Hi-Touch LSIG 4p WMP    </t>
  </si>
  <si>
    <t>ITM Bastidor Abierto 4x2500A (electrónico [0.4-1.0] In) - E2.2S-2500A-4P-Ekip Hi Touch LSIG - 85kA@440Vac - marca ABB.</t>
  </si>
  <si>
    <t>1SDA073059R1</t>
  </si>
  <si>
    <t>Contactos Auxiliares (E 2.2) - marca ABB.</t>
  </si>
  <si>
    <t>Actuación de relé (E 2.2) - marca ABB.</t>
  </si>
  <si>
    <t>---------------------------------------------------------------------</t>
  </si>
  <si>
    <t>SECCIONADORES</t>
  </si>
  <si>
    <t>T5D-400A-3P</t>
  </si>
  <si>
    <t>Seccionador Caja Moldeada In=3x400A, Ie=400A (AC22) / 400A (AC23), Icw(1s)=6kA - T5D-400A-3P - marca ABB.</t>
  </si>
  <si>
    <t>1SDA054599R1</t>
  </si>
  <si>
    <t>T5D-630A-3P</t>
  </si>
  <si>
    <t>Seccionador Caja Moldeada In=3x630A, Ie=500A (AC22) / 400A (AC23), Icw(1s)=6kA - T5D-630A-3P - marca ABB.</t>
  </si>
  <si>
    <t>1SDA054601R1</t>
  </si>
  <si>
    <t>T6D-630A-3P</t>
  </si>
  <si>
    <t>Seccionador Caja Moldeada In=3x630A, Ie=630A (AC22) / 630A (AC23), Icw(1s)=15kA - T6D-630A-3P - marca ABB.</t>
  </si>
  <si>
    <t>1SDA060343R1</t>
  </si>
  <si>
    <t>T6D-800A-3P</t>
  </si>
  <si>
    <t>Seccionador Caja Moldeada In=3x800A, Ie=800A (AC22) / 800A (AC23), Icw(1s)=15kA - T6D-800A-3P - marca ABB.</t>
  </si>
  <si>
    <t>1SDA060345R1</t>
  </si>
  <si>
    <t>T6D-1000A-3P</t>
  </si>
  <si>
    <t>Seccionador Caja Moldeada In=3x1000A, Ie=1000A (AC22) / 800A (AC23), Icw(1s)=15kA - T6D-1000A-3P - marca ABB.</t>
  </si>
  <si>
    <t>1SDA060594R1</t>
  </si>
  <si>
    <t>T7D-1000A-3P</t>
  </si>
  <si>
    <t>Seccionador Caja Moldeada Ie=3x1000A, Icw(1s)=20kA - T7D-1000A-3P - marca ABB.</t>
  </si>
  <si>
    <t>1SDA062032R1</t>
  </si>
  <si>
    <t>T7D-1250A-3P</t>
  </si>
  <si>
    <t>Seccionador Caja Moldeada Ie=3x1250A, Icw(1s)=20kA - T7D-1250A-3P - marca ABB.</t>
  </si>
  <si>
    <t>1SDA062036R1</t>
  </si>
  <si>
    <t>T7D-1600A-3P</t>
  </si>
  <si>
    <t>Seccionador Caja Moldeada Ie=3x1600A, Icw(1s)=20kA - T7D-1600A-3P - marca ABB.</t>
  </si>
  <si>
    <t>1SDA062040R1</t>
  </si>
  <si>
    <t>E1.2N-1600A-3P/MS</t>
  </si>
  <si>
    <t>Seccionador Bastidor Abierto Ie=3x1600A, Icw(1s)=66kA - E1.2N-1600A-3P/MS - marca ABB.</t>
  </si>
  <si>
    <t>1SDA073401R1</t>
  </si>
  <si>
    <t>E2.2N-2000A-3P/MS</t>
  </si>
  <si>
    <t>Seccionador Bastidor Abierto Ie=3x2000A, Icw(1s)=66kA - E2.2N-2000A-3P/MS - marca ABB.</t>
  </si>
  <si>
    <t>1SDA073412R1</t>
  </si>
  <si>
    <t>E2.2N-2500A-3P/MS</t>
  </si>
  <si>
    <t>Seccionador Bastidor Abierto Ie=3x2500A, Icw(1s)=66kA - E2.2N-2500A-3P/MS - marca ABB.</t>
  </si>
  <si>
    <t>1SDA073414R1</t>
  </si>
  <si>
    <t>E2.2H-2000A-3P/MS</t>
  </si>
  <si>
    <t>Seccionador Bastidor Abierto Ie=3x2000A, Icw(1s)=85kA, Icm=187kA - E2.2H-2000A-3P/MS - marca ABB.</t>
  </si>
  <si>
    <t>1SDA073413R1</t>
  </si>
  <si>
    <t>E2.2H-2500A-3P/MS</t>
  </si>
  <si>
    <t>Seccionador Bastidor Abierto Ie=3x2500A, Icw(1s)=85kA, Icm=187kA - E2.2H-2500A-3P/MS - marca ABB.</t>
  </si>
  <si>
    <t>1SDA073415R1</t>
  </si>
  <si>
    <t>T5D-400A-4P</t>
  </si>
  <si>
    <t>Seccionador Caja Moldeada In=4x400A, Ie=400A (AC22) / 400A (AC23), Icw(1s)=6kA - T5D-400A-4P - marca ABB.</t>
  </si>
  <si>
    <t>1SDA054600R1</t>
  </si>
  <si>
    <t>T5D-630A-4P</t>
  </si>
  <si>
    <t>Seccionador Caja Moldeada In=4x630A, Ie=500A (AC22) / 400A (AC23), Icw(1s)=6kA - T5D-630A-4P - marca ABB.</t>
  </si>
  <si>
    <t>1SDA054602R1</t>
  </si>
  <si>
    <t>T6D-630A-4P</t>
  </si>
  <si>
    <t>Seccionador Caja Moldeada In=4x630A, Ie=630A (AC22) / 630A (AC23), Icw(1s)=15kA - T6D-630A-4P - marca ABB.</t>
  </si>
  <si>
    <t>1SDA060344R1</t>
  </si>
  <si>
    <t>T6D-800A-4P</t>
  </si>
  <si>
    <t>Seccionador Caja Moldeada In=4x800A, Ie=800A (AC22) / 800A (AC23), Icw(1s)=15kA - T6D-800A-4P - marca ABB.</t>
  </si>
  <si>
    <t>1SDA060346R1</t>
  </si>
  <si>
    <t>T6D-1000A-4P</t>
  </si>
  <si>
    <t>Seccionador Caja Moldeada In=4x1000A, Ie=1000A (AC22) / 800A (AC23), Icw(1s)=15kA - T6D-1000A-4P - marca ABB.</t>
  </si>
  <si>
    <t>1SDA060595R1</t>
  </si>
  <si>
    <t>T7D-1000A-4P</t>
  </si>
  <si>
    <t>Seccionador Caja Moldeada Ie=4x1000A, Icw(1s)=20kA - T7D-1000A-4P - marca ABB.</t>
  </si>
  <si>
    <t>1SDA062033R1</t>
  </si>
  <si>
    <t>T7D-1250A-4P</t>
  </si>
  <si>
    <t>Seccionador Caja Moldeada Ie=4x1250A, Icw(1s)=20kA - T7D-1250A-4P - marca ABB.</t>
  </si>
  <si>
    <t>1SDA062037R1</t>
  </si>
  <si>
    <t>T7D-1600A-4P</t>
  </si>
  <si>
    <t>Seccionador Caja Moldeada Ie=4x1600A, Icw(1s)=20kA - T7D-1600A-4P - marca ABB.</t>
  </si>
  <si>
    <t>1SDA062041R1</t>
  </si>
  <si>
    <t>E1.2N-1600A-4P/MS</t>
  </si>
  <si>
    <t>Seccionador Bastidor Abierto Ie=4x1600A, Icw(1s)=66kA - E1.2N-1600A-4P/MS - marca ABB.</t>
  </si>
  <si>
    <t>1SDA073440R1</t>
  </si>
  <si>
    <t>E2.2N-2000A-4P/MS</t>
  </si>
  <si>
    <t>Seccionador Bastidor Abierto Ie=4x2000A, Icw(1s)=66kA - E2.2N-2000A-4P/MS - marca ABB.</t>
  </si>
  <si>
    <t>1SDA073451R1</t>
  </si>
  <si>
    <t>E2.2N-2500A-4P/MS</t>
  </si>
  <si>
    <t>Seccionador Bastidor Abierto Ie=4x2500A, Icw(1s)=66kA - E2.2N-2500A-4P/MS - marca ABB.</t>
  </si>
  <si>
    <t>1SDA073453R1</t>
  </si>
  <si>
    <t>E2.2H-2000A-4P/MS</t>
  </si>
  <si>
    <t>Seccionador Bastidor Abierto Ie=4x2000A, Icw(1s)=85kA, Icm=187kA - E2.2H-2000A-4P/MS - marca ABB.</t>
  </si>
  <si>
    <t>1SDA073452R1</t>
  </si>
  <si>
    <t>E2.2H-2500A-4P/MS</t>
  </si>
  <si>
    <t>Seccionador Bastidor Abierto Ie=4x2500A, Icw(1s)=85kA, Icm=187kA - E2.2H-2500A-4P/MS - marca ABB.</t>
  </si>
  <si>
    <t>1SDA073454R1</t>
  </si>
  <si>
    <t>NH-080</t>
  </si>
  <si>
    <t>Fusible NH000 80A, 500VAC, IR 120KA, gL/gG, Y216543H FERRAZ SHAWMUT</t>
  </si>
  <si>
    <t>1SCA022845R9260</t>
  </si>
  <si>
    <t>OTM_I-0-II_3p_2000A</t>
  </si>
  <si>
    <t>Conmutador motorizado bajo carga (I-0-II), modelo OTM, 3p, 2000A (AC21..AC22) - marca ABB.</t>
  </si>
  <si>
    <t>1SCA112709R1001</t>
  </si>
  <si>
    <t>OTM_I-0-II_3p_2500A</t>
  </si>
  <si>
    <t>Conmutador motorizado bajo carga (I-0-II), modelo OTM, 3p, 2500A (AC21..AC22) - marca ABB.</t>
  </si>
  <si>
    <t>1SCA112710R1001</t>
  </si>
  <si>
    <t>OTM_I-0-II_4p_2000A</t>
  </si>
  <si>
    <t>Conmutador motorizado bajo carga (I-0-II), modelo OTM-C, 4p, 2000A (AC21..AC22) / 2000A (AC23) - marca ABB.</t>
  </si>
  <si>
    <t>1SCA112712R1001</t>
  </si>
  <si>
    <t>OT_I-0-II_3p_2500A</t>
  </si>
  <si>
    <t>Conmutador manual bajo carga (I-0-II), modelo OT-C, 3p, 2500A (AC21..AC22) - marca ABB.</t>
  </si>
  <si>
    <t>1SCA105615R1001</t>
  </si>
  <si>
    <t>CONTROL PRODUCTS</t>
  </si>
  <si>
    <t>AF40-30-00-13_3p</t>
  </si>
  <si>
    <t>Contactor 3x40A(AC-3) / 3x70A(AC-1) - AF40-30-00-13 - bobina 100-250Vac/dc - marca ABB.</t>
  </si>
  <si>
    <t>1SBL347001R1300</t>
  </si>
  <si>
    <t>AF140-30-00-13_3p</t>
  </si>
  <si>
    <t>Contactor 3x140A(AC-3) / 3x200A(AC-1) - AF140-30-00-13 - bobina 100-250Vac/dc - marca ABB.</t>
  </si>
  <si>
    <t>1SFL447001R1300</t>
  </si>
  <si>
    <t>AF146-30-00-13_3p</t>
  </si>
  <si>
    <t>Contactor 3x146A(AC-3) / 3x225A(AC-1) - AF146-30-00-13 - bobina 100-250Vac/dc - marca ABB.</t>
  </si>
  <si>
    <t>1SFL467001R1300</t>
  </si>
  <si>
    <t>1SBL137001R1301</t>
  </si>
  <si>
    <t>Contactor AF09-30-01-13 mas contacto 1NC</t>
  </si>
  <si>
    <t>1SBN030111R1000</t>
  </si>
  <si>
    <t>Kit de enclavamiento para contactores VEM4</t>
  </si>
  <si>
    <t>Contactor AC6-b - 8kVAR / 230Vac, 12.5kVAR / 400Vac +1NA - UA16-30-10_RA_3p - bobina 200-220Vac - marca ABB.</t>
  </si>
  <si>
    <t>Contactor AC6-b - 12.5kVAR / 230Vac, 22kVAR / 400Vac +1NA - UA26-30-10_RA_3p - bobina 200-220Vac - marca ABB.</t>
  </si>
  <si>
    <t>Contactor AC6-b - 16kVAR / 230Vac, 27.5kVAR / 400Vac +1NA - UA30-30-10_RA_3p - bobina 200-220Vac - marca ABB.</t>
  </si>
  <si>
    <t>Contactor AC6-b - 25kVAR / 230Vac, 40kVAR / 400Vac - UA50-30-00_RA_3p - bobina 200-220Vac - marca ABB.</t>
  </si>
  <si>
    <t>Contactor AC6-b - 30kVAR / 230Vac, 50kVAR / 400Vac - UA63-30-00_RA_3p - bobina 200-220Vac - marca ABB.</t>
  </si>
  <si>
    <t>Contactor AC6-b - 35kVAR / 230Vac, 60kVAR / 400Vac - UA75-30-00_RA_3p - bobina 200-220Vac - marca ABB.</t>
  </si>
  <si>
    <t>Contactor AC6-b - 40kVAR / 230Vac, 70kVAR / 400Vac - UA95-30-00_RA_3p - bobina 200-220Vac - marca ABB.</t>
  </si>
  <si>
    <t>Contactor AC6-b - 45kVAR / 230Vac, 80kVAR / 400Vac - UA110-30-00_RA_3p - bobina 200-220Vac - marca ABB.</t>
  </si>
  <si>
    <t>MS495-63.0</t>
  </si>
  <si>
    <t>MS495 Guardamotor - Ith=45.0 ..63.0A - 16.0HP@220Vac / 33.0HP@440V - Icu=25kA@400Vac, clase disparo 10 - marca ABB.</t>
  </si>
  <si>
    <t>1SAM550000R1007</t>
  </si>
  <si>
    <t>MS495-75.0</t>
  </si>
  <si>
    <t>MS495 Guardamotor - Ith=57.0 ..75.0A - 20.0HP@220Vac / 40.0HP@440V - Icu=25kA@400Vac, clase disparo 10 - marca ABB.</t>
  </si>
  <si>
    <t>1SAM550000R1008</t>
  </si>
  <si>
    <t>MS495-90.0</t>
  </si>
  <si>
    <t>MS495 Guardamotor - Ith=70.0 ..90.0A - 25.0HP@220Vac / 50.0HP@440V - Icu=25kA@400Vac, clase disparo 10 - marca ABB.</t>
  </si>
  <si>
    <t>1SAM550000R1009</t>
  </si>
  <si>
    <t>MS495-100.0</t>
  </si>
  <si>
    <t>MS495 Guardamotor - Ith=80.0 ..100.0A - 30.0HP@220Vac / 60.0HP@440V - Icu=25kA@400Vac, clase disparo 10 - marca ABB.</t>
  </si>
  <si>
    <t>1SAM550000R1010</t>
  </si>
  <si>
    <t>HKF1-11</t>
  </si>
  <si>
    <t>Contacto auxiliar p/Guardamotor MS116/MS132/MS165, modelo HKF1-11, montaje frontal, marca ABB.</t>
  </si>
  <si>
    <t>1SAM201901R1001</t>
  </si>
  <si>
    <t>HK1-11</t>
  </si>
  <si>
    <t>Contacto auxiliar p/Guardamotor MS116/MS132/MS165, modelo HK1-11, montaje lateral derecho, marca ABB.</t>
  </si>
  <si>
    <t>1SAM201902R1001</t>
  </si>
  <si>
    <t>TF42-1.0</t>
  </si>
  <si>
    <t>TF42-1.0 Relé de sobrecarga - Ith=0.74…1.00A, clase disparo 10 - p/ contactor AF09 … AF38 - marca ABB.</t>
  </si>
  <si>
    <t>1SAZ721201R1023</t>
  </si>
  <si>
    <t>TF42-1.3</t>
  </si>
  <si>
    <t>TF42-1.3 Relé de sobrecarga - Ith=1.00…1.30A, clase disparo 10 - p/ contactor AF09 … AF38 - marca ABB.</t>
  </si>
  <si>
    <t>1SAZ721201R1025</t>
  </si>
  <si>
    <t>TF42-1.7</t>
  </si>
  <si>
    <t>TF42-1.7 Relé de sobrecarga - Ith=1.30…1.70A, clase disparo 10 - p/ contactor AF09 … AF38 - marca ABB.</t>
  </si>
  <si>
    <t>1SAZ721201R1028</t>
  </si>
  <si>
    <t>TF42-2.3</t>
  </si>
  <si>
    <t>TF42-2.3 Relé de sobrecarga - Ith=1.70…2.30A, clase disparo 10 - p/ contactor AF09 … AF38 - marca ABB.</t>
  </si>
  <si>
    <t>1SAZ721201R1031</t>
  </si>
  <si>
    <t>TF42-3.1</t>
  </si>
  <si>
    <t>TF42-3.1 Relé de sobrecarga - Ith=2.30...3.10A, clase disparo 10 - p/ contactor AF09 … AF38 - marca ABB.</t>
  </si>
  <si>
    <t>1SAZ721201R1033</t>
  </si>
  <si>
    <t>TF42-4.2</t>
  </si>
  <si>
    <t>TF42-4.2 Relé de sobrecarga - Ith=3.10…4.20A, clase disparo 10 - p/ contactor AF09 … AF38 - marca ABB.</t>
  </si>
  <si>
    <t>1SAZ721201R1035</t>
  </si>
  <si>
    <t>TF42-5.7</t>
  </si>
  <si>
    <t>TF42-5.7 Relé de sobrecarga - Ith=4.20…5.70A, clase disparo 10 - p/ contactor AF09 … AF38 - marca ABB.</t>
  </si>
  <si>
    <t>1SAZ721201R1038</t>
  </si>
  <si>
    <t>TF42-7.6</t>
  </si>
  <si>
    <t>TF42-7.6 Relé de sobrecarga - Ith=5.70…7.60A, clase disparo 10 - p/ contactor AF09 … AF38 - marca ABB.</t>
  </si>
  <si>
    <t>1SAZ721201R1040</t>
  </si>
  <si>
    <t>TF42-10</t>
  </si>
  <si>
    <t>TF42-10 Relé de sobrecarga - Ith=7.60…10.0A, clase disparo 10 - p/ contactor AF09 … AF38 - marca ABB.</t>
  </si>
  <si>
    <t>1SAZ721201R1043</t>
  </si>
  <si>
    <t>TF42-13</t>
  </si>
  <si>
    <t>TF42-13 Relé de sobrecarga - Ith=10.0…13.0A, clase disparo 10 - p/ contactor AF09 … AF38 - marca ABB.</t>
  </si>
  <si>
    <t>1SAZ721201R1045</t>
  </si>
  <si>
    <t>TF42-16</t>
  </si>
  <si>
    <t>TF42-16 Relé de sobrecarga - Ith=13.0…16.0A, clase disparo 10 - p/ contactor AF09 … AF38 - marca ABB.</t>
  </si>
  <si>
    <t>1SAZ721201R1047</t>
  </si>
  <si>
    <t>TF42-20</t>
  </si>
  <si>
    <t>TF42-20 Relé de sobrecarga - Ith=16.0…20.0A, clase disparo 10 - p/ contactor AF09 … AF38 - marca ABB.</t>
  </si>
  <si>
    <t>1SAZ721201R1049</t>
  </si>
  <si>
    <t>TF42-24</t>
  </si>
  <si>
    <t>TF42-24 Relé de sobrecarga - Ith=20.0...24.0A, clase disparo 10 - p/ contactor AF09 … AF38 - marca ABB.</t>
  </si>
  <si>
    <t>1SAZ721201R1051</t>
  </si>
  <si>
    <t>TF42-38 Relé de sobrecarga - Ith=24.0...29.0A, clase disparo 10 - p/ contactor AF09 … AF38 - marca ABB.</t>
  </si>
  <si>
    <t>TF42-38 Relé de sobrecarga - Ith=29.0...35.0A, clase disparo 10 - p/ contactor AF09 … AF38 - marca ABB.</t>
  </si>
  <si>
    <t>TF42-38 Relé de sobrecarga - Ith=35.0...38.0A, clase disparo 10 - p/ contactor AF09 … AF38 - marca ABB.</t>
  </si>
  <si>
    <t>MCBH5-00</t>
  </si>
  <si>
    <t>Soporte para 5 blocks línea modular, modelo MCBH5-00 - marca ABB.</t>
  </si>
  <si>
    <t>1SFA611601R1100</t>
  </si>
  <si>
    <t>Selector 3 posiciones mantenidos - 1-0-2 / M-0-A - maneta corta, contactos 2NA - M3SS1-10B-KAA - línea modular - marca ABB.</t>
  </si>
  <si>
    <t>Selector 3 posiciones mantenidos - N-0-E / 1-0-2 - maneta corta, contactos 2NA - M3SS1-10B-KAA - línea modular - marca ABB.</t>
  </si>
  <si>
    <t>Selector 2 posiciones mantenidos - 0-1 - maneta corta, contacto 1NA - M2SS2-10B-KA - línea modular - marca ABB.</t>
  </si>
  <si>
    <t>Contacto auxiliar 1NA - p/ línea modular - marca ABB.</t>
  </si>
  <si>
    <t>Contacto auxiliar 1NC - p/ línea modular - marca ABB.</t>
  </si>
  <si>
    <t>MCB-20</t>
  </si>
  <si>
    <t>Bloque de contacto doble (2NA) p/ línea modular - marca ABB.</t>
  </si>
  <si>
    <t>1SFA611610R1002</t>
  </si>
  <si>
    <t>Lámpara tipo LED montable - color Rojo - alimentacion: 220-230Vac - MLBL-07R - línea modular - marca ABB.</t>
  </si>
  <si>
    <t>Portalámpara + lampara tipo LED - color Rojo - alimentacion: 220-230Vac, d=22mm. - CL2-523R - línea compacta - marca ABB.</t>
  </si>
  <si>
    <t>Portalámpara + lampara tipo LED - color Verde - alimentacion: 220-230Vac, d=22mm. - CL2-523G - línea compacta - marca ABB.</t>
  </si>
  <si>
    <t>Portalámpara + lampara tipo LED - color amarillo - alimentacion: 220-230Vac, d=22mm. - CL2-523Y - línea compacta - marca ABB.</t>
  </si>
  <si>
    <t>Portalámpara + lampara tipo LED - color Rojo - alimentacion: 110-130Vac, d=22mm. - CL2-513R - línea compacta - marca ABB.</t>
  </si>
  <si>
    <t>Portalámpara + lampara tipo LED - color Verde - alimentacion: 110-130Vac, d=22mm. - CL2-513G - línea compacta - marca ABB.</t>
  </si>
  <si>
    <t>Portalámpara + lampara tipo LED - color amarillo - alimentacion: 110-130Vac, d=22mm. - CL2-513Y - línea compacta - marca ABB.</t>
  </si>
  <si>
    <t>Portalámpara + lampara tipo LED - color Rojo - alimentacion: 110-130Vdc, d=22mm. - CL2-515R - línea compacta - marca ABB.</t>
  </si>
  <si>
    <t>Portalámpara + lampara tipo LED - color Verde - alimentacion: 110-130Vdc, d=22mm. - CL2-515G - línea compacta - marca ABB.</t>
  </si>
  <si>
    <t>Portalámpara + lampara tipo LED - color amarillo - alimentacion: 110-130Vdc, d=22mm. - CL2-515Y - línea compacta - marca ABB.</t>
  </si>
  <si>
    <t>Portalámpara + lampara tipo LED - color Rojo - alimentacion: 24Vac/dc, d=22mm. - CL2-502R - línea compacta - marca ABB.</t>
  </si>
  <si>
    <t>Portalámpara + lampara tipo LED - color Verde - alimentacion: 24Vac/dc, d=22mm. - CL2-502G - línea compacta - marca ABB.</t>
  </si>
  <si>
    <t>Portalámpara + lampara tipo LED - color amarillo - alimentacion: 24Vac/dc, d=22mm. - CL2-502Y - línea compacta - marca ABB.</t>
  </si>
  <si>
    <t>1SVR427054R0000</t>
  </si>
  <si>
    <t>CM-SRS.22S</t>
  </si>
  <si>
    <t>Relé de monitoreo por corriente, tiempo de disparo ajustable, I=0.3 .. 15A, Uc=24-250V AC/DC, 02 contactos NA/NC - modelo CM-SRS.22S - marca ABB.</t>
  </si>
  <si>
    <t>1SVR730840R0500</t>
  </si>
  <si>
    <t>PS4/60/16A</t>
  </si>
  <si>
    <t>Peine de cobre tetrapolar (L1+L2+L3+N) - p/modelo DIN de 60 polos, marca ABB.</t>
  </si>
  <si>
    <t>2CDL240110R1660</t>
  </si>
  <si>
    <t>PS4/58/16NA</t>
  </si>
  <si>
    <t>Peine de cobre Bipolar (L1+N) - p/modelo DIN de 58 polos, marca ABB.</t>
  </si>
  <si>
    <t>2CDL240213R1658</t>
  </si>
  <si>
    <t>VV-ACS580-P/37kW</t>
  </si>
  <si>
    <t>VARIADOR DE VELOCIDAD 37kW - 380V/480V (IP21) - MODELO ACS580-01-073A-4+J400 - marca ABB.</t>
  </si>
  <si>
    <t>74612850</t>
  </si>
  <si>
    <t>CHK-XX</t>
  </si>
  <si>
    <t>Reactancia de entrada (integrado)</t>
  </si>
  <si>
    <t>NOCH0120-62</t>
  </si>
  <si>
    <t>Reactancia de Salida (Filtro du/dt). IP 22 - modelo NOCH0120-62, para ACS580/880 - marca ABB.</t>
  </si>
  <si>
    <t>64782126</t>
  </si>
  <si>
    <t>ACS-BRK-D</t>
  </si>
  <si>
    <t>Chopper + Resistencia de Frenado de 10.5 Ohm. 7000W - modelo ACS-BRK-D, para ACS580/880 - marca ABB .</t>
  </si>
  <si>
    <t>64102931</t>
  </si>
  <si>
    <t>ACS-AP-W</t>
  </si>
  <si>
    <t>Panel de control asistente con interface Bluetooth para ACS580/ACS880 - modelo ACS-AP-W, marca ABB.</t>
  </si>
  <si>
    <t>3AXD50000025965</t>
  </si>
  <si>
    <t>DPMP-EXT</t>
  </si>
  <si>
    <t>Kit de la plataforma del panel y del adaptador de bus de campo (CDPI-01 + DPMP-02) - marca ABB.</t>
  </si>
  <si>
    <t>3AXD50000010763</t>
  </si>
  <si>
    <t>FMBA-XX</t>
  </si>
  <si>
    <t>Modbus (integrado)</t>
  </si>
  <si>
    <t>DriveWindow Light 2</t>
  </si>
  <si>
    <t>(Software libre y cable convencional)</t>
  </si>
  <si>
    <t>MT-310B</t>
  </si>
  <si>
    <t>Potenciómetro, incluye de escala 0-10 K (dimensión de placa 48.5mm x 44.5 mm) - modelo MT-310B - marca ABB.</t>
  </si>
  <si>
    <t>1SFA611410P3106</t>
  </si>
  <si>
    <t>RETA-02</t>
  </si>
  <si>
    <t>Módulo de comunicación Ethernet - modelo RETA-02 - marca ABB.</t>
  </si>
  <si>
    <t>VV-ACS355-P/22kW</t>
  </si>
  <si>
    <t>3AUA0000058195</t>
  </si>
  <si>
    <t>CHK-06</t>
  </si>
  <si>
    <t>Reactancia de Entrada de L=0.7mH, IP 00 - modelo CHK-06, marca ABB</t>
  </si>
  <si>
    <t>CBT-V 560</t>
  </si>
  <si>
    <t>Resistencia de Frenado de 18 Ohm. 2200W, IP 21 - modelo CBT-V 560 GHT 281 18R, marca ABB .</t>
  </si>
  <si>
    <t>3AUA0000023613</t>
  </si>
  <si>
    <t>Kit de montaje para panel (covertura IP66 + cable de 3m + tornillos de fijación)</t>
  </si>
  <si>
    <t>FMBA-01</t>
  </si>
  <si>
    <t>Módulo de comunicación Modbus p/ ACS355 - marca ABB.</t>
  </si>
  <si>
    <t>Software p/PC + cable p/programación</t>
  </si>
  <si>
    <t>MPOT-01</t>
  </si>
  <si>
    <t>Potenciómetro de 10kW (c/conmutadores START/STOP y AV/RTR)</t>
  </si>
  <si>
    <t>VV-ACS355-P/18.5kW_</t>
  </si>
  <si>
    <t>3AUA0000058194</t>
  </si>
  <si>
    <t>VV-ACS355-P/15kW_</t>
  </si>
  <si>
    <t>3AUA0000058193</t>
  </si>
  <si>
    <t>CHK-05</t>
  </si>
  <si>
    <t>Reactancia de Entrada de L=1.1mH, IP 00 - modelo CHK-05, marca ABB</t>
  </si>
  <si>
    <t>VV-ACS355-P/7.5kW</t>
  </si>
  <si>
    <t>3AUA0000058191</t>
  </si>
  <si>
    <t>Resistencia de Frenado de 80 Ohm. 790W, IP 21 - modelo CBR-V 460 DT 281 80R, marca ABB .</t>
  </si>
  <si>
    <t>VV-ACS355-P/4kW</t>
  </si>
  <si>
    <t>3AUA0000058189</t>
  </si>
  <si>
    <t>VV-ACS355-P/3kW</t>
  </si>
  <si>
    <t>VV-ACS355-P/0.55kW</t>
  </si>
  <si>
    <t>VV-ACS355-P/0.75kW-1F+N</t>
  </si>
  <si>
    <t>3AUA0000058167</t>
  </si>
  <si>
    <t>CBR-V 160</t>
  </si>
  <si>
    <t>Resistencia de Frenado de 70 Ohm. 280W, IP 21 - modelo CBR-V 160 DT 281 70R, marca ABB .</t>
  </si>
  <si>
    <t>CHK-B1</t>
  </si>
  <si>
    <t>Reactancia de Entrada de L=2.8mH, IP 00 - modelo CHK-B1, marca ABB</t>
  </si>
  <si>
    <t>1 CUERPO (PUERTA CIEGA)</t>
  </si>
  <si>
    <t>1 CUERPO (PUERTA TRANSPARENTE)</t>
  </si>
  <si>
    <t>IS2_V_2100x600x600mm</t>
  </si>
  <si>
    <t>GA206060PV</t>
  </si>
  <si>
    <t>IS2_V_2100x800x600mm</t>
  </si>
  <si>
    <t>GA208060PV</t>
  </si>
  <si>
    <t>IS2_V_2100x600x800mm</t>
  </si>
  <si>
    <t>GA206080PV</t>
  </si>
  <si>
    <t>IS2_V_2100x800x800mm</t>
  </si>
  <si>
    <t>GA208080PV</t>
  </si>
  <si>
    <t>TABLEROS METALICOS MURALES - Serie SR2 (PUERTA CIEGA)</t>
  </si>
  <si>
    <t>SRN3315K</t>
  </si>
  <si>
    <t>SRN4315K</t>
  </si>
  <si>
    <t>SRN4620K</t>
  </si>
  <si>
    <t>SRN5320K</t>
  </si>
  <si>
    <t>SRN6420K</t>
  </si>
  <si>
    <t>SRN6425K</t>
  </si>
  <si>
    <t>SRN6625K</t>
  </si>
  <si>
    <t>SRN7520K</t>
  </si>
  <si>
    <t>SRN7525K</t>
  </si>
  <si>
    <t>SRN8625K</t>
  </si>
  <si>
    <t>SRN8630K</t>
  </si>
  <si>
    <t>SRN8830K</t>
  </si>
  <si>
    <t>TABLEROS METALICOS MURALES - Serie SR2 (PUERTA TRANSPARENTE)</t>
  </si>
  <si>
    <t>SR2_V_500x400x200mm</t>
  </si>
  <si>
    <t>Tablero metalico mural - serie SR2, TYPE 12 / IP65 - 500x400x200mm - con placa base y puerta transparente - marca ABB.</t>
  </si>
  <si>
    <t>SRN5420VK</t>
  </si>
  <si>
    <t>SR2_V_500x400x250mm</t>
  </si>
  <si>
    <t>Tablero metalico mural - serie SR2, TYPE 12 / IP65 - 500x400x250mm - con placa base y puerta transparente - marca ABB.</t>
  </si>
  <si>
    <t>SRN5425VK</t>
  </si>
  <si>
    <t>SR2_V_600x400x200mm</t>
  </si>
  <si>
    <t>Tablero metalico mural - serie SR2, TYPE 12 / IP65 - 600x400x200mm - con placa base y puerta transparente - marca ABB.</t>
  </si>
  <si>
    <t>SRN6420VK</t>
  </si>
  <si>
    <t>SR2_V_600x400x250mm</t>
  </si>
  <si>
    <t>Tablero metalico mural - serie SR2, TYPE 12 / IP65 - 600x400x250mm - con placa base y puerta transparente - marca ABB.</t>
  </si>
  <si>
    <t>SRN6425VK</t>
  </si>
  <si>
    <t>SR2_V_700x500x200mm</t>
  </si>
  <si>
    <t>Tablero metalico mural - serie SR2, TYPE 12 / IP65 - 700x500x200mm - con placa base y puerta transparente - marca ABB.</t>
  </si>
  <si>
    <t>SRN7520VK</t>
  </si>
  <si>
    <t>SR2_V_700x500x250mm</t>
  </si>
  <si>
    <t>Tablero metalico mural - serie SR2, TYPE 12 / IP65 - 700x500x250mm - con placa base y puerta transparente - marca ABB.</t>
  </si>
  <si>
    <t>SRN7525VK</t>
  </si>
  <si>
    <t>SR2_V_800x600x250mm</t>
  </si>
  <si>
    <t>Tablero metalico mural - serie SR2, TYPE 12 / IP65 - 800x600x250mm - con placa base y puerta transparente - marca ABB.</t>
  </si>
  <si>
    <t>SRN8625VK</t>
  </si>
  <si>
    <t>SR2_V_800x600x300mm</t>
  </si>
  <si>
    <t>Tablero metalico mural - serie SR2, TYPE 12 / IP65 - 800x600x300mm - con placa base y puerta transparente - marca ABB.</t>
  </si>
  <si>
    <t>SRN8630VK</t>
  </si>
  <si>
    <t>SR2_V_1000x600x250mm</t>
  </si>
  <si>
    <t>Tablero metalico mural - serie SR2, TYPE 12 / IP65 - 1000x600x250mm - con placa base y puerta transparente - marca ABB.</t>
  </si>
  <si>
    <t>SRN10625VK</t>
  </si>
  <si>
    <t>SR2_V_1000x600x300mm</t>
  </si>
  <si>
    <t>Tablero metalico mural - serie SR2, TYPE 12 / IP65 - 1000x600x300mm - con placa base y puerta transparente - marca ABB.</t>
  </si>
  <si>
    <t>SRN10630VK</t>
  </si>
  <si>
    <t>SR2_V_1000x800x300mm</t>
  </si>
  <si>
    <t>Tablero metalico mural - serie SR2, TYPE 12 / IP65 - 1000x800x300mm - con placa base y puerta transparente - marca ABB.</t>
  </si>
  <si>
    <t>SRN10830VK</t>
  </si>
  <si>
    <t>SR2_V_1200x600x300mm</t>
  </si>
  <si>
    <t>Tablero metalico mural - serie SR2, TYPE 12 / IP65 - 1200x600x300mm - con placa base y puerta transparente - marca ABB.</t>
  </si>
  <si>
    <t>SRN12630VK</t>
  </si>
  <si>
    <t>SR2_V_1200x800x300mm</t>
  </si>
  <si>
    <t>Tablero metalico mural - serie SR2, TYPE 12 / IP65 - 1200x800x300mm - con placa base y puerta transparente - marca ABB.</t>
  </si>
  <si>
    <t>SRN12830VK</t>
  </si>
  <si>
    <t>MIS_232x250x108mm</t>
  </si>
  <si>
    <t>Tablero termoplástico para Empotrar, serie MISTRAL 41F p/transparente 8 modulos. 232x250x108mm - IP41, IK08, RAL 9016 - marca ABB.</t>
  </si>
  <si>
    <t>1SLM004100A1202</t>
  </si>
  <si>
    <t>1SDA071066R1</t>
  </si>
  <si>
    <t>ITM Bastidor Abierto 3x2500A (electrónico [0.4-1.0] In) - E2.2N-2500A-3P-Ekip Touch LSIG - 66kA@440Vac - marca ABB.</t>
  </si>
  <si>
    <t>EQUIPOS UL (ABB)</t>
  </si>
  <si>
    <t>ITM de 3x2500A , ( Reg. 1250-2500A ) GRH,  135kA-220Vac. / 70kA-380Vac. - marca EATON.</t>
  </si>
  <si>
    <t>ITM de 3x2000A , ( Reg. 1000-2000A ) GRH,  125kA-240Vac. / 65kA-480Vac. - marca EATON.</t>
  </si>
  <si>
    <t>ITM de 3x1600A , ( Reg. 800-1600A ) GRH,  125kA-240Vac. / 65kA-480Vac. - marca EATON.</t>
  </si>
  <si>
    <t>ITM de 3x1600A , ( Reg. 800-1600A ) GNS,  65kA-240Vac. / 50kA-480Vac. - marca EATON.</t>
  </si>
  <si>
    <t>GNS4125T33WP09</t>
  </si>
  <si>
    <t>ITM de 4x1250A , ( Reg. 630-1250A ) GNS,  65kA-240Vac. / 50kA-480Vac. - marca EATON.</t>
  </si>
  <si>
    <t>ITM de 3x1250A , ( Reg. 630-1250A ) GNS,  65kA-240Vac. / 50kA-480Vac. - marca EATON.</t>
  </si>
  <si>
    <t>ITM de 3x800A , ( Reg. 400-800A ) GNS,  65kA-240Vac. / 50kA-480Vac. - marca EATON.</t>
  </si>
  <si>
    <t>Terminal T1200NB3M</t>
  </si>
  <si>
    <t>GLS363036M</t>
  </si>
  <si>
    <t>ITM de 3x630A LSIG , ( Reg. 504-630A ) GLS,  85kA-240Vac. / 50kA-480Vac. - marca EATON.</t>
  </si>
  <si>
    <t>ITM de 3x630A , ( Reg. 504-630A ) GLS,  85kA-240Vac. / 50kA-480Vac. - marca EATON.</t>
  </si>
  <si>
    <t>ITM de 3x500A , ( Reg. 400-500A ) GLS,  85kA-240Vac. / 50kA-480Vac. - marca EATON.</t>
  </si>
  <si>
    <t>ITM de 3x400A , ( Reg. 320-400A ) GLS,  85kA-240Vac. / 50kA-480Vac. - marca EATON.</t>
  </si>
  <si>
    <t>ITM de 3x320A , ( Reg. 250-320A ) GLS,  85kA-240Vac. / 50kA-480Vac. - marca EATON.</t>
  </si>
  <si>
    <t>3TA632LK</t>
  </si>
  <si>
    <t>Jgo. de 3 terminales - p/modelo GL, hasta 630A, marca EATON.</t>
  </si>
  <si>
    <t>Jgo. de 3 terminales - p/modelo GL, hasta 400A, marca EATON.</t>
  </si>
  <si>
    <t>ITM de 3x250A , ( Reg. 200-250A ) GJS,  85kA-240Vac. - marca EATON.</t>
  </si>
  <si>
    <t>ITM de 3x200A , ( Reg. 200-160A ) GJS,  85kA-240Vac. - marca EATON.</t>
  </si>
  <si>
    <t>ITM de 3x160A , ( Reg. 128-160A ) GJS,  85kA-240Vac. - marca EATON.</t>
  </si>
  <si>
    <t>GJS3125AAM</t>
  </si>
  <si>
    <t>ITM de 3x125A , ( Reg. 100-125A ) GJS,  85kA-240Vac. - marca EATON.</t>
  </si>
  <si>
    <t xml:space="preserve">Jgo. de terminales - p/modelo GJ/JG, hasta 250A - marca EATON. </t>
  </si>
  <si>
    <t>ITM de 3x160A , ( Reg. 125-160A ) GES,  85kA-240Vac. / 35kA-480Vac. - marca EATON.</t>
  </si>
  <si>
    <t>ITM de 3x125A , ( Reg. 100-125A ) GES,  85kA-240Vac. / 35kA-480Vac. - marca EATON.</t>
  </si>
  <si>
    <t>ITM de 3x100A , ( Reg. 80-100A ) GES,  85kA-240Vac. / 35kA-480Vac. - marca EATON.</t>
  </si>
  <si>
    <t>ITM de 3x80A , ( Reg. 63-80A ) GES,  85kA-240Vac. / 35kA-480Vac. - marca EATON.</t>
  </si>
  <si>
    <t>ITM de 3x63A , ( Reg. 50-63A ) GES,  85kA-240Vac. / 35kA-480Vac. - marca EATON.</t>
  </si>
  <si>
    <t>ITM de 3x50A , ( Reg. 40-50A ) GES,  85kA-240Vac. / 35kA-480Vac. - marca EATON.</t>
  </si>
  <si>
    <t>ITM de 3x40A , ( Reg. 32-40A ) GES,  85kA-240Vac. / 35kA-480Vac. - marca EATON.</t>
  </si>
  <si>
    <t>ITM de 3x32A , ( Reg. 25-32A ) GES,  85kA-240Vac. / 35kA-480Vac. - marca EATON.</t>
  </si>
  <si>
    <t>ITM de 3x20A , ( Reg. 16-20A ) GES,  85kA-240Vac. / 35kA-480Vac. - marca EATON.</t>
  </si>
  <si>
    <t>ITM de 4x400A , ( Reg. 320-400A ) GLS,  85kA-240Vac. / 50kA-380Vac. - marca EATON.</t>
  </si>
  <si>
    <t>ITM de 4x320A , ( Reg. 250-320A ) GLS,  85kA-240Vac. / 50kA-380Vac. - marca EATON.</t>
  </si>
  <si>
    <t>ITM de 4x250A , ( Reg. 200-250A ) GJS,  85kA-240Vac / 50kA-380Vac. - marca EATON.</t>
  </si>
  <si>
    <t>ITM de 4x200A , ( Reg. 160-200A ) GJS,  85kA-240Vac / 50kA-380Vac. - marca EATON.</t>
  </si>
  <si>
    <t>GES4032AFM</t>
  </si>
  <si>
    <t>ITM de 4x32A , ( Reg. 25-32A ) GES,  85kA-220Vac. / 40kA-380Vac. - EATON.</t>
  </si>
  <si>
    <t>ITM de 4x160A , ( Reg. 125-160A ) GES,  85kA-220Vac. / 40kA-380Vac. - marca EATON.</t>
  </si>
  <si>
    <t>ITM de 4x125A , ( Reg. 100-125A ) GES,  85kA-220Vac. / 40kA-380Vac. - marca EATON.</t>
  </si>
  <si>
    <t>ITM de 4x100A , ( Reg. 80-100A ) GES,  85kA-220Vac. / 40kA-380Vac. - marca EATON.</t>
  </si>
  <si>
    <t>ITM de 4x80A , ( Reg. 63-80A ) GES,  85kA-220Vac. / 40kA-380Vac. - marca EATON.</t>
  </si>
  <si>
    <t>ITM de 4x63A , ( Reg. 50-63A ) GES,  85kA-220Vac. / 40kA-380Vac. - marca EATON.</t>
  </si>
  <si>
    <t>ITM de 4x50A , ( Reg. 40-50A ) GES,  85kA-220Vac. / 40kA-380Vac. - marca EATON.</t>
  </si>
  <si>
    <t>ITM de 4x40A , ( Reg. 32-40A ) GES,  85kA-220Vac. / 40kA-380Vac. - marca EATON.</t>
  </si>
  <si>
    <t>ITM de 4x32A , ( Reg. 25-32A ) GES,  85kA-220Vac. / 40kA-380Vac. - marca EATON.</t>
  </si>
  <si>
    <t>ITM de 4x25A , ( Reg. 20-25A ) GES,  85kA-220Vac. / 40kA-380Vac. - marca EATON.</t>
  </si>
  <si>
    <t>ITM de 4x20A , ( Reg. 16-20A ) GES,  85kA-220Vac. / 40kA-380Vac. - marca EATON.</t>
  </si>
  <si>
    <t>ITM de 2x125A , GES,  85kA-240Vac. / 35kA-480Vac. - marca EATON.</t>
  </si>
  <si>
    <t>ITM de 2x100A , GES,  85kA-240Vac. / 35kA-480Vac. - marca EATON.</t>
  </si>
  <si>
    <t>ITM de 2x80A , GES,  85kA-240Vac. / 35kA-480Vac. - marca EATON.</t>
  </si>
  <si>
    <t>ITM de 2x63A , GES,  85kA-240Vac. / 35kA-480Vac. - marca EATON.</t>
  </si>
  <si>
    <t>ITM de 2x50A , GES,  85kA-240Vac. / 35kA-480Vac. - marca EATON.</t>
  </si>
  <si>
    <t>ITM de 2x40A , GES,  85kA-240Vac. / 35kA-480Vac. - marca EATON.</t>
  </si>
  <si>
    <t>ITM de 2x32A , GES,  85kA-240Vac. / 35kA-480Vac. - marca EATON.</t>
  </si>
  <si>
    <t>ITM de 2x20A , GES,  85kA-240Vac. / 35kA-480Vac. - marca EATON.</t>
  </si>
  <si>
    <t>ITM de 1x20A , GES,  85kA-240Vac. / 35kA-480Vac. - marca EATON.</t>
  </si>
  <si>
    <t>ITM de 1x30A , GES,  85kA-240Vac. / 35kA-480Vac. - marca EATON.</t>
  </si>
  <si>
    <t>ITM de 3x160A - GEE,  35kA-240Vac. / 25kA-480Vac. - marca EATON.</t>
  </si>
  <si>
    <t>ITM de 3x125A - GEE,  35kA-240Vac. / 25kA-480Vac. - marca EATON.</t>
  </si>
  <si>
    <t>ITM de 3x100A - GEE,  35kA-240Vac. / 25kA-480Vac. - marca EATON.</t>
  </si>
  <si>
    <t>ITM de 3x80A - GEE,  35kA-240Vac. / 25kA-480Vac. - marca EATON.</t>
  </si>
  <si>
    <t>ITM de 3x70A - GEE,  35kA-240Vac. / 25kA-480Vac. - marca EATON.</t>
  </si>
  <si>
    <t>ITM de 3x60A - GEE,  35kA-240Vac. / 25kA-480Vac. - marca EATON.</t>
  </si>
  <si>
    <t>ITM de 3x50A - GEE,  35kA-240Vac. / 25kA-480Vac. - marca EATON.</t>
  </si>
  <si>
    <t>ITM de 3x40A - GEE,  35kA-240Vac. / 25kA-480Vac. - marca EATON.</t>
  </si>
  <si>
    <t>ITM de 3x30A - GEE,  35kA-240Vac. / 25kA-480Vac. - marca EATON.</t>
  </si>
  <si>
    <t>ITM de 3x20A - GEE,  35kA-240Vac. / 25kA-480Vac. - marca EATON.</t>
  </si>
  <si>
    <t>ITM de 3x15A - GEE,  35kA-240Vac. / 25kA-480Vac. - marca EATON.</t>
  </si>
  <si>
    <t>ITM de 3x160A - GEB,  25kA-240Vac. / 18kA-480Vac. - marca EATON.</t>
  </si>
  <si>
    <t>ITM de 3x125A - GEB,  25kA-240Vac. / 18kA-480Vac. - marca EATON.</t>
  </si>
  <si>
    <t>ELEBN3125G</t>
  </si>
  <si>
    <t>Modulo de protección de falla a tierra, 3 Polos, 125A, 120 – 480 Vac, para Interruptor Tamaño EG, marca EATON.</t>
  </si>
  <si>
    <t xml:space="preserve">Kit de 3 terminales hasta 125A para ITM de modelo GE </t>
  </si>
  <si>
    <t xml:space="preserve">kit de 3 terminales hasta 160A </t>
  </si>
  <si>
    <t>ITM de 3x125A - caja moldeada - EGB + terminales p/conexion,  25kA-240Vac. / 18kA-415Vac. - marca EATON.</t>
  </si>
  <si>
    <t>ITM de 3x160A - caja moldeada - EGB + terminales p/conexión,  25kA-240Vac. / 18kA-415Vac. - marca EATON.</t>
  </si>
  <si>
    <t>EGS3050FFG</t>
  </si>
  <si>
    <t>EFPHLOFF</t>
  </si>
  <si>
    <t>Bloqueo por candado EFPHLOFF para interruptor EGS, marca EATON.</t>
  </si>
  <si>
    <t>ITM de 3x15A - FD + terminales internos p/ conexión,  65kA-240Vac. / 35kA-480Vac. (UL) , marca EATON.</t>
  </si>
  <si>
    <t>ITM de 3x20A - FD + terminales internos p/ conexión,  65kA-240Vac. / 35kA-480Vac. (UL), marca EATON.</t>
  </si>
  <si>
    <t>ITM de 3x30A - FD + terminales internos p/ conexión,  65kA-240Vac. / 35kA-480Vac. (UL), marca EATON.</t>
  </si>
  <si>
    <t>ITM de 3x40A - FD + terminales internos p/ conexión,  65kA-240Vac. / 35kA-480Vac. (UL), marca EATON.</t>
  </si>
  <si>
    <t>ITM de 3x50A - FD + terminales internos p/ conexión,  65kA-240Vac. / 35kA-480Vac. (UL), marca EATON.</t>
  </si>
  <si>
    <t>ITM de 3x60A - FD + terminales internos p/ conexión,  65kA-240Vac. / 35kA-480Vac. (UL), marca EATON.</t>
  </si>
  <si>
    <t>ITM de 3x70A - FD + terminales internos p/ conexión,  65kA-240Vac. / 35kA-480Vac. (UL), marca EATON.</t>
  </si>
  <si>
    <t>ITM de 3x80A - FD + terminales internos p/ conexión,  65kA-240Vac. / 35kA-480Vac. (UL), marca EATON.</t>
  </si>
  <si>
    <t>ITM de 3x100A - FD + terminales internos p/ conexión,  65kA-240Vac. / 35kA-480Vac. (UL), marca EATON.</t>
  </si>
  <si>
    <t>ITM de 3x125A - FD + terminales internos p/ conexión,  65kA-240Vac. / 35kA-480Vac. (UL), marca EATON.</t>
  </si>
  <si>
    <t>ITM de 3x150A - FD + terminales internos p/ conexión,  65kA-240Vac. / 35kA-480Vac. (UL), marca EATON.</t>
  </si>
  <si>
    <t>ITM de 3x175A - FD + terminales internos p/ conexión,  65kA-240Vac. / 35kA-480Vac. (UL), marca EATON.</t>
  </si>
  <si>
    <t>ITM de 3x200A - FD + terminales internos p/ conexión,  65kA-240Vac. / 35kA-480Vac. (UL), marca EATON.</t>
  </si>
  <si>
    <t>ITM de 3x225A - FD + terminales internos p/ conexión,  65kA-240Vac. / 35kA-480Vac. (UL), marca EATON.</t>
  </si>
  <si>
    <t>ITM de 3x15A , HFD + terminales internos p/ conexión,  100kA@240Vac. - 65kA@480Vac. (UL), marca EATON.</t>
  </si>
  <si>
    <t>ITM de 3x20A , HFD + terminales internos p/ conexión,  100kA@240Vac. - 65kA@480Vac. (UL), marca EATON.</t>
  </si>
  <si>
    <t>ITM de 3x30A , HFD + terminales internos p/ conexión,  100kA@240Vac. - 65kA@480Vac. (UL), marca EATON.</t>
  </si>
  <si>
    <t>ITM de 3x40A , HFD + terminales internos p/ conexión,  100kA@240Vac. - 65kA@480Vac. (UL), marca EATON.</t>
  </si>
  <si>
    <t>ITM de 3x50A , HFD + terminales internos p/ conexión,  100kA@240Vac. - 65kA@480Vac. (UL), marca EATON.</t>
  </si>
  <si>
    <t>ITM de 3x60A , HFD + terminales internos p/ conexión,  100kA@240Vac. - 65kA@480Vac. (UL), marca EATON.</t>
  </si>
  <si>
    <t>ITM de 3x70A , HFD + terminales internos p/ conexión,  100kA@240Vac. - 65kA@480Vac. (UL), marca EATON.</t>
  </si>
  <si>
    <t>ITM de 3x80A , HFD + terminales internos p/ conexión,  100kA@240Vac. - 65kA@480Vac. (UL), marca EATON.</t>
  </si>
  <si>
    <t>ITM de 3x100A , HFD + terminales internos p/ conexión,  100kA@240Vac. - 65kA@480Vac. (UL), marca EATON.</t>
  </si>
  <si>
    <t>ITM de 3x125A , HFD + terminales internos p/ conexión,  100kA@240Vac. - 65kA@480Vac. (UL), marca EATON.</t>
  </si>
  <si>
    <t>HFD3150L</t>
  </si>
  <si>
    <t>ITM de 3x150A , HFD + terminales internos p/ conexión,  100kA@240Vac. - 65kA@480Vac. (UL), marca EATON.</t>
  </si>
  <si>
    <t>HFD3175L</t>
  </si>
  <si>
    <t>ITM de 3x175A , HFD + terminales internos p/ conexión,  100kA@240Vac. - 65kA@480Vac. (UL), marca EATON.</t>
  </si>
  <si>
    <t>HFD3200L</t>
  </si>
  <si>
    <t>ITM de 3x200A , HFD + terminales internos p/ conexión,  100kA@240Vac. - 65kA@480Vac. (UL), marca EATON.</t>
  </si>
  <si>
    <t>HKD3300</t>
  </si>
  <si>
    <t>ITM de 3x300A - HKD,  100kA-240Vac. / 65kA-480Vac. , marca EATON.</t>
  </si>
  <si>
    <t>ITM de 3x300A - KD,  65kA-240Vac. / 35kA-480Vac. , marca EATON.</t>
  </si>
  <si>
    <t>ITM de 3x350A - KD,  65kA-240Vac. / 35kA-480Vac. , marca EATON.</t>
  </si>
  <si>
    <t>ITM de 3x400A - KD,  65kA-240Vac. / 35kA-480Vac. , marca EATON.</t>
  </si>
  <si>
    <t>LD3500</t>
  </si>
  <si>
    <t>ITM 3x500A - modelo LD, 35kA - 480Vac  /  65kA - 240Vac  /  22kA - 250Vdc, tipo MCCB. (UL 489), marca EATON.</t>
  </si>
  <si>
    <t>LD3600</t>
  </si>
  <si>
    <t>ITM 3x600A - modelo LD, 35kA - 480Vac  /  65kA - 240Vac  /  22kA - 250Vdc, tipo MCCB. (UL 489), marca EATON.</t>
  </si>
  <si>
    <t>LD3600-LSI</t>
  </si>
  <si>
    <t>ITM 3x600A - modelo LD, interruptor en caja moldeada con unidad de protección electrónica LSI, 65 kA @ 240V, (UL 489) marca EATON.</t>
  </si>
  <si>
    <t>HLD3500</t>
  </si>
  <si>
    <t>ITM 3x500A - modelo HLD, disparador de de sobrecarga: Fijo, Disparador Magnético Ajustable: (5 – 10) x In, 100 kA @ 240V, (UL 489) marca EATON.</t>
  </si>
  <si>
    <t>HLD3600-LSI</t>
  </si>
  <si>
    <t>ITM 3x600A - modelo LD, interruptor en caja moldeada con unidad de protección electrónica LSI, 100 kA @ 240V, (UL 489) marca EATON.</t>
  </si>
  <si>
    <t>ITM de 1x15A - GHB,  65kA-120Vac. / 14kA-277Vac. (UL), marca EATON.</t>
  </si>
  <si>
    <t>ITM de 1x20A - GHB,  65kA-120Vac. / 14kA-277Vac. (UL), marca EATON.</t>
  </si>
  <si>
    <t>ITM de 1x30A - GHB,  65kA-120Vac. / 14kA-277Vac. (UL), marca EATON.</t>
  </si>
  <si>
    <t>ITM de 1x40A - GHB,  65kA-120Vac. / 14kA-277Vac. (UL), marca EATON.</t>
  </si>
  <si>
    <t>ITM de 1x50A - GHB,  65kA-120Vac. / 14kA-277Vac. (UL), marca EATON.</t>
  </si>
  <si>
    <t>ITM de 1x60A - GHB,  65kA-120Vac. / 14kA-277Vac. (UL), marca EATON.</t>
  </si>
  <si>
    <t>ITM de 1x70A - GHB,  65kA-120Vac. / 14kA-277Vac. (UL), marca EATON.</t>
  </si>
  <si>
    <t>ITM de 1x80A - GHB,  65kA-120Vac. / 14kA-277Vac. (UL), marca EATON.</t>
  </si>
  <si>
    <t>ITM de 1x90A - GHB,  65kA-120Vac. / 14kA-277Vac. (UL), marca EATON.</t>
  </si>
  <si>
    <t>ITM de 1x100 - GHB,  65kA-120Vac. / 14kA-277Vac. (UL), marca EATON.</t>
  </si>
  <si>
    <t>ITM de 2x15A - GHB,  65kA-240Vac. / 14kA-480Vac. (UL), marca EATON.</t>
  </si>
  <si>
    <t>ITM de 2x20A - GHB,  65kA-240Vac. / 14kA-480Vac. (UL), marca EATON.</t>
  </si>
  <si>
    <t>ITM de 2x30A - GHB,  65kA-240Vac. / 14kA-480Vac. (UL), marca EATON.</t>
  </si>
  <si>
    <t>ITM de 2x40A - GHB,  65kA-240Vac. / 14kA-480Vac. (UL), marca EATON.</t>
  </si>
  <si>
    <t>ITM de 2x50A - GHB,  65kA-240Vac. / 14kA-480Vac. (UL), marca EATON.</t>
  </si>
  <si>
    <t>ITM de 2x60A - GHB,  65kA-240Vac. / 14kA-480Vac. (UL), marca EATON.</t>
  </si>
  <si>
    <t>ITM de 2x70A - GHB,  65kA-240Vac. / 14kA-480Vac. (UL), marca EATON.</t>
  </si>
  <si>
    <t>ITM de 2x80A - GHB,  65kA-240Vac. / 14kA-480Vac. (UL), marca EATON.</t>
  </si>
  <si>
    <t>ITM de 2x90A - GHB,  65kA-240Vac. / 14kA-480Vac. (UL), marca EATON.</t>
  </si>
  <si>
    <t>ITM de 2x100A - GHB,  65kA-240Vac. / 14kA-480Vac. (UL), marca EATON.</t>
  </si>
  <si>
    <t>ITM de 3x15A - GHB,  65kA-240Vac. / 14kA-480Vac. (UL), marca EATON.</t>
  </si>
  <si>
    <t>ITM de 3x20A - GHB,  65kA-240Vac. / 14kA-480Vac. (UL), marca EATON.</t>
  </si>
  <si>
    <t>ITM de 3x30A - GHB,  65kA-240Vac. / 14kA-480Vac. (UL), marca EATON.</t>
  </si>
  <si>
    <t>ITM de 3x40A - GHB,  65kA-240Vac. / 14kA-480Vac. (UL), marca EATON.</t>
  </si>
  <si>
    <t>ITM de 3x50A - GHB,  65kA-240Vac. / 14kA-480Vac. (UL), marca EATON.</t>
  </si>
  <si>
    <t>ITM de 3x60A - GHB,  65kA-240Vac. / 14kA-480Vac. (UL), marca EATON.</t>
  </si>
  <si>
    <t>ITM de 3x70A - GHB,  65kA-240Vac. / 14kA-480Vac. (UL), marca EATON.</t>
  </si>
  <si>
    <t>ITM de 3x80A - GHB,  65kA-240Vac. / 14kA-480Vac. (UL), marca EATON.</t>
  </si>
  <si>
    <t>ITM de 3x90A - GHB,  65kA-240Vac. / 14kA-480Vac. (UL), marca EATON.</t>
  </si>
  <si>
    <t>ITM de 3x100A - GHB,  65kA-240Vac. / 14kA-480Vac. (UL), marca EATON.</t>
  </si>
  <si>
    <t>GHC3030</t>
  </si>
  <si>
    <t>ITM de 3x30A - GHC,  65kA-240Vac. / 14kA-480Vac. (UL), marca EATON.</t>
  </si>
  <si>
    <t>1223C77G03</t>
  </si>
  <si>
    <t>PKL_GHB</t>
  </si>
  <si>
    <t>Bloqueo por candado para interruptor GHB</t>
  </si>
  <si>
    <t>ITM de 3x250A , ( Reg. 200-250A ) GJH,  100kA-240Vac. - 65kA-460Vac. (UL) - marca EATON.</t>
  </si>
  <si>
    <t>ITM de 3x200A , ( Reg. 160-200A ) GJH,  100kA-240Vac. - 65kA-460Vac. (UL) - marca EATON.</t>
  </si>
  <si>
    <t>ITM de 3x160A , ( Reg. 128-160A ) GJH,  100kA-240Vac. - 65kA-460Vac. (UL) - marca EATON.</t>
  </si>
  <si>
    <t>JGH3250FAG</t>
  </si>
  <si>
    <t>ITM de 3x250A - JGH,  100kA@240Vac. - 65kA@480Vac. (UL), marca EATON.</t>
  </si>
  <si>
    <t>JGH3200FAG</t>
  </si>
  <si>
    <t>ITM de 3x200A - JGH,  100kA@240Vac. - 65kA@480Vac. (UL), marca EATON.</t>
  </si>
  <si>
    <t>JGH3125FAG</t>
  </si>
  <si>
    <t>ITM de 3x125A - JGH,  100kA@240Vac. - 65kA@480Vac. (UL), marca EATON.</t>
  </si>
  <si>
    <t>JGS3250FAG</t>
  </si>
  <si>
    <t>ITM de 3x250A - JGS,  65kA@240Vac. - 35kA@480Vac. (UL), marca EATON.</t>
  </si>
  <si>
    <t>JGS3200FAG</t>
  </si>
  <si>
    <t>ITM de 3x200A - JGS,  65kA@240Vac. - 35kA@480Vac. (UL), marca EATON.</t>
  </si>
  <si>
    <t>JGS3125FAG</t>
  </si>
  <si>
    <t>ITM de 3x125A - JGS,  65kA@240Vac. - 35kA@480Vac. (UL), marca EATON.</t>
  </si>
  <si>
    <t>JGS325032G</t>
  </si>
  <si>
    <t>ITM de 3x250A - JGS,  85kA@240Vac. - 35kA@480Vac. (UL), marca EATON.</t>
  </si>
  <si>
    <t>JGS316032G</t>
  </si>
  <si>
    <t>ITM de 3x160A - JGS,  85kA@240Vac. - 35kA@480Vac. (UL), marca EATON.</t>
  </si>
  <si>
    <t>JGE3200FAG</t>
  </si>
  <si>
    <t>FJPHLOFF</t>
  </si>
  <si>
    <t>LGH340033G</t>
  </si>
  <si>
    <t>ITM de 3x400A , ( Reg. 320-400A ) LGH,  100kA-240Vac. - 65kA-480Vac - marca EATON.</t>
  </si>
  <si>
    <t>LGH363033G</t>
  </si>
  <si>
    <t>ITM de 3x630A , ( Reg. 504-630A ) LGH,  100kA-240Vac. - 65kA-480Vac - marca EATON.</t>
  </si>
  <si>
    <t>NGH308033E</t>
  </si>
  <si>
    <t>ITM de 3x800A , ( Reg. 640-800A ) NGH,  100kA-240Vac. - 65kA-480Vac - marca EATON.</t>
  </si>
  <si>
    <t>EGH3040FFG</t>
  </si>
  <si>
    <t>ITM de 3x40A - EGH,  70kA-415Vac. - 65kA-480Vac - marca EATON.</t>
  </si>
  <si>
    <t>EGH3100FFG</t>
  </si>
  <si>
    <t>ITM de 3x100A - EGH,  70kA-415Vac. - 65kA-480Vac - marca EATON.</t>
  </si>
  <si>
    <t>NGS308032E</t>
  </si>
  <si>
    <t>ITM de 3x800A , ( Reg. 640-800A ) NGS,  85kA-240Vac. - 50kA-480Vac - LSI - marca EATON.</t>
  </si>
  <si>
    <t>PLK5</t>
  </si>
  <si>
    <t>Bloqueo por candado PLK5 para interruptor de modelo NG, marca EATON.</t>
  </si>
  <si>
    <t>TA1200NB1</t>
  </si>
  <si>
    <t>NGH308036E</t>
  </si>
  <si>
    <t>ITM de 3x800A , ( Reg. 640-800A ) NGH,  100kA-240Vac. - 65kA-480Vac - LSIG - marca EATON.</t>
  </si>
  <si>
    <t>LGH363036G</t>
  </si>
  <si>
    <t>ITM de 3x630A , ( Reg. 504-630A ) LGH,  100kA-240Vac. - 65kA-480Vac - LSIG - marca EATON.</t>
  </si>
  <si>
    <t>LGH340036G</t>
  </si>
  <si>
    <t>ITM de 3x400A , ( Reg. 320-400A ) LGH,  100kA-240Vac. - 65kA-480Vac - LSIG - marca EATON.</t>
  </si>
  <si>
    <t>NGH308036E+HMVD5B</t>
  </si>
  <si>
    <t>ITM de 3x800A , ( Reg. 640-800A ) NGH,  100kA-240Vac. - 65kA-480Vac - LSIG + Mando giratorio- marca EATON.</t>
  </si>
  <si>
    <t>LGH363036G+KLHMVD12B</t>
  </si>
  <si>
    <t>ITM de 3x630A , ( Reg. 500-630A ) LGH,  100kA-240Vac. - 65kA-480Vac - LSIG + Mando giratorio- marca EATON.</t>
  </si>
  <si>
    <t>LGH340036G+KLHMVD12B</t>
  </si>
  <si>
    <t>ITM de 3x400A , ( Reg. 320-400A ) LGH,  100kA-240Vac. - 65kA-480Vac - LSIG + Mando giratorio- marca EATON.</t>
  </si>
  <si>
    <t>LGS360032G</t>
  </si>
  <si>
    <t>ITM de 3x600A , ( Reg. 240-600A ) LGS,  85kA-240Vac. - 50kA-480Vac - LSI - marca EATON.</t>
  </si>
  <si>
    <t>LGS340032G</t>
  </si>
  <si>
    <t>ITM de 3x400A , ( Reg. 160-400A ) LGS,  85kA-240Vac. - 50kA-480Vac - LSI - marca EATON.</t>
  </si>
  <si>
    <t>LGE340032G</t>
  </si>
  <si>
    <t>ITM de 3x400A , ( Reg. 160-400A ) LGE,  65kA-240Vac. - 35kA-480Vac - LSI - marca EATON.</t>
  </si>
  <si>
    <t>LPHL</t>
  </si>
  <si>
    <t>Bloqueo por candado LPHL para interruptor de modelo LG, marca EATON.</t>
  </si>
  <si>
    <t>HFDE310036L</t>
  </si>
  <si>
    <t>ITM de 3x100A - HFDE,  70kA-415Vac. - 65kA-480Vac - LSIG - marca EATON.</t>
  </si>
  <si>
    <t>HFDE304036L</t>
  </si>
  <si>
    <t>ITM de 3x40A - HFDE,  70kA-415Vac. - 65kA-480Vac - LSIG - marca EATON.</t>
  </si>
  <si>
    <t>HFDE304036L+HM1R12</t>
  </si>
  <si>
    <t>ITM de 3x40A - HFDE,  70kA-415Vac. - 65kA-480Vac - LSIG + Mando giratorio - marca EATON.</t>
  </si>
  <si>
    <t>HFDE308036L+HM1R12</t>
  </si>
  <si>
    <t>ITM de 3x80A - HFDE,  70kA-415Vac. - 65kA-480Vac - LSIG + Mando giratorio - marca EATON.</t>
  </si>
  <si>
    <t>HFDE310036L+HM1R12</t>
  </si>
  <si>
    <t>ITM de 3x100A - HFDE,  70kA-415Vac. - 65kA-480Vac - LSIG + Mando giratorio - marca EATON.</t>
  </si>
  <si>
    <t>HFDE316036L+HM1R12</t>
  </si>
  <si>
    <t>ITM de 3x160A - HFDE,  70kA-415Vac. - 65kA-480Vac - LSIG + Mando giratorio - marca EATON.</t>
  </si>
  <si>
    <t>Contacto auxiliar NA para interruptores NGH / LGH / HFDE</t>
  </si>
  <si>
    <t>HM1R06</t>
  </si>
  <si>
    <t>Palanca Rotativa Externa con bloqueo para candado p/ HFDE</t>
  </si>
  <si>
    <t>KLMMVD06B</t>
  </si>
  <si>
    <t>Palanca Rotativa Externa con bloqueo para candado p/ LGH</t>
  </si>
  <si>
    <t>HMVD5B</t>
  </si>
  <si>
    <t>Palanca Rotativa Externa con bloqueo para candado p/ NGH</t>
  </si>
  <si>
    <t>Fi2100</t>
  </si>
  <si>
    <t>ITM de 2x100A - modelo Fi,  25kA-240Vac / 14kA-440Vac / 10kA-250Vdc, marca EATON.</t>
  </si>
  <si>
    <t>Fi2125</t>
  </si>
  <si>
    <t>ITM de 2x125A - modelo Fi,  25kA-240Vac / 14kA-440Vac / 10kA-250Vdc, marca EATON.</t>
  </si>
  <si>
    <t>ITM de 1x15A - Gi,  25kA-240Vac. / 14kA-480Vac. , marca EATON.</t>
  </si>
  <si>
    <t>ITM de 1x20A - Gi,  25kA-240Vac. / 14kA-480Vac. , marca EATON.</t>
  </si>
  <si>
    <t>ITM de 1x30A - Gi,  25kA-240Vac. / 14kA-480Vac. , marca EATON.</t>
  </si>
  <si>
    <t>ITM de 1x40A - Gi,  25kA-240Vac. / 14kA-480Vac. , marca EATON.</t>
  </si>
  <si>
    <t>ITM de 1x50A - Gi,  25kA-240Vac. / 14kA-480Vac. , marca EATON.</t>
  </si>
  <si>
    <t>ITM de 1x60A - Gi,  25kA-240Vac. / 14kA-480Vac. , marca EATON.</t>
  </si>
  <si>
    <t>ITM de 1x70A - Gi,  25kA-240Vac. / 14kA-480Vac. , marca EATON.</t>
  </si>
  <si>
    <t>ITM de 1x80A - Gi,  25kA-240Vac. / 14kA-480Vac. , marca EATON.</t>
  </si>
  <si>
    <t>ITM de 1x90A - Gi,  25kA-240Vac. / 14kA-480Vac. , marca EATON.</t>
  </si>
  <si>
    <t>ITM de 1x100A - Gi,  25kA-240Vac. / 14kA-480Vac. , marca EATON.</t>
  </si>
  <si>
    <t>ITM de 2x15A - Gi,  25kA-240Vac. / 14kA-480Vac. , marca EATON.</t>
  </si>
  <si>
    <t>ITM de 2x20A - Gi,  25kA-240Vac. / 14kA-480Vac. , marca EATON.</t>
  </si>
  <si>
    <t>ITM de 2x30A - Gi,  25kA-240Vac. / 14kA-480Vac. , marca EATON.</t>
  </si>
  <si>
    <t>ITM de 2x40A - Gi,  25kA-240Vac. / 14kA-480Vac. , marca EATON.</t>
  </si>
  <si>
    <t>ITM de 2x50A - Gi,  25kA-240Vac. / 14kA-480Vac. , marca EATON.</t>
  </si>
  <si>
    <t>ITM de 2x60A - Gi,  25kA-240Vac. / 14kA-480Vac. , marca EATON.</t>
  </si>
  <si>
    <t>ITM de 2x70A - Gi,  25kA-240Vac. / 14kA-480Vac. , marca EATON.</t>
  </si>
  <si>
    <t>ITM de 2x80A - Gi,  25kA-240Vac. / 14kA-480Vac. , marca EATON.</t>
  </si>
  <si>
    <t>ITM de 2x90A - Gi,  25kA-240Vac. / 14kA-480Vac. , marca EATON.</t>
  </si>
  <si>
    <t>ITM de 2x100A - Gi,  25kA-240Vac. / 14kA-480Vac. , marca EATON.</t>
  </si>
  <si>
    <t>ITM de 3x15A - Gi,  25kA-240Vac. / 14kA-480Vac. , marca EATON.</t>
  </si>
  <si>
    <t>ITM de 3x20A - Gi,  25kA-240Vac. / 14kA-480Vac. , marca EATON.</t>
  </si>
  <si>
    <t>ITM de 3x30A - Gi,  25kA-240Vac. / 14kA-480Vac., marca EATON.</t>
  </si>
  <si>
    <t>ITM de 3x40A - Gi,  25kA-240Vac. / 14kA-480Vac. , marca EATON.</t>
  </si>
  <si>
    <t>ITM de 3x50A - Gi,  25kA-240Vac. / 14kA-480Vac., marca EATON.</t>
  </si>
  <si>
    <t>ITM de 3x60A - Gi,  25kA-240Vac. / 14kA-480Vac. , marca EATON.</t>
  </si>
  <si>
    <t>ITM de 3x70A - Gi,  25kA-240Vac. / 14kA-480Vac. , marca EATON.</t>
  </si>
  <si>
    <t>ITM de 3x80A - Gi,  25kA-240Vac. / 14kA-480Vac. , marca EATON.</t>
  </si>
  <si>
    <t>ITM de 3x90A - Gi,  25kA-240Vac. / 14kA-480Vac. , marca EATON.</t>
  </si>
  <si>
    <t>ITM de 3x100A - Gi,  25kA-240Vac. / 14kA-480Vac., marca EATON.</t>
  </si>
  <si>
    <t>ITM de 3x125A - Gi,  25kA-240Vac. / 14kA-480Vac., marca EATON.</t>
  </si>
  <si>
    <t>MAGNUM 5000_85kA</t>
  </si>
  <si>
    <t>ITM Bastidor Abierto de 3x5000A , ( Reg. 0.4-1.0 de In ) MWI Magnum, 85kA / 415Vac. + contactos de estado + contacto de alarma - marca EATON.</t>
  </si>
  <si>
    <t>MAGNUM 4000_85kA</t>
  </si>
  <si>
    <t>ITM Bastidor Abierto de 3x4000A , ( Reg. 0.4-1.0 de In ) MWI Magnum, 85kA / 415Vac. + contactos de estado + contacto de alarma - marca EATON.</t>
  </si>
  <si>
    <t>MAGNUM 3200(M)_65kA</t>
  </si>
  <si>
    <t>ITM Bastidor Abierto de 3x3200A , ( Reg. 0.4-1.0 de In ) MWN Magnum, 65kA@415Vac. + contactos de estado + contacto de alarma + Comando motorizado- marca EATON.</t>
  </si>
  <si>
    <t>MAGNUM 2500(M)_65kA</t>
  </si>
  <si>
    <t>ITM Bastidor Abierto de 3x2500A , ( Reg. 0.4-1.0 de In ) MWN Magnum, 65kA@415Vac. + contactos de estado + contacto de alarma + Comando motorizado- marca EATON.</t>
  </si>
  <si>
    <t>MAGNUM 2000_50kA</t>
  </si>
  <si>
    <t>ITM Bastidor Abierto de 3x2000A , ( Reg. 0.4-1.0 de In ) MWN Magnum, 50kA@415Vac. + contactos de estado + contacto de alarma - marca EATON.</t>
  </si>
  <si>
    <t>MAGNUM 1600(M)_50kA</t>
  </si>
  <si>
    <t>ITM Bastidor Abierto de 3x1600A , ( Reg. 0.4-1.0 de In ) MWN Magnum, 50kA@415Vac. + contactos de estado + contacto de alarma + Comando motorizado- marca EATON.</t>
  </si>
  <si>
    <t>ITM Bastidor Abierto de 3x4000A , ( Reg. 0.4-1.0 de In ) MWI Magnum, 65kA hasta 690Vac. + contactos de estado + contacto de alarma - marca EATON.</t>
  </si>
  <si>
    <t>ITM Bastidor Abierto de 3x3200A , ( Reg. 0.4-1.0 de In ) MWI Magnum, 65kA hasta 690Vac. + contactos de estado + contacto de alarma - marca EATON.</t>
  </si>
  <si>
    <t>ITM Bastidor Abierto de 3x3000A , ( Reg. 0.4-1.0 de In ) MWI Magnum, 65kA hasta 690Vac. + contactos de estado + contacto de alarma - marca EATON.</t>
  </si>
  <si>
    <t>MAGNUM 2500</t>
  </si>
  <si>
    <t>ITM Bastidor Abierto de 3x2500A , ( Reg. 0.4-1.0 de In ) MWN Magnum, 65kA@440Vac. + contactos de estado + contacto de alarma - marca EATON.</t>
  </si>
  <si>
    <t>MAGNUM 2000(M)</t>
  </si>
  <si>
    <t>ITM Bastidor Abierto de 3x2000A , ( Reg. 0.4-1.0 de In ) MWN Magnum, 65kA@440Vac. + contactos de estado + contacto de alarma + Comando motorizado- marca EATON.</t>
  </si>
  <si>
    <t>ITM Bastidor Abierto de 3x2000A , ( Reg. 0.4-1.0 de In ) MWN Magnum, 65kA@440Vac. + contactos de estado + contacto de alarma - marca EATON.</t>
  </si>
  <si>
    <t>MAGNUM 2000-LSIG</t>
  </si>
  <si>
    <t>ITM Bastidor Abierto de 3x2000A LSIG , ( Reg. 0.4-1.0 de In ) MWN Magnum, 50kA@440Vac. + contactos de estado + contacto de alarma - marca EATON.</t>
  </si>
  <si>
    <t>ITM Bastidor Abierto de 3x1600A , ( Reg. 0.4-1.0 de In ) MWN Magnum, 65kA@440Vac. + contactos de estado + contacto de alarma - marca EATON.</t>
  </si>
  <si>
    <t>MAGNUM 1600(M)</t>
  </si>
  <si>
    <t>ITM Bastidor Abierto de 3x1600A , ( Reg. 0.4-1.0 de In ) MWN Magnum, 65kA@440Vac. + contactos de estado + contacto de alarma + Comando motorizado- marca EATON.</t>
  </si>
  <si>
    <t>ITM Bastidor Abierto de 3x1250A , ( Reg. 0.4-1.0 de In ) MWN Magnum, 50kA@480Vac. + contactos de estado + contacto de alarma - marca EATON.</t>
  </si>
  <si>
    <t>MAGNUM 1000</t>
  </si>
  <si>
    <t>ITM Bastidor Abierto de 3x1000A , ( Reg. 0.4-1.0 de In ) MWN Magnum, 50kA@440Vac. + contactos de estado + contacto de alarma - marca EATON.</t>
  </si>
  <si>
    <t>ITM de 1x15A - engrampe - BR,  10kA / 240Vac. , marca EATON.</t>
  </si>
  <si>
    <t>ITM de 1x20A - engrampe - BR,  10kA / 240Vac. , marca EATON.</t>
  </si>
  <si>
    <t>ITM de 1x30A - engrampe - BR,  10kA / 240Vac. , marca EATON.</t>
  </si>
  <si>
    <t>ITM de 1x40A - engrampe - BR,  10kA / 240Vac. , marca EATON.</t>
  </si>
  <si>
    <t>ITM de 1x50A - engrampe - BR,  10kA / 240Vac. , marca EATON.</t>
  </si>
  <si>
    <t>ITM de 1x60A - engrampe - BR,  10kA / 240Vac. , marca EATON.</t>
  </si>
  <si>
    <t>ITM de 1x70A - engrampe - BR,  10kA / 240Vac. , marca EATON.</t>
  </si>
  <si>
    <t>ITM de 2x15A - engrampe - BR,  10kA / 240Vac. , marca EATON.</t>
  </si>
  <si>
    <t>ITM de 2x20A - engrampe - BR,  10kA / 240Vac. , marca EATON.</t>
  </si>
  <si>
    <t>ITM de 2x30A - engrampe - BR,  10kA / 240Vac. , marca EATON.</t>
  </si>
  <si>
    <t>ITM de 2x40A - engrampe - BR,  10kA / 240Vac. , marca EATON.</t>
  </si>
  <si>
    <t>ITM de 2x50A - engrampe - BR,  10kA / 240Vac. , marca EATON.</t>
  </si>
  <si>
    <t>ITM de 2x60A - engrampe - BR,  10kA / 240Vac. , marca EATON.</t>
  </si>
  <si>
    <t>ITM de 2x70A - engrampe - BR,  10kA / 240Vac. , marca EATON.</t>
  </si>
  <si>
    <t>ITM de 2x90A - engrampe - BR,  10kA / 240Vac. , marca EATON.</t>
  </si>
  <si>
    <t>ITM de 2x100A - engrampe - BR,  10kA / 240Vac. , marca EATON.</t>
  </si>
  <si>
    <t>ITM de 3x15A - engrampe - BR,  10kA / 240Vac. , marca EATON.</t>
  </si>
  <si>
    <t>ITM de 3x20A - engrampe - BR,  10kA / 240Vac. , marca EATON.</t>
  </si>
  <si>
    <t>ITM de 3x30A - engrampe - BR,  10kA / 240Vac. , marca EATON.</t>
  </si>
  <si>
    <t>ITM de 3x40A - engrampe - BR,  10kA / 240Vac. , marca EATON.</t>
  </si>
  <si>
    <t>ITM de 3x50A - engrampe - BR,  10kA / 240Vac. , marca EATON.</t>
  </si>
  <si>
    <t>ITM de 3x60A - engrampe - BR,  10kA / 240Vac. , marca EATON.</t>
  </si>
  <si>
    <t>ITM de 3x70A - engrampe - BR,  10kA / 240Vac. , marca EATON.</t>
  </si>
  <si>
    <t>ITM de 3x80A - engrampe - BR,  10kA / 240Vac. , marca EATON.</t>
  </si>
  <si>
    <t>ITM de 3x90A - engrampe - BR,  10kA / 240Vac. , marca EATON.</t>
  </si>
  <si>
    <t>ITM de 3x100A - engrampe - BR,  10kA / 240Vac. , marca EATON.</t>
  </si>
  <si>
    <t>Bloqueo por candado QC123PL para interruptor QC/BR</t>
  </si>
  <si>
    <t>ITM de 1x15A - tornillo - QC,  10kA / 240Vac. , marca EATON.</t>
  </si>
  <si>
    <t>ITM de 1x20A - tornillo - QC,  10kA / 240Vac. , marca EATON.</t>
  </si>
  <si>
    <t>ITM de 1x30A - tornillo - QC,  10kA / 240Vac. , marca EATON.</t>
  </si>
  <si>
    <t>ITM de 1x40A - tornillo - QC,  10kA / 240Vac. , marca EATON.</t>
  </si>
  <si>
    <t>ITM de 1x50A - tornillo - QC,  10kA / 240Vac. , marca EATON.</t>
  </si>
  <si>
    <t>ITM de 1x60A - tornillo - QC,  10kA / 240Vac. , marca EATON.</t>
  </si>
  <si>
    <t>ITM de 1x70A - tornillo - QC,  10kA / 240Vac. , marca EATON.</t>
  </si>
  <si>
    <t>ITM de 2x15A - tornillo - QC,  10kA / 240Vac. , marca EATON.</t>
  </si>
  <si>
    <t>ITM de 2x20A - tornillo - QC,  10kA / 240Vac. , marca EATON.</t>
  </si>
  <si>
    <t>ITM de 2x30A - tornillo - QC,  10kA / 240Vac. , marca EATON.</t>
  </si>
  <si>
    <t>ITM de 2x40A - tornillo - QC,  10kA / 240Vac. , marca EATON.</t>
  </si>
  <si>
    <t>ITM de 2x50A - tornillo - QC,  10kA / 240Vac. , marca EATON.</t>
  </si>
  <si>
    <t>ITM de 2x60A - tornillo - QC,  10kA / 240Vac. , marca EATON.</t>
  </si>
  <si>
    <t>ITM de 2x70A - tornillo - QC,  10kA / 240Vac. , marca EATON.</t>
  </si>
  <si>
    <t>ITM de 2x80A - tornillo - QC,  10kA / 240Vac. , marca EATON.</t>
  </si>
  <si>
    <t>ITM de 2x90A - tornillo - QC,  10kA / 240Vac. , marca EATON.</t>
  </si>
  <si>
    <t>ITM de 2x100A - tornillo - QC,  10kA / 240Vac. , marca EATON.</t>
  </si>
  <si>
    <t>QC2015H</t>
  </si>
  <si>
    <t>ITM de 1x15A - tornillo - BAB,  10kA / 240Vac. , marca EATON.</t>
  </si>
  <si>
    <t>ITM de 1x30A - tornillo - BAB,  10kA / 240Vac. , marca EATON.</t>
  </si>
  <si>
    <t>ITM de 1x40A - tornillo - BAB,  10kA / 240Vac. , marca EATON.</t>
  </si>
  <si>
    <t>ITM de 1x50A - tornillo - BAB,  10kA / 240Vac. , marca EATON.</t>
  </si>
  <si>
    <t>ITM de 1x60A - tornillo - BAB,  10kA / 240Vac. , marca EATON.</t>
  </si>
  <si>
    <t>ITM de 1x70A - tornillo - BAB,  10kA / 240Vac. , marca EATON.</t>
  </si>
  <si>
    <t>ITM de 1x80A - tornillo - BAB,  10kA / 240Vac. , marca EATON.</t>
  </si>
  <si>
    <t>ITM de 2x15A - tornillo - BAB,  10kA / 240Vac. , marca EATON.</t>
  </si>
  <si>
    <t>ITM de 2x20A - tornillo - BAB,  10kA / 240Vac. , marca EATON.</t>
  </si>
  <si>
    <t>ITM de 2x30A - tornillo - BAB,  10kA / 240Vac. , marca EATON.</t>
  </si>
  <si>
    <t>ITM de 2x40A - tornillo - BAB,  10kA / 240Vac. , marca EATON.</t>
  </si>
  <si>
    <t>ITM de 2x50A - tornillo - BAB,  10kA / 240Vac. , marca EATON.</t>
  </si>
  <si>
    <t>ITM de 2x60A - tornillo - BAB,  10kA / 240Vac. , marca EATON.</t>
  </si>
  <si>
    <t>ITM de 2x70A - tornillo - BAB,  10kA / 240Vac. , marca EATON.</t>
  </si>
  <si>
    <t>ITM de 2x80A - tornillo - BAB,  10kA / 240Vac. , marca EATON.</t>
  </si>
  <si>
    <t>ITM de 2x90A - tornillo - BAB,  10kA / 240Vac. , marca EATON.</t>
  </si>
  <si>
    <t>ITM de 2x100A - tornillo - BAB,  10kA / 240Vac. , marca EATON.</t>
  </si>
  <si>
    <t>ITM de 2x15A - tornillo - BABH,  10kA / 240Vac. (UL), marca EATON.</t>
  </si>
  <si>
    <t>ITM de 2x20A - tornillo - BABH,  10kA / 240Vac. (UL), marca EATON.</t>
  </si>
  <si>
    <t>ITM de 2x30A - tornillo - BABH,  10kA / 240Vac. (UL), marca EATON.</t>
  </si>
  <si>
    <t>ITM de 2x40A - tornillo - BABH,  10kA / 240Vac. (UL), marca EATON.</t>
  </si>
  <si>
    <t>ITM de 2x50A - tornillo - BABH,  10kA / 240Vac. (UL), marca EATON.</t>
  </si>
  <si>
    <t>ITM de 2x60A - tornillo - BABH,  10kA / 240Vac. (UL), marca EATON.</t>
  </si>
  <si>
    <t>BAB2015C</t>
  </si>
  <si>
    <t>ITM de 2x15A - tornillo - BABC,  10kA - 120/240Vac. (UL), marca EATON.</t>
  </si>
  <si>
    <t>BAB2020C</t>
  </si>
  <si>
    <t>ITM de 2x20A - tornillo - BABC,  10kA - 120/240Vac. (UL), marca EATON.</t>
  </si>
  <si>
    <t>BABRSP2020</t>
  </si>
  <si>
    <t>ITM de 2x20A - tornillo - BABRS, con control remoto, 10kA - 120/240Vac. (UL), marca EATON.</t>
  </si>
  <si>
    <t>BABRSP2015</t>
  </si>
  <si>
    <t>ITM de 2x15A - tornillo - BABRS, con control remoto, 10kA - 120/240Vac. (UL), marca EATON.</t>
  </si>
  <si>
    <t>XRU1D24U</t>
  </si>
  <si>
    <t>Juego de rele y accesorios para ITM BABRS de control remoto</t>
  </si>
  <si>
    <t>C0100E2B</t>
  </si>
  <si>
    <t>Transformador C0100E2B 100 VA 24 V para control remoto</t>
  </si>
  <si>
    <t>ITM de 3x15A - tornillo - BABH,  10kA / 240Vac. (UL), marca EATON.</t>
  </si>
  <si>
    <t>ITM de 3x20A - tornillo - BABH,  10kA / 240Vac. (UL), marca EATON.</t>
  </si>
  <si>
    <t>ITM de 3x30A - tornillo - BABH,  10kA / 240Vac. (UL), marca EATON.</t>
  </si>
  <si>
    <t>ITM de 3x40A - tornillo - BABH,  10kA / 240Vac. (UL), marca EATON.</t>
  </si>
  <si>
    <t>ITM de 3x50A - tornillo - BABH,  10kA / 240Vac. (UL), marca EATON.</t>
  </si>
  <si>
    <t>ITM de 3x60A - tornillo - BABH,  10kA / 240Vac. (UL), marca EATON.</t>
  </si>
  <si>
    <t>ITM de 3x70A - tornillo - BABH,  10kA / 240Vac. (UL), marca EATON.</t>
  </si>
  <si>
    <t>ITM de 3x80A - tornillo - BABH,  10kA / 240Vac. (UL), marca EATON.</t>
  </si>
  <si>
    <t>ITM de 3x90A - tornillo - BABH,  10kA / 240Vac. (UL), marca EATON.</t>
  </si>
  <si>
    <t>ITM de 3x100A - tornillo - BABH,  10kA / 240Vac. (UL), marca EATON.</t>
  </si>
  <si>
    <t>BAB2020HS</t>
  </si>
  <si>
    <t>ITM de 2x20A - tornillo - BABHS (Incluye bobina de disparo), 10kA / 240Vac. (UL), marca EATON.</t>
  </si>
  <si>
    <t>BAB3030HS</t>
  </si>
  <si>
    <t>ITM de 3x30A - tornillo - BABH (Incluye bobina de disparo), 10kA / 240Vac. (UL), marca EATON.</t>
  </si>
  <si>
    <t>QL123PL</t>
  </si>
  <si>
    <t>Bloqueo por candado QL123PL para interruptor BAB/QBGF, marca EATON.</t>
  </si>
  <si>
    <t>Interruptor termomagnético 2x15A y diferencial Id=5mA - QBGF, (UL) - marca EATON.</t>
  </si>
  <si>
    <t>Interruptor termomagnético 2x20A y diferencial Id=5mA - QBGF, (UL) - marca EATON.</t>
  </si>
  <si>
    <t>Interruptor termomagnético 2x30A y diferencial Id=5mA - QBGF, (UL) - marca EATON.</t>
  </si>
  <si>
    <t>Interruptor termomagnético 2x15A y diferencial Id=30mA - QBGFEP, (UL) - marca EATON.</t>
  </si>
  <si>
    <t>Interruptor termomagnético 2x20A y diferencial Id=30mA - QBGFEP, (UL) - marca EATON.</t>
  </si>
  <si>
    <t>QBGFEP2030</t>
  </si>
  <si>
    <t>Interruptor termomagnético 2x30A y diferencial Id=30mA - QBGFEP, (UL) - marca EATON.</t>
  </si>
  <si>
    <t>ITM de 1x20A - caja moldeada - BZME1 + terminales internos p/ conexión,  36kA-240Vac. - marca EATON.</t>
  </si>
  <si>
    <t>ITM de 1x25A - caja moldeada - BZME1 + terminales internos p/ conexión,   36kA-240Vac. - marca EATON.</t>
  </si>
  <si>
    <t>ITM de 1x32A - caja moldeada - BZME1 + terminales internos p/ conexión,   36kA-240Vac. - marca EATON.</t>
  </si>
  <si>
    <t>ITM de 1x40A - caja moldeada - BZME1 + terminales internos p/ conexión,   36kA-240Vac. - marca EATON.</t>
  </si>
  <si>
    <t>ITM de 1x50A - caja moldeada - BZME1 + terminales internos p/ conexión,   36kA-240Vac. - marca EATON.</t>
  </si>
  <si>
    <t>ITM de 1x63A - caja moldeada - BZME1 + terminales internos p/ conexión,   36kA-240Vac. - marca EATON.</t>
  </si>
  <si>
    <t>ITM de 1x80A - caja moldeada - BZME1 + terminales internos p/ conexión,   36kA-240Vac. - marca EATON.</t>
  </si>
  <si>
    <t>ITM de 1x100A - caja moldeada - BZME1 + terminales internos p/ conexión,   36kA-240Vac. - marca EATON.</t>
  </si>
  <si>
    <t>BZME1-2-A16-BT-AP</t>
  </si>
  <si>
    <t>ITM de 2x16A - caja moldeada - BZME1 + terminales internos p/ conexión,   36kA-240Vac. - marca EATON.</t>
  </si>
  <si>
    <t>ITM de 2x20A - caja moldeada - BZME1 + terminales internos p/ conexión,   36kA-240Vac. - marca EATON.</t>
  </si>
  <si>
    <t>ITM de 2x25A - caja moldeada - BZME1 + terminales internos p/ conexión,   36kA-240Vac. - marca EATON.</t>
  </si>
  <si>
    <t>ITM de 2x32A - caja moldeada - BZME1 + terminales internos p/ conexión,   36kA-240Vac. - marca EATON.</t>
  </si>
  <si>
    <t>ITM de 2x40A - caja moldeada - BZME1 + terminales internos p/ conexión,   36kA-240Vac. - marca EATON.</t>
  </si>
  <si>
    <t>ITM de 2x50A - caja moldeada - BZME1 + terminales internos p/ conexión,   36kA-240Vac. - marca EATON.</t>
  </si>
  <si>
    <t>ITM de 2x63A - caja moldeada - BZME1 + terminales internos p/ conexión,   36kA-240Vac. - marca EATON.</t>
  </si>
  <si>
    <t>ITM de 2x80A - caja moldeada - BZME1 + terminales internos p/ conexión,   36kA-240Vac. - marca EATON.</t>
  </si>
  <si>
    <t>ITM de 2x100A - caja moldeada - BZME1 + terminales internos p/ conexión,   36kA-240Vac. - marca EATON.</t>
  </si>
  <si>
    <t>ITM de 3x16A - caja moldeada - BZME1 + terminales internos p/ conexión,  36kA@240Vac.- 18kA@415Vac. - marca EATON.</t>
  </si>
  <si>
    <t>ITM de 3x20A - caja moldeada - BZME1 + terminales internos p/ conexión,  36kA@240Vac.- 18kA@415Vac. - marca EATON.</t>
  </si>
  <si>
    <t>ITM de 3x25A - caja moldeada - BZME1 + terminales internos p/ conexión,  36kA@240Vac.- 18kA@415Vac. - marca EATON.</t>
  </si>
  <si>
    <t>ITM de 3x32A - caja moldeada - BZME1 + terminales internos p/ conexión,  36kA@240Vac.- 18kA@415Vac. - marca EATON.</t>
  </si>
  <si>
    <t>ITM de 3x40A - caja moldeada - BZME1 + terminales internos p/ conexión,  36kA@240Vac.- 18kA@415Vac. - marca EATON.</t>
  </si>
  <si>
    <t>ITM de 3x50A - caja moldeada - BZME1 + terminales internos p/ conexión,  36kA@240Vac.- 18kA@415Vac. - marca EATON.</t>
  </si>
  <si>
    <t>ITM de 3x63A - caja moldeada - BZME1 + terminales internos p/ conexión,  36kA@240Vac.- 18kA@415Vac. - marca EATON.</t>
  </si>
  <si>
    <t>ITM de 3x80A - caja moldeada - BZME1 + terminales internos p/ conexión,  36kA@240Vac.- 18kA@415Vac. - marca EATON.</t>
  </si>
  <si>
    <t>ITM de 3x100A - caja moldeada - BZME1 + terminales internos p/ conexión,  36kA@240Vac.- 18kA@415Vac. - marca EATON.</t>
  </si>
  <si>
    <t>ITM de 3x125A - caja moldeada - BZME1 + terminales internos p/ conexión,  36kA@240Vac.- 18kA@415Vac. - marca EATON.</t>
  </si>
  <si>
    <t>ITM de 4x16A - caja moldeada - BZME1 + terminales internos p/ conexión,  36kA@240Vac.- 18kA@415Vac. - marca EATON.</t>
  </si>
  <si>
    <t>ITM de 4x20A - caja moldeada - BZME1 + terminales internos p/ conexión,  36kA@240Vac.- 18kA@415Vac. - marca EATON.</t>
  </si>
  <si>
    <t>ITM de 4x25A - caja moldeada - BZME1 + terminales internos p/ conexión,  36kA@240Vac.- 18kA@415Vac. - marca EATON.</t>
  </si>
  <si>
    <t>ITM de 4x32A - caja moldeada - BZME1 + terminales internos p/ conexión,  36kA@240Vac.- 18kA@415Vac. - marca EATON.</t>
  </si>
  <si>
    <t>ITM de 4x40A - caja moldeada - BZME1 + terminales internos p/ conexión,  36kA@240Vac.- 18kA@415Vac. - marca EATON.</t>
  </si>
  <si>
    <t>ITM de 4x50A - caja moldeada - BZME1 + terminales internos p/ conexión,  36kA@240Vac.- 18kA@415Vac. - marca EATON.</t>
  </si>
  <si>
    <t>ITM de 4x63A - caja moldeada - BZME1 + terminales internos p/ conexión,  36kA@240Vac.- 18kA@415Vac. - marca EATON.</t>
  </si>
  <si>
    <t>ITM de 4x80A - caja moldeada - BZME1 + terminales internos p/ conexión,  36kA@240Vac.- 18kA@415Vac. - marca EATON.</t>
  </si>
  <si>
    <t>ITM de 4x100A - caja moldeada - BZME1 + terminales internos p/ conexión,  36kA@240Vac.- 18kA@415Vac. - marca EATON.</t>
  </si>
  <si>
    <t>ITM de 1x20A - caja moldeada - BZMB1 + terminales internos p/ conexión,   50kA-240Vac. - marca EATON.</t>
  </si>
  <si>
    <t>ITM de 1x25A - caja moldeada - BZMB1 + terminales internos p/ conexión,   50kA-240Vac. - marca EATON.</t>
  </si>
  <si>
    <t>ITM de 1x32A - caja moldeada - BZMB1 + terminales internos p/ conexión,   50kA-240Vac. - marca EATON.</t>
  </si>
  <si>
    <t>ITM de 1x40A - caja moldeada - BZMB1 + terminales internos p/ conexión,   50kA-240Vac. - marca EATON.</t>
  </si>
  <si>
    <t>ITM de 1x50A - caja moldeada - BZMB1 + terminales internos p/ conexión,   50kA-240Vac. - marca EATON.</t>
  </si>
  <si>
    <t>ITM de 1x63A - caja moldeada - BZMB1 + terminales internos p/ conexión,   50kA-240Vac. - marca EATON.</t>
  </si>
  <si>
    <t>ITM de 1x80A - caja moldeada - BZMB1 + terminales internos p/ conexión,   50kA-240Vac. - marca EATON.</t>
  </si>
  <si>
    <t>ITM de 1x100A - caja moldeada - BZMB1 + terminales internos p/ conexión,   50kA-240Vac. - marca EATON.</t>
  </si>
  <si>
    <t>ITM de 2x16A - caja moldeada - BZMB1 + terminales internos p/ conexión,   50kA-240Vac.- 25kA@415Vac. - marca EATON.</t>
  </si>
  <si>
    <t>ITM de 2x20A - caja moldeada - BZMB1 + terminales internos p/ conexión,   50kA-240Vac.- 25kA@415Vac. - marca EATON.</t>
  </si>
  <si>
    <t>ITM de 2x25A - caja moldeada - BZMB1 + terminales internos p/ conexión,   50kA-240Vac.- 25kA@415Vac. - marca EATON.</t>
  </si>
  <si>
    <t>ITM de 2x32A - caja moldeada - BZMB1 + terminales internos p/ conexión,   50kA-240Vac.- 25kA@415Vac. - marca EATON.</t>
  </si>
  <si>
    <t>ITM de 2x40A - caja moldeada - BZMB1 + terminales internos p/ conexión,   50kA-240Vac.- 25kA@415Vac. - marca EATON.</t>
  </si>
  <si>
    <t>ITM de 2x50A - caja moldeada - BZMB1 + terminales internos p/ conexión,   50kA-240Vac.- 25kA@415Vac. - marca EATON.</t>
  </si>
  <si>
    <t>ITM de 2x63A - caja moldeada - BZMB1 + terminales internos p/ conexión,   50kA-240Vac.- 25kA@415Vac. - marca EATON.</t>
  </si>
  <si>
    <t>ITM de 2x80A - caja moldeada - BZMB1 + terminales internos p/ conexión,   50kA-240Vac.- 25kA@415Vac. - marca EATON.</t>
  </si>
  <si>
    <t>ITM de 2x100A - caja moldeada - BZMB1 + terminales internos p/ conexión,   50kA-240Vac.- 25kA@415Vac. - marca EATON.</t>
  </si>
  <si>
    <t>ITM de 3x16A - caja moldeada - BZMB1 + terminales internos p/ conexión,  50kA@240Vac.- 25kA@415Vac. - marca EATON.</t>
  </si>
  <si>
    <t>ITM de 3x20A - caja moldeada - BZMB1 + terminales internos p/ conexión,  50kA@240Vac.- 25kA@415Vac. - marca EATON.</t>
  </si>
  <si>
    <t>ITM de 3x25A - caja moldeada - BZMB1 + terminales internos p/ conexión,  50kA@240Vac.- 25kA@415Vac. - marca EATON.</t>
  </si>
  <si>
    <t>ITM de 3x32A - caja moldeada - BZMB1 + terminales internos p/ conexión,  50kA@240Vac.- 25kA@415Vac. - marca EATON.</t>
  </si>
  <si>
    <t>ITM de 3x40A - caja moldeada - BZMB1 + terminales internos p/ conexión,  50kA@240Vac.- 25kA@415Vac. - marca EATON.</t>
  </si>
  <si>
    <t>ITM de 3x50A - caja moldeada - BZMB1 + terminales internos p/ conexión,  50kA@240Vac.- 25kA@415Vac. - marca EATON.</t>
  </si>
  <si>
    <t>ITM de 3x63A - caja moldeada - BZMB1 + terminales internos p/ conexión,  50kA@240Vac.- 25kA@415Vac. - marca EATON.</t>
  </si>
  <si>
    <t>ITM de 3x80A - caja moldeada - BZMB1 + terminales internos p/ conexión,  50kA@240Vac.- 25kA@415Vac. - marca EATON.</t>
  </si>
  <si>
    <t>ITM de 3x100A - caja moldeada - BZMB1 + terminales internos p/ conexión,  50kA@240Vac.- 25kA@415Vac. - marca EATON.</t>
  </si>
  <si>
    <t>ITM de 4x16A - caja moldeada - BZMB1 + terminales internos p/ conexión,  50kA@240Vac.- 25kA@415Vac. - marca EATON.</t>
  </si>
  <si>
    <t>ITM de 4x20A - caja moldeada - BZMB1 + terminales internos p/ conexión,  50kA@240Vac.- 25kA@415Vac. - marca EATON.</t>
  </si>
  <si>
    <t>ITM de 4x25A - caja moldeada - BZMB1 + terminales internos p/ conexión,  50kA@240Vac.- 25kA@415Vac. - marca EATON.</t>
  </si>
  <si>
    <t>ITM de 4x32A - caja moldeada - BZMB1 + terminales internos p/ conexión,  50kA@240Vac.- 25kA@415Vac. - marca EATON.</t>
  </si>
  <si>
    <t>ITM de 4x40A - caja moldeada - BZMB1 + terminales internos p/ conexión,  50kA@240Vac.- 25kA@415Vac. - marca EATON.</t>
  </si>
  <si>
    <t>ITM de 4x50A - caja moldeada - BZMB1 + terminales internos p/ conexión,  50kA@240Vac.- 25kA@415Vac. - marca EATON.</t>
  </si>
  <si>
    <t>ITM de 4x63A - caja moldeada - BZMB1 + terminales internos p/ conexión,  50kA@240Vac.- 25kA@415Vac. - marca EATON.</t>
  </si>
  <si>
    <t>ITM de 4x80A - caja moldeada - BZMB1 + terminales internos p/ conexión,  50kA@240Vac.- 25kA@415Vac. - marca EATON.</t>
  </si>
  <si>
    <t>ITM de 4x100A - caja moldeada - BZMB1 + terminales internos p/ conexión,  50kA@240Vac.- 25kA@415Vac. - marca EATON.</t>
  </si>
  <si>
    <t>BZMB1-4-A160-BT-AP</t>
  </si>
  <si>
    <t>ITM de 3x125A - caja moldeada - BZMB2,  50kA-240Vac. - 25kA@415Vac. - marca EATON.</t>
  </si>
  <si>
    <t>ITM de 3x160A - caja moldeada - BZMB2,  50kA-240Vac. - 25kA@415Vac. - marca EATON.</t>
  </si>
  <si>
    <t>ITM de 3x200A - caja moldeada - BZMB2,  50kA-240Vac. - 25kA@415Vac. - marca EATON.</t>
  </si>
  <si>
    <t>ITM de 3x250A - caja moldeada - BZMB2,  50kA-240Vac. - 25kA@415Vac. - marca EATON.</t>
  </si>
  <si>
    <t>ITM de 3x250A - caja moldeada - BZMB3,  50kA-240Vac. - 25kA@415Vac. - marca EATON.</t>
  </si>
  <si>
    <t>ITM de 3x320A - caja moldeada - BZMB3,  50kA-240Vac. - 25kA@415Vac. - marca EATON.</t>
  </si>
  <si>
    <t>ITM de 3x400A - caja moldeada - BZMB3,  50kA-240Vac. - 25kA@415Vac. - marca EATON.</t>
  </si>
  <si>
    <t>M22-K10_bz</t>
  </si>
  <si>
    <t>M22-K01_bz</t>
  </si>
  <si>
    <t>Jgo. de 3 terminales tipo tunel hasta 320A ( 1x185mm² ) para BZM3 - TunT_BZM3_3t_320A.</t>
  </si>
  <si>
    <t>Jgo. de 3 terminales tipo tunel hasta 400A ( 2x240mm² ) para BZM3 - TunT_BZM3_3t.</t>
  </si>
  <si>
    <t>ITM de 3x20A , ( Reg. 15-20A ) LZMS1 + terminales internos p/ conexión,  90kA@240Vac. - 70kA@415Vac. - marca EATON.</t>
  </si>
  <si>
    <t>ITM de 3x25A , ( Reg. 20-25A ) LZMS1 + terminales internos p/ conexión,  90kA@240Vac. - 70kA@415Vac. - marca EATON.</t>
  </si>
  <si>
    <t>ITM de 3x32A , ( Reg. 25-32A ) LZMS1 + terminales internos p/ conexión,  90kA@240Vac. - 70kA@415Vac. - marca EATON.</t>
  </si>
  <si>
    <t>ITM de 3x40A , ( Reg. 32-40A ) LZMS1 + terminales internos p/ conexión,  90kA@240Vac. - 70kA@415Vac. - marca EATON.</t>
  </si>
  <si>
    <t>ITM de 3x50A , ( Reg. 40-50A ) LZMS1 + terminales internos p/ conexión,  90kA@240Vac. - 70kA@415Vac. - marca EATON.</t>
  </si>
  <si>
    <t>ITM de 3x63A , ( Reg. 50-63A ) LZMS1 + terminales internos p/ conexión,  90kA@240Vac. - 70kA@415Vac. - marca EATON.</t>
  </si>
  <si>
    <t>ITM de 3x80A , ( Reg. 63-80A ) LZMS1 + terminales internos p/ conexión,  90kA@240Vac. - 70kA@415Vac. - marca EATON.</t>
  </si>
  <si>
    <t>ITM de 3x100A , ( Reg. 80-100A ) LZMS1 + terminales internos p/ conexión,  90kA@240Vac. - 70kA@415Vac. - marca EATON.</t>
  </si>
  <si>
    <t>ITM de 3x125A , ( Reg. 100-125A ) LZMS1 + terminales internos p/ conexión, 90kA@240Vac. - 70kA@415Vac. - marca EATON.</t>
  </si>
  <si>
    <t>ITM de 3x160A , ( Reg. 125-160A ) LZMS1 + terminales internos p/ conexión, 90kA@240Vac. - 70kA@415Vac. - marca EATON.</t>
  </si>
  <si>
    <t>LZMS1-A100+NZM1-XDV</t>
  </si>
  <si>
    <t>ITM de 3x100A , ( Reg. 80-100A ) LZMS1 + terminales internos p/ conexión,  90kA@240Vac. - 70kA@415Vac + Palanca rotativa. - marca EATON.</t>
  </si>
  <si>
    <t>LZMS1-A80+NZM1-XDV</t>
  </si>
  <si>
    <t>ITM de 3x80A , ( Reg. 63-80A ) LZMS1 + terminales internos p/ conexión,  90kA@240Vac. - 70kA@415Vac + Palanca rotativa. - marca EATON.</t>
  </si>
  <si>
    <t>LZMS1-A50+NZM1-XDV</t>
  </si>
  <si>
    <t>ITM de 3x50A , ( Reg. 40-50A ) LZMS1 + terminales internos p/ conexión,  90kA@240Vac. - 70kA@415Vac + Palanca rotativa. - marca EATON.</t>
  </si>
  <si>
    <t>LZMS1-A40+NZM1-XDV</t>
  </si>
  <si>
    <t>ITM de 3x40A , ( Reg. 80-100A ) LZMS1 + terminales internos p/ conexión,  90kA@240Vac. - 70kA@415Vac + Palanca rotativa. - marca EATON.</t>
  </si>
  <si>
    <t>LZMS1-A20+NZM1-XDV</t>
  </si>
  <si>
    <t>ITM de 3x20A , ( Reg. 16-20A ) LZMS1 + terminales internos p/ conexión,  90kA@240Vac. - 70kA@415Vac + Palanca rotativa. - marca EATON.</t>
  </si>
  <si>
    <t>LZMS2-A250+NZM2-XDV</t>
  </si>
  <si>
    <t>ITM de 3x250A , ( Reg. 200-250A ) LZMS2, 100kA@240Vac. - 70kA@415Vac + Palanca rotativa - marca EATON.</t>
  </si>
  <si>
    <t>LZMS3-VE400+NZM3-XDV</t>
  </si>
  <si>
    <t>ITM de 3x400A , ( Reg. 320-400A ) LZMS3, 100kA@240Vac. - 70kA@415Vac + Palanca rotativa. - marca EATON.</t>
  </si>
  <si>
    <t>ITM de 3x25A , ( Reg. 20-25A ) LZMS2, 70kA@240Vac. - 70kA@415Vac. - marca EATON.</t>
  </si>
  <si>
    <t>ITM de 3x32A , ( Reg. 26-32A ) LZMS2, 70kA@240Vac. - 70kA@415Vac. - marca EATON.</t>
  </si>
  <si>
    <t>LZMS2-A40</t>
  </si>
  <si>
    <t>ITM de 3x40A , ( Reg. 32-40A ) LZMS2, 70kA@240Vac. - 70kA@415Vac. - marca EATON.</t>
  </si>
  <si>
    <t>ITM de 3x63A , ( Reg. 50-63A ) LZMS2, 70kA@240Vac. - 70kA@415Vac. - marca EATON.</t>
  </si>
  <si>
    <t>LZMS2-A80</t>
  </si>
  <si>
    <t>ITM de 3x80A , ( Reg. 63-80A ) LZMS2, 70kA@240Vac. - 70kA@415Vac. - marca EATON.</t>
  </si>
  <si>
    <t>ITM de 3x100A , ( Reg. 80-100A ) LZMS2, 70kA@240Vac. - 70kA@415Vac. - marca EATON.</t>
  </si>
  <si>
    <t>LZMS2-A125</t>
  </si>
  <si>
    <t>ITM de 3x125A , ( Reg. 100-125A ) LZMS2, 100kA@240Vac. - 70kA@415Vac. - marca EATON.</t>
  </si>
  <si>
    <t>ITM de 3x160A , ( Reg. 125-160A ) LZMS2, 100kA@240Vac. - 70kA@415Vac. - marca EATON.</t>
  </si>
  <si>
    <t>ITM de 3x200A , ( Reg. 160-200A ) LZMS2, 100kA@240Vac. - 70kA@415Vac. - marca EATON.</t>
  </si>
  <si>
    <t>ITM de 3x250A , ( Reg. 200-250A ) LZMS2, 100kA@240Vac. - 70kA@415Vac. - marca EATON.</t>
  </si>
  <si>
    <t>ITM de 3x300A , ( Reg. 240-300A ) LZMS2, 100kA@240Vac. - 70kA@415Vac. - marca EATON.</t>
  </si>
  <si>
    <t>ITM de 3x320A , ( Reg. 250-320A ) LZMS3, 100kA@240Vac. - 70kA@415Vac. - marca EATON.</t>
  </si>
  <si>
    <t>ITM de 3x400A , ( Reg. 320-400A ) LZMS3, 100kA@240Vac. - 70kA@415Vac. - marca EATON.</t>
  </si>
  <si>
    <t>ITM de 3x500A , ( Reg. 400-500A ) LZMS3, 100kA@240Vac. - 70kA@415Vac. - marca EATON.</t>
  </si>
  <si>
    <t>ITM de 3x400A , electrónico ( Reg. 200-400A ) LZMS3, 100kA@240Vac. - 70kA@415Vac. - marca EATON.</t>
  </si>
  <si>
    <t>ITM de 3x630A , electrónico ( Reg. 315-630A ) LZMS3, 100kA@240Vac. - 70kA@415Vac. - marca EATON.</t>
  </si>
  <si>
    <t>ITM de 3x800A , electrónico ( Reg. 400-800A ) LZMS4, 100kA@240Vac. - 70kA@415Vac. - marca EATON.</t>
  </si>
  <si>
    <t>ITM de 3x1000A , electrónico ( Reg. 500-1000A ) LZMS4, 100kA@240Vac. - 70kA@415Vac. - marca EATON.</t>
  </si>
  <si>
    <t>ITM de 3x1250A , electrónico ( Reg. 630-1250A ) LZMS4, 100kA@240Vac. - 70kA@415Vac. - marca EATON.</t>
  </si>
  <si>
    <t>ITM de 3x1600A , electrónico ( Reg. 800-1600A ) LZMS4, 100kA@240Vac. - 70kA@415Vac. - marca EATON.</t>
  </si>
  <si>
    <t>IM de 3x200A (solo magnético reg.[8 - 14] In) - LZMS2, 100kA@240Vac. - 70kA@415Vac. - marca EATON.</t>
  </si>
  <si>
    <t>IM de 3x500A (solo magnético reg.[8 - 14] In) - LZMS3, 100kA@240Vac. - 70kA@415Vac. - marca EATON.</t>
  </si>
  <si>
    <t>Palanca Rotativa</t>
  </si>
  <si>
    <t>BZM1-XTVD</t>
  </si>
  <si>
    <t>Palanca Rotativa Externa con bloqueo para candado p/ BZMB1</t>
  </si>
  <si>
    <t>NZM1-XTVD</t>
  </si>
  <si>
    <t>Palanca Rotativa Externa con bloqueo para candado p/ NZM1 / LZM1</t>
  </si>
  <si>
    <t>NZM2-XTVD</t>
  </si>
  <si>
    <t>Palanca Rotativa Externa con bloqueo para candado p/ NZM2 / LZM2</t>
  </si>
  <si>
    <t>NZM3-XTVD</t>
  </si>
  <si>
    <t>Palanca Rotativa Externa con bloqueo para candado p/ NZM3 / LZM3</t>
  </si>
  <si>
    <t>BZM1-XV4</t>
  </si>
  <si>
    <t>Eje para palanca externa p/ BZMB1</t>
  </si>
  <si>
    <t>LZM1-XV4</t>
  </si>
  <si>
    <t>Eje para palanca externa p/ LZMS1</t>
  </si>
  <si>
    <t>Jgo. de 3 terminales tipo tunel hasta 160A + Cubrebornes ( 1x16-95mm² ) para LZMS1 - TunT_LZM1_3t.</t>
  </si>
  <si>
    <t>Jgo. de 3 terminales internos p/ conexión hasta 160A ( 1x4-185mm² ) para LZMS2 - BoxT_LZM2_3t_160A.</t>
  </si>
  <si>
    <t>Jgo. de 3 terminales internos p/ conexión hasta 250A ( 1x4-185mm² ) para LZMS2 - BoxT_LZM2_3t.</t>
  </si>
  <si>
    <t>Jgo. de 3 terminales tipo tunel hasta 300A + Cubrebornes ( 1x16-185m² ) para LZMS2 - TunT_LZM2_3t.</t>
  </si>
  <si>
    <t>Jgo. de 3 terminales internos p/ conexión hasta 400A ( 1x35-240mm² ) para LZMS3 - BoxT_LZM3_3t.</t>
  </si>
  <si>
    <t>Jgo. de 3 terminales tipo tunel hasta 320A + Cubrebornes ( 1x16-185m² ) para LZMS3 - TunT_LZM3_3t_320A.</t>
  </si>
  <si>
    <t>Jgo. de 3 terminales tipo tunel hasta 630A + Cubrebornes ( 2x50-240m² ) para LZMS3 - TunT_LZM3_3t.</t>
  </si>
  <si>
    <t>Jgo. de 3 terminales tipo tunel hasta 1250A + Cubrebornes ( 4x50-240m² ) para LZMS4 - TunT_LZM4_3t.</t>
  </si>
  <si>
    <t>Conmutador de 3 posiciones, 1-0-2, 4 polos de 63A en AC-22, marca BREMAS.</t>
  </si>
  <si>
    <t>Conmutador de 3 posiciones, 1-0-2, 4 polos de 40A en AC-22, marca BREMAS.</t>
  </si>
  <si>
    <t>Conmutador de 3 posiciones, 1-0-2, 4 polos de 25A en AC-22, marca BREMAS.</t>
  </si>
  <si>
    <t>Conmutador de 3 posiciones, 1-0-2, 3 polos de 100A en AC-22, marca BREMAS.</t>
  </si>
  <si>
    <t>Conmutador de 3 posiciones, 1-0-2, 3 polos de 63A en AC-22, marca BREMAS.</t>
  </si>
  <si>
    <t>Conmutador de 3 posiciones, 1-0-2, 3 polos de 40A en AC-22, marca BREMAS.</t>
  </si>
  <si>
    <t>Conmutador de 3 posiciones, 1-0-2, 3 polos de 32A en AC-22, marca BREMAS.</t>
  </si>
  <si>
    <t>Conmutador de 3 posiciones, 1-0-2, 3 polos de 25A en AC-22, marca BREMAS.</t>
  </si>
  <si>
    <t>Conmutador de 3 posiciones, 1-0-2, 2 polos de 100A en AC-22, marca BREMAS.</t>
  </si>
  <si>
    <t>Conmutador de 3 posiciones, 1-0-2, 2 polos de 63A en AC-22, marca BREMAS.</t>
  </si>
  <si>
    <t>Conmutador de 3 posiciones, 1-0-2, 2 polos de 40A en AC-22, marca BREMAS.</t>
  </si>
  <si>
    <t>Conmutador de 3 posiciones, 1-0-2, 2 polos de 32A en AC-22, marca BREMAS.</t>
  </si>
  <si>
    <t>Conmutador de 3 posiciones, 1-0-2, 2 polos de 25A en AC-22, marca BREMAS.</t>
  </si>
  <si>
    <t xml:space="preserve">Supresor de transitorios 50kA@400Vac. </t>
  </si>
  <si>
    <t>Modelo ER-EATON</t>
  </si>
  <si>
    <t>ER-C10/1</t>
  </si>
  <si>
    <t>ITM de 1 x 10A - modular DIN - ER,  15kA - 230/400Vac., IEC 60947-2 , EATON.</t>
  </si>
  <si>
    <t>ER-C16/1</t>
  </si>
  <si>
    <t>ITM de 1 x 16A - modular DIN - ER,  15kA - 230/400Vac., IEC 60947-2 , EATON.</t>
  </si>
  <si>
    <t>ER-C20/1</t>
  </si>
  <si>
    <t>ITM de 1 x 20A - modular DIN - ER,  15kA - 230/400Vac., IEC 60947-2 , EATON.</t>
  </si>
  <si>
    <t>ER-C25/1</t>
  </si>
  <si>
    <t>ITM de 1 x 25A - modular DIN - ER,  15kA - 230/400Vac., IEC 60947-2 , EATON.</t>
  </si>
  <si>
    <t>ER-C32/1</t>
  </si>
  <si>
    <t>ITM de 1 x 32A - modular DIN - ER,  15kA - 230/400Vac., IEC 60947-2 , EATON.</t>
  </si>
  <si>
    <t>ER-C40/1</t>
  </si>
  <si>
    <t>ITM de 1 x 40A - modular DIN - ER,  15kA - 230/400Vac., IEC 60947-2 , EATON.</t>
  </si>
  <si>
    <t>ER-C50/1</t>
  </si>
  <si>
    <t>ITM de 1 x 50A - modular DIN - ER,  15kA - 230/400Vac., IEC 60947-2 , EATON.</t>
  </si>
  <si>
    <t>ER-C63/1</t>
  </si>
  <si>
    <t>ITM de 1 x 63A - modular DIN - ER,  15kA - 230/400Vac., IEC 60947-2 , EATON.</t>
  </si>
  <si>
    <t>ER-C6/2</t>
  </si>
  <si>
    <t>ITM de 2 x 6A - modular DIN - ER,  15kA - 230/400Vac., IEC 60947-2 , EATON.</t>
  </si>
  <si>
    <t>ER-C10/2</t>
  </si>
  <si>
    <t>ITM de 2 x 10A - modular DIN - ER,  15kA - 230/400Vac., IEC 60947-2 , EATON.</t>
  </si>
  <si>
    <t>ER-C16/2</t>
  </si>
  <si>
    <t>ITM de 2 x 16A - modular DIN - ER,  15kA - 230/400Vac., IEC 60947-2 , EATON.</t>
  </si>
  <si>
    <t>ER-C20/2</t>
  </si>
  <si>
    <t>ITM de 2 x 20A - modular DIN - ER,  15kA - 230/400Vac., IEC 60947-2 , EATON.</t>
  </si>
  <si>
    <t>ER-C25/2</t>
  </si>
  <si>
    <t>ITM de 2 x 25A - modular DIN - ER,  15kA - 230/400Vac., IEC 60947-2 , EATON.</t>
  </si>
  <si>
    <t>ER-C32/2</t>
  </si>
  <si>
    <t>ITM de 2 x 32A - modular DIN - ER,  15kA - 230/400Vac., IEC 60947, EATON.</t>
  </si>
  <si>
    <t>ER-C40/2</t>
  </si>
  <si>
    <t>ITM de 2 x 40A - modular DIN - ER,  15kA - 230/400Vac., IEC 60947-2 , EATON.</t>
  </si>
  <si>
    <t>ER-C50/2</t>
  </si>
  <si>
    <t>ITM de 2 x 50A - modular DIN - ER,  15kA - 230/400Vac., IEC 60947-2 , EATON.</t>
  </si>
  <si>
    <t>ER-C63/2</t>
  </si>
  <si>
    <t>ITM de 2 x 63A - modular DIN - ER,  15kA - 230/400Vac., IEC 60947-2 , EATON.</t>
  </si>
  <si>
    <t>ER-C10/3</t>
  </si>
  <si>
    <t>ITM de 3 x 10A - modular DIN - ER,  15kA - 230/400Vac., IEC 60947-2 , EATON.</t>
  </si>
  <si>
    <t>ER-C16/3</t>
  </si>
  <si>
    <t>ITM de 3 x 16A - modular DIN - ER,  15kA - 230/400Vac., IEC 60947-2 , EATON.</t>
  </si>
  <si>
    <t>ER-C20/3</t>
  </si>
  <si>
    <t>ITM de 3 x 20A - modular DIN - ER,  15kA - 230/400Vac., IEC 60947-2 , EATON.</t>
  </si>
  <si>
    <t>ER-C25/3</t>
  </si>
  <si>
    <t>ITM de 3 x 25A - modular DIN - ER,  15kA - 230/400Vac., IEC 60947-2 , EATON.</t>
  </si>
  <si>
    <t>ER-C32/3</t>
  </si>
  <si>
    <t>ITM de 3 x 32A - modular DIN - ER,  15kA - 230/400Vac., IEC 60947-2 , EATON.</t>
  </si>
  <si>
    <t>ER-C40/3</t>
  </si>
  <si>
    <t>ITM de 3 x 40A - modular DIN - ER,  15kA - 230/400Vac., IEC 60947-2 , EATON.</t>
  </si>
  <si>
    <t>ER-C50/3</t>
  </si>
  <si>
    <t>ITM de 3 x 50A - modular DIN - ER,  15kA - 230/400Vac., IEC 60947-2 , EATON.</t>
  </si>
  <si>
    <t>ER-C63/3</t>
  </si>
  <si>
    <t>ITM de 3 x 63A - modular DIN - ER,  15kA - 230/400Vac., IEC 60947-2 , EATON.</t>
  </si>
  <si>
    <t>ITM de 1x10A - modular DIN - mMCM,  15kA - 230/400Vac., IEC 60947-2 , marca EATON.</t>
  </si>
  <si>
    <t>ITM de 1x16A - modular DIN - mMCM,  15kA - 230/400Vac., IEC 60947-2 , marca EATON.</t>
  </si>
  <si>
    <t>ITM de 1x20A - modular DIN - mMCM,  15kA - 230/400Vac., IEC 60947-2 , marca EATON.</t>
  </si>
  <si>
    <t>ITM de 1x25A - modular DIN - mMCM,  15kA - 230/400Vac., IEC 60947-2 , marca EATON.</t>
  </si>
  <si>
    <t>ITM de 1x32A - modular DIN - mMCM,  15kA - 230/400Vac., IEC 60947-2 , marca EATON.</t>
  </si>
  <si>
    <t>ITM de 1x40A - modular DIN - mMCM,  15kA - 230/400Vac., IEC 60947-2 , marca EATON.</t>
  </si>
  <si>
    <t>ITM de 1x50A - modular DIN - mMCM,  15kA - 230/400Vac., IEC 60947-2 , marca EATON.</t>
  </si>
  <si>
    <t>ITM de 1x63A - modular DIN - mMCM,  15kA - 230/400Vac., IEC 60947-2 , marca EATON.</t>
  </si>
  <si>
    <t>ITM de 2x6A - modular DIN - mMCM,  15kA - 230/400Vac., IEC 60947-2 , marca EATON.</t>
  </si>
  <si>
    <t>ITM de 2x10A - modular DIN - mMCM,  15kA - 230/400Vac., IEC 60947-2 , marca EATON.</t>
  </si>
  <si>
    <t>ITM de 2x16A - modular DIN - mMCM,  15kA - 230/400Vac., IEC 60947-2 , marca EATON.</t>
  </si>
  <si>
    <t>ITM de 2x20A - modular DIN - mMCM,  15kA - 230/400Vac., IEC 60947-2 , marca EATON.</t>
  </si>
  <si>
    <t>ITM de 2x25A - modular DIN - mMCM,  15kA - 230/400Vac., IEC 60947-2 , marca EATON.</t>
  </si>
  <si>
    <t>ITM de 2x32A - modular DIN - mMCM,  15kA - 230/400Vac., IEC 60947, marca EATON.</t>
  </si>
  <si>
    <t>ITM de 2x40A - modular DIN - mMCM,  15kA - 230/400Vac., IEC 60947-2 , marca EATON.</t>
  </si>
  <si>
    <t>ITM de 2x50A - modular DIN - mMCM,  15kA - 230/400Vac., IEC 60947-2 , marca EATON.</t>
  </si>
  <si>
    <t>ITM de 2x63A - modular DIN - mMCM,  15kA - 230/400Vac., IEC 60947-2 , marca EATON.</t>
  </si>
  <si>
    <t>ITM de 3x10A - modular DIN - mMCM,  15kA - 230/400Vac., IEC 60947-2 , marca EATON.</t>
  </si>
  <si>
    <t>ITM de 3x16A - modular DIN - mMCM,  15kA - 230/400Vac., IEC 60947-2 , marca EATON.</t>
  </si>
  <si>
    <t>ITM de 3x20A - modular DIN - mMCM,  15kA - 230/400Vac., IEC 60947-2 , marca EATON.</t>
  </si>
  <si>
    <t>ITM de 3x25A - modular DIN - mMCM,  15kA - 230/400Vac., IEC 60947-2 , marca EATON.</t>
  </si>
  <si>
    <t>ITM de 3x32A - modular DIN - mMCM,  15kA - 230/400Vac., IEC 60947-2 , marca EATON.</t>
  </si>
  <si>
    <t>ITM de 3x40A - modular DIN - mMCM,  15kA - 230/400Vac., IEC 60947-2 , marca EATON.</t>
  </si>
  <si>
    <t>ITM de 3x50A - modular DIN - mMCM,  15kA - 230/400Vac., IEC 60947-2 , marca EATON.</t>
  </si>
  <si>
    <t>ITM de 3x63A - modular DIN - mMCM,  15kA - 230/400Vac., IEC 60947-2 , marca EATON.</t>
  </si>
  <si>
    <t>ITM de 1x16A - modular DIN - ER,  15kA - 230/400Vac., IEC 60947-2 , marca EATON.</t>
  </si>
  <si>
    <t>ITM de 1x20A - modular DIN - ER,  15kA - 230/400Vac., IEC 60947-2 , marca EATON.</t>
  </si>
  <si>
    <t>ITM de 1x32A - modular DIN - ER,  15kA - 230/400Vac., IEC 60947-2 , marca EATON.</t>
  </si>
  <si>
    <t>ITM de 2x16A - modular DIN - ER,  15kA - 230/400Vac., IEC 60947-2 , marca EATON.</t>
  </si>
  <si>
    <t>ITM de 2x20A - modular DIN - ER,  15kA - 230/400Vac., IEC 60947-2 , marca EATON.</t>
  </si>
  <si>
    <t>ITM de 2x32A - modular DIN - ER,  15kA - 230/400Vac., IEC 60947-2 , marca EATON.</t>
  </si>
  <si>
    <t>ITM de 3x20A - modular DIN - ER,  15kA - 230/400Vac., IEC 60947-2 , marca EATON.</t>
  </si>
  <si>
    <t>ITM de 1x10A - modular DIN - mMC6,  10kA - 230/400Vac., IEC 60947-2 , marca EATON.</t>
  </si>
  <si>
    <t>ITM de 1x16A - modular DIN - mMC6,  10kA - 230/400Vac., IEC 60947-2 , marca EATON.</t>
  </si>
  <si>
    <t>ITM de 1x20A - modular DIN - mMC6,  10kA - 230/400Vac., IEC 60947-2 , marca EATON.</t>
  </si>
  <si>
    <t>ITM de 1x25A - modular DIN - mMC6,  10kA - 230/400Vac., IEC 60947-2 , marca EATON.</t>
  </si>
  <si>
    <t>ITM de 1x32A - modular DIN - mMC6,  10kA - 230/400Vac., IEC 60947-2 , marca EATON.</t>
  </si>
  <si>
    <t>ITM de 1x40A - modular DIN - mMC6,  10kA - 230/400Vac., IEC 60947-2 , marca EATON.</t>
  </si>
  <si>
    <t>ITM de 1x50A - modular DIN - mMC6,  10kA - 230/400Vac., IEC 60947-2 , marca EATON.</t>
  </si>
  <si>
    <t>ITM de 1x63A - modular DIN - mMC6,  10kA - 230/400Vac., IEC 60947-2 , marca EATON.</t>
  </si>
  <si>
    <t>ITM de 2x10A - modular DIN - mMC6,  10kA - 230/400Vac., IEC 60947-2 , marca EATON.</t>
  </si>
  <si>
    <t>ITM de 2x16A - modular DIN - mMC6,  10kA - 230/400Vac., IEC 60947-2 , marca EATON.</t>
  </si>
  <si>
    <t>ITM de 2x20A - modular DIN - mMC6,  10kA - 230/400Vac., IEC 60947-2 , marca EATON.</t>
  </si>
  <si>
    <t>ITM de 2x25A - modular DIN - mMC6,  10kA - 230/400Vac., IEC 60947-2 , marca EATON.</t>
  </si>
  <si>
    <t>ITM de 2x32A - modular DIN - mMC6,  10kA - 230/400Vac., IEC 60947-2 , marca EATON.</t>
  </si>
  <si>
    <t>ITM de 2x40A - modular DIN - mMC6,  10kA - 230/400Vac., IEC 60947-2 , marca EATON.</t>
  </si>
  <si>
    <t>ITM de 2x50A - modular DIN - mMC6,  10kA - 230/400Vac., IEC 60947-2 , marca EATON.</t>
  </si>
  <si>
    <t>ITM de 2x63A - modular DIN - mMC6,  10kA - 230/400Vac., IEC 60947-2 , marca EATON.</t>
  </si>
  <si>
    <t>ITM de 3x10A - modular DIN - mMC6,  10kA - 230/400Vac., IEC 60947-2 , marca EATON.</t>
  </si>
  <si>
    <t>ITM de 3x16A - modular DIN - mMC6,  10kA - 230/400Vac., IEC 60947-2 , marca EATON.</t>
  </si>
  <si>
    <t>ITM de 3x20A - modular DIN - mMC6,  10kA - 230/400Vac., IEC 60947-2 , marca EATON.</t>
  </si>
  <si>
    <t>ITM de 3x25A - modular DIN - mMC6,  10kA - 230/400Vac., IEC 60947-2 , marca EATON.</t>
  </si>
  <si>
    <t>ITM de 3x32A - modular DIN - mMC6,  10kA - 230/400Vac., IEC 60947-2 , marca EATON.</t>
  </si>
  <si>
    <t>ITM de 3x40A - modular DIN - mMC6,  10kA - 230/400Vac., IEC 60947-2 , marca EATON.</t>
  </si>
  <si>
    <t>ITM de 3x50A - modular DIN - mMC6,  10kA - 230/400Vac., IEC 60947-2 , marca EATON.</t>
  </si>
  <si>
    <t>ITM de 3x63A - modular DIN - mMC6,  10kA - 230/400Vac., IEC 60947-2 , marca EATON.</t>
  </si>
  <si>
    <t>ITM de 1x80A - mMCT,  20kA - 230/400Vac., IEC 60947-2 , marca EATON.</t>
  </si>
  <si>
    <t>ITM de 1x100A - mMCT,  20kA - 230/400Vac., IEC 60947-2 , marca EATON.</t>
  </si>
  <si>
    <t>ITM de 1x125A - mMCT,  15kA - 230/400Vac., IEC 60947-2 , marca EATON.</t>
  </si>
  <si>
    <t>ITM de 2x80A - mMCT,  20kA - 230/400Vac., IEC 60947-2 , marca EATON.</t>
  </si>
  <si>
    <t>ITM de 2x100A - mMCT,  20kA - 230/400Vac., IEC 60947-2 , marca EATON.</t>
  </si>
  <si>
    <t>ITM de 2x125A - mMCT,  15kA - 230/400Vac., IEC 60947-2 , marca EATON.</t>
  </si>
  <si>
    <t>ITM de 3x80A - mMCT,  20kA - 230/400Vac., IEC 60947-2 , marca EATON.</t>
  </si>
  <si>
    <t>ITM de 3x100A - mMCT,  20kA - 230/400Vac., IEC 60947-2 , marca EATON.</t>
  </si>
  <si>
    <t>ITM de 3x125A - mMCT,  15kA - 230/400Vac., IEC 60947-2 , marca EATON.</t>
  </si>
  <si>
    <t>Interruptor Diferencial de 2x25A - mRCM , 30mA, clase AC , marca EATON.</t>
  </si>
  <si>
    <t>Interruptor Diferencial de 2x40A - mRCM , 30mA, clase AC , marca EATON.</t>
  </si>
  <si>
    <t>Interruptor Diferencial de 2x63A - mRCM , 30mA, clase AC , marca EATON.</t>
  </si>
  <si>
    <t>Interruptor Diferencial de 2x80A - mRCM , 30mA, clase AC , marca EATON.</t>
  </si>
  <si>
    <t>Interruptor Diferencial de 2x100A - mRCM , 30mA, clase AC , marca EATON.</t>
  </si>
  <si>
    <t>Interruptor Diferencial de 4x25A - mRCM , 30mA, clase AC , marca EATON.</t>
  </si>
  <si>
    <t>Interruptor Diferencial de 4x40A - mRCM , 30mA, clase AC , marca EATON.</t>
  </si>
  <si>
    <t>Interruptor Diferencial de 4x63A - mRCM , 30mA, clase AC , marca EATON.</t>
  </si>
  <si>
    <t>Interruptor Diferencial de 4x80A - mRCM , 30mA, clase AC , marca EATON.</t>
  </si>
  <si>
    <t>Interruptor Diferencial de 4x100A - mRCM , 30mA, clase AC , marca EATON.</t>
  </si>
  <si>
    <t>Interruptor Diferencial de 2x25A - mRCM , 30mA, clase A (inmunizado), marca EATON.</t>
  </si>
  <si>
    <t>Interruptor Diferencial de 2x40A - mRCM , 30mA, clase A (inmunizado), marca EATON.</t>
  </si>
  <si>
    <t>Interruptor Diferencial de 2x63A - mRCM , 30mA, clase A (inmunizado), marca EATON.</t>
  </si>
  <si>
    <t>Interruptor Diferencial de 4x25A - mRCM , 30mA, clase A (inmunizado), marca EATON.</t>
  </si>
  <si>
    <t>Interruptor Diferencial de 4x40A - mRCM , 30mA, clase A (inmunizado), marca EATON.</t>
  </si>
  <si>
    <t>Interruptor Diferencial de 4x63A - mRCM , 30mA, clase A (inmunizado), marca EATON.</t>
  </si>
  <si>
    <t>Interruptor Diferencial de 4x80A - mRCM , 30mA, clase A (inmunizado), marca EATON.</t>
  </si>
  <si>
    <t>Interruptor Diferencial de 4x100A - mRCM , 30mA, clase A (inmunizado), marca EATON.</t>
  </si>
  <si>
    <t>Interruptor Diferencial de 2x25A - mRCM , 300mA, clase AC , marca EATON.</t>
  </si>
  <si>
    <t>Interruptor Diferencial de 2x40A - mRCM , 300mA, clase AC , marca EATON.</t>
  </si>
  <si>
    <t>Interruptor Diferencial de 2x63A - mRCM , 300mA, clase AC , marca EATON.</t>
  </si>
  <si>
    <t>Interruptor Diferencial de 2x80A - mRCM , 300mA, clase AC , marca EATON.</t>
  </si>
  <si>
    <t>Interruptor Diferencial de 2x100A - mRCM , 300mA, clase AC , marca EATON.</t>
  </si>
  <si>
    <t>Interruptor Diferencial de 4x25A - mRCM , 300mA, clase AC , marca EATON.</t>
  </si>
  <si>
    <t>Interruptor Diferencial de 4x40A - mRCM , 300mA, clase AC , marca EATON.</t>
  </si>
  <si>
    <t>Interruptor Diferencial de 4x63A - mRCM , 300mA, clase AC , marca EATON.</t>
  </si>
  <si>
    <t>Interruptor Diferencial de 4x80A - mRCM , 300mA, clase AC , marca EATON.</t>
  </si>
  <si>
    <t>Interruptor Diferencial de 4x100A - mRCM , 300mA, clase AC , marca EATON.</t>
  </si>
  <si>
    <t>Modelo mRCM - Clase A (300mA)</t>
  </si>
  <si>
    <t>mRCM-40/4/03-A-MW</t>
  </si>
  <si>
    <t>Interruptor Diferencial de 4x40A - mRCM , 300mA, clase A , marca EATON.</t>
  </si>
  <si>
    <t>mRCM-25/4/03-A-MW</t>
  </si>
  <si>
    <t>Interruptor Diferencial de 4x25A - mRCM , 300mA, clase A , marca EATON.</t>
  </si>
  <si>
    <t>ION-7400</t>
  </si>
  <si>
    <t>Medidor de energía - modelo ION-7400 - presición 0.2% - RS485, Ethernet, Frontal Óptico, USB - marca Schneider.</t>
  </si>
  <si>
    <t>ION-7550</t>
  </si>
  <si>
    <t>Medidor de energía - modelo ION-7550 - presición 0.2% - RS485, Ethernet, Frontal Óptico, USB (Capacidad de registro: 10MB) - marca Schneider.</t>
  </si>
  <si>
    <t>ION-CABLE</t>
  </si>
  <si>
    <t>Lector Optico para Medidores ION - Cable, marca SCHNEIDER.</t>
  </si>
  <si>
    <t>LICENCIA - ION</t>
  </si>
  <si>
    <t>Licencia StruxureWare power Monitoring Expert (SPME).</t>
  </si>
  <si>
    <t>Medidor multifunción - Modelo CVM-C10 - presición 0.5% - RS485, Modbus RTU - marca CIRCUTOR.</t>
  </si>
  <si>
    <t>Medidor multifunción + Analizador de Redes - Modelo CVM-B100 - presición 0.2% - RS485, Modbus RTU / BACnet - marca CIRCUTOR.</t>
  </si>
  <si>
    <t>Medidor multifunción + Analizador de Redes - Modelo CVM-B100 - presición 0.2% - Comunicación Profibus - marca CIRCUTOR.</t>
  </si>
  <si>
    <t>CVM-B150-MODBUS</t>
  </si>
  <si>
    <t>Medidor multifunción + Analizador de Redes - Modelo CVM-B150 - Comunicación ModBus - marca CIRCUTOR.</t>
  </si>
  <si>
    <t>CVM-B150-ITF-485-ICT2</t>
  </si>
  <si>
    <t>CVM-C10_sello hermetico IP-64</t>
  </si>
  <si>
    <t>Sello hermético IP-64, para CVM-C10 (96x96), marca Circutor.</t>
  </si>
  <si>
    <t>M5ZZ5T</t>
  </si>
  <si>
    <t>Modulo de Ethernet_CVM-B100</t>
  </si>
  <si>
    <t>TC 50/5</t>
  </si>
  <si>
    <t>Transformador de corriente de 50/5A</t>
  </si>
  <si>
    <t>TC 2500/5_TA</t>
  </si>
  <si>
    <t>Transformador de corriente de 2500/5A - Marca Circuitor</t>
  </si>
  <si>
    <t>TC 2000/5_TA</t>
  </si>
  <si>
    <t>Transformador de corriente de 2000/5A - Marca Circuitor</t>
  </si>
  <si>
    <t>TC 1600/5_TA</t>
  </si>
  <si>
    <t>Transformador de corriente de 1600/5A - Marca Circuitor</t>
  </si>
  <si>
    <t>TC 800/5_TA</t>
  </si>
  <si>
    <t>Transformador de corriente de 800/5A - Marca Circuitor</t>
  </si>
  <si>
    <t>TC 400/5_TA</t>
  </si>
  <si>
    <t>Transformador de corriente de 400/5A - Marca Circuitor</t>
  </si>
  <si>
    <t>TC 200/5_TA</t>
  </si>
  <si>
    <t>Transformador de corriente de 200/5A - Marca Circuitor</t>
  </si>
  <si>
    <t>Bornes de corriente.</t>
  </si>
  <si>
    <t>Bornes seccionables de corriente.</t>
  </si>
  <si>
    <t>Borne para neutro.</t>
  </si>
  <si>
    <t>Borne 4mm2.</t>
  </si>
  <si>
    <t>BOR. (ABB)</t>
  </si>
  <si>
    <t>Borne 4mm2 - modelo ZS4 - Marca ABB.</t>
  </si>
  <si>
    <t>Borne 6mm2.</t>
  </si>
  <si>
    <t>BOR.3</t>
  </si>
  <si>
    <t>Borne 10mm2.</t>
  </si>
  <si>
    <t>BOR.4</t>
  </si>
  <si>
    <t>Borne 16mm2.</t>
  </si>
  <si>
    <t>BOR.5</t>
  </si>
  <si>
    <t>Borne 35mm2.</t>
  </si>
  <si>
    <t>Bornes de entrada.</t>
  </si>
  <si>
    <t>Base portafusibles + Fusibles de protección para control.</t>
  </si>
  <si>
    <t>IH_TALENTO PRO</t>
  </si>
  <si>
    <t>Interruptor Horario Digital Talento 371 PRO - marca GRASSLIN.</t>
  </si>
  <si>
    <t>PDI</t>
  </si>
  <si>
    <t>PD</t>
  </si>
  <si>
    <t>SELECT. M-0-A + 4NA</t>
  </si>
  <si>
    <t>Selector tres posiciones "M-0-A" + 4NA</t>
  </si>
  <si>
    <t>LVM20</t>
  </si>
  <si>
    <t>Relé de nivel para liquido - 240Vac - 1NA/1NC - marca LOVATO</t>
  </si>
  <si>
    <t>LVM20 A240</t>
  </si>
  <si>
    <t>LOVATO</t>
  </si>
  <si>
    <t>BT-TD</t>
  </si>
  <si>
    <t>RES-TETRA+DIF_DIN</t>
  </si>
  <si>
    <t>Espacio de reserva tetrapolar + interruptor diferencial - Riel-Din.</t>
  </si>
  <si>
    <t>RES-UNI_DIN</t>
  </si>
  <si>
    <t>Espacio de reserva unipolar - Riel-Din.</t>
  </si>
  <si>
    <t>RES-UNIP+DIF_DIN</t>
  </si>
  <si>
    <t>Espacio de reserva unipolar + interruptor diferencial - Riel-Din.</t>
  </si>
  <si>
    <t>RES-DIF-TETRA</t>
  </si>
  <si>
    <t>Espacio de reserva para interruptor diferencial de cuatro polos.</t>
  </si>
  <si>
    <t>Espacio de reserva unipolar - Caja moldeada.</t>
  </si>
  <si>
    <t>Espacio de reserva trifásica (preparado con barras al busbar) - Caja moldeada - Frame 320A.</t>
  </si>
  <si>
    <t>RES-TRI_630F_MOLD</t>
  </si>
  <si>
    <t>Espacio de reserva trifásica (preparado con barras al busbar) - Caja moldeada - Frame 630A.</t>
  </si>
  <si>
    <t>PEINE_3F_36p</t>
  </si>
  <si>
    <t>"Peine" trifásico para 36 polos.</t>
  </si>
  <si>
    <t>PEINE_3F_24p</t>
  </si>
  <si>
    <t>"Peine" trifásico para 24 polos.</t>
  </si>
  <si>
    <t>PEINE_2F_24p</t>
  </si>
  <si>
    <t>"Peine" monofásico para 24 polos.</t>
  </si>
  <si>
    <t>PEINE_2F_18p</t>
  </si>
  <si>
    <t>"Peine" monofásico para 18 polos.</t>
  </si>
  <si>
    <t>PEINE_2F_8p</t>
  </si>
  <si>
    <t>"Peine" monofásico para 8 polos.</t>
  </si>
  <si>
    <t>SPV050480Y2K</t>
  </si>
  <si>
    <t>Protector contra Sobretensión Transitorio, Trifásico, corriente pico por fase de 50kA, 4 Hilos, Estrella, 480/277Vac, con LED de indicación de estado de cada fase, marca EATON.</t>
  </si>
  <si>
    <t>Protector contra Sobretensión Transitorio, Trifásico, corriente pico por fase de 50kA, 4 Hilos, Estrella, 400/230Vac, con LED de indicación de estado de cada fase, marca EATON.</t>
  </si>
  <si>
    <t>SPV050208Y2K</t>
  </si>
  <si>
    <t>Protector contra Sobretensión Transitorio, Trifásico, corriente pico por fase de 50kA, 3 Hilos, Estrella, 230Vac, con LED de indicación de estado de cada fase, marca EATON.</t>
  </si>
  <si>
    <t>Protector contra Sobretensión Transitorio, Trifásico, corriente pico por fase de 100kA, 4 Hilos, Estrella, 400/230Vac, con LED de indicación de estado de cada fase, marca EATON.</t>
  </si>
  <si>
    <t>Protector contra Sobretensión Transitorio, Trifásico, corriente pico por fase de 120kA, 4 Hilos, Estrella, 400Vac, con LED de indicación de estado de cada fase y contactos auxiliares de señalización de estado, marca EATON.</t>
  </si>
  <si>
    <t>PSPD250220Y3K</t>
  </si>
  <si>
    <t>Protector contra Sobretensión Transitorio, Trifásico, corriente pico por fase de 250kA, 4 Hilos, Estrella, 220Vac, con LED de indicación de estado de cada fase y contactos auxiliares de señalización de estado, mmarca EATON.</t>
  </si>
  <si>
    <t>Protector contra Sobretensión Transitorio, Trifásico, corriente pico por fase de 250kA, 4 Hilos, Estrella, 400Vac, con LED de indicación de estado de cada fase y contactos auxiliares de señalización de estado, mmarca EATON.</t>
  </si>
  <si>
    <t>Protector contra Sobretensión Transitorio, Trifásico, corriente pico por fase de 400kA, 4 Hilos, Estrella, 400Vac, con LED de indicación de estado de cada fase y contactos auxiliares de señalización de estado, marca EATON.</t>
  </si>
  <si>
    <t>Dispositivo Protector de Sobretensión, Trifásico, 4 Hilos, 220/127V, Corriente de pico por fase de 120kA, Indicadores LED de estado de la protección, modelo PSPD, marca EATON.</t>
  </si>
  <si>
    <t>PSPD100220Y3K</t>
  </si>
  <si>
    <t>Protector contra Sobretensión Transitorio, Trifásico, corriente pico por fase de 100kA, 3 Hilos, Estrella, 230Vac, con LED de indicación de estado de cada fase, marca EATON.</t>
  </si>
  <si>
    <t>PSPD100480Y3K</t>
  </si>
  <si>
    <t>Protector contra Sobretensión Transitorio, Trifásico, corriente pico por fase de 100kA, 4 Hilos, Estrella, 480Vac, con LED de indicación de estado de cada fase y contactos auxiliares de señalización de estado - marca EATON.</t>
  </si>
  <si>
    <t>SPD100220Y3K</t>
  </si>
  <si>
    <t>Protector contra Sobretensión Transitorio, Trifásico, corriente pico por fase de 100kA, 3 Hilos, Estrella, 220Vac, con LED de indicación de estado de cada fase, marca EATON.</t>
  </si>
  <si>
    <t>Protector contra Sobretensión Transitorio, Trifásico, corriente pico por fase de 50kA, 3 Hilos, Estrella, 220Vac, con LED de indicación de estado de cada fase, marca EATON.</t>
  </si>
  <si>
    <t>Relé de sobrecarga, para contactores DILM 7…DILM15, regulable (0.10 - 0.16)A. - marca EATON.</t>
  </si>
  <si>
    <t>Relé de sobrecarga, para contactores DILM 7…DILM15, regulable (0.16 - 0.24)A. - marca EATON.</t>
  </si>
  <si>
    <t>Relé de sobrecarga, para contactores DILM 7…DILM15, regulable (0.24 - 0.4)A. - marca EATON.</t>
  </si>
  <si>
    <t>Relé de sobrecarga, para contactores DILM 7…DILM15, regulable (0.4 - 0.6)A. - marca EATON.</t>
  </si>
  <si>
    <t>Relé de sobrecarga, para contactores DILM 7…DILM15, regulable (0.6 - 1.0)A. - marca EATON.</t>
  </si>
  <si>
    <t>Relé de sobrecarga, para contactores DILM 7…DILM15, regulable (1.0 - 1.6)A. - marca EATON.</t>
  </si>
  <si>
    <t>Relé de sobrecarga, para contactores DILM 7…DILM15, regulable (1.6 - 2.4)A. - marca EATON.</t>
  </si>
  <si>
    <t>Relé de sobrecarga, para contactores DILM 7…DILM15, regulable (2.4 - 4.0)A. - marca EATON.</t>
  </si>
  <si>
    <t>Relé de sobrecarga, para contactores DILM 7…DILM15, regulable (4.0 - 6.0)A. - marca EATON.</t>
  </si>
  <si>
    <t>Relé de sobrecarga, para contactores DILM 7…DILM15, regulable (6.0 - 10.0)A. - marca EATON.</t>
  </si>
  <si>
    <t>Relé de sobrecarga, para contactores DILM 7…DILM15, regulable (9.0 - 12.0)A. - marca EATON.</t>
  </si>
  <si>
    <t>Relé de sobrecarga, para contactores DILM 7…DILM15, regulable (12.0 - 16.0)A. - marca EATON.</t>
  </si>
  <si>
    <t>Relé de sobrecarga, para contactores DILM 18…DILM32, regulable (0.10 - 0.16)A. - marca EATON.</t>
  </si>
  <si>
    <t>Relé de sobrecarga, para contactores DILM 18…DILM32, regulable (0.16 - 0.24)A. - marca EATON.</t>
  </si>
  <si>
    <t>Relé de sobrecarga, para contactores DILM 18…DILM32, regulable (0.24 - 0.4)A. - marca EATON.</t>
  </si>
  <si>
    <t>Relé de sobrecarga, para contactores DILM 18…DILM32, regulable (0.4 - 0.6)A. - marca EATON.</t>
  </si>
  <si>
    <t>Relé de sobrecarga, para contactores DILM 18…DILM32, regulable (0.6 - 1.0)A. - marca EATON.</t>
  </si>
  <si>
    <t>Relé de sobrecarga, para contactores DILM 18…DILM32, regulable (1.0 - 1.6)A. - marca EATON.</t>
  </si>
  <si>
    <t>Relé de sobrecarga, para contactores DILM 18…DILM32, regulable (1.6 - 2.4)A. - marca EATON.</t>
  </si>
  <si>
    <t>Relé de sobrecarga, para contactores DILM 18…DILM32, regulable (2.4 - 4.0)A. - marca EATON.</t>
  </si>
  <si>
    <t>Relé de sobrecarga, para contactores DILM 18…DILM32, regulable (4.0 - 6.0)A. - marca EATON.</t>
  </si>
  <si>
    <t>Relé de sobrecarga, para contactores DILM 18…DILM32, regulable (6.0 - 10.0)A. - marca EATON.</t>
  </si>
  <si>
    <t>Relé de sobrecarga, para contactores DILM 18…DILM32, regulable (12.0 - 16.0)A. - marca EATON.</t>
  </si>
  <si>
    <t>Relé de sobrecarga, para contactores DILM 18…DILM32, regulable (16.0 - 24.0)A. - marca EATON.</t>
  </si>
  <si>
    <t>Relé de sobrecarga, para contactores DILM 18…DILM32, regulable (24.0 - 32.0)A. - marca EATON.</t>
  </si>
  <si>
    <t>ZB32-38</t>
  </si>
  <si>
    <t>Relé de sobrecarga, para contactores DILM 18…DILM32, regulable (32.0 - 38.0)A. - marca EATON.</t>
  </si>
  <si>
    <t>Relé de sobrecarga XT para contactores DILM 7…DILM15, regulable (1.0 - 1.6)A. - marca EATON.</t>
  </si>
  <si>
    <t>Relé de sobrecarga XT para contactores DILM 7…DILM15, regulable (1.6 - 2.4)A. - marca EATON.</t>
  </si>
  <si>
    <t>Relé de sobrecarga XT para contactores DILM 7…DILM15, regulable (2.4 - 4.0)A. - marca EATON.</t>
  </si>
  <si>
    <t>Relé de sobrecarga XT para contactores DILM 7…DILM15, regulable (4.0 - 6.0)A. - marca EATON.</t>
  </si>
  <si>
    <t>Relé de sobrecarga XT para contactores DILM 7…DILM15, regulable (6.0 - 10.0)A. - marca EATON.</t>
  </si>
  <si>
    <t>Relé de sobrecarga XT para contactores DILM 7…DILM15, regulable (9.0 - 12.0)A. - marca EATON.</t>
  </si>
  <si>
    <t>Relé de sobrecarga  XT para contactores DILM 7…DILM15, regulable (12.0 - 16.0)A. - marca EATON.</t>
  </si>
  <si>
    <t>XTOB016CC1</t>
  </si>
  <si>
    <t>Relé de sobrecarga XT para contactores DILM 18…DILM32, regulable (10.0 - 16.0)A. - marca EATON.</t>
  </si>
  <si>
    <t>marca EATON</t>
  </si>
  <si>
    <t>Relé de sobrecarga XT para contactores DILM 18…DILM32, regulable (16.0 - 24.0)A. - marca EATON.</t>
  </si>
  <si>
    <t>Relé de sobrecarga XT para contactores DILM 18…DILM32, regulable (24.0 - 32.0)A. - marca EATON.</t>
  </si>
  <si>
    <t>XTOB040DC1</t>
  </si>
  <si>
    <t>Relé de sobrecarga XT para contactores DILM 40…DILM65, regulable (24.0 - 40.0)A. - marca EATON.</t>
  </si>
  <si>
    <t>XTOB057DC1</t>
  </si>
  <si>
    <t>Relé de sobrecarga XT para contactores DILM 40…DILM65, regulable (40.0 - 57.0)A. - marca EATON.</t>
  </si>
  <si>
    <t>XTOB065DC1</t>
  </si>
  <si>
    <t>Relé de sobrecarga XT para contactores DILM 40…DILM65, regulable (50.0 - 65.0)A. - marca EATON.</t>
  </si>
  <si>
    <t>Rele auxiliar enchufable +4NA/NC (D2PR4B + base D2PA6), 220Vac - marca EATON.</t>
  </si>
  <si>
    <t>D2PR2B+D2PA6</t>
  </si>
  <si>
    <t>Rele auxiliar enchufable +2NA/NC (D2PR2B + base D2PA6), 220Vac - marca EATON.</t>
  </si>
  <si>
    <t>DILM150-XHI11</t>
  </si>
  <si>
    <t>Contacto auxiliar frontal 1NA+1NC para contactor DILM40...DILM170.</t>
  </si>
  <si>
    <t>Enclavamiento mecánico para contactores DILM80..DILM170.</t>
  </si>
  <si>
    <t>DILM500-XMV</t>
  </si>
  <si>
    <t>Enclavamiento mecánico para contactores DILM185..DILM500.</t>
  </si>
  <si>
    <t>DILM820-XMV</t>
  </si>
  <si>
    <t>Enclavamiento mecánico para contactores DILM580..DILM1000.</t>
  </si>
  <si>
    <t>PKZM0-6,3</t>
  </si>
  <si>
    <t>Guardamotor con rango de ajuste (4 - 6.3)A, modelo PKZM - marca EATON</t>
  </si>
  <si>
    <t>PKZM01-0,16</t>
  </si>
  <si>
    <t>Guardamotor 0.1 - 0.16, modelo PKZM marca EATON</t>
  </si>
  <si>
    <t>PKZM01-0,25</t>
  </si>
  <si>
    <t>Guardamotor 0.1 - 0.25, modelo PKZM marca EATON</t>
  </si>
  <si>
    <t>PKZM01-0,4</t>
  </si>
  <si>
    <t>Guardamotor 0.1 - 0.4, modelo PKZM marca EATON</t>
  </si>
  <si>
    <t>PKZM01-0,63</t>
  </si>
  <si>
    <t>Guardamotor 0.1 - 0.63, modelo PKZM marca EATON</t>
  </si>
  <si>
    <t>PKZM01-1</t>
  </si>
  <si>
    <t>Guardamotor 0.1 - 1.0 modelo PKZM marca EATON</t>
  </si>
  <si>
    <t>PKZM01-1,6</t>
  </si>
  <si>
    <t>Guardamotor 1 - 1.6 modelo PKZM marca EATON</t>
  </si>
  <si>
    <t>PKZM01-2,5</t>
  </si>
  <si>
    <t>Guardamotor 1 - 2.5 modelo PKZM marca EATON</t>
  </si>
  <si>
    <t>PKZM01-4</t>
  </si>
  <si>
    <t>Guardamotor 1 - 4 modelo PKZM marca EATON</t>
  </si>
  <si>
    <t>PKZM01-6,3</t>
  </si>
  <si>
    <t>Guardamotor 1 - 6.3 modelo PKZM marca EATON</t>
  </si>
  <si>
    <t>PKZM01-10</t>
  </si>
  <si>
    <t>Guardamotor 1 - 10 modelo PKZM marca EATON</t>
  </si>
  <si>
    <t>PKZM01-12</t>
  </si>
  <si>
    <t>Guardamotor 1 - 12 modelo PKZM marca EATON</t>
  </si>
  <si>
    <t>PKZM01-16</t>
  </si>
  <si>
    <t>Guardamotor 1 - 16 modelo PKZM marca EATON</t>
  </si>
  <si>
    <t>ITM Caja Moldeada de 4x20A , ( Reg. 15-20A ) LZMS1 + terminales internos p/ conexión,  90kA@240Vac. - 70kA@415Vac. - marca EATON.</t>
  </si>
  <si>
    <t>ITM Caja Moldeada de 4x25A , ( Reg. 20-25A ) LZMS1 + terminales internos p/ conexión,  90kA@240Vac. - 70kA@415Vac. - marca EATON.</t>
  </si>
  <si>
    <t>ITM Caja Moldeada de 4x32A , ( Reg. 25-32A ) LZMS1 + terminales internos p/ conexión,  90kA@240Vac. - 70kA@415Vac. - marca EATON.</t>
  </si>
  <si>
    <t>ITM Caja Moldeada de 4x40A , ( Reg. 32-40A ) LZMS1 + terminales internos p/ conexión,  90kA@240Vac. - 70kA@415Vac. - marca EATON.</t>
  </si>
  <si>
    <t>ITM Caja Moldeada de 4x50A , ( Reg. 40-50A ) LZMS1 + terminales internos p/ conexión,  90kA@240Vac. - 70kA@415Vac. - marca EATON.</t>
  </si>
  <si>
    <t>ITM Caja Moldeada de 4x63A , ( Reg. 50-63A ) LZMS1 + terminales internos p/ conexión,  90kA@240Vac. - 70kA@415Vac. - marca EATON.</t>
  </si>
  <si>
    <t>ITM Caja Moldeada de 4x80A , ( Reg. 63-80A ) LZMS1 + terminales internos p/ conexión,  90kA@240Vac. - 70kA@415Vac. - marca EATON.</t>
  </si>
  <si>
    <t>ITM Caja Moldeada de 4x100A , ( Reg. 80-100A ) LZMS1 + terminales internos p/ conexión,  90kA@240Vac. - 70kA@415Vac. - marca EATON.</t>
  </si>
  <si>
    <t>ITM Caja Moldeada de 4x125A , ( Reg. 100-125A ) LZMS1 + terminales internos p/ conexión, 90kA@240Vac. - 70kA@415Vac. - marca EATON.</t>
  </si>
  <si>
    <t>ITM Caja Moldeada de 4x160A , ( Reg. 125-160A ) LZMS1 + terminales internos p/ conexión, 90kA@240Vac. - 70kA@415Vac. - marca EATON.</t>
  </si>
  <si>
    <t>LZMS2-4-A25</t>
  </si>
  <si>
    <t>ITM Caja Moldeada de 4x25A , ( Reg. 20-25A ) LZMS2,  90kA@240Vac. - 70kA@415Vac. - marca EATON.</t>
  </si>
  <si>
    <t>ITM Caja Moldeada de 4x32A , ( Reg. 125-160A ) LZMS2, 100kA@240Vac. - 70kA@415Vac. - marca EATON.</t>
  </si>
  <si>
    <t>LZMS2-4-A40</t>
  </si>
  <si>
    <t>ITM Caja Moldeada de 4x40A , ( Reg. 32-40A ) LZMS2,  90kA@240Vac. - 70kA@415Vac. - marca EATON.</t>
  </si>
  <si>
    <t>LZMS2-4-A50</t>
  </si>
  <si>
    <t>ITM Caja Moldeada de 4x50A , ( Reg. 40-50A ) LZMS2,  90kA@240Vac. - 70kA@415Vac. - marca EATON.</t>
  </si>
  <si>
    <t>LZMS2-4-A63</t>
  </si>
  <si>
    <t>ITM Caja Moldeada de 4x63A , ( Reg. 50-63A ) LZMS2,  90kA@240Vac. - 70kA@415Vac. - marca EATON.</t>
  </si>
  <si>
    <t>LZMS2-4-A80</t>
  </si>
  <si>
    <t>ITM Caja Moldeada de 4x80A , ( Reg. 63-80A ) LZMS2,  90kA@240Vac. - 70kA@415Vac. - marca EATON.</t>
  </si>
  <si>
    <t>ITM Caja Moldeada de 4x100A , ( Reg. 125-160A ) LZMS2, 100kA@240Vac. - 70kA@415Vac. - marca EATON.</t>
  </si>
  <si>
    <t>LZMS2-4-A125</t>
  </si>
  <si>
    <t>ITM Caja Moldeada de 4x125A , ( Reg. 100-125A ) LZMS2, 90kA@240Vac. - 70kA@415Vac. - marca EATON.</t>
  </si>
  <si>
    <t>ITM Caja Moldeada de 4x160A , ( Reg. 125-160A ) LZMS2, 100kA@240Vac. - 70kA@415Vac. - marca EATON.</t>
  </si>
  <si>
    <t>ITM Caja Moldeada de 4x200A , ( Reg. 160-200A ) LZMS2, 100kA@240Vac. - 70kA@415Vac. - marca EATON.</t>
  </si>
  <si>
    <t>ITM Caja Moldeada de 4x250A , ( Reg. 200-250A ) LZMS2, 100kA@240Vac. - 70kA@415Vac. - marca EATON.</t>
  </si>
  <si>
    <t>ITM Caja Moldeada de 4x320A , ( Reg. 250-320A ) LZMS3, 100kA@240Vac. - 70kA@415Vac. - marca EATON.</t>
  </si>
  <si>
    <t>ITM Caja Moldeada de 4x400A , ( Reg. 320-400A ) LZMS3, 100kA@240Vac. - 70kA@415Vac. - marca EATON.</t>
  </si>
  <si>
    <t>ITM Caja Moldeada de 4x500A , ( Reg. 400-500A ) LZMS3, 100kA@240Vac. - 70kA@415Vac. - marca EATON.</t>
  </si>
  <si>
    <t>ITM Caja Moldeada de 4x400A , electrónico ( Reg. 200-400A ) LZMS3, 100kA@240Vac. - 70kA@415Vac. - marca EATON.</t>
  </si>
  <si>
    <t>ITM Caja Moldeada de 4x630A , electrónico ( Reg. 315-630A ) LZMS3, 100kA@240Vac. - 70kA@415Vac. - marca EATON.</t>
  </si>
  <si>
    <t>ITM Caja Moldeada de 4x800A , electrónico ( Reg. 400-800A ) LZMS4, 100kA@240Vac. - 70kA@415Vac. - marca EATON.</t>
  </si>
  <si>
    <t>ITM Caja Moldeada de 4x1000A , electrónico ( Reg. 500-1000A ) LZMS4, 100kA@240Vac. - 70kA@415Vac. - marca EATON.</t>
  </si>
  <si>
    <t>ITM Caja Moldeada de 4x1250A , electrónico ( Reg. 630-1250A ) LZMS4, 100kA@240Vac. - 70kA@415Vac. - marca EATON.</t>
  </si>
  <si>
    <t>ITM Caja Moldeada de 4x1600A , electrónico ( Reg. 800-1600A ) LZMS4, 100kA@240Vac. - 70kA@415Vac. - marca EATON.</t>
  </si>
  <si>
    <t>BoxT_LZM1_4t_160A</t>
  </si>
  <si>
    <t>Jgo. de 3 terminales tipo tunel hasta 160A + Cubrebornes ( 1x16-95mm² ) para LZMS1 - TunT_LZM1_4t.</t>
  </si>
  <si>
    <t>NZM2-4-160-XKC - Jgo. de 4 terminales internos p/ conexión hasta 160A ( 1x4-185mm² ) para LZMS2.</t>
  </si>
  <si>
    <t>NZM2-4-250-XKC - Jgo. de 4 terminales internos p/ conexión hasta 250A ( 1x4-185mm² ) para LZMS2.</t>
  </si>
  <si>
    <t>NZM2-4-XKA - Jgo. de 4 terminales tipo tunel hasta 300A + Cubrebornes ( 1x16-185m² ) para LZMS2.</t>
  </si>
  <si>
    <t>NZM3-4-XKC - Jgo. de 4 terminales internos p/ conexión hasta 400A ( 1x35-240mm² ) para LZMS3.</t>
  </si>
  <si>
    <t>NZM3-4-XKA1 - Jgo. de 4 terminales tipo tunel hasta 320A + Cubrebornes ( 1x16-185m² ) para LZMS3.</t>
  </si>
  <si>
    <t>NZM3-4-XKA2 - Jgo. de 4 terminales tipo tunel hasta 630A + Cubrebornes ( 2x50-240m² ) para LZMS3.</t>
  </si>
  <si>
    <t>NZM4-4-XKA - Jgo. de 4 terminales tipo tunel hasta 1250A + Cubrebornes ( 4x50-240m² ) para LZMS4.</t>
  </si>
  <si>
    <t>Magnum(MWN)-extraib_2000A_3p_65kA_LSI + bloq mec + motor</t>
  </si>
  <si>
    <t>ITM Bastidor Abierto 3x2000A([0.4-1.0] In) extraíble - Magnum(MWN)_2000A_3p_LSI - 65kA@480Vac, Uc=120Vac, moto-operado + enc. mec.</t>
  </si>
  <si>
    <t>Magnum(MWN)-extraib_1000A_3p_65kA_LSI + bloq mec + motor</t>
  </si>
  <si>
    <t>ITM Bastidor Abierto 3x1000A([0.4-1.0] In) extraíble - Magnum(MWN)_1000A_3p_LSI - 65kA@480Vac, Uc=120Vac, moto-operado + enc. mec.</t>
  </si>
  <si>
    <t>Magnum(MWN)-extraib_800A_3p_65kA_LSI + bloq mec + motor</t>
  </si>
  <si>
    <t>ITM Bastidor Abierto 3x800A([0.4-1.0] In) extraíble - Magnum(MWN)_800A_3p_LSI - 65kA@480Vac, Uc=120Vac, moto-operado + enc. mec.</t>
  </si>
  <si>
    <t>Magnum(MWN)-extraib_630A_3p_65kA_LSI + bloq mec + motor</t>
  </si>
  <si>
    <t>ITM Bastidor Abierto 3x630A([0.4-1.0] In) extraíble - Magnum(MWN)_630A_3p_LSI - 65kA@480Vac, Uc=120Vac, moto-operado + enc. mec.</t>
  </si>
  <si>
    <t>Magnum(MWN)-extraib_500A_3p_65kA_LSI + bloq mec + motor</t>
  </si>
  <si>
    <t>ITM Bastidor Abierto 3x500A([0.4-1.0] In) extraíble - Magnum(MWN)_500A_3p_LSI - 65kA@480Vac, Uc=120Vac, moto-operado + enc. mec.</t>
  </si>
  <si>
    <t>Magnum(MWN)-extraib_1250A_3p_50kA_LSI + bloq mec + motor</t>
  </si>
  <si>
    <t>ITM Bastidor Abierto 3x1250A([0.4-1.0] In) extraíble - Magnum(MWN)_1250A_3p_LSI - 50kA@480Vac, Uc=120Vac, moto-operado + enc. mec.</t>
  </si>
  <si>
    <t>Magnum(MWN)-extraib_1250A_3p_50kA_LSI + motor</t>
  </si>
  <si>
    <t>ITM Bastidor Abierto 3x1250A([0.4-1.0] In) extraíble - Magnum(MWN)_1250A_3p_LSI - 50kA@480Vac, Uc=120Vac, moto-operado</t>
  </si>
  <si>
    <t>Magnum(MWN)-extraib_1000A_3p_50kA_LSI + bloq mec + motor</t>
  </si>
  <si>
    <t>ITM Bastidor Abierto 3x1000A([0.4-1.0] In) extraíble - Magnum(MWN)_1000A_3p_LSI - 50kA@480Vac, Uc=120Vac, moto-operado + enc. mec.</t>
  </si>
  <si>
    <t>Magnum(MWN)-extraib_800A_3p_50kA_LSI + bloq mec + motor</t>
  </si>
  <si>
    <t>ITM Bastidor Abierto 3x800A([0.4-1.0] In) extraíble - Magnum(MWN)_800A_3p_LSI - 50kA@480Vac, Uc=120Vac, moto-operado + enc. mec.</t>
  </si>
  <si>
    <t>Magnum(MWN)-extraib_630A_3p_50kA_LSI + bloq mec + motor</t>
  </si>
  <si>
    <t>ITM Bastidor Abierto 3x630A([0.4-1.0] In) extraíble - Magnum(MWN)_630A_3p_LSI - 50kA@480Vac, Uc=120Vac, moto-operado + enc. mec.</t>
  </si>
  <si>
    <t>Magnum(MWN)-extraib_500A_3p_50kA_LSI + bloq mec + motor</t>
  </si>
  <si>
    <t>ITM Bastidor Abierto 3x500A([0.4-1.0] In) extraíble - Magnum(MWN)_500A_3p_LSI - 50kA@480Vac, Uc=120Vac, moto-operado + enc. mec.</t>
  </si>
  <si>
    <t>Magnum(MWN)-extraib_1000A_3p_50kA_LSI</t>
  </si>
  <si>
    <t>ITM Bastidor Abierto 3x1000A([0.4-1.0] In) extraíble - Magnum(MWN)_1000A_3p_LSI - 50kA@480Vac, Uc=120Vac</t>
  </si>
  <si>
    <t>Magnum(MWN)-extraib_800A_3p_50kA_LSI</t>
  </si>
  <si>
    <t>ITM Bastidor Abierto 3x800A([0.4-1.0] In) extraíble - Magnum(MWN)_800A_3p_LSI - 50kA@480Vac, Uc=120Vac</t>
  </si>
  <si>
    <t>Magnum(MWN)-extraib_630A_3p_50kA_LSI</t>
  </si>
  <si>
    <t>ITM Bastidor Abierto 3x630A([0.4-1.0] In) extraíble - Magnum(MWN)_630A_3p_LSI - 50kA@480Vac, Uc=120Vac</t>
  </si>
  <si>
    <t>Magnum(MWN)-extraib_500A_3p_50kA_LSI</t>
  </si>
  <si>
    <t>ITM Bastidor Abierto 3x500A([0.4-1.0] In) extraíble - Magnum(MWN)_500A_3p_LSI - 50kA@480Vac, Uc=120Vac</t>
  </si>
  <si>
    <t>Magnum(MWN)-extraib_1000A_3p_40kA_LSI</t>
  </si>
  <si>
    <t>ITM Bastidor Abierto 3x1000A([0.4-1.0] In) extraíble - Magnum(MWN)_1000A_3p_LSI - 40kA@480Vac, Uc=120Vac</t>
  </si>
  <si>
    <t>Magnum(MWN)-extraib_800A_3p_40kA_LSI</t>
  </si>
  <si>
    <t>ITM Bastidor Abierto 3x800A([0.4-1.0] In) extraíble - Magnum(MWN)_800A_3p_LSI - 40kA@480Vac, Uc=120Vac</t>
  </si>
  <si>
    <t>Magnum(MWN)-extraib_630A_3p_40kA_LSI</t>
  </si>
  <si>
    <t>ITM Bastidor Abierto 3x630A([0.4-1.0] In) extraíble - Magnum(MWN)_630A_3p_LSI - 40kA@480Vac, Uc=120Vac</t>
  </si>
  <si>
    <t>Magnum(MWN)-extraib_500A_3p_40kA_LSI</t>
  </si>
  <si>
    <t>ITM Bastidor Abierto 3x500A([0.4-1.0] In) extraíble - Magnum(MWN)_500A_3p_LSI - 40kA@480Vac, Uc=120Vac</t>
  </si>
  <si>
    <t>Magnum(MWN)-extraib_2000A_3p_65kA_LSIG + bloq mec + motor</t>
  </si>
  <si>
    <t>ITM Bastidor Abierto 3x2000A([0.4-1.0] In) extraíble - Magnum(MWN)_2000A_3p_LSIG - 65kA@480Vac, Uc=120Vac, moto-operado + enc. mec.</t>
  </si>
  <si>
    <t>Magnum(MWN)-extraib_1250A_3p_50kA_LSIG + bloq mec + motor</t>
  </si>
  <si>
    <t>ITM Bastidor Abierto 3x1250A([0.4-1.0] In) extraíble - Magnum(MWN)_1250A_3p_LSIG - 50kA@480Vac, Uc=120Vac, moto-operado + enc. mec.</t>
  </si>
  <si>
    <t>Magnum(MWN)-extraib_1250A_3p_50kA_LSIG + motor</t>
  </si>
  <si>
    <t>ITM Bastidor Abierto 3x1250A([0.4-1.0] In) extraíble - Magnum(MWN)_1250A_3p_LSIG - 50kA@480Vac, Uc=120Vac, moto-operado</t>
  </si>
  <si>
    <t>Magnum(MWN)-extraib_1000A_3p_65kA_LSIG + bloq mec + motor</t>
  </si>
  <si>
    <t>ITM Bastidor Abierto 3x1000A([0.4-1.0] In) extraíble - Magnum(MWN)_1000A_3p_LSIG - 65kA@480Vac, Uc=120Vac, moto-operado + enc. mec.</t>
  </si>
  <si>
    <t>Magnum(MWN)-extraib_630A_3p_50kA_LSIG</t>
  </si>
  <si>
    <t>ITM Bastidor Abierto 3x630A([0.4-1.0] In) extraíble - Magnum(MWN)_630A_3p_LSIG - 50kA@480Vac, Uc=120Vac</t>
  </si>
  <si>
    <t>Magnum(MWN)-extraib_500A_3p_40kA_LSIG + bloq mec + motor</t>
  </si>
  <si>
    <t>ITM Bastidor Abierto 3x500A([0.4-1.0] In) extraíble - Magnum(MWN)_500A_3p_LSIG - 50kA@480Vac, Uc=120Vac, moto-operado + enc. mec.</t>
  </si>
  <si>
    <t>Magnum(MWN)-extraib_1000A_3p_40kA_LSIG</t>
  </si>
  <si>
    <t>ITM Bastidor Abierto 3x1000A([0.4-1.0] In) extraíble - Magnum(MWN)_1000A_3p_LSIG - 40kA@480Vac, Uc=120Vac</t>
  </si>
  <si>
    <t>Magnum(MWN)-extraib_630A_3p_40kA_LSIG</t>
  </si>
  <si>
    <t>ITM Bastidor Abierto 3x630A([0.4-1.0] In) extraíble - Magnum(MWN)_630A_3p_LSIG - 40kA@480Vac, Uc=120Vac</t>
  </si>
  <si>
    <t>NAS4073W2S6ABAN4524X+NA163GABNSFNNB</t>
  </si>
  <si>
    <t>ITM Bastidor Abierto 3x500A([0.4-1.0] In) extraíble - IZM_500A_3p_LSIG - 40kA@480Vac, Uc=120Vac, moto-operado + enc. mec.</t>
  </si>
  <si>
    <t>NAS4073W2S7ABAN4524X+NA163GABNSFNNB</t>
  </si>
  <si>
    <t>ITM Bastidor Abierto 3x630A([0.4-1.0] In) extraíble - IZMX_630A_3p_LSIG - 50kA@480Vac, Uc=120Vac</t>
  </si>
  <si>
    <t>NAS4073W2S7ABAN4529X+NA163FABNSFNNB</t>
  </si>
  <si>
    <t>ITM Bastidor Abierto 3x630A([0.4-1.0] In) extraíble - IZMX_630A_3p_LSIG - 40kA@480Vac, Uc=120Vac</t>
  </si>
  <si>
    <t>NAS4133W2SCABAN4524X+NA163GABNSFNNB</t>
  </si>
  <si>
    <t>ITM Bastidor Abierto 3x1250A([0.4-1.0] In) extraíble - IZMX_1250A_3p_LSIG - 50kA@480Vac, Uc=120Vac, moto-operado</t>
  </si>
  <si>
    <t>NAS6103W2SAABAN4524X+NA163GABNSFNNB</t>
  </si>
  <si>
    <t>ITM Bastidor Abierto 3x1000A([0.4-1.0] In) extraíble - IZMX_1000A_3p_LSIG - 65kA@480Vac, Uc=120Vac</t>
  </si>
  <si>
    <t>RAS6203W2SMABAN6529X+RA403FABNSFNNB</t>
  </si>
  <si>
    <t>ITM Bastidor Abierto 3x2000A([0.4-1.0] In) extraíble - IZMX_2000A_3p_LSIG - 65kA@480Vac, Uc=120Vac, moto-operado + enc. mec.</t>
  </si>
  <si>
    <t>IZMX-DC16-F-1</t>
  </si>
  <si>
    <t>Cubierta IP54, junta y herramientas de montaje</t>
  </si>
  <si>
    <t>IZMX-MIL2C-W16-2</t>
  </si>
  <si>
    <t>Kits de montaje de enclavamiento mecánico Tipo de cable 32</t>
  </si>
  <si>
    <t>IZMX-MIL2C-W40-2</t>
  </si>
  <si>
    <t>Kits de ensamble de enclavamiento mecánico Tipo de cable 2</t>
  </si>
  <si>
    <t>IZMX-MIL-CAB1830-2</t>
  </si>
  <si>
    <t>Incluye 2 cables de 6 pies de largo (1830 mm) cada uno</t>
  </si>
  <si>
    <t>IZMX-MIL-CAB2440-2</t>
  </si>
  <si>
    <t>Incluye 2 cables de 8 pies de largo (2440 mm) cada uno</t>
  </si>
  <si>
    <t>IZMX-MIL-CAB3050-2</t>
  </si>
  <si>
    <t>Incluye 2 cables de 10 pies de largo (3050 mm) cada uno</t>
  </si>
  <si>
    <t>Mod_Com_Bastidor_Eaton</t>
  </si>
  <si>
    <t>Modulo de Comunicaciones Modbus para Magum - EATON.</t>
  </si>
  <si>
    <t>Magnum(N)_2000A_4p_MWN5204HAA-20M2NMN4YNANFX</t>
  </si>
  <si>
    <t>ITM Bastidor Abierto 4x2000A (electrónico [0.4-1.0] In) - Magnum_2000A_4p_ - 50kA@480Vac, moto-operado.</t>
  </si>
  <si>
    <t>TOMA-I-EMP_3P+N+T(63A)_IP67</t>
  </si>
  <si>
    <t>ENCH-IND 3P+N+T(63A)_IP67</t>
  </si>
  <si>
    <t>TOMA-I-EMP_3P+N+T(32A)_IP67</t>
  </si>
  <si>
    <t>ENCH-IND 3P+N+T(32A)_IP67</t>
  </si>
  <si>
    <t>TOMA-I-EMP_1P+N+T(32A)_IP67</t>
  </si>
  <si>
    <t>ENCH-IND 1P+N+T(32A)_IP67</t>
  </si>
  <si>
    <t>A9R54225</t>
  </si>
  <si>
    <t>RCD_4x40A_300mA_B_S</t>
  </si>
  <si>
    <t>Interruptor diferencial 4x40A - 300mA, clase B, curva S (selectivo) - marca Schneider - Ref.: 16753.</t>
  </si>
  <si>
    <t>RCD_4x63A_300mA_B_S</t>
  </si>
  <si>
    <t>Interruptor diferencial 4x63A - 300mA, clase B, curva S (selectivo) - marca Schneider - Ref.: 16757.</t>
  </si>
  <si>
    <t>Ventilador + rejilla + filtro - 250x250mm. - Ue=230V, 240/270 m3/h, 250x250mm. - modelo FPF15K - marca FANDIS.</t>
  </si>
  <si>
    <t>HIGROSTATO</t>
  </si>
  <si>
    <t>Higrostato para ventilación. 110-240Vac - marca SCHNEIDER.</t>
  </si>
  <si>
    <t>NSYCCOHY230VID</t>
  </si>
  <si>
    <t>RESISTENCIA</t>
  </si>
  <si>
    <t>Resistencia calefactoras de 55w. 110-250Vac - marca SCHNEIDER.</t>
  </si>
  <si>
    <t>NSYCR55WU2</t>
  </si>
  <si>
    <t>Placa lamicoid p/autosop.</t>
  </si>
  <si>
    <t>Placa lamicoid rotulación de 3mm de espesor, fondo negro y letras blancas.</t>
  </si>
  <si>
    <t>PLACOR</t>
  </si>
  <si>
    <t>Placa lamicoid p/distr.</t>
  </si>
  <si>
    <t>1000x800x300mm_4X</t>
  </si>
  <si>
    <t>Tablero mural en acero - modelo AE, NEMA 4X / IP66 - 1200x800x300mm  - Ref.:1017.600 - marca RITTAL.</t>
  </si>
  <si>
    <t>1200x800x300mm_4X</t>
  </si>
  <si>
    <t>SOP-FIJ MURAL</t>
  </si>
  <si>
    <t>Soporte para fijación mural, fabricado en acero inoxidable AISI 304 (4 pzas.) - Ref.:2433.000 - marca RITTAL.</t>
  </si>
  <si>
    <t>2433.000</t>
  </si>
  <si>
    <t>TS8_2000x800x600mm_4X</t>
  </si>
  <si>
    <t>TS8_TapLat_800mm_4X</t>
  </si>
  <si>
    <t>Tapas latelares atornillables de acero inoxidable p/ TS 8, RAL 7035 - 2000x600mm. (2 pzas.) - Ref.: 8700.060 - marca RITTAL.</t>
  </si>
  <si>
    <t>TS8_ZocFront+Post_800mm_4X</t>
  </si>
  <si>
    <t>TS8_ZocLat100_800mm_4X</t>
  </si>
  <si>
    <t>TRAFO_2F_220-12V_100VA</t>
  </si>
  <si>
    <t>Transformador de tensión monofásico 220 / 12 Vac - 100VA.</t>
  </si>
  <si>
    <t>TRAFO_2F_460-220V_5000VA</t>
  </si>
  <si>
    <t>TRAFO_2F_460-220V_6000VA</t>
  </si>
  <si>
    <t>TRAFO_2F_460-220V_10000VA</t>
  </si>
  <si>
    <t>TRAFO_2F_480-240V_50VA</t>
  </si>
  <si>
    <t>Transformador de tensión monofásico 480 / 240 Vac - 50VA.</t>
  </si>
  <si>
    <t>Transformador de tensión de aislamiento trifásico 220 / 380 Vac - 100VA, marca AUDAX.</t>
  </si>
  <si>
    <t>Transformador de tensión de aislamiento monofásico 440 / 220 Vac - 100VA, marca AUDAX.</t>
  </si>
  <si>
    <t>Transformador de tensión de aislamiento monofásico 440 / 220 Vac - 500VA, marca AUDAX.</t>
  </si>
  <si>
    <t>Transformador de tensión de aislamiento trifásico 460 / 120 Vac - 100VA, marca AUDAX.</t>
  </si>
  <si>
    <t>Transformador de tensión de aislamiento monofásico 460 / 230 Vac - 5000VA, marca AUDAX.</t>
  </si>
  <si>
    <t>Transformador de tensión de aislamiento trifásico 460 / 230 Vac - 5000VA, marca AUDAX.</t>
  </si>
  <si>
    <t>TRAFO_2F_480-240V_100VA_AUD</t>
  </si>
  <si>
    <t>Transformador de tensión monofásico 480 / 240 Vac - 100VA, marca AUDAX.</t>
  </si>
  <si>
    <t>Transformador de tensión de aislamiento trifásico 480 / 232 Vac - 100VA, marca AUDAX.</t>
  </si>
  <si>
    <t>Transformador de tensión para control, monofásico, 460/230Vac / 120Vac, 50VA, modelo MTE - marca marca EATON.</t>
  </si>
  <si>
    <t>Transformador de tensión para control, monofásico, 460/230Vac / 120Vac, 100VA, modelo MTE - marca marca EATON.</t>
  </si>
  <si>
    <t>Transformador de tensión para control, monofásico, 460/230Vac / 120Vac, 200VA, modelo MTE - marca marca EATON.</t>
  </si>
  <si>
    <t>TRAFO_460V-120V_300VA_2F_IT</t>
  </si>
  <si>
    <t>Transformador de tensión para medida, 460 / 120 Vac, 300VA, presición 0.3 W, 0.6 X, 1.2 M @60Hz. - Modelo 475-480 (UL), marca INSTRUMENT TRANSFORMERS</t>
  </si>
  <si>
    <t>TRAFO_480V-120V_300VA_2F_IT</t>
  </si>
  <si>
    <t>Transformador de tensión para medida, 480 / 120 Vac, 300VA, presición 0.3 W, 0.6 X, 1.2 M @60Hz (UL), marca INSTRUMENT TRANSFORMERS</t>
  </si>
  <si>
    <t>TRAFO_380V-120V_300VA_2F_IT</t>
  </si>
  <si>
    <t>Transformador de tensión para medida, 380 / 120 Vac, 300VA, presición 0.3 W, 0.6 X, 1.2 M @60Hz. - Modelo 475-346 (UL), marca INSTRUMENT TRANSFORMERS</t>
  </si>
  <si>
    <t>REACT_5kVAR/230V_p7</t>
  </si>
  <si>
    <t>Reactancia para filtro de rechazo de armónicas, para paso de 5kVAR / 230 Vac, 60Hz, p=7%, tipo RX, marca CIRCUTOR.</t>
  </si>
  <si>
    <t>COND_5kVAR/230V_p7</t>
  </si>
  <si>
    <t>Condensador trifásico, para paso de potencia efectiva de 5kVAR / 230V, 60 Hz, p=7%, tipo CFB, marca CIRCUTOR.</t>
  </si>
  <si>
    <t>REACT_7.5kVAR/230V_p7</t>
  </si>
  <si>
    <t>Reactancia para filtro de rechazo de armónicas, para paso de 7.5kVAR / 230 Vac, 60Hz, p=7%, tipo RX, marca CIRCUTOR.</t>
  </si>
  <si>
    <t>COND_7.5kVAR/230V_p7</t>
  </si>
  <si>
    <t>Condensador trifásico, para paso de potencia efectiva de 7.5kVAR / 230V, 60 Hz, p=7%, tipo CFB, marca CIRCUTOR.</t>
  </si>
  <si>
    <t>Reactancia para filtro de rechazo de armónicas, para paso de 15kVAR / 230 Vac, 60Hz, p=14%, tipo RBX, marca CIRCUTOR.</t>
  </si>
  <si>
    <t>Condensador trifásico, para paso de potencia efectiva de 15kVAR / 230V, 60 Hz, p=14%, tipo CFB, marca CIRCUTOR.</t>
  </si>
  <si>
    <t>Reactancia para filtro de rechazo de armónicas, para paso de 20kVAR / 230Vac, 60Hz, p=14%, tipo RBX, marca CIRCUTOR.</t>
  </si>
  <si>
    <t>Condensador trifásico, para paso de potencia efectiva de 20kVAR / 230Vac, 60 Hz, p=14%, tipo CSB, marca CIRCUTOR.</t>
  </si>
  <si>
    <t>Reactancia para filtro de rechazo de armónicas, para paso de 30kVAR / 230Vac, 60Hz, p=7%, tipo RBX, marca CIRCUTOR.</t>
  </si>
  <si>
    <t>Condensador trifásico, para paso de potencia efectiva de 30kVAR / 230Vac, 60 Hz, p=7%, tipo CFB, marca CIRCUTOR.</t>
  </si>
  <si>
    <t>Reactancia para filtro de rechazo de armónicas, para paso de 20kVAR / 230Vac, 60Hz, p=7%, tipo RBX, marca CIRCUTOR.</t>
  </si>
  <si>
    <t>Condensador trifásico, para paso de potencia efectiva de 20kVAR / 230Vac, 60 Hz, p=7%, tipo CFB, marca CIRCUTOR.</t>
  </si>
  <si>
    <t>Reactancia para filtro de rechazo de armónicas, para paso de 12.5kVAR / 230Vac, 60Hz, p=7%, tipo RBX, marca CIRCUTOR.</t>
  </si>
  <si>
    <t>Condensador trifásico, para paso de potencia efectiva de 12.5kVAR / 230Vac, 60 Hz, p=7%, tipo CFB, marca CIRCUTOR.</t>
  </si>
  <si>
    <t>Reactancia para filtro de rechazo de armónicas, para paso de 10kVAR / 230Vac, 60Hz, p=7%, tipo RBX, marca CIRCUTOR.</t>
  </si>
  <si>
    <t>Reactancia para filtro de rechazo de armónicas, para paso de 10kVAR / 380 Vac, 60Hz, p=14%, tipo RBX, marca CIRCUTOR.</t>
  </si>
  <si>
    <t>Condensador trifásico, para paso de potencia efectiva de 10kVAR / 380V, 60 Hz, p=14%, tipo CFB, marca CIRCUTOR.</t>
  </si>
  <si>
    <t>Reactancia para filtro de rechazo de armónicas, para paso de 18kVAR / 380Vac, 60Hz, p=14%, tipo RBX, marca CIRCUTOR.</t>
  </si>
  <si>
    <t>Reactancia para filtro de rechazo de armónicas, para paso de 20kVAR / 380Vac, 60Hz, p=14%, tipo RBX, marca CIRCUTOR.</t>
  </si>
  <si>
    <t>Reactancia para filtro de rechazo de armónicas, para paso de 40kVAR / 380Vac, 60Hz, p=14%, tipo RBX, marca CIRCUTOR.</t>
  </si>
  <si>
    <t>Condensador trifásico, para paso de potencia efectiva de 40kVAR / 380Vac, 60Hz, p=14%, tipo CFB, marca CIRCUTOR.</t>
  </si>
  <si>
    <t>Condensador trifásico, para paso de potencia efectiva de 10kVAR / 380Vac, 60 Hz, p=7%, tipo CFB, marca CIRCUTOR.</t>
  </si>
  <si>
    <t>Reactancia para filtro de rechazo de armónicas, para paso de 15kVAR / 380Vac, 60Hz, p=7%, tipo RBX, marca CIRCUTOR.</t>
  </si>
  <si>
    <t>Condensador trifásico, para paso de potencia efectiva de 15kVAR / 380Vac, 60 Hz, p=7%, tipo CFB, marca CIRCUTOR.</t>
  </si>
  <si>
    <t>Reactancia para filtro de rechazo de armónicas, para paso de 20kVAR / 380Vac, 60Hz, p=7%, tipo RBX, marca CIRCUTOR.</t>
  </si>
  <si>
    <t>REACT_25kVAR/380V_p7</t>
  </si>
  <si>
    <t>Reactancia para filtro de rechazo de armónicas, para paso de 25kVAR / 380Vac, 60Hz, p=7%, tipo RBX, marca CIRCUTOR.</t>
  </si>
  <si>
    <t>REACT_26kVAR/380V_p7</t>
  </si>
  <si>
    <t>Reactancia para filtro de rechazo de armónicas, para paso de 26kVAR / 380Vac, 60Hz, p=7%, tipo RBX, marca CIRCUTOR.</t>
  </si>
  <si>
    <t>COND_26kVAR/380V_p7</t>
  </si>
  <si>
    <t>Condensador trifásico, para paso de potencia efectiva de 26kVAR / 380Vac, 60 Hz, p=7%, tipo CFB, marca CIRCUTOR.</t>
  </si>
  <si>
    <t>Reactancia para filtro de rechazo de armónicas, para paso de 30kVAR / 380Vac, 60Hz, p=7%, tipo RBX, marca CIRCUTOR.</t>
  </si>
  <si>
    <t>Condensador trifásico, para paso de potencia efectiva de 30kVAR / 380Vac, 60 Hz, p=7%, tipo CFB, marca CIRCUTOR.</t>
  </si>
  <si>
    <t>Reactancia para filtro de rechazo de armónicas, para paso de 40kVAR / 380Vac, 60Hz, p=7%, tipo RBX, marca CIRCUTOR.</t>
  </si>
  <si>
    <t>Condensador trifásico, para paso de potencia efectiva de 40kVAR / 380Vac, 60 Hz, p=7%, tipo CFB, marca CIRCUTOR.</t>
  </si>
  <si>
    <t>REACT_50kVAR/380V_p7</t>
  </si>
  <si>
    <t>Reactancia para filtro de rechazo de armónicas, para paso de 50kVAR / 400Vac, 60Hz, p=7%, tipo RBX, marca CIRCUTOR.</t>
  </si>
  <si>
    <t>COND_50kVAR/380V_p7</t>
  </si>
  <si>
    <t>Condensador trifásico, para paso de potencia efectiva de 50kVAR / 400Vac, 60 Hz, p=7%, tipo CFB, marca CIRCUTOR.</t>
  </si>
  <si>
    <t>Reactancia para filtro de rechazo de armónicas, para paso de 60kVAR / 380Vac, 60Hz, p=7%, tipo RBX, marca CIRCUTOR.</t>
  </si>
  <si>
    <t>Condensador, Trifásico, para paso de potencia efectiva de 60kVAR / 380Vac, 60 Hz, p=7%, tipo CFB, marca CIRCUTOR.</t>
  </si>
  <si>
    <t>Reactancia para filtro de rechazo de armónicas, para paso de 80kVAR / 400Vac, 60Hz, p=7%, tipo RBX, marca CIRCUTOR.</t>
  </si>
  <si>
    <t>Reactancia para filtro de rechazo de armónicas, para paso de 10kVAR / 400Vac, 60Hz, p=7%, tipo RX, marca CIRCUTOR.</t>
  </si>
  <si>
    <t>Reactancia para filtro de rechazo de armónicas, para paso de 15kVAR / 400Vac, 60Hz, p=7%, tipo RBX, marca CIRCUTOR.</t>
  </si>
  <si>
    <t>Condensador trifásico, para paso de potencia efectiva de 15kVAR / 400Vac, 60 Hz, p=7%, tipo CFB, marca CIRCUTOR.</t>
  </si>
  <si>
    <t>Condensador trifásico, para paso de potencia efectiva de 30kVAR / 400Vac, 60 Hz, p=7%, tipo CFB, marca CIRCUTOR.</t>
  </si>
  <si>
    <t>COND_60kVAR/400V_p7</t>
  </si>
  <si>
    <t>Reactancia para filtro de rechazo de armónicas, para paso de 60kVAR / 440Vac, 60Hz, p=7%, tipo RBX, marca CIRCUTOR.</t>
  </si>
  <si>
    <t>Condensador, Trifásico, para paso de potencia efectiva de 60kVAR / 440Vac, 60 Hz, p=7%, tipo CFB, marca CIRCUTOR.</t>
  </si>
  <si>
    <t>Condensador Prismático, Trifasico, 30kVAR / 460 V, 60 Hz, Tipo CFB, marca CIRCUTOR.</t>
  </si>
  <si>
    <t>REACT_15kVAR/460V</t>
  </si>
  <si>
    <t>Reactancia para filtro de rechazo de armónicas, para paso de potencia efectiva de 15 KVAR, 460 V, 60Hz, p= 7%, tipo RBX, marca CIRCUTOR.</t>
  </si>
  <si>
    <t>COND_15kVAR/460V</t>
  </si>
  <si>
    <t>Condensador, Trifásico, para paso de potencia efectiva de 15 KVAR, 460 V, 60 Hz, p= 7%, tipo CFB, marca CIRCUTOR.</t>
  </si>
  <si>
    <t>REACT_30kVAR/460V</t>
  </si>
  <si>
    <t>Reactancia para filtro de rechazo de armónicas, para paso de potencia efectiva de 30 KVAR, 460 V, 60Hz, p= 7%, tipo RBX, marca CIRCUTOR.</t>
  </si>
  <si>
    <t>Condensador, Trifásico, para paso de potencia efectiva de 30 KVAR, 460 V, 60 Hz, p= 7%, tipo CFB, marca CIRCUTOR.</t>
  </si>
  <si>
    <t>REACT_40kVAR/460V</t>
  </si>
  <si>
    <t>Reactancia para filtro de rechazo de armónicas, para paso de potencia efectiva de 40 KVAR, 460 V, 60Hz, p= 7%, tipo RBX, marca CIRCUTOR.</t>
  </si>
  <si>
    <t>COND_40kVAR/460V</t>
  </si>
  <si>
    <t>Condensador, Trifásico, para paso de potencia efectiva de 40 KVAR, 460 V, 60 Hz, p= 7%, tipo CFB, marca CIRCUTOR.</t>
  </si>
  <si>
    <t>480Vac:</t>
  </si>
  <si>
    <t>REACT_50kVAR/480V_p14</t>
  </si>
  <si>
    <t>Reactancia para filtro de rechazo de armónicas, para paso de 50kVAR / 480Vac, 60Hz, p=14%, tipo RBX, marca CIRCUTOR.</t>
  </si>
  <si>
    <t>COND_50kVAR/480V_p14</t>
  </si>
  <si>
    <t>Condensador, Trifásico, para paso de potencia efectiva de 50kVAR / 480Vac, 60 Hz, p=14%, tipo CSB, marca CIRCUTOR.</t>
  </si>
  <si>
    <t>Contactores para Condensador:</t>
  </si>
  <si>
    <t>CMC_2.5kVAR/220V</t>
  </si>
  <si>
    <t>Contactor para maniobra de condensadores - 2.5kVAR / 220V - Modelo CMC - bobina 230Vac/60Hz. - marca CIRCUTOR.</t>
  </si>
  <si>
    <t>CMC_5kVAR/220V</t>
  </si>
  <si>
    <t>Contactor para maniobra de condensadores - 5kVAR / 220V - Modelo CMC - bobina 230Vac/60Hz. - marca CIRCUTOR.</t>
  </si>
  <si>
    <t>CMC_7.5kVAR/220V</t>
  </si>
  <si>
    <t>Contactor para maniobra de condensadores - 7.5kVAR / 220V - Modelo CMC - bobina 230Vac/60Hz. - marca CIRCUTOR.</t>
  </si>
  <si>
    <t>Contactor para maniobra de condensadores - 10kVAR / 230V - Modelo CMC - bobina 230Vac/60Hz. - marca CIRCUTOR.</t>
  </si>
  <si>
    <t>Contactor para maniobra de condensadores - 12.5kVAR / 230V - Modelo CMC - bobina 230Vac/60Hz. - marca CIRCUTOR.</t>
  </si>
  <si>
    <t>Contactor para maniobra de condensadores - 15kVAR / 230V - Modelo CMC - bobina 230Vac/60Hz. - marca CIRCUTOR.</t>
  </si>
  <si>
    <t>Contactor para maniobra de condensadores - 20kVAR / 230Vac - Modelo CMC - bobina 230Vac/60Hz. - marca CIRCUTOR.</t>
  </si>
  <si>
    <t>Contactor para maniobra de condensadores - 29kVAR / 230Vac - Modelo CMC - bobina 230Vac/60Hz. - marca CIRCUTOR.</t>
  </si>
  <si>
    <t>CMC_30kVAR/230V</t>
  </si>
  <si>
    <t>Contactor para maniobra de condensadores - 30kVAR / 230Vac - Modelo CMC - bobina 230Vac/60Hz. - marca CIRCUTOR.</t>
  </si>
  <si>
    <t>Contactor para maniobra de condensadores - 32kVAR / 230Vac - Modelo CMC - bobina 230Vac/60Hz. - marca CIRCUTOR.</t>
  </si>
  <si>
    <t>Contactor para maniobra de condensadores - 42kVAR / 230Vac - Modelo CMC - bobina 230Vac/60Hz. - marca CIRCUTOR.</t>
  </si>
  <si>
    <t>Contactor para maniobra de condensadores - 10kVAR / 400Vac - Modelo CMC - bobina 230Vac/60Hz. - marca CIRCUTOR.</t>
  </si>
  <si>
    <t>Contactor para maniobra de condensadores - 15kVAR / 400Vac - Modelo CMC - bobina 230Vac/60Hz. - marca CIRCUTOR.</t>
  </si>
  <si>
    <t>Contactor para maniobra de condensadores - 40kVAR / 400Vac - Modelo CMC - bobina 230Vac/60Hz. - marca CIRCUTOR.</t>
  </si>
  <si>
    <t>Contactor para maniobra de condensadores - 60kVAR / 400Vac - Modelo CMC - bobina 230Vac/60Hz. - marca CIRCUTOR.</t>
  </si>
  <si>
    <t>Contactor para maniobra de condensadores - 80kVAR / 400Vac - Modelo CMC - bobina 230Vac/60Hz. - marca CIRCUTOR.</t>
  </si>
  <si>
    <t>CMC_90kVAR/400V</t>
  </si>
  <si>
    <t>CMC_10kVAR/380V</t>
  </si>
  <si>
    <t>Contactor para maniobra de condensadores - 10 KVAR / 380Vac - Modelo CMC - bobina 230Vac/60Hz. - marca CIRCUTOR.</t>
  </si>
  <si>
    <t>CMC_15kVAR/380V</t>
  </si>
  <si>
    <t>Contactor para maniobra de condensadores - 15kVAR / 380Vac - Modelo CMC - bobina 230Vac/60Hz. - marca CIRCUTOR.</t>
  </si>
  <si>
    <t>CMC_20kVAR/380V</t>
  </si>
  <si>
    <t>Contactor para maniobra de condensadores - 20kVAR / 380Vac - Modelo CMC - bobina 230Vac/60Hz. - marca CIRCUTOR.</t>
  </si>
  <si>
    <t>CMC_25kVAR/380V</t>
  </si>
  <si>
    <t>Contactor para maniobra de condensadores - 25kVAR / 380Vac - Modelo CMC - bobina 230Vac/60Hz. - marca CIRCUTOR.</t>
  </si>
  <si>
    <t>CMC_26kVAR/380V</t>
  </si>
  <si>
    <t>Contactor para maniobra de condensadores - 26kVAR / 380Vac - Modelo CMC - bobina 230Vac/60Hz. - marca CIRCUTOR.</t>
  </si>
  <si>
    <t>CMC_30kVAR/380V</t>
  </si>
  <si>
    <t>Contactor para maniobra de condensadores - 30kVAR / 380Vac - Modelo CMC - bobina 230Vac/60Hz. - marca CIRCUTOR.</t>
  </si>
  <si>
    <t>Contactor para maniobra de condensadores - 40kVAR / 380Vac - Modelo CMC - bobina 230Vac/60Hz. - marca CIRCUTOR.</t>
  </si>
  <si>
    <t>CMC_50kVAR/380V</t>
  </si>
  <si>
    <t>Contactor para maniobra de condensadores - 50kVAR / 380Vac - Modelo CMC - bobina 230Vac/60Hz. - marca CIRCUTOR.</t>
  </si>
  <si>
    <t>CMC_60kVAR/380V</t>
  </si>
  <si>
    <t>Contactor para maniobra de condensadores - 60kVAR / 380Vac - Modelo CMC - bobina 230Vac/60Hz. - marca CIRCUTOR.</t>
  </si>
  <si>
    <t>CMC_70kVAR/380V</t>
  </si>
  <si>
    <t>Contactor para maniobra de condensadores - 70kVAR / 380Vac - Modelo CMC - bobina 230Vac/60Hz. - marca CIRCUTOR.</t>
  </si>
  <si>
    <t>CMC_15kVAR/460V</t>
  </si>
  <si>
    <t>Contactor para maniobra de condensadores - 15kVAR / 460Vac - Modelo CMC - bobina 230Vac/60Hz. - marca CIRCUTOR.</t>
  </si>
  <si>
    <t>CMC_30kVAR/460V</t>
  </si>
  <si>
    <t>Contactor para maniobra de condensadores - 30kVAR / 460Vac - Modelo CMC - bobina 230Vac/60Hz. - marca CIRCUTOR.</t>
  </si>
  <si>
    <t>- - - - - - - - - - - - -</t>
  </si>
  <si>
    <t>WGC-500x200</t>
  </si>
  <si>
    <t>RGU-10C</t>
  </si>
  <si>
    <t>Rele electronico de proteccion diferencial de modelo RGU-10C, marca CIRCUTOR.</t>
  </si>
  <si>
    <t>Fusible 250A Clase J, 500VAC/500VDC, 200kA@100kA, modelo AJT250 - marca FERRAZ SHAWMUT.</t>
  </si>
  <si>
    <t>VAL-MS 230</t>
  </si>
  <si>
    <t>DESCARGADOR ENCHUF. CL II VAL-MS 230 ST - MARCA PHOENIX CONTACT.</t>
  </si>
  <si>
    <t>F-MS 12 ST</t>
  </si>
  <si>
    <t>DESCARGADOR ENCHUF. CL II. F-MS 12 ST - MARCA PHOENIX CONTACT.</t>
  </si>
  <si>
    <t>VAL-MS-BE/FM</t>
  </si>
  <si>
    <t>BASE P/ VAL-MS-BE/FM - MARCA PHOENIX CONTACT.</t>
  </si>
  <si>
    <t>UPS MONOFÁSICO SERIE 9130, MODELO PW9130i3000T-XL, 220VAC, 3KVA, MARCA marca EATON.</t>
  </si>
  <si>
    <t>ST SP2N2-P</t>
  </si>
  <si>
    <t>Protector contra Sobretensión Transitorio 1F+T , Ue=220Vac, corriente pico por fase 60kA - marca SINE TAMMER.</t>
  </si>
  <si>
    <t>RM ST40 3N2</t>
  </si>
  <si>
    <t>Protector contra Sobretensión Transitorio 3F+T , Ue=220Vac, corriente pico por fase 40kA - marca SINE TAMMER.</t>
  </si>
  <si>
    <t>LA ST60 3N2</t>
  </si>
  <si>
    <t>Protector contra Sobretensión Transitorio 3F+T , Ue=220Vac, corriente pico 60kA - modelo LA-ST, marca SINE TAMMER.</t>
  </si>
  <si>
    <t>LA ST60 3Y1</t>
  </si>
  <si>
    <t>Protector contra Sobretensión Transitorio 3F+N+T , Ue=220Vac, corriente pico 60kA - modelo LA-ST, marca SINE TAMMER.</t>
  </si>
  <si>
    <t>RCMS490-D-2</t>
  </si>
  <si>
    <t>Monitor de corriente residual, tensión de alimentación: 70-276Vac/dc a frecuencia 42…460Hz. Corriente alterna: 10mA…10A. Corriente pulsante: 6mA…20A. Interface serial RS485, Protocolo: BMS, Modelo RCMS490-D-2 - marca BENDER.</t>
  </si>
  <si>
    <t>B94053006</t>
  </si>
  <si>
    <t>W0-S20</t>
  </si>
  <si>
    <t>Toroide diferencial W0-S20 (nucleo cerrado) - Tipo A, diametro interior d=20mm - marca BENDER.</t>
  </si>
  <si>
    <t>B911787</t>
  </si>
  <si>
    <t>W1-S35</t>
  </si>
  <si>
    <t>Toroide diferencial W1-S35 (nucleo cerrado) - Tipo A, diametro interior d=35mm - marca BENDER.</t>
  </si>
  <si>
    <t>B911731</t>
  </si>
  <si>
    <t>W4-S140</t>
  </si>
  <si>
    <t>Toroide diferencial W4-S140 (nucleo cerrado) - Tipo A, diametro interior d=140mm - marca BENDER.</t>
  </si>
  <si>
    <t>B911734</t>
  </si>
  <si>
    <t>WR70x175S</t>
  </si>
  <si>
    <t>Toroide diferencial WR70x175S (nucleo cerrado) - Tipo A, Rectangular de dimensiones interiores A=70x175mm - marca BENDER.</t>
  </si>
  <si>
    <t>B911738</t>
  </si>
  <si>
    <t>WR115x305S</t>
  </si>
  <si>
    <t>Toroide diferencial WR115x305S (nucleo cerrado) - Tipo A, Rectangular de dimensiones interiores A=115x305mm - marca BENDER.</t>
  </si>
  <si>
    <t>B911739</t>
  </si>
  <si>
    <t>WR200x500S</t>
  </si>
  <si>
    <t>Toroide diferencial WR200x500S (nucleo cerrado) - Tipo A, Rectangular de dimensiones interiores A=200x500mm - marca BENDER.</t>
  </si>
  <si>
    <t>B911763</t>
  </si>
  <si>
    <t>W20AB</t>
  </si>
  <si>
    <t>Toroide diferencial W20AB (nucleo cerrado) - Tipo B, diametro interior d=20mm - marca BENDER.</t>
  </si>
  <si>
    <t>B98080008</t>
  </si>
  <si>
    <t>W35AB</t>
  </si>
  <si>
    <t>Toroide diferencial W35AB (nucleo cerrado) - Tipo B, diametro interior d=35mm - marca BENDER.</t>
  </si>
  <si>
    <t>B98080016</t>
  </si>
  <si>
    <t>W120AB</t>
  </si>
  <si>
    <t>Toroide diferencial W120AB (nucleo cerrado) - Tipo B, diametro interior d=120mm - marca BENDER.</t>
  </si>
  <si>
    <t>B98080041</t>
  </si>
  <si>
    <t>W210AB</t>
  </si>
  <si>
    <t>Toroide diferencial W210AB (nucleo cerrado) - Tipo B, diametro interior d=210mm - marca BENDER.</t>
  </si>
  <si>
    <t>B98080040</t>
  </si>
  <si>
    <t>AN420-2</t>
  </si>
  <si>
    <t>Fuente de alimentación para toroidales de 12Vdc, modelo AN420-2 - marca BENDER.</t>
  </si>
  <si>
    <t>B74053100</t>
  </si>
  <si>
    <t>WXS-250</t>
  </si>
  <si>
    <t>Cable de conexión de longitd 2,5m, para RCMS460/490, modelo WXS-250 - marca BENDER.</t>
  </si>
  <si>
    <t>B98080507</t>
  </si>
  <si>
    <t>B924672</t>
  </si>
  <si>
    <t xml:space="preserve">Transformador de aislamiento trifasico - modelo: DS0107/10000 10 kva trifasico - marca BENDER </t>
  </si>
  <si>
    <t xml:space="preserve">Toroidal de  carga - modelo: STW2 - marca BENDER </t>
  </si>
  <si>
    <t xml:space="preserve">Vigilante - modelo: ISOMED427P-2 - marca BENDER </t>
  </si>
  <si>
    <t xml:space="preserve">Fuente de alimentacion - modelo: AN450 20 vac (50/60hz) - marca BENDER </t>
  </si>
  <si>
    <t xml:space="preserve">Repetidor de alarma - modelo: MK2430-12 24 vac/vdc - marca BENDER </t>
  </si>
  <si>
    <t xml:space="preserve">Dispositivo de busqueda de fallos de aislamiento - modelo: EDS151 - marca BENDER </t>
  </si>
  <si>
    <t>CURVA C</t>
  </si>
  <si>
    <t>EPC10101</t>
  </si>
  <si>
    <t>EPC10161</t>
  </si>
  <si>
    <t>EPC10201</t>
  </si>
  <si>
    <t>EPC10251</t>
  </si>
  <si>
    <t>EPC10321</t>
  </si>
  <si>
    <t>EPC10401</t>
  </si>
  <si>
    <t>EPC10501</t>
  </si>
  <si>
    <t>EPC10631</t>
  </si>
  <si>
    <t>EPC10102</t>
  </si>
  <si>
    <t>EPC10162</t>
  </si>
  <si>
    <t>EPC10202</t>
  </si>
  <si>
    <t>EPC10252</t>
  </si>
  <si>
    <t>EPC10322</t>
  </si>
  <si>
    <t>EPC10402</t>
  </si>
  <si>
    <t>EPC10502</t>
  </si>
  <si>
    <t>EPC10632</t>
  </si>
  <si>
    <t>EPC10103</t>
  </si>
  <si>
    <t>EPC10163</t>
  </si>
  <si>
    <t>EPC10203</t>
  </si>
  <si>
    <t>EPC10253</t>
  </si>
  <si>
    <t>EPC10323</t>
  </si>
  <si>
    <t>EPC10403</t>
  </si>
  <si>
    <t>EPC10503</t>
  </si>
  <si>
    <t>EPC10633</t>
  </si>
  <si>
    <t>EPC10104</t>
  </si>
  <si>
    <t>EPC10164</t>
  </si>
  <si>
    <t>EPC10204</t>
  </si>
  <si>
    <t>EPC10254</t>
  </si>
  <si>
    <t>EPC10324</t>
  </si>
  <si>
    <t>EPC10404</t>
  </si>
  <si>
    <t>EPC10504</t>
  </si>
  <si>
    <t>EPC10634</t>
  </si>
  <si>
    <t>CURVA D</t>
  </si>
  <si>
    <t>EPD10101</t>
  </si>
  <si>
    <t>EPD10161</t>
  </si>
  <si>
    <t>EPD10201</t>
  </si>
  <si>
    <t>EPD10251</t>
  </si>
  <si>
    <t>EPD10321</t>
  </si>
  <si>
    <t>EPD10401</t>
  </si>
  <si>
    <t>EPD10501</t>
  </si>
  <si>
    <t>EPD10631</t>
  </si>
  <si>
    <t>EPD10102</t>
  </si>
  <si>
    <t>EPD10162</t>
  </si>
  <si>
    <t>EPD10202</t>
  </si>
  <si>
    <t>EPD10252</t>
  </si>
  <si>
    <t>EPD10322</t>
  </si>
  <si>
    <t>EPD10402</t>
  </si>
  <si>
    <t>EPD10502</t>
  </si>
  <si>
    <t>EPD10632</t>
  </si>
  <si>
    <t>EPD10103</t>
  </si>
  <si>
    <t>EPD10163</t>
  </si>
  <si>
    <t>EPD10203</t>
  </si>
  <si>
    <t>EPD10253</t>
  </si>
  <si>
    <t>EPD10323</t>
  </si>
  <si>
    <t>EPD10403</t>
  </si>
  <si>
    <t>EPD10503</t>
  </si>
  <si>
    <t>EPD10633</t>
  </si>
  <si>
    <t>EPD10104</t>
  </si>
  <si>
    <t>EPD10164</t>
  </si>
  <si>
    <t>EPD10204</t>
  </si>
  <si>
    <t>EPD10254</t>
  </si>
  <si>
    <t>EPD10324</t>
  </si>
  <si>
    <t>EPD10404</t>
  </si>
  <si>
    <t>EPD10504</t>
  </si>
  <si>
    <t>EPD10634</t>
  </si>
  <si>
    <t>DIFERENCIALES 30mA "AC"</t>
  </si>
  <si>
    <t>DIFERENCIALES 30mA "A"</t>
  </si>
  <si>
    <t>INTERRUPTORES CAJA MOLDEADA REGULABLES</t>
  </si>
  <si>
    <t>25KA</t>
  </si>
  <si>
    <t>S160-SCJ 3P 20A</t>
  </si>
  <si>
    <t>ITM de 3x20A ,(reg.[0.7-1.0] In) SCJ,  25kA@415Vac. - TERASAKI</t>
  </si>
  <si>
    <t>S160-SCJ 3P 25A</t>
  </si>
  <si>
    <t>ITM de 3x25A ,(reg.[0.7-1.0] In) SCJ,  25kA@415Vac. - TERASAKI</t>
  </si>
  <si>
    <t>S160-SCJ 3P 32A</t>
  </si>
  <si>
    <t>ITM de 3x32A ,(reg.[0.7-1.0] In) SCJ,  25kA@415Vac. - TERASAKI</t>
  </si>
  <si>
    <t>S160-SCJ 3P 40A</t>
  </si>
  <si>
    <t>ITM de 3x40A ,(reg.[0.7-1.0] In) SCJ,  25kA@415Vac. - TERASAKI</t>
  </si>
  <si>
    <t>S160-SCJ 3P 50A</t>
  </si>
  <si>
    <t>ITM de 3x50A ,(reg.[0.7-1.0] In) SCJ,  25kA@415Vac. - TERASAKI</t>
  </si>
  <si>
    <t>S160-SCJ 3P 63A</t>
  </si>
  <si>
    <t>ITM de 3x63A ,(reg.[0.7-1.0] In) SCJ,  25kA@415Vac. - TERASAKI</t>
  </si>
  <si>
    <t>S160-SCJ 3P 80A</t>
  </si>
  <si>
    <t>ITM de 3x80A ,(reg.[0.7-1.0] In) SCJ,  25kA@415Vac. - TERASAKI</t>
  </si>
  <si>
    <t>S160-SCJ 3P 100A</t>
  </si>
  <si>
    <t>ITM de 3x100A ,(reg.[0.7-1.0] In) SCJ,  25kA@415Vac. - TERASAKI</t>
  </si>
  <si>
    <t>S160-SCJ 3P 125A</t>
  </si>
  <si>
    <t>ITM de 3x125A ,(reg.[0.7-1.0] In) SCJ,  25kA@415Vac. - TERASAKI</t>
  </si>
  <si>
    <t>S160-SCJ 3P 160A</t>
  </si>
  <si>
    <t>ITM de 3x160A ,(reg.[0.7-1.0] In) SCJ,  25kA@415Vac. - TERASAKI</t>
  </si>
  <si>
    <t>E250-SJ 3P 200A</t>
  </si>
  <si>
    <t>ITM de 3x200A ,(reg.[0.7-1.0] In) E-SJ,  25kA@415Vac. - TERASAKI</t>
  </si>
  <si>
    <t>E250-SJ 3P 250A</t>
  </si>
  <si>
    <t>ITM de 3x250A ,(reg.[0.7-1.0] In) E-SJ,  25kA@415Vac. - TERASAKI</t>
  </si>
  <si>
    <t>40KA</t>
  </si>
  <si>
    <t>S160-SJ 3P 20A</t>
  </si>
  <si>
    <t>ITM de 3x20A ,(reg.[0.7-1.0] In) SJ,  40kA@415Vac. - TERASAKI</t>
  </si>
  <si>
    <t>S160-SJ 3P 25A</t>
  </si>
  <si>
    <t>ITM de 3x25A ,(reg.[0.7-1.0] In) SJ,  40kA@415Vac. - TERASAKI</t>
  </si>
  <si>
    <t>S160-SJ 3P 32A</t>
  </si>
  <si>
    <t>ITM de 3x32A ,(reg.[0.7-1.0] In) SJ,  40kA@415Vac. - TERASAKI</t>
  </si>
  <si>
    <t>S160-SJ 3P 40A</t>
  </si>
  <si>
    <t>ITM de 3x40A ,(reg.[0.7-1.0] In) SJ,  40kA@415Vac. - TERASAKI</t>
  </si>
  <si>
    <t>S160-SJ 3P 50A</t>
  </si>
  <si>
    <t>ITM de 3x50A ,(reg.[0.7-1.0] In) SJ,  40kA@415Vac. - TERASAKI</t>
  </si>
  <si>
    <t>S160-SJ 3P 63A</t>
  </si>
  <si>
    <t>ITM de 3x63A ,(reg.[0.7-1.0] In) SJ,  40kA@415Vac. - TERASAKI</t>
  </si>
  <si>
    <t>S160-SJ 3P 80A</t>
  </si>
  <si>
    <t>ITM de 3x80A ,(reg.[0.7-1.0] In) SJ,  40kA@415Vac. - TERASAKI</t>
  </si>
  <si>
    <t>S160-SJ 3P 100A</t>
  </si>
  <si>
    <t>ITM de 3x100A ,(reg.[0.7-1.0] In) SJ,  40kA@415Vac. - TERASAKI</t>
  </si>
  <si>
    <t>S160-SJ 3P 125A</t>
  </si>
  <si>
    <t>ITM de 3x125A ,(reg.[0.7-1.0] In) SJ,  40kA@415Vac. - TERASAKI</t>
  </si>
  <si>
    <t>S160-SJ 3P 160A</t>
  </si>
  <si>
    <t>ITM de 3x160A ,(reg.[0.7-1.0] In) SJ,  40kA@415Vac. - TERASAKI</t>
  </si>
  <si>
    <t>S250-SJ 3P 200A</t>
  </si>
  <si>
    <t>ITM de 3x200A ,(reg.[0.7-1.0] In) S-SJ,  40kA@415Vac. - TERASAKI</t>
  </si>
  <si>
    <t>S250-SJ 3P 250A</t>
  </si>
  <si>
    <t>ITM de 3x250A ,(reg.[0.7-1.0] In) S-SJ,  40kA@415Vac. - TERASAKI</t>
  </si>
  <si>
    <t>50KA</t>
  </si>
  <si>
    <t>S125-GJ 3P 20A</t>
  </si>
  <si>
    <t>ITM de 3x20A ,(reg.[0.7-1.0] In) GJ,  50kA@415Vac. - TERASAKI</t>
  </si>
  <si>
    <t>S125-GJ 3P 25A</t>
  </si>
  <si>
    <t>ITM de 3x25A ,(reg.[0.7-1.0] In) GJ,  50kA@415Vac. - TERASAKI</t>
  </si>
  <si>
    <t>S125-GJ 3P 32A</t>
  </si>
  <si>
    <t>ITM de 3x32A ,(reg.[0.7-1.0] In) GJ,  50kA@415Vac. - TERASAKI</t>
  </si>
  <si>
    <t>S125-GJ 3P 40A</t>
  </si>
  <si>
    <t>ITM de 3x40A ,(reg.[0.7-1.0] In) GJ,  50kA@415Vac. - TERASAKI</t>
  </si>
  <si>
    <t>S125-GJ 3P 50A</t>
  </si>
  <si>
    <t>ITM de 3x50A ,(reg.[0.7-1.0] In) GJ,  50kA@415Vac. - TERASAKI</t>
  </si>
  <si>
    <t>S125-GJ 3P 63A</t>
  </si>
  <si>
    <t>ITM de 3x63A ,(reg.[0.7-1.0] In) GJ,  50kA@415Vac. - TERASAKI</t>
  </si>
  <si>
    <t>S125-GJ 3P 80A</t>
  </si>
  <si>
    <t>ITM de 3x80A ,(reg.[0.7-1.0] In) GJ,  50kA@415Vac. - TERASAKI</t>
  </si>
  <si>
    <t>S125-GJ 3P 100A</t>
  </si>
  <si>
    <t>ITM de 3x100A ,(reg.[0.7-1.0] In) GJ,  50kA@415Vac. - TERASAKI</t>
  </si>
  <si>
    <t>S125-GJ 3P 125A</t>
  </si>
  <si>
    <t>ITM de 3x125A ,(reg.[0.7-1.0] In) GJ,  50kA@415Vac. - TERASAKI</t>
  </si>
  <si>
    <t>S160-GJ 3P 160A</t>
  </si>
  <si>
    <t>ITM de 3x160A ,(reg.[0.7-1.0] In) GJ,  50kA@415Vac. - TERASAKI</t>
  </si>
  <si>
    <t>S250-GJ 3P 200A</t>
  </si>
  <si>
    <t>ITM de 3x200A ,(reg.[0.7-1.0] In) S-GJ,  50kA@415Vac. - TERASAKI</t>
  </si>
  <si>
    <t>S250-GJ 3P 250A</t>
  </si>
  <si>
    <t>ITM de 3x250A ,(reg.[0.7-1.0] In) S-GJ,  50kA@415Vac. - TERASAKI</t>
  </si>
  <si>
    <t>S400-NJ 3P 400A</t>
  </si>
  <si>
    <t>ITM de 3x400A ,(reg.[0.7-1.0] In) S-NJ,  50kA@415Vac. - TERASAKI</t>
  </si>
  <si>
    <t>S630-CE 3P 630A</t>
  </si>
  <si>
    <t>ITM de 3x630A ,(reg.[0.7-1.0] In) S-CE,  50kA@415Vac. - TERASAKI</t>
  </si>
  <si>
    <t>S800-NJ 3P 800A</t>
  </si>
  <si>
    <t>ITM de 3x800A ,(reg.[0.7-1.0] In) S-NJ,  50kA@415Vac. - TERASAKI</t>
  </si>
  <si>
    <t>S1000-SE 3P 1000A</t>
  </si>
  <si>
    <t>ITM de 3x1000A ,(electrónico [0.4-1.0] In) S-SE,  50kA@415Vac. - TERASAKI</t>
  </si>
  <si>
    <t>S1250-SE 3P 1250A</t>
  </si>
  <si>
    <t>ITM de 3x1250A ,(electrónico [0.4-1.0] In) S-SE,  50kA@415Vac. - TERASAKI</t>
  </si>
  <si>
    <t>S1600-SE 3P 1600A</t>
  </si>
  <si>
    <t>ITM de 3x1600A ,(electrónico [0.4-1.0] In) S-SE,  50kA@415Vac. - TERASAKI</t>
  </si>
  <si>
    <t>70KA</t>
  </si>
  <si>
    <t>S400-GJ 3P 400A</t>
  </si>
  <si>
    <t>ITM de 3x400A ,(reg.[0.7-1.0] In) S-GJ,  70kA@415Vac. - TERASAKI</t>
  </si>
  <si>
    <t>S630-GE 3P 630A</t>
  </si>
  <si>
    <t>ITM de 3x630A ,(reg.[0.7-1.0] In) S-GE,  70kA@415Vac. - TERASAKI</t>
  </si>
  <si>
    <t>S800-RJ 3P 800A</t>
  </si>
  <si>
    <t>ITM de 3x800A ,(reg.[0.7-1.0] In) S-RJ,  70kA@415Vac. - TERASAKI</t>
  </si>
  <si>
    <t>S1000-NE 3P 1000A</t>
  </si>
  <si>
    <t>ITM de 3x1000A ,(electrónico [0.4-1.0] In) S-NE,  70kA@415Vac. - TERASAKI</t>
  </si>
  <si>
    <t>S1250-NE 3P 1250A</t>
  </si>
  <si>
    <t>ITM de 3x1250A ,(electrónico [0.4-1.0] In) S-NE,  70kA@415Vac. - TERASAKI</t>
  </si>
  <si>
    <t>S1600-NE 3P 1600A</t>
  </si>
  <si>
    <t>ITM de 3x1600A ,(electrónico [0.4-1.0] In) S-NE,  85kA@415Vac. - TERASAKI</t>
  </si>
  <si>
    <t>CDI20620</t>
  </si>
  <si>
    <t xml:space="preserve">Contactor modular de 2 polos, 20A (AC-1 ) + 2NA, bob. 230Vac. , marca TERASAKI. </t>
  </si>
  <si>
    <t>DAB7-63-C10-1</t>
  </si>
  <si>
    <t>ITM de 1x10A - DAB7,  10kA - 230/400Vac., IEC 60898 , Dada</t>
  </si>
  <si>
    <t>DAB7-63-C16-1</t>
  </si>
  <si>
    <t>ITM de 1x16A - DAB7,  10kA - 230/400Vac., IEC 60898 , Dada</t>
  </si>
  <si>
    <t>DAB7-63-C20-1</t>
  </si>
  <si>
    <t>ITM de 1x20A - DAB7,  10kA - 230/400Vac., IEC 60898 , Dada</t>
  </si>
  <si>
    <t>DAB7-63-C25-1</t>
  </si>
  <si>
    <t>ITM de 1x25A - DAB7,  10kA - 230/400Vac., IEC 60898 , Dada</t>
  </si>
  <si>
    <t>DAB7-63-C32-1</t>
  </si>
  <si>
    <t>ITM de 1x32A - DAB7,  10kA - 230/400Vac., IEC 60898 , Dada</t>
  </si>
  <si>
    <t>DAB7-63-C40-1</t>
  </si>
  <si>
    <t>ITM de 1x40A - DAB7,  10kA - 230/400Vac., IEC 60898 , Dada</t>
  </si>
  <si>
    <t>DAB7-63-C50-1</t>
  </si>
  <si>
    <t>ITM de 1x50A - DAB7,  10kA - 230/400Vac., IEC 60898 , Dada</t>
  </si>
  <si>
    <t>DAB7-63-C63-1</t>
  </si>
  <si>
    <t>ITM de 1x63A - DAB7,  10kA - 230/400Vac., IEC 60898 , Dada</t>
  </si>
  <si>
    <t>DAB7-63-C10-2</t>
  </si>
  <si>
    <t>ITM de 2x10A - DAB7,  10kA - 230/400Vac., IEC 60898 , Dada</t>
  </si>
  <si>
    <t>DAB7-63-C16-2</t>
  </si>
  <si>
    <t>ITM de 2x16A - DAB7,  10kA - 230/400Vac., IEC 60898 , Dada</t>
  </si>
  <si>
    <t>DAB7-63-C20-2</t>
  </si>
  <si>
    <t>ITM de 2x20A - DAB7,  10kA - 230/400Vac., IEC 60898 , Dada</t>
  </si>
  <si>
    <t>DAB7-63-C25-2</t>
  </si>
  <si>
    <t>ITM de 2x25A - DAB7,  10kA - 230/400Vac., IEC 60898 , Dada</t>
  </si>
  <si>
    <t>DAB7-63-C32-2</t>
  </si>
  <si>
    <t>ITM de 2x32A - DAB7,  10kA - 230/400Vac., IEC 60898 , Dada</t>
  </si>
  <si>
    <t>DAB7-63-C40-2</t>
  </si>
  <si>
    <t>ITM de 2x40A - DAB7,  10kA - 230/400Vac., IEC 60898 , Dada</t>
  </si>
  <si>
    <t>DAB7-63-C50-2</t>
  </si>
  <si>
    <t>ITM de 2x50A - DAB7,  10kA - 230/400Vac., IEC 60898 , Dada</t>
  </si>
  <si>
    <t>DAB7-63-C63-2</t>
  </si>
  <si>
    <t>ITM de 2x63A - DAB7,  10kA - 230/400Vac., IEC 60898 , Dada</t>
  </si>
  <si>
    <t>DAB7-63-C10-3</t>
  </si>
  <si>
    <t>ITM de 3x10A - DAB7,  10kA - 230/400Vac., IEC 60898 , Dada</t>
  </si>
  <si>
    <t>DAB7-63-C16-3</t>
  </si>
  <si>
    <t>ITM de 3x16A - DAB7,  10kA - 230/400Vac., IEC 60898 , Dada</t>
  </si>
  <si>
    <t>DAB7-63-C20-3</t>
  </si>
  <si>
    <t>ITM de 3x20A - DAB7,  10kA - 230/400Vac., IEC 60898 , Dada</t>
  </si>
  <si>
    <t>DAB7-63-C25-3</t>
  </si>
  <si>
    <t>ITM de 3x25A - DAB7,  10kA - 230/400Vac., IEC 60898 , Dada</t>
  </si>
  <si>
    <t>DAB7-63-C32-3</t>
  </si>
  <si>
    <t>ITM de 3x32A - DAB7,  10kA - 230/400Vac., IEC 60898 , Dada</t>
  </si>
  <si>
    <t>DAB7-63-C40-3</t>
  </si>
  <si>
    <t>ITM de 3x40A - DAB7,  10kA - 230/400Vac., IEC 60898 , Dada</t>
  </si>
  <si>
    <t>DAB7-63-C50-3</t>
  </si>
  <si>
    <t>ITM de 3x50A - DAB7,  10kA - 230/400Vac., IEC 60898 , Dada</t>
  </si>
  <si>
    <t>DAB7-63-C63-3</t>
  </si>
  <si>
    <t>ITM de 3x63A - DAB7,  10kA - 230/400Vac., IEC 60898 , Dada</t>
  </si>
  <si>
    <t>DAF362-25</t>
  </si>
  <si>
    <t>Interruptor Diferencial de 2x25A - 30mA, clase AC - DAF36 , Dada</t>
  </si>
  <si>
    <t>DAF362-40</t>
  </si>
  <si>
    <t>Interruptor Diferencial de 2x40A - 30mA, clase AC - DAF36 , Dada</t>
  </si>
  <si>
    <t>DAF364-25</t>
  </si>
  <si>
    <t>Interruptor Diferencial de 4x25A - 30mA, clase AC - DAF36 , Dada</t>
  </si>
  <si>
    <t>DAF364-40</t>
  </si>
  <si>
    <t>Interruptor Diferencial de 4x40A - 30mA, clase AC - DAF36 , Dada</t>
  </si>
  <si>
    <t>PROVEEDOR:</t>
  </si>
  <si>
    <t>V&amp;F</t>
  </si>
  <si>
    <t>A9R71240</t>
  </si>
  <si>
    <t>INTERRUPTOR DIFERENCIAL ACTI 9 iID 2x40 AMP. 30 mA SCHNEIDER.</t>
  </si>
  <si>
    <t>A9R71225</t>
  </si>
  <si>
    <t>A9R71440</t>
  </si>
  <si>
    <t>INTERRUPTOR DIFERENCIAL ACTI 9 iID 4x40 AMP. 30 mA SCHNEIDER.</t>
  </si>
  <si>
    <t>A9R71425</t>
  </si>
  <si>
    <t>INTERRUPTOR DIFERENCIAL ACTI 9 iID 4x25 AMP. 30 mA SCHNEIDER.</t>
  </si>
  <si>
    <t>A9R91240</t>
  </si>
  <si>
    <t>INTERRUPTOR DIFERENCIAL ACTI 9 iIDsi 2x40 AMP. 30 mA SCHNEIDER.</t>
  </si>
  <si>
    <t>A9R91225</t>
  </si>
  <si>
    <t>INTERRUPTOR DIFERENCIAL ACTI 9 iIDsi 2x25 AMP. 30 mA SCHNEIDER.</t>
  </si>
  <si>
    <t>LV430670</t>
  </si>
  <si>
    <t>INTERRUPTOR COMPACT NSX160H 3x112-160 AMP. SCHNEIDER.</t>
  </si>
  <si>
    <t>EZC100N3080</t>
  </si>
  <si>
    <t>INT. TERMOMAGNETICO FIJO 80 A EZC100N 25/18/10 KA 240/380/440 V.</t>
  </si>
  <si>
    <t>EZC100N3040</t>
  </si>
  <si>
    <t>INT. TERMOMAGNETICO FIJO 40 A EZC100N 25/18/10 KA 240/380/440 V.</t>
  </si>
  <si>
    <t>EZC100N3030</t>
  </si>
  <si>
    <t>INT. TERMOMAGNETICO FIJO 30 A EZC100N 25/18/10 KA 240/380/440 V.</t>
  </si>
  <si>
    <t>METSEPM5330</t>
  </si>
  <si>
    <t>MEDIDOR DE ENERGIA MULTIFUNCIÓN 0.5s REL ETH POWERLOGIC MODBUS 35 ALARMAS - PM5330.</t>
  </si>
  <si>
    <t>METSEDM6200</t>
  </si>
  <si>
    <t>MEDIDOR DE ENERGIA MULTIFUNCIÓN MODELO DM6200, MARCA SCHNEIDER.</t>
  </si>
  <si>
    <t>METSEDM8240</t>
  </si>
  <si>
    <t>MEDIDOR DE ENERGIA MULTIFUNCIÓN MODELO DM8240, MARCA SCHNEIDER.</t>
  </si>
  <si>
    <t>NSYTRV42</t>
  </si>
  <si>
    <t>Bornera tipo tornillo universal de seccion 4 mm2 hasta 41A, marca SCHNEIDER.</t>
  </si>
  <si>
    <t>NSYTRAL410</t>
  </si>
  <si>
    <t>A9XMSB11</t>
  </si>
  <si>
    <t>Regleta Smartlink - Modelo Acti 9 Smartlink - Marca Schneider</t>
  </si>
  <si>
    <t>A9XCAU06</t>
  </si>
  <si>
    <t>Cable prefabricado con 1 conector - Modelo Acti 9 Smartlink - Marca Schneider</t>
  </si>
  <si>
    <t>Tableros eléctricos del tipo AUTOSOPORTADO, modular, con grado de protección NEMA 12, fabricados en plancha metálica de 1/16" (1.58 mm.) de espesor, con puerta frontal en plancha de 5/64" de espesor con chapa, tratamiento anticorrosivo de fosfatizado y acabado con pintura electrostática color RAL 7032 al horno. Interiormente llevará un juego de barras de cobre electrolítico de 99,9% de conductividad debidamente dimensionado y soportado sobre sus respectivos aisladores.</t>
  </si>
  <si>
    <t>S202M-B-10A</t>
  </si>
  <si>
    <t>ITM Riel-Din 2x10A - S202M-B-10A - 15kA@400Vac-IEC60947-2 - marca ABB.</t>
  </si>
  <si>
    <t>S202P-C-10A</t>
  </si>
  <si>
    <t>ITM Riel-Din 2x10A - S202P-C-10A - 25kA@400Vac-IEC60947-2 - marca ABB.</t>
  </si>
  <si>
    <t>2CDS282001R0104</t>
  </si>
  <si>
    <t>S203M-C-10A</t>
  </si>
  <si>
    <t>S204M-B-10A</t>
  </si>
  <si>
    <t>ITM Riel-Din 4x10A - S204M-B-10A - 15kA@400Vac-IEC60947-2 - marca ABB.</t>
  </si>
  <si>
    <t>ITM Riel-Din 4x50A - S204M-C-50A - 15kA@400Vac-IEC60947-2 - marca ABB.</t>
  </si>
  <si>
    <t>ITM Riel-Din 4x63A - S204M-C-63A - 15kA@400Vac-IEC60947-2 - marca ABB.</t>
  </si>
  <si>
    <t>S204P-B-10A</t>
  </si>
  <si>
    <t>ITM Riel-Din 4x10A - S204P-B-10A - 25kA@400Vac-IEC60947-2 - marca ABB.</t>
  </si>
  <si>
    <t>2CDS284001R0105</t>
  </si>
  <si>
    <t>S204P-B-16A</t>
  </si>
  <si>
    <t>ITM Riel-Din 4x16A - S204P-B-16A - 25kA@400Vac-IEC60947-2 - marca ABB.</t>
  </si>
  <si>
    <t>2CDS284001R0165</t>
  </si>
  <si>
    <t>S204P-B-20A</t>
  </si>
  <si>
    <t>ITM Riel-Din 4x20A - S204P-B-20A - 25kA@400Vac-IEC60947-2 - marca ABB.</t>
  </si>
  <si>
    <t>2CDS284001R0205</t>
  </si>
  <si>
    <t>S204P-B-25A</t>
  </si>
  <si>
    <t>ITM Riel-Din 4x25A - S204P-B-25A - 25kA@400Vac-IEC60947-2 - marca ABB.</t>
  </si>
  <si>
    <t>2CDS284001R0255</t>
  </si>
  <si>
    <t>S204P-B-32A</t>
  </si>
  <si>
    <t>ITM Riel-Din 4x32A - S204P-B-32A - 15kA@400Vac-IEC60947-2 - marca ABB.</t>
  </si>
  <si>
    <t>2CDS284001R0325</t>
  </si>
  <si>
    <t>S204P-B-40A</t>
  </si>
  <si>
    <t>ITM Riel-Din 4x40A - S204P-B-40A - 15kA@400Vac-IEC60947-2 - marca ABB.</t>
  </si>
  <si>
    <t>2CDS284001R0405</t>
  </si>
  <si>
    <t>S204P-B-50A</t>
  </si>
  <si>
    <t>ITM Riel-Din 4x50A - S204P-B-50A - 15kA@400Vac-IEC60947-2 - marca ABB.</t>
  </si>
  <si>
    <t>2CDS284001R0505</t>
  </si>
  <si>
    <t>S204P-B-63A</t>
  </si>
  <si>
    <t>ITM Riel-Din 4x63A - S204P-B-63A - 15kA@400Vac-IEC60947-2 - marca ABB.</t>
  </si>
  <si>
    <t>2CDS284001R0635</t>
  </si>
  <si>
    <t>S204P-C-10A</t>
  </si>
  <si>
    <t>ITM Riel-Din 4x10A - S204P-C-10A - 25kA@400Vac-IEC60947-2 - marca ABB.</t>
  </si>
  <si>
    <t>2CDS284001R0104</t>
  </si>
  <si>
    <t>ITM Riel-Din 4x50A - S204P-C-50A - 15kA@400Vac-IEC60947-2 - marca ABB.</t>
  </si>
  <si>
    <t>ITM Riel-Din 4x63A - S204P-C-63A - 15kA@400Vac-IEC60947-2 - marca ABB.</t>
  </si>
  <si>
    <t>OVR-T1_25-440_4P+N</t>
  </si>
  <si>
    <t>Protector contra sobretensiones (Tipo 1) - OVR-T1_25-440_1P - Un=400/690V,  Uc=440V, Up=2.5kV - I_impulso=25kA (4 unidades) - marca ABB.</t>
  </si>
  <si>
    <t>VLM-1-250/96</t>
  </si>
  <si>
    <t>Voltímetro analógico AC, U_med=0-250Vac, 96x96mm. - modelo VLM-1-250/96 - marca ABB.</t>
  </si>
  <si>
    <t>2CSG113180R4001</t>
  </si>
  <si>
    <t>AMT1-A1-40/96</t>
  </si>
  <si>
    <t>Amperímetro analógico AC, I_med=40A, 96x96mm. - modelo AMT1-A1-40/96 - marca ABB.</t>
  </si>
  <si>
    <t>2CSG313090R4001</t>
  </si>
  <si>
    <t>XT2S160-10A-3P-TMD</t>
  </si>
  <si>
    <t>ITM Caja Moldeada 3x10A (reg.[0.7-1.0] In) - XT2S160-16A-3P-TMD - 85kA@230Vac, 50kA@415Vac - marca ABB</t>
  </si>
  <si>
    <t>1SDA067548R1</t>
  </si>
  <si>
    <t>XT2S160-10A-4P-TMD</t>
  </si>
  <si>
    <t>ITM Caja Moldeada 4x10A (reg.[0.7-1.0] In) - XT2S160-20A-4P-TMD - 85kA@230Vac, 50kA@415Vac - marca ABB</t>
  </si>
  <si>
    <t>1SDA067569R1</t>
  </si>
  <si>
    <t>XT2S160-16A-4P-TMD</t>
  </si>
  <si>
    <t>ITM Caja Moldeada 4x16A (reg.[0.7-1.0] In) - XT2S160-20A-4P-TMD - 85kA@230Vac, 50kA@415Vac - marca ABB</t>
  </si>
  <si>
    <t>1SDA067571R1</t>
  </si>
  <si>
    <t>XT4H160-50A-3P-TMA</t>
  </si>
  <si>
    <t>ITM Caja Moldeada 3x50A (reg.[0.7-1.0] In) - XT4H160-50A-3P-TMA - 100kA@230V, 70kA@415V - marca ABB.</t>
  </si>
  <si>
    <t>1SDA068337R1</t>
  </si>
  <si>
    <t>XT4H160-80A-3P-TMA</t>
  </si>
  <si>
    <t>ITM Caja Moldeada 3x80A (reg.[0.7-1.0] In) - XT4H160-80A-3P-TMA - 100kA@230V, 70kA@415V - marca ABB.</t>
  </si>
  <si>
    <t>1SDA068339R1</t>
  </si>
  <si>
    <t>ITM Caja Moldeada 4x250A (electrónico [0.4-1.0] In) - XT4N250-250A-4P-Ekip LS/I - 65kA@230Vac, 36kA@415Vac - marca ABB.</t>
  </si>
  <si>
    <t>ITM Caja Moldeada 4x250A (electrónico [0.4-1.0] In) - XT4S250-250A-4P-Ekip LS/I - 85kA@230Vac, 50kA@415Vac - marca ABB.</t>
  </si>
  <si>
    <t>XT4N250-250A-4P-Ekip LSI</t>
  </si>
  <si>
    <t>ITM Caja Moldeada 4x250A (electrónico [0.4-1.0] In) - XT4N250-250A-4P-Ekip LSI - 65kA@230Vac, 36kA@415Vac - marca ABB.</t>
  </si>
  <si>
    <t>1SDA068157R1</t>
  </si>
  <si>
    <t>PLL_XT1-XT3_MOVIL</t>
  </si>
  <si>
    <t>Dispositivo para bloqueo por candado, extraible (bloqueo en posición abierto) - p/modelo XT1-XT3 - marca ABB (no inluye el candado ni llaves).</t>
  </si>
  <si>
    <t>1SDA066588R1</t>
  </si>
  <si>
    <t>FLD_XT1-XT3</t>
  </si>
  <si>
    <t>Frontal para bloqueo por candado, fijo en interruptor (bloqueo en posición abierto) - p/modelo XT1-XT3 - marca ABB (no inluye el candado ni llaves).</t>
  </si>
  <si>
    <t>1SDA066591R1</t>
  </si>
  <si>
    <t>FLD_XT2-XT4</t>
  </si>
  <si>
    <t>Frontal para bloqueo por candado, fijo en interruptor (bloqueo en posición abierto) - p/modelo XT2-XT4 - marca ABB (no inluye el candado ni llaves).</t>
  </si>
  <si>
    <t>1SDA066592R1</t>
  </si>
  <si>
    <t>1SDA054320R1</t>
  </si>
  <si>
    <t>T6L800-800A-3P-PR222DS/P-LSI</t>
  </si>
  <si>
    <t>ITM Caja Moldeada 3x800A (electrónico [0.4-1.0] In) - T6L800-800A-3P-PR222DS/P-LSI - 150kA@230Vac, 70kA@415Vac - marca ABB.</t>
  </si>
  <si>
    <t>1SDA060301R1</t>
  </si>
  <si>
    <t>T7H800-800A-4P-PR232/P-LSI</t>
  </si>
  <si>
    <t>ITM Caja Moldeada 4x800A (electrónico [0.4-1.0] In) - T7H800-800A-4P-PR232/P-LSI - 70kA@415Vac - marca ABB.</t>
  </si>
  <si>
    <t>1SDA062651R1</t>
  </si>
  <si>
    <t>E2.2S-2000A-3P-Ekip Dip LSI</t>
  </si>
  <si>
    <t>ITM Bastidor Abierto 3x2000A (electrónico [0.4-1.0] In) - E2.2S-2000A-3P-Ekip Dip LSI - 85kA@440Vac - marca ABB.</t>
  </si>
  <si>
    <t>1SDA071042R1</t>
  </si>
  <si>
    <t>E2.2B-2000A-3P-Ekip Touch LSI</t>
  </si>
  <si>
    <t>ITM Bastidor Abierto 3x2000A (electrónico [0.4-1.0] In) - E2.2B-2000A-3P-Ekip Touch LSI - 42kA@440Vac - marca ABB.</t>
  </si>
  <si>
    <t>1SDA071025R1</t>
  </si>
  <si>
    <t>E1.2B-1600A-4P-Ekip Touch LSIG</t>
  </si>
  <si>
    <t>ITM Bastidor Abierto 4x1600A (electrónico [0.4-1.0] In) - E1.2B-1600A-4P-Ekip Touch LSIG - 66kA@440Vac - marca ABB.</t>
  </si>
  <si>
    <t>1SDA071496R1</t>
  </si>
  <si>
    <t>E2.2N-1000A-4P-Ekip Touch LSI</t>
  </si>
  <si>
    <t>ITM Bastidor Abierto 4x1000A (electrónico [0.4-1.0] In) - E2.2N-1000A-4P-Ekip Touch LSI - 66kA@440Vac - marca ABB.</t>
  </si>
  <si>
    <t>1SDA071555R1</t>
  </si>
  <si>
    <t>E4.2N-3200A-3P-Ekip Touch LSIG</t>
  </si>
  <si>
    <t>ITM Bastidor Abierto 3x3200A (electrónico [0.4-1.0] In) - E4.2N-3200A-3P-Ekip Touch LSIG - 66kA@440Vac - marca ABB.</t>
  </si>
  <si>
    <t>1SDA071146R1</t>
  </si>
  <si>
    <t>E4.2S-3200A-4P-Ekip Touch LSI</t>
  </si>
  <si>
    <t>1SDA071785R1</t>
  </si>
  <si>
    <t>BASTIDOR ABIERTO EXTRAIBLE DE 3 x 5000A, Icu=85kA, tipo E2.2S</t>
  </si>
  <si>
    <t>E6.2H 5000 Ekip Hi-Touch LSI 3p WMP</t>
  </si>
  <si>
    <t>ITM Bastidor Abierto 3x5000A (electrónico [0.4-1.0] In) - E6.2H-5000A-3P-Ekip Hi Touch LSI - 100kA@440Vac - marca ABB.</t>
  </si>
  <si>
    <t>1SDA072615R1</t>
  </si>
  <si>
    <t>E6.2-5000A-3P_ext(FP)</t>
  </si>
  <si>
    <t>Parte fija de interruptor extraíble - Frame E6.2 N/S/H 3x5000A - marca ABB.</t>
  </si>
  <si>
    <t>1SDA073917R1</t>
  </si>
  <si>
    <t>BASTIDOR ABIERTO EXTRAIBLE DE 3 x 2500A, Icu=85kA, tipo E2.2S</t>
  </si>
  <si>
    <t xml:space="preserve">E2.2S 2500 Ekip Hi-Touch LSI 3p WMP    </t>
  </si>
  <si>
    <t>ITM Bastidor Abierto 3x2500A (electrónico [0.4-1.0] In) - E2.2S-2500A-3P-Ekip Hi Touch LSIG - 85kA@440Vac - marca ABB.</t>
  </si>
  <si>
    <t>1SDA072428R1</t>
  </si>
  <si>
    <t>E2.2-2500A-3P_ext(FP)</t>
  </si>
  <si>
    <t>Parte fija de interruptor extraíble - Frame E2.2 N/S/H 3x2500A - marca ABB.</t>
  </si>
  <si>
    <t>1SDA073911R1</t>
  </si>
  <si>
    <t>Seccionador Caja Moldeada XT1D Ith=3x160A, Ie=160A (AC22) / 125A (AC23), Icw(1s)=2kA - marca ABB.</t>
  </si>
  <si>
    <t>Seccionador Caja Moldeada XT3D Ith=3x250A, Ie = 250A (AC22) / 200A (AC23), Icw(1s)=3.6kA  - marca ABB.</t>
  </si>
  <si>
    <t>Seccionador Caja Moldeada  XT1D Ith=4x160A, Ie = 160A (AC22) / 125A (AC23), Icw(1s)=2kA, Icm_max=187kA  - marca ABB.</t>
  </si>
  <si>
    <t>Seccionador Caja Moldeada XT3D Ith=4x250A, Ie = 250A (AC22) / 200A (AC23), Icw(1s)=3.6kA, Icm_max=105kA  - marca ABB.</t>
  </si>
  <si>
    <t>T4D-320A-4P</t>
  </si>
  <si>
    <t>Seccionador Caja Moldeada In=3x320A, Ie=320A (AC22) / 320A (AC23), Icw(1s)=6kA - T4D-320A-3P - marca ABB.</t>
  </si>
  <si>
    <t>1SDA054597R1</t>
  </si>
  <si>
    <t>Seccionador Caja Moldeada In=4x320A, Ie=320A (AC22) / 320A (AC23), Icw(1s)=6kA - T4D-320A-4P - marca ABB.</t>
  </si>
  <si>
    <t>1SDA054598R1</t>
  </si>
  <si>
    <t>E2.2N-1000A-4P/MS</t>
  </si>
  <si>
    <t>Seccionador Bastidor Abierto Ie=4x1000A, Icw(1s)=66kA - E2.2N-1000A-4P/MS - marca ABB.</t>
  </si>
  <si>
    <t>1SDA073443R1</t>
  </si>
  <si>
    <t>E2.2N-1600A-4P/MS</t>
  </si>
  <si>
    <t>Seccionador Bastidor Abierto Ie=4x1600A, Icw(1s)=66kA - E2.2N-1600A-4P/MS - marca ABB.</t>
  </si>
  <si>
    <t>1SDA073448R1</t>
  </si>
  <si>
    <t>LED_VERDE_220V</t>
  </si>
  <si>
    <t>Lámpara tipo LED montable - color Verde - alimentacion: 220-230Vac - MLBL-07G - línea modular - marca ABB.</t>
  </si>
  <si>
    <t>1SFA611621R1072</t>
  </si>
  <si>
    <t>VV-ACS580-P/30kW</t>
  </si>
  <si>
    <t>VARIADOR DE VELOCIDAD 30kW - 380V/480V (IP21) - MODELO ACS580-01-062A-4+J400 - marca ABB.</t>
  </si>
  <si>
    <t>74612849</t>
  </si>
  <si>
    <t>NOCH0070-60</t>
  </si>
  <si>
    <t>Reactancia de Salida (Filtro du/dt). IP 00 - modelo NOCH0070-60, para ACS580 - marca ABB.</t>
  </si>
  <si>
    <t>ACS-AP-S</t>
  </si>
  <si>
    <t>Panel de control asistente con interface Bluetooth para ACS580 - modelo ACS-AP-S, marca ABB.</t>
  </si>
  <si>
    <t>3AUA0000064884</t>
  </si>
  <si>
    <t>VARIADOR DE VELOCIDAD 22kW/30HP - 380V/480V (IP21) - MODELO ACS355-03E-44A0-4 - marca ABB.</t>
  </si>
  <si>
    <t>VARIADOR DE VELOCIDAD 18.5kW/25HP - 380V/480V (IP21) - MODELO ACS355-03E-38A0-4 - marca ABB.</t>
  </si>
  <si>
    <t>VARIADOR DE VELOCIDAD 15kW/20HP - 380V/480V (IP21) - MODELO ACS355-03E-31A0-4 - marca ABB.</t>
  </si>
  <si>
    <t>VARIADOR DE VELOCIDAD 11kW/15HP - 380V/480V (IP21) - MODELO ACS355-03E-23A1-4 - marca ABB.</t>
  </si>
  <si>
    <t>VARIADOR DE VELOCIDAD 7.5kW/10HP - 380V/480V (IP21) - MODELO ACS355-03E-15A6-4 - marca ABB.</t>
  </si>
  <si>
    <t>VARIADOR DE VELOCIDAD 5.5kW/7.5HP - 380V/480V (IP21) - MODELO ACS355-03E-12A5-4 - marca ABB.</t>
  </si>
  <si>
    <t>VARIADOR DE VELOCIDAD 4kW/5HP - 380V/480V (IP21) - MODELO ACS355-03E-08A8-4 - marca ABB.</t>
  </si>
  <si>
    <t>VARIADOR DE VELOCIDAD 3.0kW/4.0HP - 380V/480V (IP21) - MODELO ACS355-03E-07A3-4 - marca ABB.</t>
  </si>
  <si>
    <t>VARIADOR DE VELOCIDAD 2.2kW/3.0HP - 380V/480V (IP21) - MODELO ACS355-03E-05A6-4 - marca ABB.</t>
  </si>
  <si>
    <t>VARIADOR DE VELOCIDAD 1.5kW/2.0HP - 380V/480V (IP21) - MODELO ACS355-03E-04A1-4 - marca ABB.</t>
  </si>
  <si>
    <t>VARIADOR DE VELOCIDAD 1.1kW/1.5HP - 380V/480V (IP21) - MODELO ACS355-03E-03A3-4 - marca ABB.</t>
  </si>
  <si>
    <t>VARIADOR DE VELOCIDAD 0.75kW/1.0HP - 380V/480V (IP21) - MODELO ACS355-03E-02A4-4 - marca ABB.</t>
  </si>
  <si>
    <t>VARIADOR DE VELOCIDAD 0.55kW/0.75HP - 380V/480V (IP21) - MODELO ACS355-03E-01A9-4 - marca ABB.</t>
  </si>
  <si>
    <t>VV-ACS355-P/0.37kW</t>
  </si>
  <si>
    <t>VARIADOR DE VELOCIDAD 0.37kW/0.5HP - 380V/480V (IP21) - MODELO ACS355-03E-01A2-4 - marca ABB.</t>
  </si>
  <si>
    <t>3AUA0000058182</t>
  </si>
  <si>
    <t>VV-ACS355-P/2.2kW-1F+N</t>
  </si>
  <si>
    <t>VARIADOR DE VELOCIDAD 2.2kW/3HP ACS355-200V/240V (IP20) - MODELO ACS355-01E-09A8-2 - marca ABB.</t>
  </si>
  <si>
    <t>3AUA0000058170</t>
  </si>
  <si>
    <t>CHK-D1</t>
  </si>
  <si>
    <t>Reactancia de Entrada de L=1mH, IP 00 - modelo CHK-D1, marca ABB</t>
  </si>
  <si>
    <t>VV-ACS355-P/1.5kW-1F+N</t>
  </si>
  <si>
    <t>VARIADOR DE VELOCIDAD 1.5kW/2HP ACS355-200V/240V (IP20) - MODELO ACS355-01E-07A5-2 - marca ABB.</t>
  </si>
  <si>
    <t>3AUA0000058169</t>
  </si>
  <si>
    <t>CHK-C1</t>
  </si>
  <si>
    <t>Reactancia de Entrada de L=1.2mH, IP 00 - modelo CHK-C1, marca ABB</t>
  </si>
  <si>
    <t>VV-ACS355-P/1.1kW-1F+N</t>
  </si>
  <si>
    <t>VARIADOR DE VELOCIDAD 1.1kW/1.5HP ACS355-200V/240V (IP20) - MODELO ACS355-01E-06A7-2 - marca ABB.</t>
  </si>
  <si>
    <t>3AUA0000058168</t>
  </si>
  <si>
    <t>VARIADOR DE VELOCIDAD 0.75kW/1HP ACS355-200V/240V (IP20) - MODELO ACS355-01E-04A7-2 - marca ABB.</t>
  </si>
  <si>
    <t>VV-ACS355-P/0.37kW-1F+N</t>
  </si>
  <si>
    <t>VARIADOR DE VELOCIDAD 0.37kW/0.5HP ACS355-200V/240V (IP20) - MODELO ACS355-01E-02A4-2 - marca ABB.</t>
  </si>
  <si>
    <t>3AUA0000058166</t>
  </si>
  <si>
    <t>CHK-A1</t>
  </si>
  <si>
    <t>Reactancia de Entrada de L=8mH, IP 00 - modelo CHK-A1, marca ABB</t>
  </si>
  <si>
    <t>Gabinete autosoportado - modelo IS2, TYPE 12 / IP65, RAL 7035 - 2100x600x600mm, con placa base y puerta ciega - marca ABB.</t>
  </si>
  <si>
    <t>Gabinete autosoportado - modelo IS2, TYPE 12 / IP65, RAL 7035 - 2100x800x600mm, con placa base y puerta ciega - marca ABB.</t>
  </si>
  <si>
    <t>Gabinete autosoportado - modelo IS2, TYPE 12 / IP65, RAL 7035 - 2100x600x800mm, con placa base y puerta ciega - marca ABB.</t>
  </si>
  <si>
    <t>Gabinete autosoportado - modelo IS2, TYPE 12 / IP65, RAL 7035 - 2100x800x800mm, con placa base y puerta ciega - marca ABB.</t>
  </si>
  <si>
    <t>Gabinete autosoportado - modelo IS2, TYPE 12 / IP65, RAL 7035 - 2100x1000x600mm, con placa base y puerta ciega traslapada - marca ABB.</t>
  </si>
  <si>
    <t>Gabinete autosoportado - modelo IS2, TYPE 12 / IP65, RAL 7035 - 2100x1000x800mm, con placa base y puerta ciega traslapada - marca ABB.</t>
  </si>
  <si>
    <t>Gabinete autosoportado - modelo IS2, TYPE 12 / IP65, RAL 7035 - 2100x1000x1000mm, con placa base y puerta ciega traslapada - marca ABB.</t>
  </si>
  <si>
    <t>Gabinete autosoportado - modelo IS2, TYPE 12 / IP65, RAL 7035 - 2100x1200x600mm (2 cuerpos), con placa base y puerta ciega - marca ABB.</t>
  </si>
  <si>
    <t>Gabinete autosoportado - modelo IS2, TYPE 12 / IP65, RAL 7035 - 2100x1200x800mm (2 cuerpos), con placa base y puerta ciega - marca ABB.</t>
  </si>
  <si>
    <t>Gabinete autosoportado - modelo IS2, TYPE 12 / IP65, RAL 7035 - 2100x1600x600mm (2 cuerpos), con placa base y puerta ciega - marca ABB.</t>
  </si>
  <si>
    <t>Gabinete autosoportado - modelo IS2, TYPE 12 / IP65, RAL 7035 - 2100x1600x800mm (2 cuerpos), con placa base y puerta ciega - marca ABB.</t>
  </si>
  <si>
    <t>Gabinete autosoportado - modelo IS2, TYPE 12 / IP65, RAL 7035 - 2100x600x600mm, con placa base y puerta transparente - marca ABB.</t>
  </si>
  <si>
    <t>Gabinete autosoportado - modelo IS2, TYPE 12 / IP65, RAL 7035 - 2100x800x600mm, con placa base y puerta transparente - marca ABB.</t>
  </si>
  <si>
    <t>Gabinete autosoportado - modelo IS2, TYPE 12 / IP65, RAL 7035 - 2100x600x800mm, con placa base y puerta transparente - marca ABB.</t>
  </si>
  <si>
    <t>Gabinete autosoportado - modelo IS2, TYPE 12 / IP65, RAL 7035 - 2100x800x800mm, con placa base y puerta transparente - marca ABB.</t>
  </si>
  <si>
    <t>ENCLOSUREBL.DOOR+PLATE 1200x800x300mm, COLOR RAL7035 - marca ABB.</t>
  </si>
  <si>
    <t>ENCLOSUREBL.DOOR+PLATE 1200x600x300mm, COLOR RAL7035 - marca ABB.</t>
  </si>
  <si>
    <t>ENCLOSUREBL.DOOR+PLATE 1000x800x300mm, COLOR RAL7035 - marca ABB.</t>
  </si>
  <si>
    <t>ENCLOSUREBL.DOOR+PLATE 1000x600x300mm, COLOR RAL7035 - marca ABB.</t>
  </si>
  <si>
    <t>ENCLOSUREBL.DOOR+PLATE 1000x600x250mm, COLOR RAL7035 - marca ABB.</t>
  </si>
  <si>
    <t>ENCLOSUREBL.DOOR+PLATE 800x800x300mm, COLOR RAL7035 - marca ABB.</t>
  </si>
  <si>
    <t>ENCLOSUREBL.DOOR+PLATE 800x600x300mm, COLOR RAL7035 - marca ABB.</t>
  </si>
  <si>
    <t>ENCLOSUREBL.DOOR+PLATE 800x600x250mm, COLOR RAL7035 - marca ABB.</t>
  </si>
  <si>
    <t>ENCLOSUREBL.DOOR+PLATE 700x500x250mm, COLOR RAL7035 - marca ABB.</t>
  </si>
  <si>
    <t>ENCLOSUREBL.DOOR+PLATE 700x500x200mm, COLOR RAL7035 - marca ABB.</t>
  </si>
  <si>
    <t>ENCLOSUREBL.DOOR+PLATE 600x600x250mm, COLOR RAL7035 - marca ABB.</t>
  </si>
  <si>
    <t>ENCLOSUREBL.DOOR+PLATE 600x400x250mm, COLOR RAL7035 - marca ABB.</t>
  </si>
  <si>
    <t>ENCLOSUREBL.DOOR+PLATE 600x400x200mm, COLOR RAL7035 - marca ABB.</t>
  </si>
  <si>
    <t>ENCLOSUREBL.DOOR+PLATE 500x400x250mm, COLOR RAL7035 - marca ABB.</t>
  </si>
  <si>
    <t>ENCLOSUREBL.DOOR+PLATE 500x400x200mm, COLOR RAL7035 - marca ABB.</t>
  </si>
  <si>
    <t>ENCLOSUREBL.DOOR+PLATE 500x300x200mm, COLOR RAL7035 - marca ABB.</t>
  </si>
  <si>
    <t>ENCLOSUREBL.DOOR+PLATE 400x600x200mm, COLOR RAL7035 - marca ABB.</t>
  </si>
  <si>
    <t>ENCLOSUREBL.DOOR+PLATE 400x400x200mm, COLOR RAL7035 - marca ABB.</t>
  </si>
  <si>
    <t>ENCLOSUREBL.DOOR+PLATE 400x300x200mm, COLOR RAL7035 - marca ABB.</t>
  </si>
  <si>
    <t>ENCLOSUREBL.DOOR+PLATE 400x300x150mm, COLOR RAL7035 - marca ABB.</t>
  </si>
  <si>
    <t>ENCLOSUREBL.DOOR+PLATE 300x400x150mm, COLOR RAL7035 - marca ABB.</t>
  </si>
  <si>
    <t>ENCLOSUREBL.DOOR+PLATE 300x300x150mm, COLOR RAL7035 - marca ABB.</t>
  </si>
  <si>
    <t>ENCLOSUREBL.DOOR+PLATE 300x200x150mm, COLOR RAL7035 - marca ABB.</t>
  </si>
  <si>
    <t>BASTIDOR PARA DISTRIBUCIÓN</t>
  </si>
  <si>
    <t>KD5040K</t>
  </si>
  <si>
    <t xml:space="preserve">Bastidor para distribución 14 mod. DIN x 2 filas, panel ciego, HxA=500x400mm - RAL 7035 - marca ABB.  </t>
  </si>
  <si>
    <t>KD6040K</t>
  </si>
  <si>
    <t xml:space="preserve">Bastidor para distribución 14 mod. DIN x 3 filas, panel ciego, HxA=600x400mm - RAL 7035 - marca ABB.  </t>
  </si>
  <si>
    <t>KD8060K</t>
  </si>
  <si>
    <t xml:space="preserve">Bastidor para distribución 25 mod. DIN x 4 filas, panel ciego, HxA=800x600mm - RAL 7035 - marca ABB.  </t>
  </si>
  <si>
    <t>KD1060K</t>
  </si>
  <si>
    <t xml:space="preserve">Bastidor para distribución 25 mod. DIN x 5 filas, panel ciego, HxA=1000x600mm - RAL 7035 - marca ABB.  </t>
  </si>
  <si>
    <t>KD1080K</t>
  </si>
  <si>
    <t xml:space="preserve">Bastidor para distribución 36 mod. DIN x 5 filas, panel ciego, HxA=1000x800mm - RAL 7035 - marca ABB.  </t>
  </si>
  <si>
    <t>KD1260K</t>
  </si>
  <si>
    <t xml:space="preserve">Bastidor para distribución 25 mod. DIN x 5 filas, panel ciego, HxA=1200x600mm - RAL 7035 - marca ABB.  </t>
  </si>
  <si>
    <t>KD1280K</t>
  </si>
  <si>
    <t xml:space="preserve">Bastidor para distribución 36 mod. DIN x 6 filas, panel ciego, HxA=1200x800mm - RAL 7035 - marca ABB.  </t>
  </si>
  <si>
    <t xml:space="preserve">PANELES CON BISAGRAS PARA EQUIPOS MODULARES </t>
  </si>
  <si>
    <t>(INCLUYENDO LOS SOPORTES DE MONTAJE DE CARRIL DIN)</t>
  </si>
  <si>
    <t>PM1414K</t>
  </si>
  <si>
    <t xml:space="preserve">Kit para 14 módulos, A= 400 mm, HxA=185x400mm - RAL 7035 - marca ABB.  </t>
  </si>
  <si>
    <t>PM1625K</t>
  </si>
  <si>
    <t xml:space="preserve">Kit para 25 módulos, A= 400 mm, HxA=185x600mm - RAL 7035 - marca ABB.  </t>
  </si>
  <si>
    <t>PANELES CIEGOS</t>
  </si>
  <si>
    <t>PC1406K</t>
  </si>
  <si>
    <t xml:space="preserve">Panel ciego, HxA=185x400mm - RAL 7035 - marca ABB.  </t>
  </si>
  <si>
    <t>PC1606K</t>
  </si>
  <si>
    <t xml:space="preserve">Panel ciego, HxA=185x600mm - RAL 7035 - marca ABB.  </t>
  </si>
  <si>
    <t>PC1806K</t>
  </si>
  <si>
    <t xml:space="preserve">Panel ciego, HxA=185x800mm - RAL 7035 - marca ABB.  </t>
  </si>
  <si>
    <t>PC2606K</t>
  </si>
  <si>
    <t xml:space="preserve">Panel ciego, HxA=370x600mm - RAL 7035 - marca ABB.  </t>
  </si>
  <si>
    <t>PC2806K</t>
  </si>
  <si>
    <t xml:space="preserve">Panel ciego, HxA=370x800mm - RAL 7035 - marca ABB.  </t>
  </si>
  <si>
    <t>PERFIL DIN (INCLUYE SOPORTES DE FIJACIÓN)</t>
  </si>
  <si>
    <t>GD4006</t>
  </si>
  <si>
    <t xml:space="preserve">Perfil DIN y soportes de fijación, Número de módulos= 14, A= 400 mm - marca ABB.  </t>
  </si>
  <si>
    <t>GD6006</t>
  </si>
  <si>
    <t xml:space="preserve">Perfil DIN y soportes de fijación, Número de módulos= 25, A= 600 mm - marca ABB.  </t>
  </si>
  <si>
    <t>GD8006</t>
  </si>
  <si>
    <t xml:space="preserve">Perfil DIN y soportes de fijación, Número de módulos= 36, A= 800 mm - marca ABB.  </t>
  </si>
  <si>
    <t>ADAPTADOR DE PROFUNDIDAD</t>
  </si>
  <si>
    <t>AP6001</t>
  </si>
  <si>
    <t xml:space="preserve">Adaptador de profundidad para Tmax XT1-XT3 A=600mm - marca ABB.  </t>
  </si>
  <si>
    <t>PLACA TMAX XT PARA PERFIL DIN</t>
  </si>
  <si>
    <t>Disponible con soporte incluido en el suministro del kit de perfil DIN</t>
  </si>
  <si>
    <t>AD3301</t>
  </si>
  <si>
    <t xml:space="preserve">Placa Tmax XT1 3P montado en perfil DIN - marca ABB.  </t>
  </si>
  <si>
    <t>AD3302</t>
  </si>
  <si>
    <t xml:space="preserve">Placa Tmax XT1 4P montado en perfil DIN - marca ABB.  </t>
  </si>
  <si>
    <t>AD3303</t>
  </si>
  <si>
    <t xml:space="preserve">Placa Tmax XT3 3P montado en perfil DIN - marca ABB.  </t>
  </si>
  <si>
    <t>AD3304</t>
  </si>
  <si>
    <t xml:space="preserve">Placa Tmax XT3 4P montado en perfil DIN - marca ABB.  </t>
  </si>
  <si>
    <t>BARRA DE NEUTRO O TIERRA</t>
  </si>
  <si>
    <t>AA8010</t>
  </si>
  <si>
    <t xml:space="preserve">Barras 20 x 5mm, 4 unidades, A= 1000 mm - marca ABB.  </t>
  </si>
  <si>
    <t>AA8011</t>
  </si>
  <si>
    <t xml:space="preserve">Soporte barras, 5 unidades - marca ABB.  </t>
  </si>
  <si>
    <t>PERFILES VERTICALES PARA ACCESORIOS</t>
  </si>
  <si>
    <t>TS6009</t>
  </si>
  <si>
    <t xml:space="preserve">Perfiles verticales para accesorios 2 unidades, H= 600 mm - marca ABB.  </t>
  </si>
  <si>
    <t>TS7009</t>
  </si>
  <si>
    <t xml:space="preserve">Perfiles verticales para accesorios 2 unidades, H= 700 mm - marca ABB.  </t>
  </si>
  <si>
    <t>TS8009</t>
  </si>
  <si>
    <t xml:space="preserve">Perfiles verticales para accesorios 2 unidades, H= 800 mm - marca ABB.  </t>
  </si>
  <si>
    <t>TAPAVENTANAS COLOR RAL7035</t>
  </si>
  <si>
    <t>AD1086</t>
  </si>
  <si>
    <t xml:space="preserve">L = 2000mm, color gis RAL7035 rugoso, 10 unidades - marca ABB.  </t>
  </si>
  <si>
    <t>AD1088</t>
  </si>
  <si>
    <t xml:space="preserve">L = 24 mód. DIN, color gis RAL7035 rugoso, 3 unidades - marca ABB.  </t>
  </si>
  <si>
    <t>AD1089</t>
  </si>
  <si>
    <t xml:space="preserve">L = 36 mód. DIN, color gis RAL7035 rugoso, 3 unidades - marca ABB.  </t>
  </si>
  <si>
    <t>SOPORTE PARA CANALETAS</t>
  </si>
  <si>
    <t>EV1131</t>
  </si>
  <si>
    <t xml:space="preserve">Soporte para canaletas en pulsadores Ø 22 mm, 100 unidades - marca ABB.  </t>
  </si>
  <si>
    <t>Contacto auxiliar y de alarma AA115RPK, para modelo HND, marca EATON.</t>
  </si>
  <si>
    <t>Jgo. de 3 terminales 3/0–400 (4), hasta 1200A,  (95-185m² ) para HND, marca EATON.</t>
  </si>
  <si>
    <t>HND3800T32W</t>
  </si>
  <si>
    <t>ITM de 3x50A - EGS + terminales internos p/ conexión,  65kA/240Vac. - 35kA/480Vac., marca EATON.</t>
  </si>
  <si>
    <t>SNT1RP11K</t>
  </si>
  <si>
    <t>Bobina de disparo SNT1RP11K para modelo FD, marca EATON.</t>
  </si>
  <si>
    <t>SNT3P11K</t>
  </si>
  <si>
    <t>Bobina de disparo SNT3P11K para modelo KD, marca EATON.</t>
  </si>
  <si>
    <t>JGS3225FAG</t>
  </si>
  <si>
    <t>ITM de 3x225A - JGS,  65kA@240Vac. - 35kA@480Vac. (UL), marca EATON.</t>
  </si>
  <si>
    <t>JGS3175FAG</t>
  </si>
  <si>
    <t>ITM de 3x175A - JGS,  65kA@240Vac. - 35kA@480Vac. (UL), marca EATON.</t>
  </si>
  <si>
    <t>JGS3150FAG</t>
  </si>
  <si>
    <t>ITM de 3x150A - JGS,  65kA@240Vac. - 35kA@480Vac. (UL), marca EATON.</t>
  </si>
  <si>
    <t>NGS310032E</t>
  </si>
  <si>
    <t>ITM de 3x1000A , ( Reg. 800-1000A ) NGS,  85kA-240Vac. - 50kA-480Vac - LSI - marca EATON.</t>
  </si>
  <si>
    <t>Terminal p/modelo NG, hasta 1200A, marca EATON</t>
  </si>
  <si>
    <t>BAB3020HS</t>
  </si>
  <si>
    <t>ITM de 3x20A - tornillo - BABH (Incluye bobina de disparo), 10kA / 240Vac. (UL), marca EATON.</t>
  </si>
  <si>
    <r>
      <rPr>
        <sz val="10"/>
        <color rgb="FF0000FF"/>
        <rFont val="Arial"/>
        <family val="2"/>
      </rPr>
      <t xml:space="preserve">Bobina de Disparo (impulso) </t>
    </r>
    <r>
      <rPr>
        <sz val="10"/>
        <color indexed="10"/>
        <rFont val="Arial"/>
        <family val="2"/>
      </rPr>
      <t>para BZM1..BZM3</t>
    </r>
    <r>
      <rPr>
        <sz val="10"/>
        <color rgb="FF0000FF"/>
        <rFont val="Arial"/>
        <family val="2"/>
      </rPr>
      <t xml:space="preserve"> - 230-240VAC, marca EATON.</t>
    </r>
  </si>
  <si>
    <r>
      <t xml:space="preserve">Contacto auxiliar NA </t>
    </r>
    <r>
      <rPr>
        <sz val="10"/>
        <color rgb="FFFF0000"/>
        <rFont val="Arial"/>
        <family val="2"/>
      </rPr>
      <t>para BZM1..BZM3, marca EATON.</t>
    </r>
  </si>
  <si>
    <r>
      <t xml:space="preserve">Contacto auxiliar NC </t>
    </r>
    <r>
      <rPr>
        <sz val="10"/>
        <color rgb="FFFF0000"/>
        <rFont val="Arial"/>
        <family val="2"/>
      </rPr>
      <t>para BZM1..BZM3, marca EATON.</t>
    </r>
  </si>
  <si>
    <t>410-QD1A-B0B16</t>
  </si>
  <si>
    <t>Contador de energía - Modelo CIRWATT B 410 - marca CIRCUTOR.</t>
  </si>
  <si>
    <t>Rotulado para TAG - Gabinete autosoportado.</t>
  </si>
  <si>
    <t>Dispositivo Protector de Sobretensión, para un sistema monofasico, 2 Hilos, 230V, Corriente de pico por fase de 50kA, modelo CVX, marca EATON.</t>
  </si>
  <si>
    <t>CVX050-240D</t>
  </si>
  <si>
    <t>Dispositivo Protector de Sobretensión, para un sistema trifasico, 3 Hilos, 230V, Corriente de pico por fase de 50kA, modelo CVX, marca EATON.</t>
  </si>
  <si>
    <t>SPD100460Y3K</t>
  </si>
  <si>
    <t>Protector contra Sobretensión Transitorio, Trifásico, corriente pico por fase de 100kA, 3 Hilos, Estrella, 460Vac, con LED de indicación de estado de cada fase, marca EATON.</t>
  </si>
  <si>
    <t>Tomacorriente industrial, 2P+T, 16A / 250V, Azul, 6H, empotrable, IP67 - (Ref: 1475) - marca MENNEKES.</t>
  </si>
  <si>
    <t>Enchufe industrial, 2P+T, 16A / 250V, Azul, 6H, IP67 - (Ref: 278) - marca MENNEKES.</t>
  </si>
  <si>
    <t>Tomacorriente industrial, 2P+T, 32A / 250V, Azul, 6H, empotrable, IP67 - (Ref: 1502) - marca MENNEKES.</t>
  </si>
  <si>
    <t>Enchufe industrial, 2P+T, 32A / 250V, Azul, 6H, IP67 - (Ref: 290) - marca MENNEKES.</t>
  </si>
  <si>
    <t>Tomacorriente industrial, 3P+T, 32A / 250V, Azul, 9H, empotrable, IP67 - (Ref: 1505) - marca MENNEKES.</t>
  </si>
  <si>
    <t>Enchufe industrial, 3P+T, 32A / 250V, Azul, 9H, IP67 - (Ref: 293) - marca MENNEKES.</t>
  </si>
  <si>
    <t>Tomacorriente industrial, 3P+N+T, 63A / 415V, Rojo, empotrable, IP67 - (Ref: 209A) - marca MENNEKES.</t>
  </si>
  <si>
    <t>Enchufe industrial, 3P+N+T, 63A / 415V, Rojo, IP67 - (Ref: 3325) - marca MENNEKES.</t>
  </si>
  <si>
    <t>Tomacorriente industrial, 3P+N+T, 32A / 415V, Rojo, empotrable, IP67 - (Ref: 240A) - marca MENNEKES.</t>
  </si>
  <si>
    <t>Enchufe industrial, 3P+N+T, 32A / 415V, Rojo, IP67 - (Ref: 300) - marca MENNEKES.</t>
  </si>
  <si>
    <t>760x760x300mm_4X</t>
  </si>
  <si>
    <t>Tablero mural en acero - modelo AE, NEMA 4X / IP66 - 760x760x300mm  - Ref.:1017.600 - marca RITTAL.</t>
  </si>
  <si>
    <t>760x600x210mm_4X</t>
  </si>
  <si>
    <t>Tablero mural en acero - modelo AE, NEMA 4X / IP66 - 760x600x210mm  - Ref.:1017.600 - marca RITTAL.</t>
  </si>
  <si>
    <t>Gabinete autosoportado - modelo TS 8, NEMA 12 / IP55, RAL 7035 - 2000x600x600mm - Ref.: 8606.500 - marca RITTAL.</t>
  </si>
  <si>
    <t>Gabinete autosoportado - modelo TS 8, NEMA 12 / IP55, RAL 7035 - 2000x800x600mm - Ref.: 8606.500 - marca RITTAL.</t>
  </si>
  <si>
    <t>Gabinete autosoportado - modelo TS 8, NEMA 12 / IP55, RAL 7035 - 2000x800x800mm - Ref.: 8808.500 - marca RITTAL.</t>
  </si>
  <si>
    <t>Gabinete autosoportado - modelo TS 8, NEMA 12 / IP55, RAL 7035 - 2000x1200x800mm - Ref.: 8208.500 - marca RITTAL.</t>
  </si>
  <si>
    <t>Gabinete autosoportado de acero inoxidable AISI 304 - modelo TS 8, NEMA 4X / IP66,  - 2000x800x600mm - Ref.: 8450.680 - marca RITTAL.</t>
  </si>
  <si>
    <t>TRAFO_2F_220-220V_100VA_Eaton</t>
  </si>
  <si>
    <t>Transformador de tensión monofásico 220 / 220 Vac - 100VA, modelo C0100E2CXX - Marca Eaton.</t>
  </si>
  <si>
    <t>TRAFO_2F_220-24V_100VA_Eaton</t>
  </si>
  <si>
    <t>Transformador de tensión monofásico 220 / 24 Vac - 100VA, modelo C0100E5B - Marca Eaton.</t>
  </si>
  <si>
    <t>TRAFO_2F_460-220V_1000VA_Eaton</t>
  </si>
  <si>
    <t>Transformador de tensión monofásico 460 / 220 Vac - 1000VA - Marca Eaton.</t>
  </si>
  <si>
    <t>TRAFO_3F_460-220V_5000VA_Eaton</t>
  </si>
  <si>
    <t>Transformador de tensión trifásico 460 / 220 Vac - 5000VA - Marca Eaton.</t>
  </si>
  <si>
    <t>PANEL_72x72</t>
  </si>
  <si>
    <t>WGC-20</t>
  </si>
  <si>
    <t>Toroide diferencial WGC-20 (nucleo cerrado) - diametro interior d=20mm S/relé, In_max=40A - marca CIRCUTOR.</t>
  </si>
  <si>
    <t>WGC-25</t>
  </si>
  <si>
    <t>Toroide diferencial WGC-25 (nucleo cerrado) - diametro interior d=25mm S/relé, In_max=50A - marca CIRCUTOR.</t>
  </si>
  <si>
    <t>WGC-30</t>
  </si>
  <si>
    <t>Toroide diferencial WGC-30 (nucleo cerrado) - diametro interior d=30mm S/relé, In_max=63A - marca CIRCUTOR.</t>
  </si>
  <si>
    <t>WGC-35</t>
  </si>
  <si>
    <t>Toroide diferencial WGC-35 (nucleo cerrado) - diametro interior d=35mm S/relé, In_max=100A - marca CIRCUTOR.</t>
  </si>
  <si>
    <t>WGC-55</t>
  </si>
  <si>
    <t>Toroide diferencial WGC-55 (nucleo cerrado) - diametro interior d=55mm S/relé, In_max=160A - marca CIRCUTOR.</t>
  </si>
  <si>
    <t>WGC-80</t>
  </si>
  <si>
    <t>Toroide diferencial WGC-80 (nucleo cerrado) - diametro interior d=80mm S/relé, In_max=250A - marca CIRCUTOR.</t>
  </si>
  <si>
    <t>WGC-110</t>
  </si>
  <si>
    <t>Toroide diferencial WGC-110 (nucleo cerrado) - diametro interior d=115mm S/relé, In_max=400A - marca CIRCUTOR.</t>
  </si>
  <si>
    <t>WGC-140</t>
  </si>
  <si>
    <t>Toroide diferencial WGC-140 (nucleo cerrado) - diametro interior d=140mm S/relé, In_max=800A - marca CIRCUTOR.</t>
  </si>
  <si>
    <t>WGC-180</t>
  </si>
  <si>
    <t>Toroide diferencial WGC-180 (nucleo cerrado) - diametro interior d=180mm S/relé, In_max=1250A - marca CIRCUTOR.</t>
  </si>
  <si>
    <t>WGC-220x105</t>
  </si>
  <si>
    <t>Toroide diferencial con nucleo cerrado, tipo WGC-220x105, Sección útil: 220x115 (mm) S/relé, In_max=2500A - marca CIRCUTOR.</t>
  </si>
  <si>
    <t>Toroide diferencial con nucleo cerrado, tipo WGC-350x150, Sección útil: 350x150 (mm) S/relé, In_max=3200A - marca CIRCUTOR.</t>
  </si>
  <si>
    <t>Toroide diferencial con nucleo cerrado, tipo WGC-500x200, Sección útil: 500x200 (mm) S/relé, In_max=4000A - marca CIRCUTOR.</t>
  </si>
  <si>
    <t>ACCES_MONTAJE_WGCx5</t>
  </si>
  <si>
    <t>1SLM004100A1207</t>
  </si>
  <si>
    <t>Tablero termoplástico tapas transparentes 36 módulos 3 filas</t>
  </si>
  <si>
    <t>ER103C40</t>
  </si>
  <si>
    <t>ITM de 3x40A - ER102C40 - marca EATON - cod.: 11M154</t>
  </si>
  <si>
    <t>ER103C20</t>
  </si>
  <si>
    <t>ITM de 3x20A - ER103C20 - marca EATON - cod.: 11M151</t>
  </si>
  <si>
    <t>ER102C40</t>
  </si>
  <si>
    <t>ITM de 2x40A - ER102C40 - marca EATON - cod.: 11M134</t>
  </si>
  <si>
    <t>ER102C20</t>
  </si>
  <si>
    <t>ITM de 2x20A - ER102C20 - marca EATON - cod.: 11M131</t>
  </si>
  <si>
    <t>ER102C16</t>
  </si>
  <si>
    <t>ITM de 2x16A - ER102C16 - marca EATON - cod.: 11M130</t>
  </si>
  <si>
    <t>Subpanel - 1: (Conexionado por colectores tipo peine)</t>
  </si>
  <si>
    <t>Panel:</t>
  </si>
  <si>
    <t>ONV3PB</t>
  </si>
  <si>
    <t>Conmutador Voltimetrico, modelo ONV3PB - 0, L1-L2, L2-L3, L3-L1 - marca ABB.</t>
  </si>
  <si>
    <t>1SCA022533R5680</t>
  </si>
  <si>
    <t>ONAU31PB</t>
  </si>
  <si>
    <t>Conmutador Amperimetrico, modelo ONAU31PB - marca ABB.</t>
  </si>
  <si>
    <t>1SCA022533R5840</t>
  </si>
  <si>
    <t>A1N/P125-80A-1P-TMF</t>
  </si>
  <si>
    <t>ITM Caja Moldeada 1x80A - A1N/P125-80A-1P-TMF - 25kA@230V, 5kA@400V - marca ABB.</t>
  </si>
  <si>
    <t>1SDA066693R1</t>
  </si>
  <si>
    <t>A1B125-16A-3P-TMF</t>
  </si>
  <si>
    <t>ITM Caja Moldeada 3x16A - A1B125-16A-3P-TMF - 25kA@230Vac, 18kA@400Vac - marca ABB.</t>
  </si>
  <si>
    <t>1SDA068747R1</t>
  </si>
  <si>
    <t>A1C125-16A-3P-TMF</t>
  </si>
  <si>
    <t>ITM Caja Moldeada 3x16A - A1C125-16A-3P-TMF - 30kA@230Vac, 25kA@400Vac, 5kA@125Vdc - marca ABB.</t>
  </si>
  <si>
    <t>1SDA068748R1</t>
  </si>
  <si>
    <t>A1N125-15A-3P-TMF</t>
  </si>
  <si>
    <t>ITM Caja Moldeada 3x15A - A1N125-15A-3P-TMF - 50kA@230V, 36kA@400V - marca ABB.</t>
  </si>
  <si>
    <t>1SDA066721R1</t>
  </si>
  <si>
    <t>A1N125-16A-3P-TMF</t>
  </si>
  <si>
    <t>ITM Caja Moldeada 3x16A - A1N125-16A-3P-TMF - 50kA@230V, 36kA@400V - marca ABB.</t>
  </si>
  <si>
    <t>1SDA068749R1</t>
  </si>
  <si>
    <t>A1B125-16A-4P-TMF</t>
  </si>
  <si>
    <t>ITM Caja Moldeada 4x16A - A1B125-16A-4P-TMF - 25kA@230Vac, 18kA@400Vac - marca ABB.</t>
  </si>
  <si>
    <t>1SDA068751R1</t>
  </si>
  <si>
    <t>A1C125-16A-4P-TMF</t>
  </si>
  <si>
    <t>ITM Caja Moldeada 4x16A - A1C125-16A-3P-TMF - 30kA@230Vac, 25kA@400Vac, 10kA@250Vdc - marca ABB.</t>
  </si>
  <si>
    <t>1SDA068752R1</t>
  </si>
  <si>
    <t>A1N125-16A-4P-TMF</t>
  </si>
  <si>
    <t>ITM Caja Moldeada 4x16A - A1N125-16A-4P-TMF - 50kA@230V, 36kA@400V - marca ABB.</t>
  </si>
  <si>
    <t>1SDA066757R1</t>
  </si>
  <si>
    <t>A1N125-125A-4P-TMF</t>
  </si>
  <si>
    <t>ITM Caja Moldeada 4x125A - A1N125-125A-4P-TMF - 50kA@230V, 36kA@400V - marca ABB.</t>
  </si>
  <si>
    <t>1SDA066768R1</t>
  </si>
  <si>
    <t>RHE_A1-A2</t>
  </si>
  <si>
    <t>Mando giratorio reenviado - RHE (sobre puerta) p/modelo A1-A2, marca ABB.</t>
  </si>
  <si>
    <t>1SDA066158R1</t>
  </si>
  <si>
    <t>RHE_A3</t>
  </si>
  <si>
    <t>Mando giratorio reenviado - RHE (sobre puerta) p/modelo A3, marca ABB.</t>
  </si>
  <si>
    <t>1SDA066159R1</t>
  </si>
  <si>
    <t>Dispositivo para bloqueo por candado, fijo en interruptor (bloqueo en posición abierto) p/ modelo A1-A2 / 3-4p  - modelo PLL_A1-A2 - marca ABB (no inluye el candado ni llaves).</t>
  </si>
  <si>
    <t>PLL_A1-A2_O/C</t>
  </si>
  <si>
    <t>Dispositivo para bloqueo por candado, fijo en interruptor (bloqueo en posición abierto/cerrado) p/ modelo A1-A2 / 3-4p - modelo PLL_A1-A2_O/C - marca ABB (no inluye el candado ni llaves).</t>
  </si>
  <si>
    <t xml:space="preserve">XT2H 160 Ekip LSI In=100A 4p F F       </t>
  </si>
  <si>
    <t>ITM Caja Moldeada 4x100A (reg.[0.7-1.0] In) - XT2S160-100A-4P-LSI - 100kA@230Vac, 70kA@415Vac - marca ABB.</t>
  </si>
  <si>
    <t>1SDA067905R1</t>
  </si>
  <si>
    <t xml:space="preserve">XT2S 160 Ekip LSI In=100A 4p F F       </t>
  </si>
  <si>
    <t>ITM Caja Moldeada 4x100A (reg.[0.7-1.0] In) - XT2S160-100A-4P-LSI - 85kA@230Vac, 50kA@415Vac - marca ABB.</t>
  </si>
  <si>
    <t>1SDA067848R1</t>
  </si>
  <si>
    <t xml:space="preserve">XT4H 160 Ekip LSI In=160A 4p F F       </t>
  </si>
  <si>
    <t>ITM Caja Moldeada 4x160A (reg.[0.7-1.0] In) - XT4H160-160A-4P-LSI - 100kA@230Vac, 70kA@415Vac - marca ABB.</t>
  </si>
  <si>
    <t>1SDA068544R1</t>
  </si>
  <si>
    <t xml:space="preserve">XT4S 160 Ekip LSI In=160A 4p F F       </t>
  </si>
  <si>
    <t>ITM Caja Moldeada 4x160A (reg.[0.7-1.0] In) - XT4S160-160A-4P-LSI - 85kA@230Vac, 50kA@415Vac - marca ABB.</t>
  </si>
  <si>
    <t>1SDA068504R1</t>
  </si>
  <si>
    <t xml:space="preserve">XT4H 250 Ekip LSI In=250A 4p F F       </t>
  </si>
  <si>
    <t>ITM Caja Moldeada 4x250A (reg.[0.7-1.0] In) - XT4H250-250A-4P-LSI - 100kA@230Vac, 70kA@415Vac, 50kA@500Vdc - marca ABB.</t>
  </si>
  <si>
    <t>1SDA068545R1</t>
  </si>
  <si>
    <t>T5N400-400A-3P-PR221DS-I</t>
  </si>
  <si>
    <t>1SDA054319R1</t>
  </si>
  <si>
    <t xml:space="preserve">T5H 400 PR222DS/P-LSI In=400 4p F F    </t>
  </si>
  <si>
    <t>ITM Caja Moldeada 4x400A (electrónico [0.4-1.0] In) - T5H400-400A-4P--LSI - 85kA@230Vac, 50kA@415Vac - marca ABB.</t>
  </si>
  <si>
    <t xml:space="preserve">T5S 400 PR222DS/P-LSI In=400 4p F F    </t>
  </si>
  <si>
    <t>ITM Caja Moldeada 4x400A (electrónico [0.4-1.0] In) - T5S400-400A-4P--LSI - 85kA@230Vac, 50kA@415Vac - marca ABB.</t>
  </si>
  <si>
    <t xml:space="preserve">T6H 800 PR222DS/P-LSI In=800 4p F F    </t>
  </si>
  <si>
    <t>ITM Caja Moldeada 4x800A (electrónico [0.4-1.0] In) - T6H800-800A-4P-LSI - 100kA@230Vac, 70kA@415Vac - marca ABB.</t>
  </si>
  <si>
    <t>1SDA060296R1</t>
  </si>
  <si>
    <t xml:space="preserve">T7H 1600 PR232/P LSI In=1600A 4p F F   </t>
  </si>
  <si>
    <t>ITM Caja Moldeada 4x1600A (electrónico [0.4-1.0] In) - T7H1600-1600A-4P-LSI - 70kA@415Vac - marca ABB.</t>
  </si>
  <si>
    <t>1SDA063035R1</t>
  </si>
  <si>
    <t xml:space="preserve">T7S 1600 PR232/P LSI In=1600A 4p F F   </t>
  </si>
  <si>
    <t>ITM Caja Moldeada 4x1600A (electrónico [0.4-1.0] In) - T7S1600-1600A-4P-LSI - 50kA@415Vac - marca ABB.</t>
  </si>
  <si>
    <t xml:space="preserve">T7H 1000 PR232/P LSI In=1000A 4p F F   </t>
  </si>
  <si>
    <t>ITM Caja Moldeada 4x1000A (electrónico [0.4-1.0] In) - T7H1000-1000A-4P-LSI - 70kA@415Vac - marca ABB.</t>
  </si>
  <si>
    <t>1SDA062779R1</t>
  </si>
  <si>
    <t>T7S1600-1600A-4P-PR331/P LSIG</t>
  </si>
  <si>
    <t>ITM Caja Moldeada 4x1600A (electrónico [0.4-1.0] In) - T7S1600-1600A-4P-PR331/P LSIG - 50kA@415Vac - marca ABB.</t>
  </si>
  <si>
    <t>1SDA063004R1</t>
  </si>
  <si>
    <t>Mando giratorio directo RHD normal para fijo y enchufable - T4/T5 - marca ABB.</t>
  </si>
  <si>
    <t>E1.2B-1600A-3P-Ekip Touch LSI</t>
  </si>
  <si>
    <t>ITM Bastidor Abierto 3x1600A (electrónico [0.4-1.0] In) - E1.2B-1600A-3P-Ekip Touch LSI - 42kA@440Vac - marca ABB.</t>
  </si>
  <si>
    <t>1SDA070865R1</t>
  </si>
  <si>
    <t>E2.2B-1600A-3P-Ekip Touch LSI</t>
  </si>
  <si>
    <t>ITM Bastidor Abierto 3x1600A (electrónico [0.4-1.0] In) - E2.2B-1600A-3P-Ekip Touch LSI - 42kA@440Vac - marca ABB.</t>
  </si>
  <si>
    <t>1SDA070985R1</t>
  </si>
  <si>
    <t>E2.2N-2500A-3P-Ekip Touch LSIG</t>
  </si>
  <si>
    <t xml:space="preserve">E2.2S 1600 Ekip Touch LSI 4p WMP    </t>
  </si>
  <si>
    <t>1SDA072985R1</t>
  </si>
  <si>
    <t xml:space="preserve">E2.2S 2500 Ekip Touch LSI 4p WMP    </t>
  </si>
  <si>
    <t>1SDA073055R1</t>
  </si>
  <si>
    <t>SWITCH_I-0_3p_25A</t>
  </si>
  <si>
    <t>Conmutador de fuerza (I-0), 3p, 25A (AC21), modelo ONWS3PB - marca ABB.</t>
  </si>
  <si>
    <t>1SCA022532R9440</t>
  </si>
  <si>
    <t>AF205-30-00-13_3p</t>
  </si>
  <si>
    <t>Contactor 3x205A(AC-3) / 3x350A(AC-1) - AF205-30-00-13 - bobina 100-250Vac/dc - marca ABB.</t>
  </si>
  <si>
    <t>1SFL527002R1300</t>
  </si>
  <si>
    <t>AF400-30-11-70_3p</t>
  </si>
  <si>
    <t>Contactor 3x400A(AC-3) / 3x600A(AC-1) - AF400-30-11-70 - bobina 100-250Vac/dc - marca ABB.</t>
  </si>
  <si>
    <t>1SFL577001R7011</t>
  </si>
  <si>
    <t>PS2-2-2-125</t>
  </si>
  <si>
    <t>Busbar para 2 guardamotores (con espacio p/ 2 bloques laterales) p/ modelo MS165 - modelo PS2-2-2-125 - marca ABB.</t>
  </si>
  <si>
    <t>1SAM401920R1022</t>
  </si>
  <si>
    <t>PS2-3-2-125</t>
  </si>
  <si>
    <t>1SAM401920R1023</t>
  </si>
  <si>
    <t>PS2-4-2-125</t>
  </si>
  <si>
    <t>Busbar para 4 guardamotores (con espacio p/ 2 bloques laterales) p/ modelo MS165 - modelo PS2-4-2-125 - marca ABB.</t>
  </si>
  <si>
    <t>1SAM401920R1024</t>
  </si>
  <si>
    <t>VV-ACS310-P/0.75kW</t>
  </si>
  <si>
    <t>Variador de velocidad ACS310, 0.75kW Trifásico, 380 - 480Volt, IP20</t>
  </si>
  <si>
    <t>3AUA0000039627</t>
  </si>
  <si>
    <t>VV-ACS310-P/1.1kW</t>
  </si>
  <si>
    <t>Variador de velocidad ACS310, 1.1kW Trifásico, 380 - 480Volt, IP20</t>
  </si>
  <si>
    <t>3AUA0000039628</t>
  </si>
  <si>
    <t>VV-ACS310-P/1.5kW</t>
  </si>
  <si>
    <t>Variador de velocidad ACS310, 1.5kW Trifásico, 380 - 480Volt, IP20</t>
  </si>
  <si>
    <t>3AUA0000039629</t>
  </si>
  <si>
    <t>3AUA0000039633</t>
  </si>
  <si>
    <t>Kit para el montaje del panel de control en la puerta del tablero ACS310/350/355/550</t>
  </si>
  <si>
    <t>1SDA069720R1</t>
  </si>
  <si>
    <t>1SDA069721R1</t>
  </si>
  <si>
    <t>1SDA069722R1</t>
  </si>
  <si>
    <t>1SDA069723R1</t>
  </si>
  <si>
    <t>1SDA069724R1</t>
  </si>
  <si>
    <t>1SDA069725R1</t>
  </si>
  <si>
    <t>1SDA069726R1</t>
  </si>
  <si>
    <t>1SDA069727R1</t>
  </si>
  <si>
    <t>1SDA069728R1</t>
  </si>
  <si>
    <t>1SDA069729R1</t>
  </si>
  <si>
    <t>1SDA069730R1</t>
  </si>
  <si>
    <t>1SDA069742R1</t>
  </si>
  <si>
    <t>1SDA069743R1</t>
  </si>
  <si>
    <t>1SDA069744R1</t>
  </si>
  <si>
    <t>1SDA069745R1</t>
  </si>
  <si>
    <t>1SDA069746R1</t>
  </si>
  <si>
    <t>1SDA069747R1</t>
  </si>
  <si>
    <t>1SDA069748R1</t>
  </si>
  <si>
    <t>1SDA069749R1</t>
  </si>
  <si>
    <t>1SDA069750R1</t>
  </si>
  <si>
    <t>1SDA069751R1</t>
  </si>
  <si>
    <t>1SDA069752R1</t>
  </si>
  <si>
    <t>1SDA069731R1</t>
  </si>
  <si>
    <t>1SDA069732R1</t>
  </si>
  <si>
    <t>1SDA069733R1</t>
  </si>
  <si>
    <t>1SDA069734R1</t>
  </si>
  <si>
    <t>1SDA069735R1</t>
  </si>
  <si>
    <t>1SDA069736R1</t>
  </si>
  <si>
    <t>1SDA069737R1</t>
  </si>
  <si>
    <t>1SDA069738R1</t>
  </si>
  <si>
    <t>1SDA069739R1</t>
  </si>
  <si>
    <t>1SDA069740R1</t>
  </si>
  <si>
    <t>1SDA069741R1</t>
  </si>
  <si>
    <t>1SDA069783R1</t>
  </si>
  <si>
    <t>1SDA069784R1</t>
  </si>
  <si>
    <t>1SDA069786R1</t>
  </si>
  <si>
    <t>2(Q) contacto conmutado NA/NC + 1(SY) contacto por disparo de interruptor, versión cableada - A2 (2p) - marca ABB.</t>
  </si>
  <si>
    <t>2Q+1SY_A1-A2(3p)_UL</t>
  </si>
  <si>
    <t>2(Q) contacto conmutado NA/NC + 1(SY) contacto por disparo de interruptor, versión cableada - A1..A2 (3p) - marca ABB.</t>
  </si>
  <si>
    <t>ITM de 3x800A , ( Reg. 400-800A ) HND,  100kA-240Vac. / 65kA-480Vac. - LSI - marca EATON.</t>
  </si>
  <si>
    <t>HND312T32W</t>
  </si>
  <si>
    <t>ITM de 3x1000A , ( Reg. 500-1000A ) HND,  100kA-240Vac. / 65kA-480Vac. - LSI - marca EATON.</t>
  </si>
  <si>
    <t>KYK4</t>
  </si>
  <si>
    <t>Bloqueo por candado Kirk key para interruptor ND</t>
  </si>
  <si>
    <t>KYK3</t>
  </si>
  <si>
    <t>Bloqueo por candado Kirk key para interruptor KD</t>
  </si>
  <si>
    <t>JGE316036G</t>
  </si>
  <si>
    <t>ITM de 3x160A - JGE (Reg.80-150A) relé electrónico LSIG, 100kA@240Vac. - 25kA@480Vac. (UL), marca EATON.</t>
  </si>
  <si>
    <t>ITM de 3x200A - JGE, 100kA@240Vac. - 25kA@480Vac. (UL), marca EATON.</t>
  </si>
  <si>
    <t>JGE325036G</t>
  </si>
  <si>
    <t>ITM de 3x250A - JGE (Reg.125-250A) relé electrónico LSIG, 100kA@240Vac. - 25kA@480Vac. (UL), marca EATON.</t>
  </si>
  <si>
    <t>MAGNUM 2000()_50kA</t>
  </si>
  <si>
    <t>MAGNUM 2000()_4P_50kA</t>
  </si>
  <si>
    <t>ITM Bastidor Abierto de 4x2000A , ( Reg. 0.4-1.0 de In ) MWN Magnum, 50kA@415Vac. + contactos de estado + contacto de alarma - marca EATON.</t>
  </si>
  <si>
    <t>mRCM-40/2/03-A-MW</t>
  </si>
  <si>
    <t>Interruptor Diferencial de 2x40A - mRCM , 300mA, clase A , marca EATON.</t>
  </si>
  <si>
    <t>mRCM-25/2/03-A-MW</t>
  </si>
  <si>
    <t>Interruptor Diferencial de 2x25A - mRCM , 300mA, clase A , marca EATON.</t>
  </si>
  <si>
    <t>PM5330</t>
  </si>
  <si>
    <t>El Reemplazo de los medidores son:</t>
  </si>
  <si>
    <t>PM870 y PM850 = METSEPM8240 (PM8240)</t>
  </si>
  <si>
    <t>PM820 y PM810 = METSEPM5560 (PM5560)</t>
  </si>
  <si>
    <t xml:space="preserve">PM710 = METSEPM5330 (PM5330) para comunicación Modbus RS485 </t>
  </si>
  <si>
    <t>CVX050-230L</t>
  </si>
  <si>
    <t>SPC050415Y2P</t>
  </si>
  <si>
    <t>SPD250400Y3K</t>
  </si>
  <si>
    <t>SPD100400Y3K</t>
  </si>
  <si>
    <t>Dispositivo Protector de Sobretensión, Trifásico, 4 Hilos, 400/230V, Corriente de pico por fase de 100kA, Indicadores LED de estado de la protección, modelo SPD, marca EATON.</t>
  </si>
  <si>
    <t>DRX 3P-60A</t>
  </si>
  <si>
    <t>ITM Caja Moldeada 3x60A - DRX - 25kA@230Vac - marca Bticino.</t>
  </si>
  <si>
    <t>DRX 3P-50A</t>
  </si>
  <si>
    <t>ITM Caja Moldeada 3x50A - DRX - 25kA@230Vac - marca Bticino.</t>
  </si>
  <si>
    <t>FN820/C16</t>
  </si>
  <si>
    <t>ITM Riel-Din 2x16A - FN820 (NEW BTDIN) - 10kA@220Vac-IEC60947-2 - marca Bticino.</t>
  </si>
  <si>
    <t>FN820YC16</t>
  </si>
  <si>
    <t>FN820/C20</t>
  </si>
  <si>
    <t>ITM Riel-Din 2x20A - FN820 (NEW BTDIN) - 10kA@220Vac-IEC60947-2 - marca Bticino.</t>
  </si>
  <si>
    <t>FN820YC20</t>
  </si>
  <si>
    <t>FN820/C25</t>
  </si>
  <si>
    <t>ITM Riel-Din 2x25A - FN820 (NEW BTDIN) - 10kA@220Vac-IEC60947-2 - marca Bticino.</t>
  </si>
  <si>
    <t>FN820YC25</t>
  </si>
  <si>
    <t>FN820/C32</t>
  </si>
  <si>
    <t>ITM Riel-Din 2x32A - FN820 (NEW BTDIN) - 10kA@220Vac-IEC60947-2 - marca Bticino.</t>
  </si>
  <si>
    <t>FN820YC32</t>
  </si>
  <si>
    <t>FN830/C50</t>
  </si>
  <si>
    <t>ITM Riel-Din 3x50A - FN830 (NEW BTDIN) - 10kA@220Vac-IEC60947-2 - marca Bticino.</t>
  </si>
  <si>
    <t>FN830YC50</t>
  </si>
  <si>
    <t>G7230/25AC</t>
  </si>
  <si>
    <t>Interruptor Diferencial 2x25A - 30mA - clase AC - G7230 (NEW SALVAVITA) - marca Bticino.</t>
  </si>
  <si>
    <t>G7230AC25</t>
  </si>
  <si>
    <t>G7230/40AC</t>
  </si>
  <si>
    <t>Interruptor Diferencial 2x40A - 30mA - clase AC - G7230 (NEW SALVAVITA) - marca Bticino.</t>
  </si>
  <si>
    <t>G7230AC40</t>
  </si>
  <si>
    <t>G7430/63AC</t>
  </si>
  <si>
    <t>Interruptor Diferencial 4x63A - 30mA - clase AC - G7430 (NEW SALVAVITA) - marca Bticino.</t>
  </si>
  <si>
    <t>G7430AC63</t>
  </si>
  <si>
    <t>TRAFO_2F_220-120V_160VA</t>
  </si>
  <si>
    <t>Transformador de tensión monofásico 220 / 120 Vac - 160VA.</t>
  </si>
  <si>
    <t>RM ST40 3Y2</t>
  </si>
  <si>
    <t>Protector contra Sobretensión Transitorio 3F+N+T , Ue=380/220Vac, corriente pico por fase 40kA - marca SINE TAMMER.</t>
  </si>
  <si>
    <t>S201-C-6A</t>
  </si>
  <si>
    <t>ITM Riel-Din 1x6A - S201-C-10A - 10kA@230Vac-IEC60947-2 - marca ABB.</t>
  </si>
  <si>
    <t>2CJB120220Y0000</t>
  </si>
  <si>
    <t>Supresor contra sobretensiones (Tipo 1, UL 1449) - OVRHSP2002203Y - I_max=200kA por fase, Un=220/380V,  MCOV=320V (L-N), VPR=1.0kV (L-N) - marca ABB.</t>
  </si>
  <si>
    <t>YO_A1-A2_120V</t>
  </si>
  <si>
    <t>Bobina de apertura (YO) - A1..A2 - SOR versión no cableada - 110-125V AC/DC - marca ABB.</t>
  </si>
  <si>
    <t>1SDA066136R1</t>
  </si>
  <si>
    <t>YO_A3_120V</t>
  </si>
  <si>
    <t>Bobina de apertura (YO) - A3 - SOR versión no cableada - 110-125V AC/DC - marca ABB.</t>
  </si>
  <si>
    <t>1SDA054872R1</t>
  </si>
  <si>
    <t>XT2N160-63A-3P-Ekip LSIG</t>
  </si>
  <si>
    <t>ITM Caja Moldeada 3x63A (electrónico [0.4-1.0] In) - XT2N160-63A-3P-Ekip LSIG - 65kA@230Vac, 36kA@415Vac - marca ABB.</t>
  </si>
  <si>
    <t>1SDA067074R1</t>
  </si>
  <si>
    <t>XT2N160-100A-3P-Ekip LSIG</t>
  </si>
  <si>
    <t>ITM Caja Moldeada 3x100A (electrónico [0.4-1.0] In) - XT2N160-100A-3P-Ekip LSIG - 65kA@230Vac, 36kA@415Vac - marca ABB.</t>
  </si>
  <si>
    <t>1SDA067075R1</t>
  </si>
  <si>
    <t>XT2N160-160A-3P-Ekip LSIG</t>
  </si>
  <si>
    <t>ITM Caja Moldeada 3x160A (electrónico [0.4-1.0] In) - XT2N160-160A-3P-Ekip LSIG - 65kA@230Vac, 36kA@415Vac - marca ABB.</t>
  </si>
  <si>
    <t>1SDA067076R1</t>
  </si>
  <si>
    <t>PR222DS/PD-LSI-T4-4P-250A</t>
  </si>
  <si>
    <t>Rele electrónico de protección PR222DS/PD-LSI para Tmax T4 - 4P - 250A - marca ABB.</t>
  </si>
  <si>
    <t>1SDA054643R1</t>
  </si>
  <si>
    <t>PR222DS/PD-LSI-T5-4P-400A</t>
  </si>
  <si>
    <t>Rele electrónico de protección PR222DS/PD-LSI para Tmax T5 - 4P - 400A - marca ABB.</t>
  </si>
  <si>
    <t>T4N250-250A-3P-PR222DS/P-LSI</t>
  </si>
  <si>
    <t>ITM Caja Moldeada 3x250A (electrónico [0.4-1.0] In) - T4N250-250A-3P-PR222DS/P-LSI - 70kA@230Vac, 36kA@415Vac - marca ABB.</t>
  </si>
  <si>
    <t>1SDA054005R1</t>
  </si>
  <si>
    <t>T4N250-250A-4P-PR222DS/P-LSI</t>
  </si>
  <si>
    <t>ITM Caja Moldeada 4x250A (electrónico [0.4-1.0] In) - T4N250-250A-4P-PR222DS/P-LSI - 70kA@230Vac, 36kA@415Vac - marca ABB.</t>
  </si>
  <si>
    <t>1SDA054017R1</t>
  </si>
  <si>
    <t>T7S1600-1600A-3P-PR332/P-LSI</t>
  </si>
  <si>
    <t>ITM Caja Moldeada 3x1600A (electrónico [0.4-1.0] In) - T7S1600-1600A-3P-PR332/P-LSI - 50kA@415Vac - marca ABB.</t>
  </si>
  <si>
    <t>1SDA062998R1</t>
  </si>
  <si>
    <t>T7S1600-1600A-4P-PR332/P-LSI</t>
  </si>
  <si>
    <t>ITM Caja Moldeada 4x1600A (electrónico [0.4-1.0] In) - T7S1600-1600A-4P-PR332/P-LSI - 50kA@415Vac - marca ABB.</t>
  </si>
  <si>
    <t>1SDA063006R1</t>
  </si>
  <si>
    <t>RC222/4_T4-4p</t>
  </si>
  <si>
    <t>Bloque relé diferencial para Tmax T4-4p - modelo RC222/4 - marca ABB.</t>
  </si>
  <si>
    <t>1SDA054954R1</t>
  </si>
  <si>
    <t>E1.2B-1250A-3P-Ekip Touch LSI</t>
  </si>
  <si>
    <t>ITM Bastidor Abierto 3x1250A (electrónico [0.4-1.0] In) - E1.2B-1250A-3P-Ekip Touch LSI - 42kA@440Vac - marca ABB.</t>
  </si>
  <si>
    <t>1SDA070825R1</t>
  </si>
  <si>
    <t>1SVR427034R0000</t>
  </si>
  <si>
    <t>1SVR427035R0000</t>
  </si>
  <si>
    <t>T4N250-100A-3P-PR222DS/P-LSIG_UL</t>
  </si>
  <si>
    <t>ITM Caja Moldeada (UL) 3x100A (electrónico [0.4-1.0] In)  - T4N250-100A-3P-PR222DS/P-LSIG - 25kA@480V - marca ABB.</t>
  </si>
  <si>
    <t>1SDA055417R1</t>
  </si>
  <si>
    <t>T4N250-150A-3P-PR222DS/P-LSIG_UL</t>
  </si>
  <si>
    <t>ITM Caja Moldeada (UL) 3x150A (electrónico [0.4-1.0] In)  - T4N250-150A-3P-PR222DS/P-LSIG - 25kA@480V - marca ABB.</t>
  </si>
  <si>
    <t>1SDA055418R1</t>
  </si>
  <si>
    <t>T4N250-250A-3P-PR222DS/P-LSIG_UL</t>
  </si>
  <si>
    <t>ITM Caja Moldeada (UL) 3x250A (electrónico [0.4-1.0] In)  - T4N250-250A-3P-PR222DS/P-LSIG - 25kA@480V - marca ABB.</t>
  </si>
  <si>
    <t>1SDA055419R1</t>
  </si>
  <si>
    <t>AS1440-INDIRECTO</t>
  </si>
  <si>
    <t>TRAFO_460/230-120V_50VA_1F_EATON</t>
  </si>
  <si>
    <t>TRAFO_460/230-120V_100VA_1F_EATON</t>
  </si>
  <si>
    <t>TRAFO_460/230-120V_200VA_1F_EATON</t>
  </si>
  <si>
    <t>OVRHSP1602203Y</t>
  </si>
  <si>
    <t>2CJB116220Y0000</t>
  </si>
  <si>
    <t>OVRHSP2002203Y</t>
  </si>
  <si>
    <t>XT2S160-25A-4P-TMD</t>
  </si>
  <si>
    <t>ITM Caja Moldeada 4x25A (reg.[0.7-1.0] In) - XT2S160-25A-4P-TMD - 85kA@230Vac, 50kA@415Vac - marca ABB</t>
  </si>
  <si>
    <t>1SDA067573R1</t>
  </si>
  <si>
    <t>XT4N160-160A-4P-Ekip LSI</t>
  </si>
  <si>
    <t>ITM Caja Moldeada 4x160A (electrónico [0.4-1.0] In) - XT4N160-160A-4P-Ekip LSI - 65kA@230Vac, 36kA@415Vac - marca ABB.</t>
  </si>
  <si>
    <t>1SDA068156R1</t>
  </si>
  <si>
    <t>E4.2S-3200A-3P-Ekip Touch LSIG</t>
  </si>
  <si>
    <t>ITM Bastidor Abierto 3x3200A (electrónico [0.4-1.0] In) - E4.2S-3200A-3P-Ekip Touch LSIG - 85kA@440Vac - marca ABB.</t>
  </si>
  <si>
    <t>1SDA071156R1</t>
  </si>
  <si>
    <t>E4.2S-4000A-3P-Ekip Touch LSIG</t>
  </si>
  <si>
    <t>ITM Bastidor Abierto 3x4000A (electrónico [0.4-1.0] In) - E4.2S-4000A-3P-Ekip Touch LSIG - 85kA@440Vac - marca ABB.</t>
  </si>
  <si>
    <t>1SDA071206R1</t>
  </si>
  <si>
    <t>E4.2S-3200A-3P-Ekip Touch LSIG_ext</t>
  </si>
  <si>
    <t>ITM Bastidor Abierto 3x3200A (electrónico [0.4-1.0] In) extraible - E4.2S-3200A-3P-Ekip Touch LSIG - 85kA@440Vac - marca ABB.</t>
  </si>
  <si>
    <t>1SDA072506R1</t>
  </si>
  <si>
    <t>E4.2S-4000A-3P-Ekip Touch LSIG_ext</t>
  </si>
  <si>
    <t>ITM Bastidor Abierto 3x4000A (electrónico [0.4-1.0] In) extraible - E4.2S-4000A-3P-Ekip Touch LSIG - 85kA@440Vac - marca ABB.</t>
  </si>
  <si>
    <t>1SDA072556R1</t>
  </si>
  <si>
    <t>1SDA073915R1</t>
  </si>
  <si>
    <t>ITM Bastidor Abierto 4x3200A (electrónico [0.4-1.0] In) - E4.2S-3200A-4P-Ekip Touch LSI - 85kA@440Vac - marca ABB.</t>
  </si>
  <si>
    <t>MAGNUM 3200(M)_4P_65kA</t>
  </si>
  <si>
    <t>ITM Bastidor Abierto de 4x3200A , ( Reg. 0.4-1.0 de In ) MWN Magnum, LSI, 65kA@415Vac. + contactos de estado + contacto de alarma + Comando motorizado- marca EATON.</t>
  </si>
  <si>
    <t>MAGNUM 2000(M)_3P_50kA</t>
  </si>
  <si>
    <t>ITM Bastidor Abierto de 3x2000A , ( Reg. 0.4-1.0 de In ) MWN Magnum, LSI, 50kA@415Vac. + contactos de estado + contacto de alarma + Comando motorizado- marca EATON.</t>
  </si>
  <si>
    <t>MAGNUM 1600(M)_3P_50kA</t>
  </si>
  <si>
    <t>ITM Bastidor Abierto de 3x1600A , ( Reg. 0.4-1.0 de In ) MWN Magnum, LSI, 50kA@415Vac. + contactos de estado + contacto de alarma + Comando motorizado- marca EATON.</t>
  </si>
  <si>
    <t xml:space="preserve">MAGNUM 2000_4P_50kA   </t>
  </si>
  <si>
    <t>ITM Bastidor Abierto de 4x2000A , ( Reg. 0.4-1.0 de In ) MWN Magnum, LSI, 50kA@415Vac. + contactos de estado + contacto de alarma - marca EATON.</t>
  </si>
  <si>
    <t>XTOB035GC1</t>
  </si>
  <si>
    <t>Relé de sobrecarga XT para contactores DILM 115…DILM170, regulable (25.0 - 35.0)A. - marca EATON.</t>
  </si>
  <si>
    <t>XTOB050GC1</t>
  </si>
  <si>
    <t>Relé de sobrecarga XT para contactores DILM 115…DILM170, regulable (35.0 - 50.0)A. - marca EATON.</t>
  </si>
  <si>
    <t>XTOB070GC1</t>
  </si>
  <si>
    <t>Relé de sobrecarga XT para contactores DILM 115…DILM170, regulable (50.0 - 70.0)A. - marca EATON.</t>
  </si>
  <si>
    <t>XTOB100GC1</t>
  </si>
  <si>
    <t>Relé de sobrecarga XT para contactores DILM 115…DILM170, regulable (70.0 - 100.0)A. - marca EATON.</t>
  </si>
  <si>
    <t>XTOB125GC1</t>
  </si>
  <si>
    <t>Relé de sobrecarga XT para contactores DILM 115…DILM170, regulable (95.0 - 125.0)A. - marca EATON.</t>
  </si>
  <si>
    <t>XTOB150GC1</t>
  </si>
  <si>
    <t>Relé de sobrecarga XT para contactores DILM 115…DILM170, regulable (120.0 - 150.0)A. - marca EATON.</t>
  </si>
  <si>
    <t>XTOB100LC1</t>
  </si>
  <si>
    <t>Relé de sobrecarga XT para contactores DILM 185…DILM250, regulable (70.0 - 100.0)A. - marca EATON.</t>
  </si>
  <si>
    <t>XTOB125LC1</t>
  </si>
  <si>
    <t>Relé de sobrecarga XT para contactores DILM 185…DILM250, regulable (95.0 - 125.0)A. - marca EATON.</t>
  </si>
  <si>
    <t>XTOB160LC1</t>
  </si>
  <si>
    <t>Relé de sobrecarga XT para contactores DILM 185…DILM250, regulable (120.0 - 160.0)A. - marca EATON.</t>
  </si>
  <si>
    <t>XTOB220LC1</t>
  </si>
  <si>
    <t>Relé de sobrecarga XT para contactores DILM 185…DILM250, regulable (160.0 - 220.0)A. - marca EATON.</t>
  </si>
  <si>
    <t>XTOB250LC1</t>
  </si>
  <si>
    <t>Relé de sobrecarga XT para contactores DILM 185…DILM250, regulable (200.0 - 250.0)A. - marca EATON.</t>
  </si>
  <si>
    <t>Contacto auxiliar frontal 2NA+2NC para contactor DILM40...DILM170.</t>
  </si>
  <si>
    <t>COND_80kVAR/400V_p7</t>
  </si>
  <si>
    <t>Contactor para maniobra de condensadores - 90kVAR / 400Vac - Modelo CMC - bobina 230Vac/60Hz. - marca CIRCUTOR.</t>
  </si>
  <si>
    <t>Accesorio de montaje en carril DIN para WGC, marca CIRCUTOR.</t>
  </si>
  <si>
    <t>E1.2N-1000A-4P-Ekip Touch LSI_EXT</t>
  </si>
  <si>
    <t>1SDA072785R1</t>
  </si>
  <si>
    <t>E1.2-1600A-4P_ext(FP)</t>
  </si>
  <si>
    <t>Parte fija de interruptor extraíble - Frame E1.2 B/C/N/L 4x1600A - marca ABB.</t>
  </si>
  <si>
    <t>1SDA073908R1</t>
  </si>
  <si>
    <t>Busbar para 3 guardamotores (con espacio p/ 2 bloques laterales) p/ modelo MS165 - modelo PS2-3-2-125 - marca ABB.</t>
  </si>
  <si>
    <t>TF42-0.13</t>
  </si>
  <si>
    <t>TF42-1.0 Relé de sobrecarga - Ith=0.10…0.13A, clase disparo 10 - p/ contactor AF09 … AF38 - marca ABB.</t>
  </si>
  <si>
    <t>1SAZ721201R1005</t>
  </si>
  <si>
    <t>TF42-0.17</t>
  </si>
  <si>
    <t>TF42-1.0 Relé de sobrecarga - Ith=0.13…0.17A, clase disparo 10 - p/ contactor AF09 … AF38 - marca ABB.</t>
  </si>
  <si>
    <t>1SAZ721201R1008</t>
  </si>
  <si>
    <t>TF42-0.23</t>
  </si>
  <si>
    <t>TF42-1.0 Relé de sobrecarga - Ith=0.17…0.23A, clase disparo 10 - p/ contactor AF09 … AF38 - marca ABB.</t>
  </si>
  <si>
    <t>1SAZ721201R1009</t>
  </si>
  <si>
    <t>TF42-0.31</t>
  </si>
  <si>
    <t>TF42-1.0 Relé de sobrecarga - Ith=0.23…0.31A, clase disparo 10 - p/ contactor AF09 … AF38 - marca ABB.</t>
  </si>
  <si>
    <t>1SAZ721201R1013</t>
  </si>
  <si>
    <t>TF42-0.41</t>
  </si>
  <si>
    <t>TF42-1.0 Relé de sobrecarga - Ith=0.31…0.41A, clase disparo 10 - p/ contactor AF09 … AF38 - marca ABB.</t>
  </si>
  <si>
    <t>1SAZ721201R1014</t>
  </si>
  <si>
    <t>TF42-0.55</t>
  </si>
  <si>
    <t>TF42-1.0 Relé de sobrecarga - Ith=0.41…0.55A, clase disparo 10 - p/ contactor AF09 … AF38 - marca ABB.</t>
  </si>
  <si>
    <t>1SAZ721201R1017</t>
  </si>
  <si>
    <t>TF42-0.74</t>
  </si>
  <si>
    <t>TF42-1.0 Relé de sobrecarga - Ith=0.55…0.74A, clase disparo 10 - p/ contactor AF09 … AF38 - marca ABB.</t>
  </si>
  <si>
    <t>1SAZ721201R1021</t>
  </si>
  <si>
    <t>SH204-C-50A</t>
  </si>
  <si>
    <t>ITM Riel-Din 4x50A - SH204-C-50A - 10kA@230Vac, 6kA@400Vac-IEC60898 - marca ABB.</t>
  </si>
  <si>
    <t>SH204-C-63A</t>
  </si>
  <si>
    <t>ITM Riel-Din 4x63A - SH204-C-63A - 10kA@230Vac, 6kA@400Vac-IEC60898 - marca ABB.</t>
  </si>
  <si>
    <t>F202-B-25A-30mA</t>
  </si>
  <si>
    <t>Interruptor Diferencial 2x25A - 30mA - clase B (alta inmunización: para variador, corriente pulsante o con rizado) - F202-B-25A-30mA - marca ABB.</t>
  </si>
  <si>
    <t>2CSF202592R1250</t>
  </si>
  <si>
    <t>F202-B-40A-30mA</t>
  </si>
  <si>
    <t>Interruptor Diferencial 2x40A - 30mA - clase B (alta inmunización: para variador, corriente pulsante o con rizado) - F202-B-40A-30mA - marca ABB.</t>
  </si>
  <si>
    <t>2CSF202592R1400</t>
  </si>
  <si>
    <t>F204-B-25A-30mA</t>
  </si>
  <si>
    <t>Interruptor Diferencial 4x25A - 30mA - clase B (alta inmunización: para variador, corriente pulsante o con rizado) - F204-B-40A-30mA - marca ABB.</t>
  </si>
  <si>
    <t>F204-B-40A-30mA_</t>
  </si>
  <si>
    <t>2CSF204592R1400</t>
  </si>
  <si>
    <t>AMT1-A1-60/96</t>
  </si>
  <si>
    <t>Amperímetro analógico AC, I_med=60A, 96x96mm. - modelo AMT1-A1-60/96 - marca ABB.</t>
  </si>
  <si>
    <t>2CSG313110R4001</t>
  </si>
  <si>
    <t xml:space="preserve">XT2H 160 Ekip LSI In=160A 4p F F       </t>
  </si>
  <si>
    <t>ITM Caja Moldeada 4x160A (reg.[0.7-1.0] In) - XT2H160-160A-4P-LSI - 100kA@230Vac, 70kA@415Vac - marca ABB.</t>
  </si>
  <si>
    <t>1SDA067907R1</t>
  </si>
  <si>
    <t xml:space="preserve">XT2H 160 Ekip LSI In=63A 4p F F       </t>
  </si>
  <si>
    <t>ITM Caja Moldeada 4x63A (reg.[0.7-1.0] In) - XT2S160-63A-4P-LSI - 100kA@230Vac, 70kA@415Vac - marca ABB.</t>
  </si>
  <si>
    <t>1SDA067847R1</t>
  </si>
  <si>
    <t xml:space="preserve">XT4L 160 Ekip LSI In=160A 4p F F       </t>
  </si>
  <si>
    <t>ITM Caja Moldeada 4x160A (reg.[0.7-1.0] In) - XT4L160-160A-4P-LSI - 100kA@230Vac, 120kA@415Vac - marca ABB.</t>
  </si>
  <si>
    <t>ITM Caja Moldeada 3x630A (electrónico [0.4-1.0] In) - T5L630-630A-3P-PR222DS/P-LSI - 120kA@415Vac - marca ABB.</t>
  </si>
  <si>
    <t>T5L400-400A-3P-PR222DS/P-LSI</t>
  </si>
  <si>
    <t>1SDA054369R1</t>
  </si>
  <si>
    <t>E2.2S-2000A-3P-Ekip Touch LSI</t>
  </si>
  <si>
    <t>ITM Bastidor Abierto 3x2000A (electrónico [0.4-1.0] In) - E2.2S-2000A-3P-Ekip Touch LSI - 85kA@440Vac - marca ABB.</t>
  </si>
  <si>
    <t>1SDA071045R1</t>
  </si>
  <si>
    <t>E4.2N-4000A-4P-Ekip Touch LSI</t>
  </si>
  <si>
    <t>ITM Bastidor Abierto 4x4000A (electrónico [0.4-1.0] In) - E4.2N-4000A-4P-Ekip Touch LSI - 66kA@440Vac - marca ABB.</t>
  </si>
  <si>
    <t>1SDA071825R1</t>
  </si>
  <si>
    <t>PLL_E2.2..E6.2</t>
  </si>
  <si>
    <t>Bloqueo por candado en posicion abierto, D=7mm - para interruptores Emax E2.2..E6.2 - marca ABB.</t>
  </si>
  <si>
    <t>E6.2H 5000 SECCIONADOR 4p MS</t>
  </si>
  <si>
    <t>Seccionador Bastidor Abierto 4x5000A - E2.2H-5000A-4P - 100kA@440Vac - marca ABB.</t>
  </si>
  <si>
    <t>1SDA073549R1</t>
  </si>
  <si>
    <t>BASTIDOR ABIERTO EXTRAIBLE DE 4 x 5000A, Icu=100kA, tipo E6.2H</t>
  </si>
  <si>
    <t xml:space="preserve">E6.2H 5000 Ekip Touch LSI 4p WMP    </t>
  </si>
  <si>
    <t>ITM Bastidor Abierto 4x5000A (electrónico [0.4-1.0] In) - E6.2H-5000A-4P-Ekip Touch LSI - 100kA@440Vac - marca ABB.</t>
  </si>
  <si>
    <t>1SDA073245R1</t>
  </si>
  <si>
    <t>E6.2-5000A-4P_ext(FP)</t>
  </si>
  <si>
    <t>Parte fija de interruptor extraíble - Frame E6.2 H/V 4x5000A - marca ABB.</t>
  </si>
  <si>
    <t>1SDA073918R1</t>
  </si>
  <si>
    <t>EKIP-MEAS-PRO_E6.2</t>
  </si>
  <si>
    <t>Módulo de medición + protección "Ekip Measuring Pro" - Emax E6.2 - marca ABB.</t>
  </si>
  <si>
    <t>1SDA074191R1</t>
  </si>
  <si>
    <t>BASTIDOR ABIERTO EXTRAIBLE DE 4 x 2000A, Icu=85kA, tipo E2.2S</t>
  </si>
  <si>
    <t xml:space="preserve">E2.2S 2000 Ekip Touch LSI 4p WMP    </t>
  </si>
  <si>
    <t>1SDA073025R1</t>
  </si>
  <si>
    <t>E2.2-2000A-4P_ext(FP)</t>
  </si>
  <si>
    <t>Parte fija de interruptor extraíble - Frame E2.2 B/N/S/H 4x2000A - marca ABB.</t>
  </si>
  <si>
    <t>TRANSFERENCIA TRIPLE CON INTERRUPTORES EXTRAIBLES DE 4x1000A (Icu=85kA, E2.2S )</t>
  </si>
  <si>
    <t xml:space="preserve">E2.2S 1000 Ekip Touch LSI 4p WMP    </t>
  </si>
  <si>
    <t>ITM Bastidor Abierto 4x1000A (electrónico [0.4-1.0] In) - E2.2S-1000A-4P-Ekip Touch LSI - 85kA@440Vac - marca ABB.</t>
  </si>
  <si>
    <t>1SDA072915R1</t>
  </si>
  <si>
    <t>E2.2-1000A-4P_ext(FP)</t>
  </si>
  <si>
    <t>Parte fija de interruptor extraíble - Frame E2.2 B/N/S/H 4x1000A - marca ABB.</t>
  </si>
  <si>
    <t>TRANSFERENCIA TRIPLE CON INTERRUPTORES EXTRAIBLES DE 4x800A (Icu=85kA, E2.2S )</t>
  </si>
  <si>
    <t xml:space="preserve">E2.2S 800 Ekip Touch LSI 4p WMP    </t>
  </si>
  <si>
    <t>ITM Bastidor Abierto 4x800A (electrónico [0.4-1.0] In) - E2.2S-800A-4P-Ekip Touch LSI - 85kA@440Vac - marca ABB.</t>
  </si>
  <si>
    <t>1SDA072886R1</t>
  </si>
  <si>
    <t>E2.2-800A-4P_ext(FP)</t>
  </si>
  <si>
    <t>Parte fija de interruptor extraíble - Frame E2.2 B/N/S/H 4x800A - marca ABB.</t>
  </si>
  <si>
    <t>OHB200J12P_OT1000…3200_C</t>
  </si>
  <si>
    <t>Dispositivo de bloqueo con candado en todas las posiciones, IP65, tipo Nema 1, 3R, 12. Color negro, modelo OHB200J12PE311 - marca ABB.</t>
  </si>
  <si>
    <t>1SCA104685R1001</t>
  </si>
  <si>
    <t xml:space="preserve">3 X </t>
  </si>
  <si>
    <t>Terminal cada polo - p/modelo GJ, hasta 250A.</t>
  </si>
  <si>
    <t>Mod. Ent/sal.</t>
  </si>
  <si>
    <t>Modulo de expansiòn M-CVM-AB-8I-8OTR,Entrada digital:8, Salida a transitor:8</t>
  </si>
  <si>
    <t>M56E01</t>
  </si>
  <si>
    <t>TOMA-EMP_2P+T_DOBLE</t>
  </si>
  <si>
    <t>Tomacorriente monofasico, 2P+T, 16A, 127 / 250V, duplex, Matix - marca Bticino.</t>
  </si>
  <si>
    <t>AM5025D</t>
  </si>
  <si>
    <t>CUBIERTA_3MOD_IP55</t>
  </si>
  <si>
    <t>Cubierta Idrobox, 3 modulos, IP55, Blanco, Matix - marca Bticino.</t>
  </si>
  <si>
    <t>CMC_7.25kVAR/400V</t>
  </si>
  <si>
    <t>Contactor para maniobra de condensadores - 7.25kVAR / 400Vac - Modelo CMC - bobina 230Vac/60Hz. - marca CIRCUTOR.</t>
  </si>
  <si>
    <t>CMC_13.8kVAR/400V</t>
  </si>
  <si>
    <t>Contactor para maniobra de condensadores - 13.8kVAR / 400Vac - Modelo CMC - bobina 230Vac/60Hz. - marca CIRCUTOR.</t>
  </si>
  <si>
    <t>CMC_27.7kVAR/400V</t>
  </si>
  <si>
    <t>Contactor para maniobra de condensadores - 27.7kVAR / 400Vac - Modelo CMC - bobina 230Vac/60Hz. - marca CIRCUTOR.</t>
  </si>
  <si>
    <t>OVRHSP2002773Y</t>
  </si>
  <si>
    <t>Supresor contra sobretensiones (Tipo 1, UL 1449) - OVRHSP2002773Y - I_max=200kA por fase, Un=277/480V,  MCOV=320V (L-N), VPR=1.2kV (L-N) - marca ABB.</t>
  </si>
  <si>
    <t>2CJB120277Y0000</t>
  </si>
  <si>
    <t>T4N250-160A-3P-TMA</t>
  </si>
  <si>
    <t>ITM Caja Moldeada 3x160A (reg.[0.7-1.0] In) - T4N250-160A-3P-TMA - 36kA@415Vac, 25kA@500Vdc - marca ABB.</t>
  </si>
  <si>
    <t>1SDA054177R1</t>
  </si>
  <si>
    <t>T4N250-200A-3P-TMA</t>
  </si>
  <si>
    <t>ITM Caja Moldeada 3x200A (reg.[0.7-1.0] In) - T4N250-200A-3P-TMA - 36kA@415Vac, 25kA@500Vdc - marca ABB.</t>
  </si>
  <si>
    <t>1SDA054178R1</t>
  </si>
  <si>
    <t>ITM Caja Moldeada 3x250A (reg.[0.7-1.0] In) - T4N250-250A-3P-TMA - 36kA@415Vac, 25kA@500Vdc - marca ABB.</t>
  </si>
  <si>
    <t>ITM Caja Moldeada 4x160A (reg.[0.7-1.0] In) - T4N250-160A-4P-TMA - 36kA@415Vac, 16kA@750Vdc - marca ABB.</t>
  </si>
  <si>
    <t>ITM Caja Moldeada 4x200A (reg.[0.7-1.0] In) - T4N250-200A-4P-TMA - 36kA@415Vac, 16kA@750Vdc - marca ABB.</t>
  </si>
  <si>
    <t>ITM Caja Moldeada 4x250A (reg.[0.7-1.0] In) - T4N250-250A-4P-TMA - 36kA@415Vac, 16kA@750Vdc - marca ABB.</t>
  </si>
  <si>
    <t xml:space="preserve">T5H 630 PR222DS/P-LSI In=400 4p F F    </t>
  </si>
  <si>
    <t>ITM Caja Moldeada 4x630A (electrónico [0.4-1.0] In) - T5H630-630A-4P--LSI - 100kA@230Vac, 70kA@415Vac - marca ABB.</t>
  </si>
  <si>
    <t xml:space="preserve">T7H 1000 PR331/P LSI In=1000A 4p F F   </t>
  </si>
  <si>
    <t>E4.2N-3200A-3P-Ekip Touch LSIG_ext</t>
  </si>
  <si>
    <t>ITM Bastidor Abierto 3x3200A (electrónico [0.4-1.0] In) extraible - E4.2S-3200A-3P-Ekip Touch LSIG - 66kA@440Vac - marca ABB.</t>
  </si>
  <si>
    <t>1SDA072496R1</t>
  </si>
  <si>
    <t>E4.2-3200A-3P_ext(FP)</t>
  </si>
  <si>
    <t>Parte fija de interruptor extraíble - Frame E4.2 N/S/H 3x3200A - marca ABB.</t>
  </si>
  <si>
    <t>1SDA073913R1</t>
  </si>
  <si>
    <t>E4.2-4000A-3P_ext(FP)</t>
  </si>
  <si>
    <t>Parte fija de interruptor extraíble - Frame E4.2 N/S/H/V 3x4000A - marca ABB.</t>
  </si>
  <si>
    <t>EKIP-NET</t>
  </si>
  <si>
    <t>Módulo "Ekip Device Net" - Emax 2 - marca ABB.</t>
  </si>
  <si>
    <t>1SDA074154R1</t>
  </si>
  <si>
    <t>1SCA120070R1001</t>
  </si>
  <si>
    <t>MIS_320x435x108mm</t>
  </si>
  <si>
    <t>Tablero termoplástico para Empotrar, serie MISTRAL 41F p/transparente 24 modulos. 320x435x108mm - IP41, IK08, RAL 9016 - marca ABB.</t>
  </si>
  <si>
    <t>1SLM004100A1205</t>
  </si>
  <si>
    <t>MIS_430x435x108mm</t>
  </si>
  <si>
    <t>Tablero termoplástico para Empotrar, serie MISTRAL 41F p/transparente 36 modulos. 430x435x108mm - IP41, IK08, RAL 9016 - marca ABB.</t>
  </si>
  <si>
    <t>1SLM004100A1206</t>
  </si>
  <si>
    <t>MIS_320x735x108mm</t>
  </si>
  <si>
    <t>Tablero termoplástico para Empotrar, serie MISTRAL 41F p/transparente 48 modulos. 320x735x108mm - IP41, IK08, RAL 9016 - marca ABB.</t>
  </si>
  <si>
    <t>1SLM004100A1208</t>
  </si>
  <si>
    <t>MIS_430x600x128mm</t>
  </si>
  <si>
    <t>Tablero termoplástico para Empotrar, serie MISTRAL 41F p/transparente 54 modulos. 430x600x128mm - IP41, IK08, RAL 9016 - marca ABB.</t>
  </si>
  <si>
    <t>1SLM004100A1209</t>
  </si>
  <si>
    <t>SOP.TER 18 MOD</t>
  </si>
  <si>
    <t>Soporte de Terminal 18 modulos Mistral</t>
  </si>
  <si>
    <t>1SLM004100A1955</t>
  </si>
  <si>
    <t>SOP.TER 12 MOD</t>
  </si>
  <si>
    <t>Soporte de Terminal 12 modulos Mistral</t>
  </si>
  <si>
    <t>1SLM004100A1954</t>
  </si>
  <si>
    <t>BARRA.25 ORIFICIOS</t>
  </si>
  <si>
    <t>Barra de terminales 19 orificios 4.5mm y 6 orificios de 5.6mm</t>
  </si>
  <si>
    <t>M125350000</t>
  </si>
  <si>
    <t>BARRA.21 ORIFICIOS</t>
  </si>
  <si>
    <t>Barra de terminales 15 orificios 4.5mm y 6 orificios de 5.6mm</t>
  </si>
  <si>
    <t>M125340000</t>
  </si>
  <si>
    <t>BARRA.19 ORIFICIOS</t>
  </si>
  <si>
    <t>Barra de terminales 16 orificios 4.5mm y 3 orificios de 5.6mm</t>
  </si>
  <si>
    <t>M125330000</t>
  </si>
  <si>
    <t>CONECTOR P/PEINE</t>
  </si>
  <si>
    <t>Conector. Cables hasta 35mm2. (4 piezas) - marca Schneider.</t>
  </si>
  <si>
    <t>A9XPCM04</t>
  </si>
  <si>
    <t>ITM Caja Moldeada (UL) 3x20A - T1N100-20A-3P-TMF - 50kA@240Vac, 22kA@480Vac - marca ABB.</t>
  </si>
  <si>
    <t>ITM Caja Moldeada (UL) 3x25A - T1N100-25A-3P-TMF - 50kA@240Vac, 22kA@480Vac - marca ABB.</t>
  </si>
  <si>
    <t>ITM Caja Moldeada (UL) 3x30A - T1N100-30A-3P-TMF - 50kA@240Vac, 22kA@480Vac - marca ABB.</t>
  </si>
  <si>
    <t>ITM Caja Moldeada (UL) 3x40A - T1N100-40A-3P-TMF - 50kA@240Vac, 22kA@480Vac - marca ABB.</t>
  </si>
  <si>
    <t>ITM Caja Moldeada (UL) 3x50A - T1N100-50A-3P-TMF - 50kA@240Vac, 22kA@480Vac - marca ABB.</t>
  </si>
  <si>
    <t>ITM Caja Moldeada (UL) 3x60A - T1N100-60A-3P-TMF - 50kA@240Vac, 22kA@480Vac - marca ABB.</t>
  </si>
  <si>
    <t>ITM Caja Moldeada (UL) 3x70A - T1N100-70A-3P-TMF - 50kA@240Vac, 22kA@480Vac - marca ABB.</t>
  </si>
  <si>
    <t>ITM Caja Moldeada (UL) 3x80A - T1N100-80A-3P-TMF - 50kA@240Vac, 22kA@480Vac - marca ABB.</t>
  </si>
  <si>
    <t>ITM Caja Moldeada (UL) 3x90A - T1N100-90A-3P-TMF - 50kA@240Vac, 22kA@480Vac - marca ABB.</t>
  </si>
  <si>
    <t>ITM Caja Moldeada (UL) 3x100A - T1N100-100A-3P-TMF - 50kA@240Vac, 22kA@480Vac - marca ABB.</t>
  </si>
  <si>
    <t>T4N250-150A-3P-TMA_UL</t>
  </si>
  <si>
    <t>ITM Caja Moldeada (UL) 3x150A (reg.[0.7-1.0] In) - T4N250-160A-3P-TMA - 25kA@480Vac, 25kA@500Vdc - marca ABB.</t>
  </si>
  <si>
    <t>1SDA057182R1</t>
  </si>
  <si>
    <t>T4N250-200A-3P-TMA_UL</t>
  </si>
  <si>
    <t>ITM Caja Moldeada (UL) 3x200A (reg.[0.7-1.0] In) - T4N250-200A-3P-TMA- 25kA@480Vac, 25kA@500Vdc - marca ABB.</t>
  </si>
  <si>
    <t>1SDA057183R1</t>
  </si>
  <si>
    <t>T4N250-250A-3P-TMA_UL</t>
  </si>
  <si>
    <t>ITM Caja Moldeada (UL) 3x250A (reg.[0.7-1.0] In) - T4N250-250A-3P-TMA- 25kA@480Vac, 25kA@500Vdc - marca ABB.</t>
  </si>
  <si>
    <t>1SDA057184R1</t>
  </si>
  <si>
    <t>T4N250-160A-4P-TMA_UL</t>
  </si>
  <si>
    <t>ITM Caja Moldeada 4x160A (reg.[0.7-1.0] In) - T4N250-160A-4P-TMA - 25kA@480Vac, 16kA@600Vdc - marca ABB.</t>
  </si>
  <si>
    <t>1SDA060102R1</t>
  </si>
  <si>
    <t>T4N250-200A-4P-TMA_UL</t>
  </si>
  <si>
    <t>ITM Caja Moldeada 4x200A (reg.[0.7-1.0] In) - T4N250-200A-4P-TMA - 25kA@480Vac, 16kA@600Vdc - marca ABB.</t>
  </si>
  <si>
    <t>1SDA060103R1</t>
  </si>
  <si>
    <t>T4N250-250A-4P-TMA_UL</t>
  </si>
  <si>
    <t>ITM Caja Moldeada 4x250A (reg.[0.7-1.0] In) - T4N250-250A-4P-TMA - 25kA@480Vac, 16kA@600Vdc - marca ABB.</t>
  </si>
  <si>
    <t>1SDA060104R1</t>
  </si>
  <si>
    <t>A1A100-15A-1P-TMF_UL</t>
  </si>
  <si>
    <t>ITM Caja Moldeada (UL) 1x15A - A1A100-15A-1P-TMF - 10kA@240Vac - marca ABB.</t>
  </si>
  <si>
    <t>1SDA069697R1</t>
  </si>
  <si>
    <t>A1A100-20A-1P-TMF_UL</t>
  </si>
  <si>
    <t>ITM Caja Moldeada (UL) 1x20A - A1A100-20A-1P-TMF - 10kA@240Vac - marca ABB.</t>
  </si>
  <si>
    <t>1SDA069699R1</t>
  </si>
  <si>
    <t>A1A100-25A-1P-TMF_UL</t>
  </si>
  <si>
    <t>ITM Caja Moldeada (UL) 1x25A - A1A100-25A-1P-TMF - 10kA@240Vac - marca ABB.</t>
  </si>
  <si>
    <t>1SDA069700R1</t>
  </si>
  <si>
    <t>A1A100-30A-1P-TMF_UL</t>
  </si>
  <si>
    <t>ITM Caja Moldeada (UL) 1x30A - A1A100-30A-1P-TMF - 10kA@240Vac - marca ABB.</t>
  </si>
  <si>
    <t>1SDA069701R1</t>
  </si>
  <si>
    <t>A1A100-40A-1P-TMF_UL</t>
  </si>
  <si>
    <t>ITM Caja Moldeada (UL) 1x40A - A1A100-40A-1P-TMF - 10kA@240Vac - marca ABB.</t>
  </si>
  <si>
    <t>1SDA069702R1</t>
  </si>
  <si>
    <t>A1A100-50A-1P-TMF_UL</t>
  </si>
  <si>
    <t>ITM Caja Moldeada (UL) 1x50A - A1A100-50A-1P-TMF - 10kA@240Vac - marca ABB.</t>
  </si>
  <si>
    <t>1SDA069703R1</t>
  </si>
  <si>
    <t>A1N100-15A-1P-TMF_UL</t>
  </si>
  <si>
    <t>ITM Caja Moldeada (UL) 1x15A - A1N100-15A-1P-TMF - 18kA@240Vac - marca ABB.</t>
  </si>
  <si>
    <t>1SDA069709R1</t>
  </si>
  <si>
    <t>A1N100-20A-1P-TMF_UL</t>
  </si>
  <si>
    <t>ITM Caja Moldeada (UL) 1x20A - A1N100-20A-1P-TMF - 18kA@240Vac - marca ABB.</t>
  </si>
  <si>
    <t>1SDA069710R1</t>
  </si>
  <si>
    <t>A1N100-25A-1P-TMF_UL</t>
  </si>
  <si>
    <t>ITM Caja Moldeada (UL) 1x25A - A1N100-25A-1P-TMF - 18kA@240Vac - marca ABB.</t>
  </si>
  <si>
    <t>1SDA069711R1</t>
  </si>
  <si>
    <t>A1N100-30A-1P-TMF_UL</t>
  </si>
  <si>
    <t>ITM Caja Moldeada (UL) 1x30A - A1N100-30A-1P-TMF - 18kA@240Vac - marca ABB.</t>
  </si>
  <si>
    <t>1SDA069712R1</t>
  </si>
  <si>
    <t>A1N100-40A-1P-TMF_UL</t>
  </si>
  <si>
    <t>ITM Caja Moldeada (UL) 1x40A - A1N100-40A-1P-TMF - 18kA@240Vac - marca ABB.</t>
  </si>
  <si>
    <t>1SDA069713R1</t>
  </si>
  <si>
    <t>A1N100-50A-1P-TMF_UL</t>
  </si>
  <si>
    <t>ITM Caja Moldeada (UL) 1x50A - A1N100-50A-1P-TMF - 18kA@240Vac - marca ABB.</t>
  </si>
  <si>
    <t>1SDA069714R1</t>
  </si>
  <si>
    <t>A1N100-15A-3P-TMF_UL</t>
  </si>
  <si>
    <t>ITM Caja Moldeada (UL) 3x15A - A1N100-15A-3P-TMF - 25kA@240Vac - marca ABB.</t>
  </si>
  <si>
    <t>1SDA069753R1</t>
  </si>
  <si>
    <t>A1N100-20A-3P-TMF_UL</t>
  </si>
  <si>
    <t>ITM Caja Moldeada (UL) 3x20A - A1N100-20A-3P-TMF - 25kA@240Vac - marca ABB.</t>
  </si>
  <si>
    <t>1SDA069754R1</t>
  </si>
  <si>
    <t>A1N100-25A-3P-TMF_UL</t>
  </si>
  <si>
    <t>ITM Caja Moldeada (UL) 3x25A - A1N100-25A-3P-TMF - 25kA@240Vac - marca ABB.</t>
  </si>
  <si>
    <t>1SDA069755R1</t>
  </si>
  <si>
    <t>A1N100-30A-3P-TMF_UL</t>
  </si>
  <si>
    <t>ITM Caja Moldeada (UL) 3x30A - A1N100-30A-3P-TMF - 25kA@240Vac - marca ABB.</t>
  </si>
  <si>
    <t>1SDA069756R1</t>
  </si>
  <si>
    <t>A1N100-40A-3P-TMF_UL</t>
  </si>
  <si>
    <t>ITM Caja Moldeada (UL) 3x40A - A1N100-40A-3P-TMF - 25kA@240Vac - marca ABB.</t>
  </si>
  <si>
    <t>1SDA069757R1</t>
  </si>
  <si>
    <t>A1N100-50A-3P-TMF_UL</t>
  </si>
  <si>
    <t>ITM Caja Moldeada (UL) 3x50A - A1N100-50A-3P-TMF - 25kA@240Vac - marca ABB.</t>
  </si>
  <si>
    <t>1SDA069758R1</t>
  </si>
  <si>
    <t>A1N100-60A-3P-TMF_UL</t>
  </si>
  <si>
    <t>ITM Caja Moldeada (UL) 3x60A - A1N100-60A-3P-TMF - 25kA@240Vac - marca ABB.</t>
  </si>
  <si>
    <t>1SDA069759R1</t>
  </si>
  <si>
    <t>A1N100-70A-3P-TMF_UL</t>
  </si>
  <si>
    <t>ITM Caja Moldeada (UL) 3x70A - A1N100-70A-3P-TMF - 25kA@240Vac - marca ABB.</t>
  </si>
  <si>
    <t>1SDA069760R1</t>
  </si>
  <si>
    <t>A1N100-80A-3P-TMF_UL</t>
  </si>
  <si>
    <t>ITM Caja Moldeada (UL) 3x80A - A1N100-80A-3P-TMF - 25kA@240Vac - marca ABB.</t>
  </si>
  <si>
    <t>1SDA069761R1</t>
  </si>
  <si>
    <t>A1N100-90A-3P-TMF_UL</t>
  </si>
  <si>
    <t>ITM Caja Moldeada (UL) 3x90A - A1N100-90A-3P-TMF - 25kA@240Vac - marca ABB.</t>
  </si>
  <si>
    <t>1SDA069762R1</t>
  </si>
  <si>
    <t>A1N100-100A-3P-TMF_UL</t>
  </si>
  <si>
    <t>ITM Caja Moldeada (UL) 3x100A - A1N100-100A-3P-TMF - 25kA@240Vac - marca ABB.</t>
  </si>
  <si>
    <t>1SDA069763R1</t>
  </si>
  <si>
    <t>ITM Caja Moldeada (UL) 3x150A - A2A250-150A-3P-TMF - 10kA@240Vac, 10kA@250Vdc - marca ABB.</t>
  </si>
  <si>
    <t>ITM Caja Moldeada (UL) 3x200A - A2A250-200A-3P-TMF - 10kA@240Vac, 10kA@250Vdc - marca ABB.</t>
  </si>
  <si>
    <t>A2N250-150A-3P-TMF_UL</t>
  </si>
  <si>
    <t>ITM Caja Moldeada (UL) 3x150A - A2N250-150A-3P-TMF - 25kA@240Vac, 25kA@250Vdc - marca ABB.</t>
  </si>
  <si>
    <t>1SDA069796R1</t>
  </si>
  <si>
    <t>A2N250-200A-3P-TMF_UL</t>
  </si>
  <si>
    <t>ITM Caja Moldeada (UL) 3x200A - A2N250-200A-3P-TMF - 25kA@240Vac, 25kA@250Vdc - marca ABB.</t>
  </si>
  <si>
    <t>1SDA069798R1</t>
  </si>
  <si>
    <t>A2N250-225A-3P-TMF_UL</t>
  </si>
  <si>
    <t>ITM Caja Moldeada (UL) 3x225A - A2N250-225A-3P-TMF - 25kA@240Vac, 25kA@250Vdc - marca ABB.</t>
  </si>
  <si>
    <t>1SDA069799R1</t>
  </si>
  <si>
    <t>A2N250-250A-3P-TMF_UL</t>
  </si>
  <si>
    <t>ITM Caja Moldeada (UL) 3x250A - A2N250-250A-3P-TMF - 25kA@240Vac, 25kA@250Vdc - marca ABB.</t>
  </si>
  <si>
    <t>1SDA069800R1</t>
  </si>
  <si>
    <t>NZM2/3-XMVR</t>
  </si>
  <si>
    <t>Enclavamiento para accionamiento motorizado de 2 Interruptores de diferente tamaño LZM2/LZMS3, Referencia: NZM2/3-XMVR, marca EATON</t>
  </si>
  <si>
    <t>Enclavamiento para accionamiento motorizado de 2 Interruptores de diferente tamaño LZM3/LZM4, Referencia: NZM3/4-XMVR, marca EATON</t>
  </si>
  <si>
    <t>RES-UNIP_MOLD</t>
  </si>
  <si>
    <t>LAMP_ROJO_220V_MOD</t>
  </si>
  <si>
    <t>Portalámpara + lampara tipo LED - color Rojo - alimentacion: 220-230Vac, d=22mm. - ML1-107R-K - línea modular - marca ABB.</t>
  </si>
  <si>
    <t>1SFA611400P1171</t>
  </si>
  <si>
    <t>LAMP_VERDE_220V_MOD</t>
  </si>
  <si>
    <t>Portalámpara + lampara tipo LED - color Verde - alimentacion: 220-230Vac, d=22mm. - ML1-107G-K - línea modular - marca ABB.</t>
  </si>
  <si>
    <t>1SFA611400P1172</t>
  </si>
  <si>
    <t>LAMP_AM_220V_MOD</t>
  </si>
  <si>
    <t>Portalámpara + lampara tipo LED - color amarillo - alimentacion: 220-230Vac, d=22mm. - ML1-107Y-K - línea modular - marca ABB.</t>
  </si>
  <si>
    <t>1SFA611400P1173</t>
  </si>
  <si>
    <t>PEINE_2F_36p</t>
  </si>
  <si>
    <t>"Peine" monofásico para 36 polos.</t>
  </si>
  <si>
    <t>BARRA.13 ORIFICIOS</t>
  </si>
  <si>
    <t>Barra de terminales 10 orificios 4.5mm y 3 orificios de 5.6mm</t>
  </si>
  <si>
    <t>M125320000</t>
  </si>
  <si>
    <t>PEINE_3F_18p</t>
  </si>
  <si>
    <t>"Peine" trifásico para 18 polos.</t>
  </si>
  <si>
    <t>Modelo 5SL6</t>
  </si>
  <si>
    <t>ITM de 1x10A - modular DIN - 5SL4, 10KA - 400Vac., IEC 60947-2,  SIEMENS.</t>
  </si>
  <si>
    <t>ITM de 1x16A - modular DIN - 5SL4, 10KA - 400Vac., IEC 60947-2 , SIEMENS.</t>
  </si>
  <si>
    <t>ITM de 1x20A - modular DIN - 5SL4, 10KA - 400Vac., IEC 60947-2 , SIEMENS.</t>
  </si>
  <si>
    <t>ITM de 1x25A - modular DIN - 5SL4, 10KA - 400Vac., IEC 60947-2 , SIEMENS.</t>
  </si>
  <si>
    <t>ITM de 1x32A - modular DIN - 5SL4, 10KA - 400Vac., IEC 60947-2 , SIEMENS.</t>
  </si>
  <si>
    <t>ITM de 1x40A - modular DIN - 5SL4, 10KA - 400Vac., IEC 60947-2 , SIEMENS.</t>
  </si>
  <si>
    <t>ITM de 1x50A - modular DIN - 5SL4, 10KA - 400Vac., IEC 60947-2 , SIEMENS.</t>
  </si>
  <si>
    <t>ITM de 1x63A - modular DIN - 5SL4, 10KA - 400Vac., IEC 60947-2 , SIEMENS.</t>
  </si>
  <si>
    <t>ITM de 2x10A - modular DIN - 5SL4, 10KA - 400Vac., IEC 60947-2 , SIEMENS.</t>
  </si>
  <si>
    <t>ITM de 2x16A - modular DIN - 5SL4, 10KA - 400Vac., IEC 60947-2 , SIEMENS.</t>
  </si>
  <si>
    <t>ITM de 2x20A - modular DIN - 5SL4, 10KA - 400Vac., IEC 60947-2 , SIEMENS.</t>
  </si>
  <si>
    <t>ITM de 2x25A - modular DIN - 5SL4, 10KA - 400Vac., IEC 60947-2 , SIEMENS.</t>
  </si>
  <si>
    <t>ITM de 2x32A - modular DIN - 5SL4, 10KA - 400Vac., IEC 60947-2 , SIEMENS.</t>
  </si>
  <si>
    <t>ITM de 2x40A - modular DIN - 5SL4, 10KA - 400Vac., IEC 60947-2 , SIEMENS.</t>
  </si>
  <si>
    <t>ITM de 2x50A - modular DIN - 5SL4, 10KA - 400Vac., IEC 60947-2 , SIEMENS.</t>
  </si>
  <si>
    <t>ITM de 2x63A - modular DIN - 5SL4, 10KA - 400Vac., IEC 60947-2 , SIEMENS.</t>
  </si>
  <si>
    <t>ITM de 3x10A - modular DIN - 5SL4, 10KA - 400Vac., IEC 60947-2 , SIEMENS.</t>
  </si>
  <si>
    <t>ITM de 3x16A - modular DIN - 5SL4, 10KA - 400Vac., IEC 60947-2 , SIEMENS.</t>
  </si>
  <si>
    <t>ITM de 3x20A - modular DIN - 5SL4, 10KA - 400Vac., IEC 60947-2 , SIEMENS.</t>
  </si>
  <si>
    <t>ITM de 3x25A - modular DIN - 5SL4, 10KA - 400Vac., IEC 60947-2 , SIEMENS.</t>
  </si>
  <si>
    <t>ITM de 3x32A - modular DIN - 5SL4, 10KA - 400Vac., IEC 60947-2 , SIEMENS.</t>
  </si>
  <si>
    <t>ITM de 3x40A - modular DIN - 5SL4, 10KA - 400Vac., IEC 60947-2 , SIEMENS.</t>
  </si>
  <si>
    <t>ITM de 3x50A - modular DIN - 5SL4, 10KA - 400Vac., IEC 60947-2 , SIEMENS.</t>
  </si>
  <si>
    <t>ITM de 3x63A - modular DIN - 5SL4, 10KA - 400Vac., IEC 60947-2 , SIEMENS.</t>
  </si>
  <si>
    <t>5SV5312-0</t>
  </si>
  <si>
    <t>Interruptor Diferencial de 2x25A - 5SV5312-0 , 30mA, clase AC , SIEMENS.</t>
  </si>
  <si>
    <t>5SV5314-0</t>
  </si>
  <si>
    <t>Interruptor Diferencial de 2x40A - 5SV5312-0 , 30mA, clase AC , SIEMENS.</t>
  </si>
  <si>
    <t>5SV5316-0</t>
  </si>
  <si>
    <t>Interruptor Diferencial de 2x63A - 5SV5316-0 , 30mA, clase AC , SIEMENS.</t>
  </si>
  <si>
    <t>5SV5342-0</t>
  </si>
  <si>
    <t>Interruptor Diferencial de 4x25A - 5SV5342-0 , 30mA, clase AC , SIEMENS.</t>
  </si>
  <si>
    <t>5SV5344-0</t>
  </si>
  <si>
    <t>Interruptor Diferencial de 4x40A - 5SV5344-0 , 30mA, clase AC , SIEMENS.</t>
  </si>
  <si>
    <t>5SV5346-0</t>
  </si>
  <si>
    <t>Interruptor Diferencial de 4x63A - 5SV5346-0 , 30mA, clase AC , SIEMENS.</t>
  </si>
  <si>
    <t>5SV3314-6</t>
  </si>
  <si>
    <t>5SV3316-6</t>
  </si>
  <si>
    <t>5SV3342-6</t>
  </si>
  <si>
    <t>5SV3344-6</t>
  </si>
  <si>
    <t>5SV3346-6</t>
  </si>
  <si>
    <t>Modelo 5SV - Clase AC (300mA)</t>
  </si>
  <si>
    <t>5SV4642-0</t>
  </si>
  <si>
    <t>Interruptor Diferencial de 4x25A - 5SV4642-0 , 300mA, clase AC , SIEMENS.</t>
  </si>
  <si>
    <t>5SV4644-0</t>
  </si>
  <si>
    <t>Interruptor Diferencial de 4x40A - 5SV4644-0 , 300mA, clase AC , SIEMENS.</t>
  </si>
  <si>
    <t>5SV4646-0</t>
  </si>
  <si>
    <t>Interruptor Diferencial de 4x63A - 5SV4646-0 , 300mA, clase AC , SIEMENS.</t>
  </si>
  <si>
    <t>5SV8000-6KK</t>
  </si>
  <si>
    <t>5SV8703-0KK</t>
  </si>
  <si>
    <t>5SV8704-0KK</t>
  </si>
  <si>
    <t>3VM1196-3ED22-0AA0</t>
  </si>
  <si>
    <t>3VM1020-2ED32-0AA0</t>
  </si>
  <si>
    <t>3VM1220-4ED32-0AA0</t>
  </si>
  <si>
    <t>3VM1225-4ED32-0AA0</t>
  </si>
  <si>
    <t>3VM1196-3EE32-0AA0</t>
  </si>
  <si>
    <t>3VM1120-3EE32-0AA0</t>
  </si>
  <si>
    <t>3VM1125-3EE32-0AA0</t>
  </si>
  <si>
    <t>3VM1132-3EE32-0AA0</t>
  </si>
  <si>
    <t>3VM1140-3EE32-0AA0</t>
  </si>
  <si>
    <t>3VM1150-3EE32-0AA0</t>
  </si>
  <si>
    <t>3VM1163-3EE32-0AA0</t>
  </si>
  <si>
    <t>3VM1180-3EE32-0AA0</t>
  </si>
  <si>
    <t>3VM1110-3EE32-0AA0</t>
  </si>
  <si>
    <t>3VM1112-3EE32-0AA0</t>
  </si>
  <si>
    <t>3VM1116-3EE32-0AA0</t>
  </si>
  <si>
    <t>3VM1196-4EE32-0AA0</t>
  </si>
  <si>
    <t>3VM1120-4EE32-0AA0</t>
  </si>
  <si>
    <t>3VM1125-4EE32-0AA0</t>
  </si>
  <si>
    <t>3VM1132-4EE32-0AA0</t>
  </si>
  <si>
    <t>3VM1140-4EE32-0AA0</t>
  </si>
  <si>
    <t>3VM1150-4EE32-0AA0</t>
  </si>
  <si>
    <t>3VM1163-4EE32-0AA0</t>
  </si>
  <si>
    <t>3VM1180-4EE32-0AA0</t>
  </si>
  <si>
    <t>3VM1110-4EE32-0AA0</t>
  </si>
  <si>
    <t>3VM1112-4EE32-0AA0</t>
  </si>
  <si>
    <t>3VM1116-4EE32-0AA0</t>
  </si>
  <si>
    <t>3VM1220-4EE32-0AA0</t>
  </si>
  <si>
    <t>3VM1225-4EE32-0AA0</t>
  </si>
  <si>
    <t>3VA1120-5EE32-0AA0</t>
  </si>
  <si>
    <t>3VA1140-5EE32-0AA0</t>
  </si>
  <si>
    <t>3VA1150-5EE32-0AA0</t>
  </si>
  <si>
    <t>3VA1163-5EE32-0AA0</t>
  </si>
  <si>
    <t>3VA1180-5EE32-0AA0</t>
  </si>
  <si>
    <t>3VA1110-5EE32-0AA0</t>
  </si>
  <si>
    <t>3VA1112-5EE32-0AA0</t>
  </si>
  <si>
    <t>3VA1116-5EE32-0AA0</t>
  </si>
  <si>
    <t>3VA1220-5EF32-0AA0</t>
  </si>
  <si>
    <t>3VA2040-5HL32-0AA0</t>
  </si>
  <si>
    <t>3VA2010-5HL32-0AA0</t>
  </si>
  <si>
    <t>3VA2116-5HL32-0AA0</t>
  </si>
  <si>
    <t>3VA2580-5HL32-0AA0</t>
  </si>
  <si>
    <t>3VA2510-5HL32-0AA0</t>
  </si>
  <si>
    <t>TPS3K09100</t>
  </si>
  <si>
    <t>5SD7464-0</t>
  </si>
  <si>
    <t>Contactores</t>
  </si>
  <si>
    <t>3RT2016-1AN21</t>
  </si>
  <si>
    <t>Rele de asimetria tension - marca EATON.</t>
  </si>
  <si>
    <t>3VM1120-3ED22-0AA0</t>
  </si>
  <si>
    <t>3VM1125-3ED22-0AA0</t>
  </si>
  <si>
    <t>3VM1132-3ED22-0AA0</t>
  </si>
  <si>
    <t>3VM1140-3ED22-0AA0</t>
  </si>
  <si>
    <t>3VM1150-3ED22-0AA0</t>
  </si>
  <si>
    <t>3VM1163-3ED22-0AA0</t>
  </si>
  <si>
    <t>3VM1180-3ED22-0AA0</t>
  </si>
  <si>
    <t>3VM1110-3ED22-0AA0</t>
  </si>
  <si>
    <t>3VM1025-2ED32-0AA0</t>
  </si>
  <si>
    <t>3VM1032-2ED32-0AA0</t>
  </si>
  <si>
    <t>3VM1040-2ED32-0AA0</t>
  </si>
  <si>
    <t>3VM1050-2ED32-0AA0</t>
  </si>
  <si>
    <t>3VM1063-2ED32-0AA0</t>
  </si>
  <si>
    <t>3VM1080-2ED32-0AA0</t>
  </si>
  <si>
    <t>3VM1010-2ED32-0AA0</t>
  </si>
  <si>
    <t>3VM1112-3ED32-0AA0</t>
  </si>
  <si>
    <t>E4.2N-4000A-3P-Ekip Touch LSIG</t>
  </si>
  <si>
    <t>ITM Bastidor Abierto 3x4000A (electrónico [0.4-1.0] In) - E4.2N-4000A-3P-Ekip Touch LSIG - 66kA@440Vac - marca ABB.</t>
  </si>
  <si>
    <t>1SDA071196R1</t>
  </si>
  <si>
    <t>E4.2N-4000A-3P-Ekip Hi-Touch LSIG</t>
  </si>
  <si>
    <t>ITM Bastidor Abierto 3x4000A (electrónico [0.4-1.0] In) - E4.2N-4000A-3P-Ekip Hi-touch LSIG (funciones avanzadas) - 66kA@440Vac - marca ABB.</t>
  </si>
  <si>
    <t>1SDA071199R1</t>
  </si>
  <si>
    <t>T4D-320A-3P</t>
  </si>
  <si>
    <t>Módulo de señalización PR120/K (4 Salidas con terminales independientes) - para relés PR122/P, PR123/P - marca ABB.</t>
  </si>
  <si>
    <t xml:space="preserve">ITM 1x10A - EPC,  6kA - 230/400Vac.,  IEC-60898 - TECS by TERASAKI </t>
  </si>
  <si>
    <t xml:space="preserve">ITM 1x16A - EPC,  6kA - 230/400Vac., IEC-60898 - TECS by TERASAKI </t>
  </si>
  <si>
    <t xml:space="preserve">ITM 1x20A - EPC,  6kA - 230/400Vac., IEC-60898 - TECS by TERASAKI </t>
  </si>
  <si>
    <t xml:space="preserve">ITM 1x25A - EPC,  6kA - 230/400Vac., IEC-60898 - TECS by TERASAKI </t>
  </si>
  <si>
    <t xml:space="preserve">ITM 1x32A - EPC,  6kA - 230/400Vac., IEC-60898 - TECS by TERASAKI </t>
  </si>
  <si>
    <t xml:space="preserve">ITM 1x40A - EPC,  6kA - 230/400Vac., IEC-60898 - TECS by TERASAKI </t>
  </si>
  <si>
    <t xml:space="preserve">ITM 1x50A - EPC,  6kA - 230/400Vac., IEC-60898 - TECS by TERASAKI </t>
  </si>
  <si>
    <t xml:space="preserve">ITM 1x63A - EPC,  6kA - 230/400Vac., IEC-60898 - TECS by TERASAKI </t>
  </si>
  <si>
    <t xml:space="preserve">ITM 2x10A - EPC,  6kA - 230/400Vac., IEC-60898 - TECS by TERASAKI </t>
  </si>
  <si>
    <t xml:space="preserve">ITM 2x16A - EPC,  6kA - 230/400Vac., IEC-60898 - TECS by TERASAKI </t>
  </si>
  <si>
    <t xml:space="preserve">ITM 2x20A - EPC,  6kA - 230/400Vac., IEC-60898 - TECS by TERASAKI </t>
  </si>
  <si>
    <t xml:space="preserve">ITM 2x25A - EPC,  6kA - 230/400Vac., IEC-60898 - TECS by TERASAKI </t>
  </si>
  <si>
    <t xml:space="preserve">ITM 2x32A - EPC,  6kA - 230/400Vac., IEC-60898 - TECS by TERASAKI </t>
  </si>
  <si>
    <t xml:space="preserve">ITM 2x40A - EPC,  6kA - 230/400Vac., IEC-60898 - TECS by TERASAKI </t>
  </si>
  <si>
    <t xml:space="preserve">ITM 2x50A - EPC,  6kA - 230/400Vac., IEC-60898 - TECS by TERASAKI </t>
  </si>
  <si>
    <t xml:space="preserve">ITM 2x63A - EPC,  6kA - 230/400Vac., IEC-60898 - TECS by TERASAKI </t>
  </si>
  <si>
    <t xml:space="preserve">ITM 3x10A - EPC,  6kA - 230/400Vac., IEC-60898 - TECS by TERASAKI </t>
  </si>
  <si>
    <t xml:space="preserve">ITM 3x16A - EPC,  6kA - 230/400Vac., IEC-60898 - TECS by TERASAKI </t>
  </si>
  <si>
    <t xml:space="preserve">ITM 3x20A - EPC,  6kA - 230/400Vac., IEC-60898 - TECS by TERASAKI </t>
  </si>
  <si>
    <t xml:space="preserve">ITM 3x25A - EPC,  6kA - 230/400Vac., IEC-60898 - TECS by TERASAKI </t>
  </si>
  <si>
    <t xml:space="preserve">ITM 3x32A - EPC,  6kA - 230/400Vac., IEC-60898 - TECS by TERASAKI </t>
  </si>
  <si>
    <t xml:space="preserve">ITM 3x40A - EPC,  6kA - 230/400Vac., IEC-60898 - TECS by TERASAKI </t>
  </si>
  <si>
    <t xml:space="preserve">ITM 3x50A - EPC,  6kA - 230/400Vac., IEC-60898 - TECS by TERASAKI </t>
  </si>
  <si>
    <t xml:space="preserve">ITM 3x63A - EPC,  6kA - 230/400Vac., IEC-60898 - TECS by TERASAKI </t>
  </si>
  <si>
    <t xml:space="preserve">ITM 4x10A - EPC,  6kA - 230/400Vac., IEC-60898 - TECS by TERASAKI </t>
  </si>
  <si>
    <t xml:space="preserve">ITM 4x16A - EPC,  6kA - 230/400Vac., IEC-60898 - TECS by TERASAKI </t>
  </si>
  <si>
    <t xml:space="preserve">ITM 4x20A - EPC,  6kA - 230/400Vac., IEC-60898 - TECS by TERASAKI </t>
  </si>
  <si>
    <t xml:space="preserve">ITM 4x25A - EPC,  6kA - 230/400Vac., IEC-60898 - TECS by TERASAKI </t>
  </si>
  <si>
    <t xml:space="preserve">ITM 4x32A - EPC,  6kA - 230/400Vac., IEC-60898 - TECS by TERASAKI </t>
  </si>
  <si>
    <t xml:space="preserve">ITM 4x40A - EPC,  6kA - 230/400Vac., IEC-60898 - TECS by TERASAKI </t>
  </si>
  <si>
    <t xml:space="preserve">ITM 4x50A - EPC,  6kA - 230/400Vac., IEC-60898 - TECS by TERASAKI </t>
  </si>
  <si>
    <t xml:space="preserve">ITM 4x63A - EPC,  6kA - 230/400Vac., IEC-60898 - TECS by TERASAKI </t>
  </si>
  <si>
    <t xml:space="preserve">ITM 1x10A - EPC,  10kA - 230/400Vac. - TECS by TERASAKI </t>
  </si>
  <si>
    <t xml:space="preserve">ITM 1x16A - EPC,  10kA - 230/400Vac. - TECS by TERASAKI </t>
  </si>
  <si>
    <t xml:space="preserve">ITM 1x20A - EPC,  10kA - 230/400Vac. - TECS by TERASAKI </t>
  </si>
  <si>
    <t xml:space="preserve">ITM 1x25A - EPC,  10kA - 230/400Vac. - TECS by TERASAKI </t>
  </si>
  <si>
    <t xml:space="preserve">ITM 1x32A - EPC,  10kA - 230/400Vac. - TECS by TERASAKI </t>
  </si>
  <si>
    <t xml:space="preserve">ITM 1x40A - EPC,  10kA - 230/400Vac. - TECS by TERASAKI </t>
  </si>
  <si>
    <t xml:space="preserve">ITM 1x50A - EPC,  10kA - 230/400Vac. - TECS by TERASAKI </t>
  </si>
  <si>
    <t xml:space="preserve">ITM 1x63A - EPC,  10kA - 230/400Vac. - TECS by TERASAKI </t>
  </si>
  <si>
    <t xml:space="preserve">ITM 2x10A - EPC,  10kA - 230/400Vac. - TECS by TERASAKI </t>
  </si>
  <si>
    <t xml:space="preserve">ITM 2x16A - EPC,  10kA - 230/400Vac. - TECS by TERASAKI </t>
  </si>
  <si>
    <t xml:space="preserve">ITM 2x20A - EPC,  10kA - 230/400Vac. - TECS by TERASAKI </t>
  </si>
  <si>
    <t xml:space="preserve">ITM 2x25A - EPC,  10kA - 230/400Vac. - TECS by TERASAKI </t>
  </si>
  <si>
    <t xml:space="preserve">ITM 2x32A - EPC,  10kA - 230/400Vac. - TECS by TERASAKI </t>
  </si>
  <si>
    <t xml:space="preserve">ITM 2x40A - EPC,  10kA - 230/400Vac. - TECS by TERASAKI </t>
  </si>
  <si>
    <t xml:space="preserve">ITM 2x50A - EPC,  10kA - 230/400Vac. - TECS by TERASAKI </t>
  </si>
  <si>
    <t xml:space="preserve">ITM 2x63A - EPC,  10kA - 230/400Vac. - TECS by TERASAKI </t>
  </si>
  <si>
    <t xml:space="preserve">ITM 3x10A - EPC,  10kA - 230/400Vac. - TECS by TERASAKI </t>
  </si>
  <si>
    <t xml:space="preserve">ITM 3x16A - EPC,  10kA - 230/400Vac. - TECS by TERASAKI </t>
  </si>
  <si>
    <t xml:space="preserve">ITM 3x20A - EPC,  10kA - 230/400Vac. - TECS by TERASAKI </t>
  </si>
  <si>
    <t xml:space="preserve">ITM 3x25A - EPC,  10kA - 230/400Vac. - TECS by TERASAKI </t>
  </si>
  <si>
    <t xml:space="preserve">ITM 3x32A - EPC,  10kA - 230/400Vac. - TECS by TERASAKI </t>
  </si>
  <si>
    <t xml:space="preserve">ITM 3x40A - EPC,  10kA - 230/400Vac. - TECS by TERASAKI </t>
  </si>
  <si>
    <t xml:space="preserve">ITM 3x50A - EPC,  10kA - 230/400Vac. - TECS by TERASAKI </t>
  </si>
  <si>
    <t xml:space="preserve">ITM 3x63A - EPC,  10kA - 230/400Vac. - TECS by TERASAKI </t>
  </si>
  <si>
    <t xml:space="preserve">ITM 4x10A - EPC,  10kA - 230/400Vac. - TECS by TERASAKI </t>
  </si>
  <si>
    <t xml:space="preserve">ITM 4x16A - EPC,  10kA - 230/400Vac. - TECS by TERASAKI </t>
  </si>
  <si>
    <t xml:space="preserve">ITM 4x20A - EPC,  10kA - 230/400Vac. - TECS by TERASAKI </t>
  </si>
  <si>
    <t xml:space="preserve">ITM 4x25A - EPC,  10kA - 230/400Vac. - TECS by TERASAKI </t>
  </si>
  <si>
    <t xml:space="preserve">ITM 4x32A - EPC,  10kA - 230/400Vac. - TECS by TERASAKI </t>
  </si>
  <si>
    <t xml:space="preserve">ITM 4x40A - EPC,  10kA - 230/400Vac. - TECS by TERASAKI </t>
  </si>
  <si>
    <t xml:space="preserve">ITM 4x50A - EPC,  10kA - 230/400Vac. - TECS by TERASAKI </t>
  </si>
  <si>
    <t xml:space="preserve">ITM 4x63A - EPC,  10kA - 230/400Vac. - TECS by TERASAKI </t>
  </si>
  <si>
    <t xml:space="preserve">ITM 1x10A - EPD,  10kA - 230/400Vac. - TECS by TERASAKI </t>
  </si>
  <si>
    <t xml:space="preserve">ITM 1x16A - EPD,  10kA - 230/400Vac. - TECS by TERASAKI </t>
  </si>
  <si>
    <t xml:space="preserve">ITM 1x20A - EPD,  10kA - 230/400Vac. - TECS by TERASAKI </t>
  </si>
  <si>
    <t xml:space="preserve">ITM 1x25A - EPD,  10kA - 230/400Vac. - TECS by TERASAKI </t>
  </si>
  <si>
    <t xml:space="preserve">ITM 1x32A - EPD,  10kA - 230/400Vac. - TECS by TERASAKI </t>
  </si>
  <si>
    <t xml:space="preserve">ITM 1x40A - EPD,  10kA - 230/400Vac. - TECS by TERASAKI </t>
  </si>
  <si>
    <t xml:space="preserve">ITM 1x50A - EPD,  10kA - 230/400Vac. - TECS by TERASAKI </t>
  </si>
  <si>
    <t xml:space="preserve">ITM 1x63A - EPD,  10kA - 230/400Vac. - TECS by TERASAKI </t>
  </si>
  <si>
    <t xml:space="preserve">ITM 2x10A - EPD,  10kA - 230/400Vac. - TECS by TERASAKI </t>
  </si>
  <si>
    <t xml:space="preserve">ITM 2x16A - EPD,  10kA - 230/400Vac. - TECS by TERASAKI </t>
  </si>
  <si>
    <t xml:space="preserve">ITM 2x20A - EPD,  10kA - 230/400Vac. - TECS by TERASAKI </t>
  </si>
  <si>
    <t xml:space="preserve">ITM 2x25A - EPD,  10kA - 230/400Vac. - TECS by TERASAKI </t>
  </si>
  <si>
    <t xml:space="preserve">ITM 2x32A - EPD,  10kA - 230/400Vac. - TECS by TERASAKI </t>
  </si>
  <si>
    <t xml:space="preserve">ITM 2x40A - EPD,  10kA - 230/400Vac. - TECS by TERASAKI </t>
  </si>
  <si>
    <t xml:space="preserve">ITM 2x50A - EPD,  10kA - 230/400Vac. - TECS by TERASAKI </t>
  </si>
  <si>
    <t xml:space="preserve">ITM 2x63A - EPD,  10kA - 230/400Vac. - TECS by TERASAKI </t>
  </si>
  <si>
    <t xml:space="preserve">ITM 3x10A - EPD,  10kA - 230/400Vac. - TECS by TERASAKI </t>
  </si>
  <si>
    <t xml:space="preserve">ITM 3x16A - EPD,  10kA - 230/400Vac. - TECS by TERASAKI </t>
  </si>
  <si>
    <t xml:space="preserve">ITM 3x20A - EPD,  10kA - 230/400Vac. - TECS by TERASAKI </t>
  </si>
  <si>
    <t xml:space="preserve">ITM 3x25A - EPD,  10kA - 230/400Vac. - TECS by TERASAKI </t>
  </si>
  <si>
    <t xml:space="preserve">ITM 3x32A - EPD,  10kA - 230/400Vac. - TECS by TERASAKI </t>
  </si>
  <si>
    <t xml:space="preserve">ITM 3x40A - EPD,  10kA - 230/400Vac. - TECS by TERASAKI </t>
  </si>
  <si>
    <t xml:space="preserve">ITM 3x50A - EPD,  10kA - 230/400Vac. - TECS by TERASAKI </t>
  </si>
  <si>
    <t xml:space="preserve">ITM 3x63A - EPD,  10kA - 230/400Vac. - TECS by TERASAKI </t>
  </si>
  <si>
    <t xml:space="preserve">ITM 4x10A - EPD,  10kA - 230/400Vac. - TECS by TERASAKI </t>
  </si>
  <si>
    <t xml:space="preserve">ITM 4x16A - EPD,  10kA - 230/400Vac. - TECS by TERASAKI </t>
  </si>
  <si>
    <t xml:space="preserve">ITM 4x20A - EPD,  10kA - 230/400Vac. - TECS by TERASAKI </t>
  </si>
  <si>
    <t xml:space="preserve">ITM 4x25A - EPD,  10kA - 230/400Vac. - TECS by TERASAKI </t>
  </si>
  <si>
    <t xml:space="preserve">ITM 4x32A - EPD,  10kA - 230/400Vac. - TECS by TERASAKI </t>
  </si>
  <si>
    <t xml:space="preserve">ITM 4x40A - EPD,  10kA - 230/400Vac. - TECS by TERASAKI </t>
  </si>
  <si>
    <t xml:space="preserve">ITM 4x50A - EPD,  10kA - 230/400Vac. - TECS by TERASAKI </t>
  </si>
  <si>
    <t xml:space="preserve">ITM 4x63A - EPD,  10kA - 230/400Vac. - TECS by TERASAKI </t>
  </si>
  <si>
    <t xml:space="preserve">Int. Diferencial 2x25A - 30mA de sensibilidad, clase AC - TECS by TERASAKI </t>
  </si>
  <si>
    <t xml:space="preserve">Int. Diferencial 2x40A - 30mA de sensibilidad, clase AC - TECS by TERASAKI </t>
  </si>
  <si>
    <t xml:space="preserve">Int. Diferencial 2x63A - 30mA de sensibilidad, clase AC - TECS by TERASAKI </t>
  </si>
  <si>
    <t xml:space="preserve">Int. Diferencial 4x25A - 30mA de sensibilidad, clase AC - TECS by TERASAKI </t>
  </si>
  <si>
    <t xml:space="preserve">Int. Diferencial 4x40A - 30mA de sensibilidad, clase AC - TECS by TERASAKI </t>
  </si>
  <si>
    <t xml:space="preserve">Int. Diferencial 4x63A - 30mA de sensibilidad, clase AC - TECS by TERASAKI </t>
  </si>
  <si>
    <t xml:space="preserve">Int. Diferencial 2x25A - 30mA de sensibilidad, clase A (inmunizado) - TECS by TERASAKI </t>
  </si>
  <si>
    <t xml:space="preserve">Int. Diferencial 2x40A - 30mA de sensibilidad, clase A (inmunizado) - TECS by TERASAKI </t>
  </si>
  <si>
    <t xml:space="preserve">Int. Diferencial 2x63A - 30mA de sensibilidad, clase A (inmunizado) - TECS by TERASAKI </t>
  </si>
  <si>
    <t xml:space="preserve">Int. Diferencial 4x25A - 30mA de sensibilidad, clase A (inmunizado) - TECS by TERASAKI </t>
  </si>
  <si>
    <t xml:space="preserve">Int. Diferencial 4x40A - 30mA de sensibilidad, clase A (inmunizado) - TECS by TERASAKI </t>
  </si>
  <si>
    <t xml:space="preserve">Int. Diferencial 4x63A - 30mA de sensibilidad, clase A (inmunizado) - TECS by TERASAKI </t>
  </si>
  <si>
    <t>LG</t>
  </si>
  <si>
    <t>DESCUENTOS LEGRAND</t>
  </si>
  <si>
    <t>2CSF204592R1250</t>
  </si>
  <si>
    <t>CLASE A - 400Hz</t>
  </si>
  <si>
    <t>F204-A-25A-30mA 400Hz</t>
  </si>
  <si>
    <t>Interruptor Diferencial 4x25A - 30mA - clase A (inmunizado) - F204-A-25A-30mA - 400Hz - marca ABB.</t>
  </si>
  <si>
    <t>2CSF204197R1250</t>
  </si>
  <si>
    <t>F204-A-40A-30mA 400Hz</t>
  </si>
  <si>
    <t>Interruptor Diferencial 4x40A - 30mA - clase A (inmunizado) - F204-A-40A-30mA - 400Hz - marca ABB.</t>
  </si>
  <si>
    <t>2CSF204197R1400</t>
  </si>
  <si>
    <t>ITM Caja Moldeada 3x630A (reg.[0.7-1.0] In) - T6N630-630A-3P-TMA - 70kA@230Vac, 36kA@415Vac, 25kA@500Vdc - marca ABB.</t>
  </si>
  <si>
    <t>T6N800-800A-3P-TMA</t>
  </si>
  <si>
    <t>ITM Caja Moldeada 3x800A (reg.[0.7-1.0] In) - T6N800-800A-3P-TMA - 70kA@230Vac, 36kA@415Vac, 25kA@500Vdc - marca ABB.</t>
  </si>
  <si>
    <t>1SDA060214R1</t>
  </si>
  <si>
    <t>T5N400-320A-4P-PR221DS-LS/I</t>
  </si>
  <si>
    <t>ITM Caja Moldeada 4x320A (electrónico [0.4-1.0] In) - T5N400-320A-4P-PR221DS-LS/I - 70kA@230Vac, 36kA@415Vac - marca ABB.</t>
  </si>
  <si>
    <t>1SDA054324R1</t>
  </si>
  <si>
    <t>LEGRAND</t>
  </si>
  <si>
    <t>CVX050-208Y</t>
  </si>
  <si>
    <t>Dispositivo Protector de Sobretensión, para un sistema trifasico, 4 Hilos, 208/120V, Corriente de pico por fase de 50kA, modelo CVX, marca EATON.</t>
  </si>
  <si>
    <t>SPD050220Y3K</t>
  </si>
  <si>
    <t>DRX3/100- 15A 35kA (2P) - FIJO</t>
  </si>
  <si>
    <t>DRX3/100- 20A 35kA (2P) - FIJO</t>
  </si>
  <si>
    <t>027051</t>
  </si>
  <si>
    <t>DRX3/100- 25A 35kA (2P) - FIJO</t>
  </si>
  <si>
    <t>027052</t>
  </si>
  <si>
    <t>DRX3/100- 30A 35kA (2P) - FIJO</t>
  </si>
  <si>
    <t>027053</t>
  </si>
  <si>
    <t>DRX3/100- 40A 35kA (2P) - FIJO</t>
  </si>
  <si>
    <t>027054</t>
  </si>
  <si>
    <t>DRX3/100- 50A 35kA (2P) - FIJO</t>
  </si>
  <si>
    <t>027055</t>
  </si>
  <si>
    <t>DRX3/100- 60A 35kA (2P) - FIJO</t>
  </si>
  <si>
    <t>027056</t>
  </si>
  <si>
    <t>DRX3/100- 75A 35kA (2P) - FIJO</t>
  </si>
  <si>
    <t>027057</t>
  </si>
  <si>
    <t>DRX3/100- 100A 35kA (2P) - FIJO</t>
  </si>
  <si>
    <t>027058</t>
  </si>
  <si>
    <t>DRX3/100- 15A 10kA (3P) - FIJO</t>
  </si>
  <si>
    <t>DRX3/100- 20A 10kA (3P) - FIJO</t>
  </si>
  <si>
    <t>027001</t>
  </si>
  <si>
    <t>DRX3/100- 25A 10kA (3P) - FIJO</t>
  </si>
  <si>
    <t>027002</t>
  </si>
  <si>
    <t>DRX3/100- 30A 10kA (3P) - FIJO</t>
  </si>
  <si>
    <t>027003</t>
  </si>
  <si>
    <t>DRX3/100- 40A 10kA (3P) - FIJO</t>
  </si>
  <si>
    <t>027004</t>
  </si>
  <si>
    <t>DRX3/100- 50A 10kA (3P) - FIJO</t>
  </si>
  <si>
    <t>027005</t>
  </si>
  <si>
    <t>DRX3/100- 60A 10kA (3P) - FIJO</t>
  </si>
  <si>
    <t>027006</t>
  </si>
  <si>
    <t>DRX3/100- 75A 10kA (3P) - FIJO</t>
  </si>
  <si>
    <t>027007</t>
  </si>
  <si>
    <t>DRX3/100- 100A 10kA (3P) - FIJO</t>
  </si>
  <si>
    <t>027008</t>
  </si>
  <si>
    <t>DRX3/100- 15A 35kA (3P) - FIJO</t>
  </si>
  <si>
    <t>DRX3/100- 20A 35kA (3P) - FIJO</t>
  </si>
  <si>
    <t>027061</t>
  </si>
  <si>
    <t>DRX3/100- 25A 35kA (3P) - FIJO</t>
  </si>
  <si>
    <t>027062</t>
  </si>
  <si>
    <t>DRX3/100- 30A 35kA (3P) - FIJO</t>
  </si>
  <si>
    <t>027063</t>
  </si>
  <si>
    <t>DRX3/100- 40A 35kA (3P) - FIJO</t>
  </si>
  <si>
    <t>027064</t>
  </si>
  <si>
    <t>DRX3/100- 50A 35kA (3P) - FIJO</t>
  </si>
  <si>
    <t>027065</t>
  </si>
  <si>
    <t>DRX3/100- 60A 35kA (3P) - FIJO</t>
  </si>
  <si>
    <t>027066</t>
  </si>
  <si>
    <t>DRX3/100- 75A 35kA (3P) - FIJO</t>
  </si>
  <si>
    <t>027067</t>
  </si>
  <si>
    <t>DRX3/100- 100A 35kA (3P) - FIJO</t>
  </si>
  <si>
    <t>027068</t>
  </si>
  <si>
    <t>DRX3/250- 125A 25kA (3P) - FIJO</t>
  </si>
  <si>
    <t>DRX3/250- 150A 25kA (3P) - FIJO</t>
  </si>
  <si>
    <t>027113</t>
  </si>
  <si>
    <t>DRX3/250- 175A 25kA (3P) - FIJO</t>
  </si>
  <si>
    <t>027114</t>
  </si>
  <si>
    <t>DRX3/250- 200A 25kA (3P) - FIJO</t>
  </si>
  <si>
    <t>027115</t>
  </si>
  <si>
    <t>DRX3/250- 225A 25kA (3P) - FIJO</t>
  </si>
  <si>
    <t>027116</t>
  </si>
  <si>
    <t>DRX3/250- 250A 25kA (3P) - FIJO</t>
  </si>
  <si>
    <t>027117</t>
  </si>
  <si>
    <t>DPX3/160- 25A 25kA (3P)</t>
  </si>
  <si>
    <t>DPX3/160- 40A 25kA (3P)</t>
  </si>
  <si>
    <t>420042</t>
  </si>
  <si>
    <t>DPX3/160- 63A 25kA (3P)</t>
  </si>
  <si>
    <t>420043</t>
  </si>
  <si>
    <t>DPX3/160- 80A 25kA (3P)</t>
  </si>
  <si>
    <t>420044</t>
  </si>
  <si>
    <t>DPX3/160- 100A 25kA (3P)</t>
  </si>
  <si>
    <t>420045</t>
  </si>
  <si>
    <t>DPX3/160- 125A 25kA (3P)</t>
  </si>
  <si>
    <t>420046</t>
  </si>
  <si>
    <t>DPX3/160- 160A 25kA (3P)</t>
  </si>
  <si>
    <t>420047</t>
  </si>
  <si>
    <t>DPX3/160- 25A 36kA (3P)</t>
  </si>
  <si>
    <t>DPX3/160- 40A 36kA (3P)</t>
  </si>
  <si>
    <t>420082</t>
  </si>
  <si>
    <t>DPX3/160- 63A 36kA (3P)</t>
  </si>
  <si>
    <t>420083</t>
  </si>
  <si>
    <t>DPX3/160- 80A 36kA (3P)</t>
  </si>
  <si>
    <t>DPX3/160- 100A 36kA (3P)</t>
  </si>
  <si>
    <t>420085</t>
  </si>
  <si>
    <t>DPX3/160- 125A 36kA (3P)</t>
  </si>
  <si>
    <t>420086</t>
  </si>
  <si>
    <t>DPX3/160- 160A 36kA (3P)</t>
  </si>
  <si>
    <t>420087</t>
  </si>
  <si>
    <t>DPX3/160- 25A 25kA (4P)</t>
  </si>
  <si>
    <t>DPX3/160- 40A 25kA (4P)</t>
  </si>
  <si>
    <t>420052</t>
  </si>
  <si>
    <t>DPX3/160- 63A 25kA (4P)</t>
  </si>
  <si>
    <t>420053</t>
  </si>
  <si>
    <t>DPX3/160- 80A 25kA (4P)</t>
  </si>
  <si>
    <t>DPX3/160- 100A 25kA (4P)</t>
  </si>
  <si>
    <t>420055</t>
  </si>
  <si>
    <t>DPX3/160- 125A 25kA (4P)</t>
  </si>
  <si>
    <t>420056</t>
  </si>
  <si>
    <t>DPX3/160- 160A 25kA (4P)</t>
  </si>
  <si>
    <t>DPX3/160- 25A 36kA (4P)</t>
  </si>
  <si>
    <t>DPX3/160- 40A 36kA (4P)</t>
  </si>
  <si>
    <t>420092</t>
  </si>
  <si>
    <t>DPX3/160- 63A 36kA (4P)</t>
  </si>
  <si>
    <t>420093</t>
  </si>
  <si>
    <t>DPX3/160- 80A 36kA (4P)</t>
  </si>
  <si>
    <t>420094</t>
  </si>
  <si>
    <t>DPX3/160- 100A 36kA (4P)</t>
  </si>
  <si>
    <t>420095</t>
  </si>
  <si>
    <t>DPX3/160- 125A 36kA (4P)</t>
  </si>
  <si>
    <t>420096</t>
  </si>
  <si>
    <t>DPX3/160- 160A 36kA (4P)</t>
  </si>
  <si>
    <t>420097</t>
  </si>
  <si>
    <t>DPX3/160- 80A 50kA (3P)</t>
  </si>
  <si>
    <t>DPX3/160- 100A 50kA (3P)</t>
  </si>
  <si>
    <t>420125</t>
  </si>
  <si>
    <t>DPX3/160- 125A 50kA (3P)</t>
  </si>
  <si>
    <t>420126</t>
  </si>
  <si>
    <t>DPX3/160- 160A 50kA (3P)</t>
  </si>
  <si>
    <t>420127</t>
  </si>
  <si>
    <t>DPX3/160- 125A 50kA (4P)</t>
  </si>
  <si>
    <t>420136</t>
  </si>
  <si>
    <t>DPX3/160- 160A 50kA (4P)</t>
  </si>
  <si>
    <t>420137</t>
  </si>
  <si>
    <t>DPX3/250- 200A 36kA (3P)</t>
  </si>
  <si>
    <t>DPX3/250- 250A 36kA (3P)</t>
  </si>
  <si>
    <t>420239</t>
  </si>
  <si>
    <t>DPX3/250- 200A 50kA (3P)</t>
  </si>
  <si>
    <t>DPX3/250- 250A 50kA (3P)</t>
  </si>
  <si>
    <t>420269</t>
  </si>
  <si>
    <t>DPX3/250- 200A 70kA (3P)</t>
  </si>
  <si>
    <t>DPX3/250- 250A 70kA (3P)</t>
  </si>
  <si>
    <t>420609</t>
  </si>
  <si>
    <t>DPX3/250- 200A 36kA (4P)</t>
  </si>
  <si>
    <t>DPX3/250- 250A 36kA (4P)</t>
  </si>
  <si>
    <t>420249</t>
  </si>
  <si>
    <t>DPX3/250- 200A 50kA (4P)</t>
  </si>
  <si>
    <t>DPX3/250- 250A 50kA (4P)</t>
  </si>
  <si>
    <t>420279</t>
  </si>
  <si>
    <t>DPX3/250- 200A 70kA (4P)</t>
  </si>
  <si>
    <t>DPX3/250- 250A 70kA (4P)</t>
  </si>
  <si>
    <t>DPX3/630- 320A 36kA (3P)</t>
  </si>
  <si>
    <t>DPX3/630- 400A 36kA (3P)</t>
  </si>
  <si>
    <t>DPX3/630- 500A 36kA (3P)</t>
  </si>
  <si>
    <t>422003</t>
  </si>
  <si>
    <t>DPX3/630- 630A 36kA (3P)</t>
  </si>
  <si>
    <t>422004</t>
  </si>
  <si>
    <t>DPX3/630- 320A 50kA (3P)</t>
  </si>
  <si>
    <t>DPX3/630- 400A 50kA (3P)</t>
  </si>
  <si>
    <t>422016</t>
  </si>
  <si>
    <t>DPX3/630- 500A 50kA (3P)</t>
  </si>
  <si>
    <t>422017</t>
  </si>
  <si>
    <t>DPX3/630- 630A 50kA (3P)</t>
  </si>
  <si>
    <t>422018</t>
  </si>
  <si>
    <t>DPX3/630- 320A 70kA (3P)</t>
  </si>
  <si>
    <t>DPX3/630- 400A 70kA (3P)</t>
  </si>
  <si>
    <t>422030</t>
  </si>
  <si>
    <t>DPX3/630- 500A 70kA (3P)</t>
  </si>
  <si>
    <t>422031</t>
  </si>
  <si>
    <t>DPX3/630- 630A 70kA (3P)</t>
  </si>
  <si>
    <t>422032</t>
  </si>
  <si>
    <t>DPX3/630- 320A 100kA (3P)</t>
  </si>
  <si>
    <t>DPX3/630- 400A 100kA (3P)</t>
  </si>
  <si>
    <t>422044</t>
  </si>
  <si>
    <t>DPX3/630- 500A 100kA (3P)</t>
  </si>
  <si>
    <t>422045</t>
  </si>
  <si>
    <t>DPX3/630- 630A 100kA (3P)</t>
  </si>
  <si>
    <t>422046</t>
  </si>
  <si>
    <t>DPX3/630- 320A 36kA (4P)</t>
  </si>
  <si>
    <t>DPX3/630- 400A 36kA (4P)</t>
  </si>
  <si>
    <t>422007</t>
  </si>
  <si>
    <t>DPX3/630- 500A 36kA (4P)</t>
  </si>
  <si>
    <t>422008</t>
  </si>
  <si>
    <t>DPX3/630- 630A 36kA (4P)</t>
  </si>
  <si>
    <t>422009</t>
  </si>
  <si>
    <t>DPX3/630- 320A 50kA (4P)</t>
  </si>
  <si>
    <t>DPX3/630- 400A 50kA (4P)</t>
  </si>
  <si>
    <t>422021</t>
  </si>
  <si>
    <t>DPX3/630- 500A 50kA (4P)</t>
  </si>
  <si>
    <t>422022</t>
  </si>
  <si>
    <t>DPX3/630- 630A 50kA (4P)</t>
  </si>
  <si>
    <t>422023</t>
  </si>
  <si>
    <t>DPX3/630- 320A 70kA (4P)</t>
  </si>
  <si>
    <t>DPX3/630- 400A 70kA (4P)</t>
  </si>
  <si>
    <t>422035</t>
  </si>
  <si>
    <t>DPX3/630- 500A 70kA (4P)</t>
  </si>
  <si>
    <t>422036</t>
  </si>
  <si>
    <t>DPX3/630- 630A 70kA (4P)</t>
  </si>
  <si>
    <t>422037</t>
  </si>
  <si>
    <t>DPX3/630- 320A 100kA (4P)</t>
  </si>
  <si>
    <t>DPX3/630- 400A 100kA (4P)</t>
  </si>
  <si>
    <t>DPX3/630- 500A 100kA (4P)</t>
  </si>
  <si>
    <t>422050</t>
  </si>
  <si>
    <t>DPX3/630- 630A 100kA (4P)</t>
  </si>
  <si>
    <t>422051</t>
  </si>
  <si>
    <t>DPX3/630-S1(LS) 320A 36kA (3P)</t>
  </si>
  <si>
    <t>DPX3/630-S1(LS) 400A 36kA (3P)</t>
  </si>
  <si>
    <t>422500</t>
  </si>
  <si>
    <t>DPX3/630-S1(LS) 500A 36kA (3P)</t>
  </si>
  <si>
    <t>422501</t>
  </si>
  <si>
    <t>DPX3/630-S1(LS) 630A 36kA (3P)</t>
  </si>
  <si>
    <t>422502</t>
  </si>
  <si>
    <t>DPX3/630-S1(LS) 320A 50kA (3P)</t>
  </si>
  <si>
    <t>DPX3/630-S1(LS) 400A 50kA (3P)</t>
  </si>
  <si>
    <t>422510</t>
  </si>
  <si>
    <t>DPX3/630-S1(LS) 500A 50kA (3P)</t>
  </si>
  <si>
    <t>422511</t>
  </si>
  <si>
    <t>DPX3/630-S1(LS) 630A 50kA (3P)</t>
  </si>
  <si>
    <t>422512</t>
  </si>
  <si>
    <t>DPX3/630-S1(LS) 320A 70kA (3P)</t>
  </si>
  <si>
    <t>DPX3/630-S1(LS) 400A 70kA (3P)</t>
  </si>
  <si>
    <t>422520</t>
  </si>
  <si>
    <t>DPX3/630-S1(LS) 500A 70kA (3P)</t>
  </si>
  <si>
    <t>422521</t>
  </si>
  <si>
    <t>DPX3/630-S1(LS) 630A 70kA (3P)</t>
  </si>
  <si>
    <t>DPX3/630-S2(LSI) 320A 36kA (3P)</t>
  </si>
  <si>
    <t>DPX3/630-S2(LSI) 400A 36kA (3P)</t>
  </si>
  <si>
    <t>422058</t>
  </si>
  <si>
    <t>DPX3/630-S2(LSI) 500A 36kA (3P)</t>
  </si>
  <si>
    <t>422059</t>
  </si>
  <si>
    <t>DPX3/630-S2(LSI) 630A 36kA (3P)</t>
  </si>
  <si>
    <t>422060</t>
  </si>
  <si>
    <t>DPX3/630-S2(LSI) 320A 50kA (3P)</t>
  </si>
  <si>
    <t>DPX3/630-S2(LSI) 400A 50kA (3P)</t>
  </si>
  <si>
    <t>422068</t>
  </si>
  <si>
    <t>DPX3/630-S2(LSI) 500A 50kA (3P)</t>
  </si>
  <si>
    <t>422069</t>
  </si>
  <si>
    <t>DPX3/630-S2(LSI) 630A 50kA (3P)</t>
  </si>
  <si>
    <t>422070</t>
  </si>
  <si>
    <t>DPX3/630-S2(LSI) 320A 70kA (3P)</t>
  </si>
  <si>
    <t>DPX3/630-S2(LSI) 400A 70kA (3P)</t>
  </si>
  <si>
    <t>422078</t>
  </si>
  <si>
    <t>DPX3/630-S2(LSI) 500A 70kA (3P)</t>
  </si>
  <si>
    <t>422079</t>
  </si>
  <si>
    <t>DPX3/630-S2(LSI) 630A 70kA (3P)</t>
  </si>
  <si>
    <t>422080</t>
  </si>
  <si>
    <t>DPX3/1600- 800A 50kA (3P)</t>
  </si>
  <si>
    <t>DPX3/1600- 1000A 50kA (3P)</t>
  </si>
  <si>
    <t>422265</t>
  </si>
  <si>
    <t>DPX3/1600- 1250A 50kA (3P)</t>
  </si>
  <si>
    <t>422266</t>
  </si>
  <si>
    <t>DPX3/1600- 800A 70kA (3P)</t>
  </si>
  <si>
    <t>DPX3/1600- 1000A 70kA (3P)</t>
  </si>
  <si>
    <t>422277</t>
  </si>
  <si>
    <t>DPX3/1600- 1250A 70kA (3P)</t>
  </si>
  <si>
    <t>422278</t>
  </si>
  <si>
    <t>DPX3/1600- 800A 100kA (3P)</t>
  </si>
  <si>
    <t>DPX3/1600- 1000A 100kA (3P)</t>
  </si>
  <si>
    <t>422289</t>
  </si>
  <si>
    <t>DPX3/1600- 1250A 100kA (3P)</t>
  </si>
  <si>
    <t>422290</t>
  </si>
  <si>
    <t>DPX3/1600- 800A 100kA (4P)</t>
  </si>
  <si>
    <t>DPX3/1600- 1000A 100kA (4P)</t>
  </si>
  <si>
    <t>422294</t>
  </si>
  <si>
    <t>DPX3/1600- 1250A 100kA (4P)</t>
  </si>
  <si>
    <t>422295</t>
  </si>
  <si>
    <t>DPX3/1600-S1(LS)- 800A 50kA (3P)</t>
  </si>
  <si>
    <t>DPX3/1600-S1(LS)- 1000A 50kA (3P)</t>
  </si>
  <si>
    <t>422553</t>
  </si>
  <si>
    <t>DPX3/1600-S1(LS)- 1250A 50kA (3P)</t>
  </si>
  <si>
    <t>422554</t>
  </si>
  <si>
    <t>DPX3/1600-S1(LS)- 1600A 50kA (3P)</t>
  </si>
  <si>
    <t>422555</t>
  </si>
  <si>
    <t>DPX3/1600-S1(LS)- 800A 70kA (3P)</t>
  </si>
  <si>
    <t>DPX3/1600-S1(LS)- 1000A 70kA (3P)</t>
  </si>
  <si>
    <t>422565</t>
  </si>
  <si>
    <t>DPX3/1600-S1(LS)- 1250A 70kA (3P)</t>
  </si>
  <si>
    <t>422566</t>
  </si>
  <si>
    <t>DPX3/1600-S1(LS)- 1600A 70kA (3P)</t>
  </si>
  <si>
    <t>422567</t>
  </si>
  <si>
    <t>DPX3/1600-S2(LSI)- 800A 70kA (3P)</t>
  </si>
  <si>
    <t>DPX3/1600-S2(LSI)- 1000A 70kA (3P)</t>
  </si>
  <si>
    <t>422325</t>
  </si>
  <si>
    <t>DPX3/1600-S2(LSI)- 1250A 70kA (3P)</t>
  </si>
  <si>
    <t>422326</t>
  </si>
  <si>
    <t>DPX3/1600-S2(LSI)- 1600A 70kA (3P)</t>
  </si>
  <si>
    <t>422327</t>
  </si>
  <si>
    <t>DMX3/MP4(LSI)- 1250A 65kA (3P)</t>
  </si>
  <si>
    <t>ITM Bastidor Abierto de 3x1250A, electronico MP4(LSI) (Reg. 500-1250A ) DMX3 1250, 65kA@400 Vac.- marca Legrand</t>
  </si>
  <si>
    <t>028643</t>
  </si>
  <si>
    <t>Legrand</t>
  </si>
  <si>
    <t>DMX3/MP4(LSI)- 1600A 65kA (3P)</t>
  </si>
  <si>
    <t>028644</t>
  </si>
  <si>
    <t>DMX3/MP4(LSI)- 2000A 65kA (3P)</t>
  </si>
  <si>
    <t>028645</t>
  </si>
  <si>
    <t>DMX3/MP4(LSI)- 2500A 65kA (3P)</t>
  </si>
  <si>
    <t>028646</t>
  </si>
  <si>
    <t>DMX3/MP4(LSI)- 3200A 65kA (3P)</t>
  </si>
  <si>
    <t>028647</t>
  </si>
  <si>
    <t>DMX3/MP4(LSI)- 4000A 65kA (3P)</t>
  </si>
  <si>
    <t>028648</t>
  </si>
  <si>
    <t>DMX3/MP4(LSI)- 5000A 65kA (3P)</t>
  </si>
  <si>
    <t>028950</t>
  </si>
  <si>
    <t>Mando-motor_DMX3</t>
  </si>
  <si>
    <t>Mando motor  230Vac p/modelo DMX3  - marca Legrand</t>
  </si>
  <si>
    <t>028837</t>
  </si>
  <si>
    <t>Bob_cierre_DMX3</t>
  </si>
  <si>
    <t xml:space="preserve">Bobina de cierre 230Vac/Vdc p/modelo DMX3 - marca Legrand  </t>
  </si>
  <si>
    <t>028844</t>
  </si>
  <si>
    <t>Bob_disparo_DMX3</t>
  </si>
  <si>
    <t xml:space="preserve">Bobina de disparo 230Vac/Vdc p/modelo DMX3 - marca Legrand  </t>
  </si>
  <si>
    <t>028851</t>
  </si>
  <si>
    <t>Bob_minima-tens_DMX3</t>
  </si>
  <si>
    <t xml:space="preserve">Bobina de mínima tensión 230 Vac p/modelo DMX3 - marca Legrand  </t>
  </si>
  <si>
    <t>028858</t>
  </si>
  <si>
    <t>Contacto-aux_DMX3</t>
  </si>
  <si>
    <t>Contacto de señalización para  bobinas(dísparo o mínima y cierre) p/modelo DMX3 - marca Legrand</t>
  </si>
  <si>
    <t>028816</t>
  </si>
  <si>
    <t>Mando-motor_DPX3_1600</t>
  </si>
  <si>
    <t>Mando motor de 230 Vac y Vcc para DPX3 1600  de 1600 A - marca Legrand</t>
  </si>
  <si>
    <t>026127</t>
  </si>
  <si>
    <t>Mando-motor_DPX3_800/1250</t>
  </si>
  <si>
    <t>Mando motor de 230 Vac y Vcc para DPX3 1600  de 800A hasta 1250 A - marca Legrand</t>
  </si>
  <si>
    <t>026123</t>
  </si>
  <si>
    <t>Bob_disparo_DPX3_1600</t>
  </si>
  <si>
    <t>Bobina de disparo DPX3 630/1600, 230 Vac y Vcc - marca Legrand</t>
  </si>
  <si>
    <t>422242</t>
  </si>
  <si>
    <t>Bob_minima-tens_DPX3_1600</t>
  </si>
  <si>
    <t xml:space="preserve">Bobina de mínima tensión para DPX3 630/1600, 230 Vac - marca Legrand </t>
  </si>
  <si>
    <t>422248</t>
  </si>
  <si>
    <t>Contacto-aux_DPX3_1600</t>
  </si>
  <si>
    <t>Contacto auxiliar o señal de defecto externo para DPX3 630/1600 - marca Legrand</t>
  </si>
  <si>
    <t>422230</t>
  </si>
  <si>
    <t>Placa_Montaje_DPX3_1600</t>
  </si>
  <si>
    <t>Placa de montaje para enclavamiento mecánico de 2 DPX3 1600 - marca Legrand</t>
  </si>
  <si>
    <t>026410</t>
  </si>
  <si>
    <t>Mando-motor_DPX3_630</t>
  </si>
  <si>
    <t>Mando motor 230 Vac y Vcc para DPX3 630 - marca Legrand</t>
  </si>
  <si>
    <t>026144</t>
  </si>
  <si>
    <t>Bob_disparo_DPX3_630</t>
  </si>
  <si>
    <t>Bobina de disparo  DPX3 630/1600, 230 Vac y Vcc - marca Legrand</t>
  </si>
  <si>
    <t>Bob_minima-tens_DPX3_630</t>
  </si>
  <si>
    <t xml:space="preserve">Bobina de  mínima tensión DPX3 630/1600, 230 Vac - marca Legrand </t>
  </si>
  <si>
    <t>Contacto-aux_DPX3_630</t>
  </si>
  <si>
    <t>Mando-motor_DPX3_160/250</t>
  </si>
  <si>
    <t>Mando motor  24- 230 Vac y Vcc para DPX3 160/250 - marca Legrand</t>
  </si>
  <si>
    <t>421061</t>
  </si>
  <si>
    <t>Bob_disparo_DPX3_160/250</t>
  </si>
  <si>
    <t>Bobina de disparo para DPX3 160/250, 230 Vac. - marca Legrand</t>
  </si>
  <si>
    <t>421016</t>
  </si>
  <si>
    <t>Bob_minima-tens_DPX3_160/250</t>
  </si>
  <si>
    <t>Bobina de mínima tensión para DPX3 160/250, 230 Vac. - marca Legrand</t>
  </si>
  <si>
    <t>421022</t>
  </si>
  <si>
    <t>Contacto-aux_DPX3_160/250</t>
  </si>
  <si>
    <t>421011</t>
  </si>
  <si>
    <t>TIPO DIN</t>
  </si>
  <si>
    <t>DX3-6000/6A-1P</t>
  </si>
  <si>
    <t>DX3-6000/10A-1P</t>
  </si>
  <si>
    <t>407668</t>
  </si>
  <si>
    <t>DX3-6000/16A-1P</t>
  </si>
  <si>
    <t>407670</t>
  </si>
  <si>
    <t>DX3-6000/20A-1P</t>
  </si>
  <si>
    <t>407671</t>
  </si>
  <si>
    <t>DX3-6000/25A-1P</t>
  </si>
  <si>
    <t>407672</t>
  </si>
  <si>
    <t>DX3-6000/32A-1P</t>
  </si>
  <si>
    <t>407673</t>
  </si>
  <si>
    <t>DX3-6000/40A-1P</t>
  </si>
  <si>
    <t>407674</t>
  </si>
  <si>
    <t>DX3-6000/50A-1P</t>
  </si>
  <si>
    <t>407675</t>
  </si>
  <si>
    <t>DX3-6000/63A-1P</t>
  </si>
  <si>
    <t>407676</t>
  </si>
  <si>
    <t>DX3-6000/6A-2P</t>
  </si>
  <si>
    <t>DX3-6000/10A-2P</t>
  </si>
  <si>
    <t>407798</t>
  </si>
  <si>
    <t>DX3-6000/16A-2P</t>
  </si>
  <si>
    <t>407800</t>
  </si>
  <si>
    <t>DX3-6000/20A-2P</t>
  </si>
  <si>
    <t>407801</t>
  </si>
  <si>
    <t>DX3-6000/25A-2P</t>
  </si>
  <si>
    <t>407802</t>
  </si>
  <si>
    <t>DX3-6000/32A-2P</t>
  </si>
  <si>
    <t>407803</t>
  </si>
  <si>
    <t>DX3-6000/40A-2P</t>
  </si>
  <si>
    <t>407804</t>
  </si>
  <si>
    <t>DX3-6000/50A-2P</t>
  </si>
  <si>
    <t>407805</t>
  </si>
  <si>
    <t>DX3-6000/63A-2P</t>
  </si>
  <si>
    <t>407806</t>
  </si>
  <si>
    <t>DX3-6000/6A-3P</t>
  </si>
  <si>
    <t>DX3-6000/10A-3P</t>
  </si>
  <si>
    <t>407857</t>
  </si>
  <si>
    <t>DX3-6000/16A-3P</t>
  </si>
  <si>
    <t>407859</t>
  </si>
  <si>
    <t>DX3-6000/20A-3P</t>
  </si>
  <si>
    <t>407860</t>
  </si>
  <si>
    <t>DX3-6000/25A-3P</t>
  </si>
  <si>
    <t>407861</t>
  </si>
  <si>
    <t>DX3-6000/32A-3P</t>
  </si>
  <si>
    <t>407862</t>
  </si>
  <si>
    <t>DX3-6000/40A-3P</t>
  </si>
  <si>
    <t>407863</t>
  </si>
  <si>
    <t>DX3-6000/50A-3P</t>
  </si>
  <si>
    <t>407864</t>
  </si>
  <si>
    <t>DX3-6000/63A-3P</t>
  </si>
  <si>
    <t>407865</t>
  </si>
  <si>
    <t>DX3-6000/6A-4P</t>
  </si>
  <si>
    <t>DX3-6000/10A-4P</t>
  </si>
  <si>
    <t>407926</t>
  </si>
  <si>
    <t>DX3-6000/16A-4P</t>
  </si>
  <si>
    <t>407928</t>
  </si>
  <si>
    <t>DX3-6000/20A-4P</t>
  </si>
  <si>
    <t>407929</t>
  </si>
  <si>
    <t>DX3-6000/25A-4P</t>
  </si>
  <si>
    <t>407930</t>
  </si>
  <si>
    <t>DX3-6000/32A-4P</t>
  </si>
  <si>
    <t>407931</t>
  </si>
  <si>
    <t>DX3-6000/40A-4P</t>
  </si>
  <si>
    <t>407932</t>
  </si>
  <si>
    <t>DX3-6000/50A-4P</t>
  </si>
  <si>
    <t>407933</t>
  </si>
  <si>
    <t>DX3-6000/63A-4P</t>
  </si>
  <si>
    <t>407934</t>
  </si>
  <si>
    <t>DX3-AC-25A/30mA-2P</t>
  </si>
  <si>
    <t>DX3-AC-40A/30mA-2P</t>
  </si>
  <si>
    <t>411505</t>
  </si>
  <si>
    <t>DX3-AC-63A/30mA-2P</t>
  </si>
  <si>
    <t>411506</t>
  </si>
  <si>
    <t>DX3-AC-80A/30mA-2P</t>
  </si>
  <si>
    <t>411507</t>
  </si>
  <si>
    <t>DX3-AC-100A/30mA-2P</t>
  </si>
  <si>
    <t>411508</t>
  </si>
  <si>
    <t>DX3-AC-25A/300mA-2P</t>
  </si>
  <si>
    <t>411524</t>
  </si>
  <si>
    <t>DX3-AC-40A/300mA-2P</t>
  </si>
  <si>
    <t>411525</t>
  </si>
  <si>
    <t>DX3-AC-63A/300mA-2P</t>
  </si>
  <si>
    <t>411526</t>
  </si>
  <si>
    <t>DX3-AC-25A/30mA-4P</t>
  </si>
  <si>
    <t>DX3-AC-40A/30mA-4P</t>
  </si>
  <si>
    <t>411703</t>
  </si>
  <si>
    <t>DX3-AC-63A/30mA-4P</t>
  </si>
  <si>
    <t>411704</t>
  </si>
  <si>
    <t>DX3-AC-80A/30mA-4P</t>
  </si>
  <si>
    <t>411705</t>
  </si>
  <si>
    <t>DX3-AC-25A/300mA-4P</t>
  </si>
  <si>
    <t>411722</t>
  </si>
  <si>
    <t>DX3-AC-40A/300mA-4P</t>
  </si>
  <si>
    <t>411723</t>
  </si>
  <si>
    <t>DX3-AC-63A/300mA-4P</t>
  </si>
  <si>
    <t>411724</t>
  </si>
  <si>
    <t>DX3-AC-80A/300mA-4P</t>
  </si>
  <si>
    <t>411725</t>
  </si>
  <si>
    <t>DX3-HPI-25A/30mA-2P</t>
  </si>
  <si>
    <t>DX3-HPI-40A/30mA-2P</t>
  </si>
  <si>
    <t>411591</t>
  </si>
  <si>
    <t>DX3-HPI-63A/30mA-2P</t>
  </si>
  <si>
    <t>411592</t>
  </si>
  <si>
    <t>DX3-HPI-25A/30mA-4P</t>
  </si>
  <si>
    <t>411694</t>
  </si>
  <si>
    <t>DX3-HPI-40A/30mA-4P</t>
  </si>
  <si>
    <t>411695</t>
  </si>
  <si>
    <t>DX3-HPI-63A/30mA-4P</t>
  </si>
  <si>
    <t>411696</t>
  </si>
  <si>
    <t>USO RESIDENCIAL, VIVIENDAS, CONDOMINIOS</t>
  </si>
  <si>
    <t>RX3-C-6A-2P</t>
  </si>
  <si>
    <t>RX3-C-10A-2P</t>
  </si>
  <si>
    <t>419871</t>
  </si>
  <si>
    <t>RX3-C-16A-2P</t>
  </si>
  <si>
    <t>419873</t>
  </si>
  <si>
    <t>RX3-C-20A-2P</t>
  </si>
  <si>
    <t>419874</t>
  </si>
  <si>
    <t>RX3-C-25A-2P</t>
  </si>
  <si>
    <t>419875</t>
  </si>
  <si>
    <t>RX3-C-32A-2P</t>
  </si>
  <si>
    <t>419876</t>
  </si>
  <si>
    <t>RX3-C-40A-2P</t>
  </si>
  <si>
    <t>419877</t>
  </si>
  <si>
    <t>RX3-C-50A-2P</t>
  </si>
  <si>
    <t>419878</t>
  </si>
  <si>
    <t>RX3-C-63A-2P</t>
  </si>
  <si>
    <t>419879</t>
  </si>
  <si>
    <t>RX3-C-6A-3P</t>
  </si>
  <si>
    <t>419881</t>
  </si>
  <si>
    <t>RX3-C-10A-3P</t>
  </si>
  <si>
    <t>419882</t>
  </si>
  <si>
    <t>RX3-C-16A-3P</t>
  </si>
  <si>
    <t>419884</t>
  </si>
  <si>
    <t>RX3-C-20A-3P</t>
  </si>
  <si>
    <t>419885</t>
  </si>
  <si>
    <t>RX3-C-25A-3P</t>
  </si>
  <si>
    <t>419886</t>
  </si>
  <si>
    <t>RX3-C-32A-3P</t>
  </si>
  <si>
    <t>419887</t>
  </si>
  <si>
    <t>RX3-C-40A-3P</t>
  </si>
  <si>
    <t>419888</t>
  </si>
  <si>
    <t>RX3-C-50A-3P</t>
  </si>
  <si>
    <t>419889</t>
  </si>
  <si>
    <t>RX3-C-63A-3P</t>
  </si>
  <si>
    <t>419890</t>
  </si>
  <si>
    <t>RX3-AC-25A/30mA-2P</t>
  </si>
  <si>
    <t>402024</t>
  </si>
  <si>
    <t>RX3-AC-40A/30mA-2P</t>
  </si>
  <si>
    <t>402025</t>
  </si>
  <si>
    <t>RX3-AC-63A/30mA-2P</t>
  </si>
  <si>
    <t>402026</t>
  </si>
  <si>
    <t>RX3-AC-25A/30mA-4P</t>
  </si>
  <si>
    <t>402062</t>
  </si>
  <si>
    <t>RX3-AC-40A/30mA-4P</t>
  </si>
  <si>
    <t>402063</t>
  </si>
  <si>
    <t>RX3-AC-63A/30mA-4P</t>
  </si>
  <si>
    <t>402064</t>
  </si>
  <si>
    <t>CONTACTORES</t>
  </si>
  <si>
    <t>CX3-25A</t>
  </si>
  <si>
    <t>CX3-40A</t>
  </si>
  <si>
    <t>412545</t>
  </si>
  <si>
    <t>CX3-63A</t>
  </si>
  <si>
    <t>412550</t>
  </si>
  <si>
    <t>CTX3-9A</t>
  </si>
  <si>
    <t>CTX3-12A</t>
  </si>
  <si>
    <t>CTX3-18A</t>
  </si>
  <si>
    <t>CTX3-22A</t>
  </si>
  <si>
    <t>CTX3-32A</t>
  </si>
  <si>
    <t>CTX3-40A</t>
  </si>
  <si>
    <t>CTX3-50A</t>
  </si>
  <si>
    <t>CTX3-65A</t>
  </si>
  <si>
    <t>CTX3-75A</t>
  </si>
  <si>
    <t>CTX3-85A</t>
  </si>
  <si>
    <t>CTX3-100A</t>
  </si>
  <si>
    <t>CTX3-130A</t>
  </si>
  <si>
    <t>CTX3-150A</t>
  </si>
  <si>
    <t>MINICONTACTORES</t>
  </si>
  <si>
    <t>CTX3-MINI-6A</t>
  </si>
  <si>
    <t>CTX3-MINI-9A</t>
  </si>
  <si>
    <t>CTX3-MINI-12A</t>
  </si>
  <si>
    <t>417046</t>
  </si>
  <si>
    <t>CTX3-MINI-16A</t>
  </si>
  <si>
    <t>417066</t>
  </si>
  <si>
    <t>Rele_Diferencial</t>
  </si>
  <si>
    <t>026088</t>
  </si>
  <si>
    <t>Toroide_Diferencial-200A</t>
  </si>
  <si>
    <t>026092</t>
  </si>
  <si>
    <t>Toroide_Diferencial-400A</t>
  </si>
  <si>
    <t>026093</t>
  </si>
  <si>
    <t>Toroide_Diferencial-800A</t>
  </si>
  <si>
    <t>026094</t>
  </si>
  <si>
    <t>Toroide_Diferencial-1200A</t>
  </si>
  <si>
    <t>026095</t>
  </si>
  <si>
    <t>ITM de 2x15A - tornillo - QCH,  10kA / 240Vac. (UL), marca EATON.</t>
  </si>
  <si>
    <t>ITM de 2x20A - tornillo - QCH,  10kA / 240Vac. (UL), marca EATON.</t>
  </si>
  <si>
    <t>ITM de 2x30A - tornillo - QCH,  10kA / 240Vac. (UL), marca EATON.</t>
  </si>
  <si>
    <t>ITM de 2x50A - tornillo - QCH,  10kA / 240Vac. (UL), marca EATON.</t>
  </si>
  <si>
    <t>ITM de 2x60A - tornillo - QCH,  10kA / 240Vac. (UL), marca EATON.</t>
  </si>
  <si>
    <t>ITM de 2x80A - tornillo - QCH,  10kA / 240Vac. (UL), marca EATON.</t>
  </si>
  <si>
    <t>ITM de 3x15A - tornillo - QCH,  10kA / 240Vac. (UL), marca EATON.</t>
  </si>
  <si>
    <t>ITM de 3x20A - tornillo - QCH,  10kA / 240Vac. (UL), marca EATON.</t>
  </si>
  <si>
    <t>ITM de 3x30A - tornillo - QCH,  10kA / 240Vac. (UL), marca EATON.</t>
  </si>
  <si>
    <t>ITM de 3x40A - tornillo - QCH,  10kA / 240Vac. (UL), marca EATON.</t>
  </si>
  <si>
    <t>ITM de 3x50A - tornillo - QCH,  10kA / 240Vac. (UL), marca EATON.</t>
  </si>
  <si>
    <t>ITM de 3x60A - tornillo - QCH,  10kA / 240Vac. (UL), marca EATON.</t>
  </si>
  <si>
    <t>ITM de 3x70A - tornillo - QCH,  10kA / 240Vac. (UL), marca EATON.</t>
  </si>
  <si>
    <t>ITM de 3x80A - tornillo - QCH,  10kA / 240Vac. (UL), marca EATON.</t>
  </si>
  <si>
    <t>ITM de 3x90A - tornillo - QCH,  10kA / 240Vac. (UL), marca EATON.</t>
  </si>
  <si>
    <t>ITM de 3x100A - tornillo - QCH,  10kA / 240Vac. (UL), marca EATON.</t>
  </si>
  <si>
    <t>TSR-3</t>
  </si>
  <si>
    <t>Transformador sumador 3 entradas 5+5+5/5A, marca CIRCUTOR</t>
  </si>
  <si>
    <t>REACT_40kVAR/230V_p7</t>
  </si>
  <si>
    <t>Reactancia para filtro de rechazo de armónicas, para paso de 40kVAR / 230Vac, 60Hz, p=7%, tipo RBX, marca CIRCUTOR.</t>
  </si>
  <si>
    <t>COND_40kVAR/230V_p7</t>
  </si>
  <si>
    <t>Condensador trifásico, para paso de potencia efectiva de 40kVAR / 230Vac, 60 Hz, p=7%, tipo CFB, marca CIRCUTOR.</t>
  </si>
  <si>
    <t>CMC_40kVAR/230V</t>
  </si>
  <si>
    <t>Contactor para maniobra de condensadores - 40kVAR / 230Vac - Modelo CMC - bobina 230Vac/60Hz. - marca CIRCUTOR.</t>
  </si>
  <si>
    <t>DX3-A-25A/300mA-2P</t>
  </si>
  <si>
    <t>DX3-A-40A/300mA-2P</t>
  </si>
  <si>
    <t>DX3-A-63A/300mA-2P</t>
  </si>
  <si>
    <t>DX3-A-25A/300mA-4P</t>
  </si>
  <si>
    <t>DX3-A-40A/300mA-4P</t>
  </si>
  <si>
    <t>DX3-A-63A/300mA-4P</t>
  </si>
  <si>
    <t>DX3-A-80A/300mA-4P</t>
  </si>
  <si>
    <t>Modelo IZM - BASTIDOR ABIERTO</t>
  </si>
  <si>
    <t>IZMX16B3-P12F-1</t>
  </si>
  <si>
    <t>ITM Bastidor Abierto de 3x1250A , (Reg. 0.4-1.0 de In) electrónico PXR25(P), IZM, 42kA@415Vac.+ contactos de estado + contacto de alarma - marca EATON.</t>
  </si>
  <si>
    <t>IZMX16B3-P16F-1</t>
  </si>
  <si>
    <t>ITM Bastidor Abierto de 3x1600A , (Reg. 0.4-1.0 de In) electrónico PXR25(P), IZM, 42kA@415Vac.+ contactos de estado + contacto de alarma - marca EATON.</t>
  </si>
  <si>
    <t>Jean Inga</t>
  </si>
  <si>
    <t>Rosalyn Rincon</t>
  </si>
  <si>
    <t>OVR-T2_120-440S_P_TS</t>
  </si>
  <si>
    <t>Protector de sobretensiones (Tipo 2) - OVR-T2_120-440_1P - Un=400V, Uc=440V, Up=2.5kV - I_descarga=120kA - marca ABB.</t>
  </si>
  <si>
    <t>2CTB803951R1300</t>
  </si>
  <si>
    <t>MIS_320x250x108mm</t>
  </si>
  <si>
    <t>Tablero termoplástico para Empotrar, serie MISTRAL 41F p/transparente 12 modulos. 320x250x108mm - IP41, IK08, RAL 9016 - marca ABB.</t>
  </si>
  <si>
    <t>1SLM004100A1203</t>
  </si>
  <si>
    <t>MIS_430x250x108mm</t>
  </si>
  <si>
    <t>Tablero termoplástico para Empotrar, serie MISTRAL 41F p/transparente 18 modulos. 430x250x108mm - IP41, IK08, RAL 9016 - marca ABB.</t>
  </si>
  <si>
    <t>1SLM004100A1204</t>
  </si>
  <si>
    <t>EGS2040FFG</t>
  </si>
  <si>
    <t>ITM de 2x40A - EGS + terminales internos p/ conexión,  35kA/240Vac, marca EATON.</t>
  </si>
  <si>
    <t>ITM de 3x250A, Electronico (Reg. 100-250A) JGS,  65kA@240Vac. - 35kA@480Vac. (UL), marca EATON.</t>
  </si>
  <si>
    <t>Fi2040</t>
  </si>
  <si>
    <t>ITM de 2x40A - modelo Fi,  25kA-240Vac / 14kA-440Vac, marca EATON.</t>
  </si>
  <si>
    <t>NZM1-XKAV</t>
  </si>
  <si>
    <t>Dispositivo para bloqueo por candado en  posicion OFF para interruptor modelo LZMS1, Modelo NZM1-XKAV, marca EATON.(no inluye el candado ni llaves)</t>
  </si>
  <si>
    <t>NZM2/3-XKAV</t>
  </si>
  <si>
    <t>HXE33K-A</t>
  </si>
  <si>
    <t>HEXING</t>
  </si>
  <si>
    <t>HXE12R</t>
  </si>
  <si>
    <t>DIRIS-A20</t>
  </si>
  <si>
    <t>TRAFO_2F_460-230V_50VA_AUD</t>
  </si>
  <si>
    <t>Transformador de tensión de aislamiento monofásico 460 / 230 Vac - 10VA, marca AUDAX.</t>
  </si>
  <si>
    <t>TRAFO_2F_460-230V_100VA_AUD</t>
  </si>
  <si>
    <t>Transformador de tensión de aislamiento monofásico 460 / 230 Vac - 100VA, marca AUDAX.</t>
  </si>
  <si>
    <t>RELE TERMICOS</t>
  </si>
  <si>
    <t>RTX3 40-0.16A</t>
  </si>
  <si>
    <t>RTX3 40-0.25A</t>
  </si>
  <si>
    <t>416641</t>
  </si>
  <si>
    <t>RTX3 40-0.40A</t>
  </si>
  <si>
    <t>416642</t>
  </si>
  <si>
    <t>RTX3 40-0.63A</t>
  </si>
  <si>
    <t>416643</t>
  </si>
  <si>
    <t>RTX3 40-1.00A</t>
  </si>
  <si>
    <t>416644</t>
  </si>
  <si>
    <t>RTX3 40-1.60A</t>
  </si>
  <si>
    <t>416645</t>
  </si>
  <si>
    <t>RTX3 40-2.50A</t>
  </si>
  <si>
    <t>416646</t>
  </si>
  <si>
    <t>RTX3 40-4.00A</t>
  </si>
  <si>
    <t>416647</t>
  </si>
  <si>
    <t>RTX3 40-6.00A</t>
  </si>
  <si>
    <t>416648</t>
  </si>
  <si>
    <t>RTX3 40-8.00A</t>
  </si>
  <si>
    <t>416649</t>
  </si>
  <si>
    <t>RTX3 40-9.00A</t>
  </si>
  <si>
    <t>416650</t>
  </si>
  <si>
    <t>RTX3 40-10.00A</t>
  </si>
  <si>
    <t>416651</t>
  </si>
  <si>
    <t>RTX3 40-13.00A</t>
  </si>
  <si>
    <t>416652</t>
  </si>
  <si>
    <t>RTX3 40-18.00A</t>
  </si>
  <si>
    <t>416653</t>
  </si>
  <si>
    <t>RTX3 40-22.00A</t>
  </si>
  <si>
    <t>416654</t>
  </si>
  <si>
    <t>RTX3 40-25.00A</t>
  </si>
  <si>
    <t>416655</t>
  </si>
  <si>
    <t>RTX3 40-32.00A</t>
  </si>
  <si>
    <t>416656</t>
  </si>
  <si>
    <t>RTX3 40-40.00A</t>
  </si>
  <si>
    <t>416657</t>
  </si>
  <si>
    <t>RTX3 65-36.00A</t>
  </si>
  <si>
    <t>416687</t>
  </si>
  <si>
    <t>RTX3 65-40.00A</t>
  </si>
  <si>
    <t>416688</t>
  </si>
  <si>
    <t>RTX3 65-50.00A</t>
  </si>
  <si>
    <t>416689</t>
  </si>
  <si>
    <t>RTX3 65-65.00A</t>
  </si>
  <si>
    <t>416690</t>
  </si>
  <si>
    <t>RTX3 100-75.00A</t>
  </si>
  <si>
    <t>416728</t>
  </si>
  <si>
    <t>RTX3 100-85.00A</t>
  </si>
  <si>
    <t>416729</t>
  </si>
  <si>
    <t>RTX3 100-95.00A</t>
  </si>
  <si>
    <t>416730</t>
  </si>
  <si>
    <t>RTX3 100-100.00A</t>
  </si>
  <si>
    <t>416731</t>
  </si>
  <si>
    <t>RTX3 150-150.00A</t>
  </si>
  <si>
    <t>SM</t>
  </si>
  <si>
    <t>DESCUENTOS SIEMENS</t>
  </si>
  <si>
    <t>ABB / LEGRAND / SIEMENS</t>
  </si>
  <si>
    <t>Zocalo TS (FRONT. y POST.) 100*800mm(Al*An), ACERO INOXIDABLE - - marca RITTAL.</t>
  </si>
  <si>
    <t>ZOCALO TS LATERAL (IZQ. Y DER.) 100*600mm, ACERO INOXIDABLE - - Ref.: 8701.800 - marca RITTAL.</t>
  </si>
  <si>
    <t>ITM de 1x10A - modular DIN - 5SL6, 10KA - 220Vac., IEC 60898 , SIEMENS.</t>
  </si>
  <si>
    <t>ITM de 1x16A - modular DIN - 5SL6, 10KA - 220Vac., IEC 60898 , SIEMENS.</t>
  </si>
  <si>
    <t>ITM de 1x20A - modular DIN - 5SL6, 10KA - 220Vac., IEC 60898 , SIEMENS.</t>
  </si>
  <si>
    <t>ITM de 1x25A - modular DIN - 5SL6, 10KA - 220Vac., IEC 60898 , SIEMENS.</t>
  </si>
  <si>
    <t>ITM de 1x32A - modular DIN - 5SL6, 10KA - 220Vac., IEC 60898 , SIEMENS.</t>
  </si>
  <si>
    <t>ITM de 1x40A - modular DIN - 5SL6, 10KA - 220Vac., IEC 60898 , SIEMENS.</t>
  </si>
  <si>
    <t>ITM de 1x50A - modular DIN - 5SL6, 10KA - 220Vac., IEC 60898 , SIEMENS.</t>
  </si>
  <si>
    <t>ITM de 1x63A - modular DIN - 5SL6, 10KA - 220Vac., IEC 60898 , SIEMENS.</t>
  </si>
  <si>
    <t>ITM de 2x10A - modular DIN - 5SL6, 10KA - 220Vac., IEC 60898 , SIEMENS.</t>
  </si>
  <si>
    <t>ITM de 2x16A - modular DIN - 5SL6, 10KA - 220Vac., IEC 60898 , SIEMENS.</t>
  </si>
  <si>
    <t>ITM de 2x20A - modular DIN - 5SL6, 10KA - 220Vac., IEC 60898 , SIEMENS.</t>
  </si>
  <si>
    <t>ITM de 2x25A - modular DIN - 5SL6, 10KA - 220Vac., IEC 60898 , SIEMENS.</t>
  </si>
  <si>
    <t>ITM de 2x32A - modular DIN - 5SL6, 10KA - 220Vac., IEC 60898 , SIEMENS.</t>
  </si>
  <si>
    <t>ITM de 2x40A - modular DIN - 5SL6, 10KA - 220Vac., IEC 60898 , SIEMENS.</t>
  </si>
  <si>
    <t>ITM de 2x50A - modular DIN - 5SL6, 10KA - 220Vac., IEC 60898 , SIEMENS.</t>
  </si>
  <si>
    <t>ITM de 2x63A - modular DIN - 5SL6, 10KA - 220Vac., IEC 60898 , SIEMENS.</t>
  </si>
  <si>
    <t>ITM de 3x10A - modular DIN - 5SL6, 10KA - 220Vac., IEC 60898 , SIEMENS.</t>
  </si>
  <si>
    <t>ITM de 3x16A - modular DIN - 5SL6, 10KA - 220Vac., IEC 60898 , SIEMENS.</t>
  </si>
  <si>
    <t>ITM de 3x20A - modular DIN - 5SL6, 10KA - 220Vac., IEC 60898 , SIEMENS.</t>
  </si>
  <si>
    <t>ITM de 3x25A - modular DIN - 5SL6, 10KA - 220Vac., IEC 60898 , SIEMENS.</t>
  </si>
  <si>
    <t>ITM de 3x32A - modular DIN - 5SL6, 10KA - 220Vac., IEC 60898 , SIEMENS.</t>
  </si>
  <si>
    <t>ITM de 3x40A - modular DIN - 5SL6, 10KA - 220Vac., IEC 60898 , SIEMENS.</t>
  </si>
  <si>
    <t>ITM de 3x50A - modular DIN - 5SL6, 10KA - 220Vac., IEC 60898 , SIEMENS.</t>
  </si>
  <si>
    <t>ITM de 3x63A - modular DIN - 5SL6, 10KA - 220Vac., IEC 60898 , SIEMENS.</t>
  </si>
  <si>
    <t>3VA1340-4EF32-0AA0</t>
  </si>
  <si>
    <t>3VA1463-4EF32-0AA0</t>
  </si>
  <si>
    <t>F204-B-25A-300mA</t>
  </si>
  <si>
    <t>Interruptor Diferencial 4x25A - 300mA - clase B (alta inmunización: para variador, corriente pulsante o con rizado) - F204-B-25A-300mA - marca ABB.</t>
  </si>
  <si>
    <t>2CSF204592R3250</t>
  </si>
  <si>
    <t>F204-B-40A-300mA</t>
  </si>
  <si>
    <t>Interruptor Diferencial 4x40A - 300mA - clase B (alta inmunización: para variador, corriente pulsante o con rizado) - F204-B-40A-300mA - marca ABB.</t>
  </si>
  <si>
    <t>2CSF204592R3400</t>
  </si>
  <si>
    <t>PS1-5-0-65</t>
  </si>
  <si>
    <t>Busbar para 5 guardamotores - modelo PS1-5-0-65 - marca ABB.</t>
  </si>
  <si>
    <t>1SAM201906R1105</t>
  </si>
  <si>
    <t>S1-M1-25</t>
  </si>
  <si>
    <t>Alimentador de busbar</t>
  </si>
  <si>
    <t>1SAM201907R1101</t>
  </si>
  <si>
    <t>GJH3160-ELECTRONICO</t>
  </si>
  <si>
    <t>ITM de 3x160A,electronico LS ( Reg. 63-160A ) GJH,  100kA-240Vac. - 70kA-415Vac. (UL) - marca EATON.</t>
  </si>
  <si>
    <t>GJH3100-ELECTRONICO</t>
  </si>
  <si>
    <t>ITM de 3x100A,electronico LS ( Reg. 40-100A ) GJH,  100kA-240Vac. - 70kA-415Vac. (UL) - marca EATON.</t>
  </si>
  <si>
    <t>E2.2S-1250A-3P-Ekip Touch LSI</t>
  </si>
  <si>
    <t>ITM Bastidor Abierto 3x1250A (electrónico [0.4-1.0] In) - E2.2S-1250A-3P-Ekip Touch LSI - 85kA@440Vac - marca ABB.</t>
  </si>
  <si>
    <t>1SDA070965R1</t>
  </si>
  <si>
    <t>E2.2S-1250A-4P-Ekip Touch LSI</t>
  </si>
  <si>
    <t>ITM Bastidor Abierto 4x1250A (electrónico [0.4-1.0] In) - E2.2S-1250A-4P-Ekip Touch LSI - 85kA@440Vac - marca ABB.</t>
  </si>
  <si>
    <t>1SDA071595R1</t>
  </si>
  <si>
    <t>E2.2S-1600A-3P-Ekip Touch LSI</t>
  </si>
  <si>
    <t>ITM Bastidor Abierto 3x1600A (electrónico [0.4-1.0] In) - E2.2S-1600A-3P-Ekip Touch LSI - 85kA@440Vac - marca ABB.</t>
  </si>
  <si>
    <t>1SDA071005R1</t>
  </si>
  <si>
    <t>OT_I-0-II_4p_160A</t>
  </si>
  <si>
    <t>Conmutador manual bajo carga (I-0-II), modelo OT-C, 4p, 160A (AC21..AC22) / 160A (AC23) - marca ABB.</t>
  </si>
  <si>
    <t>1SCA022775R9440</t>
  </si>
  <si>
    <t>OT_I-0-II_4p_200A</t>
  </si>
  <si>
    <t>Conmutador manual bajo carga (I-0-II), modelo OT-C, 4p, 200A (AC21..AC22) / 200A (AC23) - marca ABB.</t>
  </si>
  <si>
    <t>1SCA022771R7280</t>
  </si>
  <si>
    <t>OT_I-0-II_4p_250A</t>
  </si>
  <si>
    <t>Conmutador manual bajo carga (I-0-II), modelo OT-C, 4p, 250A (AC21..AC22) / 250A (AC23) - marca ABB.</t>
  </si>
  <si>
    <t>1SCA022775R4640</t>
  </si>
  <si>
    <t>OT_I-0-II_4p_315A</t>
  </si>
  <si>
    <t>Conmutador manual bajo carga (I-0-II), modelo OT-C, 4p, 315A (AC21..AC22) / 315A (AC23) - marca ABB.</t>
  </si>
  <si>
    <t>1SCA022775R7150</t>
  </si>
  <si>
    <t>OT_I-0-II_4p_400A</t>
  </si>
  <si>
    <t>Conmutador manual bajo carga (I-0-II), modelo OT-C, 4p, 400A (AC21..AC22) / 400A (AC23) - marca ABB.</t>
  </si>
  <si>
    <t>1SCA022771R8680</t>
  </si>
  <si>
    <t>OT_I-0-II_4p_630A</t>
  </si>
  <si>
    <t>Conmutador manual bajo carga (I-0-II), modelo OT-C, 4p, 630A (AC21..AC22) / 630A (AC23) - marca ABB.</t>
  </si>
  <si>
    <t>1SCA022785R6130</t>
  </si>
  <si>
    <t>OT_I-0-II_4p_800A</t>
  </si>
  <si>
    <t>Conmutador manual bajo carga (I-0-II), modelo OT-C, 4p, 800A (AC21..AC22) / 800A (AC23) - marca ABB.</t>
  </si>
  <si>
    <t>1SCA022785R6210</t>
  </si>
  <si>
    <t>ITM Bastidor Abierto de 3x1600A, electronico MP4(LSI) (Reg. 640-1600A ) DMX3 1600, 65kA@400 Vac.- marca Legrand</t>
  </si>
  <si>
    <t>ITM Bastidor Abierto de 3x2000A, electronico MP4(LSI) (Reg. 800-2000A ) DMX3 2000, 65kA@400 Vac.- marca Legrand</t>
  </si>
  <si>
    <t>ITM Bastidor Abierto de 3x2500A, electronico MP4(LSI) (Reg. 1000-2500A ) DMX3 2500, 65kA@400 Vac.- marca Legrand</t>
  </si>
  <si>
    <t>ITM Bastidor Abierto de 3x3200A, electronico MP4(LSI) (Reg. 1280-3200A ) DMX3 3200, 65kA@400 Vac.- marca Legrand</t>
  </si>
  <si>
    <t>ITM Bastidor Abierto de 3x4000A, electronico MP4(LSI) (Reg. 1600-4000A ) DMX3 4000, 65kA@400 Vac.- marca Legrand</t>
  </si>
  <si>
    <t>ITM Bastidor Abierto de 3x5000A, electronico MP4(LSI) (Reg. 2000-5000A ) DMX3 5000, 65kA@400 Vac.- marca Legrand</t>
  </si>
  <si>
    <t>028865</t>
  </si>
  <si>
    <t>Mecanismo de bloqueo en DMX3 talla 2.</t>
  </si>
  <si>
    <t>028921</t>
  </si>
  <si>
    <t>Cable  de interbloqueo para DMX3 talla 2 (3000 mm)</t>
  </si>
  <si>
    <t>422682</t>
  </si>
  <si>
    <t>Unidad para Sistema de Transferencia Automático Estandar para 2 Interruptores-12-48Vdc,110-240Vac - configurable</t>
  </si>
  <si>
    <t>Contacto auxiliar o señal de defecto para DPX3 160/250/630/1600</t>
  </si>
  <si>
    <t>T6L1000-1000A-3P-PR222DS/P-LSI</t>
  </si>
  <si>
    <t>ITM Caja Moldeada 3x1000A (electrónico [0.4-1.0] In) - T6L1000-1000A-3P-PR222DS/P-LSI - 85kA@230Vac, 50kA@415Vac - marca ABB.</t>
  </si>
  <si>
    <t>1SDA060576R1</t>
  </si>
  <si>
    <t>SWITCH_I-0-II_4p_40A</t>
  </si>
  <si>
    <t>Conmutador de fuerza (I-0-II), 4p, 40A (AC22), modelo OL40U4RB - marca ABB.</t>
  </si>
  <si>
    <t>1SCA022761R1290</t>
  </si>
  <si>
    <t>SWITCH_I-0-II_4p_100A</t>
  </si>
  <si>
    <t>Conmutador de fuerza (I-0-II), 4p, 100A (AC22), modelo OL80U4RB - marca ABB.</t>
  </si>
  <si>
    <t>1SCA022790R0810</t>
  </si>
  <si>
    <t>SWITCH_I-0-II_4p_150A</t>
  </si>
  <si>
    <t>Conmutador de fuerza (I-0-II), 4p, 150A (AC22), modelo OL125U4RB - marca ABB.</t>
  </si>
  <si>
    <t>1SCA022790R2260</t>
  </si>
  <si>
    <t>SWITCH_I-0-II_4p_170A</t>
  </si>
  <si>
    <t>Conmutador de fuerza (I-0-II), 4p, 170A (AC22), modelo OL160U4RB - marca ABB.</t>
  </si>
  <si>
    <t>1SCA022790R7140</t>
  </si>
  <si>
    <t>SWITCH_I-0-II_4p_250A</t>
  </si>
  <si>
    <t>Conmutador de fuerza (I-0-II), 4p, 250A (AC22), modelo OL200U4RB - marca ABB.</t>
  </si>
  <si>
    <t>1SCA022790R7570</t>
  </si>
  <si>
    <t>EGS3040FFG</t>
  </si>
  <si>
    <t>ITM de 3x40A - EGS + terminales internos p/ conexión,  65kA/240Vac. - 35kA/480Vac., marca EATON.</t>
  </si>
  <si>
    <t>Dispositivo para bloqueo por candado para interruptor JG/GJ, marca EATON. (no inluye el candado ni llaves)</t>
  </si>
  <si>
    <t>Dispositivo para bloqueo por candado en  posicion OFF para interruptor modelo LZMS2/3, Modelo NZM2/3-XKAV, marca EATON.(no inluye el candado ni llaves)</t>
  </si>
  <si>
    <t>Modelo DAB7-63</t>
  </si>
  <si>
    <t>Modelo RCCB DAF - Clase AC (30mA)</t>
  </si>
  <si>
    <t>DAF362-25/2/003</t>
  </si>
  <si>
    <t>Interruptor Diferencial de 2 x 25A - DAF , 30mA, clase AC , DADA.</t>
  </si>
  <si>
    <t>DAF362-40/2/003</t>
  </si>
  <si>
    <t>Interruptor Diferencial de 2 x 40A - DAF , 30mA, clase AC , DADA.</t>
  </si>
  <si>
    <t>DAF362-63/2/003</t>
  </si>
  <si>
    <t>Interruptor Diferencial de 2 x 63A - DAF , 30mA, clase AC , DADA.</t>
  </si>
  <si>
    <t>DAF364-25/4/003</t>
  </si>
  <si>
    <t>Interruptor Diferencial de 4 x 25A - DAF , 30mA, clase AC , DADA.</t>
  </si>
  <si>
    <t>DAF364-40/4/003</t>
  </si>
  <si>
    <t>Interruptor Diferencial de 4 x 40A - DAF , 30mA, clase AC , DADA.</t>
  </si>
  <si>
    <t>DAF364-63/4/003</t>
  </si>
  <si>
    <t>Interruptor Diferencial de 4 x 63A - DAF , 30mA, clase AC , DADA.</t>
  </si>
  <si>
    <t>DAM1S-400</t>
  </si>
  <si>
    <t>ITM de 3 x 400A , ( Reg.315-400A ) DAM1S, 65kA/240Vac.- DADA.</t>
  </si>
  <si>
    <t>DAM1S-160-20</t>
  </si>
  <si>
    <t>ITM de 3 x 20A , ( Reg.14-20A) DAM1S, 50kA/400Vac.- DADA.</t>
  </si>
  <si>
    <t>DAM1S-160-32</t>
  </si>
  <si>
    <t>ITM de 3 x 32A , ( Reg.22.4-32A) DAM1S, 50kA/400Vac.- DADA.</t>
  </si>
  <si>
    <t>DAM1S-160-40</t>
  </si>
  <si>
    <t>ITM de 3 x 40A , ( Reg.28-40A) DAM1S, 50kA/400Vac.- DADA.</t>
  </si>
  <si>
    <t>DAM1S-160-50</t>
  </si>
  <si>
    <t>ITM de 3 x 50A , ( Reg.35-50A) DAM1S, 50kA/400Vac.- DADA.</t>
  </si>
  <si>
    <t>DAM1S-160-80</t>
  </si>
  <si>
    <t>ITM de 3 x 80A , ( Reg.56-80A) DAM1S, 50kA/400Vac.- DADA.</t>
  </si>
  <si>
    <t>DAM1S-160-100</t>
  </si>
  <si>
    <t>ITM de 3 x 100A , ( Reg.70-100A) DAM1S, 50kA/400Vac.- DADA.</t>
  </si>
  <si>
    <t>DAM1S-160-160</t>
  </si>
  <si>
    <t>ITM de 3 x 160A , ( Reg.112-160A) DAM1S, 50kA/400Vac.- DADA.</t>
  </si>
  <si>
    <t>DAM1H-250-200</t>
  </si>
  <si>
    <t>ITM de 3 x 200A , ( Reg140-200A) DAM1H, 65kA/400Vac.  - DADA.</t>
  </si>
  <si>
    <t>DAM1H-250-250</t>
  </si>
  <si>
    <t>ITM de 3 x 250A , ( Reg175-250A) DAM1H, 65kA/400Vac.  - DADA.</t>
  </si>
  <si>
    <t>IM Caja Moldeada 3x32A - XT2N160-32A-3P-MA - 65kA@230Vac, 36kA@415Vac - marca ABB.</t>
  </si>
  <si>
    <t>XT2N160-50A-3P-MA</t>
  </si>
  <si>
    <t>IM Caja Moldeada 3x50A - XT2N160-50A-3P-MA - 65kA@230Vac, 36kA@415Vac - marca ABB.</t>
  </si>
  <si>
    <t>1SDA067051R1</t>
  </si>
  <si>
    <t>XT2N160-80A-3P-MA</t>
  </si>
  <si>
    <t>IM Caja Moldeada 3x80A - XT2N160-80A-3P-MA - 65kA@230Vac, 36kA@415Vac - marca ABB.</t>
  </si>
  <si>
    <t>1SDA067052R1</t>
  </si>
  <si>
    <t>XT2N160-100A-3P-MA</t>
  </si>
  <si>
    <t>IM Caja Moldeada 3x100A - XT2N160-100A-3P-MA - 65kA@230Vac, 36kA@415Vac - marca ABB.</t>
  </si>
  <si>
    <t>1SDA067053R1</t>
  </si>
  <si>
    <t>XT4N160-125A-3P-MA</t>
  </si>
  <si>
    <t>IM Caja Moldeada 3x125A - XT4N160-125A-3P-MA - 65kA@230Vac, 36kA@415Vac - marca ABB.</t>
  </si>
  <si>
    <t>1SDA068119R1</t>
  </si>
  <si>
    <t>XT4N160-160A-3P-MA</t>
  </si>
  <si>
    <t>IM Caja Moldeada 3x160A - XT4N160-160A-3P-MA - 65kA@230Vac, 36kA@415Vac - marca ABB.</t>
  </si>
  <si>
    <t>1SDA068120R1</t>
  </si>
  <si>
    <t>IM Caja Moldeada 3x200A - XT4N250-200A-3P-MA - 65kA@230Vac, 36kA@415Vac - marca ABB.</t>
  </si>
  <si>
    <t>E1.2B-800A-3P-Ekip Touch LSI</t>
  </si>
  <si>
    <t>ITM Bastidor Abierto 3x800A (electrónico [0.4-1.0] In) - E1.2B-800A-3P-Ekip Touch LSI - 42kA@440Vac - marca ABB.</t>
  </si>
  <si>
    <t>1SDA070745R1</t>
  </si>
  <si>
    <t>ITM Bastidor Abierto 4x800A (electrónico [0.4-1.0] In) - E1.2B-800A-4P-Ekip Touch LSI - 42kA@440Vac - marca ABB.</t>
  </si>
  <si>
    <t>COND_20kVAR/380V_p7_CLZ</t>
  </si>
  <si>
    <t>Condensador trifásico, para paso de potencia efectiva de 20kVAR / 380Vac, 60 Hz, p=7%, tipo CLZ-FP-HD, marca CIRCUTOR.</t>
  </si>
  <si>
    <t>Condensador, Trifásico, para paso de potencia efectiva de 60kVAR / 400Vac, 60 Hz, p=7%, tipo CFB, marca CIRCUTOR.</t>
  </si>
  <si>
    <t>Condensador, Trifásico, para paso de potencia efectiva de 80kVAR / 400Vac, 60 Hz, p=7%, tipo CFB, marca CIRCUTOR.</t>
  </si>
  <si>
    <t>COND_80kVAR/400V_p7_CSB</t>
  </si>
  <si>
    <t>Condensador, Trifásico, para paso de potencia efectiva de 80kVAR / 400Vac, 60 Hz, p=7%, tipo CSB, marca CIRCUTOR.</t>
  </si>
  <si>
    <t>Repetidor de alarma sugeridos para sala de operaciones / cuarto de enfermeras / UCI - modelo MK2430-12 (empotrado), marca BENDER</t>
  </si>
  <si>
    <t>GPMF-F6NN0</t>
  </si>
  <si>
    <t>Modulo de Tierra montado en placa - modelo GPMF-F6NN0 - marca BENDER.</t>
  </si>
  <si>
    <t>GPM-F4DR4</t>
  </si>
  <si>
    <t>Caja posterior para empotrar para placa frontal de 12 x 8 x 4 pulgadas- modelo GPM-F4DR4 -marca BENDER.</t>
  </si>
  <si>
    <t>B521300367</t>
  </si>
  <si>
    <t>DPX3/160- 40A 50kA (3P)</t>
  </si>
  <si>
    <t>DPX3/160- 63A 50kA (3P)</t>
  </si>
  <si>
    <t>S202-K-10A</t>
  </si>
  <si>
    <t>ITM Riel-Din 2x10A - S202-K-10A - 10kA@230Vac-IEC60947-2 - marca ABB.</t>
  </si>
  <si>
    <t>2CDS252001R0427</t>
  </si>
  <si>
    <t>S203-K-10A</t>
  </si>
  <si>
    <t>ITM Riel-Din 3x10A - S203-K-10A - 10kA@230Vac-IEC60947-2 - marca ABB.</t>
  </si>
  <si>
    <t>Supresor contra sobretensiones (Tipo 2, UL 1449) - OVRHTE252203Y - I_max=25kA por fase, Un=220/380V,  MCOV=275V (L-N), VPR=0.9kV (L-N) - marca ABB.</t>
  </si>
  <si>
    <t>Supresor contra sobretensiones (Tipo 2, UL 1449) - OVRHTE502203Y - I_max=50kA por fase, Un=220/380V,  MCOV=275V (L-N), VPR=0.9kV (L-N) - marca ABB.</t>
  </si>
  <si>
    <t>A1N/P125-125A-1P-TMF</t>
  </si>
  <si>
    <t>1SDA066696R1</t>
  </si>
  <si>
    <t>MAGNETICO</t>
  </si>
  <si>
    <t>E1.2C-1250A-3P-Ekip Touch LSI</t>
  </si>
  <si>
    <t>ITM Bastidor Abierto 3x1250A (electrónico [0.4-1.0] In) - E1.2C-1250A-3P-Ekip Touch LSI - 50kA@440Vac - marca ABB.</t>
  </si>
  <si>
    <t>1SDA070835R1</t>
  </si>
  <si>
    <t>E1.2C-1600A-3P-Ekip Touch LSI</t>
  </si>
  <si>
    <t>ITM Bastidor Abierto 3x1600A (electrónico [0.4-1.0] In) - E1.2C-1600A-3P-Ekip Touch LSI - 50kA@440Vac - marca ABB.</t>
  </si>
  <si>
    <t>1SDA070875R1</t>
  </si>
  <si>
    <t>TABLERO TERMOPLÁSTICO - Serie MISTRAL</t>
  </si>
  <si>
    <t>mRCM-63/4/03-A-MW</t>
  </si>
  <si>
    <t>Interruptor Diferencial de 4x63A - mRCM , 300mA, clase A , marca EATON.</t>
  </si>
  <si>
    <t>Selector tres posiciones "M-0-A" o "1-0-2".</t>
  </si>
  <si>
    <t>Selector dos posiciones "M-A" o "0-1".</t>
  </si>
  <si>
    <t>COND_20kVAR/400V_p7_CSB</t>
  </si>
  <si>
    <t>Condensador trifásico, para paso de potencia efectiva de 20kVAR / 400Vac, 60 Hz, p=7%, tipo CSB, marca CIRCUTOR.</t>
  </si>
  <si>
    <t>COND_40kVAR/400V_p7_CSB</t>
  </si>
  <si>
    <t>Condensador trifásico, para paso de potencia efectiva de 40kVAR / 400Vac, 60 Hz, p=7%, tipo CSB, marca CIRCUTOR.</t>
  </si>
  <si>
    <t>PROTECCION DIFERENCIAL - Clase A</t>
  </si>
  <si>
    <t>Relé de protección diferencial Analogico 5SV8 - Reg.: 0.03 - 0.1 - 0.3 - 0.5 - 1 - 5A - Ue=230-400 Vac - marca SIEMENS.</t>
  </si>
  <si>
    <t>5SV8001-6KK</t>
  </si>
  <si>
    <t>Relé de protección diferencial Digital 5SV8 - Reg.: 0.03 - 0.1 - 0.3 - 0.5 - 1 - 3A - Ue=230-400 Vac - marca SIEMENS.</t>
  </si>
  <si>
    <t>5SV8701-0KK</t>
  </si>
  <si>
    <t>Toroide diferencial (nucleo cerrado) p/ Riel Din - d=30mm, In_max=63A@IEC60947-2 - marca SIEMENS.</t>
  </si>
  <si>
    <t>5SV8702-0KK</t>
  </si>
  <si>
    <t>Toroide diferencial (nucleo cerrado) - d=35mm, In_max=80A@IEC60947-2 - marca SIEMENS.</t>
  </si>
  <si>
    <t>Toroide diferencial (nucleo cerrado) - d=70mm, In_max=200A@IEC60947-2 - marca SIEMENS.</t>
  </si>
  <si>
    <t>Toroide diferencial (nucleo cerrado) - d=105mm, In_max=250A@IEC60947-2 - marca SIEMENS.</t>
  </si>
  <si>
    <t>5SV8705-0KK</t>
  </si>
  <si>
    <t>Toroide diferencial (nucleo cerrado) - d=140mm, In_max=500A@IEC60947-2 - marca SIEMENS.</t>
  </si>
  <si>
    <t>5SV8706-0KK</t>
  </si>
  <si>
    <t>Toroide diferencial (nucleo cerrado) - d=210mm, In_max=600A@IEC60947-2 - marca SIEMENS.</t>
  </si>
  <si>
    <t>ITM Bastidor Abierto 3x1600A (electrónico [0.4-1.0] In) -3WL1116 - 55kA@500Vac - marca SIEMENS.</t>
  </si>
  <si>
    <t>ITM Bastidor Abierto 3x2000A (electrónico [0.4-1.0] In) -3WL1220 - 55kA@500Vac - marca SIEMENS.</t>
  </si>
  <si>
    <t>ITM Bastidor Abierto 3x2500A (electrónico [0.4-1.0] In) -3WL1225 - 55kA@500Vac - marca SIEMENS.</t>
  </si>
  <si>
    <t>ITM Bastidor Abierto 3x3200A (electrónico [0.4-1.0] In) -3WL1232 - 55kA@500Vac - marca SIEMENS.</t>
  </si>
  <si>
    <t>ITM Bastidor Abierto 3x4000A (electrónico [0.4-1.0] In) -3WL1240 - 55kA@500Vac - marca SIEMENS.</t>
  </si>
  <si>
    <t>3WL9111-0AD06-0AA0</t>
  </si>
  <si>
    <t>Bobina de Cierre + Bobina de Apertura (YC+YO) - para 3WL- 208-240VAC / 220-250VDC - marca SIEMENS,</t>
  </si>
  <si>
    <t>3WL9111-0AE05-0AA0</t>
  </si>
  <si>
    <t>Bobina de minima tension (YU) - para 3WL- 208-240VAC / 220-250VDC - marca SIEMENS,</t>
  </si>
  <si>
    <t>3WL9111-0AF04-0AA0</t>
  </si>
  <si>
    <t>Motor Operado (YM) - para 3WL- 208-240VAC / 220-250VDC - marca SIEMENS,</t>
  </si>
  <si>
    <t>3WL9111-0BB21-0AA0</t>
  </si>
  <si>
    <t>Enclavamiento mecánico para 2 interruptores P/modelo 3WL - marca SIEMENS.</t>
  </si>
  <si>
    <t>3WL9111-0AH14-0AA0</t>
  </si>
  <si>
    <t>1(S51) contacto por actuacion del relé - 250V - 3WL - marca SIEMENS.</t>
  </si>
  <si>
    <t>3WT8202-5AA00-0AA2</t>
  </si>
  <si>
    <t>3WT8252-5AA00-0AA2</t>
  </si>
  <si>
    <t>3WT8322-5AA00-0AA2</t>
  </si>
  <si>
    <t>3WT8402-5AA02-0AA2</t>
  </si>
  <si>
    <t>3WT9831-1JK00</t>
  </si>
  <si>
    <t>Motor Operador + Bobina de cierre (YM+YC) - para 3WT- 208-240VAC / 220-250VDC - marca SIEMENS,</t>
  </si>
  <si>
    <t>3WT9851-1JK00</t>
  </si>
  <si>
    <t>Bobina de Apertura (YO) - para 3WT- 208-240VAC / 220-250VDC - marca SIEMENS,</t>
  </si>
  <si>
    <t>3WT9853-1JK00</t>
  </si>
  <si>
    <t>Bobina de minima tension (YU) - para 3WT- 208-240VAC / 220-250VDC - marca SIEMENS,</t>
  </si>
  <si>
    <t>3VM</t>
  </si>
  <si>
    <t>ITM de 3x20A , Caja Moldeada 3VM1020, 25kA@240Vac.- 16kA@415Vac. - SIEMENS.</t>
  </si>
  <si>
    <t>ITM de 3x25A , Caja Moldeada 3VM1025, 25kA@240Vac.- 16kA@415Vac. - SIEMENS.</t>
  </si>
  <si>
    <t>ITM de 3x32A , Caja Moldeada 3VM1032, 25kA@240Vac.- 16kA@415Vac. - SIEMENS.</t>
  </si>
  <si>
    <t>ITM de 3x40A , Caja Moldeada 3VM1040, 25kA@240Vac.- 16kA@415Vac. - SIEMENS.</t>
  </si>
  <si>
    <t>ITM de 3x50A , Caja Moldeada 3VM1050, 25kA@240Vac.- 16kA@415Vac. - SIEMENS.</t>
  </si>
  <si>
    <t>ITM de 3x63A , Caja Moldeada 3VM1063, 25kA@240Vac.- 16kA@415Vac. - SIEMENS.</t>
  </si>
  <si>
    <t>ITM de 3x80A , Caja Moldeada 3VM1080, 25kA@240Vac.- 16kA@415Vac. - SIEMENS.</t>
  </si>
  <si>
    <t>ITM de 3x100A , Caja Moldeada 3VM1010, 25kA@240Vac.- 16kA@415Vac. - SIEMENS.</t>
  </si>
  <si>
    <t>ITM de 3x125A , Caja Moldeada 3VM1112, 36kA@240Vac.- 25kA@415Vac. - SIEMENS.</t>
  </si>
  <si>
    <t>3VM1116-3ED32-0AA0</t>
  </si>
  <si>
    <t>ITM de 3x160A , Caja Moldeada 3VM1116, 36kA@240Vac.- 25kA@415Vac. - SIEMENS.</t>
  </si>
  <si>
    <t>ITM de 3x200A , Caja Moldeada 3VM1220, 55kA@240Vac.- 36kA@415Vac. - SIEMENS.</t>
  </si>
  <si>
    <t>ITM de 3x250A , Caja Moldeada 3VM1225, 55kA@240Vac.- 36kA@415Vac. - SIEMENS.</t>
  </si>
  <si>
    <t>ITM de 3x16A , (reg.[0.7-1.0] In) Caja Moldeada 3VM1196, 36kA@240Vac.- 25kA@415Vac- SIEMENS.</t>
  </si>
  <si>
    <t>ITM de 3x20A , (reg.[0.7-1.0] In) Caja Moldeada 3VM1120, 36kA@240Vac.- 25kA@415Vac- SIEMENS.</t>
  </si>
  <si>
    <t>ITM de 3x25A , (reg.[0.7-1.0] In) Caja Moldeada 3VM1125, 36kA@240Vac.- 25kA@415Vac- SIEMENS.</t>
  </si>
  <si>
    <t>ITM de 3x32A , (reg.[0.7-1.0] In) Caja Moldeada 3VM1132, 36kA@240Vac.- 25kA@415Vac- SIEMENS.</t>
  </si>
  <si>
    <t>ITM de 3x40A , (reg.[0.7-1.0] In) Caja Moldeada 3VM1140, 36kA@240Vac.- 25kA@415Vac- SIEMENS.</t>
  </si>
  <si>
    <t>ITM de 3x50A , (reg.[0.7-1.0] In) Caja Moldeada 3VM1150, 36kA@240Vac.- 25kA@415Vac- SIEMENS.</t>
  </si>
  <si>
    <t>ITM de 3x63A , (reg.[0.7-1.0] In) Caja Moldeada 3VM1163, 36kA@240Vac.- 25kA@415Vac- SIEMENS.</t>
  </si>
  <si>
    <t>ITM de 3x80A , (reg.[0.7-1.0] In) Caja Moldeada 3VM1180, 36kA@240Vac.- 25kA@415Vac- SIEMENS.</t>
  </si>
  <si>
    <t>ITM de 3x100A , (reg.[0.7-1.0] In) Caja Moldeada 3VM1110, 36kA@240Vac.- 25kA@415Vac- SIEMENS.</t>
  </si>
  <si>
    <t>ITM de 3x125A , (reg.[0.7-1.0] In) Caja Moldeada 3VM1112, 36kA@240Vac.- 25kA@415Vac- SIEMENS.</t>
  </si>
  <si>
    <t>ITM de 3x160A , (reg.[0.7-1.0] In) Caja Moldeada 3VM1116, 36kA@240Vac.- 25kA@415Vac- SIEMENS.</t>
  </si>
  <si>
    <t>ITM de 3x16A , (reg.[0.7-1.0] In) Caja Moldeada 3VM1196, 55kA@240Vac.- 36kA@415Vac- SIEMENS.</t>
  </si>
  <si>
    <t>ITM de 3x20A , (reg.[0.7-1.0] In) Caja Moldeada 3VM1120, 55kA@240Vac.- 36kA@415Vac- SIEMENS.</t>
  </si>
  <si>
    <t>ITM de 3x25A , (reg.[0.7-1.0] In) Caja Moldeada 3VM1125, 55kA@240Vac.- 36kA@415Vac- SIEMENS.</t>
  </si>
  <si>
    <t>ITM de 3x32A , (reg.[0.7-1.0] In) Caja Moldeada 3VM1132, 55kA@240Vac.- 36kA@415Vac- SIEMENS.</t>
  </si>
  <si>
    <t>ITM de 3x40A , (reg.[0.7-1.0] In) Caja Moldeada 3VM1140, 55kA@240Vac.- 36kA@415Vac- SIEMENS.</t>
  </si>
  <si>
    <t>ITM de 3x50A , (reg.[0.7-1.0] In) Caja Moldeada 3VM1150, 55kA@240Vac.- 36kA@415Vac- SIEMENS.</t>
  </si>
  <si>
    <t>ITM de 3x63A , (reg.[0.7-1.0] In) Caja Moldeada 3VM1163, 55kA@240Vac.- 36kA@415Vac- SIEMENS.</t>
  </si>
  <si>
    <t>ITM de 3x80A , (reg.[0.7-1.0] In) Caja Moldeada 3VM1180, 55kA@240Vac.- 36kA@415Vac- SIEMENS.</t>
  </si>
  <si>
    <t>ITM de 3x100A , (reg.[0.7-1.0] In) Caja Moldeada 3VM1110, 55kA@240Vac.- 36kA@415Vac- SIEMENS.</t>
  </si>
  <si>
    <t>ITM de 3x125A , (reg.[0.7-1.0] In) Caja Moldeada 3VM1112, 55kA@240Vac.- 36kA@415Vac- SIEMENS.</t>
  </si>
  <si>
    <t>ITM de 3x160A , (reg.[0.7-1.0] In) Caja Moldeada 3VM1116, 55kA@240Vac.- 36kA@415Vac- SIEMENS.</t>
  </si>
  <si>
    <t>ITM de 3x200A , (reg.[0.7-1.0] In) Caja Moldeada 3VM1220, 55kA@240Vac.- 36kA@415Vac- SIEMENS.</t>
  </si>
  <si>
    <t>ITM de 3x250A , (reg.[0.7-1.0] In) Caja Moldeada 3VM1225, 55kA@240Vac.- 36kA@415Vac- SIEMENS.</t>
  </si>
  <si>
    <t>3VM1196-3GE42-0AA0</t>
  </si>
  <si>
    <t>ITM de 4x16A , (reg.[0.7-1.0] In) Caja Moldeada 3VM1196, 36kA@240Vac.- 25kA@415Vac- SIEMENS.</t>
  </si>
  <si>
    <t>3VM1120-3GE42-0AA0</t>
  </si>
  <si>
    <t>ITM de 4x20A , (reg.[0.7-1.0] In) Caja Moldeada 3VM1120, 36kA@240Vac.- 25kA@415Vac- SIEMENS.</t>
  </si>
  <si>
    <t>3VM1125-3GE42-0AA0</t>
  </si>
  <si>
    <t>ITM de 4x25A , (reg.[0.7-1.0] In) Caja Moldeada 3VM1125, 36kA@240Vac.- 25kA@415Vac- SIEMENS.</t>
  </si>
  <si>
    <t>3VM1132-3GE42-0AA0</t>
  </si>
  <si>
    <t>ITM de 4x32A , (reg.[0.7-1.0] In) Caja Moldeada 3VM1132, 36kA@240Vac.- 25kA@415Vac- SIEMENS.</t>
  </si>
  <si>
    <t>3VM1140-3GE42-0AA0</t>
  </si>
  <si>
    <t>ITM de 4x40A , (reg.[0.7-1.0] In) Caja Moldeada 3VM1140, 36kA@240Vac.- 25kA@415Vac- SIEMENS.</t>
  </si>
  <si>
    <t>3VM1150-3GE42-0AA0</t>
  </si>
  <si>
    <t>ITM de 4x50A , (reg.[0.7-1.0] In) Caja Moldeada 3VM1150, 36kA@240Vac.- 25kA@415Vac- SIEMENS.</t>
  </si>
  <si>
    <t>3VM1163-3GE42-0AA0</t>
  </si>
  <si>
    <t>ITM de 4x63A , (reg.[0.7-1.0] In) Caja Moldeada 3VM1163, 36kA@240Vac.- 25kA@415Vac- SIEMENS.</t>
  </si>
  <si>
    <t>3VM1180-3GE42-0AA0</t>
  </si>
  <si>
    <t>ITM de 4x80A , (reg.[0.7-1.0] In) Caja Moldeada 3VM1180, 36kA@240Vac.- 25kA@415Vac- SIEMENS.</t>
  </si>
  <si>
    <t>3VM1110-3GE42-0AA0</t>
  </si>
  <si>
    <t>ITM de 4x100A , (reg.[0.7-1.0] In) Caja Moldeada 3VM1110, 36kA@240Vac.- 25kA@415Vac- SIEMENS.</t>
  </si>
  <si>
    <t>3VM1112-3GE42-0AA0</t>
  </si>
  <si>
    <t>ITM de 4x125A , (reg.[0.7-1.0] In) Caja Moldeada 3VM1112, 36kA@240Vac.- 25kA@415Vac- SIEMENS.</t>
  </si>
  <si>
    <t>3VM1116-3GE42-0AA0</t>
  </si>
  <si>
    <t>ITM de 4x160A , (reg.[0.7-1.0] In) Caja Moldeada 3VM1116, 36kA@240Vac.- 25kA@415Vac- SIEMENS.</t>
  </si>
  <si>
    <t>3VM1220-4GE42-0AA0</t>
  </si>
  <si>
    <t>ITM de 4x200A , (reg.[0.7-1.0] In) Caja Moldeada 3VM1220, 36kA@240Vac.- 25kA@415Vac- SIEMENS.</t>
  </si>
  <si>
    <t>3VM1225-4GE42-0AA0</t>
  </si>
  <si>
    <t>ITM de 4x250A , (reg.[0.7-1.0] In) Caja Moldeada 3VM1225, 36kA@240Vac.- 25kA@415Vac- SIEMENS.</t>
  </si>
  <si>
    <t>3VM9988-0AA13</t>
  </si>
  <si>
    <t>1(Q) contacto conmutado de estado (NA/NC) para modelo 3VM, marca SIEMENS.</t>
  </si>
  <si>
    <t>3VM9908-0BL33</t>
  </si>
  <si>
    <t>Bobina de Disparo para modelo 3VM - 208-277 VAC / 220-250 VDC, marca SIEMENS.</t>
  </si>
  <si>
    <t>3VA</t>
  </si>
  <si>
    <t>ITM de 3x20A ,    (reg.[0.7-1.0] In) Caja Moldeada 3VA1120,  55kA@415Vac.- SIEMENS.</t>
  </si>
  <si>
    <t>ITM de 3x25A ,    (reg.[0.7-1.0] In) Caja Moldeada 3VA1125,  55kA@415Vac.- SIEMENS.</t>
  </si>
  <si>
    <t>ITM de 3x32A ,    (reg.[0.7-1.0] In) Caja Moldeada 3VA1132,  55kA@415Vac.- SIEMENS.</t>
  </si>
  <si>
    <t>ITM de 3x40A ,    (reg.[0.7-1.0] In) Caja Moldeada 3VA1140,  55kA@415Vac.- SIEMENS.</t>
  </si>
  <si>
    <t>ITM de 3x50A ,    (reg.[0.7-1.0] In) Caja Moldeada 3VA1150,  55kA@415Vac.- SIEMENS.</t>
  </si>
  <si>
    <t>ITM de 3x63A ,    (reg.[0.7-1.0] In) Caja Moldeada 3VA1163,  55kA@415Vac.- SIEMENS.</t>
  </si>
  <si>
    <t>ITM de 3x80A ,    (reg.[0.7-1.0] In) Caja Moldeada 3VA1180,  55kA@415Vac.- SIEMENS.</t>
  </si>
  <si>
    <t>ITM de 3x100A ,  (reg.[0.7-1.0] In) Caja Moldeada 3VA1110,  55kA@415Vac.- SIEMENS.</t>
  </si>
  <si>
    <t>ITM de 3x125A ,  (reg.[0.7-1.0] In) Caja Moldeada 3VA1112,  55kA@415Vac.- SIEMENS.</t>
  </si>
  <si>
    <t>ITM de 3x160A ,  (reg.[0.7-1.0] In) Caja Moldeada 3VA1116,  55kA@415Vac.- SIEMENS.</t>
  </si>
  <si>
    <t>ITM de 3x200A ,  (reg.[0.7-1.0] In) Caja Moldeada 3VA1220,  55kA@415Vac.- SIEMENS.</t>
  </si>
  <si>
    <t>ITM de 3x250A ,  (reg.[0.7-1.0] In) Caja Moldeada 3VA1225,  55kA@415Vac.- SIEMENS.</t>
  </si>
  <si>
    <t>3VA1120-6EF32-0AA0</t>
  </si>
  <si>
    <t>ITM de 3x20A ,    (reg.[0.7-1.0] In) Caja Moldeada 3VA1120,  70kA@415Vac.- SIEMENS.</t>
  </si>
  <si>
    <t>3VA1125-6EF32-0AA0</t>
  </si>
  <si>
    <t>ITM de 3x25A ,    (reg.[0.7-1.0] In) Caja Moldeada 3VA1125,  70kA@415Vac.- SIEMENS.</t>
  </si>
  <si>
    <t>3VA1132-6EF32-0AA0</t>
  </si>
  <si>
    <t>ITM de 3x32A ,    (reg.[0.7-1.0] In) Caja Moldeada 3VA1132,  70kA@415Vac.- SIEMENS.</t>
  </si>
  <si>
    <t>3VA1140-6EF32-0AA0</t>
  </si>
  <si>
    <t>ITM de 3x40A ,    (reg.[0.7-1.0] In) Caja Moldeada 3VA1140,  70kA@415Vac.- SIEMENS.</t>
  </si>
  <si>
    <t>3VA1150-6EF32-0AA0</t>
  </si>
  <si>
    <t>ITM de 3x50A ,    (reg.[0.7-1.0] In) Caja Moldeada 3VA1150,  70kA@415Vac.- SIEMENS.</t>
  </si>
  <si>
    <t>3VA1163-6EF32-0AA0</t>
  </si>
  <si>
    <t>ITM de 3x63A ,    (reg.[0.7-1.0] In) Caja Moldeada 3VA1163,  70kA@415Vac.- SIEMENS.</t>
  </si>
  <si>
    <t>3VA1180-6EF32-0AA0</t>
  </si>
  <si>
    <t>ITM de 3x80A ,    (reg.[0.7-1.0] In) Caja Moldeada 3VA1180,  70kA@415Vac.- SIEMENS.</t>
  </si>
  <si>
    <t>3VA1110-6EF32-0AA0</t>
  </si>
  <si>
    <t>ITM de 3x100A ,  (reg.[0.7-1.0] In) Caja Moldeada 3VA1110,  70kA@415Vac.- SIEMENS.</t>
  </si>
  <si>
    <t>3VA1112-6EF32-0AA0</t>
  </si>
  <si>
    <t>ITM de 3x125A ,  (reg.[0.7-1.0] In) Caja Moldeada 3VA1112,  70kA@415Vac.- SIEMENS.</t>
  </si>
  <si>
    <t>3VA1116-6EF32-0AA0</t>
  </si>
  <si>
    <t>ITM de 3x160A ,  (reg.[0.7-1.0] In) Caja Moldeada 3VA1116,  70kA@415Vac.- SIEMENS.</t>
  </si>
  <si>
    <t>3VA1220-6EF32-0AA0</t>
  </si>
  <si>
    <t>ITM de 3x200A ,  (reg.[0.7-1.0] In) Caja Moldeada 3VA1220,  70kA@415Vac.- SIEMENS.</t>
  </si>
  <si>
    <t>3VA1225-6EF32-0AA0</t>
  </si>
  <si>
    <t>ITM de 3x250A ,  (reg.[0.7-1.0] In) Caja Moldeada 3VA1225,  70kA@415Vac.- SIEMENS.</t>
  </si>
  <si>
    <t>ITM de 3x400A ,  (reg.[0.7-1.0] In) Caja Moldeada 3VA1340, 55kA@240Vac.- 36kA@415Vac- SIEMENS.</t>
  </si>
  <si>
    <t>ITM de 3x630A ,  (reg.[0.7-1.0] In) Caja Moldeada 3VA1463, 55kA@240Vac.- 36kA@415Vac- SIEMENS.</t>
  </si>
  <si>
    <t>3VA1340-5EF32-0AA0</t>
  </si>
  <si>
    <t>3VA1463-5EF32-0AA0</t>
  </si>
  <si>
    <t>3VA-ELECTRONICO</t>
  </si>
  <si>
    <t>ITM Caja Moldeada 3x40A  (electrónico [0.4-1.0] In) -ETU320- LI -3VA2040 - 55kA/415Vac; marca SIEMENS.</t>
  </si>
  <si>
    <t>ITM Caja Moldeada 3x100A  (electrónico [0.4-1.0] In) -ETU320- LI -3VA2010 - 55kA/415Vac; marca SIEMENS.</t>
  </si>
  <si>
    <t>ITM Caja Moldeada 3x160A  (electrónico [0.4-1.0] In) -ETU320- LI -3VA2116 - 55kA/415Vac; marca SIEMENS.</t>
  </si>
  <si>
    <t>ITM Caja Moldeada 3x250A  (electrónico [0.4-1.0] In) -ETU320- LI -3VA2225 - 55kA/415Vac; marca SIEMENS.</t>
  </si>
  <si>
    <t>3VA2340-5HL32-0AA0</t>
  </si>
  <si>
    <t>ITM Caja Moldeada 3x400A  (electrónico [0.4-1.0] In) -ETU320- LI -3VA2340 - 55kA/415Vac; marca SIEMENS.</t>
  </si>
  <si>
    <t>3VA2463-5HL32-0AA0</t>
  </si>
  <si>
    <t>ITM Caja Moldeada 3x630A  (electrónico [0.4-1.0] In) -ETU320- LI -3VA2463 - 55kA/415Vac; marca SIEMENS.</t>
  </si>
  <si>
    <t>ITM Caja Moldeada 3x800A  (electrónico [0.4-1.0] In) -ETU320- LI -3VA2580 - 55kA/415Vac; marca SIEMENS.</t>
  </si>
  <si>
    <t>ITM Caja Moldeada 3x1000A  (electrónico [0.4-1.0] In) -ETU320- LI -3VA2510 - 55kA/415Vac; marca SIEMENS.</t>
  </si>
  <si>
    <t>3VA2340-6HL32-0AA0</t>
  </si>
  <si>
    <t>ITM Caja Moldeada 3x400A  (electrónico [0.4-1.0] In) -ETU320- LI -3VA2340 - 85kA/415Vac; marca SIEMENS.</t>
  </si>
  <si>
    <t>3VA2463-6HL32-0AA0</t>
  </si>
  <si>
    <t>ITM Caja Moldeada 3x630A  (electrónico [0.4-1.0] In) -ETU320- LI -3VA2463 - 85kA/415Vac; marca SIEMENS.</t>
  </si>
  <si>
    <t>3VA2580-6HL32-0AA0</t>
  </si>
  <si>
    <t>ITM Caja Moldeada 3x800A  (electrónico [0.4-1.0] In) -ETU320- LI -3VA2580 - 85kA/415Vac; marca SIEMENS.</t>
  </si>
  <si>
    <t>3VA2510-6HL32-0AA0</t>
  </si>
  <si>
    <t>ITM Caja Moldeada 3x1000A  (electrónico [0.4-1.0] In) -ETU320- LI -3VA2510 - 85kA/415Vac; marca SIEMENS.</t>
  </si>
  <si>
    <t>3VA2340-5HL42-0AA0</t>
  </si>
  <si>
    <t>ITM Caja Moldeada 4x400A  (electrónico [0.4-1.0] In) -ETU320- LI -3VA2340 - 55kA/415Vac; marca SIEMENS.</t>
  </si>
  <si>
    <t>3VA2463-5HL42-0AA0</t>
  </si>
  <si>
    <t>ITM Caja Moldeada 4x630A  (electrónico [0.4-1.0] In) -ETU320- LI -3VA2463 - 55kA/415Vac; marca SIEMENS.</t>
  </si>
  <si>
    <t>3VA2580-5HL42-0AA0</t>
  </si>
  <si>
    <t>ITM Caja Moldeada 4x800A  (electrónico [0.4-1.0] In) -ETU320- LI -3VA2580 - 55kA/415Vac; marca SIEMENS.</t>
  </si>
  <si>
    <t>3VA2510-5HL42-0AA0</t>
  </si>
  <si>
    <t>ITM Caja Moldeada 4x1000A  (electrónico [0.4-1.0] In) -ETU320- LI -3VA2510 - 55kA/415Vac; marca SIEMENS.</t>
  </si>
  <si>
    <t>3VA9988-0AA13</t>
  </si>
  <si>
    <t>2(Q) contacto auxiliar de estado (1NA+1NC) - para modelo 3VA1 o 3VA2 - marca SIEMENS.</t>
  </si>
  <si>
    <t>3VA9988-0AB13</t>
  </si>
  <si>
    <t>2(Q) contacto auxiliar de alarma (1NA+1NC) - para modelo 3VA1 o 3VA2 - marca SIEMENS.</t>
  </si>
  <si>
    <t>3VA9988-0BL33</t>
  </si>
  <si>
    <t>Bobina de Disparo para modelo 3VA1 o 3VA2 - 208-277 VAC / 220-250 VDC, marca SIEMENS.</t>
  </si>
  <si>
    <t>3VA9908-0BB25</t>
  </si>
  <si>
    <t>Bobina de minima tension para modelo 3VA1 o 3VA2 - 220 VAC, marca SIEMENS.</t>
  </si>
  <si>
    <t>3VA9088-0LB10</t>
  </si>
  <si>
    <t>Dispositivo para bloqueo por candado, fijo en interruptor (bloqueo en posición abierto) - p/modelo 3VA1 - marca SIEMENS (no inluye el candado ni llaves).</t>
  </si>
  <si>
    <t>3VA9388-0LB10</t>
  </si>
  <si>
    <t>Dispositivo para bloqueo por candado, fijo en interruptor (bloqueo en posición abierto) - p/modelo 3VA13/3VA14/3VA23/3VA24  - marca SIEMENS (no inluye el candado ni llaves).</t>
  </si>
  <si>
    <t>3VA9088-0VM10</t>
  </si>
  <si>
    <t>Enclavamiento mecánico para 2 interruptores. P/modelo 3VA1, 3VA23, 3VA24 - marca SIEMENS.</t>
  </si>
  <si>
    <t>3VA9157-0HA20</t>
  </si>
  <si>
    <t>Mando Motorizado (YM) - P/modelo 3VA11- 110-230VAC / 110-250VDC. - marca SIEMENS,</t>
  </si>
  <si>
    <t>3VA9257-0HA20</t>
  </si>
  <si>
    <t>Mando Motorizado (YM) - P/modelo 3VA12- 110-230VAC / 110-250VDC. - marca SIEMENS,</t>
  </si>
  <si>
    <t>Mando Motorizado (YM) - P/modelo 3VA22- 110-230VAC / 110-250VDC. - marca SIEMENS,</t>
  </si>
  <si>
    <t>3VA9467-0HA20</t>
  </si>
  <si>
    <t>Mando Motorizado (YM) - P/modelo 3VA13, 3VA14, 3VA23, 3VA24- 110-230VAC / 110-250VDC. - marca SIEMENS,</t>
  </si>
  <si>
    <t>3VA9113-0RL20</t>
  </si>
  <si>
    <t>RCD, módulo diferencial, P/modelo 3VA1- 127-480VAC. - marca SIEMENS.</t>
  </si>
  <si>
    <t>3VA9213-0RL20</t>
  </si>
  <si>
    <t>RCD, módulo diferencial, P/modelo 3VA12- 127-480VAC. - marca SIEMENS.</t>
  </si>
  <si>
    <t>3VA9323-0RL30</t>
  </si>
  <si>
    <t>RCD, módulo diferencial, P/modelo 3VA23- 127-480VAC. - marca SIEMENS.</t>
  </si>
  <si>
    <t>Supresor de Sobre Tensiones (TIPO DIN)</t>
  </si>
  <si>
    <t>5SD7461-0_IT_1P</t>
  </si>
  <si>
    <t>Protector de sobretensiones (Tipo 2) - 5SD7461-0_IT_1P - Un=240Vac - I_descarga=40kA - marca SIEMENS.</t>
  </si>
  <si>
    <t>5SD7461-0</t>
  </si>
  <si>
    <t>5SD7422-0_TT_1P+N</t>
  </si>
  <si>
    <t>Protector de sobretensiones (Tipo 2) - 5SD7422-0_TT_1P+N - Un=240Vac - I_descarga=40kA - marca SIEMENS.</t>
  </si>
  <si>
    <t>5SD7422-0</t>
  </si>
  <si>
    <t>5SD7464-0_TT_3P+N</t>
  </si>
  <si>
    <t>Protector de sobretensiones (Tipo 2) - 5SD7464-0_TT_3P+N - Un=415/240Vac - I_descarga=40kA - marca SIEMENS.</t>
  </si>
  <si>
    <t>Supresor de Sobre Tensiones (TIPO NEMA)</t>
  </si>
  <si>
    <t>Supresor contra sobretensiones (Tipo 1, UL 1449) - TPS3K09100 - I_max=100kA por fase, Un=220/380V - marca SIEMENS.</t>
  </si>
  <si>
    <t>3RT2015-1AN21 (S00)</t>
  </si>
  <si>
    <t>Contactor 18A (AC-1) / 7A (AC-3)  +1NA - bob. 220Vac - Sirius Innovation 3R - SIEMENS.</t>
  </si>
  <si>
    <t>3RT2015-1AN21</t>
  </si>
  <si>
    <t>3RT2016-1AN21 (S00)</t>
  </si>
  <si>
    <t>Contactor 22A (AC-1) / 9A (AC-3)  +1NA - bob. 220Vac - Sirius Innovation 3R - SIEMENS.</t>
  </si>
  <si>
    <t>3RT2017-1AN21 (S00)</t>
  </si>
  <si>
    <t>Contactor 22A (AC-1) / 12A (AC-3) +1NA - bob. 220Vac - Sirius Innovation 3R - SIEMENS.</t>
  </si>
  <si>
    <t>3RT2017-1AN21</t>
  </si>
  <si>
    <t>3RT2018-1AN21 (S00)</t>
  </si>
  <si>
    <t>Contactor 22A (AC-1) / 16A (AC-3) +1NA - bob. 220Vac - Sirius Innovation 3R - SIEMENS.</t>
  </si>
  <si>
    <t>3RT2018-1AN21</t>
  </si>
  <si>
    <t>3RT2025-1AN20 (S0)</t>
  </si>
  <si>
    <t>Contactor 40A (AC-1) / 17A (AC-3) +1NA + 1NC - bob. 220Vac - Sirius Innovation 3R - SIEMENS.</t>
  </si>
  <si>
    <t>3RT2025-1AN20</t>
  </si>
  <si>
    <t>3RT2026-1AN20 (S0)</t>
  </si>
  <si>
    <t>Contactor 40A (AC-1) / 25A (AC-3) +1NA + 1NC - bob. 220Vac - Sirius Innovation 3R - SIEMENS.</t>
  </si>
  <si>
    <t>3RT2026-1AN20</t>
  </si>
  <si>
    <t>3RT2027-1AN20 (S0)</t>
  </si>
  <si>
    <t>Contactor 50A (AC-1) / 32A (AC-3) +1NA + 1NC - bob. 220Vac - Sirius Innovation 3R - SIEMENS.</t>
  </si>
  <si>
    <t>3RT2027-1AN20</t>
  </si>
  <si>
    <t>3RT2028-1AN20 (S0)</t>
  </si>
  <si>
    <t>Contactor 50A (AC-1) / 38A (AC-3) +1NA + 1NC - bob. 220Vac - Sirius Innovation 3R - SIEMENS.</t>
  </si>
  <si>
    <t>3RT2028-1AN20</t>
  </si>
  <si>
    <t>3RT2035-1AN20 (S2)</t>
  </si>
  <si>
    <t>Contactor 60A (AC-1) / 40A (AC-3) +1NA + 1NC - bob. 220Vac - Sirius Innovation 3R - SIEMENS.</t>
  </si>
  <si>
    <t>3RT2035-1AN20</t>
  </si>
  <si>
    <t>3RT2036-1AN20 (S2)</t>
  </si>
  <si>
    <t>Contactor 70A (AC-1) / 50A (AC-3) +1NA + 1NC - bob. 220Vac - Sirius Innovation 3R - SIEMENS.</t>
  </si>
  <si>
    <t>3RT2036-1AN20</t>
  </si>
  <si>
    <t>3RT2037-1AN20 (S2)</t>
  </si>
  <si>
    <t>Contactor 80A (AC-1) / 65A (AC-3) +1NA + 1NC - bob. 220Vac - Sirius Innovation 3R - SIEMENS.</t>
  </si>
  <si>
    <t>3RT2037-1AN20</t>
  </si>
  <si>
    <t>3RT2038-1AN20 (S2)</t>
  </si>
  <si>
    <t>Contactor 90A (AC-1) / 80A (AC-3) +1NA + 1NC - bob. 220Vac - Sirius Innovation 3R - SIEMENS.</t>
  </si>
  <si>
    <t>3RT2038-1AN20</t>
  </si>
  <si>
    <t>3RT2046-1AN20 (S3)</t>
  </si>
  <si>
    <t>Contactor 125A (AC-1) / 95A (AC-3) +1NA + 1NC - bob. 220Vac - Sirius Innovation 3R - SIEMENS.</t>
  </si>
  <si>
    <t>3RT2046-1AN20</t>
  </si>
  <si>
    <t>3RT2047-1NP30 (S3)</t>
  </si>
  <si>
    <t>Contactor 130A (AC-1) / 110A (AC-3) +1NA + 1NC - bob. 220Vac - Sirius Innovation 3R - SIEMENS.</t>
  </si>
  <si>
    <t>3RT2047-1NP30</t>
  </si>
  <si>
    <t>3RH2911-1HA31</t>
  </si>
  <si>
    <t>Contacto auxiliar frontal 3NA+1NC para contactor de tamaño S00-S3 - Modelo 3RH2911 - marca SIEMENS.</t>
  </si>
  <si>
    <t>3RH2911-1HA22</t>
  </si>
  <si>
    <t>Contacto auxiliar frontal 2NA+2NC para contactor de tamaño S00-S3 - Modelo 3RH2911 - marca SIEMENS.</t>
  </si>
  <si>
    <t>3RH2911-1HA11</t>
  </si>
  <si>
    <t>Contacto auxiliar frontal 1NA+1NC para contactor de tamaño S00-S3 - Modelo 3RH2911 - marca SIEMENS.</t>
  </si>
  <si>
    <t>3RH2911-1HA01</t>
  </si>
  <si>
    <t>Contacto auxiliar frontal 1NC para contactor de tamaño S00-S3 - Modelo 3RH2911 - marca SIEMENS.</t>
  </si>
  <si>
    <t>3RH2911-1HA10</t>
  </si>
  <si>
    <t>Contacto auxiliar frontal 1NA para contactor de tamaño S00-S3 - Modelo 3RH2911 - marca SIEMENS.</t>
  </si>
  <si>
    <t>Contacto auxiliar lateral 1NA+1NC para contactor de tamaño S0-S3 - Modelo 3RH2911 - marca SIEMENS.</t>
  </si>
  <si>
    <t>RELÉS DE SOBRECARGA BIMETÁLICOS SIRIUS INNOVATIONS</t>
  </si>
  <si>
    <t>3RU2116-0CB0</t>
  </si>
  <si>
    <t>3RU2116 Sirius Innovation Relé de sobrecarga - Ith=0.18…0.25A - p/ contactor 3RT2015 … 2018 - marca SIEMENS.</t>
  </si>
  <si>
    <t>3RU2116-0DB0</t>
  </si>
  <si>
    <t>3RU2116 Sirius Innovation Relé de sobrecarga - Ith=0.22…0.32A - p/ contactor 3RT2015 … 2018 - marca SIEMENS.</t>
  </si>
  <si>
    <t>3RU2116-0EB0</t>
  </si>
  <si>
    <t>3RU2116 Sirius Innovation Relé de sobrecarga - Ith=0.28…0.40A - p/ contactor 3RT2015 … 2018 - marca SIEMENS.</t>
  </si>
  <si>
    <t>3RU2116-0FB0</t>
  </si>
  <si>
    <t>3RU2116 Sirius Innovation Relé de sobrecarga - Ith=0.35…0.50A - p/ contactor 3RT2015 … 2018 - marca SIEMENS.</t>
  </si>
  <si>
    <t>3RU2116-0GB0</t>
  </si>
  <si>
    <t>3RU2116 Sirius Innovation Relé de sobrecarga - Ith=0.45…0.63A - p/ contactor 3RT2015 … 2018 - marca SIEMENS.</t>
  </si>
  <si>
    <t>3RU2116-0HB0</t>
  </si>
  <si>
    <t>3RU2116 Sirius Innovation Relé de sobrecarga - Ith=0.55…0.80A - p/ contactor 3RT2015 … 2018 - marca SIEMENS.</t>
  </si>
  <si>
    <t>3RU2116-0JB0</t>
  </si>
  <si>
    <t>3RU2116 Sirius Innovation Relé de sobrecarga - Ith=0.70…1.00A - p/ contactor 3RT2015 … 2018 - marca SIEMENS.</t>
  </si>
  <si>
    <t>3RU2116-0KB0</t>
  </si>
  <si>
    <t>3RU2116 Sirius Innovation Relé de sobrecarga - Ith=0.90…1.25A - p/ contactor 3RT2015 … 2018 - marca SIEMENS.</t>
  </si>
  <si>
    <t>3RU2116-1AB0</t>
  </si>
  <si>
    <t>3RU2116 Sirius Innovation Relé de sobrecarga - Ith=1.10…1.60A - p/ contactor 3RT2015 … 2018 - marca SIEMENS.</t>
  </si>
  <si>
    <t>3RU2116-1BB0</t>
  </si>
  <si>
    <t>3RU2116 Sirius Innovation Relé de sobrecarga - Ith=1.40…2.00A - p/ contactor 3RT2015 … 2018 - marca SIEMENS.</t>
  </si>
  <si>
    <t>3RU2116-1CB0</t>
  </si>
  <si>
    <t>3RU2116 Sirius Innovation Relé de sobrecarga - Ith=1.80…2.50A - p/ contactor 3RT2015 … 2018 - marca SIEMENS.</t>
  </si>
  <si>
    <t>3RU2116-1DB0</t>
  </si>
  <si>
    <t>3RU2116 Sirius Innovation Relé de sobrecarga - Ith=2.20…3.20A - p/ contactor 3RT2015 … 2018 - marca SIEMENS.</t>
  </si>
  <si>
    <t>3RU2116-1EB0</t>
  </si>
  <si>
    <t>3RU2116 Sirius Innovation Relé de sobrecarga - Ith=2.80…4.00A - p/ contactor 3RT2015 … 2018 - marca SIEMENS.</t>
  </si>
  <si>
    <t>3RU2116-1FB0</t>
  </si>
  <si>
    <t>3RU2116 Sirius Innovation Relé de sobrecarga - Ith=3.50…5.00A - p/ contactor 3RT2015 … 2018 - marca SIEMENS.</t>
  </si>
  <si>
    <t>3RU2116-1GB0</t>
  </si>
  <si>
    <t>3RU2116 Sirius Innovation Relé de sobrecarga - Ith=4.50…6.30A - p/ contactor 3RT2015 … 2018 - marca SIEMENS.</t>
  </si>
  <si>
    <t>3RU2116-1HB0</t>
  </si>
  <si>
    <t>3RU2116 Sirius Innovation Relé de sobrecarga - Ith=5.50…8.00A - p/ contactor 3RT2015 … 2018 - marca SIEMENS.</t>
  </si>
  <si>
    <t>3RU2116-1JB0</t>
  </si>
  <si>
    <t>3RU2116 Sirius Innovation Relé de sobrecarga - Ith=7.00…10.00A - p/ contactor 3RT2015 … 2018 - marca SIEMENS.</t>
  </si>
  <si>
    <t>3RU2116-1KB0</t>
  </si>
  <si>
    <t>3RU2116 Sirius Innovation Relé de sobrecarga - Ith=9.00…12.5A - p/ contactor 3RT2015 … 2018 - marca SIEMENS.</t>
  </si>
  <si>
    <t>3RU2116-4AB0</t>
  </si>
  <si>
    <t>3RU2116 Sirius Innovation Relé de sobrecarga - Ith=11.00…16.00A - p/ contactor 3RT2015 … 2018 - marca SIEMENS.</t>
  </si>
  <si>
    <t>3RU2126-1CB0</t>
  </si>
  <si>
    <t>3RU2126 Sirius Innovation Relé de sobrecarga - Ith=1.80…2.50A - p/ contactor 3RT2023 … 2028 - marca SIEMENS.</t>
  </si>
  <si>
    <t>3RU2126-1DB0</t>
  </si>
  <si>
    <t>3RU2126 Sirius Innovation Relé de sobrecarga - Ith=2.20…3.20A - p/ contactor 3RT2023 … 2028 - marca SIEMENS.</t>
  </si>
  <si>
    <t>3RU2126-1EB0</t>
  </si>
  <si>
    <t>3RU2126 Sirius Innovation Relé de sobrecarga - Ith=2.80…4.00A - p/ contactor 3RT2023 … 2028 - marca SIEMENS.</t>
  </si>
  <si>
    <t>3RU2126-1FB0</t>
  </si>
  <si>
    <t>3RU2126 Sirius Innovation Relé de sobrecarga - Ith=3.50…5.00A - p/ contactor 3RT2023 … 2028 - marca SIEMENS.</t>
  </si>
  <si>
    <t>3RU2126-1GB0</t>
  </si>
  <si>
    <t>3RU2126 Sirius Innovation Relé de sobrecarga - Ith=4.50…6.30A - p/ contactor 3RT2023 … 2028 - marca SIEMENS.</t>
  </si>
  <si>
    <t>3RU2126-1HB0</t>
  </si>
  <si>
    <t>3RU2126 Sirius Innovation Relé de sobrecarga - Ith=5.50…8.00A - p/ contactor 3RT2023 … 2028 - marca SIEMENS.</t>
  </si>
  <si>
    <t>3RU2126-1JB0</t>
  </si>
  <si>
    <t>3RU2126 Sirius Innovation Relé de sobrecarga - Ith=7.00…10.00A - p/ contactor 3RT2023 … 2028 - marca SIEMENS.</t>
  </si>
  <si>
    <t>3RU2126-1KB0</t>
  </si>
  <si>
    <t>3RU2126 Sirius Innovation Relé de sobrecarga - Ith=9.00…12.50A - p/ contactor 3RT2023 … 2028 - marca SIEMENS.</t>
  </si>
  <si>
    <t>3RU2126-4AB0</t>
  </si>
  <si>
    <t>3RU2126 Sirius Innovation Relé de sobrecarga - Ith=11.00…16.00A - p/ contactor 3RT2023 … 2028 - marca SIEMENS.</t>
  </si>
  <si>
    <t>3RU2126-4BB0</t>
  </si>
  <si>
    <t>3RU2126 Sirius Innovation Relé de sobrecarga - Ith=14.00…20.00A - p/ contactor 3RT2023 … 2028 - marca SIEMENS.</t>
  </si>
  <si>
    <t>3RU2126-4CB0</t>
  </si>
  <si>
    <t>3RU2126 Sirius Innovation Relé de sobrecarga - Ith=17.00…22.00A - p/ contactor 3RT2023 … 2028 - marca SIEMENS.</t>
  </si>
  <si>
    <t>3RU2126-4DB0</t>
  </si>
  <si>
    <t>3RU2126 Sirius Innovation Relé de sobrecarga - Ith=20.00…25.00A - p/ contactor 3RT2023 … 2028 - marca SIEMENS.</t>
  </si>
  <si>
    <t>3RU2126-4NB0</t>
  </si>
  <si>
    <t>3RU2126 Sirius Innovation Relé de sobrecarga - Ith=23.00…28.00A - p/ contactor 3RT2023 … 2028 - marca SIEMENS.</t>
  </si>
  <si>
    <t>3RU2126-4EB0</t>
  </si>
  <si>
    <t>3RU2126 Sirius Innovation Relé de sobrecarga - Ith=27.00…32.00A - p/ contactor 3RT2023 … 2028 - marca SIEMENS.</t>
  </si>
  <si>
    <t>3RU2126-4PB0</t>
  </si>
  <si>
    <t>3RU2126 Sirius Innovation Relé de sobrecarga - Ith=30.00…36.00A - p/ contactor 3RT2023 … 2028 - marca SIEMENS.</t>
  </si>
  <si>
    <t>3RU2126-4FB0</t>
  </si>
  <si>
    <t>3RU2126 Sirius Innovation Relé de sobrecarga - Ith=34.00…40.00A - p/ contactor 3RT2023 … 2028 - marca SIEMENS.</t>
  </si>
  <si>
    <t>3RU2136-4AB0</t>
  </si>
  <si>
    <t>3RU2136 Sirius Innovation Relé de sobrecarga - Ith=11.00…16.00A - p/ contactor 3RT2035 … 2038 - marca SIEMENS.</t>
  </si>
  <si>
    <t>3RU2136-4BB0</t>
  </si>
  <si>
    <t>3RU2136 Sirius Innovation Relé de sobrecarga - Ith=14.00…20.00A - p/ contactor 3RT2035 … 2038 - marca SIEMENS.</t>
  </si>
  <si>
    <t>3RU2136-4DB0</t>
  </si>
  <si>
    <t>3RU2136 Sirius Innovation Relé de sobrecarga - Ith=18.00…25.00A - p/ contactor 3RT2035 … 2038 - marca SIEMENS.</t>
  </si>
  <si>
    <t>3RU2136-4EB0</t>
  </si>
  <si>
    <t>3RU2136 Sirius Innovation Relé de sobrecarga - Ith=22.00…32.00A - p/ contactor 3RT2035 … 2038 - marca SIEMENS.</t>
  </si>
  <si>
    <t>3RU2136-4FB0</t>
  </si>
  <si>
    <t>3RU2136 Sirius Innovation Relé de sobrecarga - Ith=28.00…40.00A - p/ contactor 3RT2035 … 2038 - marca SIEMENS.</t>
  </si>
  <si>
    <t>3RU2136-4GB0</t>
  </si>
  <si>
    <t>3RU2136 Sirius Innovation Relé de sobrecarga - Ith=36.00…45.00A - p/ contactor 3RT2035 … 2038 - marca SIEMENS.</t>
  </si>
  <si>
    <t>3RU2136-4HB0</t>
  </si>
  <si>
    <t>3RU2136 Sirius Innovation Relé de sobrecarga - Ith=40.00…50.00A - p/ contactor 3RT2035 … 2038 - marca SIEMENS.</t>
  </si>
  <si>
    <t>3RU2136-4QB0</t>
  </si>
  <si>
    <t>3RU2136 Sirius Innovation Relé de sobrecarga - Ith=47.00…57.00A - p/ contactor 3RT2035 … 2038 - marca SIEMENS.</t>
  </si>
  <si>
    <t>3RU2136-4JB0</t>
  </si>
  <si>
    <t>3RU2136 Sirius Innovation Relé de sobrecarga - Ith=54.00…65.00A - p/ contactor 3RT2035 … 2038 - marca SIEMENS.</t>
  </si>
  <si>
    <t>3RU2136-4KB0</t>
  </si>
  <si>
    <t>3RU2136 Sirius Innovation Relé de sobrecarga - Ith=62.00…73.00A - p/ contactor 3RT2035 … 2038 - marca SIEMENS.</t>
  </si>
  <si>
    <t>3RU2136-4RB0</t>
  </si>
  <si>
    <t>3RU2136 Sirius Innovation Relé de sobrecarga - Ith=70.00…80.00A - p/ contactor 3RT2035 … 2038 - marca SIEMENS.</t>
  </si>
  <si>
    <t>3RU2146-4FB0</t>
  </si>
  <si>
    <t>3RU2146 Sirius Innovation Relé de sobrecarga - Ith=28.00…40.00A - p/ contactor 3RT2046 … 2047 - marca SIEMENS.</t>
  </si>
  <si>
    <t>3RU2146-4HB0</t>
  </si>
  <si>
    <t>3RU2146 Sirius Innovation Relé de sobrecarga - Ith=36.00…50.00A - p/ contactor 3RT2046 … 2047 - marca SIEMENS.</t>
  </si>
  <si>
    <t>3RU2146-4JB0</t>
  </si>
  <si>
    <t>3RU2146 Sirius Innovation Relé de sobrecarga - Ith=45.00…63.00A - p/ contactor 3RT2046 … 2047 - marca SIEMENS.</t>
  </si>
  <si>
    <t>3RU2146-4KB0</t>
  </si>
  <si>
    <t>3RU2146 Sirius Innovation Relé de sobrecarga - Ith=57.00…75.00A - p/ contactor 3RT2046 … 2047 - marca SIEMENS.</t>
  </si>
  <si>
    <t>3RU2146-4LB0</t>
  </si>
  <si>
    <t>3RU2146 Sirius Innovation Relé de sobrecarga - Ith=70.00…90.00A - p/ contactor 3RT2046 … 2047 - marca SIEMENS.</t>
  </si>
  <si>
    <t>3RU2146-4MB0</t>
  </si>
  <si>
    <t>3RU2146 Sirius Innovation Relé de sobrecarga - Ith=80.00…100.00A - p/ contactor 3RT2046 … 2047 - marca SIEMENS.</t>
  </si>
  <si>
    <t>PLC</t>
  </si>
  <si>
    <t>LOGO_12/24RCE</t>
  </si>
  <si>
    <t>Micro-PLC modelo LOGO! 12/24RCE - Ue=12/24Vdc - 8 entradas digitales + 4 salidas tipo relé - marca SIEMENS.</t>
  </si>
  <si>
    <t>6ED1052-1MD08-0BA0</t>
  </si>
  <si>
    <t>LOGO_230RCE</t>
  </si>
  <si>
    <t>Micro-PLC modelo LOGO! 230RCE - Ue=115/240Vac - 8 entradas digitales + 4 salidas tipo relé - marca SIEMENS.</t>
  </si>
  <si>
    <t>6ED1052-1FB08-0BA0</t>
  </si>
  <si>
    <t>Módulo de expansión para micro-PLC LOGO! - Ue=24Vac/dc - 4 entradas digitales + 4 salidas tipo relé - marca SIEMENS.</t>
  </si>
  <si>
    <t>6ED1055-1HB00-0BA2</t>
  </si>
  <si>
    <t>Módulo de expansión para micro-PLC LOGO! - Ue=115/240Vac/dc - 4 entradas digitales + 4 salidas tipo relé - marca SIEMENS.</t>
  </si>
  <si>
    <t>6ED1055-1FB00-0BA2</t>
  </si>
  <si>
    <t>6ED1055-1NB10-0BA2</t>
  </si>
  <si>
    <t>Módulo de expansión para micro-PLC LOGO! - Ue=115/240Vac/dc - 8 entradas digitales + 8 salidas tipo relé - marca SIEMENS.</t>
  </si>
  <si>
    <t>6ED1055-1FB10-0BA2</t>
  </si>
  <si>
    <t>Minifuente LOGO!Power - Ui=100-240Vac, Uo=24Vdc/2.5A - marca SIEMENS.</t>
  </si>
  <si>
    <t>6EP3332-6SB00-0AY0</t>
  </si>
  <si>
    <t>SITOP-SMART_24V</t>
  </si>
  <si>
    <t>Fuente de alimentación monofasica SITOP-Smart - Ui=230Vac, Uo=24Vdc/2.5A - Autonomía 3 horas a plena carga - marca SIEMENS.</t>
  </si>
  <si>
    <t>6EP1332-2BA20</t>
  </si>
  <si>
    <t>Banco de baterías para Fuente SITOP</t>
  </si>
  <si>
    <t>SP</t>
  </si>
  <si>
    <t>SB</t>
  </si>
  <si>
    <t>(Breakers and Switches + Enclosures + control products)</t>
  </si>
  <si>
    <t>(Drives &amp; Motion)</t>
  </si>
  <si>
    <t>T6S630-630A-3P-PR221DS-LS/I</t>
  </si>
  <si>
    <t>ITM Caja Moldeada 3x630A (electrónico [0.4-1.0] In) - T6S630-630A-3P-PR221DS-LS/I - 85kA@230Vac, 50kA@415Vac - marca ABB.</t>
  </si>
  <si>
    <t>1SDA060236R1</t>
  </si>
  <si>
    <t>CAL4-11</t>
  </si>
  <si>
    <t>Contacto auxiliar lateral 1NA+1NC para contactor AF09..AF96, Modelo CAL4-11 - marca ABB.</t>
  </si>
  <si>
    <t>Pulsador rasante con bizel plástico - color Rojo - contacto 1NC - SP1-10R-01 - línea compacta - marca ABB.</t>
  </si>
  <si>
    <t>Pulsador rasante con bizel plástico - color Verde - contacto 1NA - SP1-10G-10 - línea compacta - marca ABB.</t>
  </si>
  <si>
    <t>Pulsador rasante con bizel plástico - color Negro - contacto 1NA - SP1-10B-10 - línea compacta - marca ABB.</t>
  </si>
  <si>
    <t>Pulsador momentáneo luminoso rasante con bizel plástico, color rojo, Vc=230Vac - contacto 1NC - SP1-13R-01 - línea compacta - marca ABB.</t>
  </si>
  <si>
    <t>Pulsador momentáneo luminoso rasante con bizel plástico, color verde, Vc=230Vac - contacto 1NA - SP1-13G-10 - línea compacta - marca ABB.</t>
  </si>
  <si>
    <t>Pulsador momentáneo luminoso rasante con bizel plástico, color rojo, Vc=24Vac/dc - contacto 1NC - SP1-13R-01 - línea compacta - marca ABB.</t>
  </si>
  <si>
    <t>Pulsador momentáneo luminoso rasante con bizel plástico, color verde, Vc=24Vac/dc - contacto 1NA - SP1-13G-10 - línea compacta - marca ABB.</t>
  </si>
  <si>
    <t>SP-E_24/2.5</t>
  </si>
  <si>
    <t>Fuente de Alimentación modelo SP-E_24/2.5 - Ui=85-264Vac / 90-375Vdc, Uo=24Vdc/2.5A - marca ABB</t>
  </si>
  <si>
    <t>SP-E_24/5.0</t>
  </si>
  <si>
    <t>Fuente de Alimentación modelo SP-E_24/5.0 - Ui=90-264Vac / 210-375Vdc, Uo=24Vdc/5.0A - marca ABB</t>
  </si>
  <si>
    <t>SP-E_24/10.0</t>
  </si>
  <si>
    <t>Fuente de Alimentación modelo SP-E_24/10.0 - Ui=90-264Vac / 210-375Vdc, Uo=24Vdc/10.0A - marca ABB</t>
  </si>
  <si>
    <t>SP-T_24/5.0</t>
  </si>
  <si>
    <t>Fuente de Alimentación modelo SP-T_24/5.0 - Ui=340-575Vac / 480-820Vdc, Uo=24Vdc/5.0A - marca ABB</t>
  </si>
  <si>
    <t>ACS-SP-C</t>
  </si>
  <si>
    <t>Panel de control básico para ACS 310/350/355/550 - modelo ACS-SP-C, marca ABB.</t>
  </si>
  <si>
    <t>Mod-TSP-IP</t>
  </si>
  <si>
    <t>Módulo de comunicación Ethernet (Modbus/TSP, Ethernet IP)</t>
  </si>
  <si>
    <t>ACS/H-SP-EXT</t>
  </si>
  <si>
    <t>Bloqueo por candado para interruptor Gi/GD/GC/GHC/GB/GHB, marca EATON.</t>
  </si>
  <si>
    <t>SNT480SPK</t>
  </si>
  <si>
    <t>Medidor multifunción + Analizador de Redes - Modelo CVM-B100 - presición 0.2% - Comunicación Modbus/TSP (bridge), Protocolo Ethernet - marca CIRCUTOR.</t>
  </si>
  <si>
    <t>Modulo comunicación Modbus/TSP (bridge), Protocolo Ethernet - marca Circuitor.</t>
  </si>
  <si>
    <t>Condensador trifásico, para paso de potencia efectiva de 40kVAR / 380Vac, 60 Hz, p=7%, tipo CLZ-FP-HD, marca CIRCUTOR.</t>
  </si>
  <si>
    <t>Panel adaptador para RGU-10 y CSP-4 (72x72 mm), marca CIRCUTOR.</t>
  </si>
  <si>
    <t>Interruptor Diferencial de 2x25A - 5SV3312-6 , 30mA, clase A(inmunizado) , SIEMENS.</t>
  </si>
  <si>
    <t>Interruptor Diferencial de 2x40A - 5SV3314-6 , 30mA, clase A(inmunizado) , SIEMENS.</t>
  </si>
  <si>
    <t>Interruptor Diferencial de 2x63A - 5SV3316-6 , 30mA, clase A(inmunizado) , SIEMENS.</t>
  </si>
  <si>
    <t>Interruptor Diferencial de 4x25A - 5SV3342-6 , 30mA, clase A(inmunizado) , SIEMENS.</t>
  </si>
  <si>
    <t>Interruptor Diferencial de 4x40A - 5SV3344-6 , 30mA, clase A(inmunizado) , SIEMENS.</t>
  </si>
  <si>
    <t>Interruptor Diferencial de 4x63A - 5SV3346-6 , 30mA, clase A(inmunizado) , SIEMENS.</t>
  </si>
  <si>
    <t>3VM1196-3ED12-0AA0</t>
  </si>
  <si>
    <t>ITM de 1x16A , Caja Moldeada 3VM1196, 25kA@240Vac. - SIEMENS.</t>
  </si>
  <si>
    <t>3VM1120-3ED12-0AA0</t>
  </si>
  <si>
    <t>ITM de 1x20A , Caja Moldeada 3VM1196, 25kA@240Vac. - SIEMENS.</t>
  </si>
  <si>
    <t>3VM1125-3ED12-0AA0</t>
  </si>
  <si>
    <t>ITM de 1x25A , Caja Moldeada 3VM1196, 25kA@240Vac. - SIEMENS.</t>
  </si>
  <si>
    <t>3VM1132-3ED12-0AA0</t>
  </si>
  <si>
    <t>ITM de 1x32A , Caja Moldeada 3VM1196, 25kA@240Vac. - SIEMENS.</t>
  </si>
  <si>
    <t>3VM1140-3ED12-0AA0</t>
  </si>
  <si>
    <t>ITM de 1x40A , Caja Moldeada 3VM1196, 25kA@240Vac. - SIEMENS.</t>
  </si>
  <si>
    <t>3VM1150-3ED12-0AA0</t>
  </si>
  <si>
    <t>ITM de 1x50A , Caja Moldeada 3VM1196, 25kA@240Vac. - SIEMENS.</t>
  </si>
  <si>
    <t>3VM1163-3ED12-0AA0</t>
  </si>
  <si>
    <t>ITM de 1x63A , Caja Moldeada 3VM1196, 25kA@240Vac. - SIEMENS.</t>
  </si>
  <si>
    <t>3VM1180-3ED12-0AA0</t>
  </si>
  <si>
    <t>ITM de 1x80A , Caja Moldeada 3VM1196, 25kA@240Vac. - SIEMENS.</t>
  </si>
  <si>
    <t>3VM1110-3ED12-0AA0</t>
  </si>
  <si>
    <t>ITM de 1x100A , Caja Moldeada 3VM1196, 25kA@240Vac. - SIEMENS.</t>
  </si>
  <si>
    <t>ITM de 2x16A , Caja Moldeada 3VM1196, 36kA@240Vac. - SIEMENS.</t>
  </si>
  <si>
    <t>ITM de 2x20A , Caja Moldeada 3VM1196, 36kA@240Vac. - SIEMENS.</t>
  </si>
  <si>
    <t>ITM de 2x25A , Caja Moldeada 3VM1196, 36kA@240Vac. - SIEMENS.</t>
  </si>
  <si>
    <t>ITM de 2x32A , Caja Moldeada 3VM1196, 36kA@240Vac. - SIEMENS.</t>
  </si>
  <si>
    <t>ITM de 2x40A , Caja Moldeada 3VM1196, 36kA@240Vac. - SIEMENS.</t>
  </si>
  <si>
    <t>ITM de 2x50A , Caja Moldeada 3VM1196, 36kA@240Vac. - SIEMENS.</t>
  </si>
  <si>
    <t>ITM de 2x63A , Caja Moldeada 3VM1196, 36kA@240Vac. - SIEMENS.</t>
  </si>
  <si>
    <t>ITM de 2x80A , Caja Moldeada 3VM1196, 36kA@240Vac. - SIEMENS.</t>
  </si>
  <si>
    <t>ITM de 2x100A , Caja Moldeada 3VM1196, 36kA@240Vac. - SIEMENS.</t>
  </si>
  <si>
    <t>3VT-ELECTRONICO</t>
  </si>
  <si>
    <t>3VT4-3X800A</t>
  </si>
  <si>
    <t>ITM Caja Moldeada 3x800A  (electrónico [0.4-1.0] In) -ETU DP- LI -3VT4 - 65kA/415Vac; marca SIEMENS.</t>
  </si>
  <si>
    <t>3VT4710-3AA30-0AA0 + 3VT9480-6AC00</t>
  </si>
  <si>
    <t>3VT4-3X1000A</t>
  </si>
  <si>
    <t>ITM Caja Moldeada 3x1000A  (electrónico [0.4-1.0] In) -ETU DP- LI -3VT4 - 65kA/415Vac; marca SIEMENS.</t>
  </si>
  <si>
    <t>3VT4710-3AA30-0AA0 + 3VT9410-6AC00</t>
  </si>
  <si>
    <t>3VT5-3X1250A</t>
  </si>
  <si>
    <t>ITM Caja Moldeada 3x1250A  (electrónico [0.4-1.0] In) -ETU DP- LI -3VT5 - 65kA/415Vac; marca SIEMENS.</t>
  </si>
  <si>
    <t>3VT5716-3AA30-0AA0 + 3VT9512-6AC00</t>
  </si>
  <si>
    <t>3VT5-3X1600A</t>
  </si>
  <si>
    <t>ITM Caja Moldeada 3x1600A  (electrónico [0.4-1.0] In) -ETU DP- LI -3VT5 - 65kA/415Vac; marca SIEMENS.</t>
  </si>
  <si>
    <t>3VT5716-3AA30-0AA0 + 3VT9516-6AC00</t>
  </si>
  <si>
    <t>Bloques de contactos Auxiliares - CONTACTORES</t>
  </si>
  <si>
    <t>Enclavamiento Mecanico- CONTACTORES</t>
  </si>
  <si>
    <t>3RA2912-2H</t>
  </si>
  <si>
    <t>Enclavamiento mecánico lateral para contactores de tamaños S00-S00, modelo 3RA - marca SIEMENS.</t>
  </si>
  <si>
    <t>3RA2922-2H</t>
  </si>
  <si>
    <t>Enclavamiento mecánico lateral para contactores de tamaños S0-S0, modelo 3RA - marca SIEMENS.</t>
  </si>
  <si>
    <t>3RA2934-2B</t>
  </si>
  <si>
    <t>Enclavamiento mecánico lateral para contactores de tamaños S2-S2/S3-S3, modelo 3RA - marca SIEMENS.</t>
  </si>
  <si>
    <t>3RA1954-2A</t>
  </si>
  <si>
    <t>Enclavamiento mecánico lateral para contactores de tamaños S6/S10/S12, modelo 3RA - marca SIEMENS.</t>
  </si>
  <si>
    <t xml:space="preserve">PM710 = METSEPM5340 (PM5340) para comuniación Modbus TSP/IP </t>
  </si>
  <si>
    <t>Fijo proyectado</t>
  </si>
  <si>
    <t>Pbarr.auto</t>
  </si>
  <si>
    <t>Pbarr.dist.</t>
  </si>
  <si>
    <t>Pgab.auto</t>
  </si>
  <si>
    <t>Pgab.dist.</t>
  </si>
  <si>
    <t>química  y un baño  (inmersión en frío),  adicional de fosfato en cubas para mejorar sus propiedades antes del proceso de pintado.</t>
  </si>
  <si>
    <t>Sistema de medición</t>
  </si>
  <si>
    <t>Barras/cables</t>
  </si>
  <si>
    <t>OVR T2 3L 80 275 s P TS QS</t>
  </si>
  <si>
    <t>Protector de sobretensiones (Tipo 2) - OVR T2 3L 80 275 s P TS QS - Un=230/400V,  Uc=275V, Up=1.4kV - I_descarga=80kA - marca ABB.</t>
  </si>
  <si>
    <t>2CTB815708R0600</t>
  </si>
  <si>
    <t>OVR T2 3L 40 275 s P TS QS</t>
  </si>
  <si>
    <t>Protector de sobretensiones (Tipo 2) - OVR T2 3L 40 275 s P TS QS - Un=230/400V,  Uc=275V, Up=1.4kV - I_descarga=40kA - marca ABB.</t>
  </si>
  <si>
    <t>2CTB815704R0600</t>
  </si>
  <si>
    <t>A1N/P125-25A-1P-TMF</t>
  </si>
  <si>
    <t>ITM Caja Moldeada 1x25A - A1N/P125-25A-1P-TMF - 25kA@230V, 5kA@400V - marca ABB.</t>
  </si>
  <si>
    <t>1SDA066687R1</t>
  </si>
  <si>
    <t>A1N/P125-60A-1P-TMF</t>
  </si>
  <si>
    <t>ITM Caja Moldeada 1x60A - A1N/P125-60A-1P-TMF - 25kA@230V, 5kA@400V - marca ABB.</t>
  </si>
  <si>
    <t>1SDA066691R1</t>
  </si>
  <si>
    <t>XT4S250-250A-3P-Ekip LSI</t>
  </si>
  <si>
    <t>ITM Caja Moldeada 3x250A (electrónico [0.4-1.0] In) - XT4S250-250A-3P-Ekip LSI - 85kA@230Vac, 50kA@415Vac - marca ABB.</t>
  </si>
  <si>
    <t>1SDA068485R1</t>
  </si>
  <si>
    <t>T6S800-800A-3P-TMA</t>
  </si>
  <si>
    <t>ITM Caja Moldeada 3x800A (reg.[0.7-1.0] In) - T6S800-800A-3P-TMA - 85kA@230Vac, 50kA@415Vac, 36kA@500Vdc - marca ABB.</t>
  </si>
  <si>
    <t>1SDA060216R1</t>
  </si>
  <si>
    <t>T4N320-320A-3P-PR221DS-I</t>
  </si>
  <si>
    <t>IM Caja Moldeada 3x320A (electrónico [0.4-1.0] In)  - T4N320-320A-3P-PR221DS-I - 70kA@230Vac, 36kA@415Vac - marca ABB.</t>
  </si>
  <si>
    <t>1SDA054118R1</t>
  </si>
  <si>
    <t>T4S320-320A-3P-PR221DS-I</t>
  </si>
  <si>
    <t>IM Caja Moldeada 3x320A (electrónico [0.4-1.0] In)  - T4S320-320A-3P-PR221DS-I - 85kA@230Vac, 50kA@415Vac - marca ABB.</t>
  </si>
  <si>
    <t>1SDA054126R1</t>
  </si>
  <si>
    <t>IM Caja Moldeada 3x400A (electrónico [0.4-1.0] In) - T5N400-400A-3P-PR221DS-I - 70kA@230Vac, 36kA@415Vac - marca ABB.</t>
  </si>
  <si>
    <t>T5S400-400A-3P-PR221DS-I</t>
  </si>
  <si>
    <t>IM Caja Moldeada 3x400A (electrónico [0.4-1.0] In) - T5S400-400A-3P-PR221DS-I - 85kA@230Vac, 50kA@415Vac - marca ABB.</t>
  </si>
  <si>
    <t>1SDA054335R1</t>
  </si>
  <si>
    <t>ITM Caja Moldeada 3x1000A (electrónico [0.4-1.0] In) - T7S1000-1000A-3P-PR231 P-LS/I - 85kA@230Vac, 50kA@415Vac - marca ABB.</t>
  </si>
  <si>
    <t>ITM Caja Moldeada 3x1250A (electrónico [0.4-1.0] In) - T7S1250-1250A-3P-PR231 P-LS/I - 85kA@230Vac, 50kA@415Vac - marca ABB.</t>
  </si>
  <si>
    <t>ITM Caja Moldeada 3x1600A (electrónico [0.4-1.0] In) - T7S1600-1600A-3P-PR231 P-LS/I - 85kA@230Vac, 50kA@415Vac - marca ABB.</t>
  </si>
  <si>
    <t>T7S1250(M)-1250A-3P-PR232 P-LSI</t>
  </si>
  <si>
    <t>ITM Caja Moldeada 3x1250A (electrónico [0.4-1.0] In) - T7S1250-1250A-3P-PR232 P-LSI (Motorizable) - 50kA@415Vac - marca ABB.</t>
  </si>
  <si>
    <t>ITM Caja Moldeada 3x800A (electrónico [0.4-1.0] In) - T7S800-800A-3P-PR232/P-LSI - 85kA@230Vac, 50kA@415Vac - marca ABB.</t>
  </si>
  <si>
    <t>ITM Caja Moldeada 3x1000A (electrónico [0.4-1.0] In) - T7S1000-1000A-3P-PR232/P-LSI - 85kA@230Vac, 50kA@415Vac - marca ABB.</t>
  </si>
  <si>
    <t>ITM Caja Moldeada 3x1250A (electrónico [0.4-1.0] In) - T7S1250-1250A-3P-PR232/P-LSI - 85kA@230Vac, 50kA@415Vac - marca ABB.</t>
  </si>
  <si>
    <t>ITM Caja Moldeada 3x1600A (electrónico [0.4-1.0] In) - T7S1600-1600A-3P-PR232/P-LSI - 85kA@230Vac, 50kA@415Vac - marca ABB.</t>
  </si>
  <si>
    <t>ITM Caja Moldeada 3x1600A (electrónico [0.4-1.0] In) - T7S1600-1600A-3P-PR332/P-LSIG - 85kA@230Vac, 50kA@415Vac - marca ABB.</t>
  </si>
  <si>
    <t>E1.2N-1600A-4P-Ekip Dip LSI</t>
  </si>
  <si>
    <t>ITM Bastidor Abierto 4x1600A (electrónico [0.4-1.0] In) - E1.2N-1600A-4P-Ekip Dip LSI - 66kA@440Vac - marca ABB.</t>
  </si>
  <si>
    <t>1SDA071512R1</t>
  </si>
  <si>
    <t>E2.2N-2500A-3P-Ekip Dip LSI</t>
  </si>
  <si>
    <t>ITM Bastidor Abierto 3x2500A (electrónico [0.4-1.0] In) - E2.2N-2500A-3P-Ekip Dip LSI - 66kA@440Vac - marca ABB.</t>
  </si>
  <si>
    <t>1SDA071062R1</t>
  </si>
  <si>
    <t>Accesorios para los OT</t>
  </si>
  <si>
    <t>OXP6X360</t>
  </si>
  <si>
    <t>Eje de largo 360mm y diametro 6mm, modelo OXP6X360 - marca ABB.</t>
  </si>
  <si>
    <t>1SCA022042R6530</t>
  </si>
  <si>
    <t>OXP12X465</t>
  </si>
  <si>
    <t>Eje de largo 465mm y diametro 6mm, modelo OXP12X465 - marca ABB.</t>
  </si>
  <si>
    <t>1SCA022042R6020</t>
  </si>
  <si>
    <t>MIS_430x735x128mm</t>
  </si>
  <si>
    <t>Tablero termoplástico para Empotrar, serie MISTRAL 41F p/transparente 72 modulos. 430x735x128mm - IP41, IK08, RAL 9016 - marca ABB.</t>
  </si>
  <si>
    <t>1SLM004100A1210</t>
  </si>
  <si>
    <t>HMCP400R5</t>
  </si>
  <si>
    <t>ITM de 3x400A - caja moldeada - unidad de protección magnético, disparo magnetico regulable (1750 - 3500)A - modelo HMCP,  65kA-240Vac. - 35kA@480Vac. - marca EATON.</t>
  </si>
  <si>
    <t>HMCPK400</t>
  </si>
  <si>
    <t>ITM de 3x400A - caja moldeada - con unidad de disparo magnetico - modelo HMCP,  65kA-240Vac. - 35kA@480Vac. - marca EATON.</t>
  </si>
  <si>
    <t>HMCPJ250</t>
  </si>
  <si>
    <t>BASTIDOR ABIERTO</t>
  </si>
  <si>
    <t>Serie IZMX</t>
  </si>
  <si>
    <t>IZMX 1000(M)</t>
  </si>
  <si>
    <t>Serie MAGNUM</t>
  </si>
  <si>
    <t>LZMS2-A50</t>
  </si>
  <si>
    <t>ITM de 3x50A , ( Reg. 40-50A ) LZMS2, 70kA@240Vac. - 70kA@415Vac. - marca EATON.</t>
  </si>
  <si>
    <t>HXE34k</t>
  </si>
  <si>
    <t>Medidor trifasico electronico, 4 hilos 380/220Vac., conexión directa, modelo HXE34k, precisión Activa clase 0.5 / Reactica clase 1 - marca Hexing.</t>
  </si>
  <si>
    <t>Medidor trifasico electronico, 3 hilos 220Vac., conexión directa, modelo HXE33k-A, precisión Activa clase 1 / Reactica clase 2 - marca Hexing.</t>
  </si>
  <si>
    <t>Medidor monofasico electronico, 2 hilos 220Vac., conexión directa, modelo HXE12R, precisión Activa clase 1 - marca Hexing.</t>
  </si>
  <si>
    <t>IH-DIG. Legrand</t>
  </si>
  <si>
    <t>Interruptor Horario digital, marca Legrand.</t>
  </si>
  <si>
    <t>DADO-INT-16A-2P</t>
  </si>
  <si>
    <t>Dado interruptor simple 2P 250V 16A Mod Blanco Magic 5011</t>
  </si>
  <si>
    <t>TOMA-UNIV-DOB-2P</t>
  </si>
  <si>
    <t>Tomacorriente emp universal doble marfil 2P+T 15A 250V - Marca Leviton</t>
  </si>
  <si>
    <t>PLACA-DOBLE</t>
  </si>
  <si>
    <t>Placa Naylon doble color marfil 80703-I - Marca Leviton</t>
  </si>
  <si>
    <t>Condensador trifásico, para paso de potencia efectiva de 15kVAR / 400Vac, 60 Hz, p=7%, tipo CLZ-FP-HD, marca CIRCUTOR.</t>
  </si>
  <si>
    <t>Reactancia para paso de potencia efectiva de 20kVAR / 400Vac, 60Hz, p=7%, tipo RBX, marca CIRCUTOR.</t>
  </si>
  <si>
    <t>Condensador trifásico, para paso de potencia efectiva de 20kVAR / 400Vac, 60 Hz, p=7%, tipo CLZ-FP-HD, marca CIRCUTOR.</t>
  </si>
  <si>
    <t>Reactancia para paso de potencia efectiva de 30kVAR / 400Vac, 60Hz, p=7%, tipo RBX, marca CIRCUTOR.</t>
  </si>
  <si>
    <t>.</t>
  </si>
  <si>
    <t>Reactancia para paso de potencia efectiva de 40kVAR / 400Vac, 60Hz, p=7%, tipo RBX, marca CIRCUTOR.</t>
  </si>
  <si>
    <t>Condensador trifásico, para paso de potencia efectiva de 40kVAR / 400Vac, 60 Hz, p=7%, tipo CLZ-FP, marca CIRCUTOR.</t>
  </si>
  <si>
    <t>CMC_6kVAR/380V</t>
  </si>
  <si>
    <t>Contactor para maniobra de condensadores - 6 KVAR / 380Vac - Modelo CMC - bobina 230Vac/60Hz. - marca CIRCUTOR.</t>
  </si>
  <si>
    <t>Contactor para la conexión de los condensadores - 20kVAR / 400Vac - Modelo CMC - bobina 230Vac/60Hz. - marca CIRCUTOR.</t>
  </si>
  <si>
    <t>Contactor para la conexión de condensadores - 30kVAR / 400Vac - Modelo CMC - bobina 230Vac/60Hz. - marca CIRCUTOR.</t>
  </si>
  <si>
    <t>ES710/6300-E</t>
  </si>
  <si>
    <t>Transformador de aislamiento de 6.3KVA monofasico, eficiencia=96%, h_max=5000msnm, normas IEC, VDE - modelo ES710/6300-E - marca BENDER.</t>
  </si>
  <si>
    <t>B92090104</t>
  </si>
  <si>
    <t>Transformador de aislamiento de 8KVA monofasico, eficiencia=96%, h_max=5000msnm, normas IEC, VDE - modelo ES710/8000-E - marca BENDER.</t>
  </si>
  <si>
    <t>Transformador de aislamiento de 10KVA monofasico, eficiencia=96%, h_max=5000msnm, normas IEC, VDE - modelo ES710/10000-E - marca BENDER.</t>
  </si>
  <si>
    <t>DISPOSITIVO DE CONTROL DE TRANSFERENCIA</t>
  </si>
  <si>
    <t>3KC9000-8TL40</t>
  </si>
  <si>
    <t>Dispositivo de control para transferencia automática modelo ATC 6300 - SIEMENS</t>
  </si>
  <si>
    <t>3KC9000-8TL73</t>
  </si>
  <si>
    <t>Interfáz frontal de parametrización USB modelo 8TL - SIEMENS</t>
  </si>
  <si>
    <t>APARATOS DE MANDO Y SEÑALIZACION SIRIUS ACT - 3SU</t>
  </si>
  <si>
    <t>3SU1150-1HB20-1CG0</t>
  </si>
  <si>
    <t>Boton Parada de Emergencia + base, golpe de puño oprimir-jalar</t>
  </si>
  <si>
    <t>Interruptor diferencial 4x25A - 300mA, clase B - marca Schneider - Ref.: A9Z64425</t>
  </si>
  <si>
    <t>A9Z64425</t>
  </si>
  <si>
    <t>RCD_4x80A_300mA_B_S</t>
  </si>
  <si>
    <t>Interruptor diferencial 4x80A - 300mA, clase B, curva S (selectivo) - marca Schneider - Ref.: 16762.</t>
  </si>
  <si>
    <t>A9MEM3155</t>
  </si>
  <si>
    <t>ITM Caja Moldeada 2x15A - DRX3/100-15A-2P - 60kA@220-240 Vac, 35kA@380-415 Vac. - marca Legrand.</t>
  </si>
  <si>
    <t>ITM Caja Moldeada 2x20A - DRX3/100-20A-2P - 60kA@220-240 Vac, 35kA@380-415 Vac. - marca Legrand.</t>
  </si>
  <si>
    <t>ITM Caja Moldeada 2x25A - DRX3/100-25A-2P - 60kA@220-240 Vac, 35kA@380-415 Vac. - marca Legrand.</t>
  </si>
  <si>
    <t>ITM Caja Moldeada 2x30A - DRX3/100-30A-2P - 60kA@220-240 Vac, 35kA@380-415 Vac. - marca Legrand.</t>
  </si>
  <si>
    <t>ITM Caja Moldeada 2x40A - DRX3/100-40A-2P - 60kA@220-240 Vac, 35kA@380-415 Vac. - marca Legrand.</t>
  </si>
  <si>
    <t>ITM Caja Moldeada 2x50A - DRX3/100-50A-2P - 60kA@220-240 Vac, 35kA@380-415 Vac. - marca Legrand.</t>
  </si>
  <si>
    <t>ITM Caja Moldeada 2x60A - DRX3/100-60A-2P - 60kA@220-240 Vac, 35kA@380-415 Vac. - marca Legrand.</t>
  </si>
  <si>
    <t>ITM Caja Moldeada 2x75A - DRX3/100-75A-2P - 60kA@220-240 Vac, 35kA@380-415 Vac. - marca Legrand.</t>
  </si>
  <si>
    <t>ITM Caja Moldeada 2x100A - DRX3/100-100A-2P - 60kA@220-240 Vac, 35kA@380-415 Vac. - marca Legrand.</t>
  </si>
  <si>
    <t>ITM Caja Moldeada 3x15A - DRX3/100-15A-3P - 25kA@220-240 Vac, 10kA@380-415 Vac. - marca Legrand.</t>
  </si>
  <si>
    <t>ITM Caja Moldeada 3x20A - DRX3/100-20A-3P - 25kA@220-240 Vac, 10kA@380-415 Vac. - marca Legrand.</t>
  </si>
  <si>
    <t>ITM Caja Moldeada 3x25A - DRX3/100-25A-3P - 25kA@220-240 Vac, 10kA@380-415 Vac. - marca Legrand.</t>
  </si>
  <si>
    <t>ITM Caja Moldeada 3x30A - DRX3/100-30A-3P - 25kA@220-240 Vac, 10kA@380-415 Vac. - marca Legrand.</t>
  </si>
  <si>
    <t>ITM Caja Moldeada 3x40A - DRX3/100-40A-3P - 25kA@220-240 Vac, 10kA@380-415 Vac. - marca Legrand.</t>
  </si>
  <si>
    <t>ITM Caja Moldeada 3x50A - DRX3/100-50A-3P - 25kA@220-240 Vac, 10kA@380-415 Vac. - marca Legrand.</t>
  </si>
  <si>
    <t>ITM Caja Moldeada 3x60A - DRX3/100-60A-3P - 25kA@220-240 Vac, 10kA@380-415 Vac. - marca Legrand.</t>
  </si>
  <si>
    <t>ITM Caja Moldeada 3x75A - DRX3/100-75A-3P - 25kA@220-240 Vac, 10kA@380-415 Vac. - marca Legrand.</t>
  </si>
  <si>
    <t>ITM Caja Moldeada 3x100A - DRX3/100-100A-3P - 25kA@220-240 Vac, 10kA@380-415 Vac. - marca Legrand.</t>
  </si>
  <si>
    <t>ITM Caja Moldeada 3x15A - DRX3/100-15A-3P - 100kA@220-240 Vac, 35kA@380-415 Vac. - marca Legrand.</t>
  </si>
  <si>
    <t>ITM Caja Moldeada 3x20A - DRX3/100-20A-3P - 100kA@220-240 Vac, 35kA@380-415 Vac. - marca Legrand.</t>
  </si>
  <si>
    <t>ITM Caja Moldeada 3x25A - DRX3/100-25A-3P - 100kA@220-240 Vac, 35kA@380-415 Vac. - marca Legrand.</t>
  </si>
  <si>
    <t>ITM Caja Moldeada 3x30A - DRX3/100-30A-3P - 100kA@220-240 Vac, 35kA@380-415 Vac. - marca Legrand.</t>
  </si>
  <si>
    <t>ITM Caja Moldeada 3x40A - DRX3/100-40A-3P - 100kA@220-240 Vac, 35kA@380-415 Vac. - marca Legrand.</t>
  </si>
  <si>
    <t>ITM Caja Moldeada 3x50A - DRX3/100-50A-3P - 100kA@220-240 Vac, 35kA@380-415 Vac. - marca Legrand.</t>
  </si>
  <si>
    <t>ITM Caja Moldeada 3x60A - DRX3/100-60A-3P - 100kA@220-240 Vac, 35kA@380-415 Vac. - marca Legrand.</t>
  </si>
  <si>
    <t>ITM Caja Moldeada 3x75A - DRX3/100-75A-3P - 100kA@220-240 Vac, 35kA@380-415 Vac. - marca Legrand.</t>
  </si>
  <si>
    <t>ITM Caja Moldeada 3x100A - DRX3/100-100A-3P - 100kA@220-240 Vac, 35kA@380-415 Vac. - marca Legrand.</t>
  </si>
  <si>
    <t>ITM Caja Moldeada 3x125A - DRX3/250-125A-3P - 70kA@220-240 Vac, 25kA@380-415 Vac. - marca Legrand.</t>
  </si>
  <si>
    <t>ITM Caja Moldeada 3x150A - DRX3/250-150A-3P - 70kA@220-240 Vac, 25kA@380-415 Vac. - marca Legrand.</t>
  </si>
  <si>
    <t>ITM Caja Moldeada 3x200A - DRX3/250-200A-3P - 70kA@220-240 Vac, 25kA@380-415 Vac. - marca Legrand.</t>
  </si>
  <si>
    <t>ITM Caja Moldeada 3x225A - DRX3/250-225A-3P - 70kA@220-240 Vac, 25kA@380-415 Vac. - marca Legrand.</t>
  </si>
  <si>
    <t>ITM Caja Moldeada 3x250A - DRX3/250-250A-3P - 70kA@220-240 Vac, 25kA@380-415 Vac. - marca Legrand.</t>
  </si>
  <si>
    <t>ITM de 3x25A, ( Reg. 20-25A ) DPX3 160, 36kA@220-240 Vac.- 25kA@380-415 Vac. - marca Legrand</t>
  </si>
  <si>
    <t>ITM de 3x40A, ( Reg. 32-40A ) DPX3 160, 36kA@220-240 Vac.- 25kA@380-415 Vac. - marca Legrand</t>
  </si>
  <si>
    <t>ITM de 3x63A, ( Reg. 50-63A ) DPX3 160, 36kA@220-240 Vac.- 25kA@380-415 Vac. - marca Legrand</t>
  </si>
  <si>
    <t>ITM de 3x80A, ( Reg. 63-80A ) DPX3 160, 36kA@220-240 Vac.- 25kA@380-415 Vac. - marca Legrand</t>
  </si>
  <si>
    <t>ITM de 3x100A, ( Reg. 80-100A ) DPX3 160, 36kA@220-240 Vac.- 25kA@380-415 Vac. - marca Legrand</t>
  </si>
  <si>
    <t>ITM de 3x125A, ( Reg. 100-125A ) DPX3 160, 36kA@220-240 Vac.- 25kA@380-415 Vac. - marca Legrand</t>
  </si>
  <si>
    <t>ITM de 3x160A, ( Reg. 125-160A ) DPX3 160, 36kA@220-240 Vac.- 25kA@380-415 Vac. - marca Legrand</t>
  </si>
  <si>
    <t>ITM de 3x25A, ( Reg. 20-25A ) DPX3 160, 50kA@220-240 Vac.- 36kA@380-415 Vac. - marca Legrand</t>
  </si>
  <si>
    <t>ITM de 3x40A, ( Reg. 32-40A ) DPX3 160, 50kA@220-240 Vac.- 36kA@380-415 Vac. - marca Legrand</t>
  </si>
  <si>
    <t>ITM de 3x63A, ( Reg. 50-63A ) DPX3 160, 50kA@220-240 Vac.- 36kA@380-415 Vac. - marca Legrand</t>
  </si>
  <si>
    <t>ITM de 3x80A, ( Reg. 63-80A ) DPX3 160, 50kA@220-240 Vac.- 36kA@380-415 Vac. - marca Legrand</t>
  </si>
  <si>
    <t>ITM de 3x100A, ( Reg. 80-100A ) DPX3 160, 50kA@220-240 Vac.- 36kA@380-415 Vac. - marca Legrand</t>
  </si>
  <si>
    <t>ITM de 3x125A, ( Reg. 100-125A ) DPX3 160, 50kA@220-240 Vac.- 36kA@380-415 Vac. - marca Legrand</t>
  </si>
  <si>
    <t>ITM de 3x160A, ( Reg. 125-160A ) DPX3 160, 50kA@220-240 Vac.- 36kA@380-415 Vac. - marca Legrand</t>
  </si>
  <si>
    <t>ITM de 4x25A, ( Reg. 20-25A ) DPX3 160, 36kA@220-240 Vac.- 25kA@380-415 Vac. - marca Legrand</t>
  </si>
  <si>
    <t>ITM de 4x40A, ( Reg. 32-40A ) DPX3 160, 36kA@220-240 Vac.- 25kA@380-415 Vac. - marca Legrand</t>
  </si>
  <si>
    <t>ITM de 4x63A, ( Reg. 50-63A ) DPX3 160, 36kA@220-240 Vac.- 25kA@380-415 Vac. - marca Legrand</t>
  </si>
  <si>
    <t>ITM de 4x80A, ( Reg. 63-80A ) DPX3 160, 36kA@220-240 Vac.- 25kA@380-415 Vac. - marca Legrand</t>
  </si>
  <si>
    <t>ITM de 4x100A, ( Reg. 80-100A ) DPX3 160, 36kA@220-240 Vac.- 25kA@380-415 Vac. - marca Legrand</t>
  </si>
  <si>
    <t>ITM de 4x125A, ( Reg. 100-125A ) DPX3 160, 36kA@220-240 Vac.- 25kA@380-415 Vac. - marca Legrand</t>
  </si>
  <si>
    <t>ITM de 4x160A, ( Reg. 125-160A ) DPX3 160, 36kA@220-240 Vac.- 25kA@380-415 Vac. - marca Legrand</t>
  </si>
  <si>
    <t>ITM de 4x25A, ( Reg. 20-25A ) DPX3 160, 50kA@220-240 Vac.- 36kA@380-415 Vac. - marca Legrand</t>
  </si>
  <si>
    <t>ITM de 4x40A, ( Reg. 32-40A ) DPX3 160, 50kA@220-240 Vac.- 36kA@380-415 Vac. - marca Legrand</t>
  </si>
  <si>
    <t>ITM de 4x63A, ( Reg. 50-63A ) DPX3 160, 50kA@220-240 Vac.- 36kA@380-415 Vac. - marca Legrand</t>
  </si>
  <si>
    <t>ITM de 4x80A, ( Reg. 63-80A ) DPX3 160, 50kA@220-240 Vac.- 36kA@380-415 Vac. - marca Legrand</t>
  </si>
  <si>
    <t>ITM de 4x100A, ( Reg. 80-100A ) DPX3 160, 50kA@220-240 Vac.- 36kA@380-415 Vac. - marca Legrand</t>
  </si>
  <si>
    <t>ITM de 4x125A, ( Reg. 100-125A ) DPX3 160, 50kA@220-240 Vac.- 36kA@380-415 Vac. - marca Legrand</t>
  </si>
  <si>
    <t>ITM de 4x160A, ( Reg. 125-160A ) DPX3 160, 50kA@220-240 Vac.- 36kA@380-415 Vac. - marca Legrand</t>
  </si>
  <si>
    <t>ITM de 3x40A, ( Reg. 32-40A ) DPX3 160, 65kA@220-240 Vac.- 50kA@380-415 Vac. - marca Legrand</t>
  </si>
  <si>
    <t>ITM de 3x63A, ( Reg. 50-63A ) DPX3 160, 65kA@220-240 Vac.- 50kA@380-415 Vac. - marca Legrand</t>
  </si>
  <si>
    <t>ITM de 3x80A, ( Reg. 63-80A ) DPX3 160, 65kA@220-240 Vac.- 50kA@380-415 Vac. - marca Legrand</t>
  </si>
  <si>
    <t>ITM de 3x100A, ( Reg. 80-100A ) DPX3 160, 65kA@220-240 Vac.- 50kA@380-415 Vac. - marca Legrand</t>
  </si>
  <si>
    <t>ITM de 3x125A, ( Reg. 100-125A ) DPX3 160, 65kA@220-240 Vac.- 50kA@380-415 Vac. - marca Legrand</t>
  </si>
  <si>
    <t>ITM de 3x160A, ( Reg. 125-160A ) DPX3 160, 65kA@220-240 Vac.- 50kA@380-415 Vac. - marca Legrand</t>
  </si>
  <si>
    <t>DPX3/160- 40A 50kA (4P)</t>
  </si>
  <si>
    <t>ITM de 4x40A, ( Reg. 32-40A ) DPX3 160, 65kA@220-240 Vac.- 50kA@380-415 Vac. - marca Legrand</t>
  </si>
  <si>
    <t>420132</t>
  </si>
  <si>
    <t>ITM de 4x125A, ( Reg. 100-125A ) DPX3 160, 65kA@220-240 Vac.- 50kA@380-415 Vac. - marca Legrand</t>
  </si>
  <si>
    <t>ITM de 4x160A, ( Reg. 125-160A ) DPX3 160, 65kA@220-240 Vac.- 50kA@380-415 Vac. - marca Legrand</t>
  </si>
  <si>
    <t>ITM de 3x200A, ( Reg. 160-200A ) DPX3 250, 60kA@220-240 Vac.- 36kA@380-415 Vac. - marca Legrand</t>
  </si>
  <si>
    <t>ITM de 3x250A, ( Reg. 200-250A ) DPX3 250, 60kA@220-240 Vac.- 36kA@380-415 Vac. - marca Legrand</t>
  </si>
  <si>
    <t>ITM de 3x200A, ( Reg. 160-200A ) DPX3 250, 80kA@220-240 Vac.- 50kA@380-415 Vac. - marca Legrand</t>
  </si>
  <si>
    <t>ITM de 3x250A, ( Reg. 200-250A ) DPX3 250, 80kA@220-240 Vac.- 50kA@380-415 Vac. - marca Legrand</t>
  </si>
  <si>
    <t>ITM de 3x200A, ( Reg. 160-200A ) DPX3 250, 100kA@220-240 Vac.- 70kA@380-415 Vac. - marca Legrand</t>
  </si>
  <si>
    <t>ITM de 3x250A, ( Reg. 200-250A ) DPX3 250, 100kA@220-240 Vac.- 70kA@380-415 Vac. - marca Legrand</t>
  </si>
  <si>
    <t>ITM de 4x200A, ( Reg. 160-200A ) DPX3 250, 60kA@220-240 Vac.- 36kA@380-415 Vac. - marca Legrand</t>
  </si>
  <si>
    <t>ITM de 4x250A, ( Reg. 200-250A ) DPX3 250, 60kA@220-240 Vac.- 36kA@380-415 Vac. - marca Legrand</t>
  </si>
  <si>
    <t>ITM de 4x200A, ( Reg. 160-200A ) DPX3 250, 80kA@220-240 Vac.- 50kA@380-415 Vac. - marca Legrand</t>
  </si>
  <si>
    <t>ITM de 4x250A, ( Reg. 200-250A ) DPX3 250, 80kA@220-240 Vac.- 50kA@380-415 Vac. - marca Legrand</t>
  </si>
  <si>
    <t>ITM de 4x200A, ( Reg. 160-200A ) DPX3 250, 100kA@220-240 Vac.- 70kA@380-415 Vac. - marca Legrand</t>
  </si>
  <si>
    <t>ITM de 4x250A, ( Reg. 200-250A ) DPX3 250, 100kA@220-240 Vac.- 70kA@380-415 Vac. - marca Legrand</t>
  </si>
  <si>
    <t>ITM de 3x320A, ( Reg. 250-320A ) DPX3 630, 70kA@220-240 Vac.- 36kA@380-415 Vac. - marca Legrand</t>
  </si>
  <si>
    <t>ITM de 3x400A, ( Reg. 320-400A ) DPX3 630, 70kA@220-240 Vac.- 36kA@380-415 Vac. - marca Legrand</t>
  </si>
  <si>
    <t>ITM de 3x500A, ( Reg. 400-500A ) DPX3 630, 70kA@220-240 Vac.- 36kA@380-415 Vac. - marca Legrand</t>
  </si>
  <si>
    <t>ITM de 3x630A, ( Reg. 500-630A ) DPX3 630, 70kA@220-240 Vac.- 36kA@380-415 Vac. - marca Legrand</t>
  </si>
  <si>
    <t>ITM de 3x320A, ( Reg. 250-320A ) DPX3 630, 100kA@220-240 Vac.- 50kA@380-415 Vac. - marca Legrand</t>
  </si>
  <si>
    <t>ITM de 3x400A, ( Reg. 320-400A ) DPX3 630, 100kA@220-240 Vac.- 50kA@380-415 Vac. - marca Legrand</t>
  </si>
  <si>
    <t>ITM de 3x500A, ( Reg. 400-500A ) DPX3 630, 100kA@220-240 Vac.- 50kA@380-415 Vac. - marca Legrand</t>
  </si>
  <si>
    <t>ITM de 3x630A, ( Reg. 500-630A ) DPX3 630, 100kA@220-240 Vac.- 50kA@380-415 Vac. - marca Legrand</t>
  </si>
  <si>
    <t>ITM de 3x320A, ( Reg. 250-320A ) DPX3 630, 120kA@220-240 Vac.- 70kA@380-415 Vac. - marca Legrand</t>
  </si>
  <si>
    <t>ITM de 3x400A, ( Reg. 320-400A ) DPX3 630, 120kA@220-240 Vac.- 70kA@380-415 Vac. - marca Legrand</t>
  </si>
  <si>
    <t>ITM de 3x500A, ( Reg. 400-500A ) DPX3 630, 120kA@220-240 Vac.- 70kA@380-415 Vac. - marca Legrand</t>
  </si>
  <si>
    <t>ITM de 3x630A, ( Reg. 500-630A ) DPX3 630, 120kA@220-240 Vac.- 70kA@380-415 Vac. - marca Legrand</t>
  </si>
  <si>
    <t>ITM de 3x320A, ( Reg. 250-320A ) DPX3 630, 150kA@220-240 Vac.- 100kA@380-415 Vac. - marca Legrand</t>
  </si>
  <si>
    <t>ITM de 3x400A, ( Reg. 320-400A ) DPX3 630, 150kA@220-240 Vac.- 100kA@380-415 Vac. - marca Legrand</t>
  </si>
  <si>
    <t>ITM de 3x500A, ( Reg. 400-500A ) DPX3 630, 150kA@220-240 Vac.- 100kA@380-415 Vac. - marca Legrand</t>
  </si>
  <si>
    <t>ITM de 3x630A, ( Reg. 500-630A ) DPX3 630, 150kA@220-240 Vac.- 100kA@380-415 Vac. - marca Legrand</t>
  </si>
  <si>
    <t>ITM de 4x320A, ( Reg. 250-320A ) DPX3 630, 70kA@220-240 Vac.- 36kA@380-415 Vac. - marca Legrand</t>
  </si>
  <si>
    <t>ITM de 4x400A, ( Reg. 320-400A ) DPX3 630, 70kA@220-240 Vac.- 36kA@380-415 Vac. - marca Legrand</t>
  </si>
  <si>
    <t>ITM de 4x500A, ( Reg. 400-500A ) DPX3 630, 70kA@220-240 Vac.- 36kA@380-415 Vac. - marca Legrand</t>
  </si>
  <si>
    <t>ITM de 4x630A, ( Reg. 500-630A ) DPX3 630, 70kA@220-240 Vac.- 36kA@380-415 Vac. - marca Legrand</t>
  </si>
  <si>
    <t>ITM de 4x320A, ( Reg. 250-320A ) DPX3 630, 100kA@220-240 Vac.- 50kA@380-415 Vac. - marca Legrand</t>
  </si>
  <si>
    <t>ITM de 4x400A, ( Reg. 320-400A ) DPX3 630, 100kA@220-240 Vac.- 50kA@380-415 Vac. - marca Legrand</t>
  </si>
  <si>
    <t>ITM de 4x500A, ( Reg. 400-500A ) DPX3 630, 100kA@220-240 Vac.- 50kA@380-415 Vac. - marca Legrand</t>
  </si>
  <si>
    <t>ITM de 4x630A, ( Reg. 500-630A ) DPX3 630, 100kA@220-240 Vac.- 50kA@380-415 Vac. - marca Legrand</t>
  </si>
  <si>
    <t>ITM de 4x320A, ( Reg. 250-320A ) DPX3 630, 120kA@220-240 Vac.- 70kA@380-415 Vac. - marca Legrand</t>
  </si>
  <si>
    <t>ITM de 4x400A, ( Reg. 320-400A ) DPX3 630, 120kA@220-240 Vac.- 70kA@380-415 Vac. - marca Legrand</t>
  </si>
  <si>
    <t>ITM de 4x500A, ( Reg. 400-500A ) DPX3 630, 120kA@220-240 Vac.- 70kA@380-415 Vac. - marca Legrand</t>
  </si>
  <si>
    <t>ITM de 4x630A, ( Reg. 500-630A ) DPX3 630, 120kA@220-240 Vac.- 70kA@380-415 Vac. - marca Legrand</t>
  </si>
  <si>
    <t>ITM de 4x320A, ( Reg. 250-320A ) DPX3 630, 150kA@220-240 Vac.- 100kA@380-415 Vac. - marca Legrand</t>
  </si>
  <si>
    <t>ITM de 4x400A, ( Reg. 320-400A ) DPX3 630, 150kA@220-240 Vac.- 100kA@380-415 Vac. - marca Legrand</t>
  </si>
  <si>
    <t>ITM de 4x500A, ( Reg. 400-500A ) DPX3 630, 150kA@220-240 Vac.- 100kA@380-415 Vac. - marca Legrand</t>
  </si>
  <si>
    <t>ITM de 4x630A, ( Reg. 500-630A ) DPX3 630, 150kA@220-240 Vac.- 100kA@380-415 Vac. - marca Legrand</t>
  </si>
  <si>
    <t>ITM de 3x320A, electronico S1(LS) ( Reg. 128-320A ) DPX3 630, 70kA@220-240 Vac.- 36kA@380-415 Vac. - marca Legrand</t>
  </si>
  <si>
    <t>ITM de 3x400A, electronico S1(LS) ( Reg. 160-400A ) DPX3 630, 70kA@220-240 Vac.- 36kA@380-415 Vac. - marca Legrand</t>
  </si>
  <si>
    <t>ITM de 3x500A, electronico S1(LS) ( Reg. 200-500A ) DPX3 630, 70kA@220-240 Vac.- 36kA@380-415 Vac. - marca Legrand</t>
  </si>
  <si>
    <t>ITM de 3x630A, electronico S1(LS) ( Reg. 252-630A ) DPX3 630, 70kA@220-240 Vac.- 36kA@380-415 Vac. - marca Legrand</t>
  </si>
  <si>
    <t>ITM de 3x320A, electronico S1(LS) ( Reg. 128-320A ) DPX3 630, 100kA@220-240 Vac.- 50kA@380-415 Vac. - marca Legrand</t>
  </si>
  <si>
    <t>ITM de 3x400A, electronico S1(LS) ( Reg. 160-400A ) DPX3 630, 100kA@220-240 Vac.- 50kA@380-415 Vac. - marca Legrand</t>
  </si>
  <si>
    <t>ITM de 3x500A, electronico S1(LS) ( Reg. 200-500A ) DPX3 630, 100kA@220-240 Vac.- 50kA@380-415 Vac. - marca Legrand</t>
  </si>
  <si>
    <t>ITM de 3x630A, electronico S1(LS) ( Reg. 252-630A ) DPX3 630, 100kA@220-240 Vac.- 50kA@380-415 Vac. - marca Legrand</t>
  </si>
  <si>
    <t>ITM de 3x320A, electronico S1(LS) ( Reg. 128-320A ) DPX3 630, 120kA@220-240 Vac.- 70kA@380-415 Vac. - marca Legrand</t>
  </si>
  <si>
    <t>ITM de 3x400A, electronico S1(LS) ( Reg. 160-400A ) DPX3 630, 120kA@220-240 Vac.- 70kA@380-415 Vac. - marca Legrand</t>
  </si>
  <si>
    <t>ITM de 3x500A, electronico S1(LS) ( Reg. 200-500A ) DPX3 630, 120kA@220-240 Vac.- 70kA@380-415 Vac. - marca Legrand</t>
  </si>
  <si>
    <t>ITM de 3x630A, electronico S1(LS) ( Reg. 252-630A ) DPX3 630, 120kA@220-240 Vac.- 70kA@380-415 Vac. - marca Legrand</t>
  </si>
  <si>
    <t>ITM de 3x320A, electronico S2(LSI) ( Reg. 128-320A ) DPX3 630, 70kA@220-240 Vac.- 36kA@380-415 Vac. - marca Legrand</t>
  </si>
  <si>
    <t>ITM de 3x400A, electronico S2(LSI) ( Reg. 160-400A ) DPX3 630, 70kA@220-240 Vac.- 36kA@380-415 Vac. - marca Legrand</t>
  </si>
  <si>
    <t>ITM de 3x500A, electronico S2(LSI) ( Reg. 200-500A ) DPX3 630, 70kA@220-240 Vac.- 36kA@380-415 Vac. - marca Legrand</t>
  </si>
  <si>
    <t>ITM de 3x630A, electronico S2(LSI) ( Reg. 252-630A ) DPX3 630, 70kA@220-240 Vac.- 36kA@380-415 Vac. - marca Legrand</t>
  </si>
  <si>
    <t>ITM de 3x320A, electronico S2(LSI) ( Reg. 128-320A ) DPX3 630, 100kA@220-240 Vac.- 50kA@380-415 Vac. - marca Legrand</t>
  </si>
  <si>
    <t>ITM de 3x400A, electronico S2(LSI) ( Reg. 160-400A ) DPX3 630, 100kA@220-240 Vac.- 50kA@380-415 Vac. - marca Legrand</t>
  </si>
  <si>
    <t>ITM de 3x500A, electronico S2(LSI) ( Reg. 200-500A ) DPX3 630, 100kA@220-240 Vac.- 50kA@380-415 Vac. - marca Legrand</t>
  </si>
  <si>
    <t>ITM de 3x630A, electronico S2(LSI) ( Reg. 252-630A ) DPX3 630, 100kA@220-240 Vac.- 50kA@380-415 Vac. - marca Legrand</t>
  </si>
  <si>
    <t>ITM de 3x320A, electronico S2(LSI) ( Reg. 128-320A ) DPX3 630, 120kA@220-240 Vac.- 70kA@380-415 Vac. - marca Legrand</t>
  </si>
  <si>
    <t>ITM de 3x400A, electronico S2(LSI) ( Reg. 160-400A ) DPX3 630, 120kA@220-240 Vac.- 70kA@380-415 Vac. - marca Legrand</t>
  </si>
  <si>
    <t>ITM de 3x500A, electronico S2(LSI) ( Reg. 200-500A ) DPX3 630, 120kA@220-240 Vac.- 70kA@380-415 Vac. - marca Legrand</t>
  </si>
  <si>
    <t>ITM de 3x630A, electronico S2(LSI) ( Reg. 252-630A ) DPX3 630, 120kA@220-240 Vac.- 70kA@380-415 Vac. - marca Legrand</t>
  </si>
  <si>
    <t>ITM de 3x800A, ( Reg. 630-800A ) DPX3 1600, 100kA@220-240 Vac.- 50kA@380-415 Vac. - marca Legrand</t>
  </si>
  <si>
    <t>ITM de 3x1000A, ( Reg. 800-1000A ) DPX3 1600, 100kA@220-240 Vac.- 50kA@380-415 Vac. - marca Legrand</t>
  </si>
  <si>
    <t>ITM de 3x1250A, ( Reg. 1000-1250A ) DPX3 1600, 100kA@220-240 Vac.- 50kA@380-415 Vac. - marca Legrand</t>
  </si>
  <si>
    <t>ITM de 3x800A, ( Reg. 630-800A ) DPX3 1600, 120kA@220-240 Vac.- 70kA@380-415 Vac. - marca Legrand</t>
  </si>
  <si>
    <t>ITM de 3x1000A, ( Reg. 800-1000A ) DPX3 1600, 120kA@220-240 Vac.- 70kA@380-415 Vac. - marca Legrand</t>
  </si>
  <si>
    <t>ITM de 3x1250A, ( Reg. 1000-1250A ) DPX3 1600, 120kA@220-240 Vac.- 70kA@380-415 Vac. - marca Legrand</t>
  </si>
  <si>
    <t>ITM de 3x800A, ( Reg. 630-800A ) DPX3 1600, 150kA@220-240 Vac.- 100kA@380-415 Vac. - marca Legrand</t>
  </si>
  <si>
    <t>ITM de 3x1000A, ( Reg. 800-1000A ) DPX3 1600, 150kA@220-240 Vac.- 100kA@380-415 Vac. - marca Legrand</t>
  </si>
  <si>
    <t>ITM de 3x1250A, ( Reg. 1000-1250A ) DPX3 1600, 150kA@220-240 Vac.- 100kA@380-415 Vac. - marca Legrand</t>
  </si>
  <si>
    <t>ITM de 4x800A, ( Reg. 630-800A ) DPX3 1600, 150kA@220-240 Vac.- 100kA@380-415 Vac. - marca Legrand</t>
  </si>
  <si>
    <t>ITM de 4x1000A, ( Reg. 800-1000A ) DPX3 1600, 150kA@220-240 Vac.- 100kA@380-415 Vac. - marca Legrand</t>
  </si>
  <si>
    <t>ITM de 4x1250A, ( Reg. 1000-1250A ) DPX3 1600, 150kA@220-240 Vac.- 100kA@380-415 Vac. - marca Legrand</t>
  </si>
  <si>
    <t>ITM de 3x800A, electronico S1(LS) ( Reg. 320-800A ) DPX3 1600, 100kA@220-240 Vac.- 50kA@380-415 Vac. - marca Legrand</t>
  </si>
  <si>
    <t>ITM de 3x1000A, electronico S1(LS) ( Reg. 400-1000A ) DPX3 1600, 100kA@220-240 Vac.- 50kA@380-415 Vac. - marca Legrand</t>
  </si>
  <si>
    <t>ITM de 3x1250A, electronico S1(LS) ( Reg. 500-1250A ) DPX3 1600, 100kA@220-240 Vac.- 50kA@380-415 Vac. - marca Legrand</t>
  </si>
  <si>
    <t>ITM de 3x1600A, electronico S1(LS) ( Reg. 640-1600A ) DPX3 1600, 100kA@220-240 Vac.- 50kA@380-415 Vac. - marca Legrand</t>
  </si>
  <si>
    <t>ITM de 3x800A, electronico S1(LS) ( Reg. 320-800A ) DPX3 1600, 120kA@220-240 Vac.- 70kA@380-415 Vac. - marca Legrand</t>
  </si>
  <si>
    <t>ITM de 3x1000A, electronico S1(LS) ( Reg. 400-1000A ) DPX3 1600, 120kA@220-240 Vac.- 70kA@380-415 Vac. - marca Legrand</t>
  </si>
  <si>
    <t>ITM de 3x1250A, electronico S1(LS) ( Reg. 500-1250A ) DPX3 1600, 120kA@220-240 Vac.- 70kA@380-415 Vac. - marca Legrand</t>
  </si>
  <si>
    <t>ITM de 3x1600A, electronico S1(LS) ( Reg. 640-1600A ) DPX3 1600, 120kA@220-240 Vac.- 70kA@380-415 Vac. - marca Legrand</t>
  </si>
  <si>
    <t>ITM de 3x800A, electronico S2(LSI) ( Reg. 320-800A ) DPX3 1600, 120kA@220-240 Vac.- 70kA@380-415 Vac. - marca Legrand</t>
  </si>
  <si>
    <t>ITM de 3x1000A, electronico S2(LSI) ( Reg. 400-1000A ) DPX3 1600, 120kA@220-240 Vac.- 70kA@380-415 Vac. - marca Legrand</t>
  </si>
  <si>
    <t>ITM de 3x1250A, electronico S2(LSI) ( Reg. 500-1250A ) DPX3 1600, 120kA@220-240 Vac.- 70kA@380-415 Vac. - marca Legrand</t>
  </si>
  <si>
    <t>ITM de 3x1600A, electronico S2(LSI) ( Reg. 640-1600A ) DPX3 1600, 120kA@220-240 Vac.- 70kA@380-415 Vac. - marca Legrand</t>
  </si>
  <si>
    <t>MEC_DMX3-T2</t>
  </si>
  <si>
    <t>CAB_DMX3-T2</t>
  </si>
  <si>
    <t>ATS_ESTANDAR</t>
  </si>
  <si>
    <t>Contacto-aux_DPX3</t>
  </si>
  <si>
    <t>Placa_Montaje_DPX3_630</t>
  </si>
  <si>
    <t>Placa de montaje para enclavamiento mecánico de 2 DPX3 630 - marca Legrand</t>
  </si>
  <si>
    <t>026409</t>
  </si>
  <si>
    <t>Placa-interbloqueo_DPX3_160/250</t>
  </si>
  <si>
    <t>Placa para interbloqueo mecánico de 2 DPX3 160/250.</t>
  </si>
  <si>
    <t>421058</t>
  </si>
  <si>
    <t xml:space="preserve">Relé de protección diferencial que detecta corrientes de fallo. - marca Legrand </t>
  </si>
  <si>
    <t>Toroide diferencial (nucleo cerrado) - d=35mm, In_max=200A - marca Legrand.</t>
  </si>
  <si>
    <t>Toroide diferencial (nucleo cerrado) - d=80mm, In_max=400A - marca Legrand.</t>
  </si>
  <si>
    <t>Toroide diferencial (nucleo cerrado) - d=105mm, In_max=800A - marca Legrand.</t>
  </si>
  <si>
    <t>Toroide diferencial (nucleo cerrado) - d=140mm, In_max=1200A - marca Legrand.</t>
  </si>
  <si>
    <t>416880_</t>
  </si>
  <si>
    <t>Unidad de bloqueo mecánico para CTX3 22/40/65/100/150 Legrand</t>
  </si>
  <si>
    <t>416880</t>
  </si>
  <si>
    <t>Contactor  2NA + 2NC , 230Vac</t>
  </si>
  <si>
    <t>Contactor para la gestión de la conmutación automática Legrand</t>
  </si>
  <si>
    <t>416826</t>
  </si>
  <si>
    <t>ITM Riel-Din 1x6A - DX3-6000 - 10kA@230V-IEC60947-2 - marca Legrand.</t>
  </si>
  <si>
    <t>ITM Riel-Din 1x10A - DX3-6000 - 10kA@230V-IEC60947-2 - marca Legrand.</t>
  </si>
  <si>
    <t>ITM Riel-Din 1x16A - DX3-6000 - 10kA@230V-IEC60947-2 - marca Legrand.</t>
  </si>
  <si>
    <t>ITM Riel-Din 1x20A - DX3-6000 - 10kA@230V-IEC60947-2 - marca Legrand.</t>
  </si>
  <si>
    <t>ITM Riel-Din 1x25A - DX3-6000 - 10kA@230V-IEC60947-2 - marca Legrand.</t>
  </si>
  <si>
    <t>ITM Riel-Din 1x32A - DX3-6000 - 10kA@230V-IEC60947-2 - marca Legrand.</t>
  </si>
  <si>
    <t>ITM Riel-Din 1x40A - DX3-6000 - 10kA@230V-IEC60947-2 - marca Legrand.</t>
  </si>
  <si>
    <t>ITM Riel-Din 1x50A - DX3-6000 - 10kA@230V-IEC60947-2 - marca Legrand.</t>
  </si>
  <si>
    <t>ITM Riel-Din 1x63A - DX3-6000 - 10kA@230V-IEC60947-2 - marca Legrand.</t>
  </si>
  <si>
    <t>ITM Riel-Din 2x6A - DX3-6000 - 10kA@400V-IEC60947-2 - marca Legrand.</t>
  </si>
  <si>
    <t>ITM Riel-Din 2x10A - DX3-6000 - 10kA@400V-IEC60947-2 - marca Legrand.</t>
  </si>
  <si>
    <t>ITM Riel-Din 2x16A - DX3-6000 - 10kA@400V-IEC60947-2 - marca Legrand.</t>
  </si>
  <si>
    <t>ITM Riel-Din 2x20A - DX3-6000 - 10kA@400V-IEC60947-2 - marca Legrand.</t>
  </si>
  <si>
    <t>ITM Riel-Din 2x25A - DX3-6000 - 10kA@400V-IEC60947-2 - marca Legrand.</t>
  </si>
  <si>
    <t>ITM Riel-Din 2x32A - DX3-6000 - 10kA@400V-IEC60947-2 - marca Legrand.</t>
  </si>
  <si>
    <t>ITM Riel-Din 2x40A - DX3-6000 - 10kA@400V-IEC60947-2 - marca Legrand.</t>
  </si>
  <si>
    <t>ITM Riel-Din 2x50A - DX3-6000 - 10kA@400V-IEC60947-2 - marca Legrand.</t>
  </si>
  <si>
    <t>ITM Riel-Din 2x63A - DX3-6000 - 10kA@400V-IEC60947-2 - marca Legrand.</t>
  </si>
  <si>
    <t>ITM Riel-Din 3x6A - DX3-6000 - 10kA@400V-IEC60947-2 - marca Legrand.</t>
  </si>
  <si>
    <t>ITM Riel-Din 3x10A - DX3-6000 - 10kA@400V-IEC60947-2 - marca Legrand.</t>
  </si>
  <si>
    <t>ITM Riel-Din 3x16A - DX3-6000 - 10kA@400V-IEC60947-2 - marca Legrand.</t>
  </si>
  <si>
    <t>ITM Riel-Din 3x20A - DX3-6000 - 10kA@400V-IEC60947-2 - marca Legrand.</t>
  </si>
  <si>
    <t>ITM Riel-Din 3x25A - DX3-6000 - 10kA@400V-IEC60947-2 - marca Legrand.</t>
  </si>
  <si>
    <t>ITM Riel-Din 3x32A - DX3-6000 - 10kA@400V-IEC60947-2 - marca Legrand.</t>
  </si>
  <si>
    <t>ITM Riel-Din 3x40A - DX3-6000 - 10kA@400V-IEC60947-2 - marca Legrand.</t>
  </si>
  <si>
    <t>ITM Riel-Din 3x50A - DX3-6000 - 10kA@400V-IEC60947-2 - marca Legrand.</t>
  </si>
  <si>
    <t>ITM Riel-Din 3x63A - DX3-6000 - 10kA@400V-IEC60947-2 - marca Legrand.</t>
  </si>
  <si>
    <t>ITM Riel-Din 4x6A - DX3-6000 - 10kA@400V-IEC60947-2 - marca Legrand.</t>
  </si>
  <si>
    <t>ITM Riel-Din 4x10A - DX3-6000 - 10kA@400V-IEC60947-2 - marca Legrand.</t>
  </si>
  <si>
    <t>ITM Riel-Din 4x16A - DX3-6000 - 10kA@400V-IEC60947-2 - marca Legrand.</t>
  </si>
  <si>
    <t>ITM Riel-Din 4x20A - DX3-6000 - 10kA@400V-IEC60947-2 - marca Legrand.</t>
  </si>
  <si>
    <t>ITM Riel-Din 4x25A - DX3-6000 - 10kA@400V-IEC60947-2 - marca Legrand.</t>
  </si>
  <si>
    <t>ITM Riel-Din 4x32A - DX3-6000 - 10kA@400V-IEC60947-2 - marca Legrand.</t>
  </si>
  <si>
    <t>ITM Riel-Din 4x40A - DX3-6000 - 10kA@400V-IEC60947-2 - marca Legrand.</t>
  </si>
  <si>
    <t>ITM Riel-Din 4x50A - DX3-6000 - 10kA@400V-IEC60947-2 - marca Legrand.</t>
  </si>
  <si>
    <t>ITM Riel-Din 4x63A - DX3-6000 - 10kA@400V-IEC60947-2 - marca Legrand.</t>
  </si>
  <si>
    <t>Interruptor Diferencial 2x25A - 30mA - clase AC - DX3-AC-25A/30mA - marca Legrand.</t>
  </si>
  <si>
    <t>Interruptor Diferencial 2x40A - 30mA - clase AC - DX3-AC-40A/30mA - marca Legrand</t>
  </si>
  <si>
    <t>Interruptor Diferencial 2x63A - 30mA - clase AC - DX3-AC-63A/30mA - marca Legrand</t>
  </si>
  <si>
    <t>Interruptor Diferencial 2x80A - 30mA - clase AC - DX3-AC-80A/30mA - marca Legrand</t>
  </si>
  <si>
    <t>Interruptor Diferencial 2x100A - 30mA - clase AC - DX3-AC-100A/30mA - marca Legrand</t>
  </si>
  <si>
    <t>Interruptor Diferencial 2x25A - 300mA - clase AC - DX3-AC-25A/300mA - marca Legrand.</t>
  </si>
  <si>
    <t>Interruptor Diferencial 2x40A - 300mA - clase AC - DX3-AC-40A/300mA - marca Legrand</t>
  </si>
  <si>
    <t>Interruptor Diferencial 2x63A - 300mA - clase AC - DX3-AC-63A/300mA - marca Legrand</t>
  </si>
  <si>
    <t>Interruptor Diferencial 4x25A - 30mA - clase AC - DX3-AC-25A/30mA - marca Legrand.</t>
  </si>
  <si>
    <t>Interruptor Diferencial 4x40A - 30mA - clase AC - DX3-AC-40A/30mA - marca Legrand</t>
  </si>
  <si>
    <t>Interruptor Diferencial 4x63A - 30mA - clase AC - DX3-AC-63A/30mA - marca Legrand</t>
  </si>
  <si>
    <t>Interruptor Diferencial 4x80A - 30mA - clase AC - DX3-AC-80A/30mA - marca Legrand</t>
  </si>
  <si>
    <t>Interruptor Diferencial 4x25A - 300mA - clase AC - DX3-AC-25A/300mA - marca Legrand.</t>
  </si>
  <si>
    <t>Interruptor Diferencial 4x40A - 300mA - clase AC - DX3-AC-40A/300mA - marca Legrand</t>
  </si>
  <si>
    <t>Interruptor Diferencial 4x63A - 300mA - clase AC - DX3-AC-63A/300mA - marca Legrand</t>
  </si>
  <si>
    <t>Interruptor Diferencial 4x80A - 300mA - clase AC - DX3-AC-80A/300mA - marca Legrand</t>
  </si>
  <si>
    <t>DX3-A-25A/30mA-2P</t>
  </si>
  <si>
    <t>Interruptor Diferencial 2x25A - 30mA - clase A(Inmunizado) - DX3-A-25A/30mA - marca Legrand.</t>
  </si>
  <si>
    <t>411554</t>
  </si>
  <si>
    <t>DX3-A-40A/30mA-2P</t>
  </si>
  <si>
    <t>Interruptor Diferencial 2x40A - 30mA - clase A(Inmunizado) - DX3-A-40A/30mA - marca Legrand</t>
  </si>
  <si>
    <t>411555</t>
  </si>
  <si>
    <t>DX3-A-63A/30mA-2P</t>
  </si>
  <si>
    <t>Interruptor Diferencial 2x63A - 30mA - clase A(Inmunizado) - DX3-A-63A/30mA - marca Legrand</t>
  </si>
  <si>
    <t>411556</t>
  </si>
  <si>
    <t>DX3-A-25A/30mA-4P</t>
  </si>
  <si>
    <t>Interruptor Diferencial 4x25A - 30mA - clase A(Inmunizado) - DX3-A-25A/30mA - marca Legrand.</t>
  </si>
  <si>
    <t>411759</t>
  </si>
  <si>
    <t>DX3-A-40A/30mA-4P</t>
  </si>
  <si>
    <t>Interruptor Diferencial 4x40A - 30mA - clase A(Inmunizado) - DX3-A-40A/30mA - marca Legrand</t>
  </si>
  <si>
    <t>411760</t>
  </si>
  <si>
    <t>DX3-A-63A/30mA-4P</t>
  </si>
  <si>
    <t>Interruptor Diferencial 4x63A - 30mA - clase A(Inmunizado) - DX3-A-63A/30mA - marca Legrand</t>
  </si>
  <si>
    <t>411761</t>
  </si>
  <si>
    <t>DX3-A-80A/30mA-4P</t>
  </si>
  <si>
    <t>Interruptor Diferencial 4x80A - 30mA - clase A(Inmunizado) - DX3-A-80A/30mA - marca Legrand</t>
  </si>
  <si>
    <t>411763</t>
  </si>
  <si>
    <t>Interruptor Diferencial 2x25A - 300mA - clase A (Inmunizado) - DX3-A-25A/300mA - marca Legrand.</t>
  </si>
  <si>
    <t>Interruptor Diferencial 2x40A - 300mA - clase A (Inmunizado) - DX3-A-40A/300mA - marca Legrand.</t>
  </si>
  <si>
    <t>Interruptor Diferencial 2x63A - 300mA - clase A (Inmunizado) - DX3-A-63A/300mA - marca Legrand.</t>
  </si>
  <si>
    <t>Interruptor Diferencial 4x25A - 300mA - clase A (Inmunizado) - DX3-A-25A/300mA - marca Legrand.</t>
  </si>
  <si>
    <t>Interruptor Diferencial 4x40A - 300mA - clase A (Inmunizado) - DX3-A-40A/300mA - marca Legrand.</t>
  </si>
  <si>
    <t>Interruptor Diferencial 4x63A - 300mA - clase A (Inmunizado) - DX3-A-63A/300mA - marca Legrand.</t>
  </si>
  <si>
    <t>Interruptor Diferencial 4x80A - 300mA - clase A (Inmunizado) - DX3-A-80A/300mA - marca Legrand.</t>
  </si>
  <si>
    <t>Interruptor Diferencial 2x25A - 30mA - HPI (Superinmunizado) - DX3-HPI-25A/30mA - marca Legrand.</t>
  </si>
  <si>
    <t>Interruptor Diferencial 2x40A - 30mA - HPI (Superinmunizado) - DX3-HPI-40A/30mA - marca Legrand.</t>
  </si>
  <si>
    <t>Interruptor Diferencial 2x63A - 30mA - HPI (Superinmunizado) - DX3-HPI-63A/30mA - marca Legrand.</t>
  </si>
  <si>
    <t>Interruptor Diferencial 4x25A - 30mA - HPI (Superinmunizado) - DX3-HPI-25A/30mA - marca Legrand.</t>
  </si>
  <si>
    <t>Interruptor Diferencial 4x40A - 30mA - HPI (Superinmunizado) - DX3-HPI-40A/30mA - marca Legrand.</t>
  </si>
  <si>
    <t>Interruptor Diferencial 4x63A - 30mA - HPI (Superinmunizado) - DX3-HPI-63A/30mA - marca Legrand.</t>
  </si>
  <si>
    <t>ITM Riel-Din 2x6A - RX3-C-6A - 10kA@230Vac, 6kA@400Vac-IEC60898 - marca Legrand</t>
  </si>
  <si>
    <t>ITM Riel-Din 2x10A - RX3-C-10A - 10kA@230Vac, 6kA@400Vac-IEC60898 - marca Legrand</t>
  </si>
  <si>
    <t>ITM Riel-Din 2x16A - RX3-C-16A - 10kA@230Vac, 6kA@400Vac-IEC60898 - marca Legrand</t>
  </si>
  <si>
    <t>ITM Riel-Din 2x20A - RX3-C-20A - 10kA@230Vac, 6kA@400Vac-IEC60898 - marca Legrand</t>
  </si>
  <si>
    <t>ITM Riel-Din 2x25A - RX3-C-25A - 10kA@230Vac, 6kA@400Vac-IEC60898 - marca Legrand</t>
  </si>
  <si>
    <t>ITM Riel-Din 2x32A - RX3-C-32A - 10kA@230Vac, 6kA@400Vac-IEC60898 - marca Legrand</t>
  </si>
  <si>
    <t>ITM Riel-Din 2x40A - RX3-C-40A - 10kA@230Vac, 6kA@400Vac-IEC60898 - marca Legrand</t>
  </si>
  <si>
    <t>ITM Riel-Din 2x50A - RX3-C-50A - 10kA@230Vac, 6kA@400Vac-IEC60898 - marca Legrand</t>
  </si>
  <si>
    <t>ITM Riel-Din 2x63A - RX3-C-63A - 10kA@230Vac, 6kA@400Vac-IEC60898 - marca Legrand</t>
  </si>
  <si>
    <t>ITM Riel-Din 3x6A - RX3-C-6A - 10kA@230Vac, 6kA@400Vac-IEC60898 - marca Legrand</t>
  </si>
  <si>
    <t>ITM Riel-Din 3x10A - RX3-C-10A - 10kA@230Vac, 6kA@400Vac-IEC60898 - marca Legrand</t>
  </si>
  <si>
    <t>ITM Riel-Din 3x16A - RX3-C-16A - 10kA@230Vac, 6kA@400Vac-IEC60898 - marca Legrand</t>
  </si>
  <si>
    <t>ITM Riel-Din 3x20A - RX3-C-20A - 10kA@230Vac, 6kA@400Vac-IEC60898 - marca Legrand</t>
  </si>
  <si>
    <t>ITM Riel-Din 3x25A - RX3-C-25A - 10kA@230Vac, 6kA@400Vac-IEC60898 - marca Legrand</t>
  </si>
  <si>
    <t>ITM Riel-Din 3x32A - RX3-C-32A - 10kA@230Vac, 6kA@400Vac-IEC60898 - marca Legrand</t>
  </si>
  <si>
    <t>ITM Riel-Din 3x40A - RX3-C-40A - 10kA@230Vac, 6kA@400Vac-IEC60898 - marca Legrand</t>
  </si>
  <si>
    <t>ITM Riel-Din 3x50A - RX3-C-50A - 10kA@230Vac, 6kA@400Vac-IEC60898 - marca Legrand</t>
  </si>
  <si>
    <t>ITM Riel-Din 3x63A - RX3-C-63A - 10kA@230Vac, 6kA@400Vac-IEC60898 - marca Legrand</t>
  </si>
  <si>
    <t>Interruptor Diferencial 2x25A - 30mA - clase AC - RX3-AC-25A/30mA - marca Legrand.</t>
  </si>
  <si>
    <t>Interruptor Diferencial 2x40A - 30mA - clase AC - RX3-AC-40A/30mA - marca Legrand</t>
  </si>
  <si>
    <t>Interruptor Diferencial 2x63A - 30mA - clase AC - RX3-AC-63A/30mA - marca Legrand</t>
  </si>
  <si>
    <t>Interruptor Diferencial 4x25A - 30mA - clase AC - RX3-AC-25A/30mA - marca Legrand.</t>
  </si>
  <si>
    <t>Interruptor Diferencial 4x40A - 30mA - clase AC - RX3-AC-40A/30mA - marca Legrand</t>
  </si>
  <si>
    <t>Interruptor Diferencial 4x63A - 30mA - clase AC - RX3-AC-63A/30mA - marca Legrand</t>
  </si>
  <si>
    <t>LIMITADORES DE TENSION TVSS</t>
  </si>
  <si>
    <t>TVSS_1P_220Vac-40kA</t>
  </si>
  <si>
    <t>Limitador de sobretensión  T2 1P, 320V-marca Legrand.</t>
  </si>
  <si>
    <t>TVSS_1P_220Vac-12.5kA</t>
  </si>
  <si>
    <t>Limitador de sobretensión  1P, 12.5KA, 320V-marca Legrand.</t>
  </si>
  <si>
    <t>TVSS_3P_220Vac-37.5kA</t>
  </si>
  <si>
    <t>Limitador de sobretensión  3P, 37.5KA, 320V-marca Legrand.</t>
  </si>
  <si>
    <t>TVSS_1P+N_220Vac-25kA</t>
  </si>
  <si>
    <t>Limitador de sobretensión  1P+N, 25KA, 320V-marca Legrand.</t>
  </si>
  <si>
    <t>TVSS_3P+N_220Vac-50kA</t>
  </si>
  <si>
    <t>Limitador de sobretensión 3P+N, 50KA, 320V-marca Legrand.</t>
  </si>
  <si>
    <t>TVSS_1P_380Vac-35kA</t>
  </si>
  <si>
    <t>Limitador de sobretensión 1P, 35KA, 440V-marca Legrand.</t>
  </si>
  <si>
    <t>TVSS_1P+N_220Vac-50kA</t>
  </si>
  <si>
    <t>Limitador de sobretensión 1P+N, 50KA, 350V-marca Legrand.</t>
  </si>
  <si>
    <t>TVSS_3P_380Vac-75kA</t>
  </si>
  <si>
    <t>Limitador de sobretensión 3P, 75KA, 440V-marca Legrand.</t>
  </si>
  <si>
    <t>TVSS_3P+N_380Vac-100kA</t>
  </si>
  <si>
    <t>Limitador de sobretensión 3P+N, 100KA, 440V-marca Legrand.</t>
  </si>
  <si>
    <t>Contactor 3x25A(AC-1) 2NO - bobina 230Vac - marca Legrand.</t>
  </si>
  <si>
    <t>Contactor 3x40A(AC-1) 2NO - bobina 230Vac - marca Legrand.</t>
  </si>
  <si>
    <t>Contactor 3x63A(AC-1) 3NO - bobina 230Vac - marca Legrand.</t>
  </si>
  <si>
    <t>Contactor 3x09A(AC-3) 1NO+1NC - CTX3-9A - bobina 230Vac - marca Legrand.</t>
  </si>
  <si>
    <t>Contactor 3x12A(AC-3) 1NO+1NC - CTX3-12A - bobina 230Vac - marca Legrand.</t>
  </si>
  <si>
    <t>Contactor 3x18A(AC-3) 1NO+1NC - CTX3-18A - bobina 230Vac - marca Legrand.</t>
  </si>
  <si>
    <t>Contactor 3x22A(AC-3) 1NO+1NC - CTX3-22A - bobina 230Vac - marca Legrand.</t>
  </si>
  <si>
    <t>Contactor 3x32A(AC-3) 2NO+2NC - CTX3-32A - bobina 230Vac - marca Legrand.</t>
  </si>
  <si>
    <t>Contactor 3x40A(AC-3) 2NO+2NC - CTX3-40A - bobina 230Vac - marca Legrand.</t>
  </si>
  <si>
    <t>Contactor 3x50A(AC-3) 2NO+2NC - CTX3-50A - bobina 230Vac - marca Legrand.</t>
  </si>
  <si>
    <t>Contactor 3x65A(AC-3) 2NO+2NC - CTX3-65A - bobina 230Vac - marca Legrand.</t>
  </si>
  <si>
    <t>Contactor 3x75A(AC-3) 2NO+2NC - CTX3-75A - bobina 230Vac - marca Legrand.</t>
  </si>
  <si>
    <t>Contactor 3x85A(AC-3) 2NO+2NC - CTX3-85A - bobina 230Vac - marca Legrand.</t>
  </si>
  <si>
    <t>Contactor 3x100A(AC-3) 2NO+2NC - CTX3-100A - bobina 230Vac - marca Legrand.</t>
  </si>
  <si>
    <t>Contactor 3x130A(AC-3) 2NO+2NC - CTX3-130A - bobina 230Vac - marca Legrand.</t>
  </si>
  <si>
    <t>Contactor 3x150A(AC-3) 2NO+2NC - CTX3-150A - bobina 230Vac - marca Legrand.</t>
  </si>
  <si>
    <t>Minicontactor de control 3x6A + 1NO - bobina 230Vac - marca Legrand.</t>
  </si>
  <si>
    <t>Minicontactor de control 3x9A + 1NO - bobina 230Vac - marca Legrand.</t>
  </si>
  <si>
    <t>Minicontactor de control 3x12A + 1NO - bobina 230Vac - marca Legrand.</t>
  </si>
  <si>
    <t>Minicontactor de control 3x16A + 1NO - bobina 230Vac - marca Legrand.</t>
  </si>
  <si>
    <t>Relé de sobrecarga, para contactores CTX3-22…CTX3-40, regulable (0.10 - 0.16)A. - marca Legrand.</t>
  </si>
  <si>
    <t>Relé de sobrecarga, para contactores CTX3-22…CTX3-40, regulable (0.16 - 0.25)A. - marca Legrand.</t>
  </si>
  <si>
    <t>Relé de sobrecarga, para contactores CTX3-22…CTX3-40, regulable (0.25 - 0.40)A. - marca Legrand.</t>
  </si>
  <si>
    <t>Relé de sobrecarga, para contactores CTX3-22…CTX3-40, regulable (0.40 - 0.63)A. - marca Legrand.</t>
  </si>
  <si>
    <t>Relé de sobrecarga, para contactores CTX3-22…CTX3-40, regulable (0.63 - 1.00)A. - marca Legrand.</t>
  </si>
  <si>
    <t>Relé de sobrecarga, para contactores CTX3-22…CTX3-40, regulable (1.00 - 1.60)A. - marca Legrand.</t>
  </si>
  <si>
    <t>Relé de sobrecarga, para contactores CTX3-22…CTX3-40, regulable (1.60 - 2.50)A. - marca Legrand.</t>
  </si>
  <si>
    <t>Relé de sobrecarga, para contactores CTX3-22…CTX3-40, regulable (2.50 - 4.00)A. - marca Legrand.</t>
  </si>
  <si>
    <t>Relé de sobrecarga, para contactores CTX3-22…CTX3-40, regulable (4.00 - 6.00)A. - marca Legrand.</t>
  </si>
  <si>
    <t>Relé de sobrecarga, para contactores CTX3-22…CTX3-40, regulable (5.00 - 8.00)A. - marca Legrand.</t>
  </si>
  <si>
    <t>Relé de sobrecarga, para contactores CTX3-22…CTX3-40, regulable (6.00 - 9.00)A. - marca Legrand.</t>
  </si>
  <si>
    <t>Relé de sobrecarga, para contactores CTX3-22…CTX3-40, regulable (7.00 - 10.00)A. - marca Legrand.</t>
  </si>
  <si>
    <t>Relé de sobrecarga, para contactores CTX3-22…CTX3-40, regulable (9.00 - 13.00)A. - marca Legrand.</t>
  </si>
  <si>
    <t>Relé de sobrecarga, para contactores CTX3-22…CTX3-40, regulable (12.00 - 18.00)A. - marca Legrand.</t>
  </si>
  <si>
    <t>Relé de sobrecarga, para contactores CTX3-22…CTX3-40, regulable (16.00 - 22.00)A. - marca Legrand.</t>
  </si>
  <si>
    <t>Relé de sobrecarga, para contactores CTX3-22…CTX3-40, regulable (18.00 - 25.00)A. - marca Legrand.</t>
  </si>
  <si>
    <t>Relé de sobrecarga, para contactores CTX3-22…CTX3-40, regulable (22.00 - 32.00)A. - marca Legrand.</t>
  </si>
  <si>
    <t>Relé de sobrecarga, para contactores CTX3-22…CTX3-40, regulable (28.00 - 40.00)A. - marca Legrand.</t>
  </si>
  <si>
    <t>Relé de sobrecarga, para contactores CTX3-50…CTX3-65, regulable (24.00 - 36.00)A. - marca Legrand.</t>
  </si>
  <si>
    <t>Relé de sobrecarga, para contactores CTX3-50…CTX3-65, regulable (28.00 - 40.00)A. - marca Legrand.</t>
  </si>
  <si>
    <t>Relé de sobrecarga, para contactores CTX3-50…CTX3-65, regulable (34.00 - 50.00)A. - marca Legrand.</t>
  </si>
  <si>
    <t>Relé de sobrecarga, para contactores CTX3-50…CTX3-65, regulable (45.00 - 65.00)A. - marca Legrand.</t>
  </si>
  <si>
    <t>Relé de sobrecarga, para contactores CTX3-75…CTX3-100, regulable (54.00 - 75.00)A. - marca Legrand.</t>
  </si>
  <si>
    <t>Relé de sobrecarga, para contactores CTX3-75…CTX3-100, regulable (63.00 - 85.00)A. - marca Legrand.</t>
  </si>
  <si>
    <t>Relé de sobrecarga, para contactores CTX3-75…CTX3-100, regulable (70.00 - 95.00)A. - marca Legrand.</t>
  </si>
  <si>
    <t>Relé de sobrecarga, para contactores CTX3-75…CTX3-100, regulable (80.00 - 100.00)A. - marca Legrand.</t>
  </si>
  <si>
    <t>Relé de sobrecarga, para contactores CTX3-130…CTX3-150, regulable (110.00 - 150.00)A. - marca Legrand.</t>
  </si>
  <si>
    <t>XT2L160-16A-3P-TMD</t>
  </si>
  <si>
    <t>ITM Caja Moldeada 3x16A (reg.[0.7-1.0] In) - XT2L160-16A-3P-TMD - 150kA@230Vac, 120kA@415Vac - marca ABB.</t>
  </si>
  <si>
    <t>1SDA067638R1</t>
  </si>
  <si>
    <t>XT2L160-20A-3P-TMD</t>
  </si>
  <si>
    <t>ITM Caja Moldeada 3x20A (reg.[0.7-1.0] In) - XT2L160-20A-3P-TMD - 150kA@230Vac, 120kA@415Vac - marca ABB.</t>
  </si>
  <si>
    <t>1SDA067639R1</t>
  </si>
  <si>
    <t>XT2L160-25A-3P-TMD</t>
  </si>
  <si>
    <t>ITM Caja Moldeada 3x25A (reg.[0.7-1.0] In) - XT2L160-25A-3P-TMD - 150kA@230Vac, 120kA@415Vac - marca ABB.</t>
  </si>
  <si>
    <t>1SDA067640R1</t>
  </si>
  <si>
    <t>XT2L160-32A-3P-TMD</t>
  </si>
  <si>
    <t>ITM Caja Moldeada 3x32A (reg.[0.7-1.0] In) - XT2L160-32A-3P-TMD - 150kA@230Vac, 120kA@415Vac - marca ABB.</t>
  </si>
  <si>
    <t>1SDA067641R1</t>
  </si>
  <si>
    <t>XT2L160-40A-3P-TMA</t>
  </si>
  <si>
    <t>ITM Caja Moldeada 3x40A (reg.[0.7-1.0] In) - XT2L160-40A-3P-TMA - 150kA@230Vac, 120kA@415Vac - marca ABB.</t>
  </si>
  <si>
    <t>1SDA067642R1</t>
  </si>
  <si>
    <t>XT2L160-50A-3P-TMA</t>
  </si>
  <si>
    <t>ITM Caja Moldeada 3x50A (reg.[0.7-1.0] In) - XT2L160-50A-3P-TMA - 150kA@230Vac, 120kA@415Vac - marca ABB.</t>
  </si>
  <si>
    <t>1SDA067643R1</t>
  </si>
  <si>
    <t>XT2L160-63A-3P-TMA</t>
  </si>
  <si>
    <t>ITM Caja Moldeada 3x63A (reg.[0.7-1.0] In) - XT2L160-63A-3P-TMA - 150kA@230Vac, 120kA@415Vac - marca ABB.</t>
  </si>
  <si>
    <t>1SDA067644R1</t>
  </si>
  <si>
    <t>XT2L160-80A-3P-TMA</t>
  </si>
  <si>
    <t>ITM Caja Moldeada 3x80A (reg.[0.7-1.0] In) - XT2L160-80A-3P-TMA - 150kA@230Vac, 120kA@415Vac - marca ABB.</t>
  </si>
  <si>
    <t>1SDA067645R1</t>
  </si>
  <si>
    <t>XT2L160-100A-3P-TMA</t>
  </si>
  <si>
    <t>ITM Caja Moldeada 3x100A (reg.[0.7-1.0] In) - XT2L160-100A-3P-TMA - 150kA@230Vac, 120kA@415Vac - marca ABB.</t>
  </si>
  <si>
    <t>1SDA067646R1</t>
  </si>
  <si>
    <t>XT2L160-125A-3P-TMA</t>
  </si>
  <si>
    <t>ITM Caja Moldeada 3x125A (reg.[0.7-1.0] In) - XT2L160-125A-3P-TMA - 150kA@230Vac, 120kA@415Vac - marca ABB.</t>
  </si>
  <si>
    <t>1SDA067647R1</t>
  </si>
  <si>
    <t>XT2L160-160A-3P-TMA</t>
  </si>
  <si>
    <t>ITM Caja Moldeada 3x160A (reg.[0.7-1.0] In) - XT2L160-160A-3P-TMA - 150kA@230Vac, 120kA@415Vac - marca ABB.</t>
  </si>
  <si>
    <t>1SDA067648R1</t>
  </si>
  <si>
    <t>DIRIS-A30</t>
  </si>
  <si>
    <t>Analizador de Redes DIRIS-A30 - precisión (V, I) 0.2%, precisión de energía activa / reactiva: clase 0,5S / clase 2 - marca SOCOMEC.</t>
  </si>
  <si>
    <t>DIRIS-A30/Com</t>
  </si>
  <si>
    <t>Módulo de comunicación RS 485 MODBUS, para Analizador de Red, DIRIS-A30, marca SOCOMEC.</t>
  </si>
  <si>
    <t>DIRIS-A30/Temp</t>
  </si>
  <si>
    <t>Módulo de Temperatura para Analizador de Red, DIRIS-A30, marca SOCOMEC.</t>
  </si>
  <si>
    <t>DIRIS-A30/Mem</t>
  </si>
  <si>
    <t>Módulo de memoria para Analizador de Red, DIRIS-A30, marca SOCOMEC.</t>
  </si>
  <si>
    <t>Soporte de Fijacion Mural para Gabinete KS, RAL7035 - RITTAL</t>
  </si>
  <si>
    <t>3WT8120-5AA00-0AA2</t>
  </si>
  <si>
    <t>3WT8161-5AA00-0AA2</t>
  </si>
  <si>
    <t>3WT9825-1JC00</t>
  </si>
  <si>
    <t>Conector de intensidad auxiliar para interruptor de montaje fijo (para motorizado)</t>
  </si>
  <si>
    <t>3WT9866-3JA00</t>
  </si>
  <si>
    <t>Enclavamiento mecánico con cable Bowden</t>
  </si>
  <si>
    <t>E2.2S-2500A-3P-Ekip Touch LSI</t>
  </si>
  <si>
    <t>ITM Bastidor Abierto 3x2500A (electrónico [0.4-1.0] In) - E2.2S-2500A-3P-Ekip Touch LSI - 85kA@440Vac - marca ABB.</t>
  </si>
  <si>
    <t>1SDA071075R1</t>
  </si>
  <si>
    <t>1_2</t>
  </si>
  <si>
    <t>XT4L250-200A-3P-TMA</t>
  </si>
  <si>
    <t>ITM Caja Moldeada 3x200A (reg.[0.7-1.0] In) - XT4L250-200A-3P-TMA - 150kA@230Vac, 120kA@415Vac - marca ABB.</t>
  </si>
  <si>
    <t>1SDA068376R1</t>
  </si>
  <si>
    <t>XT4L250-225A-3P-TMA</t>
  </si>
  <si>
    <t>ITM Caja Moldeada 3x225A (reg.[0.7-1.0] In) - XT4L250-225A-3P-TMA - 150kA@230Vac, 120kA@415Vac - marca ABB.</t>
  </si>
  <si>
    <t>1SDA068377R1</t>
  </si>
  <si>
    <t>XT4L250-250A-3P-TMA</t>
  </si>
  <si>
    <t>ITM Caja Moldeada 3x250A (reg.[0.7-1.0] In) - XT4L250-250A-3P-TMA - 150kA@230Vac, 120kA@415Vac - marca ABB.</t>
  </si>
  <si>
    <t>1SDA068378R1</t>
  </si>
  <si>
    <t>SNT120CPK</t>
  </si>
  <si>
    <t>Bobina de disparo 120-240Vac, SNT120CPK, para modelos GE/GJ/GL - marca EATON.</t>
  </si>
  <si>
    <t>TRAFO_2F_440-220V_200VA_AUD</t>
  </si>
  <si>
    <t>Transformador de tensión de aislamiento monofásico 440 / 220 Vac - 200VA, marca AUDAX.</t>
  </si>
  <si>
    <t>TAM002000610000</t>
  </si>
  <si>
    <t>TRAFO_2F_440-220V_3000VA_AUD</t>
  </si>
  <si>
    <t>Transformador de tensión de aislamiento monofásico 440 / 220 Vac - 3000VA, marca AUDAX.</t>
  </si>
  <si>
    <t>TAM030000610100</t>
  </si>
  <si>
    <t>TRAFO_2F_440-220V_5000VA_AUD</t>
  </si>
  <si>
    <t>Transformador de tensión de aislamiento monofásico 440 / 220 Vac - 5000VA, marca AUDAX.</t>
  </si>
  <si>
    <t>TAM050000610100</t>
  </si>
  <si>
    <t>ITM Caja Moldeada 3x400A (electrónico [0.4-1.0] In) - T5L400-400A-3P-PR222DS/P-LSI - 200kA@230Vac, 120kA@415Vac - marca ABB.</t>
  </si>
  <si>
    <t>ITM Caja Moldeada 4x400A (electrónico [0.4-1.0] In) - T5L400-400A-4P-PR222DS/P-LSI - 200kA@230Vac, 120kA@415Vac - marca ABB.</t>
  </si>
  <si>
    <t>ITM Caja Moldeada 4x630A (electrónico [0.4-1.0] In) - T5L630-630A-4P-PR222DS/P-LSI - 200kA@230Vac, 120kA@415Vac - marca ABB.</t>
  </si>
  <si>
    <t>T7L1250-1250A-3P-PR232/P-LSI</t>
  </si>
  <si>
    <t>1SDA062931R1</t>
  </si>
  <si>
    <t>FUSIBLE_NH-000_125A</t>
  </si>
  <si>
    <t>Fusible 125A NH-000, 500VCA, 120kA C/I Falla clase gL -GG  marca DF ELECTRIC.</t>
  </si>
  <si>
    <t>FUSIBLE_NH-000_80A</t>
  </si>
  <si>
    <t>Fusible 80A NH-000, 500VCA, 120kA C/I Falla clase gL -GG  marca DF ELECTRIC.</t>
  </si>
  <si>
    <t>ITM Caja Moldeada 3x1250A (electrónico [0.4-1.0] In) - T7L1250-1250A-3P-PR232/P-LSI - 120kA@415Vac - marca ABB.</t>
  </si>
  <si>
    <t>T4L320-320A-3P-PR222DS/P-LSI</t>
  </si>
  <si>
    <t>ITM Caja Moldeada 3x320A (electrónico [0.4-1.0] In) - T4L320-320A-3P-PR222DS/P-LSI - 100kA@230Vac, 120kA@415Vac - marca ABB.</t>
  </si>
  <si>
    <t>1SDA054143R1</t>
  </si>
  <si>
    <t>PSR25-600-70</t>
  </si>
  <si>
    <t>Arrancador electronico / gama compacta PSR (7.5HP-230V/ 15HP-460V)</t>
  </si>
  <si>
    <t>1SFA896108R7000</t>
  </si>
  <si>
    <t>PSR60-600-70</t>
  </si>
  <si>
    <t>Arrancador electronico / gama compacta PSR (20HP-230V/ 40HP-460V)</t>
  </si>
  <si>
    <t>1SFA896112R7000</t>
  </si>
  <si>
    <t>PSR85-600-70</t>
  </si>
  <si>
    <t>Arrancador electronico / gama compacta PSR (30HP-230V/ 60HP-460V)</t>
  </si>
  <si>
    <t>1SFA896114R7000</t>
  </si>
  <si>
    <t>PS-FBPA</t>
  </si>
  <si>
    <t>MODULO PARA COMUNICACIÓN POR BUS CAMPO , DISPONIBLE PARA PORFIBUS, MODBUS, CAN OPEN, DEVICE NET</t>
  </si>
  <si>
    <t>1SFA896312R1002</t>
  </si>
  <si>
    <t>GES2015FFG</t>
  </si>
  <si>
    <t>ITM de 2x15A , GES,  85kA-240Vac. / 35kA-480Vac. - marca EATON.</t>
  </si>
  <si>
    <t>OVRHSP602401P</t>
  </si>
  <si>
    <t>Supresor contra sobretensiones (Tipo 1, UL 1449) - OVRHSP602401P - I_max=60kA por fase, Un=240V - marca ABB.</t>
  </si>
  <si>
    <t>2CJB106240P0000</t>
  </si>
  <si>
    <t>OVRHSP802401P</t>
  </si>
  <si>
    <t>Supresor contra sobretensiones (Tipo 1, UL 1449) - OVRHSP802401P - I_max=80kA por fase, Un=240V - marca ABB.</t>
  </si>
  <si>
    <t>2CJB108240P0000</t>
  </si>
  <si>
    <t>FUSIBLE_NH-000_40A</t>
  </si>
  <si>
    <t>Fusible 40A NH-000, 500VCA, 120kA C/I Falla clase gL -GG  marca DF ELECTRIC.</t>
  </si>
  <si>
    <t>FUSIBLE_NH-000_35A</t>
  </si>
  <si>
    <t>Fusible 35A NH-000, 500VCA, 120kA C/I Falla clase gL -GG  marca DF ELECTRIC.</t>
  </si>
  <si>
    <t>FUSIBLE_NH-000_25A</t>
  </si>
  <si>
    <t>Fusible 25A NH-000, 500VCA, 120kA C/I Falla clase gL - marca DF ELECTRIC.</t>
  </si>
  <si>
    <t>12_30</t>
  </si>
  <si>
    <t>S201M-C-10A</t>
  </si>
  <si>
    <t>ITM Riel-Din 1x10A - S202M-C-10A - 10kA@400Vac-IEC60947-2 - marca ABB.</t>
  </si>
  <si>
    <t>S201M-C-16A</t>
  </si>
  <si>
    <t>ITM Riel-Din 1x16A - S202M-C-16A - 10kA@400Vac-IEC60947-2 - marca ABB.</t>
  </si>
  <si>
    <t>S201M-C-20A</t>
  </si>
  <si>
    <t>ITM Riel-Din 1x20A - S202M-C-20A - 10kA@400Vac-IEC60947-2 - marca ABB.</t>
  </si>
  <si>
    <t>S201M-C-25A</t>
  </si>
  <si>
    <t>ITM Riel-Din 1x25A - S202M-C-25A - 10kA@400Vac-IEC60947-2 - marca ABB.</t>
  </si>
  <si>
    <t>S201M-C-32A</t>
  </si>
  <si>
    <t>ITM Riel-Din 1x32A - S202M-C-32A - 10kA@400Vac-IEC60947-2 - marca ABB.</t>
  </si>
  <si>
    <t>S201M-C-40A</t>
  </si>
  <si>
    <t>ITM Riel-Din 1x40A - S202M-C-40A - 10kA@400Vac-IEC60947-2 - marca ABB.</t>
  </si>
  <si>
    <t>S201M-C-50A</t>
  </si>
  <si>
    <t>ITM Riel-Din 1x50A - S202M-C-50A - 10kA@400Vac-IEC60947-2 - marca ABB.</t>
  </si>
  <si>
    <t>S201M-C-63A</t>
  </si>
  <si>
    <t>ITM Riel-Din 1x63A - S202M-C-63A - 10kA@400Vac-IEC60947-2 - marca ABB.</t>
  </si>
  <si>
    <t>CA4-40EK</t>
  </si>
  <si>
    <t>Contacto auxiliar  1NA para contactor AF26…AF96…-30-00, Modelo CA4-40EK - marca ABB.</t>
  </si>
  <si>
    <t>1SBN010146R1040</t>
  </si>
  <si>
    <t>ITM Bastidor Abierto de 3x1000A , ( Reg. 0.4-1.0 de In ), LSI, serie IZMX, modelo NAS, 50kA@415Vac. + contacto auxiliar 2NA/NC + Comando motorizado - marca EATON.</t>
  </si>
  <si>
    <t>IZMX 2500(M)_55kA</t>
  </si>
  <si>
    <t>ITM Bastidor Abierto de 3x2500A , ( Reg. 0.4-1.0 de In ), LSI, serie IZMX, modelo RAS, 55kA@415Vac. + contacto auxiliar 4NA/NC + Comando motorizado  - marca EATON.</t>
  </si>
  <si>
    <t>IZMX 2000_55kA</t>
  </si>
  <si>
    <t>ITM Bastidor Abierto de 3x2000A , ( Reg. 0.4-1.0 de In ), LSI, serie IZMX, modelo RAS, 55kA@415Vac. + contacto auxilxiar 2NA/NC - marca EATON.</t>
  </si>
  <si>
    <t>ENCLAV_IZMX</t>
  </si>
  <si>
    <t>Kit de enclavamiento mecanico para dos interruptores Bastidor Abierto, serie IZMX / Modelo RAS - marca EATON.</t>
  </si>
  <si>
    <t>COND_4.0kVAR/440V_p7</t>
  </si>
  <si>
    <t>Condensador, Trifásico, para paso de potencia efectiva de 4.0kVAR / 440Vac, 60 Hz, p=7%, tipo CFB, marca CIRCUTOR.</t>
  </si>
  <si>
    <t>COND_9.4kVAR/440V_p7</t>
  </si>
  <si>
    <t>Condensador, Trifásico, para paso de potencia efectiva de 9.4kVAR / 440Vac, 60 Hz, p=7%, tipo CFB, marca CIRCUTOR.</t>
  </si>
  <si>
    <t>COND_10.75kVAR/440V_p7</t>
  </si>
  <si>
    <t>Condensador, Trifásico, para paso de potencia efectiva de 10.75kVAR / 440Vac, 60 Hz, p=7%, tipo CFB, marca CIRCUTOR.</t>
  </si>
  <si>
    <t>CMC_12.5kVAR/440V</t>
  </si>
  <si>
    <t>Contactor para maniobra de condensadores - 12.5kVAR / 440Vac - Modelo CMC - bobina 230Vac/60Hz. - marca CIRCUTOR.</t>
  </si>
  <si>
    <t>CMC_25kVAR/440V</t>
  </si>
  <si>
    <t>Contactor para maniobra de condensadores - 25kVAR / 440Vac - Modelo CMC - bobina 230Vac/60Hz. - marca CIRCUTOR.</t>
  </si>
  <si>
    <t>ITM Riel-Din 3x10A - S203M-C-10A - 10kA@400Vac-IEC60947-2 - marca ABB.</t>
  </si>
  <si>
    <t>ITM Riel-Din 3x16A - S203M-C-16A - 10kA@400Vac-IEC60947-2 - marca ABB.</t>
  </si>
  <si>
    <t>ITM Riel-Din 3x20A - S203M-C-20A - 10kA@400Vac-IEC60947-2 - marca ABB.</t>
  </si>
  <si>
    <t>ITM Riel-Din 3x25A - S203M-C-25A - 10kA@400Vac-IEC60947-2 - marca ABB.</t>
  </si>
  <si>
    <t>ITM Riel-Din 3x32A - S203M-C-32A - 10kA@400Vac-IEC60947-2 - marca ABB.</t>
  </si>
  <si>
    <t>ITM Riel-Din 3x40A - S203M-C-40A - 10kA@400Vac-IEC60947-2 - marca ABB.</t>
  </si>
  <si>
    <t>ITM Riel-Din 3x50A - S203M-C-50A - 10kA@400Vac-IEC60947-2 - marca ABB.</t>
  </si>
  <si>
    <t>ITM Riel-Din 3x63A - S203M-C-63A - 10kA@400Vac-IEC60947-2 - marca ABB.</t>
  </si>
  <si>
    <t>REACT_RX_20kVAR/380V_p14</t>
  </si>
  <si>
    <t>Reactancia para filtro de rechazo de armónicas, para paso de 20kVAR / 380Vac, 60Hz, p=14%, tipo RX, marca CIRCUTOR.</t>
  </si>
  <si>
    <t>COND_pris_20kVAR/380V_p14</t>
  </si>
  <si>
    <t>Condensador trifásico, para paso de potencia efectiva de 20kVAR / 380Vac, 60 Hz, p=14%, tipo Prismático, marca CIRCUTOR.</t>
  </si>
  <si>
    <t>COND_pris_40kVAR/380V_p14</t>
  </si>
  <si>
    <t>Condensador trifásico, para paso de potencia efectiva de 40kVAR / 380Vac, 60Hz, p=14%, tipo Prismático, marca CIRCUTOR.</t>
  </si>
  <si>
    <t>HIGROSTATO RH:35%-95% 250VAC (MFR012)</t>
  </si>
  <si>
    <t>HIGROSTATO RH:35%-95% 250VAC LINKWELL ELECTRIC</t>
  </si>
  <si>
    <t>MFR012</t>
  </si>
  <si>
    <t>LINKWELL ELECTRIC</t>
  </si>
  <si>
    <t>T7L1250(M)-1250A-3P-PR232/P-LSI</t>
  </si>
  <si>
    <t>1SDA062947R1</t>
  </si>
  <si>
    <t>T7L1000(M)-1000A-3P-PR232/P-LSI</t>
  </si>
  <si>
    <t>ITM Caja Moldeada 3x1000A (electrónico [0.4-1.0] In) - T7L1000(M)-1000A-3P-PR232/P-LSI - 120kA@415Vac - marca ABB.</t>
  </si>
  <si>
    <t>1SDA062819R1</t>
  </si>
  <si>
    <t>ITM Caja Moldeada 3x1250A (electrónico [0.4-1.0] In) - T7L1250(M) -1250A-3P-PR232/P-LSI - 120kA@415Vac - marca ABB.</t>
  </si>
  <si>
    <t>TOMA-I-EMP_1P+N+T(16A)_IP67</t>
  </si>
  <si>
    <t>ENCH-IND 1P+N+T(16A)_IP67</t>
  </si>
  <si>
    <t xml:space="preserve"> JORGE DÁVILA</t>
  </si>
  <si>
    <t xml:space="preserve"> PROPAMAT</t>
  </si>
  <si>
    <t xml:space="preserve"> REFINERÍA DE TALARA</t>
  </si>
  <si>
    <t>T7L800-800A-3P-PR232/P-LSI</t>
  </si>
  <si>
    <t>ITM Caja Moldeada 3x800A (electrónico [0.4-1.0] In) - T7L800-800A-3P-PR232/P-LSI - 120kA@415Vac - marca ABB.</t>
  </si>
  <si>
    <t>1SDA062675R1</t>
  </si>
  <si>
    <t>T7S1250-1250A-4P-PR231/P-LSIG</t>
  </si>
  <si>
    <t>ITM Caja Moldeada 4x1250A (electrónico [0.4-1.0] In) - T7S1250-1250A-4P-PR231/P-LSIG - 50kA@415Vac - marca ABB.</t>
  </si>
  <si>
    <t>1SDA062876R1</t>
  </si>
  <si>
    <t>RGH316036B21EC</t>
  </si>
  <si>
    <t>ITM de 3x1600A - RGH relé electrónico LSIG, 100% RATED, marca EATON.</t>
  </si>
  <si>
    <t>SPC050208Y2P</t>
  </si>
  <si>
    <t xml:space="preserve">Protector contra Sobretensión Transitoria, UL 1449 4ta Edición / UL 1283 6ta Edición, Trifásico, Estrella, 220/127V, 60 Hz, de 50 Ka por fase </t>
  </si>
  <si>
    <t>Tomacorriente industrial, 3P+T, 16A / 250V, Azul, empotrable, IP67 - (Ref: 1478) - marca MENNEKES.</t>
  </si>
  <si>
    <t>Enchufe industrial, 3P+T, 16A / 250V, Azul, IP67 - (Ref: 281) - marca MENNEKES.</t>
  </si>
  <si>
    <t>Tomacorriente industrial, 1P+N+T, 16A / 250V, Rojo, empotrable, IP67 (Ref: 219A) - marca MENNEKES.</t>
  </si>
  <si>
    <t>219A</t>
  </si>
  <si>
    <t>Enchufe industrial, 1P+N+T, 16A / 250V, Rojo, IP67 (Ref: 279) - marca MENNEKES.</t>
  </si>
  <si>
    <t>Tomacorriente industrial, 1P+N+T, 32A / 250V, Rojo, empotrable, IP67 (Ref: 1503) - marca MENNEKES.</t>
  </si>
  <si>
    <t>Enchufe industrial, 1P+N+T, 32A / 250V, Rojo, IP67 (Ref: 291) - marca MENNEKES.</t>
  </si>
  <si>
    <t>209A</t>
  </si>
  <si>
    <t>REACT_15kVAR/380V_p14</t>
  </si>
  <si>
    <t>Reactancia para filtro de rechazo de armónicas, para paso de 15kVAR / 380 Vac, 60Hz, p=14%, tipo RX, marca CIRCUTOR.</t>
  </si>
  <si>
    <t>COND_15kVAR/380V_p14</t>
  </si>
  <si>
    <t>Condensador trifásico, para paso de potencia efectiva de 15kVAR / 380V, 60 Hz, p=14%, tipo CLZ-FP-HD, marca CIRCUTOR.</t>
  </si>
  <si>
    <t>Condensador trifásico, para paso de potencia efectiva de 20kVAR / 380Vac, 60 Hz, p=14%, tipo CLZ-FP-HD, marca CIRCUTOR.</t>
  </si>
  <si>
    <t>REACT_30kVAR/380V_p14</t>
  </si>
  <si>
    <t>Reactancia para filtro de rechazo de armónicas, para paso de 30kVAR / 380Vac, 60Hz, p=14%, tipo RBX, marca CIRCUTOR.</t>
  </si>
  <si>
    <t>COND_30kVAR/380V_p14</t>
  </si>
  <si>
    <t>Condensador trifásico, para paso de potencia efectiva de 30kVAR / 380Vac, 60 Hz, p=14%, tipo CFB, marca CIRCUTOR.</t>
  </si>
  <si>
    <t>COND_40kVAR/380V_p7_CLZ</t>
  </si>
  <si>
    <t>COND_10kVAR/400V_p7_CLZ</t>
  </si>
  <si>
    <t>Condensador, Tubular, Trifásico, para paso de potencia efectiva de 10kVAR, 400 V, 60 Hz, p= 7 %, Tipo CLZ-FP-HD, marca CIRCUTOR.</t>
  </si>
  <si>
    <t>COND_20kVAR/400V_p7_CLZ</t>
  </si>
  <si>
    <t>3SU1801-0NA00-2AA2</t>
  </si>
  <si>
    <t>Pulsador rojo de hongo, de 40 mm, con retención.</t>
  </si>
  <si>
    <t>METSEPM5560</t>
  </si>
  <si>
    <t>METSEPM5340</t>
  </si>
  <si>
    <t>Multimetro basico DM6200, RS485-Modbus-marca Schneider</t>
  </si>
  <si>
    <t>ITM Caja Moldeada 3x175A - DRX3/100-175A-3P - 70kA@220-240 Vac, 25kA@380-415 Vac. - marca Legrand.</t>
  </si>
  <si>
    <t>DMX3/MP4(LSI)- 1600A 65kA (4P)</t>
  </si>
  <si>
    <t>ITM Bastidor Abierto de 4x1600A, electronico MP4(LSI) (Reg. 640-1600A ) DMX3 1600, 65kA@400 Vac.- marca Legrand</t>
  </si>
  <si>
    <t>ATS_BASICO</t>
  </si>
  <si>
    <t>Básica para 2 Interruptores - 12-48Vdc</t>
  </si>
  <si>
    <t>422680</t>
  </si>
  <si>
    <t>146711</t>
  </si>
  <si>
    <t>Transformador monofásico 100-240Vac entrada , 12 Vcc salida para 422680</t>
  </si>
  <si>
    <t>028864</t>
  </si>
  <si>
    <t>Mecanismo de bloqueo en DMX3 talla 1.</t>
  </si>
  <si>
    <t>028920</t>
  </si>
  <si>
    <t>Cable  de interbloqueo para  DMX3 talla 1 (2600 mm)</t>
  </si>
  <si>
    <t>PLANO</t>
  </si>
  <si>
    <t>OVRHT3C504803D</t>
  </si>
  <si>
    <t>Supresor contra sobretensiones (Tipo 1, UL 1449) - OVRHT3C504803D - I_max=50kA por fase, Un=480V,  MCOV=640V (L-G), VPR=2.5kV (L-G) - marca ABB.</t>
  </si>
  <si>
    <t>2CJC605480D0000</t>
  </si>
  <si>
    <t>OVRHT3B501202S</t>
  </si>
  <si>
    <t>Supresor contra sobretensiones (Tipo 1, UL 1449) - OVRHT3B501202S - I_max=50kA por fase, Un=120/240V,  MCOV=150V (L-N), VPR=0.7kV (L-N) - marca ABB.</t>
  </si>
  <si>
    <t>2CJC405120S0000</t>
  </si>
  <si>
    <t>Cáncamos para elevación y maniobra.</t>
  </si>
  <si>
    <t>Placa de identificación.</t>
  </si>
  <si>
    <t>Gabinete de 2100 x 800 x 600 mm</t>
  </si>
  <si>
    <t>Transformador de tensión monofásico 480 / 240 Vac.</t>
  </si>
  <si>
    <t>TAL-ELG-ELE-SLD-1100-02</t>
  </si>
  <si>
    <t>--------------------------------------------------------------------------</t>
  </si>
  <si>
    <t>Transferencia manual compuesta por:</t>
  </si>
  <si>
    <t>Juego de bornes de fuerza para conexión al transfomador de aislamiento.</t>
  </si>
  <si>
    <t>Interruptor entrada al transformador:</t>
  </si>
  <si>
    <t>Juego de bornes de fuerza para conexión al UPS.</t>
  </si>
  <si>
    <t>Salida del UPS:</t>
  </si>
  <si>
    <t>TAL-ELG-ELE-SLD-2100-01</t>
  </si>
  <si>
    <t>TAL-ELG-ELE-SLD-2100-02</t>
  </si>
  <si>
    <t>TAL-ELG-ELE-SLD-2100-03</t>
  </si>
  <si>
    <t>Supresor contra sobretensiones (Tipo 1, UL 1449) - OVRHSP1602203Y - I_max=160kA por fase, Un=220/380V,  MCOV=320V (L-N), VPR=1.0kV (L-N) - marca ABB.</t>
  </si>
  <si>
    <t>TAL-ELG-ELE-SLD-3100-01</t>
  </si>
  <si>
    <t>TAL-ELG-ELE-SLD-3100-02</t>
  </si>
  <si>
    <t>TAL-ELG-ELE-SLD-3100-03</t>
  </si>
  <si>
    <t>COND_7.5kVAR/220V_p7</t>
  </si>
  <si>
    <t>Condensador trifásico, para paso de potencia efectiva de 7.5kVAR / 220V, 60 Hz, p=7%, tipo CLZ-FP-HD, marca CIRCUTOR.</t>
  </si>
  <si>
    <t>CMC_15kVAR/220V</t>
  </si>
  <si>
    <t>Contactor para maniobra de condensadores - 15kVAR / 220V - Modelo CMC - bobina 230Vac/60Hz. - marca CIRCUTOR.</t>
  </si>
  <si>
    <t>Gabinete de 2100 x 600 x 600 mm</t>
  </si>
  <si>
    <t xml:space="preserve">Gabinete de 35,5 x 20 x 6 "  </t>
  </si>
  <si>
    <t xml:space="preserve">Gabinete de 29,5 x 20 x 6 "  </t>
  </si>
  <si>
    <t>Panel de Control Local-Remoto para Mando Motor + Contactos auxiliares (p/ modelo XT2-32A):</t>
  </si>
  <si>
    <t>TRAFO_2F_480-120V_50VA</t>
  </si>
  <si>
    <t>Transformador de tensión monofásico 480 / 120 Vac - 50VA.</t>
  </si>
  <si>
    <t>TRAFO_2F_480-120V_20VA</t>
  </si>
  <si>
    <t>Transformador de tensión monofásico 480 / 120 Vac - 20VA.</t>
  </si>
  <si>
    <t>Enclavamiento mecánico para contactores AF09..AF38, modelo VM4 - marca ABB.</t>
  </si>
  <si>
    <t>Enclavamiento mecánico para contactores AF40..AF96, modelo VM96-4 - marca ABB.</t>
  </si>
  <si>
    <t>DX3-6000/16A-1P-K</t>
  </si>
  <si>
    <t>ITM Riel-Din 1x16A - DX3-6000-K - 10kA@230V-IEC60947-2 - marca LEGRAND.</t>
  </si>
  <si>
    <t>DX3-6000/20A-1P-K</t>
  </si>
  <si>
    <t>ITM Riel-Din 1x20A - DX3-6000-K - 10kA@230V-IEC60947-2 - marca LEGRAND.</t>
  </si>
  <si>
    <t>DX3-6000/32A-1P-K</t>
  </si>
  <si>
    <t>ITM Riel-Din 1x32A - DX3-6000-K - 10kA@230V-IEC60947-2 - marca LEGRAND.</t>
  </si>
  <si>
    <t>DX3-6000/40A-1P-K</t>
  </si>
  <si>
    <t>ITM Riel-Din 1x40A - DX3-6000-K - 10kA@230V-IEC60947-2 - marca LEGRAND.</t>
  </si>
  <si>
    <t>DX3-6000/63A-1P-K</t>
  </si>
  <si>
    <t>ITM Riel-Din 1x63A - DX3-6000-K - 10kA@230V-IEC60947-2 - marca LEGRAND.</t>
  </si>
  <si>
    <t>DX3-6000/20A-2P-K</t>
  </si>
  <si>
    <t>ITM Riel-Din 2x20A - DX3-6000-K - 10kA@400V-IEC60947-2 - marca LEGRAND.</t>
  </si>
  <si>
    <t>DX3-6000/20A-3P-K</t>
  </si>
  <si>
    <t>ITM Riel-Din 3x20A - DX3-6000-K - 10kA@400V-IEC60947-2 - marca Legrand.</t>
  </si>
  <si>
    <t>DX3-6000/32A-3P-K</t>
  </si>
  <si>
    <t>ITM Riel-Din 3x32A - DX3-6000-K - 10kA@400V-IEC60947-2 - marca Legrand.</t>
  </si>
  <si>
    <t>DX3-6000/40A-3P-K</t>
  </si>
  <si>
    <t>ITM Riel-Din 3x40A - DX3-6000-K - 10kA@400V-IEC60947-2 - marca Legrand.</t>
  </si>
  <si>
    <t>DX3-6000/63A-3P-K</t>
  </si>
  <si>
    <t>ITM Riel-Din 3x63A - DX3-6000-K - 10kA@400V-IEC60947-2 - marca Legrand.</t>
  </si>
  <si>
    <t>CTX3-185A</t>
  </si>
  <si>
    <t>Contactor 3x185A(AC-3) 2NO+2NC - CTX3-150A - bobina 230Vac - marca Legrand.</t>
  </si>
  <si>
    <t>CTX3-225A</t>
  </si>
  <si>
    <t>Contactor 3x225A(AC-3) 2NO+2NC - CTX3-150A - bobina 230Vac - marca Legrand.</t>
  </si>
  <si>
    <t>CTX3-265A</t>
  </si>
  <si>
    <t>Contactor 3x265A(AC-3) 2NO+2NC - CTX3-150A - bobina 230Vac - marca Legrand.</t>
  </si>
  <si>
    <t>CTX3-330A</t>
  </si>
  <si>
    <t>Contactor 3x330A(AC-3) 2NO+2NC - CTX3-150A - bobina 230Vac - marca Legrand.</t>
  </si>
  <si>
    <t>Control de alumbrado 1 (exterior):</t>
  </si>
  <si>
    <t xml:space="preserve"> </t>
  </si>
  <si>
    <t>TAL-CLI-ELE-SLD-1100</t>
  </si>
  <si>
    <t>TAL-CLI-ELE-SLD-1101</t>
  </si>
  <si>
    <t>TAL-EMT-ELE-SLD-1110-02</t>
  </si>
  <si>
    <t>TAL-EMT-ELE-SLD-2100-01</t>
  </si>
  <si>
    <t>TAL-EMT-ELE-SLD-2100-02</t>
  </si>
  <si>
    <t>TAL-EMT-ELE-SLD-2100-04</t>
  </si>
  <si>
    <t>TABLERO  " THVAC-CLI-01 " : 380/220Vac , 3Ø+N+T, 60Hz.</t>
  </si>
  <si>
    <t>TABLERO  " TD-CLI-01 " : 380/220Vac , 3Ø+N+T, 60Hz.</t>
  </si>
  <si>
    <t>UVR-C_A1_A2_240V</t>
  </si>
  <si>
    <t>Bobina de minima tension UVR-C 220...240 VAC - 220...250 VDC - A1..A2 - marca ABB.</t>
  </si>
  <si>
    <t>1SDA066146R1</t>
  </si>
  <si>
    <t xml:space="preserve">Gabinete de 50,5 x 24 x 6 "  </t>
  </si>
  <si>
    <t xml:space="preserve">Gabinete de 56,5 x 20 x 8 "  </t>
  </si>
  <si>
    <t>TABLERO  " TUPS-CLI-01 " : 220/120Vac , 1Ø+T, 60Hz.</t>
  </si>
  <si>
    <t xml:space="preserve">Gabinete de 29,5 x 16,5 x 6 "  </t>
  </si>
  <si>
    <t>Panel de Control Local-Remoto para Mando Motor + Contactos auxiliares (p/ modelo XT2-125A):</t>
  </si>
  <si>
    <t>Panel de Control Local-Remoto para Mando Motor + Contactos auxiliares (p/ modelo XT2-25A):</t>
  </si>
  <si>
    <t xml:space="preserve">Gabinete de 35,5 x 20 x 8 "  </t>
  </si>
  <si>
    <t xml:space="preserve">Gabinete de 35,5 x 24 x 8 "  </t>
  </si>
  <si>
    <t>Juego de bornes para circuito del baño - Luminaria / Extractor</t>
  </si>
  <si>
    <t>Control de alumbrado 2 (interior):</t>
  </si>
  <si>
    <t>OVR T2 15-150 P U-1P</t>
  </si>
  <si>
    <t>Protector de sobretensiones (Tipo 2, UL 1449) - OVR-T2_1L_40-120_P-U 1P - Un=120V,  Up=0.6kV - I_descarga=40kA - marca ABB.</t>
  </si>
  <si>
    <t>2CTB802341R2000</t>
  </si>
  <si>
    <t xml:space="preserve">EMBALAJE </t>
  </si>
  <si>
    <t>EMBAL_AUTOS_2100x800x800mm</t>
  </si>
  <si>
    <t>EMBAL_AUTOS_2100x800x600mm</t>
  </si>
  <si>
    <t>EMBAL_AUTOS_2100x600x600mm</t>
  </si>
  <si>
    <t>EMBAL_ADOS_1600x600x220mm</t>
  </si>
  <si>
    <t>EMBAL_ADOS_1100x610x220mm</t>
  </si>
  <si>
    <t>EMBAL_ADOS_1000x600x220mm</t>
  </si>
  <si>
    <t>DPX3/1600-S1(LSI)- 800A 50kA (3P)</t>
  </si>
  <si>
    <t>ITM de 3x800A, electronico S2(LSI) ( Reg. 320-800A ) DPX3 1600, 100kA@220-240 Vac.- 50kA@380-415 Vac. - marca Legrand</t>
  </si>
  <si>
    <t>422312</t>
  </si>
  <si>
    <t>DPX3/1600-S1(LSI)- 1000A 50kA (3P)</t>
  </si>
  <si>
    <t>ITM de 3x1000A, electronico S2(LSI) ( Reg. 400-1000A ) DPX3 1600, 100kA@220-240 Vac.- 50kA@380-415 Vac. - marca Legrand</t>
  </si>
  <si>
    <t>422313</t>
  </si>
  <si>
    <t>DPX3/1600-S1(LSI)- 1250A 50kA (3P)</t>
  </si>
  <si>
    <t>ITM de 3x1250A, electronico S2(LSI) ( Reg. 500-1250A ) DPX3 1600, 100kA@220-240 Vac.- 50kA@380-415 Vac. - marca Legrand</t>
  </si>
  <si>
    <t>422314</t>
  </si>
  <si>
    <t>DPX3/1600-S1(LSI)- 1600A 50kA (3P)</t>
  </si>
  <si>
    <t>ITM de 3x1600A, electronico S2(LSI) ( Reg. 640-1600A ) DPX3 1600, 100kA@220-240 Vac.- 50kA@380-415 Vac. - marca Legrand</t>
  </si>
  <si>
    <t>422315</t>
  </si>
  <si>
    <t>Embalaje especial completamente cerrado para tablero autosoportado de 2100x800x800mm</t>
  </si>
  <si>
    <t>Embalaje especial completamente cerrado para tablero autosoportado de 2100x800x600mm</t>
  </si>
  <si>
    <t>Embalaje especial completamente cerrado para tablero autosoportado de 2100x600x600mm</t>
  </si>
  <si>
    <t>Embalaje especial completamente cerrado para tablero adosado de 1600x600x220mm</t>
  </si>
  <si>
    <t>Embalaje especial completamente cerrado para tablero adosado de 1100x610x220mm</t>
  </si>
  <si>
    <t>Embalaje especial completamente cerrado para tablero adosado de 1000x600x220mm</t>
  </si>
  <si>
    <t>Embalaje de tablero adosado para almacenamiento al exterior.</t>
  </si>
  <si>
    <t>Embalaje de tablero autosoportado para almacenamiento al exterior.</t>
  </si>
  <si>
    <t>TAL-EMT-ELE-SLD-3100-01</t>
  </si>
  <si>
    <t>Panel de Control Local-Remoto para Mando Motor (p/ modelo T5H-400A):</t>
  </si>
  <si>
    <t>Gabinete de 32.5 x24 x 6"</t>
  </si>
  <si>
    <t>TAL-EMT-ELE-SLD-3100-02</t>
  </si>
  <si>
    <t>Gabinete de 30 x24 x 6"</t>
  </si>
  <si>
    <t>TAL-EMT-ELE-SLD-3100-3</t>
  </si>
  <si>
    <t>TAL-EMT-ELE-SLD-3100-4</t>
  </si>
  <si>
    <t>Panel de tomacorrientes industriales N°1 : 240Vac, 3Ø+T, 60Hz.</t>
  </si>
  <si>
    <t>Panel de 12 polos.</t>
  </si>
  <si>
    <t>Panel de tomacorrientes industriales N°2 : 240Vac, 3Ø+T, 60Hz.</t>
  </si>
  <si>
    <t>Panel de tomacorrientes industriales N°3 : 240Vac, 3Ø+T, 60Hz.</t>
  </si>
  <si>
    <t>TAL-EMT-ELE-SLD-3100-05</t>
  </si>
  <si>
    <t>Gabinete de 31 x24 x 6"</t>
  </si>
  <si>
    <t>Plano</t>
  </si>
  <si>
    <t>TAL-EMT-ELE-SLD-3100-06</t>
  </si>
  <si>
    <t>Transferencia manual monofásica compuesta por :</t>
  </si>
  <si>
    <t>Enclavamiento mecánico que permita la conexión de un solo suministro.</t>
  </si>
  <si>
    <t xml:space="preserve">Gabinete de 33 x 24 x 6 "  </t>
  </si>
  <si>
    <t>TAL-ELG-ELE-SLD-5100-01</t>
  </si>
  <si>
    <t>Gabinete de 32 x24 x 6"</t>
  </si>
  <si>
    <t>Gabinete de 29 x24 x 6"</t>
  </si>
  <si>
    <t>TAL-ELG-ELE-SLD-5100-04</t>
  </si>
  <si>
    <t xml:space="preserve">Gabinete de 40 x 24 x 6 "  </t>
  </si>
  <si>
    <t>XT1b160-25A-3P-TMD</t>
  </si>
  <si>
    <t>TABLERO  "LASP-SO4-04 " : 480Vac , 3Ø+T, 60Hz.</t>
  </si>
  <si>
    <t>Bobina de mínima tensión (YU) - XT1..XT4 - UVR versión no cableada - 480V AC/DC - marca ABB.</t>
  </si>
  <si>
    <t>RES-TRI_mold</t>
  </si>
  <si>
    <t>Gabinete de 22 x20 x 6"</t>
  </si>
  <si>
    <t>Gabinete de 50 x24 x 6"</t>
  </si>
  <si>
    <t>TAL-NEC-ELE-SLD-1100-03</t>
  </si>
  <si>
    <t xml:space="preserve">Gabinete de 35 x 24 x 6 "  </t>
  </si>
  <si>
    <t>TAL-NEC-ELE-SLD-1100-04</t>
  </si>
  <si>
    <t xml:space="preserve">Gabinete de 41,5 x 24 x 6 "  </t>
  </si>
  <si>
    <t>(en blanco)</t>
  </si>
  <si>
    <r>
      <t>NOTAS</t>
    </r>
    <r>
      <rPr>
        <b/>
        <sz val="10"/>
        <rFont val="Arial"/>
        <family val="2"/>
      </rPr>
      <t xml:space="preserve"> :</t>
    </r>
  </si>
  <si>
    <t>El presupuesto se ha realizado en base a los diagramas unifilares del proyecto.</t>
  </si>
  <si>
    <t xml:space="preserve">el espesor de las planchas metálicas LAF será de 2.00 mm. fabricación  nacional. </t>
  </si>
  <si>
    <t>uso  interior, fabricación nacional.  El espesor de la planchas metálicas se está considerando de 1.6 mm.</t>
  </si>
  <si>
    <t xml:space="preserve">En nuestra ejecución empleamos plancha metálica. Como parte de nuestro proceso de  pintura  se le da una limpieza </t>
  </si>
  <si>
    <t>MATERIAL SUELTO PARA LOS TABLEROS "LNLP-S07-08" Y "LELP-S07-08"</t>
  </si>
  <si>
    <t>MATERIAL SUELTO PARA EL TABLERO "LNLP-S04-02"</t>
  </si>
  <si>
    <t>La Barra a Tierra ha sido dimensionada con el 50% de la capacidad de la Barra Principal.</t>
  </si>
  <si>
    <t xml:space="preserve"> La Barra Neutro ha sido dimensionada con la misma capacidad de las Barras Principales.</t>
  </si>
  <si>
    <t>La capacidad de las barras principales de los tableros han sido dimensionadas con el 25% por encima de la capacidad del interruptor principal.</t>
  </si>
  <si>
    <t>MATERIAL SULETO PARA EL TABLERO  "TD-CLI-01"</t>
  </si>
  <si>
    <t>MATERIAL SUELTO PARA LOS TABLEROS "LNLP-S07-09" Y "LELP-S07-09"</t>
  </si>
  <si>
    <t>TAL-NEC-ELE-SLD-1100-01</t>
  </si>
  <si>
    <t xml:space="preserve">Gabinete de 48 x 24 x 8 "  </t>
  </si>
  <si>
    <t xml:space="preserve">MATERIAL SUELTO PARA EL TABLERO  "LNLP-S07-01" </t>
  </si>
  <si>
    <t xml:space="preserve">Gabinete de 50 x 24 x 8 "  </t>
  </si>
  <si>
    <t>Gabinete de 54 x24 x 6"</t>
  </si>
  <si>
    <t>Gabinete de 59 x24 x 6"</t>
  </si>
  <si>
    <t>Gabinete de 55 x24 x 6"</t>
  </si>
  <si>
    <t xml:space="preserve">Gabinete de 52 x 24 x 8 "  </t>
  </si>
  <si>
    <t xml:space="preserve">Gabinete de 40,5 x 24 x 8 "  </t>
  </si>
  <si>
    <t>BTA-Td</t>
  </si>
  <si>
    <t xml:space="preserve">Gabinete de 37,5 x 24 x 6 "  </t>
  </si>
  <si>
    <t>XT2N160-40A-3P-TMa</t>
  </si>
  <si>
    <t xml:space="preserve">MATERIAL SUELTO PARA EL TABLERO "LNLP-S07-04" </t>
  </si>
  <si>
    <t xml:space="preserve">Gabinete de 45 x 24 x 8 "  </t>
  </si>
  <si>
    <t xml:space="preserve">Gabinete de 39 x 24 x 6 "  </t>
  </si>
  <si>
    <t>Gabinete de 45 x24 x 6"</t>
  </si>
  <si>
    <t>TAL-ELG-ELE-SLD-5100-03</t>
  </si>
  <si>
    <t xml:space="preserve">MATERIAL SUELTO PARA EL TABLERO "LELP-S07-10" </t>
  </si>
  <si>
    <t>Relé para Protección Diferencial de itm 3x63A:</t>
  </si>
  <si>
    <t>XT2N160-40A-3P-Tma</t>
  </si>
  <si>
    <t>XT1b160-125A-3P-TMD</t>
  </si>
  <si>
    <t>XT1b160-80A-3P-TMD</t>
  </si>
  <si>
    <t>MATERIAL SUELTO PARA LOS TABLERO "LNLP-S04-01" "LELP-S04-01"</t>
  </si>
  <si>
    <t xml:space="preserve">Gabinete de 34 x 24 x 6 "  </t>
  </si>
  <si>
    <t>Sub panel de alumbrado:</t>
  </si>
  <si>
    <t>Sub panel de tomacorrientes:</t>
  </si>
  <si>
    <t xml:space="preserve">los tableros de alumbrado y tomacorrientes  se le esta considerando diferenciales de clase "A" inmunizados  que son una gama menor  </t>
  </si>
  <si>
    <t>amperaje con las llegada del mismo subtablero, por tal motivo se cotizara los de mayor amperaje.</t>
  </si>
  <si>
    <t>XT1b160-100A-3P-TMD</t>
  </si>
  <si>
    <t xml:space="preserve">MANDIL </t>
  </si>
  <si>
    <t>Mandil abisagrado</t>
  </si>
  <si>
    <t>IP-42</t>
  </si>
  <si>
    <t xml:space="preserve">Se están considerando a los tableros del tipo AUTOSOPORTADO con grado de encerramiento IP-42, uso interior,   </t>
  </si>
  <si>
    <t>Gabinete de 2100x700x700mm</t>
  </si>
  <si>
    <t>espesor de la plancha</t>
  </si>
  <si>
    <t>ROT_TAG-Ta</t>
  </si>
  <si>
    <t>Contactos auxiliares</t>
  </si>
  <si>
    <t>costeo pintura marina</t>
  </si>
  <si>
    <t>Gabinete de 29,5 x 24 x 6 ", adosado, NEMA 12 fabricación nacional.</t>
  </si>
  <si>
    <t>En caso de existir discrepancias entre las hojas técnicas y los planos del Proyecto,</t>
  </si>
  <si>
    <r>
      <t xml:space="preserve">Se  considera de color RAL 7040,  en todos los tableros </t>
    </r>
    <r>
      <rPr>
        <b/>
        <sz val="10"/>
        <color rgb="FFFF0000"/>
        <rFont val="Arial"/>
        <family val="2"/>
      </rPr>
      <t>(según especificación técnica ítem 6.2)</t>
    </r>
    <r>
      <rPr>
        <b/>
        <sz val="10"/>
        <rFont val="Arial"/>
        <family val="2"/>
      </rPr>
      <t xml:space="preserve"> y el espesor de pintura aproximadamente es de 80 a 110 micrones. </t>
    </r>
  </si>
  <si>
    <t>Los pulsadores "LCLP-0X" se están considerando dentro de los tableros.</t>
  </si>
  <si>
    <t>Se esta considerando  los interruptores diferenciales súper inmunizado solo a tableros estabilizados.</t>
  </si>
  <si>
    <t>a la de los "APR Súper inmunizados " ya que no ameritan.</t>
  </si>
  <si>
    <t xml:space="preserve">Se observa que en algunos tableros eléctricos sus circuitos que derivan a subtableros no concuerdan en </t>
  </si>
  <si>
    <t xml:space="preserve">Todos los componentes metálicos internos utilizados para la fijación de equipos eléctricos serán con baño electrolítico </t>
  </si>
  <si>
    <t>En los gabinetes se esta considerando la pintura marina según como indica la especificación técnica.</t>
  </si>
  <si>
    <t>TABLERO  " LASP-SO7-01 " : 480Vac , 3Ø+T, 60Hz.</t>
  </si>
  <si>
    <t>TABLERO  " LEASP-SO7-01 " : 480Vac , 3Ø+T, 60Hz.</t>
  </si>
  <si>
    <t>TABLERO  " LNLP-SO7-01  " : 240Vac , 3Ø+T, 60Hz.</t>
  </si>
  <si>
    <t>TABLERO  " LELP-SO7-01  " : 240Vac , 3Ø+T, 60Hz.</t>
  </si>
  <si>
    <t>TABLERO  " LUPSP-0-SO7-01 " : 480/120Vac , 2Ø+T, 60Hz.</t>
  </si>
  <si>
    <t>TABLERO  " LASP-SO7-02" : 480Vac , 3Ø+T, 60Hz.</t>
  </si>
  <si>
    <t>TABLERO  " LEASP-SO7-02 " : 480Vac , 3Ø+T, 60Hz.</t>
  </si>
  <si>
    <t>TABLERO  " LNLP-SO7-07  " : 240Vac , 3Ø+T, 60Hz.</t>
  </si>
  <si>
    <t>TABLERO  " LELP-SO7-07  " : 240Vac , 3Ø+T, 60Hz.</t>
  </si>
  <si>
    <t>TABLERO  " LUPSP-0-SO7-06 " : 480/120Vac , 2Ø+T, 60Hz.</t>
  </si>
  <si>
    <t>TABLERO  " LASP-SO7-03 " : 480Vac , 3Ø+T, 60Hz.</t>
  </si>
  <si>
    <t>TABLERO  " LEASP-SO7-03 " : 480Vac , 3Ø+T, 60Hz.</t>
  </si>
  <si>
    <t>TABLERO  " LNPP-SO7-02" : 240Vac , 3Ø+T, 60Hz.</t>
  </si>
  <si>
    <t>TABLERO  " LEPP-SO7-02 " : 240Vac , 3Ø+T, 60Hz.</t>
  </si>
  <si>
    <t>TABLERO  " LNLP-SO7-08 " : 240Vac , 3Ø+T, 60Hz.</t>
  </si>
  <si>
    <t>TABLERO  " LNLP-SO7-09 " : 240Vac , 3Ø+T, 60Hz.</t>
  </si>
  <si>
    <t>TABLERO  " LNLP-SO7-10 " : 240Vac , 3Ø+T, 60Hz.</t>
  </si>
  <si>
    <t>TABLERO  " LNLP-SO7-11 " : 240Vac , 3Ø+T, 60Hz.</t>
  </si>
  <si>
    <t>TABLERO  " LELP-SO7-08 " : 240Vac , 3Ø+T, 60Hz.</t>
  </si>
  <si>
    <t>TABLERO  " LELP-SO7-09 " : 240Vac , 3Ø+T, 60Hz.</t>
  </si>
  <si>
    <t>TABLERO  " LUPSP-0-SO7-07 " : 480/120V , 2Ø+T, 60Hz.</t>
  </si>
  <si>
    <t>TABLERO  " LUPSP-0-SO7-08 " : 480/120V , 2Ø+T, 60Hz.</t>
  </si>
  <si>
    <t>TABLERO  " LASP-SO7-07 " : 480Vac , 3Ø+T, 60Hz.</t>
  </si>
  <si>
    <t>TABLERO  " LEASP-SO7-07 " : 480Vac , 3Ø+T, 60Hz.</t>
  </si>
  <si>
    <t>TABLERO  " LNLP-SO7-02 " : 240Vac , 3Ø+T, 60Hz.</t>
  </si>
  <si>
    <t>TABLERO  " LELP-SO7-02 " : 240Vac , 3Ø+T, 60Hz.</t>
  </si>
  <si>
    <t>TABLERO  " LUPSP-0-SO7-02 " : 480/120Vac , 2Ø+T, 60Hz.</t>
  </si>
  <si>
    <t>TABLERO  " LASP-SO7-06 " : 480Vac , 3Ø+T, 60Hz.</t>
  </si>
  <si>
    <t>TABLERO  " LEASP-SO7-06 " : 480Vac , 3Ø+T, 60Hz.</t>
  </si>
  <si>
    <t>TABLERO  " LNLP-SO7-04 " : 240Vac , 3Ø+T, 60Hz.</t>
  </si>
  <si>
    <t>TABLERO  " LELP-SO7-04 " : 240Vac , 3Ø+T, 60Hz.</t>
  </si>
  <si>
    <t>TABLERO  " LUPSP-0-SO7-04 " : 480/120Vac , 2Ø+T, 60Hz.</t>
  </si>
  <si>
    <t>TABLERO  " LASP-SO7-08 " : 480Vac , 3Ø+T, 60Hz.</t>
  </si>
  <si>
    <t>TABLERO  " LEASP-SO7-08 " : 480Vac , 3Ø+T, 60Hz.</t>
  </si>
  <si>
    <t>TABLERO  " LNPP-SO7-03" : 240Vac , 3Ø+T, 60Hz.</t>
  </si>
  <si>
    <t>TABLERO  " LEPP-SO7-03 " : 240Vac , 3Ø+T, 60Hz.</t>
  </si>
  <si>
    <t>TABLERO  " LNLP-SO7-12 " : 240Vac , 3Ø+T, 60Hz.</t>
  </si>
  <si>
    <t>TABLERO  " LELP-SO7-10 " : 240Vac , 3Ø+T, 60Hz.</t>
  </si>
  <si>
    <t>TABLERO  " LUPSP-0-SO7-09 " : 480/120Vac , 2Ø+T, 60Hz.</t>
  </si>
  <si>
    <t>TABLERO  " LPP-SO4-01 " : 240Vac , 3Ø+T, 60Hz.</t>
  </si>
  <si>
    <t>TABLERO  " LPP-SO4-02 " : 240Vac , 3Ø+T, 60Hz.</t>
  </si>
  <si>
    <t>TABLERO  " LNLP-SO4-01 : 240Vac , 3Ø+T, 60Hz.</t>
  </si>
  <si>
    <t>TABLERO  " LNLP-SO4-02 : 240Vac , 3Ø+T, 60Hz.</t>
  </si>
  <si>
    <t>TABLERO  " LAALP-SO4-01 " : 240Vac , 3Ø+T, 60Hz.</t>
  </si>
  <si>
    <t>TABLERO  " LELP-SO4-01 " : 240Vac , 3Ø+T, 60Hz.</t>
  </si>
  <si>
    <t>TABLERO  " LELP-SO4-02 " : 240Vac , 3Ø+T, 60Hz.</t>
  </si>
  <si>
    <t>TABLERO  " LUPSP-0-SO4-01 " : 240/208Vac , 3Ø+T, 60Hz.</t>
  </si>
  <si>
    <t>Panel de Control Local-Remoto para Mando Motor (p/ modelo XT2-160A):</t>
  </si>
  <si>
    <t>Panel de Control Local-Remoto para Mando Motor (p/ modelo XT2-40A):</t>
  </si>
  <si>
    <t>Panel de Control Local-Remoto para Mando Motor + Contactos auxiliares (p/ modelo XT2-160A):</t>
  </si>
  <si>
    <t>Panel de Control Local-Remoto para Mando Motor (p/ modelo XT2-80A):</t>
  </si>
  <si>
    <t>Panel de Control Local-Remoto para Mando Motor + Contactos auxiliares (p/ modelo XT2-40A):</t>
  </si>
  <si>
    <r>
      <t xml:space="preserve">Interruptor tipo </t>
    </r>
    <r>
      <rPr>
        <sz val="10"/>
        <color rgb="FF0000CC"/>
        <rFont val="Arial"/>
        <family val="2"/>
      </rPr>
      <t>Caja Moldeada</t>
    </r>
    <r>
      <rPr>
        <sz val="10"/>
        <color theme="1"/>
        <rFont val="Arial"/>
        <family val="2"/>
      </rPr>
      <t xml:space="preserve">, de ejecución </t>
    </r>
    <r>
      <rPr>
        <sz val="10"/>
        <color rgb="FF0000CC"/>
        <rFont val="Arial"/>
        <family val="2"/>
      </rPr>
      <t>fijo</t>
    </r>
    <r>
      <rPr>
        <sz val="10"/>
        <color theme="1"/>
        <rFont val="Arial"/>
        <family val="2"/>
      </rPr>
      <t xml:space="preserve">, modelo </t>
    </r>
    <r>
      <rPr>
        <sz val="10"/>
        <color rgb="FF0000CC"/>
        <rFont val="Arial"/>
        <family val="2"/>
      </rPr>
      <t>Tmax XT</t>
    </r>
    <r>
      <rPr>
        <sz val="10"/>
        <color theme="1"/>
        <rFont val="Arial"/>
        <family val="2"/>
      </rPr>
      <t>, marca ABB, con la siguiente</t>
    </r>
  </si>
  <si>
    <t xml:space="preserve">El Dispositivo de Conmutación Automática, modelo ATS022 (pantalla digital, con módulo de com. </t>
  </si>
  <si>
    <t>Modbus-RS485 para monitoreo, marca ABB), al detectar una falla en la línea principal, puede</t>
  </si>
  <si>
    <t>controlar la puesta en marcha de un generador y conmutar automáticamente de una red a otra</t>
  </si>
  <si>
    <t>transmitiendo órdenes a los interruptores automáticos. Cambia automáticamente al generador o</t>
  </si>
  <si>
    <t>transformador después de un retardo predefinido. Tiene las siguientes características:</t>
  </si>
  <si>
    <t>A) Supervisa la tensión de Red Principal y de Emergencia y registra cualquiera de las siguientes</t>
  </si>
  <si>
    <t xml:space="preserve">     anomalías:</t>
  </si>
  <si>
    <t>B) Controla todas las secuencias de conmutación aplicando los retardos temporales programables</t>
  </si>
  <si>
    <t xml:space="preserve">     siguientes:</t>
  </si>
  <si>
    <t>- Retardo de apertura del interruptor de suministro Emergencia, después de detección de la</t>
  </si>
  <si>
    <t>- Retardo de apagado del Grupo Electrógeno  después del cierre del interruptor de suministro</t>
  </si>
  <si>
    <t xml:space="preserve">  principal. Regulable: 0…59s, 1, 2,…30min.</t>
  </si>
  <si>
    <t>C) Con un display grafico frontal, a través del cual el usuario puede verificar la configuración y ver el</t>
  </si>
  <si>
    <t xml:space="preserve">     estado de la unidad y de los interruptores conectados.</t>
  </si>
  <si>
    <t>D) El display gráfico permite la visualización de la tensión y frecuencia de Suministro Principal y de</t>
  </si>
  <si>
    <t xml:space="preserve">     emergencia.</t>
  </si>
  <si>
    <t>Transferencia Automática mediante enclavamiento de interruptores, 100A/40A, 3 polos, 480Vac,</t>
  </si>
  <si>
    <t xml:space="preserve">MATERIAL SUELTO PARA EL TABLERO "LNLP-S07-07" </t>
  </si>
  <si>
    <t xml:space="preserve">MATERIAL SUELTO PARA EL TABLERO "LNLP-S07-02" </t>
  </si>
  <si>
    <t>tendrá preeminencia lo indicado en las hojas tecnicas.</t>
  </si>
  <si>
    <t xml:space="preserve">Se están considerando a los tableros de distribución del tipo ADOSADO con grado de encerramiento IP-42, con mandil abisagrado, </t>
  </si>
  <si>
    <t>En el tablero "LNLP-SO7-10"  en el ckto c15  se esta considerando un subpanel con salidas riel din para los paneles de toma corrientes que se estan considerando en un .</t>
  </si>
  <si>
    <t>gabinete independiente.</t>
  </si>
  <si>
    <t>Se observa que en los diagramas unifilares que la tensión es 480V y la capacidad de ruptura 25Ka. se esta considerando  todos los itm derivados  trifásicos regulables</t>
  </si>
  <si>
    <t xml:space="preserve">  con salidas monofasicas para poder cumplir con lo indicado ya que los derivados monofásicos que indica en los diagramas no cumplen con la capacidad de ruptura indicada.</t>
  </si>
  <si>
    <t>La conexión del panel principal a los sub paneles será por medio de cables de fuerza.</t>
  </si>
  <si>
    <t>En los tableros de alumbrados y tomacorrientes se considera el panel principal y los sub paneles con barras de cobres.</t>
  </si>
  <si>
    <t>En los tableros de alumbrados y tomacorrientes se esta considerando los itm que alimentaran a los paneles de alumbrados y tomas riel din.</t>
  </si>
  <si>
    <t>tropicalizado según como indica la especificación técnica ítem 6.2</t>
  </si>
  <si>
    <t>ISOLTESTER-DIG-RZ</t>
  </si>
  <si>
    <t>Medical insulation monitoring devices DIG-RZ - marca ABB.</t>
  </si>
  <si>
    <t>2CSM244000R1501</t>
  </si>
  <si>
    <t>ISOLTESTER-DIG-PLUS</t>
  </si>
  <si>
    <t>Medical insulation monitoring devices DIG-PLUS - marca ABB.</t>
  </si>
  <si>
    <t>2CSM341000R1501</t>
  </si>
  <si>
    <t>SELVTESTER-24</t>
  </si>
  <si>
    <t>Medical insulation monitoring device for scialitic lamps - marca ABB.</t>
  </si>
  <si>
    <t>2CSM211000R1511</t>
  </si>
  <si>
    <t>QSD-DIG 230/24</t>
  </si>
  <si>
    <t>Remote signalling panel - marca ABB.</t>
  </si>
  <si>
    <t>2CSM273063R1521</t>
  </si>
  <si>
    <t>TI 3 kVA</t>
  </si>
  <si>
    <t>Insulating transformer 3 kVA - modelo TI 3 - marca ABB.</t>
  </si>
  <si>
    <t>2CSM110000R1541</t>
  </si>
  <si>
    <t>TI 5 kVA</t>
  </si>
  <si>
    <t>Insulating transformer 5 kVA - modelo TI 5 - marca ABB.</t>
  </si>
  <si>
    <t>2CSM120000R1541</t>
  </si>
  <si>
    <t>TI 7.5 kVA</t>
  </si>
  <si>
    <t>Insulating transformer 7.5 kVA - modelo TI 7.5 - marca ABB.</t>
  </si>
  <si>
    <t>2CSM130000R1541</t>
  </si>
  <si>
    <t>TI 10 kVA</t>
  </si>
  <si>
    <t>Insulating transformer 10 kVA - modelo TI 10 - marca ABB.</t>
  </si>
  <si>
    <t>2CSM140000R1541</t>
  </si>
  <si>
    <t>TI 3-S kVA</t>
  </si>
  <si>
    <t>Insulating transformer 3 kVA - modelo TI 3-S - marca ABB.</t>
  </si>
  <si>
    <t>2CSM210000R1541</t>
  </si>
  <si>
    <t>TI 5-S kVA</t>
  </si>
  <si>
    <t>Insulating transformer 5 kVA - modelo TI 5-S - marca ABB.</t>
  </si>
  <si>
    <t>2CSM220000R1541</t>
  </si>
  <si>
    <t>TI 7.5-S kVA</t>
  </si>
  <si>
    <t>Insulating transformer 7.5 kVA - modelo TI 7.5-S - marca ABB.</t>
  </si>
  <si>
    <t>2CSM230000R1541</t>
  </si>
  <si>
    <t>TI 10-S kVA</t>
  </si>
  <si>
    <t>Insulating transformer 10 kVA - modelo TI 10-S - marca ABB.</t>
  </si>
  <si>
    <t>2CSM240000R1541</t>
  </si>
  <si>
    <t>AMM</t>
  </si>
  <si>
    <t>Anti-jamming dampers for transformers - marca ABB.</t>
  </si>
  <si>
    <t>2CSM900000R1541</t>
  </si>
  <si>
    <t>TM-S1000/12-24P</t>
  </si>
  <si>
    <t>TM-S 1000/12-24 P. 230-400V S.24V control and safety transformer - marca ABB.</t>
  </si>
  <si>
    <t>2CSM260093R0801</t>
  </si>
  <si>
    <t>CT3/60</t>
  </si>
  <si>
    <t>CT3 60/5 A current transformer - marca ABB.</t>
  </si>
  <si>
    <t>2CSG121080R1101</t>
  </si>
  <si>
    <t>CT3/40</t>
  </si>
  <si>
    <t>CT3 40/5 A current transformer - marca ABB.</t>
  </si>
  <si>
    <t>2CSG121060R1101</t>
  </si>
  <si>
    <t>A44 352 - 100</t>
  </si>
  <si>
    <t>Medidor trifasico conexion indirecta, Categoría Plata (energía act./react.), clase C, comunicacion RS-485 Modbus, pulse output , tipo A44 352 - 100, marca ABB.</t>
  </si>
  <si>
    <t>2CMA170537R1000</t>
  </si>
  <si>
    <t>ITM Caja Moldeada 4x63A (reg.[0.7-1.0] In) - XT1N160-63A-4P-TMD - 65kA@230Vac, 36kA@415Vac - marca ABB.</t>
  </si>
  <si>
    <t>T7H1000-1000A-4P-PR232/P-LSI</t>
  </si>
  <si>
    <t>ITM Caja Moldeada 4x1000A (electrónico [0.4-1.0] In) - T7H1000-1000A-4P-PR232/P-LSI - 70kA@415Vac - marca ABB.</t>
  </si>
  <si>
    <t>E1.2B-630A-3P-Ekip Dip LSIG</t>
  </si>
  <si>
    <t>ITM Bastidor Abierto 3x630A (electrónico [0.4-1.0] In) - E1.2B-630A-3P-Ekip Dip LSIG - 42kA@440Vac - marca ABB.</t>
  </si>
  <si>
    <t>E1.2C-630A-4P-Ekip Touch LSIG</t>
  </si>
  <si>
    <t>1SDA071346R1</t>
  </si>
  <si>
    <t>E4.2N 3200 SECCIONADOR 4p MS</t>
  </si>
  <si>
    <t>Seccionador Bastidor Abierto 4x3200A - E4.2N-3200A-4P - 66kA@440Vac - marca ABB.</t>
  </si>
  <si>
    <t>1SDA073457R1</t>
  </si>
  <si>
    <t>AF205-40-11-13_4p</t>
  </si>
  <si>
    <t>Contactor 4x205A(AC-3) / 4x350A(AC-1) - AF205-40-11-13 - bobina 100-250Vac/dc - marca ABB.</t>
  </si>
  <si>
    <t>1SFL527102R1311</t>
  </si>
  <si>
    <t>EK550-40-11_4p</t>
  </si>
  <si>
    <t>Contactor 4x550A(AC-3) / 4x800A(AC-1) - EK550-40-11 - bobina 230V 50Hz / 240V 60Hz- marca ABB.</t>
  </si>
  <si>
    <t>SK827041-AL</t>
  </si>
  <si>
    <t>ESB24-20</t>
  </si>
  <si>
    <t>Contactor 2x9A(AC-3) / 2x24(AC-1) - ESB-24/20 - bobina 230V 50Hz / 240V 60Hz- marca ABB.</t>
  </si>
  <si>
    <t>GHE3291402R0006</t>
  </si>
  <si>
    <t xml:space="preserve">ARRANCADORES SUAVES </t>
  </si>
  <si>
    <t>PSR3-600-70</t>
  </si>
  <si>
    <t>PSR3-600-70 Arrancador Electronico - 1.0HP@230Vac / 2.0HP@460V - In_max=3.9A - marca ABB.</t>
  </si>
  <si>
    <t>1SFA896103R7000</t>
  </si>
  <si>
    <t>PSR6-600-70</t>
  </si>
  <si>
    <t>PSR6-600-70 Arrancador Electronico - 2.0HP@230Vac / 4.0HP@460V - In_max=6.8A - marca ABB.</t>
  </si>
  <si>
    <t>1SFA896104R7000</t>
  </si>
  <si>
    <t>PSR9-600-70</t>
  </si>
  <si>
    <t>PSR9-600-70 Arrancador Electronico - 3.0HP@230Vac / 6.0HP@460V - In_max=9.0A - marca ABB.</t>
  </si>
  <si>
    <t>1SFA896105R7000</t>
  </si>
  <si>
    <t>PSR12-600-70</t>
  </si>
  <si>
    <t>PSR12-600-70 Arrancador Electronico - 4.0HP@230Vac / 8.0HP@460V - In_max=12.0A - marca ABB.</t>
  </si>
  <si>
    <t>1SFA896106R7000</t>
  </si>
  <si>
    <t>PSR16-600-70</t>
  </si>
  <si>
    <t>PSR16-600-70 Arrancador Electronico - 5.0HP@230Vac / 10.0HP@460V - In_max=16.0A - marca ABB.</t>
  </si>
  <si>
    <t>1SFA896107R7000</t>
  </si>
  <si>
    <t>PSR25-600-70 Arrancador Electronico - 7.5HP@230Vac / 15.0HP@460V - In_max=25.0A - marca ABB.</t>
  </si>
  <si>
    <t>PSR30-600-70</t>
  </si>
  <si>
    <t>PSR30-600-70 Arrancador Electronico - 9.0HP@230Vac / 18.0HP@460V - In_max=30.0A - marca ABB.</t>
  </si>
  <si>
    <t>1SFA896109R7000</t>
  </si>
  <si>
    <t>PSR37-600-70</t>
  </si>
  <si>
    <t>PSR37-600-70 Arrancador Electronico - 10.0HP@230Vac / 20.0HP@460V - In_max=37.0A - marca ABB.</t>
  </si>
  <si>
    <t>1SFA896110R7000</t>
  </si>
  <si>
    <t>PSR45-600-70</t>
  </si>
  <si>
    <t>PSR45-600-70 Arrancador Electronico - 15.0HP@230Vac / 30.0HP@460V - In_max=45.0A - marca ABB.</t>
  </si>
  <si>
    <t>1SFA896111R7000</t>
  </si>
  <si>
    <t>PSR60-600-70 Arrancador Electronico - 20.0HP@230Vac / 40.0HP@460V - In_max=60.0A - marca ABB.</t>
  </si>
  <si>
    <t>PSR72-600-70</t>
  </si>
  <si>
    <t>PSR72-600-70 Arrancador Electronico - 25.0HP@230Vac / 50.0HP@460V - In_max=72.0A - marca ABB.</t>
  </si>
  <si>
    <t>1SFA896113R7000</t>
  </si>
  <si>
    <t>PSR85-600-70 Arrancador Electronico -  30.0HP@230Vac / 60.0HP@460V - In_max=85.0A - marca ABB.</t>
  </si>
  <si>
    <t>PSR105-600-70</t>
  </si>
  <si>
    <t>PSR105-600-70 Arrancador Electronico - 40.0HP@230Vac / 80.0HP@460V - In_max=105.0A - marca ABB.</t>
  </si>
  <si>
    <t>1SFA896115R7000</t>
  </si>
  <si>
    <t>PSR16-MS116</t>
  </si>
  <si>
    <t>Kit de conexión entre PSR3 - PSR16 con MS116 - marca ABB.</t>
  </si>
  <si>
    <t>1SFA896211R1001</t>
  </si>
  <si>
    <t>PSR30-MS132</t>
  </si>
  <si>
    <t>Kit de conexión entre PSR25 - PSR30 con MS132 - marca ABB.</t>
  </si>
  <si>
    <t>1SFA896212R1001</t>
  </si>
  <si>
    <t>PSR45-MS450</t>
  </si>
  <si>
    <t>Kit de conexión entre PSR37 - PSR45 con MS450 - marca ABB.</t>
  </si>
  <si>
    <t>1SFA896213R1001</t>
  </si>
  <si>
    <t>PSE18-600-70</t>
  </si>
  <si>
    <t>PSE18-600-70 Arrancador Electronico - 5.0HP@230Vac / 10.0HP@460V - In_max=18.0A - marca ABB.</t>
  </si>
  <si>
    <t>1SFA897101R7000</t>
  </si>
  <si>
    <t>PSE25-600-70</t>
  </si>
  <si>
    <t>PSE25-600-70 Arrancador Electronico - 7.5HP@230Vac / 15.0HP@460V - In_max=25.0A - marca ABB.</t>
  </si>
  <si>
    <t>1SFA897102R7000</t>
  </si>
  <si>
    <t>PSE30-600-70</t>
  </si>
  <si>
    <t>PSE37-600-70 Arrancador Electronico - 10.0HP@230Vac / 20.0HP@460V - In_max=30.0A - marca ABB.</t>
  </si>
  <si>
    <t>1SFA897103R7000</t>
  </si>
  <si>
    <t>PSE37-600-70</t>
  </si>
  <si>
    <t>PSE37-600-70 Arrancador Electronico - 12.0HP@230Vac / 24.0HP@460V - In_max=37.0A - marca ABB.</t>
  </si>
  <si>
    <t>1SFA897104R7000</t>
  </si>
  <si>
    <t>PSE45-600-70</t>
  </si>
  <si>
    <t>PSE45-600-70 Arrancador Electronico - 15.0HP@230Vac / 30.0HP@460V - In_max=45.0A - marca ABB.</t>
  </si>
  <si>
    <t>1SFA897105R7000</t>
  </si>
  <si>
    <t>PSE60-600-70</t>
  </si>
  <si>
    <t>PSE60-600-70 Arrancador Electronico - 20.0HP@230Vac / 40.0HP@460V - In_max=60.0A - marca ABB.</t>
  </si>
  <si>
    <t>1SFA897106R7000</t>
  </si>
  <si>
    <t>PSE72-600-70</t>
  </si>
  <si>
    <t>PSE72-600-70 Arrancador Electronico - 25.0HP@230Vac / 50.0HP@460V - In_max=72.0A - marca ABB.</t>
  </si>
  <si>
    <t>1SFA897107R7000</t>
  </si>
  <si>
    <t>PSE85-600-70</t>
  </si>
  <si>
    <t>PSE85-600-70 Arrancador Electronico - 30.0HP@230Vac / 60.0HP@460V - In_max=85.0A - marca ABB.</t>
  </si>
  <si>
    <t>1SFA897108R7000</t>
  </si>
  <si>
    <t>PSE105-600-70</t>
  </si>
  <si>
    <t>PSE105-600-70 Arrancador Electronico - 40.0HP@230Vac / 80.0HP@460V - In_max=105.0A - marca ABB.</t>
  </si>
  <si>
    <t>1SFA897109R7000</t>
  </si>
  <si>
    <t>PSE142-600-70</t>
  </si>
  <si>
    <t>PSE142-600-70 Arrancador Electronico - 50.0HP@230Vac / 100.0HP@460V - In_max=142.0A - marca ABB.</t>
  </si>
  <si>
    <t>1SFA897110R7000</t>
  </si>
  <si>
    <t>PSE170-600-70</t>
  </si>
  <si>
    <t>PSE170-600-70 Arrancador Electronico - 60.0HP@230Vac / 80.0HP@460V - In_max=170.0A - marca ABB.</t>
  </si>
  <si>
    <t>1SFA897111R7000</t>
  </si>
  <si>
    <t>PSE210-600-70</t>
  </si>
  <si>
    <t>PSE210-600-70 Arrancador Electronico - 75.0HP@230Vac / 80.0HP@460V - In_max=210.0A - marca ABB.</t>
  </si>
  <si>
    <t>1SFA897112R7000</t>
  </si>
  <si>
    <t>PSE250-600-70</t>
  </si>
  <si>
    <t>PSE250-600-70 Arrancador Electronico - 100.0HP@230Vac / 80.0HP@460V - In_max=250.0A - marca ABB.</t>
  </si>
  <si>
    <t>1SFA897113R7000</t>
  </si>
  <si>
    <t>PSE300-600-70</t>
  </si>
  <si>
    <t>PSE300-600-70 Arrancador Electronico - 120.0HP@230Vac / 80.0HP@460V - In_max=300.0A - marca ABB.</t>
  </si>
  <si>
    <t>1SFA897114R7000</t>
  </si>
  <si>
    <t>PSE370-600-70</t>
  </si>
  <si>
    <t>PSE370-600-70 Arrancador Electronico - 145.0HP@230Vac / 80.0HP@460V - In_max=370.0A - marca ABB.</t>
  </si>
  <si>
    <t>1SFA897115R7000</t>
  </si>
  <si>
    <t>PSEEK</t>
  </si>
  <si>
    <t>Panel HMI externo IP66 (con 3m de cable) - marca ABB.</t>
  </si>
  <si>
    <t>1SFA897100R1001</t>
  </si>
  <si>
    <t>HFD3225L</t>
  </si>
  <si>
    <t>ITM de 3x225A , HFD + terminales internos p/ conexión,  100kA@240Vac. - 65kA@480Vac. (UL), marca EATON.</t>
  </si>
  <si>
    <t>Contacto conmutado de estado NA/NC - p/modelo FD.</t>
  </si>
  <si>
    <t>4P</t>
  </si>
  <si>
    <t>DILMP80</t>
  </si>
  <si>
    <t xml:space="preserve">Contactor 80A (AC-1 ) / 50A (AC-3) bob. 220Vac. , marca EATON. </t>
  </si>
  <si>
    <t>DILMP63</t>
  </si>
  <si>
    <t xml:space="preserve">Contactor 63A (AC-1 ) / 40A (AC-3) bob. 220Vac. , marca EATON. </t>
  </si>
  <si>
    <t>?</t>
  </si>
  <si>
    <t>4825 0403</t>
  </si>
  <si>
    <t>Analizador de Redes DIRIS-A20 - Clase de precisión de Energía activa: 05S (según IEC 62053-22) - marca SOCOMEC.</t>
  </si>
  <si>
    <t>4825 0402</t>
  </si>
  <si>
    <t>DIRIS-A20/Com</t>
  </si>
  <si>
    <t>Módulo de comunicación RS 485 MODBUS, para Analizador de Red, DIRIS-A20, marca SOCOMEC.</t>
  </si>
  <si>
    <t>4825 0082</t>
  </si>
  <si>
    <t>Modulo de Memoria_CVM-B100</t>
  </si>
  <si>
    <t>Modulo de expansión de almacenamiento de datos para equipos CVM-B100, tipo M-CVM-B-DATALOGGER - marca Circuitor.</t>
  </si>
  <si>
    <t>D7PR2B24Vdc</t>
  </si>
  <si>
    <t>Rele auxiliar enchufable 24Vdc- marca EATON.</t>
  </si>
  <si>
    <t>ZB65-40</t>
  </si>
  <si>
    <t>Relé de sobrecarga, para contactores DILM 40…DILM 65 regulable (40.0 - 65.0)A. - marca EATON.</t>
  </si>
  <si>
    <t>SOP-FIJ. MURAL SZ</t>
  </si>
  <si>
    <t>Soporte para fijación mural, distancia a pared de 10mm (4 pzas.) - Ref.:2508.010 - marca RITTAL.</t>
  </si>
  <si>
    <t>2508.010</t>
  </si>
  <si>
    <t>NO HAY CODIGO</t>
  </si>
  <si>
    <t>Trafo_BENDER_DS0107/10000_10KVA</t>
  </si>
  <si>
    <t>Transformador de aislamiento trifásico, modelo DS0107/10000, 10KVA marca BENDER</t>
  </si>
  <si>
    <t>TRAFO_2F_460-120V_30VA_AUD</t>
  </si>
  <si>
    <t>Transformador de tensión de aislamiento monofásico 460 / 120 Vac - 30VA, marca AUDAX.</t>
  </si>
  <si>
    <t>TAM000300700100</t>
  </si>
  <si>
    <t>TRAFO_2F_460-220V_250VA_AUD</t>
  </si>
  <si>
    <t>Transformador de tensión de aislamiento monofásico 460 / 220 Vac - 250VA, marca AUDAX.</t>
  </si>
  <si>
    <t>TAM002500710100</t>
  </si>
  <si>
    <t>TRAFO_2F_220-12V_200VA_AUD</t>
  </si>
  <si>
    <t>Transformador de tensión de aislamiento monofásico 220 / 12 Vac - 200VA, marca AUDAX.</t>
  </si>
  <si>
    <t>TAM002000110100</t>
  </si>
  <si>
    <t>TRAFO_2F_480-240V_500VA_AUD</t>
  </si>
  <si>
    <t>Transformador de tensión monofásico 480 / 240 Vac - 500VA, marca AUDAX.</t>
  </si>
  <si>
    <t>TRAFO_2F_220-110V_4000VA_AUD</t>
  </si>
  <si>
    <t>Transformador de tensión de aislamiento monofásico 220 / 110 Vac - 4000VA, marca AUDAX.</t>
  </si>
  <si>
    <t>TAM040000240100</t>
  </si>
  <si>
    <t>TRAFO_2F_220-110V_2000VA_AUD</t>
  </si>
  <si>
    <t>Transformador de tensión de aislamiento monofásico 220 / 110 Vac - 2000VA, marca AUDAX.</t>
  </si>
  <si>
    <t>TAM020000240100</t>
  </si>
  <si>
    <t>TRAFO_2F_220-110V_1500VA_AUD</t>
  </si>
  <si>
    <t>Transformador de tensión de aislamiento monofásico 220 / 110 Vac - 1500VA, marca AUDAX.</t>
  </si>
  <si>
    <t>TAM015000240100</t>
  </si>
  <si>
    <t>TRAFO_2F_220-110V_1000VA_AUD</t>
  </si>
  <si>
    <t>Transformador de tensión de aislamiento monofásico 220 / 110 Vac - 1000VA, marca AUDAX.</t>
  </si>
  <si>
    <t>TAM010000240100</t>
  </si>
  <si>
    <t>Condensador trifásico, para paso de potencia efectiva de 10kVAR / 230Vac, 60 Hz, p=7%, tipo CLZ-FP-HD, marca CIRCUTOR.</t>
  </si>
  <si>
    <t>COND_7kVAR/380V_p14</t>
  </si>
  <si>
    <t>Condensador trifásico, para paso de potencia efectiva de 7kVAR / 380Vac, 60 Hz, p=14%,  tipo CLZ-FP-HD, marca CIRCUTOR.</t>
  </si>
  <si>
    <t>Condensador trifásico, para paso de potencia efectiva de 18kVAR / 380Vac, 60 Hz, p=14%,  tipo CLZ-FP-HD, marca CIRCUTOR.</t>
  </si>
  <si>
    <t>REACT_25kVAR/380V_p14</t>
  </si>
  <si>
    <t>Reactancia para filtro de rechazo de armónicas, para paso de 25kVAR / 380Vac, 60Hz, p=14%, tipo RBX, marca CIRCUTOR.</t>
  </si>
  <si>
    <t>REACT_15kVAR RX/380V_p7</t>
  </si>
  <si>
    <t>Reactancia para filtro de rechazo de armónicas, para paso de 15kVAR / 380Vac, 60Hz, p=7%, tipo RX, marca CIRCUTOR.</t>
  </si>
  <si>
    <t>COND_15kVAR CLZ-FP/380V_p7</t>
  </si>
  <si>
    <t>Condensador trifásico, para paso de potencia efectiva de 15kVAR / 380Vac, 60 Hz, p=7%, tipo CLZ-FB, marca CIRCUTOR.</t>
  </si>
  <si>
    <t>COND_20.95kVAR/380V_p7_CLZ</t>
  </si>
  <si>
    <t>COND_12,5kVAR/380V_p7_CLZ</t>
  </si>
  <si>
    <t>Condensador trifásico, para paso de potencia efectiva de 12.5kVAR / 380Vac, 60 Hz, p=7%, tipo CLZ-FP, marca CIRCUTOR.</t>
  </si>
  <si>
    <t>COND_15kVAR/400V_p7-CLZ</t>
  </si>
  <si>
    <t>COND_30kVAR/400V_p7_CLZ</t>
  </si>
  <si>
    <t>CMC_22kVAR/380V</t>
  </si>
  <si>
    <t>CBS-4C</t>
  </si>
  <si>
    <t>Central de diferenciales para medida y señalización con transformador externo Serie WG / WGC, sensibilidad: 0.03…3A, retardo: 0.02…10S, RS-485 Modbus/RTU, 3 Módulos, 4 Relés, modelo CBS-4C, marca CIRCUTOR.</t>
  </si>
  <si>
    <t>New</t>
  </si>
  <si>
    <t>DI60S</t>
  </si>
  <si>
    <t>UPS monofasico 6kVA, con transformador de aislamiento incorporado, 220Vac, modelo DI SERIES, marca ATLAS POWER.</t>
  </si>
  <si>
    <t>GPP-24U1000-IP55</t>
  </si>
  <si>
    <t>Centro de energia de con UPS monofasico 6kVA, con transformador de aislamiento separado (8kVA), 220Vac, modelo URT-6K-G2-UPM, marca PLUG &amp; POWER.</t>
  </si>
  <si>
    <t>3VA9157-0FK21</t>
  </si>
  <si>
    <t>Mandos rotativos prolongados con eje de 300 mm, P/modelo 3VA11 - marca SIEMENS</t>
  </si>
  <si>
    <t>3VA9257-0FK21</t>
  </si>
  <si>
    <t>Mandos rotativos prolongados con eje de 300 mm, P/modelo 3VA12 - marca SIEMENS</t>
  </si>
  <si>
    <t>3VA9467-0FK21</t>
  </si>
  <si>
    <t>Mandos rotativos prolongados con eje de 300 mm, P/modelo 3VA13, 3VA14, 3VA23, 3VA24 - marca SIEMENS</t>
  </si>
  <si>
    <t>3VA9687-0FK21</t>
  </si>
  <si>
    <t>Mandos rotativos prolongados con eje de 300 mm, P/modelo 3VA25 - marca SIEMENS</t>
  </si>
  <si>
    <t>ARRANCADORES  ELECTRONICOS SUAVES SIRIUS 3RW30</t>
  </si>
  <si>
    <t>3RW3013-1BB14</t>
  </si>
  <si>
    <t>Arrancador Electronico Suave SIRIUS 3RW30, Tamaño S00  - 0.75HP@220Vac / 2.0HP@440V - In_max=3.6A - marca SIEMENS.</t>
  </si>
  <si>
    <t>3RW3014-1BB14</t>
  </si>
  <si>
    <t>Arrancador Electronico Suave SIRIUS 3RW30, Tamaño S00  - 2.0HP@220Vac / 4.0HP@440V - In_max=6.5A - marca SIEMENS.</t>
  </si>
  <si>
    <t>3RW3016-1BB14</t>
  </si>
  <si>
    <t>Arrancador Electronico Suave SIRIUS 3RW30, Tamaño S00  - 3.0HP@220Vac / 6.0HP@440V - In_max=9.0A - marca SIEMENS.</t>
  </si>
  <si>
    <t>3RW3017-1BB14</t>
  </si>
  <si>
    <t>Arrancador Electronico Suave SIRIUS 3RW30, Tamaño S00  - 4.0HP@220Vac / 7.5HP@440V - In_max=12.5A - marca SIEMENS.</t>
  </si>
  <si>
    <t>3RW3018-1BB14</t>
  </si>
  <si>
    <t>Arrancador Electronico Suave SIRIUS 3RW30, Tamaño S00  - 6.0HP@220Vac / 12.5HP@440V - In_max=17.6A - marca SIEMENS.</t>
  </si>
  <si>
    <t>3RW3026-1BB14</t>
  </si>
  <si>
    <t>Arrancador Electronico Suave SIRIUS 3RW30, Tamaño S0  - 7.5HP@220Vac / 15.0HP@440V - In_max=25.0A - marca SIEMENS.</t>
  </si>
  <si>
    <t>3RW3027-1BB14</t>
  </si>
  <si>
    <t>Arrancador Electronico Suave SIRIUS 3RW30, Tamaño S0  - 10.0HP@220Vac / 25.0HP@440V - In_max=32.0A - marca SIEMENS.</t>
  </si>
  <si>
    <t>3RW3028-1BB14</t>
  </si>
  <si>
    <t>Arrancador Electronico Suave SIRIUS 3RW30, Tamaño S0  - 12.5HP@220Vac / 28.0HP@440V - In_max=38.0A - marca SIEMENS.</t>
  </si>
  <si>
    <t>3RW3036-1BB14</t>
  </si>
  <si>
    <t>Arrancador Electronico Suave SIRIUS 3RW30, Tamaño S2  - 15.0HP@220Vac / 30.0HP@440V - In_max=45.0A - marca SIEMENS.</t>
  </si>
  <si>
    <t>3RW3037-1BB14</t>
  </si>
  <si>
    <t>Arrancador Electronico Suave SIRIUS 3RW30, Tamaño S2  - 25.0HP@220Vac / 50.0HP@440V - In_max=63.0A - marca SIEMENS.</t>
  </si>
  <si>
    <t>3RW3038-1BB14</t>
  </si>
  <si>
    <t>Arrancador Electronico Suave SIRIUS 3RW30, Tamaño S2  - 28.0HP@220Vac / 58.0HP@440V - In_max=72.0A - marca SIEMENS.</t>
  </si>
  <si>
    <t>3RW3046-1BB14</t>
  </si>
  <si>
    <t>Arrancador Electronico Suave SIRIUS 3RW30, Tamaño S3  - 30.0HP@220Vac / 65.0HP@440V - In_max=80.0A - marca SIEMENS.</t>
  </si>
  <si>
    <t>3RW3047-1BB14</t>
  </si>
  <si>
    <t>Arrancador Electronico Suave SIRIUS 3RW30, Tamaño S3  - 40.0HP@220Vac / 75.0HP@440V - In_max=106.0A - marca SIEMENS.</t>
  </si>
  <si>
    <t>ARRANCADORES  ELECTRONICOS SUAVES SIRIUS 3RW40</t>
  </si>
  <si>
    <t>3RW4024-1BB14</t>
  </si>
  <si>
    <t>Arrancador Electronico Suave SIRIUS 3RW40, Tamaño S0  - 4.0HP@220Vac / 7.5HP@440V - In_max=12.5A - marca SIEMENS.</t>
  </si>
  <si>
    <t>3RW4026-1BB14</t>
  </si>
  <si>
    <t>Arrancador Electronico Suave SIRIUS 3RW40, Tamaño S0  - 7.5HP@220Vac / 15.0HP@440V - In_max=25.0A - marca SIEMENS.</t>
  </si>
  <si>
    <t>3RW4027-1BB14</t>
  </si>
  <si>
    <t>Arrancador Electronico Suave SIRIUS 3RW40, Tamaño S0  - 12.5HP@220Vac / 25.0HP@440V - In_max=32.0A - marca SIEMENS.</t>
  </si>
  <si>
    <t>3RW4028-1BB14</t>
  </si>
  <si>
    <t>Arrancador Electronico Suave SIRIUS 3RW40, Tamaño S0  - 15.0HP@220Vac / 30.0HP@440V - In_max=38.0A - marca SIEMENS.</t>
  </si>
  <si>
    <t>3RW4036-1BB14</t>
  </si>
  <si>
    <t>Arrancador Electronico Suave SIRIUS 3RW40, Tamaño S2  - 15.0HP@220Vac / 30.0HP@440V - In_max=45.0A - marca SIEMENS.</t>
  </si>
  <si>
    <t>3RW4037-1BB14</t>
  </si>
  <si>
    <t>Arrancador Electronico Suave SIRIUS 3RW40, Tamaño S2  - 25.0HP@220Vac / 50.0HP@440V - In_max=63.0A - marca SIEMENS.</t>
  </si>
  <si>
    <t>3RW4038-1BB14</t>
  </si>
  <si>
    <t>Arrancador Electronico Suave SIRIUS 3RW40, Tamaño S2  - 28.0HP@220Vac / 58.0HP@440V - In_max=72.0A - marca SIEMENS.</t>
  </si>
  <si>
    <t>3RW4046-1BB14</t>
  </si>
  <si>
    <t>Arrancador Electronico Suave SIRIUS 3RW40, Tamaño S3  - 30.0HP@220Vac / 60.0HP@440V - In_max=80.0A - marca SIEMENS.</t>
  </si>
  <si>
    <t>3RW4047-1BB14</t>
  </si>
  <si>
    <t>Arrancador Electronico Suave SIRIUS 3RW40, Tamaño S3  - 40.0HP@220Vac / 75.0HP@440V - In_max=106.0A - marca SIEMENS.</t>
  </si>
  <si>
    <t>3RW4055-6BB44</t>
  </si>
  <si>
    <t>Arrancador Electronico Suave SIRIUS 3RW40, Tamaño S6  - 50.0HP@220Vac / 100.0HP@440V - In_max=134.0A - marca SIEMENS.</t>
  </si>
  <si>
    <t>3RW4056-6BB44</t>
  </si>
  <si>
    <t>Arrancador Electronico Suave SIRIUS 3RW40, Tamaño S6  - 60.0HP@220Vac / 125.0HP@440V - In_max=162.0A - marca SIEMENS.</t>
  </si>
  <si>
    <t>3RW4073-6BB44</t>
  </si>
  <si>
    <t>Arrancador Electronico Suave SIRIUS 3RW40, Tamaño S12  - 75.0HP@220Vac / 175.0HP@440V - In_max=230.0A - marca SIEMENS.</t>
  </si>
  <si>
    <t>3RW4074-6BB44</t>
  </si>
  <si>
    <t>Arrancador Electronico Suave SIRIUS 3RW40, Tamaño S12  - 100.0HP@220Vac / 200.0HP@440V - In_max=280.0A - marca SIEMENS.</t>
  </si>
  <si>
    <t>3RW4075-6BB44</t>
  </si>
  <si>
    <t>Arrancador Electronico Suave SIRIUS 3RW40, Tamaño S12  - 150.0HP@220Vac / 300.0HP@440V - In_max=356.0A - marca SIEMENS.</t>
  </si>
  <si>
    <t>3RW4076-6BB44</t>
  </si>
  <si>
    <t>Arrancador Electronico Suave SIRIUS 3RW40, Tamaño S12  - 175.0HP@220Vac / 350.0HP@440V - In_max=432.0A - marca SIEMENS.</t>
  </si>
  <si>
    <t>CPU 1214C AC/DC/RLY</t>
  </si>
  <si>
    <t>CPU 1214C AC/DC/RLY, 14 DI/10 DO/2 AI, 0-10 VDC.Alimentación: AC 85 - 264 VAC BEI 47 -63 HZ, conexión Ethernet Industrial RJ45 - marca SIEMENS.</t>
  </si>
  <si>
    <t>6ES7214-1BG40-0XB0</t>
  </si>
  <si>
    <t>PANEL_BASICO</t>
  </si>
  <si>
    <t>SIMATIC KTP400 Basic, mando por teclas/táctil, pantalla TFT 4”, 65536 colores - marca SIEMENS.</t>
  </si>
  <si>
    <t>6AV2123-2DB03-0AX0</t>
  </si>
  <si>
    <t>MODULO_RS485</t>
  </si>
  <si>
    <t>CM 1241, módulo RS485, 9 POL. SUB D (macho), soporta freeport - marca SIEMENS.</t>
  </si>
  <si>
    <t>6ES7241-1CH32-0XB0</t>
  </si>
  <si>
    <t>A9Z64440</t>
  </si>
  <si>
    <t>A9Z64463</t>
  </si>
  <si>
    <t>A9Z65480</t>
  </si>
  <si>
    <t>NSYTRV702</t>
  </si>
  <si>
    <t>Bornera tipo tornillo universal de seccion 70 mm2 hasta 192A, marca SCHNEIDER.</t>
  </si>
  <si>
    <t>DPX3/160- 16A 50kA (3P)</t>
  </si>
  <si>
    <t>ITM de 3x16A, ( Reg. 12.8-16A ) DPX3 160, 65kA@220-240 Vac.- 50kA@380-415 Vac. - marca Legrand</t>
  </si>
  <si>
    <t>DPX3/160- 25A 50kA (3P)</t>
  </si>
  <si>
    <t>ITM de 3x25A, ( Reg. 20-25A ) DPX3 160, 65kA@220-240 Vac.- 50kA@380-415 Vac. - marca Legrand</t>
  </si>
  <si>
    <t>Port.lamp_230V_rojo</t>
  </si>
  <si>
    <t>Portalámpara de señalización con Led rojo 230Vac, marca Legrand.</t>
  </si>
  <si>
    <t>Port.lamp_230V_verde</t>
  </si>
  <si>
    <t>Portalámpara de señalización con Led verde 230Vac, marca Legrand.</t>
  </si>
  <si>
    <t>Port.lamp_230V_amarillo</t>
  </si>
  <si>
    <t>Portalámpara de señalización con Led amarillo 230Vac, marca Legrand.</t>
  </si>
  <si>
    <t>TABLEROS DE RESINA</t>
  </si>
  <si>
    <t>RES_256x225x98mm</t>
  </si>
  <si>
    <t>Tablero de resina para Empotrar, puerta REVERSIBLE BLANCA de 8 modulos, Dim.256x225x98mm - IP40, IK07, IEC 61439-3 - marca LEGRAND.</t>
  </si>
  <si>
    <t>134008</t>
  </si>
  <si>
    <t>RES_328x235x102mm</t>
  </si>
  <si>
    <t>Tablero de resina para Empotrar, puerta REVERSIBLE BLANCA de 12 modulos, Dim.328x235x102mm - IP40, IK07, IEC 61439-3 - marca LEGRAND.</t>
  </si>
  <si>
    <t>135001</t>
  </si>
  <si>
    <t>RES_328x385x103mm</t>
  </si>
  <si>
    <t>Tablero de resina para Empotrar, puerta REVERSIBLE BLANCA de 24 modulos, Dim.328x385x103mm - IP40, IK07, IEC 61439-3 - marca LEGRAND.</t>
  </si>
  <si>
    <t>135002</t>
  </si>
  <si>
    <t>RES_328x535x103mm</t>
  </si>
  <si>
    <t>Tablero de resina para Empotrar, puerta REVERSIBLE BLANCA de 36 modulos, Dim.328x535x103mm - IP40, IK07, IEC 61439-3 - marca LEGRAND.</t>
  </si>
  <si>
    <t>135003</t>
  </si>
  <si>
    <t>RES_328x723x103mm</t>
  </si>
  <si>
    <t>Tablero de resina para Empotrar, puerta REVERSIBLE BLANCA de 48 modulos, Dim.328x723x103mm - IP40, IK07, IEC 61439-3 - marca LEGRAND.</t>
  </si>
  <si>
    <t>135004</t>
  </si>
  <si>
    <t>Barras-7Salidas</t>
  </si>
  <si>
    <r>
      <t>Barra de 7 salidas de 16mm</t>
    </r>
    <r>
      <rPr>
        <vertAlign val="superscript"/>
        <sz val="10"/>
        <color rgb="FF7030A0"/>
        <rFont val="Arial"/>
        <family val="2"/>
      </rPr>
      <t xml:space="preserve">2 </t>
    </r>
    <r>
      <rPr>
        <sz val="10"/>
        <color rgb="FF7030A0"/>
        <rFont val="Arial"/>
        <family val="2"/>
      </rPr>
      <t>+ tornillo de fijacion.</t>
    </r>
  </si>
  <si>
    <t>989553</t>
  </si>
  <si>
    <t>Barras-12Salidas</t>
  </si>
  <si>
    <r>
      <t>Barra de 12 salidas de 16mm</t>
    </r>
    <r>
      <rPr>
        <vertAlign val="superscript"/>
        <sz val="10"/>
        <color rgb="FF7030A0"/>
        <rFont val="Arial"/>
        <family val="2"/>
      </rPr>
      <t xml:space="preserve">2 </t>
    </r>
    <r>
      <rPr>
        <sz val="10"/>
        <color rgb="FF7030A0"/>
        <rFont val="Arial"/>
        <family val="2"/>
      </rPr>
      <t>+ tornillo de fijacion.</t>
    </r>
  </si>
  <si>
    <t>989554</t>
  </si>
  <si>
    <t>CAF-1NA+1NC</t>
  </si>
  <si>
    <t>Contacto auxiliar frontal 1NA+1NC para CTX3 de 9A a 150A - marca LEGRAND.</t>
  </si>
  <si>
    <t>416850</t>
  </si>
  <si>
    <t>CAF-3NA+1NC</t>
  </si>
  <si>
    <t>Contacto auxiliar frontal 3NA+1NC para CTX3 de 9A a 150A - marca LEGRAND.</t>
  </si>
  <si>
    <t>416854</t>
  </si>
  <si>
    <t>CAF-2NA+2NC</t>
  </si>
  <si>
    <t>Contacto auxiliar frontal 2NA+2NC para CTX3 de 9A a 150A - marca LEGRAND.</t>
  </si>
  <si>
    <t>416855</t>
  </si>
  <si>
    <t>CAL-1NA+1NC</t>
  </si>
  <si>
    <t>Contacto auxiliar lateral 1NA+1NC para CTX3 de 9A a 150A - marca LEGRAND.</t>
  </si>
  <si>
    <t>416858</t>
  </si>
  <si>
    <t>CAL-1NA+1NC.185A+</t>
  </si>
  <si>
    <t>Contacto auxiliar lateral 1NA+1NC para CTX3 de 185A a 800A - marca LEGRAND.</t>
  </si>
  <si>
    <t>416859</t>
  </si>
  <si>
    <t>BLOQ-150A.CTX3</t>
  </si>
  <si>
    <t>Unidad de bloqueo mecánico para CTX3 22/40/65/100/150 - marca LEGRAND.</t>
  </si>
  <si>
    <t>BLOQ-400A.CTX3</t>
  </si>
  <si>
    <t>Unidad de bloqueo mecánico para CTX3 185A a 400A - marca LEGRAND.</t>
  </si>
  <si>
    <t>416887</t>
  </si>
  <si>
    <t>BLOQ-800A.CTX3</t>
  </si>
  <si>
    <t>Unidad de bloqueo mecánico para CTX3 500A a 800A - marca LEGRAND.</t>
  </si>
  <si>
    <t>416888</t>
  </si>
  <si>
    <t>Interruptor tipo Caja Moldeada, de ejecución fijo, modelo Tmax XT, marca ABB, con la siguiente</t>
  </si>
  <si>
    <t xml:space="preserve">Se  considera de color RAL 7040,  en todos los tableros (según especificación técnica ítem 6.2) y el espesor de pintura aproximadamente es de 80 a 110 micrones. </t>
  </si>
  <si>
    <t>PL-2019-0909</t>
  </si>
  <si>
    <t>JI</t>
  </si>
  <si>
    <t>sus caracteristicas.</t>
  </si>
  <si>
    <t xml:space="preserve">Los tableros que que lleven medidores multifuncion se esta considerando los medidores en la marca circutor DIRIS-A30 en las hojas tecnicas se detalla </t>
  </si>
  <si>
    <t>ITM Caja Moldeada 2x20A - marca ABB.</t>
  </si>
  <si>
    <t>ITM Caja Moldeada 2x40A - marca ABB.</t>
  </si>
  <si>
    <t>ITM Caja Moldeada 2x32A - marca ABB.</t>
  </si>
  <si>
    <t xml:space="preserve">Se están considerando a los tableros del tipo AUTOSOPORTADO con grado de encerramiento IP-54, uso interior,   </t>
  </si>
  <si>
    <t xml:space="preserve">Se están considerando a los tableros de distribución del tipo ADOSADO con grado de encerramiento IP-54, con mandil abisagrado, </t>
  </si>
  <si>
    <t>uso  interior, fabricación nacional.  El espesor de la planchas metálicas se está considerando de 1/16" (1.58 mm).</t>
  </si>
  <si>
    <t>espesor del gabinete 1.98mm</t>
  </si>
  <si>
    <t>TAL-EMT-ELE-SLD-1110-03</t>
  </si>
  <si>
    <t>TAL-EMT-ELE-SLD-2100-03</t>
  </si>
  <si>
    <t xml:space="preserve"> SSHH (interconexión Luminaria / Extractor) para todos los circuitos de alumbrado, a pesar que en dichos circuitos no se indiquen los baños.</t>
  </si>
  <si>
    <t>En el tablero "LNLP-SO7-10"  en el ckto c15  se esta considerando un subpanel con salidas riel din para los paneles de toma corrientes industriales que se estan considerando en un</t>
  </si>
  <si>
    <t>gabinete independiente de fabricacion local (plancha metalica) .</t>
  </si>
  <si>
    <t>bor.</t>
  </si>
  <si>
    <t>gabinete</t>
  </si>
  <si>
    <t>Control de alumbrado Mediante Fotocelula:</t>
  </si>
  <si>
    <t>Control de alumbrado luminaria / extractor:</t>
  </si>
  <si>
    <t>Control de alumbrado taller:</t>
  </si>
  <si>
    <t>TABLERO DE BOTONERAS  "LCLP-02"</t>
  </si>
  <si>
    <t>TABLERO DE BOTONERAS  "LCLP-01"</t>
  </si>
  <si>
    <t>Control de alumbrado perimetral mediante fotocelulas:</t>
  </si>
  <si>
    <t>Control de alumbrado estacion de gruas con cubierta:</t>
  </si>
  <si>
    <t>TABLERO DE BOTONERAS  "LCLP-03"</t>
  </si>
  <si>
    <t>Control de alumbrado estacion de gruas sin cubierta:</t>
  </si>
  <si>
    <t>bn</t>
  </si>
  <si>
    <t>TABLERO  " LNLP-SO7-07 " : 240Vac , 3Ø+T, 60Hz.</t>
  </si>
  <si>
    <t>TABLERO DE BOTONERAS  "LCLP-04"</t>
  </si>
  <si>
    <t>Control de alumbrado almacen de gases e iqf:</t>
  </si>
  <si>
    <t>TABLERO DE BOTONERAS  "LCLP-06"</t>
  </si>
  <si>
    <t>Control de alumbrado de almacen de materiales:</t>
  </si>
  <si>
    <t>TABLERO DE BOTONERAS  "LCLP-09"</t>
  </si>
  <si>
    <t>Control de alumbrado almacen general piso 1:</t>
  </si>
  <si>
    <t>TABLERO DE BOTONERAS  "LCLP-10"</t>
  </si>
  <si>
    <t>Control de alumbrado lavado de bombas:</t>
  </si>
  <si>
    <t>TABLERO DE BOTONERAS  "LCLP-11"</t>
  </si>
  <si>
    <t>Control de alumbrado  mediante fotocelula:</t>
  </si>
  <si>
    <t>MATERIAL SUELTO PARA EL TABLERO  "TD-CLI-01"</t>
  </si>
  <si>
    <t>MATERIAL SUELTO PARA EL TABLERO  "LNLP-SO7-01"</t>
  </si>
  <si>
    <t>MATERIAL SUELTO PARA EL TABLERO  "LNLP-SO7-07"</t>
  </si>
  <si>
    <t xml:space="preserve">MATERIAL SUELTO PARA EL TABLERO "LNLP-S07-12" </t>
  </si>
  <si>
    <t>Los pulsadores del panel de alumbrado "LCLP-0X" se están considerando en un tablero de botoneras independiente. En este caso  se esta considerando  el control para los</t>
  </si>
  <si>
    <t>TAL-EMT-ELE-SLD-1110-01</t>
  </si>
  <si>
    <t>TAL-ELG-ELE-SLD-5100-02</t>
  </si>
  <si>
    <t>2CDS211001R0064</t>
  </si>
  <si>
    <t>2CDS211001R0104</t>
  </si>
  <si>
    <t>2CDS211001R0164</t>
  </si>
  <si>
    <t>2CDS211001R0204</t>
  </si>
  <si>
    <t>2CDS211001R0254</t>
  </si>
  <si>
    <t>2CDS211001R0324</t>
  </si>
  <si>
    <t>2CDS211001R0404</t>
  </si>
  <si>
    <t>2CDS211001R0504</t>
  </si>
  <si>
    <t>2CDS211001R0634</t>
  </si>
  <si>
    <t>2CDS212001R0064</t>
  </si>
  <si>
    <t>2CDS212001R0104</t>
  </si>
  <si>
    <t>2CDS212001R0164</t>
  </si>
  <si>
    <t>2CDS212001R0204</t>
  </si>
  <si>
    <t>2CDS212001R0254</t>
  </si>
  <si>
    <t>2CDS212001R0324</t>
  </si>
  <si>
    <t>2CDS212001R0404</t>
  </si>
  <si>
    <t>2CDS212001R0504</t>
  </si>
  <si>
    <t>2CDS212001R0634</t>
  </si>
  <si>
    <t>2CDS213001R0104</t>
  </si>
  <si>
    <t>2CDS213001R0164</t>
  </si>
  <si>
    <t>2CDS213001R0204</t>
  </si>
  <si>
    <t>2CDS213001R0254</t>
  </si>
  <si>
    <t>2CDS213001R0324</t>
  </si>
  <si>
    <t>2CDS213001R0404</t>
  </si>
  <si>
    <t>2CDS213001R0504</t>
  </si>
  <si>
    <t>2CDS213001R0634</t>
  </si>
  <si>
    <t>2CDS214001R0104</t>
  </si>
  <si>
    <t>2CDS214001R0164</t>
  </si>
  <si>
    <t>2CDS214001R0204</t>
  </si>
  <si>
    <t>2CDS214001R0254</t>
  </si>
  <si>
    <t>2CDS214001R0324</t>
  </si>
  <si>
    <t>2CDS214001R0404</t>
  </si>
  <si>
    <t>2CDS214001R0504</t>
  </si>
  <si>
    <t>2CDS214001R0634</t>
  </si>
  <si>
    <t>2CDS251001R0065</t>
  </si>
  <si>
    <t>2CDS251001R0105</t>
  </si>
  <si>
    <t>2CDS251001R0205</t>
  </si>
  <si>
    <t>2CDS251001R0255</t>
  </si>
  <si>
    <t>2CDS251001R0325</t>
  </si>
  <si>
    <t>2CDS251001R0405</t>
  </si>
  <si>
    <t>2CDS251001R0505</t>
  </si>
  <si>
    <t>2CDS251001R0635</t>
  </si>
  <si>
    <t>2CDS251001R0064</t>
  </si>
  <si>
    <t>2CDS251001R0104</t>
  </si>
  <si>
    <t>2CDS251001R0164</t>
  </si>
  <si>
    <t>2CDS251001R0204</t>
  </si>
  <si>
    <t>2CDS251001R0254</t>
  </si>
  <si>
    <t>2CDS251001R0324</t>
  </si>
  <si>
    <t>2CDS251001R0404</t>
  </si>
  <si>
    <t>2CDS251001R0504</t>
  </si>
  <si>
    <t>2CDS251001R0634</t>
  </si>
  <si>
    <t>2CDS271001R0104</t>
  </si>
  <si>
    <t>2CDS271001R0164</t>
  </si>
  <si>
    <t>2CDS271001R0204</t>
  </si>
  <si>
    <t>2CDS271001R0254</t>
  </si>
  <si>
    <t>2CDS271001R0324</t>
  </si>
  <si>
    <t>2CDS271001R0404</t>
  </si>
  <si>
    <t>2CDS271001R0504</t>
  </si>
  <si>
    <t>2CDS271001R0634</t>
  </si>
  <si>
    <t>2CDS252001R0065</t>
  </si>
  <si>
    <t>2CDS252001R0105</t>
  </si>
  <si>
    <t>2CDS252001R0165</t>
  </si>
  <si>
    <t>2CDS252001R0205</t>
  </si>
  <si>
    <t>2CDS252001R0255</t>
  </si>
  <si>
    <t>2CDS252001R0325</t>
  </si>
  <si>
    <t>2CDS252001R0405</t>
  </si>
  <si>
    <t>2CDS252001R0505</t>
  </si>
  <si>
    <t>2CDS252001R0635</t>
  </si>
  <si>
    <t>2CDS252001R0024</t>
  </si>
  <si>
    <t>2CDS252001R0044</t>
  </si>
  <si>
    <t>2CDS252001R0064</t>
  </si>
  <si>
    <t>2CDS252001R0104</t>
  </si>
  <si>
    <t>2CDS252001R0164</t>
  </si>
  <si>
    <t>2CDS252001R0204</t>
  </si>
  <si>
    <t>2CDS252001R0254</t>
  </si>
  <si>
    <t>2CDS252001R0324</t>
  </si>
  <si>
    <t>2CDS252001R0404</t>
  </si>
  <si>
    <t>2CDS252001R0504</t>
  </si>
  <si>
    <t>2CDS252001R0634</t>
  </si>
  <si>
    <t>2CDS272001R0105</t>
  </si>
  <si>
    <t>2CDS272001R0104</t>
  </si>
  <si>
    <t>2CDS272001R0164</t>
  </si>
  <si>
    <t>2CDS272001R0204</t>
  </si>
  <si>
    <t>2CDS272001R0254</t>
  </si>
  <si>
    <t>2CDS272001R0324</t>
  </si>
  <si>
    <t>2CDS272001R0404</t>
  </si>
  <si>
    <t>2CDS272001R0504</t>
  </si>
  <si>
    <t>2CDS272001R0634</t>
  </si>
  <si>
    <t>2CDS253001R0065</t>
  </si>
  <si>
    <t>2CDS253001R0105</t>
  </si>
  <si>
    <t>2CDS253001R0165</t>
  </si>
  <si>
    <t>2CDS253001R0205</t>
  </si>
  <si>
    <t>2CDS253001R0255</t>
  </si>
  <si>
    <t>2CDS253001R0325</t>
  </si>
  <si>
    <t>2CDS253001R0405</t>
  </si>
  <si>
    <t>2CDS253001R0505</t>
  </si>
  <si>
    <t>2CDS253001R0635</t>
  </si>
  <si>
    <t>2CDS253001R0064</t>
  </si>
  <si>
    <t>2CDS253001R0104</t>
  </si>
  <si>
    <t>2CDS253001R0164</t>
  </si>
  <si>
    <t>2CDS253001R0204</t>
  </si>
  <si>
    <t>2CDS253001R0254</t>
  </si>
  <si>
    <t>2CDS253001R0324</t>
  </si>
  <si>
    <t>2CDS253001R0404</t>
  </si>
  <si>
    <t>2CDS253001R0504</t>
  </si>
  <si>
    <t>2CDS253001R0634</t>
  </si>
  <si>
    <t>2CDS273001R0104</t>
  </si>
  <si>
    <t>2CDS273001R0164</t>
  </si>
  <si>
    <t>2CDS273001R0204</t>
  </si>
  <si>
    <t>2CDS273001R0254</t>
  </si>
  <si>
    <t>2CDS273001R0324</t>
  </si>
  <si>
    <t>2CDS273001R0404</t>
  </si>
  <si>
    <t>2CDS273001R0504</t>
  </si>
  <si>
    <t>2CDS273001R0634</t>
  </si>
  <si>
    <t>2CDS254001R0065</t>
  </si>
  <si>
    <t>2CDS254001R0105</t>
  </si>
  <si>
    <t>2CDS254001R0165</t>
  </si>
  <si>
    <t>2CDS254001R0205</t>
  </si>
  <si>
    <t>2CDS254001R0255</t>
  </si>
  <si>
    <t>2CDS254001R0325</t>
  </si>
  <si>
    <t>2CDS254001R0405</t>
  </si>
  <si>
    <t>2CDS254001R0505</t>
  </si>
  <si>
    <t>2CDS254001R0635</t>
  </si>
  <si>
    <t>2CDS254001R0104</t>
  </si>
  <si>
    <t>2CDS254001R0164</t>
  </si>
  <si>
    <t>2CDS254001R0204</t>
  </si>
  <si>
    <t>2CDS254001R0254</t>
  </si>
  <si>
    <t>2CDS254001R0324</t>
  </si>
  <si>
    <t>2CDS254001R0404</t>
  </si>
  <si>
    <t>2CDS254001R0504</t>
  </si>
  <si>
    <t>2CDS254001R0634</t>
  </si>
  <si>
    <t>2CDS274001R0105</t>
  </si>
  <si>
    <t>2CDS274001R0104</t>
  </si>
  <si>
    <t>2CDS274001R0164</t>
  </si>
  <si>
    <t>2CDS274001R0204</t>
  </si>
  <si>
    <t>2CDS274001R0254</t>
  </si>
  <si>
    <t>2CDS274001R0324</t>
  </si>
  <si>
    <t>2CDS274001R0404</t>
  </si>
  <si>
    <t>2CDS274001R0504</t>
  </si>
  <si>
    <t>2CDS274001R0634</t>
  </si>
  <si>
    <t>XT4N160-32A-3P-TMD</t>
  </si>
  <si>
    <t>ITM Caja Moldeada 3x32A (reg.[0.7-1.0] In) - XT4N160-32A-3P-TMD - 65kA@230Vac, 36kA@415Vac - marca ABB.</t>
  </si>
  <si>
    <t>1SDA068082R1</t>
  </si>
  <si>
    <t>XT4N160-40A-3P-TMA</t>
  </si>
  <si>
    <t>ITM Caja Moldeada 3x40A (reg.[0.7-1.0] In) - XT4N160-40A-3P-TMA - 65kA@230Vac, 36kA@415Vac - marca ABB.</t>
  </si>
  <si>
    <t>1SDA068083R1</t>
  </si>
  <si>
    <t>XT4N160-32A-4P-TMD</t>
  </si>
  <si>
    <t>ITM Caja Moldeada 4x32A (reg.[0.7-1.0] In) - XT4N160-32A-4P-TMD - 65kA@230Vac, 36kA@415Vac, 36kA@500Vdc - marca ABB.</t>
  </si>
  <si>
    <t>XT4S160-32A-3P-TMD</t>
  </si>
  <si>
    <t>ITM Caja Moldeada 3x32A (reg.[0.7-1.0] In) - XT4S160-32A-3P-TMD - 85kA@230Vac, 50kA@415Vac - marca ABB.</t>
  </si>
  <si>
    <t>1SDA068302R1</t>
  </si>
  <si>
    <t>XT4S160-40A-3P-TMA</t>
  </si>
  <si>
    <t>ITM Caja Moldeada 3x40A (reg.[0.7-1.0] In) - XT4S160-40A-3P-TMA - 85kA@230Vac, 50kA@415Vac - marca ABB.</t>
  </si>
  <si>
    <t>1SDA068303R1</t>
  </si>
  <si>
    <t>T5H400-400A-3P-TMA</t>
  </si>
  <si>
    <t>ITM Caja Moldeada 3x400A (reg.[0.7-1.0] In) - T5S400-400A-3P-TMA - 100kA@230Vac, 70kA@415Vac - marca ABB.</t>
  </si>
  <si>
    <t>1SDA054445R1</t>
  </si>
  <si>
    <t>T6S630-630A-3P-TMA</t>
  </si>
  <si>
    <t>ITM Caja Moldeada 3x630A (reg.[0.7-1.0] In) - T6S630-630A-3P-TMA - 85kA@230Vac, 50kA@415Vac, 36kA@500Vdc - marca ABB.</t>
  </si>
  <si>
    <t>1SDA060204R1</t>
  </si>
  <si>
    <t>T5S400-320A-3P-PR221DS-LS/I</t>
  </si>
  <si>
    <t>ITM Caja Moldeada 3x320A (electrónico [0.4-1.0] In) - T5S400-320A-3P-PR221DS-LS/I - 85kA@230Vac, 50kA@415Vac - marca ABB.</t>
  </si>
  <si>
    <t>1SDA054332R1</t>
  </si>
  <si>
    <t>T7H1000-1000A-3P-PR231 P-LS/I</t>
  </si>
  <si>
    <t>ITM Caja Moldeada 3x1000A (electrónico [0.4-1.0] In) - T7H1000-1000A-3P-PR231 P-LS/I - 70kA@415Vac - marca ABB.</t>
  </si>
  <si>
    <t>1SDA062770R1</t>
  </si>
  <si>
    <t>T6L630-630A-3P-PR222DS/P-LSIG</t>
  </si>
  <si>
    <t>ITM Caja Moldeada 3X630A (electrónico [0.4-1.0] In) - T5L630-630A-3P-PR222DS/P-LSIG- 200kA@230Vac, 120kA@415Vac - marca ABB.</t>
  </si>
  <si>
    <t>1SDA060259R1</t>
  </si>
  <si>
    <t>T7L1250-1250A-3P-PR331/P-LSIG</t>
  </si>
  <si>
    <t>ITM Caja Moldeada 3x1250A (electrónico [0.4-1.0] In) - T7L1250-1250A-3P-PR331/P-LSIG - 120kA@415Vac - marca ABB.</t>
  </si>
  <si>
    <t>1SDA062932R1</t>
  </si>
  <si>
    <t>T7L1250(M)-1250A-3P-PR331/P-LSIG</t>
  </si>
  <si>
    <t>ITM Caja Moldeada 3x1250A (electrónico [0.4-1.0] In) - T7L1250(M) -1250A-3P-PR232/P-LSIG - 120kA@415Vac - marca ABB.</t>
  </si>
  <si>
    <t>T7L1600(M)-1600A-3P-PR331/P-LSIG</t>
  </si>
  <si>
    <t>ITM Caja Moldeada 3x1600A (electrónico [0.4-1.0] In) - T7L1600(M)-1600A-3P-PR332/P-LSIG - 120kA@415Vac - marca ABB.</t>
  </si>
  <si>
    <t>1SDA063076R1</t>
  </si>
  <si>
    <t>T7L1600-1600A-3P-PR331/P-LSIG</t>
  </si>
  <si>
    <t>ITM Caja Moldeada 3x1600A (electrónico [0.4-1.0] In) - T7L1600 -1600A-3P-PR331/P-LSI - 120kA@415Vac - marca ABB.</t>
  </si>
  <si>
    <t>1SDA063060R1</t>
  </si>
  <si>
    <t>E2.2N-1000A-3P-Ekip Touch LSI</t>
  </si>
  <si>
    <t>ITM Bastidor Abierto 3x1000A (electrónico [0.4-1.0] In) - E2.2N-1000A-3P-Ekip Touch LSI - 66kA@440Vac - marca ABB.</t>
  </si>
  <si>
    <t>1SDA070925R1</t>
  </si>
  <si>
    <t>E2.2N-1250A-3P-Ekip Touch LSI</t>
  </si>
  <si>
    <t>ITM Bastidor Abierto 3x1250A (electrónico [0.4-1.0] In) - E2.2N-1250A-3P-Ekip Touch LSI - 66kA@440Vac - marca ABB.</t>
  </si>
  <si>
    <t>1SDA070955R1</t>
  </si>
  <si>
    <t>E2.2S-2000A-3P-Ekip Touch LSIG</t>
  </si>
  <si>
    <t>ITM Bastidor Abierto 3x2000A (electrónico [0.4-1.0] In) - E2.2S-2000A-3P-Ekip Touch LSIG- 85kA@440Vac - marca ABB.</t>
  </si>
  <si>
    <t>1SDA071046R1</t>
  </si>
  <si>
    <t>E2.2S-2500A-3P-Ekip Touch LSIG</t>
  </si>
  <si>
    <t>ITM Bastidor Abierto 3x2500A (electrónico [0.4-1.0] In) - E2.2S-2500A-3P-Ekip Touch LSIG- 85kA@440Vac - marca ABB.</t>
  </si>
  <si>
    <t>1SDA071076R1</t>
  </si>
  <si>
    <t>IZMX 2000_85kA</t>
  </si>
  <si>
    <t>ITM Bastidor Abierto de 3x2000A , ( Reg. 0.4-1.0 de In ), LSI, serie IZMX, modelo RAS, 85kA@480Vac. + contacto auxilxiar 2NA/NC - marca EATON.</t>
  </si>
  <si>
    <t>IZMX 2000_85kA_4p</t>
  </si>
  <si>
    <t>IZMX 4000_85kA</t>
  </si>
  <si>
    <t>ITM Bastidor Abierto de 3x4000A , ( Reg. 0.4-1.0 de In ), LSI, serie IZMX, modelo RAS, 85kA@480Vac. + contacto auxilxiar 2NA/NC - marca EATON.</t>
  </si>
  <si>
    <t>300x200x150mm_4X_KS</t>
  </si>
  <si>
    <t>Tablero mural de poliéster - modelo KS, NEMA 4X / IP66 - 300x200x150mm  - Ref.:1423.500 - marca RITTAL.</t>
  </si>
  <si>
    <t>350x250x150mm_4X_KS</t>
  </si>
  <si>
    <t>Tablero mural de poliéster - modelo KS, NEMA 4X / IP66 - 350x250x150mm  - Ref.:1432.500 - marca RITTAL.</t>
  </si>
  <si>
    <t>400x300x200mm_4X_KS</t>
  </si>
  <si>
    <t>Tablero mural de poliéster - modelo KS, NEMA 4X / IP66 - 400x300x200mm  - Ref.:1434.500 - marca RITTAL.</t>
  </si>
  <si>
    <t>400x400x200mm_4X_KS</t>
  </si>
  <si>
    <t>Tablero mural de poliéster - modelo KS, NEMA 4X / IP66 - 400x400x200mm  - Ref.:1444.500 - marca RITTAL.</t>
  </si>
  <si>
    <t>600x400x200mm_4X_KS</t>
  </si>
  <si>
    <t>Tablero mural de poliéster - modelo KS, NEMA 4X / IP66 - 600x400x200mm  - Ref.:1446.500 - marca RITTAL.</t>
  </si>
  <si>
    <t>500x500x300mm_4X_KS</t>
  </si>
  <si>
    <t>Tablero mural de poliéster - modelo KS, NEMA 4X / IP66 - 500x500x300mm  - Ref.:1453.500 - marca RITTAL.</t>
  </si>
  <si>
    <t>600x600x200mm_4X_KS</t>
  </si>
  <si>
    <t>Tablero mural de poliéster - modelo KS, NEMA 4X / IP66 - 600x600x200mm  - Ref.:1466.500 - marca RITTAL.</t>
  </si>
  <si>
    <t>800x600x300mm_4X_KS</t>
  </si>
  <si>
    <t>Tablero mural de poliéster - modelo KS, NEMA 4X / IP66 - 800x600x300mm  - Ref.:1468.500 - marca RITTAL.</t>
  </si>
  <si>
    <t>1000x800x300mm_4X_KS</t>
  </si>
  <si>
    <t>Tablero mural de poliéster - modelo KS, NEMA 4X / IP66 - 1000x800x300mm  - Ref.:1480.500 - marca RITTAL.</t>
  </si>
  <si>
    <t>400x400x200mm_KS</t>
  </si>
  <si>
    <t>Tablero mural de poliéster - modelo KS, NEMA 12 / IP56 - 400x400x200mm  - Ref.:1448.500 - marca RITTAL.</t>
  </si>
  <si>
    <t>500x500x300mm_KS</t>
  </si>
  <si>
    <t>Tablero mural de poliéster - modelo KS, NEMA 12 / IP56 - 500x500x300mm  - Ref.:1454.500 - marca RITTAL.</t>
  </si>
  <si>
    <t>600x400x200mm_KS</t>
  </si>
  <si>
    <t>Tablero mural de poliéster - modelo KS, NEMA 12 / IP56 - 600x400x200mm  - Ref.:1449.500 - marca RITTAL.</t>
  </si>
  <si>
    <t>600x600x200mm_KS</t>
  </si>
  <si>
    <t>Tablero mural de poliéster - modelo KS, NEMA 12 / IP56 - 600x600x200mm  - Ref.:1467.500 - marca RITTAL.</t>
  </si>
  <si>
    <t>800x600x300mm_KS</t>
  </si>
  <si>
    <t>Tablero mural de poliéster - modelo KS, NEMA 12 / IP56 - 800x600x300mm  - Ref.:1469.500 - marca RITTAL.</t>
  </si>
  <si>
    <t>1000x800x300mm_KS</t>
  </si>
  <si>
    <t>Tablero mural de poliéster - modelo KS, NEMA 12 / IP56 - 1000x800x300mm  - Ref.:1479.500 - marca RITTAL.</t>
  </si>
  <si>
    <t>1000x1000x300mm_KS</t>
  </si>
  <si>
    <t>Tablero mural de poliéster - modelo KS, NEMA 12 / IP56 - 1000x1000x300mm  - Ref.:1400.500 - marca RITTAL.</t>
  </si>
  <si>
    <t>TUERCAS_ENCAS</t>
  </si>
  <si>
    <t xml:space="preserve">Tuercas encastadas M6 para KS. </t>
  </si>
  <si>
    <t>REACT_50kVAR/380V_p14</t>
  </si>
  <si>
    <t>Reactancia para filtro de rechazo de armónicas, para paso de 50kVAR / 380Vac, 60Hz, p=14%, tipo RBX, marca CIRCUTOR.</t>
  </si>
  <si>
    <t>525Vac:</t>
  </si>
  <si>
    <t>COND_25kVAR/525V_p14</t>
  </si>
  <si>
    <t>Condensador, Trifásico, para paso de potencia efectiva de 25kVAR / 525Vac, 60 Hz, tipo CLZ-FP-HD, marca CIRCUTOR.</t>
  </si>
  <si>
    <t>COND_30kVAR/525V_p14</t>
  </si>
  <si>
    <t>Condensador, Trifásico, para paso de potencia efectiva de 30kVAR / 525Vac, 60 Hz, tipo CLZ-FP-HD, marca CIRCUTOR.</t>
  </si>
  <si>
    <t>3WT8080-5AA00-0AA2</t>
  </si>
  <si>
    <t>REGULADOR</t>
  </si>
  <si>
    <t>B44066R7415E230   </t>
  </si>
  <si>
    <t>Regulador de factor de potencia, 12 pasos, Serie 7000, marca SIEMENS.</t>
  </si>
  <si>
    <t>CONDESADORES</t>
  </si>
  <si>
    <t>B32344-E4162-A780</t>
  </si>
  <si>
    <t>Condensador trifásico, para paso de potencia efectiva de 12.5kVAR / 380Vac, 60 Hz, tipo PhiCap, marca SIEMENS.</t>
  </si>
  <si>
    <t>B32344-E4252-A080</t>
  </si>
  <si>
    <t>Condensador trifásico, para paso de potencia efectiva de 18.8kVAR / 380Vac, 60 Hz, tipo PhiCap, marca SIEMENS.</t>
  </si>
  <si>
    <t>B44066-S1810-J230</t>
  </si>
  <si>
    <t>Contactor para maniobra de condensadores - 12.5kVAR / 400Vac - Modelo EPCOS - bobina 230Vac/60Hz. - marca SIEMES.</t>
  </si>
  <si>
    <t>B44066-S2410-J230</t>
  </si>
  <si>
    <t>Contactor para maniobra de condensadores - 20kVAR / 400Vac - Modelo EPCOS - bobina 230Vac/60Hz. - marca SIEMES.</t>
  </si>
  <si>
    <t>3VA1132-3ED12-0AA0</t>
  </si>
  <si>
    <t>ITM de 1x32A, Caja Moldeada 3VA1132,  25kA@240Vac.- SIEMENS.</t>
  </si>
  <si>
    <t>3VA1132-5ED12-0AA0</t>
  </si>
  <si>
    <t>ITM de 1x32A, Caja Moldeada 3VA1132,  55kA@240Vac.- SIEMENS.</t>
  </si>
  <si>
    <t>3VA1120-3ED32-0AA0</t>
  </si>
  <si>
    <t>ITM de 3x20A, Caja Moldeada 3VA1120,  25kA@415Vac.- SIEMENS.</t>
  </si>
  <si>
    <t>3VA1125-3ED32-0AA0</t>
  </si>
  <si>
    <t>ITM de 3x25A, Caja Moldeada 3VA1125,  25kA@415Vac.- SIEMENS.</t>
  </si>
  <si>
    <t>3VA1132-3ED32-0AA0</t>
  </si>
  <si>
    <t>ITM de 3x32A, Caja Moldeada 3VA1132,  25kA@415Vac.- SIEMENS.</t>
  </si>
  <si>
    <t>3VA1140-3ED32-0AA0</t>
  </si>
  <si>
    <t>ITM de 3x40A, Caja Moldeada 3VA1140,  25kA@415Vac.- SIEMENS.</t>
  </si>
  <si>
    <t>3VA1150-3ED32-0AA0</t>
  </si>
  <si>
    <t>ITM de 3x50A, Caja Moldeada 3VA1150,  25kA@415Vac.- SIEMENS.</t>
  </si>
  <si>
    <t>3VA1163-3ED32-0AA0</t>
  </si>
  <si>
    <t>ITM de 3x63A, Caja Moldeada 3VA1163,  25kA@415Vac.- SIEMENS.</t>
  </si>
  <si>
    <t>3VA1180-3ED32-0AA0</t>
  </si>
  <si>
    <t>ITM de 3x80A, Caja Moldeada 3VA1180,  25kA@415Vac.- SIEMENS.</t>
  </si>
  <si>
    <t>3VA1110-3ED32-0AA0</t>
  </si>
  <si>
    <t>ITM de 3x100A, Caja Moldeada 3VA1110,  25kA@415Vac.- SIEMENS.</t>
  </si>
  <si>
    <t>3VA1112-3ED32-0AA0</t>
  </si>
  <si>
    <t>ITM de 3x125A, Caja Moldeada 3VA1112,  25kA@415Vac.- SIEMENS.</t>
  </si>
  <si>
    <t>3VA1116-3ED32-0AA0</t>
  </si>
  <si>
    <t>ITM de 3x160A, Caja Moldeada 3VA1116,  25kA@415Vac.- SIEMENS.</t>
  </si>
  <si>
    <t>PM2230</t>
  </si>
  <si>
    <t>Medidor de energía multifunción PM2230, clase
0.5s, 31th armónico, 14 alarmas, comunicación Modbus RTU - marca Schneider.</t>
  </si>
  <si>
    <t>METSEPM2230</t>
  </si>
  <si>
    <t>Medidor de energía multifunción PM5110, clase
0.5s, 15th armónico, 4 tarifas, 33 alarmas, comunicación Modbus RTU- marca Schneider.</t>
  </si>
  <si>
    <t>METSEPM5110</t>
  </si>
  <si>
    <t>Medidor de energía multifunción PM5330, clase
0.5s, 31th armónico, 4 tarifas, 35 alarmas, 256kb memoria, comunicación Modbus - marca Schneider.</t>
  </si>
  <si>
    <t>Medidor de energía multifunción PM5340, clase
0.5s, 31th armónico, 4 tarifas, 35 alarmas, 256kb memoria, comunicación Ethernet - marca Schneider.</t>
  </si>
  <si>
    <t>PM8240</t>
  </si>
  <si>
    <t>Analizador de redes multifunción PM8240, clase
0.2s, 63th armónico (127th armónico por software), +50 alarmas, 512Mb memoria, comunicación Modbus, ION,
DNP3 y Ethernet, GPS, servidor WEB integrado. Pantalla a color - marca Schneider.</t>
  </si>
  <si>
    <t>METSEPM8240</t>
  </si>
  <si>
    <t>A9MEM2010</t>
  </si>
  <si>
    <t>Contador monofásico A9MEM2010, en directo sin TC hasta 40A, con pantalla LCD, salida de impulsos,
montaje en riel DIN. Dos tarifas - marca Schneider.</t>
  </si>
  <si>
    <t>A9MEM2155</t>
  </si>
  <si>
    <t>Contador monofásico A9MEM2155, en directo sin TC hasta 63A, con pantalla LCD, salida de impulsos,
montaje en riel DIN. Dos tarifas + RS485 Modbus RTU - marca Schneider.</t>
  </si>
  <si>
    <t>Contador monofásico / trifásico A9MEM3155, directo sin TC hasta 63A, con pantalla LCD, 4 tarifas, 1DO /1DI,
comunicación Modbus, Alarma, montaje en riel - marca Schneider.</t>
  </si>
  <si>
    <t>A9MEM3255</t>
  </si>
  <si>
    <t>Contador monofásico / trifásico A9MEM3255, a través de TC, con pantalla LCD, 4 tarifas, 1DO /1DI, comunicación
Modbus, Alarma, montaje en riel - marca Schneider.</t>
  </si>
  <si>
    <t>A9MEM3265</t>
  </si>
  <si>
    <t>Contador monofásico / trifásico A9MEM3265, a través de TC, con pantalla LCD, 4 tarifas, 1DO /1DI, comunicación
BACnet, Alarma, montaje en riel - marca Schneider.</t>
  </si>
  <si>
    <t>A9MEM3355</t>
  </si>
  <si>
    <t>Contador monofásico / trifásico A9MEM3355, directo sin TC hasta 125A, con pantalla LCD, 4 tarifas, 1DO /1DI,
comunicación Modbus, Alarma, montaje en riel - marca Schneider.</t>
  </si>
  <si>
    <t>Kit iluminación interior.</t>
  </si>
  <si>
    <t>-------------------------------------------------------------------------------------------------------------------------------------------------------------------------</t>
  </si>
  <si>
    <t>Sistema de Calefacción:</t>
  </si>
  <si>
    <t xml:space="preserve">el espesor de las planchas metálicas LAF será de 1/16" (1.58 mm). fabricación  nacional. </t>
  </si>
  <si>
    <r>
      <rPr>
        <b/>
        <sz val="11"/>
        <color theme="1" tint="0.249977111117893"/>
        <rFont val="Arial"/>
        <family val="2"/>
      </rPr>
      <t xml:space="preserve">PROFORMA
</t>
    </r>
    <r>
      <rPr>
        <b/>
        <sz val="12"/>
        <color theme="1" tint="0.249977111117893"/>
        <rFont val="Arial"/>
        <family val="2"/>
      </rPr>
      <t>2019 /1411</t>
    </r>
  </si>
  <si>
    <t>2CSF204592R3630</t>
  </si>
  <si>
    <t>OVRHTE1002773Y</t>
  </si>
  <si>
    <t>Supresor contra sobretensiones (Tipo 1, UL 1449) - OVRHSP2002773Y - I_max=100kA por fase, Un=277/480V,  MCOV=320V (L-N), VPR=1.2kV (L-N) - marca ABB.</t>
  </si>
  <si>
    <t>2CJB310277Y0000</t>
  </si>
  <si>
    <t>ITM Caja Moldeada 1x20A - A1N/P125-20A-1P-TMF - 25kA@230V, 5kA@400V - marca ABB.</t>
  </si>
  <si>
    <t>A1N/P125-100A-1P-TMF</t>
  </si>
  <si>
    <t>ITM Caja Moldeada 1x100A - A1N/P125-100A-1P-TMF - 25kA@230V, 5kA@400V - marca ABB.</t>
  </si>
  <si>
    <t>1SDA066695R1</t>
  </si>
  <si>
    <t>ITM Caja Moldeada 1x125A - A1N/P125-125A-1P-TMF - 25kA@230V, 5kA@400V - marca ABB.</t>
  </si>
  <si>
    <t>ITM Caja Moldeada 2x15A - A1N/P125-15A-2P-TMF - 50kA@230Vac, 30kA@400Vac, 10kA@125Vdc - marca ABB.</t>
  </si>
  <si>
    <t>XT2L160-32A-4P-TMD</t>
  </si>
  <si>
    <t>ITM Caja Moldeada 3x32A (reg.[0.7-1.0] In) - XT2L160-32A-4P-TMD - 150kA@230Vac, 120kA@415Vac - marca ABB.</t>
  </si>
  <si>
    <t>1SDA067662R1</t>
  </si>
  <si>
    <t>XT2L160-40A-4P-TMA</t>
  </si>
  <si>
    <t>ITM Caja Moldeada 3x40A (reg.[0.7-1.0] In) - XT2L160-40A-4P-TMA - 150kA@230Vac, 120kA@415Vac - marca ABB.</t>
  </si>
  <si>
    <t>1SDA067663R1</t>
  </si>
  <si>
    <t>T5H400-320A-3P-PR221DS-LS/I</t>
  </si>
  <si>
    <t>ITM Caja Moldeada 3x320A (electrónico [0.4-1.0] In) - T5H400-320A-3P-PR221DS-LS/I - 100kA@230Vac, 70kA@415Vac - marca ABB.</t>
  </si>
  <si>
    <t>1SDA054348R1</t>
  </si>
  <si>
    <t>T6L800-800A-3P-PR221DS-LS/I</t>
  </si>
  <si>
    <t>ITM Caja Moldeada 3x800A (electrónico [0.4-1.0] In) - T6L800-800A-3P-PR221DS-LS/I - 150kA@230Vac, 70kA@415Vac - marca ABB.</t>
  </si>
  <si>
    <t>1SDA060299R1</t>
  </si>
  <si>
    <t>T6L800-800A-4P-PR221DS-LS/I</t>
  </si>
  <si>
    <t>ITM Caja Moldeada 4x800A (electrónico [0.4-1.0] In) - T6L800-800A-4P-PR221DS-LS/I - 100kA@415Vac, 65kA@500Vac  - marca ABB.</t>
  </si>
  <si>
    <t>1SDA060305R1</t>
  </si>
  <si>
    <t>T5H400-320A-3P-PR222DS/P-LSI</t>
  </si>
  <si>
    <t>ITM Caja Moldeada 3x320A (electrónico [0.4-1.0] In) - T5H400-320A-3P-PR222DS/P-LSI - 100kA@230Vac, 70kA@415Vac - marca ABB.</t>
  </si>
  <si>
    <t xml:space="preserve">E1.2N 800 Ekip Dip LSI 3p F F           </t>
  </si>
  <si>
    <t>ITM Bastidor Abierto 3x800A (electrónico [0.4-1.0] In) - E1.2N-800A-3P-Ekip Dip LSI - 66kA@440Vac - marca ABB.</t>
  </si>
  <si>
    <t>1SDA070762R1</t>
  </si>
  <si>
    <t>EMBAL_ADOS_600x310x210 mm</t>
  </si>
  <si>
    <t>Embalaje especial completamente cerrado para tablero adosado de 600x310x210 mm</t>
  </si>
  <si>
    <t>EMBAL_ADOS_210x260x210 mm</t>
  </si>
  <si>
    <t>Embalaje especial completamente cerrado para tablero adosado de 210x260x210 mm</t>
  </si>
  <si>
    <t>IZMX 2500_85kA_4p</t>
  </si>
  <si>
    <t>ITM Bastidor Abierto de 4x2500A , ( Reg. 0.4-1.0 de In ), LSI, serie IZMX, modelo RAS, 85kA@480Vac. + contacto auxilxiar 2NA/NC - marca EATON.</t>
  </si>
  <si>
    <t>REACT_45kVAR/380V_p14</t>
  </si>
  <si>
    <t>Reactancia para filtro de rechazo de armónicas, para paso de 45kVAR / 380Vac, 60Hz, p=14%, tipo RBX, marca CIRCUTOR.</t>
  </si>
  <si>
    <t>COND_15kVAR/380V_p7_CLZ-FP-HD</t>
  </si>
  <si>
    <t>Condensador trifásico, para paso de potencia efectiva de 15kVAR / 380Vac, 60 Hz, p=7%, tipo CLZ-FP-HD, marca CIRCUTOR.</t>
  </si>
  <si>
    <t>COND_30kVAR/380V_p7_CLZ-FP-HD</t>
  </si>
  <si>
    <t>Condensador trifásico, para paso de potencia efectiva de 30kVAR / 380Vac, 60 Hz, p=7%, tipo CLZ-FP-HD, marca CIRCUTOR.</t>
  </si>
  <si>
    <t>CMC_45kVAR/380V</t>
  </si>
  <si>
    <t>Contactor para maniobra de condensadores - 45kVAR / 380Vac - Modelo CMC - bobina 230Vac/60Hz. - marca CIRCUTOR.</t>
  </si>
  <si>
    <t>DPX3/160- 40A 36kA LSI (3P)</t>
  </si>
  <si>
    <t>ITM de 3x40A, ( Reg. 16-40A ) DPX3 160, 50kA@220-240 Vac.- 36kA@380-415 Vac. - marca Legrand</t>
  </si>
  <si>
    <t>420302</t>
  </si>
  <si>
    <t>DPX3/160- 100A 36kA LSI (3P)</t>
  </si>
  <si>
    <t>ITM de 3x100A, ( Reg. 40-100A ) DPX3 160, 50kA@220-240 Vac.- 36kA@380-415 Vac. - marca Legrand</t>
  </si>
  <si>
    <t>420305</t>
  </si>
  <si>
    <t>DPX3/160- 160A 36kA LSI (3P)</t>
  </si>
  <si>
    <t>ITM de 3x160A, ( Reg. 64-160A ) DPX3 160, 50kA@220-240 Vac.- 36kA@380-415 Vac. - marca Legrand</t>
  </si>
  <si>
    <t>420307</t>
  </si>
  <si>
    <t>DPX3/250- 250A 36kA LSI (3P)</t>
  </si>
  <si>
    <t>ITM de 3x250A, ( Reg. 100-250A ) DPX3 160, 50kA@220-240 Vac.- 36kA@380-415 Vac. - marca Legrand</t>
  </si>
  <si>
    <t>420309</t>
  </si>
  <si>
    <t>DPX3/250- 40A 50kA LSI (3P)</t>
  </si>
  <si>
    <t>ITM de 3x40A, ( Reg. 16-40A ) DPX3 160, 80kA@220-240 Vac.- 50kA@380-415 Vac. - marca Legrand</t>
  </si>
  <si>
    <t>DPX3/250- 100A 50kA LSI (3P)</t>
  </si>
  <si>
    <t>ITM de 3x100A, ( Reg. 40-100A ) DPX3 160, 80kA@220-240 Vac.- 50kA@380-415 Vac. - marca Legrand</t>
  </si>
  <si>
    <t>DPX3/250- 250A 50kA LSI (3P)</t>
  </si>
  <si>
    <t>ITM de 3x250A, ( Reg. 100-250A ) DPX3 160, 80kA@220-240 Vac.- 50kA@380-415 Vac. - marca Legrand</t>
  </si>
  <si>
    <t>DPX3/250- 40A 50kA LSI (4P)</t>
  </si>
  <si>
    <t>ITM de 4x40A, ( Reg. 16-40A ), electrónico LSI, DPX3 250, 80kA@220-240 Vac.- 50kA@380-415 Vac. - marca Legrand</t>
  </si>
  <si>
    <t>DPX3/250- 100A 50kA LSI (4P)</t>
  </si>
  <si>
    <t>ITM de 4x100A, ( Reg. 40-100A ), electrónico LSI, DPX3 250, 80kA@220-240 Vac.- 50kA@380-415 Vac. - marca Legrand</t>
  </si>
  <si>
    <t>DPX3/250- 250A 50kA LSI (4P)</t>
  </si>
  <si>
    <t>ITM de 4x250A, ( Reg. 100-250A ), electrónico LSI, DPX3 250, 80kA@220-240 Vac.- 50kA@380-415 Vac. - marca Legrand</t>
  </si>
  <si>
    <t>DPX3-I-160</t>
  </si>
  <si>
    <t>Seccionador Caja Moldeada  DPX3-I-160, 4x160A  - marca Legrand</t>
  </si>
  <si>
    <t>DPX3-I-250</t>
  </si>
  <si>
    <t>Seccionador Caja Moldeada  DPX3-I-250, 4x250A  - marca Legrand</t>
  </si>
  <si>
    <t>DPX3/630-S2(LSI) 630A 50kA (4P)</t>
  </si>
  <si>
    <t>ITM de 4x630A, electronico S2(LSI) ( Reg. 252-630A ) DPX3 630, 100kA@220-240 Vac.- 50kA@380-415 Vac. - marca Legrand</t>
  </si>
  <si>
    <t>DPX3/1600-S2(LSI)- 800A 70kA (4P)</t>
  </si>
  <si>
    <t>ITM de 4x800A, electronico S2(LSI) ( Reg. 320-800A ) DPX3 1600, 120kA@220-240 Vac.- 70kA@380-415 Vac. - marca Legrand</t>
  </si>
  <si>
    <t>DPX3/1600-S2(LSI)- 1250A 70kA (4P)</t>
  </si>
  <si>
    <t>ITM de 4x1250A, electronico S2(LSI) ( Reg. 500-1250A ) DPX3 1600, 120kA@220-240 Vac.- 70kA@380-415 Vac. - marca Legrand</t>
  </si>
  <si>
    <t>Central de transferencia automatica BASICA para 2 Int.- 12-48Vdc</t>
  </si>
  <si>
    <t>'Central de transferencia automatica BASICA para 2 Int.- 12-48Vdc</t>
  </si>
  <si>
    <t>DX3-6000/25A-2P-K</t>
  </si>
  <si>
    <t>ITM Riel-Din 2x25A - DX3-6000-K - 10kA@400V-IEC60947-2 - marca LEGRAND.</t>
  </si>
  <si>
    <t>DX3-6000/25A-3P-K</t>
  </si>
  <si>
    <t>ITM Riel-Din 3x25A - DX3-6000-K - 10kA@400V-IEC60947-2 - marca Legrand.</t>
  </si>
  <si>
    <t>DX3-B-40A/30mA-2P</t>
  </si>
  <si>
    <t>Interruptor Diferencial 2x40A - 30mA - clase B - DX3-B-40A/30mA - marca Legrand.</t>
  </si>
  <si>
    <t>411842</t>
  </si>
  <si>
    <t>DX3-B-63A/30mA-2P</t>
  </si>
  <si>
    <t>Interruptor Diferencial 2x63A - 30mA - clase B - DX3-B-63A/30mA - marca Legrand.</t>
  </si>
  <si>
    <t>411843</t>
  </si>
  <si>
    <t>DX3-B-40A/300mA-2P</t>
  </si>
  <si>
    <t>Interruptor Diferencial 2x40A - 300mA - clase B - DX3-B-40A/300mA - marca Legrand.</t>
  </si>
  <si>
    <t>411844</t>
  </si>
  <si>
    <t>DX3-B-63A/300mA-2P</t>
  </si>
  <si>
    <t>Interruptor Diferencial 2x63A - 300mA - clase B - DX3-B-63A/300mA - marca Legrand.</t>
  </si>
  <si>
    <t>411845</t>
  </si>
  <si>
    <t>DX3-B-40A/30mA-4P</t>
  </si>
  <si>
    <t>Interruptor Diferencial 4x40A - 30mA - clase B - DX3-B-40A/30mA - marca Legrand.</t>
  </si>
  <si>
    <t>411846</t>
  </si>
  <si>
    <t>DX3-B-63A/30mA-4P</t>
  </si>
  <si>
    <t>Interruptor Diferencial 4x63A - 30mA - clase B - DX3-B-63A/30mA - marca Legrand.</t>
  </si>
  <si>
    <t>411847</t>
  </si>
  <si>
    <t>DX3-B-40A/300mA-4P</t>
  </si>
  <si>
    <t>Interruptor Diferencial 4x40A - 300mA - clase B - DX3-B-40A/300mA - marca Legrand.</t>
  </si>
  <si>
    <t>411848</t>
  </si>
  <si>
    <t>DX3-B-63A/300mA-4P</t>
  </si>
  <si>
    <t>Interruptor Diferencial 4x63A - 300mA - clase B - DX3-B-63A/300mA - marca Legrand.</t>
  </si>
  <si>
    <t>411849</t>
  </si>
  <si>
    <t>2CSF204006R3630</t>
  </si>
  <si>
    <t>F202-B-25A-300mA</t>
  </si>
  <si>
    <t>Interruptor Diferencial 2x25A - 300mA - clase B (alta inmunización: para variador, corriente pulsante o con rizado) - F204-B-25A-300mA - marca ABB.</t>
  </si>
  <si>
    <t>2CSF202592R3250</t>
  </si>
  <si>
    <t xml:space="preserve">OVR T1-T2 1L 12.5-275s P TS QS </t>
  </si>
  <si>
    <t>Protector de sobretensiones (Tipo 1+2) - OVR T1-T2 1L 12.5-275s P TS QS - Un=230V,  Uc=275V, Up=1.1kV - I_descarga=80kA - marca ABB.</t>
  </si>
  <si>
    <t>2CTB815710R0000</t>
  </si>
  <si>
    <t xml:space="preserve">OVR T2 3L 40 </t>
  </si>
  <si>
    <t>Protector de sobretensiones (Tipo 2) - OVR T2 3N 40-150 P TS U - Un=120+-15V,  Up=1.2kV - I_descarga=40kA - marca ABB.</t>
  </si>
  <si>
    <t>2CTB802346R2100</t>
  </si>
  <si>
    <t>RD3M</t>
  </si>
  <si>
    <t>Relé de protección diferencial RD3M (CLASE A)- Reg.: 0.03 - 0.1 - 0.3 - 0.5 - 1 - 2- 3 - 4 - 5 - 10 - 30A - Ue=230-400 Vac - marca ABB. (CON PRE-ALARMA)</t>
  </si>
  <si>
    <t>2CSJ202001R0002</t>
  </si>
  <si>
    <t>RD3M-48</t>
  </si>
  <si>
    <t>Relé de protección diferencial RD3M-48 (CLASE A)- 0.03 - 0.1 - 0.3 - 0.5 - 1 - 2- 3 - 4 - 5 - 10 - 30A - Ue=12-48 Vac/dc - marca ABB.. (CON PRE-ALARMA)</t>
  </si>
  <si>
    <t>2CSJ202001R0001</t>
  </si>
  <si>
    <t>B21 112 - 100</t>
  </si>
  <si>
    <t>Medidor monofásico conexion directa, 65A, Categoría Steel (energía activa), Ue=220...240 Vac, clase B (CI. 1), salida de pulsos, modelo B21 112 - 100, marca ABB.</t>
  </si>
  <si>
    <t>2CMA100150R1000</t>
  </si>
  <si>
    <t>D1_ABB</t>
  </si>
  <si>
    <t>Interruptor digital, modelo D1 - marca ABB.</t>
  </si>
  <si>
    <t>2CSM258763R0621</t>
  </si>
  <si>
    <t>A1N/P125-50A-2P-TMF - x NO FIGURA EN COTIZADOR x</t>
  </si>
  <si>
    <t>1SDA066501R1</t>
  </si>
  <si>
    <t xml:space="preserve">TA NEUTRO EXT 63A XT2                   </t>
  </si>
  <si>
    <t>Sensor de corriente para el conductor neutro externo al ITM para XT2 63A</t>
  </si>
  <si>
    <t>1SDA069142R1</t>
  </si>
  <si>
    <t xml:space="preserve">TA NEUTRO EXT 100A XT2                  </t>
  </si>
  <si>
    <t>Sensor de corriente para el conductor neutro externo al ITM para XT2 100A</t>
  </si>
  <si>
    <t>1SDA069143R1</t>
  </si>
  <si>
    <t xml:space="preserve">TA NEUTRO EXT 160A XT2                  </t>
  </si>
  <si>
    <t>Sensor de corriente para el conductor neutro externo al ITM para XT2 160A</t>
  </si>
  <si>
    <t>1SDA069144R1</t>
  </si>
  <si>
    <t xml:space="preserve">TA NEUTRO EXT 250A XT4                  </t>
  </si>
  <si>
    <t>Sensor de corriente para el conductor neutro externo al ITM para XT4 250A</t>
  </si>
  <si>
    <t>1SDA066979R1</t>
  </si>
  <si>
    <t>T4N320-320A-4P-PR221DS-LS/I</t>
  </si>
  <si>
    <t>ITM Caja Moldeada 4x320A (electrónico [0.4-1.0] In)  - T4N320-320A-4P-PR221DS-LS/I - 70kA@230Vac, 36kA@415Vac - marca ABB.</t>
  </si>
  <si>
    <t>1SDA054121R1</t>
  </si>
  <si>
    <t>ITM Caja Moldeada 3x400A (electrónico [0.4-1.0] In) - T5N400-400A-3P-PR222DS/P-LSIG - 70kA@230Vac, 36kA@415Vac - marca ABB.</t>
  </si>
  <si>
    <t>T6N800-800A-3P-PR222DS/P-LSIG</t>
  </si>
  <si>
    <t>ITM Caja Moldeada 3x800A (electrónico [0.4-1.0] In) - T6N800-800A-3P-PR222DS/P-LSIG - 70kA@230Vac, 36kA@415Vac - marca ABB.</t>
  </si>
  <si>
    <t>1SDA060271R1</t>
  </si>
  <si>
    <t>T6N800-800A-4P-PR222DS/P-LSIG</t>
  </si>
  <si>
    <t>ITM Caja Moldeada 4x800A (electrónico [0.4-1.0] In) - T6N800-800A-4P-PR222DS/P-LSIG - 70kA@230Vac, 36kA@415Vac - marca ABB.</t>
  </si>
  <si>
    <t>1SDA060276R1</t>
  </si>
  <si>
    <t>ITM Caja Moldeada 4x1250A (electrónico [0.4-1.0] In) - T7S1250(M)-1250A-4P-PR232/P-LSI - 50kA@415Vac - marca ABB.</t>
  </si>
  <si>
    <t>YU_X1-X2-X3-X4</t>
  </si>
  <si>
    <t>Bobina de mínima tensión (YU) - X1-X2-X3-X4 - UVR versión no cableada - 220-240V AC/DC - marca ABB.</t>
  </si>
  <si>
    <t>1SDA066392R1</t>
  </si>
  <si>
    <t xml:space="preserve">TA EXT NEUTRAL 400A T5                  </t>
  </si>
  <si>
    <t>Sensor de corriente para el conductor neutro externo al ITM para T5 400A</t>
  </si>
  <si>
    <t>1SDA055057R1</t>
  </si>
  <si>
    <t xml:space="preserve">TA EXT NEUTRAL 800A T6                  </t>
  </si>
  <si>
    <t>Sensor de corriente para el conductor neutro externo al ITM para T6 800A</t>
  </si>
  <si>
    <t>1SDA060431R1</t>
  </si>
  <si>
    <t xml:space="preserve">X4 FOR PR222DS/P/PD T4..T6 F  &gt; N EXT   </t>
  </si>
  <si>
    <t xml:space="preserve">X4 conector para conectar sensor TA a la PRD222DS/P/PD </t>
  </si>
  <si>
    <t>1SDA055060R1</t>
  </si>
  <si>
    <t>E1.2B 1250-4P- Ekip Dip LSI</t>
  </si>
  <si>
    <t>ITM Bastidor Abierto 4x1250A (electrónico [0.4-1.0] In) - E1.2B-1250A-3P-Ekip Dip LSI - 42kA@440Vac - marca ABB.</t>
  </si>
  <si>
    <t>1SDA071452R1</t>
  </si>
  <si>
    <t>E1.2B-1250A-4P-Ekip Touch LSI</t>
  </si>
  <si>
    <t>ITM Bastidor Abierto 4x1250A (electrónico [0.4-1.0] In) - E1.2B-1250A-3P-Ekip Touch LSI - 42kA@440Vac - marca ABB.</t>
  </si>
  <si>
    <t>1SDA071455R1</t>
  </si>
  <si>
    <t>E1.2N-1000A-3P-Ekip Dip LSI</t>
  </si>
  <si>
    <t>ITM Bastidor Abierto 3x1000A (electrónico [0.4-1.0] In) - E1.2N-1000A-3P-Ekip Dip LSI - 66kA@440Vac - marca ABB.</t>
  </si>
  <si>
    <t>1SDA070802R1</t>
  </si>
  <si>
    <t>E1.2N-1250A-4P-Ekip Dip LSI</t>
  </si>
  <si>
    <t>ITM Bastidor Abierto 4x1250A (electrónico [0.4-1.0] In) - E1.2N-1250A-4P-Ekip Dip LSI - 66kA@440Vac - marca ABB.</t>
  </si>
  <si>
    <t>1SDA071472R1</t>
  </si>
  <si>
    <t>E1.2C-630A-3P-Ekip Touch LSI</t>
  </si>
  <si>
    <t>ITM Bastidor Abierto 3x630A (electrónico [0.4-1.0] In) - E1.2C-630A-3P-Ekip Touch LSI - 50kA@440Vac - marca ABB.</t>
  </si>
  <si>
    <t>1SDA070715R1</t>
  </si>
  <si>
    <t>E1.2C-630A-3P-Ekip Touch LSIG</t>
  </si>
  <si>
    <t>ITM Bastidor Abierto 3x630A (electrónico [0.4-1.0] In) - E1.2C-630A-3P-Ekip Touch LSIG - 50kA@440Vac - marca ABB.</t>
  </si>
  <si>
    <t>1SDA070716R1</t>
  </si>
  <si>
    <t>E1.2C-800A-3P-Ekip Touch LSIG</t>
  </si>
  <si>
    <t>ITM Bastidor Abierto 3x800A (electrónico [0.4-1.0] In) - E1.2C-800A-3P-Ekip Touch LSIG - 50kA@440Vac - marca ABB.</t>
  </si>
  <si>
    <t>1SDA070756R1</t>
  </si>
  <si>
    <t>E1.2C-1250A-3P-Ekip Touch LSI WMP</t>
  </si>
  <si>
    <t>ITM Bastidor Abierto 3x1250A (electrónico [0.4-1.0] In) - E1.2C-1250A-3P-Ekip Touch LSI WMP- 50kA@440Vac - marca ABB.</t>
  </si>
  <si>
    <t>1SDA072185R1</t>
  </si>
  <si>
    <t>E1.2C-630A-4P-Ekip Touch LSI</t>
  </si>
  <si>
    <t>ITM Bastidor Abierto 4x630A (electrónico [0.4-1.0] In) - E1.2C-630A-4P-Ekip Touch LSI - 50kA@440Vac - marca ABB.</t>
  </si>
  <si>
    <t>1SDA071345R1</t>
  </si>
  <si>
    <t>ITM Bastidor Abierto 4x630A (electrónico [0.4-1.0] In) - E1.2C-630A-4P-Ekip Touch LSIG - 50kA@440Vac - marca ABB.</t>
  </si>
  <si>
    <t>E1.2C-800A-4P-Ekip Touch LSIG</t>
  </si>
  <si>
    <t>ITM Bastidor Abierto 4x800A (electrónico [0.4-1.0] In) - E1.2C-800A-4P-Ekip Touch LSIG - 50kA@440Vac - marca ABB.</t>
  </si>
  <si>
    <t>1SDA071386R1</t>
  </si>
  <si>
    <t>E1.2C-1000A-4P-Ekip Touch LSIG</t>
  </si>
  <si>
    <t>ITM Bastidor Abierto 4x1000A (electrónico [0.4-1.0] In) - E1.2C-1000A-4P-Ekip Touch LSIG - 50kA@440Vac - marca ABB.</t>
  </si>
  <si>
    <t>1SDA071426R1</t>
  </si>
  <si>
    <t>E1.2C-1600A-4P-Ekip Touch LSI</t>
  </si>
  <si>
    <t>ITM Bastidor Abierto 4x1600A (electrónico [0.4-1.0] In) - E1.2C-1600A-4P-Ekip Touch LSI - 50kA@440Vac - marca ABB.</t>
  </si>
  <si>
    <t>1SDA072505R1</t>
  </si>
  <si>
    <t>E1.2N-1250A-3P-Ekip Touch LSIG WMP</t>
  </si>
  <si>
    <t>ITM Bastidor Abierto 3x1250A (electrónico [0.4-1.0] In) - E1.2N-1250A-3P-Ekip Touch LSIG WMP - 66kA@440Vac - marca ABB.</t>
  </si>
  <si>
    <t>1SDA072196R1</t>
  </si>
  <si>
    <t xml:space="preserve">EXT CS N E1.2-E2.2-XT7-XT7M 2000A       </t>
  </si>
  <si>
    <t>Sensor de corriente para conductor de neutro exterior E1.2 A e E2.2 2000A</t>
  </si>
  <si>
    <t>1SDA073736R1</t>
  </si>
  <si>
    <t>OTM_I-0-II_4p_2500A</t>
  </si>
  <si>
    <t>Conmutador motorizado bajo carga (I-0-II), modelo OTM-C, 4p, 2500A (AC21..AC22) / 2500A (AC23) - marca ABB.</t>
  </si>
  <si>
    <t>1SCA112713R1001</t>
  </si>
  <si>
    <t>AF116-40-11-13_4p</t>
  </si>
  <si>
    <t>Contactor 4x116A(AC-3) / 4x160A(AC-1) - AF116-40-11-13 - bobina 100-250Vac/dc - marca ABB.</t>
  </si>
  <si>
    <t>1SFL427101R1311</t>
  </si>
  <si>
    <t>AF140-40-11-13_4p</t>
  </si>
  <si>
    <t>Contactor 4x140A(AC-3) / 4x200A(AC-1) - AF140-40-11-13 - bobina 100-250Vac/dc - marca ABB.</t>
  </si>
  <si>
    <t>1SFL447101R1311</t>
  </si>
  <si>
    <t>AF265-40-11-13_4p</t>
  </si>
  <si>
    <t>Contactor 4x265A(AC-3) / 4x400A(AC-1) - AF265-40-11-13 - bobina 100-250Vac/dc - marca ABB.</t>
  </si>
  <si>
    <t>1SFL547102R1311</t>
  </si>
  <si>
    <t>Contacto auxiliar frontal 1NA para contactor AF09..AF16-30-10, frontal - Modelo CA4-10 - marca ABB.</t>
  </si>
  <si>
    <t>MCB-11</t>
  </si>
  <si>
    <t>Contacto  auxiliar 1NA DOBLE- p/ línea modular - marca ABB.</t>
  </si>
  <si>
    <t>1SFA611610R1011</t>
  </si>
  <si>
    <t>ACS310-03E-13A8-4</t>
  </si>
  <si>
    <t>Variador de velocidad ACS310, 5.5kW Trifásico, Imotor= 13.8A,  380 - 480Volt, marca ABB.</t>
  </si>
  <si>
    <t>ACS-CP-C</t>
  </si>
  <si>
    <t>Panel de control básico con pantalla numérica y botones grandes para ACS 310/355, marca ABB.</t>
  </si>
  <si>
    <t>ACS-CP-A</t>
  </si>
  <si>
    <t>Panel de control auxiliar con asistentes de puestas en marcha y diagnóstico incorpora una pantalla multilingue y un reloj en tiempo real para ACS 310/355, marca ABB.</t>
  </si>
  <si>
    <t>FDCE308032L</t>
  </si>
  <si>
    <t>FDCE MCCB 100 KA@480V ELECTRONIC LSI 3P 15-80A LINE &amp; L</t>
  </si>
  <si>
    <t>FDCE308036L</t>
  </si>
  <si>
    <t>Interruptor automático de caja moldeada electrónica Eaton Serie C,3X 80A LSIG</t>
  </si>
  <si>
    <t>CTF080</t>
  </si>
  <si>
    <t>Neutral Current Transformer, 080 Amps</t>
  </si>
  <si>
    <t>FDCE316032L</t>
  </si>
  <si>
    <t>Interruptor automático de caja moldeada electrónica Eaton Serie C,3X 60A LSI</t>
  </si>
  <si>
    <t>JGC316032G</t>
  </si>
  <si>
    <t>Disyuntor de caja moldeada electrónica Eaton Serie G</t>
  </si>
  <si>
    <t>NGC312032E</t>
  </si>
  <si>
    <r>
      <t xml:space="preserve">Terminales para el interruptor </t>
    </r>
    <r>
      <rPr>
        <b/>
        <sz val="10"/>
        <rFont val="Arial"/>
        <family val="2"/>
      </rPr>
      <t>TA1200NB1</t>
    </r>
  </si>
  <si>
    <t> KDB3250FT36W</t>
  </si>
  <si>
    <t>Interruptor automático de caja moldeada electrónica Eaton Serie C 
65 kAIC a 240 Vac, 35 kAIC a 480 Vac</t>
  </si>
  <si>
    <t>HKDB3250FT36W</t>
  </si>
  <si>
    <t>Interruptor automático de caja moldeada electrónica Eaton Serie C 
100 kAIC a 240 Vac, 65 kAIC a 480 Vac</t>
  </si>
  <si>
    <t>A2KES250T1</t>
  </si>
  <si>
    <t>Eaton A2KES250T1 Kes Rating Plug</t>
  </si>
  <si>
    <t>TA350K</t>
  </si>
  <si>
    <t>Eaton TA350K Lug Kit, 1P, 250 - 500MCM, para caja moldeada, interruptor, marco K</t>
  </si>
  <si>
    <t>3TA400K</t>
  </si>
  <si>
    <t>Disyuntor Eaton 3TA400K, caja moldeada, kit de orejetas, 400A, 3 / 0-250MCM, Cu / Al, marco K</t>
  </si>
  <si>
    <t>JD3200</t>
  </si>
  <si>
    <t>ITM de 3x200A - JD,  65kA@240Vac. / 35kA@480Vac. , marca EATON.</t>
  </si>
  <si>
    <t>JD3250</t>
  </si>
  <si>
    <t>ITM de 3x250A - JD,  65kA@240Vac. / 35kA@480Vac. , marca EATON.</t>
  </si>
  <si>
    <t>Bloqueo por candado para interruptor JD / KD</t>
  </si>
  <si>
    <t>ITM de 3x250A - caja moldeada - unidad de protección magnético, disparo magnetico regulable (1250 - 2500)A - modelo HMCP,  65kA-240Vac. - 35kA@480Vac. - marca EATON.</t>
  </si>
  <si>
    <t>IZMX 1600(M)_42kA</t>
  </si>
  <si>
    <t>ITM Bastidor Abierto de 3x1600A , ( Reg. 0.4-1.0 de In ), LSI, serie IZMX, modelo NAS, 42kA@400Vac. + contacto auxiliar 4NA/NC + Comando motorizado  - marca EATON.</t>
  </si>
  <si>
    <t>IZMX 2000(M)_55kA</t>
  </si>
  <si>
    <t>ITM Bastidor Abierto de 3x2000A , ( Reg. 0.4-1.0 de In ), LSI, serie IZMX, modelo RAS, 55kA@415Vac. + contacto auxiliar 4NA/NC + Comando motorizado  - marca EATON.</t>
  </si>
  <si>
    <t>IZMX 1600_85kA_+bob cierre+bob aper+mot</t>
  </si>
  <si>
    <t>ITM Bastidor Abierto de 3x1600A , ( Reg. 0.4-1.0 de In ), LSI, serie IZMX, modelo RAS, 85kA@400Vac. + contacto auxilxiar 4NA/NC - marca EATON.</t>
  </si>
  <si>
    <t>IZMX 2000_85kA_+bob cierre+bob aper+mot</t>
  </si>
  <si>
    <t>ITM Bastidor Abierto de 3x2000A , ( Reg. 0.4-1.0 de In ), LSI, serie IZMX, modelo RAS, 85kA@480Vac. + contacto auxilxiar 4NA/NC - marca EATON.</t>
  </si>
  <si>
    <t>IZMX 2500_66kA_+bob cierre+bob aper+mot</t>
  </si>
  <si>
    <t>ITM Bastidor Abierto de 3x2500A , ( Reg. 0.4-1.0 de In ), LSI, serie IZMX, modelo RAS, 66kA@415Vac. + contacto auxilxiar 4NA/NC - marca EATON.</t>
  </si>
  <si>
    <t>IZMX 2000_66kA</t>
  </si>
  <si>
    <t>ITM Bastidor Abierto de 3x2000A , ( Reg. 0.4-1.0 de In ), LSI, serie IZMX, modelo RAS, 66kA@415Vac. + contacto auxilxiar 2NA/NC - marca EATON.</t>
  </si>
  <si>
    <t>QLGF12PL</t>
  </si>
  <si>
    <t>Bloqueo por candado QLGF12PL para interruptor QBGF</t>
  </si>
  <si>
    <t>LZMS3-S320</t>
  </si>
  <si>
    <t>IM de 3x320A (solo magnético reg.[8 - 14] In) - LZMS3, 100kA@240Vac. - 70kA@415Vac. - marca EATON.</t>
  </si>
  <si>
    <t>Modelo mMC6 CURVA D</t>
  </si>
  <si>
    <t>mMC6-D20/3-MW</t>
  </si>
  <si>
    <t>mMC6-D16/3-MW</t>
  </si>
  <si>
    <t>mMC6-D20/2-MW</t>
  </si>
  <si>
    <t>mMC6-D16/2-MW</t>
  </si>
  <si>
    <t>PFIM-25/4/03</t>
  </si>
  <si>
    <t>Z-IS/SPE-1TE</t>
  </si>
  <si>
    <t>Dispositivo de bloqueo mecánico portacandado para ITM de modelo mMC (No incluye candado), modelo Z-IS/SPE-1TE - marca EATON.</t>
  </si>
  <si>
    <t>DILMP125</t>
  </si>
  <si>
    <t>Contactor; 4pole; Terminales de tornillo; 125A; 90; 0NO-0NC; 220V 50 Hz; Bobina 240V 60 Hz marca EATON.</t>
  </si>
  <si>
    <t>AS1440-DIR_220</t>
  </si>
  <si>
    <t>Medidor polifasico electronico tipo alpha AS1440, 3 hilos, para conexión directa 220Vac, Pto. Comunicacion RS-485, clase de precisión 1S - marca Elster.</t>
  </si>
  <si>
    <t>COD: 2.30.350</t>
  </si>
  <si>
    <t>AS1440-DIR_380</t>
  </si>
  <si>
    <t>Medidor polifasico electronico tipo alpha AS1440, 4 hilos, para conexión directa 380/220Vac, Pto. Comunicacion RS-485, clase de precisión 1S - marca Elster.</t>
  </si>
  <si>
    <t>COD: 2.30.370</t>
  </si>
  <si>
    <t>Medidor polifasico electronico tipo alpha AS1440, 3H o 4H, medicion indirecta 220/380Vac, 5(10)A clase de precision 0.5S - marca Elster.</t>
  </si>
  <si>
    <t>COD: 2.30.384</t>
  </si>
  <si>
    <t>RGU-10B</t>
  </si>
  <si>
    <t>Relé electrónico de protección diferencial, Tipo B, Rango de ajuste: (0.1 – 3)A, modelo RGU-10B, marca CIRCUTOR .</t>
  </si>
  <si>
    <t>WGC-35-TB</t>
  </si>
  <si>
    <t xml:space="preserve">Transformador Diferencial para Relé electrónico de protección diferencial, Tipo B, modelo WGC-35-TB, corriente diferencial minima 0.1A, marca CIRCUTOR </t>
  </si>
  <si>
    <t>TABLERO DE TRANSFERENCIA ASCO 104A</t>
  </si>
  <si>
    <t>Tablero de transferencia ASCO, CICLO CERRADO PASIVO, modelo SERIE 300G, UL, 104A, 220Vac, 3F, NEUTRO SOLIDO, TRANSICION ABIERTA, GABINETE NEMA 1</t>
  </si>
  <si>
    <t>D03ATSA30104DG0C</t>
  </si>
  <si>
    <t>ASCO</t>
  </si>
  <si>
    <t>Núcleo Cerrado TC5.2</t>
  </si>
  <si>
    <t>10x30 mm</t>
  </si>
  <si>
    <t>TC NC 100/5_CIRCUTOR_30x10</t>
  </si>
  <si>
    <t>Transformador de corriente nucleo cerrado de 100/5A.</t>
  </si>
  <si>
    <t>M70321</t>
  </si>
  <si>
    <t>TC NC 150/5_CIRCUTOR_30x10</t>
  </si>
  <si>
    <t>Transformador de corriente nucleo cerrado de 150/5A.</t>
  </si>
  <si>
    <t>M70323</t>
  </si>
  <si>
    <t>TC NC 200/5_CIRCUTOR_30x10</t>
  </si>
  <si>
    <t>Transformador de corriente nucleo cerrado de 200/5A.</t>
  </si>
  <si>
    <t>M70324</t>
  </si>
  <si>
    <t>TC NC 250/5_CIRCUTOR_30x10</t>
  </si>
  <si>
    <t>Transformador de corriente nucleo cerrado de 250/5A.</t>
  </si>
  <si>
    <t>M70325</t>
  </si>
  <si>
    <t>TC NC 300/5_CIRCUTOR_30x10</t>
  </si>
  <si>
    <t>Transformador de corriente nucleo cerrado de 300/5A.</t>
  </si>
  <si>
    <t>M70326</t>
  </si>
  <si>
    <t>TC NC 400/5_CIRCUTOR_30x10</t>
  </si>
  <si>
    <t>Transformador de corriente nucleo cerrado de 400/5A.</t>
  </si>
  <si>
    <t>M70327</t>
  </si>
  <si>
    <t>TC NC 500/5_CIRCUTOR_30x10</t>
  </si>
  <si>
    <t>Transformador de corriente nucleo cerrado de 500/5A.</t>
  </si>
  <si>
    <t>M70328</t>
  </si>
  <si>
    <t>TC NC 600/5_CIRCUTOR_30x10</t>
  </si>
  <si>
    <t>Transformador de corriente nucleo cerrado de 600/5A.</t>
  </si>
  <si>
    <t>M70329</t>
  </si>
  <si>
    <t>Núcleo Cerrado TC8</t>
  </si>
  <si>
    <t>12x60 mm</t>
  </si>
  <si>
    <t>TC NC 800/5_CIRCUTOR_40x10</t>
  </si>
  <si>
    <t>Transformador de corriente nucleo cerrado de 800/5A.</t>
  </si>
  <si>
    <t>M70339</t>
  </si>
  <si>
    <t>Núcleo Partido TC</t>
  </si>
  <si>
    <t>20x30 mm</t>
  </si>
  <si>
    <t>TC NC 50/5_CIRCUTOR_20x3</t>
  </si>
  <si>
    <t>Transformador de corriente nucleo partido de 50/5A.</t>
  </si>
  <si>
    <t>M7011A</t>
  </si>
  <si>
    <t>TC NC 100/5_CIRCUTOR_20x3</t>
  </si>
  <si>
    <t>Transformador de corriente nucleo partido de 100/5A.</t>
  </si>
  <si>
    <t>M70111</t>
  </si>
  <si>
    <t>TC NC 150/5_CIRCUTOR_20x3</t>
  </si>
  <si>
    <t>Transformador de corriente nucleo partido de 150/5A.</t>
  </si>
  <si>
    <t>M70112</t>
  </si>
  <si>
    <t>TC NC 200/5_CIRCUTOR_20x3</t>
  </si>
  <si>
    <t>Transformador de corriente nucleo partido de 200/5A.</t>
  </si>
  <si>
    <t>M70113</t>
  </si>
  <si>
    <t>TC NC 250/5_CIRCUTOR_20*3</t>
  </si>
  <si>
    <t>Transformador de corriente nucleo partido de 250/5A.</t>
  </si>
  <si>
    <t>M70114</t>
  </si>
  <si>
    <t>TC NC 300/5_CIRCUTOR_20*3</t>
  </si>
  <si>
    <t>Transformador de corriente nucleo partido de 300/5A.</t>
  </si>
  <si>
    <t>M70115</t>
  </si>
  <si>
    <t>TC NC 400/5_CIRCUTOR_20*3</t>
  </si>
  <si>
    <t>Transformador de corriente nucleo partido de 400/5A.</t>
  </si>
  <si>
    <t>M70116</t>
  </si>
  <si>
    <t>50x80 mm</t>
  </si>
  <si>
    <t>TC NP 100/5_CIRCUTOR_50x80</t>
  </si>
  <si>
    <t>M7012D</t>
  </si>
  <si>
    <t>TC NP 200/5_CIRCUTOR_50x80</t>
  </si>
  <si>
    <t>M7012B</t>
  </si>
  <si>
    <t>TC NP 250/5_CIRCUTOR_50x80</t>
  </si>
  <si>
    <t>M70121</t>
  </si>
  <si>
    <t>TC NP 300/5_CIRCUTOR_50x80</t>
  </si>
  <si>
    <t>M70122</t>
  </si>
  <si>
    <t>TC NP 400/5_CIRCUTOR_50x80</t>
  </si>
  <si>
    <t>M70123</t>
  </si>
  <si>
    <t>TC NP 500/5_CIRCUTOR_50x80</t>
  </si>
  <si>
    <t>Transformador de corriente nucleo partido de 500/5A.</t>
  </si>
  <si>
    <t>M70124</t>
  </si>
  <si>
    <t>TC NP 600/5_CIRCUTOR_50x80</t>
  </si>
  <si>
    <t>Transformador de corriente nucleo partido de 600/5A.</t>
  </si>
  <si>
    <t>M70125</t>
  </si>
  <si>
    <t>TC NP 700/5_CIRCUTOR_50x80</t>
  </si>
  <si>
    <t>Transformador de corriente nucleo partido de 700/5A.</t>
  </si>
  <si>
    <t>M7012C</t>
  </si>
  <si>
    <t>TC NP 800/5_CIRCUTOR_50*80</t>
  </si>
  <si>
    <t>Transformador de corriente nucleo partido de 800/5A.</t>
  </si>
  <si>
    <t>M70127</t>
  </si>
  <si>
    <t>TC NP 1000/5_CIRCUTOR_50x80</t>
  </si>
  <si>
    <t>Transformador de corriente nucleo partido de 1000/5A.</t>
  </si>
  <si>
    <t>M70128</t>
  </si>
  <si>
    <t>80x80 mm</t>
  </si>
  <si>
    <t>TC NP 250/5_CIRCUTOR_80x80</t>
  </si>
  <si>
    <t>TC NP 300/5_CIRCUTOR_80x80</t>
  </si>
  <si>
    <t>TC NP 400/5_CIRCUTOR_80x80</t>
  </si>
  <si>
    <t>TC NP 500/5_CIRCUTOR_80x80</t>
  </si>
  <si>
    <t>TC NP 600/5_CIRCUTOR_80x80</t>
  </si>
  <si>
    <t>TC NP 700/5_CIRCUTOR_80x80</t>
  </si>
  <si>
    <t>TC NP 800/5_CIRCUTOR_80x80</t>
  </si>
  <si>
    <t>TC NP 1000/5_CIRCUTOR_80x80</t>
  </si>
  <si>
    <t>80x120 mm</t>
  </si>
  <si>
    <t>TC NP 500/5_CIRCUTOR_80x120</t>
  </si>
  <si>
    <t>M70141</t>
  </si>
  <si>
    <t>TC NP 600/5_CIRCUTOR_80x120</t>
  </si>
  <si>
    <t>M70142</t>
  </si>
  <si>
    <t>TC NP 750/5_CIRCUTOR_80x120</t>
  </si>
  <si>
    <t>Transformador de corriente nucleo partido de 750/5A.</t>
  </si>
  <si>
    <t>M70143</t>
  </si>
  <si>
    <t>TC NP 800/5_CIRCUTOR_80x120</t>
  </si>
  <si>
    <t>M70144</t>
  </si>
  <si>
    <t>TC NP 1000/5_CIRCUTOR_80x120</t>
  </si>
  <si>
    <t>M70145</t>
  </si>
  <si>
    <t>TC NP 1200/5_CIRCUTOR_80x120</t>
  </si>
  <si>
    <t>Transformador de corriente nucleo partido de 1200/5A.</t>
  </si>
  <si>
    <t>M70146</t>
  </si>
  <si>
    <t>TC NP 1250/5_CIRCUTOR_80x120</t>
  </si>
  <si>
    <t>Transformador de corriente nucleo partido de 1250/5A.</t>
  </si>
  <si>
    <t>M70147</t>
  </si>
  <si>
    <t>TC NP 1500/5_CIRCUTOR_80x120</t>
  </si>
  <si>
    <t>Transformador de corriente nucleo partido de 1500/5A.</t>
  </si>
  <si>
    <t>M70148</t>
  </si>
  <si>
    <t>TC NP 1600/5_CIRCUTOR_80x120</t>
  </si>
  <si>
    <t>Transformador de corriente nucleo partido de 1600/5A.</t>
  </si>
  <si>
    <t>M70149</t>
  </si>
  <si>
    <t>TC NP 2500/5_CIRCUTOR_80x120</t>
  </si>
  <si>
    <t>Transformador de corriente nucleo partido de 2500/5A.</t>
  </si>
  <si>
    <t>M7014A</t>
  </si>
  <si>
    <t>80x160 mm</t>
  </si>
  <si>
    <t>TC NP 500/5_CIRCUTOR_80x160</t>
  </si>
  <si>
    <t>M7015F</t>
  </si>
  <si>
    <t>TC NP 600/5_CIRCUTOR_80x160</t>
  </si>
  <si>
    <t>M7015H</t>
  </si>
  <si>
    <t>TC NP 750/5_CIRCUTOR_80x160</t>
  </si>
  <si>
    <t>M70158</t>
  </si>
  <si>
    <t>TC NP 1000/5_CIRCUTOR_80x160</t>
  </si>
  <si>
    <t>M70151</t>
  </si>
  <si>
    <t>TC NP 1250/5_CIRCUTOR_80x160</t>
  </si>
  <si>
    <t>M7015A</t>
  </si>
  <si>
    <t>TC NP 1500/5_CIRCUTOR_80x160</t>
  </si>
  <si>
    <t>M70152</t>
  </si>
  <si>
    <t>TC NP 1600/5_CIRCUTOR_80x160</t>
  </si>
  <si>
    <t>M7015B</t>
  </si>
  <si>
    <t>TC NP 2000/5_CIRCUTOR_80x160</t>
  </si>
  <si>
    <t>Transformador de corriente nucleo partido de 2000/5A.</t>
  </si>
  <si>
    <t>M70153</t>
  </si>
  <si>
    <t>TC NP 2500/5_CIRCUTOR_80x160</t>
  </si>
  <si>
    <t>M70154</t>
  </si>
  <si>
    <t>TC NP 3000/5_CIRCUTOR_80x160</t>
  </si>
  <si>
    <t>Transformador de corriente nucleo partido de 3000/5A.</t>
  </si>
  <si>
    <t>M70155</t>
  </si>
  <si>
    <t>TC NP 3200/5_CIRCUTOR_80x160</t>
  </si>
  <si>
    <t>Transformador de corriente nucleo partido de 3200/5A.</t>
  </si>
  <si>
    <t>M7015C</t>
  </si>
  <si>
    <t>TEMP_TRL04</t>
  </si>
  <si>
    <t>Temporizador On-Delay, modelo TRL04 - marca EATON</t>
  </si>
  <si>
    <t>TRL04</t>
  </si>
  <si>
    <t>TEMP_TRL07</t>
  </si>
  <si>
    <t>Temporizador On-Delay, modelo TRL07 - marca EATON</t>
  </si>
  <si>
    <t>TRL07</t>
  </si>
  <si>
    <t>TEMP_TRK</t>
  </si>
  <si>
    <t>Temporizador Off-Delay, modelo TRK - marca EATON</t>
  </si>
  <si>
    <t>TRK</t>
  </si>
  <si>
    <t>LAMP_ROJO_220Vac</t>
  </si>
  <si>
    <t>Portalámpara + lampara tipo LED - color Rojo - alimentacion: 220Vac</t>
  </si>
  <si>
    <t>LAMP_VERDE_220Vac</t>
  </si>
  <si>
    <t>Portalámpara + lampara tipo LED - color Verde - alimentacion: 220Vac</t>
  </si>
  <si>
    <t>ENC-MEC-100F</t>
  </si>
  <si>
    <t>Bloqueo mecánico para enclavamiento manual entre dos interruptores (permite la conexión de un solo suministro) - Frame 100A.</t>
  </si>
  <si>
    <t>Bloqueo mecánico para enclavamiento manual entre dos interruptores (permite la conexión de un solo suministro) - - p/modelo QC/BR/BAB.</t>
  </si>
  <si>
    <t>HUB H-M DE 2" NPT</t>
  </si>
  <si>
    <t>HUB H-M DE 2" NPT MARCA E.F</t>
  </si>
  <si>
    <t>MARCA E.F</t>
  </si>
  <si>
    <t>HUB H-M DE 1 1/2" NPT</t>
  </si>
  <si>
    <t>HUB H-M DE 1" NPT MARCA E.F</t>
  </si>
  <si>
    <t>HUB H-M DE 1" NPT</t>
  </si>
  <si>
    <t>HUB H-M DE 3/4" NPT</t>
  </si>
  <si>
    <t>HUB H-M DE 3/4" NPT MARCA E.F</t>
  </si>
  <si>
    <t>CVX100-240D</t>
  </si>
  <si>
    <t>Dispositivo Protector contra Sobretensión Transitoria, para un sistema Trifásico, Delta, 240V, 60 Hz, Corriente de descarga máxima por fase de 100 kA, Indicadores LED de estado de la protección por cada fase, Marca EATON.</t>
  </si>
  <si>
    <t>CVX100-480Y</t>
  </si>
  <si>
    <t xml:space="preserve">Dispositivo Protector de Sobretensión, para un sistema Trifásico, Estrella, 415/240V, Corriente de descarga máxima por fase de 100kA, modelo CVX, con indicadores led de estado de la protección por cada fase, marca EATON. </t>
  </si>
  <si>
    <t>CVX050-480Y</t>
  </si>
  <si>
    <t xml:space="preserve">Dispositivo Protector de Sobretensión, para un sistema Trifásico, Estrella, 415/240V, Corriente de descarga máxima por fase de 50kA, modelo CVX, con indicadores led de estado de la protección por cada fase, marca EATON. </t>
  </si>
  <si>
    <t>SPC080415Y2P</t>
  </si>
  <si>
    <t xml:space="preserve">Protector contra Sobretensión Transitoria, Trifásico, Estrella, 415/240V, 60 Hz, de 80 kA por fase </t>
  </si>
  <si>
    <t>TOMA-I-EMP_2P+T(63A)_IP67</t>
  </si>
  <si>
    <t>Tomacorriente industrial, 2P+T, 63A / 250V, Azul, 6H, empotrable, IP67 - (Ref: 1264A) - marca MENNEKES.</t>
  </si>
  <si>
    <t>1264A</t>
  </si>
  <si>
    <t>ENCH-IND 2P+T(63A)_IP67</t>
  </si>
  <si>
    <t>Enchufe industrial, 2P+T, 63A / 250V, Azul, 6H, IP67 - (Ref: 3303) - marca MENNEKES.</t>
  </si>
  <si>
    <t>Tomacorriente industrial, 3P+N+T, 16A / 415V, Rojo, 6H, empotrable, IP67- (Ref: 1485) - marca  MENNEKES</t>
  </si>
  <si>
    <t>Enchufe industrial, 3P+N+T, 16A / 415V, Rojo, 6H, IP67- (Ref: 288) - marca  MENNEKES</t>
  </si>
  <si>
    <t>240A</t>
  </si>
  <si>
    <t>TOMA-I-EMP_3P+N+T(125A)_IP67</t>
  </si>
  <si>
    <t>Tomacorriente industrial, 3P+N+T, 125A / 415V, Rojo, empotrable, IP67 - (Ref: 212A) - marca MENNEKES.</t>
  </si>
  <si>
    <t>212A</t>
  </si>
  <si>
    <t>ENCH-IND 3P+N+T(125A)_IP67</t>
  </si>
  <si>
    <t>Enchufe industrial, 3P+N+T, 125A / 415V, Rojo, IP67 - (Ref: 3374) - marca MENNEKES.</t>
  </si>
  <si>
    <t>TOMA-I-EMP_3P+N+T(125A)_IP67 (NEGRO)</t>
  </si>
  <si>
    <t>Tomacorriente industrial, 3P+T, 125A / 500V, Negro, empotrable, IP67 - (Ref: 213AMEN) - marca MENNEKES.</t>
  </si>
  <si>
    <t>ENCH-IND 3P+T(125A)_IP67 (NEGRO)</t>
  </si>
  <si>
    <t>Enchufe industrial, 3P+T, 125A / 500V, Negro, IP67 - (Ref: 3377ME) - marca MENNEKES.</t>
  </si>
  <si>
    <t>TOMA-I-EMP_3P+T(63A)_IP67 (NEGRO)</t>
  </si>
  <si>
    <t>Tomacorriente industrial, 3P+T, 63A / 500V, Negro, empotrable, IP67 - (Ref: 206AMEN) - marca MENNEKES.</t>
  </si>
  <si>
    <t>206AMEN</t>
  </si>
  <si>
    <t>ENCH-IND 3P+T(63A)_IP67 (NEGRO)</t>
  </si>
  <si>
    <t>Enchufe industrial, 3P+T, 63A / 500V, Negro, IP67 - (Ref: 3323ME) - marca MENNEKES.</t>
  </si>
  <si>
    <t>3323ME</t>
  </si>
  <si>
    <t>DADO-INT-16A-1P</t>
  </si>
  <si>
    <t>Dado Interruptor unipolar de 16A,  250V, linea Magic 5001, marca BTICINO.</t>
  </si>
  <si>
    <t>DADO_2P+T_TOMA_UNIV</t>
  </si>
  <si>
    <t>DADO TOMACORRIENTE UNIVERSAL 2P+T, Magic, BTicino</t>
  </si>
  <si>
    <t>DADO_2P+T_TOMA_AMERICANO</t>
  </si>
  <si>
    <t>DADO TOMACORRIENTE AMERICANO, Magic, BTicino</t>
  </si>
  <si>
    <t>DADO_CABLE</t>
  </si>
  <si>
    <t>DADO CIEGO PARA SALIDA DE CABLE MAGIC, BTicino</t>
  </si>
  <si>
    <t>PLACA_TRIPLE</t>
  </si>
  <si>
    <t>CAJA SUPERFICIAL MAGIC IDROBOX para 3 aparatos IP55, BTicino</t>
  </si>
  <si>
    <t>TERMOSTATO-1NA_RIT</t>
  </si>
  <si>
    <t>Termostato para ventilación - 1NA - 110-250V - marca Rittal.</t>
  </si>
  <si>
    <t>TABLEROS TERMOPLASTICOS MARCA- SOLERA</t>
  </si>
  <si>
    <t>SOLERA 18MODULOS</t>
  </si>
  <si>
    <t xml:space="preserve">TABLERO EMPO. L/HALOG. 18 POLOS C/BORNE A/H PVC / 8685PFR1 </t>
  </si>
  <si>
    <t>SOLERA</t>
  </si>
  <si>
    <t>SOLERA 22MODULOS</t>
  </si>
  <si>
    <t>TABLERO EMPO. L/HALOG. 22 POLOS C/BORNE A/H PVC / 8690PFR1</t>
  </si>
  <si>
    <t>SOLERA 28MODULOS</t>
  </si>
  <si>
    <t>TABLERO EMPO. L/HALOG. 28 POLOS C/BORNE A/H PVC /5250PFR1</t>
  </si>
  <si>
    <t>SOLERA 40MODULOS</t>
  </si>
  <si>
    <t>TABLERO EMPO. L/HALOG. 40 POLOS C/BORNE A/H PVC /8206PFR1</t>
  </si>
  <si>
    <t>TRAFO_2F_220-12V_500VA_AUD</t>
  </si>
  <si>
    <t>Transformador de tensión de aislamiento monofásico 220 / 12 Vac - 500VA, marca AUDAX.</t>
  </si>
  <si>
    <t>TRAFO_2F_220-12V_600VA_AUD</t>
  </si>
  <si>
    <t>Transformador de tensión de aislamiento monofásico 220 / 12 Vac - 600VA, marca AUDAX.</t>
  </si>
  <si>
    <t>TRAFO_2F_220-12V_1000VA_AUD</t>
  </si>
  <si>
    <t>TAM010000110200</t>
  </si>
  <si>
    <t>220Vac:</t>
  </si>
  <si>
    <t>COND_10kVAR/220V</t>
  </si>
  <si>
    <t>Condensador trifásico, tubular, 10kVAR / 220V, 60 Hz, tipo CLZ-FP-HD, marca CIRCUTOR.</t>
  </si>
  <si>
    <t>COND_13kVAR/400V</t>
  </si>
  <si>
    <t>Condensador trifásico, tubular, 13kVAR / 400V, 60 Hz, tipo CLZ-FP-HD, marca CIRCUTOR.</t>
  </si>
  <si>
    <t>COND_17.4kVAR/400V</t>
  </si>
  <si>
    <t>Condensador trifásico, tubular, 17.4kVAR / 400V, 60 Hz, tipo CLZ-FP-HD, marca CIRCUTOR.</t>
  </si>
  <si>
    <t>REACT_25kVAR/230V_p7</t>
  </si>
  <si>
    <t>Reactancia para filtro de rechazo de armónicas, para paso de 25kVAR / 230 Vac, 60Hz, p=7%, tipo RX, marca CIRCUTOR.</t>
  </si>
  <si>
    <t>REACT_5kVAR/380V_p7</t>
  </si>
  <si>
    <t>Reactancia para filtro de rechazo de armónicas, para paso de 20kVAR / 380Vac, 60Hz, p=7%, tipo RX, marca CIRCUTOR.</t>
  </si>
  <si>
    <t>Reactancia para filtro de rechazo de armónicas, para paso de 10kVAR / 380Vac, 60Hz, p=7%, tipo RX, marca CIRCUTOR.</t>
  </si>
  <si>
    <t>COND_30kVAR/480V_p7_CLZ</t>
  </si>
  <si>
    <t>Condensador trifásico, para paso de potencia efectiva de 30kVAR / 440Vac, 60 Hz, p=7%, tipo CLZ-FP-HD, marca CIRCUTOR.</t>
  </si>
  <si>
    <t>REACT_25kVAR/400V_p7</t>
  </si>
  <si>
    <t>Reactancia para paso de potencia efectiva de 25kVAR / 400Vac, 60Hz, p=7%, tipo RBX, marca CIRCUTOR.</t>
  </si>
  <si>
    <t>REACT_50kVAR/400V_p7</t>
  </si>
  <si>
    <t>Reactancia para paso de potencia efectiva de 50kVAR / 400Vac, 60Hz, p=7%, tipo RBX, marca CIRCUTOR.</t>
  </si>
  <si>
    <t>COND_25kVAR/440V_p7</t>
  </si>
  <si>
    <t>Condensador, Trifásico, para paso de potencia efectiva de 25kVAR / 440Vac, 60 Hz, p=7%, tipo CLZ-FP-HD, marca CIRCUTOR.</t>
  </si>
  <si>
    <t>COND_30kVAR/440V_p7</t>
  </si>
  <si>
    <t>Condensador, Trifásico, para paso de potencia efectiva de 30kVAR / 440Vac, 60 Hz, p=7%, tipo CLZ-FP-HD, marca CIRCUTOR.</t>
  </si>
  <si>
    <t>COND_40kVAR/440V_p7</t>
  </si>
  <si>
    <t>Condensador, Trifásico, para paso de potencia efectiva de 40kVAR / 440Vac, 60 Hz, p=7%, tipo CLZ-FP-HD, marca CIRCUTOR.</t>
  </si>
  <si>
    <t>COND_7.5kVAR/480V_p7</t>
  </si>
  <si>
    <t>Condensador, Trifásico, para paso de potencia efectiva de 7.5kVAR / 480Vac, 60 Hz, p=7%, tipo CLZ-FP-HD, marca CIRCUTOR.</t>
  </si>
  <si>
    <t>COND_15kVAR/480V_p7</t>
  </si>
  <si>
    <t>Condensador, Trifásico, para paso de potencia efectiva de 15kVAR / 480Vac, 60 Hz, p=7%, tipo CLZ-FP-HD, marca CIRCUTOR.</t>
  </si>
  <si>
    <t>COND_20kVAR/480V_p7</t>
  </si>
  <si>
    <t>Condensador, Trifásico, para paso de potencia efectiva de 20kVAR / 480Vac, 60 Hz, p=7%, tipo CLZ-FP-HD, marca CIRCUTOR.</t>
  </si>
  <si>
    <t>COND_25kVAR/480V_p7</t>
  </si>
  <si>
    <t>Condensador, Trifásico, para paso de potencia efectiva de 25kVAR / 480Vac, 60 Hz, p=7%, tipo CLZ-FP-HD, marca CIRCUTOR.</t>
  </si>
  <si>
    <t>COND_30kVAR/480V_p7</t>
  </si>
  <si>
    <t>Condensador, Trifásico, para paso de potencia efectiva de 30kVAR / 480Vac, 60 Hz, p=7%, tipo CLZ-FP-HD, marca CIRCUTOR.</t>
  </si>
  <si>
    <t>COND_40kVAR/480V_p7</t>
  </si>
  <si>
    <t>Condensador, Trifásico, para paso de potencia efectiva de 40kVAR / 480Vac, 60 Hz, p=7%, tipo CLZ-FP-HD, marca CIRCUTOR.</t>
  </si>
  <si>
    <t>COND_50kVAR/480V_p7</t>
  </si>
  <si>
    <t>Condensador, Trifásico, para paso de potencia efectiva de 50kVAR / 480Vac, 60 Hz, p=7%, tipo CLZ-FP-HD, marca CIRCUTOR.</t>
  </si>
  <si>
    <t>COND_22.5kVAR/525V_p14</t>
  </si>
  <si>
    <t>Condensador, Trifásico, para paso de potencia efectiva de 22.5kVAR / 525Vac, 60 Hz, tipo CLZ-FP-HD, marca CIRCUTOR.</t>
  </si>
  <si>
    <t>COND_34kVAR/525V_p14</t>
  </si>
  <si>
    <t>Condensador, Trifásico, para paso de potencia efectiva de 34kVAR / 525Vac, 60 Hz, tipo CLZ-FP-HD, marca CIRCUTOR.</t>
  </si>
  <si>
    <t>CMC_20kVAR/220V</t>
  </si>
  <si>
    <t>CMC_25kVAR/230V</t>
  </si>
  <si>
    <t>Contactor para maniobra de condensadores - 25kVAR / 230Vac - Modelo CMC - bobina 230Vac/60Hz. - marca CIRCUTOR.</t>
  </si>
  <si>
    <t>CMC_5kVAR/380V</t>
  </si>
  <si>
    <t>Contactor para maniobra de condensadores - 5 KVAR / 380Vac - Modelo CMC - bobina 230Vac/60Hz. - marca CIRCUTOR.</t>
  </si>
  <si>
    <t>CMC_50kVAR/400V</t>
  </si>
  <si>
    <t>Contactor para maniobra de condensadores - 50kVAR / 400Vac - Modelo CMC - bobina 230Vac/60Hz. - marca CIRCUTOR.</t>
  </si>
  <si>
    <t>LM25-M</t>
  </si>
  <si>
    <t>Centralizador de impulsos, 25 entradas, marca CIRCUTOR.</t>
  </si>
  <si>
    <t>RGU-2</t>
  </si>
  <si>
    <t>Relé electrónico de protección diferencial, tipo A. Rango de ajuste: (0.03 - 5)A, serie RGU-2, marca CIRCUTOR.</t>
  </si>
  <si>
    <t>WGC-35_A</t>
  </si>
  <si>
    <t>Transformador diferencial para Relé electrónico de protección diferencial., Tipo A, modelo WGC-35 - marca CIRCUTOR.</t>
  </si>
  <si>
    <t>WGC-55_A</t>
  </si>
  <si>
    <t>Transformador diferencial para Relé electrónico de protección diferencial., Tipo A, modelo WGC-55 - marca CIRCUTOR.</t>
  </si>
  <si>
    <t>WGC-80_A</t>
  </si>
  <si>
    <t>Transformador diferencial para Relé electrónico de protección diferencial., Tipo A, modelo WGC-80 - marca CIRCUTOR.</t>
  </si>
  <si>
    <t>WGC-110_A</t>
  </si>
  <si>
    <t>Transformador diferencial para Relé electrónico de protección diferencial., Tipo A, modelo WGC-110 - marca CIRCUTOR.</t>
  </si>
  <si>
    <t>WGC-140_A</t>
  </si>
  <si>
    <t>Transformador diferencial para Relé electrónico de protección diferencial., Tipo A, modelo WGC-140 - marca CIRCUTOR.</t>
  </si>
  <si>
    <t>TTA-260A</t>
  </si>
  <si>
    <t>Switch de transferencia automática de 3x260 A, modelo serie 300G, neutro sólido, transición abierta, con certificación UL, marca ASCO.</t>
  </si>
  <si>
    <t>J03ATSA30260DG0C</t>
  </si>
  <si>
    <t>B92057212</t>
  </si>
  <si>
    <t>Relé de conmutacion automatica, marca BENDER modelo ATICS-2-63A-DIO Versión 2 polos, Ie: 63 A</t>
  </si>
  <si>
    <t>B92057202</t>
  </si>
  <si>
    <t>Rele de Conmutacion Automatica y Monitorizacion marca: Bender, modelo: ATICS-2-63A-ISO Versión 2 polos, Ie: 63 A, Alim: 230 V</t>
  </si>
  <si>
    <t>5SL6110-7MB</t>
  </si>
  <si>
    <t>5SL6116-7MB</t>
  </si>
  <si>
    <t>5SL6120-7MB</t>
  </si>
  <si>
    <t>5SL6125-7MB</t>
  </si>
  <si>
    <t>5SL6132-7MB</t>
  </si>
  <si>
    <t>5SL6140-7MB</t>
  </si>
  <si>
    <t>5SL6150-7MB</t>
  </si>
  <si>
    <t>5SL6163-7MB</t>
  </si>
  <si>
    <t>5SL6210-7MB</t>
  </si>
  <si>
    <t>5SL6216-7MB</t>
  </si>
  <si>
    <t>5SL6220-7MB</t>
  </si>
  <si>
    <t>5SL6225-7MB</t>
  </si>
  <si>
    <t>5SL6232-7MB</t>
  </si>
  <si>
    <t>5SL6240-7MB</t>
  </si>
  <si>
    <t>5SL6250-7MB</t>
  </si>
  <si>
    <t>5SL6263-7MB</t>
  </si>
  <si>
    <t>5SL6310-7MB</t>
  </si>
  <si>
    <t>5SL6316-7MB</t>
  </si>
  <si>
    <t>5SL6320-7MB</t>
  </si>
  <si>
    <t>5SL6325-7MB</t>
  </si>
  <si>
    <t>5SL6332-7MB</t>
  </si>
  <si>
    <t>5SL6340-7MB</t>
  </si>
  <si>
    <t>5SL6350-7MB</t>
  </si>
  <si>
    <t>5SL6363-7MB</t>
  </si>
  <si>
    <t>5SL4110-7RC</t>
  </si>
  <si>
    <t>5SL4116-7RC</t>
  </si>
  <si>
    <t>5SL4120-7RC</t>
  </si>
  <si>
    <t>5SL4125-7RC</t>
  </si>
  <si>
    <t>5SL4132-7RC</t>
  </si>
  <si>
    <t>5SL4140-7RC</t>
  </si>
  <si>
    <t>5SL4150-7RC</t>
  </si>
  <si>
    <t>5SL4163-7RC</t>
  </si>
  <si>
    <t>5SL4210-7RC</t>
  </si>
  <si>
    <t>5SL4216-7RC</t>
  </si>
  <si>
    <t>5SL4220-7RC</t>
  </si>
  <si>
    <t>5SL4225-7RC</t>
  </si>
  <si>
    <t>5SL4232-7RC</t>
  </si>
  <si>
    <t>5SL4240-7RC</t>
  </si>
  <si>
    <t>5SL4250-7RC</t>
  </si>
  <si>
    <t>5SL4263-7RC</t>
  </si>
  <si>
    <t>5SL4310-7RC</t>
  </si>
  <si>
    <t>5SL4316-7RC</t>
  </si>
  <si>
    <t>5SL4320-7RC</t>
  </si>
  <si>
    <t>5SL4325-7RC</t>
  </si>
  <si>
    <t>5SL4332-7RC</t>
  </si>
  <si>
    <t>5SL4340-7RC</t>
  </si>
  <si>
    <t>5SL4350-7RC</t>
  </si>
  <si>
    <t>5SL4363-7RC</t>
  </si>
  <si>
    <t>3WL1116-2CB62-1AA4</t>
  </si>
  <si>
    <t>3WL1220-2CB62-1AA4</t>
  </si>
  <si>
    <t>3WL1225-2CB62-1AA4</t>
  </si>
  <si>
    <t>3WL1232-2CB62-1AA4</t>
  </si>
  <si>
    <t>3WL1240-3CB61-1AA4</t>
  </si>
  <si>
    <t>ITM Bastidor Abierto 3x800A (electrónico [0.4-1.0] In) -3WT80805 - 55kA@500Vac - marca SIEMENS.</t>
  </si>
  <si>
    <t>ITM Bastidor Abierto 3x1250A (electrónico [0.4-1.0] In) -3WT81205 - 55kA@500Vac - marca SIEMENS.</t>
  </si>
  <si>
    <t>ITM Bastidor Abierto 3x1600A (electrónico [0.4-1.0] In) -3WT81615 - 66kA@500Vac - marca SIEMENS.</t>
  </si>
  <si>
    <t>ITM Bastidor Abierto 3x2000A (electrónico [0.4-1.0] In) -3WT82025 - 66kA@500Vac - marca SIEMENS.</t>
  </si>
  <si>
    <t>ITM Bastidor Abierto 3x2500A (electrónico [0.4-1.0] In) -3WT82525 - 66kA@500Vac - marca SIEMENS.</t>
  </si>
  <si>
    <t>ITM Bastidor Abierto 3x3200A (electrónico [0.4-1.0] In) -3WT83225 - 66kA@500Vac - marca SIEMENS.</t>
  </si>
  <si>
    <t>ITM Bastidor Abierto 3x4000A (electrónico [0.4-1.0] In) -3WT84025 - 66kA@500Vac - marca SIEMENS.</t>
  </si>
  <si>
    <t>3WT8161-7AA00-0AA2</t>
  </si>
  <si>
    <t>ITM Bastidor Abierto 3x1600A (electrónico [0.4-1.0] In) -3WT81617 - 66kA@500Vac - marca SIEMENS.</t>
  </si>
  <si>
    <t>3WT8165-7AA00-0AA2</t>
  </si>
  <si>
    <t>ITM Bastidor Abierto 4x1600A (electrónico [0.4-1.0] In) -3WT81657 - 66kA@500Vac - marca SIEMENS.</t>
  </si>
  <si>
    <t>3WT8202-7AA00-0AA2</t>
  </si>
  <si>
    <t>ITM Bastidor Abierto 3x2000A (electrónico [0.4-1.0] In) -3WT82027 - 66kA@500Vac - marca SIEMENS.</t>
  </si>
  <si>
    <t>3WT8206-7AA00-0AA2</t>
  </si>
  <si>
    <t>ITM Bastidor Abierto 4x2000A (electrónico [0.4-1.0] In) -3WT82067 - 66kA@500Vac - marca SIEMENS.</t>
  </si>
  <si>
    <t>3VM1340-4EE32-0AA0</t>
  </si>
  <si>
    <t>ITM de 3x400A , (reg.[0.7-1.0] In) Caja Moldeada 3VM1340, 55kA@240Vac.- 36kA@415Vac- SIEMENS.</t>
  </si>
  <si>
    <t>3VM1463-4EE32-0AA0</t>
  </si>
  <si>
    <t>ITM de 3x630A , (reg.[0.7-1.0] In) Caja Moldeada 3VM1463, 55kA@240Vac.- 36kA@415Vac- SIEMENS.</t>
  </si>
  <si>
    <t>3VA1580-5EF32-0AA0</t>
  </si>
  <si>
    <t>ITM de 3x800A ,  (reg.[0.7-1.0] In) Caja Moldeada 3VA1580, 85kA@240Vac.- 55kA@415Vac- SIEMENS.</t>
  </si>
  <si>
    <t>3VA1510-5EF32-0AA0</t>
  </si>
  <si>
    <t>ITM de 3x1000A ,  (reg.[0.7-1.0] In) Caja Moldeada 3VA1510, 85kA@240Vac.- 55kA@415Vac- SIEMENS.</t>
  </si>
  <si>
    <t>ITM de 3x400A ,  (reg.[0.7-1.0] In) Caja Moldeada 3VA1340, 85kA@240Vac.- 55kA@415Vac- SIEMENS.</t>
  </si>
  <si>
    <t>ITM de 3x630A ,  (reg.[0.7-1.0] In) Caja Moldeada 3VA1463, 85kA@240Vac.- 55kA@415Vac- SIEMENS.</t>
  </si>
  <si>
    <t>3VA1580-6EF32-0AA0</t>
  </si>
  <si>
    <t>ITM de 3x800A ,  (reg.[0.7-1.0] In) Caja Moldeada 3VA1580, 100kA@240Vac.- 70kA@415Vac- SIEMENS.</t>
  </si>
  <si>
    <t>3VA1510-6EF32-0AA0</t>
  </si>
  <si>
    <t>ITM de 3x1000A ,  (reg.[0.7-1.0] In) Caja Moldeada 3VA1510, 100kA@240Vac.- 70kA@415Vac- SIEMENS.</t>
  </si>
  <si>
    <t>3VA9088-0VK10</t>
  </si>
  <si>
    <t>Enclavamiento posterior Marco de montaje Accesorio para 3VA1/2 a 630 A</t>
  </si>
  <si>
    <t>3VA9468-0VK20</t>
  </si>
  <si>
    <t>Enclavamiento posterior Montaje placa Accesorio para: 3VA1 400/630 3VA2 400/630</t>
  </si>
  <si>
    <t>3VA9158-0VK20</t>
  </si>
  <si>
    <t>Placa de montaje hasta 160A, 3VA11 - marca SIEMENS.</t>
  </si>
  <si>
    <t>Placa de montaje hasta 250A, 3VA12 - marca SIEMENS.</t>
  </si>
  <si>
    <t>Placa de montaje hasta 630A, 3VA13, 3VA14, 3VA23, 3VA24 - marca SIEMENS.</t>
  </si>
  <si>
    <t>KIT DE TRANSFERENCIA  CON ITM 3VT4 Y 3VT5 (800A - 1600A)</t>
  </si>
  <si>
    <t>3VT9500-3MQ00</t>
  </si>
  <si>
    <t>Accesorio para VT1000, VT1600 Accionamiento por motor con acumulador de fuerza elástica AC 230V/DC 220V</t>
  </si>
  <si>
    <t>3VT9500-2AF10</t>
  </si>
  <si>
    <t>Accesorio para VT1000, VT1600 Interruptor auxiliar 2 NC+2 NA 60-250V AC/DC</t>
  </si>
  <si>
    <t>3VT9500-8LC10</t>
  </si>
  <si>
    <t>Accesorio para VT1000, VT1600 Enclavamiento con cable Bowden para 2 MCCB VT1000/1600</t>
  </si>
  <si>
    <t>RCD_2x25A_300mA_A</t>
  </si>
  <si>
    <t>Interruptor diferencial 2x25A - 300mA, clase A, - marca Schneider - Ref.:A9R54225.</t>
  </si>
  <si>
    <t>TRAB_MEC</t>
  </si>
  <si>
    <t>Juego de (10 unid.) trabamiento mecánico en "desconectado" con portacandados - p/ Riel-Din - marca Schneider - Ref.:A9A26970.</t>
  </si>
  <si>
    <t>A9A26970</t>
  </si>
  <si>
    <t>TRAB_MEC_2</t>
  </si>
  <si>
    <t>Trabamiento mecánico en "desconectado" con portacandados - p/ Riel-Din - marca Schneider - Ref.:A9A26970.</t>
  </si>
  <si>
    <t>Medidor de energía multifunción METSEPM5560,
clase 0.2s, 63th armónico, 8 tarifas, 52 alarmas, 1.1Mb memoria, comunicación Modbus y Ethernet, servidor WEB
integrado - - marca Schneider.</t>
  </si>
  <si>
    <t>Puente de union para borneras NSYTRV42, 10 polos, marca SCHNEIDER.</t>
  </si>
  <si>
    <t>DPX3/630-S2(LSI) 320A 50kA (4P)</t>
  </si>
  <si>
    <t>ITM de 4x320A, electronico S2(LSI) ( Reg. 128-320A ) DPX3 630, 100kA@220-240 Vac.- 50kA@380-415 Vac. - marca Legrand</t>
  </si>
  <si>
    <t>422072</t>
  </si>
  <si>
    <t>DPX3/630-S2(LSI) 400A 50kA (4P)</t>
  </si>
  <si>
    <t>ITM de 4x400A, electronico S2(LSI) ( Reg. 160-400A ) DPX3 630, 100kA@220-240 Vac.- 50kA@380-415 Vac. - marca Legrand</t>
  </si>
  <si>
    <t>422073</t>
  </si>
  <si>
    <t>DPX3/630-S2(LSI) 500A 50kA (4P)</t>
  </si>
  <si>
    <t>ITM de 4x500A, electronico S2(LSI) ( Reg. 200-500A ) DPX3 630, 100kA@220-240 Vac.- 50kA@380-415 Vac. - marca Legrand</t>
  </si>
  <si>
    <t>422074</t>
  </si>
  <si>
    <t>422075</t>
  </si>
  <si>
    <t>MEC_DMX3-T1</t>
  </si>
  <si>
    <t>CAB_DMX3-T1</t>
  </si>
  <si>
    <t>Contacto auxiliar o señal de defecto para DPX3 160/250 - marca Legrand</t>
  </si>
  <si>
    <t>TERMOMAGNETICOS DIFERENCIALES DPX3 160 PANTALLA LCD</t>
  </si>
  <si>
    <t>Sensibilidad diferencial regulable desde  0.03  a  3A</t>
  </si>
  <si>
    <t>DPX3/160- 16A 36kA (4P)TER.DIF</t>
  </si>
  <si>
    <t xml:space="preserve">  ITM. Termomagnético diferencial de 4x16A, ( Reg. 12.8-16A ) DPX3 160 4P - 36kA/400 Vac- marca Legrand</t>
  </si>
  <si>
    <t>420110</t>
  </si>
  <si>
    <t>DPX3/160- 25A 36kA (4P)TER.DIF</t>
  </si>
  <si>
    <t xml:space="preserve">  ITM. Termomagnético diferencial de 4x25A, ( Reg. 20-25A ) DPX3 160 4P - 36kA/400 Vac- marca Legrand</t>
  </si>
  <si>
    <t>420111</t>
  </si>
  <si>
    <t>DPX3/160- 40A 36kA (4P)TER.DIF</t>
  </si>
  <si>
    <t xml:space="preserve">  ITM. Termomagnético diferencial de 4x40A, ( Reg. 32-40A ) DPX3 160 4P - 36kA/400 Vac- marca Legrand</t>
  </si>
  <si>
    <t>420112</t>
  </si>
  <si>
    <t>DPX3/160- 63A 36kA (4P)TER.DIF</t>
  </si>
  <si>
    <t xml:space="preserve">  ITM. Termomagnético diferencial de 4x63A, ( Reg. 50.4-63A ) DPX3 160 4P - 36kA/400 Vac- marca Legrand</t>
  </si>
  <si>
    <t>420113</t>
  </si>
  <si>
    <t>DPX3/160- 80A 36kA (4P)TER.DIF</t>
  </si>
  <si>
    <t xml:space="preserve">  ITM. Termomagnético diferencial de 4x80A, ( Reg. 64-80A ) DPX3 160 4P - 36kA/400 Vac- marca Legrand</t>
  </si>
  <si>
    <t>420114</t>
  </si>
  <si>
    <t>DPX3/160- 100A 36kA (4P)TER.DIF</t>
  </si>
  <si>
    <t xml:space="preserve">  ITM. Termomagnético diferencial de 4x100A, ( Reg. 80-100A ) DPX3 160 4P - 36kA/400 Vac- marca Legrand</t>
  </si>
  <si>
    <t>420115</t>
  </si>
  <si>
    <t>DPX3/160- 125A 36kA (4P)TER.DIF</t>
  </si>
  <si>
    <t xml:space="preserve">  ITM. Termomagnético diferencial de 4x125A, ( Reg. 100-125A ) DPX3 160 4P - 36kA/400 Vac- marca Legrand</t>
  </si>
  <si>
    <t>420116</t>
  </si>
  <si>
    <t>DPX3/160- 160A 36kA (4P)TER.DIF</t>
  </si>
  <si>
    <t xml:space="preserve">  ITM. Termomagnético diferencial de 4x160A, ( Reg. 128-160A ) DPX3 160 4P - 36kA/400 Vac- marca Legrand</t>
  </si>
  <si>
    <t>420117</t>
  </si>
  <si>
    <t>DPX3/160- 80A 50kA (4P)TER.DIF</t>
  </si>
  <si>
    <t xml:space="preserve">  ITM. Termomagnético diferencial de 4x80A, ( Reg. 64-80A ) DPX3 160 4P - 50kA/400 Vac- marca Legrand</t>
  </si>
  <si>
    <t>DPX3/160- 100A 50kA (4P)TER.DIF</t>
  </si>
  <si>
    <t xml:space="preserve">  ITM. Termomagnético diferencial de 4x100A, ( Reg. 80-100A ) DPX3 160 4P - 50kA/400 Vac- marca Legrand</t>
  </si>
  <si>
    <t>DPX3/160- 125A 50kA (4P)TER.DIF</t>
  </si>
  <si>
    <t xml:space="preserve">  ITM. Termomagnético diferencial de 4x125 ( Reg. 100-125A ) DPX3 160 4P - 50kA/400 Vac- marca Legrand</t>
  </si>
  <si>
    <t>DPX3/160- 160A 50kA (4P)TER.DIF</t>
  </si>
  <si>
    <t xml:space="preserve">  ITM. Termomagnético diferencial de 4x160A, ( Reg. 128-160A ) DPX3 160 4P - 50kA/400 Vac- marca Legrand</t>
  </si>
  <si>
    <t>DPX3/250- 200A 36kA (4P)TER.DIF</t>
  </si>
  <si>
    <t xml:space="preserve">  ITM. Termomagnético diferencial de 4x200 ( Reg. 160-200A ) DPX3 250 4P - 36kA/400 Vac- marca Legrand</t>
  </si>
  <si>
    <t>420258</t>
  </si>
  <si>
    <t>DPX3/250- 250A 36kA (4P)TER.DIF</t>
  </si>
  <si>
    <t xml:space="preserve">  ITM. Termomagnético diferencial de 4x250 ( Reg. 200-250A ) DPX3 250 4P - 36kA/400 Vac- marca Legrand</t>
  </si>
  <si>
    <t>420259</t>
  </si>
  <si>
    <t>DPX3/250- 200A 50kA (4P)TER.DIF</t>
  </si>
  <si>
    <t xml:space="preserve">  ITM. Termomagnético diferencial de 4x200 ( Reg. 160-200A ) DPX3 250 4P - 50kA/400 Vac- marca Legrand</t>
  </si>
  <si>
    <t>DPX3/250- 250A 50kA (4P)TER.DIF</t>
  </si>
  <si>
    <t xml:space="preserve">  ITM. Termomagnético diferencial de 4x250 ( Reg. 200-250A ) DPX3 250 4P - 50kA/400 Vac- marca Legrand</t>
  </si>
  <si>
    <t>Bloque-dif 400A DPX3/630 (3P)</t>
  </si>
  <si>
    <t>Bloque diferencial electrónico 3P de 400A c/contac. señalización de falla, para DPX3 630</t>
  </si>
  <si>
    <t>026060</t>
  </si>
  <si>
    <t>Bloque-dif 630A DPX3/630 (3P)</t>
  </si>
  <si>
    <t>Bloque diferencial electrónico 3P de 630A c/contac. señalización de falla, para DPX3 630</t>
  </si>
  <si>
    <t>026064</t>
  </si>
  <si>
    <t>Bloque-dif 400A DPX3/630 (4P)</t>
  </si>
  <si>
    <t>Bloque diferencial electrónico 4P de 400A c/contac. señalización de falla, para DPX3 630</t>
  </si>
  <si>
    <t>026061</t>
  </si>
  <si>
    <t>Bloque-dif 630A DPX3/630 (4P)</t>
  </si>
  <si>
    <t>Bloque diferencial electrónico 4P de 630A c/contac. señalización de falla, para DPX3 630</t>
  </si>
  <si>
    <t>026065</t>
  </si>
  <si>
    <t>General Electric</t>
  </si>
  <si>
    <t>DPCAi100C06/030</t>
  </si>
  <si>
    <t>Interruptor termomagnético+Diferencial Tipo Ai 2x6A, marca General Electric</t>
  </si>
  <si>
    <t>GE</t>
  </si>
  <si>
    <t>GENERAL ELECTRIC</t>
  </si>
  <si>
    <t>DPCAi100C10/030</t>
  </si>
  <si>
    <t>Interruptor termomagnético+Diferencial Tipo Ai 2x10A, marca General Electric</t>
  </si>
  <si>
    <t>DPCAi100C16/030</t>
  </si>
  <si>
    <t>Interruptor termomagnético+Diferencial Tipo Ai 2x16A, marca General Electric</t>
  </si>
  <si>
    <t>DPCAi100C20/030</t>
  </si>
  <si>
    <t>Interruptor termomagnético+Diferencial Tipo Ai 2x20A, marca General Electric</t>
  </si>
  <si>
    <t>DPCAi100C25/030</t>
  </si>
  <si>
    <t>Interruptor termomagnético+Diferencial Tipo Ai 2x25A, marca General Electric</t>
  </si>
  <si>
    <t>DPCAi100C32/030</t>
  </si>
  <si>
    <t>Interruptor termomagnético+Diferencial Tipo Ai 2x32A, marca General Electric</t>
  </si>
  <si>
    <t>DPCAi100C40/030</t>
  </si>
  <si>
    <t>Interruptor termomagnético+Diferencial Tipo Ai 2x40A, marca General Electric</t>
  </si>
  <si>
    <t>RES-tri_DIN</t>
  </si>
  <si>
    <t>no se verifica el cambio en el diag. En la ot 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</si>
</sst>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quot;S/.&quot;\ #,##0.00;[Red]&quot;S/.&quot;\ \-#,##0.00"/>
    <numFmt numFmtId="165" formatCode="_ &quot;S/.&quot;\ * #,##0.00_ ;_ &quot;S/.&quot;\ * \-#,##0.00_ ;_ &quot;S/.&quot;\ * &quot;-&quot;??_ ;_ @_ "/>
    <numFmt numFmtId="166" formatCode="_ * #,##0.00_ ;_ * \-#,##0.00_ ;_ * &quot;-&quot;??_ ;_ @_ "/>
    <numFmt numFmtId="167" formatCode="_([$€-2]* #,##0.00_);_([$€-2]* \(#,##0.00\);_([$€-2]* &quot;-&quot;??_)"/>
    <numFmt numFmtId="168" formatCode="_([$$-409]* #,##0.00_);_([$$-409]* \(#,##0.00\);_([$$-409]* &quot;-&quot;??_);_(@_)"/>
    <numFmt numFmtId="169" formatCode="_-[$$-409]* #,##0.00_ ;_-[$$-409]* \-#,##0.00\ ;_-[$$-409]* \-??_ ;_-@_ "/>
    <numFmt numFmtId="170" formatCode="0;[Red]0"/>
    <numFmt numFmtId="171" formatCode="_-[$$-409]* #,##0.00_ ;_-[$$-409]* \-#,##0.00\ ;_-[$$-409]* &quot;-&quot;??_ ;_-@_ "/>
    <numFmt numFmtId="172" formatCode="_-[$$-540A]* #,##0.00_ ;_-[$$-540A]* \-#,##0.00\ ;_-[$$-540A]* &quot;-&quot;??_ ;_-@_ "/>
    <numFmt numFmtId="173" formatCode="_ [$S/.-280A]\ * #,##0.00_ ;_ [$S/.-280A]\ * \-#,##0.00_ ;_ [$S/.-280A]\ * &quot;-&quot;??_ ;_ @_ "/>
    <numFmt numFmtId="174" formatCode="#\ &quot;A&quot;"/>
    <numFmt numFmtId="175" formatCode="0.000"/>
    <numFmt numFmtId="176" formatCode="_-[$$-500A]\ * #,##0.00_ ;_-[$$-500A]\ * \-#,##0.00\ ;_-[$$-500A]\ * &quot;-&quot;??_ ;_-@_ "/>
    <numFmt numFmtId="177" formatCode="_([$$-409]* #,##0.00_);_([$$-409]* \(#,##0.00\);_([$$-409]* \-??_);_(@_)"/>
    <numFmt numFmtId="178" formatCode="&quot;S/. &quot;#,##0.00_);&quot;(S/. &quot;#,##0.00\)"/>
    <numFmt numFmtId="179" formatCode="[$S/.-280A]\ #,##0.00"/>
    <numFmt numFmtId="180" formatCode="[$$-409]#,##0.00"/>
    <numFmt numFmtId="181" formatCode="&quot;Lima - Perú, &quot;\ [$-280A]d&quot; de &quot;mmmm&quot; de &quot;yyyy;@"/>
    <numFmt numFmtId="182" formatCode="0\ &quot;polos&quot;"/>
    <numFmt numFmtId="183" formatCode="0\ &quot;polos (Panel)&quot;"/>
    <numFmt numFmtId="184" formatCode="0.0;[Red]0.0"/>
  </numFmts>
  <fonts count="21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u/>
      <sz val="10"/>
      <name val="Arial"/>
      <family val="2"/>
    </font>
    <font>
      <sz val="8"/>
      <name val="Arial"/>
      <family val="2"/>
    </font>
    <font>
      <b/>
      <sz val="10"/>
      <color indexed="10"/>
      <name val="Arial"/>
      <family val="2"/>
    </font>
    <font>
      <sz val="10"/>
      <name val="Arial"/>
      <family val="2"/>
    </font>
    <font>
      <b/>
      <sz val="10"/>
      <name val="Arial"/>
      <family val="2"/>
    </font>
    <font>
      <sz val="10"/>
      <name val="Arial"/>
      <family val="2"/>
    </font>
    <font>
      <sz val="9"/>
      <color indexed="10"/>
      <name val="Geneva"/>
    </font>
    <font>
      <sz val="12"/>
      <name val="Arial"/>
      <family val="2"/>
    </font>
    <font>
      <b/>
      <sz val="12"/>
      <name val="Arial"/>
      <family val="2"/>
    </font>
    <font>
      <sz val="10"/>
      <color indexed="10"/>
      <name val="Arial"/>
      <family val="2"/>
    </font>
    <font>
      <b/>
      <sz val="10"/>
      <color indexed="12"/>
      <name val="Arial"/>
      <family val="2"/>
    </font>
    <font>
      <b/>
      <sz val="11"/>
      <name val="Arial"/>
      <family val="2"/>
    </font>
    <font>
      <b/>
      <u/>
      <sz val="11"/>
      <name val="Arial"/>
      <family val="2"/>
    </font>
    <font>
      <sz val="10"/>
      <color indexed="12"/>
      <name val="Arial"/>
      <family val="2"/>
    </font>
    <font>
      <sz val="10"/>
      <color indexed="60"/>
      <name val="Arial"/>
      <family val="2"/>
    </font>
    <font>
      <sz val="10"/>
      <color indexed="18"/>
      <name val="Arial"/>
      <family val="2"/>
    </font>
    <font>
      <b/>
      <sz val="10"/>
      <color indexed="18"/>
      <name val="Arial"/>
      <family val="2"/>
    </font>
    <font>
      <sz val="10"/>
      <color indexed="17"/>
      <name val="Arial"/>
      <family val="2"/>
    </font>
    <font>
      <sz val="10"/>
      <color indexed="16"/>
      <name val="Arial"/>
      <family val="2"/>
    </font>
    <font>
      <b/>
      <sz val="10"/>
      <color indexed="62"/>
      <name val="Arial"/>
      <family val="2"/>
    </font>
    <font>
      <sz val="10"/>
      <color indexed="48"/>
      <name val="Arial"/>
      <family val="2"/>
    </font>
    <font>
      <b/>
      <sz val="10"/>
      <color indexed="17"/>
      <name val="Arial"/>
      <family val="2"/>
    </font>
    <font>
      <b/>
      <sz val="10"/>
      <color indexed="57"/>
      <name val="Arial"/>
      <family val="2"/>
    </font>
    <font>
      <b/>
      <sz val="10"/>
      <color indexed="60"/>
      <name val="Arial"/>
      <family val="2"/>
    </font>
    <font>
      <sz val="10"/>
      <color indexed="56"/>
      <name val="Arial"/>
      <family val="2"/>
    </font>
    <font>
      <i/>
      <sz val="10"/>
      <name val="Arial"/>
      <family val="2"/>
    </font>
    <font>
      <b/>
      <i/>
      <sz val="10"/>
      <color indexed="56"/>
      <name val="Arial"/>
      <family val="2"/>
    </font>
    <font>
      <b/>
      <sz val="10"/>
      <color indexed="48"/>
      <name val="Arial"/>
      <family val="2"/>
    </font>
    <font>
      <sz val="10"/>
      <color indexed="14"/>
      <name val="Arial"/>
      <family val="2"/>
    </font>
    <font>
      <sz val="10"/>
      <color indexed="61"/>
      <name val="Arial"/>
      <family val="2"/>
    </font>
    <font>
      <sz val="10"/>
      <color rgb="FFFF00FF"/>
      <name val="Arial"/>
      <family val="2"/>
    </font>
    <font>
      <sz val="10"/>
      <color rgb="FFFF0000"/>
      <name val="Arial"/>
      <family val="2"/>
    </font>
    <font>
      <b/>
      <sz val="14"/>
      <name val="Arial"/>
      <family val="2"/>
    </font>
    <font>
      <sz val="11"/>
      <name val="Arial"/>
      <family val="2"/>
    </font>
    <font>
      <b/>
      <sz val="13"/>
      <name val="Arial"/>
      <family val="2"/>
    </font>
    <font>
      <b/>
      <vertAlign val="subscript"/>
      <sz val="11"/>
      <name val="Arial"/>
      <family val="2"/>
    </font>
    <font>
      <b/>
      <vertAlign val="subscript"/>
      <sz val="13"/>
      <name val="Arial"/>
      <family val="2"/>
    </font>
    <font>
      <sz val="10"/>
      <color theme="1"/>
      <name val="Arial"/>
      <family val="2"/>
    </font>
    <font>
      <b/>
      <u/>
      <sz val="10"/>
      <color theme="1"/>
      <name val="Arial"/>
      <family val="2"/>
    </font>
    <font>
      <b/>
      <u/>
      <sz val="11"/>
      <color theme="1"/>
      <name val="Calibri"/>
      <family val="2"/>
      <scheme val="minor"/>
    </font>
    <font>
      <sz val="11"/>
      <color rgb="FF0070C0"/>
      <name val="Times New Roman"/>
      <family val="1"/>
    </font>
    <font>
      <u/>
      <sz val="11"/>
      <color rgb="FFFF0000"/>
      <name val="Times New Roman"/>
      <family val="1"/>
    </font>
    <font>
      <b/>
      <sz val="11"/>
      <color rgb="FF7030A0"/>
      <name val="Times New Roman"/>
      <family val="1"/>
    </font>
    <font>
      <b/>
      <vertAlign val="subscript"/>
      <sz val="11"/>
      <color rgb="FF7030A0"/>
      <name val="Times New Roman"/>
      <family val="1"/>
    </font>
    <font>
      <sz val="11"/>
      <color rgb="FF0070C0"/>
      <name val="Arial"/>
      <family val="2"/>
    </font>
    <font>
      <sz val="7"/>
      <color rgb="FF0070C0"/>
      <name val="Times New Roman"/>
      <family val="1"/>
    </font>
    <font>
      <sz val="11"/>
      <color rgb="FF548235"/>
      <name val="Times New Roman"/>
      <family val="1"/>
    </font>
    <font>
      <sz val="11"/>
      <color rgb="FF548235"/>
      <name val="Arial"/>
      <family val="2"/>
    </font>
    <font>
      <sz val="7"/>
      <color rgb="FF548235"/>
      <name val="Times New Roman"/>
      <family val="1"/>
    </font>
    <font>
      <i/>
      <sz val="10"/>
      <color rgb="FF002060"/>
      <name val="Arial"/>
      <family val="2"/>
    </font>
    <font>
      <sz val="7"/>
      <color rgb="FFFF0000"/>
      <name val="Times New Roman"/>
      <family val="1"/>
    </font>
    <font>
      <i/>
      <u/>
      <sz val="10"/>
      <color rgb="FFFF0000"/>
      <name val="Arial"/>
      <family val="2"/>
    </font>
    <font>
      <sz val="10"/>
      <color rgb="FF7030A0"/>
      <name val="Arial"/>
      <family val="2"/>
    </font>
    <font>
      <sz val="7"/>
      <color rgb="FF7030A0"/>
      <name val="Times New Roman"/>
      <family val="1"/>
    </font>
    <font>
      <b/>
      <i/>
      <sz val="10"/>
      <color rgb="FF7030A0"/>
      <name val="Arial"/>
      <family val="2"/>
    </font>
    <font>
      <sz val="10"/>
      <color rgb="FF548235"/>
      <name val="Arial"/>
      <family val="2"/>
    </font>
    <font>
      <i/>
      <sz val="10"/>
      <color rgb="FF548235"/>
      <name val="Arial"/>
      <family val="2"/>
    </font>
    <font>
      <b/>
      <sz val="20"/>
      <name val="Arial"/>
      <family val="2"/>
    </font>
    <font>
      <sz val="14"/>
      <name val="Arial"/>
      <family val="2"/>
    </font>
    <font>
      <b/>
      <sz val="11"/>
      <color theme="1"/>
      <name val="Calibri"/>
      <family val="2"/>
      <scheme val="minor"/>
    </font>
    <font>
      <sz val="9"/>
      <color indexed="81"/>
      <name val="Tahoma"/>
      <family val="2"/>
    </font>
    <font>
      <b/>
      <sz val="9"/>
      <color indexed="81"/>
      <name val="Tahoma"/>
      <family val="2"/>
    </font>
    <font>
      <sz val="10"/>
      <color indexed="8"/>
      <name val="Arial"/>
      <family val="2"/>
    </font>
    <font>
      <b/>
      <sz val="10"/>
      <color rgb="FF0000FF"/>
      <name val="Arial"/>
      <family val="2"/>
    </font>
    <font>
      <sz val="10"/>
      <color rgb="FF0000FF"/>
      <name val="Arial"/>
      <family val="2"/>
    </font>
    <font>
      <sz val="10"/>
      <color rgb="FF008000"/>
      <name val="Arial"/>
      <family val="2"/>
    </font>
    <font>
      <sz val="10"/>
      <color rgb="FF00B050"/>
      <name val="Arial"/>
      <family val="2"/>
    </font>
    <font>
      <sz val="10"/>
      <color rgb="FF336BC7"/>
      <name val="Arial"/>
      <family val="2"/>
    </font>
    <font>
      <b/>
      <sz val="10"/>
      <color rgb="FF7030A0"/>
      <name val="Arial"/>
      <family val="2"/>
    </font>
    <font>
      <sz val="10"/>
      <name val="Arial"/>
      <family val="2"/>
    </font>
    <font>
      <sz val="10"/>
      <color theme="5"/>
      <name val="Arial"/>
      <family val="2"/>
    </font>
    <font>
      <sz val="11"/>
      <color rgb="FF3333FF"/>
      <name val="Arial"/>
      <family val="2"/>
    </font>
    <font>
      <sz val="11"/>
      <color theme="1"/>
      <name val="Arial"/>
      <family val="2"/>
    </font>
    <font>
      <b/>
      <sz val="11"/>
      <color theme="0"/>
      <name val="Arial"/>
      <family val="2"/>
    </font>
    <font>
      <sz val="9"/>
      <name val="Arial"/>
      <family val="2"/>
    </font>
    <font>
      <b/>
      <sz val="9"/>
      <name val="Arial"/>
      <family val="2"/>
    </font>
    <font>
      <b/>
      <sz val="9"/>
      <color rgb="FFFFFFFF"/>
      <name val="Arial"/>
      <family val="2"/>
    </font>
    <font>
      <sz val="9"/>
      <color rgb="FFC00000"/>
      <name val="Arial"/>
      <family val="2"/>
    </font>
    <font>
      <b/>
      <sz val="9"/>
      <color theme="0"/>
      <name val="Arial"/>
      <family val="2"/>
    </font>
    <font>
      <b/>
      <sz val="10"/>
      <color theme="1"/>
      <name val="Arial"/>
      <family val="2"/>
    </font>
    <font>
      <sz val="10"/>
      <color rgb="FF1A5A8E"/>
      <name val="Arial"/>
      <family val="2"/>
    </font>
    <font>
      <b/>
      <sz val="10"/>
      <color rgb="FF1A5A8E"/>
      <name val="Arial"/>
      <family val="2"/>
    </font>
    <font>
      <sz val="10"/>
      <color rgb="FF3333CC"/>
      <name val="Arial"/>
      <family val="2"/>
    </font>
    <font>
      <sz val="10"/>
      <name val="Arial"/>
      <family val="2"/>
    </font>
    <font>
      <sz val="10"/>
      <color theme="9" tint="-0.249977111117893"/>
      <name val="Arial"/>
      <family val="2"/>
    </font>
    <font>
      <sz val="10"/>
      <color rgb="FFC00000"/>
      <name val="Arial"/>
      <family val="2"/>
    </font>
    <font>
      <sz val="10"/>
      <name val="Arial"/>
      <family val="2"/>
    </font>
    <font>
      <sz val="11"/>
      <color rgb="FFC00000"/>
      <name val="Arial"/>
      <family val="2"/>
    </font>
    <font>
      <sz val="11"/>
      <color rgb="FF0000FF"/>
      <name val="Arial"/>
      <family val="2"/>
    </font>
    <font>
      <b/>
      <sz val="10"/>
      <color rgb="FFFF0000"/>
      <name val="Arial"/>
      <family val="2"/>
    </font>
    <font>
      <b/>
      <sz val="10"/>
      <color rgb="FFFFFF00"/>
      <name val="Arial"/>
      <family val="2"/>
    </font>
    <font>
      <sz val="10"/>
      <name val="Arial"/>
      <family val="2"/>
    </font>
    <font>
      <sz val="10"/>
      <name val="Arial"/>
      <family val="2"/>
    </font>
    <font>
      <b/>
      <sz val="11"/>
      <color theme="1"/>
      <name val="Arial"/>
      <family val="2"/>
    </font>
    <font>
      <sz val="11"/>
      <color rgb="FFFF0000"/>
      <name val="Arial"/>
      <family val="2"/>
    </font>
    <font>
      <b/>
      <sz val="11"/>
      <color theme="0"/>
      <name val="Lucida Sans Typewriter"/>
      <family val="3"/>
    </font>
    <font>
      <sz val="10"/>
      <color rgb="FF339966"/>
      <name val="Arial"/>
      <family val="2"/>
    </font>
    <font>
      <b/>
      <sz val="10"/>
      <color theme="0"/>
      <name val="Arial"/>
      <family val="2"/>
    </font>
    <font>
      <b/>
      <sz val="12"/>
      <color rgb="FF0000FF"/>
      <name val="Arial"/>
      <family val="2"/>
    </font>
    <font>
      <b/>
      <sz val="9"/>
      <color rgb="FF0000FF"/>
      <name val="Arial"/>
      <family val="2"/>
    </font>
    <font>
      <b/>
      <sz val="9"/>
      <color theme="1"/>
      <name val="Calibri"/>
      <family val="2"/>
      <scheme val="minor"/>
    </font>
    <font>
      <sz val="10"/>
      <color theme="5" tint="-0.249977111117893"/>
      <name val="Arial"/>
      <family val="2"/>
    </font>
    <font>
      <u/>
      <sz val="10"/>
      <name val="Arial"/>
      <family val="2"/>
    </font>
    <font>
      <b/>
      <sz val="10"/>
      <color rgb="FF3333CC"/>
      <name val="Arial"/>
      <family val="2"/>
    </font>
    <font>
      <sz val="10"/>
      <color theme="1" tint="0.34998626667073579"/>
      <name val="Arial"/>
      <family val="2"/>
    </font>
    <font>
      <i/>
      <sz val="10"/>
      <name val="Berlin Sans FB"/>
      <family val="2"/>
    </font>
    <font>
      <i/>
      <sz val="10"/>
      <color theme="1"/>
      <name val="Arial"/>
      <family val="2"/>
    </font>
    <font>
      <b/>
      <i/>
      <sz val="10"/>
      <name val="Berlin Sans FB"/>
      <family val="2"/>
    </font>
    <font>
      <sz val="10"/>
      <name val="Arial"/>
      <family val="2"/>
    </font>
    <font>
      <sz val="11"/>
      <color indexed="10"/>
      <name val="Arial"/>
      <family val="2"/>
    </font>
    <font>
      <b/>
      <u/>
      <sz val="9"/>
      <name val="Arial"/>
      <family val="2"/>
    </font>
    <font>
      <b/>
      <sz val="8"/>
      <name val="Arial"/>
      <family val="2"/>
    </font>
    <font>
      <b/>
      <sz val="11"/>
      <name val="Arial Black"/>
      <family val="2"/>
    </font>
    <font>
      <sz val="11"/>
      <name val="Arial Black"/>
      <family val="2"/>
    </font>
    <font>
      <b/>
      <sz val="11"/>
      <color indexed="12"/>
      <name val="Arial"/>
      <family val="2"/>
    </font>
    <font>
      <sz val="10"/>
      <color rgb="FF0000CC"/>
      <name val="Arial"/>
      <family val="2"/>
    </font>
    <font>
      <b/>
      <sz val="12"/>
      <color theme="0"/>
      <name val="Arial"/>
      <family val="2"/>
    </font>
    <font>
      <b/>
      <sz val="10"/>
      <color rgb="FF0000CC"/>
      <name val="Arial"/>
      <family val="2"/>
    </font>
    <font>
      <b/>
      <sz val="14"/>
      <color theme="1"/>
      <name val="Arial"/>
      <family val="2"/>
    </font>
    <font>
      <b/>
      <sz val="10"/>
      <color rgb="FF3333FF"/>
      <name val="Arial"/>
      <family val="2"/>
    </font>
    <font>
      <sz val="14"/>
      <color theme="0"/>
      <name val="Arial"/>
      <family val="2"/>
    </font>
    <font>
      <b/>
      <u/>
      <sz val="11"/>
      <color theme="1" tint="0.14999847407452621"/>
      <name val="Arial"/>
      <family val="2"/>
    </font>
    <font>
      <sz val="10"/>
      <color theme="1" tint="0.14999847407452621"/>
      <name val="Arial"/>
      <family val="2"/>
    </font>
    <font>
      <b/>
      <u/>
      <sz val="10"/>
      <color theme="1" tint="0.14999847407452621"/>
      <name val="Arial"/>
      <family val="2"/>
    </font>
    <font>
      <b/>
      <sz val="10"/>
      <color theme="1" tint="0.14999847407452621"/>
      <name val="Arial"/>
      <family val="2"/>
    </font>
    <font>
      <b/>
      <sz val="11"/>
      <color theme="1" tint="0.14999847407452621"/>
      <name val="Arial"/>
      <family val="2"/>
    </font>
    <font>
      <u/>
      <sz val="10"/>
      <color theme="1"/>
      <name val="Arial"/>
      <family val="2"/>
    </font>
    <font>
      <b/>
      <sz val="12"/>
      <color rgb="FFC00000"/>
      <name val="Arial"/>
      <family val="2"/>
    </font>
    <font>
      <b/>
      <sz val="16"/>
      <color rgb="FF0000CC"/>
      <name val="Arial"/>
      <family val="2"/>
    </font>
    <font>
      <b/>
      <sz val="22"/>
      <color rgb="FF008080"/>
      <name val="Arial"/>
      <family val="2"/>
    </font>
    <font>
      <sz val="11"/>
      <color theme="1" tint="0.34998626667073579"/>
      <name val="Arial"/>
      <family val="2"/>
    </font>
    <font>
      <sz val="10"/>
      <color theme="1" tint="0.499984740745262"/>
      <name val="Arial"/>
      <family val="2"/>
    </font>
    <font>
      <sz val="12"/>
      <color rgb="FFFF0000"/>
      <name val="Arial"/>
      <family val="2"/>
    </font>
    <font>
      <sz val="11"/>
      <color rgb="FF0033CC"/>
      <name val="Arial"/>
      <family val="2"/>
    </font>
    <font>
      <b/>
      <sz val="14"/>
      <color rgb="FF7030A0"/>
      <name val="Arial"/>
      <family val="2"/>
    </font>
    <font>
      <b/>
      <sz val="12"/>
      <color rgb="FF7030A0"/>
      <name val="Arial"/>
      <family val="2"/>
    </font>
    <font>
      <b/>
      <u/>
      <sz val="11"/>
      <color rgb="FF000066"/>
      <name val="Arial"/>
      <family val="2"/>
    </font>
    <font>
      <b/>
      <sz val="11"/>
      <color rgb="FF000066"/>
      <name val="Arial"/>
      <family val="2"/>
    </font>
    <font>
      <sz val="10"/>
      <color rgb="FF000066"/>
      <name val="Arial"/>
      <family val="2"/>
    </font>
    <font>
      <b/>
      <u/>
      <sz val="10"/>
      <color rgb="FF000066"/>
      <name val="Arial"/>
      <family val="2"/>
    </font>
    <font>
      <b/>
      <sz val="10"/>
      <color rgb="FF000066"/>
      <name val="Arial"/>
      <family val="2"/>
    </font>
    <font>
      <sz val="10"/>
      <color theme="3"/>
      <name val="Arial"/>
      <family val="2"/>
    </font>
    <font>
      <sz val="10"/>
      <color indexed="62"/>
      <name val="Arial"/>
      <family val="2"/>
    </font>
    <font>
      <b/>
      <sz val="30"/>
      <color rgb="FF0000CC"/>
      <name val="Arial"/>
      <family val="2"/>
    </font>
    <font>
      <b/>
      <sz val="22"/>
      <color rgb="FF00B050"/>
      <name val="Arial"/>
      <family val="2"/>
    </font>
    <font>
      <sz val="10"/>
      <color theme="1"/>
      <name val="Arial"/>
      <family val="2"/>
    </font>
    <font>
      <b/>
      <i/>
      <sz val="10"/>
      <color rgb="FF0000FF"/>
      <name val="Arial"/>
      <family val="2"/>
    </font>
    <font>
      <b/>
      <sz val="12"/>
      <color indexed="12"/>
      <name val="Arial"/>
      <family val="2"/>
    </font>
    <font>
      <b/>
      <sz val="10"/>
      <color theme="5"/>
      <name val="Arial"/>
      <family val="2"/>
    </font>
    <font>
      <sz val="9"/>
      <color rgb="FF000000"/>
      <name val="Arial"/>
      <family val="2"/>
    </font>
    <font>
      <sz val="11"/>
      <color rgb="FF000000"/>
      <name val="Lucida Sans Unicode"/>
      <family val="2"/>
    </font>
    <font>
      <sz val="12"/>
      <color theme="1"/>
      <name val="Arial"/>
      <family val="2"/>
    </font>
    <font>
      <sz val="11"/>
      <color rgb="FF1F497D"/>
      <name val="Calibri"/>
      <family val="2"/>
    </font>
    <font>
      <b/>
      <sz val="12"/>
      <color rgb="FF6A6A6A"/>
      <name val="Arial"/>
      <family val="2"/>
    </font>
    <font>
      <b/>
      <sz val="36"/>
      <color rgb="FF7030A0"/>
      <name val="Arial"/>
      <family val="2"/>
    </font>
    <font>
      <b/>
      <sz val="16"/>
      <name val="Arial"/>
      <family val="2"/>
    </font>
    <font>
      <b/>
      <sz val="12"/>
      <color rgb="FFFF0000"/>
      <name val="Arial"/>
      <family val="2"/>
    </font>
    <font>
      <b/>
      <sz val="15"/>
      <color rgb="FF7030A0"/>
      <name val="Arial"/>
      <family val="2"/>
    </font>
    <font>
      <b/>
      <sz val="13"/>
      <color indexed="12"/>
      <name val="Arial"/>
      <family val="2"/>
    </font>
    <font>
      <b/>
      <sz val="11"/>
      <color theme="1" tint="0.499984740745262"/>
      <name val="Arial"/>
      <family val="2"/>
    </font>
    <font>
      <sz val="11"/>
      <color theme="1" tint="0.499984740745262"/>
      <name val="Arial"/>
      <family val="2"/>
    </font>
    <font>
      <sz val="11"/>
      <color theme="0"/>
      <name val="Arial"/>
      <family val="2"/>
    </font>
    <font>
      <i/>
      <sz val="10"/>
      <color rgb="FF0033CC"/>
      <name val="Arial"/>
      <family val="2"/>
    </font>
    <font>
      <i/>
      <sz val="12"/>
      <color rgb="FFC00000"/>
      <name val="Arial"/>
      <family val="2"/>
    </font>
    <font>
      <sz val="14"/>
      <color theme="5" tint="-0.499984740745262"/>
      <name val="Arial"/>
      <family val="2"/>
    </font>
    <font>
      <b/>
      <sz val="11"/>
      <color theme="5" tint="-0.499984740745262"/>
      <name val="Arial Narrow"/>
      <family val="2"/>
    </font>
    <font>
      <b/>
      <sz val="11"/>
      <color theme="1" tint="0.249977111117893"/>
      <name val="Arial"/>
      <family val="2"/>
    </font>
    <font>
      <b/>
      <sz val="12"/>
      <color theme="1" tint="0.249977111117893"/>
      <name val="Arial"/>
      <family val="2"/>
    </font>
    <font>
      <b/>
      <sz val="10"/>
      <color rgb="FF008000"/>
      <name val="Arial"/>
      <family val="2"/>
    </font>
    <font>
      <b/>
      <u/>
      <sz val="10"/>
      <color indexed="57"/>
      <name val="Arial"/>
      <family val="2"/>
    </font>
    <font>
      <b/>
      <sz val="10"/>
      <color theme="3"/>
      <name val="Arial"/>
      <family val="2"/>
    </font>
    <font>
      <b/>
      <sz val="10"/>
      <color theme="8" tint="0.59999389629810485"/>
      <name val="Arial"/>
      <family val="2"/>
    </font>
    <font>
      <b/>
      <u/>
      <sz val="10"/>
      <color rgb="FF0000FF"/>
      <name val="Arial"/>
      <family val="2"/>
    </font>
    <font>
      <b/>
      <sz val="10"/>
      <color rgb="FFC00000"/>
      <name val="Arial"/>
      <family val="2"/>
    </font>
    <font>
      <b/>
      <sz val="10"/>
      <color theme="9" tint="-0.249977111117893"/>
      <name val="Arial"/>
      <family val="2"/>
    </font>
    <font>
      <b/>
      <sz val="20"/>
      <color theme="0"/>
      <name val="Arial"/>
      <family val="2"/>
    </font>
    <font>
      <b/>
      <sz val="20"/>
      <color rgb="FF7030A0"/>
      <name val="Arial"/>
      <family val="2"/>
    </font>
    <font>
      <vertAlign val="superscript"/>
      <sz val="10"/>
      <color rgb="FF7030A0"/>
      <name val="Arial"/>
      <family val="2"/>
    </font>
    <font>
      <sz val="10"/>
      <color theme="1"/>
      <name val="Arial"/>
      <family val="2"/>
    </font>
    <font>
      <sz val="10"/>
      <color theme="8" tint="-0.499984740745262"/>
      <name val="Arial"/>
      <family val="2"/>
    </font>
    <font>
      <sz val="10"/>
      <name val="Arial"/>
      <family val="2"/>
    </font>
    <font>
      <sz val="11"/>
      <color rgb="FF333333"/>
      <name val="Arial"/>
      <family val="2"/>
    </font>
    <font>
      <b/>
      <sz val="12"/>
      <color theme="7" tint="-0.499984740745262"/>
      <name val="Arial"/>
      <family val="2"/>
    </font>
    <font>
      <sz val="14"/>
      <name val="Calibri"/>
      <family val="2"/>
    </font>
    <font>
      <b/>
      <sz val="11"/>
      <name val="BTcond"/>
    </font>
  </fonts>
  <fills count="69">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indexed="43"/>
        <bgColor indexed="64"/>
      </patternFill>
    </fill>
    <fill>
      <patternFill patternType="solid">
        <fgColor rgb="FFFFFF00"/>
        <bgColor indexed="64"/>
      </patternFill>
    </fill>
    <fill>
      <patternFill patternType="solid">
        <fgColor rgb="FF00B050"/>
        <bgColor indexed="64"/>
      </patternFill>
    </fill>
    <fill>
      <patternFill patternType="solid">
        <fgColor theme="2"/>
        <bgColor indexed="64"/>
      </patternFill>
    </fill>
    <fill>
      <patternFill patternType="solid">
        <fgColor indexed="9"/>
        <bgColor indexed="64"/>
      </patternFill>
    </fill>
    <fill>
      <patternFill patternType="solid">
        <fgColor indexed="31"/>
        <bgColor indexed="64"/>
      </patternFill>
    </fill>
    <fill>
      <patternFill patternType="solid">
        <fgColor theme="0"/>
        <bgColor indexed="64"/>
      </patternFill>
    </fill>
    <fill>
      <patternFill patternType="solid">
        <fgColor rgb="FFFF0000"/>
        <bgColor indexed="64"/>
      </patternFill>
    </fill>
    <fill>
      <patternFill patternType="solid">
        <fgColor theme="8" tint="0.79998168889431442"/>
        <bgColor indexed="64"/>
      </patternFill>
    </fill>
    <fill>
      <patternFill patternType="solid">
        <fgColor rgb="FFFFC00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rgb="FF00B0F0"/>
        <bgColor indexed="64"/>
      </patternFill>
    </fill>
    <fill>
      <patternFill patternType="solid">
        <fgColor rgb="FF92D050"/>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DCF5F8"/>
        <bgColor indexed="64"/>
      </patternFill>
    </fill>
    <fill>
      <patternFill patternType="solid">
        <fgColor theme="3" tint="0.79998168889431442"/>
        <bgColor indexed="64"/>
      </patternFill>
    </fill>
    <fill>
      <patternFill patternType="solid">
        <fgColor theme="3"/>
        <bgColor indexed="64"/>
      </patternFill>
    </fill>
    <fill>
      <patternFill patternType="solid">
        <fgColor theme="7" tint="-0.249977111117893"/>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66"/>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6" tint="-0.249977111117893"/>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3" tint="0.59999389629810485"/>
        <bgColor indexed="64"/>
      </patternFill>
    </fill>
    <fill>
      <patternFill patternType="solid">
        <fgColor theme="5"/>
        <bgColor indexed="64"/>
      </patternFill>
    </fill>
    <fill>
      <patternFill patternType="solid">
        <fgColor theme="4" tint="0.59999389629810485"/>
        <bgColor indexed="64"/>
      </patternFill>
    </fill>
    <fill>
      <patternFill patternType="solid">
        <fgColor indexed="50"/>
        <bgColor indexed="64"/>
      </patternFill>
    </fill>
    <fill>
      <patternFill patternType="solid">
        <fgColor rgb="FF546B7E"/>
        <bgColor indexed="64"/>
      </patternFill>
    </fill>
    <fill>
      <patternFill patternType="solid">
        <fgColor theme="2" tint="-9.9978637043366805E-2"/>
        <bgColor indexed="64"/>
      </patternFill>
    </fill>
    <fill>
      <patternFill patternType="solid">
        <fgColor rgb="FFA9D389"/>
        <bgColor indexed="64"/>
      </patternFill>
    </fill>
    <fill>
      <patternFill patternType="solid">
        <fgColor rgb="FFFFFFFF"/>
        <bgColor indexed="64"/>
      </patternFill>
    </fill>
    <fill>
      <patternFill patternType="solid">
        <fgColor rgb="FF0033CC"/>
        <bgColor indexed="64"/>
      </patternFill>
    </fill>
    <fill>
      <patternFill patternType="solid">
        <fgColor theme="3" tint="0.39997558519241921"/>
        <bgColor indexed="64"/>
      </patternFill>
    </fill>
    <fill>
      <patternFill patternType="solid">
        <fgColor rgb="FFC00000"/>
        <bgColor indexed="64"/>
      </patternFill>
    </fill>
    <fill>
      <patternFill patternType="solid">
        <fgColor theme="5" tint="0.39997558519241921"/>
        <bgColor indexed="64"/>
      </patternFill>
    </fill>
    <fill>
      <patternFill patternType="solid">
        <fgColor rgb="FFFFCC00"/>
        <bgColor indexed="64"/>
      </patternFill>
    </fill>
    <fill>
      <patternFill patternType="solid">
        <fgColor theme="5" tint="-0.249977111117893"/>
        <bgColor indexed="64"/>
      </patternFill>
    </fill>
    <fill>
      <patternFill patternType="solid">
        <fgColor rgb="FF008000"/>
        <bgColor indexed="64"/>
      </patternFill>
    </fill>
    <fill>
      <patternFill patternType="solid">
        <fgColor rgb="FFFFFFCC"/>
        <bgColor indexed="64"/>
      </patternFill>
    </fill>
    <fill>
      <patternFill patternType="solid">
        <fgColor rgb="FF0000FF"/>
        <bgColor indexed="64"/>
      </patternFill>
    </fill>
    <fill>
      <patternFill patternType="solid">
        <fgColor theme="2" tint="-0.499984740745262"/>
        <bgColor indexed="64"/>
      </patternFill>
    </fill>
    <fill>
      <patternFill patternType="solid">
        <fgColor rgb="FF0000CC"/>
        <bgColor indexed="64"/>
      </patternFill>
    </fill>
    <fill>
      <patternFill patternType="solid">
        <fgColor theme="6"/>
        <bgColor indexed="64"/>
      </patternFill>
    </fill>
    <fill>
      <patternFill patternType="solid">
        <fgColor theme="7" tint="0.39997558519241921"/>
        <bgColor indexed="64"/>
      </patternFill>
    </fill>
    <fill>
      <patternFill patternType="solid">
        <fgColor theme="1" tint="0.499984740745262"/>
        <bgColor indexed="64"/>
      </patternFill>
    </fill>
    <fill>
      <patternFill patternType="solid">
        <fgColor rgb="FFA0ABBC"/>
        <bgColor indexed="64"/>
      </patternFill>
    </fill>
    <fill>
      <patternFill patternType="solid">
        <fgColor rgb="FF7030A0"/>
        <bgColor indexed="64"/>
      </patternFill>
    </fill>
    <fill>
      <patternFill patternType="solid">
        <fgColor theme="8"/>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right style="thin">
        <color indexed="64"/>
      </right>
      <top/>
      <bottom style="medium">
        <color indexed="64"/>
      </bottom>
      <diagonal/>
    </border>
    <border>
      <left/>
      <right style="thin">
        <color indexed="64"/>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medium">
        <color indexed="64"/>
      </right>
      <top/>
      <bottom/>
      <diagonal/>
    </border>
    <border>
      <left style="hair">
        <color indexed="64"/>
      </left>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top/>
      <bottom/>
      <diagonal/>
    </border>
  </borders>
  <cellStyleXfs count="39497">
    <xf numFmtId="0" fontId="0" fillId="0" borderId="0"/>
    <xf numFmtId="0" fontId="29" fillId="0" borderId="0"/>
    <xf numFmtId="0" fontId="29" fillId="0" borderId="0"/>
    <xf numFmtId="167" fontId="24" fillId="0" borderId="0" applyFont="0" applyFill="0" applyBorder="0" applyAlignment="0" applyProtection="0"/>
    <xf numFmtId="0" fontId="32" fillId="0" borderId="0"/>
    <xf numFmtId="0" fontId="24" fillId="0" borderId="0"/>
    <xf numFmtId="0" fontId="24" fillId="0" borderId="0"/>
    <xf numFmtId="0" fontId="24" fillId="0" borderId="0"/>
    <xf numFmtId="0" fontId="24" fillId="0" borderId="0"/>
    <xf numFmtId="0" fontId="24" fillId="0" borderId="0"/>
    <xf numFmtId="0" fontId="23" fillId="0" borderId="0"/>
    <xf numFmtId="0" fontId="24" fillId="0" borderId="0"/>
    <xf numFmtId="0" fontId="22" fillId="0" borderId="0"/>
    <xf numFmtId="9" fontId="22" fillId="0" borderId="0" applyFont="0" applyFill="0" applyBorder="0" applyAlignment="0" applyProtection="0"/>
    <xf numFmtId="0" fontId="21" fillId="0" borderId="0"/>
    <xf numFmtId="0" fontId="20" fillId="0" borderId="0"/>
    <xf numFmtId="9" fontId="20" fillId="0" borderId="0" applyFont="0" applyFill="0" applyBorder="0" applyAlignment="0" applyProtection="0"/>
    <xf numFmtId="0" fontId="19" fillId="0" borderId="0"/>
    <xf numFmtId="9" fontId="19" fillId="0" borderId="0" applyFont="0" applyFill="0" applyBorder="0" applyAlignment="0" applyProtection="0"/>
    <xf numFmtId="166" fontId="19" fillId="0" borderId="0" applyFont="0" applyFill="0" applyBorder="0" applyAlignment="0" applyProtection="0"/>
    <xf numFmtId="166" fontId="19" fillId="0" borderId="0" applyFont="0" applyFill="0" applyBorder="0" applyAlignment="0" applyProtection="0"/>
    <xf numFmtId="0" fontId="88" fillId="0" borderId="0"/>
    <xf numFmtId="0" fontId="24" fillId="0" borderId="0"/>
    <xf numFmtId="0" fontId="24" fillId="0" borderId="0"/>
    <xf numFmtId="0" fontId="19" fillId="0" borderId="0"/>
    <xf numFmtId="0" fontId="19" fillId="0" borderId="0"/>
    <xf numFmtId="9" fontId="19" fillId="0" borderId="0" applyFont="0" applyFill="0" applyBorder="0" applyAlignment="0" applyProtection="0"/>
    <xf numFmtId="0" fontId="19" fillId="0" borderId="0"/>
    <xf numFmtId="9" fontId="24" fillId="0" borderId="0" applyFont="0" applyFill="0" applyBorder="0" applyAlignment="0" applyProtection="0"/>
    <xf numFmtId="0" fontId="19" fillId="0" borderId="0"/>
    <xf numFmtId="9" fontId="19" fillId="0" borderId="0" applyFont="0" applyFill="0" applyBorder="0" applyAlignment="0" applyProtection="0"/>
    <xf numFmtId="0" fontId="24" fillId="0" borderId="0"/>
    <xf numFmtId="9" fontId="24" fillId="0" borderId="0" applyFont="0" applyFill="0" applyBorder="0" applyAlignment="0" applyProtection="0"/>
    <xf numFmtId="0" fontId="18" fillId="0" borderId="0"/>
    <xf numFmtId="166" fontId="18" fillId="0" borderId="0" applyFont="0" applyFill="0" applyBorder="0" applyAlignment="0" applyProtection="0"/>
    <xf numFmtId="9" fontId="18" fillId="0" borderId="0" applyFont="0" applyFill="0" applyBorder="0" applyAlignment="0" applyProtection="0"/>
    <xf numFmtId="166" fontId="18" fillId="0" borderId="0" applyFont="0" applyFill="0" applyBorder="0" applyAlignment="0" applyProtection="0"/>
    <xf numFmtId="0" fontId="95" fillId="0" borderId="0"/>
    <xf numFmtId="0" fontId="24" fillId="0" borderId="0"/>
    <xf numFmtId="0" fontId="18" fillId="0" borderId="0"/>
    <xf numFmtId="0" fontId="18" fillId="0" borderId="0"/>
    <xf numFmtId="9" fontId="18" fillId="0" borderId="0" applyFont="0" applyFill="0" applyBorder="0" applyAlignment="0" applyProtection="0"/>
    <xf numFmtId="0" fontId="18" fillId="0" borderId="0"/>
    <xf numFmtId="9" fontId="95"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9" fontId="18" fillId="0" borderId="0" applyFont="0" applyFill="0" applyBorder="0" applyAlignment="0" applyProtection="0"/>
    <xf numFmtId="166"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0" fontId="18" fillId="0" borderId="0"/>
    <xf numFmtId="0" fontId="18" fillId="0" borderId="0"/>
    <xf numFmtId="9" fontId="18" fillId="0" borderId="0" applyFont="0" applyFill="0" applyBorder="0" applyAlignment="0" applyProtection="0"/>
    <xf numFmtId="0" fontId="24" fillId="0" borderId="0"/>
    <xf numFmtId="9" fontId="24" fillId="0" borderId="0" applyFont="0" applyFill="0" applyBorder="0" applyAlignment="0" applyProtection="0"/>
    <xf numFmtId="0" fontId="17" fillId="0" borderId="0"/>
    <xf numFmtId="166" fontId="17" fillId="0" borderId="0" applyFont="0" applyFill="0" applyBorder="0" applyAlignment="0" applyProtection="0"/>
    <xf numFmtId="9" fontId="17" fillId="0" borderId="0" applyFont="0" applyFill="0" applyBorder="0" applyAlignment="0" applyProtection="0"/>
    <xf numFmtId="166" fontId="17" fillId="0" borderId="0" applyFont="0" applyFill="0" applyBorder="0" applyAlignment="0" applyProtection="0"/>
    <xf numFmtId="0" fontId="95" fillId="0" borderId="0"/>
    <xf numFmtId="0" fontId="24" fillId="0" borderId="0"/>
    <xf numFmtId="0" fontId="17" fillId="0" borderId="0"/>
    <xf numFmtId="0" fontId="17" fillId="0" borderId="0"/>
    <xf numFmtId="9" fontId="17" fillId="0" borderId="0" applyFont="0" applyFill="0" applyBorder="0" applyAlignment="0" applyProtection="0"/>
    <xf numFmtId="0" fontId="17" fillId="0" borderId="0"/>
    <xf numFmtId="9" fontId="95"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9" fontId="17" fillId="0" borderId="0" applyFont="0" applyFill="0" applyBorder="0" applyAlignment="0" applyProtection="0"/>
    <xf numFmtId="166" fontId="17"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166" fontId="17" fillId="0" borderId="0" applyFont="0" applyFill="0" applyBorder="0" applyAlignment="0" applyProtection="0"/>
    <xf numFmtId="9" fontId="17" fillId="0" borderId="0" applyFont="0" applyFill="0" applyBorder="0" applyAlignment="0" applyProtection="0"/>
    <xf numFmtId="166" fontId="17"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9" fontId="17" fillId="0" borderId="0" applyFont="0" applyFill="0" applyBorder="0" applyAlignment="0" applyProtection="0"/>
    <xf numFmtId="166" fontId="17"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24" fillId="0" borderId="0"/>
    <xf numFmtId="9" fontId="24" fillId="0" borderId="0" applyFont="0" applyFill="0" applyBorder="0" applyAlignment="0" applyProtection="0"/>
    <xf numFmtId="0" fontId="16" fillId="0" borderId="0"/>
    <xf numFmtId="9" fontId="16" fillId="0" borderId="0" applyFont="0" applyFill="0" applyBorder="0" applyAlignment="0" applyProtection="0"/>
    <xf numFmtId="166" fontId="16" fillId="0" borderId="0" applyFont="0" applyFill="0" applyBorder="0" applyAlignment="0" applyProtection="0"/>
    <xf numFmtId="166" fontId="16" fillId="0" borderId="0" applyFont="0" applyFill="0" applyBorder="0" applyAlignment="0" applyProtection="0"/>
    <xf numFmtId="0" fontId="95" fillId="0" borderId="0"/>
    <xf numFmtId="0" fontId="24" fillId="0" borderId="0"/>
    <xf numFmtId="0" fontId="16" fillId="0" borderId="0"/>
    <xf numFmtId="0" fontId="16" fillId="0" borderId="0"/>
    <xf numFmtId="9" fontId="16" fillId="0" borderId="0" applyFont="0" applyFill="0" applyBorder="0" applyAlignment="0" applyProtection="0"/>
    <xf numFmtId="0" fontId="16" fillId="0" borderId="0"/>
    <xf numFmtId="9" fontId="95" fillId="0" borderId="0" applyFont="0" applyFill="0" applyBorder="0" applyAlignment="0" applyProtection="0"/>
    <xf numFmtId="0" fontId="16" fillId="0" borderId="0"/>
    <xf numFmtId="9" fontId="16" fillId="0" borderId="0" applyFont="0" applyFill="0" applyBorder="0" applyAlignment="0" applyProtection="0"/>
    <xf numFmtId="0" fontId="16" fillId="0" borderId="0"/>
    <xf numFmtId="9" fontId="16" fillId="0" borderId="0" applyFont="0" applyFill="0" applyBorder="0" applyAlignment="0" applyProtection="0"/>
    <xf numFmtId="166"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166" fontId="16" fillId="0" borderId="0" applyFont="0" applyFill="0" applyBorder="0" applyAlignment="0" applyProtection="0"/>
    <xf numFmtId="9" fontId="16" fillId="0" borderId="0" applyFont="0" applyFill="0" applyBorder="0" applyAlignment="0" applyProtection="0"/>
    <xf numFmtId="166"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9" fontId="16" fillId="0" borderId="0" applyFont="0" applyFill="0" applyBorder="0" applyAlignment="0" applyProtection="0"/>
    <xf numFmtId="166"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166" fontId="16" fillId="0" borderId="0" applyFont="0" applyFill="0" applyBorder="0" applyAlignment="0" applyProtection="0"/>
    <xf numFmtId="9" fontId="16" fillId="0" borderId="0" applyFont="0" applyFill="0" applyBorder="0" applyAlignment="0" applyProtection="0"/>
    <xf numFmtId="166"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9" fontId="16" fillId="0" borderId="0" applyFont="0" applyFill="0" applyBorder="0" applyAlignment="0" applyProtection="0"/>
    <xf numFmtId="166"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166" fontId="16" fillId="0" borderId="0" applyFont="0" applyFill="0" applyBorder="0" applyAlignment="0" applyProtection="0"/>
    <xf numFmtId="9" fontId="16" fillId="0" borderId="0" applyFont="0" applyFill="0" applyBorder="0" applyAlignment="0" applyProtection="0"/>
    <xf numFmtId="166"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9" fontId="16" fillId="0" borderId="0" applyFont="0" applyFill="0" applyBorder="0" applyAlignment="0" applyProtection="0"/>
    <xf numFmtId="166"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9" fontId="24" fillId="0" borderId="0" applyFont="0" applyFill="0" applyBorder="0" applyAlignment="0" applyProtection="0"/>
    <xf numFmtId="0" fontId="24" fillId="0" borderId="0"/>
    <xf numFmtId="0" fontId="15" fillId="0" borderId="0"/>
    <xf numFmtId="166" fontId="15" fillId="0" borderId="0" applyFont="0" applyFill="0" applyBorder="0" applyAlignment="0" applyProtection="0"/>
    <xf numFmtId="9" fontId="15" fillId="0" borderId="0" applyFont="0" applyFill="0" applyBorder="0" applyAlignment="0" applyProtection="0"/>
    <xf numFmtId="166" fontId="15" fillId="0" borderId="0" applyFont="0" applyFill="0" applyBorder="0" applyAlignment="0" applyProtection="0"/>
    <xf numFmtId="0" fontId="95" fillId="0" borderId="0"/>
    <xf numFmtId="0" fontId="24" fillId="0" borderId="0"/>
    <xf numFmtId="0" fontId="15" fillId="0" borderId="0"/>
    <xf numFmtId="0" fontId="15" fillId="0" borderId="0"/>
    <xf numFmtId="9" fontId="15" fillId="0" borderId="0" applyFont="0" applyFill="0" applyBorder="0" applyAlignment="0" applyProtection="0"/>
    <xf numFmtId="0" fontId="15" fillId="0" borderId="0"/>
    <xf numFmtId="9" fontId="9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166" fontId="15" fillId="0" borderId="0" applyFont="0" applyFill="0" applyBorder="0" applyAlignment="0" applyProtection="0"/>
    <xf numFmtId="9"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166" fontId="15" fillId="0" borderId="0" applyFont="0" applyFill="0" applyBorder="0" applyAlignment="0" applyProtection="0"/>
    <xf numFmtId="9"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166" fontId="15" fillId="0" borderId="0" applyFont="0" applyFill="0" applyBorder="0" applyAlignment="0" applyProtection="0"/>
    <xf numFmtId="9"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166"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166" fontId="15" fillId="0" borderId="0" applyFont="0" applyFill="0" applyBorder="0" applyAlignment="0" applyProtection="0"/>
    <xf numFmtId="9"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166" fontId="15" fillId="0" borderId="0" applyFont="0" applyFill="0" applyBorder="0" applyAlignment="0" applyProtection="0"/>
    <xf numFmtId="9"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166" fontId="15" fillId="0" borderId="0" applyFont="0" applyFill="0" applyBorder="0" applyAlignment="0" applyProtection="0"/>
    <xf numFmtId="9"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166"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0" fontId="24" fillId="0" borderId="0"/>
    <xf numFmtId="0" fontId="24" fillId="0" borderId="0"/>
    <xf numFmtId="9" fontId="24" fillId="0" borderId="0" applyFont="0" applyFill="0" applyBorder="0" applyAlignment="0" applyProtection="0"/>
    <xf numFmtId="0" fontId="24" fillId="0" borderId="0"/>
    <xf numFmtId="9" fontId="24" fillId="0" borderId="0" applyFont="0" applyFill="0" applyBorder="0" applyAlignment="0" applyProtection="0"/>
    <xf numFmtId="0" fontId="14" fillId="0" borderId="0"/>
    <xf numFmtId="0" fontId="13" fillId="0" borderId="0"/>
    <xf numFmtId="0" fontId="12" fillId="0" borderId="0"/>
    <xf numFmtId="166" fontId="12" fillId="0" borderId="0" applyFont="0" applyFill="0" applyBorder="0" applyAlignment="0" applyProtection="0"/>
    <xf numFmtId="9" fontId="12" fillId="0" borderId="0" applyFont="0" applyFill="0" applyBorder="0" applyAlignment="0" applyProtection="0"/>
    <xf numFmtId="166" fontId="12" fillId="0" borderId="0" applyFont="0" applyFill="0" applyBorder="0" applyAlignment="0" applyProtection="0"/>
    <xf numFmtId="0" fontId="109" fillId="0" borderId="0"/>
    <xf numFmtId="0" fontId="24" fillId="0" borderId="0"/>
    <xf numFmtId="0" fontId="12" fillId="0" borderId="0"/>
    <xf numFmtId="0" fontId="12" fillId="0" borderId="0"/>
    <xf numFmtId="9" fontId="12" fillId="0" borderId="0" applyFont="0" applyFill="0" applyBorder="0" applyAlignment="0" applyProtection="0"/>
    <xf numFmtId="0" fontId="12" fillId="0" borderId="0"/>
    <xf numFmtId="9" fontId="24"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166" fontId="12" fillId="0" borderId="0" applyFont="0" applyFill="0" applyBorder="0" applyAlignment="0" applyProtection="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166" fontId="12" fillId="0" borderId="0" applyFont="0" applyFill="0" applyBorder="0" applyAlignment="0" applyProtection="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166" fontId="12" fillId="0" borderId="0" applyFont="0" applyFill="0" applyBorder="0" applyAlignment="0" applyProtection="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166" fontId="12" fillId="0" borderId="0" applyFont="0" applyFill="0" applyBorder="0" applyAlignment="0" applyProtection="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166" fontId="12" fillId="0" borderId="0" applyFont="0" applyFill="0" applyBorder="0" applyAlignment="0" applyProtection="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166" fontId="12" fillId="0" borderId="0" applyFont="0" applyFill="0" applyBorder="0" applyAlignment="0" applyProtection="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166" fontId="12" fillId="0" borderId="0" applyFont="0" applyFill="0" applyBorder="0" applyAlignment="0" applyProtection="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166" fontId="12" fillId="0" borderId="0" applyFont="0" applyFill="0" applyBorder="0" applyAlignment="0" applyProtection="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166" fontId="12" fillId="0" borderId="0" applyFont="0" applyFill="0" applyBorder="0" applyAlignment="0" applyProtection="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166" fontId="12" fillId="0" borderId="0" applyFont="0" applyFill="0" applyBorder="0" applyAlignment="0" applyProtection="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166" fontId="12" fillId="0" borderId="0" applyFont="0" applyFill="0" applyBorder="0" applyAlignment="0" applyProtection="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166" fontId="12" fillId="0" borderId="0" applyFont="0" applyFill="0" applyBorder="0" applyAlignment="0" applyProtection="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166" fontId="12" fillId="0" borderId="0" applyFont="0" applyFill="0" applyBorder="0" applyAlignment="0" applyProtection="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166"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0" fontId="11" fillId="0" borderId="0"/>
    <xf numFmtId="166" fontId="11" fillId="0" borderId="0" applyFont="0" applyFill="0" applyBorder="0" applyAlignment="0" applyProtection="0"/>
    <xf numFmtId="9" fontId="11" fillId="0" borderId="0" applyFont="0" applyFill="0" applyBorder="0" applyAlignment="0" applyProtection="0"/>
    <xf numFmtId="166" fontId="11"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24" fillId="0" borderId="0"/>
    <xf numFmtId="0" fontId="24" fillId="0" borderId="0"/>
    <xf numFmtId="0" fontId="10" fillId="0" borderId="0"/>
    <xf numFmtId="0" fontId="10" fillId="0" borderId="0"/>
    <xf numFmtId="9" fontId="10" fillId="0" borderId="0" applyFont="0" applyFill="0" applyBorder="0" applyAlignment="0" applyProtection="0"/>
    <xf numFmtId="0" fontId="10" fillId="0" borderId="0"/>
    <xf numFmtId="9" fontId="24" fillId="0" borderId="0" applyFont="0" applyFill="0" applyBorder="0" applyAlignment="0" applyProtection="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24" fillId="0" borderId="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9" fontId="10" fillId="0" borderId="0" applyFont="0" applyFill="0" applyBorder="0" applyAlignment="0" applyProtection="0"/>
    <xf numFmtId="166"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9" fontId="10" fillId="0" borderId="0" applyFont="0" applyFill="0" applyBorder="0" applyAlignment="0" applyProtection="0"/>
    <xf numFmtId="0" fontId="10" fillId="0" borderId="0"/>
    <xf numFmtId="0" fontId="10" fillId="0" borderId="0"/>
    <xf numFmtId="0" fontId="10" fillId="0" borderId="0"/>
    <xf numFmtId="166" fontId="10" fillId="0" borderId="0" applyFont="0" applyFill="0" applyBorder="0" applyAlignment="0" applyProtection="0"/>
    <xf numFmtId="9" fontId="10" fillId="0" borderId="0" applyFont="0" applyFill="0" applyBorder="0" applyAlignment="0" applyProtection="0"/>
    <xf numFmtId="166" fontId="10"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24" fillId="0" borderId="0"/>
    <xf numFmtId="0" fontId="24" fillId="0" borderId="0"/>
    <xf numFmtId="0" fontId="9" fillId="0" borderId="0"/>
    <xf numFmtId="0" fontId="9" fillId="0" borderId="0"/>
    <xf numFmtId="9" fontId="9" fillId="0" borderId="0" applyFont="0" applyFill="0" applyBorder="0" applyAlignment="0" applyProtection="0"/>
    <xf numFmtId="0" fontId="9" fillId="0" borderId="0"/>
    <xf numFmtId="9" fontId="24" fillId="0" borderId="0" applyFont="0" applyFill="0" applyBorder="0" applyAlignment="0" applyProtection="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9" fontId="9" fillId="0" borderId="0" applyFont="0" applyFill="0" applyBorder="0" applyAlignment="0" applyProtection="0"/>
    <xf numFmtId="166"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9" fontId="9" fillId="0" borderId="0" applyFont="0" applyFill="0" applyBorder="0" applyAlignment="0" applyProtection="0"/>
    <xf numFmtId="0" fontId="9" fillId="0" borderId="0"/>
    <xf numFmtId="0" fontId="9" fillId="0" borderId="0"/>
    <xf numFmtId="0" fontId="9" fillId="0" borderId="0"/>
    <xf numFmtId="166" fontId="9" fillId="0" borderId="0" applyFont="0" applyFill="0" applyBorder="0" applyAlignment="0" applyProtection="0"/>
    <xf numFmtId="9" fontId="9" fillId="0" borderId="0" applyFont="0" applyFill="0" applyBorder="0" applyAlignment="0" applyProtection="0"/>
    <xf numFmtId="166" fontId="9"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24" fillId="0" borderId="0"/>
    <xf numFmtId="0" fontId="24" fillId="0" borderId="0"/>
    <xf numFmtId="0" fontId="8" fillId="0" borderId="0"/>
    <xf numFmtId="0" fontId="8" fillId="0" borderId="0"/>
    <xf numFmtId="9" fontId="8" fillId="0" borderId="0" applyFont="0" applyFill="0" applyBorder="0" applyAlignment="0" applyProtection="0"/>
    <xf numFmtId="0" fontId="8" fillId="0" borderId="0"/>
    <xf numFmtId="9" fontId="24" fillId="0" borderId="0" applyFont="0" applyFill="0" applyBorder="0" applyAlignment="0" applyProtection="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9"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166" fontId="8" fillId="0" borderId="0" applyFont="0" applyFill="0" applyBorder="0" applyAlignment="0" applyProtection="0"/>
    <xf numFmtId="9" fontId="8" fillId="0" borderId="0" applyFont="0" applyFill="0" applyBorder="0" applyAlignment="0" applyProtection="0"/>
    <xf numFmtId="166" fontId="8" fillId="0" borderId="0" applyFont="0" applyFill="0" applyBorder="0" applyAlignment="0" applyProtection="0"/>
    <xf numFmtId="0" fontId="24"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24" fillId="0" borderId="0"/>
    <xf numFmtId="0" fontId="24" fillId="0" borderId="0"/>
    <xf numFmtId="0" fontId="7" fillId="0" borderId="0"/>
    <xf numFmtId="0" fontId="7" fillId="0" borderId="0"/>
    <xf numFmtId="9" fontId="7" fillId="0" borderId="0" applyFont="0" applyFill="0" applyBorder="0" applyAlignment="0" applyProtection="0"/>
    <xf numFmtId="0" fontId="7" fillId="0" borderId="0"/>
    <xf numFmtId="9" fontId="24" fillId="0" borderId="0" applyFont="0" applyFill="0" applyBorder="0" applyAlignment="0" applyProtection="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166" fontId="7" fillId="0" borderId="0" applyFont="0" applyFill="0" applyBorder="0" applyAlignment="0" applyProtection="0"/>
    <xf numFmtId="0" fontId="24"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109" fillId="0" borderId="0"/>
    <xf numFmtId="0" fontId="24" fillId="0" borderId="0"/>
    <xf numFmtId="0" fontId="6" fillId="0" borderId="0"/>
    <xf numFmtId="0" fontId="6" fillId="0" borderId="0"/>
    <xf numFmtId="9" fontId="6" fillId="0" borderId="0" applyFont="0" applyFill="0" applyBorder="0" applyAlignment="0" applyProtection="0"/>
    <xf numFmtId="0" fontId="6" fillId="0" borderId="0"/>
    <xf numFmtId="9" fontId="24"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166" fontId="6" fillId="0" borderId="0" applyFont="0" applyFill="0" applyBorder="0" applyAlignment="0" applyProtection="0"/>
    <xf numFmtId="9" fontId="6" fillId="0" borderId="0" applyFont="0" applyFill="0" applyBorder="0" applyAlignment="0" applyProtection="0"/>
    <xf numFmtId="166" fontId="6"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112" fillId="0" borderId="0"/>
    <xf numFmtId="0" fontId="24"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24"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9" fontId="5" fillId="0" borderId="0" applyFont="0" applyFill="0" applyBorder="0" applyAlignment="0" applyProtection="0"/>
    <xf numFmtId="166"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166" fontId="5" fillId="0" borderId="0" applyFont="0" applyFill="0" applyBorder="0" applyAlignment="0" applyProtection="0"/>
    <xf numFmtId="9" fontId="5" fillId="0" borderId="0" applyFont="0" applyFill="0" applyBorder="0" applyAlignment="0" applyProtection="0"/>
    <xf numFmtId="166" fontId="5" fillId="0" borderId="0" applyFont="0" applyFill="0" applyBorder="0" applyAlignment="0" applyProtection="0"/>
    <xf numFmtId="0" fontId="4" fillId="0" borderId="0"/>
    <xf numFmtId="0" fontId="3" fillId="0" borderId="0"/>
    <xf numFmtId="166" fontId="3" fillId="0" borderId="0" applyFont="0" applyFill="0" applyBorder="0" applyAlignment="0" applyProtection="0"/>
    <xf numFmtId="9" fontId="3" fillId="0" borderId="0" applyFont="0" applyFill="0" applyBorder="0" applyAlignment="0" applyProtection="0"/>
    <xf numFmtId="166" fontId="3" fillId="0" borderId="0" applyFont="0" applyFill="0" applyBorder="0" applyAlignment="0" applyProtection="0"/>
    <xf numFmtId="0" fontId="24" fillId="0" borderId="0"/>
    <xf numFmtId="0" fontId="117" fillId="0" borderId="0"/>
    <xf numFmtId="9" fontId="118" fillId="0" borderId="0" applyFont="0" applyFill="0" applyBorder="0" applyAlignment="0" applyProtection="0"/>
    <xf numFmtId="0" fontId="2" fillId="0" borderId="0"/>
    <xf numFmtId="0" fontId="1" fillId="0" borderId="0"/>
    <xf numFmtId="165" fontId="134" fillId="0" borderId="0" applyFont="0" applyFill="0" applyBorder="0" applyAlignment="0" applyProtection="0"/>
    <xf numFmtId="166" fontId="206" fillId="0" borderId="0" applyFont="0" applyFill="0" applyBorder="0" applyAlignment="0" applyProtection="0"/>
  </cellStyleXfs>
  <cellXfs count="2666">
    <xf numFmtId="0" fontId="0" fillId="0" borderId="0" xfId="0"/>
    <xf numFmtId="0" fontId="25" fillId="0" borderId="0" xfId="1" applyFont="1"/>
    <xf numFmtId="0" fontId="26" fillId="0" borderId="0" xfId="1" applyFont="1"/>
    <xf numFmtId="0" fontId="0" fillId="0" borderId="0" xfId="1" applyFont="1" applyAlignment="1">
      <alignment horizontal="center"/>
    </xf>
    <xf numFmtId="0" fontId="0" fillId="0" borderId="0" xfId="1" applyFont="1"/>
    <xf numFmtId="4" fontId="0" fillId="0" borderId="0" xfId="1" applyNumberFormat="1" applyFont="1"/>
    <xf numFmtId="0" fontId="24" fillId="0" borderId="0" xfId="1" applyFont="1"/>
    <xf numFmtId="168" fontId="24" fillId="0" borderId="0" xfId="1" applyNumberFormat="1" applyFont="1"/>
    <xf numFmtId="169" fontId="25" fillId="0" borderId="0" xfId="1" applyNumberFormat="1" applyFont="1" applyAlignment="1">
      <alignment horizontal="right"/>
    </xf>
    <xf numFmtId="168" fontId="30" fillId="0" borderId="0" xfId="1" applyNumberFormat="1" applyFont="1"/>
    <xf numFmtId="168" fontId="0" fillId="0" borderId="0" xfId="1" applyNumberFormat="1" applyFont="1" applyAlignment="1">
      <alignment horizontal="center"/>
    </xf>
    <xf numFmtId="0" fontId="28" fillId="0" borderId="0" xfId="1" applyFont="1"/>
    <xf numFmtId="0" fontId="31" fillId="0" borderId="0" xfId="1" applyFont="1"/>
    <xf numFmtId="0" fontId="24" fillId="0" borderId="0" xfId="4" applyFont="1"/>
    <xf numFmtId="0" fontId="35" fillId="0" borderId="0" xfId="1" applyFont="1"/>
    <xf numFmtId="0" fontId="29" fillId="0" borderId="0" xfId="4" applyFont="1"/>
    <xf numFmtId="0" fontId="29" fillId="0" borderId="0" xfId="4" applyFont="1" applyAlignment="1">
      <alignment horizontal="center"/>
    </xf>
    <xf numFmtId="2" fontId="29" fillId="0" borderId="0" xfId="4" applyNumberFormat="1" applyFont="1"/>
    <xf numFmtId="0" fontId="29" fillId="0" borderId="0" xfId="4" applyFont="1" applyAlignment="1">
      <alignment vertical="center"/>
    </xf>
    <xf numFmtId="0" fontId="24" fillId="0" borderId="0" xfId="0" applyFont="1"/>
    <xf numFmtId="0" fontId="24" fillId="0" borderId="0" xfId="0" applyFont="1" applyAlignment="1">
      <alignment vertical="center"/>
    </xf>
    <xf numFmtId="0" fontId="40" fillId="8" borderId="0" xfId="0" applyFont="1" applyFill="1"/>
    <xf numFmtId="171" fontId="24" fillId="8" borderId="0" xfId="3" applyNumberFormat="1" applyFont="1" applyFill="1"/>
    <xf numFmtId="0" fontId="25" fillId="8" borderId="0" xfId="0" applyFont="1" applyFill="1" applyAlignment="1">
      <alignment horizontal="center"/>
    </xf>
    <xf numFmtId="0" fontId="36" fillId="5" borderId="0" xfId="6" applyFont="1" applyFill="1" applyAlignment="1">
      <alignment horizontal="left"/>
    </xf>
    <xf numFmtId="171" fontId="25" fillId="8" borderId="0" xfId="6" applyNumberFormat="1" applyFont="1" applyFill="1" applyAlignment="1">
      <alignment horizontal="center"/>
    </xf>
    <xf numFmtId="0" fontId="39" fillId="8" borderId="0" xfId="6" applyFont="1" applyFill="1"/>
    <xf numFmtId="0" fontId="24" fillId="8" borderId="0" xfId="6" applyFill="1"/>
    <xf numFmtId="171" fontId="24" fillId="8" borderId="0" xfId="0" applyNumberFormat="1" applyFont="1" applyFill="1"/>
    <xf numFmtId="0" fontId="45" fillId="5" borderId="0" xfId="6" applyFont="1" applyFill="1"/>
    <xf numFmtId="0" fontId="45" fillId="8" borderId="0" xfId="6" applyFont="1" applyFill="1"/>
    <xf numFmtId="0" fontId="47" fillId="5" borderId="0" xfId="6" applyFont="1" applyFill="1"/>
    <xf numFmtId="0" fontId="36" fillId="5" borderId="0" xfId="6" applyFont="1" applyFill="1"/>
    <xf numFmtId="0" fontId="24" fillId="8" borderId="0" xfId="0" applyFont="1" applyFill="1"/>
    <xf numFmtId="0" fontId="43" fillId="8" borderId="0" xfId="6" applyFont="1" applyFill="1"/>
    <xf numFmtId="0" fontId="53" fillId="5" borderId="0" xfId="6" applyFont="1" applyFill="1"/>
    <xf numFmtId="0" fontId="54" fillId="8" borderId="0" xfId="6" applyFont="1" applyFill="1"/>
    <xf numFmtId="171" fontId="42" fillId="5" borderId="0" xfId="3" applyNumberFormat="1" applyFont="1" applyFill="1"/>
    <xf numFmtId="171" fontId="51" fillId="10" borderId="0" xfId="3" applyNumberFormat="1" applyFont="1" applyFill="1"/>
    <xf numFmtId="17" fontId="39" fillId="8" borderId="0" xfId="6" applyNumberFormat="1" applyFont="1" applyFill="1"/>
    <xf numFmtId="0" fontId="40" fillId="8" borderId="0" xfId="6" applyFont="1" applyFill="1"/>
    <xf numFmtId="0" fontId="24" fillId="0" borderId="0" xfId="4" applyFont="1" applyAlignment="1">
      <alignment vertical="center"/>
    </xf>
    <xf numFmtId="4" fontId="24" fillId="0" borderId="0" xfId="4" applyNumberFormat="1" applyFont="1"/>
    <xf numFmtId="4" fontId="24" fillId="0" borderId="0" xfId="8" applyNumberFormat="1"/>
    <xf numFmtId="2" fontId="24" fillId="0" borderId="0" xfId="8" applyNumberFormat="1" applyAlignment="1">
      <alignment horizontal="left"/>
    </xf>
    <xf numFmtId="0" fontId="46" fillId="8" borderId="0" xfId="8" applyFont="1" applyFill="1"/>
    <xf numFmtId="0" fontId="40" fillId="8" borderId="0" xfId="8" applyFont="1" applyFill="1"/>
    <xf numFmtId="0" fontId="39" fillId="8" borderId="0" xfId="8" applyFont="1" applyFill="1"/>
    <xf numFmtId="0" fontId="35" fillId="8" borderId="0" xfId="8" applyFont="1" applyFill="1"/>
    <xf numFmtId="0" fontId="44" fillId="8" borderId="0" xfId="8" applyFont="1" applyFill="1"/>
    <xf numFmtId="0" fontId="45" fillId="8" borderId="0" xfId="8" applyFont="1" applyFill="1"/>
    <xf numFmtId="0" fontId="52" fillId="8" borderId="0" xfId="8" applyFont="1" applyFill="1" applyAlignment="1">
      <alignment horizontal="left" wrapText="1"/>
    </xf>
    <xf numFmtId="0" fontId="36" fillId="5" borderId="0" xfId="8" applyFont="1" applyFill="1"/>
    <xf numFmtId="0" fontId="47" fillId="5" borderId="0" xfId="8" applyFont="1" applyFill="1"/>
    <xf numFmtId="0" fontId="43" fillId="8" borderId="0" xfId="8" applyFont="1" applyFill="1"/>
    <xf numFmtId="0" fontId="25" fillId="5" borderId="0" xfId="8" applyFont="1" applyFill="1"/>
    <xf numFmtId="0" fontId="24" fillId="8" borderId="0" xfId="8" applyFill="1"/>
    <xf numFmtId="0" fontId="47" fillId="3" borderId="0" xfId="8" applyFont="1" applyFill="1"/>
    <xf numFmtId="0" fontId="47" fillId="3" borderId="0" xfId="8" applyFont="1" applyFill="1" applyAlignment="1">
      <alignment horizontal="left"/>
    </xf>
    <xf numFmtId="0" fontId="55" fillId="8" borderId="0" xfId="8" applyFont="1" applyFill="1"/>
    <xf numFmtId="0" fontId="56" fillId="8" borderId="0" xfId="8" applyFont="1" applyFill="1"/>
    <xf numFmtId="0" fontId="0" fillId="0" borderId="0" xfId="0" applyAlignment="1">
      <alignment vertical="center"/>
    </xf>
    <xf numFmtId="3" fontId="33" fillId="0" borderId="15" xfId="4" applyNumberFormat="1" applyFont="1" applyBorder="1" applyAlignment="1">
      <alignment horizontal="center" vertical="center"/>
    </xf>
    <xf numFmtId="0" fontId="24" fillId="7" borderId="5" xfId="0" applyFont="1" applyFill="1" applyBorder="1" applyAlignment="1">
      <alignment horizontal="center" vertical="center"/>
    </xf>
    <xf numFmtId="0" fontId="24" fillId="7" borderId="9" xfId="0" applyFont="1" applyFill="1" applyBorder="1" applyAlignment="1">
      <alignment horizontal="center" vertical="center"/>
    </xf>
    <xf numFmtId="0" fontId="0" fillId="0" borderId="0" xfId="0" applyAlignment="1">
      <alignment horizontal="center" vertical="center"/>
    </xf>
    <xf numFmtId="2" fontId="37" fillId="4" borderId="12" xfId="4" applyNumberFormat="1" applyFont="1" applyFill="1" applyBorder="1" applyAlignment="1">
      <alignment horizontal="center" vertical="center"/>
    </xf>
    <xf numFmtId="2" fontId="37" fillId="4" borderId="16" xfId="4" applyNumberFormat="1" applyFont="1" applyFill="1" applyBorder="1" applyAlignment="1">
      <alignment horizontal="center" vertical="center"/>
    </xf>
    <xf numFmtId="0" fontId="59" fillId="0" borderId="0" xfId="0" applyFont="1" applyAlignment="1">
      <alignment vertical="center"/>
    </xf>
    <xf numFmtId="2" fontId="37" fillId="4" borderId="12" xfId="4" applyNumberFormat="1" applyFont="1" applyFill="1" applyBorder="1" applyAlignment="1">
      <alignment horizontal="center"/>
    </xf>
    <xf numFmtId="2" fontId="37" fillId="4" borderId="16" xfId="4" applyNumberFormat="1" applyFont="1" applyFill="1" applyBorder="1" applyAlignment="1">
      <alignment horizontal="center"/>
    </xf>
    <xf numFmtId="2" fontId="33" fillId="0" borderId="6" xfId="4" applyNumberFormat="1" applyFont="1" applyBorder="1" applyAlignment="1">
      <alignment horizontal="center"/>
    </xf>
    <xf numFmtId="3" fontId="33" fillId="0" borderId="9" xfId="4" applyNumberFormat="1" applyFont="1" applyBorder="1" applyAlignment="1">
      <alignment horizontal="center"/>
    </xf>
    <xf numFmtId="2" fontId="33" fillId="5" borderId="6" xfId="4" applyNumberFormat="1" applyFont="1" applyFill="1" applyBorder="1" applyAlignment="1">
      <alignment horizontal="center"/>
    </xf>
    <xf numFmtId="3" fontId="33" fillId="5" borderId="9" xfId="4" applyNumberFormat="1" applyFont="1" applyFill="1" applyBorder="1" applyAlignment="1">
      <alignment horizontal="center"/>
    </xf>
    <xf numFmtId="0" fontId="24" fillId="0" borderId="5" xfId="0" applyFont="1" applyBorder="1" applyAlignment="1">
      <alignment horizontal="center" vertical="center"/>
    </xf>
    <xf numFmtId="0" fontId="24" fillId="0" borderId="16" xfId="0" applyFont="1" applyBorder="1" applyAlignment="1">
      <alignment horizontal="center" vertical="center"/>
    </xf>
    <xf numFmtId="2" fontId="37" fillId="4" borderId="16" xfId="4" applyNumberFormat="1" applyFont="1" applyFill="1" applyBorder="1" applyAlignment="1">
      <alignment vertical="center"/>
    </xf>
    <xf numFmtId="0" fontId="37" fillId="0" borderId="0" xfId="0" applyFont="1" applyAlignment="1">
      <alignment horizontal="right" vertical="center"/>
    </xf>
    <xf numFmtId="4" fontId="33" fillId="0" borderId="16" xfId="4" applyNumberFormat="1" applyFont="1" applyBorder="1" applyAlignment="1">
      <alignment horizontal="center" vertical="center"/>
    </xf>
    <xf numFmtId="0" fontId="59" fillId="0" borderId="0" xfId="4" applyFont="1"/>
    <xf numFmtId="0" fontId="63" fillId="0" borderId="0" xfId="0" applyFont="1"/>
    <xf numFmtId="0" fontId="64" fillId="0" borderId="0" xfId="0" applyFont="1"/>
    <xf numFmtId="0" fontId="65" fillId="0" borderId="0" xfId="0" applyFont="1"/>
    <xf numFmtId="49" fontId="63" fillId="0" borderId="0" xfId="0" applyNumberFormat="1" applyFont="1"/>
    <xf numFmtId="0" fontId="66" fillId="0" borderId="0" xfId="0" applyFont="1"/>
    <xf numFmtId="0" fontId="68" fillId="0" borderId="0" xfId="0" applyFont="1"/>
    <xf numFmtId="0" fontId="70" fillId="0" borderId="0" xfId="0" applyFont="1" applyAlignment="1">
      <alignment horizontal="left" indent="5"/>
    </xf>
    <xf numFmtId="0" fontId="72" fillId="0" borderId="0" xfId="0" applyFont="1"/>
    <xf numFmtId="0" fontId="73" fillId="0" borderId="0" xfId="0" applyFont="1" applyAlignment="1">
      <alignment horizontal="left" indent="5"/>
    </xf>
    <xf numFmtId="0" fontId="75" fillId="0" borderId="0" xfId="0" applyFont="1"/>
    <xf numFmtId="0" fontId="57" fillId="0" borderId="0" xfId="0" applyFont="1" applyAlignment="1">
      <alignment horizontal="left" indent="5"/>
    </xf>
    <xf numFmtId="0" fontId="78" fillId="0" borderId="0" xfId="0" applyFont="1" applyAlignment="1">
      <alignment horizontal="left" indent="5"/>
    </xf>
    <xf numFmtId="0" fontId="81" fillId="0" borderId="0" xfId="0" applyFont="1" applyAlignment="1">
      <alignment horizontal="left" indent="5"/>
    </xf>
    <xf numFmtId="169" fontId="24" fillId="0" borderId="0" xfId="1" applyNumberFormat="1" applyFont="1" applyAlignment="1">
      <alignment horizontal="right"/>
    </xf>
    <xf numFmtId="1" fontId="24" fillId="0" borderId="0" xfId="1" applyNumberFormat="1" applyFont="1"/>
    <xf numFmtId="1" fontId="25" fillId="0" borderId="0" xfId="1" applyNumberFormat="1" applyFont="1" applyAlignment="1">
      <alignment horizontal="left"/>
    </xf>
    <xf numFmtId="1" fontId="0" fillId="0" borderId="0" xfId="0" applyNumberFormat="1"/>
    <xf numFmtId="0" fontId="24" fillId="10" borderId="0" xfId="4" applyFont="1" applyFill="1"/>
    <xf numFmtId="4" fontId="24" fillId="10" borderId="0" xfId="4" applyNumberFormat="1" applyFont="1" applyFill="1"/>
    <xf numFmtId="0" fontId="33" fillId="10" borderId="0" xfId="4" applyFont="1" applyFill="1"/>
    <xf numFmtId="0" fontId="59" fillId="10" borderId="0" xfId="4" applyFont="1" applyFill="1"/>
    <xf numFmtId="0" fontId="0" fillId="10" borderId="0" xfId="0" applyFill="1"/>
    <xf numFmtId="0" fontId="29" fillId="10" borderId="0" xfId="4" applyFont="1" applyFill="1" applyAlignment="1">
      <alignment vertical="center"/>
    </xf>
    <xf numFmtId="0" fontId="24" fillId="10" borderId="0" xfId="4" applyFont="1" applyFill="1" applyAlignment="1">
      <alignment vertical="center"/>
    </xf>
    <xf numFmtId="0" fontId="29" fillId="10" borderId="0" xfId="4" applyFont="1" applyFill="1"/>
    <xf numFmtId="0" fontId="29" fillId="10" borderId="0" xfId="4" applyFont="1" applyFill="1" applyAlignment="1">
      <alignment horizontal="center"/>
    </xf>
    <xf numFmtId="2" fontId="29" fillId="10" borderId="0" xfId="4" applyNumberFormat="1" applyFont="1" applyFill="1"/>
    <xf numFmtId="0" fontId="0" fillId="10" borderId="0" xfId="0" applyFill="1" applyAlignment="1">
      <alignment horizontal="center" vertical="center"/>
    </xf>
    <xf numFmtId="0" fontId="59" fillId="10" borderId="0" xfId="0" applyFont="1" applyFill="1" applyAlignment="1">
      <alignment vertical="center"/>
    </xf>
    <xf numFmtId="0" fontId="0" fillId="10" borderId="0" xfId="0" applyFill="1" applyAlignment="1">
      <alignment vertical="center"/>
    </xf>
    <xf numFmtId="0" fontId="33" fillId="10" borderId="0" xfId="0" applyFont="1" applyFill="1" applyAlignment="1">
      <alignment vertical="center"/>
    </xf>
    <xf numFmtId="0" fontId="24" fillId="10" borderId="0" xfId="0" applyFont="1" applyFill="1" applyAlignment="1">
      <alignment horizontal="center" vertical="center"/>
    </xf>
    <xf numFmtId="2" fontId="33" fillId="10" borderId="0" xfId="4" applyNumberFormat="1" applyFont="1" applyFill="1" applyAlignment="1">
      <alignment horizontal="center"/>
    </xf>
    <xf numFmtId="3" fontId="33" fillId="10" borderId="0" xfId="4" applyNumberFormat="1" applyFont="1" applyFill="1" applyAlignment="1">
      <alignment horizontal="center"/>
    </xf>
    <xf numFmtId="2" fontId="33" fillId="10" borderId="0" xfId="4" applyNumberFormat="1" applyFont="1" applyFill="1"/>
    <xf numFmtId="0" fontId="24" fillId="10" borderId="7" xfId="0" applyFont="1" applyFill="1" applyBorder="1"/>
    <xf numFmtId="4" fontId="24" fillId="10" borderId="7" xfId="0" applyNumberFormat="1" applyFont="1" applyFill="1" applyBorder="1"/>
    <xf numFmtId="0" fontId="24" fillId="10" borderId="0" xfId="0" applyFont="1" applyFill="1" applyAlignment="1">
      <alignment horizontal="center"/>
    </xf>
    <xf numFmtId="4" fontId="24" fillId="10" borderId="0" xfId="0" applyNumberFormat="1" applyFont="1" applyFill="1"/>
    <xf numFmtId="0" fontId="24" fillId="10" borderId="0" xfId="0" applyFont="1" applyFill="1" applyAlignment="1">
      <alignment vertical="center"/>
    </xf>
    <xf numFmtId="0" fontId="0" fillId="0" borderId="0" xfId="0" applyAlignment="1">
      <alignment horizontal="center"/>
    </xf>
    <xf numFmtId="0" fontId="0" fillId="10" borderId="0" xfId="0" applyFill="1" applyAlignment="1">
      <alignment horizontal="center"/>
    </xf>
    <xf numFmtId="0" fontId="84" fillId="10" borderId="0" xfId="4" applyFont="1" applyFill="1"/>
    <xf numFmtId="2" fontId="33" fillId="10" borderId="23" xfId="4" applyNumberFormat="1" applyFont="1" applyFill="1" applyBorder="1"/>
    <xf numFmtId="0" fontId="0" fillId="10" borderId="25" xfId="0" applyFill="1" applyBorder="1"/>
    <xf numFmtId="0" fontId="0" fillId="10" borderId="23" xfId="0" applyFill="1" applyBorder="1"/>
    <xf numFmtId="0" fontId="37" fillId="0" borderId="29" xfId="0" applyFont="1" applyBorder="1" applyAlignment="1">
      <alignment horizontal="right" vertical="center"/>
    </xf>
    <xf numFmtId="0" fontId="0" fillId="10" borderId="31" xfId="0" applyFill="1" applyBorder="1"/>
    <xf numFmtId="0" fontId="0" fillId="10" borderId="26" xfId="0" applyFill="1" applyBorder="1"/>
    <xf numFmtId="0" fontId="0" fillId="10" borderId="17" xfId="0" applyFill="1" applyBorder="1"/>
    <xf numFmtId="0" fontId="0" fillId="10" borderId="19" xfId="0" applyFill="1" applyBorder="1"/>
    <xf numFmtId="0" fontId="39" fillId="0" borderId="0" xfId="6" applyFont="1"/>
    <xf numFmtId="171" fontId="24" fillId="0" borderId="0" xfId="3" applyNumberFormat="1" applyFont="1" applyFill="1"/>
    <xf numFmtId="0" fontId="35" fillId="0" borderId="0" xfId="6" applyFont="1"/>
    <xf numFmtId="0" fontId="24" fillId="0" borderId="0" xfId="0" applyFont="1" applyAlignment="1">
      <alignment horizontal="left"/>
    </xf>
    <xf numFmtId="2" fontId="24" fillId="0" borderId="0" xfId="0" applyNumberFormat="1" applyFont="1"/>
    <xf numFmtId="4" fontId="24" fillId="0" borderId="0" xfId="0" applyNumberFormat="1" applyFont="1"/>
    <xf numFmtId="4" fontId="63" fillId="10" borderId="0" xfId="8" applyNumberFormat="1" applyFont="1" applyFill="1"/>
    <xf numFmtId="0" fontId="24" fillId="10" borderId="0" xfId="0" applyFont="1" applyFill="1" applyAlignment="1">
      <alignment horizontal="left"/>
    </xf>
    <xf numFmtId="2" fontId="24" fillId="10" borderId="0" xfId="0" applyNumberFormat="1" applyFont="1" applyFill="1"/>
    <xf numFmtId="0" fontId="24" fillId="10" borderId="0" xfId="6" applyFill="1" applyAlignment="1">
      <alignment horizontal="left"/>
    </xf>
    <xf numFmtId="2" fontId="24" fillId="10" borderId="0" xfId="6" applyNumberFormat="1" applyFill="1"/>
    <xf numFmtId="0" fontId="78" fillId="10" borderId="0" xfId="6" applyFont="1" applyFill="1" applyAlignment="1">
      <alignment horizontal="left"/>
    </xf>
    <xf numFmtId="0" fontId="78" fillId="10" borderId="0" xfId="6" applyFont="1" applyFill="1"/>
    <xf numFmtId="0" fontId="78" fillId="10" borderId="0" xfId="0" applyFont="1" applyFill="1" applyAlignment="1">
      <alignment horizontal="left"/>
    </xf>
    <xf numFmtId="4" fontId="90" fillId="10" borderId="0" xfId="8" applyNumberFormat="1" applyFont="1" applyFill="1"/>
    <xf numFmtId="4" fontId="91" fillId="10" borderId="0" xfId="8" applyNumberFormat="1" applyFont="1" applyFill="1"/>
    <xf numFmtId="172" fontId="24" fillId="0" borderId="0" xfId="0" applyNumberFormat="1" applyFont="1" applyAlignment="1">
      <alignment horizontal="left"/>
    </xf>
    <xf numFmtId="172" fontId="24" fillId="8" borderId="0" xfId="3" applyNumberFormat="1" applyFont="1" applyFill="1" applyAlignment="1">
      <alignment horizontal="left"/>
    </xf>
    <xf numFmtId="172" fontId="25" fillId="8" borderId="0" xfId="6" applyNumberFormat="1" applyFont="1" applyFill="1" applyAlignment="1">
      <alignment horizontal="left"/>
    </xf>
    <xf numFmtId="172" fontId="35" fillId="8" borderId="0" xfId="3" applyNumberFormat="1" applyFont="1" applyFill="1" applyAlignment="1">
      <alignment horizontal="left"/>
    </xf>
    <xf numFmtId="172" fontId="24" fillId="0" borderId="0" xfId="3" applyNumberFormat="1" applyFont="1" applyFill="1" applyAlignment="1">
      <alignment horizontal="left"/>
    </xf>
    <xf numFmtId="172" fontId="91" fillId="10" borderId="0" xfId="3" applyNumberFormat="1" applyFont="1" applyFill="1" applyAlignment="1">
      <alignment horizontal="left"/>
    </xf>
    <xf numFmtId="172" fontId="24" fillId="10" borderId="0" xfId="0" applyNumberFormat="1" applyFont="1" applyFill="1" applyAlignment="1">
      <alignment horizontal="left"/>
    </xf>
    <xf numFmtId="172" fontId="78" fillId="10" borderId="0" xfId="3" applyNumberFormat="1" applyFont="1" applyFill="1" applyAlignment="1">
      <alignment horizontal="left"/>
    </xf>
    <xf numFmtId="172" fontId="63" fillId="10" borderId="0" xfId="3" applyNumberFormat="1" applyFont="1" applyFill="1" applyAlignment="1">
      <alignment horizontal="left"/>
    </xf>
    <xf numFmtId="172" fontId="24" fillId="10" borderId="0" xfId="3" applyNumberFormat="1" applyFont="1" applyFill="1" applyAlignment="1">
      <alignment horizontal="left"/>
    </xf>
    <xf numFmtId="0" fontId="90" fillId="10" borderId="0" xfId="6" applyFont="1" applyFill="1" applyAlignment="1">
      <alignment horizontal="left"/>
    </xf>
    <xf numFmtId="172" fontId="90" fillId="10" borderId="0" xfId="3" applyNumberFormat="1" applyFont="1" applyFill="1" applyAlignment="1">
      <alignment horizontal="left"/>
    </xf>
    <xf numFmtId="2" fontId="90" fillId="10" borderId="0" xfId="6" applyNumberFormat="1" applyFont="1" applyFill="1"/>
    <xf numFmtId="0" fontId="24" fillId="0" borderId="0" xfId="0" applyFont="1" applyAlignment="1">
      <alignment horizontal="center"/>
    </xf>
    <xf numFmtId="4" fontId="59" fillId="19" borderId="6" xfId="4" applyNumberFormat="1" applyFont="1" applyFill="1" applyBorder="1" applyAlignment="1">
      <alignment horizontal="center" vertical="center"/>
    </xf>
    <xf numFmtId="171" fontId="57" fillId="8" borderId="0" xfId="3" applyNumberFormat="1" applyFont="1" applyFill="1"/>
    <xf numFmtId="0" fontId="25" fillId="5" borderId="16" xfId="0" applyFont="1" applyFill="1" applyBorder="1" applyAlignment="1">
      <alignment horizontal="center" vertical="center"/>
    </xf>
    <xf numFmtId="0" fontId="25" fillId="11" borderId="0" xfId="0" applyFont="1" applyFill="1" applyAlignment="1">
      <alignment vertical="center"/>
    </xf>
    <xf numFmtId="0" fontId="25" fillId="10" borderId="0" xfId="0" applyFont="1" applyFill="1" applyAlignment="1">
      <alignment vertical="center"/>
    </xf>
    <xf numFmtId="0" fontId="24" fillId="11" borderId="16" xfId="0" applyFont="1" applyFill="1" applyBorder="1" applyAlignment="1">
      <alignment vertical="center"/>
    </xf>
    <xf numFmtId="0" fontId="24" fillId="10" borderId="16" xfId="0" applyFont="1" applyFill="1" applyBorder="1" applyAlignment="1">
      <alignment vertical="center"/>
    </xf>
    <xf numFmtId="0" fontId="24" fillId="0" borderId="24" xfId="0" applyFont="1" applyBorder="1" applyAlignment="1">
      <alignment horizontal="center"/>
    </xf>
    <xf numFmtId="4" fontId="24" fillId="0" borderId="23" xfId="8" applyNumberFormat="1" applyBorder="1"/>
    <xf numFmtId="4" fontId="24" fillId="0" borderId="24" xfId="8" applyNumberFormat="1" applyBorder="1"/>
    <xf numFmtId="4" fontId="24" fillId="0" borderId="27" xfId="8" applyNumberFormat="1" applyBorder="1"/>
    <xf numFmtId="0" fontId="24" fillId="10" borderId="24" xfId="0" applyFont="1" applyFill="1" applyBorder="1" applyAlignment="1">
      <alignment horizontal="center"/>
    </xf>
    <xf numFmtId="4" fontId="24" fillId="10" borderId="27" xfId="8" applyNumberFormat="1" applyFill="1" applyBorder="1"/>
    <xf numFmtId="0" fontId="24" fillId="0" borderId="20" xfId="0" applyFont="1" applyBorder="1" applyAlignment="1">
      <alignment horizontal="center"/>
    </xf>
    <xf numFmtId="4" fontId="24" fillId="0" borderId="19" xfId="8" applyNumberFormat="1" applyBorder="1"/>
    <xf numFmtId="4" fontId="24" fillId="0" borderId="20" xfId="8" applyNumberFormat="1" applyBorder="1"/>
    <xf numFmtId="0" fontId="24" fillId="10" borderId="20" xfId="0" applyFont="1" applyFill="1" applyBorder="1" applyAlignment="1">
      <alignment horizontal="center"/>
    </xf>
    <xf numFmtId="4" fontId="24" fillId="10" borderId="20" xfId="8" applyNumberFormat="1" applyFill="1" applyBorder="1"/>
    <xf numFmtId="0" fontId="24" fillId="10" borderId="7" xfId="0" applyFont="1" applyFill="1" applyBorder="1" applyAlignment="1">
      <alignment horizontal="center"/>
    </xf>
    <xf numFmtId="0" fontId="24" fillId="0" borderId="27" xfId="0" applyFont="1" applyBorder="1" applyAlignment="1">
      <alignment horizontal="center"/>
    </xf>
    <xf numFmtId="0" fontId="91" fillId="10" borderId="0" xfId="6" applyFont="1" applyFill="1"/>
    <xf numFmtId="2" fontId="78" fillId="10" borderId="0" xfId="0" applyNumberFormat="1" applyFont="1" applyFill="1"/>
    <xf numFmtId="0" fontId="25" fillId="10" borderId="0" xfId="5" applyFont="1" applyFill="1" applyAlignment="1">
      <alignment vertical="center"/>
    </xf>
    <xf numFmtId="0" fontId="24" fillId="10" borderId="0" xfId="0" applyFont="1" applyFill="1"/>
    <xf numFmtId="4" fontId="24" fillId="10" borderId="0" xfId="8" applyNumberFormat="1" applyFill="1"/>
    <xf numFmtId="0" fontId="63" fillId="10" borderId="0" xfId="6" applyFont="1" applyFill="1"/>
    <xf numFmtId="0" fontId="24" fillId="10" borderId="30" xfId="0" applyFont="1" applyFill="1" applyBorder="1"/>
    <xf numFmtId="4" fontId="39" fillId="0" borderId="0" xfId="8" applyNumberFormat="1" applyFont="1" applyAlignment="1">
      <alignment horizontal="left"/>
    </xf>
    <xf numFmtId="171" fontId="0" fillId="8" borderId="0" xfId="0" applyNumberFormat="1" applyFill="1"/>
    <xf numFmtId="0" fontId="0" fillId="8" borderId="0" xfId="0" applyFill="1"/>
    <xf numFmtId="173" fontId="24" fillId="8" borderId="0" xfId="3" applyNumberFormat="1" applyFont="1" applyFill="1"/>
    <xf numFmtId="173" fontId="42" fillId="8" borderId="0" xfId="6" applyNumberFormat="1" applyFont="1" applyFill="1" applyAlignment="1">
      <alignment horizontal="center"/>
    </xf>
    <xf numFmtId="0" fontId="0" fillId="10" borderId="0" xfId="0" applyFill="1" applyAlignment="1">
      <alignment horizontal="left"/>
    </xf>
    <xf numFmtId="2" fontId="0" fillId="10" borderId="0" xfId="0" applyNumberFormat="1" applyFill="1"/>
    <xf numFmtId="173" fontId="78" fillId="10" borderId="0" xfId="3" applyNumberFormat="1" applyFont="1" applyFill="1" applyAlignment="1">
      <alignment horizontal="center"/>
    </xf>
    <xf numFmtId="173" fontId="41" fillId="8" borderId="0" xfId="3" applyNumberFormat="1" applyFont="1" applyFill="1" applyAlignment="1">
      <alignment horizontal="center"/>
    </xf>
    <xf numFmtId="171" fontId="25" fillId="8" borderId="0" xfId="6" applyNumberFormat="1" applyFont="1" applyFill="1" applyAlignment="1">
      <alignment horizontal="center" vertical="center"/>
    </xf>
    <xf numFmtId="171" fontId="28" fillId="8" borderId="0" xfId="6" applyNumberFormat="1" applyFont="1" applyFill="1" applyAlignment="1">
      <alignment horizontal="center" vertical="center"/>
    </xf>
    <xf numFmtId="2" fontId="24" fillId="0" borderId="0" xfId="0" applyNumberFormat="1" applyFont="1" applyAlignment="1">
      <alignment horizontal="center" vertical="center"/>
    </xf>
    <xf numFmtId="171" fontId="40" fillId="8" borderId="0" xfId="3" applyNumberFormat="1" applyFont="1" applyFill="1" applyAlignment="1">
      <alignment horizontal="center" vertical="center"/>
    </xf>
    <xf numFmtId="171" fontId="24" fillId="8" borderId="0" xfId="3" applyNumberFormat="1" applyFont="1" applyFill="1" applyAlignment="1">
      <alignment horizontal="center" vertical="center"/>
    </xf>
    <xf numFmtId="171" fontId="35" fillId="8" borderId="0" xfId="3" applyNumberFormat="1" applyFont="1" applyFill="1" applyAlignment="1">
      <alignment horizontal="center" vertical="center"/>
    </xf>
    <xf numFmtId="171" fontId="39" fillId="8" borderId="0" xfId="3" applyNumberFormat="1" applyFont="1" applyFill="1" applyAlignment="1">
      <alignment horizontal="center" vertical="center"/>
    </xf>
    <xf numFmtId="171" fontId="35" fillId="8" borderId="0" xfId="8" applyNumberFormat="1" applyFont="1" applyFill="1" applyAlignment="1">
      <alignment horizontal="center" vertical="center"/>
    </xf>
    <xf numFmtId="2" fontId="24" fillId="10" borderId="0" xfId="0" applyNumberFormat="1" applyFont="1" applyFill="1" applyAlignment="1">
      <alignment horizontal="center" vertical="center"/>
    </xf>
    <xf numFmtId="0" fontId="91" fillId="10" borderId="0" xfId="6" applyFont="1" applyFill="1" applyAlignment="1">
      <alignment horizontal="center" vertical="center"/>
    </xf>
    <xf numFmtId="0" fontId="78" fillId="10" borderId="0" xfId="6" applyFont="1" applyFill="1" applyAlignment="1">
      <alignment horizontal="center" vertical="center"/>
    </xf>
    <xf numFmtId="0" fontId="24" fillId="10" borderId="0" xfId="6" applyFill="1" applyAlignment="1">
      <alignment horizontal="center" vertical="center"/>
    </xf>
    <xf numFmtId="172" fontId="63" fillId="10" borderId="0" xfId="3" applyNumberFormat="1" applyFont="1" applyFill="1" applyAlignment="1">
      <alignment horizontal="center" vertical="center"/>
    </xf>
    <xf numFmtId="0" fontId="90" fillId="10" borderId="0" xfId="6" applyFont="1" applyFill="1" applyAlignment="1">
      <alignment horizontal="center" vertical="center"/>
    </xf>
    <xf numFmtId="2" fontId="0" fillId="10" borderId="0" xfId="0" applyNumberFormat="1" applyFill="1" applyAlignment="1">
      <alignment horizontal="center" vertical="center"/>
    </xf>
    <xf numFmtId="0" fontId="24" fillId="0" borderId="0" xfId="0" applyFont="1" applyAlignment="1">
      <alignment horizontal="center" vertical="center"/>
    </xf>
    <xf numFmtId="171" fontId="35" fillId="0" borderId="0" xfId="3" applyNumberFormat="1" applyFont="1" applyFill="1" applyAlignment="1">
      <alignment horizontal="center" vertical="center"/>
    </xf>
    <xf numFmtId="171" fontId="78" fillId="10" borderId="0" xfId="3" applyNumberFormat="1" applyFont="1" applyFill="1" applyAlignment="1">
      <alignment horizontal="center" vertical="center"/>
    </xf>
    <xf numFmtId="171" fontId="63" fillId="10" borderId="0" xfId="3" applyNumberFormat="1" applyFont="1" applyFill="1" applyAlignment="1">
      <alignment horizontal="center" vertical="center"/>
    </xf>
    <xf numFmtId="171" fontId="90" fillId="10" borderId="0" xfId="3" applyNumberFormat="1" applyFont="1" applyFill="1" applyAlignment="1">
      <alignment horizontal="center" vertical="center"/>
    </xf>
    <xf numFmtId="171" fontId="24" fillId="10" borderId="0" xfId="3" applyNumberFormat="1" applyFont="1" applyFill="1" applyAlignment="1">
      <alignment horizontal="center" vertical="center"/>
    </xf>
    <xf numFmtId="171" fontId="78" fillId="10" borderId="0" xfId="3" applyNumberFormat="1" applyFont="1" applyFill="1" applyBorder="1" applyAlignment="1">
      <alignment horizontal="center" vertical="center"/>
    </xf>
    <xf numFmtId="171" fontId="78" fillId="10" borderId="17" xfId="3" applyNumberFormat="1" applyFont="1" applyFill="1" applyBorder="1" applyAlignment="1">
      <alignment horizontal="center" vertical="center"/>
    </xf>
    <xf numFmtId="173" fontId="24" fillId="0" borderId="0" xfId="0" applyNumberFormat="1" applyFont="1" applyAlignment="1">
      <alignment horizontal="center"/>
    </xf>
    <xf numFmtId="173" fontId="24" fillId="10" borderId="0" xfId="0" applyNumberFormat="1" applyFont="1" applyFill="1" applyAlignment="1">
      <alignment horizontal="center"/>
    </xf>
    <xf numFmtId="173" fontId="91" fillId="10" borderId="0" xfId="6" applyNumberFormat="1" applyFont="1" applyFill="1" applyAlignment="1">
      <alignment horizontal="center"/>
    </xf>
    <xf numFmtId="173" fontId="24" fillId="10" borderId="0" xfId="6" applyNumberFormat="1" applyFill="1" applyAlignment="1">
      <alignment horizontal="center"/>
    </xf>
    <xf numFmtId="173" fontId="63" fillId="10" borderId="0" xfId="3" applyNumberFormat="1" applyFont="1" applyFill="1" applyAlignment="1">
      <alignment horizontal="center"/>
    </xf>
    <xf numFmtId="173" fontId="24" fillId="10" borderId="0" xfId="3" applyNumberFormat="1" applyFont="1" applyFill="1" applyAlignment="1">
      <alignment horizontal="center"/>
    </xf>
    <xf numFmtId="173" fontId="78" fillId="10" borderId="0" xfId="6" applyNumberFormat="1" applyFont="1" applyFill="1" applyAlignment="1">
      <alignment horizontal="center"/>
    </xf>
    <xf numFmtId="173" fontId="0" fillId="10" borderId="0" xfId="0" applyNumberFormat="1" applyFill="1" applyAlignment="1">
      <alignment horizontal="center"/>
    </xf>
    <xf numFmtId="172" fontId="96" fillId="10" borderId="0" xfId="3" applyNumberFormat="1" applyFont="1" applyFill="1" applyAlignment="1">
      <alignment horizontal="center" vertical="center"/>
    </xf>
    <xf numFmtId="172" fontId="96" fillId="10" borderId="0" xfId="3" applyNumberFormat="1" applyFont="1" applyFill="1" applyAlignment="1">
      <alignment horizontal="center"/>
    </xf>
    <xf numFmtId="2" fontId="78" fillId="10" borderId="24" xfId="6" applyNumberFormat="1" applyFont="1" applyFill="1" applyBorder="1"/>
    <xf numFmtId="2" fontId="78" fillId="10" borderId="20" xfId="6" applyNumberFormat="1" applyFont="1" applyFill="1" applyBorder="1"/>
    <xf numFmtId="2" fontId="78" fillId="10" borderId="27" xfId="6" applyNumberFormat="1" applyFont="1" applyFill="1" applyBorder="1"/>
    <xf numFmtId="173" fontId="78" fillId="5" borderId="0" xfId="3" applyNumberFormat="1" applyFont="1" applyFill="1" applyAlignment="1">
      <alignment horizontal="center"/>
    </xf>
    <xf numFmtId="0" fontId="34" fillId="13" borderId="1" xfId="4" applyFont="1" applyFill="1" applyBorder="1"/>
    <xf numFmtId="0" fontId="34" fillId="13" borderId="1" xfId="4" applyFont="1" applyFill="1" applyBorder="1" applyAlignment="1">
      <alignment horizontal="center"/>
    </xf>
    <xf numFmtId="4" fontId="59" fillId="0" borderId="1" xfId="4" applyNumberFormat="1" applyFont="1" applyBorder="1" applyAlignment="1">
      <alignment horizontal="center" wrapText="1"/>
    </xf>
    <xf numFmtId="4" fontId="33" fillId="0" borderId="1" xfId="4" applyNumberFormat="1" applyFont="1" applyBorder="1" applyAlignment="1">
      <alignment horizontal="center"/>
    </xf>
    <xf numFmtId="0" fontId="34" fillId="2" borderId="1" xfId="4" applyFont="1" applyFill="1" applyBorder="1" applyAlignment="1">
      <alignment horizontal="center"/>
    </xf>
    <xf numFmtId="173" fontId="24" fillId="10" borderId="0" xfId="0" applyNumberFormat="1" applyFont="1" applyFill="1" applyAlignment="1">
      <alignment horizontal="right"/>
    </xf>
    <xf numFmtId="4" fontId="34" fillId="13" borderId="1" xfId="4" applyNumberFormat="1" applyFont="1" applyFill="1" applyBorder="1" applyAlignment="1">
      <alignment horizontal="center" vertical="center" wrapText="1"/>
    </xf>
    <xf numFmtId="4" fontId="59" fillId="0" borderId="1" xfId="4" applyNumberFormat="1" applyFont="1" applyBorder="1" applyAlignment="1">
      <alignment horizontal="center"/>
    </xf>
    <xf numFmtId="4" fontId="33" fillId="10" borderId="0" xfId="4" applyNumberFormat="1" applyFont="1" applyFill="1" applyAlignment="1">
      <alignment horizontal="center"/>
    </xf>
    <xf numFmtId="0" fontId="33" fillId="0" borderId="1" xfId="4" applyFont="1" applyBorder="1" applyAlignment="1">
      <alignment horizontal="center"/>
    </xf>
    <xf numFmtId="0" fontId="34" fillId="2" borderId="1" xfId="4" applyFont="1" applyFill="1" applyBorder="1" applyAlignment="1">
      <alignment horizontal="left"/>
    </xf>
    <xf numFmtId="4" fontId="34" fillId="13" borderId="1" xfId="4" applyNumberFormat="1" applyFont="1" applyFill="1" applyBorder="1" applyAlignment="1">
      <alignment horizontal="center"/>
    </xf>
    <xf numFmtId="0" fontId="34" fillId="10" borderId="0" xfId="4" applyFont="1" applyFill="1" applyAlignment="1">
      <alignment horizontal="center"/>
    </xf>
    <xf numFmtId="0" fontId="59" fillId="0" borderId="1" xfId="4" applyFont="1" applyBorder="1" applyAlignment="1">
      <alignment horizontal="center" wrapText="1"/>
    </xf>
    <xf numFmtId="0" fontId="59" fillId="0" borderId="1" xfId="4" applyFont="1" applyBorder="1" applyAlignment="1">
      <alignment horizontal="center"/>
    </xf>
    <xf numFmtId="0" fontId="34" fillId="13" borderId="1" xfId="4" applyFont="1" applyFill="1" applyBorder="1" applyAlignment="1">
      <alignment horizontal="center" vertical="center" wrapText="1"/>
    </xf>
    <xf numFmtId="0" fontId="25" fillId="10" borderId="0" xfId="4" applyFont="1" applyFill="1" applyAlignment="1">
      <alignment horizontal="center" wrapText="1"/>
    </xf>
    <xf numFmtId="0" fontId="25" fillId="2" borderId="1" xfId="4" applyFont="1" applyFill="1" applyBorder="1" applyAlignment="1">
      <alignment horizontal="center" wrapText="1"/>
    </xf>
    <xf numFmtId="174" fontId="59" fillId="29" borderId="1" xfId="4" applyNumberFormat="1" applyFont="1" applyFill="1" applyBorder="1" applyAlignment="1">
      <alignment horizontal="center" wrapText="1"/>
    </xf>
    <xf numFmtId="174" fontId="59" fillId="29" borderId="1" xfId="4" applyNumberFormat="1" applyFont="1" applyFill="1" applyBorder="1" applyAlignment="1">
      <alignment horizontal="center"/>
    </xf>
    <xf numFmtId="174" fontId="59" fillId="26" borderId="1" xfId="4" applyNumberFormat="1" applyFont="1" applyFill="1" applyBorder="1" applyAlignment="1">
      <alignment horizontal="center" wrapText="1"/>
    </xf>
    <xf numFmtId="174" fontId="59" fillId="26" borderId="1" xfId="4" applyNumberFormat="1" applyFont="1" applyFill="1" applyBorder="1" applyAlignment="1">
      <alignment horizontal="center"/>
    </xf>
    <xf numFmtId="0" fontId="100" fillId="10" borderId="0" xfId="4" applyFont="1" applyFill="1" applyAlignment="1">
      <alignment vertical="center"/>
    </xf>
    <xf numFmtId="0" fontId="100" fillId="10" borderId="0" xfId="4" applyFont="1" applyFill="1" applyAlignment="1">
      <alignment horizontal="center" vertical="center"/>
    </xf>
    <xf numFmtId="0" fontId="101" fillId="10" borderId="0" xfId="4" applyFont="1" applyFill="1" applyAlignment="1">
      <alignment vertical="center"/>
    </xf>
    <xf numFmtId="0" fontId="101" fillId="5" borderId="12" xfId="1" applyFont="1" applyFill="1" applyBorder="1" applyAlignment="1">
      <alignment vertical="center"/>
    </xf>
    <xf numFmtId="0" fontId="101" fillId="5" borderId="14" xfId="1" applyFont="1" applyFill="1" applyBorder="1" applyAlignment="1">
      <alignment vertical="center"/>
    </xf>
    <xf numFmtId="0" fontId="101" fillId="5" borderId="13" xfId="1" applyFont="1" applyFill="1" applyBorder="1" applyAlignment="1">
      <alignment vertical="center"/>
    </xf>
    <xf numFmtId="0" fontId="101" fillId="10" borderId="0" xfId="1" applyFont="1" applyFill="1" applyAlignment="1">
      <alignment vertical="center"/>
    </xf>
    <xf numFmtId="0" fontId="101" fillId="5" borderId="12" xfId="4" applyFont="1" applyFill="1" applyBorder="1" applyAlignment="1">
      <alignment vertical="center"/>
    </xf>
    <xf numFmtId="0" fontId="101" fillId="5" borderId="14" xfId="4" applyFont="1" applyFill="1" applyBorder="1" applyAlignment="1">
      <alignment vertical="center"/>
    </xf>
    <xf numFmtId="0" fontId="101" fillId="5" borderId="13" xfId="4" applyFont="1" applyFill="1" applyBorder="1" applyAlignment="1">
      <alignment vertical="center"/>
    </xf>
    <xf numFmtId="0" fontId="100" fillId="5" borderId="13" xfId="4" applyFont="1" applyFill="1" applyBorder="1" applyAlignment="1">
      <alignment vertical="center"/>
    </xf>
    <xf numFmtId="0" fontId="101" fillId="10" borderId="7" xfId="4" applyFont="1" applyFill="1" applyBorder="1" applyAlignment="1">
      <alignment horizontal="right" vertical="center"/>
    </xf>
    <xf numFmtId="0" fontId="101" fillId="10" borderId="7" xfId="4" applyFont="1" applyFill="1" applyBorder="1" applyAlignment="1">
      <alignment horizontal="left" vertical="center"/>
    </xf>
    <xf numFmtId="2" fontId="101" fillId="5" borderId="12" xfId="4" applyNumberFormat="1" applyFont="1" applyFill="1" applyBorder="1" applyAlignment="1">
      <alignment horizontal="center" vertical="center"/>
    </xf>
    <xf numFmtId="2" fontId="101" fillId="5" borderId="16" xfId="4" applyNumberFormat="1" applyFont="1" applyFill="1" applyBorder="1" applyAlignment="1">
      <alignment horizontal="center" vertical="center"/>
    </xf>
    <xf numFmtId="0" fontId="100" fillId="10" borderId="0" xfId="4" applyFont="1" applyFill="1"/>
    <xf numFmtId="0" fontId="100" fillId="10" borderId="0" xfId="4" applyFont="1" applyFill="1" applyAlignment="1">
      <alignment horizontal="center"/>
    </xf>
    <xf numFmtId="2" fontId="100" fillId="10" borderId="6" xfId="4" applyNumberFormat="1" applyFont="1" applyFill="1" applyBorder="1" applyAlignment="1">
      <alignment horizontal="center" vertical="center"/>
    </xf>
    <xf numFmtId="2" fontId="100" fillId="10" borderId="9" xfId="4" applyNumberFormat="1" applyFont="1" applyFill="1" applyBorder="1" applyAlignment="1">
      <alignment horizontal="center" vertical="center"/>
    </xf>
    <xf numFmtId="0" fontId="102" fillId="27" borderId="32" xfId="0" applyFont="1" applyFill="1" applyBorder="1" applyAlignment="1">
      <alignment horizontal="center" vertical="center"/>
    </xf>
    <xf numFmtId="0" fontId="101" fillId="12" borderId="39" xfId="4" applyFont="1" applyFill="1" applyBorder="1" applyAlignment="1">
      <alignment horizontal="center" vertical="center"/>
    </xf>
    <xf numFmtId="0" fontId="101" fillId="12" borderId="46" xfId="4" applyFont="1" applyFill="1" applyBorder="1" applyAlignment="1">
      <alignment horizontal="center" vertical="center"/>
    </xf>
    <xf numFmtId="0" fontId="101" fillId="12" borderId="47" xfId="4" applyFont="1" applyFill="1" applyBorder="1" applyAlignment="1">
      <alignment horizontal="center" vertical="center"/>
    </xf>
    <xf numFmtId="0" fontId="100" fillId="7" borderId="5" xfId="0" applyFont="1" applyFill="1" applyBorder="1" applyAlignment="1">
      <alignment horizontal="center" vertical="center"/>
    </xf>
    <xf numFmtId="2" fontId="100" fillId="10" borderId="0" xfId="4" applyNumberFormat="1" applyFont="1" applyFill="1"/>
    <xf numFmtId="0" fontId="102" fillId="27" borderId="48" xfId="0" applyFont="1" applyFill="1" applyBorder="1" applyAlignment="1">
      <alignment horizontal="center" vertical="center"/>
    </xf>
    <xf numFmtId="0" fontId="101" fillId="12" borderId="40" xfId="4" applyFont="1" applyFill="1" applyBorder="1" applyAlignment="1">
      <alignment horizontal="center" vertical="center"/>
    </xf>
    <xf numFmtId="0" fontId="101" fillId="12" borderId="1" xfId="4" applyFont="1" applyFill="1" applyBorder="1" applyAlignment="1">
      <alignment horizontal="center" vertical="center"/>
    </xf>
    <xf numFmtId="0" fontId="101" fillId="12" borderId="35" xfId="4" applyFont="1" applyFill="1" applyBorder="1" applyAlignment="1">
      <alignment horizontal="center" vertical="center"/>
    </xf>
    <xf numFmtId="0" fontId="100" fillId="7" borderId="9" xfId="0" applyFont="1" applyFill="1" applyBorder="1" applyAlignment="1">
      <alignment horizontal="center" vertical="center"/>
    </xf>
    <xf numFmtId="0" fontId="100" fillId="10" borderId="0" xfId="4" applyFont="1" applyFill="1" applyAlignment="1">
      <alignment horizontal="left" vertical="center"/>
    </xf>
    <xf numFmtId="0" fontId="101" fillId="24" borderId="4" xfId="4" applyFont="1" applyFill="1" applyBorder="1" applyAlignment="1">
      <alignment horizontal="left" vertical="center"/>
    </xf>
    <xf numFmtId="0" fontId="29" fillId="10" borderId="0" xfId="4" applyFont="1" applyFill="1" applyAlignment="1">
      <alignment horizontal="left"/>
    </xf>
    <xf numFmtId="0" fontId="29" fillId="0" borderId="0" xfId="4" applyFont="1" applyAlignment="1">
      <alignment horizontal="left"/>
    </xf>
    <xf numFmtId="4" fontId="100" fillId="23" borderId="49" xfId="8" applyNumberFormat="1" applyFont="1" applyFill="1" applyBorder="1" applyAlignment="1">
      <alignment horizontal="center" vertical="center"/>
    </xf>
    <xf numFmtId="0" fontId="101" fillId="21" borderId="40" xfId="4" applyFont="1" applyFill="1" applyBorder="1" applyAlignment="1">
      <alignment horizontal="center" vertical="center"/>
    </xf>
    <xf numFmtId="0" fontId="100" fillId="10" borderId="34" xfId="4" applyFont="1" applyFill="1" applyBorder="1" applyAlignment="1">
      <alignment horizontal="center" vertical="center"/>
    </xf>
    <xf numFmtId="174" fontId="103" fillId="23" borderId="28" xfId="4" applyNumberFormat="1" applyFont="1" applyFill="1" applyBorder="1" applyAlignment="1">
      <alignment horizontal="center" vertical="center"/>
    </xf>
    <xf numFmtId="0" fontId="100" fillId="10" borderId="18" xfId="4" applyFont="1" applyFill="1" applyBorder="1" applyAlignment="1">
      <alignment horizontal="center" vertical="center"/>
    </xf>
    <xf numFmtId="0" fontId="100" fillId="21" borderId="1" xfId="4" applyFont="1" applyFill="1" applyBorder="1" applyAlignment="1">
      <alignment horizontal="center" vertical="center"/>
    </xf>
    <xf numFmtId="0" fontId="100" fillId="10" borderId="1" xfId="4" applyFont="1" applyFill="1" applyBorder="1" applyAlignment="1">
      <alignment horizontal="center" vertical="center"/>
    </xf>
    <xf numFmtId="2" fontId="100" fillId="10" borderId="1" xfId="4" applyNumberFormat="1" applyFont="1" applyFill="1" applyBorder="1" applyAlignment="1">
      <alignment horizontal="center" vertical="center"/>
    </xf>
    <xf numFmtId="2" fontId="100" fillId="23" borderId="35" xfId="4" applyNumberFormat="1" applyFont="1" applyFill="1" applyBorder="1" applyAlignment="1">
      <alignment horizontal="center" vertical="center"/>
    </xf>
    <xf numFmtId="0" fontId="100" fillId="23" borderId="1" xfId="4" applyFont="1" applyFill="1" applyBorder="1" applyAlignment="1">
      <alignment horizontal="center" vertical="center"/>
    </xf>
    <xf numFmtId="0" fontId="100" fillId="0" borderId="34" xfId="4" applyFont="1" applyBorder="1" applyAlignment="1">
      <alignment horizontal="center" vertical="center"/>
    </xf>
    <xf numFmtId="0" fontId="101" fillId="21" borderId="41" xfId="4" applyFont="1" applyFill="1" applyBorder="1" applyAlignment="1">
      <alignment horizontal="center" vertical="center"/>
    </xf>
    <xf numFmtId="0" fontId="100" fillId="10" borderId="42" xfId="4" applyFont="1" applyFill="1" applyBorder="1" applyAlignment="1">
      <alignment horizontal="center" vertical="center"/>
    </xf>
    <xf numFmtId="174" fontId="103" fillId="23" borderId="43" xfId="4" applyNumberFormat="1" applyFont="1" applyFill="1" applyBorder="1" applyAlignment="1">
      <alignment horizontal="center" vertical="center"/>
    </xf>
    <xf numFmtId="0" fontId="100" fillId="10" borderId="44" xfId="4" applyFont="1" applyFill="1" applyBorder="1" applyAlignment="1">
      <alignment horizontal="center" vertical="center"/>
    </xf>
    <xf numFmtId="0" fontId="100" fillId="21" borderId="46" xfId="4" applyFont="1" applyFill="1" applyBorder="1" applyAlignment="1">
      <alignment horizontal="center" vertical="center"/>
    </xf>
    <xf numFmtId="0" fontId="100" fillId="10" borderId="46" xfId="4" applyFont="1" applyFill="1" applyBorder="1" applyAlignment="1">
      <alignment horizontal="center" vertical="center"/>
    </xf>
    <xf numFmtId="2" fontId="100" fillId="10" borderId="46" xfId="4" applyNumberFormat="1" applyFont="1" applyFill="1" applyBorder="1" applyAlignment="1">
      <alignment horizontal="center" vertical="center"/>
    </xf>
    <xf numFmtId="2" fontId="100" fillId="23" borderId="47" xfId="4" applyNumberFormat="1" applyFont="1" applyFill="1" applyBorder="1" applyAlignment="1">
      <alignment horizontal="center" vertical="center"/>
    </xf>
    <xf numFmtId="4" fontId="105" fillId="5" borderId="16" xfId="0" applyNumberFormat="1" applyFont="1" applyFill="1" applyBorder="1" applyAlignment="1">
      <alignment horizontal="center" vertical="center"/>
    </xf>
    <xf numFmtId="4" fontId="105" fillId="5" borderId="5" xfId="0" applyNumberFormat="1" applyFont="1" applyFill="1" applyBorder="1" applyAlignment="1">
      <alignment horizontal="center" vertical="center"/>
    </xf>
    <xf numFmtId="4" fontId="105" fillId="10" borderId="16" xfId="0" applyNumberFormat="1" applyFont="1" applyFill="1" applyBorder="1" applyAlignment="1">
      <alignment horizontal="center" vertical="center"/>
    </xf>
    <xf numFmtId="4" fontId="24" fillId="10" borderId="24" xfId="8" applyNumberFormat="1" applyFill="1" applyBorder="1"/>
    <xf numFmtId="2" fontId="78" fillId="10" borderId="0" xfId="6" applyNumberFormat="1" applyFont="1" applyFill="1"/>
    <xf numFmtId="0" fontId="78" fillId="10" borderId="0" xfId="0" applyFont="1" applyFill="1"/>
    <xf numFmtId="172" fontId="78" fillId="10" borderId="0" xfId="0" applyNumberFormat="1" applyFont="1" applyFill="1" applyAlignment="1">
      <alignment horizontal="left"/>
    </xf>
    <xf numFmtId="0" fontId="78" fillId="0" borderId="0" xfId="0" applyFont="1"/>
    <xf numFmtId="2" fontId="78" fillId="5" borderId="0" xfId="6" applyNumberFormat="1" applyFont="1" applyFill="1"/>
    <xf numFmtId="0" fontId="100" fillId="23" borderId="46" xfId="4" applyFont="1" applyFill="1" applyBorder="1" applyAlignment="1">
      <alignment horizontal="center" vertical="center"/>
    </xf>
    <xf numFmtId="0" fontId="63" fillId="10" borderId="0" xfId="0" applyFont="1" applyFill="1"/>
    <xf numFmtId="0" fontId="25" fillId="10" borderId="0" xfId="0" applyFont="1" applyFill="1"/>
    <xf numFmtId="0" fontId="37" fillId="29" borderId="29" xfId="0" applyFont="1" applyFill="1" applyBorder="1" applyAlignment="1">
      <alignment horizontal="right" vertical="center"/>
    </xf>
    <xf numFmtId="0" fontId="24" fillId="29" borderId="30" xfId="0" applyFont="1" applyFill="1" applyBorder="1"/>
    <xf numFmtId="0" fontId="0" fillId="29" borderId="31" xfId="0" applyFill="1" applyBorder="1"/>
    <xf numFmtId="0" fontId="0" fillId="29" borderId="25" xfId="0" applyFill="1" applyBorder="1"/>
    <xf numFmtId="2" fontId="33" fillId="29" borderId="0" xfId="4" applyNumberFormat="1" applyFont="1" applyFill="1"/>
    <xf numFmtId="2" fontId="33" fillId="29" borderId="23" xfId="4" applyNumberFormat="1" applyFont="1" applyFill="1" applyBorder="1"/>
    <xf numFmtId="0" fontId="0" fillId="29" borderId="0" xfId="0" applyFill="1"/>
    <xf numFmtId="0" fontId="0" fillId="29" borderId="23" xfId="0" applyFill="1" applyBorder="1"/>
    <xf numFmtId="0" fontId="0" fillId="29" borderId="26" xfId="0" applyFill="1" applyBorder="1"/>
    <xf numFmtId="0" fontId="0" fillId="29" borderId="17" xfId="0" applyFill="1" applyBorder="1"/>
    <xf numFmtId="0" fontId="0" fillId="29" borderId="19" xfId="0" applyFill="1" applyBorder="1"/>
    <xf numFmtId="2" fontId="78" fillId="31" borderId="0" xfId="6" applyNumberFormat="1" applyFont="1" applyFill="1"/>
    <xf numFmtId="4" fontId="100" fillId="23" borderId="33" xfId="8" applyNumberFormat="1" applyFont="1" applyFill="1" applyBorder="1" applyAlignment="1">
      <alignment horizontal="center" vertical="center"/>
    </xf>
    <xf numFmtId="0" fontId="100" fillId="10" borderId="2" xfId="4" applyFont="1" applyFill="1" applyBorder="1" applyAlignment="1">
      <alignment vertical="center"/>
    </xf>
    <xf numFmtId="2" fontId="100" fillId="10" borderId="4" xfId="4" applyNumberFormat="1" applyFont="1" applyFill="1" applyBorder="1" applyAlignment="1">
      <alignment vertical="center"/>
    </xf>
    <xf numFmtId="0" fontId="100" fillId="10" borderId="3" xfId="4" applyFont="1" applyFill="1" applyBorder="1" applyAlignment="1">
      <alignment vertical="center"/>
    </xf>
    <xf numFmtId="2" fontId="100" fillId="10" borderId="3" xfId="4" applyNumberFormat="1" applyFont="1" applyFill="1" applyBorder="1" applyAlignment="1">
      <alignment vertical="center"/>
    </xf>
    <xf numFmtId="0" fontId="100" fillId="10" borderId="3" xfId="4" applyFont="1" applyFill="1" applyBorder="1" applyAlignment="1">
      <alignment horizontal="center" vertical="center"/>
    </xf>
    <xf numFmtId="174" fontId="103" fillId="10" borderId="3" xfId="4" applyNumberFormat="1" applyFont="1" applyFill="1" applyBorder="1" applyAlignment="1">
      <alignment horizontal="center" vertical="center"/>
    </xf>
    <xf numFmtId="171" fontId="90" fillId="5" borderId="0" xfId="3" applyNumberFormat="1" applyFont="1" applyFill="1" applyAlignment="1">
      <alignment horizontal="center" vertical="center"/>
    </xf>
    <xf numFmtId="172" fontId="24" fillId="5" borderId="0" xfId="3" applyNumberFormat="1" applyFont="1" applyFill="1" applyAlignment="1">
      <alignment horizontal="left"/>
    </xf>
    <xf numFmtId="171" fontId="78" fillId="21" borderId="0" xfId="3" applyNumberFormat="1" applyFont="1" applyFill="1" applyAlignment="1">
      <alignment horizontal="center" vertical="center"/>
    </xf>
    <xf numFmtId="3" fontId="33" fillId="0" borderId="1" xfId="4" applyNumberFormat="1" applyFont="1" applyBorder="1" applyAlignment="1">
      <alignment horizontal="center" vertical="center"/>
    </xf>
    <xf numFmtId="172" fontId="96" fillId="21" borderId="0" xfId="3" applyNumberFormat="1" applyFont="1" applyFill="1" applyAlignment="1">
      <alignment horizontal="center"/>
    </xf>
    <xf numFmtId="173" fontId="78" fillId="21" borderId="0" xfId="3" applyNumberFormat="1" applyFont="1" applyFill="1" applyAlignment="1">
      <alignment horizontal="center"/>
    </xf>
    <xf numFmtId="4" fontId="59" fillId="19" borderId="1" xfId="4" applyNumberFormat="1" applyFont="1" applyFill="1" applyBorder="1" applyAlignment="1">
      <alignment horizontal="center" vertical="center"/>
    </xf>
    <xf numFmtId="2" fontId="37" fillId="4" borderId="1" xfId="4" applyNumberFormat="1" applyFont="1" applyFill="1" applyBorder="1" applyAlignment="1">
      <alignment horizontal="center" vertical="center"/>
    </xf>
    <xf numFmtId="0" fontId="25" fillId="10" borderId="0" xfId="0" applyFont="1" applyFill="1" applyAlignment="1">
      <alignment horizontal="center" vertical="center"/>
    </xf>
    <xf numFmtId="0" fontId="78" fillId="21" borderId="0" xfId="0" applyFont="1" applyFill="1"/>
    <xf numFmtId="2" fontId="78" fillId="21" borderId="0" xfId="6" applyNumberFormat="1" applyFont="1" applyFill="1"/>
    <xf numFmtId="0" fontId="25" fillId="24" borderId="0" xfId="0" applyFont="1" applyFill="1" applyAlignment="1">
      <alignment horizontal="center" vertical="center"/>
    </xf>
    <xf numFmtId="172" fontId="96" fillId="5" borderId="0" xfId="3" applyNumberFormat="1" applyFont="1" applyFill="1" applyAlignment="1">
      <alignment horizontal="center"/>
    </xf>
    <xf numFmtId="4" fontId="24" fillId="10" borderId="23" xfId="8" applyNumberFormat="1" applyFill="1" applyBorder="1"/>
    <xf numFmtId="0" fontId="24" fillId="10" borderId="23" xfId="0" applyFont="1" applyFill="1" applyBorder="1" applyAlignment="1">
      <alignment horizontal="center"/>
    </xf>
    <xf numFmtId="0" fontId="24" fillId="0" borderId="1" xfId="0" applyFont="1" applyBorder="1" applyAlignment="1">
      <alignment horizontal="center"/>
    </xf>
    <xf numFmtId="4" fontId="24" fillId="0" borderId="1" xfId="8" applyNumberFormat="1" applyBorder="1"/>
    <xf numFmtId="0" fontId="24" fillId="8" borderId="0" xfId="3" applyNumberFormat="1" applyFont="1" applyFill="1"/>
    <xf numFmtId="172" fontId="78" fillId="10" borderId="0" xfId="3" applyNumberFormat="1" applyFont="1" applyFill="1" applyAlignment="1">
      <alignment horizontal="center"/>
    </xf>
    <xf numFmtId="0" fontId="0" fillId="0" borderId="0" xfId="0" applyAlignment="1">
      <alignment horizontal="left"/>
    </xf>
    <xf numFmtId="4" fontId="24" fillId="30" borderId="1" xfId="8" applyNumberFormat="1" applyFill="1" applyBorder="1"/>
    <xf numFmtId="0" fontId="90" fillId="10" borderId="0" xfId="0" applyFont="1" applyFill="1" applyAlignment="1">
      <alignment horizontal="center" vertical="center"/>
    </xf>
    <xf numFmtId="0" fontId="111" fillId="10" borderId="0" xfId="0" applyFont="1" applyFill="1" applyAlignment="1">
      <alignment horizontal="center" vertical="center"/>
    </xf>
    <xf numFmtId="0" fontId="34" fillId="5" borderId="12" xfId="0" applyFont="1" applyFill="1" applyBorder="1" applyAlignment="1">
      <alignment horizontal="center" vertical="center" wrapText="1"/>
    </xf>
    <xf numFmtId="0" fontId="49" fillId="8" borderId="0" xfId="0" applyFont="1" applyFill="1"/>
    <xf numFmtId="0" fontId="25" fillId="8" borderId="0" xfId="0" applyFont="1" applyFill="1"/>
    <xf numFmtId="171" fontId="25" fillId="8" borderId="0" xfId="3" applyNumberFormat="1" applyFont="1" applyFill="1"/>
    <xf numFmtId="0" fontId="25" fillId="10" borderId="0" xfId="6" applyFont="1" applyFill="1"/>
    <xf numFmtId="0" fontId="94" fillId="10" borderId="0" xfId="6" applyFont="1" applyFill="1"/>
    <xf numFmtId="0" fontId="94" fillId="10" borderId="0" xfId="0" applyFont="1" applyFill="1"/>
    <xf numFmtId="0" fontId="25" fillId="0" borderId="0" xfId="0" applyFont="1"/>
    <xf numFmtId="0" fontId="94" fillId="21" borderId="0" xfId="6" applyFont="1" applyFill="1"/>
    <xf numFmtId="0" fontId="78" fillId="10" borderId="24" xfId="6" applyFont="1" applyFill="1" applyBorder="1"/>
    <xf numFmtId="0" fontId="0" fillId="0" borderId="0" xfId="0" pivotButton="1"/>
    <xf numFmtId="0" fontId="25" fillId="0" borderId="1" xfId="0" applyFont="1" applyBorder="1" applyAlignment="1">
      <alignment horizontal="left"/>
    </xf>
    <xf numFmtId="0" fontId="25" fillId="0" borderId="1" xfId="0" applyFont="1" applyBorder="1" applyAlignment="1">
      <alignment horizontal="center"/>
    </xf>
    <xf numFmtId="0" fontId="0" fillId="0" borderId="1" xfId="0" applyBorder="1" applyAlignment="1">
      <alignment horizontal="left"/>
    </xf>
    <xf numFmtId="0" fontId="24" fillId="0" borderId="1" xfId="0" applyFont="1" applyBorder="1" applyAlignment="1">
      <alignment horizontal="left"/>
    </xf>
    <xf numFmtId="0" fontId="0" fillId="0" borderId="1" xfId="0" applyBorder="1" applyAlignment="1">
      <alignment horizontal="center"/>
    </xf>
    <xf numFmtId="0" fontId="25" fillId="10" borderId="0" xfId="5" applyFont="1" applyFill="1" applyAlignment="1">
      <alignment horizontal="right" vertical="center"/>
    </xf>
    <xf numFmtId="173" fontId="78" fillId="19" borderId="0" xfId="3" applyNumberFormat="1" applyFont="1" applyFill="1" applyAlignment="1">
      <alignment horizontal="center"/>
    </xf>
    <xf numFmtId="172" fontId="50" fillId="5" borderId="0" xfId="3" applyNumberFormat="1" applyFont="1" applyFill="1" applyBorder="1" applyAlignment="1">
      <alignment horizontal="left"/>
    </xf>
    <xf numFmtId="4" fontId="39" fillId="13" borderId="0" xfId="8" applyNumberFormat="1" applyFont="1" applyFill="1" applyAlignment="1">
      <alignment horizontal="left"/>
    </xf>
    <xf numFmtId="0" fontId="35" fillId="10" borderId="0" xfId="6" applyFont="1" applyFill="1"/>
    <xf numFmtId="171" fontId="24" fillId="10" borderId="0" xfId="3" applyNumberFormat="1" applyFont="1" applyFill="1" applyBorder="1" applyAlignment="1">
      <alignment horizontal="center" vertical="center"/>
    </xf>
    <xf numFmtId="171" fontId="35" fillId="10" borderId="0" xfId="3" applyNumberFormat="1" applyFont="1" applyFill="1" applyBorder="1" applyAlignment="1">
      <alignment horizontal="center" vertical="center"/>
    </xf>
    <xf numFmtId="172" fontId="50" fillId="10" borderId="0" xfId="3" applyNumberFormat="1" applyFont="1" applyFill="1" applyBorder="1" applyAlignment="1">
      <alignment horizontal="left"/>
    </xf>
    <xf numFmtId="4" fontId="39" fillId="10" borderId="0" xfId="8" applyNumberFormat="1" applyFont="1" applyFill="1" applyAlignment="1">
      <alignment horizontal="left"/>
    </xf>
    <xf numFmtId="4" fontId="39" fillId="21" borderId="0" xfId="8" applyNumberFormat="1" applyFont="1" applyFill="1" applyAlignment="1">
      <alignment horizontal="left"/>
    </xf>
    <xf numFmtId="171" fontId="35" fillId="8" borderId="0" xfId="3" applyNumberFormat="1" applyFont="1" applyFill="1"/>
    <xf numFmtId="171" fontId="24" fillId="19" borderId="0" xfId="3" applyNumberFormat="1" applyFont="1" applyFill="1"/>
    <xf numFmtId="171" fontId="41" fillId="19" borderId="0" xfId="3" applyNumberFormat="1" applyFont="1" applyFill="1"/>
    <xf numFmtId="0" fontId="48" fillId="35" borderId="0" xfId="6" applyFont="1" applyFill="1"/>
    <xf numFmtId="0" fontId="48" fillId="35" borderId="0" xfId="8" applyFont="1" applyFill="1"/>
    <xf numFmtId="171" fontId="35" fillId="13" borderId="0" xfId="3" applyNumberFormat="1" applyFont="1" applyFill="1" applyBorder="1" applyAlignment="1">
      <alignment horizontal="center" vertical="center"/>
    </xf>
    <xf numFmtId="172" fontId="96" fillId="30" borderId="0" xfId="3" applyNumberFormat="1" applyFont="1" applyFill="1" applyAlignment="1">
      <alignment horizontal="center"/>
    </xf>
    <xf numFmtId="0" fontId="78" fillId="10" borderId="27" xfId="6" applyFont="1" applyFill="1" applyBorder="1"/>
    <xf numFmtId="0" fontId="78" fillId="10" borderId="20" xfId="6" applyFont="1" applyFill="1" applyBorder="1"/>
    <xf numFmtId="0" fontId="78" fillId="10" borderId="1" xfId="6" applyFont="1" applyFill="1" applyBorder="1"/>
    <xf numFmtId="0" fontId="24" fillId="21" borderId="0" xfId="6" applyFill="1"/>
    <xf numFmtId="171" fontId="90" fillId="21" borderId="0" xfId="3" applyNumberFormat="1" applyFont="1" applyFill="1" applyAlignment="1">
      <alignment horizontal="center" vertical="center"/>
    </xf>
    <xf numFmtId="171" fontId="35" fillId="21" borderId="0" xfId="3" applyNumberFormat="1" applyFont="1" applyFill="1" applyAlignment="1">
      <alignment horizontal="center" vertical="center"/>
    </xf>
    <xf numFmtId="172" fontId="24" fillId="21" borderId="0" xfId="3" applyNumberFormat="1" applyFont="1" applyFill="1" applyAlignment="1">
      <alignment horizontal="left"/>
    </xf>
    <xf numFmtId="0" fontId="63" fillId="21" borderId="0" xfId="6" applyFont="1" applyFill="1"/>
    <xf numFmtId="0" fontId="39" fillId="10" borderId="0" xfId="6" applyFont="1" applyFill="1" applyAlignment="1">
      <alignment horizontal="left"/>
    </xf>
    <xf numFmtId="173" fontId="41" fillId="10" borderId="0" xfId="3" applyNumberFormat="1" applyFont="1" applyFill="1" applyAlignment="1">
      <alignment horizontal="center"/>
    </xf>
    <xf numFmtId="171" fontId="35" fillId="10" borderId="0" xfId="3" applyNumberFormat="1" applyFont="1" applyFill="1" applyAlignment="1">
      <alignment horizontal="center" vertical="center"/>
    </xf>
    <xf numFmtId="173" fontId="35" fillId="10" borderId="0" xfId="3" applyNumberFormat="1" applyFont="1" applyFill="1" applyAlignment="1">
      <alignment horizontal="center" vertical="center"/>
    </xf>
    <xf numFmtId="173" fontId="24" fillId="10" borderId="0" xfId="3" applyNumberFormat="1" applyFont="1" applyFill="1"/>
    <xf numFmtId="171" fontId="24" fillId="10" borderId="0" xfId="3" applyNumberFormat="1" applyFont="1" applyFill="1"/>
    <xf numFmtId="4" fontId="90" fillId="10" borderId="0" xfId="8" applyNumberFormat="1" applyFont="1" applyFill="1" applyAlignment="1">
      <alignment horizontal="left"/>
    </xf>
    <xf numFmtId="0" fontId="24" fillId="10" borderId="54" xfId="0" applyFont="1" applyFill="1" applyBorder="1" applyAlignment="1">
      <alignment horizontal="center"/>
    </xf>
    <xf numFmtId="0" fontId="24" fillId="0" borderId="23" xfId="0" applyFont="1" applyBorder="1" applyAlignment="1">
      <alignment horizontal="center"/>
    </xf>
    <xf numFmtId="0" fontId="24" fillId="0" borderId="28" xfId="0" applyFont="1" applyBorder="1" applyAlignment="1">
      <alignment horizontal="center"/>
    </xf>
    <xf numFmtId="0" fontId="24" fillId="0" borderId="29" xfId="0" applyFont="1" applyBorder="1" applyAlignment="1">
      <alignment horizontal="center"/>
    </xf>
    <xf numFmtId="0" fontId="24" fillId="10" borderId="28" xfId="0" applyFont="1" applyFill="1" applyBorder="1" applyAlignment="1">
      <alignment horizontal="center"/>
    </xf>
    <xf numFmtId="171" fontId="78" fillId="17" borderId="0" xfId="3" applyNumberFormat="1" applyFont="1" applyFill="1" applyAlignment="1">
      <alignment horizontal="center" vertical="center"/>
    </xf>
    <xf numFmtId="0" fontId="78" fillId="21" borderId="0" xfId="6" applyFont="1" applyFill="1"/>
    <xf numFmtId="0" fontId="24" fillId="38" borderId="24" xfId="0" applyFont="1" applyFill="1" applyBorder="1" applyAlignment="1">
      <alignment horizontal="center"/>
    </xf>
    <xf numFmtId="4" fontId="24" fillId="38" borderId="24" xfId="8" applyNumberFormat="1" applyFill="1" applyBorder="1"/>
    <xf numFmtId="2" fontId="100" fillId="23" borderId="55" xfId="4" applyNumberFormat="1" applyFont="1" applyFill="1" applyBorder="1" applyAlignment="1">
      <alignment horizontal="center" vertical="center"/>
    </xf>
    <xf numFmtId="0" fontId="24" fillId="10" borderId="0" xfId="6" applyFill="1"/>
    <xf numFmtId="0" fontId="78" fillId="21" borderId="27" xfId="6" applyFont="1" applyFill="1" applyBorder="1"/>
    <xf numFmtId="0" fontId="78" fillId="21" borderId="20" xfId="6" applyFont="1" applyFill="1" applyBorder="1"/>
    <xf numFmtId="0" fontId="39" fillId="17" borderId="0" xfId="6" applyFont="1" applyFill="1"/>
    <xf numFmtId="171" fontId="35" fillId="17" borderId="0" xfId="3" applyNumberFormat="1" applyFont="1" applyFill="1" applyAlignment="1">
      <alignment horizontal="center" vertical="center"/>
    </xf>
    <xf numFmtId="172" fontId="24" fillId="17" borderId="0" xfId="3" applyNumberFormat="1" applyFont="1" applyFill="1" applyAlignment="1">
      <alignment horizontal="left"/>
    </xf>
    <xf numFmtId="171" fontId="24" fillId="17" borderId="0" xfId="3" applyNumberFormat="1" applyFont="1" applyFill="1"/>
    <xf numFmtId="171" fontId="90" fillId="37" borderId="0" xfId="3" applyNumberFormat="1" applyFont="1" applyFill="1" applyAlignment="1">
      <alignment horizontal="center" vertical="center"/>
    </xf>
    <xf numFmtId="0" fontId="46" fillId="17" borderId="0" xfId="8" applyFont="1" applyFill="1"/>
    <xf numFmtId="171" fontId="90" fillId="17" borderId="0" xfId="3" applyNumberFormat="1" applyFont="1" applyFill="1" applyAlignment="1">
      <alignment horizontal="center" vertical="center"/>
    </xf>
    <xf numFmtId="0" fontId="25" fillId="8" borderId="0" xfId="11" applyFont="1" applyFill="1" applyAlignment="1">
      <alignment horizontal="center"/>
    </xf>
    <xf numFmtId="0" fontId="25" fillId="11" borderId="0" xfId="11" applyFont="1" applyFill="1"/>
    <xf numFmtId="0" fontId="24" fillId="8" borderId="0" xfId="11" applyFill="1"/>
    <xf numFmtId="0" fontId="25" fillId="8" borderId="0" xfId="11" applyFont="1" applyFill="1"/>
    <xf numFmtId="0" fontId="24" fillId="9" borderId="0" xfId="11" applyFill="1"/>
    <xf numFmtId="0" fontId="35" fillId="9" borderId="0" xfId="11" applyFont="1" applyFill="1"/>
    <xf numFmtId="171" fontId="35" fillId="8" borderId="0" xfId="11" applyNumberFormat="1" applyFont="1" applyFill="1" applyAlignment="1">
      <alignment horizontal="center" vertical="center"/>
    </xf>
    <xf numFmtId="172" fontId="24" fillId="8" borderId="0" xfId="11" applyNumberFormat="1" applyFill="1" applyAlignment="1">
      <alignment horizontal="left"/>
    </xf>
    <xf numFmtId="0" fontId="49" fillId="8" borderId="0" xfId="11" applyFont="1" applyFill="1"/>
    <xf numFmtId="0" fontId="40" fillId="8" borderId="0" xfId="11" applyFont="1" applyFill="1"/>
    <xf numFmtId="0" fontId="45" fillId="10" borderId="0" xfId="6" applyFont="1" applyFill="1"/>
    <xf numFmtId="0" fontId="25" fillId="5" borderId="0" xfId="11" applyFont="1" applyFill="1"/>
    <xf numFmtId="0" fontId="115" fillId="11" borderId="0" xfId="11" applyFont="1" applyFill="1"/>
    <xf numFmtId="0" fontId="25" fillId="0" borderId="0" xfId="11" applyFont="1"/>
    <xf numFmtId="0" fontId="24" fillId="0" borderId="0" xfId="11"/>
    <xf numFmtId="0" fontId="25" fillId="10" borderId="0" xfId="11" applyFont="1" applyFill="1"/>
    <xf numFmtId="0" fontId="57" fillId="10" borderId="0" xfId="11" applyFont="1" applyFill="1" applyAlignment="1">
      <alignment horizontal="left"/>
    </xf>
    <xf numFmtId="171" fontId="90" fillId="13" borderId="0" xfId="3" applyNumberFormat="1" applyFont="1" applyFill="1" applyAlignment="1">
      <alignment horizontal="center" vertical="center"/>
    </xf>
    <xf numFmtId="171" fontId="57" fillId="10" borderId="0" xfId="3" applyNumberFormat="1" applyFont="1" applyFill="1" applyAlignment="1">
      <alignment horizontal="center" vertical="center"/>
    </xf>
    <xf numFmtId="172" fontId="63" fillId="10" borderId="0" xfId="11" applyNumberFormat="1" applyFont="1" applyFill="1" applyAlignment="1">
      <alignment horizontal="left"/>
    </xf>
    <xf numFmtId="0" fontId="78" fillId="10" borderId="0" xfId="11" applyFont="1" applyFill="1"/>
    <xf numFmtId="0" fontId="39" fillId="10" borderId="0" xfId="6" applyFont="1" applyFill="1"/>
    <xf numFmtId="0" fontId="24" fillId="10" borderId="0" xfId="11" applyFill="1"/>
    <xf numFmtId="0" fontId="35" fillId="38" borderId="0" xfId="6" applyFont="1" applyFill="1"/>
    <xf numFmtId="0" fontId="116" fillId="5" borderId="0" xfId="11" applyFont="1" applyFill="1"/>
    <xf numFmtId="171" fontId="24" fillId="30" borderId="0" xfId="3" applyNumberFormat="1" applyFont="1" applyFill="1"/>
    <xf numFmtId="0" fontId="24" fillId="39" borderId="0" xfId="0" applyFont="1" applyFill="1" applyAlignment="1">
      <alignment horizontal="left"/>
    </xf>
    <xf numFmtId="0" fontId="43" fillId="17" borderId="0" xfId="8" applyFont="1" applyFill="1"/>
    <xf numFmtId="0" fontId="43" fillId="10" borderId="0" xfId="8" applyFont="1" applyFill="1"/>
    <xf numFmtId="0" fontId="49" fillId="5" borderId="0" xfId="11" applyFont="1" applyFill="1"/>
    <xf numFmtId="171" fontId="42" fillId="5" borderId="0" xfId="11" applyNumberFormat="1" applyFont="1" applyFill="1"/>
    <xf numFmtId="0" fontId="25" fillId="6" borderId="0" xfId="11" applyFont="1" applyFill="1"/>
    <xf numFmtId="171" fontId="90" fillId="39" borderId="0" xfId="3" applyNumberFormat="1" applyFont="1" applyFill="1" applyAlignment="1">
      <alignment horizontal="center" vertical="center"/>
    </xf>
    <xf numFmtId="171" fontId="90" fillId="40" borderId="0" xfId="3" applyNumberFormat="1" applyFont="1" applyFill="1" applyAlignment="1">
      <alignment horizontal="center" vertical="center"/>
    </xf>
    <xf numFmtId="0" fontId="54" fillId="10" borderId="0" xfId="6" applyFont="1" applyFill="1"/>
    <xf numFmtId="0" fontId="54" fillId="17" borderId="0" xfId="6" applyFont="1" applyFill="1"/>
    <xf numFmtId="0" fontId="24" fillId="17" borderId="0" xfId="11" applyFill="1"/>
    <xf numFmtId="0" fontId="24" fillId="21" borderId="0" xfId="11" applyFill="1"/>
    <xf numFmtId="0" fontId="39" fillId="10" borderId="0" xfId="8" applyFont="1" applyFill="1"/>
    <xf numFmtId="2" fontId="24" fillId="10" borderId="0" xfId="8" applyNumberFormat="1" applyFill="1" applyAlignment="1">
      <alignment horizontal="left"/>
    </xf>
    <xf numFmtId="0" fontId="63" fillId="10" borderId="0" xfId="11" applyFont="1" applyFill="1"/>
    <xf numFmtId="0" fontId="24" fillId="10" borderId="0" xfId="11" applyFill="1" applyAlignment="1">
      <alignment horizontal="left"/>
    </xf>
    <xf numFmtId="173" fontId="24" fillId="10" borderId="0" xfId="11" applyNumberFormat="1" applyFill="1" applyAlignment="1">
      <alignment horizontal="center"/>
    </xf>
    <xf numFmtId="2" fontId="24" fillId="10" borderId="0" xfId="11" applyNumberFormat="1" applyFill="1" applyAlignment="1">
      <alignment horizontal="center" vertical="center"/>
    </xf>
    <xf numFmtId="0" fontId="24" fillId="10" borderId="0" xfId="11" applyFill="1" applyAlignment="1">
      <alignment horizontal="center" vertical="center"/>
    </xf>
    <xf numFmtId="172" fontId="92" fillId="10" borderId="0" xfId="11" applyNumberFormat="1" applyFont="1" applyFill="1" applyAlignment="1">
      <alignment horizontal="left"/>
    </xf>
    <xf numFmtId="2" fontId="92" fillId="10" borderId="0" xfId="11" applyNumberFormat="1" applyFont="1" applyFill="1"/>
    <xf numFmtId="0" fontId="92" fillId="10" borderId="0" xfId="11" applyFont="1" applyFill="1"/>
    <xf numFmtId="0" fontId="25" fillId="10" borderId="0" xfId="11" applyFont="1" applyFill="1" applyAlignment="1">
      <alignment horizontal="left"/>
    </xf>
    <xf numFmtId="0" fontId="91" fillId="10" borderId="0" xfId="11" applyFont="1" applyFill="1"/>
    <xf numFmtId="172" fontId="24" fillId="10" borderId="0" xfId="11" applyNumberFormat="1" applyFill="1" applyAlignment="1">
      <alignment horizontal="left"/>
    </xf>
    <xf numFmtId="2" fontId="24" fillId="10" borderId="0" xfId="11" applyNumberFormat="1" applyFill="1"/>
    <xf numFmtId="173" fontId="63" fillId="10" borderId="0" xfId="11" applyNumberFormat="1" applyFont="1" applyFill="1" applyAlignment="1">
      <alignment horizontal="center"/>
    </xf>
    <xf numFmtId="2" fontId="63" fillId="10" borderId="0" xfId="11" applyNumberFormat="1" applyFont="1" applyFill="1" applyAlignment="1">
      <alignment horizontal="center" vertical="center"/>
    </xf>
    <xf numFmtId="0" fontId="63" fillId="10" borderId="0" xfId="11" applyFont="1" applyFill="1" applyAlignment="1">
      <alignment horizontal="center" vertical="center"/>
    </xf>
    <xf numFmtId="0" fontId="0" fillId="10" borderId="0" xfId="6" applyFont="1" applyFill="1" applyAlignment="1">
      <alignment horizontal="left"/>
    </xf>
    <xf numFmtId="4" fontId="0" fillId="10" borderId="0" xfId="8" applyNumberFormat="1" applyFont="1" applyFill="1"/>
    <xf numFmtId="0" fontId="105" fillId="10" borderId="0" xfId="11" applyFont="1" applyFill="1"/>
    <xf numFmtId="173" fontId="63" fillId="35" borderId="0" xfId="3" applyNumberFormat="1" applyFont="1" applyFill="1" applyAlignment="1">
      <alignment horizontal="center"/>
    </xf>
    <xf numFmtId="0" fontId="63" fillId="10" borderId="0" xfId="11" applyFont="1" applyFill="1" applyAlignment="1">
      <alignment horizontal="left"/>
    </xf>
    <xf numFmtId="0" fontId="90" fillId="10" borderId="0" xfId="11" applyFont="1" applyFill="1"/>
    <xf numFmtId="0" fontId="90" fillId="10" borderId="0" xfId="11" applyFont="1" applyFill="1" applyAlignment="1">
      <alignment horizontal="left"/>
    </xf>
    <xf numFmtId="2" fontId="90" fillId="10" borderId="0" xfId="11" applyNumberFormat="1" applyFont="1" applyFill="1"/>
    <xf numFmtId="0" fontId="0" fillId="21" borderId="0" xfId="0" applyFill="1"/>
    <xf numFmtId="0" fontId="90" fillId="21" borderId="0" xfId="6" applyFont="1" applyFill="1" applyAlignment="1">
      <alignment horizontal="left"/>
    </xf>
    <xf numFmtId="0" fontId="90" fillId="21" borderId="0" xfId="6" applyFont="1" applyFill="1" applyAlignment="1">
      <alignment horizontal="center" vertical="center"/>
    </xf>
    <xf numFmtId="172" fontId="90" fillId="21" borderId="0" xfId="3" applyNumberFormat="1" applyFont="1" applyFill="1" applyAlignment="1">
      <alignment horizontal="left"/>
    </xf>
    <xf numFmtId="2" fontId="90" fillId="21" borderId="0" xfId="6" applyNumberFormat="1" applyFont="1" applyFill="1"/>
    <xf numFmtId="171" fontId="90" fillId="35" borderId="0" xfId="3" applyNumberFormat="1" applyFont="1" applyFill="1" applyAlignment="1">
      <alignment horizontal="center" vertical="center"/>
    </xf>
    <xf numFmtId="0" fontId="89" fillId="21" borderId="0" xfId="6" applyFont="1" applyFill="1" applyAlignment="1">
      <alignment horizontal="left"/>
    </xf>
    <xf numFmtId="0" fontId="35" fillId="21" borderId="0" xfId="6" applyFont="1" applyFill="1"/>
    <xf numFmtId="172" fontId="50" fillId="21" borderId="0" xfId="3" applyNumberFormat="1" applyFont="1" applyFill="1" applyBorder="1" applyAlignment="1">
      <alignment horizontal="left"/>
    </xf>
    <xf numFmtId="171" fontId="35" fillId="21" borderId="0" xfId="3" applyNumberFormat="1" applyFont="1" applyFill="1" applyBorder="1" applyAlignment="1">
      <alignment horizontal="center" vertical="center"/>
    </xf>
    <xf numFmtId="171" fontId="90" fillId="30" borderId="0" xfId="3" applyNumberFormat="1" applyFont="1" applyFill="1" applyAlignment="1">
      <alignment horizontal="center" vertical="center"/>
    </xf>
    <xf numFmtId="0" fontId="78" fillId="21" borderId="0" xfId="11" applyFont="1" applyFill="1" applyAlignment="1">
      <alignment horizontal="left"/>
    </xf>
    <xf numFmtId="171" fontId="78" fillId="41" borderId="0" xfId="3" applyNumberFormat="1" applyFont="1" applyFill="1" applyAlignment="1">
      <alignment horizontal="center" vertical="center"/>
    </xf>
    <xf numFmtId="172" fontId="78" fillId="21" borderId="0" xfId="11" applyNumberFormat="1" applyFont="1" applyFill="1" applyAlignment="1">
      <alignment horizontal="left"/>
    </xf>
    <xf numFmtId="172" fontId="90" fillId="39" borderId="0" xfId="3" applyNumberFormat="1" applyFont="1" applyFill="1" applyAlignment="1">
      <alignment horizontal="center"/>
    </xf>
    <xf numFmtId="172" fontId="90" fillId="21" borderId="0" xfId="11" applyNumberFormat="1" applyFont="1" applyFill="1" applyAlignment="1">
      <alignment horizontal="left"/>
    </xf>
    <xf numFmtId="172" fontId="78" fillId="10" borderId="0" xfId="11" applyNumberFormat="1" applyFont="1" applyFill="1" applyAlignment="1">
      <alignment horizontal="left"/>
    </xf>
    <xf numFmtId="2" fontId="78" fillId="39" borderId="0" xfId="6" applyNumberFormat="1" applyFont="1" applyFill="1"/>
    <xf numFmtId="171" fontId="78" fillId="19" borderId="0" xfId="3" applyNumberFormat="1" applyFont="1" applyFill="1" applyAlignment="1">
      <alignment horizontal="left" vertical="center"/>
    </xf>
    <xf numFmtId="173" fontId="78" fillId="39" borderId="0" xfId="3" applyNumberFormat="1" applyFont="1" applyFill="1" applyAlignment="1">
      <alignment horizontal="center"/>
    </xf>
    <xf numFmtId="0" fontId="94" fillId="10" borderId="0" xfId="11" applyFont="1" applyFill="1"/>
    <xf numFmtId="2" fontId="78" fillId="10" borderId="0" xfId="11" applyNumberFormat="1" applyFont="1" applyFill="1"/>
    <xf numFmtId="172" fontId="78" fillId="5" borderId="0" xfId="11" applyNumberFormat="1" applyFont="1" applyFill="1" applyAlignment="1">
      <alignment horizontal="left"/>
    </xf>
    <xf numFmtId="0" fontId="78" fillId="10" borderId="0" xfId="11" applyFont="1" applyFill="1" applyAlignment="1">
      <alignment horizontal="left"/>
    </xf>
    <xf numFmtId="2" fontId="0" fillId="0" borderId="0" xfId="0" applyNumberFormat="1" applyAlignment="1">
      <alignment horizontal="right"/>
    </xf>
    <xf numFmtId="2" fontId="0" fillId="0" borderId="0" xfId="0" applyNumberFormat="1"/>
    <xf numFmtId="173" fontId="41" fillId="8" borderId="0" xfId="3" applyNumberFormat="1" applyFont="1" applyFill="1"/>
    <xf numFmtId="173" fontId="35" fillId="8" borderId="0" xfId="3" applyNumberFormat="1" applyFont="1" applyFill="1"/>
    <xf numFmtId="0" fontId="0" fillId="19" borderId="0" xfId="0" applyFill="1"/>
    <xf numFmtId="0" fontId="110" fillId="8" borderId="0" xfId="8" applyFont="1" applyFill="1"/>
    <xf numFmtId="172" fontId="63" fillId="10" borderId="0" xfId="3" applyNumberFormat="1" applyFont="1" applyFill="1" applyAlignment="1">
      <alignment horizontal="center"/>
    </xf>
    <xf numFmtId="171" fontId="41" fillId="8" borderId="0" xfId="3" applyNumberFormat="1" applyFont="1" applyFill="1"/>
    <xf numFmtId="0" fontId="24" fillId="42" borderId="0" xfId="0" applyFont="1" applyFill="1"/>
    <xf numFmtId="0" fontId="24" fillId="19" borderId="0" xfId="0" applyFont="1" applyFill="1"/>
    <xf numFmtId="0" fontId="24" fillId="43" borderId="0" xfId="0" applyFont="1" applyFill="1"/>
    <xf numFmtId="0" fontId="110" fillId="43" borderId="0" xfId="8" applyFont="1" applyFill="1"/>
    <xf numFmtId="171" fontId="35" fillId="43" borderId="0" xfId="3" applyNumberFormat="1" applyFont="1" applyFill="1"/>
    <xf numFmtId="171" fontId="24" fillId="43" borderId="0" xfId="3" applyNumberFormat="1" applyFont="1" applyFill="1"/>
    <xf numFmtId="0" fontId="0" fillId="43" borderId="0" xfId="0" applyFill="1"/>
    <xf numFmtId="173" fontId="24" fillId="8" borderId="0" xfId="0" applyNumberFormat="1" applyFont="1" applyFill="1"/>
    <xf numFmtId="173" fontId="0" fillId="0" borderId="0" xfId="0" applyNumberFormat="1"/>
    <xf numFmtId="0" fontId="63" fillId="8" borderId="0" xfId="8" applyFont="1" applyFill="1"/>
    <xf numFmtId="0" fontId="24" fillId="10" borderId="25" xfId="0" applyFont="1" applyFill="1" applyBorder="1" applyAlignment="1">
      <alignment horizontal="left"/>
    </xf>
    <xf numFmtId="0" fontId="110" fillId="10" borderId="0" xfId="8" applyFont="1" applyFill="1"/>
    <xf numFmtId="171" fontId="41" fillId="10" borderId="0" xfId="3" applyNumberFormat="1" applyFont="1" applyFill="1"/>
    <xf numFmtId="171" fontId="35" fillId="10" borderId="0" xfId="3" applyNumberFormat="1" applyFont="1" applyFill="1"/>
    <xf numFmtId="171" fontId="24" fillId="10" borderId="0" xfId="0" applyNumberFormat="1" applyFont="1" applyFill="1"/>
    <xf numFmtId="173" fontId="41" fillId="10" borderId="0" xfId="3" applyNumberFormat="1" applyFont="1" applyFill="1"/>
    <xf numFmtId="0" fontId="46" fillId="10" borderId="0" xfId="8" applyFont="1" applyFill="1"/>
    <xf numFmtId="0" fontId="78" fillId="5" borderId="0" xfId="11" applyFont="1" applyFill="1"/>
    <xf numFmtId="2" fontId="94" fillId="10" borderId="0" xfId="6" applyNumberFormat="1" applyFont="1" applyFill="1"/>
    <xf numFmtId="0" fontId="78" fillId="21" borderId="0" xfId="11" applyFont="1" applyFill="1"/>
    <xf numFmtId="2" fontId="78" fillId="17" borderId="0" xfId="6" applyNumberFormat="1" applyFont="1" applyFill="1"/>
    <xf numFmtId="171" fontId="24" fillId="8" borderId="0" xfId="11" applyNumberFormat="1" applyFill="1"/>
    <xf numFmtId="171" fontId="78" fillId="30" borderId="0" xfId="3" applyNumberFormat="1" applyFont="1" applyFill="1" applyAlignment="1">
      <alignment horizontal="center" vertical="center"/>
    </xf>
    <xf numFmtId="0" fontId="78" fillId="10" borderId="24" xfId="11" applyFont="1" applyFill="1" applyBorder="1" applyAlignment="1">
      <alignment horizontal="left"/>
    </xf>
    <xf numFmtId="0" fontId="78" fillId="21" borderId="24" xfId="11" applyFont="1" applyFill="1" applyBorder="1" applyAlignment="1">
      <alignment horizontal="left"/>
    </xf>
    <xf numFmtId="0" fontId="78" fillId="10" borderId="20" xfId="11" applyFont="1" applyFill="1" applyBorder="1" applyAlignment="1">
      <alignment horizontal="left"/>
    </xf>
    <xf numFmtId="0" fontId="78" fillId="0" borderId="0" xfId="11" applyFont="1"/>
    <xf numFmtId="0" fontId="78" fillId="10" borderId="27" xfId="11" applyFont="1" applyFill="1" applyBorder="1" applyAlignment="1">
      <alignment horizontal="left"/>
    </xf>
    <xf numFmtId="173" fontId="78" fillId="17" borderId="0" xfId="3" applyNumberFormat="1" applyFont="1" applyFill="1" applyAlignment="1">
      <alignment horizontal="center"/>
    </xf>
    <xf numFmtId="171" fontId="78" fillId="37" borderId="0" xfId="3" applyNumberFormat="1" applyFont="1" applyFill="1" applyAlignment="1">
      <alignment horizontal="center" vertical="center"/>
    </xf>
    <xf numFmtId="0" fontId="78" fillId="17" borderId="0" xfId="11" applyFont="1" applyFill="1" applyAlignment="1">
      <alignment horizontal="left"/>
    </xf>
    <xf numFmtId="0" fontId="94" fillId="10" borderId="0" xfId="6" applyFont="1" applyFill="1" applyAlignment="1">
      <alignment vertical="center"/>
    </xf>
    <xf numFmtId="0" fontId="78" fillId="10" borderId="27" xfId="11" applyFont="1" applyFill="1" applyBorder="1" applyAlignment="1">
      <alignment horizontal="left" vertical="center"/>
    </xf>
    <xf numFmtId="173" fontId="78" fillId="10" borderId="0" xfId="3" applyNumberFormat="1" applyFont="1" applyFill="1" applyAlignment="1">
      <alignment horizontal="center" vertical="center"/>
    </xf>
    <xf numFmtId="172" fontId="78" fillId="10" borderId="0" xfId="11" applyNumberFormat="1" applyFont="1" applyFill="1" applyAlignment="1">
      <alignment horizontal="left" vertical="center"/>
    </xf>
    <xf numFmtId="0" fontId="78" fillId="10" borderId="0" xfId="11" applyFont="1" applyFill="1" applyAlignment="1">
      <alignment vertical="center"/>
    </xf>
    <xf numFmtId="0" fontId="78" fillId="10" borderId="24" xfId="11" applyFont="1" applyFill="1" applyBorder="1" applyAlignment="1">
      <alignment horizontal="left" vertical="center"/>
    </xf>
    <xf numFmtId="0" fontId="78" fillId="17" borderId="0" xfId="11" applyFont="1" applyFill="1" applyAlignment="1">
      <alignment horizontal="left" vertical="center"/>
    </xf>
    <xf numFmtId="0" fontId="78" fillId="10" borderId="20" xfId="11" applyFont="1" applyFill="1" applyBorder="1" applyAlignment="1">
      <alignment horizontal="left" vertical="center"/>
    </xf>
    <xf numFmtId="0" fontId="78" fillId="10" borderId="0" xfId="11" applyFont="1" applyFill="1" applyAlignment="1">
      <alignment horizontal="left" vertical="center"/>
    </xf>
    <xf numFmtId="171" fontId="78" fillId="21" borderId="0" xfId="3" applyNumberFormat="1" applyFont="1" applyFill="1" applyBorder="1" applyAlignment="1">
      <alignment horizontal="center" vertical="center"/>
    </xf>
    <xf numFmtId="0" fontId="78" fillId="30" borderId="0" xfId="6" applyFont="1" applyFill="1"/>
    <xf numFmtId="171" fontId="78" fillId="21" borderId="17" xfId="3" applyNumberFormat="1" applyFont="1" applyFill="1" applyBorder="1" applyAlignment="1">
      <alignment horizontal="center" vertical="center"/>
    </xf>
    <xf numFmtId="171" fontId="78" fillId="39" borderId="0" xfId="3" applyNumberFormat="1" applyFont="1" applyFill="1" applyAlignment="1">
      <alignment horizontal="center" vertical="center"/>
    </xf>
    <xf numFmtId="173" fontId="78" fillId="13" borderId="0" xfId="3" applyNumberFormat="1" applyFont="1" applyFill="1" applyAlignment="1">
      <alignment horizontal="center"/>
    </xf>
    <xf numFmtId="0" fontId="78" fillId="17" borderId="0" xfId="11" quotePrefix="1" applyFont="1" applyFill="1" applyAlignment="1">
      <alignment horizontal="left"/>
    </xf>
    <xf numFmtId="0" fontId="24" fillId="10" borderId="0" xfId="0" applyFont="1" applyFill="1" applyAlignment="1">
      <alignment horizontal="left" vertical="center"/>
    </xf>
    <xf numFmtId="4" fontId="34" fillId="39" borderId="1" xfId="4" applyNumberFormat="1" applyFont="1" applyFill="1" applyBorder="1" applyAlignment="1">
      <alignment horizontal="center"/>
    </xf>
    <xf numFmtId="0" fontId="25" fillId="11" borderId="16" xfId="0" applyFont="1" applyFill="1" applyBorder="1" applyAlignment="1">
      <alignment vertical="center"/>
    </xf>
    <xf numFmtId="0" fontId="24" fillId="17" borderId="24" xfId="0" applyFont="1" applyFill="1" applyBorder="1" applyAlignment="1">
      <alignment horizontal="center"/>
    </xf>
    <xf numFmtId="4" fontId="24" fillId="17" borderId="24" xfId="8" applyNumberFormat="1" applyFill="1" applyBorder="1"/>
    <xf numFmtId="0" fontId="24" fillId="10" borderId="10" xfId="0" applyFont="1" applyFill="1" applyBorder="1" applyAlignment="1">
      <alignment vertical="center"/>
    </xf>
    <xf numFmtId="0" fontId="24" fillId="10" borderId="8" xfId="0" applyFont="1" applyFill="1" applyBorder="1" applyAlignment="1">
      <alignment vertical="center"/>
    </xf>
    <xf numFmtId="0" fontId="24" fillId="23" borderId="24" xfId="0" applyFont="1" applyFill="1" applyBorder="1" applyAlignment="1">
      <alignment horizontal="center"/>
    </xf>
    <xf numFmtId="4" fontId="24" fillId="23" borderId="24" xfId="8" applyNumberFormat="1" applyFill="1" applyBorder="1"/>
    <xf numFmtId="1" fontId="0" fillId="0" borderId="0" xfId="0" applyNumberFormat="1" applyAlignment="1">
      <alignment vertical="center"/>
    </xf>
    <xf numFmtId="170" fontId="0" fillId="0" borderId="0" xfId="8" applyNumberFormat="1" applyFont="1" applyAlignment="1">
      <alignment vertical="center"/>
    </xf>
    <xf numFmtId="0" fontId="0" fillId="0" borderId="0" xfId="8" applyFont="1" applyAlignment="1">
      <alignment vertical="center"/>
    </xf>
    <xf numFmtId="170" fontId="24" fillId="0" borderId="0" xfId="8" quotePrefix="1" applyNumberFormat="1" applyAlignment="1">
      <alignment horizontal="right" indent="1"/>
    </xf>
    <xf numFmtId="0" fontId="24" fillId="0" borderId="0" xfId="8" applyAlignment="1">
      <alignment horizontal="left" wrapText="1"/>
    </xf>
    <xf numFmtId="2" fontId="24" fillId="0" borderId="0" xfId="8" applyNumberFormat="1" applyAlignment="1">
      <alignment horizontal="left" indent="1"/>
    </xf>
    <xf numFmtId="0" fontId="38" fillId="0" borderId="0" xfId="1" applyFont="1" applyAlignment="1">
      <alignment horizontal="center"/>
    </xf>
    <xf numFmtId="1" fontId="24" fillId="21" borderId="18" xfId="8" applyNumberFormat="1" applyFill="1" applyBorder="1" applyAlignment="1">
      <alignment horizontal="center" vertical="center"/>
    </xf>
    <xf numFmtId="0" fontId="24" fillId="0" borderId="1" xfId="8" applyBorder="1" applyAlignment="1">
      <alignment horizontal="left" vertical="center" wrapText="1"/>
    </xf>
    <xf numFmtId="170" fontId="24" fillId="0" borderId="1" xfId="8" quotePrefix="1" applyNumberFormat="1" applyBorder="1" applyAlignment="1">
      <alignment horizontal="center" vertical="center"/>
    </xf>
    <xf numFmtId="1" fontId="24" fillId="0" borderId="0" xfId="8" applyNumberFormat="1" applyAlignment="1">
      <alignment horizontal="center"/>
    </xf>
    <xf numFmtId="1" fontId="25" fillId="0" borderId="0" xfId="8" applyNumberFormat="1" applyFont="1" applyAlignment="1">
      <alignment vertical="center"/>
    </xf>
    <xf numFmtId="0" fontId="64" fillId="0" borderId="0" xfId="8" applyFont="1" applyAlignment="1">
      <alignment horizontal="left" vertical="center" wrapText="1"/>
    </xf>
    <xf numFmtId="0" fontId="63" fillId="0" borderId="0" xfId="8" applyFont="1" applyAlignment="1">
      <alignment horizontal="right" vertical="center"/>
    </xf>
    <xf numFmtId="0" fontId="63" fillId="0" borderId="0" xfId="8" applyFont="1" applyAlignment="1">
      <alignment vertical="center"/>
    </xf>
    <xf numFmtId="4" fontId="63" fillId="0" borderId="17" xfId="8" quotePrefix="1" applyNumberFormat="1" applyFont="1" applyBorder="1" applyAlignment="1">
      <alignment horizontal="right" vertical="center"/>
    </xf>
    <xf numFmtId="4" fontId="119" fillId="0" borderId="0" xfId="8" applyNumberFormat="1" applyFont="1" applyAlignment="1">
      <alignment horizontal="left" vertical="center" indent="1"/>
    </xf>
    <xf numFmtId="4" fontId="98" fillId="0" borderId="17" xfId="8" quotePrefix="1" applyNumberFormat="1" applyFont="1" applyBorder="1" applyAlignment="1">
      <alignment horizontal="left" vertical="center" indent="1"/>
    </xf>
    <xf numFmtId="9" fontId="98" fillId="0" borderId="17" xfId="39492" applyFont="1" applyFill="1" applyBorder="1" applyAlignment="1">
      <alignment horizontal="left" vertical="center"/>
    </xf>
    <xf numFmtId="168" fontId="0" fillId="20" borderId="0" xfId="1" applyNumberFormat="1" applyFont="1" applyFill="1" applyAlignment="1">
      <alignment horizontal="center"/>
    </xf>
    <xf numFmtId="0" fontId="101" fillId="21" borderId="39" xfId="4" applyFont="1" applyFill="1" applyBorder="1" applyAlignment="1">
      <alignment vertical="center"/>
    </xf>
    <xf numFmtId="0" fontId="101" fillId="21" borderId="40" xfId="4" applyFont="1" applyFill="1" applyBorder="1" applyAlignment="1">
      <alignment vertical="center"/>
    </xf>
    <xf numFmtId="0" fontId="100" fillId="30" borderId="1" xfId="4" applyFont="1" applyFill="1" applyBorder="1" applyAlignment="1">
      <alignment horizontal="center" vertical="center"/>
    </xf>
    <xf numFmtId="2" fontId="100" fillId="21" borderId="1" xfId="4" applyNumberFormat="1" applyFont="1" applyFill="1" applyBorder="1" applyAlignment="1">
      <alignment horizontal="center" vertical="center"/>
    </xf>
    <xf numFmtId="0" fontId="100" fillId="0" borderId="18" xfId="4" applyFont="1" applyBorder="1" applyAlignment="1">
      <alignment horizontal="center" vertical="center"/>
    </xf>
    <xf numFmtId="0" fontId="101" fillId="21" borderId="51" xfId="4" applyFont="1" applyFill="1" applyBorder="1" applyAlignment="1">
      <alignment vertical="center"/>
    </xf>
    <xf numFmtId="0" fontId="100" fillId="10" borderId="19" xfId="4" applyFont="1" applyFill="1" applyBorder="1" applyAlignment="1">
      <alignment horizontal="center" vertical="center"/>
    </xf>
    <xf numFmtId="0" fontId="100" fillId="10" borderId="21" xfId="4" applyFont="1" applyFill="1" applyBorder="1" applyAlignment="1">
      <alignment horizontal="center" vertical="center"/>
    </xf>
    <xf numFmtId="0" fontId="100" fillId="23" borderId="20" xfId="4" applyFont="1" applyFill="1" applyBorder="1" applyAlignment="1">
      <alignment horizontal="center" vertical="center"/>
    </xf>
    <xf numFmtId="4" fontId="100" fillId="23" borderId="59" xfId="8" applyNumberFormat="1" applyFont="1" applyFill="1" applyBorder="1" applyAlignment="1">
      <alignment horizontal="center" vertical="center"/>
    </xf>
    <xf numFmtId="4" fontId="104" fillId="28" borderId="8" xfId="8" applyNumberFormat="1" applyFont="1" applyFill="1" applyBorder="1" applyAlignment="1">
      <alignment horizontal="center" vertical="center"/>
    </xf>
    <xf numFmtId="0" fontId="24" fillId="10" borderId="0" xfId="4" applyFont="1" applyFill="1" applyAlignment="1">
      <alignment horizontal="center"/>
    </xf>
    <xf numFmtId="2" fontId="24" fillId="10" borderId="0" xfId="4" applyNumberFormat="1" applyFont="1" applyFill="1"/>
    <xf numFmtId="0" fontId="24" fillId="10" borderId="0" xfId="4" applyFont="1" applyFill="1" applyAlignment="1">
      <alignment horizontal="left"/>
    </xf>
    <xf numFmtId="0" fontId="59" fillId="10" borderId="0" xfId="11" applyFont="1" applyFill="1" applyAlignment="1">
      <alignment horizontal="left"/>
    </xf>
    <xf numFmtId="173" fontId="59" fillId="10" borderId="0" xfId="11" applyNumberFormat="1" applyFont="1" applyFill="1" applyAlignment="1">
      <alignment horizontal="right"/>
    </xf>
    <xf numFmtId="2" fontId="59" fillId="10" borderId="0" xfId="11" applyNumberFormat="1" applyFont="1" applyFill="1" applyAlignment="1">
      <alignment horizontal="center" vertical="center"/>
    </xf>
    <xf numFmtId="0" fontId="59" fillId="10" borderId="0" xfId="11" applyFont="1" applyFill="1" applyAlignment="1">
      <alignment horizontal="center" vertical="center"/>
    </xf>
    <xf numFmtId="172" fontId="59" fillId="10" borderId="0" xfId="11" applyNumberFormat="1" applyFont="1" applyFill="1" applyAlignment="1">
      <alignment horizontal="left"/>
    </xf>
    <xf numFmtId="2" fontId="59" fillId="10" borderId="0" xfId="11" applyNumberFormat="1" applyFont="1" applyFill="1"/>
    <xf numFmtId="0" fontId="59" fillId="10" borderId="1" xfId="11" applyFont="1" applyFill="1" applyBorder="1" applyAlignment="1">
      <alignment horizontal="right" vertical="center" indent="1"/>
    </xf>
    <xf numFmtId="175" fontId="120" fillId="10" borderId="0" xfId="11" applyNumberFormat="1" applyFont="1" applyFill="1" applyAlignment="1">
      <alignment horizontal="center" vertical="center"/>
    </xf>
    <xf numFmtId="172" fontId="59" fillId="10" borderId="0" xfId="11" applyNumberFormat="1" applyFont="1" applyFill="1" applyAlignment="1">
      <alignment horizontal="left" vertical="center"/>
    </xf>
    <xf numFmtId="2" fontId="59" fillId="10" borderId="0" xfId="11" applyNumberFormat="1" applyFont="1" applyFill="1" applyAlignment="1">
      <alignment vertical="center"/>
    </xf>
    <xf numFmtId="0" fontId="24" fillId="10" borderId="0" xfId="11" applyFill="1" applyAlignment="1">
      <alignment vertical="center"/>
    </xf>
    <xf numFmtId="175" fontId="34" fillId="35" borderId="1" xfId="11" applyNumberFormat="1" applyFont="1" applyFill="1" applyBorder="1" applyAlignment="1">
      <alignment horizontal="center" vertical="center"/>
    </xf>
    <xf numFmtId="2" fontId="59" fillId="10" borderId="0" xfId="11" applyNumberFormat="1" applyFont="1" applyFill="1" applyAlignment="1">
      <alignment horizontal="left" vertical="center"/>
    </xf>
    <xf numFmtId="0" fontId="24" fillId="0" borderId="0" xfId="39490" applyAlignment="1">
      <alignment vertical="center"/>
    </xf>
    <xf numFmtId="0" fontId="25" fillId="10" borderId="0" xfId="39490" applyFont="1" applyFill="1" applyAlignment="1">
      <alignment horizontal="center" vertical="center"/>
    </xf>
    <xf numFmtId="0" fontId="25" fillId="10" borderId="0" xfId="39490" applyFont="1" applyFill="1" applyAlignment="1">
      <alignment vertical="center"/>
    </xf>
    <xf numFmtId="0" fontId="78" fillId="10" borderId="0" xfId="11" quotePrefix="1" applyFont="1" applyFill="1" applyAlignment="1">
      <alignment horizontal="left"/>
    </xf>
    <xf numFmtId="0" fontId="90" fillId="17" borderId="0" xfId="6" applyFont="1" applyFill="1" applyAlignment="1">
      <alignment horizontal="left"/>
    </xf>
    <xf numFmtId="172" fontId="90" fillId="17" borderId="0" xfId="3" applyNumberFormat="1" applyFont="1" applyFill="1" applyAlignment="1">
      <alignment horizontal="left"/>
    </xf>
    <xf numFmtId="2" fontId="90" fillId="17" borderId="0" xfId="6" applyNumberFormat="1" applyFont="1" applyFill="1"/>
    <xf numFmtId="171" fontId="35" fillId="17" borderId="0" xfId="11" applyNumberFormat="1" applyFont="1" applyFill="1" applyAlignment="1">
      <alignment horizontal="center" vertical="center"/>
    </xf>
    <xf numFmtId="172" fontId="24" fillId="17" borderId="0" xfId="11" applyNumberFormat="1" applyFill="1" applyAlignment="1">
      <alignment horizontal="left"/>
    </xf>
    <xf numFmtId="0" fontId="35" fillId="17" borderId="0" xfId="6" applyFont="1" applyFill="1"/>
    <xf numFmtId="0" fontId="57" fillId="10" borderId="0" xfId="0" applyFont="1" applyFill="1"/>
    <xf numFmtId="0" fontId="78" fillId="17" borderId="0" xfId="6" applyFont="1" applyFill="1"/>
    <xf numFmtId="172" fontId="78" fillId="17" borderId="0" xfId="3" applyNumberFormat="1" applyFont="1" applyFill="1" applyAlignment="1">
      <alignment horizontal="center"/>
    </xf>
    <xf numFmtId="172" fontId="78" fillId="17" borderId="0" xfId="11" applyNumberFormat="1" applyFont="1" applyFill="1" applyAlignment="1">
      <alignment horizontal="left"/>
    </xf>
    <xf numFmtId="0" fontId="39" fillId="41" borderId="0" xfId="6" applyFont="1" applyFill="1"/>
    <xf numFmtId="3" fontId="33" fillId="10" borderId="0" xfId="4" applyNumberFormat="1" applyFont="1" applyFill="1" applyAlignment="1">
      <alignment horizontal="center" vertical="center"/>
    </xf>
    <xf numFmtId="4" fontId="59" fillId="10" borderId="0" xfId="4" applyNumberFormat="1" applyFont="1" applyFill="1" applyAlignment="1">
      <alignment horizontal="center" vertical="center"/>
    </xf>
    <xf numFmtId="0" fontId="78" fillId="10" borderId="29" xfId="6" applyFont="1" applyFill="1" applyBorder="1"/>
    <xf numFmtId="173" fontId="78" fillId="10" borderId="30" xfId="3" applyNumberFormat="1" applyFont="1" applyFill="1" applyBorder="1" applyAlignment="1">
      <alignment horizontal="center"/>
    </xf>
    <xf numFmtId="172" fontId="96" fillId="10" borderId="30" xfId="3" applyNumberFormat="1" applyFont="1" applyFill="1" applyBorder="1" applyAlignment="1">
      <alignment horizontal="center"/>
    </xf>
    <xf numFmtId="171" fontId="78" fillId="10" borderId="30" xfId="3" applyNumberFormat="1" applyFont="1" applyFill="1" applyBorder="1" applyAlignment="1">
      <alignment horizontal="center" vertical="center"/>
    </xf>
    <xf numFmtId="172" fontId="78" fillId="10" borderId="30" xfId="0" applyNumberFormat="1" applyFont="1" applyFill="1" applyBorder="1" applyAlignment="1">
      <alignment horizontal="left"/>
    </xf>
    <xf numFmtId="0" fontId="78" fillId="10" borderId="30" xfId="0" applyFont="1" applyFill="1" applyBorder="1" applyAlignment="1">
      <alignment horizontal="left"/>
    </xf>
    <xf numFmtId="0" fontId="78" fillId="10" borderId="30" xfId="0" applyFont="1" applyFill="1" applyBorder="1"/>
    <xf numFmtId="0" fontId="24" fillId="10" borderId="31" xfId="0" applyFont="1" applyFill="1" applyBorder="1" applyAlignment="1">
      <alignment horizontal="center" vertical="center"/>
    </xf>
    <xf numFmtId="0" fontId="78" fillId="10" borderId="25" xfId="11" quotePrefix="1" applyFont="1" applyFill="1" applyBorder="1" applyAlignment="1">
      <alignment horizontal="left"/>
    </xf>
    <xf numFmtId="173" fontId="78" fillId="10" borderId="0" xfId="3" applyNumberFormat="1" applyFont="1" applyFill="1" applyBorder="1" applyAlignment="1">
      <alignment horizontal="center"/>
    </xf>
    <xf numFmtId="172" fontId="96" fillId="10" borderId="0" xfId="3" applyNumberFormat="1" applyFont="1" applyFill="1" applyBorder="1" applyAlignment="1">
      <alignment horizontal="center"/>
    </xf>
    <xf numFmtId="0" fontId="78" fillId="10" borderId="23" xfId="11" applyFont="1" applyFill="1" applyBorder="1"/>
    <xf numFmtId="0" fontId="40" fillId="8" borderId="25" xfId="8" applyFont="1" applyFill="1" applyBorder="1"/>
    <xf numFmtId="173" fontId="41" fillId="8" borderId="0" xfId="3" applyNumberFormat="1" applyFont="1" applyFill="1" applyBorder="1" applyAlignment="1">
      <alignment horizontal="center"/>
    </xf>
    <xf numFmtId="171" fontId="40" fillId="8" borderId="0" xfId="3" applyNumberFormat="1" applyFont="1" applyFill="1" applyBorder="1" applyAlignment="1">
      <alignment horizontal="center" vertical="center"/>
    </xf>
    <xf numFmtId="171" fontId="35" fillId="8" borderId="0" xfId="3" applyNumberFormat="1" applyFont="1" applyFill="1" applyBorder="1" applyAlignment="1">
      <alignment horizontal="center" vertical="center"/>
    </xf>
    <xf numFmtId="172" fontId="24" fillId="8" borderId="0" xfId="3" applyNumberFormat="1" applyFont="1" applyFill="1" applyBorder="1" applyAlignment="1">
      <alignment horizontal="left"/>
    </xf>
    <xf numFmtId="0" fontId="40" fillId="8" borderId="23" xfId="0" applyFont="1" applyFill="1" applyBorder="1"/>
    <xf numFmtId="0" fontId="78" fillId="10" borderId="26" xfId="6" applyFont="1" applyFill="1" applyBorder="1"/>
    <xf numFmtId="172" fontId="78" fillId="10" borderId="17" xfId="3" applyNumberFormat="1" applyFont="1" applyFill="1" applyBorder="1" applyAlignment="1">
      <alignment horizontal="center"/>
    </xf>
    <xf numFmtId="172" fontId="78" fillId="10" borderId="17" xfId="11" applyNumberFormat="1" applyFont="1" applyFill="1" applyBorder="1" applyAlignment="1">
      <alignment horizontal="left"/>
    </xf>
    <xf numFmtId="0" fontId="78" fillId="10" borderId="17" xfId="0" applyFont="1" applyFill="1" applyBorder="1" applyAlignment="1">
      <alignment horizontal="left"/>
    </xf>
    <xf numFmtId="0" fontId="78" fillId="10" borderId="17" xfId="0" applyFont="1" applyFill="1" applyBorder="1"/>
    <xf numFmtId="0" fontId="94" fillId="10" borderId="17" xfId="11" applyFont="1" applyFill="1" applyBorder="1"/>
    <xf numFmtId="0" fontId="78" fillId="10" borderId="19" xfId="11" applyFont="1" applyFill="1" applyBorder="1"/>
    <xf numFmtId="173" fontId="24" fillId="10" borderId="0" xfId="0" applyNumberFormat="1" applyFont="1" applyFill="1"/>
    <xf numFmtId="0" fontId="122" fillId="10" borderId="0" xfId="8" applyFont="1" applyFill="1"/>
    <xf numFmtId="173" fontId="35" fillId="10" borderId="0" xfId="3" applyNumberFormat="1" applyFont="1" applyFill="1"/>
    <xf numFmtId="172" fontId="78" fillId="39" borderId="0" xfId="3" applyNumberFormat="1" applyFont="1" applyFill="1" applyAlignment="1">
      <alignment horizontal="center"/>
    </xf>
    <xf numFmtId="172" fontId="35" fillId="10" borderId="0" xfId="3" applyNumberFormat="1" applyFont="1" applyFill="1" applyAlignment="1">
      <alignment horizontal="left"/>
    </xf>
    <xf numFmtId="0" fontId="35" fillId="10" borderId="0" xfId="11" applyFont="1" applyFill="1"/>
    <xf numFmtId="0" fontId="39" fillId="30" borderId="0" xfId="6" applyFont="1" applyFill="1"/>
    <xf numFmtId="171" fontId="35" fillId="30" borderId="0" xfId="3" applyNumberFormat="1" applyFont="1" applyFill="1" applyAlignment="1">
      <alignment horizontal="center" vertical="center"/>
    </xf>
    <xf numFmtId="172" fontId="24" fillId="30" borderId="0" xfId="3" applyNumberFormat="1" applyFont="1" applyFill="1" applyAlignment="1">
      <alignment horizontal="left"/>
    </xf>
    <xf numFmtId="2" fontId="123" fillId="6" borderId="0" xfId="6" applyNumberFormat="1" applyFont="1" applyFill="1"/>
    <xf numFmtId="0" fontId="59" fillId="10" borderId="0" xfId="1" applyFont="1" applyFill="1" applyAlignment="1">
      <alignment vertical="center"/>
    </xf>
    <xf numFmtId="0" fontId="59" fillId="0" borderId="0" xfId="1" applyFont="1" applyAlignment="1">
      <alignment vertical="center"/>
    </xf>
    <xf numFmtId="170" fontId="24" fillId="10" borderId="0" xfId="8" applyNumberFormat="1" applyFill="1" applyAlignment="1">
      <alignment horizontal="center" vertical="center"/>
    </xf>
    <xf numFmtId="0" fontId="63" fillId="10" borderId="0" xfId="0" applyFont="1" applyFill="1" applyAlignment="1">
      <alignment horizontal="center" vertical="center"/>
    </xf>
    <xf numFmtId="0" fontId="89" fillId="10" borderId="5" xfId="0" applyFont="1" applyFill="1" applyBorder="1" applyAlignment="1">
      <alignment horizontal="center" vertical="center"/>
    </xf>
    <xf numFmtId="4" fontId="25" fillId="10" borderId="0" xfId="8" applyNumberFormat="1" applyFont="1" applyFill="1" applyAlignment="1">
      <alignment vertical="center"/>
    </xf>
    <xf numFmtId="0" fontId="89" fillId="10" borderId="15" xfId="0" applyFont="1" applyFill="1" applyBorder="1" applyAlignment="1">
      <alignment horizontal="center" vertical="center"/>
    </xf>
    <xf numFmtId="4" fontId="24" fillId="10" borderId="10" xfId="0" applyNumberFormat="1" applyFont="1" applyFill="1" applyBorder="1" applyAlignment="1">
      <alignment horizontal="center" vertical="center"/>
    </xf>
    <xf numFmtId="4" fontId="78" fillId="10" borderId="10" xfId="0" applyNumberFormat="1" applyFont="1" applyFill="1" applyBorder="1" applyAlignment="1">
      <alignment horizontal="center" vertical="center"/>
    </xf>
    <xf numFmtId="0" fontId="78" fillId="10" borderId="0" xfId="0" applyFont="1" applyFill="1" applyAlignment="1">
      <alignment vertical="center"/>
    </xf>
    <xf numFmtId="0" fontId="24" fillId="10" borderId="15" xfId="0" applyFont="1" applyFill="1" applyBorder="1" applyAlignment="1">
      <alignment horizontal="center" vertical="center"/>
    </xf>
    <xf numFmtId="0" fontId="63" fillId="10" borderId="15" xfId="0" applyFont="1" applyFill="1" applyBorder="1" applyAlignment="1">
      <alignment horizontal="center" vertical="center"/>
    </xf>
    <xf numFmtId="0" fontId="105" fillId="10" borderId="15" xfId="0" applyFont="1" applyFill="1" applyBorder="1" applyAlignment="1">
      <alignment horizontal="center" vertical="center"/>
    </xf>
    <xf numFmtId="4" fontId="108" fillId="10" borderId="24" xfId="8" applyNumberFormat="1" applyFont="1" applyFill="1" applyBorder="1" applyAlignment="1">
      <alignment horizontal="right" vertical="center"/>
    </xf>
    <xf numFmtId="0" fontId="110" fillId="10" borderId="0" xfId="0" applyFont="1" applyFill="1" applyAlignment="1">
      <alignment vertical="center"/>
    </xf>
    <xf numFmtId="4" fontId="110" fillId="10" borderId="0" xfId="8" applyNumberFormat="1" applyFont="1" applyFill="1" applyAlignment="1">
      <alignment vertical="center"/>
    </xf>
    <xf numFmtId="4" fontId="110" fillId="10" borderId="10" xfId="8" applyNumberFormat="1" applyFont="1" applyFill="1" applyBorder="1" applyAlignment="1">
      <alignment horizontal="center" vertical="center"/>
    </xf>
    <xf numFmtId="0" fontId="107" fillId="10" borderId="15" xfId="0" applyFont="1" applyFill="1" applyBorder="1" applyAlignment="1">
      <alignment horizontal="center" vertical="center"/>
    </xf>
    <xf numFmtId="0" fontId="35" fillId="10" borderId="9" xfId="0" applyFont="1" applyFill="1" applyBorder="1" applyAlignment="1">
      <alignment horizontal="center" vertical="center"/>
    </xf>
    <xf numFmtId="4" fontId="24" fillId="10" borderId="0" xfId="0" applyNumberFormat="1" applyFont="1" applyFill="1" applyAlignment="1">
      <alignment horizontal="center" vertical="center"/>
    </xf>
    <xf numFmtId="4" fontId="24" fillId="10" borderId="0" xfId="0" applyNumberFormat="1" applyFont="1" applyFill="1" applyAlignment="1">
      <alignment horizontal="right" vertical="center"/>
    </xf>
    <xf numFmtId="4" fontId="24" fillId="10" borderId="0" xfId="0" applyNumberFormat="1" applyFont="1" applyFill="1" applyAlignment="1">
      <alignment vertical="center"/>
    </xf>
    <xf numFmtId="4" fontId="24" fillId="10" borderId="0" xfId="8" applyNumberFormat="1" applyFill="1" applyAlignment="1">
      <alignment horizontal="right" vertical="center"/>
    </xf>
    <xf numFmtId="0" fontId="24" fillId="0" borderId="0" xfId="39490" applyAlignment="1">
      <alignment horizontal="left" vertical="center"/>
    </xf>
    <xf numFmtId="4" fontId="24" fillId="0" borderId="0" xfId="0" applyNumberFormat="1" applyFont="1" applyAlignment="1">
      <alignment vertical="center"/>
    </xf>
    <xf numFmtId="0" fontId="24" fillId="0" borderId="0" xfId="0" applyFont="1" applyAlignment="1">
      <alignment horizontal="left" vertical="center"/>
    </xf>
    <xf numFmtId="4" fontId="24" fillId="0" borderId="0" xfId="0" applyNumberFormat="1" applyFont="1" applyAlignment="1">
      <alignment horizontal="center" vertical="center"/>
    </xf>
    <xf numFmtId="0" fontId="111" fillId="10" borderId="0" xfId="0" applyFont="1" applyFill="1" applyAlignment="1">
      <alignment horizontal="center"/>
    </xf>
    <xf numFmtId="0" fontId="63" fillId="10" borderId="0" xfId="0" applyFont="1" applyFill="1" applyAlignment="1">
      <alignment horizontal="center"/>
    </xf>
    <xf numFmtId="4" fontId="25" fillId="10" borderId="0" xfId="8" applyNumberFormat="1" applyFont="1" applyFill="1"/>
    <xf numFmtId="4" fontId="24" fillId="10" borderId="10" xfId="0" applyNumberFormat="1" applyFont="1" applyFill="1" applyBorder="1" applyAlignment="1">
      <alignment horizontal="center"/>
    </xf>
    <xf numFmtId="4" fontId="94" fillId="10" borderId="0" xfId="8" applyNumberFormat="1" applyFont="1" applyFill="1"/>
    <xf numFmtId="4" fontId="94" fillId="10" borderId="10" xfId="8" applyNumberFormat="1" applyFont="1" applyFill="1" applyBorder="1" applyAlignment="1">
      <alignment horizontal="center"/>
    </xf>
    <xf numFmtId="170" fontId="24" fillId="10" borderId="23" xfId="8" applyNumberFormat="1" applyFill="1" applyBorder="1" applyAlignment="1">
      <alignment horizontal="center"/>
    </xf>
    <xf numFmtId="0" fontId="105" fillId="5" borderId="0" xfId="8" applyFont="1" applyFill="1"/>
    <xf numFmtId="171" fontId="90" fillId="23" borderId="0" xfId="3" applyNumberFormat="1" applyFont="1" applyFill="1" applyAlignment="1">
      <alignment horizontal="center" vertical="center"/>
    </xf>
    <xf numFmtId="171" fontId="24" fillId="23" borderId="0" xfId="3" applyNumberFormat="1" applyFont="1" applyFill="1"/>
    <xf numFmtId="0" fontId="78" fillId="10" borderId="0" xfId="6" quotePrefix="1" applyFont="1" applyFill="1"/>
    <xf numFmtId="2" fontId="0" fillId="10" borderId="0" xfId="0" applyNumberFormat="1" applyFill="1" applyAlignment="1">
      <alignment horizontal="right"/>
    </xf>
    <xf numFmtId="172" fontId="78" fillId="10" borderId="0" xfId="3" applyNumberFormat="1" applyFont="1" applyFill="1" applyBorder="1" applyAlignment="1">
      <alignment horizontal="center"/>
    </xf>
    <xf numFmtId="4" fontId="106" fillId="10" borderId="24" xfId="8" applyNumberFormat="1" applyFont="1" applyFill="1" applyBorder="1" applyAlignment="1">
      <alignment horizontal="right"/>
    </xf>
    <xf numFmtId="4" fontId="63" fillId="10" borderId="10" xfId="0" applyNumberFormat="1" applyFont="1" applyFill="1" applyBorder="1" applyAlignment="1">
      <alignment horizontal="center"/>
    </xf>
    <xf numFmtId="0" fontId="25" fillId="10" borderId="0" xfId="8" applyFont="1" applyFill="1" applyAlignment="1">
      <alignment horizontal="center"/>
    </xf>
    <xf numFmtId="173" fontId="78" fillId="30" borderId="0" xfId="3" applyNumberFormat="1" applyFont="1" applyFill="1" applyAlignment="1">
      <alignment horizontal="center"/>
    </xf>
    <xf numFmtId="172" fontId="78" fillId="30" borderId="0" xfId="11" applyNumberFormat="1" applyFont="1" applyFill="1" applyAlignment="1">
      <alignment horizontal="left"/>
    </xf>
    <xf numFmtId="2" fontId="78" fillId="30" borderId="0" xfId="6" applyNumberFormat="1" applyFont="1" applyFill="1"/>
    <xf numFmtId="0" fontId="105" fillId="10" borderId="0" xfId="11" applyFont="1" applyFill="1" applyAlignment="1">
      <alignment horizontal="left"/>
    </xf>
    <xf numFmtId="171" fontId="78" fillId="30" borderId="0" xfId="3" applyNumberFormat="1" applyFont="1" applyFill="1" applyBorder="1" applyAlignment="1">
      <alignment horizontal="center" vertical="center"/>
    </xf>
    <xf numFmtId="0" fontId="78" fillId="21" borderId="24" xfId="6" applyFont="1" applyFill="1" applyBorder="1"/>
    <xf numFmtId="0" fontId="78" fillId="30" borderId="20" xfId="6" applyFont="1" applyFill="1" applyBorder="1"/>
    <xf numFmtId="2" fontId="78" fillId="21" borderId="24" xfId="6" applyNumberFormat="1" applyFont="1" applyFill="1" applyBorder="1"/>
    <xf numFmtId="0" fontId="78" fillId="17" borderId="27" xfId="11" applyFont="1" applyFill="1" applyBorder="1" applyAlignment="1">
      <alignment horizontal="left"/>
    </xf>
    <xf numFmtId="0" fontId="78" fillId="17" borderId="24" xfId="11" applyFont="1" applyFill="1" applyBorder="1" applyAlignment="1">
      <alignment horizontal="left"/>
    </xf>
    <xf numFmtId="0" fontId="78" fillId="17" borderId="20" xfId="11" applyFont="1" applyFill="1" applyBorder="1" applyAlignment="1">
      <alignment horizontal="left"/>
    </xf>
    <xf numFmtId="1" fontId="25" fillId="31" borderId="2" xfId="8" applyNumberFormat="1" applyFont="1" applyFill="1" applyBorder="1" applyAlignment="1">
      <alignment horizontal="center" vertical="center"/>
    </xf>
    <xf numFmtId="0" fontId="25" fillId="31" borderId="5" xfId="8" applyFont="1" applyFill="1" applyBorder="1" applyAlignment="1">
      <alignment horizontal="center" vertical="center"/>
    </xf>
    <xf numFmtId="0" fontId="24" fillId="10" borderId="1" xfId="0" applyFont="1" applyFill="1" applyBorder="1" applyAlignment="1">
      <alignment vertical="center"/>
    </xf>
    <xf numFmtId="0" fontId="39" fillId="8" borderId="2" xfId="6" applyFont="1" applyFill="1" applyBorder="1"/>
    <xf numFmtId="171" fontId="90" fillId="10" borderId="3" xfId="3" applyNumberFormat="1" applyFont="1" applyFill="1" applyBorder="1" applyAlignment="1">
      <alignment horizontal="center" vertical="center"/>
    </xf>
    <xf numFmtId="171" fontId="35" fillId="8" borderId="3" xfId="3" applyNumberFormat="1" applyFont="1" applyFill="1" applyBorder="1" applyAlignment="1">
      <alignment horizontal="center" vertical="center"/>
    </xf>
    <xf numFmtId="172" fontId="24" fillId="8" borderId="3" xfId="3" applyNumberFormat="1" applyFont="1" applyFill="1" applyBorder="1" applyAlignment="1">
      <alignment horizontal="left"/>
    </xf>
    <xf numFmtId="171" fontId="24" fillId="8" borderId="4" xfId="3" applyNumberFormat="1" applyFont="1" applyFill="1" applyBorder="1"/>
    <xf numFmtId="0" fontId="39" fillId="8" borderId="11" xfId="6" applyFont="1" applyFill="1" applyBorder="1"/>
    <xf numFmtId="171" fontId="90" fillId="10" borderId="0" xfId="3" applyNumberFormat="1" applyFont="1" applyFill="1" applyBorder="1" applyAlignment="1">
      <alignment horizontal="center" vertical="center"/>
    </xf>
    <xf numFmtId="171" fontId="24" fillId="8" borderId="10" xfId="3" applyNumberFormat="1" applyFont="1" applyFill="1" applyBorder="1"/>
    <xf numFmtId="171" fontId="90" fillId="36" borderId="0" xfId="3" applyNumberFormat="1" applyFont="1" applyFill="1" applyBorder="1" applyAlignment="1">
      <alignment horizontal="center" vertical="center"/>
    </xf>
    <xf numFmtId="0" fontId="35" fillId="9" borderId="6" xfId="6" applyFont="1" applyFill="1" applyBorder="1"/>
    <xf numFmtId="171" fontId="90" fillId="36" borderId="7" xfId="3" applyNumberFormat="1" applyFont="1" applyFill="1" applyBorder="1" applyAlignment="1">
      <alignment horizontal="center" vertical="center"/>
    </xf>
    <xf numFmtId="171" fontId="35" fillId="8" borderId="7" xfId="3" applyNumberFormat="1" applyFont="1" applyFill="1" applyBorder="1" applyAlignment="1">
      <alignment horizontal="center" vertical="center"/>
    </xf>
    <xf numFmtId="172" fontId="35" fillId="8" borderId="7" xfId="3" applyNumberFormat="1" applyFont="1" applyFill="1" applyBorder="1" applyAlignment="1">
      <alignment horizontal="left"/>
    </xf>
    <xf numFmtId="0" fontId="35" fillId="9" borderId="8" xfId="11" applyFont="1" applyFill="1" applyBorder="1"/>
    <xf numFmtId="0" fontId="25" fillId="10" borderId="0" xfId="11" applyFont="1" applyFill="1" applyAlignment="1">
      <alignment horizontal="center"/>
    </xf>
    <xf numFmtId="173" fontId="91" fillId="10" borderId="0" xfId="8" applyNumberFormat="1" applyFont="1" applyFill="1" applyAlignment="1">
      <alignment horizontal="center"/>
    </xf>
    <xf numFmtId="0" fontId="91" fillId="10" borderId="0" xfId="11" applyFont="1" applyFill="1" applyAlignment="1">
      <alignment horizontal="left"/>
    </xf>
    <xf numFmtId="173" fontId="91" fillId="10" borderId="0" xfId="11" applyNumberFormat="1" applyFont="1" applyFill="1" applyAlignment="1">
      <alignment horizontal="center"/>
    </xf>
    <xf numFmtId="2" fontId="91" fillId="10" borderId="0" xfId="11" applyNumberFormat="1" applyFont="1" applyFill="1" applyAlignment="1">
      <alignment horizontal="center" vertical="center"/>
    </xf>
    <xf numFmtId="0" fontId="91" fillId="10" borderId="0" xfId="11" applyFont="1" applyFill="1" applyAlignment="1">
      <alignment horizontal="center" vertical="center"/>
    </xf>
    <xf numFmtId="172" fontId="91" fillId="10" borderId="0" xfId="11" applyNumberFormat="1" applyFont="1" applyFill="1" applyAlignment="1">
      <alignment horizontal="left"/>
    </xf>
    <xf numFmtId="2" fontId="91" fillId="10" borderId="0" xfId="11" applyNumberFormat="1" applyFont="1" applyFill="1"/>
    <xf numFmtId="172" fontId="91" fillId="21" borderId="0" xfId="3" applyNumberFormat="1" applyFont="1" applyFill="1" applyAlignment="1">
      <alignment horizontal="left"/>
    </xf>
    <xf numFmtId="172" fontId="91" fillId="7" borderId="0" xfId="3" applyNumberFormat="1" applyFont="1" applyFill="1" applyAlignment="1">
      <alignment horizontal="left"/>
    </xf>
    <xf numFmtId="0" fontId="91" fillId="10" borderId="27" xfId="6" applyFont="1" applyFill="1" applyBorder="1"/>
    <xf numFmtId="173" fontId="91" fillId="10" borderId="0" xfId="3" applyNumberFormat="1" applyFont="1" applyFill="1" applyAlignment="1">
      <alignment horizontal="left"/>
    </xf>
    <xf numFmtId="0" fontId="91" fillId="10" borderId="24" xfId="6" applyFont="1" applyFill="1" applyBorder="1"/>
    <xf numFmtId="0" fontId="91" fillId="10" borderId="20" xfId="6" applyFont="1" applyFill="1" applyBorder="1"/>
    <xf numFmtId="0" fontId="100" fillId="10" borderId="0" xfId="0" applyFont="1" applyFill="1" applyAlignment="1">
      <alignment horizontal="center"/>
    </xf>
    <xf numFmtId="0" fontId="100" fillId="10" borderId="0" xfId="0" applyFont="1" applyFill="1"/>
    <xf numFmtId="0" fontId="126" fillId="15" borderId="1" xfId="0" applyFont="1" applyFill="1" applyBorder="1" applyAlignment="1">
      <alignment horizontal="center"/>
    </xf>
    <xf numFmtId="0" fontId="126" fillId="5" borderId="1" xfId="0" applyFont="1" applyFill="1" applyBorder="1" applyAlignment="1">
      <alignment horizontal="center"/>
    </xf>
    <xf numFmtId="0" fontId="126" fillId="33" borderId="1" xfId="0" applyFont="1" applyFill="1" applyBorder="1" applyAlignment="1">
      <alignment horizontal="center"/>
    </xf>
    <xf numFmtId="0" fontId="126" fillId="18" borderId="1" xfId="0" applyFont="1" applyFill="1" applyBorder="1" applyAlignment="1">
      <alignment horizontal="center"/>
    </xf>
    <xf numFmtId="0" fontId="126" fillId="19" borderId="1" xfId="0" applyFont="1" applyFill="1" applyBorder="1" applyAlignment="1">
      <alignment horizontal="center"/>
    </xf>
    <xf numFmtId="0" fontId="126" fillId="17" borderId="1" xfId="0" applyFont="1" applyFill="1" applyBorder="1" applyAlignment="1">
      <alignment horizontal="center"/>
    </xf>
    <xf numFmtId="0" fontId="126" fillId="32" borderId="1" xfId="0" applyFont="1" applyFill="1" applyBorder="1" applyAlignment="1">
      <alignment horizontal="center"/>
    </xf>
    <xf numFmtId="0" fontId="100" fillId="10" borderId="1" xfId="0" applyFont="1" applyFill="1" applyBorder="1" applyAlignment="1">
      <alignment horizontal="center"/>
    </xf>
    <xf numFmtId="0" fontId="100" fillId="5" borderId="1" xfId="0" applyFont="1" applyFill="1" applyBorder="1" applyAlignment="1">
      <alignment horizontal="center"/>
    </xf>
    <xf numFmtId="0" fontId="100" fillId="10" borderId="1" xfId="0" applyFont="1" applyFill="1" applyBorder="1"/>
    <xf numFmtId="0" fontId="100" fillId="18" borderId="1" xfId="0" applyFont="1" applyFill="1" applyBorder="1"/>
    <xf numFmtId="0" fontId="100" fillId="19" borderId="1" xfId="0" applyFont="1" applyFill="1" applyBorder="1"/>
    <xf numFmtId="4" fontId="100" fillId="0" borderId="24" xfId="0" applyNumberFormat="1" applyFont="1" applyBorder="1" applyAlignment="1">
      <alignment horizontal="right"/>
    </xf>
    <xf numFmtId="4" fontId="100" fillId="0" borderId="23" xfId="0" applyNumberFormat="1" applyFont="1" applyBorder="1" applyAlignment="1">
      <alignment horizontal="right"/>
    </xf>
    <xf numFmtId="4" fontId="100" fillId="5" borderId="0" xfId="0" applyNumberFormat="1" applyFont="1" applyFill="1" applyAlignment="1">
      <alignment horizontal="right"/>
    </xf>
    <xf numFmtId="4" fontId="100" fillId="30" borderId="24" xfId="0" applyNumberFormat="1" applyFont="1" applyFill="1" applyBorder="1" applyAlignment="1">
      <alignment horizontal="right"/>
    </xf>
    <xf numFmtId="4" fontId="100" fillId="0" borderId="25" xfId="0" applyNumberFormat="1" applyFont="1" applyBorder="1" applyAlignment="1">
      <alignment horizontal="right"/>
    </xf>
    <xf numFmtId="4" fontId="100" fillId="18" borderId="24" xfId="0" applyNumberFormat="1" applyFont="1" applyFill="1" applyBorder="1" applyAlignment="1">
      <alignment horizontal="right"/>
    </xf>
    <xf numFmtId="4" fontId="100" fillId="19" borderId="0" xfId="0" applyNumberFormat="1" applyFont="1" applyFill="1" applyAlignment="1">
      <alignment horizontal="right"/>
    </xf>
    <xf numFmtId="4" fontId="100" fillId="0" borderId="0" xfId="0" applyNumberFormat="1" applyFont="1" applyAlignment="1">
      <alignment horizontal="right"/>
    </xf>
    <xf numFmtId="4" fontId="100" fillId="30" borderId="27" xfId="0" applyNumberFormat="1" applyFont="1" applyFill="1" applyBorder="1" applyAlignment="1">
      <alignment horizontal="right"/>
    </xf>
    <xf numFmtId="4" fontId="100" fillId="13" borderId="24" xfId="0" applyNumberFormat="1" applyFont="1" applyFill="1" applyBorder="1" applyAlignment="1">
      <alignment horizontal="right"/>
    </xf>
    <xf numFmtId="4" fontId="100" fillId="0" borderId="20" xfId="0" applyNumberFormat="1" applyFont="1" applyBorder="1" applyAlignment="1">
      <alignment horizontal="right"/>
    </xf>
    <xf numFmtId="4" fontId="100" fillId="0" borderId="19" xfId="0" applyNumberFormat="1" applyFont="1" applyBorder="1" applyAlignment="1">
      <alignment horizontal="right"/>
    </xf>
    <xf numFmtId="4" fontId="100" fillId="5" borderId="17" xfId="0" applyNumberFormat="1" applyFont="1" applyFill="1" applyBorder="1" applyAlignment="1">
      <alignment horizontal="right"/>
    </xf>
    <xf numFmtId="4" fontId="100" fillId="0" borderId="26" xfId="0" applyNumberFormat="1" applyFont="1" applyBorder="1" applyAlignment="1">
      <alignment horizontal="right"/>
    </xf>
    <xf numFmtId="4" fontId="100" fillId="18" borderId="20" xfId="0" applyNumberFormat="1" applyFont="1" applyFill="1" applyBorder="1" applyAlignment="1">
      <alignment horizontal="right"/>
    </xf>
    <xf numFmtId="4" fontId="100" fillId="19" borderId="17" xfId="0" applyNumberFormat="1" applyFont="1" applyFill="1" applyBorder="1" applyAlignment="1">
      <alignment horizontal="right"/>
    </xf>
    <xf numFmtId="4" fontId="100" fillId="0" borderId="17" xfId="0" applyNumberFormat="1" applyFont="1" applyBorder="1" applyAlignment="1">
      <alignment horizontal="right"/>
    </xf>
    <xf numFmtId="4" fontId="100" fillId="30" borderId="20" xfId="0" applyNumberFormat="1" applyFont="1" applyFill="1" applyBorder="1" applyAlignment="1">
      <alignment horizontal="right"/>
    </xf>
    <xf numFmtId="4" fontId="100" fillId="30" borderId="1" xfId="0" applyNumberFormat="1" applyFont="1" applyFill="1" applyBorder="1" applyAlignment="1">
      <alignment horizontal="right"/>
    </xf>
    <xf numFmtId="0" fontId="126" fillId="14" borderId="1" xfId="0" applyFont="1" applyFill="1" applyBorder="1" applyAlignment="1">
      <alignment horizontal="center"/>
    </xf>
    <xf numFmtId="4" fontId="100" fillId="5" borderId="24" xfId="0" applyNumberFormat="1" applyFont="1" applyFill="1" applyBorder="1" applyAlignment="1">
      <alignment horizontal="right"/>
    </xf>
    <xf numFmtId="0" fontId="124" fillId="0" borderId="0" xfId="0" applyFont="1" applyAlignment="1">
      <alignment vertical="center"/>
    </xf>
    <xf numFmtId="0" fontId="1" fillId="10" borderId="0" xfId="39494" applyFill="1"/>
    <xf numFmtId="0" fontId="1" fillId="10" borderId="0" xfId="39494" applyFill="1" applyAlignment="1">
      <alignment horizontal="center"/>
    </xf>
    <xf numFmtId="0" fontId="85" fillId="0" borderId="0" xfId="39494" applyFont="1"/>
    <xf numFmtId="0" fontId="85" fillId="10" borderId="0" xfId="39494" applyFont="1" applyFill="1"/>
    <xf numFmtId="0" fontId="85" fillId="10" borderId="0" xfId="39494" applyFont="1" applyFill="1" applyAlignment="1">
      <alignment horizontal="center"/>
    </xf>
    <xf numFmtId="0" fontId="105" fillId="10" borderId="0" xfId="39494" applyFont="1" applyFill="1"/>
    <xf numFmtId="0" fontId="1" fillId="0" borderId="0" xfId="39494"/>
    <xf numFmtId="0" fontId="1" fillId="0" borderId="0" xfId="39494" applyAlignment="1">
      <alignment horizontal="center"/>
    </xf>
    <xf numFmtId="0" fontId="33" fillId="10" borderId="0" xfId="11" applyFont="1" applyFill="1" applyAlignment="1">
      <alignment horizontal="center"/>
    </xf>
    <xf numFmtId="0" fontId="34" fillId="10" borderId="0" xfId="11" applyFont="1" applyFill="1"/>
    <xf numFmtId="4" fontId="34" fillId="10" borderId="0" xfId="11" applyNumberFormat="1" applyFont="1" applyFill="1"/>
    <xf numFmtId="0" fontId="33" fillId="10" borderId="0" xfId="11" applyFont="1" applyFill="1"/>
    <xf numFmtId="0" fontId="25" fillId="10" borderId="0" xfId="5" quotePrefix="1" applyFont="1" applyFill="1" applyAlignment="1">
      <alignment vertical="center"/>
    </xf>
    <xf numFmtId="0" fontId="33" fillId="10" borderId="0" xfId="39494" applyFont="1" applyFill="1" applyAlignment="1">
      <alignment horizontal="center"/>
    </xf>
    <xf numFmtId="0" fontId="25" fillId="10" borderId="0" xfId="39494" applyFont="1" applyFill="1"/>
    <xf numFmtId="4" fontId="34" fillId="10" borderId="0" xfId="39494" applyNumberFormat="1" applyFont="1" applyFill="1"/>
    <xf numFmtId="4" fontId="34" fillId="10" borderId="0" xfId="39494" applyNumberFormat="1" applyFont="1" applyFill="1" applyAlignment="1">
      <alignment horizontal="center"/>
    </xf>
    <xf numFmtId="0" fontId="33" fillId="10" borderId="0" xfId="39494" applyFont="1" applyFill="1"/>
    <xf numFmtId="0" fontId="24" fillId="10" borderId="3" xfId="39494" applyFont="1" applyFill="1" applyBorder="1" applyAlignment="1">
      <alignment horizontal="center"/>
    </xf>
    <xf numFmtId="0" fontId="26" fillId="10" borderId="3" xfId="39494" applyFont="1" applyFill="1" applyBorder="1"/>
    <xf numFmtId="0" fontId="88" fillId="10" borderId="3" xfId="39494" applyFont="1" applyFill="1" applyBorder="1"/>
    <xf numFmtId="4" fontId="24" fillId="10" borderId="3" xfId="8" applyNumberFormat="1" applyFill="1" applyBorder="1" applyAlignment="1">
      <alignment horizontal="right"/>
    </xf>
    <xf numFmtId="4" fontId="25" fillId="10" borderId="3" xfId="8" applyNumberFormat="1" applyFont="1" applyFill="1" applyBorder="1"/>
    <xf numFmtId="4" fontId="25" fillId="10" borderId="4" xfId="8" applyNumberFormat="1" applyFont="1" applyFill="1" applyBorder="1" applyAlignment="1">
      <alignment horizontal="center"/>
    </xf>
    <xf numFmtId="0" fontId="24" fillId="10" borderId="0" xfId="39494" applyFont="1" applyFill="1" applyAlignment="1">
      <alignment horizontal="center"/>
    </xf>
    <xf numFmtId="0" fontId="111" fillId="10" borderId="0" xfId="39494" applyFont="1" applyFill="1"/>
    <xf numFmtId="0" fontId="24" fillId="10" borderId="0" xfId="39494" applyFont="1" applyFill="1"/>
    <xf numFmtId="0" fontId="26" fillId="10" borderId="0" xfId="39494" applyFont="1" applyFill="1" applyAlignment="1">
      <alignment horizontal="left" vertical="top"/>
    </xf>
    <xf numFmtId="0" fontId="88" fillId="10" borderId="0" xfId="39494" applyFont="1" applyFill="1"/>
    <xf numFmtId="4" fontId="24" fillId="10" borderId="0" xfId="8" applyNumberFormat="1" applyFill="1" applyAlignment="1">
      <alignment horizontal="right"/>
    </xf>
    <xf numFmtId="4" fontId="25" fillId="10" borderId="10" xfId="8" applyNumberFormat="1" applyFont="1" applyFill="1" applyBorder="1" applyAlignment="1">
      <alignment horizontal="center"/>
    </xf>
    <xf numFmtId="0" fontId="24" fillId="10" borderId="22" xfId="39494" quotePrefix="1" applyFont="1" applyFill="1" applyBorder="1" applyAlignment="1">
      <alignment horizontal="center"/>
    </xf>
    <xf numFmtId="0" fontId="26" fillId="10" borderId="24" xfId="39494" applyFont="1" applyFill="1" applyBorder="1"/>
    <xf numFmtId="0" fontId="89" fillId="10" borderId="15" xfId="39494" applyFont="1" applyFill="1" applyBorder="1" applyAlignment="1">
      <alignment horizontal="center" vertical="center"/>
    </xf>
    <xf numFmtId="170" fontId="78" fillId="10" borderId="22" xfId="8" applyNumberFormat="1" applyFont="1" applyFill="1" applyBorder="1" applyAlignment="1">
      <alignment horizontal="center" vertical="center"/>
    </xf>
    <xf numFmtId="2" fontId="78" fillId="10" borderId="25" xfId="6" applyNumberFormat="1" applyFont="1" applyFill="1" applyBorder="1" applyAlignment="1">
      <alignment vertical="center"/>
    </xf>
    <xf numFmtId="4" fontId="78" fillId="10" borderId="0" xfId="8" applyNumberFormat="1" applyFont="1" applyFill="1" applyAlignment="1">
      <alignment horizontal="right" vertical="center"/>
    </xf>
    <xf numFmtId="4" fontId="24" fillId="10" borderId="10" xfId="39494" applyNumberFormat="1" applyFont="1" applyFill="1" applyBorder="1" applyAlignment="1">
      <alignment horizontal="center" vertical="center"/>
    </xf>
    <xf numFmtId="0" fontId="24" fillId="10" borderId="0" xfId="39494" applyFont="1" applyFill="1" applyAlignment="1">
      <alignment vertical="center"/>
    </xf>
    <xf numFmtId="0" fontId="25" fillId="10" borderId="15" xfId="39494" applyFont="1" applyFill="1" applyBorder="1" applyAlignment="1">
      <alignment horizontal="center"/>
    </xf>
    <xf numFmtId="170" fontId="78" fillId="10" borderId="22" xfId="8" applyNumberFormat="1" applyFont="1" applyFill="1" applyBorder="1" applyAlignment="1">
      <alignment horizontal="center"/>
    </xf>
    <xf numFmtId="4" fontId="78" fillId="10" borderId="24" xfId="8" applyNumberFormat="1" applyFont="1" applyFill="1" applyBorder="1"/>
    <xf numFmtId="0" fontId="78" fillId="10" borderId="25" xfId="6" applyFont="1" applyFill="1" applyBorder="1"/>
    <xf numFmtId="4" fontId="78" fillId="10" borderId="0" xfId="8" applyNumberFormat="1" applyFont="1" applyFill="1" applyAlignment="1">
      <alignment horizontal="right"/>
    </xf>
    <xf numFmtId="4" fontId="78" fillId="10" borderId="10" xfId="39494" applyNumberFormat="1" applyFont="1" applyFill="1" applyBorder="1" applyAlignment="1">
      <alignment horizontal="center"/>
    </xf>
    <xf numFmtId="0" fontId="78" fillId="10" borderId="0" xfId="39494" applyFont="1" applyFill="1"/>
    <xf numFmtId="0" fontId="89" fillId="10" borderId="15" xfId="39494" applyFont="1" applyFill="1" applyBorder="1" applyAlignment="1">
      <alignment horizontal="center"/>
    </xf>
    <xf numFmtId="4" fontId="24" fillId="10" borderId="24" xfId="8" applyNumberFormat="1" applyFill="1" applyBorder="1" applyAlignment="1">
      <alignment vertical="center" wrapText="1"/>
    </xf>
    <xf numFmtId="2" fontId="78" fillId="10" borderId="25" xfId="6" applyNumberFormat="1" applyFont="1" applyFill="1" applyBorder="1"/>
    <xf numFmtId="4" fontId="24" fillId="10" borderId="10" xfId="39494" applyNumberFormat="1" applyFont="1" applyFill="1" applyBorder="1" applyAlignment="1">
      <alignment horizontal="center"/>
    </xf>
    <xf numFmtId="0" fontId="24" fillId="10" borderId="15" xfId="39494" applyFont="1" applyFill="1" applyBorder="1"/>
    <xf numFmtId="0" fontId="88" fillId="10" borderId="25" xfId="39494" applyFont="1" applyFill="1" applyBorder="1"/>
    <xf numFmtId="0" fontId="78" fillId="10" borderId="15" xfId="39494" applyFont="1" applyFill="1" applyBorder="1"/>
    <xf numFmtId="0" fontId="78" fillId="10" borderId="25" xfId="39494" applyFont="1" applyFill="1" applyBorder="1" applyAlignment="1">
      <alignment horizontal="left"/>
    </xf>
    <xf numFmtId="0" fontId="24" fillId="10" borderId="22" xfId="39494" applyFont="1" applyFill="1" applyBorder="1" applyAlignment="1">
      <alignment horizontal="center"/>
    </xf>
    <xf numFmtId="0" fontId="90" fillId="10" borderId="15" xfId="39494" applyFont="1" applyFill="1" applyBorder="1"/>
    <xf numFmtId="170" fontId="90" fillId="10" borderId="22" xfId="8" applyNumberFormat="1" applyFont="1" applyFill="1" applyBorder="1" applyAlignment="1">
      <alignment horizontal="center"/>
    </xf>
    <xf numFmtId="0" fontId="90" fillId="10" borderId="25" xfId="39494" applyFont="1" applyFill="1" applyBorder="1" applyAlignment="1">
      <alignment horizontal="left"/>
    </xf>
    <xf numFmtId="4" fontId="90" fillId="10" borderId="0" xfId="8" applyNumberFormat="1" applyFont="1" applyFill="1" applyAlignment="1">
      <alignment horizontal="right"/>
    </xf>
    <xf numFmtId="4" fontId="89" fillId="10" borderId="0" xfId="8" applyNumberFormat="1" applyFont="1" applyFill="1"/>
    <xf numFmtId="4" fontId="90" fillId="10" borderId="10" xfId="39494" applyNumberFormat="1" applyFont="1" applyFill="1" applyBorder="1" applyAlignment="1">
      <alignment horizontal="center"/>
    </xf>
    <xf numFmtId="0" fontId="90" fillId="10" borderId="0" xfId="39494" applyFont="1" applyFill="1"/>
    <xf numFmtId="0" fontId="90" fillId="10" borderId="25" xfId="6" applyFont="1" applyFill="1" applyBorder="1" applyAlignment="1">
      <alignment horizontal="left"/>
    </xf>
    <xf numFmtId="0" fontId="93" fillId="10" borderId="15" xfId="39494" applyFont="1" applyFill="1" applyBorder="1" applyAlignment="1">
      <alignment horizontal="center"/>
    </xf>
    <xf numFmtId="170" fontId="93" fillId="10" borderId="22" xfId="8" applyNumberFormat="1" applyFont="1" applyFill="1" applyBorder="1" applyAlignment="1">
      <alignment horizontal="center"/>
    </xf>
    <xf numFmtId="4" fontId="93" fillId="10" borderId="24" xfId="8" applyNumberFormat="1" applyFont="1" applyFill="1" applyBorder="1" applyAlignment="1">
      <alignment horizontal="right"/>
    </xf>
    <xf numFmtId="0" fontId="93" fillId="10" borderId="25" xfId="39494" applyFont="1" applyFill="1" applyBorder="1" applyAlignment="1">
      <alignment horizontal="left"/>
    </xf>
    <xf numFmtId="4" fontId="93" fillId="10" borderId="0" xfId="8" applyNumberFormat="1" applyFont="1" applyFill="1" applyAlignment="1">
      <alignment horizontal="right"/>
    </xf>
    <xf numFmtId="4" fontId="93" fillId="10" borderId="0" xfId="39494" applyNumberFormat="1" applyFont="1" applyFill="1"/>
    <xf numFmtId="4" fontId="93" fillId="10" borderId="10" xfId="39494" applyNumberFormat="1" applyFont="1" applyFill="1" applyBorder="1" applyAlignment="1">
      <alignment horizontal="center"/>
    </xf>
    <xf numFmtId="0" fontId="93" fillId="0" borderId="0" xfId="39494" applyFont="1"/>
    <xf numFmtId="0" fontId="35" fillId="10" borderId="9" xfId="39494" applyFont="1" applyFill="1" applyBorder="1" applyAlignment="1">
      <alignment horizontal="center"/>
    </xf>
    <xf numFmtId="170" fontId="24" fillId="10" borderId="6" xfId="8" applyNumberFormat="1" applyFill="1" applyBorder="1" applyAlignment="1">
      <alignment horizontal="center"/>
    </xf>
    <xf numFmtId="4" fontId="39" fillId="10" borderId="7" xfId="8" applyNumberFormat="1" applyFont="1" applyFill="1" applyBorder="1" applyAlignment="1">
      <alignment horizontal="right"/>
    </xf>
    <xf numFmtId="170" fontId="24" fillId="10" borderId="7" xfId="8" applyNumberFormat="1" applyFill="1" applyBorder="1" applyAlignment="1">
      <alignment horizontal="center"/>
    </xf>
    <xf numFmtId="4" fontId="24" fillId="10" borderId="7" xfId="8" applyNumberFormat="1" applyFill="1" applyBorder="1" applyAlignment="1">
      <alignment horizontal="right"/>
    </xf>
    <xf numFmtId="4" fontId="24" fillId="10" borderId="7" xfId="39494" applyNumberFormat="1" applyFont="1" applyFill="1" applyBorder="1"/>
    <xf numFmtId="4" fontId="24" fillId="10" borderId="8" xfId="39494" applyNumberFormat="1" applyFont="1" applyFill="1" applyBorder="1" applyAlignment="1">
      <alignment horizontal="center"/>
    </xf>
    <xf numFmtId="0" fontId="24" fillId="10" borderId="11" xfId="39494" applyFont="1" applyFill="1" applyBorder="1"/>
    <xf numFmtId="0" fontId="63" fillId="10" borderId="0" xfId="39494" applyFont="1" applyFill="1" applyAlignment="1">
      <alignment vertical="center" wrapText="1"/>
    </xf>
    <xf numFmtId="0" fontId="37" fillId="31" borderId="29" xfId="0" applyFont="1" applyFill="1" applyBorder="1" applyAlignment="1">
      <alignment horizontal="left" vertical="center"/>
    </xf>
    <xf numFmtId="0" fontId="37" fillId="31" borderId="30" xfId="0" applyFont="1" applyFill="1" applyBorder="1" applyAlignment="1">
      <alignment horizontal="left" vertical="center"/>
    </xf>
    <xf numFmtId="2" fontId="59" fillId="31" borderId="30" xfId="4" applyNumberFormat="1" applyFont="1" applyFill="1" applyBorder="1" applyAlignment="1">
      <alignment horizontal="left"/>
    </xf>
    <xf numFmtId="2" fontId="59" fillId="31" borderId="31" xfId="4" applyNumberFormat="1" applyFont="1" applyFill="1" applyBorder="1" applyAlignment="1">
      <alignment horizontal="left"/>
    </xf>
    <xf numFmtId="0" fontId="59" fillId="31" borderId="25" xfId="0" applyFont="1" applyFill="1" applyBorder="1"/>
    <xf numFmtId="2" fontId="59" fillId="31" borderId="0" xfId="4" applyNumberFormat="1" applyFont="1" applyFill="1" applyAlignment="1">
      <alignment horizontal="left"/>
    </xf>
    <xf numFmtId="0" fontId="59" fillId="31" borderId="0" xfId="0" applyFont="1" applyFill="1" applyAlignment="1">
      <alignment horizontal="left"/>
    </xf>
    <xf numFmtId="0" fontId="59" fillId="31" borderId="0" xfId="0" applyFont="1" applyFill="1"/>
    <xf numFmtId="0" fontId="59" fillId="31" borderId="23" xfId="0" applyFont="1" applyFill="1" applyBorder="1"/>
    <xf numFmtId="0" fontId="59" fillId="31" borderId="26" xfId="0" applyFont="1" applyFill="1" applyBorder="1"/>
    <xf numFmtId="0" fontId="59" fillId="31" borderId="17" xfId="0" applyFont="1" applyFill="1" applyBorder="1"/>
    <xf numFmtId="2" fontId="59" fillId="31" borderId="17" xfId="4" applyNumberFormat="1" applyFont="1" applyFill="1" applyBorder="1" applyAlignment="1">
      <alignment horizontal="left"/>
    </xf>
    <xf numFmtId="2" fontId="59" fillId="31" borderId="19" xfId="4" applyNumberFormat="1" applyFont="1" applyFill="1" applyBorder="1" applyAlignment="1">
      <alignment horizontal="left"/>
    </xf>
    <xf numFmtId="170" fontId="106" fillId="10" borderId="23" xfId="8" applyNumberFormat="1" applyFont="1" applyFill="1" applyBorder="1" applyAlignment="1">
      <alignment horizontal="center"/>
    </xf>
    <xf numFmtId="4" fontId="106" fillId="10" borderId="10" xfId="0" applyNumberFormat="1" applyFont="1" applyFill="1" applyBorder="1" applyAlignment="1">
      <alignment horizontal="center"/>
    </xf>
    <xf numFmtId="0" fontId="106" fillId="10" borderId="0" xfId="0" applyFont="1" applyFill="1"/>
    <xf numFmtId="4" fontId="25" fillId="10" borderId="0" xfId="39490" applyNumberFormat="1" applyFont="1" applyFill="1" applyAlignment="1">
      <alignment vertical="center"/>
    </xf>
    <xf numFmtId="4" fontId="24" fillId="10" borderId="0" xfId="39490" applyNumberFormat="1" applyFill="1" applyAlignment="1">
      <alignment vertical="center"/>
    </xf>
    <xf numFmtId="0" fontId="24" fillId="10" borderId="0" xfId="39490" applyFill="1" applyAlignment="1">
      <alignment vertical="center"/>
    </xf>
    <xf numFmtId="171" fontId="78" fillId="12" borderId="0" xfId="3" applyNumberFormat="1" applyFont="1" applyFill="1" applyAlignment="1">
      <alignment horizontal="center" vertical="center"/>
    </xf>
    <xf numFmtId="0" fontId="127" fillId="10" borderId="15" xfId="0" quotePrefix="1" applyFont="1" applyFill="1" applyBorder="1" applyAlignment="1">
      <alignment horizontal="center" vertical="center"/>
    </xf>
    <xf numFmtId="0" fontId="24" fillId="12" borderId="0" xfId="11" applyFill="1"/>
    <xf numFmtId="171" fontId="90" fillId="12" borderId="0" xfId="3" applyNumberFormat="1" applyFont="1" applyFill="1" applyAlignment="1">
      <alignment horizontal="center" vertical="center"/>
    </xf>
    <xf numFmtId="171" fontId="35" fillId="12" borderId="0" xfId="3" applyNumberFormat="1" applyFont="1" applyFill="1" applyAlignment="1">
      <alignment horizontal="center" vertical="center"/>
    </xf>
    <xf numFmtId="172" fontId="24" fillId="12" borderId="0" xfId="3" applyNumberFormat="1" applyFont="1" applyFill="1" applyAlignment="1">
      <alignment horizontal="left"/>
    </xf>
    <xf numFmtId="171" fontId="24" fillId="12" borderId="0" xfId="3" applyNumberFormat="1" applyFont="1" applyFill="1"/>
    <xf numFmtId="0" fontId="24" fillId="12" borderId="0" xfId="8" applyFill="1"/>
    <xf numFmtId="0" fontId="115" fillId="8" borderId="0" xfId="11" applyFont="1" applyFill="1"/>
    <xf numFmtId="170" fontId="36" fillId="10" borderId="0" xfId="8" applyNumberFormat="1" applyFont="1" applyFill="1" applyAlignment="1">
      <alignment horizontal="center" vertical="center"/>
    </xf>
    <xf numFmtId="0" fontId="40" fillId="10" borderId="0" xfId="11" applyFont="1" applyFill="1"/>
    <xf numFmtId="0" fontId="25" fillId="10" borderId="15" xfId="0" applyFont="1" applyFill="1" applyBorder="1" applyAlignment="1">
      <alignment horizontal="center" vertical="center"/>
    </xf>
    <xf numFmtId="0" fontId="51" fillId="10" borderId="15" xfId="0" applyFont="1" applyFill="1" applyBorder="1" applyAlignment="1">
      <alignment horizontal="center" vertical="center"/>
    </xf>
    <xf numFmtId="0" fontId="59" fillId="21" borderId="1" xfId="4" applyFont="1" applyFill="1" applyBorder="1" applyAlignment="1">
      <alignment horizontal="center" wrapText="1"/>
    </xf>
    <xf numFmtId="174" fontId="59" fillId="31" borderId="1" xfId="4" applyNumberFormat="1" applyFont="1" applyFill="1" applyBorder="1" applyAlignment="1">
      <alignment horizontal="center"/>
    </xf>
    <xf numFmtId="174" fontId="59" fillId="36" borderId="1" xfId="4" applyNumberFormat="1" applyFont="1" applyFill="1" applyBorder="1" applyAlignment="1">
      <alignment horizontal="center"/>
    </xf>
    <xf numFmtId="4" fontId="59" fillId="21" borderId="1" xfId="4" applyNumberFormat="1" applyFont="1" applyFill="1" applyBorder="1" applyAlignment="1">
      <alignment horizontal="center"/>
    </xf>
    <xf numFmtId="4" fontId="59" fillId="21" borderId="1" xfId="4" applyNumberFormat="1" applyFont="1" applyFill="1" applyBorder="1" applyAlignment="1">
      <alignment horizontal="center" wrapText="1"/>
    </xf>
    <xf numFmtId="0" fontId="59" fillId="21" borderId="1" xfId="4" applyFont="1" applyFill="1" applyBorder="1" applyAlignment="1">
      <alignment horizontal="center"/>
    </xf>
    <xf numFmtId="170" fontId="36" fillId="26" borderId="5" xfId="8" applyNumberFormat="1" applyFont="1" applyFill="1" applyBorder="1" applyAlignment="1">
      <alignment horizontal="center" vertical="center"/>
    </xf>
    <xf numFmtId="0" fontId="59" fillId="10" borderId="1" xfId="11" applyFont="1" applyFill="1" applyBorder="1" applyAlignment="1">
      <alignment horizontal="right" indent="1"/>
    </xf>
    <xf numFmtId="0" fontId="130" fillId="10" borderId="24" xfId="6" applyFont="1" applyFill="1" applyBorder="1"/>
    <xf numFmtId="173" fontId="130" fillId="10" borderId="0" xfId="3" applyNumberFormat="1" applyFont="1" applyFill="1" applyAlignment="1">
      <alignment horizontal="center"/>
    </xf>
    <xf numFmtId="171" fontId="130" fillId="10" borderId="0" xfId="3" applyNumberFormat="1" applyFont="1" applyFill="1" applyAlignment="1">
      <alignment horizontal="center" vertical="center"/>
    </xf>
    <xf numFmtId="172" fontId="130" fillId="10" borderId="0" xfId="11" applyNumberFormat="1" applyFont="1" applyFill="1" applyAlignment="1">
      <alignment horizontal="left"/>
    </xf>
    <xf numFmtId="0" fontId="130" fillId="10" borderId="0" xfId="11" applyFont="1" applyFill="1" applyAlignment="1">
      <alignment horizontal="left"/>
    </xf>
    <xf numFmtId="0" fontId="130" fillId="17" borderId="0" xfId="11" quotePrefix="1" applyFont="1" applyFill="1" applyAlignment="1">
      <alignment horizontal="left"/>
    </xf>
    <xf numFmtId="0" fontId="131" fillId="10" borderId="15" xfId="0" applyFont="1" applyFill="1" applyBorder="1" applyAlignment="1">
      <alignment horizontal="center" vertical="center"/>
    </xf>
    <xf numFmtId="0" fontId="25" fillId="0" borderId="0" xfId="5" applyFont="1" applyAlignment="1">
      <alignment vertical="center"/>
    </xf>
    <xf numFmtId="173" fontId="24" fillId="21" borderId="35" xfId="8" applyNumberFormat="1" applyFill="1" applyBorder="1" applyAlignment="1">
      <alignment horizontal="left" vertical="center" indent="1"/>
    </xf>
    <xf numFmtId="0" fontId="25" fillId="21" borderId="0" xfId="11" quotePrefix="1" applyFont="1" applyFill="1" applyAlignment="1">
      <alignment horizontal="center" vertical="center"/>
    </xf>
    <xf numFmtId="0" fontId="25" fillId="21" borderId="0" xfId="5" applyFont="1" applyFill="1" applyAlignment="1">
      <alignment vertical="center"/>
    </xf>
    <xf numFmtId="0" fontId="25" fillId="21" borderId="0" xfId="8" applyFont="1" applyFill="1" applyAlignment="1">
      <alignment horizontal="center"/>
    </xf>
    <xf numFmtId="0" fontId="25" fillId="31" borderId="4" xfId="8" applyFont="1" applyFill="1" applyBorder="1" applyAlignment="1">
      <alignment horizontal="center" vertical="center" wrapText="1"/>
    </xf>
    <xf numFmtId="1" fontId="24" fillId="21" borderId="36" xfId="8" applyNumberFormat="1" applyFill="1" applyBorder="1" applyAlignment="1">
      <alignment horizontal="center" vertical="center"/>
    </xf>
    <xf numFmtId="170" fontId="24" fillId="0" borderId="37" xfId="8" quotePrefix="1" applyNumberFormat="1" applyBorder="1" applyAlignment="1">
      <alignment horizontal="center" vertical="center"/>
    </xf>
    <xf numFmtId="0" fontId="24" fillId="10" borderId="37" xfId="0" applyFont="1" applyFill="1" applyBorder="1" applyAlignment="1">
      <alignment vertical="center"/>
    </xf>
    <xf numFmtId="173" fontId="24" fillId="21" borderId="38" xfId="8" applyNumberFormat="1" applyFill="1" applyBorder="1" applyAlignment="1">
      <alignment horizontal="left" vertical="center" indent="1"/>
    </xf>
    <xf numFmtId="1" fontId="37" fillId="0" borderId="0" xfId="1" applyNumberFormat="1" applyFont="1"/>
    <xf numFmtId="0" fontId="37" fillId="0" borderId="0" xfId="1" applyFont="1"/>
    <xf numFmtId="1" fontId="59" fillId="0" borderId="0" xfId="1" applyNumberFormat="1" applyFont="1"/>
    <xf numFmtId="1" fontId="37" fillId="20" borderId="0" xfId="1" applyNumberFormat="1" applyFont="1" applyFill="1" applyAlignment="1">
      <alignment horizontal="left"/>
    </xf>
    <xf numFmtId="0" fontId="59" fillId="20" borderId="0" xfId="1" applyFont="1" applyFill="1"/>
    <xf numFmtId="0" fontId="37" fillId="20" borderId="0" xfId="1" applyFont="1" applyFill="1"/>
    <xf numFmtId="0" fontId="25" fillId="10" borderId="0" xfId="11" quotePrefix="1" applyFont="1" applyFill="1" applyAlignment="1">
      <alignment horizontal="center" vertical="center"/>
    </xf>
    <xf numFmtId="0" fontId="25" fillId="12" borderId="0" xfId="11" quotePrefix="1" applyFont="1" applyFill="1" applyAlignment="1">
      <alignment horizontal="center" vertical="center"/>
    </xf>
    <xf numFmtId="0" fontId="25" fillId="12" borderId="0" xfId="5" applyFont="1" applyFill="1" applyAlignment="1">
      <alignment vertical="center"/>
    </xf>
    <xf numFmtId="0" fontId="25" fillId="12" borderId="0" xfId="8" applyFont="1" applyFill="1" applyAlignment="1">
      <alignment horizontal="center"/>
    </xf>
    <xf numFmtId="0" fontId="25" fillId="5" borderId="0" xfId="11" quotePrefix="1" applyFont="1" applyFill="1" applyAlignment="1">
      <alignment horizontal="center" vertical="center"/>
    </xf>
    <xf numFmtId="0" fontId="85" fillId="5" borderId="0" xfId="39494" applyFont="1" applyFill="1"/>
    <xf numFmtId="0" fontId="133" fillId="10" borderId="15" xfId="0" applyFont="1" applyFill="1" applyBorder="1" applyAlignment="1">
      <alignment horizontal="center" vertical="center"/>
    </xf>
    <xf numFmtId="0" fontId="94" fillId="5" borderId="0" xfId="6" applyFont="1" applyFill="1"/>
    <xf numFmtId="176" fontId="78" fillId="10" borderId="0" xfId="3" applyNumberFormat="1" applyFont="1" applyFill="1" applyBorder="1" applyAlignment="1">
      <alignment horizontal="center" vertical="center"/>
    </xf>
    <xf numFmtId="0" fontId="94" fillId="10" borderId="0" xfId="6" applyFont="1" applyFill="1" applyAlignment="1">
      <alignment vertical="top"/>
    </xf>
    <xf numFmtId="176" fontId="78" fillId="10" borderId="0" xfId="39495" applyNumberFormat="1" applyFont="1" applyFill="1" applyAlignment="1">
      <alignment horizontal="center" vertical="top"/>
    </xf>
    <xf numFmtId="172" fontId="96" fillId="10" borderId="0" xfId="3" applyNumberFormat="1" applyFont="1" applyFill="1" applyAlignment="1">
      <alignment horizontal="center" vertical="top"/>
    </xf>
    <xf numFmtId="171" fontId="78" fillId="10" borderId="0" xfId="3" applyNumberFormat="1" applyFont="1" applyFill="1" applyBorder="1" applyAlignment="1">
      <alignment horizontal="center" vertical="top"/>
    </xf>
    <xf numFmtId="172" fontId="78" fillId="10" borderId="0" xfId="11" applyNumberFormat="1" applyFont="1" applyFill="1" applyAlignment="1">
      <alignment horizontal="left" vertical="top"/>
    </xf>
    <xf numFmtId="2" fontId="78" fillId="10" borderId="0" xfId="6" applyNumberFormat="1" applyFont="1" applyFill="1" applyAlignment="1">
      <alignment vertical="top"/>
    </xf>
    <xf numFmtId="0" fontId="78" fillId="10" borderId="0" xfId="11" applyFont="1" applyFill="1" applyAlignment="1">
      <alignment vertical="top"/>
    </xf>
    <xf numFmtId="0" fontId="24" fillId="10" borderId="0" xfId="0" applyFont="1" applyFill="1" applyAlignment="1">
      <alignment vertical="top"/>
    </xf>
    <xf numFmtId="176" fontId="78" fillId="10" borderId="0" xfId="3" applyNumberFormat="1" applyFont="1" applyFill="1" applyAlignment="1">
      <alignment horizontal="center"/>
    </xf>
    <xf numFmtId="176" fontId="78" fillId="10" borderId="0" xfId="39495" applyNumberFormat="1" applyFont="1" applyFill="1" applyAlignment="1">
      <alignment horizontal="center"/>
    </xf>
    <xf numFmtId="0" fontId="33" fillId="10" borderId="0" xfId="0" applyFont="1" applyFill="1" applyAlignment="1">
      <alignment horizontal="center"/>
    </xf>
    <xf numFmtId="0" fontId="25" fillId="10" borderId="0" xfId="39490" applyFont="1" applyFill="1" applyAlignment="1">
      <alignment horizontal="center"/>
    </xf>
    <xf numFmtId="0" fontId="25" fillId="10" borderId="0" xfId="39490" applyFont="1" applyFill="1"/>
    <xf numFmtId="0" fontId="25" fillId="21" borderId="0" xfId="0" applyFont="1" applyFill="1" applyAlignment="1">
      <alignment horizontal="left" vertical="center"/>
    </xf>
    <xf numFmtId="0" fontId="25" fillId="21" borderId="0" xfId="39490" applyFont="1" applyFill="1" applyAlignment="1">
      <alignment horizontal="center"/>
    </xf>
    <xf numFmtId="0" fontId="25" fillId="21" borderId="0" xfId="39490" applyFont="1" applyFill="1"/>
    <xf numFmtId="170" fontId="24" fillId="23" borderId="1" xfId="8" quotePrefix="1" applyNumberFormat="1" applyFill="1" applyBorder="1" applyAlignment="1">
      <alignment horizontal="center" vertical="center"/>
    </xf>
    <xf numFmtId="0" fontId="24" fillId="10" borderId="0" xfId="1" applyFont="1" applyFill="1"/>
    <xf numFmtId="0" fontId="0" fillId="10" borderId="0" xfId="1" applyFont="1" applyFill="1"/>
    <xf numFmtId="0" fontId="128" fillId="0" borderId="0" xfId="1" applyFont="1"/>
    <xf numFmtId="1" fontId="24" fillId="0" borderId="0" xfId="0" applyNumberFormat="1" applyFont="1"/>
    <xf numFmtId="0" fontId="59" fillId="10" borderId="0" xfId="5" applyFont="1" applyFill="1" applyAlignment="1">
      <alignment vertical="center"/>
    </xf>
    <xf numFmtId="4" fontId="59" fillId="10" borderId="0" xfId="0" applyNumberFormat="1" applyFont="1" applyFill="1" applyAlignment="1">
      <alignment horizontal="right" vertical="center"/>
    </xf>
    <xf numFmtId="0" fontId="59" fillId="10" borderId="0" xfId="0" applyFont="1" applyFill="1" applyAlignment="1">
      <alignment horizontal="left" vertical="center"/>
    </xf>
    <xf numFmtId="0" fontId="59" fillId="10" borderId="0" xfId="39490" applyFont="1" applyFill="1"/>
    <xf numFmtId="4" fontId="59" fillId="10" borderId="0" xfId="39490" applyNumberFormat="1" applyFont="1" applyFill="1" applyAlignment="1">
      <alignment vertical="center"/>
    </xf>
    <xf numFmtId="0" fontId="37" fillId="10" borderId="0" xfId="39490" applyFont="1" applyFill="1" applyAlignment="1">
      <alignment vertical="center"/>
    </xf>
    <xf numFmtId="4" fontId="37" fillId="10" borderId="0" xfId="39490" applyNumberFormat="1" applyFont="1" applyFill="1" applyAlignment="1">
      <alignment vertical="center"/>
    </xf>
    <xf numFmtId="0" fontId="135" fillId="10" borderId="0" xfId="1" applyFont="1" applyFill="1"/>
    <xf numFmtId="0" fontId="59" fillId="10" borderId="0" xfId="1" applyFont="1" applyFill="1"/>
    <xf numFmtId="0" fontId="136" fillId="0" borderId="0" xfId="1" applyFont="1"/>
    <xf numFmtId="0" fontId="37" fillId="10" borderId="0" xfId="11" quotePrefix="1" applyFont="1" applyFill="1" applyAlignment="1">
      <alignment horizontal="center" vertical="center"/>
    </xf>
    <xf numFmtId="0" fontId="37" fillId="10" borderId="0" xfId="8" applyFont="1" applyFill="1" applyAlignment="1">
      <alignment horizontal="center"/>
    </xf>
    <xf numFmtId="0" fontId="37" fillId="10" borderId="0" xfId="0" applyFont="1" applyFill="1" applyAlignment="1">
      <alignment horizontal="center" vertical="center"/>
    </xf>
    <xf numFmtId="0" fontId="37" fillId="10" borderId="0" xfId="39490" applyFont="1" applyFill="1" applyAlignment="1">
      <alignment horizontal="center"/>
    </xf>
    <xf numFmtId="0" fontId="59" fillId="10" borderId="0" xfId="8" applyFont="1" applyFill="1" applyAlignment="1">
      <alignment horizontal="center"/>
    </xf>
    <xf numFmtId="1" fontId="59" fillId="10" borderId="0" xfId="0" applyNumberFormat="1" applyFont="1" applyFill="1" applyAlignment="1">
      <alignment horizontal="center"/>
    </xf>
    <xf numFmtId="0" fontId="38" fillId="0" borderId="0" xfId="1" applyFont="1"/>
    <xf numFmtId="0" fontId="59" fillId="0" borderId="0" xfId="0" applyFont="1"/>
    <xf numFmtId="0" fontId="59" fillId="0" borderId="0" xfId="1" applyFont="1"/>
    <xf numFmtId="1" fontId="59" fillId="0" borderId="0" xfId="0" applyNumberFormat="1" applyFont="1"/>
    <xf numFmtId="0" fontId="38" fillId="0" borderId="0" xfId="0" applyFont="1"/>
    <xf numFmtId="0" fontId="37" fillId="0" borderId="0" xfId="0" applyFont="1"/>
    <xf numFmtId="0" fontId="24" fillId="0" borderId="0" xfId="55"/>
    <xf numFmtId="0" fontId="137" fillId="0" borderId="0" xfId="55" applyFont="1"/>
    <xf numFmtId="0" fontId="84" fillId="0" borderId="30" xfId="55" applyFont="1" applyBorder="1" applyAlignment="1">
      <alignment horizontal="center"/>
    </xf>
    <xf numFmtId="0" fontId="59" fillId="0" borderId="0" xfId="55" applyFont="1"/>
    <xf numFmtId="177" fontId="59" fillId="0" borderId="0" xfId="55" applyNumberFormat="1" applyFont="1"/>
    <xf numFmtId="0" fontId="59" fillId="0" borderId="0" xfId="55" applyFont="1" applyAlignment="1">
      <alignment horizontal="right"/>
    </xf>
    <xf numFmtId="49" fontId="59" fillId="0" borderId="0" xfId="55" applyNumberFormat="1" applyFont="1" applyAlignment="1">
      <alignment horizontal="left"/>
    </xf>
    <xf numFmtId="49" fontId="59" fillId="0" borderId="0" xfId="55" applyNumberFormat="1" applyFont="1"/>
    <xf numFmtId="0" fontId="138" fillId="0" borderId="0" xfId="55" applyFont="1"/>
    <xf numFmtId="0" fontId="37" fillId="0" borderId="0" xfId="55" applyFont="1"/>
    <xf numFmtId="0" fontId="139" fillId="0" borderId="0" xfId="55" applyFont="1"/>
    <xf numFmtId="177" fontId="59" fillId="47" borderId="0" xfId="55" applyNumberFormat="1" applyFont="1" applyFill="1"/>
    <xf numFmtId="0" fontId="35" fillId="0" borderId="5" xfId="55" applyFont="1" applyBorder="1" applyAlignment="1">
      <alignment horizontal="center"/>
    </xf>
    <xf numFmtId="170" fontId="24" fillId="0" borderId="5" xfId="8" applyNumberFormat="1" applyBorder="1"/>
    <xf numFmtId="170" fontId="36" fillId="26" borderId="15" xfId="8" applyNumberFormat="1" applyFont="1" applyFill="1" applyBorder="1" applyAlignment="1">
      <alignment horizontal="center"/>
    </xf>
    <xf numFmtId="0" fontId="26" fillId="10" borderId="15" xfId="6" applyFont="1" applyFill="1" applyBorder="1" applyAlignment="1">
      <alignment horizontal="left" vertical="top"/>
    </xf>
    <xf numFmtId="179" fontId="37" fillId="0" borderId="15" xfId="55" applyNumberFormat="1" applyFont="1" applyBorder="1" applyAlignment="1">
      <alignment horizontal="center" wrapText="1"/>
    </xf>
    <xf numFmtId="0" fontId="89" fillId="10" borderId="15" xfId="55" applyFont="1" applyFill="1" applyBorder="1" applyAlignment="1">
      <alignment horizontal="center" vertical="center"/>
    </xf>
    <xf numFmtId="0" fontId="24" fillId="10" borderId="15" xfId="6" applyFill="1" applyBorder="1" applyAlignment="1">
      <alignment horizontal="center" vertical="top"/>
    </xf>
    <xf numFmtId="180" fontId="37" fillId="0" borderId="15" xfId="55" applyNumberFormat="1" applyFont="1" applyBorder="1" applyAlignment="1">
      <alignment horizontal="center" wrapText="1"/>
    </xf>
    <xf numFmtId="170" fontId="24" fillId="10" borderId="15" xfId="8" applyNumberFormat="1" applyFill="1" applyBorder="1" applyAlignment="1">
      <alignment horizontal="center" vertical="top"/>
    </xf>
    <xf numFmtId="0" fontId="89" fillId="10" borderId="15" xfId="55" applyFont="1" applyFill="1" applyBorder="1" applyAlignment="1">
      <alignment horizontal="center"/>
    </xf>
    <xf numFmtId="0" fontId="26" fillId="10" borderId="15" xfId="55" applyFont="1" applyFill="1" applyBorder="1" applyAlignment="1">
      <alignment horizontal="center" vertical="top"/>
    </xf>
    <xf numFmtId="0" fontId="63" fillId="10" borderId="15" xfId="55" applyFont="1" applyFill="1" applyBorder="1" applyAlignment="1">
      <alignment horizontal="center" vertical="center"/>
    </xf>
    <xf numFmtId="170" fontId="24" fillId="10" borderId="15" xfId="8" applyNumberFormat="1" applyFill="1" applyBorder="1" applyAlignment="1">
      <alignment horizontal="right" vertical="top"/>
    </xf>
    <xf numFmtId="0" fontId="105" fillId="10" borderId="15" xfId="55" applyFont="1" applyFill="1" applyBorder="1" applyAlignment="1">
      <alignment horizontal="center"/>
    </xf>
    <xf numFmtId="0" fontId="107" fillId="10" borderId="15" xfId="55" applyFont="1" applyFill="1" applyBorder="1" applyAlignment="1">
      <alignment horizontal="center"/>
    </xf>
    <xf numFmtId="0" fontId="105" fillId="10" borderId="15" xfId="55" applyFont="1" applyFill="1" applyBorder="1" applyAlignment="1">
      <alignment horizontal="center" vertical="center"/>
    </xf>
    <xf numFmtId="0" fontId="131" fillId="10" borderId="15" xfId="55" applyFont="1" applyFill="1" applyBorder="1" applyAlignment="1">
      <alignment horizontal="center" vertical="center"/>
    </xf>
    <xf numFmtId="0" fontId="24" fillId="10" borderId="15" xfId="55" applyFill="1" applyBorder="1" applyAlignment="1">
      <alignment horizontal="center" vertical="top"/>
    </xf>
    <xf numFmtId="170" fontId="24" fillId="10" borderId="15" xfId="55" applyNumberFormat="1" applyFill="1" applyBorder="1" applyAlignment="1">
      <alignment horizontal="center" vertical="top"/>
    </xf>
    <xf numFmtId="0" fontId="63" fillId="10" borderId="15" xfId="55" applyFont="1" applyFill="1" applyBorder="1" applyAlignment="1">
      <alignment horizontal="center"/>
    </xf>
    <xf numFmtId="0" fontId="78" fillId="10" borderId="15" xfId="55" applyFont="1" applyFill="1" applyBorder="1"/>
    <xf numFmtId="0" fontId="110" fillId="10" borderId="15" xfId="55" applyFont="1" applyFill="1" applyBorder="1"/>
    <xf numFmtId="170" fontId="26" fillId="10" borderId="15" xfId="55" applyNumberFormat="1" applyFont="1" applyFill="1" applyBorder="1" applyAlignment="1">
      <alignment horizontal="center" vertical="top"/>
    </xf>
    <xf numFmtId="170" fontId="24" fillId="10" borderId="15" xfId="55" applyNumberFormat="1" applyFill="1" applyBorder="1" applyAlignment="1">
      <alignment horizontal="right" vertical="top"/>
    </xf>
    <xf numFmtId="0" fontId="24" fillId="10" borderId="15" xfId="55" applyFill="1" applyBorder="1" applyAlignment="1">
      <alignment horizontal="center" vertical="center"/>
    </xf>
    <xf numFmtId="0" fontId="63" fillId="10" borderId="9" xfId="55" applyFont="1" applyFill="1" applyBorder="1" applyAlignment="1">
      <alignment horizontal="center"/>
    </xf>
    <xf numFmtId="170" fontId="24" fillId="10" borderId="9" xfId="55" applyNumberFormat="1" applyFill="1" applyBorder="1" applyAlignment="1">
      <alignment horizontal="center" vertical="top"/>
    </xf>
    <xf numFmtId="180" fontId="37" fillId="0" borderId="9" xfId="55" applyNumberFormat="1" applyFont="1" applyBorder="1" applyAlignment="1">
      <alignment horizontal="center" wrapText="1"/>
    </xf>
    <xf numFmtId="0" fontId="35" fillId="10" borderId="15" xfId="55" applyFont="1" applyFill="1" applyBorder="1" applyAlignment="1">
      <alignment horizontal="center"/>
    </xf>
    <xf numFmtId="170" fontId="36" fillId="26" borderId="15" xfId="8" applyNumberFormat="1" applyFont="1" applyFill="1" applyBorder="1" applyAlignment="1">
      <alignment horizontal="center" vertical="center"/>
    </xf>
    <xf numFmtId="0" fontId="24" fillId="10" borderId="15" xfId="6" applyFill="1" applyBorder="1" applyAlignment="1">
      <alignment horizontal="right" vertical="top"/>
    </xf>
    <xf numFmtId="170" fontId="128" fillId="10" borderId="15" xfId="6" applyNumberFormat="1" applyFont="1" applyFill="1" applyBorder="1" applyAlignment="1">
      <alignment horizontal="right" vertical="top"/>
    </xf>
    <xf numFmtId="0" fontId="25" fillId="10" borderId="15" xfId="55" applyFont="1" applyFill="1" applyBorder="1" applyAlignment="1">
      <alignment horizontal="center" vertical="center"/>
    </xf>
    <xf numFmtId="0" fontId="51" fillId="10" borderId="15" xfId="55" applyFont="1" applyFill="1" applyBorder="1" applyAlignment="1">
      <alignment horizontal="center" vertical="center"/>
    </xf>
    <xf numFmtId="0" fontId="105" fillId="10" borderId="15" xfId="55" quotePrefix="1" applyFont="1" applyFill="1" applyBorder="1" applyAlignment="1">
      <alignment horizontal="center"/>
    </xf>
    <xf numFmtId="0" fontId="24" fillId="10" borderId="15" xfId="8" applyFill="1" applyBorder="1" applyAlignment="1">
      <alignment horizontal="right" vertical="top"/>
    </xf>
    <xf numFmtId="0" fontId="24" fillId="10" borderId="15" xfId="55" applyFill="1" applyBorder="1" applyAlignment="1">
      <alignment horizontal="right" vertical="top"/>
    </xf>
    <xf numFmtId="0" fontId="129" fillId="10" borderId="9" xfId="55" applyFont="1" applyFill="1" applyBorder="1" applyAlignment="1">
      <alignment horizontal="center"/>
    </xf>
    <xf numFmtId="170" fontId="115" fillId="10" borderId="15" xfId="8" applyNumberFormat="1" applyFont="1" applyFill="1" applyBorder="1" applyAlignment="1">
      <alignment horizontal="center"/>
    </xf>
    <xf numFmtId="170" fontId="24" fillId="10" borderId="15" xfId="8" applyNumberFormat="1" applyFill="1" applyBorder="1" applyAlignment="1">
      <alignment vertical="top"/>
    </xf>
    <xf numFmtId="0" fontId="35" fillId="10" borderId="15" xfId="55" applyFont="1" applyFill="1" applyBorder="1" applyAlignment="1">
      <alignment horizontal="center" vertical="center"/>
    </xf>
    <xf numFmtId="0" fontId="105" fillId="10" borderId="9" xfId="55" applyFont="1" applyFill="1" applyBorder="1" applyAlignment="1">
      <alignment horizontal="center" vertical="center"/>
    </xf>
    <xf numFmtId="170" fontId="24" fillId="10" borderId="9" xfId="8" applyNumberFormat="1" applyFill="1" applyBorder="1" applyAlignment="1">
      <alignment horizontal="center" vertical="top"/>
    </xf>
    <xf numFmtId="170" fontId="36" fillId="5" borderId="15" xfId="8" applyNumberFormat="1" applyFont="1" applyFill="1" applyBorder="1" applyAlignment="1">
      <alignment horizontal="center" vertical="center"/>
    </xf>
    <xf numFmtId="0" fontId="115" fillId="10" borderId="15" xfId="55" applyFont="1" applyFill="1" applyBorder="1" applyAlignment="1">
      <alignment horizontal="center" vertical="center"/>
    </xf>
    <xf numFmtId="0" fontId="115" fillId="10" borderId="15" xfId="55" applyFont="1" applyFill="1" applyBorder="1" applyAlignment="1">
      <alignment horizontal="center"/>
    </xf>
    <xf numFmtId="0" fontId="132" fillId="10" borderId="15" xfId="55" applyFont="1" applyFill="1" applyBorder="1" applyAlignment="1">
      <alignment horizontal="center" vertical="center"/>
    </xf>
    <xf numFmtId="0" fontId="37" fillId="8" borderId="15" xfId="55" applyFont="1" applyFill="1" applyBorder="1" applyAlignment="1">
      <alignment horizontal="center"/>
    </xf>
    <xf numFmtId="0" fontId="37" fillId="8" borderId="15" xfId="55" applyFont="1" applyFill="1" applyBorder="1" applyAlignment="1">
      <alignment horizontal="center" vertical="top"/>
    </xf>
    <xf numFmtId="178" fontId="37" fillId="8" borderId="10" xfId="55" applyNumberFormat="1" applyFont="1" applyFill="1" applyBorder="1" applyAlignment="1">
      <alignment horizontal="center" wrapText="1"/>
    </xf>
    <xf numFmtId="178" fontId="37" fillId="8" borderId="15" xfId="55" applyNumberFormat="1" applyFont="1" applyFill="1" applyBorder="1" applyAlignment="1">
      <alignment horizontal="center" wrapText="1"/>
    </xf>
    <xf numFmtId="170" fontId="36" fillId="21" borderId="15" xfId="8" applyNumberFormat="1" applyFont="1" applyFill="1" applyBorder="1" applyAlignment="1">
      <alignment horizontal="center" vertical="center"/>
    </xf>
    <xf numFmtId="178" fontId="37" fillId="8" borderId="8" xfId="55" applyNumberFormat="1" applyFont="1" applyFill="1" applyBorder="1" applyAlignment="1">
      <alignment horizontal="center" wrapText="1"/>
    </xf>
    <xf numFmtId="178" fontId="37" fillId="8" borderId="9" xfId="55" applyNumberFormat="1" applyFont="1" applyFill="1" applyBorder="1" applyAlignment="1">
      <alignment horizontal="center" wrapText="1"/>
    </xf>
    <xf numFmtId="0" fontId="24" fillId="10" borderId="9" xfId="55" applyFill="1" applyBorder="1" applyAlignment="1">
      <alignment horizontal="center" vertical="center"/>
    </xf>
    <xf numFmtId="0" fontId="89" fillId="10" borderId="9" xfId="55" applyFont="1" applyFill="1" applyBorder="1" applyAlignment="1">
      <alignment horizontal="center"/>
    </xf>
    <xf numFmtId="0" fontId="107" fillId="10" borderId="15" xfId="55" applyFont="1" applyFill="1" applyBorder="1" applyAlignment="1">
      <alignment horizontal="center" vertical="center"/>
    </xf>
    <xf numFmtId="178" fontId="37" fillId="8" borderId="11" xfId="55" applyNumberFormat="1" applyFont="1" applyFill="1" applyBorder="1" applyAlignment="1">
      <alignment horizontal="center" wrapText="1"/>
    </xf>
    <xf numFmtId="0" fontId="24" fillId="10" borderId="15" xfId="55" applyFill="1" applyBorder="1" applyAlignment="1">
      <alignment horizontal="center"/>
    </xf>
    <xf numFmtId="0" fontId="132" fillId="10" borderId="9" xfId="55" applyFont="1" applyFill="1" applyBorder="1" applyAlignment="1">
      <alignment horizontal="center" vertical="center"/>
    </xf>
    <xf numFmtId="0" fontId="24" fillId="10" borderId="15" xfId="6" applyFill="1" applyBorder="1" applyAlignment="1">
      <alignment horizontal="center" vertical="center"/>
    </xf>
    <xf numFmtId="170" fontId="63" fillId="10" borderId="15" xfId="8" applyNumberFormat="1" applyFont="1" applyFill="1" applyBorder="1" applyAlignment="1">
      <alignment horizontal="center" vertical="center"/>
    </xf>
    <xf numFmtId="0" fontId="127" fillId="10" borderId="15" xfId="55" quotePrefix="1" applyFont="1" applyFill="1" applyBorder="1" applyAlignment="1">
      <alignment horizontal="center" vertical="center"/>
    </xf>
    <xf numFmtId="170" fontId="63" fillId="10" borderId="15" xfId="8" applyNumberFormat="1" applyFont="1" applyFill="1" applyBorder="1" applyAlignment="1">
      <alignment horizontal="right" vertical="center"/>
    </xf>
    <xf numFmtId="0" fontId="36" fillId="8" borderId="2" xfId="55" applyFont="1" applyFill="1" applyBorder="1" applyAlignment="1">
      <alignment horizontal="center" vertical="center"/>
    </xf>
    <xf numFmtId="0" fontId="24" fillId="8" borderId="3" xfId="55" applyFill="1" applyBorder="1" applyAlignment="1">
      <alignment horizontal="right" vertical="center"/>
    </xf>
    <xf numFmtId="0" fontId="25" fillId="8" borderId="3" xfId="9" applyFont="1" applyFill="1" applyBorder="1" applyAlignment="1">
      <alignment vertical="center"/>
    </xf>
    <xf numFmtId="180" fontId="37" fillId="0" borderId="3" xfId="55" applyNumberFormat="1" applyFont="1" applyBorder="1" applyAlignment="1">
      <alignment horizontal="right" vertical="center"/>
    </xf>
    <xf numFmtId="0" fontId="25" fillId="5" borderId="11" xfId="55" applyFont="1" applyFill="1" applyBorder="1" applyAlignment="1">
      <alignment horizontal="center" vertical="center"/>
    </xf>
    <xf numFmtId="0" fontId="25" fillId="5" borderId="0" xfId="11" quotePrefix="1" applyFont="1" applyFill="1" applyAlignment="1">
      <alignment horizontal="right" vertical="center"/>
    </xf>
    <xf numFmtId="180" fontId="37" fillId="0" borderId="7" xfId="55" applyNumberFormat="1" applyFont="1" applyBorder="1" applyAlignment="1">
      <alignment horizontal="center" vertical="center"/>
    </xf>
    <xf numFmtId="0" fontId="36" fillId="8" borderId="11" xfId="55" applyFont="1" applyFill="1" applyBorder="1" applyAlignment="1">
      <alignment horizontal="center" vertical="center"/>
    </xf>
    <xf numFmtId="0" fontId="24" fillId="8" borderId="0" xfId="55" applyFill="1" applyAlignment="1">
      <alignment horizontal="right" vertical="center"/>
    </xf>
    <xf numFmtId="0" fontId="25" fillId="8" borderId="0" xfId="9" applyFont="1" applyFill="1" applyAlignment="1">
      <alignment vertical="center"/>
    </xf>
    <xf numFmtId="180" fontId="37" fillId="0" borderId="3" xfId="55" applyNumberFormat="1" applyFont="1" applyBorder="1" applyAlignment="1">
      <alignment horizontal="center" vertical="center"/>
    </xf>
    <xf numFmtId="0" fontId="36" fillId="8" borderId="6" xfId="55" applyFont="1" applyFill="1" applyBorder="1" applyAlignment="1">
      <alignment horizontal="center" vertical="center"/>
    </xf>
    <xf numFmtId="0" fontId="24" fillId="8" borderId="7" xfId="55" applyFill="1" applyBorder="1" applyAlignment="1">
      <alignment horizontal="right" vertical="center"/>
    </xf>
    <xf numFmtId="0" fontId="25" fillId="8" borderId="7" xfId="9" applyFont="1" applyFill="1" applyBorder="1" applyAlignment="1">
      <alignment vertical="center"/>
    </xf>
    <xf numFmtId="0" fontId="24" fillId="8" borderId="0" xfId="55" applyFill="1" applyAlignment="1">
      <alignment horizontal="center" vertical="center"/>
    </xf>
    <xf numFmtId="0" fontId="25" fillId="8" borderId="0" xfId="11" quotePrefix="1" applyFont="1" applyFill="1" applyAlignment="1">
      <alignment horizontal="right" vertical="center"/>
    </xf>
    <xf numFmtId="0" fontId="25" fillId="8" borderId="0" xfId="5" applyFont="1" applyFill="1" applyAlignment="1">
      <alignment vertical="center"/>
    </xf>
    <xf numFmtId="177" fontId="24" fillId="0" borderId="0" xfId="55" applyNumberFormat="1"/>
    <xf numFmtId="0" fontId="24" fillId="10" borderId="0" xfId="55" applyFill="1" applyAlignment="1">
      <alignment horizontal="center" vertical="center"/>
    </xf>
    <xf numFmtId="0" fontId="24" fillId="10" borderId="0" xfId="55" applyFill="1" applyAlignment="1">
      <alignment vertical="center"/>
    </xf>
    <xf numFmtId="177" fontId="24" fillId="10" borderId="0" xfId="55" applyNumberFormat="1" applyFill="1"/>
    <xf numFmtId="0" fontId="25" fillId="0" borderId="0" xfId="39490" applyFont="1" applyAlignment="1">
      <alignment horizontal="center"/>
    </xf>
    <xf numFmtId="0" fontId="25" fillId="0" borderId="0" xfId="39490" applyFont="1"/>
    <xf numFmtId="0" fontId="25" fillId="10" borderId="0" xfId="55" applyFont="1" applyFill="1" applyAlignment="1">
      <alignment vertical="center"/>
    </xf>
    <xf numFmtId="0" fontId="24" fillId="10" borderId="0" xfId="55" applyFill="1" applyAlignment="1">
      <alignment horizontal="left" vertical="center"/>
    </xf>
    <xf numFmtId="0" fontId="35" fillId="10" borderId="0" xfId="55" applyFont="1" applyFill="1" applyAlignment="1">
      <alignment horizontal="center" vertical="center"/>
    </xf>
    <xf numFmtId="0" fontId="88" fillId="10" borderId="0" xfId="55" applyFont="1" applyFill="1" applyAlignment="1">
      <alignment vertical="center"/>
    </xf>
    <xf numFmtId="0" fontId="25" fillId="0" borderId="0" xfId="11" applyFont="1" applyAlignment="1">
      <alignment horizontal="center"/>
    </xf>
    <xf numFmtId="0" fontId="25" fillId="0" borderId="0" xfId="55" applyFont="1"/>
    <xf numFmtId="0" fontId="25" fillId="0" borderId="0" xfId="9" applyFont="1" applyAlignment="1">
      <alignment vertical="center"/>
    </xf>
    <xf numFmtId="0" fontId="59" fillId="10" borderId="0" xfId="55" applyFont="1" applyFill="1" applyAlignment="1">
      <alignment horizontal="center"/>
    </xf>
    <xf numFmtId="0" fontId="37" fillId="10" borderId="0" xfId="8" applyFont="1" applyFill="1" applyAlignment="1">
      <alignment horizontal="right"/>
    </xf>
    <xf numFmtId="0" fontId="37" fillId="10" borderId="0" xfId="5" applyFont="1" applyFill="1" applyAlignment="1">
      <alignment vertical="center"/>
    </xf>
    <xf numFmtId="0" fontId="38" fillId="0" borderId="0" xfId="55" applyFont="1"/>
    <xf numFmtId="0" fontId="26" fillId="0" borderId="0" xfId="55" applyFont="1"/>
    <xf numFmtId="0" fontId="26" fillId="10" borderId="11" xfId="55" applyFont="1" applyFill="1" applyBorder="1"/>
    <xf numFmtId="0" fontId="26" fillId="10" borderId="11" xfId="55" applyFont="1" applyFill="1" applyBorder="1" applyAlignment="1">
      <alignment vertical="center"/>
    </xf>
    <xf numFmtId="0" fontId="24" fillId="10" borderId="11" xfId="55" applyFill="1" applyBorder="1" applyAlignment="1">
      <alignment horizontal="left" indent="1"/>
    </xf>
    <xf numFmtId="0" fontId="24" fillId="10" borderId="11" xfId="55" applyFill="1" applyBorder="1" applyAlignment="1">
      <alignment horizontal="left" indent="2"/>
    </xf>
    <xf numFmtId="4" fontId="24" fillId="10" borderId="11" xfId="8" applyNumberFormat="1" applyFill="1" applyBorder="1" applyAlignment="1">
      <alignment horizontal="left" vertical="center"/>
    </xf>
    <xf numFmtId="0" fontId="24" fillId="10" borderId="11" xfId="55" applyFill="1" applyBorder="1"/>
    <xf numFmtId="0" fontId="24" fillId="10" borderId="11" xfId="55" quotePrefix="1" applyFill="1" applyBorder="1" applyAlignment="1">
      <alignment horizontal="left" indent="2"/>
    </xf>
    <xf numFmtId="4" fontId="24" fillId="10" borderId="11" xfId="8" applyNumberFormat="1" applyFill="1" applyBorder="1" applyAlignment="1">
      <alignment vertical="center"/>
    </xf>
    <xf numFmtId="4" fontId="24" fillId="10" borderId="11" xfId="8" applyNumberFormat="1" applyFill="1" applyBorder="1"/>
    <xf numFmtId="4" fontId="24" fillId="10" borderId="11" xfId="8" applyNumberFormat="1" applyFill="1" applyBorder="1" applyAlignment="1">
      <alignment horizontal="right" vertical="center"/>
    </xf>
    <xf numFmtId="0" fontId="26" fillId="10" borderId="11" xfId="6" applyFont="1" applyFill="1" applyBorder="1" applyAlignment="1">
      <alignment vertical="center"/>
    </xf>
    <xf numFmtId="4" fontId="24" fillId="10" borderId="11" xfId="8" applyNumberFormat="1" applyFill="1" applyBorder="1" applyAlignment="1">
      <alignment horizontal="left"/>
    </xf>
    <xf numFmtId="4" fontId="24" fillId="10" borderId="6" xfId="8" applyNumberFormat="1" applyFill="1" applyBorder="1" applyAlignment="1">
      <alignment vertical="center"/>
    </xf>
    <xf numFmtId="4" fontId="24" fillId="0" borderId="11" xfId="8" applyNumberFormat="1" applyBorder="1" applyAlignment="1">
      <alignment horizontal="right"/>
    </xf>
    <xf numFmtId="4" fontId="63" fillId="10" borderId="11" xfId="8" applyNumberFormat="1" applyFont="1" applyFill="1" applyBorder="1" applyAlignment="1">
      <alignment vertical="center"/>
    </xf>
    <xf numFmtId="4" fontId="64" fillId="10" borderId="11" xfId="8" applyNumberFormat="1" applyFont="1" applyFill="1" applyBorder="1" applyAlignment="1">
      <alignment vertical="center"/>
    </xf>
    <xf numFmtId="0" fontId="24" fillId="10" borderId="11" xfId="6" applyFill="1" applyBorder="1" applyAlignment="1">
      <alignment vertical="center"/>
    </xf>
    <xf numFmtId="4" fontId="63" fillId="10" borderId="11" xfId="8" applyNumberFormat="1" applyFont="1" applyFill="1" applyBorder="1" applyAlignment="1">
      <alignment horizontal="left" vertical="center" indent="1"/>
    </xf>
    <xf numFmtId="0" fontId="24" fillId="10" borderId="11" xfId="6" applyFill="1" applyBorder="1" applyAlignment="1">
      <alignment horizontal="left" vertical="center" indent="1"/>
    </xf>
    <xf numFmtId="0" fontId="64" fillId="10" borderId="11" xfId="55" applyFont="1" applyFill="1" applyBorder="1"/>
    <xf numFmtId="4" fontId="63" fillId="10" borderId="11" xfId="8" applyNumberFormat="1" applyFont="1" applyFill="1" applyBorder="1" applyAlignment="1">
      <alignment vertical="center" wrapText="1"/>
    </xf>
    <xf numFmtId="4" fontId="63" fillId="10" borderId="6" xfId="8" applyNumberFormat="1" applyFont="1" applyFill="1" applyBorder="1" applyAlignment="1">
      <alignment vertical="center"/>
    </xf>
    <xf numFmtId="4" fontId="24" fillId="10" borderId="11" xfId="8" applyNumberFormat="1" applyFill="1" applyBorder="1" applyAlignment="1">
      <alignment horizontal="right"/>
    </xf>
    <xf numFmtId="0" fontId="26" fillId="10" borderId="11" xfId="6" applyFont="1" applyFill="1" applyBorder="1"/>
    <xf numFmtId="4" fontId="24" fillId="10" borderId="11" xfId="8" applyNumberFormat="1" applyFill="1" applyBorder="1" applyAlignment="1">
      <alignment horizontal="left" indent="1"/>
    </xf>
    <xf numFmtId="0" fontId="24" fillId="10" borderId="11" xfId="55" applyFill="1" applyBorder="1" applyAlignment="1">
      <alignment horizontal="left" wrapText="1" indent="1"/>
    </xf>
    <xf numFmtId="0" fontId="24" fillId="10" borderId="6" xfId="55" applyFill="1" applyBorder="1"/>
    <xf numFmtId="0" fontId="37" fillId="8" borderId="11" xfId="55" applyFont="1" applyFill="1" applyBorder="1" applyAlignment="1">
      <alignment horizontal="center" wrapText="1"/>
    </xf>
    <xf numFmtId="4" fontId="24" fillId="10" borderId="11" xfId="55" applyNumberFormat="1" applyFill="1" applyBorder="1" applyAlignment="1">
      <alignment horizontal="left" wrapText="1" indent="1"/>
    </xf>
    <xf numFmtId="0" fontId="24" fillId="10" borderId="11" xfId="55" applyFill="1" applyBorder="1" applyAlignment="1">
      <alignment wrapText="1"/>
    </xf>
    <xf numFmtId="4" fontId="24" fillId="10" borderId="11" xfId="8" applyNumberFormat="1" applyFill="1" applyBorder="1" applyAlignment="1">
      <alignment wrapText="1"/>
    </xf>
    <xf numFmtId="0" fontId="24" fillId="10" borderId="11" xfId="55" applyFill="1" applyBorder="1" applyAlignment="1">
      <alignment horizontal="left"/>
    </xf>
    <xf numFmtId="4" fontId="39" fillId="0" borderId="2" xfId="8" applyNumberFormat="1" applyFont="1" applyBorder="1" applyAlignment="1">
      <alignment horizontal="right"/>
    </xf>
    <xf numFmtId="179" fontId="37" fillId="0" borderId="10" xfId="55" applyNumberFormat="1" applyFont="1" applyBorder="1" applyAlignment="1">
      <alignment wrapText="1"/>
    </xf>
    <xf numFmtId="180" fontId="37" fillId="0" borderId="7" xfId="55" applyNumberFormat="1" applyFont="1" applyBorder="1" applyAlignment="1">
      <alignment horizontal="right" vertical="center"/>
    </xf>
    <xf numFmtId="178" fontId="37" fillId="8" borderId="6" xfId="55" applyNumberFormat="1" applyFont="1" applyFill="1" applyBorder="1" applyAlignment="1">
      <alignment horizontal="center" wrapText="1"/>
    </xf>
    <xf numFmtId="9" fontId="25" fillId="0" borderId="7" xfId="55" applyNumberFormat="1" applyFont="1" applyBorder="1" applyAlignment="1">
      <alignment horizontal="center" vertical="center"/>
    </xf>
    <xf numFmtId="0" fontId="37" fillId="0" borderId="0" xfId="55" applyFont="1" applyAlignment="1">
      <alignment horizontal="left"/>
    </xf>
    <xf numFmtId="0" fontId="84" fillId="0" borderId="0" xfId="55" applyFont="1" applyAlignment="1">
      <alignment horizontal="center"/>
    </xf>
    <xf numFmtId="0" fontId="34" fillId="0" borderId="20" xfId="6" applyFont="1" applyBorder="1" applyAlignment="1">
      <alignment horizontal="center" vertical="center" wrapText="1"/>
    </xf>
    <xf numFmtId="0" fontId="34" fillId="0" borderId="27" xfId="6" applyFont="1" applyBorder="1" applyAlignment="1">
      <alignment horizontal="center" vertical="center" wrapText="1"/>
    </xf>
    <xf numFmtId="179" fontId="37" fillId="10" borderId="10" xfId="55" applyNumberFormat="1" applyFont="1" applyFill="1" applyBorder="1" applyAlignment="1">
      <alignment wrapText="1"/>
    </xf>
    <xf numFmtId="179" fontId="37" fillId="10" borderId="11" xfId="55" applyNumberFormat="1" applyFont="1" applyFill="1" applyBorder="1" applyAlignment="1">
      <alignment horizontal="right" wrapText="1"/>
    </xf>
    <xf numFmtId="179" fontId="37" fillId="10" borderId="11" xfId="55" applyNumberFormat="1" applyFont="1" applyFill="1" applyBorder="1" applyAlignment="1">
      <alignment horizontal="right"/>
    </xf>
    <xf numFmtId="178" fontId="37" fillId="10" borderId="11" xfId="55" applyNumberFormat="1" applyFont="1" applyFill="1" applyBorder="1" applyAlignment="1">
      <alignment horizontal="center" wrapText="1"/>
    </xf>
    <xf numFmtId="178" fontId="37" fillId="10" borderId="10" xfId="55" applyNumberFormat="1" applyFont="1" applyFill="1" applyBorder="1" applyAlignment="1">
      <alignment horizontal="center" wrapText="1"/>
    </xf>
    <xf numFmtId="0" fontId="37" fillId="10" borderId="11" xfId="55" applyFont="1" applyFill="1" applyBorder="1" applyAlignment="1">
      <alignment horizontal="right" wrapText="1"/>
    </xf>
    <xf numFmtId="0" fontId="37" fillId="10" borderId="10" xfId="55" applyFont="1" applyFill="1" applyBorder="1" applyAlignment="1">
      <alignment wrapText="1"/>
    </xf>
    <xf numFmtId="0" fontId="37" fillId="8" borderId="10" xfId="55" applyFont="1" applyFill="1" applyBorder="1" applyAlignment="1">
      <alignment horizontal="center" wrapText="1"/>
    </xf>
    <xf numFmtId="180" fontId="59" fillId="10" borderId="0" xfId="55" applyNumberFormat="1" applyFont="1" applyFill="1" applyAlignment="1">
      <alignment horizontal="center" wrapText="1"/>
    </xf>
    <xf numFmtId="180" fontId="37" fillId="10" borderId="15" xfId="55" applyNumberFormat="1" applyFont="1" applyFill="1" applyBorder="1" applyAlignment="1">
      <alignment horizontal="center" wrapText="1"/>
    </xf>
    <xf numFmtId="180" fontId="37" fillId="10" borderId="6" xfId="55" applyNumberFormat="1" applyFont="1" applyFill="1" applyBorder="1" applyAlignment="1">
      <alignment horizontal="center" wrapText="1"/>
    </xf>
    <xf numFmtId="180" fontId="59" fillId="10" borderId="7" xfId="55" applyNumberFormat="1" applyFont="1" applyFill="1" applyBorder="1" applyAlignment="1">
      <alignment horizontal="center" wrapText="1"/>
    </xf>
    <xf numFmtId="180" fontId="37" fillId="10" borderId="9" xfId="55" applyNumberFormat="1" applyFont="1" applyFill="1" applyBorder="1" applyAlignment="1">
      <alignment horizontal="center" wrapText="1"/>
    </xf>
    <xf numFmtId="179" fontId="37" fillId="10" borderId="15" xfId="55" applyNumberFormat="1" applyFont="1" applyFill="1" applyBorder="1" applyAlignment="1">
      <alignment horizontal="center" wrapText="1"/>
    </xf>
    <xf numFmtId="0" fontId="140" fillId="10" borderId="9" xfId="55" applyFont="1" applyFill="1" applyBorder="1"/>
    <xf numFmtId="179" fontId="37" fillId="10" borderId="6" xfId="55" applyNumberFormat="1" applyFont="1" applyFill="1" applyBorder="1" applyAlignment="1">
      <alignment horizontal="center"/>
    </xf>
    <xf numFmtId="179" fontId="37" fillId="10" borderId="7" xfId="55" applyNumberFormat="1" applyFont="1" applyFill="1" applyBorder="1" applyAlignment="1">
      <alignment horizontal="center"/>
    </xf>
    <xf numFmtId="179" fontId="37" fillId="10" borderId="9" xfId="55" applyNumberFormat="1" applyFont="1" applyFill="1" applyBorder="1" applyAlignment="1">
      <alignment horizontal="center" wrapText="1"/>
    </xf>
    <xf numFmtId="179" fontId="101" fillId="10" borderId="11" xfId="55" applyNumberFormat="1" applyFont="1" applyFill="1" applyBorder="1" applyAlignment="1">
      <alignment horizontal="center"/>
    </xf>
    <xf numFmtId="179" fontId="101" fillId="10" borderId="10" xfId="55" applyNumberFormat="1" applyFont="1" applyFill="1" applyBorder="1" applyAlignment="1">
      <alignment horizontal="center"/>
    </xf>
    <xf numFmtId="179" fontId="101" fillId="10" borderId="15" xfId="55" applyNumberFormat="1" applyFont="1" applyFill="1" applyBorder="1" applyAlignment="1">
      <alignment horizontal="center" wrapText="1"/>
    </xf>
    <xf numFmtId="180" fontId="59" fillId="10" borderId="10" xfId="55" applyNumberFormat="1" applyFont="1" applyFill="1" applyBorder="1" applyAlignment="1">
      <alignment horizontal="center" wrapText="1"/>
    </xf>
    <xf numFmtId="4" fontId="105" fillId="10" borderId="10" xfId="8" applyNumberFormat="1" applyFont="1" applyFill="1" applyBorder="1" applyAlignment="1">
      <alignment horizontal="center"/>
    </xf>
    <xf numFmtId="4" fontId="63" fillId="10" borderId="10" xfId="8" applyNumberFormat="1" applyFont="1" applyFill="1" applyBorder="1" applyAlignment="1">
      <alignment horizontal="center"/>
    </xf>
    <xf numFmtId="0" fontId="25" fillId="0" borderId="1" xfId="0" applyFont="1" applyBorder="1"/>
    <xf numFmtId="0" fontId="24" fillId="0" borderId="1" xfId="0" applyFont="1" applyBorder="1"/>
    <xf numFmtId="0" fontId="0" fillId="0" borderId="1" xfId="0" applyBorder="1"/>
    <xf numFmtId="180" fontId="37" fillId="10" borderId="11" xfId="55" applyNumberFormat="1" applyFont="1" applyFill="1" applyBorder="1" applyAlignment="1">
      <alignment horizontal="center" wrapText="1"/>
    </xf>
    <xf numFmtId="4" fontId="24" fillId="10" borderId="11" xfId="8" applyNumberFormat="1" applyFill="1" applyBorder="1" applyAlignment="1">
      <alignment vertical="center" wrapText="1"/>
    </xf>
    <xf numFmtId="4" fontId="24" fillId="10" borderId="11" xfId="8" applyNumberFormat="1" applyFill="1" applyBorder="1" applyAlignment="1">
      <alignment horizontal="left" wrapText="1" indent="1"/>
    </xf>
    <xf numFmtId="179" fontId="34" fillId="0" borderId="4" xfId="55" applyNumberFormat="1" applyFont="1" applyBorder="1" applyAlignment="1" applyProtection="1">
      <alignment horizontal="center" vertical="center"/>
      <protection hidden="1"/>
    </xf>
    <xf numFmtId="179" fontId="34" fillId="0" borderId="8" xfId="55" applyNumberFormat="1" applyFont="1" applyBorder="1" applyAlignment="1" applyProtection="1">
      <alignment horizontal="center" vertical="center"/>
      <protection hidden="1"/>
    </xf>
    <xf numFmtId="4" fontId="108" fillId="10" borderId="10" xfId="0" applyNumberFormat="1" applyFont="1" applyFill="1" applyBorder="1" applyAlignment="1">
      <alignment horizontal="center"/>
    </xf>
    <xf numFmtId="4" fontId="91" fillId="10" borderId="10" xfId="0" applyNumberFormat="1" applyFont="1" applyFill="1" applyBorder="1" applyAlignment="1">
      <alignment horizontal="center" vertical="center"/>
    </xf>
    <xf numFmtId="0" fontId="139" fillId="47" borderId="0" xfId="55" applyFont="1" applyFill="1"/>
    <xf numFmtId="0" fontId="37" fillId="47" borderId="0" xfId="55" applyFont="1" applyFill="1"/>
    <xf numFmtId="0" fontId="37" fillId="5" borderId="0" xfId="5" applyFont="1" applyFill="1" applyAlignment="1">
      <alignment vertical="center"/>
    </xf>
    <xf numFmtId="0" fontId="37" fillId="3" borderId="63" xfId="55" applyFont="1" applyFill="1" applyBorder="1" applyAlignment="1">
      <alignment horizontal="center" vertical="center"/>
    </xf>
    <xf numFmtId="0" fontId="37" fillId="3" borderId="64" xfId="55" applyFont="1" applyFill="1" applyBorder="1" applyAlignment="1">
      <alignment horizontal="center" vertical="center"/>
    </xf>
    <xf numFmtId="178" fontId="37" fillId="3" borderId="65" xfId="55" applyNumberFormat="1" applyFont="1" applyFill="1" applyBorder="1" applyAlignment="1">
      <alignment horizontal="center" vertical="center" wrapText="1"/>
    </xf>
    <xf numFmtId="0" fontId="24" fillId="0" borderId="0" xfId="55" applyAlignment="1">
      <alignment vertical="center"/>
    </xf>
    <xf numFmtId="0" fontId="37" fillId="3" borderId="64" xfId="55" applyFont="1" applyFill="1" applyBorder="1" applyAlignment="1">
      <alignment horizontal="center" vertical="center" wrapText="1"/>
    </xf>
    <xf numFmtId="4" fontId="63" fillId="10" borderId="25" xfId="8" applyNumberFormat="1" applyFont="1" applyFill="1" applyBorder="1" applyAlignment="1">
      <alignment horizontal="left" vertical="top" indent="1"/>
    </xf>
    <xf numFmtId="0" fontId="63" fillId="10" borderId="23" xfId="6" applyFont="1" applyFill="1" applyBorder="1" applyAlignment="1">
      <alignment horizontal="center" vertical="top"/>
    </xf>
    <xf numFmtId="170" fontId="63" fillId="10" borderId="23" xfId="8" applyNumberFormat="1" applyFont="1" applyFill="1" applyBorder="1" applyAlignment="1">
      <alignment horizontal="center" vertical="top"/>
    </xf>
    <xf numFmtId="0" fontId="64" fillId="10" borderId="23" xfId="0" applyFont="1" applyFill="1" applyBorder="1" applyAlignment="1">
      <alignment horizontal="center" vertical="top"/>
    </xf>
    <xf numFmtId="170" fontId="63" fillId="10" borderId="23" xfId="8" applyNumberFormat="1" applyFont="1" applyFill="1" applyBorder="1" applyAlignment="1">
      <alignment horizontal="right" vertical="top"/>
    </xf>
    <xf numFmtId="0" fontId="63" fillId="10" borderId="23" xfId="0" applyFont="1" applyFill="1" applyBorder="1" applyAlignment="1">
      <alignment horizontal="center" vertical="top"/>
    </xf>
    <xf numFmtId="170" fontId="63" fillId="10" borderId="23" xfId="0" applyNumberFormat="1" applyFont="1" applyFill="1" applyBorder="1" applyAlignment="1">
      <alignment horizontal="center" vertical="top"/>
    </xf>
    <xf numFmtId="4" fontId="63" fillId="10" borderId="0" xfId="8" applyNumberFormat="1" applyFont="1" applyFill="1" applyAlignment="1">
      <alignment vertical="top"/>
    </xf>
    <xf numFmtId="170" fontId="63" fillId="10" borderId="23" xfId="0" applyNumberFormat="1" applyFont="1" applyFill="1" applyBorder="1" applyAlignment="1">
      <alignment horizontal="right" vertical="top"/>
    </xf>
    <xf numFmtId="170" fontId="63" fillId="10" borderId="53" xfId="8" applyNumberFormat="1" applyFont="1" applyFill="1" applyBorder="1" applyAlignment="1">
      <alignment horizontal="center" vertical="top"/>
    </xf>
    <xf numFmtId="0" fontId="64" fillId="10" borderId="25" xfId="0" applyFont="1" applyFill="1" applyBorder="1" applyAlignment="1">
      <alignment vertical="top"/>
    </xf>
    <xf numFmtId="4" fontId="63" fillId="10" borderId="25" xfId="8" applyNumberFormat="1" applyFont="1" applyFill="1" applyBorder="1" applyAlignment="1">
      <alignment vertical="top"/>
    </xf>
    <xf numFmtId="0" fontId="63" fillId="10" borderId="25" xfId="0" applyFont="1" applyFill="1" applyBorder="1" applyAlignment="1">
      <alignment vertical="top"/>
    </xf>
    <xf numFmtId="4" fontId="63" fillId="10" borderId="25" xfId="8" applyNumberFormat="1" applyFont="1" applyFill="1" applyBorder="1" applyAlignment="1">
      <alignment vertical="top" wrapText="1"/>
    </xf>
    <xf numFmtId="0" fontId="63" fillId="10" borderId="25" xfId="0" applyFont="1" applyFill="1" applyBorder="1" applyAlignment="1">
      <alignment horizontal="left" vertical="top" indent="1"/>
    </xf>
    <xf numFmtId="4" fontId="63" fillId="10" borderId="25" xfId="8" applyNumberFormat="1" applyFont="1" applyFill="1" applyBorder="1" applyAlignment="1">
      <alignment horizontal="left" vertical="top" wrapText="1" indent="1"/>
    </xf>
    <xf numFmtId="0" fontId="78" fillId="10" borderId="15" xfId="0" applyFont="1" applyFill="1" applyBorder="1" applyAlignment="1">
      <alignment vertical="center"/>
    </xf>
    <xf numFmtId="0" fontId="110" fillId="10" borderId="15" xfId="0" applyFont="1" applyFill="1" applyBorder="1" applyAlignment="1">
      <alignment vertical="center"/>
    </xf>
    <xf numFmtId="0" fontId="129" fillId="10" borderId="15" xfId="0" applyFont="1" applyFill="1" applyBorder="1" applyAlignment="1">
      <alignment horizontal="center" vertical="center"/>
    </xf>
    <xf numFmtId="0" fontId="34" fillId="27" borderId="0" xfId="0" applyFont="1" applyFill="1"/>
    <xf numFmtId="0" fontId="24" fillId="0" borderId="0" xfId="0" quotePrefix="1" applyFont="1"/>
    <xf numFmtId="0" fontId="143" fillId="0" borderId="0" xfId="0" applyFont="1"/>
    <xf numFmtId="0" fontId="141" fillId="0" borderId="0" xfId="0" applyFont="1"/>
    <xf numFmtId="0" fontId="142" fillId="27" borderId="0" xfId="0" applyFont="1" applyFill="1"/>
    <xf numFmtId="0" fontId="99" fillId="27" borderId="0" xfId="0" applyFont="1" applyFill="1"/>
    <xf numFmtId="0" fontId="37" fillId="27" borderId="0" xfId="0" applyFont="1" applyFill="1"/>
    <xf numFmtId="0" fontId="64" fillId="10" borderId="3" xfId="0" applyFont="1" applyFill="1" applyBorder="1" applyAlignment="1">
      <alignment vertical="center"/>
    </xf>
    <xf numFmtId="0" fontId="64" fillId="10" borderId="25" xfId="0" applyFont="1" applyFill="1" applyBorder="1"/>
    <xf numFmtId="4" fontId="105" fillId="10" borderId="2" xfId="8" applyNumberFormat="1" applyFont="1" applyFill="1" applyBorder="1" applyAlignment="1">
      <alignment vertical="center"/>
    </xf>
    <xf numFmtId="4" fontId="105" fillId="10" borderId="11" xfId="8" applyNumberFormat="1" applyFont="1" applyFill="1" applyBorder="1"/>
    <xf numFmtId="4" fontId="63" fillId="10" borderId="11" xfId="8" applyNumberFormat="1" applyFont="1" applyFill="1" applyBorder="1"/>
    <xf numFmtId="0" fontId="0" fillId="0" borderId="0" xfId="0" applyAlignment="1">
      <alignment horizontal="left" vertical="center"/>
    </xf>
    <xf numFmtId="0" fontId="144" fillId="10" borderId="0" xfId="6" applyFont="1" applyFill="1"/>
    <xf numFmtId="0" fontId="59" fillId="25" borderId="1" xfId="0" applyFont="1" applyFill="1" applyBorder="1" applyAlignment="1">
      <alignment horizontal="center" vertical="center"/>
    </xf>
    <xf numFmtId="0" fontId="59" fillId="20" borderId="1" xfId="0" applyFont="1" applyFill="1" applyBorder="1" applyAlignment="1">
      <alignment horizontal="center" vertical="center"/>
    </xf>
    <xf numFmtId="0" fontId="146" fillId="45" borderId="0" xfId="6" applyFont="1" applyFill="1" applyAlignment="1">
      <alignment horizontal="left" vertical="center"/>
    </xf>
    <xf numFmtId="0" fontId="142" fillId="45" borderId="0" xfId="11" applyFont="1" applyFill="1" applyAlignment="1">
      <alignment vertical="center"/>
    </xf>
    <xf numFmtId="172" fontId="142" fillId="45" borderId="0" xfId="3" applyNumberFormat="1" applyFont="1" applyFill="1" applyAlignment="1">
      <alignment horizontal="left" vertical="center"/>
    </xf>
    <xf numFmtId="171" fontId="142" fillId="45" borderId="0" xfId="3" applyNumberFormat="1" applyFont="1" applyFill="1" applyAlignment="1">
      <alignment horizontal="center" vertical="center"/>
    </xf>
    <xf numFmtId="172" fontId="142" fillId="45" borderId="0" xfId="11" applyNumberFormat="1" applyFont="1" applyFill="1" applyAlignment="1">
      <alignment horizontal="left" vertical="center"/>
    </xf>
    <xf numFmtId="2" fontId="123" fillId="45" borderId="0" xfId="6" applyNumberFormat="1" applyFont="1" applyFill="1"/>
    <xf numFmtId="0" fontId="99" fillId="48" borderId="0" xfId="0" applyFont="1" applyFill="1"/>
    <xf numFmtId="0" fontId="37" fillId="48" borderId="0" xfId="0" applyFont="1" applyFill="1"/>
    <xf numFmtId="0" fontId="119" fillId="49" borderId="0" xfId="0" applyFont="1" applyFill="1" applyAlignment="1">
      <alignment horizontal="left" vertical="center"/>
    </xf>
    <xf numFmtId="0" fontId="0" fillId="10" borderId="0" xfId="0" applyFill="1" applyAlignment="1">
      <alignment horizontal="left" vertical="center"/>
    </xf>
    <xf numFmtId="0" fontId="91" fillId="10" borderId="0" xfId="0" applyFont="1" applyFill="1" applyAlignment="1">
      <alignment vertical="center"/>
    </xf>
    <xf numFmtId="0" fontId="108" fillId="10" borderId="0" xfId="0" applyFont="1" applyFill="1"/>
    <xf numFmtId="0" fontId="59" fillId="10" borderId="0" xfId="8" applyFont="1" applyFill="1"/>
    <xf numFmtId="0" fontId="24" fillId="0" borderId="0" xfId="55" applyAlignment="1">
      <alignment wrapText="1"/>
    </xf>
    <xf numFmtId="4" fontId="33" fillId="35" borderId="59" xfId="0" applyNumberFormat="1" applyFont="1" applyFill="1" applyBorder="1" applyAlignment="1">
      <alignment horizontal="center" vertical="center"/>
    </xf>
    <xf numFmtId="0" fontId="25" fillId="10" borderId="0" xfId="11" quotePrefix="1" applyFont="1" applyFill="1" applyAlignment="1">
      <alignment horizontal="right" vertical="center"/>
    </xf>
    <xf numFmtId="0" fontId="147" fillId="0" borderId="0" xfId="55" applyFont="1"/>
    <xf numFmtId="0" fontId="148" fillId="0" borderId="0" xfId="55" applyFont="1"/>
    <xf numFmtId="177" fontId="148" fillId="0" borderId="0" xfId="55" applyNumberFormat="1" applyFont="1"/>
    <xf numFmtId="0" fontId="148" fillId="0" borderId="0" xfId="55" applyFont="1" applyAlignment="1">
      <alignment wrapText="1"/>
    </xf>
    <xf numFmtId="0" fontId="149" fillId="0" borderId="0" xfId="55" applyFont="1"/>
    <xf numFmtId="0" fontId="150" fillId="0" borderId="0" xfId="55" applyFont="1"/>
    <xf numFmtId="0" fontId="34" fillId="0" borderId="1" xfId="6" applyFont="1" applyBorder="1" applyAlignment="1">
      <alignment horizontal="center" vertical="center" wrapText="1"/>
    </xf>
    <xf numFmtId="0" fontId="25" fillId="10" borderId="0" xfId="5" applyFont="1" applyFill="1" applyAlignment="1">
      <alignment horizontal="left" vertical="center"/>
    </xf>
    <xf numFmtId="0" fontId="64" fillId="10" borderId="3" xfId="6" applyFont="1" applyFill="1" applyBorder="1" applyAlignment="1">
      <alignment horizontal="center" vertical="center"/>
    </xf>
    <xf numFmtId="0" fontId="36" fillId="10" borderId="15" xfId="55" applyFont="1" applyFill="1" applyBorder="1"/>
    <xf numFmtId="179" fontId="101" fillId="10" borderId="6" xfId="55" applyNumberFormat="1" applyFont="1" applyFill="1" applyBorder="1" applyAlignment="1">
      <alignment horizontal="center"/>
    </xf>
    <xf numFmtId="179" fontId="101" fillId="10" borderId="8" xfId="55" applyNumberFormat="1" applyFont="1" applyFill="1" applyBorder="1" applyAlignment="1">
      <alignment horizontal="center"/>
    </xf>
    <xf numFmtId="179" fontId="101" fillId="10" borderId="9" xfId="55" applyNumberFormat="1" applyFont="1" applyFill="1" applyBorder="1" applyAlignment="1">
      <alignment horizontal="center" wrapText="1"/>
    </xf>
    <xf numFmtId="0" fontId="25" fillId="10" borderId="0" xfId="8" quotePrefix="1" applyFont="1" applyFill="1" applyAlignment="1">
      <alignment horizontal="center"/>
    </xf>
    <xf numFmtId="0" fontId="113" fillId="10" borderId="0" xfId="8" applyFont="1" applyFill="1" applyAlignment="1">
      <alignment horizontal="center"/>
    </xf>
    <xf numFmtId="0" fontId="114" fillId="10" borderId="0" xfId="8" applyFont="1" applyFill="1" applyAlignment="1">
      <alignment horizontal="center"/>
    </xf>
    <xf numFmtId="0" fontId="59" fillId="10" borderId="0" xfId="8" applyFont="1" applyFill="1" applyAlignment="1">
      <alignment horizontal="left"/>
    </xf>
    <xf numFmtId="0" fontId="59" fillId="21" borderId="34" xfId="8" applyFont="1" applyFill="1" applyBorder="1" applyAlignment="1">
      <alignment horizontal="center" vertical="center"/>
    </xf>
    <xf numFmtId="0" fontId="113" fillId="21" borderId="1" xfId="8" applyFont="1" applyFill="1" applyBorder="1" applyAlignment="1">
      <alignment horizontal="center" vertical="center"/>
    </xf>
    <xf numFmtId="0" fontId="59" fillId="21" borderId="1" xfId="8" applyFont="1" applyFill="1" applyBorder="1" applyAlignment="1">
      <alignment horizontal="center" vertical="center"/>
    </xf>
    <xf numFmtId="0" fontId="140" fillId="10" borderId="15" xfId="55" applyFont="1" applyFill="1" applyBorder="1" applyAlignment="1">
      <alignment vertical="center"/>
    </xf>
    <xf numFmtId="179" fontId="37" fillId="10" borderId="11" xfId="55" applyNumberFormat="1" applyFont="1" applyFill="1" applyBorder="1" applyAlignment="1">
      <alignment horizontal="center" vertical="center"/>
    </xf>
    <xf numFmtId="179" fontId="37" fillId="10" borderId="10" xfId="55" applyNumberFormat="1" applyFont="1" applyFill="1" applyBorder="1" applyAlignment="1">
      <alignment horizontal="center" vertical="center"/>
    </xf>
    <xf numFmtId="179" fontId="37" fillId="10" borderId="15" xfId="55" applyNumberFormat="1" applyFont="1" applyFill="1" applyBorder="1" applyAlignment="1">
      <alignment horizontal="center" vertical="center" wrapText="1"/>
    </xf>
    <xf numFmtId="0" fontId="37" fillId="10" borderId="3" xfId="55" applyFont="1" applyFill="1" applyBorder="1" applyAlignment="1">
      <alignment horizontal="center" vertical="center" wrapText="1"/>
    </xf>
    <xf numFmtId="0" fontId="59" fillId="10" borderId="8" xfId="8" applyFont="1" applyFill="1" applyBorder="1" applyAlignment="1">
      <alignment horizontal="left" vertical="center" wrapText="1"/>
    </xf>
    <xf numFmtId="170" fontId="0" fillId="10" borderId="52" xfId="8" applyNumberFormat="1" applyFont="1" applyFill="1" applyBorder="1"/>
    <xf numFmtId="170" fontId="0" fillId="10" borderId="22" xfId="8" applyNumberFormat="1" applyFont="1" applyFill="1" applyBorder="1"/>
    <xf numFmtId="170" fontId="0" fillId="10" borderId="57" xfId="8" applyNumberFormat="1" applyFont="1" applyFill="1" applyBorder="1"/>
    <xf numFmtId="0" fontId="59" fillId="10" borderId="0" xfId="8" applyFont="1" applyFill="1" applyAlignment="1">
      <alignment horizontal="left" vertical="center" wrapText="1" indent="1"/>
    </xf>
    <xf numFmtId="0" fontId="59" fillId="10" borderId="7" xfId="55" applyFont="1" applyFill="1" applyBorder="1" applyAlignment="1">
      <alignment wrapText="1"/>
    </xf>
    <xf numFmtId="170" fontId="59" fillId="10" borderId="52" xfId="8" applyNumberFormat="1" applyFont="1" applyFill="1" applyBorder="1" applyAlignment="1">
      <alignment vertical="center"/>
    </xf>
    <xf numFmtId="170" fontId="59" fillId="10" borderId="57" xfId="8" applyNumberFormat="1" applyFont="1" applyFill="1" applyBorder="1" applyAlignment="1">
      <alignment vertical="top"/>
    </xf>
    <xf numFmtId="170" fontId="59" fillId="10" borderId="22" xfId="8" applyNumberFormat="1" applyFont="1" applyFill="1" applyBorder="1" applyAlignment="1">
      <alignment vertical="center"/>
    </xf>
    <xf numFmtId="179" fontId="37" fillId="10" borderId="0" xfId="55" applyNumberFormat="1" applyFont="1" applyFill="1" applyAlignment="1">
      <alignment horizontal="center" vertical="center"/>
    </xf>
    <xf numFmtId="0" fontId="37" fillId="10" borderId="0" xfId="55" applyFont="1" applyFill="1" applyAlignment="1">
      <alignment horizontal="center" vertical="center"/>
    </xf>
    <xf numFmtId="0" fontId="59" fillId="10" borderId="70" xfId="55" applyFont="1" applyFill="1" applyBorder="1" applyAlignment="1">
      <alignment horizontal="left" vertical="center" wrapText="1" indent="1"/>
    </xf>
    <xf numFmtId="4" fontId="24" fillId="7" borderId="52" xfId="8" applyNumberFormat="1" applyFill="1" applyBorder="1" applyAlignment="1">
      <alignment horizontal="center"/>
    </xf>
    <xf numFmtId="4" fontId="24" fillId="7" borderId="4" xfId="8" applyNumberFormat="1" applyFill="1" applyBorder="1" applyAlignment="1">
      <alignment horizontal="center"/>
    </xf>
    <xf numFmtId="4" fontId="24" fillId="7" borderId="57" xfId="8" applyNumberFormat="1" applyFill="1" applyBorder="1" applyAlignment="1">
      <alignment horizontal="center" vertical="center"/>
    </xf>
    <xf numFmtId="4" fontId="24" fillId="7" borderId="8" xfId="8" applyNumberFormat="1" applyFill="1" applyBorder="1" applyAlignment="1">
      <alignment horizontal="center" vertical="center"/>
    </xf>
    <xf numFmtId="170" fontId="63" fillId="10" borderId="22" xfId="8" applyNumberFormat="1" applyFont="1" applyFill="1" applyBorder="1" applyAlignment="1">
      <alignment horizontal="center" vertical="top"/>
    </xf>
    <xf numFmtId="0" fontId="63" fillId="10" borderId="23" xfId="8" applyFont="1" applyFill="1" applyBorder="1" applyAlignment="1">
      <alignment horizontal="right" vertical="top"/>
    </xf>
    <xf numFmtId="170" fontId="63" fillId="10" borderId="22" xfId="8" applyNumberFormat="1" applyFont="1" applyFill="1" applyBorder="1" applyAlignment="1">
      <alignment horizontal="right" vertical="top"/>
    </xf>
    <xf numFmtId="0" fontId="63" fillId="10" borderId="0" xfId="0" applyFont="1" applyFill="1" applyAlignment="1">
      <alignment vertical="top"/>
    </xf>
    <xf numFmtId="0" fontId="63" fillId="10" borderId="0" xfId="0" quotePrefix="1" applyFont="1" applyFill="1" applyAlignment="1">
      <alignment horizontal="left" vertical="top" indent="2"/>
    </xf>
    <xf numFmtId="0" fontId="63" fillId="10" borderId="0" xfId="0" applyFont="1" applyFill="1" applyAlignment="1">
      <alignment horizontal="left" vertical="top" indent="2"/>
    </xf>
    <xf numFmtId="4" fontId="105" fillId="10" borderId="4" xfId="8" applyNumberFormat="1" applyFont="1" applyFill="1" applyBorder="1" applyAlignment="1">
      <alignment horizontal="center" vertical="center"/>
    </xf>
    <xf numFmtId="0" fontId="63" fillId="10" borderId="22" xfId="6" applyFont="1" applyFill="1" applyBorder="1" applyAlignment="1">
      <alignment horizontal="center" vertical="top"/>
    </xf>
    <xf numFmtId="4" fontId="105" fillId="10" borderId="10" xfId="8" applyNumberFormat="1" applyFont="1" applyFill="1" applyBorder="1" applyAlignment="1">
      <alignment horizontal="center" vertical="center"/>
    </xf>
    <xf numFmtId="4" fontId="63" fillId="10" borderId="10" xfId="0" applyNumberFormat="1" applyFont="1" applyFill="1" applyBorder="1" applyAlignment="1">
      <alignment horizontal="center" vertical="center"/>
    </xf>
    <xf numFmtId="0" fontId="63" fillId="10" borderId="22" xfId="0" applyFont="1" applyFill="1" applyBorder="1" applyAlignment="1">
      <alignment horizontal="center" vertical="top"/>
    </xf>
    <xf numFmtId="170" fontId="64" fillId="10" borderId="23" xfId="0" applyNumberFormat="1" applyFont="1" applyFill="1" applyBorder="1" applyAlignment="1">
      <alignment horizontal="center" vertical="top"/>
    </xf>
    <xf numFmtId="4" fontId="63" fillId="10" borderId="10" xfId="8" applyNumberFormat="1" applyFont="1" applyFill="1" applyBorder="1" applyAlignment="1">
      <alignment horizontal="center" vertical="center"/>
    </xf>
    <xf numFmtId="170" fontId="63" fillId="10" borderId="57" xfId="8" applyNumberFormat="1" applyFont="1" applyFill="1" applyBorder="1" applyAlignment="1">
      <alignment horizontal="center" vertical="top"/>
    </xf>
    <xf numFmtId="4" fontId="63" fillId="10" borderId="8" xfId="0" applyNumberFormat="1" applyFont="1" applyFill="1" applyBorder="1" applyAlignment="1">
      <alignment horizontal="center" vertical="center"/>
    </xf>
    <xf numFmtId="0" fontId="63" fillId="10" borderId="23" xfId="6" applyFont="1" applyFill="1" applyBorder="1" applyAlignment="1">
      <alignment horizontal="right" vertical="top"/>
    </xf>
    <xf numFmtId="170" fontId="152" fillId="10" borderId="23" xfId="6" applyNumberFormat="1" applyFont="1" applyFill="1" applyBorder="1" applyAlignment="1">
      <alignment horizontal="right" vertical="top"/>
    </xf>
    <xf numFmtId="0" fontId="63" fillId="10" borderId="23" xfId="0" applyFont="1" applyFill="1" applyBorder="1" applyAlignment="1">
      <alignment horizontal="right" vertical="top"/>
    </xf>
    <xf numFmtId="0" fontId="105" fillId="10" borderId="15" xfId="0" quotePrefix="1" applyFont="1" applyFill="1" applyBorder="1" applyAlignment="1">
      <alignment horizontal="center" vertical="center"/>
    </xf>
    <xf numFmtId="0" fontId="64" fillId="10" borderId="25" xfId="0" applyFont="1" applyFill="1" applyBorder="1" applyAlignment="1">
      <alignment vertical="center"/>
    </xf>
    <xf numFmtId="0" fontId="64" fillId="10" borderId="25" xfId="6" applyFont="1" applyFill="1" applyBorder="1" applyAlignment="1">
      <alignment vertical="top"/>
    </xf>
    <xf numFmtId="4" fontId="63" fillId="10" borderId="25" xfId="8" applyNumberFormat="1" applyFont="1" applyFill="1" applyBorder="1" applyAlignment="1">
      <alignment horizontal="left" vertical="top"/>
    </xf>
    <xf numFmtId="4" fontId="63" fillId="10" borderId="61" xfId="8" applyNumberFormat="1" applyFont="1" applyFill="1" applyBorder="1" applyAlignment="1">
      <alignment horizontal="left" vertical="center"/>
    </xf>
    <xf numFmtId="0" fontId="63" fillId="10" borderId="25" xfId="0" applyFont="1" applyFill="1" applyBorder="1"/>
    <xf numFmtId="0" fontId="63" fillId="10" borderId="25" xfId="0" applyFont="1" applyFill="1" applyBorder="1" applyAlignment="1">
      <alignment horizontal="left" indent="1"/>
    </xf>
    <xf numFmtId="4" fontId="63" fillId="10" borderId="25" xfId="0" applyNumberFormat="1" applyFont="1" applyFill="1" applyBorder="1" applyAlignment="1">
      <alignment horizontal="left" vertical="top" indent="1"/>
    </xf>
    <xf numFmtId="0" fontId="63" fillId="10" borderId="25" xfId="0" quotePrefix="1" applyFont="1" applyFill="1" applyBorder="1" applyAlignment="1">
      <alignment horizontal="left" vertical="top" indent="2"/>
    </xf>
    <xf numFmtId="0" fontId="63" fillId="10" borderId="25" xfId="0" applyFont="1" applyFill="1" applyBorder="1" applyAlignment="1">
      <alignment horizontal="left" vertical="top" indent="2"/>
    </xf>
    <xf numFmtId="4" fontId="64" fillId="10" borderId="25" xfId="8" applyNumberFormat="1" applyFont="1" applyFill="1" applyBorder="1" applyAlignment="1">
      <alignment vertical="top"/>
    </xf>
    <xf numFmtId="4" fontId="105" fillId="10" borderId="11" xfId="8" applyNumberFormat="1" applyFont="1" applyFill="1" applyBorder="1" applyAlignment="1">
      <alignment vertical="center"/>
    </xf>
    <xf numFmtId="4" fontId="63" fillId="10" borderId="6" xfId="0" applyNumberFormat="1" applyFont="1" applyFill="1" applyBorder="1" applyAlignment="1">
      <alignment vertical="center"/>
    </xf>
    <xf numFmtId="0" fontId="64" fillId="10" borderId="2" xfId="6" applyFont="1" applyFill="1" applyBorder="1" applyAlignment="1">
      <alignment horizontal="center" vertical="center"/>
    </xf>
    <xf numFmtId="4" fontId="63" fillId="10" borderId="25" xfId="0" applyNumberFormat="1" applyFont="1" applyFill="1" applyBorder="1" applyAlignment="1">
      <alignment horizontal="left" vertical="top" wrapText="1" indent="1"/>
    </xf>
    <xf numFmtId="0" fontId="37" fillId="0" borderId="0" xfId="55" applyFont="1" applyAlignment="1">
      <alignment horizontal="left" vertical="center"/>
    </xf>
    <xf numFmtId="0" fontId="59" fillId="0" borderId="0" xfId="55" applyFont="1" applyAlignment="1">
      <alignment vertical="center"/>
    </xf>
    <xf numFmtId="0" fontId="59" fillId="0" borderId="0" xfId="55" applyFont="1" applyAlignment="1">
      <alignment horizontal="right" vertical="center"/>
    </xf>
    <xf numFmtId="177" fontId="24" fillId="0" borderId="0" xfId="55" applyNumberFormat="1" applyAlignment="1">
      <alignment vertical="center"/>
    </xf>
    <xf numFmtId="49" fontId="59" fillId="0" borderId="0" xfId="55" applyNumberFormat="1" applyFont="1" applyAlignment="1">
      <alignment horizontal="left" vertical="center"/>
    </xf>
    <xf numFmtId="49" fontId="59" fillId="0" borderId="0" xfId="55" applyNumberFormat="1" applyFont="1" applyAlignment="1">
      <alignment vertical="center"/>
    </xf>
    <xf numFmtId="0" fontId="138" fillId="0" borderId="0" xfId="55" applyFont="1" applyAlignment="1">
      <alignment vertical="center"/>
    </xf>
    <xf numFmtId="0" fontId="37" fillId="0" borderId="0" xfId="55" applyFont="1" applyAlignment="1">
      <alignment vertical="center"/>
    </xf>
    <xf numFmtId="177" fontId="59" fillId="0" borderId="0" xfId="55" applyNumberFormat="1" applyFont="1" applyAlignment="1">
      <alignment vertical="center"/>
    </xf>
    <xf numFmtId="0" fontId="139" fillId="0" borderId="0" xfId="55" applyFont="1" applyAlignment="1">
      <alignment vertical="center"/>
    </xf>
    <xf numFmtId="0" fontId="37" fillId="47" borderId="0" xfId="55" applyFont="1" applyFill="1" applyAlignment="1">
      <alignment vertical="center"/>
    </xf>
    <xf numFmtId="0" fontId="139" fillId="47" borderId="0" xfId="55" applyFont="1" applyFill="1" applyAlignment="1">
      <alignment vertical="center"/>
    </xf>
    <xf numFmtId="177" fontId="59" fillId="47" borderId="0" xfId="55" applyNumberFormat="1" applyFont="1" applyFill="1" applyAlignment="1">
      <alignment vertical="center"/>
    </xf>
    <xf numFmtId="0" fontId="64" fillId="10" borderId="3" xfId="0" applyFont="1" applyFill="1" applyBorder="1" applyAlignment="1">
      <alignment vertical="top"/>
    </xf>
    <xf numFmtId="2" fontId="34" fillId="10" borderId="1" xfId="11" applyNumberFormat="1" applyFont="1" applyFill="1" applyBorder="1" applyAlignment="1">
      <alignment horizontal="center"/>
    </xf>
    <xf numFmtId="175" fontId="37" fillId="10" borderId="1" xfId="11" applyNumberFormat="1" applyFont="1" applyFill="1" applyBorder="1" applyAlignment="1">
      <alignment horizontal="center" vertical="center"/>
    </xf>
    <xf numFmtId="2" fontId="113" fillId="10" borderId="0" xfId="11" quotePrefix="1" applyNumberFormat="1" applyFont="1" applyFill="1" applyAlignment="1">
      <alignment horizontal="right" vertical="center"/>
    </xf>
    <xf numFmtId="9" fontId="153" fillId="10" borderId="0" xfId="39492" applyFont="1" applyFill="1" applyBorder="1" applyAlignment="1">
      <alignment horizontal="left" vertical="center"/>
    </xf>
    <xf numFmtId="0" fontId="59" fillId="0" borderId="16" xfId="0" applyFont="1" applyBorder="1" applyAlignment="1">
      <alignment horizontal="center" vertical="center"/>
    </xf>
    <xf numFmtId="173" fontId="59" fillId="10" borderId="14" xfId="0" applyNumberFormat="1" applyFont="1" applyFill="1" applyBorder="1" applyAlignment="1">
      <alignment horizontal="center" vertical="center"/>
    </xf>
    <xf numFmtId="173" fontId="59" fillId="5" borderId="16" xfId="0" applyNumberFormat="1" applyFont="1" applyFill="1" applyBorder="1" applyAlignment="1">
      <alignment horizontal="center" vertical="center"/>
    </xf>
    <xf numFmtId="172" fontId="59" fillId="19" borderId="16" xfId="0" applyNumberFormat="1" applyFont="1" applyFill="1" applyBorder="1" applyAlignment="1">
      <alignment horizontal="left" vertical="center"/>
    </xf>
    <xf numFmtId="2" fontId="59" fillId="0" borderId="16" xfId="0" applyNumberFormat="1" applyFont="1" applyBorder="1" applyAlignment="1">
      <alignment vertical="center"/>
    </xf>
    <xf numFmtId="2" fontId="59" fillId="0" borderId="14" xfId="0" applyNumberFormat="1" applyFont="1" applyBorder="1" applyAlignment="1">
      <alignment vertical="center"/>
    </xf>
    <xf numFmtId="0" fontId="78" fillId="21" borderId="1" xfId="6" applyFont="1" applyFill="1" applyBorder="1"/>
    <xf numFmtId="0" fontId="78" fillId="39" borderId="0" xfId="6" applyFont="1" applyFill="1"/>
    <xf numFmtId="0" fontId="154" fillId="10" borderId="0" xfId="6" quotePrefix="1" applyFont="1" applyFill="1" applyAlignment="1">
      <alignment vertical="center"/>
    </xf>
    <xf numFmtId="0" fontId="155" fillId="0" borderId="0" xfId="0" applyFont="1" applyAlignment="1">
      <alignment horizontal="left" vertical="center"/>
    </xf>
    <xf numFmtId="0" fontId="85" fillId="21" borderId="0" xfId="39494" applyFont="1" applyFill="1"/>
    <xf numFmtId="173" fontId="37" fillId="10" borderId="39" xfId="11" applyNumberFormat="1" applyFont="1" applyFill="1" applyBorder="1" applyAlignment="1">
      <alignment horizontal="center" vertical="center"/>
    </xf>
    <xf numFmtId="0" fontId="24" fillId="10" borderId="42" xfId="11" applyFill="1" applyBorder="1" applyAlignment="1">
      <alignment horizontal="center" vertical="center"/>
    </xf>
    <xf numFmtId="0" fontId="123" fillId="22" borderId="46" xfId="11" applyFont="1" applyFill="1" applyBorder="1" applyAlignment="1">
      <alignment horizontal="center" vertical="center"/>
    </xf>
    <xf numFmtId="0" fontId="63" fillId="10" borderId="46" xfId="11" applyFont="1" applyFill="1" applyBorder="1" applyAlignment="1">
      <alignment horizontal="center" vertical="center"/>
    </xf>
    <xf numFmtId="2" fontId="145" fillId="10" borderId="47" xfId="11" applyNumberFormat="1" applyFont="1" applyFill="1" applyBorder="1" applyAlignment="1">
      <alignment horizontal="left" vertical="center" indent="1"/>
    </xf>
    <xf numFmtId="10" fontId="97" fillId="21" borderId="35" xfId="179" applyNumberFormat="1" applyFont="1" applyFill="1" applyBorder="1" applyAlignment="1">
      <alignment horizontal="left" vertical="center" indent="1"/>
    </xf>
    <xf numFmtId="0" fontId="157" fillId="10" borderId="0" xfId="0" applyFont="1" applyFill="1" applyAlignment="1">
      <alignment horizontal="left" vertical="center"/>
    </xf>
    <xf numFmtId="0" fontId="130" fillId="10" borderId="0" xfId="0" applyFont="1" applyFill="1" applyAlignment="1">
      <alignment horizontal="left" vertical="center"/>
    </xf>
    <xf numFmtId="10" fontId="158" fillId="10" borderId="0" xfId="179" applyNumberFormat="1" applyFont="1" applyFill="1" applyAlignment="1">
      <alignment horizontal="left" vertical="center"/>
    </xf>
    <xf numFmtId="0" fontId="63" fillId="10" borderId="25" xfId="0" applyFont="1" applyFill="1" applyBorder="1" applyAlignment="1">
      <alignment vertical="top" wrapText="1"/>
    </xf>
    <xf numFmtId="0" fontId="63" fillId="10" borderId="0" xfId="0" applyFont="1" applyFill="1" applyAlignment="1">
      <alignment vertical="top" wrapText="1"/>
    </xf>
    <xf numFmtId="0" fontId="36" fillId="10" borderId="15" xfId="55" applyFont="1" applyFill="1" applyBorder="1" applyAlignment="1">
      <alignment horizontal="left" vertical="center"/>
    </xf>
    <xf numFmtId="170" fontId="0" fillId="10" borderId="22" xfId="8" applyNumberFormat="1" applyFont="1" applyFill="1" applyBorder="1" applyAlignment="1">
      <alignment horizontal="left" vertical="center"/>
    </xf>
    <xf numFmtId="179" fontId="101" fillId="10" borderId="11" xfId="55" applyNumberFormat="1" applyFont="1" applyFill="1" applyBorder="1" applyAlignment="1">
      <alignment horizontal="left" vertical="center"/>
    </xf>
    <xf numFmtId="179" fontId="101" fillId="10" borderId="10" xfId="55" applyNumberFormat="1" applyFont="1" applyFill="1" applyBorder="1" applyAlignment="1">
      <alignment horizontal="left" vertical="center"/>
    </xf>
    <xf numFmtId="179" fontId="101" fillId="10" borderId="15" xfId="55" applyNumberFormat="1" applyFont="1" applyFill="1" applyBorder="1" applyAlignment="1">
      <alignment horizontal="left" vertical="center" wrapText="1"/>
    </xf>
    <xf numFmtId="0" fontId="24" fillId="0" borderId="0" xfId="55" applyAlignment="1">
      <alignment horizontal="left" vertical="center"/>
    </xf>
    <xf numFmtId="0" fontId="94" fillId="13" borderId="0" xfId="6" applyFont="1" applyFill="1"/>
    <xf numFmtId="2" fontId="78" fillId="12" borderId="0" xfId="6" applyNumberFormat="1" applyFont="1" applyFill="1"/>
    <xf numFmtId="173" fontId="78" fillId="12" borderId="0" xfId="3" applyNumberFormat="1" applyFont="1" applyFill="1" applyAlignment="1">
      <alignment horizontal="center"/>
    </xf>
    <xf numFmtId="0" fontId="94" fillId="11" borderId="0" xfId="11" applyFont="1" applyFill="1"/>
    <xf numFmtId="172" fontId="96" fillId="49" borderId="0" xfId="3" applyNumberFormat="1" applyFont="1" applyFill="1" applyAlignment="1">
      <alignment horizontal="center"/>
    </xf>
    <xf numFmtId="173" fontId="90" fillId="10" borderId="0" xfId="3" applyNumberFormat="1" applyFont="1" applyFill="1" applyAlignment="1">
      <alignment horizontal="center" vertical="center"/>
    </xf>
    <xf numFmtId="172" fontId="91" fillId="39" borderId="0" xfId="3" applyNumberFormat="1" applyFont="1" applyFill="1" applyAlignment="1">
      <alignment horizontal="left"/>
    </xf>
    <xf numFmtId="173" fontId="90" fillId="21" borderId="0" xfId="3" applyNumberFormat="1" applyFont="1" applyFill="1" applyAlignment="1">
      <alignment horizontal="center"/>
    </xf>
    <xf numFmtId="0" fontId="94" fillId="13" borderId="0" xfId="11" applyFont="1" applyFill="1"/>
    <xf numFmtId="0" fontId="132" fillId="10" borderId="15" xfId="0" applyFont="1" applyFill="1" applyBorder="1" applyAlignment="1">
      <alignment horizontal="center" vertical="center"/>
    </xf>
    <xf numFmtId="170" fontId="36" fillId="21" borderId="5" xfId="8" applyNumberFormat="1" applyFont="1" applyFill="1" applyBorder="1" applyAlignment="1">
      <alignment horizontal="center" vertical="center"/>
    </xf>
    <xf numFmtId="0" fontId="94" fillId="29" borderId="0" xfId="11" applyFont="1" applyFill="1"/>
    <xf numFmtId="0" fontId="94" fillId="50" borderId="0" xfId="6" applyFont="1" applyFill="1"/>
    <xf numFmtId="0" fontId="0" fillId="10" borderId="0" xfId="0" applyFill="1" applyAlignment="1" applyProtection="1">
      <alignment horizontal="center" vertical="center"/>
      <protection hidden="1"/>
    </xf>
    <xf numFmtId="0" fontId="94" fillId="11" borderId="0" xfId="6" applyFont="1" applyFill="1"/>
    <xf numFmtId="0" fontId="78" fillId="5" borderId="0" xfId="6" applyFont="1" applyFill="1"/>
    <xf numFmtId="2" fontId="78" fillId="41" borderId="0" xfId="6" applyNumberFormat="1" applyFont="1" applyFill="1"/>
    <xf numFmtId="0" fontId="78" fillId="51" borderId="0" xfId="0" applyFont="1" applyFill="1"/>
    <xf numFmtId="0" fontId="94" fillId="51" borderId="0" xfId="0" applyFont="1" applyFill="1"/>
    <xf numFmtId="2" fontId="105" fillId="10" borderId="0" xfId="6" applyNumberFormat="1" applyFont="1" applyFill="1" applyAlignment="1">
      <alignment horizontal="left" vertical="center"/>
    </xf>
    <xf numFmtId="2" fontId="159" fillId="10" borderId="0" xfId="6" applyNumberFormat="1" applyFont="1" applyFill="1" applyAlignment="1">
      <alignment horizontal="left" vertical="center"/>
    </xf>
    <xf numFmtId="0" fontId="94" fillId="52" borderId="0" xfId="6" applyFont="1" applyFill="1"/>
    <xf numFmtId="0" fontId="94" fillId="5" borderId="0" xfId="6" applyFont="1" applyFill="1" applyAlignment="1">
      <alignment vertical="center"/>
    </xf>
    <xf numFmtId="0" fontId="78" fillId="5" borderId="0" xfId="11" applyFont="1" applyFill="1" applyAlignment="1">
      <alignment horizontal="left" vertical="center"/>
    </xf>
    <xf numFmtId="173" fontId="78" fillId="5" borderId="0" xfId="3" applyNumberFormat="1" applyFont="1" applyFill="1" applyAlignment="1">
      <alignment horizontal="center" vertical="center"/>
    </xf>
    <xf numFmtId="172" fontId="96" fillId="5" borderId="0" xfId="3" applyNumberFormat="1" applyFont="1" applyFill="1" applyAlignment="1">
      <alignment horizontal="center" vertical="center"/>
    </xf>
    <xf numFmtId="171" fontId="78" fillId="5" borderId="0" xfId="3" applyNumberFormat="1" applyFont="1" applyFill="1" applyAlignment="1">
      <alignment horizontal="center" vertical="center"/>
    </xf>
    <xf numFmtId="172" fontId="78" fillId="5" borderId="0" xfId="11" applyNumberFormat="1" applyFont="1" applyFill="1" applyAlignment="1">
      <alignment horizontal="left" vertical="center"/>
    </xf>
    <xf numFmtId="0" fontId="78" fillId="5" borderId="0" xfId="11" applyFont="1" applyFill="1" applyAlignment="1">
      <alignment vertical="center"/>
    </xf>
    <xf numFmtId="0" fontId="24" fillId="5" borderId="0" xfId="0" applyFont="1" applyFill="1" applyAlignment="1">
      <alignment vertical="center"/>
    </xf>
    <xf numFmtId="173" fontId="78" fillId="26" borderId="0" xfId="3" applyNumberFormat="1" applyFont="1" applyFill="1" applyAlignment="1">
      <alignment horizontal="center"/>
    </xf>
    <xf numFmtId="173" fontId="78" fillId="26" borderId="0" xfId="3" applyNumberFormat="1" applyFont="1" applyFill="1" applyAlignment="1">
      <alignment horizontal="center" vertical="center"/>
    </xf>
    <xf numFmtId="173" fontId="78" fillId="49" borderId="0" xfId="3" applyNumberFormat="1" applyFont="1" applyFill="1" applyAlignment="1">
      <alignment horizontal="center"/>
    </xf>
    <xf numFmtId="173" fontId="24" fillId="49" borderId="0" xfId="0" applyNumberFormat="1" applyFont="1" applyFill="1" applyAlignment="1">
      <alignment horizontal="right"/>
    </xf>
    <xf numFmtId="171" fontId="78" fillId="5" borderId="0" xfId="3" applyNumberFormat="1" applyFont="1" applyFill="1" applyBorder="1" applyAlignment="1">
      <alignment horizontal="center" vertical="center"/>
    </xf>
    <xf numFmtId="0" fontId="24" fillId="5" borderId="0" xfId="0" applyFont="1" applyFill="1"/>
    <xf numFmtId="173" fontId="78" fillId="10" borderId="0" xfId="3" applyNumberFormat="1" applyFont="1" applyFill="1" applyAlignment="1">
      <alignment horizontal="center" wrapText="1"/>
    </xf>
    <xf numFmtId="0" fontId="94" fillId="5" borderId="0" xfId="11" applyFont="1" applyFill="1"/>
    <xf numFmtId="0" fontId="78" fillId="13" borderId="0" xfId="6" applyFont="1" applyFill="1" applyAlignment="1">
      <alignment horizontal="left"/>
    </xf>
    <xf numFmtId="176" fontId="78" fillId="13" borderId="0" xfId="3" applyNumberFormat="1" applyFont="1" applyFill="1" applyAlignment="1">
      <alignment horizontal="center"/>
    </xf>
    <xf numFmtId="0" fontId="78" fillId="29" borderId="0" xfId="6" applyFont="1" applyFill="1" applyAlignment="1">
      <alignment horizontal="left"/>
    </xf>
    <xf numFmtId="176" fontId="78" fillId="29" borderId="0" xfId="3" applyNumberFormat="1" applyFont="1" applyFill="1" applyAlignment="1">
      <alignment horizontal="center"/>
    </xf>
    <xf numFmtId="172" fontId="96" fillId="29" borderId="0" xfId="3" applyNumberFormat="1" applyFont="1" applyFill="1" applyAlignment="1">
      <alignment horizontal="center"/>
    </xf>
    <xf numFmtId="173" fontId="78" fillId="41" borderId="0" xfId="3" applyNumberFormat="1" applyFont="1" applyFill="1" applyAlignment="1">
      <alignment horizontal="center"/>
    </xf>
    <xf numFmtId="0" fontId="25" fillId="53" borderId="0" xfId="11" applyFont="1" applyFill="1"/>
    <xf numFmtId="171" fontId="90" fillId="0" borderId="0" xfId="3" applyNumberFormat="1" applyFont="1" applyFill="1" applyAlignment="1">
      <alignment horizontal="center" vertical="center"/>
    </xf>
    <xf numFmtId="0" fontId="25" fillId="54" borderId="0" xfId="6" applyFont="1" applyFill="1"/>
    <xf numFmtId="171" fontId="78" fillId="13" borderId="0" xfId="3" applyNumberFormat="1" applyFont="1" applyFill="1" applyAlignment="1">
      <alignment horizontal="center" vertical="center"/>
    </xf>
    <xf numFmtId="0" fontId="161" fillId="10" borderId="0" xfId="6" applyFont="1" applyFill="1"/>
    <xf numFmtId="0" fontId="94" fillId="52" borderId="0" xfId="11" applyFont="1" applyFill="1"/>
    <xf numFmtId="0" fontId="78" fillId="10" borderId="0" xfId="6" quotePrefix="1" applyFont="1" applyFill="1" applyAlignment="1">
      <alignment horizontal="left"/>
    </xf>
    <xf numFmtId="0" fontId="25" fillId="10" borderId="0" xfId="0" applyFont="1" applyFill="1" applyAlignment="1">
      <alignment horizontal="left" vertical="center"/>
    </xf>
    <xf numFmtId="2" fontId="123" fillId="55" borderId="0" xfId="6" applyNumberFormat="1" applyFont="1" applyFill="1"/>
    <xf numFmtId="0" fontId="78" fillId="56" borderId="0" xfId="6" applyFont="1" applyFill="1" applyAlignment="1">
      <alignment horizontal="left"/>
    </xf>
    <xf numFmtId="176" fontId="78" fillId="56" borderId="0" xfId="3" applyNumberFormat="1" applyFont="1" applyFill="1" applyAlignment="1">
      <alignment horizontal="center"/>
    </xf>
    <xf numFmtId="4" fontId="63" fillId="10" borderId="7" xfId="8" applyNumberFormat="1" applyFont="1" applyFill="1" applyBorder="1" applyAlignment="1">
      <alignment horizontal="right"/>
    </xf>
    <xf numFmtId="4" fontId="63" fillId="10" borderId="8" xfId="0" applyNumberFormat="1" applyFont="1" applyFill="1" applyBorder="1" applyAlignment="1">
      <alignment horizontal="center"/>
    </xf>
    <xf numFmtId="0" fontId="63" fillId="10" borderId="25" xfId="0" applyFont="1" applyFill="1" applyBorder="1" applyAlignment="1">
      <alignment horizontal="left" vertical="top"/>
    </xf>
    <xf numFmtId="4" fontId="63" fillId="10" borderId="25" xfId="8" applyNumberFormat="1" applyFont="1" applyFill="1" applyBorder="1" applyAlignment="1">
      <alignment vertical="center"/>
    </xf>
    <xf numFmtId="0" fontId="63" fillId="10" borderId="25" xfId="6" applyFont="1" applyFill="1" applyBorder="1" applyAlignment="1">
      <alignment vertical="top"/>
    </xf>
    <xf numFmtId="0" fontId="63" fillId="10" borderId="25" xfId="6" applyFont="1" applyFill="1" applyBorder="1" applyAlignment="1">
      <alignment horizontal="left" vertical="top" indent="1"/>
    </xf>
    <xf numFmtId="0" fontId="63" fillId="10" borderId="25" xfId="6" applyFont="1" applyFill="1" applyBorder="1" applyAlignment="1">
      <alignment vertical="top" wrapText="1"/>
    </xf>
    <xf numFmtId="165" fontId="119" fillId="10" borderId="2" xfId="8" applyNumberFormat="1" applyFont="1" applyFill="1" applyBorder="1" applyAlignment="1">
      <alignment vertical="center"/>
    </xf>
    <xf numFmtId="165" fontId="119" fillId="10" borderId="4" xfId="8" applyNumberFormat="1" applyFont="1" applyFill="1" applyBorder="1" applyAlignment="1">
      <alignment horizontal="center" vertical="center"/>
    </xf>
    <xf numFmtId="165" fontId="119" fillId="10" borderId="11" xfId="8" applyNumberFormat="1" applyFont="1" applyFill="1" applyBorder="1"/>
    <xf numFmtId="165" fontId="119" fillId="10" borderId="10" xfId="8" applyNumberFormat="1" applyFont="1" applyFill="1" applyBorder="1" applyAlignment="1">
      <alignment horizontal="center"/>
    </xf>
    <xf numFmtId="165" fontId="98" fillId="10" borderId="10" xfId="0" applyNumberFormat="1" applyFont="1" applyFill="1" applyBorder="1" applyAlignment="1">
      <alignment horizontal="center"/>
    </xf>
    <xf numFmtId="165" fontId="98" fillId="10" borderId="11" xfId="8" applyNumberFormat="1" applyFont="1" applyFill="1" applyBorder="1"/>
    <xf numFmtId="165" fontId="98" fillId="10" borderId="10" xfId="8" applyNumberFormat="1" applyFont="1" applyFill="1" applyBorder="1" applyAlignment="1">
      <alignment horizontal="center"/>
    </xf>
    <xf numFmtId="165" fontId="98" fillId="10" borderId="6" xfId="0" applyNumberFormat="1" applyFont="1" applyFill="1" applyBorder="1"/>
    <xf numFmtId="165" fontId="98" fillId="10" borderId="8" xfId="0" applyNumberFormat="1" applyFont="1" applyFill="1" applyBorder="1" applyAlignment="1">
      <alignment horizontal="center"/>
    </xf>
    <xf numFmtId="165" fontId="119" fillId="10" borderId="11" xfId="8" applyNumberFormat="1" applyFont="1" applyFill="1" applyBorder="1" applyAlignment="1">
      <alignment vertical="center"/>
    </xf>
    <xf numFmtId="165" fontId="119" fillId="10" borderId="10" xfId="8" applyNumberFormat="1" applyFont="1" applyFill="1" applyBorder="1" applyAlignment="1">
      <alignment horizontal="center" vertical="center"/>
    </xf>
    <xf numFmtId="165" fontId="98" fillId="10" borderId="10" xfId="0" applyNumberFormat="1" applyFont="1" applyFill="1" applyBorder="1" applyAlignment="1">
      <alignment horizontal="center" vertical="center"/>
    </xf>
    <xf numFmtId="165" fontId="98" fillId="10" borderId="11" xfId="8" applyNumberFormat="1" applyFont="1" applyFill="1" applyBorder="1" applyAlignment="1">
      <alignment vertical="center"/>
    </xf>
    <xf numFmtId="165" fontId="98" fillId="10" borderId="10" xfId="8" applyNumberFormat="1" applyFont="1" applyFill="1" applyBorder="1" applyAlignment="1">
      <alignment horizontal="center" vertical="center"/>
    </xf>
    <xf numFmtId="165" fontId="98" fillId="10" borderId="6" xfId="0" applyNumberFormat="1" applyFont="1" applyFill="1" applyBorder="1" applyAlignment="1">
      <alignment vertical="center"/>
    </xf>
    <xf numFmtId="165" fontId="98" fillId="10" borderId="8" xfId="0" applyNumberFormat="1" applyFont="1" applyFill="1" applyBorder="1" applyAlignment="1">
      <alignment horizontal="center" vertical="center"/>
    </xf>
    <xf numFmtId="165" fontId="24" fillId="10" borderId="0" xfId="55" applyNumberFormat="1" applyFill="1"/>
    <xf numFmtId="4" fontId="100" fillId="10" borderId="25" xfId="0" applyNumberFormat="1" applyFont="1" applyFill="1" applyBorder="1" applyAlignment="1">
      <alignment horizontal="right"/>
    </xf>
    <xf numFmtId="4" fontId="100" fillId="10" borderId="24" xfId="0" applyNumberFormat="1" applyFont="1" applyFill="1" applyBorder="1" applyAlignment="1">
      <alignment horizontal="right"/>
    </xf>
    <xf numFmtId="0" fontId="162" fillId="0" borderId="0" xfId="55" applyFont="1"/>
    <xf numFmtId="0" fontId="164" fillId="0" borderId="0" xfId="55" applyFont="1"/>
    <xf numFmtId="177" fontId="164" fillId="0" borderId="0" xfId="55" applyNumberFormat="1" applyFont="1"/>
    <xf numFmtId="0" fontId="165" fillId="0" borderId="0" xfId="55" applyFont="1"/>
    <xf numFmtId="0" fontId="166" fillId="0" borderId="0" xfId="55" applyFont="1"/>
    <xf numFmtId="0" fontId="105" fillId="21" borderId="0" xfId="6" applyFont="1" applyFill="1" applyAlignment="1">
      <alignment horizontal="left"/>
    </xf>
    <xf numFmtId="0" fontId="94" fillId="21" borderId="0" xfId="11" applyFont="1" applyFill="1"/>
    <xf numFmtId="9" fontId="59" fillId="21" borderId="53" xfId="179" applyFont="1" applyFill="1" applyBorder="1" applyAlignment="1">
      <alignment horizontal="center" vertical="center"/>
    </xf>
    <xf numFmtId="9" fontId="59" fillId="21" borderId="60" xfId="179" applyFont="1" applyFill="1" applyBorder="1" applyAlignment="1">
      <alignment horizontal="center" vertical="center"/>
    </xf>
    <xf numFmtId="9" fontId="98" fillId="21" borderId="60" xfId="179" applyFont="1" applyFill="1" applyBorder="1" applyAlignment="1">
      <alignment horizontal="center" vertical="center"/>
    </xf>
    <xf numFmtId="10" fontId="97" fillId="21" borderId="56" xfId="179" applyNumberFormat="1" applyFont="1" applyFill="1" applyBorder="1" applyAlignment="1">
      <alignment horizontal="left" vertical="center" indent="1"/>
    </xf>
    <xf numFmtId="165" fontId="34" fillId="0" borderId="4" xfId="55" applyNumberFormat="1" applyFont="1" applyBorder="1" applyAlignment="1" applyProtection="1">
      <alignment horizontal="center" vertical="center"/>
      <protection hidden="1"/>
    </xf>
    <xf numFmtId="165" fontId="34" fillId="0" borderId="8" xfId="55" applyNumberFormat="1" applyFont="1" applyBorder="1" applyAlignment="1" applyProtection="1">
      <alignment horizontal="center" vertical="center"/>
      <protection hidden="1"/>
    </xf>
    <xf numFmtId="0" fontId="94" fillId="36" borderId="0" xfId="6" applyFont="1" applyFill="1"/>
    <xf numFmtId="0" fontId="78" fillId="36" borderId="0" xfId="6" applyFont="1" applyFill="1"/>
    <xf numFmtId="0" fontId="94" fillId="32" borderId="0" xfId="6" applyFont="1" applyFill="1"/>
    <xf numFmtId="0" fontId="78" fillId="32" borderId="0" xfId="6" applyFont="1" applyFill="1"/>
    <xf numFmtId="0" fontId="94" fillId="0" borderId="0" xfId="6" applyFont="1"/>
    <xf numFmtId="0" fontId="78" fillId="0" borderId="0" xfId="6" applyFont="1"/>
    <xf numFmtId="0" fontId="94" fillId="54" borderId="0" xfId="6" applyFont="1" applyFill="1"/>
    <xf numFmtId="2" fontId="105" fillId="10" borderId="0" xfId="6" applyNumberFormat="1" applyFont="1" applyFill="1"/>
    <xf numFmtId="0" fontId="94" fillId="49" borderId="0" xfId="6" applyFont="1" applyFill="1"/>
    <xf numFmtId="0" fontId="0" fillId="5" borderId="0" xfId="0" applyFill="1"/>
    <xf numFmtId="2" fontId="123" fillId="57" borderId="0" xfId="6" applyNumberFormat="1" applyFont="1" applyFill="1"/>
    <xf numFmtId="0" fontId="94" fillId="58" borderId="0" xfId="6" applyFont="1" applyFill="1"/>
    <xf numFmtId="0" fontId="123" fillId="58" borderId="0" xfId="6" applyFont="1" applyFill="1" applyAlignment="1">
      <alignment wrapText="1"/>
    </xf>
    <xf numFmtId="0" fontId="94" fillId="29" borderId="0" xfId="6" applyFont="1" applyFill="1"/>
    <xf numFmtId="0" fontId="94" fillId="49" borderId="0" xfId="11" applyFont="1" applyFill="1"/>
    <xf numFmtId="0" fontId="94" fillId="59" borderId="0" xfId="6" applyFont="1" applyFill="1"/>
    <xf numFmtId="0" fontId="94" fillId="60" borderId="0" xfId="6" applyFont="1" applyFill="1"/>
    <xf numFmtId="0" fontId="94" fillId="61" borderId="0" xfId="6" applyFont="1" applyFill="1"/>
    <xf numFmtId="0" fontId="78" fillId="5" borderId="24" xfId="11" applyFont="1" applyFill="1" applyBorder="1" applyAlignment="1">
      <alignment horizontal="left"/>
    </xf>
    <xf numFmtId="0" fontId="94" fillId="59" borderId="0" xfId="11" applyFont="1" applyFill="1"/>
    <xf numFmtId="0" fontId="63" fillId="10" borderId="0" xfId="0" quotePrefix="1" applyFont="1" applyFill="1"/>
    <xf numFmtId="0" fontId="105" fillId="10" borderId="0" xfId="0" applyFont="1" applyFill="1"/>
    <xf numFmtId="0" fontId="94" fillId="62" borderId="0" xfId="6" applyFont="1" applyFill="1"/>
    <xf numFmtId="0" fontId="78" fillId="0" borderId="0" xfId="6" applyFont="1" applyAlignment="1">
      <alignment horizontal="left"/>
    </xf>
    <xf numFmtId="0" fontId="78" fillId="23" borderId="0" xfId="6" applyFont="1" applyFill="1" applyAlignment="1">
      <alignment horizontal="left"/>
    </xf>
    <xf numFmtId="0" fontId="94" fillId="0" borderId="0" xfId="11" applyFont="1"/>
    <xf numFmtId="0" fontId="78" fillId="24" borderId="0" xfId="6" applyFont="1" applyFill="1" applyAlignment="1">
      <alignment horizontal="left"/>
    </xf>
    <xf numFmtId="0" fontId="78" fillId="59" borderId="0" xfId="11" applyFont="1" applyFill="1" applyAlignment="1">
      <alignment horizontal="left"/>
    </xf>
    <xf numFmtId="172" fontId="96" fillId="0" borderId="0" xfId="3" applyNumberFormat="1" applyFont="1" applyFill="1" applyAlignment="1">
      <alignment horizontal="center"/>
    </xf>
    <xf numFmtId="0" fontId="78" fillId="16" borderId="0" xfId="11" applyFont="1" applyFill="1" applyAlignment="1">
      <alignment horizontal="left"/>
    </xf>
    <xf numFmtId="0" fontId="78" fillId="20" borderId="0" xfId="11" applyFont="1" applyFill="1" applyAlignment="1">
      <alignment horizontal="left"/>
    </xf>
    <xf numFmtId="0" fontId="78" fillId="39" borderId="0" xfId="11" applyFont="1" applyFill="1" applyAlignment="1">
      <alignment horizontal="left"/>
    </xf>
    <xf numFmtId="0" fontId="115" fillId="41" borderId="0" xfId="11" applyFont="1" applyFill="1"/>
    <xf numFmtId="0" fontId="167" fillId="10" borderId="0" xfId="6" applyFont="1" applyFill="1"/>
    <xf numFmtId="0" fontId="25" fillId="54" borderId="0" xfId="11" applyFont="1" applyFill="1"/>
    <xf numFmtId="0" fontId="115" fillId="54" borderId="0" xfId="11" applyFont="1" applyFill="1"/>
    <xf numFmtId="0" fontId="25" fillId="13" borderId="0" xfId="11" applyFont="1" applyFill="1"/>
    <xf numFmtId="0" fontId="45" fillId="0" borderId="0" xfId="6" applyFont="1"/>
    <xf numFmtId="171" fontId="41" fillId="0" borderId="0" xfId="3" applyNumberFormat="1" applyFont="1" applyFill="1"/>
    <xf numFmtId="171" fontId="168" fillId="0" borderId="0" xfId="3" applyNumberFormat="1" applyFont="1" applyFill="1"/>
    <xf numFmtId="0" fontId="45" fillId="38" borderId="0" xfId="6" applyFont="1" applyFill="1"/>
    <xf numFmtId="171" fontId="90" fillId="38" borderId="0" xfId="3" applyNumberFormat="1" applyFont="1" applyFill="1" applyAlignment="1">
      <alignment horizontal="center" vertical="center"/>
    </xf>
    <xf numFmtId="171" fontId="35" fillId="38" borderId="0" xfId="3" applyNumberFormat="1" applyFont="1" applyFill="1" applyAlignment="1">
      <alignment horizontal="center" vertical="center"/>
    </xf>
    <xf numFmtId="172" fontId="24" fillId="38" borderId="0" xfId="3" applyNumberFormat="1" applyFont="1" applyFill="1" applyAlignment="1">
      <alignment horizontal="left"/>
    </xf>
    <xf numFmtId="0" fontId="0" fillId="54" borderId="0" xfId="0" applyFill="1"/>
    <xf numFmtId="172" fontId="24" fillId="10" borderId="0" xfId="3" applyNumberFormat="1" applyFont="1" applyFill="1" applyBorder="1" applyAlignment="1">
      <alignment horizontal="left"/>
    </xf>
    <xf numFmtId="171" fontId="0" fillId="10" borderId="0" xfId="0" applyNumberFormat="1" applyFill="1"/>
    <xf numFmtId="0" fontId="39" fillId="32" borderId="2" xfId="6" applyFont="1" applyFill="1" applyBorder="1"/>
    <xf numFmtId="0" fontId="39" fillId="32" borderId="11" xfId="6" applyFont="1" applyFill="1" applyBorder="1"/>
    <xf numFmtId="0" fontId="35" fillId="9" borderId="11" xfId="6" applyFont="1" applyFill="1" applyBorder="1"/>
    <xf numFmtId="172" fontId="35" fillId="8" borderId="0" xfId="3" applyNumberFormat="1" applyFont="1" applyFill="1" applyBorder="1" applyAlignment="1">
      <alignment horizontal="left"/>
    </xf>
    <xf numFmtId="0" fontId="35" fillId="9" borderId="10" xfId="11" applyFont="1" applyFill="1" applyBorder="1"/>
    <xf numFmtId="0" fontId="39" fillId="8" borderId="6" xfId="6" applyFont="1" applyFill="1" applyBorder="1"/>
    <xf numFmtId="172" fontId="24" fillId="8" borderId="7" xfId="3" applyNumberFormat="1" applyFont="1" applyFill="1" applyBorder="1" applyAlignment="1">
      <alignment horizontal="left"/>
    </xf>
    <xf numFmtId="171" fontId="24" fillId="8" borderId="8" xfId="3" applyNumberFormat="1" applyFont="1" applyFill="1" applyBorder="1"/>
    <xf numFmtId="171" fontId="90" fillId="0" borderId="0" xfId="3" applyNumberFormat="1" applyFont="1" applyFill="1" applyBorder="1" applyAlignment="1">
      <alignment horizontal="center" vertical="center"/>
    </xf>
    <xf numFmtId="171" fontId="35" fillId="0" borderId="0" xfId="3" applyNumberFormat="1" applyFont="1" applyFill="1" applyBorder="1" applyAlignment="1">
      <alignment horizontal="center" vertical="center"/>
    </xf>
    <xf numFmtId="172" fontId="24" fillId="0" borderId="0" xfId="3" applyNumberFormat="1" applyFont="1" applyFill="1" applyBorder="1" applyAlignment="1">
      <alignment horizontal="left"/>
    </xf>
    <xf numFmtId="171" fontId="24" fillId="0" borderId="0" xfId="3" applyNumberFormat="1" applyFont="1" applyFill="1" applyBorder="1"/>
    <xf numFmtId="171" fontId="90" fillId="49" borderId="0" xfId="3" applyNumberFormat="1" applyFont="1" applyFill="1" applyAlignment="1">
      <alignment horizontal="center" vertical="center"/>
    </xf>
    <xf numFmtId="0" fontId="48" fillId="10" borderId="0" xfId="8" applyFont="1" applyFill="1"/>
    <xf numFmtId="0" fontId="40" fillId="10" borderId="0" xfId="0" applyFont="1" applyFill="1"/>
    <xf numFmtId="0" fontId="28" fillId="12" borderId="0" xfId="6" applyFont="1" applyFill="1"/>
    <xf numFmtId="0" fontId="28" fillId="10" borderId="0" xfId="6" applyFont="1" applyFill="1"/>
    <xf numFmtId="171" fontId="35" fillId="10" borderId="0" xfId="11" applyNumberFormat="1" applyFont="1" applyFill="1" applyAlignment="1">
      <alignment horizontal="center" vertical="center"/>
    </xf>
    <xf numFmtId="0" fontId="24" fillId="10" borderId="0" xfId="8" applyFill="1"/>
    <xf numFmtId="0" fontId="49" fillId="54" borderId="0" xfId="11" applyFont="1" applyFill="1"/>
    <xf numFmtId="0" fontId="49" fillId="10" borderId="0" xfId="11" applyFont="1" applyFill="1"/>
    <xf numFmtId="0" fontId="25" fillId="63" borderId="0" xfId="11" applyFont="1" applyFill="1"/>
    <xf numFmtId="0" fontId="36" fillId="10" borderId="0" xfId="6" applyFont="1" applyFill="1"/>
    <xf numFmtId="171" fontId="57" fillId="10" borderId="0" xfId="3" applyNumberFormat="1" applyFont="1" applyFill="1"/>
    <xf numFmtId="172" fontId="78" fillId="49" borderId="0" xfId="3" applyNumberFormat="1" applyFont="1" applyFill="1" applyAlignment="1">
      <alignment horizontal="left"/>
    </xf>
    <xf numFmtId="0" fontId="100" fillId="0" borderId="0" xfId="0" applyFont="1" applyAlignment="1">
      <alignment vertical="center"/>
    </xf>
    <xf numFmtId="0" fontId="25" fillId="5" borderId="0" xfId="6" applyFont="1" applyFill="1"/>
    <xf numFmtId="0" fontId="0" fillId="18" borderId="0" xfId="0" applyFill="1"/>
    <xf numFmtId="0" fontId="25" fillId="18" borderId="0" xfId="11" applyFont="1" applyFill="1"/>
    <xf numFmtId="0" fontId="25" fillId="0" borderId="0" xfId="6" applyFont="1"/>
    <xf numFmtId="0" fontId="90" fillId="0" borderId="0" xfId="0" applyFont="1" applyAlignment="1">
      <alignment horizontal="center"/>
    </xf>
    <xf numFmtId="0" fontId="90" fillId="38" borderId="0" xfId="6" applyFont="1" applyFill="1" applyAlignment="1">
      <alignment horizontal="left"/>
    </xf>
    <xf numFmtId="0" fontId="90" fillId="0" borderId="0" xfId="6" applyFont="1" applyAlignment="1">
      <alignment horizontal="left"/>
    </xf>
    <xf numFmtId="0" fontId="90" fillId="32" borderId="0" xfId="6" applyFont="1" applyFill="1" applyAlignment="1">
      <alignment horizontal="left"/>
    </xf>
    <xf numFmtId="171" fontId="90" fillId="32" borderId="0" xfId="3" applyNumberFormat="1" applyFont="1" applyFill="1" applyAlignment="1">
      <alignment horizontal="center" vertical="center"/>
    </xf>
    <xf numFmtId="172" fontId="90" fillId="0" borderId="0" xfId="3" applyNumberFormat="1" applyFont="1" applyFill="1" applyAlignment="1">
      <alignment horizontal="left"/>
    </xf>
    <xf numFmtId="2" fontId="90" fillId="0" borderId="0" xfId="6" applyNumberFormat="1" applyFont="1"/>
    <xf numFmtId="0" fontId="90" fillId="0" borderId="0" xfId="11" applyFont="1"/>
    <xf numFmtId="172" fontId="78" fillId="37" borderId="0" xfId="3" applyNumberFormat="1" applyFont="1" applyFill="1" applyAlignment="1">
      <alignment horizontal="center"/>
    </xf>
    <xf numFmtId="171" fontId="78" fillId="0" borderId="0" xfId="3" applyNumberFormat="1" applyFont="1" applyFill="1" applyAlignment="1">
      <alignment horizontal="center" vertical="center"/>
    </xf>
    <xf numFmtId="0" fontId="78" fillId="0" borderId="24" xfId="6" applyFont="1" applyBorder="1"/>
    <xf numFmtId="172" fontId="78" fillId="0" borderId="0" xfId="11" applyNumberFormat="1" applyFont="1" applyAlignment="1">
      <alignment horizontal="left"/>
    </xf>
    <xf numFmtId="0" fontId="78" fillId="0" borderId="0" xfId="11" applyFont="1" applyAlignment="1">
      <alignment horizontal="left"/>
    </xf>
    <xf numFmtId="0" fontId="94" fillId="54" borderId="0" xfId="11" applyFont="1" applyFill="1"/>
    <xf numFmtId="0" fontId="94" fillId="64" borderId="0" xfId="11" applyFont="1" applyFill="1"/>
    <xf numFmtId="0" fontId="94" fillId="0" borderId="0" xfId="6" applyFont="1" applyAlignment="1">
      <alignment horizontal="center"/>
    </xf>
    <xf numFmtId="0" fontId="169" fillId="10" borderId="0" xfId="6" quotePrefix="1" applyFont="1" applyFill="1" applyAlignment="1">
      <alignment vertical="center"/>
    </xf>
    <xf numFmtId="0" fontId="57" fillId="0" borderId="0" xfId="8" applyFont="1"/>
    <xf numFmtId="171" fontId="57" fillId="0" borderId="0" xfId="3" applyNumberFormat="1" applyFont="1" applyFill="1"/>
    <xf numFmtId="0" fontId="170" fillId="0" borderId="0" xfId="0" applyFont="1" applyAlignment="1">
      <alignment horizontal="left" vertical="center"/>
    </xf>
    <xf numFmtId="2" fontId="78" fillId="10" borderId="0" xfId="6" applyNumberFormat="1" applyFont="1" applyFill="1" applyAlignment="1">
      <alignment wrapText="1"/>
    </xf>
    <xf numFmtId="0" fontId="171" fillId="10" borderId="0" xfId="0" applyFont="1" applyFill="1" applyAlignment="1">
      <alignment vertical="top"/>
    </xf>
    <xf numFmtId="0" fontId="171" fillId="10" borderId="0" xfId="0" applyFont="1" applyFill="1"/>
    <xf numFmtId="0" fontId="94" fillId="65" borderId="0" xfId="6" applyFont="1" applyFill="1"/>
    <xf numFmtId="176" fontId="78" fillId="63" borderId="0" xfId="3" applyNumberFormat="1" applyFont="1" applyFill="1" applyAlignment="1">
      <alignment horizontal="center"/>
    </xf>
    <xf numFmtId="0" fontId="78" fillId="63" borderId="0" xfId="6" applyFont="1" applyFill="1" applyAlignment="1">
      <alignment horizontal="left"/>
    </xf>
    <xf numFmtId="0" fontId="78" fillId="7" borderId="0" xfId="11" applyFont="1" applyFill="1" applyAlignment="1">
      <alignment horizontal="left"/>
    </xf>
    <xf numFmtId="0" fontId="78" fillId="29" borderId="0" xfId="6" applyFont="1" applyFill="1"/>
    <xf numFmtId="172" fontId="78" fillId="10" borderId="0" xfId="11" applyNumberFormat="1" applyFont="1" applyFill="1" applyAlignment="1">
      <alignment horizontal="center"/>
    </xf>
    <xf numFmtId="0" fontId="78" fillId="10" borderId="0" xfId="6" applyFont="1" applyFill="1" applyProtection="1">
      <protection locked="0"/>
    </xf>
    <xf numFmtId="0" fontId="78" fillId="38" borderId="0" xfId="6" applyFont="1" applyFill="1"/>
    <xf numFmtId="171" fontId="78" fillId="38" borderId="0" xfId="3" applyNumberFormat="1" applyFont="1" applyFill="1" applyAlignment="1">
      <alignment horizontal="center" vertical="center"/>
    </xf>
    <xf numFmtId="172" fontId="78" fillId="38" borderId="0" xfId="3" applyNumberFormat="1" applyFont="1" applyFill="1" applyAlignment="1">
      <alignment horizontal="center"/>
    </xf>
    <xf numFmtId="172" fontId="78" fillId="38" borderId="0" xfId="11" applyNumberFormat="1" applyFont="1" applyFill="1" applyAlignment="1">
      <alignment horizontal="left"/>
    </xf>
    <xf numFmtId="0" fontId="78" fillId="38" borderId="0" xfId="11" applyFont="1" applyFill="1" applyAlignment="1">
      <alignment horizontal="left"/>
    </xf>
    <xf numFmtId="2" fontId="63" fillId="10" borderId="0" xfId="6" applyNumberFormat="1" applyFont="1" applyFill="1"/>
    <xf numFmtId="0" fontId="105" fillId="10" borderId="0" xfId="6" applyFont="1" applyFill="1"/>
    <xf numFmtId="0" fontId="63" fillId="10" borderId="0" xfId="6" quotePrefix="1" applyFont="1" applyFill="1"/>
    <xf numFmtId="0" fontId="63" fillId="10" borderId="0" xfId="0" applyFont="1" applyFill="1" applyAlignment="1">
      <alignment horizontal="left"/>
    </xf>
    <xf numFmtId="0" fontId="63" fillId="10" borderId="0" xfId="8" applyFont="1" applyFill="1"/>
    <xf numFmtId="173" fontId="63" fillId="10" borderId="0" xfId="3" applyNumberFormat="1" applyFont="1" applyFill="1"/>
    <xf numFmtId="171" fontId="63" fillId="10" borderId="0" xfId="3" applyNumberFormat="1" applyFont="1" applyFill="1"/>
    <xf numFmtId="171" fontId="63" fillId="8" borderId="0" xfId="0" applyNumberFormat="1" applyFont="1" applyFill="1"/>
    <xf numFmtId="0" fontId="105" fillId="8" borderId="0" xfId="0" applyFont="1" applyFill="1"/>
    <xf numFmtId="0" fontId="63" fillId="8" borderId="0" xfId="0" applyFont="1" applyFill="1"/>
    <xf numFmtId="0" fontId="172" fillId="10" borderId="15" xfId="0" applyFont="1" applyFill="1" applyBorder="1" applyAlignment="1">
      <alignment horizontal="center" vertical="center"/>
    </xf>
    <xf numFmtId="0" fontId="106" fillId="10" borderId="24" xfId="0" applyFont="1" applyFill="1" applyBorder="1" applyAlignment="1">
      <alignment horizontal="center"/>
    </xf>
    <xf numFmtId="4" fontId="106" fillId="10" borderId="24" xfId="8" applyNumberFormat="1" applyFont="1" applyFill="1" applyBorder="1" applyAlignment="1">
      <alignment horizontal="center"/>
    </xf>
    <xf numFmtId="4" fontId="106" fillId="10" borderId="23" xfId="8" applyNumberFormat="1" applyFont="1" applyFill="1" applyBorder="1" applyAlignment="1">
      <alignment horizontal="center"/>
    </xf>
    <xf numFmtId="0" fontId="78" fillId="10" borderId="24" xfId="0" applyFont="1" applyFill="1" applyBorder="1" applyAlignment="1">
      <alignment horizontal="center" vertical="center"/>
    </xf>
    <xf numFmtId="0" fontId="131" fillId="10" borderId="11" xfId="0" applyFont="1" applyFill="1" applyBorder="1" applyAlignment="1">
      <alignment horizontal="center" vertical="center"/>
    </xf>
    <xf numFmtId="0" fontId="105" fillId="10" borderId="11" xfId="0" applyFont="1" applyFill="1" applyBorder="1" applyAlignment="1">
      <alignment horizontal="center" vertical="center"/>
    </xf>
    <xf numFmtId="0" fontId="89" fillId="10" borderId="11" xfId="0" applyFont="1" applyFill="1" applyBorder="1" applyAlignment="1">
      <alignment horizontal="center" vertical="center"/>
    </xf>
    <xf numFmtId="0" fontId="63" fillId="10" borderId="11" xfId="0" applyFont="1" applyFill="1" applyBorder="1" applyAlignment="1">
      <alignment horizontal="center" vertical="center"/>
    </xf>
    <xf numFmtId="170" fontId="36" fillId="10" borderId="5" xfId="8" applyNumberFormat="1" applyFont="1" applyFill="1" applyBorder="1" applyAlignment="1">
      <alignment horizontal="center" vertical="center"/>
    </xf>
    <xf numFmtId="0" fontId="88" fillId="10" borderId="3" xfId="0" applyFont="1" applyFill="1" applyBorder="1" applyAlignment="1">
      <alignment horizontal="center" vertical="center"/>
    </xf>
    <xf numFmtId="4" fontId="24" fillId="10" borderId="3" xfId="8" applyNumberFormat="1" applyFill="1" applyBorder="1" applyAlignment="1">
      <alignment horizontal="center" vertical="center"/>
    </xf>
    <xf numFmtId="0" fontId="25" fillId="0" borderId="0" xfId="11" quotePrefix="1" applyFont="1" applyAlignment="1">
      <alignment horizontal="center" vertical="center"/>
    </xf>
    <xf numFmtId="0" fontId="94" fillId="30" borderId="0" xfId="11" applyFont="1" applyFill="1"/>
    <xf numFmtId="2" fontId="94" fillId="21" borderId="0" xfId="6" applyNumberFormat="1" applyFont="1" applyFill="1"/>
    <xf numFmtId="173" fontId="94" fillId="21" borderId="0" xfId="3" applyNumberFormat="1" applyFont="1" applyFill="1" applyAlignment="1">
      <alignment horizontal="center"/>
    </xf>
    <xf numFmtId="172" fontId="174" fillId="10" borderId="0" xfId="3" applyNumberFormat="1" applyFont="1" applyFill="1" applyAlignment="1">
      <alignment horizontal="center"/>
    </xf>
    <xf numFmtId="171" fontId="94" fillId="10" borderId="0" xfId="3" applyNumberFormat="1" applyFont="1" applyFill="1" applyAlignment="1">
      <alignment horizontal="center" vertical="center"/>
    </xf>
    <xf numFmtId="172" fontId="94" fillId="10" borderId="0" xfId="11" applyNumberFormat="1" applyFont="1" applyFill="1" applyAlignment="1">
      <alignment horizontal="left"/>
    </xf>
    <xf numFmtId="0" fontId="94" fillId="6" borderId="0" xfId="6" applyFont="1" applyFill="1"/>
    <xf numFmtId="0" fontId="175" fillId="0" borderId="0" xfId="0" applyFont="1" applyAlignment="1">
      <alignment horizontal="left"/>
    </xf>
    <xf numFmtId="0" fontId="28" fillId="0" borderId="0" xfId="6" applyFont="1"/>
    <xf numFmtId="171" fontId="90" fillId="64" borderId="0" xfId="3" applyNumberFormat="1" applyFont="1" applyFill="1" applyAlignment="1">
      <alignment horizontal="center" vertical="center"/>
    </xf>
    <xf numFmtId="0" fontId="47" fillId="10" borderId="0" xfId="8" applyFont="1" applyFill="1"/>
    <xf numFmtId="0" fontId="176" fillId="13" borderId="0" xfId="0" applyFont="1" applyFill="1"/>
    <xf numFmtId="0" fontId="176" fillId="29" borderId="0" xfId="0" applyFont="1" applyFill="1"/>
    <xf numFmtId="173" fontId="78" fillId="29" borderId="0" xfId="3" applyNumberFormat="1" applyFont="1" applyFill="1" applyAlignment="1">
      <alignment horizontal="center"/>
    </xf>
    <xf numFmtId="171" fontId="78" fillId="29" borderId="0" xfId="3" applyNumberFormat="1" applyFont="1" applyFill="1" applyAlignment="1">
      <alignment horizontal="center" vertical="center"/>
    </xf>
    <xf numFmtId="0" fontId="90" fillId="64" borderId="0" xfId="6" applyFont="1" applyFill="1" applyAlignment="1">
      <alignment horizontal="left"/>
    </xf>
    <xf numFmtId="172" fontId="90" fillId="64" borderId="0" xfId="3" applyNumberFormat="1" applyFont="1" applyFill="1" applyAlignment="1">
      <alignment horizontal="left"/>
    </xf>
    <xf numFmtId="4" fontId="90" fillId="64" borderId="0" xfId="8" applyNumberFormat="1" applyFont="1" applyFill="1"/>
    <xf numFmtId="0" fontId="90" fillId="36" borderId="0" xfId="6" applyFont="1" applyFill="1" applyAlignment="1">
      <alignment horizontal="left"/>
    </xf>
    <xf numFmtId="171" fontId="90" fillId="36" borderId="0" xfId="3" applyNumberFormat="1" applyFont="1" applyFill="1" applyAlignment="1">
      <alignment horizontal="center" vertical="center"/>
    </xf>
    <xf numFmtId="172" fontId="90" fillId="36" borderId="0" xfId="3" applyNumberFormat="1" applyFont="1" applyFill="1" applyAlignment="1">
      <alignment horizontal="left"/>
    </xf>
    <xf numFmtId="4" fontId="90" fillId="36" borderId="0" xfId="8" applyNumberFormat="1" applyFont="1" applyFill="1"/>
    <xf numFmtId="0" fontId="94" fillId="66" borderId="0" xfId="6" applyFont="1" applyFill="1"/>
    <xf numFmtId="0" fontId="94" fillId="18" borderId="0" xfId="6" applyFont="1" applyFill="1"/>
    <xf numFmtId="0" fontId="94" fillId="19" borderId="0" xfId="6" applyFont="1" applyFill="1"/>
    <xf numFmtId="0" fontId="170" fillId="10" borderId="0" xfId="0" applyFont="1" applyFill="1" applyAlignment="1">
      <alignment horizontal="center" vertical="center"/>
    </xf>
    <xf numFmtId="0" fontId="78" fillId="10" borderId="1" xfId="11" applyFont="1" applyFill="1" applyBorder="1" applyAlignment="1">
      <alignment horizontal="left"/>
    </xf>
    <xf numFmtId="0" fontId="25" fillId="49" borderId="0" xfId="11" applyFont="1" applyFill="1"/>
    <xf numFmtId="0" fontId="94" fillId="46" borderId="0" xfId="6" applyFont="1" applyFill="1"/>
    <xf numFmtId="0" fontId="0" fillId="10" borderId="0" xfId="0" applyFill="1" applyAlignment="1" applyProtection="1">
      <alignment vertical="center" shrinkToFit="1"/>
      <protection hidden="1"/>
    </xf>
    <xf numFmtId="2" fontId="78" fillId="32" borderId="0" xfId="6" applyNumberFormat="1" applyFont="1" applyFill="1"/>
    <xf numFmtId="0" fontId="78" fillId="32" borderId="24" xfId="11" applyFont="1" applyFill="1" applyBorder="1" applyAlignment="1">
      <alignment horizontal="left"/>
    </xf>
    <xf numFmtId="0" fontId="115" fillId="44" borderId="0" xfId="6" applyFont="1" applyFill="1"/>
    <xf numFmtId="0" fontId="25" fillId="5" borderId="0" xfId="11" applyFont="1" applyFill="1" applyAlignment="1">
      <alignment horizontal="right"/>
    </xf>
    <xf numFmtId="0" fontId="25" fillId="15" borderId="0" xfId="11" applyFont="1" applyFill="1"/>
    <xf numFmtId="0" fontId="160" fillId="19" borderId="0" xfId="6" applyFont="1" applyFill="1" applyAlignment="1">
      <alignment vertical="center"/>
    </xf>
    <xf numFmtId="0" fontId="64" fillId="10" borderId="0" xfId="0" applyFont="1" applyFill="1" applyAlignment="1">
      <alignment vertical="top"/>
    </xf>
    <xf numFmtId="0" fontId="25" fillId="0" borderId="0" xfId="5" applyFont="1" applyAlignment="1">
      <alignment vertical="top"/>
    </xf>
    <xf numFmtId="4" fontId="63" fillId="10" borderId="0" xfId="8" quotePrefix="1" applyNumberFormat="1" applyFont="1" applyFill="1" applyAlignment="1">
      <alignment vertical="top"/>
    </xf>
    <xf numFmtId="0" fontId="64" fillId="10" borderId="3" xfId="6" applyFont="1" applyFill="1" applyBorder="1" applyAlignment="1">
      <alignment horizontal="center" vertical="top"/>
    </xf>
    <xf numFmtId="0" fontId="64" fillId="10" borderId="7" xfId="0" applyFont="1" applyFill="1" applyBorder="1" applyAlignment="1">
      <alignment vertical="center"/>
    </xf>
    <xf numFmtId="4" fontId="105" fillId="10" borderId="8" xfId="8" applyNumberFormat="1" applyFont="1" applyFill="1" applyBorder="1" applyAlignment="1">
      <alignment horizontal="center" vertical="center"/>
    </xf>
    <xf numFmtId="4" fontId="63" fillId="10" borderId="25" xfId="8" applyNumberFormat="1" applyFont="1" applyFill="1" applyBorder="1"/>
    <xf numFmtId="0" fontId="64" fillId="10" borderId="22" xfId="0" applyFont="1" applyFill="1" applyBorder="1" applyAlignment="1">
      <alignment horizontal="center" vertical="top"/>
    </xf>
    <xf numFmtId="170" fontId="63" fillId="10" borderId="22" xfId="0" applyNumberFormat="1" applyFont="1" applyFill="1" applyBorder="1" applyAlignment="1">
      <alignment horizontal="right" vertical="top"/>
    </xf>
    <xf numFmtId="0" fontId="64" fillId="10" borderId="6" xfId="6" applyFont="1" applyFill="1" applyBorder="1" applyAlignment="1">
      <alignment horizontal="left" vertical="top"/>
    </xf>
    <xf numFmtId="0" fontId="64" fillId="10" borderId="2" xfId="6" applyFont="1" applyFill="1" applyBorder="1" applyAlignment="1">
      <alignment horizontal="center" vertical="top"/>
    </xf>
    <xf numFmtId="0" fontId="24" fillId="10" borderId="15" xfId="0" applyFont="1" applyFill="1" applyBorder="1" applyAlignment="1">
      <alignment vertical="center"/>
    </xf>
    <xf numFmtId="4" fontId="105" fillId="10" borderId="11" xfId="8" applyNumberFormat="1" applyFont="1" applyFill="1" applyBorder="1" applyAlignment="1">
      <alignment horizontal="center"/>
    </xf>
    <xf numFmtId="4" fontId="63" fillId="10" borderId="11" xfId="0" applyNumberFormat="1" applyFont="1" applyFill="1" applyBorder="1" applyAlignment="1">
      <alignment horizontal="center"/>
    </xf>
    <xf numFmtId="4" fontId="105" fillId="10" borderId="6" xfId="8" applyNumberFormat="1" applyFont="1" applyFill="1" applyBorder="1" applyAlignment="1">
      <alignment vertical="center"/>
    </xf>
    <xf numFmtId="4" fontId="105" fillId="10" borderId="6" xfId="8" applyNumberFormat="1" applyFont="1" applyFill="1" applyBorder="1"/>
    <xf numFmtId="0" fontId="178" fillId="0" borderId="0" xfId="0" applyFont="1" applyAlignment="1">
      <alignment vertical="center"/>
    </xf>
    <xf numFmtId="0" fontId="179" fillId="0" borderId="0" xfId="0" applyFont="1"/>
    <xf numFmtId="0" fontId="0" fillId="67" borderId="0" xfId="0" applyFill="1"/>
    <xf numFmtId="171" fontId="24" fillId="21" borderId="0" xfId="3" applyNumberFormat="1" applyFont="1" applyFill="1"/>
    <xf numFmtId="0" fontId="25" fillId="58" borderId="0" xfId="6" applyFont="1" applyFill="1"/>
    <xf numFmtId="0" fontId="24" fillId="8" borderId="0" xfId="11" applyFill="1" applyAlignment="1">
      <alignment horizontal="left"/>
    </xf>
    <xf numFmtId="172" fontId="63" fillId="21" borderId="0" xfId="3" applyNumberFormat="1" applyFont="1" applyFill="1" applyAlignment="1">
      <alignment horizontal="center"/>
    </xf>
    <xf numFmtId="171" fontId="35" fillId="21" borderId="0" xfId="3" applyNumberFormat="1" applyFont="1" applyFill="1"/>
    <xf numFmtId="171" fontId="24" fillId="21" borderId="0" xfId="3" applyNumberFormat="1" applyFont="1" applyFill="1" applyAlignment="1">
      <alignment vertical="center"/>
    </xf>
    <xf numFmtId="171" fontId="35" fillId="21" borderId="0" xfId="3" applyNumberFormat="1" applyFont="1" applyFill="1" applyAlignment="1">
      <alignment vertical="center"/>
    </xf>
    <xf numFmtId="173" fontId="41" fillId="12" borderId="0" xfId="3" applyNumberFormat="1" applyFont="1" applyFill="1"/>
    <xf numFmtId="0" fontId="24" fillId="10" borderId="0" xfId="0" quotePrefix="1" applyFont="1" applyFill="1" applyAlignment="1">
      <alignment horizontal="left"/>
    </xf>
    <xf numFmtId="0" fontId="181" fillId="0" borderId="0" xfId="0" applyFont="1" applyAlignment="1">
      <alignment horizontal="center" vertical="center"/>
    </xf>
    <xf numFmtId="0" fontId="78" fillId="5" borderId="0" xfId="11" applyFont="1" applyFill="1" applyAlignment="1">
      <alignment horizontal="left"/>
    </xf>
    <xf numFmtId="0" fontId="78" fillId="51" borderId="0" xfId="0" applyFont="1" applyFill="1" applyAlignment="1">
      <alignment horizontal="left"/>
    </xf>
    <xf numFmtId="2" fontId="78" fillId="10" borderId="0" xfId="6" applyNumberFormat="1" applyFont="1" applyFill="1" applyAlignment="1">
      <alignment horizontal="left"/>
    </xf>
    <xf numFmtId="171" fontId="24" fillId="8" borderId="0" xfId="11" applyNumberFormat="1" applyFill="1" applyAlignment="1">
      <alignment horizontal="left"/>
    </xf>
    <xf numFmtId="0" fontId="78" fillId="29" borderId="0" xfId="11" applyFont="1" applyFill="1" applyAlignment="1">
      <alignment horizontal="left" vertical="center"/>
    </xf>
    <xf numFmtId="0" fontId="0" fillId="10" borderId="0" xfId="0" applyFill="1" applyAlignment="1" applyProtection="1">
      <alignment horizontal="left" vertical="center" shrinkToFit="1"/>
      <protection hidden="1"/>
    </xf>
    <xf numFmtId="0" fontId="78" fillId="6" borderId="0" xfId="11" applyFont="1" applyFill="1" applyAlignment="1">
      <alignment horizontal="left"/>
    </xf>
    <xf numFmtId="0" fontId="78" fillId="30" borderId="0" xfId="11" applyFont="1" applyFill="1" applyAlignment="1">
      <alignment horizontal="left"/>
    </xf>
    <xf numFmtId="0" fontId="25" fillId="8" borderId="0" xfId="11" applyFont="1" applyFill="1" applyAlignment="1">
      <alignment horizontal="left"/>
    </xf>
    <xf numFmtId="0" fontId="39" fillId="8" borderId="0" xfId="6" applyFont="1" applyFill="1" applyAlignment="1">
      <alignment horizontal="left"/>
    </xf>
    <xf numFmtId="0" fontId="35" fillId="10" borderId="0" xfId="6" applyFont="1" applyFill="1" applyAlignment="1">
      <alignment horizontal="left"/>
    </xf>
    <xf numFmtId="0" fontId="35" fillId="9" borderId="0" xfId="6" applyFont="1" applyFill="1" applyAlignment="1">
      <alignment horizontal="left"/>
    </xf>
    <xf numFmtId="0" fontId="24" fillId="8" borderId="0" xfId="6" applyFill="1" applyAlignment="1">
      <alignment horizontal="left"/>
    </xf>
    <xf numFmtId="0" fontId="39" fillId="8" borderId="0" xfId="8" applyFont="1" applyFill="1" applyAlignment="1">
      <alignment horizontal="left"/>
    </xf>
    <xf numFmtId="0" fontId="35" fillId="8" borderId="0" xfId="8" applyFont="1" applyFill="1" applyAlignment="1">
      <alignment horizontal="left"/>
    </xf>
    <xf numFmtId="0" fontId="40" fillId="8" borderId="0" xfId="11" applyFont="1" applyFill="1" applyAlignment="1">
      <alignment horizontal="left"/>
    </xf>
    <xf numFmtId="0" fontId="39" fillId="8" borderId="2" xfId="6" applyFont="1" applyFill="1" applyBorder="1" applyAlignment="1">
      <alignment horizontal="left"/>
    </xf>
    <xf numFmtId="0" fontId="39" fillId="8" borderId="11" xfId="6" applyFont="1" applyFill="1" applyBorder="1" applyAlignment="1">
      <alignment horizontal="left"/>
    </xf>
    <xf numFmtId="0" fontId="35" fillId="9" borderId="6" xfId="6" applyFont="1" applyFill="1" applyBorder="1" applyAlignment="1">
      <alignment horizontal="left"/>
    </xf>
    <xf numFmtId="0" fontId="0" fillId="8" borderId="0" xfId="0" applyFill="1" applyAlignment="1">
      <alignment horizontal="left"/>
    </xf>
    <xf numFmtId="0" fontId="39" fillId="8" borderId="5" xfId="6" applyFont="1" applyFill="1" applyBorder="1" applyAlignment="1">
      <alignment horizontal="left"/>
    </xf>
    <xf numFmtId="0" fontId="39" fillId="8" borderId="15" xfId="6" applyFont="1" applyFill="1" applyBorder="1" applyAlignment="1">
      <alignment horizontal="left"/>
    </xf>
    <xf numFmtId="0" fontId="35" fillId="9" borderId="15" xfId="6" applyFont="1" applyFill="1" applyBorder="1" applyAlignment="1">
      <alignment horizontal="left"/>
    </xf>
    <xf numFmtId="0" fontId="39" fillId="8" borderId="9" xfId="6" applyFont="1" applyFill="1" applyBorder="1" applyAlignment="1">
      <alignment horizontal="left"/>
    </xf>
    <xf numFmtId="0" fontId="39" fillId="0" borderId="0" xfId="6" applyFont="1" applyAlignment="1">
      <alignment horizontal="left"/>
    </xf>
    <xf numFmtId="0" fontId="24" fillId="12" borderId="0" xfId="0" applyFont="1" applyFill="1" applyAlignment="1">
      <alignment horizontal="left"/>
    </xf>
    <xf numFmtId="17" fontId="24" fillId="39" borderId="0" xfId="11" applyNumberFormat="1" applyFill="1" applyAlignment="1">
      <alignment horizontal="left"/>
    </xf>
    <xf numFmtId="0" fontId="0" fillId="39" borderId="0" xfId="0" applyFill="1" applyAlignment="1">
      <alignment horizontal="left"/>
    </xf>
    <xf numFmtId="0" fontId="54" fillId="8" borderId="0" xfId="6" applyFont="1" applyFill="1" applyAlignment="1">
      <alignment horizontal="left"/>
    </xf>
    <xf numFmtId="0" fontId="78" fillId="10" borderId="0" xfId="6" applyFont="1" applyFill="1" applyAlignment="1">
      <alignment horizontal="left" vertical="top"/>
    </xf>
    <xf numFmtId="0" fontId="63" fillId="39" borderId="0" xfId="0" applyFont="1" applyFill="1" applyAlignment="1">
      <alignment horizontal="left"/>
    </xf>
    <xf numFmtId="0" fontId="24" fillId="19" borderId="0" xfId="0" applyFont="1" applyFill="1" applyAlignment="1">
      <alignment horizontal="left"/>
    </xf>
    <xf numFmtId="0" fontId="24" fillId="0" borderId="0" xfId="0" quotePrefix="1" applyFont="1" applyAlignment="1">
      <alignment horizontal="left"/>
    </xf>
    <xf numFmtId="0" fontId="182" fillId="10" borderId="1" xfId="6" applyFont="1" applyFill="1" applyBorder="1" applyAlignment="1">
      <alignment horizontal="center" vertical="center"/>
    </xf>
    <xf numFmtId="171" fontId="24" fillId="8" borderId="0" xfId="0" applyNumberFormat="1" applyFont="1" applyFill="1" applyAlignment="1">
      <alignment horizontal="left"/>
    </xf>
    <xf numFmtId="171" fontId="46" fillId="8" borderId="0" xfId="3" applyNumberFormat="1" applyFont="1" applyFill="1"/>
    <xf numFmtId="171" fontId="43" fillId="8" borderId="0" xfId="3" applyNumberFormat="1" applyFont="1" applyFill="1"/>
    <xf numFmtId="0" fontId="94" fillId="5" borderId="0" xfId="0" applyFont="1" applyFill="1"/>
    <xf numFmtId="0" fontId="183" fillId="5" borderId="0" xfId="6" applyFont="1" applyFill="1"/>
    <xf numFmtId="172" fontId="78" fillId="5" borderId="0" xfId="3" applyNumberFormat="1" applyFont="1" applyFill="1" applyBorder="1" applyAlignment="1">
      <alignment horizontal="center"/>
    </xf>
    <xf numFmtId="0" fontId="78" fillId="5" borderId="0" xfId="0" applyFont="1" applyFill="1" applyAlignment="1">
      <alignment horizontal="left"/>
    </xf>
    <xf numFmtId="0" fontId="78" fillId="5" borderId="0" xfId="0" applyFont="1" applyFill="1"/>
    <xf numFmtId="0" fontId="24" fillId="39" borderId="0" xfId="0" applyFont="1" applyFill="1"/>
    <xf numFmtId="0" fontId="184" fillId="5" borderId="0" xfId="6" applyFont="1" applyFill="1"/>
    <xf numFmtId="173" fontId="41" fillId="0" borderId="0" xfId="3" applyNumberFormat="1" applyFont="1" applyFill="1"/>
    <xf numFmtId="171" fontId="24" fillId="0" borderId="0" xfId="0" applyNumberFormat="1" applyFont="1" applyAlignment="1">
      <alignment horizontal="left"/>
    </xf>
    <xf numFmtId="2" fontId="185" fillId="10" borderId="51" xfId="11" applyNumberFormat="1" applyFont="1" applyFill="1" applyBorder="1" applyAlignment="1">
      <alignment horizontal="center" vertical="center"/>
    </xf>
    <xf numFmtId="0" fontId="185" fillId="21" borderId="40" xfId="11" applyFont="1" applyFill="1" applyBorder="1" applyAlignment="1">
      <alignment horizontal="center" vertical="center"/>
    </xf>
    <xf numFmtId="0" fontId="185" fillId="21" borderId="9" xfId="11" applyFont="1" applyFill="1" applyBorder="1" applyAlignment="1">
      <alignment horizontal="center" vertical="center"/>
    </xf>
    <xf numFmtId="0" fontId="186" fillId="10" borderId="0" xfId="11" applyFont="1" applyFill="1" applyAlignment="1">
      <alignment horizontal="left" vertical="center" indent="1"/>
    </xf>
    <xf numFmtId="0" fontId="94" fillId="0" borderId="0" xfId="6" applyFont="1" applyAlignment="1">
      <alignment vertical="center"/>
    </xf>
    <xf numFmtId="0" fontId="78" fillId="0" borderId="0" xfId="11" applyFont="1" applyAlignment="1">
      <alignment horizontal="left" vertical="center"/>
    </xf>
    <xf numFmtId="173" fontId="78" fillId="0" borderId="0" xfId="3" applyNumberFormat="1" applyFont="1" applyFill="1" applyAlignment="1">
      <alignment horizontal="center" vertical="center"/>
    </xf>
    <xf numFmtId="172" fontId="96" fillId="0" borderId="0" xfId="3" applyNumberFormat="1" applyFont="1" applyFill="1" applyAlignment="1">
      <alignment horizontal="center" vertical="center"/>
    </xf>
    <xf numFmtId="172" fontId="78" fillId="0" borderId="0" xfId="11" applyNumberFormat="1" applyFont="1" applyAlignment="1">
      <alignment horizontal="left" vertical="center"/>
    </xf>
    <xf numFmtId="2" fontId="78" fillId="0" borderId="0" xfId="6" applyNumberFormat="1" applyFont="1"/>
    <xf numFmtId="0" fontId="78" fillId="0" borderId="0" xfId="11" applyFont="1" applyAlignment="1">
      <alignment vertical="center"/>
    </xf>
    <xf numFmtId="0" fontId="94" fillId="60" borderId="0" xfId="11" applyFont="1" applyFill="1"/>
    <xf numFmtId="0" fontId="78" fillId="60" borderId="0" xfId="6" applyFont="1" applyFill="1"/>
    <xf numFmtId="173" fontId="78" fillId="60" borderId="0" xfId="3" applyNumberFormat="1" applyFont="1" applyFill="1" applyAlignment="1">
      <alignment horizontal="center"/>
    </xf>
    <xf numFmtId="172" fontId="96" fillId="60" borderId="0" xfId="3" applyNumberFormat="1" applyFont="1" applyFill="1" applyAlignment="1">
      <alignment horizontal="center"/>
    </xf>
    <xf numFmtId="171" fontId="78" fillId="60" borderId="0" xfId="3" applyNumberFormat="1" applyFont="1" applyFill="1" applyAlignment="1">
      <alignment horizontal="center" vertical="center"/>
    </xf>
    <xf numFmtId="172" fontId="78" fillId="60" borderId="0" xfId="11" applyNumberFormat="1" applyFont="1" applyFill="1" applyAlignment="1">
      <alignment horizontal="left"/>
    </xf>
    <xf numFmtId="0" fontId="78" fillId="60" borderId="0" xfId="11" applyFont="1" applyFill="1" applyAlignment="1">
      <alignment horizontal="left"/>
    </xf>
    <xf numFmtId="0" fontId="78" fillId="60" borderId="0" xfId="6" applyFont="1" applyFill="1" applyAlignment="1">
      <alignment horizontal="left"/>
    </xf>
    <xf numFmtId="0" fontId="78" fillId="60" borderId="0" xfId="11" applyFont="1" applyFill="1"/>
    <xf numFmtId="0" fontId="0" fillId="60" borderId="0" xfId="0" applyFill="1"/>
    <xf numFmtId="0" fontId="24" fillId="60" borderId="0" xfId="0" applyFont="1" applyFill="1"/>
    <xf numFmtId="0" fontId="36" fillId="0" borderId="0" xfId="6" applyFont="1"/>
    <xf numFmtId="171" fontId="35" fillId="0" borderId="0" xfId="3" applyNumberFormat="1" applyFont="1" applyFill="1"/>
    <xf numFmtId="0" fontId="24" fillId="11" borderId="0" xfId="4" applyFont="1" applyFill="1"/>
    <xf numFmtId="0" fontId="24" fillId="10" borderId="3" xfId="0" applyFont="1" applyFill="1" applyBorder="1"/>
    <xf numFmtId="0" fontId="24" fillId="10" borderId="4" xfId="0" applyFont="1" applyFill="1" applyBorder="1"/>
    <xf numFmtId="0" fontId="187" fillId="10" borderId="0" xfId="0" applyFont="1" applyFill="1" applyAlignment="1">
      <alignment vertical="center"/>
    </xf>
    <xf numFmtId="0" fontId="98" fillId="43" borderId="52" xfId="0" applyFont="1" applyFill="1" applyBorder="1" applyAlignment="1">
      <alignment vertical="center"/>
    </xf>
    <xf numFmtId="0" fontId="98" fillId="43" borderId="66" xfId="0" applyFont="1" applyFill="1" applyBorder="1" applyAlignment="1">
      <alignment horizontal="center" vertical="center"/>
    </xf>
    <xf numFmtId="0" fontId="187" fillId="0" borderId="0" xfId="0" applyFont="1" applyAlignment="1">
      <alignment vertical="center"/>
    </xf>
    <xf numFmtId="0" fontId="24" fillId="10" borderId="10" xfId="0" applyFont="1" applyFill="1" applyBorder="1"/>
    <xf numFmtId="0" fontId="98" fillId="43" borderId="65" xfId="0" applyFont="1" applyFill="1" applyBorder="1" applyAlignment="1">
      <alignment horizontal="center" vertical="center"/>
    </xf>
    <xf numFmtId="0" fontId="98" fillId="43" borderId="56" xfId="0" applyFont="1" applyFill="1" applyBorder="1" applyAlignment="1">
      <alignment horizontal="center" vertical="center"/>
    </xf>
    <xf numFmtId="0" fontId="24" fillId="10" borderId="17" xfId="0" applyFont="1" applyFill="1" applyBorder="1"/>
    <xf numFmtId="0" fontId="24" fillId="10" borderId="59" xfId="0" applyFont="1" applyFill="1" applyBorder="1"/>
    <xf numFmtId="0" fontId="98" fillId="43" borderId="16" xfId="0" applyFont="1" applyFill="1" applyBorder="1" applyAlignment="1">
      <alignment vertical="center"/>
    </xf>
    <xf numFmtId="0" fontId="98" fillId="43" borderId="13" xfId="0" applyFont="1" applyFill="1" applyBorder="1" applyAlignment="1">
      <alignment horizontal="center" vertical="center"/>
    </xf>
    <xf numFmtId="0" fontId="189" fillId="10" borderId="17" xfId="8" applyFont="1" applyFill="1" applyBorder="1" applyAlignment="1">
      <alignment vertical="center"/>
    </xf>
    <xf numFmtId="0" fontId="24" fillId="0" borderId="59" xfId="0" applyFont="1" applyBorder="1" applyAlignment="1">
      <alignment horizontal="right" vertical="center"/>
    </xf>
    <xf numFmtId="4" fontId="33" fillId="10" borderId="0" xfId="8" applyNumberFormat="1" applyFont="1" applyFill="1" applyAlignment="1">
      <alignment horizontal="left"/>
    </xf>
    <xf numFmtId="0" fontId="189" fillId="10" borderId="7" xfId="8" applyFont="1" applyFill="1" applyBorder="1" applyAlignment="1">
      <alignment vertical="center"/>
    </xf>
    <xf numFmtId="0" fontId="24" fillId="0" borderId="8" xfId="0" applyFont="1" applyBorder="1" applyAlignment="1">
      <alignment horizontal="right" vertical="center"/>
    </xf>
    <xf numFmtId="10" fontId="33" fillId="40" borderId="9" xfId="8" applyNumberFormat="1" applyFont="1" applyFill="1" applyBorder="1" applyAlignment="1">
      <alignment horizontal="center" vertical="center"/>
    </xf>
    <xf numFmtId="4" fontId="190" fillId="40" borderId="6" xfId="8" applyNumberFormat="1" applyFont="1" applyFill="1" applyBorder="1" applyAlignment="1">
      <alignment horizontal="right" vertical="center"/>
    </xf>
    <xf numFmtId="4" fontId="190" fillId="40" borderId="8" xfId="8" applyNumberFormat="1" applyFont="1" applyFill="1" applyBorder="1" applyAlignment="1">
      <alignment horizontal="center" vertical="center"/>
    </xf>
    <xf numFmtId="0" fontId="114" fillId="21" borderId="1" xfId="8" applyFont="1" applyFill="1" applyBorder="1" applyAlignment="1">
      <alignment horizontal="center" vertical="center"/>
    </xf>
    <xf numFmtId="0" fontId="59" fillId="21" borderId="1" xfId="8" applyFont="1" applyFill="1" applyBorder="1" applyAlignment="1">
      <alignment horizontal="left" vertical="center"/>
    </xf>
    <xf numFmtId="0" fontId="59" fillId="21" borderId="1" xfId="8" applyFont="1" applyFill="1" applyBorder="1" applyAlignment="1">
      <alignment vertical="center"/>
    </xf>
    <xf numFmtId="0" fontId="25" fillId="0" borderId="0" xfId="0" applyFont="1" applyAlignment="1">
      <alignment horizontal="center" vertical="center"/>
    </xf>
    <xf numFmtId="0" fontId="25" fillId="0" borderId="0" xfId="0" applyFont="1" applyAlignment="1">
      <alignment horizontal="left" vertical="center"/>
    </xf>
    <xf numFmtId="0" fontId="119" fillId="44" borderId="52" xfId="0" applyFont="1" applyFill="1" applyBorder="1" applyAlignment="1">
      <alignment horizontal="right" vertical="center" indent="1"/>
    </xf>
    <xf numFmtId="0" fontId="119" fillId="26" borderId="68" xfId="0" applyFont="1" applyFill="1" applyBorder="1" applyAlignment="1">
      <alignment horizontal="right" vertical="center" indent="1"/>
    </xf>
    <xf numFmtId="0" fontId="119" fillId="26" borderId="18" xfId="0" applyFont="1" applyFill="1" applyBorder="1" applyAlignment="1">
      <alignment horizontal="right" vertical="center" indent="1"/>
    </xf>
    <xf numFmtId="0" fontId="26" fillId="10" borderId="3" xfId="0" applyFont="1" applyFill="1" applyBorder="1" applyAlignment="1">
      <alignment vertical="center"/>
    </xf>
    <xf numFmtId="4" fontId="25" fillId="10" borderId="3" xfId="8" applyNumberFormat="1" applyFont="1" applyFill="1" applyBorder="1" applyAlignment="1">
      <alignment vertical="center"/>
    </xf>
    <xf numFmtId="4" fontId="25" fillId="30" borderId="3" xfId="8" applyNumberFormat="1" applyFont="1" applyFill="1" applyBorder="1"/>
    <xf numFmtId="4" fontId="25" fillId="10" borderId="4" xfId="8" applyNumberFormat="1" applyFont="1" applyFill="1" applyBorder="1" applyAlignment="1">
      <alignment horizontal="center" vertical="center"/>
    </xf>
    <xf numFmtId="170" fontId="24" fillId="0" borderId="23" xfId="8" applyNumberFormat="1" applyBorder="1" applyAlignment="1">
      <alignment horizontal="center"/>
    </xf>
    <xf numFmtId="4" fontId="94" fillId="10" borderId="0" xfId="8" applyNumberFormat="1" applyFont="1" applyFill="1" applyAlignment="1">
      <alignment vertical="center"/>
    </xf>
    <xf numFmtId="4" fontId="90" fillId="10" borderId="10" xfId="0" applyNumberFormat="1" applyFont="1" applyFill="1" applyBorder="1" applyAlignment="1">
      <alignment horizontal="center"/>
    </xf>
    <xf numFmtId="0" fontId="63" fillId="10" borderId="0" xfId="0" applyFont="1" applyFill="1" applyAlignment="1">
      <alignment horizontal="left" vertical="center"/>
    </xf>
    <xf numFmtId="0" fontId="63" fillId="10" borderId="0" xfId="0" applyFont="1" applyFill="1" applyAlignment="1">
      <alignment vertical="center"/>
    </xf>
    <xf numFmtId="0" fontId="78" fillId="10" borderId="0" xfId="0" applyFont="1" applyFill="1" applyAlignment="1">
      <alignment horizontal="center" vertical="center"/>
    </xf>
    <xf numFmtId="0" fontId="90" fillId="10" borderId="0" xfId="0" applyFont="1" applyFill="1"/>
    <xf numFmtId="0" fontId="115" fillId="10" borderId="15" xfId="0" applyFont="1" applyFill="1" applyBorder="1" applyAlignment="1">
      <alignment horizontal="center" vertical="center"/>
    </xf>
    <xf numFmtId="4" fontId="25" fillId="10" borderId="10" xfId="8" applyNumberFormat="1" applyFont="1" applyFill="1" applyBorder="1" applyAlignment="1">
      <alignment horizontal="center" vertical="center"/>
    </xf>
    <xf numFmtId="170" fontId="24" fillId="0" borderId="23" xfId="8" applyNumberFormat="1" applyBorder="1" applyAlignment="1">
      <alignment horizontal="center" vertical="center"/>
    </xf>
    <xf numFmtId="0" fontId="26" fillId="0" borderId="0" xfId="0" applyFont="1"/>
    <xf numFmtId="0" fontId="89" fillId="10" borderId="15" xfId="0" applyFont="1" applyFill="1" applyBorder="1" applyAlignment="1">
      <alignment horizontal="center"/>
    </xf>
    <xf numFmtId="4" fontId="107" fillId="10" borderId="0" xfId="8" applyNumberFormat="1" applyFont="1" applyFill="1"/>
    <xf numFmtId="170" fontId="108" fillId="0" borderId="23" xfId="8" applyNumberFormat="1" applyFont="1" applyBorder="1" applyAlignment="1">
      <alignment horizontal="center"/>
    </xf>
    <xf numFmtId="4" fontId="129" fillId="10" borderId="0" xfId="8" applyNumberFormat="1" applyFont="1" applyFill="1"/>
    <xf numFmtId="170" fontId="93" fillId="10" borderId="53" xfId="8" applyNumberFormat="1" applyFont="1" applyFill="1" applyBorder="1" applyAlignment="1">
      <alignment horizontal="center" vertical="center"/>
    </xf>
    <xf numFmtId="4" fontId="63" fillId="10" borderId="60" xfId="8" applyNumberFormat="1" applyFont="1" applyFill="1" applyBorder="1" applyAlignment="1">
      <alignment horizontal="left" vertical="center"/>
    </xf>
    <xf numFmtId="4" fontId="24" fillId="10" borderId="7" xfId="0" applyNumberFormat="1" applyFont="1" applyFill="1" applyBorder="1" applyAlignment="1">
      <alignment vertical="center"/>
    </xf>
    <xf numFmtId="4" fontId="24" fillId="10" borderId="8" xfId="0" applyNumberFormat="1" applyFont="1" applyFill="1" applyBorder="1" applyAlignment="1">
      <alignment horizontal="center" vertical="center"/>
    </xf>
    <xf numFmtId="0" fontId="24" fillId="10" borderId="23" xfId="6" applyFill="1" applyBorder="1" applyAlignment="1">
      <alignment horizontal="center" vertical="center"/>
    </xf>
    <xf numFmtId="4" fontId="24" fillId="10" borderId="23" xfId="8" applyNumberFormat="1" applyFill="1" applyBorder="1" applyAlignment="1">
      <alignment horizontal="center" vertical="center"/>
    </xf>
    <xf numFmtId="170" fontId="63" fillId="10" borderId="23" xfId="8" applyNumberFormat="1" applyFont="1" applyFill="1" applyBorder="1" applyAlignment="1">
      <alignment horizontal="center" vertical="center"/>
    </xf>
    <xf numFmtId="4" fontId="63" fillId="10" borderId="24" xfId="8" applyNumberFormat="1" applyFont="1" applyFill="1" applyBorder="1" applyAlignment="1">
      <alignment horizontal="center" vertical="center"/>
    </xf>
    <xf numFmtId="4" fontId="94" fillId="10" borderId="10" xfId="8" applyNumberFormat="1" applyFont="1" applyFill="1" applyBorder="1" applyAlignment="1">
      <alignment horizontal="center" vertical="center"/>
    </xf>
    <xf numFmtId="4" fontId="194" fillId="10" borderId="0" xfId="8" applyNumberFormat="1" applyFont="1" applyFill="1" applyAlignment="1">
      <alignment vertical="center"/>
    </xf>
    <xf numFmtId="0" fontId="105" fillId="10" borderId="15" xfId="0" applyFont="1" applyFill="1" applyBorder="1" applyAlignment="1">
      <alignment horizontal="center"/>
    </xf>
    <xf numFmtId="4" fontId="24" fillId="10" borderId="23" xfId="8" applyNumberFormat="1" applyFill="1" applyBorder="1" applyAlignment="1">
      <alignment horizontal="center"/>
    </xf>
    <xf numFmtId="4" fontId="63" fillId="10" borderId="24" xfId="8" applyNumberFormat="1" applyFont="1" applyFill="1" applyBorder="1" applyAlignment="1">
      <alignment horizontal="center"/>
    </xf>
    <xf numFmtId="0" fontId="105" fillId="10" borderId="0" xfId="0" applyFont="1" applyFill="1" applyAlignment="1">
      <alignment horizontal="center" vertical="center"/>
    </xf>
    <xf numFmtId="4" fontId="24" fillId="10" borderId="24" xfId="8" applyNumberFormat="1" applyFill="1" applyBorder="1" applyAlignment="1">
      <alignment horizontal="center" vertical="center"/>
    </xf>
    <xf numFmtId="0" fontId="78" fillId="10" borderId="24" xfId="0" applyFont="1" applyFill="1" applyBorder="1" applyAlignment="1">
      <alignment horizontal="center"/>
    </xf>
    <xf numFmtId="4" fontId="63" fillId="10" borderId="23" xfId="8" applyNumberFormat="1" applyFont="1" applyFill="1" applyBorder="1" applyAlignment="1">
      <alignment horizontal="center" vertical="center"/>
    </xf>
    <xf numFmtId="4" fontId="91" fillId="10" borderId="23" xfId="8" applyNumberFormat="1" applyFont="1" applyFill="1" applyBorder="1" applyAlignment="1">
      <alignment horizontal="center" vertical="center"/>
    </xf>
    <xf numFmtId="4" fontId="91" fillId="10" borderId="24" xfId="8" applyNumberFormat="1" applyFont="1" applyFill="1" applyBorder="1" applyAlignment="1">
      <alignment horizontal="center" vertical="center"/>
    </xf>
    <xf numFmtId="170" fontId="111" fillId="10" borderId="23" xfId="8" applyNumberFormat="1" applyFont="1" applyFill="1" applyBorder="1" applyAlignment="1">
      <alignment horizontal="center"/>
    </xf>
    <xf numFmtId="4" fontId="78" fillId="10" borderId="23" xfId="8" applyNumberFormat="1" applyFont="1" applyFill="1" applyBorder="1" applyAlignment="1">
      <alignment horizontal="center"/>
    </xf>
    <xf numFmtId="4" fontId="78" fillId="10" borderId="24" xfId="8" applyNumberFormat="1" applyFont="1" applyFill="1" applyBorder="1" applyAlignment="1">
      <alignment horizontal="center"/>
    </xf>
    <xf numFmtId="0" fontId="26" fillId="10" borderId="7" xfId="0" applyFont="1" applyFill="1" applyBorder="1" applyAlignment="1">
      <alignment vertical="center"/>
    </xf>
    <xf numFmtId="4" fontId="25" fillId="10" borderId="7" xfId="8" applyNumberFormat="1" applyFont="1" applyFill="1" applyBorder="1" applyAlignment="1">
      <alignment vertical="center"/>
    </xf>
    <xf numFmtId="4" fontId="25" fillId="10" borderId="8" xfId="8" applyNumberFormat="1" applyFont="1" applyFill="1" applyBorder="1" applyAlignment="1">
      <alignment horizontal="center" vertical="center"/>
    </xf>
    <xf numFmtId="0" fontId="115" fillId="10" borderId="0" xfId="6" applyFont="1" applyFill="1"/>
    <xf numFmtId="0" fontId="195" fillId="29" borderId="0" xfId="8" applyFont="1" applyFill="1" applyAlignment="1">
      <alignment horizontal="center"/>
    </xf>
    <xf numFmtId="0" fontId="195" fillId="10" borderId="0" xfId="8" applyFont="1" applyFill="1"/>
    <xf numFmtId="0" fontId="195" fillId="29" borderId="0" xfId="8" applyFont="1" applyFill="1"/>
    <xf numFmtId="0" fontId="25" fillId="29" borderId="0" xfId="11" applyFont="1" applyFill="1"/>
    <xf numFmtId="0" fontId="196" fillId="10" borderId="0" xfId="6" applyFont="1" applyFill="1"/>
    <xf numFmtId="0" fontId="197" fillId="20" borderId="0" xfId="11" applyFont="1" applyFill="1"/>
    <xf numFmtId="0" fontId="94" fillId="32" borderId="0" xfId="11" applyFont="1" applyFill="1"/>
    <xf numFmtId="0" fontId="24" fillId="32" borderId="0" xfId="0" applyFont="1" applyFill="1" applyAlignment="1">
      <alignment horizontal="left"/>
    </xf>
    <xf numFmtId="0" fontId="78" fillId="32" borderId="0" xfId="11" applyFont="1" applyFill="1"/>
    <xf numFmtId="0" fontId="24" fillId="32" borderId="0" xfId="0" applyFont="1" applyFill="1"/>
    <xf numFmtId="0" fontId="94" fillId="38" borderId="0" xfId="11" applyFont="1" applyFill="1"/>
    <xf numFmtId="0" fontId="24" fillId="38" borderId="0" xfId="0" applyFont="1" applyFill="1" applyAlignment="1">
      <alignment horizontal="left"/>
    </xf>
    <xf numFmtId="0" fontId="78" fillId="38" borderId="0" xfId="11" applyFont="1" applyFill="1"/>
    <xf numFmtId="0" fontId="24" fillId="38" borderId="0" xfId="0" applyFont="1" applyFill="1"/>
    <xf numFmtId="0" fontId="24" fillId="64" borderId="0" xfId="0" applyFont="1" applyFill="1" applyAlignment="1">
      <alignment horizontal="left"/>
    </xf>
    <xf numFmtId="0" fontId="78" fillId="64" borderId="0" xfId="11" applyFont="1" applyFill="1"/>
    <xf numFmtId="0" fontId="24" fillId="64" borderId="0" xfId="0" applyFont="1" applyFill="1"/>
    <xf numFmtId="49" fontId="78" fillId="10" borderId="0" xfId="6" quotePrefix="1" applyNumberFormat="1" applyFont="1" applyFill="1" applyAlignment="1">
      <alignment horizontal="left"/>
    </xf>
    <xf numFmtId="49" fontId="59" fillId="10" borderId="67" xfId="8" applyNumberFormat="1" applyFont="1" applyFill="1" applyBorder="1"/>
    <xf numFmtId="0" fontId="24" fillId="10" borderId="67" xfId="8" applyFill="1" applyBorder="1"/>
    <xf numFmtId="49" fontId="59" fillId="10" borderId="67" xfId="8" quotePrefix="1" applyNumberFormat="1" applyFont="1" applyFill="1" applyBorder="1"/>
    <xf numFmtId="0" fontId="94" fillId="68" borderId="0" xfId="6" applyFont="1" applyFill="1"/>
    <xf numFmtId="172" fontId="96" fillId="36" borderId="0" xfId="3" applyNumberFormat="1" applyFont="1" applyFill="1" applyAlignment="1">
      <alignment horizontal="center" vertical="center"/>
    </xf>
    <xf numFmtId="0" fontId="24" fillId="8" borderId="0" xfId="0" applyFont="1" applyFill="1" applyAlignment="1">
      <alignment vertical="center"/>
    </xf>
    <xf numFmtId="0" fontId="24" fillId="36" borderId="0" xfId="0" applyFont="1" applyFill="1"/>
    <xf numFmtId="0" fontId="63" fillId="36" borderId="0" xfId="8" applyFont="1" applyFill="1" applyAlignment="1">
      <alignment vertical="center"/>
    </xf>
    <xf numFmtId="173" fontId="41" fillId="36" borderId="0" xfId="3" applyNumberFormat="1" applyFont="1" applyFill="1" applyAlignment="1">
      <alignment vertical="center"/>
    </xf>
    <xf numFmtId="171" fontId="57" fillId="36" borderId="0" xfId="3" applyNumberFormat="1" applyFont="1" applyFill="1" applyAlignment="1">
      <alignment vertical="center"/>
    </xf>
    <xf numFmtId="171" fontId="24" fillId="36" borderId="0" xfId="3" applyNumberFormat="1" applyFont="1" applyFill="1" applyAlignment="1">
      <alignment vertical="center"/>
    </xf>
    <xf numFmtId="0" fontId="24" fillId="39" borderId="0" xfId="0" applyFont="1" applyFill="1" applyAlignment="1">
      <alignment horizontal="left" vertical="center"/>
    </xf>
    <xf numFmtId="171" fontId="24" fillId="8" borderId="0" xfId="0" applyNumberFormat="1" applyFont="1" applyFill="1" applyAlignment="1">
      <alignment horizontal="left" vertical="center"/>
    </xf>
    <xf numFmtId="0" fontId="25" fillId="8" borderId="0" xfId="0" applyFont="1" applyFill="1" applyAlignment="1">
      <alignment vertical="center"/>
    </xf>
    <xf numFmtId="172" fontId="78" fillId="5" borderId="0" xfId="3" applyNumberFormat="1" applyFont="1" applyFill="1" applyAlignment="1">
      <alignment horizontal="center"/>
    </xf>
    <xf numFmtId="0" fontId="78" fillId="5" borderId="0" xfId="11" quotePrefix="1" applyFont="1" applyFill="1" applyAlignment="1">
      <alignment horizontal="left"/>
    </xf>
    <xf numFmtId="0" fontId="101" fillId="29" borderId="51" xfId="4" applyFont="1" applyFill="1" applyBorder="1" applyAlignment="1">
      <alignment vertical="center"/>
    </xf>
    <xf numFmtId="0" fontId="100" fillId="23" borderId="18" xfId="4" applyFont="1" applyFill="1" applyBorder="1" applyAlignment="1">
      <alignment horizontal="center" vertical="center"/>
    </xf>
    <xf numFmtId="2" fontId="100" fillId="23" borderId="1" xfId="4" applyNumberFormat="1" applyFont="1" applyFill="1" applyBorder="1" applyAlignment="1">
      <alignment horizontal="center" vertical="center"/>
    </xf>
    <xf numFmtId="0" fontId="100" fillId="23" borderId="21" xfId="4" applyFont="1" applyFill="1" applyBorder="1" applyAlignment="1">
      <alignment horizontal="center" vertical="center"/>
    </xf>
    <xf numFmtId="0" fontId="78" fillId="19" borderId="0" xfId="6" applyFont="1" applyFill="1"/>
    <xf numFmtId="172" fontId="96" fillId="19" borderId="0" xfId="3" applyNumberFormat="1" applyFont="1" applyFill="1" applyAlignment="1">
      <alignment horizontal="center"/>
    </xf>
    <xf numFmtId="171" fontId="78" fillId="19" borderId="0" xfId="3" applyNumberFormat="1" applyFont="1" applyFill="1" applyBorder="1" applyAlignment="1">
      <alignment horizontal="center" vertical="center"/>
    </xf>
    <xf numFmtId="172" fontId="78" fillId="19" borderId="0" xfId="11" applyNumberFormat="1" applyFont="1" applyFill="1" applyAlignment="1">
      <alignment horizontal="left"/>
    </xf>
    <xf numFmtId="2" fontId="78" fillId="19" borderId="0" xfId="6" applyNumberFormat="1" applyFont="1" applyFill="1"/>
    <xf numFmtId="0" fontId="78" fillId="19" borderId="0" xfId="11" applyFont="1" applyFill="1" applyAlignment="1">
      <alignment horizontal="left"/>
    </xf>
    <xf numFmtId="0" fontId="78" fillId="19" borderId="0" xfId="11" applyFont="1" applyFill="1"/>
    <xf numFmtId="0" fontId="24" fillId="5" borderId="0" xfId="4" applyFont="1" applyFill="1"/>
    <xf numFmtId="0" fontId="24" fillId="5" borderId="0" xfId="4" applyFont="1" applyFill="1" applyAlignment="1">
      <alignment horizontal="center"/>
    </xf>
    <xf numFmtId="4" fontId="106" fillId="10" borderId="25" xfId="8" applyNumberFormat="1" applyFont="1" applyFill="1" applyBorder="1" applyAlignment="1">
      <alignment horizontal="right"/>
    </xf>
    <xf numFmtId="0" fontId="78" fillId="21" borderId="0" xfId="11" applyFont="1" applyFill="1" applyAlignment="1" applyProtection="1">
      <alignment horizontal="left"/>
      <protection locked="0"/>
    </xf>
    <xf numFmtId="0" fontId="94" fillId="18" borderId="0" xfId="11" applyFont="1" applyFill="1"/>
    <xf numFmtId="0" fontId="24" fillId="10" borderId="23" xfId="0" applyFont="1" applyFill="1" applyBorder="1" applyAlignment="1">
      <alignment horizontal="center" vertical="center"/>
    </xf>
    <xf numFmtId="0" fontId="26" fillId="10" borderId="3" xfId="6" applyFont="1" applyFill="1" applyBorder="1" applyAlignment="1">
      <alignment horizontal="center" vertical="center"/>
    </xf>
    <xf numFmtId="170" fontId="91" fillId="10" borderId="23" xfId="8" applyNumberFormat="1" applyFont="1" applyFill="1" applyBorder="1" applyAlignment="1">
      <alignment horizontal="center" vertical="center"/>
    </xf>
    <xf numFmtId="0" fontId="26" fillId="10" borderId="7" xfId="6" applyFont="1" applyFill="1" applyBorder="1" applyAlignment="1">
      <alignment horizontal="center" vertical="center"/>
    </xf>
    <xf numFmtId="170" fontId="36" fillId="10" borderId="15" xfId="8" applyNumberFormat="1" applyFont="1" applyFill="1" applyBorder="1" applyAlignment="1">
      <alignment horizontal="center" vertical="center"/>
    </xf>
    <xf numFmtId="0" fontId="0" fillId="64" borderId="0" xfId="0" applyFill="1"/>
    <xf numFmtId="0" fontId="39" fillId="64" borderId="0" xfId="6" applyFont="1" applyFill="1"/>
    <xf numFmtId="0" fontId="78" fillId="29" borderId="24" xfId="6" applyFont="1" applyFill="1" applyBorder="1"/>
    <xf numFmtId="172" fontId="78" fillId="29" borderId="0" xfId="3" applyNumberFormat="1" applyFont="1" applyFill="1" applyAlignment="1">
      <alignment horizontal="center"/>
    </xf>
    <xf numFmtId="172" fontId="78" fillId="29" borderId="0" xfId="11" applyNumberFormat="1" applyFont="1" applyFill="1" applyAlignment="1">
      <alignment horizontal="left"/>
    </xf>
    <xf numFmtId="0" fontId="78" fillId="29" borderId="0" xfId="11" applyFont="1" applyFill="1" applyAlignment="1">
      <alignment horizontal="left"/>
    </xf>
    <xf numFmtId="0" fontId="24" fillId="29" borderId="0" xfId="0" applyFont="1" applyFill="1" applyAlignment="1">
      <alignment horizontal="left"/>
    </xf>
    <xf numFmtId="0" fontId="78" fillId="29" borderId="0" xfId="11" applyFont="1" applyFill="1"/>
    <xf numFmtId="0" fontId="24" fillId="29" borderId="0" xfId="0" applyFont="1" applyFill="1"/>
    <xf numFmtId="0" fontId="24" fillId="29" borderId="0" xfId="0" applyFont="1" applyFill="1" applyAlignment="1">
      <alignment horizontal="center" vertical="center"/>
    </xf>
    <xf numFmtId="172" fontId="78" fillId="59" borderId="0" xfId="3" applyNumberFormat="1" applyFont="1" applyFill="1" applyAlignment="1">
      <alignment horizontal="center"/>
    </xf>
    <xf numFmtId="171" fontId="78" fillId="59" borderId="0" xfId="3" applyNumberFormat="1" applyFont="1" applyFill="1" applyAlignment="1">
      <alignment horizontal="center" vertical="center"/>
    </xf>
    <xf numFmtId="172" fontId="78" fillId="59" borderId="0" xfId="11" applyNumberFormat="1" applyFont="1" applyFill="1" applyAlignment="1">
      <alignment horizontal="left"/>
    </xf>
    <xf numFmtId="0" fontId="24" fillId="59" borderId="0" xfId="0" applyFont="1" applyFill="1" applyAlignment="1">
      <alignment horizontal="left"/>
    </xf>
    <xf numFmtId="0" fontId="78" fillId="59" borderId="0" xfId="11" applyFont="1" applyFill="1"/>
    <xf numFmtId="0" fontId="24" fillId="59" borderId="0" xfId="0" applyFont="1" applyFill="1" applyAlignment="1">
      <alignment horizontal="center" vertical="center"/>
    </xf>
    <xf numFmtId="0" fontId="78" fillId="59" borderId="24" xfId="6" applyFont="1" applyFill="1" applyBorder="1"/>
    <xf numFmtId="0" fontId="78" fillId="64" borderId="0" xfId="6" applyFont="1" applyFill="1" applyAlignment="1">
      <alignment horizontal="left" vertical="center"/>
    </xf>
    <xf numFmtId="173" fontId="41" fillId="64" borderId="0" xfId="3" applyNumberFormat="1" applyFont="1" applyFill="1" applyAlignment="1">
      <alignment vertical="center"/>
    </xf>
    <xf numFmtId="172" fontId="96" fillId="64" borderId="0" xfId="3" applyNumberFormat="1" applyFont="1" applyFill="1" applyAlignment="1">
      <alignment horizontal="center" vertical="center"/>
    </xf>
    <xf numFmtId="171" fontId="35" fillId="64" borderId="0" xfId="3" applyNumberFormat="1" applyFont="1" applyFill="1" applyAlignment="1">
      <alignment vertical="center"/>
    </xf>
    <xf numFmtId="171" fontId="24" fillId="64" borderId="0" xfId="3" applyNumberFormat="1" applyFont="1" applyFill="1" applyAlignment="1">
      <alignment vertical="center"/>
    </xf>
    <xf numFmtId="4" fontId="24" fillId="64" borderId="0" xfId="8" applyNumberFormat="1" applyFill="1" applyAlignment="1">
      <alignment vertical="center"/>
    </xf>
    <xf numFmtId="0" fontId="24" fillId="10" borderId="0" xfId="0" quotePrefix="1" applyFont="1" applyFill="1" applyAlignment="1">
      <alignment horizontal="left" vertical="center"/>
    </xf>
    <xf numFmtId="171" fontId="24" fillId="8" borderId="0" xfId="0" applyNumberFormat="1" applyFont="1" applyFill="1" applyAlignment="1">
      <alignment vertical="center"/>
    </xf>
    <xf numFmtId="0" fontId="24" fillId="5" borderId="67" xfId="8" applyFill="1" applyBorder="1"/>
    <xf numFmtId="0" fontId="24" fillId="10" borderId="2" xfId="0" applyFont="1" applyFill="1" applyBorder="1" applyAlignment="1">
      <alignment horizontal="center"/>
    </xf>
    <xf numFmtId="0" fontId="24" fillId="10" borderId="11" xfId="0" applyFont="1" applyFill="1" applyBorder="1" applyAlignment="1">
      <alignment horizontal="center"/>
    </xf>
    <xf numFmtId="0" fontId="24" fillId="10" borderId="69" xfId="0" applyFont="1" applyFill="1" applyBorder="1" applyAlignment="1">
      <alignment horizontal="center"/>
    </xf>
    <xf numFmtId="170" fontId="24" fillId="10" borderId="7" xfId="8" applyNumberFormat="1" applyFill="1" applyBorder="1" applyAlignment="1">
      <alignment horizontal="center" vertical="center"/>
    </xf>
    <xf numFmtId="0" fontId="78" fillId="10" borderId="24" xfId="11" applyFont="1" applyFill="1" applyBorder="1" applyAlignment="1">
      <alignment horizontal="center"/>
    </xf>
    <xf numFmtId="0" fontId="108" fillId="0" borderId="24" xfId="0" applyFont="1" applyBorder="1" applyAlignment="1">
      <alignment horizontal="center"/>
    </xf>
    <xf numFmtId="0" fontId="78" fillId="0" borderId="23" xfId="0" applyFont="1" applyBorder="1" applyAlignment="1">
      <alignment horizontal="center" vertical="center"/>
    </xf>
    <xf numFmtId="0" fontId="88" fillId="10" borderId="7" xfId="0" applyFont="1" applyFill="1" applyBorder="1" applyAlignment="1">
      <alignment horizontal="center" vertical="center"/>
    </xf>
    <xf numFmtId="0" fontId="26" fillId="10" borderId="0" xfId="0" applyFont="1" applyFill="1" applyAlignment="1">
      <alignment vertical="center"/>
    </xf>
    <xf numFmtId="4" fontId="24" fillId="10" borderId="0" xfId="8" applyNumberFormat="1" applyFill="1" applyAlignment="1">
      <alignment horizontal="center" vertical="center"/>
    </xf>
    <xf numFmtId="4" fontId="63" fillId="0" borderId="25" xfId="8" applyNumberFormat="1" applyFont="1" applyBorder="1" applyAlignment="1">
      <alignment vertical="center"/>
    </xf>
    <xf numFmtId="4" fontId="24" fillId="10" borderId="25" xfId="8" applyNumberFormat="1" applyFill="1" applyBorder="1"/>
    <xf numFmtId="0" fontId="26" fillId="10" borderId="25" xfId="6" applyFont="1" applyFill="1" applyBorder="1" applyAlignment="1">
      <alignment vertical="center"/>
    </xf>
    <xf numFmtId="4" fontId="91" fillId="10" borderId="25" xfId="8" applyNumberFormat="1" applyFont="1" applyFill="1" applyBorder="1" applyAlignment="1">
      <alignment horizontal="left" vertical="center"/>
    </xf>
    <xf numFmtId="182" fontId="108" fillId="0" borderId="25" xfId="8" applyNumberFormat="1" applyFont="1" applyBorder="1" applyAlignment="1">
      <alignment horizontal="right"/>
    </xf>
    <xf numFmtId="0" fontId="78" fillId="0" borderId="24" xfId="0" applyFont="1" applyBorder="1" applyAlignment="1">
      <alignment horizontal="center" vertical="center"/>
    </xf>
    <xf numFmtId="0" fontId="78" fillId="10" borderId="24" xfId="6" applyFont="1" applyFill="1" applyBorder="1" applyAlignment="1">
      <alignment horizontal="center"/>
    </xf>
    <xf numFmtId="0" fontId="54" fillId="8" borderId="24" xfId="6" applyFont="1" applyFill="1" applyBorder="1" applyAlignment="1">
      <alignment horizontal="center"/>
    </xf>
    <xf numFmtId="2" fontId="63" fillId="10" borderId="24" xfId="6" applyNumberFormat="1" applyFont="1" applyFill="1" applyBorder="1" applyAlignment="1">
      <alignment horizontal="center"/>
    </xf>
    <xf numFmtId="2" fontId="78" fillId="10" borderId="24" xfId="6" applyNumberFormat="1" applyFont="1" applyFill="1" applyBorder="1" applyAlignment="1">
      <alignment horizontal="center"/>
    </xf>
    <xf numFmtId="0" fontId="91" fillId="10" borderId="24" xfId="6" applyFont="1" applyFill="1" applyBorder="1" applyAlignment="1">
      <alignment horizontal="center"/>
    </xf>
    <xf numFmtId="0" fontId="198" fillId="10" borderId="0" xfId="6" applyFont="1" applyFill="1" applyAlignment="1">
      <alignment horizontal="center" vertical="center"/>
    </xf>
    <xf numFmtId="0" fontId="88" fillId="10" borderId="25" xfId="0" applyFont="1" applyFill="1" applyBorder="1" applyAlignment="1">
      <alignment horizontal="center" vertical="center"/>
    </xf>
    <xf numFmtId="0" fontId="90" fillId="10" borderId="0" xfId="0" applyFont="1" applyFill="1" applyAlignment="1">
      <alignment horizontal="center"/>
    </xf>
    <xf numFmtId="0" fontId="26" fillId="10" borderId="23" xfId="0" applyFont="1" applyFill="1" applyBorder="1" applyAlignment="1">
      <alignment horizontal="center"/>
    </xf>
    <xf numFmtId="0" fontId="26" fillId="10" borderId="24" xfId="0" applyFont="1" applyFill="1" applyBorder="1"/>
    <xf numFmtId="4" fontId="105" fillId="29" borderId="24" xfId="8" applyNumberFormat="1" applyFont="1" applyFill="1" applyBorder="1" applyAlignment="1">
      <alignment horizontal="center"/>
    </xf>
    <xf numFmtId="0" fontId="199" fillId="10" borderId="0" xfId="0" applyFont="1" applyFill="1" applyAlignment="1">
      <alignment horizontal="center"/>
    </xf>
    <xf numFmtId="170" fontId="78" fillId="10" borderId="23" xfId="8" applyNumberFormat="1" applyFont="1" applyFill="1" applyBorder="1" applyAlignment="1">
      <alignment horizontal="right"/>
    </xf>
    <xf numFmtId="4" fontId="78" fillId="10" borderId="24" xfId="8" applyNumberFormat="1" applyFont="1" applyFill="1" applyBorder="1" applyAlignment="1">
      <alignment horizontal="left" indent="1"/>
    </xf>
    <xf numFmtId="4" fontId="63" fillId="15" borderId="24" xfId="8" applyNumberFormat="1" applyFont="1" applyFill="1" applyBorder="1" applyAlignment="1">
      <alignment horizontal="center"/>
    </xf>
    <xf numFmtId="0" fontId="111" fillId="16" borderId="0" xfId="0" applyFont="1" applyFill="1" applyAlignment="1">
      <alignment horizontal="center"/>
    </xf>
    <xf numFmtId="170" fontId="110" fillId="10" borderId="23" xfId="0" applyNumberFormat="1" applyFont="1" applyFill="1" applyBorder="1" applyAlignment="1">
      <alignment horizontal="right"/>
    </xf>
    <xf numFmtId="0" fontId="110" fillId="10" borderId="24" xfId="0" applyFont="1" applyFill="1" applyBorder="1" applyAlignment="1">
      <alignment horizontal="left" indent="1"/>
    </xf>
    <xf numFmtId="0" fontId="110" fillId="10" borderId="24" xfId="0" applyFont="1" applyFill="1" applyBorder="1" applyAlignment="1">
      <alignment horizontal="center"/>
    </xf>
    <xf numFmtId="4" fontId="110" fillId="10" borderId="23" xfId="8" applyNumberFormat="1" applyFont="1" applyFill="1" applyBorder="1" applyAlignment="1">
      <alignment horizontal="center"/>
    </xf>
    <xf numFmtId="4" fontId="110" fillId="15" borderId="24" xfId="8" applyNumberFormat="1" applyFont="1" applyFill="1" applyBorder="1" applyAlignment="1">
      <alignment horizontal="center"/>
    </xf>
    <xf numFmtId="4" fontId="110" fillId="10" borderId="0" xfId="8" applyNumberFormat="1" applyFont="1" applyFill="1"/>
    <xf numFmtId="4" fontId="110" fillId="10" borderId="10" xfId="8" applyNumberFormat="1" applyFont="1" applyFill="1" applyBorder="1" applyAlignment="1">
      <alignment horizontal="center"/>
    </xf>
    <xf numFmtId="0" fontId="110" fillId="10" borderId="0" xfId="0" applyFont="1" applyFill="1"/>
    <xf numFmtId="170" fontId="106" fillId="10" borderId="23" xfId="8" applyNumberFormat="1" applyFont="1" applyFill="1" applyBorder="1" applyAlignment="1">
      <alignment horizontal="right"/>
    </xf>
    <xf numFmtId="4" fontId="106" fillId="15" borderId="23" xfId="8" applyNumberFormat="1" applyFont="1" applyFill="1" applyBorder="1" applyAlignment="1">
      <alignment horizontal="center"/>
    </xf>
    <xf numFmtId="4" fontId="105" fillId="10" borderId="0" xfId="8" applyNumberFormat="1" applyFont="1" applyFill="1"/>
    <xf numFmtId="0" fontId="90" fillId="10" borderId="23" xfId="6" applyFont="1" applyFill="1" applyBorder="1" applyAlignment="1">
      <alignment horizontal="center" vertical="center"/>
    </xf>
    <xf numFmtId="4" fontId="24" fillId="10" borderId="25" xfId="8" applyNumberFormat="1" applyFill="1" applyBorder="1" applyAlignment="1">
      <alignment horizontal="left"/>
    </xf>
    <xf numFmtId="0" fontId="88" fillId="10" borderId="24" xfId="0" applyFont="1" applyFill="1" applyBorder="1" applyAlignment="1">
      <alignment horizontal="center" vertical="center"/>
    </xf>
    <xf numFmtId="4" fontId="78" fillId="10" borderId="10" xfId="0" applyNumberFormat="1" applyFont="1" applyFill="1" applyBorder="1" applyAlignment="1">
      <alignment horizontal="center"/>
    </xf>
    <xf numFmtId="170" fontId="106" fillId="21" borderId="23" xfId="8" applyNumberFormat="1" applyFont="1" applyFill="1" applyBorder="1" applyAlignment="1">
      <alignment horizontal="right"/>
    </xf>
    <xf numFmtId="4" fontId="106" fillId="21" borderId="24" xfId="8" applyNumberFormat="1" applyFont="1" applyFill="1" applyBorder="1" applyAlignment="1">
      <alignment horizontal="right"/>
    </xf>
    <xf numFmtId="0" fontId="24" fillId="10" borderId="15" xfId="0" applyFont="1" applyFill="1" applyBorder="1"/>
    <xf numFmtId="170" fontId="63" fillId="10" borderId="23" xfId="8" applyNumberFormat="1" applyFont="1" applyFill="1" applyBorder="1" applyAlignment="1">
      <alignment horizontal="right"/>
    </xf>
    <xf numFmtId="4" fontId="63" fillId="10" borderId="24" xfId="8" applyNumberFormat="1" applyFont="1" applyFill="1" applyBorder="1" applyAlignment="1">
      <alignment horizontal="left" indent="1"/>
    </xf>
    <xf numFmtId="0" fontId="110" fillId="10" borderId="15" xfId="0" applyFont="1" applyFill="1" applyBorder="1"/>
    <xf numFmtId="0" fontId="88" fillId="10" borderId="24" xfId="0" applyFont="1" applyFill="1" applyBorder="1" applyAlignment="1">
      <alignment horizontal="center"/>
    </xf>
    <xf numFmtId="4" fontId="105" fillId="5" borderId="24" xfId="8" applyNumberFormat="1" applyFont="1" applyFill="1" applyBorder="1" applyAlignment="1">
      <alignment horizontal="center"/>
    </xf>
    <xf numFmtId="4" fontId="110" fillId="10" borderId="24" xfId="8" applyNumberFormat="1" applyFont="1" applyFill="1" applyBorder="1" applyAlignment="1">
      <alignment horizontal="center"/>
    </xf>
    <xf numFmtId="0" fontId="106" fillId="21" borderId="24" xfId="0" applyFont="1" applyFill="1" applyBorder="1" applyAlignment="1">
      <alignment horizontal="center"/>
    </xf>
    <xf numFmtId="4" fontId="63" fillId="10" borderId="23" xfId="8" applyNumberFormat="1" applyFont="1" applyFill="1" applyBorder="1" applyAlignment="1">
      <alignment horizontal="center"/>
    </xf>
    <xf numFmtId="4" fontId="63" fillId="16" borderId="24" xfId="8" applyNumberFormat="1" applyFont="1" applyFill="1" applyBorder="1" applyAlignment="1">
      <alignment horizontal="center"/>
    </xf>
    <xf numFmtId="0" fontId="63" fillId="10" borderId="24" xfId="0" applyFont="1" applyFill="1" applyBorder="1" applyAlignment="1">
      <alignment horizontal="center"/>
    </xf>
    <xf numFmtId="0" fontId="0" fillId="16" borderId="0" xfId="0" applyFill="1"/>
    <xf numFmtId="4" fontId="108" fillId="0" borderId="25" xfId="8" applyNumberFormat="1" applyFont="1" applyBorder="1" applyAlignment="1">
      <alignment horizontal="right" vertical="center"/>
    </xf>
    <xf numFmtId="0" fontId="26" fillId="10" borderId="25" xfId="0" applyFont="1" applyFill="1" applyBorder="1"/>
    <xf numFmtId="0" fontId="24" fillId="10" borderId="23" xfId="6" applyFill="1" applyBorder="1" applyAlignment="1">
      <alignment horizontal="right" vertical="center"/>
    </xf>
    <xf numFmtId="183" fontId="39" fillId="10" borderId="24" xfId="8" applyNumberFormat="1" applyFont="1" applyFill="1" applyBorder="1" applyAlignment="1">
      <alignment horizontal="right"/>
    </xf>
    <xf numFmtId="2" fontId="78" fillId="29" borderId="24" xfId="6" applyNumberFormat="1" applyFont="1" applyFill="1" applyBorder="1" applyAlignment="1">
      <alignment horizontal="center"/>
    </xf>
    <xf numFmtId="4" fontId="63" fillId="29" borderId="23" xfId="8" applyNumberFormat="1" applyFont="1" applyFill="1" applyBorder="1" applyAlignment="1">
      <alignment horizontal="center" vertical="center"/>
    </xf>
    <xf numFmtId="4" fontId="63" fillId="29" borderId="24" xfId="8" applyNumberFormat="1" applyFont="1" applyFill="1" applyBorder="1" applyAlignment="1">
      <alignment horizontal="center" vertical="center"/>
    </xf>
    <xf numFmtId="4" fontId="94" fillId="29" borderId="0" xfId="8" applyNumberFormat="1" applyFont="1" applyFill="1" applyAlignment="1">
      <alignment vertical="center"/>
    </xf>
    <xf numFmtId="4" fontId="94" fillId="10" borderId="0" xfId="8" applyNumberFormat="1" applyFont="1" applyFill="1" applyAlignment="1">
      <alignment horizontal="center" vertical="center"/>
    </xf>
    <xf numFmtId="4" fontId="106" fillId="10" borderId="0" xfId="8" applyNumberFormat="1" applyFont="1" applyFill="1" applyAlignment="1">
      <alignment horizontal="center"/>
    </xf>
    <xf numFmtId="0" fontId="26" fillId="10" borderId="6" xfId="6" applyFont="1" applyFill="1" applyBorder="1" applyAlignment="1">
      <alignment horizontal="left" vertical="center"/>
    </xf>
    <xf numFmtId="0" fontId="26" fillId="10" borderId="24" xfId="0" applyFont="1" applyFill="1" applyBorder="1" applyAlignment="1">
      <alignment vertical="center"/>
    </xf>
    <xf numFmtId="0" fontId="88" fillId="10" borderId="23" xfId="0" applyFont="1" applyFill="1" applyBorder="1" applyAlignment="1">
      <alignment horizontal="center" vertical="center"/>
    </xf>
    <xf numFmtId="4" fontId="24" fillId="10" borderId="0" xfId="8" quotePrefix="1" applyNumberFormat="1" applyFill="1"/>
    <xf numFmtId="2" fontId="106" fillId="10" borderId="23" xfId="0" applyNumberFormat="1" applyFont="1" applyFill="1" applyBorder="1" applyAlignment="1">
      <alignment horizontal="center"/>
    </xf>
    <xf numFmtId="2" fontId="106" fillId="10" borderId="24" xfId="0" applyNumberFormat="1" applyFont="1" applyFill="1" applyBorder="1" applyAlignment="1">
      <alignment horizontal="center"/>
    </xf>
    <xf numFmtId="0" fontId="64" fillId="10" borderId="24" xfId="0" applyFont="1" applyFill="1" applyBorder="1"/>
    <xf numFmtId="4" fontId="63" fillId="10" borderId="24" xfId="8" applyNumberFormat="1" applyFont="1" applyFill="1" applyBorder="1" applyAlignment="1">
      <alignment vertical="center"/>
    </xf>
    <xf numFmtId="0" fontId="107" fillId="10" borderId="15" xfId="0" applyFont="1" applyFill="1" applyBorder="1" applyAlignment="1">
      <alignment horizontal="center"/>
    </xf>
    <xf numFmtId="170" fontId="110" fillId="10" borderId="23" xfId="0" applyNumberFormat="1" applyFont="1" applyFill="1" applyBorder="1" applyAlignment="1">
      <alignment horizontal="center"/>
    </xf>
    <xf numFmtId="0" fontId="110" fillId="10" borderId="25" xfId="0" applyFont="1" applyFill="1" applyBorder="1"/>
    <xf numFmtId="4" fontId="106" fillId="10" borderId="0" xfId="8" applyNumberFormat="1" applyFont="1" applyFill="1" applyAlignment="1">
      <alignment horizontal="right"/>
    </xf>
    <xf numFmtId="4" fontId="25" fillId="10" borderId="0" xfId="8" applyNumberFormat="1" applyFont="1" applyFill="1" applyAlignment="1">
      <alignment horizontal="center"/>
    </xf>
    <xf numFmtId="0" fontId="26" fillId="10" borderId="24" xfId="6" applyFont="1" applyFill="1" applyBorder="1" applyAlignment="1">
      <alignment vertical="center"/>
    </xf>
    <xf numFmtId="170" fontId="108" fillId="10" borderId="23" xfId="8" applyNumberFormat="1" applyFont="1" applyFill="1" applyBorder="1" applyAlignment="1">
      <alignment horizontal="center" vertical="center"/>
    </xf>
    <xf numFmtId="4" fontId="108" fillId="10" borderId="24" xfId="8" applyNumberFormat="1" applyFont="1" applyFill="1" applyBorder="1" applyAlignment="1">
      <alignment horizontal="center" vertical="center"/>
    </xf>
    <xf numFmtId="4" fontId="200" fillId="10" borderId="0" xfId="8" applyNumberFormat="1" applyFont="1" applyFill="1" applyAlignment="1">
      <alignment vertical="center"/>
    </xf>
    <xf numFmtId="4" fontId="200" fillId="10" borderId="10" xfId="8" applyNumberFormat="1" applyFont="1" applyFill="1" applyBorder="1" applyAlignment="1">
      <alignment horizontal="center" vertical="center"/>
    </xf>
    <xf numFmtId="4" fontId="24" fillId="10" borderId="24" xfId="8" applyNumberFormat="1" applyFill="1" applyBorder="1" applyAlignment="1">
      <alignment horizontal="center"/>
    </xf>
    <xf numFmtId="0" fontId="28" fillId="10" borderId="15" xfId="0" applyFont="1" applyFill="1" applyBorder="1" applyAlignment="1">
      <alignment horizontal="center"/>
    </xf>
    <xf numFmtId="2" fontId="24" fillId="10" borderId="24" xfId="8" applyNumberFormat="1" applyFill="1" applyBorder="1" applyAlignment="1">
      <alignment horizontal="center"/>
    </xf>
    <xf numFmtId="4" fontId="24" fillId="10" borderId="0" xfId="0" applyNumberFormat="1" applyFont="1" applyFill="1" applyAlignment="1">
      <alignment horizontal="center"/>
    </xf>
    <xf numFmtId="4" fontId="35" fillId="10" borderId="10" xfId="0" applyNumberFormat="1" applyFont="1" applyFill="1" applyBorder="1" applyAlignment="1">
      <alignment horizontal="center"/>
    </xf>
    <xf numFmtId="0" fontId="115" fillId="10" borderId="15" xfId="0" applyFont="1" applyFill="1" applyBorder="1" applyAlignment="1">
      <alignment horizontal="center"/>
    </xf>
    <xf numFmtId="170" fontId="24" fillId="10" borderId="23" xfId="8" applyNumberFormat="1" applyFill="1" applyBorder="1" applyAlignment="1">
      <alignment horizontal="right"/>
    </xf>
    <xf numFmtId="4" fontId="106" fillId="10" borderId="24" xfId="0" applyNumberFormat="1" applyFont="1" applyFill="1" applyBorder="1" applyAlignment="1">
      <alignment horizontal="center"/>
    </xf>
    <xf numFmtId="0" fontId="106" fillId="10" borderId="0" xfId="0" applyFont="1" applyFill="1" applyAlignment="1">
      <alignment vertical="center"/>
    </xf>
    <xf numFmtId="0" fontId="94" fillId="40" borderId="0" xfId="6" applyFont="1" applyFill="1"/>
    <xf numFmtId="4" fontId="24" fillId="10" borderId="7" xfId="8" applyNumberFormat="1" applyFill="1" applyBorder="1" applyAlignment="1">
      <alignment horizontal="center" vertical="center"/>
    </xf>
    <xf numFmtId="0" fontId="39" fillId="32" borderId="0" xfId="6" applyFont="1" applyFill="1"/>
    <xf numFmtId="172" fontId="96" fillId="32" borderId="0" xfId="3" applyNumberFormat="1" applyFont="1" applyFill="1" applyAlignment="1">
      <alignment horizontal="center"/>
    </xf>
    <xf numFmtId="171" fontId="35" fillId="32" borderId="0" xfId="3" applyNumberFormat="1" applyFont="1" applyFill="1"/>
    <xf numFmtId="171" fontId="24" fillId="32" borderId="0" xfId="3" applyNumberFormat="1" applyFont="1" applyFill="1"/>
    <xf numFmtId="0" fontId="24" fillId="32" borderId="0" xfId="11" applyFill="1" applyAlignment="1">
      <alignment horizontal="left"/>
    </xf>
    <xf numFmtId="0" fontId="24" fillId="32" borderId="0" xfId="11" applyFill="1"/>
    <xf numFmtId="0" fontId="25" fillId="32" borderId="0" xfId="11" applyFont="1" applyFill="1"/>
    <xf numFmtId="170" fontId="36" fillId="10" borderId="16" xfId="8" applyNumberFormat="1" applyFont="1" applyFill="1" applyBorder="1" applyAlignment="1">
      <alignment horizontal="center" vertical="center"/>
    </xf>
    <xf numFmtId="4" fontId="63" fillId="0" borderId="24" xfId="8" applyNumberFormat="1" applyFont="1" applyBorder="1" applyAlignment="1">
      <alignment vertical="center"/>
    </xf>
    <xf numFmtId="4" fontId="91" fillId="10" borderId="24" xfId="8" applyNumberFormat="1" applyFont="1" applyFill="1" applyBorder="1" applyAlignment="1">
      <alignment horizontal="left" vertical="center"/>
    </xf>
    <xf numFmtId="182" fontId="108" fillId="0" borderId="24" xfId="8" applyNumberFormat="1" applyFont="1" applyBorder="1" applyAlignment="1">
      <alignment horizontal="right"/>
    </xf>
    <xf numFmtId="0" fontId="24" fillId="10" borderId="3" xfId="0" applyFont="1" applyFill="1" applyBorder="1" applyAlignment="1">
      <alignment horizontal="center"/>
    </xf>
    <xf numFmtId="0" fontId="24" fillId="10" borderId="17" xfId="0" applyFont="1" applyFill="1" applyBorder="1" applyAlignment="1">
      <alignment horizontal="center"/>
    </xf>
    <xf numFmtId="4" fontId="59" fillId="7" borderId="2" xfId="8" applyNumberFormat="1" applyFont="1" applyFill="1" applyBorder="1" applyAlignment="1">
      <alignment horizontal="center"/>
    </xf>
    <xf numFmtId="4" fontId="59" fillId="7" borderId="4" xfId="8" applyNumberFormat="1" applyFont="1" applyFill="1" applyBorder="1" applyAlignment="1">
      <alignment horizontal="center"/>
    </xf>
    <xf numFmtId="4" fontId="59" fillId="7" borderId="6" xfId="8" applyNumberFormat="1" applyFont="1" applyFill="1" applyBorder="1" applyAlignment="1">
      <alignment horizontal="center" vertical="center"/>
    </xf>
    <xf numFmtId="4" fontId="59" fillId="7" borderId="8" xfId="8" applyNumberFormat="1" applyFont="1" applyFill="1" applyBorder="1" applyAlignment="1">
      <alignment horizontal="center" vertical="center"/>
    </xf>
    <xf numFmtId="4" fontId="100" fillId="0" borderId="24" xfId="0" applyNumberFormat="1" applyFont="1" applyBorder="1" applyAlignment="1">
      <alignment horizontal="center"/>
    </xf>
    <xf numFmtId="4" fontId="24" fillId="0" borderId="24" xfId="8" applyNumberFormat="1" applyBorder="1" applyAlignment="1">
      <alignment horizontal="center"/>
    </xf>
    <xf numFmtId="4" fontId="24" fillId="0" borderId="0" xfId="8" applyNumberFormat="1" applyAlignment="1">
      <alignment horizontal="center" vertical="center"/>
    </xf>
    <xf numFmtId="170" fontId="108" fillId="0" borderId="0" xfId="8" applyNumberFormat="1" applyFont="1" applyAlignment="1">
      <alignment horizontal="center"/>
    </xf>
    <xf numFmtId="4" fontId="108" fillId="10" borderId="0" xfId="8" applyNumberFormat="1" applyFont="1" applyFill="1" applyAlignment="1">
      <alignment horizontal="right" vertical="center"/>
    </xf>
    <xf numFmtId="0" fontId="78" fillId="0" borderId="0" xfId="0" applyFont="1" applyAlignment="1">
      <alignment horizontal="center" vertical="center"/>
    </xf>
    <xf numFmtId="2" fontId="63" fillId="10" borderId="23" xfId="6" applyNumberFormat="1" applyFont="1" applyFill="1" applyBorder="1" applyAlignment="1">
      <alignment horizontal="center"/>
    </xf>
    <xf numFmtId="2" fontId="78" fillId="10" borderId="23" xfId="6" applyNumberFormat="1" applyFont="1" applyFill="1" applyBorder="1" applyAlignment="1">
      <alignment horizontal="center"/>
    </xf>
    <xf numFmtId="0" fontId="78" fillId="10" borderId="23" xfId="6" applyFont="1" applyFill="1" applyBorder="1" applyAlignment="1">
      <alignment horizontal="center"/>
    </xf>
    <xf numFmtId="0" fontId="91" fillId="10" borderId="23" xfId="6" applyFont="1" applyFill="1" applyBorder="1" applyAlignment="1">
      <alignment horizontal="center"/>
    </xf>
    <xf numFmtId="0" fontId="88" fillId="10" borderId="53" xfId="0" applyFont="1" applyFill="1" applyBorder="1" applyAlignment="1">
      <alignment horizontal="center" vertical="center"/>
    </xf>
    <xf numFmtId="0" fontId="88" fillId="10" borderId="54" xfId="0" applyFont="1" applyFill="1" applyBorder="1" applyAlignment="1">
      <alignment horizontal="center" vertical="center"/>
    </xf>
    <xf numFmtId="0" fontId="54" fillId="8" borderId="23" xfId="6" applyFont="1" applyFill="1" applyBorder="1" applyAlignment="1">
      <alignment horizontal="center"/>
    </xf>
    <xf numFmtId="170" fontId="24" fillId="10" borderId="53" xfId="8" applyNumberFormat="1" applyFill="1" applyBorder="1" applyAlignment="1">
      <alignment horizontal="center" vertical="center"/>
    </xf>
    <xf numFmtId="170" fontId="36" fillId="10" borderId="9" xfId="8" applyNumberFormat="1" applyFont="1" applyFill="1" applyBorder="1" applyAlignment="1">
      <alignment horizontal="center" vertical="center"/>
    </xf>
    <xf numFmtId="4" fontId="100" fillId="0" borderId="0" xfId="0" applyNumberFormat="1" applyFont="1" applyAlignment="1">
      <alignment horizontal="center"/>
    </xf>
    <xf numFmtId="0" fontId="94" fillId="7" borderId="0" xfId="6" applyFont="1" applyFill="1" applyAlignment="1">
      <alignment horizontal="left" vertical="center"/>
    </xf>
    <xf numFmtId="170" fontId="24" fillId="10" borderId="7" xfId="8" applyNumberFormat="1" applyFill="1" applyBorder="1" applyAlignment="1">
      <alignment horizontal="left" vertical="center"/>
    </xf>
    <xf numFmtId="0" fontId="88" fillId="10" borderId="24" xfId="0" applyFont="1" applyFill="1" applyBorder="1"/>
    <xf numFmtId="0" fontId="24" fillId="10" borderId="24" xfId="0" applyFont="1" applyFill="1" applyBorder="1" applyAlignment="1">
      <alignment horizontal="left"/>
    </xf>
    <xf numFmtId="0" fontId="24" fillId="10" borderId="25" xfId="0" applyFont="1" applyFill="1" applyBorder="1" applyAlignment="1">
      <alignment horizontal="center"/>
    </xf>
    <xf numFmtId="0" fontId="78" fillId="10" borderId="25" xfId="0" applyFont="1" applyFill="1" applyBorder="1" applyAlignment="1">
      <alignment horizontal="center" vertical="center"/>
    </xf>
    <xf numFmtId="0" fontId="63" fillId="10" borderId="24" xfId="0" applyFont="1" applyFill="1" applyBorder="1" applyAlignment="1">
      <alignment horizontal="left"/>
    </xf>
    <xf numFmtId="0" fontId="63" fillId="10" borderId="24" xfId="0" applyFont="1" applyFill="1" applyBorder="1"/>
    <xf numFmtId="170" fontId="78" fillId="10" borderId="23" xfId="8" applyNumberFormat="1" applyFont="1" applyFill="1" applyBorder="1" applyAlignment="1">
      <alignment horizontal="center" vertical="center"/>
    </xf>
    <xf numFmtId="4" fontId="78" fillId="10" borderId="25" xfId="8" applyNumberFormat="1" applyFont="1" applyFill="1" applyBorder="1" applyAlignment="1">
      <alignment vertical="center"/>
    </xf>
    <xf numFmtId="4" fontId="78" fillId="10" borderId="23" xfId="8" applyNumberFormat="1" applyFont="1" applyFill="1" applyBorder="1" applyAlignment="1">
      <alignment horizontal="center" vertical="center"/>
    </xf>
    <xf numFmtId="4" fontId="78" fillId="10" borderId="24" xfId="8" applyNumberFormat="1" applyFont="1" applyFill="1" applyBorder="1" applyAlignment="1">
      <alignment horizontal="center" vertical="center"/>
    </xf>
    <xf numFmtId="0" fontId="63" fillId="10" borderId="15" xfId="0" applyFont="1" applyFill="1" applyBorder="1" applyAlignment="1">
      <alignment horizontal="center"/>
    </xf>
    <xf numFmtId="0" fontId="24" fillId="10" borderId="22" xfId="0" applyFont="1" applyFill="1" applyBorder="1" applyAlignment="1">
      <alignment horizontal="center"/>
    </xf>
    <xf numFmtId="4" fontId="105" fillId="10" borderId="24" xfId="8" applyNumberFormat="1" applyFont="1" applyFill="1" applyBorder="1" applyAlignment="1">
      <alignment horizontal="center"/>
    </xf>
    <xf numFmtId="170" fontId="108" fillId="10" borderId="22" xfId="8" applyNumberFormat="1" applyFont="1" applyFill="1" applyBorder="1" applyAlignment="1">
      <alignment horizontal="center"/>
    </xf>
    <xf numFmtId="4" fontId="108" fillId="10" borderId="24" xfId="8" applyNumberFormat="1" applyFont="1" applyFill="1" applyBorder="1" applyAlignment="1">
      <alignment horizontal="right"/>
    </xf>
    <xf numFmtId="0" fontId="108" fillId="10" borderId="24" xfId="0" applyFont="1" applyFill="1" applyBorder="1" applyAlignment="1">
      <alignment horizontal="center"/>
    </xf>
    <xf numFmtId="4" fontId="96" fillId="10" borderId="23" xfId="8" applyNumberFormat="1" applyFont="1" applyFill="1" applyBorder="1" applyAlignment="1">
      <alignment horizontal="center"/>
    </xf>
    <xf numFmtId="4" fontId="108" fillId="10" borderId="24" xfId="8" applyNumberFormat="1" applyFont="1" applyFill="1" applyBorder="1" applyAlignment="1">
      <alignment horizontal="center"/>
    </xf>
    <xf numFmtId="4" fontId="200" fillId="10" borderId="0" xfId="8" applyNumberFormat="1" applyFont="1" applyFill="1"/>
    <xf numFmtId="4" fontId="200" fillId="10" borderId="10" xfId="8" applyNumberFormat="1" applyFont="1" applyFill="1" applyBorder="1" applyAlignment="1">
      <alignment horizontal="center"/>
    </xf>
    <xf numFmtId="0" fontId="78" fillId="10" borderId="15" xfId="0" applyFont="1" applyFill="1" applyBorder="1"/>
    <xf numFmtId="0" fontId="24" fillId="10" borderId="22" xfId="6" applyFill="1" applyBorder="1" applyAlignment="1">
      <alignment horizontal="center" vertical="center"/>
    </xf>
    <xf numFmtId="170" fontId="63" fillId="10" borderId="22" xfId="8" applyNumberFormat="1" applyFont="1" applyFill="1" applyBorder="1" applyAlignment="1">
      <alignment horizontal="center" vertical="center"/>
    </xf>
    <xf numFmtId="2" fontId="63" fillId="10" borderId="0" xfId="6" applyNumberFormat="1" applyFont="1" applyFill="1" applyAlignment="1">
      <alignment horizontal="center"/>
    </xf>
    <xf numFmtId="4" fontId="78" fillId="10" borderId="24" xfId="8" applyNumberFormat="1" applyFont="1" applyFill="1" applyBorder="1" applyAlignment="1">
      <alignment vertical="center"/>
    </xf>
    <xf numFmtId="0" fontId="78" fillId="16" borderId="0" xfId="0" applyFont="1" applyFill="1" applyAlignment="1">
      <alignment horizontal="center"/>
    </xf>
    <xf numFmtId="0" fontId="24" fillId="10" borderId="22" xfId="0" applyFont="1" applyFill="1" applyBorder="1" applyAlignment="1">
      <alignment horizontal="center" vertical="center"/>
    </xf>
    <xf numFmtId="0" fontId="94" fillId="10" borderId="15" xfId="0" applyFont="1" applyFill="1" applyBorder="1" applyAlignment="1">
      <alignment horizontal="center" vertical="center"/>
    </xf>
    <xf numFmtId="170" fontId="108" fillId="10" borderId="22" xfId="8" applyNumberFormat="1" applyFont="1" applyFill="1" applyBorder="1" applyAlignment="1">
      <alignment horizontal="center" vertical="center"/>
    </xf>
    <xf numFmtId="170" fontId="57" fillId="10" borderId="23" xfId="8" applyNumberFormat="1" applyFont="1" applyFill="1" applyBorder="1" applyAlignment="1">
      <alignment horizontal="center"/>
    </xf>
    <xf numFmtId="4" fontId="57" fillId="10" borderId="24" xfId="8" applyNumberFormat="1" applyFont="1" applyFill="1" applyBorder="1" applyAlignment="1">
      <alignment horizontal="left"/>
    </xf>
    <xf numFmtId="4" fontId="57" fillId="10" borderId="24" xfId="8" applyNumberFormat="1" applyFont="1" applyFill="1" applyBorder="1" applyAlignment="1">
      <alignment horizontal="center"/>
    </xf>
    <xf numFmtId="4" fontId="57" fillId="10" borderId="23" xfId="8" applyNumberFormat="1" applyFont="1" applyFill="1" applyBorder="1" applyAlignment="1">
      <alignment horizontal="center"/>
    </xf>
    <xf numFmtId="4" fontId="57" fillId="10" borderId="0" xfId="8" applyNumberFormat="1" applyFont="1" applyFill="1" applyAlignment="1">
      <alignment vertical="center"/>
    </xf>
    <xf numFmtId="4" fontId="57" fillId="10" borderId="10" xfId="8" applyNumberFormat="1" applyFont="1" applyFill="1" applyBorder="1" applyAlignment="1">
      <alignment horizontal="center" vertical="center"/>
    </xf>
    <xf numFmtId="0" fontId="57" fillId="10" borderId="0" xfId="0" applyFont="1" applyFill="1" applyAlignment="1">
      <alignment vertical="center"/>
    </xf>
    <xf numFmtId="4" fontId="111" fillId="10" borderId="23" xfId="8" applyNumberFormat="1" applyFont="1" applyFill="1" applyBorder="1"/>
    <xf numFmtId="4" fontId="91" fillId="10" borderId="24" xfId="8" applyNumberFormat="1" applyFont="1" applyFill="1" applyBorder="1" applyAlignment="1">
      <alignment horizontal="center"/>
    </xf>
    <xf numFmtId="4" fontId="108" fillId="10" borderId="23" xfId="8" applyNumberFormat="1" applyFont="1" applyFill="1" applyBorder="1" applyAlignment="1">
      <alignment horizontal="center"/>
    </xf>
    <xf numFmtId="0" fontId="129" fillId="10" borderId="15" xfId="0" applyFont="1" applyFill="1" applyBorder="1" applyAlignment="1">
      <alignment horizontal="center"/>
    </xf>
    <xf numFmtId="0" fontId="78" fillId="10" borderId="23" xfId="0" applyFont="1" applyFill="1" applyBorder="1" applyAlignment="1">
      <alignment horizontal="center" vertical="center"/>
    </xf>
    <xf numFmtId="0" fontId="173" fillId="10" borderId="9" xfId="0" applyFont="1" applyFill="1" applyBorder="1" applyAlignment="1">
      <alignment horizontal="center"/>
    </xf>
    <xf numFmtId="170" fontId="33" fillId="10" borderId="7" xfId="8" applyNumberFormat="1" applyFont="1" applyFill="1" applyBorder="1" applyAlignment="1">
      <alignment horizontal="right"/>
    </xf>
    <xf numFmtId="4" fontId="33" fillId="10" borderId="7" xfId="8" applyNumberFormat="1" applyFont="1" applyFill="1" applyBorder="1"/>
    <xf numFmtId="0" fontId="33" fillId="10" borderId="7" xfId="0" applyFont="1" applyFill="1" applyBorder="1" applyAlignment="1">
      <alignment horizontal="center"/>
    </xf>
    <xf numFmtId="4" fontId="33" fillId="10" borderId="7" xfId="8" applyNumberFormat="1" applyFont="1" applyFill="1" applyBorder="1" applyAlignment="1">
      <alignment horizontal="center"/>
    </xf>
    <xf numFmtId="4" fontId="34" fillId="10" borderId="7" xfId="8" applyNumberFormat="1" applyFont="1" applyFill="1" applyBorder="1"/>
    <xf numFmtId="4" fontId="33" fillId="10" borderId="7" xfId="0" applyNumberFormat="1" applyFont="1" applyFill="1" applyBorder="1"/>
    <xf numFmtId="4" fontId="33" fillId="10" borderId="8" xfId="0" applyNumberFormat="1" applyFont="1" applyFill="1" applyBorder="1" applyAlignment="1">
      <alignment horizontal="center"/>
    </xf>
    <xf numFmtId="0" fontId="33" fillId="10" borderId="0" xfId="0" applyFont="1" applyFill="1"/>
    <xf numFmtId="0" fontId="110" fillId="10" borderId="24" xfId="0" applyFont="1" applyFill="1" applyBorder="1"/>
    <xf numFmtId="4" fontId="57" fillId="10" borderId="24" xfId="8" applyNumberFormat="1" applyFont="1" applyFill="1" applyBorder="1" applyAlignment="1">
      <alignment vertical="center"/>
    </xf>
    <xf numFmtId="0" fontId="57" fillId="10" borderId="24" xfId="0" applyFont="1" applyFill="1" applyBorder="1" applyAlignment="1">
      <alignment horizontal="center"/>
    </xf>
    <xf numFmtId="0" fontId="108" fillId="0" borderId="24" xfId="0" applyFont="1" applyBorder="1" applyAlignment="1">
      <alignment horizontal="left"/>
    </xf>
    <xf numFmtId="0" fontId="78" fillId="0" borderId="24" xfId="0" applyFont="1" applyBorder="1" applyAlignment="1">
      <alignment horizontal="left" vertical="center"/>
    </xf>
    <xf numFmtId="0" fontId="88" fillId="10" borderId="7" xfId="0" applyFont="1" applyFill="1" applyBorder="1" applyAlignment="1">
      <alignment vertical="center"/>
    </xf>
    <xf numFmtId="0" fontId="115" fillId="10" borderId="15" xfId="0" applyFont="1" applyFill="1" applyBorder="1" applyAlignment="1">
      <alignment vertical="center" wrapText="1"/>
    </xf>
    <xf numFmtId="0" fontId="115" fillId="10" borderId="9" xfId="0" applyFont="1" applyFill="1" applyBorder="1" applyAlignment="1">
      <alignment horizontal="center" vertical="center"/>
    </xf>
    <xf numFmtId="4" fontId="108" fillId="10" borderId="7" xfId="8" applyNumberFormat="1" applyFont="1" applyFill="1" applyBorder="1" applyAlignment="1">
      <alignment horizontal="right" vertical="center"/>
    </xf>
    <xf numFmtId="0" fontId="78" fillId="0" borderId="7" xfId="0" applyFont="1" applyBorder="1" applyAlignment="1">
      <alignment horizontal="center" vertical="center"/>
    </xf>
    <xf numFmtId="4" fontId="100" fillId="0" borderId="7" xfId="0" applyNumberFormat="1" applyFont="1" applyBorder="1" applyAlignment="1">
      <alignment horizontal="center"/>
    </xf>
    <xf numFmtId="4" fontId="106" fillId="10" borderId="7" xfId="8" applyNumberFormat="1" applyFont="1" applyFill="1" applyBorder="1" applyAlignment="1">
      <alignment horizontal="center"/>
    </xf>
    <xf numFmtId="4" fontId="129" fillId="10" borderId="7" xfId="8" applyNumberFormat="1" applyFont="1" applyFill="1" applyBorder="1"/>
    <xf numFmtId="4" fontId="108" fillId="10" borderId="8" xfId="0" applyNumberFormat="1" applyFont="1" applyFill="1" applyBorder="1" applyAlignment="1">
      <alignment horizontal="center"/>
    </xf>
    <xf numFmtId="0" fontId="115" fillId="10" borderId="11" xfId="0" applyFont="1" applyFill="1" applyBorder="1" applyAlignment="1">
      <alignment horizontal="center" vertical="center"/>
    </xf>
    <xf numFmtId="4" fontId="108" fillId="10" borderId="0" xfId="0" applyNumberFormat="1" applyFont="1" applyFill="1" applyAlignment="1">
      <alignment horizontal="center"/>
    </xf>
    <xf numFmtId="0" fontId="26" fillId="10" borderId="22" xfId="0" applyFont="1" applyFill="1" applyBorder="1" applyAlignment="1">
      <alignment horizontal="center"/>
    </xf>
    <xf numFmtId="170" fontId="78" fillId="10" borderId="22" xfId="8" applyNumberFormat="1" applyFont="1" applyFill="1" applyBorder="1" applyAlignment="1">
      <alignment horizontal="right"/>
    </xf>
    <xf numFmtId="170" fontId="110" fillId="10" borderId="22" xfId="0" applyNumberFormat="1" applyFont="1" applyFill="1" applyBorder="1" applyAlignment="1">
      <alignment horizontal="right"/>
    </xf>
    <xf numFmtId="170" fontId="106" fillId="10" borderId="22" xfId="8" applyNumberFormat="1" applyFont="1" applyFill="1" applyBorder="1" applyAlignment="1">
      <alignment horizontal="right"/>
    </xf>
    <xf numFmtId="170" fontId="24" fillId="10" borderId="22" xfId="8" applyNumberFormat="1" applyFill="1" applyBorder="1" applyAlignment="1">
      <alignment horizontal="center"/>
    </xf>
    <xf numFmtId="170" fontId="110" fillId="10" borderId="22" xfId="0" applyNumberFormat="1" applyFont="1" applyFill="1" applyBorder="1" applyAlignment="1">
      <alignment horizontal="center"/>
    </xf>
    <xf numFmtId="170" fontId="24" fillId="10" borderId="22" xfId="8" applyNumberFormat="1" applyFill="1" applyBorder="1" applyAlignment="1">
      <alignment horizontal="right"/>
    </xf>
    <xf numFmtId="170" fontId="91" fillId="10" borderId="22" xfId="8" applyNumberFormat="1" applyFont="1" applyFill="1" applyBorder="1" applyAlignment="1">
      <alignment horizontal="center" vertical="center"/>
    </xf>
    <xf numFmtId="170" fontId="111" fillId="10" borderId="22" xfId="8" applyNumberFormat="1" applyFont="1" applyFill="1" applyBorder="1" applyAlignment="1">
      <alignment horizontal="center"/>
    </xf>
    <xf numFmtId="170" fontId="106" fillId="10" borderId="22" xfId="8" applyNumberFormat="1" applyFont="1" applyFill="1" applyBorder="1" applyAlignment="1">
      <alignment horizontal="center"/>
    </xf>
    <xf numFmtId="170" fontId="108" fillId="0" borderId="22" xfId="8" applyNumberFormat="1" applyFont="1" applyBorder="1" applyAlignment="1">
      <alignment horizontal="center"/>
    </xf>
    <xf numFmtId="170" fontId="108" fillId="0" borderId="6" xfId="8" applyNumberFormat="1" applyFont="1" applyBorder="1" applyAlignment="1">
      <alignment horizontal="center"/>
    </xf>
    <xf numFmtId="0" fontId="26" fillId="0" borderId="0" xfId="0" applyFont="1" applyAlignment="1">
      <alignment horizontal="right" vertical="center"/>
    </xf>
    <xf numFmtId="0" fontId="26" fillId="5" borderId="23" xfId="0" applyFont="1" applyFill="1" applyBorder="1" applyAlignment="1">
      <alignment horizontal="center"/>
    </xf>
    <xf numFmtId="4" fontId="24" fillId="0" borderId="10" xfId="0" applyNumberFormat="1" applyFont="1" applyBorder="1" applyAlignment="1">
      <alignment horizontal="center" vertical="center"/>
    </xf>
    <xf numFmtId="0" fontId="105" fillId="10" borderId="11" xfId="0" applyFont="1" applyFill="1" applyBorder="1" applyAlignment="1">
      <alignment horizontal="center"/>
    </xf>
    <xf numFmtId="4" fontId="91" fillId="10" borderId="0" xfId="8" applyNumberFormat="1" applyFont="1" applyFill="1" applyAlignment="1">
      <alignment horizontal="left" vertical="center"/>
    </xf>
    <xf numFmtId="4" fontId="63" fillId="10" borderId="0" xfId="8" applyNumberFormat="1" applyFont="1" applyFill="1" applyAlignment="1">
      <alignment vertical="center"/>
    </xf>
    <xf numFmtId="0" fontId="24" fillId="0" borderId="22" xfId="0" applyFont="1" applyBorder="1" applyAlignment="1">
      <alignment horizontal="center" vertical="center"/>
    </xf>
    <xf numFmtId="170" fontId="57" fillId="10" borderId="22" xfId="8" applyNumberFormat="1" applyFont="1" applyFill="1" applyBorder="1" applyAlignment="1">
      <alignment horizontal="center"/>
    </xf>
    <xf numFmtId="0" fontId="24" fillId="0" borderId="24" xfId="0" applyFont="1" applyBorder="1" applyAlignment="1">
      <alignment horizontal="center" vertical="center"/>
    </xf>
    <xf numFmtId="4" fontId="91" fillId="10" borderId="0" xfId="8" applyNumberFormat="1" applyFont="1" applyFill="1" applyAlignment="1">
      <alignment horizontal="center" vertical="center"/>
    </xf>
    <xf numFmtId="4" fontId="78" fillId="10" borderId="0" xfId="8" applyNumberFormat="1" applyFont="1" applyFill="1" applyAlignment="1">
      <alignment horizontal="center"/>
    </xf>
    <xf numFmtId="4" fontId="24" fillId="10" borderId="0" xfId="8" applyNumberFormat="1" applyFill="1" applyAlignment="1">
      <alignment horizontal="center"/>
    </xf>
    <xf numFmtId="4" fontId="57" fillId="10" borderId="0" xfId="8" applyNumberFormat="1" applyFont="1" applyFill="1" applyAlignment="1">
      <alignment horizontal="center"/>
    </xf>
    <xf numFmtId="4" fontId="24" fillId="0" borderId="24" xfId="8" applyNumberFormat="1" applyBorder="1" applyAlignment="1">
      <alignment horizontal="center" vertical="center"/>
    </xf>
    <xf numFmtId="4" fontId="25" fillId="10" borderId="25" xfId="8" applyNumberFormat="1" applyFont="1" applyFill="1" applyBorder="1" applyAlignment="1">
      <alignment vertical="center"/>
    </xf>
    <xf numFmtId="2" fontId="78" fillId="10" borderId="25" xfId="6" applyNumberFormat="1" applyFont="1" applyFill="1" applyBorder="1" applyAlignment="1">
      <alignment horizontal="center"/>
    </xf>
    <xf numFmtId="0" fontId="63" fillId="10" borderId="25" xfId="0" applyFont="1" applyFill="1" applyBorder="1" applyAlignment="1">
      <alignment horizontal="center"/>
    </xf>
    <xf numFmtId="0" fontId="106" fillId="10" borderId="25" xfId="0" applyFont="1" applyFill="1" applyBorder="1" applyAlignment="1">
      <alignment horizontal="center"/>
    </xf>
    <xf numFmtId="0" fontId="78" fillId="10" borderId="25" xfId="0" applyFont="1" applyFill="1" applyBorder="1" applyAlignment="1">
      <alignment horizontal="center"/>
    </xf>
    <xf numFmtId="0" fontId="106" fillId="10" borderId="0" xfId="0" applyFont="1" applyFill="1" applyAlignment="1">
      <alignment horizontal="center"/>
    </xf>
    <xf numFmtId="0" fontId="63" fillId="10" borderId="24" xfId="0" applyFont="1" applyFill="1" applyBorder="1" applyAlignment="1">
      <alignment horizontal="left" indent="1"/>
    </xf>
    <xf numFmtId="4" fontId="78" fillId="10" borderId="24" xfId="0" applyNumberFormat="1" applyFont="1" applyFill="1" applyBorder="1" applyAlignment="1">
      <alignment horizontal="left" indent="1"/>
    </xf>
    <xf numFmtId="0" fontId="63" fillId="10" borderId="0" xfId="0" quotePrefix="1" applyFont="1" applyFill="1" applyAlignment="1">
      <alignment horizontal="left" indent="2"/>
    </xf>
    <xf numFmtId="0" fontId="89" fillId="10" borderId="11" xfId="0" applyFont="1" applyFill="1" applyBorder="1" applyAlignment="1">
      <alignment horizontal="center"/>
    </xf>
    <xf numFmtId="0" fontId="63" fillId="10" borderId="11" xfId="0" applyFont="1" applyFill="1" applyBorder="1" applyAlignment="1">
      <alignment horizontal="center"/>
    </xf>
    <xf numFmtId="0" fontId="63" fillId="10" borderId="0" xfId="0" applyFont="1" applyFill="1" applyAlignment="1">
      <alignment horizontal="left" indent="2"/>
    </xf>
    <xf numFmtId="0" fontId="63" fillId="10" borderId="24" xfId="0" quotePrefix="1" applyFont="1" applyFill="1" applyBorder="1" applyAlignment="1">
      <alignment horizontal="left" indent="2"/>
    </xf>
    <xf numFmtId="0" fontId="63" fillId="10" borderId="24" xfId="0" applyFont="1" applyFill="1" applyBorder="1" applyAlignment="1">
      <alignment horizontal="left" indent="2"/>
    </xf>
    <xf numFmtId="4" fontId="24" fillId="10" borderId="24" xfId="8" applyNumberFormat="1" applyFill="1" applyBorder="1" applyAlignment="1">
      <alignment horizontal="left"/>
    </xf>
    <xf numFmtId="4" fontId="24" fillId="10" borderId="24" xfId="8" applyNumberFormat="1" applyFill="1" applyBorder="1" applyAlignment="1">
      <alignment horizontal="right"/>
    </xf>
    <xf numFmtId="0" fontId="110" fillId="8" borderId="25" xfId="8" applyFont="1" applyFill="1" applyBorder="1"/>
    <xf numFmtId="0" fontId="178" fillId="0" borderId="25" xfId="0" applyFont="1" applyBorder="1" applyAlignment="1">
      <alignment vertical="center"/>
    </xf>
    <xf numFmtId="4" fontId="108" fillId="10" borderId="25" xfId="8" applyNumberFormat="1" applyFont="1" applyFill="1" applyBorder="1" applyAlignment="1">
      <alignment horizontal="right"/>
    </xf>
    <xf numFmtId="0" fontId="78" fillId="10" borderId="0" xfId="0" applyFont="1" applyFill="1" applyAlignment="1">
      <alignment horizontal="center"/>
    </xf>
    <xf numFmtId="0" fontId="88" fillId="10" borderId="0" xfId="0" applyFont="1" applyFill="1"/>
    <xf numFmtId="0" fontId="26" fillId="0" borderId="24" xfId="0" applyFont="1" applyBorder="1"/>
    <xf numFmtId="170" fontId="106" fillId="5" borderId="23" xfId="8" applyNumberFormat="1" applyFont="1" applyFill="1" applyBorder="1" applyAlignment="1">
      <alignment horizontal="right"/>
    </xf>
    <xf numFmtId="4" fontId="106" fillId="5" borderId="24" xfId="8" applyNumberFormat="1" applyFont="1" applyFill="1" applyBorder="1" applyAlignment="1">
      <alignment horizontal="right"/>
    </xf>
    <xf numFmtId="0" fontId="106" fillId="5" borderId="24" xfId="0" applyFont="1" applyFill="1" applyBorder="1" applyAlignment="1">
      <alignment horizontal="center"/>
    </xf>
    <xf numFmtId="4" fontId="106" fillId="5" borderId="23" xfId="8" applyNumberFormat="1" applyFont="1" applyFill="1" applyBorder="1" applyAlignment="1">
      <alignment horizontal="center"/>
    </xf>
    <xf numFmtId="4" fontId="63" fillId="0" borderId="0" xfId="8" applyNumberFormat="1" applyFont="1" applyAlignment="1">
      <alignment vertical="center"/>
    </xf>
    <xf numFmtId="4" fontId="24" fillId="10" borderId="0" xfId="8" applyNumberFormat="1" applyFill="1" applyAlignment="1">
      <alignment horizontal="left"/>
    </xf>
    <xf numFmtId="0" fontId="90" fillId="10" borderId="22" xfId="6" applyFont="1" applyFill="1" applyBorder="1" applyAlignment="1">
      <alignment horizontal="center" vertical="center"/>
    </xf>
    <xf numFmtId="2" fontId="63" fillId="10" borderId="0" xfId="6" applyNumberFormat="1" applyFont="1" applyFill="1" applyAlignment="1">
      <alignment horizontal="left"/>
    </xf>
    <xf numFmtId="0" fontId="24" fillId="10" borderId="23" xfId="6" applyFill="1" applyBorder="1" applyAlignment="1">
      <alignment horizontal="center"/>
    </xf>
    <xf numFmtId="0" fontId="88" fillId="10" borderId="23" xfId="0" applyFont="1" applyFill="1" applyBorder="1"/>
    <xf numFmtId="0" fontId="88" fillId="10" borderId="23" xfId="0" applyFont="1" applyFill="1" applyBorder="1" applyAlignment="1">
      <alignment horizontal="left"/>
    </xf>
    <xf numFmtId="0" fontId="24" fillId="10" borderId="23" xfId="6" applyFill="1" applyBorder="1" applyAlignment="1">
      <alignment horizontal="right"/>
    </xf>
    <xf numFmtId="170" fontId="128" fillId="10" borderId="23" xfId="6" applyNumberFormat="1" applyFont="1" applyFill="1" applyBorder="1" applyAlignment="1">
      <alignment horizontal="right"/>
    </xf>
    <xf numFmtId="0" fontId="105" fillId="10" borderId="15" xfId="0" quotePrefix="1" applyFont="1" applyFill="1" applyBorder="1" applyAlignment="1">
      <alignment horizontal="center"/>
    </xf>
    <xf numFmtId="170" fontId="78" fillId="10" borderId="23" xfId="8" applyNumberFormat="1" applyFont="1" applyFill="1" applyBorder="1" applyAlignment="1">
      <alignment horizontal="center"/>
    </xf>
    <xf numFmtId="0" fontId="78" fillId="10" borderId="24" xfId="0" applyFont="1" applyFill="1" applyBorder="1" applyAlignment="1">
      <alignment horizontal="left"/>
    </xf>
    <xf numFmtId="0" fontId="63" fillId="10" borderId="23" xfId="8" applyFont="1" applyFill="1" applyBorder="1" applyAlignment="1">
      <alignment horizontal="right" vertical="center"/>
    </xf>
    <xf numFmtId="0" fontId="63" fillId="10" borderId="23" xfId="0" applyFont="1" applyFill="1" applyBorder="1" applyAlignment="1">
      <alignment horizontal="left"/>
    </xf>
    <xf numFmtId="0" fontId="110" fillId="10" borderId="23" xfId="0" applyFont="1" applyFill="1" applyBorder="1" applyAlignment="1">
      <alignment horizontal="right" vertical="center"/>
    </xf>
    <xf numFmtId="0" fontId="106" fillId="10" borderId="24" xfId="0" applyFont="1" applyFill="1" applyBorder="1" applyAlignment="1">
      <alignment horizontal="left"/>
    </xf>
    <xf numFmtId="0" fontId="106" fillId="10" borderId="23" xfId="8" applyFont="1" applyFill="1" applyBorder="1" applyAlignment="1">
      <alignment horizontal="right" vertical="center"/>
    </xf>
    <xf numFmtId="4" fontId="106" fillId="10" borderId="24" xfId="8" applyNumberFormat="1" applyFont="1" applyFill="1" applyBorder="1" applyAlignment="1">
      <alignment horizontal="left"/>
    </xf>
    <xf numFmtId="0" fontId="106" fillId="10" borderId="23" xfId="8" applyFont="1" applyFill="1" applyBorder="1" applyAlignment="1">
      <alignment horizontal="center" vertical="center"/>
    </xf>
    <xf numFmtId="0" fontId="115" fillId="0" borderId="0" xfId="5" applyFont="1" applyAlignment="1">
      <alignment vertical="center"/>
    </xf>
    <xf numFmtId="0" fontId="78" fillId="59" borderId="0" xfId="6" applyFont="1" applyFill="1"/>
    <xf numFmtId="172" fontId="78" fillId="13" borderId="0" xfId="3" applyNumberFormat="1" applyFont="1" applyFill="1" applyAlignment="1">
      <alignment horizontal="center"/>
    </xf>
    <xf numFmtId="0" fontId="78" fillId="10" borderId="0" xfId="11" quotePrefix="1" applyFont="1" applyFill="1"/>
    <xf numFmtId="0" fontId="25" fillId="19" borderId="0" xfId="11" applyFont="1" applyFill="1"/>
    <xf numFmtId="0" fontId="78" fillId="10" borderId="0" xfId="6" applyFont="1" applyFill="1" applyAlignment="1">
      <alignment vertical="center"/>
    </xf>
    <xf numFmtId="2" fontId="78" fillId="10" borderId="0" xfId="6" applyNumberFormat="1" applyFont="1" applyFill="1" applyAlignment="1">
      <alignment vertical="center"/>
    </xf>
    <xf numFmtId="0" fontId="78" fillId="5" borderId="24" xfId="6" applyFont="1" applyFill="1" applyBorder="1"/>
    <xf numFmtId="0" fontId="130" fillId="5" borderId="24" xfId="6" applyFont="1" applyFill="1" applyBorder="1"/>
    <xf numFmtId="171" fontId="130" fillId="5" borderId="0" xfId="3" applyNumberFormat="1" applyFont="1" applyFill="1" applyAlignment="1">
      <alignment horizontal="center" vertical="center"/>
    </xf>
    <xf numFmtId="172" fontId="130" fillId="5" borderId="0" xfId="11" applyNumberFormat="1" applyFont="1" applyFill="1" applyAlignment="1">
      <alignment horizontal="left"/>
    </xf>
    <xf numFmtId="0" fontId="130" fillId="5" borderId="0" xfId="11" applyFont="1" applyFill="1" applyAlignment="1">
      <alignment horizontal="left"/>
    </xf>
    <xf numFmtId="0" fontId="130" fillId="5" borderId="0" xfId="11" quotePrefix="1" applyFont="1" applyFill="1" applyAlignment="1">
      <alignment horizontal="left"/>
    </xf>
    <xf numFmtId="172" fontId="78" fillId="12" borderId="0" xfId="3" applyNumberFormat="1" applyFont="1" applyFill="1" applyAlignment="1">
      <alignment horizontal="left"/>
    </xf>
    <xf numFmtId="0" fontId="24" fillId="5" borderId="0" xfId="0" applyFont="1" applyFill="1" applyAlignment="1">
      <alignment horizontal="left"/>
    </xf>
    <xf numFmtId="0" fontId="94" fillId="29" borderId="0" xfId="6" applyFont="1" applyFill="1" applyAlignment="1">
      <alignment horizontal="center"/>
    </xf>
    <xf numFmtId="0" fontId="94" fillId="10" borderId="0" xfId="6" applyFont="1" applyFill="1" applyAlignment="1">
      <alignment horizontal="center"/>
    </xf>
    <xf numFmtId="171" fontId="24" fillId="10" borderId="0" xfId="0" applyNumberFormat="1" applyFont="1" applyFill="1" applyAlignment="1">
      <alignment horizontal="left"/>
    </xf>
    <xf numFmtId="0" fontId="170" fillId="29" borderId="0" xfId="0" applyFont="1" applyFill="1" applyAlignment="1">
      <alignment horizontal="left" vertical="center"/>
    </xf>
    <xf numFmtId="0" fontId="94" fillId="13" borderId="0" xfId="6" applyFont="1" applyFill="1" applyAlignment="1">
      <alignment horizontal="left"/>
    </xf>
    <xf numFmtId="0" fontId="25" fillId="0" borderId="0" xfId="9" applyFont="1" applyAlignment="1">
      <alignment vertical="top"/>
    </xf>
    <xf numFmtId="0" fontId="25" fillId="0" borderId="0" xfId="0" applyFont="1" applyAlignment="1">
      <alignment vertical="top"/>
    </xf>
    <xf numFmtId="0" fontId="25" fillId="0" borderId="0" xfId="0" applyFont="1" applyAlignment="1">
      <alignment horizontal="left" vertical="top"/>
    </xf>
    <xf numFmtId="0" fontId="115" fillId="0" borderId="0" xfId="5" applyFont="1" applyAlignment="1">
      <alignment vertical="top"/>
    </xf>
    <xf numFmtId="0" fontId="64" fillId="10" borderId="0" xfId="6" applyFont="1" applyFill="1" applyAlignment="1">
      <alignment horizontal="center" vertical="top"/>
    </xf>
    <xf numFmtId="0" fontId="64" fillId="10" borderId="0" xfId="0" applyFont="1" applyFill="1" applyAlignment="1">
      <alignment vertical="center"/>
    </xf>
    <xf numFmtId="4" fontId="105" fillId="10" borderId="25" xfId="8" applyNumberFormat="1" applyFont="1" applyFill="1" applyBorder="1" applyAlignment="1">
      <alignment horizontal="left" vertical="top"/>
    </xf>
    <xf numFmtId="4" fontId="105" fillId="10" borderId="25" xfId="8" applyNumberFormat="1" applyFont="1" applyFill="1" applyBorder="1" applyAlignment="1">
      <alignment horizontal="left" vertical="center"/>
    </xf>
    <xf numFmtId="0" fontId="64" fillId="10" borderId="7" xfId="6" applyFont="1" applyFill="1" applyBorder="1" applyAlignment="1">
      <alignment horizontal="center" vertical="top"/>
    </xf>
    <xf numFmtId="4" fontId="105" fillId="10" borderId="4" xfId="8" applyNumberFormat="1" applyFont="1" applyFill="1" applyBorder="1" applyAlignment="1">
      <alignment vertical="center"/>
    </xf>
    <xf numFmtId="170" fontId="177" fillId="10" borderId="7" xfId="8" applyNumberFormat="1" applyFont="1" applyFill="1" applyBorder="1" applyAlignment="1">
      <alignment horizontal="right" vertical="top"/>
    </xf>
    <xf numFmtId="4" fontId="177" fillId="10" borderId="7" xfId="8" applyNumberFormat="1" applyFont="1" applyFill="1" applyBorder="1"/>
    <xf numFmtId="4" fontId="177" fillId="10" borderId="8" xfId="0" applyNumberFormat="1" applyFont="1" applyFill="1" applyBorder="1" applyAlignment="1">
      <alignment horizontal="center"/>
    </xf>
    <xf numFmtId="4" fontId="63" fillId="10" borderId="0" xfId="8" applyNumberFormat="1" applyFont="1" applyFill="1" applyAlignment="1">
      <alignment horizontal="left" vertical="top"/>
    </xf>
    <xf numFmtId="4" fontId="105" fillId="10" borderId="4" xfId="8" applyNumberFormat="1" applyFont="1" applyFill="1" applyBorder="1"/>
    <xf numFmtId="170" fontId="63" fillId="10" borderId="22" xfId="0" applyNumberFormat="1" applyFont="1" applyFill="1" applyBorder="1" applyAlignment="1">
      <alignment horizontal="center" vertical="top"/>
    </xf>
    <xf numFmtId="170" fontId="63" fillId="10" borderId="6" xfId="8" applyNumberFormat="1" applyFont="1" applyFill="1" applyBorder="1" applyAlignment="1">
      <alignment horizontal="center" vertical="top"/>
    </xf>
    <xf numFmtId="4" fontId="63" fillId="10" borderId="7" xfId="8" applyNumberFormat="1" applyFont="1" applyFill="1" applyBorder="1" applyAlignment="1">
      <alignment horizontal="right" vertical="center"/>
    </xf>
    <xf numFmtId="0" fontId="28" fillId="10" borderId="15" xfId="0" applyFont="1" applyFill="1" applyBorder="1" applyAlignment="1">
      <alignment horizontal="center" vertical="center"/>
    </xf>
    <xf numFmtId="0" fontId="173" fillId="10" borderId="9" xfId="0" applyFont="1" applyFill="1" applyBorder="1" applyAlignment="1">
      <alignment horizontal="center" vertical="center"/>
    </xf>
    <xf numFmtId="170" fontId="105" fillId="10" borderId="11" xfId="8" applyNumberFormat="1" applyFont="1" applyFill="1" applyBorder="1" applyAlignment="1">
      <alignment horizontal="center" vertical="center"/>
    </xf>
    <xf numFmtId="4" fontId="177" fillId="10" borderId="6" xfId="0" applyNumberFormat="1" applyFont="1" applyFill="1" applyBorder="1"/>
    <xf numFmtId="4" fontId="63" fillId="10" borderId="11" xfId="0" applyNumberFormat="1" applyFont="1" applyFill="1" applyBorder="1" applyAlignment="1">
      <alignment vertical="center"/>
    </xf>
    <xf numFmtId="2" fontId="63" fillId="10" borderId="11" xfId="6" applyNumberFormat="1" applyFont="1" applyFill="1" applyBorder="1"/>
    <xf numFmtId="0" fontId="63" fillId="10" borderId="11" xfId="0" applyFont="1" applyFill="1" applyBorder="1" applyAlignment="1">
      <alignment horizontal="left"/>
    </xf>
    <xf numFmtId="0" fontId="63" fillId="10" borderId="11" xfId="0" applyFont="1" applyFill="1" applyBorder="1"/>
    <xf numFmtId="2" fontId="63" fillId="10" borderId="11" xfId="6" applyNumberFormat="1" applyFont="1" applyFill="1" applyBorder="1" applyAlignment="1">
      <alignment horizontal="center"/>
    </xf>
    <xf numFmtId="0" fontId="63" fillId="10" borderId="11" xfId="6" applyFont="1" applyFill="1" applyBorder="1"/>
    <xf numFmtId="4" fontId="105" fillId="10" borderId="2" xfId="8" applyNumberFormat="1" applyFont="1" applyFill="1" applyBorder="1"/>
    <xf numFmtId="0" fontId="204" fillId="10" borderId="0" xfId="0" applyFont="1" applyFill="1" applyAlignment="1">
      <alignment vertical="top"/>
    </xf>
    <xf numFmtId="0" fontId="204" fillId="10" borderId="0" xfId="0" applyFont="1" applyFill="1"/>
    <xf numFmtId="170" fontId="24" fillId="0" borderId="22" xfId="8" applyNumberFormat="1" applyBorder="1" applyAlignment="1">
      <alignment horizontal="center" vertical="center"/>
    </xf>
    <xf numFmtId="170" fontId="24" fillId="20" borderId="23" xfId="8" applyNumberFormat="1" applyFill="1" applyBorder="1" applyAlignment="1">
      <alignment horizontal="center" vertical="center"/>
    </xf>
    <xf numFmtId="4" fontId="24" fillId="20" borderId="24" xfId="8" applyNumberFormat="1" applyFill="1" applyBorder="1" applyAlignment="1">
      <alignment vertical="center"/>
    </xf>
    <xf numFmtId="2" fontId="24" fillId="20" borderId="23" xfId="6" applyNumberFormat="1" applyFill="1" applyBorder="1" applyAlignment="1">
      <alignment horizontal="center"/>
    </xf>
    <xf numFmtId="4" fontId="24" fillId="20" borderId="23" xfId="8" applyNumberFormat="1" applyFill="1" applyBorder="1" applyAlignment="1">
      <alignment horizontal="center" vertical="center"/>
    </xf>
    <xf numFmtId="4" fontId="24" fillId="20" borderId="24" xfId="8" applyNumberFormat="1" applyFill="1" applyBorder="1" applyAlignment="1">
      <alignment horizontal="center" vertical="center"/>
    </xf>
    <xf numFmtId="0" fontId="24" fillId="16" borderId="0" xfId="0" applyFont="1" applyFill="1" applyAlignment="1">
      <alignment horizontal="center"/>
    </xf>
    <xf numFmtId="4" fontId="57" fillId="29" borderId="24" xfId="8" applyNumberFormat="1" applyFont="1" applyFill="1" applyBorder="1" applyAlignment="1">
      <alignment horizontal="center" vertical="center"/>
    </xf>
    <xf numFmtId="0" fontId="88" fillId="10" borderId="24" xfId="0" applyFont="1" applyFill="1" applyBorder="1" applyAlignment="1">
      <alignment vertical="center"/>
    </xf>
    <xf numFmtId="170" fontId="24" fillId="10" borderId="23" xfId="8" applyNumberFormat="1" applyFill="1" applyBorder="1" applyAlignment="1">
      <alignment horizontal="center" vertical="center"/>
    </xf>
    <xf numFmtId="4" fontId="24" fillId="10" borderId="23" xfId="8" applyNumberFormat="1" applyFill="1" applyBorder="1" applyAlignment="1">
      <alignment vertical="center"/>
    </xf>
    <xf numFmtId="4" fontId="107" fillId="10" borderId="0" xfId="8" applyNumberFormat="1" applyFont="1" applyFill="1" applyAlignment="1">
      <alignment vertical="center"/>
    </xf>
    <xf numFmtId="4" fontId="106" fillId="10" borderId="10" xfId="0" applyNumberFormat="1" applyFont="1" applyFill="1" applyBorder="1" applyAlignment="1">
      <alignment horizontal="center" vertical="center"/>
    </xf>
    <xf numFmtId="0" fontId="78" fillId="10" borderId="23" xfId="0" applyFont="1" applyFill="1" applyBorder="1" applyAlignment="1">
      <alignment horizontal="left" vertical="center"/>
    </xf>
    <xf numFmtId="4" fontId="106" fillId="10" borderId="23" xfId="8" applyNumberFormat="1" applyFont="1" applyFill="1" applyBorder="1" applyAlignment="1">
      <alignment horizontal="center" vertical="center"/>
    </xf>
    <xf numFmtId="4" fontId="106" fillId="10" borderId="24" xfId="8" applyNumberFormat="1" applyFont="1" applyFill="1" applyBorder="1" applyAlignment="1">
      <alignment horizontal="center" vertical="center"/>
    </xf>
    <xf numFmtId="4" fontId="100" fillId="0" borderId="24" xfId="0" applyNumberFormat="1" applyFont="1" applyBorder="1" applyAlignment="1">
      <alignment horizontal="center" vertical="center"/>
    </xf>
    <xf numFmtId="0" fontId="78" fillId="10" borderId="0" xfId="11" applyFont="1" applyFill="1" applyAlignment="1">
      <alignment horizontal="center"/>
    </xf>
    <xf numFmtId="0" fontId="78" fillId="10" borderId="25" xfId="0" applyFont="1" applyFill="1" applyBorder="1" applyAlignment="1">
      <alignment horizontal="left" vertical="center"/>
    </xf>
    <xf numFmtId="0" fontId="199" fillId="16" borderId="0" xfId="0" applyFont="1" applyFill="1" applyAlignment="1">
      <alignment horizontal="center"/>
    </xf>
    <xf numFmtId="170" fontId="199" fillId="16" borderId="0" xfId="0" applyNumberFormat="1" applyFont="1" applyFill="1" applyAlignment="1">
      <alignment horizontal="center"/>
    </xf>
    <xf numFmtId="170" fontId="105" fillId="10" borderId="23" xfId="8" applyNumberFormat="1" applyFont="1" applyFill="1" applyBorder="1" applyAlignment="1">
      <alignment horizontal="center" vertical="center"/>
    </xf>
    <xf numFmtId="4" fontId="110" fillId="10" borderId="24" xfId="8" applyNumberFormat="1" applyFont="1" applyFill="1" applyBorder="1" applyAlignment="1">
      <alignment horizontal="center" vertical="center"/>
    </xf>
    <xf numFmtId="170" fontId="199" fillId="10" borderId="0" xfId="0" applyNumberFormat="1" applyFont="1" applyFill="1" applyAlignment="1">
      <alignment horizontal="center"/>
    </xf>
    <xf numFmtId="170" fontId="205" fillId="10" borderId="23" xfId="8" applyNumberFormat="1" applyFont="1" applyFill="1" applyBorder="1" applyAlignment="1">
      <alignment horizontal="right" vertical="center"/>
    </xf>
    <xf numFmtId="4" fontId="205" fillId="10" borderId="25" xfId="8" applyNumberFormat="1" applyFont="1" applyFill="1" applyBorder="1" applyAlignment="1">
      <alignment horizontal="right" vertical="center"/>
    </xf>
    <xf numFmtId="4" fontId="25" fillId="10" borderId="25" xfId="8" applyNumberFormat="1" applyFont="1" applyFill="1" applyBorder="1" applyAlignment="1">
      <alignment horizontal="left"/>
    </xf>
    <xf numFmtId="4" fontId="91" fillId="10" borderId="25" xfId="8" applyNumberFormat="1" applyFont="1" applyFill="1" applyBorder="1" applyAlignment="1">
      <alignment horizontal="center" vertical="center"/>
    </xf>
    <xf numFmtId="184" fontId="36" fillId="10" borderId="16" xfId="8" applyNumberFormat="1" applyFont="1" applyFill="1" applyBorder="1" applyAlignment="1">
      <alignment horizontal="center" vertical="center"/>
    </xf>
    <xf numFmtId="0" fontId="63" fillId="64" borderId="0" xfId="8" applyFont="1" applyFill="1"/>
    <xf numFmtId="173" fontId="41" fillId="64" borderId="0" xfId="3" applyNumberFormat="1" applyFont="1" applyFill="1"/>
    <xf numFmtId="172" fontId="96" fillId="64" borderId="0" xfId="3" applyNumberFormat="1" applyFont="1" applyFill="1" applyAlignment="1">
      <alignment horizontal="center"/>
    </xf>
    <xf numFmtId="171" fontId="57" fillId="64" borderId="0" xfId="3" applyNumberFormat="1" applyFont="1" applyFill="1"/>
    <xf numFmtId="171" fontId="24" fillId="64" borderId="0" xfId="3" applyNumberFormat="1" applyFont="1" applyFill="1"/>
    <xf numFmtId="0" fontId="36" fillId="5" borderId="0" xfId="6" applyFont="1" applyFill="1" applyAlignment="1">
      <alignment vertical="center"/>
    </xf>
    <xf numFmtId="0" fontId="24" fillId="42" borderId="0" xfId="0" applyFont="1" applyFill="1" applyAlignment="1">
      <alignment vertical="center"/>
    </xf>
    <xf numFmtId="0" fontId="46" fillId="32" borderId="0" xfId="8" applyFont="1" applyFill="1" applyAlignment="1">
      <alignment vertical="center"/>
    </xf>
    <xf numFmtId="173" fontId="41" fillId="32" borderId="0" xfId="3" applyNumberFormat="1" applyFont="1" applyFill="1" applyAlignment="1">
      <alignment vertical="center"/>
    </xf>
    <xf numFmtId="172" fontId="96" fillId="32" borderId="0" xfId="3" applyNumberFormat="1" applyFont="1" applyFill="1" applyAlignment="1">
      <alignment horizontal="center" vertical="center"/>
    </xf>
    <xf numFmtId="171" fontId="57" fillId="32" borderId="0" xfId="3" applyNumberFormat="1" applyFont="1" applyFill="1" applyAlignment="1">
      <alignment vertical="center"/>
    </xf>
    <xf numFmtId="171" fontId="24" fillId="32" borderId="0" xfId="3" applyNumberFormat="1" applyFont="1" applyFill="1" applyAlignment="1">
      <alignment vertical="center"/>
    </xf>
    <xf numFmtId="0" fontId="0" fillId="8" borderId="0" xfId="0" applyFill="1" applyAlignment="1">
      <alignment vertical="center"/>
    </xf>
    <xf numFmtId="0" fontId="46" fillId="32" borderId="0" xfId="8" applyFont="1" applyFill="1"/>
    <xf numFmtId="173" fontId="41" fillId="32" borderId="0" xfId="3" applyNumberFormat="1" applyFont="1" applyFill="1"/>
    <xf numFmtId="171" fontId="57" fillId="32" borderId="0" xfId="3" applyNumberFormat="1" applyFont="1" applyFill="1"/>
    <xf numFmtId="173" fontId="78" fillId="10" borderId="0" xfId="3" applyNumberFormat="1" applyFont="1" applyFill="1" applyAlignment="1">
      <alignment vertical="center"/>
    </xf>
    <xf numFmtId="171" fontId="78" fillId="10" borderId="0" xfId="3" applyNumberFormat="1" applyFont="1" applyFill="1" applyAlignment="1">
      <alignment vertical="center"/>
    </xf>
    <xf numFmtId="172" fontId="78" fillId="10" borderId="0" xfId="11" applyNumberFormat="1" applyFont="1" applyFill="1" applyAlignment="1">
      <alignment vertical="center"/>
    </xf>
    <xf numFmtId="0" fontId="24" fillId="0" borderId="15" xfId="0" applyFont="1" applyBorder="1"/>
    <xf numFmtId="0" fontId="26" fillId="0" borderId="23" xfId="0" applyFont="1" applyBorder="1" applyAlignment="1">
      <alignment horizontal="center"/>
    </xf>
    <xf numFmtId="0" fontId="88" fillId="0" borderId="24" xfId="0" applyFont="1" applyBorder="1" applyAlignment="1">
      <alignment horizontal="center"/>
    </xf>
    <xf numFmtId="4" fontId="24" fillId="0" borderId="23" xfId="8" applyNumberFormat="1" applyBorder="1" applyAlignment="1">
      <alignment horizontal="center"/>
    </xf>
    <xf numFmtId="4" fontId="105" fillId="0" borderId="24" xfId="8" applyNumberFormat="1" applyFont="1" applyBorder="1" applyAlignment="1">
      <alignment horizontal="center"/>
    </xf>
    <xf numFmtId="0" fontId="57" fillId="10" borderId="0" xfId="0" applyFont="1" applyFill="1" applyAlignment="1">
      <alignment horizontal="center" vertical="center"/>
    </xf>
    <xf numFmtId="170" fontId="110" fillId="0" borderId="23" xfId="0" applyNumberFormat="1" applyFont="1" applyBorder="1" applyAlignment="1">
      <alignment horizontal="right"/>
    </xf>
    <xf numFmtId="4" fontId="106" fillId="0" borderId="23" xfId="8" applyNumberFormat="1" applyFont="1" applyBorder="1" applyAlignment="1">
      <alignment horizontal="center"/>
    </xf>
    <xf numFmtId="0" fontId="110" fillId="10" borderId="0" xfId="0" applyFont="1" applyFill="1" applyAlignment="1">
      <alignment horizontal="center"/>
    </xf>
    <xf numFmtId="0" fontId="25" fillId="0" borderId="15" xfId="0" applyFont="1" applyBorder="1" applyAlignment="1">
      <alignment horizontal="center"/>
    </xf>
    <xf numFmtId="170" fontId="106" fillId="0" borderId="23" xfId="8" applyNumberFormat="1" applyFont="1" applyBorder="1" applyAlignment="1">
      <alignment horizontal="right"/>
    </xf>
    <xf numFmtId="4" fontId="106" fillId="0" borderId="24" xfId="8" applyNumberFormat="1" applyFont="1" applyBorder="1" applyAlignment="1">
      <alignment horizontal="center"/>
    </xf>
    <xf numFmtId="0" fontId="110" fillId="0" borderId="24" xfId="0" applyFont="1" applyBorder="1" applyAlignment="1">
      <alignment horizontal="center"/>
    </xf>
    <xf numFmtId="4" fontId="110" fillId="0" borderId="24" xfId="8" applyNumberFormat="1" applyFont="1" applyBorder="1" applyAlignment="1">
      <alignment horizontal="center"/>
    </xf>
    <xf numFmtId="0" fontId="106" fillId="0" borderId="24" xfId="0" applyFont="1" applyBorder="1" applyAlignment="1">
      <alignment horizontal="center"/>
    </xf>
    <xf numFmtId="170" fontId="24" fillId="0" borderId="0" xfId="8" applyNumberFormat="1"/>
    <xf numFmtId="2" fontId="24" fillId="0" borderId="0" xfId="8" applyNumberFormat="1" applyAlignment="1">
      <alignment horizontal="center"/>
    </xf>
    <xf numFmtId="0" fontId="24" fillId="0" borderId="10" xfId="0" applyFont="1" applyBorder="1"/>
    <xf numFmtId="0" fontId="24" fillId="0" borderId="11" xfId="0" applyFont="1" applyBorder="1"/>
    <xf numFmtId="0" fontId="25" fillId="0" borderId="22" xfId="0" applyFont="1" applyBorder="1" applyAlignment="1">
      <alignment horizontal="center"/>
    </xf>
    <xf numFmtId="0" fontId="25" fillId="0" borderId="15" xfId="0" applyFont="1" applyBorder="1" applyAlignment="1">
      <alignment horizontal="center" vertical="center"/>
    </xf>
    <xf numFmtId="0" fontId="25" fillId="0" borderId="11" xfId="0" applyFont="1" applyBorder="1" applyAlignment="1">
      <alignment horizontal="center" vertical="center"/>
    </xf>
    <xf numFmtId="170" fontId="24" fillId="0" borderId="22" xfId="8" applyNumberFormat="1" applyBorder="1" applyAlignment="1">
      <alignment horizontal="right"/>
    </xf>
    <xf numFmtId="4" fontId="105" fillId="10" borderId="0" xfId="8" applyNumberFormat="1" applyFont="1" applyFill="1" applyAlignment="1">
      <alignment horizontal="center"/>
    </xf>
    <xf numFmtId="170" fontId="91" fillId="0" borderId="22" xfId="8" applyNumberFormat="1" applyFont="1" applyBorder="1" applyAlignment="1">
      <alignment horizontal="right"/>
    </xf>
    <xf numFmtId="4" fontId="63" fillId="0" borderId="24" xfId="8" applyNumberFormat="1" applyFont="1" applyBorder="1" applyAlignment="1">
      <alignment horizontal="center"/>
    </xf>
    <xf numFmtId="4" fontId="106" fillId="0" borderId="25" xfId="8" applyNumberFormat="1" applyFont="1" applyBorder="1" applyAlignment="1">
      <alignment horizontal="right"/>
    </xf>
    <xf numFmtId="4" fontId="24" fillId="0" borderId="25" xfId="8" quotePrefix="1" applyNumberFormat="1" applyBorder="1" applyAlignment="1">
      <alignment horizontal="left"/>
    </xf>
    <xf numFmtId="0" fontId="26" fillId="0" borderId="25" xfId="0" applyFont="1" applyBorder="1"/>
    <xf numFmtId="4" fontId="91" fillId="0" borderId="25" xfId="8" applyNumberFormat="1" applyFont="1" applyBorder="1" applyAlignment="1">
      <alignment horizontal="right"/>
    </xf>
    <xf numFmtId="4" fontId="78" fillId="0" borderId="23" xfId="8" applyNumberFormat="1" applyFont="1" applyBorder="1" applyAlignment="1">
      <alignment horizontal="center"/>
    </xf>
    <xf numFmtId="0" fontId="78" fillId="0" borderId="24" xfId="6" applyFont="1" applyBorder="1" applyAlignment="1">
      <alignment horizontal="center"/>
    </xf>
    <xf numFmtId="4" fontId="110" fillId="0" borderId="0" xfId="8" applyNumberFormat="1" applyFont="1" applyAlignment="1">
      <alignment horizontal="center"/>
    </xf>
    <xf numFmtId="4" fontId="78" fillId="0" borderId="0" xfId="8" applyNumberFormat="1" applyFont="1" applyAlignment="1">
      <alignment horizontal="center"/>
    </xf>
    <xf numFmtId="4" fontId="24" fillId="0" borderId="0" xfId="8" applyNumberFormat="1" applyAlignment="1">
      <alignment horizontal="center"/>
    </xf>
    <xf numFmtId="4" fontId="63" fillId="10" borderId="0" xfId="8" applyNumberFormat="1" applyFont="1" applyFill="1" applyAlignment="1">
      <alignment horizontal="center" vertical="center"/>
    </xf>
    <xf numFmtId="4" fontId="106" fillId="0" borderId="0" xfId="8" applyNumberFormat="1" applyFont="1" applyAlignment="1">
      <alignment horizontal="center"/>
    </xf>
    <xf numFmtId="2" fontId="24" fillId="0" borderId="24" xfId="8" applyNumberFormat="1" applyBorder="1" applyAlignment="1">
      <alignment horizontal="center"/>
    </xf>
    <xf numFmtId="2" fontId="63" fillId="10" borderId="25" xfId="6" applyNumberFormat="1" applyFont="1" applyFill="1" applyBorder="1" applyAlignment="1">
      <alignment horizontal="center"/>
    </xf>
    <xf numFmtId="0" fontId="78" fillId="10" borderId="25" xfId="11" applyFont="1" applyFill="1" applyBorder="1" applyAlignment="1">
      <alignment horizontal="left"/>
    </xf>
    <xf numFmtId="0" fontId="78" fillId="10" borderId="25" xfId="6" applyFont="1" applyFill="1" applyBorder="1" applyAlignment="1">
      <alignment horizontal="center"/>
    </xf>
    <xf numFmtId="0" fontId="54" fillId="8" borderId="25" xfId="6" applyFont="1" applyFill="1" applyBorder="1" applyAlignment="1">
      <alignment horizontal="center"/>
    </xf>
    <xf numFmtId="2" fontId="78" fillId="10" borderId="24" xfId="6" applyNumberFormat="1" applyFont="1" applyFill="1" applyBorder="1" applyAlignment="1">
      <alignment horizontal="left"/>
    </xf>
    <xf numFmtId="0" fontId="78" fillId="0" borderId="24" xfId="6" applyFont="1" applyBorder="1" applyAlignment="1">
      <alignment horizontal="left"/>
    </xf>
    <xf numFmtId="0" fontId="0" fillId="11" borderId="0" xfId="0" applyFill="1"/>
    <xf numFmtId="171" fontId="35" fillId="64" borderId="0" xfId="3" applyNumberFormat="1" applyFont="1" applyFill="1"/>
    <xf numFmtId="2" fontId="24" fillId="64" borderId="0" xfId="0" applyNumberFormat="1" applyFont="1" applyFill="1"/>
    <xf numFmtId="0" fontId="24" fillId="64" borderId="0" xfId="11" applyFill="1" applyAlignment="1">
      <alignment horizontal="left"/>
    </xf>
    <xf numFmtId="9" fontId="59" fillId="5" borderId="34" xfId="179" applyFont="1" applyFill="1" applyBorder="1" applyAlignment="1">
      <alignment horizontal="center" vertical="center"/>
    </xf>
    <xf numFmtId="9" fontId="59" fillId="5" borderId="1" xfId="179" applyFont="1" applyFill="1" applyBorder="1" applyAlignment="1">
      <alignment horizontal="center" vertical="center"/>
    </xf>
    <xf numFmtId="9" fontId="98" fillId="5" borderId="1" xfId="179" applyFont="1" applyFill="1" applyBorder="1" applyAlignment="1">
      <alignment horizontal="center" vertical="center"/>
    </xf>
    <xf numFmtId="0" fontId="94" fillId="56" borderId="0" xfId="6" applyFont="1" applyFill="1"/>
    <xf numFmtId="0" fontId="0" fillId="0" borderId="71" xfId="0" applyBorder="1" applyAlignment="1" applyProtection="1">
      <alignment vertical="center"/>
      <protection hidden="1"/>
    </xf>
    <xf numFmtId="166" fontId="0" fillId="0" borderId="72" xfId="39496" applyFont="1" applyFill="1" applyBorder="1" applyAlignment="1" applyProtection="1">
      <alignment horizontal="center" vertical="center"/>
      <protection hidden="1"/>
    </xf>
    <xf numFmtId="0" fontId="0" fillId="0" borderId="73" xfId="0" applyBorder="1" applyAlignment="1" applyProtection="1">
      <alignment vertical="center"/>
      <protection hidden="1"/>
    </xf>
    <xf numFmtId="166" fontId="0" fillId="0" borderId="0" xfId="39496" applyFont="1" applyFill="1" applyBorder="1" applyAlignment="1" applyProtection="1">
      <alignment horizontal="center" vertical="center"/>
      <protection hidden="1"/>
    </xf>
    <xf numFmtId="0" fontId="78" fillId="46" borderId="0" xfId="6" applyFont="1" applyFill="1"/>
    <xf numFmtId="173" fontId="78" fillId="46" borderId="0" xfId="3" applyNumberFormat="1" applyFont="1" applyFill="1" applyAlignment="1">
      <alignment horizontal="center"/>
    </xf>
    <xf numFmtId="172" fontId="96" fillId="46" borderId="0" xfId="3" applyNumberFormat="1" applyFont="1" applyFill="1" applyAlignment="1">
      <alignment horizontal="center"/>
    </xf>
    <xf numFmtId="171" fontId="78" fillId="46" borderId="0" xfId="3" applyNumberFormat="1" applyFont="1" applyFill="1" applyAlignment="1">
      <alignment horizontal="center" vertical="center"/>
    </xf>
    <xf numFmtId="172" fontId="78" fillId="46" borderId="0" xfId="11" applyNumberFormat="1" applyFont="1" applyFill="1" applyAlignment="1">
      <alignment horizontal="left"/>
    </xf>
    <xf numFmtId="2" fontId="78" fillId="46" borderId="0" xfId="6" applyNumberFormat="1" applyFont="1" applyFill="1"/>
    <xf numFmtId="0" fontId="78" fillId="46" borderId="0" xfId="11" applyFont="1" applyFill="1" applyAlignment="1">
      <alignment horizontal="left"/>
    </xf>
    <xf numFmtId="0" fontId="78" fillId="46" borderId="0" xfId="11" applyFont="1" applyFill="1"/>
    <xf numFmtId="0" fontId="24" fillId="46" borderId="0" xfId="0" applyFont="1" applyFill="1"/>
    <xf numFmtId="171" fontId="35" fillId="5" borderId="0" xfId="3" applyNumberFormat="1" applyFont="1" applyFill="1" applyAlignment="1">
      <alignment horizontal="center" vertical="center"/>
    </xf>
    <xf numFmtId="171" fontId="24" fillId="5" borderId="0" xfId="3" applyNumberFormat="1" applyFont="1" applyFill="1"/>
    <xf numFmtId="0" fontId="39" fillId="5" borderId="0" xfId="8" applyFont="1" applyFill="1" applyAlignment="1">
      <alignment horizontal="left"/>
    </xf>
    <xf numFmtId="0" fontId="24" fillId="5" borderId="0" xfId="11" applyFill="1"/>
    <xf numFmtId="171" fontId="24" fillId="5" borderId="0" xfId="3" applyNumberFormat="1" applyFont="1" applyFill="1" applyAlignment="1">
      <alignment wrapText="1"/>
    </xf>
    <xf numFmtId="0" fontId="25" fillId="56" borderId="0" xfId="11" applyFont="1" applyFill="1"/>
    <xf numFmtId="0" fontId="24" fillId="56" borderId="0" xfId="8" applyFill="1"/>
    <xf numFmtId="171" fontId="90" fillId="56" borderId="0" xfId="3" applyNumberFormat="1" applyFont="1" applyFill="1" applyAlignment="1">
      <alignment horizontal="center" vertical="center"/>
    </xf>
    <xf numFmtId="171" fontId="35" fillId="56" borderId="0" xfId="3" applyNumberFormat="1" applyFont="1" applyFill="1" applyAlignment="1">
      <alignment horizontal="center" vertical="center"/>
    </xf>
    <xf numFmtId="172" fontId="24" fillId="56" borderId="0" xfId="3" applyNumberFormat="1" applyFont="1" applyFill="1" applyAlignment="1">
      <alignment horizontal="left"/>
    </xf>
    <xf numFmtId="171" fontId="24" fillId="56" borderId="0" xfId="3" applyNumberFormat="1" applyFont="1" applyFill="1"/>
    <xf numFmtId="0" fontId="24" fillId="56" borderId="0" xfId="11" applyFill="1" applyAlignment="1">
      <alignment horizontal="left"/>
    </xf>
    <xf numFmtId="0" fontId="24" fillId="56" borderId="0" xfId="11" applyFill="1"/>
    <xf numFmtId="0" fontId="0" fillId="56" borderId="0" xfId="0" applyFill="1"/>
    <xf numFmtId="0" fontId="24" fillId="56" borderId="0" xfId="0" applyFont="1" applyFill="1"/>
    <xf numFmtId="0" fontId="43" fillId="13" borderId="0" xfId="8" applyFont="1" applyFill="1"/>
    <xf numFmtId="171" fontId="35" fillId="13" borderId="0" xfId="3" applyNumberFormat="1" applyFont="1" applyFill="1" applyAlignment="1">
      <alignment horizontal="center" vertical="center"/>
    </xf>
    <xf numFmtId="172" fontId="24" fillId="13" borderId="0" xfId="3" applyNumberFormat="1" applyFont="1" applyFill="1" applyAlignment="1">
      <alignment horizontal="left"/>
    </xf>
    <xf numFmtId="171" fontId="24" fillId="13" borderId="0" xfId="3" applyNumberFormat="1" applyFont="1" applyFill="1"/>
    <xf numFmtId="0" fontId="24" fillId="13" borderId="0" xfId="0" applyFont="1" applyFill="1" applyAlignment="1">
      <alignment horizontal="left"/>
    </xf>
    <xf numFmtId="0" fontId="24" fillId="13" borderId="0" xfId="11" applyFill="1"/>
    <xf numFmtId="0" fontId="24" fillId="13" borderId="0" xfId="0" applyFont="1" applyFill="1"/>
    <xf numFmtId="0" fontId="46" fillId="19" borderId="0" xfId="8" applyFont="1" applyFill="1"/>
    <xf numFmtId="171" fontId="90" fillId="19" borderId="0" xfId="3" applyNumberFormat="1" applyFont="1" applyFill="1" applyAlignment="1">
      <alignment horizontal="center" vertical="center"/>
    </xf>
    <xf numFmtId="172" fontId="24" fillId="19" borderId="0" xfId="3" applyNumberFormat="1" applyFont="1" applyFill="1" applyAlignment="1">
      <alignment horizontal="left"/>
    </xf>
    <xf numFmtId="0" fontId="207" fillId="0" borderId="0" xfId="0" applyFont="1"/>
    <xf numFmtId="0" fontId="24" fillId="19" borderId="0" xfId="11" applyFill="1"/>
    <xf numFmtId="0" fontId="78" fillId="5" borderId="0" xfId="6" applyFont="1" applyFill="1" applyAlignment="1">
      <alignment horizontal="left"/>
    </xf>
    <xf numFmtId="172" fontId="78" fillId="5" borderId="0" xfId="3" applyNumberFormat="1" applyFont="1" applyFill="1" applyAlignment="1">
      <alignment horizontal="left"/>
    </xf>
    <xf numFmtId="0" fontId="94" fillId="10" borderId="0" xfId="6" applyFont="1" applyFill="1" applyAlignment="1">
      <alignment horizontal="left"/>
    </xf>
    <xf numFmtId="0" fontId="63" fillId="5" borderId="0" xfId="6" applyFont="1" applyFill="1"/>
    <xf numFmtId="0" fontId="63" fillId="5" borderId="0" xfId="11" applyFont="1" applyFill="1"/>
    <xf numFmtId="0" fontId="24" fillId="5" borderId="0" xfId="6" applyFill="1"/>
    <xf numFmtId="0" fontId="78" fillId="13" borderId="0" xfId="11" applyFont="1" applyFill="1" applyAlignment="1">
      <alignment horizontal="left"/>
    </xf>
    <xf numFmtId="173" fontId="91" fillId="13" borderId="0" xfId="3" applyNumberFormat="1" applyFont="1" applyFill="1" applyAlignment="1">
      <alignment horizontal="left"/>
    </xf>
    <xf numFmtId="172" fontId="96" fillId="13" borderId="0" xfId="3" applyNumberFormat="1" applyFont="1" applyFill="1" applyAlignment="1">
      <alignment horizontal="center"/>
    </xf>
    <xf numFmtId="172" fontId="63" fillId="13" borderId="0" xfId="3" applyNumberFormat="1" applyFont="1" applyFill="1" applyAlignment="1">
      <alignment horizontal="center"/>
    </xf>
    <xf numFmtId="172" fontId="78" fillId="13" borderId="0" xfId="11" applyNumberFormat="1" applyFont="1" applyFill="1" applyAlignment="1">
      <alignment horizontal="left"/>
    </xf>
    <xf numFmtId="2" fontId="78" fillId="13" borderId="0" xfId="6" applyNumberFormat="1" applyFont="1" applyFill="1"/>
    <xf numFmtId="0" fontId="78" fillId="13" borderId="0" xfId="11" applyFont="1" applyFill="1"/>
    <xf numFmtId="0" fontId="78" fillId="13" borderId="0" xfId="0" applyFont="1" applyFill="1"/>
    <xf numFmtId="0" fontId="100" fillId="10" borderId="0" xfId="0" applyFont="1" applyFill="1" applyAlignment="1">
      <alignment vertical="center"/>
    </xf>
    <xf numFmtId="172" fontId="78" fillId="10" borderId="0" xfId="3" applyNumberFormat="1" applyFont="1" applyFill="1" applyAlignment="1">
      <alignment horizontal="center" vertical="center"/>
    </xf>
    <xf numFmtId="0" fontId="78" fillId="32" borderId="0" xfId="6" applyFont="1" applyFill="1" applyAlignment="1">
      <alignment horizontal="left"/>
    </xf>
    <xf numFmtId="172" fontId="78" fillId="32" borderId="0" xfId="3" applyNumberFormat="1" applyFont="1" applyFill="1" applyAlignment="1">
      <alignment horizontal="center" vertical="center"/>
    </xf>
    <xf numFmtId="171" fontId="78" fillId="32" borderId="0" xfId="3" applyNumberFormat="1" applyFont="1" applyFill="1" applyAlignment="1">
      <alignment horizontal="center" vertical="center"/>
    </xf>
    <xf numFmtId="172" fontId="78" fillId="32" borderId="0" xfId="11" applyNumberFormat="1" applyFont="1" applyFill="1" applyAlignment="1">
      <alignment horizontal="left"/>
    </xf>
    <xf numFmtId="0" fontId="78" fillId="32" borderId="0" xfId="11" applyFont="1" applyFill="1" applyAlignment="1">
      <alignment horizontal="left"/>
    </xf>
    <xf numFmtId="164" fontId="78" fillId="10" borderId="0" xfId="3" applyNumberFormat="1" applyFont="1" applyFill="1" applyAlignment="1">
      <alignment horizontal="center" vertical="center"/>
    </xf>
    <xf numFmtId="0" fontId="208" fillId="13" borderId="0" xfId="6" applyFont="1" applyFill="1"/>
    <xf numFmtId="0" fontId="178" fillId="0" borderId="0" xfId="0" applyFont="1"/>
    <xf numFmtId="0" fontId="178" fillId="10" borderId="0" xfId="0" applyFont="1" applyFill="1"/>
    <xf numFmtId="0" fontId="54" fillId="10" borderId="0" xfId="6" applyFont="1" applyFill="1" applyAlignment="1">
      <alignment horizontal="left"/>
    </xf>
    <xf numFmtId="0" fontId="78" fillId="19" borderId="24" xfId="6" applyFont="1" applyFill="1" applyBorder="1"/>
    <xf numFmtId="0" fontId="94" fillId="0" borderId="0" xfId="0" applyFont="1"/>
    <xf numFmtId="0" fontId="94" fillId="37" borderId="0" xfId="6" applyFont="1" applyFill="1" applyAlignment="1">
      <alignment vertical="top"/>
    </xf>
    <xf numFmtId="0" fontId="78" fillId="37" borderId="27" xfId="6" applyFont="1" applyFill="1" applyBorder="1" applyAlignment="1">
      <alignment vertical="top"/>
    </xf>
    <xf numFmtId="176" fontId="78" fillId="37" borderId="0" xfId="39495" applyNumberFormat="1" applyFont="1" applyFill="1" applyAlignment="1">
      <alignment horizontal="center" vertical="top"/>
    </xf>
    <xf numFmtId="172" fontId="96" fillId="37" borderId="0" xfId="3" applyNumberFormat="1" applyFont="1" applyFill="1" applyAlignment="1">
      <alignment horizontal="center" vertical="top"/>
    </xf>
    <xf numFmtId="171" fontId="78" fillId="37" borderId="0" xfId="3" applyNumberFormat="1" applyFont="1" applyFill="1" applyBorder="1" applyAlignment="1">
      <alignment horizontal="center" vertical="top"/>
    </xf>
    <xf numFmtId="172" fontId="78" fillId="37" borderId="0" xfId="11" applyNumberFormat="1" applyFont="1" applyFill="1" applyAlignment="1">
      <alignment horizontal="left" vertical="top"/>
    </xf>
    <xf numFmtId="2" fontId="78" fillId="37" borderId="0" xfId="6" applyNumberFormat="1" applyFont="1" applyFill="1" applyAlignment="1">
      <alignment vertical="top"/>
    </xf>
    <xf numFmtId="0" fontId="78" fillId="37" borderId="0" xfId="6" applyFont="1" applyFill="1" applyAlignment="1">
      <alignment horizontal="left" vertical="top"/>
    </xf>
    <xf numFmtId="0" fontId="78" fillId="37" borderId="0" xfId="11" applyFont="1" applyFill="1" applyAlignment="1">
      <alignment vertical="top"/>
    </xf>
    <xf numFmtId="0" fontId="24" fillId="37" borderId="0" xfId="0" applyFont="1" applyFill="1"/>
    <xf numFmtId="0" fontId="78" fillId="0" borderId="20" xfId="6" applyFont="1" applyBorder="1"/>
    <xf numFmtId="0" fontId="78" fillId="0" borderId="27" xfId="6" applyFont="1" applyBorder="1"/>
    <xf numFmtId="0" fontId="209" fillId="0" borderId="0" xfId="0" applyFont="1" applyAlignment="1">
      <alignment vertical="center"/>
    </xf>
    <xf numFmtId="0" fontId="94" fillId="37" borderId="0" xfId="6" applyFont="1" applyFill="1" applyAlignment="1">
      <alignment horizontal="center"/>
    </xf>
    <xf numFmtId="0" fontId="78" fillId="37" borderId="0" xfId="6" applyFont="1" applyFill="1"/>
    <xf numFmtId="176" fontId="78" fillId="37" borderId="0" xfId="39495" applyNumberFormat="1" applyFont="1" applyFill="1" applyAlignment="1">
      <alignment horizontal="center"/>
    </xf>
    <xf numFmtId="172" fontId="96" fillId="37" borderId="0" xfId="3" applyNumberFormat="1" applyFont="1" applyFill="1" applyAlignment="1">
      <alignment horizontal="center"/>
    </xf>
    <xf numFmtId="171" fontId="78" fillId="37" borderId="0" xfId="3" applyNumberFormat="1" applyFont="1" applyFill="1" applyBorder="1" applyAlignment="1">
      <alignment horizontal="center" vertical="center"/>
    </xf>
    <xf numFmtId="172" fontId="78" fillId="37" borderId="0" xfId="11" applyNumberFormat="1" applyFont="1" applyFill="1" applyAlignment="1">
      <alignment horizontal="left"/>
    </xf>
    <xf numFmtId="2" fontId="78" fillId="37" borderId="0" xfId="6" applyNumberFormat="1" applyFont="1" applyFill="1"/>
    <xf numFmtId="0" fontId="78" fillId="37" borderId="0" xfId="6" applyFont="1" applyFill="1" applyAlignment="1">
      <alignment horizontal="left"/>
    </xf>
    <xf numFmtId="0" fontId="78" fillId="37" borderId="0" xfId="11" applyFont="1" applyFill="1"/>
    <xf numFmtId="0" fontId="94" fillId="37" borderId="0" xfId="6" applyFont="1" applyFill="1"/>
    <xf numFmtId="0" fontId="24" fillId="37" borderId="0" xfId="0" applyFont="1" applyFill="1" applyAlignment="1">
      <alignment vertical="top"/>
    </xf>
    <xf numFmtId="0" fontId="94" fillId="0" borderId="0" xfId="6" applyFont="1" applyAlignment="1">
      <alignment vertical="top"/>
    </xf>
    <xf numFmtId="0" fontId="78" fillId="0" borderId="27" xfId="6" applyFont="1" applyBorder="1" applyAlignment="1">
      <alignment vertical="top"/>
    </xf>
    <xf numFmtId="164" fontId="24" fillId="8" borderId="0" xfId="0" applyNumberFormat="1" applyFont="1" applyFill="1" applyAlignment="1">
      <alignment vertical="center"/>
    </xf>
    <xf numFmtId="0" fontId="63" fillId="8" borderId="0" xfId="8" applyFont="1" applyFill="1" applyAlignment="1">
      <alignment vertical="center"/>
    </xf>
    <xf numFmtId="173" fontId="41" fillId="8" borderId="0" xfId="3" applyNumberFormat="1" applyFont="1" applyFill="1" applyAlignment="1">
      <alignment vertical="center"/>
    </xf>
    <xf numFmtId="171" fontId="57" fillId="8" borderId="0" xfId="3" applyNumberFormat="1" applyFont="1" applyFill="1" applyAlignment="1">
      <alignment vertical="center"/>
    </xf>
    <xf numFmtId="171" fontId="24" fillId="8" borderId="0" xfId="3" applyNumberFormat="1" applyFont="1" applyFill="1" applyAlignment="1">
      <alignment vertical="center"/>
    </xf>
    <xf numFmtId="171" fontId="0" fillId="8" borderId="0" xfId="0" applyNumberFormat="1" applyFill="1" applyAlignment="1">
      <alignment vertical="center"/>
    </xf>
    <xf numFmtId="0" fontId="0" fillId="43" borderId="0" xfId="0" applyFill="1" applyAlignment="1">
      <alignment vertical="center"/>
    </xf>
    <xf numFmtId="173" fontId="41" fillId="5" borderId="0" xfId="3" applyNumberFormat="1" applyFont="1" applyFill="1"/>
    <xf numFmtId="171" fontId="35" fillId="5" borderId="0" xfId="3" applyNumberFormat="1" applyFont="1" applyFill="1"/>
    <xf numFmtId="171" fontId="78" fillId="5" borderId="0" xfId="3" applyNumberFormat="1" applyFont="1" applyFill="1" applyAlignment="1">
      <alignment horizontal="left" vertical="center"/>
    </xf>
    <xf numFmtId="173" fontId="78" fillId="0" borderId="0" xfId="3" applyNumberFormat="1" applyFont="1" applyFill="1" applyAlignment="1">
      <alignment horizontal="center"/>
    </xf>
    <xf numFmtId="171" fontId="78" fillId="0" borderId="0" xfId="3" applyNumberFormat="1" applyFont="1" applyFill="1" applyAlignment="1">
      <alignment horizontal="left" vertical="center"/>
    </xf>
    <xf numFmtId="164" fontId="78" fillId="64" borderId="0" xfId="3" applyNumberFormat="1" applyFont="1" applyFill="1" applyAlignment="1">
      <alignment horizontal="center" vertical="center"/>
    </xf>
    <xf numFmtId="49" fontId="59" fillId="10" borderId="0" xfId="8" applyNumberFormat="1" applyFont="1" applyFill="1"/>
    <xf numFmtId="0" fontId="210" fillId="5" borderId="0" xfId="8" applyFont="1" applyFill="1" applyAlignment="1">
      <alignment horizontal="left"/>
    </xf>
    <xf numFmtId="0" fontId="180" fillId="5" borderId="0" xfId="6" applyFont="1" applyFill="1" applyAlignment="1">
      <alignment vertical="center"/>
    </xf>
    <xf numFmtId="0" fontId="210" fillId="5" borderId="0" xfId="8" applyFont="1" applyFill="1"/>
    <xf numFmtId="164" fontId="78" fillId="32" borderId="0" xfId="3" applyNumberFormat="1" applyFont="1" applyFill="1" applyAlignment="1">
      <alignment horizontal="center" vertical="center"/>
    </xf>
    <xf numFmtId="164" fontId="24" fillId="0" borderId="0" xfId="0" applyNumberFormat="1" applyFont="1" applyAlignment="1">
      <alignment horizontal="center"/>
    </xf>
    <xf numFmtId="0" fontId="89" fillId="18" borderId="15" xfId="0" applyFont="1" applyFill="1" applyBorder="1" applyAlignment="1">
      <alignment horizontal="center" vertical="center"/>
    </xf>
    <xf numFmtId="170" fontId="105" fillId="18" borderId="23" xfId="8" applyNumberFormat="1" applyFont="1" applyFill="1" applyBorder="1" applyAlignment="1">
      <alignment horizontal="center" vertical="center"/>
    </xf>
    <xf numFmtId="0" fontId="26" fillId="18" borderId="24" xfId="0" applyFont="1" applyFill="1" applyBorder="1" applyAlignment="1">
      <alignment vertical="center"/>
    </xf>
    <xf numFmtId="2" fontId="78" fillId="18" borderId="25" xfId="6" applyNumberFormat="1" applyFont="1" applyFill="1" applyBorder="1" applyAlignment="1">
      <alignment horizontal="center"/>
    </xf>
    <xf numFmtId="4" fontId="63" fillId="18" borderId="24" xfId="8" applyNumberFormat="1" applyFont="1" applyFill="1" applyBorder="1" applyAlignment="1">
      <alignment horizontal="center" vertical="center"/>
    </xf>
    <xf numFmtId="4" fontId="105" fillId="18" borderId="24" xfId="8" applyNumberFormat="1" applyFont="1" applyFill="1" applyBorder="1" applyAlignment="1">
      <alignment horizontal="center"/>
    </xf>
    <xf numFmtId="4" fontId="94" fillId="18" borderId="0" xfId="8" applyNumberFormat="1" applyFont="1" applyFill="1" applyAlignment="1">
      <alignment vertical="center"/>
    </xf>
    <xf numFmtId="4" fontId="94" fillId="18" borderId="10" xfId="8" applyNumberFormat="1" applyFont="1" applyFill="1" applyBorder="1" applyAlignment="1">
      <alignment horizontal="center" vertical="center"/>
    </xf>
    <xf numFmtId="0" fontId="63" fillId="18" borderId="0" xfId="0" applyFont="1" applyFill="1" applyAlignment="1">
      <alignment horizontal="center" vertical="center"/>
    </xf>
    <xf numFmtId="170" fontId="199" fillId="18" borderId="0" xfId="0" applyNumberFormat="1" applyFont="1" applyFill="1" applyAlignment="1">
      <alignment horizontal="center"/>
    </xf>
    <xf numFmtId="0" fontId="63" fillId="18" borderId="0" xfId="0" applyFont="1" applyFill="1" applyAlignment="1">
      <alignment horizontal="center"/>
    </xf>
    <xf numFmtId="0" fontId="90" fillId="18" borderId="0" xfId="0" applyFont="1" applyFill="1" applyAlignment="1">
      <alignment horizontal="center" vertical="center"/>
    </xf>
    <xf numFmtId="0" fontId="63" fillId="18" borderId="0" xfId="0" applyFont="1" applyFill="1" applyAlignment="1">
      <alignment horizontal="left" vertical="center"/>
    </xf>
    <xf numFmtId="0" fontId="63" fillId="18" borderId="0" xfId="0" applyFont="1" applyFill="1" applyAlignment="1">
      <alignment vertical="center"/>
    </xf>
    <xf numFmtId="0" fontId="24" fillId="18" borderId="0" xfId="0" applyFont="1" applyFill="1" applyAlignment="1">
      <alignment vertical="center"/>
    </xf>
    <xf numFmtId="0" fontId="24" fillId="18" borderId="0" xfId="0" applyFont="1" applyFill="1"/>
    <xf numFmtId="0" fontId="78" fillId="18" borderId="0" xfId="0" applyFont="1" applyFill="1" applyAlignment="1">
      <alignment vertical="center"/>
    </xf>
    <xf numFmtId="170" fontId="63" fillId="18" borderId="23" xfId="8" applyNumberFormat="1" applyFont="1" applyFill="1" applyBorder="1" applyAlignment="1">
      <alignment horizontal="center" vertical="center"/>
    </xf>
    <xf numFmtId="4" fontId="63" fillId="18" borderId="24" xfId="8" applyNumberFormat="1" applyFont="1" applyFill="1" applyBorder="1" applyAlignment="1">
      <alignment vertical="center"/>
    </xf>
    <xf numFmtId="2" fontId="78" fillId="18" borderId="0" xfId="6" applyNumberFormat="1" applyFont="1" applyFill="1" applyAlignment="1">
      <alignment horizontal="center"/>
    </xf>
    <xf numFmtId="4" fontId="106" fillId="18" borderId="23" xfId="8" applyNumberFormat="1" applyFont="1" applyFill="1" applyBorder="1" applyAlignment="1">
      <alignment horizontal="center"/>
    </xf>
    <xf numFmtId="0" fontId="110" fillId="18" borderId="24" xfId="0" applyFont="1" applyFill="1" applyBorder="1" applyAlignment="1">
      <alignment horizontal="left" indent="1"/>
    </xf>
    <xf numFmtId="2" fontId="78" fillId="18" borderId="0" xfId="6" applyNumberFormat="1" applyFont="1" applyFill="1"/>
    <xf numFmtId="4" fontId="25" fillId="18" borderId="0" xfId="8" applyNumberFormat="1" applyFont="1" applyFill="1" applyAlignment="1">
      <alignment vertical="center"/>
    </xf>
    <xf numFmtId="4" fontId="24" fillId="18" borderId="10" xfId="0" applyNumberFormat="1" applyFont="1" applyFill="1" applyBorder="1" applyAlignment="1">
      <alignment horizontal="center" vertical="center"/>
    </xf>
    <xf numFmtId="0" fontId="105" fillId="18" borderId="15" xfId="0" applyFont="1" applyFill="1" applyBorder="1" applyAlignment="1">
      <alignment horizontal="center" vertical="center"/>
    </xf>
    <xf numFmtId="170" fontId="106" fillId="18" borderId="23" xfId="8" applyNumberFormat="1" applyFont="1" applyFill="1" applyBorder="1" applyAlignment="1">
      <alignment horizontal="right"/>
    </xf>
    <xf numFmtId="4" fontId="106" fillId="18" borderId="24" xfId="8" applyNumberFormat="1" applyFont="1" applyFill="1" applyBorder="1" applyAlignment="1">
      <alignment horizontal="right"/>
    </xf>
    <xf numFmtId="0" fontId="78" fillId="18" borderId="0" xfId="11" applyFont="1" applyFill="1" applyAlignment="1">
      <alignment horizontal="center"/>
    </xf>
    <xf numFmtId="4" fontId="78" fillId="18" borderId="24" xfId="8" applyNumberFormat="1" applyFont="1" applyFill="1" applyBorder="1" applyAlignment="1">
      <alignment horizontal="center"/>
    </xf>
    <xf numFmtId="4" fontId="110" fillId="18" borderId="0" xfId="8" applyNumberFormat="1" applyFont="1" applyFill="1" applyAlignment="1">
      <alignment vertical="center"/>
    </xf>
    <xf numFmtId="4" fontId="110" fillId="18" borderId="10" xfId="8" applyNumberFormat="1" applyFont="1" applyFill="1" applyBorder="1" applyAlignment="1">
      <alignment horizontal="center" vertical="center"/>
    </xf>
    <xf numFmtId="0" fontId="110" fillId="18" borderId="0" xfId="0" applyFont="1" applyFill="1" applyAlignment="1">
      <alignment vertical="center"/>
    </xf>
    <xf numFmtId="0" fontId="54" fillId="18" borderId="0" xfId="6" applyFont="1" applyFill="1"/>
    <xf numFmtId="170" fontId="24" fillId="18" borderId="23" xfId="8" applyNumberFormat="1" applyFill="1" applyBorder="1" applyAlignment="1">
      <alignment horizontal="center"/>
    </xf>
    <xf numFmtId="4" fontId="24" fillId="18" borderId="24" xfId="8" applyNumberFormat="1" applyFill="1" applyBorder="1"/>
    <xf numFmtId="4" fontId="24" fillId="18" borderId="24" xfId="8" applyNumberFormat="1" applyFill="1" applyBorder="1" applyAlignment="1">
      <alignment horizontal="center"/>
    </xf>
    <xf numFmtId="4" fontId="63" fillId="18" borderId="24" xfId="8" applyNumberFormat="1" applyFont="1" applyFill="1" applyBorder="1" applyAlignment="1">
      <alignment horizontal="center"/>
    </xf>
    <xf numFmtId="4" fontId="25" fillId="18" borderId="0" xfId="8" applyNumberFormat="1" applyFont="1" applyFill="1"/>
    <xf numFmtId="4" fontId="24" fillId="18" borderId="10" xfId="0" applyNumberFormat="1" applyFont="1" applyFill="1" applyBorder="1" applyAlignment="1">
      <alignment horizontal="center"/>
    </xf>
    <xf numFmtId="0" fontId="111" fillId="18" borderId="0" xfId="0" applyFont="1" applyFill="1" applyAlignment="1">
      <alignment horizontal="center" vertical="center"/>
    </xf>
    <xf numFmtId="0" fontId="90" fillId="18" borderId="0" xfId="0" applyFont="1" applyFill="1" applyAlignment="1">
      <alignment horizontal="center"/>
    </xf>
    <xf numFmtId="0" fontId="63" fillId="18" borderId="0" xfId="0" applyFont="1" applyFill="1" applyAlignment="1">
      <alignment horizontal="left"/>
    </xf>
    <xf numFmtId="0" fontId="63" fillId="18" borderId="0" xfId="0" applyFont="1" applyFill="1"/>
    <xf numFmtId="0" fontId="105" fillId="18" borderId="15" xfId="0" applyFont="1" applyFill="1" applyBorder="1" applyAlignment="1">
      <alignment horizontal="center"/>
    </xf>
    <xf numFmtId="0" fontId="111" fillId="18" borderId="0" xfId="0" applyFont="1" applyFill="1" applyAlignment="1">
      <alignment horizontal="center"/>
    </xf>
    <xf numFmtId="0" fontId="115" fillId="18" borderId="15" xfId="0" applyFont="1" applyFill="1" applyBorder="1" applyAlignment="1">
      <alignment horizontal="center" vertical="center"/>
    </xf>
    <xf numFmtId="170" fontId="91" fillId="18" borderId="23" xfId="8" applyNumberFormat="1" applyFont="1" applyFill="1" applyBorder="1" applyAlignment="1">
      <alignment horizontal="center" vertical="center"/>
    </xf>
    <xf numFmtId="4" fontId="194" fillId="18" borderId="25" xfId="8" applyNumberFormat="1" applyFont="1" applyFill="1" applyBorder="1" applyAlignment="1">
      <alignment horizontal="left" vertical="center"/>
    </xf>
    <xf numFmtId="0" fontId="91" fillId="18" borderId="24" xfId="6" applyFont="1" applyFill="1" applyBorder="1" applyAlignment="1">
      <alignment horizontal="center"/>
    </xf>
    <xf numFmtId="4" fontId="91" fillId="18" borderId="23" xfId="8" applyNumberFormat="1" applyFont="1" applyFill="1" applyBorder="1" applyAlignment="1">
      <alignment horizontal="center" vertical="center"/>
    </xf>
    <xf numFmtId="4" fontId="91" fillId="18" borderId="24" xfId="8" applyNumberFormat="1" applyFont="1" applyFill="1" applyBorder="1" applyAlignment="1">
      <alignment horizontal="center" vertical="center"/>
    </xf>
    <xf numFmtId="4" fontId="194" fillId="18" borderId="0" xfId="8" applyNumberFormat="1" applyFont="1" applyFill="1" applyAlignment="1">
      <alignment vertical="center"/>
    </xf>
    <xf numFmtId="4" fontId="91" fillId="18" borderId="10" xfId="0" applyNumberFormat="1" applyFont="1" applyFill="1" applyBorder="1" applyAlignment="1">
      <alignment horizontal="center" vertical="center"/>
    </xf>
    <xf numFmtId="0" fontId="91" fillId="18" borderId="0" xfId="0" applyFont="1" applyFill="1" applyAlignment="1">
      <alignment vertical="center"/>
    </xf>
    <xf numFmtId="0" fontId="24" fillId="18" borderId="15" xfId="0" applyFont="1" applyFill="1" applyBorder="1"/>
    <xf numFmtId="170" fontId="63" fillId="18" borderId="23" xfId="8" applyNumberFormat="1" applyFont="1" applyFill="1" applyBorder="1" applyAlignment="1">
      <alignment horizontal="center"/>
    </xf>
    <xf numFmtId="4" fontId="63" fillId="18" borderId="25" xfId="8" applyNumberFormat="1" applyFont="1" applyFill="1" applyBorder="1" applyAlignment="1">
      <alignment vertical="center"/>
    </xf>
    <xf numFmtId="0" fontId="63" fillId="18" borderId="24" xfId="0" applyFont="1" applyFill="1" applyBorder="1" applyAlignment="1">
      <alignment horizontal="center"/>
    </xf>
    <xf numFmtId="4" fontId="63" fillId="18" borderId="23" xfId="8" applyNumberFormat="1" applyFont="1" applyFill="1" applyBorder="1" applyAlignment="1">
      <alignment horizontal="center"/>
    </xf>
    <xf numFmtId="4" fontId="94" fillId="18" borderId="0" xfId="8" applyNumberFormat="1" applyFont="1" applyFill="1"/>
    <xf numFmtId="4" fontId="94" fillId="18" borderId="10" xfId="8" applyNumberFormat="1" applyFont="1" applyFill="1" applyBorder="1" applyAlignment="1">
      <alignment horizontal="center"/>
    </xf>
    <xf numFmtId="0" fontId="78" fillId="18" borderId="0" xfId="0" applyFont="1" applyFill="1"/>
    <xf numFmtId="2" fontId="78" fillId="18" borderId="23" xfId="6" applyNumberFormat="1" applyFont="1" applyFill="1" applyBorder="1" applyAlignment="1">
      <alignment horizontal="center"/>
    </xf>
    <xf numFmtId="4" fontId="63" fillId="18" borderId="23" xfId="8" applyNumberFormat="1" applyFont="1" applyFill="1" applyBorder="1" applyAlignment="1">
      <alignment horizontal="center" vertical="center"/>
    </xf>
    <xf numFmtId="0" fontId="78" fillId="18" borderId="23" xfId="6" applyFont="1" applyFill="1" applyBorder="1" applyAlignment="1">
      <alignment horizontal="center"/>
    </xf>
    <xf numFmtId="2" fontId="78" fillId="18" borderId="24" xfId="6" applyNumberFormat="1" applyFont="1" applyFill="1" applyBorder="1" applyAlignment="1">
      <alignment horizontal="center"/>
    </xf>
    <xf numFmtId="4" fontId="94" fillId="18" borderId="0" xfId="8" applyNumberFormat="1" applyFont="1" applyFill="1" applyAlignment="1">
      <alignment horizontal="center" vertical="center"/>
    </xf>
    <xf numFmtId="170" fontId="63" fillId="18" borderId="22" xfId="8" applyNumberFormat="1" applyFont="1" applyFill="1" applyBorder="1" applyAlignment="1">
      <alignment horizontal="center" vertical="center"/>
    </xf>
    <xf numFmtId="0" fontId="78" fillId="18" borderId="24" xfId="0" applyFont="1" applyFill="1" applyBorder="1" applyAlignment="1">
      <alignment horizontal="center"/>
    </xf>
    <xf numFmtId="4" fontId="78" fillId="18" borderId="10" xfId="0" applyNumberFormat="1" applyFont="1" applyFill="1" applyBorder="1" applyAlignment="1">
      <alignment horizontal="center" vertical="center"/>
    </xf>
    <xf numFmtId="0" fontId="24" fillId="18" borderId="15" xfId="0" applyFont="1" applyFill="1" applyBorder="1" applyAlignment="1">
      <alignment horizontal="center" vertical="center"/>
    </xf>
    <xf numFmtId="0" fontId="106" fillId="18" borderId="0" xfId="0" applyFont="1" applyFill="1" applyAlignment="1">
      <alignment horizontal="center"/>
    </xf>
    <xf numFmtId="0" fontId="24" fillId="18" borderId="0" xfId="0" applyFont="1" applyFill="1" applyAlignment="1">
      <alignment horizontal="center"/>
    </xf>
    <xf numFmtId="4" fontId="25" fillId="10" borderId="7" xfId="8" applyNumberFormat="1" applyFont="1" applyFill="1" applyBorder="1"/>
    <xf numFmtId="4" fontId="94" fillId="5" borderId="0" xfId="8" applyNumberFormat="1" applyFont="1" applyFill="1" applyAlignment="1">
      <alignment vertical="center"/>
    </xf>
    <xf numFmtId="4" fontId="78" fillId="5" borderId="10" xfId="0" applyNumberFormat="1" applyFont="1" applyFill="1" applyBorder="1" applyAlignment="1">
      <alignment horizontal="center" vertical="center"/>
    </xf>
    <xf numFmtId="0" fontId="115" fillId="5" borderId="15" xfId="0" applyFont="1" applyFill="1" applyBorder="1" applyAlignment="1">
      <alignment horizontal="center" vertical="center"/>
    </xf>
    <xf numFmtId="170" fontId="63" fillId="5" borderId="23" xfId="8" applyNumberFormat="1" applyFont="1" applyFill="1" applyBorder="1" applyAlignment="1">
      <alignment horizontal="center" vertical="center"/>
    </xf>
    <xf numFmtId="4" fontId="63" fillId="5" borderId="24" xfId="8" applyNumberFormat="1" applyFont="1" applyFill="1" applyBorder="1" applyAlignment="1">
      <alignment vertical="center"/>
    </xf>
    <xf numFmtId="2" fontId="78" fillId="5" borderId="23" xfId="6" applyNumberFormat="1" applyFont="1" applyFill="1" applyBorder="1" applyAlignment="1">
      <alignment horizontal="center"/>
    </xf>
    <xf numFmtId="4" fontId="63" fillId="5" borderId="23" xfId="8" applyNumberFormat="1" applyFont="1" applyFill="1" applyBorder="1" applyAlignment="1">
      <alignment horizontal="center" vertical="center"/>
    </xf>
    <xf numFmtId="4" fontId="63" fillId="5" borderId="24" xfId="8" applyNumberFormat="1" applyFont="1" applyFill="1" applyBorder="1" applyAlignment="1">
      <alignment horizontal="center" vertical="center"/>
    </xf>
    <xf numFmtId="4" fontId="94" fillId="5" borderId="10" xfId="8" applyNumberFormat="1" applyFont="1" applyFill="1" applyBorder="1" applyAlignment="1">
      <alignment horizontal="center" vertical="center"/>
    </xf>
    <xf numFmtId="0" fontId="63" fillId="5" borderId="0" xfId="0" applyFont="1" applyFill="1" applyAlignment="1">
      <alignment horizontal="center" vertical="center"/>
    </xf>
    <xf numFmtId="0" fontId="111" fillId="5" borderId="0" xfId="0" applyFont="1" applyFill="1" applyAlignment="1">
      <alignment horizontal="center"/>
    </xf>
    <xf numFmtId="0" fontId="90" fillId="5" borderId="0" xfId="0" applyFont="1" applyFill="1" applyAlignment="1">
      <alignment horizontal="center" vertical="center"/>
    </xf>
    <xf numFmtId="0" fontId="63" fillId="5" borderId="0" xfId="0" applyFont="1" applyFill="1" applyAlignment="1">
      <alignment horizontal="left" vertical="center"/>
    </xf>
    <xf numFmtId="0" fontId="63" fillId="5" borderId="0" xfId="0" applyFont="1" applyFill="1" applyAlignment="1">
      <alignment vertical="center"/>
    </xf>
    <xf numFmtId="0" fontId="78" fillId="5" borderId="0" xfId="0" applyFont="1" applyFill="1" applyAlignment="1">
      <alignment vertical="center"/>
    </xf>
    <xf numFmtId="0" fontId="188" fillId="7" borderId="68" xfId="8" applyFont="1" applyFill="1" applyBorder="1" applyAlignment="1">
      <alignment horizontal="center" vertical="center" wrapText="1"/>
    </xf>
    <xf numFmtId="0" fontId="188" fillId="7" borderId="57" xfId="8" applyFont="1" applyFill="1" applyBorder="1" applyAlignment="1">
      <alignment horizontal="center" vertical="center" wrapText="1"/>
    </xf>
    <xf numFmtId="4" fontId="191" fillId="21" borderId="48" xfId="0" applyNumberFormat="1" applyFont="1" applyFill="1" applyBorder="1" applyAlignment="1">
      <alignment horizontal="center" vertical="center"/>
    </xf>
    <xf numFmtId="4" fontId="191" fillId="21" borderId="49" xfId="0" applyNumberFormat="1" applyFont="1" applyFill="1" applyBorder="1" applyAlignment="1">
      <alignment horizontal="center" vertical="center"/>
    </xf>
    <xf numFmtId="0" fontId="24" fillId="7" borderId="5" xfId="8" applyFill="1" applyBorder="1" applyAlignment="1">
      <alignment horizontal="center" vertical="center"/>
    </xf>
    <xf numFmtId="0" fontId="24" fillId="7" borderId="9" xfId="8" applyFill="1" applyBorder="1" applyAlignment="1">
      <alignment horizontal="center" vertical="center"/>
    </xf>
    <xf numFmtId="14" fontId="24" fillId="0" borderId="50" xfId="0" applyNumberFormat="1" applyFont="1" applyBorder="1" applyAlignment="1">
      <alignment horizontal="center" vertical="center"/>
    </xf>
    <xf numFmtId="14" fontId="24" fillId="0" borderId="58" xfId="0" applyNumberFormat="1" applyFont="1" applyBorder="1" applyAlignment="1">
      <alignment horizontal="center" vertical="center"/>
    </xf>
    <xf numFmtId="14" fontId="24" fillId="0" borderId="6" xfId="0" applyNumberFormat="1" applyFont="1" applyBorder="1" applyAlignment="1">
      <alignment horizontal="center" vertical="center"/>
    </xf>
    <xf numFmtId="14" fontId="24" fillId="0" borderId="8" xfId="0" applyNumberFormat="1" applyFont="1" applyBorder="1" applyAlignment="1">
      <alignment horizontal="center" vertical="center"/>
    </xf>
    <xf numFmtId="0" fontId="192" fillId="15" borderId="28" xfId="0" applyFont="1" applyFill="1" applyBorder="1" applyAlignment="1">
      <alignment horizontal="left" vertical="center"/>
    </xf>
    <xf numFmtId="0" fontId="192" fillId="15" borderId="49" xfId="0" applyFont="1" applyFill="1" applyBorder="1" applyAlignment="1">
      <alignment horizontal="left" vertical="center"/>
    </xf>
    <xf numFmtId="4" fontId="24" fillId="0" borderId="50" xfId="8" applyNumberFormat="1" applyBorder="1" applyAlignment="1">
      <alignment horizontal="center" vertical="center"/>
    </xf>
    <xf numFmtId="4" fontId="24" fillId="0" borderId="58" xfId="8" applyNumberFormat="1" applyBorder="1" applyAlignment="1">
      <alignment horizontal="center" vertical="center"/>
    </xf>
    <xf numFmtId="4" fontId="24" fillId="0" borderId="6" xfId="8" applyNumberFormat="1" applyBorder="1" applyAlignment="1">
      <alignment horizontal="center" vertical="center"/>
    </xf>
    <xf numFmtId="4" fontId="24" fillId="0" borderId="8" xfId="8" applyNumberFormat="1" applyBorder="1" applyAlignment="1">
      <alignment horizontal="center" vertical="center"/>
    </xf>
    <xf numFmtId="0" fontId="24" fillId="10" borderId="11" xfId="0" applyFont="1" applyFill="1" applyBorder="1" applyAlignment="1">
      <alignment horizontal="right"/>
    </xf>
    <xf numFmtId="0" fontId="24" fillId="10" borderId="0" xfId="0" applyFont="1" applyFill="1" applyAlignment="1">
      <alignment horizontal="right"/>
    </xf>
    <xf numFmtId="0" fontId="24" fillId="10" borderId="11" xfId="0" applyFont="1" applyFill="1" applyBorder="1" applyAlignment="1">
      <alignment horizontal="right" vertical="center"/>
    </xf>
    <xf numFmtId="0" fontId="24" fillId="10" borderId="0" xfId="0" applyFont="1" applyFill="1" applyAlignment="1">
      <alignment horizontal="right" vertical="center"/>
    </xf>
    <xf numFmtId="0" fontId="193" fillId="46" borderId="2" xfId="0" applyFont="1" applyFill="1" applyBorder="1" applyAlignment="1">
      <alignment horizontal="center" vertical="center" wrapText="1"/>
    </xf>
    <xf numFmtId="0" fontId="193" fillId="46" borderId="4" xfId="0" applyFont="1" applyFill="1" applyBorder="1" applyAlignment="1">
      <alignment horizontal="center" vertical="center" wrapText="1"/>
    </xf>
    <xf numFmtId="0" fontId="193" fillId="46" borderId="11" xfId="0" applyFont="1" applyFill="1" applyBorder="1" applyAlignment="1">
      <alignment horizontal="center" vertical="center" wrapText="1"/>
    </xf>
    <xf numFmtId="0" fontId="193" fillId="46" borderId="10" xfId="0" applyFont="1" applyFill="1" applyBorder="1" applyAlignment="1">
      <alignment horizontal="center" vertical="center" wrapText="1"/>
    </xf>
    <xf numFmtId="0" fontId="193" fillId="46" borderId="69" xfId="0" applyFont="1" applyFill="1" applyBorder="1" applyAlignment="1">
      <alignment horizontal="center" vertical="center" wrapText="1"/>
    </xf>
    <xf numFmtId="0" fontId="193" fillId="46" borderId="59" xfId="0" applyFont="1" applyFill="1" applyBorder="1" applyAlignment="1">
      <alignment horizontal="center" vertical="center" wrapText="1"/>
    </xf>
    <xf numFmtId="0" fontId="156" fillId="10" borderId="11" xfId="0" applyFont="1" applyFill="1" applyBorder="1" applyAlignment="1">
      <alignment horizontal="center" vertical="center"/>
    </xf>
    <xf numFmtId="0" fontId="156" fillId="10" borderId="0" xfId="0" applyFont="1" applyFill="1" applyAlignment="1">
      <alignment horizontal="center" vertical="center"/>
    </xf>
    <xf numFmtId="0" fontId="181" fillId="5" borderId="0" xfId="0" applyFont="1" applyFill="1" applyAlignment="1">
      <alignment horizontal="center" vertical="center"/>
    </xf>
    <xf numFmtId="0" fontId="121" fillId="45" borderId="25" xfId="0" applyFont="1" applyFill="1" applyBorder="1" applyAlignment="1">
      <alignment horizontal="left" vertical="center" indent="2"/>
    </xf>
    <xf numFmtId="0" fontId="121" fillId="45" borderId="0" xfId="0" applyFont="1" applyFill="1" applyAlignment="1">
      <alignment horizontal="left" vertical="center" indent="2"/>
    </xf>
    <xf numFmtId="0" fontId="201" fillId="54" borderId="0" xfId="11" applyFont="1" applyFill="1" applyAlignment="1">
      <alignment horizontal="center" vertical="center"/>
    </xf>
    <xf numFmtId="0" fontId="202" fillId="10" borderId="0" xfId="6" applyFont="1" applyFill="1" applyAlignment="1">
      <alignment horizontal="center" vertical="center"/>
    </xf>
    <xf numFmtId="0" fontId="180" fillId="5" borderId="0" xfId="6" applyFont="1" applyFill="1" applyAlignment="1">
      <alignment horizontal="center" vertical="center"/>
    </xf>
    <xf numFmtId="0" fontId="34" fillId="2" borderId="1" xfId="4" applyFont="1" applyFill="1" applyBorder="1" applyAlignment="1">
      <alignment horizontal="right"/>
    </xf>
    <xf numFmtId="0" fontId="58" fillId="5" borderId="12" xfId="1" applyFont="1" applyFill="1" applyBorder="1" applyAlignment="1">
      <alignment horizontal="center" vertical="center"/>
    </xf>
    <xf numFmtId="0" fontId="58" fillId="5" borderId="14" xfId="1" applyFont="1" applyFill="1" applyBorder="1" applyAlignment="1">
      <alignment horizontal="center" vertical="center"/>
    </xf>
    <xf numFmtId="0" fontId="58" fillId="5" borderId="13" xfId="1" applyFont="1" applyFill="1" applyBorder="1" applyAlignment="1">
      <alignment horizontal="center" vertical="center"/>
    </xf>
    <xf numFmtId="0" fontId="37" fillId="10" borderId="0" xfId="4" applyFont="1" applyFill="1" applyAlignment="1">
      <alignment horizontal="center"/>
    </xf>
    <xf numFmtId="0" fontId="101" fillId="44" borderId="5" xfId="4" applyFont="1" applyFill="1" applyBorder="1" applyAlignment="1">
      <alignment horizontal="center" vertical="center" wrapText="1"/>
    </xf>
    <xf numFmtId="0" fontId="101" fillId="44" borderId="15" xfId="4" applyFont="1" applyFill="1" applyBorder="1" applyAlignment="1">
      <alignment horizontal="center" vertical="center" wrapText="1"/>
    </xf>
    <xf numFmtId="0" fontId="101" fillId="44" borderId="9" xfId="4" applyFont="1" applyFill="1" applyBorder="1" applyAlignment="1">
      <alignment horizontal="center" vertical="center" wrapText="1"/>
    </xf>
    <xf numFmtId="16" fontId="101" fillId="44" borderId="5" xfId="4" applyNumberFormat="1" applyFont="1" applyFill="1" applyBorder="1" applyAlignment="1">
      <alignment horizontal="center" vertical="center" wrapText="1"/>
    </xf>
    <xf numFmtId="0" fontId="101" fillId="10" borderId="0" xfId="4" applyFont="1" applyFill="1" applyAlignment="1">
      <alignment horizontal="center" vertical="center"/>
    </xf>
    <xf numFmtId="0" fontId="101" fillId="21" borderId="2" xfId="4" applyFont="1" applyFill="1" applyBorder="1" applyAlignment="1">
      <alignment horizontal="center" vertical="center"/>
    </xf>
    <xf numFmtId="0" fontId="101" fillId="21" borderId="3" xfId="4" applyFont="1" applyFill="1" applyBorder="1" applyAlignment="1">
      <alignment horizontal="center" vertical="center"/>
    </xf>
    <xf numFmtId="0" fontId="101" fillId="21" borderId="4" xfId="4" applyFont="1" applyFill="1" applyBorder="1" applyAlignment="1">
      <alignment horizontal="center" vertical="center"/>
    </xf>
    <xf numFmtId="0" fontId="101" fillId="12" borderId="42" xfId="4" applyFont="1" applyFill="1" applyBorder="1" applyAlignment="1">
      <alignment horizontal="center" vertical="center"/>
    </xf>
    <xf numFmtId="0" fontId="101" fillId="12" borderId="34" xfId="4" applyFont="1" applyFill="1" applyBorder="1" applyAlignment="1">
      <alignment horizontal="center" vertical="center"/>
    </xf>
    <xf numFmtId="0" fontId="101" fillId="12" borderId="43" xfId="4" applyFont="1" applyFill="1" applyBorder="1" applyAlignment="1">
      <alignment horizontal="center" vertical="center"/>
    </xf>
    <xf numFmtId="0" fontId="101" fillId="12" borderId="28" xfId="4" applyFont="1" applyFill="1" applyBorder="1" applyAlignment="1">
      <alignment horizontal="center" vertical="center"/>
    </xf>
    <xf numFmtId="0" fontId="101" fillId="12" borderId="45" xfId="4" applyFont="1" applyFill="1" applyBorder="1" applyAlignment="1">
      <alignment horizontal="center" vertical="center" wrapText="1"/>
    </xf>
    <xf numFmtId="0" fontId="101" fillId="12" borderId="20" xfId="4" applyFont="1" applyFill="1" applyBorder="1" applyAlignment="1">
      <alignment horizontal="center" vertical="center" wrapText="1"/>
    </xf>
    <xf numFmtId="0" fontId="101" fillId="12" borderId="52" xfId="4" applyFont="1" applyFill="1" applyBorder="1" applyAlignment="1">
      <alignment horizontal="center" vertical="center" wrapText="1"/>
    </xf>
    <xf numFmtId="0" fontId="101" fillId="12" borderId="21" xfId="4" applyFont="1" applyFill="1" applyBorder="1" applyAlignment="1">
      <alignment horizontal="center" vertical="center" wrapText="1"/>
    </xf>
    <xf numFmtId="0" fontId="101" fillId="5" borderId="12" xfId="4" applyFont="1" applyFill="1" applyBorder="1" applyAlignment="1">
      <alignment horizontal="center" vertical="center"/>
    </xf>
    <xf numFmtId="0" fontId="101" fillId="5" borderId="13" xfId="4" applyFont="1" applyFill="1" applyBorder="1" applyAlignment="1">
      <alignment horizontal="center" vertical="center"/>
    </xf>
    <xf numFmtId="0" fontId="101" fillId="24" borderId="5" xfId="4" applyFont="1" applyFill="1" applyBorder="1" applyAlignment="1">
      <alignment horizontal="left" vertical="center" wrapText="1"/>
    </xf>
    <xf numFmtId="0" fontId="101" fillId="24" borderId="51" xfId="4" applyFont="1" applyFill="1" applyBorder="1" applyAlignment="1">
      <alignment horizontal="left" vertical="center" wrapText="1"/>
    </xf>
    <xf numFmtId="0" fontId="89" fillId="14" borderId="6" xfId="0" applyFont="1" applyFill="1" applyBorder="1" applyAlignment="1">
      <alignment horizontal="center" vertical="center" wrapText="1"/>
    </xf>
    <xf numFmtId="0" fontId="89" fillId="14" borderId="8" xfId="0" applyFont="1" applyFill="1" applyBorder="1" applyAlignment="1">
      <alignment horizontal="center" vertical="center" wrapText="1"/>
    </xf>
    <xf numFmtId="0" fontId="24" fillId="10" borderId="10" xfId="0" applyFont="1" applyFill="1" applyBorder="1" applyAlignment="1">
      <alignment horizontal="center" vertical="center"/>
    </xf>
    <xf numFmtId="0" fontId="24" fillId="10" borderId="8" xfId="0" applyFont="1" applyFill="1" applyBorder="1" applyAlignment="1">
      <alignment horizontal="center" vertical="center"/>
    </xf>
    <xf numFmtId="0" fontId="25" fillId="5" borderId="2" xfId="0" applyFont="1" applyFill="1" applyBorder="1" applyAlignment="1">
      <alignment horizontal="center" vertical="center"/>
    </xf>
    <xf numFmtId="0" fontId="25" fillId="5" borderId="3" xfId="0" applyFont="1" applyFill="1" applyBorder="1" applyAlignment="1">
      <alignment horizontal="center" vertical="center"/>
    </xf>
    <xf numFmtId="0" fontId="25" fillId="5" borderId="4" xfId="0" applyFont="1" applyFill="1" applyBorder="1" applyAlignment="1">
      <alignment horizontal="center" vertical="center"/>
    </xf>
    <xf numFmtId="0" fontId="25" fillId="5" borderId="6" xfId="0" applyFont="1" applyFill="1" applyBorder="1" applyAlignment="1">
      <alignment horizontal="center" vertical="center"/>
    </xf>
    <xf numFmtId="0" fontId="25" fillId="5" borderId="7" xfId="0" applyFont="1" applyFill="1" applyBorder="1" applyAlignment="1">
      <alignment horizontal="center" vertical="center"/>
    </xf>
    <xf numFmtId="0" fontId="25" fillId="5" borderId="8" xfId="0" applyFont="1" applyFill="1" applyBorder="1" applyAlignment="1">
      <alignment horizontal="center" vertical="center"/>
    </xf>
    <xf numFmtId="0" fontId="89" fillId="14" borderId="12" xfId="0" applyFont="1" applyFill="1" applyBorder="1" applyAlignment="1">
      <alignment horizontal="center" vertical="center" wrapText="1"/>
    </xf>
    <xf numFmtId="0" fontId="89" fillId="14" borderId="13" xfId="0" applyFont="1" applyFill="1" applyBorder="1" applyAlignment="1">
      <alignment horizontal="center" vertical="center" wrapText="1"/>
    </xf>
    <xf numFmtId="0" fontId="89" fillId="10" borderId="12" xfId="0" applyFont="1" applyFill="1" applyBorder="1" applyAlignment="1">
      <alignment horizontal="center" vertical="center" wrapText="1"/>
    </xf>
    <xf numFmtId="0" fontId="89" fillId="10" borderId="13" xfId="0" applyFont="1" applyFill="1" applyBorder="1" applyAlignment="1">
      <alignment horizontal="center" vertical="center" wrapText="1"/>
    </xf>
    <xf numFmtId="0" fontId="25" fillId="5" borderId="11" xfId="0" applyFont="1" applyFill="1" applyBorder="1" applyAlignment="1">
      <alignment horizontal="center" vertical="center"/>
    </xf>
    <xf numFmtId="0" fontId="25" fillId="5" borderId="0" xfId="0" applyFont="1" applyFill="1" applyAlignment="1">
      <alignment horizontal="center" vertical="center"/>
    </xf>
    <xf numFmtId="0" fontId="25" fillId="10" borderId="0" xfId="0" applyFont="1" applyFill="1" applyAlignment="1">
      <alignment horizontal="center"/>
    </xf>
    <xf numFmtId="0" fontId="125" fillId="10" borderId="12" xfId="0" applyFont="1" applyFill="1" applyBorder="1" applyAlignment="1">
      <alignment horizontal="center" vertical="center"/>
    </xf>
    <xf numFmtId="0" fontId="125" fillId="10" borderId="13" xfId="0" applyFont="1" applyFill="1" applyBorder="1" applyAlignment="1">
      <alignment horizontal="center" vertical="center"/>
    </xf>
    <xf numFmtId="0" fontId="126" fillId="16" borderId="18" xfId="0" applyFont="1" applyFill="1" applyBorder="1" applyAlignment="1">
      <alignment horizontal="center"/>
    </xf>
    <xf numFmtId="0" fontId="126" fillId="16" borderId="28" xfId="0" applyFont="1" applyFill="1" applyBorder="1" applyAlignment="1">
      <alignment horizontal="center"/>
    </xf>
    <xf numFmtId="0" fontId="126" fillId="16" borderId="1" xfId="0" applyFont="1" applyFill="1" applyBorder="1" applyAlignment="1">
      <alignment horizontal="center"/>
    </xf>
    <xf numFmtId="0" fontId="126" fillId="34" borderId="28" xfId="0" applyFont="1" applyFill="1" applyBorder="1" applyAlignment="1">
      <alignment horizontal="center"/>
    </xf>
    <xf numFmtId="0" fontId="126" fillId="34" borderId="34" xfId="0" applyFont="1" applyFill="1" applyBorder="1" applyAlignment="1">
      <alignment horizontal="center"/>
    </xf>
    <xf numFmtId="0" fontId="126" fillId="16" borderId="48" xfId="0" applyFont="1" applyFill="1" applyBorder="1" applyAlignment="1">
      <alignment horizontal="center"/>
    </xf>
    <xf numFmtId="0" fontId="126" fillId="16" borderId="34" xfId="0" applyFont="1" applyFill="1" applyBorder="1" applyAlignment="1">
      <alignment horizontal="center"/>
    </xf>
    <xf numFmtId="0" fontId="126" fillId="15" borderId="28" xfId="0" applyFont="1" applyFill="1" applyBorder="1" applyAlignment="1">
      <alignment horizontal="center"/>
    </xf>
    <xf numFmtId="0" fontId="126" fillId="15" borderId="34" xfId="0" applyFont="1" applyFill="1" applyBorder="1" applyAlignment="1">
      <alignment horizontal="center"/>
    </xf>
    <xf numFmtId="0" fontId="126" fillId="17" borderId="28" xfId="0" applyFont="1" applyFill="1" applyBorder="1" applyAlignment="1">
      <alignment horizontal="center"/>
    </xf>
    <xf numFmtId="0" fontId="126" fillId="17" borderId="34" xfId="0" applyFont="1" applyFill="1" applyBorder="1" applyAlignment="1">
      <alignment horizontal="center"/>
    </xf>
    <xf numFmtId="0" fontId="126" fillId="34" borderId="1" xfId="0" applyFont="1" applyFill="1" applyBorder="1" applyAlignment="1">
      <alignment horizontal="center"/>
    </xf>
    <xf numFmtId="0" fontId="126" fillId="15" borderId="1" xfId="0" applyFont="1" applyFill="1" applyBorder="1" applyAlignment="1">
      <alignment horizontal="center"/>
    </xf>
    <xf numFmtId="0" fontId="126" fillId="17" borderId="1" xfId="0" applyFont="1" applyFill="1" applyBorder="1" applyAlignment="1">
      <alignment horizontal="center"/>
    </xf>
    <xf numFmtId="0" fontId="126" fillId="16" borderId="21" xfId="0" applyFont="1" applyFill="1" applyBorder="1" applyAlignment="1">
      <alignment horizontal="center"/>
    </xf>
    <xf numFmtId="0" fontId="126" fillId="16" borderId="26" xfId="0" applyFont="1" applyFill="1" applyBorder="1" applyAlignment="1">
      <alignment horizontal="center"/>
    </xf>
    <xf numFmtId="0" fontId="58" fillId="0" borderId="1" xfId="4" applyFont="1" applyBorder="1" applyAlignment="1">
      <alignment horizontal="center" vertical="center"/>
    </xf>
    <xf numFmtId="0" fontId="83" fillId="5" borderId="2" xfId="0" applyFont="1" applyFill="1" applyBorder="1" applyAlignment="1">
      <alignment horizontal="center" vertical="center"/>
    </xf>
    <xf numFmtId="0" fontId="83" fillId="5" borderId="3" xfId="0" applyFont="1" applyFill="1" applyBorder="1" applyAlignment="1">
      <alignment horizontal="center" vertical="center"/>
    </xf>
    <xf numFmtId="0" fontId="83" fillId="5" borderId="4" xfId="0" applyFont="1" applyFill="1" applyBorder="1" applyAlignment="1">
      <alignment horizontal="center" vertical="center"/>
    </xf>
    <xf numFmtId="0" fontId="83" fillId="5" borderId="6" xfId="0" applyFont="1" applyFill="1" applyBorder="1" applyAlignment="1">
      <alignment horizontal="center" vertical="center"/>
    </xf>
    <xf numFmtId="0" fontId="83" fillId="5" borderId="7" xfId="0" applyFont="1" applyFill="1" applyBorder="1" applyAlignment="1">
      <alignment horizontal="center" vertical="center"/>
    </xf>
    <xf numFmtId="0" fontId="83" fillId="5" borderId="8" xfId="0" applyFont="1" applyFill="1" applyBorder="1" applyAlignment="1">
      <alignment horizontal="center" vertical="center"/>
    </xf>
    <xf numFmtId="0" fontId="60" fillId="0" borderId="12" xfId="4" applyFont="1" applyBorder="1" applyAlignment="1">
      <alignment horizontal="center" vertical="center"/>
    </xf>
    <xf numFmtId="0" fontId="60" fillId="0" borderId="14" xfId="4" applyFont="1" applyBorder="1" applyAlignment="1">
      <alignment horizontal="center" vertical="center"/>
    </xf>
    <xf numFmtId="0" fontId="60" fillId="0" borderId="13" xfId="4" applyFont="1" applyBorder="1" applyAlignment="1">
      <alignment horizontal="center" vertical="center"/>
    </xf>
    <xf numFmtId="2" fontId="33" fillId="10" borderId="30" xfId="4" applyNumberFormat="1" applyFont="1" applyFill="1" applyBorder="1" applyAlignment="1">
      <alignment horizontal="left"/>
    </xf>
    <xf numFmtId="2" fontId="33" fillId="10" borderId="31" xfId="4" applyNumberFormat="1" applyFont="1" applyFill="1" applyBorder="1" applyAlignment="1">
      <alignment horizontal="left"/>
    </xf>
    <xf numFmtId="0" fontId="58" fillId="0" borderId="12" xfId="4" applyFont="1" applyBorder="1" applyAlignment="1">
      <alignment horizontal="center" vertical="center"/>
    </xf>
    <xf numFmtId="0" fontId="58" fillId="0" borderId="13" xfId="4" applyFont="1" applyBorder="1" applyAlignment="1">
      <alignment horizontal="center" vertical="center"/>
    </xf>
    <xf numFmtId="2" fontId="33" fillId="29" borderId="30" xfId="4" applyNumberFormat="1" applyFont="1" applyFill="1" applyBorder="1" applyAlignment="1">
      <alignment horizontal="left"/>
    </xf>
    <xf numFmtId="2" fontId="33" fillId="29" borderId="31" xfId="4" applyNumberFormat="1" applyFont="1" applyFill="1" applyBorder="1" applyAlignment="1">
      <alignment horizontal="left"/>
    </xf>
    <xf numFmtId="2" fontId="33" fillId="29" borderId="17" xfId="4" applyNumberFormat="1" applyFont="1" applyFill="1" applyBorder="1" applyAlignment="1">
      <alignment horizontal="left"/>
    </xf>
    <xf numFmtId="2" fontId="33" fillId="29" borderId="19" xfId="4" applyNumberFormat="1" applyFont="1" applyFill="1" applyBorder="1" applyAlignment="1">
      <alignment horizontal="left"/>
    </xf>
    <xf numFmtId="2" fontId="33" fillId="10" borderId="17" xfId="4" applyNumberFormat="1" applyFont="1" applyFill="1" applyBorder="1" applyAlignment="1">
      <alignment horizontal="left"/>
    </xf>
    <xf numFmtId="2" fontId="33" fillId="10" borderId="19" xfId="4" applyNumberFormat="1" applyFont="1" applyFill="1" applyBorder="1" applyAlignment="1">
      <alignment horizontal="left"/>
    </xf>
    <xf numFmtId="173" fontId="24" fillId="0" borderId="37" xfId="8" applyNumberFormat="1" applyBorder="1" applyAlignment="1">
      <alignment horizontal="left" vertical="center"/>
    </xf>
    <xf numFmtId="173" fontId="24" fillId="0" borderId="1" xfId="8" applyNumberFormat="1" applyBorder="1" applyAlignment="1">
      <alignment horizontal="left" vertical="center"/>
    </xf>
    <xf numFmtId="0" fontId="25" fillId="31" borderId="2" xfId="8" applyFont="1" applyFill="1" applyBorder="1" applyAlignment="1">
      <alignment horizontal="center" vertical="center" wrapText="1"/>
    </xf>
    <xf numFmtId="0" fontId="25" fillId="31" borderId="4" xfId="8" applyFont="1" applyFill="1" applyBorder="1" applyAlignment="1">
      <alignment horizontal="center" vertical="center" wrapText="1"/>
    </xf>
    <xf numFmtId="170" fontId="36" fillId="10" borderId="5" xfId="8" applyNumberFormat="1" applyFont="1" applyFill="1" applyBorder="1" applyAlignment="1">
      <alignment horizontal="center" vertical="center" wrapText="1"/>
    </xf>
    <xf numFmtId="170" fontId="36" fillId="10" borderId="9" xfId="8" applyNumberFormat="1" applyFont="1" applyFill="1" applyBorder="1" applyAlignment="1">
      <alignment horizontal="center" vertical="center"/>
    </xf>
    <xf numFmtId="0" fontId="24" fillId="0" borderId="0" xfId="0" applyFont="1" applyAlignment="1">
      <alignment horizontal="center"/>
    </xf>
    <xf numFmtId="0" fontId="0" fillId="0" borderId="0" xfId="0" applyAlignment="1">
      <alignment horizontal="center"/>
    </xf>
    <xf numFmtId="0" fontId="24" fillId="0" borderId="0" xfId="55" applyAlignment="1">
      <alignment wrapText="1"/>
    </xf>
    <xf numFmtId="165" fontId="34" fillId="0" borderId="4" xfId="55" applyNumberFormat="1" applyFont="1" applyBorder="1" applyAlignment="1" applyProtection="1">
      <alignment horizontal="center" vertical="center"/>
      <protection hidden="1"/>
    </xf>
    <xf numFmtId="165" fontId="34" fillId="0" borderId="8" xfId="55" applyNumberFormat="1" applyFont="1" applyBorder="1" applyAlignment="1" applyProtection="1">
      <alignment horizontal="center" vertical="center"/>
      <protection hidden="1"/>
    </xf>
    <xf numFmtId="0" fontId="164" fillId="0" borderId="0" xfId="55" applyFont="1" applyAlignment="1">
      <alignment horizontal="left" wrapText="1"/>
    </xf>
    <xf numFmtId="0" fontId="58" fillId="0" borderId="29" xfId="6" applyFont="1" applyBorder="1" applyAlignment="1">
      <alignment horizontal="center"/>
    </xf>
    <xf numFmtId="0" fontId="58" fillId="0" borderId="31" xfId="6" applyFont="1" applyBorder="1" applyAlignment="1">
      <alignment horizontal="center"/>
    </xf>
    <xf numFmtId="0" fontId="58" fillId="0" borderId="26" xfId="6" applyFont="1" applyBorder="1" applyAlignment="1">
      <alignment horizontal="center"/>
    </xf>
    <xf numFmtId="0" fontId="58" fillId="0" borderId="19" xfId="6" applyFont="1" applyBorder="1" applyAlignment="1">
      <alignment horizontal="center"/>
    </xf>
    <xf numFmtId="0" fontId="101" fillId="0" borderId="28" xfId="6" applyFont="1" applyBorder="1" applyAlignment="1">
      <alignment horizontal="center" vertical="center" wrapText="1"/>
    </xf>
    <xf numFmtId="0" fontId="101" fillId="0" borderId="67" xfId="6" applyFont="1" applyBorder="1" applyAlignment="1">
      <alignment horizontal="center" vertical="center" wrapText="1"/>
    </xf>
    <xf numFmtId="0" fontId="101" fillId="0" borderId="34" xfId="6" applyFont="1" applyBorder="1" applyAlignment="1">
      <alignment horizontal="center" vertical="center" wrapText="1"/>
    </xf>
    <xf numFmtId="0" fontId="34" fillId="0" borderId="29" xfId="55" applyFont="1" applyBorder="1" applyAlignment="1">
      <alignment horizontal="center" vertical="center" wrapText="1"/>
    </xf>
    <xf numFmtId="0" fontId="33" fillId="0" borderId="30" xfId="55" applyFont="1" applyBorder="1" applyAlignment="1">
      <alignment horizontal="center" vertical="center" wrapText="1"/>
    </xf>
    <xf numFmtId="0" fontId="33" fillId="0" borderId="31" xfId="55" applyFont="1" applyBorder="1" applyAlignment="1">
      <alignment horizontal="center" vertical="center" wrapText="1"/>
    </xf>
    <xf numFmtId="0" fontId="33" fillId="0" borderId="26" xfId="55" applyFont="1" applyBorder="1" applyAlignment="1">
      <alignment horizontal="center" vertical="center" wrapText="1"/>
    </xf>
    <xf numFmtId="0" fontId="33" fillId="0" borderId="17" xfId="55" applyFont="1" applyBorder="1" applyAlignment="1">
      <alignment horizontal="center" vertical="center" wrapText="1"/>
    </xf>
    <xf numFmtId="0" fontId="33" fillId="0" borderId="19" xfId="55" applyFont="1" applyBorder="1" applyAlignment="1">
      <alignment horizontal="center" vertical="center" wrapText="1"/>
    </xf>
    <xf numFmtId="0" fontId="101" fillId="0" borderId="28" xfId="6" applyFont="1" applyBorder="1" applyAlignment="1">
      <alignment horizontal="center" vertical="center"/>
    </xf>
    <xf numFmtId="0" fontId="101" fillId="0" borderId="67" xfId="6" applyFont="1" applyBorder="1" applyAlignment="1">
      <alignment horizontal="center" vertical="center"/>
    </xf>
    <xf numFmtId="0" fontId="101" fillId="0" borderId="34" xfId="6" applyFont="1" applyBorder="1" applyAlignment="1">
      <alignment horizontal="center" vertical="center"/>
    </xf>
    <xf numFmtId="178" fontId="37" fillId="3" borderId="14" xfId="55" applyNumberFormat="1" applyFont="1" applyFill="1" applyBorder="1" applyAlignment="1">
      <alignment horizontal="center" vertical="center" wrapText="1"/>
    </xf>
    <xf numFmtId="178" fontId="37" fillId="3" borderId="62" xfId="55" applyNumberFormat="1" applyFont="1" applyFill="1" applyBorder="1" applyAlignment="1">
      <alignment horizontal="center" vertical="center" wrapText="1"/>
    </xf>
    <xf numFmtId="181" fontId="59" fillId="0" borderId="0" xfId="55" applyNumberFormat="1" applyFont="1" applyAlignment="1">
      <alignment horizontal="left" vertical="center"/>
    </xf>
    <xf numFmtId="4" fontId="24" fillId="10" borderId="11" xfId="8" applyNumberFormat="1" applyFill="1" applyBorder="1" applyAlignment="1">
      <alignment vertical="center" wrapText="1"/>
    </xf>
    <xf numFmtId="180" fontId="37" fillId="10" borderId="11" xfId="55" applyNumberFormat="1" applyFont="1" applyFill="1" applyBorder="1" applyAlignment="1">
      <alignment horizontal="center" wrapText="1"/>
    </xf>
    <xf numFmtId="180" fontId="37" fillId="10" borderId="10" xfId="55" applyNumberFormat="1" applyFont="1" applyFill="1" applyBorder="1" applyAlignment="1">
      <alignment horizontal="center" wrapText="1"/>
    </xf>
    <xf numFmtId="4" fontId="24" fillId="10" borderId="11" xfId="8" applyNumberFormat="1" applyFill="1" applyBorder="1" applyAlignment="1">
      <alignment horizontal="left" wrapText="1" indent="1"/>
    </xf>
    <xf numFmtId="180" fontId="37" fillId="0" borderId="2" xfId="55" applyNumberFormat="1" applyFont="1" applyBorder="1" applyAlignment="1">
      <alignment horizontal="center" wrapText="1"/>
    </xf>
    <xf numFmtId="180" fontId="37" fillId="0" borderId="4" xfId="55" applyNumberFormat="1" applyFont="1" applyBorder="1" applyAlignment="1">
      <alignment horizontal="center" wrapText="1"/>
    </xf>
    <xf numFmtId="180" fontId="37" fillId="0" borderId="11" xfId="55" applyNumberFormat="1" applyFont="1" applyBorder="1" applyAlignment="1">
      <alignment horizontal="center" wrapText="1"/>
    </xf>
    <xf numFmtId="180" fontId="37" fillId="0" borderId="10" xfId="55" applyNumberFormat="1" applyFont="1" applyBorder="1" applyAlignment="1">
      <alignment horizontal="center" wrapText="1"/>
    </xf>
    <xf numFmtId="180" fontId="37" fillId="0" borderId="6" xfId="55" applyNumberFormat="1" applyFont="1" applyBorder="1" applyAlignment="1">
      <alignment horizontal="center" wrapText="1"/>
    </xf>
    <xf numFmtId="180" fontId="37" fillId="0" borderId="8" xfId="55" applyNumberFormat="1" applyFont="1" applyBorder="1" applyAlignment="1">
      <alignment horizontal="center" wrapText="1"/>
    </xf>
    <xf numFmtId="179" fontId="34" fillId="0" borderId="4" xfId="55" applyNumberFormat="1" applyFont="1" applyBorder="1" applyAlignment="1" applyProtection="1">
      <alignment horizontal="center" vertical="center"/>
      <protection hidden="1"/>
    </xf>
    <xf numFmtId="179" fontId="34" fillId="0" borderId="8" xfId="55" applyNumberFormat="1" applyFont="1" applyBorder="1" applyAlignment="1" applyProtection="1">
      <alignment horizontal="center" vertical="center"/>
      <protection hidden="1"/>
    </xf>
    <xf numFmtId="0" fontId="148" fillId="0" borderId="0" xfId="55" applyFont="1" applyAlignment="1">
      <alignment horizontal="left" wrapText="1"/>
    </xf>
  </cellXfs>
  <cellStyles count="39497">
    <cellStyle name="Cancel" xfId="1" xr:uid="{00000000-0005-0000-0000-000000000000}"/>
    <cellStyle name="Cancel 2" xfId="2" xr:uid="{00000000-0005-0000-0000-000001000000}"/>
    <cellStyle name="Cancel 2 2" xfId="8" xr:uid="{00000000-0005-0000-0000-000002000000}"/>
    <cellStyle name="Cancel_G y M ( Tableros - Link Tower )" xfId="7" xr:uid="{00000000-0005-0000-0000-000003000000}"/>
    <cellStyle name="Comma 2" xfId="20" xr:uid="{00000000-0005-0000-0000-000004000000}"/>
    <cellStyle name="Comma 2 10" xfId="2514" xr:uid="{00000000-0005-0000-0000-000005000000}"/>
    <cellStyle name="Comma 2 10 2" xfId="7449" xr:uid="{00000000-0005-0000-0000-000006000000}"/>
    <cellStyle name="Comma 2 10 2 2" xfId="17309" xr:uid="{00000000-0005-0000-0000-000007000000}"/>
    <cellStyle name="Comma 2 10 2 2 2" xfId="37024" xr:uid="{00000000-0005-0000-0000-000008000000}"/>
    <cellStyle name="Comma 2 10 2 3" xfId="27167" xr:uid="{00000000-0005-0000-0000-000009000000}"/>
    <cellStyle name="Comma 2 10 3" xfId="12381" xr:uid="{00000000-0005-0000-0000-00000A000000}"/>
    <cellStyle name="Comma 2 10 3 2" xfId="32096" xr:uid="{00000000-0005-0000-0000-00000B000000}"/>
    <cellStyle name="Comma 2 10 4" xfId="22239" xr:uid="{00000000-0005-0000-0000-00000C000000}"/>
    <cellStyle name="Comma 2 11" xfId="4982" xr:uid="{00000000-0005-0000-0000-00000D000000}"/>
    <cellStyle name="Comma 2 11 2" xfId="14845" xr:uid="{00000000-0005-0000-0000-00000E000000}"/>
    <cellStyle name="Comma 2 11 2 2" xfId="34560" xr:uid="{00000000-0005-0000-0000-00000F000000}"/>
    <cellStyle name="Comma 2 11 3" xfId="24703" xr:uid="{00000000-0005-0000-0000-000010000000}"/>
    <cellStyle name="Comma 2 12" xfId="9914" xr:uid="{00000000-0005-0000-0000-000011000000}"/>
    <cellStyle name="Comma 2 12 2" xfId="29631" xr:uid="{00000000-0005-0000-0000-000012000000}"/>
    <cellStyle name="Comma 2 13" xfId="19773" xr:uid="{00000000-0005-0000-0000-000013000000}"/>
    <cellStyle name="Comma 2 14" xfId="39489" xr:uid="{00000000-0005-0000-0000-000014000000}"/>
    <cellStyle name="Comma 2 2" xfId="36" xr:uid="{00000000-0005-0000-0000-000015000000}"/>
    <cellStyle name="Comma 2 2 10" xfId="9936" xr:uid="{00000000-0005-0000-0000-000016000000}"/>
    <cellStyle name="Comma 2 2 10 2" xfId="29651" xr:uid="{00000000-0005-0000-0000-000017000000}"/>
    <cellStyle name="Comma 2 2 11" xfId="19794" xr:uid="{00000000-0005-0000-0000-000018000000}"/>
    <cellStyle name="Comma 2 2 2" xfId="82" xr:uid="{00000000-0005-0000-0000-000019000000}"/>
    <cellStyle name="Comma 2 2 2 10" xfId="19832" xr:uid="{00000000-0005-0000-0000-00001A000000}"/>
    <cellStyle name="Comma 2 2 2 2" xfId="163" xr:uid="{00000000-0005-0000-0000-00001B000000}"/>
    <cellStyle name="Comma 2 2 2 2 2" xfId="320" xr:uid="{00000000-0005-0000-0000-00001C000000}"/>
    <cellStyle name="Comma 2 2 2 2 2 2" xfId="634" xr:uid="{00000000-0005-0000-0000-00001D000000}"/>
    <cellStyle name="Comma 2 2 2 2 2 2 2" xfId="1254" xr:uid="{00000000-0005-0000-0000-00001E000000}"/>
    <cellStyle name="Comma 2 2 2 2 2 2 2 2" xfId="2489" xr:uid="{00000000-0005-0000-0000-00001F000000}"/>
    <cellStyle name="Comma 2 2 2 2 2 2 2 2 2" xfId="4956" xr:uid="{00000000-0005-0000-0000-000020000000}"/>
    <cellStyle name="Comma 2 2 2 2 2 2 2 2 2 2" xfId="9888" xr:uid="{00000000-0005-0000-0000-000021000000}"/>
    <cellStyle name="Comma 2 2 2 2 2 2 2 2 2 2 2" xfId="19748" xr:uid="{00000000-0005-0000-0000-000022000000}"/>
    <cellStyle name="Comma 2 2 2 2 2 2 2 2 2 2 2 2" xfId="39463" xr:uid="{00000000-0005-0000-0000-000023000000}"/>
    <cellStyle name="Comma 2 2 2 2 2 2 2 2 2 2 3" xfId="29606" xr:uid="{00000000-0005-0000-0000-000024000000}"/>
    <cellStyle name="Comma 2 2 2 2 2 2 2 2 2 3" xfId="14820" xr:uid="{00000000-0005-0000-0000-000025000000}"/>
    <cellStyle name="Comma 2 2 2 2 2 2 2 2 2 3 2" xfId="34535" xr:uid="{00000000-0005-0000-0000-000026000000}"/>
    <cellStyle name="Comma 2 2 2 2 2 2 2 2 2 4" xfId="24678" xr:uid="{00000000-0005-0000-0000-000027000000}"/>
    <cellStyle name="Comma 2 2 2 2 2 2 2 2 3" xfId="7424" xr:uid="{00000000-0005-0000-0000-000028000000}"/>
    <cellStyle name="Comma 2 2 2 2 2 2 2 2 3 2" xfId="17284" xr:uid="{00000000-0005-0000-0000-000029000000}"/>
    <cellStyle name="Comma 2 2 2 2 2 2 2 2 3 2 2" xfId="36999" xr:uid="{00000000-0005-0000-0000-00002A000000}"/>
    <cellStyle name="Comma 2 2 2 2 2 2 2 2 3 3" xfId="27142" xr:uid="{00000000-0005-0000-0000-00002B000000}"/>
    <cellStyle name="Comma 2 2 2 2 2 2 2 2 4" xfId="12356" xr:uid="{00000000-0005-0000-0000-00002C000000}"/>
    <cellStyle name="Comma 2 2 2 2 2 2 2 2 4 2" xfId="32071" xr:uid="{00000000-0005-0000-0000-00002D000000}"/>
    <cellStyle name="Comma 2 2 2 2 2 2 2 2 5" xfId="22214" xr:uid="{00000000-0005-0000-0000-00002E000000}"/>
    <cellStyle name="Comma 2 2 2 2 2 2 2 3" xfId="3724" xr:uid="{00000000-0005-0000-0000-00002F000000}"/>
    <cellStyle name="Comma 2 2 2 2 2 2 2 3 2" xfId="8656" xr:uid="{00000000-0005-0000-0000-000030000000}"/>
    <cellStyle name="Comma 2 2 2 2 2 2 2 3 2 2" xfId="18516" xr:uid="{00000000-0005-0000-0000-000031000000}"/>
    <cellStyle name="Comma 2 2 2 2 2 2 2 3 2 2 2" xfId="38231" xr:uid="{00000000-0005-0000-0000-000032000000}"/>
    <cellStyle name="Comma 2 2 2 2 2 2 2 3 2 3" xfId="28374" xr:uid="{00000000-0005-0000-0000-000033000000}"/>
    <cellStyle name="Comma 2 2 2 2 2 2 2 3 3" xfId="13588" xr:uid="{00000000-0005-0000-0000-000034000000}"/>
    <cellStyle name="Comma 2 2 2 2 2 2 2 3 3 2" xfId="33303" xr:uid="{00000000-0005-0000-0000-000035000000}"/>
    <cellStyle name="Comma 2 2 2 2 2 2 2 3 4" xfId="23446" xr:uid="{00000000-0005-0000-0000-000036000000}"/>
    <cellStyle name="Comma 2 2 2 2 2 2 2 4" xfId="6192" xr:uid="{00000000-0005-0000-0000-000037000000}"/>
    <cellStyle name="Comma 2 2 2 2 2 2 2 4 2" xfId="16052" xr:uid="{00000000-0005-0000-0000-000038000000}"/>
    <cellStyle name="Comma 2 2 2 2 2 2 2 4 2 2" xfId="35767" xr:uid="{00000000-0005-0000-0000-000039000000}"/>
    <cellStyle name="Comma 2 2 2 2 2 2 2 4 3" xfId="25910" xr:uid="{00000000-0005-0000-0000-00003A000000}"/>
    <cellStyle name="Comma 2 2 2 2 2 2 2 5" xfId="11124" xr:uid="{00000000-0005-0000-0000-00003B000000}"/>
    <cellStyle name="Comma 2 2 2 2 2 2 2 5 2" xfId="30839" xr:uid="{00000000-0005-0000-0000-00003C000000}"/>
    <cellStyle name="Comma 2 2 2 2 2 2 2 6" xfId="20982" xr:uid="{00000000-0005-0000-0000-00003D000000}"/>
    <cellStyle name="Comma 2 2 2 2 2 2 3" xfId="1873" xr:uid="{00000000-0005-0000-0000-00003E000000}"/>
    <cellStyle name="Comma 2 2 2 2 2 2 3 2" xfId="4340" xr:uid="{00000000-0005-0000-0000-00003F000000}"/>
    <cellStyle name="Comma 2 2 2 2 2 2 3 2 2" xfId="9272" xr:uid="{00000000-0005-0000-0000-000040000000}"/>
    <cellStyle name="Comma 2 2 2 2 2 2 3 2 2 2" xfId="19132" xr:uid="{00000000-0005-0000-0000-000041000000}"/>
    <cellStyle name="Comma 2 2 2 2 2 2 3 2 2 2 2" xfId="38847" xr:uid="{00000000-0005-0000-0000-000042000000}"/>
    <cellStyle name="Comma 2 2 2 2 2 2 3 2 2 3" xfId="28990" xr:uid="{00000000-0005-0000-0000-000043000000}"/>
    <cellStyle name="Comma 2 2 2 2 2 2 3 2 3" xfId="14204" xr:uid="{00000000-0005-0000-0000-000044000000}"/>
    <cellStyle name="Comma 2 2 2 2 2 2 3 2 3 2" xfId="33919" xr:uid="{00000000-0005-0000-0000-000045000000}"/>
    <cellStyle name="Comma 2 2 2 2 2 2 3 2 4" xfId="24062" xr:uid="{00000000-0005-0000-0000-000046000000}"/>
    <cellStyle name="Comma 2 2 2 2 2 2 3 3" xfId="6808" xr:uid="{00000000-0005-0000-0000-000047000000}"/>
    <cellStyle name="Comma 2 2 2 2 2 2 3 3 2" xfId="16668" xr:uid="{00000000-0005-0000-0000-000048000000}"/>
    <cellStyle name="Comma 2 2 2 2 2 2 3 3 2 2" xfId="36383" xr:uid="{00000000-0005-0000-0000-000049000000}"/>
    <cellStyle name="Comma 2 2 2 2 2 2 3 3 3" xfId="26526" xr:uid="{00000000-0005-0000-0000-00004A000000}"/>
    <cellStyle name="Comma 2 2 2 2 2 2 3 4" xfId="11740" xr:uid="{00000000-0005-0000-0000-00004B000000}"/>
    <cellStyle name="Comma 2 2 2 2 2 2 3 4 2" xfId="31455" xr:uid="{00000000-0005-0000-0000-00004C000000}"/>
    <cellStyle name="Comma 2 2 2 2 2 2 3 5" xfId="21598" xr:uid="{00000000-0005-0000-0000-00004D000000}"/>
    <cellStyle name="Comma 2 2 2 2 2 2 4" xfId="3108" xr:uid="{00000000-0005-0000-0000-00004E000000}"/>
    <cellStyle name="Comma 2 2 2 2 2 2 4 2" xfId="8040" xr:uid="{00000000-0005-0000-0000-00004F000000}"/>
    <cellStyle name="Comma 2 2 2 2 2 2 4 2 2" xfId="17900" xr:uid="{00000000-0005-0000-0000-000050000000}"/>
    <cellStyle name="Comma 2 2 2 2 2 2 4 2 2 2" xfId="37615" xr:uid="{00000000-0005-0000-0000-000051000000}"/>
    <cellStyle name="Comma 2 2 2 2 2 2 4 2 3" xfId="27758" xr:uid="{00000000-0005-0000-0000-000052000000}"/>
    <cellStyle name="Comma 2 2 2 2 2 2 4 3" xfId="12972" xr:uid="{00000000-0005-0000-0000-000053000000}"/>
    <cellStyle name="Comma 2 2 2 2 2 2 4 3 2" xfId="32687" xr:uid="{00000000-0005-0000-0000-000054000000}"/>
    <cellStyle name="Comma 2 2 2 2 2 2 4 4" xfId="22830" xr:uid="{00000000-0005-0000-0000-000055000000}"/>
    <cellStyle name="Comma 2 2 2 2 2 2 5" xfId="5576" xr:uid="{00000000-0005-0000-0000-000056000000}"/>
    <cellStyle name="Comma 2 2 2 2 2 2 5 2" xfId="15436" xr:uid="{00000000-0005-0000-0000-000057000000}"/>
    <cellStyle name="Comma 2 2 2 2 2 2 5 2 2" xfId="35151" xr:uid="{00000000-0005-0000-0000-000058000000}"/>
    <cellStyle name="Comma 2 2 2 2 2 2 5 3" xfId="25294" xr:uid="{00000000-0005-0000-0000-000059000000}"/>
    <cellStyle name="Comma 2 2 2 2 2 2 6" xfId="10508" xr:uid="{00000000-0005-0000-0000-00005A000000}"/>
    <cellStyle name="Comma 2 2 2 2 2 2 6 2" xfId="30223" xr:uid="{00000000-0005-0000-0000-00005B000000}"/>
    <cellStyle name="Comma 2 2 2 2 2 2 7" xfId="20366" xr:uid="{00000000-0005-0000-0000-00005C000000}"/>
    <cellStyle name="Comma 2 2 2 2 2 3" xfId="947" xr:uid="{00000000-0005-0000-0000-00005D000000}"/>
    <cellStyle name="Comma 2 2 2 2 2 3 2" xfId="2183" xr:uid="{00000000-0005-0000-0000-00005E000000}"/>
    <cellStyle name="Comma 2 2 2 2 2 3 2 2" xfId="4650" xr:uid="{00000000-0005-0000-0000-00005F000000}"/>
    <cellStyle name="Comma 2 2 2 2 2 3 2 2 2" xfId="9582" xr:uid="{00000000-0005-0000-0000-000060000000}"/>
    <cellStyle name="Comma 2 2 2 2 2 3 2 2 2 2" xfId="19442" xr:uid="{00000000-0005-0000-0000-000061000000}"/>
    <cellStyle name="Comma 2 2 2 2 2 3 2 2 2 2 2" xfId="39157" xr:uid="{00000000-0005-0000-0000-000062000000}"/>
    <cellStyle name="Comma 2 2 2 2 2 3 2 2 2 3" xfId="29300" xr:uid="{00000000-0005-0000-0000-000063000000}"/>
    <cellStyle name="Comma 2 2 2 2 2 3 2 2 3" xfId="14514" xr:uid="{00000000-0005-0000-0000-000064000000}"/>
    <cellStyle name="Comma 2 2 2 2 2 3 2 2 3 2" xfId="34229" xr:uid="{00000000-0005-0000-0000-000065000000}"/>
    <cellStyle name="Comma 2 2 2 2 2 3 2 2 4" xfId="24372" xr:uid="{00000000-0005-0000-0000-000066000000}"/>
    <cellStyle name="Comma 2 2 2 2 2 3 2 3" xfId="7118" xr:uid="{00000000-0005-0000-0000-000067000000}"/>
    <cellStyle name="Comma 2 2 2 2 2 3 2 3 2" xfId="16978" xr:uid="{00000000-0005-0000-0000-000068000000}"/>
    <cellStyle name="Comma 2 2 2 2 2 3 2 3 2 2" xfId="36693" xr:uid="{00000000-0005-0000-0000-000069000000}"/>
    <cellStyle name="Comma 2 2 2 2 2 3 2 3 3" xfId="26836" xr:uid="{00000000-0005-0000-0000-00006A000000}"/>
    <cellStyle name="Comma 2 2 2 2 2 3 2 4" xfId="12050" xr:uid="{00000000-0005-0000-0000-00006B000000}"/>
    <cellStyle name="Comma 2 2 2 2 2 3 2 4 2" xfId="31765" xr:uid="{00000000-0005-0000-0000-00006C000000}"/>
    <cellStyle name="Comma 2 2 2 2 2 3 2 5" xfId="21908" xr:uid="{00000000-0005-0000-0000-00006D000000}"/>
    <cellStyle name="Comma 2 2 2 2 2 3 3" xfId="3418" xr:uid="{00000000-0005-0000-0000-00006E000000}"/>
    <cellStyle name="Comma 2 2 2 2 2 3 3 2" xfId="8350" xr:uid="{00000000-0005-0000-0000-00006F000000}"/>
    <cellStyle name="Comma 2 2 2 2 2 3 3 2 2" xfId="18210" xr:uid="{00000000-0005-0000-0000-000070000000}"/>
    <cellStyle name="Comma 2 2 2 2 2 3 3 2 2 2" xfId="37925" xr:uid="{00000000-0005-0000-0000-000071000000}"/>
    <cellStyle name="Comma 2 2 2 2 2 3 3 2 3" xfId="28068" xr:uid="{00000000-0005-0000-0000-000072000000}"/>
    <cellStyle name="Comma 2 2 2 2 2 3 3 3" xfId="13282" xr:uid="{00000000-0005-0000-0000-000073000000}"/>
    <cellStyle name="Comma 2 2 2 2 2 3 3 3 2" xfId="32997" xr:uid="{00000000-0005-0000-0000-000074000000}"/>
    <cellStyle name="Comma 2 2 2 2 2 3 3 4" xfId="23140" xr:uid="{00000000-0005-0000-0000-000075000000}"/>
    <cellStyle name="Comma 2 2 2 2 2 3 4" xfId="5886" xr:uid="{00000000-0005-0000-0000-000076000000}"/>
    <cellStyle name="Comma 2 2 2 2 2 3 4 2" xfId="15746" xr:uid="{00000000-0005-0000-0000-000077000000}"/>
    <cellStyle name="Comma 2 2 2 2 2 3 4 2 2" xfId="35461" xr:uid="{00000000-0005-0000-0000-000078000000}"/>
    <cellStyle name="Comma 2 2 2 2 2 3 4 3" xfId="25604" xr:uid="{00000000-0005-0000-0000-000079000000}"/>
    <cellStyle name="Comma 2 2 2 2 2 3 5" xfId="10818" xr:uid="{00000000-0005-0000-0000-00007A000000}"/>
    <cellStyle name="Comma 2 2 2 2 2 3 5 2" xfId="30533" xr:uid="{00000000-0005-0000-0000-00007B000000}"/>
    <cellStyle name="Comma 2 2 2 2 2 3 6" xfId="20676" xr:uid="{00000000-0005-0000-0000-00007C000000}"/>
    <cellStyle name="Comma 2 2 2 2 2 4" xfId="1567" xr:uid="{00000000-0005-0000-0000-00007D000000}"/>
    <cellStyle name="Comma 2 2 2 2 2 4 2" xfId="4034" xr:uid="{00000000-0005-0000-0000-00007E000000}"/>
    <cellStyle name="Comma 2 2 2 2 2 4 2 2" xfId="8966" xr:uid="{00000000-0005-0000-0000-00007F000000}"/>
    <cellStyle name="Comma 2 2 2 2 2 4 2 2 2" xfId="18826" xr:uid="{00000000-0005-0000-0000-000080000000}"/>
    <cellStyle name="Comma 2 2 2 2 2 4 2 2 2 2" xfId="38541" xr:uid="{00000000-0005-0000-0000-000081000000}"/>
    <cellStyle name="Comma 2 2 2 2 2 4 2 2 3" xfId="28684" xr:uid="{00000000-0005-0000-0000-000082000000}"/>
    <cellStyle name="Comma 2 2 2 2 2 4 2 3" xfId="13898" xr:uid="{00000000-0005-0000-0000-000083000000}"/>
    <cellStyle name="Comma 2 2 2 2 2 4 2 3 2" xfId="33613" xr:uid="{00000000-0005-0000-0000-000084000000}"/>
    <cellStyle name="Comma 2 2 2 2 2 4 2 4" xfId="23756" xr:uid="{00000000-0005-0000-0000-000085000000}"/>
    <cellStyle name="Comma 2 2 2 2 2 4 3" xfId="6502" xr:uid="{00000000-0005-0000-0000-000086000000}"/>
    <cellStyle name="Comma 2 2 2 2 2 4 3 2" xfId="16362" xr:uid="{00000000-0005-0000-0000-000087000000}"/>
    <cellStyle name="Comma 2 2 2 2 2 4 3 2 2" xfId="36077" xr:uid="{00000000-0005-0000-0000-000088000000}"/>
    <cellStyle name="Comma 2 2 2 2 2 4 3 3" xfId="26220" xr:uid="{00000000-0005-0000-0000-000089000000}"/>
    <cellStyle name="Comma 2 2 2 2 2 4 4" xfId="11434" xr:uid="{00000000-0005-0000-0000-00008A000000}"/>
    <cellStyle name="Comma 2 2 2 2 2 4 4 2" xfId="31149" xr:uid="{00000000-0005-0000-0000-00008B000000}"/>
    <cellStyle name="Comma 2 2 2 2 2 4 5" xfId="21292" xr:uid="{00000000-0005-0000-0000-00008C000000}"/>
    <cellStyle name="Comma 2 2 2 2 2 5" xfId="2802" xr:uid="{00000000-0005-0000-0000-00008D000000}"/>
    <cellStyle name="Comma 2 2 2 2 2 5 2" xfId="7734" xr:uid="{00000000-0005-0000-0000-00008E000000}"/>
    <cellStyle name="Comma 2 2 2 2 2 5 2 2" xfId="17594" xr:uid="{00000000-0005-0000-0000-00008F000000}"/>
    <cellStyle name="Comma 2 2 2 2 2 5 2 2 2" xfId="37309" xr:uid="{00000000-0005-0000-0000-000090000000}"/>
    <cellStyle name="Comma 2 2 2 2 2 5 2 3" xfId="27452" xr:uid="{00000000-0005-0000-0000-000091000000}"/>
    <cellStyle name="Comma 2 2 2 2 2 5 3" xfId="12666" xr:uid="{00000000-0005-0000-0000-000092000000}"/>
    <cellStyle name="Comma 2 2 2 2 2 5 3 2" xfId="32381" xr:uid="{00000000-0005-0000-0000-000093000000}"/>
    <cellStyle name="Comma 2 2 2 2 2 5 4" xfId="22524" xr:uid="{00000000-0005-0000-0000-000094000000}"/>
    <cellStyle name="Comma 2 2 2 2 2 6" xfId="5270" xr:uid="{00000000-0005-0000-0000-000095000000}"/>
    <cellStyle name="Comma 2 2 2 2 2 6 2" xfId="15130" xr:uid="{00000000-0005-0000-0000-000096000000}"/>
    <cellStyle name="Comma 2 2 2 2 2 6 2 2" xfId="34845" xr:uid="{00000000-0005-0000-0000-000097000000}"/>
    <cellStyle name="Comma 2 2 2 2 2 6 3" xfId="24988" xr:uid="{00000000-0005-0000-0000-000098000000}"/>
    <cellStyle name="Comma 2 2 2 2 2 7" xfId="10202" xr:uid="{00000000-0005-0000-0000-000099000000}"/>
    <cellStyle name="Comma 2 2 2 2 2 7 2" xfId="29917" xr:uid="{00000000-0005-0000-0000-00009A000000}"/>
    <cellStyle name="Comma 2 2 2 2 2 8" xfId="20060" xr:uid="{00000000-0005-0000-0000-00009B000000}"/>
    <cellStyle name="Comma 2 2 2 2 3" xfId="482" xr:uid="{00000000-0005-0000-0000-00009C000000}"/>
    <cellStyle name="Comma 2 2 2 2 3 2" xfId="1102" xr:uid="{00000000-0005-0000-0000-00009D000000}"/>
    <cellStyle name="Comma 2 2 2 2 3 2 2" xfId="2337" xr:uid="{00000000-0005-0000-0000-00009E000000}"/>
    <cellStyle name="Comma 2 2 2 2 3 2 2 2" xfId="4804" xr:uid="{00000000-0005-0000-0000-00009F000000}"/>
    <cellStyle name="Comma 2 2 2 2 3 2 2 2 2" xfId="9736" xr:uid="{00000000-0005-0000-0000-0000A0000000}"/>
    <cellStyle name="Comma 2 2 2 2 3 2 2 2 2 2" xfId="19596" xr:uid="{00000000-0005-0000-0000-0000A1000000}"/>
    <cellStyle name="Comma 2 2 2 2 3 2 2 2 2 2 2" xfId="39311" xr:uid="{00000000-0005-0000-0000-0000A2000000}"/>
    <cellStyle name="Comma 2 2 2 2 3 2 2 2 2 3" xfId="29454" xr:uid="{00000000-0005-0000-0000-0000A3000000}"/>
    <cellStyle name="Comma 2 2 2 2 3 2 2 2 3" xfId="14668" xr:uid="{00000000-0005-0000-0000-0000A4000000}"/>
    <cellStyle name="Comma 2 2 2 2 3 2 2 2 3 2" xfId="34383" xr:uid="{00000000-0005-0000-0000-0000A5000000}"/>
    <cellStyle name="Comma 2 2 2 2 3 2 2 2 4" xfId="24526" xr:uid="{00000000-0005-0000-0000-0000A6000000}"/>
    <cellStyle name="Comma 2 2 2 2 3 2 2 3" xfId="7272" xr:uid="{00000000-0005-0000-0000-0000A7000000}"/>
    <cellStyle name="Comma 2 2 2 2 3 2 2 3 2" xfId="17132" xr:uid="{00000000-0005-0000-0000-0000A8000000}"/>
    <cellStyle name="Comma 2 2 2 2 3 2 2 3 2 2" xfId="36847" xr:uid="{00000000-0005-0000-0000-0000A9000000}"/>
    <cellStyle name="Comma 2 2 2 2 3 2 2 3 3" xfId="26990" xr:uid="{00000000-0005-0000-0000-0000AA000000}"/>
    <cellStyle name="Comma 2 2 2 2 3 2 2 4" xfId="12204" xr:uid="{00000000-0005-0000-0000-0000AB000000}"/>
    <cellStyle name="Comma 2 2 2 2 3 2 2 4 2" xfId="31919" xr:uid="{00000000-0005-0000-0000-0000AC000000}"/>
    <cellStyle name="Comma 2 2 2 2 3 2 2 5" xfId="22062" xr:uid="{00000000-0005-0000-0000-0000AD000000}"/>
    <cellStyle name="Comma 2 2 2 2 3 2 3" xfId="3572" xr:uid="{00000000-0005-0000-0000-0000AE000000}"/>
    <cellStyle name="Comma 2 2 2 2 3 2 3 2" xfId="8504" xr:uid="{00000000-0005-0000-0000-0000AF000000}"/>
    <cellStyle name="Comma 2 2 2 2 3 2 3 2 2" xfId="18364" xr:uid="{00000000-0005-0000-0000-0000B0000000}"/>
    <cellStyle name="Comma 2 2 2 2 3 2 3 2 2 2" xfId="38079" xr:uid="{00000000-0005-0000-0000-0000B1000000}"/>
    <cellStyle name="Comma 2 2 2 2 3 2 3 2 3" xfId="28222" xr:uid="{00000000-0005-0000-0000-0000B2000000}"/>
    <cellStyle name="Comma 2 2 2 2 3 2 3 3" xfId="13436" xr:uid="{00000000-0005-0000-0000-0000B3000000}"/>
    <cellStyle name="Comma 2 2 2 2 3 2 3 3 2" xfId="33151" xr:uid="{00000000-0005-0000-0000-0000B4000000}"/>
    <cellStyle name="Comma 2 2 2 2 3 2 3 4" xfId="23294" xr:uid="{00000000-0005-0000-0000-0000B5000000}"/>
    <cellStyle name="Comma 2 2 2 2 3 2 4" xfId="6040" xr:uid="{00000000-0005-0000-0000-0000B6000000}"/>
    <cellStyle name="Comma 2 2 2 2 3 2 4 2" xfId="15900" xr:uid="{00000000-0005-0000-0000-0000B7000000}"/>
    <cellStyle name="Comma 2 2 2 2 3 2 4 2 2" xfId="35615" xr:uid="{00000000-0005-0000-0000-0000B8000000}"/>
    <cellStyle name="Comma 2 2 2 2 3 2 4 3" xfId="25758" xr:uid="{00000000-0005-0000-0000-0000B9000000}"/>
    <cellStyle name="Comma 2 2 2 2 3 2 5" xfId="10972" xr:uid="{00000000-0005-0000-0000-0000BA000000}"/>
    <cellStyle name="Comma 2 2 2 2 3 2 5 2" xfId="30687" xr:uid="{00000000-0005-0000-0000-0000BB000000}"/>
    <cellStyle name="Comma 2 2 2 2 3 2 6" xfId="20830" xr:uid="{00000000-0005-0000-0000-0000BC000000}"/>
    <cellStyle name="Comma 2 2 2 2 3 3" xfId="1721" xr:uid="{00000000-0005-0000-0000-0000BD000000}"/>
    <cellStyle name="Comma 2 2 2 2 3 3 2" xfId="4188" xr:uid="{00000000-0005-0000-0000-0000BE000000}"/>
    <cellStyle name="Comma 2 2 2 2 3 3 2 2" xfId="9120" xr:uid="{00000000-0005-0000-0000-0000BF000000}"/>
    <cellStyle name="Comma 2 2 2 2 3 3 2 2 2" xfId="18980" xr:uid="{00000000-0005-0000-0000-0000C0000000}"/>
    <cellStyle name="Comma 2 2 2 2 3 3 2 2 2 2" xfId="38695" xr:uid="{00000000-0005-0000-0000-0000C1000000}"/>
    <cellStyle name="Comma 2 2 2 2 3 3 2 2 3" xfId="28838" xr:uid="{00000000-0005-0000-0000-0000C2000000}"/>
    <cellStyle name="Comma 2 2 2 2 3 3 2 3" xfId="14052" xr:uid="{00000000-0005-0000-0000-0000C3000000}"/>
    <cellStyle name="Comma 2 2 2 2 3 3 2 3 2" xfId="33767" xr:uid="{00000000-0005-0000-0000-0000C4000000}"/>
    <cellStyle name="Comma 2 2 2 2 3 3 2 4" xfId="23910" xr:uid="{00000000-0005-0000-0000-0000C5000000}"/>
    <cellStyle name="Comma 2 2 2 2 3 3 3" xfId="6656" xr:uid="{00000000-0005-0000-0000-0000C6000000}"/>
    <cellStyle name="Comma 2 2 2 2 3 3 3 2" xfId="16516" xr:uid="{00000000-0005-0000-0000-0000C7000000}"/>
    <cellStyle name="Comma 2 2 2 2 3 3 3 2 2" xfId="36231" xr:uid="{00000000-0005-0000-0000-0000C8000000}"/>
    <cellStyle name="Comma 2 2 2 2 3 3 3 3" xfId="26374" xr:uid="{00000000-0005-0000-0000-0000C9000000}"/>
    <cellStyle name="Comma 2 2 2 2 3 3 4" xfId="11588" xr:uid="{00000000-0005-0000-0000-0000CA000000}"/>
    <cellStyle name="Comma 2 2 2 2 3 3 4 2" xfId="31303" xr:uid="{00000000-0005-0000-0000-0000CB000000}"/>
    <cellStyle name="Comma 2 2 2 2 3 3 5" xfId="21446" xr:uid="{00000000-0005-0000-0000-0000CC000000}"/>
    <cellStyle name="Comma 2 2 2 2 3 4" xfId="2956" xr:uid="{00000000-0005-0000-0000-0000CD000000}"/>
    <cellStyle name="Comma 2 2 2 2 3 4 2" xfId="7888" xr:uid="{00000000-0005-0000-0000-0000CE000000}"/>
    <cellStyle name="Comma 2 2 2 2 3 4 2 2" xfId="17748" xr:uid="{00000000-0005-0000-0000-0000CF000000}"/>
    <cellStyle name="Comma 2 2 2 2 3 4 2 2 2" xfId="37463" xr:uid="{00000000-0005-0000-0000-0000D0000000}"/>
    <cellStyle name="Comma 2 2 2 2 3 4 2 3" xfId="27606" xr:uid="{00000000-0005-0000-0000-0000D1000000}"/>
    <cellStyle name="Comma 2 2 2 2 3 4 3" xfId="12820" xr:uid="{00000000-0005-0000-0000-0000D2000000}"/>
    <cellStyle name="Comma 2 2 2 2 3 4 3 2" xfId="32535" xr:uid="{00000000-0005-0000-0000-0000D3000000}"/>
    <cellStyle name="Comma 2 2 2 2 3 4 4" xfId="22678" xr:uid="{00000000-0005-0000-0000-0000D4000000}"/>
    <cellStyle name="Comma 2 2 2 2 3 5" xfId="5424" xr:uid="{00000000-0005-0000-0000-0000D5000000}"/>
    <cellStyle name="Comma 2 2 2 2 3 5 2" xfId="15284" xr:uid="{00000000-0005-0000-0000-0000D6000000}"/>
    <cellStyle name="Comma 2 2 2 2 3 5 2 2" xfId="34999" xr:uid="{00000000-0005-0000-0000-0000D7000000}"/>
    <cellStyle name="Comma 2 2 2 2 3 5 3" xfId="25142" xr:uid="{00000000-0005-0000-0000-0000D8000000}"/>
    <cellStyle name="Comma 2 2 2 2 3 6" xfId="10356" xr:uid="{00000000-0005-0000-0000-0000D9000000}"/>
    <cellStyle name="Comma 2 2 2 2 3 6 2" xfId="30071" xr:uid="{00000000-0005-0000-0000-0000DA000000}"/>
    <cellStyle name="Comma 2 2 2 2 3 7" xfId="20214" xr:uid="{00000000-0005-0000-0000-0000DB000000}"/>
    <cellStyle name="Comma 2 2 2 2 4" xfId="795" xr:uid="{00000000-0005-0000-0000-0000DC000000}"/>
    <cellStyle name="Comma 2 2 2 2 4 2" xfId="2031" xr:uid="{00000000-0005-0000-0000-0000DD000000}"/>
    <cellStyle name="Comma 2 2 2 2 4 2 2" xfId="4498" xr:uid="{00000000-0005-0000-0000-0000DE000000}"/>
    <cellStyle name="Comma 2 2 2 2 4 2 2 2" xfId="9430" xr:uid="{00000000-0005-0000-0000-0000DF000000}"/>
    <cellStyle name="Comma 2 2 2 2 4 2 2 2 2" xfId="19290" xr:uid="{00000000-0005-0000-0000-0000E0000000}"/>
    <cellStyle name="Comma 2 2 2 2 4 2 2 2 2 2" xfId="39005" xr:uid="{00000000-0005-0000-0000-0000E1000000}"/>
    <cellStyle name="Comma 2 2 2 2 4 2 2 2 3" xfId="29148" xr:uid="{00000000-0005-0000-0000-0000E2000000}"/>
    <cellStyle name="Comma 2 2 2 2 4 2 2 3" xfId="14362" xr:uid="{00000000-0005-0000-0000-0000E3000000}"/>
    <cellStyle name="Comma 2 2 2 2 4 2 2 3 2" xfId="34077" xr:uid="{00000000-0005-0000-0000-0000E4000000}"/>
    <cellStyle name="Comma 2 2 2 2 4 2 2 4" xfId="24220" xr:uid="{00000000-0005-0000-0000-0000E5000000}"/>
    <cellStyle name="Comma 2 2 2 2 4 2 3" xfId="6966" xr:uid="{00000000-0005-0000-0000-0000E6000000}"/>
    <cellStyle name="Comma 2 2 2 2 4 2 3 2" xfId="16826" xr:uid="{00000000-0005-0000-0000-0000E7000000}"/>
    <cellStyle name="Comma 2 2 2 2 4 2 3 2 2" xfId="36541" xr:uid="{00000000-0005-0000-0000-0000E8000000}"/>
    <cellStyle name="Comma 2 2 2 2 4 2 3 3" xfId="26684" xr:uid="{00000000-0005-0000-0000-0000E9000000}"/>
    <cellStyle name="Comma 2 2 2 2 4 2 4" xfId="11898" xr:uid="{00000000-0005-0000-0000-0000EA000000}"/>
    <cellStyle name="Comma 2 2 2 2 4 2 4 2" xfId="31613" xr:uid="{00000000-0005-0000-0000-0000EB000000}"/>
    <cellStyle name="Comma 2 2 2 2 4 2 5" xfId="21756" xr:uid="{00000000-0005-0000-0000-0000EC000000}"/>
    <cellStyle name="Comma 2 2 2 2 4 3" xfId="3266" xr:uid="{00000000-0005-0000-0000-0000ED000000}"/>
    <cellStyle name="Comma 2 2 2 2 4 3 2" xfId="8198" xr:uid="{00000000-0005-0000-0000-0000EE000000}"/>
    <cellStyle name="Comma 2 2 2 2 4 3 2 2" xfId="18058" xr:uid="{00000000-0005-0000-0000-0000EF000000}"/>
    <cellStyle name="Comma 2 2 2 2 4 3 2 2 2" xfId="37773" xr:uid="{00000000-0005-0000-0000-0000F0000000}"/>
    <cellStyle name="Comma 2 2 2 2 4 3 2 3" xfId="27916" xr:uid="{00000000-0005-0000-0000-0000F1000000}"/>
    <cellStyle name="Comma 2 2 2 2 4 3 3" xfId="13130" xr:uid="{00000000-0005-0000-0000-0000F2000000}"/>
    <cellStyle name="Comma 2 2 2 2 4 3 3 2" xfId="32845" xr:uid="{00000000-0005-0000-0000-0000F3000000}"/>
    <cellStyle name="Comma 2 2 2 2 4 3 4" xfId="22988" xr:uid="{00000000-0005-0000-0000-0000F4000000}"/>
    <cellStyle name="Comma 2 2 2 2 4 4" xfId="5734" xr:uid="{00000000-0005-0000-0000-0000F5000000}"/>
    <cellStyle name="Comma 2 2 2 2 4 4 2" xfId="15594" xr:uid="{00000000-0005-0000-0000-0000F6000000}"/>
    <cellStyle name="Comma 2 2 2 2 4 4 2 2" xfId="35309" xr:uid="{00000000-0005-0000-0000-0000F7000000}"/>
    <cellStyle name="Comma 2 2 2 2 4 4 3" xfId="25452" xr:uid="{00000000-0005-0000-0000-0000F8000000}"/>
    <cellStyle name="Comma 2 2 2 2 4 5" xfId="10666" xr:uid="{00000000-0005-0000-0000-0000F9000000}"/>
    <cellStyle name="Comma 2 2 2 2 4 5 2" xfId="30381" xr:uid="{00000000-0005-0000-0000-0000FA000000}"/>
    <cellStyle name="Comma 2 2 2 2 4 6" xfId="20524" xr:uid="{00000000-0005-0000-0000-0000FB000000}"/>
    <cellStyle name="Comma 2 2 2 2 5" xfId="1415" xr:uid="{00000000-0005-0000-0000-0000FC000000}"/>
    <cellStyle name="Comma 2 2 2 2 5 2" xfId="3882" xr:uid="{00000000-0005-0000-0000-0000FD000000}"/>
    <cellStyle name="Comma 2 2 2 2 5 2 2" xfId="8814" xr:uid="{00000000-0005-0000-0000-0000FE000000}"/>
    <cellStyle name="Comma 2 2 2 2 5 2 2 2" xfId="18674" xr:uid="{00000000-0005-0000-0000-0000FF000000}"/>
    <cellStyle name="Comma 2 2 2 2 5 2 2 2 2" xfId="38389" xr:uid="{00000000-0005-0000-0000-000000010000}"/>
    <cellStyle name="Comma 2 2 2 2 5 2 2 3" xfId="28532" xr:uid="{00000000-0005-0000-0000-000001010000}"/>
    <cellStyle name="Comma 2 2 2 2 5 2 3" xfId="13746" xr:uid="{00000000-0005-0000-0000-000002010000}"/>
    <cellStyle name="Comma 2 2 2 2 5 2 3 2" xfId="33461" xr:uid="{00000000-0005-0000-0000-000003010000}"/>
    <cellStyle name="Comma 2 2 2 2 5 2 4" xfId="23604" xr:uid="{00000000-0005-0000-0000-000004010000}"/>
    <cellStyle name="Comma 2 2 2 2 5 3" xfId="6350" xr:uid="{00000000-0005-0000-0000-000005010000}"/>
    <cellStyle name="Comma 2 2 2 2 5 3 2" xfId="16210" xr:uid="{00000000-0005-0000-0000-000006010000}"/>
    <cellStyle name="Comma 2 2 2 2 5 3 2 2" xfId="35925" xr:uid="{00000000-0005-0000-0000-000007010000}"/>
    <cellStyle name="Comma 2 2 2 2 5 3 3" xfId="26068" xr:uid="{00000000-0005-0000-0000-000008010000}"/>
    <cellStyle name="Comma 2 2 2 2 5 4" xfId="11282" xr:uid="{00000000-0005-0000-0000-000009010000}"/>
    <cellStyle name="Comma 2 2 2 2 5 4 2" xfId="30997" xr:uid="{00000000-0005-0000-0000-00000A010000}"/>
    <cellStyle name="Comma 2 2 2 2 5 5" xfId="21140" xr:uid="{00000000-0005-0000-0000-00000B010000}"/>
    <cellStyle name="Comma 2 2 2 2 6" xfId="2650" xr:uid="{00000000-0005-0000-0000-00000C010000}"/>
    <cellStyle name="Comma 2 2 2 2 6 2" xfId="7582" xr:uid="{00000000-0005-0000-0000-00000D010000}"/>
    <cellStyle name="Comma 2 2 2 2 6 2 2" xfId="17442" xr:uid="{00000000-0005-0000-0000-00000E010000}"/>
    <cellStyle name="Comma 2 2 2 2 6 2 2 2" xfId="37157" xr:uid="{00000000-0005-0000-0000-00000F010000}"/>
    <cellStyle name="Comma 2 2 2 2 6 2 3" xfId="27300" xr:uid="{00000000-0005-0000-0000-000010010000}"/>
    <cellStyle name="Comma 2 2 2 2 6 3" xfId="12514" xr:uid="{00000000-0005-0000-0000-000011010000}"/>
    <cellStyle name="Comma 2 2 2 2 6 3 2" xfId="32229" xr:uid="{00000000-0005-0000-0000-000012010000}"/>
    <cellStyle name="Comma 2 2 2 2 6 4" xfId="22372" xr:uid="{00000000-0005-0000-0000-000013010000}"/>
    <cellStyle name="Comma 2 2 2 2 7" xfId="5118" xr:uid="{00000000-0005-0000-0000-000014010000}"/>
    <cellStyle name="Comma 2 2 2 2 7 2" xfId="14978" xr:uid="{00000000-0005-0000-0000-000015010000}"/>
    <cellStyle name="Comma 2 2 2 2 7 2 2" xfId="34693" xr:uid="{00000000-0005-0000-0000-000016010000}"/>
    <cellStyle name="Comma 2 2 2 2 7 3" xfId="24836" xr:uid="{00000000-0005-0000-0000-000017010000}"/>
    <cellStyle name="Comma 2 2 2 2 8" xfId="10050" xr:uid="{00000000-0005-0000-0000-000018010000}"/>
    <cellStyle name="Comma 2 2 2 2 8 2" xfId="29765" xr:uid="{00000000-0005-0000-0000-000019010000}"/>
    <cellStyle name="Comma 2 2 2 2 9" xfId="19908" xr:uid="{00000000-0005-0000-0000-00001A010000}"/>
    <cellStyle name="Comma 2 2 2 3" xfId="244" xr:uid="{00000000-0005-0000-0000-00001B010000}"/>
    <cellStyle name="Comma 2 2 2 3 2" xfId="558" xr:uid="{00000000-0005-0000-0000-00001C010000}"/>
    <cellStyle name="Comma 2 2 2 3 2 2" xfId="1178" xr:uid="{00000000-0005-0000-0000-00001D010000}"/>
    <cellStyle name="Comma 2 2 2 3 2 2 2" xfId="2413" xr:uid="{00000000-0005-0000-0000-00001E010000}"/>
    <cellStyle name="Comma 2 2 2 3 2 2 2 2" xfId="4880" xr:uid="{00000000-0005-0000-0000-00001F010000}"/>
    <cellStyle name="Comma 2 2 2 3 2 2 2 2 2" xfId="9812" xr:uid="{00000000-0005-0000-0000-000020010000}"/>
    <cellStyle name="Comma 2 2 2 3 2 2 2 2 2 2" xfId="19672" xr:uid="{00000000-0005-0000-0000-000021010000}"/>
    <cellStyle name="Comma 2 2 2 3 2 2 2 2 2 2 2" xfId="39387" xr:uid="{00000000-0005-0000-0000-000022010000}"/>
    <cellStyle name="Comma 2 2 2 3 2 2 2 2 2 3" xfId="29530" xr:uid="{00000000-0005-0000-0000-000023010000}"/>
    <cellStyle name="Comma 2 2 2 3 2 2 2 2 3" xfId="14744" xr:uid="{00000000-0005-0000-0000-000024010000}"/>
    <cellStyle name="Comma 2 2 2 3 2 2 2 2 3 2" xfId="34459" xr:uid="{00000000-0005-0000-0000-000025010000}"/>
    <cellStyle name="Comma 2 2 2 3 2 2 2 2 4" xfId="24602" xr:uid="{00000000-0005-0000-0000-000026010000}"/>
    <cellStyle name="Comma 2 2 2 3 2 2 2 3" xfId="7348" xr:uid="{00000000-0005-0000-0000-000027010000}"/>
    <cellStyle name="Comma 2 2 2 3 2 2 2 3 2" xfId="17208" xr:uid="{00000000-0005-0000-0000-000028010000}"/>
    <cellStyle name="Comma 2 2 2 3 2 2 2 3 2 2" xfId="36923" xr:uid="{00000000-0005-0000-0000-000029010000}"/>
    <cellStyle name="Comma 2 2 2 3 2 2 2 3 3" xfId="27066" xr:uid="{00000000-0005-0000-0000-00002A010000}"/>
    <cellStyle name="Comma 2 2 2 3 2 2 2 4" xfId="12280" xr:uid="{00000000-0005-0000-0000-00002B010000}"/>
    <cellStyle name="Comma 2 2 2 3 2 2 2 4 2" xfId="31995" xr:uid="{00000000-0005-0000-0000-00002C010000}"/>
    <cellStyle name="Comma 2 2 2 3 2 2 2 5" xfId="22138" xr:uid="{00000000-0005-0000-0000-00002D010000}"/>
    <cellStyle name="Comma 2 2 2 3 2 2 3" xfId="3648" xr:uid="{00000000-0005-0000-0000-00002E010000}"/>
    <cellStyle name="Comma 2 2 2 3 2 2 3 2" xfId="8580" xr:uid="{00000000-0005-0000-0000-00002F010000}"/>
    <cellStyle name="Comma 2 2 2 3 2 2 3 2 2" xfId="18440" xr:uid="{00000000-0005-0000-0000-000030010000}"/>
    <cellStyle name="Comma 2 2 2 3 2 2 3 2 2 2" xfId="38155" xr:uid="{00000000-0005-0000-0000-000031010000}"/>
    <cellStyle name="Comma 2 2 2 3 2 2 3 2 3" xfId="28298" xr:uid="{00000000-0005-0000-0000-000032010000}"/>
    <cellStyle name="Comma 2 2 2 3 2 2 3 3" xfId="13512" xr:uid="{00000000-0005-0000-0000-000033010000}"/>
    <cellStyle name="Comma 2 2 2 3 2 2 3 3 2" xfId="33227" xr:uid="{00000000-0005-0000-0000-000034010000}"/>
    <cellStyle name="Comma 2 2 2 3 2 2 3 4" xfId="23370" xr:uid="{00000000-0005-0000-0000-000035010000}"/>
    <cellStyle name="Comma 2 2 2 3 2 2 4" xfId="6116" xr:uid="{00000000-0005-0000-0000-000036010000}"/>
    <cellStyle name="Comma 2 2 2 3 2 2 4 2" xfId="15976" xr:uid="{00000000-0005-0000-0000-000037010000}"/>
    <cellStyle name="Comma 2 2 2 3 2 2 4 2 2" xfId="35691" xr:uid="{00000000-0005-0000-0000-000038010000}"/>
    <cellStyle name="Comma 2 2 2 3 2 2 4 3" xfId="25834" xr:uid="{00000000-0005-0000-0000-000039010000}"/>
    <cellStyle name="Comma 2 2 2 3 2 2 5" xfId="11048" xr:uid="{00000000-0005-0000-0000-00003A010000}"/>
    <cellStyle name="Comma 2 2 2 3 2 2 5 2" xfId="30763" xr:uid="{00000000-0005-0000-0000-00003B010000}"/>
    <cellStyle name="Comma 2 2 2 3 2 2 6" xfId="20906" xr:uid="{00000000-0005-0000-0000-00003C010000}"/>
    <cellStyle name="Comma 2 2 2 3 2 3" xfId="1797" xr:uid="{00000000-0005-0000-0000-00003D010000}"/>
    <cellStyle name="Comma 2 2 2 3 2 3 2" xfId="4264" xr:uid="{00000000-0005-0000-0000-00003E010000}"/>
    <cellStyle name="Comma 2 2 2 3 2 3 2 2" xfId="9196" xr:uid="{00000000-0005-0000-0000-00003F010000}"/>
    <cellStyle name="Comma 2 2 2 3 2 3 2 2 2" xfId="19056" xr:uid="{00000000-0005-0000-0000-000040010000}"/>
    <cellStyle name="Comma 2 2 2 3 2 3 2 2 2 2" xfId="38771" xr:uid="{00000000-0005-0000-0000-000041010000}"/>
    <cellStyle name="Comma 2 2 2 3 2 3 2 2 3" xfId="28914" xr:uid="{00000000-0005-0000-0000-000042010000}"/>
    <cellStyle name="Comma 2 2 2 3 2 3 2 3" xfId="14128" xr:uid="{00000000-0005-0000-0000-000043010000}"/>
    <cellStyle name="Comma 2 2 2 3 2 3 2 3 2" xfId="33843" xr:uid="{00000000-0005-0000-0000-000044010000}"/>
    <cellStyle name="Comma 2 2 2 3 2 3 2 4" xfId="23986" xr:uid="{00000000-0005-0000-0000-000045010000}"/>
    <cellStyle name="Comma 2 2 2 3 2 3 3" xfId="6732" xr:uid="{00000000-0005-0000-0000-000046010000}"/>
    <cellStyle name="Comma 2 2 2 3 2 3 3 2" xfId="16592" xr:uid="{00000000-0005-0000-0000-000047010000}"/>
    <cellStyle name="Comma 2 2 2 3 2 3 3 2 2" xfId="36307" xr:uid="{00000000-0005-0000-0000-000048010000}"/>
    <cellStyle name="Comma 2 2 2 3 2 3 3 3" xfId="26450" xr:uid="{00000000-0005-0000-0000-000049010000}"/>
    <cellStyle name="Comma 2 2 2 3 2 3 4" xfId="11664" xr:uid="{00000000-0005-0000-0000-00004A010000}"/>
    <cellStyle name="Comma 2 2 2 3 2 3 4 2" xfId="31379" xr:uid="{00000000-0005-0000-0000-00004B010000}"/>
    <cellStyle name="Comma 2 2 2 3 2 3 5" xfId="21522" xr:uid="{00000000-0005-0000-0000-00004C010000}"/>
    <cellStyle name="Comma 2 2 2 3 2 4" xfId="3032" xr:uid="{00000000-0005-0000-0000-00004D010000}"/>
    <cellStyle name="Comma 2 2 2 3 2 4 2" xfId="7964" xr:uid="{00000000-0005-0000-0000-00004E010000}"/>
    <cellStyle name="Comma 2 2 2 3 2 4 2 2" xfId="17824" xr:uid="{00000000-0005-0000-0000-00004F010000}"/>
    <cellStyle name="Comma 2 2 2 3 2 4 2 2 2" xfId="37539" xr:uid="{00000000-0005-0000-0000-000050010000}"/>
    <cellStyle name="Comma 2 2 2 3 2 4 2 3" xfId="27682" xr:uid="{00000000-0005-0000-0000-000051010000}"/>
    <cellStyle name="Comma 2 2 2 3 2 4 3" xfId="12896" xr:uid="{00000000-0005-0000-0000-000052010000}"/>
    <cellStyle name="Comma 2 2 2 3 2 4 3 2" xfId="32611" xr:uid="{00000000-0005-0000-0000-000053010000}"/>
    <cellStyle name="Comma 2 2 2 3 2 4 4" xfId="22754" xr:uid="{00000000-0005-0000-0000-000054010000}"/>
    <cellStyle name="Comma 2 2 2 3 2 5" xfId="5500" xr:uid="{00000000-0005-0000-0000-000055010000}"/>
    <cellStyle name="Comma 2 2 2 3 2 5 2" xfId="15360" xr:uid="{00000000-0005-0000-0000-000056010000}"/>
    <cellStyle name="Comma 2 2 2 3 2 5 2 2" xfId="35075" xr:uid="{00000000-0005-0000-0000-000057010000}"/>
    <cellStyle name="Comma 2 2 2 3 2 5 3" xfId="25218" xr:uid="{00000000-0005-0000-0000-000058010000}"/>
    <cellStyle name="Comma 2 2 2 3 2 6" xfId="10432" xr:uid="{00000000-0005-0000-0000-000059010000}"/>
    <cellStyle name="Comma 2 2 2 3 2 6 2" xfId="30147" xr:uid="{00000000-0005-0000-0000-00005A010000}"/>
    <cellStyle name="Comma 2 2 2 3 2 7" xfId="20290" xr:uid="{00000000-0005-0000-0000-00005B010000}"/>
    <cellStyle name="Comma 2 2 2 3 3" xfId="871" xr:uid="{00000000-0005-0000-0000-00005C010000}"/>
    <cellStyle name="Comma 2 2 2 3 3 2" xfId="2107" xr:uid="{00000000-0005-0000-0000-00005D010000}"/>
    <cellStyle name="Comma 2 2 2 3 3 2 2" xfId="4574" xr:uid="{00000000-0005-0000-0000-00005E010000}"/>
    <cellStyle name="Comma 2 2 2 3 3 2 2 2" xfId="9506" xr:uid="{00000000-0005-0000-0000-00005F010000}"/>
    <cellStyle name="Comma 2 2 2 3 3 2 2 2 2" xfId="19366" xr:uid="{00000000-0005-0000-0000-000060010000}"/>
    <cellStyle name="Comma 2 2 2 3 3 2 2 2 2 2" xfId="39081" xr:uid="{00000000-0005-0000-0000-000061010000}"/>
    <cellStyle name="Comma 2 2 2 3 3 2 2 2 3" xfId="29224" xr:uid="{00000000-0005-0000-0000-000062010000}"/>
    <cellStyle name="Comma 2 2 2 3 3 2 2 3" xfId="14438" xr:uid="{00000000-0005-0000-0000-000063010000}"/>
    <cellStyle name="Comma 2 2 2 3 3 2 2 3 2" xfId="34153" xr:uid="{00000000-0005-0000-0000-000064010000}"/>
    <cellStyle name="Comma 2 2 2 3 3 2 2 4" xfId="24296" xr:uid="{00000000-0005-0000-0000-000065010000}"/>
    <cellStyle name="Comma 2 2 2 3 3 2 3" xfId="7042" xr:uid="{00000000-0005-0000-0000-000066010000}"/>
    <cellStyle name="Comma 2 2 2 3 3 2 3 2" xfId="16902" xr:uid="{00000000-0005-0000-0000-000067010000}"/>
    <cellStyle name="Comma 2 2 2 3 3 2 3 2 2" xfId="36617" xr:uid="{00000000-0005-0000-0000-000068010000}"/>
    <cellStyle name="Comma 2 2 2 3 3 2 3 3" xfId="26760" xr:uid="{00000000-0005-0000-0000-000069010000}"/>
    <cellStyle name="Comma 2 2 2 3 3 2 4" xfId="11974" xr:uid="{00000000-0005-0000-0000-00006A010000}"/>
    <cellStyle name="Comma 2 2 2 3 3 2 4 2" xfId="31689" xr:uid="{00000000-0005-0000-0000-00006B010000}"/>
    <cellStyle name="Comma 2 2 2 3 3 2 5" xfId="21832" xr:uid="{00000000-0005-0000-0000-00006C010000}"/>
    <cellStyle name="Comma 2 2 2 3 3 3" xfId="3342" xr:uid="{00000000-0005-0000-0000-00006D010000}"/>
    <cellStyle name="Comma 2 2 2 3 3 3 2" xfId="8274" xr:uid="{00000000-0005-0000-0000-00006E010000}"/>
    <cellStyle name="Comma 2 2 2 3 3 3 2 2" xfId="18134" xr:uid="{00000000-0005-0000-0000-00006F010000}"/>
    <cellStyle name="Comma 2 2 2 3 3 3 2 2 2" xfId="37849" xr:uid="{00000000-0005-0000-0000-000070010000}"/>
    <cellStyle name="Comma 2 2 2 3 3 3 2 3" xfId="27992" xr:uid="{00000000-0005-0000-0000-000071010000}"/>
    <cellStyle name="Comma 2 2 2 3 3 3 3" xfId="13206" xr:uid="{00000000-0005-0000-0000-000072010000}"/>
    <cellStyle name="Comma 2 2 2 3 3 3 3 2" xfId="32921" xr:uid="{00000000-0005-0000-0000-000073010000}"/>
    <cellStyle name="Comma 2 2 2 3 3 3 4" xfId="23064" xr:uid="{00000000-0005-0000-0000-000074010000}"/>
    <cellStyle name="Comma 2 2 2 3 3 4" xfId="5810" xr:uid="{00000000-0005-0000-0000-000075010000}"/>
    <cellStyle name="Comma 2 2 2 3 3 4 2" xfId="15670" xr:uid="{00000000-0005-0000-0000-000076010000}"/>
    <cellStyle name="Comma 2 2 2 3 3 4 2 2" xfId="35385" xr:uid="{00000000-0005-0000-0000-000077010000}"/>
    <cellStyle name="Comma 2 2 2 3 3 4 3" xfId="25528" xr:uid="{00000000-0005-0000-0000-000078010000}"/>
    <cellStyle name="Comma 2 2 2 3 3 5" xfId="10742" xr:uid="{00000000-0005-0000-0000-000079010000}"/>
    <cellStyle name="Comma 2 2 2 3 3 5 2" xfId="30457" xr:uid="{00000000-0005-0000-0000-00007A010000}"/>
    <cellStyle name="Comma 2 2 2 3 3 6" xfId="20600" xr:uid="{00000000-0005-0000-0000-00007B010000}"/>
    <cellStyle name="Comma 2 2 2 3 4" xfId="1491" xr:uid="{00000000-0005-0000-0000-00007C010000}"/>
    <cellStyle name="Comma 2 2 2 3 4 2" xfId="3958" xr:uid="{00000000-0005-0000-0000-00007D010000}"/>
    <cellStyle name="Comma 2 2 2 3 4 2 2" xfId="8890" xr:uid="{00000000-0005-0000-0000-00007E010000}"/>
    <cellStyle name="Comma 2 2 2 3 4 2 2 2" xfId="18750" xr:uid="{00000000-0005-0000-0000-00007F010000}"/>
    <cellStyle name="Comma 2 2 2 3 4 2 2 2 2" xfId="38465" xr:uid="{00000000-0005-0000-0000-000080010000}"/>
    <cellStyle name="Comma 2 2 2 3 4 2 2 3" xfId="28608" xr:uid="{00000000-0005-0000-0000-000081010000}"/>
    <cellStyle name="Comma 2 2 2 3 4 2 3" xfId="13822" xr:uid="{00000000-0005-0000-0000-000082010000}"/>
    <cellStyle name="Comma 2 2 2 3 4 2 3 2" xfId="33537" xr:uid="{00000000-0005-0000-0000-000083010000}"/>
    <cellStyle name="Comma 2 2 2 3 4 2 4" xfId="23680" xr:uid="{00000000-0005-0000-0000-000084010000}"/>
    <cellStyle name="Comma 2 2 2 3 4 3" xfId="6426" xr:uid="{00000000-0005-0000-0000-000085010000}"/>
    <cellStyle name="Comma 2 2 2 3 4 3 2" xfId="16286" xr:uid="{00000000-0005-0000-0000-000086010000}"/>
    <cellStyle name="Comma 2 2 2 3 4 3 2 2" xfId="36001" xr:uid="{00000000-0005-0000-0000-000087010000}"/>
    <cellStyle name="Comma 2 2 2 3 4 3 3" xfId="26144" xr:uid="{00000000-0005-0000-0000-000088010000}"/>
    <cellStyle name="Comma 2 2 2 3 4 4" xfId="11358" xr:uid="{00000000-0005-0000-0000-000089010000}"/>
    <cellStyle name="Comma 2 2 2 3 4 4 2" xfId="31073" xr:uid="{00000000-0005-0000-0000-00008A010000}"/>
    <cellStyle name="Comma 2 2 2 3 4 5" xfId="21216" xr:uid="{00000000-0005-0000-0000-00008B010000}"/>
    <cellStyle name="Comma 2 2 2 3 5" xfId="2726" xr:uid="{00000000-0005-0000-0000-00008C010000}"/>
    <cellStyle name="Comma 2 2 2 3 5 2" xfId="7658" xr:uid="{00000000-0005-0000-0000-00008D010000}"/>
    <cellStyle name="Comma 2 2 2 3 5 2 2" xfId="17518" xr:uid="{00000000-0005-0000-0000-00008E010000}"/>
    <cellStyle name="Comma 2 2 2 3 5 2 2 2" xfId="37233" xr:uid="{00000000-0005-0000-0000-00008F010000}"/>
    <cellStyle name="Comma 2 2 2 3 5 2 3" xfId="27376" xr:uid="{00000000-0005-0000-0000-000090010000}"/>
    <cellStyle name="Comma 2 2 2 3 5 3" xfId="12590" xr:uid="{00000000-0005-0000-0000-000091010000}"/>
    <cellStyle name="Comma 2 2 2 3 5 3 2" xfId="32305" xr:uid="{00000000-0005-0000-0000-000092010000}"/>
    <cellStyle name="Comma 2 2 2 3 5 4" xfId="22448" xr:uid="{00000000-0005-0000-0000-000093010000}"/>
    <cellStyle name="Comma 2 2 2 3 6" xfId="5194" xr:uid="{00000000-0005-0000-0000-000094010000}"/>
    <cellStyle name="Comma 2 2 2 3 6 2" xfId="15054" xr:uid="{00000000-0005-0000-0000-000095010000}"/>
    <cellStyle name="Comma 2 2 2 3 6 2 2" xfId="34769" xr:uid="{00000000-0005-0000-0000-000096010000}"/>
    <cellStyle name="Comma 2 2 2 3 6 3" xfId="24912" xr:uid="{00000000-0005-0000-0000-000097010000}"/>
    <cellStyle name="Comma 2 2 2 3 7" xfId="10126" xr:uid="{00000000-0005-0000-0000-000098010000}"/>
    <cellStyle name="Comma 2 2 2 3 7 2" xfId="29841" xr:uid="{00000000-0005-0000-0000-000099010000}"/>
    <cellStyle name="Comma 2 2 2 3 8" xfId="19984" xr:uid="{00000000-0005-0000-0000-00009A010000}"/>
    <cellStyle name="Comma 2 2 2 4" xfId="406" xr:uid="{00000000-0005-0000-0000-00009B010000}"/>
    <cellStyle name="Comma 2 2 2 4 2" xfId="1026" xr:uid="{00000000-0005-0000-0000-00009C010000}"/>
    <cellStyle name="Comma 2 2 2 4 2 2" xfId="2261" xr:uid="{00000000-0005-0000-0000-00009D010000}"/>
    <cellStyle name="Comma 2 2 2 4 2 2 2" xfId="4728" xr:uid="{00000000-0005-0000-0000-00009E010000}"/>
    <cellStyle name="Comma 2 2 2 4 2 2 2 2" xfId="9660" xr:uid="{00000000-0005-0000-0000-00009F010000}"/>
    <cellStyle name="Comma 2 2 2 4 2 2 2 2 2" xfId="19520" xr:uid="{00000000-0005-0000-0000-0000A0010000}"/>
    <cellStyle name="Comma 2 2 2 4 2 2 2 2 2 2" xfId="39235" xr:uid="{00000000-0005-0000-0000-0000A1010000}"/>
    <cellStyle name="Comma 2 2 2 4 2 2 2 2 3" xfId="29378" xr:uid="{00000000-0005-0000-0000-0000A2010000}"/>
    <cellStyle name="Comma 2 2 2 4 2 2 2 3" xfId="14592" xr:uid="{00000000-0005-0000-0000-0000A3010000}"/>
    <cellStyle name="Comma 2 2 2 4 2 2 2 3 2" xfId="34307" xr:uid="{00000000-0005-0000-0000-0000A4010000}"/>
    <cellStyle name="Comma 2 2 2 4 2 2 2 4" xfId="24450" xr:uid="{00000000-0005-0000-0000-0000A5010000}"/>
    <cellStyle name="Comma 2 2 2 4 2 2 3" xfId="7196" xr:uid="{00000000-0005-0000-0000-0000A6010000}"/>
    <cellStyle name="Comma 2 2 2 4 2 2 3 2" xfId="17056" xr:uid="{00000000-0005-0000-0000-0000A7010000}"/>
    <cellStyle name="Comma 2 2 2 4 2 2 3 2 2" xfId="36771" xr:uid="{00000000-0005-0000-0000-0000A8010000}"/>
    <cellStyle name="Comma 2 2 2 4 2 2 3 3" xfId="26914" xr:uid="{00000000-0005-0000-0000-0000A9010000}"/>
    <cellStyle name="Comma 2 2 2 4 2 2 4" xfId="12128" xr:uid="{00000000-0005-0000-0000-0000AA010000}"/>
    <cellStyle name="Comma 2 2 2 4 2 2 4 2" xfId="31843" xr:uid="{00000000-0005-0000-0000-0000AB010000}"/>
    <cellStyle name="Comma 2 2 2 4 2 2 5" xfId="21986" xr:uid="{00000000-0005-0000-0000-0000AC010000}"/>
    <cellStyle name="Comma 2 2 2 4 2 3" xfId="3496" xr:uid="{00000000-0005-0000-0000-0000AD010000}"/>
    <cellStyle name="Comma 2 2 2 4 2 3 2" xfId="8428" xr:uid="{00000000-0005-0000-0000-0000AE010000}"/>
    <cellStyle name="Comma 2 2 2 4 2 3 2 2" xfId="18288" xr:uid="{00000000-0005-0000-0000-0000AF010000}"/>
    <cellStyle name="Comma 2 2 2 4 2 3 2 2 2" xfId="38003" xr:uid="{00000000-0005-0000-0000-0000B0010000}"/>
    <cellStyle name="Comma 2 2 2 4 2 3 2 3" xfId="28146" xr:uid="{00000000-0005-0000-0000-0000B1010000}"/>
    <cellStyle name="Comma 2 2 2 4 2 3 3" xfId="13360" xr:uid="{00000000-0005-0000-0000-0000B2010000}"/>
    <cellStyle name="Comma 2 2 2 4 2 3 3 2" xfId="33075" xr:uid="{00000000-0005-0000-0000-0000B3010000}"/>
    <cellStyle name="Comma 2 2 2 4 2 3 4" xfId="23218" xr:uid="{00000000-0005-0000-0000-0000B4010000}"/>
    <cellStyle name="Comma 2 2 2 4 2 4" xfId="5964" xr:uid="{00000000-0005-0000-0000-0000B5010000}"/>
    <cellStyle name="Comma 2 2 2 4 2 4 2" xfId="15824" xr:uid="{00000000-0005-0000-0000-0000B6010000}"/>
    <cellStyle name="Comma 2 2 2 4 2 4 2 2" xfId="35539" xr:uid="{00000000-0005-0000-0000-0000B7010000}"/>
    <cellStyle name="Comma 2 2 2 4 2 4 3" xfId="25682" xr:uid="{00000000-0005-0000-0000-0000B8010000}"/>
    <cellStyle name="Comma 2 2 2 4 2 5" xfId="10896" xr:uid="{00000000-0005-0000-0000-0000B9010000}"/>
    <cellStyle name="Comma 2 2 2 4 2 5 2" xfId="30611" xr:uid="{00000000-0005-0000-0000-0000BA010000}"/>
    <cellStyle name="Comma 2 2 2 4 2 6" xfId="20754" xr:uid="{00000000-0005-0000-0000-0000BB010000}"/>
    <cellStyle name="Comma 2 2 2 4 3" xfId="1645" xr:uid="{00000000-0005-0000-0000-0000BC010000}"/>
    <cellStyle name="Comma 2 2 2 4 3 2" xfId="4112" xr:uid="{00000000-0005-0000-0000-0000BD010000}"/>
    <cellStyle name="Comma 2 2 2 4 3 2 2" xfId="9044" xr:uid="{00000000-0005-0000-0000-0000BE010000}"/>
    <cellStyle name="Comma 2 2 2 4 3 2 2 2" xfId="18904" xr:uid="{00000000-0005-0000-0000-0000BF010000}"/>
    <cellStyle name="Comma 2 2 2 4 3 2 2 2 2" xfId="38619" xr:uid="{00000000-0005-0000-0000-0000C0010000}"/>
    <cellStyle name="Comma 2 2 2 4 3 2 2 3" xfId="28762" xr:uid="{00000000-0005-0000-0000-0000C1010000}"/>
    <cellStyle name="Comma 2 2 2 4 3 2 3" xfId="13976" xr:uid="{00000000-0005-0000-0000-0000C2010000}"/>
    <cellStyle name="Comma 2 2 2 4 3 2 3 2" xfId="33691" xr:uid="{00000000-0005-0000-0000-0000C3010000}"/>
    <cellStyle name="Comma 2 2 2 4 3 2 4" xfId="23834" xr:uid="{00000000-0005-0000-0000-0000C4010000}"/>
    <cellStyle name="Comma 2 2 2 4 3 3" xfId="6580" xr:uid="{00000000-0005-0000-0000-0000C5010000}"/>
    <cellStyle name="Comma 2 2 2 4 3 3 2" xfId="16440" xr:uid="{00000000-0005-0000-0000-0000C6010000}"/>
    <cellStyle name="Comma 2 2 2 4 3 3 2 2" xfId="36155" xr:uid="{00000000-0005-0000-0000-0000C7010000}"/>
    <cellStyle name="Comma 2 2 2 4 3 3 3" xfId="26298" xr:uid="{00000000-0005-0000-0000-0000C8010000}"/>
    <cellStyle name="Comma 2 2 2 4 3 4" xfId="11512" xr:uid="{00000000-0005-0000-0000-0000C9010000}"/>
    <cellStyle name="Comma 2 2 2 4 3 4 2" xfId="31227" xr:uid="{00000000-0005-0000-0000-0000CA010000}"/>
    <cellStyle name="Comma 2 2 2 4 3 5" xfId="21370" xr:uid="{00000000-0005-0000-0000-0000CB010000}"/>
    <cellStyle name="Comma 2 2 2 4 4" xfId="2880" xr:uid="{00000000-0005-0000-0000-0000CC010000}"/>
    <cellStyle name="Comma 2 2 2 4 4 2" xfId="7812" xr:uid="{00000000-0005-0000-0000-0000CD010000}"/>
    <cellStyle name="Comma 2 2 2 4 4 2 2" xfId="17672" xr:uid="{00000000-0005-0000-0000-0000CE010000}"/>
    <cellStyle name="Comma 2 2 2 4 4 2 2 2" xfId="37387" xr:uid="{00000000-0005-0000-0000-0000CF010000}"/>
    <cellStyle name="Comma 2 2 2 4 4 2 3" xfId="27530" xr:uid="{00000000-0005-0000-0000-0000D0010000}"/>
    <cellStyle name="Comma 2 2 2 4 4 3" xfId="12744" xr:uid="{00000000-0005-0000-0000-0000D1010000}"/>
    <cellStyle name="Comma 2 2 2 4 4 3 2" xfId="32459" xr:uid="{00000000-0005-0000-0000-0000D2010000}"/>
    <cellStyle name="Comma 2 2 2 4 4 4" xfId="22602" xr:uid="{00000000-0005-0000-0000-0000D3010000}"/>
    <cellStyle name="Comma 2 2 2 4 5" xfId="5348" xr:uid="{00000000-0005-0000-0000-0000D4010000}"/>
    <cellStyle name="Comma 2 2 2 4 5 2" xfId="15208" xr:uid="{00000000-0005-0000-0000-0000D5010000}"/>
    <cellStyle name="Comma 2 2 2 4 5 2 2" xfId="34923" xr:uid="{00000000-0005-0000-0000-0000D6010000}"/>
    <cellStyle name="Comma 2 2 2 4 5 3" xfId="25066" xr:uid="{00000000-0005-0000-0000-0000D7010000}"/>
    <cellStyle name="Comma 2 2 2 4 6" xfId="10280" xr:uid="{00000000-0005-0000-0000-0000D8010000}"/>
    <cellStyle name="Comma 2 2 2 4 6 2" xfId="29995" xr:uid="{00000000-0005-0000-0000-0000D9010000}"/>
    <cellStyle name="Comma 2 2 2 4 7" xfId="20138" xr:uid="{00000000-0005-0000-0000-0000DA010000}"/>
    <cellStyle name="Comma 2 2 2 5" xfId="719" xr:uid="{00000000-0005-0000-0000-0000DB010000}"/>
    <cellStyle name="Comma 2 2 2 5 2" xfId="1955" xr:uid="{00000000-0005-0000-0000-0000DC010000}"/>
    <cellStyle name="Comma 2 2 2 5 2 2" xfId="4422" xr:uid="{00000000-0005-0000-0000-0000DD010000}"/>
    <cellStyle name="Comma 2 2 2 5 2 2 2" xfId="9354" xr:uid="{00000000-0005-0000-0000-0000DE010000}"/>
    <cellStyle name="Comma 2 2 2 5 2 2 2 2" xfId="19214" xr:uid="{00000000-0005-0000-0000-0000DF010000}"/>
    <cellStyle name="Comma 2 2 2 5 2 2 2 2 2" xfId="38929" xr:uid="{00000000-0005-0000-0000-0000E0010000}"/>
    <cellStyle name="Comma 2 2 2 5 2 2 2 3" xfId="29072" xr:uid="{00000000-0005-0000-0000-0000E1010000}"/>
    <cellStyle name="Comma 2 2 2 5 2 2 3" xfId="14286" xr:uid="{00000000-0005-0000-0000-0000E2010000}"/>
    <cellStyle name="Comma 2 2 2 5 2 2 3 2" xfId="34001" xr:uid="{00000000-0005-0000-0000-0000E3010000}"/>
    <cellStyle name="Comma 2 2 2 5 2 2 4" xfId="24144" xr:uid="{00000000-0005-0000-0000-0000E4010000}"/>
    <cellStyle name="Comma 2 2 2 5 2 3" xfId="6890" xr:uid="{00000000-0005-0000-0000-0000E5010000}"/>
    <cellStyle name="Comma 2 2 2 5 2 3 2" xfId="16750" xr:uid="{00000000-0005-0000-0000-0000E6010000}"/>
    <cellStyle name="Comma 2 2 2 5 2 3 2 2" xfId="36465" xr:uid="{00000000-0005-0000-0000-0000E7010000}"/>
    <cellStyle name="Comma 2 2 2 5 2 3 3" xfId="26608" xr:uid="{00000000-0005-0000-0000-0000E8010000}"/>
    <cellStyle name="Comma 2 2 2 5 2 4" xfId="11822" xr:uid="{00000000-0005-0000-0000-0000E9010000}"/>
    <cellStyle name="Comma 2 2 2 5 2 4 2" xfId="31537" xr:uid="{00000000-0005-0000-0000-0000EA010000}"/>
    <cellStyle name="Comma 2 2 2 5 2 5" xfId="21680" xr:uid="{00000000-0005-0000-0000-0000EB010000}"/>
    <cellStyle name="Comma 2 2 2 5 3" xfId="3190" xr:uid="{00000000-0005-0000-0000-0000EC010000}"/>
    <cellStyle name="Comma 2 2 2 5 3 2" xfId="8122" xr:uid="{00000000-0005-0000-0000-0000ED010000}"/>
    <cellStyle name="Comma 2 2 2 5 3 2 2" xfId="17982" xr:uid="{00000000-0005-0000-0000-0000EE010000}"/>
    <cellStyle name="Comma 2 2 2 5 3 2 2 2" xfId="37697" xr:uid="{00000000-0005-0000-0000-0000EF010000}"/>
    <cellStyle name="Comma 2 2 2 5 3 2 3" xfId="27840" xr:uid="{00000000-0005-0000-0000-0000F0010000}"/>
    <cellStyle name="Comma 2 2 2 5 3 3" xfId="13054" xr:uid="{00000000-0005-0000-0000-0000F1010000}"/>
    <cellStyle name="Comma 2 2 2 5 3 3 2" xfId="32769" xr:uid="{00000000-0005-0000-0000-0000F2010000}"/>
    <cellStyle name="Comma 2 2 2 5 3 4" xfId="22912" xr:uid="{00000000-0005-0000-0000-0000F3010000}"/>
    <cellStyle name="Comma 2 2 2 5 4" xfId="5658" xr:uid="{00000000-0005-0000-0000-0000F4010000}"/>
    <cellStyle name="Comma 2 2 2 5 4 2" xfId="15518" xr:uid="{00000000-0005-0000-0000-0000F5010000}"/>
    <cellStyle name="Comma 2 2 2 5 4 2 2" xfId="35233" xr:uid="{00000000-0005-0000-0000-0000F6010000}"/>
    <cellStyle name="Comma 2 2 2 5 4 3" xfId="25376" xr:uid="{00000000-0005-0000-0000-0000F7010000}"/>
    <cellStyle name="Comma 2 2 2 5 5" xfId="10590" xr:uid="{00000000-0005-0000-0000-0000F8010000}"/>
    <cellStyle name="Comma 2 2 2 5 5 2" xfId="30305" xr:uid="{00000000-0005-0000-0000-0000F9010000}"/>
    <cellStyle name="Comma 2 2 2 5 6" xfId="20448" xr:uid="{00000000-0005-0000-0000-0000FA010000}"/>
    <cellStyle name="Comma 2 2 2 6" xfId="1339" xr:uid="{00000000-0005-0000-0000-0000FB010000}"/>
    <cellStyle name="Comma 2 2 2 6 2" xfId="3806" xr:uid="{00000000-0005-0000-0000-0000FC010000}"/>
    <cellStyle name="Comma 2 2 2 6 2 2" xfId="8738" xr:uid="{00000000-0005-0000-0000-0000FD010000}"/>
    <cellStyle name="Comma 2 2 2 6 2 2 2" xfId="18598" xr:uid="{00000000-0005-0000-0000-0000FE010000}"/>
    <cellStyle name="Comma 2 2 2 6 2 2 2 2" xfId="38313" xr:uid="{00000000-0005-0000-0000-0000FF010000}"/>
    <cellStyle name="Comma 2 2 2 6 2 2 3" xfId="28456" xr:uid="{00000000-0005-0000-0000-000000020000}"/>
    <cellStyle name="Comma 2 2 2 6 2 3" xfId="13670" xr:uid="{00000000-0005-0000-0000-000001020000}"/>
    <cellStyle name="Comma 2 2 2 6 2 3 2" xfId="33385" xr:uid="{00000000-0005-0000-0000-000002020000}"/>
    <cellStyle name="Comma 2 2 2 6 2 4" xfId="23528" xr:uid="{00000000-0005-0000-0000-000003020000}"/>
    <cellStyle name="Comma 2 2 2 6 3" xfId="6274" xr:uid="{00000000-0005-0000-0000-000004020000}"/>
    <cellStyle name="Comma 2 2 2 6 3 2" xfId="16134" xr:uid="{00000000-0005-0000-0000-000005020000}"/>
    <cellStyle name="Comma 2 2 2 6 3 2 2" xfId="35849" xr:uid="{00000000-0005-0000-0000-000006020000}"/>
    <cellStyle name="Comma 2 2 2 6 3 3" xfId="25992" xr:uid="{00000000-0005-0000-0000-000007020000}"/>
    <cellStyle name="Comma 2 2 2 6 4" xfId="11206" xr:uid="{00000000-0005-0000-0000-000008020000}"/>
    <cellStyle name="Comma 2 2 2 6 4 2" xfId="30921" xr:uid="{00000000-0005-0000-0000-000009020000}"/>
    <cellStyle name="Comma 2 2 2 6 5" xfId="21064" xr:uid="{00000000-0005-0000-0000-00000A020000}"/>
    <cellStyle name="Comma 2 2 2 7" xfId="2574" xr:uid="{00000000-0005-0000-0000-00000B020000}"/>
    <cellStyle name="Comma 2 2 2 7 2" xfId="7506" xr:uid="{00000000-0005-0000-0000-00000C020000}"/>
    <cellStyle name="Comma 2 2 2 7 2 2" xfId="17366" xr:uid="{00000000-0005-0000-0000-00000D020000}"/>
    <cellStyle name="Comma 2 2 2 7 2 2 2" xfId="37081" xr:uid="{00000000-0005-0000-0000-00000E020000}"/>
    <cellStyle name="Comma 2 2 2 7 2 3" xfId="27224" xr:uid="{00000000-0005-0000-0000-00000F020000}"/>
    <cellStyle name="Comma 2 2 2 7 3" xfId="12438" xr:uid="{00000000-0005-0000-0000-000010020000}"/>
    <cellStyle name="Comma 2 2 2 7 3 2" xfId="32153" xr:uid="{00000000-0005-0000-0000-000011020000}"/>
    <cellStyle name="Comma 2 2 2 7 4" xfId="22296" xr:uid="{00000000-0005-0000-0000-000012020000}"/>
    <cellStyle name="Comma 2 2 2 8" xfId="5042" xr:uid="{00000000-0005-0000-0000-000013020000}"/>
    <cellStyle name="Comma 2 2 2 8 2" xfId="14902" xr:uid="{00000000-0005-0000-0000-000014020000}"/>
    <cellStyle name="Comma 2 2 2 8 2 2" xfId="34617" xr:uid="{00000000-0005-0000-0000-000015020000}"/>
    <cellStyle name="Comma 2 2 2 8 3" xfId="24760" xr:uid="{00000000-0005-0000-0000-000016020000}"/>
    <cellStyle name="Comma 2 2 2 9" xfId="9974" xr:uid="{00000000-0005-0000-0000-000017020000}"/>
    <cellStyle name="Comma 2 2 2 9 2" xfId="29689" xr:uid="{00000000-0005-0000-0000-000018020000}"/>
    <cellStyle name="Comma 2 2 3" xfId="125" xr:uid="{00000000-0005-0000-0000-000019020000}"/>
    <cellStyle name="Comma 2 2 3 2" xfId="282" xr:uid="{00000000-0005-0000-0000-00001A020000}"/>
    <cellStyle name="Comma 2 2 3 2 2" xfId="596" xr:uid="{00000000-0005-0000-0000-00001B020000}"/>
    <cellStyle name="Comma 2 2 3 2 2 2" xfId="1216" xr:uid="{00000000-0005-0000-0000-00001C020000}"/>
    <cellStyle name="Comma 2 2 3 2 2 2 2" xfId="2451" xr:uid="{00000000-0005-0000-0000-00001D020000}"/>
    <cellStyle name="Comma 2 2 3 2 2 2 2 2" xfId="4918" xr:uid="{00000000-0005-0000-0000-00001E020000}"/>
    <cellStyle name="Comma 2 2 3 2 2 2 2 2 2" xfId="9850" xr:uid="{00000000-0005-0000-0000-00001F020000}"/>
    <cellStyle name="Comma 2 2 3 2 2 2 2 2 2 2" xfId="19710" xr:uid="{00000000-0005-0000-0000-000020020000}"/>
    <cellStyle name="Comma 2 2 3 2 2 2 2 2 2 2 2" xfId="39425" xr:uid="{00000000-0005-0000-0000-000021020000}"/>
    <cellStyle name="Comma 2 2 3 2 2 2 2 2 2 3" xfId="29568" xr:uid="{00000000-0005-0000-0000-000022020000}"/>
    <cellStyle name="Comma 2 2 3 2 2 2 2 2 3" xfId="14782" xr:uid="{00000000-0005-0000-0000-000023020000}"/>
    <cellStyle name="Comma 2 2 3 2 2 2 2 2 3 2" xfId="34497" xr:uid="{00000000-0005-0000-0000-000024020000}"/>
    <cellStyle name="Comma 2 2 3 2 2 2 2 2 4" xfId="24640" xr:uid="{00000000-0005-0000-0000-000025020000}"/>
    <cellStyle name="Comma 2 2 3 2 2 2 2 3" xfId="7386" xr:uid="{00000000-0005-0000-0000-000026020000}"/>
    <cellStyle name="Comma 2 2 3 2 2 2 2 3 2" xfId="17246" xr:uid="{00000000-0005-0000-0000-000027020000}"/>
    <cellStyle name="Comma 2 2 3 2 2 2 2 3 2 2" xfId="36961" xr:uid="{00000000-0005-0000-0000-000028020000}"/>
    <cellStyle name="Comma 2 2 3 2 2 2 2 3 3" xfId="27104" xr:uid="{00000000-0005-0000-0000-000029020000}"/>
    <cellStyle name="Comma 2 2 3 2 2 2 2 4" xfId="12318" xr:uid="{00000000-0005-0000-0000-00002A020000}"/>
    <cellStyle name="Comma 2 2 3 2 2 2 2 4 2" xfId="32033" xr:uid="{00000000-0005-0000-0000-00002B020000}"/>
    <cellStyle name="Comma 2 2 3 2 2 2 2 5" xfId="22176" xr:uid="{00000000-0005-0000-0000-00002C020000}"/>
    <cellStyle name="Comma 2 2 3 2 2 2 3" xfId="3686" xr:uid="{00000000-0005-0000-0000-00002D020000}"/>
    <cellStyle name="Comma 2 2 3 2 2 2 3 2" xfId="8618" xr:uid="{00000000-0005-0000-0000-00002E020000}"/>
    <cellStyle name="Comma 2 2 3 2 2 2 3 2 2" xfId="18478" xr:uid="{00000000-0005-0000-0000-00002F020000}"/>
    <cellStyle name="Comma 2 2 3 2 2 2 3 2 2 2" xfId="38193" xr:uid="{00000000-0005-0000-0000-000030020000}"/>
    <cellStyle name="Comma 2 2 3 2 2 2 3 2 3" xfId="28336" xr:uid="{00000000-0005-0000-0000-000031020000}"/>
    <cellStyle name="Comma 2 2 3 2 2 2 3 3" xfId="13550" xr:uid="{00000000-0005-0000-0000-000032020000}"/>
    <cellStyle name="Comma 2 2 3 2 2 2 3 3 2" xfId="33265" xr:uid="{00000000-0005-0000-0000-000033020000}"/>
    <cellStyle name="Comma 2 2 3 2 2 2 3 4" xfId="23408" xr:uid="{00000000-0005-0000-0000-000034020000}"/>
    <cellStyle name="Comma 2 2 3 2 2 2 4" xfId="6154" xr:uid="{00000000-0005-0000-0000-000035020000}"/>
    <cellStyle name="Comma 2 2 3 2 2 2 4 2" xfId="16014" xr:uid="{00000000-0005-0000-0000-000036020000}"/>
    <cellStyle name="Comma 2 2 3 2 2 2 4 2 2" xfId="35729" xr:uid="{00000000-0005-0000-0000-000037020000}"/>
    <cellStyle name="Comma 2 2 3 2 2 2 4 3" xfId="25872" xr:uid="{00000000-0005-0000-0000-000038020000}"/>
    <cellStyle name="Comma 2 2 3 2 2 2 5" xfId="11086" xr:uid="{00000000-0005-0000-0000-000039020000}"/>
    <cellStyle name="Comma 2 2 3 2 2 2 5 2" xfId="30801" xr:uid="{00000000-0005-0000-0000-00003A020000}"/>
    <cellStyle name="Comma 2 2 3 2 2 2 6" xfId="20944" xr:uid="{00000000-0005-0000-0000-00003B020000}"/>
    <cellStyle name="Comma 2 2 3 2 2 3" xfId="1835" xr:uid="{00000000-0005-0000-0000-00003C020000}"/>
    <cellStyle name="Comma 2 2 3 2 2 3 2" xfId="4302" xr:uid="{00000000-0005-0000-0000-00003D020000}"/>
    <cellStyle name="Comma 2 2 3 2 2 3 2 2" xfId="9234" xr:uid="{00000000-0005-0000-0000-00003E020000}"/>
    <cellStyle name="Comma 2 2 3 2 2 3 2 2 2" xfId="19094" xr:uid="{00000000-0005-0000-0000-00003F020000}"/>
    <cellStyle name="Comma 2 2 3 2 2 3 2 2 2 2" xfId="38809" xr:uid="{00000000-0005-0000-0000-000040020000}"/>
    <cellStyle name="Comma 2 2 3 2 2 3 2 2 3" xfId="28952" xr:uid="{00000000-0005-0000-0000-000041020000}"/>
    <cellStyle name="Comma 2 2 3 2 2 3 2 3" xfId="14166" xr:uid="{00000000-0005-0000-0000-000042020000}"/>
    <cellStyle name="Comma 2 2 3 2 2 3 2 3 2" xfId="33881" xr:uid="{00000000-0005-0000-0000-000043020000}"/>
    <cellStyle name="Comma 2 2 3 2 2 3 2 4" xfId="24024" xr:uid="{00000000-0005-0000-0000-000044020000}"/>
    <cellStyle name="Comma 2 2 3 2 2 3 3" xfId="6770" xr:uid="{00000000-0005-0000-0000-000045020000}"/>
    <cellStyle name="Comma 2 2 3 2 2 3 3 2" xfId="16630" xr:uid="{00000000-0005-0000-0000-000046020000}"/>
    <cellStyle name="Comma 2 2 3 2 2 3 3 2 2" xfId="36345" xr:uid="{00000000-0005-0000-0000-000047020000}"/>
    <cellStyle name="Comma 2 2 3 2 2 3 3 3" xfId="26488" xr:uid="{00000000-0005-0000-0000-000048020000}"/>
    <cellStyle name="Comma 2 2 3 2 2 3 4" xfId="11702" xr:uid="{00000000-0005-0000-0000-000049020000}"/>
    <cellStyle name="Comma 2 2 3 2 2 3 4 2" xfId="31417" xr:uid="{00000000-0005-0000-0000-00004A020000}"/>
    <cellStyle name="Comma 2 2 3 2 2 3 5" xfId="21560" xr:uid="{00000000-0005-0000-0000-00004B020000}"/>
    <cellStyle name="Comma 2 2 3 2 2 4" xfId="3070" xr:uid="{00000000-0005-0000-0000-00004C020000}"/>
    <cellStyle name="Comma 2 2 3 2 2 4 2" xfId="8002" xr:uid="{00000000-0005-0000-0000-00004D020000}"/>
    <cellStyle name="Comma 2 2 3 2 2 4 2 2" xfId="17862" xr:uid="{00000000-0005-0000-0000-00004E020000}"/>
    <cellStyle name="Comma 2 2 3 2 2 4 2 2 2" xfId="37577" xr:uid="{00000000-0005-0000-0000-00004F020000}"/>
    <cellStyle name="Comma 2 2 3 2 2 4 2 3" xfId="27720" xr:uid="{00000000-0005-0000-0000-000050020000}"/>
    <cellStyle name="Comma 2 2 3 2 2 4 3" xfId="12934" xr:uid="{00000000-0005-0000-0000-000051020000}"/>
    <cellStyle name="Comma 2 2 3 2 2 4 3 2" xfId="32649" xr:uid="{00000000-0005-0000-0000-000052020000}"/>
    <cellStyle name="Comma 2 2 3 2 2 4 4" xfId="22792" xr:uid="{00000000-0005-0000-0000-000053020000}"/>
    <cellStyle name="Comma 2 2 3 2 2 5" xfId="5538" xr:uid="{00000000-0005-0000-0000-000054020000}"/>
    <cellStyle name="Comma 2 2 3 2 2 5 2" xfId="15398" xr:uid="{00000000-0005-0000-0000-000055020000}"/>
    <cellStyle name="Comma 2 2 3 2 2 5 2 2" xfId="35113" xr:uid="{00000000-0005-0000-0000-000056020000}"/>
    <cellStyle name="Comma 2 2 3 2 2 5 3" xfId="25256" xr:uid="{00000000-0005-0000-0000-000057020000}"/>
    <cellStyle name="Comma 2 2 3 2 2 6" xfId="10470" xr:uid="{00000000-0005-0000-0000-000058020000}"/>
    <cellStyle name="Comma 2 2 3 2 2 6 2" xfId="30185" xr:uid="{00000000-0005-0000-0000-000059020000}"/>
    <cellStyle name="Comma 2 2 3 2 2 7" xfId="20328" xr:uid="{00000000-0005-0000-0000-00005A020000}"/>
    <cellStyle name="Comma 2 2 3 2 3" xfId="909" xr:uid="{00000000-0005-0000-0000-00005B020000}"/>
    <cellStyle name="Comma 2 2 3 2 3 2" xfId="2145" xr:uid="{00000000-0005-0000-0000-00005C020000}"/>
    <cellStyle name="Comma 2 2 3 2 3 2 2" xfId="4612" xr:uid="{00000000-0005-0000-0000-00005D020000}"/>
    <cellStyle name="Comma 2 2 3 2 3 2 2 2" xfId="9544" xr:uid="{00000000-0005-0000-0000-00005E020000}"/>
    <cellStyle name="Comma 2 2 3 2 3 2 2 2 2" xfId="19404" xr:uid="{00000000-0005-0000-0000-00005F020000}"/>
    <cellStyle name="Comma 2 2 3 2 3 2 2 2 2 2" xfId="39119" xr:uid="{00000000-0005-0000-0000-000060020000}"/>
    <cellStyle name="Comma 2 2 3 2 3 2 2 2 3" xfId="29262" xr:uid="{00000000-0005-0000-0000-000061020000}"/>
    <cellStyle name="Comma 2 2 3 2 3 2 2 3" xfId="14476" xr:uid="{00000000-0005-0000-0000-000062020000}"/>
    <cellStyle name="Comma 2 2 3 2 3 2 2 3 2" xfId="34191" xr:uid="{00000000-0005-0000-0000-000063020000}"/>
    <cellStyle name="Comma 2 2 3 2 3 2 2 4" xfId="24334" xr:uid="{00000000-0005-0000-0000-000064020000}"/>
    <cellStyle name="Comma 2 2 3 2 3 2 3" xfId="7080" xr:uid="{00000000-0005-0000-0000-000065020000}"/>
    <cellStyle name="Comma 2 2 3 2 3 2 3 2" xfId="16940" xr:uid="{00000000-0005-0000-0000-000066020000}"/>
    <cellStyle name="Comma 2 2 3 2 3 2 3 2 2" xfId="36655" xr:uid="{00000000-0005-0000-0000-000067020000}"/>
    <cellStyle name="Comma 2 2 3 2 3 2 3 3" xfId="26798" xr:uid="{00000000-0005-0000-0000-000068020000}"/>
    <cellStyle name="Comma 2 2 3 2 3 2 4" xfId="12012" xr:uid="{00000000-0005-0000-0000-000069020000}"/>
    <cellStyle name="Comma 2 2 3 2 3 2 4 2" xfId="31727" xr:uid="{00000000-0005-0000-0000-00006A020000}"/>
    <cellStyle name="Comma 2 2 3 2 3 2 5" xfId="21870" xr:uid="{00000000-0005-0000-0000-00006B020000}"/>
    <cellStyle name="Comma 2 2 3 2 3 3" xfId="3380" xr:uid="{00000000-0005-0000-0000-00006C020000}"/>
    <cellStyle name="Comma 2 2 3 2 3 3 2" xfId="8312" xr:uid="{00000000-0005-0000-0000-00006D020000}"/>
    <cellStyle name="Comma 2 2 3 2 3 3 2 2" xfId="18172" xr:uid="{00000000-0005-0000-0000-00006E020000}"/>
    <cellStyle name="Comma 2 2 3 2 3 3 2 2 2" xfId="37887" xr:uid="{00000000-0005-0000-0000-00006F020000}"/>
    <cellStyle name="Comma 2 2 3 2 3 3 2 3" xfId="28030" xr:uid="{00000000-0005-0000-0000-000070020000}"/>
    <cellStyle name="Comma 2 2 3 2 3 3 3" xfId="13244" xr:uid="{00000000-0005-0000-0000-000071020000}"/>
    <cellStyle name="Comma 2 2 3 2 3 3 3 2" xfId="32959" xr:uid="{00000000-0005-0000-0000-000072020000}"/>
    <cellStyle name="Comma 2 2 3 2 3 3 4" xfId="23102" xr:uid="{00000000-0005-0000-0000-000073020000}"/>
    <cellStyle name="Comma 2 2 3 2 3 4" xfId="5848" xr:uid="{00000000-0005-0000-0000-000074020000}"/>
    <cellStyle name="Comma 2 2 3 2 3 4 2" xfId="15708" xr:uid="{00000000-0005-0000-0000-000075020000}"/>
    <cellStyle name="Comma 2 2 3 2 3 4 2 2" xfId="35423" xr:uid="{00000000-0005-0000-0000-000076020000}"/>
    <cellStyle name="Comma 2 2 3 2 3 4 3" xfId="25566" xr:uid="{00000000-0005-0000-0000-000077020000}"/>
    <cellStyle name="Comma 2 2 3 2 3 5" xfId="10780" xr:uid="{00000000-0005-0000-0000-000078020000}"/>
    <cellStyle name="Comma 2 2 3 2 3 5 2" xfId="30495" xr:uid="{00000000-0005-0000-0000-000079020000}"/>
    <cellStyle name="Comma 2 2 3 2 3 6" xfId="20638" xr:uid="{00000000-0005-0000-0000-00007A020000}"/>
    <cellStyle name="Comma 2 2 3 2 4" xfId="1529" xr:uid="{00000000-0005-0000-0000-00007B020000}"/>
    <cellStyle name="Comma 2 2 3 2 4 2" xfId="3996" xr:uid="{00000000-0005-0000-0000-00007C020000}"/>
    <cellStyle name="Comma 2 2 3 2 4 2 2" xfId="8928" xr:uid="{00000000-0005-0000-0000-00007D020000}"/>
    <cellStyle name="Comma 2 2 3 2 4 2 2 2" xfId="18788" xr:uid="{00000000-0005-0000-0000-00007E020000}"/>
    <cellStyle name="Comma 2 2 3 2 4 2 2 2 2" xfId="38503" xr:uid="{00000000-0005-0000-0000-00007F020000}"/>
    <cellStyle name="Comma 2 2 3 2 4 2 2 3" xfId="28646" xr:uid="{00000000-0005-0000-0000-000080020000}"/>
    <cellStyle name="Comma 2 2 3 2 4 2 3" xfId="13860" xr:uid="{00000000-0005-0000-0000-000081020000}"/>
    <cellStyle name="Comma 2 2 3 2 4 2 3 2" xfId="33575" xr:uid="{00000000-0005-0000-0000-000082020000}"/>
    <cellStyle name="Comma 2 2 3 2 4 2 4" xfId="23718" xr:uid="{00000000-0005-0000-0000-000083020000}"/>
    <cellStyle name="Comma 2 2 3 2 4 3" xfId="6464" xr:uid="{00000000-0005-0000-0000-000084020000}"/>
    <cellStyle name="Comma 2 2 3 2 4 3 2" xfId="16324" xr:uid="{00000000-0005-0000-0000-000085020000}"/>
    <cellStyle name="Comma 2 2 3 2 4 3 2 2" xfId="36039" xr:uid="{00000000-0005-0000-0000-000086020000}"/>
    <cellStyle name="Comma 2 2 3 2 4 3 3" xfId="26182" xr:uid="{00000000-0005-0000-0000-000087020000}"/>
    <cellStyle name="Comma 2 2 3 2 4 4" xfId="11396" xr:uid="{00000000-0005-0000-0000-000088020000}"/>
    <cellStyle name="Comma 2 2 3 2 4 4 2" xfId="31111" xr:uid="{00000000-0005-0000-0000-000089020000}"/>
    <cellStyle name="Comma 2 2 3 2 4 5" xfId="21254" xr:uid="{00000000-0005-0000-0000-00008A020000}"/>
    <cellStyle name="Comma 2 2 3 2 5" xfId="2764" xr:uid="{00000000-0005-0000-0000-00008B020000}"/>
    <cellStyle name="Comma 2 2 3 2 5 2" xfId="7696" xr:uid="{00000000-0005-0000-0000-00008C020000}"/>
    <cellStyle name="Comma 2 2 3 2 5 2 2" xfId="17556" xr:uid="{00000000-0005-0000-0000-00008D020000}"/>
    <cellStyle name="Comma 2 2 3 2 5 2 2 2" xfId="37271" xr:uid="{00000000-0005-0000-0000-00008E020000}"/>
    <cellStyle name="Comma 2 2 3 2 5 2 3" xfId="27414" xr:uid="{00000000-0005-0000-0000-00008F020000}"/>
    <cellStyle name="Comma 2 2 3 2 5 3" xfId="12628" xr:uid="{00000000-0005-0000-0000-000090020000}"/>
    <cellStyle name="Comma 2 2 3 2 5 3 2" xfId="32343" xr:uid="{00000000-0005-0000-0000-000091020000}"/>
    <cellStyle name="Comma 2 2 3 2 5 4" xfId="22486" xr:uid="{00000000-0005-0000-0000-000092020000}"/>
    <cellStyle name="Comma 2 2 3 2 6" xfId="5232" xr:uid="{00000000-0005-0000-0000-000093020000}"/>
    <cellStyle name="Comma 2 2 3 2 6 2" xfId="15092" xr:uid="{00000000-0005-0000-0000-000094020000}"/>
    <cellStyle name="Comma 2 2 3 2 6 2 2" xfId="34807" xr:uid="{00000000-0005-0000-0000-000095020000}"/>
    <cellStyle name="Comma 2 2 3 2 6 3" xfId="24950" xr:uid="{00000000-0005-0000-0000-000096020000}"/>
    <cellStyle name="Comma 2 2 3 2 7" xfId="10164" xr:uid="{00000000-0005-0000-0000-000097020000}"/>
    <cellStyle name="Comma 2 2 3 2 7 2" xfId="29879" xr:uid="{00000000-0005-0000-0000-000098020000}"/>
    <cellStyle name="Comma 2 2 3 2 8" xfId="20022" xr:uid="{00000000-0005-0000-0000-000099020000}"/>
    <cellStyle name="Comma 2 2 3 3" xfId="444" xr:uid="{00000000-0005-0000-0000-00009A020000}"/>
    <cellStyle name="Comma 2 2 3 3 2" xfId="1064" xr:uid="{00000000-0005-0000-0000-00009B020000}"/>
    <cellStyle name="Comma 2 2 3 3 2 2" xfId="2299" xr:uid="{00000000-0005-0000-0000-00009C020000}"/>
    <cellStyle name="Comma 2 2 3 3 2 2 2" xfId="4766" xr:uid="{00000000-0005-0000-0000-00009D020000}"/>
    <cellStyle name="Comma 2 2 3 3 2 2 2 2" xfId="9698" xr:uid="{00000000-0005-0000-0000-00009E020000}"/>
    <cellStyle name="Comma 2 2 3 3 2 2 2 2 2" xfId="19558" xr:uid="{00000000-0005-0000-0000-00009F020000}"/>
    <cellStyle name="Comma 2 2 3 3 2 2 2 2 2 2" xfId="39273" xr:uid="{00000000-0005-0000-0000-0000A0020000}"/>
    <cellStyle name="Comma 2 2 3 3 2 2 2 2 3" xfId="29416" xr:uid="{00000000-0005-0000-0000-0000A1020000}"/>
    <cellStyle name="Comma 2 2 3 3 2 2 2 3" xfId="14630" xr:uid="{00000000-0005-0000-0000-0000A2020000}"/>
    <cellStyle name="Comma 2 2 3 3 2 2 2 3 2" xfId="34345" xr:uid="{00000000-0005-0000-0000-0000A3020000}"/>
    <cellStyle name="Comma 2 2 3 3 2 2 2 4" xfId="24488" xr:uid="{00000000-0005-0000-0000-0000A4020000}"/>
    <cellStyle name="Comma 2 2 3 3 2 2 3" xfId="7234" xr:uid="{00000000-0005-0000-0000-0000A5020000}"/>
    <cellStyle name="Comma 2 2 3 3 2 2 3 2" xfId="17094" xr:uid="{00000000-0005-0000-0000-0000A6020000}"/>
    <cellStyle name="Comma 2 2 3 3 2 2 3 2 2" xfId="36809" xr:uid="{00000000-0005-0000-0000-0000A7020000}"/>
    <cellStyle name="Comma 2 2 3 3 2 2 3 3" xfId="26952" xr:uid="{00000000-0005-0000-0000-0000A8020000}"/>
    <cellStyle name="Comma 2 2 3 3 2 2 4" xfId="12166" xr:uid="{00000000-0005-0000-0000-0000A9020000}"/>
    <cellStyle name="Comma 2 2 3 3 2 2 4 2" xfId="31881" xr:uid="{00000000-0005-0000-0000-0000AA020000}"/>
    <cellStyle name="Comma 2 2 3 3 2 2 5" xfId="22024" xr:uid="{00000000-0005-0000-0000-0000AB020000}"/>
    <cellStyle name="Comma 2 2 3 3 2 3" xfId="3534" xr:uid="{00000000-0005-0000-0000-0000AC020000}"/>
    <cellStyle name="Comma 2 2 3 3 2 3 2" xfId="8466" xr:uid="{00000000-0005-0000-0000-0000AD020000}"/>
    <cellStyle name="Comma 2 2 3 3 2 3 2 2" xfId="18326" xr:uid="{00000000-0005-0000-0000-0000AE020000}"/>
    <cellStyle name="Comma 2 2 3 3 2 3 2 2 2" xfId="38041" xr:uid="{00000000-0005-0000-0000-0000AF020000}"/>
    <cellStyle name="Comma 2 2 3 3 2 3 2 3" xfId="28184" xr:uid="{00000000-0005-0000-0000-0000B0020000}"/>
    <cellStyle name="Comma 2 2 3 3 2 3 3" xfId="13398" xr:uid="{00000000-0005-0000-0000-0000B1020000}"/>
    <cellStyle name="Comma 2 2 3 3 2 3 3 2" xfId="33113" xr:uid="{00000000-0005-0000-0000-0000B2020000}"/>
    <cellStyle name="Comma 2 2 3 3 2 3 4" xfId="23256" xr:uid="{00000000-0005-0000-0000-0000B3020000}"/>
    <cellStyle name="Comma 2 2 3 3 2 4" xfId="6002" xr:uid="{00000000-0005-0000-0000-0000B4020000}"/>
    <cellStyle name="Comma 2 2 3 3 2 4 2" xfId="15862" xr:uid="{00000000-0005-0000-0000-0000B5020000}"/>
    <cellStyle name="Comma 2 2 3 3 2 4 2 2" xfId="35577" xr:uid="{00000000-0005-0000-0000-0000B6020000}"/>
    <cellStyle name="Comma 2 2 3 3 2 4 3" xfId="25720" xr:uid="{00000000-0005-0000-0000-0000B7020000}"/>
    <cellStyle name="Comma 2 2 3 3 2 5" xfId="10934" xr:uid="{00000000-0005-0000-0000-0000B8020000}"/>
    <cellStyle name="Comma 2 2 3 3 2 5 2" xfId="30649" xr:uid="{00000000-0005-0000-0000-0000B9020000}"/>
    <cellStyle name="Comma 2 2 3 3 2 6" xfId="20792" xr:uid="{00000000-0005-0000-0000-0000BA020000}"/>
    <cellStyle name="Comma 2 2 3 3 3" xfId="1683" xr:uid="{00000000-0005-0000-0000-0000BB020000}"/>
    <cellStyle name="Comma 2 2 3 3 3 2" xfId="4150" xr:uid="{00000000-0005-0000-0000-0000BC020000}"/>
    <cellStyle name="Comma 2 2 3 3 3 2 2" xfId="9082" xr:uid="{00000000-0005-0000-0000-0000BD020000}"/>
    <cellStyle name="Comma 2 2 3 3 3 2 2 2" xfId="18942" xr:uid="{00000000-0005-0000-0000-0000BE020000}"/>
    <cellStyle name="Comma 2 2 3 3 3 2 2 2 2" xfId="38657" xr:uid="{00000000-0005-0000-0000-0000BF020000}"/>
    <cellStyle name="Comma 2 2 3 3 3 2 2 3" xfId="28800" xr:uid="{00000000-0005-0000-0000-0000C0020000}"/>
    <cellStyle name="Comma 2 2 3 3 3 2 3" xfId="14014" xr:uid="{00000000-0005-0000-0000-0000C1020000}"/>
    <cellStyle name="Comma 2 2 3 3 3 2 3 2" xfId="33729" xr:uid="{00000000-0005-0000-0000-0000C2020000}"/>
    <cellStyle name="Comma 2 2 3 3 3 2 4" xfId="23872" xr:uid="{00000000-0005-0000-0000-0000C3020000}"/>
    <cellStyle name="Comma 2 2 3 3 3 3" xfId="6618" xr:uid="{00000000-0005-0000-0000-0000C4020000}"/>
    <cellStyle name="Comma 2 2 3 3 3 3 2" xfId="16478" xr:uid="{00000000-0005-0000-0000-0000C5020000}"/>
    <cellStyle name="Comma 2 2 3 3 3 3 2 2" xfId="36193" xr:uid="{00000000-0005-0000-0000-0000C6020000}"/>
    <cellStyle name="Comma 2 2 3 3 3 3 3" xfId="26336" xr:uid="{00000000-0005-0000-0000-0000C7020000}"/>
    <cellStyle name="Comma 2 2 3 3 3 4" xfId="11550" xr:uid="{00000000-0005-0000-0000-0000C8020000}"/>
    <cellStyle name="Comma 2 2 3 3 3 4 2" xfId="31265" xr:uid="{00000000-0005-0000-0000-0000C9020000}"/>
    <cellStyle name="Comma 2 2 3 3 3 5" xfId="21408" xr:uid="{00000000-0005-0000-0000-0000CA020000}"/>
    <cellStyle name="Comma 2 2 3 3 4" xfId="2918" xr:uid="{00000000-0005-0000-0000-0000CB020000}"/>
    <cellStyle name="Comma 2 2 3 3 4 2" xfId="7850" xr:uid="{00000000-0005-0000-0000-0000CC020000}"/>
    <cellStyle name="Comma 2 2 3 3 4 2 2" xfId="17710" xr:uid="{00000000-0005-0000-0000-0000CD020000}"/>
    <cellStyle name="Comma 2 2 3 3 4 2 2 2" xfId="37425" xr:uid="{00000000-0005-0000-0000-0000CE020000}"/>
    <cellStyle name="Comma 2 2 3 3 4 2 3" xfId="27568" xr:uid="{00000000-0005-0000-0000-0000CF020000}"/>
    <cellStyle name="Comma 2 2 3 3 4 3" xfId="12782" xr:uid="{00000000-0005-0000-0000-0000D0020000}"/>
    <cellStyle name="Comma 2 2 3 3 4 3 2" xfId="32497" xr:uid="{00000000-0005-0000-0000-0000D1020000}"/>
    <cellStyle name="Comma 2 2 3 3 4 4" xfId="22640" xr:uid="{00000000-0005-0000-0000-0000D2020000}"/>
    <cellStyle name="Comma 2 2 3 3 5" xfId="5386" xr:uid="{00000000-0005-0000-0000-0000D3020000}"/>
    <cellStyle name="Comma 2 2 3 3 5 2" xfId="15246" xr:uid="{00000000-0005-0000-0000-0000D4020000}"/>
    <cellStyle name="Comma 2 2 3 3 5 2 2" xfId="34961" xr:uid="{00000000-0005-0000-0000-0000D5020000}"/>
    <cellStyle name="Comma 2 2 3 3 5 3" xfId="25104" xr:uid="{00000000-0005-0000-0000-0000D6020000}"/>
    <cellStyle name="Comma 2 2 3 3 6" xfId="10318" xr:uid="{00000000-0005-0000-0000-0000D7020000}"/>
    <cellStyle name="Comma 2 2 3 3 6 2" xfId="30033" xr:uid="{00000000-0005-0000-0000-0000D8020000}"/>
    <cellStyle name="Comma 2 2 3 3 7" xfId="20176" xr:uid="{00000000-0005-0000-0000-0000D9020000}"/>
    <cellStyle name="Comma 2 2 3 4" xfId="757" xr:uid="{00000000-0005-0000-0000-0000DA020000}"/>
    <cellStyle name="Comma 2 2 3 4 2" xfId="1993" xr:uid="{00000000-0005-0000-0000-0000DB020000}"/>
    <cellStyle name="Comma 2 2 3 4 2 2" xfId="4460" xr:uid="{00000000-0005-0000-0000-0000DC020000}"/>
    <cellStyle name="Comma 2 2 3 4 2 2 2" xfId="9392" xr:uid="{00000000-0005-0000-0000-0000DD020000}"/>
    <cellStyle name="Comma 2 2 3 4 2 2 2 2" xfId="19252" xr:uid="{00000000-0005-0000-0000-0000DE020000}"/>
    <cellStyle name="Comma 2 2 3 4 2 2 2 2 2" xfId="38967" xr:uid="{00000000-0005-0000-0000-0000DF020000}"/>
    <cellStyle name="Comma 2 2 3 4 2 2 2 3" xfId="29110" xr:uid="{00000000-0005-0000-0000-0000E0020000}"/>
    <cellStyle name="Comma 2 2 3 4 2 2 3" xfId="14324" xr:uid="{00000000-0005-0000-0000-0000E1020000}"/>
    <cellStyle name="Comma 2 2 3 4 2 2 3 2" xfId="34039" xr:uid="{00000000-0005-0000-0000-0000E2020000}"/>
    <cellStyle name="Comma 2 2 3 4 2 2 4" xfId="24182" xr:uid="{00000000-0005-0000-0000-0000E3020000}"/>
    <cellStyle name="Comma 2 2 3 4 2 3" xfId="6928" xr:uid="{00000000-0005-0000-0000-0000E4020000}"/>
    <cellStyle name="Comma 2 2 3 4 2 3 2" xfId="16788" xr:uid="{00000000-0005-0000-0000-0000E5020000}"/>
    <cellStyle name="Comma 2 2 3 4 2 3 2 2" xfId="36503" xr:uid="{00000000-0005-0000-0000-0000E6020000}"/>
    <cellStyle name="Comma 2 2 3 4 2 3 3" xfId="26646" xr:uid="{00000000-0005-0000-0000-0000E7020000}"/>
    <cellStyle name="Comma 2 2 3 4 2 4" xfId="11860" xr:uid="{00000000-0005-0000-0000-0000E8020000}"/>
    <cellStyle name="Comma 2 2 3 4 2 4 2" xfId="31575" xr:uid="{00000000-0005-0000-0000-0000E9020000}"/>
    <cellStyle name="Comma 2 2 3 4 2 5" xfId="21718" xr:uid="{00000000-0005-0000-0000-0000EA020000}"/>
    <cellStyle name="Comma 2 2 3 4 3" xfId="3228" xr:uid="{00000000-0005-0000-0000-0000EB020000}"/>
    <cellStyle name="Comma 2 2 3 4 3 2" xfId="8160" xr:uid="{00000000-0005-0000-0000-0000EC020000}"/>
    <cellStyle name="Comma 2 2 3 4 3 2 2" xfId="18020" xr:uid="{00000000-0005-0000-0000-0000ED020000}"/>
    <cellStyle name="Comma 2 2 3 4 3 2 2 2" xfId="37735" xr:uid="{00000000-0005-0000-0000-0000EE020000}"/>
    <cellStyle name="Comma 2 2 3 4 3 2 3" xfId="27878" xr:uid="{00000000-0005-0000-0000-0000EF020000}"/>
    <cellStyle name="Comma 2 2 3 4 3 3" xfId="13092" xr:uid="{00000000-0005-0000-0000-0000F0020000}"/>
    <cellStyle name="Comma 2 2 3 4 3 3 2" xfId="32807" xr:uid="{00000000-0005-0000-0000-0000F1020000}"/>
    <cellStyle name="Comma 2 2 3 4 3 4" xfId="22950" xr:uid="{00000000-0005-0000-0000-0000F2020000}"/>
    <cellStyle name="Comma 2 2 3 4 4" xfId="5696" xr:uid="{00000000-0005-0000-0000-0000F3020000}"/>
    <cellStyle name="Comma 2 2 3 4 4 2" xfId="15556" xr:uid="{00000000-0005-0000-0000-0000F4020000}"/>
    <cellStyle name="Comma 2 2 3 4 4 2 2" xfId="35271" xr:uid="{00000000-0005-0000-0000-0000F5020000}"/>
    <cellStyle name="Comma 2 2 3 4 4 3" xfId="25414" xr:uid="{00000000-0005-0000-0000-0000F6020000}"/>
    <cellStyle name="Comma 2 2 3 4 5" xfId="10628" xr:uid="{00000000-0005-0000-0000-0000F7020000}"/>
    <cellStyle name="Comma 2 2 3 4 5 2" xfId="30343" xr:uid="{00000000-0005-0000-0000-0000F8020000}"/>
    <cellStyle name="Comma 2 2 3 4 6" xfId="20486" xr:uid="{00000000-0005-0000-0000-0000F9020000}"/>
    <cellStyle name="Comma 2 2 3 5" xfId="1377" xr:uid="{00000000-0005-0000-0000-0000FA020000}"/>
    <cellStyle name="Comma 2 2 3 5 2" xfId="3844" xr:uid="{00000000-0005-0000-0000-0000FB020000}"/>
    <cellStyle name="Comma 2 2 3 5 2 2" xfId="8776" xr:uid="{00000000-0005-0000-0000-0000FC020000}"/>
    <cellStyle name="Comma 2 2 3 5 2 2 2" xfId="18636" xr:uid="{00000000-0005-0000-0000-0000FD020000}"/>
    <cellStyle name="Comma 2 2 3 5 2 2 2 2" xfId="38351" xr:uid="{00000000-0005-0000-0000-0000FE020000}"/>
    <cellStyle name="Comma 2 2 3 5 2 2 3" xfId="28494" xr:uid="{00000000-0005-0000-0000-0000FF020000}"/>
    <cellStyle name="Comma 2 2 3 5 2 3" xfId="13708" xr:uid="{00000000-0005-0000-0000-000000030000}"/>
    <cellStyle name="Comma 2 2 3 5 2 3 2" xfId="33423" xr:uid="{00000000-0005-0000-0000-000001030000}"/>
    <cellStyle name="Comma 2 2 3 5 2 4" xfId="23566" xr:uid="{00000000-0005-0000-0000-000002030000}"/>
    <cellStyle name="Comma 2 2 3 5 3" xfId="6312" xr:uid="{00000000-0005-0000-0000-000003030000}"/>
    <cellStyle name="Comma 2 2 3 5 3 2" xfId="16172" xr:uid="{00000000-0005-0000-0000-000004030000}"/>
    <cellStyle name="Comma 2 2 3 5 3 2 2" xfId="35887" xr:uid="{00000000-0005-0000-0000-000005030000}"/>
    <cellStyle name="Comma 2 2 3 5 3 3" xfId="26030" xr:uid="{00000000-0005-0000-0000-000006030000}"/>
    <cellStyle name="Comma 2 2 3 5 4" xfId="11244" xr:uid="{00000000-0005-0000-0000-000007030000}"/>
    <cellStyle name="Comma 2 2 3 5 4 2" xfId="30959" xr:uid="{00000000-0005-0000-0000-000008030000}"/>
    <cellStyle name="Comma 2 2 3 5 5" xfId="21102" xr:uid="{00000000-0005-0000-0000-000009030000}"/>
    <cellStyle name="Comma 2 2 3 6" xfId="2612" xr:uid="{00000000-0005-0000-0000-00000A030000}"/>
    <cellStyle name="Comma 2 2 3 6 2" xfId="7544" xr:uid="{00000000-0005-0000-0000-00000B030000}"/>
    <cellStyle name="Comma 2 2 3 6 2 2" xfId="17404" xr:uid="{00000000-0005-0000-0000-00000C030000}"/>
    <cellStyle name="Comma 2 2 3 6 2 2 2" xfId="37119" xr:uid="{00000000-0005-0000-0000-00000D030000}"/>
    <cellStyle name="Comma 2 2 3 6 2 3" xfId="27262" xr:uid="{00000000-0005-0000-0000-00000E030000}"/>
    <cellStyle name="Comma 2 2 3 6 3" xfId="12476" xr:uid="{00000000-0005-0000-0000-00000F030000}"/>
    <cellStyle name="Comma 2 2 3 6 3 2" xfId="32191" xr:uid="{00000000-0005-0000-0000-000010030000}"/>
    <cellStyle name="Comma 2 2 3 6 4" xfId="22334" xr:uid="{00000000-0005-0000-0000-000011030000}"/>
    <cellStyle name="Comma 2 2 3 7" xfId="5080" xr:uid="{00000000-0005-0000-0000-000012030000}"/>
    <cellStyle name="Comma 2 2 3 7 2" xfId="14940" xr:uid="{00000000-0005-0000-0000-000013030000}"/>
    <cellStyle name="Comma 2 2 3 7 2 2" xfId="34655" xr:uid="{00000000-0005-0000-0000-000014030000}"/>
    <cellStyle name="Comma 2 2 3 7 3" xfId="24798" xr:uid="{00000000-0005-0000-0000-000015030000}"/>
    <cellStyle name="Comma 2 2 3 8" xfId="10012" xr:uid="{00000000-0005-0000-0000-000016030000}"/>
    <cellStyle name="Comma 2 2 3 8 2" xfId="29727" xr:uid="{00000000-0005-0000-0000-000017030000}"/>
    <cellStyle name="Comma 2 2 3 9" xfId="19870" xr:uid="{00000000-0005-0000-0000-000018030000}"/>
    <cellStyle name="Comma 2 2 4" xfId="206" xr:uid="{00000000-0005-0000-0000-000019030000}"/>
    <cellStyle name="Comma 2 2 4 2" xfId="520" xr:uid="{00000000-0005-0000-0000-00001A030000}"/>
    <cellStyle name="Comma 2 2 4 2 2" xfId="1140" xr:uid="{00000000-0005-0000-0000-00001B030000}"/>
    <cellStyle name="Comma 2 2 4 2 2 2" xfId="2375" xr:uid="{00000000-0005-0000-0000-00001C030000}"/>
    <cellStyle name="Comma 2 2 4 2 2 2 2" xfId="4842" xr:uid="{00000000-0005-0000-0000-00001D030000}"/>
    <cellStyle name="Comma 2 2 4 2 2 2 2 2" xfId="9774" xr:uid="{00000000-0005-0000-0000-00001E030000}"/>
    <cellStyle name="Comma 2 2 4 2 2 2 2 2 2" xfId="19634" xr:uid="{00000000-0005-0000-0000-00001F030000}"/>
    <cellStyle name="Comma 2 2 4 2 2 2 2 2 2 2" xfId="39349" xr:uid="{00000000-0005-0000-0000-000020030000}"/>
    <cellStyle name="Comma 2 2 4 2 2 2 2 2 3" xfId="29492" xr:uid="{00000000-0005-0000-0000-000021030000}"/>
    <cellStyle name="Comma 2 2 4 2 2 2 2 3" xfId="14706" xr:uid="{00000000-0005-0000-0000-000022030000}"/>
    <cellStyle name="Comma 2 2 4 2 2 2 2 3 2" xfId="34421" xr:uid="{00000000-0005-0000-0000-000023030000}"/>
    <cellStyle name="Comma 2 2 4 2 2 2 2 4" xfId="24564" xr:uid="{00000000-0005-0000-0000-000024030000}"/>
    <cellStyle name="Comma 2 2 4 2 2 2 3" xfId="7310" xr:uid="{00000000-0005-0000-0000-000025030000}"/>
    <cellStyle name="Comma 2 2 4 2 2 2 3 2" xfId="17170" xr:uid="{00000000-0005-0000-0000-000026030000}"/>
    <cellStyle name="Comma 2 2 4 2 2 2 3 2 2" xfId="36885" xr:uid="{00000000-0005-0000-0000-000027030000}"/>
    <cellStyle name="Comma 2 2 4 2 2 2 3 3" xfId="27028" xr:uid="{00000000-0005-0000-0000-000028030000}"/>
    <cellStyle name="Comma 2 2 4 2 2 2 4" xfId="12242" xr:uid="{00000000-0005-0000-0000-000029030000}"/>
    <cellStyle name="Comma 2 2 4 2 2 2 4 2" xfId="31957" xr:uid="{00000000-0005-0000-0000-00002A030000}"/>
    <cellStyle name="Comma 2 2 4 2 2 2 5" xfId="22100" xr:uid="{00000000-0005-0000-0000-00002B030000}"/>
    <cellStyle name="Comma 2 2 4 2 2 3" xfId="3610" xr:uid="{00000000-0005-0000-0000-00002C030000}"/>
    <cellStyle name="Comma 2 2 4 2 2 3 2" xfId="8542" xr:uid="{00000000-0005-0000-0000-00002D030000}"/>
    <cellStyle name="Comma 2 2 4 2 2 3 2 2" xfId="18402" xr:uid="{00000000-0005-0000-0000-00002E030000}"/>
    <cellStyle name="Comma 2 2 4 2 2 3 2 2 2" xfId="38117" xr:uid="{00000000-0005-0000-0000-00002F030000}"/>
    <cellStyle name="Comma 2 2 4 2 2 3 2 3" xfId="28260" xr:uid="{00000000-0005-0000-0000-000030030000}"/>
    <cellStyle name="Comma 2 2 4 2 2 3 3" xfId="13474" xr:uid="{00000000-0005-0000-0000-000031030000}"/>
    <cellStyle name="Comma 2 2 4 2 2 3 3 2" xfId="33189" xr:uid="{00000000-0005-0000-0000-000032030000}"/>
    <cellStyle name="Comma 2 2 4 2 2 3 4" xfId="23332" xr:uid="{00000000-0005-0000-0000-000033030000}"/>
    <cellStyle name="Comma 2 2 4 2 2 4" xfId="6078" xr:uid="{00000000-0005-0000-0000-000034030000}"/>
    <cellStyle name="Comma 2 2 4 2 2 4 2" xfId="15938" xr:uid="{00000000-0005-0000-0000-000035030000}"/>
    <cellStyle name="Comma 2 2 4 2 2 4 2 2" xfId="35653" xr:uid="{00000000-0005-0000-0000-000036030000}"/>
    <cellStyle name="Comma 2 2 4 2 2 4 3" xfId="25796" xr:uid="{00000000-0005-0000-0000-000037030000}"/>
    <cellStyle name="Comma 2 2 4 2 2 5" xfId="11010" xr:uid="{00000000-0005-0000-0000-000038030000}"/>
    <cellStyle name="Comma 2 2 4 2 2 5 2" xfId="30725" xr:uid="{00000000-0005-0000-0000-000039030000}"/>
    <cellStyle name="Comma 2 2 4 2 2 6" xfId="20868" xr:uid="{00000000-0005-0000-0000-00003A030000}"/>
    <cellStyle name="Comma 2 2 4 2 3" xfId="1759" xr:uid="{00000000-0005-0000-0000-00003B030000}"/>
    <cellStyle name="Comma 2 2 4 2 3 2" xfId="4226" xr:uid="{00000000-0005-0000-0000-00003C030000}"/>
    <cellStyle name="Comma 2 2 4 2 3 2 2" xfId="9158" xr:uid="{00000000-0005-0000-0000-00003D030000}"/>
    <cellStyle name="Comma 2 2 4 2 3 2 2 2" xfId="19018" xr:uid="{00000000-0005-0000-0000-00003E030000}"/>
    <cellStyle name="Comma 2 2 4 2 3 2 2 2 2" xfId="38733" xr:uid="{00000000-0005-0000-0000-00003F030000}"/>
    <cellStyle name="Comma 2 2 4 2 3 2 2 3" xfId="28876" xr:uid="{00000000-0005-0000-0000-000040030000}"/>
    <cellStyle name="Comma 2 2 4 2 3 2 3" xfId="14090" xr:uid="{00000000-0005-0000-0000-000041030000}"/>
    <cellStyle name="Comma 2 2 4 2 3 2 3 2" xfId="33805" xr:uid="{00000000-0005-0000-0000-000042030000}"/>
    <cellStyle name="Comma 2 2 4 2 3 2 4" xfId="23948" xr:uid="{00000000-0005-0000-0000-000043030000}"/>
    <cellStyle name="Comma 2 2 4 2 3 3" xfId="6694" xr:uid="{00000000-0005-0000-0000-000044030000}"/>
    <cellStyle name="Comma 2 2 4 2 3 3 2" xfId="16554" xr:uid="{00000000-0005-0000-0000-000045030000}"/>
    <cellStyle name="Comma 2 2 4 2 3 3 2 2" xfId="36269" xr:uid="{00000000-0005-0000-0000-000046030000}"/>
    <cellStyle name="Comma 2 2 4 2 3 3 3" xfId="26412" xr:uid="{00000000-0005-0000-0000-000047030000}"/>
    <cellStyle name="Comma 2 2 4 2 3 4" xfId="11626" xr:uid="{00000000-0005-0000-0000-000048030000}"/>
    <cellStyle name="Comma 2 2 4 2 3 4 2" xfId="31341" xr:uid="{00000000-0005-0000-0000-000049030000}"/>
    <cellStyle name="Comma 2 2 4 2 3 5" xfId="21484" xr:uid="{00000000-0005-0000-0000-00004A030000}"/>
    <cellStyle name="Comma 2 2 4 2 4" xfId="2994" xr:uid="{00000000-0005-0000-0000-00004B030000}"/>
    <cellStyle name="Comma 2 2 4 2 4 2" xfId="7926" xr:uid="{00000000-0005-0000-0000-00004C030000}"/>
    <cellStyle name="Comma 2 2 4 2 4 2 2" xfId="17786" xr:uid="{00000000-0005-0000-0000-00004D030000}"/>
    <cellStyle name="Comma 2 2 4 2 4 2 2 2" xfId="37501" xr:uid="{00000000-0005-0000-0000-00004E030000}"/>
    <cellStyle name="Comma 2 2 4 2 4 2 3" xfId="27644" xr:uid="{00000000-0005-0000-0000-00004F030000}"/>
    <cellStyle name="Comma 2 2 4 2 4 3" xfId="12858" xr:uid="{00000000-0005-0000-0000-000050030000}"/>
    <cellStyle name="Comma 2 2 4 2 4 3 2" xfId="32573" xr:uid="{00000000-0005-0000-0000-000051030000}"/>
    <cellStyle name="Comma 2 2 4 2 4 4" xfId="22716" xr:uid="{00000000-0005-0000-0000-000052030000}"/>
    <cellStyle name="Comma 2 2 4 2 5" xfId="5462" xr:uid="{00000000-0005-0000-0000-000053030000}"/>
    <cellStyle name="Comma 2 2 4 2 5 2" xfId="15322" xr:uid="{00000000-0005-0000-0000-000054030000}"/>
    <cellStyle name="Comma 2 2 4 2 5 2 2" xfId="35037" xr:uid="{00000000-0005-0000-0000-000055030000}"/>
    <cellStyle name="Comma 2 2 4 2 5 3" xfId="25180" xr:uid="{00000000-0005-0000-0000-000056030000}"/>
    <cellStyle name="Comma 2 2 4 2 6" xfId="10394" xr:uid="{00000000-0005-0000-0000-000057030000}"/>
    <cellStyle name="Comma 2 2 4 2 6 2" xfId="30109" xr:uid="{00000000-0005-0000-0000-000058030000}"/>
    <cellStyle name="Comma 2 2 4 2 7" xfId="20252" xr:uid="{00000000-0005-0000-0000-000059030000}"/>
    <cellStyle name="Comma 2 2 4 3" xfId="833" xr:uid="{00000000-0005-0000-0000-00005A030000}"/>
    <cellStyle name="Comma 2 2 4 3 2" xfId="2069" xr:uid="{00000000-0005-0000-0000-00005B030000}"/>
    <cellStyle name="Comma 2 2 4 3 2 2" xfId="4536" xr:uid="{00000000-0005-0000-0000-00005C030000}"/>
    <cellStyle name="Comma 2 2 4 3 2 2 2" xfId="9468" xr:uid="{00000000-0005-0000-0000-00005D030000}"/>
    <cellStyle name="Comma 2 2 4 3 2 2 2 2" xfId="19328" xr:uid="{00000000-0005-0000-0000-00005E030000}"/>
    <cellStyle name="Comma 2 2 4 3 2 2 2 2 2" xfId="39043" xr:uid="{00000000-0005-0000-0000-00005F030000}"/>
    <cellStyle name="Comma 2 2 4 3 2 2 2 3" xfId="29186" xr:uid="{00000000-0005-0000-0000-000060030000}"/>
    <cellStyle name="Comma 2 2 4 3 2 2 3" xfId="14400" xr:uid="{00000000-0005-0000-0000-000061030000}"/>
    <cellStyle name="Comma 2 2 4 3 2 2 3 2" xfId="34115" xr:uid="{00000000-0005-0000-0000-000062030000}"/>
    <cellStyle name="Comma 2 2 4 3 2 2 4" xfId="24258" xr:uid="{00000000-0005-0000-0000-000063030000}"/>
    <cellStyle name="Comma 2 2 4 3 2 3" xfId="7004" xr:uid="{00000000-0005-0000-0000-000064030000}"/>
    <cellStyle name="Comma 2 2 4 3 2 3 2" xfId="16864" xr:uid="{00000000-0005-0000-0000-000065030000}"/>
    <cellStyle name="Comma 2 2 4 3 2 3 2 2" xfId="36579" xr:uid="{00000000-0005-0000-0000-000066030000}"/>
    <cellStyle name="Comma 2 2 4 3 2 3 3" xfId="26722" xr:uid="{00000000-0005-0000-0000-000067030000}"/>
    <cellStyle name="Comma 2 2 4 3 2 4" xfId="11936" xr:uid="{00000000-0005-0000-0000-000068030000}"/>
    <cellStyle name="Comma 2 2 4 3 2 4 2" xfId="31651" xr:uid="{00000000-0005-0000-0000-000069030000}"/>
    <cellStyle name="Comma 2 2 4 3 2 5" xfId="21794" xr:uid="{00000000-0005-0000-0000-00006A030000}"/>
    <cellStyle name="Comma 2 2 4 3 3" xfId="3304" xr:uid="{00000000-0005-0000-0000-00006B030000}"/>
    <cellStyle name="Comma 2 2 4 3 3 2" xfId="8236" xr:uid="{00000000-0005-0000-0000-00006C030000}"/>
    <cellStyle name="Comma 2 2 4 3 3 2 2" xfId="18096" xr:uid="{00000000-0005-0000-0000-00006D030000}"/>
    <cellStyle name="Comma 2 2 4 3 3 2 2 2" xfId="37811" xr:uid="{00000000-0005-0000-0000-00006E030000}"/>
    <cellStyle name="Comma 2 2 4 3 3 2 3" xfId="27954" xr:uid="{00000000-0005-0000-0000-00006F030000}"/>
    <cellStyle name="Comma 2 2 4 3 3 3" xfId="13168" xr:uid="{00000000-0005-0000-0000-000070030000}"/>
    <cellStyle name="Comma 2 2 4 3 3 3 2" xfId="32883" xr:uid="{00000000-0005-0000-0000-000071030000}"/>
    <cellStyle name="Comma 2 2 4 3 3 4" xfId="23026" xr:uid="{00000000-0005-0000-0000-000072030000}"/>
    <cellStyle name="Comma 2 2 4 3 4" xfId="5772" xr:uid="{00000000-0005-0000-0000-000073030000}"/>
    <cellStyle name="Comma 2 2 4 3 4 2" xfId="15632" xr:uid="{00000000-0005-0000-0000-000074030000}"/>
    <cellStyle name="Comma 2 2 4 3 4 2 2" xfId="35347" xr:uid="{00000000-0005-0000-0000-000075030000}"/>
    <cellStyle name="Comma 2 2 4 3 4 3" xfId="25490" xr:uid="{00000000-0005-0000-0000-000076030000}"/>
    <cellStyle name="Comma 2 2 4 3 5" xfId="10704" xr:uid="{00000000-0005-0000-0000-000077030000}"/>
    <cellStyle name="Comma 2 2 4 3 5 2" xfId="30419" xr:uid="{00000000-0005-0000-0000-000078030000}"/>
    <cellStyle name="Comma 2 2 4 3 6" xfId="20562" xr:uid="{00000000-0005-0000-0000-000079030000}"/>
    <cellStyle name="Comma 2 2 4 4" xfId="1453" xr:uid="{00000000-0005-0000-0000-00007A030000}"/>
    <cellStyle name="Comma 2 2 4 4 2" xfId="3920" xr:uid="{00000000-0005-0000-0000-00007B030000}"/>
    <cellStyle name="Comma 2 2 4 4 2 2" xfId="8852" xr:uid="{00000000-0005-0000-0000-00007C030000}"/>
    <cellStyle name="Comma 2 2 4 4 2 2 2" xfId="18712" xr:uid="{00000000-0005-0000-0000-00007D030000}"/>
    <cellStyle name="Comma 2 2 4 4 2 2 2 2" xfId="38427" xr:uid="{00000000-0005-0000-0000-00007E030000}"/>
    <cellStyle name="Comma 2 2 4 4 2 2 3" xfId="28570" xr:uid="{00000000-0005-0000-0000-00007F030000}"/>
    <cellStyle name="Comma 2 2 4 4 2 3" xfId="13784" xr:uid="{00000000-0005-0000-0000-000080030000}"/>
    <cellStyle name="Comma 2 2 4 4 2 3 2" xfId="33499" xr:uid="{00000000-0005-0000-0000-000081030000}"/>
    <cellStyle name="Comma 2 2 4 4 2 4" xfId="23642" xr:uid="{00000000-0005-0000-0000-000082030000}"/>
    <cellStyle name="Comma 2 2 4 4 3" xfId="6388" xr:uid="{00000000-0005-0000-0000-000083030000}"/>
    <cellStyle name="Comma 2 2 4 4 3 2" xfId="16248" xr:uid="{00000000-0005-0000-0000-000084030000}"/>
    <cellStyle name="Comma 2 2 4 4 3 2 2" xfId="35963" xr:uid="{00000000-0005-0000-0000-000085030000}"/>
    <cellStyle name="Comma 2 2 4 4 3 3" xfId="26106" xr:uid="{00000000-0005-0000-0000-000086030000}"/>
    <cellStyle name="Comma 2 2 4 4 4" xfId="11320" xr:uid="{00000000-0005-0000-0000-000087030000}"/>
    <cellStyle name="Comma 2 2 4 4 4 2" xfId="31035" xr:uid="{00000000-0005-0000-0000-000088030000}"/>
    <cellStyle name="Comma 2 2 4 4 5" xfId="21178" xr:uid="{00000000-0005-0000-0000-000089030000}"/>
    <cellStyle name="Comma 2 2 4 5" xfId="2688" xr:uid="{00000000-0005-0000-0000-00008A030000}"/>
    <cellStyle name="Comma 2 2 4 5 2" xfId="7620" xr:uid="{00000000-0005-0000-0000-00008B030000}"/>
    <cellStyle name="Comma 2 2 4 5 2 2" xfId="17480" xr:uid="{00000000-0005-0000-0000-00008C030000}"/>
    <cellStyle name="Comma 2 2 4 5 2 2 2" xfId="37195" xr:uid="{00000000-0005-0000-0000-00008D030000}"/>
    <cellStyle name="Comma 2 2 4 5 2 3" xfId="27338" xr:uid="{00000000-0005-0000-0000-00008E030000}"/>
    <cellStyle name="Comma 2 2 4 5 3" xfId="12552" xr:uid="{00000000-0005-0000-0000-00008F030000}"/>
    <cellStyle name="Comma 2 2 4 5 3 2" xfId="32267" xr:uid="{00000000-0005-0000-0000-000090030000}"/>
    <cellStyle name="Comma 2 2 4 5 4" xfId="22410" xr:uid="{00000000-0005-0000-0000-000091030000}"/>
    <cellStyle name="Comma 2 2 4 6" xfId="5156" xr:uid="{00000000-0005-0000-0000-000092030000}"/>
    <cellStyle name="Comma 2 2 4 6 2" xfId="15016" xr:uid="{00000000-0005-0000-0000-000093030000}"/>
    <cellStyle name="Comma 2 2 4 6 2 2" xfId="34731" xr:uid="{00000000-0005-0000-0000-000094030000}"/>
    <cellStyle name="Comma 2 2 4 6 3" xfId="24874" xr:uid="{00000000-0005-0000-0000-000095030000}"/>
    <cellStyle name="Comma 2 2 4 7" xfId="10088" xr:uid="{00000000-0005-0000-0000-000096030000}"/>
    <cellStyle name="Comma 2 2 4 7 2" xfId="29803" xr:uid="{00000000-0005-0000-0000-000097030000}"/>
    <cellStyle name="Comma 2 2 4 8" xfId="19946" xr:uid="{00000000-0005-0000-0000-000098030000}"/>
    <cellStyle name="Comma 2 2 5" xfId="368" xr:uid="{00000000-0005-0000-0000-000099030000}"/>
    <cellStyle name="Comma 2 2 5 2" xfId="988" xr:uid="{00000000-0005-0000-0000-00009A030000}"/>
    <cellStyle name="Comma 2 2 5 2 2" xfId="2223" xr:uid="{00000000-0005-0000-0000-00009B030000}"/>
    <cellStyle name="Comma 2 2 5 2 2 2" xfId="4690" xr:uid="{00000000-0005-0000-0000-00009C030000}"/>
    <cellStyle name="Comma 2 2 5 2 2 2 2" xfId="9622" xr:uid="{00000000-0005-0000-0000-00009D030000}"/>
    <cellStyle name="Comma 2 2 5 2 2 2 2 2" xfId="19482" xr:uid="{00000000-0005-0000-0000-00009E030000}"/>
    <cellStyle name="Comma 2 2 5 2 2 2 2 2 2" xfId="39197" xr:uid="{00000000-0005-0000-0000-00009F030000}"/>
    <cellStyle name="Comma 2 2 5 2 2 2 2 3" xfId="29340" xr:uid="{00000000-0005-0000-0000-0000A0030000}"/>
    <cellStyle name="Comma 2 2 5 2 2 2 3" xfId="14554" xr:uid="{00000000-0005-0000-0000-0000A1030000}"/>
    <cellStyle name="Comma 2 2 5 2 2 2 3 2" xfId="34269" xr:uid="{00000000-0005-0000-0000-0000A2030000}"/>
    <cellStyle name="Comma 2 2 5 2 2 2 4" xfId="24412" xr:uid="{00000000-0005-0000-0000-0000A3030000}"/>
    <cellStyle name="Comma 2 2 5 2 2 3" xfId="7158" xr:uid="{00000000-0005-0000-0000-0000A4030000}"/>
    <cellStyle name="Comma 2 2 5 2 2 3 2" xfId="17018" xr:uid="{00000000-0005-0000-0000-0000A5030000}"/>
    <cellStyle name="Comma 2 2 5 2 2 3 2 2" xfId="36733" xr:uid="{00000000-0005-0000-0000-0000A6030000}"/>
    <cellStyle name="Comma 2 2 5 2 2 3 3" xfId="26876" xr:uid="{00000000-0005-0000-0000-0000A7030000}"/>
    <cellStyle name="Comma 2 2 5 2 2 4" xfId="12090" xr:uid="{00000000-0005-0000-0000-0000A8030000}"/>
    <cellStyle name="Comma 2 2 5 2 2 4 2" xfId="31805" xr:uid="{00000000-0005-0000-0000-0000A9030000}"/>
    <cellStyle name="Comma 2 2 5 2 2 5" xfId="21948" xr:uid="{00000000-0005-0000-0000-0000AA030000}"/>
    <cellStyle name="Comma 2 2 5 2 3" xfId="3458" xr:uid="{00000000-0005-0000-0000-0000AB030000}"/>
    <cellStyle name="Comma 2 2 5 2 3 2" xfId="8390" xr:uid="{00000000-0005-0000-0000-0000AC030000}"/>
    <cellStyle name="Comma 2 2 5 2 3 2 2" xfId="18250" xr:uid="{00000000-0005-0000-0000-0000AD030000}"/>
    <cellStyle name="Comma 2 2 5 2 3 2 2 2" xfId="37965" xr:uid="{00000000-0005-0000-0000-0000AE030000}"/>
    <cellStyle name="Comma 2 2 5 2 3 2 3" xfId="28108" xr:uid="{00000000-0005-0000-0000-0000AF030000}"/>
    <cellStyle name="Comma 2 2 5 2 3 3" xfId="13322" xr:uid="{00000000-0005-0000-0000-0000B0030000}"/>
    <cellStyle name="Comma 2 2 5 2 3 3 2" xfId="33037" xr:uid="{00000000-0005-0000-0000-0000B1030000}"/>
    <cellStyle name="Comma 2 2 5 2 3 4" xfId="23180" xr:uid="{00000000-0005-0000-0000-0000B2030000}"/>
    <cellStyle name="Comma 2 2 5 2 4" xfId="5926" xr:uid="{00000000-0005-0000-0000-0000B3030000}"/>
    <cellStyle name="Comma 2 2 5 2 4 2" xfId="15786" xr:uid="{00000000-0005-0000-0000-0000B4030000}"/>
    <cellStyle name="Comma 2 2 5 2 4 2 2" xfId="35501" xr:uid="{00000000-0005-0000-0000-0000B5030000}"/>
    <cellStyle name="Comma 2 2 5 2 4 3" xfId="25644" xr:uid="{00000000-0005-0000-0000-0000B6030000}"/>
    <cellStyle name="Comma 2 2 5 2 5" xfId="10858" xr:uid="{00000000-0005-0000-0000-0000B7030000}"/>
    <cellStyle name="Comma 2 2 5 2 5 2" xfId="30573" xr:uid="{00000000-0005-0000-0000-0000B8030000}"/>
    <cellStyle name="Comma 2 2 5 2 6" xfId="20716" xr:uid="{00000000-0005-0000-0000-0000B9030000}"/>
    <cellStyle name="Comma 2 2 5 3" xfId="1607" xr:uid="{00000000-0005-0000-0000-0000BA030000}"/>
    <cellStyle name="Comma 2 2 5 3 2" xfId="4074" xr:uid="{00000000-0005-0000-0000-0000BB030000}"/>
    <cellStyle name="Comma 2 2 5 3 2 2" xfId="9006" xr:uid="{00000000-0005-0000-0000-0000BC030000}"/>
    <cellStyle name="Comma 2 2 5 3 2 2 2" xfId="18866" xr:uid="{00000000-0005-0000-0000-0000BD030000}"/>
    <cellStyle name="Comma 2 2 5 3 2 2 2 2" xfId="38581" xr:uid="{00000000-0005-0000-0000-0000BE030000}"/>
    <cellStyle name="Comma 2 2 5 3 2 2 3" xfId="28724" xr:uid="{00000000-0005-0000-0000-0000BF030000}"/>
    <cellStyle name="Comma 2 2 5 3 2 3" xfId="13938" xr:uid="{00000000-0005-0000-0000-0000C0030000}"/>
    <cellStyle name="Comma 2 2 5 3 2 3 2" xfId="33653" xr:uid="{00000000-0005-0000-0000-0000C1030000}"/>
    <cellStyle name="Comma 2 2 5 3 2 4" xfId="23796" xr:uid="{00000000-0005-0000-0000-0000C2030000}"/>
    <cellStyle name="Comma 2 2 5 3 3" xfId="6542" xr:uid="{00000000-0005-0000-0000-0000C3030000}"/>
    <cellStyle name="Comma 2 2 5 3 3 2" xfId="16402" xr:uid="{00000000-0005-0000-0000-0000C4030000}"/>
    <cellStyle name="Comma 2 2 5 3 3 2 2" xfId="36117" xr:uid="{00000000-0005-0000-0000-0000C5030000}"/>
    <cellStyle name="Comma 2 2 5 3 3 3" xfId="26260" xr:uid="{00000000-0005-0000-0000-0000C6030000}"/>
    <cellStyle name="Comma 2 2 5 3 4" xfId="11474" xr:uid="{00000000-0005-0000-0000-0000C7030000}"/>
    <cellStyle name="Comma 2 2 5 3 4 2" xfId="31189" xr:uid="{00000000-0005-0000-0000-0000C8030000}"/>
    <cellStyle name="Comma 2 2 5 3 5" xfId="21332" xr:uid="{00000000-0005-0000-0000-0000C9030000}"/>
    <cellStyle name="Comma 2 2 5 4" xfId="2842" xr:uid="{00000000-0005-0000-0000-0000CA030000}"/>
    <cellStyle name="Comma 2 2 5 4 2" xfId="7774" xr:uid="{00000000-0005-0000-0000-0000CB030000}"/>
    <cellStyle name="Comma 2 2 5 4 2 2" xfId="17634" xr:uid="{00000000-0005-0000-0000-0000CC030000}"/>
    <cellStyle name="Comma 2 2 5 4 2 2 2" xfId="37349" xr:uid="{00000000-0005-0000-0000-0000CD030000}"/>
    <cellStyle name="Comma 2 2 5 4 2 3" xfId="27492" xr:uid="{00000000-0005-0000-0000-0000CE030000}"/>
    <cellStyle name="Comma 2 2 5 4 3" xfId="12706" xr:uid="{00000000-0005-0000-0000-0000CF030000}"/>
    <cellStyle name="Comma 2 2 5 4 3 2" xfId="32421" xr:uid="{00000000-0005-0000-0000-0000D0030000}"/>
    <cellStyle name="Comma 2 2 5 4 4" xfId="22564" xr:uid="{00000000-0005-0000-0000-0000D1030000}"/>
    <cellStyle name="Comma 2 2 5 5" xfId="5310" xr:uid="{00000000-0005-0000-0000-0000D2030000}"/>
    <cellStyle name="Comma 2 2 5 5 2" xfId="15170" xr:uid="{00000000-0005-0000-0000-0000D3030000}"/>
    <cellStyle name="Comma 2 2 5 5 2 2" xfId="34885" xr:uid="{00000000-0005-0000-0000-0000D4030000}"/>
    <cellStyle name="Comma 2 2 5 5 3" xfId="25028" xr:uid="{00000000-0005-0000-0000-0000D5030000}"/>
    <cellStyle name="Comma 2 2 5 6" xfId="10242" xr:uid="{00000000-0005-0000-0000-0000D6030000}"/>
    <cellStyle name="Comma 2 2 5 6 2" xfId="29957" xr:uid="{00000000-0005-0000-0000-0000D7030000}"/>
    <cellStyle name="Comma 2 2 5 7" xfId="20100" xr:uid="{00000000-0005-0000-0000-0000D8030000}"/>
    <cellStyle name="Comma 2 2 6" xfId="681" xr:uid="{00000000-0005-0000-0000-0000D9030000}"/>
    <cellStyle name="Comma 2 2 6 2" xfId="1917" xr:uid="{00000000-0005-0000-0000-0000DA030000}"/>
    <cellStyle name="Comma 2 2 6 2 2" xfId="4384" xr:uid="{00000000-0005-0000-0000-0000DB030000}"/>
    <cellStyle name="Comma 2 2 6 2 2 2" xfId="9316" xr:uid="{00000000-0005-0000-0000-0000DC030000}"/>
    <cellStyle name="Comma 2 2 6 2 2 2 2" xfId="19176" xr:uid="{00000000-0005-0000-0000-0000DD030000}"/>
    <cellStyle name="Comma 2 2 6 2 2 2 2 2" xfId="38891" xr:uid="{00000000-0005-0000-0000-0000DE030000}"/>
    <cellStyle name="Comma 2 2 6 2 2 2 3" xfId="29034" xr:uid="{00000000-0005-0000-0000-0000DF030000}"/>
    <cellStyle name="Comma 2 2 6 2 2 3" xfId="14248" xr:uid="{00000000-0005-0000-0000-0000E0030000}"/>
    <cellStyle name="Comma 2 2 6 2 2 3 2" xfId="33963" xr:uid="{00000000-0005-0000-0000-0000E1030000}"/>
    <cellStyle name="Comma 2 2 6 2 2 4" xfId="24106" xr:uid="{00000000-0005-0000-0000-0000E2030000}"/>
    <cellStyle name="Comma 2 2 6 2 3" xfId="6852" xr:uid="{00000000-0005-0000-0000-0000E3030000}"/>
    <cellStyle name="Comma 2 2 6 2 3 2" xfId="16712" xr:uid="{00000000-0005-0000-0000-0000E4030000}"/>
    <cellStyle name="Comma 2 2 6 2 3 2 2" xfId="36427" xr:uid="{00000000-0005-0000-0000-0000E5030000}"/>
    <cellStyle name="Comma 2 2 6 2 3 3" xfId="26570" xr:uid="{00000000-0005-0000-0000-0000E6030000}"/>
    <cellStyle name="Comma 2 2 6 2 4" xfId="11784" xr:uid="{00000000-0005-0000-0000-0000E7030000}"/>
    <cellStyle name="Comma 2 2 6 2 4 2" xfId="31499" xr:uid="{00000000-0005-0000-0000-0000E8030000}"/>
    <cellStyle name="Comma 2 2 6 2 5" xfId="21642" xr:uid="{00000000-0005-0000-0000-0000E9030000}"/>
    <cellStyle name="Comma 2 2 6 3" xfId="3152" xr:uid="{00000000-0005-0000-0000-0000EA030000}"/>
    <cellStyle name="Comma 2 2 6 3 2" xfId="8084" xr:uid="{00000000-0005-0000-0000-0000EB030000}"/>
    <cellStyle name="Comma 2 2 6 3 2 2" xfId="17944" xr:uid="{00000000-0005-0000-0000-0000EC030000}"/>
    <cellStyle name="Comma 2 2 6 3 2 2 2" xfId="37659" xr:uid="{00000000-0005-0000-0000-0000ED030000}"/>
    <cellStyle name="Comma 2 2 6 3 2 3" xfId="27802" xr:uid="{00000000-0005-0000-0000-0000EE030000}"/>
    <cellStyle name="Comma 2 2 6 3 3" xfId="13016" xr:uid="{00000000-0005-0000-0000-0000EF030000}"/>
    <cellStyle name="Comma 2 2 6 3 3 2" xfId="32731" xr:uid="{00000000-0005-0000-0000-0000F0030000}"/>
    <cellStyle name="Comma 2 2 6 3 4" xfId="22874" xr:uid="{00000000-0005-0000-0000-0000F1030000}"/>
    <cellStyle name="Comma 2 2 6 4" xfId="5620" xr:uid="{00000000-0005-0000-0000-0000F2030000}"/>
    <cellStyle name="Comma 2 2 6 4 2" xfId="15480" xr:uid="{00000000-0005-0000-0000-0000F3030000}"/>
    <cellStyle name="Comma 2 2 6 4 2 2" xfId="35195" xr:uid="{00000000-0005-0000-0000-0000F4030000}"/>
    <cellStyle name="Comma 2 2 6 4 3" xfId="25338" xr:uid="{00000000-0005-0000-0000-0000F5030000}"/>
    <cellStyle name="Comma 2 2 6 5" xfId="10552" xr:uid="{00000000-0005-0000-0000-0000F6030000}"/>
    <cellStyle name="Comma 2 2 6 5 2" xfId="30267" xr:uid="{00000000-0005-0000-0000-0000F7030000}"/>
    <cellStyle name="Comma 2 2 6 6" xfId="20410" xr:uid="{00000000-0005-0000-0000-0000F8030000}"/>
    <cellStyle name="Comma 2 2 7" xfId="1301" xr:uid="{00000000-0005-0000-0000-0000F9030000}"/>
    <cellStyle name="Comma 2 2 7 2" xfId="3768" xr:uid="{00000000-0005-0000-0000-0000FA030000}"/>
    <cellStyle name="Comma 2 2 7 2 2" xfId="8700" xr:uid="{00000000-0005-0000-0000-0000FB030000}"/>
    <cellStyle name="Comma 2 2 7 2 2 2" xfId="18560" xr:uid="{00000000-0005-0000-0000-0000FC030000}"/>
    <cellStyle name="Comma 2 2 7 2 2 2 2" xfId="38275" xr:uid="{00000000-0005-0000-0000-0000FD030000}"/>
    <cellStyle name="Comma 2 2 7 2 2 3" xfId="28418" xr:uid="{00000000-0005-0000-0000-0000FE030000}"/>
    <cellStyle name="Comma 2 2 7 2 3" xfId="13632" xr:uid="{00000000-0005-0000-0000-0000FF030000}"/>
    <cellStyle name="Comma 2 2 7 2 3 2" xfId="33347" xr:uid="{00000000-0005-0000-0000-000000040000}"/>
    <cellStyle name="Comma 2 2 7 2 4" xfId="23490" xr:uid="{00000000-0005-0000-0000-000001040000}"/>
    <cellStyle name="Comma 2 2 7 3" xfId="6236" xr:uid="{00000000-0005-0000-0000-000002040000}"/>
    <cellStyle name="Comma 2 2 7 3 2" xfId="16096" xr:uid="{00000000-0005-0000-0000-000003040000}"/>
    <cellStyle name="Comma 2 2 7 3 2 2" xfId="35811" xr:uid="{00000000-0005-0000-0000-000004040000}"/>
    <cellStyle name="Comma 2 2 7 3 3" xfId="25954" xr:uid="{00000000-0005-0000-0000-000005040000}"/>
    <cellStyle name="Comma 2 2 7 4" xfId="11168" xr:uid="{00000000-0005-0000-0000-000006040000}"/>
    <cellStyle name="Comma 2 2 7 4 2" xfId="30883" xr:uid="{00000000-0005-0000-0000-000007040000}"/>
    <cellStyle name="Comma 2 2 7 5" xfId="21026" xr:uid="{00000000-0005-0000-0000-000008040000}"/>
    <cellStyle name="Comma 2 2 8" xfId="2536" xr:uid="{00000000-0005-0000-0000-000009040000}"/>
    <cellStyle name="Comma 2 2 8 2" xfId="7468" xr:uid="{00000000-0005-0000-0000-00000A040000}"/>
    <cellStyle name="Comma 2 2 8 2 2" xfId="17328" xr:uid="{00000000-0005-0000-0000-00000B040000}"/>
    <cellStyle name="Comma 2 2 8 2 2 2" xfId="37043" xr:uid="{00000000-0005-0000-0000-00000C040000}"/>
    <cellStyle name="Comma 2 2 8 2 3" xfId="27186" xr:uid="{00000000-0005-0000-0000-00000D040000}"/>
    <cellStyle name="Comma 2 2 8 3" xfId="12400" xr:uid="{00000000-0005-0000-0000-00000E040000}"/>
    <cellStyle name="Comma 2 2 8 3 2" xfId="32115" xr:uid="{00000000-0005-0000-0000-00000F040000}"/>
    <cellStyle name="Comma 2 2 8 4" xfId="22258" xr:uid="{00000000-0005-0000-0000-000010040000}"/>
    <cellStyle name="Comma 2 2 9" xfId="5004" xr:uid="{00000000-0005-0000-0000-000011040000}"/>
    <cellStyle name="Comma 2 2 9 2" xfId="14864" xr:uid="{00000000-0005-0000-0000-000012040000}"/>
    <cellStyle name="Comma 2 2 9 2 2" xfId="34579" xr:uid="{00000000-0005-0000-0000-000013040000}"/>
    <cellStyle name="Comma 2 2 9 3" xfId="24722" xr:uid="{00000000-0005-0000-0000-000014040000}"/>
    <cellStyle name="Comma 2 3" xfId="60" xr:uid="{00000000-0005-0000-0000-000015040000}"/>
    <cellStyle name="Comma 2 3 10" xfId="19813" xr:uid="{00000000-0005-0000-0000-000016040000}"/>
    <cellStyle name="Comma 2 3 2" xfId="144" xr:uid="{00000000-0005-0000-0000-000017040000}"/>
    <cellStyle name="Comma 2 3 2 2" xfId="301" xr:uid="{00000000-0005-0000-0000-000018040000}"/>
    <cellStyle name="Comma 2 3 2 2 2" xfId="615" xr:uid="{00000000-0005-0000-0000-000019040000}"/>
    <cellStyle name="Comma 2 3 2 2 2 2" xfId="1235" xr:uid="{00000000-0005-0000-0000-00001A040000}"/>
    <cellStyle name="Comma 2 3 2 2 2 2 2" xfId="2470" xr:uid="{00000000-0005-0000-0000-00001B040000}"/>
    <cellStyle name="Comma 2 3 2 2 2 2 2 2" xfId="4937" xr:uid="{00000000-0005-0000-0000-00001C040000}"/>
    <cellStyle name="Comma 2 3 2 2 2 2 2 2 2" xfId="9869" xr:uid="{00000000-0005-0000-0000-00001D040000}"/>
    <cellStyle name="Comma 2 3 2 2 2 2 2 2 2 2" xfId="19729" xr:uid="{00000000-0005-0000-0000-00001E040000}"/>
    <cellStyle name="Comma 2 3 2 2 2 2 2 2 2 2 2" xfId="39444" xr:uid="{00000000-0005-0000-0000-00001F040000}"/>
    <cellStyle name="Comma 2 3 2 2 2 2 2 2 2 3" xfId="29587" xr:uid="{00000000-0005-0000-0000-000020040000}"/>
    <cellStyle name="Comma 2 3 2 2 2 2 2 2 3" xfId="14801" xr:uid="{00000000-0005-0000-0000-000021040000}"/>
    <cellStyle name="Comma 2 3 2 2 2 2 2 2 3 2" xfId="34516" xr:uid="{00000000-0005-0000-0000-000022040000}"/>
    <cellStyle name="Comma 2 3 2 2 2 2 2 2 4" xfId="24659" xr:uid="{00000000-0005-0000-0000-000023040000}"/>
    <cellStyle name="Comma 2 3 2 2 2 2 2 3" xfId="7405" xr:uid="{00000000-0005-0000-0000-000024040000}"/>
    <cellStyle name="Comma 2 3 2 2 2 2 2 3 2" xfId="17265" xr:uid="{00000000-0005-0000-0000-000025040000}"/>
    <cellStyle name="Comma 2 3 2 2 2 2 2 3 2 2" xfId="36980" xr:uid="{00000000-0005-0000-0000-000026040000}"/>
    <cellStyle name="Comma 2 3 2 2 2 2 2 3 3" xfId="27123" xr:uid="{00000000-0005-0000-0000-000027040000}"/>
    <cellStyle name="Comma 2 3 2 2 2 2 2 4" xfId="12337" xr:uid="{00000000-0005-0000-0000-000028040000}"/>
    <cellStyle name="Comma 2 3 2 2 2 2 2 4 2" xfId="32052" xr:uid="{00000000-0005-0000-0000-000029040000}"/>
    <cellStyle name="Comma 2 3 2 2 2 2 2 5" xfId="22195" xr:uid="{00000000-0005-0000-0000-00002A040000}"/>
    <cellStyle name="Comma 2 3 2 2 2 2 3" xfId="3705" xr:uid="{00000000-0005-0000-0000-00002B040000}"/>
    <cellStyle name="Comma 2 3 2 2 2 2 3 2" xfId="8637" xr:uid="{00000000-0005-0000-0000-00002C040000}"/>
    <cellStyle name="Comma 2 3 2 2 2 2 3 2 2" xfId="18497" xr:uid="{00000000-0005-0000-0000-00002D040000}"/>
    <cellStyle name="Comma 2 3 2 2 2 2 3 2 2 2" xfId="38212" xr:uid="{00000000-0005-0000-0000-00002E040000}"/>
    <cellStyle name="Comma 2 3 2 2 2 2 3 2 3" xfId="28355" xr:uid="{00000000-0005-0000-0000-00002F040000}"/>
    <cellStyle name="Comma 2 3 2 2 2 2 3 3" xfId="13569" xr:uid="{00000000-0005-0000-0000-000030040000}"/>
    <cellStyle name="Comma 2 3 2 2 2 2 3 3 2" xfId="33284" xr:uid="{00000000-0005-0000-0000-000031040000}"/>
    <cellStyle name="Comma 2 3 2 2 2 2 3 4" xfId="23427" xr:uid="{00000000-0005-0000-0000-000032040000}"/>
    <cellStyle name="Comma 2 3 2 2 2 2 4" xfId="6173" xr:uid="{00000000-0005-0000-0000-000033040000}"/>
    <cellStyle name="Comma 2 3 2 2 2 2 4 2" xfId="16033" xr:uid="{00000000-0005-0000-0000-000034040000}"/>
    <cellStyle name="Comma 2 3 2 2 2 2 4 2 2" xfId="35748" xr:uid="{00000000-0005-0000-0000-000035040000}"/>
    <cellStyle name="Comma 2 3 2 2 2 2 4 3" xfId="25891" xr:uid="{00000000-0005-0000-0000-000036040000}"/>
    <cellStyle name="Comma 2 3 2 2 2 2 5" xfId="11105" xr:uid="{00000000-0005-0000-0000-000037040000}"/>
    <cellStyle name="Comma 2 3 2 2 2 2 5 2" xfId="30820" xr:uid="{00000000-0005-0000-0000-000038040000}"/>
    <cellStyle name="Comma 2 3 2 2 2 2 6" xfId="20963" xr:uid="{00000000-0005-0000-0000-000039040000}"/>
    <cellStyle name="Comma 2 3 2 2 2 3" xfId="1854" xr:uid="{00000000-0005-0000-0000-00003A040000}"/>
    <cellStyle name="Comma 2 3 2 2 2 3 2" xfId="4321" xr:uid="{00000000-0005-0000-0000-00003B040000}"/>
    <cellStyle name="Comma 2 3 2 2 2 3 2 2" xfId="9253" xr:uid="{00000000-0005-0000-0000-00003C040000}"/>
    <cellStyle name="Comma 2 3 2 2 2 3 2 2 2" xfId="19113" xr:uid="{00000000-0005-0000-0000-00003D040000}"/>
    <cellStyle name="Comma 2 3 2 2 2 3 2 2 2 2" xfId="38828" xr:uid="{00000000-0005-0000-0000-00003E040000}"/>
    <cellStyle name="Comma 2 3 2 2 2 3 2 2 3" xfId="28971" xr:uid="{00000000-0005-0000-0000-00003F040000}"/>
    <cellStyle name="Comma 2 3 2 2 2 3 2 3" xfId="14185" xr:uid="{00000000-0005-0000-0000-000040040000}"/>
    <cellStyle name="Comma 2 3 2 2 2 3 2 3 2" xfId="33900" xr:uid="{00000000-0005-0000-0000-000041040000}"/>
    <cellStyle name="Comma 2 3 2 2 2 3 2 4" xfId="24043" xr:uid="{00000000-0005-0000-0000-000042040000}"/>
    <cellStyle name="Comma 2 3 2 2 2 3 3" xfId="6789" xr:uid="{00000000-0005-0000-0000-000043040000}"/>
    <cellStyle name="Comma 2 3 2 2 2 3 3 2" xfId="16649" xr:uid="{00000000-0005-0000-0000-000044040000}"/>
    <cellStyle name="Comma 2 3 2 2 2 3 3 2 2" xfId="36364" xr:uid="{00000000-0005-0000-0000-000045040000}"/>
    <cellStyle name="Comma 2 3 2 2 2 3 3 3" xfId="26507" xr:uid="{00000000-0005-0000-0000-000046040000}"/>
    <cellStyle name="Comma 2 3 2 2 2 3 4" xfId="11721" xr:uid="{00000000-0005-0000-0000-000047040000}"/>
    <cellStyle name="Comma 2 3 2 2 2 3 4 2" xfId="31436" xr:uid="{00000000-0005-0000-0000-000048040000}"/>
    <cellStyle name="Comma 2 3 2 2 2 3 5" xfId="21579" xr:uid="{00000000-0005-0000-0000-000049040000}"/>
    <cellStyle name="Comma 2 3 2 2 2 4" xfId="3089" xr:uid="{00000000-0005-0000-0000-00004A040000}"/>
    <cellStyle name="Comma 2 3 2 2 2 4 2" xfId="8021" xr:uid="{00000000-0005-0000-0000-00004B040000}"/>
    <cellStyle name="Comma 2 3 2 2 2 4 2 2" xfId="17881" xr:uid="{00000000-0005-0000-0000-00004C040000}"/>
    <cellStyle name="Comma 2 3 2 2 2 4 2 2 2" xfId="37596" xr:uid="{00000000-0005-0000-0000-00004D040000}"/>
    <cellStyle name="Comma 2 3 2 2 2 4 2 3" xfId="27739" xr:uid="{00000000-0005-0000-0000-00004E040000}"/>
    <cellStyle name="Comma 2 3 2 2 2 4 3" xfId="12953" xr:uid="{00000000-0005-0000-0000-00004F040000}"/>
    <cellStyle name="Comma 2 3 2 2 2 4 3 2" xfId="32668" xr:uid="{00000000-0005-0000-0000-000050040000}"/>
    <cellStyle name="Comma 2 3 2 2 2 4 4" xfId="22811" xr:uid="{00000000-0005-0000-0000-000051040000}"/>
    <cellStyle name="Comma 2 3 2 2 2 5" xfId="5557" xr:uid="{00000000-0005-0000-0000-000052040000}"/>
    <cellStyle name="Comma 2 3 2 2 2 5 2" xfId="15417" xr:uid="{00000000-0005-0000-0000-000053040000}"/>
    <cellStyle name="Comma 2 3 2 2 2 5 2 2" xfId="35132" xr:uid="{00000000-0005-0000-0000-000054040000}"/>
    <cellStyle name="Comma 2 3 2 2 2 5 3" xfId="25275" xr:uid="{00000000-0005-0000-0000-000055040000}"/>
    <cellStyle name="Comma 2 3 2 2 2 6" xfId="10489" xr:uid="{00000000-0005-0000-0000-000056040000}"/>
    <cellStyle name="Comma 2 3 2 2 2 6 2" xfId="30204" xr:uid="{00000000-0005-0000-0000-000057040000}"/>
    <cellStyle name="Comma 2 3 2 2 2 7" xfId="20347" xr:uid="{00000000-0005-0000-0000-000058040000}"/>
    <cellStyle name="Comma 2 3 2 2 3" xfId="928" xr:uid="{00000000-0005-0000-0000-000059040000}"/>
    <cellStyle name="Comma 2 3 2 2 3 2" xfId="2164" xr:uid="{00000000-0005-0000-0000-00005A040000}"/>
    <cellStyle name="Comma 2 3 2 2 3 2 2" xfId="4631" xr:uid="{00000000-0005-0000-0000-00005B040000}"/>
    <cellStyle name="Comma 2 3 2 2 3 2 2 2" xfId="9563" xr:uid="{00000000-0005-0000-0000-00005C040000}"/>
    <cellStyle name="Comma 2 3 2 2 3 2 2 2 2" xfId="19423" xr:uid="{00000000-0005-0000-0000-00005D040000}"/>
    <cellStyle name="Comma 2 3 2 2 3 2 2 2 2 2" xfId="39138" xr:uid="{00000000-0005-0000-0000-00005E040000}"/>
    <cellStyle name="Comma 2 3 2 2 3 2 2 2 3" xfId="29281" xr:uid="{00000000-0005-0000-0000-00005F040000}"/>
    <cellStyle name="Comma 2 3 2 2 3 2 2 3" xfId="14495" xr:uid="{00000000-0005-0000-0000-000060040000}"/>
    <cellStyle name="Comma 2 3 2 2 3 2 2 3 2" xfId="34210" xr:uid="{00000000-0005-0000-0000-000061040000}"/>
    <cellStyle name="Comma 2 3 2 2 3 2 2 4" xfId="24353" xr:uid="{00000000-0005-0000-0000-000062040000}"/>
    <cellStyle name="Comma 2 3 2 2 3 2 3" xfId="7099" xr:uid="{00000000-0005-0000-0000-000063040000}"/>
    <cellStyle name="Comma 2 3 2 2 3 2 3 2" xfId="16959" xr:uid="{00000000-0005-0000-0000-000064040000}"/>
    <cellStyle name="Comma 2 3 2 2 3 2 3 2 2" xfId="36674" xr:uid="{00000000-0005-0000-0000-000065040000}"/>
    <cellStyle name="Comma 2 3 2 2 3 2 3 3" xfId="26817" xr:uid="{00000000-0005-0000-0000-000066040000}"/>
    <cellStyle name="Comma 2 3 2 2 3 2 4" xfId="12031" xr:uid="{00000000-0005-0000-0000-000067040000}"/>
    <cellStyle name="Comma 2 3 2 2 3 2 4 2" xfId="31746" xr:uid="{00000000-0005-0000-0000-000068040000}"/>
    <cellStyle name="Comma 2 3 2 2 3 2 5" xfId="21889" xr:uid="{00000000-0005-0000-0000-000069040000}"/>
    <cellStyle name="Comma 2 3 2 2 3 3" xfId="3399" xr:uid="{00000000-0005-0000-0000-00006A040000}"/>
    <cellStyle name="Comma 2 3 2 2 3 3 2" xfId="8331" xr:uid="{00000000-0005-0000-0000-00006B040000}"/>
    <cellStyle name="Comma 2 3 2 2 3 3 2 2" xfId="18191" xr:uid="{00000000-0005-0000-0000-00006C040000}"/>
    <cellStyle name="Comma 2 3 2 2 3 3 2 2 2" xfId="37906" xr:uid="{00000000-0005-0000-0000-00006D040000}"/>
    <cellStyle name="Comma 2 3 2 2 3 3 2 3" xfId="28049" xr:uid="{00000000-0005-0000-0000-00006E040000}"/>
    <cellStyle name="Comma 2 3 2 2 3 3 3" xfId="13263" xr:uid="{00000000-0005-0000-0000-00006F040000}"/>
    <cellStyle name="Comma 2 3 2 2 3 3 3 2" xfId="32978" xr:uid="{00000000-0005-0000-0000-000070040000}"/>
    <cellStyle name="Comma 2 3 2 2 3 3 4" xfId="23121" xr:uid="{00000000-0005-0000-0000-000071040000}"/>
    <cellStyle name="Comma 2 3 2 2 3 4" xfId="5867" xr:uid="{00000000-0005-0000-0000-000072040000}"/>
    <cellStyle name="Comma 2 3 2 2 3 4 2" xfId="15727" xr:uid="{00000000-0005-0000-0000-000073040000}"/>
    <cellStyle name="Comma 2 3 2 2 3 4 2 2" xfId="35442" xr:uid="{00000000-0005-0000-0000-000074040000}"/>
    <cellStyle name="Comma 2 3 2 2 3 4 3" xfId="25585" xr:uid="{00000000-0005-0000-0000-000075040000}"/>
    <cellStyle name="Comma 2 3 2 2 3 5" xfId="10799" xr:uid="{00000000-0005-0000-0000-000076040000}"/>
    <cellStyle name="Comma 2 3 2 2 3 5 2" xfId="30514" xr:uid="{00000000-0005-0000-0000-000077040000}"/>
    <cellStyle name="Comma 2 3 2 2 3 6" xfId="20657" xr:uid="{00000000-0005-0000-0000-000078040000}"/>
    <cellStyle name="Comma 2 3 2 2 4" xfId="1548" xr:uid="{00000000-0005-0000-0000-000079040000}"/>
    <cellStyle name="Comma 2 3 2 2 4 2" xfId="4015" xr:uid="{00000000-0005-0000-0000-00007A040000}"/>
    <cellStyle name="Comma 2 3 2 2 4 2 2" xfId="8947" xr:uid="{00000000-0005-0000-0000-00007B040000}"/>
    <cellStyle name="Comma 2 3 2 2 4 2 2 2" xfId="18807" xr:uid="{00000000-0005-0000-0000-00007C040000}"/>
    <cellStyle name="Comma 2 3 2 2 4 2 2 2 2" xfId="38522" xr:uid="{00000000-0005-0000-0000-00007D040000}"/>
    <cellStyle name="Comma 2 3 2 2 4 2 2 3" xfId="28665" xr:uid="{00000000-0005-0000-0000-00007E040000}"/>
    <cellStyle name="Comma 2 3 2 2 4 2 3" xfId="13879" xr:uid="{00000000-0005-0000-0000-00007F040000}"/>
    <cellStyle name="Comma 2 3 2 2 4 2 3 2" xfId="33594" xr:uid="{00000000-0005-0000-0000-000080040000}"/>
    <cellStyle name="Comma 2 3 2 2 4 2 4" xfId="23737" xr:uid="{00000000-0005-0000-0000-000081040000}"/>
    <cellStyle name="Comma 2 3 2 2 4 3" xfId="6483" xr:uid="{00000000-0005-0000-0000-000082040000}"/>
    <cellStyle name="Comma 2 3 2 2 4 3 2" xfId="16343" xr:uid="{00000000-0005-0000-0000-000083040000}"/>
    <cellStyle name="Comma 2 3 2 2 4 3 2 2" xfId="36058" xr:uid="{00000000-0005-0000-0000-000084040000}"/>
    <cellStyle name="Comma 2 3 2 2 4 3 3" xfId="26201" xr:uid="{00000000-0005-0000-0000-000085040000}"/>
    <cellStyle name="Comma 2 3 2 2 4 4" xfId="11415" xr:uid="{00000000-0005-0000-0000-000086040000}"/>
    <cellStyle name="Comma 2 3 2 2 4 4 2" xfId="31130" xr:uid="{00000000-0005-0000-0000-000087040000}"/>
    <cellStyle name="Comma 2 3 2 2 4 5" xfId="21273" xr:uid="{00000000-0005-0000-0000-000088040000}"/>
    <cellStyle name="Comma 2 3 2 2 5" xfId="2783" xr:uid="{00000000-0005-0000-0000-000089040000}"/>
    <cellStyle name="Comma 2 3 2 2 5 2" xfId="7715" xr:uid="{00000000-0005-0000-0000-00008A040000}"/>
    <cellStyle name="Comma 2 3 2 2 5 2 2" xfId="17575" xr:uid="{00000000-0005-0000-0000-00008B040000}"/>
    <cellStyle name="Comma 2 3 2 2 5 2 2 2" xfId="37290" xr:uid="{00000000-0005-0000-0000-00008C040000}"/>
    <cellStyle name="Comma 2 3 2 2 5 2 3" xfId="27433" xr:uid="{00000000-0005-0000-0000-00008D040000}"/>
    <cellStyle name="Comma 2 3 2 2 5 3" xfId="12647" xr:uid="{00000000-0005-0000-0000-00008E040000}"/>
    <cellStyle name="Comma 2 3 2 2 5 3 2" xfId="32362" xr:uid="{00000000-0005-0000-0000-00008F040000}"/>
    <cellStyle name="Comma 2 3 2 2 5 4" xfId="22505" xr:uid="{00000000-0005-0000-0000-000090040000}"/>
    <cellStyle name="Comma 2 3 2 2 6" xfId="5251" xr:uid="{00000000-0005-0000-0000-000091040000}"/>
    <cellStyle name="Comma 2 3 2 2 6 2" xfId="15111" xr:uid="{00000000-0005-0000-0000-000092040000}"/>
    <cellStyle name="Comma 2 3 2 2 6 2 2" xfId="34826" xr:uid="{00000000-0005-0000-0000-000093040000}"/>
    <cellStyle name="Comma 2 3 2 2 6 3" xfId="24969" xr:uid="{00000000-0005-0000-0000-000094040000}"/>
    <cellStyle name="Comma 2 3 2 2 7" xfId="10183" xr:uid="{00000000-0005-0000-0000-000095040000}"/>
    <cellStyle name="Comma 2 3 2 2 7 2" xfId="29898" xr:uid="{00000000-0005-0000-0000-000096040000}"/>
    <cellStyle name="Comma 2 3 2 2 8" xfId="20041" xr:uid="{00000000-0005-0000-0000-000097040000}"/>
    <cellStyle name="Comma 2 3 2 3" xfId="463" xr:uid="{00000000-0005-0000-0000-000098040000}"/>
    <cellStyle name="Comma 2 3 2 3 2" xfId="1083" xr:uid="{00000000-0005-0000-0000-000099040000}"/>
    <cellStyle name="Comma 2 3 2 3 2 2" xfId="2318" xr:uid="{00000000-0005-0000-0000-00009A040000}"/>
    <cellStyle name="Comma 2 3 2 3 2 2 2" xfId="4785" xr:uid="{00000000-0005-0000-0000-00009B040000}"/>
    <cellStyle name="Comma 2 3 2 3 2 2 2 2" xfId="9717" xr:uid="{00000000-0005-0000-0000-00009C040000}"/>
    <cellStyle name="Comma 2 3 2 3 2 2 2 2 2" xfId="19577" xr:uid="{00000000-0005-0000-0000-00009D040000}"/>
    <cellStyle name="Comma 2 3 2 3 2 2 2 2 2 2" xfId="39292" xr:uid="{00000000-0005-0000-0000-00009E040000}"/>
    <cellStyle name="Comma 2 3 2 3 2 2 2 2 3" xfId="29435" xr:uid="{00000000-0005-0000-0000-00009F040000}"/>
    <cellStyle name="Comma 2 3 2 3 2 2 2 3" xfId="14649" xr:uid="{00000000-0005-0000-0000-0000A0040000}"/>
    <cellStyle name="Comma 2 3 2 3 2 2 2 3 2" xfId="34364" xr:uid="{00000000-0005-0000-0000-0000A1040000}"/>
    <cellStyle name="Comma 2 3 2 3 2 2 2 4" xfId="24507" xr:uid="{00000000-0005-0000-0000-0000A2040000}"/>
    <cellStyle name="Comma 2 3 2 3 2 2 3" xfId="7253" xr:uid="{00000000-0005-0000-0000-0000A3040000}"/>
    <cellStyle name="Comma 2 3 2 3 2 2 3 2" xfId="17113" xr:uid="{00000000-0005-0000-0000-0000A4040000}"/>
    <cellStyle name="Comma 2 3 2 3 2 2 3 2 2" xfId="36828" xr:uid="{00000000-0005-0000-0000-0000A5040000}"/>
    <cellStyle name="Comma 2 3 2 3 2 2 3 3" xfId="26971" xr:uid="{00000000-0005-0000-0000-0000A6040000}"/>
    <cellStyle name="Comma 2 3 2 3 2 2 4" xfId="12185" xr:uid="{00000000-0005-0000-0000-0000A7040000}"/>
    <cellStyle name="Comma 2 3 2 3 2 2 4 2" xfId="31900" xr:uid="{00000000-0005-0000-0000-0000A8040000}"/>
    <cellStyle name="Comma 2 3 2 3 2 2 5" xfId="22043" xr:uid="{00000000-0005-0000-0000-0000A9040000}"/>
    <cellStyle name="Comma 2 3 2 3 2 3" xfId="3553" xr:uid="{00000000-0005-0000-0000-0000AA040000}"/>
    <cellStyle name="Comma 2 3 2 3 2 3 2" xfId="8485" xr:uid="{00000000-0005-0000-0000-0000AB040000}"/>
    <cellStyle name="Comma 2 3 2 3 2 3 2 2" xfId="18345" xr:uid="{00000000-0005-0000-0000-0000AC040000}"/>
    <cellStyle name="Comma 2 3 2 3 2 3 2 2 2" xfId="38060" xr:uid="{00000000-0005-0000-0000-0000AD040000}"/>
    <cellStyle name="Comma 2 3 2 3 2 3 2 3" xfId="28203" xr:uid="{00000000-0005-0000-0000-0000AE040000}"/>
    <cellStyle name="Comma 2 3 2 3 2 3 3" xfId="13417" xr:uid="{00000000-0005-0000-0000-0000AF040000}"/>
    <cellStyle name="Comma 2 3 2 3 2 3 3 2" xfId="33132" xr:uid="{00000000-0005-0000-0000-0000B0040000}"/>
    <cellStyle name="Comma 2 3 2 3 2 3 4" xfId="23275" xr:uid="{00000000-0005-0000-0000-0000B1040000}"/>
    <cellStyle name="Comma 2 3 2 3 2 4" xfId="6021" xr:uid="{00000000-0005-0000-0000-0000B2040000}"/>
    <cellStyle name="Comma 2 3 2 3 2 4 2" xfId="15881" xr:uid="{00000000-0005-0000-0000-0000B3040000}"/>
    <cellStyle name="Comma 2 3 2 3 2 4 2 2" xfId="35596" xr:uid="{00000000-0005-0000-0000-0000B4040000}"/>
    <cellStyle name="Comma 2 3 2 3 2 4 3" xfId="25739" xr:uid="{00000000-0005-0000-0000-0000B5040000}"/>
    <cellStyle name="Comma 2 3 2 3 2 5" xfId="10953" xr:uid="{00000000-0005-0000-0000-0000B6040000}"/>
    <cellStyle name="Comma 2 3 2 3 2 5 2" xfId="30668" xr:uid="{00000000-0005-0000-0000-0000B7040000}"/>
    <cellStyle name="Comma 2 3 2 3 2 6" xfId="20811" xr:uid="{00000000-0005-0000-0000-0000B8040000}"/>
    <cellStyle name="Comma 2 3 2 3 3" xfId="1702" xr:uid="{00000000-0005-0000-0000-0000B9040000}"/>
    <cellStyle name="Comma 2 3 2 3 3 2" xfId="4169" xr:uid="{00000000-0005-0000-0000-0000BA040000}"/>
    <cellStyle name="Comma 2 3 2 3 3 2 2" xfId="9101" xr:uid="{00000000-0005-0000-0000-0000BB040000}"/>
    <cellStyle name="Comma 2 3 2 3 3 2 2 2" xfId="18961" xr:uid="{00000000-0005-0000-0000-0000BC040000}"/>
    <cellStyle name="Comma 2 3 2 3 3 2 2 2 2" xfId="38676" xr:uid="{00000000-0005-0000-0000-0000BD040000}"/>
    <cellStyle name="Comma 2 3 2 3 3 2 2 3" xfId="28819" xr:uid="{00000000-0005-0000-0000-0000BE040000}"/>
    <cellStyle name="Comma 2 3 2 3 3 2 3" xfId="14033" xr:uid="{00000000-0005-0000-0000-0000BF040000}"/>
    <cellStyle name="Comma 2 3 2 3 3 2 3 2" xfId="33748" xr:uid="{00000000-0005-0000-0000-0000C0040000}"/>
    <cellStyle name="Comma 2 3 2 3 3 2 4" xfId="23891" xr:uid="{00000000-0005-0000-0000-0000C1040000}"/>
    <cellStyle name="Comma 2 3 2 3 3 3" xfId="6637" xr:uid="{00000000-0005-0000-0000-0000C2040000}"/>
    <cellStyle name="Comma 2 3 2 3 3 3 2" xfId="16497" xr:uid="{00000000-0005-0000-0000-0000C3040000}"/>
    <cellStyle name="Comma 2 3 2 3 3 3 2 2" xfId="36212" xr:uid="{00000000-0005-0000-0000-0000C4040000}"/>
    <cellStyle name="Comma 2 3 2 3 3 3 3" xfId="26355" xr:uid="{00000000-0005-0000-0000-0000C5040000}"/>
    <cellStyle name="Comma 2 3 2 3 3 4" xfId="11569" xr:uid="{00000000-0005-0000-0000-0000C6040000}"/>
    <cellStyle name="Comma 2 3 2 3 3 4 2" xfId="31284" xr:uid="{00000000-0005-0000-0000-0000C7040000}"/>
    <cellStyle name="Comma 2 3 2 3 3 5" xfId="21427" xr:uid="{00000000-0005-0000-0000-0000C8040000}"/>
    <cellStyle name="Comma 2 3 2 3 4" xfId="2937" xr:uid="{00000000-0005-0000-0000-0000C9040000}"/>
    <cellStyle name="Comma 2 3 2 3 4 2" xfId="7869" xr:uid="{00000000-0005-0000-0000-0000CA040000}"/>
    <cellStyle name="Comma 2 3 2 3 4 2 2" xfId="17729" xr:uid="{00000000-0005-0000-0000-0000CB040000}"/>
    <cellStyle name="Comma 2 3 2 3 4 2 2 2" xfId="37444" xr:uid="{00000000-0005-0000-0000-0000CC040000}"/>
    <cellStyle name="Comma 2 3 2 3 4 2 3" xfId="27587" xr:uid="{00000000-0005-0000-0000-0000CD040000}"/>
    <cellStyle name="Comma 2 3 2 3 4 3" xfId="12801" xr:uid="{00000000-0005-0000-0000-0000CE040000}"/>
    <cellStyle name="Comma 2 3 2 3 4 3 2" xfId="32516" xr:uid="{00000000-0005-0000-0000-0000CF040000}"/>
    <cellStyle name="Comma 2 3 2 3 4 4" xfId="22659" xr:uid="{00000000-0005-0000-0000-0000D0040000}"/>
    <cellStyle name="Comma 2 3 2 3 5" xfId="5405" xr:uid="{00000000-0005-0000-0000-0000D1040000}"/>
    <cellStyle name="Comma 2 3 2 3 5 2" xfId="15265" xr:uid="{00000000-0005-0000-0000-0000D2040000}"/>
    <cellStyle name="Comma 2 3 2 3 5 2 2" xfId="34980" xr:uid="{00000000-0005-0000-0000-0000D3040000}"/>
    <cellStyle name="Comma 2 3 2 3 5 3" xfId="25123" xr:uid="{00000000-0005-0000-0000-0000D4040000}"/>
    <cellStyle name="Comma 2 3 2 3 6" xfId="10337" xr:uid="{00000000-0005-0000-0000-0000D5040000}"/>
    <cellStyle name="Comma 2 3 2 3 6 2" xfId="30052" xr:uid="{00000000-0005-0000-0000-0000D6040000}"/>
    <cellStyle name="Comma 2 3 2 3 7" xfId="20195" xr:uid="{00000000-0005-0000-0000-0000D7040000}"/>
    <cellStyle name="Comma 2 3 2 4" xfId="776" xr:uid="{00000000-0005-0000-0000-0000D8040000}"/>
    <cellStyle name="Comma 2 3 2 4 2" xfId="2012" xr:uid="{00000000-0005-0000-0000-0000D9040000}"/>
    <cellStyle name="Comma 2 3 2 4 2 2" xfId="4479" xr:uid="{00000000-0005-0000-0000-0000DA040000}"/>
    <cellStyle name="Comma 2 3 2 4 2 2 2" xfId="9411" xr:uid="{00000000-0005-0000-0000-0000DB040000}"/>
    <cellStyle name="Comma 2 3 2 4 2 2 2 2" xfId="19271" xr:uid="{00000000-0005-0000-0000-0000DC040000}"/>
    <cellStyle name="Comma 2 3 2 4 2 2 2 2 2" xfId="38986" xr:uid="{00000000-0005-0000-0000-0000DD040000}"/>
    <cellStyle name="Comma 2 3 2 4 2 2 2 3" xfId="29129" xr:uid="{00000000-0005-0000-0000-0000DE040000}"/>
    <cellStyle name="Comma 2 3 2 4 2 2 3" xfId="14343" xr:uid="{00000000-0005-0000-0000-0000DF040000}"/>
    <cellStyle name="Comma 2 3 2 4 2 2 3 2" xfId="34058" xr:uid="{00000000-0005-0000-0000-0000E0040000}"/>
    <cellStyle name="Comma 2 3 2 4 2 2 4" xfId="24201" xr:uid="{00000000-0005-0000-0000-0000E1040000}"/>
    <cellStyle name="Comma 2 3 2 4 2 3" xfId="6947" xr:uid="{00000000-0005-0000-0000-0000E2040000}"/>
    <cellStyle name="Comma 2 3 2 4 2 3 2" xfId="16807" xr:uid="{00000000-0005-0000-0000-0000E3040000}"/>
    <cellStyle name="Comma 2 3 2 4 2 3 2 2" xfId="36522" xr:uid="{00000000-0005-0000-0000-0000E4040000}"/>
    <cellStyle name="Comma 2 3 2 4 2 3 3" xfId="26665" xr:uid="{00000000-0005-0000-0000-0000E5040000}"/>
    <cellStyle name="Comma 2 3 2 4 2 4" xfId="11879" xr:uid="{00000000-0005-0000-0000-0000E6040000}"/>
    <cellStyle name="Comma 2 3 2 4 2 4 2" xfId="31594" xr:uid="{00000000-0005-0000-0000-0000E7040000}"/>
    <cellStyle name="Comma 2 3 2 4 2 5" xfId="21737" xr:uid="{00000000-0005-0000-0000-0000E8040000}"/>
    <cellStyle name="Comma 2 3 2 4 3" xfId="3247" xr:uid="{00000000-0005-0000-0000-0000E9040000}"/>
    <cellStyle name="Comma 2 3 2 4 3 2" xfId="8179" xr:uid="{00000000-0005-0000-0000-0000EA040000}"/>
    <cellStyle name="Comma 2 3 2 4 3 2 2" xfId="18039" xr:uid="{00000000-0005-0000-0000-0000EB040000}"/>
    <cellStyle name="Comma 2 3 2 4 3 2 2 2" xfId="37754" xr:uid="{00000000-0005-0000-0000-0000EC040000}"/>
    <cellStyle name="Comma 2 3 2 4 3 2 3" xfId="27897" xr:uid="{00000000-0005-0000-0000-0000ED040000}"/>
    <cellStyle name="Comma 2 3 2 4 3 3" xfId="13111" xr:uid="{00000000-0005-0000-0000-0000EE040000}"/>
    <cellStyle name="Comma 2 3 2 4 3 3 2" xfId="32826" xr:uid="{00000000-0005-0000-0000-0000EF040000}"/>
    <cellStyle name="Comma 2 3 2 4 3 4" xfId="22969" xr:uid="{00000000-0005-0000-0000-0000F0040000}"/>
    <cellStyle name="Comma 2 3 2 4 4" xfId="5715" xr:uid="{00000000-0005-0000-0000-0000F1040000}"/>
    <cellStyle name="Comma 2 3 2 4 4 2" xfId="15575" xr:uid="{00000000-0005-0000-0000-0000F2040000}"/>
    <cellStyle name="Comma 2 3 2 4 4 2 2" xfId="35290" xr:uid="{00000000-0005-0000-0000-0000F3040000}"/>
    <cellStyle name="Comma 2 3 2 4 4 3" xfId="25433" xr:uid="{00000000-0005-0000-0000-0000F4040000}"/>
    <cellStyle name="Comma 2 3 2 4 5" xfId="10647" xr:uid="{00000000-0005-0000-0000-0000F5040000}"/>
    <cellStyle name="Comma 2 3 2 4 5 2" xfId="30362" xr:uid="{00000000-0005-0000-0000-0000F6040000}"/>
    <cellStyle name="Comma 2 3 2 4 6" xfId="20505" xr:uid="{00000000-0005-0000-0000-0000F7040000}"/>
    <cellStyle name="Comma 2 3 2 5" xfId="1396" xr:uid="{00000000-0005-0000-0000-0000F8040000}"/>
    <cellStyle name="Comma 2 3 2 5 2" xfId="3863" xr:uid="{00000000-0005-0000-0000-0000F9040000}"/>
    <cellStyle name="Comma 2 3 2 5 2 2" xfId="8795" xr:uid="{00000000-0005-0000-0000-0000FA040000}"/>
    <cellStyle name="Comma 2 3 2 5 2 2 2" xfId="18655" xr:uid="{00000000-0005-0000-0000-0000FB040000}"/>
    <cellStyle name="Comma 2 3 2 5 2 2 2 2" xfId="38370" xr:uid="{00000000-0005-0000-0000-0000FC040000}"/>
    <cellStyle name="Comma 2 3 2 5 2 2 3" xfId="28513" xr:uid="{00000000-0005-0000-0000-0000FD040000}"/>
    <cellStyle name="Comma 2 3 2 5 2 3" xfId="13727" xr:uid="{00000000-0005-0000-0000-0000FE040000}"/>
    <cellStyle name="Comma 2 3 2 5 2 3 2" xfId="33442" xr:uid="{00000000-0005-0000-0000-0000FF040000}"/>
    <cellStyle name="Comma 2 3 2 5 2 4" xfId="23585" xr:uid="{00000000-0005-0000-0000-000000050000}"/>
    <cellStyle name="Comma 2 3 2 5 3" xfId="6331" xr:uid="{00000000-0005-0000-0000-000001050000}"/>
    <cellStyle name="Comma 2 3 2 5 3 2" xfId="16191" xr:uid="{00000000-0005-0000-0000-000002050000}"/>
    <cellStyle name="Comma 2 3 2 5 3 2 2" xfId="35906" xr:uid="{00000000-0005-0000-0000-000003050000}"/>
    <cellStyle name="Comma 2 3 2 5 3 3" xfId="26049" xr:uid="{00000000-0005-0000-0000-000004050000}"/>
    <cellStyle name="Comma 2 3 2 5 4" xfId="11263" xr:uid="{00000000-0005-0000-0000-000005050000}"/>
    <cellStyle name="Comma 2 3 2 5 4 2" xfId="30978" xr:uid="{00000000-0005-0000-0000-000006050000}"/>
    <cellStyle name="Comma 2 3 2 5 5" xfId="21121" xr:uid="{00000000-0005-0000-0000-000007050000}"/>
    <cellStyle name="Comma 2 3 2 6" xfId="2631" xr:uid="{00000000-0005-0000-0000-000008050000}"/>
    <cellStyle name="Comma 2 3 2 6 2" xfId="7563" xr:uid="{00000000-0005-0000-0000-000009050000}"/>
    <cellStyle name="Comma 2 3 2 6 2 2" xfId="17423" xr:uid="{00000000-0005-0000-0000-00000A050000}"/>
    <cellStyle name="Comma 2 3 2 6 2 2 2" xfId="37138" xr:uid="{00000000-0005-0000-0000-00000B050000}"/>
    <cellStyle name="Comma 2 3 2 6 2 3" xfId="27281" xr:uid="{00000000-0005-0000-0000-00000C050000}"/>
    <cellStyle name="Comma 2 3 2 6 3" xfId="12495" xr:uid="{00000000-0005-0000-0000-00000D050000}"/>
    <cellStyle name="Comma 2 3 2 6 3 2" xfId="32210" xr:uid="{00000000-0005-0000-0000-00000E050000}"/>
    <cellStyle name="Comma 2 3 2 6 4" xfId="22353" xr:uid="{00000000-0005-0000-0000-00000F050000}"/>
    <cellStyle name="Comma 2 3 2 7" xfId="5099" xr:uid="{00000000-0005-0000-0000-000010050000}"/>
    <cellStyle name="Comma 2 3 2 7 2" xfId="14959" xr:uid="{00000000-0005-0000-0000-000011050000}"/>
    <cellStyle name="Comma 2 3 2 7 2 2" xfId="34674" xr:uid="{00000000-0005-0000-0000-000012050000}"/>
    <cellStyle name="Comma 2 3 2 7 3" xfId="24817" xr:uid="{00000000-0005-0000-0000-000013050000}"/>
    <cellStyle name="Comma 2 3 2 8" xfId="10031" xr:uid="{00000000-0005-0000-0000-000014050000}"/>
    <cellStyle name="Comma 2 3 2 8 2" xfId="29746" xr:uid="{00000000-0005-0000-0000-000015050000}"/>
    <cellStyle name="Comma 2 3 2 9" xfId="19889" xr:uid="{00000000-0005-0000-0000-000016050000}"/>
    <cellStyle name="Comma 2 3 3" xfId="225" xr:uid="{00000000-0005-0000-0000-000017050000}"/>
    <cellStyle name="Comma 2 3 3 2" xfId="539" xr:uid="{00000000-0005-0000-0000-000018050000}"/>
    <cellStyle name="Comma 2 3 3 2 2" xfId="1159" xr:uid="{00000000-0005-0000-0000-000019050000}"/>
    <cellStyle name="Comma 2 3 3 2 2 2" xfId="2394" xr:uid="{00000000-0005-0000-0000-00001A050000}"/>
    <cellStyle name="Comma 2 3 3 2 2 2 2" xfId="4861" xr:uid="{00000000-0005-0000-0000-00001B050000}"/>
    <cellStyle name="Comma 2 3 3 2 2 2 2 2" xfId="9793" xr:uid="{00000000-0005-0000-0000-00001C050000}"/>
    <cellStyle name="Comma 2 3 3 2 2 2 2 2 2" xfId="19653" xr:uid="{00000000-0005-0000-0000-00001D050000}"/>
    <cellStyle name="Comma 2 3 3 2 2 2 2 2 2 2" xfId="39368" xr:uid="{00000000-0005-0000-0000-00001E050000}"/>
    <cellStyle name="Comma 2 3 3 2 2 2 2 2 3" xfId="29511" xr:uid="{00000000-0005-0000-0000-00001F050000}"/>
    <cellStyle name="Comma 2 3 3 2 2 2 2 3" xfId="14725" xr:uid="{00000000-0005-0000-0000-000020050000}"/>
    <cellStyle name="Comma 2 3 3 2 2 2 2 3 2" xfId="34440" xr:uid="{00000000-0005-0000-0000-000021050000}"/>
    <cellStyle name="Comma 2 3 3 2 2 2 2 4" xfId="24583" xr:uid="{00000000-0005-0000-0000-000022050000}"/>
    <cellStyle name="Comma 2 3 3 2 2 2 3" xfId="7329" xr:uid="{00000000-0005-0000-0000-000023050000}"/>
    <cellStyle name="Comma 2 3 3 2 2 2 3 2" xfId="17189" xr:uid="{00000000-0005-0000-0000-000024050000}"/>
    <cellStyle name="Comma 2 3 3 2 2 2 3 2 2" xfId="36904" xr:uid="{00000000-0005-0000-0000-000025050000}"/>
    <cellStyle name="Comma 2 3 3 2 2 2 3 3" xfId="27047" xr:uid="{00000000-0005-0000-0000-000026050000}"/>
    <cellStyle name="Comma 2 3 3 2 2 2 4" xfId="12261" xr:uid="{00000000-0005-0000-0000-000027050000}"/>
    <cellStyle name="Comma 2 3 3 2 2 2 4 2" xfId="31976" xr:uid="{00000000-0005-0000-0000-000028050000}"/>
    <cellStyle name="Comma 2 3 3 2 2 2 5" xfId="22119" xr:uid="{00000000-0005-0000-0000-000029050000}"/>
    <cellStyle name="Comma 2 3 3 2 2 3" xfId="3629" xr:uid="{00000000-0005-0000-0000-00002A050000}"/>
    <cellStyle name="Comma 2 3 3 2 2 3 2" xfId="8561" xr:uid="{00000000-0005-0000-0000-00002B050000}"/>
    <cellStyle name="Comma 2 3 3 2 2 3 2 2" xfId="18421" xr:uid="{00000000-0005-0000-0000-00002C050000}"/>
    <cellStyle name="Comma 2 3 3 2 2 3 2 2 2" xfId="38136" xr:uid="{00000000-0005-0000-0000-00002D050000}"/>
    <cellStyle name="Comma 2 3 3 2 2 3 2 3" xfId="28279" xr:uid="{00000000-0005-0000-0000-00002E050000}"/>
    <cellStyle name="Comma 2 3 3 2 2 3 3" xfId="13493" xr:uid="{00000000-0005-0000-0000-00002F050000}"/>
    <cellStyle name="Comma 2 3 3 2 2 3 3 2" xfId="33208" xr:uid="{00000000-0005-0000-0000-000030050000}"/>
    <cellStyle name="Comma 2 3 3 2 2 3 4" xfId="23351" xr:uid="{00000000-0005-0000-0000-000031050000}"/>
    <cellStyle name="Comma 2 3 3 2 2 4" xfId="6097" xr:uid="{00000000-0005-0000-0000-000032050000}"/>
    <cellStyle name="Comma 2 3 3 2 2 4 2" xfId="15957" xr:uid="{00000000-0005-0000-0000-000033050000}"/>
    <cellStyle name="Comma 2 3 3 2 2 4 2 2" xfId="35672" xr:uid="{00000000-0005-0000-0000-000034050000}"/>
    <cellStyle name="Comma 2 3 3 2 2 4 3" xfId="25815" xr:uid="{00000000-0005-0000-0000-000035050000}"/>
    <cellStyle name="Comma 2 3 3 2 2 5" xfId="11029" xr:uid="{00000000-0005-0000-0000-000036050000}"/>
    <cellStyle name="Comma 2 3 3 2 2 5 2" xfId="30744" xr:uid="{00000000-0005-0000-0000-000037050000}"/>
    <cellStyle name="Comma 2 3 3 2 2 6" xfId="20887" xr:uid="{00000000-0005-0000-0000-000038050000}"/>
    <cellStyle name="Comma 2 3 3 2 3" xfId="1778" xr:uid="{00000000-0005-0000-0000-000039050000}"/>
    <cellStyle name="Comma 2 3 3 2 3 2" xfId="4245" xr:uid="{00000000-0005-0000-0000-00003A050000}"/>
    <cellStyle name="Comma 2 3 3 2 3 2 2" xfId="9177" xr:uid="{00000000-0005-0000-0000-00003B050000}"/>
    <cellStyle name="Comma 2 3 3 2 3 2 2 2" xfId="19037" xr:uid="{00000000-0005-0000-0000-00003C050000}"/>
    <cellStyle name="Comma 2 3 3 2 3 2 2 2 2" xfId="38752" xr:uid="{00000000-0005-0000-0000-00003D050000}"/>
    <cellStyle name="Comma 2 3 3 2 3 2 2 3" xfId="28895" xr:uid="{00000000-0005-0000-0000-00003E050000}"/>
    <cellStyle name="Comma 2 3 3 2 3 2 3" xfId="14109" xr:uid="{00000000-0005-0000-0000-00003F050000}"/>
    <cellStyle name="Comma 2 3 3 2 3 2 3 2" xfId="33824" xr:uid="{00000000-0005-0000-0000-000040050000}"/>
    <cellStyle name="Comma 2 3 3 2 3 2 4" xfId="23967" xr:uid="{00000000-0005-0000-0000-000041050000}"/>
    <cellStyle name="Comma 2 3 3 2 3 3" xfId="6713" xr:uid="{00000000-0005-0000-0000-000042050000}"/>
    <cellStyle name="Comma 2 3 3 2 3 3 2" xfId="16573" xr:uid="{00000000-0005-0000-0000-000043050000}"/>
    <cellStyle name="Comma 2 3 3 2 3 3 2 2" xfId="36288" xr:uid="{00000000-0005-0000-0000-000044050000}"/>
    <cellStyle name="Comma 2 3 3 2 3 3 3" xfId="26431" xr:uid="{00000000-0005-0000-0000-000045050000}"/>
    <cellStyle name="Comma 2 3 3 2 3 4" xfId="11645" xr:uid="{00000000-0005-0000-0000-000046050000}"/>
    <cellStyle name="Comma 2 3 3 2 3 4 2" xfId="31360" xr:uid="{00000000-0005-0000-0000-000047050000}"/>
    <cellStyle name="Comma 2 3 3 2 3 5" xfId="21503" xr:uid="{00000000-0005-0000-0000-000048050000}"/>
    <cellStyle name="Comma 2 3 3 2 4" xfId="3013" xr:uid="{00000000-0005-0000-0000-000049050000}"/>
    <cellStyle name="Comma 2 3 3 2 4 2" xfId="7945" xr:uid="{00000000-0005-0000-0000-00004A050000}"/>
    <cellStyle name="Comma 2 3 3 2 4 2 2" xfId="17805" xr:uid="{00000000-0005-0000-0000-00004B050000}"/>
    <cellStyle name="Comma 2 3 3 2 4 2 2 2" xfId="37520" xr:uid="{00000000-0005-0000-0000-00004C050000}"/>
    <cellStyle name="Comma 2 3 3 2 4 2 3" xfId="27663" xr:uid="{00000000-0005-0000-0000-00004D050000}"/>
    <cellStyle name="Comma 2 3 3 2 4 3" xfId="12877" xr:uid="{00000000-0005-0000-0000-00004E050000}"/>
    <cellStyle name="Comma 2 3 3 2 4 3 2" xfId="32592" xr:uid="{00000000-0005-0000-0000-00004F050000}"/>
    <cellStyle name="Comma 2 3 3 2 4 4" xfId="22735" xr:uid="{00000000-0005-0000-0000-000050050000}"/>
    <cellStyle name="Comma 2 3 3 2 5" xfId="5481" xr:uid="{00000000-0005-0000-0000-000051050000}"/>
    <cellStyle name="Comma 2 3 3 2 5 2" xfId="15341" xr:uid="{00000000-0005-0000-0000-000052050000}"/>
    <cellStyle name="Comma 2 3 3 2 5 2 2" xfId="35056" xr:uid="{00000000-0005-0000-0000-000053050000}"/>
    <cellStyle name="Comma 2 3 3 2 5 3" xfId="25199" xr:uid="{00000000-0005-0000-0000-000054050000}"/>
    <cellStyle name="Comma 2 3 3 2 6" xfId="10413" xr:uid="{00000000-0005-0000-0000-000055050000}"/>
    <cellStyle name="Comma 2 3 3 2 6 2" xfId="30128" xr:uid="{00000000-0005-0000-0000-000056050000}"/>
    <cellStyle name="Comma 2 3 3 2 7" xfId="20271" xr:uid="{00000000-0005-0000-0000-000057050000}"/>
    <cellStyle name="Comma 2 3 3 3" xfId="852" xr:uid="{00000000-0005-0000-0000-000058050000}"/>
    <cellStyle name="Comma 2 3 3 3 2" xfId="2088" xr:uid="{00000000-0005-0000-0000-000059050000}"/>
    <cellStyle name="Comma 2 3 3 3 2 2" xfId="4555" xr:uid="{00000000-0005-0000-0000-00005A050000}"/>
    <cellStyle name="Comma 2 3 3 3 2 2 2" xfId="9487" xr:uid="{00000000-0005-0000-0000-00005B050000}"/>
    <cellStyle name="Comma 2 3 3 3 2 2 2 2" xfId="19347" xr:uid="{00000000-0005-0000-0000-00005C050000}"/>
    <cellStyle name="Comma 2 3 3 3 2 2 2 2 2" xfId="39062" xr:uid="{00000000-0005-0000-0000-00005D050000}"/>
    <cellStyle name="Comma 2 3 3 3 2 2 2 3" xfId="29205" xr:uid="{00000000-0005-0000-0000-00005E050000}"/>
    <cellStyle name="Comma 2 3 3 3 2 2 3" xfId="14419" xr:uid="{00000000-0005-0000-0000-00005F050000}"/>
    <cellStyle name="Comma 2 3 3 3 2 2 3 2" xfId="34134" xr:uid="{00000000-0005-0000-0000-000060050000}"/>
    <cellStyle name="Comma 2 3 3 3 2 2 4" xfId="24277" xr:uid="{00000000-0005-0000-0000-000061050000}"/>
    <cellStyle name="Comma 2 3 3 3 2 3" xfId="7023" xr:uid="{00000000-0005-0000-0000-000062050000}"/>
    <cellStyle name="Comma 2 3 3 3 2 3 2" xfId="16883" xr:uid="{00000000-0005-0000-0000-000063050000}"/>
    <cellStyle name="Comma 2 3 3 3 2 3 2 2" xfId="36598" xr:uid="{00000000-0005-0000-0000-000064050000}"/>
    <cellStyle name="Comma 2 3 3 3 2 3 3" xfId="26741" xr:uid="{00000000-0005-0000-0000-000065050000}"/>
    <cellStyle name="Comma 2 3 3 3 2 4" xfId="11955" xr:uid="{00000000-0005-0000-0000-000066050000}"/>
    <cellStyle name="Comma 2 3 3 3 2 4 2" xfId="31670" xr:uid="{00000000-0005-0000-0000-000067050000}"/>
    <cellStyle name="Comma 2 3 3 3 2 5" xfId="21813" xr:uid="{00000000-0005-0000-0000-000068050000}"/>
    <cellStyle name="Comma 2 3 3 3 3" xfId="3323" xr:uid="{00000000-0005-0000-0000-000069050000}"/>
    <cellStyle name="Comma 2 3 3 3 3 2" xfId="8255" xr:uid="{00000000-0005-0000-0000-00006A050000}"/>
    <cellStyle name="Comma 2 3 3 3 3 2 2" xfId="18115" xr:uid="{00000000-0005-0000-0000-00006B050000}"/>
    <cellStyle name="Comma 2 3 3 3 3 2 2 2" xfId="37830" xr:uid="{00000000-0005-0000-0000-00006C050000}"/>
    <cellStyle name="Comma 2 3 3 3 3 2 3" xfId="27973" xr:uid="{00000000-0005-0000-0000-00006D050000}"/>
    <cellStyle name="Comma 2 3 3 3 3 3" xfId="13187" xr:uid="{00000000-0005-0000-0000-00006E050000}"/>
    <cellStyle name="Comma 2 3 3 3 3 3 2" xfId="32902" xr:uid="{00000000-0005-0000-0000-00006F050000}"/>
    <cellStyle name="Comma 2 3 3 3 3 4" xfId="23045" xr:uid="{00000000-0005-0000-0000-000070050000}"/>
    <cellStyle name="Comma 2 3 3 3 4" xfId="5791" xr:uid="{00000000-0005-0000-0000-000071050000}"/>
    <cellStyle name="Comma 2 3 3 3 4 2" xfId="15651" xr:uid="{00000000-0005-0000-0000-000072050000}"/>
    <cellStyle name="Comma 2 3 3 3 4 2 2" xfId="35366" xr:uid="{00000000-0005-0000-0000-000073050000}"/>
    <cellStyle name="Comma 2 3 3 3 4 3" xfId="25509" xr:uid="{00000000-0005-0000-0000-000074050000}"/>
    <cellStyle name="Comma 2 3 3 3 5" xfId="10723" xr:uid="{00000000-0005-0000-0000-000075050000}"/>
    <cellStyle name="Comma 2 3 3 3 5 2" xfId="30438" xr:uid="{00000000-0005-0000-0000-000076050000}"/>
    <cellStyle name="Comma 2 3 3 3 6" xfId="20581" xr:uid="{00000000-0005-0000-0000-000077050000}"/>
    <cellStyle name="Comma 2 3 3 4" xfId="1472" xr:uid="{00000000-0005-0000-0000-000078050000}"/>
    <cellStyle name="Comma 2 3 3 4 2" xfId="3939" xr:uid="{00000000-0005-0000-0000-000079050000}"/>
    <cellStyle name="Comma 2 3 3 4 2 2" xfId="8871" xr:uid="{00000000-0005-0000-0000-00007A050000}"/>
    <cellStyle name="Comma 2 3 3 4 2 2 2" xfId="18731" xr:uid="{00000000-0005-0000-0000-00007B050000}"/>
    <cellStyle name="Comma 2 3 3 4 2 2 2 2" xfId="38446" xr:uid="{00000000-0005-0000-0000-00007C050000}"/>
    <cellStyle name="Comma 2 3 3 4 2 2 3" xfId="28589" xr:uid="{00000000-0005-0000-0000-00007D050000}"/>
    <cellStyle name="Comma 2 3 3 4 2 3" xfId="13803" xr:uid="{00000000-0005-0000-0000-00007E050000}"/>
    <cellStyle name="Comma 2 3 3 4 2 3 2" xfId="33518" xr:uid="{00000000-0005-0000-0000-00007F050000}"/>
    <cellStyle name="Comma 2 3 3 4 2 4" xfId="23661" xr:uid="{00000000-0005-0000-0000-000080050000}"/>
    <cellStyle name="Comma 2 3 3 4 3" xfId="6407" xr:uid="{00000000-0005-0000-0000-000081050000}"/>
    <cellStyle name="Comma 2 3 3 4 3 2" xfId="16267" xr:uid="{00000000-0005-0000-0000-000082050000}"/>
    <cellStyle name="Comma 2 3 3 4 3 2 2" xfId="35982" xr:uid="{00000000-0005-0000-0000-000083050000}"/>
    <cellStyle name="Comma 2 3 3 4 3 3" xfId="26125" xr:uid="{00000000-0005-0000-0000-000084050000}"/>
    <cellStyle name="Comma 2 3 3 4 4" xfId="11339" xr:uid="{00000000-0005-0000-0000-000085050000}"/>
    <cellStyle name="Comma 2 3 3 4 4 2" xfId="31054" xr:uid="{00000000-0005-0000-0000-000086050000}"/>
    <cellStyle name="Comma 2 3 3 4 5" xfId="21197" xr:uid="{00000000-0005-0000-0000-000087050000}"/>
    <cellStyle name="Comma 2 3 3 5" xfId="2707" xr:uid="{00000000-0005-0000-0000-000088050000}"/>
    <cellStyle name="Comma 2 3 3 5 2" xfId="7639" xr:uid="{00000000-0005-0000-0000-000089050000}"/>
    <cellStyle name="Comma 2 3 3 5 2 2" xfId="17499" xr:uid="{00000000-0005-0000-0000-00008A050000}"/>
    <cellStyle name="Comma 2 3 3 5 2 2 2" xfId="37214" xr:uid="{00000000-0005-0000-0000-00008B050000}"/>
    <cellStyle name="Comma 2 3 3 5 2 3" xfId="27357" xr:uid="{00000000-0005-0000-0000-00008C050000}"/>
    <cellStyle name="Comma 2 3 3 5 3" xfId="12571" xr:uid="{00000000-0005-0000-0000-00008D050000}"/>
    <cellStyle name="Comma 2 3 3 5 3 2" xfId="32286" xr:uid="{00000000-0005-0000-0000-00008E050000}"/>
    <cellStyle name="Comma 2 3 3 5 4" xfId="22429" xr:uid="{00000000-0005-0000-0000-00008F050000}"/>
    <cellStyle name="Comma 2 3 3 6" xfId="5175" xr:uid="{00000000-0005-0000-0000-000090050000}"/>
    <cellStyle name="Comma 2 3 3 6 2" xfId="15035" xr:uid="{00000000-0005-0000-0000-000091050000}"/>
    <cellStyle name="Comma 2 3 3 6 2 2" xfId="34750" xr:uid="{00000000-0005-0000-0000-000092050000}"/>
    <cellStyle name="Comma 2 3 3 6 3" xfId="24893" xr:uid="{00000000-0005-0000-0000-000093050000}"/>
    <cellStyle name="Comma 2 3 3 7" xfId="10107" xr:uid="{00000000-0005-0000-0000-000094050000}"/>
    <cellStyle name="Comma 2 3 3 7 2" xfId="29822" xr:uid="{00000000-0005-0000-0000-000095050000}"/>
    <cellStyle name="Comma 2 3 3 8" xfId="19965" xr:uid="{00000000-0005-0000-0000-000096050000}"/>
    <cellStyle name="Comma 2 3 4" xfId="387" xr:uid="{00000000-0005-0000-0000-000097050000}"/>
    <cellStyle name="Comma 2 3 4 2" xfId="1007" xr:uid="{00000000-0005-0000-0000-000098050000}"/>
    <cellStyle name="Comma 2 3 4 2 2" xfId="2242" xr:uid="{00000000-0005-0000-0000-000099050000}"/>
    <cellStyle name="Comma 2 3 4 2 2 2" xfId="4709" xr:uid="{00000000-0005-0000-0000-00009A050000}"/>
    <cellStyle name="Comma 2 3 4 2 2 2 2" xfId="9641" xr:uid="{00000000-0005-0000-0000-00009B050000}"/>
    <cellStyle name="Comma 2 3 4 2 2 2 2 2" xfId="19501" xr:uid="{00000000-0005-0000-0000-00009C050000}"/>
    <cellStyle name="Comma 2 3 4 2 2 2 2 2 2" xfId="39216" xr:uid="{00000000-0005-0000-0000-00009D050000}"/>
    <cellStyle name="Comma 2 3 4 2 2 2 2 3" xfId="29359" xr:uid="{00000000-0005-0000-0000-00009E050000}"/>
    <cellStyle name="Comma 2 3 4 2 2 2 3" xfId="14573" xr:uid="{00000000-0005-0000-0000-00009F050000}"/>
    <cellStyle name="Comma 2 3 4 2 2 2 3 2" xfId="34288" xr:uid="{00000000-0005-0000-0000-0000A0050000}"/>
    <cellStyle name="Comma 2 3 4 2 2 2 4" xfId="24431" xr:uid="{00000000-0005-0000-0000-0000A1050000}"/>
    <cellStyle name="Comma 2 3 4 2 2 3" xfId="7177" xr:uid="{00000000-0005-0000-0000-0000A2050000}"/>
    <cellStyle name="Comma 2 3 4 2 2 3 2" xfId="17037" xr:uid="{00000000-0005-0000-0000-0000A3050000}"/>
    <cellStyle name="Comma 2 3 4 2 2 3 2 2" xfId="36752" xr:uid="{00000000-0005-0000-0000-0000A4050000}"/>
    <cellStyle name="Comma 2 3 4 2 2 3 3" xfId="26895" xr:uid="{00000000-0005-0000-0000-0000A5050000}"/>
    <cellStyle name="Comma 2 3 4 2 2 4" xfId="12109" xr:uid="{00000000-0005-0000-0000-0000A6050000}"/>
    <cellStyle name="Comma 2 3 4 2 2 4 2" xfId="31824" xr:uid="{00000000-0005-0000-0000-0000A7050000}"/>
    <cellStyle name="Comma 2 3 4 2 2 5" xfId="21967" xr:uid="{00000000-0005-0000-0000-0000A8050000}"/>
    <cellStyle name="Comma 2 3 4 2 3" xfId="3477" xr:uid="{00000000-0005-0000-0000-0000A9050000}"/>
    <cellStyle name="Comma 2 3 4 2 3 2" xfId="8409" xr:uid="{00000000-0005-0000-0000-0000AA050000}"/>
    <cellStyle name="Comma 2 3 4 2 3 2 2" xfId="18269" xr:uid="{00000000-0005-0000-0000-0000AB050000}"/>
    <cellStyle name="Comma 2 3 4 2 3 2 2 2" xfId="37984" xr:uid="{00000000-0005-0000-0000-0000AC050000}"/>
    <cellStyle name="Comma 2 3 4 2 3 2 3" xfId="28127" xr:uid="{00000000-0005-0000-0000-0000AD050000}"/>
    <cellStyle name="Comma 2 3 4 2 3 3" xfId="13341" xr:uid="{00000000-0005-0000-0000-0000AE050000}"/>
    <cellStyle name="Comma 2 3 4 2 3 3 2" xfId="33056" xr:uid="{00000000-0005-0000-0000-0000AF050000}"/>
    <cellStyle name="Comma 2 3 4 2 3 4" xfId="23199" xr:uid="{00000000-0005-0000-0000-0000B0050000}"/>
    <cellStyle name="Comma 2 3 4 2 4" xfId="5945" xr:uid="{00000000-0005-0000-0000-0000B1050000}"/>
    <cellStyle name="Comma 2 3 4 2 4 2" xfId="15805" xr:uid="{00000000-0005-0000-0000-0000B2050000}"/>
    <cellStyle name="Comma 2 3 4 2 4 2 2" xfId="35520" xr:uid="{00000000-0005-0000-0000-0000B3050000}"/>
    <cellStyle name="Comma 2 3 4 2 4 3" xfId="25663" xr:uid="{00000000-0005-0000-0000-0000B4050000}"/>
    <cellStyle name="Comma 2 3 4 2 5" xfId="10877" xr:uid="{00000000-0005-0000-0000-0000B5050000}"/>
    <cellStyle name="Comma 2 3 4 2 5 2" xfId="30592" xr:uid="{00000000-0005-0000-0000-0000B6050000}"/>
    <cellStyle name="Comma 2 3 4 2 6" xfId="20735" xr:uid="{00000000-0005-0000-0000-0000B7050000}"/>
    <cellStyle name="Comma 2 3 4 3" xfId="1626" xr:uid="{00000000-0005-0000-0000-0000B8050000}"/>
    <cellStyle name="Comma 2 3 4 3 2" xfId="4093" xr:uid="{00000000-0005-0000-0000-0000B9050000}"/>
    <cellStyle name="Comma 2 3 4 3 2 2" xfId="9025" xr:uid="{00000000-0005-0000-0000-0000BA050000}"/>
    <cellStyle name="Comma 2 3 4 3 2 2 2" xfId="18885" xr:uid="{00000000-0005-0000-0000-0000BB050000}"/>
    <cellStyle name="Comma 2 3 4 3 2 2 2 2" xfId="38600" xr:uid="{00000000-0005-0000-0000-0000BC050000}"/>
    <cellStyle name="Comma 2 3 4 3 2 2 3" xfId="28743" xr:uid="{00000000-0005-0000-0000-0000BD050000}"/>
    <cellStyle name="Comma 2 3 4 3 2 3" xfId="13957" xr:uid="{00000000-0005-0000-0000-0000BE050000}"/>
    <cellStyle name="Comma 2 3 4 3 2 3 2" xfId="33672" xr:uid="{00000000-0005-0000-0000-0000BF050000}"/>
    <cellStyle name="Comma 2 3 4 3 2 4" xfId="23815" xr:uid="{00000000-0005-0000-0000-0000C0050000}"/>
    <cellStyle name="Comma 2 3 4 3 3" xfId="6561" xr:uid="{00000000-0005-0000-0000-0000C1050000}"/>
    <cellStyle name="Comma 2 3 4 3 3 2" xfId="16421" xr:uid="{00000000-0005-0000-0000-0000C2050000}"/>
    <cellStyle name="Comma 2 3 4 3 3 2 2" xfId="36136" xr:uid="{00000000-0005-0000-0000-0000C3050000}"/>
    <cellStyle name="Comma 2 3 4 3 3 3" xfId="26279" xr:uid="{00000000-0005-0000-0000-0000C4050000}"/>
    <cellStyle name="Comma 2 3 4 3 4" xfId="11493" xr:uid="{00000000-0005-0000-0000-0000C5050000}"/>
    <cellStyle name="Comma 2 3 4 3 4 2" xfId="31208" xr:uid="{00000000-0005-0000-0000-0000C6050000}"/>
    <cellStyle name="Comma 2 3 4 3 5" xfId="21351" xr:uid="{00000000-0005-0000-0000-0000C7050000}"/>
    <cellStyle name="Comma 2 3 4 4" xfId="2861" xr:uid="{00000000-0005-0000-0000-0000C8050000}"/>
    <cellStyle name="Comma 2 3 4 4 2" xfId="7793" xr:uid="{00000000-0005-0000-0000-0000C9050000}"/>
    <cellStyle name="Comma 2 3 4 4 2 2" xfId="17653" xr:uid="{00000000-0005-0000-0000-0000CA050000}"/>
    <cellStyle name="Comma 2 3 4 4 2 2 2" xfId="37368" xr:uid="{00000000-0005-0000-0000-0000CB050000}"/>
    <cellStyle name="Comma 2 3 4 4 2 3" xfId="27511" xr:uid="{00000000-0005-0000-0000-0000CC050000}"/>
    <cellStyle name="Comma 2 3 4 4 3" xfId="12725" xr:uid="{00000000-0005-0000-0000-0000CD050000}"/>
    <cellStyle name="Comma 2 3 4 4 3 2" xfId="32440" xr:uid="{00000000-0005-0000-0000-0000CE050000}"/>
    <cellStyle name="Comma 2 3 4 4 4" xfId="22583" xr:uid="{00000000-0005-0000-0000-0000CF050000}"/>
    <cellStyle name="Comma 2 3 4 5" xfId="5329" xr:uid="{00000000-0005-0000-0000-0000D0050000}"/>
    <cellStyle name="Comma 2 3 4 5 2" xfId="15189" xr:uid="{00000000-0005-0000-0000-0000D1050000}"/>
    <cellStyle name="Comma 2 3 4 5 2 2" xfId="34904" xr:uid="{00000000-0005-0000-0000-0000D2050000}"/>
    <cellStyle name="Comma 2 3 4 5 3" xfId="25047" xr:uid="{00000000-0005-0000-0000-0000D3050000}"/>
    <cellStyle name="Comma 2 3 4 6" xfId="10261" xr:uid="{00000000-0005-0000-0000-0000D4050000}"/>
    <cellStyle name="Comma 2 3 4 6 2" xfId="29976" xr:uid="{00000000-0005-0000-0000-0000D5050000}"/>
    <cellStyle name="Comma 2 3 4 7" xfId="20119" xr:uid="{00000000-0005-0000-0000-0000D6050000}"/>
    <cellStyle name="Comma 2 3 5" xfId="700" xr:uid="{00000000-0005-0000-0000-0000D7050000}"/>
    <cellStyle name="Comma 2 3 5 2" xfId="1936" xr:uid="{00000000-0005-0000-0000-0000D8050000}"/>
    <cellStyle name="Comma 2 3 5 2 2" xfId="4403" xr:uid="{00000000-0005-0000-0000-0000D9050000}"/>
    <cellStyle name="Comma 2 3 5 2 2 2" xfId="9335" xr:uid="{00000000-0005-0000-0000-0000DA050000}"/>
    <cellStyle name="Comma 2 3 5 2 2 2 2" xfId="19195" xr:uid="{00000000-0005-0000-0000-0000DB050000}"/>
    <cellStyle name="Comma 2 3 5 2 2 2 2 2" xfId="38910" xr:uid="{00000000-0005-0000-0000-0000DC050000}"/>
    <cellStyle name="Comma 2 3 5 2 2 2 3" xfId="29053" xr:uid="{00000000-0005-0000-0000-0000DD050000}"/>
    <cellStyle name="Comma 2 3 5 2 2 3" xfId="14267" xr:uid="{00000000-0005-0000-0000-0000DE050000}"/>
    <cellStyle name="Comma 2 3 5 2 2 3 2" xfId="33982" xr:uid="{00000000-0005-0000-0000-0000DF050000}"/>
    <cellStyle name="Comma 2 3 5 2 2 4" xfId="24125" xr:uid="{00000000-0005-0000-0000-0000E0050000}"/>
    <cellStyle name="Comma 2 3 5 2 3" xfId="6871" xr:uid="{00000000-0005-0000-0000-0000E1050000}"/>
    <cellStyle name="Comma 2 3 5 2 3 2" xfId="16731" xr:uid="{00000000-0005-0000-0000-0000E2050000}"/>
    <cellStyle name="Comma 2 3 5 2 3 2 2" xfId="36446" xr:uid="{00000000-0005-0000-0000-0000E3050000}"/>
    <cellStyle name="Comma 2 3 5 2 3 3" xfId="26589" xr:uid="{00000000-0005-0000-0000-0000E4050000}"/>
    <cellStyle name="Comma 2 3 5 2 4" xfId="11803" xr:uid="{00000000-0005-0000-0000-0000E5050000}"/>
    <cellStyle name="Comma 2 3 5 2 4 2" xfId="31518" xr:uid="{00000000-0005-0000-0000-0000E6050000}"/>
    <cellStyle name="Comma 2 3 5 2 5" xfId="21661" xr:uid="{00000000-0005-0000-0000-0000E7050000}"/>
    <cellStyle name="Comma 2 3 5 3" xfId="3171" xr:uid="{00000000-0005-0000-0000-0000E8050000}"/>
    <cellStyle name="Comma 2 3 5 3 2" xfId="8103" xr:uid="{00000000-0005-0000-0000-0000E9050000}"/>
    <cellStyle name="Comma 2 3 5 3 2 2" xfId="17963" xr:uid="{00000000-0005-0000-0000-0000EA050000}"/>
    <cellStyle name="Comma 2 3 5 3 2 2 2" xfId="37678" xr:uid="{00000000-0005-0000-0000-0000EB050000}"/>
    <cellStyle name="Comma 2 3 5 3 2 3" xfId="27821" xr:uid="{00000000-0005-0000-0000-0000EC050000}"/>
    <cellStyle name="Comma 2 3 5 3 3" xfId="13035" xr:uid="{00000000-0005-0000-0000-0000ED050000}"/>
    <cellStyle name="Comma 2 3 5 3 3 2" xfId="32750" xr:uid="{00000000-0005-0000-0000-0000EE050000}"/>
    <cellStyle name="Comma 2 3 5 3 4" xfId="22893" xr:uid="{00000000-0005-0000-0000-0000EF050000}"/>
    <cellStyle name="Comma 2 3 5 4" xfId="5639" xr:uid="{00000000-0005-0000-0000-0000F0050000}"/>
    <cellStyle name="Comma 2 3 5 4 2" xfId="15499" xr:uid="{00000000-0005-0000-0000-0000F1050000}"/>
    <cellStyle name="Comma 2 3 5 4 2 2" xfId="35214" xr:uid="{00000000-0005-0000-0000-0000F2050000}"/>
    <cellStyle name="Comma 2 3 5 4 3" xfId="25357" xr:uid="{00000000-0005-0000-0000-0000F3050000}"/>
    <cellStyle name="Comma 2 3 5 5" xfId="10571" xr:uid="{00000000-0005-0000-0000-0000F4050000}"/>
    <cellStyle name="Comma 2 3 5 5 2" xfId="30286" xr:uid="{00000000-0005-0000-0000-0000F5050000}"/>
    <cellStyle name="Comma 2 3 5 6" xfId="20429" xr:uid="{00000000-0005-0000-0000-0000F6050000}"/>
    <cellStyle name="Comma 2 3 6" xfId="1320" xr:uid="{00000000-0005-0000-0000-0000F7050000}"/>
    <cellStyle name="Comma 2 3 6 2" xfId="3787" xr:uid="{00000000-0005-0000-0000-0000F8050000}"/>
    <cellStyle name="Comma 2 3 6 2 2" xfId="8719" xr:uid="{00000000-0005-0000-0000-0000F9050000}"/>
    <cellStyle name="Comma 2 3 6 2 2 2" xfId="18579" xr:uid="{00000000-0005-0000-0000-0000FA050000}"/>
    <cellStyle name="Comma 2 3 6 2 2 2 2" xfId="38294" xr:uid="{00000000-0005-0000-0000-0000FB050000}"/>
    <cellStyle name="Comma 2 3 6 2 2 3" xfId="28437" xr:uid="{00000000-0005-0000-0000-0000FC050000}"/>
    <cellStyle name="Comma 2 3 6 2 3" xfId="13651" xr:uid="{00000000-0005-0000-0000-0000FD050000}"/>
    <cellStyle name="Comma 2 3 6 2 3 2" xfId="33366" xr:uid="{00000000-0005-0000-0000-0000FE050000}"/>
    <cellStyle name="Comma 2 3 6 2 4" xfId="23509" xr:uid="{00000000-0005-0000-0000-0000FF050000}"/>
    <cellStyle name="Comma 2 3 6 3" xfId="6255" xr:uid="{00000000-0005-0000-0000-000000060000}"/>
    <cellStyle name="Comma 2 3 6 3 2" xfId="16115" xr:uid="{00000000-0005-0000-0000-000001060000}"/>
    <cellStyle name="Comma 2 3 6 3 2 2" xfId="35830" xr:uid="{00000000-0005-0000-0000-000002060000}"/>
    <cellStyle name="Comma 2 3 6 3 3" xfId="25973" xr:uid="{00000000-0005-0000-0000-000003060000}"/>
    <cellStyle name="Comma 2 3 6 4" xfId="11187" xr:uid="{00000000-0005-0000-0000-000004060000}"/>
    <cellStyle name="Comma 2 3 6 4 2" xfId="30902" xr:uid="{00000000-0005-0000-0000-000005060000}"/>
    <cellStyle name="Comma 2 3 6 5" xfId="21045" xr:uid="{00000000-0005-0000-0000-000006060000}"/>
    <cellStyle name="Comma 2 3 7" xfId="2555" xr:uid="{00000000-0005-0000-0000-000007060000}"/>
    <cellStyle name="Comma 2 3 7 2" xfId="7487" xr:uid="{00000000-0005-0000-0000-000008060000}"/>
    <cellStyle name="Comma 2 3 7 2 2" xfId="17347" xr:uid="{00000000-0005-0000-0000-000009060000}"/>
    <cellStyle name="Comma 2 3 7 2 2 2" xfId="37062" xr:uid="{00000000-0005-0000-0000-00000A060000}"/>
    <cellStyle name="Comma 2 3 7 2 3" xfId="27205" xr:uid="{00000000-0005-0000-0000-00000B060000}"/>
    <cellStyle name="Comma 2 3 7 3" xfId="12419" xr:uid="{00000000-0005-0000-0000-00000C060000}"/>
    <cellStyle name="Comma 2 3 7 3 2" xfId="32134" xr:uid="{00000000-0005-0000-0000-00000D060000}"/>
    <cellStyle name="Comma 2 3 7 4" xfId="22277" xr:uid="{00000000-0005-0000-0000-00000E060000}"/>
    <cellStyle name="Comma 2 3 8" xfId="5023" xr:uid="{00000000-0005-0000-0000-00000F060000}"/>
    <cellStyle name="Comma 2 3 8 2" xfId="14883" xr:uid="{00000000-0005-0000-0000-000010060000}"/>
    <cellStyle name="Comma 2 3 8 2 2" xfId="34598" xr:uid="{00000000-0005-0000-0000-000011060000}"/>
    <cellStyle name="Comma 2 3 8 3" xfId="24741" xr:uid="{00000000-0005-0000-0000-000012060000}"/>
    <cellStyle name="Comma 2 3 9" xfId="9955" xr:uid="{00000000-0005-0000-0000-000013060000}"/>
    <cellStyle name="Comma 2 3 9 2" xfId="29670" xr:uid="{00000000-0005-0000-0000-000014060000}"/>
    <cellStyle name="Comma 2 4" xfId="103" xr:uid="{00000000-0005-0000-0000-000015060000}"/>
    <cellStyle name="Comma 2 4 2" xfId="263" xr:uid="{00000000-0005-0000-0000-000016060000}"/>
    <cellStyle name="Comma 2 4 2 2" xfId="577" xr:uid="{00000000-0005-0000-0000-000017060000}"/>
    <cellStyle name="Comma 2 4 2 2 2" xfId="1197" xr:uid="{00000000-0005-0000-0000-000018060000}"/>
    <cellStyle name="Comma 2 4 2 2 2 2" xfId="2432" xr:uid="{00000000-0005-0000-0000-000019060000}"/>
    <cellStyle name="Comma 2 4 2 2 2 2 2" xfId="4899" xr:uid="{00000000-0005-0000-0000-00001A060000}"/>
    <cellStyle name="Comma 2 4 2 2 2 2 2 2" xfId="9831" xr:uid="{00000000-0005-0000-0000-00001B060000}"/>
    <cellStyle name="Comma 2 4 2 2 2 2 2 2 2" xfId="19691" xr:uid="{00000000-0005-0000-0000-00001C060000}"/>
    <cellStyle name="Comma 2 4 2 2 2 2 2 2 2 2" xfId="39406" xr:uid="{00000000-0005-0000-0000-00001D060000}"/>
    <cellStyle name="Comma 2 4 2 2 2 2 2 2 3" xfId="29549" xr:uid="{00000000-0005-0000-0000-00001E060000}"/>
    <cellStyle name="Comma 2 4 2 2 2 2 2 3" xfId="14763" xr:uid="{00000000-0005-0000-0000-00001F060000}"/>
    <cellStyle name="Comma 2 4 2 2 2 2 2 3 2" xfId="34478" xr:uid="{00000000-0005-0000-0000-000020060000}"/>
    <cellStyle name="Comma 2 4 2 2 2 2 2 4" xfId="24621" xr:uid="{00000000-0005-0000-0000-000021060000}"/>
    <cellStyle name="Comma 2 4 2 2 2 2 3" xfId="7367" xr:uid="{00000000-0005-0000-0000-000022060000}"/>
    <cellStyle name="Comma 2 4 2 2 2 2 3 2" xfId="17227" xr:uid="{00000000-0005-0000-0000-000023060000}"/>
    <cellStyle name="Comma 2 4 2 2 2 2 3 2 2" xfId="36942" xr:uid="{00000000-0005-0000-0000-000024060000}"/>
    <cellStyle name="Comma 2 4 2 2 2 2 3 3" xfId="27085" xr:uid="{00000000-0005-0000-0000-000025060000}"/>
    <cellStyle name="Comma 2 4 2 2 2 2 4" xfId="12299" xr:uid="{00000000-0005-0000-0000-000026060000}"/>
    <cellStyle name="Comma 2 4 2 2 2 2 4 2" xfId="32014" xr:uid="{00000000-0005-0000-0000-000027060000}"/>
    <cellStyle name="Comma 2 4 2 2 2 2 5" xfId="22157" xr:uid="{00000000-0005-0000-0000-000028060000}"/>
    <cellStyle name="Comma 2 4 2 2 2 3" xfId="3667" xr:uid="{00000000-0005-0000-0000-000029060000}"/>
    <cellStyle name="Comma 2 4 2 2 2 3 2" xfId="8599" xr:uid="{00000000-0005-0000-0000-00002A060000}"/>
    <cellStyle name="Comma 2 4 2 2 2 3 2 2" xfId="18459" xr:uid="{00000000-0005-0000-0000-00002B060000}"/>
    <cellStyle name="Comma 2 4 2 2 2 3 2 2 2" xfId="38174" xr:uid="{00000000-0005-0000-0000-00002C060000}"/>
    <cellStyle name="Comma 2 4 2 2 2 3 2 3" xfId="28317" xr:uid="{00000000-0005-0000-0000-00002D060000}"/>
    <cellStyle name="Comma 2 4 2 2 2 3 3" xfId="13531" xr:uid="{00000000-0005-0000-0000-00002E060000}"/>
    <cellStyle name="Comma 2 4 2 2 2 3 3 2" xfId="33246" xr:uid="{00000000-0005-0000-0000-00002F060000}"/>
    <cellStyle name="Comma 2 4 2 2 2 3 4" xfId="23389" xr:uid="{00000000-0005-0000-0000-000030060000}"/>
    <cellStyle name="Comma 2 4 2 2 2 4" xfId="6135" xr:uid="{00000000-0005-0000-0000-000031060000}"/>
    <cellStyle name="Comma 2 4 2 2 2 4 2" xfId="15995" xr:uid="{00000000-0005-0000-0000-000032060000}"/>
    <cellStyle name="Comma 2 4 2 2 2 4 2 2" xfId="35710" xr:uid="{00000000-0005-0000-0000-000033060000}"/>
    <cellStyle name="Comma 2 4 2 2 2 4 3" xfId="25853" xr:uid="{00000000-0005-0000-0000-000034060000}"/>
    <cellStyle name="Comma 2 4 2 2 2 5" xfId="11067" xr:uid="{00000000-0005-0000-0000-000035060000}"/>
    <cellStyle name="Comma 2 4 2 2 2 5 2" xfId="30782" xr:uid="{00000000-0005-0000-0000-000036060000}"/>
    <cellStyle name="Comma 2 4 2 2 2 6" xfId="20925" xr:uid="{00000000-0005-0000-0000-000037060000}"/>
    <cellStyle name="Comma 2 4 2 2 3" xfId="1816" xr:uid="{00000000-0005-0000-0000-000038060000}"/>
    <cellStyle name="Comma 2 4 2 2 3 2" xfId="4283" xr:uid="{00000000-0005-0000-0000-000039060000}"/>
    <cellStyle name="Comma 2 4 2 2 3 2 2" xfId="9215" xr:uid="{00000000-0005-0000-0000-00003A060000}"/>
    <cellStyle name="Comma 2 4 2 2 3 2 2 2" xfId="19075" xr:uid="{00000000-0005-0000-0000-00003B060000}"/>
    <cellStyle name="Comma 2 4 2 2 3 2 2 2 2" xfId="38790" xr:uid="{00000000-0005-0000-0000-00003C060000}"/>
    <cellStyle name="Comma 2 4 2 2 3 2 2 3" xfId="28933" xr:uid="{00000000-0005-0000-0000-00003D060000}"/>
    <cellStyle name="Comma 2 4 2 2 3 2 3" xfId="14147" xr:uid="{00000000-0005-0000-0000-00003E060000}"/>
    <cellStyle name="Comma 2 4 2 2 3 2 3 2" xfId="33862" xr:uid="{00000000-0005-0000-0000-00003F060000}"/>
    <cellStyle name="Comma 2 4 2 2 3 2 4" xfId="24005" xr:uid="{00000000-0005-0000-0000-000040060000}"/>
    <cellStyle name="Comma 2 4 2 2 3 3" xfId="6751" xr:uid="{00000000-0005-0000-0000-000041060000}"/>
    <cellStyle name="Comma 2 4 2 2 3 3 2" xfId="16611" xr:uid="{00000000-0005-0000-0000-000042060000}"/>
    <cellStyle name="Comma 2 4 2 2 3 3 2 2" xfId="36326" xr:uid="{00000000-0005-0000-0000-000043060000}"/>
    <cellStyle name="Comma 2 4 2 2 3 3 3" xfId="26469" xr:uid="{00000000-0005-0000-0000-000044060000}"/>
    <cellStyle name="Comma 2 4 2 2 3 4" xfId="11683" xr:uid="{00000000-0005-0000-0000-000045060000}"/>
    <cellStyle name="Comma 2 4 2 2 3 4 2" xfId="31398" xr:uid="{00000000-0005-0000-0000-000046060000}"/>
    <cellStyle name="Comma 2 4 2 2 3 5" xfId="21541" xr:uid="{00000000-0005-0000-0000-000047060000}"/>
    <cellStyle name="Comma 2 4 2 2 4" xfId="3051" xr:uid="{00000000-0005-0000-0000-000048060000}"/>
    <cellStyle name="Comma 2 4 2 2 4 2" xfId="7983" xr:uid="{00000000-0005-0000-0000-000049060000}"/>
    <cellStyle name="Comma 2 4 2 2 4 2 2" xfId="17843" xr:uid="{00000000-0005-0000-0000-00004A060000}"/>
    <cellStyle name="Comma 2 4 2 2 4 2 2 2" xfId="37558" xr:uid="{00000000-0005-0000-0000-00004B060000}"/>
    <cellStyle name="Comma 2 4 2 2 4 2 3" xfId="27701" xr:uid="{00000000-0005-0000-0000-00004C060000}"/>
    <cellStyle name="Comma 2 4 2 2 4 3" xfId="12915" xr:uid="{00000000-0005-0000-0000-00004D060000}"/>
    <cellStyle name="Comma 2 4 2 2 4 3 2" xfId="32630" xr:uid="{00000000-0005-0000-0000-00004E060000}"/>
    <cellStyle name="Comma 2 4 2 2 4 4" xfId="22773" xr:uid="{00000000-0005-0000-0000-00004F060000}"/>
    <cellStyle name="Comma 2 4 2 2 5" xfId="5519" xr:uid="{00000000-0005-0000-0000-000050060000}"/>
    <cellStyle name="Comma 2 4 2 2 5 2" xfId="15379" xr:uid="{00000000-0005-0000-0000-000051060000}"/>
    <cellStyle name="Comma 2 4 2 2 5 2 2" xfId="35094" xr:uid="{00000000-0005-0000-0000-000052060000}"/>
    <cellStyle name="Comma 2 4 2 2 5 3" xfId="25237" xr:uid="{00000000-0005-0000-0000-000053060000}"/>
    <cellStyle name="Comma 2 4 2 2 6" xfId="10451" xr:uid="{00000000-0005-0000-0000-000054060000}"/>
    <cellStyle name="Comma 2 4 2 2 6 2" xfId="30166" xr:uid="{00000000-0005-0000-0000-000055060000}"/>
    <cellStyle name="Comma 2 4 2 2 7" xfId="20309" xr:uid="{00000000-0005-0000-0000-000056060000}"/>
    <cellStyle name="Comma 2 4 2 3" xfId="890" xr:uid="{00000000-0005-0000-0000-000057060000}"/>
    <cellStyle name="Comma 2 4 2 3 2" xfId="2126" xr:uid="{00000000-0005-0000-0000-000058060000}"/>
    <cellStyle name="Comma 2 4 2 3 2 2" xfId="4593" xr:uid="{00000000-0005-0000-0000-000059060000}"/>
    <cellStyle name="Comma 2 4 2 3 2 2 2" xfId="9525" xr:uid="{00000000-0005-0000-0000-00005A060000}"/>
    <cellStyle name="Comma 2 4 2 3 2 2 2 2" xfId="19385" xr:uid="{00000000-0005-0000-0000-00005B060000}"/>
    <cellStyle name="Comma 2 4 2 3 2 2 2 2 2" xfId="39100" xr:uid="{00000000-0005-0000-0000-00005C060000}"/>
    <cellStyle name="Comma 2 4 2 3 2 2 2 3" xfId="29243" xr:uid="{00000000-0005-0000-0000-00005D060000}"/>
    <cellStyle name="Comma 2 4 2 3 2 2 3" xfId="14457" xr:uid="{00000000-0005-0000-0000-00005E060000}"/>
    <cellStyle name="Comma 2 4 2 3 2 2 3 2" xfId="34172" xr:uid="{00000000-0005-0000-0000-00005F060000}"/>
    <cellStyle name="Comma 2 4 2 3 2 2 4" xfId="24315" xr:uid="{00000000-0005-0000-0000-000060060000}"/>
    <cellStyle name="Comma 2 4 2 3 2 3" xfId="7061" xr:uid="{00000000-0005-0000-0000-000061060000}"/>
    <cellStyle name="Comma 2 4 2 3 2 3 2" xfId="16921" xr:uid="{00000000-0005-0000-0000-000062060000}"/>
    <cellStyle name="Comma 2 4 2 3 2 3 2 2" xfId="36636" xr:uid="{00000000-0005-0000-0000-000063060000}"/>
    <cellStyle name="Comma 2 4 2 3 2 3 3" xfId="26779" xr:uid="{00000000-0005-0000-0000-000064060000}"/>
    <cellStyle name="Comma 2 4 2 3 2 4" xfId="11993" xr:uid="{00000000-0005-0000-0000-000065060000}"/>
    <cellStyle name="Comma 2 4 2 3 2 4 2" xfId="31708" xr:uid="{00000000-0005-0000-0000-000066060000}"/>
    <cellStyle name="Comma 2 4 2 3 2 5" xfId="21851" xr:uid="{00000000-0005-0000-0000-000067060000}"/>
    <cellStyle name="Comma 2 4 2 3 3" xfId="3361" xr:uid="{00000000-0005-0000-0000-000068060000}"/>
    <cellStyle name="Comma 2 4 2 3 3 2" xfId="8293" xr:uid="{00000000-0005-0000-0000-000069060000}"/>
    <cellStyle name="Comma 2 4 2 3 3 2 2" xfId="18153" xr:uid="{00000000-0005-0000-0000-00006A060000}"/>
    <cellStyle name="Comma 2 4 2 3 3 2 2 2" xfId="37868" xr:uid="{00000000-0005-0000-0000-00006B060000}"/>
    <cellStyle name="Comma 2 4 2 3 3 2 3" xfId="28011" xr:uid="{00000000-0005-0000-0000-00006C060000}"/>
    <cellStyle name="Comma 2 4 2 3 3 3" xfId="13225" xr:uid="{00000000-0005-0000-0000-00006D060000}"/>
    <cellStyle name="Comma 2 4 2 3 3 3 2" xfId="32940" xr:uid="{00000000-0005-0000-0000-00006E060000}"/>
    <cellStyle name="Comma 2 4 2 3 3 4" xfId="23083" xr:uid="{00000000-0005-0000-0000-00006F060000}"/>
    <cellStyle name="Comma 2 4 2 3 4" xfId="5829" xr:uid="{00000000-0005-0000-0000-000070060000}"/>
    <cellStyle name="Comma 2 4 2 3 4 2" xfId="15689" xr:uid="{00000000-0005-0000-0000-000071060000}"/>
    <cellStyle name="Comma 2 4 2 3 4 2 2" xfId="35404" xr:uid="{00000000-0005-0000-0000-000072060000}"/>
    <cellStyle name="Comma 2 4 2 3 4 3" xfId="25547" xr:uid="{00000000-0005-0000-0000-000073060000}"/>
    <cellStyle name="Comma 2 4 2 3 5" xfId="10761" xr:uid="{00000000-0005-0000-0000-000074060000}"/>
    <cellStyle name="Comma 2 4 2 3 5 2" xfId="30476" xr:uid="{00000000-0005-0000-0000-000075060000}"/>
    <cellStyle name="Comma 2 4 2 3 6" xfId="20619" xr:uid="{00000000-0005-0000-0000-000076060000}"/>
    <cellStyle name="Comma 2 4 2 4" xfId="1510" xr:uid="{00000000-0005-0000-0000-000077060000}"/>
    <cellStyle name="Comma 2 4 2 4 2" xfId="3977" xr:uid="{00000000-0005-0000-0000-000078060000}"/>
    <cellStyle name="Comma 2 4 2 4 2 2" xfId="8909" xr:uid="{00000000-0005-0000-0000-000079060000}"/>
    <cellStyle name="Comma 2 4 2 4 2 2 2" xfId="18769" xr:uid="{00000000-0005-0000-0000-00007A060000}"/>
    <cellStyle name="Comma 2 4 2 4 2 2 2 2" xfId="38484" xr:uid="{00000000-0005-0000-0000-00007B060000}"/>
    <cellStyle name="Comma 2 4 2 4 2 2 3" xfId="28627" xr:uid="{00000000-0005-0000-0000-00007C060000}"/>
    <cellStyle name="Comma 2 4 2 4 2 3" xfId="13841" xr:uid="{00000000-0005-0000-0000-00007D060000}"/>
    <cellStyle name="Comma 2 4 2 4 2 3 2" xfId="33556" xr:uid="{00000000-0005-0000-0000-00007E060000}"/>
    <cellStyle name="Comma 2 4 2 4 2 4" xfId="23699" xr:uid="{00000000-0005-0000-0000-00007F060000}"/>
    <cellStyle name="Comma 2 4 2 4 3" xfId="6445" xr:uid="{00000000-0005-0000-0000-000080060000}"/>
    <cellStyle name="Comma 2 4 2 4 3 2" xfId="16305" xr:uid="{00000000-0005-0000-0000-000081060000}"/>
    <cellStyle name="Comma 2 4 2 4 3 2 2" xfId="36020" xr:uid="{00000000-0005-0000-0000-000082060000}"/>
    <cellStyle name="Comma 2 4 2 4 3 3" xfId="26163" xr:uid="{00000000-0005-0000-0000-000083060000}"/>
    <cellStyle name="Comma 2 4 2 4 4" xfId="11377" xr:uid="{00000000-0005-0000-0000-000084060000}"/>
    <cellStyle name="Comma 2 4 2 4 4 2" xfId="31092" xr:uid="{00000000-0005-0000-0000-000085060000}"/>
    <cellStyle name="Comma 2 4 2 4 5" xfId="21235" xr:uid="{00000000-0005-0000-0000-000086060000}"/>
    <cellStyle name="Comma 2 4 2 5" xfId="2745" xr:uid="{00000000-0005-0000-0000-000087060000}"/>
    <cellStyle name="Comma 2 4 2 5 2" xfId="7677" xr:uid="{00000000-0005-0000-0000-000088060000}"/>
    <cellStyle name="Comma 2 4 2 5 2 2" xfId="17537" xr:uid="{00000000-0005-0000-0000-000089060000}"/>
    <cellStyle name="Comma 2 4 2 5 2 2 2" xfId="37252" xr:uid="{00000000-0005-0000-0000-00008A060000}"/>
    <cellStyle name="Comma 2 4 2 5 2 3" xfId="27395" xr:uid="{00000000-0005-0000-0000-00008B060000}"/>
    <cellStyle name="Comma 2 4 2 5 3" xfId="12609" xr:uid="{00000000-0005-0000-0000-00008C060000}"/>
    <cellStyle name="Comma 2 4 2 5 3 2" xfId="32324" xr:uid="{00000000-0005-0000-0000-00008D060000}"/>
    <cellStyle name="Comma 2 4 2 5 4" xfId="22467" xr:uid="{00000000-0005-0000-0000-00008E060000}"/>
    <cellStyle name="Comma 2 4 2 6" xfId="5213" xr:uid="{00000000-0005-0000-0000-00008F060000}"/>
    <cellStyle name="Comma 2 4 2 6 2" xfId="15073" xr:uid="{00000000-0005-0000-0000-000090060000}"/>
    <cellStyle name="Comma 2 4 2 6 2 2" xfId="34788" xr:uid="{00000000-0005-0000-0000-000091060000}"/>
    <cellStyle name="Comma 2 4 2 6 3" xfId="24931" xr:uid="{00000000-0005-0000-0000-000092060000}"/>
    <cellStyle name="Comma 2 4 2 7" xfId="10145" xr:uid="{00000000-0005-0000-0000-000093060000}"/>
    <cellStyle name="Comma 2 4 2 7 2" xfId="29860" xr:uid="{00000000-0005-0000-0000-000094060000}"/>
    <cellStyle name="Comma 2 4 2 8" xfId="20003" xr:uid="{00000000-0005-0000-0000-000095060000}"/>
    <cellStyle name="Comma 2 4 3" xfId="425" xr:uid="{00000000-0005-0000-0000-000096060000}"/>
    <cellStyle name="Comma 2 4 3 2" xfId="1045" xr:uid="{00000000-0005-0000-0000-000097060000}"/>
    <cellStyle name="Comma 2 4 3 2 2" xfId="2280" xr:uid="{00000000-0005-0000-0000-000098060000}"/>
    <cellStyle name="Comma 2 4 3 2 2 2" xfId="4747" xr:uid="{00000000-0005-0000-0000-000099060000}"/>
    <cellStyle name="Comma 2 4 3 2 2 2 2" xfId="9679" xr:uid="{00000000-0005-0000-0000-00009A060000}"/>
    <cellStyle name="Comma 2 4 3 2 2 2 2 2" xfId="19539" xr:uid="{00000000-0005-0000-0000-00009B060000}"/>
    <cellStyle name="Comma 2 4 3 2 2 2 2 2 2" xfId="39254" xr:uid="{00000000-0005-0000-0000-00009C060000}"/>
    <cellStyle name="Comma 2 4 3 2 2 2 2 3" xfId="29397" xr:uid="{00000000-0005-0000-0000-00009D060000}"/>
    <cellStyle name="Comma 2 4 3 2 2 2 3" xfId="14611" xr:uid="{00000000-0005-0000-0000-00009E060000}"/>
    <cellStyle name="Comma 2 4 3 2 2 2 3 2" xfId="34326" xr:uid="{00000000-0005-0000-0000-00009F060000}"/>
    <cellStyle name="Comma 2 4 3 2 2 2 4" xfId="24469" xr:uid="{00000000-0005-0000-0000-0000A0060000}"/>
    <cellStyle name="Comma 2 4 3 2 2 3" xfId="7215" xr:uid="{00000000-0005-0000-0000-0000A1060000}"/>
    <cellStyle name="Comma 2 4 3 2 2 3 2" xfId="17075" xr:uid="{00000000-0005-0000-0000-0000A2060000}"/>
    <cellStyle name="Comma 2 4 3 2 2 3 2 2" xfId="36790" xr:uid="{00000000-0005-0000-0000-0000A3060000}"/>
    <cellStyle name="Comma 2 4 3 2 2 3 3" xfId="26933" xr:uid="{00000000-0005-0000-0000-0000A4060000}"/>
    <cellStyle name="Comma 2 4 3 2 2 4" xfId="12147" xr:uid="{00000000-0005-0000-0000-0000A5060000}"/>
    <cellStyle name="Comma 2 4 3 2 2 4 2" xfId="31862" xr:uid="{00000000-0005-0000-0000-0000A6060000}"/>
    <cellStyle name="Comma 2 4 3 2 2 5" xfId="22005" xr:uid="{00000000-0005-0000-0000-0000A7060000}"/>
    <cellStyle name="Comma 2 4 3 2 3" xfId="3515" xr:uid="{00000000-0005-0000-0000-0000A8060000}"/>
    <cellStyle name="Comma 2 4 3 2 3 2" xfId="8447" xr:uid="{00000000-0005-0000-0000-0000A9060000}"/>
    <cellStyle name="Comma 2 4 3 2 3 2 2" xfId="18307" xr:uid="{00000000-0005-0000-0000-0000AA060000}"/>
    <cellStyle name="Comma 2 4 3 2 3 2 2 2" xfId="38022" xr:uid="{00000000-0005-0000-0000-0000AB060000}"/>
    <cellStyle name="Comma 2 4 3 2 3 2 3" xfId="28165" xr:uid="{00000000-0005-0000-0000-0000AC060000}"/>
    <cellStyle name="Comma 2 4 3 2 3 3" xfId="13379" xr:uid="{00000000-0005-0000-0000-0000AD060000}"/>
    <cellStyle name="Comma 2 4 3 2 3 3 2" xfId="33094" xr:uid="{00000000-0005-0000-0000-0000AE060000}"/>
    <cellStyle name="Comma 2 4 3 2 3 4" xfId="23237" xr:uid="{00000000-0005-0000-0000-0000AF060000}"/>
    <cellStyle name="Comma 2 4 3 2 4" xfId="5983" xr:uid="{00000000-0005-0000-0000-0000B0060000}"/>
    <cellStyle name="Comma 2 4 3 2 4 2" xfId="15843" xr:uid="{00000000-0005-0000-0000-0000B1060000}"/>
    <cellStyle name="Comma 2 4 3 2 4 2 2" xfId="35558" xr:uid="{00000000-0005-0000-0000-0000B2060000}"/>
    <cellStyle name="Comma 2 4 3 2 4 3" xfId="25701" xr:uid="{00000000-0005-0000-0000-0000B3060000}"/>
    <cellStyle name="Comma 2 4 3 2 5" xfId="10915" xr:uid="{00000000-0005-0000-0000-0000B4060000}"/>
    <cellStyle name="Comma 2 4 3 2 5 2" xfId="30630" xr:uid="{00000000-0005-0000-0000-0000B5060000}"/>
    <cellStyle name="Comma 2 4 3 2 6" xfId="20773" xr:uid="{00000000-0005-0000-0000-0000B6060000}"/>
    <cellStyle name="Comma 2 4 3 3" xfId="1664" xr:uid="{00000000-0005-0000-0000-0000B7060000}"/>
    <cellStyle name="Comma 2 4 3 3 2" xfId="4131" xr:uid="{00000000-0005-0000-0000-0000B8060000}"/>
    <cellStyle name="Comma 2 4 3 3 2 2" xfId="9063" xr:uid="{00000000-0005-0000-0000-0000B9060000}"/>
    <cellStyle name="Comma 2 4 3 3 2 2 2" xfId="18923" xr:uid="{00000000-0005-0000-0000-0000BA060000}"/>
    <cellStyle name="Comma 2 4 3 3 2 2 2 2" xfId="38638" xr:uid="{00000000-0005-0000-0000-0000BB060000}"/>
    <cellStyle name="Comma 2 4 3 3 2 2 3" xfId="28781" xr:uid="{00000000-0005-0000-0000-0000BC060000}"/>
    <cellStyle name="Comma 2 4 3 3 2 3" xfId="13995" xr:uid="{00000000-0005-0000-0000-0000BD060000}"/>
    <cellStyle name="Comma 2 4 3 3 2 3 2" xfId="33710" xr:uid="{00000000-0005-0000-0000-0000BE060000}"/>
    <cellStyle name="Comma 2 4 3 3 2 4" xfId="23853" xr:uid="{00000000-0005-0000-0000-0000BF060000}"/>
    <cellStyle name="Comma 2 4 3 3 3" xfId="6599" xr:uid="{00000000-0005-0000-0000-0000C0060000}"/>
    <cellStyle name="Comma 2 4 3 3 3 2" xfId="16459" xr:uid="{00000000-0005-0000-0000-0000C1060000}"/>
    <cellStyle name="Comma 2 4 3 3 3 2 2" xfId="36174" xr:uid="{00000000-0005-0000-0000-0000C2060000}"/>
    <cellStyle name="Comma 2 4 3 3 3 3" xfId="26317" xr:uid="{00000000-0005-0000-0000-0000C3060000}"/>
    <cellStyle name="Comma 2 4 3 3 4" xfId="11531" xr:uid="{00000000-0005-0000-0000-0000C4060000}"/>
    <cellStyle name="Comma 2 4 3 3 4 2" xfId="31246" xr:uid="{00000000-0005-0000-0000-0000C5060000}"/>
    <cellStyle name="Comma 2 4 3 3 5" xfId="21389" xr:uid="{00000000-0005-0000-0000-0000C6060000}"/>
    <cellStyle name="Comma 2 4 3 4" xfId="2899" xr:uid="{00000000-0005-0000-0000-0000C7060000}"/>
    <cellStyle name="Comma 2 4 3 4 2" xfId="7831" xr:uid="{00000000-0005-0000-0000-0000C8060000}"/>
    <cellStyle name="Comma 2 4 3 4 2 2" xfId="17691" xr:uid="{00000000-0005-0000-0000-0000C9060000}"/>
    <cellStyle name="Comma 2 4 3 4 2 2 2" xfId="37406" xr:uid="{00000000-0005-0000-0000-0000CA060000}"/>
    <cellStyle name="Comma 2 4 3 4 2 3" xfId="27549" xr:uid="{00000000-0005-0000-0000-0000CB060000}"/>
    <cellStyle name="Comma 2 4 3 4 3" xfId="12763" xr:uid="{00000000-0005-0000-0000-0000CC060000}"/>
    <cellStyle name="Comma 2 4 3 4 3 2" xfId="32478" xr:uid="{00000000-0005-0000-0000-0000CD060000}"/>
    <cellStyle name="Comma 2 4 3 4 4" xfId="22621" xr:uid="{00000000-0005-0000-0000-0000CE060000}"/>
    <cellStyle name="Comma 2 4 3 5" xfId="5367" xr:uid="{00000000-0005-0000-0000-0000CF060000}"/>
    <cellStyle name="Comma 2 4 3 5 2" xfId="15227" xr:uid="{00000000-0005-0000-0000-0000D0060000}"/>
    <cellStyle name="Comma 2 4 3 5 2 2" xfId="34942" xr:uid="{00000000-0005-0000-0000-0000D1060000}"/>
    <cellStyle name="Comma 2 4 3 5 3" xfId="25085" xr:uid="{00000000-0005-0000-0000-0000D2060000}"/>
    <cellStyle name="Comma 2 4 3 6" xfId="10299" xr:uid="{00000000-0005-0000-0000-0000D3060000}"/>
    <cellStyle name="Comma 2 4 3 6 2" xfId="30014" xr:uid="{00000000-0005-0000-0000-0000D4060000}"/>
    <cellStyle name="Comma 2 4 3 7" xfId="20157" xr:uid="{00000000-0005-0000-0000-0000D5060000}"/>
    <cellStyle name="Comma 2 4 4" xfId="738" xr:uid="{00000000-0005-0000-0000-0000D6060000}"/>
    <cellStyle name="Comma 2 4 4 2" xfId="1974" xr:uid="{00000000-0005-0000-0000-0000D7060000}"/>
    <cellStyle name="Comma 2 4 4 2 2" xfId="4441" xr:uid="{00000000-0005-0000-0000-0000D8060000}"/>
    <cellStyle name="Comma 2 4 4 2 2 2" xfId="9373" xr:uid="{00000000-0005-0000-0000-0000D9060000}"/>
    <cellStyle name="Comma 2 4 4 2 2 2 2" xfId="19233" xr:uid="{00000000-0005-0000-0000-0000DA060000}"/>
    <cellStyle name="Comma 2 4 4 2 2 2 2 2" xfId="38948" xr:uid="{00000000-0005-0000-0000-0000DB060000}"/>
    <cellStyle name="Comma 2 4 4 2 2 2 3" xfId="29091" xr:uid="{00000000-0005-0000-0000-0000DC060000}"/>
    <cellStyle name="Comma 2 4 4 2 2 3" xfId="14305" xr:uid="{00000000-0005-0000-0000-0000DD060000}"/>
    <cellStyle name="Comma 2 4 4 2 2 3 2" xfId="34020" xr:uid="{00000000-0005-0000-0000-0000DE060000}"/>
    <cellStyle name="Comma 2 4 4 2 2 4" xfId="24163" xr:uid="{00000000-0005-0000-0000-0000DF060000}"/>
    <cellStyle name="Comma 2 4 4 2 3" xfId="6909" xr:uid="{00000000-0005-0000-0000-0000E0060000}"/>
    <cellStyle name="Comma 2 4 4 2 3 2" xfId="16769" xr:uid="{00000000-0005-0000-0000-0000E1060000}"/>
    <cellStyle name="Comma 2 4 4 2 3 2 2" xfId="36484" xr:uid="{00000000-0005-0000-0000-0000E2060000}"/>
    <cellStyle name="Comma 2 4 4 2 3 3" xfId="26627" xr:uid="{00000000-0005-0000-0000-0000E3060000}"/>
    <cellStyle name="Comma 2 4 4 2 4" xfId="11841" xr:uid="{00000000-0005-0000-0000-0000E4060000}"/>
    <cellStyle name="Comma 2 4 4 2 4 2" xfId="31556" xr:uid="{00000000-0005-0000-0000-0000E5060000}"/>
    <cellStyle name="Comma 2 4 4 2 5" xfId="21699" xr:uid="{00000000-0005-0000-0000-0000E6060000}"/>
    <cellStyle name="Comma 2 4 4 3" xfId="3209" xr:uid="{00000000-0005-0000-0000-0000E7060000}"/>
    <cellStyle name="Comma 2 4 4 3 2" xfId="8141" xr:uid="{00000000-0005-0000-0000-0000E8060000}"/>
    <cellStyle name="Comma 2 4 4 3 2 2" xfId="18001" xr:uid="{00000000-0005-0000-0000-0000E9060000}"/>
    <cellStyle name="Comma 2 4 4 3 2 2 2" xfId="37716" xr:uid="{00000000-0005-0000-0000-0000EA060000}"/>
    <cellStyle name="Comma 2 4 4 3 2 3" xfId="27859" xr:uid="{00000000-0005-0000-0000-0000EB060000}"/>
    <cellStyle name="Comma 2 4 4 3 3" xfId="13073" xr:uid="{00000000-0005-0000-0000-0000EC060000}"/>
    <cellStyle name="Comma 2 4 4 3 3 2" xfId="32788" xr:uid="{00000000-0005-0000-0000-0000ED060000}"/>
    <cellStyle name="Comma 2 4 4 3 4" xfId="22931" xr:uid="{00000000-0005-0000-0000-0000EE060000}"/>
    <cellStyle name="Comma 2 4 4 4" xfId="5677" xr:uid="{00000000-0005-0000-0000-0000EF060000}"/>
    <cellStyle name="Comma 2 4 4 4 2" xfId="15537" xr:uid="{00000000-0005-0000-0000-0000F0060000}"/>
    <cellStyle name="Comma 2 4 4 4 2 2" xfId="35252" xr:uid="{00000000-0005-0000-0000-0000F1060000}"/>
    <cellStyle name="Comma 2 4 4 4 3" xfId="25395" xr:uid="{00000000-0005-0000-0000-0000F2060000}"/>
    <cellStyle name="Comma 2 4 4 5" xfId="10609" xr:uid="{00000000-0005-0000-0000-0000F3060000}"/>
    <cellStyle name="Comma 2 4 4 5 2" xfId="30324" xr:uid="{00000000-0005-0000-0000-0000F4060000}"/>
    <cellStyle name="Comma 2 4 4 6" xfId="20467" xr:uid="{00000000-0005-0000-0000-0000F5060000}"/>
    <cellStyle name="Comma 2 4 5" xfId="1358" xr:uid="{00000000-0005-0000-0000-0000F6060000}"/>
    <cellStyle name="Comma 2 4 5 2" xfId="3825" xr:uid="{00000000-0005-0000-0000-0000F7060000}"/>
    <cellStyle name="Comma 2 4 5 2 2" xfId="8757" xr:uid="{00000000-0005-0000-0000-0000F8060000}"/>
    <cellStyle name="Comma 2 4 5 2 2 2" xfId="18617" xr:uid="{00000000-0005-0000-0000-0000F9060000}"/>
    <cellStyle name="Comma 2 4 5 2 2 2 2" xfId="38332" xr:uid="{00000000-0005-0000-0000-0000FA060000}"/>
    <cellStyle name="Comma 2 4 5 2 2 3" xfId="28475" xr:uid="{00000000-0005-0000-0000-0000FB060000}"/>
    <cellStyle name="Comma 2 4 5 2 3" xfId="13689" xr:uid="{00000000-0005-0000-0000-0000FC060000}"/>
    <cellStyle name="Comma 2 4 5 2 3 2" xfId="33404" xr:uid="{00000000-0005-0000-0000-0000FD060000}"/>
    <cellStyle name="Comma 2 4 5 2 4" xfId="23547" xr:uid="{00000000-0005-0000-0000-0000FE060000}"/>
    <cellStyle name="Comma 2 4 5 3" xfId="6293" xr:uid="{00000000-0005-0000-0000-0000FF060000}"/>
    <cellStyle name="Comma 2 4 5 3 2" xfId="16153" xr:uid="{00000000-0005-0000-0000-000000070000}"/>
    <cellStyle name="Comma 2 4 5 3 2 2" xfId="35868" xr:uid="{00000000-0005-0000-0000-000001070000}"/>
    <cellStyle name="Comma 2 4 5 3 3" xfId="26011" xr:uid="{00000000-0005-0000-0000-000002070000}"/>
    <cellStyle name="Comma 2 4 5 4" xfId="11225" xr:uid="{00000000-0005-0000-0000-000003070000}"/>
    <cellStyle name="Comma 2 4 5 4 2" xfId="30940" xr:uid="{00000000-0005-0000-0000-000004070000}"/>
    <cellStyle name="Comma 2 4 5 5" xfId="21083" xr:uid="{00000000-0005-0000-0000-000005070000}"/>
    <cellStyle name="Comma 2 4 6" xfId="2593" xr:uid="{00000000-0005-0000-0000-000006070000}"/>
    <cellStyle name="Comma 2 4 6 2" xfId="7525" xr:uid="{00000000-0005-0000-0000-000007070000}"/>
    <cellStyle name="Comma 2 4 6 2 2" xfId="17385" xr:uid="{00000000-0005-0000-0000-000008070000}"/>
    <cellStyle name="Comma 2 4 6 2 2 2" xfId="37100" xr:uid="{00000000-0005-0000-0000-000009070000}"/>
    <cellStyle name="Comma 2 4 6 2 3" xfId="27243" xr:uid="{00000000-0005-0000-0000-00000A070000}"/>
    <cellStyle name="Comma 2 4 6 3" xfId="12457" xr:uid="{00000000-0005-0000-0000-00000B070000}"/>
    <cellStyle name="Comma 2 4 6 3 2" xfId="32172" xr:uid="{00000000-0005-0000-0000-00000C070000}"/>
    <cellStyle name="Comma 2 4 6 4" xfId="22315" xr:uid="{00000000-0005-0000-0000-00000D070000}"/>
    <cellStyle name="Comma 2 4 7" xfId="5061" xr:uid="{00000000-0005-0000-0000-00000E070000}"/>
    <cellStyle name="Comma 2 4 7 2" xfId="14921" xr:uid="{00000000-0005-0000-0000-00000F070000}"/>
    <cellStyle name="Comma 2 4 7 2 2" xfId="34636" xr:uid="{00000000-0005-0000-0000-000010070000}"/>
    <cellStyle name="Comma 2 4 7 3" xfId="24779" xr:uid="{00000000-0005-0000-0000-000011070000}"/>
    <cellStyle name="Comma 2 4 8" xfId="9993" xr:uid="{00000000-0005-0000-0000-000012070000}"/>
    <cellStyle name="Comma 2 4 8 2" xfId="29708" xr:uid="{00000000-0005-0000-0000-000013070000}"/>
    <cellStyle name="Comma 2 4 9" xfId="19851" xr:uid="{00000000-0005-0000-0000-000014070000}"/>
    <cellStyle name="Comma 2 5" xfId="184" xr:uid="{00000000-0005-0000-0000-000015070000}"/>
    <cellStyle name="Comma 2 5 2" xfId="501" xr:uid="{00000000-0005-0000-0000-000016070000}"/>
    <cellStyle name="Comma 2 5 2 2" xfId="1121" xr:uid="{00000000-0005-0000-0000-000017070000}"/>
    <cellStyle name="Comma 2 5 2 2 2" xfId="2356" xr:uid="{00000000-0005-0000-0000-000018070000}"/>
    <cellStyle name="Comma 2 5 2 2 2 2" xfId="4823" xr:uid="{00000000-0005-0000-0000-000019070000}"/>
    <cellStyle name="Comma 2 5 2 2 2 2 2" xfId="9755" xr:uid="{00000000-0005-0000-0000-00001A070000}"/>
    <cellStyle name="Comma 2 5 2 2 2 2 2 2" xfId="19615" xr:uid="{00000000-0005-0000-0000-00001B070000}"/>
    <cellStyle name="Comma 2 5 2 2 2 2 2 2 2" xfId="39330" xr:uid="{00000000-0005-0000-0000-00001C070000}"/>
    <cellStyle name="Comma 2 5 2 2 2 2 2 3" xfId="29473" xr:uid="{00000000-0005-0000-0000-00001D070000}"/>
    <cellStyle name="Comma 2 5 2 2 2 2 3" xfId="14687" xr:uid="{00000000-0005-0000-0000-00001E070000}"/>
    <cellStyle name="Comma 2 5 2 2 2 2 3 2" xfId="34402" xr:uid="{00000000-0005-0000-0000-00001F070000}"/>
    <cellStyle name="Comma 2 5 2 2 2 2 4" xfId="24545" xr:uid="{00000000-0005-0000-0000-000020070000}"/>
    <cellStyle name="Comma 2 5 2 2 2 3" xfId="7291" xr:uid="{00000000-0005-0000-0000-000021070000}"/>
    <cellStyle name="Comma 2 5 2 2 2 3 2" xfId="17151" xr:uid="{00000000-0005-0000-0000-000022070000}"/>
    <cellStyle name="Comma 2 5 2 2 2 3 2 2" xfId="36866" xr:uid="{00000000-0005-0000-0000-000023070000}"/>
    <cellStyle name="Comma 2 5 2 2 2 3 3" xfId="27009" xr:uid="{00000000-0005-0000-0000-000024070000}"/>
    <cellStyle name="Comma 2 5 2 2 2 4" xfId="12223" xr:uid="{00000000-0005-0000-0000-000025070000}"/>
    <cellStyle name="Comma 2 5 2 2 2 4 2" xfId="31938" xr:uid="{00000000-0005-0000-0000-000026070000}"/>
    <cellStyle name="Comma 2 5 2 2 2 5" xfId="22081" xr:uid="{00000000-0005-0000-0000-000027070000}"/>
    <cellStyle name="Comma 2 5 2 2 3" xfId="3591" xr:uid="{00000000-0005-0000-0000-000028070000}"/>
    <cellStyle name="Comma 2 5 2 2 3 2" xfId="8523" xr:uid="{00000000-0005-0000-0000-000029070000}"/>
    <cellStyle name="Comma 2 5 2 2 3 2 2" xfId="18383" xr:uid="{00000000-0005-0000-0000-00002A070000}"/>
    <cellStyle name="Comma 2 5 2 2 3 2 2 2" xfId="38098" xr:uid="{00000000-0005-0000-0000-00002B070000}"/>
    <cellStyle name="Comma 2 5 2 2 3 2 3" xfId="28241" xr:uid="{00000000-0005-0000-0000-00002C070000}"/>
    <cellStyle name="Comma 2 5 2 2 3 3" xfId="13455" xr:uid="{00000000-0005-0000-0000-00002D070000}"/>
    <cellStyle name="Comma 2 5 2 2 3 3 2" xfId="33170" xr:uid="{00000000-0005-0000-0000-00002E070000}"/>
    <cellStyle name="Comma 2 5 2 2 3 4" xfId="23313" xr:uid="{00000000-0005-0000-0000-00002F070000}"/>
    <cellStyle name="Comma 2 5 2 2 4" xfId="6059" xr:uid="{00000000-0005-0000-0000-000030070000}"/>
    <cellStyle name="Comma 2 5 2 2 4 2" xfId="15919" xr:uid="{00000000-0005-0000-0000-000031070000}"/>
    <cellStyle name="Comma 2 5 2 2 4 2 2" xfId="35634" xr:uid="{00000000-0005-0000-0000-000032070000}"/>
    <cellStyle name="Comma 2 5 2 2 4 3" xfId="25777" xr:uid="{00000000-0005-0000-0000-000033070000}"/>
    <cellStyle name="Comma 2 5 2 2 5" xfId="10991" xr:uid="{00000000-0005-0000-0000-000034070000}"/>
    <cellStyle name="Comma 2 5 2 2 5 2" xfId="30706" xr:uid="{00000000-0005-0000-0000-000035070000}"/>
    <cellStyle name="Comma 2 5 2 2 6" xfId="20849" xr:uid="{00000000-0005-0000-0000-000036070000}"/>
    <cellStyle name="Comma 2 5 2 3" xfId="1740" xr:uid="{00000000-0005-0000-0000-000037070000}"/>
    <cellStyle name="Comma 2 5 2 3 2" xfId="4207" xr:uid="{00000000-0005-0000-0000-000038070000}"/>
    <cellStyle name="Comma 2 5 2 3 2 2" xfId="9139" xr:uid="{00000000-0005-0000-0000-000039070000}"/>
    <cellStyle name="Comma 2 5 2 3 2 2 2" xfId="18999" xr:uid="{00000000-0005-0000-0000-00003A070000}"/>
    <cellStyle name="Comma 2 5 2 3 2 2 2 2" xfId="38714" xr:uid="{00000000-0005-0000-0000-00003B070000}"/>
    <cellStyle name="Comma 2 5 2 3 2 2 3" xfId="28857" xr:uid="{00000000-0005-0000-0000-00003C070000}"/>
    <cellStyle name="Comma 2 5 2 3 2 3" xfId="14071" xr:uid="{00000000-0005-0000-0000-00003D070000}"/>
    <cellStyle name="Comma 2 5 2 3 2 3 2" xfId="33786" xr:uid="{00000000-0005-0000-0000-00003E070000}"/>
    <cellStyle name="Comma 2 5 2 3 2 4" xfId="23929" xr:uid="{00000000-0005-0000-0000-00003F070000}"/>
    <cellStyle name="Comma 2 5 2 3 3" xfId="6675" xr:uid="{00000000-0005-0000-0000-000040070000}"/>
    <cellStyle name="Comma 2 5 2 3 3 2" xfId="16535" xr:uid="{00000000-0005-0000-0000-000041070000}"/>
    <cellStyle name="Comma 2 5 2 3 3 2 2" xfId="36250" xr:uid="{00000000-0005-0000-0000-000042070000}"/>
    <cellStyle name="Comma 2 5 2 3 3 3" xfId="26393" xr:uid="{00000000-0005-0000-0000-000043070000}"/>
    <cellStyle name="Comma 2 5 2 3 4" xfId="11607" xr:uid="{00000000-0005-0000-0000-000044070000}"/>
    <cellStyle name="Comma 2 5 2 3 4 2" xfId="31322" xr:uid="{00000000-0005-0000-0000-000045070000}"/>
    <cellStyle name="Comma 2 5 2 3 5" xfId="21465" xr:uid="{00000000-0005-0000-0000-000046070000}"/>
    <cellStyle name="Comma 2 5 2 4" xfId="2975" xr:uid="{00000000-0005-0000-0000-000047070000}"/>
    <cellStyle name="Comma 2 5 2 4 2" xfId="7907" xr:uid="{00000000-0005-0000-0000-000048070000}"/>
    <cellStyle name="Comma 2 5 2 4 2 2" xfId="17767" xr:uid="{00000000-0005-0000-0000-000049070000}"/>
    <cellStyle name="Comma 2 5 2 4 2 2 2" xfId="37482" xr:uid="{00000000-0005-0000-0000-00004A070000}"/>
    <cellStyle name="Comma 2 5 2 4 2 3" xfId="27625" xr:uid="{00000000-0005-0000-0000-00004B070000}"/>
    <cellStyle name="Comma 2 5 2 4 3" xfId="12839" xr:uid="{00000000-0005-0000-0000-00004C070000}"/>
    <cellStyle name="Comma 2 5 2 4 3 2" xfId="32554" xr:uid="{00000000-0005-0000-0000-00004D070000}"/>
    <cellStyle name="Comma 2 5 2 4 4" xfId="22697" xr:uid="{00000000-0005-0000-0000-00004E070000}"/>
    <cellStyle name="Comma 2 5 2 5" xfId="5443" xr:uid="{00000000-0005-0000-0000-00004F070000}"/>
    <cellStyle name="Comma 2 5 2 5 2" xfId="15303" xr:uid="{00000000-0005-0000-0000-000050070000}"/>
    <cellStyle name="Comma 2 5 2 5 2 2" xfId="35018" xr:uid="{00000000-0005-0000-0000-000051070000}"/>
    <cellStyle name="Comma 2 5 2 5 3" xfId="25161" xr:uid="{00000000-0005-0000-0000-000052070000}"/>
    <cellStyle name="Comma 2 5 2 6" xfId="10375" xr:uid="{00000000-0005-0000-0000-000053070000}"/>
    <cellStyle name="Comma 2 5 2 6 2" xfId="30090" xr:uid="{00000000-0005-0000-0000-000054070000}"/>
    <cellStyle name="Comma 2 5 2 7" xfId="20233" xr:uid="{00000000-0005-0000-0000-000055070000}"/>
    <cellStyle name="Comma 2 5 3" xfId="814" xr:uid="{00000000-0005-0000-0000-000056070000}"/>
    <cellStyle name="Comma 2 5 3 2" xfId="2050" xr:uid="{00000000-0005-0000-0000-000057070000}"/>
    <cellStyle name="Comma 2 5 3 2 2" xfId="4517" xr:uid="{00000000-0005-0000-0000-000058070000}"/>
    <cellStyle name="Comma 2 5 3 2 2 2" xfId="9449" xr:uid="{00000000-0005-0000-0000-000059070000}"/>
    <cellStyle name="Comma 2 5 3 2 2 2 2" xfId="19309" xr:uid="{00000000-0005-0000-0000-00005A070000}"/>
    <cellStyle name="Comma 2 5 3 2 2 2 2 2" xfId="39024" xr:uid="{00000000-0005-0000-0000-00005B070000}"/>
    <cellStyle name="Comma 2 5 3 2 2 2 3" xfId="29167" xr:uid="{00000000-0005-0000-0000-00005C070000}"/>
    <cellStyle name="Comma 2 5 3 2 2 3" xfId="14381" xr:uid="{00000000-0005-0000-0000-00005D070000}"/>
    <cellStyle name="Comma 2 5 3 2 2 3 2" xfId="34096" xr:uid="{00000000-0005-0000-0000-00005E070000}"/>
    <cellStyle name="Comma 2 5 3 2 2 4" xfId="24239" xr:uid="{00000000-0005-0000-0000-00005F070000}"/>
    <cellStyle name="Comma 2 5 3 2 3" xfId="6985" xr:uid="{00000000-0005-0000-0000-000060070000}"/>
    <cellStyle name="Comma 2 5 3 2 3 2" xfId="16845" xr:uid="{00000000-0005-0000-0000-000061070000}"/>
    <cellStyle name="Comma 2 5 3 2 3 2 2" xfId="36560" xr:uid="{00000000-0005-0000-0000-000062070000}"/>
    <cellStyle name="Comma 2 5 3 2 3 3" xfId="26703" xr:uid="{00000000-0005-0000-0000-000063070000}"/>
    <cellStyle name="Comma 2 5 3 2 4" xfId="11917" xr:uid="{00000000-0005-0000-0000-000064070000}"/>
    <cellStyle name="Comma 2 5 3 2 4 2" xfId="31632" xr:uid="{00000000-0005-0000-0000-000065070000}"/>
    <cellStyle name="Comma 2 5 3 2 5" xfId="21775" xr:uid="{00000000-0005-0000-0000-000066070000}"/>
    <cellStyle name="Comma 2 5 3 3" xfId="3285" xr:uid="{00000000-0005-0000-0000-000067070000}"/>
    <cellStyle name="Comma 2 5 3 3 2" xfId="8217" xr:uid="{00000000-0005-0000-0000-000068070000}"/>
    <cellStyle name="Comma 2 5 3 3 2 2" xfId="18077" xr:uid="{00000000-0005-0000-0000-000069070000}"/>
    <cellStyle name="Comma 2 5 3 3 2 2 2" xfId="37792" xr:uid="{00000000-0005-0000-0000-00006A070000}"/>
    <cellStyle name="Comma 2 5 3 3 2 3" xfId="27935" xr:uid="{00000000-0005-0000-0000-00006B070000}"/>
    <cellStyle name="Comma 2 5 3 3 3" xfId="13149" xr:uid="{00000000-0005-0000-0000-00006C070000}"/>
    <cellStyle name="Comma 2 5 3 3 3 2" xfId="32864" xr:uid="{00000000-0005-0000-0000-00006D070000}"/>
    <cellStyle name="Comma 2 5 3 3 4" xfId="23007" xr:uid="{00000000-0005-0000-0000-00006E070000}"/>
    <cellStyle name="Comma 2 5 3 4" xfId="5753" xr:uid="{00000000-0005-0000-0000-00006F070000}"/>
    <cellStyle name="Comma 2 5 3 4 2" xfId="15613" xr:uid="{00000000-0005-0000-0000-000070070000}"/>
    <cellStyle name="Comma 2 5 3 4 2 2" xfId="35328" xr:uid="{00000000-0005-0000-0000-000071070000}"/>
    <cellStyle name="Comma 2 5 3 4 3" xfId="25471" xr:uid="{00000000-0005-0000-0000-000072070000}"/>
    <cellStyle name="Comma 2 5 3 5" xfId="10685" xr:uid="{00000000-0005-0000-0000-000073070000}"/>
    <cellStyle name="Comma 2 5 3 5 2" xfId="30400" xr:uid="{00000000-0005-0000-0000-000074070000}"/>
    <cellStyle name="Comma 2 5 3 6" xfId="20543" xr:uid="{00000000-0005-0000-0000-000075070000}"/>
    <cellStyle name="Comma 2 5 4" xfId="1434" xr:uid="{00000000-0005-0000-0000-000076070000}"/>
    <cellStyle name="Comma 2 5 4 2" xfId="3901" xr:uid="{00000000-0005-0000-0000-000077070000}"/>
    <cellStyle name="Comma 2 5 4 2 2" xfId="8833" xr:uid="{00000000-0005-0000-0000-000078070000}"/>
    <cellStyle name="Comma 2 5 4 2 2 2" xfId="18693" xr:uid="{00000000-0005-0000-0000-000079070000}"/>
    <cellStyle name="Comma 2 5 4 2 2 2 2" xfId="38408" xr:uid="{00000000-0005-0000-0000-00007A070000}"/>
    <cellStyle name="Comma 2 5 4 2 2 3" xfId="28551" xr:uid="{00000000-0005-0000-0000-00007B070000}"/>
    <cellStyle name="Comma 2 5 4 2 3" xfId="13765" xr:uid="{00000000-0005-0000-0000-00007C070000}"/>
    <cellStyle name="Comma 2 5 4 2 3 2" xfId="33480" xr:uid="{00000000-0005-0000-0000-00007D070000}"/>
    <cellStyle name="Comma 2 5 4 2 4" xfId="23623" xr:uid="{00000000-0005-0000-0000-00007E070000}"/>
    <cellStyle name="Comma 2 5 4 3" xfId="6369" xr:uid="{00000000-0005-0000-0000-00007F070000}"/>
    <cellStyle name="Comma 2 5 4 3 2" xfId="16229" xr:uid="{00000000-0005-0000-0000-000080070000}"/>
    <cellStyle name="Comma 2 5 4 3 2 2" xfId="35944" xr:uid="{00000000-0005-0000-0000-000081070000}"/>
    <cellStyle name="Comma 2 5 4 3 3" xfId="26087" xr:uid="{00000000-0005-0000-0000-000082070000}"/>
    <cellStyle name="Comma 2 5 4 4" xfId="11301" xr:uid="{00000000-0005-0000-0000-000083070000}"/>
    <cellStyle name="Comma 2 5 4 4 2" xfId="31016" xr:uid="{00000000-0005-0000-0000-000084070000}"/>
    <cellStyle name="Comma 2 5 4 5" xfId="21159" xr:uid="{00000000-0005-0000-0000-000085070000}"/>
    <cellStyle name="Comma 2 5 5" xfId="2669" xr:uid="{00000000-0005-0000-0000-000086070000}"/>
    <cellStyle name="Comma 2 5 5 2" xfId="7601" xr:uid="{00000000-0005-0000-0000-000087070000}"/>
    <cellStyle name="Comma 2 5 5 2 2" xfId="17461" xr:uid="{00000000-0005-0000-0000-000088070000}"/>
    <cellStyle name="Comma 2 5 5 2 2 2" xfId="37176" xr:uid="{00000000-0005-0000-0000-000089070000}"/>
    <cellStyle name="Comma 2 5 5 2 3" xfId="27319" xr:uid="{00000000-0005-0000-0000-00008A070000}"/>
    <cellStyle name="Comma 2 5 5 3" xfId="12533" xr:uid="{00000000-0005-0000-0000-00008B070000}"/>
    <cellStyle name="Comma 2 5 5 3 2" xfId="32248" xr:uid="{00000000-0005-0000-0000-00008C070000}"/>
    <cellStyle name="Comma 2 5 5 4" xfId="22391" xr:uid="{00000000-0005-0000-0000-00008D070000}"/>
    <cellStyle name="Comma 2 5 6" xfId="5137" xr:uid="{00000000-0005-0000-0000-00008E070000}"/>
    <cellStyle name="Comma 2 5 6 2" xfId="14997" xr:uid="{00000000-0005-0000-0000-00008F070000}"/>
    <cellStyle name="Comma 2 5 6 2 2" xfId="34712" xr:uid="{00000000-0005-0000-0000-000090070000}"/>
    <cellStyle name="Comma 2 5 6 3" xfId="24855" xr:uid="{00000000-0005-0000-0000-000091070000}"/>
    <cellStyle name="Comma 2 5 7" xfId="10069" xr:uid="{00000000-0005-0000-0000-000092070000}"/>
    <cellStyle name="Comma 2 5 7 2" xfId="29784" xr:uid="{00000000-0005-0000-0000-000093070000}"/>
    <cellStyle name="Comma 2 5 8" xfId="19927" xr:uid="{00000000-0005-0000-0000-000094070000}"/>
    <cellStyle name="Comma 2 6" xfId="346" xr:uid="{00000000-0005-0000-0000-000095070000}"/>
    <cellStyle name="Comma 2 6 2" xfId="968" xr:uid="{00000000-0005-0000-0000-000096070000}"/>
    <cellStyle name="Comma 2 6 2 2" xfId="2204" xr:uid="{00000000-0005-0000-0000-000097070000}"/>
    <cellStyle name="Comma 2 6 2 2 2" xfId="4671" xr:uid="{00000000-0005-0000-0000-000098070000}"/>
    <cellStyle name="Comma 2 6 2 2 2 2" xfId="9603" xr:uid="{00000000-0005-0000-0000-000099070000}"/>
    <cellStyle name="Comma 2 6 2 2 2 2 2" xfId="19463" xr:uid="{00000000-0005-0000-0000-00009A070000}"/>
    <cellStyle name="Comma 2 6 2 2 2 2 2 2" xfId="39178" xr:uid="{00000000-0005-0000-0000-00009B070000}"/>
    <cellStyle name="Comma 2 6 2 2 2 2 3" xfId="29321" xr:uid="{00000000-0005-0000-0000-00009C070000}"/>
    <cellStyle name="Comma 2 6 2 2 2 3" xfId="14535" xr:uid="{00000000-0005-0000-0000-00009D070000}"/>
    <cellStyle name="Comma 2 6 2 2 2 3 2" xfId="34250" xr:uid="{00000000-0005-0000-0000-00009E070000}"/>
    <cellStyle name="Comma 2 6 2 2 2 4" xfId="24393" xr:uid="{00000000-0005-0000-0000-00009F070000}"/>
    <cellStyle name="Comma 2 6 2 2 3" xfId="7139" xr:uid="{00000000-0005-0000-0000-0000A0070000}"/>
    <cellStyle name="Comma 2 6 2 2 3 2" xfId="16999" xr:uid="{00000000-0005-0000-0000-0000A1070000}"/>
    <cellStyle name="Comma 2 6 2 2 3 2 2" xfId="36714" xr:uid="{00000000-0005-0000-0000-0000A2070000}"/>
    <cellStyle name="Comma 2 6 2 2 3 3" xfId="26857" xr:uid="{00000000-0005-0000-0000-0000A3070000}"/>
    <cellStyle name="Comma 2 6 2 2 4" xfId="12071" xr:uid="{00000000-0005-0000-0000-0000A4070000}"/>
    <cellStyle name="Comma 2 6 2 2 4 2" xfId="31786" xr:uid="{00000000-0005-0000-0000-0000A5070000}"/>
    <cellStyle name="Comma 2 6 2 2 5" xfId="21929" xr:uid="{00000000-0005-0000-0000-0000A6070000}"/>
    <cellStyle name="Comma 2 6 2 3" xfId="3439" xr:uid="{00000000-0005-0000-0000-0000A7070000}"/>
    <cellStyle name="Comma 2 6 2 3 2" xfId="8371" xr:uid="{00000000-0005-0000-0000-0000A8070000}"/>
    <cellStyle name="Comma 2 6 2 3 2 2" xfId="18231" xr:uid="{00000000-0005-0000-0000-0000A9070000}"/>
    <cellStyle name="Comma 2 6 2 3 2 2 2" xfId="37946" xr:uid="{00000000-0005-0000-0000-0000AA070000}"/>
    <cellStyle name="Comma 2 6 2 3 2 3" xfId="28089" xr:uid="{00000000-0005-0000-0000-0000AB070000}"/>
    <cellStyle name="Comma 2 6 2 3 3" xfId="13303" xr:uid="{00000000-0005-0000-0000-0000AC070000}"/>
    <cellStyle name="Comma 2 6 2 3 3 2" xfId="33018" xr:uid="{00000000-0005-0000-0000-0000AD070000}"/>
    <cellStyle name="Comma 2 6 2 3 4" xfId="23161" xr:uid="{00000000-0005-0000-0000-0000AE070000}"/>
    <cellStyle name="Comma 2 6 2 4" xfId="5907" xr:uid="{00000000-0005-0000-0000-0000AF070000}"/>
    <cellStyle name="Comma 2 6 2 4 2" xfId="15767" xr:uid="{00000000-0005-0000-0000-0000B0070000}"/>
    <cellStyle name="Comma 2 6 2 4 2 2" xfId="35482" xr:uid="{00000000-0005-0000-0000-0000B1070000}"/>
    <cellStyle name="Comma 2 6 2 4 3" xfId="25625" xr:uid="{00000000-0005-0000-0000-0000B2070000}"/>
    <cellStyle name="Comma 2 6 2 5" xfId="10839" xr:uid="{00000000-0005-0000-0000-0000B3070000}"/>
    <cellStyle name="Comma 2 6 2 5 2" xfId="30554" xr:uid="{00000000-0005-0000-0000-0000B4070000}"/>
    <cellStyle name="Comma 2 6 2 6" xfId="20697" xr:uid="{00000000-0005-0000-0000-0000B5070000}"/>
    <cellStyle name="Comma 2 6 3" xfId="1588" xr:uid="{00000000-0005-0000-0000-0000B6070000}"/>
    <cellStyle name="Comma 2 6 3 2" xfId="4055" xr:uid="{00000000-0005-0000-0000-0000B7070000}"/>
    <cellStyle name="Comma 2 6 3 2 2" xfId="8987" xr:uid="{00000000-0005-0000-0000-0000B8070000}"/>
    <cellStyle name="Comma 2 6 3 2 2 2" xfId="18847" xr:uid="{00000000-0005-0000-0000-0000B9070000}"/>
    <cellStyle name="Comma 2 6 3 2 2 2 2" xfId="38562" xr:uid="{00000000-0005-0000-0000-0000BA070000}"/>
    <cellStyle name="Comma 2 6 3 2 2 3" xfId="28705" xr:uid="{00000000-0005-0000-0000-0000BB070000}"/>
    <cellStyle name="Comma 2 6 3 2 3" xfId="13919" xr:uid="{00000000-0005-0000-0000-0000BC070000}"/>
    <cellStyle name="Comma 2 6 3 2 3 2" xfId="33634" xr:uid="{00000000-0005-0000-0000-0000BD070000}"/>
    <cellStyle name="Comma 2 6 3 2 4" xfId="23777" xr:uid="{00000000-0005-0000-0000-0000BE070000}"/>
    <cellStyle name="Comma 2 6 3 3" xfId="6523" xr:uid="{00000000-0005-0000-0000-0000BF070000}"/>
    <cellStyle name="Comma 2 6 3 3 2" xfId="16383" xr:uid="{00000000-0005-0000-0000-0000C0070000}"/>
    <cellStyle name="Comma 2 6 3 3 2 2" xfId="36098" xr:uid="{00000000-0005-0000-0000-0000C1070000}"/>
    <cellStyle name="Comma 2 6 3 3 3" xfId="26241" xr:uid="{00000000-0005-0000-0000-0000C2070000}"/>
    <cellStyle name="Comma 2 6 3 4" xfId="11455" xr:uid="{00000000-0005-0000-0000-0000C3070000}"/>
    <cellStyle name="Comma 2 6 3 4 2" xfId="31170" xr:uid="{00000000-0005-0000-0000-0000C4070000}"/>
    <cellStyle name="Comma 2 6 3 5" xfId="21313" xr:uid="{00000000-0005-0000-0000-0000C5070000}"/>
    <cellStyle name="Comma 2 6 4" xfId="2823" xr:uid="{00000000-0005-0000-0000-0000C6070000}"/>
    <cellStyle name="Comma 2 6 4 2" xfId="7755" xr:uid="{00000000-0005-0000-0000-0000C7070000}"/>
    <cellStyle name="Comma 2 6 4 2 2" xfId="17615" xr:uid="{00000000-0005-0000-0000-0000C8070000}"/>
    <cellStyle name="Comma 2 6 4 2 2 2" xfId="37330" xr:uid="{00000000-0005-0000-0000-0000C9070000}"/>
    <cellStyle name="Comma 2 6 4 2 3" xfId="27473" xr:uid="{00000000-0005-0000-0000-0000CA070000}"/>
    <cellStyle name="Comma 2 6 4 3" xfId="12687" xr:uid="{00000000-0005-0000-0000-0000CB070000}"/>
    <cellStyle name="Comma 2 6 4 3 2" xfId="32402" xr:uid="{00000000-0005-0000-0000-0000CC070000}"/>
    <cellStyle name="Comma 2 6 4 4" xfId="22545" xr:uid="{00000000-0005-0000-0000-0000CD070000}"/>
    <cellStyle name="Comma 2 6 5" xfId="5291" xr:uid="{00000000-0005-0000-0000-0000CE070000}"/>
    <cellStyle name="Comma 2 6 5 2" xfId="15151" xr:uid="{00000000-0005-0000-0000-0000CF070000}"/>
    <cellStyle name="Comma 2 6 5 2 2" xfId="34866" xr:uid="{00000000-0005-0000-0000-0000D0070000}"/>
    <cellStyle name="Comma 2 6 5 3" xfId="25009" xr:uid="{00000000-0005-0000-0000-0000D1070000}"/>
    <cellStyle name="Comma 2 6 6" xfId="10223" xr:uid="{00000000-0005-0000-0000-0000D2070000}"/>
    <cellStyle name="Comma 2 6 6 2" xfId="29938" xr:uid="{00000000-0005-0000-0000-0000D3070000}"/>
    <cellStyle name="Comma 2 6 7" xfId="20081" xr:uid="{00000000-0005-0000-0000-0000D4070000}"/>
    <cellStyle name="Comma 2 7" xfId="655" xr:uid="{00000000-0005-0000-0000-0000D5070000}"/>
    <cellStyle name="Comma 2 7 2" xfId="1275" xr:uid="{00000000-0005-0000-0000-0000D6070000}"/>
    <cellStyle name="Comma 2 7 2 2" xfId="2510" xr:uid="{00000000-0005-0000-0000-0000D7070000}"/>
    <cellStyle name="Comma 2 7 2 2 2" xfId="4977" xr:uid="{00000000-0005-0000-0000-0000D8070000}"/>
    <cellStyle name="Comma 2 7 2 2 2 2" xfId="9909" xr:uid="{00000000-0005-0000-0000-0000D9070000}"/>
    <cellStyle name="Comma 2 7 2 2 2 2 2" xfId="19769" xr:uid="{00000000-0005-0000-0000-0000DA070000}"/>
    <cellStyle name="Comma 2 7 2 2 2 2 2 2" xfId="39484" xr:uid="{00000000-0005-0000-0000-0000DB070000}"/>
    <cellStyle name="Comma 2 7 2 2 2 2 3" xfId="29627" xr:uid="{00000000-0005-0000-0000-0000DC070000}"/>
    <cellStyle name="Comma 2 7 2 2 2 3" xfId="14841" xr:uid="{00000000-0005-0000-0000-0000DD070000}"/>
    <cellStyle name="Comma 2 7 2 2 2 3 2" xfId="34556" xr:uid="{00000000-0005-0000-0000-0000DE070000}"/>
    <cellStyle name="Comma 2 7 2 2 2 4" xfId="24699" xr:uid="{00000000-0005-0000-0000-0000DF070000}"/>
    <cellStyle name="Comma 2 7 2 2 3" xfId="7445" xr:uid="{00000000-0005-0000-0000-0000E0070000}"/>
    <cellStyle name="Comma 2 7 2 2 3 2" xfId="17305" xr:uid="{00000000-0005-0000-0000-0000E1070000}"/>
    <cellStyle name="Comma 2 7 2 2 3 2 2" xfId="37020" xr:uid="{00000000-0005-0000-0000-0000E2070000}"/>
    <cellStyle name="Comma 2 7 2 2 3 3" xfId="27163" xr:uid="{00000000-0005-0000-0000-0000E3070000}"/>
    <cellStyle name="Comma 2 7 2 2 4" xfId="12377" xr:uid="{00000000-0005-0000-0000-0000E4070000}"/>
    <cellStyle name="Comma 2 7 2 2 4 2" xfId="32092" xr:uid="{00000000-0005-0000-0000-0000E5070000}"/>
    <cellStyle name="Comma 2 7 2 2 5" xfId="22235" xr:uid="{00000000-0005-0000-0000-0000E6070000}"/>
    <cellStyle name="Comma 2 7 2 3" xfId="3745" xr:uid="{00000000-0005-0000-0000-0000E7070000}"/>
    <cellStyle name="Comma 2 7 2 3 2" xfId="8677" xr:uid="{00000000-0005-0000-0000-0000E8070000}"/>
    <cellStyle name="Comma 2 7 2 3 2 2" xfId="18537" xr:uid="{00000000-0005-0000-0000-0000E9070000}"/>
    <cellStyle name="Comma 2 7 2 3 2 2 2" xfId="38252" xr:uid="{00000000-0005-0000-0000-0000EA070000}"/>
    <cellStyle name="Comma 2 7 2 3 2 3" xfId="28395" xr:uid="{00000000-0005-0000-0000-0000EB070000}"/>
    <cellStyle name="Comma 2 7 2 3 3" xfId="13609" xr:uid="{00000000-0005-0000-0000-0000EC070000}"/>
    <cellStyle name="Comma 2 7 2 3 3 2" xfId="33324" xr:uid="{00000000-0005-0000-0000-0000ED070000}"/>
    <cellStyle name="Comma 2 7 2 3 4" xfId="23467" xr:uid="{00000000-0005-0000-0000-0000EE070000}"/>
    <cellStyle name="Comma 2 7 2 4" xfId="6213" xr:uid="{00000000-0005-0000-0000-0000EF070000}"/>
    <cellStyle name="Comma 2 7 2 4 2" xfId="16073" xr:uid="{00000000-0005-0000-0000-0000F0070000}"/>
    <cellStyle name="Comma 2 7 2 4 2 2" xfId="35788" xr:uid="{00000000-0005-0000-0000-0000F1070000}"/>
    <cellStyle name="Comma 2 7 2 4 3" xfId="25931" xr:uid="{00000000-0005-0000-0000-0000F2070000}"/>
    <cellStyle name="Comma 2 7 2 5" xfId="11145" xr:uid="{00000000-0005-0000-0000-0000F3070000}"/>
    <cellStyle name="Comma 2 7 2 5 2" xfId="30860" xr:uid="{00000000-0005-0000-0000-0000F4070000}"/>
    <cellStyle name="Comma 2 7 2 6" xfId="21003" xr:uid="{00000000-0005-0000-0000-0000F5070000}"/>
    <cellStyle name="Comma 2 7 3" xfId="1894" xr:uid="{00000000-0005-0000-0000-0000F6070000}"/>
    <cellStyle name="Comma 2 7 3 2" xfId="4361" xr:uid="{00000000-0005-0000-0000-0000F7070000}"/>
    <cellStyle name="Comma 2 7 3 2 2" xfId="9293" xr:uid="{00000000-0005-0000-0000-0000F8070000}"/>
    <cellStyle name="Comma 2 7 3 2 2 2" xfId="19153" xr:uid="{00000000-0005-0000-0000-0000F9070000}"/>
    <cellStyle name="Comma 2 7 3 2 2 2 2" xfId="38868" xr:uid="{00000000-0005-0000-0000-0000FA070000}"/>
    <cellStyle name="Comma 2 7 3 2 2 3" xfId="29011" xr:uid="{00000000-0005-0000-0000-0000FB070000}"/>
    <cellStyle name="Comma 2 7 3 2 3" xfId="14225" xr:uid="{00000000-0005-0000-0000-0000FC070000}"/>
    <cellStyle name="Comma 2 7 3 2 3 2" xfId="33940" xr:uid="{00000000-0005-0000-0000-0000FD070000}"/>
    <cellStyle name="Comma 2 7 3 2 4" xfId="24083" xr:uid="{00000000-0005-0000-0000-0000FE070000}"/>
    <cellStyle name="Comma 2 7 3 3" xfId="6829" xr:uid="{00000000-0005-0000-0000-0000FF070000}"/>
    <cellStyle name="Comma 2 7 3 3 2" xfId="16689" xr:uid="{00000000-0005-0000-0000-000000080000}"/>
    <cellStyle name="Comma 2 7 3 3 2 2" xfId="36404" xr:uid="{00000000-0005-0000-0000-000001080000}"/>
    <cellStyle name="Comma 2 7 3 3 3" xfId="26547" xr:uid="{00000000-0005-0000-0000-000002080000}"/>
    <cellStyle name="Comma 2 7 3 4" xfId="11761" xr:uid="{00000000-0005-0000-0000-000003080000}"/>
    <cellStyle name="Comma 2 7 3 4 2" xfId="31476" xr:uid="{00000000-0005-0000-0000-000004080000}"/>
    <cellStyle name="Comma 2 7 3 5" xfId="21619" xr:uid="{00000000-0005-0000-0000-000005080000}"/>
    <cellStyle name="Comma 2 7 4" xfId="3129" xr:uid="{00000000-0005-0000-0000-000006080000}"/>
    <cellStyle name="Comma 2 7 4 2" xfId="8061" xr:uid="{00000000-0005-0000-0000-000007080000}"/>
    <cellStyle name="Comma 2 7 4 2 2" xfId="17921" xr:uid="{00000000-0005-0000-0000-000008080000}"/>
    <cellStyle name="Comma 2 7 4 2 2 2" xfId="37636" xr:uid="{00000000-0005-0000-0000-000009080000}"/>
    <cellStyle name="Comma 2 7 4 2 3" xfId="27779" xr:uid="{00000000-0005-0000-0000-00000A080000}"/>
    <cellStyle name="Comma 2 7 4 3" xfId="12993" xr:uid="{00000000-0005-0000-0000-00000B080000}"/>
    <cellStyle name="Comma 2 7 4 3 2" xfId="32708" xr:uid="{00000000-0005-0000-0000-00000C080000}"/>
    <cellStyle name="Comma 2 7 4 4" xfId="22851" xr:uid="{00000000-0005-0000-0000-00000D080000}"/>
    <cellStyle name="Comma 2 7 5" xfId="5597" xr:uid="{00000000-0005-0000-0000-00000E080000}"/>
    <cellStyle name="Comma 2 7 5 2" xfId="15457" xr:uid="{00000000-0005-0000-0000-00000F080000}"/>
    <cellStyle name="Comma 2 7 5 2 2" xfId="35172" xr:uid="{00000000-0005-0000-0000-000010080000}"/>
    <cellStyle name="Comma 2 7 5 3" xfId="25315" xr:uid="{00000000-0005-0000-0000-000011080000}"/>
    <cellStyle name="Comma 2 7 6" xfId="10529" xr:uid="{00000000-0005-0000-0000-000012080000}"/>
    <cellStyle name="Comma 2 7 6 2" xfId="30244" xr:uid="{00000000-0005-0000-0000-000013080000}"/>
    <cellStyle name="Comma 2 7 7" xfId="20387" xr:uid="{00000000-0005-0000-0000-000014080000}"/>
    <cellStyle name="Comma 2 8" xfId="659" xr:uid="{00000000-0005-0000-0000-000015080000}"/>
    <cellStyle name="Comma 2 8 2" xfId="1898" xr:uid="{00000000-0005-0000-0000-000016080000}"/>
    <cellStyle name="Comma 2 8 2 2" xfId="4365" xr:uid="{00000000-0005-0000-0000-000017080000}"/>
    <cellStyle name="Comma 2 8 2 2 2" xfId="9297" xr:uid="{00000000-0005-0000-0000-000018080000}"/>
    <cellStyle name="Comma 2 8 2 2 2 2" xfId="19157" xr:uid="{00000000-0005-0000-0000-000019080000}"/>
    <cellStyle name="Comma 2 8 2 2 2 2 2" xfId="38872" xr:uid="{00000000-0005-0000-0000-00001A080000}"/>
    <cellStyle name="Comma 2 8 2 2 2 3" xfId="29015" xr:uid="{00000000-0005-0000-0000-00001B080000}"/>
    <cellStyle name="Comma 2 8 2 2 3" xfId="14229" xr:uid="{00000000-0005-0000-0000-00001C080000}"/>
    <cellStyle name="Comma 2 8 2 2 3 2" xfId="33944" xr:uid="{00000000-0005-0000-0000-00001D080000}"/>
    <cellStyle name="Comma 2 8 2 2 4" xfId="24087" xr:uid="{00000000-0005-0000-0000-00001E080000}"/>
    <cellStyle name="Comma 2 8 2 3" xfId="6833" xr:uid="{00000000-0005-0000-0000-00001F080000}"/>
    <cellStyle name="Comma 2 8 2 3 2" xfId="16693" xr:uid="{00000000-0005-0000-0000-000020080000}"/>
    <cellStyle name="Comma 2 8 2 3 2 2" xfId="36408" xr:uid="{00000000-0005-0000-0000-000021080000}"/>
    <cellStyle name="Comma 2 8 2 3 3" xfId="26551" xr:uid="{00000000-0005-0000-0000-000022080000}"/>
    <cellStyle name="Comma 2 8 2 4" xfId="11765" xr:uid="{00000000-0005-0000-0000-000023080000}"/>
    <cellStyle name="Comma 2 8 2 4 2" xfId="31480" xr:uid="{00000000-0005-0000-0000-000024080000}"/>
    <cellStyle name="Comma 2 8 2 5" xfId="21623" xr:uid="{00000000-0005-0000-0000-000025080000}"/>
    <cellStyle name="Comma 2 8 3" xfId="3133" xr:uid="{00000000-0005-0000-0000-000026080000}"/>
    <cellStyle name="Comma 2 8 3 2" xfId="8065" xr:uid="{00000000-0005-0000-0000-000027080000}"/>
    <cellStyle name="Comma 2 8 3 2 2" xfId="17925" xr:uid="{00000000-0005-0000-0000-000028080000}"/>
    <cellStyle name="Comma 2 8 3 2 2 2" xfId="37640" xr:uid="{00000000-0005-0000-0000-000029080000}"/>
    <cellStyle name="Comma 2 8 3 2 3" xfId="27783" xr:uid="{00000000-0005-0000-0000-00002A080000}"/>
    <cellStyle name="Comma 2 8 3 3" xfId="12997" xr:uid="{00000000-0005-0000-0000-00002B080000}"/>
    <cellStyle name="Comma 2 8 3 3 2" xfId="32712" xr:uid="{00000000-0005-0000-0000-00002C080000}"/>
    <cellStyle name="Comma 2 8 3 4" xfId="22855" xr:uid="{00000000-0005-0000-0000-00002D080000}"/>
    <cellStyle name="Comma 2 8 4" xfId="5601" xr:uid="{00000000-0005-0000-0000-00002E080000}"/>
    <cellStyle name="Comma 2 8 4 2" xfId="15461" xr:uid="{00000000-0005-0000-0000-00002F080000}"/>
    <cellStyle name="Comma 2 8 4 2 2" xfId="35176" xr:uid="{00000000-0005-0000-0000-000030080000}"/>
    <cellStyle name="Comma 2 8 4 3" xfId="25319" xr:uid="{00000000-0005-0000-0000-000031080000}"/>
    <cellStyle name="Comma 2 8 5" xfId="10533" xr:uid="{00000000-0005-0000-0000-000032080000}"/>
    <cellStyle name="Comma 2 8 5 2" xfId="30248" xr:uid="{00000000-0005-0000-0000-000033080000}"/>
    <cellStyle name="Comma 2 8 6" xfId="20391" xr:uid="{00000000-0005-0000-0000-000034080000}"/>
    <cellStyle name="Comma 2 9" xfId="1279" xr:uid="{00000000-0005-0000-0000-000035080000}"/>
    <cellStyle name="Comma 2 9 2" xfId="3749" xr:uid="{00000000-0005-0000-0000-000036080000}"/>
    <cellStyle name="Comma 2 9 2 2" xfId="8681" xr:uid="{00000000-0005-0000-0000-000037080000}"/>
    <cellStyle name="Comma 2 9 2 2 2" xfId="18541" xr:uid="{00000000-0005-0000-0000-000038080000}"/>
    <cellStyle name="Comma 2 9 2 2 2 2" xfId="38256" xr:uid="{00000000-0005-0000-0000-000039080000}"/>
    <cellStyle name="Comma 2 9 2 2 3" xfId="28399" xr:uid="{00000000-0005-0000-0000-00003A080000}"/>
    <cellStyle name="Comma 2 9 2 3" xfId="13613" xr:uid="{00000000-0005-0000-0000-00003B080000}"/>
    <cellStyle name="Comma 2 9 2 3 2" xfId="33328" xr:uid="{00000000-0005-0000-0000-00003C080000}"/>
    <cellStyle name="Comma 2 9 2 4" xfId="23471" xr:uid="{00000000-0005-0000-0000-00003D080000}"/>
    <cellStyle name="Comma 2 9 3" xfId="6217" xr:uid="{00000000-0005-0000-0000-00003E080000}"/>
    <cellStyle name="Comma 2 9 3 2" xfId="16077" xr:uid="{00000000-0005-0000-0000-00003F080000}"/>
    <cellStyle name="Comma 2 9 3 2 2" xfId="35792" xr:uid="{00000000-0005-0000-0000-000040080000}"/>
    <cellStyle name="Comma 2 9 3 3" xfId="25935" xr:uid="{00000000-0005-0000-0000-000041080000}"/>
    <cellStyle name="Comma 2 9 4" xfId="11149" xr:uid="{00000000-0005-0000-0000-000042080000}"/>
    <cellStyle name="Comma 2 9 4 2" xfId="30864" xr:uid="{00000000-0005-0000-0000-000043080000}"/>
    <cellStyle name="Comma 2 9 5" xfId="21007" xr:uid="{00000000-0005-0000-0000-000044080000}"/>
    <cellStyle name="Euro" xfId="3" xr:uid="{00000000-0005-0000-0000-000045080000}"/>
    <cellStyle name="Millares" xfId="39496" builtinId="3"/>
    <cellStyle name="Millares 10" xfId="1277" xr:uid="{00000000-0005-0000-0000-000047080000}"/>
    <cellStyle name="Millares 10 2" xfId="3747" xr:uid="{00000000-0005-0000-0000-000048080000}"/>
    <cellStyle name="Millares 10 2 2" xfId="8679" xr:uid="{00000000-0005-0000-0000-000049080000}"/>
    <cellStyle name="Millares 10 2 2 2" xfId="18539" xr:uid="{00000000-0005-0000-0000-00004A080000}"/>
    <cellStyle name="Millares 10 2 2 2 2" xfId="38254" xr:uid="{00000000-0005-0000-0000-00004B080000}"/>
    <cellStyle name="Millares 10 2 2 3" xfId="28397" xr:uid="{00000000-0005-0000-0000-00004C080000}"/>
    <cellStyle name="Millares 10 2 3" xfId="13611" xr:uid="{00000000-0005-0000-0000-00004D080000}"/>
    <cellStyle name="Millares 10 2 3 2" xfId="33326" xr:uid="{00000000-0005-0000-0000-00004E080000}"/>
    <cellStyle name="Millares 10 2 4" xfId="23469" xr:uid="{00000000-0005-0000-0000-00004F080000}"/>
    <cellStyle name="Millares 10 3" xfId="6215" xr:uid="{00000000-0005-0000-0000-000050080000}"/>
    <cellStyle name="Millares 10 3 2" xfId="16075" xr:uid="{00000000-0005-0000-0000-000051080000}"/>
    <cellStyle name="Millares 10 3 2 2" xfId="35790" xr:uid="{00000000-0005-0000-0000-000052080000}"/>
    <cellStyle name="Millares 10 3 3" xfId="25933" xr:uid="{00000000-0005-0000-0000-000053080000}"/>
    <cellStyle name="Millares 10 4" xfId="11147" xr:uid="{00000000-0005-0000-0000-000054080000}"/>
    <cellStyle name="Millares 10 4 2" xfId="30862" xr:uid="{00000000-0005-0000-0000-000055080000}"/>
    <cellStyle name="Millares 10 5" xfId="21005" xr:uid="{00000000-0005-0000-0000-000056080000}"/>
    <cellStyle name="Millares 11" xfId="2512" xr:uid="{00000000-0005-0000-0000-000057080000}"/>
    <cellStyle name="Millares 11 2" xfId="7447" xr:uid="{00000000-0005-0000-0000-000058080000}"/>
    <cellStyle name="Millares 11 2 2" xfId="17307" xr:uid="{00000000-0005-0000-0000-000059080000}"/>
    <cellStyle name="Millares 11 2 2 2" xfId="37022" xr:uid="{00000000-0005-0000-0000-00005A080000}"/>
    <cellStyle name="Millares 11 2 3" xfId="27165" xr:uid="{00000000-0005-0000-0000-00005B080000}"/>
    <cellStyle name="Millares 11 3" xfId="12379" xr:uid="{00000000-0005-0000-0000-00005C080000}"/>
    <cellStyle name="Millares 11 3 2" xfId="32094" xr:uid="{00000000-0005-0000-0000-00005D080000}"/>
    <cellStyle name="Millares 11 4" xfId="22237" xr:uid="{00000000-0005-0000-0000-00005E080000}"/>
    <cellStyle name="Millares 12" xfId="4980" xr:uid="{00000000-0005-0000-0000-00005F080000}"/>
    <cellStyle name="Millares 12 2" xfId="14843" xr:uid="{00000000-0005-0000-0000-000060080000}"/>
    <cellStyle name="Millares 12 2 2" xfId="34558" xr:uid="{00000000-0005-0000-0000-000061080000}"/>
    <cellStyle name="Millares 12 3" xfId="24701" xr:uid="{00000000-0005-0000-0000-000062080000}"/>
    <cellStyle name="Millares 13" xfId="9912" xr:uid="{00000000-0005-0000-0000-000063080000}"/>
    <cellStyle name="Millares 13 2" xfId="29629" xr:uid="{00000000-0005-0000-0000-000064080000}"/>
    <cellStyle name="Millares 14" xfId="19771" xr:uid="{00000000-0005-0000-0000-000065080000}"/>
    <cellStyle name="Millares 15" xfId="39487" xr:uid="{00000000-0005-0000-0000-000066080000}"/>
    <cellStyle name="Millares 2" xfId="19" xr:uid="{00000000-0005-0000-0000-000067080000}"/>
    <cellStyle name="Millares 2 10" xfId="4994" xr:uid="{00000000-0005-0000-0000-000068080000}"/>
    <cellStyle name="Millares 2 10 2" xfId="14854" xr:uid="{00000000-0005-0000-0000-000069080000}"/>
    <cellStyle name="Millares 2 10 2 2" xfId="34569" xr:uid="{00000000-0005-0000-0000-00006A080000}"/>
    <cellStyle name="Millares 2 10 3" xfId="24712" xr:uid="{00000000-0005-0000-0000-00006B080000}"/>
    <cellStyle name="Millares 2 11" xfId="9926" xr:uid="{00000000-0005-0000-0000-00006C080000}"/>
    <cellStyle name="Millares 2 11 2" xfId="29641" xr:uid="{00000000-0005-0000-0000-00006D080000}"/>
    <cellStyle name="Millares 2 12" xfId="19784" xr:uid="{00000000-0005-0000-0000-00006E080000}"/>
    <cellStyle name="Millares 2 2" xfId="48" xr:uid="{00000000-0005-0000-0000-00006F080000}"/>
    <cellStyle name="Millares 2 2 10" xfId="9945" xr:uid="{00000000-0005-0000-0000-000070080000}"/>
    <cellStyle name="Millares 2 2 10 2" xfId="29660" xr:uid="{00000000-0005-0000-0000-000071080000}"/>
    <cellStyle name="Millares 2 2 11" xfId="19803" xr:uid="{00000000-0005-0000-0000-000072080000}"/>
    <cellStyle name="Millares 2 2 2" xfId="91" xr:uid="{00000000-0005-0000-0000-000073080000}"/>
    <cellStyle name="Millares 2 2 2 10" xfId="19841" xr:uid="{00000000-0005-0000-0000-000074080000}"/>
    <cellStyle name="Millares 2 2 2 2" xfId="172" xr:uid="{00000000-0005-0000-0000-000075080000}"/>
    <cellStyle name="Millares 2 2 2 2 2" xfId="329" xr:uid="{00000000-0005-0000-0000-000076080000}"/>
    <cellStyle name="Millares 2 2 2 2 2 2" xfId="643" xr:uid="{00000000-0005-0000-0000-000077080000}"/>
    <cellStyle name="Millares 2 2 2 2 2 2 2" xfId="1263" xr:uid="{00000000-0005-0000-0000-000078080000}"/>
    <cellStyle name="Millares 2 2 2 2 2 2 2 2" xfId="2498" xr:uid="{00000000-0005-0000-0000-000079080000}"/>
    <cellStyle name="Millares 2 2 2 2 2 2 2 2 2" xfId="4965" xr:uid="{00000000-0005-0000-0000-00007A080000}"/>
    <cellStyle name="Millares 2 2 2 2 2 2 2 2 2 2" xfId="9897" xr:uid="{00000000-0005-0000-0000-00007B080000}"/>
    <cellStyle name="Millares 2 2 2 2 2 2 2 2 2 2 2" xfId="19757" xr:uid="{00000000-0005-0000-0000-00007C080000}"/>
    <cellStyle name="Millares 2 2 2 2 2 2 2 2 2 2 2 2" xfId="39472" xr:uid="{00000000-0005-0000-0000-00007D080000}"/>
    <cellStyle name="Millares 2 2 2 2 2 2 2 2 2 2 3" xfId="29615" xr:uid="{00000000-0005-0000-0000-00007E080000}"/>
    <cellStyle name="Millares 2 2 2 2 2 2 2 2 2 3" xfId="14829" xr:uid="{00000000-0005-0000-0000-00007F080000}"/>
    <cellStyle name="Millares 2 2 2 2 2 2 2 2 2 3 2" xfId="34544" xr:uid="{00000000-0005-0000-0000-000080080000}"/>
    <cellStyle name="Millares 2 2 2 2 2 2 2 2 2 4" xfId="24687" xr:uid="{00000000-0005-0000-0000-000081080000}"/>
    <cellStyle name="Millares 2 2 2 2 2 2 2 2 3" xfId="7433" xr:uid="{00000000-0005-0000-0000-000082080000}"/>
    <cellStyle name="Millares 2 2 2 2 2 2 2 2 3 2" xfId="17293" xr:uid="{00000000-0005-0000-0000-000083080000}"/>
    <cellStyle name="Millares 2 2 2 2 2 2 2 2 3 2 2" xfId="37008" xr:uid="{00000000-0005-0000-0000-000084080000}"/>
    <cellStyle name="Millares 2 2 2 2 2 2 2 2 3 3" xfId="27151" xr:uid="{00000000-0005-0000-0000-000085080000}"/>
    <cellStyle name="Millares 2 2 2 2 2 2 2 2 4" xfId="12365" xr:uid="{00000000-0005-0000-0000-000086080000}"/>
    <cellStyle name="Millares 2 2 2 2 2 2 2 2 4 2" xfId="32080" xr:uid="{00000000-0005-0000-0000-000087080000}"/>
    <cellStyle name="Millares 2 2 2 2 2 2 2 2 5" xfId="22223" xr:uid="{00000000-0005-0000-0000-000088080000}"/>
    <cellStyle name="Millares 2 2 2 2 2 2 2 3" xfId="3733" xr:uid="{00000000-0005-0000-0000-000089080000}"/>
    <cellStyle name="Millares 2 2 2 2 2 2 2 3 2" xfId="8665" xr:uid="{00000000-0005-0000-0000-00008A080000}"/>
    <cellStyle name="Millares 2 2 2 2 2 2 2 3 2 2" xfId="18525" xr:uid="{00000000-0005-0000-0000-00008B080000}"/>
    <cellStyle name="Millares 2 2 2 2 2 2 2 3 2 2 2" xfId="38240" xr:uid="{00000000-0005-0000-0000-00008C080000}"/>
    <cellStyle name="Millares 2 2 2 2 2 2 2 3 2 3" xfId="28383" xr:uid="{00000000-0005-0000-0000-00008D080000}"/>
    <cellStyle name="Millares 2 2 2 2 2 2 2 3 3" xfId="13597" xr:uid="{00000000-0005-0000-0000-00008E080000}"/>
    <cellStyle name="Millares 2 2 2 2 2 2 2 3 3 2" xfId="33312" xr:uid="{00000000-0005-0000-0000-00008F080000}"/>
    <cellStyle name="Millares 2 2 2 2 2 2 2 3 4" xfId="23455" xr:uid="{00000000-0005-0000-0000-000090080000}"/>
    <cellStyle name="Millares 2 2 2 2 2 2 2 4" xfId="6201" xr:uid="{00000000-0005-0000-0000-000091080000}"/>
    <cellStyle name="Millares 2 2 2 2 2 2 2 4 2" xfId="16061" xr:uid="{00000000-0005-0000-0000-000092080000}"/>
    <cellStyle name="Millares 2 2 2 2 2 2 2 4 2 2" xfId="35776" xr:uid="{00000000-0005-0000-0000-000093080000}"/>
    <cellStyle name="Millares 2 2 2 2 2 2 2 4 3" xfId="25919" xr:uid="{00000000-0005-0000-0000-000094080000}"/>
    <cellStyle name="Millares 2 2 2 2 2 2 2 5" xfId="11133" xr:uid="{00000000-0005-0000-0000-000095080000}"/>
    <cellStyle name="Millares 2 2 2 2 2 2 2 5 2" xfId="30848" xr:uid="{00000000-0005-0000-0000-000096080000}"/>
    <cellStyle name="Millares 2 2 2 2 2 2 2 6" xfId="20991" xr:uid="{00000000-0005-0000-0000-000097080000}"/>
    <cellStyle name="Millares 2 2 2 2 2 2 3" xfId="1882" xr:uid="{00000000-0005-0000-0000-000098080000}"/>
    <cellStyle name="Millares 2 2 2 2 2 2 3 2" xfId="4349" xr:uid="{00000000-0005-0000-0000-000099080000}"/>
    <cellStyle name="Millares 2 2 2 2 2 2 3 2 2" xfId="9281" xr:uid="{00000000-0005-0000-0000-00009A080000}"/>
    <cellStyle name="Millares 2 2 2 2 2 2 3 2 2 2" xfId="19141" xr:uid="{00000000-0005-0000-0000-00009B080000}"/>
    <cellStyle name="Millares 2 2 2 2 2 2 3 2 2 2 2" xfId="38856" xr:uid="{00000000-0005-0000-0000-00009C080000}"/>
    <cellStyle name="Millares 2 2 2 2 2 2 3 2 2 3" xfId="28999" xr:uid="{00000000-0005-0000-0000-00009D080000}"/>
    <cellStyle name="Millares 2 2 2 2 2 2 3 2 3" xfId="14213" xr:uid="{00000000-0005-0000-0000-00009E080000}"/>
    <cellStyle name="Millares 2 2 2 2 2 2 3 2 3 2" xfId="33928" xr:uid="{00000000-0005-0000-0000-00009F080000}"/>
    <cellStyle name="Millares 2 2 2 2 2 2 3 2 4" xfId="24071" xr:uid="{00000000-0005-0000-0000-0000A0080000}"/>
    <cellStyle name="Millares 2 2 2 2 2 2 3 3" xfId="6817" xr:uid="{00000000-0005-0000-0000-0000A1080000}"/>
    <cellStyle name="Millares 2 2 2 2 2 2 3 3 2" xfId="16677" xr:uid="{00000000-0005-0000-0000-0000A2080000}"/>
    <cellStyle name="Millares 2 2 2 2 2 2 3 3 2 2" xfId="36392" xr:uid="{00000000-0005-0000-0000-0000A3080000}"/>
    <cellStyle name="Millares 2 2 2 2 2 2 3 3 3" xfId="26535" xr:uid="{00000000-0005-0000-0000-0000A4080000}"/>
    <cellStyle name="Millares 2 2 2 2 2 2 3 4" xfId="11749" xr:uid="{00000000-0005-0000-0000-0000A5080000}"/>
    <cellStyle name="Millares 2 2 2 2 2 2 3 4 2" xfId="31464" xr:uid="{00000000-0005-0000-0000-0000A6080000}"/>
    <cellStyle name="Millares 2 2 2 2 2 2 3 5" xfId="21607" xr:uid="{00000000-0005-0000-0000-0000A7080000}"/>
    <cellStyle name="Millares 2 2 2 2 2 2 4" xfId="3117" xr:uid="{00000000-0005-0000-0000-0000A8080000}"/>
    <cellStyle name="Millares 2 2 2 2 2 2 4 2" xfId="8049" xr:uid="{00000000-0005-0000-0000-0000A9080000}"/>
    <cellStyle name="Millares 2 2 2 2 2 2 4 2 2" xfId="17909" xr:uid="{00000000-0005-0000-0000-0000AA080000}"/>
    <cellStyle name="Millares 2 2 2 2 2 2 4 2 2 2" xfId="37624" xr:uid="{00000000-0005-0000-0000-0000AB080000}"/>
    <cellStyle name="Millares 2 2 2 2 2 2 4 2 3" xfId="27767" xr:uid="{00000000-0005-0000-0000-0000AC080000}"/>
    <cellStyle name="Millares 2 2 2 2 2 2 4 3" xfId="12981" xr:uid="{00000000-0005-0000-0000-0000AD080000}"/>
    <cellStyle name="Millares 2 2 2 2 2 2 4 3 2" xfId="32696" xr:uid="{00000000-0005-0000-0000-0000AE080000}"/>
    <cellStyle name="Millares 2 2 2 2 2 2 4 4" xfId="22839" xr:uid="{00000000-0005-0000-0000-0000AF080000}"/>
    <cellStyle name="Millares 2 2 2 2 2 2 5" xfId="5585" xr:uid="{00000000-0005-0000-0000-0000B0080000}"/>
    <cellStyle name="Millares 2 2 2 2 2 2 5 2" xfId="15445" xr:uid="{00000000-0005-0000-0000-0000B1080000}"/>
    <cellStyle name="Millares 2 2 2 2 2 2 5 2 2" xfId="35160" xr:uid="{00000000-0005-0000-0000-0000B2080000}"/>
    <cellStyle name="Millares 2 2 2 2 2 2 5 3" xfId="25303" xr:uid="{00000000-0005-0000-0000-0000B3080000}"/>
    <cellStyle name="Millares 2 2 2 2 2 2 6" xfId="10517" xr:uid="{00000000-0005-0000-0000-0000B4080000}"/>
    <cellStyle name="Millares 2 2 2 2 2 2 6 2" xfId="30232" xr:uid="{00000000-0005-0000-0000-0000B5080000}"/>
    <cellStyle name="Millares 2 2 2 2 2 2 7" xfId="20375" xr:uid="{00000000-0005-0000-0000-0000B6080000}"/>
    <cellStyle name="Millares 2 2 2 2 2 3" xfId="956" xr:uid="{00000000-0005-0000-0000-0000B7080000}"/>
    <cellStyle name="Millares 2 2 2 2 2 3 2" xfId="2192" xr:uid="{00000000-0005-0000-0000-0000B8080000}"/>
    <cellStyle name="Millares 2 2 2 2 2 3 2 2" xfId="4659" xr:uid="{00000000-0005-0000-0000-0000B9080000}"/>
    <cellStyle name="Millares 2 2 2 2 2 3 2 2 2" xfId="9591" xr:uid="{00000000-0005-0000-0000-0000BA080000}"/>
    <cellStyle name="Millares 2 2 2 2 2 3 2 2 2 2" xfId="19451" xr:uid="{00000000-0005-0000-0000-0000BB080000}"/>
    <cellStyle name="Millares 2 2 2 2 2 3 2 2 2 2 2" xfId="39166" xr:uid="{00000000-0005-0000-0000-0000BC080000}"/>
    <cellStyle name="Millares 2 2 2 2 2 3 2 2 2 3" xfId="29309" xr:uid="{00000000-0005-0000-0000-0000BD080000}"/>
    <cellStyle name="Millares 2 2 2 2 2 3 2 2 3" xfId="14523" xr:uid="{00000000-0005-0000-0000-0000BE080000}"/>
    <cellStyle name="Millares 2 2 2 2 2 3 2 2 3 2" xfId="34238" xr:uid="{00000000-0005-0000-0000-0000BF080000}"/>
    <cellStyle name="Millares 2 2 2 2 2 3 2 2 4" xfId="24381" xr:uid="{00000000-0005-0000-0000-0000C0080000}"/>
    <cellStyle name="Millares 2 2 2 2 2 3 2 3" xfId="7127" xr:uid="{00000000-0005-0000-0000-0000C1080000}"/>
    <cellStyle name="Millares 2 2 2 2 2 3 2 3 2" xfId="16987" xr:uid="{00000000-0005-0000-0000-0000C2080000}"/>
    <cellStyle name="Millares 2 2 2 2 2 3 2 3 2 2" xfId="36702" xr:uid="{00000000-0005-0000-0000-0000C3080000}"/>
    <cellStyle name="Millares 2 2 2 2 2 3 2 3 3" xfId="26845" xr:uid="{00000000-0005-0000-0000-0000C4080000}"/>
    <cellStyle name="Millares 2 2 2 2 2 3 2 4" xfId="12059" xr:uid="{00000000-0005-0000-0000-0000C5080000}"/>
    <cellStyle name="Millares 2 2 2 2 2 3 2 4 2" xfId="31774" xr:uid="{00000000-0005-0000-0000-0000C6080000}"/>
    <cellStyle name="Millares 2 2 2 2 2 3 2 5" xfId="21917" xr:uid="{00000000-0005-0000-0000-0000C7080000}"/>
    <cellStyle name="Millares 2 2 2 2 2 3 3" xfId="3427" xr:uid="{00000000-0005-0000-0000-0000C8080000}"/>
    <cellStyle name="Millares 2 2 2 2 2 3 3 2" xfId="8359" xr:uid="{00000000-0005-0000-0000-0000C9080000}"/>
    <cellStyle name="Millares 2 2 2 2 2 3 3 2 2" xfId="18219" xr:uid="{00000000-0005-0000-0000-0000CA080000}"/>
    <cellStyle name="Millares 2 2 2 2 2 3 3 2 2 2" xfId="37934" xr:uid="{00000000-0005-0000-0000-0000CB080000}"/>
    <cellStyle name="Millares 2 2 2 2 2 3 3 2 3" xfId="28077" xr:uid="{00000000-0005-0000-0000-0000CC080000}"/>
    <cellStyle name="Millares 2 2 2 2 2 3 3 3" xfId="13291" xr:uid="{00000000-0005-0000-0000-0000CD080000}"/>
    <cellStyle name="Millares 2 2 2 2 2 3 3 3 2" xfId="33006" xr:uid="{00000000-0005-0000-0000-0000CE080000}"/>
    <cellStyle name="Millares 2 2 2 2 2 3 3 4" xfId="23149" xr:uid="{00000000-0005-0000-0000-0000CF080000}"/>
    <cellStyle name="Millares 2 2 2 2 2 3 4" xfId="5895" xr:uid="{00000000-0005-0000-0000-0000D0080000}"/>
    <cellStyle name="Millares 2 2 2 2 2 3 4 2" xfId="15755" xr:uid="{00000000-0005-0000-0000-0000D1080000}"/>
    <cellStyle name="Millares 2 2 2 2 2 3 4 2 2" xfId="35470" xr:uid="{00000000-0005-0000-0000-0000D2080000}"/>
    <cellStyle name="Millares 2 2 2 2 2 3 4 3" xfId="25613" xr:uid="{00000000-0005-0000-0000-0000D3080000}"/>
    <cellStyle name="Millares 2 2 2 2 2 3 5" xfId="10827" xr:uid="{00000000-0005-0000-0000-0000D4080000}"/>
    <cellStyle name="Millares 2 2 2 2 2 3 5 2" xfId="30542" xr:uid="{00000000-0005-0000-0000-0000D5080000}"/>
    <cellStyle name="Millares 2 2 2 2 2 3 6" xfId="20685" xr:uid="{00000000-0005-0000-0000-0000D6080000}"/>
    <cellStyle name="Millares 2 2 2 2 2 4" xfId="1576" xr:uid="{00000000-0005-0000-0000-0000D7080000}"/>
    <cellStyle name="Millares 2 2 2 2 2 4 2" xfId="4043" xr:uid="{00000000-0005-0000-0000-0000D8080000}"/>
    <cellStyle name="Millares 2 2 2 2 2 4 2 2" xfId="8975" xr:uid="{00000000-0005-0000-0000-0000D9080000}"/>
    <cellStyle name="Millares 2 2 2 2 2 4 2 2 2" xfId="18835" xr:uid="{00000000-0005-0000-0000-0000DA080000}"/>
    <cellStyle name="Millares 2 2 2 2 2 4 2 2 2 2" xfId="38550" xr:uid="{00000000-0005-0000-0000-0000DB080000}"/>
    <cellStyle name="Millares 2 2 2 2 2 4 2 2 3" xfId="28693" xr:uid="{00000000-0005-0000-0000-0000DC080000}"/>
    <cellStyle name="Millares 2 2 2 2 2 4 2 3" xfId="13907" xr:uid="{00000000-0005-0000-0000-0000DD080000}"/>
    <cellStyle name="Millares 2 2 2 2 2 4 2 3 2" xfId="33622" xr:uid="{00000000-0005-0000-0000-0000DE080000}"/>
    <cellStyle name="Millares 2 2 2 2 2 4 2 4" xfId="23765" xr:uid="{00000000-0005-0000-0000-0000DF080000}"/>
    <cellStyle name="Millares 2 2 2 2 2 4 3" xfId="6511" xr:uid="{00000000-0005-0000-0000-0000E0080000}"/>
    <cellStyle name="Millares 2 2 2 2 2 4 3 2" xfId="16371" xr:uid="{00000000-0005-0000-0000-0000E1080000}"/>
    <cellStyle name="Millares 2 2 2 2 2 4 3 2 2" xfId="36086" xr:uid="{00000000-0005-0000-0000-0000E2080000}"/>
    <cellStyle name="Millares 2 2 2 2 2 4 3 3" xfId="26229" xr:uid="{00000000-0005-0000-0000-0000E3080000}"/>
    <cellStyle name="Millares 2 2 2 2 2 4 4" xfId="11443" xr:uid="{00000000-0005-0000-0000-0000E4080000}"/>
    <cellStyle name="Millares 2 2 2 2 2 4 4 2" xfId="31158" xr:uid="{00000000-0005-0000-0000-0000E5080000}"/>
    <cellStyle name="Millares 2 2 2 2 2 4 5" xfId="21301" xr:uid="{00000000-0005-0000-0000-0000E6080000}"/>
    <cellStyle name="Millares 2 2 2 2 2 5" xfId="2811" xr:uid="{00000000-0005-0000-0000-0000E7080000}"/>
    <cellStyle name="Millares 2 2 2 2 2 5 2" xfId="7743" xr:uid="{00000000-0005-0000-0000-0000E8080000}"/>
    <cellStyle name="Millares 2 2 2 2 2 5 2 2" xfId="17603" xr:uid="{00000000-0005-0000-0000-0000E9080000}"/>
    <cellStyle name="Millares 2 2 2 2 2 5 2 2 2" xfId="37318" xr:uid="{00000000-0005-0000-0000-0000EA080000}"/>
    <cellStyle name="Millares 2 2 2 2 2 5 2 3" xfId="27461" xr:uid="{00000000-0005-0000-0000-0000EB080000}"/>
    <cellStyle name="Millares 2 2 2 2 2 5 3" xfId="12675" xr:uid="{00000000-0005-0000-0000-0000EC080000}"/>
    <cellStyle name="Millares 2 2 2 2 2 5 3 2" xfId="32390" xr:uid="{00000000-0005-0000-0000-0000ED080000}"/>
    <cellStyle name="Millares 2 2 2 2 2 5 4" xfId="22533" xr:uid="{00000000-0005-0000-0000-0000EE080000}"/>
    <cellStyle name="Millares 2 2 2 2 2 6" xfId="5279" xr:uid="{00000000-0005-0000-0000-0000EF080000}"/>
    <cellStyle name="Millares 2 2 2 2 2 6 2" xfId="15139" xr:uid="{00000000-0005-0000-0000-0000F0080000}"/>
    <cellStyle name="Millares 2 2 2 2 2 6 2 2" xfId="34854" xr:uid="{00000000-0005-0000-0000-0000F1080000}"/>
    <cellStyle name="Millares 2 2 2 2 2 6 3" xfId="24997" xr:uid="{00000000-0005-0000-0000-0000F2080000}"/>
    <cellStyle name="Millares 2 2 2 2 2 7" xfId="10211" xr:uid="{00000000-0005-0000-0000-0000F3080000}"/>
    <cellStyle name="Millares 2 2 2 2 2 7 2" xfId="29926" xr:uid="{00000000-0005-0000-0000-0000F4080000}"/>
    <cellStyle name="Millares 2 2 2 2 2 8" xfId="20069" xr:uid="{00000000-0005-0000-0000-0000F5080000}"/>
    <cellStyle name="Millares 2 2 2 2 3" xfId="491" xr:uid="{00000000-0005-0000-0000-0000F6080000}"/>
    <cellStyle name="Millares 2 2 2 2 3 2" xfId="1111" xr:uid="{00000000-0005-0000-0000-0000F7080000}"/>
    <cellStyle name="Millares 2 2 2 2 3 2 2" xfId="2346" xr:uid="{00000000-0005-0000-0000-0000F8080000}"/>
    <cellStyle name="Millares 2 2 2 2 3 2 2 2" xfId="4813" xr:uid="{00000000-0005-0000-0000-0000F9080000}"/>
    <cellStyle name="Millares 2 2 2 2 3 2 2 2 2" xfId="9745" xr:uid="{00000000-0005-0000-0000-0000FA080000}"/>
    <cellStyle name="Millares 2 2 2 2 3 2 2 2 2 2" xfId="19605" xr:uid="{00000000-0005-0000-0000-0000FB080000}"/>
    <cellStyle name="Millares 2 2 2 2 3 2 2 2 2 2 2" xfId="39320" xr:uid="{00000000-0005-0000-0000-0000FC080000}"/>
    <cellStyle name="Millares 2 2 2 2 3 2 2 2 2 3" xfId="29463" xr:uid="{00000000-0005-0000-0000-0000FD080000}"/>
    <cellStyle name="Millares 2 2 2 2 3 2 2 2 3" xfId="14677" xr:uid="{00000000-0005-0000-0000-0000FE080000}"/>
    <cellStyle name="Millares 2 2 2 2 3 2 2 2 3 2" xfId="34392" xr:uid="{00000000-0005-0000-0000-0000FF080000}"/>
    <cellStyle name="Millares 2 2 2 2 3 2 2 2 4" xfId="24535" xr:uid="{00000000-0005-0000-0000-000000090000}"/>
    <cellStyle name="Millares 2 2 2 2 3 2 2 3" xfId="7281" xr:uid="{00000000-0005-0000-0000-000001090000}"/>
    <cellStyle name="Millares 2 2 2 2 3 2 2 3 2" xfId="17141" xr:uid="{00000000-0005-0000-0000-000002090000}"/>
    <cellStyle name="Millares 2 2 2 2 3 2 2 3 2 2" xfId="36856" xr:uid="{00000000-0005-0000-0000-000003090000}"/>
    <cellStyle name="Millares 2 2 2 2 3 2 2 3 3" xfId="26999" xr:uid="{00000000-0005-0000-0000-000004090000}"/>
    <cellStyle name="Millares 2 2 2 2 3 2 2 4" xfId="12213" xr:uid="{00000000-0005-0000-0000-000005090000}"/>
    <cellStyle name="Millares 2 2 2 2 3 2 2 4 2" xfId="31928" xr:uid="{00000000-0005-0000-0000-000006090000}"/>
    <cellStyle name="Millares 2 2 2 2 3 2 2 5" xfId="22071" xr:uid="{00000000-0005-0000-0000-000007090000}"/>
    <cellStyle name="Millares 2 2 2 2 3 2 3" xfId="3581" xr:uid="{00000000-0005-0000-0000-000008090000}"/>
    <cellStyle name="Millares 2 2 2 2 3 2 3 2" xfId="8513" xr:uid="{00000000-0005-0000-0000-000009090000}"/>
    <cellStyle name="Millares 2 2 2 2 3 2 3 2 2" xfId="18373" xr:uid="{00000000-0005-0000-0000-00000A090000}"/>
    <cellStyle name="Millares 2 2 2 2 3 2 3 2 2 2" xfId="38088" xr:uid="{00000000-0005-0000-0000-00000B090000}"/>
    <cellStyle name="Millares 2 2 2 2 3 2 3 2 3" xfId="28231" xr:uid="{00000000-0005-0000-0000-00000C090000}"/>
    <cellStyle name="Millares 2 2 2 2 3 2 3 3" xfId="13445" xr:uid="{00000000-0005-0000-0000-00000D090000}"/>
    <cellStyle name="Millares 2 2 2 2 3 2 3 3 2" xfId="33160" xr:uid="{00000000-0005-0000-0000-00000E090000}"/>
    <cellStyle name="Millares 2 2 2 2 3 2 3 4" xfId="23303" xr:uid="{00000000-0005-0000-0000-00000F090000}"/>
    <cellStyle name="Millares 2 2 2 2 3 2 4" xfId="6049" xr:uid="{00000000-0005-0000-0000-000010090000}"/>
    <cellStyle name="Millares 2 2 2 2 3 2 4 2" xfId="15909" xr:uid="{00000000-0005-0000-0000-000011090000}"/>
    <cellStyle name="Millares 2 2 2 2 3 2 4 2 2" xfId="35624" xr:uid="{00000000-0005-0000-0000-000012090000}"/>
    <cellStyle name="Millares 2 2 2 2 3 2 4 3" xfId="25767" xr:uid="{00000000-0005-0000-0000-000013090000}"/>
    <cellStyle name="Millares 2 2 2 2 3 2 5" xfId="10981" xr:uid="{00000000-0005-0000-0000-000014090000}"/>
    <cellStyle name="Millares 2 2 2 2 3 2 5 2" xfId="30696" xr:uid="{00000000-0005-0000-0000-000015090000}"/>
    <cellStyle name="Millares 2 2 2 2 3 2 6" xfId="20839" xr:uid="{00000000-0005-0000-0000-000016090000}"/>
    <cellStyle name="Millares 2 2 2 2 3 3" xfId="1730" xr:uid="{00000000-0005-0000-0000-000017090000}"/>
    <cellStyle name="Millares 2 2 2 2 3 3 2" xfId="4197" xr:uid="{00000000-0005-0000-0000-000018090000}"/>
    <cellStyle name="Millares 2 2 2 2 3 3 2 2" xfId="9129" xr:uid="{00000000-0005-0000-0000-000019090000}"/>
    <cellStyle name="Millares 2 2 2 2 3 3 2 2 2" xfId="18989" xr:uid="{00000000-0005-0000-0000-00001A090000}"/>
    <cellStyle name="Millares 2 2 2 2 3 3 2 2 2 2" xfId="38704" xr:uid="{00000000-0005-0000-0000-00001B090000}"/>
    <cellStyle name="Millares 2 2 2 2 3 3 2 2 3" xfId="28847" xr:uid="{00000000-0005-0000-0000-00001C090000}"/>
    <cellStyle name="Millares 2 2 2 2 3 3 2 3" xfId="14061" xr:uid="{00000000-0005-0000-0000-00001D090000}"/>
    <cellStyle name="Millares 2 2 2 2 3 3 2 3 2" xfId="33776" xr:uid="{00000000-0005-0000-0000-00001E090000}"/>
    <cellStyle name="Millares 2 2 2 2 3 3 2 4" xfId="23919" xr:uid="{00000000-0005-0000-0000-00001F090000}"/>
    <cellStyle name="Millares 2 2 2 2 3 3 3" xfId="6665" xr:uid="{00000000-0005-0000-0000-000020090000}"/>
    <cellStyle name="Millares 2 2 2 2 3 3 3 2" xfId="16525" xr:uid="{00000000-0005-0000-0000-000021090000}"/>
    <cellStyle name="Millares 2 2 2 2 3 3 3 2 2" xfId="36240" xr:uid="{00000000-0005-0000-0000-000022090000}"/>
    <cellStyle name="Millares 2 2 2 2 3 3 3 3" xfId="26383" xr:uid="{00000000-0005-0000-0000-000023090000}"/>
    <cellStyle name="Millares 2 2 2 2 3 3 4" xfId="11597" xr:uid="{00000000-0005-0000-0000-000024090000}"/>
    <cellStyle name="Millares 2 2 2 2 3 3 4 2" xfId="31312" xr:uid="{00000000-0005-0000-0000-000025090000}"/>
    <cellStyle name="Millares 2 2 2 2 3 3 5" xfId="21455" xr:uid="{00000000-0005-0000-0000-000026090000}"/>
    <cellStyle name="Millares 2 2 2 2 3 4" xfId="2965" xr:uid="{00000000-0005-0000-0000-000027090000}"/>
    <cellStyle name="Millares 2 2 2 2 3 4 2" xfId="7897" xr:uid="{00000000-0005-0000-0000-000028090000}"/>
    <cellStyle name="Millares 2 2 2 2 3 4 2 2" xfId="17757" xr:uid="{00000000-0005-0000-0000-000029090000}"/>
    <cellStyle name="Millares 2 2 2 2 3 4 2 2 2" xfId="37472" xr:uid="{00000000-0005-0000-0000-00002A090000}"/>
    <cellStyle name="Millares 2 2 2 2 3 4 2 3" xfId="27615" xr:uid="{00000000-0005-0000-0000-00002B090000}"/>
    <cellStyle name="Millares 2 2 2 2 3 4 3" xfId="12829" xr:uid="{00000000-0005-0000-0000-00002C090000}"/>
    <cellStyle name="Millares 2 2 2 2 3 4 3 2" xfId="32544" xr:uid="{00000000-0005-0000-0000-00002D090000}"/>
    <cellStyle name="Millares 2 2 2 2 3 4 4" xfId="22687" xr:uid="{00000000-0005-0000-0000-00002E090000}"/>
    <cellStyle name="Millares 2 2 2 2 3 5" xfId="5433" xr:uid="{00000000-0005-0000-0000-00002F090000}"/>
    <cellStyle name="Millares 2 2 2 2 3 5 2" xfId="15293" xr:uid="{00000000-0005-0000-0000-000030090000}"/>
    <cellStyle name="Millares 2 2 2 2 3 5 2 2" xfId="35008" xr:uid="{00000000-0005-0000-0000-000031090000}"/>
    <cellStyle name="Millares 2 2 2 2 3 5 3" xfId="25151" xr:uid="{00000000-0005-0000-0000-000032090000}"/>
    <cellStyle name="Millares 2 2 2 2 3 6" xfId="10365" xr:uid="{00000000-0005-0000-0000-000033090000}"/>
    <cellStyle name="Millares 2 2 2 2 3 6 2" xfId="30080" xr:uid="{00000000-0005-0000-0000-000034090000}"/>
    <cellStyle name="Millares 2 2 2 2 3 7" xfId="20223" xr:uid="{00000000-0005-0000-0000-000035090000}"/>
    <cellStyle name="Millares 2 2 2 2 4" xfId="804" xr:uid="{00000000-0005-0000-0000-000036090000}"/>
    <cellStyle name="Millares 2 2 2 2 4 2" xfId="2040" xr:uid="{00000000-0005-0000-0000-000037090000}"/>
    <cellStyle name="Millares 2 2 2 2 4 2 2" xfId="4507" xr:uid="{00000000-0005-0000-0000-000038090000}"/>
    <cellStyle name="Millares 2 2 2 2 4 2 2 2" xfId="9439" xr:uid="{00000000-0005-0000-0000-000039090000}"/>
    <cellStyle name="Millares 2 2 2 2 4 2 2 2 2" xfId="19299" xr:uid="{00000000-0005-0000-0000-00003A090000}"/>
    <cellStyle name="Millares 2 2 2 2 4 2 2 2 2 2" xfId="39014" xr:uid="{00000000-0005-0000-0000-00003B090000}"/>
    <cellStyle name="Millares 2 2 2 2 4 2 2 2 3" xfId="29157" xr:uid="{00000000-0005-0000-0000-00003C090000}"/>
    <cellStyle name="Millares 2 2 2 2 4 2 2 3" xfId="14371" xr:uid="{00000000-0005-0000-0000-00003D090000}"/>
    <cellStyle name="Millares 2 2 2 2 4 2 2 3 2" xfId="34086" xr:uid="{00000000-0005-0000-0000-00003E090000}"/>
    <cellStyle name="Millares 2 2 2 2 4 2 2 4" xfId="24229" xr:uid="{00000000-0005-0000-0000-00003F090000}"/>
    <cellStyle name="Millares 2 2 2 2 4 2 3" xfId="6975" xr:uid="{00000000-0005-0000-0000-000040090000}"/>
    <cellStyle name="Millares 2 2 2 2 4 2 3 2" xfId="16835" xr:uid="{00000000-0005-0000-0000-000041090000}"/>
    <cellStyle name="Millares 2 2 2 2 4 2 3 2 2" xfId="36550" xr:uid="{00000000-0005-0000-0000-000042090000}"/>
    <cellStyle name="Millares 2 2 2 2 4 2 3 3" xfId="26693" xr:uid="{00000000-0005-0000-0000-000043090000}"/>
    <cellStyle name="Millares 2 2 2 2 4 2 4" xfId="11907" xr:uid="{00000000-0005-0000-0000-000044090000}"/>
    <cellStyle name="Millares 2 2 2 2 4 2 4 2" xfId="31622" xr:uid="{00000000-0005-0000-0000-000045090000}"/>
    <cellStyle name="Millares 2 2 2 2 4 2 5" xfId="21765" xr:uid="{00000000-0005-0000-0000-000046090000}"/>
    <cellStyle name="Millares 2 2 2 2 4 3" xfId="3275" xr:uid="{00000000-0005-0000-0000-000047090000}"/>
    <cellStyle name="Millares 2 2 2 2 4 3 2" xfId="8207" xr:uid="{00000000-0005-0000-0000-000048090000}"/>
    <cellStyle name="Millares 2 2 2 2 4 3 2 2" xfId="18067" xr:uid="{00000000-0005-0000-0000-000049090000}"/>
    <cellStyle name="Millares 2 2 2 2 4 3 2 2 2" xfId="37782" xr:uid="{00000000-0005-0000-0000-00004A090000}"/>
    <cellStyle name="Millares 2 2 2 2 4 3 2 3" xfId="27925" xr:uid="{00000000-0005-0000-0000-00004B090000}"/>
    <cellStyle name="Millares 2 2 2 2 4 3 3" xfId="13139" xr:uid="{00000000-0005-0000-0000-00004C090000}"/>
    <cellStyle name="Millares 2 2 2 2 4 3 3 2" xfId="32854" xr:uid="{00000000-0005-0000-0000-00004D090000}"/>
    <cellStyle name="Millares 2 2 2 2 4 3 4" xfId="22997" xr:uid="{00000000-0005-0000-0000-00004E090000}"/>
    <cellStyle name="Millares 2 2 2 2 4 4" xfId="5743" xr:uid="{00000000-0005-0000-0000-00004F090000}"/>
    <cellStyle name="Millares 2 2 2 2 4 4 2" xfId="15603" xr:uid="{00000000-0005-0000-0000-000050090000}"/>
    <cellStyle name="Millares 2 2 2 2 4 4 2 2" xfId="35318" xr:uid="{00000000-0005-0000-0000-000051090000}"/>
    <cellStyle name="Millares 2 2 2 2 4 4 3" xfId="25461" xr:uid="{00000000-0005-0000-0000-000052090000}"/>
    <cellStyle name="Millares 2 2 2 2 4 5" xfId="10675" xr:uid="{00000000-0005-0000-0000-000053090000}"/>
    <cellStyle name="Millares 2 2 2 2 4 5 2" xfId="30390" xr:uid="{00000000-0005-0000-0000-000054090000}"/>
    <cellStyle name="Millares 2 2 2 2 4 6" xfId="20533" xr:uid="{00000000-0005-0000-0000-000055090000}"/>
    <cellStyle name="Millares 2 2 2 2 5" xfId="1424" xr:uid="{00000000-0005-0000-0000-000056090000}"/>
    <cellStyle name="Millares 2 2 2 2 5 2" xfId="3891" xr:uid="{00000000-0005-0000-0000-000057090000}"/>
    <cellStyle name="Millares 2 2 2 2 5 2 2" xfId="8823" xr:uid="{00000000-0005-0000-0000-000058090000}"/>
    <cellStyle name="Millares 2 2 2 2 5 2 2 2" xfId="18683" xr:uid="{00000000-0005-0000-0000-000059090000}"/>
    <cellStyle name="Millares 2 2 2 2 5 2 2 2 2" xfId="38398" xr:uid="{00000000-0005-0000-0000-00005A090000}"/>
    <cellStyle name="Millares 2 2 2 2 5 2 2 3" xfId="28541" xr:uid="{00000000-0005-0000-0000-00005B090000}"/>
    <cellStyle name="Millares 2 2 2 2 5 2 3" xfId="13755" xr:uid="{00000000-0005-0000-0000-00005C090000}"/>
    <cellStyle name="Millares 2 2 2 2 5 2 3 2" xfId="33470" xr:uid="{00000000-0005-0000-0000-00005D090000}"/>
    <cellStyle name="Millares 2 2 2 2 5 2 4" xfId="23613" xr:uid="{00000000-0005-0000-0000-00005E090000}"/>
    <cellStyle name="Millares 2 2 2 2 5 3" xfId="6359" xr:uid="{00000000-0005-0000-0000-00005F090000}"/>
    <cellStyle name="Millares 2 2 2 2 5 3 2" xfId="16219" xr:uid="{00000000-0005-0000-0000-000060090000}"/>
    <cellStyle name="Millares 2 2 2 2 5 3 2 2" xfId="35934" xr:uid="{00000000-0005-0000-0000-000061090000}"/>
    <cellStyle name="Millares 2 2 2 2 5 3 3" xfId="26077" xr:uid="{00000000-0005-0000-0000-000062090000}"/>
    <cellStyle name="Millares 2 2 2 2 5 4" xfId="11291" xr:uid="{00000000-0005-0000-0000-000063090000}"/>
    <cellStyle name="Millares 2 2 2 2 5 4 2" xfId="31006" xr:uid="{00000000-0005-0000-0000-000064090000}"/>
    <cellStyle name="Millares 2 2 2 2 5 5" xfId="21149" xr:uid="{00000000-0005-0000-0000-000065090000}"/>
    <cellStyle name="Millares 2 2 2 2 6" xfId="2659" xr:uid="{00000000-0005-0000-0000-000066090000}"/>
    <cellStyle name="Millares 2 2 2 2 6 2" xfId="7591" xr:uid="{00000000-0005-0000-0000-000067090000}"/>
    <cellStyle name="Millares 2 2 2 2 6 2 2" xfId="17451" xr:uid="{00000000-0005-0000-0000-000068090000}"/>
    <cellStyle name="Millares 2 2 2 2 6 2 2 2" xfId="37166" xr:uid="{00000000-0005-0000-0000-000069090000}"/>
    <cellStyle name="Millares 2 2 2 2 6 2 3" xfId="27309" xr:uid="{00000000-0005-0000-0000-00006A090000}"/>
    <cellStyle name="Millares 2 2 2 2 6 3" xfId="12523" xr:uid="{00000000-0005-0000-0000-00006B090000}"/>
    <cellStyle name="Millares 2 2 2 2 6 3 2" xfId="32238" xr:uid="{00000000-0005-0000-0000-00006C090000}"/>
    <cellStyle name="Millares 2 2 2 2 6 4" xfId="22381" xr:uid="{00000000-0005-0000-0000-00006D090000}"/>
    <cellStyle name="Millares 2 2 2 2 7" xfId="5127" xr:uid="{00000000-0005-0000-0000-00006E090000}"/>
    <cellStyle name="Millares 2 2 2 2 7 2" xfId="14987" xr:uid="{00000000-0005-0000-0000-00006F090000}"/>
    <cellStyle name="Millares 2 2 2 2 7 2 2" xfId="34702" xr:uid="{00000000-0005-0000-0000-000070090000}"/>
    <cellStyle name="Millares 2 2 2 2 7 3" xfId="24845" xr:uid="{00000000-0005-0000-0000-000071090000}"/>
    <cellStyle name="Millares 2 2 2 2 8" xfId="10059" xr:uid="{00000000-0005-0000-0000-000072090000}"/>
    <cellStyle name="Millares 2 2 2 2 8 2" xfId="29774" xr:uid="{00000000-0005-0000-0000-000073090000}"/>
    <cellStyle name="Millares 2 2 2 2 9" xfId="19917" xr:uid="{00000000-0005-0000-0000-000074090000}"/>
    <cellStyle name="Millares 2 2 2 3" xfId="253" xr:uid="{00000000-0005-0000-0000-000075090000}"/>
    <cellStyle name="Millares 2 2 2 3 2" xfId="567" xr:uid="{00000000-0005-0000-0000-000076090000}"/>
    <cellStyle name="Millares 2 2 2 3 2 2" xfId="1187" xr:uid="{00000000-0005-0000-0000-000077090000}"/>
    <cellStyle name="Millares 2 2 2 3 2 2 2" xfId="2422" xr:uid="{00000000-0005-0000-0000-000078090000}"/>
    <cellStyle name="Millares 2 2 2 3 2 2 2 2" xfId="4889" xr:uid="{00000000-0005-0000-0000-000079090000}"/>
    <cellStyle name="Millares 2 2 2 3 2 2 2 2 2" xfId="9821" xr:uid="{00000000-0005-0000-0000-00007A090000}"/>
    <cellStyle name="Millares 2 2 2 3 2 2 2 2 2 2" xfId="19681" xr:uid="{00000000-0005-0000-0000-00007B090000}"/>
    <cellStyle name="Millares 2 2 2 3 2 2 2 2 2 2 2" xfId="39396" xr:uid="{00000000-0005-0000-0000-00007C090000}"/>
    <cellStyle name="Millares 2 2 2 3 2 2 2 2 2 3" xfId="29539" xr:uid="{00000000-0005-0000-0000-00007D090000}"/>
    <cellStyle name="Millares 2 2 2 3 2 2 2 2 3" xfId="14753" xr:uid="{00000000-0005-0000-0000-00007E090000}"/>
    <cellStyle name="Millares 2 2 2 3 2 2 2 2 3 2" xfId="34468" xr:uid="{00000000-0005-0000-0000-00007F090000}"/>
    <cellStyle name="Millares 2 2 2 3 2 2 2 2 4" xfId="24611" xr:uid="{00000000-0005-0000-0000-000080090000}"/>
    <cellStyle name="Millares 2 2 2 3 2 2 2 3" xfId="7357" xr:uid="{00000000-0005-0000-0000-000081090000}"/>
    <cellStyle name="Millares 2 2 2 3 2 2 2 3 2" xfId="17217" xr:uid="{00000000-0005-0000-0000-000082090000}"/>
    <cellStyle name="Millares 2 2 2 3 2 2 2 3 2 2" xfId="36932" xr:uid="{00000000-0005-0000-0000-000083090000}"/>
    <cellStyle name="Millares 2 2 2 3 2 2 2 3 3" xfId="27075" xr:uid="{00000000-0005-0000-0000-000084090000}"/>
    <cellStyle name="Millares 2 2 2 3 2 2 2 4" xfId="12289" xr:uid="{00000000-0005-0000-0000-000085090000}"/>
    <cellStyle name="Millares 2 2 2 3 2 2 2 4 2" xfId="32004" xr:uid="{00000000-0005-0000-0000-000086090000}"/>
    <cellStyle name="Millares 2 2 2 3 2 2 2 5" xfId="22147" xr:uid="{00000000-0005-0000-0000-000087090000}"/>
    <cellStyle name="Millares 2 2 2 3 2 2 3" xfId="3657" xr:uid="{00000000-0005-0000-0000-000088090000}"/>
    <cellStyle name="Millares 2 2 2 3 2 2 3 2" xfId="8589" xr:uid="{00000000-0005-0000-0000-000089090000}"/>
    <cellStyle name="Millares 2 2 2 3 2 2 3 2 2" xfId="18449" xr:uid="{00000000-0005-0000-0000-00008A090000}"/>
    <cellStyle name="Millares 2 2 2 3 2 2 3 2 2 2" xfId="38164" xr:uid="{00000000-0005-0000-0000-00008B090000}"/>
    <cellStyle name="Millares 2 2 2 3 2 2 3 2 3" xfId="28307" xr:uid="{00000000-0005-0000-0000-00008C090000}"/>
    <cellStyle name="Millares 2 2 2 3 2 2 3 3" xfId="13521" xr:uid="{00000000-0005-0000-0000-00008D090000}"/>
    <cellStyle name="Millares 2 2 2 3 2 2 3 3 2" xfId="33236" xr:uid="{00000000-0005-0000-0000-00008E090000}"/>
    <cellStyle name="Millares 2 2 2 3 2 2 3 4" xfId="23379" xr:uid="{00000000-0005-0000-0000-00008F090000}"/>
    <cellStyle name="Millares 2 2 2 3 2 2 4" xfId="6125" xr:uid="{00000000-0005-0000-0000-000090090000}"/>
    <cellStyle name="Millares 2 2 2 3 2 2 4 2" xfId="15985" xr:uid="{00000000-0005-0000-0000-000091090000}"/>
    <cellStyle name="Millares 2 2 2 3 2 2 4 2 2" xfId="35700" xr:uid="{00000000-0005-0000-0000-000092090000}"/>
    <cellStyle name="Millares 2 2 2 3 2 2 4 3" xfId="25843" xr:uid="{00000000-0005-0000-0000-000093090000}"/>
    <cellStyle name="Millares 2 2 2 3 2 2 5" xfId="11057" xr:uid="{00000000-0005-0000-0000-000094090000}"/>
    <cellStyle name="Millares 2 2 2 3 2 2 5 2" xfId="30772" xr:uid="{00000000-0005-0000-0000-000095090000}"/>
    <cellStyle name="Millares 2 2 2 3 2 2 6" xfId="20915" xr:uid="{00000000-0005-0000-0000-000096090000}"/>
    <cellStyle name="Millares 2 2 2 3 2 3" xfId="1806" xr:uid="{00000000-0005-0000-0000-000097090000}"/>
    <cellStyle name="Millares 2 2 2 3 2 3 2" xfId="4273" xr:uid="{00000000-0005-0000-0000-000098090000}"/>
    <cellStyle name="Millares 2 2 2 3 2 3 2 2" xfId="9205" xr:uid="{00000000-0005-0000-0000-000099090000}"/>
    <cellStyle name="Millares 2 2 2 3 2 3 2 2 2" xfId="19065" xr:uid="{00000000-0005-0000-0000-00009A090000}"/>
    <cellStyle name="Millares 2 2 2 3 2 3 2 2 2 2" xfId="38780" xr:uid="{00000000-0005-0000-0000-00009B090000}"/>
    <cellStyle name="Millares 2 2 2 3 2 3 2 2 3" xfId="28923" xr:uid="{00000000-0005-0000-0000-00009C090000}"/>
    <cellStyle name="Millares 2 2 2 3 2 3 2 3" xfId="14137" xr:uid="{00000000-0005-0000-0000-00009D090000}"/>
    <cellStyle name="Millares 2 2 2 3 2 3 2 3 2" xfId="33852" xr:uid="{00000000-0005-0000-0000-00009E090000}"/>
    <cellStyle name="Millares 2 2 2 3 2 3 2 4" xfId="23995" xr:uid="{00000000-0005-0000-0000-00009F090000}"/>
    <cellStyle name="Millares 2 2 2 3 2 3 3" xfId="6741" xr:uid="{00000000-0005-0000-0000-0000A0090000}"/>
    <cellStyle name="Millares 2 2 2 3 2 3 3 2" xfId="16601" xr:uid="{00000000-0005-0000-0000-0000A1090000}"/>
    <cellStyle name="Millares 2 2 2 3 2 3 3 2 2" xfId="36316" xr:uid="{00000000-0005-0000-0000-0000A2090000}"/>
    <cellStyle name="Millares 2 2 2 3 2 3 3 3" xfId="26459" xr:uid="{00000000-0005-0000-0000-0000A3090000}"/>
    <cellStyle name="Millares 2 2 2 3 2 3 4" xfId="11673" xr:uid="{00000000-0005-0000-0000-0000A4090000}"/>
    <cellStyle name="Millares 2 2 2 3 2 3 4 2" xfId="31388" xr:uid="{00000000-0005-0000-0000-0000A5090000}"/>
    <cellStyle name="Millares 2 2 2 3 2 3 5" xfId="21531" xr:uid="{00000000-0005-0000-0000-0000A6090000}"/>
    <cellStyle name="Millares 2 2 2 3 2 4" xfId="3041" xr:uid="{00000000-0005-0000-0000-0000A7090000}"/>
    <cellStyle name="Millares 2 2 2 3 2 4 2" xfId="7973" xr:uid="{00000000-0005-0000-0000-0000A8090000}"/>
    <cellStyle name="Millares 2 2 2 3 2 4 2 2" xfId="17833" xr:uid="{00000000-0005-0000-0000-0000A9090000}"/>
    <cellStyle name="Millares 2 2 2 3 2 4 2 2 2" xfId="37548" xr:uid="{00000000-0005-0000-0000-0000AA090000}"/>
    <cellStyle name="Millares 2 2 2 3 2 4 2 3" xfId="27691" xr:uid="{00000000-0005-0000-0000-0000AB090000}"/>
    <cellStyle name="Millares 2 2 2 3 2 4 3" xfId="12905" xr:uid="{00000000-0005-0000-0000-0000AC090000}"/>
    <cellStyle name="Millares 2 2 2 3 2 4 3 2" xfId="32620" xr:uid="{00000000-0005-0000-0000-0000AD090000}"/>
    <cellStyle name="Millares 2 2 2 3 2 4 4" xfId="22763" xr:uid="{00000000-0005-0000-0000-0000AE090000}"/>
    <cellStyle name="Millares 2 2 2 3 2 5" xfId="5509" xr:uid="{00000000-0005-0000-0000-0000AF090000}"/>
    <cellStyle name="Millares 2 2 2 3 2 5 2" xfId="15369" xr:uid="{00000000-0005-0000-0000-0000B0090000}"/>
    <cellStyle name="Millares 2 2 2 3 2 5 2 2" xfId="35084" xr:uid="{00000000-0005-0000-0000-0000B1090000}"/>
    <cellStyle name="Millares 2 2 2 3 2 5 3" xfId="25227" xr:uid="{00000000-0005-0000-0000-0000B2090000}"/>
    <cellStyle name="Millares 2 2 2 3 2 6" xfId="10441" xr:uid="{00000000-0005-0000-0000-0000B3090000}"/>
    <cellStyle name="Millares 2 2 2 3 2 6 2" xfId="30156" xr:uid="{00000000-0005-0000-0000-0000B4090000}"/>
    <cellStyle name="Millares 2 2 2 3 2 7" xfId="20299" xr:uid="{00000000-0005-0000-0000-0000B5090000}"/>
    <cellStyle name="Millares 2 2 2 3 3" xfId="880" xr:uid="{00000000-0005-0000-0000-0000B6090000}"/>
    <cellStyle name="Millares 2 2 2 3 3 2" xfId="2116" xr:uid="{00000000-0005-0000-0000-0000B7090000}"/>
    <cellStyle name="Millares 2 2 2 3 3 2 2" xfId="4583" xr:uid="{00000000-0005-0000-0000-0000B8090000}"/>
    <cellStyle name="Millares 2 2 2 3 3 2 2 2" xfId="9515" xr:uid="{00000000-0005-0000-0000-0000B9090000}"/>
    <cellStyle name="Millares 2 2 2 3 3 2 2 2 2" xfId="19375" xr:uid="{00000000-0005-0000-0000-0000BA090000}"/>
    <cellStyle name="Millares 2 2 2 3 3 2 2 2 2 2" xfId="39090" xr:uid="{00000000-0005-0000-0000-0000BB090000}"/>
    <cellStyle name="Millares 2 2 2 3 3 2 2 2 3" xfId="29233" xr:uid="{00000000-0005-0000-0000-0000BC090000}"/>
    <cellStyle name="Millares 2 2 2 3 3 2 2 3" xfId="14447" xr:uid="{00000000-0005-0000-0000-0000BD090000}"/>
    <cellStyle name="Millares 2 2 2 3 3 2 2 3 2" xfId="34162" xr:uid="{00000000-0005-0000-0000-0000BE090000}"/>
    <cellStyle name="Millares 2 2 2 3 3 2 2 4" xfId="24305" xr:uid="{00000000-0005-0000-0000-0000BF090000}"/>
    <cellStyle name="Millares 2 2 2 3 3 2 3" xfId="7051" xr:uid="{00000000-0005-0000-0000-0000C0090000}"/>
    <cellStyle name="Millares 2 2 2 3 3 2 3 2" xfId="16911" xr:uid="{00000000-0005-0000-0000-0000C1090000}"/>
    <cellStyle name="Millares 2 2 2 3 3 2 3 2 2" xfId="36626" xr:uid="{00000000-0005-0000-0000-0000C2090000}"/>
    <cellStyle name="Millares 2 2 2 3 3 2 3 3" xfId="26769" xr:uid="{00000000-0005-0000-0000-0000C3090000}"/>
    <cellStyle name="Millares 2 2 2 3 3 2 4" xfId="11983" xr:uid="{00000000-0005-0000-0000-0000C4090000}"/>
    <cellStyle name="Millares 2 2 2 3 3 2 4 2" xfId="31698" xr:uid="{00000000-0005-0000-0000-0000C5090000}"/>
    <cellStyle name="Millares 2 2 2 3 3 2 5" xfId="21841" xr:uid="{00000000-0005-0000-0000-0000C6090000}"/>
    <cellStyle name="Millares 2 2 2 3 3 3" xfId="3351" xr:uid="{00000000-0005-0000-0000-0000C7090000}"/>
    <cellStyle name="Millares 2 2 2 3 3 3 2" xfId="8283" xr:uid="{00000000-0005-0000-0000-0000C8090000}"/>
    <cellStyle name="Millares 2 2 2 3 3 3 2 2" xfId="18143" xr:uid="{00000000-0005-0000-0000-0000C9090000}"/>
    <cellStyle name="Millares 2 2 2 3 3 3 2 2 2" xfId="37858" xr:uid="{00000000-0005-0000-0000-0000CA090000}"/>
    <cellStyle name="Millares 2 2 2 3 3 3 2 3" xfId="28001" xr:uid="{00000000-0005-0000-0000-0000CB090000}"/>
    <cellStyle name="Millares 2 2 2 3 3 3 3" xfId="13215" xr:uid="{00000000-0005-0000-0000-0000CC090000}"/>
    <cellStyle name="Millares 2 2 2 3 3 3 3 2" xfId="32930" xr:uid="{00000000-0005-0000-0000-0000CD090000}"/>
    <cellStyle name="Millares 2 2 2 3 3 3 4" xfId="23073" xr:uid="{00000000-0005-0000-0000-0000CE090000}"/>
    <cellStyle name="Millares 2 2 2 3 3 4" xfId="5819" xr:uid="{00000000-0005-0000-0000-0000CF090000}"/>
    <cellStyle name="Millares 2 2 2 3 3 4 2" xfId="15679" xr:uid="{00000000-0005-0000-0000-0000D0090000}"/>
    <cellStyle name="Millares 2 2 2 3 3 4 2 2" xfId="35394" xr:uid="{00000000-0005-0000-0000-0000D1090000}"/>
    <cellStyle name="Millares 2 2 2 3 3 4 3" xfId="25537" xr:uid="{00000000-0005-0000-0000-0000D2090000}"/>
    <cellStyle name="Millares 2 2 2 3 3 5" xfId="10751" xr:uid="{00000000-0005-0000-0000-0000D3090000}"/>
    <cellStyle name="Millares 2 2 2 3 3 5 2" xfId="30466" xr:uid="{00000000-0005-0000-0000-0000D4090000}"/>
    <cellStyle name="Millares 2 2 2 3 3 6" xfId="20609" xr:uid="{00000000-0005-0000-0000-0000D5090000}"/>
    <cellStyle name="Millares 2 2 2 3 4" xfId="1500" xr:uid="{00000000-0005-0000-0000-0000D6090000}"/>
    <cellStyle name="Millares 2 2 2 3 4 2" xfId="3967" xr:uid="{00000000-0005-0000-0000-0000D7090000}"/>
    <cellStyle name="Millares 2 2 2 3 4 2 2" xfId="8899" xr:uid="{00000000-0005-0000-0000-0000D8090000}"/>
    <cellStyle name="Millares 2 2 2 3 4 2 2 2" xfId="18759" xr:uid="{00000000-0005-0000-0000-0000D9090000}"/>
    <cellStyle name="Millares 2 2 2 3 4 2 2 2 2" xfId="38474" xr:uid="{00000000-0005-0000-0000-0000DA090000}"/>
    <cellStyle name="Millares 2 2 2 3 4 2 2 3" xfId="28617" xr:uid="{00000000-0005-0000-0000-0000DB090000}"/>
    <cellStyle name="Millares 2 2 2 3 4 2 3" xfId="13831" xr:uid="{00000000-0005-0000-0000-0000DC090000}"/>
    <cellStyle name="Millares 2 2 2 3 4 2 3 2" xfId="33546" xr:uid="{00000000-0005-0000-0000-0000DD090000}"/>
    <cellStyle name="Millares 2 2 2 3 4 2 4" xfId="23689" xr:uid="{00000000-0005-0000-0000-0000DE090000}"/>
    <cellStyle name="Millares 2 2 2 3 4 3" xfId="6435" xr:uid="{00000000-0005-0000-0000-0000DF090000}"/>
    <cellStyle name="Millares 2 2 2 3 4 3 2" xfId="16295" xr:uid="{00000000-0005-0000-0000-0000E0090000}"/>
    <cellStyle name="Millares 2 2 2 3 4 3 2 2" xfId="36010" xr:uid="{00000000-0005-0000-0000-0000E1090000}"/>
    <cellStyle name="Millares 2 2 2 3 4 3 3" xfId="26153" xr:uid="{00000000-0005-0000-0000-0000E2090000}"/>
    <cellStyle name="Millares 2 2 2 3 4 4" xfId="11367" xr:uid="{00000000-0005-0000-0000-0000E3090000}"/>
    <cellStyle name="Millares 2 2 2 3 4 4 2" xfId="31082" xr:uid="{00000000-0005-0000-0000-0000E4090000}"/>
    <cellStyle name="Millares 2 2 2 3 4 5" xfId="21225" xr:uid="{00000000-0005-0000-0000-0000E5090000}"/>
    <cellStyle name="Millares 2 2 2 3 5" xfId="2735" xr:uid="{00000000-0005-0000-0000-0000E6090000}"/>
    <cellStyle name="Millares 2 2 2 3 5 2" xfId="7667" xr:uid="{00000000-0005-0000-0000-0000E7090000}"/>
    <cellStyle name="Millares 2 2 2 3 5 2 2" xfId="17527" xr:uid="{00000000-0005-0000-0000-0000E8090000}"/>
    <cellStyle name="Millares 2 2 2 3 5 2 2 2" xfId="37242" xr:uid="{00000000-0005-0000-0000-0000E9090000}"/>
    <cellStyle name="Millares 2 2 2 3 5 2 3" xfId="27385" xr:uid="{00000000-0005-0000-0000-0000EA090000}"/>
    <cellStyle name="Millares 2 2 2 3 5 3" xfId="12599" xr:uid="{00000000-0005-0000-0000-0000EB090000}"/>
    <cellStyle name="Millares 2 2 2 3 5 3 2" xfId="32314" xr:uid="{00000000-0005-0000-0000-0000EC090000}"/>
    <cellStyle name="Millares 2 2 2 3 5 4" xfId="22457" xr:uid="{00000000-0005-0000-0000-0000ED090000}"/>
    <cellStyle name="Millares 2 2 2 3 6" xfId="5203" xr:uid="{00000000-0005-0000-0000-0000EE090000}"/>
    <cellStyle name="Millares 2 2 2 3 6 2" xfId="15063" xr:uid="{00000000-0005-0000-0000-0000EF090000}"/>
    <cellStyle name="Millares 2 2 2 3 6 2 2" xfId="34778" xr:uid="{00000000-0005-0000-0000-0000F0090000}"/>
    <cellStyle name="Millares 2 2 2 3 6 3" xfId="24921" xr:uid="{00000000-0005-0000-0000-0000F1090000}"/>
    <cellStyle name="Millares 2 2 2 3 7" xfId="10135" xr:uid="{00000000-0005-0000-0000-0000F2090000}"/>
    <cellStyle name="Millares 2 2 2 3 7 2" xfId="29850" xr:uid="{00000000-0005-0000-0000-0000F3090000}"/>
    <cellStyle name="Millares 2 2 2 3 8" xfId="19993" xr:uid="{00000000-0005-0000-0000-0000F4090000}"/>
    <cellStyle name="Millares 2 2 2 4" xfId="415" xr:uid="{00000000-0005-0000-0000-0000F5090000}"/>
    <cellStyle name="Millares 2 2 2 4 2" xfId="1035" xr:uid="{00000000-0005-0000-0000-0000F6090000}"/>
    <cellStyle name="Millares 2 2 2 4 2 2" xfId="2270" xr:uid="{00000000-0005-0000-0000-0000F7090000}"/>
    <cellStyle name="Millares 2 2 2 4 2 2 2" xfId="4737" xr:uid="{00000000-0005-0000-0000-0000F8090000}"/>
    <cellStyle name="Millares 2 2 2 4 2 2 2 2" xfId="9669" xr:uid="{00000000-0005-0000-0000-0000F9090000}"/>
    <cellStyle name="Millares 2 2 2 4 2 2 2 2 2" xfId="19529" xr:uid="{00000000-0005-0000-0000-0000FA090000}"/>
    <cellStyle name="Millares 2 2 2 4 2 2 2 2 2 2" xfId="39244" xr:uid="{00000000-0005-0000-0000-0000FB090000}"/>
    <cellStyle name="Millares 2 2 2 4 2 2 2 2 3" xfId="29387" xr:uid="{00000000-0005-0000-0000-0000FC090000}"/>
    <cellStyle name="Millares 2 2 2 4 2 2 2 3" xfId="14601" xr:uid="{00000000-0005-0000-0000-0000FD090000}"/>
    <cellStyle name="Millares 2 2 2 4 2 2 2 3 2" xfId="34316" xr:uid="{00000000-0005-0000-0000-0000FE090000}"/>
    <cellStyle name="Millares 2 2 2 4 2 2 2 4" xfId="24459" xr:uid="{00000000-0005-0000-0000-0000FF090000}"/>
    <cellStyle name="Millares 2 2 2 4 2 2 3" xfId="7205" xr:uid="{00000000-0005-0000-0000-0000000A0000}"/>
    <cellStyle name="Millares 2 2 2 4 2 2 3 2" xfId="17065" xr:uid="{00000000-0005-0000-0000-0000010A0000}"/>
    <cellStyle name="Millares 2 2 2 4 2 2 3 2 2" xfId="36780" xr:uid="{00000000-0005-0000-0000-0000020A0000}"/>
    <cellStyle name="Millares 2 2 2 4 2 2 3 3" xfId="26923" xr:uid="{00000000-0005-0000-0000-0000030A0000}"/>
    <cellStyle name="Millares 2 2 2 4 2 2 4" xfId="12137" xr:uid="{00000000-0005-0000-0000-0000040A0000}"/>
    <cellStyle name="Millares 2 2 2 4 2 2 4 2" xfId="31852" xr:uid="{00000000-0005-0000-0000-0000050A0000}"/>
    <cellStyle name="Millares 2 2 2 4 2 2 5" xfId="21995" xr:uid="{00000000-0005-0000-0000-0000060A0000}"/>
    <cellStyle name="Millares 2 2 2 4 2 3" xfId="3505" xr:uid="{00000000-0005-0000-0000-0000070A0000}"/>
    <cellStyle name="Millares 2 2 2 4 2 3 2" xfId="8437" xr:uid="{00000000-0005-0000-0000-0000080A0000}"/>
    <cellStyle name="Millares 2 2 2 4 2 3 2 2" xfId="18297" xr:uid="{00000000-0005-0000-0000-0000090A0000}"/>
    <cellStyle name="Millares 2 2 2 4 2 3 2 2 2" xfId="38012" xr:uid="{00000000-0005-0000-0000-00000A0A0000}"/>
    <cellStyle name="Millares 2 2 2 4 2 3 2 3" xfId="28155" xr:uid="{00000000-0005-0000-0000-00000B0A0000}"/>
    <cellStyle name="Millares 2 2 2 4 2 3 3" xfId="13369" xr:uid="{00000000-0005-0000-0000-00000C0A0000}"/>
    <cellStyle name="Millares 2 2 2 4 2 3 3 2" xfId="33084" xr:uid="{00000000-0005-0000-0000-00000D0A0000}"/>
    <cellStyle name="Millares 2 2 2 4 2 3 4" xfId="23227" xr:uid="{00000000-0005-0000-0000-00000E0A0000}"/>
    <cellStyle name="Millares 2 2 2 4 2 4" xfId="5973" xr:uid="{00000000-0005-0000-0000-00000F0A0000}"/>
    <cellStyle name="Millares 2 2 2 4 2 4 2" xfId="15833" xr:uid="{00000000-0005-0000-0000-0000100A0000}"/>
    <cellStyle name="Millares 2 2 2 4 2 4 2 2" xfId="35548" xr:uid="{00000000-0005-0000-0000-0000110A0000}"/>
    <cellStyle name="Millares 2 2 2 4 2 4 3" xfId="25691" xr:uid="{00000000-0005-0000-0000-0000120A0000}"/>
    <cellStyle name="Millares 2 2 2 4 2 5" xfId="10905" xr:uid="{00000000-0005-0000-0000-0000130A0000}"/>
    <cellStyle name="Millares 2 2 2 4 2 5 2" xfId="30620" xr:uid="{00000000-0005-0000-0000-0000140A0000}"/>
    <cellStyle name="Millares 2 2 2 4 2 6" xfId="20763" xr:uid="{00000000-0005-0000-0000-0000150A0000}"/>
    <cellStyle name="Millares 2 2 2 4 3" xfId="1654" xr:uid="{00000000-0005-0000-0000-0000160A0000}"/>
    <cellStyle name="Millares 2 2 2 4 3 2" xfId="4121" xr:uid="{00000000-0005-0000-0000-0000170A0000}"/>
    <cellStyle name="Millares 2 2 2 4 3 2 2" xfId="9053" xr:uid="{00000000-0005-0000-0000-0000180A0000}"/>
    <cellStyle name="Millares 2 2 2 4 3 2 2 2" xfId="18913" xr:uid="{00000000-0005-0000-0000-0000190A0000}"/>
    <cellStyle name="Millares 2 2 2 4 3 2 2 2 2" xfId="38628" xr:uid="{00000000-0005-0000-0000-00001A0A0000}"/>
    <cellStyle name="Millares 2 2 2 4 3 2 2 3" xfId="28771" xr:uid="{00000000-0005-0000-0000-00001B0A0000}"/>
    <cellStyle name="Millares 2 2 2 4 3 2 3" xfId="13985" xr:uid="{00000000-0005-0000-0000-00001C0A0000}"/>
    <cellStyle name="Millares 2 2 2 4 3 2 3 2" xfId="33700" xr:uid="{00000000-0005-0000-0000-00001D0A0000}"/>
    <cellStyle name="Millares 2 2 2 4 3 2 4" xfId="23843" xr:uid="{00000000-0005-0000-0000-00001E0A0000}"/>
    <cellStyle name="Millares 2 2 2 4 3 3" xfId="6589" xr:uid="{00000000-0005-0000-0000-00001F0A0000}"/>
    <cellStyle name="Millares 2 2 2 4 3 3 2" xfId="16449" xr:uid="{00000000-0005-0000-0000-0000200A0000}"/>
    <cellStyle name="Millares 2 2 2 4 3 3 2 2" xfId="36164" xr:uid="{00000000-0005-0000-0000-0000210A0000}"/>
    <cellStyle name="Millares 2 2 2 4 3 3 3" xfId="26307" xr:uid="{00000000-0005-0000-0000-0000220A0000}"/>
    <cellStyle name="Millares 2 2 2 4 3 4" xfId="11521" xr:uid="{00000000-0005-0000-0000-0000230A0000}"/>
    <cellStyle name="Millares 2 2 2 4 3 4 2" xfId="31236" xr:uid="{00000000-0005-0000-0000-0000240A0000}"/>
    <cellStyle name="Millares 2 2 2 4 3 5" xfId="21379" xr:uid="{00000000-0005-0000-0000-0000250A0000}"/>
    <cellStyle name="Millares 2 2 2 4 4" xfId="2889" xr:uid="{00000000-0005-0000-0000-0000260A0000}"/>
    <cellStyle name="Millares 2 2 2 4 4 2" xfId="7821" xr:uid="{00000000-0005-0000-0000-0000270A0000}"/>
    <cellStyle name="Millares 2 2 2 4 4 2 2" xfId="17681" xr:uid="{00000000-0005-0000-0000-0000280A0000}"/>
    <cellStyle name="Millares 2 2 2 4 4 2 2 2" xfId="37396" xr:uid="{00000000-0005-0000-0000-0000290A0000}"/>
    <cellStyle name="Millares 2 2 2 4 4 2 3" xfId="27539" xr:uid="{00000000-0005-0000-0000-00002A0A0000}"/>
    <cellStyle name="Millares 2 2 2 4 4 3" xfId="12753" xr:uid="{00000000-0005-0000-0000-00002B0A0000}"/>
    <cellStyle name="Millares 2 2 2 4 4 3 2" xfId="32468" xr:uid="{00000000-0005-0000-0000-00002C0A0000}"/>
    <cellStyle name="Millares 2 2 2 4 4 4" xfId="22611" xr:uid="{00000000-0005-0000-0000-00002D0A0000}"/>
    <cellStyle name="Millares 2 2 2 4 5" xfId="5357" xr:uid="{00000000-0005-0000-0000-00002E0A0000}"/>
    <cellStyle name="Millares 2 2 2 4 5 2" xfId="15217" xr:uid="{00000000-0005-0000-0000-00002F0A0000}"/>
    <cellStyle name="Millares 2 2 2 4 5 2 2" xfId="34932" xr:uid="{00000000-0005-0000-0000-0000300A0000}"/>
    <cellStyle name="Millares 2 2 2 4 5 3" xfId="25075" xr:uid="{00000000-0005-0000-0000-0000310A0000}"/>
    <cellStyle name="Millares 2 2 2 4 6" xfId="10289" xr:uid="{00000000-0005-0000-0000-0000320A0000}"/>
    <cellStyle name="Millares 2 2 2 4 6 2" xfId="30004" xr:uid="{00000000-0005-0000-0000-0000330A0000}"/>
    <cellStyle name="Millares 2 2 2 4 7" xfId="20147" xr:uid="{00000000-0005-0000-0000-0000340A0000}"/>
    <cellStyle name="Millares 2 2 2 5" xfId="728" xr:uid="{00000000-0005-0000-0000-0000350A0000}"/>
    <cellStyle name="Millares 2 2 2 5 2" xfId="1964" xr:uid="{00000000-0005-0000-0000-0000360A0000}"/>
    <cellStyle name="Millares 2 2 2 5 2 2" xfId="4431" xr:uid="{00000000-0005-0000-0000-0000370A0000}"/>
    <cellStyle name="Millares 2 2 2 5 2 2 2" xfId="9363" xr:uid="{00000000-0005-0000-0000-0000380A0000}"/>
    <cellStyle name="Millares 2 2 2 5 2 2 2 2" xfId="19223" xr:uid="{00000000-0005-0000-0000-0000390A0000}"/>
    <cellStyle name="Millares 2 2 2 5 2 2 2 2 2" xfId="38938" xr:uid="{00000000-0005-0000-0000-00003A0A0000}"/>
    <cellStyle name="Millares 2 2 2 5 2 2 2 3" xfId="29081" xr:uid="{00000000-0005-0000-0000-00003B0A0000}"/>
    <cellStyle name="Millares 2 2 2 5 2 2 3" xfId="14295" xr:uid="{00000000-0005-0000-0000-00003C0A0000}"/>
    <cellStyle name="Millares 2 2 2 5 2 2 3 2" xfId="34010" xr:uid="{00000000-0005-0000-0000-00003D0A0000}"/>
    <cellStyle name="Millares 2 2 2 5 2 2 4" xfId="24153" xr:uid="{00000000-0005-0000-0000-00003E0A0000}"/>
    <cellStyle name="Millares 2 2 2 5 2 3" xfId="6899" xr:uid="{00000000-0005-0000-0000-00003F0A0000}"/>
    <cellStyle name="Millares 2 2 2 5 2 3 2" xfId="16759" xr:uid="{00000000-0005-0000-0000-0000400A0000}"/>
    <cellStyle name="Millares 2 2 2 5 2 3 2 2" xfId="36474" xr:uid="{00000000-0005-0000-0000-0000410A0000}"/>
    <cellStyle name="Millares 2 2 2 5 2 3 3" xfId="26617" xr:uid="{00000000-0005-0000-0000-0000420A0000}"/>
    <cellStyle name="Millares 2 2 2 5 2 4" xfId="11831" xr:uid="{00000000-0005-0000-0000-0000430A0000}"/>
    <cellStyle name="Millares 2 2 2 5 2 4 2" xfId="31546" xr:uid="{00000000-0005-0000-0000-0000440A0000}"/>
    <cellStyle name="Millares 2 2 2 5 2 5" xfId="21689" xr:uid="{00000000-0005-0000-0000-0000450A0000}"/>
    <cellStyle name="Millares 2 2 2 5 3" xfId="3199" xr:uid="{00000000-0005-0000-0000-0000460A0000}"/>
    <cellStyle name="Millares 2 2 2 5 3 2" xfId="8131" xr:uid="{00000000-0005-0000-0000-0000470A0000}"/>
    <cellStyle name="Millares 2 2 2 5 3 2 2" xfId="17991" xr:uid="{00000000-0005-0000-0000-0000480A0000}"/>
    <cellStyle name="Millares 2 2 2 5 3 2 2 2" xfId="37706" xr:uid="{00000000-0005-0000-0000-0000490A0000}"/>
    <cellStyle name="Millares 2 2 2 5 3 2 3" xfId="27849" xr:uid="{00000000-0005-0000-0000-00004A0A0000}"/>
    <cellStyle name="Millares 2 2 2 5 3 3" xfId="13063" xr:uid="{00000000-0005-0000-0000-00004B0A0000}"/>
    <cellStyle name="Millares 2 2 2 5 3 3 2" xfId="32778" xr:uid="{00000000-0005-0000-0000-00004C0A0000}"/>
    <cellStyle name="Millares 2 2 2 5 3 4" xfId="22921" xr:uid="{00000000-0005-0000-0000-00004D0A0000}"/>
    <cellStyle name="Millares 2 2 2 5 4" xfId="5667" xr:uid="{00000000-0005-0000-0000-00004E0A0000}"/>
    <cellStyle name="Millares 2 2 2 5 4 2" xfId="15527" xr:uid="{00000000-0005-0000-0000-00004F0A0000}"/>
    <cellStyle name="Millares 2 2 2 5 4 2 2" xfId="35242" xr:uid="{00000000-0005-0000-0000-0000500A0000}"/>
    <cellStyle name="Millares 2 2 2 5 4 3" xfId="25385" xr:uid="{00000000-0005-0000-0000-0000510A0000}"/>
    <cellStyle name="Millares 2 2 2 5 5" xfId="10599" xr:uid="{00000000-0005-0000-0000-0000520A0000}"/>
    <cellStyle name="Millares 2 2 2 5 5 2" xfId="30314" xr:uid="{00000000-0005-0000-0000-0000530A0000}"/>
    <cellStyle name="Millares 2 2 2 5 6" xfId="20457" xr:uid="{00000000-0005-0000-0000-0000540A0000}"/>
    <cellStyle name="Millares 2 2 2 6" xfId="1348" xr:uid="{00000000-0005-0000-0000-0000550A0000}"/>
    <cellStyle name="Millares 2 2 2 6 2" xfId="3815" xr:uid="{00000000-0005-0000-0000-0000560A0000}"/>
    <cellStyle name="Millares 2 2 2 6 2 2" xfId="8747" xr:uid="{00000000-0005-0000-0000-0000570A0000}"/>
    <cellStyle name="Millares 2 2 2 6 2 2 2" xfId="18607" xr:uid="{00000000-0005-0000-0000-0000580A0000}"/>
    <cellStyle name="Millares 2 2 2 6 2 2 2 2" xfId="38322" xr:uid="{00000000-0005-0000-0000-0000590A0000}"/>
    <cellStyle name="Millares 2 2 2 6 2 2 3" xfId="28465" xr:uid="{00000000-0005-0000-0000-00005A0A0000}"/>
    <cellStyle name="Millares 2 2 2 6 2 3" xfId="13679" xr:uid="{00000000-0005-0000-0000-00005B0A0000}"/>
    <cellStyle name="Millares 2 2 2 6 2 3 2" xfId="33394" xr:uid="{00000000-0005-0000-0000-00005C0A0000}"/>
    <cellStyle name="Millares 2 2 2 6 2 4" xfId="23537" xr:uid="{00000000-0005-0000-0000-00005D0A0000}"/>
    <cellStyle name="Millares 2 2 2 6 3" xfId="6283" xr:uid="{00000000-0005-0000-0000-00005E0A0000}"/>
    <cellStyle name="Millares 2 2 2 6 3 2" xfId="16143" xr:uid="{00000000-0005-0000-0000-00005F0A0000}"/>
    <cellStyle name="Millares 2 2 2 6 3 2 2" xfId="35858" xr:uid="{00000000-0005-0000-0000-0000600A0000}"/>
    <cellStyle name="Millares 2 2 2 6 3 3" xfId="26001" xr:uid="{00000000-0005-0000-0000-0000610A0000}"/>
    <cellStyle name="Millares 2 2 2 6 4" xfId="11215" xr:uid="{00000000-0005-0000-0000-0000620A0000}"/>
    <cellStyle name="Millares 2 2 2 6 4 2" xfId="30930" xr:uid="{00000000-0005-0000-0000-0000630A0000}"/>
    <cellStyle name="Millares 2 2 2 6 5" xfId="21073" xr:uid="{00000000-0005-0000-0000-0000640A0000}"/>
    <cellStyle name="Millares 2 2 2 7" xfId="2583" xr:uid="{00000000-0005-0000-0000-0000650A0000}"/>
    <cellStyle name="Millares 2 2 2 7 2" xfId="7515" xr:uid="{00000000-0005-0000-0000-0000660A0000}"/>
    <cellStyle name="Millares 2 2 2 7 2 2" xfId="17375" xr:uid="{00000000-0005-0000-0000-0000670A0000}"/>
    <cellStyle name="Millares 2 2 2 7 2 2 2" xfId="37090" xr:uid="{00000000-0005-0000-0000-0000680A0000}"/>
    <cellStyle name="Millares 2 2 2 7 2 3" xfId="27233" xr:uid="{00000000-0005-0000-0000-0000690A0000}"/>
    <cellStyle name="Millares 2 2 2 7 3" xfId="12447" xr:uid="{00000000-0005-0000-0000-00006A0A0000}"/>
    <cellStyle name="Millares 2 2 2 7 3 2" xfId="32162" xr:uid="{00000000-0005-0000-0000-00006B0A0000}"/>
    <cellStyle name="Millares 2 2 2 7 4" xfId="22305" xr:uid="{00000000-0005-0000-0000-00006C0A0000}"/>
    <cellStyle name="Millares 2 2 2 8" xfId="5051" xr:uid="{00000000-0005-0000-0000-00006D0A0000}"/>
    <cellStyle name="Millares 2 2 2 8 2" xfId="14911" xr:uid="{00000000-0005-0000-0000-00006E0A0000}"/>
    <cellStyle name="Millares 2 2 2 8 2 2" xfId="34626" xr:uid="{00000000-0005-0000-0000-00006F0A0000}"/>
    <cellStyle name="Millares 2 2 2 8 3" xfId="24769" xr:uid="{00000000-0005-0000-0000-0000700A0000}"/>
    <cellStyle name="Millares 2 2 2 9" xfId="9983" xr:uid="{00000000-0005-0000-0000-0000710A0000}"/>
    <cellStyle name="Millares 2 2 2 9 2" xfId="29698" xr:uid="{00000000-0005-0000-0000-0000720A0000}"/>
    <cellStyle name="Millares 2 2 3" xfId="134" xr:uid="{00000000-0005-0000-0000-0000730A0000}"/>
    <cellStyle name="Millares 2 2 3 2" xfId="291" xr:uid="{00000000-0005-0000-0000-0000740A0000}"/>
    <cellStyle name="Millares 2 2 3 2 2" xfId="605" xr:uid="{00000000-0005-0000-0000-0000750A0000}"/>
    <cellStyle name="Millares 2 2 3 2 2 2" xfId="1225" xr:uid="{00000000-0005-0000-0000-0000760A0000}"/>
    <cellStyle name="Millares 2 2 3 2 2 2 2" xfId="2460" xr:uid="{00000000-0005-0000-0000-0000770A0000}"/>
    <cellStyle name="Millares 2 2 3 2 2 2 2 2" xfId="4927" xr:uid="{00000000-0005-0000-0000-0000780A0000}"/>
    <cellStyle name="Millares 2 2 3 2 2 2 2 2 2" xfId="9859" xr:uid="{00000000-0005-0000-0000-0000790A0000}"/>
    <cellStyle name="Millares 2 2 3 2 2 2 2 2 2 2" xfId="19719" xr:uid="{00000000-0005-0000-0000-00007A0A0000}"/>
    <cellStyle name="Millares 2 2 3 2 2 2 2 2 2 2 2" xfId="39434" xr:uid="{00000000-0005-0000-0000-00007B0A0000}"/>
    <cellStyle name="Millares 2 2 3 2 2 2 2 2 2 3" xfId="29577" xr:uid="{00000000-0005-0000-0000-00007C0A0000}"/>
    <cellStyle name="Millares 2 2 3 2 2 2 2 2 3" xfId="14791" xr:uid="{00000000-0005-0000-0000-00007D0A0000}"/>
    <cellStyle name="Millares 2 2 3 2 2 2 2 2 3 2" xfId="34506" xr:uid="{00000000-0005-0000-0000-00007E0A0000}"/>
    <cellStyle name="Millares 2 2 3 2 2 2 2 2 4" xfId="24649" xr:uid="{00000000-0005-0000-0000-00007F0A0000}"/>
    <cellStyle name="Millares 2 2 3 2 2 2 2 3" xfId="7395" xr:uid="{00000000-0005-0000-0000-0000800A0000}"/>
    <cellStyle name="Millares 2 2 3 2 2 2 2 3 2" xfId="17255" xr:uid="{00000000-0005-0000-0000-0000810A0000}"/>
    <cellStyle name="Millares 2 2 3 2 2 2 2 3 2 2" xfId="36970" xr:uid="{00000000-0005-0000-0000-0000820A0000}"/>
    <cellStyle name="Millares 2 2 3 2 2 2 2 3 3" xfId="27113" xr:uid="{00000000-0005-0000-0000-0000830A0000}"/>
    <cellStyle name="Millares 2 2 3 2 2 2 2 4" xfId="12327" xr:uid="{00000000-0005-0000-0000-0000840A0000}"/>
    <cellStyle name="Millares 2 2 3 2 2 2 2 4 2" xfId="32042" xr:uid="{00000000-0005-0000-0000-0000850A0000}"/>
    <cellStyle name="Millares 2 2 3 2 2 2 2 5" xfId="22185" xr:uid="{00000000-0005-0000-0000-0000860A0000}"/>
    <cellStyle name="Millares 2 2 3 2 2 2 3" xfId="3695" xr:uid="{00000000-0005-0000-0000-0000870A0000}"/>
    <cellStyle name="Millares 2 2 3 2 2 2 3 2" xfId="8627" xr:uid="{00000000-0005-0000-0000-0000880A0000}"/>
    <cellStyle name="Millares 2 2 3 2 2 2 3 2 2" xfId="18487" xr:uid="{00000000-0005-0000-0000-0000890A0000}"/>
    <cellStyle name="Millares 2 2 3 2 2 2 3 2 2 2" xfId="38202" xr:uid="{00000000-0005-0000-0000-00008A0A0000}"/>
    <cellStyle name="Millares 2 2 3 2 2 2 3 2 3" xfId="28345" xr:uid="{00000000-0005-0000-0000-00008B0A0000}"/>
    <cellStyle name="Millares 2 2 3 2 2 2 3 3" xfId="13559" xr:uid="{00000000-0005-0000-0000-00008C0A0000}"/>
    <cellStyle name="Millares 2 2 3 2 2 2 3 3 2" xfId="33274" xr:uid="{00000000-0005-0000-0000-00008D0A0000}"/>
    <cellStyle name="Millares 2 2 3 2 2 2 3 4" xfId="23417" xr:uid="{00000000-0005-0000-0000-00008E0A0000}"/>
    <cellStyle name="Millares 2 2 3 2 2 2 4" xfId="6163" xr:uid="{00000000-0005-0000-0000-00008F0A0000}"/>
    <cellStyle name="Millares 2 2 3 2 2 2 4 2" xfId="16023" xr:uid="{00000000-0005-0000-0000-0000900A0000}"/>
    <cellStyle name="Millares 2 2 3 2 2 2 4 2 2" xfId="35738" xr:uid="{00000000-0005-0000-0000-0000910A0000}"/>
    <cellStyle name="Millares 2 2 3 2 2 2 4 3" xfId="25881" xr:uid="{00000000-0005-0000-0000-0000920A0000}"/>
    <cellStyle name="Millares 2 2 3 2 2 2 5" xfId="11095" xr:uid="{00000000-0005-0000-0000-0000930A0000}"/>
    <cellStyle name="Millares 2 2 3 2 2 2 5 2" xfId="30810" xr:uid="{00000000-0005-0000-0000-0000940A0000}"/>
    <cellStyle name="Millares 2 2 3 2 2 2 6" xfId="20953" xr:uid="{00000000-0005-0000-0000-0000950A0000}"/>
    <cellStyle name="Millares 2 2 3 2 2 3" xfId="1844" xr:uid="{00000000-0005-0000-0000-0000960A0000}"/>
    <cellStyle name="Millares 2 2 3 2 2 3 2" xfId="4311" xr:uid="{00000000-0005-0000-0000-0000970A0000}"/>
    <cellStyle name="Millares 2 2 3 2 2 3 2 2" xfId="9243" xr:uid="{00000000-0005-0000-0000-0000980A0000}"/>
    <cellStyle name="Millares 2 2 3 2 2 3 2 2 2" xfId="19103" xr:uid="{00000000-0005-0000-0000-0000990A0000}"/>
    <cellStyle name="Millares 2 2 3 2 2 3 2 2 2 2" xfId="38818" xr:uid="{00000000-0005-0000-0000-00009A0A0000}"/>
    <cellStyle name="Millares 2 2 3 2 2 3 2 2 3" xfId="28961" xr:uid="{00000000-0005-0000-0000-00009B0A0000}"/>
    <cellStyle name="Millares 2 2 3 2 2 3 2 3" xfId="14175" xr:uid="{00000000-0005-0000-0000-00009C0A0000}"/>
    <cellStyle name="Millares 2 2 3 2 2 3 2 3 2" xfId="33890" xr:uid="{00000000-0005-0000-0000-00009D0A0000}"/>
    <cellStyle name="Millares 2 2 3 2 2 3 2 4" xfId="24033" xr:uid="{00000000-0005-0000-0000-00009E0A0000}"/>
    <cellStyle name="Millares 2 2 3 2 2 3 3" xfId="6779" xr:uid="{00000000-0005-0000-0000-00009F0A0000}"/>
    <cellStyle name="Millares 2 2 3 2 2 3 3 2" xfId="16639" xr:uid="{00000000-0005-0000-0000-0000A00A0000}"/>
    <cellStyle name="Millares 2 2 3 2 2 3 3 2 2" xfId="36354" xr:uid="{00000000-0005-0000-0000-0000A10A0000}"/>
    <cellStyle name="Millares 2 2 3 2 2 3 3 3" xfId="26497" xr:uid="{00000000-0005-0000-0000-0000A20A0000}"/>
    <cellStyle name="Millares 2 2 3 2 2 3 4" xfId="11711" xr:uid="{00000000-0005-0000-0000-0000A30A0000}"/>
    <cellStyle name="Millares 2 2 3 2 2 3 4 2" xfId="31426" xr:uid="{00000000-0005-0000-0000-0000A40A0000}"/>
    <cellStyle name="Millares 2 2 3 2 2 3 5" xfId="21569" xr:uid="{00000000-0005-0000-0000-0000A50A0000}"/>
    <cellStyle name="Millares 2 2 3 2 2 4" xfId="3079" xr:uid="{00000000-0005-0000-0000-0000A60A0000}"/>
    <cellStyle name="Millares 2 2 3 2 2 4 2" xfId="8011" xr:uid="{00000000-0005-0000-0000-0000A70A0000}"/>
    <cellStyle name="Millares 2 2 3 2 2 4 2 2" xfId="17871" xr:uid="{00000000-0005-0000-0000-0000A80A0000}"/>
    <cellStyle name="Millares 2 2 3 2 2 4 2 2 2" xfId="37586" xr:uid="{00000000-0005-0000-0000-0000A90A0000}"/>
    <cellStyle name="Millares 2 2 3 2 2 4 2 3" xfId="27729" xr:uid="{00000000-0005-0000-0000-0000AA0A0000}"/>
    <cellStyle name="Millares 2 2 3 2 2 4 3" xfId="12943" xr:uid="{00000000-0005-0000-0000-0000AB0A0000}"/>
    <cellStyle name="Millares 2 2 3 2 2 4 3 2" xfId="32658" xr:uid="{00000000-0005-0000-0000-0000AC0A0000}"/>
    <cellStyle name="Millares 2 2 3 2 2 4 4" xfId="22801" xr:uid="{00000000-0005-0000-0000-0000AD0A0000}"/>
    <cellStyle name="Millares 2 2 3 2 2 5" xfId="5547" xr:uid="{00000000-0005-0000-0000-0000AE0A0000}"/>
    <cellStyle name="Millares 2 2 3 2 2 5 2" xfId="15407" xr:uid="{00000000-0005-0000-0000-0000AF0A0000}"/>
    <cellStyle name="Millares 2 2 3 2 2 5 2 2" xfId="35122" xr:uid="{00000000-0005-0000-0000-0000B00A0000}"/>
    <cellStyle name="Millares 2 2 3 2 2 5 3" xfId="25265" xr:uid="{00000000-0005-0000-0000-0000B10A0000}"/>
    <cellStyle name="Millares 2 2 3 2 2 6" xfId="10479" xr:uid="{00000000-0005-0000-0000-0000B20A0000}"/>
    <cellStyle name="Millares 2 2 3 2 2 6 2" xfId="30194" xr:uid="{00000000-0005-0000-0000-0000B30A0000}"/>
    <cellStyle name="Millares 2 2 3 2 2 7" xfId="20337" xr:uid="{00000000-0005-0000-0000-0000B40A0000}"/>
    <cellStyle name="Millares 2 2 3 2 3" xfId="918" xr:uid="{00000000-0005-0000-0000-0000B50A0000}"/>
    <cellStyle name="Millares 2 2 3 2 3 2" xfId="2154" xr:uid="{00000000-0005-0000-0000-0000B60A0000}"/>
    <cellStyle name="Millares 2 2 3 2 3 2 2" xfId="4621" xr:uid="{00000000-0005-0000-0000-0000B70A0000}"/>
    <cellStyle name="Millares 2 2 3 2 3 2 2 2" xfId="9553" xr:uid="{00000000-0005-0000-0000-0000B80A0000}"/>
    <cellStyle name="Millares 2 2 3 2 3 2 2 2 2" xfId="19413" xr:uid="{00000000-0005-0000-0000-0000B90A0000}"/>
    <cellStyle name="Millares 2 2 3 2 3 2 2 2 2 2" xfId="39128" xr:uid="{00000000-0005-0000-0000-0000BA0A0000}"/>
    <cellStyle name="Millares 2 2 3 2 3 2 2 2 3" xfId="29271" xr:uid="{00000000-0005-0000-0000-0000BB0A0000}"/>
    <cellStyle name="Millares 2 2 3 2 3 2 2 3" xfId="14485" xr:uid="{00000000-0005-0000-0000-0000BC0A0000}"/>
    <cellStyle name="Millares 2 2 3 2 3 2 2 3 2" xfId="34200" xr:uid="{00000000-0005-0000-0000-0000BD0A0000}"/>
    <cellStyle name="Millares 2 2 3 2 3 2 2 4" xfId="24343" xr:uid="{00000000-0005-0000-0000-0000BE0A0000}"/>
    <cellStyle name="Millares 2 2 3 2 3 2 3" xfId="7089" xr:uid="{00000000-0005-0000-0000-0000BF0A0000}"/>
    <cellStyle name="Millares 2 2 3 2 3 2 3 2" xfId="16949" xr:uid="{00000000-0005-0000-0000-0000C00A0000}"/>
    <cellStyle name="Millares 2 2 3 2 3 2 3 2 2" xfId="36664" xr:uid="{00000000-0005-0000-0000-0000C10A0000}"/>
    <cellStyle name="Millares 2 2 3 2 3 2 3 3" xfId="26807" xr:uid="{00000000-0005-0000-0000-0000C20A0000}"/>
    <cellStyle name="Millares 2 2 3 2 3 2 4" xfId="12021" xr:uid="{00000000-0005-0000-0000-0000C30A0000}"/>
    <cellStyle name="Millares 2 2 3 2 3 2 4 2" xfId="31736" xr:uid="{00000000-0005-0000-0000-0000C40A0000}"/>
    <cellStyle name="Millares 2 2 3 2 3 2 5" xfId="21879" xr:uid="{00000000-0005-0000-0000-0000C50A0000}"/>
    <cellStyle name="Millares 2 2 3 2 3 3" xfId="3389" xr:uid="{00000000-0005-0000-0000-0000C60A0000}"/>
    <cellStyle name="Millares 2 2 3 2 3 3 2" xfId="8321" xr:uid="{00000000-0005-0000-0000-0000C70A0000}"/>
    <cellStyle name="Millares 2 2 3 2 3 3 2 2" xfId="18181" xr:uid="{00000000-0005-0000-0000-0000C80A0000}"/>
    <cellStyle name="Millares 2 2 3 2 3 3 2 2 2" xfId="37896" xr:uid="{00000000-0005-0000-0000-0000C90A0000}"/>
    <cellStyle name="Millares 2 2 3 2 3 3 2 3" xfId="28039" xr:uid="{00000000-0005-0000-0000-0000CA0A0000}"/>
    <cellStyle name="Millares 2 2 3 2 3 3 3" xfId="13253" xr:uid="{00000000-0005-0000-0000-0000CB0A0000}"/>
    <cellStyle name="Millares 2 2 3 2 3 3 3 2" xfId="32968" xr:uid="{00000000-0005-0000-0000-0000CC0A0000}"/>
    <cellStyle name="Millares 2 2 3 2 3 3 4" xfId="23111" xr:uid="{00000000-0005-0000-0000-0000CD0A0000}"/>
    <cellStyle name="Millares 2 2 3 2 3 4" xfId="5857" xr:uid="{00000000-0005-0000-0000-0000CE0A0000}"/>
    <cellStyle name="Millares 2 2 3 2 3 4 2" xfId="15717" xr:uid="{00000000-0005-0000-0000-0000CF0A0000}"/>
    <cellStyle name="Millares 2 2 3 2 3 4 2 2" xfId="35432" xr:uid="{00000000-0005-0000-0000-0000D00A0000}"/>
    <cellStyle name="Millares 2 2 3 2 3 4 3" xfId="25575" xr:uid="{00000000-0005-0000-0000-0000D10A0000}"/>
    <cellStyle name="Millares 2 2 3 2 3 5" xfId="10789" xr:uid="{00000000-0005-0000-0000-0000D20A0000}"/>
    <cellStyle name="Millares 2 2 3 2 3 5 2" xfId="30504" xr:uid="{00000000-0005-0000-0000-0000D30A0000}"/>
    <cellStyle name="Millares 2 2 3 2 3 6" xfId="20647" xr:uid="{00000000-0005-0000-0000-0000D40A0000}"/>
    <cellStyle name="Millares 2 2 3 2 4" xfId="1538" xr:uid="{00000000-0005-0000-0000-0000D50A0000}"/>
    <cellStyle name="Millares 2 2 3 2 4 2" xfId="4005" xr:uid="{00000000-0005-0000-0000-0000D60A0000}"/>
    <cellStyle name="Millares 2 2 3 2 4 2 2" xfId="8937" xr:uid="{00000000-0005-0000-0000-0000D70A0000}"/>
    <cellStyle name="Millares 2 2 3 2 4 2 2 2" xfId="18797" xr:uid="{00000000-0005-0000-0000-0000D80A0000}"/>
    <cellStyle name="Millares 2 2 3 2 4 2 2 2 2" xfId="38512" xr:uid="{00000000-0005-0000-0000-0000D90A0000}"/>
    <cellStyle name="Millares 2 2 3 2 4 2 2 3" xfId="28655" xr:uid="{00000000-0005-0000-0000-0000DA0A0000}"/>
    <cellStyle name="Millares 2 2 3 2 4 2 3" xfId="13869" xr:uid="{00000000-0005-0000-0000-0000DB0A0000}"/>
    <cellStyle name="Millares 2 2 3 2 4 2 3 2" xfId="33584" xr:uid="{00000000-0005-0000-0000-0000DC0A0000}"/>
    <cellStyle name="Millares 2 2 3 2 4 2 4" xfId="23727" xr:uid="{00000000-0005-0000-0000-0000DD0A0000}"/>
    <cellStyle name="Millares 2 2 3 2 4 3" xfId="6473" xr:uid="{00000000-0005-0000-0000-0000DE0A0000}"/>
    <cellStyle name="Millares 2 2 3 2 4 3 2" xfId="16333" xr:uid="{00000000-0005-0000-0000-0000DF0A0000}"/>
    <cellStyle name="Millares 2 2 3 2 4 3 2 2" xfId="36048" xr:uid="{00000000-0005-0000-0000-0000E00A0000}"/>
    <cellStyle name="Millares 2 2 3 2 4 3 3" xfId="26191" xr:uid="{00000000-0005-0000-0000-0000E10A0000}"/>
    <cellStyle name="Millares 2 2 3 2 4 4" xfId="11405" xr:uid="{00000000-0005-0000-0000-0000E20A0000}"/>
    <cellStyle name="Millares 2 2 3 2 4 4 2" xfId="31120" xr:uid="{00000000-0005-0000-0000-0000E30A0000}"/>
    <cellStyle name="Millares 2 2 3 2 4 5" xfId="21263" xr:uid="{00000000-0005-0000-0000-0000E40A0000}"/>
    <cellStyle name="Millares 2 2 3 2 5" xfId="2773" xr:uid="{00000000-0005-0000-0000-0000E50A0000}"/>
    <cellStyle name="Millares 2 2 3 2 5 2" xfId="7705" xr:uid="{00000000-0005-0000-0000-0000E60A0000}"/>
    <cellStyle name="Millares 2 2 3 2 5 2 2" xfId="17565" xr:uid="{00000000-0005-0000-0000-0000E70A0000}"/>
    <cellStyle name="Millares 2 2 3 2 5 2 2 2" xfId="37280" xr:uid="{00000000-0005-0000-0000-0000E80A0000}"/>
    <cellStyle name="Millares 2 2 3 2 5 2 3" xfId="27423" xr:uid="{00000000-0005-0000-0000-0000E90A0000}"/>
    <cellStyle name="Millares 2 2 3 2 5 3" xfId="12637" xr:uid="{00000000-0005-0000-0000-0000EA0A0000}"/>
    <cellStyle name="Millares 2 2 3 2 5 3 2" xfId="32352" xr:uid="{00000000-0005-0000-0000-0000EB0A0000}"/>
    <cellStyle name="Millares 2 2 3 2 5 4" xfId="22495" xr:uid="{00000000-0005-0000-0000-0000EC0A0000}"/>
    <cellStyle name="Millares 2 2 3 2 6" xfId="5241" xr:uid="{00000000-0005-0000-0000-0000ED0A0000}"/>
    <cellStyle name="Millares 2 2 3 2 6 2" xfId="15101" xr:uid="{00000000-0005-0000-0000-0000EE0A0000}"/>
    <cellStyle name="Millares 2 2 3 2 6 2 2" xfId="34816" xr:uid="{00000000-0005-0000-0000-0000EF0A0000}"/>
    <cellStyle name="Millares 2 2 3 2 6 3" xfId="24959" xr:uid="{00000000-0005-0000-0000-0000F00A0000}"/>
    <cellStyle name="Millares 2 2 3 2 7" xfId="10173" xr:uid="{00000000-0005-0000-0000-0000F10A0000}"/>
    <cellStyle name="Millares 2 2 3 2 7 2" xfId="29888" xr:uid="{00000000-0005-0000-0000-0000F20A0000}"/>
    <cellStyle name="Millares 2 2 3 2 8" xfId="20031" xr:uid="{00000000-0005-0000-0000-0000F30A0000}"/>
    <cellStyle name="Millares 2 2 3 3" xfId="453" xr:uid="{00000000-0005-0000-0000-0000F40A0000}"/>
    <cellStyle name="Millares 2 2 3 3 2" xfId="1073" xr:uid="{00000000-0005-0000-0000-0000F50A0000}"/>
    <cellStyle name="Millares 2 2 3 3 2 2" xfId="2308" xr:uid="{00000000-0005-0000-0000-0000F60A0000}"/>
    <cellStyle name="Millares 2 2 3 3 2 2 2" xfId="4775" xr:uid="{00000000-0005-0000-0000-0000F70A0000}"/>
    <cellStyle name="Millares 2 2 3 3 2 2 2 2" xfId="9707" xr:uid="{00000000-0005-0000-0000-0000F80A0000}"/>
    <cellStyle name="Millares 2 2 3 3 2 2 2 2 2" xfId="19567" xr:uid="{00000000-0005-0000-0000-0000F90A0000}"/>
    <cellStyle name="Millares 2 2 3 3 2 2 2 2 2 2" xfId="39282" xr:uid="{00000000-0005-0000-0000-0000FA0A0000}"/>
    <cellStyle name="Millares 2 2 3 3 2 2 2 2 3" xfId="29425" xr:uid="{00000000-0005-0000-0000-0000FB0A0000}"/>
    <cellStyle name="Millares 2 2 3 3 2 2 2 3" xfId="14639" xr:uid="{00000000-0005-0000-0000-0000FC0A0000}"/>
    <cellStyle name="Millares 2 2 3 3 2 2 2 3 2" xfId="34354" xr:uid="{00000000-0005-0000-0000-0000FD0A0000}"/>
    <cellStyle name="Millares 2 2 3 3 2 2 2 4" xfId="24497" xr:uid="{00000000-0005-0000-0000-0000FE0A0000}"/>
    <cellStyle name="Millares 2 2 3 3 2 2 3" xfId="7243" xr:uid="{00000000-0005-0000-0000-0000FF0A0000}"/>
    <cellStyle name="Millares 2 2 3 3 2 2 3 2" xfId="17103" xr:uid="{00000000-0005-0000-0000-0000000B0000}"/>
    <cellStyle name="Millares 2 2 3 3 2 2 3 2 2" xfId="36818" xr:uid="{00000000-0005-0000-0000-0000010B0000}"/>
    <cellStyle name="Millares 2 2 3 3 2 2 3 3" xfId="26961" xr:uid="{00000000-0005-0000-0000-0000020B0000}"/>
    <cellStyle name="Millares 2 2 3 3 2 2 4" xfId="12175" xr:uid="{00000000-0005-0000-0000-0000030B0000}"/>
    <cellStyle name="Millares 2 2 3 3 2 2 4 2" xfId="31890" xr:uid="{00000000-0005-0000-0000-0000040B0000}"/>
    <cellStyle name="Millares 2 2 3 3 2 2 5" xfId="22033" xr:uid="{00000000-0005-0000-0000-0000050B0000}"/>
    <cellStyle name="Millares 2 2 3 3 2 3" xfId="3543" xr:uid="{00000000-0005-0000-0000-0000060B0000}"/>
    <cellStyle name="Millares 2 2 3 3 2 3 2" xfId="8475" xr:uid="{00000000-0005-0000-0000-0000070B0000}"/>
    <cellStyle name="Millares 2 2 3 3 2 3 2 2" xfId="18335" xr:uid="{00000000-0005-0000-0000-0000080B0000}"/>
    <cellStyle name="Millares 2 2 3 3 2 3 2 2 2" xfId="38050" xr:uid="{00000000-0005-0000-0000-0000090B0000}"/>
    <cellStyle name="Millares 2 2 3 3 2 3 2 3" xfId="28193" xr:uid="{00000000-0005-0000-0000-00000A0B0000}"/>
    <cellStyle name="Millares 2 2 3 3 2 3 3" xfId="13407" xr:uid="{00000000-0005-0000-0000-00000B0B0000}"/>
    <cellStyle name="Millares 2 2 3 3 2 3 3 2" xfId="33122" xr:uid="{00000000-0005-0000-0000-00000C0B0000}"/>
    <cellStyle name="Millares 2 2 3 3 2 3 4" xfId="23265" xr:uid="{00000000-0005-0000-0000-00000D0B0000}"/>
    <cellStyle name="Millares 2 2 3 3 2 4" xfId="6011" xr:uid="{00000000-0005-0000-0000-00000E0B0000}"/>
    <cellStyle name="Millares 2 2 3 3 2 4 2" xfId="15871" xr:uid="{00000000-0005-0000-0000-00000F0B0000}"/>
    <cellStyle name="Millares 2 2 3 3 2 4 2 2" xfId="35586" xr:uid="{00000000-0005-0000-0000-0000100B0000}"/>
    <cellStyle name="Millares 2 2 3 3 2 4 3" xfId="25729" xr:uid="{00000000-0005-0000-0000-0000110B0000}"/>
    <cellStyle name="Millares 2 2 3 3 2 5" xfId="10943" xr:uid="{00000000-0005-0000-0000-0000120B0000}"/>
    <cellStyle name="Millares 2 2 3 3 2 5 2" xfId="30658" xr:uid="{00000000-0005-0000-0000-0000130B0000}"/>
    <cellStyle name="Millares 2 2 3 3 2 6" xfId="20801" xr:uid="{00000000-0005-0000-0000-0000140B0000}"/>
    <cellStyle name="Millares 2 2 3 3 3" xfId="1692" xr:uid="{00000000-0005-0000-0000-0000150B0000}"/>
    <cellStyle name="Millares 2 2 3 3 3 2" xfId="4159" xr:uid="{00000000-0005-0000-0000-0000160B0000}"/>
    <cellStyle name="Millares 2 2 3 3 3 2 2" xfId="9091" xr:uid="{00000000-0005-0000-0000-0000170B0000}"/>
    <cellStyle name="Millares 2 2 3 3 3 2 2 2" xfId="18951" xr:uid="{00000000-0005-0000-0000-0000180B0000}"/>
    <cellStyle name="Millares 2 2 3 3 3 2 2 2 2" xfId="38666" xr:uid="{00000000-0005-0000-0000-0000190B0000}"/>
    <cellStyle name="Millares 2 2 3 3 3 2 2 3" xfId="28809" xr:uid="{00000000-0005-0000-0000-00001A0B0000}"/>
    <cellStyle name="Millares 2 2 3 3 3 2 3" xfId="14023" xr:uid="{00000000-0005-0000-0000-00001B0B0000}"/>
    <cellStyle name="Millares 2 2 3 3 3 2 3 2" xfId="33738" xr:uid="{00000000-0005-0000-0000-00001C0B0000}"/>
    <cellStyle name="Millares 2 2 3 3 3 2 4" xfId="23881" xr:uid="{00000000-0005-0000-0000-00001D0B0000}"/>
    <cellStyle name="Millares 2 2 3 3 3 3" xfId="6627" xr:uid="{00000000-0005-0000-0000-00001E0B0000}"/>
    <cellStyle name="Millares 2 2 3 3 3 3 2" xfId="16487" xr:uid="{00000000-0005-0000-0000-00001F0B0000}"/>
    <cellStyle name="Millares 2 2 3 3 3 3 2 2" xfId="36202" xr:uid="{00000000-0005-0000-0000-0000200B0000}"/>
    <cellStyle name="Millares 2 2 3 3 3 3 3" xfId="26345" xr:uid="{00000000-0005-0000-0000-0000210B0000}"/>
    <cellStyle name="Millares 2 2 3 3 3 4" xfId="11559" xr:uid="{00000000-0005-0000-0000-0000220B0000}"/>
    <cellStyle name="Millares 2 2 3 3 3 4 2" xfId="31274" xr:uid="{00000000-0005-0000-0000-0000230B0000}"/>
    <cellStyle name="Millares 2 2 3 3 3 5" xfId="21417" xr:uid="{00000000-0005-0000-0000-0000240B0000}"/>
    <cellStyle name="Millares 2 2 3 3 4" xfId="2927" xr:uid="{00000000-0005-0000-0000-0000250B0000}"/>
    <cellStyle name="Millares 2 2 3 3 4 2" xfId="7859" xr:uid="{00000000-0005-0000-0000-0000260B0000}"/>
    <cellStyle name="Millares 2 2 3 3 4 2 2" xfId="17719" xr:uid="{00000000-0005-0000-0000-0000270B0000}"/>
    <cellStyle name="Millares 2 2 3 3 4 2 2 2" xfId="37434" xr:uid="{00000000-0005-0000-0000-0000280B0000}"/>
    <cellStyle name="Millares 2 2 3 3 4 2 3" xfId="27577" xr:uid="{00000000-0005-0000-0000-0000290B0000}"/>
    <cellStyle name="Millares 2 2 3 3 4 3" xfId="12791" xr:uid="{00000000-0005-0000-0000-00002A0B0000}"/>
    <cellStyle name="Millares 2 2 3 3 4 3 2" xfId="32506" xr:uid="{00000000-0005-0000-0000-00002B0B0000}"/>
    <cellStyle name="Millares 2 2 3 3 4 4" xfId="22649" xr:uid="{00000000-0005-0000-0000-00002C0B0000}"/>
    <cellStyle name="Millares 2 2 3 3 5" xfId="5395" xr:uid="{00000000-0005-0000-0000-00002D0B0000}"/>
    <cellStyle name="Millares 2 2 3 3 5 2" xfId="15255" xr:uid="{00000000-0005-0000-0000-00002E0B0000}"/>
    <cellStyle name="Millares 2 2 3 3 5 2 2" xfId="34970" xr:uid="{00000000-0005-0000-0000-00002F0B0000}"/>
    <cellStyle name="Millares 2 2 3 3 5 3" xfId="25113" xr:uid="{00000000-0005-0000-0000-0000300B0000}"/>
    <cellStyle name="Millares 2 2 3 3 6" xfId="10327" xr:uid="{00000000-0005-0000-0000-0000310B0000}"/>
    <cellStyle name="Millares 2 2 3 3 6 2" xfId="30042" xr:uid="{00000000-0005-0000-0000-0000320B0000}"/>
    <cellStyle name="Millares 2 2 3 3 7" xfId="20185" xr:uid="{00000000-0005-0000-0000-0000330B0000}"/>
    <cellStyle name="Millares 2 2 3 4" xfId="766" xr:uid="{00000000-0005-0000-0000-0000340B0000}"/>
    <cellStyle name="Millares 2 2 3 4 2" xfId="2002" xr:uid="{00000000-0005-0000-0000-0000350B0000}"/>
    <cellStyle name="Millares 2 2 3 4 2 2" xfId="4469" xr:uid="{00000000-0005-0000-0000-0000360B0000}"/>
    <cellStyle name="Millares 2 2 3 4 2 2 2" xfId="9401" xr:uid="{00000000-0005-0000-0000-0000370B0000}"/>
    <cellStyle name="Millares 2 2 3 4 2 2 2 2" xfId="19261" xr:uid="{00000000-0005-0000-0000-0000380B0000}"/>
    <cellStyle name="Millares 2 2 3 4 2 2 2 2 2" xfId="38976" xr:uid="{00000000-0005-0000-0000-0000390B0000}"/>
    <cellStyle name="Millares 2 2 3 4 2 2 2 3" xfId="29119" xr:uid="{00000000-0005-0000-0000-00003A0B0000}"/>
    <cellStyle name="Millares 2 2 3 4 2 2 3" xfId="14333" xr:uid="{00000000-0005-0000-0000-00003B0B0000}"/>
    <cellStyle name="Millares 2 2 3 4 2 2 3 2" xfId="34048" xr:uid="{00000000-0005-0000-0000-00003C0B0000}"/>
    <cellStyle name="Millares 2 2 3 4 2 2 4" xfId="24191" xr:uid="{00000000-0005-0000-0000-00003D0B0000}"/>
    <cellStyle name="Millares 2 2 3 4 2 3" xfId="6937" xr:uid="{00000000-0005-0000-0000-00003E0B0000}"/>
    <cellStyle name="Millares 2 2 3 4 2 3 2" xfId="16797" xr:uid="{00000000-0005-0000-0000-00003F0B0000}"/>
    <cellStyle name="Millares 2 2 3 4 2 3 2 2" xfId="36512" xr:uid="{00000000-0005-0000-0000-0000400B0000}"/>
    <cellStyle name="Millares 2 2 3 4 2 3 3" xfId="26655" xr:uid="{00000000-0005-0000-0000-0000410B0000}"/>
    <cellStyle name="Millares 2 2 3 4 2 4" xfId="11869" xr:uid="{00000000-0005-0000-0000-0000420B0000}"/>
    <cellStyle name="Millares 2 2 3 4 2 4 2" xfId="31584" xr:uid="{00000000-0005-0000-0000-0000430B0000}"/>
    <cellStyle name="Millares 2 2 3 4 2 5" xfId="21727" xr:uid="{00000000-0005-0000-0000-0000440B0000}"/>
    <cellStyle name="Millares 2 2 3 4 3" xfId="3237" xr:uid="{00000000-0005-0000-0000-0000450B0000}"/>
    <cellStyle name="Millares 2 2 3 4 3 2" xfId="8169" xr:uid="{00000000-0005-0000-0000-0000460B0000}"/>
    <cellStyle name="Millares 2 2 3 4 3 2 2" xfId="18029" xr:uid="{00000000-0005-0000-0000-0000470B0000}"/>
    <cellStyle name="Millares 2 2 3 4 3 2 2 2" xfId="37744" xr:uid="{00000000-0005-0000-0000-0000480B0000}"/>
    <cellStyle name="Millares 2 2 3 4 3 2 3" xfId="27887" xr:uid="{00000000-0005-0000-0000-0000490B0000}"/>
    <cellStyle name="Millares 2 2 3 4 3 3" xfId="13101" xr:uid="{00000000-0005-0000-0000-00004A0B0000}"/>
    <cellStyle name="Millares 2 2 3 4 3 3 2" xfId="32816" xr:uid="{00000000-0005-0000-0000-00004B0B0000}"/>
    <cellStyle name="Millares 2 2 3 4 3 4" xfId="22959" xr:uid="{00000000-0005-0000-0000-00004C0B0000}"/>
    <cellStyle name="Millares 2 2 3 4 4" xfId="5705" xr:uid="{00000000-0005-0000-0000-00004D0B0000}"/>
    <cellStyle name="Millares 2 2 3 4 4 2" xfId="15565" xr:uid="{00000000-0005-0000-0000-00004E0B0000}"/>
    <cellStyle name="Millares 2 2 3 4 4 2 2" xfId="35280" xr:uid="{00000000-0005-0000-0000-00004F0B0000}"/>
    <cellStyle name="Millares 2 2 3 4 4 3" xfId="25423" xr:uid="{00000000-0005-0000-0000-0000500B0000}"/>
    <cellStyle name="Millares 2 2 3 4 5" xfId="10637" xr:uid="{00000000-0005-0000-0000-0000510B0000}"/>
    <cellStyle name="Millares 2 2 3 4 5 2" xfId="30352" xr:uid="{00000000-0005-0000-0000-0000520B0000}"/>
    <cellStyle name="Millares 2 2 3 4 6" xfId="20495" xr:uid="{00000000-0005-0000-0000-0000530B0000}"/>
    <cellStyle name="Millares 2 2 3 5" xfId="1386" xr:uid="{00000000-0005-0000-0000-0000540B0000}"/>
    <cellStyle name="Millares 2 2 3 5 2" xfId="3853" xr:uid="{00000000-0005-0000-0000-0000550B0000}"/>
    <cellStyle name="Millares 2 2 3 5 2 2" xfId="8785" xr:uid="{00000000-0005-0000-0000-0000560B0000}"/>
    <cellStyle name="Millares 2 2 3 5 2 2 2" xfId="18645" xr:uid="{00000000-0005-0000-0000-0000570B0000}"/>
    <cellStyle name="Millares 2 2 3 5 2 2 2 2" xfId="38360" xr:uid="{00000000-0005-0000-0000-0000580B0000}"/>
    <cellStyle name="Millares 2 2 3 5 2 2 3" xfId="28503" xr:uid="{00000000-0005-0000-0000-0000590B0000}"/>
    <cellStyle name="Millares 2 2 3 5 2 3" xfId="13717" xr:uid="{00000000-0005-0000-0000-00005A0B0000}"/>
    <cellStyle name="Millares 2 2 3 5 2 3 2" xfId="33432" xr:uid="{00000000-0005-0000-0000-00005B0B0000}"/>
    <cellStyle name="Millares 2 2 3 5 2 4" xfId="23575" xr:uid="{00000000-0005-0000-0000-00005C0B0000}"/>
    <cellStyle name="Millares 2 2 3 5 3" xfId="6321" xr:uid="{00000000-0005-0000-0000-00005D0B0000}"/>
    <cellStyle name="Millares 2 2 3 5 3 2" xfId="16181" xr:uid="{00000000-0005-0000-0000-00005E0B0000}"/>
    <cellStyle name="Millares 2 2 3 5 3 2 2" xfId="35896" xr:uid="{00000000-0005-0000-0000-00005F0B0000}"/>
    <cellStyle name="Millares 2 2 3 5 3 3" xfId="26039" xr:uid="{00000000-0005-0000-0000-0000600B0000}"/>
    <cellStyle name="Millares 2 2 3 5 4" xfId="11253" xr:uid="{00000000-0005-0000-0000-0000610B0000}"/>
    <cellStyle name="Millares 2 2 3 5 4 2" xfId="30968" xr:uid="{00000000-0005-0000-0000-0000620B0000}"/>
    <cellStyle name="Millares 2 2 3 5 5" xfId="21111" xr:uid="{00000000-0005-0000-0000-0000630B0000}"/>
    <cellStyle name="Millares 2 2 3 6" xfId="2621" xr:uid="{00000000-0005-0000-0000-0000640B0000}"/>
    <cellStyle name="Millares 2 2 3 6 2" xfId="7553" xr:uid="{00000000-0005-0000-0000-0000650B0000}"/>
    <cellStyle name="Millares 2 2 3 6 2 2" xfId="17413" xr:uid="{00000000-0005-0000-0000-0000660B0000}"/>
    <cellStyle name="Millares 2 2 3 6 2 2 2" xfId="37128" xr:uid="{00000000-0005-0000-0000-0000670B0000}"/>
    <cellStyle name="Millares 2 2 3 6 2 3" xfId="27271" xr:uid="{00000000-0005-0000-0000-0000680B0000}"/>
    <cellStyle name="Millares 2 2 3 6 3" xfId="12485" xr:uid="{00000000-0005-0000-0000-0000690B0000}"/>
    <cellStyle name="Millares 2 2 3 6 3 2" xfId="32200" xr:uid="{00000000-0005-0000-0000-00006A0B0000}"/>
    <cellStyle name="Millares 2 2 3 6 4" xfId="22343" xr:uid="{00000000-0005-0000-0000-00006B0B0000}"/>
    <cellStyle name="Millares 2 2 3 7" xfId="5089" xr:uid="{00000000-0005-0000-0000-00006C0B0000}"/>
    <cellStyle name="Millares 2 2 3 7 2" xfId="14949" xr:uid="{00000000-0005-0000-0000-00006D0B0000}"/>
    <cellStyle name="Millares 2 2 3 7 2 2" xfId="34664" xr:uid="{00000000-0005-0000-0000-00006E0B0000}"/>
    <cellStyle name="Millares 2 2 3 7 3" xfId="24807" xr:uid="{00000000-0005-0000-0000-00006F0B0000}"/>
    <cellStyle name="Millares 2 2 3 8" xfId="10021" xr:uid="{00000000-0005-0000-0000-0000700B0000}"/>
    <cellStyle name="Millares 2 2 3 8 2" xfId="29736" xr:uid="{00000000-0005-0000-0000-0000710B0000}"/>
    <cellStyle name="Millares 2 2 3 9" xfId="19879" xr:uid="{00000000-0005-0000-0000-0000720B0000}"/>
    <cellStyle name="Millares 2 2 4" xfId="215" xr:uid="{00000000-0005-0000-0000-0000730B0000}"/>
    <cellStyle name="Millares 2 2 4 2" xfId="529" xr:uid="{00000000-0005-0000-0000-0000740B0000}"/>
    <cellStyle name="Millares 2 2 4 2 2" xfId="1149" xr:uid="{00000000-0005-0000-0000-0000750B0000}"/>
    <cellStyle name="Millares 2 2 4 2 2 2" xfId="2384" xr:uid="{00000000-0005-0000-0000-0000760B0000}"/>
    <cellStyle name="Millares 2 2 4 2 2 2 2" xfId="4851" xr:uid="{00000000-0005-0000-0000-0000770B0000}"/>
    <cellStyle name="Millares 2 2 4 2 2 2 2 2" xfId="9783" xr:uid="{00000000-0005-0000-0000-0000780B0000}"/>
    <cellStyle name="Millares 2 2 4 2 2 2 2 2 2" xfId="19643" xr:uid="{00000000-0005-0000-0000-0000790B0000}"/>
    <cellStyle name="Millares 2 2 4 2 2 2 2 2 2 2" xfId="39358" xr:uid="{00000000-0005-0000-0000-00007A0B0000}"/>
    <cellStyle name="Millares 2 2 4 2 2 2 2 2 3" xfId="29501" xr:uid="{00000000-0005-0000-0000-00007B0B0000}"/>
    <cellStyle name="Millares 2 2 4 2 2 2 2 3" xfId="14715" xr:uid="{00000000-0005-0000-0000-00007C0B0000}"/>
    <cellStyle name="Millares 2 2 4 2 2 2 2 3 2" xfId="34430" xr:uid="{00000000-0005-0000-0000-00007D0B0000}"/>
    <cellStyle name="Millares 2 2 4 2 2 2 2 4" xfId="24573" xr:uid="{00000000-0005-0000-0000-00007E0B0000}"/>
    <cellStyle name="Millares 2 2 4 2 2 2 3" xfId="7319" xr:uid="{00000000-0005-0000-0000-00007F0B0000}"/>
    <cellStyle name="Millares 2 2 4 2 2 2 3 2" xfId="17179" xr:uid="{00000000-0005-0000-0000-0000800B0000}"/>
    <cellStyle name="Millares 2 2 4 2 2 2 3 2 2" xfId="36894" xr:uid="{00000000-0005-0000-0000-0000810B0000}"/>
    <cellStyle name="Millares 2 2 4 2 2 2 3 3" xfId="27037" xr:uid="{00000000-0005-0000-0000-0000820B0000}"/>
    <cellStyle name="Millares 2 2 4 2 2 2 4" xfId="12251" xr:uid="{00000000-0005-0000-0000-0000830B0000}"/>
    <cellStyle name="Millares 2 2 4 2 2 2 4 2" xfId="31966" xr:uid="{00000000-0005-0000-0000-0000840B0000}"/>
    <cellStyle name="Millares 2 2 4 2 2 2 5" xfId="22109" xr:uid="{00000000-0005-0000-0000-0000850B0000}"/>
    <cellStyle name="Millares 2 2 4 2 2 3" xfId="3619" xr:uid="{00000000-0005-0000-0000-0000860B0000}"/>
    <cellStyle name="Millares 2 2 4 2 2 3 2" xfId="8551" xr:uid="{00000000-0005-0000-0000-0000870B0000}"/>
    <cellStyle name="Millares 2 2 4 2 2 3 2 2" xfId="18411" xr:uid="{00000000-0005-0000-0000-0000880B0000}"/>
    <cellStyle name="Millares 2 2 4 2 2 3 2 2 2" xfId="38126" xr:uid="{00000000-0005-0000-0000-0000890B0000}"/>
    <cellStyle name="Millares 2 2 4 2 2 3 2 3" xfId="28269" xr:uid="{00000000-0005-0000-0000-00008A0B0000}"/>
    <cellStyle name="Millares 2 2 4 2 2 3 3" xfId="13483" xr:uid="{00000000-0005-0000-0000-00008B0B0000}"/>
    <cellStyle name="Millares 2 2 4 2 2 3 3 2" xfId="33198" xr:uid="{00000000-0005-0000-0000-00008C0B0000}"/>
    <cellStyle name="Millares 2 2 4 2 2 3 4" xfId="23341" xr:uid="{00000000-0005-0000-0000-00008D0B0000}"/>
    <cellStyle name="Millares 2 2 4 2 2 4" xfId="6087" xr:uid="{00000000-0005-0000-0000-00008E0B0000}"/>
    <cellStyle name="Millares 2 2 4 2 2 4 2" xfId="15947" xr:uid="{00000000-0005-0000-0000-00008F0B0000}"/>
    <cellStyle name="Millares 2 2 4 2 2 4 2 2" xfId="35662" xr:uid="{00000000-0005-0000-0000-0000900B0000}"/>
    <cellStyle name="Millares 2 2 4 2 2 4 3" xfId="25805" xr:uid="{00000000-0005-0000-0000-0000910B0000}"/>
    <cellStyle name="Millares 2 2 4 2 2 5" xfId="11019" xr:uid="{00000000-0005-0000-0000-0000920B0000}"/>
    <cellStyle name="Millares 2 2 4 2 2 5 2" xfId="30734" xr:uid="{00000000-0005-0000-0000-0000930B0000}"/>
    <cellStyle name="Millares 2 2 4 2 2 6" xfId="20877" xr:uid="{00000000-0005-0000-0000-0000940B0000}"/>
    <cellStyle name="Millares 2 2 4 2 3" xfId="1768" xr:uid="{00000000-0005-0000-0000-0000950B0000}"/>
    <cellStyle name="Millares 2 2 4 2 3 2" xfId="4235" xr:uid="{00000000-0005-0000-0000-0000960B0000}"/>
    <cellStyle name="Millares 2 2 4 2 3 2 2" xfId="9167" xr:uid="{00000000-0005-0000-0000-0000970B0000}"/>
    <cellStyle name="Millares 2 2 4 2 3 2 2 2" xfId="19027" xr:uid="{00000000-0005-0000-0000-0000980B0000}"/>
    <cellStyle name="Millares 2 2 4 2 3 2 2 2 2" xfId="38742" xr:uid="{00000000-0005-0000-0000-0000990B0000}"/>
    <cellStyle name="Millares 2 2 4 2 3 2 2 3" xfId="28885" xr:uid="{00000000-0005-0000-0000-00009A0B0000}"/>
    <cellStyle name="Millares 2 2 4 2 3 2 3" xfId="14099" xr:uid="{00000000-0005-0000-0000-00009B0B0000}"/>
    <cellStyle name="Millares 2 2 4 2 3 2 3 2" xfId="33814" xr:uid="{00000000-0005-0000-0000-00009C0B0000}"/>
    <cellStyle name="Millares 2 2 4 2 3 2 4" xfId="23957" xr:uid="{00000000-0005-0000-0000-00009D0B0000}"/>
    <cellStyle name="Millares 2 2 4 2 3 3" xfId="6703" xr:uid="{00000000-0005-0000-0000-00009E0B0000}"/>
    <cellStyle name="Millares 2 2 4 2 3 3 2" xfId="16563" xr:uid="{00000000-0005-0000-0000-00009F0B0000}"/>
    <cellStyle name="Millares 2 2 4 2 3 3 2 2" xfId="36278" xr:uid="{00000000-0005-0000-0000-0000A00B0000}"/>
    <cellStyle name="Millares 2 2 4 2 3 3 3" xfId="26421" xr:uid="{00000000-0005-0000-0000-0000A10B0000}"/>
    <cellStyle name="Millares 2 2 4 2 3 4" xfId="11635" xr:uid="{00000000-0005-0000-0000-0000A20B0000}"/>
    <cellStyle name="Millares 2 2 4 2 3 4 2" xfId="31350" xr:uid="{00000000-0005-0000-0000-0000A30B0000}"/>
    <cellStyle name="Millares 2 2 4 2 3 5" xfId="21493" xr:uid="{00000000-0005-0000-0000-0000A40B0000}"/>
    <cellStyle name="Millares 2 2 4 2 4" xfId="3003" xr:uid="{00000000-0005-0000-0000-0000A50B0000}"/>
    <cellStyle name="Millares 2 2 4 2 4 2" xfId="7935" xr:uid="{00000000-0005-0000-0000-0000A60B0000}"/>
    <cellStyle name="Millares 2 2 4 2 4 2 2" xfId="17795" xr:uid="{00000000-0005-0000-0000-0000A70B0000}"/>
    <cellStyle name="Millares 2 2 4 2 4 2 2 2" xfId="37510" xr:uid="{00000000-0005-0000-0000-0000A80B0000}"/>
    <cellStyle name="Millares 2 2 4 2 4 2 3" xfId="27653" xr:uid="{00000000-0005-0000-0000-0000A90B0000}"/>
    <cellStyle name="Millares 2 2 4 2 4 3" xfId="12867" xr:uid="{00000000-0005-0000-0000-0000AA0B0000}"/>
    <cellStyle name="Millares 2 2 4 2 4 3 2" xfId="32582" xr:uid="{00000000-0005-0000-0000-0000AB0B0000}"/>
    <cellStyle name="Millares 2 2 4 2 4 4" xfId="22725" xr:uid="{00000000-0005-0000-0000-0000AC0B0000}"/>
    <cellStyle name="Millares 2 2 4 2 5" xfId="5471" xr:uid="{00000000-0005-0000-0000-0000AD0B0000}"/>
    <cellStyle name="Millares 2 2 4 2 5 2" xfId="15331" xr:uid="{00000000-0005-0000-0000-0000AE0B0000}"/>
    <cellStyle name="Millares 2 2 4 2 5 2 2" xfId="35046" xr:uid="{00000000-0005-0000-0000-0000AF0B0000}"/>
    <cellStyle name="Millares 2 2 4 2 5 3" xfId="25189" xr:uid="{00000000-0005-0000-0000-0000B00B0000}"/>
    <cellStyle name="Millares 2 2 4 2 6" xfId="10403" xr:uid="{00000000-0005-0000-0000-0000B10B0000}"/>
    <cellStyle name="Millares 2 2 4 2 6 2" xfId="30118" xr:uid="{00000000-0005-0000-0000-0000B20B0000}"/>
    <cellStyle name="Millares 2 2 4 2 7" xfId="20261" xr:uid="{00000000-0005-0000-0000-0000B30B0000}"/>
    <cellStyle name="Millares 2 2 4 3" xfId="842" xr:uid="{00000000-0005-0000-0000-0000B40B0000}"/>
    <cellStyle name="Millares 2 2 4 3 2" xfId="2078" xr:uid="{00000000-0005-0000-0000-0000B50B0000}"/>
    <cellStyle name="Millares 2 2 4 3 2 2" xfId="4545" xr:uid="{00000000-0005-0000-0000-0000B60B0000}"/>
    <cellStyle name="Millares 2 2 4 3 2 2 2" xfId="9477" xr:uid="{00000000-0005-0000-0000-0000B70B0000}"/>
    <cellStyle name="Millares 2 2 4 3 2 2 2 2" xfId="19337" xr:uid="{00000000-0005-0000-0000-0000B80B0000}"/>
    <cellStyle name="Millares 2 2 4 3 2 2 2 2 2" xfId="39052" xr:uid="{00000000-0005-0000-0000-0000B90B0000}"/>
    <cellStyle name="Millares 2 2 4 3 2 2 2 3" xfId="29195" xr:uid="{00000000-0005-0000-0000-0000BA0B0000}"/>
    <cellStyle name="Millares 2 2 4 3 2 2 3" xfId="14409" xr:uid="{00000000-0005-0000-0000-0000BB0B0000}"/>
    <cellStyle name="Millares 2 2 4 3 2 2 3 2" xfId="34124" xr:uid="{00000000-0005-0000-0000-0000BC0B0000}"/>
    <cellStyle name="Millares 2 2 4 3 2 2 4" xfId="24267" xr:uid="{00000000-0005-0000-0000-0000BD0B0000}"/>
    <cellStyle name="Millares 2 2 4 3 2 3" xfId="7013" xr:uid="{00000000-0005-0000-0000-0000BE0B0000}"/>
    <cellStyle name="Millares 2 2 4 3 2 3 2" xfId="16873" xr:uid="{00000000-0005-0000-0000-0000BF0B0000}"/>
    <cellStyle name="Millares 2 2 4 3 2 3 2 2" xfId="36588" xr:uid="{00000000-0005-0000-0000-0000C00B0000}"/>
    <cellStyle name="Millares 2 2 4 3 2 3 3" xfId="26731" xr:uid="{00000000-0005-0000-0000-0000C10B0000}"/>
    <cellStyle name="Millares 2 2 4 3 2 4" xfId="11945" xr:uid="{00000000-0005-0000-0000-0000C20B0000}"/>
    <cellStyle name="Millares 2 2 4 3 2 4 2" xfId="31660" xr:uid="{00000000-0005-0000-0000-0000C30B0000}"/>
    <cellStyle name="Millares 2 2 4 3 2 5" xfId="21803" xr:uid="{00000000-0005-0000-0000-0000C40B0000}"/>
    <cellStyle name="Millares 2 2 4 3 3" xfId="3313" xr:uid="{00000000-0005-0000-0000-0000C50B0000}"/>
    <cellStyle name="Millares 2 2 4 3 3 2" xfId="8245" xr:uid="{00000000-0005-0000-0000-0000C60B0000}"/>
    <cellStyle name="Millares 2 2 4 3 3 2 2" xfId="18105" xr:uid="{00000000-0005-0000-0000-0000C70B0000}"/>
    <cellStyle name="Millares 2 2 4 3 3 2 2 2" xfId="37820" xr:uid="{00000000-0005-0000-0000-0000C80B0000}"/>
    <cellStyle name="Millares 2 2 4 3 3 2 3" xfId="27963" xr:uid="{00000000-0005-0000-0000-0000C90B0000}"/>
    <cellStyle name="Millares 2 2 4 3 3 3" xfId="13177" xr:uid="{00000000-0005-0000-0000-0000CA0B0000}"/>
    <cellStyle name="Millares 2 2 4 3 3 3 2" xfId="32892" xr:uid="{00000000-0005-0000-0000-0000CB0B0000}"/>
    <cellStyle name="Millares 2 2 4 3 3 4" xfId="23035" xr:uid="{00000000-0005-0000-0000-0000CC0B0000}"/>
    <cellStyle name="Millares 2 2 4 3 4" xfId="5781" xr:uid="{00000000-0005-0000-0000-0000CD0B0000}"/>
    <cellStyle name="Millares 2 2 4 3 4 2" xfId="15641" xr:uid="{00000000-0005-0000-0000-0000CE0B0000}"/>
    <cellStyle name="Millares 2 2 4 3 4 2 2" xfId="35356" xr:uid="{00000000-0005-0000-0000-0000CF0B0000}"/>
    <cellStyle name="Millares 2 2 4 3 4 3" xfId="25499" xr:uid="{00000000-0005-0000-0000-0000D00B0000}"/>
    <cellStyle name="Millares 2 2 4 3 5" xfId="10713" xr:uid="{00000000-0005-0000-0000-0000D10B0000}"/>
    <cellStyle name="Millares 2 2 4 3 5 2" xfId="30428" xr:uid="{00000000-0005-0000-0000-0000D20B0000}"/>
    <cellStyle name="Millares 2 2 4 3 6" xfId="20571" xr:uid="{00000000-0005-0000-0000-0000D30B0000}"/>
    <cellStyle name="Millares 2 2 4 4" xfId="1462" xr:uid="{00000000-0005-0000-0000-0000D40B0000}"/>
    <cellStyle name="Millares 2 2 4 4 2" xfId="3929" xr:uid="{00000000-0005-0000-0000-0000D50B0000}"/>
    <cellStyle name="Millares 2 2 4 4 2 2" xfId="8861" xr:uid="{00000000-0005-0000-0000-0000D60B0000}"/>
    <cellStyle name="Millares 2 2 4 4 2 2 2" xfId="18721" xr:uid="{00000000-0005-0000-0000-0000D70B0000}"/>
    <cellStyle name="Millares 2 2 4 4 2 2 2 2" xfId="38436" xr:uid="{00000000-0005-0000-0000-0000D80B0000}"/>
    <cellStyle name="Millares 2 2 4 4 2 2 3" xfId="28579" xr:uid="{00000000-0005-0000-0000-0000D90B0000}"/>
    <cellStyle name="Millares 2 2 4 4 2 3" xfId="13793" xr:uid="{00000000-0005-0000-0000-0000DA0B0000}"/>
    <cellStyle name="Millares 2 2 4 4 2 3 2" xfId="33508" xr:uid="{00000000-0005-0000-0000-0000DB0B0000}"/>
    <cellStyle name="Millares 2 2 4 4 2 4" xfId="23651" xr:uid="{00000000-0005-0000-0000-0000DC0B0000}"/>
    <cellStyle name="Millares 2 2 4 4 3" xfId="6397" xr:uid="{00000000-0005-0000-0000-0000DD0B0000}"/>
    <cellStyle name="Millares 2 2 4 4 3 2" xfId="16257" xr:uid="{00000000-0005-0000-0000-0000DE0B0000}"/>
    <cellStyle name="Millares 2 2 4 4 3 2 2" xfId="35972" xr:uid="{00000000-0005-0000-0000-0000DF0B0000}"/>
    <cellStyle name="Millares 2 2 4 4 3 3" xfId="26115" xr:uid="{00000000-0005-0000-0000-0000E00B0000}"/>
    <cellStyle name="Millares 2 2 4 4 4" xfId="11329" xr:uid="{00000000-0005-0000-0000-0000E10B0000}"/>
    <cellStyle name="Millares 2 2 4 4 4 2" xfId="31044" xr:uid="{00000000-0005-0000-0000-0000E20B0000}"/>
    <cellStyle name="Millares 2 2 4 4 5" xfId="21187" xr:uid="{00000000-0005-0000-0000-0000E30B0000}"/>
    <cellStyle name="Millares 2 2 4 5" xfId="2697" xr:uid="{00000000-0005-0000-0000-0000E40B0000}"/>
    <cellStyle name="Millares 2 2 4 5 2" xfId="7629" xr:uid="{00000000-0005-0000-0000-0000E50B0000}"/>
    <cellStyle name="Millares 2 2 4 5 2 2" xfId="17489" xr:uid="{00000000-0005-0000-0000-0000E60B0000}"/>
    <cellStyle name="Millares 2 2 4 5 2 2 2" xfId="37204" xr:uid="{00000000-0005-0000-0000-0000E70B0000}"/>
    <cellStyle name="Millares 2 2 4 5 2 3" xfId="27347" xr:uid="{00000000-0005-0000-0000-0000E80B0000}"/>
    <cellStyle name="Millares 2 2 4 5 3" xfId="12561" xr:uid="{00000000-0005-0000-0000-0000E90B0000}"/>
    <cellStyle name="Millares 2 2 4 5 3 2" xfId="32276" xr:uid="{00000000-0005-0000-0000-0000EA0B0000}"/>
    <cellStyle name="Millares 2 2 4 5 4" xfId="22419" xr:uid="{00000000-0005-0000-0000-0000EB0B0000}"/>
    <cellStyle name="Millares 2 2 4 6" xfId="5165" xr:uid="{00000000-0005-0000-0000-0000EC0B0000}"/>
    <cellStyle name="Millares 2 2 4 6 2" xfId="15025" xr:uid="{00000000-0005-0000-0000-0000ED0B0000}"/>
    <cellStyle name="Millares 2 2 4 6 2 2" xfId="34740" xr:uid="{00000000-0005-0000-0000-0000EE0B0000}"/>
    <cellStyle name="Millares 2 2 4 6 3" xfId="24883" xr:uid="{00000000-0005-0000-0000-0000EF0B0000}"/>
    <cellStyle name="Millares 2 2 4 7" xfId="10097" xr:uid="{00000000-0005-0000-0000-0000F00B0000}"/>
    <cellStyle name="Millares 2 2 4 7 2" xfId="29812" xr:uid="{00000000-0005-0000-0000-0000F10B0000}"/>
    <cellStyle name="Millares 2 2 4 8" xfId="19955" xr:uid="{00000000-0005-0000-0000-0000F20B0000}"/>
    <cellStyle name="Millares 2 2 5" xfId="377" xr:uid="{00000000-0005-0000-0000-0000F30B0000}"/>
    <cellStyle name="Millares 2 2 5 2" xfId="997" xr:uid="{00000000-0005-0000-0000-0000F40B0000}"/>
    <cellStyle name="Millares 2 2 5 2 2" xfId="2232" xr:uid="{00000000-0005-0000-0000-0000F50B0000}"/>
    <cellStyle name="Millares 2 2 5 2 2 2" xfId="4699" xr:uid="{00000000-0005-0000-0000-0000F60B0000}"/>
    <cellStyle name="Millares 2 2 5 2 2 2 2" xfId="9631" xr:uid="{00000000-0005-0000-0000-0000F70B0000}"/>
    <cellStyle name="Millares 2 2 5 2 2 2 2 2" xfId="19491" xr:uid="{00000000-0005-0000-0000-0000F80B0000}"/>
    <cellStyle name="Millares 2 2 5 2 2 2 2 2 2" xfId="39206" xr:uid="{00000000-0005-0000-0000-0000F90B0000}"/>
    <cellStyle name="Millares 2 2 5 2 2 2 2 3" xfId="29349" xr:uid="{00000000-0005-0000-0000-0000FA0B0000}"/>
    <cellStyle name="Millares 2 2 5 2 2 2 3" xfId="14563" xr:uid="{00000000-0005-0000-0000-0000FB0B0000}"/>
    <cellStyle name="Millares 2 2 5 2 2 2 3 2" xfId="34278" xr:uid="{00000000-0005-0000-0000-0000FC0B0000}"/>
    <cellStyle name="Millares 2 2 5 2 2 2 4" xfId="24421" xr:uid="{00000000-0005-0000-0000-0000FD0B0000}"/>
    <cellStyle name="Millares 2 2 5 2 2 3" xfId="7167" xr:uid="{00000000-0005-0000-0000-0000FE0B0000}"/>
    <cellStyle name="Millares 2 2 5 2 2 3 2" xfId="17027" xr:uid="{00000000-0005-0000-0000-0000FF0B0000}"/>
    <cellStyle name="Millares 2 2 5 2 2 3 2 2" xfId="36742" xr:uid="{00000000-0005-0000-0000-0000000C0000}"/>
    <cellStyle name="Millares 2 2 5 2 2 3 3" xfId="26885" xr:uid="{00000000-0005-0000-0000-0000010C0000}"/>
    <cellStyle name="Millares 2 2 5 2 2 4" xfId="12099" xr:uid="{00000000-0005-0000-0000-0000020C0000}"/>
    <cellStyle name="Millares 2 2 5 2 2 4 2" xfId="31814" xr:uid="{00000000-0005-0000-0000-0000030C0000}"/>
    <cellStyle name="Millares 2 2 5 2 2 5" xfId="21957" xr:uid="{00000000-0005-0000-0000-0000040C0000}"/>
    <cellStyle name="Millares 2 2 5 2 3" xfId="3467" xr:uid="{00000000-0005-0000-0000-0000050C0000}"/>
    <cellStyle name="Millares 2 2 5 2 3 2" xfId="8399" xr:uid="{00000000-0005-0000-0000-0000060C0000}"/>
    <cellStyle name="Millares 2 2 5 2 3 2 2" xfId="18259" xr:uid="{00000000-0005-0000-0000-0000070C0000}"/>
    <cellStyle name="Millares 2 2 5 2 3 2 2 2" xfId="37974" xr:uid="{00000000-0005-0000-0000-0000080C0000}"/>
    <cellStyle name="Millares 2 2 5 2 3 2 3" xfId="28117" xr:uid="{00000000-0005-0000-0000-0000090C0000}"/>
    <cellStyle name="Millares 2 2 5 2 3 3" xfId="13331" xr:uid="{00000000-0005-0000-0000-00000A0C0000}"/>
    <cellStyle name="Millares 2 2 5 2 3 3 2" xfId="33046" xr:uid="{00000000-0005-0000-0000-00000B0C0000}"/>
    <cellStyle name="Millares 2 2 5 2 3 4" xfId="23189" xr:uid="{00000000-0005-0000-0000-00000C0C0000}"/>
    <cellStyle name="Millares 2 2 5 2 4" xfId="5935" xr:uid="{00000000-0005-0000-0000-00000D0C0000}"/>
    <cellStyle name="Millares 2 2 5 2 4 2" xfId="15795" xr:uid="{00000000-0005-0000-0000-00000E0C0000}"/>
    <cellStyle name="Millares 2 2 5 2 4 2 2" xfId="35510" xr:uid="{00000000-0005-0000-0000-00000F0C0000}"/>
    <cellStyle name="Millares 2 2 5 2 4 3" xfId="25653" xr:uid="{00000000-0005-0000-0000-0000100C0000}"/>
    <cellStyle name="Millares 2 2 5 2 5" xfId="10867" xr:uid="{00000000-0005-0000-0000-0000110C0000}"/>
    <cellStyle name="Millares 2 2 5 2 5 2" xfId="30582" xr:uid="{00000000-0005-0000-0000-0000120C0000}"/>
    <cellStyle name="Millares 2 2 5 2 6" xfId="20725" xr:uid="{00000000-0005-0000-0000-0000130C0000}"/>
    <cellStyle name="Millares 2 2 5 3" xfId="1616" xr:uid="{00000000-0005-0000-0000-0000140C0000}"/>
    <cellStyle name="Millares 2 2 5 3 2" xfId="4083" xr:uid="{00000000-0005-0000-0000-0000150C0000}"/>
    <cellStyle name="Millares 2 2 5 3 2 2" xfId="9015" xr:uid="{00000000-0005-0000-0000-0000160C0000}"/>
    <cellStyle name="Millares 2 2 5 3 2 2 2" xfId="18875" xr:uid="{00000000-0005-0000-0000-0000170C0000}"/>
    <cellStyle name="Millares 2 2 5 3 2 2 2 2" xfId="38590" xr:uid="{00000000-0005-0000-0000-0000180C0000}"/>
    <cellStyle name="Millares 2 2 5 3 2 2 3" xfId="28733" xr:uid="{00000000-0005-0000-0000-0000190C0000}"/>
    <cellStyle name="Millares 2 2 5 3 2 3" xfId="13947" xr:uid="{00000000-0005-0000-0000-00001A0C0000}"/>
    <cellStyle name="Millares 2 2 5 3 2 3 2" xfId="33662" xr:uid="{00000000-0005-0000-0000-00001B0C0000}"/>
    <cellStyle name="Millares 2 2 5 3 2 4" xfId="23805" xr:uid="{00000000-0005-0000-0000-00001C0C0000}"/>
    <cellStyle name="Millares 2 2 5 3 3" xfId="6551" xr:uid="{00000000-0005-0000-0000-00001D0C0000}"/>
    <cellStyle name="Millares 2 2 5 3 3 2" xfId="16411" xr:uid="{00000000-0005-0000-0000-00001E0C0000}"/>
    <cellStyle name="Millares 2 2 5 3 3 2 2" xfId="36126" xr:uid="{00000000-0005-0000-0000-00001F0C0000}"/>
    <cellStyle name="Millares 2 2 5 3 3 3" xfId="26269" xr:uid="{00000000-0005-0000-0000-0000200C0000}"/>
    <cellStyle name="Millares 2 2 5 3 4" xfId="11483" xr:uid="{00000000-0005-0000-0000-0000210C0000}"/>
    <cellStyle name="Millares 2 2 5 3 4 2" xfId="31198" xr:uid="{00000000-0005-0000-0000-0000220C0000}"/>
    <cellStyle name="Millares 2 2 5 3 5" xfId="21341" xr:uid="{00000000-0005-0000-0000-0000230C0000}"/>
    <cellStyle name="Millares 2 2 5 4" xfId="2851" xr:uid="{00000000-0005-0000-0000-0000240C0000}"/>
    <cellStyle name="Millares 2 2 5 4 2" xfId="7783" xr:uid="{00000000-0005-0000-0000-0000250C0000}"/>
    <cellStyle name="Millares 2 2 5 4 2 2" xfId="17643" xr:uid="{00000000-0005-0000-0000-0000260C0000}"/>
    <cellStyle name="Millares 2 2 5 4 2 2 2" xfId="37358" xr:uid="{00000000-0005-0000-0000-0000270C0000}"/>
    <cellStyle name="Millares 2 2 5 4 2 3" xfId="27501" xr:uid="{00000000-0005-0000-0000-0000280C0000}"/>
    <cellStyle name="Millares 2 2 5 4 3" xfId="12715" xr:uid="{00000000-0005-0000-0000-0000290C0000}"/>
    <cellStyle name="Millares 2 2 5 4 3 2" xfId="32430" xr:uid="{00000000-0005-0000-0000-00002A0C0000}"/>
    <cellStyle name="Millares 2 2 5 4 4" xfId="22573" xr:uid="{00000000-0005-0000-0000-00002B0C0000}"/>
    <cellStyle name="Millares 2 2 5 5" xfId="5319" xr:uid="{00000000-0005-0000-0000-00002C0C0000}"/>
    <cellStyle name="Millares 2 2 5 5 2" xfId="15179" xr:uid="{00000000-0005-0000-0000-00002D0C0000}"/>
    <cellStyle name="Millares 2 2 5 5 2 2" xfId="34894" xr:uid="{00000000-0005-0000-0000-00002E0C0000}"/>
    <cellStyle name="Millares 2 2 5 5 3" xfId="25037" xr:uid="{00000000-0005-0000-0000-00002F0C0000}"/>
    <cellStyle name="Millares 2 2 5 6" xfId="10251" xr:uid="{00000000-0005-0000-0000-0000300C0000}"/>
    <cellStyle name="Millares 2 2 5 6 2" xfId="29966" xr:uid="{00000000-0005-0000-0000-0000310C0000}"/>
    <cellStyle name="Millares 2 2 5 7" xfId="20109" xr:uid="{00000000-0005-0000-0000-0000320C0000}"/>
    <cellStyle name="Millares 2 2 6" xfId="690" xr:uid="{00000000-0005-0000-0000-0000330C0000}"/>
    <cellStyle name="Millares 2 2 6 2" xfId="1926" xr:uid="{00000000-0005-0000-0000-0000340C0000}"/>
    <cellStyle name="Millares 2 2 6 2 2" xfId="4393" xr:uid="{00000000-0005-0000-0000-0000350C0000}"/>
    <cellStyle name="Millares 2 2 6 2 2 2" xfId="9325" xr:uid="{00000000-0005-0000-0000-0000360C0000}"/>
    <cellStyle name="Millares 2 2 6 2 2 2 2" xfId="19185" xr:uid="{00000000-0005-0000-0000-0000370C0000}"/>
    <cellStyle name="Millares 2 2 6 2 2 2 2 2" xfId="38900" xr:uid="{00000000-0005-0000-0000-0000380C0000}"/>
    <cellStyle name="Millares 2 2 6 2 2 2 3" xfId="29043" xr:uid="{00000000-0005-0000-0000-0000390C0000}"/>
    <cellStyle name="Millares 2 2 6 2 2 3" xfId="14257" xr:uid="{00000000-0005-0000-0000-00003A0C0000}"/>
    <cellStyle name="Millares 2 2 6 2 2 3 2" xfId="33972" xr:uid="{00000000-0005-0000-0000-00003B0C0000}"/>
    <cellStyle name="Millares 2 2 6 2 2 4" xfId="24115" xr:uid="{00000000-0005-0000-0000-00003C0C0000}"/>
    <cellStyle name="Millares 2 2 6 2 3" xfId="6861" xr:uid="{00000000-0005-0000-0000-00003D0C0000}"/>
    <cellStyle name="Millares 2 2 6 2 3 2" xfId="16721" xr:uid="{00000000-0005-0000-0000-00003E0C0000}"/>
    <cellStyle name="Millares 2 2 6 2 3 2 2" xfId="36436" xr:uid="{00000000-0005-0000-0000-00003F0C0000}"/>
    <cellStyle name="Millares 2 2 6 2 3 3" xfId="26579" xr:uid="{00000000-0005-0000-0000-0000400C0000}"/>
    <cellStyle name="Millares 2 2 6 2 4" xfId="11793" xr:uid="{00000000-0005-0000-0000-0000410C0000}"/>
    <cellStyle name="Millares 2 2 6 2 4 2" xfId="31508" xr:uid="{00000000-0005-0000-0000-0000420C0000}"/>
    <cellStyle name="Millares 2 2 6 2 5" xfId="21651" xr:uid="{00000000-0005-0000-0000-0000430C0000}"/>
    <cellStyle name="Millares 2 2 6 3" xfId="3161" xr:uid="{00000000-0005-0000-0000-0000440C0000}"/>
    <cellStyle name="Millares 2 2 6 3 2" xfId="8093" xr:uid="{00000000-0005-0000-0000-0000450C0000}"/>
    <cellStyle name="Millares 2 2 6 3 2 2" xfId="17953" xr:uid="{00000000-0005-0000-0000-0000460C0000}"/>
    <cellStyle name="Millares 2 2 6 3 2 2 2" xfId="37668" xr:uid="{00000000-0005-0000-0000-0000470C0000}"/>
    <cellStyle name="Millares 2 2 6 3 2 3" xfId="27811" xr:uid="{00000000-0005-0000-0000-0000480C0000}"/>
    <cellStyle name="Millares 2 2 6 3 3" xfId="13025" xr:uid="{00000000-0005-0000-0000-0000490C0000}"/>
    <cellStyle name="Millares 2 2 6 3 3 2" xfId="32740" xr:uid="{00000000-0005-0000-0000-00004A0C0000}"/>
    <cellStyle name="Millares 2 2 6 3 4" xfId="22883" xr:uid="{00000000-0005-0000-0000-00004B0C0000}"/>
    <cellStyle name="Millares 2 2 6 4" xfId="5629" xr:uid="{00000000-0005-0000-0000-00004C0C0000}"/>
    <cellStyle name="Millares 2 2 6 4 2" xfId="15489" xr:uid="{00000000-0005-0000-0000-00004D0C0000}"/>
    <cellStyle name="Millares 2 2 6 4 2 2" xfId="35204" xr:uid="{00000000-0005-0000-0000-00004E0C0000}"/>
    <cellStyle name="Millares 2 2 6 4 3" xfId="25347" xr:uid="{00000000-0005-0000-0000-00004F0C0000}"/>
    <cellStyle name="Millares 2 2 6 5" xfId="10561" xr:uid="{00000000-0005-0000-0000-0000500C0000}"/>
    <cellStyle name="Millares 2 2 6 5 2" xfId="30276" xr:uid="{00000000-0005-0000-0000-0000510C0000}"/>
    <cellStyle name="Millares 2 2 6 6" xfId="20419" xr:uid="{00000000-0005-0000-0000-0000520C0000}"/>
    <cellStyle name="Millares 2 2 7" xfId="1310" xr:uid="{00000000-0005-0000-0000-0000530C0000}"/>
    <cellStyle name="Millares 2 2 7 2" xfId="3777" xr:uid="{00000000-0005-0000-0000-0000540C0000}"/>
    <cellStyle name="Millares 2 2 7 2 2" xfId="8709" xr:uid="{00000000-0005-0000-0000-0000550C0000}"/>
    <cellStyle name="Millares 2 2 7 2 2 2" xfId="18569" xr:uid="{00000000-0005-0000-0000-0000560C0000}"/>
    <cellStyle name="Millares 2 2 7 2 2 2 2" xfId="38284" xr:uid="{00000000-0005-0000-0000-0000570C0000}"/>
    <cellStyle name="Millares 2 2 7 2 2 3" xfId="28427" xr:uid="{00000000-0005-0000-0000-0000580C0000}"/>
    <cellStyle name="Millares 2 2 7 2 3" xfId="13641" xr:uid="{00000000-0005-0000-0000-0000590C0000}"/>
    <cellStyle name="Millares 2 2 7 2 3 2" xfId="33356" xr:uid="{00000000-0005-0000-0000-00005A0C0000}"/>
    <cellStyle name="Millares 2 2 7 2 4" xfId="23499" xr:uid="{00000000-0005-0000-0000-00005B0C0000}"/>
    <cellStyle name="Millares 2 2 7 3" xfId="6245" xr:uid="{00000000-0005-0000-0000-00005C0C0000}"/>
    <cellStyle name="Millares 2 2 7 3 2" xfId="16105" xr:uid="{00000000-0005-0000-0000-00005D0C0000}"/>
    <cellStyle name="Millares 2 2 7 3 2 2" xfId="35820" xr:uid="{00000000-0005-0000-0000-00005E0C0000}"/>
    <cellStyle name="Millares 2 2 7 3 3" xfId="25963" xr:uid="{00000000-0005-0000-0000-00005F0C0000}"/>
    <cellStyle name="Millares 2 2 7 4" xfId="11177" xr:uid="{00000000-0005-0000-0000-0000600C0000}"/>
    <cellStyle name="Millares 2 2 7 4 2" xfId="30892" xr:uid="{00000000-0005-0000-0000-0000610C0000}"/>
    <cellStyle name="Millares 2 2 7 5" xfId="21035" xr:uid="{00000000-0005-0000-0000-0000620C0000}"/>
    <cellStyle name="Millares 2 2 8" xfId="2545" xr:uid="{00000000-0005-0000-0000-0000630C0000}"/>
    <cellStyle name="Millares 2 2 8 2" xfId="7477" xr:uid="{00000000-0005-0000-0000-0000640C0000}"/>
    <cellStyle name="Millares 2 2 8 2 2" xfId="17337" xr:uid="{00000000-0005-0000-0000-0000650C0000}"/>
    <cellStyle name="Millares 2 2 8 2 2 2" xfId="37052" xr:uid="{00000000-0005-0000-0000-0000660C0000}"/>
    <cellStyle name="Millares 2 2 8 2 3" xfId="27195" xr:uid="{00000000-0005-0000-0000-0000670C0000}"/>
    <cellStyle name="Millares 2 2 8 3" xfId="12409" xr:uid="{00000000-0005-0000-0000-0000680C0000}"/>
    <cellStyle name="Millares 2 2 8 3 2" xfId="32124" xr:uid="{00000000-0005-0000-0000-0000690C0000}"/>
    <cellStyle name="Millares 2 2 8 4" xfId="22267" xr:uid="{00000000-0005-0000-0000-00006A0C0000}"/>
    <cellStyle name="Millares 2 2 9" xfId="5013" xr:uid="{00000000-0005-0000-0000-00006B0C0000}"/>
    <cellStyle name="Millares 2 2 9 2" xfId="14873" xr:uid="{00000000-0005-0000-0000-00006C0C0000}"/>
    <cellStyle name="Millares 2 2 9 2 2" xfId="34588" xr:uid="{00000000-0005-0000-0000-00006D0C0000}"/>
    <cellStyle name="Millares 2 2 9 3" xfId="24731" xr:uid="{00000000-0005-0000-0000-00006E0C0000}"/>
    <cellStyle name="Millares 2 3" xfId="72" xr:uid="{00000000-0005-0000-0000-00006F0C0000}"/>
    <cellStyle name="Millares 2 3 10" xfId="19822" xr:uid="{00000000-0005-0000-0000-0000700C0000}"/>
    <cellStyle name="Millares 2 3 2" xfId="153" xr:uid="{00000000-0005-0000-0000-0000710C0000}"/>
    <cellStyle name="Millares 2 3 2 2" xfId="310" xr:uid="{00000000-0005-0000-0000-0000720C0000}"/>
    <cellStyle name="Millares 2 3 2 2 2" xfId="624" xr:uid="{00000000-0005-0000-0000-0000730C0000}"/>
    <cellStyle name="Millares 2 3 2 2 2 2" xfId="1244" xr:uid="{00000000-0005-0000-0000-0000740C0000}"/>
    <cellStyle name="Millares 2 3 2 2 2 2 2" xfId="2479" xr:uid="{00000000-0005-0000-0000-0000750C0000}"/>
    <cellStyle name="Millares 2 3 2 2 2 2 2 2" xfId="4946" xr:uid="{00000000-0005-0000-0000-0000760C0000}"/>
    <cellStyle name="Millares 2 3 2 2 2 2 2 2 2" xfId="9878" xr:uid="{00000000-0005-0000-0000-0000770C0000}"/>
    <cellStyle name="Millares 2 3 2 2 2 2 2 2 2 2" xfId="19738" xr:uid="{00000000-0005-0000-0000-0000780C0000}"/>
    <cellStyle name="Millares 2 3 2 2 2 2 2 2 2 2 2" xfId="39453" xr:uid="{00000000-0005-0000-0000-0000790C0000}"/>
    <cellStyle name="Millares 2 3 2 2 2 2 2 2 2 3" xfId="29596" xr:uid="{00000000-0005-0000-0000-00007A0C0000}"/>
    <cellStyle name="Millares 2 3 2 2 2 2 2 2 3" xfId="14810" xr:uid="{00000000-0005-0000-0000-00007B0C0000}"/>
    <cellStyle name="Millares 2 3 2 2 2 2 2 2 3 2" xfId="34525" xr:uid="{00000000-0005-0000-0000-00007C0C0000}"/>
    <cellStyle name="Millares 2 3 2 2 2 2 2 2 4" xfId="24668" xr:uid="{00000000-0005-0000-0000-00007D0C0000}"/>
    <cellStyle name="Millares 2 3 2 2 2 2 2 3" xfId="7414" xr:uid="{00000000-0005-0000-0000-00007E0C0000}"/>
    <cellStyle name="Millares 2 3 2 2 2 2 2 3 2" xfId="17274" xr:uid="{00000000-0005-0000-0000-00007F0C0000}"/>
    <cellStyle name="Millares 2 3 2 2 2 2 2 3 2 2" xfId="36989" xr:uid="{00000000-0005-0000-0000-0000800C0000}"/>
    <cellStyle name="Millares 2 3 2 2 2 2 2 3 3" xfId="27132" xr:uid="{00000000-0005-0000-0000-0000810C0000}"/>
    <cellStyle name="Millares 2 3 2 2 2 2 2 4" xfId="12346" xr:uid="{00000000-0005-0000-0000-0000820C0000}"/>
    <cellStyle name="Millares 2 3 2 2 2 2 2 4 2" xfId="32061" xr:uid="{00000000-0005-0000-0000-0000830C0000}"/>
    <cellStyle name="Millares 2 3 2 2 2 2 2 5" xfId="22204" xr:uid="{00000000-0005-0000-0000-0000840C0000}"/>
    <cellStyle name="Millares 2 3 2 2 2 2 3" xfId="3714" xr:uid="{00000000-0005-0000-0000-0000850C0000}"/>
    <cellStyle name="Millares 2 3 2 2 2 2 3 2" xfId="8646" xr:uid="{00000000-0005-0000-0000-0000860C0000}"/>
    <cellStyle name="Millares 2 3 2 2 2 2 3 2 2" xfId="18506" xr:uid="{00000000-0005-0000-0000-0000870C0000}"/>
    <cellStyle name="Millares 2 3 2 2 2 2 3 2 2 2" xfId="38221" xr:uid="{00000000-0005-0000-0000-0000880C0000}"/>
    <cellStyle name="Millares 2 3 2 2 2 2 3 2 3" xfId="28364" xr:uid="{00000000-0005-0000-0000-0000890C0000}"/>
    <cellStyle name="Millares 2 3 2 2 2 2 3 3" xfId="13578" xr:uid="{00000000-0005-0000-0000-00008A0C0000}"/>
    <cellStyle name="Millares 2 3 2 2 2 2 3 3 2" xfId="33293" xr:uid="{00000000-0005-0000-0000-00008B0C0000}"/>
    <cellStyle name="Millares 2 3 2 2 2 2 3 4" xfId="23436" xr:uid="{00000000-0005-0000-0000-00008C0C0000}"/>
    <cellStyle name="Millares 2 3 2 2 2 2 4" xfId="6182" xr:uid="{00000000-0005-0000-0000-00008D0C0000}"/>
    <cellStyle name="Millares 2 3 2 2 2 2 4 2" xfId="16042" xr:uid="{00000000-0005-0000-0000-00008E0C0000}"/>
    <cellStyle name="Millares 2 3 2 2 2 2 4 2 2" xfId="35757" xr:uid="{00000000-0005-0000-0000-00008F0C0000}"/>
    <cellStyle name="Millares 2 3 2 2 2 2 4 3" xfId="25900" xr:uid="{00000000-0005-0000-0000-0000900C0000}"/>
    <cellStyle name="Millares 2 3 2 2 2 2 5" xfId="11114" xr:uid="{00000000-0005-0000-0000-0000910C0000}"/>
    <cellStyle name="Millares 2 3 2 2 2 2 5 2" xfId="30829" xr:uid="{00000000-0005-0000-0000-0000920C0000}"/>
    <cellStyle name="Millares 2 3 2 2 2 2 6" xfId="20972" xr:uid="{00000000-0005-0000-0000-0000930C0000}"/>
    <cellStyle name="Millares 2 3 2 2 2 3" xfId="1863" xr:uid="{00000000-0005-0000-0000-0000940C0000}"/>
    <cellStyle name="Millares 2 3 2 2 2 3 2" xfId="4330" xr:uid="{00000000-0005-0000-0000-0000950C0000}"/>
    <cellStyle name="Millares 2 3 2 2 2 3 2 2" xfId="9262" xr:uid="{00000000-0005-0000-0000-0000960C0000}"/>
    <cellStyle name="Millares 2 3 2 2 2 3 2 2 2" xfId="19122" xr:uid="{00000000-0005-0000-0000-0000970C0000}"/>
    <cellStyle name="Millares 2 3 2 2 2 3 2 2 2 2" xfId="38837" xr:uid="{00000000-0005-0000-0000-0000980C0000}"/>
    <cellStyle name="Millares 2 3 2 2 2 3 2 2 3" xfId="28980" xr:uid="{00000000-0005-0000-0000-0000990C0000}"/>
    <cellStyle name="Millares 2 3 2 2 2 3 2 3" xfId="14194" xr:uid="{00000000-0005-0000-0000-00009A0C0000}"/>
    <cellStyle name="Millares 2 3 2 2 2 3 2 3 2" xfId="33909" xr:uid="{00000000-0005-0000-0000-00009B0C0000}"/>
    <cellStyle name="Millares 2 3 2 2 2 3 2 4" xfId="24052" xr:uid="{00000000-0005-0000-0000-00009C0C0000}"/>
    <cellStyle name="Millares 2 3 2 2 2 3 3" xfId="6798" xr:uid="{00000000-0005-0000-0000-00009D0C0000}"/>
    <cellStyle name="Millares 2 3 2 2 2 3 3 2" xfId="16658" xr:uid="{00000000-0005-0000-0000-00009E0C0000}"/>
    <cellStyle name="Millares 2 3 2 2 2 3 3 2 2" xfId="36373" xr:uid="{00000000-0005-0000-0000-00009F0C0000}"/>
    <cellStyle name="Millares 2 3 2 2 2 3 3 3" xfId="26516" xr:uid="{00000000-0005-0000-0000-0000A00C0000}"/>
    <cellStyle name="Millares 2 3 2 2 2 3 4" xfId="11730" xr:uid="{00000000-0005-0000-0000-0000A10C0000}"/>
    <cellStyle name="Millares 2 3 2 2 2 3 4 2" xfId="31445" xr:uid="{00000000-0005-0000-0000-0000A20C0000}"/>
    <cellStyle name="Millares 2 3 2 2 2 3 5" xfId="21588" xr:uid="{00000000-0005-0000-0000-0000A30C0000}"/>
    <cellStyle name="Millares 2 3 2 2 2 4" xfId="3098" xr:uid="{00000000-0005-0000-0000-0000A40C0000}"/>
    <cellStyle name="Millares 2 3 2 2 2 4 2" xfId="8030" xr:uid="{00000000-0005-0000-0000-0000A50C0000}"/>
    <cellStyle name="Millares 2 3 2 2 2 4 2 2" xfId="17890" xr:uid="{00000000-0005-0000-0000-0000A60C0000}"/>
    <cellStyle name="Millares 2 3 2 2 2 4 2 2 2" xfId="37605" xr:uid="{00000000-0005-0000-0000-0000A70C0000}"/>
    <cellStyle name="Millares 2 3 2 2 2 4 2 3" xfId="27748" xr:uid="{00000000-0005-0000-0000-0000A80C0000}"/>
    <cellStyle name="Millares 2 3 2 2 2 4 3" xfId="12962" xr:uid="{00000000-0005-0000-0000-0000A90C0000}"/>
    <cellStyle name="Millares 2 3 2 2 2 4 3 2" xfId="32677" xr:uid="{00000000-0005-0000-0000-0000AA0C0000}"/>
    <cellStyle name="Millares 2 3 2 2 2 4 4" xfId="22820" xr:uid="{00000000-0005-0000-0000-0000AB0C0000}"/>
    <cellStyle name="Millares 2 3 2 2 2 5" xfId="5566" xr:uid="{00000000-0005-0000-0000-0000AC0C0000}"/>
    <cellStyle name="Millares 2 3 2 2 2 5 2" xfId="15426" xr:uid="{00000000-0005-0000-0000-0000AD0C0000}"/>
    <cellStyle name="Millares 2 3 2 2 2 5 2 2" xfId="35141" xr:uid="{00000000-0005-0000-0000-0000AE0C0000}"/>
    <cellStyle name="Millares 2 3 2 2 2 5 3" xfId="25284" xr:uid="{00000000-0005-0000-0000-0000AF0C0000}"/>
    <cellStyle name="Millares 2 3 2 2 2 6" xfId="10498" xr:uid="{00000000-0005-0000-0000-0000B00C0000}"/>
    <cellStyle name="Millares 2 3 2 2 2 6 2" xfId="30213" xr:uid="{00000000-0005-0000-0000-0000B10C0000}"/>
    <cellStyle name="Millares 2 3 2 2 2 7" xfId="20356" xr:uid="{00000000-0005-0000-0000-0000B20C0000}"/>
    <cellStyle name="Millares 2 3 2 2 3" xfId="937" xr:uid="{00000000-0005-0000-0000-0000B30C0000}"/>
    <cellStyle name="Millares 2 3 2 2 3 2" xfId="2173" xr:uid="{00000000-0005-0000-0000-0000B40C0000}"/>
    <cellStyle name="Millares 2 3 2 2 3 2 2" xfId="4640" xr:uid="{00000000-0005-0000-0000-0000B50C0000}"/>
    <cellStyle name="Millares 2 3 2 2 3 2 2 2" xfId="9572" xr:uid="{00000000-0005-0000-0000-0000B60C0000}"/>
    <cellStyle name="Millares 2 3 2 2 3 2 2 2 2" xfId="19432" xr:uid="{00000000-0005-0000-0000-0000B70C0000}"/>
    <cellStyle name="Millares 2 3 2 2 3 2 2 2 2 2" xfId="39147" xr:uid="{00000000-0005-0000-0000-0000B80C0000}"/>
    <cellStyle name="Millares 2 3 2 2 3 2 2 2 3" xfId="29290" xr:uid="{00000000-0005-0000-0000-0000B90C0000}"/>
    <cellStyle name="Millares 2 3 2 2 3 2 2 3" xfId="14504" xr:uid="{00000000-0005-0000-0000-0000BA0C0000}"/>
    <cellStyle name="Millares 2 3 2 2 3 2 2 3 2" xfId="34219" xr:uid="{00000000-0005-0000-0000-0000BB0C0000}"/>
    <cellStyle name="Millares 2 3 2 2 3 2 2 4" xfId="24362" xr:uid="{00000000-0005-0000-0000-0000BC0C0000}"/>
    <cellStyle name="Millares 2 3 2 2 3 2 3" xfId="7108" xr:uid="{00000000-0005-0000-0000-0000BD0C0000}"/>
    <cellStyle name="Millares 2 3 2 2 3 2 3 2" xfId="16968" xr:uid="{00000000-0005-0000-0000-0000BE0C0000}"/>
    <cellStyle name="Millares 2 3 2 2 3 2 3 2 2" xfId="36683" xr:uid="{00000000-0005-0000-0000-0000BF0C0000}"/>
    <cellStyle name="Millares 2 3 2 2 3 2 3 3" xfId="26826" xr:uid="{00000000-0005-0000-0000-0000C00C0000}"/>
    <cellStyle name="Millares 2 3 2 2 3 2 4" xfId="12040" xr:uid="{00000000-0005-0000-0000-0000C10C0000}"/>
    <cellStyle name="Millares 2 3 2 2 3 2 4 2" xfId="31755" xr:uid="{00000000-0005-0000-0000-0000C20C0000}"/>
    <cellStyle name="Millares 2 3 2 2 3 2 5" xfId="21898" xr:uid="{00000000-0005-0000-0000-0000C30C0000}"/>
    <cellStyle name="Millares 2 3 2 2 3 3" xfId="3408" xr:uid="{00000000-0005-0000-0000-0000C40C0000}"/>
    <cellStyle name="Millares 2 3 2 2 3 3 2" xfId="8340" xr:uid="{00000000-0005-0000-0000-0000C50C0000}"/>
    <cellStyle name="Millares 2 3 2 2 3 3 2 2" xfId="18200" xr:uid="{00000000-0005-0000-0000-0000C60C0000}"/>
    <cellStyle name="Millares 2 3 2 2 3 3 2 2 2" xfId="37915" xr:uid="{00000000-0005-0000-0000-0000C70C0000}"/>
    <cellStyle name="Millares 2 3 2 2 3 3 2 3" xfId="28058" xr:uid="{00000000-0005-0000-0000-0000C80C0000}"/>
    <cellStyle name="Millares 2 3 2 2 3 3 3" xfId="13272" xr:uid="{00000000-0005-0000-0000-0000C90C0000}"/>
    <cellStyle name="Millares 2 3 2 2 3 3 3 2" xfId="32987" xr:uid="{00000000-0005-0000-0000-0000CA0C0000}"/>
    <cellStyle name="Millares 2 3 2 2 3 3 4" xfId="23130" xr:uid="{00000000-0005-0000-0000-0000CB0C0000}"/>
    <cellStyle name="Millares 2 3 2 2 3 4" xfId="5876" xr:uid="{00000000-0005-0000-0000-0000CC0C0000}"/>
    <cellStyle name="Millares 2 3 2 2 3 4 2" xfId="15736" xr:uid="{00000000-0005-0000-0000-0000CD0C0000}"/>
    <cellStyle name="Millares 2 3 2 2 3 4 2 2" xfId="35451" xr:uid="{00000000-0005-0000-0000-0000CE0C0000}"/>
    <cellStyle name="Millares 2 3 2 2 3 4 3" xfId="25594" xr:uid="{00000000-0005-0000-0000-0000CF0C0000}"/>
    <cellStyle name="Millares 2 3 2 2 3 5" xfId="10808" xr:uid="{00000000-0005-0000-0000-0000D00C0000}"/>
    <cellStyle name="Millares 2 3 2 2 3 5 2" xfId="30523" xr:uid="{00000000-0005-0000-0000-0000D10C0000}"/>
    <cellStyle name="Millares 2 3 2 2 3 6" xfId="20666" xr:uid="{00000000-0005-0000-0000-0000D20C0000}"/>
    <cellStyle name="Millares 2 3 2 2 4" xfId="1557" xr:uid="{00000000-0005-0000-0000-0000D30C0000}"/>
    <cellStyle name="Millares 2 3 2 2 4 2" xfId="4024" xr:uid="{00000000-0005-0000-0000-0000D40C0000}"/>
    <cellStyle name="Millares 2 3 2 2 4 2 2" xfId="8956" xr:uid="{00000000-0005-0000-0000-0000D50C0000}"/>
    <cellStyle name="Millares 2 3 2 2 4 2 2 2" xfId="18816" xr:uid="{00000000-0005-0000-0000-0000D60C0000}"/>
    <cellStyle name="Millares 2 3 2 2 4 2 2 2 2" xfId="38531" xr:uid="{00000000-0005-0000-0000-0000D70C0000}"/>
    <cellStyle name="Millares 2 3 2 2 4 2 2 3" xfId="28674" xr:uid="{00000000-0005-0000-0000-0000D80C0000}"/>
    <cellStyle name="Millares 2 3 2 2 4 2 3" xfId="13888" xr:uid="{00000000-0005-0000-0000-0000D90C0000}"/>
    <cellStyle name="Millares 2 3 2 2 4 2 3 2" xfId="33603" xr:uid="{00000000-0005-0000-0000-0000DA0C0000}"/>
    <cellStyle name="Millares 2 3 2 2 4 2 4" xfId="23746" xr:uid="{00000000-0005-0000-0000-0000DB0C0000}"/>
    <cellStyle name="Millares 2 3 2 2 4 3" xfId="6492" xr:uid="{00000000-0005-0000-0000-0000DC0C0000}"/>
    <cellStyle name="Millares 2 3 2 2 4 3 2" xfId="16352" xr:uid="{00000000-0005-0000-0000-0000DD0C0000}"/>
    <cellStyle name="Millares 2 3 2 2 4 3 2 2" xfId="36067" xr:uid="{00000000-0005-0000-0000-0000DE0C0000}"/>
    <cellStyle name="Millares 2 3 2 2 4 3 3" xfId="26210" xr:uid="{00000000-0005-0000-0000-0000DF0C0000}"/>
    <cellStyle name="Millares 2 3 2 2 4 4" xfId="11424" xr:uid="{00000000-0005-0000-0000-0000E00C0000}"/>
    <cellStyle name="Millares 2 3 2 2 4 4 2" xfId="31139" xr:uid="{00000000-0005-0000-0000-0000E10C0000}"/>
    <cellStyle name="Millares 2 3 2 2 4 5" xfId="21282" xr:uid="{00000000-0005-0000-0000-0000E20C0000}"/>
    <cellStyle name="Millares 2 3 2 2 5" xfId="2792" xr:uid="{00000000-0005-0000-0000-0000E30C0000}"/>
    <cellStyle name="Millares 2 3 2 2 5 2" xfId="7724" xr:uid="{00000000-0005-0000-0000-0000E40C0000}"/>
    <cellStyle name="Millares 2 3 2 2 5 2 2" xfId="17584" xr:uid="{00000000-0005-0000-0000-0000E50C0000}"/>
    <cellStyle name="Millares 2 3 2 2 5 2 2 2" xfId="37299" xr:uid="{00000000-0005-0000-0000-0000E60C0000}"/>
    <cellStyle name="Millares 2 3 2 2 5 2 3" xfId="27442" xr:uid="{00000000-0005-0000-0000-0000E70C0000}"/>
    <cellStyle name="Millares 2 3 2 2 5 3" xfId="12656" xr:uid="{00000000-0005-0000-0000-0000E80C0000}"/>
    <cellStyle name="Millares 2 3 2 2 5 3 2" xfId="32371" xr:uid="{00000000-0005-0000-0000-0000E90C0000}"/>
    <cellStyle name="Millares 2 3 2 2 5 4" xfId="22514" xr:uid="{00000000-0005-0000-0000-0000EA0C0000}"/>
    <cellStyle name="Millares 2 3 2 2 6" xfId="5260" xr:uid="{00000000-0005-0000-0000-0000EB0C0000}"/>
    <cellStyle name="Millares 2 3 2 2 6 2" xfId="15120" xr:uid="{00000000-0005-0000-0000-0000EC0C0000}"/>
    <cellStyle name="Millares 2 3 2 2 6 2 2" xfId="34835" xr:uid="{00000000-0005-0000-0000-0000ED0C0000}"/>
    <cellStyle name="Millares 2 3 2 2 6 3" xfId="24978" xr:uid="{00000000-0005-0000-0000-0000EE0C0000}"/>
    <cellStyle name="Millares 2 3 2 2 7" xfId="10192" xr:uid="{00000000-0005-0000-0000-0000EF0C0000}"/>
    <cellStyle name="Millares 2 3 2 2 7 2" xfId="29907" xr:uid="{00000000-0005-0000-0000-0000F00C0000}"/>
    <cellStyle name="Millares 2 3 2 2 8" xfId="20050" xr:uid="{00000000-0005-0000-0000-0000F10C0000}"/>
    <cellStyle name="Millares 2 3 2 3" xfId="472" xr:uid="{00000000-0005-0000-0000-0000F20C0000}"/>
    <cellStyle name="Millares 2 3 2 3 2" xfId="1092" xr:uid="{00000000-0005-0000-0000-0000F30C0000}"/>
    <cellStyle name="Millares 2 3 2 3 2 2" xfId="2327" xr:uid="{00000000-0005-0000-0000-0000F40C0000}"/>
    <cellStyle name="Millares 2 3 2 3 2 2 2" xfId="4794" xr:uid="{00000000-0005-0000-0000-0000F50C0000}"/>
    <cellStyle name="Millares 2 3 2 3 2 2 2 2" xfId="9726" xr:uid="{00000000-0005-0000-0000-0000F60C0000}"/>
    <cellStyle name="Millares 2 3 2 3 2 2 2 2 2" xfId="19586" xr:uid="{00000000-0005-0000-0000-0000F70C0000}"/>
    <cellStyle name="Millares 2 3 2 3 2 2 2 2 2 2" xfId="39301" xr:uid="{00000000-0005-0000-0000-0000F80C0000}"/>
    <cellStyle name="Millares 2 3 2 3 2 2 2 2 3" xfId="29444" xr:uid="{00000000-0005-0000-0000-0000F90C0000}"/>
    <cellStyle name="Millares 2 3 2 3 2 2 2 3" xfId="14658" xr:uid="{00000000-0005-0000-0000-0000FA0C0000}"/>
    <cellStyle name="Millares 2 3 2 3 2 2 2 3 2" xfId="34373" xr:uid="{00000000-0005-0000-0000-0000FB0C0000}"/>
    <cellStyle name="Millares 2 3 2 3 2 2 2 4" xfId="24516" xr:uid="{00000000-0005-0000-0000-0000FC0C0000}"/>
    <cellStyle name="Millares 2 3 2 3 2 2 3" xfId="7262" xr:uid="{00000000-0005-0000-0000-0000FD0C0000}"/>
    <cellStyle name="Millares 2 3 2 3 2 2 3 2" xfId="17122" xr:uid="{00000000-0005-0000-0000-0000FE0C0000}"/>
    <cellStyle name="Millares 2 3 2 3 2 2 3 2 2" xfId="36837" xr:uid="{00000000-0005-0000-0000-0000FF0C0000}"/>
    <cellStyle name="Millares 2 3 2 3 2 2 3 3" xfId="26980" xr:uid="{00000000-0005-0000-0000-0000000D0000}"/>
    <cellStyle name="Millares 2 3 2 3 2 2 4" xfId="12194" xr:uid="{00000000-0005-0000-0000-0000010D0000}"/>
    <cellStyle name="Millares 2 3 2 3 2 2 4 2" xfId="31909" xr:uid="{00000000-0005-0000-0000-0000020D0000}"/>
    <cellStyle name="Millares 2 3 2 3 2 2 5" xfId="22052" xr:uid="{00000000-0005-0000-0000-0000030D0000}"/>
    <cellStyle name="Millares 2 3 2 3 2 3" xfId="3562" xr:uid="{00000000-0005-0000-0000-0000040D0000}"/>
    <cellStyle name="Millares 2 3 2 3 2 3 2" xfId="8494" xr:uid="{00000000-0005-0000-0000-0000050D0000}"/>
    <cellStyle name="Millares 2 3 2 3 2 3 2 2" xfId="18354" xr:uid="{00000000-0005-0000-0000-0000060D0000}"/>
    <cellStyle name="Millares 2 3 2 3 2 3 2 2 2" xfId="38069" xr:uid="{00000000-0005-0000-0000-0000070D0000}"/>
    <cellStyle name="Millares 2 3 2 3 2 3 2 3" xfId="28212" xr:uid="{00000000-0005-0000-0000-0000080D0000}"/>
    <cellStyle name="Millares 2 3 2 3 2 3 3" xfId="13426" xr:uid="{00000000-0005-0000-0000-0000090D0000}"/>
    <cellStyle name="Millares 2 3 2 3 2 3 3 2" xfId="33141" xr:uid="{00000000-0005-0000-0000-00000A0D0000}"/>
    <cellStyle name="Millares 2 3 2 3 2 3 4" xfId="23284" xr:uid="{00000000-0005-0000-0000-00000B0D0000}"/>
    <cellStyle name="Millares 2 3 2 3 2 4" xfId="6030" xr:uid="{00000000-0005-0000-0000-00000C0D0000}"/>
    <cellStyle name="Millares 2 3 2 3 2 4 2" xfId="15890" xr:uid="{00000000-0005-0000-0000-00000D0D0000}"/>
    <cellStyle name="Millares 2 3 2 3 2 4 2 2" xfId="35605" xr:uid="{00000000-0005-0000-0000-00000E0D0000}"/>
    <cellStyle name="Millares 2 3 2 3 2 4 3" xfId="25748" xr:uid="{00000000-0005-0000-0000-00000F0D0000}"/>
    <cellStyle name="Millares 2 3 2 3 2 5" xfId="10962" xr:uid="{00000000-0005-0000-0000-0000100D0000}"/>
    <cellStyle name="Millares 2 3 2 3 2 5 2" xfId="30677" xr:uid="{00000000-0005-0000-0000-0000110D0000}"/>
    <cellStyle name="Millares 2 3 2 3 2 6" xfId="20820" xr:uid="{00000000-0005-0000-0000-0000120D0000}"/>
    <cellStyle name="Millares 2 3 2 3 3" xfId="1711" xr:uid="{00000000-0005-0000-0000-0000130D0000}"/>
    <cellStyle name="Millares 2 3 2 3 3 2" xfId="4178" xr:uid="{00000000-0005-0000-0000-0000140D0000}"/>
    <cellStyle name="Millares 2 3 2 3 3 2 2" xfId="9110" xr:uid="{00000000-0005-0000-0000-0000150D0000}"/>
    <cellStyle name="Millares 2 3 2 3 3 2 2 2" xfId="18970" xr:uid="{00000000-0005-0000-0000-0000160D0000}"/>
    <cellStyle name="Millares 2 3 2 3 3 2 2 2 2" xfId="38685" xr:uid="{00000000-0005-0000-0000-0000170D0000}"/>
    <cellStyle name="Millares 2 3 2 3 3 2 2 3" xfId="28828" xr:uid="{00000000-0005-0000-0000-0000180D0000}"/>
    <cellStyle name="Millares 2 3 2 3 3 2 3" xfId="14042" xr:uid="{00000000-0005-0000-0000-0000190D0000}"/>
    <cellStyle name="Millares 2 3 2 3 3 2 3 2" xfId="33757" xr:uid="{00000000-0005-0000-0000-00001A0D0000}"/>
    <cellStyle name="Millares 2 3 2 3 3 2 4" xfId="23900" xr:uid="{00000000-0005-0000-0000-00001B0D0000}"/>
    <cellStyle name="Millares 2 3 2 3 3 3" xfId="6646" xr:uid="{00000000-0005-0000-0000-00001C0D0000}"/>
    <cellStyle name="Millares 2 3 2 3 3 3 2" xfId="16506" xr:uid="{00000000-0005-0000-0000-00001D0D0000}"/>
    <cellStyle name="Millares 2 3 2 3 3 3 2 2" xfId="36221" xr:uid="{00000000-0005-0000-0000-00001E0D0000}"/>
    <cellStyle name="Millares 2 3 2 3 3 3 3" xfId="26364" xr:uid="{00000000-0005-0000-0000-00001F0D0000}"/>
    <cellStyle name="Millares 2 3 2 3 3 4" xfId="11578" xr:uid="{00000000-0005-0000-0000-0000200D0000}"/>
    <cellStyle name="Millares 2 3 2 3 3 4 2" xfId="31293" xr:uid="{00000000-0005-0000-0000-0000210D0000}"/>
    <cellStyle name="Millares 2 3 2 3 3 5" xfId="21436" xr:uid="{00000000-0005-0000-0000-0000220D0000}"/>
    <cellStyle name="Millares 2 3 2 3 4" xfId="2946" xr:uid="{00000000-0005-0000-0000-0000230D0000}"/>
    <cellStyle name="Millares 2 3 2 3 4 2" xfId="7878" xr:uid="{00000000-0005-0000-0000-0000240D0000}"/>
    <cellStyle name="Millares 2 3 2 3 4 2 2" xfId="17738" xr:uid="{00000000-0005-0000-0000-0000250D0000}"/>
    <cellStyle name="Millares 2 3 2 3 4 2 2 2" xfId="37453" xr:uid="{00000000-0005-0000-0000-0000260D0000}"/>
    <cellStyle name="Millares 2 3 2 3 4 2 3" xfId="27596" xr:uid="{00000000-0005-0000-0000-0000270D0000}"/>
    <cellStyle name="Millares 2 3 2 3 4 3" xfId="12810" xr:uid="{00000000-0005-0000-0000-0000280D0000}"/>
    <cellStyle name="Millares 2 3 2 3 4 3 2" xfId="32525" xr:uid="{00000000-0005-0000-0000-0000290D0000}"/>
    <cellStyle name="Millares 2 3 2 3 4 4" xfId="22668" xr:uid="{00000000-0005-0000-0000-00002A0D0000}"/>
    <cellStyle name="Millares 2 3 2 3 5" xfId="5414" xr:uid="{00000000-0005-0000-0000-00002B0D0000}"/>
    <cellStyle name="Millares 2 3 2 3 5 2" xfId="15274" xr:uid="{00000000-0005-0000-0000-00002C0D0000}"/>
    <cellStyle name="Millares 2 3 2 3 5 2 2" xfId="34989" xr:uid="{00000000-0005-0000-0000-00002D0D0000}"/>
    <cellStyle name="Millares 2 3 2 3 5 3" xfId="25132" xr:uid="{00000000-0005-0000-0000-00002E0D0000}"/>
    <cellStyle name="Millares 2 3 2 3 6" xfId="10346" xr:uid="{00000000-0005-0000-0000-00002F0D0000}"/>
    <cellStyle name="Millares 2 3 2 3 6 2" xfId="30061" xr:uid="{00000000-0005-0000-0000-0000300D0000}"/>
    <cellStyle name="Millares 2 3 2 3 7" xfId="20204" xr:uid="{00000000-0005-0000-0000-0000310D0000}"/>
    <cellStyle name="Millares 2 3 2 4" xfId="785" xr:uid="{00000000-0005-0000-0000-0000320D0000}"/>
    <cellStyle name="Millares 2 3 2 4 2" xfId="2021" xr:uid="{00000000-0005-0000-0000-0000330D0000}"/>
    <cellStyle name="Millares 2 3 2 4 2 2" xfId="4488" xr:uid="{00000000-0005-0000-0000-0000340D0000}"/>
    <cellStyle name="Millares 2 3 2 4 2 2 2" xfId="9420" xr:uid="{00000000-0005-0000-0000-0000350D0000}"/>
    <cellStyle name="Millares 2 3 2 4 2 2 2 2" xfId="19280" xr:uid="{00000000-0005-0000-0000-0000360D0000}"/>
    <cellStyle name="Millares 2 3 2 4 2 2 2 2 2" xfId="38995" xr:uid="{00000000-0005-0000-0000-0000370D0000}"/>
    <cellStyle name="Millares 2 3 2 4 2 2 2 3" xfId="29138" xr:uid="{00000000-0005-0000-0000-0000380D0000}"/>
    <cellStyle name="Millares 2 3 2 4 2 2 3" xfId="14352" xr:uid="{00000000-0005-0000-0000-0000390D0000}"/>
    <cellStyle name="Millares 2 3 2 4 2 2 3 2" xfId="34067" xr:uid="{00000000-0005-0000-0000-00003A0D0000}"/>
    <cellStyle name="Millares 2 3 2 4 2 2 4" xfId="24210" xr:uid="{00000000-0005-0000-0000-00003B0D0000}"/>
    <cellStyle name="Millares 2 3 2 4 2 3" xfId="6956" xr:uid="{00000000-0005-0000-0000-00003C0D0000}"/>
    <cellStyle name="Millares 2 3 2 4 2 3 2" xfId="16816" xr:uid="{00000000-0005-0000-0000-00003D0D0000}"/>
    <cellStyle name="Millares 2 3 2 4 2 3 2 2" xfId="36531" xr:uid="{00000000-0005-0000-0000-00003E0D0000}"/>
    <cellStyle name="Millares 2 3 2 4 2 3 3" xfId="26674" xr:uid="{00000000-0005-0000-0000-00003F0D0000}"/>
    <cellStyle name="Millares 2 3 2 4 2 4" xfId="11888" xr:uid="{00000000-0005-0000-0000-0000400D0000}"/>
    <cellStyle name="Millares 2 3 2 4 2 4 2" xfId="31603" xr:uid="{00000000-0005-0000-0000-0000410D0000}"/>
    <cellStyle name="Millares 2 3 2 4 2 5" xfId="21746" xr:uid="{00000000-0005-0000-0000-0000420D0000}"/>
    <cellStyle name="Millares 2 3 2 4 3" xfId="3256" xr:uid="{00000000-0005-0000-0000-0000430D0000}"/>
    <cellStyle name="Millares 2 3 2 4 3 2" xfId="8188" xr:uid="{00000000-0005-0000-0000-0000440D0000}"/>
    <cellStyle name="Millares 2 3 2 4 3 2 2" xfId="18048" xr:uid="{00000000-0005-0000-0000-0000450D0000}"/>
    <cellStyle name="Millares 2 3 2 4 3 2 2 2" xfId="37763" xr:uid="{00000000-0005-0000-0000-0000460D0000}"/>
    <cellStyle name="Millares 2 3 2 4 3 2 3" xfId="27906" xr:uid="{00000000-0005-0000-0000-0000470D0000}"/>
    <cellStyle name="Millares 2 3 2 4 3 3" xfId="13120" xr:uid="{00000000-0005-0000-0000-0000480D0000}"/>
    <cellStyle name="Millares 2 3 2 4 3 3 2" xfId="32835" xr:uid="{00000000-0005-0000-0000-0000490D0000}"/>
    <cellStyle name="Millares 2 3 2 4 3 4" xfId="22978" xr:uid="{00000000-0005-0000-0000-00004A0D0000}"/>
    <cellStyle name="Millares 2 3 2 4 4" xfId="5724" xr:uid="{00000000-0005-0000-0000-00004B0D0000}"/>
    <cellStyle name="Millares 2 3 2 4 4 2" xfId="15584" xr:uid="{00000000-0005-0000-0000-00004C0D0000}"/>
    <cellStyle name="Millares 2 3 2 4 4 2 2" xfId="35299" xr:uid="{00000000-0005-0000-0000-00004D0D0000}"/>
    <cellStyle name="Millares 2 3 2 4 4 3" xfId="25442" xr:uid="{00000000-0005-0000-0000-00004E0D0000}"/>
    <cellStyle name="Millares 2 3 2 4 5" xfId="10656" xr:uid="{00000000-0005-0000-0000-00004F0D0000}"/>
    <cellStyle name="Millares 2 3 2 4 5 2" xfId="30371" xr:uid="{00000000-0005-0000-0000-0000500D0000}"/>
    <cellStyle name="Millares 2 3 2 4 6" xfId="20514" xr:uid="{00000000-0005-0000-0000-0000510D0000}"/>
    <cellStyle name="Millares 2 3 2 5" xfId="1405" xr:uid="{00000000-0005-0000-0000-0000520D0000}"/>
    <cellStyle name="Millares 2 3 2 5 2" xfId="3872" xr:uid="{00000000-0005-0000-0000-0000530D0000}"/>
    <cellStyle name="Millares 2 3 2 5 2 2" xfId="8804" xr:uid="{00000000-0005-0000-0000-0000540D0000}"/>
    <cellStyle name="Millares 2 3 2 5 2 2 2" xfId="18664" xr:uid="{00000000-0005-0000-0000-0000550D0000}"/>
    <cellStyle name="Millares 2 3 2 5 2 2 2 2" xfId="38379" xr:uid="{00000000-0005-0000-0000-0000560D0000}"/>
    <cellStyle name="Millares 2 3 2 5 2 2 3" xfId="28522" xr:uid="{00000000-0005-0000-0000-0000570D0000}"/>
    <cellStyle name="Millares 2 3 2 5 2 3" xfId="13736" xr:uid="{00000000-0005-0000-0000-0000580D0000}"/>
    <cellStyle name="Millares 2 3 2 5 2 3 2" xfId="33451" xr:uid="{00000000-0005-0000-0000-0000590D0000}"/>
    <cellStyle name="Millares 2 3 2 5 2 4" xfId="23594" xr:uid="{00000000-0005-0000-0000-00005A0D0000}"/>
    <cellStyle name="Millares 2 3 2 5 3" xfId="6340" xr:uid="{00000000-0005-0000-0000-00005B0D0000}"/>
    <cellStyle name="Millares 2 3 2 5 3 2" xfId="16200" xr:uid="{00000000-0005-0000-0000-00005C0D0000}"/>
    <cellStyle name="Millares 2 3 2 5 3 2 2" xfId="35915" xr:uid="{00000000-0005-0000-0000-00005D0D0000}"/>
    <cellStyle name="Millares 2 3 2 5 3 3" xfId="26058" xr:uid="{00000000-0005-0000-0000-00005E0D0000}"/>
    <cellStyle name="Millares 2 3 2 5 4" xfId="11272" xr:uid="{00000000-0005-0000-0000-00005F0D0000}"/>
    <cellStyle name="Millares 2 3 2 5 4 2" xfId="30987" xr:uid="{00000000-0005-0000-0000-0000600D0000}"/>
    <cellStyle name="Millares 2 3 2 5 5" xfId="21130" xr:uid="{00000000-0005-0000-0000-0000610D0000}"/>
    <cellStyle name="Millares 2 3 2 6" xfId="2640" xr:uid="{00000000-0005-0000-0000-0000620D0000}"/>
    <cellStyle name="Millares 2 3 2 6 2" xfId="7572" xr:uid="{00000000-0005-0000-0000-0000630D0000}"/>
    <cellStyle name="Millares 2 3 2 6 2 2" xfId="17432" xr:uid="{00000000-0005-0000-0000-0000640D0000}"/>
    <cellStyle name="Millares 2 3 2 6 2 2 2" xfId="37147" xr:uid="{00000000-0005-0000-0000-0000650D0000}"/>
    <cellStyle name="Millares 2 3 2 6 2 3" xfId="27290" xr:uid="{00000000-0005-0000-0000-0000660D0000}"/>
    <cellStyle name="Millares 2 3 2 6 3" xfId="12504" xr:uid="{00000000-0005-0000-0000-0000670D0000}"/>
    <cellStyle name="Millares 2 3 2 6 3 2" xfId="32219" xr:uid="{00000000-0005-0000-0000-0000680D0000}"/>
    <cellStyle name="Millares 2 3 2 6 4" xfId="22362" xr:uid="{00000000-0005-0000-0000-0000690D0000}"/>
    <cellStyle name="Millares 2 3 2 7" xfId="5108" xr:uid="{00000000-0005-0000-0000-00006A0D0000}"/>
    <cellStyle name="Millares 2 3 2 7 2" xfId="14968" xr:uid="{00000000-0005-0000-0000-00006B0D0000}"/>
    <cellStyle name="Millares 2 3 2 7 2 2" xfId="34683" xr:uid="{00000000-0005-0000-0000-00006C0D0000}"/>
    <cellStyle name="Millares 2 3 2 7 3" xfId="24826" xr:uid="{00000000-0005-0000-0000-00006D0D0000}"/>
    <cellStyle name="Millares 2 3 2 8" xfId="10040" xr:uid="{00000000-0005-0000-0000-00006E0D0000}"/>
    <cellStyle name="Millares 2 3 2 8 2" xfId="29755" xr:uid="{00000000-0005-0000-0000-00006F0D0000}"/>
    <cellStyle name="Millares 2 3 2 9" xfId="19898" xr:uid="{00000000-0005-0000-0000-0000700D0000}"/>
    <cellStyle name="Millares 2 3 3" xfId="234" xr:uid="{00000000-0005-0000-0000-0000710D0000}"/>
    <cellStyle name="Millares 2 3 3 2" xfId="548" xr:uid="{00000000-0005-0000-0000-0000720D0000}"/>
    <cellStyle name="Millares 2 3 3 2 2" xfId="1168" xr:uid="{00000000-0005-0000-0000-0000730D0000}"/>
    <cellStyle name="Millares 2 3 3 2 2 2" xfId="2403" xr:uid="{00000000-0005-0000-0000-0000740D0000}"/>
    <cellStyle name="Millares 2 3 3 2 2 2 2" xfId="4870" xr:uid="{00000000-0005-0000-0000-0000750D0000}"/>
    <cellStyle name="Millares 2 3 3 2 2 2 2 2" xfId="9802" xr:uid="{00000000-0005-0000-0000-0000760D0000}"/>
    <cellStyle name="Millares 2 3 3 2 2 2 2 2 2" xfId="19662" xr:uid="{00000000-0005-0000-0000-0000770D0000}"/>
    <cellStyle name="Millares 2 3 3 2 2 2 2 2 2 2" xfId="39377" xr:uid="{00000000-0005-0000-0000-0000780D0000}"/>
    <cellStyle name="Millares 2 3 3 2 2 2 2 2 3" xfId="29520" xr:uid="{00000000-0005-0000-0000-0000790D0000}"/>
    <cellStyle name="Millares 2 3 3 2 2 2 2 3" xfId="14734" xr:uid="{00000000-0005-0000-0000-00007A0D0000}"/>
    <cellStyle name="Millares 2 3 3 2 2 2 2 3 2" xfId="34449" xr:uid="{00000000-0005-0000-0000-00007B0D0000}"/>
    <cellStyle name="Millares 2 3 3 2 2 2 2 4" xfId="24592" xr:uid="{00000000-0005-0000-0000-00007C0D0000}"/>
    <cellStyle name="Millares 2 3 3 2 2 2 3" xfId="7338" xr:uid="{00000000-0005-0000-0000-00007D0D0000}"/>
    <cellStyle name="Millares 2 3 3 2 2 2 3 2" xfId="17198" xr:uid="{00000000-0005-0000-0000-00007E0D0000}"/>
    <cellStyle name="Millares 2 3 3 2 2 2 3 2 2" xfId="36913" xr:uid="{00000000-0005-0000-0000-00007F0D0000}"/>
    <cellStyle name="Millares 2 3 3 2 2 2 3 3" xfId="27056" xr:uid="{00000000-0005-0000-0000-0000800D0000}"/>
    <cellStyle name="Millares 2 3 3 2 2 2 4" xfId="12270" xr:uid="{00000000-0005-0000-0000-0000810D0000}"/>
    <cellStyle name="Millares 2 3 3 2 2 2 4 2" xfId="31985" xr:uid="{00000000-0005-0000-0000-0000820D0000}"/>
    <cellStyle name="Millares 2 3 3 2 2 2 5" xfId="22128" xr:uid="{00000000-0005-0000-0000-0000830D0000}"/>
    <cellStyle name="Millares 2 3 3 2 2 3" xfId="3638" xr:uid="{00000000-0005-0000-0000-0000840D0000}"/>
    <cellStyle name="Millares 2 3 3 2 2 3 2" xfId="8570" xr:uid="{00000000-0005-0000-0000-0000850D0000}"/>
    <cellStyle name="Millares 2 3 3 2 2 3 2 2" xfId="18430" xr:uid="{00000000-0005-0000-0000-0000860D0000}"/>
    <cellStyle name="Millares 2 3 3 2 2 3 2 2 2" xfId="38145" xr:uid="{00000000-0005-0000-0000-0000870D0000}"/>
    <cellStyle name="Millares 2 3 3 2 2 3 2 3" xfId="28288" xr:uid="{00000000-0005-0000-0000-0000880D0000}"/>
    <cellStyle name="Millares 2 3 3 2 2 3 3" xfId="13502" xr:uid="{00000000-0005-0000-0000-0000890D0000}"/>
    <cellStyle name="Millares 2 3 3 2 2 3 3 2" xfId="33217" xr:uid="{00000000-0005-0000-0000-00008A0D0000}"/>
    <cellStyle name="Millares 2 3 3 2 2 3 4" xfId="23360" xr:uid="{00000000-0005-0000-0000-00008B0D0000}"/>
    <cellStyle name="Millares 2 3 3 2 2 4" xfId="6106" xr:uid="{00000000-0005-0000-0000-00008C0D0000}"/>
    <cellStyle name="Millares 2 3 3 2 2 4 2" xfId="15966" xr:uid="{00000000-0005-0000-0000-00008D0D0000}"/>
    <cellStyle name="Millares 2 3 3 2 2 4 2 2" xfId="35681" xr:uid="{00000000-0005-0000-0000-00008E0D0000}"/>
    <cellStyle name="Millares 2 3 3 2 2 4 3" xfId="25824" xr:uid="{00000000-0005-0000-0000-00008F0D0000}"/>
    <cellStyle name="Millares 2 3 3 2 2 5" xfId="11038" xr:uid="{00000000-0005-0000-0000-0000900D0000}"/>
    <cellStyle name="Millares 2 3 3 2 2 5 2" xfId="30753" xr:uid="{00000000-0005-0000-0000-0000910D0000}"/>
    <cellStyle name="Millares 2 3 3 2 2 6" xfId="20896" xr:uid="{00000000-0005-0000-0000-0000920D0000}"/>
    <cellStyle name="Millares 2 3 3 2 3" xfId="1787" xr:uid="{00000000-0005-0000-0000-0000930D0000}"/>
    <cellStyle name="Millares 2 3 3 2 3 2" xfId="4254" xr:uid="{00000000-0005-0000-0000-0000940D0000}"/>
    <cellStyle name="Millares 2 3 3 2 3 2 2" xfId="9186" xr:uid="{00000000-0005-0000-0000-0000950D0000}"/>
    <cellStyle name="Millares 2 3 3 2 3 2 2 2" xfId="19046" xr:uid="{00000000-0005-0000-0000-0000960D0000}"/>
    <cellStyle name="Millares 2 3 3 2 3 2 2 2 2" xfId="38761" xr:uid="{00000000-0005-0000-0000-0000970D0000}"/>
    <cellStyle name="Millares 2 3 3 2 3 2 2 3" xfId="28904" xr:uid="{00000000-0005-0000-0000-0000980D0000}"/>
    <cellStyle name="Millares 2 3 3 2 3 2 3" xfId="14118" xr:uid="{00000000-0005-0000-0000-0000990D0000}"/>
    <cellStyle name="Millares 2 3 3 2 3 2 3 2" xfId="33833" xr:uid="{00000000-0005-0000-0000-00009A0D0000}"/>
    <cellStyle name="Millares 2 3 3 2 3 2 4" xfId="23976" xr:uid="{00000000-0005-0000-0000-00009B0D0000}"/>
    <cellStyle name="Millares 2 3 3 2 3 3" xfId="6722" xr:uid="{00000000-0005-0000-0000-00009C0D0000}"/>
    <cellStyle name="Millares 2 3 3 2 3 3 2" xfId="16582" xr:uid="{00000000-0005-0000-0000-00009D0D0000}"/>
    <cellStyle name="Millares 2 3 3 2 3 3 2 2" xfId="36297" xr:uid="{00000000-0005-0000-0000-00009E0D0000}"/>
    <cellStyle name="Millares 2 3 3 2 3 3 3" xfId="26440" xr:uid="{00000000-0005-0000-0000-00009F0D0000}"/>
    <cellStyle name="Millares 2 3 3 2 3 4" xfId="11654" xr:uid="{00000000-0005-0000-0000-0000A00D0000}"/>
    <cellStyle name="Millares 2 3 3 2 3 4 2" xfId="31369" xr:uid="{00000000-0005-0000-0000-0000A10D0000}"/>
    <cellStyle name="Millares 2 3 3 2 3 5" xfId="21512" xr:uid="{00000000-0005-0000-0000-0000A20D0000}"/>
    <cellStyle name="Millares 2 3 3 2 4" xfId="3022" xr:uid="{00000000-0005-0000-0000-0000A30D0000}"/>
    <cellStyle name="Millares 2 3 3 2 4 2" xfId="7954" xr:uid="{00000000-0005-0000-0000-0000A40D0000}"/>
    <cellStyle name="Millares 2 3 3 2 4 2 2" xfId="17814" xr:uid="{00000000-0005-0000-0000-0000A50D0000}"/>
    <cellStyle name="Millares 2 3 3 2 4 2 2 2" xfId="37529" xr:uid="{00000000-0005-0000-0000-0000A60D0000}"/>
    <cellStyle name="Millares 2 3 3 2 4 2 3" xfId="27672" xr:uid="{00000000-0005-0000-0000-0000A70D0000}"/>
    <cellStyle name="Millares 2 3 3 2 4 3" xfId="12886" xr:uid="{00000000-0005-0000-0000-0000A80D0000}"/>
    <cellStyle name="Millares 2 3 3 2 4 3 2" xfId="32601" xr:uid="{00000000-0005-0000-0000-0000A90D0000}"/>
    <cellStyle name="Millares 2 3 3 2 4 4" xfId="22744" xr:uid="{00000000-0005-0000-0000-0000AA0D0000}"/>
    <cellStyle name="Millares 2 3 3 2 5" xfId="5490" xr:uid="{00000000-0005-0000-0000-0000AB0D0000}"/>
    <cellStyle name="Millares 2 3 3 2 5 2" xfId="15350" xr:uid="{00000000-0005-0000-0000-0000AC0D0000}"/>
    <cellStyle name="Millares 2 3 3 2 5 2 2" xfId="35065" xr:uid="{00000000-0005-0000-0000-0000AD0D0000}"/>
    <cellStyle name="Millares 2 3 3 2 5 3" xfId="25208" xr:uid="{00000000-0005-0000-0000-0000AE0D0000}"/>
    <cellStyle name="Millares 2 3 3 2 6" xfId="10422" xr:uid="{00000000-0005-0000-0000-0000AF0D0000}"/>
    <cellStyle name="Millares 2 3 3 2 6 2" xfId="30137" xr:uid="{00000000-0005-0000-0000-0000B00D0000}"/>
    <cellStyle name="Millares 2 3 3 2 7" xfId="20280" xr:uid="{00000000-0005-0000-0000-0000B10D0000}"/>
    <cellStyle name="Millares 2 3 3 3" xfId="861" xr:uid="{00000000-0005-0000-0000-0000B20D0000}"/>
    <cellStyle name="Millares 2 3 3 3 2" xfId="2097" xr:uid="{00000000-0005-0000-0000-0000B30D0000}"/>
    <cellStyle name="Millares 2 3 3 3 2 2" xfId="4564" xr:uid="{00000000-0005-0000-0000-0000B40D0000}"/>
    <cellStyle name="Millares 2 3 3 3 2 2 2" xfId="9496" xr:uid="{00000000-0005-0000-0000-0000B50D0000}"/>
    <cellStyle name="Millares 2 3 3 3 2 2 2 2" xfId="19356" xr:uid="{00000000-0005-0000-0000-0000B60D0000}"/>
    <cellStyle name="Millares 2 3 3 3 2 2 2 2 2" xfId="39071" xr:uid="{00000000-0005-0000-0000-0000B70D0000}"/>
    <cellStyle name="Millares 2 3 3 3 2 2 2 3" xfId="29214" xr:uid="{00000000-0005-0000-0000-0000B80D0000}"/>
    <cellStyle name="Millares 2 3 3 3 2 2 3" xfId="14428" xr:uid="{00000000-0005-0000-0000-0000B90D0000}"/>
    <cellStyle name="Millares 2 3 3 3 2 2 3 2" xfId="34143" xr:uid="{00000000-0005-0000-0000-0000BA0D0000}"/>
    <cellStyle name="Millares 2 3 3 3 2 2 4" xfId="24286" xr:uid="{00000000-0005-0000-0000-0000BB0D0000}"/>
    <cellStyle name="Millares 2 3 3 3 2 3" xfId="7032" xr:uid="{00000000-0005-0000-0000-0000BC0D0000}"/>
    <cellStyle name="Millares 2 3 3 3 2 3 2" xfId="16892" xr:uid="{00000000-0005-0000-0000-0000BD0D0000}"/>
    <cellStyle name="Millares 2 3 3 3 2 3 2 2" xfId="36607" xr:uid="{00000000-0005-0000-0000-0000BE0D0000}"/>
    <cellStyle name="Millares 2 3 3 3 2 3 3" xfId="26750" xr:uid="{00000000-0005-0000-0000-0000BF0D0000}"/>
    <cellStyle name="Millares 2 3 3 3 2 4" xfId="11964" xr:uid="{00000000-0005-0000-0000-0000C00D0000}"/>
    <cellStyle name="Millares 2 3 3 3 2 4 2" xfId="31679" xr:uid="{00000000-0005-0000-0000-0000C10D0000}"/>
    <cellStyle name="Millares 2 3 3 3 2 5" xfId="21822" xr:uid="{00000000-0005-0000-0000-0000C20D0000}"/>
    <cellStyle name="Millares 2 3 3 3 3" xfId="3332" xr:uid="{00000000-0005-0000-0000-0000C30D0000}"/>
    <cellStyle name="Millares 2 3 3 3 3 2" xfId="8264" xr:uid="{00000000-0005-0000-0000-0000C40D0000}"/>
    <cellStyle name="Millares 2 3 3 3 3 2 2" xfId="18124" xr:uid="{00000000-0005-0000-0000-0000C50D0000}"/>
    <cellStyle name="Millares 2 3 3 3 3 2 2 2" xfId="37839" xr:uid="{00000000-0005-0000-0000-0000C60D0000}"/>
    <cellStyle name="Millares 2 3 3 3 3 2 3" xfId="27982" xr:uid="{00000000-0005-0000-0000-0000C70D0000}"/>
    <cellStyle name="Millares 2 3 3 3 3 3" xfId="13196" xr:uid="{00000000-0005-0000-0000-0000C80D0000}"/>
    <cellStyle name="Millares 2 3 3 3 3 3 2" xfId="32911" xr:uid="{00000000-0005-0000-0000-0000C90D0000}"/>
    <cellStyle name="Millares 2 3 3 3 3 4" xfId="23054" xr:uid="{00000000-0005-0000-0000-0000CA0D0000}"/>
    <cellStyle name="Millares 2 3 3 3 4" xfId="5800" xr:uid="{00000000-0005-0000-0000-0000CB0D0000}"/>
    <cellStyle name="Millares 2 3 3 3 4 2" xfId="15660" xr:uid="{00000000-0005-0000-0000-0000CC0D0000}"/>
    <cellStyle name="Millares 2 3 3 3 4 2 2" xfId="35375" xr:uid="{00000000-0005-0000-0000-0000CD0D0000}"/>
    <cellStyle name="Millares 2 3 3 3 4 3" xfId="25518" xr:uid="{00000000-0005-0000-0000-0000CE0D0000}"/>
    <cellStyle name="Millares 2 3 3 3 5" xfId="10732" xr:uid="{00000000-0005-0000-0000-0000CF0D0000}"/>
    <cellStyle name="Millares 2 3 3 3 5 2" xfId="30447" xr:uid="{00000000-0005-0000-0000-0000D00D0000}"/>
    <cellStyle name="Millares 2 3 3 3 6" xfId="20590" xr:uid="{00000000-0005-0000-0000-0000D10D0000}"/>
    <cellStyle name="Millares 2 3 3 4" xfId="1481" xr:uid="{00000000-0005-0000-0000-0000D20D0000}"/>
    <cellStyle name="Millares 2 3 3 4 2" xfId="3948" xr:uid="{00000000-0005-0000-0000-0000D30D0000}"/>
    <cellStyle name="Millares 2 3 3 4 2 2" xfId="8880" xr:uid="{00000000-0005-0000-0000-0000D40D0000}"/>
    <cellStyle name="Millares 2 3 3 4 2 2 2" xfId="18740" xr:uid="{00000000-0005-0000-0000-0000D50D0000}"/>
    <cellStyle name="Millares 2 3 3 4 2 2 2 2" xfId="38455" xr:uid="{00000000-0005-0000-0000-0000D60D0000}"/>
    <cellStyle name="Millares 2 3 3 4 2 2 3" xfId="28598" xr:uid="{00000000-0005-0000-0000-0000D70D0000}"/>
    <cellStyle name="Millares 2 3 3 4 2 3" xfId="13812" xr:uid="{00000000-0005-0000-0000-0000D80D0000}"/>
    <cellStyle name="Millares 2 3 3 4 2 3 2" xfId="33527" xr:uid="{00000000-0005-0000-0000-0000D90D0000}"/>
    <cellStyle name="Millares 2 3 3 4 2 4" xfId="23670" xr:uid="{00000000-0005-0000-0000-0000DA0D0000}"/>
    <cellStyle name="Millares 2 3 3 4 3" xfId="6416" xr:uid="{00000000-0005-0000-0000-0000DB0D0000}"/>
    <cellStyle name="Millares 2 3 3 4 3 2" xfId="16276" xr:uid="{00000000-0005-0000-0000-0000DC0D0000}"/>
    <cellStyle name="Millares 2 3 3 4 3 2 2" xfId="35991" xr:uid="{00000000-0005-0000-0000-0000DD0D0000}"/>
    <cellStyle name="Millares 2 3 3 4 3 3" xfId="26134" xr:uid="{00000000-0005-0000-0000-0000DE0D0000}"/>
    <cellStyle name="Millares 2 3 3 4 4" xfId="11348" xr:uid="{00000000-0005-0000-0000-0000DF0D0000}"/>
    <cellStyle name="Millares 2 3 3 4 4 2" xfId="31063" xr:uid="{00000000-0005-0000-0000-0000E00D0000}"/>
    <cellStyle name="Millares 2 3 3 4 5" xfId="21206" xr:uid="{00000000-0005-0000-0000-0000E10D0000}"/>
    <cellStyle name="Millares 2 3 3 5" xfId="2716" xr:uid="{00000000-0005-0000-0000-0000E20D0000}"/>
    <cellStyle name="Millares 2 3 3 5 2" xfId="7648" xr:uid="{00000000-0005-0000-0000-0000E30D0000}"/>
    <cellStyle name="Millares 2 3 3 5 2 2" xfId="17508" xr:uid="{00000000-0005-0000-0000-0000E40D0000}"/>
    <cellStyle name="Millares 2 3 3 5 2 2 2" xfId="37223" xr:uid="{00000000-0005-0000-0000-0000E50D0000}"/>
    <cellStyle name="Millares 2 3 3 5 2 3" xfId="27366" xr:uid="{00000000-0005-0000-0000-0000E60D0000}"/>
    <cellStyle name="Millares 2 3 3 5 3" xfId="12580" xr:uid="{00000000-0005-0000-0000-0000E70D0000}"/>
    <cellStyle name="Millares 2 3 3 5 3 2" xfId="32295" xr:uid="{00000000-0005-0000-0000-0000E80D0000}"/>
    <cellStyle name="Millares 2 3 3 5 4" xfId="22438" xr:uid="{00000000-0005-0000-0000-0000E90D0000}"/>
    <cellStyle name="Millares 2 3 3 6" xfId="5184" xr:uid="{00000000-0005-0000-0000-0000EA0D0000}"/>
    <cellStyle name="Millares 2 3 3 6 2" xfId="15044" xr:uid="{00000000-0005-0000-0000-0000EB0D0000}"/>
    <cellStyle name="Millares 2 3 3 6 2 2" xfId="34759" xr:uid="{00000000-0005-0000-0000-0000EC0D0000}"/>
    <cellStyle name="Millares 2 3 3 6 3" xfId="24902" xr:uid="{00000000-0005-0000-0000-0000ED0D0000}"/>
    <cellStyle name="Millares 2 3 3 7" xfId="10116" xr:uid="{00000000-0005-0000-0000-0000EE0D0000}"/>
    <cellStyle name="Millares 2 3 3 7 2" xfId="29831" xr:uid="{00000000-0005-0000-0000-0000EF0D0000}"/>
    <cellStyle name="Millares 2 3 3 8" xfId="19974" xr:uid="{00000000-0005-0000-0000-0000F00D0000}"/>
    <cellStyle name="Millares 2 3 4" xfId="396" xr:uid="{00000000-0005-0000-0000-0000F10D0000}"/>
    <cellStyle name="Millares 2 3 4 2" xfId="1016" xr:uid="{00000000-0005-0000-0000-0000F20D0000}"/>
    <cellStyle name="Millares 2 3 4 2 2" xfId="2251" xr:uid="{00000000-0005-0000-0000-0000F30D0000}"/>
    <cellStyle name="Millares 2 3 4 2 2 2" xfId="4718" xr:uid="{00000000-0005-0000-0000-0000F40D0000}"/>
    <cellStyle name="Millares 2 3 4 2 2 2 2" xfId="9650" xr:uid="{00000000-0005-0000-0000-0000F50D0000}"/>
    <cellStyle name="Millares 2 3 4 2 2 2 2 2" xfId="19510" xr:uid="{00000000-0005-0000-0000-0000F60D0000}"/>
    <cellStyle name="Millares 2 3 4 2 2 2 2 2 2" xfId="39225" xr:uid="{00000000-0005-0000-0000-0000F70D0000}"/>
    <cellStyle name="Millares 2 3 4 2 2 2 2 3" xfId="29368" xr:uid="{00000000-0005-0000-0000-0000F80D0000}"/>
    <cellStyle name="Millares 2 3 4 2 2 2 3" xfId="14582" xr:uid="{00000000-0005-0000-0000-0000F90D0000}"/>
    <cellStyle name="Millares 2 3 4 2 2 2 3 2" xfId="34297" xr:uid="{00000000-0005-0000-0000-0000FA0D0000}"/>
    <cellStyle name="Millares 2 3 4 2 2 2 4" xfId="24440" xr:uid="{00000000-0005-0000-0000-0000FB0D0000}"/>
    <cellStyle name="Millares 2 3 4 2 2 3" xfId="7186" xr:uid="{00000000-0005-0000-0000-0000FC0D0000}"/>
    <cellStyle name="Millares 2 3 4 2 2 3 2" xfId="17046" xr:uid="{00000000-0005-0000-0000-0000FD0D0000}"/>
    <cellStyle name="Millares 2 3 4 2 2 3 2 2" xfId="36761" xr:uid="{00000000-0005-0000-0000-0000FE0D0000}"/>
    <cellStyle name="Millares 2 3 4 2 2 3 3" xfId="26904" xr:uid="{00000000-0005-0000-0000-0000FF0D0000}"/>
    <cellStyle name="Millares 2 3 4 2 2 4" xfId="12118" xr:uid="{00000000-0005-0000-0000-0000000E0000}"/>
    <cellStyle name="Millares 2 3 4 2 2 4 2" xfId="31833" xr:uid="{00000000-0005-0000-0000-0000010E0000}"/>
    <cellStyle name="Millares 2 3 4 2 2 5" xfId="21976" xr:uid="{00000000-0005-0000-0000-0000020E0000}"/>
    <cellStyle name="Millares 2 3 4 2 3" xfId="3486" xr:uid="{00000000-0005-0000-0000-0000030E0000}"/>
    <cellStyle name="Millares 2 3 4 2 3 2" xfId="8418" xr:uid="{00000000-0005-0000-0000-0000040E0000}"/>
    <cellStyle name="Millares 2 3 4 2 3 2 2" xfId="18278" xr:uid="{00000000-0005-0000-0000-0000050E0000}"/>
    <cellStyle name="Millares 2 3 4 2 3 2 2 2" xfId="37993" xr:uid="{00000000-0005-0000-0000-0000060E0000}"/>
    <cellStyle name="Millares 2 3 4 2 3 2 3" xfId="28136" xr:uid="{00000000-0005-0000-0000-0000070E0000}"/>
    <cellStyle name="Millares 2 3 4 2 3 3" xfId="13350" xr:uid="{00000000-0005-0000-0000-0000080E0000}"/>
    <cellStyle name="Millares 2 3 4 2 3 3 2" xfId="33065" xr:uid="{00000000-0005-0000-0000-0000090E0000}"/>
    <cellStyle name="Millares 2 3 4 2 3 4" xfId="23208" xr:uid="{00000000-0005-0000-0000-00000A0E0000}"/>
    <cellStyle name="Millares 2 3 4 2 4" xfId="5954" xr:uid="{00000000-0005-0000-0000-00000B0E0000}"/>
    <cellStyle name="Millares 2 3 4 2 4 2" xfId="15814" xr:uid="{00000000-0005-0000-0000-00000C0E0000}"/>
    <cellStyle name="Millares 2 3 4 2 4 2 2" xfId="35529" xr:uid="{00000000-0005-0000-0000-00000D0E0000}"/>
    <cellStyle name="Millares 2 3 4 2 4 3" xfId="25672" xr:uid="{00000000-0005-0000-0000-00000E0E0000}"/>
    <cellStyle name="Millares 2 3 4 2 5" xfId="10886" xr:uid="{00000000-0005-0000-0000-00000F0E0000}"/>
    <cellStyle name="Millares 2 3 4 2 5 2" xfId="30601" xr:uid="{00000000-0005-0000-0000-0000100E0000}"/>
    <cellStyle name="Millares 2 3 4 2 6" xfId="20744" xr:uid="{00000000-0005-0000-0000-0000110E0000}"/>
    <cellStyle name="Millares 2 3 4 3" xfId="1635" xr:uid="{00000000-0005-0000-0000-0000120E0000}"/>
    <cellStyle name="Millares 2 3 4 3 2" xfId="4102" xr:uid="{00000000-0005-0000-0000-0000130E0000}"/>
    <cellStyle name="Millares 2 3 4 3 2 2" xfId="9034" xr:uid="{00000000-0005-0000-0000-0000140E0000}"/>
    <cellStyle name="Millares 2 3 4 3 2 2 2" xfId="18894" xr:uid="{00000000-0005-0000-0000-0000150E0000}"/>
    <cellStyle name="Millares 2 3 4 3 2 2 2 2" xfId="38609" xr:uid="{00000000-0005-0000-0000-0000160E0000}"/>
    <cellStyle name="Millares 2 3 4 3 2 2 3" xfId="28752" xr:uid="{00000000-0005-0000-0000-0000170E0000}"/>
    <cellStyle name="Millares 2 3 4 3 2 3" xfId="13966" xr:uid="{00000000-0005-0000-0000-0000180E0000}"/>
    <cellStyle name="Millares 2 3 4 3 2 3 2" xfId="33681" xr:uid="{00000000-0005-0000-0000-0000190E0000}"/>
    <cellStyle name="Millares 2 3 4 3 2 4" xfId="23824" xr:uid="{00000000-0005-0000-0000-00001A0E0000}"/>
    <cellStyle name="Millares 2 3 4 3 3" xfId="6570" xr:uid="{00000000-0005-0000-0000-00001B0E0000}"/>
    <cellStyle name="Millares 2 3 4 3 3 2" xfId="16430" xr:uid="{00000000-0005-0000-0000-00001C0E0000}"/>
    <cellStyle name="Millares 2 3 4 3 3 2 2" xfId="36145" xr:uid="{00000000-0005-0000-0000-00001D0E0000}"/>
    <cellStyle name="Millares 2 3 4 3 3 3" xfId="26288" xr:uid="{00000000-0005-0000-0000-00001E0E0000}"/>
    <cellStyle name="Millares 2 3 4 3 4" xfId="11502" xr:uid="{00000000-0005-0000-0000-00001F0E0000}"/>
    <cellStyle name="Millares 2 3 4 3 4 2" xfId="31217" xr:uid="{00000000-0005-0000-0000-0000200E0000}"/>
    <cellStyle name="Millares 2 3 4 3 5" xfId="21360" xr:uid="{00000000-0005-0000-0000-0000210E0000}"/>
    <cellStyle name="Millares 2 3 4 4" xfId="2870" xr:uid="{00000000-0005-0000-0000-0000220E0000}"/>
    <cellStyle name="Millares 2 3 4 4 2" xfId="7802" xr:uid="{00000000-0005-0000-0000-0000230E0000}"/>
    <cellStyle name="Millares 2 3 4 4 2 2" xfId="17662" xr:uid="{00000000-0005-0000-0000-0000240E0000}"/>
    <cellStyle name="Millares 2 3 4 4 2 2 2" xfId="37377" xr:uid="{00000000-0005-0000-0000-0000250E0000}"/>
    <cellStyle name="Millares 2 3 4 4 2 3" xfId="27520" xr:uid="{00000000-0005-0000-0000-0000260E0000}"/>
    <cellStyle name="Millares 2 3 4 4 3" xfId="12734" xr:uid="{00000000-0005-0000-0000-0000270E0000}"/>
    <cellStyle name="Millares 2 3 4 4 3 2" xfId="32449" xr:uid="{00000000-0005-0000-0000-0000280E0000}"/>
    <cellStyle name="Millares 2 3 4 4 4" xfId="22592" xr:uid="{00000000-0005-0000-0000-0000290E0000}"/>
    <cellStyle name="Millares 2 3 4 5" xfId="5338" xr:uid="{00000000-0005-0000-0000-00002A0E0000}"/>
    <cellStyle name="Millares 2 3 4 5 2" xfId="15198" xr:uid="{00000000-0005-0000-0000-00002B0E0000}"/>
    <cellStyle name="Millares 2 3 4 5 2 2" xfId="34913" xr:uid="{00000000-0005-0000-0000-00002C0E0000}"/>
    <cellStyle name="Millares 2 3 4 5 3" xfId="25056" xr:uid="{00000000-0005-0000-0000-00002D0E0000}"/>
    <cellStyle name="Millares 2 3 4 6" xfId="10270" xr:uid="{00000000-0005-0000-0000-00002E0E0000}"/>
    <cellStyle name="Millares 2 3 4 6 2" xfId="29985" xr:uid="{00000000-0005-0000-0000-00002F0E0000}"/>
    <cellStyle name="Millares 2 3 4 7" xfId="20128" xr:uid="{00000000-0005-0000-0000-0000300E0000}"/>
    <cellStyle name="Millares 2 3 5" xfId="709" xr:uid="{00000000-0005-0000-0000-0000310E0000}"/>
    <cellStyle name="Millares 2 3 5 2" xfId="1945" xr:uid="{00000000-0005-0000-0000-0000320E0000}"/>
    <cellStyle name="Millares 2 3 5 2 2" xfId="4412" xr:uid="{00000000-0005-0000-0000-0000330E0000}"/>
    <cellStyle name="Millares 2 3 5 2 2 2" xfId="9344" xr:uid="{00000000-0005-0000-0000-0000340E0000}"/>
    <cellStyle name="Millares 2 3 5 2 2 2 2" xfId="19204" xr:uid="{00000000-0005-0000-0000-0000350E0000}"/>
    <cellStyle name="Millares 2 3 5 2 2 2 2 2" xfId="38919" xr:uid="{00000000-0005-0000-0000-0000360E0000}"/>
    <cellStyle name="Millares 2 3 5 2 2 2 3" xfId="29062" xr:uid="{00000000-0005-0000-0000-0000370E0000}"/>
    <cellStyle name="Millares 2 3 5 2 2 3" xfId="14276" xr:uid="{00000000-0005-0000-0000-0000380E0000}"/>
    <cellStyle name="Millares 2 3 5 2 2 3 2" xfId="33991" xr:uid="{00000000-0005-0000-0000-0000390E0000}"/>
    <cellStyle name="Millares 2 3 5 2 2 4" xfId="24134" xr:uid="{00000000-0005-0000-0000-00003A0E0000}"/>
    <cellStyle name="Millares 2 3 5 2 3" xfId="6880" xr:uid="{00000000-0005-0000-0000-00003B0E0000}"/>
    <cellStyle name="Millares 2 3 5 2 3 2" xfId="16740" xr:uid="{00000000-0005-0000-0000-00003C0E0000}"/>
    <cellStyle name="Millares 2 3 5 2 3 2 2" xfId="36455" xr:uid="{00000000-0005-0000-0000-00003D0E0000}"/>
    <cellStyle name="Millares 2 3 5 2 3 3" xfId="26598" xr:uid="{00000000-0005-0000-0000-00003E0E0000}"/>
    <cellStyle name="Millares 2 3 5 2 4" xfId="11812" xr:uid="{00000000-0005-0000-0000-00003F0E0000}"/>
    <cellStyle name="Millares 2 3 5 2 4 2" xfId="31527" xr:uid="{00000000-0005-0000-0000-0000400E0000}"/>
    <cellStyle name="Millares 2 3 5 2 5" xfId="21670" xr:uid="{00000000-0005-0000-0000-0000410E0000}"/>
    <cellStyle name="Millares 2 3 5 3" xfId="3180" xr:uid="{00000000-0005-0000-0000-0000420E0000}"/>
    <cellStyle name="Millares 2 3 5 3 2" xfId="8112" xr:uid="{00000000-0005-0000-0000-0000430E0000}"/>
    <cellStyle name="Millares 2 3 5 3 2 2" xfId="17972" xr:uid="{00000000-0005-0000-0000-0000440E0000}"/>
    <cellStyle name="Millares 2 3 5 3 2 2 2" xfId="37687" xr:uid="{00000000-0005-0000-0000-0000450E0000}"/>
    <cellStyle name="Millares 2 3 5 3 2 3" xfId="27830" xr:uid="{00000000-0005-0000-0000-0000460E0000}"/>
    <cellStyle name="Millares 2 3 5 3 3" xfId="13044" xr:uid="{00000000-0005-0000-0000-0000470E0000}"/>
    <cellStyle name="Millares 2 3 5 3 3 2" xfId="32759" xr:uid="{00000000-0005-0000-0000-0000480E0000}"/>
    <cellStyle name="Millares 2 3 5 3 4" xfId="22902" xr:uid="{00000000-0005-0000-0000-0000490E0000}"/>
    <cellStyle name="Millares 2 3 5 4" xfId="5648" xr:uid="{00000000-0005-0000-0000-00004A0E0000}"/>
    <cellStyle name="Millares 2 3 5 4 2" xfId="15508" xr:uid="{00000000-0005-0000-0000-00004B0E0000}"/>
    <cellStyle name="Millares 2 3 5 4 2 2" xfId="35223" xr:uid="{00000000-0005-0000-0000-00004C0E0000}"/>
    <cellStyle name="Millares 2 3 5 4 3" xfId="25366" xr:uid="{00000000-0005-0000-0000-00004D0E0000}"/>
    <cellStyle name="Millares 2 3 5 5" xfId="10580" xr:uid="{00000000-0005-0000-0000-00004E0E0000}"/>
    <cellStyle name="Millares 2 3 5 5 2" xfId="30295" xr:uid="{00000000-0005-0000-0000-00004F0E0000}"/>
    <cellStyle name="Millares 2 3 5 6" xfId="20438" xr:uid="{00000000-0005-0000-0000-0000500E0000}"/>
    <cellStyle name="Millares 2 3 6" xfId="1329" xr:uid="{00000000-0005-0000-0000-0000510E0000}"/>
    <cellStyle name="Millares 2 3 6 2" xfId="3796" xr:uid="{00000000-0005-0000-0000-0000520E0000}"/>
    <cellStyle name="Millares 2 3 6 2 2" xfId="8728" xr:uid="{00000000-0005-0000-0000-0000530E0000}"/>
    <cellStyle name="Millares 2 3 6 2 2 2" xfId="18588" xr:uid="{00000000-0005-0000-0000-0000540E0000}"/>
    <cellStyle name="Millares 2 3 6 2 2 2 2" xfId="38303" xr:uid="{00000000-0005-0000-0000-0000550E0000}"/>
    <cellStyle name="Millares 2 3 6 2 2 3" xfId="28446" xr:uid="{00000000-0005-0000-0000-0000560E0000}"/>
    <cellStyle name="Millares 2 3 6 2 3" xfId="13660" xr:uid="{00000000-0005-0000-0000-0000570E0000}"/>
    <cellStyle name="Millares 2 3 6 2 3 2" xfId="33375" xr:uid="{00000000-0005-0000-0000-0000580E0000}"/>
    <cellStyle name="Millares 2 3 6 2 4" xfId="23518" xr:uid="{00000000-0005-0000-0000-0000590E0000}"/>
    <cellStyle name="Millares 2 3 6 3" xfId="6264" xr:uid="{00000000-0005-0000-0000-00005A0E0000}"/>
    <cellStyle name="Millares 2 3 6 3 2" xfId="16124" xr:uid="{00000000-0005-0000-0000-00005B0E0000}"/>
    <cellStyle name="Millares 2 3 6 3 2 2" xfId="35839" xr:uid="{00000000-0005-0000-0000-00005C0E0000}"/>
    <cellStyle name="Millares 2 3 6 3 3" xfId="25982" xr:uid="{00000000-0005-0000-0000-00005D0E0000}"/>
    <cellStyle name="Millares 2 3 6 4" xfId="11196" xr:uid="{00000000-0005-0000-0000-00005E0E0000}"/>
    <cellStyle name="Millares 2 3 6 4 2" xfId="30911" xr:uid="{00000000-0005-0000-0000-00005F0E0000}"/>
    <cellStyle name="Millares 2 3 6 5" xfId="21054" xr:uid="{00000000-0005-0000-0000-0000600E0000}"/>
    <cellStyle name="Millares 2 3 7" xfId="2564" xr:uid="{00000000-0005-0000-0000-0000610E0000}"/>
    <cellStyle name="Millares 2 3 7 2" xfId="7496" xr:uid="{00000000-0005-0000-0000-0000620E0000}"/>
    <cellStyle name="Millares 2 3 7 2 2" xfId="17356" xr:uid="{00000000-0005-0000-0000-0000630E0000}"/>
    <cellStyle name="Millares 2 3 7 2 2 2" xfId="37071" xr:uid="{00000000-0005-0000-0000-0000640E0000}"/>
    <cellStyle name="Millares 2 3 7 2 3" xfId="27214" xr:uid="{00000000-0005-0000-0000-0000650E0000}"/>
    <cellStyle name="Millares 2 3 7 3" xfId="12428" xr:uid="{00000000-0005-0000-0000-0000660E0000}"/>
    <cellStyle name="Millares 2 3 7 3 2" xfId="32143" xr:uid="{00000000-0005-0000-0000-0000670E0000}"/>
    <cellStyle name="Millares 2 3 7 4" xfId="22286" xr:uid="{00000000-0005-0000-0000-0000680E0000}"/>
    <cellStyle name="Millares 2 3 8" xfId="5032" xr:uid="{00000000-0005-0000-0000-0000690E0000}"/>
    <cellStyle name="Millares 2 3 8 2" xfId="14892" xr:uid="{00000000-0005-0000-0000-00006A0E0000}"/>
    <cellStyle name="Millares 2 3 8 2 2" xfId="34607" xr:uid="{00000000-0005-0000-0000-00006B0E0000}"/>
    <cellStyle name="Millares 2 3 8 3" xfId="24750" xr:uid="{00000000-0005-0000-0000-00006C0E0000}"/>
    <cellStyle name="Millares 2 3 9" xfId="9964" xr:uid="{00000000-0005-0000-0000-00006D0E0000}"/>
    <cellStyle name="Millares 2 3 9 2" xfId="29679" xr:uid="{00000000-0005-0000-0000-00006E0E0000}"/>
    <cellStyle name="Millares 2 4" xfId="115" xr:uid="{00000000-0005-0000-0000-00006F0E0000}"/>
    <cellStyle name="Millares 2 4 2" xfId="272" xr:uid="{00000000-0005-0000-0000-0000700E0000}"/>
    <cellStyle name="Millares 2 4 2 2" xfId="586" xr:uid="{00000000-0005-0000-0000-0000710E0000}"/>
    <cellStyle name="Millares 2 4 2 2 2" xfId="1206" xr:uid="{00000000-0005-0000-0000-0000720E0000}"/>
    <cellStyle name="Millares 2 4 2 2 2 2" xfId="2441" xr:uid="{00000000-0005-0000-0000-0000730E0000}"/>
    <cellStyle name="Millares 2 4 2 2 2 2 2" xfId="4908" xr:uid="{00000000-0005-0000-0000-0000740E0000}"/>
    <cellStyle name="Millares 2 4 2 2 2 2 2 2" xfId="9840" xr:uid="{00000000-0005-0000-0000-0000750E0000}"/>
    <cellStyle name="Millares 2 4 2 2 2 2 2 2 2" xfId="19700" xr:uid="{00000000-0005-0000-0000-0000760E0000}"/>
    <cellStyle name="Millares 2 4 2 2 2 2 2 2 2 2" xfId="39415" xr:uid="{00000000-0005-0000-0000-0000770E0000}"/>
    <cellStyle name="Millares 2 4 2 2 2 2 2 2 3" xfId="29558" xr:uid="{00000000-0005-0000-0000-0000780E0000}"/>
    <cellStyle name="Millares 2 4 2 2 2 2 2 3" xfId="14772" xr:uid="{00000000-0005-0000-0000-0000790E0000}"/>
    <cellStyle name="Millares 2 4 2 2 2 2 2 3 2" xfId="34487" xr:uid="{00000000-0005-0000-0000-00007A0E0000}"/>
    <cellStyle name="Millares 2 4 2 2 2 2 2 4" xfId="24630" xr:uid="{00000000-0005-0000-0000-00007B0E0000}"/>
    <cellStyle name="Millares 2 4 2 2 2 2 3" xfId="7376" xr:uid="{00000000-0005-0000-0000-00007C0E0000}"/>
    <cellStyle name="Millares 2 4 2 2 2 2 3 2" xfId="17236" xr:uid="{00000000-0005-0000-0000-00007D0E0000}"/>
    <cellStyle name="Millares 2 4 2 2 2 2 3 2 2" xfId="36951" xr:uid="{00000000-0005-0000-0000-00007E0E0000}"/>
    <cellStyle name="Millares 2 4 2 2 2 2 3 3" xfId="27094" xr:uid="{00000000-0005-0000-0000-00007F0E0000}"/>
    <cellStyle name="Millares 2 4 2 2 2 2 4" xfId="12308" xr:uid="{00000000-0005-0000-0000-0000800E0000}"/>
    <cellStyle name="Millares 2 4 2 2 2 2 4 2" xfId="32023" xr:uid="{00000000-0005-0000-0000-0000810E0000}"/>
    <cellStyle name="Millares 2 4 2 2 2 2 5" xfId="22166" xr:uid="{00000000-0005-0000-0000-0000820E0000}"/>
    <cellStyle name="Millares 2 4 2 2 2 3" xfId="3676" xr:uid="{00000000-0005-0000-0000-0000830E0000}"/>
    <cellStyle name="Millares 2 4 2 2 2 3 2" xfId="8608" xr:uid="{00000000-0005-0000-0000-0000840E0000}"/>
    <cellStyle name="Millares 2 4 2 2 2 3 2 2" xfId="18468" xr:uid="{00000000-0005-0000-0000-0000850E0000}"/>
    <cellStyle name="Millares 2 4 2 2 2 3 2 2 2" xfId="38183" xr:uid="{00000000-0005-0000-0000-0000860E0000}"/>
    <cellStyle name="Millares 2 4 2 2 2 3 2 3" xfId="28326" xr:uid="{00000000-0005-0000-0000-0000870E0000}"/>
    <cellStyle name="Millares 2 4 2 2 2 3 3" xfId="13540" xr:uid="{00000000-0005-0000-0000-0000880E0000}"/>
    <cellStyle name="Millares 2 4 2 2 2 3 3 2" xfId="33255" xr:uid="{00000000-0005-0000-0000-0000890E0000}"/>
    <cellStyle name="Millares 2 4 2 2 2 3 4" xfId="23398" xr:uid="{00000000-0005-0000-0000-00008A0E0000}"/>
    <cellStyle name="Millares 2 4 2 2 2 4" xfId="6144" xr:uid="{00000000-0005-0000-0000-00008B0E0000}"/>
    <cellStyle name="Millares 2 4 2 2 2 4 2" xfId="16004" xr:uid="{00000000-0005-0000-0000-00008C0E0000}"/>
    <cellStyle name="Millares 2 4 2 2 2 4 2 2" xfId="35719" xr:uid="{00000000-0005-0000-0000-00008D0E0000}"/>
    <cellStyle name="Millares 2 4 2 2 2 4 3" xfId="25862" xr:uid="{00000000-0005-0000-0000-00008E0E0000}"/>
    <cellStyle name="Millares 2 4 2 2 2 5" xfId="11076" xr:uid="{00000000-0005-0000-0000-00008F0E0000}"/>
    <cellStyle name="Millares 2 4 2 2 2 5 2" xfId="30791" xr:uid="{00000000-0005-0000-0000-0000900E0000}"/>
    <cellStyle name="Millares 2 4 2 2 2 6" xfId="20934" xr:uid="{00000000-0005-0000-0000-0000910E0000}"/>
    <cellStyle name="Millares 2 4 2 2 3" xfId="1825" xr:uid="{00000000-0005-0000-0000-0000920E0000}"/>
    <cellStyle name="Millares 2 4 2 2 3 2" xfId="4292" xr:uid="{00000000-0005-0000-0000-0000930E0000}"/>
    <cellStyle name="Millares 2 4 2 2 3 2 2" xfId="9224" xr:uid="{00000000-0005-0000-0000-0000940E0000}"/>
    <cellStyle name="Millares 2 4 2 2 3 2 2 2" xfId="19084" xr:uid="{00000000-0005-0000-0000-0000950E0000}"/>
    <cellStyle name="Millares 2 4 2 2 3 2 2 2 2" xfId="38799" xr:uid="{00000000-0005-0000-0000-0000960E0000}"/>
    <cellStyle name="Millares 2 4 2 2 3 2 2 3" xfId="28942" xr:uid="{00000000-0005-0000-0000-0000970E0000}"/>
    <cellStyle name="Millares 2 4 2 2 3 2 3" xfId="14156" xr:uid="{00000000-0005-0000-0000-0000980E0000}"/>
    <cellStyle name="Millares 2 4 2 2 3 2 3 2" xfId="33871" xr:uid="{00000000-0005-0000-0000-0000990E0000}"/>
    <cellStyle name="Millares 2 4 2 2 3 2 4" xfId="24014" xr:uid="{00000000-0005-0000-0000-00009A0E0000}"/>
    <cellStyle name="Millares 2 4 2 2 3 3" xfId="6760" xr:uid="{00000000-0005-0000-0000-00009B0E0000}"/>
    <cellStyle name="Millares 2 4 2 2 3 3 2" xfId="16620" xr:uid="{00000000-0005-0000-0000-00009C0E0000}"/>
    <cellStyle name="Millares 2 4 2 2 3 3 2 2" xfId="36335" xr:uid="{00000000-0005-0000-0000-00009D0E0000}"/>
    <cellStyle name="Millares 2 4 2 2 3 3 3" xfId="26478" xr:uid="{00000000-0005-0000-0000-00009E0E0000}"/>
    <cellStyle name="Millares 2 4 2 2 3 4" xfId="11692" xr:uid="{00000000-0005-0000-0000-00009F0E0000}"/>
    <cellStyle name="Millares 2 4 2 2 3 4 2" xfId="31407" xr:uid="{00000000-0005-0000-0000-0000A00E0000}"/>
    <cellStyle name="Millares 2 4 2 2 3 5" xfId="21550" xr:uid="{00000000-0005-0000-0000-0000A10E0000}"/>
    <cellStyle name="Millares 2 4 2 2 4" xfId="3060" xr:uid="{00000000-0005-0000-0000-0000A20E0000}"/>
    <cellStyle name="Millares 2 4 2 2 4 2" xfId="7992" xr:uid="{00000000-0005-0000-0000-0000A30E0000}"/>
    <cellStyle name="Millares 2 4 2 2 4 2 2" xfId="17852" xr:uid="{00000000-0005-0000-0000-0000A40E0000}"/>
    <cellStyle name="Millares 2 4 2 2 4 2 2 2" xfId="37567" xr:uid="{00000000-0005-0000-0000-0000A50E0000}"/>
    <cellStyle name="Millares 2 4 2 2 4 2 3" xfId="27710" xr:uid="{00000000-0005-0000-0000-0000A60E0000}"/>
    <cellStyle name="Millares 2 4 2 2 4 3" xfId="12924" xr:uid="{00000000-0005-0000-0000-0000A70E0000}"/>
    <cellStyle name="Millares 2 4 2 2 4 3 2" xfId="32639" xr:uid="{00000000-0005-0000-0000-0000A80E0000}"/>
    <cellStyle name="Millares 2 4 2 2 4 4" xfId="22782" xr:uid="{00000000-0005-0000-0000-0000A90E0000}"/>
    <cellStyle name="Millares 2 4 2 2 5" xfId="5528" xr:uid="{00000000-0005-0000-0000-0000AA0E0000}"/>
    <cellStyle name="Millares 2 4 2 2 5 2" xfId="15388" xr:uid="{00000000-0005-0000-0000-0000AB0E0000}"/>
    <cellStyle name="Millares 2 4 2 2 5 2 2" xfId="35103" xr:uid="{00000000-0005-0000-0000-0000AC0E0000}"/>
    <cellStyle name="Millares 2 4 2 2 5 3" xfId="25246" xr:uid="{00000000-0005-0000-0000-0000AD0E0000}"/>
    <cellStyle name="Millares 2 4 2 2 6" xfId="10460" xr:uid="{00000000-0005-0000-0000-0000AE0E0000}"/>
    <cellStyle name="Millares 2 4 2 2 6 2" xfId="30175" xr:uid="{00000000-0005-0000-0000-0000AF0E0000}"/>
    <cellStyle name="Millares 2 4 2 2 7" xfId="20318" xr:uid="{00000000-0005-0000-0000-0000B00E0000}"/>
    <cellStyle name="Millares 2 4 2 3" xfId="899" xr:uid="{00000000-0005-0000-0000-0000B10E0000}"/>
    <cellStyle name="Millares 2 4 2 3 2" xfId="2135" xr:uid="{00000000-0005-0000-0000-0000B20E0000}"/>
    <cellStyle name="Millares 2 4 2 3 2 2" xfId="4602" xr:uid="{00000000-0005-0000-0000-0000B30E0000}"/>
    <cellStyle name="Millares 2 4 2 3 2 2 2" xfId="9534" xr:uid="{00000000-0005-0000-0000-0000B40E0000}"/>
    <cellStyle name="Millares 2 4 2 3 2 2 2 2" xfId="19394" xr:uid="{00000000-0005-0000-0000-0000B50E0000}"/>
    <cellStyle name="Millares 2 4 2 3 2 2 2 2 2" xfId="39109" xr:uid="{00000000-0005-0000-0000-0000B60E0000}"/>
    <cellStyle name="Millares 2 4 2 3 2 2 2 3" xfId="29252" xr:uid="{00000000-0005-0000-0000-0000B70E0000}"/>
    <cellStyle name="Millares 2 4 2 3 2 2 3" xfId="14466" xr:uid="{00000000-0005-0000-0000-0000B80E0000}"/>
    <cellStyle name="Millares 2 4 2 3 2 2 3 2" xfId="34181" xr:uid="{00000000-0005-0000-0000-0000B90E0000}"/>
    <cellStyle name="Millares 2 4 2 3 2 2 4" xfId="24324" xr:uid="{00000000-0005-0000-0000-0000BA0E0000}"/>
    <cellStyle name="Millares 2 4 2 3 2 3" xfId="7070" xr:uid="{00000000-0005-0000-0000-0000BB0E0000}"/>
    <cellStyle name="Millares 2 4 2 3 2 3 2" xfId="16930" xr:uid="{00000000-0005-0000-0000-0000BC0E0000}"/>
    <cellStyle name="Millares 2 4 2 3 2 3 2 2" xfId="36645" xr:uid="{00000000-0005-0000-0000-0000BD0E0000}"/>
    <cellStyle name="Millares 2 4 2 3 2 3 3" xfId="26788" xr:uid="{00000000-0005-0000-0000-0000BE0E0000}"/>
    <cellStyle name="Millares 2 4 2 3 2 4" xfId="12002" xr:uid="{00000000-0005-0000-0000-0000BF0E0000}"/>
    <cellStyle name="Millares 2 4 2 3 2 4 2" xfId="31717" xr:uid="{00000000-0005-0000-0000-0000C00E0000}"/>
    <cellStyle name="Millares 2 4 2 3 2 5" xfId="21860" xr:uid="{00000000-0005-0000-0000-0000C10E0000}"/>
    <cellStyle name="Millares 2 4 2 3 3" xfId="3370" xr:uid="{00000000-0005-0000-0000-0000C20E0000}"/>
    <cellStyle name="Millares 2 4 2 3 3 2" xfId="8302" xr:uid="{00000000-0005-0000-0000-0000C30E0000}"/>
    <cellStyle name="Millares 2 4 2 3 3 2 2" xfId="18162" xr:uid="{00000000-0005-0000-0000-0000C40E0000}"/>
    <cellStyle name="Millares 2 4 2 3 3 2 2 2" xfId="37877" xr:uid="{00000000-0005-0000-0000-0000C50E0000}"/>
    <cellStyle name="Millares 2 4 2 3 3 2 3" xfId="28020" xr:uid="{00000000-0005-0000-0000-0000C60E0000}"/>
    <cellStyle name="Millares 2 4 2 3 3 3" xfId="13234" xr:uid="{00000000-0005-0000-0000-0000C70E0000}"/>
    <cellStyle name="Millares 2 4 2 3 3 3 2" xfId="32949" xr:uid="{00000000-0005-0000-0000-0000C80E0000}"/>
    <cellStyle name="Millares 2 4 2 3 3 4" xfId="23092" xr:uid="{00000000-0005-0000-0000-0000C90E0000}"/>
    <cellStyle name="Millares 2 4 2 3 4" xfId="5838" xr:uid="{00000000-0005-0000-0000-0000CA0E0000}"/>
    <cellStyle name="Millares 2 4 2 3 4 2" xfId="15698" xr:uid="{00000000-0005-0000-0000-0000CB0E0000}"/>
    <cellStyle name="Millares 2 4 2 3 4 2 2" xfId="35413" xr:uid="{00000000-0005-0000-0000-0000CC0E0000}"/>
    <cellStyle name="Millares 2 4 2 3 4 3" xfId="25556" xr:uid="{00000000-0005-0000-0000-0000CD0E0000}"/>
    <cellStyle name="Millares 2 4 2 3 5" xfId="10770" xr:uid="{00000000-0005-0000-0000-0000CE0E0000}"/>
    <cellStyle name="Millares 2 4 2 3 5 2" xfId="30485" xr:uid="{00000000-0005-0000-0000-0000CF0E0000}"/>
    <cellStyle name="Millares 2 4 2 3 6" xfId="20628" xr:uid="{00000000-0005-0000-0000-0000D00E0000}"/>
    <cellStyle name="Millares 2 4 2 4" xfId="1519" xr:uid="{00000000-0005-0000-0000-0000D10E0000}"/>
    <cellStyle name="Millares 2 4 2 4 2" xfId="3986" xr:uid="{00000000-0005-0000-0000-0000D20E0000}"/>
    <cellStyle name="Millares 2 4 2 4 2 2" xfId="8918" xr:uid="{00000000-0005-0000-0000-0000D30E0000}"/>
    <cellStyle name="Millares 2 4 2 4 2 2 2" xfId="18778" xr:uid="{00000000-0005-0000-0000-0000D40E0000}"/>
    <cellStyle name="Millares 2 4 2 4 2 2 2 2" xfId="38493" xr:uid="{00000000-0005-0000-0000-0000D50E0000}"/>
    <cellStyle name="Millares 2 4 2 4 2 2 3" xfId="28636" xr:uid="{00000000-0005-0000-0000-0000D60E0000}"/>
    <cellStyle name="Millares 2 4 2 4 2 3" xfId="13850" xr:uid="{00000000-0005-0000-0000-0000D70E0000}"/>
    <cellStyle name="Millares 2 4 2 4 2 3 2" xfId="33565" xr:uid="{00000000-0005-0000-0000-0000D80E0000}"/>
    <cellStyle name="Millares 2 4 2 4 2 4" xfId="23708" xr:uid="{00000000-0005-0000-0000-0000D90E0000}"/>
    <cellStyle name="Millares 2 4 2 4 3" xfId="6454" xr:uid="{00000000-0005-0000-0000-0000DA0E0000}"/>
    <cellStyle name="Millares 2 4 2 4 3 2" xfId="16314" xr:uid="{00000000-0005-0000-0000-0000DB0E0000}"/>
    <cellStyle name="Millares 2 4 2 4 3 2 2" xfId="36029" xr:uid="{00000000-0005-0000-0000-0000DC0E0000}"/>
    <cellStyle name="Millares 2 4 2 4 3 3" xfId="26172" xr:uid="{00000000-0005-0000-0000-0000DD0E0000}"/>
    <cellStyle name="Millares 2 4 2 4 4" xfId="11386" xr:uid="{00000000-0005-0000-0000-0000DE0E0000}"/>
    <cellStyle name="Millares 2 4 2 4 4 2" xfId="31101" xr:uid="{00000000-0005-0000-0000-0000DF0E0000}"/>
    <cellStyle name="Millares 2 4 2 4 5" xfId="21244" xr:uid="{00000000-0005-0000-0000-0000E00E0000}"/>
    <cellStyle name="Millares 2 4 2 5" xfId="2754" xr:uid="{00000000-0005-0000-0000-0000E10E0000}"/>
    <cellStyle name="Millares 2 4 2 5 2" xfId="7686" xr:uid="{00000000-0005-0000-0000-0000E20E0000}"/>
    <cellStyle name="Millares 2 4 2 5 2 2" xfId="17546" xr:uid="{00000000-0005-0000-0000-0000E30E0000}"/>
    <cellStyle name="Millares 2 4 2 5 2 2 2" xfId="37261" xr:uid="{00000000-0005-0000-0000-0000E40E0000}"/>
    <cellStyle name="Millares 2 4 2 5 2 3" xfId="27404" xr:uid="{00000000-0005-0000-0000-0000E50E0000}"/>
    <cellStyle name="Millares 2 4 2 5 3" xfId="12618" xr:uid="{00000000-0005-0000-0000-0000E60E0000}"/>
    <cellStyle name="Millares 2 4 2 5 3 2" xfId="32333" xr:uid="{00000000-0005-0000-0000-0000E70E0000}"/>
    <cellStyle name="Millares 2 4 2 5 4" xfId="22476" xr:uid="{00000000-0005-0000-0000-0000E80E0000}"/>
    <cellStyle name="Millares 2 4 2 6" xfId="5222" xr:uid="{00000000-0005-0000-0000-0000E90E0000}"/>
    <cellStyle name="Millares 2 4 2 6 2" xfId="15082" xr:uid="{00000000-0005-0000-0000-0000EA0E0000}"/>
    <cellStyle name="Millares 2 4 2 6 2 2" xfId="34797" xr:uid="{00000000-0005-0000-0000-0000EB0E0000}"/>
    <cellStyle name="Millares 2 4 2 6 3" xfId="24940" xr:uid="{00000000-0005-0000-0000-0000EC0E0000}"/>
    <cellStyle name="Millares 2 4 2 7" xfId="10154" xr:uid="{00000000-0005-0000-0000-0000ED0E0000}"/>
    <cellStyle name="Millares 2 4 2 7 2" xfId="29869" xr:uid="{00000000-0005-0000-0000-0000EE0E0000}"/>
    <cellStyle name="Millares 2 4 2 8" xfId="20012" xr:uid="{00000000-0005-0000-0000-0000EF0E0000}"/>
    <cellStyle name="Millares 2 4 3" xfId="434" xr:uid="{00000000-0005-0000-0000-0000F00E0000}"/>
    <cellStyle name="Millares 2 4 3 2" xfId="1054" xr:uid="{00000000-0005-0000-0000-0000F10E0000}"/>
    <cellStyle name="Millares 2 4 3 2 2" xfId="2289" xr:uid="{00000000-0005-0000-0000-0000F20E0000}"/>
    <cellStyle name="Millares 2 4 3 2 2 2" xfId="4756" xr:uid="{00000000-0005-0000-0000-0000F30E0000}"/>
    <cellStyle name="Millares 2 4 3 2 2 2 2" xfId="9688" xr:uid="{00000000-0005-0000-0000-0000F40E0000}"/>
    <cellStyle name="Millares 2 4 3 2 2 2 2 2" xfId="19548" xr:uid="{00000000-0005-0000-0000-0000F50E0000}"/>
    <cellStyle name="Millares 2 4 3 2 2 2 2 2 2" xfId="39263" xr:uid="{00000000-0005-0000-0000-0000F60E0000}"/>
    <cellStyle name="Millares 2 4 3 2 2 2 2 3" xfId="29406" xr:uid="{00000000-0005-0000-0000-0000F70E0000}"/>
    <cellStyle name="Millares 2 4 3 2 2 2 3" xfId="14620" xr:uid="{00000000-0005-0000-0000-0000F80E0000}"/>
    <cellStyle name="Millares 2 4 3 2 2 2 3 2" xfId="34335" xr:uid="{00000000-0005-0000-0000-0000F90E0000}"/>
    <cellStyle name="Millares 2 4 3 2 2 2 4" xfId="24478" xr:uid="{00000000-0005-0000-0000-0000FA0E0000}"/>
    <cellStyle name="Millares 2 4 3 2 2 3" xfId="7224" xr:uid="{00000000-0005-0000-0000-0000FB0E0000}"/>
    <cellStyle name="Millares 2 4 3 2 2 3 2" xfId="17084" xr:uid="{00000000-0005-0000-0000-0000FC0E0000}"/>
    <cellStyle name="Millares 2 4 3 2 2 3 2 2" xfId="36799" xr:uid="{00000000-0005-0000-0000-0000FD0E0000}"/>
    <cellStyle name="Millares 2 4 3 2 2 3 3" xfId="26942" xr:uid="{00000000-0005-0000-0000-0000FE0E0000}"/>
    <cellStyle name="Millares 2 4 3 2 2 4" xfId="12156" xr:uid="{00000000-0005-0000-0000-0000FF0E0000}"/>
    <cellStyle name="Millares 2 4 3 2 2 4 2" xfId="31871" xr:uid="{00000000-0005-0000-0000-0000000F0000}"/>
    <cellStyle name="Millares 2 4 3 2 2 5" xfId="22014" xr:uid="{00000000-0005-0000-0000-0000010F0000}"/>
    <cellStyle name="Millares 2 4 3 2 3" xfId="3524" xr:uid="{00000000-0005-0000-0000-0000020F0000}"/>
    <cellStyle name="Millares 2 4 3 2 3 2" xfId="8456" xr:uid="{00000000-0005-0000-0000-0000030F0000}"/>
    <cellStyle name="Millares 2 4 3 2 3 2 2" xfId="18316" xr:uid="{00000000-0005-0000-0000-0000040F0000}"/>
    <cellStyle name="Millares 2 4 3 2 3 2 2 2" xfId="38031" xr:uid="{00000000-0005-0000-0000-0000050F0000}"/>
    <cellStyle name="Millares 2 4 3 2 3 2 3" xfId="28174" xr:uid="{00000000-0005-0000-0000-0000060F0000}"/>
    <cellStyle name="Millares 2 4 3 2 3 3" xfId="13388" xr:uid="{00000000-0005-0000-0000-0000070F0000}"/>
    <cellStyle name="Millares 2 4 3 2 3 3 2" xfId="33103" xr:uid="{00000000-0005-0000-0000-0000080F0000}"/>
    <cellStyle name="Millares 2 4 3 2 3 4" xfId="23246" xr:uid="{00000000-0005-0000-0000-0000090F0000}"/>
    <cellStyle name="Millares 2 4 3 2 4" xfId="5992" xr:uid="{00000000-0005-0000-0000-00000A0F0000}"/>
    <cellStyle name="Millares 2 4 3 2 4 2" xfId="15852" xr:uid="{00000000-0005-0000-0000-00000B0F0000}"/>
    <cellStyle name="Millares 2 4 3 2 4 2 2" xfId="35567" xr:uid="{00000000-0005-0000-0000-00000C0F0000}"/>
    <cellStyle name="Millares 2 4 3 2 4 3" xfId="25710" xr:uid="{00000000-0005-0000-0000-00000D0F0000}"/>
    <cellStyle name="Millares 2 4 3 2 5" xfId="10924" xr:uid="{00000000-0005-0000-0000-00000E0F0000}"/>
    <cellStyle name="Millares 2 4 3 2 5 2" xfId="30639" xr:uid="{00000000-0005-0000-0000-00000F0F0000}"/>
    <cellStyle name="Millares 2 4 3 2 6" xfId="20782" xr:uid="{00000000-0005-0000-0000-0000100F0000}"/>
    <cellStyle name="Millares 2 4 3 3" xfId="1673" xr:uid="{00000000-0005-0000-0000-0000110F0000}"/>
    <cellStyle name="Millares 2 4 3 3 2" xfId="4140" xr:uid="{00000000-0005-0000-0000-0000120F0000}"/>
    <cellStyle name="Millares 2 4 3 3 2 2" xfId="9072" xr:uid="{00000000-0005-0000-0000-0000130F0000}"/>
    <cellStyle name="Millares 2 4 3 3 2 2 2" xfId="18932" xr:uid="{00000000-0005-0000-0000-0000140F0000}"/>
    <cellStyle name="Millares 2 4 3 3 2 2 2 2" xfId="38647" xr:uid="{00000000-0005-0000-0000-0000150F0000}"/>
    <cellStyle name="Millares 2 4 3 3 2 2 3" xfId="28790" xr:uid="{00000000-0005-0000-0000-0000160F0000}"/>
    <cellStyle name="Millares 2 4 3 3 2 3" xfId="14004" xr:uid="{00000000-0005-0000-0000-0000170F0000}"/>
    <cellStyle name="Millares 2 4 3 3 2 3 2" xfId="33719" xr:uid="{00000000-0005-0000-0000-0000180F0000}"/>
    <cellStyle name="Millares 2 4 3 3 2 4" xfId="23862" xr:uid="{00000000-0005-0000-0000-0000190F0000}"/>
    <cellStyle name="Millares 2 4 3 3 3" xfId="6608" xr:uid="{00000000-0005-0000-0000-00001A0F0000}"/>
    <cellStyle name="Millares 2 4 3 3 3 2" xfId="16468" xr:uid="{00000000-0005-0000-0000-00001B0F0000}"/>
    <cellStyle name="Millares 2 4 3 3 3 2 2" xfId="36183" xr:uid="{00000000-0005-0000-0000-00001C0F0000}"/>
    <cellStyle name="Millares 2 4 3 3 3 3" xfId="26326" xr:uid="{00000000-0005-0000-0000-00001D0F0000}"/>
    <cellStyle name="Millares 2 4 3 3 4" xfId="11540" xr:uid="{00000000-0005-0000-0000-00001E0F0000}"/>
    <cellStyle name="Millares 2 4 3 3 4 2" xfId="31255" xr:uid="{00000000-0005-0000-0000-00001F0F0000}"/>
    <cellStyle name="Millares 2 4 3 3 5" xfId="21398" xr:uid="{00000000-0005-0000-0000-0000200F0000}"/>
    <cellStyle name="Millares 2 4 3 4" xfId="2908" xr:uid="{00000000-0005-0000-0000-0000210F0000}"/>
    <cellStyle name="Millares 2 4 3 4 2" xfId="7840" xr:uid="{00000000-0005-0000-0000-0000220F0000}"/>
    <cellStyle name="Millares 2 4 3 4 2 2" xfId="17700" xr:uid="{00000000-0005-0000-0000-0000230F0000}"/>
    <cellStyle name="Millares 2 4 3 4 2 2 2" xfId="37415" xr:uid="{00000000-0005-0000-0000-0000240F0000}"/>
    <cellStyle name="Millares 2 4 3 4 2 3" xfId="27558" xr:uid="{00000000-0005-0000-0000-0000250F0000}"/>
    <cellStyle name="Millares 2 4 3 4 3" xfId="12772" xr:uid="{00000000-0005-0000-0000-0000260F0000}"/>
    <cellStyle name="Millares 2 4 3 4 3 2" xfId="32487" xr:uid="{00000000-0005-0000-0000-0000270F0000}"/>
    <cellStyle name="Millares 2 4 3 4 4" xfId="22630" xr:uid="{00000000-0005-0000-0000-0000280F0000}"/>
    <cellStyle name="Millares 2 4 3 5" xfId="5376" xr:uid="{00000000-0005-0000-0000-0000290F0000}"/>
    <cellStyle name="Millares 2 4 3 5 2" xfId="15236" xr:uid="{00000000-0005-0000-0000-00002A0F0000}"/>
    <cellStyle name="Millares 2 4 3 5 2 2" xfId="34951" xr:uid="{00000000-0005-0000-0000-00002B0F0000}"/>
    <cellStyle name="Millares 2 4 3 5 3" xfId="25094" xr:uid="{00000000-0005-0000-0000-00002C0F0000}"/>
    <cellStyle name="Millares 2 4 3 6" xfId="10308" xr:uid="{00000000-0005-0000-0000-00002D0F0000}"/>
    <cellStyle name="Millares 2 4 3 6 2" xfId="30023" xr:uid="{00000000-0005-0000-0000-00002E0F0000}"/>
    <cellStyle name="Millares 2 4 3 7" xfId="20166" xr:uid="{00000000-0005-0000-0000-00002F0F0000}"/>
    <cellStyle name="Millares 2 4 4" xfId="747" xr:uid="{00000000-0005-0000-0000-0000300F0000}"/>
    <cellStyle name="Millares 2 4 4 2" xfId="1983" xr:uid="{00000000-0005-0000-0000-0000310F0000}"/>
    <cellStyle name="Millares 2 4 4 2 2" xfId="4450" xr:uid="{00000000-0005-0000-0000-0000320F0000}"/>
    <cellStyle name="Millares 2 4 4 2 2 2" xfId="9382" xr:uid="{00000000-0005-0000-0000-0000330F0000}"/>
    <cellStyle name="Millares 2 4 4 2 2 2 2" xfId="19242" xr:uid="{00000000-0005-0000-0000-0000340F0000}"/>
    <cellStyle name="Millares 2 4 4 2 2 2 2 2" xfId="38957" xr:uid="{00000000-0005-0000-0000-0000350F0000}"/>
    <cellStyle name="Millares 2 4 4 2 2 2 3" xfId="29100" xr:uid="{00000000-0005-0000-0000-0000360F0000}"/>
    <cellStyle name="Millares 2 4 4 2 2 3" xfId="14314" xr:uid="{00000000-0005-0000-0000-0000370F0000}"/>
    <cellStyle name="Millares 2 4 4 2 2 3 2" xfId="34029" xr:uid="{00000000-0005-0000-0000-0000380F0000}"/>
    <cellStyle name="Millares 2 4 4 2 2 4" xfId="24172" xr:uid="{00000000-0005-0000-0000-0000390F0000}"/>
    <cellStyle name="Millares 2 4 4 2 3" xfId="6918" xr:uid="{00000000-0005-0000-0000-00003A0F0000}"/>
    <cellStyle name="Millares 2 4 4 2 3 2" xfId="16778" xr:uid="{00000000-0005-0000-0000-00003B0F0000}"/>
    <cellStyle name="Millares 2 4 4 2 3 2 2" xfId="36493" xr:uid="{00000000-0005-0000-0000-00003C0F0000}"/>
    <cellStyle name="Millares 2 4 4 2 3 3" xfId="26636" xr:uid="{00000000-0005-0000-0000-00003D0F0000}"/>
    <cellStyle name="Millares 2 4 4 2 4" xfId="11850" xr:uid="{00000000-0005-0000-0000-00003E0F0000}"/>
    <cellStyle name="Millares 2 4 4 2 4 2" xfId="31565" xr:uid="{00000000-0005-0000-0000-00003F0F0000}"/>
    <cellStyle name="Millares 2 4 4 2 5" xfId="21708" xr:uid="{00000000-0005-0000-0000-0000400F0000}"/>
    <cellStyle name="Millares 2 4 4 3" xfId="3218" xr:uid="{00000000-0005-0000-0000-0000410F0000}"/>
    <cellStyle name="Millares 2 4 4 3 2" xfId="8150" xr:uid="{00000000-0005-0000-0000-0000420F0000}"/>
    <cellStyle name="Millares 2 4 4 3 2 2" xfId="18010" xr:uid="{00000000-0005-0000-0000-0000430F0000}"/>
    <cellStyle name="Millares 2 4 4 3 2 2 2" xfId="37725" xr:uid="{00000000-0005-0000-0000-0000440F0000}"/>
    <cellStyle name="Millares 2 4 4 3 2 3" xfId="27868" xr:uid="{00000000-0005-0000-0000-0000450F0000}"/>
    <cellStyle name="Millares 2 4 4 3 3" xfId="13082" xr:uid="{00000000-0005-0000-0000-0000460F0000}"/>
    <cellStyle name="Millares 2 4 4 3 3 2" xfId="32797" xr:uid="{00000000-0005-0000-0000-0000470F0000}"/>
    <cellStyle name="Millares 2 4 4 3 4" xfId="22940" xr:uid="{00000000-0005-0000-0000-0000480F0000}"/>
    <cellStyle name="Millares 2 4 4 4" xfId="5686" xr:uid="{00000000-0005-0000-0000-0000490F0000}"/>
    <cellStyle name="Millares 2 4 4 4 2" xfId="15546" xr:uid="{00000000-0005-0000-0000-00004A0F0000}"/>
    <cellStyle name="Millares 2 4 4 4 2 2" xfId="35261" xr:uid="{00000000-0005-0000-0000-00004B0F0000}"/>
    <cellStyle name="Millares 2 4 4 4 3" xfId="25404" xr:uid="{00000000-0005-0000-0000-00004C0F0000}"/>
    <cellStyle name="Millares 2 4 4 5" xfId="10618" xr:uid="{00000000-0005-0000-0000-00004D0F0000}"/>
    <cellStyle name="Millares 2 4 4 5 2" xfId="30333" xr:uid="{00000000-0005-0000-0000-00004E0F0000}"/>
    <cellStyle name="Millares 2 4 4 6" xfId="20476" xr:uid="{00000000-0005-0000-0000-00004F0F0000}"/>
    <cellStyle name="Millares 2 4 5" xfId="1367" xr:uid="{00000000-0005-0000-0000-0000500F0000}"/>
    <cellStyle name="Millares 2 4 5 2" xfId="3834" xr:uid="{00000000-0005-0000-0000-0000510F0000}"/>
    <cellStyle name="Millares 2 4 5 2 2" xfId="8766" xr:uid="{00000000-0005-0000-0000-0000520F0000}"/>
    <cellStyle name="Millares 2 4 5 2 2 2" xfId="18626" xr:uid="{00000000-0005-0000-0000-0000530F0000}"/>
    <cellStyle name="Millares 2 4 5 2 2 2 2" xfId="38341" xr:uid="{00000000-0005-0000-0000-0000540F0000}"/>
    <cellStyle name="Millares 2 4 5 2 2 3" xfId="28484" xr:uid="{00000000-0005-0000-0000-0000550F0000}"/>
    <cellStyle name="Millares 2 4 5 2 3" xfId="13698" xr:uid="{00000000-0005-0000-0000-0000560F0000}"/>
    <cellStyle name="Millares 2 4 5 2 3 2" xfId="33413" xr:uid="{00000000-0005-0000-0000-0000570F0000}"/>
    <cellStyle name="Millares 2 4 5 2 4" xfId="23556" xr:uid="{00000000-0005-0000-0000-0000580F0000}"/>
    <cellStyle name="Millares 2 4 5 3" xfId="6302" xr:uid="{00000000-0005-0000-0000-0000590F0000}"/>
    <cellStyle name="Millares 2 4 5 3 2" xfId="16162" xr:uid="{00000000-0005-0000-0000-00005A0F0000}"/>
    <cellStyle name="Millares 2 4 5 3 2 2" xfId="35877" xr:uid="{00000000-0005-0000-0000-00005B0F0000}"/>
    <cellStyle name="Millares 2 4 5 3 3" xfId="26020" xr:uid="{00000000-0005-0000-0000-00005C0F0000}"/>
    <cellStyle name="Millares 2 4 5 4" xfId="11234" xr:uid="{00000000-0005-0000-0000-00005D0F0000}"/>
    <cellStyle name="Millares 2 4 5 4 2" xfId="30949" xr:uid="{00000000-0005-0000-0000-00005E0F0000}"/>
    <cellStyle name="Millares 2 4 5 5" xfId="21092" xr:uid="{00000000-0005-0000-0000-00005F0F0000}"/>
    <cellStyle name="Millares 2 4 6" xfId="2602" xr:uid="{00000000-0005-0000-0000-0000600F0000}"/>
    <cellStyle name="Millares 2 4 6 2" xfId="7534" xr:uid="{00000000-0005-0000-0000-0000610F0000}"/>
    <cellStyle name="Millares 2 4 6 2 2" xfId="17394" xr:uid="{00000000-0005-0000-0000-0000620F0000}"/>
    <cellStyle name="Millares 2 4 6 2 2 2" xfId="37109" xr:uid="{00000000-0005-0000-0000-0000630F0000}"/>
    <cellStyle name="Millares 2 4 6 2 3" xfId="27252" xr:uid="{00000000-0005-0000-0000-0000640F0000}"/>
    <cellStyle name="Millares 2 4 6 3" xfId="12466" xr:uid="{00000000-0005-0000-0000-0000650F0000}"/>
    <cellStyle name="Millares 2 4 6 3 2" xfId="32181" xr:uid="{00000000-0005-0000-0000-0000660F0000}"/>
    <cellStyle name="Millares 2 4 6 4" xfId="22324" xr:uid="{00000000-0005-0000-0000-0000670F0000}"/>
    <cellStyle name="Millares 2 4 7" xfId="5070" xr:uid="{00000000-0005-0000-0000-0000680F0000}"/>
    <cellStyle name="Millares 2 4 7 2" xfId="14930" xr:uid="{00000000-0005-0000-0000-0000690F0000}"/>
    <cellStyle name="Millares 2 4 7 2 2" xfId="34645" xr:uid="{00000000-0005-0000-0000-00006A0F0000}"/>
    <cellStyle name="Millares 2 4 7 3" xfId="24788" xr:uid="{00000000-0005-0000-0000-00006B0F0000}"/>
    <cellStyle name="Millares 2 4 8" xfId="10002" xr:uid="{00000000-0005-0000-0000-00006C0F0000}"/>
    <cellStyle name="Millares 2 4 8 2" xfId="29717" xr:uid="{00000000-0005-0000-0000-00006D0F0000}"/>
    <cellStyle name="Millares 2 4 9" xfId="19860" xr:uid="{00000000-0005-0000-0000-00006E0F0000}"/>
    <cellStyle name="Millares 2 5" xfId="196" xr:uid="{00000000-0005-0000-0000-00006F0F0000}"/>
    <cellStyle name="Millares 2 5 2" xfId="510" xr:uid="{00000000-0005-0000-0000-0000700F0000}"/>
    <cellStyle name="Millares 2 5 2 2" xfId="1130" xr:uid="{00000000-0005-0000-0000-0000710F0000}"/>
    <cellStyle name="Millares 2 5 2 2 2" xfId="2365" xr:uid="{00000000-0005-0000-0000-0000720F0000}"/>
    <cellStyle name="Millares 2 5 2 2 2 2" xfId="4832" xr:uid="{00000000-0005-0000-0000-0000730F0000}"/>
    <cellStyle name="Millares 2 5 2 2 2 2 2" xfId="9764" xr:uid="{00000000-0005-0000-0000-0000740F0000}"/>
    <cellStyle name="Millares 2 5 2 2 2 2 2 2" xfId="19624" xr:uid="{00000000-0005-0000-0000-0000750F0000}"/>
    <cellStyle name="Millares 2 5 2 2 2 2 2 2 2" xfId="39339" xr:uid="{00000000-0005-0000-0000-0000760F0000}"/>
    <cellStyle name="Millares 2 5 2 2 2 2 2 3" xfId="29482" xr:uid="{00000000-0005-0000-0000-0000770F0000}"/>
    <cellStyle name="Millares 2 5 2 2 2 2 3" xfId="14696" xr:uid="{00000000-0005-0000-0000-0000780F0000}"/>
    <cellStyle name="Millares 2 5 2 2 2 2 3 2" xfId="34411" xr:uid="{00000000-0005-0000-0000-0000790F0000}"/>
    <cellStyle name="Millares 2 5 2 2 2 2 4" xfId="24554" xr:uid="{00000000-0005-0000-0000-00007A0F0000}"/>
    <cellStyle name="Millares 2 5 2 2 2 3" xfId="7300" xr:uid="{00000000-0005-0000-0000-00007B0F0000}"/>
    <cellStyle name="Millares 2 5 2 2 2 3 2" xfId="17160" xr:uid="{00000000-0005-0000-0000-00007C0F0000}"/>
    <cellStyle name="Millares 2 5 2 2 2 3 2 2" xfId="36875" xr:uid="{00000000-0005-0000-0000-00007D0F0000}"/>
    <cellStyle name="Millares 2 5 2 2 2 3 3" xfId="27018" xr:uid="{00000000-0005-0000-0000-00007E0F0000}"/>
    <cellStyle name="Millares 2 5 2 2 2 4" xfId="12232" xr:uid="{00000000-0005-0000-0000-00007F0F0000}"/>
    <cellStyle name="Millares 2 5 2 2 2 4 2" xfId="31947" xr:uid="{00000000-0005-0000-0000-0000800F0000}"/>
    <cellStyle name="Millares 2 5 2 2 2 5" xfId="22090" xr:uid="{00000000-0005-0000-0000-0000810F0000}"/>
    <cellStyle name="Millares 2 5 2 2 3" xfId="3600" xr:uid="{00000000-0005-0000-0000-0000820F0000}"/>
    <cellStyle name="Millares 2 5 2 2 3 2" xfId="8532" xr:uid="{00000000-0005-0000-0000-0000830F0000}"/>
    <cellStyle name="Millares 2 5 2 2 3 2 2" xfId="18392" xr:uid="{00000000-0005-0000-0000-0000840F0000}"/>
    <cellStyle name="Millares 2 5 2 2 3 2 2 2" xfId="38107" xr:uid="{00000000-0005-0000-0000-0000850F0000}"/>
    <cellStyle name="Millares 2 5 2 2 3 2 3" xfId="28250" xr:uid="{00000000-0005-0000-0000-0000860F0000}"/>
    <cellStyle name="Millares 2 5 2 2 3 3" xfId="13464" xr:uid="{00000000-0005-0000-0000-0000870F0000}"/>
    <cellStyle name="Millares 2 5 2 2 3 3 2" xfId="33179" xr:uid="{00000000-0005-0000-0000-0000880F0000}"/>
    <cellStyle name="Millares 2 5 2 2 3 4" xfId="23322" xr:uid="{00000000-0005-0000-0000-0000890F0000}"/>
    <cellStyle name="Millares 2 5 2 2 4" xfId="6068" xr:uid="{00000000-0005-0000-0000-00008A0F0000}"/>
    <cellStyle name="Millares 2 5 2 2 4 2" xfId="15928" xr:uid="{00000000-0005-0000-0000-00008B0F0000}"/>
    <cellStyle name="Millares 2 5 2 2 4 2 2" xfId="35643" xr:uid="{00000000-0005-0000-0000-00008C0F0000}"/>
    <cellStyle name="Millares 2 5 2 2 4 3" xfId="25786" xr:uid="{00000000-0005-0000-0000-00008D0F0000}"/>
    <cellStyle name="Millares 2 5 2 2 5" xfId="11000" xr:uid="{00000000-0005-0000-0000-00008E0F0000}"/>
    <cellStyle name="Millares 2 5 2 2 5 2" xfId="30715" xr:uid="{00000000-0005-0000-0000-00008F0F0000}"/>
    <cellStyle name="Millares 2 5 2 2 6" xfId="20858" xr:uid="{00000000-0005-0000-0000-0000900F0000}"/>
    <cellStyle name="Millares 2 5 2 3" xfId="1749" xr:uid="{00000000-0005-0000-0000-0000910F0000}"/>
    <cellStyle name="Millares 2 5 2 3 2" xfId="4216" xr:uid="{00000000-0005-0000-0000-0000920F0000}"/>
    <cellStyle name="Millares 2 5 2 3 2 2" xfId="9148" xr:uid="{00000000-0005-0000-0000-0000930F0000}"/>
    <cellStyle name="Millares 2 5 2 3 2 2 2" xfId="19008" xr:uid="{00000000-0005-0000-0000-0000940F0000}"/>
    <cellStyle name="Millares 2 5 2 3 2 2 2 2" xfId="38723" xr:uid="{00000000-0005-0000-0000-0000950F0000}"/>
    <cellStyle name="Millares 2 5 2 3 2 2 3" xfId="28866" xr:uid="{00000000-0005-0000-0000-0000960F0000}"/>
    <cellStyle name="Millares 2 5 2 3 2 3" xfId="14080" xr:uid="{00000000-0005-0000-0000-0000970F0000}"/>
    <cellStyle name="Millares 2 5 2 3 2 3 2" xfId="33795" xr:uid="{00000000-0005-0000-0000-0000980F0000}"/>
    <cellStyle name="Millares 2 5 2 3 2 4" xfId="23938" xr:uid="{00000000-0005-0000-0000-0000990F0000}"/>
    <cellStyle name="Millares 2 5 2 3 3" xfId="6684" xr:uid="{00000000-0005-0000-0000-00009A0F0000}"/>
    <cellStyle name="Millares 2 5 2 3 3 2" xfId="16544" xr:uid="{00000000-0005-0000-0000-00009B0F0000}"/>
    <cellStyle name="Millares 2 5 2 3 3 2 2" xfId="36259" xr:uid="{00000000-0005-0000-0000-00009C0F0000}"/>
    <cellStyle name="Millares 2 5 2 3 3 3" xfId="26402" xr:uid="{00000000-0005-0000-0000-00009D0F0000}"/>
    <cellStyle name="Millares 2 5 2 3 4" xfId="11616" xr:uid="{00000000-0005-0000-0000-00009E0F0000}"/>
    <cellStyle name="Millares 2 5 2 3 4 2" xfId="31331" xr:uid="{00000000-0005-0000-0000-00009F0F0000}"/>
    <cellStyle name="Millares 2 5 2 3 5" xfId="21474" xr:uid="{00000000-0005-0000-0000-0000A00F0000}"/>
    <cellStyle name="Millares 2 5 2 4" xfId="2984" xr:uid="{00000000-0005-0000-0000-0000A10F0000}"/>
    <cellStyle name="Millares 2 5 2 4 2" xfId="7916" xr:uid="{00000000-0005-0000-0000-0000A20F0000}"/>
    <cellStyle name="Millares 2 5 2 4 2 2" xfId="17776" xr:uid="{00000000-0005-0000-0000-0000A30F0000}"/>
    <cellStyle name="Millares 2 5 2 4 2 2 2" xfId="37491" xr:uid="{00000000-0005-0000-0000-0000A40F0000}"/>
    <cellStyle name="Millares 2 5 2 4 2 3" xfId="27634" xr:uid="{00000000-0005-0000-0000-0000A50F0000}"/>
    <cellStyle name="Millares 2 5 2 4 3" xfId="12848" xr:uid="{00000000-0005-0000-0000-0000A60F0000}"/>
    <cellStyle name="Millares 2 5 2 4 3 2" xfId="32563" xr:uid="{00000000-0005-0000-0000-0000A70F0000}"/>
    <cellStyle name="Millares 2 5 2 4 4" xfId="22706" xr:uid="{00000000-0005-0000-0000-0000A80F0000}"/>
    <cellStyle name="Millares 2 5 2 5" xfId="5452" xr:uid="{00000000-0005-0000-0000-0000A90F0000}"/>
    <cellStyle name="Millares 2 5 2 5 2" xfId="15312" xr:uid="{00000000-0005-0000-0000-0000AA0F0000}"/>
    <cellStyle name="Millares 2 5 2 5 2 2" xfId="35027" xr:uid="{00000000-0005-0000-0000-0000AB0F0000}"/>
    <cellStyle name="Millares 2 5 2 5 3" xfId="25170" xr:uid="{00000000-0005-0000-0000-0000AC0F0000}"/>
    <cellStyle name="Millares 2 5 2 6" xfId="10384" xr:uid="{00000000-0005-0000-0000-0000AD0F0000}"/>
    <cellStyle name="Millares 2 5 2 6 2" xfId="30099" xr:uid="{00000000-0005-0000-0000-0000AE0F0000}"/>
    <cellStyle name="Millares 2 5 2 7" xfId="20242" xr:uid="{00000000-0005-0000-0000-0000AF0F0000}"/>
    <cellStyle name="Millares 2 5 3" xfId="823" xr:uid="{00000000-0005-0000-0000-0000B00F0000}"/>
    <cellStyle name="Millares 2 5 3 2" xfId="2059" xr:uid="{00000000-0005-0000-0000-0000B10F0000}"/>
    <cellStyle name="Millares 2 5 3 2 2" xfId="4526" xr:uid="{00000000-0005-0000-0000-0000B20F0000}"/>
    <cellStyle name="Millares 2 5 3 2 2 2" xfId="9458" xr:uid="{00000000-0005-0000-0000-0000B30F0000}"/>
    <cellStyle name="Millares 2 5 3 2 2 2 2" xfId="19318" xr:uid="{00000000-0005-0000-0000-0000B40F0000}"/>
    <cellStyle name="Millares 2 5 3 2 2 2 2 2" xfId="39033" xr:uid="{00000000-0005-0000-0000-0000B50F0000}"/>
    <cellStyle name="Millares 2 5 3 2 2 2 3" xfId="29176" xr:uid="{00000000-0005-0000-0000-0000B60F0000}"/>
    <cellStyle name="Millares 2 5 3 2 2 3" xfId="14390" xr:uid="{00000000-0005-0000-0000-0000B70F0000}"/>
    <cellStyle name="Millares 2 5 3 2 2 3 2" xfId="34105" xr:uid="{00000000-0005-0000-0000-0000B80F0000}"/>
    <cellStyle name="Millares 2 5 3 2 2 4" xfId="24248" xr:uid="{00000000-0005-0000-0000-0000B90F0000}"/>
    <cellStyle name="Millares 2 5 3 2 3" xfId="6994" xr:uid="{00000000-0005-0000-0000-0000BA0F0000}"/>
    <cellStyle name="Millares 2 5 3 2 3 2" xfId="16854" xr:uid="{00000000-0005-0000-0000-0000BB0F0000}"/>
    <cellStyle name="Millares 2 5 3 2 3 2 2" xfId="36569" xr:uid="{00000000-0005-0000-0000-0000BC0F0000}"/>
    <cellStyle name="Millares 2 5 3 2 3 3" xfId="26712" xr:uid="{00000000-0005-0000-0000-0000BD0F0000}"/>
    <cellStyle name="Millares 2 5 3 2 4" xfId="11926" xr:uid="{00000000-0005-0000-0000-0000BE0F0000}"/>
    <cellStyle name="Millares 2 5 3 2 4 2" xfId="31641" xr:uid="{00000000-0005-0000-0000-0000BF0F0000}"/>
    <cellStyle name="Millares 2 5 3 2 5" xfId="21784" xr:uid="{00000000-0005-0000-0000-0000C00F0000}"/>
    <cellStyle name="Millares 2 5 3 3" xfId="3294" xr:uid="{00000000-0005-0000-0000-0000C10F0000}"/>
    <cellStyle name="Millares 2 5 3 3 2" xfId="8226" xr:uid="{00000000-0005-0000-0000-0000C20F0000}"/>
    <cellStyle name="Millares 2 5 3 3 2 2" xfId="18086" xr:uid="{00000000-0005-0000-0000-0000C30F0000}"/>
    <cellStyle name="Millares 2 5 3 3 2 2 2" xfId="37801" xr:uid="{00000000-0005-0000-0000-0000C40F0000}"/>
    <cellStyle name="Millares 2 5 3 3 2 3" xfId="27944" xr:uid="{00000000-0005-0000-0000-0000C50F0000}"/>
    <cellStyle name="Millares 2 5 3 3 3" xfId="13158" xr:uid="{00000000-0005-0000-0000-0000C60F0000}"/>
    <cellStyle name="Millares 2 5 3 3 3 2" xfId="32873" xr:uid="{00000000-0005-0000-0000-0000C70F0000}"/>
    <cellStyle name="Millares 2 5 3 3 4" xfId="23016" xr:uid="{00000000-0005-0000-0000-0000C80F0000}"/>
    <cellStyle name="Millares 2 5 3 4" xfId="5762" xr:uid="{00000000-0005-0000-0000-0000C90F0000}"/>
    <cellStyle name="Millares 2 5 3 4 2" xfId="15622" xr:uid="{00000000-0005-0000-0000-0000CA0F0000}"/>
    <cellStyle name="Millares 2 5 3 4 2 2" xfId="35337" xr:uid="{00000000-0005-0000-0000-0000CB0F0000}"/>
    <cellStyle name="Millares 2 5 3 4 3" xfId="25480" xr:uid="{00000000-0005-0000-0000-0000CC0F0000}"/>
    <cellStyle name="Millares 2 5 3 5" xfId="10694" xr:uid="{00000000-0005-0000-0000-0000CD0F0000}"/>
    <cellStyle name="Millares 2 5 3 5 2" xfId="30409" xr:uid="{00000000-0005-0000-0000-0000CE0F0000}"/>
    <cellStyle name="Millares 2 5 3 6" xfId="20552" xr:uid="{00000000-0005-0000-0000-0000CF0F0000}"/>
    <cellStyle name="Millares 2 5 4" xfId="1443" xr:uid="{00000000-0005-0000-0000-0000D00F0000}"/>
    <cellStyle name="Millares 2 5 4 2" xfId="3910" xr:uid="{00000000-0005-0000-0000-0000D10F0000}"/>
    <cellStyle name="Millares 2 5 4 2 2" xfId="8842" xr:uid="{00000000-0005-0000-0000-0000D20F0000}"/>
    <cellStyle name="Millares 2 5 4 2 2 2" xfId="18702" xr:uid="{00000000-0005-0000-0000-0000D30F0000}"/>
    <cellStyle name="Millares 2 5 4 2 2 2 2" xfId="38417" xr:uid="{00000000-0005-0000-0000-0000D40F0000}"/>
    <cellStyle name="Millares 2 5 4 2 2 3" xfId="28560" xr:uid="{00000000-0005-0000-0000-0000D50F0000}"/>
    <cellStyle name="Millares 2 5 4 2 3" xfId="13774" xr:uid="{00000000-0005-0000-0000-0000D60F0000}"/>
    <cellStyle name="Millares 2 5 4 2 3 2" xfId="33489" xr:uid="{00000000-0005-0000-0000-0000D70F0000}"/>
    <cellStyle name="Millares 2 5 4 2 4" xfId="23632" xr:uid="{00000000-0005-0000-0000-0000D80F0000}"/>
    <cellStyle name="Millares 2 5 4 3" xfId="6378" xr:uid="{00000000-0005-0000-0000-0000D90F0000}"/>
    <cellStyle name="Millares 2 5 4 3 2" xfId="16238" xr:uid="{00000000-0005-0000-0000-0000DA0F0000}"/>
    <cellStyle name="Millares 2 5 4 3 2 2" xfId="35953" xr:uid="{00000000-0005-0000-0000-0000DB0F0000}"/>
    <cellStyle name="Millares 2 5 4 3 3" xfId="26096" xr:uid="{00000000-0005-0000-0000-0000DC0F0000}"/>
    <cellStyle name="Millares 2 5 4 4" xfId="11310" xr:uid="{00000000-0005-0000-0000-0000DD0F0000}"/>
    <cellStyle name="Millares 2 5 4 4 2" xfId="31025" xr:uid="{00000000-0005-0000-0000-0000DE0F0000}"/>
    <cellStyle name="Millares 2 5 4 5" xfId="21168" xr:uid="{00000000-0005-0000-0000-0000DF0F0000}"/>
    <cellStyle name="Millares 2 5 5" xfId="2678" xr:uid="{00000000-0005-0000-0000-0000E00F0000}"/>
    <cellStyle name="Millares 2 5 5 2" xfId="7610" xr:uid="{00000000-0005-0000-0000-0000E10F0000}"/>
    <cellStyle name="Millares 2 5 5 2 2" xfId="17470" xr:uid="{00000000-0005-0000-0000-0000E20F0000}"/>
    <cellStyle name="Millares 2 5 5 2 2 2" xfId="37185" xr:uid="{00000000-0005-0000-0000-0000E30F0000}"/>
    <cellStyle name="Millares 2 5 5 2 3" xfId="27328" xr:uid="{00000000-0005-0000-0000-0000E40F0000}"/>
    <cellStyle name="Millares 2 5 5 3" xfId="12542" xr:uid="{00000000-0005-0000-0000-0000E50F0000}"/>
    <cellStyle name="Millares 2 5 5 3 2" xfId="32257" xr:uid="{00000000-0005-0000-0000-0000E60F0000}"/>
    <cellStyle name="Millares 2 5 5 4" xfId="22400" xr:uid="{00000000-0005-0000-0000-0000E70F0000}"/>
    <cellStyle name="Millares 2 5 6" xfId="5146" xr:uid="{00000000-0005-0000-0000-0000E80F0000}"/>
    <cellStyle name="Millares 2 5 6 2" xfId="15006" xr:uid="{00000000-0005-0000-0000-0000E90F0000}"/>
    <cellStyle name="Millares 2 5 6 2 2" xfId="34721" xr:uid="{00000000-0005-0000-0000-0000EA0F0000}"/>
    <cellStyle name="Millares 2 5 6 3" xfId="24864" xr:uid="{00000000-0005-0000-0000-0000EB0F0000}"/>
    <cellStyle name="Millares 2 5 7" xfId="10078" xr:uid="{00000000-0005-0000-0000-0000EC0F0000}"/>
    <cellStyle name="Millares 2 5 7 2" xfId="29793" xr:uid="{00000000-0005-0000-0000-0000ED0F0000}"/>
    <cellStyle name="Millares 2 5 8" xfId="19936" xr:uid="{00000000-0005-0000-0000-0000EE0F0000}"/>
    <cellStyle name="Millares 2 6" xfId="358" xr:uid="{00000000-0005-0000-0000-0000EF0F0000}"/>
    <cellStyle name="Millares 2 6 2" xfId="978" xr:uid="{00000000-0005-0000-0000-0000F00F0000}"/>
    <cellStyle name="Millares 2 6 2 2" xfId="2213" xr:uid="{00000000-0005-0000-0000-0000F10F0000}"/>
    <cellStyle name="Millares 2 6 2 2 2" xfId="4680" xr:uid="{00000000-0005-0000-0000-0000F20F0000}"/>
    <cellStyle name="Millares 2 6 2 2 2 2" xfId="9612" xr:uid="{00000000-0005-0000-0000-0000F30F0000}"/>
    <cellStyle name="Millares 2 6 2 2 2 2 2" xfId="19472" xr:uid="{00000000-0005-0000-0000-0000F40F0000}"/>
    <cellStyle name="Millares 2 6 2 2 2 2 2 2" xfId="39187" xr:uid="{00000000-0005-0000-0000-0000F50F0000}"/>
    <cellStyle name="Millares 2 6 2 2 2 2 3" xfId="29330" xr:uid="{00000000-0005-0000-0000-0000F60F0000}"/>
    <cellStyle name="Millares 2 6 2 2 2 3" xfId="14544" xr:uid="{00000000-0005-0000-0000-0000F70F0000}"/>
    <cellStyle name="Millares 2 6 2 2 2 3 2" xfId="34259" xr:uid="{00000000-0005-0000-0000-0000F80F0000}"/>
    <cellStyle name="Millares 2 6 2 2 2 4" xfId="24402" xr:uid="{00000000-0005-0000-0000-0000F90F0000}"/>
    <cellStyle name="Millares 2 6 2 2 3" xfId="7148" xr:uid="{00000000-0005-0000-0000-0000FA0F0000}"/>
    <cellStyle name="Millares 2 6 2 2 3 2" xfId="17008" xr:uid="{00000000-0005-0000-0000-0000FB0F0000}"/>
    <cellStyle name="Millares 2 6 2 2 3 2 2" xfId="36723" xr:uid="{00000000-0005-0000-0000-0000FC0F0000}"/>
    <cellStyle name="Millares 2 6 2 2 3 3" xfId="26866" xr:uid="{00000000-0005-0000-0000-0000FD0F0000}"/>
    <cellStyle name="Millares 2 6 2 2 4" xfId="12080" xr:uid="{00000000-0005-0000-0000-0000FE0F0000}"/>
    <cellStyle name="Millares 2 6 2 2 4 2" xfId="31795" xr:uid="{00000000-0005-0000-0000-0000FF0F0000}"/>
    <cellStyle name="Millares 2 6 2 2 5" xfId="21938" xr:uid="{00000000-0005-0000-0000-000000100000}"/>
    <cellStyle name="Millares 2 6 2 3" xfId="3448" xr:uid="{00000000-0005-0000-0000-000001100000}"/>
    <cellStyle name="Millares 2 6 2 3 2" xfId="8380" xr:uid="{00000000-0005-0000-0000-000002100000}"/>
    <cellStyle name="Millares 2 6 2 3 2 2" xfId="18240" xr:uid="{00000000-0005-0000-0000-000003100000}"/>
    <cellStyle name="Millares 2 6 2 3 2 2 2" xfId="37955" xr:uid="{00000000-0005-0000-0000-000004100000}"/>
    <cellStyle name="Millares 2 6 2 3 2 3" xfId="28098" xr:uid="{00000000-0005-0000-0000-000005100000}"/>
    <cellStyle name="Millares 2 6 2 3 3" xfId="13312" xr:uid="{00000000-0005-0000-0000-000006100000}"/>
    <cellStyle name="Millares 2 6 2 3 3 2" xfId="33027" xr:uid="{00000000-0005-0000-0000-000007100000}"/>
    <cellStyle name="Millares 2 6 2 3 4" xfId="23170" xr:uid="{00000000-0005-0000-0000-000008100000}"/>
    <cellStyle name="Millares 2 6 2 4" xfId="5916" xr:uid="{00000000-0005-0000-0000-000009100000}"/>
    <cellStyle name="Millares 2 6 2 4 2" xfId="15776" xr:uid="{00000000-0005-0000-0000-00000A100000}"/>
    <cellStyle name="Millares 2 6 2 4 2 2" xfId="35491" xr:uid="{00000000-0005-0000-0000-00000B100000}"/>
    <cellStyle name="Millares 2 6 2 4 3" xfId="25634" xr:uid="{00000000-0005-0000-0000-00000C100000}"/>
    <cellStyle name="Millares 2 6 2 5" xfId="10848" xr:uid="{00000000-0005-0000-0000-00000D100000}"/>
    <cellStyle name="Millares 2 6 2 5 2" xfId="30563" xr:uid="{00000000-0005-0000-0000-00000E100000}"/>
    <cellStyle name="Millares 2 6 2 6" xfId="20706" xr:uid="{00000000-0005-0000-0000-00000F100000}"/>
    <cellStyle name="Millares 2 6 3" xfId="1597" xr:uid="{00000000-0005-0000-0000-000010100000}"/>
    <cellStyle name="Millares 2 6 3 2" xfId="4064" xr:uid="{00000000-0005-0000-0000-000011100000}"/>
    <cellStyle name="Millares 2 6 3 2 2" xfId="8996" xr:uid="{00000000-0005-0000-0000-000012100000}"/>
    <cellStyle name="Millares 2 6 3 2 2 2" xfId="18856" xr:uid="{00000000-0005-0000-0000-000013100000}"/>
    <cellStyle name="Millares 2 6 3 2 2 2 2" xfId="38571" xr:uid="{00000000-0005-0000-0000-000014100000}"/>
    <cellStyle name="Millares 2 6 3 2 2 3" xfId="28714" xr:uid="{00000000-0005-0000-0000-000015100000}"/>
    <cellStyle name="Millares 2 6 3 2 3" xfId="13928" xr:uid="{00000000-0005-0000-0000-000016100000}"/>
    <cellStyle name="Millares 2 6 3 2 3 2" xfId="33643" xr:uid="{00000000-0005-0000-0000-000017100000}"/>
    <cellStyle name="Millares 2 6 3 2 4" xfId="23786" xr:uid="{00000000-0005-0000-0000-000018100000}"/>
    <cellStyle name="Millares 2 6 3 3" xfId="6532" xr:uid="{00000000-0005-0000-0000-000019100000}"/>
    <cellStyle name="Millares 2 6 3 3 2" xfId="16392" xr:uid="{00000000-0005-0000-0000-00001A100000}"/>
    <cellStyle name="Millares 2 6 3 3 2 2" xfId="36107" xr:uid="{00000000-0005-0000-0000-00001B100000}"/>
    <cellStyle name="Millares 2 6 3 3 3" xfId="26250" xr:uid="{00000000-0005-0000-0000-00001C100000}"/>
    <cellStyle name="Millares 2 6 3 4" xfId="11464" xr:uid="{00000000-0005-0000-0000-00001D100000}"/>
    <cellStyle name="Millares 2 6 3 4 2" xfId="31179" xr:uid="{00000000-0005-0000-0000-00001E100000}"/>
    <cellStyle name="Millares 2 6 3 5" xfId="21322" xr:uid="{00000000-0005-0000-0000-00001F100000}"/>
    <cellStyle name="Millares 2 6 4" xfId="2832" xr:uid="{00000000-0005-0000-0000-000020100000}"/>
    <cellStyle name="Millares 2 6 4 2" xfId="7764" xr:uid="{00000000-0005-0000-0000-000021100000}"/>
    <cellStyle name="Millares 2 6 4 2 2" xfId="17624" xr:uid="{00000000-0005-0000-0000-000022100000}"/>
    <cellStyle name="Millares 2 6 4 2 2 2" xfId="37339" xr:uid="{00000000-0005-0000-0000-000023100000}"/>
    <cellStyle name="Millares 2 6 4 2 3" xfId="27482" xr:uid="{00000000-0005-0000-0000-000024100000}"/>
    <cellStyle name="Millares 2 6 4 3" xfId="12696" xr:uid="{00000000-0005-0000-0000-000025100000}"/>
    <cellStyle name="Millares 2 6 4 3 2" xfId="32411" xr:uid="{00000000-0005-0000-0000-000026100000}"/>
    <cellStyle name="Millares 2 6 4 4" xfId="22554" xr:uid="{00000000-0005-0000-0000-000027100000}"/>
    <cellStyle name="Millares 2 6 5" xfId="5300" xr:uid="{00000000-0005-0000-0000-000028100000}"/>
    <cellStyle name="Millares 2 6 5 2" xfId="15160" xr:uid="{00000000-0005-0000-0000-000029100000}"/>
    <cellStyle name="Millares 2 6 5 2 2" xfId="34875" xr:uid="{00000000-0005-0000-0000-00002A100000}"/>
    <cellStyle name="Millares 2 6 5 3" xfId="25018" xr:uid="{00000000-0005-0000-0000-00002B100000}"/>
    <cellStyle name="Millares 2 6 6" xfId="10232" xr:uid="{00000000-0005-0000-0000-00002C100000}"/>
    <cellStyle name="Millares 2 6 6 2" xfId="29947" xr:uid="{00000000-0005-0000-0000-00002D100000}"/>
    <cellStyle name="Millares 2 6 7" xfId="20090" xr:uid="{00000000-0005-0000-0000-00002E100000}"/>
    <cellStyle name="Millares 2 7" xfId="671" xr:uid="{00000000-0005-0000-0000-00002F100000}"/>
    <cellStyle name="Millares 2 7 2" xfId="1907" xr:uid="{00000000-0005-0000-0000-000030100000}"/>
    <cellStyle name="Millares 2 7 2 2" xfId="4374" xr:uid="{00000000-0005-0000-0000-000031100000}"/>
    <cellStyle name="Millares 2 7 2 2 2" xfId="9306" xr:uid="{00000000-0005-0000-0000-000032100000}"/>
    <cellStyle name="Millares 2 7 2 2 2 2" xfId="19166" xr:uid="{00000000-0005-0000-0000-000033100000}"/>
    <cellStyle name="Millares 2 7 2 2 2 2 2" xfId="38881" xr:uid="{00000000-0005-0000-0000-000034100000}"/>
    <cellStyle name="Millares 2 7 2 2 2 3" xfId="29024" xr:uid="{00000000-0005-0000-0000-000035100000}"/>
    <cellStyle name="Millares 2 7 2 2 3" xfId="14238" xr:uid="{00000000-0005-0000-0000-000036100000}"/>
    <cellStyle name="Millares 2 7 2 2 3 2" xfId="33953" xr:uid="{00000000-0005-0000-0000-000037100000}"/>
    <cellStyle name="Millares 2 7 2 2 4" xfId="24096" xr:uid="{00000000-0005-0000-0000-000038100000}"/>
    <cellStyle name="Millares 2 7 2 3" xfId="6842" xr:uid="{00000000-0005-0000-0000-000039100000}"/>
    <cellStyle name="Millares 2 7 2 3 2" xfId="16702" xr:uid="{00000000-0005-0000-0000-00003A100000}"/>
    <cellStyle name="Millares 2 7 2 3 2 2" xfId="36417" xr:uid="{00000000-0005-0000-0000-00003B100000}"/>
    <cellStyle name="Millares 2 7 2 3 3" xfId="26560" xr:uid="{00000000-0005-0000-0000-00003C100000}"/>
    <cellStyle name="Millares 2 7 2 4" xfId="11774" xr:uid="{00000000-0005-0000-0000-00003D100000}"/>
    <cellStyle name="Millares 2 7 2 4 2" xfId="31489" xr:uid="{00000000-0005-0000-0000-00003E100000}"/>
    <cellStyle name="Millares 2 7 2 5" xfId="21632" xr:uid="{00000000-0005-0000-0000-00003F100000}"/>
    <cellStyle name="Millares 2 7 3" xfId="3142" xr:uid="{00000000-0005-0000-0000-000040100000}"/>
    <cellStyle name="Millares 2 7 3 2" xfId="8074" xr:uid="{00000000-0005-0000-0000-000041100000}"/>
    <cellStyle name="Millares 2 7 3 2 2" xfId="17934" xr:uid="{00000000-0005-0000-0000-000042100000}"/>
    <cellStyle name="Millares 2 7 3 2 2 2" xfId="37649" xr:uid="{00000000-0005-0000-0000-000043100000}"/>
    <cellStyle name="Millares 2 7 3 2 3" xfId="27792" xr:uid="{00000000-0005-0000-0000-000044100000}"/>
    <cellStyle name="Millares 2 7 3 3" xfId="13006" xr:uid="{00000000-0005-0000-0000-000045100000}"/>
    <cellStyle name="Millares 2 7 3 3 2" xfId="32721" xr:uid="{00000000-0005-0000-0000-000046100000}"/>
    <cellStyle name="Millares 2 7 3 4" xfId="22864" xr:uid="{00000000-0005-0000-0000-000047100000}"/>
    <cellStyle name="Millares 2 7 4" xfId="5610" xr:uid="{00000000-0005-0000-0000-000048100000}"/>
    <cellStyle name="Millares 2 7 4 2" xfId="15470" xr:uid="{00000000-0005-0000-0000-000049100000}"/>
    <cellStyle name="Millares 2 7 4 2 2" xfId="35185" xr:uid="{00000000-0005-0000-0000-00004A100000}"/>
    <cellStyle name="Millares 2 7 4 3" xfId="25328" xr:uid="{00000000-0005-0000-0000-00004B100000}"/>
    <cellStyle name="Millares 2 7 5" xfId="10542" xr:uid="{00000000-0005-0000-0000-00004C100000}"/>
    <cellStyle name="Millares 2 7 5 2" xfId="30257" xr:uid="{00000000-0005-0000-0000-00004D100000}"/>
    <cellStyle name="Millares 2 7 6" xfId="20400" xr:uid="{00000000-0005-0000-0000-00004E100000}"/>
    <cellStyle name="Millares 2 8" xfId="1291" xr:uid="{00000000-0005-0000-0000-00004F100000}"/>
    <cellStyle name="Millares 2 8 2" xfId="3758" xr:uid="{00000000-0005-0000-0000-000050100000}"/>
    <cellStyle name="Millares 2 8 2 2" xfId="8690" xr:uid="{00000000-0005-0000-0000-000051100000}"/>
    <cellStyle name="Millares 2 8 2 2 2" xfId="18550" xr:uid="{00000000-0005-0000-0000-000052100000}"/>
    <cellStyle name="Millares 2 8 2 2 2 2" xfId="38265" xr:uid="{00000000-0005-0000-0000-000053100000}"/>
    <cellStyle name="Millares 2 8 2 2 3" xfId="28408" xr:uid="{00000000-0005-0000-0000-000054100000}"/>
    <cellStyle name="Millares 2 8 2 3" xfId="13622" xr:uid="{00000000-0005-0000-0000-000055100000}"/>
    <cellStyle name="Millares 2 8 2 3 2" xfId="33337" xr:uid="{00000000-0005-0000-0000-000056100000}"/>
    <cellStyle name="Millares 2 8 2 4" xfId="23480" xr:uid="{00000000-0005-0000-0000-000057100000}"/>
    <cellStyle name="Millares 2 8 3" xfId="6226" xr:uid="{00000000-0005-0000-0000-000058100000}"/>
    <cellStyle name="Millares 2 8 3 2" xfId="16086" xr:uid="{00000000-0005-0000-0000-000059100000}"/>
    <cellStyle name="Millares 2 8 3 2 2" xfId="35801" xr:uid="{00000000-0005-0000-0000-00005A100000}"/>
    <cellStyle name="Millares 2 8 3 3" xfId="25944" xr:uid="{00000000-0005-0000-0000-00005B100000}"/>
    <cellStyle name="Millares 2 8 4" xfId="11158" xr:uid="{00000000-0005-0000-0000-00005C100000}"/>
    <cellStyle name="Millares 2 8 4 2" xfId="30873" xr:uid="{00000000-0005-0000-0000-00005D100000}"/>
    <cellStyle name="Millares 2 8 5" xfId="21016" xr:uid="{00000000-0005-0000-0000-00005E100000}"/>
    <cellStyle name="Millares 2 9" xfId="2526" xr:uid="{00000000-0005-0000-0000-00005F100000}"/>
    <cellStyle name="Millares 2 9 2" xfId="7458" xr:uid="{00000000-0005-0000-0000-000060100000}"/>
    <cellStyle name="Millares 2 9 2 2" xfId="17318" xr:uid="{00000000-0005-0000-0000-000061100000}"/>
    <cellStyle name="Millares 2 9 2 2 2" xfId="37033" xr:uid="{00000000-0005-0000-0000-000062100000}"/>
    <cellStyle name="Millares 2 9 2 3" xfId="27176" xr:uid="{00000000-0005-0000-0000-000063100000}"/>
    <cellStyle name="Millares 2 9 3" xfId="12390" xr:uid="{00000000-0005-0000-0000-000064100000}"/>
    <cellStyle name="Millares 2 9 3 2" xfId="32105" xr:uid="{00000000-0005-0000-0000-000065100000}"/>
    <cellStyle name="Millares 2 9 4" xfId="22248" xr:uid="{00000000-0005-0000-0000-000066100000}"/>
    <cellStyle name="Millares 3" xfId="34" xr:uid="{00000000-0005-0000-0000-000067100000}"/>
    <cellStyle name="Millares 3 10" xfId="9934" xr:uid="{00000000-0005-0000-0000-000068100000}"/>
    <cellStyle name="Millares 3 10 2" xfId="29649" xr:uid="{00000000-0005-0000-0000-000069100000}"/>
    <cellStyle name="Millares 3 11" xfId="19792" xr:uid="{00000000-0005-0000-0000-00006A100000}"/>
    <cellStyle name="Millares 3 2" xfId="80" xr:uid="{00000000-0005-0000-0000-00006B100000}"/>
    <cellStyle name="Millares 3 2 10" xfId="19830" xr:uid="{00000000-0005-0000-0000-00006C100000}"/>
    <cellStyle name="Millares 3 2 2" xfId="161" xr:uid="{00000000-0005-0000-0000-00006D100000}"/>
    <cellStyle name="Millares 3 2 2 2" xfId="318" xr:uid="{00000000-0005-0000-0000-00006E100000}"/>
    <cellStyle name="Millares 3 2 2 2 2" xfId="632" xr:uid="{00000000-0005-0000-0000-00006F100000}"/>
    <cellStyle name="Millares 3 2 2 2 2 2" xfId="1252" xr:uid="{00000000-0005-0000-0000-000070100000}"/>
    <cellStyle name="Millares 3 2 2 2 2 2 2" xfId="2487" xr:uid="{00000000-0005-0000-0000-000071100000}"/>
    <cellStyle name="Millares 3 2 2 2 2 2 2 2" xfId="4954" xr:uid="{00000000-0005-0000-0000-000072100000}"/>
    <cellStyle name="Millares 3 2 2 2 2 2 2 2 2" xfId="9886" xr:uid="{00000000-0005-0000-0000-000073100000}"/>
    <cellStyle name="Millares 3 2 2 2 2 2 2 2 2 2" xfId="19746" xr:uid="{00000000-0005-0000-0000-000074100000}"/>
    <cellStyle name="Millares 3 2 2 2 2 2 2 2 2 2 2" xfId="39461" xr:uid="{00000000-0005-0000-0000-000075100000}"/>
    <cellStyle name="Millares 3 2 2 2 2 2 2 2 2 3" xfId="29604" xr:uid="{00000000-0005-0000-0000-000076100000}"/>
    <cellStyle name="Millares 3 2 2 2 2 2 2 2 3" xfId="14818" xr:uid="{00000000-0005-0000-0000-000077100000}"/>
    <cellStyle name="Millares 3 2 2 2 2 2 2 2 3 2" xfId="34533" xr:uid="{00000000-0005-0000-0000-000078100000}"/>
    <cellStyle name="Millares 3 2 2 2 2 2 2 2 4" xfId="24676" xr:uid="{00000000-0005-0000-0000-000079100000}"/>
    <cellStyle name="Millares 3 2 2 2 2 2 2 3" xfId="7422" xr:uid="{00000000-0005-0000-0000-00007A100000}"/>
    <cellStyle name="Millares 3 2 2 2 2 2 2 3 2" xfId="17282" xr:uid="{00000000-0005-0000-0000-00007B100000}"/>
    <cellStyle name="Millares 3 2 2 2 2 2 2 3 2 2" xfId="36997" xr:uid="{00000000-0005-0000-0000-00007C100000}"/>
    <cellStyle name="Millares 3 2 2 2 2 2 2 3 3" xfId="27140" xr:uid="{00000000-0005-0000-0000-00007D100000}"/>
    <cellStyle name="Millares 3 2 2 2 2 2 2 4" xfId="12354" xr:uid="{00000000-0005-0000-0000-00007E100000}"/>
    <cellStyle name="Millares 3 2 2 2 2 2 2 4 2" xfId="32069" xr:uid="{00000000-0005-0000-0000-00007F100000}"/>
    <cellStyle name="Millares 3 2 2 2 2 2 2 5" xfId="22212" xr:uid="{00000000-0005-0000-0000-000080100000}"/>
    <cellStyle name="Millares 3 2 2 2 2 2 3" xfId="3722" xr:uid="{00000000-0005-0000-0000-000081100000}"/>
    <cellStyle name="Millares 3 2 2 2 2 2 3 2" xfId="8654" xr:uid="{00000000-0005-0000-0000-000082100000}"/>
    <cellStyle name="Millares 3 2 2 2 2 2 3 2 2" xfId="18514" xr:uid="{00000000-0005-0000-0000-000083100000}"/>
    <cellStyle name="Millares 3 2 2 2 2 2 3 2 2 2" xfId="38229" xr:uid="{00000000-0005-0000-0000-000084100000}"/>
    <cellStyle name="Millares 3 2 2 2 2 2 3 2 3" xfId="28372" xr:uid="{00000000-0005-0000-0000-000085100000}"/>
    <cellStyle name="Millares 3 2 2 2 2 2 3 3" xfId="13586" xr:uid="{00000000-0005-0000-0000-000086100000}"/>
    <cellStyle name="Millares 3 2 2 2 2 2 3 3 2" xfId="33301" xr:uid="{00000000-0005-0000-0000-000087100000}"/>
    <cellStyle name="Millares 3 2 2 2 2 2 3 4" xfId="23444" xr:uid="{00000000-0005-0000-0000-000088100000}"/>
    <cellStyle name="Millares 3 2 2 2 2 2 4" xfId="6190" xr:uid="{00000000-0005-0000-0000-000089100000}"/>
    <cellStyle name="Millares 3 2 2 2 2 2 4 2" xfId="16050" xr:uid="{00000000-0005-0000-0000-00008A100000}"/>
    <cellStyle name="Millares 3 2 2 2 2 2 4 2 2" xfId="35765" xr:uid="{00000000-0005-0000-0000-00008B100000}"/>
    <cellStyle name="Millares 3 2 2 2 2 2 4 3" xfId="25908" xr:uid="{00000000-0005-0000-0000-00008C100000}"/>
    <cellStyle name="Millares 3 2 2 2 2 2 5" xfId="11122" xr:uid="{00000000-0005-0000-0000-00008D100000}"/>
    <cellStyle name="Millares 3 2 2 2 2 2 5 2" xfId="30837" xr:uid="{00000000-0005-0000-0000-00008E100000}"/>
    <cellStyle name="Millares 3 2 2 2 2 2 6" xfId="20980" xr:uid="{00000000-0005-0000-0000-00008F100000}"/>
    <cellStyle name="Millares 3 2 2 2 2 3" xfId="1871" xr:uid="{00000000-0005-0000-0000-000090100000}"/>
    <cellStyle name="Millares 3 2 2 2 2 3 2" xfId="4338" xr:uid="{00000000-0005-0000-0000-000091100000}"/>
    <cellStyle name="Millares 3 2 2 2 2 3 2 2" xfId="9270" xr:uid="{00000000-0005-0000-0000-000092100000}"/>
    <cellStyle name="Millares 3 2 2 2 2 3 2 2 2" xfId="19130" xr:uid="{00000000-0005-0000-0000-000093100000}"/>
    <cellStyle name="Millares 3 2 2 2 2 3 2 2 2 2" xfId="38845" xr:uid="{00000000-0005-0000-0000-000094100000}"/>
    <cellStyle name="Millares 3 2 2 2 2 3 2 2 3" xfId="28988" xr:uid="{00000000-0005-0000-0000-000095100000}"/>
    <cellStyle name="Millares 3 2 2 2 2 3 2 3" xfId="14202" xr:uid="{00000000-0005-0000-0000-000096100000}"/>
    <cellStyle name="Millares 3 2 2 2 2 3 2 3 2" xfId="33917" xr:uid="{00000000-0005-0000-0000-000097100000}"/>
    <cellStyle name="Millares 3 2 2 2 2 3 2 4" xfId="24060" xr:uid="{00000000-0005-0000-0000-000098100000}"/>
    <cellStyle name="Millares 3 2 2 2 2 3 3" xfId="6806" xr:uid="{00000000-0005-0000-0000-000099100000}"/>
    <cellStyle name="Millares 3 2 2 2 2 3 3 2" xfId="16666" xr:uid="{00000000-0005-0000-0000-00009A100000}"/>
    <cellStyle name="Millares 3 2 2 2 2 3 3 2 2" xfId="36381" xr:uid="{00000000-0005-0000-0000-00009B100000}"/>
    <cellStyle name="Millares 3 2 2 2 2 3 3 3" xfId="26524" xr:uid="{00000000-0005-0000-0000-00009C100000}"/>
    <cellStyle name="Millares 3 2 2 2 2 3 4" xfId="11738" xr:uid="{00000000-0005-0000-0000-00009D100000}"/>
    <cellStyle name="Millares 3 2 2 2 2 3 4 2" xfId="31453" xr:uid="{00000000-0005-0000-0000-00009E100000}"/>
    <cellStyle name="Millares 3 2 2 2 2 3 5" xfId="21596" xr:uid="{00000000-0005-0000-0000-00009F100000}"/>
    <cellStyle name="Millares 3 2 2 2 2 4" xfId="3106" xr:uid="{00000000-0005-0000-0000-0000A0100000}"/>
    <cellStyle name="Millares 3 2 2 2 2 4 2" xfId="8038" xr:uid="{00000000-0005-0000-0000-0000A1100000}"/>
    <cellStyle name="Millares 3 2 2 2 2 4 2 2" xfId="17898" xr:uid="{00000000-0005-0000-0000-0000A2100000}"/>
    <cellStyle name="Millares 3 2 2 2 2 4 2 2 2" xfId="37613" xr:uid="{00000000-0005-0000-0000-0000A3100000}"/>
    <cellStyle name="Millares 3 2 2 2 2 4 2 3" xfId="27756" xr:uid="{00000000-0005-0000-0000-0000A4100000}"/>
    <cellStyle name="Millares 3 2 2 2 2 4 3" xfId="12970" xr:uid="{00000000-0005-0000-0000-0000A5100000}"/>
    <cellStyle name="Millares 3 2 2 2 2 4 3 2" xfId="32685" xr:uid="{00000000-0005-0000-0000-0000A6100000}"/>
    <cellStyle name="Millares 3 2 2 2 2 4 4" xfId="22828" xr:uid="{00000000-0005-0000-0000-0000A7100000}"/>
    <cellStyle name="Millares 3 2 2 2 2 5" xfId="5574" xr:uid="{00000000-0005-0000-0000-0000A8100000}"/>
    <cellStyle name="Millares 3 2 2 2 2 5 2" xfId="15434" xr:uid="{00000000-0005-0000-0000-0000A9100000}"/>
    <cellStyle name="Millares 3 2 2 2 2 5 2 2" xfId="35149" xr:uid="{00000000-0005-0000-0000-0000AA100000}"/>
    <cellStyle name="Millares 3 2 2 2 2 5 3" xfId="25292" xr:uid="{00000000-0005-0000-0000-0000AB100000}"/>
    <cellStyle name="Millares 3 2 2 2 2 6" xfId="10506" xr:uid="{00000000-0005-0000-0000-0000AC100000}"/>
    <cellStyle name="Millares 3 2 2 2 2 6 2" xfId="30221" xr:uid="{00000000-0005-0000-0000-0000AD100000}"/>
    <cellStyle name="Millares 3 2 2 2 2 7" xfId="20364" xr:uid="{00000000-0005-0000-0000-0000AE100000}"/>
    <cellStyle name="Millares 3 2 2 2 3" xfId="945" xr:uid="{00000000-0005-0000-0000-0000AF100000}"/>
    <cellStyle name="Millares 3 2 2 2 3 2" xfId="2181" xr:uid="{00000000-0005-0000-0000-0000B0100000}"/>
    <cellStyle name="Millares 3 2 2 2 3 2 2" xfId="4648" xr:uid="{00000000-0005-0000-0000-0000B1100000}"/>
    <cellStyle name="Millares 3 2 2 2 3 2 2 2" xfId="9580" xr:uid="{00000000-0005-0000-0000-0000B2100000}"/>
    <cellStyle name="Millares 3 2 2 2 3 2 2 2 2" xfId="19440" xr:uid="{00000000-0005-0000-0000-0000B3100000}"/>
    <cellStyle name="Millares 3 2 2 2 3 2 2 2 2 2" xfId="39155" xr:uid="{00000000-0005-0000-0000-0000B4100000}"/>
    <cellStyle name="Millares 3 2 2 2 3 2 2 2 3" xfId="29298" xr:uid="{00000000-0005-0000-0000-0000B5100000}"/>
    <cellStyle name="Millares 3 2 2 2 3 2 2 3" xfId="14512" xr:uid="{00000000-0005-0000-0000-0000B6100000}"/>
    <cellStyle name="Millares 3 2 2 2 3 2 2 3 2" xfId="34227" xr:uid="{00000000-0005-0000-0000-0000B7100000}"/>
    <cellStyle name="Millares 3 2 2 2 3 2 2 4" xfId="24370" xr:uid="{00000000-0005-0000-0000-0000B8100000}"/>
    <cellStyle name="Millares 3 2 2 2 3 2 3" xfId="7116" xr:uid="{00000000-0005-0000-0000-0000B9100000}"/>
    <cellStyle name="Millares 3 2 2 2 3 2 3 2" xfId="16976" xr:uid="{00000000-0005-0000-0000-0000BA100000}"/>
    <cellStyle name="Millares 3 2 2 2 3 2 3 2 2" xfId="36691" xr:uid="{00000000-0005-0000-0000-0000BB100000}"/>
    <cellStyle name="Millares 3 2 2 2 3 2 3 3" xfId="26834" xr:uid="{00000000-0005-0000-0000-0000BC100000}"/>
    <cellStyle name="Millares 3 2 2 2 3 2 4" xfId="12048" xr:uid="{00000000-0005-0000-0000-0000BD100000}"/>
    <cellStyle name="Millares 3 2 2 2 3 2 4 2" xfId="31763" xr:uid="{00000000-0005-0000-0000-0000BE100000}"/>
    <cellStyle name="Millares 3 2 2 2 3 2 5" xfId="21906" xr:uid="{00000000-0005-0000-0000-0000BF100000}"/>
    <cellStyle name="Millares 3 2 2 2 3 3" xfId="3416" xr:uid="{00000000-0005-0000-0000-0000C0100000}"/>
    <cellStyle name="Millares 3 2 2 2 3 3 2" xfId="8348" xr:uid="{00000000-0005-0000-0000-0000C1100000}"/>
    <cellStyle name="Millares 3 2 2 2 3 3 2 2" xfId="18208" xr:uid="{00000000-0005-0000-0000-0000C2100000}"/>
    <cellStyle name="Millares 3 2 2 2 3 3 2 2 2" xfId="37923" xr:uid="{00000000-0005-0000-0000-0000C3100000}"/>
    <cellStyle name="Millares 3 2 2 2 3 3 2 3" xfId="28066" xr:uid="{00000000-0005-0000-0000-0000C4100000}"/>
    <cellStyle name="Millares 3 2 2 2 3 3 3" xfId="13280" xr:uid="{00000000-0005-0000-0000-0000C5100000}"/>
    <cellStyle name="Millares 3 2 2 2 3 3 3 2" xfId="32995" xr:uid="{00000000-0005-0000-0000-0000C6100000}"/>
    <cellStyle name="Millares 3 2 2 2 3 3 4" xfId="23138" xr:uid="{00000000-0005-0000-0000-0000C7100000}"/>
    <cellStyle name="Millares 3 2 2 2 3 4" xfId="5884" xr:uid="{00000000-0005-0000-0000-0000C8100000}"/>
    <cellStyle name="Millares 3 2 2 2 3 4 2" xfId="15744" xr:uid="{00000000-0005-0000-0000-0000C9100000}"/>
    <cellStyle name="Millares 3 2 2 2 3 4 2 2" xfId="35459" xr:uid="{00000000-0005-0000-0000-0000CA100000}"/>
    <cellStyle name="Millares 3 2 2 2 3 4 3" xfId="25602" xr:uid="{00000000-0005-0000-0000-0000CB100000}"/>
    <cellStyle name="Millares 3 2 2 2 3 5" xfId="10816" xr:uid="{00000000-0005-0000-0000-0000CC100000}"/>
    <cellStyle name="Millares 3 2 2 2 3 5 2" xfId="30531" xr:uid="{00000000-0005-0000-0000-0000CD100000}"/>
    <cellStyle name="Millares 3 2 2 2 3 6" xfId="20674" xr:uid="{00000000-0005-0000-0000-0000CE100000}"/>
    <cellStyle name="Millares 3 2 2 2 4" xfId="1565" xr:uid="{00000000-0005-0000-0000-0000CF100000}"/>
    <cellStyle name="Millares 3 2 2 2 4 2" xfId="4032" xr:uid="{00000000-0005-0000-0000-0000D0100000}"/>
    <cellStyle name="Millares 3 2 2 2 4 2 2" xfId="8964" xr:uid="{00000000-0005-0000-0000-0000D1100000}"/>
    <cellStyle name="Millares 3 2 2 2 4 2 2 2" xfId="18824" xr:uid="{00000000-0005-0000-0000-0000D2100000}"/>
    <cellStyle name="Millares 3 2 2 2 4 2 2 2 2" xfId="38539" xr:uid="{00000000-0005-0000-0000-0000D3100000}"/>
    <cellStyle name="Millares 3 2 2 2 4 2 2 3" xfId="28682" xr:uid="{00000000-0005-0000-0000-0000D4100000}"/>
    <cellStyle name="Millares 3 2 2 2 4 2 3" xfId="13896" xr:uid="{00000000-0005-0000-0000-0000D5100000}"/>
    <cellStyle name="Millares 3 2 2 2 4 2 3 2" xfId="33611" xr:uid="{00000000-0005-0000-0000-0000D6100000}"/>
    <cellStyle name="Millares 3 2 2 2 4 2 4" xfId="23754" xr:uid="{00000000-0005-0000-0000-0000D7100000}"/>
    <cellStyle name="Millares 3 2 2 2 4 3" xfId="6500" xr:uid="{00000000-0005-0000-0000-0000D8100000}"/>
    <cellStyle name="Millares 3 2 2 2 4 3 2" xfId="16360" xr:uid="{00000000-0005-0000-0000-0000D9100000}"/>
    <cellStyle name="Millares 3 2 2 2 4 3 2 2" xfId="36075" xr:uid="{00000000-0005-0000-0000-0000DA100000}"/>
    <cellStyle name="Millares 3 2 2 2 4 3 3" xfId="26218" xr:uid="{00000000-0005-0000-0000-0000DB100000}"/>
    <cellStyle name="Millares 3 2 2 2 4 4" xfId="11432" xr:uid="{00000000-0005-0000-0000-0000DC100000}"/>
    <cellStyle name="Millares 3 2 2 2 4 4 2" xfId="31147" xr:uid="{00000000-0005-0000-0000-0000DD100000}"/>
    <cellStyle name="Millares 3 2 2 2 4 5" xfId="21290" xr:uid="{00000000-0005-0000-0000-0000DE100000}"/>
    <cellStyle name="Millares 3 2 2 2 5" xfId="2800" xr:uid="{00000000-0005-0000-0000-0000DF100000}"/>
    <cellStyle name="Millares 3 2 2 2 5 2" xfId="7732" xr:uid="{00000000-0005-0000-0000-0000E0100000}"/>
    <cellStyle name="Millares 3 2 2 2 5 2 2" xfId="17592" xr:uid="{00000000-0005-0000-0000-0000E1100000}"/>
    <cellStyle name="Millares 3 2 2 2 5 2 2 2" xfId="37307" xr:uid="{00000000-0005-0000-0000-0000E2100000}"/>
    <cellStyle name="Millares 3 2 2 2 5 2 3" xfId="27450" xr:uid="{00000000-0005-0000-0000-0000E3100000}"/>
    <cellStyle name="Millares 3 2 2 2 5 3" xfId="12664" xr:uid="{00000000-0005-0000-0000-0000E4100000}"/>
    <cellStyle name="Millares 3 2 2 2 5 3 2" xfId="32379" xr:uid="{00000000-0005-0000-0000-0000E5100000}"/>
    <cellStyle name="Millares 3 2 2 2 5 4" xfId="22522" xr:uid="{00000000-0005-0000-0000-0000E6100000}"/>
    <cellStyle name="Millares 3 2 2 2 6" xfId="5268" xr:uid="{00000000-0005-0000-0000-0000E7100000}"/>
    <cellStyle name="Millares 3 2 2 2 6 2" xfId="15128" xr:uid="{00000000-0005-0000-0000-0000E8100000}"/>
    <cellStyle name="Millares 3 2 2 2 6 2 2" xfId="34843" xr:uid="{00000000-0005-0000-0000-0000E9100000}"/>
    <cellStyle name="Millares 3 2 2 2 6 3" xfId="24986" xr:uid="{00000000-0005-0000-0000-0000EA100000}"/>
    <cellStyle name="Millares 3 2 2 2 7" xfId="10200" xr:uid="{00000000-0005-0000-0000-0000EB100000}"/>
    <cellStyle name="Millares 3 2 2 2 7 2" xfId="29915" xr:uid="{00000000-0005-0000-0000-0000EC100000}"/>
    <cellStyle name="Millares 3 2 2 2 8" xfId="20058" xr:uid="{00000000-0005-0000-0000-0000ED100000}"/>
    <cellStyle name="Millares 3 2 2 3" xfId="480" xr:uid="{00000000-0005-0000-0000-0000EE100000}"/>
    <cellStyle name="Millares 3 2 2 3 2" xfId="1100" xr:uid="{00000000-0005-0000-0000-0000EF100000}"/>
    <cellStyle name="Millares 3 2 2 3 2 2" xfId="2335" xr:uid="{00000000-0005-0000-0000-0000F0100000}"/>
    <cellStyle name="Millares 3 2 2 3 2 2 2" xfId="4802" xr:uid="{00000000-0005-0000-0000-0000F1100000}"/>
    <cellStyle name="Millares 3 2 2 3 2 2 2 2" xfId="9734" xr:uid="{00000000-0005-0000-0000-0000F2100000}"/>
    <cellStyle name="Millares 3 2 2 3 2 2 2 2 2" xfId="19594" xr:uid="{00000000-0005-0000-0000-0000F3100000}"/>
    <cellStyle name="Millares 3 2 2 3 2 2 2 2 2 2" xfId="39309" xr:uid="{00000000-0005-0000-0000-0000F4100000}"/>
    <cellStyle name="Millares 3 2 2 3 2 2 2 2 3" xfId="29452" xr:uid="{00000000-0005-0000-0000-0000F5100000}"/>
    <cellStyle name="Millares 3 2 2 3 2 2 2 3" xfId="14666" xr:uid="{00000000-0005-0000-0000-0000F6100000}"/>
    <cellStyle name="Millares 3 2 2 3 2 2 2 3 2" xfId="34381" xr:uid="{00000000-0005-0000-0000-0000F7100000}"/>
    <cellStyle name="Millares 3 2 2 3 2 2 2 4" xfId="24524" xr:uid="{00000000-0005-0000-0000-0000F8100000}"/>
    <cellStyle name="Millares 3 2 2 3 2 2 3" xfId="7270" xr:uid="{00000000-0005-0000-0000-0000F9100000}"/>
    <cellStyle name="Millares 3 2 2 3 2 2 3 2" xfId="17130" xr:uid="{00000000-0005-0000-0000-0000FA100000}"/>
    <cellStyle name="Millares 3 2 2 3 2 2 3 2 2" xfId="36845" xr:uid="{00000000-0005-0000-0000-0000FB100000}"/>
    <cellStyle name="Millares 3 2 2 3 2 2 3 3" xfId="26988" xr:uid="{00000000-0005-0000-0000-0000FC100000}"/>
    <cellStyle name="Millares 3 2 2 3 2 2 4" xfId="12202" xr:uid="{00000000-0005-0000-0000-0000FD100000}"/>
    <cellStyle name="Millares 3 2 2 3 2 2 4 2" xfId="31917" xr:uid="{00000000-0005-0000-0000-0000FE100000}"/>
    <cellStyle name="Millares 3 2 2 3 2 2 5" xfId="22060" xr:uid="{00000000-0005-0000-0000-0000FF100000}"/>
    <cellStyle name="Millares 3 2 2 3 2 3" xfId="3570" xr:uid="{00000000-0005-0000-0000-000000110000}"/>
    <cellStyle name="Millares 3 2 2 3 2 3 2" xfId="8502" xr:uid="{00000000-0005-0000-0000-000001110000}"/>
    <cellStyle name="Millares 3 2 2 3 2 3 2 2" xfId="18362" xr:uid="{00000000-0005-0000-0000-000002110000}"/>
    <cellStyle name="Millares 3 2 2 3 2 3 2 2 2" xfId="38077" xr:uid="{00000000-0005-0000-0000-000003110000}"/>
    <cellStyle name="Millares 3 2 2 3 2 3 2 3" xfId="28220" xr:uid="{00000000-0005-0000-0000-000004110000}"/>
    <cellStyle name="Millares 3 2 2 3 2 3 3" xfId="13434" xr:uid="{00000000-0005-0000-0000-000005110000}"/>
    <cellStyle name="Millares 3 2 2 3 2 3 3 2" xfId="33149" xr:uid="{00000000-0005-0000-0000-000006110000}"/>
    <cellStyle name="Millares 3 2 2 3 2 3 4" xfId="23292" xr:uid="{00000000-0005-0000-0000-000007110000}"/>
    <cellStyle name="Millares 3 2 2 3 2 4" xfId="6038" xr:uid="{00000000-0005-0000-0000-000008110000}"/>
    <cellStyle name="Millares 3 2 2 3 2 4 2" xfId="15898" xr:uid="{00000000-0005-0000-0000-000009110000}"/>
    <cellStyle name="Millares 3 2 2 3 2 4 2 2" xfId="35613" xr:uid="{00000000-0005-0000-0000-00000A110000}"/>
    <cellStyle name="Millares 3 2 2 3 2 4 3" xfId="25756" xr:uid="{00000000-0005-0000-0000-00000B110000}"/>
    <cellStyle name="Millares 3 2 2 3 2 5" xfId="10970" xr:uid="{00000000-0005-0000-0000-00000C110000}"/>
    <cellStyle name="Millares 3 2 2 3 2 5 2" xfId="30685" xr:uid="{00000000-0005-0000-0000-00000D110000}"/>
    <cellStyle name="Millares 3 2 2 3 2 6" xfId="20828" xr:uid="{00000000-0005-0000-0000-00000E110000}"/>
    <cellStyle name="Millares 3 2 2 3 3" xfId="1719" xr:uid="{00000000-0005-0000-0000-00000F110000}"/>
    <cellStyle name="Millares 3 2 2 3 3 2" xfId="4186" xr:uid="{00000000-0005-0000-0000-000010110000}"/>
    <cellStyle name="Millares 3 2 2 3 3 2 2" xfId="9118" xr:uid="{00000000-0005-0000-0000-000011110000}"/>
    <cellStyle name="Millares 3 2 2 3 3 2 2 2" xfId="18978" xr:uid="{00000000-0005-0000-0000-000012110000}"/>
    <cellStyle name="Millares 3 2 2 3 3 2 2 2 2" xfId="38693" xr:uid="{00000000-0005-0000-0000-000013110000}"/>
    <cellStyle name="Millares 3 2 2 3 3 2 2 3" xfId="28836" xr:uid="{00000000-0005-0000-0000-000014110000}"/>
    <cellStyle name="Millares 3 2 2 3 3 2 3" xfId="14050" xr:uid="{00000000-0005-0000-0000-000015110000}"/>
    <cellStyle name="Millares 3 2 2 3 3 2 3 2" xfId="33765" xr:uid="{00000000-0005-0000-0000-000016110000}"/>
    <cellStyle name="Millares 3 2 2 3 3 2 4" xfId="23908" xr:uid="{00000000-0005-0000-0000-000017110000}"/>
    <cellStyle name="Millares 3 2 2 3 3 3" xfId="6654" xr:uid="{00000000-0005-0000-0000-000018110000}"/>
    <cellStyle name="Millares 3 2 2 3 3 3 2" xfId="16514" xr:uid="{00000000-0005-0000-0000-000019110000}"/>
    <cellStyle name="Millares 3 2 2 3 3 3 2 2" xfId="36229" xr:uid="{00000000-0005-0000-0000-00001A110000}"/>
    <cellStyle name="Millares 3 2 2 3 3 3 3" xfId="26372" xr:uid="{00000000-0005-0000-0000-00001B110000}"/>
    <cellStyle name="Millares 3 2 2 3 3 4" xfId="11586" xr:uid="{00000000-0005-0000-0000-00001C110000}"/>
    <cellStyle name="Millares 3 2 2 3 3 4 2" xfId="31301" xr:uid="{00000000-0005-0000-0000-00001D110000}"/>
    <cellStyle name="Millares 3 2 2 3 3 5" xfId="21444" xr:uid="{00000000-0005-0000-0000-00001E110000}"/>
    <cellStyle name="Millares 3 2 2 3 4" xfId="2954" xr:uid="{00000000-0005-0000-0000-00001F110000}"/>
    <cellStyle name="Millares 3 2 2 3 4 2" xfId="7886" xr:uid="{00000000-0005-0000-0000-000020110000}"/>
    <cellStyle name="Millares 3 2 2 3 4 2 2" xfId="17746" xr:uid="{00000000-0005-0000-0000-000021110000}"/>
    <cellStyle name="Millares 3 2 2 3 4 2 2 2" xfId="37461" xr:uid="{00000000-0005-0000-0000-000022110000}"/>
    <cellStyle name="Millares 3 2 2 3 4 2 3" xfId="27604" xr:uid="{00000000-0005-0000-0000-000023110000}"/>
    <cellStyle name="Millares 3 2 2 3 4 3" xfId="12818" xr:uid="{00000000-0005-0000-0000-000024110000}"/>
    <cellStyle name="Millares 3 2 2 3 4 3 2" xfId="32533" xr:uid="{00000000-0005-0000-0000-000025110000}"/>
    <cellStyle name="Millares 3 2 2 3 4 4" xfId="22676" xr:uid="{00000000-0005-0000-0000-000026110000}"/>
    <cellStyle name="Millares 3 2 2 3 5" xfId="5422" xr:uid="{00000000-0005-0000-0000-000027110000}"/>
    <cellStyle name="Millares 3 2 2 3 5 2" xfId="15282" xr:uid="{00000000-0005-0000-0000-000028110000}"/>
    <cellStyle name="Millares 3 2 2 3 5 2 2" xfId="34997" xr:uid="{00000000-0005-0000-0000-000029110000}"/>
    <cellStyle name="Millares 3 2 2 3 5 3" xfId="25140" xr:uid="{00000000-0005-0000-0000-00002A110000}"/>
    <cellStyle name="Millares 3 2 2 3 6" xfId="10354" xr:uid="{00000000-0005-0000-0000-00002B110000}"/>
    <cellStyle name="Millares 3 2 2 3 6 2" xfId="30069" xr:uid="{00000000-0005-0000-0000-00002C110000}"/>
    <cellStyle name="Millares 3 2 2 3 7" xfId="20212" xr:uid="{00000000-0005-0000-0000-00002D110000}"/>
    <cellStyle name="Millares 3 2 2 4" xfId="793" xr:uid="{00000000-0005-0000-0000-00002E110000}"/>
    <cellStyle name="Millares 3 2 2 4 2" xfId="2029" xr:uid="{00000000-0005-0000-0000-00002F110000}"/>
    <cellStyle name="Millares 3 2 2 4 2 2" xfId="4496" xr:uid="{00000000-0005-0000-0000-000030110000}"/>
    <cellStyle name="Millares 3 2 2 4 2 2 2" xfId="9428" xr:uid="{00000000-0005-0000-0000-000031110000}"/>
    <cellStyle name="Millares 3 2 2 4 2 2 2 2" xfId="19288" xr:uid="{00000000-0005-0000-0000-000032110000}"/>
    <cellStyle name="Millares 3 2 2 4 2 2 2 2 2" xfId="39003" xr:uid="{00000000-0005-0000-0000-000033110000}"/>
    <cellStyle name="Millares 3 2 2 4 2 2 2 3" xfId="29146" xr:uid="{00000000-0005-0000-0000-000034110000}"/>
    <cellStyle name="Millares 3 2 2 4 2 2 3" xfId="14360" xr:uid="{00000000-0005-0000-0000-000035110000}"/>
    <cellStyle name="Millares 3 2 2 4 2 2 3 2" xfId="34075" xr:uid="{00000000-0005-0000-0000-000036110000}"/>
    <cellStyle name="Millares 3 2 2 4 2 2 4" xfId="24218" xr:uid="{00000000-0005-0000-0000-000037110000}"/>
    <cellStyle name="Millares 3 2 2 4 2 3" xfId="6964" xr:uid="{00000000-0005-0000-0000-000038110000}"/>
    <cellStyle name="Millares 3 2 2 4 2 3 2" xfId="16824" xr:uid="{00000000-0005-0000-0000-000039110000}"/>
    <cellStyle name="Millares 3 2 2 4 2 3 2 2" xfId="36539" xr:uid="{00000000-0005-0000-0000-00003A110000}"/>
    <cellStyle name="Millares 3 2 2 4 2 3 3" xfId="26682" xr:uid="{00000000-0005-0000-0000-00003B110000}"/>
    <cellStyle name="Millares 3 2 2 4 2 4" xfId="11896" xr:uid="{00000000-0005-0000-0000-00003C110000}"/>
    <cellStyle name="Millares 3 2 2 4 2 4 2" xfId="31611" xr:uid="{00000000-0005-0000-0000-00003D110000}"/>
    <cellStyle name="Millares 3 2 2 4 2 5" xfId="21754" xr:uid="{00000000-0005-0000-0000-00003E110000}"/>
    <cellStyle name="Millares 3 2 2 4 3" xfId="3264" xr:uid="{00000000-0005-0000-0000-00003F110000}"/>
    <cellStyle name="Millares 3 2 2 4 3 2" xfId="8196" xr:uid="{00000000-0005-0000-0000-000040110000}"/>
    <cellStyle name="Millares 3 2 2 4 3 2 2" xfId="18056" xr:uid="{00000000-0005-0000-0000-000041110000}"/>
    <cellStyle name="Millares 3 2 2 4 3 2 2 2" xfId="37771" xr:uid="{00000000-0005-0000-0000-000042110000}"/>
    <cellStyle name="Millares 3 2 2 4 3 2 3" xfId="27914" xr:uid="{00000000-0005-0000-0000-000043110000}"/>
    <cellStyle name="Millares 3 2 2 4 3 3" xfId="13128" xr:uid="{00000000-0005-0000-0000-000044110000}"/>
    <cellStyle name="Millares 3 2 2 4 3 3 2" xfId="32843" xr:uid="{00000000-0005-0000-0000-000045110000}"/>
    <cellStyle name="Millares 3 2 2 4 3 4" xfId="22986" xr:uid="{00000000-0005-0000-0000-000046110000}"/>
    <cellStyle name="Millares 3 2 2 4 4" xfId="5732" xr:uid="{00000000-0005-0000-0000-000047110000}"/>
    <cellStyle name="Millares 3 2 2 4 4 2" xfId="15592" xr:uid="{00000000-0005-0000-0000-000048110000}"/>
    <cellStyle name="Millares 3 2 2 4 4 2 2" xfId="35307" xr:uid="{00000000-0005-0000-0000-000049110000}"/>
    <cellStyle name="Millares 3 2 2 4 4 3" xfId="25450" xr:uid="{00000000-0005-0000-0000-00004A110000}"/>
    <cellStyle name="Millares 3 2 2 4 5" xfId="10664" xr:uid="{00000000-0005-0000-0000-00004B110000}"/>
    <cellStyle name="Millares 3 2 2 4 5 2" xfId="30379" xr:uid="{00000000-0005-0000-0000-00004C110000}"/>
    <cellStyle name="Millares 3 2 2 4 6" xfId="20522" xr:uid="{00000000-0005-0000-0000-00004D110000}"/>
    <cellStyle name="Millares 3 2 2 5" xfId="1413" xr:uid="{00000000-0005-0000-0000-00004E110000}"/>
    <cellStyle name="Millares 3 2 2 5 2" xfId="3880" xr:uid="{00000000-0005-0000-0000-00004F110000}"/>
    <cellStyle name="Millares 3 2 2 5 2 2" xfId="8812" xr:uid="{00000000-0005-0000-0000-000050110000}"/>
    <cellStyle name="Millares 3 2 2 5 2 2 2" xfId="18672" xr:uid="{00000000-0005-0000-0000-000051110000}"/>
    <cellStyle name="Millares 3 2 2 5 2 2 2 2" xfId="38387" xr:uid="{00000000-0005-0000-0000-000052110000}"/>
    <cellStyle name="Millares 3 2 2 5 2 2 3" xfId="28530" xr:uid="{00000000-0005-0000-0000-000053110000}"/>
    <cellStyle name="Millares 3 2 2 5 2 3" xfId="13744" xr:uid="{00000000-0005-0000-0000-000054110000}"/>
    <cellStyle name="Millares 3 2 2 5 2 3 2" xfId="33459" xr:uid="{00000000-0005-0000-0000-000055110000}"/>
    <cellStyle name="Millares 3 2 2 5 2 4" xfId="23602" xr:uid="{00000000-0005-0000-0000-000056110000}"/>
    <cellStyle name="Millares 3 2 2 5 3" xfId="6348" xr:uid="{00000000-0005-0000-0000-000057110000}"/>
    <cellStyle name="Millares 3 2 2 5 3 2" xfId="16208" xr:uid="{00000000-0005-0000-0000-000058110000}"/>
    <cellStyle name="Millares 3 2 2 5 3 2 2" xfId="35923" xr:uid="{00000000-0005-0000-0000-000059110000}"/>
    <cellStyle name="Millares 3 2 2 5 3 3" xfId="26066" xr:uid="{00000000-0005-0000-0000-00005A110000}"/>
    <cellStyle name="Millares 3 2 2 5 4" xfId="11280" xr:uid="{00000000-0005-0000-0000-00005B110000}"/>
    <cellStyle name="Millares 3 2 2 5 4 2" xfId="30995" xr:uid="{00000000-0005-0000-0000-00005C110000}"/>
    <cellStyle name="Millares 3 2 2 5 5" xfId="21138" xr:uid="{00000000-0005-0000-0000-00005D110000}"/>
    <cellStyle name="Millares 3 2 2 6" xfId="2648" xr:uid="{00000000-0005-0000-0000-00005E110000}"/>
    <cellStyle name="Millares 3 2 2 6 2" xfId="7580" xr:uid="{00000000-0005-0000-0000-00005F110000}"/>
    <cellStyle name="Millares 3 2 2 6 2 2" xfId="17440" xr:uid="{00000000-0005-0000-0000-000060110000}"/>
    <cellStyle name="Millares 3 2 2 6 2 2 2" xfId="37155" xr:uid="{00000000-0005-0000-0000-000061110000}"/>
    <cellStyle name="Millares 3 2 2 6 2 3" xfId="27298" xr:uid="{00000000-0005-0000-0000-000062110000}"/>
    <cellStyle name="Millares 3 2 2 6 3" xfId="12512" xr:uid="{00000000-0005-0000-0000-000063110000}"/>
    <cellStyle name="Millares 3 2 2 6 3 2" xfId="32227" xr:uid="{00000000-0005-0000-0000-000064110000}"/>
    <cellStyle name="Millares 3 2 2 6 4" xfId="22370" xr:uid="{00000000-0005-0000-0000-000065110000}"/>
    <cellStyle name="Millares 3 2 2 7" xfId="5116" xr:uid="{00000000-0005-0000-0000-000066110000}"/>
    <cellStyle name="Millares 3 2 2 7 2" xfId="14976" xr:uid="{00000000-0005-0000-0000-000067110000}"/>
    <cellStyle name="Millares 3 2 2 7 2 2" xfId="34691" xr:uid="{00000000-0005-0000-0000-000068110000}"/>
    <cellStyle name="Millares 3 2 2 7 3" xfId="24834" xr:uid="{00000000-0005-0000-0000-000069110000}"/>
    <cellStyle name="Millares 3 2 2 8" xfId="10048" xr:uid="{00000000-0005-0000-0000-00006A110000}"/>
    <cellStyle name="Millares 3 2 2 8 2" xfId="29763" xr:uid="{00000000-0005-0000-0000-00006B110000}"/>
    <cellStyle name="Millares 3 2 2 9" xfId="19906" xr:uid="{00000000-0005-0000-0000-00006C110000}"/>
    <cellStyle name="Millares 3 2 3" xfId="242" xr:uid="{00000000-0005-0000-0000-00006D110000}"/>
    <cellStyle name="Millares 3 2 3 2" xfId="556" xr:uid="{00000000-0005-0000-0000-00006E110000}"/>
    <cellStyle name="Millares 3 2 3 2 2" xfId="1176" xr:uid="{00000000-0005-0000-0000-00006F110000}"/>
    <cellStyle name="Millares 3 2 3 2 2 2" xfId="2411" xr:uid="{00000000-0005-0000-0000-000070110000}"/>
    <cellStyle name="Millares 3 2 3 2 2 2 2" xfId="4878" xr:uid="{00000000-0005-0000-0000-000071110000}"/>
    <cellStyle name="Millares 3 2 3 2 2 2 2 2" xfId="9810" xr:uid="{00000000-0005-0000-0000-000072110000}"/>
    <cellStyle name="Millares 3 2 3 2 2 2 2 2 2" xfId="19670" xr:uid="{00000000-0005-0000-0000-000073110000}"/>
    <cellStyle name="Millares 3 2 3 2 2 2 2 2 2 2" xfId="39385" xr:uid="{00000000-0005-0000-0000-000074110000}"/>
    <cellStyle name="Millares 3 2 3 2 2 2 2 2 3" xfId="29528" xr:uid="{00000000-0005-0000-0000-000075110000}"/>
    <cellStyle name="Millares 3 2 3 2 2 2 2 3" xfId="14742" xr:uid="{00000000-0005-0000-0000-000076110000}"/>
    <cellStyle name="Millares 3 2 3 2 2 2 2 3 2" xfId="34457" xr:uid="{00000000-0005-0000-0000-000077110000}"/>
    <cellStyle name="Millares 3 2 3 2 2 2 2 4" xfId="24600" xr:uid="{00000000-0005-0000-0000-000078110000}"/>
    <cellStyle name="Millares 3 2 3 2 2 2 3" xfId="7346" xr:uid="{00000000-0005-0000-0000-000079110000}"/>
    <cellStyle name="Millares 3 2 3 2 2 2 3 2" xfId="17206" xr:uid="{00000000-0005-0000-0000-00007A110000}"/>
    <cellStyle name="Millares 3 2 3 2 2 2 3 2 2" xfId="36921" xr:uid="{00000000-0005-0000-0000-00007B110000}"/>
    <cellStyle name="Millares 3 2 3 2 2 2 3 3" xfId="27064" xr:uid="{00000000-0005-0000-0000-00007C110000}"/>
    <cellStyle name="Millares 3 2 3 2 2 2 4" xfId="12278" xr:uid="{00000000-0005-0000-0000-00007D110000}"/>
    <cellStyle name="Millares 3 2 3 2 2 2 4 2" xfId="31993" xr:uid="{00000000-0005-0000-0000-00007E110000}"/>
    <cellStyle name="Millares 3 2 3 2 2 2 5" xfId="22136" xr:uid="{00000000-0005-0000-0000-00007F110000}"/>
    <cellStyle name="Millares 3 2 3 2 2 3" xfId="3646" xr:uid="{00000000-0005-0000-0000-000080110000}"/>
    <cellStyle name="Millares 3 2 3 2 2 3 2" xfId="8578" xr:uid="{00000000-0005-0000-0000-000081110000}"/>
    <cellStyle name="Millares 3 2 3 2 2 3 2 2" xfId="18438" xr:uid="{00000000-0005-0000-0000-000082110000}"/>
    <cellStyle name="Millares 3 2 3 2 2 3 2 2 2" xfId="38153" xr:uid="{00000000-0005-0000-0000-000083110000}"/>
    <cellStyle name="Millares 3 2 3 2 2 3 2 3" xfId="28296" xr:uid="{00000000-0005-0000-0000-000084110000}"/>
    <cellStyle name="Millares 3 2 3 2 2 3 3" xfId="13510" xr:uid="{00000000-0005-0000-0000-000085110000}"/>
    <cellStyle name="Millares 3 2 3 2 2 3 3 2" xfId="33225" xr:uid="{00000000-0005-0000-0000-000086110000}"/>
    <cellStyle name="Millares 3 2 3 2 2 3 4" xfId="23368" xr:uid="{00000000-0005-0000-0000-000087110000}"/>
    <cellStyle name="Millares 3 2 3 2 2 4" xfId="6114" xr:uid="{00000000-0005-0000-0000-000088110000}"/>
    <cellStyle name="Millares 3 2 3 2 2 4 2" xfId="15974" xr:uid="{00000000-0005-0000-0000-000089110000}"/>
    <cellStyle name="Millares 3 2 3 2 2 4 2 2" xfId="35689" xr:uid="{00000000-0005-0000-0000-00008A110000}"/>
    <cellStyle name="Millares 3 2 3 2 2 4 3" xfId="25832" xr:uid="{00000000-0005-0000-0000-00008B110000}"/>
    <cellStyle name="Millares 3 2 3 2 2 5" xfId="11046" xr:uid="{00000000-0005-0000-0000-00008C110000}"/>
    <cellStyle name="Millares 3 2 3 2 2 5 2" xfId="30761" xr:uid="{00000000-0005-0000-0000-00008D110000}"/>
    <cellStyle name="Millares 3 2 3 2 2 6" xfId="20904" xr:uid="{00000000-0005-0000-0000-00008E110000}"/>
    <cellStyle name="Millares 3 2 3 2 3" xfId="1795" xr:uid="{00000000-0005-0000-0000-00008F110000}"/>
    <cellStyle name="Millares 3 2 3 2 3 2" xfId="4262" xr:uid="{00000000-0005-0000-0000-000090110000}"/>
    <cellStyle name="Millares 3 2 3 2 3 2 2" xfId="9194" xr:uid="{00000000-0005-0000-0000-000091110000}"/>
    <cellStyle name="Millares 3 2 3 2 3 2 2 2" xfId="19054" xr:uid="{00000000-0005-0000-0000-000092110000}"/>
    <cellStyle name="Millares 3 2 3 2 3 2 2 2 2" xfId="38769" xr:uid="{00000000-0005-0000-0000-000093110000}"/>
    <cellStyle name="Millares 3 2 3 2 3 2 2 3" xfId="28912" xr:uid="{00000000-0005-0000-0000-000094110000}"/>
    <cellStyle name="Millares 3 2 3 2 3 2 3" xfId="14126" xr:uid="{00000000-0005-0000-0000-000095110000}"/>
    <cellStyle name="Millares 3 2 3 2 3 2 3 2" xfId="33841" xr:uid="{00000000-0005-0000-0000-000096110000}"/>
    <cellStyle name="Millares 3 2 3 2 3 2 4" xfId="23984" xr:uid="{00000000-0005-0000-0000-000097110000}"/>
    <cellStyle name="Millares 3 2 3 2 3 3" xfId="6730" xr:uid="{00000000-0005-0000-0000-000098110000}"/>
    <cellStyle name="Millares 3 2 3 2 3 3 2" xfId="16590" xr:uid="{00000000-0005-0000-0000-000099110000}"/>
    <cellStyle name="Millares 3 2 3 2 3 3 2 2" xfId="36305" xr:uid="{00000000-0005-0000-0000-00009A110000}"/>
    <cellStyle name="Millares 3 2 3 2 3 3 3" xfId="26448" xr:uid="{00000000-0005-0000-0000-00009B110000}"/>
    <cellStyle name="Millares 3 2 3 2 3 4" xfId="11662" xr:uid="{00000000-0005-0000-0000-00009C110000}"/>
    <cellStyle name="Millares 3 2 3 2 3 4 2" xfId="31377" xr:uid="{00000000-0005-0000-0000-00009D110000}"/>
    <cellStyle name="Millares 3 2 3 2 3 5" xfId="21520" xr:uid="{00000000-0005-0000-0000-00009E110000}"/>
    <cellStyle name="Millares 3 2 3 2 4" xfId="3030" xr:uid="{00000000-0005-0000-0000-00009F110000}"/>
    <cellStyle name="Millares 3 2 3 2 4 2" xfId="7962" xr:uid="{00000000-0005-0000-0000-0000A0110000}"/>
    <cellStyle name="Millares 3 2 3 2 4 2 2" xfId="17822" xr:uid="{00000000-0005-0000-0000-0000A1110000}"/>
    <cellStyle name="Millares 3 2 3 2 4 2 2 2" xfId="37537" xr:uid="{00000000-0005-0000-0000-0000A2110000}"/>
    <cellStyle name="Millares 3 2 3 2 4 2 3" xfId="27680" xr:uid="{00000000-0005-0000-0000-0000A3110000}"/>
    <cellStyle name="Millares 3 2 3 2 4 3" xfId="12894" xr:uid="{00000000-0005-0000-0000-0000A4110000}"/>
    <cellStyle name="Millares 3 2 3 2 4 3 2" xfId="32609" xr:uid="{00000000-0005-0000-0000-0000A5110000}"/>
    <cellStyle name="Millares 3 2 3 2 4 4" xfId="22752" xr:uid="{00000000-0005-0000-0000-0000A6110000}"/>
    <cellStyle name="Millares 3 2 3 2 5" xfId="5498" xr:uid="{00000000-0005-0000-0000-0000A7110000}"/>
    <cellStyle name="Millares 3 2 3 2 5 2" xfId="15358" xr:uid="{00000000-0005-0000-0000-0000A8110000}"/>
    <cellStyle name="Millares 3 2 3 2 5 2 2" xfId="35073" xr:uid="{00000000-0005-0000-0000-0000A9110000}"/>
    <cellStyle name="Millares 3 2 3 2 5 3" xfId="25216" xr:uid="{00000000-0005-0000-0000-0000AA110000}"/>
    <cellStyle name="Millares 3 2 3 2 6" xfId="10430" xr:uid="{00000000-0005-0000-0000-0000AB110000}"/>
    <cellStyle name="Millares 3 2 3 2 6 2" xfId="30145" xr:uid="{00000000-0005-0000-0000-0000AC110000}"/>
    <cellStyle name="Millares 3 2 3 2 7" xfId="20288" xr:uid="{00000000-0005-0000-0000-0000AD110000}"/>
    <cellStyle name="Millares 3 2 3 3" xfId="869" xr:uid="{00000000-0005-0000-0000-0000AE110000}"/>
    <cellStyle name="Millares 3 2 3 3 2" xfId="2105" xr:uid="{00000000-0005-0000-0000-0000AF110000}"/>
    <cellStyle name="Millares 3 2 3 3 2 2" xfId="4572" xr:uid="{00000000-0005-0000-0000-0000B0110000}"/>
    <cellStyle name="Millares 3 2 3 3 2 2 2" xfId="9504" xr:uid="{00000000-0005-0000-0000-0000B1110000}"/>
    <cellStyle name="Millares 3 2 3 3 2 2 2 2" xfId="19364" xr:uid="{00000000-0005-0000-0000-0000B2110000}"/>
    <cellStyle name="Millares 3 2 3 3 2 2 2 2 2" xfId="39079" xr:uid="{00000000-0005-0000-0000-0000B3110000}"/>
    <cellStyle name="Millares 3 2 3 3 2 2 2 3" xfId="29222" xr:uid="{00000000-0005-0000-0000-0000B4110000}"/>
    <cellStyle name="Millares 3 2 3 3 2 2 3" xfId="14436" xr:uid="{00000000-0005-0000-0000-0000B5110000}"/>
    <cellStyle name="Millares 3 2 3 3 2 2 3 2" xfId="34151" xr:uid="{00000000-0005-0000-0000-0000B6110000}"/>
    <cellStyle name="Millares 3 2 3 3 2 2 4" xfId="24294" xr:uid="{00000000-0005-0000-0000-0000B7110000}"/>
    <cellStyle name="Millares 3 2 3 3 2 3" xfId="7040" xr:uid="{00000000-0005-0000-0000-0000B8110000}"/>
    <cellStyle name="Millares 3 2 3 3 2 3 2" xfId="16900" xr:uid="{00000000-0005-0000-0000-0000B9110000}"/>
    <cellStyle name="Millares 3 2 3 3 2 3 2 2" xfId="36615" xr:uid="{00000000-0005-0000-0000-0000BA110000}"/>
    <cellStyle name="Millares 3 2 3 3 2 3 3" xfId="26758" xr:uid="{00000000-0005-0000-0000-0000BB110000}"/>
    <cellStyle name="Millares 3 2 3 3 2 4" xfId="11972" xr:uid="{00000000-0005-0000-0000-0000BC110000}"/>
    <cellStyle name="Millares 3 2 3 3 2 4 2" xfId="31687" xr:uid="{00000000-0005-0000-0000-0000BD110000}"/>
    <cellStyle name="Millares 3 2 3 3 2 5" xfId="21830" xr:uid="{00000000-0005-0000-0000-0000BE110000}"/>
    <cellStyle name="Millares 3 2 3 3 3" xfId="3340" xr:uid="{00000000-0005-0000-0000-0000BF110000}"/>
    <cellStyle name="Millares 3 2 3 3 3 2" xfId="8272" xr:uid="{00000000-0005-0000-0000-0000C0110000}"/>
    <cellStyle name="Millares 3 2 3 3 3 2 2" xfId="18132" xr:uid="{00000000-0005-0000-0000-0000C1110000}"/>
    <cellStyle name="Millares 3 2 3 3 3 2 2 2" xfId="37847" xr:uid="{00000000-0005-0000-0000-0000C2110000}"/>
    <cellStyle name="Millares 3 2 3 3 3 2 3" xfId="27990" xr:uid="{00000000-0005-0000-0000-0000C3110000}"/>
    <cellStyle name="Millares 3 2 3 3 3 3" xfId="13204" xr:uid="{00000000-0005-0000-0000-0000C4110000}"/>
    <cellStyle name="Millares 3 2 3 3 3 3 2" xfId="32919" xr:uid="{00000000-0005-0000-0000-0000C5110000}"/>
    <cellStyle name="Millares 3 2 3 3 3 4" xfId="23062" xr:uid="{00000000-0005-0000-0000-0000C6110000}"/>
    <cellStyle name="Millares 3 2 3 3 4" xfId="5808" xr:uid="{00000000-0005-0000-0000-0000C7110000}"/>
    <cellStyle name="Millares 3 2 3 3 4 2" xfId="15668" xr:uid="{00000000-0005-0000-0000-0000C8110000}"/>
    <cellStyle name="Millares 3 2 3 3 4 2 2" xfId="35383" xr:uid="{00000000-0005-0000-0000-0000C9110000}"/>
    <cellStyle name="Millares 3 2 3 3 4 3" xfId="25526" xr:uid="{00000000-0005-0000-0000-0000CA110000}"/>
    <cellStyle name="Millares 3 2 3 3 5" xfId="10740" xr:uid="{00000000-0005-0000-0000-0000CB110000}"/>
    <cellStyle name="Millares 3 2 3 3 5 2" xfId="30455" xr:uid="{00000000-0005-0000-0000-0000CC110000}"/>
    <cellStyle name="Millares 3 2 3 3 6" xfId="20598" xr:uid="{00000000-0005-0000-0000-0000CD110000}"/>
    <cellStyle name="Millares 3 2 3 4" xfId="1489" xr:uid="{00000000-0005-0000-0000-0000CE110000}"/>
    <cellStyle name="Millares 3 2 3 4 2" xfId="3956" xr:uid="{00000000-0005-0000-0000-0000CF110000}"/>
    <cellStyle name="Millares 3 2 3 4 2 2" xfId="8888" xr:uid="{00000000-0005-0000-0000-0000D0110000}"/>
    <cellStyle name="Millares 3 2 3 4 2 2 2" xfId="18748" xr:uid="{00000000-0005-0000-0000-0000D1110000}"/>
    <cellStyle name="Millares 3 2 3 4 2 2 2 2" xfId="38463" xr:uid="{00000000-0005-0000-0000-0000D2110000}"/>
    <cellStyle name="Millares 3 2 3 4 2 2 3" xfId="28606" xr:uid="{00000000-0005-0000-0000-0000D3110000}"/>
    <cellStyle name="Millares 3 2 3 4 2 3" xfId="13820" xr:uid="{00000000-0005-0000-0000-0000D4110000}"/>
    <cellStyle name="Millares 3 2 3 4 2 3 2" xfId="33535" xr:uid="{00000000-0005-0000-0000-0000D5110000}"/>
    <cellStyle name="Millares 3 2 3 4 2 4" xfId="23678" xr:uid="{00000000-0005-0000-0000-0000D6110000}"/>
    <cellStyle name="Millares 3 2 3 4 3" xfId="6424" xr:uid="{00000000-0005-0000-0000-0000D7110000}"/>
    <cellStyle name="Millares 3 2 3 4 3 2" xfId="16284" xr:uid="{00000000-0005-0000-0000-0000D8110000}"/>
    <cellStyle name="Millares 3 2 3 4 3 2 2" xfId="35999" xr:uid="{00000000-0005-0000-0000-0000D9110000}"/>
    <cellStyle name="Millares 3 2 3 4 3 3" xfId="26142" xr:uid="{00000000-0005-0000-0000-0000DA110000}"/>
    <cellStyle name="Millares 3 2 3 4 4" xfId="11356" xr:uid="{00000000-0005-0000-0000-0000DB110000}"/>
    <cellStyle name="Millares 3 2 3 4 4 2" xfId="31071" xr:uid="{00000000-0005-0000-0000-0000DC110000}"/>
    <cellStyle name="Millares 3 2 3 4 5" xfId="21214" xr:uid="{00000000-0005-0000-0000-0000DD110000}"/>
    <cellStyle name="Millares 3 2 3 5" xfId="2724" xr:uid="{00000000-0005-0000-0000-0000DE110000}"/>
    <cellStyle name="Millares 3 2 3 5 2" xfId="7656" xr:uid="{00000000-0005-0000-0000-0000DF110000}"/>
    <cellStyle name="Millares 3 2 3 5 2 2" xfId="17516" xr:uid="{00000000-0005-0000-0000-0000E0110000}"/>
    <cellStyle name="Millares 3 2 3 5 2 2 2" xfId="37231" xr:uid="{00000000-0005-0000-0000-0000E1110000}"/>
    <cellStyle name="Millares 3 2 3 5 2 3" xfId="27374" xr:uid="{00000000-0005-0000-0000-0000E2110000}"/>
    <cellStyle name="Millares 3 2 3 5 3" xfId="12588" xr:uid="{00000000-0005-0000-0000-0000E3110000}"/>
    <cellStyle name="Millares 3 2 3 5 3 2" xfId="32303" xr:uid="{00000000-0005-0000-0000-0000E4110000}"/>
    <cellStyle name="Millares 3 2 3 5 4" xfId="22446" xr:uid="{00000000-0005-0000-0000-0000E5110000}"/>
    <cellStyle name="Millares 3 2 3 6" xfId="5192" xr:uid="{00000000-0005-0000-0000-0000E6110000}"/>
    <cellStyle name="Millares 3 2 3 6 2" xfId="15052" xr:uid="{00000000-0005-0000-0000-0000E7110000}"/>
    <cellStyle name="Millares 3 2 3 6 2 2" xfId="34767" xr:uid="{00000000-0005-0000-0000-0000E8110000}"/>
    <cellStyle name="Millares 3 2 3 6 3" xfId="24910" xr:uid="{00000000-0005-0000-0000-0000E9110000}"/>
    <cellStyle name="Millares 3 2 3 7" xfId="10124" xr:uid="{00000000-0005-0000-0000-0000EA110000}"/>
    <cellStyle name="Millares 3 2 3 7 2" xfId="29839" xr:uid="{00000000-0005-0000-0000-0000EB110000}"/>
    <cellStyle name="Millares 3 2 3 8" xfId="19982" xr:uid="{00000000-0005-0000-0000-0000EC110000}"/>
    <cellStyle name="Millares 3 2 4" xfId="404" xr:uid="{00000000-0005-0000-0000-0000ED110000}"/>
    <cellStyle name="Millares 3 2 4 2" xfId="1024" xr:uid="{00000000-0005-0000-0000-0000EE110000}"/>
    <cellStyle name="Millares 3 2 4 2 2" xfId="2259" xr:uid="{00000000-0005-0000-0000-0000EF110000}"/>
    <cellStyle name="Millares 3 2 4 2 2 2" xfId="4726" xr:uid="{00000000-0005-0000-0000-0000F0110000}"/>
    <cellStyle name="Millares 3 2 4 2 2 2 2" xfId="9658" xr:uid="{00000000-0005-0000-0000-0000F1110000}"/>
    <cellStyle name="Millares 3 2 4 2 2 2 2 2" xfId="19518" xr:uid="{00000000-0005-0000-0000-0000F2110000}"/>
    <cellStyle name="Millares 3 2 4 2 2 2 2 2 2" xfId="39233" xr:uid="{00000000-0005-0000-0000-0000F3110000}"/>
    <cellStyle name="Millares 3 2 4 2 2 2 2 3" xfId="29376" xr:uid="{00000000-0005-0000-0000-0000F4110000}"/>
    <cellStyle name="Millares 3 2 4 2 2 2 3" xfId="14590" xr:uid="{00000000-0005-0000-0000-0000F5110000}"/>
    <cellStyle name="Millares 3 2 4 2 2 2 3 2" xfId="34305" xr:uid="{00000000-0005-0000-0000-0000F6110000}"/>
    <cellStyle name="Millares 3 2 4 2 2 2 4" xfId="24448" xr:uid="{00000000-0005-0000-0000-0000F7110000}"/>
    <cellStyle name="Millares 3 2 4 2 2 3" xfId="7194" xr:uid="{00000000-0005-0000-0000-0000F8110000}"/>
    <cellStyle name="Millares 3 2 4 2 2 3 2" xfId="17054" xr:uid="{00000000-0005-0000-0000-0000F9110000}"/>
    <cellStyle name="Millares 3 2 4 2 2 3 2 2" xfId="36769" xr:uid="{00000000-0005-0000-0000-0000FA110000}"/>
    <cellStyle name="Millares 3 2 4 2 2 3 3" xfId="26912" xr:uid="{00000000-0005-0000-0000-0000FB110000}"/>
    <cellStyle name="Millares 3 2 4 2 2 4" xfId="12126" xr:uid="{00000000-0005-0000-0000-0000FC110000}"/>
    <cellStyle name="Millares 3 2 4 2 2 4 2" xfId="31841" xr:uid="{00000000-0005-0000-0000-0000FD110000}"/>
    <cellStyle name="Millares 3 2 4 2 2 5" xfId="21984" xr:uid="{00000000-0005-0000-0000-0000FE110000}"/>
    <cellStyle name="Millares 3 2 4 2 3" xfId="3494" xr:uid="{00000000-0005-0000-0000-0000FF110000}"/>
    <cellStyle name="Millares 3 2 4 2 3 2" xfId="8426" xr:uid="{00000000-0005-0000-0000-000000120000}"/>
    <cellStyle name="Millares 3 2 4 2 3 2 2" xfId="18286" xr:uid="{00000000-0005-0000-0000-000001120000}"/>
    <cellStyle name="Millares 3 2 4 2 3 2 2 2" xfId="38001" xr:uid="{00000000-0005-0000-0000-000002120000}"/>
    <cellStyle name="Millares 3 2 4 2 3 2 3" xfId="28144" xr:uid="{00000000-0005-0000-0000-000003120000}"/>
    <cellStyle name="Millares 3 2 4 2 3 3" xfId="13358" xr:uid="{00000000-0005-0000-0000-000004120000}"/>
    <cellStyle name="Millares 3 2 4 2 3 3 2" xfId="33073" xr:uid="{00000000-0005-0000-0000-000005120000}"/>
    <cellStyle name="Millares 3 2 4 2 3 4" xfId="23216" xr:uid="{00000000-0005-0000-0000-000006120000}"/>
    <cellStyle name="Millares 3 2 4 2 4" xfId="5962" xr:uid="{00000000-0005-0000-0000-000007120000}"/>
    <cellStyle name="Millares 3 2 4 2 4 2" xfId="15822" xr:uid="{00000000-0005-0000-0000-000008120000}"/>
    <cellStyle name="Millares 3 2 4 2 4 2 2" xfId="35537" xr:uid="{00000000-0005-0000-0000-000009120000}"/>
    <cellStyle name="Millares 3 2 4 2 4 3" xfId="25680" xr:uid="{00000000-0005-0000-0000-00000A120000}"/>
    <cellStyle name="Millares 3 2 4 2 5" xfId="10894" xr:uid="{00000000-0005-0000-0000-00000B120000}"/>
    <cellStyle name="Millares 3 2 4 2 5 2" xfId="30609" xr:uid="{00000000-0005-0000-0000-00000C120000}"/>
    <cellStyle name="Millares 3 2 4 2 6" xfId="20752" xr:uid="{00000000-0005-0000-0000-00000D120000}"/>
    <cellStyle name="Millares 3 2 4 3" xfId="1643" xr:uid="{00000000-0005-0000-0000-00000E120000}"/>
    <cellStyle name="Millares 3 2 4 3 2" xfId="4110" xr:uid="{00000000-0005-0000-0000-00000F120000}"/>
    <cellStyle name="Millares 3 2 4 3 2 2" xfId="9042" xr:uid="{00000000-0005-0000-0000-000010120000}"/>
    <cellStyle name="Millares 3 2 4 3 2 2 2" xfId="18902" xr:uid="{00000000-0005-0000-0000-000011120000}"/>
    <cellStyle name="Millares 3 2 4 3 2 2 2 2" xfId="38617" xr:uid="{00000000-0005-0000-0000-000012120000}"/>
    <cellStyle name="Millares 3 2 4 3 2 2 3" xfId="28760" xr:uid="{00000000-0005-0000-0000-000013120000}"/>
    <cellStyle name="Millares 3 2 4 3 2 3" xfId="13974" xr:uid="{00000000-0005-0000-0000-000014120000}"/>
    <cellStyle name="Millares 3 2 4 3 2 3 2" xfId="33689" xr:uid="{00000000-0005-0000-0000-000015120000}"/>
    <cellStyle name="Millares 3 2 4 3 2 4" xfId="23832" xr:uid="{00000000-0005-0000-0000-000016120000}"/>
    <cellStyle name="Millares 3 2 4 3 3" xfId="6578" xr:uid="{00000000-0005-0000-0000-000017120000}"/>
    <cellStyle name="Millares 3 2 4 3 3 2" xfId="16438" xr:uid="{00000000-0005-0000-0000-000018120000}"/>
    <cellStyle name="Millares 3 2 4 3 3 2 2" xfId="36153" xr:uid="{00000000-0005-0000-0000-000019120000}"/>
    <cellStyle name="Millares 3 2 4 3 3 3" xfId="26296" xr:uid="{00000000-0005-0000-0000-00001A120000}"/>
    <cellStyle name="Millares 3 2 4 3 4" xfId="11510" xr:uid="{00000000-0005-0000-0000-00001B120000}"/>
    <cellStyle name="Millares 3 2 4 3 4 2" xfId="31225" xr:uid="{00000000-0005-0000-0000-00001C120000}"/>
    <cellStyle name="Millares 3 2 4 3 5" xfId="21368" xr:uid="{00000000-0005-0000-0000-00001D120000}"/>
    <cellStyle name="Millares 3 2 4 4" xfId="2878" xr:uid="{00000000-0005-0000-0000-00001E120000}"/>
    <cellStyle name="Millares 3 2 4 4 2" xfId="7810" xr:uid="{00000000-0005-0000-0000-00001F120000}"/>
    <cellStyle name="Millares 3 2 4 4 2 2" xfId="17670" xr:uid="{00000000-0005-0000-0000-000020120000}"/>
    <cellStyle name="Millares 3 2 4 4 2 2 2" xfId="37385" xr:uid="{00000000-0005-0000-0000-000021120000}"/>
    <cellStyle name="Millares 3 2 4 4 2 3" xfId="27528" xr:uid="{00000000-0005-0000-0000-000022120000}"/>
    <cellStyle name="Millares 3 2 4 4 3" xfId="12742" xr:uid="{00000000-0005-0000-0000-000023120000}"/>
    <cellStyle name="Millares 3 2 4 4 3 2" xfId="32457" xr:uid="{00000000-0005-0000-0000-000024120000}"/>
    <cellStyle name="Millares 3 2 4 4 4" xfId="22600" xr:uid="{00000000-0005-0000-0000-000025120000}"/>
    <cellStyle name="Millares 3 2 4 5" xfId="5346" xr:uid="{00000000-0005-0000-0000-000026120000}"/>
    <cellStyle name="Millares 3 2 4 5 2" xfId="15206" xr:uid="{00000000-0005-0000-0000-000027120000}"/>
    <cellStyle name="Millares 3 2 4 5 2 2" xfId="34921" xr:uid="{00000000-0005-0000-0000-000028120000}"/>
    <cellStyle name="Millares 3 2 4 5 3" xfId="25064" xr:uid="{00000000-0005-0000-0000-000029120000}"/>
    <cellStyle name="Millares 3 2 4 6" xfId="10278" xr:uid="{00000000-0005-0000-0000-00002A120000}"/>
    <cellStyle name="Millares 3 2 4 6 2" xfId="29993" xr:uid="{00000000-0005-0000-0000-00002B120000}"/>
    <cellStyle name="Millares 3 2 4 7" xfId="20136" xr:uid="{00000000-0005-0000-0000-00002C120000}"/>
    <cellStyle name="Millares 3 2 5" xfId="717" xr:uid="{00000000-0005-0000-0000-00002D120000}"/>
    <cellStyle name="Millares 3 2 5 2" xfId="1953" xr:uid="{00000000-0005-0000-0000-00002E120000}"/>
    <cellStyle name="Millares 3 2 5 2 2" xfId="4420" xr:uid="{00000000-0005-0000-0000-00002F120000}"/>
    <cellStyle name="Millares 3 2 5 2 2 2" xfId="9352" xr:uid="{00000000-0005-0000-0000-000030120000}"/>
    <cellStyle name="Millares 3 2 5 2 2 2 2" xfId="19212" xr:uid="{00000000-0005-0000-0000-000031120000}"/>
    <cellStyle name="Millares 3 2 5 2 2 2 2 2" xfId="38927" xr:uid="{00000000-0005-0000-0000-000032120000}"/>
    <cellStyle name="Millares 3 2 5 2 2 2 3" xfId="29070" xr:uid="{00000000-0005-0000-0000-000033120000}"/>
    <cellStyle name="Millares 3 2 5 2 2 3" xfId="14284" xr:uid="{00000000-0005-0000-0000-000034120000}"/>
    <cellStyle name="Millares 3 2 5 2 2 3 2" xfId="33999" xr:uid="{00000000-0005-0000-0000-000035120000}"/>
    <cellStyle name="Millares 3 2 5 2 2 4" xfId="24142" xr:uid="{00000000-0005-0000-0000-000036120000}"/>
    <cellStyle name="Millares 3 2 5 2 3" xfId="6888" xr:uid="{00000000-0005-0000-0000-000037120000}"/>
    <cellStyle name="Millares 3 2 5 2 3 2" xfId="16748" xr:uid="{00000000-0005-0000-0000-000038120000}"/>
    <cellStyle name="Millares 3 2 5 2 3 2 2" xfId="36463" xr:uid="{00000000-0005-0000-0000-000039120000}"/>
    <cellStyle name="Millares 3 2 5 2 3 3" xfId="26606" xr:uid="{00000000-0005-0000-0000-00003A120000}"/>
    <cellStyle name="Millares 3 2 5 2 4" xfId="11820" xr:uid="{00000000-0005-0000-0000-00003B120000}"/>
    <cellStyle name="Millares 3 2 5 2 4 2" xfId="31535" xr:uid="{00000000-0005-0000-0000-00003C120000}"/>
    <cellStyle name="Millares 3 2 5 2 5" xfId="21678" xr:uid="{00000000-0005-0000-0000-00003D120000}"/>
    <cellStyle name="Millares 3 2 5 3" xfId="3188" xr:uid="{00000000-0005-0000-0000-00003E120000}"/>
    <cellStyle name="Millares 3 2 5 3 2" xfId="8120" xr:uid="{00000000-0005-0000-0000-00003F120000}"/>
    <cellStyle name="Millares 3 2 5 3 2 2" xfId="17980" xr:uid="{00000000-0005-0000-0000-000040120000}"/>
    <cellStyle name="Millares 3 2 5 3 2 2 2" xfId="37695" xr:uid="{00000000-0005-0000-0000-000041120000}"/>
    <cellStyle name="Millares 3 2 5 3 2 3" xfId="27838" xr:uid="{00000000-0005-0000-0000-000042120000}"/>
    <cellStyle name="Millares 3 2 5 3 3" xfId="13052" xr:uid="{00000000-0005-0000-0000-000043120000}"/>
    <cellStyle name="Millares 3 2 5 3 3 2" xfId="32767" xr:uid="{00000000-0005-0000-0000-000044120000}"/>
    <cellStyle name="Millares 3 2 5 3 4" xfId="22910" xr:uid="{00000000-0005-0000-0000-000045120000}"/>
    <cellStyle name="Millares 3 2 5 4" xfId="5656" xr:uid="{00000000-0005-0000-0000-000046120000}"/>
    <cellStyle name="Millares 3 2 5 4 2" xfId="15516" xr:uid="{00000000-0005-0000-0000-000047120000}"/>
    <cellStyle name="Millares 3 2 5 4 2 2" xfId="35231" xr:uid="{00000000-0005-0000-0000-000048120000}"/>
    <cellStyle name="Millares 3 2 5 4 3" xfId="25374" xr:uid="{00000000-0005-0000-0000-000049120000}"/>
    <cellStyle name="Millares 3 2 5 5" xfId="10588" xr:uid="{00000000-0005-0000-0000-00004A120000}"/>
    <cellStyle name="Millares 3 2 5 5 2" xfId="30303" xr:uid="{00000000-0005-0000-0000-00004B120000}"/>
    <cellStyle name="Millares 3 2 5 6" xfId="20446" xr:uid="{00000000-0005-0000-0000-00004C120000}"/>
    <cellStyle name="Millares 3 2 6" xfId="1337" xr:uid="{00000000-0005-0000-0000-00004D120000}"/>
    <cellStyle name="Millares 3 2 6 2" xfId="3804" xr:uid="{00000000-0005-0000-0000-00004E120000}"/>
    <cellStyle name="Millares 3 2 6 2 2" xfId="8736" xr:uid="{00000000-0005-0000-0000-00004F120000}"/>
    <cellStyle name="Millares 3 2 6 2 2 2" xfId="18596" xr:uid="{00000000-0005-0000-0000-000050120000}"/>
    <cellStyle name="Millares 3 2 6 2 2 2 2" xfId="38311" xr:uid="{00000000-0005-0000-0000-000051120000}"/>
    <cellStyle name="Millares 3 2 6 2 2 3" xfId="28454" xr:uid="{00000000-0005-0000-0000-000052120000}"/>
    <cellStyle name="Millares 3 2 6 2 3" xfId="13668" xr:uid="{00000000-0005-0000-0000-000053120000}"/>
    <cellStyle name="Millares 3 2 6 2 3 2" xfId="33383" xr:uid="{00000000-0005-0000-0000-000054120000}"/>
    <cellStyle name="Millares 3 2 6 2 4" xfId="23526" xr:uid="{00000000-0005-0000-0000-000055120000}"/>
    <cellStyle name="Millares 3 2 6 3" xfId="6272" xr:uid="{00000000-0005-0000-0000-000056120000}"/>
    <cellStyle name="Millares 3 2 6 3 2" xfId="16132" xr:uid="{00000000-0005-0000-0000-000057120000}"/>
    <cellStyle name="Millares 3 2 6 3 2 2" xfId="35847" xr:uid="{00000000-0005-0000-0000-000058120000}"/>
    <cellStyle name="Millares 3 2 6 3 3" xfId="25990" xr:uid="{00000000-0005-0000-0000-000059120000}"/>
    <cellStyle name="Millares 3 2 6 4" xfId="11204" xr:uid="{00000000-0005-0000-0000-00005A120000}"/>
    <cellStyle name="Millares 3 2 6 4 2" xfId="30919" xr:uid="{00000000-0005-0000-0000-00005B120000}"/>
    <cellStyle name="Millares 3 2 6 5" xfId="21062" xr:uid="{00000000-0005-0000-0000-00005C120000}"/>
    <cellStyle name="Millares 3 2 7" xfId="2572" xr:uid="{00000000-0005-0000-0000-00005D120000}"/>
    <cellStyle name="Millares 3 2 7 2" xfId="7504" xr:uid="{00000000-0005-0000-0000-00005E120000}"/>
    <cellStyle name="Millares 3 2 7 2 2" xfId="17364" xr:uid="{00000000-0005-0000-0000-00005F120000}"/>
    <cellStyle name="Millares 3 2 7 2 2 2" xfId="37079" xr:uid="{00000000-0005-0000-0000-000060120000}"/>
    <cellStyle name="Millares 3 2 7 2 3" xfId="27222" xr:uid="{00000000-0005-0000-0000-000061120000}"/>
    <cellStyle name="Millares 3 2 7 3" xfId="12436" xr:uid="{00000000-0005-0000-0000-000062120000}"/>
    <cellStyle name="Millares 3 2 7 3 2" xfId="32151" xr:uid="{00000000-0005-0000-0000-000063120000}"/>
    <cellStyle name="Millares 3 2 7 4" xfId="22294" xr:uid="{00000000-0005-0000-0000-000064120000}"/>
    <cellStyle name="Millares 3 2 8" xfId="5040" xr:uid="{00000000-0005-0000-0000-000065120000}"/>
    <cellStyle name="Millares 3 2 8 2" xfId="14900" xr:uid="{00000000-0005-0000-0000-000066120000}"/>
    <cellStyle name="Millares 3 2 8 2 2" xfId="34615" xr:uid="{00000000-0005-0000-0000-000067120000}"/>
    <cellStyle name="Millares 3 2 8 3" xfId="24758" xr:uid="{00000000-0005-0000-0000-000068120000}"/>
    <cellStyle name="Millares 3 2 9" xfId="9972" xr:uid="{00000000-0005-0000-0000-000069120000}"/>
    <cellStyle name="Millares 3 2 9 2" xfId="29687" xr:uid="{00000000-0005-0000-0000-00006A120000}"/>
    <cellStyle name="Millares 3 3" xfId="123" xr:uid="{00000000-0005-0000-0000-00006B120000}"/>
    <cellStyle name="Millares 3 3 2" xfId="280" xr:uid="{00000000-0005-0000-0000-00006C120000}"/>
    <cellStyle name="Millares 3 3 2 2" xfId="594" xr:uid="{00000000-0005-0000-0000-00006D120000}"/>
    <cellStyle name="Millares 3 3 2 2 2" xfId="1214" xr:uid="{00000000-0005-0000-0000-00006E120000}"/>
    <cellStyle name="Millares 3 3 2 2 2 2" xfId="2449" xr:uid="{00000000-0005-0000-0000-00006F120000}"/>
    <cellStyle name="Millares 3 3 2 2 2 2 2" xfId="4916" xr:uid="{00000000-0005-0000-0000-000070120000}"/>
    <cellStyle name="Millares 3 3 2 2 2 2 2 2" xfId="9848" xr:uid="{00000000-0005-0000-0000-000071120000}"/>
    <cellStyle name="Millares 3 3 2 2 2 2 2 2 2" xfId="19708" xr:uid="{00000000-0005-0000-0000-000072120000}"/>
    <cellStyle name="Millares 3 3 2 2 2 2 2 2 2 2" xfId="39423" xr:uid="{00000000-0005-0000-0000-000073120000}"/>
    <cellStyle name="Millares 3 3 2 2 2 2 2 2 3" xfId="29566" xr:uid="{00000000-0005-0000-0000-000074120000}"/>
    <cellStyle name="Millares 3 3 2 2 2 2 2 3" xfId="14780" xr:uid="{00000000-0005-0000-0000-000075120000}"/>
    <cellStyle name="Millares 3 3 2 2 2 2 2 3 2" xfId="34495" xr:uid="{00000000-0005-0000-0000-000076120000}"/>
    <cellStyle name="Millares 3 3 2 2 2 2 2 4" xfId="24638" xr:uid="{00000000-0005-0000-0000-000077120000}"/>
    <cellStyle name="Millares 3 3 2 2 2 2 3" xfId="7384" xr:uid="{00000000-0005-0000-0000-000078120000}"/>
    <cellStyle name="Millares 3 3 2 2 2 2 3 2" xfId="17244" xr:uid="{00000000-0005-0000-0000-000079120000}"/>
    <cellStyle name="Millares 3 3 2 2 2 2 3 2 2" xfId="36959" xr:uid="{00000000-0005-0000-0000-00007A120000}"/>
    <cellStyle name="Millares 3 3 2 2 2 2 3 3" xfId="27102" xr:uid="{00000000-0005-0000-0000-00007B120000}"/>
    <cellStyle name="Millares 3 3 2 2 2 2 4" xfId="12316" xr:uid="{00000000-0005-0000-0000-00007C120000}"/>
    <cellStyle name="Millares 3 3 2 2 2 2 4 2" xfId="32031" xr:uid="{00000000-0005-0000-0000-00007D120000}"/>
    <cellStyle name="Millares 3 3 2 2 2 2 5" xfId="22174" xr:uid="{00000000-0005-0000-0000-00007E120000}"/>
    <cellStyle name="Millares 3 3 2 2 2 3" xfId="3684" xr:uid="{00000000-0005-0000-0000-00007F120000}"/>
    <cellStyle name="Millares 3 3 2 2 2 3 2" xfId="8616" xr:uid="{00000000-0005-0000-0000-000080120000}"/>
    <cellStyle name="Millares 3 3 2 2 2 3 2 2" xfId="18476" xr:uid="{00000000-0005-0000-0000-000081120000}"/>
    <cellStyle name="Millares 3 3 2 2 2 3 2 2 2" xfId="38191" xr:uid="{00000000-0005-0000-0000-000082120000}"/>
    <cellStyle name="Millares 3 3 2 2 2 3 2 3" xfId="28334" xr:uid="{00000000-0005-0000-0000-000083120000}"/>
    <cellStyle name="Millares 3 3 2 2 2 3 3" xfId="13548" xr:uid="{00000000-0005-0000-0000-000084120000}"/>
    <cellStyle name="Millares 3 3 2 2 2 3 3 2" xfId="33263" xr:uid="{00000000-0005-0000-0000-000085120000}"/>
    <cellStyle name="Millares 3 3 2 2 2 3 4" xfId="23406" xr:uid="{00000000-0005-0000-0000-000086120000}"/>
    <cellStyle name="Millares 3 3 2 2 2 4" xfId="6152" xr:uid="{00000000-0005-0000-0000-000087120000}"/>
    <cellStyle name="Millares 3 3 2 2 2 4 2" xfId="16012" xr:uid="{00000000-0005-0000-0000-000088120000}"/>
    <cellStyle name="Millares 3 3 2 2 2 4 2 2" xfId="35727" xr:uid="{00000000-0005-0000-0000-000089120000}"/>
    <cellStyle name="Millares 3 3 2 2 2 4 3" xfId="25870" xr:uid="{00000000-0005-0000-0000-00008A120000}"/>
    <cellStyle name="Millares 3 3 2 2 2 5" xfId="11084" xr:uid="{00000000-0005-0000-0000-00008B120000}"/>
    <cellStyle name="Millares 3 3 2 2 2 5 2" xfId="30799" xr:uid="{00000000-0005-0000-0000-00008C120000}"/>
    <cellStyle name="Millares 3 3 2 2 2 6" xfId="20942" xr:uid="{00000000-0005-0000-0000-00008D120000}"/>
    <cellStyle name="Millares 3 3 2 2 3" xfId="1833" xr:uid="{00000000-0005-0000-0000-00008E120000}"/>
    <cellStyle name="Millares 3 3 2 2 3 2" xfId="4300" xr:uid="{00000000-0005-0000-0000-00008F120000}"/>
    <cellStyle name="Millares 3 3 2 2 3 2 2" xfId="9232" xr:uid="{00000000-0005-0000-0000-000090120000}"/>
    <cellStyle name="Millares 3 3 2 2 3 2 2 2" xfId="19092" xr:uid="{00000000-0005-0000-0000-000091120000}"/>
    <cellStyle name="Millares 3 3 2 2 3 2 2 2 2" xfId="38807" xr:uid="{00000000-0005-0000-0000-000092120000}"/>
    <cellStyle name="Millares 3 3 2 2 3 2 2 3" xfId="28950" xr:uid="{00000000-0005-0000-0000-000093120000}"/>
    <cellStyle name="Millares 3 3 2 2 3 2 3" xfId="14164" xr:uid="{00000000-0005-0000-0000-000094120000}"/>
    <cellStyle name="Millares 3 3 2 2 3 2 3 2" xfId="33879" xr:uid="{00000000-0005-0000-0000-000095120000}"/>
    <cellStyle name="Millares 3 3 2 2 3 2 4" xfId="24022" xr:uid="{00000000-0005-0000-0000-000096120000}"/>
    <cellStyle name="Millares 3 3 2 2 3 3" xfId="6768" xr:uid="{00000000-0005-0000-0000-000097120000}"/>
    <cellStyle name="Millares 3 3 2 2 3 3 2" xfId="16628" xr:uid="{00000000-0005-0000-0000-000098120000}"/>
    <cellStyle name="Millares 3 3 2 2 3 3 2 2" xfId="36343" xr:uid="{00000000-0005-0000-0000-000099120000}"/>
    <cellStyle name="Millares 3 3 2 2 3 3 3" xfId="26486" xr:uid="{00000000-0005-0000-0000-00009A120000}"/>
    <cellStyle name="Millares 3 3 2 2 3 4" xfId="11700" xr:uid="{00000000-0005-0000-0000-00009B120000}"/>
    <cellStyle name="Millares 3 3 2 2 3 4 2" xfId="31415" xr:uid="{00000000-0005-0000-0000-00009C120000}"/>
    <cellStyle name="Millares 3 3 2 2 3 5" xfId="21558" xr:uid="{00000000-0005-0000-0000-00009D120000}"/>
    <cellStyle name="Millares 3 3 2 2 4" xfId="3068" xr:uid="{00000000-0005-0000-0000-00009E120000}"/>
    <cellStyle name="Millares 3 3 2 2 4 2" xfId="8000" xr:uid="{00000000-0005-0000-0000-00009F120000}"/>
    <cellStyle name="Millares 3 3 2 2 4 2 2" xfId="17860" xr:uid="{00000000-0005-0000-0000-0000A0120000}"/>
    <cellStyle name="Millares 3 3 2 2 4 2 2 2" xfId="37575" xr:uid="{00000000-0005-0000-0000-0000A1120000}"/>
    <cellStyle name="Millares 3 3 2 2 4 2 3" xfId="27718" xr:uid="{00000000-0005-0000-0000-0000A2120000}"/>
    <cellStyle name="Millares 3 3 2 2 4 3" xfId="12932" xr:uid="{00000000-0005-0000-0000-0000A3120000}"/>
    <cellStyle name="Millares 3 3 2 2 4 3 2" xfId="32647" xr:uid="{00000000-0005-0000-0000-0000A4120000}"/>
    <cellStyle name="Millares 3 3 2 2 4 4" xfId="22790" xr:uid="{00000000-0005-0000-0000-0000A5120000}"/>
    <cellStyle name="Millares 3 3 2 2 5" xfId="5536" xr:uid="{00000000-0005-0000-0000-0000A6120000}"/>
    <cellStyle name="Millares 3 3 2 2 5 2" xfId="15396" xr:uid="{00000000-0005-0000-0000-0000A7120000}"/>
    <cellStyle name="Millares 3 3 2 2 5 2 2" xfId="35111" xr:uid="{00000000-0005-0000-0000-0000A8120000}"/>
    <cellStyle name="Millares 3 3 2 2 5 3" xfId="25254" xr:uid="{00000000-0005-0000-0000-0000A9120000}"/>
    <cellStyle name="Millares 3 3 2 2 6" xfId="10468" xr:uid="{00000000-0005-0000-0000-0000AA120000}"/>
    <cellStyle name="Millares 3 3 2 2 6 2" xfId="30183" xr:uid="{00000000-0005-0000-0000-0000AB120000}"/>
    <cellStyle name="Millares 3 3 2 2 7" xfId="20326" xr:uid="{00000000-0005-0000-0000-0000AC120000}"/>
    <cellStyle name="Millares 3 3 2 3" xfId="907" xr:uid="{00000000-0005-0000-0000-0000AD120000}"/>
    <cellStyle name="Millares 3 3 2 3 2" xfId="2143" xr:uid="{00000000-0005-0000-0000-0000AE120000}"/>
    <cellStyle name="Millares 3 3 2 3 2 2" xfId="4610" xr:uid="{00000000-0005-0000-0000-0000AF120000}"/>
    <cellStyle name="Millares 3 3 2 3 2 2 2" xfId="9542" xr:uid="{00000000-0005-0000-0000-0000B0120000}"/>
    <cellStyle name="Millares 3 3 2 3 2 2 2 2" xfId="19402" xr:uid="{00000000-0005-0000-0000-0000B1120000}"/>
    <cellStyle name="Millares 3 3 2 3 2 2 2 2 2" xfId="39117" xr:uid="{00000000-0005-0000-0000-0000B2120000}"/>
    <cellStyle name="Millares 3 3 2 3 2 2 2 3" xfId="29260" xr:uid="{00000000-0005-0000-0000-0000B3120000}"/>
    <cellStyle name="Millares 3 3 2 3 2 2 3" xfId="14474" xr:uid="{00000000-0005-0000-0000-0000B4120000}"/>
    <cellStyle name="Millares 3 3 2 3 2 2 3 2" xfId="34189" xr:uid="{00000000-0005-0000-0000-0000B5120000}"/>
    <cellStyle name="Millares 3 3 2 3 2 2 4" xfId="24332" xr:uid="{00000000-0005-0000-0000-0000B6120000}"/>
    <cellStyle name="Millares 3 3 2 3 2 3" xfId="7078" xr:uid="{00000000-0005-0000-0000-0000B7120000}"/>
    <cellStyle name="Millares 3 3 2 3 2 3 2" xfId="16938" xr:uid="{00000000-0005-0000-0000-0000B8120000}"/>
    <cellStyle name="Millares 3 3 2 3 2 3 2 2" xfId="36653" xr:uid="{00000000-0005-0000-0000-0000B9120000}"/>
    <cellStyle name="Millares 3 3 2 3 2 3 3" xfId="26796" xr:uid="{00000000-0005-0000-0000-0000BA120000}"/>
    <cellStyle name="Millares 3 3 2 3 2 4" xfId="12010" xr:uid="{00000000-0005-0000-0000-0000BB120000}"/>
    <cellStyle name="Millares 3 3 2 3 2 4 2" xfId="31725" xr:uid="{00000000-0005-0000-0000-0000BC120000}"/>
    <cellStyle name="Millares 3 3 2 3 2 5" xfId="21868" xr:uid="{00000000-0005-0000-0000-0000BD120000}"/>
    <cellStyle name="Millares 3 3 2 3 3" xfId="3378" xr:uid="{00000000-0005-0000-0000-0000BE120000}"/>
    <cellStyle name="Millares 3 3 2 3 3 2" xfId="8310" xr:uid="{00000000-0005-0000-0000-0000BF120000}"/>
    <cellStyle name="Millares 3 3 2 3 3 2 2" xfId="18170" xr:uid="{00000000-0005-0000-0000-0000C0120000}"/>
    <cellStyle name="Millares 3 3 2 3 3 2 2 2" xfId="37885" xr:uid="{00000000-0005-0000-0000-0000C1120000}"/>
    <cellStyle name="Millares 3 3 2 3 3 2 3" xfId="28028" xr:uid="{00000000-0005-0000-0000-0000C2120000}"/>
    <cellStyle name="Millares 3 3 2 3 3 3" xfId="13242" xr:uid="{00000000-0005-0000-0000-0000C3120000}"/>
    <cellStyle name="Millares 3 3 2 3 3 3 2" xfId="32957" xr:uid="{00000000-0005-0000-0000-0000C4120000}"/>
    <cellStyle name="Millares 3 3 2 3 3 4" xfId="23100" xr:uid="{00000000-0005-0000-0000-0000C5120000}"/>
    <cellStyle name="Millares 3 3 2 3 4" xfId="5846" xr:uid="{00000000-0005-0000-0000-0000C6120000}"/>
    <cellStyle name="Millares 3 3 2 3 4 2" xfId="15706" xr:uid="{00000000-0005-0000-0000-0000C7120000}"/>
    <cellStyle name="Millares 3 3 2 3 4 2 2" xfId="35421" xr:uid="{00000000-0005-0000-0000-0000C8120000}"/>
    <cellStyle name="Millares 3 3 2 3 4 3" xfId="25564" xr:uid="{00000000-0005-0000-0000-0000C9120000}"/>
    <cellStyle name="Millares 3 3 2 3 5" xfId="10778" xr:uid="{00000000-0005-0000-0000-0000CA120000}"/>
    <cellStyle name="Millares 3 3 2 3 5 2" xfId="30493" xr:uid="{00000000-0005-0000-0000-0000CB120000}"/>
    <cellStyle name="Millares 3 3 2 3 6" xfId="20636" xr:uid="{00000000-0005-0000-0000-0000CC120000}"/>
    <cellStyle name="Millares 3 3 2 4" xfId="1527" xr:uid="{00000000-0005-0000-0000-0000CD120000}"/>
    <cellStyle name="Millares 3 3 2 4 2" xfId="3994" xr:uid="{00000000-0005-0000-0000-0000CE120000}"/>
    <cellStyle name="Millares 3 3 2 4 2 2" xfId="8926" xr:uid="{00000000-0005-0000-0000-0000CF120000}"/>
    <cellStyle name="Millares 3 3 2 4 2 2 2" xfId="18786" xr:uid="{00000000-0005-0000-0000-0000D0120000}"/>
    <cellStyle name="Millares 3 3 2 4 2 2 2 2" xfId="38501" xr:uid="{00000000-0005-0000-0000-0000D1120000}"/>
    <cellStyle name="Millares 3 3 2 4 2 2 3" xfId="28644" xr:uid="{00000000-0005-0000-0000-0000D2120000}"/>
    <cellStyle name="Millares 3 3 2 4 2 3" xfId="13858" xr:uid="{00000000-0005-0000-0000-0000D3120000}"/>
    <cellStyle name="Millares 3 3 2 4 2 3 2" xfId="33573" xr:uid="{00000000-0005-0000-0000-0000D4120000}"/>
    <cellStyle name="Millares 3 3 2 4 2 4" xfId="23716" xr:uid="{00000000-0005-0000-0000-0000D5120000}"/>
    <cellStyle name="Millares 3 3 2 4 3" xfId="6462" xr:uid="{00000000-0005-0000-0000-0000D6120000}"/>
    <cellStyle name="Millares 3 3 2 4 3 2" xfId="16322" xr:uid="{00000000-0005-0000-0000-0000D7120000}"/>
    <cellStyle name="Millares 3 3 2 4 3 2 2" xfId="36037" xr:uid="{00000000-0005-0000-0000-0000D8120000}"/>
    <cellStyle name="Millares 3 3 2 4 3 3" xfId="26180" xr:uid="{00000000-0005-0000-0000-0000D9120000}"/>
    <cellStyle name="Millares 3 3 2 4 4" xfId="11394" xr:uid="{00000000-0005-0000-0000-0000DA120000}"/>
    <cellStyle name="Millares 3 3 2 4 4 2" xfId="31109" xr:uid="{00000000-0005-0000-0000-0000DB120000}"/>
    <cellStyle name="Millares 3 3 2 4 5" xfId="21252" xr:uid="{00000000-0005-0000-0000-0000DC120000}"/>
    <cellStyle name="Millares 3 3 2 5" xfId="2762" xr:uid="{00000000-0005-0000-0000-0000DD120000}"/>
    <cellStyle name="Millares 3 3 2 5 2" xfId="7694" xr:uid="{00000000-0005-0000-0000-0000DE120000}"/>
    <cellStyle name="Millares 3 3 2 5 2 2" xfId="17554" xr:uid="{00000000-0005-0000-0000-0000DF120000}"/>
    <cellStyle name="Millares 3 3 2 5 2 2 2" xfId="37269" xr:uid="{00000000-0005-0000-0000-0000E0120000}"/>
    <cellStyle name="Millares 3 3 2 5 2 3" xfId="27412" xr:uid="{00000000-0005-0000-0000-0000E1120000}"/>
    <cellStyle name="Millares 3 3 2 5 3" xfId="12626" xr:uid="{00000000-0005-0000-0000-0000E2120000}"/>
    <cellStyle name="Millares 3 3 2 5 3 2" xfId="32341" xr:uid="{00000000-0005-0000-0000-0000E3120000}"/>
    <cellStyle name="Millares 3 3 2 5 4" xfId="22484" xr:uid="{00000000-0005-0000-0000-0000E4120000}"/>
    <cellStyle name="Millares 3 3 2 6" xfId="5230" xr:uid="{00000000-0005-0000-0000-0000E5120000}"/>
    <cellStyle name="Millares 3 3 2 6 2" xfId="15090" xr:uid="{00000000-0005-0000-0000-0000E6120000}"/>
    <cellStyle name="Millares 3 3 2 6 2 2" xfId="34805" xr:uid="{00000000-0005-0000-0000-0000E7120000}"/>
    <cellStyle name="Millares 3 3 2 6 3" xfId="24948" xr:uid="{00000000-0005-0000-0000-0000E8120000}"/>
    <cellStyle name="Millares 3 3 2 7" xfId="10162" xr:uid="{00000000-0005-0000-0000-0000E9120000}"/>
    <cellStyle name="Millares 3 3 2 7 2" xfId="29877" xr:uid="{00000000-0005-0000-0000-0000EA120000}"/>
    <cellStyle name="Millares 3 3 2 8" xfId="20020" xr:uid="{00000000-0005-0000-0000-0000EB120000}"/>
    <cellStyle name="Millares 3 3 3" xfId="442" xr:uid="{00000000-0005-0000-0000-0000EC120000}"/>
    <cellStyle name="Millares 3 3 3 2" xfId="1062" xr:uid="{00000000-0005-0000-0000-0000ED120000}"/>
    <cellStyle name="Millares 3 3 3 2 2" xfId="2297" xr:uid="{00000000-0005-0000-0000-0000EE120000}"/>
    <cellStyle name="Millares 3 3 3 2 2 2" xfId="4764" xr:uid="{00000000-0005-0000-0000-0000EF120000}"/>
    <cellStyle name="Millares 3 3 3 2 2 2 2" xfId="9696" xr:uid="{00000000-0005-0000-0000-0000F0120000}"/>
    <cellStyle name="Millares 3 3 3 2 2 2 2 2" xfId="19556" xr:uid="{00000000-0005-0000-0000-0000F1120000}"/>
    <cellStyle name="Millares 3 3 3 2 2 2 2 2 2" xfId="39271" xr:uid="{00000000-0005-0000-0000-0000F2120000}"/>
    <cellStyle name="Millares 3 3 3 2 2 2 2 3" xfId="29414" xr:uid="{00000000-0005-0000-0000-0000F3120000}"/>
    <cellStyle name="Millares 3 3 3 2 2 2 3" xfId="14628" xr:uid="{00000000-0005-0000-0000-0000F4120000}"/>
    <cellStyle name="Millares 3 3 3 2 2 2 3 2" xfId="34343" xr:uid="{00000000-0005-0000-0000-0000F5120000}"/>
    <cellStyle name="Millares 3 3 3 2 2 2 4" xfId="24486" xr:uid="{00000000-0005-0000-0000-0000F6120000}"/>
    <cellStyle name="Millares 3 3 3 2 2 3" xfId="7232" xr:uid="{00000000-0005-0000-0000-0000F7120000}"/>
    <cellStyle name="Millares 3 3 3 2 2 3 2" xfId="17092" xr:uid="{00000000-0005-0000-0000-0000F8120000}"/>
    <cellStyle name="Millares 3 3 3 2 2 3 2 2" xfId="36807" xr:uid="{00000000-0005-0000-0000-0000F9120000}"/>
    <cellStyle name="Millares 3 3 3 2 2 3 3" xfId="26950" xr:uid="{00000000-0005-0000-0000-0000FA120000}"/>
    <cellStyle name="Millares 3 3 3 2 2 4" xfId="12164" xr:uid="{00000000-0005-0000-0000-0000FB120000}"/>
    <cellStyle name="Millares 3 3 3 2 2 4 2" xfId="31879" xr:uid="{00000000-0005-0000-0000-0000FC120000}"/>
    <cellStyle name="Millares 3 3 3 2 2 5" xfId="22022" xr:uid="{00000000-0005-0000-0000-0000FD120000}"/>
    <cellStyle name="Millares 3 3 3 2 3" xfId="3532" xr:uid="{00000000-0005-0000-0000-0000FE120000}"/>
    <cellStyle name="Millares 3 3 3 2 3 2" xfId="8464" xr:uid="{00000000-0005-0000-0000-0000FF120000}"/>
    <cellStyle name="Millares 3 3 3 2 3 2 2" xfId="18324" xr:uid="{00000000-0005-0000-0000-000000130000}"/>
    <cellStyle name="Millares 3 3 3 2 3 2 2 2" xfId="38039" xr:uid="{00000000-0005-0000-0000-000001130000}"/>
    <cellStyle name="Millares 3 3 3 2 3 2 3" xfId="28182" xr:uid="{00000000-0005-0000-0000-000002130000}"/>
    <cellStyle name="Millares 3 3 3 2 3 3" xfId="13396" xr:uid="{00000000-0005-0000-0000-000003130000}"/>
    <cellStyle name="Millares 3 3 3 2 3 3 2" xfId="33111" xr:uid="{00000000-0005-0000-0000-000004130000}"/>
    <cellStyle name="Millares 3 3 3 2 3 4" xfId="23254" xr:uid="{00000000-0005-0000-0000-000005130000}"/>
    <cellStyle name="Millares 3 3 3 2 4" xfId="6000" xr:uid="{00000000-0005-0000-0000-000006130000}"/>
    <cellStyle name="Millares 3 3 3 2 4 2" xfId="15860" xr:uid="{00000000-0005-0000-0000-000007130000}"/>
    <cellStyle name="Millares 3 3 3 2 4 2 2" xfId="35575" xr:uid="{00000000-0005-0000-0000-000008130000}"/>
    <cellStyle name="Millares 3 3 3 2 4 3" xfId="25718" xr:uid="{00000000-0005-0000-0000-000009130000}"/>
    <cellStyle name="Millares 3 3 3 2 5" xfId="10932" xr:uid="{00000000-0005-0000-0000-00000A130000}"/>
    <cellStyle name="Millares 3 3 3 2 5 2" xfId="30647" xr:uid="{00000000-0005-0000-0000-00000B130000}"/>
    <cellStyle name="Millares 3 3 3 2 6" xfId="20790" xr:uid="{00000000-0005-0000-0000-00000C130000}"/>
    <cellStyle name="Millares 3 3 3 3" xfId="1681" xr:uid="{00000000-0005-0000-0000-00000D130000}"/>
    <cellStyle name="Millares 3 3 3 3 2" xfId="4148" xr:uid="{00000000-0005-0000-0000-00000E130000}"/>
    <cellStyle name="Millares 3 3 3 3 2 2" xfId="9080" xr:uid="{00000000-0005-0000-0000-00000F130000}"/>
    <cellStyle name="Millares 3 3 3 3 2 2 2" xfId="18940" xr:uid="{00000000-0005-0000-0000-000010130000}"/>
    <cellStyle name="Millares 3 3 3 3 2 2 2 2" xfId="38655" xr:uid="{00000000-0005-0000-0000-000011130000}"/>
    <cellStyle name="Millares 3 3 3 3 2 2 3" xfId="28798" xr:uid="{00000000-0005-0000-0000-000012130000}"/>
    <cellStyle name="Millares 3 3 3 3 2 3" xfId="14012" xr:uid="{00000000-0005-0000-0000-000013130000}"/>
    <cellStyle name="Millares 3 3 3 3 2 3 2" xfId="33727" xr:uid="{00000000-0005-0000-0000-000014130000}"/>
    <cellStyle name="Millares 3 3 3 3 2 4" xfId="23870" xr:uid="{00000000-0005-0000-0000-000015130000}"/>
    <cellStyle name="Millares 3 3 3 3 3" xfId="6616" xr:uid="{00000000-0005-0000-0000-000016130000}"/>
    <cellStyle name="Millares 3 3 3 3 3 2" xfId="16476" xr:uid="{00000000-0005-0000-0000-000017130000}"/>
    <cellStyle name="Millares 3 3 3 3 3 2 2" xfId="36191" xr:uid="{00000000-0005-0000-0000-000018130000}"/>
    <cellStyle name="Millares 3 3 3 3 3 3" xfId="26334" xr:uid="{00000000-0005-0000-0000-000019130000}"/>
    <cellStyle name="Millares 3 3 3 3 4" xfId="11548" xr:uid="{00000000-0005-0000-0000-00001A130000}"/>
    <cellStyle name="Millares 3 3 3 3 4 2" xfId="31263" xr:uid="{00000000-0005-0000-0000-00001B130000}"/>
    <cellStyle name="Millares 3 3 3 3 5" xfId="21406" xr:uid="{00000000-0005-0000-0000-00001C130000}"/>
    <cellStyle name="Millares 3 3 3 4" xfId="2916" xr:uid="{00000000-0005-0000-0000-00001D130000}"/>
    <cellStyle name="Millares 3 3 3 4 2" xfId="7848" xr:uid="{00000000-0005-0000-0000-00001E130000}"/>
    <cellStyle name="Millares 3 3 3 4 2 2" xfId="17708" xr:uid="{00000000-0005-0000-0000-00001F130000}"/>
    <cellStyle name="Millares 3 3 3 4 2 2 2" xfId="37423" xr:uid="{00000000-0005-0000-0000-000020130000}"/>
    <cellStyle name="Millares 3 3 3 4 2 3" xfId="27566" xr:uid="{00000000-0005-0000-0000-000021130000}"/>
    <cellStyle name="Millares 3 3 3 4 3" xfId="12780" xr:uid="{00000000-0005-0000-0000-000022130000}"/>
    <cellStyle name="Millares 3 3 3 4 3 2" xfId="32495" xr:uid="{00000000-0005-0000-0000-000023130000}"/>
    <cellStyle name="Millares 3 3 3 4 4" xfId="22638" xr:uid="{00000000-0005-0000-0000-000024130000}"/>
    <cellStyle name="Millares 3 3 3 5" xfId="5384" xr:uid="{00000000-0005-0000-0000-000025130000}"/>
    <cellStyle name="Millares 3 3 3 5 2" xfId="15244" xr:uid="{00000000-0005-0000-0000-000026130000}"/>
    <cellStyle name="Millares 3 3 3 5 2 2" xfId="34959" xr:uid="{00000000-0005-0000-0000-000027130000}"/>
    <cellStyle name="Millares 3 3 3 5 3" xfId="25102" xr:uid="{00000000-0005-0000-0000-000028130000}"/>
    <cellStyle name="Millares 3 3 3 6" xfId="10316" xr:uid="{00000000-0005-0000-0000-000029130000}"/>
    <cellStyle name="Millares 3 3 3 6 2" xfId="30031" xr:uid="{00000000-0005-0000-0000-00002A130000}"/>
    <cellStyle name="Millares 3 3 3 7" xfId="20174" xr:uid="{00000000-0005-0000-0000-00002B130000}"/>
    <cellStyle name="Millares 3 3 4" xfId="755" xr:uid="{00000000-0005-0000-0000-00002C130000}"/>
    <cellStyle name="Millares 3 3 4 2" xfId="1991" xr:uid="{00000000-0005-0000-0000-00002D130000}"/>
    <cellStyle name="Millares 3 3 4 2 2" xfId="4458" xr:uid="{00000000-0005-0000-0000-00002E130000}"/>
    <cellStyle name="Millares 3 3 4 2 2 2" xfId="9390" xr:uid="{00000000-0005-0000-0000-00002F130000}"/>
    <cellStyle name="Millares 3 3 4 2 2 2 2" xfId="19250" xr:uid="{00000000-0005-0000-0000-000030130000}"/>
    <cellStyle name="Millares 3 3 4 2 2 2 2 2" xfId="38965" xr:uid="{00000000-0005-0000-0000-000031130000}"/>
    <cellStyle name="Millares 3 3 4 2 2 2 3" xfId="29108" xr:uid="{00000000-0005-0000-0000-000032130000}"/>
    <cellStyle name="Millares 3 3 4 2 2 3" xfId="14322" xr:uid="{00000000-0005-0000-0000-000033130000}"/>
    <cellStyle name="Millares 3 3 4 2 2 3 2" xfId="34037" xr:uid="{00000000-0005-0000-0000-000034130000}"/>
    <cellStyle name="Millares 3 3 4 2 2 4" xfId="24180" xr:uid="{00000000-0005-0000-0000-000035130000}"/>
    <cellStyle name="Millares 3 3 4 2 3" xfId="6926" xr:uid="{00000000-0005-0000-0000-000036130000}"/>
    <cellStyle name="Millares 3 3 4 2 3 2" xfId="16786" xr:uid="{00000000-0005-0000-0000-000037130000}"/>
    <cellStyle name="Millares 3 3 4 2 3 2 2" xfId="36501" xr:uid="{00000000-0005-0000-0000-000038130000}"/>
    <cellStyle name="Millares 3 3 4 2 3 3" xfId="26644" xr:uid="{00000000-0005-0000-0000-000039130000}"/>
    <cellStyle name="Millares 3 3 4 2 4" xfId="11858" xr:uid="{00000000-0005-0000-0000-00003A130000}"/>
    <cellStyle name="Millares 3 3 4 2 4 2" xfId="31573" xr:uid="{00000000-0005-0000-0000-00003B130000}"/>
    <cellStyle name="Millares 3 3 4 2 5" xfId="21716" xr:uid="{00000000-0005-0000-0000-00003C130000}"/>
    <cellStyle name="Millares 3 3 4 3" xfId="3226" xr:uid="{00000000-0005-0000-0000-00003D130000}"/>
    <cellStyle name="Millares 3 3 4 3 2" xfId="8158" xr:uid="{00000000-0005-0000-0000-00003E130000}"/>
    <cellStyle name="Millares 3 3 4 3 2 2" xfId="18018" xr:uid="{00000000-0005-0000-0000-00003F130000}"/>
    <cellStyle name="Millares 3 3 4 3 2 2 2" xfId="37733" xr:uid="{00000000-0005-0000-0000-000040130000}"/>
    <cellStyle name="Millares 3 3 4 3 2 3" xfId="27876" xr:uid="{00000000-0005-0000-0000-000041130000}"/>
    <cellStyle name="Millares 3 3 4 3 3" xfId="13090" xr:uid="{00000000-0005-0000-0000-000042130000}"/>
    <cellStyle name="Millares 3 3 4 3 3 2" xfId="32805" xr:uid="{00000000-0005-0000-0000-000043130000}"/>
    <cellStyle name="Millares 3 3 4 3 4" xfId="22948" xr:uid="{00000000-0005-0000-0000-000044130000}"/>
    <cellStyle name="Millares 3 3 4 4" xfId="5694" xr:uid="{00000000-0005-0000-0000-000045130000}"/>
    <cellStyle name="Millares 3 3 4 4 2" xfId="15554" xr:uid="{00000000-0005-0000-0000-000046130000}"/>
    <cellStyle name="Millares 3 3 4 4 2 2" xfId="35269" xr:uid="{00000000-0005-0000-0000-000047130000}"/>
    <cellStyle name="Millares 3 3 4 4 3" xfId="25412" xr:uid="{00000000-0005-0000-0000-000048130000}"/>
    <cellStyle name="Millares 3 3 4 5" xfId="10626" xr:uid="{00000000-0005-0000-0000-000049130000}"/>
    <cellStyle name="Millares 3 3 4 5 2" xfId="30341" xr:uid="{00000000-0005-0000-0000-00004A130000}"/>
    <cellStyle name="Millares 3 3 4 6" xfId="20484" xr:uid="{00000000-0005-0000-0000-00004B130000}"/>
    <cellStyle name="Millares 3 3 5" xfId="1375" xr:uid="{00000000-0005-0000-0000-00004C130000}"/>
    <cellStyle name="Millares 3 3 5 2" xfId="3842" xr:uid="{00000000-0005-0000-0000-00004D130000}"/>
    <cellStyle name="Millares 3 3 5 2 2" xfId="8774" xr:uid="{00000000-0005-0000-0000-00004E130000}"/>
    <cellStyle name="Millares 3 3 5 2 2 2" xfId="18634" xr:uid="{00000000-0005-0000-0000-00004F130000}"/>
    <cellStyle name="Millares 3 3 5 2 2 2 2" xfId="38349" xr:uid="{00000000-0005-0000-0000-000050130000}"/>
    <cellStyle name="Millares 3 3 5 2 2 3" xfId="28492" xr:uid="{00000000-0005-0000-0000-000051130000}"/>
    <cellStyle name="Millares 3 3 5 2 3" xfId="13706" xr:uid="{00000000-0005-0000-0000-000052130000}"/>
    <cellStyle name="Millares 3 3 5 2 3 2" xfId="33421" xr:uid="{00000000-0005-0000-0000-000053130000}"/>
    <cellStyle name="Millares 3 3 5 2 4" xfId="23564" xr:uid="{00000000-0005-0000-0000-000054130000}"/>
    <cellStyle name="Millares 3 3 5 3" xfId="6310" xr:uid="{00000000-0005-0000-0000-000055130000}"/>
    <cellStyle name="Millares 3 3 5 3 2" xfId="16170" xr:uid="{00000000-0005-0000-0000-000056130000}"/>
    <cellStyle name="Millares 3 3 5 3 2 2" xfId="35885" xr:uid="{00000000-0005-0000-0000-000057130000}"/>
    <cellStyle name="Millares 3 3 5 3 3" xfId="26028" xr:uid="{00000000-0005-0000-0000-000058130000}"/>
    <cellStyle name="Millares 3 3 5 4" xfId="11242" xr:uid="{00000000-0005-0000-0000-000059130000}"/>
    <cellStyle name="Millares 3 3 5 4 2" xfId="30957" xr:uid="{00000000-0005-0000-0000-00005A130000}"/>
    <cellStyle name="Millares 3 3 5 5" xfId="21100" xr:uid="{00000000-0005-0000-0000-00005B130000}"/>
    <cellStyle name="Millares 3 3 6" xfId="2610" xr:uid="{00000000-0005-0000-0000-00005C130000}"/>
    <cellStyle name="Millares 3 3 6 2" xfId="7542" xr:uid="{00000000-0005-0000-0000-00005D130000}"/>
    <cellStyle name="Millares 3 3 6 2 2" xfId="17402" xr:uid="{00000000-0005-0000-0000-00005E130000}"/>
    <cellStyle name="Millares 3 3 6 2 2 2" xfId="37117" xr:uid="{00000000-0005-0000-0000-00005F130000}"/>
    <cellStyle name="Millares 3 3 6 2 3" xfId="27260" xr:uid="{00000000-0005-0000-0000-000060130000}"/>
    <cellStyle name="Millares 3 3 6 3" xfId="12474" xr:uid="{00000000-0005-0000-0000-000061130000}"/>
    <cellStyle name="Millares 3 3 6 3 2" xfId="32189" xr:uid="{00000000-0005-0000-0000-000062130000}"/>
    <cellStyle name="Millares 3 3 6 4" xfId="22332" xr:uid="{00000000-0005-0000-0000-000063130000}"/>
    <cellStyle name="Millares 3 3 7" xfId="5078" xr:uid="{00000000-0005-0000-0000-000064130000}"/>
    <cellStyle name="Millares 3 3 7 2" xfId="14938" xr:uid="{00000000-0005-0000-0000-000065130000}"/>
    <cellStyle name="Millares 3 3 7 2 2" xfId="34653" xr:uid="{00000000-0005-0000-0000-000066130000}"/>
    <cellStyle name="Millares 3 3 7 3" xfId="24796" xr:uid="{00000000-0005-0000-0000-000067130000}"/>
    <cellStyle name="Millares 3 3 8" xfId="10010" xr:uid="{00000000-0005-0000-0000-000068130000}"/>
    <cellStyle name="Millares 3 3 8 2" xfId="29725" xr:uid="{00000000-0005-0000-0000-000069130000}"/>
    <cellStyle name="Millares 3 3 9" xfId="19868" xr:uid="{00000000-0005-0000-0000-00006A130000}"/>
    <cellStyle name="Millares 3 4" xfId="204" xr:uid="{00000000-0005-0000-0000-00006B130000}"/>
    <cellStyle name="Millares 3 4 2" xfId="518" xr:uid="{00000000-0005-0000-0000-00006C130000}"/>
    <cellStyle name="Millares 3 4 2 2" xfId="1138" xr:uid="{00000000-0005-0000-0000-00006D130000}"/>
    <cellStyle name="Millares 3 4 2 2 2" xfId="2373" xr:uid="{00000000-0005-0000-0000-00006E130000}"/>
    <cellStyle name="Millares 3 4 2 2 2 2" xfId="4840" xr:uid="{00000000-0005-0000-0000-00006F130000}"/>
    <cellStyle name="Millares 3 4 2 2 2 2 2" xfId="9772" xr:uid="{00000000-0005-0000-0000-000070130000}"/>
    <cellStyle name="Millares 3 4 2 2 2 2 2 2" xfId="19632" xr:uid="{00000000-0005-0000-0000-000071130000}"/>
    <cellStyle name="Millares 3 4 2 2 2 2 2 2 2" xfId="39347" xr:uid="{00000000-0005-0000-0000-000072130000}"/>
    <cellStyle name="Millares 3 4 2 2 2 2 2 3" xfId="29490" xr:uid="{00000000-0005-0000-0000-000073130000}"/>
    <cellStyle name="Millares 3 4 2 2 2 2 3" xfId="14704" xr:uid="{00000000-0005-0000-0000-000074130000}"/>
    <cellStyle name="Millares 3 4 2 2 2 2 3 2" xfId="34419" xr:uid="{00000000-0005-0000-0000-000075130000}"/>
    <cellStyle name="Millares 3 4 2 2 2 2 4" xfId="24562" xr:uid="{00000000-0005-0000-0000-000076130000}"/>
    <cellStyle name="Millares 3 4 2 2 2 3" xfId="7308" xr:uid="{00000000-0005-0000-0000-000077130000}"/>
    <cellStyle name="Millares 3 4 2 2 2 3 2" xfId="17168" xr:uid="{00000000-0005-0000-0000-000078130000}"/>
    <cellStyle name="Millares 3 4 2 2 2 3 2 2" xfId="36883" xr:uid="{00000000-0005-0000-0000-000079130000}"/>
    <cellStyle name="Millares 3 4 2 2 2 3 3" xfId="27026" xr:uid="{00000000-0005-0000-0000-00007A130000}"/>
    <cellStyle name="Millares 3 4 2 2 2 4" xfId="12240" xr:uid="{00000000-0005-0000-0000-00007B130000}"/>
    <cellStyle name="Millares 3 4 2 2 2 4 2" xfId="31955" xr:uid="{00000000-0005-0000-0000-00007C130000}"/>
    <cellStyle name="Millares 3 4 2 2 2 5" xfId="22098" xr:uid="{00000000-0005-0000-0000-00007D130000}"/>
    <cellStyle name="Millares 3 4 2 2 3" xfId="3608" xr:uid="{00000000-0005-0000-0000-00007E130000}"/>
    <cellStyle name="Millares 3 4 2 2 3 2" xfId="8540" xr:uid="{00000000-0005-0000-0000-00007F130000}"/>
    <cellStyle name="Millares 3 4 2 2 3 2 2" xfId="18400" xr:uid="{00000000-0005-0000-0000-000080130000}"/>
    <cellStyle name="Millares 3 4 2 2 3 2 2 2" xfId="38115" xr:uid="{00000000-0005-0000-0000-000081130000}"/>
    <cellStyle name="Millares 3 4 2 2 3 2 3" xfId="28258" xr:uid="{00000000-0005-0000-0000-000082130000}"/>
    <cellStyle name="Millares 3 4 2 2 3 3" xfId="13472" xr:uid="{00000000-0005-0000-0000-000083130000}"/>
    <cellStyle name="Millares 3 4 2 2 3 3 2" xfId="33187" xr:uid="{00000000-0005-0000-0000-000084130000}"/>
    <cellStyle name="Millares 3 4 2 2 3 4" xfId="23330" xr:uid="{00000000-0005-0000-0000-000085130000}"/>
    <cellStyle name="Millares 3 4 2 2 4" xfId="6076" xr:uid="{00000000-0005-0000-0000-000086130000}"/>
    <cellStyle name="Millares 3 4 2 2 4 2" xfId="15936" xr:uid="{00000000-0005-0000-0000-000087130000}"/>
    <cellStyle name="Millares 3 4 2 2 4 2 2" xfId="35651" xr:uid="{00000000-0005-0000-0000-000088130000}"/>
    <cellStyle name="Millares 3 4 2 2 4 3" xfId="25794" xr:uid="{00000000-0005-0000-0000-000089130000}"/>
    <cellStyle name="Millares 3 4 2 2 5" xfId="11008" xr:uid="{00000000-0005-0000-0000-00008A130000}"/>
    <cellStyle name="Millares 3 4 2 2 5 2" xfId="30723" xr:uid="{00000000-0005-0000-0000-00008B130000}"/>
    <cellStyle name="Millares 3 4 2 2 6" xfId="20866" xr:uid="{00000000-0005-0000-0000-00008C130000}"/>
    <cellStyle name="Millares 3 4 2 3" xfId="1757" xr:uid="{00000000-0005-0000-0000-00008D130000}"/>
    <cellStyle name="Millares 3 4 2 3 2" xfId="4224" xr:uid="{00000000-0005-0000-0000-00008E130000}"/>
    <cellStyle name="Millares 3 4 2 3 2 2" xfId="9156" xr:uid="{00000000-0005-0000-0000-00008F130000}"/>
    <cellStyle name="Millares 3 4 2 3 2 2 2" xfId="19016" xr:uid="{00000000-0005-0000-0000-000090130000}"/>
    <cellStyle name="Millares 3 4 2 3 2 2 2 2" xfId="38731" xr:uid="{00000000-0005-0000-0000-000091130000}"/>
    <cellStyle name="Millares 3 4 2 3 2 2 3" xfId="28874" xr:uid="{00000000-0005-0000-0000-000092130000}"/>
    <cellStyle name="Millares 3 4 2 3 2 3" xfId="14088" xr:uid="{00000000-0005-0000-0000-000093130000}"/>
    <cellStyle name="Millares 3 4 2 3 2 3 2" xfId="33803" xr:uid="{00000000-0005-0000-0000-000094130000}"/>
    <cellStyle name="Millares 3 4 2 3 2 4" xfId="23946" xr:uid="{00000000-0005-0000-0000-000095130000}"/>
    <cellStyle name="Millares 3 4 2 3 3" xfId="6692" xr:uid="{00000000-0005-0000-0000-000096130000}"/>
    <cellStyle name="Millares 3 4 2 3 3 2" xfId="16552" xr:uid="{00000000-0005-0000-0000-000097130000}"/>
    <cellStyle name="Millares 3 4 2 3 3 2 2" xfId="36267" xr:uid="{00000000-0005-0000-0000-000098130000}"/>
    <cellStyle name="Millares 3 4 2 3 3 3" xfId="26410" xr:uid="{00000000-0005-0000-0000-000099130000}"/>
    <cellStyle name="Millares 3 4 2 3 4" xfId="11624" xr:uid="{00000000-0005-0000-0000-00009A130000}"/>
    <cellStyle name="Millares 3 4 2 3 4 2" xfId="31339" xr:uid="{00000000-0005-0000-0000-00009B130000}"/>
    <cellStyle name="Millares 3 4 2 3 5" xfId="21482" xr:uid="{00000000-0005-0000-0000-00009C130000}"/>
    <cellStyle name="Millares 3 4 2 4" xfId="2992" xr:uid="{00000000-0005-0000-0000-00009D130000}"/>
    <cellStyle name="Millares 3 4 2 4 2" xfId="7924" xr:uid="{00000000-0005-0000-0000-00009E130000}"/>
    <cellStyle name="Millares 3 4 2 4 2 2" xfId="17784" xr:uid="{00000000-0005-0000-0000-00009F130000}"/>
    <cellStyle name="Millares 3 4 2 4 2 2 2" xfId="37499" xr:uid="{00000000-0005-0000-0000-0000A0130000}"/>
    <cellStyle name="Millares 3 4 2 4 2 3" xfId="27642" xr:uid="{00000000-0005-0000-0000-0000A1130000}"/>
    <cellStyle name="Millares 3 4 2 4 3" xfId="12856" xr:uid="{00000000-0005-0000-0000-0000A2130000}"/>
    <cellStyle name="Millares 3 4 2 4 3 2" xfId="32571" xr:uid="{00000000-0005-0000-0000-0000A3130000}"/>
    <cellStyle name="Millares 3 4 2 4 4" xfId="22714" xr:uid="{00000000-0005-0000-0000-0000A4130000}"/>
    <cellStyle name="Millares 3 4 2 5" xfId="5460" xr:uid="{00000000-0005-0000-0000-0000A5130000}"/>
    <cellStyle name="Millares 3 4 2 5 2" xfId="15320" xr:uid="{00000000-0005-0000-0000-0000A6130000}"/>
    <cellStyle name="Millares 3 4 2 5 2 2" xfId="35035" xr:uid="{00000000-0005-0000-0000-0000A7130000}"/>
    <cellStyle name="Millares 3 4 2 5 3" xfId="25178" xr:uid="{00000000-0005-0000-0000-0000A8130000}"/>
    <cellStyle name="Millares 3 4 2 6" xfId="10392" xr:uid="{00000000-0005-0000-0000-0000A9130000}"/>
    <cellStyle name="Millares 3 4 2 6 2" xfId="30107" xr:uid="{00000000-0005-0000-0000-0000AA130000}"/>
    <cellStyle name="Millares 3 4 2 7" xfId="20250" xr:uid="{00000000-0005-0000-0000-0000AB130000}"/>
    <cellStyle name="Millares 3 4 3" xfId="831" xr:uid="{00000000-0005-0000-0000-0000AC130000}"/>
    <cellStyle name="Millares 3 4 3 2" xfId="2067" xr:uid="{00000000-0005-0000-0000-0000AD130000}"/>
    <cellStyle name="Millares 3 4 3 2 2" xfId="4534" xr:uid="{00000000-0005-0000-0000-0000AE130000}"/>
    <cellStyle name="Millares 3 4 3 2 2 2" xfId="9466" xr:uid="{00000000-0005-0000-0000-0000AF130000}"/>
    <cellStyle name="Millares 3 4 3 2 2 2 2" xfId="19326" xr:uid="{00000000-0005-0000-0000-0000B0130000}"/>
    <cellStyle name="Millares 3 4 3 2 2 2 2 2" xfId="39041" xr:uid="{00000000-0005-0000-0000-0000B1130000}"/>
    <cellStyle name="Millares 3 4 3 2 2 2 3" xfId="29184" xr:uid="{00000000-0005-0000-0000-0000B2130000}"/>
    <cellStyle name="Millares 3 4 3 2 2 3" xfId="14398" xr:uid="{00000000-0005-0000-0000-0000B3130000}"/>
    <cellStyle name="Millares 3 4 3 2 2 3 2" xfId="34113" xr:uid="{00000000-0005-0000-0000-0000B4130000}"/>
    <cellStyle name="Millares 3 4 3 2 2 4" xfId="24256" xr:uid="{00000000-0005-0000-0000-0000B5130000}"/>
    <cellStyle name="Millares 3 4 3 2 3" xfId="7002" xr:uid="{00000000-0005-0000-0000-0000B6130000}"/>
    <cellStyle name="Millares 3 4 3 2 3 2" xfId="16862" xr:uid="{00000000-0005-0000-0000-0000B7130000}"/>
    <cellStyle name="Millares 3 4 3 2 3 2 2" xfId="36577" xr:uid="{00000000-0005-0000-0000-0000B8130000}"/>
    <cellStyle name="Millares 3 4 3 2 3 3" xfId="26720" xr:uid="{00000000-0005-0000-0000-0000B9130000}"/>
    <cellStyle name="Millares 3 4 3 2 4" xfId="11934" xr:uid="{00000000-0005-0000-0000-0000BA130000}"/>
    <cellStyle name="Millares 3 4 3 2 4 2" xfId="31649" xr:uid="{00000000-0005-0000-0000-0000BB130000}"/>
    <cellStyle name="Millares 3 4 3 2 5" xfId="21792" xr:uid="{00000000-0005-0000-0000-0000BC130000}"/>
    <cellStyle name="Millares 3 4 3 3" xfId="3302" xr:uid="{00000000-0005-0000-0000-0000BD130000}"/>
    <cellStyle name="Millares 3 4 3 3 2" xfId="8234" xr:uid="{00000000-0005-0000-0000-0000BE130000}"/>
    <cellStyle name="Millares 3 4 3 3 2 2" xfId="18094" xr:uid="{00000000-0005-0000-0000-0000BF130000}"/>
    <cellStyle name="Millares 3 4 3 3 2 2 2" xfId="37809" xr:uid="{00000000-0005-0000-0000-0000C0130000}"/>
    <cellStyle name="Millares 3 4 3 3 2 3" xfId="27952" xr:uid="{00000000-0005-0000-0000-0000C1130000}"/>
    <cellStyle name="Millares 3 4 3 3 3" xfId="13166" xr:uid="{00000000-0005-0000-0000-0000C2130000}"/>
    <cellStyle name="Millares 3 4 3 3 3 2" xfId="32881" xr:uid="{00000000-0005-0000-0000-0000C3130000}"/>
    <cellStyle name="Millares 3 4 3 3 4" xfId="23024" xr:uid="{00000000-0005-0000-0000-0000C4130000}"/>
    <cellStyle name="Millares 3 4 3 4" xfId="5770" xr:uid="{00000000-0005-0000-0000-0000C5130000}"/>
    <cellStyle name="Millares 3 4 3 4 2" xfId="15630" xr:uid="{00000000-0005-0000-0000-0000C6130000}"/>
    <cellStyle name="Millares 3 4 3 4 2 2" xfId="35345" xr:uid="{00000000-0005-0000-0000-0000C7130000}"/>
    <cellStyle name="Millares 3 4 3 4 3" xfId="25488" xr:uid="{00000000-0005-0000-0000-0000C8130000}"/>
    <cellStyle name="Millares 3 4 3 5" xfId="10702" xr:uid="{00000000-0005-0000-0000-0000C9130000}"/>
    <cellStyle name="Millares 3 4 3 5 2" xfId="30417" xr:uid="{00000000-0005-0000-0000-0000CA130000}"/>
    <cellStyle name="Millares 3 4 3 6" xfId="20560" xr:uid="{00000000-0005-0000-0000-0000CB130000}"/>
    <cellStyle name="Millares 3 4 4" xfId="1451" xr:uid="{00000000-0005-0000-0000-0000CC130000}"/>
    <cellStyle name="Millares 3 4 4 2" xfId="3918" xr:uid="{00000000-0005-0000-0000-0000CD130000}"/>
    <cellStyle name="Millares 3 4 4 2 2" xfId="8850" xr:uid="{00000000-0005-0000-0000-0000CE130000}"/>
    <cellStyle name="Millares 3 4 4 2 2 2" xfId="18710" xr:uid="{00000000-0005-0000-0000-0000CF130000}"/>
    <cellStyle name="Millares 3 4 4 2 2 2 2" xfId="38425" xr:uid="{00000000-0005-0000-0000-0000D0130000}"/>
    <cellStyle name="Millares 3 4 4 2 2 3" xfId="28568" xr:uid="{00000000-0005-0000-0000-0000D1130000}"/>
    <cellStyle name="Millares 3 4 4 2 3" xfId="13782" xr:uid="{00000000-0005-0000-0000-0000D2130000}"/>
    <cellStyle name="Millares 3 4 4 2 3 2" xfId="33497" xr:uid="{00000000-0005-0000-0000-0000D3130000}"/>
    <cellStyle name="Millares 3 4 4 2 4" xfId="23640" xr:uid="{00000000-0005-0000-0000-0000D4130000}"/>
    <cellStyle name="Millares 3 4 4 3" xfId="6386" xr:uid="{00000000-0005-0000-0000-0000D5130000}"/>
    <cellStyle name="Millares 3 4 4 3 2" xfId="16246" xr:uid="{00000000-0005-0000-0000-0000D6130000}"/>
    <cellStyle name="Millares 3 4 4 3 2 2" xfId="35961" xr:uid="{00000000-0005-0000-0000-0000D7130000}"/>
    <cellStyle name="Millares 3 4 4 3 3" xfId="26104" xr:uid="{00000000-0005-0000-0000-0000D8130000}"/>
    <cellStyle name="Millares 3 4 4 4" xfId="11318" xr:uid="{00000000-0005-0000-0000-0000D9130000}"/>
    <cellStyle name="Millares 3 4 4 4 2" xfId="31033" xr:uid="{00000000-0005-0000-0000-0000DA130000}"/>
    <cellStyle name="Millares 3 4 4 5" xfId="21176" xr:uid="{00000000-0005-0000-0000-0000DB130000}"/>
    <cellStyle name="Millares 3 4 5" xfId="2686" xr:uid="{00000000-0005-0000-0000-0000DC130000}"/>
    <cellStyle name="Millares 3 4 5 2" xfId="7618" xr:uid="{00000000-0005-0000-0000-0000DD130000}"/>
    <cellStyle name="Millares 3 4 5 2 2" xfId="17478" xr:uid="{00000000-0005-0000-0000-0000DE130000}"/>
    <cellStyle name="Millares 3 4 5 2 2 2" xfId="37193" xr:uid="{00000000-0005-0000-0000-0000DF130000}"/>
    <cellStyle name="Millares 3 4 5 2 3" xfId="27336" xr:uid="{00000000-0005-0000-0000-0000E0130000}"/>
    <cellStyle name="Millares 3 4 5 3" xfId="12550" xr:uid="{00000000-0005-0000-0000-0000E1130000}"/>
    <cellStyle name="Millares 3 4 5 3 2" xfId="32265" xr:uid="{00000000-0005-0000-0000-0000E2130000}"/>
    <cellStyle name="Millares 3 4 5 4" xfId="22408" xr:uid="{00000000-0005-0000-0000-0000E3130000}"/>
    <cellStyle name="Millares 3 4 6" xfId="5154" xr:uid="{00000000-0005-0000-0000-0000E4130000}"/>
    <cellStyle name="Millares 3 4 6 2" xfId="15014" xr:uid="{00000000-0005-0000-0000-0000E5130000}"/>
    <cellStyle name="Millares 3 4 6 2 2" xfId="34729" xr:uid="{00000000-0005-0000-0000-0000E6130000}"/>
    <cellStyle name="Millares 3 4 6 3" xfId="24872" xr:uid="{00000000-0005-0000-0000-0000E7130000}"/>
    <cellStyle name="Millares 3 4 7" xfId="10086" xr:uid="{00000000-0005-0000-0000-0000E8130000}"/>
    <cellStyle name="Millares 3 4 7 2" xfId="29801" xr:uid="{00000000-0005-0000-0000-0000E9130000}"/>
    <cellStyle name="Millares 3 4 8" xfId="19944" xr:uid="{00000000-0005-0000-0000-0000EA130000}"/>
    <cellStyle name="Millares 3 5" xfId="366" xr:uid="{00000000-0005-0000-0000-0000EB130000}"/>
    <cellStyle name="Millares 3 5 2" xfId="986" xr:uid="{00000000-0005-0000-0000-0000EC130000}"/>
    <cellStyle name="Millares 3 5 2 2" xfId="2221" xr:uid="{00000000-0005-0000-0000-0000ED130000}"/>
    <cellStyle name="Millares 3 5 2 2 2" xfId="4688" xr:uid="{00000000-0005-0000-0000-0000EE130000}"/>
    <cellStyle name="Millares 3 5 2 2 2 2" xfId="9620" xr:uid="{00000000-0005-0000-0000-0000EF130000}"/>
    <cellStyle name="Millares 3 5 2 2 2 2 2" xfId="19480" xr:uid="{00000000-0005-0000-0000-0000F0130000}"/>
    <cellStyle name="Millares 3 5 2 2 2 2 2 2" xfId="39195" xr:uid="{00000000-0005-0000-0000-0000F1130000}"/>
    <cellStyle name="Millares 3 5 2 2 2 2 3" xfId="29338" xr:uid="{00000000-0005-0000-0000-0000F2130000}"/>
    <cellStyle name="Millares 3 5 2 2 2 3" xfId="14552" xr:uid="{00000000-0005-0000-0000-0000F3130000}"/>
    <cellStyle name="Millares 3 5 2 2 2 3 2" xfId="34267" xr:uid="{00000000-0005-0000-0000-0000F4130000}"/>
    <cellStyle name="Millares 3 5 2 2 2 4" xfId="24410" xr:uid="{00000000-0005-0000-0000-0000F5130000}"/>
    <cellStyle name="Millares 3 5 2 2 3" xfId="7156" xr:uid="{00000000-0005-0000-0000-0000F6130000}"/>
    <cellStyle name="Millares 3 5 2 2 3 2" xfId="17016" xr:uid="{00000000-0005-0000-0000-0000F7130000}"/>
    <cellStyle name="Millares 3 5 2 2 3 2 2" xfId="36731" xr:uid="{00000000-0005-0000-0000-0000F8130000}"/>
    <cellStyle name="Millares 3 5 2 2 3 3" xfId="26874" xr:uid="{00000000-0005-0000-0000-0000F9130000}"/>
    <cellStyle name="Millares 3 5 2 2 4" xfId="12088" xr:uid="{00000000-0005-0000-0000-0000FA130000}"/>
    <cellStyle name="Millares 3 5 2 2 4 2" xfId="31803" xr:uid="{00000000-0005-0000-0000-0000FB130000}"/>
    <cellStyle name="Millares 3 5 2 2 5" xfId="21946" xr:uid="{00000000-0005-0000-0000-0000FC130000}"/>
    <cellStyle name="Millares 3 5 2 3" xfId="3456" xr:uid="{00000000-0005-0000-0000-0000FD130000}"/>
    <cellStyle name="Millares 3 5 2 3 2" xfId="8388" xr:uid="{00000000-0005-0000-0000-0000FE130000}"/>
    <cellStyle name="Millares 3 5 2 3 2 2" xfId="18248" xr:uid="{00000000-0005-0000-0000-0000FF130000}"/>
    <cellStyle name="Millares 3 5 2 3 2 2 2" xfId="37963" xr:uid="{00000000-0005-0000-0000-000000140000}"/>
    <cellStyle name="Millares 3 5 2 3 2 3" xfId="28106" xr:uid="{00000000-0005-0000-0000-000001140000}"/>
    <cellStyle name="Millares 3 5 2 3 3" xfId="13320" xr:uid="{00000000-0005-0000-0000-000002140000}"/>
    <cellStyle name="Millares 3 5 2 3 3 2" xfId="33035" xr:uid="{00000000-0005-0000-0000-000003140000}"/>
    <cellStyle name="Millares 3 5 2 3 4" xfId="23178" xr:uid="{00000000-0005-0000-0000-000004140000}"/>
    <cellStyle name="Millares 3 5 2 4" xfId="5924" xr:uid="{00000000-0005-0000-0000-000005140000}"/>
    <cellStyle name="Millares 3 5 2 4 2" xfId="15784" xr:uid="{00000000-0005-0000-0000-000006140000}"/>
    <cellStyle name="Millares 3 5 2 4 2 2" xfId="35499" xr:uid="{00000000-0005-0000-0000-000007140000}"/>
    <cellStyle name="Millares 3 5 2 4 3" xfId="25642" xr:uid="{00000000-0005-0000-0000-000008140000}"/>
    <cellStyle name="Millares 3 5 2 5" xfId="10856" xr:uid="{00000000-0005-0000-0000-000009140000}"/>
    <cellStyle name="Millares 3 5 2 5 2" xfId="30571" xr:uid="{00000000-0005-0000-0000-00000A140000}"/>
    <cellStyle name="Millares 3 5 2 6" xfId="20714" xr:uid="{00000000-0005-0000-0000-00000B140000}"/>
    <cellStyle name="Millares 3 5 3" xfId="1605" xr:uid="{00000000-0005-0000-0000-00000C140000}"/>
    <cellStyle name="Millares 3 5 3 2" xfId="4072" xr:uid="{00000000-0005-0000-0000-00000D140000}"/>
    <cellStyle name="Millares 3 5 3 2 2" xfId="9004" xr:uid="{00000000-0005-0000-0000-00000E140000}"/>
    <cellStyle name="Millares 3 5 3 2 2 2" xfId="18864" xr:uid="{00000000-0005-0000-0000-00000F140000}"/>
    <cellStyle name="Millares 3 5 3 2 2 2 2" xfId="38579" xr:uid="{00000000-0005-0000-0000-000010140000}"/>
    <cellStyle name="Millares 3 5 3 2 2 3" xfId="28722" xr:uid="{00000000-0005-0000-0000-000011140000}"/>
    <cellStyle name="Millares 3 5 3 2 3" xfId="13936" xr:uid="{00000000-0005-0000-0000-000012140000}"/>
    <cellStyle name="Millares 3 5 3 2 3 2" xfId="33651" xr:uid="{00000000-0005-0000-0000-000013140000}"/>
    <cellStyle name="Millares 3 5 3 2 4" xfId="23794" xr:uid="{00000000-0005-0000-0000-000014140000}"/>
    <cellStyle name="Millares 3 5 3 3" xfId="6540" xr:uid="{00000000-0005-0000-0000-000015140000}"/>
    <cellStyle name="Millares 3 5 3 3 2" xfId="16400" xr:uid="{00000000-0005-0000-0000-000016140000}"/>
    <cellStyle name="Millares 3 5 3 3 2 2" xfId="36115" xr:uid="{00000000-0005-0000-0000-000017140000}"/>
    <cellStyle name="Millares 3 5 3 3 3" xfId="26258" xr:uid="{00000000-0005-0000-0000-000018140000}"/>
    <cellStyle name="Millares 3 5 3 4" xfId="11472" xr:uid="{00000000-0005-0000-0000-000019140000}"/>
    <cellStyle name="Millares 3 5 3 4 2" xfId="31187" xr:uid="{00000000-0005-0000-0000-00001A140000}"/>
    <cellStyle name="Millares 3 5 3 5" xfId="21330" xr:uid="{00000000-0005-0000-0000-00001B140000}"/>
    <cellStyle name="Millares 3 5 4" xfId="2840" xr:uid="{00000000-0005-0000-0000-00001C140000}"/>
    <cellStyle name="Millares 3 5 4 2" xfId="7772" xr:uid="{00000000-0005-0000-0000-00001D140000}"/>
    <cellStyle name="Millares 3 5 4 2 2" xfId="17632" xr:uid="{00000000-0005-0000-0000-00001E140000}"/>
    <cellStyle name="Millares 3 5 4 2 2 2" xfId="37347" xr:uid="{00000000-0005-0000-0000-00001F140000}"/>
    <cellStyle name="Millares 3 5 4 2 3" xfId="27490" xr:uid="{00000000-0005-0000-0000-000020140000}"/>
    <cellStyle name="Millares 3 5 4 3" xfId="12704" xr:uid="{00000000-0005-0000-0000-000021140000}"/>
    <cellStyle name="Millares 3 5 4 3 2" xfId="32419" xr:uid="{00000000-0005-0000-0000-000022140000}"/>
    <cellStyle name="Millares 3 5 4 4" xfId="22562" xr:uid="{00000000-0005-0000-0000-000023140000}"/>
    <cellStyle name="Millares 3 5 5" xfId="5308" xr:uid="{00000000-0005-0000-0000-000024140000}"/>
    <cellStyle name="Millares 3 5 5 2" xfId="15168" xr:uid="{00000000-0005-0000-0000-000025140000}"/>
    <cellStyle name="Millares 3 5 5 2 2" xfId="34883" xr:uid="{00000000-0005-0000-0000-000026140000}"/>
    <cellStyle name="Millares 3 5 5 3" xfId="25026" xr:uid="{00000000-0005-0000-0000-000027140000}"/>
    <cellStyle name="Millares 3 5 6" xfId="10240" xr:uid="{00000000-0005-0000-0000-000028140000}"/>
    <cellStyle name="Millares 3 5 6 2" xfId="29955" xr:uid="{00000000-0005-0000-0000-000029140000}"/>
    <cellStyle name="Millares 3 5 7" xfId="20098" xr:uid="{00000000-0005-0000-0000-00002A140000}"/>
    <cellStyle name="Millares 3 6" xfId="679" xr:uid="{00000000-0005-0000-0000-00002B140000}"/>
    <cellStyle name="Millares 3 6 2" xfId="1915" xr:uid="{00000000-0005-0000-0000-00002C140000}"/>
    <cellStyle name="Millares 3 6 2 2" xfId="4382" xr:uid="{00000000-0005-0000-0000-00002D140000}"/>
    <cellStyle name="Millares 3 6 2 2 2" xfId="9314" xr:uid="{00000000-0005-0000-0000-00002E140000}"/>
    <cellStyle name="Millares 3 6 2 2 2 2" xfId="19174" xr:uid="{00000000-0005-0000-0000-00002F140000}"/>
    <cellStyle name="Millares 3 6 2 2 2 2 2" xfId="38889" xr:uid="{00000000-0005-0000-0000-000030140000}"/>
    <cellStyle name="Millares 3 6 2 2 2 3" xfId="29032" xr:uid="{00000000-0005-0000-0000-000031140000}"/>
    <cellStyle name="Millares 3 6 2 2 3" xfId="14246" xr:uid="{00000000-0005-0000-0000-000032140000}"/>
    <cellStyle name="Millares 3 6 2 2 3 2" xfId="33961" xr:uid="{00000000-0005-0000-0000-000033140000}"/>
    <cellStyle name="Millares 3 6 2 2 4" xfId="24104" xr:uid="{00000000-0005-0000-0000-000034140000}"/>
    <cellStyle name="Millares 3 6 2 3" xfId="6850" xr:uid="{00000000-0005-0000-0000-000035140000}"/>
    <cellStyle name="Millares 3 6 2 3 2" xfId="16710" xr:uid="{00000000-0005-0000-0000-000036140000}"/>
    <cellStyle name="Millares 3 6 2 3 2 2" xfId="36425" xr:uid="{00000000-0005-0000-0000-000037140000}"/>
    <cellStyle name="Millares 3 6 2 3 3" xfId="26568" xr:uid="{00000000-0005-0000-0000-000038140000}"/>
    <cellStyle name="Millares 3 6 2 4" xfId="11782" xr:uid="{00000000-0005-0000-0000-000039140000}"/>
    <cellStyle name="Millares 3 6 2 4 2" xfId="31497" xr:uid="{00000000-0005-0000-0000-00003A140000}"/>
    <cellStyle name="Millares 3 6 2 5" xfId="21640" xr:uid="{00000000-0005-0000-0000-00003B140000}"/>
    <cellStyle name="Millares 3 6 3" xfId="3150" xr:uid="{00000000-0005-0000-0000-00003C140000}"/>
    <cellStyle name="Millares 3 6 3 2" xfId="8082" xr:uid="{00000000-0005-0000-0000-00003D140000}"/>
    <cellStyle name="Millares 3 6 3 2 2" xfId="17942" xr:uid="{00000000-0005-0000-0000-00003E140000}"/>
    <cellStyle name="Millares 3 6 3 2 2 2" xfId="37657" xr:uid="{00000000-0005-0000-0000-00003F140000}"/>
    <cellStyle name="Millares 3 6 3 2 3" xfId="27800" xr:uid="{00000000-0005-0000-0000-000040140000}"/>
    <cellStyle name="Millares 3 6 3 3" xfId="13014" xr:uid="{00000000-0005-0000-0000-000041140000}"/>
    <cellStyle name="Millares 3 6 3 3 2" xfId="32729" xr:uid="{00000000-0005-0000-0000-000042140000}"/>
    <cellStyle name="Millares 3 6 3 4" xfId="22872" xr:uid="{00000000-0005-0000-0000-000043140000}"/>
    <cellStyle name="Millares 3 6 4" xfId="5618" xr:uid="{00000000-0005-0000-0000-000044140000}"/>
    <cellStyle name="Millares 3 6 4 2" xfId="15478" xr:uid="{00000000-0005-0000-0000-000045140000}"/>
    <cellStyle name="Millares 3 6 4 2 2" xfId="35193" xr:uid="{00000000-0005-0000-0000-000046140000}"/>
    <cellStyle name="Millares 3 6 4 3" xfId="25336" xr:uid="{00000000-0005-0000-0000-000047140000}"/>
    <cellStyle name="Millares 3 6 5" xfId="10550" xr:uid="{00000000-0005-0000-0000-000048140000}"/>
    <cellStyle name="Millares 3 6 5 2" xfId="30265" xr:uid="{00000000-0005-0000-0000-000049140000}"/>
    <cellStyle name="Millares 3 6 6" xfId="20408" xr:uid="{00000000-0005-0000-0000-00004A140000}"/>
    <cellStyle name="Millares 3 7" xfId="1299" xr:uid="{00000000-0005-0000-0000-00004B140000}"/>
    <cellStyle name="Millares 3 7 2" xfId="3766" xr:uid="{00000000-0005-0000-0000-00004C140000}"/>
    <cellStyle name="Millares 3 7 2 2" xfId="8698" xr:uid="{00000000-0005-0000-0000-00004D140000}"/>
    <cellStyle name="Millares 3 7 2 2 2" xfId="18558" xr:uid="{00000000-0005-0000-0000-00004E140000}"/>
    <cellStyle name="Millares 3 7 2 2 2 2" xfId="38273" xr:uid="{00000000-0005-0000-0000-00004F140000}"/>
    <cellStyle name="Millares 3 7 2 2 3" xfId="28416" xr:uid="{00000000-0005-0000-0000-000050140000}"/>
    <cellStyle name="Millares 3 7 2 3" xfId="13630" xr:uid="{00000000-0005-0000-0000-000051140000}"/>
    <cellStyle name="Millares 3 7 2 3 2" xfId="33345" xr:uid="{00000000-0005-0000-0000-000052140000}"/>
    <cellStyle name="Millares 3 7 2 4" xfId="23488" xr:uid="{00000000-0005-0000-0000-000053140000}"/>
    <cellStyle name="Millares 3 7 3" xfId="6234" xr:uid="{00000000-0005-0000-0000-000054140000}"/>
    <cellStyle name="Millares 3 7 3 2" xfId="16094" xr:uid="{00000000-0005-0000-0000-000055140000}"/>
    <cellStyle name="Millares 3 7 3 2 2" xfId="35809" xr:uid="{00000000-0005-0000-0000-000056140000}"/>
    <cellStyle name="Millares 3 7 3 3" xfId="25952" xr:uid="{00000000-0005-0000-0000-000057140000}"/>
    <cellStyle name="Millares 3 7 4" xfId="11166" xr:uid="{00000000-0005-0000-0000-000058140000}"/>
    <cellStyle name="Millares 3 7 4 2" xfId="30881" xr:uid="{00000000-0005-0000-0000-000059140000}"/>
    <cellStyle name="Millares 3 7 5" xfId="21024" xr:uid="{00000000-0005-0000-0000-00005A140000}"/>
    <cellStyle name="Millares 3 8" xfId="2534" xr:uid="{00000000-0005-0000-0000-00005B140000}"/>
    <cellStyle name="Millares 3 8 2" xfId="7466" xr:uid="{00000000-0005-0000-0000-00005C140000}"/>
    <cellStyle name="Millares 3 8 2 2" xfId="17326" xr:uid="{00000000-0005-0000-0000-00005D140000}"/>
    <cellStyle name="Millares 3 8 2 2 2" xfId="37041" xr:uid="{00000000-0005-0000-0000-00005E140000}"/>
    <cellStyle name="Millares 3 8 2 3" xfId="27184" xr:uid="{00000000-0005-0000-0000-00005F140000}"/>
    <cellStyle name="Millares 3 8 3" xfId="12398" xr:uid="{00000000-0005-0000-0000-000060140000}"/>
    <cellStyle name="Millares 3 8 3 2" xfId="32113" xr:uid="{00000000-0005-0000-0000-000061140000}"/>
    <cellStyle name="Millares 3 8 4" xfId="22256" xr:uid="{00000000-0005-0000-0000-000062140000}"/>
    <cellStyle name="Millares 3 9" xfId="5002" xr:uid="{00000000-0005-0000-0000-000063140000}"/>
    <cellStyle name="Millares 3 9 2" xfId="14862" xr:uid="{00000000-0005-0000-0000-000064140000}"/>
    <cellStyle name="Millares 3 9 2 2" xfId="34577" xr:uid="{00000000-0005-0000-0000-000065140000}"/>
    <cellStyle name="Millares 3 9 3" xfId="24720" xr:uid="{00000000-0005-0000-0000-000066140000}"/>
    <cellStyle name="Millares 4" xfId="58" xr:uid="{00000000-0005-0000-0000-000067140000}"/>
    <cellStyle name="Millares 4 10" xfId="19811" xr:uid="{00000000-0005-0000-0000-000068140000}"/>
    <cellStyle name="Millares 4 2" xfId="142" xr:uid="{00000000-0005-0000-0000-000069140000}"/>
    <cellStyle name="Millares 4 2 2" xfId="299" xr:uid="{00000000-0005-0000-0000-00006A140000}"/>
    <cellStyle name="Millares 4 2 2 2" xfId="613" xr:uid="{00000000-0005-0000-0000-00006B140000}"/>
    <cellStyle name="Millares 4 2 2 2 2" xfId="1233" xr:uid="{00000000-0005-0000-0000-00006C140000}"/>
    <cellStyle name="Millares 4 2 2 2 2 2" xfId="2468" xr:uid="{00000000-0005-0000-0000-00006D140000}"/>
    <cellStyle name="Millares 4 2 2 2 2 2 2" xfId="4935" xr:uid="{00000000-0005-0000-0000-00006E140000}"/>
    <cellStyle name="Millares 4 2 2 2 2 2 2 2" xfId="9867" xr:uid="{00000000-0005-0000-0000-00006F140000}"/>
    <cellStyle name="Millares 4 2 2 2 2 2 2 2 2" xfId="19727" xr:uid="{00000000-0005-0000-0000-000070140000}"/>
    <cellStyle name="Millares 4 2 2 2 2 2 2 2 2 2" xfId="39442" xr:uid="{00000000-0005-0000-0000-000071140000}"/>
    <cellStyle name="Millares 4 2 2 2 2 2 2 2 3" xfId="29585" xr:uid="{00000000-0005-0000-0000-000072140000}"/>
    <cellStyle name="Millares 4 2 2 2 2 2 2 3" xfId="14799" xr:uid="{00000000-0005-0000-0000-000073140000}"/>
    <cellStyle name="Millares 4 2 2 2 2 2 2 3 2" xfId="34514" xr:uid="{00000000-0005-0000-0000-000074140000}"/>
    <cellStyle name="Millares 4 2 2 2 2 2 2 4" xfId="24657" xr:uid="{00000000-0005-0000-0000-000075140000}"/>
    <cellStyle name="Millares 4 2 2 2 2 2 3" xfId="7403" xr:uid="{00000000-0005-0000-0000-000076140000}"/>
    <cellStyle name="Millares 4 2 2 2 2 2 3 2" xfId="17263" xr:uid="{00000000-0005-0000-0000-000077140000}"/>
    <cellStyle name="Millares 4 2 2 2 2 2 3 2 2" xfId="36978" xr:uid="{00000000-0005-0000-0000-000078140000}"/>
    <cellStyle name="Millares 4 2 2 2 2 2 3 3" xfId="27121" xr:uid="{00000000-0005-0000-0000-000079140000}"/>
    <cellStyle name="Millares 4 2 2 2 2 2 4" xfId="12335" xr:uid="{00000000-0005-0000-0000-00007A140000}"/>
    <cellStyle name="Millares 4 2 2 2 2 2 4 2" xfId="32050" xr:uid="{00000000-0005-0000-0000-00007B140000}"/>
    <cellStyle name="Millares 4 2 2 2 2 2 5" xfId="22193" xr:uid="{00000000-0005-0000-0000-00007C140000}"/>
    <cellStyle name="Millares 4 2 2 2 2 3" xfId="3703" xr:uid="{00000000-0005-0000-0000-00007D140000}"/>
    <cellStyle name="Millares 4 2 2 2 2 3 2" xfId="8635" xr:uid="{00000000-0005-0000-0000-00007E140000}"/>
    <cellStyle name="Millares 4 2 2 2 2 3 2 2" xfId="18495" xr:uid="{00000000-0005-0000-0000-00007F140000}"/>
    <cellStyle name="Millares 4 2 2 2 2 3 2 2 2" xfId="38210" xr:uid="{00000000-0005-0000-0000-000080140000}"/>
    <cellStyle name="Millares 4 2 2 2 2 3 2 3" xfId="28353" xr:uid="{00000000-0005-0000-0000-000081140000}"/>
    <cellStyle name="Millares 4 2 2 2 2 3 3" xfId="13567" xr:uid="{00000000-0005-0000-0000-000082140000}"/>
    <cellStyle name="Millares 4 2 2 2 2 3 3 2" xfId="33282" xr:uid="{00000000-0005-0000-0000-000083140000}"/>
    <cellStyle name="Millares 4 2 2 2 2 3 4" xfId="23425" xr:uid="{00000000-0005-0000-0000-000084140000}"/>
    <cellStyle name="Millares 4 2 2 2 2 4" xfId="6171" xr:uid="{00000000-0005-0000-0000-000085140000}"/>
    <cellStyle name="Millares 4 2 2 2 2 4 2" xfId="16031" xr:uid="{00000000-0005-0000-0000-000086140000}"/>
    <cellStyle name="Millares 4 2 2 2 2 4 2 2" xfId="35746" xr:uid="{00000000-0005-0000-0000-000087140000}"/>
    <cellStyle name="Millares 4 2 2 2 2 4 3" xfId="25889" xr:uid="{00000000-0005-0000-0000-000088140000}"/>
    <cellStyle name="Millares 4 2 2 2 2 5" xfId="11103" xr:uid="{00000000-0005-0000-0000-000089140000}"/>
    <cellStyle name="Millares 4 2 2 2 2 5 2" xfId="30818" xr:uid="{00000000-0005-0000-0000-00008A140000}"/>
    <cellStyle name="Millares 4 2 2 2 2 6" xfId="20961" xr:uid="{00000000-0005-0000-0000-00008B140000}"/>
    <cellStyle name="Millares 4 2 2 2 3" xfId="1852" xr:uid="{00000000-0005-0000-0000-00008C140000}"/>
    <cellStyle name="Millares 4 2 2 2 3 2" xfId="4319" xr:uid="{00000000-0005-0000-0000-00008D140000}"/>
    <cellStyle name="Millares 4 2 2 2 3 2 2" xfId="9251" xr:uid="{00000000-0005-0000-0000-00008E140000}"/>
    <cellStyle name="Millares 4 2 2 2 3 2 2 2" xfId="19111" xr:uid="{00000000-0005-0000-0000-00008F140000}"/>
    <cellStyle name="Millares 4 2 2 2 3 2 2 2 2" xfId="38826" xr:uid="{00000000-0005-0000-0000-000090140000}"/>
    <cellStyle name="Millares 4 2 2 2 3 2 2 3" xfId="28969" xr:uid="{00000000-0005-0000-0000-000091140000}"/>
    <cellStyle name="Millares 4 2 2 2 3 2 3" xfId="14183" xr:uid="{00000000-0005-0000-0000-000092140000}"/>
    <cellStyle name="Millares 4 2 2 2 3 2 3 2" xfId="33898" xr:uid="{00000000-0005-0000-0000-000093140000}"/>
    <cellStyle name="Millares 4 2 2 2 3 2 4" xfId="24041" xr:uid="{00000000-0005-0000-0000-000094140000}"/>
    <cellStyle name="Millares 4 2 2 2 3 3" xfId="6787" xr:uid="{00000000-0005-0000-0000-000095140000}"/>
    <cellStyle name="Millares 4 2 2 2 3 3 2" xfId="16647" xr:uid="{00000000-0005-0000-0000-000096140000}"/>
    <cellStyle name="Millares 4 2 2 2 3 3 2 2" xfId="36362" xr:uid="{00000000-0005-0000-0000-000097140000}"/>
    <cellStyle name="Millares 4 2 2 2 3 3 3" xfId="26505" xr:uid="{00000000-0005-0000-0000-000098140000}"/>
    <cellStyle name="Millares 4 2 2 2 3 4" xfId="11719" xr:uid="{00000000-0005-0000-0000-000099140000}"/>
    <cellStyle name="Millares 4 2 2 2 3 4 2" xfId="31434" xr:uid="{00000000-0005-0000-0000-00009A140000}"/>
    <cellStyle name="Millares 4 2 2 2 3 5" xfId="21577" xr:uid="{00000000-0005-0000-0000-00009B140000}"/>
    <cellStyle name="Millares 4 2 2 2 4" xfId="3087" xr:uid="{00000000-0005-0000-0000-00009C140000}"/>
    <cellStyle name="Millares 4 2 2 2 4 2" xfId="8019" xr:uid="{00000000-0005-0000-0000-00009D140000}"/>
    <cellStyle name="Millares 4 2 2 2 4 2 2" xfId="17879" xr:uid="{00000000-0005-0000-0000-00009E140000}"/>
    <cellStyle name="Millares 4 2 2 2 4 2 2 2" xfId="37594" xr:uid="{00000000-0005-0000-0000-00009F140000}"/>
    <cellStyle name="Millares 4 2 2 2 4 2 3" xfId="27737" xr:uid="{00000000-0005-0000-0000-0000A0140000}"/>
    <cellStyle name="Millares 4 2 2 2 4 3" xfId="12951" xr:uid="{00000000-0005-0000-0000-0000A1140000}"/>
    <cellStyle name="Millares 4 2 2 2 4 3 2" xfId="32666" xr:uid="{00000000-0005-0000-0000-0000A2140000}"/>
    <cellStyle name="Millares 4 2 2 2 4 4" xfId="22809" xr:uid="{00000000-0005-0000-0000-0000A3140000}"/>
    <cellStyle name="Millares 4 2 2 2 5" xfId="5555" xr:uid="{00000000-0005-0000-0000-0000A4140000}"/>
    <cellStyle name="Millares 4 2 2 2 5 2" xfId="15415" xr:uid="{00000000-0005-0000-0000-0000A5140000}"/>
    <cellStyle name="Millares 4 2 2 2 5 2 2" xfId="35130" xr:uid="{00000000-0005-0000-0000-0000A6140000}"/>
    <cellStyle name="Millares 4 2 2 2 5 3" xfId="25273" xr:uid="{00000000-0005-0000-0000-0000A7140000}"/>
    <cellStyle name="Millares 4 2 2 2 6" xfId="10487" xr:uid="{00000000-0005-0000-0000-0000A8140000}"/>
    <cellStyle name="Millares 4 2 2 2 6 2" xfId="30202" xr:uid="{00000000-0005-0000-0000-0000A9140000}"/>
    <cellStyle name="Millares 4 2 2 2 7" xfId="20345" xr:uid="{00000000-0005-0000-0000-0000AA140000}"/>
    <cellStyle name="Millares 4 2 2 3" xfId="926" xr:uid="{00000000-0005-0000-0000-0000AB140000}"/>
    <cellStyle name="Millares 4 2 2 3 2" xfId="2162" xr:uid="{00000000-0005-0000-0000-0000AC140000}"/>
    <cellStyle name="Millares 4 2 2 3 2 2" xfId="4629" xr:uid="{00000000-0005-0000-0000-0000AD140000}"/>
    <cellStyle name="Millares 4 2 2 3 2 2 2" xfId="9561" xr:uid="{00000000-0005-0000-0000-0000AE140000}"/>
    <cellStyle name="Millares 4 2 2 3 2 2 2 2" xfId="19421" xr:uid="{00000000-0005-0000-0000-0000AF140000}"/>
    <cellStyle name="Millares 4 2 2 3 2 2 2 2 2" xfId="39136" xr:uid="{00000000-0005-0000-0000-0000B0140000}"/>
    <cellStyle name="Millares 4 2 2 3 2 2 2 3" xfId="29279" xr:uid="{00000000-0005-0000-0000-0000B1140000}"/>
    <cellStyle name="Millares 4 2 2 3 2 2 3" xfId="14493" xr:uid="{00000000-0005-0000-0000-0000B2140000}"/>
    <cellStyle name="Millares 4 2 2 3 2 2 3 2" xfId="34208" xr:uid="{00000000-0005-0000-0000-0000B3140000}"/>
    <cellStyle name="Millares 4 2 2 3 2 2 4" xfId="24351" xr:uid="{00000000-0005-0000-0000-0000B4140000}"/>
    <cellStyle name="Millares 4 2 2 3 2 3" xfId="7097" xr:uid="{00000000-0005-0000-0000-0000B5140000}"/>
    <cellStyle name="Millares 4 2 2 3 2 3 2" xfId="16957" xr:uid="{00000000-0005-0000-0000-0000B6140000}"/>
    <cellStyle name="Millares 4 2 2 3 2 3 2 2" xfId="36672" xr:uid="{00000000-0005-0000-0000-0000B7140000}"/>
    <cellStyle name="Millares 4 2 2 3 2 3 3" xfId="26815" xr:uid="{00000000-0005-0000-0000-0000B8140000}"/>
    <cellStyle name="Millares 4 2 2 3 2 4" xfId="12029" xr:uid="{00000000-0005-0000-0000-0000B9140000}"/>
    <cellStyle name="Millares 4 2 2 3 2 4 2" xfId="31744" xr:uid="{00000000-0005-0000-0000-0000BA140000}"/>
    <cellStyle name="Millares 4 2 2 3 2 5" xfId="21887" xr:uid="{00000000-0005-0000-0000-0000BB140000}"/>
    <cellStyle name="Millares 4 2 2 3 3" xfId="3397" xr:uid="{00000000-0005-0000-0000-0000BC140000}"/>
    <cellStyle name="Millares 4 2 2 3 3 2" xfId="8329" xr:uid="{00000000-0005-0000-0000-0000BD140000}"/>
    <cellStyle name="Millares 4 2 2 3 3 2 2" xfId="18189" xr:uid="{00000000-0005-0000-0000-0000BE140000}"/>
    <cellStyle name="Millares 4 2 2 3 3 2 2 2" xfId="37904" xr:uid="{00000000-0005-0000-0000-0000BF140000}"/>
    <cellStyle name="Millares 4 2 2 3 3 2 3" xfId="28047" xr:uid="{00000000-0005-0000-0000-0000C0140000}"/>
    <cellStyle name="Millares 4 2 2 3 3 3" xfId="13261" xr:uid="{00000000-0005-0000-0000-0000C1140000}"/>
    <cellStyle name="Millares 4 2 2 3 3 3 2" xfId="32976" xr:uid="{00000000-0005-0000-0000-0000C2140000}"/>
    <cellStyle name="Millares 4 2 2 3 3 4" xfId="23119" xr:uid="{00000000-0005-0000-0000-0000C3140000}"/>
    <cellStyle name="Millares 4 2 2 3 4" xfId="5865" xr:uid="{00000000-0005-0000-0000-0000C4140000}"/>
    <cellStyle name="Millares 4 2 2 3 4 2" xfId="15725" xr:uid="{00000000-0005-0000-0000-0000C5140000}"/>
    <cellStyle name="Millares 4 2 2 3 4 2 2" xfId="35440" xr:uid="{00000000-0005-0000-0000-0000C6140000}"/>
    <cellStyle name="Millares 4 2 2 3 4 3" xfId="25583" xr:uid="{00000000-0005-0000-0000-0000C7140000}"/>
    <cellStyle name="Millares 4 2 2 3 5" xfId="10797" xr:uid="{00000000-0005-0000-0000-0000C8140000}"/>
    <cellStyle name="Millares 4 2 2 3 5 2" xfId="30512" xr:uid="{00000000-0005-0000-0000-0000C9140000}"/>
    <cellStyle name="Millares 4 2 2 3 6" xfId="20655" xr:uid="{00000000-0005-0000-0000-0000CA140000}"/>
    <cellStyle name="Millares 4 2 2 4" xfId="1546" xr:uid="{00000000-0005-0000-0000-0000CB140000}"/>
    <cellStyle name="Millares 4 2 2 4 2" xfId="4013" xr:uid="{00000000-0005-0000-0000-0000CC140000}"/>
    <cellStyle name="Millares 4 2 2 4 2 2" xfId="8945" xr:uid="{00000000-0005-0000-0000-0000CD140000}"/>
    <cellStyle name="Millares 4 2 2 4 2 2 2" xfId="18805" xr:uid="{00000000-0005-0000-0000-0000CE140000}"/>
    <cellStyle name="Millares 4 2 2 4 2 2 2 2" xfId="38520" xr:uid="{00000000-0005-0000-0000-0000CF140000}"/>
    <cellStyle name="Millares 4 2 2 4 2 2 3" xfId="28663" xr:uid="{00000000-0005-0000-0000-0000D0140000}"/>
    <cellStyle name="Millares 4 2 2 4 2 3" xfId="13877" xr:uid="{00000000-0005-0000-0000-0000D1140000}"/>
    <cellStyle name="Millares 4 2 2 4 2 3 2" xfId="33592" xr:uid="{00000000-0005-0000-0000-0000D2140000}"/>
    <cellStyle name="Millares 4 2 2 4 2 4" xfId="23735" xr:uid="{00000000-0005-0000-0000-0000D3140000}"/>
    <cellStyle name="Millares 4 2 2 4 3" xfId="6481" xr:uid="{00000000-0005-0000-0000-0000D4140000}"/>
    <cellStyle name="Millares 4 2 2 4 3 2" xfId="16341" xr:uid="{00000000-0005-0000-0000-0000D5140000}"/>
    <cellStyle name="Millares 4 2 2 4 3 2 2" xfId="36056" xr:uid="{00000000-0005-0000-0000-0000D6140000}"/>
    <cellStyle name="Millares 4 2 2 4 3 3" xfId="26199" xr:uid="{00000000-0005-0000-0000-0000D7140000}"/>
    <cellStyle name="Millares 4 2 2 4 4" xfId="11413" xr:uid="{00000000-0005-0000-0000-0000D8140000}"/>
    <cellStyle name="Millares 4 2 2 4 4 2" xfId="31128" xr:uid="{00000000-0005-0000-0000-0000D9140000}"/>
    <cellStyle name="Millares 4 2 2 4 5" xfId="21271" xr:uid="{00000000-0005-0000-0000-0000DA140000}"/>
    <cellStyle name="Millares 4 2 2 5" xfId="2781" xr:uid="{00000000-0005-0000-0000-0000DB140000}"/>
    <cellStyle name="Millares 4 2 2 5 2" xfId="7713" xr:uid="{00000000-0005-0000-0000-0000DC140000}"/>
    <cellStyle name="Millares 4 2 2 5 2 2" xfId="17573" xr:uid="{00000000-0005-0000-0000-0000DD140000}"/>
    <cellStyle name="Millares 4 2 2 5 2 2 2" xfId="37288" xr:uid="{00000000-0005-0000-0000-0000DE140000}"/>
    <cellStyle name="Millares 4 2 2 5 2 3" xfId="27431" xr:uid="{00000000-0005-0000-0000-0000DF140000}"/>
    <cellStyle name="Millares 4 2 2 5 3" xfId="12645" xr:uid="{00000000-0005-0000-0000-0000E0140000}"/>
    <cellStyle name="Millares 4 2 2 5 3 2" xfId="32360" xr:uid="{00000000-0005-0000-0000-0000E1140000}"/>
    <cellStyle name="Millares 4 2 2 5 4" xfId="22503" xr:uid="{00000000-0005-0000-0000-0000E2140000}"/>
    <cellStyle name="Millares 4 2 2 6" xfId="5249" xr:uid="{00000000-0005-0000-0000-0000E3140000}"/>
    <cellStyle name="Millares 4 2 2 6 2" xfId="15109" xr:uid="{00000000-0005-0000-0000-0000E4140000}"/>
    <cellStyle name="Millares 4 2 2 6 2 2" xfId="34824" xr:uid="{00000000-0005-0000-0000-0000E5140000}"/>
    <cellStyle name="Millares 4 2 2 6 3" xfId="24967" xr:uid="{00000000-0005-0000-0000-0000E6140000}"/>
    <cellStyle name="Millares 4 2 2 7" xfId="10181" xr:uid="{00000000-0005-0000-0000-0000E7140000}"/>
    <cellStyle name="Millares 4 2 2 7 2" xfId="29896" xr:uid="{00000000-0005-0000-0000-0000E8140000}"/>
    <cellStyle name="Millares 4 2 2 8" xfId="20039" xr:uid="{00000000-0005-0000-0000-0000E9140000}"/>
    <cellStyle name="Millares 4 2 3" xfId="461" xr:uid="{00000000-0005-0000-0000-0000EA140000}"/>
    <cellStyle name="Millares 4 2 3 2" xfId="1081" xr:uid="{00000000-0005-0000-0000-0000EB140000}"/>
    <cellStyle name="Millares 4 2 3 2 2" xfId="2316" xr:uid="{00000000-0005-0000-0000-0000EC140000}"/>
    <cellStyle name="Millares 4 2 3 2 2 2" xfId="4783" xr:uid="{00000000-0005-0000-0000-0000ED140000}"/>
    <cellStyle name="Millares 4 2 3 2 2 2 2" xfId="9715" xr:uid="{00000000-0005-0000-0000-0000EE140000}"/>
    <cellStyle name="Millares 4 2 3 2 2 2 2 2" xfId="19575" xr:uid="{00000000-0005-0000-0000-0000EF140000}"/>
    <cellStyle name="Millares 4 2 3 2 2 2 2 2 2" xfId="39290" xr:uid="{00000000-0005-0000-0000-0000F0140000}"/>
    <cellStyle name="Millares 4 2 3 2 2 2 2 3" xfId="29433" xr:uid="{00000000-0005-0000-0000-0000F1140000}"/>
    <cellStyle name="Millares 4 2 3 2 2 2 3" xfId="14647" xr:uid="{00000000-0005-0000-0000-0000F2140000}"/>
    <cellStyle name="Millares 4 2 3 2 2 2 3 2" xfId="34362" xr:uid="{00000000-0005-0000-0000-0000F3140000}"/>
    <cellStyle name="Millares 4 2 3 2 2 2 4" xfId="24505" xr:uid="{00000000-0005-0000-0000-0000F4140000}"/>
    <cellStyle name="Millares 4 2 3 2 2 3" xfId="7251" xr:uid="{00000000-0005-0000-0000-0000F5140000}"/>
    <cellStyle name="Millares 4 2 3 2 2 3 2" xfId="17111" xr:uid="{00000000-0005-0000-0000-0000F6140000}"/>
    <cellStyle name="Millares 4 2 3 2 2 3 2 2" xfId="36826" xr:uid="{00000000-0005-0000-0000-0000F7140000}"/>
    <cellStyle name="Millares 4 2 3 2 2 3 3" xfId="26969" xr:uid="{00000000-0005-0000-0000-0000F8140000}"/>
    <cellStyle name="Millares 4 2 3 2 2 4" xfId="12183" xr:uid="{00000000-0005-0000-0000-0000F9140000}"/>
    <cellStyle name="Millares 4 2 3 2 2 4 2" xfId="31898" xr:uid="{00000000-0005-0000-0000-0000FA140000}"/>
    <cellStyle name="Millares 4 2 3 2 2 5" xfId="22041" xr:uid="{00000000-0005-0000-0000-0000FB140000}"/>
    <cellStyle name="Millares 4 2 3 2 3" xfId="3551" xr:uid="{00000000-0005-0000-0000-0000FC140000}"/>
    <cellStyle name="Millares 4 2 3 2 3 2" xfId="8483" xr:uid="{00000000-0005-0000-0000-0000FD140000}"/>
    <cellStyle name="Millares 4 2 3 2 3 2 2" xfId="18343" xr:uid="{00000000-0005-0000-0000-0000FE140000}"/>
    <cellStyle name="Millares 4 2 3 2 3 2 2 2" xfId="38058" xr:uid="{00000000-0005-0000-0000-0000FF140000}"/>
    <cellStyle name="Millares 4 2 3 2 3 2 3" xfId="28201" xr:uid="{00000000-0005-0000-0000-000000150000}"/>
    <cellStyle name="Millares 4 2 3 2 3 3" xfId="13415" xr:uid="{00000000-0005-0000-0000-000001150000}"/>
    <cellStyle name="Millares 4 2 3 2 3 3 2" xfId="33130" xr:uid="{00000000-0005-0000-0000-000002150000}"/>
    <cellStyle name="Millares 4 2 3 2 3 4" xfId="23273" xr:uid="{00000000-0005-0000-0000-000003150000}"/>
    <cellStyle name="Millares 4 2 3 2 4" xfId="6019" xr:uid="{00000000-0005-0000-0000-000004150000}"/>
    <cellStyle name="Millares 4 2 3 2 4 2" xfId="15879" xr:uid="{00000000-0005-0000-0000-000005150000}"/>
    <cellStyle name="Millares 4 2 3 2 4 2 2" xfId="35594" xr:uid="{00000000-0005-0000-0000-000006150000}"/>
    <cellStyle name="Millares 4 2 3 2 4 3" xfId="25737" xr:uid="{00000000-0005-0000-0000-000007150000}"/>
    <cellStyle name="Millares 4 2 3 2 5" xfId="10951" xr:uid="{00000000-0005-0000-0000-000008150000}"/>
    <cellStyle name="Millares 4 2 3 2 5 2" xfId="30666" xr:uid="{00000000-0005-0000-0000-000009150000}"/>
    <cellStyle name="Millares 4 2 3 2 6" xfId="20809" xr:uid="{00000000-0005-0000-0000-00000A150000}"/>
    <cellStyle name="Millares 4 2 3 3" xfId="1700" xr:uid="{00000000-0005-0000-0000-00000B150000}"/>
    <cellStyle name="Millares 4 2 3 3 2" xfId="4167" xr:uid="{00000000-0005-0000-0000-00000C150000}"/>
    <cellStyle name="Millares 4 2 3 3 2 2" xfId="9099" xr:uid="{00000000-0005-0000-0000-00000D150000}"/>
    <cellStyle name="Millares 4 2 3 3 2 2 2" xfId="18959" xr:uid="{00000000-0005-0000-0000-00000E150000}"/>
    <cellStyle name="Millares 4 2 3 3 2 2 2 2" xfId="38674" xr:uid="{00000000-0005-0000-0000-00000F150000}"/>
    <cellStyle name="Millares 4 2 3 3 2 2 3" xfId="28817" xr:uid="{00000000-0005-0000-0000-000010150000}"/>
    <cellStyle name="Millares 4 2 3 3 2 3" xfId="14031" xr:uid="{00000000-0005-0000-0000-000011150000}"/>
    <cellStyle name="Millares 4 2 3 3 2 3 2" xfId="33746" xr:uid="{00000000-0005-0000-0000-000012150000}"/>
    <cellStyle name="Millares 4 2 3 3 2 4" xfId="23889" xr:uid="{00000000-0005-0000-0000-000013150000}"/>
    <cellStyle name="Millares 4 2 3 3 3" xfId="6635" xr:uid="{00000000-0005-0000-0000-000014150000}"/>
    <cellStyle name="Millares 4 2 3 3 3 2" xfId="16495" xr:uid="{00000000-0005-0000-0000-000015150000}"/>
    <cellStyle name="Millares 4 2 3 3 3 2 2" xfId="36210" xr:uid="{00000000-0005-0000-0000-000016150000}"/>
    <cellStyle name="Millares 4 2 3 3 3 3" xfId="26353" xr:uid="{00000000-0005-0000-0000-000017150000}"/>
    <cellStyle name="Millares 4 2 3 3 4" xfId="11567" xr:uid="{00000000-0005-0000-0000-000018150000}"/>
    <cellStyle name="Millares 4 2 3 3 4 2" xfId="31282" xr:uid="{00000000-0005-0000-0000-000019150000}"/>
    <cellStyle name="Millares 4 2 3 3 5" xfId="21425" xr:uid="{00000000-0005-0000-0000-00001A150000}"/>
    <cellStyle name="Millares 4 2 3 4" xfId="2935" xr:uid="{00000000-0005-0000-0000-00001B150000}"/>
    <cellStyle name="Millares 4 2 3 4 2" xfId="7867" xr:uid="{00000000-0005-0000-0000-00001C150000}"/>
    <cellStyle name="Millares 4 2 3 4 2 2" xfId="17727" xr:uid="{00000000-0005-0000-0000-00001D150000}"/>
    <cellStyle name="Millares 4 2 3 4 2 2 2" xfId="37442" xr:uid="{00000000-0005-0000-0000-00001E150000}"/>
    <cellStyle name="Millares 4 2 3 4 2 3" xfId="27585" xr:uid="{00000000-0005-0000-0000-00001F150000}"/>
    <cellStyle name="Millares 4 2 3 4 3" xfId="12799" xr:uid="{00000000-0005-0000-0000-000020150000}"/>
    <cellStyle name="Millares 4 2 3 4 3 2" xfId="32514" xr:uid="{00000000-0005-0000-0000-000021150000}"/>
    <cellStyle name="Millares 4 2 3 4 4" xfId="22657" xr:uid="{00000000-0005-0000-0000-000022150000}"/>
    <cellStyle name="Millares 4 2 3 5" xfId="5403" xr:uid="{00000000-0005-0000-0000-000023150000}"/>
    <cellStyle name="Millares 4 2 3 5 2" xfId="15263" xr:uid="{00000000-0005-0000-0000-000024150000}"/>
    <cellStyle name="Millares 4 2 3 5 2 2" xfId="34978" xr:uid="{00000000-0005-0000-0000-000025150000}"/>
    <cellStyle name="Millares 4 2 3 5 3" xfId="25121" xr:uid="{00000000-0005-0000-0000-000026150000}"/>
    <cellStyle name="Millares 4 2 3 6" xfId="10335" xr:uid="{00000000-0005-0000-0000-000027150000}"/>
    <cellStyle name="Millares 4 2 3 6 2" xfId="30050" xr:uid="{00000000-0005-0000-0000-000028150000}"/>
    <cellStyle name="Millares 4 2 3 7" xfId="20193" xr:uid="{00000000-0005-0000-0000-000029150000}"/>
    <cellStyle name="Millares 4 2 4" xfId="774" xr:uid="{00000000-0005-0000-0000-00002A150000}"/>
    <cellStyle name="Millares 4 2 4 2" xfId="2010" xr:uid="{00000000-0005-0000-0000-00002B150000}"/>
    <cellStyle name="Millares 4 2 4 2 2" xfId="4477" xr:uid="{00000000-0005-0000-0000-00002C150000}"/>
    <cellStyle name="Millares 4 2 4 2 2 2" xfId="9409" xr:uid="{00000000-0005-0000-0000-00002D150000}"/>
    <cellStyle name="Millares 4 2 4 2 2 2 2" xfId="19269" xr:uid="{00000000-0005-0000-0000-00002E150000}"/>
    <cellStyle name="Millares 4 2 4 2 2 2 2 2" xfId="38984" xr:uid="{00000000-0005-0000-0000-00002F150000}"/>
    <cellStyle name="Millares 4 2 4 2 2 2 3" xfId="29127" xr:uid="{00000000-0005-0000-0000-000030150000}"/>
    <cellStyle name="Millares 4 2 4 2 2 3" xfId="14341" xr:uid="{00000000-0005-0000-0000-000031150000}"/>
    <cellStyle name="Millares 4 2 4 2 2 3 2" xfId="34056" xr:uid="{00000000-0005-0000-0000-000032150000}"/>
    <cellStyle name="Millares 4 2 4 2 2 4" xfId="24199" xr:uid="{00000000-0005-0000-0000-000033150000}"/>
    <cellStyle name="Millares 4 2 4 2 3" xfId="6945" xr:uid="{00000000-0005-0000-0000-000034150000}"/>
    <cellStyle name="Millares 4 2 4 2 3 2" xfId="16805" xr:uid="{00000000-0005-0000-0000-000035150000}"/>
    <cellStyle name="Millares 4 2 4 2 3 2 2" xfId="36520" xr:uid="{00000000-0005-0000-0000-000036150000}"/>
    <cellStyle name="Millares 4 2 4 2 3 3" xfId="26663" xr:uid="{00000000-0005-0000-0000-000037150000}"/>
    <cellStyle name="Millares 4 2 4 2 4" xfId="11877" xr:uid="{00000000-0005-0000-0000-000038150000}"/>
    <cellStyle name="Millares 4 2 4 2 4 2" xfId="31592" xr:uid="{00000000-0005-0000-0000-000039150000}"/>
    <cellStyle name="Millares 4 2 4 2 5" xfId="21735" xr:uid="{00000000-0005-0000-0000-00003A150000}"/>
    <cellStyle name="Millares 4 2 4 3" xfId="3245" xr:uid="{00000000-0005-0000-0000-00003B150000}"/>
    <cellStyle name="Millares 4 2 4 3 2" xfId="8177" xr:uid="{00000000-0005-0000-0000-00003C150000}"/>
    <cellStyle name="Millares 4 2 4 3 2 2" xfId="18037" xr:uid="{00000000-0005-0000-0000-00003D150000}"/>
    <cellStyle name="Millares 4 2 4 3 2 2 2" xfId="37752" xr:uid="{00000000-0005-0000-0000-00003E150000}"/>
    <cellStyle name="Millares 4 2 4 3 2 3" xfId="27895" xr:uid="{00000000-0005-0000-0000-00003F150000}"/>
    <cellStyle name="Millares 4 2 4 3 3" xfId="13109" xr:uid="{00000000-0005-0000-0000-000040150000}"/>
    <cellStyle name="Millares 4 2 4 3 3 2" xfId="32824" xr:uid="{00000000-0005-0000-0000-000041150000}"/>
    <cellStyle name="Millares 4 2 4 3 4" xfId="22967" xr:uid="{00000000-0005-0000-0000-000042150000}"/>
    <cellStyle name="Millares 4 2 4 4" xfId="5713" xr:uid="{00000000-0005-0000-0000-000043150000}"/>
    <cellStyle name="Millares 4 2 4 4 2" xfId="15573" xr:uid="{00000000-0005-0000-0000-000044150000}"/>
    <cellStyle name="Millares 4 2 4 4 2 2" xfId="35288" xr:uid="{00000000-0005-0000-0000-000045150000}"/>
    <cellStyle name="Millares 4 2 4 4 3" xfId="25431" xr:uid="{00000000-0005-0000-0000-000046150000}"/>
    <cellStyle name="Millares 4 2 4 5" xfId="10645" xr:uid="{00000000-0005-0000-0000-000047150000}"/>
    <cellStyle name="Millares 4 2 4 5 2" xfId="30360" xr:uid="{00000000-0005-0000-0000-000048150000}"/>
    <cellStyle name="Millares 4 2 4 6" xfId="20503" xr:uid="{00000000-0005-0000-0000-000049150000}"/>
    <cellStyle name="Millares 4 2 5" xfId="1394" xr:uid="{00000000-0005-0000-0000-00004A150000}"/>
    <cellStyle name="Millares 4 2 5 2" xfId="3861" xr:uid="{00000000-0005-0000-0000-00004B150000}"/>
    <cellStyle name="Millares 4 2 5 2 2" xfId="8793" xr:uid="{00000000-0005-0000-0000-00004C150000}"/>
    <cellStyle name="Millares 4 2 5 2 2 2" xfId="18653" xr:uid="{00000000-0005-0000-0000-00004D150000}"/>
    <cellStyle name="Millares 4 2 5 2 2 2 2" xfId="38368" xr:uid="{00000000-0005-0000-0000-00004E150000}"/>
    <cellStyle name="Millares 4 2 5 2 2 3" xfId="28511" xr:uid="{00000000-0005-0000-0000-00004F150000}"/>
    <cellStyle name="Millares 4 2 5 2 3" xfId="13725" xr:uid="{00000000-0005-0000-0000-000050150000}"/>
    <cellStyle name="Millares 4 2 5 2 3 2" xfId="33440" xr:uid="{00000000-0005-0000-0000-000051150000}"/>
    <cellStyle name="Millares 4 2 5 2 4" xfId="23583" xr:uid="{00000000-0005-0000-0000-000052150000}"/>
    <cellStyle name="Millares 4 2 5 3" xfId="6329" xr:uid="{00000000-0005-0000-0000-000053150000}"/>
    <cellStyle name="Millares 4 2 5 3 2" xfId="16189" xr:uid="{00000000-0005-0000-0000-000054150000}"/>
    <cellStyle name="Millares 4 2 5 3 2 2" xfId="35904" xr:uid="{00000000-0005-0000-0000-000055150000}"/>
    <cellStyle name="Millares 4 2 5 3 3" xfId="26047" xr:uid="{00000000-0005-0000-0000-000056150000}"/>
    <cellStyle name="Millares 4 2 5 4" xfId="11261" xr:uid="{00000000-0005-0000-0000-000057150000}"/>
    <cellStyle name="Millares 4 2 5 4 2" xfId="30976" xr:uid="{00000000-0005-0000-0000-000058150000}"/>
    <cellStyle name="Millares 4 2 5 5" xfId="21119" xr:uid="{00000000-0005-0000-0000-000059150000}"/>
    <cellStyle name="Millares 4 2 6" xfId="2629" xr:uid="{00000000-0005-0000-0000-00005A150000}"/>
    <cellStyle name="Millares 4 2 6 2" xfId="7561" xr:uid="{00000000-0005-0000-0000-00005B150000}"/>
    <cellStyle name="Millares 4 2 6 2 2" xfId="17421" xr:uid="{00000000-0005-0000-0000-00005C150000}"/>
    <cellStyle name="Millares 4 2 6 2 2 2" xfId="37136" xr:uid="{00000000-0005-0000-0000-00005D150000}"/>
    <cellStyle name="Millares 4 2 6 2 3" xfId="27279" xr:uid="{00000000-0005-0000-0000-00005E150000}"/>
    <cellStyle name="Millares 4 2 6 3" xfId="12493" xr:uid="{00000000-0005-0000-0000-00005F150000}"/>
    <cellStyle name="Millares 4 2 6 3 2" xfId="32208" xr:uid="{00000000-0005-0000-0000-000060150000}"/>
    <cellStyle name="Millares 4 2 6 4" xfId="22351" xr:uid="{00000000-0005-0000-0000-000061150000}"/>
    <cellStyle name="Millares 4 2 7" xfId="5097" xr:uid="{00000000-0005-0000-0000-000062150000}"/>
    <cellStyle name="Millares 4 2 7 2" xfId="14957" xr:uid="{00000000-0005-0000-0000-000063150000}"/>
    <cellStyle name="Millares 4 2 7 2 2" xfId="34672" xr:uid="{00000000-0005-0000-0000-000064150000}"/>
    <cellStyle name="Millares 4 2 7 3" xfId="24815" xr:uid="{00000000-0005-0000-0000-000065150000}"/>
    <cellStyle name="Millares 4 2 8" xfId="10029" xr:uid="{00000000-0005-0000-0000-000066150000}"/>
    <cellStyle name="Millares 4 2 8 2" xfId="29744" xr:uid="{00000000-0005-0000-0000-000067150000}"/>
    <cellStyle name="Millares 4 2 9" xfId="19887" xr:uid="{00000000-0005-0000-0000-000068150000}"/>
    <cellStyle name="Millares 4 3" xfId="223" xr:uid="{00000000-0005-0000-0000-000069150000}"/>
    <cellStyle name="Millares 4 3 2" xfId="537" xr:uid="{00000000-0005-0000-0000-00006A150000}"/>
    <cellStyle name="Millares 4 3 2 2" xfId="1157" xr:uid="{00000000-0005-0000-0000-00006B150000}"/>
    <cellStyle name="Millares 4 3 2 2 2" xfId="2392" xr:uid="{00000000-0005-0000-0000-00006C150000}"/>
    <cellStyle name="Millares 4 3 2 2 2 2" xfId="4859" xr:uid="{00000000-0005-0000-0000-00006D150000}"/>
    <cellStyle name="Millares 4 3 2 2 2 2 2" xfId="9791" xr:uid="{00000000-0005-0000-0000-00006E150000}"/>
    <cellStyle name="Millares 4 3 2 2 2 2 2 2" xfId="19651" xr:uid="{00000000-0005-0000-0000-00006F150000}"/>
    <cellStyle name="Millares 4 3 2 2 2 2 2 2 2" xfId="39366" xr:uid="{00000000-0005-0000-0000-000070150000}"/>
    <cellStyle name="Millares 4 3 2 2 2 2 2 3" xfId="29509" xr:uid="{00000000-0005-0000-0000-000071150000}"/>
    <cellStyle name="Millares 4 3 2 2 2 2 3" xfId="14723" xr:uid="{00000000-0005-0000-0000-000072150000}"/>
    <cellStyle name="Millares 4 3 2 2 2 2 3 2" xfId="34438" xr:uid="{00000000-0005-0000-0000-000073150000}"/>
    <cellStyle name="Millares 4 3 2 2 2 2 4" xfId="24581" xr:uid="{00000000-0005-0000-0000-000074150000}"/>
    <cellStyle name="Millares 4 3 2 2 2 3" xfId="7327" xr:uid="{00000000-0005-0000-0000-000075150000}"/>
    <cellStyle name="Millares 4 3 2 2 2 3 2" xfId="17187" xr:uid="{00000000-0005-0000-0000-000076150000}"/>
    <cellStyle name="Millares 4 3 2 2 2 3 2 2" xfId="36902" xr:uid="{00000000-0005-0000-0000-000077150000}"/>
    <cellStyle name="Millares 4 3 2 2 2 3 3" xfId="27045" xr:uid="{00000000-0005-0000-0000-000078150000}"/>
    <cellStyle name="Millares 4 3 2 2 2 4" xfId="12259" xr:uid="{00000000-0005-0000-0000-000079150000}"/>
    <cellStyle name="Millares 4 3 2 2 2 4 2" xfId="31974" xr:uid="{00000000-0005-0000-0000-00007A150000}"/>
    <cellStyle name="Millares 4 3 2 2 2 5" xfId="22117" xr:uid="{00000000-0005-0000-0000-00007B150000}"/>
    <cellStyle name="Millares 4 3 2 2 3" xfId="3627" xr:uid="{00000000-0005-0000-0000-00007C150000}"/>
    <cellStyle name="Millares 4 3 2 2 3 2" xfId="8559" xr:uid="{00000000-0005-0000-0000-00007D150000}"/>
    <cellStyle name="Millares 4 3 2 2 3 2 2" xfId="18419" xr:uid="{00000000-0005-0000-0000-00007E150000}"/>
    <cellStyle name="Millares 4 3 2 2 3 2 2 2" xfId="38134" xr:uid="{00000000-0005-0000-0000-00007F150000}"/>
    <cellStyle name="Millares 4 3 2 2 3 2 3" xfId="28277" xr:uid="{00000000-0005-0000-0000-000080150000}"/>
    <cellStyle name="Millares 4 3 2 2 3 3" xfId="13491" xr:uid="{00000000-0005-0000-0000-000081150000}"/>
    <cellStyle name="Millares 4 3 2 2 3 3 2" xfId="33206" xr:uid="{00000000-0005-0000-0000-000082150000}"/>
    <cellStyle name="Millares 4 3 2 2 3 4" xfId="23349" xr:uid="{00000000-0005-0000-0000-000083150000}"/>
    <cellStyle name="Millares 4 3 2 2 4" xfId="6095" xr:uid="{00000000-0005-0000-0000-000084150000}"/>
    <cellStyle name="Millares 4 3 2 2 4 2" xfId="15955" xr:uid="{00000000-0005-0000-0000-000085150000}"/>
    <cellStyle name="Millares 4 3 2 2 4 2 2" xfId="35670" xr:uid="{00000000-0005-0000-0000-000086150000}"/>
    <cellStyle name="Millares 4 3 2 2 4 3" xfId="25813" xr:uid="{00000000-0005-0000-0000-000087150000}"/>
    <cellStyle name="Millares 4 3 2 2 5" xfId="11027" xr:uid="{00000000-0005-0000-0000-000088150000}"/>
    <cellStyle name="Millares 4 3 2 2 5 2" xfId="30742" xr:uid="{00000000-0005-0000-0000-000089150000}"/>
    <cellStyle name="Millares 4 3 2 2 6" xfId="20885" xr:uid="{00000000-0005-0000-0000-00008A150000}"/>
    <cellStyle name="Millares 4 3 2 3" xfId="1776" xr:uid="{00000000-0005-0000-0000-00008B150000}"/>
    <cellStyle name="Millares 4 3 2 3 2" xfId="4243" xr:uid="{00000000-0005-0000-0000-00008C150000}"/>
    <cellStyle name="Millares 4 3 2 3 2 2" xfId="9175" xr:uid="{00000000-0005-0000-0000-00008D150000}"/>
    <cellStyle name="Millares 4 3 2 3 2 2 2" xfId="19035" xr:uid="{00000000-0005-0000-0000-00008E150000}"/>
    <cellStyle name="Millares 4 3 2 3 2 2 2 2" xfId="38750" xr:uid="{00000000-0005-0000-0000-00008F150000}"/>
    <cellStyle name="Millares 4 3 2 3 2 2 3" xfId="28893" xr:uid="{00000000-0005-0000-0000-000090150000}"/>
    <cellStyle name="Millares 4 3 2 3 2 3" xfId="14107" xr:uid="{00000000-0005-0000-0000-000091150000}"/>
    <cellStyle name="Millares 4 3 2 3 2 3 2" xfId="33822" xr:uid="{00000000-0005-0000-0000-000092150000}"/>
    <cellStyle name="Millares 4 3 2 3 2 4" xfId="23965" xr:uid="{00000000-0005-0000-0000-000093150000}"/>
    <cellStyle name="Millares 4 3 2 3 3" xfId="6711" xr:uid="{00000000-0005-0000-0000-000094150000}"/>
    <cellStyle name="Millares 4 3 2 3 3 2" xfId="16571" xr:uid="{00000000-0005-0000-0000-000095150000}"/>
    <cellStyle name="Millares 4 3 2 3 3 2 2" xfId="36286" xr:uid="{00000000-0005-0000-0000-000096150000}"/>
    <cellStyle name="Millares 4 3 2 3 3 3" xfId="26429" xr:uid="{00000000-0005-0000-0000-000097150000}"/>
    <cellStyle name="Millares 4 3 2 3 4" xfId="11643" xr:uid="{00000000-0005-0000-0000-000098150000}"/>
    <cellStyle name="Millares 4 3 2 3 4 2" xfId="31358" xr:uid="{00000000-0005-0000-0000-000099150000}"/>
    <cellStyle name="Millares 4 3 2 3 5" xfId="21501" xr:uid="{00000000-0005-0000-0000-00009A150000}"/>
    <cellStyle name="Millares 4 3 2 4" xfId="3011" xr:uid="{00000000-0005-0000-0000-00009B150000}"/>
    <cellStyle name="Millares 4 3 2 4 2" xfId="7943" xr:uid="{00000000-0005-0000-0000-00009C150000}"/>
    <cellStyle name="Millares 4 3 2 4 2 2" xfId="17803" xr:uid="{00000000-0005-0000-0000-00009D150000}"/>
    <cellStyle name="Millares 4 3 2 4 2 2 2" xfId="37518" xr:uid="{00000000-0005-0000-0000-00009E150000}"/>
    <cellStyle name="Millares 4 3 2 4 2 3" xfId="27661" xr:uid="{00000000-0005-0000-0000-00009F150000}"/>
    <cellStyle name="Millares 4 3 2 4 3" xfId="12875" xr:uid="{00000000-0005-0000-0000-0000A0150000}"/>
    <cellStyle name="Millares 4 3 2 4 3 2" xfId="32590" xr:uid="{00000000-0005-0000-0000-0000A1150000}"/>
    <cellStyle name="Millares 4 3 2 4 4" xfId="22733" xr:uid="{00000000-0005-0000-0000-0000A2150000}"/>
    <cellStyle name="Millares 4 3 2 5" xfId="5479" xr:uid="{00000000-0005-0000-0000-0000A3150000}"/>
    <cellStyle name="Millares 4 3 2 5 2" xfId="15339" xr:uid="{00000000-0005-0000-0000-0000A4150000}"/>
    <cellStyle name="Millares 4 3 2 5 2 2" xfId="35054" xr:uid="{00000000-0005-0000-0000-0000A5150000}"/>
    <cellStyle name="Millares 4 3 2 5 3" xfId="25197" xr:uid="{00000000-0005-0000-0000-0000A6150000}"/>
    <cellStyle name="Millares 4 3 2 6" xfId="10411" xr:uid="{00000000-0005-0000-0000-0000A7150000}"/>
    <cellStyle name="Millares 4 3 2 6 2" xfId="30126" xr:uid="{00000000-0005-0000-0000-0000A8150000}"/>
    <cellStyle name="Millares 4 3 2 7" xfId="20269" xr:uid="{00000000-0005-0000-0000-0000A9150000}"/>
    <cellStyle name="Millares 4 3 3" xfId="850" xr:uid="{00000000-0005-0000-0000-0000AA150000}"/>
    <cellStyle name="Millares 4 3 3 2" xfId="2086" xr:uid="{00000000-0005-0000-0000-0000AB150000}"/>
    <cellStyle name="Millares 4 3 3 2 2" xfId="4553" xr:uid="{00000000-0005-0000-0000-0000AC150000}"/>
    <cellStyle name="Millares 4 3 3 2 2 2" xfId="9485" xr:uid="{00000000-0005-0000-0000-0000AD150000}"/>
    <cellStyle name="Millares 4 3 3 2 2 2 2" xfId="19345" xr:uid="{00000000-0005-0000-0000-0000AE150000}"/>
    <cellStyle name="Millares 4 3 3 2 2 2 2 2" xfId="39060" xr:uid="{00000000-0005-0000-0000-0000AF150000}"/>
    <cellStyle name="Millares 4 3 3 2 2 2 3" xfId="29203" xr:uid="{00000000-0005-0000-0000-0000B0150000}"/>
    <cellStyle name="Millares 4 3 3 2 2 3" xfId="14417" xr:uid="{00000000-0005-0000-0000-0000B1150000}"/>
    <cellStyle name="Millares 4 3 3 2 2 3 2" xfId="34132" xr:uid="{00000000-0005-0000-0000-0000B2150000}"/>
    <cellStyle name="Millares 4 3 3 2 2 4" xfId="24275" xr:uid="{00000000-0005-0000-0000-0000B3150000}"/>
    <cellStyle name="Millares 4 3 3 2 3" xfId="7021" xr:uid="{00000000-0005-0000-0000-0000B4150000}"/>
    <cellStyle name="Millares 4 3 3 2 3 2" xfId="16881" xr:uid="{00000000-0005-0000-0000-0000B5150000}"/>
    <cellStyle name="Millares 4 3 3 2 3 2 2" xfId="36596" xr:uid="{00000000-0005-0000-0000-0000B6150000}"/>
    <cellStyle name="Millares 4 3 3 2 3 3" xfId="26739" xr:uid="{00000000-0005-0000-0000-0000B7150000}"/>
    <cellStyle name="Millares 4 3 3 2 4" xfId="11953" xr:uid="{00000000-0005-0000-0000-0000B8150000}"/>
    <cellStyle name="Millares 4 3 3 2 4 2" xfId="31668" xr:uid="{00000000-0005-0000-0000-0000B9150000}"/>
    <cellStyle name="Millares 4 3 3 2 5" xfId="21811" xr:uid="{00000000-0005-0000-0000-0000BA150000}"/>
    <cellStyle name="Millares 4 3 3 3" xfId="3321" xr:uid="{00000000-0005-0000-0000-0000BB150000}"/>
    <cellStyle name="Millares 4 3 3 3 2" xfId="8253" xr:uid="{00000000-0005-0000-0000-0000BC150000}"/>
    <cellStyle name="Millares 4 3 3 3 2 2" xfId="18113" xr:uid="{00000000-0005-0000-0000-0000BD150000}"/>
    <cellStyle name="Millares 4 3 3 3 2 2 2" xfId="37828" xr:uid="{00000000-0005-0000-0000-0000BE150000}"/>
    <cellStyle name="Millares 4 3 3 3 2 3" xfId="27971" xr:uid="{00000000-0005-0000-0000-0000BF150000}"/>
    <cellStyle name="Millares 4 3 3 3 3" xfId="13185" xr:uid="{00000000-0005-0000-0000-0000C0150000}"/>
    <cellStyle name="Millares 4 3 3 3 3 2" xfId="32900" xr:uid="{00000000-0005-0000-0000-0000C1150000}"/>
    <cellStyle name="Millares 4 3 3 3 4" xfId="23043" xr:uid="{00000000-0005-0000-0000-0000C2150000}"/>
    <cellStyle name="Millares 4 3 3 4" xfId="5789" xr:uid="{00000000-0005-0000-0000-0000C3150000}"/>
    <cellStyle name="Millares 4 3 3 4 2" xfId="15649" xr:uid="{00000000-0005-0000-0000-0000C4150000}"/>
    <cellStyle name="Millares 4 3 3 4 2 2" xfId="35364" xr:uid="{00000000-0005-0000-0000-0000C5150000}"/>
    <cellStyle name="Millares 4 3 3 4 3" xfId="25507" xr:uid="{00000000-0005-0000-0000-0000C6150000}"/>
    <cellStyle name="Millares 4 3 3 5" xfId="10721" xr:uid="{00000000-0005-0000-0000-0000C7150000}"/>
    <cellStyle name="Millares 4 3 3 5 2" xfId="30436" xr:uid="{00000000-0005-0000-0000-0000C8150000}"/>
    <cellStyle name="Millares 4 3 3 6" xfId="20579" xr:uid="{00000000-0005-0000-0000-0000C9150000}"/>
    <cellStyle name="Millares 4 3 4" xfId="1470" xr:uid="{00000000-0005-0000-0000-0000CA150000}"/>
    <cellStyle name="Millares 4 3 4 2" xfId="3937" xr:uid="{00000000-0005-0000-0000-0000CB150000}"/>
    <cellStyle name="Millares 4 3 4 2 2" xfId="8869" xr:uid="{00000000-0005-0000-0000-0000CC150000}"/>
    <cellStyle name="Millares 4 3 4 2 2 2" xfId="18729" xr:uid="{00000000-0005-0000-0000-0000CD150000}"/>
    <cellStyle name="Millares 4 3 4 2 2 2 2" xfId="38444" xr:uid="{00000000-0005-0000-0000-0000CE150000}"/>
    <cellStyle name="Millares 4 3 4 2 2 3" xfId="28587" xr:uid="{00000000-0005-0000-0000-0000CF150000}"/>
    <cellStyle name="Millares 4 3 4 2 3" xfId="13801" xr:uid="{00000000-0005-0000-0000-0000D0150000}"/>
    <cellStyle name="Millares 4 3 4 2 3 2" xfId="33516" xr:uid="{00000000-0005-0000-0000-0000D1150000}"/>
    <cellStyle name="Millares 4 3 4 2 4" xfId="23659" xr:uid="{00000000-0005-0000-0000-0000D2150000}"/>
    <cellStyle name="Millares 4 3 4 3" xfId="6405" xr:uid="{00000000-0005-0000-0000-0000D3150000}"/>
    <cellStyle name="Millares 4 3 4 3 2" xfId="16265" xr:uid="{00000000-0005-0000-0000-0000D4150000}"/>
    <cellStyle name="Millares 4 3 4 3 2 2" xfId="35980" xr:uid="{00000000-0005-0000-0000-0000D5150000}"/>
    <cellStyle name="Millares 4 3 4 3 3" xfId="26123" xr:uid="{00000000-0005-0000-0000-0000D6150000}"/>
    <cellStyle name="Millares 4 3 4 4" xfId="11337" xr:uid="{00000000-0005-0000-0000-0000D7150000}"/>
    <cellStyle name="Millares 4 3 4 4 2" xfId="31052" xr:uid="{00000000-0005-0000-0000-0000D8150000}"/>
    <cellStyle name="Millares 4 3 4 5" xfId="21195" xr:uid="{00000000-0005-0000-0000-0000D9150000}"/>
    <cellStyle name="Millares 4 3 5" xfId="2705" xr:uid="{00000000-0005-0000-0000-0000DA150000}"/>
    <cellStyle name="Millares 4 3 5 2" xfId="7637" xr:uid="{00000000-0005-0000-0000-0000DB150000}"/>
    <cellStyle name="Millares 4 3 5 2 2" xfId="17497" xr:uid="{00000000-0005-0000-0000-0000DC150000}"/>
    <cellStyle name="Millares 4 3 5 2 2 2" xfId="37212" xr:uid="{00000000-0005-0000-0000-0000DD150000}"/>
    <cellStyle name="Millares 4 3 5 2 3" xfId="27355" xr:uid="{00000000-0005-0000-0000-0000DE150000}"/>
    <cellStyle name="Millares 4 3 5 3" xfId="12569" xr:uid="{00000000-0005-0000-0000-0000DF150000}"/>
    <cellStyle name="Millares 4 3 5 3 2" xfId="32284" xr:uid="{00000000-0005-0000-0000-0000E0150000}"/>
    <cellStyle name="Millares 4 3 5 4" xfId="22427" xr:uid="{00000000-0005-0000-0000-0000E1150000}"/>
    <cellStyle name="Millares 4 3 6" xfId="5173" xr:uid="{00000000-0005-0000-0000-0000E2150000}"/>
    <cellStyle name="Millares 4 3 6 2" xfId="15033" xr:uid="{00000000-0005-0000-0000-0000E3150000}"/>
    <cellStyle name="Millares 4 3 6 2 2" xfId="34748" xr:uid="{00000000-0005-0000-0000-0000E4150000}"/>
    <cellStyle name="Millares 4 3 6 3" xfId="24891" xr:uid="{00000000-0005-0000-0000-0000E5150000}"/>
    <cellStyle name="Millares 4 3 7" xfId="10105" xr:uid="{00000000-0005-0000-0000-0000E6150000}"/>
    <cellStyle name="Millares 4 3 7 2" xfId="29820" xr:uid="{00000000-0005-0000-0000-0000E7150000}"/>
    <cellStyle name="Millares 4 3 8" xfId="19963" xr:uid="{00000000-0005-0000-0000-0000E8150000}"/>
    <cellStyle name="Millares 4 4" xfId="385" xr:uid="{00000000-0005-0000-0000-0000E9150000}"/>
    <cellStyle name="Millares 4 4 2" xfId="1005" xr:uid="{00000000-0005-0000-0000-0000EA150000}"/>
    <cellStyle name="Millares 4 4 2 2" xfId="2240" xr:uid="{00000000-0005-0000-0000-0000EB150000}"/>
    <cellStyle name="Millares 4 4 2 2 2" xfId="4707" xr:uid="{00000000-0005-0000-0000-0000EC150000}"/>
    <cellStyle name="Millares 4 4 2 2 2 2" xfId="9639" xr:uid="{00000000-0005-0000-0000-0000ED150000}"/>
    <cellStyle name="Millares 4 4 2 2 2 2 2" xfId="19499" xr:uid="{00000000-0005-0000-0000-0000EE150000}"/>
    <cellStyle name="Millares 4 4 2 2 2 2 2 2" xfId="39214" xr:uid="{00000000-0005-0000-0000-0000EF150000}"/>
    <cellStyle name="Millares 4 4 2 2 2 2 3" xfId="29357" xr:uid="{00000000-0005-0000-0000-0000F0150000}"/>
    <cellStyle name="Millares 4 4 2 2 2 3" xfId="14571" xr:uid="{00000000-0005-0000-0000-0000F1150000}"/>
    <cellStyle name="Millares 4 4 2 2 2 3 2" xfId="34286" xr:uid="{00000000-0005-0000-0000-0000F2150000}"/>
    <cellStyle name="Millares 4 4 2 2 2 4" xfId="24429" xr:uid="{00000000-0005-0000-0000-0000F3150000}"/>
    <cellStyle name="Millares 4 4 2 2 3" xfId="7175" xr:uid="{00000000-0005-0000-0000-0000F4150000}"/>
    <cellStyle name="Millares 4 4 2 2 3 2" xfId="17035" xr:uid="{00000000-0005-0000-0000-0000F5150000}"/>
    <cellStyle name="Millares 4 4 2 2 3 2 2" xfId="36750" xr:uid="{00000000-0005-0000-0000-0000F6150000}"/>
    <cellStyle name="Millares 4 4 2 2 3 3" xfId="26893" xr:uid="{00000000-0005-0000-0000-0000F7150000}"/>
    <cellStyle name="Millares 4 4 2 2 4" xfId="12107" xr:uid="{00000000-0005-0000-0000-0000F8150000}"/>
    <cellStyle name="Millares 4 4 2 2 4 2" xfId="31822" xr:uid="{00000000-0005-0000-0000-0000F9150000}"/>
    <cellStyle name="Millares 4 4 2 2 5" xfId="21965" xr:uid="{00000000-0005-0000-0000-0000FA150000}"/>
    <cellStyle name="Millares 4 4 2 3" xfId="3475" xr:uid="{00000000-0005-0000-0000-0000FB150000}"/>
    <cellStyle name="Millares 4 4 2 3 2" xfId="8407" xr:uid="{00000000-0005-0000-0000-0000FC150000}"/>
    <cellStyle name="Millares 4 4 2 3 2 2" xfId="18267" xr:uid="{00000000-0005-0000-0000-0000FD150000}"/>
    <cellStyle name="Millares 4 4 2 3 2 2 2" xfId="37982" xr:uid="{00000000-0005-0000-0000-0000FE150000}"/>
    <cellStyle name="Millares 4 4 2 3 2 3" xfId="28125" xr:uid="{00000000-0005-0000-0000-0000FF150000}"/>
    <cellStyle name="Millares 4 4 2 3 3" xfId="13339" xr:uid="{00000000-0005-0000-0000-000000160000}"/>
    <cellStyle name="Millares 4 4 2 3 3 2" xfId="33054" xr:uid="{00000000-0005-0000-0000-000001160000}"/>
    <cellStyle name="Millares 4 4 2 3 4" xfId="23197" xr:uid="{00000000-0005-0000-0000-000002160000}"/>
    <cellStyle name="Millares 4 4 2 4" xfId="5943" xr:uid="{00000000-0005-0000-0000-000003160000}"/>
    <cellStyle name="Millares 4 4 2 4 2" xfId="15803" xr:uid="{00000000-0005-0000-0000-000004160000}"/>
    <cellStyle name="Millares 4 4 2 4 2 2" xfId="35518" xr:uid="{00000000-0005-0000-0000-000005160000}"/>
    <cellStyle name="Millares 4 4 2 4 3" xfId="25661" xr:uid="{00000000-0005-0000-0000-000006160000}"/>
    <cellStyle name="Millares 4 4 2 5" xfId="10875" xr:uid="{00000000-0005-0000-0000-000007160000}"/>
    <cellStyle name="Millares 4 4 2 5 2" xfId="30590" xr:uid="{00000000-0005-0000-0000-000008160000}"/>
    <cellStyle name="Millares 4 4 2 6" xfId="20733" xr:uid="{00000000-0005-0000-0000-000009160000}"/>
    <cellStyle name="Millares 4 4 3" xfId="1624" xr:uid="{00000000-0005-0000-0000-00000A160000}"/>
    <cellStyle name="Millares 4 4 3 2" xfId="4091" xr:uid="{00000000-0005-0000-0000-00000B160000}"/>
    <cellStyle name="Millares 4 4 3 2 2" xfId="9023" xr:uid="{00000000-0005-0000-0000-00000C160000}"/>
    <cellStyle name="Millares 4 4 3 2 2 2" xfId="18883" xr:uid="{00000000-0005-0000-0000-00000D160000}"/>
    <cellStyle name="Millares 4 4 3 2 2 2 2" xfId="38598" xr:uid="{00000000-0005-0000-0000-00000E160000}"/>
    <cellStyle name="Millares 4 4 3 2 2 3" xfId="28741" xr:uid="{00000000-0005-0000-0000-00000F160000}"/>
    <cellStyle name="Millares 4 4 3 2 3" xfId="13955" xr:uid="{00000000-0005-0000-0000-000010160000}"/>
    <cellStyle name="Millares 4 4 3 2 3 2" xfId="33670" xr:uid="{00000000-0005-0000-0000-000011160000}"/>
    <cellStyle name="Millares 4 4 3 2 4" xfId="23813" xr:uid="{00000000-0005-0000-0000-000012160000}"/>
    <cellStyle name="Millares 4 4 3 3" xfId="6559" xr:uid="{00000000-0005-0000-0000-000013160000}"/>
    <cellStyle name="Millares 4 4 3 3 2" xfId="16419" xr:uid="{00000000-0005-0000-0000-000014160000}"/>
    <cellStyle name="Millares 4 4 3 3 2 2" xfId="36134" xr:uid="{00000000-0005-0000-0000-000015160000}"/>
    <cellStyle name="Millares 4 4 3 3 3" xfId="26277" xr:uid="{00000000-0005-0000-0000-000016160000}"/>
    <cellStyle name="Millares 4 4 3 4" xfId="11491" xr:uid="{00000000-0005-0000-0000-000017160000}"/>
    <cellStyle name="Millares 4 4 3 4 2" xfId="31206" xr:uid="{00000000-0005-0000-0000-000018160000}"/>
    <cellStyle name="Millares 4 4 3 5" xfId="21349" xr:uid="{00000000-0005-0000-0000-000019160000}"/>
    <cellStyle name="Millares 4 4 4" xfId="2859" xr:uid="{00000000-0005-0000-0000-00001A160000}"/>
    <cellStyle name="Millares 4 4 4 2" xfId="7791" xr:uid="{00000000-0005-0000-0000-00001B160000}"/>
    <cellStyle name="Millares 4 4 4 2 2" xfId="17651" xr:uid="{00000000-0005-0000-0000-00001C160000}"/>
    <cellStyle name="Millares 4 4 4 2 2 2" xfId="37366" xr:uid="{00000000-0005-0000-0000-00001D160000}"/>
    <cellStyle name="Millares 4 4 4 2 3" xfId="27509" xr:uid="{00000000-0005-0000-0000-00001E160000}"/>
    <cellStyle name="Millares 4 4 4 3" xfId="12723" xr:uid="{00000000-0005-0000-0000-00001F160000}"/>
    <cellStyle name="Millares 4 4 4 3 2" xfId="32438" xr:uid="{00000000-0005-0000-0000-000020160000}"/>
    <cellStyle name="Millares 4 4 4 4" xfId="22581" xr:uid="{00000000-0005-0000-0000-000021160000}"/>
    <cellStyle name="Millares 4 4 5" xfId="5327" xr:uid="{00000000-0005-0000-0000-000022160000}"/>
    <cellStyle name="Millares 4 4 5 2" xfId="15187" xr:uid="{00000000-0005-0000-0000-000023160000}"/>
    <cellStyle name="Millares 4 4 5 2 2" xfId="34902" xr:uid="{00000000-0005-0000-0000-000024160000}"/>
    <cellStyle name="Millares 4 4 5 3" xfId="25045" xr:uid="{00000000-0005-0000-0000-000025160000}"/>
    <cellStyle name="Millares 4 4 6" xfId="10259" xr:uid="{00000000-0005-0000-0000-000026160000}"/>
    <cellStyle name="Millares 4 4 6 2" xfId="29974" xr:uid="{00000000-0005-0000-0000-000027160000}"/>
    <cellStyle name="Millares 4 4 7" xfId="20117" xr:uid="{00000000-0005-0000-0000-000028160000}"/>
    <cellStyle name="Millares 4 5" xfId="698" xr:uid="{00000000-0005-0000-0000-000029160000}"/>
    <cellStyle name="Millares 4 5 2" xfId="1934" xr:uid="{00000000-0005-0000-0000-00002A160000}"/>
    <cellStyle name="Millares 4 5 2 2" xfId="4401" xr:uid="{00000000-0005-0000-0000-00002B160000}"/>
    <cellStyle name="Millares 4 5 2 2 2" xfId="9333" xr:uid="{00000000-0005-0000-0000-00002C160000}"/>
    <cellStyle name="Millares 4 5 2 2 2 2" xfId="19193" xr:uid="{00000000-0005-0000-0000-00002D160000}"/>
    <cellStyle name="Millares 4 5 2 2 2 2 2" xfId="38908" xr:uid="{00000000-0005-0000-0000-00002E160000}"/>
    <cellStyle name="Millares 4 5 2 2 2 3" xfId="29051" xr:uid="{00000000-0005-0000-0000-00002F160000}"/>
    <cellStyle name="Millares 4 5 2 2 3" xfId="14265" xr:uid="{00000000-0005-0000-0000-000030160000}"/>
    <cellStyle name="Millares 4 5 2 2 3 2" xfId="33980" xr:uid="{00000000-0005-0000-0000-000031160000}"/>
    <cellStyle name="Millares 4 5 2 2 4" xfId="24123" xr:uid="{00000000-0005-0000-0000-000032160000}"/>
    <cellStyle name="Millares 4 5 2 3" xfId="6869" xr:uid="{00000000-0005-0000-0000-000033160000}"/>
    <cellStyle name="Millares 4 5 2 3 2" xfId="16729" xr:uid="{00000000-0005-0000-0000-000034160000}"/>
    <cellStyle name="Millares 4 5 2 3 2 2" xfId="36444" xr:uid="{00000000-0005-0000-0000-000035160000}"/>
    <cellStyle name="Millares 4 5 2 3 3" xfId="26587" xr:uid="{00000000-0005-0000-0000-000036160000}"/>
    <cellStyle name="Millares 4 5 2 4" xfId="11801" xr:uid="{00000000-0005-0000-0000-000037160000}"/>
    <cellStyle name="Millares 4 5 2 4 2" xfId="31516" xr:uid="{00000000-0005-0000-0000-000038160000}"/>
    <cellStyle name="Millares 4 5 2 5" xfId="21659" xr:uid="{00000000-0005-0000-0000-000039160000}"/>
    <cellStyle name="Millares 4 5 3" xfId="3169" xr:uid="{00000000-0005-0000-0000-00003A160000}"/>
    <cellStyle name="Millares 4 5 3 2" xfId="8101" xr:uid="{00000000-0005-0000-0000-00003B160000}"/>
    <cellStyle name="Millares 4 5 3 2 2" xfId="17961" xr:uid="{00000000-0005-0000-0000-00003C160000}"/>
    <cellStyle name="Millares 4 5 3 2 2 2" xfId="37676" xr:uid="{00000000-0005-0000-0000-00003D160000}"/>
    <cellStyle name="Millares 4 5 3 2 3" xfId="27819" xr:uid="{00000000-0005-0000-0000-00003E160000}"/>
    <cellStyle name="Millares 4 5 3 3" xfId="13033" xr:uid="{00000000-0005-0000-0000-00003F160000}"/>
    <cellStyle name="Millares 4 5 3 3 2" xfId="32748" xr:uid="{00000000-0005-0000-0000-000040160000}"/>
    <cellStyle name="Millares 4 5 3 4" xfId="22891" xr:uid="{00000000-0005-0000-0000-000041160000}"/>
    <cellStyle name="Millares 4 5 4" xfId="5637" xr:uid="{00000000-0005-0000-0000-000042160000}"/>
    <cellStyle name="Millares 4 5 4 2" xfId="15497" xr:uid="{00000000-0005-0000-0000-000043160000}"/>
    <cellStyle name="Millares 4 5 4 2 2" xfId="35212" xr:uid="{00000000-0005-0000-0000-000044160000}"/>
    <cellStyle name="Millares 4 5 4 3" xfId="25355" xr:uid="{00000000-0005-0000-0000-000045160000}"/>
    <cellStyle name="Millares 4 5 5" xfId="10569" xr:uid="{00000000-0005-0000-0000-000046160000}"/>
    <cellStyle name="Millares 4 5 5 2" xfId="30284" xr:uid="{00000000-0005-0000-0000-000047160000}"/>
    <cellStyle name="Millares 4 5 6" xfId="20427" xr:uid="{00000000-0005-0000-0000-000048160000}"/>
    <cellStyle name="Millares 4 6" xfId="1318" xr:uid="{00000000-0005-0000-0000-000049160000}"/>
    <cellStyle name="Millares 4 6 2" xfId="3785" xr:uid="{00000000-0005-0000-0000-00004A160000}"/>
    <cellStyle name="Millares 4 6 2 2" xfId="8717" xr:uid="{00000000-0005-0000-0000-00004B160000}"/>
    <cellStyle name="Millares 4 6 2 2 2" xfId="18577" xr:uid="{00000000-0005-0000-0000-00004C160000}"/>
    <cellStyle name="Millares 4 6 2 2 2 2" xfId="38292" xr:uid="{00000000-0005-0000-0000-00004D160000}"/>
    <cellStyle name="Millares 4 6 2 2 3" xfId="28435" xr:uid="{00000000-0005-0000-0000-00004E160000}"/>
    <cellStyle name="Millares 4 6 2 3" xfId="13649" xr:uid="{00000000-0005-0000-0000-00004F160000}"/>
    <cellStyle name="Millares 4 6 2 3 2" xfId="33364" xr:uid="{00000000-0005-0000-0000-000050160000}"/>
    <cellStyle name="Millares 4 6 2 4" xfId="23507" xr:uid="{00000000-0005-0000-0000-000051160000}"/>
    <cellStyle name="Millares 4 6 3" xfId="6253" xr:uid="{00000000-0005-0000-0000-000052160000}"/>
    <cellStyle name="Millares 4 6 3 2" xfId="16113" xr:uid="{00000000-0005-0000-0000-000053160000}"/>
    <cellStyle name="Millares 4 6 3 2 2" xfId="35828" xr:uid="{00000000-0005-0000-0000-000054160000}"/>
    <cellStyle name="Millares 4 6 3 3" xfId="25971" xr:uid="{00000000-0005-0000-0000-000055160000}"/>
    <cellStyle name="Millares 4 6 4" xfId="11185" xr:uid="{00000000-0005-0000-0000-000056160000}"/>
    <cellStyle name="Millares 4 6 4 2" xfId="30900" xr:uid="{00000000-0005-0000-0000-000057160000}"/>
    <cellStyle name="Millares 4 6 5" xfId="21043" xr:uid="{00000000-0005-0000-0000-000058160000}"/>
    <cellStyle name="Millares 4 7" xfId="2553" xr:uid="{00000000-0005-0000-0000-000059160000}"/>
    <cellStyle name="Millares 4 7 2" xfId="7485" xr:uid="{00000000-0005-0000-0000-00005A160000}"/>
    <cellStyle name="Millares 4 7 2 2" xfId="17345" xr:uid="{00000000-0005-0000-0000-00005B160000}"/>
    <cellStyle name="Millares 4 7 2 2 2" xfId="37060" xr:uid="{00000000-0005-0000-0000-00005C160000}"/>
    <cellStyle name="Millares 4 7 2 3" xfId="27203" xr:uid="{00000000-0005-0000-0000-00005D160000}"/>
    <cellStyle name="Millares 4 7 3" xfId="12417" xr:uid="{00000000-0005-0000-0000-00005E160000}"/>
    <cellStyle name="Millares 4 7 3 2" xfId="32132" xr:uid="{00000000-0005-0000-0000-00005F160000}"/>
    <cellStyle name="Millares 4 7 4" xfId="22275" xr:uid="{00000000-0005-0000-0000-000060160000}"/>
    <cellStyle name="Millares 4 8" xfId="5021" xr:uid="{00000000-0005-0000-0000-000061160000}"/>
    <cellStyle name="Millares 4 8 2" xfId="14881" xr:uid="{00000000-0005-0000-0000-000062160000}"/>
    <cellStyle name="Millares 4 8 2 2" xfId="34596" xr:uid="{00000000-0005-0000-0000-000063160000}"/>
    <cellStyle name="Millares 4 8 3" xfId="24739" xr:uid="{00000000-0005-0000-0000-000064160000}"/>
    <cellStyle name="Millares 4 9" xfId="9953" xr:uid="{00000000-0005-0000-0000-000065160000}"/>
    <cellStyle name="Millares 4 9 2" xfId="29668" xr:uid="{00000000-0005-0000-0000-000066160000}"/>
    <cellStyle name="Millares 5" xfId="102" xr:uid="{00000000-0005-0000-0000-000067160000}"/>
    <cellStyle name="Millares 5 2" xfId="262" xr:uid="{00000000-0005-0000-0000-000068160000}"/>
    <cellStyle name="Millares 5 2 2" xfId="576" xr:uid="{00000000-0005-0000-0000-000069160000}"/>
    <cellStyle name="Millares 5 2 2 2" xfId="1196" xr:uid="{00000000-0005-0000-0000-00006A160000}"/>
    <cellStyle name="Millares 5 2 2 2 2" xfId="2431" xr:uid="{00000000-0005-0000-0000-00006B160000}"/>
    <cellStyle name="Millares 5 2 2 2 2 2" xfId="4898" xr:uid="{00000000-0005-0000-0000-00006C160000}"/>
    <cellStyle name="Millares 5 2 2 2 2 2 2" xfId="9830" xr:uid="{00000000-0005-0000-0000-00006D160000}"/>
    <cellStyle name="Millares 5 2 2 2 2 2 2 2" xfId="19690" xr:uid="{00000000-0005-0000-0000-00006E160000}"/>
    <cellStyle name="Millares 5 2 2 2 2 2 2 2 2" xfId="39405" xr:uid="{00000000-0005-0000-0000-00006F160000}"/>
    <cellStyle name="Millares 5 2 2 2 2 2 2 3" xfId="29548" xr:uid="{00000000-0005-0000-0000-000070160000}"/>
    <cellStyle name="Millares 5 2 2 2 2 2 3" xfId="14762" xr:uid="{00000000-0005-0000-0000-000071160000}"/>
    <cellStyle name="Millares 5 2 2 2 2 2 3 2" xfId="34477" xr:uid="{00000000-0005-0000-0000-000072160000}"/>
    <cellStyle name="Millares 5 2 2 2 2 2 4" xfId="24620" xr:uid="{00000000-0005-0000-0000-000073160000}"/>
    <cellStyle name="Millares 5 2 2 2 2 3" xfId="7366" xr:uid="{00000000-0005-0000-0000-000074160000}"/>
    <cellStyle name="Millares 5 2 2 2 2 3 2" xfId="17226" xr:uid="{00000000-0005-0000-0000-000075160000}"/>
    <cellStyle name="Millares 5 2 2 2 2 3 2 2" xfId="36941" xr:uid="{00000000-0005-0000-0000-000076160000}"/>
    <cellStyle name="Millares 5 2 2 2 2 3 3" xfId="27084" xr:uid="{00000000-0005-0000-0000-000077160000}"/>
    <cellStyle name="Millares 5 2 2 2 2 4" xfId="12298" xr:uid="{00000000-0005-0000-0000-000078160000}"/>
    <cellStyle name="Millares 5 2 2 2 2 4 2" xfId="32013" xr:uid="{00000000-0005-0000-0000-000079160000}"/>
    <cellStyle name="Millares 5 2 2 2 2 5" xfId="22156" xr:uid="{00000000-0005-0000-0000-00007A160000}"/>
    <cellStyle name="Millares 5 2 2 2 3" xfId="3666" xr:uid="{00000000-0005-0000-0000-00007B160000}"/>
    <cellStyle name="Millares 5 2 2 2 3 2" xfId="8598" xr:uid="{00000000-0005-0000-0000-00007C160000}"/>
    <cellStyle name="Millares 5 2 2 2 3 2 2" xfId="18458" xr:uid="{00000000-0005-0000-0000-00007D160000}"/>
    <cellStyle name="Millares 5 2 2 2 3 2 2 2" xfId="38173" xr:uid="{00000000-0005-0000-0000-00007E160000}"/>
    <cellStyle name="Millares 5 2 2 2 3 2 3" xfId="28316" xr:uid="{00000000-0005-0000-0000-00007F160000}"/>
    <cellStyle name="Millares 5 2 2 2 3 3" xfId="13530" xr:uid="{00000000-0005-0000-0000-000080160000}"/>
    <cellStyle name="Millares 5 2 2 2 3 3 2" xfId="33245" xr:uid="{00000000-0005-0000-0000-000081160000}"/>
    <cellStyle name="Millares 5 2 2 2 3 4" xfId="23388" xr:uid="{00000000-0005-0000-0000-000082160000}"/>
    <cellStyle name="Millares 5 2 2 2 4" xfId="6134" xr:uid="{00000000-0005-0000-0000-000083160000}"/>
    <cellStyle name="Millares 5 2 2 2 4 2" xfId="15994" xr:uid="{00000000-0005-0000-0000-000084160000}"/>
    <cellStyle name="Millares 5 2 2 2 4 2 2" xfId="35709" xr:uid="{00000000-0005-0000-0000-000085160000}"/>
    <cellStyle name="Millares 5 2 2 2 4 3" xfId="25852" xr:uid="{00000000-0005-0000-0000-000086160000}"/>
    <cellStyle name="Millares 5 2 2 2 5" xfId="11066" xr:uid="{00000000-0005-0000-0000-000087160000}"/>
    <cellStyle name="Millares 5 2 2 2 5 2" xfId="30781" xr:uid="{00000000-0005-0000-0000-000088160000}"/>
    <cellStyle name="Millares 5 2 2 2 6" xfId="20924" xr:uid="{00000000-0005-0000-0000-000089160000}"/>
    <cellStyle name="Millares 5 2 2 3" xfId="1815" xr:uid="{00000000-0005-0000-0000-00008A160000}"/>
    <cellStyle name="Millares 5 2 2 3 2" xfId="4282" xr:uid="{00000000-0005-0000-0000-00008B160000}"/>
    <cellStyle name="Millares 5 2 2 3 2 2" xfId="9214" xr:uid="{00000000-0005-0000-0000-00008C160000}"/>
    <cellStyle name="Millares 5 2 2 3 2 2 2" xfId="19074" xr:uid="{00000000-0005-0000-0000-00008D160000}"/>
    <cellStyle name="Millares 5 2 2 3 2 2 2 2" xfId="38789" xr:uid="{00000000-0005-0000-0000-00008E160000}"/>
    <cellStyle name="Millares 5 2 2 3 2 2 3" xfId="28932" xr:uid="{00000000-0005-0000-0000-00008F160000}"/>
    <cellStyle name="Millares 5 2 2 3 2 3" xfId="14146" xr:uid="{00000000-0005-0000-0000-000090160000}"/>
    <cellStyle name="Millares 5 2 2 3 2 3 2" xfId="33861" xr:uid="{00000000-0005-0000-0000-000091160000}"/>
    <cellStyle name="Millares 5 2 2 3 2 4" xfId="24004" xr:uid="{00000000-0005-0000-0000-000092160000}"/>
    <cellStyle name="Millares 5 2 2 3 3" xfId="6750" xr:uid="{00000000-0005-0000-0000-000093160000}"/>
    <cellStyle name="Millares 5 2 2 3 3 2" xfId="16610" xr:uid="{00000000-0005-0000-0000-000094160000}"/>
    <cellStyle name="Millares 5 2 2 3 3 2 2" xfId="36325" xr:uid="{00000000-0005-0000-0000-000095160000}"/>
    <cellStyle name="Millares 5 2 2 3 3 3" xfId="26468" xr:uid="{00000000-0005-0000-0000-000096160000}"/>
    <cellStyle name="Millares 5 2 2 3 4" xfId="11682" xr:uid="{00000000-0005-0000-0000-000097160000}"/>
    <cellStyle name="Millares 5 2 2 3 4 2" xfId="31397" xr:uid="{00000000-0005-0000-0000-000098160000}"/>
    <cellStyle name="Millares 5 2 2 3 5" xfId="21540" xr:uid="{00000000-0005-0000-0000-000099160000}"/>
    <cellStyle name="Millares 5 2 2 4" xfId="3050" xr:uid="{00000000-0005-0000-0000-00009A160000}"/>
    <cellStyle name="Millares 5 2 2 4 2" xfId="7982" xr:uid="{00000000-0005-0000-0000-00009B160000}"/>
    <cellStyle name="Millares 5 2 2 4 2 2" xfId="17842" xr:uid="{00000000-0005-0000-0000-00009C160000}"/>
    <cellStyle name="Millares 5 2 2 4 2 2 2" xfId="37557" xr:uid="{00000000-0005-0000-0000-00009D160000}"/>
    <cellStyle name="Millares 5 2 2 4 2 3" xfId="27700" xr:uid="{00000000-0005-0000-0000-00009E160000}"/>
    <cellStyle name="Millares 5 2 2 4 3" xfId="12914" xr:uid="{00000000-0005-0000-0000-00009F160000}"/>
    <cellStyle name="Millares 5 2 2 4 3 2" xfId="32629" xr:uid="{00000000-0005-0000-0000-0000A0160000}"/>
    <cellStyle name="Millares 5 2 2 4 4" xfId="22772" xr:uid="{00000000-0005-0000-0000-0000A1160000}"/>
    <cellStyle name="Millares 5 2 2 5" xfId="5518" xr:uid="{00000000-0005-0000-0000-0000A2160000}"/>
    <cellStyle name="Millares 5 2 2 5 2" xfId="15378" xr:uid="{00000000-0005-0000-0000-0000A3160000}"/>
    <cellStyle name="Millares 5 2 2 5 2 2" xfId="35093" xr:uid="{00000000-0005-0000-0000-0000A4160000}"/>
    <cellStyle name="Millares 5 2 2 5 3" xfId="25236" xr:uid="{00000000-0005-0000-0000-0000A5160000}"/>
    <cellStyle name="Millares 5 2 2 6" xfId="10450" xr:uid="{00000000-0005-0000-0000-0000A6160000}"/>
    <cellStyle name="Millares 5 2 2 6 2" xfId="30165" xr:uid="{00000000-0005-0000-0000-0000A7160000}"/>
    <cellStyle name="Millares 5 2 2 7" xfId="20308" xr:uid="{00000000-0005-0000-0000-0000A8160000}"/>
    <cellStyle name="Millares 5 2 3" xfId="889" xr:uid="{00000000-0005-0000-0000-0000A9160000}"/>
    <cellStyle name="Millares 5 2 3 2" xfId="2125" xr:uid="{00000000-0005-0000-0000-0000AA160000}"/>
    <cellStyle name="Millares 5 2 3 2 2" xfId="4592" xr:uid="{00000000-0005-0000-0000-0000AB160000}"/>
    <cellStyle name="Millares 5 2 3 2 2 2" xfId="9524" xr:uid="{00000000-0005-0000-0000-0000AC160000}"/>
    <cellStyle name="Millares 5 2 3 2 2 2 2" xfId="19384" xr:uid="{00000000-0005-0000-0000-0000AD160000}"/>
    <cellStyle name="Millares 5 2 3 2 2 2 2 2" xfId="39099" xr:uid="{00000000-0005-0000-0000-0000AE160000}"/>
    <cellStyle name="Millares 5 2 3 2 2 2 3" xfId="29242" xr:uid="{00000000-0005-0000-0000-0000AF160000}"/>
    <cellStyle name="Millares 5 2 3 2 2 3" xfId="14456" xr:uid="{00000000-0005-0000-0000-0000B0160000}"/>
    <cellStyle name="Millares 5 2 3 2 2 3 2" xfId="34171" xr:uid="{00000000-0005-0000-0000-0000B1160000}"/>
    <cellStyle name="Millares 5 2 3 2 2 4" xfId="24314" xr:uid="{00000000-0005-0000-0000-0000B2160000}"/>
    <cellStyle name="Millares 5 2 3 2 3" xfId="7060" xr:uid="{00000000-0005-0000-0000-0000B3160000}"/>
    <cellStyle name="Millares 5 2 3 2 3 2" xfId="16920" xr:uid="{00000000-0005-0000-0000-0000B4160000}"/>
    <cellStyle name="Millares 5 2 3 2 3 2 2" xfId="36635" xr:uid="{00000000-0005-0000-0000-0000B5160000}"/>
    <cellStyle name="Millares 5 2 3 2 3 3" xfId="26778" xr:uid="{00000000-0005-0000-0000-0000B6160000}"/>
    <cellStyle name="Millares 5 2 3 2 4" xfId="11992" xr:uid="{00000000-0005-0000-0000-0000B7160000}"/>
    <cellStyle name="Millares 5 2 3 2 4 2" xfId="31707" xr:uid="{00000000-0005-0000-0000-0000B8160000}"/>
    <cellStyle name="Millares 5 2 3 2 5" xfId="21850" xr:uid="{00000000-0005-0000-0000-0000B9160000}"/>
    <cellStyle name="Millares 5 2 3 3" xfId="3360" xr:uid="{00000000-0005-0000-0000-0000BA160000}"/>
    <cellStyle name="Millares 5 2 3 3 2" xfId="8292" xr:uid="{00000000-0005-0000-0000-0000BB160000}"/>
    <cellStyle name="Millares 5 2 3 3 2 2" xfId="18152" xr:uid="{00000000-0005-0000-0000-0000BC160000}"/>
    <cellStyle name="Millares 5 2 3 3 2 2 2" xfId="37867" xr:uid="{00000000-0005-0000-0000-0000BD160000}"/>
    <cellStyle name="Millares 5 2 3 3 2 3" xfId="28010" xr:uid="{00000000-0005-0000-0000-0000BE160000}"/>
    <cellStyle name="Millares 5 2 3 3 3" xfId="13224" xr:uid="{00000000-0005-0000-0000-0000BF160000}"/>
    <cellStyle name="Millares 5 2 3 3 3 2" xfId="32939" xr:uid="{00000000-0005-0000-0000-0000C0160000}"/>
    <cellStyle name="Millares 5 2 3 3 4" xfId="23082" xr:uid="{00000000-0005-0000-0000-0000C1160000}"/>
    <cellStyle name="Millares 5 2 3 4" xfId="5828" xr:uid="{00000000-0005-0000-0000-0000C2160000}"/>
    <cellStyle name="Millares 5 2 3 4 2" xfId="15688" xr:uid="{00000000-0005-0000-0000-0000C3160000}"/>
    <cellStyle name="Millares 5 2 3 4 2 2" xfId="35403" xr:uid="{00000000-0005-0000-0000-0000C4160000}"/>
    <cellStyle name="Millares 5 2 3 4 3" xfId="25546" xr:uid="{00000000-0005-0000-0000-0000C5160000}"/>
    <cellStyle name="Millares 5 2 3 5" xfId="10760" xr:uid="{00000000-0005-0000-0000-0000C6160000}"/>
    <cellStyle name="Millares 5 2 3 5 2" xfId="30475" xr:uid="{00000000-0005-0000-0000-0000C7160000}"/>
    <cellStyle name="Millares 5 2 3 6" xfId="20618" xr:uid="{00000000-0005-0000-0000-0000C8160000}"/>
    <cellStyle name="Millares 5 2 4" xfId="1509" xr:uid="{00000000-0005-0000-0000-0000C9160000}"/>
    <cellStyle name="Millares 5 2 4 2" xfId="3976" xr:uid="{00000000-0005-0000-0000-0000CA160000}"/>
    <cellStyle name="Millares 5 2 4 2 2" xfId="8908" xr:uid="{00000000-0005-0000-0000-0000CB160000}"/>
    <cellStyle name="Millares 5 2 4 2 2 2" xfId="18768" xr:uid="{00000000-0005-0000-0000-0000CC160000}"/>
    <cellStyle name="Millares 5 2 4 2 2 2 2" xfId="38483" xr:uid="{00000000-0005-0000-0000-0000CD160000}"/>
    <cellStyle name="Millares 5 2 4 2 2 3" xfId="28626" xr:uid="{00000000-0005-0000-0000-0000CE160000}"/>
    <cellStyle name="Millares 5 2 4 2 3" xfId="13840" xr:uid="{00000000-0005-0000-0000-0000CF160000}"/>
    <cellStyle name="Millares 5 2 4 2 3 2" xfId="33555" xr:uid="{00000000-0005-0000-0000-0000D0160000}"/>
    <cellStyle name="Millares 5 2 4 2 4" xfId="23698" xr:uid="{00000000-0005-0000-0000-0000D1160000}"/>
    <cellStyle name="Millares 5 2 4 3" xfId="6444" xr:uid="{00000000-0005-0000-0000-0000D2160000}"/>
    <cellStyle name="Millares 5 2 4 3 2" xfId="16304" xr:uid="{00000000-0005-0000-0000-0000D3160000}"/>
    <cellStyle name="Millares 5 2 4 3 2 2" xfId="36019" xr:uid="{00000000-0005-0000-0000-0000D4160000}"/>
    <cellStyle name="Millares 5 2 4 3 3" xfId="26162" xr:uid="{00000000-0005-0000-0000-0000D5160000}"/>
    <cellStyle name="Millares 5 2 4 4" xfId="11376" xr:uid="{00000000-0005-0000-0000-0000D6160000}"/>
    <cellStyle name="Millares 5 2 4 4 2" xfId="31091" xr:uid="{00000000-0005-0000-0000-0000D7160000}"/>
    <cellStyle name="Millares 5 2 4 5" xfId="21234" xr:uid="{00000000-0005-0000-0000-0000D8160000}"/>
    <cellStyle name="Millares 5 2 5" xfId="2744" xr:uid="{00000000-0005-0000-0000-0000D9160000}"/>
    <cellStyle name="Millares 5 2 5 2" xfId="7676" xr:uid="{00000000-0005-0000-0000-0000DA160000}"/>
    <cellStyle name="Millares 5 2 5 2 2" xfId="17536" xr:uid="{00000000-0005-0000-0000-0000DB160000}"/>
    <cellStyle name="Millares 5 2 5 2 2 2" xfId="37251" xr:uid="{00000000-0005-0000-0000-0000DC160000}"/>
    <cellStyle name="Millares 5 2 5 2 3" xfId="27394" xr:uid="{00000000-0005-0000-0000-0000DD160000}"/>
    <cellStyle name="Millares 5 2 5 3" xfId="12608" xr:uid="{00000000-0005-0000-0000-0000DE160000}"/>
    <cellStyle name="Millares 5 2 5 3 2" xfId="32323" xr:uid="{00000000-0005-0000-0000-0000DF160000}"/>
    <cellStyle name="Millares 5 2 5 4" xfId="22466" xr:uid="{00000000-0005-0000-0000-0000E0160000}"/>
    <cellStyle name="Millares 5 2 6" xfId="5212" xr:uid="{00000000-0005-0000-0000-0000E1160000}"/>
    <cellStyle name="Millares 5 2 6 2" xfId="15072" xr:uid="{00000000-0005-0000-0000-0000E2160000}"/>
    <cellStyle name="Millares 5 2 6 2 2" xfId="34787" xr:uid="{00000000-0005-0000-0000-0000E3160000}"/>
    <cellStyle name="Millares 5 2 6 3" xfId="24930" xr:uid="{00000000-0005-0000-0000-0000E4160000}"/>
    <cellStyle name="Millares 5 2 7" xfId="10144" xr:uid="{00000000-0005-0000-0000-0000E5160000}"/>
    <cellStyle name="Millares 5 2 7 2" xfId="29859" xr:uid="{00000000-0005-0000-0000-0000E6160000}"/>
    <cellStyle name="Millares 5 2 8" xfId="20002" xr:uid="{00000000-0005-0000-0000-0000E7160000}"/>
    <cellStyle name="Millares 5 3" xfId="424" xr:uid="{00000000-0005-0000-0000-0000E8160000}"/>
    <cellStyle name="Millares 5 3 2" xfId="1044" xr:uid="{00000000-0005-0000-0000-0000E9160000}"/>
    <cellStyle name="Millares 5 3 2 2" xfId="2279" xr:uid="{00000000-0005-0000-0000-0000EA160000}"/>
    <cellStyle name="Millares 5 3 2 2 2" xfId="4746" xr:uid="{00000000-0005-0000-0000-0000EB160000}"/>
    <cellStyle name="Millares 5 3 2 2 2 2" xfId="9678" xr:uid="{00000000-0005-0000-0000-0000EC160000}"/>
    <cellStyle name="Millares 5 3 2 2 2 2 2" xfId="19538" xr:uid="{00000000-0005-0000-0000-0000ED160000}"/>
    <cellStyle name="Millares 5 3 2 2 2 2 2 2" xfId="39253" xr:uid="{00000000-0005-0000-0000-0000EE160000}"/>
    <cellStyle name="Millares 5 3 2 2 2 2 3" xfId="29396" xr:uid="{00000000-0005-0000-0000-0000EF160000}"/>
    <cellStyle name="Millares 5 3 2 2 2 3" xfId="14610" xr:uid="{00000000-0005-0000-0000-0000F0160000}"/>
    <cellStyle name="Millares 5 3 2 2 2 3 2" xfId="34325" xr:uid="{00000000-0005-0000-0000-0000F1160000}"/>
    <cellStyle name="Millares 5 3 2 2 2 4" xfId="24468" xr:uid="{00000000-0005-0000-0000-0000F2160000}"/>
    <cellStyle name="Millares 5 3 2 2 3" xfId="7214" xr:uid="{00000000-0005-0000-0000-0000F3160000}"/>
    <cellStyle name="Millares 5 3 2 2 3 2" xfId="17074" xr:uid="{00000000-0005-0000-0000-0000F4160000}"/>
    <cellStyle name="Millares 5 3 2 2 3 2 2" xfId="36789" xr:uid="{00000000-0005-0000-0000-0000F5160000}"/>
    <cellStyle name="Millares 5 3 2 2 3 3" xfId="26932" xr:uid="{00000000-0005-0000-0000-0000F6160000}"/>
    <cellStyle name="Millares 5 3 2 2 4" xfId="12146" xr:uid="{00000000-0005-0000-0000-0000F7160000}"/>
    <cellStyle name="Millares 5 3 2 2 4 2" xfId="31861" xr:uid="{00000000-0005-0000-0000-0000F8160000}"/>
    <cellStyle name="Millares 5 3 2 2 5" xfId="22004" xr:uid="{00000000-0005-0000-0000-0000F9160000}"/>
    <cellStyle name="Millares 5 3 2 3" xfId="3514" xr:uid="{00000000-0005-0000-0000-0000FA160000}"/>
    <cellStyle name="Millares 5 3 2 3 2" xfId="8446" xr:uid="{00000000-0005-0000-0000-0000FB160000}"/>
    <cellStyle name="Millares 5 3 2 3 2 2" xfId="18306" xr:uid="{00000000-0005-0000-0000-0000FC160000}"/>
    <cellStyle name="Millares 5 3 2 3 2 2 2" xfId="38021" xr:uid="{00000000-0005-0000-0000-0000FD160000}"/>
    <cellStyle name="Millares 5 3 2 3 2 3" xfId="28164" xr:uid="{00000000-0005-0000-0000-0000FE160000}"/>
    <cellStyle name="Millares 5 3 2 3 3" xfId="13378" xr:uid="{00000000-0005-0000-0000-0000FF160000}"/>
    <cellStyle name="Millares 5 3 2 3 3 2" xfId="33093" xr:uid="{00000000-0005-0000-0000-000000170000}"/>
    <cellStyle name="Millares 5 3 2 3 4" xfId="23236" xr:uid="{00000000-0005-0000-0000-000001170000}"/>
    <cellStyle name="Millares 5 3 2 4" xfId="5982" xr:uid="{00000000-0005-0000-0000-000002170000}"/>
    <cellStyle name="Millares 5 3 2 4 2" xfId="15842" xr:uid="{00000000-0005-0000-0000-000003170000}"/>
    <cellStyle name="Millares 5 3 2 4 2 2" xfId="35557" xr:uid="{00000000-0005-0000-0000-000004170000}"/>
    <cellStyle name="Millares 5 3 2 4 3" xfId="25700" xr:uid="{00000000-0005-0000-0000-000005170000}"/>
    <cellStyle name="Millares 5 3 2 5" xfId="10914" xr:uid="{00000000-0005-0000-0000-000006170000}"/>
    <cellStyle name="Millares 5 3 2 5 2" xfId="30629" xr:uid="{00000000-0005-0000-0000-000007170000}"/>
    <cellStyle name="Millares 5 3 2 6" xfId="20772" xr:uid="{00000000-0005-0000-0000-000008170000}"/>
    <cellStyle name="Millares 5 3 3" xfId="1663" xr:uid="{00000000-0005-0000-0000-000009170000}"/>
    <cellStyle name="Millares 5 3 3 2" xfId="4130" xr:uid="{00000000-0005-0000-0000-00000A170000}"/>
    <cellStyle name="Millares 5 3 3 2 2" xfId="9062" xr:uid="{00000000-0005-0000-0000-00000B170000}"/>
    <cellStyle name="Millares 5 3 3 2 2 2" xfId="18922" xr:uid="{00000000-0005-0000-0000-00000C170000}"/>
    <cellStyle name="Millares 5 3 3 2 2 2 2" xfId="38637" xr:uid="{00000000-0005-0000-0000-00000D170000}"/>
    <cellStyle name="Millares 5 3 3 2 2 3" xfId="28780" xr:uid="{00000000-0005-0000-0000-00000E170000}"/>
    <cellStyle name="Millares 5 3 3 2 3" xfId="13994" xr:uid="{00000000-0005-0000-0000-00000F170000}"/>
    <cellStyle name="Millares 5 3 3 2 3 2" xfId="33709" xr:uid="{00000000-0005-0000-0000-000010170000}"/>
    <cellStyle name="Millares 5 3 3 2 4" xfId="23852" xr:uid="{00000000-0005-0000-0000-000011170000}"/>
    <cellStyle name="Millares 5 3 3 3" xfId="6598" xr:uid="{00000000-0005-0000-0000-000012170000}"/>
    <cellStyle name="Millares 5 3 3 3 2" xfId="16458" xr:uid="{00000000-0005-0000-0000-000013170000}"/>
    <cellStyle name="Millares 5 3 3 3 2 2" xfId="36173" xr:uid="{00000000-0005-0000-0000-000014170000}"/>
    <cellStyle name="Millares 5 3 3 3 3" xfId="26316" xr:uid="{00000000-0005-0000-0000-000015170000}"/>
    <cellStyle name="Millares 5 3 3 4" xfId="11530" xr:uid="{00000000-0005-0000-0000-000016170000}"/>
    <cellStyle name="Millares 5 3 3 4 2" xfId="31245" xr:uid="{00000000-0005-0000-0000-000017170000}"/>
    <cellStyle name="Millares 5 3 3 5" xfId="21388" xr:uid="{00000000-0005-0000-0000-000018170000}"/>
    <cellStyle name="Millares 5 3 4" xfId="2898" xr:uid="{00000000-0005-0000-0000-000019170000}"/>
    <cellStyle name="Millares 5 3 4 2" xfId="7830" xr:uid="{00000000-0005-0000-0000-00001A170000}"/>
    <cellStyle name="Millares 5 3 4 2 2" xfId="17690" xr:uid="{00000000-0005-0000-0000-00001B170000}"/>
    <cellStyle name="Millares 5 3 4 2 2 2" xfId="37405" xr:uid="{00000000-0005-0000-0000-00001C170000}"/>
    <cellStyle name="Millares 5 3 4 2 3" xfId="27548" xr:uid="{00000000-0005-0000-0000-00001D170000}"/>
    <cellStyle name="Millares 5 3 4 3" xfId="12762" xr:uid="{00000000-0005-0000-0000-00001E170000}"/>
    <cellStyle name="Millares 5 3 4 3 2" xfId="32477" xr:uid="{00000000-0005-0000-0000-00001F170000}"/>
    <cellStyle name="Millares 5 3 4 4" xfId="22620" xr:uid="{00000000-0005-0000-0000-000020170000}"/>
    <cellStyle name="Millares 5 3 5" xfId="5366" xr:uid="{00000000-0005-0000-0000-000021170000}"/>
    <cellStyle name="Millares 5 3 5 2" xfId="15226" xr:uid="{00000000-0005-0000-0000-000022170000}"/>
    <cellStyle name="Millares 5 3 5 2 2" xfId="34941" xr:uid="{00000000-0005-0000-0000-000023170000}"/>
    <cellStyle name="Millares 5 3 5 3" xfId="25084" xr:uid="{00000000-0005-0000-0000-000024170000}"/>
    <cellStyle name="Millares 5 3 6" xfId="10298" xr:uid="{00000000-0005-0000-0000-000025170000}"/>
    <cellStyle name="Millares 5 3 6 2" xfId="30013" xr:uid="{00000000-0005-0000-0000-000026170000}"/>
    <cellStyle name="Millares 5 3 7" xfId="20156" xr:uid="{00000000-0005-0000-0000-000027170000}"/>
    <cellStyle name="Millares 5 4" xfId="737" xr:uid="{00000000-0005-0000-0000-000028170000}"/>
    <cellStyle name="Millares 5 4 2" xfId="1973" xr:uid="{00000000-0005-0000-0000-000029170000}"/>
    <cellStyle name="Millares 5 4 2 2" xfId="4440" xr:uid="{00000000-0005-0000-0000-00002A170000}"/>
    <cellStyle name="Millares 5 4 2 2 2" xfId="9372" xr:uid="{00000000-0005-0000-0000-00002B170000}"/>
    <cellStyle name="Millares 5 4 2 2 2 2" xfId="19232" xr:uid="{00000000-0005-0000-0000-00002C170000}"/>
    <cellStyle name="Millares 5 4 2 2 2 2 2" xfId="38947" xr:uid="{00000000-0005-0000-0000-00002D170000}"/>
    <cellStyle name="Millares 5 4 2 2 2 3" xfId="29090" xr:uid="{00000000-0005-0000-0000-00002E170000}"/>
    <cellStyle name="Millares 5 4 2 2 3" xfId="14304" xr:uid="{00000000-0005-0000-0000-00002F170000}"/>
    <cellStyle name="Millares 5 4 2 2 3 2" xfId="34019" xr:uid="{00000000-0005-0000-0000-000030170000}"/>
    <cellStyle name="Millares 5 4 2 2 4" xfId="24162" xr:uid="{00000000-0005-0000-0000-000031170000}"/>
    <cellStyle name="Millares 5 4 2 3" xfId="6908" xr:uid="{00000000-0005-0000-0000-000032170000}"/>
    <cellStyle name="Millares 5 4 2 3 2" xfId="16768" xr:uid="{00000000-0005-0000-0000-000033170000}"/>
    <cellStyle name="Millares 5 4 2 3 2 2" xfId="36483" xr:uid="{00000000-0005-0000-0000-000034170000}"/>
    <cellStyle name="Millares 5 4 2 3 3" xfId="26626" xr:uid="{00000000-0005-0000-0000-000035170000}"/>
    <cellStyle name="Millares 5 4 2 4" xfId="11840" xr:uid="{00000000-0005-0000-0000-000036170000}"/>
    <cellStyle name="Millares 5 4 2 4 2" xfId="31555" xr:uid="{00000000-0005-0000-0000-000037170000}"/>
    <cellStyle name="Millares 5 4 2 5" xfId="21698" xr:uid="{00000000-0005-0000-0000-000038170000}"/>
    <cellStyle name="Millares 5 4 3" xfId="3208" xr:uid="{00000000-0005-0000-0000-000039170000}"/>
    <cellStyle name="Millares 5 4 3 2" xfId="8140" xr:uid="{00000000-0005-0000-0000-00003A170000}"/>
    <cellStyle name="Millares 5 4 3 2 2" xfId="18000" xr:uid="{00000000-0005-0000-0000-00003B170000}"/>
    <cellStyle name="Millares 5 4 3 2 2 2" xfId="37715" xr:uid="{00000000-0005-0000-0000-00003C170000}"/>
    <cellStyle name="Millares 5 4 3 2 3" xfId="27858" xr:uid="{00000000-0005-0000-0000-00003D170000}"/>
    <cellStyle name="Millares 5 4 3 3" xfId="13072" xr:uid="{00000000-0005-0000-0000-00003E170000}"/>
    <cellStyle name="Millares 5 4 3 3 2" xfId="32787" xr:uid="{00000000-0005-0000-0000-00003F170000}"/>
    <cellStyle name="Millares 5 4 3 4" xfId="22930" xr:uid="{00000000-0005-0000-0000-000040170000}"/>
    <cellStyle name="Millares 5 4 4" xfId="5676" xr:uid="{00000000-0005-0000-0000-000041170000}"/>
    <cellStyle name="Millares 5 4 4 2" xfId="15536" xr:uid="{00000000-0005-0000-0000-000042170000}"/>
    <cellStyle name="Millares 5 4 4 2 2" xfId="35251" xr:uid="{00000000-0005-0000-0000-000043170000}"/>
    <cellStyle name="Millares 5 4 4 3" xfId="25394" xr:uid="{00000000-0005-0000-0000-000044170000}"/>
    <cellStyle name="Millares 5 4 5" xfId="10608" xr:uid="{00000000-0005-0000-0000-000045170000}"/>
    <cellStyle name="Millares 5 4 5 2" xfId="30323" xr:uid="{00000000-0005-0000-0000-000046170000}"/>
    <cellStyle name="Millares 5 4 6" xfId="20466" xr:uid="{00000000-0005-0000-0000-000047170000}"/>
    <cellStyle name="Millares 5 5" xfId="1357" xr:uid="{00000000-0005-0000-0000-000048170000}"/>
    <cellStyle name="Millares 5 5 2" xfId="3824" xr:uid="{00000000-0005-0000-0000-000049170000}"/>
    <cellStyle name="Millares 5 5 2 2" xfId="8756" xr:uid="{00000000-0005-0000-0000-00004A170000}"/>
    <cellStyle name="Millares 5 5 2 2 2" xfId="18616" xr:uid="{00000000-0005-0000-0000-00004B170000}"/>
    <cellStyle name="Millares 5 5 2 2 2 2" xfId="38331" xr:uid="{00000000-0005-0000-0000-00004C170000}"/>
    <cellStyle name="Millares 5 5 2 2 3" xfId="28474" xr:uid="{00000000-0005-0000-0000-00004D170000}"/>
    <cellStyle name="Millares 5 5 2 3" xfId="13688" xr:uid="{00000000-0005-0000-0000-00004E170000}"/>
    <cellStyle name="Millares 5 5 2 3 2" xfId="33403" xr:uid="{00000000-0005-0000-0000-00004F170000}"/>
    <cellStyle name="Millares 5 5 2 4" xfId="23546" xr:uid="{00000000-0005-0000-0000-000050170000}"/>
    <cellStyle name="Millares 5 5 3" xfId="6292" xr:uid="{00000000-0005-0000-0000-000051170000}"/>
    <cellStyle name="Millares 5 5 3 2" xfId="16152" xr:uid="{00000000-0005-0000-0000-000052170000}"/>
    <cellStyle name="Millares 5 5 3 2 2" xfId="35867" xr:uid="{00000000-0005-0000-0000-000053170000}"/>
    <cellStyle name="Millares 5 5 3 3" xfId="26010" xr:uid="{00000000-0005-0000-0000-000054170000}"/>
    <cellStyle name="Millares 5 5 4" xfId="11224" xr:uid="{00000000-0005-0000-0000-000055170000}"/>
    <cellStyle name="Millares 5 5 4 2" xfId="30939" xr:uid="{00000000-0005-0000-0000-000056170000}"/>
    <cellStyle name="Millares 5 5 5" xfId="21082" xr:uid="{00000000-0005-0000-0000-000057170000}"/>
    <cellStyle name="Millares 5 6" xfId="2592" xr:uid="{00000000-0005-0000-0000-000058170000}"/>
    <cellStyle name="Millares 5 6 2" xfId="7524" xr:uid="{00000000-0005-0000-0000-000059170000}"/>
    <cellStyle name="Millares 5 6 2 2" xfId="17384" xr:uid="{00000000-0005-0000-0000-00005A170000}"/>
    <cellStyle name="Millares 5 6 2 2 2" xfId="37099" xr:uid="{00000000-0005-0000-0000-00005B170000}"/>
    <cellStyle name="Millares 5 6 2 3" xfId="27242" xr:uid="{00000000-0005-0000-0000-00005C170000}"/>
    <cellStyle name="Millares 5 6 3" xfId="12456" xr:uid="{00000000-0005-0000-0000-00005D170000}"/>
    <cellStyle name="Millares 5 6 3 2" xfId="32171" xr:uid="{00000000-0005-0000-0000-00005E170000}"/>
    <cellStyle name="Millares 5 6 4" xfId="22314" xr:uid="{00000000-0005-0000-0000-00005F170000}"/>
    <cellStyle name="Millares 5 7" xfId="5060" xr:uid="{00000000-0005-0000-0000-000060170000}"/>
    <cellStyle name="Millares 5 7 2" xfId="14920" xr:uid="{00000000-0005-0000-0000-000061170000}"/>
    <cellStyle name="Millares 5 7 2 2" xfId="34635" xr:uid="{00000000-0005-0000-0000-000062170000}"/>
    <cellStyle name="Millares 5 7 3" xfId="24778" xr:uid="{00000000-0005-0000-0000-000063170000}"/>
    <cellStyle name="Millares 5 8" xfId="9992" xr:uid="{00000000-0005-0000-0000-000064170000}"/>
    <cellStyle name="Millares 5 8 2" xfId="29707" xr:uid="{00000000-0005-0000-0000-000065170000}"/>
    <cellStyle name="Millares 5 9" xfId="19850" xr:uid="{00000000-0005-0000-0000-000066170000}"/>
    <cellStyle name="Millares 6" xfId="182" xr:uid="{00000000-0005-0000-0000-000067170000}"/>
    <cellStyle name="Millares 6 2" xfId="499" xr:uid="{00000000-0005-0000-0000-000068170000}"/>
    <cellStyle name="Millares 6 2 2" xfId="1119" xr:uid="{00000000-0005-0000-0000-000069170000}"/>
    <cellStyle name="Millares 6 2 2 2" xfId="2354" xr:uid="{00000000-0005-0000-0000-00006A170000}"/>
    <cellStyle name="Millares 6 2 2 2 2" xfId="4821" xr:uid="{00000000-0005-0000-0000-00006B170000}"/>
    <cellStyle name="Millares 6 2 2 2 2 2" xfId="9753" xr:uid="{00000000-0005-0000-0000-00006C170000}"/>
    <cellStyle name="Millares 6 2 2 2 2 2 2" xfId="19613" xr:uid="{00000000-0005-0000-0000-00006D170000}"/>
    <cellStyle name="Millares 6 2 2 2 2 2 2 2" xfId="39328" xr:uid="{00000000-0005-0000-0000-00006E170000}"/>
    <cellStyle name="Millares 6 2 2 2 2 2 3" xfId="29471" xr:uid="{00000000-0005-0000-0000-00006F170000}"/>
    <cellStyle name="Millares 6 2 2 2 2 3" xfId="14685" xr:uid="{00000000-0005-0000-0000-000070170000}"/>
    <cellStyle name="Millares 6 2 2 2 2 3 2" xfId="34400" xr:uid="{00000000-0005-0000-0000-000071170000}"/>
    <cellStyle name="Millares 6 2 2 2 2 4" xfId="24543" xr:uid="{00000000-0005-0000-0000-000072170000}"/>
    <cellStyle name="Millares 6 2 2 2 3" xfId="7289" xr:uid="{00000000-0005-0000-0000-000073170000}"/>
    <cellStyle name="Millares 6 2 2 2 3 2" xfId="17149" xr:uid="{00000000-0005-0000-0000-000074170000}"/>
    <cellStyle name="Millares 6 2 2 2 3 2 2" xfId="36864" xr:uid="{00000000-0005-0000-0000-000075170000}"/>
    <cellStyle name="Millares 6 2 2 2 3 3" xfId="27007" xr:uid="{00000000-0005-0000-0000-000076170000}"/>
    <cellStyle name="Millares 6 2 2 2 4" xfId="12221" xr:uid="{00000000-0005-0000-0000-000077170000}"/>
    <cellStyle name="Millares 6 2 2 2 4 2" xfId="31936" xr:uid="{00000000-0005-0000-0000-000078170000}"/>
    <cellStyle name="Millares 6 2 2 2 5" xfId="22079" xr:uid="{00000000-0005-0000-0000-000079170000}"/>
    <cellStyle name="Millares 6 2 2 3" xfId="3589" xr:uid="{00000000-0005-0000-0000-00007A170000}"/>
    <cellStyle name="Millares 6 2 2 3 2" xfId="8521" xr:uid="{00000000-0005-0000-0000-00007B170000}"/>
    <cellStyle name="Millares 6 2 2 3 2 2" xfId="18381" xr:uid="{00000000-0005-0000-0000-00007C170000}"/>
    <cellStyle name="Millares 6 2 2 3 2 2 2" xfId="38096" xr:uid="{00000000-0005-0000-0000-00007D170000}"/>
    <cellStyle name="Millares 6 2 2 3 2 3" xfId="28239" xr:uid="{00000000-0005-0000-0000-00007E170000}"/>
    <cellStyle name="Millares 6 2 2 3 3" xfId="13453" xr:uid="{00000000-0005-0000-0000-00007F170000}"/>
    <cellStyle name="Millares 6 2 2 3 3 2" xfId="33168" xr:uid="{00000000-0005-0000-0000-000080170000}"/>
    <cellStyle name="Millares 6 2 2 3 4" xfId="23311" xr:uid="{00000000-0005-0000-0000-000081170000}"/>
    <cellStyle name="Millares 6 2 2 4" xfId="6057" xr:uid="{00000000-0005-0000-0000-000082170000}"/>
    <cellStyle name="Millares 6 2 2 4 2" xfId="15917" xr:uid="{00000000-0005-0000-0000-000083170000}"/>
    <cellStyle name="Millares 6 2 2 4 2 2" xfId="35632" xr:uid="{00000000-0005-0000-0000-000084170000}"/>
    <cellStyle name="Millares 6 2 2 4 3" xfId="25775" xr:uid="{00000000-0005-0000-0000-000085170000}"/>
    <cellStyle name="Millares 6 2 2 5" xfId="10989" xr:uid="{00000000-0005-0000-0000-000086170000}"/>
    <cellStyle name="Millares 6 2 2 5 2" xfId="30704" xr:uid="{00000000-0005-0000-0000-000087170000}"/>
    <cellStyle name="Millares 6 2 2 6" xfId="20847" xr:uid="{00000000-0005-0000-0000-000088170000}"/>
    <cellStyle name="Millares 6 2 3" xfId="1738" xr:uid="{00000000-0005-0000-0000-000089170000}"/>
    <cellStyle name="Millares 6 2 3 2" xfId="4205" xr:uid="{00000000-0005-0000-0000-00008A170000}"/>
    <cellStyle name="Millares 6 2 3 2 2" xfId="9137" xr:uid="{00000000-0005-0000-0000-00008B170000}"/>
    <cellStyle name="Millares 6 2 3 2 2 2" xfId="18997" xr:uid="{00000000-0005-0000-0000-00008C170000}"/>
    <cellStyle name="Millares 6 2 3 2 2 2 2" xfId="38712" xr:uid="{00000000-0005-0000-0000-00008D170000}"/>
    <cellStyle name="Millares 6 2 3 2 2 3" xfId="28855" xr:uid="{00000000-0005-0000-0000-00008E170000}"/>
    <cellStyle name="Millares 6 2 3 2 3" xfId="14069" xr:uid="{00000000-0005-0000-0000-00008F170000}"/>
    <cellStyle name="Millares 6 2 3 2 3 2" xfId="33784" xr:uid="{00000000-0005-0000-0000-000090170000}"/>
    <cellStyle name="Millares 6 2 3 2 4" xfId="23927" xr:uid="{00000000-0005-0000-0000-000091170000}"/>
    <cellStyle name="Millares 6 2 3 3" xfId="6673" xr:uid="{00000000-0005-0000-0000-000092170000}"/>
    <cellStyle name="Millares 6 2 3 3 2" xfId="16533" xr:uid="{00000000-0005-0000-0000-000093170000}"/>
    <cellStyle name="Millares 6 2 3 3 2 2" xfId="36248" xr:uid="{00000000-0005-0000-0000-000094170000}"/>
    <cellStyle name="Millares 6 2 3 3 3" xfId="26391" xr:uid="{00000000-0005-0000-0000-000095170000}"/>
    <cellStyle name="Millares 6 2 3 4" xfId="11605" xr:uid="{00000000-0005-0000-0000-000096170000}"/>
    <cellStyle name="Millares 6 2 3 4 2" xfId="31320" xr:uid="{00000000-0005-0000-0000-000097170000}"/>
    <cellStyle name="Millares 6 2 3 5" xfId="21463" xr:uid="{00000000-0005-0000-0000-000098170000}"/>
    <cellStyle name="Millares 6 2 4" xfId="2973" xr:uid="{00000000-0005-0000-0000-000099170000}"/>
    <cellStyle name="Millares 6 2 4 2" xfId="7905" xr:uid="{00000000-0005-0000-0000-00009A170000}"/>
    <cellStyle name="Millares 6 2 4 2 2" xfId="17765" xr:uid="{00000000-0005-0000-0000-00009B170000}"/>
    <cellStyle name="Millares 6 2 4 2 2 2" xfId="37480" xr:uid="{00000000-0005-0000-0000-00009C170000}"/>
    <cellStyle name="Millares 6 2 4 2 3" xfId="27623" xr:uid="{00000000-0005-0000-0000-00009D170000}"/>
    <cellStyle name="Millares 6 2 4 3" xfId="12837" xr:uid="{00000000-0005-0000-0000-00009E170000}"/>
    <cellStyle name="Millares 6 2 4 3 2" xfId="32552" xr:uid="{00000000-0005-0000-0000-00009F170000}"/>
    <cellStyle name="Millares 6 2 4 4" xfId="22695" xr:uid="{00000000-0005-0000-0000-0000A0170000}"/>
    <cellStyle name="Millares 6 2 5" xfId="5441" xr:uid="{00000000-0005-0000-0000-0000A1170000}"/>
    <cellStyle name="Millares 6 2 5 2" xfId="15301" xr:uid="{00000000-0005-0000-0000-0000A2170000}"/>
    <cellStyle name="Millares 6 2 5 2 2" xfId="35016" xr:uid="{00000000-0005-0000-0000-0000A3170000}"/>
    <cellStyle name="Millares 6 2 5 3" xfId="25159" xr:uid="{00000000-0005-0000-0000-0000A4170000}"/>
    <cellStyle name="Millares 6 2 6" xfId="10373" xr:uid="{00000000-0005-0000-0000-0000A5170000}"/>
    <cellStyle name="Millares 6 2 6 2" xfId="30088" xr:uid="{00000000-0005-0000-0000-0000A6170000}"/>
    <cellStyle name="Millares 6 2 7" xfId="20231" xr:uid="{00000000-0005-0000-0000-0000A7170000}"/>
    <cellStyle name="Millares 6 3" xfId="812" xr:uid="{00000000-0005-0000-0000-0000A8170000}"/>
    <cellStyle name="Millares 6 3 2" xfId="2048" xr:uid="{00000000-0005-0000-0000-0000A9170000}"/>
    <cellStyle name="Millares 6 3 2 2" xfId="4515" xr:uid="{00000000-0005-0000-0000-0000AA170000}"/>
    <cellStyle name="Millares 6 3 2 2 2" xfId="9447" xr:uid="{00000000-0005-0000-0000-0000AB170000}"/>
    <cellStyle name="Millares 6 3 2 2 2 2" xfId="19307" xr:uid="{00000000-0005-0000-0000-0000AC170000}"/>
    <cellStyle name="Millares 6 3 2 2 2 2 2" xfId="39022" xr:uid="{00000000-0005-0000-0000-0000AD170000}"/>
    <cellStyle name="Millares 6 3 2 2 2 3" xfId="29165" xr:uid="{00000000-0005-0000-0000-0000AE170000}"/>
    <cellStyle name="Millares 6 3 2 2 3" xfId="14379" xr:uid="{00000000-0005-0000-0000-0000AF170000}"/>
    <cellStyle name="Millares 6 3 2 2 3 2" xfId="34094" xr:uid="{00000000-0005-0000-0000-0000B0170000}"/>
    <cellStyle name="Millares 6 3 2 2 4" xfId="24237" xr:uid="{00000000-0005-0000-0000-0000B1170000}"/>
    <cellStyle name="Millares 6 3 2 3" xfId="6983" xr:uid="{00000000-0005-0000-0000-0000B2170000}"/>
    <cellStyle name="Millares 6 3 2 3 2" xfId="16843" xr:uid="{00000000-0005-0000-0000-0000B3170000}"/>
    <cellStyle name="Millares 6 3 2 3 2 2" xfId="36558" xr:uid="{00000000-0005-0000-0000-0000B4170000}"/>
    <cellStyle name="Millares 6 3 2 3 3" xfId="26701" xr:uid="{00000000-0005-0000-0000-0000B5170000}"/>
    <cellStyle name="Millares 6 3 2 4" xfId="11915" xr:uid="{00000000-0005-0000-0000-0000B6170000}"/>
    <cellStyle name="Millares 6 3 2 4 2" xfId="31630" xr:uid="{00000000-0005-0000-0000-0000B7170000}"/>
    <cellStyle name="Millares 6 3 2 5" xfId="21773" xr:uid="{00000000-0005-0000-0000-0000B8170000}"/>
    <cellStyle name="Millares 6 3 3" xfId="3283" xr:uid="{00000000-0005-0000-0000-0000B9170000}"/>
    <cellStyle name="Millares 6 3 3 2" xfId="8215" xr:uid="{00000000-0005-0000-0000-0000BA170000}"/>
    <cellStyle name="Millares 6 3 3 2 2" xfId="18075" xr:uid="{00000000-0005-0000-0000-0000BB170000}"/>
    <cellStyle name="Millares 6 3 3 2 2 2" xfId="37790" xr:uid="{00000000-0005-0000-0000-0000BC170000}"/>
    <cellStyle name="Millares 6 3 3 2 3" xfId="27933" xr:uid="{00000000-0005-0000-0000-0000BD170000}"/>
    <cellStyle name="Millares 6 3 3 3" xfId="13147" xr:uid="{00000000-0005-0000-0000-0000BE170000}"/>
    <cellStyle name="Millares 6 3 3 3 2" xfId="32862" xr:uid="{00000000-0005-0000-0000-0000BF170000}"/>
    <cellStyle name="Millares 6 3 3 4" xfId="23005" xr:uid="{00000000-0005-0000-0000-0000C0170000}"/>
    <cellStyle name="Millares 6 3 4" xfId="5751" xr:uid="{00000000-0005-0000-0000-0000C1170000}"/>
    <cellStyle name="Millares 6 3 4 2" xfId="15611" xr:uid="{00000000-0005-0000-0000-0000C2170000}"/>
    <cellStyle name="Millares 6 3 4 2 2" xfId="35326" xr:uid="{00000000-0005-0000-0000-0000C3170000}"/>
    <cellStyle name="Millares 6 3 4 3" xfId="25469" xr:uid="{00000000-0005-0000-0000-0000C4170000}"/>
    <cellStyle name="Millares 6 3 5" xfId="10683" xr:uid="{00000000-0005-0000-0000-0000C5170000}"/>
    <cellStyle name="Millares 6 3 5 2" xfId="30398" xr:uid="{00000000-0005-0000-0000-0000C6170000}"/>
    <cellStyle name="Millares 6 3 6" xfId="20541" xr:uid="{00000000-0005-0000-0000-0000C7170000}"/>
    <cellStyle name="Millares 6 4" xfId="1432" xr:uid="{00000000-0005-0000-0000-0000C8170000}"/>
    <cellStyle name="Millares 6 4 2" xfId="3899" xr:uid="{00000000-0005-0000-0000-0000C9170000}"/>
    <cellStyle name="Millares 6 4 2 2" xfId="8831" xr:uid="{00000000-0005-0000-0000-0000CA170000}"/>
    <cellStyle name="Millares 6 4 2 2 2" xfId="18691" xr:uid="{00000000-0005-0000-0000-0000CB170000}"/>
    <cellStyle name="Millares 6 4 2 2 2 2" xfId="38406" xr:uid="{00000000-0005-0000-0000-0000CC170000}"/>
    <cellStyle name="Millares 6 4 2 2 3" xfId="28549" xr:uid="{00000000-0005-0000-0000-0000CD170000}"/>
    <cellStyle name="Millares 6 4 2 3" xfId="13763" xr:uid="{00000000-0005-0000-0000-0000CE170000}"/>
    <cellStyle name="Millares 6 4 2 3 2" xfId="33478" xr:uid="{00000000-0005-0000-0000-0000CF170000}"/>
    <cellStyle name="Millares 6 4 2 4" xfId="23621" xr:uid="{00000000-0005-0000-0000-0000D0170000}"/>
    <cellStyle name="Millares 6 4 3" xfId="6367" xr:uid="{00000000-0005-0000-0000-0000D1170000}"/>
    <cellStyle name="Millares 6 4 3 2" xfId="16227" xr:uid="{00000000-0005-0000-0000-0000D2170000}"/>
    <cellStyle name="Millares 6 4 3 2 2" xfId="35942" xr:uid="{00000000-0005-0000-0000-0000D3170000}"/>
    <cellStyle name="Millares 6 4 3 3" xfId="26085" xr:uid="{00000000-0005-0000-0000-0000D4170000}"/>
    <cellStyle name="Millares 6 4 4" xfId="11299" xr:uid="{00000000-0005-0000-0000-0000D5170000}"/>
    <cellStyle name="Millares 6 4 4 2" xfId="31014" xr:uid="{00000000-0005-0000-0000-0000D6170000}"/>
    <cellStyle name="Millares 6 4 5" xfId="21157" xr:uid="{00000000-0005-0000-0000-0000D7170000}"/>
    <cellStyle name="Millares 6 5" xfId="2667" xr:uid="{00000000-0005-0000-0000-0000D8170000}"/>
    <cellStyle name="Millares 6 5 2" xfId="7599" xr:uid="{00000000-0005-0000-0000-0000D9170000}"/>
    <cellStyle name="Millares 6 5 2 2" xfId="17459" xr:uid="{00000000-0005-0000-0000-0000DA170000}"/>
    <cellStyle name="Millares 6 5 2 2 2" xfId="37174" xr:uid="{00000000-0005-0000-0000-0000DB170000}"/>
    <cellStyle name="Millares 6 5 2 3" xfId="27317" xr:uid="{00000000-0005-0000-0000-0000DC170000}"/>
    <cellStyle name="Millares 6 5 3" xfId="12531" xr:uid="{00000000-0005-0000-0000-0000DD170000}"/>
    <cellStyle name="Millares 6 5 3 2" xfId="32246" xr:uid="{00000000-0005-0000-0000-0000DE170000}"/>
    <cellStyle name="Millares 6 5 4" xfId="22389" xr:uid="{00000000-0005-0000-0000-0000DF170000}"/>
    <cellStyle name="Millares 6 6" xfId="5135" xr:uid="{00000000-0005-0000-0000-0000E0170000}"/>
    <cellStyle name="Millares 6 6 2" xfId="14995" xr:uid="{00000000-0005-0000-0000-0000E1170000}"/>
    <cellStyle name="Millares 6 6 2 2" xfId="34710" xr:uid="{00000000-0005-0000-0000-0000E2170000}"/>
    <cellStyle name="Millares 6 6 3" xfId="24853" xr:uid="{00000000-0005-0000-0000-0000E3170000}"/>
    <cellStyle name="Millares 6 7" xfId="10067" xr:uid="{00000000-0005-0000-0000-0000E4170000}"/>
    <cellStyle name="Millares 6 7 2" xfId="29782" xr:uid="{00000000-0005-0000-0000-0000E5170000}"/>
    <cellStyle name="Millares 6 8" xfId="19925" xr:uid="{00000000-0005-0000-0000-0000E6170000}"/>
    <cellStyle name="Millares 7" xfId="344" xr:uid="{00000000-0005-0000-0000-0000E7170000}"/>
    <cellStyle name="Millares 7 2" xfId="966" xr:uid="{00000000-0005-0000-0000-0000E8170000}"/>
    <cellStyle name="Millares 7 2 2" xfId="2202" xr:uid="{00000000-0005-0000-0000-0000E9170000}"/>
    <cellStyle name="Millares 7 2 2 2" xfId="4669" xr:uid="{00000000-0005-0000-0000-0000EA170000}"/>
    <cellStyle name="Millares 7 2 2 2 2" xfId="9601" xr:uid="{00000000-0005-0000-0000-0000EB170000}"/>
    <cellStyle name="Millares 7 2 2 2 2 2" xfId="19461" xr:uid="{00000000-0005-0000-0000-0000EC170000}"/>
    <cellStyle name="Millares 7 2 2 2 2 2 2" xfId="39176" xr:uid="{00000000-0005-0000-0000-0000ED170000}"/>
    <cellStyle name="Millares 7 2 2 2 2 3" xfId="29319" xr:uid="{00000000-0005-0000-0000-0000EE170000}"/>
    <cellStyle name="Millares 7 2 2 2 3" xfId="14533" xr:uid="{00000000-0005-0000-0000-0000EF170000}"/>
    <cellStyle name="Millares 7 2 2 2 3 2" xfId="34248" xr:uid="{00000000-0005-0000-0000-0000F0170000}"/>
    <cellStyle name="Millares 7 2 2 2 4" xfId="24391" xr:uid="{00000000-0005-0000-0000-0000F1170000}"/>
    <cellStyle name="Millares 7 2 2 3" xfId="7137" xr:uid="{00000000-0005-0000-0000-0000F2170000}"/>
    <cellStyle name="Millares 7 2 2 3 2" xfId="16997" xr:uid="{00000000-0005-0000-0000-0000F3170000}"/>
    <cellStyle name="Millares 7 2 2 3 2 2" xfId="36712" xr:uid="{00000000-0005-0000-0000-0000F4170000}"/>
    <cellStyle name="Millares 7 2 2 3 3" xfId="26855" xr:uid="{00000000-0005-0000-0000-0000F5170000}"/>
    <cellStyle name="Millares 7 2 2 4" xfId="12069" xr:uid="{00000000-0005-0000-0000-0000F6170000}"/>
    <cellStyle name="Millares 7 2 2 4 2" xfId="31784" xr:uid="{00000000-0005-0000-0000-0000F7170000}"/>
    <cellStyle name="Millares 7 2 2 5" xfId="21927" xr:uid="{00000000-0005-0000-0000-0000F8170000}"/>
    <cellStyle name="Millares 7 2 3" xfId="3437" xr:uid="{00000000-0005-0000-0000-0000F9170000}"/>
    <cellStyle name="Millares 7 2 3 2" xfId="8369" xr:uid="{00000000-0005-0000-0000-0000FA170000}"/>
    <cellStyle name="Millares 7 2 3 2 2" xfId="18229" xr:uid="{00000000-0005-0000-0000-0000FB170000}"/>
    <cellStyle name="Millares 7 2 3 2 2 2" xfId="37944" xr:uid="{00000000-0005-0000-0000-0000FC170000}"/>
    <cellStyle name="Millares 7 2 3 2 3" xfId="28087" xr:uid="{00000000-0005-0000-0000-0000FD170000}"/>
    <cellStyle name="Millares 7 2 3 3" xfId="13301" xr:uid="{00000000-0005-0000-0000-0000FE170000}"/>
    <cellStyle name="Millares 7 2 3 3 2" xfId="33016" xr:uid="{00000000-0005-0000-0000-0000FF170000}"/>
    <cellStyle name="Millares 7 2 3 4" xfId="23159" xr:uid="{00000000-0005-0000-0000-000000180000}"/>
    <cellStyle name="Millares 7 2 4" xfId="5905" xr:uid="{00000000-0005-0000-0000-000001180000}"/>
    <cellStyle name="Millares 7 2 4 2" xfId="15765" xr:uid="{00000000-0005-0000-0000-000002180000}"/>
    <cellStyle name="Millares 7 2 4 2 2" xfId="35480" xr:uid="{00000000-0005-0000-0000-000003180000}"/>
    <cellStyle name="Millares 7 2 4 3" xfId="25623" xr:uid="{00000000-0005-0000-0000-000004180000}"/>
    <cellStyle name="Millares 7 2 5" xfId="10837" xr:uid="{00000000-0005-0000-0000-000005180000}"/>
    <cellStyle name="Millares 7 2 5 2" xfId="30552" xr:uid="{00000000-0005-0000-0000-000006180000}"/>
    <cellStyle name="Millares 7 2 6" xfId="20695" xr:uid="{00000000-0005-0000-0000-000007180000}"/>
    <cellStyle name="Millares 7 3" xfId="1586" xr:uid="{00000000-0005-0000-0000-000008180000}"/>
    <cellStyle name="Millares 7 3 2" xfId="4053" xr:uid="{00000000-0005-0000-0000-000009180000}"/>
    <cellStyle name="Millares 7 3 2 2" xfId="8985" xr:uid="{00000000-0005-0000-0000-00000A180000}"/>
    <cellStyle name="Millares 7 3 2 2 2" xfId="18845" xr:uid="{00000000-0005-0000-0000-00000B180000}"/>
    <cellStyle name="Millares 7 3 2 2 2 2" xfId="38560" xr:uid="{00000000-0005-0000-0000-00000C180000}"/>
    <cellStyle name="Millares 7 3 2 2 3" xfId="28703" xr:uid="{00000000-0005-0000-0000-00000D180000}"/>
    <cellStyle name="Millares 7 3 2 3" xfId="13917" xr:uid="{00000000-0005-0000-0000-00000E180000}"/>
    <cellStyle name="Millares 7 3 2 3 2" xfId="33632" xr:uid="{00000000-0005-0000-0000-00000F180000}"/>
    <cellStyle name="Millares 7 3 2 4" xfId="23775" xr:uid="{00000000-0005-0000-0000-000010180000}"/>
    <cellStyle name="Millares 7 3 3" xfId="6521" xr:uid="{00000000-0005-0000-0000-000011180000}"/>
    <cellStyle name="Millares 7 3 3 2" xfId="16381" xr:uid="{00000000-0005-0000-0000-000012180000}"/>
    <cellStyle name="Millares 7 3 3 2 2" xfId="36096" xr:uid="{00000000-0005-0000-0000-000013180000}"/>
    <cellStyle name="Millares 7 3 3 3" xfId="26239" xr:uid="{00000000-0005-0000-0000-000014180000}"/>
    <cellStyle name="Millares 7 3 4" xfId="11453" xr:uid="{00000000-0005-0000-0000-000015180000}"/>
    <cellStyle name="Millares 7 3 4 2" xfId="31168" xr:uid="{00000000-0005-0000-0000-000016180000}"/>
    <cellStyle name="Millares 7 3 5" xfId="21311" xr:uid="{00000000-0005-0000-0000-000017180000}"/>
    <cellStyle name="Millares 7 4" xfId="2821" xr:uid="{00000000-0005-0000-0000-000018180000}"/>
    <cellStyle name="Millares 7 4 2" xfId="7753" xr:uid="{00000000-0005-0000-0000-000019180000}"/>
    <cellStyle name="Millares 7 4 2 2" xfId="17613" xr:uid="{00000000-0005-0000-0000-00001A180000}"/>
    <cellStyle name="Millares 7 4 2 2 2" xfId="37328" xr:uid="{00000000-0005-0000-0000-00001B180000}"/>
    <cellStyle name="Millares 7 4 2 3" xfId="27471" xr:uid="{00000000-0005-0000-0000-00001C180000}"/>
    <cellStyle name="Millares 7 4 3" xfId="12685" xr:uid="{00000000-0005-0000-0000-00001D180000}"/>
    <cellStyle name="Millares 7 4 3 2" xfId="32400" xr:uid="{00000000-0005-0000-0000-00001E180000}"/>
    <cellStyle name="Millares 7 4 4" xfId="22543" xr:uid="{00000000-0005-0000-0000-00001F180000}"/>
    <cellStyle name="Millares 7 5" xfId="5289" xr:uid="{00000000-0005-0000-0000-000020180000}"/>
    <cellStyle name="Millares 7 5 2" xfId="15149" xr:uid="{00000000-0005-0000-0000-000021180000}"/>
    <cellStyle name="Millares 7 5 2 2" xfId="34864" xr:uid="{00000000-0005-0000-0000-000022180000}"/>
    <cellStyle name="Millares 7 5 3" xfId="25007" xr:uid="{00000000-0005-0000-0000-000023180000}"/>
    <cellStyle name="Millares 7 6" xfId="10221" xr:uid="{00000000-0005-0000-0000-000024180000}"/>
    <cellStyle name="Millares 7 6 2" xfId="29936" xr:uid="{00000000-0005-0000-0000-000025180000}"/>
    <cellStyle name="Millares 7 7" xfId="20079" xr:uid="{00000000-0005-0000-0000-000026180000}"/>
    <cellStyle name="Millares 8" xfId="653" xr:uid="{00000000-0005-0000-0000-000027180000}"/>
    <cellStyle name="Millares 8 2" xfId="1273" xr:uid="{00000000-0005-0000-0000-000028180000}"/>
    <cellStyle name="Millares 8 2 2" xfId="2508" xr:uid="{00000000-0005-0000-0000-000029180000}"/>
    <cellStyle name="Millares 8 2 2 2" xfId="4975" xr:uid="{00000000-0005-0000-0000-00002A180000}"/>
    <cellStyle name="Millares 8 2 2 2 2" xfId="9907" xr:uid="{00000000-0005-0000-0000-00002B180000}"/>
    <cellStyle name="Millares 8 2 2 2 2 2" xfId="19767" xr:uid="{00000000-0005-0000-0000-00002C180000}"/>
    <cellStyle name="Millares 8 2 2 2 2 2 2" xfId="39482" xr:uid="{00000000-0005-0000-0000-00002D180000}"/>
    <cellStyle name="Millares 8 2 2 2 2 3" xfId="29625" xr:uid="{00000000-0005-0000-0000-00002E180000}"/>
    <cellStyle name="Millares 8 2 2 2 3" xfId="14839" xr:uid="{00000000-0005-0000-0000-00002F180000}"/>
    <cellStyle name="Millares 8 2 2 2 3 2" xfId="34554" xr:uid="{00000000-0005-0000-0000-000030180000}"/>
    <cellStyle name="Millares 8 2 2 2 4" xfId="24697" xr:uid="{00000000-0005-0000-0000-000031180000}"/>
    <cellStyle name="Millares 8 2 2 3" xfId="7443" xr:uid="{00000000-0005-0000-0000-000032180000}"/>
    <cellStyle name="Millares 8 2 2 3 2" xfId="17303" xr:uid="{00000000-0005-0000-0000-000033180000}"/>
    <cellStyle name="Millares 8 2 2 3 2 2" xfId="37018" xr:uid="{00000000-0005-0000-0000-000034180000}"/>
    <cellStyle name="Millares 8 2 2 3 3" xfId="27161" xr:uid="{00000000-0005-0000-0000-000035180000}"/>
    <cellStyle name="Millares 8 2 2 4" xfId="12375" xr:uid="{00000000-0005-0000-0000-000036180000}"/>
    <cellStyle name="Millares 8 2 2 4 2" xfId="32090" xr:uid="{00000000-0005-0000-0000-000037180000}"/>
    <cellStyle name="Millares 8 2 2 5" xfId="22233" xr:uid="{00000000-0005-0000-0000-000038180000}"/>
    <cellStyle name="Millares 8 2 3" xfId="3743" xr:uid="{00000000-0005-0000-0000-000039180000}"/>
    <cellStyle name="Millares 8 2 3 2" xfId="8675" xr:uid="{00000000-0005-0000-0000-00003A180000}"/>
    <cellStyle name="Millares 8 2 3 2 2" xfId="18535" xr:uid="{00000000-0005-0000-0000-00003B180000}"/>
    <cellStyle name="Millares 8 2 3 2 2 2" xfId="38250" xr:uid="{00000000-0005-0000-0000-00003C180000}"/>
    <cellStyle name="Millares 8 2 3 2 3" xfId="28393" xr:uid="{00000000-0005-0000-0000-00003D180000}"/>
    <cellStyle name="Millares 8 2 3 3" xfId="13607" xr:uid="{00000000-0005-0000-0000-00003E180000}"/>
    <cellStyle name="Millares 8 2 3 3 2" xfId="33322" xr:uid="{00000000-0005-0000-0000-00003F180000}"/>
    <cellStyle name="Millares 8 2 3 4" xfId="23465" xr:uid="{00000000-0005-0000-0000-000040180000}"/>
    <cellStyle name="Millares 8 2 4" xfId="6211" xr:uid="{00000000-0005-0000-0000-000041180000}"/>
    <cellStyle name="Millares 8 2 4 2" xfId="16071" xr:uid="{00000000-0005-0000-0000-000042180000}"/>
    <cellStyle name="Millares 8 2 4 2 2" xfId="35786" xr:uid="{00000000-0005-0000-0000-000043180000}"/>
    <cellStyle name="Millares 8 2 4 3" xfId="25929" xr:uid="{00000000-0005-0000-0000-000044180000}"/>
    <cellStyle name="Millares 8 2 5" xfId="11143" xr:uid="{00000000-0005-0000-0000-000045180000}"/>
    <cellStyle name="Millares 8 2 5 2" xfId="30858" xr:uid="{00000000-0005-0000-0000-000046180000}"/>
    <cellStyle name="Millares 8 2 6" xfId="21001" xr:uid="{00000000-0005-0000-0000-000047180000}"/>
    <cellStyle name="Millares 8 3" xfId="1892" xr:uid="{00000000-0005-0000-0000-000048180000}"/>
    <cellStyle name="Millares 8 3 2" xfId="4359" xr:uid="{00000000-0005-0000-0000-000049180000}"/>
    <cellStyle name="Millares 8 3 2 2" xfId="9291" xr:uid="{00000000-0005-0000-0000-00004A180000}"/>
    <cellStyle name="Millares 8 3 2 2 2" xfId="19151" xr:uid="{00000000-0005-0000-0000-00004B180000}"/>
    <cellStyle name="Millares 8 3 2 2 2 2" xfId="38866" xr:uid="{00000000-0005-0000-0000-00004C180000}"/>
    <cellStyle name="Millares 8 3 2 2 3" xfId="29009" xr:uid="{00000000-0005-0000-0000-00004D180000}"/>
    <cellStyle name="Millares 8 3 2 3" xfId="14223" xr:uid="{00000000-0005-0000-0000-00004E180000}"/>
    <cellStyle name="Millares 8 3 2 3 2" xfId="33938" xr:uid="{00000000-0005-0000-0000-00004F180000}"/>
    <cellStyle name="Millares 8 3 2 4" xfId="24081" xr:uid="{00000000-0005-0000-0000-000050180000}"/>
    <cellStyle name="Millares 8 3 3" xfId="6827" xr:uid="{00000000-0005-0000-0000-000051180000}"/>
    <cellStyle name="Millares 8 3 3 2" xfId="16687" xr:uid="{00000000-0005-0000-0000-000052180000}"/>
    <cellStyle name="Millares 8 3 3 2 2" xfId="36402" xr:uid="{00000000-0005-0000-0000-000053180000}"/>
    <cellStyle name="Millares 8 3 3 3" xfId="26545" xr:uid="{00000000-0005-0000-0000-000054180000}"/>
    <cellStyle name="Millares 8 3 4" xfId="11759" xr:uid="{00000000-0005-0000-0000-000055180000}"/>
    <cellStyle name="Millares 8 3 4 2" xfId="31474" xr:uid="{00000000-0005-0000-0000-000056180000}"/>
    <cellStyle name="Millares 8 3 5" xfId="21617" xr:uid="{00000000-0005-0000-0000-000057180000}"/>
    <cellStyle name="Millares 8 4" xfId="3127" xr:uid="{00000000-0005-0000-0000-000058180000}"/>
    <cellStyle name="Millares 8 4 2" xfId="8059" xr:uid="{00000000-0005-0000-0000-000059180000}"/>
    <cellStyle name="Millares 8 4 2 2" xfId="17919" xr:uid="{00000000-0005-0000-0000-00005A180000}"/>
    <cellStyle name="Millares 8 4 2 2 2" xfId="37634" xr:uid="{00000000-0005-0000-0000-00005B180000}"/>
    <cellStyle name="Millares 8 4 2 3" xfId="27777" xr:uid="{00000000-0005-0000-0000-00005C180000}"/>
    <cellStyle name="Millares 8 4 3" xfId="12991" xr:uid="{00000000-0005-0000-0000-00005D180000}"/>
    <cellStyle name="Millares 8 4 3 2" xfId="32706" xr:uid="{00000000-0005-0000-0000-00005E180000}"/>
    <cellStyle name="Millares 8 4 4" xfId="22849" xr:uid="{00000000-0005-0000-0000-00005F180000}"/>
    <cellStyle name="Millares 8 5" xfId="5595" xr:uid="{00000000-0005-0000-0000-000060180000}"/>
    <cellStyle name="Millares 8 5 2" xfId="15455" xr:uid="{00000000-0005-0000-0000-000061180000}"/>
    <cellStyle name="Millares 8 5 2 2" xfId="35170" xr:uid="{00000000-0005-0000-0000-000062180000}"/>
    <cellStyle name="Millares 8 5 3" xfId="25313" xr:uid="{00000000-0005-0000-0000-000063180000}"/>
    <cellStyle name="Millares 8 6" xfId="10527" xr:uid="{00000000-0005-0000-0000-000064180000}"/>
    <cellStyle name="Millares 8 6 2" xfId="30242" xr:uid="{00000000-0005-0000-0000-000065180000}"/>
    <cellStyle name="Millares 8 7" xfId="20385" xr:uid="{00000000-0005-0000-0000-000066180000}"/>
    <cellStyle name="Millares 9" xfId="657" xr:uid="{00000000-0005-0000-0000-000067180000}"/>
    <cellStyle name="Millares 9 2" xfId="1896" xr:uid="{00000000-0005-0000-0000-000068180000}"/>
    <cellStyle name="Millares 9 2 2" xfId="4363" xr:uid="{00000000-0005-0000-0000-000069180000}"/>
    <cellStyle name="Millares 9 2 2 2" xfId="9295" xr:uid="{00000000-0005-0000-0000-00006A180000}"/>
    <cellStyle name="Millares 9 2 2 2 2" xfId="19155" xr:uid="{00000000-0005-0000-0000-00006B180000}"/>
    <cellStyle name="Millares 9 2 2 2 2 2" xfId="38870" xr:uid="{00000000-0005-0000-0000-00006C180000}"/>
    <cellStyle name="Millares 9 2 2 2 3" xfId="29013" xr:uid="{00000000-0005-0000-0000-00006D180000}"/>
    <cellStyle name="Millares 9 2 2 3" xfId="14227" xr:uid="{00000000-0005-0000-0000-00006E180000}"/>
    <cellStyle name="Millares 9 2 2 3 2" xfId="33942" xr:uid="{00000000-0005-0000-0000-00006F180000}"/>
    <cellStyle name="Millares 9 2 2 4" xfId="24085" xr:uid="{00000000-0005-0000-0000-000070180000}"/>
    <cellStyle name="Millares 9 2 3" xfId="6831" xr:uid="{00000000-0005-0000-0000-000071180000}"/>
    <cellStyle name="Millares 9 2 3 2" xfId="16691" xr:uid="{00000000-0005-0000-0000-000072180000}"/>
    <cellStyle name="Millares 9 2 3 2 2" xfId="36406" xr:uid="{00000000-0005-0000-0000-000073180000}"/>
    <cellStyle name="Millares 9 2 3 3" xfId="26549" xr:uid="{00000000-0005-0000-0000-000074180000}"/>
    <cellStyle name="Millares 9 2 4" xfId="11763" xr:uid="{00000000-0005-0000-0000-000075180000}"/>
    <cellStyle name="Millares 9 2 4 2" xfId="31478" xr:uid="{00000000-0005-0000-0000-000076180000}"/>
    <cellStyle name="Millares 9 2 5" xfId="21621" xr:uid="{00000000-0005-0000-0000-000077180000}"/>
    <cellStyle name="Millares 9 3" xfId="3131" xr:uid="{00000000-0005-0000-0000-000078180000}"/>
    <cellStyle name="Millares 9 3 2" xfId="8063" xr:uid="{00000000-0005-0000-0000-000079180000}"/>
    <cellStyle name="Millares 9 3 2 2" xfId="17923" xr:uid="{00000000-0005-0000-0000-00007A180000}"/>
    <cellStyle name="Millares 9 3 2 2 2" xfId="37638" xr:uid="{00000000-0005-0000-0000-00007B180000}"/>
    <cellStyle name="Millares 9 3 2 3" xfId="27781" xr:uid="{00000000-0005-0000-0000-00007C180000}"/>
    <cellStyle name="Millares 9 3 3" xfId="12995" xr:uid="{00000000-0005-0000-0000-00007D180000}"/>
    <cellStyle name="Millares 9 3 3 2" xfId="32710" xr:uid="{00000000-0005-0000-0000-00007E180000}"/>
    <cellStyle name="Millares 9 3 4" xfId="22853" xr:uid="{00000000-0005-0000-0000-00007F180000}"/>
    <cellStyle name="Millares 9 4" xfId="5599" xr:uid="{00000000-0005-0000-0000-000080180000}"/>
    <cellStyle name="Millares 9 4 2" xfId="15459" xr:uid="{00000000-0005-0000-0000-000081180000}"/>
    <cellStyle name="Millares 9 4 2 2" xfId="35174" xr:uid="{00000000-0005-0000-0000-000082180000}"/>
    <cellStyle name="Millares 9 4 3" xfId="25317" xr:uid="{00000000-0005-0000-0000-000083180000}"/>
    <cellStyle name="Millares 9 5" xfId="10531" xr:uid="{00000000-0005-0000-0000-000084180000}"/>
    <cellStyle name="Millares 9 5 2" xfId="30246" xr:uid="{00000000-0005-0000-0000-000085180000}"/>
    <cellStyle name="Millares 9 6" xfId="20389" xr:uid="{00000000-0005-0000-0000-000086180000}"/>
    <cellStyle name="Moneda" xfId="39495" builtinId="4"/>
    <cellStyle name="Normal" xfId="0" builtinId="0"/>
    <cellStyle name="Normal 10" xfId="37" xr:uid="{00000000-0005-0000-0000-000089180000}"/>
    <cellStyle name="Normal 10 2" xfId="55" xr:uid="{00000000-0005-0000-0000-00008A180000}"/>
    <cellStyle name="Normal 11" xfId="33" xr:uid="{00000000-0005-0000-0000-00008B180000}"/>
    <cellStyle name="Normal 11 10" xfId="9933" xr:uid="{00000000-0005-0000-0000-00008C180000}"/>
    <cellStyle name="Normal 11 10 2" xfId="29648" xr:uid="{00000000-0005-0000-0000-00008D180000}"/>
    <cellStyle name="Normal 11 11" xfId="19791" xr:uid="{00000000-0005-0000-0000-00008E180000}"/>
    <cellStyle name="Normal 11 2" xfId="79" xr:uid="{00000000-0005-0000-0000-00008F180000}"/>
    <cellStyle name="Normal 11 2 10" xfId="19829" xr:uid="{00000000-0005-0000-0000-000090180000}"/>
    <cellStyle name="Normal 11 2 2" xfId="160" xr:uid="{00000000-0005-0000-0000-000091180000}"/>
    <cellStyle name="Normal 11 2 2 2" xfId="317" xr:uid="{00000000-0005-0000-0000-000092180000}"/>
    <cellStyle name="Normal 11 2 2 2 2" xfId="631" xr:uid="{00000000-0005-0000-0000-000093180000}"/>
    <cellStyle name="Normal 11 2 2 2 2 2" xfId="1251" xr:uid="{00000000-0005-0000-0000-000094180000}"/>
    <cellStyle name="Normal 11 2 2 2 2 2 2" xfId="2486" xr:uid="{00000000-0005-0000-0000-000095180000}"/>
    <cellStyle name="Normal 11 2 2 2 2 2 2 2" xfId="4953" xr:uid="{00000000-0005-0000-0000-000096180000}"/>
    <cellStyle name="Normal 11 2 2 2 2 2 2 2 2" xfId="9885" xr:uid="{00000000-0005-0000-0000-000097180000}"/>
    <cellStyle name="Normal 11 2 2 2 2 2 2 2 2 2" xfId="19745" xr:uid="{00000000-0005-0000-0000-000098180000}"/>
    <cellStyle name="Normal 11 2 2 2 2 2 2 2 2 2 2" xfId="39460" xr:uid="{00000000-0005-0000-0000-000099180000}"/>
    <cellStyle name="Normal 11 2 2 2 2 2 2 2 2 3" xfId="29603" xr:uid="{00000000-0005-0000-0000-00009A180000}"/>
    <cellStyle name="Normal 11 2 2 2 2 2 2 2 3" xfId="14817" xr:uid="{00000000-0005-0000-0000-00009B180000}"/>
    <cellStyle name="Normal 11 2 2 2 2 2 2 2 3 2" xfId="34532" xr:uid="{00000000-0005-0000-0000-00009C180000}"/>
    <cellStyle name="Normal 11 2 2 2 2 2 2 2 4" xfId="24675" xr:uid="{00000000-0005-0000-0000-00009D180000}"/>
    <cellStyle name="Normal 11 2 2 2 2 2 2 3" xfId="7421" xr:uid="{00000000-0005-0000-0000-00009E180000}"/>
    <cellStyle name="Normal 11 2 2 2 2 2 2 3 2" xfId="17281" xr:uid="{00000000-0005-0000-0000-00009F180000}"/>
    <cellStyle name="Normal 11 2 2 2 2 2 2 3 2 2" xfId="36996" xr:uid="{00000000-0005-0000-0000-0000A0180000}"/>
    <cellStyle name="Normal 11 2 2 2 2 2 2 3 3" xfId="27139" xr:uid="{00000000-0005-0000-0000-0000A1180000}"/>
    <cellStyle name="Normal 11 2 2 2 2 2 2 4" xfId="12353" xr:uid="{00000000-0005-0000-0000-0000A2180000}"/>
    <cellStyle name="Normal 11 2 2 2 2 2 2 4 2" xfId="32068" xr:uid="{00000000-0005-0000-0000-0000A3180000}"/>
    <cellStyle name="Normal 11 2 2 2 2 2 2 5" xfId="22211" xr:uid="{00000000-0005-0000-0000-0000A4180000}"/>
    <cellStyle name="Normal 11 2 2 2 2 2 3" xfId="3721" xr:uid="{00000000-0005-0000-0000-0000A5180000}"/>
    <cellStyle name="Normal 11 2 2 2 2 2 3 2" xfId="8653" xr:uid="{00000000-0005-0000-0000-0000A6180000}"/>
    <cellStyle name="Normal 11 2 2 2 2 2 3 2 2" xfId="18513" xr:uid="{00000000-0005-0000-0000-0000A7180000}"/>
    <cellStyle name="Normal 11 2 2 2 2 2 3 2 2 2" xfId="38228" xr:uid="{00000000-0005-0000-0000-0000A8180000}"/>
    <cellStyle name="Normal 11 2 2 2 2 2 3 2 3" xfId="28371" xr:uid="{00000000-0005-0000-0000-0000A9180000}"/>
    <cellStyle name="Normal 11 2 2 2 2 2 3 3" xfId="13585" xr:uid="{00000000-0005-0000-0000-0000AA180000}"/>
    <cellStyle name="Normal 11 2 2 2 2 2 3 3 2" xfId="33300" xr:uid="{00000000-0005-0000-0000-0000AB180000}"/>
    <cellStyle name="Normal 11 2 2 2 2 2 3 4" xfId="23443" xr:uid="{00000000-0005-0000-0000-0000AC180000}"/>
    <cellStyle name="Normal 11 2 2 2 2 2 4" xfId="6189" xr:uid="{00000000-0005-0000-0000-0000AD180000}"/>
    <cellStyle name="Normal 11 2 2 2 2 2 4 2" xfId="16049" xr:uid="{00000000-0005-0000-0000-0000AE180000}"/>
    <cellStyle name="Normal 11 2 2 2 2 2 4 2 2" xfId="35764" xr:uid="{00000000-0005-0000-0000-0000AF180000}"/>
    <cellStyle name="Normal 11 2 2 2 2 2 4 3" xfId="25907" xr:uid="{00000000-0005-0000-0000-0000B0180000}"/>
    <cellStyle name="Normal 11 2 2 2 2 2 5" xfId="11121" xr:uid="{00000000-0005-0000-0000-0000B1180000}"/>
    <cellStyle name="Normal 11 2 2 2 2 2 5 2" xfId="30836" xr:uid="{00000000-0005-0000-0000-0000B2180000}"/>
    <cellStyle name="Normal 11 2 2 2 2 2 6" xfId="20979" xr:uid="{00000000-0005-0000-0000-0000B3180000}"/>
    <cellStyle name="Normal 11 2 2 2 2 3" xfId="1870" xr:uid="{00000000-0005-0000-0000-0000B4180000}"/>
    <cellStyle name="Normal 11 2 2 2 2 3 2" xfId="4337" xr:uid="{00000000-0005-0000-0000-0000B5180000}"/>
    <cellStyle name="Normal 11 2 2 2 2 3 2 2" xfId="9269" xr:uid="{00000000-0005-0000-0000-0000B6180000}"/>
    <cellStyle name="Normal 11 2 2 2 2 3 2 2 2" xfId="19129" xr:uid="{00000000-0005-0000-0000-0000B7180000}"/>
    <cellStyle name="Normal 11 2 2 2 2 3 2 2 2 2" xfId="38844" xr:uid="{00000000-0005-0000-0000-0000B8180000}"/>
    <cellStyle name="Normal 11 2 2 2 2 3 2 2 3" xfId="28987" xr:uid="{00000000-0005-0000-0000-0000B9180000}"/>
    <cellStyle name="Normal 11 2 2 2 2 3 2 3" xfId="14201" xr:uid="{00000000-0005-0000-0000-0000BA180000}"/>
    <cellStyle name="Normal 11 2 2 2 2 3 2 3 2" xfId="33916" xr:uid="{00000000-0005-0000-0000-0000BB180000}"/>
    <cellStyle name="Normal 11 2 2 2 2 3 2 4" xfId="24059" xr:uid="{00000000-0005-0000-0000-0000BC180000}"/>
    <cellStyle name="Normal 11 2 2 2 2 3 3" xfId="6805" xr:uid="{00000000-0005-0000-0000-0000BD180000}"/>
    <cellStyle name="Normal 11 2 2 2 2 3 3 2" xfId="16665" xr:uid="{00000000-0005-0000-0000-0000BE180000}"/>
    <cellStyle name="Normal 11 2 2 2 2 3 3 2 2" xfId="36380" xr:uid="{00000000-0005-0000-0000-0000BF180000}"/>
    <cellStyle name="Normal 11 2 2 2 2 3 3 3" xfId="26523" xr:uid="{00000000-0005-0000-0000-0000C0180000}"/>
    <cellStyle name="Normal 11 2 2 2 2 3 4" xfId="11737" xr:uid="{00000000-0005-0000-0000-0000C1180000}"/>
    <cellStyle name="Normal 11 2 2 2 2 3 4 2" xfId="31452" xr:uid="{00000000-0005-0000-0000-0000C2180000}"/>
    <cellStyle name="Normal 11 2 2 2 2 3 5" xfId="21595" xr:uid="{00000000-0005-0000-0000-0000C3180000}"/>
    <cellStyle name="Normal 11 2 2 2 2 4" xfId="3105" xr:uid="{00000000-0005-0000-0000-0000C4180000}"/>
    <cellStyle name="Normal 11 2 2 2 2 4 2" xfId="8037" xr:uid="{00000000-0005-0000-0000-0000C5180000}"/>
    <cellStyle name="Normal 11 2 2 2 2 4 2 2" xfId="17897" xr:uid="{00000000-0005-0000-0000-0000C6180000}"/>
    <cellStyle name="Normal 11 2 2 2 2 4 2 2 2" xfId="37612" xr:uid="{00000000-0005-0000-0000-0000C7180000}"/>
    <cellStyle name="Normal 11 2 2 2 2 4 2 3" xfId="27755" xr:uid="{00000000-0005-0000-0000-0000C8180000}"/>
    <cellStyle name="Normal 11 2 2 2 2 4 3" xfId="12969" xr:uid="{00000000-0005-0000-0000-0000C9180000}"/>
    <cellStyle name="Normal 11 2 2 2 2 4 3 2" xfId="32684" xr:uid="{00000000-0005-0000-0000-0000CA180000}"/>
    <cellStyle name="Normal 11 2 2 2 2 4 4" xfId="22827" xr:uid="{00000000-0005-0000-0000-0000CB180000}"/>
    <cellStyle name="Normal 11 2 2 2 2 5" xfId="5573" xr:uid="{00000000-0005-0000-0000-0000CC180000}"/>
    <cellStyle name="Normal 11 2 2 2 2 5 2" xfId="15433" xr:uid="{00000000-0005-0000-0000-0000CD180000}"/>
    <cellStyle name="Normal 11 2 2 2 2 5 2 2" xfId="35148" xr:uid="{00000000-0005-0000-0000-0000CE180000}"/>
    <cellStyle name="Normal 11 2 2 2 2 5 3" xfId="25291" xr:uid="{00000000-0005-0000-0000-0000CF180000}"/>
    <cellStyle name="Normal 11 2 2 2 2 6" xfId="10505" xr:uid="{00000000-0005-0000-0000-0000D0180000}"/>
    <cellStyle name="Normal 11 2 2 2 2 6 2" xfId="30220" xr:uid="{00000000-0005-0000-0000-0000D1180000}"/>
    <cellStyle name="Normal 11 2 2 2 2 7" xfId="20363" xr:uid="{00000000-0005-0000-0000-0000D2180000}"/>
    <cellStyle name="Normal 11 2 2 2 3" xfId="944" xr:uid="{00000000-0005-0000-0000-0000D3180000}"/>
    <cellStyle name="Normal 11 2 2 2 3 2" xfId="2180" xr:uid="{00000000-0005-0000-0000-0000D4180000}"/>
    <cellStyle name="Normal 11 2 2 2 3 2 2" xfId="4647" xr:uid="{00000000-0005-0000-0000-0000D5180000}"/>
    <cellStyle name="Normal 11 2 2 2 3 2 2 2" xfId="9579" xr:uid="{00000000-0005-0000-0000-0000D6180000}"/>
    <cellStyle name="Normal 11 2 2 2 3 2 2 2 2" xfId="19439" xr:uid="{00000000-0005-0000-0000-0000D7180000}"/>
    <cellStyle name="Normal 11 2 2 2 3 2 2 2 2 2" xfId="39154" xr:uid="{00000000-0005-0000-0000-0000D8180000}"/>
    <cellStyle name="Normal 11 2 2 2 3 2 2 2 3" xfId="29297" xr:uid="{00000000-0005-0000-0000-0000D9180000}"/>
    <cellStyle name="Normal 11 2 2 2 3 2 2 3" xfId="14511" xr:uid="{00000000-0005-0000-0000-0000DA180000}"/>
    <cellStyle name="Normal 11 2 2 2 3 2 2 3 2" xfId="34226" xr:uid="{00000000-0005-0000-0000-0000DB180000}"/>
    <cellStyle name="Normal 11 2 2 2 3 2 2 4" xfId="24369" xr:uid="{00000000-0005-0000-0000-0000DC180000}"/>
    <cellStyle name="Normal 11 2 2 2 3 2 3" xfId="7115" xr:uid="{00000000-0005-0000-0000-0000DD180000}"/>
    <cellStyle name="Normal 11 2 2 2 3 2 3 2" xfId="16975" xr:uid="{00000000-0005-0000-0000-0000DE180000}"/>
    <cellStyle name="Normal 11 2 2 2 3 2 3 2 2" xfId="36690" xr:uid="{00000000-0005-0000-0000-0000DF180000}"/>
    <cellStyle name="Normal 11 2 2 2 3 2 3 3" xfId="26833" xr:uid="{00000000-0005-0000-0000-0000E0180000}"/>
    <cellStyle name="Normal 11 2 2 2 3 2 4" xfId="12047" xr:uid="{00000000-0005-0000-0000-0000E1180000}"/>
    <cellStyle name="Normal 11 2 2 2 3 2 4 2" xfId="31762" xr:uid="{00000000-0005-0000-0000-0000E2180000}"/>
    <cellStyle name="Normal 11 2 2 2 3 2 5" xfId="21905" xr:uid="{00000000-0005-0000-0000-0000E3180000}"/>
    <cellStyle name="Normal 11 2 2 2 3 3" xfId="3415" xr:uid="{00000000-0005-0000-0000-0000E4180000}"/>
    <cellStyle name="Normal 11 2 2 2 3 3 2" xfId="8347" xr:uid="{00000000-0005-0000-0000-0000E5180000}"/>
    <cellStyle name="Normal 11 2 2 2 3 3 2 2" xfId="18207" xr:uid="{00000000-0005-0000-0000-0000E6180000}"/>
    <cellStyle name="Normal 11 2 2 2 3 3 2 2 2" xfId="37922" xr:uid="{00000000-0005-0000-0000-0000E7180000}"/>
    <cellStyle name="Normal 11 2 2 2 3 3 2 3" xfId="28065" xr:uid="{00000000-0005-0000-0000-0000E8180000}"/>
    <cellStyle name="Normal 11 2 2 2 3 3 3" xfId="13279" xr:uid="{00000000-0005-0000-0000-0000E9180000}"/>
    <cellStyle name="Normal 11 2 2 2 3 3 3 2" xfId="32994" xr:uid="{00000000-0005-0000-0000-0000EA180000}"/>
    <cellStyle name="Normal 11 2 2 2 3 3 4" xfId="23137" xr:uid="{00000000-0005-0000-0000-0000EB180000}"/>
    <cellStyle name="Normal 11 2 2 2 3 4" xfId="5883" xr:uid="{00000000-0005-0000-0000-0000EC180000}"/>
    <cellStyle name="Normal 11 2 2 2 3 4 2" xfId="15743" xr:uid="{00000000-0005-0000-0000-0000ED180000}"/>
    <cellStyle name="Normal 11 2 2 2 3 4 2 2" xfId="35458" xr:uid="{00000000-0005-0000-0000-0000EE180000}"/>
    <cellStyle name="Normal 11 2 2 2 3 4 3" xfId="25601" xr:uid="{00000000-0005-0000-0000-0000EF180000}"/>
    <cellStyle name="Normal 11 2 2 2 3 5" xfId="10815" xr:uid="{00000000-0005-0000-0000-0000F0180000}"/>
    <cellStyle name="Normal 11 2 2 2 3 5 2" xfId="30530" xr:uid="{00000000-0005-0000-0000-0000F1180000}"/>
    <cellStyle name="Normal 11 2 2 2 3 6" xfId="20673" xr:uid="{00000000-0005-0000-0000-0000F2180000}"/>
    <cellStyle name="Normal 11 2 2 2 4" xfId="1564" xr:uid="{00000000-0005-0000-0000-0000F3180000}"/>
    <cellStyle name="Normal 11 2 2 2 4 2" xfId="4031" xr:uid="{00000000-0005-0000-0000-0000F4180000}"/>
    <cellStyle name="Normal 11 2 2 2 4 2 2" xfId="8963" xr:uid="{00000000-0005-0000-0000-0000F5180000}"/>
    <cellStyle name="Normal 11 2 2 2 4 2 2 2" xfId="18823" xr:uid="{00000000-0005-0000-0000-0000F6180000}"/>
    <cellStyle name="Normal 11 2 2 2 4 2 2 2 2" xfId="38538" xr:uid="{00000000-0005-0000-0000-0000F7180000}"/>
    <cellStyle name="Normal 11 2 2 2 4 2 2 3" xfId="28681" xr:uid="{00000000-0005-0000-0000-0000F8180000}"/>
    <cellStyle name="Normal 11 2 2 2 4 2 3" xfId="13895" xr:uid="{00000000-0005-0000-0000-0000F9180000}"/>
    <cellStyle name="Normal 11 2 2 2 4 2 3 2" xfId="33610" xr:uid="{00000000-0005-0000-0000-0000FA180000}"/>
    <cellStyle name="Normal 11 2 2 2 4 2 4" xfId="23753" xr:uid="{00000000-0005-0000-0000-0000FB180000}"/>
    <cellStyle name="Normal 11 2 2 2 4 3" xfId="6499" xr:uid="{00000000-0005-0000-0000-0000FC180000}"/>
    <cellStyle name="Normal 11 2 2 2 4 3 2" xfId="16359" xr:uid="{00000000-0005-0000-0000-0000FD180000}"/>
    <cellStyle name="Normal 11 2 2 2 4 3 2 2" xfId="36074" xr:uid="{00000000-0005-0000-0000-0000FE180000}"/>
    <cellStyle name="Normal 11 2 2 2 4 3 3" xfId="26217" xr:uid="{00000000-0005-0000-0000-0000FF180000}"/>
    <cellStyle name="Normal 11 2 2 2 4 4" xfId="11431" xr:uid="{00000000-0005-0000-0000-000000190000}"/>
    <cellStyle name="Normal 11 2 2 2 4 4 2" xfId="31146" xr:uid="{00000000-0005-0000-0000-000001190000}"/>
    <cellStyle name="Normal 11 2 2 2 4 5" xfId="21289" xr:uid="{00000000-0005-0000-0000-000002190000}"/>
    <cellStyle name="Normal 11 2 2 2 5" xfId="2799" xr:uid="{00000000-0005-0000-0000-000003190000}"/>
    <cellStyle name="Normal 11 2 2 2 5 2" xfId="7731" xr:uid="{00000000-0005-0000-0000-000004190000}"/>
    <cellStyle name="Normal 11 2 2 2 5 2 2" xfId="17591" xr:uid="{00000000-0005-0000-0000-000005190000}"/>
    <cellStyle name="Normal 11 2 2 2 5 2 2 2" xfId="37306" xr:uid="{00000000-0005-0000-0000-000006190000}"/>
    <cellStyle name="Normal 11 2 2 2 5 2 3" xfId="27449" xr:uid="{00000000-0005-0000-0000-000007190000}"/>
    <cellStyle name="Normal 11 2 2 2 5 3" xfId="12663" xr:uid="{00000000-0005-0000-0000-000008190000}"/>
    <cellStyle name="Normal 11 2 2 2 5 3 2" xfId="32378" xr:uid="{00000000-0005-0000-0000-000009190000}"/>
    <cellStyle name="Normal 11 2 2 2 5 4" xfId="22521" xr:uid="{00000000-0005-0000-0000-00000A190000}"/>
    <cellStyle name="Normal 11 2 2 2 6" xfId="5267" xr:uid="{00000000-0005-0000-0000-00000B190000}"/>
    <cellStyle name="Normal 11 2 2 2 6 2" xfId="15127" xr:uid="{00000000-0005-0000-0000-00000C190000}"/>
    <cellStyle name="Normal 11 2 2 2 6 2 2" xfId="34842" xr:uid="{00000000-0005-0000-0000-00000D190000}"/>
    <cellStyle name="Normal 11 2 2 2 6 3" xfId="24985" xr:uid="{00000000-0005-0000-0000-00000E190000}"/>
    <cellStyle name="Normal 11 2 2 2 7" xfId="10199" xr:uid="{00000000-0005-0000-0000-00000F190000}"/>
    <cellStyle name="Normal 11 2 2 2 7 2" xfId="29914" xr:uid="{00000000-0005-0000-0000-000010190000}"/>
    <cellStyle name="Normal 11 2 2 2 8" xfId="20057" xr:uid="{00000000-0005-0000-0000-000011190000}"/>
    <cellStyle name="Normal 11 2 2 3" xfId="479" xr:uid="{00000000-0005-0000-0000-000012190000}"/>
    <cellStyle name="Normal 11 2 2 3 2" xfId="1099" xr:uid="{00000000-0005-0000-0000-000013190000}"/>
    <cellStyle name="Normal 11 2 2 3 2 2" xfId="2334" xr:uid="{00000000-0005-0000-0000-000014190000}"/>
    <cellStyle name="Normal 11 2 2 3 2 2 2" xfId="4801" xr:uid="{00000000-0005-0000-0000-000015190000}"/>
    <cellStyle name="Normal 11 2 2 3 2 2 2 2" xfId="9733" xr:uid="{00000000-0005-0000-0000-000016190000}"/>
    <cellStyle name="Normal 11 2 2 3 2 2 2 2 2" xfId="19593" xr:uid="{00000000-0005-0000-0000-000017190000}"/>
    <cellStyle name="Normal 11 2 2 3 2 2 2 2 2 2" xfId="39308" xr:uid="{00000000-0005-0000-0000-000018190000}"/>
    <cellStyle name="Normal 11 2 2 3 2 2 2 2 3" xfId="29451" xr:uid="{00000000-0005-0000-0000-000019190000}"/>
    <cellStyle name="Normal 11 2 2 3 2 2 2 3" xfId="14665" xr:uid="{00000000-0005-0000-0000-00001A190000}"/>
    <cellStyle name="Normal 11 2 2 3 2 2 2 3 2" xfId="34380" xr:uid="{00000000-0005-0000-0000-00001B190000}"/>
    <cellStyle name="Normal 11 2 2 3 2 2 2 4" xfId="24523" xr:uid="{00000000-0005-0000-0000-00001C190000}"/>
    <cellStyle name="Normal 11 2 2 3 2 2 3" xfId="7269" xr:uid="{00000000-0005-0000-0000-00001D190000}"/>
    <cellStyle name="Normal 11 2 2 3 2 2 3 2" xfId="17129" xr:uid="{00000000-0005-0000-0000-00001E190000}"/>
    <cellStyle name="Normal 11 2 2 3 2 2 3 2 2" xfId="36844" xr:uid="{00000000-0005-0000-0000-00001F190000}"/>
    <cellStyle name="Normal 11 2 2 3 2 2 3 3" xfId="26987" xr:uid="{00000000-0005-0000-0000-000020190000}"/>
    <cellStyle name="Normal 11 2 2 3 2 2 4" xfId="12201" xr:uid="{00000000-0005-0000-0000-000021190000}"/>
    <cellStyle name="Normal 11 2 2 3 2 2 4 2" xfId="31916" xr:uid="{00000000-0005-0000-0000-000022190000}"/>
    <cellStyle name="Normal 11 2 2 3 2 2 5" xfId="22059" xr:uid="{00000000-0005-0000-0000-000023190000}"/>
    <cellStyle name="Normal 11 2 2 3 2 3" xfId="3569" xr:uid="{00000000-0005-0000-0000-000024190000}"/>
    <cellStyle name="Normal 11 2 2 3 2 3 2" xfId="8501" xr:uid="{00000000-0005-0000-0000-000025190000}"/>
    <cellStyle name="Normal 11 2 2 3 2 3 2 2" xfId="18361" xr:uid="{00000000-0005-0000-0000-000026190000}"/>
    <cellStyle name="Normal 11 2 2 3 2 3 2 2 2" xfId="38076" xr:uid="{00000000-0005-0000-0000-000027190000}"/>
    <cellStyle name="Normal 11 2 2 3 2 3 2 3" xfId="28219" xr:uid="{00000000-0005-0000-0000-000028190000}"/>
    <cellStyle name="Normal 11 2 2 3 2 3 3" xfId="13433" xr:uid="{00000000-0005-0000-0000-000029190000}"/>
    <cellStyle name="Normal 11 2 2 3 2 3 3 2" xfId="33148" xr:uid="{00000000-0005-0000-0000-00002A190000}"/>
    <cellStyle name="Normal 11 2 2 3 2 3 4" xfId="23291" xr:uid="{00000000-0005-0000-0000-00002B190000}"/>
    <cellStyle name="Normal 11 2 2 3 2 4" xfId="6037" xr:uid="{00000000-0005-0000-0000-00002C190000}"/>
    <cellStyle name="Normal 11 2 2 3 2 4 2" xfId="15897" xr:uid="{00000000-0005-0000-0000-00002D190000}"/>
    <cellStyle name="Normal 11 2 2 3 2 4 2 2" xfId="35612" xr:uid="{00000000-0005-0000-0000-00002E190000}"/>
    <cellStyle name="Normal 11 2 2 3 2 4 3" xfId="25755" xr:uid="{00000000-0005-0000-0000-00002F190000}"/>
    <cellStyle name="Normal 11 2 2 3 2 5" xfId="10969" xr:uid="{00000000-0005-0000-0000-000030190000}"/>
    <cellStyle name="Normal 11 2 2 3 2 5 2" xfId="30684" xr:uid="{00000000-0005-0000-0000-000031190000}"/>
    <cellStyle name="Normal 11 2 2 3 2 6" xfId="20827" xr:uid="{00000000-0005-0000-0000-000032190000}"/>
    <cellStyle name="Normal 11 2 2 3 3" xfId="1718" xr:uid="{00000000-0005-0000-0000-000033190000}"/>
    <cellStyle name="Normal 11 2 2 3 3 2" xfId="4185" xr:uid="{00000000-0005-0000-0000-000034190000}"/>
    <cellStyle name="Normal 11 2 2 3 3 2 2" xfId="9117" xr:uid="{00000000-0005-0000-0000-000035190000}"/>
    <cellStyle name="Normal 11 2 2 3 3 2 2 2" xfId="18977" xr:uid="{00000000-0005-0000-0000-000036190000}"/>
    <cellStyle name="Normal 11 2 2 3 3 2 2 2 2" xfId="38692" xr:uid="{00000000-0005-0000-0000-000037190000}"/>
    <cellStyle name="Normal 11 2 2 3 3 2 2 3" xfId="28835" xr:uid="{00000000-0005-0000-0000-000038190000}"/>
    <cellStyle name="Normal 11 2 2 3 3 2 3" xfId="14049" xr:uid="{00000000-0005-0000-0000-000039190000}"/>
    <cellStyle name="Normal 11 2 2 3 3 2 3 2" xfId="33764" xr:uid="{00000000-0005-0000-0000-00003A190000}"/>
    <cellStyle name="Normal 11 2 2 3 3 2 4" xfId="23907" xr:uid="{00000000-0005-0000-0000-00003B190000}"/>
    <cellStyle name="Normal 11 2 2 3 3 3" xfId="6653" xr:uid="{00000000-0005-0000-0000-00003C190000}"/>
    <cellStyle name="Normal 11 2 2 3 3 3 2" xfId="16513" xr:uid="{00000000-0005-0000-0000-00003D190000}"/>
    <cellStyle name="Normal 11 2 2 3 3 3 2 2" xfId="36228" xr:uid="{00000000-0005-0000-0000-00003E190000}"/>
    <cellStyle name="Normal 11 2 2 3 3 3 3" xfId="26371" xr:uid="{00000000-0005-0000-0000-00003F190000}"/>
    <cellStyle name="Normal 11 2 2 3 3 4" xfId="11585" xr:uid="{00000000-0005-0000-0000-000040190000}"/>
    <cellStyle name="Normal 11 2 2 3 3 4 2" xfId="31300" xr:uid="{00000000-0005-0000-0000-000041190000}"/>
    <cellStyle name="Normal 11 2 2 3 3 5" xfId="21443" xr:uid="{00000000-0005-0000-0000-000042190000}"/>
    <cellStyle name="Normal 11 2 2 3 4" xfId="2953" xr:uid="{00000000-0005-0000-0000-000043190000}"/>
    <cellStyle name="Normal 11 2 2 3 4 2" xfId="7885" xr:uid="{00000000-0005-0000-0000-000044190000}"/>
    <cellStyle name="Normal 11 2 2 3 4 2 2" xfId="17745" xr:uid="{00000000-0005-0000-0000-000045190000}"/>
    <cellStyle name="Normal 11 2 2 3 4 2 2 2" xfId="37460" xr:uid="{00000000-0005-0000-0000-000046190000}"/>
    <cellStyle name="Normal 11 2 2 3 4 2 3" xfId="27603" xr:uid="{00000000-0005-0000-0000-000047190000}"/>
    <cellStyle name="Normal 11 2 2 3 4 3" xfId="12817" xr:uid="{00000000-0005-0000-0000-000048190000}"/>
    <cellStyle name="Normal 11 2 2 3 4 3 2" xfId="32532" xr:uid="{00000000-0005-0000-0000-000049190000}"/>
    <cellStyle name="Normal 11 2 2 3 4 4" xfId="22675" xr:uid="{00000000-0005-0000-0000-00004A190000}"/>
    <cellStyle name="Normal 11 2 2 3 5" xfId="5421" xr:uid="{00000000-0005-0000-0000-00004B190000}"/>
    <cellStyle name="Normal 11 2 2 3 5 2" xfId="15281" xr:uid="{00000000-0005-0000-0000-00004C190000}"/>
    <cellStyle name="Normal 11 2 2 3 5 2 2" xfId="34996" xr:uid="{00000000-0005-0000-0000-00004D190000}"/>
    <cellStyle name="Normal 11 2 2 3 5 3" xfId="25139" xr:uid="{00000000-0005-0000-0000-00004E190000}"/>
    <cellStyle name="Normal 11 2 2 3 6" xfId="10353" xr:uid="{00000000-0005-0000-0000-00004F190000}"/>
    <cellStyle name="Normal 11 2 2 3 6 2" xfId="30068" xr:uid="{00000000-0005-0000-0000-000050190000}"/>
    <cellStyle name="Normal 11 2 2 3 7" xfId="20211" xr:uid="{00000000-0005-0000-0000-000051190000}"/>
    <cellStyle name="Normal 11 2 2 4" xfId="792" xr:uid="{00000000-0005-0000-0000-000052190000}"/>
    <cellStyle name="Normal 11 2 2 4 2" xfId="2028" xr:uid="{00000000-0005-0000-0000-000053190000}"/>
    <cellStyle name="Normal 11 2 2 4 2 2" xfId="4495" xr:uid="{00000000-0005-0000-0000-000054190000}"/>
    <cellStyle name="Normal 11 2 2 4 2 2 2" xfId="9427" xr:uid="{00000000-0005-0000-0000-000055190000}"/>
    <cellStyle name="Normal 11 2 2 4 2 2 2 2" xfId="19287" xr:uid="{00000000-0005-0000-0000-000056190000}"/>
    <cellStyle name="Normal 11 2 2 4 2 2 2 2 2" xfId="39002" xr:uid="{00000000-0005-0000-0000-000057190000}"/>
    <cellStyle name="Normal 11 2 2 4 2 2 2 3" xfId="29145" xr:uid="{00000000-0005-0000-0000-000058190000}"/>
    <cellStyle name="Normal 11 2 2 4 2 2 3" xfId="14359" xr:uid="{00000000-0005-0000-0000-000059190000}"/>
    <cellStyle name="Normal 11 2 2 4 2 2 3 2" xfId="34074" xr:uid="{00000000-0005-0000-0000-00005A190000}"/>
    <cellStyle name="Normal 11 2 2 4 2 2 4" xfId="24217" xr:uid="{00000000-0005-0000-0000-00005B190000}"/>
    <cellStyle name="Normal 11 2 2 4 2 3" xfId="6963" xr:uid="{00000000-0005-0000-0000-00005C190000}"/>
    <cellStyle name="Normal 11 2 2 4 2 3 2" xfId="16823" xr:uid="{00000000-0005-0000-0000-00005D190000}"/>
    <cellStyle name="Normal 11 2 2 4 2 3 2 2" xfId="36538" xr:uid="{00000000-0005-0000-0000-00005E190000}"/>
    <cellStyle name="Normal 11 2 2 4 2 3 3" xfId="26681" xr:uid="{00000000-0005-0000-0000-00005F190000}"/>
    <cellStyle name="Normal 11 2 2 4 2 4" xfId="11895" xr:uid="{00000000-0005-0000-0000-000060190000}"/>
    <cellStyle name="Normal 11 2 2 4 2 4 2" xfId="31610" xr:uid="{00000000-0005-0000-0000-000061190000}"/>
    <cellStyle name="Normal 11 2 2 4 2 5" xfId="21753" xr:uid="{00000000-0005-0000-0000-000062190000}"/>
    <cellStyle name="Normal 11 2 2 4 3" xfId="3263" xr:uid="{00000000-0005-0000-0000-000063190000}"/>
    <cellStyle name="Normal 11 2 2 4 3 2" xfId="8195" xr:uid="{00000000-0005-0000-0000-000064190000}"/>
    <cellStyle name="Normal 11 2 2 4 3 2 2" xfId="18055" xr:uid="{00000000-0005-0000-0000-000065190000}"/>
    <cellStyle name="Normal 11 2 2 4 3 2 2 2" xfId="37770" xr:uid="{00000000-0005-0000-0000-000066190000}"/>
    <cellStyle name="Normal 11 2 2 4 3 2 3" xfId="27913" xr:uid="{00000000-0005-0000-0000-000067190000}"/>
    <cellStyle name="Normal 11 2 2 4 3 3" xfId="13127" xr:uid="{00000000-0005-0000-0000-000068190000}"/>
    <cellStyle name="Normal 11 2 2 4 3 3 2" xfId="32842" xr:uid="{00000000-0005-0000-0000-000069190000}"/>
    <cellStyle name="Normal 11 2 2 4 3 4" xfId="22985" xr:uid="{00000000-0005-0000-0000-00006A190000}"/>
    <cellStyle name="Normal 11 2 2 4 4" xfId="5731" xr:uid="{00000000-0005-0000-0000-00006B190000}"/>
    <cellStyle name="Normal 11 2 2 4 4 2" xfId="15591" xr:uid="{00000000-0005-0000-0000-00006C190000}"/>
    <cellStyle name="Normal 11 2 2 4 4 2 2" xfId="35306" xr:uid="{00000000-0005-0000-0000-00006D190000}"/>
    <cellStyle name="Normal 11 2 2 4 4 3" xfId="25449" xr:uid="{00000000-0005-0000-0000-00006E190000}"/>
    <cellStyle name="Normal 11 2 2 4 5" xfId="10663" xr:uid="{00000000-0005-0000-0000-00006F190000}"/>
    <cellStyle name="Normal 11 2 2 4 5 2" xfId="30378" xr:uid="{00000000-0005-0000-0000-000070190000}"/>
    <cellStyle name="Normal 11 2 2 4 6" xfId="20521" xr:uid="{00000000-0005-0000-0000-000071190000}"/>
    <cellStyle name="Normal 11 2 2 5" xfId="1412" xr:uid="{00000000-0005-0000-0000-000072190000}"/>
    <cellStyle name="Normal 11 2 2 5 2" xfId="3879" xr:uid="{00000000-0005-0000-0000-000073190000}"/>
    <cellStyle name="Normal 11 2 2 5 2 2" xfId="8811" xr:uid="{00000000-0005-0000-0000-000074190000}"/>
    <cellStyle name="Normal 11 2 2 5 2 2 2" xfId="18671" xr:uid="{00000000-0005-0000-0000-000075190000}"/>
    <cellStyle name="Normal 11 2 2 5 2 2 2 2" xfId="38386" xr:uid="{00000000-0005-0000-0000-000076190000}"/>
    <cellStyle name="Normal 11 2 2 5 2 2 3" xfId="28529" xr:uid="{00000000-0005-0000-0000-000077190000}"/>
    <cellStyle name="Normal 11 2 2 5 2 3" xfId="13743" xr:uid="{00000000-0005-0000-0000-000078190000}"/>
    <cellStyle name="Normal 11 2 2 5 2 3 2" xfId="33458" xr:uid="{00000000-0005-0000-0000-000079190000}"/>
    <cellStyle name="Normal 11 2 2 5 2 4" xfId="23601" xr:uid="{00000000-0005-0000-0000-00007A190000}"/>
    <cellStyle name="Normal 11 2 2 5 3" xfId="6347" xr:uid="{00000000-0005-0000-0000-00007B190000}"/>
    <cellStyle name="Normal 11 2 2 5 3 2" xfId="16207" xr:uid="{00000000-0005-0000-0000-00007C190000}"/>
    <cellStyle name="Normal 11 2 2 5 3 2 2" xfId="35922" xr:uid="{00000000-0005-0000-0000-00007D190000}"/>
    <cellStyle name="Normal 11 2 2 5 3 3" xfId="26065" xr:uid="{00000000-0005-0000-0000-00007E190000}"/>
    <cellStyle name="Normal 11 2 2 5 4" xfId="11279" xr:uid="{00000000-0005-0000-0000-00007F190000}"/>
    <cellStyle name="Normal 11 2 2 5 4 2" xfId="30994" xr:uid="{00000000-0005-0000-0000-000080190000}"/>
    <cellStyle name="Normal 11 2 2 5 5" xfId="21137" xr:uid="{00000000-0005-0000-0000-000081190000}"/>
    <cellStyle name="Normal 11 2 2 6" xfId="2647" xr:uid="{00000000-0005-0000-0000-000082190000}"/>
    <cellStyle name="Normal 11 2 2 6 2" xfId="7579" xr:uid="{00000000-0005-0000-0000-000083190000}"/>
    <cellStyle name="Normal 11 2 2 6 2 2" xfId="17439" xr:uid="{00000000-0005-0000-0000-000084190000}"/>
    <cellStyle name="Normal 11 2 2 6 2 2 2" xfId="37154" xr:uid="{00000000-0005-0000-0000-000085190000}"/>
    <cellStyle name="Normal 11 2 2 6 2 3" xfId="27297" xr:uid="{00000000-0005-0000-0000-000086190000}"/>
    <cellStyle name="Normal 11 2 2 6 3" xfId="12511" xr:uid="{00000000-0005-0000-0000-000087190000}"/>
    <cellStyle name="Normal 11 2 2 6 3 2" xfId="32226" xr:uid="{00000000-0005-0000-0000-000088190000}"/>
    <cellStyle name="Normal 11 2 2 6 4" xfId="22369" xr:uid="{00000000-0005-0000-0000-000089190000}"/>
    <cellStyle name="Normal 11 2 2 7" xfId="5115" xr:uid="{00000000-0005-0000-0000-00008A190000}"/>
    <cellStyle name="Normal 11 2 2 7 2" xfId="14975" xr:uid="{00000000-0005-0000-0000-00008B190000}"/>
    <cellStyle name="Normal 11 2 2 7 2 2" xfId="34690" xr:uid="{00000000-0005-0000-0000-00008C190000}"/>
    <cellStyle name="Normal 11 2 2 7 3" xfId="24833" xr:uid="{00000000-0005-0000-0000-00008D190000}"/>
    <cellStyle name="Normal 11 2 2 8" xfId="10047" xr:uid="{00000000-0005-0000-0000-00008E190000}"/>
    <cellStyle name="Normal 11 2 2 8 2" xfId="29762" xr:uid="{00000000-0005-0000-0000-00008F190000}"/>
    <cellStyle name="Normal 11 2 2 9" xfId="19905" xr:uid="{00000000-0005-0000-0000-000090190000}"/>
    <cellStyle name="Normal 11 2 3" xfId="241" xr:uid="{00000000-0005-0000-0000-000091190000}"/>
    <cellStyle name="Normal 11 2 3 2" xfId="555" xr:uid="{00000000-0005-0000-0000-000092190000}"/>
    <cellStyle name="Normal 11 2 3 2 2" xfId="1175" xr:uid="{00000000-0005-0000-0000-000093190000}"/>
    <cellStyle name="Normal 11 2 3 2 2 2" xfId="2410" xr:uid="{00000000-0005-0000-0000-000094190000}"/>
    <cellStyle name="Normal 11 2 3 2 2 2 2" xfId="4877" xr:uid="{00000000-0005-0000-0000-000095190000}"/>
    <cellStyle name="Normal 11 2 3 2 2 2 2 2" xfId="9809" xr:uid="{00000000-0005-0000-0000-000096190000}"/>
    <cellStyle name="Normal 11 2 3 2 2 2 2 2 2" xfId="19669" xr:uid="{00000000-0005-0000-0000-000097190000}"/>
    <cellStyle name="Normal 11 2 3 2 2 2 2 2 2 2" xfId="39384" xr:uid="{00000000-0005-0000-0000-000098190000}"/>
    <cellStyle name="Normal 11 2 3 2 2 2 2 2 3" xfId="29527" xr:uid="{00000000-0005-0000-0000-000099190000}"/>
    <cellStyle name="Normal 11 2 3 2 2 2 2 3" xfId="14741" xr:uid="{00000000-0005-0000-0000-00009A190000}"/>
    <cellStyle name="Normal 11 2 3 2 2 2 2 3 2" xfId="34456" xr:uid="{00000000-0005-0000-0000-00009B190000}"/>
    <cellStyle name="Normal 11 2 3 2 2 2 2 4" xfId="24599" xr:uid="{00000000-0005-0000-0000-00009C190000}"/>
    <cellStyle name="Normal 11 2 3 2 2 2 3" xfId="7345" xr:uid="{00000000-0005-0000-0000-00009D190000}"/>
    <cellStyle name="Normal 11 2 3 2 2 2 3 2" xfId="17205" xr:uid="{00000000-0005-0000-0000-00009E190000}"/>
    <cellStyle name="Normal 11 2 3 2 2 2 3 2 2" xfId="36920" xr:uid="{00000000-0005-0000-0000-00009F190000}"/>
    <cellStyle name="Normal 11 2 3 2 2 2 3 3" xfId="27063" xr:uid="{00000000-0005-0000-0000-0000A0190000}"/>
    <cellStyle name="Normal 11 2 3 2 2 2 4" xfId="12277" xr:uid="{00000000-0005-0000-0000-0000A1190000}"/>
    <cellStyle name="Normal 11 2 3 2 2 2 4 2" xfId="31992" xr:uid="{00000000-0005-0000-0000-0000A2190000}"/>
    <cellStyle name="Normal 11 2 3 2 2 2 5" xfId="22135" xr:uid="{00000000-0005-0000-0000-0000A3190000}"/>
    <cellStyle name="Normal 11 2 3 2 2 3" xfId="3645" xr:uid="{00000000-0005-0000-0000-0000A4190000}"/>
    <cellStyle name="Normal 11 2 3 2 2 3 2" xfId="8577" xr:uid="{00000000-0005-0000-0000-0000A5190000}"/>
    <cellStyle name="Normal 11 2 3 2 2 3 2 2" xfId="18437" xr:uid="{00000000-0005-0000-0000-0000A6190000}"/>
    <cellStyle name="Normal 11 2 3 2 2 3 2 2 2" xfId="38152" xr:uid="{00000000-0005-0000-0000-0000A7190000}"/>
    <cellStyle name="Normal 11 2 3 2 2 3 2 3" xfId="28295" xr:uid="{00000000-0005-0000-0000-0000A8190000}"/>
    <cellStyle name="Normal 11 2 3 2 2 3 3" xfId="13509" xr:uid="{00000000-0005-0000-0000-0000A9190000}"/>
    <cellStyle name="Normal 11 2 3 2 2 3 3 2" xfId="33224" xr:uid="{00000000-0005-0000-0000-0000AA190000}"/>
    <cellStyle name="Normal 11 2 3 2 2 3 4" xfId="23367" xr:uid="{00000000-0005-0000-0000-0000AB190000}"/>
    <cellStyle name="Normal 11 2 3 2 2 4" xfId="6113" xr:uid="{00000000-0005-0000-0000-0000AC190000}"/>
    <cellStyle name="Normal 11 2 3 2 2 4 2" xfId="15973" xr:uid="{00000000-0005-0000-0000-0000AD190000}"/>
    <cellStyle name="Normal 11 2 3 2 2 4 2 2" xfId="35688" xr:uid="{00000000-0005-0000-0000-0000AE190000}"/>
    <cellStyle name="Normal 11 2 3 2 2 4 3" xfId="25831" xr:uid="{00000000-0005-0000-0000-0000AF190000}"/>
    <cellStyle name="Normal 11 2 3 2 2 5" xfId="11045" xr:uid="{00000000-0005-0000-0000-0000B0190000}"/>
    <cellStyle name="Normal 11 2 3 2 2 5 2" xfId="30760" xr:uid="{00000000-0005-0000-0000-0000B1190000}"/>
    <cellStyle name="Normal 11 2 3 2 2 6" xfId="20903" xr:uid="{00000000-0005-0000-0000-0000B2190000}"/>
    <cellStyle name="Normal 11 2 3 2 3" xfId="1794" xr:uid="{00000000-0005-0000-0000-0000B3190000}"/>
    <cellStyle name="Normal 11 2 3 2 3 2" xfId="4261" xr:uid="{00000000-0005-0000-0000-0000B4190000}"/>
    <cellStyle name="Normal 11 2 3 2 3 2 2" xfId="9193" xr:uid="{00000000-0005-0000-0000-0000B5190000}"/>
    <cellStyle name="Normal 11 2 3 2 3 2 2 2" xfId="19053" xr:uid="{00000000-0005-0000-0000-0000B6190000}"/>
    <cellStyle name="Normal 11 2 3 2 3 2 2 2 2" xfId="38768" xr:uid="{00000000-0005-0000-0000-0000B7190000}"/>
    <cellStyle name="Normal 11 2 3 2 3 2 2 3" xfId="28911" xr:uid="{00000000-0005-0000-0000-0000B8190000}"/>
    <cellStyle name="Normal 11 2 3 2 3 2 3" xfId="14125" xr:uid="{00000000-0005-0000-0000-0000B9190000}"/>
    <cellStyle name="Normal 11 2 3 2 3 2 3 2" xfId="33840" xr:uid="{00000000-0005-0000-0000-0000BA190000}"/>
    <cellStyle name="Normal 11 2 3 2 3 2 4" xfId="23983" xr:uid="{00000000-0005-0000-0000-0000BB190000}"/>
    <cellStyle name="Normal 11 2 3 2 3 3" xfId="6729" xr:uid="{00000000-0005-0000-0000-0000BC190000}"/>
    <cellStyle name="Normal 11 2 3 2 3 3 2" xfId="16589" xr:uid="{00000000-0005-0000-0000-0000BD190000}"/>
    <cellStyle name="Normal 11 2 3 2 3 3 2 2" xfId="36304" xr:uid="{00000000-0005-0000-0000-0000BE190000}"/>
    <cellStyle name="Normal 11 2 3 2 3 3 3" xfId="26447" xr:uid="{00000000-0005-0000-0000-0000BF190000}"/>
    <cellStyle name="Normal 11 2 3 2 3 4" xfId="11661" xr:uid="{00000000-0005-0000-0000-0000C0190000}"/>
    <cellStyle name="Normal 11 2 3 2 3 4 2" xfId="31376" xr:uid="{00000000-0005-0000-0000-0000C1190000}"/>
    <cellStyle name="Normal 11 2 3 2 3 5" xfId="21519" xr:uid="{00000000-0005-0000-0000-0000C2190000}"/>
    <cellStyle name="Normal 11 2 3 2 4" xfId="3029" xr:uid="{00000000-0005-0000-0000-0000C3190000}"/>
    <cellStyle name="Normal 11 2 3 2 4 2" xfId="7961" xr:uid="{00000000-0005-0000-0000-0000C4190000}"/>
    <cellStyle name="Normal 11 2 3 2 4 2 2" xfId="17821" xr:uid="{00000000-0005-0000-0000-0000C5190000}"/>
    <cellStyle name="Normal 11 2 3 2 4 2 2 2" xfId="37536" xr:uid="{00000000-0005-0000-0000-0000C6190000}"/>
    <cellStyle name="Normal 11 2 3 2 4 2 3" xfId="27679" xr:uid="{00000000-0005-0000-0000-0000C7190000}"/>
    <cellStyle name="Normal 11 2 3 2 4 3" xfId="12893" xr:uid="{00000000-0005-0000-0000-0000C8190000}"/>
    <cellStyle name="Normal 11 2 3 2 4 3 2" xfId="32608" xr:uid="{00000000-0005-0000-0000-0000C9190000}"/>
    <cellStyle name="Normal 11 2 3 2 4 4" xfId="22751" xr:uid="{00000000-0005-0000-0000-0000CA190000}"/>
    <cellStyle name="Normal 11 2 3 2 5" xfId="5497" xr:uid="{00000000-0005-0000-0000-0000CB190000}"/>
    <cellStyle name="Normal 11 2 3 2 5 2" xfId="15357" xr:uid="{00000000-0005-0000-0000-0000CC190000}"/>
    <cellStyle name="Normal 11 2 3 2 5 2 2" xfId="35072" xr:uid="{00000000-0005-0000-0000-0000CD190000}"/>
    <cellStyle name="Normal 11 2 3 2 5 3" xfId="25215" xr:uid="{00000000-0005-0000-0000-0000CE190000}"/>
    <cellStyle name="Normal 11 2 3 2 6" xfId="10429" xr:uid="{00000000-0005-0000-0000-0000CF190000}"/>
    <cellStyle name="Normal 11 2 3 2 6 2" xfId="30144" xr:uid="{00000000-0005-0000-0000-0000D0190000}"/>
    <cellStyle name="Normal 11 2 3 2 7" xfId="20287" xr:uid="{00000000-0005-0000-0000-0000D1190000}"/>
    <cellStyle name="Normal 11 2 3 3" xfId="868" xr:uid="{00000000-0005-0000-0000-0000D2190000}"/>
    <cellStyle name="Normal 11 2 3 3 2" xfId="2104" xr:uid="{00000000-0005-0000-0000-0000D3190000}"/>
    <cellStyle name="Normal 11 2 3 3 2 2" xfId="4571" xr:uid="{00000000-0005-0000-0000-0000D4190000}"/>
    <cellStyle name="Normal 11 2 3 3 2 2 2" xfId="9503" xr:uid="{00000000-0005-0000-0000-0000D5190000}"/>
    <cellStyle name="Normal 11 2 3 3 2 2 2 2" xfId="19363" xr:uid="{00000000-0005-0000-0000-0000D6190000}"/>
    <cellStyle name="Normal 11 2 3 3 2 2 2 2 2" xfId="39078" xr:uid="{00000000-0005-0000-0000-0000D7190000}"/>
    <cellStyle name="Normal 11 2 3 3 2 2 2 3" xfId="29221" xr:uid="{00000000-0005-0000-0000-0000D8190000}"/>
    <cellStyle name="Normal 11 2 3 3 2 2 3" xfId="14435" xr:uid="{00000000-0005-0000-0000-0000D9190000}"/>
    <cellStyle name="Normal 11 2 3 3 2 2 3 2" xfId="34150" xr:uid="{00000000-0005-0000-0000-0000DA190000}"/>
    <cellStyle name="Normal 11 2 3 3 2 2 4" xfId="24293" xr:uid="{00000000-0005-0000-0000-0000DB190000}"/>
    <cellStyle name="Normal 11 2 3 3 2 3" xfId="7039" xr:uid="{00000000-0005-0000-0000-0000DC190000}"/>
    <cellStyle name="Normal 11 2 3 3 2 3 2" xfId="16899" xr:uid="{00000000-0005-0000-0000-0000DD190000}"/>
    <cellStyle name="Normal 11 2 3 3 2 3 2 2" xfId="36614" xr:uid="{00000000-0005-0000-0000-0000DE190000}"/>
    <cellStyle name="Normal 11 2 3 3 2 3 3" xfId="26757" xr:uid="{00000000-0005-0000-0000-0000DF190000}"/>
    <cellStyle name="Normal 11 2 3 3 2 4" xfId="11971" xr:uid="{00000000-0005-0000-0000-0000E0190000}"/>
    <cellStyle name="Normal 11 2 3 3 2 4 2" xfId="31686" xr:uid="{00000000-0005-0000-0000-0000E1190000}"/>
    <cellStyle name="Normal 11 2 3 3 2 5" xfId="21829" xr:uid="{00000000-0005-0000-0000-0000E2190000}"/>
    <cellStyle name="Normal 11 2 3 3 3" xfId="3339" xr:uid="{00000000-0005-0000-0000-0000E3190000}"/>
    <cellStyle name="Normal 11 2 3 3 3 2" xfId="8271" xr:uid="{00000000-0005-0000-0000-0000E4190000}"/>
    <cellStyle name="Normal 11 2 3 3 3 2 2" xfId="18131" xr:uid="{00000000-0005-0000-0000-0000E5190000}"/>
    <cellStyle name="Normal 11 2 3 3 3 2 2 2" xfId="37846" xr:uid="{00000000-0005-0000-0000-0000E6190000}"/>
    <cellStyle name="Normal 11 2 3 3 3 2 3" xfId="27989" xr:uid="{00000000-0005-0000-0000-0000E7190000}"/>
    <cellStyle name="Normal 11 2 3 3 3 3" xfId="13203" xr:uid="{00000000-0005-0000-0000-0000E8190000}"/>
    <cellStyle name="Normal 11 2 3 3 3 3 2" xfId="32918" xr:uid="{00000000-0005-0000-0000-0000E9190000}"/>
    <cellStyle name="Normal 11 2 3 3 3 4" xfId="23061" xr:uid="{00000000-0005-0000-0000-0000EA190000}"/>
    <cellStyle name="Normal 11 2 3 3 4" xfId="5807" xr:uid="{00000000-0005-0000-0000-0000EB190000}"/>
    <cellStyle name="Normal 11 2 3 3 4 2" xfId="15667" xr:uid="{00000000-0005-0000-0000-0000EC190000}"/>
    <cellStyle name="Normal 11 2 3 3 4 2 2" xfId="35382" xr:uid="{00000000-0005-0000-0000-0000ED190000}"/>
    <cellStyle name="Normal 11 2 3 3 4 3" xfId="25525" xr:uid="{00000000-0005-0000-0000-0000EE190000}"/>
    <cellStyle name="Normal 11 2 3 3 5" xfId="10739" xr:uid="{00000000-0005-0000-0000-0000EF190000}"/>
    <cellStyle name="Normal 11 2 3 3 5 2" xfId="30454" xr:uid="{00000000-0005-0000-0000-0000F0190000}"/>
    <cellStyle name="Normal 11 2 3 3 6" xfId="20597" xr:uid="{00000000-0005-0000-0000-0000F1190000}"/>
    <cellStyle name="Normal 11 2 3 4" xfId="1488" xr:uid="{00000000-0005-0000-0000-0000F2190000}"/>
    <cellStyle name="Normal 11 2 3 4 2" xfId="3955" xr:uid="{00000000-0005-0000-0000-0000F3190000}"/>
    <cellStyle name="Normal 11 2 3 4 2 2" xfId="8887" xr:uid="{00000000-0005-0000-0000-0000F4190000}"/>
    <cellStyle name="Normal 11 2 3 4 2 2 2" xfId="18747" xr:uid="{00000000-0005-0000-0000-0000F5190000}"/>
    <cellStyle name="Normal 11 2 3 4 2 2 2 2" xfId="38462" xr:uid="{00000000-0005-0000-0000-0000F6190000}"/>
    <cellStyle name="Normal 11 2 3 4 2 2 3" xfId="28605" xr:uid="{00000000-0005-0000-0000-0000F7190000}"/>
    <cellStyle name="Normal 11 2 3 4 2 3" xfId="13819" xr:uid="{00000000-0005-0000-0000-0000F8190000}"/>
    <cellStyle name="Normal 11 2 3 4 2 3 2" xfId="33534" xr:uid="{00000000-0005-0000-0000-0000F9190000}"/>
    <cellStyle name="Normal 11 2 3 4 2 4" xfId="23677" xr:uid="{00000000-0005-0000-0000-0000FA190000}"/>
    <cellStyle name="Normal 11 2 3 4 3" xfId="6423" xr:uid="{00000000-0005-0000-0000-0000FB190000}"/>
    <cellStyle name="Normal 11 2 3 4 3 2" xfId="16283" xr:uid="{00000000-0005-0000-0000-0000FC190000}"/>
    <cellStyle name="Normal 11 2 3 4 3 2 2" xfId="35998" xr:uid="{00000000-0005-0000-0000-0000FD190000}"/>
    <cellStyle name="Normal 11 2 3 4 3 3" xfId="26141" xr:uid="{00000000-0005-0000-0000-0000FE190000}"/>
    <cellStyle name="Normal 11 2 3 4 4" xfId="11355" xr:uid="{00000000-0005-0000-0000-0000FF190000}"/>
    <cellStyle name="Normal 11 2 3 4 4 2" xfId="31070" xr:uid="{00000000-0005-0000-0000-0000001A0000}"/>
    <cellStyle name="Normal 11 2 3 4 5" xfId="21213" xr:uid="{00000000-0005-0000-0000-0000011A0000}"/>
    <cellStyle name="Normal 11 2 3 5" xfId="2723" xr:uid="{00000000-0005-0000-0000-0000021A0000}"/>
    <cellStyle name="Normal 11 2 3 5 2" xfId="7655" xr:uid="{00000000-0005-0000-0000-0000031A0000}"/>
    <cellStyle name="Normal 11 2 3 5 2 2" xfId="17515" xr:uid="{00000000-0005-0000-0000-0000041A0000}"/>
    <cellStyle name="Normal 11 2 3 5 2 2 2" xfId="37230" xr:uid="{00000000-0005-0000-0000-0000051A0000}"/>
    <cellStyle name="Normal 11 2 3 5 2 3" xfId="27373" xr:uid="{00000000-0005-0000-0000-0000061A0000}"/>
    <cellStyle name="Normal 11 2 3 5 3" xfId="12587" xr:uid="{00000000-0005-0000-0000-0000071A0000}"/>
    <cellStyle name="Normal 11 2 3 5 3 2" xfId="32302" xr:uid="{00000000-0005-0000-0000-0000081A0000}"/>
    <cellStyle name="Normal 11 2 3 5 4" xfId="22445" xr:uid="{00000000-0005-0000-0000-0000091A0000}"/>
    <cellStyle name="Normal 11 2 3 6" xfId="5191" xr:uid="{00000000-0005-0000-0000-00000A1A0000}"/>
    <cellStyle name="Normal 11 2 3 6 2" xfId="15051" xr:uid="{00000000-0005-0000-0000-00000B1A0000}"/>
    <cellStyle name="Normal 11 2 3 6 2 2" xfId="34766" xr:uid="{00000000-0005-0000-0000-00000C1A0000}"/>
    <cellStyle name="Normal 11 2 3 6 3" xfId="24909" xr:uid="{00000000-0005-0000-0000-00000D1A0000}"/>
    <cellStyle name="Normal 11 2 3 7" xfId="10123" xr:uid="{00000000-0005-0000-0000-00000E1A0000}"/>
    <cellStyle name="Normal 11 2 3 7 2" xfId="29838" xr:uid="{00000000-0005-0000-0000-00000F1A0000}"/>
    <cellStyle name="Normal 11 2 3 8" xfId="19981" xr:uid="{00000000-0005-0000-0000-0000101A0000}"/>
    <cellStyle name="Normal 11 2 4" xfId="403" xr:uid="{00000000-0005-0000-0000-0000111A0000}"/>
    <cellStyle name="Normal 11 2 4 2" xfId="1023" xr:uid="{00000000-0005-0000-0000-0000121A0000}"/>
    <cellStyle name="Normal 11 2 4 2 2" xfId="2258" xr:uid="{00000000-0005-0000-0000-0000131A0000}"/>
    <cellStyle name="Normal 11 2 4 2 2 2" xfId="4725" xr:uid="{00000000-0005-0000-0000-0000141A0000}"/>
    <cellStyle name="Normal 11 2 4 2 2 2 2" xfId="9657" xr:uid="{00000000-0005-0000-0000-0000151A0000}"/>
    <cellStyle name="Normal 11 2 4 2 2 2 2 2" xfId="19517" xr:uid="{00000000-0005-0000-0000-0000161A0000}"/>
    <cellStyle name="Normal 11 2 4 2 2 2 2 2 2" xfId="39232" xr:uid="{00000000-0005-0000-0000-0000171A0000}"/>
    <cellStyle name="Normal 11 2 4 2 2 2 2 3" xfId="29375" xr:uid="{00000000-0005-0000-0000-0000181A0000}"/>
    <cellStyle name="Normal 11 2 4 2 2 2 3" xfId="14589" xr:uid="{00000000-0005-0000-0000-0000191A0000}"/>
    <cellStyle name="Normal 11 2 4 2 2 2 3 2" xfId="34304" xr:uid="{00000000-0005-0000-0000-00001A1A0000}"/>
    <cellStyle name="Normal 11 2 4 2 2 2 4" xfId="24447" xr:uid="{00000000-0005-0000-0000-00001B1A0000}"/>
    <cellStyle name="Normal 11 2 4 2 2 3" xfId="7193" xr:uid="{00000000-0005-0000-0000-00001C1A0000}"/>
    <cellStyle name="Normal 11 2 4 2 2 3 2" xfId="17053" xr:uid="{00000000-0005-0000-0000-00001D1A0000}"/>
    <cellStyle name="Normal 11 2 4 2 2 3 2 2" xfId="36768" xr:uid="{00000000-0005-0000-0000-00001E1A0000}"/>
    <cellStyle name="Normal 11 2 4 2 2 3 3" xfId="26911" xr:uid="{00000000-0005-0000-0000-00001F1A0000}"/>
    <cellStyle name="Normal 11 2 4 2 2 4" xfId="12125" xr:uid="{00000000-0005-0000-0000-0000201A0000}"/>
    <cellStyle name="Normal 11 2 4 2 2 4 2" xfId="31840" xr:uid="{00000000-0005-0000-0000-0000211A0000}"/>
    <cellStyle name="Normal 11 2 4 2 2 5" xfId="21983" xr:uid="{00000000-0005-0000-0000-0000221A0000}"/>
    <cellStyle name="Normal 11 2 4 2 3" xfId="3493" xr:uid="{00000000-0005-0000-0000-0000231A0000}"/>
    <cellStyle name="Normal 11 2 4 2 3 2" xfId="8425" xr:uid="{00000000-0005-0000-0000-0000241A0000}"/>
    <cellStyle name="Normal 11 2 4 2 3 2 2" xfId="18285" xr:uid="{00000000-0005-0000-0000-0000251A0000}"/>
    <cellStyle name="Normal 11 2 4 2 3 2 2 2" xfId="38000" xr:uid="{00000000-0005-0000-0000-0000261A0000}"/>
    <cellStyle name="Normal 11 2 4 2 3 2 3" xfId="28143" xr:uid="{00000000-0005-0000-0000-0000271A0000}"/>
    <cellStyle name="Normal 11 2 4 2 3 3" xfId="13357" xr:uid="{00000000-0005-0000-0000-0000281A0000}"/>
    <cellStyle name="Normal 11 2 4 2 3 3 2" xfId="33072" xr:uid="{00000000-0005-0000-0000-0000291A0000}"/>
    <cellStyle name="Normal 11 2 4 2 3 4" xfId="23215" xr:uid="{00000000-0005-0000-0000-00002A1A0000}"/>
    <cellStyle name="Normal 11 2 4 2 4" xfId="5961" xr:uid="{00000000-0005-0000-0000-00002B1A0000}"/>
    <cellStyle name="Normal 11 2 4 2 4 2" xfId="15821" xr:uid="{00000000-0005-0000-0000-00002C1A0000}"/>
    <cellStyle name="Normal 11 2 4 2 4 2 2" xfId="35536" xr:uid="{00000000-0005-0000-0000-00002D1A0000}"/>
    <cellStyle name="Normal 11 2 4 2 4 3" xfId="25679" xr:uid="{00000000-0005-0000-0000-00002E1A0000}"/>
    <cellStyle name="Normal 11 2 4 2 5" xfId="10893" xr:uid="{00000000-0005-0000-0000-00002F1A0000}"/>
    <cellStyle name="Normal 11 2 4 2 5 2" xfId="30608" xr:uid="{00000000-0005-0000-0000-0000301A0000}"/>
    <cellStyle name="Normal 11 2 4 2 6" xfId="20751" xr:uid="{00000000-0005-0000-0000-0000311A0000}"/>
    <cellStyle name="Normal 11 2 4 3" xfId="1642" xr:uid="{00000000-0005-0000-0000-0000321A0000}"/>
    <cellStyle name="Normal 11 2 4 3 2" xfId="4109" xr:uid="{00000000-0005-0000-0000-0000331A0000}"/>
    <cellStyle name="Normal 11 2 4 3 2 2" xfId="9041" xr:uid="{00000000-0005-0000-0000-0000341A0000}"/>
    <cellStyle name="Normal 11 2 4 3 2 2 2" xfId="18901" xr:uid="{00000000-0005-0000-0000-0000351A0000}"/>
    <cellStyle name="Normal 11 2 4 3 2 2 2 2" xfId="38616" xr:uid="{00000000-0005-0000-0000-0000361A0000}"/>
    <cellStyle name="Normal 11 2 4 3 2 2 3" xfId="28759" xr:uid="{00000000-0005-0000-0000-0000371A0000}"/>
    <cellStyle name="Normal 11 2 4 3 2 3" xfId="13973" xr:uid="{00000000-0005-0000-0000-0000381A0000}"/>
    <cellStyle name="Normal 11 2 4 3 2 3 2" xfId="33688" xr:uid="{00000000-0005-0000-0000-0000391A0000}"/>
    <cellStyle name="Normal 11 2 4 3 2 4" xfId="23831" xr:uid="{00000000-0005-0000-0000-00003A1A0000}"/>
    <cellStyle name="Normal 11 2 4 3 3" xfId="6577" xr:uid="{00000000-0005-0000-0000-00003B1A0000}"/>
    <cellStyle name="Normal 11 2 4 3 3 2" xfId="16437" xr:uid="{00000000-0005-0000-0000-00003C1A0000}"/>
    <cellStyle name="Normal 11 2 4 3 3 2 2" xfId="36152" xr:uid="{00000000-0005-0000-0000-00003D1A0000}"/>
    <cellStyle name="Normal 11 2 4 3 3 3" xfId="26295" xr:uid="{00000000-0005-0000-0000-00003E1A0000}"/>
    <cellStyle name="Normal 11 2 4 3 4" xfId="11509" xr:uid="{00000000-0005-0000-0000-00003F1A0000}"/>
    <cellStyle name="Normal 11 2 4 3 4 2" xfId="31224" xr:uid="{00000000-0005-0000-0000-0000401A0000}"/>
    <cellStyle name="Normal 11 2 4 3 5" xfId="21367" xr:uid="{00000000-0005-0000-0000-0000411A0000}"/>
    <cellStyle name="Normal 11 2 4 4" xfId="2877" xr:uid="{00000000-0005-0000-0000-0000421A0000}"/>
    <cellStyle name="Normal 11 2 4 4 2" xfId="7809" xr:uid="{00000000-0005-0000-0000-0000431A0000}"/>
    <cellStyle name="Normal 11 2 4 4 2 2" xfId="17669" xr:uid="{00000000-0005-0000-0000-0000441A0000}"/>
    <cellStyle name="Normal 11 2 4 4 2 2 2" xfId="37384" xr:uid="{00000000-0005-0000-0000-0000451A0000}"/>
    <cellStyle name="Normal 11 2 4 4 2 3" xfId="27527" xr:uid="{00000000-0005-0000-0000-0000461A0000}"/>
    <cellStyle name="Normal 11 2 4 4 3" xfId="12741" xr:uid="{00000000-0005-0000-0000-0000471A0000}"/>
    <cellStyle name="Normal 11 2 4 4 3 2" xfId="32456" xr:uid="{00000000-0005-0000-0000-0000481A0000}"/>
    <cellStyle name="Normal 11 2 4 4 4" xfId="22599" xr:uid="{00000000-0005-0000-0000-0000491A0000}"/>
    <cellStyle name="Normal 11 2 4 5" xfId="5345" xr:uid="{00000000-0005-0000-0000-00004A1A0000}"/>
    <cellStyle name="Normal 11 2 4 5 2" xfId="15205" xr:uid="{00000000-0005-0000-0000-00004B1A0000}"/>
    <cellStyle name="Normal 11 2 4 5 2 2" xfId="34920" xr:uid="{00000000-0005-0000-0000-00004C1A0000}"/>
    <cellStyle name="Normal 11 2 4 5 3" xfId="25063" xr:uid="{00000000-0005-0000-0000-00004D1A0000}"/>
    <cellStyle name="Normal 11 2 4 6" xfId="10277" xr:uid="{00000000-0005-0000-0000-00004E1A0000}"/>
    <cellStyle name="Normal 11 2 4 6 2" xfId="29992" xr:uid="{00000000-0005-0000-0000-00004F1A0000}"/>
    <cellStyle name="Normal 11 2 4 7" xfId="20135" xr:uid="{00000000-0005-0000-0000-0000501A0000}"/>
    <cellStyle name="Normal 11 2 5" xfId="716" xr:uid="{00000000-0005-0000-0000-0000511A0000}"/>
    <cellStyle name="Normal 11 2 5 2" xfId="1952" xr:uid="{00000000-0005-0000-0000-0000521A0000}"/>
    <cellStyle name="Normal 11 2 5 2 2" xfId="4419" xr:uid="{00000000-0005-0000-0000-0000531A0000}"/>
    <cellStyle name="Normal 11 2 5 2 2 2" xfId="9351" xr:uid="{00000000-0005-0000-0000-0000541A0000}"/>
    <cellStyle name="Normal 11 2 5 2 2 2 2" xfId="19211" xr:uid="{00000000-0005-0000-0000-0000551A0000}"/>
    <cellStyle name="Normal 11 2 5 2 2 2 2 2" xfId="38926" xr:uid="{00000000-0005-0000-0000-0000561A0000}"/>
    <cellStyle name="Normal 11 2 5 2 2 2 3" xfId="29069" xr:uid="{00000000-0005-0000-0000-0000571A0000}"/>
    <cellStyle name="Normal 11 2 5 2 2 3" xfId="14283" xr:uid="{00000000-0005-0000-0000-0000581A0000}"/>
    <cellStyle name="Normal 11 2 5 2 2 3 2" xfId="33998" xr:uid="{00000000-0005-0000-0000-0000591A0000}"/>
    <cellStyle name="Normal 11 2 5 2 2 4" xfId="24141" xr:uid="{00000000-0005-0000-0000-00005A1A0000}"/>
    <cellStyle name="Normal 11 2 5 2 3" xfId="6887" xr:uid="{00000000-0005-0000-0000-00005B1A0000}"/>
    <cellStyle name="Normal 11 2 5 2 3 2" xfId="16747" xr:uid="{00000000-0005-0000-0000-00005C1A0000}"/>
    <cellStyle name="Normal 11 2 5 2 3 2 2" xfId="36462" xr:uid="{00000000-0005-0000-0000-00005D1A0000}"/>
    <cellStyle name="Normal 11 2 5 2 3 3" xfId="26605" xr:uid="{00000000-0005-0000-0000-00005E1A0000}"/>
    <cellStyle name="Normal 11 2 5 2 4" xfId="11819" xr:uid="{00000000-0005-0000-0000-00005F1A0000}"/>
    <cellStyle name="Normal 11 2 5 2 4 2" xfId="31534" xr:uid="{00000000-0005-0000-0000-0000601A0000}"/>
    <cellStyle name="Normal 11 2 5 2 5" xfId="21677" xr:uid="{00000000-0005-0000-0000-0000611A0000}"/>
    <cellStyle name="Normal 11 2 5 3" xfId="3187" xr:uid="{00000000-0005-0000-0000-0000621A0000}"/>
    <cellStyle name="Normal 11 2 5 3 2" xfId="8119" xr:uid="{00000000-0005-0000-0000-0000631A0000}"/>
    <cellStyle name="Normal 11 2 5 3 2 2" xfId="17979" xr:uid="{00000000-0005-0000-0000-0000641A0000}"/>
    <cellStyle name="Normal 11 2 5 3 2 2 2" xfId="37694" xr:uid="{00000000-0005-0000-0000-0000651A0000}"/>
    <cellStyle name="Normal 11 2 5 3 2 3" xfId="27837" xr:uid="{00000000-0005-0000-0000-0000661A0000}"/>
    <cellStyle name="Normal 11 2 5 3 3" xfId="13051" xr:uid="{00000000-0005-0000-0000-0000671A0000}"/>
    <cellStyle name="Normal 11 2 5 3 3 2" xfId="32766" xr:uid="{00000000-0005-0000-0000-0000681A0000}"/>
    <cellStyle name="Normal 11 2 5 3 4" xfId="22909" xr:uid="{00000000-0005-0000-0000-0000691A0000}"/>
    <cellStyle name="Normal 11 2 5 4" xfId="5655" xr:uid="{00000000-0005-0000-0000-00006A1A0000}"/>
    <cellStyle name="Normal 11 2 5 4 2" xfId="15515" xr:uid="{00000000-0005-0000-0000-00006B1A0000}"/>
    <cellStyle name="Normal 11 2 5 4 2 2" xfId="35230" xr:uid="{00000000-0005-0000-0000-00006C1A0000}"/>
    <cellStyle name="Normal 11 2 5 4 3" xfId="25373" xr:uid="{00000000-0005-0000-0000-00006D1A0000}"/>
    <cellStyle name="Normal 11 2 5 5" xfId="10587" xr:uid="{00000000-0005-0000-0000-00006E1A0000}"/>
    <cellStyle name="Normal 11 2 5 5 2" xfId="30302" xr:uid="{00000000-0005-0000-0000-00006F1A0000}"/>
    <cellStyle name="Normal 11 2 5 6" xfId="20445" xr:uid="{00000000-0005-0000-0000-0000701A0000}"/>
    <cellStyle name="Normal 11 2 6" xfId="1336" xr:uid="{00000000-0005-0000-0000-0000711A0000}"/>
    <cellStyle name="Normal 11 2 6 2" xfId="3803" xr:uid="{00000000-0005-0000-0000-0000721A0000}"/>
    <cellStyle name="Normal 11 2 6 2 2" xfId="8735" xr:uid="{00000000-0005-0000-0000-0000731A0000}"/>
    <cellStyle name="Normal 11 2 6 2 2 2" xfId="18595" xr:uid="{00000000-0005-0000-0000-0000741A0000}"/>
    <cellStyle name="Normal 11 2 6 2 2 2 2" xfId="38310" xr:uid="{00000000-0005-0000-0000-0000751A0000}"/>
    <cellStyle name="Normal 11 2 6 2 2 3" xfId="28453" xr:uid="{00000000-0005-0000-0000-0000761A0000}"/>
    <cellStyle name="Normal 11 2 6 2 3" xfId="13667" xr:uid="{00000000-0005-0000-0000-0000771A0000}"/>
    <cellStyle name="Normal 11 2 6 2 3 2" xfId="33382" xr:uid="{00000000-0005-0000-0000-0000781A0000}"/>
    <cellStyle name="Normal 11 2 6 2 4" xfId="23525" xr:uid="{00000000-0005-0000-0000-0000791A0000}"/>
    <cellStyle name="Normal 11 2 6 3" xfId="6271" xr:uid="{00000000-0005-0000-0000-00007A1A0000}"/>
    <cellStyle name="Normal 11 2 6 3 2" xfId="16131" xr:uid="{00000000-0005-0000-0000-00007B1A0000}"/>
    <cellStyle name="Normal 11 2 6 3 2 2" xfId="35846" xr:uid="{00000000-0005-0000-0000-00007C1A0000}"/>
    <cellStyle name="Normal 11 2 6 3 3" xfId="25989" xr:uid="{00000000-0005-0000-0000-00007D1A0000}"/>
    <cellStyle name="Normal 11 2 6 4" xfId="11203" xr:uid="{00000000-0005-0000-0000-00007E1A0000}"/>
    <cellStyle name="Normal 11 2 6 4 2" xfId="30918" xr:uid="{00000000-0005-0000-0000-00007F1A0000}"/>
    <cellStyle name="Normal 11 2 6 5" xfId="21061" xr:uid="{00000000-0005-0000-0000-0000801A0000}"/>
    <cellStyle name="Normal 11 2 7" xfId="2571" xr:uid="{00000000-0005-0000-0000-0000811A0000}"/>
    <cellStyle name="Normal 11 2 7 2" xfId="7503" xr:uid="{00000000-0005-0000-0000-0000821A0000}"/>
    <cellStyle name="Normal 11 2 7 2 2" xfId="17363" xr:uid="{00000000-0005-0000-0000-0000831A0000}"/>
    <cellStyle name="Normal 11 2 7 2 2 2" xfId="37078" xr:uid="{00000000-0005-0000-0000-0000841A0000}"/>
    <cellStyle name="Normal 11 2 7 2 3" xfId="27221" xr:uid="{00000000-0005-0000-0000-0000851A0000}"/>
    <cellStyle name="Normal 11 2 7 3" xfId="12435" xr:uid="{00000000-0005-0000-0000-0000861A0000}"/>
    <cellStyle name="Normal 11 2 7 3 2" xfId="32150" xr:uid="{00000000-0005-0000-0000-0000871A0000}"/>
    <cellStyle name="Normal 11 2 7 4" xfId="22293" xr:uid="{00000000-0005-0000-0000-0000881A0000}"/>
    <cellStyle name="Normal 11 2 8" xfId="5039" xr:uid="{00000000-0005-0000-0000-0000891A0000}"/>
    <cellStyle name="Normal 11 2 8 2" xfId="14899" xr:uid="{00000000-0005-0000-0000-00008A1A0000}"/>
    <cellStyle name="Normal 11 2 8 2 2" xfId="34614" xr:uid="{00000000-0005-0000-0000-00008B1A0000}"/>
    <cellStyle name="Normal 11 2 8 3" xfId="24757" xr:uid="{00000000-0005-0000-0000-00008C1A0000}"/>
    <cellStyle name="Normal 11 2 9" xfId="9971" xr:uid="{00000000-0005-0000-0000-00008D1A0000}"/>
    <cellStyle name="Normal 11 2 9 2" xfId="29686" xr:uid="{00000000-0005-0000-0000-00008E1A0000}"/>
    <cellStyle name="Normal 11 3" xfId="122" xr:uid="{00000000-0005-0000-0000-00008F1A0000}"/>
    <cellStyle name="Normal 11 3 2" xfId="279" xr:uid="{00000000-0005-0000-0000-0000901A0000}"/>
    <cellStyle name="Normal 11 3 2 2" xfId="593" xr:uid="{00000000-0005-0000-0000-0000911A0000}"/>
    <cellStyle name="Normal 11 3 2 2 2" xfId="1213" xr:uid="{00000000-0005-0000-0000-0000921A0000}"/>
    <cellStyle name="Normal 11 3 2 2 2 2" xfId="2448" xr:uid="{00000000-0005-0000-0000-0000931A0000}"/>
    <cellStyle name="Normal 11 3 2 2 2 2 2" xfId="4915" xr:uid="{00000000-0005-0000-0000-0000941A0000}"/>
    <cellStyle name="Normal 11 3 2 2 2 2 2 2" xfId="9847" xr:uid="{00000000-0005-0000-0000-0000951A0000}"/>
    <cellStyle name="Normal 11 3 2 2 2 2 2 2 2" xfId="19707" xr:uid="{00000000-0005-0000-0000-0000961A0000}"/>
    <cellStyle name="Normal 11 3 2 2 2 2 2 2 2 2" xfId="39422" xr:uid="{00000000-0005-0000-0000-0000971A0000}"/>
    <cellStyle name="Normal 11 3 2 2 2 2 2 2 3" xfId="29565" xr:uid="{00000000-0005-0000-0000-0000981A0000}"/>
    <cellStyle name="Normal 11 3 2 2 2 2 2 3" xfId="14779" xr:uid="{00000000-0005-0000-0000-0000991A0000}"/>
    <cellStyle name="Normal 11 3 2 2 2 2 2 3 2" xfId="34494" xr:uid="{00000000-0005-0000-0000-00009A1A0000}"/>
    <cellStyle name="Normal 11 3 2 2 2 2 2 4" xfId="24637" xr:uid="{00000000-0005-0000-0000-00009B1A0000}"/>
    <cellStyle name="Normal 11 3 2 2 2 2 3" xfId="7383" xr:uid="{00000000-0005-0000-0000-00009C1A0000}"/>
    <cellStyle name="Normal 11 3 2 2 2 2 3 2" xfId="17243" xr:uid="{00000000-0005-0000-0000-00009D1A0000}"/>
    <cellStyle name="Normal 11 3 2 2 2 2 3 2 2" xfId="36958" xr:uid="{00000000-0005-0000-0000-00009E1A0000}"/>
    <cellStyle name="Normal 11 3 2 2 2 2 3 3" xfId="27101" xr:uid="{00000000-0005-0000-0000-00009F1A0000}"/>
    <cellStyle name="Normal 11 3 2 2 2 2 4" xfId="12315" xr:uid="{00000000-0005-0000-0000-0000A01A0000}"/>
    <cellStyle name="Normal 11 3 2 2 2 2 4 2" xfId="32030" xr:uid="{00000000-0005-0000-0000-0000A11A0000}"/>
    <cellStyle name="Normal 11 3 2 2 2 2 5" xfId="22173" xr:uid="{00000000-0005-0000-0000-0000A21A0000}"/>
    <cellStyle name="Normal 11 3 2 2 2 3" xfId="3683" xr:uid="{00000000-0005-0000-0000-0000A31A0000}"/>
    <cellStyle name="Normal 11 3 2 2 2 3 2" xfId="8615" xr:uid="{00000000-0005-0000-0000-0000A41A0000}"/>
    <cellStyle name="Normal 11 3 2 2 2 3 2 2" xfId="18475" xr:uid="{00000000-0005-0000-0000-0000A51A0000}"/>
    <cellStyle name="Normal 11 3 2 2 2 3 2 2 2" xfId="38190" xr:uid="{00000000-0005-0000-0000-0000A61A0000}"/>
    <cellStyle name="Normal 11 3 2 2 2 3 2 3" xfId="28333" xr:uid="{00000000-0005-0000-0000-0000A71A0000}"/>
    <cellStyle name="Normal 11 3 2 2 2 3 3" xfId="13547" xr:uid="{00000000-0005-0000-0000-0000A81A0000}"/>
    <cellStyle name="Normal 11 3 2 2 2 3 3 2" xfId="33262" xr:uid="{00000000-0005-0000-0000-0000A91A0000}"/>
    <cellStyle name="Normal 11 3 2 2 2 3 4" xfId="23405" xr:uid="{00000000-0005-0000-0000-0000AA1A0000}"/>
    <cellStyle name="Normal 11 3 2 2 2 4" xfId="6151" xr:uid="{00000000-0005-0000-0000-0000AB1A0000}"/>
    <cellStyle name="Normal 11 3 2 2 2 4 2" xfId="16011" xr:uid="{00000000-0005-0000-0000-0000AC1A0000}"/>
    <cellStyle name="Normal 11 3 2 2 2 4 2 2" xfId="35726" xr:uid="{00000000-0005-0000-0000-0000AD1A0000}"/>
    <cellStyle name="Normal 11 3 2 2 2 4 3" xfId="25869" xr:uid="{00000000-0005-0000-0000-0000AE1A0000}"/>
    <cellStyle name="Normal 11 3 2 2 2 5" xfId="11083" xr:uid="{00000000-0005-0000-0000-0000AF1A0000}"/>
    <cellStyle name="Normal 11 3 2 2 2 5 2" xfId="30798" xr:uid="{00000000-0005-0000-0000-0000B01A0000}"/>
    <cellStyle name="Normal 11 3 2 2 2 6" xfId="20941" xr:uid="{00000000-0005-0000-0000-0000B11A0000}"/>
    <cellStyle name="Normal 11 3 2 2 3" xfId="1832" xr:uid="{00000000-0005-0000-0000-0000B21A0000}"/>
    <cellStyle name="Normal 11 3 2 2 3 2" xfId="4299" xr:uid="{00000000-0005-0000-0000-0000B31A0000}"/>
    <cellStyle name="Normal 11 3 2 2 3 2 2" xfId="9231" xr:uid="{00000000-0005-0000-0000-0000B41A0000}"/>
    <cellStyle name="Normal 11 3 2 2 3 2 2 2" xfId="19091" xr:uid="{00000000-0005-0000-0000-0000B51A0000}"/>
    <cellStyle name="Normal 11 3 2 2 3 2 2 2 2" xfId="38806" xr:uid="{00000000-0005-0000-0000-0000B61A0000}"/>
    <cellStyle name="Normal 11 3 2 2 3 2 2 3" xfId="28949" xr:uid="{00000000-0005-0000-0000-0000B71A0000}"/>
    <cellStyle name="Normal 11 3 2 2 3 2 3" xfId="14163" xr:uid="{00000000-0005-0000-0000-0000B81A0000}"/>
    <cellStyle name="Normal 11 3 2 2 3 2 3 2" xfId="33878" xr:uid="{00000000-0005-0000-0000-0000B91A0000}"/>
    <cellStyle name="Normal 11 3 2 2 3 2 4" xfId="24021" xr:uid="{00000000-0005-0000-0000-0000BA1A0000}"/>
    <cellStyle name="Normal 11 3 2 2 3 3" xfId="6767" xr:uid="{00000000-0005-0000-0000-0000BB1A0000}"/>
    <cellStyle name="Normal 11 3 2 2 3 3 2" xfId="16627" xr:uid="{00000000-0005-0000-0000-0000BC1A0000}"/>
    <cellStyle name="Normal 11 3 2 2 3 3 2 2" xfId="36342" xr:uid="{00000000-0005-0000-0000-0000BD1A0000}"/>
    <cellStyle name="Normal 11 3 2 2 3 3 3" xfId="26485" xr:uid="{00000000-0005-0000-0000-0000BE1A0000}"/>
    <cellStyle name="Normal 11 3 2 2 3 4" xfId="11699" xr:uid="{00000000-0005-0000-0000-0000BF1A0000}"/>
    <cellStyle name="Normal 11 3 2 2 3 4 2" xfId="31414" xr:uid="{00000000-0005-0000-0000-0000C01A0000}"/>
    <cellStyle name="Normal 11 3 2 2 3 5" xfId="21557" xr:uid="{00000000-0005-0000-0000-0000C11A0000}"/>
    <cellStyle name="Normal 11 3 2 2 4" xfId="3067" xr:uid="{00000000-0005-0000-0000-0000C21A0000}"/>
    <cellStyle name="Normal 11 3 2 2 4 2" xfId="7999" xr:uid="{00000000-0005-0000-0000-0000C31A0000}"/>
    <cellStyle name="Normal 11 3 2 2 4 2 2" xfId="17859" xr:uid="{00000000-0005-0000-0000-0000C41A0000}"/>
    <cellStyle name="Normal 11 3 2 2 4 2 2 2" xfId="37574" xr:uid="{00000000-0005-0000-0000-0000C51A0000}"/>
    <cellStyle name="Normal 11 3 2 2 4 2 3" xfId="27717" xr:uid="{00000000-0005-0000-0000-0000C61A0000}"/>
    <cellStyle name="Normal 11 3 2 2 4 3" xfId="12931" xr:uid="{00000000-0005-0000-0000-0000C71A0000}"/>
    <cellStyle name="Normal 11 3 2 2 4 3 2" xfId="32646" xr:uid="{00000000-0005-0000-0000-0000C81A0000}"/>
    <cellStyle name="Normal 11 3 2 2 4 4" xfId="22789" xr:uid="{00000000-0005-0000-0000-0000C91A0000}"/>
    <cellStyle name="Normal 11 3 2 2 5" xfId="5535" xr:uid="{00000000-0005-0000-0000-0000CA1A0000}"/>
    <cellStyle name="Normal 11 3 2 2 5 2" xfId="15395" xr:uid="{00000000-0005-0000-0000-0000CB1A0000}"/>
    <cellStyle name="Normal 11 3 2 2 5 2 2" xfId="35110" xr:uid="{00000000-0005-0000-0000-0000CC1A0000}"/>
    <cellStyle name="Normal 11 3 2 2 5 3" xfId="25253" xr:uid="{00000000-0005-0000-0000-0000CD1A0000}"/>
    <cellStyle name="Normal 11 3 2 2 6" xfId="10467" xr:uid="{00000000-0005-0000-0000-0000CE1A0000}"/>
    <cellStyle name="Normal 11 3 2 2 6 2" xfId="30182" xr:uid="{00000000-0005-0000-0000-0000CF1A0000}"/>
    <cellStyle name="Normal 11 3 2 2 7" xfId="20325" xr:uid="{00000000-0005-0000-0000-0000D01A0000}"/>
    <cellStyle name="Normal 11 3 2 3" xfId="906" xr:uid="{00000000-0005-0000-0000-0000D11A0000}"/>
    <cellStyle name="Normal 11 3 2 3 2" xfId="2142" xr:uid="{00000000-0005-0000-0000-0000D21A0000}"/>
    <cellStyle name="Normal 11 3 2 3 2 2" xfId="4609" xr:uid="{00000000-0005-0000-0000-0000D31A0000}"/>
    <cellStyle name="Normal 11 3 2 3 2 2 2" xfId="9541" xr:uid="{00000000-0005-0000-0000-0000D41A0000}"/>
    <cellStyle name="Normal 11 3 2 3 2 2 2 2" xfId="19401" xr:uid="{00000000-0005-0000-0000-0000D51A0000}"/>
    <cellStyle name="Normal 11 3 2 3 2 2 2 2 2" xfId="39116" xr:uid="{00000000-0005-0000-0000-0000D61A0000}"/>
    <cellStyle name="Normal 11 3 2 3 2 2 2 3" xfId="29259" xr:uid="{00000000-0005-0000-0000-0000D71A0000}"/>
    <cellStyle name="Normal 11 3 2 3 2 2 3" xfId="14473" xr:uid="{00000000-0005-0000-0000-0000D81A0000}"/>
    <cellStyle name="Normal 11 3 2 3 2 2 3 2" xfId="34188" xr:uid="{00000000-0005-0000-0000-0000D91A0000}"/>
    <cellStyle name="Normal 11 3 2 3 2 2 4" xfId="24331" xr:uid="{00000000-0005-0000-0000-0000DA1A0000}"/>
    <cellStyle name="Normal 11 3 2 3 2 3" xfId="7077" xr:uid="{00000000-0005-0000-0000-0000DB1A0000}"/>
    <cellStyle name="Normal 11 3 2 3 2 3 2" xfId="16937" xr:uid="{00000000-0005-0000-0000-0000DC1A0000}"/>
    <cellStyle name="Normal 11 3 2 3 2 3 2 2" xfId="36652" xr:uid="{00000000-0005-0000-0000-0000DD1A0000}"/>
    <cellStyle name="Normal 11 3 2 3 2 3 3" xfId="26795" xr:uid="{00000000-0005-0000-0000-0000DE1A0000}"/>
    <cellStyle name="Normal 11 3 2 3 2 4" xfId="12009" xr:uid="{00000000-0005-0000-0000-0000DF1A0000}"/>
    <cellStyle name="Normal 11 3 2 3 2 4 2" xfId="31724" xr:uid="{00000000-0005-0000-0000-0000E01A0000}"/>
    <cellStyle name="Normal 11 3 2 3 2 5" xfId="21867" xr:uid="{00000000-0005-0000-0000-0000E11A0000}"/>
    <cellStyle name="Normal 11 3 2 3 3" xfId="3377" xr:uid="{00000000-0005-0000-0000-0000E21A0000}"/>
    <cellStyle name="Normal 11 3 2 3 3 2" xfId="8309" xr:uid="{00000000-0005-0000-0000-0000E31A0000}"/>
    <cellStyle name="Normal 11 3 2 3 3 2 2" xfId="18169" xr:uid="{00000000-0005-0000-0000-0000E41A0000}"/>
    <cellStyle name="Normal 11 3 2 3 3 2 2 2" xfId="37884" xr:uid="{00000000-0005-0000-0000-0000E51A0000}"/>
    <cellStyle name="Normal 11 3 2 3 3 2 3" xfId="28027" xr:uid="{00000000-0005-0000-0000-0000E61A0000}"/>
    <cellStyle name="Normal 11 3 2 3 3 3" xfId="13241" xr:uid="{00000000-0005-0000-0000-0000E71A0000}"/>
    <cellStyle name="Normal 11 3 2 3 3 3 2" xfId="32956" xr:uid="{00000000-0005-0000-0000-0000E81A0000}"/>
    <cellStyle name="Normal 11 3 2 3 3 4" xfId="23099" xr:uid="{00000000-0005-0000-0000-0000E91A0000}"/>
    <cellStyle name="Normal 11 3 2 3 4" xfId="5845" xr:uid="{00000000-0005-0000-0000-0000EA1A0000}"/>
    <cellStyle name="Normal 11 3 2 3 4 2" xfId="15705" xr:uid="{00000000-0005-0000-0000-0000EB1A0000}"/>
    <cellStyle name="Normal 11 3 2 3 4 2 2" xfId="35420" xr:uid="{00000000-0005-0000-0000-0000EC1A0000}"/>
    <cellStyle name="Normal 11 3 2 3 4 3" xfId="25563" xr:uid="{00000000-0005-0000-0000-0000ED1A0000}"/>
    <cellStyle name="Normal 11 3 2 3 5" xfId="10777" xr:uid="{00000000-0005-0000-0000-0000EE1A0000}"/>
    <cellStyle name="Normal 11 3 2 3 5 2" xfId="30492" xr:uid="{00000000-0005-0000-0000-0000EF1A0000}"/>
    <cellStyle name="Normal 11 3 2 3 6" xfId="20635" xr:uid="{00000000-0005-0000-0000-0000F01A0000}"/>
    <cellStyle name="Normal 11 3 2 4" xfId="1526" xr:uid="{00000000-0005-0000-0000-0000F11A0000}"/>
    <cellStyle name="Normal 11 3 2 4 2" xfId="3993" xr:uid="{00000000-0005-0000-0000-0000F21A0000}"/>
    <cellStyle name="Normal 11 3 2 4 2 2" xfId="8925" xr:uid="{00000000-0005-0000-0000-0000F31A0000}"/>
    <cellStyle name="Normal 11 3 2 4 2 2 2" xfId="18785" xr:uid="{00000000-0005-0000-0000-0000F41A0000}"/>
    <cellStyle name="Normal 11 3 2 4 2 2 2 2" xfId="38500" xr:uid="{00000000-0005-0000-0000-0000F51A0000}"/>
    <cellStyle name="Normal 11 3 2 4 2 2 3" xfId="28643" xr:uid="{00000000-0005-0000-0000-0000F61A0000}"/>
    <cellStyle name="Normal 11 3 2 4 2 3" xfId="13857" xr:uid="{00000000-0005-0000-0000-0000F71A0000}"/>
    <cellStyle name="Normal 11 3 2 4 2 3 2" xfId="33572" xr:uid="{00000000-0005-0000-0000-0000F81A0000}"/>
    <cellStyle name="Normal 11 3 2 4 2 4" xfId="23715" xr:uid="{00000000-0005-0000-0000-0000F91A0000}"/>
    <cellStyle name="Normal 11 3 2 4 3" xfId="6461" xr:uid="{00000000-0005-0000-0000-0000FA1A0000}"/>
    <cellStyle name="Normal 11 3 2 4 3 2" xfId="16321" xr:uid="{00000000-0005-0000-0000-0000FB1A0000}"/>
    <cellStyle name="Normal 11 3 2 4 3 2 2" xfId="36036" xr:uid="{00000000-0005-0000-0000-0000FC1A0000}"/>
    <cellStyle name="Normal 11 3 2 4 3 3" xfId="26179" xr:uid="{00000000-0005-0000-0000-0000FD1A0000}"/>
    <cellStyle name="Normal 11 3 2 4 4" xfId="11393" xr:uid="{00000000-0005-0000-0000-0000FE1A0000}"/>
    <cellStyle name="Normal 11 3 2 4 4 2" xfId="31108" xr:uid="{00000000-0005-0000-0000-0000FF1A0000}"/>
    <cellStyle name="Normal 11 3 2 4 5" xfId="21251" xr:uid="{00000000-0005-0000-0000-0000001B0000}"/>
    <cellStyle name="Normal 11 3 2 5" xfId="2761" xr:uid="{00000000-0005-0000-0000-0000011B0000}"/>
    <cellStyle name="Normal 11 3 2 5 2" xfId="7693" xr:uid="{00000000-0005-0000-0000-0000021B0000}"/>
    <cellStyle name="Normal 11 3 2 5 2 2" xfId="17553" xr:uid="{00000000-0005-0000-0000-0000031B0000}"/>
    <cellStyle name="Normal 11 3 2 5 2 2 2" xfId="37268" xr:uid="{00000000-0005-0000-0000-0000041B0000}"/>
    <cellStyle name="Normal 11 3 2 5 2 3" xfId="27411" xr:uid="{00000000-0005-0000-0000-0000051B0000}"/>
    <cellStyle name="Normal 11 3 2 5 3" xfId="12625" xr:uid="{00000000-0005-0000-0000-0000061B0000}"/>
    <cellStyle name="Normal 11 3 2 5 3 2" xfId="32340" xr:uid="{00000000-0005-0000-0000-0000071B0000}"/>
    <cellStyle name="Normal 11 3 2 5 4" xfId="22483" xr:uid="{00000000-0005-0000-0000-0000081B0000}"/>
    <cellStyle name="Normal 11 3 2 6" xfId="5229" xr:uid="{00000000-0005-0000-0000-0000091B0000}"/>
    <cellStyle name="Normal 11 3 2 6 2" xfId="15089" xr:uid="{00000000-0005-0000-0000-00000A1B0000}"/>
    <cellStyle name="Normal 11 3 2 6 2 2" xfId="34804" xr:uid="{00000000-0005-0000-0000-00000B1B0000}"/>
    <cellStyle name="Normal 11 3 2 6 3" xfId="24947" xr:uid="{00000000-0005-0000-0000-00000C1B0000}"/>
    <cellStyle name="Normal 11 3 2 7" xfId="10161" xr:uid="{00000000-0005-0000-0000-00000D1B0000}"/>
    <cellStyle name="Normal 11 3 2 7 2" xfId="29876" xr:uid="{00000000-0005-0000-0000-00000E1B0000}"/>
    <cellStyle name="Normal 11 3 2 8" xfId="20019" xr:uid="{00000000-0005-0000-0000-00000F1B0000}"/>
    <cellStyle name="Normal 11 3 3" xfId="441" xr:uid="{00000000-0005-0000-0000-0000101B0000}"/>
    <cellStyle name="Normal 11 3 3 2" xfId="1061" xr:uid="{00000000-0005-0000-0000-0000111B0000}"/>
    <cellStyle name="Normal 11 3 3 2 2" xfId="2296" xr:uid="{00000000-0005-0000-0000-0000121B0000}"/>
    <cellStyle name="Normal 11 3 3 2 2 2" xfId="4763" xr:uid="{00000000-0005-0000-0000-0000131B0000}"/>
    <cellStyle name="Normal 11 3 3 2 2 2 2" xfId="9695" xr:uid="{00000000-0005-0000-0000-0000141B0000}"/>
    <cellStyle name="Normal 11 3 3 2 2 2 2 2" xfId="19555" xr:uid="{00000000-0005-0000-0000-0000151B0000}"/>
    <cellStyle name="Normal 11 3 3 2 2 2 2 2 2" xfId="39270" xr:uid="{00000000-0005-0000-0000-0000161B0000}"/>
    <cellStyle name="Normal 11 3 3 2 2 2 2 3" xfId="29413" xr:uid="{00000000-0005-0000-0000-0000171B0000}"/>
    <cellStyle name="Normal 11 3 3 2 2 2 3" xfId="14627" xr:uid="{00000000-0005-0000-0000-0000181B0000}"/>
    <cellStyle name="Normal 11 3 3 2 2 2 3 2" xfId="34342" xr:uid="{00000000-0005-0000-0000-0000191B0000}"/>
    <cellStyle name="Normal 11 3 3 2 2 2 4" xfId="24485" xr:uid="{00000000-0005-0000-0000-00001A1B0000}"/>
    <cellStyle name="Normal 11 3 3 2 2 3" xfId="7231" xr:uid="{00000000-0005-0000-0000-00001B1B0000}"/>
    <cellStyle name="Normal 11 3 3 2 2 3 2" xfId="17091" xr:uid="{00000000-0005-0000-0000-00001C1B0000}"/>
    <cellStyle name="Normal 11 3 3 2 2 3 2 2" xfId="36806" xr:uid="{00000000-0005-0000-0000-00001D1B0000}"/>
    <cellStyle name="Normal 11 3 3 2 2 3 3" xfId="26949" xr:uid="{00000000-0005-0000-0000-00001E1B0000}"/>
    <cellStyle name="Normal 11 3 3 2 2 4" xfId="12163" xr:uid="{00000000-0005-0000-0000-00001F1B0000}"/>
    <cellStyle name="Normal 11 3 3 2 2 4 2" xfId="31878" xr:uid="{00000000-0005-0000-0000-0000201B0000}"/>
    <cellStyle name="Normal 11 3 3 2 2 5" xfId="22021" xr:uid="{00000000-0005-0000-0000-0000211B0000}"/>
    <cellStyle name="Normal 11 3 3 2 3" xfId="3531" xr:uid="{00000000-0005-0000-0000-0000221B0000}"/>
    <cellStyle name="Normal 11 3 3 2 3 2" xfId="8463" xr:uid="{00000000-0005-0000-0000-0000231B0000}"/>
    <cellStyle name="Normal 11 3 3 2 3 2 2" xfId="18323" xr:uid="{00000000-0005-0000-0000-0000241B0000}"/>
    <cellStyle name="Normal 11 3 3 2 3 2 2 2" xfId="38038" xr:uid="{00000000-0005-0000-0000-0000251B0000}"/>
    <cellStyle name="Normal 11 3 3 2 3 2 3" xfId="28181" xr:uid="{00000000-0005-0000-0000-0000261B0000}"/>
    <cellStyle name="Normal 11 3 3 2 3 3" xfId="13395" xr:uid="{00000000-0005-0000-0000-0000271B0000}"/>
    <cellStyle name="Normal 11 3 3 2 3 3 2" xfId="33110" xr:uid="{00000000-0005-0000-0000-0000281B0000}"/>
    <cellStyle name="Normal 11 3 3 2 3 4" xfId="23253" xr:uid="{00000000-0005-0000-0000-0000291B0000}"/>
    <cellStyle name="Normal 11 3 3 2 4" xfId="5999" xr:uid="{00000000-0005-0000-0000-00002A1B0000}"/>
    <cellStyle name="Normal 11 3 3 2 4 2" xfId="15859" xr:uid="{00000000-0005-0000-0000-00002B1B0000}"/>
    <cellStyle name="Normal 11 3 3 2 4 2 2" xfId="35574" xr:uid="{00000000-0005-0000-0000-00002C1B0000}"/>
    <cellStyle name="Normal 11 3 3 2 4 3" xfId="25717" xr:uid="{00000000-0005-0000-0000-00002D1B0000}"/>
    <cellStyle name="Normal 11 3 3 2 5" xfId="10931" xr:uid="{00000000-0005-0000-0000-00002E1B0000}"/>
    <cellStyle name="Normal 11 3 3 2 5 2" xfId="30646" xr:uid="{00000000-0005-0000-0000-00002F1B0000}"/>
    <cellStyle name="Normal 11 3 3 2 6" xfId="20789" xr:uid="{00000000-0005-0000-0000-0000301B0000}"/>
    <cellStyle name="Normal 11 3 3 3" xfId="1680" xr:uid="{00000000-0005-0000-0000-0000311B0000}"/>
    <cellStyle name="Normal 11 3 3 3 2" xfId="4147" xr:uid="{00000000-0005-0000-0000-0000321B0000}"/>
    <cellStyle name="Normal 11 3 3 3 2 2" xfId="9079" xr:uid="{00000000-0005-0000-0000-0000331B0000}"/>
    <cellStyle name="Normal 11 3 3 3 2 2 2" xfId="18939" xr:uid="{00000000-0005-0000-0000-0000341B0000}"/>
    <cellStyle name="Normal 11 3 3 3 2 2 2 2" xfId="38654" xr:uid="{00000000-0005-0000-0000-0000351B0000}"/>
    <cellStyle name="Normal 11 3 3 3 2 2 3" xfId="28797" xr:uid="{00000000-0005-0000-0000-0000361B0000}"/>
    <cellStyle name="Normal 11 3 3 3 2 3" xfId="14011" xr:uid="{00000000-0005-0000-0000-0000371B0000}"/>
    <cellStyle name="Normal 11 3 3 3 2 3 2" xfId="33726" xr:uid="{00000000-0005-0000-0000-0000381B0000}"/>
    <cellStyle name="Normal 11 3 3 3 2 4" xfId="23869" xr:uid="{00000000-0005-0000-0000-0000391B0000}"/>
    <cellStyle name="Normal 11 3 3 3 3" xfId="6615" xr:uid="{00000000-0005-0000-0000-00003A1B0000}"/>
    <cellStyle name="Normal 11 3 3 3 3 2" xfId="16475" xr:uid="{00000000-0005-0000-0000-00003B1B0000}"/>
    <cellStyle name="Normal 11 3 3 3 3 2 2" xfId="36190" xr:uid="{00000000-0005-0000-0000-00003C1B0000}"/>
    <cellStyle name="Normal 11 3 3 3 3 3" xfId="26333" xr:uid="{00000000-0005-0000-0000-00003D1B0000}"/>
    <cellStyle name="Normal 11 3 3 3 4" xfId="11547" xr:uid="{00000000-0005-0000-0000-00003E1B0000}"/>
    <cellStyle name="Normal 11 3 3 3 4 2" xfId="31262" xr:uid="{00000000-0005-0000-0000-00003F1B0000}"/>
    <cellStyle name="Normal 11 3 3 3 5" xfId="21405" xr:uid="{00000000-0005-0000-0000-0000401B0000}"/>
    <cellStyle name="Normal 11 3 3 4" xfId="2915" xr:uid="{00000000-0005-0000-0000-0000411B0000}"/>
    <cellStyle name="Normal 11 3 3 4 2" xfId="7847" xr:uid="{00000000-0005-0000-0000-0000421B0000}"/>
    <cellStyle name="Normal 11 3 3 4 2 2" xfId="17707" xr:uid="{00000000-0005-0000-0000-0000431B0000}"/>
    <cellStyle name="Normal 11 3 3 4 2 2 2" xfId="37422" xr:uid="{00000000-0005-0000-0000-0000441B0000}"/>
    <cellStyle name="Normal 11 3 3 4 2 3" xfId="27565" xr:uid="{00000000-0005-0000-0000-0000451B0000}"/>
    <cellStyle name="Normal 11 3 3 4 3" xfId="12779" xr:uid="{00000000-0005-0000-0000-0000461B0000}"/>
    <cellStyle name="Normal 11 3 3 4 3 2" xfId="32494" xr:uid="{00000000-0005-0000-0000-0000471B0000}"/>
    <cellStyle name="Normal 11 3 3 4 4" xfId="22637" xr:uid="{00000000-0005-0000-0000-0000481B0000}"/>
    <cellStyle name="Normal 11 3 3 5" xfId="5383" xr:uid="{00000000-0005-0000-0000-0000491B0000}"/>
    <cellStyle name="Normal 11 3 3 5 2" xfId="15243" xr:uid="{00000000-0005-0000-0000-00004A1B0000}"/>
    <cellStyle name="Normal 11 3 3 5 2 2" xfId="34958" xr:uid="{00000000-0005-0000-0000-00004B1B0000}"/>
    <cellStyle name="Normal 11 3 3 5 3" xfId="25101" xr:uid="{00000000-0005-0000-0000-00004C1B0000}"/>
    <cellStyle name="Normal 11 3 3 6" xfId="10315" xr:uid="{00000000-0005-0000-0000-00004D1B0000}"/>
    <cellStyle name="Normal 11 3 3 6 2" xfId="30030" xr:uid="{00000000-0005-0000-0000-00004E1B0000}"/>
    <cellStyle name="Normal 11 3 3 7" xfId="20173" xr:uid="{00000000-0005-0000-0000-00004F1B0000}"/>
    <cellStyle name="Normal 11 3 4" xfId="754" xr:uid="{00000000-0005-0000-0000-0000501B0000}"/>
    <cellStyle name="Normal 11 3 4 2" xfId="1990" xr:uid="{00000000-0005-0000-0000-0000511B0000}"/>
    <cellStyle name="Normal 11 3 4 2 2" xfId="4457" xr:uid="{00000000-0005-0000-0000-0000521B0000}"/>
    <cellStyle name="Normal 11 3 4 2 2 2" xfId="9389" xr:uid="{00000000-0005-0000-0000-0000531B0000}"/>
    <cellStyle name="Normal 11 3 4 2 2 2 2" xfId="19249" xr:uid="{00000000-0005-0000-0000-0000541B0000}"/>
    <cellStyle name="Normal 11 3 4 2 2 2 2 2" xfId="38964" xr:uid="{00000000-0005-0000-0000-0000551B0000}"/>
    <cellStyle name="Normal 11 3 4 2 2 2 3" xfId="29107" xr:uid="{00000000-0005-0000-0000-0000561B0000}"/>
    <cellStyle name="Normal 11 3 4 2 2 3" xfId="14321" xr:uid="{00000000-0005-0000-0000-0000571B0000}"/>
    <cellStyle name="Normal 11 3 4 2 2 3 2" xfId="34036" xr:uid="{00000000-0005-0000-0000-0000581B0000}"/>
    <cellStyle name="Normal 11 3 4 2 2 4" xfId="24179" xr:uid="{00000000-0005-0000-0000-0000591B0000}"/>
    <cellStyle name="Normal 11 3 4 2 3" xfId="6925" xr:uid="{00000000-0005-0000-0000-00005A1B0000}"/>
    <cellStyle name="Normal 11 3 4 2 3 2" xfId="16785" xr:uid="{00000000-0005-0000-0000-00005B1B0000}"/>
    <cellStyle name="Normal 11 3 4 2 3 2 2" xfId="36500" xr:uid="{00000000-0005-0000-0000-00005C1B0000}"/>
    <cellStyle name="Normal 11 3 4 2 3 3" xfId="26643" xr:uid="{00000000-0005-0000-0000-00005D1B0000}"/>
    <cellStyle name="Normal 11 3 4 2 4" xfId="11857" xr:uid="{00000000-0005-0000-0000-00005E1B0000}"/>
    <cellStyle name="Normal 11 3 4 2 4 2" xfId="31572" xr:uid="{00000000-0005-0000-0000-00005F1B0000}"/>
    <cellStyle name="Normal 11 3 4 2 5" xfId="21715" xr:uid="{00000000-0005-0000-0000-0000601B0000}"/>
    <cellStyle name="Normal 11 3 4 3" xfId="3225" xr:uid="{00000000-0005-0000-0000-0000611B0000}"/>
    <cellStyle name="Normal 11 3 4 3 2" xfId="8157" xr:uid="{00000000-0005-0000-0000-0000621B0000}"/>
    <cellStyle name="Normal 11 3 4 3 2 2" xfId="18017" xr:uid="{00000000-0005-0000-0000-0000631B0000}"/>
    <cellStyle name="Normal 11 3 4 3 2 2 2" xfId="37732" xr:uid="{00000000-0005-0000-0000-0000641B0000}"/>
    <cellStyle name="Normal 11 3 4 3 2 3" xfId="27875" xr:uid="{00000000-0005-0000-0000-0000651B0000}"/>
    <cellStyle name="Normal 11 3 4 3 3" xfId="13089" xr:uid="{00000000-0005-0000-0000-0000661B0000}"/>
    <cellStyle name="Normal 11 3 4 3 3 2" xfId="32804" xr:uid="{00000000-0005-0000-0000-0000671B0000}"/>
    <cellStyle name="Normal 11 3 4 3 4" xfId="22947" xr:uid="{00000000-0005-0000-0000-0000681B0000}"/>
    <cellStyle name="Normal 11 3 4 4" xfId="5693" xr:uid="{00000000-0005-0000-0000-0000691B0000}"/>
    <cellStyle name="Normal 11 3 4 4 2" xfId="15553" xr:uid="{00000000-0005-0000-0000-00006A1B0000}"/>
    <cellStyle name="Normal 11 3 4 4 2 2" xfId="35268" xr:uid="{00000000-0005-0000-0000-00006B1B0000}"/>
    <cellStyle name="Normal 11 3 4 4 3" xfId="25411" xr:uid="{00000000-0005-0000-0000-00006C1B0000}"/>
    <cellStyle name="Normal 11 3 4 5" xfId="10625" xr:uid="{00000000-0005-0000-0000-00006D1B0000}"/>
    <cellStyle name="Normal 11 3 4 5 2" xfId="30340" xr:uid="{00000000-0005-0000-0000-00006E1B0000}"/>
    <cellStyle name="Normal 11 3 4 6" xfId="20483" xr:uid="{00000000-0005-0000-0000-00006F1B0000}"/>
    <cellStyle name="Normal 11 3 5" xfId="1374" xr:uid="{00000000-0005-0000-0000-0000701B0000}"/>
    <cellStyle name="Normal 11 3 5 2" xfId="3841" xr:uid="{00000000-0005-0000-0000-0000711B0000}"/>
    <cellStyle name="Normal 11 3 5 2 2" xfId="8773" xr:uid="{00000000-0005-0000-0000-0000721B0000}"/>
    <cellStyle name="Normal 11 3 5 2 2 2" xfId="18633" xr:uid="{00000000-0005-0000-0000-0000731B0000}"/>
    <cellStyle name="Normal 11 3 5 2 2 2 2" xfId="38348" xr:uid="{00000000-0005-0000-0000-0000741B0000}"/>
    <cellStyle name="Normal 11 3 5 2 2 3" xfId="28491" xr:uid="{00000000-0005-0000-0000-0000751B0000}"/>
    <cellStyle name="Normal 11 3 5 2 3" xfId="13705" xr:uid="{00000000-0005-0000-0000-0000761B0000}"/>
    <cellStyle name="Normal 11 3 5 2 3 2" xfId="33420" xr:uid="{00000000-0005-0000-0000-0000771B0000}"/>
    <cellStyle name="Normal 11 3 5 2 4" xfId="23563" xr:uid="{00000000-0005-0000-0000-0000781B0000}"/>
    <cellStyle name="Normal 11 3 5 3" xfId="6309" xr:uid="{00000000-0005-0000-0000-0000791B0000}"/>
    <cellStyle name="Normal 11 3 5 3 2" xfId="16169" xr:uid="{00000000-0005-0000-0000-00007A1B0000}"/>
    <cellStyle name="Normal 11 3 5 3 2 2" xfId="35884" xr:uid="{00000000-0005-0000-0000-00007B1B0000}"/>
    <cellStyle name="Normal 11 3 5 3 3" xfId="26027" xr:uid="{00000000-0005-0000-0000-00007C1B0000}"/>
    <cellStyle name="Normal 11 3 5 4" xfId="11241" xr:uid="{00000000-0005-0000-0000-00007D1B0000}"/>
    <cellStyle name="Normal 11 3 5 4 2" xfId="30956" xr:uid="{00000000-0005-0000-0000-00007E1B0000}"/>
    <cellStyle name="Normal 11 3 5 5" xfId="21099" xr:uid="{00000000-0005-0000-0000-00007F1B0000}"/>
    <cellStyle name="Normal 11 3 6" xfId="2609" xr:uid="{00000000-0005-0000-0000-0000801B0000}"/>
    <cellStyle name="Normal 11 3 6 2" xfId="7541" xr:uid="{00000000-0005-0000-0000-0000811B0000}"/>
    <cellStyle name="Normal 11 3 6 2 2" xfId="17401" xr:uid="{00000000-0005-0000-0000-0000821B0000}"/>
    <cellStyle name="Normal 11 3 6 2 2 2" xfId="37116" xr:uid="{00000000-0005-0000-0000-0000831B0000}"/>
    <cellStyle name="Normal 11 3 6 2 3" xfId="27259" xr:uid="{00000000-0005-0000-0000-0000841B0000}"/>
    <cellStyle name="Normal 11 3 6 3" xfId="12473" xr:uid="{00000000-0005-0000-0000-0000851B0000}"/>
    <cellStyle name="Normal 11 3 6 3 2" xfId="32188" xr:uid="{00000000-0005-0000-0000-0000861B0000}"/>
    <cellStyle name="Normal 11 3 6 4" xfId="22331" xr:uid="{00000000-0005-0000-0000-0000871B0000}"/>
    <cellStyle name="Normal 11 3 7" xfId="5077" xr:uid="{00000000-0005-0000-0000-0000881B0000}"/>
    <cellStyle name="Normal 11 3 7 2" xfId="14937" xr:uid="{00000000-0005-0000-0000-0000891B0000}"/>
    <cellStyle name="Normal 11 3 7 2 2" xfId="34652" xr:uid="{00000000-0005-0000-0000-00008A1B0000}"/>
    <cellStyle name="Normal 11 3 7 3" xfId="24795" xr:uid="{00000000-0005-0000-0000-00008B1B0000}"/>
    <cellStyle name="Normal 11 3 8" xfId="10009" xr:uid="{00000000-0005-0000-0000-00008C1B0000}"/>
    <cellStyle name="Normal 11 3 8 2" xfId="29724" xr:uid="{00000000-0005-0000-0000-00008D1B0000}"/>
    <cellStyle name="Normal 11 3 9" xfId="19867" xr:uid="{00000000-0005-0000-0000-00008E1B0000}"/>
    <cellStyle name="Normal 11 4" xfId="203" xr:uid="{00000000-0005-0000-0000-00008F1B0000}"/>
    <cellStyle name="Normal 11 4 2" xfId="517" xr:uid="{00000000-0005-0000-0000-0000901B0000}"/>
    <cellStyle name="Normal 11 4 2 2" xfId="1137" xr:uid="{00000000-0005-0000-0000-0000911B0000}"/>
    <cellStyle name="Normal 11 4 2 2 2" xfId="2372" xr:uid="{00000000-0005-0000-0000-0000921B0000}"/>
    <cellStyle name="Normal 11 4 2 2 2 2" xfId="4839" xr:uid="{00000000-0005-0000-0000-0000931B0000}"/>
    <cellStyle name="Normal 11 4 2 2 2 2 2" xfId="9771" xr:uid="{00000000-0005-0000-0000-0000941B0000}"/>
    <cellStyle name="Normal 11 4 2 2 2 2 2 2" xfId="19631" xr:uid="{00000000-0005-0000-0000-0000951B0000}"/>
    <cellStyle name="Normal 11 4 2 2 2 2 2 2 2" xfId="39346" xr:uid="{00000000-0005-0000-0000-0000961B0000}"/>
    <cellStyle name="Normal 11 4 2 2 2 2 2 3" xfId="29489" xr:uid="{00000000-0005-0000-0000-0000971B0000}"/>
    <cellStyle name="Normal 11 4 2 2 2 2 3" xfId="14703" xr:uid="{00000000-0005-0000-0000-0000981B0000}"/>
    <cellStyle name="Normal 11 4 2 2 2 2 3 2" xfId="34418" xr:uid="{00000000-0005-0000-0000-0000991B0000}"/>
    <cellStyle name="Normal 11 4 2 2 2 2 4" xfId="24561" xr:uid="{00000000-0005-0000-0000-00009A1B0000}"/>
    <cellStyle name="Normal 11 4 2 2 2 3" xfId="7307" xr:uid="{00000000-0005-0000-0000-00009B1B0000}"/>
    <cellStyle name="Normal 11 4 2 2 2 3 2" xfId="17167" xr:uid="{00000000-0005-0000-0000-00009C1B0000}"/>
    <cellStyle name="Normal 11 4 2 2 2 3 2 2" xfId="36882" xr:uid="{00000000-0005-0000-0000-00009D1B0000}"/>
    <cellStyle name="Normal 11 4 2 2 2 3 3" xfId="27025" xr:uid="{00000000-0005-0000-0000-00009E1B0000}"/>
    <cellStyle name="Normal 11 4 2 2 2 4" xfId="12239" xr:uid="{00000000-0005-0000-0000-00009F1B0000}"/>
    <cellStyle name="Normal 11 4 2 2 2 4 2" xfId="31954" xr:uid="{00000000-0005-0000-0000-0000A01B0000}"/>
    <cellStyle name="Normal 11 4 2 2 2 5" xfId="22097" xr:uid="{00000000-0005-0000-0000-0000A11B0000}"/>
    <cellStyle name="Normal 11 4 2 2 3" xfId="3607" xr:uid="{00000000-0005-0000-0000-0000A21B0000}"/>
    <cellStyle name="Normal 11 4 2 2 3 2" xfId="8539" xr:uid="{00000000-0005-0000-0000-0000A31B0000}"/>
    <cellStyle name="Normal 11 4 2 2 3 2 2" xfId="18399" xr:uid="{00000000-0005-0000-0000-0000A41B0000}"/>
    <cellStyle name="Normal 11 4 2 2 3 2 2 2" xfId="38114" xr:uid="{00000000-0005-0000-0000-0000A51B0000}"/>
    <cellStyle name="Normal 11 4 2 2 3 2 3" xfId="28257" xr:uid="{00000000-0005-0000-0000-0000A61B0000}"/>
    <cellStyle name="Normal 11 4 2 2 3 3" xfId="13471" xr:uid="{00000000-0005-0000-0000-0000A71B0000}"/>
    <cellStyle name="Normal 11 4 2 2 3 3 2" xfId="33186" xr:uid="{00000000-0005-0000-0000-0000A81B0000}"/>
    <cellStyle name="Normal 11 4 2 2 3 4" xfId="23329" xr:uid="{00000000-0005-0000-0000-0000A91B0000}"/>
    <cellStyle name="Normal 11 4 2 2 4" xfId="6075" xr:uid="{00000000-0005-0000-0000-0000AA1B0000}"/>
    <cellStyle name="Normal 11 4 2 2 4 2" xfId="15935" xr:uid="{00000000-0005-0000-0000-0000AB1B0000}"/>
    <cellStyle name="Normal 11 4 2 2 4 2 2" xfId="35650" xr:uid="{00000000-0005-0000-0000-0000AC1B0000}"/>
    <cellStyle name="Normal 11 4 2 2 4 3" xfId="25793" xr:uid="{00000000-0005-0000-0000-0000AD1B0000}"/>
    <cellStyle name="Normal 11 4 2 2 5" xfId="11007" xr:uid="{00000000-0005-0000-0000-0000AE1B0000}"/>
    <cellStyle name="Normal 11 4 2 2 5 2" xfId="30722" xr:uid="{00000000-0005-0000-0000-0000AF1B0000}"/>
    <cellStyle name="Normal 11 4 2 2 6" xfId="20865" xr:uid="{00000000-0005-0000-0000-0000B01B0000}"/>
    <cellStyle name="Normal 11 4 2 3" xfId="1756" xr:uid="{00000000-0005-0000-0000-0000B11B0000}"/>
    <cellStyle name="Normal 11 4 2 3 2" xfId="4223" xr:uid="{00000000-0005-0000-0000-0000B21B0000}"/>
    <cellStyle name="Normal 11 4 2 3 2 2" xfId="9155" xr:uid="{00000000-0005-0000-0000-0000B31B0000}"/>
    <cellStyle name="Normal 11 4 2 3 2 2 2" xfId="19015" xr:uid="{00000000-0005-0000-0000-0000B41B0000}"/>
    <cellStyle name="Normal 11 4 2 3 2 2 2 2" xfId="38730" xr:uid="{00000000-0005-0000-0000-0000B51B0000}"/>
    <cellStyle name="Normal 11 4 2 3 2 2 3" xfId="28873" xr:uid="{00000000-0005-0000-0000-0000B61B0000}"/>
    <cellStyle name="Normal 11 4 2 3 2 3" xfId="14087" xr:uid="{00000000-0005-0000-0000-0000B71B0000}"/>
    <cellStyle name="Normal 11 4 2 3 2 3 2" xfId="33802" xr:uid="{00000000-0005-0000-0000-0000B81B0000}"/>
    <cellStyle name="Normal 11 4 2 3 2 4" xfId="23945" xr:uid="{00000000-0005-0000-0000-0000B91B0000}"/>
    <cellStyle name="Normal 11 4 2 3 3" xfId="6691" xr:uid="{00000000-0005-0000-0000-0000BA1B0000}"/>
    <cellStyle name="Normal 11 4 2 3 3 2" xfId="16551" xr:uid="{00000000-0005-0000-0000-0000BB1B0000}"/>
    <cellStyle name="Normal 11 4 2 3 3 2 2" xfId="36266" xr:uid="{00000000-0005-0000-0000-0000BC1B0000}"/>
    <cellStyle name="Normal 11 4 2 3 3 3" xfId="26409" xr:uid="{00000000-0005-0000-0000-0000BD1B0000}"/>
    <cellStyle name="Normal 11 4 2 3 4" xfId="11623" xr:uid="{00000000-0005-0000-0000-0000BE1B0000}"/>
    <cellStyle name="Normal 11 4 2 3 4 2" xfId="31338" xr:uid="{00000000-0005-0000-0000-0000BF1B0000}"/>
    <cellStyle name="Normal 11 4 2 3 5" xfId="21481" xr:uid="{00000000-0005-0000-0000-0000C01B0000}"/>
    <cellStyle name="Normal 11 4 2 4" xfId="2991" xr:uid="{00000000-0005-0000-0000-0000C11B0000}"/>
    <cellStyle name="Normal 11 4 2 4 2" xfId="7923" xr:uid="{00000000-0005-0000-0000-0000C21B0000}"/>
    <cellStyle name="Normal 11 4 2 4 2 2" xfId="17783" xr:uid="{00000000-0005-0000-0000-0000C31B0000}"/>
    <cellStyle name="Normal 11 4 2 4 2 2 2" xfId="37498" xr:uid="{00000000-0005-0000-0000-0000C41B0000}"/>
    <cellStyle name="Normal 11 4 2 4 2 3" xfId="27641" xr:uid="{00000000-0005-0000-0000-0000C51B0000}"/>
    <cellStyle name="Normal 11 4 2 4 3" xfId="12855" xr:uid="{00000000-0005-0000-0000-0000C61B0000}"/>
    <cellStyle name="Normal 11 4 2 4 3 2" xfId="32570" xr:uid="{00000000-0005-0000-0000-0000C71B0000}"/>
    <cellStyle name="Normal 11 4 2 4 4" xfId="22713" xr:uid="{00000000-0005-0000-0000-0000C81B0000}"/>
    <cellStyle name="Normal 11 4 2 5" xfId="5459" xr:uid="{00000000-0005-0000-0000-0000C91B0000}"/>
    <cellStyle name="Normal 11 4 2 5 2" xfId="15319" xr:uid="{00000000-0005-0000-0000-0000CA1B0000}"/>
    <cellStyle name="Normal 11 4 2 5 2 2" xfId="35034" xr:uid="{00000000-0005-0000-0000-0000CB1B0000}"/>
    <cellStyle name="Normal 11 4 2 5 3" xfId="25177" xr:uid="{00000000-0005-0000-0000-0000CC1B0000}"/>
    <cellStyle name="Normal 11 4 2 6" xfId="10391" xr:uid="{00000000-0005-0000-0000-0000CD1B0000}"/>
    <cellStyle name="Normal 11 4 2 6 2" xfId="30106" xr:uid="{00000000-0005-0000-0000-0000CE1B0000}"/>
    <cellStyle name="Normal 11 4 2 7" xfId="20249" xr:uid="{00000000-0005-0000-0000-0000CF1B0000}"/>
    <cellStyle name="Normal 11 4 3" xfId="830" xr:uid="{00000000-0005-0000-0000-0000D01B0000}"/>
    <cellStyle name="Normal 11 4 3 2" xfId="2066" xr:uid="{00000000-0005-0000-0000-0000D11B0000}"/>
    <cellStyle name="Normal 11 4 3 2 2" xfId="4533" xr:uid="{00000000-0005-0000-0000-0000D21B0000}"/>
    <cellStyle name="Normal 11 4 3 2 2 2" xfId="9465" xr:uid="{00000000-0005-0000-0000-0000D31B0000}"/>
    <cellStyle name="Normal 11 4 3 2 2 2 2" xfId="19325" xr:uid="{00000000-0005-0000-0000-0000D41B0000}"/>
    <cellStyle name="Normal 11 4 3 2 2 2 2 2" xfId="39040" xr:uid="{00000000-0005-0000-0000-0000D51B0000}"/>
    <cellStyle name="Normal 11 4 3 2 2 2 3" xfId="29183" xr:uid="{00000000-0005-0000-0000-0000D61B0000}"/>
    <cellStyle name="Normal 11 4 3 2 2 3" xfId="14397" xr:uid="{00000000-0005-0000-0000-0000D71B0000}"/>
    <cellStyle name="Normal 11 4 3 2 2 3 2" xfId="34112" xr:uid="{00000000-0005-0000-0000-0000D81B0000}"/>
    <cellStyle name="Normal 11 4 3 2 2 4" xfId="24255" xr:uid="{00000000-0005-0000-0000-0000D91B0000}"/>
    <cellStyle name="Normal 11 4 3 2 3" xfId="7001" xr:uid="{00000000-0005-0000-0000-0000DA1B0000}"/>
    <cellStyle name="Normal 11 4 3 2 3 2" xfId="16861" xr:uid="{00000000-0005-0000-0000-0000DB1B0000}"/>
    <cellStyle name="Normal 11 4 3 2 3 2 2" xfId="36576" xr:uid="{00000000-0005-0000-0000-0000DC1B0000}"/>
    <cellStyle name="Normal 11 4 3 2 3 3" xfId="26719" xr:uid="{00000000-0005-0000-0000-0000DD1B0000}"/>
    <cellStyle name="Normal 11 4 3 2 4" xfId="11933" xr:uid="{00000000-0005-0000-0000-0000DE1B0000}"/>
    <cellStyle name="Normal 11 4 3 2 4 2" xfId="31648" xr:uid="{00000000-0005-0000-0000-0000DF1B0000}"/>
    <cellStyle name="Normal 11 4 3 2 5" xfId="21791" xr:uid="{00000000-0005-0000-0000-0000E01B0000}"/>
    <cellStyle name="Normal 11 4 3 3" xfId="3301" xr:uid="{00000000-0005-0000-0000-0000E11B0000}"/>
    <cellStyle name="Normal 11 4 3 3 2" xfId="8233" xr:uid="{00000000-0005-0000-0000-0000E21B0000}"/>
    <cellStyle name="Normal 11 4 3 3 2 2" xfId="18093" xr:uid="{00000000-0005-0000-0000-0000E31B0000}"/>
    <cellStyle name="Normal 11 4 3 3 2 2 2" xfId="37808" xr:uid="{00000000-0005-0000-0000-0000E41B0000}"/>
    <cellStyle name="Normal 11 4 3 3 2 3" xfId="27951" xr:uid="{00000000-0005-0000-0000-0000E51B0000}"/>
    <cellStyle name="Normal 11 4 3 3 3" xfId="13165" xr:uid="{00000000-0005-0000-0000-0000E61B0000}"/>
    <cellStyle name="Normal 11 4 3 3 3 2" xfId="32880" xr:uid="{00000000-0005-0000-0000-0000E71B0000}"/>
    <cellStyle name="Normal 11 4 3 3 4" xfId="23023" xr:uid="{00000000-0005-0000-0000-0000E81B0000}"/>
    <cellStyle name="Normal 11 4 3 4" xfId="5769" xr:uid="{00000000-0005-0000-0000-0000E91B0000}"/>
    <cellStyle name="Normal 11 4 3 4 2" xfId="15629" xr:uid="{00000000-0005-0000-0000-0000EA1B0000}"/>
    <cellStyle name="Normal 11 4 3 4 2 2" xfId="35344" xr:uid="{00000000-0005-0000-0000-0000EB1B0000}"/>
    <cellStyle name="Normal 11 4 3 4 3" xfId="25487" xr:uid="{00000000-0005-0000-0000-0000EC1B0000}"/>
    <cellStyle name="Normal 11 4 3 5" xfId="10701" xr:uid="{00000000-0005-0000-0000-0000ED1B0000}"/>
    <cellStyle name="Normal 11 4 3 5 2" xfId="30416" xr:uid="{00000000-0005-0000-0000-0000EE1B0000}"/>
    <cellStyle name="Normal 11 4 3 6" xfId="20559" xr:uid="{00000000-0005-0000-0000-0000EF1B0000}"/>
    <cellStyle name="Normal 11 4 4" xfId="1450" xr:uid="{00000000-0005-0000-0000-0000F01B0000}"/>
    <cellStyle name="Normal 11 4 4 2" xfId="3917" xr:uid="{00000000-0005-0000-0000-0000F11B0000}"/>
    <cellStyle name="Normal 11 4 4 2 2" xfId="8849" xr:uid="{00000000-0005-0000-0000-0000F21B0000}"/>
    <cellStyle name="Normal 11 4 4 2 2 2" xfId="18709" xr:uid="{00000000-0005-0000-0000-0000F31B0000}"/>
    <cellStyle name="Normal 11 4 4 2 2 2 2" xfId="38424" xr:uid="{00000000-0005-0000-0000-0000F41B0000}"/>
    <cellStyle name="Normal 11 4 4 2 2 3" xfId="28567" xr:uid="{00000000-0005-0000-0000-0000F51B0000}"/>
    <cellStyle name="Normal 11 4 4 2 3" xfId="13781" xr:uid="{00000000-0005-0000-0000-0000F61B0000}"/>
    <cellStyle name="Normal 11 4 4 2 3 2" xfId="33496" xr:uid="{00000000-0005-0000-0000-0000F71B0000}"/>
    <cellStyle name="Normal 11 4 4 2 4" xfId="23639" xr:uid="{00000000-0005-0000-0000-0000F81B0000}"/>
    <cellStyle name="Normal 11 4 4 3" xfId="6385" xr:uid="{00000000-0005-0000-0000-0000F91B0000}"/>
    <cellStyle name="Normal 11 4 4 3 2" xfId="16245" xr:uid="{00000000-0005-0000-0000-0000FA1B0000}"/>
    <cellStyle name="Normal 11 4 4 3 2 2" xfId="35960" xr:uid="{00000000-0005-0000-0000-0000FB1B0000}"/>
    <cellStyle name="Normal 11 4 4 3 3" xfId="26103" xr:uid="{00000000-0005-0000-0000-0000FC1B0000}"/>
    <cellStyle name="Normal 11 4 4 4" xfId="11317" xr:uid="{00000000-0005-0000-0000-0000FD1B0000}"/>
    <cellStyle name="Normal 11 4 4 4 2" xfId="31032" xr:uid="{00000000-0005-0000-0000-0000FE1B0000}"/>
    <cellStyle name="Normal 11 4 4 5" xfId="21175" xr:uid="{00000000-0005-0000-0000-0000FF1B0000}"/>
    <cellStyle name="Normal 11 4 5" xfId="2685" xr:uid="{00000000-0005-0000-0000-0000001C0000}"/>
    <cellStyle name="Normal 11 4 5 2" xfId="7617" xr:uid="{00000000-0005-0000-0000-0000011C0000}"/>
    <cellStyle name="Normal 11 4 5 2 2" xfId="17477" xr:uid="{00000000-0005-0000-0000-0000021C0000}"/>
    <cellStyle name="Normal 11 4 5 2 2 2" xfId="37192" xr:uid="{00000000-0005-0000-0000-0000031C0000}"/>
    <cellStyle name="Normal 11 4 5 2 3" xfId="27335" xr:uid="{00000000-0005-0000-0000-0000041C0000}"/>
    <cellStyle name="Normal 11 4 5 3" xfId="12549" xr:uid="{00000000-0005-0000-0000-0000051C0000}"/>
    <cellStyle name="Normal 11 4 5 3 2" xfId="32264" xr:uid="{00000000-0005-0000-0000-0000061C0000}"/>
    <cellStyle name="Normal 11 4 5 4" xfId="22407" xr:uid="{00000000-0005-0000-0000-0000071C0000}"/>
    <cellStyle name="Normal 11 4 6" xfId="5153" xr:uid="{00000000-0005-0000-0000-0000081C0000}"/>
    <cellStyle name="Normal 11 4 6 2" xfId="15013" xr:uid="{00000000-0005-0000-0000-0000091C0000}"/>
    <cellStyle name="Normal 11 4 6 2 2" xfId="34728" xr:uid="{00000000-0005-0000-0000-00000A1C0000}"/>
    <cellStyle name="Normal 11 4 6 3" xfId="24871" xr:uid="{00000000-0005-0000-0000-00000B1C0000}"/>
    <cellStyle name="Normal 11 4 7" xfId="10085" xr:uid="{00000000-0005-0000-0000-00000C1C0000}"/>
    <cellStyle name="Normal 11 4 7 2" xfId="29800" xr:uid="{00000000-0005-0000-0000-00000D1C0000}"/>
    <cellStyle name="Normal 11 4 8" xfId="19943" xr:uid="{00000000-0005-0000-0000-00000E1C0000}"/>
    <cellStyle name="Normal 11 5" xfId="365" xr:uid="{00000000-0005-0000-0000-00000F1C0000}"/>
    <cellStyle name="Normal 11 5 2" xfId="985" xr:uid="{00000000-0005-0000-0000-0000101C0000}"/>
    <cellStyle name="Normal 11 5 2 2" xfId="2220" xr:uid="{00000000-0005-0000-0000-0000111C0000}"/>
    <cellStyle name="Normal 11 5 2 2 2" xfId="4687" xr:uid="{00000000-0005-0000-0000-0000121C0000}"/>
    <cellStyle name="Normal 11 5 2 2 2 2" xfId="9619" xr:uid="{00000000-0005-0000-0000-0000131C0000}"/>
    <cellStyle name="Normal 11 5 2 2 2 2 2" xfId="19479" xr:uid="{00000000-0005-0000-0000-0000141C0000}"/>
    <cellStyle name="Normal 11 5 2 2 2 2 2 2" xfId="39194" xr:uid="{00000000-0005-0000-0000-0000151C0000}"/>
    <cellStyle name="Normal 11 5 2 2 2 2 3" xfId="29337" xr:uid="{00000000-0005-0000-0000-0000161C0000}"/>
    <cellStyle name="Normal 11 5 2 2 2 3" xfId="14551" xr:uid="{00000000-0005-0000-0000-0000171C0000}"/>
    <cellStyle name="Normal 11 5 2 2 2 3 2" xfId="34266" xr:uid="{00000000-0005-0000-0000-0000181C0000}"/>
    <cellStyle name="Normal 11 5 2 2 2 4" xfId="24409" xr:uid="{00000000-0005-0000-0000-0000191C0000}"/>
    <cellStyle name="Normal 11 5 2 2 3" xfId="7155" xr:uid="{00000000-0005-0000-0000-00001A1C0000}"/>
    <cellStyle name="Normal 11 5 2 2 3 2" xfId="17015" xr:uid="{00000000-0005-0000-0000-00001B1C0000}"/>
    <cellStyle name="Normal 11 5 2 2 3 2 2" xfId="36730" xr:uid="{00000000-0005-0000-0000-00001C1C0000}"/>
    <cellStyle name="Normal 11 5 2 2 3 3" xfId="26873" xr:uid="{00000000-0005-0000-0000-00001D1C0000}"/>
    <cellStyle name="Normal 11 5 2 2 4" xfId="12087" xr:uid="{00000000-0005-0000-0000-00001E1C0000}"/>
    <cellStyle name="Normal 11 5 2 2 4 2" xfId="31802" xr:uid="{00000000-0005-0000-0000-00001F1C0000}"/>
    <cellStyle name="Normal 11 5 2 2 5" xfId="21945" xr:uid="{00000000-0005-0000-0000-0000201C0000}"/>
    <cellStyle name="Normal 11 5 2 3" xfId="3455" xr:uid="{00000000-0005-0000-0000-0000211C0000}"/>
    <cellStyle name="Normal 11 5 2 3 2" xfId="8387" xr:uid="{00000000-0005-0000-0000-0000221C0000}"/>
    <cellStyle name="Normal 11 5 2 3 2 2" xfId="18247" xr:uid="{00000000-0005-0000-0000-0000231C0000}"/>
    <cellStyle name="Normal 11 5 2 3 2 2 2" xfId="37962" xr:uid="{00000000-0005-0000-0000-0000241C0000}"/>
    <cellStyle name="Normal 11 5 2 3 2 3" xfId="28105" xr:uid="{00000000-0005-0000-0000-0000251C0000}"/>
    <cellStyle name="Normal 11 5 2 3 3" xfId="13319" xr:uid="{00000000-0005-0000-0000-0000261C0000}"/>
    <cellStyle name="Normal 11 5 2 3 3 2" xfId="33034" xr:uid="{00000000-0005-0000-0000-0000271C0000}"/>
    <cellStyle name="Normal 11 5 2 3 4" xfId="23177" xr:uid="{00000000-0005-0000-0000-0000281C0000}"/>
    <cellStyle name="Normal 11 5 2 4" xfId="5923" xr:uid="{00000000-0005-0000-0000-0000291C0000}"/>
    <cellStyle name="Normal 11 5 2 4 2" xfId="15783" xr:uid="{00000000-0005-0000-0000-00002A1C0000}"/>
    <cellStyle name="Normal 11 5 2 4 2 2" xfId="35498" xr:uid="{00000000-0005-0000-0000-00002B1C0000}"/>
    <cellStyle name="Normal 11 5 2 4 3" xfId="25641" xr:uid="{00000000-0005-0000-0000-00002C1C0000}"/>
    <cellStyle name="Normal 11 5 2 5" xfId="10855" xr:uid="{00000000-0005-0000-0000-00002D1C0000}"/>
    <cellStyle name="Normal 11 5 2 5 2" xfId="30570" xr:uid="{00000000-0005-0000-0000-00002E1C0000}"/>
    <cellStyle name="Normal 11 5 2 6" xfId="20713" xr:uid="{00000000-0005-0000-0000-00002F1C0000}"/>
    <cellStyle name="Normal 11 5 3" xfId="1604" xr:uid="{00000000-0005-0000-0000-0000301C0000}"/>
    <cellStyle name="Normal 11 5 3 2" xfId="4071" xr:uid="{00000000-0005-0000-0000-0000311C0000}"/>
    <cellStyle name="Normal 11 5 3 2 2" xfId="9003" xr:uid="{00000000-0005-0000-0000-0000321C0000}"/>
    <cellStyle name="Normal 11 5 3 2 2 2" xfId="18863" xr:uid="{00000000-0005-0000-0000-0000331C0000}"/>
    <cellStyle name="Normal 11 5 3 2 2 2 2" xfId="38578" xr:uid="{00000000-0005-0000-0000-0000341C0000}"/>
    <cellStyle name="Normal 11 5 3 2 2 3" xfId="28721" xr:uid="{00000000-0005-0000-0000-0000351C0000}"/>
    <cellStyle name="Normal 11 5 3 2 3" xfId="13935" xr:uid="{00000000-0005-0000-0000-0000361C0000}"/>
    <cellStyle name="Normal 11 5 3 2 3 2" xfId="33650" xr:uid="{00000000-0005-0000-0000-0000371C0000}"/>
    <cellStyle name="Normal 11 5 3 2 4" xfId="23793" xr:uid="{00000000-0005-0000-0000-0000381C0000}"/>
    <cellStyle name="Normal 11 5 3 3" xfId="6539" xr:uid="{00000000-0005-0000-0000-0000391C0000}"/>
    <cellStyle name="Normal 11 5 3 3 2" xfId="16399" xr:uid="{00000000-0005-0000-0000-00003A1C0000}"/>
    <cellStyle name="Normal 11 5 3 3 2 2" xfId="36114" xr:uid="{00000000-0005-0000-0000-00003B1C0000}"/>
    <cellStyle name="Normal 11 5 3 3 3" xfId="26257" xr:uid="{00000000-0005-0000-0000-00003C1C0000}"/>
    <cellStyle name="Normal 11 5 3 4" xfId="11471" xr:uid="{00000000-0005-0000-0000-00003D1C0000}"/>
    <cellStyle name="Normal 11 5 3 4 2" xfId="31186" xr:uid="{00000000-0005-0000-0000-00003E1C0000}"/>
    <cellStyle name="Normal 11 5 3 5" xfId="21329" xr:uid="{00000000-0005-0000-0000-00003F1C0000}"/>
    <cellStyle name="Normal 11 5 4" xfId="2839" xr:uid="{00000000-0005-0000-0000-0000401C0000}"/>
    <cellStyle name="Normal 11 5 4 2" xfId="7771" xr:uid="{00000000-0005-0000-0000-0000411C0000}"/>
    <cellStyle name="Normal 11 5 4 2 2" xfId="17631" xr:uid="{00000000-0005-0000-0000-0000421C0000}"/>
    <cellStyle name="Normal 11 5 4 2 2 2" xfId="37346" xr:uid="{00000000-0005-0000-0000-0000431C0000}"/>
    <cellStyle name="Normal 11 5 4 2 3" xfId="27489" xr:uid="{00000000-0005-0000-0000-0000441C0000}"/>
    <cellStyle name="Normal 11 5 4 3" xfId="12703" xr:uid="{00000000-0005-0000-0000-0000451C0000}"/>
    <cellStyle name="Normal 11 5 4 3 2" xfId="32418" xr:uid="{00000000-0005-0000-0000-0000461C0000}"/>
    <cellStyle name="Normal 11 5 4 4" xfId="22561" xr:uid="{00000000-0005-0000-0000-0000471C0000}"/>
    <cellStyle name="Normal 11 5 5" xfId="5307" xr:uid="{00000000-0005-0000-0000-0000481C0000}"/>
    <cellStyle name="Normal 11 5 5 2" xfId="15167" xr:uid="{00000000-0005-0000-0000-0000491C0000}"/>
    <cellStyle name="Normal 11 5 5 2 2" xfId="34882" xr:uid="{00000000-0005-0000-0000-00004A1C0000}"/>
    <cellStyle name="Normal 11 5 5 3" xfId="25025" xr:uid="{00000000-0005-0000-0000-00004B1C0000}"/>
    <cellStyle name="Normal 11 5 6" xfId="10239" xr:uid="{00000000-0005-0000-0000-00004C1C0000}"/>
    <cellStyle name="Normal 11 5 6 2" xfId="29954" xr:uid="{00000000-0005-0000-0000-00004D1C0000}"/>
    <cellStyle name="Normal 11 5 7" xfId="20097" xr:uid="{00000000-0005-0000-0000-00004E1C0000}"/>
    <cellStyle name="Normal 11 6" xfId="678" xr:uid="{00000000-0005-0000-0000-00004F1C0000}"/>
    <cellStyle name="Normal 11 6 2" xfId="1914" xr:uid="{00000000-0005-0000-0000-0000501C0000}"/>
    <cellStyle name="Normal 11 6 2 2" xfId="4381" xr:uid="{00000000-0005-0000-0000-0000511C0000}"/>
    <cellStyle name="Normal 11 6 2 2 2" xfId="9313" xr:uid="{00000000-0005-0000-0000-0000521C0000}"/>
    <cellStyle name="Normal 11 6 2 2 2 2" xfId="19173" xr:uid="{00000000-0005-0000-0000-0000531C0000}"/>
    <cellStyle name="Normal 11 6 2 2 2 2 2" xfId="38888" xr:uid="{00000000-0005-0000-0000-0000541C0000}"/>
    <cellStyle name="Normal 11 6 2 2 2 3" xfId="29031" xr:uid="{00000000-0005-0000-0000-0000551C0000}"/>
    <cellStyle name="Normal 11 6 2 2 3" xfId="14245" xr:uid="{00000000-0005-0000-0000-0000561C0000}"/>
    <cellStyle name="Normal 11 6 2 2 3 2" xfId="33960" xr:uid="{00000000-0005-0000-0000-0000571C0000}"/>
    <cellStyle name="Normal 11 6 2 2 4" xfId="24103" xr:uid="{00000000-0005-0000-0000-0000581C0000}"/>
    <cellStyle name="Normal 11 6 2 3" xfId="6849" xr:uid="{00000000-0005-0000-0000-0000591C0000}"/>
    <cellStyle name="Normal 11 6 2 3 2" xfId="16709" xr:uid="{00000000-0005-0000-0000-00005A1C0000}"/>
    <cellStyle name="Normal 11 6 2 3 2 2" xfId="36424" xr:uid="{00000000-0005-0000-0000-00005B1C0000}"/>
    <cellStyle name="Normal 11 6 2 3 3" xfId="26567" xr:uid="{00000000-0005-0000-0000-00005C1C0000}"/>
    <cellStyle name="Normal 11 6 2 4" xfId="11781" xr:uid="{00000000-0005-0000-0000-00005D1C0000}"/>
    <cellStyle name="Normal 11 6 2 4 2" xfId="31496" xr:uid="{00000000-0005-0000-0000-00005E1C0000}"/>
    <cellStyle name="Normal 11 6 2 5" xfId="21639" xr:uid="{00000000-0005-0000-0000-00005F1C0000}"/>
    <cellStyle name="Normal 11 6 3" xfId="3149" xr:uid="{00000000-0005-0000-0000-0000601C0000}"/>
    <cellStyle name="Normal 11 6 3 2" xfId="8081" xr:uid="{00000000-0005-0000-0000-0000611C0000}"/>
    <cellStyle name="Normal 11 6 3 2 2" xfId="17941" xr:uid="{00000000-0005-0000-0000-0000621C0000}"/>
    <cellStyle name="Normal 11 6 3 2 2 2" xfId="37656" xr:uid="{00000000-0005-0000-0000-0000631C0000}"/>
    <cellStyle name="Normal 11 6 3 2 3" xfId="27799" xr:uid="{00000000-0005-0000-0000-0000641C0000}"/>
    <cellStyle name="Normal 11 6 3 3" xfId="13013" xr:uid="{00000000-0005-0000-0000-0000651C0000}"/>
    <cellStyle name="Normal 11 6 3 3 2" xfId="32728" xr:uid="{00000000-0005-0000-0000-0000661C0000}"/>
    <cellStyle name="Normal 11 6 3 4" xfId="22871" xr:uid="{00000000-0005-0000-0000-0000671C0000}"/>
    <cellStyle name="Normal 11 6 4" xfId="5617" xr:uid="{00000000-0005-0000-0000-0000681C0000}"/>
    <cellStyle name="Normal 11 6 4 2" xfId="15477" xr:uid="{00000000-0005-0000-0000-0000691C0000}"/>
    <cellStyle name="Normal 11 6 4 2 2" xfId="35192" xr:uid="{00000000-0005-0000-0000-00006A1C0000}"/>
    <cellStyle name="Normal 11 6 4 3" xfId="25335" xr:uid="{00000000-0005-0000-0000-00006B1C0000}"/>
    <cellStyle name="Normal 11 6 5" xfId="10549" xr:uid="{00000000-0005-0000-0000-00006C1C0000}"/>
    <cellStyle name="Normal 11 6 5 2" xfId="30264" xr:uid="{00000000-0005-0000-0000-00006D1C0000}"/>
    <cellStyle name="Normal 11 6 6" xfId="20407" xr:uid="{00000000-0005-0000-0000-00006E1C0000}"/>
    <cellStyle name="Normal 11 7" xfId="1298" xr:uid="{00000000-0005-0000-0000-00006F1C0000}"/>
    <cellStyle name="Normal 11 7 2" xfId="3765" xr:uid="{00000000-0005-0000-0000-0000701C0000}"/>
    <cellStyle name="Normal 11 7 2 2" xfId="8697" xr:uid="{00000000-0005-0000-0000-0000711C0000}"/>
    <cellStyle name="Normal 11 7 2 2 2" xfId="18557" xr:uid="{00000000-0005-0000-0000-0000721C0000}"/>
    <cellStyle name="Normal 11 7 2 2 2 2" xfId="38272" xr:uid="{00000000-0005-0000-0000-0000731C0000}"/>
    <cellStyle name="Normal 11 7 2 2 3" xfId="28415" xr:uid="{00000000-0005-0000-0000-0000741C0000}"/>
    <cellStyle name="Normal 11 7 2 3" xfId="13629" xr:uid="{00000000-0005-0000-0000-0000751C0000}"/>
    <cellStyle name="Normal 11 7 2 3 2" xfId="33344" xr:uid="{00000000-0005-0000-0000-0000761C0000}"/>
    <cellStyle name="Normal 11 7 2 4" xfId="23487" xr:uid="{00000000-0005-0000-0000-0000771C0000}"/>
    <cellStyle name="Normal 11 7 3" xfId="6233" xr:uid="{00000000-0005-0000-0000-0000781C0000}"/>
    <cellStyle name="Normal 11 7 3 2" xfId="16093" xr:uid="{00000000-0005-0000-0000-0000791C0000}"/>
    <cellStyle name="Normal 11 7 3 2 2" xfId="35808" xr:uid="{00000000-0005-0000-0000-00007A1C0000}"/>
    <cellStyle name="Normal 11 7 3 3" xfId="25951" xr:uid="{00000000-0005-0000-0000-00007B1C0000}"/>
    <cellStyle name="Normal 11 7 4" xfId="11165" xr:uid="{00000000-0005-0000-0000-00007C1C0000}"/>
    <cellStyle name="Normal 11 7 4 2" xfId="30880" xr:uid="{00000000-0005-0000-0000-00007D1C0000}"/>
    <cellStyle name="Normal 11 7 5" xfId="21023" xr:uid="{00000000-0005-0000-0000-00007E1C0000}"/>
    <cellStyle name="Normal 11 8" xfId="2533" xr:uid="{00000000-0005-0000-0000-00007F1C0000}"/>
    <cellStyle name="Normal 11 8 2" xfId="7465" xr:uid="{00000000-0005-0000-0000-0000801C0000}"/>
    <cellStyle name="Normal 11 8 2 2" xfId="17325" xr:uid="{00000000-0005-0000-0000-0000811C0000}"/>
    <cellStyle name="Normal 11 8 2 2 2" xfId="37040" xr:uid="{00000000-0005-0000-0000-0000821C0000}"/>
    <cellStyle name="Normal 11 8 2 3" xfId="27183" xr:uid="{00000000-0005-0000-0000-0000831C0000}"/>
    <cellStyle name="Normal 11 8 3" xfId="12397" xr:uid="{00000000-0005-0000-0000-0000841C0000}"/>
    <cellStyle name="Normal 11 8 3 2" xfId="32112" xr:uid="{00000000-0005-0000-0000-0000851C0000}"/>
    <cellStyle name="Normal 11 8 4" xfId="22255" xr:uid="{00000000-0005-0000-0000-0000861C0000}"/>
    <cellStyle name="Normal 11 9" xfId="5001" xr:uid="{00000000-0005-0000-0000-0000871C0000}"/>
    <cellStyle name="Normal 11 9 2" xfId="14861" xr:uid="{00000000-0005-0000-0000-0000881C0000}"/>
    <cellStyle name="Normal 11 9 2 2" xfId="34576" xr:uid="{00000000-0005-0000-0000-0000891C0000}"/>
    <cellStyle name="Normal 11 9 3" xfId="24719" xr:uid="{00000000-0005-0000-0000-00008A1C0000}"/>
    <cellStyle name="Normal 12" xfId="61" xr:uid="{00000000-0005-0000-0000-00008B1C0000}"/>
    <cellStyle name="Normal 12 2" xfId="98" xr:uid="{00000000-0005-0000-0000-00008C1C0000}"/>
    <cellStyle name="Normal 13" xfId="57" xr:uid="{00000000-0005-0000-0000-00008D1C0000}"/>
    <cellStyle name="Normal 13 10" xfId="19810" xr:uid="{00000000-0005-0000-0000-00008E1C0000}"/>
    <cellStyle name="Normal 13 2" xfId="141" xr:uid="{00000000-0005-0000-0000-00008F1C0000}"/>
    <cellStyle name="Normal 13 2 2" xfId="298" xr:uid="{00000000-0005-0000-0000-0000901C0000}"/>
    <cellStyle name="Normal 13 2 2 2" xfId="612" xr:uid="{00000000-0005-0000-0000-0000911C0000}"/>
    <cellStyle name="Normal 13 2 2 2 2" xfId="1232" xr:uid="{00000000-0005-0000-0000-0000921C0000}"/>
    <cellStyle name="Normal 13 2 2 2 2 2" xfId="2467" xr:uid="{00000000-0005-0000-0000-0000931C0000}"/>
    <cellStyle name="Normal 13 2 2 2 2 2 2" xfId="4934" xr:uid="{00000000-0005-0000-0000-0000941C0000}"/>
    <cellStyle name="Normal 13 2 2 2 2 2 2 2" xfId="9866" xr:uid="{00000000-0005-0000-0000-0000951C0000}"/>
    <cellStyle name="Normal 13 2 2 2 2 2 2 2 2" xfId="19726" xr:uid="{00000000-0005-0000-0000-0000961C0000}"/>
    <cellStyle name="Normal 13 2 2 2 2 2 2 2 2 2" xfId="39441" xr:uid="{00000000-0005-0000-0000-0000971C0000}"/>
    <cellStyle name="Normal 13 2 2 2 2 2 2 2 3" xfId="29584" xr:uid="{00000000-0005-0000-0000-0000981C0000}"/>
    <cellStyle name="Normal 13 2 2 2 2 2 2 3" xfId="14798" xr:uid="{00000000-0005-0000-0000-0000991C0000}"/>
    <cellStyle name="Normal 13 2 2 2 2 2 2 3 2" xfId="34513" xr:uid="{00000000-0005-0000-0000-00009A1C0000}"/>
    <cellStyle name="Normal 13 2 2 2 2 2 2 4" xfId="24656" xr:uid="{00000000-0005-0000-0000-00009B1C0000}"/>
    <cellStyle name="Normal 13 2 2 2 2 2 3" xfId="7402" xr:uid="{00000000-0005-0000-0000-00009C1C0000}"/>
    <cellStyle name="Normal 13 2 2 2 2 2 3 2" xfId="17262" xr:uid="{00000000-0005-0000-0000-00009D1C0000}"/>
    <cellStyle name="Normal 13 2 2 2 2 2 3 2 2" xfId="36977" xr:uid="{00000000-0005-0000-0000-00009E1C0000}"/>
    <cellStyle name="Normal 13 2 2 2 2 2 3 3" xfId="27120" xr:uid="{00000000-0005-0000-0000-00009F1C0000}"/>
    <cellStyle name="Normal 13 2 2 2 2 2 4" xfId="12334" xr:uid="{00000000-0005-0000-0000-0000A01C0000}"/>
    <cellStyle name="Normal 13 2 2 2 2 2 4 2" xfId="32049" xr:uid="{00000000-0005-0000-0000-0000A11C0000}"/>
    <cellStyle name="Normal 13 2 2 2 2 2 5" xfId="22192" xr:uid="{00000000-0005-0000-0000-0000A21C0000}"/>
    <cellStyle name="Normal 13 2 2 2 2 3" xfId="3702" xr:uid="{00000000-0005-0000-0000-0000A31C0000}"/>
    <cellStyle name="Normal 13 2 2 2 2 3 2" xfId="8634" xr:uid="{00000000-0005-0000-0000-0000A41C0000}"/>
    <cellStyle name="Normal 13 2 2 2 2 3 2 2" xfId="18494" xr:uid="{00000000-0005-0000-0000-0000A51C0000}"/>
    <cellStyle name="Normal 13 2 2 2 2 3 2 2 2" xfId="38209" xr:uid="{00000000-0005-0000-0000-0000A61C0000}"/>
    <cellStyle name="Normal 13 2 2 2 2 3 2 3" xfId="28352" xr:uid="{00000000-0005-0000-0000-0000A71C0000}"/>
    <cellStyle name="Normal 13 2 2 2 2 3 3" xfId="13566" xr:uid="{00000000-0005-0000-0000-0000A81C0000}"/>
    <cellStyle name="Normal 13 2 2 2 2 3 3 2" xfId="33281" xr:uid="{00000000-0005-0000-0000-0000A91C0000}"/>
    <cellStyle name="Normal 13 2 2 2 2 3 4" xfId="23424" xr:uid="{00000000-0005-0000-0000-0000AA1C0000}"/>
    <cellStyle name="Normal 13 2 2 2 2 4" xfId="6170" xr:uid="{00000000-0005-0000-0000-0000AB1C0000}"/>
    <cellStyle name="Normal 13 2 2 2 2 4 2" xfId="16030" xr:uid="{00000000-0005-0000-0000-0000AC1C0000}"/>
    <cellStyle name="Normal 13 2 2 2 2 4 2 2" xfId="35745" xr:uid="{00000000-0005-0000-0000-0000AD1C0000}"/>
    <cellStyle name="Normal 13 2 2 2 2 4 3" xfId="25888" xr:uid="{00000000-0005-0000-0000-0000AE1C0000}"/>
    <cellStyle name="Normal 13 2 2 2 2 5" xfId="11102" xr:uid="{00000000-0005-0000-0000-0000AF1C0000}"/>
    <cellStyle name="Normal 13 2 2 2 2 5 2" xfId="30817" xr:uid="{00000000-0005-0000-0000-0000B01C0000}"/>
    <cellStyle name="Normal 13 2 2 2 2 6" xfId="20960" xr:uid="{00000000-0005-0000-0000-0000B11C0000}"/>
    <cellStyle name="Normal 13 2 2 2 3" xfId="1851" xr:uid="{00000000-0005-0000-0000-0000B21C0000}"/>
    <cellStyle name="Normal 13 2 2 2 3 2" xfId="4318" xr:uid="{00000000-0005-0000-0000-0000B31C0000}"/>
    <cellStyle name="Normal 13 2 2 2 3 2 2" xfId="9250" xr:uid="{00000000-0005-0000-0000-0000B41C0000}"/>
    <cellStyle name="Normal 13 2 2 2 3 2 2 2" xfId="19110" xr:uid="{00000000-0005-0000-0000-0000B51C0000}"/>
    <cellStyle name="Normal 13 2 2 2 3 2 2 2 2" xfId="38825" xr:uid="{00000000-0005-0000-0000-0000B61C0000}"/>
    <cellStyle name="Normal 13 2 2 2 3 2 2 3" xfId="28968" xr:uid="{00000000-0005-0000-0000-0000B71C0000}"/>
    <cellStyle name="Normal 13 2 2 2 3 2 3" xfId="14182" xr:uid="{00000000-0005-0000-0000-0000B81C0000}"/>
    <cellStyle name="Normal 13 2 2 2 3 2 3 2" xfId="33897" xr:uid="{00000000-0005-0000-0000-0000B91C0000}"/>
    <cellStyle name="Normal 13 2 2 2 3 2 4" xfId="24040" xr:uid="{00000000-0005-0000-0000-0000BA1C0000}"/>
    <cellStyle name="Normal 13 2 2 2 3 3" xfId="6786" xr:uid="{00000000-0005-0000-0000-0000BB1C0000}"/>
    <cellStyle name="Normal 13 2 2 2 3 3 2" xfId="16646" xr:uid="{00000000-0005-0000-0000-0000BC1C0000}"/>
    <cellStyle name="Normal 13 2 2 2 3 3 2 2" xfId="36361" xr:uid="{00000000-0005-0000-0000-0000BD1C0000}"/>
    <cellStyle name="Normal 13 2 2 2 3 3 3" xfId="26504" xr:uid="{00000000-0005-0000-0000-0000BE1C0000}"/>
    <cellStyle name="Normal 13 2 2 2 3 4" xfId="11718" xr:uid="{00000000-0005-0000-0000-0000BF1C0000}"/>
    <cellStyle name="Normal 13 2 2 2 3 4 2" xfId="31433" xr:uid="{00000000-0005-0000-0000-0000C01C0000}"/>
    <cellStyle name="Normal 13 2 2 2 3 5" xfId="21576" xr:uid="{00000000-0005-0000-0000-0000C11C0000}"/>
    <cellStyle name="Normal 13 2 2 2 4" xfId="3086" xr:uid="{00000000-0005-0000-0000-0000C21C0000}"/>
    <cellStyle name="Normal 13 2 2 2 4 2" xfId="8018" xr:uid="{00000000-0005-0000-0000-0000C31C0000}"/>
    <cellStyle name="Normal 13 2 2 2 4 2 2" xfId="17878" xr:uid="{00000000-0005-0000-0000-0000C41C0000}"/>
    <cellStyle name="Normal 13 2 2 2 4 2 2 2" xfId="37593" xr:uid="{00000000-0005-0000-0000-0000C51C0000}"/>
    <cellStyle name="Normal 13 2 2 2 4 2 3" xfId="27736" xr:uid="{00000000-0005-0000-0000-0000C61C0000}"/>
    <cellStyle name="Normal 13 2 2 2 4 3" xfId="12950" xr:uid="{00000000-0005-0000-0000-0000C71C0000}"/>
    <cellStyle name="Normal 13 2 2 2 4 3 2" xfId="32665" xr:uid="{00000000-0005-0000-0000-0000C81C0000}"/>
    <cellStyle name="Normal 13 2 2 2 4 4" xfId="22808" xr:uid="{00000000-0005-0000-0000-0000C91C0000}"/>
    <cellStyle name="Normal 13 2 2 2 5" xfId="5554" xr:uid="{00000000-0005-0000-0000-0000CA1C0000}"/>
    <cellStyle name="Normal 13 2 2 2 5 2" xfId="15414" xr:uid="{00000000-0005-0000-0000-0000CB1C0000}"/>
    <cellStyle name="Normal 13 2 2 2 5 2 2" xfId="35129" xr:uid="{00000000-0005-0000-0000-0000CC1C0000}"/>
    <cellStyle name="Normal 13 2 2 2 5 3" xfId="25272" xr:uid="{00000000-0005-0000-0000-0000CD1C0000}"/>
    <cellStyle name="Normal 13 2 2 2 6" xfId="10486" xr:uid="{00000000-0005-0000-0000-0000CE1C0000}"/>
    <cellStyle name="Normal 13 2 2 2 6 2" xfId="30201" xr:uid="{00000000-0005-0000-0000-0000CF1C0000}"/>
    <cellStyle name="Normal 13 2 2 2 7" xfId="20344" xr:uid="{00000000-0005-0000-0000-0000D01C0000}"/>
    <cellStyle name="Normal 13 2 2 3" xfId="925" xr:uid="{00000000-0005-0000-0000-0000D11C0000}"/>
    <cellStyle name="Normal 13 2 2 3 2" xfId="2161" xr:uid="{00000000-0005-0000-0000-0000D21C0000}"/>
    <cellStyle name="Normal 13 2 2 3 2 2" xfId="4628" xr:uid="{00000000-0005-0000-0000-0000D31C0000}"/>
    <cellStyle name="Normal 13 2 2 3 2 2 2" xfId="9560" xr:uid="{00000000-0005-0000-0000-0000D41C0000}"/>
    <cellStyle name="Normal 13 2 2 3 2 2 2 2" xfId="19420" xr:uid="{00000000-0005-0000-0000-0000D51C0000}"/>
    <cellStyle name="Normal 13 2 2 3 2 2 2 2 2" xfId="39135" xr:uid="{00000000-0005-0000-0000-0000D61C0000}"/>
    <cellStyle name="Normal 13 2 2 3 2 2 2 3" xfId="29278" xr:uid="{00000000-0005-0000-0000-0000D71C0000}"/>
    <cellStyle name="Normal 13 2 2 3 2 2 3" xfId="14492" xr:uid="{00000000-0005-0000-0000-0000D81C0000}"/>
    <cellStyle name="Normal 13 2 2 3 2 2 3 2" xfId="34207" xr:uid="{00000000-0005-0000-0000-0000D91C0000}"/>
    <cellStyle name="Normal 13 2 2 3 2 2 4" xfId="24350" xr:uid="{00000000-0005-0000-0000-0000DA1C0000}"/>
    <cellStyle name="Normal 13 2 2 3 2 3" xfId="7096" xr:uid="{00000000-0005-0000-0000-0000DB1C0000}"/>
    <cellStyle name="Normal 13 2 2 3 2 3 2" xfId="16956" xr:uid="{00000000-0005-0000-0000-0000DC1C0000}"/>
    <cellStyle name="Normal 13 2 2 3 2 3 2 2" xfId="36671" xr:uid="{00000000-0005-0000-0000-0000DD1C0000}"/>
    <cellStyle name="Normal 13 2 2 3 2 3 3" xfId="26814" xr:uid="{00000000-0005-0000-0000-0000DE1C0000}"/>
    <cellStyle name="Normal 13 2 2 3 2 4" xfId="12028" xr:uid="{00000000-0005-0000-0000-0000DF1C0000}"/>
    <cellStyle name="Normal 13 2 2 3 2 4 2" xfId="31743" xr:uid="{00000000-0005-0000-0000-0000E01C0000}"/>
    <cellStyle name="Normal 13 2 2 3 2 5" xfId="21886" xr:uid="{00000000-0005-0000-0000-0000E11C0000}"/>
    <cellStyle name="Normal 13 2 2 3 3" xfId="3396" xr:uid="{00000000-0005-0000-0000-0000E21C0000}"/>
    <cellStyle name="Normal 13 2 2 3 3 2" xfId="8328" xr:uid="{00000000-0005-0000-0000-0000E31C0000}"/>
    <cellStyle name="Normal 13 2 2 3 3 2 2" xfId="18188" xr:uid="{00000000-0005-0000-0000-0000E41C0000}"/>
    <cellStyle name="Normal 13 2 2 3 3 2 2 2" xfId="37903" xr:uid="{00000000-0005-0000-0000-0000E51C0000}"/>
    <cellStyle name="Normal 13 2 2 3 3 2 3" xfId="28046" xr:uid="{00000000-0005-0000-0000-0000E61C0000}"/>
    <cellStyle name="Normal 13 2 2 3 3 3" xfId="13260" xr:uid="{00000000-0005-0000-0000-0000E71C0000}"/>
    <cellStyle name="Normal 13 2 2 3 3 3 2" xfId="32975" xr:uid="{00000000-0005-0000-0000-0000E81C0000}"/>
    <cellStyle name="Normal 13 2 2 3 3 4" xfId="23118" xr:uid="{00000000-0005-0000-0000-0000E91C0000}"/>
    <cellStyle name="Normal 13 2 2 3 4" xfId="5864" xr:uid="{00000000-0005-0000-0000-0000EA1C0000}"/>
    <cellStyle name="Normal 13 2 2 3 4 2" xfId="15724" xr:uid="{00000000-0005-0000-0000-0000EB1C0000}"/>
    <cellStyle name="Normal 13 2 2 3 4 2 2" xfId="35439" xr:uid="{00000000-0005-0000-0000-0000EC1C0000}"/>
    <cellStyle name="Normal 13 2 2 3 4 3" xfId="25582" xr:uid="{00000000-0005-0000-0000-0000ED1C0000}"/>
    <cellStyle name="Normal 13 2 2 3 5" xfId="10796" xr:uid="{00000000-0005-0000-0000-0000EE1C0000}"/>
    <cellStyle name="Normal 13 2 2 3 5 2" xfId="30511" xr:uid="{00000000-0005-0000-0000-0000EF1C0000}"/>
    <cellStyle name="Normal 13 2 2 3 6" xfId="20654" xr:uid="{00000000-0005-0000-0000-0000F01C0000}"/>
    <cellStyle name="Normal 13 2 2 4" xfId="1545" xr:uid="{00000000-0005-0000-0000-0000F11C0000}"/>
    <cellStyle name="Normal 13 2 2 4 2" xfId="4012" xr:uid="{00000000-0005-0000-0000-0000F21C0000}"/>
    <cellStyle name="Normal 13 2 2 4 2 2" xfId="8944" xr:uid="{00000000-0005-0000-0000-0000F31C0000}"/>
    <cellStyle name="Normal 13 2 2 4 2 2 2" xfId="18804" xr:uid="{00000000-0005-0000-0000-0000F41C0000}"/>
    <cellStyle name="Normal 13 2 2 4 2 2 2 2" xfId="38519" xr:uid="{00000000-0005-0000-0000-0000F51C0000}"/>
    <cellStyle name="Normal 13 2 2 4 2 2 3" xfId="28662" xr:uid="{00000000-0005-0000-0000-0000F61C0000}"/>
    <cellStyle name="Normal 13 2 2 4 2 3" xfId="13876" xr:uid="{00000000-0005-0000-0000-0000F71C0000}"/>
    <cellStyle name="Normal 13 2 2 4 2 3 2" xfId="33591" xr:uid="{00000000-0005-0000-0000-0000F81C0000}"/>
    <cellStyle name="Normal 13 2 2 4 2 4" xfId="23734" xr:uid="{00000000-0005-0000-0000-0000F91C0000}"/>
    <cellStyle name="Normal 13 2 2 4 3" xfId="6480" xr:uid="{00000000-0005-0000-0000-0000FA1C0000}"/>
    <cellStyle name="Normal 13 2 2 4 3 2" xfId="16340" xr:uid="{00000000-0005-0000-0000-0000FB1C0000}"/>
    <cellStyle name="Normal 13 2 2 4 3 2 2" xfId="36055" xr:uid="{00000000-0005-0000-0000-0000FC1C0000}"/>
    <cellStyle name="Normal 13 2 2 4 3 3" xfId="26198" xr:uid="{00000000-0005-0000-0000-0000FD1C0000}"/>
    <cellStyle name="Normal 13 2 2 4 4" xfId="11412" xr:uid="{00000000-0005-0000-0000-0000FE1C0000}"/>
    <cellStyle name="Normal 13 2 2 4 4 2" xfId="31127" xr:uid="{00000000-0005-0000-0000-0000FF1C0000}"/>
    <cellStyle name="Normal 13 2 2 4 5" xfId="21270" xr:uid="{00000000-0005-0000-0000-0000001D0000}"/>
    <cellStyle name="Normal 13 2 2 5" xfId="2780" xr:uid="{00000000-0005-0000-0000-0000011D0000}"/>
    <cellStyle name="Normal 13 2 2 5 2" xfId="7712" xr:uid="{00000000-0005-0000-0000-0000021D0000}"/>
    <cellStyle name="Normal 13 2 2 5 2 2" xfId="17572" xr:uid="{00000000-0005-0000-0000-0000031D0000}"/>
    <cellStyle name="Normal 13 2 2 5 2 2 2" xfId="37287" xr:uid="{00000000-0005-0000-0000-0000041D0000}"/>
    <cellStyle name="Normal 13 2 2 5 2 3" xfId="27430" xr:uid="{00000000-0005-0000-0000-0000051D0000}"/>
    <cellStyle name="Normal 13 2 2 5 3" xfId="12644" xr:uid="{00000000-0005-0000-0000-0000061D0000}"/>
    <cellStyle name="Normal 13 2 2 5 3 2" xfId="32359" xr:uid="{00000000-0005-0000-0000-0000071D0000}"/>
    <cellStyle name="Normal 13 2 2 5 4" xfId="22502" xr:uid="{00000000-0005-0000-0000-0000081D0000}"/>
    <cellStyle name="Normal 13 2 2 6" xfId="5248" xr:uid="{00000000-0005-0000-0000-0000091D0000}"/>
    <cellStyle name="Normal 13 2 2 6 2" xfId="15108" xr:uid="{00000000-0005-0000-0000-00000A1D0000}"/>
    <cellStyle name="Normal 13 2 2 6 2 2" xfId="34823" xr:uid="{00000000-0005-0000-0000-00000B1D0000}"/>
    <cellStyle name="Normal 13 2 2 6 3" xfId="24966" xr:uid="{00000000-0005-0000-0000-00000C1D0000}"/>
    <cellStyle name="Normal 13 2 2 7" xfId="10180" xr:uid="{00000000-0005-0000-0000-00000D1D0000}"/>
    <cellStyle name="Normal 13 2 2 7 2" xfId="29895" xr:uid="{00000000-0005-0000-0000-00000E1D0000}"/>
    <cellStyle name="Normal 13 2 2 8" xfId="20038" xr:uid="{00000000-0005-0000-0000-00000F1D0000}"/>
    <cellStyle name="Normal 13 2 3" xfId="460" xr:uid="{00000000-0005-0000-0000-0000101D0000}"/>
    <cellStyle name="Normal 13 2 3 2" xfId="1080" xr:uid="{00000000-0005-0000-0000-0000111D0000}"/>
    <cellStyle name="Normal 13 2 3 2 2" xfId="2315" xr:uid="{00000000-0005-0000-0000-0000121D0000}"/>
    <cellStyle name="Normal 13 2 3 2 2 2" xfId="4782" xr:uid="{00000000-0005-0000-0000-0000131D0000}"/>
    <cellStyle name="Normal 13 2 3 2 2 2 2" xfId="9714" xr:uid="{00000000-0005-0000-0000-0000141D0000}"/>
    <cellStyle name="Normal 13 2 3 2 2 2 2 2" xfId="19574" xr:uid="{00000000-0005-0000-0000-0000151D0000}"/>
    <cellStyle name="Normal 13 2 3 2 2 2 2 2 2" xfId="39289" xr:uid="{00000000-0005-0000-0000-0000161D0000}"/>
    <cellStyle name="Normal 13 2 3 2 2 2 2 3" xfId="29432" xr:uid="{00000000-0005-0000-0000-0000171D0000}"/>
    <cellStyle name="Normal 13 2 3 2 2 2 3" xfId="14646" xr:uid="{00000000-0005-0000-0000-0000181D0000}"/>
    <cellStyle name="Normal 13 2 3 2 2 2 3 2" xfId="34361" xr:uid="{00000000-0005-0000-0000-0000191D0000}"/>
    <cellStyle name="Normal 13 2 3 2 2 2 4" xfId="24504" xr:uid="{00000000-0005-0000-0000-00001A1D0000}"/>
    <cellStyle name="Normal 13 2 3 2 2 3" xfId="7250" xr:uid="{00000000-0005-0000-0000-00001B1D0000}"/>
    <cellStyle name="Normal 13 2 3 2 2 3 2" xfId="17110" xr:uid="{00000000-0005-0000-0000-00001C1D0000}"/>
    <cellStyle name="Normal 13 2 3 2 2 3 2 2" xfId="36825" xr:uid="{00000000-0005-0000-0000-00001D1D0000}"/>
    <cellStyle name="Normal 13 2 3 2 2 3 3" xfId="26968" xr:uid="{00000000-0005-0000-0000-00001E1D0000}"/>
    <cellStyle name="Normal 13 2 3 2 2 4" xfId="12182" xr:uid="{00000000-0005-0000-0000-00001F1D0000}"/>
    <cellStyle name="Normal 13 2 3 2 2 4 2" xfId="31897" xr:uid="{00000000-0005-0000-0000-0000201D0000}"/>
    <cellStyle name="Normal 13 2 3 2 2 5" xfId="22040" xr:uid="{00000000-0005-0000-0000-0000211D0000}"/>
    <cellStyle name="Normal 13 2 3 2 3" xfId="3550" xr:uid="{00000000-0005-0000-0000-0000221D0000}"/>
    <cellStyle name="Normal 13 2 3 2 3 2" xfId="8482" xr:uid="{00000000-0005-0000-0000-0000231D0000}"/>
    <cellStyle name="Normal 13 2 3 2 3 2 2" xfId="18342" xr:uid="{00000000-0005-0000-0000-0000241D0000}"/>
    <cellStyle name="Normal 13 2 3 2 3 2 2 2" xfId="38057" xr:uid="{00000000-0005-0000-0000-0000251D0000}"/>
    <cellStyle name="Normal 13 2 3 2 3 2 3" xfId="28200" xr:uid="{00000000-0005-0000-0000-0000261D0000}"/>
    <cellStyle name="Normal 13 2 3 2 3 3" xfId="13414" xr:uid="{00000000-0005-0000-0000-0000271D0000}"/>
    <cellStyle name="Normal 13 2 3 2 3 3 2" xfId="33129" xr:uid="{00000000-0005-0000-0000-0000281D0000}"/>
    <cellStyle name="Normal 13 2 3 2 3 4" xfId="23272" xr:uid="{00000000-0005-0000-0000-0000291D0000}"/>
    <cellStyle name="Normal 13 2 3 2 4" xfId="6018" xr:uid="{00000000-0005-0000-0000-00002A1D0000}"/>
    <cellStyle name="Normal 13 2 3 2 4 2" xfId="15878" xr:uid="{00000000-0005-0000-0000-00002B1D0000}"/>
    <cellStyle name="Normal 13 2 3 2 4 2 2" xfId="35593" xr:uid="{00000000-0005-0000-0000-00002C1D0000}"/>
    <cellStyle name="Normal 13 2 3 2 4 3" xfId="25736" xr:uid="{00000000-0005-0000-0000-00002D1D0000}"/>
    <cellStyle name="Normal 13 2 3 2 5" xfId="10950" xr:uid="{00000000-0005-0000-0000-00002E1D0000}"/>
    <cellStyle name="Normal 13 2 3 2 5 2" xfId="30665" xr:uid="{00000000-0005-0000-0000-00002F1D0000}"/>
    <cellStyle name="Normal 13 2 3 2 6" xfId="20808" xr:uid="{00000000-0005-0000-0000-0000301D0000}"/>
    <cellStyle name="Normal 13 2 3 3" xfId="1699" xr:uid="{00000000-0005-0000-0000-0000311D0000}"/>
    <cellStyle name="Normal 13 2 3 3 2" xfId="4166" xr:uid="{00000000-0005-0000-0000-0000321D0000}"/>
    <cellStyle name="Normal 13 2 3 3 2 2" xfId="9098" xr:uid="{00000000-0005-0000-0000-0000331D0000}"/>
    <cellStyle name="Normal 13 2 3 3 2 2 2" xfId="18958" xr:uid="{00000000-0005-0000-0000-0000341D0000}"/>
    <cellStyle name="Normal 13 2 3 3 2 2 2 2" xfId="38673" xr:uid="{00000000-0005-0000-0000-0000351D0000}"/>
    <cellStyle name="Normal 13 2 3 3 2 2 3" xfId="28816" xr:uid="{00000000-0005-0000-0000-0000361D0000}"/>
    <cellStyle name="Normal 13 2 3 3 2 3" xfId="14030" xr:uid="{00000000-0005-0000-0000-0000371D0000}"/>
    <cellStyle name="Normal 13 2 3 3 2 3 2" xfId="33745" xr:uid="{00000000-0005-0000-0000-0000381D0000}"/>
    <cellStyle name="Normal 13 2 3 3 2 4" xfId="23888" xr:uid="{00000000-0005-0000-0000-0000391D0000}"/>
    <cellStyle name="Normal 13 2 3 3 3" xfId="6634" xr:uid="{00000000-0005-0000-0000-00003A1D0000}"/>
    <cellStyle name="Normal 13 2 3 3 3 2" xfId="16494" xr:uid="{00000000-0005-0000-0000-00003B1D0000}"/>
    <cellStyle name="Normal 13 2 3 3 3 2 2" xfId="36209" xr:uid="{00000000-0005-0000-0000-00003C1D0000}"/>
    <cellStyle name="Normal 13 2 3 3 3 3" xfId="26352" xr:uid="{00000000-0005-0000-0000-00003D1D0000}"/>
    <cellStyle name="Normal 13 2 3 3 4" xfId="11566" xr:uid="{00000000-0005-0000-0000-00003E1D0000}"/>
    <cellStyle name="Normal 13 2 3 3 4 2" xfId="31281" xr:uid="{00000000-0005-0000-0000-00003F1D0000}"/>
    <cellStyle name="Normal 13 2 3 3 5" xfId="21424" xr:uid="{00000000-0005-0000-0000-0000401D0000}"/>
    <cellStyle name="Normal 13 2 3 4" xfId="2934" xr:uid="{00000000-0005-0000-0000-0000411D0000}"/>
    <cellStyle name="Normal 13 2 3 4 2" xfId="7866" xr:uid="{00000000-0005-0000-0000-0000421D0000}"/>
    <cellStyle name="Normal 13 2 3 4 2 2" xfId="17726" xr:uid="{00000000-0005-0000-0000-0000431D0000}"/>
    <cellStyle name="Normal 13 2 3 4 2 2 2" xfId="37441" xr:uid="{00000000-0005-0000-0000-0000441D0000}"/>
    <cellStyle name="Normal 13 2 3 4 2 3" xfId="27584" xr:uid="{00000000-0005-0000-0000-0000451D0000}"/>
    <cellStyle name="Normal 13 2 3 4 3" xfId="12798" xr:uid="{00000000-0005-0000-0000-0000461D0000}"/>
    <cellStyle name="Normal 13 2 3 4 3 2" xfId="32513" xr:uid="{00000000-0005-0000-0000-0000471D0000}"/>
    <cellStyle name="Normal 13 2 3 4 4" xfId="22656" xr:uid="{00000000-0005-0000-0000-0000481D0000}"/>
    <cellStyle name="Normal 13 2 3 5" xfId="5402" xr:uid="{00000000-0005-0000-0000-0000491D0000}"/>
    <cellStyle name="Normal 13 2 3 5 2" xfId="15262" xr:uid="{00000000-0005-0000-0000-00004A1D0000}"/>
    <cellStyle name="Normal 13 2 3 5 2 2" xfId="34977" xr:uid="{00000000-0005-0000-0000-00004B1D0000}"/>
    <cellStyle name="Normal 13 2 3 5 3" xfId="25120" xr:uid="{00000000-0005-0000-0000-00004C1D0000}"/>
    <cellStyle name="Normal 13 2 3 6" xfId="10334" xr:uid="{00000000-0005-0000-0000-00004D1D0000}"/>
    <cellStyle name="Normal 13 2 3 6 2" xfId="30049" xr:uid="{00000000-0005-0000-0000-00004E1D0000}"/>
    <cellStyle name="Normal 13 2 3 7" xfId="20192" xr:uid="{00000000-0005-0000-0000-00004F1D0000}"/>
    <cellStyle name="Normal 13 2 4" xfId="773" xr:uid="{00000000-0005-0000-0000-0000501D0000}"/>
    <cellStyle name="Normal 13 2 4 2" xfId="2009" xr:uid="{00000000-0005-0000-0000-0000511D0000}"/>
    <cellStyle name="Normal 13 2 4 2 2" xfId="4476" xr:uid="{00000000-0005-0000-0000-0000521D0000}"/>
    <cellStyle name="Normal 13 2 4 2 2 2" xfId="9408" xr:uid="{00000000-0005-0000-0000-0000531D0000}"/>
    <cellStyle name="Normal 13 2 4 2 2 2 2" xfId="19268" xr:uid="{00000000-0005-0000-0000-0000541D0000}"/>
    <cellStyle name="Normal 13 2 4 2 2 2 2 2" xfId="38983" xr:uid="{00000000-0005-0000-0000-0000551D0000}"/>
    <cellStyle name="Normal 13 2 4 2 2 2 3" xfId="29126" xr:uid="{00000000-0005-0000-0000-0000561D0000}"/>
    <cellStyle name="Normal 13 2 4 2 2 3" xfId="14340" xr:uid="{00000000-0005-0000-0000-0000571D0000}"/>
    <cellStyle name="Normal 13 2 4 2 2 3 2" xfId="34055" xr:uid="{00000000-0005-0000-0000-0000581D0000}"/>
    <cellStyle name="Normal 13 2 4 2 2 4" xfId="24198" xr:uid="{00000000-0005-0000-0000-0000591D0000}"/>
    <cellStyle name="Normal 13 2 4 2 3" xfId="6944" xr:uid="{00000000-0005-0000-0000-00005A1D0000}"/>
    <cellStyle name="Normal 13 2 4 2 3 2" xfId="16804" xr:uid="{00000000-0005-0000-0000-00005B1D0000}"/>
    <cellStyle name="Normal 13 2 4 2 3 2 2" xfId="36519" xr:uid="{00000000-0005-0000-0000-00005C1D0000}"/>
    <cellStyle name="Normal 13 2 4 2 3 3" xfId="26662" xr:uid="{00000000-0005-0000-0000-00005D1D0000}"/>
    <cellStyle name="Normal 13 2 4 2 4" xfId="11876" xr:uid="{00000000-0005-0000-0000-00005E1D0000}"/>
    <cellStyle name="Normal 13 2 4 2 4 2" xfId="31591" xr:uid="{00000000-0005-0000-0000-00005F1D0000}"/>
    <cellStyle name="Normal 13 2 4 2 5" xfId="21734" xr:uid="{00000000-0005-0000-0000-0000601D0000}"/>
    <cellStyle name="Normal 13 2 4 3" xfId="3244" xr:uid="{00000000-0005-0000-0000-0000611D0000}"/>
    <cellStyle name="Normal 13 2 4 3 2" xfId="8176" xr:uid="{00000000-0005-0000-0000-0000621D0000}"/>
    <cellStyle name="Normal 13 2 4 3 2 2" xfId="18036" xr:uid="{00000000-0005-0000-0000-0000631D0000}"/>
    <cellStyle name="Normal 13 2 4 3 2 2 2" xfId="37751" xr:uid="{00000000-0005-0000-0000-0000641D0000}"/>
    <cellStyle name="Normal 13 2 4 3 2 3" xfId="27894" xr:uid="{00000000-0005-0000-0000-0000651D0000}"/>
    <cellStyle name="Normal 13 2 4 3 3" xfId="13108" xr:uid="{00000000-0005-0000-0000-0000661D0000}"/>
    <cellStyle name="Normal 13 2 4 3 3 2" xfId="32823" xr:uid="{00000000-0005-0000-0000-0000671D0000}"/>
    <cellStyle name="Normal 13 2 4 3 4" xfId="22966" xr:uid="{00000000-0005-0000-0000-0000681D0000}"/>
    <cellStyle name="Normal 13 2 4 4" xfId="5712" xr:uid="{00000000-0005-0000-0000-0000691D0000}"/>
    <cellStyle name="Normal 13 2 4 4 2" xfId="15572" xr:uid="{00000000-0005-0000-0000-00006A1D0000}"/>
    <cellStyle name="Normal 13 2 4 4 2 2" xfId="35287" xr:uid="{00000000-0005-0000-0000-00006B1D0000}"/>
    <cellStyle name="Normal 13 2 4 4 3" xfId="25430" xr:uid="{00000000-0005-0000-0000-00006C1D0000}"/>
    <cellStyle name="Normal 13 2 4 5" xfId="10644" xr:uid="{00000000-0005-0000-0000-00006D1D0000}"/>
    <cellStyle name="Normal 13 2 4 5 2" xfId="30359" xr:uid="{00000000-0005-0000-0000-00006E1D0000}"/>
    <cellStyle name="Normal 13 2 4 6" xfId="20502" xr:uid="{00000000-0005-0000-0000-00006F1D0000}"/>
    <cellStyle name="Normal 13 2 5" xfId="1393" xr:uid="{00000000-0005-0000-0000-0000701D0000}"/>
    <cellStyle name="Normal 13 2 5 2" xfId="3860" xr:uid="{00000000-0005-0000-0000-0000711D0000}"/>
    <cellStyle name="Normal 13 2 5 2 2" xfId="8792" xr:uid="{00000000-0005-0000-0000-0000721D0000}"/>
    <cellStyle name="Normal 13 2 5 2 2 2" xfId="18652" xr:uid="{00000000-0005-0000-0000-0000731D0000}"/>
    <cellStyle name="Normal 13 2 5 2 2 2 2" xfId="38367" xr:uid="{00000000-0005-0000-0000-0000741D0000}"/>
    <cellStyle name="Normal 13 2 5 2 2 3" xfId="28510" xr:uid="{00000000-0005-0000-0000-0000751D0000}"/>
    <cellStyle name="Normal 13 2 5 2 3" xfId="13724" xr:uid="{00000000-0005-0000-0000-0000761D0000}"/>
    <cellStyle name="Normal 13 2 5 2 3 2" xfId="33439" xr:uid="{00000000-0005-0000-0000-0000771D0000}"/>
    <cellStyle name="Normal 13 2 5 2 4" xfId="23582" xr:uid="{00000000-0005-0000-0000-0000781D0000}"/>
    <cellStyle name="Normal 13 2 5 3" xfId="6328" xr:uid="{00000000-0005-0000-0000-0000791D0000}"/>
    <cellStyle name="Normal 13 2 5 3 2" xfId="16188" xr:uid="{00000000-0005-0000-0000-00007A1D0000}"/>
    <cellStyle name="Normal 13 2 5 3 2 2" xfId="35903" xr:uid="{00000000-0005-0000-0000-00007B1D0000}"/>
    <cellStyle name="Normal 13 2 5 3 3" xfId="26046" xr:uid="{00000000-0005-0000-0000-00007C1D0000}"/>
    <cellStyle name="Normal 13 2 5 4" xfId="11260" xr:uid="{00000000-0005-0000-0000-00007D1D0000}"/>
    <cellStyle name="Normal 13 2 5 4 2" xfId="30975" xr:uid="{00000000-0005-0000-0000-00007E1D0000}"/>
    <cellStyle name="Normal 13 2 5 5" xfId="21118" xr:uid="{00000000-0005-0000-0000-00007F1D0000}"/>
    <cellStyle name="Normal 13 2 6" xfId="2628" xr:uid="{00000000-0005-0000-0000-0000801D0000}"/>
    <cellStyle name="Normal 13 2 6 2" xfId="7560" xr:uid="{00000000-0005-0000-0000-0000811D0000}"/>
    <cellStyle name="Normal 13 2 6 2 2" xfId="17420" xr:uid="{00000000-0005-0000-0000-0000821D0000}"/>
    <cellStyle name="Normal 13 2 6 2 2 2" xfId="37135" xr:uid="{00000000-0005-0000-0000-0000831D0000}"/>
    <cellStyle name="Normal 13 2 6 2 3" xfId="27278" xr:uid="{00000000-0005-0000-0000-0000841D0000}"/>
    <cellStyle name="Normal 13 2 6 3" xfId="12492" xr:uid="{00000000-0005-0000-0000-0000851D0000}"/>
    <cellStyle name="Normal 13 2 6 3 2" xfId="32207" xr:uid="{00000000-0005-0000-0000-0000861D0000}"/>
    <cellStyle name="Normal 13 2 6 4" xfId="22350" xr:uid="{00000000-0005-0000-0000-0000871D0000}"/>
    <cellStyle name="Normal 13 2 7" xfId="5096" xr:uid="{00000000-0005-0000-0000-0000881D0000}"/>
    <cellStyle name="Normal 13 2 7 2" xfId="14956" xr:uid="{00000000-0005-0000-0000-0000891D0000}"/>
    <cellStyle name="Normal 13 2 7 2 2" xfId="34671" xr:uid="{00000000-0005-0000-0000-00008A1D0000}"/>
    <cellStyle name="Normal 13 2 7 3" xfId="24814" xr:uid="{00000000-0005-0000-0000-00008B1D0000}"/>
    <cellStyle name="Normal 13 2 8" xfId="10028" xr:uid="{00000000-0005-0000-0000-00008C1D0000}"/>
    <cellStyle name="Normal 13 2 8 2" xfId="29743" xr:uid="{00000000-0005-0000-0000-00008D1D0000}"/>
    <cellStyle name="Normal 13 2 9" xfId="19886" xr:uid="{00000000-0005-0000-0000-00008E1D0000}"/>
    <cellStyle name="Normal 13 3" xfId="222" xr:uid="{00000000-0005-0000-0000-00008F1D0000}"/>
    <cellStyle name="Normal 13 3 2" xfId="536" xr:uid="{00000000-0005-0000-0000-0000901D0000}"/>
    <cellStyle name="Normal 13 3 2 2" xfId="1156" xr:uid="{00000000-0005-0000-0000-0000911D0000}"/>
    <cellStyle name="Normal 13 3 2 2 2" xfId="2391" xr:uid="{00000000-0005-0000-0000-0000921D0000}"/>
    <cellStyle name="Normal 13 3 2 2 2 2" xfId="4858" xr:uid="{00000000-0005-0000-0000-0000931D0000}"/>
    <cellStyle name="Normal 13 3 2 2 2 2 2" xfId="9790" xr:uid="{00000000-0005-0000-0000-0000941D0000}"/>
    <cellStyle name="Normal 13 3 2 2 2 2 2 2" xfId="19650" xr:uid="{00000000-0005-0000-0000-0000951D0000}"/>
    <cellStyle name="Normal 13 3 2 2 2 2 2 2 2" xfId="39365" xr:uid="{00000000-0005-0000-0000-0000961D0000}"/>
    <cellStyle name="Normal 13 3 2 2 2 2 2 3" xfId="29508" xr:uid="{00000000-0005-0000-0000-0000971D0000}"/>
    <cellStyle name="Normal 13 3 2 2 2 2 3" xfId="14722" xr:uid="{00000000-0005-0000-0000-0000981D0000}"/>
    <cellStyle name="Normal 13 3 2 2 2 2 3 2" xfId="34437" xr:uid="{00000000-0005-0000-0000-0000991D0000}"/>
    <cellStyle name="Normal 13 3 2 2 2 2 4" xfId="24580" xr:uid="{00000000-0005-0000-0000-00009A1D0000}"/>
    <cellStyle name="Normal 13 3 2 2 2 3" xfId="7326" xr:uid="{00000000-0005-0000-0000-00009B1D0000}"/>
    <cellStyle name="Normal 13 3 2 2 2 3 2" xfId="17186" xr:uid="{00000000-0005-0000-0000-00009C1D0000}"/>
    <cellStyle name="Normal 13 3 2 2 2 3 2 2" xfId="36901" xr:uid="{00000000-0005-0000-0000-00009D1D0000}"/>
    <cellStyle name="Normal 13 3 2 2 2 3 3" xfId="27044" xr:uid="{00000000-0005-0000-0000-00009E1D0000}"/>
    <cellStyle name="Normal 13 3 2 2 2 4" xfId="12258" xr:uid="{00000000-0005-0000-0000-00009F1D0000}"/>
    <cellStyle name="Normal 13 3 2 2 2 4 2" xfId="31973" xr:uid="{00000000-0005-0000-0000-0000A01D0000}"/>
    <cellStyle name="Normal 13 3 2 2 2 5" xfId="22116" xr:uid="{00000000-0005-0000-0000-0000A11D0000}"/>
    <cellStyle name="Normal 13 3 2 2 3" xfId="3626" xr:uid="{00000000-0005-0000-0000-0000A21D0000}"/>
    <cellStyle name="Normal 13 3 2 2 3 2" xfId="8558" xr:uid="{00000000-0005-0000-0000-0000A31D0000}"/>
    <cellStyle name="Normal 13 3 2 2 3 2 2" xfId="18418" xr:uid="{00000000-0005-0000-0000-0000A41D0000}"/>
    <cellStyle name="Normal 13 3 2 2 3 2 2 2" xfId="38133" xr:uid="{00000000-0005-0000-0000-0000A51D0000}"/>
    <cellStyle name="Normal 13 3 2 2 3 2 3" xfId="28276" xr:uid="{00000000-0005-0000-0000-0000A61D0000}"/>
    <cellStyle name="Normal 13 3 2 2 3 3" xfId="13490" xr:uid="{00000000-0005-0000-0000-0000A71D0000}"/>
    <cellStyle name="Normal 13 3 2 2 3 3 2" xfId="33205" xr:uid="{00000000-0005-0000-0000-0000A81D0000}"/>
    <cellStyle name="Normal 13 3 2 2 3 4" xfId="23348" xr:uid="{00000000-0005-0000-0000-0000A91D0000}"/>
    <cellStyle name="Normal 13 3 2 2 4" xfId="6094" xr:uid="{00000000-0005-0000-0000-0000AA1D0000}"/>
    <cellStyle name="Normal 13 3 2 2 4 2" xfId="15954" xr:uid="{00000000-0005-0000-0000-0000AB1D0000}"/>
    <cellStyle name="Normal 13 3 2 2 4 2 2" xfId="35669" xr:uid="{00000000-0005-0000-0000-0000AC1D0000}"/>
    <cellStyle name="Normal 13 3 2 2 4 3" xfId="25812" xr:uid="{00000000-0005-0000-0000-0000AD1D0000}"/>
    <cellStyle name="Normal 13 3 2 2 5" xfId="11026" xr:uid="{00000000-0005-0000-0000-0000AE1D0000}"/>
    <cellStyle name="Normal 13 3 2 2 5 2" xfId="30741" xr:uid="{00000000-0005-0000-0000-0000AF1D0000}"/>
    <cellStyle name="Normal 13 3 2 2 6" xfId="20884" xr:uid="{00000000-0005-0000-0000-0000B01D0000}"/>
    <cellStyle name="Normal 13 3 2 3" xfId="1775" xr:uid="{00000000-0005-0000-0000-0000B11D0000}"/>
    <cellStyle name="Normal 13 3 2 3 2" xfId="4242" xr:uid="{00000000-0005-0000-0000-0000B21D0000}"/>
    <cellStyle name="Normal 13 3 2 3 2 2" xfId="9174" xr:uid="{00000000-0005-0000-0000-0000B31D0000}"/>
    <cellStyle name="Normal 13 3 2 3 2 2 2" xfId="19034" xr:uid="{00000000-0005-0000-0000-0000B41D0000}"/>
    <cellStyle name="Normal 13 3 2 3 2 2 2 2" xfId="38749" xr:uid="{00000000-0005-0000-0000-0000B51D0000}"/>
    <cellStyle name="Normal 13 3 2 3 2 2 3" xfId="28892" xr:uid="{00000000-0005-0000-0000-0000B61D0000}"/>
    <cellStyle name="Normal 13 3 2 3 2 3" xfId="14106" xr:uid="{00000000-0005-0000-0000-0000B71D0000}"/>
    <cellStyle name="Normal 13 3 2 3 2 3 2" xfId="33821" xr:uid="{00000000-0005-0000-0000-0000B81D0000}"/>
    <cellStyle name="Normal 13 3 2 3 2 4" xfId="23964" xr:uid="{00000000-0005-0000-0000-0000B91D0000}"/>
    <cellStyle name="Normal 13 3 2 3 3" xfId="6710" xr:uid="{00000000-0005-0000-0000-0000BA1D0000}"/>
    <cellStyle name="Normal 13 3 2 3 3 2" xfId="16570" xr:uid="{00000000-0005-0000-0000-0000BB1D0000}"/>
    <cellStyle name="Normal 13 3 2 3 3 2 2" xfId="36285" xr:uid="{00000000-0005-0000-0000-0000BC1D0000}"/>
    <cellStyle name="Normal 13 3 2 3 3 3" xfId="26428" xr:uid="{00000000-0005-0000-0000-0000BD1D0000}"/>
    <cellStyle name="Normal 13 3 2 3 4" xfId="11642" xr:uid="{00000000-0005-0000-0000-0000BE1D0000}"/>
    <cellStyle name="Normal 13 3 2 3 4 2" xfId="31357" xr:uid="{00000000-0005-0000-0000-0000BF1D0000}"/>
    <cellStyle name="Normal 13 3 2 3 5" xfId="21500" xr:uid="{00000000-0005-0000-0000-0000C01D0000}"/>
    <cellStyle name="Normal 13 3 2 4" xfId="3010" xr:uid="{00000000-0005-0000-0000-0000C11D0000}"/>
    <cellStyle name="Normal 13 3 2 4 2" xfId="7942" xr:uid="{00000000-0005-0000-0000-0000C21D0000}"/>
    <cellStyle name="Normal 13 3 2 4 2 2" xfId="17802" xr:uid="{00000000-0005-0000-0000-0000C31D0000}"/>
    <cellStyle name="Normal 13 3 2 4 2 2 2" xfId="37517" xr:uid="{00000000-0005-0000-0000-0000C41D0000}"/>
    <cellStyle name="Normal 13 3 2 4 2 3" xfId="27660" xr:uid="{00000000-0005-0000-0000-0000C51D0000}"/>
    <cellStyle name="Normal 13 3 2 4 3" xfId="12874" xr:uid="{00000000-0005-0000-0000-0000C61D0000}"/>
    <cellStyle name="Normal 13 3 2 4 3 2" xfId="32589" xr:uid="{00000000-0005-0000-0000-0000C71D0000}"/>
    <cellStyle name="Normal 13 3 2 4 4" xfId="22732" xr:uid="{00000000-0005-0000-0000-0000C81D0000}"/>
    <cellStyle name="Normal 13 3 2 5" xfId="5478" xr:uid="{00000000-0005-0000-0000-0000C91D0000}"/>
    <cellStyle name="Normal 13 3 2 5 2" xfId="15338" xr:uid="{00000000-0005-0000-0000-0000CA1D0000}"/>
    <cellStyle name="Normal 13 3 2 5 2 2" xfId="35053" xr:uid="{00000000-0005-0000-0000-0000CB1D0000}"/>
    <cellStyle name="Normal 13 3 2 5 3" xfId="25196" xr:uid="{00000000-0005-0000-0000-0000CC1D0000}"/>
    <cellStyle name="Normal 13 3 2 6" xfId="10410" xr:uid="{00000000-0005-0000-0000-0000CD1D0000}"/>
    <cellStyle name="Normal 13 3 2 6 2" xfId="30125" xr:uid="{00000000-0005-0000-0000-0000CE1D0000}"/>
    <cellStyle name="Normal 13 3 2 7" xfId="20268" xr:uid="{00000000-0005-0000-0000-0000CF1D0000}"/>
    <cellStyle name="Normal 13 3 3" xfId="849" xr:uid="{00000000-0005-0000-0000-0000D01D0000}"/>
    <cellStyle name="Normal 13 3 3 2" xfId="2085" xr:uid="{00000000-0005-0000-0000-0000D11D0000}"/>
    <cellStyle name="Normal 13 3 3 2 2" xfId="4552" xr:uid="{00000000-0005-0000-0000-0000D21D0000}"/>
    <cellStyle name="Normal 13 3 3 2 2 2" xfId="9484" xr:uid="{00000000-0005-0000-0000-0000D31D0000}"/>
    <cellStyle name="Normal 13 3 3 2 2 2 2" xfId="19344" xr:uid="{00000000-0005-0000-0000-0000D41D0000}"/>
    <cellStyle name="Normal 13 3 3 2 2 2 2 2" xfId="39059" xr:uid="{00000000-0005-0000-0000-0000D51D0000}"/>
    <cellStyle name="Normal 13 3 3 2 2 2 3" xfId="29202" xr:uid="{00000000-0005-0000-0000-0000D61D0000}"/>
    <cellStyle name="Normal 13 3 3 2 2 3" xfId="14416" xr:uid="{00000000-0005-0000-0000-0000D71D0000}"/>
    <cellStyle name="Normal 13 3 3 2 2 3 2" xfId="34131" xr:uid="{00000000-0005-0000-0000-0000D81D0000}"/>
    <cellStyle name="Normal 13 3 3 2 2 4" xfId="24274" xr:uid="{00000000-0005-0000-0000-0000D91D0000}"/>
    <cellStyle name="Normal 13 3 3 2 3" xfId="7020" xr:uid="{00000000-0005-0000-0000-0000DA1D0000}"/>
    <cellStyle name="Normal 13 3 3 2 3 2" xfId="16880" xr:uid="{00000000-0005-0000-0000-0000DB1D0000}"/>
    <cellStyle name="Normal 13 3 3 2 3 2 2" xfId="36595" xr:uid="{00000000-0005-0000-0000-0000DC1D0000}"/>
    <cellStyle name="Normal 13 3 3 2 3 3" xfId="26738" xr:uid="{00000000-0005-0000-0000-0000DD1D0000}"/>
    <cellStyle name="Normal 13 3 3 2 4" xfId="11952" xr:uid="{00000000-0005-0000-0000-0000DE1D0000}"/>
    <cellStyle name="Normal 13 3 3 2 4 2" xfId="31667" xr:uid="{00000000-0005-0000-0000-0000DF1D0000}"/>
    <cellStyle name="Normal 13 3 3 2 5" xfId="21810" xr:uid="{00000000-0005-0000-0000-0000E01D0000}"/>
    <cellStyle name="Normal 13 3 3 3" xfId="3320" xr:uid="{00000000-0005-0000-0000-0000E11D0000}"/>
    <cellStyle name="Normal 13 3 3 3 2" xfId="8252" xr:uid="{00000000-0005-0000-0000-0000E21D0000}"/>
    <cellStyle name="Normal 13 3 3 3 2 2" xfId="18112" xr:uid="{00000000-0005-0000-0000-0000E31D0000}"/>
    <cellStyle name="Normal 13 3 3 3 2 2 2" xfId="37827" xr:uid="{00000000-0005-0000-0000-0000E41D0000}"/>
    <cellStyle name="Normal 13 3 3 3 2 3" xfId="27970" xr:uid="{00000000-0005-0000-0000-0000E51D0000}"/>
    <cellStyle name="Normal 13 3 3 3 3" xfId="13184" xr:uid="{00000000-0005-0000-0000-0000E61D0000}"/>
    <cellStyle name="Normal 13 3 3 3 3 2" xfId="32899" xr:uid="{00000000-0005-0000-0000-0000E71D0000}"/>
    <cellStyle name="Normal 13 3 3 3 4" xfId="23042" xr:uid="{00000000-0005-0000-0000-0000E81D0000}"/>
    <cellStyle name="Normal 13 3 3 4" xfId="5788" xr:uid="{00000000-0005-0000-0000-0000E91D0000}"/>
    <cellStyle name="Normal 13 3 3 4 2" xfId="15648" xr:uid="{00000000-0005-0000-0000-0000EA1D0000}"/>
    <cellStyle name="Normal 13 3 3 4 2 2" xfId="35363" xr:uid="{00000000-0005-0000-0000-0000EB1D0000}"/>
    <cellStyle name="Normal 13 3 3 4 3" xfId="25506" xr:uid="{00000000-0005-0000-0000-0000EC1D0000}"/>
    <cellStyle name="Normal 13 3 3 5" xfId="10720" xr:uid="{00000000-0005-0000-0000-0000ED1D0000}"/>
    <cellStyle name="Normal 13 3 3 5 2" xfId="30435" xr:uid="{00000000-0005-0000-0000-0000EE1D0000}"/>
    <cellStyle name="Normal 13 3 3 6" xfId="20578" xr:uid="{00000000-0005-0000-0000-0000EF1D0000}"/>
    <cellStyle name="Normal 13 3 4" xfId="1469" xr:uid="{00000000-0005-0000-0000-0000F01D0000}"/>
    <cellStyle name="Normal 13 3 4 2" xfId="3936" xr:uid="{00000000-0005-0000-0000-0000F11D0000}"/>
    <cellStyle name="Normal 13 3 4 2 2" xfId="8868" xr:uid="{00000000-0005-0000-0000-0000F21D0000}"/>
    <cellStyle name="Normal 13 3 4 2 2 2" xfId="18728" xr:uid="{00000000-0005-0000-0000-0000F31D0000}"/>
    <cellStyle name="Normal 13 3 4 2 2 2 2" xfId="38443" xr:uid="{00000000-0005-0000-0000-0000F41D0000}"/>
    <cellStyle name="Normal 13 3 4 2 2 3" xfId="28586" xr:uid="{00000000-0005-0000-0000-0000F51D0000}"/>
    <cellStyle name="Normal 13 3 4 2 3" xfId="13800" xr:uid="{00000000-0005-0000-0000-0000F61D0000}"/>
    <cellStyle name="Normal 13 3 4 2 3 2" xfId="33515" xr:uid="{00000000-0005-0000-0000-0000F71D0000}"/>
    <cellStyle name="Normal 13 3 4 2 4" xfId="23658" xr:uid="{00000000-0005-0000-0000-0000F81D0000}"/>
    <cellStyle name="Normal 13 3 4 3" xfId="6404" xr:uid="{00000000-0005-0000-0000-0000F91D0000}"/>
    <cellStyle name="Normal 13 3 4 3 2" xfId="16264" xr:uid="{00000000-0005-0000-0000-0000FA1D0000}"/>
    <cellStyle name="Normal 13 3 4 3 2 2" xfId="35979" xr:uid="{00000000-0005-0000-0000-0000FB1D0000}"/>
    <cellStyle name="Normal 13 3 4 3 3" xfId="26122" xr:uid="{00000000-0005-0000-0000-0000FC1D0000}"/>
    <cellStyle name="Normal 13 3 4 4" xfId="11336" xr:uid="{00000000-0005-0000-0000-0000FD1D0000}"/>
    <cellStyle name="Normal 13 3 4 4 2" xfId="31051" xr:uid="{00000000-0005-0000-0000-0000FE1D0000}"/>
    <cellStyle name="Normal 13 3 4 5" xfId="21194" xr:uid="{00000000-0005-0000-0000-0000FF1D0000}"/>
    <cellStyle name="Normal 13 3 5" xfId="2704" xr:uid="{00000000-0005-0000-0000-0000001E0000}"/>
    <cellStyle name="Normal 13 3 5 2" xfId="7636" xr:uid="{00000000-0005-0000-0000-0000011E0000}"/>
    <cellStyle name="Normal 13 3 5 2 2" xfId="17496" xr:uid="{00000000-0005-0000-0000-0000021E0000}"/>
    <cellStyle name="Normal 13 3 5 2 2 2" xfId="37211" xr:uid="{00000000-0005-0000-0000-0000031E0000}"/>
    <cellStyle name="Normal 13 3 5 2 3" xfId="27354" xr:uid="{00000000-0005-0000-0000-0000041E0000}"/>
    <cellStyle name="Normal 13 3 5 3" xfId="12568" xr:uid="{00000000-0005-0000-0000-0000051E0000}"/>
    <cellStyle name="Normal 13 3 5 3 2" xfId="32283" xr:uid="{00000000-0005-0000-0000-0000061E0000}"/>
    <cellStyle name="Normal 13 3 5 4" xfId="22426" xr:uid="{00000000-0005-0000-0000-0000071E0000}"/>
    <cellStyle name="Normal 13 3 6" xfId="5172" xr:uid="{00000000-0005-0000-0000-0000081E0000}"/>
    <cellStyle name="Normal 13 3 6 2" xfId="15032" xr:uid="{00000000-0005-0000-0000-0000091E0000}"/>
    <cellStyle name="Normal 13 3 6 2 2" xfId="34747" xr:uid="{00000000-0005-0000-0000-00000A1E0000}"/>
    <cellStyle name="Normal 13 3 6 3" xfId="24890" xr:uid="{00000000-0005-0000-0000-00000B1E0000}"/>
    <cellStyle name="Normal 13 3 7" xfId="10104" xr:uid="{00000000-0005-0000-0000-00000C1E0000}"/>
    <cellStyle name="Normal 13 3 7 2" xfId="29819" xr:uid="{00000000-0005-0000-0000-00000D1E0000}"/>
    <cellStyle name="Normal 13 3 8" xfId="19962" xr:uid="{00000000-0005-0000-0000-00000E1E0000}"/>
    <cellStyle name="Normal 13 4" xfId="384" xr:uid="{00000000-0005-0000-0000-00000F1E0000}"/>
    <cellStyle name="Normal 13 4 2" xfId="1004" xr:uid="{00000000-0005-0000-0000-0000101E0000}"/>
    <cellStyle name="Normal 13 4 2 2" xfId="2239" xr:uid="{00000000-0005-0000-0000-0000111E0000}"/>
    <cellStyle name="Normal 13 4 2 2 2" xfId="4706" xr:uid="{00000000-0005-0000-0000-0000121E0000}"/>
    <cellStyle name="Normal 13 4 2 2 2 2" xfId="9638" xr:uid="{00000000-0005-0000-0000-0000131E0000}"/>
    <cellStyle name="Normal 13 4 2 2 2 2 2" xfId="19498" xr:uid="{00000000-0005-0000-0000-0000141E0000}"/>
    <cellStyle name="Normal 13 4 2 2 2 2 2 2" xfId="39213" xr:uid="{00000000-0005-0000-0000-0000151E0000}"/>
    <cellStyle name="Normal 13 4 2 2 2 2 3" xfId="29356" xr:uid="{00000000-0005-0000-0000-0000161E0000}"/>
    <cellStyle name="Normal 13 4 2 2 2 3" xfId="14570" xr:uid="{00000000-0005-0000-0000-0000171E0000}"/>
    <cellStyle name="Normal 13 4 2 2 2 3 2" xfId="34285" xr:uid="{00000000-0005-0000-0000-0000181E0000}"/>
    <cellStyle name="Normal 13 4 2 2 2 4" xfId="24428" xr:uid="{00000000-0005-0000-0000-0000191E0000}"/>
    <cellStyle name="Normal 13 4 2 2 3" xfId="7174" xr:uid="{00000000-0005-0000-0000-00001A1E0000}"/>
    <cellStyle name="Normal 13 4 2 2 3 2" xfId="17034" xr:uid="{00000000-0005-0000-0000-00001B1E0000}"/>
    <cellStyle name="Normal 13 4 2 2 3 2 2" xfId="36749" xr:uid="{00000000-0005-0000-0000-00001C1E0000}"/>
    <cellStyle name="Normal 13 4 2 2 3 3" xfId="26892" xr:uid="{00000000-0005-0000-0000-00001D1E0000}"/>
    <cellStyle name="Normal 13 4 2 2 4" xfId="12106" xr:uid="{00000000-0005-0000-0000-00001E1E0000}"/>
    <cellStyle name="Normal 13 4 2 2 4 2" xfId="31821" xr:uid="{00000000-0005-0000-0000-00001F1E0000}"/>
    <cellStyle name="Normal 13 4 2 2 5" xfId="21964" xr:uid="{00000000-0005-0000-0000-0000201E0000}"/>
    <cellStyle name="Normal 13 4 2 3" xfId="3474" xr:uid="{00000000-0005-0000-0000-0000211E0000}"/>
    <cellStyle name="Normal 13 4 2 3 2" xfId="8406" xr:uid="{00000000-0005-0000-0000-0000221E0000}"/>
    <cellStyle name="Normal 13 4 2 3 2 2" xfId="18266" xr:uid="{00000000-0005-0000-0000-0000231E0000}"/>
    <cellStyle name="Normal 13 4 2 3 2 2 2" xfId="37981" xr:uid="{00000000-0005-0000-0000-0000241E0000}"/>
    <cellStyle name="Normal 13 4 2 3 2 3" xfId="28124" xr:uid="{00000000-0005-0000-0000-0000251E0000}"/>
    <cellStyle name="Normal 13 4 2 3 3" xfId="13338" xr:uid="{00000000-0005-0000-0000-0000261E0000}"/>
    <cellStyle name="Normal 13 4 2 3 3 2" xfId="33053" xr:uid="{00000000-0005-0000-0000-0000271E0000}"/>
    <cellStyle name="Normal 13 4 2 3 4" xfId="23196" xr:uid="{00000000-0005-0000-0000-0000281E0000}"/>
    <cellStyle name="Normal 13 4 2 4" xfId="5942" xr:uid="{00000000-0005-0000-0000-0000291E0000}"/>
    <cellStyle name="Normal 13 4 2 4 2" xfId="15802" xr:uid="{00000000-0005-0000-0000-00002A1E0000}"/>
    <cellStyle name="Normal 13 4 2 4 2 2" xfId="35517" xr:uid="{00000000-0005-0000-0000-00002B1E0000}"/>
    <cellStyle name="Normal 13 4 2 4 3" xfId="25660" xr:uid="{00000000-0005-0000-0000-00002C1E0000}"/>
    <cellStyle name="Normal 13 4 2 5" xfId="10874" xr:uid="{00000000-0005-0000-0000-00002D1E0000}"/>
    <cellStyle name="Normal 13 4 2 5 2" xfId="30589" xr:uid="{00000000-0005-0000-0000-00002E1E0000}"/>
    <cellStyle name="Normal 13 4 2 6" xfId="20732" xr:uid="{00000000-0005-0000-0000-00002F1E0000}"/>
    <cellStyle name="Normal 13 4 3" xfId="1623" xr:uid="{00000000-0005-0000-0000-0000301E0000}"/>
    <cellStyle name="Normal 13 4 3 2" xfId="4090" xr:uid="{00000000-0005-0000-0000-0000311E0000}"/>
    <cellStyle name="Normal 13 4 3 2 2" xfId="9022" xr:uid="{00000000-0005-0000-0000-0000321E0000}"/>
    <cellStyle name="Normal 13 4 3 2 2 2" xfId="18882" xr:uid="{00000000-0005-0000-0000-0000331E0000}"/>
    <cellStyle name="Normal 13 4 3 2 2 2 2" xfId="38597" xr:uid="{00000000-0005-0000-0000-0000341E0000}"/>
    <cellStyle name="Normal 13 4 3 2 2 3" xfId="28740" xr:uid="{00000000-0005-0000-0000-0000351E0000}"/>
    <cellStyle name="Normal 13 4 3 2 3" xfId="13954" xr:uid="{00000000-0005-0000-0000-0000361E0000}"/>
    <cellStyle name="Normal 13 4 3 2 3 2" xfId="33669" xr:uid="{00000000-0005-0000-0000-0000371E0000}"/>
    <cellStyle name="Normal 13 4 3 2 4" xfId="23812" xr:uid="{00000000-0005-0000-0000-0000381E0000}"/>
    <cellStyle name="Normal 13 4 3 3" xfId="6558" xr:uid="{00000000-0005-0000-0000-0000391E0000}"/>
    <cellStyle name="Normal 13 4 3 3 2" xfId="16418" xr:uid="{00000000-0005-0000-0000-00003A1E0000}"/>
    <cellStyle name="Normal 13 4 3 3 2 2" xfId="36133" xr:uid="{00000000-0005-0000-0000-00003B1E0000}"/>
    <cellStyle name="Normal 13 4 3 3 3" xfId="26276" xr:uid="{00000000-0005-0000-0000-00003C1E0000}"/>
    <cellStyle name="Normal 13 4 3 4" xfId="11490" xr:uid="{00000000-0005-0000-0000-00003D1E0000}"/>
    <cellStyle name="Normal 13 4 3 4 2" xfId="31205" xr:uid="{00000000-0005-0000-0000-00003E1E0000}"/>
    <cellStyle name="Normal 13 4 3 5" xfId="21348" xr:uid="{00000000-0005-0000-0000-00003F1E0000}"/>
    <cellStyle name="Normal 13 4 4" xfId="2858" xr:uid="{00000000-0005-0000-0000-0000401E0000}"/>
    <cellStyle name="Normal 13 4 4 2" xfId="7790" xr:uid="{00000000-0005-0000-0000-0000411E0000}"/>
    <cellStyle name="Normal 13 4 4 2 2" xfId="17650" xr:uid="{00000000-0005-0000-0000-0000421E0000}"/>
    <cellStyle name="Normal 13 4 4 2 2 2" xfId="37365" xr:uid="{00000000-0005-0000-0000-0000431E0000}"/>
    <cellStyle name="Normal 13 4 4 2 3" xfId="27508" xr:uid="{00000000-0005-0000-0000-0000441E0000}"/>
    <cellStyle name="Normal 13 4 4 3" xfId="12722" xr:uid="{00000000-0005-0000-0000-0000451E0000}"/>
    <cellStyle name="Normal 13 4 4 3 2" xfId="32437" xr:uid="{00000000-0005-0000-0000-0000461E0000}"/>
    <cellStyle name="Normal 13 4 4 4" xfId="22580" xr:uid="{00000000-0005-0000-0000-0000471E0000}"/>
    <cellStyle name="Normal 13 4 5" xfId="5326" xr:uid="{00000000-0005-0000-0000-0000481E0000}"/>
    <cellStyle name="Normal 13 4 5 2" xfId="15186" xr:uid="{00000000-0005-0000-0000-0000491E0000}"/>
    <cellStyle name="Normal 13 4 5 2 2" xfId="34901" xr:uid="{00000000-0005-0000-0000-00004A1E0000}"/>
    <cellStyle name="Normal 13 4 5 3" xfId="25044" xr:uid="{00000000-0005-0000-0000-00004B1E0000}"/>
    <cellStyle name="Normal 13 4 6" xfId="10258" xr:uid="{00000000-0005-0000-0000-00004C1E0000}"/>
    <cellStyle name="Normal 13 4 6 2" xfId="29973" xr:uid="{00000000-0005-0000-0000-00004D1E0000}"/>
    <cellStyle name="Normal 13 4 7" xfId="20116" xr:uid="{00000000-0005-0000-0000-00004E1E0000}"/>
    <cellStyle name="Normal 13 5" xfId="697" xr:uid="{00000000-0005-0000-0000-00004F1E0000}"/>
    <cellStyle name="Normal 13 5 2" xfId="1933" xr:uid="{00000000-0005-0000-0000-0000501E0000}"/>
    <cellStyle name="Normal 13 5 2 2" xfId="4400" xr:uid="{00000000-0005-0000-0000-0000511E0000}"/>
    <cellStyle name="Normal 13 5 2 2 2" xfId="9332" xr:uid="{00000000-0005-0000-0000-0000521E0000}"/>
    <cellStyle name="Normal 13 5 2 2 2 2" xfId="19192" xr:uid="{00000000-0005-0000-0000-0000531E0000}"/>
    <cellStyle name="Normal 13 5 2 2 2 2 2" xfId="38907" xr:uid="{00000000-0005-0000-0000-0000541E0000}"/>
    <cellStyle name="Normal 13 5 2 2 2 3" xfId="29050" xr:uid="{00000000-0005-0000-0000-0000551E0000}"/>
    <cellStyle name="Normal 13 5 2 2 3" xfId="14264" xr:uid="{00000000-0005-0000-0000-0000561E0000}"/>
    <cellStyle name="Normal 13 5 2 2 3 2" xfId="33979" xr:uid="{00000000-0005-0000-0000-0000571E0000}"/>
    <cellStyle name="Normal 13 5 2 2 4" xfId="24122" xr:uid="{00000000-0005-0000-0000-0000581E0000}"/>
    <cellStyle name="Normal 13 5 2 3" xfId="6868" xr:uid="{00000000-0005-0000-0000-0000591E0000}"/>
    <cellStyle name="Normal 13 5 2 3 2" xfId="16728" xr:uid="{00000000-0005-0000-0000-00005A1E0000}"/>
    <cellStyle name="Normal 13 5 2 3 2 2" xfId="36443" xr:uid="{00000000-0005-0000-0000-00005B1E0000}"/>
    <cellStyle name="Normal 13 5 2 3 3" xfId="26586" xr:uid="{00000000-0005-0000-0000-00005C1E0000}"/>
    <cellStyle name="Normal 13 5 2 4" xfId="11800" xr:uid="{00000000-0005-0000-0000-00005D1E0000}"/>
    <cellStyle name="Normal 13 5 2 4 2" xfId="31515" xr:uid="{00000000-0005-0000-0000-00005E1E0000}"/>
    <cellStyle name="Normal 13 5 2 5" xfId="21658" xr:uid="{00000000-0005-0000-0000-00005F1E0000}"/>
    <cellStyle name="Normal 13 5 3" xfId="3168" xr:uid="{00000000-0005-0000-0000-0000601E0000}"/>
    <cellStyle name="Normal 13 5 3 2" xfId="8100" xr:uid="{00000000-0005-0000-0000-0000611E0000}"/>
    <cellStyle name="Normal 13 5 3 2 2" xfId="17960" xr:uid="{00000000-0005-0000-0000-0000621E0000}"/>
    <cellStyle name="Normal 13 5 3 2 2 2" xfId="37675" xr:uid="{00000000-0005-0000-0000-0000631E0000}"/>
    <cellStyle name="Normal 13 5 3 2 3" xfId="27818" xr:uid="{00000000-0005-0000-0000-0000641E0000}"/>
    <cellStyle name="Normal 13 5 3 3" xfId="13032" xr:uid="{00000000-0005-0000-0000-0000651E0000}"/>
    <cellStyle name="Normal 13 5 3 3 2" xfId="32747" xr:uid="{00000000-0005-0000-0000-0000661E0000}"/>
    <cellStyle name="Normal 13 5 3 4" xfId="22890" xr:uid="{00000000-0005-0000-0000-0000671E0000}"/>
    <cellStyle name="Normal 13 5 4" xfId="5636" xr:uid="{00000000-0005-0000-0000-0000681E0000}"/>
    <cellStyle name="Normal 13 5 4 2" xfId="15496" xr:uid="{00000000-0005-0000-0000-0000691E0000}"/>
    <cellStyle name="Normal 13 5 4 2 2" xfId="35211" xr:uid="{00000000-0005-0000-0000-00006A1E0000}"/>
    <cellStyle name="Normal 13 5 4 3" xfId="25354" xr:uid="{00000000-0005-0000-0000-00006B1E0000}"/>
    <cellStyle name="Normal 13 5 5" xfId="10568" xr:uid="{00000000-0005-0000-0000-00006C1E0000}"/>
    <cellStyle name="Normal 13 5 5 2" xfId="30283" xr:uid="{00000000-0005-0000-0000-00006D1E0000}"/>
    <cellStyle name="Normal 13 5 6" xfId="20426" xr:uid="{00000000-0005-0000-0000-00006E1E0000}"/>
    <cellStyle name="Normal 13 6" xfId="1317" xr:uid="{00000000-0005-0000-0000-00006F1E0000}"/>
    <cellStyle name="Normal 13 6 2" xfId="3784" xr:uid="{00000000-0005-0000-0000-0000701E0000}"/>
    <cellStyle name="Normal 13 6 2 2" xfId="8716" xr:uid="{00000000-0005-0000-0000-0000711E0000}"/>
    <cellStyle name="Normal 13 6 2 2 2" xfId="18576" xr:uid="{00000000-0005-0000-0000-0000721E0000}"/>
    <cellStyle name="Normal 13 6 2 2 2 2" xfId="38291" xr:uid="{00000000-0005-0000-0000-0000731E0000}"/>
    <cellStyle name="Normal 13 6 2 2 3" xfId="28434" xr:uid="{00000000-0005-0000-0000-0000741E0000}"/>
    <cellStyle name="Normal 13 6 2 3" xfId="13648" xr:uid="{00000000-0005-0000-0000-0000751E0000}"/>
    <cellStyle name="Normal 13 6 2 3 2" xfId="33363" xr:uid="{00000000-0005-0000-0000-0000761E0000}"/>
    <cellStyle name="Normal 13 6 2 4" xfId="23506" xr:uid="{00000000-0005-0000-0000-0000771E0000}"/>
    <cellStyle name="Normal 13 6 3" xfId="6252" xr:uid="{00000000-0005-0000-0000-0000781E0000}"/>
    <cellStyle name="Normal 13 6 3 2" xfId="16112" xr:uid="{00000000-0005-0000-0000-0000791E0000}"/>
    <cellStyle name="Normal 13 6 3 2 2" xfId="35827" xr:uid="{00000000-0005-0000-0000-00007A1E0000}"/>
    <cellStyle name="Normal 13 6 3 3" xfId="25970" xr:uid="{00000000-0005-0000-0000-00007B1E0000}"/>
    <cellStyle name="Normal 13 6 4" xfId="11184" xr:uid="{00000000-0005-0000-0000-00007C1E0000}"/>
    <cellStyle name="Normal 13 6 4 2" xfId="30899" xr:uid="{00000000-0005-0000-0000-00007D1E0000}"/>
    <cellStyle name="Normal 13 6 5" xfId="21042" xr:uid="{00000000-0005-0000-0000-00007E1E0000}"/>
    <cellStyle name="Normal 13 7" xfId="2552" xr:uid="{00000000-0005-0000-0000-00007F1E0000}"/>
    <cellStyle name="Normal 13 7 2" xfId="7484" xr:uid="{00000000-0005-0000-0000-0000801E0000}"/>
    <cellStyle name="Normal 13 7 2 2" xfId="17344" xr:uid="{00000000-0005-0000-0000-0000811E0000}"/>
    <cellStyle name="Normal 13 7 2 2 2" xfId="37059" xr:uid="{00000000-0005-0000-0000-0000821E0000}"/>
    <cellStyle name="Normal 13 7 2 3" xfId="27202" xr:uid="{00000000-0005-0000-0000-0000831E0000}"/>
    <cellStyle name="Normal 13 7 3" xfId="12416" xr:uid="{00000000-0005-0000-0000-0000841E0000}"/>
    <cellStyle name="Normal 13 7 3 2" xfId="32131" xr:uid="{00000000-0005-0000-0000-0000851E0000}"/>
    <cellStyle name="Normal 13 7 4" xfId="22274" xr:uid="{00000000-0005-0000-0000-0000861E0000}"/>
    <cellStyle name="Normal 13 8" xfId="5020" xr:uid="{00000000-0005-0000-0000-0000871E0000}"/>
    <cellStyle name="Normal 13 8 2" xfId="14880" xr:uid="{00000000-0005-0000-0000-0000881E0000}"/>
    <cellStyle name="Normal 13 8 2 2" xfId="34595" xr:uid="{00000000-0005-0000-0000-0000891E0000}"/>
    <cellStyle name="Normal 13 8 3" xfId="24738" xr:uid="{00000000-0005-0000-0000-00008A1E0000}"/>
    <cellStyle name="Normal 13 9" xfId="9952" xr:uid="{00000000-0005-0000-0000-00008B1E0000}"/>
    <cellStyle name="Normal 13 9 2" xfId="29667" xr:uid="{00000000-0005-0000-0000-00008C1E0000}"/>
    <cellStyle name="Normal 14" xfId="100" xr:uid="{00000000-0005-0000-0000-00008D1E0000}"/>
    <cellStyle name="Normal 14 2" xfId="260" xr:uid="{00000000-0005-0000-0000-00008E1E0000}"/>
    <cellStyle name="Normal 14 2 2" xfId="574" xr:uid="{00000000-0005-0000-0000-00008F1E0000}"/>
    <cellStyle name="Normal 14 2 2 2" xfId="1194" xr:uid="{00000000-0005-0000-0000-0000901E0000}"/>
    <cellStyle name="Normal 14 2 2 2 2" xfId="2429" xr:uid="{00000000-0005-0000-0000-0000911E0000}"/>
    <cellStyle name="Normal 14 2 2 2 2 2" xfId="4896" xr:uid="{00000000-0005-0000-0000-0000921E0000}"/>
    <cellStyle name="Normal 14 2 2 2 2 2 2" xfId="9828" xr:uid="{00000000-0005-0000-0000-0000931E0000}"/>
    <cellStyle name="Normal 14 2 2 2 2 2 2 2" xfId="19688" xr:uid="{00000000-0005-0000-0000-0000941E0000}"/>
    <cellStyle name="Normal 14 2 2 2 2 2 2 2 2" xfId="39403" xr:uid="{00000000-0005-0000-0000-0000951E0000}"/>
    <cellStyle name="Normal 14 2 2 2 2 2 2 3" xfId="29546" xr:uid="{00000000-0005-0000-0000-0000961E0000}"/>
    <cellStyle name="Normal 14 2 2 2 2 2 3" xfId="14760" xr:uid="{00000000-0005-0000-0000-0000971E0000}"/>
    <cellStyle name="Normal 14 2 2 2 2 2 3 2" xfId="34475" xr:uid="{00000000-0005-0000-0000-0000981E0000}"/>
    <cellStyle name="Normal 14 2 2 2 2 2 4" xfId="24618" xr:uid="{00000000-0005-0000-0000-0000991E0000}"/>
    <cellStyle name="Normal 14 2 2 2 2 3" xfId="7364" xr:uid="{00000000-0005-0000-0000-00009A1E0000}"/>
    <cellStyle name="Normal 14 2 2 2 2 3 2" xfId="17224" xr:uid="{00000000-0005-0000-0000-00009B1E0000}"/>
    <cellStyle name="Normal 14 2 2 2 2 3 2 2" xfId="36939" xr:uid="{00000000-0005-0000-0000-00009C1E0000}"/>
    <cellStyle name="Normal 14 2 2 2 2 3 3" xfId="27082" xr:uid="{00000000-0005-0000-0000-00009D1E0000}"/>
    <cellStyle name="Normal 14 2 2 2 2 4" xfId="12296" xr:uid="{00000000-0005-0000-0000-00009E1E0000}"/>
    <cellStyle name="Normal 14 2 2 2 2 4 2" xfId="32011" xr:uid="{00000000-0005-0000-0000-00009F1E0000}"/>
    <cellStyle name="Normal 14 2 2 2 2 5" xfId="22154" xr:uid="{00000000-0005-0000-0000-0000A01E0000}"/>
    <cellStyle name="Normal 14 2 2 2 3" xfId="3664" xr:uid="{00000000-0005-0000-0000-0000A11E0000}"/>
    <cellStyle name="Normal 14 2 2 2 3 2" xfId="8596" xr:uid="{00000000-0005-0000-0000-0000A21E0000}"/>
    <cellStyle name="Normal 14 2 2 2 3 2 2" xfId="18456" xr:uid="{00000000-0005-0000-0000-0000A31E0000}"/>
    <cellStyle name="Normal 14 2 2 2 3 2 2 2" xfId="38171" xr:uid="{00000000-0005-0000-0000-0000A41E0000}"/>
    <cellStyle name="Normal 14 2 2 2 3 2 3" xfId="28314" xr:uid="{00000000-0005-0000-0000-0000A51E0000}"/>
    <cellStyle name="Normal 14 2 2 2 3 3" xfId="13528" xr:uid="{00000000-0005-0000-0000-0000A61E0000}"/>
    <cellStyle name="Normal 14 2 2 2 3 3 2" xfId="33243" xr:uid="{00000000-0005-0000-0000-0000A71E0000}"/>
    <cellStyle name="Normal 14 2 2 2 3 4" xfId="23386" xr:uid="{00000000-0005-0000-0000-0000A81E0000}"/>
    <cellStyle name="Normal 14 2 2 2 4" xfId="6132" xr:uid="{00000000-0005-0000-0000-0000A91E0000}"/>
    <cellStyle name="Normal 14 2 2 2 4 2" xfId="15992" xr:uid="{00000000-0005-0000-0000-0000AA1E0000}"/>
    <cellStyle name="Normal 14 2 2 2 4 2 2" xfId="35707" xr:uid="{00000000-0005-0000-0000-0000AB1E0000}"/>
    <cellStyle name="Normal 14 2 2 2 4 3" xfId="25850" xr:uid="{00000000-0005-0000-0000-0000AC1E0000}"/>
    <cellStyle name="Normal 14 2 2 2 5" xfId="11064" xr:uid="{00000000-0005-0000-0000-0000AD1E0000}"/>
    <cellStyle name="Normal 14 2 2 2 5 2" xfId="30779" xr:uid="{00000000-0005-0000-0000-0000AE1E0000}"/>
    <cellStyle name="Normal 14 2 2 2 6" xfId="20922" xr:uid="{00000000-0005-0000-0000-0000AF1E0000}"/>
    <cellStyle name="Normal 14 2 2 3" xfId="1813" xr:uid="{00000000-0005-0000-0000-0000B01E0000}"/>
    <cellStyle name="Normal 14 2 2 3 2" xfId="4280" xr:uid="{00000000-0005-0000-0000-0000B11E0000}"/>
    <cellStyle name="Normal 14 2 2 3 2 2" xfId="9212" xr:uid="{00000000-0005-0000-0000-0000B21E0000}"/>
    <cellStyle name="Normal 14 2 2 3 2 2 2" xfId="19072" xr:uid="{00000000-0005-0000-0000-0000B31E0000}"/>
    <cellStyle name="Normal 14 2 2 3 2 2 2 2" xfId="38787" xr:uid="{00000000-0005-0000-0000-0000B41E0000}"/>
    <cellStyle name="Normal 14 2 2 3 2 2 3" xfId="28930" xr:uid="{00000000-0005-0000-0000-0000B51E0000}"/>
    <cellStyle name="Normal 14 2 2 3 2 3" xfId="14144" xr:uid="{00000000-0005-0000-0000-0000B61E0000}"/>
    <cellStyle name="Normal 14 2 2 3 2 3 2" xfId="33859" xr:uid="{00000000-0005-0000-0000-0000B71E0000}"/>
    <cellStyle name="Normal 14 2 2 3 2 4" xfId="24002" xr:uid="{00000000-0005-0000-0000-0000B81E0000}"/>
    <cellStyle name="Normal 14 2 2 3 3" xfId="6748" xr:uid="{00000000-0005-0000-0000-0000B91E0000}"/>
    <cellStyle name="Normal 14 2 2 3 3 2" xfId="16608" xr:uid="{00000000-0005-0000-0000-0000BA1E0000}"/>
    <cellStyle name="Normal 14 2 2 3 3 2 2" xfId="36323" xr:uid="{00000000-0005-0000-0000-0000BB1E0000}"/>
    <cellStyle name="Normal 14 2 2 3 3 3" xfId="26466" xr:uid="{00000000-0005-0000-0000-0000BC1E0000}"/>
    <cellStyle name="Normal 14 2 2 3 4" xfId="11680" xr:uid="{00000000-0005-0000-0000-0000BD1E0000}"/>
    <cellStyle name="Normal 14 2 2 3 4 2" xfId="31395" xr:uid="{00000000-0005-0000-0000-0000BE1E0000}"/>
    <cellStyle name="Normal 14 2 2 3 5" xfId="21538" xr:uid="{00000000-0005-0000-0000-0000BF1E0000}"/>
    <cellStyle name="Normal 14 2 2 4" xfId="3048" xr:uid="{00000000-0005-0000-0000-0000C01E0000}"/>
    <cellStyle name="Normal 14 2 2 4 2" xfId="7980" xr:uid="{00000000-0005-0000-0000-0000C11E0000}"/>
    <cellStyle name="Normal 14 2 2 4 2 2" xfId="17840" xr:uid="{00000000-0005-0000-0000-0000C21E0000}"/>
    <cellStyle name="Normal 14 2 2 4 2 2 2" xfId="37555" xr:uid="{00000000-0005-0000-0000-0000C31E0000}"/>
    <cellStyle name="Normal 14 2 2 4 2 3" xfId="27698" xr:uid="{00000000-0005-0000-0000-0000C41E0000}"/>
    <cellStyle name="Normal 14 2 2 4 3" xfId="12912" xr:uid="{00000000-0005-0000-0000-0000C51E0000}"/>
    <cellStyle name="Normal 14 2 2 4 3 2" xfId="32627" xr:uid="{00000000-0005-0000-0000-0000C61E0000}"/>
    <cellStyle name="Normal 14 2 2 4 4" xfId="22770" xr:uid="{00000000-0005-0000-0000-0000C71E0000}"/>
    <cellStyle name="Normal 14 2 2 5" xfId="5516" xr:uid="{00000000-0005-0000-0000-0000C81E0000}"/>
    <cellStyle name="Normal 14 2 2 5 2" xfId="15376" xr:uid="{00000000-0005-0000-0000-0000C91E0000}"/>
    <cellStyle name="Normal 14 2 2 5 2 2" xfId="35091" xr:uid="{00000000-0005-0000-0000-0000CA1E0000}"/>
    <cellStyle name="Normal 14 2 2 5 3" xfId="25234" xr:uid="{00000000-0005-0000-0000-0000CB1E0000}"/>
    <cellStyle name="Normal 14 2 2 6" xfId="10448" xr:uid="{00000000-0005-0000-0000-0000CC1E0000}"/>
    <cellStyle name="Normal 14 2 2 6 2" xfId="30163" xr:uid="{00000000-0005-0000-0000-0000CD1E0000}"/>
    <cellStyle name="Normal 14 2 2 7" xfId="20306" xr:uid="{00000000-0005-0000-0000-0000CE1E0000}"/>
    <cellStyle name="Normal 14 2 3" xfId="887" xr:uid="{00000000-0005-0000-0000-0000CF1E0000}"/>
    <cellStyle name="Normal 14 2 3 2" xfId="2123" xr:uid="{00000000-0005-0000-0000-0000D01E0000}"/>
    <cellStyle name="Normal 14 2 3 2 2" xfId="4590" xr:uid="{00000000-0005-0000-0000-0000D11E0000}"/>
    <cellStyle name="Normal 14 2 3 2 2 2" xfId="9522" xr:uid="{00000000-0005-0000-0000-0000D21E0000}"/>
    <cellStyle name="Normal 14 2 3 2 2 2 2" xfId="19382" xr:uid="{00000000-0005-0000-0000-0000D31E0000}"/>
    <cellStyle name="Normal 14 2 3 2 2 2 2 2" xfId="39097" xr:uid="{00000000-0005-0000-0000-0000D41E0000}"/>
    <cellStyle name="Normal 14 2 3 2 2 2 3" xfId="29240" xr:uid="{00000000-0005-0000-0000-0000D51E0000}"/>
    <cellStyle name="Normal 14 2 3 2 2 3" xfId="14454" xr:uid="{00000000-0005-0000-0000-0000D61E0000}"/>
    <cellStyle name="Normal 14 2 3 2 2 3 2" xfId="34169" xr:uid="{00000000-0005-0000-0000-0000D71E0000}"/>
    <cellStyle name="Normal 14 2 3 2 2 4" xfId="24312" xr:uid="{00000000-0005-0000-0000-0000D81E0000}"/>
    <cellStyle name="Normal 14 2 3 2 3" xfId="7058" xr:uid="{00000000-0005-0000-0000-0000D91E0000}"/>
    <cellStyle name="Normal 14 2 3 2 3 2" xfId="16918" xr:uid="{00000000-0005-0000-0000-0000DA1E0000}"/>
    <cellStyle name="Normal 14 2 3 2 3 2 2" xfId="36633" xr:uid="{00000000-0005-0000-0000-0000DB1E0000}"/>
    <cellStyle name="Normal 14 2 3 2 3 3" xfId="26776" xr:uid="{00000000-0005-0000-0000-0000DC1E0000}"/>
    <cellStyle name="Normal 14 2 3 2 4" xfId="11990" xr:uid="{00000000-0005-0000-0000-0000DD1E0000}"/>
    <cellStyle name="Normal 14 2 3 2 4 2" xfId="31705" xr:uid="{00000000-0005-0000-0000-0000DE1E0000}"/>
    <cellStyle name="Normal 14 2 3 2 5" xfId="21848" xr:uid="{00000000-0005-0000-0000-0000DF1E0000}"/>
    <cellStyle name="Normal 14 2 3 3" xfId="3358" xr:uid="{00000000-0005-0000-0000-0000E01E0000}"/>
    <cellStyle name="Normal 14 2 3 3 2" xfId="8290" xr:uid="{00000000-0005-0000-0000-0000E11E0000}"/>
    <cellStyle name="Normal 14 2 3 3 2 2" xfId="18150" xr:uid="{00000000-0005-0000-0000-0000E21E0000}"/>
    <cellStyle name="Normal 14 2 3 3 2 2 2" xfId="37865" xr:uid="{00000000-0005-0000-0000-0000E31E0000}"/>
    <cellStyle name="Normal 14 2 3 3 2 3" xfId="28008" xr:uid="{00000000-0005-0000-0000-0000E41E0000}"/>
    <cellStyle name="Normal 14 2 3 3 3" xfId="13222" xr:uid="{00000000-0005-0000-0000-0000E51E0000}"/>
    <cellStyle name="Normal 14 2 3 3 3 2" xfId="32937" xr:uid="{00000000-0005-0000-0000-0000E61E0000}"/>
    <cellStyle name="Normal 14 2 3 3 4" xfId="23080" xr:uid="{00000000-0005-0000-0000-0000E71E0000}"/>
    <cellStyle name="Normal 14 2 3 4" xfId="5826" xr:uid="{00000000-0005-0000-0000-0000E81E0000}"/>
    <cellStyle name="Normal 14 2 3 4 2" xfId="15686" xr:uid="{00000000-0005-0000-0000-0000E91E0000}"/>
    <cellStyle name="Normal 14 2 3 4 2 2" xfId="35401" xr:uid="{00000000-0005-0000-0000-0000EA1E0000}"/>
    <cellStyle name="Normal 14 2 3 4 3" xfId="25544" xr:uid="{00000000-0005-0000-0000-0000EB1E0000}"/>
    <cellStyle name="Normal 14 2 3 5" xfId="10758" xr:uid="{00000000-0005-0000-0000-0000EC1E0000}"/>
    <cellStyle name="Normal 14 2 3 5 2" xfId="30473" xr:uid="{00000000-0005-0000-0000-0000ED1E0000}"/>
    <cellStyle name="Normal 14 2 3 6" xfId="20616" xr:uid="{00000000-0005-0000-0000-0000EE1E0000}"/>
    <cellStyle name="Normal 14 2 4" xfId="1507" xr:uid="{00000000-0005-0000-0000-0000EF1E0000}"/>
    <cellStyle name="Normal 14 2 4 2" xfId="3974" xr:uid="{00000000-0005-0000-0000-0000F01E0000}"/>
    <cellStyle name="Normal 14 2 4 2 2" xfId="8906" xr:uid="{00000000-0005-0000-0000-0000F11E0000}"/>
    <cellStyle name="Normal 14 2 4 2 2 2" xfId="18766" xr:uid="{00000000-0005-0000-0000-0000F21E0000}"/>
    <cellStyle name="Normal 14 2 4 2 2 2 2" xfId="38481" xr:uid="{00000000-0005-0000-0000-0000F31E0000}"/>
    <cellStyle name="Normal 14 2 4 2 2 3" xfId="28624" xr:uid="{00000000-0005-0000-0000-0000F41E0000}"/>
    <cellStyle name="Normal 14 2 4 2 3" xfId="13838" xr:uid="{00000000-0005-0000-0000-0000F51E0000}"/>
    <cellStyle name="Normal 14 2 4 2 3 2" xfId="33553" xr:uid="{00000000-0005-0000-0000-0000F61E0000}"/>
    <cellStyle name="Normal 14 2 4 2 4" xfId="23696" xr:uid="{00000000-0005-0000-0000-0000F71E0000}"/>
    <cellStyle name="Normal 14 2 4 3" xfId="6442" xr:uid="{00000000-0005-0000-0000-0000F81E0000}"/>
    <cellStyle name="Normal 14 2 4 3 2" xfId="16302" xr:uid="{00000000-0005-0000-0000-0000F91E0000}"/>
    <cellStyle name="Normal 14 2 4 3 2 2" xfId="36017" xr:uid="{00000000-0005-0000-0000-0000FA1E0000}"/>
    <cellStyle name="Normal 14 2 4 3 3" xfId="26160" xr:uid="{00000000-0005-0000-0000-0000FB1E0000}"/>
    <cellStyle name="Normal 14 2 4 4" xfId="11374" xr:uid="{00000000-0005-0000-0000-0000FC1E0000}"/>
    <cellStyle name="Normal 14 2 4 4 2" xfId="31089" xr:uid="{00000000-0005-0000-0000-0000FD1E0000}"/>
    <cellStyle name="Normal 14 2 4 5" xfId="21232" xr:uid="{00000000-0005-0000-0000-0000FE1E0000}"/>
    <cellStyle name="Normal 14 2 5" xfId="2742" xr:uid="{00000000-0005-0000-0000-0000FF1E0000}"/>
    <cellStyle name="Normal 14 2 5 2" xfId="7674" xr:uid="{00000000-0005-0000-0000-0000001F0000}"/>
    <cellStyle name="Normal 14 2 5 2 2" xfId="17534" xr:uid="{00000000-0005-0000-0000-0000011F0000}"/>
    <cellStyle name="Normal 14 2 5 2 2 2" xfId="37249" xr:uid="{00000000-0005-0000-0000-0000021F0000}"/>
    <cellStyle name="Normal 14 2 5 2 3" xfId="27392" xr:uid="{00000000-0005-0000-0000-0000031F0000}"/>
    <cellStyle name="Normal 14 2 5 3" xfId="12606" xr:uid="{00000000-0005-0000-0000-0000041F0000}"/>
    <cellStyle name="Normal 14 2 5 3 2" xfId="32321" xr:uid="{00000000-0005-0000-0000-0000051F0000}"/>
    <cellStyle name="Normal 14 2 5 4" xfId="22464" xr:uid="{00000000-0005-0000-0000-0000061F0000}"/>
    <cellStyle name="Normal 14 2 6" xfId="5210" xr:uid="{00000000-0005-0000-0000-0000071F0000}"/>
    <cellStyle name="Normal 14 2 6 2" xfId="15070" xr:uid="{00000000-0005-0000-0000-0000081F0000}"/>
    <cellStyle name="Normal 14 2 6 2 2" xfId="34785" xr:uid="{00000000-0005-0000-0000-0000091F0000}"/>
    <cellStyle name="Normal 14 2 6 3" xfId="24928" xr:uid="{00000000-0005-0000-0000-00000A1F0000}"/>
    <cellStyle name="Normal 14 2 7" xfId="10142" xr:uid="{00000000-0005-0000-0000-00000B1F0000}"/>
    <cellStyle name="Normal 14 2 7 2" xfId="29857" xr:uid="{00000000-0005-0000-0000-00000C1F0000}"/>
    <cellStyle name="Normal 14 2 8" xfId="20000" xr:uid="{00000000-0005-0000-0000-00000D1F0000}"/>
    <cellStyle name="Normal 14 3" xfId="422" xr:uid="{00000000-0005-0000-0000-00000E1F0000}"/>
    <cellStyle name="Normal 14 3 2" xfId="1042" xr:uid="{00000000-0005-0000-0000-00000F1F0000}"/>
    <cellStyle name="Normal 14 3 2 2" xfId="2277" xr:uid="{00000000-0005-0000-0000-0000101F0000}"/>
    <cellStyle name="Normal 14 3 2 2 2" xfId="4744" xr:uid="{00000000-0005-0000-0000-0000111F0000}"/>
    <cellStyle name="Normal 14 3 2 2 2 2" xfId="9676" xr:uid="{00000000-0005-0000-0000-0000121F0000}"/>
    <cellStyle name="Normal 14 3 2 2 2 2 2" xfId="19536" xr:uid="{00000000-0005-0000-0000-0000131F0000}"/>
    <cellStyle name="Normal 14 3 2 2 2 2 2 2" xfId="39251" xr:uid="{00000000-0005-0000-0000-0000141F0000}"/>
    <cellStyle name="Normal 14 3 2 2 2 2 3" xfId="29394" xr:uid="{00000000-0005-0000-0000-0000151F0000}"/>
    <cellStyle name="Normal 14 3 2 2 2 3" xfId="14608" xr:uid="{00000000-0005-0000-0000-0000161F0000}"/>
    <cellStyle name="Normal 14 3 2 2 2 3 2" xfId="34323" xr:uid="{00000000-0005-0000-0000-0000171F0000}"/>
    <cellStyle name="Normal 14 3 2 2 2 4" xfId="24466" xr:uid="{00000000-0005-0000-0000-0000181F0000}"/>
    <cellStyle name="Normal 14 3 2 2 3" xfId="7212" xr:uid="{00000000-0005-0000-0000-0000191F0000}"/>
    <cellStyle name="Normal 14 3 2 2 3 2" xfId="17072" xr:uid="{00000000-0005-0000-0000-00001A1F0000}"/>
    <cellStyle name="Normal 14 3 2 2 3 2 2" xfId="36787" xr:uid="{00000000-0005-0000-0000-00001B1F0000}"/>
    <cellStyle name="Normal 14 3 2 2 3 3" xfId="26930" xr:uid="{00000000-0005-0000-0000-00001C1F0000}"/>
    <cellStyle name="Normal 14 3 2 2 4" xfId="12144" xr:uid="{00000000-0005-0000-0000-00001D1F0000}"/>
    <cellStyle name="Normal 14 3 2 2 4 2" xfId="31859" xr:uid="{00000000-0005-0000-0000-00001E1F0000}"/>
    <cellStyle name="Normal 14 3 2 2 5" xfId="22002" xr:uid="{00000000-0005-0000-0000-00001F1F0000}"/>
    <cellStyle name="Normal 14 3 2 3" xfId="3512" xr:uid="{00000000-0005-0000-0000-0000201F0000}"/>
    <cellStyle name="Normal 14 3 2 3 2" xfId="8444" xr:uid="{00000000-0005-0000-0000-0000211F0000}"/>
    <cellStyle name="Normal 14 3 2 3 2 2" xfId="18304" xr:uid="{00000000-0005-0000-0000-0000221F0000}"/>
    <cellStyle name="Normal 14 3 2 3 2 2 2" xfId="38019" xr:uid="{00000000-0005-0000-0000-0000231F0000}"/>
    <cellStyle name="Normal 14 3 2 3 2 3" xfId="28162" xr:uid="{00000000-0005-0000-0000-0000241F0000}"/>
    <cellStyle name="Normal 14 3 2 3 3" xfId="13376" xr:uid="{00000000-0005-0000-0000-0000251F0000}"/>
    <cellStyle name="Normal 14 3 2 3 3 2" xfId="33091" xr:uid="{00000000-0005-0000-0000-0000261F0000}"/>
    <cellStyle name="Normal 14 3 2 3 4" xfId="23234" xr:uid="{00000000-0005-0000-0000-0000271F0000}"/>
    <cellStyle name="Normal 14 3 2 4" xfId="5980" xr:uid="{00000000-0005-0000-0000-0000281F0000}"/>
    <cellStyle name="Normal 14 3 2 4 2" xfId="15840" xr:uid="{00000000-0005-0000-0000-0000291F0000}"/>
    <cellStyle name="Normal 14 3 2 4 2 2" xfId="35555" xr:uid="{00000000-0005-0000-0000-00002A1F0000}"/>
    <cellStyle name="Normal 14 3 2 4 3" xfId="25698" xr:uid="{00000000-0005-0000-0000-00002B1F0000}"/>
    <cellStyle name="Normal 14 3 2 5" xfId="10912" xr:uid="{00000000-0005-0000-0000-00002C1F0000}"/>
    <cellStyle name="Normal 14 3 2 5 2" xfId="30627" xr:uid="{00000000-0005-0000-0000-00002D1F0000}"/>
    <cellStyle name="Normal 14 3 2 6" xfId="20770" xr:uid="{00000000-0005-0000-0000-00002E1F0000}"/>
    <cellStyle name="Normal 14 3 3" xfId="1661" xr:uid="{00000000-0005-0000-0000-00002F1F0000}"/>
    <cellStyle name="Normal 14 3 3 2" xfId="4128" xr:uid="{00000000-0005-0000-0000-0000301F0000}"/>
    <cellStyle name="Normal 14 3 3 2 2" xfId="9060" xr:uid="{00000000-0005-0000-0000-0000311F0000}"/>
    <cellStyle name="Normal 14 3 3 2 2 2" xfId="18920" xr:uid="{00000000-0005-0000-0000-0000321F0000}"/>
    <cellStyle name="Normal 14 3 3 2 2 2 2" xfId="38635" xr:uid="{00000000-0005-0000-0000-0000331F0000}"/>
    <cellStyle name="Normal 14 3 3 2 2 3" xfId="28778" xr:uid="{00000000-0005-0000-0000-0000341F0000}"/>
    <cellStyle name="Normal 14 3 3 2 3" xfId="13992" xr:uid="{00000000-0005-0000-0000-0000351F0000}"/>
    <cellStyle name="Normal 14 3 3 2 3 2" xfId="33707" xr:uid="{00000000-0005-0000-0000-0000361F0000}"/>
    <cellStyle name="Normal 14 3 3 2 4" xfId="23850" xr:uid="{00000000-0005-0000-0000-0000371F0000}"/>
    <cellStyle name="Normal 14 3 3 3" xfId="6596" xr:uid="{00000000-0005-0000-0000-0000381F0000}"/>
    <cellStyle name="Normal 14 3 3 3 2" xfId="16456" xr:uid="{00000000-0005-0000-0000-0000391F0000}"/>
    <cellStyle name="Normal 14 3 3 3 2 2" xfId="36171" xr:uid="{00000000-0005-0000-0000-00003A1F0000}"/>
    <cellStyle name="Normal 14 3 3 3 3" xfId="26314" xr:uid="{00000000-0005-0000-0000-00003B1F0000}"/>
    <cellStyle name="Normal 14 3 3 4" xfId="11528" xr:uid="{00000000-0005-0000-0000-00003C1F0000}"/>
    <cellStyle name="Normal 14 3 3 4 2" xfId="31243" xr:uid="{00000000-0005-0000-0000-00003D1F0000}"/>
    <cellStyle name="Normal 14 3 3 5" xfId="21386" xr:uid="{00000000-0005-0000-0000-00003E1F0000}"/>
    <cellStyle name="Normal 14 3 4" xfId="2896" xr:uid="{00000000-0005-0000-0000-00003F1F0000}"/>
    <cellStyle name="Normal 14 3 4 2" xfId="7828" xr:uid="{00000000-0005-0000-0000-0000401F0000}"/>
    <cellStyle name="Normal 14 3 4 2 2" xfId="17688" xr:uid="{00000000-0005-0000-0000-0000411F0000}"/>
    <cellStyle name="Normal 14 3 4 2 2 2" xfId="37403" xr:uid="{00000000-0005-0000-0000-0000421F0000}"/>
    <cellStyle name="Normal 14 3 4 2 3" xfId="27546" xr:uid="{00000000-0005-0000-0000-0000431F0000}"/>
    <cellStyle name="Normal 14 3 4 3" xfId="12760" xr:uid="{00000000-0005-0000-0000-0000441F0000}"/>
    <cellStyle name="Normal 14 3 4 3 2" xfId="32475" xr:uid="{00000000-0005-0000-0000-0000451F0000}"/>
    <cellStyle name="Normal 14 3 4 4" xfId="22618" xr:uid="{00000000-0005-0000-0000-0000461F0000}"/>
    <cellStyle name="Normal 14 3 5" xfId="5364" xr:uid="{00000000-0005-0000-0000-0000471F0000}"/>
    <cellStyle name="Normal 14 3 5 2" xfId="15224" xr:uid="{00000000-0005-0000-0000-0000481F0000}"/>
    <cellStyle name="Normal 14 3 5 2 2" xfId="34939" xr:uid="{00000000-0005-0000-0000-0000491F0000}"/>
    <cellStyle name="Normal 14 3 5 3" xfId="25082" xr:uid="{00000000-0005-0000-0000-00004A1F0000}"/>
    <cellStyle name="Normal 14 3 6" xfId="10296" xr:uid="{00000000-0005-0000-0000-00004B1F0000}"/>
    <cellStyle name="Normal 14 3 6 2" xfId="30011" xr:uid="{00000000-0005-0000-0000-00004C1F0000}"/>
    <cellStyle name="Normal 14 3 7" xfId="20154" xr:uid="{00000000-0005-0000-0000-00004D1F0000}"/>
    <cellStyle name="Normal 14 4" xfId="735" xr:uid="{00000000-0005-0000-0000-00004E1F0000}"/>
    <cellStyle name="Normal 14 4 2" xfId="1971" xr:uid="{00000000-0005-0000-0000-00004F1F0000}"/>
    <cellStyle name="Normal 14 4 2 2" xfId="4438" xr:uid="{00000000-0005-0000-0000-0000501F0000}"/>
    <cellStyle name="Normal 14 4 2 2 2" xfId="9370" xr:uid="{00000000-0005-0000-0000-0000511F0000}"/>
    <cellStyle name="Normal 14 4 2 2 2 2" xfId="19230" xr:uid="{00000000-0005-0000-0000-0000521F0000}"/>
    <cellStyle name="Normal 14 4 2 2 2 2 2" xfId="38945" xr:uid="{00000000-0005-0000-0000-0000531F0000}"/>
    <cellStyle name="Normal 14 4 2 2 2 3" xfId="29088" xr:uid="{00000000-0005-0000-0000-0000541F0000}"/>
    <cellStyle name="Normal 14 4 2 2 3" xfId="14302" xr:uid="{00000000-0005-0000-0000-0000551F0000}"/>
    <cellStyle name="Normal 14 4 2 2 3 2" xfId="34017" xr:uid="{00000000-0005-0000-0000-0000561F0000}"/>
    <cellStyle name="Normal 14 4 2 2 4" xfId="24160" xr:uid="{00000000-0005-0000-0000-0000571F0000}"/>
    <cellStyle name="Normal 14 4 2 3" xfId="6906" xr:uid="{00000000-0005-0000-0000-0000581F0000}"/>
    <cellStyle name="Normal 14 4 2 3 2" xfId="16766" xr:uid="{00000000-0005-0000-0000-0000591F0000}"/>
    <cellStyle name="Normal 14 4 2 3 2 2" xfId="36481" xr:uid="{00000000-0005-0000-0000-00005A1F0000}"/>
    <cellStyle name="Normal 14 4 2 3 3" xfId="26624" xr:uid="{00000000-0005-0000-0000-00005B1F0000}"/>
    <cellStyle name="Normal 14 4 2 4" xfId="11838" xr:uid="{00000000-0005-0000-0000-00005C1F0000}"/>
    <cellStyle name="Normal 14 4 2 4 2" xfId="31553" xr:uid="{00000000-0005-0000-0000-00005D1F0000}"/>
    <cellStyle name="Normal 14 4 2 5" xfId="21696" xr:uid="{00000000-0005-0000-0000-00005E1F0000}"/>
    <cellStyle name="Normal 14 4 3" xfId="3206" xr:uid="{00000000-0005-0000-0000-00005F1F0000}"/>
    <cellStyle name="Normal 14 4 3 2" xfId="8138" xr:uid="{00000000-0005-0000-0000-0000601F0000}"/>
    <cellStyle name="Normal 14 4 3 2 2" xfId="17998" xr:uid="{00000000-0005-0000-0000-0000611F0000}"/>
    <cellStyle name="Normal 14 4 3 2 2 2" xfId="37713" xr:uid="{00000000-0005-0000-0000-0000621F0000}"/>
    <cellStyle name="Normal 14 4 3 2 3" xfId="27856" xr:uid="{00000000-0005-0000-0000-0000631F0000}"/>
    <cellStyle name="Normal 14 4 3 3" xfId="13070" xr:uid="{00000000-0005-0000-0000-0000641F0000}"/>
    <cellStyle name="Normal 14 4 3 3 2" xfId="32785" xr:uid="{00000000-0005-0000-0000-0000651F0000}"/>
    <cellStyle name="Normal 14 4 3 4" xfId="22928" xr:uid="{00000000-0005-0000-0000-0000661F0000}"/>
    <cellStyle name="Normal 14 4 4" xfId="5674" xr:uid="{00000000-0005-0000-0000-0000671F0000}"/>
    <cellStyle name="Normal 14 4 4 2" xfId="15534" xr:uid="{00000000-0005-0000-0000-0000681F0000}"/>
    <cellStyle name="Normal 14 4 4 2 2" xfId="35249" xr:uid="{00000000-0005-0000-0000-0000691F0000}"/>
    <cellStyle name="Normal 14 4 4 3" xfId="25392" xr:uid="{00000000-0005-0000-0000-00006A1F0000}"/>
    <cellStyle name="Normal 14 4 5" xfId="10606" xr:uid="{00000000-0005-0000-0000-00006B1F0000}"/>
    <cellStyle name="Normal 14 4 5 2" xfId="30321" xr:uid="{00000000-0005-0000-0000-00006C1F0000}"/>
    <cellStyle name="Normal 14 4 6" xfId="20464" xr:uid="{00000000-0005-0000-0000-00006D1F0000}"/>
    <cellStyle name="Normal 14 5" xfId="1355" xr:uid="{00000000-0005-0000-0000-00006E1F0000}"/>
    <cellStyle name="Normal 14 5 2" xfId="3822" xr:uid="{00000000-0005-0000-0000-00006F1F0000}"/>
    <cellStyle name="Normal 14 5 2 2" xfId="8754" xr:uid="{00000000-0005-0000-0000-0000701F0000}"/>
    <cellStyle name="Normal 14 5 2 2 2" xfId="18614" xr:uid="{00000000-0005-0000-0000-0000711F0000}"/>
    <cellStyle name="Normal 14 5 2 2 2 2" xfId="38329" xr:uid="{00000000-0005-0000-0000-0000721F0000}"/>
    <cellStyle name="Normal 14 5 2 2 3" xfId="28472" xr:uid="{00000000-0005-0000-0000-0000731F0000}"/>
    <cellStyle name="Normal 14 5 2 3" xfId="13686" xr:uid="{00000000-0005-0000-0000-0000741F0000}"/>
    <cellStyle name="Normal 14 5 2 3 2" xfId="33401" xr:uid="{00000000-0005-0000-0000-0000751F0000}"/>
    <cellStyle name="Normal 14 5 2 4" xfId="23544" xr:uid="{00000000-0005-0000-0000-0000761F0000}"/>
    <cellStyle name="Normal 14 5 3" xfId="6290" xr:uid="{00000000-0005-0000-0000-0000771F0000}"/>
    <cellStyle name="Normal 14 5 3 2" xfId="16150" xr:uid="{00000000-0005-0000-0000-0000781F0000}"/>
    <cellStyle name="Normal 14 5 3 2 2" xfId="35865" xr:uid="{00000000-0005-0000-0000-0000791F0000}"/>
    <cellStyle name="Normal 14 5 3 3" xfId="26008" xr:uid="{00000000-0005-0000-0000-00007A1F0000}"/>
    <cellStyle name="Normal 14 5 4" xfId="11222" xr:uid="{00000000-0005-0000-0000-00007B1F0000}"/>
    <cellStyle name="Normal 14 5 4 2" xfId="30937" xr:uid="{00000000-0005-0000-0000-00007C1F0000}"/>
    <cellStyle name="Normal 14 5 5" xfId="21080" xr:uid="{00000000-0005-0000-0000-00007D1F0000}"/>
    <cellStyle name="Normal 14 6" xfId="2590" xr:uid="{00000000-0005-0000-0000-00007E1F0000}"/>
    <cellStyle name="Normal 14 6 2" xfId="7522" xr:uid="{00000000-0005-0000-0000-00007F1F0000}"/>
    <cellStyle name="Normal 14 6 2 2" xfId="17382" xr:uid="{00000000-0005-0000-0000-0000801F0000}"/>
    <cellStyle name="Normal 14 6 2 2 2" xfId="37097" xr:uid="{00000000-0005-0000-0000-0000811F0000}"/>
    <cellStyle name="Normal 14 6 2 3" xfId="27240" xr:uid="{00000000-0005-0000-0000-0000821F0000}"/>
    <cellStyle name="Normal 14 6 3" xfId="12454" xr:uid="{00000000-0005-0000-0000-0000831F0000}"/>
    <cellStyle name="Normal 14 6 3 2" xfId="32169" xr:uid="{00000000-0005-0000-0000-0000841F0000}"/>
    <cellStyle name="Normal 14 6 4" xfId="22312" xr:uid="{00000000-0005-0000-0000-0000851F0000}"/>
    <cellStyle name="Normal 14 7" xfId="5058" xr:uid="{00000000-0005-0000-0000-0000861F0000}"/>
    <cellStyle name="Normal 14 7 2" xfId="14918" xr:uid="{00000000-0005-0000-0000-0000871F0000}"/>
    <cellStyle name="Normal 14 7 2 2" xfId="34633" xr:uid="{00000000-0005-0000-0000-0000881F0000}"/>
    <cellStyle name="Normal 14 7 3" xfId="24776" xr:uid="{00000000-0005-0000-0000-0000891F0000}"/>
    <cellStyle name="Normal 14 8" xfId="9990" xr:uid="{00000000-0005-0000-0000-00008A1F0000}"/>
    <cellStyle name="Normal 14 8 2" xfId="29705" xr:uid="{00000000-0005-0000-0000-00008B1F0000}"/>
    <cellStyle name="Normal 14 9" xfId="19848" xr:uid="{00000000-0005-0000-0000-00008C1F0000}"/>
    <cellStyle name="Normal 15" xfId="104" xr:uid="{00000000-0005-0000-0000-00008D1F0000}"/>
    <cellStyle name="Normal 15 2" xfId="180" xr:uid="{00000000-0005-0000-0000-00008E1F0000}"/>
    <cellStyle name="Normal 16" xfId="185" xr:uid="{00000000-0005-0000-0000-00008F1F0000}"/>
    <cellStyle name="Normal 16 2" xfId="339" xr:uid="{00000000-0005-0000-0000-0000901F0000}"/>
    <cellStyle name="Normal 17" xfId="181" xr:uid="{00000000-0005-0000-0000-0000911F0000}"/>
    <cellStyle name="Normal 17 2" xfId="498" xr:uid="{00000000-0005-0000-0000-0000921F0000}"/>
    <cellStyle name="Normal 17 2 2" xfId="1118" xr:uid="{00000000-0005-0000-0000-0000931F0000}"/>
    <cellStyle name="Normal 17 2 2 2" xfId="2353" xr:uid="{00000000-0005-0000-0000-0000941F0000}"/>
    <cellStyle name="Normal 17 2 2 2 2" xfId="4820" xr:uid="{00000000-0005-0000-0000-0000951F0000}"/>
    <cellStyle name="Normal 17 2 2 2 2 2" xfId="9752" xr:uid="{00000000-0005-0000-0000-0000961F0000}"/>
    <cellStyle name="Normal 17 2 2 2 2 2 2" xfId="19612" xr:uid="{00000000-0005-0000-0000-0000971F0000}"/>
    <cellStyle name="Normal 17 2 2 2 2 2 2 2" xfId="39327" xr:uid="{00000000-0005-0000-0000-0000981F0000}"/>
    <cellStyle name="Normal 17 2 2 2 2 2 3" xfId="29470" xr:uid="{00000000-0005-0000-0000-0000991F0000}"/>
    <cellStyle name="Normal 17 2 2 2 2 3" xfId="14684" xr:uid="{00000000-0005-0000-0000-00009A1F0000}"/>
    <cellStyle name="Normal 17 2 2 2 2 3 2" xfId="34399" xr:uid="{00000000-0005-0000-0000-00009B1F0000}"/>
    <cellStyle name="Normal 17 2 2 2 2 4" xfId="24542" xr:uid="{00000000-0005-0000-0000-00009C1F0000}"/>
    <cellStyle name="Normal 17 2 2 2 3" xfId="7288" xr:uid="{00000000-0005-0000-0000-00009D1F0000}"/>
    <cellStyle name="Normal 17 2 2 2 3 2" xfId="17148" xr:uid="{00000000-0005-0000-0000-00009E1F0000}"/>
    <cellStyle name="Normal 17 2 2 2 3 2 2" xfId="36863" xr:uid="{00000000-0005-0000-0000-00009F1F0000}"/>
    <cellStyle name="Normal 17 2 2 2 3 3" xfId="27006" xr:uid="{00000000-0005-0000-0000-0000A01F0000}"/>
    <cellStyle name="Normal 17 2 2 2 4" xfId="12220" xr:uid="{00000000-0005-0000-0000-0000A11F0000}"/>
    <cellStyle name="Normal 17 2 2 2 4 2" xfId="31935" xr:uid="{00000000-0005-0000-0000-0000A21F0000}"/>
    <cellStyle name="Normal 17 2 2 2 5" xfId="22078" xr:uid="{00000000-0005-0000-0000-0000A31F0000}"/>
    <cellStyle name="Normal 17 2 2 3" xfId="3588" xr:uid="{00000000-0005-0000-0000-0000A41F0000}"/>
    <cellStyle name="Normal 17 2 2 3 2" xfId="8520" xr:uid="{00000000-0005-0000-0000-0000A51F0000}"/>
    <cellStyle name="Normal 17 2 2 3 2 2" xfId="18380" xr:uid="{00000000-0005-0000-0000-0000A61F0000}"/>
    <cellStyle name="Normal 17 2 2 3 2 2 2" xfId="38095" xr:uid="{00000000-0005-0000-0000-0000A71F0000}"/>
    <cellStyle name="Normal 17 2 2 3 2 3" xfId="28238" xr:uid="{00000000-0005-0000-0000-0000A81F0000}"/>
    <cellStyle name="Normal 17 2 2 3 3" xfId="13452" xr:uid="{00000000-0005-0000-0000-0000A91F0000}"/>
    <cellStyle name="Normal 17 2 2 3 3 2" xfId="33167" xr:uid="{00000000-0005-0000-0000-0000AA1F0000}"/>
    <cellStyle name="Normal 17 2 2 3 4" xfId="23310" xr:uid="{00000000-0005-0000-0000-0000AB1F0000}"/>
    <cellStyle name="Normal 17 2 2 4" xfId="6056" xr:uid="{00000000-0005-0000-0000-0000AC1F0000}"/>
    <cellStyle name="Normal 17 2 2 4 2" xfId="15916" xr:uid="{00000000-0005-0000-0000-0000AD1F0000}"/>
    <cellStyle name="Normal 17 2 2 4 2 2" xfId="35631" xr:uid="{00000000-0005-0000-0000-0000AE1F0000}"/>
    <cellStyle name="Normal 17 2 2 4 3" xfId="25774" xr:uid="{00000000-0005-0000-0000-0000AF1F0000}"/>
    <cellStyle name="Normal 17 2 2 5" xfId="10988" xr:uid="{00000000-0005-0000-0000-0000B01F0000}"/>
    <cellStyle name="Normal 17 2 2 5 2" xfId="30703" xr:uid="{00000000-0005-0000-0000-0000B11F0000}"/>
    <cellStyle name="Normal 17 2 2 6" xfId="20846" xr:uid="{00000000-0005-0000-0000-0000B21F0000}"/>
    <cellStyle name="Normal 17 2 3" xfId="1737" xr:uid="{00000000-0005-0000-0000-0000B31F0000}"/>
    <cellStyle name="Normal 17 2 3 2" xfId="4204" xr:uid="{00000000-0005-0000-0000-0000B41F0000}"/>
    <cellStyle name="Normal 17 2 3 2 2" xfId="9136" xr:uid="{00000000-0005-0000-0000-0000B51F0000}"/>
    <cellStyle name="Normal 17 2 3 2 2 2" xfId="18996" xr:uid="{00000000-0005-0000-0000-0000B61F0000}"/>
    <cellStyle name="Normal 17 2 3 2 2 2 2" xfId="38711" xr:uid="{00000000-0005-0000-0000-0000B71F0000}"/>
    <cellStyle name="Normal 17 2 3 2 2 3" xfId="28854" xr:uid="{00000000-0005-0000-0000-0000B81F0000}"/>
    <cellStyle name="Normal 17 2 3 2 3" xfId="14068" xr:uid="{00000000-0005-0000-0000-0000B91F0000}"/>
    <cellStyle name="Normal 17 2 3 2 3 2" xfId="33783" xr:uid="{00000000-0005-0000-0000-0000BA1F0000}"/>
    <cellStyle name="Normal 17 2 3 2 4" xfId="23926" xr:uid="{00000000-0005-0000-0000-0000BB1F0000}"/>
    <cellStyle name="Normal 17 2 3 3" xfId="6672" xr:uid="{00000000-0005-0000-0000-0000BC1F0000}"/>
    <cellStyle name="Normal 17 2 3 3 2" xfId="16532" xr:uid="{00000000-0005-0000-0000-0000BD1F0000}"/>
    <cellStyle name="Normal 17 2 3 3 2 2" xfId="36247" xr:uid="{00000000-0005-0000-0000-0000BE1F0000}"/>
    <cellStyle name="Normal 17 2 3 3 3" xfId="26390" xr:uid="{00000000-0005-0000-0000-0000BF1F0000}"/>
    <cellStyle name="Normal 17 2 3 4" xfId="11604" xr:uid="{00000000-0005-0000-0000-0000C01F0000}"/>
    <cellStyle name="Normal 17 2 3 4 2" xfId="31319" xr:uid="{00000000-0005-0000-0000-0000C11F0000}"/>
    <cellStyle name="Normal 17 2 3 5" xfId="21462" xr:uid="{00000000-0005-0000-0000-0000C21F0000}"/>
    <cellStyle name="Normal 17 2 4" xfId="2972" xr:uid="{00000000-0005-0000-0000-0000C31F0000}"/>
    <cellStyle name="Normal 17 2 4 2" xfId="7904" xr:uid="{00000000-0005-0000-0000-0000C41F0000}"/>
    <cellStyle name="Normal 17 2 4 2 2" xfId="17764" xr:uid="{00000000-0005-0000-0000-0000C51F0000}"/>
    <cellStyle name="Normal 17 2 4 2 2 2" xfId="37479" xr:uid="{00000000-0005-0000-0000-0000C61F0000}"/>
    <cellStyle name="Normal 17 2 4 2 3" xfId="27622" xr:uid="{00000000-0005-0000-0000-0000C71F0000}"/>
    <cellStyle name="Normal 17 2 4 3" xfId="12836" xr:uid="{00000000-0005-0000-0000-0000C81F0000}"/>
    <cellStyle name="Normal 17 2 4 3 2" xfId="32551" xr:uid="{00000000-0005-0000-0000-0000C91F0000}"/>
    <cellStyle name="Normal 17 2 4 4" xfId="22694" xr:uid="{00000000-0005-0000-0000-0000CA1F0000}"/>
    <cellStyle name="Normal 17 2 5" xfId="5440" xr:uid="{00000000-0005-0000-0000-0000CB1F0000}"/>
    <cellStyle name="Normal 17 2 5 2" xfId="15300" xr:uid="{00000000-0005-0000-0000-0000CC1F0000}"/>
    <cellStyle name="Normal 17 2 5 2 2" xfId="35015" xr:uid="{00000000-0005-0000-0000-0000CD1F0000}"/>
    <cellStyle name="Normal 17 2 5 3" xfId="25158" xr:uid="{00000000-0005-0000-0000-0000CE1F0000}"/>
    <cellStyle name="Normal 17 2 6" xfId="10372" xr:uid="{00000000-0005-0000-0000-0000CF1F0000}"/>
    <cellStyle name="Normal 17 2 6 2" xfId="30087" xr:uid="{00000000-0005-0000-0000-0000D01F0000}"/>
    <cellStyle name="Normal 17 2 7" xfId="20230" xr:uid="{00000000-0005-0000-0000-0000D11F0000}"/>
    <cellStyle name="Normal 17 3" xfId="811" xr:uid="{00000000-0005-0000-0000-0000D21F0000}"/>
    <cellStyle name="Normal 17 3 2" xfId="2047" xr:uid="{00000000-0005-0000-0000-0000D31F0000}"/>
    <cellStyle name="Normal 17 3 2 2" xfId="4514" xr:uid="{00000000-0005-0000-0000-0000D41F0000}"/>
    <cellStyle name="Normal 17 3 2 2 2" xfId="9446" xr:uid="{00000000-0005-0000-0000-0000D51F0000}"/>
    <cellStyle name="Normal 17 3 2 2 2 2" xfId="19306" xr:uid="{00000000-0005-0000-0000-0000D61F0000}"/>
    <cellStyle name="Normal 17 3 2 2 2 2 2" xfId="39021" xr:uid="{00000000-0005-0000-0000-0000D71F0000}"/>
    <cellStyle name="Normal 17 3 2 2 2 3" xfId="29164" xr:uid="{00000000-0005-0000-0000-0000D81F0000}"/>
    <cellStyle name="Normal 17 3 2 2 3" xfId="14378" xr:uid="{00000000-0005-0000-0000-0000D91F0000}"/>
    <cellStyle name="Normal 17 3 2 2 3 2" xfId="34093" xr:uid="{00000000-0005-0000-0000-0000DA1F0000}"/>
    <cellStyle name="Normal 17 3 2 2 4" xfId="24236" xr:uid="{00000000-0005-0000-0000-0000DB1F0000}"/>
    <cellStyle name="Normal 17 3 2 3" xfId="6982" xr:uid="{00000000-0005-0000-0000-0000DC1F0000}"/>
    <cellStyle name="Normal 17 3 2 3 2" xfId="16842" xr:uid="{00000000-0005-0000-0000-0000DD1F0000}"/>
    <cellStyle name="Normal 17 3 2 3 2 2" xfId="36557" xr:uid="{00000000-0005-0000-0000-0000DE1F0000}"/>
    <cellStyle name="Normal 17 3 2 3 3" xfId="26700" xr:uid="{00000000-0005-0000-0000-0000DF1F0000}"/>
    <cellStyle name="Normal 17 3 2 4" xfId="11914" xr:uid="{00000000-0005-0000-0000-0000E01F0000}"/>
    <cellStyle name="Normal 17 3 2 4 2" xfId="31629" xr:uid="{00000000-0005-0000-0000-0000E11F0000}"/>
    <cellStyle name="Normal 17 3 2 5" xfId="21772" xr:uid="{00000000-0005-0000-0000-0000E21F0000}"/>
    <cellStyle name="Normal 17 3 3" xfId="3282" xr:uid="{00000000-0005-0000-0000-0000E31F0000}"/>
    <cellStyle name="Normal 17 3 3 2" xfId="8214" xr:uid="{00000000-0005-0000-0000-0000E41F0000}"/>
    <cellStyle name="Normal 17 3 3 2 2" xfId="18074" xr:uid="{00000000-0005-0000-0000-0000E51F0000}"/>
    <cellStyle name="Normal 17 3 3 2 2 2" xfId="37789" xr:uid="{00000000-0005-0000-0000-0000E61F0000}"/>
    <cellStyle name="Normal 17 3 3 2 3" xfId="27932" xr:uid="{00000000-0005-0000-0000-0000E71F0000}"/>
    <cellStyle name="Normal 17 3 3 3" xfId="13146" xr:uid="{00000000-0005-0000-0000-0000E81F0000}"/>
    <cellStyle name="Normal 17 3 3 3 2" xfId="32861" xr:uid="{00000000-0005-0000-0000-0000E91F0000}"/>
    <cellStyle name="Normal 17 3 3 4" xfId="23004" xr:uid="{00000000-0005-0000-0000-0000EA1F0000}"/>
    <cellStyle name="Normal 17 3 4" xfId="5750" xr:uid="{00000000-0005-0000-0000-0000EB1F0000}"/>
    <cellStyle name="Normal 17 3 4 2" xfId="15610" xr:uid="{00000000-0005-0000-0000-0000EC1F0000}"/>
    <cellStyle name="Normal 17 3 4 2 2" xfId="35325" xr:uid="{00000000-0005-0000-0000-0000ED1F0000}"/>
    <cellStyle name="Normal 17 3 4 3" xfId="25468" xr:uid="{00000000-0005-0000-0000-0000EE1F0000}"/>
    <cellStyle name="Normal 17 3 5" xfId="10682" xr:uid="{00000000-0005-0000-0000-0000EF1F0000}"/>
    <cellStyle name="Normal 17 3 5 2" xfId="30397" xr:uid="{00000000-0005-0000-0000-0000F01F0000}"/>
    <cellStyle name="Normal 17 3 6" xfId="20540" xr:uid="{00000000-0005-0000-0000-0000F11F0000}"/>
    <cellStyle name="Normal 17 4" xfId="1431" xr:uid="{00000000-0005-0000-0000-0000F21F0000}"/>
    <cellStyle name="Normal 17 4 2" xfId="3898" xr:uid="{00000000-0005-0000-0000-0000F31F0000}"/>
    <cellStyle name="Normal 17 4 2 2" xfId="8830" xr:uid="{00000000-0005-0000-0000-0000F41F0000}"/>
    <cellStyle name="Normal 17 4 2 2 2" xfId="18690" xr:uid="{00000000-0005-0000-0000-0000F51F0000}"/>
    <cellStyle name="Normal 17 4 2 2 2 2" xfId="38405" xr:uid="{00000000-0005-0000-0000-0000F61F0000}"/>
    <cellStyle name="Normal 17 4 2 2 3" xfId="28548" xr:uid="{00000000-0005-0000-0000-0000F71F0000}"/>
    <cellStyle name="Normal 17 4 2 3" xfId="13762" xr:uid="{00000000-0005-0000-0000-0000F81F0000}"/>
    <cellStyle name="Normal 17 4 2 3 2" xfId="33477" xr:uid="{00000000-0005-0000-0000-0000F91F0000}"/>
    <cellStyle name="Normal 17 4 2 4" xfId="23620" xr:uid="{00000000-0005-0000-0000-0000FA1F0000}"/>
    <cellStyle name="Normal 17 4 3" xfId="6366" xr:uid="{00000000-0005-0000-0000-0000FB1F0000}"/>
    <cellStyle name="Normal 17 4 3 2" xfId="16226" xr:uid="{00000000-0005-0000-0000-0000FC1F0000}"/>
    <cellStyle name="Normal 17 4 3 2 2" xfId="35941" xr:uid="{00000000-0005-0000-0000-0000FD1F0000}"/>
    <cellStyle name="Normal 17 4 3 3" xfId="26084" xr:uid="{00000000-0005-0000-0000-0000FE1F0000}"/>
    <cellStyle name="Normal 17 4 4" xfId="11298" xr:uid="{00000000-0005-0000-0000-0000FF1F0000}"/>
    <cellStyle name="Normal 17 4 4 2" xfId="31013" xr:uid="{00000000-0005-0000-0000-000000200000}"/>
    <cellStyle name="Normal 17 4 5" xfId="21156" xr:uid="{00000000-0005-0000-0000-000001200000}"/>
    <cellStyle name="Normal 17 5" xfId="2666" xr:uid="{00000000-0005-0000-0000-000002200000}"/>
    <cellStyle name="Normal 17 5 2" xfId="7598" xr:uid="{00000000-0005-0000-0000-000003200000}"/>
    <cellStyle name="Normal 17 5 2 2" xfId="17458" xr:uid="{00000000-0005-0000-0000-000004200000}"/>
    <cellStyle name="Normal 17 5 2 2 2" xfId="37173" xr:uid="{00000000-0005-0000-0000-000005200000}"/>
    <cellStyle name="Normal 17 5 2 3" xfId="27316" xr:uid="{00000000-0005-0000-0000-000006200000}"/>
    <cellStyle name="Normal 17 5 3" xfId="12530" xr:uid="{00000000-0005-0000-0000-000007200000}"/>
    <cellStyle name="Normal 17 5 3 2" xfId="32245" xr:uid="{00000000-0005-0000-0000-000008200000}"/>
    <cellStyle name="Normal 17 5 4" xfId="22388" xr:uid="{00000000-0005-0000-0000-000009200000}"/>
    <cellStyle name="Normal 17 6" xfId="5134" xr:uid="{00000000-0005-0000-0000-00000A200000}"/>
    <cellStyle name="Normal 17 6 2" xfId="14994" xr:uid="{00000000-0005-0000-0000-00000B200000}"/>
    <cellStyle name="Normal 17 6 2 2" xfId="34709" xr:uid="{00000000-0005-0000-0000-00000C200000}"/>
    <cellStyle name="Normal 17 6 3" xfId="24852" xr:uid="{00000000-0005-0000-0000-00000D200000}"/>
    <cellStyle name="Normal 17 7" xfId="10066" xr:uid="{00000000-0005-0000-0000-00000E200000}"/>
    <cellStyle name="Normal 17 7 2" xfId="29781" xr:uid="{00000000-0005-0000-0000-00000F200000}"/>
    <cellStyle name="Normal 17 8" xfId="19924" xr:uid="{00000000-0005-0000-0000-000010200000}"/>
    <cellStyle name="Normal 18" xfId="336" xr:uid="{00000000-0005-0000-0000-000011200000}"/>
    <cellStyle name="Normal 19" xfId="342" xr:uid="{00000000-0005-0000-0000-000012200000}"/>
    <cellStyle name="Normal 19 2" xfId="651" xr:uid="{00000000-0005-0000-0000-000013200000}"/>
    <cellStyle name="Normal 19 2 2" xfId="1271" xr:uid="{00000000-0005-0000-0000-000014200000}"/>
    <cellStyle name="Normal 19 2 2 2" xfId="2506" xr:uid="{00000000-0005-0000-0000-000015200000}"/>
    <cellStyle name="Normal 19 2 2 2 2" xfId="4973" xr:uid="{00000000-0005-0000-0000-000016200000}"/>
    <cellStyle name="Normal 19 2 2 2 2 2" xfId="9905" xr:uid="{00000000-0005-0000-0000-000017200000}"/>
    <cellStyle name="Normal 19 2 2 2 2 2 2" xfId="19765" xr:uid="{00000000-0005-0000-0000-000018200000}"/>
    <cellStyle name="Normal 19 2 2 2 2 2 2 2" xfId="39480" xr:uid="{00000000-0005-0000-0000-000019200000}"/>
    <cellStyle name="Normal 19 2 2 2 2 2 3" xfId="29623" xr:uid="{00000000-0005-0000-0000-00001A200000}"/>
    <cellStyle name="Normal 19 2 2 2 2 3" xfId="14837" xr:uid="{00000000-0005-0000-0000-00001B200000}"/>
    <cellStyle name="Normal 19 2 2 2 2 3 2" xfId="34552" xr:uid="{00000000-0005-0000-0000-00001C200000}"/>
    <cellStyle name="Normal 19 2 2 2 2 4" xfId="24695" xr:uid="{00000000-0005-0000-0000-00001D200000}"/>
    <cellStyle name="Normal 19 2 2 2 3" xfId="7441" xr:uid="{00000000-0005-0000-0000-00001E200000}"/>
    <cellStyle name="Normal 19 2 2 2 3 2" xfId="17301" xr:uid="{00000000-0005-0000-0000-00001F200000}"/>
    <cellStyle name="Normal 19 2 2 2 3 2 2" xfId="37016" xr:uid="{00000000-0005-0000-0000-000020200000}"/>
    <cellStyle name="Normal 19 2 2 2 3 3" xfId="27159" xr:uid="{00000000-0005-0000-0000-000021200000}"/>
    <cellStyle name="Normal 19 2 2 2 4" xfId="12373" xr:uid="{00000000-0005-0000-0000-000022200000}"/>
    <cellStyle name="Normal 19 2 2 2 4 2" xfId="32088" xr:uid="{00000000-0005-0000-0000-000023200000}"/>
    <cellStyle name="Normal 19 2 2 2 5" xfId="22231" xr:uid="{00000000-0005-0000-0000-000024200000}"/>
    <cellStyle name="Normal 19 2 2 3" xfId="3741" xr:uid="{00000000-0005-0000-0000-000025200000}"/>
    <cellStyle name="Normal 19 2 2 3 2" xfId="8673" xr:uid="{00000000-0005-0000-0000-000026200000}"/>
    <cellStyle name="Normal 19 2 2 3 2 2" xfId="18533" xr:uid="{00000000-0005-0000-0000-000027200000}"/>
    <cellStyle name="Normal 19 2 2 3 2 2 2" xfId="38248" xr:uid="{00000000-0005-0000-0000-000028200000}"/>
    <cellStyle name="Normal 19 2 2 3 2 3" xfId="28391" xr:uid="{00000000-0005-0000-0000-000029200000}"/>
    <cellStyle name="Normal 19 2 2 3 3" xfId="13605" xr:uid="{00000000-0005-0000-0000-00002A200000}"/>
    <cellStyle name="Normal 19 2 2 3 3 2" xfId="33320" xr:uid="{00000000-0005-0000-0000-00002B200000}"/>
    <cellStyle name="Normal 19 2 2 3 4" xfId="23463" xr:uid="{00000000-0005-0000-0000-00002C200000}"/>
    <cellStyle name="Normal 19 2 2 4" xfId="6209" xr:uid="{00000000-0005-0000-0000-00002D200000}"/>
    <cellStyle name="Normal 19 2 2 4 2" xfId="16069" xr:uid="{00000000-0005-0000-0000-00002E200000}"/>
    <cellStyle name="Normal 19 2 2 4 2 2" xfId="35784" xr:uid="{00000000-0005-0000-0000-00002F200000}"/>
    <cellStyle name="Normal 19 2 2 4 3" xfId="25927" xr:uid="{00000000-0005-0000-0000-000030200000}"/>
    <cellStyle name="Normal 19 2 2 5" xfId="11141" xr:uid="{00000000-0005-0000-0000-000031200000}"/>
    <cellStyle name="Normal 19 2 2 5 2" xfId="30856" xr:uid="{00000000-0005-0000-0000-000032200000}"/>
    <cellStyle name="Normal 19 2 2 6" xfId="20999" xr:uid="{00000000-0005-0000-0000-000033200000}"/>
    <cellStyle name="Normal 19 2 3" xfId="1890" xr:uid="{00000000-0005-0000-0000-000034200000}"/>
    <cellStyle name="Normal 19 2 3 2" xfId="4357" xr:uid="{00000000-0005-0000-0000-000035200000}"/>
    <cellStyle name="Normal 19 2 3 2 2" xfId="9289" xr:uid="{00000000-0005-0000-0000-000036200000}"/>
    <cellStyle name="Normal 19 2 3 2 2 2" xfId="19149" xr:uid="{00000000-0005-0000-0000-000037200000}"/>
    <cellStyle name="Normal 19 2 3 2 2 2 2" xfId="38864" xr:uid="{00000000-0005-0000-0000-000038200000}"/>
    <cellStyle name="Normal 19 2 3 2 2 3" xfId="29007" xr:uid="{00000000-0005-0000-0000-000039200000}"/>
    <cellStyle name="Normal 19 2 3 2 3" xfId="14221" xr:uid="{00000000-0005-0000-0000-00003A200000}"/>
    <cellStyle name="Normal 19 2 3 2 3 2" xfId="33936" xr:uid="{00000000-0005-0000-0000-00003B200000}"/>
    <cellStyle name="Normal 19 2 3 2 4" xfId="24079" xr:uid="{00000000-0005-0000-0000-00003C200000}"/>
    <cellStyle name="Normal 19 2 3 3" xfId="6825" xr:uid="{00000000-0005-0000-0000-00003D200000}"/>
    <cellStyle name="Normal 19 2 3 3 2" xfId="16685" xr:uid="{00000000-0005-0000-0000-00003E200000}"/>
    <cellStyle name="Normal 19 2 3 3 2 2" xfId="36400" xr:uid="{00000000-0005-0000-0000-00003F200000}"/>
    <cellStyle name="Normal 19 2 3 3 3" xfId="26543" xr:uid="{00000000-0005-0000-0000-000040200000}"/>
    <cellStyle name="Normal 19 2 3 4" xfId="11757" xr:uid="{00000000-0005-0000-0000-000041200000}"/>
    <cellStyle name="Normal 19 2 3 4 2" xfId="31472" xr:uid="{00000000-0005-0000-0000-000042200000}"/>
    <cellStyle name="Normal 19 2 3 5" xfId="21615" xr:uid="{00000000-0005-0000-0000-000043200000}"/>
    <cellStyle name="Normal 19 2 4" xfId="3125" xr:uid="{00000000-0005-0000-0000-000044200000}"/>
    <cellStyle name="Normal 19 2 4 2" xfId="8057" xr:uid="{00000000-0005-0000-0000-000045200000}"/>
    <cellStyle name="Normal 19 2 4 2 2" xfId="17917" xr:uid="{00000000-0005-0000-0000-000046200000}"/>
    <cellStyle name="Normal 19 2 4 2 2 2" xfId="37632" xr:uid="{00000000-0005-0000-0000-000047200000}"/>
    <cellStyle name="Normal 19 2 4 2 3" xfId="27775" xr:uid="{00000000-0005-0000-0000-000048200000}"/>
    <cellStyle name="Normal 19 2 4 3" xfId="12989" xr:uid="{00000000-0005-0000-0000-000049200000}"/>
    <cellStyle name="Normal 19 2 4 3 2" xfId="32704" xr:uid="{00000000-0005-0000-0000-00004A200000}"/>
    <cellStyle name="Normal 19 2 4 4" xfId="22847" xr:uid="{00000000-0005-0000-0000-00004B200000}"/>
    <cellStyle name="Normal 19 2 5" xfId="5593" xr:uid="{00000000-0005-0000-0000-00004C200000}"/>
    <cellStyle name="Normal 19 2 5 2" xfId="15453" xr:uid="{00000000-0005-0000-0000-00004D200000}"/>
    <cellStyle name="Normal 19 2 5 2 2" xfId="35168" xr:uid="{00000000-0005-0000-0000-00004E200000}"/>
    <cellStyle name="Normal 19 2 5 3" xfId="25311" xr:uid="{00000000-0005-0000-0000-00004F200000}"/>
    <cellStyle name="Normal 19 2 6" xfId="10525" xr:uid="{00000000-0005-0000-0000-000050200000}"/>
    <cellStyle name="Normal 19 2 6 2" xfId="30240" xr:uid="{00000000-0005-0000-0000-000051200000}"/>
    <cellStyle name="Normal 19 2 7" xfId="20383" xr:uid="{00000000-0005-0000-0000-000052200000}"/>
    <cellStyle name="Normal 19 3" xfId="964" xr:uid="{00000000-0005-0000-0000-000053200000}"/>
    <cellStyle name="Normal 19 3 2" xfId="2200" xr:uid="{00000000-0005-0000-0000-000054200000}"/>
    <cellStyle name="Normal 19 3 2 2" xfId="4667" xr:uid="{00000000-0005-0000-0000-000055200000}"/>
    <cellStyle name="Normal 19 3 2 2 2" xfId="9599" xr:uid="{00000000-0005-0000-0000-000056200000}"/>
    <cellStyle name="Normal 19 3 2 2 2 2" xfId="19459" xr:uid="{00000000-0005-0000-0000-000057200000}"/>
    <cellStyle name="Normal 19 3 2 2 2 2 2" xfId="39174" xr:uid="{00000000-0005-0000-0000-000058200000}"/>
    <cellStyle name="Normal 19 3 2 2 2 3" xfId="29317" xr:uid="{00000000-0005-0000-0000-000059200000}"/>
    <cellStyle name="Normal 19 3 2 2 3" xfId="14531" xr:uid="{00000000-0005-0000-0000-00005A200000}"/>
    <cellStyle name="Normal 19 3 2 2 3 2" xfId="34246" xr:uid="{00000000-0005-0000-0000-00005B200000}"/>
    <cellStyle name="Normal 19 3 2 2 4" xfId="24389" xr:uid="{00000000-0005-0000-0000-00005C200000}"/>
    <cellStyle name="Normal 19 3 2 3" xfId="7135" xr:uid="{00000000-0005-0000-0000-00005D200000}"/>
    <cellStyle name="Normal 19 3 2 3 2" xfId="16995" xr:uid="{00000000-0005-0000-0000-00005E200000}"/>
    <cellStyle name="Normal 19 3 2 3 2 2" xfId="36710" xr:uid="{00000000-0005-0000-0000-00005F200000}"/>
    <cellStyle name="Normal 19 3 2 3 3" xfId="26853" xr:uid="{00000000-0005-0000-0000-000060200000}"/>
    <cellStyle name="Normal 19 3 2 4" xfId="12067" xr:uid="{00000000-0005-0000-0000-000061200000}"/>
    <cellStyle name="Normal 19 3 2 4 2" xfId="31782" xr:uid="{00000000-0005-0000-0000-000062200000}"/>
    <cellStyle name="Normal 19 3 2 5" xfId="21925" xr:uid="{00000000-0005-0000-0000-000063200000}"/>
    <cellStyle name="Normal 19 3 3" xfId="3435" xr:uid="{00000000-0005-0000-0000-000064200000}"/>
    <cellStyle name="Normal 19 3 3 2" xfId="8367" xr:uid="{00000000-0005-0000-0000-000065200000}"/>
    <cellStyle name="Normal 19 3 3 2 2" xfId="18227" xr:uid="{00000000-0005-0000-0000-000066200000}"/>
    <cellStyle name="Normal 19 3 3 2 2 2" xfId="37942" xr:uid="{00000000-0005-0000-0000-000067200000}"/>
    <cellStyle name="Normal 19 3 3 2 3" xfId="28085" xr:uid="{00000000-0005-0000-0000-000068200000}"/>
    <cellStyle name="Normal 19 3 3 3" xfId="13299" xr:uid="{00000000-0005-0000-0000-000069200000}"/>
    <cellStyle name="Normal 19 3 3 3 2" xfId="33014" xr:uid="{00000000-0005-0000-0000-00006A200000}"/>
    <cellStyle name="Normal 19 3 3 4" xfId="23157" xr:uid="{00000000-0005-0000-0000-00006B200000}"/>
    <cellStyle name="Normal 19 3 4" xfId="5903" xr:uid="{00000000-0005-0000-0000-00006C200000}"/>
    <cellStyle name="Normal 19 3 4 2" xfId="15763" xr:uid="{00000000-0005-0000-0000-00006D200000}"/>
    <cellStyle name="Normal 19 3 4 2 2" xfId="35478" xr:uid="{00000000-0005-0000-0000-00006E200000}"/>
    <cellStyle name="Normal 19 3 4 3" xfId="25621" xr:uid="{00000000-0005-0000-0000-00006F200000}"/>
    <cellStyle name="Normal 19 3 5" xfId="10835" xr:uid="{00000000-0005-0000-0000-000070200000}"/>
    <cellStyle name="Normal 19 3 5 2" xfId="30550" xr:uid="{00000000-0005-0000-0000-000071200000}"/>
    <cellStyle name="Normal 19 3 6" xfId="20693" xr:uid="{00000000-0005-0000-0000-000072200000}"/>
    <cellStyle name="Normal 19 4" xfId="1584" xr:uid="{00000000-0005-0000-0000-000073200000}"/>
    <cellStyle name="Normal 19 4 2" xfId="4051" xr:uid="{00000000-0005-0000-0000-000074200000}"/>
    <cellStyle name="Normal 19 4 2 2" xfId="8983" xr:uid="{00000000-0005-0000-0000-000075200000}"/>
    <cellStyle name="Normal 19 4 2 2 2" xfId="18843" xr:uid="{00000000-0005-0000-0000-000076200000}"/>
    <cellStyle name="Normal 19 4 2 2 2 2" xfId="38558" xr:uid="{00000000-0005-0000-0000-000077200000}"/>
    <cellStyle name="Normal 19 4 2 2 3" xfId="28701" xr:uid="{00000000-0005-0000-0000-000078200000}"/>
    <cellStyle name="Normal 19 4 2 3" xfId="13915" xr:uid="{00000000-0005-0000-0000-000079200000}"/>
    <cellStyle name="Normal 19 4 2 3 2" xfId="33630" xr:uid="{00000000-0005-0000-0000-00007A200000}"/>
    <cellStyle name="Normal 19 4 2 4" xfId="23773" xr:uid="{00000000-0005-0000-0000-00007B200000}"/>
    <cellStyle name="Normal 19 4 3" xfId="6519" xr:uid="{00000000-0005-0000-0000-00007C200000}"/>
    <cellStyle name="Normal 19 4 3 2" xfId="16379" xr:uid="{00000000-0005-0000-0000-00007D200000}"/>
    <cellStyle name="Normal 19 4 3 2 2" xfId="36094" xr:uid="{00000000-0005-0000-0000-00007E200000}"/>
    <cellStyle name="Normal 19 4 3 3" xfId="26237" xr:uid="{00000000-0005-0000-0000-00007F200000}"/>
    <cellStyle name="Normal 19 4 4" xfId="11451" xr:uid="{00000000-0005-0000-0000-000080200000}"/>
    <cellStyle name="Normal 19 4 4 2" xfId="31166" xr:uid="{00000000-0005-0000-0000-000081200000}"/>
    <cellStyle name="Normal 19 4 5" xfId="21309" xr:uid="{00000000-0005-0000-0000-000082200000}"/>
    <cellStyle name="Normal 19 5" xfId="2819" xr:uid="{00000000-0005-0000-0000-000083200000}"/>
    <cellStyle name="Normal 19 5 2" xfId="7751" xr:uid="{00000000-0005-0000-0000-000084200000}"/>
    <cellStyle name="Normal 19 5 2 2" xfId="17611" xr:uid="{00000000-0005-0000-0000-000085200000}"/>
    <cellStyle name="Normal 19 5 2 2 2" xfId="37326" xr:uid="{00000000-0005-0000-0000-000086200000}"/>
    <cellStyle name="Normal 19 5 2 3" xfId="27469" xr:uid="{00000000-0005-0000-0000-000087200000}"/>
    <cellStyle name="Normal 19 5 3" xfId="12683" xr:uid="{00000000-0005-0000-0000-000088200000}"/>
    <cellStyle name="Normal 19 5 3 2" xfId="32398" xr:uid="{00000000-0005-0000-0000-000089200000}"/>
    <cellStyle name="Normal 19 5 4" xfId="22541" xr:uid="{00000000-0005-0000-0000-00008A200000}"/>
    <cellStyle name="Normal 19 6" xfId="5287" xr:uid="{00000000-0005-0000-0000-00008B200000}"/>
    <cellStyle name="Normal 19 6 2" xfId="15147" xr:uid="{00000000-0005-0000-0000-00008C200000}"/>
    <cellStyle name="Normal 19 6 2 2" xfId="34862" xr:uid="{00000000-0005-0000-0000-00008D200000}"/>
    <cellStyle name="Normal 19 6 3" xfId="25005" xr:uid="{00000000-0005-0000-0000-00008E200000}"/>
    <cellStyle name="Normal 19 7" xfId="10219" xr:uid="{00000000-0005-0000-0000-00008F200000}"/>
    <cellStyle name="Normal 19 7 2" xfId="29934" xr:uid="{00000000-0005-0000-0000-000090200000}"/>
    <cellStyle name="Normal 19 8" xfId="20077" xr:uid="{00000000-0005-0000-0000-000091200000}"/>
    <cellStyle name="Normal 2" xfId="6" xr:uid="{00000000-0005-0000-0000-000092200000}"/>
    <cellStyle name="Normal 2 10" xfId="661" xr:uid="{00000000-0005-0000-0000-000093200000}"/>
    <cellStyle name="Normal 2 11" xfId="1281" xr:uid="{00000000-0005-0000-0000-000094200000}"/>
    <cellStyle name="Normal 2 12" xfId="2516" xr:uid="{00000000-0005-0000-0000-000095200000}"/>
    <cellStyle name="Normal 2 13" xfId="4984" xr:uid="{00000000-0005-0000-0000-000096200000}"/>
    <cellStyle name="Normal 2 14" xfId="9916" xr:uid="{00000000-0005-0000-0000-000097200000}"/>
    <cellStyle name="Normal 2 15" xfId="19775" xr:uid="{00000000-0005-0000-0000-000098200000}"/>
    <cellStyle name="Normal 2 2" xfId="23" xr:uid="{00000000-0005-0000-0000-000099200000}"/>
    <cellStyle name="Normal 2 3" xfId="21" xr:uid="{00000000-0005-0000-0000-00009A200000}"/>
    <cellStyle name="Normal 2 4" xfId="38" xr:uid="{00000000-0005-0000-0000-00009B200000}"/>
    <cellStyle name="Normal 2 5" xfId="62" xr:uid="{00000000-0005-0000-0000-00009C200000}"/>
    <cellStyle name="Normal 2 6" xfId="105" xr:uid="{00000000-0005-0000-0000-00009D200000}"/>
    <cellStyle name="Normal 2 7" xfId="186" xr:uid="{00000000-0005-0000-0000-00009E200000}"/>
    <cellStyle name="Normal 2 8" xfId="337" xr:uid="{00000000-0005-0000-0000-00009F200000}"/>
    <cellStyle name="Normal 2 9" xfId="348" xr:uid="{00000000-0005-0000-0000-0000A0200000}"/>
    <cellStyle name="Normal 20" xfId="347" xr:uid="{00000000-0005-0000-0000-0000A1200000}"/>
    <cellStyle name="Normal 20 2" xfId="969" xr:uid="{00000000-0005-0000-0000-0000A2200000}"/>
    <cellStyle name="Normal 21" xfId="343" xr:uid="{00000000-0005-0000-0000-0000A3200000}"/>
    <cellStyle name="Normal 21 2" xfId="965" xr:uid="{00000000-0005-0000-0000-0000A4200000}"/>
    <cellStyle name="Normal 21 2 2" xfId="2201" xr:uid="{00000000-0005-0000-0000-0000A5200000}"/>
    <cellStyle name="Normal 21 2 2 2" xfId="4668" xr:uid="{00000000-0005-0000-0000-0000A6200000}"/>
    <cellStyle name="Normal 21 2 2 2 2" xfId="9600" xr:uid="{00000000-0005-0000-0000-0000A7200000}"/>
    <cellStyle name="Normal 21 2 2 2 2 2" xfId="19460" xr:uid="{00000000-0005-0000-0000-0000A8200000}"/>
    <cellStyle name="Normal 21 2 2 2 2 2 2" xfId="39175" xr:uid="{00000000-0005-0000-0000-0000A9200000}"/>
    <cellStyle name="Normal 21 2 2 2 2 3" xfId="29318" xr:uid="{00000000-0005-0000-0000-0000AA200000}"/>
    <cellStyle name="Normal 21 2 2 2 3" xfId="14532" xr:uid="{00000000-0005-0000-0000-0000AB200000}"/>
    <cellStyle name="Normal 21 2 2 2 3 2" xfId="34247" xr:uid="{00000000-0005-0000-0000-0000AC200000}"/>
    <cellStyle name="Normal 21 2 2 2 4" xfId="24390" xr:uid="{00000000-0005-0000-0000-0000AD200000}"/>
    <cellStyle name="Normal 21 2 2 3" xfId="7136" xr:uid="{00000000-0005-0000-0000-0000AE200000}"/>
    <cellStyle name="Normal 21 2 2 3 2" xfId="16996" xr:uid="{00000000-0005-0000-0000-0000AF200000}"/>
    <cellStyle name="Normal 21 2 2 3 2 2" xfId="36711" xr:uid="{00000000-0005-0000-0000-0000B0200000}"/>
    <cellStyle name="Normal 21 2 2 3 3" xfId="26854" xr:uid="{00000000-0005-0000-0000-0000B1200000}"/>
    <cellStyle name="Normal 21 2 2 4" xfId="12068" xr:uid="{00000000-0005-0000-0000-0000B2200000}"/>
    <cellStyle name="Normal 21 2 2 4 2" xfId="31783" xr:uid="{00000000-0005-0000-0000-0000B3200000}"/>
    <cellStyle name="Normal 21 2 2 5" xfId="21926" xr:uid="{00000000-0005-0000-0000-0000B4200000}"/>
    <cellStyle name="Normal 21 2 3" xfId="3436" xr:uid="{00000000-0005-0000-0000-0000B5200000}"/>
    <cellStyle name="Normal 21 2 3 2" xfId="8368" xr:uid="{00000000-0005-0000-0000-0000B6200000}"/>
    <cellStyle name="Normal 21 2 3 2 2" xfId="18228" xr:uid="{00000000-0005-0000-0000-0000B7200000}"/>
    <cellStyle name="Normal 21 2 3 2 2 2" xfId="37943" xr:uid="{00000000-0005-0000-0000-0000B8200000}"/>
    <cellStyle name="Normal 21 2 3 2 3" xfId="28086" xr:uid="{00000000-0005-0000-0000-0000B9200000}"/>
    <cellStyle name="Normal 21 2 3 3" xfId="13300" xr:uid="{00000000-0005-0000-0000-0000BA200000}"/>
    <cellStyle name="Normal 21 2 3 3 2" xfId="33015" xr:uid="{00000000-0005-0000-0000-0000BB200000}"/>
    <cellStyle name="Normal 21 2 3 4" xfId="23158" xr:uid="{00000000-0005-0000-0000-0000BC200000}"/>
    <cellStyle name="Normal 21 2 4" xfId="5904" xr:uid="{00000000-0005-0000-0000-0000BD200000}"/>
    <cellStyle name="Normal 21 2 4 2" xfId="15764" xr:uid="{00000000-0005-0000-0000-0000BE200000}"/>
    <cellStyle name="Normal 21 2 4 2 2" xfId="35479" xr:uid="{00000000-0005-0000-0000-0000BF200000}"/>
    <cellStyle name="Normal 21 2 4 3" xfId="25622" xr:uid="{00000000-0005-0000-0000-0000C0200000}"/>
    <cellStyle name="Normal 21 2 5" xfId="10836" xr:uid="{00000000-0005-0000-0000-0000C1200000}"/>
    <cellStyle name="Normal 21 2 5 2" xfId="30551" xr:uid="{00000000-0005-0000-0000-0000C2200000}"/>
    <cellStyle name="Normal 21 2 6" xfId="20694" xr:uid="{00000000-0005-0000-0000-0000C3200000}"/>
    <cellStyle name="Normal 21 3" xfId="1585" xr:uid="{00000000-0005-0000-0000-0000C4200000}"/>
    <cellStyle name="Normal 21 3 2" xfId="4052" xr:uid="{00000000-0005-0000-0000-0000C5200000}"/>
    <cellStyle name="Normal 21 3 2 2" xfId="8984" xr:uid="{00000000-0005-0000-0000-0000C6200000}"/>
    <cellStyle name="Normal 21 3 2 2 2" xfId="18844" xr:uid="{00000000-0005-0000-0000-0000C7200000}"/>
    <cellStyle name="Normal 21 3 2 2 2 2" xfId="38559" xr:uid="{00000000-0005-0000-0000-0000C8200000}"/>
    <cellStyle name="Normal 21 3 2 2 3" xfId="28702" xr:uid="{00000000-0005-0000-0000-0000C9200000}"/>
    <cellStyle name="Normal 21 3 2 3" xfId="13916" xr:uid="{00000000-0005-0000-0000-0000CA200000}"/>
    <cellStyle name="Normal 21 3 2 3 2" xfId="33631" xr:uid="{00000000-0005-0000-0000-0000CB200000}"/>
    <cellStyle name="Normal 21 3 2 4" xfId="23774" xr:uid="{00000000-0005-0000-0000-0000CC200000}"/>
    <cellStyle name="Normal 21 3 3" xfId="6520" xr:uid="{00000000-0005-0000-0000-0000CD200000}"/>
    <cellStyle name="Normal 21 3 3 2" xfId="16380" xr:uid="{00000000-0005-0000-0000-0000CE200000}"/>
    <cellStyle name="Normal 21 3 3 2 2" xfId="36095" xr:uid="{00000000-0005-0000-0000-0000CF200000}"/>
    <cellStyle name="Normal 21 3 3 3" xfId="26238" xr:uid="{00000000-0005-0000-0000-0000D0200000}"/>
    <cellStyle name="Normal 21 3 4" xfId="11452" xr:uid="{00000000-0005-0000-0000-0000D1200000}"/>
    <cellStyle name="Normal 21 3 4 2" xfId="31167" xr:uid="{00000000-0005-0000-0000-0000D2200000}"/>
    <cellStyle name="Normal 21 3 5" xfId="21310" xr:uid="{00000000-0005-0000-0000-0000D3200000}"/>
    <cellStyle name="Normal 21 4" xfId="2820" xr:uid="{00000000-0005-0000-0000-0000D4200000}"/>
    <cellStyle name="Normal 21 4 2" xfId="7752" xr:uid="{00000000-0005-0000-0000-0000D5200000}"/>
    <cellStyle name="Normal 21 4 2 2" xfId="17612" xr:uid="{00000000-0005-0000-0000-0000D6200000}"/>
    <cellStyle name="Normal 21 4 2 2 2" xfId="37327" xr:uid="{00000000-0005-0000-0000-0000D7200000}"/>
    <cellStyle name="Normal 21 4 2 3" xfId="27470" xr:uid="{00000000-0005-0000-0000-0000D8200000}"/>
    <cellStyle name="Normal 21 4 3" xfId="12684" xr:uid="{00000000-0005-0000-0000-0000D9200000}"/>
    <cellStyle name="Normal 21 4 3 2" xfId="32399" xr:uid="{00000000-0005-0000-0000-0000DA200000}"/>
    <cellStyle name="Normal 21 4 4" xfId="22542" xr:uid="{00000000-0005-0000-0000-0000DB200000}"/>
    <cellStyle name="Normal 21 5" xfId="5288" xr:uid="{00000000-0005-0000-0000-0000DC200000}"/>
    <cellStyle name="Normal 21 5 2" xfId="15148" xr:uid="{00000000-0005-0000-0000-0000DD200000}"/>
    <cellStyle name="Normal 21 5 2 2" xfId="34863" xr:uid="{00000000-0005-0000-0000-0000DE200000}"/>
    <cellStyle name="Normal 21 5 3" xfId="25006" xr:uid="{00000000-0005-0000-0000-0000DF200000}"/>
    <cellStyle name="Normal 21 6" xfId="10220" xr:uid="{00000000-0005-0000-0000-0000E0200000}"/>
    <cellStyle name="Normal 21 6 2" xfId="29935" xr:uid="{00000000-0005-0000-0000-0000E1200000}"/>
    <cellStyle name="Normal 21 7" xfId="20078" xr:uid="{00000000-0005-0000-0000-0000E2200000}"/>
    <cellStyle name="Normal 22" xfId="652" xr:uid="{00000000-0005-0000-0000-0000E3200000}"/>
    <cellStyle name="Normal 22 2" xfId="1272" xr:uid="{00000000-0005-0000-0000-0000E4200000}"/>
    <cellStyle name="Normal 22 2 2" xfId="2507" xr:uid="{00000000-0005-0000-0000-0000E5200000}"/>
    <cellStyle name="Normal 22 2 2 2" xfId="4974" xr:uid="{00000000-0005-0000-0000-0000E6200000}"/>
    <cellStyle name="Normal 22 2 2 2 2" xfId="9906" xr:uid="{00000000-0005-0000-0000-0000E7200000}"/>
    <cellStyle name="Normal 22 2 2 2 2 2" xfId="19766" xr:uid="{00000000-0005-0000-0000-0000E8200000}"/>
    <cellStyle name="Normal 22 2 2 2 2 2 2" xfId="39481" xr:uid="{00000000-0005-0000-0000-0000E9200000}"/>
    <cellStyle name="Normal 22 2 2 2 2 3" xfId="29624" xr:uid="{00000000-0005-0000-0000-0000EA200000}"/>
    <cellStyle name="Normal 22 2 2 2 3" xfId="14838" xr:uid="{00000000-0005-0000-0000-0000EB200000}"/>
    <cellStyle name="Normal 22 2 2 2 3 2" xfId="34553" xr:uid="{00000000-0005-0000-0000-0000EC200000}"/>
    <cellStyle name="Normal 22 2 2 2 4" xfId="24696" xr:uid="{00000000-0005-0000-0000-0000ED200000}"/>
    <cellStyle name="Normal 22 2 2 3" xfId="7442" xr:uid="{00000000-0005-0000-0000-0000EE200000}"/>
    <cellStyle name="Normal 22 2 2 3 2" xfId="17302" xr:uid="{00000000-0005-0000-0000-0000EF200000}"/>
    <cellStyle name="Normal 22 2 2 3 2 2" xfId="37017" xr:uid="{00000000-0005-0000-0000-0000F0200000}"/>
    <cellStyle name="Normal 22 2 2 3 3" xfId="27160" xr:uid="{00000000-0005-0000-0000-0000F1200000}"/>
    <cellStyle name="Normal 22 2 2 4" xfId="12374" xr:uid="{00000000-0005-0000-0000-0000F2200000}"/>
    <cellStyle name="Normal 22 2 2 4 2" xfId="32089" xr:uid="{00000000-0005-0000-0000-0000F3200000}"/>
    <cellStyle name="Normal 22 2 2 5" xfId="22232" xr:uid="{00000000-0005-0000-0000-0000F4200000}"/>
    <cellStyle name="Normal 22 2 3" xfId="3742" xr:uid="{00000000-0005-0000-0000-0000F5200000}"/>
    <cellStyle name="Normal 22 2 3 2" xfId="8674" xr:uid="{00000000-0005-0000-0000-0000F6200000}"/>
    <cellStyle name="Normal 22 2 3 2 2" xfId="18534" xr:uid="{00000000-0005-0000-0000-0000F7200000}"/>
    <cellStyle name="Normal 22 2 3 2 2 2" xfId="38249" xr:uid="{00000000-0005-0000-0000-0000F8200000}"/>
    <cellStyle name="Normal 22 2 3 2 3" xfId="28392" xr:uid="{00000000-0005-0000-0000-0000F9200000}"/>
    <cellStyle name="Normal 22 2 3 3" xfId="13606" xr:uid="{00000000-0005-0000-0000-0000FA200000}"/>
    <cellStyle name="Normal 22 2 3 3 2" xfId="33321" xr:uid="{00000000-0005-0000-0000-0000FB200000}"/>
    <cellStyle name="Normal 22 2 3 4" xfId="23464" xr:uid="{00000000-0005-0000-0000-0000FC200000}"/>
    <cellStyle name="Normal 22 2 4" xfId="6210" xr:uid="{00000000-0005-0000-0000-0000FD200000}"/>
    <cellStyle name="Normal 22 2 4 2" xfId="16070" xr:uid="{00000000-0005-0000-0000-0000FE200000}"/>
    <cellStyle name="Normal 22 2 4 2 2" xfId="35785" xr:uid="{00000000-0005-0000-0000-0000FF200000}"/>
    <cellStyle name="Normal 22 2 4 3" xfId="25928" xr:uid="{00000000-0005-0000-0000-000000210000}"/>
    <cellStyle name="Normal 22 2 5" xfId="11142" xr:uid="{00000000-0005-0000-0000-000001210000}"/>
    <cellStyle name="Normal 22 2 5 2" xfId="30857" xr:uid="{00000000-0005-0000-0000-000002210000}"/>
    <cellStyle name="Normal 22 2 6" xfId="21000" xr:uid="{00000000-0005-0000-0000-000003210000}"/>
    <cellStyle name="Normal 22 3" xfId="1891" xr:uid="{00000000-0005-0000-0000-000004210000}"/>
    <cellStyle name="Normal 22 3 2" xfId="4358" xr:uid="{00000000-0005-0000-0000-000005210000}"/>
    <cellStyle name="Normal 22 3 2 2" xfId="9290" xr:uid="{00000000-0005-0000-0000-000006210000}"/>
    <cellStyle name="Normal 22 3 2 2 2" xfId="19150" xr:uid="{00000000-0005-0000-0000-000007210000}"/>
    <cellStyle name="Normal 22 3 2 2 2 2" xfId="38865" xr:uid="{00000000-0005-0000-0000-000008210000}"/>
    <cellStyle name="Normal 22 3 2 2 3" xfId="29008" xr:uid="{00000000-0005-0000-0000-000009210000}"/>
    <cellStyle name="Normal 22 3 2 3" xfId="14222" xr:uid="{00000000-0005-0000-0000-00000A210000}"/>
    <cellStyle name="Normal 22 3 2 3 2" xfId="33937" xr:uid="{00000000-0005-0000-0000-00000B210000}"/>
    <cellStyle name="Normal 22 3 2 4" xfId="24080" xr:uid="{00000000-0005-0000-0000-00000C210000}"/>
    <cellStyle name="Normal 22 3 3" xfId="6826" xr:uid="{00000000-0005-0000-0000-00000D210000}"/>
    <cellStyle name="Normal 22 3 3 2" xfId="16686" xr:uid="{00000000-0005-0000-0000-00000E210000}"/>
    <cellStyle name="Normal 22 3 3 2 2" xfId="36401" xr:uid="{00000000-0005-0000-0000-00000F210000}"/>
    <cellStyle name="Normal 22 3 3 3" xfId="26544" xr:uid="{00000000-0005-0000-0000-000010210000}"/>
    <cellStyle name="Normal 22 3 4" xfId="11758" xr:uid="{00000000-0005-0000-0000-000011210000}"/>
    <cellStyle name="Normal 22 3 4 2" xfId="31473" xr:uid="{00000000-0005-0000-0000-000012210000}"/>
    <cellStyle name="Normal 22 3 5" xfId="21616" xr:uid="{00000000-0005-0000-0000-000013210000}"/>
    <cellStyle name="Normal 22 4" xfId="3126" xr:uid="{00000000-0005-0000-0000-000014210000}"/>
    <cellStyle name="Normal 22 4 2" xfId="8058" xr:uid="{00000000-0005-0000-0000-000015210000}"/>
    <cellStyle name="Normal 22 4 2 2" xfId="17918" xr:uid="{00000000-0005-0000-0000-000016210000}"/>
    <cellStyle name="Normal 22 4 2 2 2" xfId="37633" xr:uid="{00000000-0005-0000-0000-000017210000}"/>
    <cellStyle name="Normal 22 4 2 3" xfId="27776" xr:uid="{00000000-0005-0000-0000-000018210000}"/>
    <cellStyle name="Normal 22 4 3" xfId="12990" xr:uid="{00000000-0005-0000-0000-000019210000}"/>
    <cellStyle name="Normal 22 4 3 2" xfId="32705" xr:uid="{00000000-0005-0000-0000-00001A210000}"/>
    <cellStyle name="Normal 22 4 4" xfId="22848" xr:uid="{00000000-0005-0000-0000-00001B210000}"/>
    <cellStyle name="Normal 22 5" xfId="5594" xr:uid="{00000000-0005-0000-0000-00001C210000}"/>
    <cellStyle name="Normal 22 5 2" xfId="15454" xr:uid="{00000000-0005-0000-0000-00001D210000}"/>
    <cellStyle name="Normal 22 5 2 2" xfId="35169" xr:uid="{00000000-0005-0000-0000-00001E210000}"/>
    <cellStyle name="Normal 22 5 3" xfId="25312" xr:uid="{00000000-0005-0000-0000-00001F210000}"/>
    <cellStyle name="Normal 22 6" xfId="10526" xr:uid="{00000000-0005-0000-0000-000020210000}"/>
    <cellStyle name="Normal 22 6 2" xfId="30241" xr:uid="{00000000-0005-0000-0000-000021210000}"/>
    <cellStyle name="Normal 22 7" xfId="20384" xr:uid="{00000000-0005-0000-0000-000022210000}"/>
    <cellStyle name="Normal 23" xfId="660" xr:uid="{00000000-0005-0000-0000-000023210000}"/>
    <cellStyle name="Normal 24" xfId="656" xr:uid="{00000000-0005-0000-0000-000024210000}"/>
    <cellStyle name="Normal 24 2" xfId="1895" xr:uid="{00000000-0005-0000-0000-000025210000}"/>
    <cellStyle name="Normal 24 2 2" xfId="4362" xr:uid="{00000000-0005-0000-0000-000026210000}"/>
    <cellStyle name="Normal 24 2 2 2" xfId="9294" xr:uid="{00000000-0005-0000-0000-000027210000}"/>
    <cellStyle name="Normal 24 2 2 2 2" xfId="19154" xr:uid="{00000000-0005-0000-0000-000028210000}"/>
    <cellStyle name="Normal 24 2 2 2 2 2" xfId="38869" xr:uid="{00000000-0005-0000-0000-000029210000}"/>
    <cellStyle name="Normal 24 2 2 2 3" xfId="29012" xr:uid="{00000000-0005-0000-0000-00002A210000}"/>
    <cellStyle name="Normal 24 2 2 3" xfId="14226" xr:uid="{00000000-0005-0000-0000-00002B210000}"/>
    <cellStyle name="Normal 24 2 2 3 2" xfId="33941" xr:uid="{00000000-0005-0000-0000-00002C210000}"/>
    <cellStyle name="Normal 24 2 2 4" xfId="24084" xr:uid="{00000000-0005-0000-0000-00002D210000}"/>
    <cellStyle name="Normal 24 2 3" xfId="6830" xr:uid="{00000000-0005-0000-0000-00002E210000}"/>
    <cellStyle name="Normal 24 2 3 2" xfId="16690" xr:uid="{00000000-0005-0000-0000-00002F210000}"/>
    <cellStyle name="Normal 24 2 3 2 2" xfId="36405" xr:uid="{00000000-0005-0000-0000-000030210000}"/>
    <cellStyle name="Normal 24 2 3 3" xfId="26548" xr:uid="{00000000-0005-0000-0000-000031210000}"/>
    <cellStyle name="Normal 24 2 4" xfId="11762" xr:uid="{00000000-0005-0000-0000-000032210000}"/>
    <cellStyle name="Normal 24 2 4 2" xfId="31477" xr:uid="{00000000-0005-0000-0000-000033210000}"/>
    <cellStyle name="Normal 24 2 5" xfId="21620" xr:uid="{00000000-0005-0000-0000-000034210000}"/>
    <cellStyle name="Normal 24 3" xfId="3130" xr:uid="{00000000-0005-0000-0000-000035210000}"/>
    <cellStyle name="Normal 24 3 2" xfId="8062" xr:uid="{00000000-0005-0000-0000-000036210000}"/>
    <cellStyle name="Normal 24 3 2 2" xfId="17922" xr:uid="{00000000-0005-0000-0000-000037210000}"/>
    <cellStyle name="Normal 24 3 2 2 2" xfId="37637" xr:uid="{00000000-0005-0000-0000-000038210000}"/>
    <cellStyle name="Normal 24 3 2 3" xfId="27780" xr:uid="{00000000-0005-0000-0000-000039210000}"/>
    <cellStyle name="Normal 24 3 3" xfId="12994" xr:uid="{00000000-0005-0000-0000-00003A210000}"/>
    <cellStyle name="Normal 24 3 3 2" xfId="32709" xr:uid="{00000000-0005-0000-0000-00003B210000}"/>
    <cellStyle name="Normal 24 3 4" xfId="22852" xr:uid="{00000000-0005-0000-0000-00003C210000}"/>
    <cellStyle name="Normal 24 4" xfId="5598" xr:uid="{00000000-0005-0000-0000-00003D210000}"/>
    <cellStyle name="Normal 24 4 2" xfId="15458" xr:uid="{00000000-0005-0000-0000-00003E210000}"/>
    <cellStyle name="Normal 24 4 2 2" xfId="35173" xr:uid="{00000000-0005-0000-0000-00003F210000}"/>
    <cellStyle name="Normal 24 4 3" xfId="25316" xr:uid="{00000000-0005-0000-0000-000040210000}"/>
    <cellStyle name="Normal 24 5" xfId="10530" xr:uid="{00000000-0005-0000-0000-000041210000}"/>
    <cellStyle name="Normal 24 5 2" xfId="30245" xr:uid="{00000000-0005-0000-0000-000042210000}"/>
    <cellStyle name="Normal 24 6" xfId="20388" xr:uid="{00000000-0005-0000-0000-000043210000}"/>
    <cellStyle name="Normal 25" xfId="1280" xr:uid="{00000000-0005-0000-0000-000044210000}"/>
    <cellStyle name="Normal 26" xfId="1276" xr:uid="{00000000-0005-0000-0000-000045210000}"/>
    <cellStyle name="Normal 26 2" xfId="3746" xr:uid="{00000000-0005-0000-0000-000046210000}"/>
    <cellStyle name="Normal 26 2 2" xfId="8678" xr:uid="{00000000-0005-0000-0000-000047210000}"/>
    <cellStyle name="Normal 26 2 2 2" xfId="18538" xr:uid="{00000000-0005-0000-0000-000048210000}"/>
    <cellStyle name="Normal 26 2 2 2 2" xfId="38253" xr:uid="{00000000-0005-0000-0000-000049210000}"/>
    <cellStyle name="Normal 26 2 2 3" xfId="28396" xr:uid="{00000000-0005-0000-0000-00004A210000}"/>
    <cellStyle name="Normal 26 2 3" xfId="13610" xr:uid="{00000000-0005-0000-0000-00004B210000}"/>
    <cellStyle name="Normal 26 2 3 2" xfId="33325" xr:uid="{00000000-0005-0000-0000-00004C210000}"/>
    <cellStyle name="Normal 26 2 4" xfId="23468" xr:uid="{00000000-0005-0000-0000-00004D210000}"/>
    <cellStyle name="Normal 26 3" xfId="6214" xr:uid="{00000000-0005-0000-0000-00004E210000}"/>
    <cellStyle name="Normal 26 3 2" xfId="16074" xr:uid="{00000000-0005-0000-0000-00004F210000}"/>
    <cellStyle name="Normal 26 3 2 2" xfId="35789" xr:uid="{00000000-0005-0000-0000-000050210000}"/>
    <cellStyle name="Normal 26 3 3" xfId="25932" xr:uid="{00000000-0005-0000-0000-000051210000}"/>
    <cellStyle name="Normal 26 4" xfId="11146" xr:uid="{00000000-0005-0000-0000-000052210000}"/>
    <cellStyle name="Normal 26 4 2" xfId="30861" xr:uid="{00000000-0005-0000-0000-000053210000}"/>
    <cellStyle name="Normal 26 5" xfId="21004" xr:uid="{00000000-0005-0000-0000-000054210000}"/>
    <cellStyle name="Normal 27" xfId="2515" xr:uid="{00000000-0005-0000-0000-000055210000}"/>
    <cellStyle name="Normal 27 2" xfId="4978" xr:uid="{00000000-0005-0000-0000-000056210000}"/>
    <cellStyle name="Normal 28" xfId="2511" xr:uid="{00000000-0005-0000-0000-000057210000}"/>
    <cellStyle name="Normal 28 2" xfId="7446" xr:uid="{00000000-0005-0000-0000-000058210000}"/>
    <cellStyle name="Normal 28 2 2" xfId="17306" xr:uid="{00000000-0005-0000-0000-000059210000}"/>
    <cellStyle name="Normal 28 2 2 2" xfId="37021" xr:uid="{00000000-0005-0000-0000-00005A210000}"/>
    <cellStyle name="Normal 28 2 3" xfId="27164" xr:uid="{00000000-0005-0000-0000-00005B210000}"/>
    <cellStyle name="Normal 28 3" xfId="12378" xr:uid="{00000000-0005-0000-0000-00005C210000}"/>
    <cellStyle name="Normal 28 3 2" xfId="32093" xr:uid="{00000000-0005-0000-0000-00005D210000}"/>
    <cellStyle name="Normal 28 4" xfId="22236" xr:uid="{00000000-0005-0000-0000-00005E210000}"/>
    <cellStyle name="Normal 29" xfId="4979" xr:uid="{00000000-0005-0000-0000-00005F210000}"/>
    <cellStyle name="Normal 29 2" xfId="14842" xr:uid="{00000000-0005-0000-0000-000060210000}"/>
    <cellStyle name="Normal 29 2 2" xfId="34557" xr:uid="{00000000-0005-0000-0000-000061210000}"/>
    <cellStyle name="Normal 29 3" xfId="24700" xr:uid="{00000000-0005-0000-0000-000062210000}"/>
    <cellStyle name="Normal 3" xfId="11" xr:uid="{00000000-0005-0000-0000-000063210000}"/>
    <cellStyle name="Normal 3 2" xfId="39491" xr:uid="{00000000-0005-0000-0000-000064210000}"/>
    <cellStyle name="Normal 30" xfId="4983" xr:uid="{00000000-0005-0000-0000-000065210000}"/>
    <cellStyle name="Normal 30 2" xfId="9910" xr:uid="{00000000-0005-0000-0000-000066210000}"/>
    <cellStyle name="Normal 31" xfId="9915" xr:uid="{00000000-0005-0000-0000-000067210000}"/>
    <cellStyle name="Normal 31 2" xfId="29632" xr:uid="{00000000-0005-0000-0000-000068210000}"/>
    <cellStyle name="Normal 32" xfId="9911" xr:uid="{00000000-0005-0000-0000-000069210000}"/>
    <cellStyle name="Normal 32 2" xfId="29628" xr:uid="{00000000-0005-0000-0000-00006A210000}"/>
    <cellStyle name="Normal 33" xfId="19774" xr:uid="{00000000-0005-0000-0000-00006B210000}"/>
    <cellStyle name="Normal 34" xfId="19770" xr:uid="{00000000-0005-0000-0000-00006C210000}"/>
    <cellStyle name="Normal 35" xfId="39485" xr:uid="{00000000-0005-0000-0000-00006D210000}"/>
    <cellStyle name="Normal 36" xfId="39486" xr:uid="{00000000-0005-0000-0000-00006E210000}"/>
    <cellStyle name="Normal 37" xfId="39493" xr:uid="{00000000-0005-0000-0000-00006F210000}"/>
    <cellStyle name="Normal 38" xfId="39494" xr:uid="{00000000-0005-0000-0000-000070210000}"/>
    <cellStyle name="Normal 4" xfId="5" xr:uid="{00000000-0005-0000-0000-000071210000}"/>
    <cellStyle name="Normal 4 2" xfId="9" xr:uid="{00000000-0005-0000-0000-000072210000}"/>
    <cellStyle name="Normal 5" xfId="10" xr:uid="{00000000-0005-0000-0000-000073210000}"/>
    <cellStyle name="Normal 5 10" xfId="662" xr:uid="{00000000-0005-0000-0000-000074210000}"/>
    <cellStyle name="Normal 5 10 2" xfId="1899" xr:uid="{00000000-0005-0000-0000-000075210000}"/>
    <cellStyle name="Normal 5 10 2 2" xfId="4366" xr:uid="{00000000-0005-0000-0000-000076210000}"/>
    <cellStyle name="Normal 5 10 2 2 2" xfId="9298" xr:uid="{00000000-0005-0000-0000-000077210000}"/>
    <cellStyle name="Normal 5 10 2 2 2 2" xfId="19158" xr:uid="{00000000-0005-0000-0000-000078210000}"/>
    <cellStyle name="Normal 5 10 2 2 2 2 2" xfId="38873" xr:uid="{00000000-0005-0000-0000-000079210000}"/>
    <cellStyle name="Normal 5 10 2 2 2 3" xfId="29016" xr:uid="{00000000-0005-0000-0000-00007A210000}"/>
    <cellStyle name="Normal 5 10 2 2 3" xfId="14230" xr:uid="{00000000-0005-0000-0000-00007B210000}"/>
    <cellStyle name="Normal 5 10 2 2 3 2" xfId="33945" xr:uid="{00000000-0005-0000-0000-00007C210000}"/>
    <cellStyle name="Normal 5 10 2 2 4" xfId="24088" xr:uid="{00000000-0005-0000-0000-00007D210000}"/>
    <cellStyle name="Normal 5 10 2 3" xfId="6834" xr:uid="{00000000-0005-0000-0000-00007E210000}"/>
    <cellStyle name="Normal 5 10 2 3 2" xfId="16694" xr:uid="{00000000-0005-0000-0000-00007F210000}"/>
    <cellStyle name="Normal 5 10 2 3 2 2" xfId="36409" xr:uid="{00000000-0005-0000-0000-000080210000}"/>
    <cellStyle name="Normal 5 10 2 3 3" xfId="26552" xr:uid="{00000000-0005-0000-0000-000081210000}"/>
    <cellStyle name="Normal 5 10 2 4" xfId="11766" xr:uid="{00000000-0005-0000-0000-000082210000}"/>
    <cellStyle name="Normal 5 10 2 4 2" xfId="31481" xr:uid="{00000000-0005-0000-0000-000083210000}"/>
    <cellStyle name="Normal 5 10 2 5" xfId="21624" xr:uid="{00000000-0005-0000-0000-000084210000}"/>
    <cellStyle name="Normal 5 10 3" xfId="3134" xr:uid="{00000000-0005-0000-0000-000085210000}"/>
    <cellStyle name="Normal 5 10 3 2" xfId="8066" xr:uid="{00000000-0005-0000-0000-000086210000}"/>
    <cellStyle name="Normal 5 10 3 2 2" xfId="17926" xr:uid="{00000000-0005-0000-0000-000087210000}"/>
    <cellStyle name="Normal 5 10 3 2 2 2" xfId="37641" xr:uid="{00000000-0005-0000-0000-000088210000}"/>
    <cellStyle name="Normal 5 10 3 2 3" xfId="27784" xr:uid="{00000000-0005-0000-0000-000089210000}"/>
    <cellStyle name="Normal 5 10 3 3" xfId="12998" xr:uid="{00000000-0005-0000-0000-00008A210000}"/>
    <cellStyle name="Normal 5 10 3 3 2" xfId="32713" xr:uid="{00000000-0005-0000-0000-00008B210000}"/>
    <cellStyle name="Normal 5 10 3 4" xfId="22856" xr:uid="{00000000-0005-0000-0000-00008C210000}"/>
    <cellStyle name="Normal 5 10 4" xfId="5602" xr:uid="{00000000-0005-0000-0000-00008D210000}"/>
    <cellStyle name="Normal 5 10 4 2" xfId="15462" xr:uid="{00000000-0005-0000-0000-00008E210000}"/>
    <cellStyle name="Normal 5 10 4 2 2" xfId="35177" xr:uid="{00000000-0005-0000-0000-00008F210000}"/>
    <cellStyle name="Normal 5 10 4 3" xfId="25320" xr:uid="{00000000-0005-0000-0000-000090210000}"/>
    <cellStyle name="Normal 5 10 5" xfId="10534" xr:uid="{00000000-0005-0000-0000-000091210000}"/>
    <cellStyle name="Normal 5 10 5 2" xfId="30249" xr:uid="{00000000-0005-0000-0000-000092210000}"/>
    <cellStyle name="Normal 5 10 6" xfId="20392" xr:uid="{00000000-0005-0000-0000-000093210000}"/>
    <cellStyle name="Normal 5 11" xfId="1282" xr:uid="{00000000-0005-0000-0000-000094210000}"/>
    <cellStyle name="Normal 5 11 2" xfId="3750" xr:uid="{00000000-0005-0000-0000-000095210000}"/>
    <cellStyle name="Normal 5 11 2 2" xfId="8682" xr:uid="{00000000-0005-0000-0000-000096210000}"/>
    <cellStyle name="Normal 5 11 2 2 2" xfId="18542" xr:uid="{00000000-0005-0000-0000-000097210000}"/>
    <cellStyle name="Normal 5 11 2 2 2 2" xfId="38257" xr:uid="{00000000-0005-0000-0000-000098210000}"/>
    <cellStyle name="Normal 5 11 2 2 3" xfId="28400" xr:uid="{00000000-0005-0000-0000-000099210000}"/>
    <cellStyle name="Normal 5 11 2 3" xfId="13614" xr:uid="{00000000-0005-0000-0000-00009A210000}"/>
    <cellStyle name="Normal 5 11 2 3 2" xfId="33329" xr:uid="{00000000-0005-0000-0000-00009B210000}"/>
    <cellStyle name="Normal 5 11 2 4" xfId="23472" xr:uid="{00000000-0005-0000-0000-00009C210000}"/>
    <cellStyle name="Normal 5 11 3" xfId="6218" xr:uid="{00000000-0005-0000-0000-00009D210000}"/>
    <cellStyle name="Normal 5 11 3 2" xfId="16078" xr:uid="{00000000-0005-0000-0000-00009E210000}"/>
    <cellStyle name="Normal 5 11 3 2 2" xfId="35793" xr:uid="{00000000-0005-0000-0000-00009F210000}"/>
    <cellStyle name="Normal 5 11 3 3" xfId="25936" xr:uid="{00000000-0005-0000-0000-0000A0210000}"/>
    <cellStyle name="Normal 5 11 4" xfId="11150" xr:uid="{00000000-0005-0000-0000-0000A1210000}"/>
    <cellStyle name="Normal 5 11 4 2" xfId="30865" xr:uid="{00000000-0005-0000-0000-0000A2210000}"/>
    <cellStyle name="Normal 5 11 5" xfId="21008" xr:uid="{00000000-0005-0000-0000-0000A3210000}"/>
    <cellStyle name="Normal 5 12" xfId="2517" xr:uid="{00000000-0005-0000-0000-0000A4210000}"/>
    <cellStyle name="Normal 5 12 2" xfId="7450" xr:uid="{00000000-0005-0000-0000-0000A5210000}"/>
    <cellStyle name="Normal 5 12 2 2" xfId="17310" xr:uid="{00000000-0005-0000-0000-0000A6210000}"/>
    <cellStyle name="Normal 5 12 2 2 2" xfId="37025" xr:uid="{00000000-0005-0000-0000-0000A7210000}"/>
    <cellStyle name="Normal 5 12 2 3" xfId="27168" xr:uid="{00000000-0005-0000-0000-0000A8210000}"/>
    <cellStyle name="Normal 5 12 3" xfId="12382" xr:uid="{00000000-0005-0000-0000-0000A9210000}"/>
    <cellStyle name="Normal 5 12 3 2" xfId="32097" xr:uid="{00000000-0005-0000-0000-0000AA210000}"/>
    <cellStyle name="Normal 5 12 4" xfId="22240" xr:uid="{00000000-0005-0000-0000-0000AB210000}"/>
    <cellStyle name="Normal 5 13" xfId="4985" xr:uid="{00000000-0005-0000-0000-0000AC210000}"/>
    <cellStyle name="Normal 5 13 2" xfId="14846" xr:uid="{00000000-0005-0000-0000-0000AD210000}"/>
    <cellStyle name="Normal 5 13 2 2" xfId="34561" xr:uid="{00000000-0005-0000-0000-0000AE210000}"/>
    <cellStyle name="Normal 5 13 3" xfId="24704" xr:uid="{00000000-0005-0000-0000-0000AF210000}"/>
    <cellStyle name="Normal 5 14" xfId="9917" xr:uid="{00000000-0005-0000-0000-0000B0210000}"/>
    <cellStyle name="Normal 5 14 2" xfId="29633" xr:uid="{00000000-0005-0000-0000-0000B1210000}"/>
    <cellStyle name="Normal 5 15" xfId="19776" xr:uid="{00000000-0005-0000-0000-0000B2210000}"/>
    <cellStyle name="Normal 5 2" xfId="14" xr:uid="{00000000-0005-0000-0000-0000B3210000}"/>
    <cellStyle name="Normal 5 2 10" xfId="2520" xr:uid="{00000000-0005-0000-0000-0000B4210000}"/>
    <cellStyle name="Normal 5 2 10 2" xfId="7453" xr:uid="{00000000-0005-0000-0000-0000B5210000}"/>
    <cellStyle name="Normal 5 2 10 2 2" xfId="17313" xr:uid="{00000000-0005-0000-0000-0000B6210000}"/>
    <cellStyle name="Normal 5 2 10 2 2 2" xfId="37028" xr:uid="{00000000-0005-0000-0000-0000B7210000}"/>
    <cellStyle name="Normal 5 2 10 2 3" xfId="27171" xr:uid="{00000000-0005-0000-0000-0000B8210000}"/>
    <cellStyle name="Normal 5 2 10 3" xfId="12385" xr:uid="{00000000-0005-0000-0000-0000B9210000}"/>
    <cellStyle name="Normal 5 2 10 3 2" xfId="32100" xr:uid="{00000000-0005-0000-0000-0000BA210000}"/>
    <cellStyle name="Normal 5 2 10 4" xfId="22243" xr:uid="{00000000-0005-0000-0000-0000BB210000}"/>
    <cellStyle name="Normal 5 2 11" xfId="4988" xr:uid="{00000000-0005-0000-0000-0000BC210000}"/>
    <cellStyle name="Normal 5 2 11 2" xfId="14849" xr:uid="{00000000-0005-0000-0000-0000BD210000}"/>
    <cellStyle name="Normal 5 2 11 2 2" xfId="34564" xr:uid="{00000000-0005-0000-0000-0000BE210000}"/>
    <cellStyle name="Normal 5 2 11 3" xfId="24707" xr:uid="{00000000-0005-0000-0000-0000BF210000}"/>
    <cellStyle name="Normal 5 2 12" xfId="9920" xr:uid="{00000000-0005-0000-0000-0000C0210000}"/>
    <cellStyle name="Normal 5 2 12 2" xfId="29636" xr:uid="{00000000-0005-0000-0000-0000C1210000}"/>
    <cellStyle name="Normal 5 2 13" xfId="19779" xr:uid="{00000000-0005-0000-0000-0000C2210000}"/>
    <cellStyle name="Normal 5 2 2" xfId="27" xr:uid="{00000000-0005-0000-0000-0000C3210000}"/>
    <cellStyle name="Normal 5 2 2 10" xfId="4998" xr:uid="{00000000-0005-0000-0000-0000C4210000}"/>
    <cellStyle name="Normal 5 2 2 10 2" xfId="14858" xr:uid="{00000000-0005-0000-0000-0000C5210000}"/>
    <cellStyle name="Normal 5 2 2 10 2 2" xfId="34573" xr:uid="{00000000-0005-0000-0000-0000C6210000}"/>
    <cellStyle name="Normal 5 2 2 10 3" xfId="24716" xr:uid="{00000000-0005-0000-0000-0000C7210000}"/>
    <cellStyle name="Normal 5 2 2 11" xfId="9930" xr:uid="{00000000-0005-0000-0000-0000C8210000}"/>
    <cellStyle name="Normal 5 2 2 11 2" xfId="29645" xr:uid="{00000000-0005-0000-0000-0000C9210000}"/>
    <cellStyle name="Normal 5 2 2 12" xfId="19788" xr:uid="{00000000-0005-0000-0000-0000CA210000}"/>
    <cellStyle name="Normal 5 2 2 2" xfId="52" xr:uid="{00000000-0005-0000-0000-0000CB210000}"/>
    <cellStyle name="Normal 5 2 2 2 10" xfId="9949" xr:uid="{00000000-0005-0000-0000-0000CC210000}"/>
    <cellStyle name="Normal 5 2 2 2 10 2" xfId="29664" xr:uid="{00000000-0005-0000-0000-0000CD210000}"/>
    <cellStyle name="Normal 5 2 2 2 11" xfId="19807" xr:uid="{00000000-0005-0000-0000-0000CE210000}"/>
    <cellStyle name="Normal 5 2 2 2 2" xfId="95" xr:uid="{00000000-0005-0000-0000-0000CF210000}"/>
    <cellStyle name="Normal 5 2 2 2 2 10" xfId="19845" xr:uid="{00000000-0005-0000-0000-0000D0210000}"/>
    <cellStyle name="Normal 5 2 2 2 2 2" xfId="176" xr:uid="{00000000-0005-0000-0000-0000D1210000}"/>
    <cellStyle name="Normal 5 2 2 2 2 2 2" xfId="333" xr:uid="{00000000-0005-0000-0000-0000D2210000}"/>
    <cellStyle name="Normal 5 2 2 2 2 2 2 2" xfId="647" xr:uid="{00000000-0005-0000-0000-0000D3210000}"/>
    <cellStyle name="Normal 5 2 2 2 2 2 2 2 2" xfId="1267" xr:uid="{00000000-0005-0000-0000-0000D4210000}"/>
    <cellStyle name="Normal 5 2 2 2 2 2 2 2 2 2" xfId="2502" xr:uid="{00000000-0005-0000-0000-0000D5210000}"/>
    <cellStyle name="Normal 5 2 2 2 2 2 2 2 2 2 2" xfId="4969" xr:uid="{00000000-0005-0000-0000-0000D6210000}"/>
    <cellStyle name="Normal 5 2 2 2 2 2 2 2 2 2 2 2" xfId="9901" xr:uid="{00000000-0005-0000-0000-0000D7210000}"/>
    <cellStyle name="Normal 5 2 2 2 2 2 2 2 2 2 2 2 2" xfId="19761" xr:uid="{00000000-0005-0000-0000-0000D8210000}"/>
    <cellStyle name="Normal 5 2 2 2 2 2 2 2 2 2 2 2 2 2" xfId="39476" xr:uid="{00000000-0005-0000-0000-0000D9210000}"/>
    <cellStyle name="Normal 5 2 2 2 2 2 2 2 2 2 2 2 3" xfId="29619" xr:uid="{00000000-0005-0000-0000-0000DA210000}"/>
    <cellStyle name="Normal 5 2 2 2 2 2 2 2 2 2 2 3" xfId="14833" xr:uid="{00000000-0005-0000-0000-0000DB210000}"/>
    <cellStyle name="Normal 5 2 2 2 2 2 2 2 2 2 2 3 2" xfId="34548" xr:uid="{00000000-0005-0000-0000-0000DC210000}"/>
    <cellStyle name="Normal 5 2 2 2 2 2 2 2 2 2 2 4" xfId="24691" xr:uid="{00000000-0005-0000-0000-0000DD210000}"/>
    <cellStyle name="Normal 5 2 2 2 2 2 2 2 2 2 3" xfId="7437" xr:uid="{00000000-0005-0000-0000-0000DE210000}"/>
    <cellStyle name="Normal 5 2 2 2 2 2 2 2 2 2 3 2" xfId="17297" xr:uid="{00000000-0005-0000-0000-0000DF210000}"/>
    <cellStyle name="Normal 5 2 2 2 2 2 2 2 2 2 3 2 2" xfId="37012" xr:uid="{00000000-0005-0000-0000-0000E0210000}"/>
    <cellStyle name="Normal 5 2 2 2 2 2 2 2 2 2 3 3" xfId="27155" xr:uid="{00000000-0005-0000-0000-0000E1210000}"/>
    <cellStyle name="Normal 5 2 2 2 2 2 2 2 2 2 4" xfId="12369" xr:uid="{00000000-0005-0000-0000-0000E2210000}"/>
    <cellStyle name="Normal 5 2 2 2 2 2 2 2 2 2 4 2" xfId="32084" xr:uid="{00000000-0005-0000-0000-0000E3210000}"/>
    <cellStyle name="Normal 5 2 2 2 2 2 2 2 2 2 5" xfId="22227" xr:uid="{00000000-0005-0000-0000-0000E4210000}"/>
    <cellStyle name="Normal 5 2 2 2 2 2 2 2 2 3" xfId="3737" xr:uid="{00000000-0005-0000-0000-0000E5210000}"/>
    <cellStyle name="Normal 5 2 2 2 2 2 2 2 2 3 2" xfId="8669" xr:uid="{00000000-0005-0000-0000-0000E6210000}"/>
    <cellStyle name="Normal 5 2 2 2 2 2 2 2 2 3 2 2" xfId="18529" xr:uid="{00000000-0005-0000-0000-0000E7210000}"/>
    <cellStyle name="Normal 5 2 2 2 2 2 2 2 2 3 2 2 2" xfId="38244" xr:uid="{00000000-0005-0000-0000-0000E8210000}"/>
    <cellStyle name="Normal 5 2 2 2 2 2 2 2 2 3 2 3" xfId="28387" xr:uid="{00000000-0005-0000-0000-0000E9210000}"/>
    <cellStyle name="Normal 5 2 2 2 2 2 2 2 2 3 3" xfId="13601" xr:uid="{00000000-0005-0000-0000-0000EA210000}"/>
    <cellStyle name="Normal 5 2 2 2 2 2 2 2 2 3 3 2" xfId="33316" xr:uid="{00000000-0005-0000-0000-0000EB210000}"/>
    <cellStyle name="Normal 5 2 2 2 2 2 2 2 2 3 4" xfId="23459" xr:uid="{00000000-0005-0000-0000-0000EC210000}"/>
    <cellStyle name="Normal 5 2 2 2 2 2 2 2 2 4" xfId="6205" xr:uid="{00000000-0005-0000-0000-0000ED210000}"/>
    <cellStyle name="Normal 5 2 2 2 2 2 2 2 2 4 2" xfId="16065" xr:uid="{00000000-0005-0000-0000-0000EE210000}"/>
    <cellStyle name="Normal 5 2 2 2 2 2 2 2 2 4 2 2" xfId="35780" xr:uid="{00000000-0005-0000-0000-0000EF210000}"/>
    <cellStyle name="Normal 5 2 2 2 2 2 2 2 2 4 3" xfId="25923" xr:uid="{00000000-0005-0000-0000-0000F0210000}"/>
    <cellStyle name="Normal 5 2 2 2 2 2 2 2 2 5" xfId="11137" xr:uid="{00000000-0005-0000-0000-0000F1210000}"/>
    <cellStyle name="Normal 5 2 2 2 2 2 2 2 2 5 2" xfId="30852" xr:uid="{00000000-0005-0000-0000-0000F2210000}"/>
    <cellStyle name="Normal 5 2 2 2 2 2 2 2 2 6" xfId="20995" xr:uid="{00000000-0005-0000-0000-0000F3210000}"/>
    <cellStyle name="Normal 5 2 2 2 2 2 2 2 3" xfId="1886" xr:uid="{00000000-0005-0000-0000-0000F4210000}"/>
    <cellStyle name="Normal 5 2 2 2 2 2 2 2 3 2" xfId="4353" xr:uid="{00000000-0005-0000-0000-0000F5210000}"/>
    <cellStyle name="Normal 5 2 2 2 2 2 2 2 3 2 2" xfId="9285" xr:uid="{00000000-0005-0000-0000-0000F6210000}"/>
    <cellStyle name="Normal 5 2 2 2 2 2 2 2 3 2 2 2" xfId="19145" xr:uid="{00000000-0005-0000-0000-0000F7210000}"/>
    <cellStyle name="Normal 5 2 2 2 2 2 2 2 3 2 2 2 2" xfId="38860" xr:uid="{00000000-0005-0000-0000-0000F8210000}"/>
    <cellStyle name="Normal 5 2 2 2 2 2 2 2 3 2 2 3" xfId="29003" xr:uid="{00000000-0005-0000-0000-0000F9210000}"/>
    <cellStyle name="Normal 5 2 2 2 2 2 2 2 3 2 3" xfId="14217" xr:uid="{00000000-0005-0000-0000-0000FA210000}"/>
    <cellStyle name="Normal 5 2 2 2 2 2 2 2 3 2 3 2" xfId="33932" xr:uid="{00000000-0005-0000-0000-0000FB210000}"/>
    <cellStyle name="Normal 5 2 2 2 2 2 2 2 3 2 4" xfId="24075" xr:uid="{00000000-0005-0000-0000-0000FC210000}"/>
    <cellStyle name="Normal 5 2 2 2 2 2 2 2 3 3" xfId="6821" xr:uid="{00000000-0005-0000-0000-0000FD210000}"/>
    <cellStyle name="Normal 5 2 2 2 2 2 2 2 3 3 2" xfId="16681" xr:uid="{00000000-0005-0000-0000-0000FE210000}"/>
    <cellStyle name="Normal 5 2 2 2 2 2 2 2 3 3 2 2" xfId="36396" xr:uid="{00000000-0005-0000-0000-0000FF210000}"/>
    <cellStyle name="Normal 5 2 2 2 2 2 2 2 3 3 3" xfId="26539" xr:uid="{00000000-0005-0000-0000-000000220000}"/>
    <cellStyle name="Normal 5 2 2 2 2 2 2 2 3 4" xfId="11753" xr:uid="{00000000-0005-0000-0000-000001220000}"/>
    <cellStyle name="Normal 5 2 2 2 2 2 2 2 3 4 2" xfId="31468" xr:uid="{00000000-0005-0000-0000-000002220000}"/>
    <cellStyle name="Normal 5 2 2 2 2 2 2 2 3 5" xfId="21611" xr:uid="{00000000-0005-0000-0000-000003220000}"/>
    <cellStyle name="Normal 5 2 2 2 2 2 2 2 4" xfId="3121" xr:uid="{00000000-0005-0000-0000-000004220000}"/>
    <cellStyle name="Normal 5 2 2 2 2 2 2 2 4 2" xfId="8053" xr:uid="{00000000-0005-0000-0000-000005220000}"/>
    <cellStyle name="Normal 5 2 2 2 2 2 2 2 4 2 2" xfId="17913" xr:uid="{00000000-0005-0000-0000-000006220000}"/>
    <cellStyle name="Normal 5 2 2 2 2 2 2 2 4 2 2 2" xfId="37628" xr:uid="{00000000-0005-0000-0000-000007220000}"/>
    <cellStyle name="Normal 5 2 2 2 2 2 2 2 4 2 3" xfId="27771" xr:uid="{00000000-0005-0000-0000-000008220000}"/>
    <cellStyle name="Normal 5 2 2 2 2 2 2 2 4 3" xfId="12985" xr:uid="{00000000-0005-0000-0000-000009220000}"/>
    <cellStyle name="Normal 5 2 2 2 2 2 2 2 4 3 2" xfId="32700" xr:uid="{00000000-0005-0000-0000-00000A220000}"/>
    <cellStyle name="Normal 5 2 2 2 2 2 2 2 4 4" xfId="22843" xr:uid="{00000000-0005-0000-0000-00000B220000}"/>
    <cellStyle name="Normal 5 2 2 2 2 2 2 2 5" xfId="5589" xr:uid="{00000000-0005-0000-0000-00000C220000}"/>
    <cellStyle name="Normal 5 2 2 2 2 2 2 2 5 2" xfId="15449" xr:uid="{00000000-0005-0000-0000-00000D220000}"/>
    <cellStyle name="Normal 5 2 2 2 2 2 2 2 5 2 2" xfId="35164" xr:uid="{00000000-0005-0000-0000-00000E220000}"/>
    <cellStyle name="Normal 5 2 2 2 2 2 2 2 5 3" xfId="25307" xr:uid="{00000000-0005-0000-0000-00000F220000}"/>
    <cellStyle name="Normal 5 2 2 2 2 2 2 2 6" xfId="10521" xr:uid="{00000000-0005-0000-0000-000010220000}"/>
    <cellStyle name="Normal 5 2 2 2 2 2 2 2 6 2" xfId="30236" xr:uid="{00000000-0005-0000-0000-000011220000}"/>
    <cellStyle name="Normal 5 2 2 2 2 2 2 2 7" xfId="20379" xr:uid="{00000000-0005-0000-0000-000012220000}"/>
    <cellStyle name="Normal 5 2 2 2 2 2 2 3" xfId="960" xr:uid="{00000000-0005-0000-0000-000013220000}"/>
    <cellStyle name="Normal 5 2 2 2 2 2 2 3 2" xfId="2196" xr:uid="{00000000-0005-0000-0000-000014220000}"/>
    <cellStyle name="Normal 5 2 2 2 2 2 2 3 2 2" xfId="4663" xr:uid="{00000000-0005-0000-0000-000015220000}"/>
    <cellStyle name="Normal 5 2 2 2 2 2 2 3 2 2 2" xfId="9595" xr:uid="{00000000-0005-0000-0000-000016220000}"/>
    <cellStyle name="Normal 5 2 2 2 2 2 2 3 2 2 2 2" xfId="19455" xr:uid="{00000000-0005-0000-0000-000017220000}"/>
    <cellStyle name="Normal 5 2 2 2 2 2 2 3 2 2 2 2 2" xfId="39170" xr:uid="{00000000-0005-0000-0000-000018220000}"/>
    <cellStyle name="Normal 5 2 2 2 2 2 2 3 2 2 2 3" xfId="29313" xr:uid="{00000000-0005-0000-0000-000019220000}"/>
    <cellStyle name="Normal 5 2 2 2 2 2 2 3 2 2 3" xfId="14527" xr:uid="{00000000-0005-0000-0000-00001A220000}"/>
    <cellStyle name="Normal 5 2 2 2 2 2 2 3 2 2 3 2" xfId="34242" xr:uid="{00000000-0005-0000-0000-00001B220000}"/>
    <cellStyle name="Normal 5 2 2 2 2 2 2 3 2 2 4" xfId="24385" xr:uid="{00000000-0005-0000-0000-00001C220000}"/>
    <cellStyle name="Normal 5 2 2 2 2 2 2 3 2 3" xfId="7131" xr:uid="{00000000-0005-0000-0000-00001D220000}"/>
    <cellStyle name="Normal 5 2 2 2 2 2 2 3 2 3 2" xfId="16991" xr:uid="{00000000-0005-0000-0000-00001E220000}"/>
    <cellStyle name="Normal 5 2 2 2 2 2 2 3 2 3 2 2" xfId="36706" xr:uid="{00000000-0005-0000-0000-00001F220000}"/>
    <cellStyle name="Normal 5 2 2 2 2 2 2 3 2 3 3" xfId="26849" xr:uid="{00000000-0005-0000-0000-000020220000}"/>
    <cellStyle name="Normal 5 2 2 2 2 2 2 3 2 4" xfId="12063" xr:uid="{00000000-0005-0000-0000-000021220000}"/>
    <cellStyle name="Normal 5 2 2 2 2 2 2 3 2 4 2" xfId="31778" xr:uid="{00000000-0005-0000-0000-000022220000}"/>
    <cellStyle name="Normal 5 2 2 2 2 2 2 3 2 5" xfId="21921" xr:uid="{00000000-0005-0000-0000-000023220000}"/>
    <cellStyle name="Normal 5 2 2 2 2 2 2 3 3" xfId="3431" xr:uid="{00000000-0005-0000-0000-000024220000}"/>
    <cellStyle name="Normal 5 2 2 2 2 2 2 3 3 2" xfId="8363" xr:uid="{00000000-0005-0000-0000-000025220000}"/>
    <cellStyle name="Normal 5 2 2 2 2 2 2 3 3 2 2" xfId="18223" xr:uid="{00000000-0005-0000-0000-000026220000}"/>
    <cellStyle name="Normal 5 2 2 2 2 2 2 3 3 2 2 2" xfId="37938" xr:uid="{00000000-0005-0000-0000-000027220000}"/>
    <cellStyle name="Normal 5 2 2 2 2 2 2 3 3 2 3" xfId="28081" xr:uid="{00000000-0005-0000-0000-000028220000}"/>
    <cellStyle name="Normal 5 2 2 2 2 2 2 3 3 3" xfId="13295" xr:uid="{00000000-0005-0000-0000-000029220000}"/>
    <cellStyle name="Normal 5 2 2 2 2 2 2 3 3 3 2" xfId="33010" xr:uid="{00000000-0005-0000-0000-00002A220000}"/>
    <cellStyle name="Normal 5 2 2 2 2 2 2 3 3 4" xfId="23153" xr:uid="{00000000-0005-0000-0000-00002B220000}"/>
    <cellStyle name="Normal 5 2 2 2 2 2 2 3 4" xfId="5899" xr:uid="{00000000-0005-0000-0000-00002C220000}"/>
    <cellStyle name="Normal 5 2 2 2 2 2 2 3 4 2" xfId="15759" xr:uid="{00000000-0005-0000-0000-00002D220000}"/>
    <cellStyle name="Normal 5 2 2 2 2 2 2 3 4 2 2" xfId="35474" xr:uid="{00000000-0005-0000-0000-00002E220000}"/>
    <cellStyle name="Normal 5 2 2 2 2 2 2 3 4 3" xfId="25617" xr:uid="{00000000-0005-0000-0000-00002F220000}"/>
    <cellStyle name="Normal 5 2 2 2 2 2 2 3 5" xfId="10831" xr:uid="{00000000-0005-0000-0000-000030220000}"/>
    <cellStyle name="Normal 5 2 2 2 2 2 2 3 5 2" xfId="30546" xr:uid="{00000000-0005-0000-0000-000031220000}"/>
    <cellStyle name="Normal 5 2 2 2 2 2 2 3 6" xfId="20689" xr:uid="{00000000-0005-0000-0000-000032220000}"/>
    <cellStyle name="Normal 5 2 2 2 2 2 2 4" xfId="1580" xr:uid="{00000000-0005-0000-0000-000033220000}"/>
    <cellStyle name="Normal 5 2 2 2 2 2 2 4 2" xfId="4047" xr:uid="{00000000-0005-0000-0000-000034220000}"/>
    <cellStyle name="Normal 5 2 2 2 2 2 2 4 2 2" xfId="8979" xr:uid="{00000000-0005-0000-0000-000035220000}"/>
    <cellStyle name="Normal 5 2 2 2 2 2 2 4 2 2 2" xfId="18839" xr:uid="{00000000-0005-0000-0000-000036220000}"/>
    <cellStyle name="Normal 5 2 2 2 2 2 2 4 2 2 2 2" xfId="38554" xr:uid="{00000000-0005-0000-0000-000037220000}"/>
    <cellStyle name="Normal 5 2 2 2 2 2 2 4 2 2 3" xfId="28697" xr:uid="{00000000-0005-0000-0000-000038220000}"/>
    <cellStyle name="Normal 5 2 2 2 2 2 2 4 2 3" xfId="13911" xr:uid="{00000000-0005-0000-0000-000039220000}"/>
    <cellStyle name="Normal 5 2 2 2 2 2 2 4 2 3 2" xfId="33626" xr:uid="{00000000-0005-0000-0000-00003A220000}"/>
    <cellStyle name="Normal 5 2 2 2 2 2 2 4 2 4" xfId="23769" xr:uid="{00000000-0005-0000-0000-00003B220000}"/>
    <cellStyle name="Normal 5 2 2 2 2 2 2 4 3" xfId="6515" xr:uid="{00000000-0005-0000-0000-00003C220000}"/>
    <cellStyle name="Normal 5 2 2 2 2 2 2 4 3 2" xfId="16375" xr:uid="{00000000-0005-0000-0000-00003D220000}"/>
    <cellStyle name="Normal 5 2 2 2 2 2 2 4 3 2 2" xfId="36090" xr:uid="{00000000-0005-0000-0000-00003E220000}"/>
    <cellStyle name="Normal 5 2 2 2 2 2 2 4 3 3" xfId="26233" xr:uid="{00000000-0005-0000-0000-00003F220000}"/>
    <cellStyle name="Normal 5 2 2 2 2 2 2 4 4" xfId="11447" xr:uid="{00000000-0005-0000-0000-000040220000}"/>
    <cellStyle name="Normal 5 2 2 2 2 2 2 4 4 2" xfId="31162" xr:uid="{00000000-0005-0000-0000-000041220000}"/>
    <cellStyle name="Normal 5 2 2 2 2 2 2 4 5" xfId="21305" xr:uid="{00000000-0005-0000-0000-000042220000}"/>
    <cellStyle name="Normal 5 2 2 2 2 2 2 5" xfId="2815" xr:uid="{00000000-0005-0000-0000-000043220000}"/>
    <cellStyle name="Normal 5 2 2 2 2 2 2 5 2" xfId="7747" xr:uid="{00000000-0005-0000-0000-000044220000}"/>
    <cellStyle name="Normal 5 2 2 2 2 2 2 5 2 2" xfId="17607" xr:uid="{00000000-0005-0000-0000-000045220000}"/>
    <cellStyle name="Normal 5 2 2 2 2 2 2 5 2 2 2" xfId="37322" xr:uid="{00000000-0005-0000-0000-000046220000}"/>
    <cellStyle name="Normal 5 2 2 2 2 2 2 5 2 3" xfId="27465" xr:uid="{00000000-0005-0000-0000-000047220000}"/>
    <cellStyle name="Normal 5 2 2 2 2 2 2 5 3" xfId="12679" xr:uid="{00000000-0005-0000-0000-000048220000}"/>
    <cellStyle name="Normal 5 2 2 2 2 2 2 5 3 2" xfId="32394" xr:uid="{00000000-0005-0000-0000-000049220000}"/>
    <cellStyle name="Normal 5 2 2 2 2 2 2 5 4" xfId="22537" xr:uid="{00000000-0005-0000-0000-00004A220000}"/>
    <cellStyle name="Normal 5 2 2 2 2 2 2 6" xfId="5283" xr:uid="{00000000-0005-0000-0000-00004B220000}"/>
    <cellStyle name="Normal 5 2 2 2 2 2 2 6 2" xfId="15143" xr:uid="{00000000-0005-0000-0000-00004C220000}"/>
    <cellStyle name="Normal 5 2 2 2 2 2 2 6 2 2" xfId="34858" xr:uid="{00000000-0005-0000-0000-00004D220000}"/>
    <cellStyle name="Normal 5 2 2 2 2 2 2 6 3" xfId="25001" xr:uid="{00000000-0005-0000-0000-00004E220000}"/>
    <cellStyle name="Normal 5 2 2 2 2 2 2 7" xfId="10215" xr:uid="{00000000-0005-0000-0000-00004F220000}"/>
    <cellStyle name="Normal 5 2 2 2 2 2 2 7 2" xfId="29930" xr:uid="{00000000-0005-0000-0000-000050220000}"/>
    <cellStyle name="Normal 5 2 2 2 2 2 2 8" xfId="20073" xr:uid="{00000000-0005-0000-0000-000051220000}"/>
    <cellStyle name="Normal 5 2 2 2 2 2 3" xfId="495" xr:uid="{00000000-0005-0000-0000-000052220000}"/>
    <cellStyle name="Normal 5 2 2 2 2 2 3 2" xfId="1115" xr:uid="{00000000-0005-0000-0000-000053220000}"/>
    <cellStyle name="Normal 5 2 2 2 2 2 3 2 2" xfId="2350" xr:uid="{00000000-0005-0000-0000-000054220000}"/>
    <cellStyle name="Normal 5 2 2 2 2 2 3 2 2 2" xfId="4817" xr:uid="{00000000-0005-0000-0000-000055220000}"/>
    <cellStyle name="Normal 5 2 2 2 2 2 3 2 2 2 2" xfId="9749" xr:uid="{00000000-0005-0000-0000-000056220000}"/>
    <cellStyle name="Normal 5 2 2 2 2 2 3 2 2 2 2 2" xfId="19609" xr:uid="{00000000-0005-0000-0000-000057220000}"/>
    <cellStyle name="Normal 5 2 2 2 2 2 3 2 2 2 2 2 2" xfId="39324" xr:uid="{00000000-0005-0000-0000-000058220000}"/>
    <cellStyle name="Normal 5 2 2 2 2 2 3 2 2 2 2 3" xfId="29467" xr:uid="{00000000-0005-0000-0000-000059220000}"/>
    <cellStyle name="Normal 5 2 2 2 2 2 3 2 2 2 3" xfId="14681" xr:uid="{00000000-0005-0000-0000-00005A220000}"/>
    <cellStyle name="Normal 5 2 2 2 2 2 3 2 2 2 3 2" xfId="34396" xr:uid="{00000000-0005-0000-0000-00005B220000}"/>
    <cellStyle name="Normal 5 2 2 2 2 2 3 2 2 2 4" xfId="24539" xr:uid="{00000000-0005-0000-0000-00005C220000}"/>
    <cellStyle name="Normal 5 2 2 2 2 2 3 2 2 3" xfId="7285" xr:uid="{00000000-0005-0000-0000-00005D220000}"/>
    <cellStyle name="Normal 5 2 2 2 2 2 3 2 2 3 2" xfId="17145" xr:uid="{00000000-0005-0000-0000-00005E220000}"/>
    <cellStyle name="Normal 5 2 2 2 2 2 3 2 2 3 2 2" xfId="36860" xr:uid="{00000000-0005-0000-0000-00005F220000}"/>
    <cellStyle name="Normal 5 2 2 2 2 2 3 2 2 3 3" xfId="27003" xr:uid="{00000000-0005-0000-0000-000060220000}"/>
    <cellStyle name="Normal 5 2 2 2 2 2 3 2 2 4" xfId="12217" xr:uid="{00000000-0005-0000-0000-000061220000}"/>
    <cellStyle name="Normal 5 2 2 2 2 2 3 2 2 4 2" xfId="31932" xr:uid="{00000000-0005-0000-0000-000062220000}"/>
    <cellStyle name="Normal 5 2 2 2 2 2 3 2 2 5" xfId="22075" xr:uid="{00000000-0005-0000-0000-000063220000}"/>
    <cellStyle name="Normal 5 2 2 2 2 2 3 2 3" xfId="3585" xr:uid="{00000000-0005-0000-0000-000064220000}"/>
    <cellStyle name="Normal 5 2 2 2 2 2 3 2 3 2" xfId="8517" xr:uid="{00000000-0005-0000-0000-000065220000}"/>
    <cellStyle name="Normal 5 2 2 2 2 2 3 2 3 2 2" xfId="18377" xr:uid="{00000000-0005-0000-0000-000066220000}"/>
    <cellStyle name="Normal 5 2 2 2 2 2 3 2 3 2 2 2" xfId="38092" xr:uid="{00000000-0005-0000-0000-000067220000}"/>
    <cellStyle name="Normal 5 2 2 2 2 2 3 2 3 2 3" xfId="28235" xr:uid="{00000000-0005-0000-0000-000068220000}"/>
    <cellStyle name="Normal 5 2 2 2 2 2 3 2 3 3" xfId="13449" xr:uid="{00000000-0005-0000-0000-000069220000}"/>
    <cellStyle name="Normal 5 2 2 2 2 2 3 2 3 3 2" xfId="33164" xr:uid="{00000000-0005-0000-0000-00006A220000}"/>
    <cellStyle name="Normal 5 2 2 2 2 2 3 2 3 4" xfId="23307" xr:uid="{00000000-0005-0000-0000-00006B220000}"/>
    <cellStyle name="Normal 5 2 2 2 2 2 3 2 4" xfId="6053" xr:uid="{00000000-0005-0000-0000-00006C220000}"/>
    <cellStyle name="Normal 5 2 2 2 2 2 3 2 4 2" xfId="15913" xr:uid="{00000000-0005-0000-0000-00006D220000}"/>
    <cellStyle name="Normal 5 2 2 2 2 2 3 2 4 2 2" xfId="35628" xr:uid="{00000000-0005-0000-0000-00006E220000}"/>
    <cellStyle name="Normal 5 2 2 2 2 2 3 2 4 3" xfId="25771" xr:uid="{00000000-0005-0000-0000-00006F220000}"/>
    <cellStyle name="Normal 5 2 2 2 2 2 3 2 5" xfId="10985" xr:uid="{00000000-0005-0000-0000-000070220000}"/>
    <cellStyle name="Normal 5 2 2 2 2 2 3 2 5 2" xfId="30700" xr:uid="{00000000-0005-0000-0000-000071220000}"/>
    <cellStyle name="Normal 5 2 2 2 2 2 3 2 6" xfId="20843" xr:uid="{00000000-0005-0000-0000-000072220000}"/>
    <cellStyle name="Normal 5 2 2 2 2 2 3 3" xfId="1734" xr:uid="{00000000-0005-0000-0000-000073220000}"/>
    <cellStyle name="Normal 5 2 2 2 2 2 3 3 2" xfId="4201" xr:uid="{00000000-0005-0000-0000-000074220000}"/>
    <cellStyle name="Normal 5 2 2 2 2 2 3 3 2 2" xfId="9133" xr:uid="{00000000-0005-0000-0000-000075220000}"/>
    <cellStyle name="Normal 5 2 2 2 2 2 3 3 2 2 2" xfId="18993" xr:uid="{00000000-0005-0000-0000-000076220000}"/>
    <cellStyle name="Normal 5 2 2 2 2 2 3 3 2 2 2 2" xfId="38708" xr:uid="{00000000-0005-0000-0000-000077220000}"/>
    <cellStyle name="Normal 5 2 2 2 2 2 3 3 2 2 3" xfId="28851" xr:uid="{00000000-0005-0000-0000-000078220000}"/>
    <cellStyle name="Normal 5 2 2 2 2 2 3 3 2 3" xfId="14065" xr:uid="{00000000-0005-0000-0000-000079220000}"/>
    <cellStyle name="Normal 5 2 2 2 2 2 3 3 2 3 2" xfId="33780" xr:uid="{00000000-0005-0000-0000-00007A220000}"/>
    <cellStyle name="Normal 5 2 2 2 2 2 3 3 2 4" xfId="23923" xr:uid="{00000000-0005-0000-0000-00007B220000}"/>
    <cellStyle name="Normal 5 2 2 2 2 2 3 3 3" xfId="6669" xr:uid="{00000000-0005-0000-0000-00007C220000}"/>
    <cellStyle name="Normal 5 2 2 2 2 2 3 3 3 2" xfId="16529" xr:uid="{00000000-0005-0000-0000-00007D220000}"/>
    <cellStyle name="Normal 5 2 2 2 2 2 3 3 3 2 2" xfId="36244" xr:uid="{00000000-0005-0000-0000-00007E220000}"/>
    <cellStyle name="Normal 5 2 2 2 2 2 3 3 3 3" xfId="26387" xr:uid="{00000000-0005-0000-0000-00007F220000}"/>
    <cellStyle name="Normal 5 2 2 2 2 2 3 3 4" xfId="11601" xr:uid="{00000000-0005-0000-0000-000080220000}"/>
    <cellStyle name="Normal 5 2 2 2 2 2 3 3 4 2" xfId="31316" xr:uid="{00000000-0005-0000-0000-000081220000}"/>
    <cellStyle name="Normal 5 2 2 2 2 2 3 3 5" xfId="21459" xr:uid="{00000000-0005-0000-0000-000082220000}"/>
    <cellStyle name="Normal 5 2 2 2 2 2 3 4" xfId="2969" xr:uid="{00000000-0005-0000-0000-000083220000}"/>
    <cellStyle name="Normal 5 2 2 2 2 2 3 4 2" xfId="7901" xr:uid="{00000000-0005-0000-0000-000084220000}"/>
    <cellStyle name="Normal 5 2 2 2 2 2 3 4 2 2" xfId="17761" xr:uid="{00000000-0005-0000-0000-000085220000}"/>
    <cellStyle name="Normal 5 2 2 2 2 2 3 4 2 2 2" xfId="37476" xr:uid="{00000000-0005-0000-0000-000086220000}"/>
    <cellStyle name="Normal 5 2 2 2 2 2 3 4 2 3" xfId="27619" xr:uid="{00000000-0005-0000-0000-000087220000}"/>
    <cellStyle name="Normal 5 2 2 2 2 2 3 4 3" xfId="12833" xr:uid="{00000000-0005-0000-0000-000088220000}"/>
    <cellStyle name="Normal 5 2 2 2 2 2 3 4 3 2" xfId="32548" xr:uid="{00000000-0005-0000-0000-000089220000}"/>
    <cellStyle name="Normal 5 2 2 2 2 2 3 4 4" xfId="22691" xr:uid="{00000000-0005-0000-0000-00008A220000}"/>
    <cellStyle name="Normal 5 2 2 2 2 2 3 5" xfId="5437" xr:uid="{00000000-0005-0000-0000-00008B220000}"/>
    <cellStyle name="Normal 5 2 2 2 2 2 3 5 2" xfId="15297" xr:uid="{00000000-0005-0000-0000-00008C220000}"/>
    <cellStyle name="Normal 5 2 2 2 2 2 3 5 2 2" xfId="35012" xr:uid="{00000000-0005-0000-0000-00008D220000}"/>
    <cellStyle name="Normal 5 2 2 2 2 2 3 5 3" xfId="25155" xr:uid="{00000000-0005-0000-0000-00008E220000}"/>
    <cellStyle name="Normal 5 2 2 2 2 2 3 6" xfId="10369" xr:uid="{00000000-0005-0000-0000-00008F220000}"/>
    <cellStyle name="Normal 5 2 2 2 2 2 3 6 2" xfId="30084" xr:uid="{00000000-0005-0000-0000-000090220000}"/>
    <cellStyle name="Normal 5 2 2 2 2 2 3 7" xfId="20227" xr:uid="{00000000-0005-0000-0000-000091220000}"/>
    <cellStyle name="Normal 5 2 2 2 2 2 4" xfId="808" xr:uid="{00000000-0005-0000-0000-000092220000}"/>
    <cellStyle name="Normal 5 2 2 2 2 2 4 2" xfId="2044" xr:uid="{00000000-0005-0000-0000-000093220000}"/>
    <cellStyle name="Normal 5 2 2 2 2 2 4 2 2" xfId="4511" xr:uid="{00000000-0005-0000-0000-000094220000}"/>
    <cellStyle name="Normal 5 2 2 2 2 2 4 2 2 2" xfId="9443" xr:uid="{00000000-0005-0000-0000-000095220000}"/>
    <cellStyle name="Normal 5 2 2 2 2 2 4 2 2 2 2" xfId="19303" xr:uid="{00000000-0005-0000-0000-000096220000}"/>
    <cellStyle name="Normal 5 2 2 2 2 2 4 2 2 2 2 2" xfId="39018" xr:uid="{00000000-0005-0000-0000-000097220000}"/>
    <cellStyle name="Normal 5 2 2 2 2 2 4 2 2 2 3" xfId="29161" xr:uid="{00000000-0005-0000-0000-000098220000}"/>
    <cellStyle name="Normal 5 2 2 2 2 2 4 2 2 3" xfId="14375" xr:uid="{00000000-0005-0000-0000-000099220000}"/>
    <cellStyle name="Normal 5 2 2 2 2 2 4 2 2 3 2" xfId="34090" xr:uid="{00000000-0005-0000-0000-00009A220000}"/>
    <cellStyle name="Normal 5 2 2 2 2 2 4 2 2 4" xfId="24233" xr:uid="{00000000-0005-0000-0000-00009B220000}"/>
    <cellStyle name="Normal 5 2 2 2 2 2 4 2 3" xfId="6979" xr:uid="{00000000-0005-0000-0000-00009C220000}"/>
    <cellStyle name="Normal 5 2 2 2 2 2 4 2 3 2" xfId="16839" xr:uid="{00000000-0005-0000-0000-00009D220000}"/>
    <cellStyle name="Normal 5 2 2 2 2 2 4 2 3 2 2" xfId="36554" xr:uid="{00000000-0005-0000-0000-00009E220000}"/>
    <cellStyle name="Normal 5 2 2 2 2 2 4 2 3 3" xfId="26697" xr:uid="{00000000-0005-0000-0000-00009F220000}"/>
    <cellStyle name="Normal 5 2 2 2 2 2 4 2 4" xfId="11911" xr:uid="{00000000-0005-0000-0000-0000A0220000}"/>
    <cellStyle name="Normal 5 2 2 2 2 2 4 2 4 2" xfId="31626" xr:uid="{00000000-0005-0000-0000-0000A1220000}"/>
    <cellStyle name="Normal 5 2 2 2 2 2 4 2 5" xfId="21769" xr:uid="{00000000-0005-0000-0000-0000A2220000}"/>
    <cellStyle name="Normal 5 2 2 2 2 2 4 3" xfId="3279" xr:uid="{00000000-0005-0000-0000-0000A3220000}"/>
    <cellStyle name="Normal 5 2 2 2 2 2 4 3 2" xfId="8211" xr:uid="{00000000-0005-0000-0000-0000A4220000}"/>
    <cellStyle name="Normal 5 2 2 2 2 2 4 3 2 2" xfId="18071" xr:uid="{00000000-0005-0000-0000-0000A5220000}"/>
    <cellStyle name="Normal 5 2 2 2 2 2 4 3 2 2 2" xfId="37786" xr:uid="{00000000-0005-0000-0000-0000A6220000}"/>
    <cellStyle name="Normal 5 2 2 2 2 2 4 3 2 3" xfId="27929" xr:uid="{00000000-0005-0000-0000-0000A7220000}"/>
    <cellStyle name="Normal 5 2 2 2 2 2 4 3 3" xfId="13143" xr:uid="{00000000-0005-0000-0000-0000A8220000}"/>
    <cellStyle name="Normal 5 2 2 2 2 2 4 3 3 2" xfId="32858" xr:uid="{00000000-0005-0000-0000-0000A9220000}"/>
    <cellStyle name="Normal 5 2 2 2 2 2 4 3 4" xfId="23001" xr:uid="{00000000-0005-0000-0000-0000AA220000}"/>
    <cellStyle name="Normal 5 2 2 2 2 2 4 4" xfId="5747" xr:uid="{00000000-0005-0000-0000-0000AB220000}"/>
    <cellStyle name="Normal 5 2 2 2 2 2 4 4 2" xfId="15607" xr:uid="{00000000-0005-0000-0000-0000AC220000}"/>
    <cellStyle name="Normal 5 2 2 2 2 2 4 4 2 2" xfId="35322" xr:uid="{00000000-0005-0000-0000-0000AD220000}"/>
    <cellStyle name="Normal 5 2 2 2 2 2 4 4 3" xfId="25465" xr:uid="{00000000-0005-0000-0000-0000AE220000}"/>
    <cellStyle name="Normal 5 2 2 2 2 2 4 5" xfId="10679" xr:uid="{00000000-0005-0000-0000-0000AF220000}"/>
    <cellStyle name="Normal 5 2 2 2 2 2 4 5 2" xfId="30394" xr:uid="{00000000-0005-0000-0000-0000B0220000}"/>
    <cellStyle name="Normal 5 2 2 2 2 2 4 6" xfId="20537" xr:uid="{00000000-0005-0000-0000-0000B1220000}"/>
    <cellStyle name="Normal 5 2 2 2 2 2 5" xfId="1428" xr:uid="{00000000-0005-0000-0000-0000B2220000}"/>
    <cellStyle name="Normal 5 2 2 2 2 2 5 2" xfId="3895" xr:uid="{00000000-0005-0000-0000-0000B3220000}"/>
    <cellStyle name="Normal 5 2 2 2 2 2 5 2 2" xfId="8827" xr:uid="{00000000-0005-0000-0000-0000B4220000}"/>
    <cellStyle name="Normal 5 2 2 2 2 2 5 2 2 2" xfId="18687" xr:uid="{00000000-0005-0000-0000-0000B5220000}"/>
    <cellStyle name="Normal 5 2 2 2 2 2 5 2 2 2 2" xfId="38402" xr:uid="{00000000-0005-0000-0000-0000B6220000}"/>
    <cellStyle name="Normal 5 2 2 2 2 2 5 2 2 3" xfId="28545" xr:uid="{00000000-0005-0000-0000-0000B7220000}"/>
    <cellStyle name="Normal 5 2 2 2 2 2 5 2 3" xfId="13759" xr:uid="{00000000-0005-0000-0000-0000B8220000}"/>
    <cellStyle name="Normal 5 2 2 2 2 2 5 2 3 2" xfId="33474" xr:uid="{00000000-0005-0000-0000-0000B9220000}"/>
    <cellStyle name="Normal 5 2 2 2 2 2 5 2 4" xfId="23617" xr:uid="{00000000-0005-0000-0000-0000BA220000}"/>
    <cellStyle name="Normal 5 2 2 2 2 2 5 3" xfId="6363" xr:uid="{00000000-0005-0000-0000-0000BB220000}"/>
    <cellStyle name="Normal 5 2 2 2 2 2 5 3 2" xfId="16223" xr:uid="{00000000-0005-0000-0000-0000BC220000}"/>
    <cellStyle name="Normal 5 2 2 2 2 2 5 3 2 2" xfId="35938" xr:uid="{00000000-0005-0000-0000-0000BD220000}"/>
    <cellStyle name="Normal 5 2 2 2 2 2 5 3 3" xfId="26081" xr:uid="{00000000-0005-0000-0000-0000BE220000}"/>
    <cellStyle name="Normal 5 2 2 2 2 2 5 4" xfId="11295" xr:uid="{00000000-0005-0000-0000-0000BF220000}"/>
    <cellStyle name="Normal 5 2 2 2 2 2 5 4 2" xfId="31010" xr:uid="{00000000-0005-0000-0000-0000C0220000}"/>
    <cellStyle name="Normal 5 2 2 2 2 2 5 5" xfId="21153" xr:uid="{00000000-0005-0000-0000-0000C1220000}"/>
    <cellStyle name="Normal 5 2 2 2 2 2 6" xfId="2663" xr:uid="{00000000-0005-0000-0000-0000C2220000}"/>
    <cellStyle name="Normal 5 2 2 2 2 2 6 2" xfId="7595" xr:uid="{00000000-0005-0000-0000-0000C3220000}"/>
    <cellStyle name="Normal 5 2 2 2 2 2 6 2 2" xfId="17455" xr:uid="{00000000-0005-0000-0000-0000C4220000}"/>
    <cellStyle name="Normal 5 2 2 2 2 2 6 2 2 2" xfId="37170" xr:uid="{00000000-0005-0000-0000-0000C5220000}"/>
    <cellStyle name="Normal 5 2 2 2 2 2 6 2 3" xfId="27313" xr:uid="{00000000-0005-0000-0000-0000C6220000}"/>
    <cellStyle name="Normal 5 2 2 2 2 2 6 3" xfId="12527" xr:uid="{00000000-0005-0000-0000-0000C7220000}"/>
    <cellStyle name="Normal 5 2 2 2 2 2 6 3 2" xfId="32242" xr:uid="{00000000-0005-0000-0000-0000C8220000}"/>
    <cellStyle name="Normal 5 2 2 2 2 2 6 4" xfId="22385" xr:uid="{00000000-0005-0000-0000-0000C9220000}"/>
    <cellStyle name="Normal 5 2 2 2 2 2 7" xfId="5131" xr:uid="{00000000-0005-0000-0000-0000CA220000}"/>
    <cellStyle name="Normal 5 2 2 2 2 2 7 2" xfId="14991" xr:uid="{00000000-0005-0000-0000-0000CB220000}"/>
    <cellStyle name="Normal 5 2 2 2 2 2 7 2 2" xfId="34706" xr:uid="{00000000-0005-0000-0000-0000CC220000}"/>
    <cellStyle name="Normal 5 2 2 2 2 2 7 3" xfId="24849" xr:uid="{00000000-0005-0000-0000-0000CD220000}"/>
    <cellStyle name="Normal 5 2 2 2 2 2 8" xfId="10063" xr:uid="{00000000-0005-0000-0000-0000CE220000}"/>
    <cellStyle name="Normal 5 2 2 2 2 2 8 2" xfId="29778" xr:uid="{00000000-0005-0000-0000-0000CF220000}"/>
    <cellStyle name="Normal 5 2 2 2 2 2 9" xfId="19921" xr:uid="{00000000-0005-0000-0000-0000D0220000}"/>
    <cellStyle name="Normal 5 2 2 2 2 3" xfId="257" xr:uid="{00000000-0005-0000-0000-0000D1220000}"/>
    <cellStyle name="Normal 5 2 2 2 2 3 2" xfId="571" xr:uid="{00000000-0005-0000-0000-0000D2220000}"/>
    <cellStyle name="Normal 5 2 2 2 2 3 2 2" xfId="1191" xr:uid="{00000000-0005-0000-0000-0000D3220000}"/>
    <cellStyle name="Normal 5 2 2 2 2 3 2 2 2" xfId="2426" xr:uid="{00000000-0005-0000-0000-0000D4220000}"/>
    <cellStyle name="Normal 5 2 2 2 2 3 2 2 2 2" xfId="4893" xr:uid="{00000000-0005-0000-0000-0000D5220000}"/>
    <cellStyle name="Normal 5 2 2 2 2 3 2 2 2 2 2" xfId="9825" xr:uid="{00000000-0005-0000-0000-0000D6220000}"/>
    <cellStyle name="Normal 5 2 2 2 2 3 2 2 2 2 2 2" xfId="19685" xr:uid="{00000000-0005-0000-0000-0000D7220000}"/>
    <cellStyle name="Normal 5 2 2 2 2 3 2 2 2 2 2 2 2" xfId="39400" xr:uid="{00000000-0005-0000-0000-0000D8220000}"/>
    <cellStyle name="Normal 5 2 2 2 2 3 2 2 2 2 2 3" xfId="29543" xr:uid="{00000000-0005-0000-0000-0000D9220000}"/>
    <cellStyle name="Normal 5 2 2 2 2 3 2 2 2 2 3" xfId="14757" xr:uid="{00000000-0005-0000-0000-0000DA220000}"/>
    <cellStyle name="Normal 5 2 2 2 2 3 2 2 2 2 3 2" xfId="34472" xr:uid="{00000000-0005-0000-0000-0000DB220000}"/>
    <cellStyle name="Normal 5 2 2 2 2 3 2 2 2 2 4" xfId="24615" xr:uid="{00000000-0005-0000-0000-0000DC220000}"/>
    <cellStyle name="Normal 5 2 2 2 2 3 2 2 2 3" xfId="7361" xr:uid="{00000000-0005-0000-0000-0000DD220000}"/>
    <cellStyle name="Normal 5 2 2 2 2 3 2 2 2 3 2" xfId="17221" xr:uid="{00000000-0005-0000-0000-0000DE220000}"/>
    <cellStyle name="Normal 5 2 2 2 2 3 2 2 2 3 2 2" xfId="36936" xr:uid="{00000000-0005-0000-0000-0000DF220000}"/>
    <cellStyle name="Normal 5 2 2 2 2 3 2 2 2 3 3" xfId="27079" xr:uid="{00000000-0005-0000-0000-0000E0220000}"/>
    <cellStyle name="Normal 5 2 2 2 2 3 2 2 2 4" xfId="12293" xr:uid="{00000000-0005-0000-0000-0000E1220000}"/>
    <cellStyle name="Normal 5 2 2 2 2 3 2 2 2 4 2" xfId="32008" xr:uid="{00000000-0005-0000-0000-0000E2220000}"/>
    <cellStyle name="Normal 5 2 2 2 2 3 2 2 2 5" xfId="22151" xr:uid="{00000000-0005-0000-0000-0000E3220000}"/>
    <cellStyle name="Normal 5 2 2 2 2 3 2 2 3" xfId="3661" xr:uid="{00000000-0005-0000-0000-0000E4220000}"/>
    <cellStyle name="Normal 5 2 2 2 2 3 2 2 3 2" xfId="8593" xr:uid="{00000000-0005-0000-0000-0000E5220000}"/>
    <cellStyle name="Normal 5 2 2 2 2 3 2 2 3 2 2" xfId="18453" xr:uid="{00000000-0005-0000-0000-0000E6220000}"/>
    <cellStyle name="Normal 5 2 2 2 2 3 2 2 3 2 2 2" xfId="38168" xr:uid="{00000000-0005-0000-0000-0000E7220000}"/>
    <cellStyle name="Normal 5 2 2 2 2 3 2 2 3 2 3" xfId="28311" xr:uid="{00000000-0005-0000-0000-0000E8220000}"/>
    <cellStyle name="Normal 5 2 2 2 2 3 2 2 3 3" xfId="13525" xr:uid="{00000000-0005-0000-0000-0000E9220000}"/>
    <cellStyle name="Normal 5 2 2 2 2 3 2 2 3 3 2" xfId="33240" xr:uid="{00000000-0005-0000-0000-0000EA220000}"/>
    <cellStyle name="Normal 5 2 2 2 2 3 2 2 3 4" xfId="23383" xr:uid="{00000000-0005-0000-0000-0000EB220000}"/>
    <cellStyle name="Normal 5 2 2 2 2 3 2 2 4" xfId="6129" xr:uid="{00000000-0005-0000-0000-0000EC220000}"/>
    <cellStyle name="Normal 5 2 2 2 2 3 2 2 4 2" xfId="15989" xr:uid="{00000000-0005-0000-0000-0000ED220000}"/>
    <cellStyle name="Normal 5 2 2 2 2 3 2 2 4 2 2" xfId="35704" xr:uid="{00000000-0005-0000-0000-0000EE220000}"/>
    <cellStyle name="Normal 5 2 2 2 2 3 2 2 4 3" xfId="25847" xr:uid="{00000000-0005-0000-0000-0000EF220000}"/>
    <cellStyle name="Normal 5 2 2 2 2 3 2 2 5" xfId="11061" xr:uid="{00000000-0005-0000-0000-0000F0220000}"/>
    <cellStyle name="Normal 5 2 2 2 2 3 2 2 5 2" xfId="30776" xr:uid="{00000000-0005-0000-0000-0000F1220000}"/>
    <cellStyle name="Normal 5 2 2 2 2 3 2 2 6" xfId="20919" xr:uid="{00000000-0005-0000-0000-0000F2220000}"/>
    <cellStyle name="Normal 5 2 2 2 2 3 2 3" xfId="1810" xr:uid="{00000000-0005-0000-0000-0000F3220000}"/>
    <cellStyle name="Normal 5 2 2 2 2 3 2 3 2" xfId="4277" xr:uid="{00000000-0005-0000-0000-0000F4220000}"/>
    <cellStyle name="Normal 5 2 2 2 2 3 2 3 2 2" xfId="9209" xr:uid="{00000000-0005-0000-0000-0000F5220000}"/>
    <cellStyle name="Normal 5 2 2 2 2 3 2 3 2 2 2" xfId="19069" xr:uid="{00000000-0005-0000-0000-0000F6220000}"/>
    <cellStyle name="Normal 5 2 2 2 2 3 2 3 2 2 2 2" xfId="38784" xr:uid="{00000000-0005-0000-0000-0000F7220000}"/>
    <cellStyle name="Normal 5 2 2 2 2 3 2 3 2 2 3" xfId="28927" xr:uid="{00000000-0005-0000-0000-0000F8220000}"/>
    <cellStyle name="Normal 5 2 2 2 2 3 2 3 2 3" xfId="14141" xr:uid="{00000000-0005-0000-0000-0000F9220000}"/>
    <cellStyle name="Normal 5 2 2 2 2 3 2 3 2 3 2" xfId="33856" xr:uid="{00000000-0005-0000-0000-0000FA220000}"/>
    <cellStyle name="Normal 5 2 2 2 2 3 2 3 2 4" xfId="23999" xr:uid="{00000000-0005-0000-0000-0000FB220000}"/>
    <cellStyle name="Normal 5 2 2 2 2 3 2 3 3" xfId="6745" xr:uid="{00000000-0005-0000-0000-0000FC220000}"/>
    <cellStyle name="Normal 5 2 2 2 2 3 2 3 3 2" xfId="16605" xr:uid="{00000000-0005-0000-0000-0000FD220000}"/>
    <cellStyle name="Normal 5 2 2 2 2 3 2 3 3 2 2" xfId="36320" xr:uid="{00000000-0005-0000-0000-0000FE220000}"/>
    <cellStyle name="Normal 5 2 2 2 2 3 2 3 3 3" xfId="26463" xr:uid="{00000000-0005-0000-0000-0000FF220000}"/>
    <cellStyle name="Normal 5 2 2 2 2 3 2 3 4" xfId="11677" xr:uid="{00000000-0005-0000-0000-000000230000}"/>
    <cellStyle name="Normal 5 2 2 2 2 3 2 3 4 2" xfId="31392" xr:uid="{00000000-0005-0000-0000-000001230000}"/>
    <cellStyle name="Normal 5 2 2 2 2 3 2 3 5" xfId="21535" xr:uid="{00000000-0005-0000-0000-000002230000}"/>
    <cellStyle name="Normal 5 2 2 2 2 3 2 4" xfId="3045" xr:uid="{00000000-0005-0000-0000-000003230000}"/>
    <cellStyle name="Normal 5 2 2 2 2 3 2 4 2" xfId="7977" xr:uid="{00000000-0005-0000-0000-000004230000}"/>
    <cellStyle name="Normal 5 2 2 2 2 3 2 4 2 2" xfId="17837" xr:uid="{00000000-0005-0000-0000-000005230000}"/>
    <cellStyle name="Normal 5 2 2 2 2 3 2 4 2 2 2" xfId="37552" xr:uid="{00000000-0005-0000-0000-000006230000}"/>
    <cellStyle name="Normal 5 2 2 2 2 3 2 4 2 3" xfId="27695" xr:uid="{00000000-0005-0000-0000-000007230000}"/>
    <cellStyle name="Normal 5 2 2 2 2 3 2 4 3" xfId="12909" xr:uid="{00000000-0005-0000-0000-000008230000}"/>
    <cellStyle name="Normal 5 2 2 2 2 3 2 4 3 2" xfId="32624" xr:uid="{00000000-0005-0000-0000-000009230000}"/>
    <cellStyle name="Normal 5 2 2 2 2 3 2 4 4" xfId="22767" xr:uid="{00000000-0005-0000-0000-00000A230000}"/>
    <cellStyle name="Normal 5 2 2 2 2 3 2 5" xfId="5513" xr:uid="{00000000-0005-0000-0000-00000B230000}"/>
    <cellStyle name="Normal 5 2 2 2 2 3 2 5 2" xfId="15373" xr:uid="{00000000-0005-0000-0000-00000C230000}"/>
    <cellStyle name="Normal 5 2 2 2 2 3 2 5 2 2" xfId="35088" xr:uid="{00000000-0005-0000-0000-00000D230000}"/>
    <cellStyle name="Normal 5 2 2 2 2 3 2 5 3" xfId="25231" xr:uid="{00000000-0005-0000-0000-00000E230000}"/>
    <cellStyle name="Normal 5 2 2 2 2 3 2 6" xfId="10445" xr:uid="{00000000-0005-0000-0000-00000F230000}"/>
    <cellStyle name="Normal 5 2 2 2 2 3 2 6 2" xfId="30160" xr:uid="{00000000-0005-0000-0000-000010230000}"/>
    <cellStyle name="Normal 5 2 2 2 2 3 2 7" xfId="20303" xr:uid="{00000000-0005-0000-0000-000011230000}"/>
    <cellStyle name="Normal 5 2 2 2 2 3 3" xfId="884" xr:uid="{00000000-0005-0000-0000-000012230000}"/>
    <cellStyle name="Normal 5 2 2 2 2 3 3 2" xfId="2120" xr:uid="{00000000-0005-0000-0000-000013230000}"/>
    <cellStyle name="Normal 5 2 2 2 2 3 3 2 2" xfId="4587" xr:uid="{00000000-0005-0000-0000-000014230000}"/>
    <cellStyle name="Normal 5 2 2 2 2 3 3 2 2 2" xfId="9519" xr:uid="{00000000-0005-0000-0000-000015230000}"/>
    <cellStyle name="Normal 5 2 2 2 2 3 3 2 2 2 2" xfId="19379" xr:uid="{00000000-0005-0000-0000-000016230000}"/>
    <cellStyle name="Normal 5 2 2 2 2 3 3 2 2 2 2 2" xfId="39094" xr:uid="{00000000-0005-0000-0000-000017230000}"/>
    <cellStyle name="Normal 5 2 2 2 2 3 3 2 2 2 3" xfId="29237" xr:uid="{00000000-0005-0000-0000-000018230000}"/>
    <cellStyle name="Normal 5 2 2 2 2 3 3 2 2 3" xfId="14451" xr:uid="{00000000-0005-0000-0000-000019230000}"/>
    <cellStyle name="Normal 5 2 2 2 2 3 3 2 2 3 2" xfId="34166" xr:uid="{00000000-0005-0000-0000-00001A230000}"/>
    <cellStyle name="Normal 5 2 2 2 2 3 3 2 2 4" xfId="24309" xr:uid="{00000000-0005-0000-0000-00001B230000}"/>
    <cellStyle name="Normal 5 2 2 2 2 3 3 2 3" xfId="7055" xr:uid="{00000000-0005-0000-0000-00001C230000}"/>
    <cellStyle name="Normal 5 2 2 2 2 3 3 2 3 2" xfId="16915" xr:uid="{00000000-0005-0000-0000-00001D230000}"/>
    <cellStyle name="Normal 5 2 2 2 2 3 3 2 3 2 2" xfId="36630" xr:uid="{00000000-0005-0000-0000-00001E230000}"/>
    <cellStyle name="Normal 5 2 2 2 2 3 3 2 3 3" xfId="26773" xr:uid="{00000000-0005-0000-0000-00001F230000}"/>
    <cellStyle name="Normal 5 2 2 2 2 3 3 2 4" xfId="11987" xr:uid="{00000000-0005-0000-0000-000020230000}"/>
    <cellStyle name="Normal 5 2 2 2 2 3 3 2 4 2" xfId="31702" xr:uid="{00000000-0005-0000-0000-000021230000}"/>
    <cellStyle name="Normal 5 2 2 2 2 3 3 2 5" xfId="21845" xr:uid="{00000000-0005-0000-0000-000022230000}"/>
    <cellStyle name="Normal 5 2 2 2 2 3 3 3" xfId="3355" xr:uid="{00000000-0005-0000-0000-000023230000}"/>
    <cellStyle name="Normal 5 2 2 2 2 3 3 3 2" xfId="8287" xr:uid="{00000000-0005-0000-0000-000024230000}"/>
    <cellStyle name="Normal 5 2 2 2 2 3 3 3 2 2" xfId="18147" xr:uid="{00000000-0005-0000-0000-000025230000}"/>
    <cellStyle name="Normal 5 2 2 2 2 3 3 3 2 2 2" xfId="37862" xr:uid="{00000000-0005-0000-0000-000026230000}"/>
    <cellStyle name="Normal 5 2 2 2 2 3 3 3 2 3" xfId="28005" xr:uid="{00000000-0005-0000-0000-000027230000}"/>
    <cellStyle name="Normal 5 2 2 2 2 3 3 3 3" xfId="13219" xr:uid="{00000000-0005-0000-0000-000028230000}"/>
    <cellStyle name="Normal 5 2 2 2 2 3 3 3 3 2" xfId="32934" xr:uid="{00000000-0005-0000-0000-000029230000}"/>
    <cellStyle name="Normal 5 2 2 2 2 3 3 3 4" xfId="23077" xr:uid="{00000000-0005-0000-0000-00002A230000}"/>
    <cellStyle name="Normal 5 2 2 2 2 3 3 4" xfId="5823" xr:uid="{00000000-0005-0000-0000-00002B230000}"/>
    <cellStyle name="Normal 5 2 2 2 2 3 3 4 2" xfId="15683" xr:uid="{00000000-0005-0000-0000-00002C230000}"/>
    <cellStyle name="Normal 5 2 2 2 2 3 3 4 2 2" xfId="35398" xr:uid="{00000000-0005-0000-0000-00002D230000}"/>
    <cellStyle name="Normal 5 2 2 2 2 3 3 4 3" xfId="25541" xr:uid="{00000000-0005-0000-0000-00002E230000}"/>
    <cellStyle name="Normal 5 2 2 2 2 3 3 5" xfId="10755" xr:uid="{00000000-0005-0000-0000-00002F230000}"/>
    <cellStyle name="Normal 5 2 2 2 2 3 3 5 2" xfId="30470" xr:uid="{00000000-0005-0000-0000-000030230000}"/>
    <cellStyle name="Normal 5 2 2 2 2 3 3 6" xfId="20613" xr:uid="{00000000-0005-0000-0000-000031230000}"/>
    <cellStyle name="Normal 5 2 2 2 2 3 4" xfId="1504" xr:uid="{00000000-0005-0000-0000-000032230000}"/>
    <cellStyle name="Normal 5 2 2 2 2 3 4 2" xfId="3971" xr:uid="{00000000-0005-0000-0000-000033230000}"/>
    <cellStyle name="Normal 5 2 2 2 2 3 4 2 2" xfId="8903" xr:uid="{00000000-0005-0000-0000-000034230000}"/>
    <cellStyle name="Normal 5 2 2 2 2 3 4 2 2 2" xfId="18763" xr:uid="{00000000-0005-0000-0000-000035230000}"/>
    <cellStyle name="Normal 5 2 2 2 2 3 4 2 2 2 2" xfId="38478" xr:uid="{00000000-0005-0000-0000-000036230000}"/>
    <cellStyle name="Normal 5 2 2 2 2 3 4 2 2 3" xfId="28621" xr:uid="{00000000-0005-0000-0000-000037230000}"/>
    <cellStyle name="Normal 5 2 2 2 2 3 4 2 3" xfId="13835" xr:uid="{00000000-0005-0000-0000-000038230000}"/>
    <cellStyle name="Normal 5 2 2 2 2 3 4 2 3 2" xfId="33550" xr:uid="{00000000-0005-0000-0000-000039230000}"/>
    <cellStyle name="Normal 5 2 2 2 2 3 4 2 4" xfId="23693" xr:uid="{00000000-0005-0000-0000-00003A230000}"/>
    <cellStyle name="Normal 5 2 2 2 2 3 4 3" xfId="6439" xr:uid="{00000000-0005-0000-0000-00003B230000}"/>
    <cellStyle name="Normal 5 2 2 2 2 3 4 3 2" xfId="16299" xr:uid="{00000000-0005-0000-0000-00003C230000}"/>
    <cellStyle name="Normal 5 2 2 2 2 3 4 3 2 2" xfId="36014" xr:uid="{00000000-0005-0000-0000-00003D230000}"/>
    <cellStyle name="Normal 5 2 2 2 2 3 4 3 3" xfId="26157" xr:uid="{00000000-0005-0000-0000-00003E230000}"/>
    <cellStyle name="Normal 5 2 2 2 2 3 4 4" xfId="11371" xr:uid="{00000000-0005-0000-0000-00003F230000}"/>
    <cellStyle name="Normal 5 2 2 2 2 3 4 4 2" xfId="31086" xr:uid="{00000000-0005-0000-0000-000040230000}"/>
    <cellStyle name="Normal 5 2 2 2 2 3 4 5" xfId="21229" xr:uid="{00000000-0005-0000-0000-000041230000}"/>
    <cellStyle name="Normal 5 2 2 2 2 3 5" xfId="2739" xr:uid="{00000000-0005-0000-0000-000042230000}"/>
    <cellStyle name="Normal 5 2 2 2 2 3 5 2" xfId="7671" xr:uid="{00000000-0005-0000-0000-000043230000}"/>
    <cellStyle name="Normal 5 2 2 2 2 3 5 2 2" xfId="17531" xr:uid="{00000000-0005-0000-0000-000044230000}"/>
    <cellStyle name="Normal 5 2 2 2 2 3 5 2 2 2" xfId="37246" xr:uid="{00000000-0005-0000-0000-000045230000}"/>
    <cellStyle name="Normal 5 2 2 2 2 3 5 2 3" xfId="27389" xr:uid="{00000000-0005-0000-0000-000046230000}"/>
    <cellStyle name="Normal 5 2 2 2 2 3 5 3" xfId="12603" xr:uid="{00000000-0005-0000-0000-000047230000}"/>
    <cellStyle name="Normal 5 2 2 2 2 3 5 3 2" xfId="32318" xr:uid="{00000000-0005-0000-0000-000048230000}"/>
    <cellStyle name="Normal 5 2 2 2 2 3 5 4" xfId="22461" xr:uid="{00000000-0005-0000-0000-000049230000}"/>
    <cellStyle name="Normal 5 2 2 2 2 3 6" xfId="5207" xr:uid="{00000000-0005-0000-0000-00004A230000}"/>
    <cellStyle name="Normal 5 2 2 2 2 3 6 2" xfId="15067" xr:uid="{00000000-0005-0000-0000-00004B230000}"/>
    <cellStyle name="Normal 5 2 2 2 2 3 6 2 2" xfId="34782" xr:uid="{00000000-0005-0000-0000-00004C230000}"/>
    <cellStyle name="Normal 5 2 2 2 2 3 6 3" xfId="24925" xr:uid="{00000000-0005-0000-0000-00004D230000}"/>
    <cellStyle name="Normal 5 2 2 2 2 3 7" xfId="10139" xr:uid="{00000000-0005-0000-0000-00004E230000}"/>
    <cellStyle name="Normal 5 2 2 2 2 3 7 2" xfId="29854" xr:uid="{00000000-0005-0000-0000-00004F230000}"/>
    <cellStyle name="Normal 5 2 2 2 2 3 8" xfId="19997" xr:uid="{00000000-0005-0000-0000-000050230000}"/>
    <cellStyle name="Normal 5 2 2 2 2 4" xfId="419" xr:uid="{00000000-0005-0000-0000-000051230000}"/>
    <cellStyle name="Normal 5 2 2 2 2 4 2" xfId="1039" xr:uid="{00000000-0005-0000-0000-000052230000}"/>
    <cellStyle name="Normal 5 2 2 2 2 4 2 2" xfId="2274" xr:uid="{00000000-0005-0000-0000-000053230000}"/>
    <cellStyle name="Normal 5 2 2 2 2 4 2 2 2" xfId="4741" xr:uid="{00000000-0005-0000-0000-000054230000}"/>
    <cellStyle name="Normal 5 2 2 2 2 4 2 2 2 2" xfId="9673" xr:uid="{00000000-0005-0000-0000-000055230000}"/>
    <cellStyle name="Normal 5 2 2 2 2 4 2 2 2 2 2" xfId="19533" xr:uid="{00000000-0005-0000-0000-000056230000}"/>
    <cellStyle name="Normal 5 2 2 2 2 4 2 2 2 2 2 2" xfId="39248" xr:uid="{00000000-0005-0000-0000-000057230000}"/>
    <cellStyle name="Normal 5 2 2 2 2 4 2 2 2 2 3" xfId="29391" xr:uid="{00000000-0005-0000-0000-000058230000}"/>
    <cellStyle name="Normal 5 2 2 2 2 4 2 2 2 3" xfId="14605" xr:uid="{00000000-0005-0000-0000-000059230000}"/>
    <cellStyle name="Normal 5 2 2 2 2 4 2 2 2 3 2" xfId="34320" xr:uid="{00000000-0005-0000-0000-00005A230000}"/>
    <cellStyle name="Normal 5 2 2 2 2 4 2 2 2 4" xfId="24463" xr:uid="{00000000-0005-0000-0000-00005B230000}"/>
    <cellStyle name="Normal 5 2 2 2 2 4 2 2 3" xfId="7209" xr:uid="{00000000-0005-0000-0000-00005C230000}"/>
    <cellStyle name="Normal 5 2 2 2 2 4 2 2 3 2" xfId="17069" xr:uid="{00000000-0005-0000-0000-00005D230000}"/>
    <cellStyle name="Normal 5 2 2 2 2 4 2 2 3 2 2" xfId="36784" xr:uid="{00000000-0005-0000-0000-00005E230000}"/>
    <cellStyle name="Normal 5 2 2 2 2 4 2 2 3 3" xfId="26927" xr:uid="{00000000-0005-0000-0000-00005F230000}"/>
    <cellStyle name="Normal 5 2 2 2 2 4 2 2 4" xfId="12141" xr:uid="{00000000-0005-0000-0000-000060230000}"/>
    <cellStyle name="Normal 5 2 2 2 2 4 2 2 4 2" xfId="31856" xr:uid="{00000000-0005-0000-0000-000061230000}"/>
    <cellStyle name="Normal 5 2 2 2 2 4 2 2 5" xfId="21999" xr:uid="{00000000-0005-0000-0000-000062230000}"/>
    <cellStyle name="Normal 5 2 2 2 2 4 2 3" xfId="3509" xr:uid="{00000000-0005-0000-0000-000063230000}"/>
    <cellStyle name="Normal 5 2 2 2 2 4 2 3 2" xfId="8441" xr:uid="{00000000-0005-0000-0000-000064230000}"/>
    <cellStyle name="Normal 5 2 2 2 2 4 2 3 2 2" xfId="18301" xr:uid="{00000000-0005-0000-0000-000065230000}"/>
    <cellStyle name="Normal 5 2 2 2 2 4 2 3 2 2 2" xfId="38016" xr:uid="{00000000-0005-0000-0000-000066230000}"/>
    <cellStyle name="Normal 5 2 2 2 2 4 2 3 2 3" xfId="28159" xr:uid="{00000000-0005-0000-0000-000067230000}"/>
    <cellStyle name="Normal 5 2 2 2 2 4 2 3 3" xfId="13373" xr:uid="{00000000-0005-0000-0000-000068230000}"/>
    <cellStyle name="Normal 5 2 2 2 2 4 2 3 3 2" xfId="33088" xr:uid="{00000000-0005-0000-0000-000069230000}"/>
    <cellStyle name="Normal 5 2 2 2 2 4 2 3 4" xfId="23231" xr:uid="{00000000-0005-0000-0000-00006A230000}"/>
    <cellStyle name="Normal 5 2 2 2 2 4 2 4" xfId="5977" xr:uid="{00000000-0005-0000-0000-00006B230000}"/>
    <cellStyle name="Normal 5 2 2 2 2 4 2 4 2" xfId="15837" xr:uid="{00000000-0005-0000-0000-00006C230000}"/>
    <cellStyle name="Normal 5 2 2 2 2 4 2 4 2 2" xfId="35552" xr:uid="{00000000-0005-0000-0000-00006D230000}"/>
    <cellStyle name="Normal 5 2 2 2 2 4 2 4 3" xfId="25695" xr:uid="{00000000-0005-0000-0000-00006E230000}"/>
    <cellStyle name="Normal 5 2 2 2 2 4 2 5" xfId="10909" xr:uid="{00000000-0005-0000-0000-00006F230000}"/>
    <cellStyle name="Normal 5 2 2 2 2 4 2 5 2" xfId="30624" xr:uid="{00000000-0005-0000-0000-000070230000}"/>
    <cellStyle name="Normal 5 2 2 2 2 4 2 6" xfId="20767" xr:uid="{00000000-0005-0000-0000-000071230000}"/>
    <cellStyle name="Normal 5 2 2 2 2 4 3" xfId="1658" xr:uid="{00000000-0005-0000-0000-000072230000}"/>
    <cellStyle name="Normal 5 2 2 2 2 4 3 2" xfId="4125" xr:uid="{00000000-0005-0000-0000-000073230000}"/>
    <cellStyle name="Normal 5 2 2 2 2 4 3 2 2" xfId="9057" xr:uid="{00000000-0005-0000-0000-000074230000}"/>
    <cellStyle name="Normal 5 2 2 2 2 4 3 2 2 2" xfId="18917" xr:uid="{00000000-0005-0000-0000-000075230000}"/>
    <cellStyle name="Normal 5 2 2 2 2 4 3 2 2 2 2" xfId="38632" xr:uid="{00000000-0005-0000-0000-000076230000}"/>
    <cellStyle name="Normal 5 2 2 2 2 4 3 2 2 3" xfId="28775" xr:uid="{00000000-0005-0000-0000-000077230000}"/>
    <cellStyle name="Normal 5 2 2 2 2 4 3 2 3" xfId="13989" xr:uid="{00000000-0005-0000-0000-000078230000}"/>
    <cellStyle name="Normal 5 2 2 2 2 4 3 2 3 2" xfId="33704" xr:uid="{00000000-0005-0000-0000-000079230000}"/>
    <cellStyle name="Normal 5 2 2 2 2 4 3 2 4" xfId="23847" xr:uid="{00000000-0005-0000-0000-00007A230000}"/>
    <cellStyle name="Normal 5 2 2 2 2 4 3 3" xfId="6593" xr:uid="{00000000-0005-0000-0000-00007B230000}"/>
    <cellStyle name="Normal 5 2 2 2 2 4 3 3 2" xfId="16453" xr:uid="{00000000-0005-0000-0000-00007C230000}"/>
    <cellStyle name="Normal 5 2 2 2 2 4 3 3 2 2" xfId="36168" xr:uid="{00000000-0005-0000-0000-00007D230000}"/>
    <cellStyle name="Normal 5 2 2 2 2 4 3 3 3" xfId="26311" xr:uid="{00000000-0005-0000-0000-00007E230000}"/>
    <cellStyle name="Normal 5 2 2 2 2 4 3 4" xfId="11525" xr:uid="{00000000-0005-0000-0000-00007F230000}"/>
    <cellStyle name="Normal 5 2 2 2 2 4 3 4 2" xfId="31240" xr:uid="{00000000-0005-0000-0000-000080230000}"/>
    <cellStyle name="Normal 5 2 2 2 2 4 3 5" xfId="21383" xr:uid="{00000000-0005-0000-0000-000081230000}"/>
    <cellStyle name="Normal 5 2 2 2 2 4 4" xfId="2893" xr:uid="{00000000-0005-0000-0000-000082230000}"/>
    <cellStyle name="Normal 5 2 2 2 2 4 4 2" xfId="7825" xr:uid="{00000000-0005-0000-0000-000083230000}"/>
    <cellStyle name="Normal 5 2 2 2 2 4 4 2 2" xfId="17685" xr:uid="{00000000-0005-0000-0000-000084230000}"/>
    <cellStyle name="Normal 5 2 2 2 2 4 4 2 2 2" xfId="37400" xr:uid="{00000000-0005-0000-0000-000085230000}"/>
    <cellStyle name="Normal 5 2 2 2 2 4 4 2 3" xfId="27543" xr:uid="{00000000-0005-0000-0000-000086230000}"/>
    <cellStyle name="Normal 5 2 2 2 2 4 4 3" xfId="12757" xr:uid="{00000000-0005-0000-0000-000087230000}"/>
    <cellStyle name="Normal 5 2 2 2 2 4 4 3 2" xfId="32472" xr:uid="{00000000-0005-0000-0000-000088230000}"/>
    <cellStyle name="Normal 5 2 2 2 2 4 4 4" xfId="22615" xr:uid="{00000000-0005-0000-0000-000089230000}"/>
    <cellStyle name="Normal 5 2 2 2 2 4 5" xfId="5361" xr:uid="{00000000-0005-0000-0000-00008A230000}"/>
    <cellStyle name="Normal 5 2 2 2 2 4 5 2" xfId="15221" xr:uid="{00000000-0005-0000-0000-00008B230000}"/>
    <cellStyle name="Normal 5 2 2 2 2 4 5 2 2" xfId="34936" xr:uid="{00000000-0005-0000-0000-00008C230000}"/>
    <cellStyle name="Normal 5 2 2 2 2 4 5 3" xfId="25079" xr:uid="{00000000-0005-0000-0000-00008D230000}"/>
    <cellStyle name="Normal 5 2 2 2 2 4 6" xfId="10293" xr:uid="{00000000-0005-0000-0000-00008E230000}"/>
    <cellStyle name="Normal 5 2 2 2 2 4 6 2" xfId="30008" xr:uid="{00000000-0005-0000-0000-00008F230000}"/>
    <cellStyle name="Normal 5 2 2 2 2 4 7" xfId="20151" xr:uid="{00000000-0005-0000-0000-000090230000}"/>
    <cellStyle name="Normal 5 2 2 2 2 5" xfId="732" xr:uid="{00000000-0005-0000-0000-000091230000}"/>
    <cellStyle name="Normal 5 2 2 2 2 5 2" xfId="1968" xr:uid="{00000000-0005-0000-0000-000092230000}"/>
    <cellStyle name="Normal 5 2 2 2 2 5 2 2" xfId="4435" xr:uid="{00000000-0005-0000-0000-000093230000}"/>
    <cellStyle name="Normal 5 2 2 2 2 5 2 2 2" xfId="9367" xr:uid="{00000000-0005-0000-0000-000094230000}"/>
    <cellStyle name="Normal 5 2 2 2 2 5 2 2 2 2" xfId="19227" xr:uid="{00000000-0005-0000-0000-000095230000}"/>
    <cellStyle name="Normal 5 2 2 2 2 5 2 2 2 2 2" xfId="38942" xr:uid="{00000000-0005-0000-0000-000096230000}"/>
    <cellStyle name="Normal 5 2 2 2 2 5 2 2 2 3" xfId="29085" xr:uid="{00000000-0005-0000-0000-000097230000}"/>
    <cellStyle name="Normal 5 2 2 2 2 5 2 2 3" xfId="14299" xr:uid="{00000000-0005-0000-0000-000098230000}"/>
    <cellStyle name="Normal 5 2 2 2 2 5 2 2 3 2" xfId="34014" xr:uid="{00000000-0005-0000-0000-000099230000}"/>
    <cellStyle name="Normal 5 2 2 2 2 5 2 2 4" xfId="24157" xr:uid="{00000000-0005-0000-0000-00009A230000}"/>
    <cellStyle name="Normal 5 2 2 2 2 5 2 3" xfId="6903" xr:uid="{00000000-0005-0000-0000-00009B230000}"/>
    <cellStyle name="Normal 5 2 2 2 2 5 2 3 2" xfId="16763" xr:uid="{00000000-0005-0000-0000-00009C230000}"/>
    <cellStyle name="Normal 5 2 2 2 2 5 2 3 2 2" xfId="36478" xr:uid="{00000000-0005-0000-0000-00009D230000}"/>
    <cellStyle name="Normal 5 2 2 2 2 5 2 3 3" xfId="26621" xr:uid="{00000000-0005-0000-0000-00009E230000}"/>
    <cellStyle name="Normal 5 2 2 2 2 5 2 4" xfId="11835" xr:uid="{00000000-0005-0000-0000-00009F230000}"/>
    <cellStyle name="Normal 5 2 2 2 2 5 2 4 2" xfId="31550" xr:uid="{00000000-0005-0000-0000-0000A0230000}"/>
    <cellStyle name="Normal 5 2 2 2 2 5 2 5" xfId="21693" xr:uid="{00000000-0005-0000-0000-0000A1230000}"/>
    <cellStyle name="Normal 5 2 2 2 2 5 3" xfId="3203" xr:uid="{00000000-0005-0000-0000-0000A2230000}"/>
    <cellStyle name="Normal 5 2 2 2 2 5 3 2" xfId="8135" xr:uid="{00000000-0005-0000-0000-0000A3230000}"/>
    <cellStyle name="Normal 5 2 2 2 2 5 3 2 2" xfId="17995" xr:uid="{00000000-0005-0000-0000-0000A4230000}"/>
    <cellStyle name="Normal 5 2 2 2 2 5 3 2 2 2" xfId="37710" xr:uid="{00000000-0005-0000-0000-0000A5230000}"/>
    <cellStyle name="Normal 5 2 2 2 2 5 3 2 3" xfId="27853" xr:uid="{00000000-0005-0000-0000-0000A6230000}"/>
    <cellStyle name="Normal 5 2 2 2 2 5 3 3" xfId="13067" xr:uid="{00000000-0005-0000-0000-0000A7230000}"/>
    <cellStyle name="Normal 5 2 2 2 2 5 3 3 2" xfId="32782" xr:uid="{00000000-0005-0000-0000-0000A8230000}"/>
    <cellStyle name="Normal 5 2 2 2 2 5 3 4" xfId="22925" xr:uid="{00000000-0005-0000-0000-0000A9230000}"/>
    <cellStyle name="Normal 5 2 2 2 2 5 4" xfId="5671" xr:uid="{00000000-0005-0000-0000-0000AA230000}"/>
    <cellStyle name="Normal 5 2 2 2 2 5 4 2" xfId="15531" xr:uid="{00000000-0005-0000-0000-0000AB230000}"/>
    <cellStyle name="Normal 5 2 2 2 2 5 4 2 2" xfId="35246" xr:uid="{00000000-0005-0000-0000-0000AC230000}"/>
    <cellStyle name="Normal 5 2 2 2 2 5 4 3" xfId="25389" xr:uid="{00000000-0005-0000-0000-0000AD230000}"/>
    <cellStyle name="Normal 5 2 2 2 2 5 5" xfId="10603" xr:uid="{00000000-0005-0000-0000-0000AE230000}"/>
    <cellStyle name="Normal 5 2 2 2 2 5 5 2" xfId="30318" xr:uid="{00000000-0005-0000-0000-0000AF230000}"/>
    <cellStyle name="Normal 5 2 2 2 2 5 6" xfId="20461" xr:uid="{00000000-0005-0000-0000-0000B0230000}"/>
    <cellStyle name="Normal 5 2 2 2 2 6" xfId="1352" xr:uid="{00000000-0005-0000-0000-0000B1230000}"/>
    <cellStyle name="Normal 5 2 2 2 2 6 2" xfId="3819" xr:uid="{00000000-0005-0000-0000-0000B2230000}"/>
    <cellStyle name="Normal 5 2 2 2 2 6 2 2" xfId="8751" xr:uid="{00000000-0005-0000-0000-0000B3230000}"/>
    <cellStyle name="Normal 5 2 2 2 2 6 2 2 2" xfId="18611" xr:uid="{00000000-0005-0000-0000-0000B4230000}"/>
    <cellStyle name="Normal 5 2 2 2 2 6 2 2 2 2" xfId="38326" xr:uid="{00000000-0005-0000-0000-0000B5230000}"/>
    <cellStyle name="Normal 5 2 2 2 2 6 2 2 3" xfId="28469" xr:uid="{00000000-0005-0000-0000-0000B6230000}"/>
    <cellStyle name="Normal 5 2 2 2 2 6 2 3" xfId="13683" xr:uid="{00000000-0005-0000-0000-0000B7230000}"/>
    <cellStyle name="Normal 5 2 2 2 2 6 2 3 2" xfId="33398" xr:uid="{00000000-0005-0000-0000-0000B8230000}"/>
    <cellStyle name="Normal 5 2 2 2 2 6 2 4" xfId="23541" xr:uid="{00000000-0005-0000-0000-0000B9230000}"/>
    <cellStyle name="Normal 5 2 2 2 2 6 3" xfId="6287" xr:uid="{00000000-0005-0000-0000-0000BA230000}"/>
    <cellStyle name="Normal 5 2 2 2 2 6 3 2" xfId="16147" xr:uid="{00000000-0005-0000-0000-0000BB230000}"/>
    <cellStyle name="Normal 5 2 2 2 2 6 3 2 2" xfId="35862" xr:uid="{00000000-0005-0000-0000-0000BC230000}"/>
    <cellStyle name="Normal 5 2 2 2 2 6 3 3" xfId="26005" xr:uid="{00000000-0005-0000-0000-0000BD230000}"/>
    <cellStyle name="Normal 5 2 2 2 2 6 4" xfId="11219" xr:uid="{00000000-0005-0000-0000-0000BE230000}"/>
    <cellStyle name="Normal 5 2 2 2 2 6 4 2" xfId="30934" xr:uid="{00000000-0005-0000-0000-0000BF230000}"/>
    <cellStyle name="Normal 5 2 2 2 2 6 5" xfId="21077" xr:uid="{00000000-0005-0000-0000-0000C0230000}"/>
    <cellStyle name="Normal 5 2 2 2 2 7" xfId="2587" xr:uid="{00000000-0005-0000-0000-0000C1230000}"/>
    <cellStyle name="Normal 5 2 2 2 2 7 2" xfId="7519" xr:uid="{00000000-0005-0000-0000-0000C2230000}"/>
    <cellStyle name="Normal 5 2 2 2 2 7 2 2" xfId="17379" xr:uid="{00000000-0005-0000-0000-0000C3230000}"/>
    <cellStyle name="Normal 5 2 2 2 2 7 2 2 2" xfId="37094" xr:uid="{00000000-0005-0000-0000-0000C4230000}"/>
    <cellStyle name="Normal 5 2 2 2 2 7 2 3" xfId="27237" xr:uid="{00000000-0005-0000-0000-0000C5230000}"/>
    <cellStyle name="Normal 5 2 2 2 2 7 3" xfId="12451" xr:uid="{00000000-0005-0000-0000-0000C6230000}"/>
    <cellStyle name="Normal 5 2 2 2 2 7 3 2" xfId="32166" xr:uid="{00000000-0005-0000-0000-0000C7230000}"/>
    <cellStyle name="Normal 5 2 2 2 2 7 4" xfId="22309" xr:uid="{00000000-0005-0000-0000-0000C8230000}"/>
    <cellStyle name="Normal 5 2 2 2 2 8" xfId="5055" xr:uid="{00000000-0005-0000-0000-0000C9230000}"/>
    <cellStyle name="Normal 5 2 2 2 2 8 2" xfId="14915" xr:uid="{00000000-0005-0000-0000-0000CA230000}"/>
    <cellStyle name="Normal 5 2 2 2 2 8 2 2" xfId="34630" xr:uid="{00000000-0005-0000-0000-0000CB230000}"/>
    <cellStyle name="Normal 5 2 2 2 2 8 3" xfId="24773" xr:uid="{00000000-0005-0000-0000-0000CC230000}"/>
    <cellStyle name="Normal 5 2 2 2 2 9" xfId="9987" xr:uid="{00000000-0005-0000-0000-0000CD230000}"/>
    <cellStyle name="Normal 5 2 2 2 2 9 2" xfId="29702" xr:uid="{00000000-0005-0000-0000-0000CE230000}"/>
    <cellStyle name="Normal 5 2 2 2 3" xfId="138" xr:uid="{00000000-0005-0000-0000-0000CF230000}"/>
    <cellStyle name="Normal 5 2 2 2 3 2" xfId="295" xr:uid="{00000000-0005-0000-0000-0000D0230000}"/>
    <cellStyle name="Normal 5 2 2 2 3 2 2" xfId="609" xr:uid="{00000000-0005-0000-0000-0000D1230000}"/>
    <cellStyle name="Normal 5 2 2 2 3 2 2 2" xfId="1229" xr:uid="{00000000-0005-0000-0000-0000D2230000}"/>
    <cellStyle name="Normal 5 2 2 2 3 2 2 2 2" xfId="2464" xr:uid="{00000000-0005-0000-0000-0000D3230000}"/>
    <cellStyle name="Normal 5 2 2 2 3 2 2 2 2 2" xfId="4931" xr:uid="{00000000-0005-0000-0000-0000D4230000}"/>
    <cellStyle name="Normal 5 2 2 2 3 2 2 2 2 2 2" xfId="9863" xr:uid="{00000000-0005-0000-0000-0000D5230000}"/>
    <cellStyle name="Normal 5 2 2 2 3 2 2 2 2 2 2 2" xfId="19723" xr:uid="{00000000-0005-0000-0000-0000D6230000}"/>
    <cellStyle name="Normal 5 2 2 2 3 2 2 2 2 2 2 2 2" xfId="39438" xr:uid="{00000000-0005-0000-0000-0000D7230000}"/>
    <cellStyle name="Normal 5 2 2 2 3 2 2 2 2 2 2 3" xfId="29581" xr:uid="{00000000-0005-0000-0000-0000D8230000}"/>
    <cellStyle name="Normal 5 2 2 2 3 2 2 2 2 2 3" xfId="14795" xr:uid="{00000000-0005-0000-0000-0000D9230000}"/>
    <cellStyle name="Normal 5 2 2 2 3 2 2 2 2 2 3 2" xfId="34510" xr:uid="{00000000-0005-0000-0000-0000DA230000}"/>
    <cellStyle name="Normal 5 2 2 2 3 2 2 2 2 2 4" xfId="24653" xr:uid="{00000000-0005-0000-0000-0000DB230000}"/>
    <cellStyle name="Normal 5 2 2 2 3 2 2 2 2 3" xfId="7399" xr:uid="{00000000-0005-0000-0000-0000DC230000}"/>
    <cellStyle name="Normal 5 2 2 2 3 2 2 2 2 3 2" xfId="17259" xr:uid="{00000000-0005-0000-0000-0000DD230000}"/>
    <cellStyle name="Normal 5 2 2 2 3 2 2 2 2 3 2 2" xfId="36974" xr:uid="{00000000-0005-0000-0000-0000DE230000}"/>
    <cellStyle name="Normal 5 2 2 2 3 2 2 2 2 3 3" xfId="27117" xr:uid="{00000000-0005-0000-0000-0000DF230000}"/>
    <cellStyle name="Normal 5 2 2 2 3 2 2 2 2 4" xfId="12331" xr:uid="{00000000-0005-0000-0000-0000E0230000}"/>
    <cellStyle name="Normal 5 2 2 2 3 2 2 2 2 4 2" xfId="32046" xr:uid="{00000000-0005-0000-0000-0000E1230000}"/>
    <cellStyle name="Normal 5 2 2 2 3 2 2 2 2 5" xfId="22189" xr:uid="{00000000-0005-0000-0000-0000E2230000}"/>
    <cellStyle name="Normal 5 2 2 2 3 2 2 2 3" xfId="3699" xr:uid="{00000000-0005-0000-0000-0000E3230000}"/>
    <cellStyle name="Normal 5 2 2 2 3 2 2 2 3 2" xfId="8631" xr:uid="{00000000-0005-0000-0000-0000E4230000}"/>
    <cellStyle name="Normal 5 2 2 2 3 2 2 2 3 2 2" xfId="18491" xr:uid="{00000000-0005-0000-0000-0000E5230000}"/>
    <cellStyle name="Normal 5 2 2 2 3 2 2 2 3 2 2 2" xfId="38206" xr:uid="{00000000-0005-0000-0000-0000E6230000}"/>
    <cellStyle name="Normal 5 2 2 2 3 2 2 2 3 2 3" xfId="28349" xr:uid="{00000000-0005-0000-0000-0000E7230000}"/>
    <cellStyle name="Normal 5 2 2 2 3 2 2 2 3 3" xfId="13563" xr:uid="{00000000-0005-0000-0000-0000E8230000}"/>
    <cellStyle name="Normal 5 2 2 2 3 2 2 2 3 3 2" xfId="33278" xr:uid="{00000000-0005-0000-0000-0000E9230000}"/>
    <cellStyle name="Normal 5 2 2 2 3 2 2 2 3 4" xfId="23421" xr:uid="{00000000-0005-0000-0000-0000EA230000}"/>
    <cellStyle name="Normal 5 2 2 2 3 2 2 2 4" xfId="6167" xr:uid="{00000000-0005-0000-0000-0000EB230000}"/>
    <cellStyle name="Normal 5 2 2 2 3 2 2 2 4 2" xfId="16027" xr:uid="{00000000-0005-0000-0000-0000EC230000}"/>
    <cellStyle name="Normal 5 2 2 2 3 2 2 2 4 2 2" xfId="35742" xr:uid="{00000000-0005-0000-0000-0000ED230000}"/>
    <cellStyle name="Normal 5 2 2 2 3 2 2 2 4 3" xfId="25885" xr:uid="{00000000-0005-0000-0000-0000EE230000}"/>
    <cellStyle name="Normal 5 2 2 2 3 2 2 2 5" xfId="11099" xr:uid="{00000000-0005-0000-0000-0000EF230000}"/>
    <cellStyle name="Normal 5 2 2 2 3 2 2 2 5 2" xfId="30814" xr:uid="{00000000-0005-0000-0000-0000F0230000}"/>
    <cellStyle name="Normal 5 2 2 2 3 2 2 2 6" xfId="20957" xr:uid="{00000000-0005-0000-0000-0000F1230000}"/>
    <cellStyle name="Normal 5 2 2 2 3 2 2 3" xfId="1848" xr:uid="{00000000-0005-0000-0000-0000F2230000}"/>
    <cellStyle name="Normal 5 2 2 2 3 2 2 3 2" xfId="4315" xr:uid="{00000000-0005-0000-0000-0000F3230000}"/>
    <cellStyle name="Normal 5 2 2 2 3 2 2 3 2 2" xfId="9247" xr:uid="{00000000-0005-0000-0000-0000F4230000}"/>
    <cellStyle name="Normal 5 2 2 2 3 2 2 3 2 2 2" xfId="19107" xr:uid="{00000000-0005-0000-0000-0000F5230000}"/>
    <cellStyle name="Normal 5 2 2 2 3 2 2 3 2 2 2 2" xfId="38822" xr:uid="{00000000-0005-0000-0000-0000F6230000}"/>
    <cellStyle name="Normal 5 2 2 2 3 2 2 3 2 2 3" xfId="28965" xr:uid="{00000000-0005-0000-0000-0000F7230000}"/>
    <cellStyle name="Normal 5 2 2 2 3 2 2 3 2 3" xfId="14179" xr:uid="{00000000-0005-0000-0000-0000F8230000}"/>
    <cellStyle name="Normal 5 2 2 2 3 2 2 3 2 3 2" xfId="33894" xr:uid="{00000000-0005-0000-0000-0000F9230000}"/>
    <cellStyle name="Normal 5 2 2 2 3 2 2 3 2 4" xfId="24037" xr:uid="{00000000-0005-0000-0000-0000FA230000}"/>
    <cellStyle name="Normal 5 2 2 2 3 2 2 3 3" xfId="6783" xr:uid="{00000000-0005-0000-0000-0000FB230000}"/>
    <cellStyle name="Normal 5 2 2 2 3 2 2 3 3 2" xfId="16643" xr:uid="{00000000-0005-0000-0000-0000FC230000}"/>
    <cellStyle name="Normal 5 2 2 2 3 2 2 3 3 2 2" xfId="36358" xr:uid="{00000000-0005-0000-0000-0000FD230000}"/>
    <cellStyle name="Normal 5 2 2 2 3 2 2 3 3 3" xfId="26501" xr:uid="{00000000-0005-0000-0000-0000FE230000}"/>
    <cellStyle name="Normal 5 2 2 2 3 2 2 3 4" xfId="11715" xr:uid="{00000000-0005-0000-0000-0000FF230000}"/>
    <cellStyle name="Normal 5 2 2 2 3 2 2 3 4 2" xfId="31430" xr:uid="{00000000-0005-0000-0000-000000240000}"/>
    <cellStyle name="Normal 5 2 2 2 3 2 2 3 5" xfId="21573" xr:uid="{00000000-0005-0000-0000-000001240000}"/>
    <cellStyle name="Normal 5 2 2 2 3 2 2 4" xfId="3083" xr:uid="{00000000-0005-0000-0000-000002240000}"/>
    <cellStyle name="Normal 5 2 2 2 3 2 2 4 2" xfId="8015" xr:uid="{00000000-0005-0000-0000-000003240000}"/>
    <cellStyle name="Normal 5 2 2 2 3 2 2 4 2 2" xfId="17875" xr:uid="{00000000-0005-0000-0000-000004240000}"/>
    <cellStyle name="Normal 5 2 2 2 3 2 2 4 2 2 2" xfId="37590" xr:uid="{00000000-0005-0000-0000-000005240000}"/>
    <cellStyle name="Normal 5 2 2 2 3 2 2 4 2 3" xfId="27733" xr:uid="{00000000-0005-0000-0000-000006240000}"/>
    <cellStyle name="Normal 5 2 2 2 3 2 2 4 3" xfId="12947" xr:uid="{00000000-0005-0000-0000-000007240000}"/>
    <cellStyle name="Normal 5 2 2 2 3 2 2 4 3 2" xfId="32662" xr:uid="{00000000-0005-0000-0000-000008240000}"/>
    <cellStyle name="Normal 5 2 2 2 3 2 2 4 4" xfId="22805" xr:uid="{00000000-0005-0000-0000-000009240000}"/>
    <cellStyle name="Normal 5 2 2 2 3 2 2 5" xfId="5551" xr:uid="{00000000-0005-0000-0000-00000A240000}"/>
    <cellStyle name="Normal 5 2 2 2 3 2 2 5 2" xfId="15411" xr:uid="{00000000-0005-0000-0000-00000B240000}"/>
    <cellStyle name="Normal 5 2 2 2 3 2 2 5 2 2" xfId="35126" xr:uid="{00000000-0005-0000-0000-00000C240000}"/>
    <cellStyle name="Normal 5 2 2 2 3 2 2 5 3" xfId="25269" xr:uid="{00000000-0005-0000-0000-00000D240000}"/>
    <cellStyle name="Normal 5 2 2 2 3 2 2 6" xfId="10483" xr:uid="{00000000-0005-0000-0000-00000E240000}"/>
    <cellStyle name="Normal 5 2 2 2 3 2 2 6 2" xfId="30198" xr:uid="{00000000-0005-0000-0000-00000F240000}"/>
    <cellStyle name="Normal 5 2 2 2 3 2 2 7" xfId="20341" xr:uid="{00000000-0005-0000-0000-000010240000}"/>
    <cellStyle name="Normal 5 2 2 2 3 2 3" xfId="922" xr:uid="{00000000-0005-0000-0000-000011240000}"/>
    <cellStyle name="Normal 5 2 2 2 3 2 3 2" xfId="2158" xr:uid="{00000000-0005-0000-0000-000012240000}"/>
    <cellStyle name="Normal 5 2 2 2 3 2 3 2 2" xfId="4625" xr:uid="{00000000-0005-0000-0000-000013240000}"/>
    <cellStyle name="Normal 5 2 2 2 3 2 3 2 2 2" xfId="9557" xr:uid="{00000000-0005-0000-0000-000014240000}"/>
    <cellStyle name="Normal 5 2 2 2 3 2 3 2 2 2 2" xfId="19417" xr:uid="{00000000-0005-0000-0000-000015240000}"/>
    <cellStyle name="Normal 5 2 2 2 3 2 3 2 2 2 2 2" xfId="39132" xr:uid="{00000000-0005-0000-0000-000016240000}"/>
    <cellStyle name="Normal 5 2 2 2 3 2 3 2 2 2 3" xfId="29275" xr:uid="{00000000-0005-0000-0000-000017240000}"/>
    <cellStyle name="Normal 5 2 2 2 3 2 3 2 2 3" xfId="14489" xr:uid="{00000000-0005-0000-0000-000018240000}"/>
    <cellStyle name="Normal 5 2 2 2 3 2 3 2 2 3 2" xfId="34204" xr:uid="{00000000-0005-0000-0000-000019240000}"/>
    <cellStyle name="Normal 5 2 2 2 3 2 3 2 2 4" xfId="24347" xr:uid="{00000000-0005-0000-0000-00001A240000}"/>
    <cellStyle name="Normal 5 2 2 2 3 2 3 2 3" xfId="7093" xr:uid="{00000000-0005-0000-0000-00001B240000}"/>
    <cellStyle name="Normal 5 2 2 2 3 2 3 2 3 2" xfId="16953" xr:uid="{00000000-0005-0000-0000-00001C240000}"/>
    <cellStyle name="Normal 5 2 2 2 3 2 3 2 3 2 2" xfId="36668" xr:uid="{00000000-0005-0000-0000-00001D240000}"/>
    <cellStyle name="Normal 5 2 2 2 3 2 3 2 3 3" xfId="26811" xr:uid="{00000000-0005-0000-0000-00001E240000}"/>
    <cellStyle name="Normal 5 2 2 2 3 2 3 2 4" xfId="12025" xr:uid="{00000000-0005-0000-0000-00001F240000}"/>
    <cellStyle name="Normal 5 2 2 2 3 2 3 2 4 2" xfId="31740" xr:uid="{00000000-0005-0000-0000-000020240000}"/>
    <cellStyle name="Normal 5 2 2 2 3 2 3 2 5" xfId="21883" xr:uid="{00000000-0005-0000-0000-000021240000}"/>
    <cellStyle name="Normal 5 2 2 2 3 2 3 3" xfId="3393" xr:uid="{00000000-0005-0000-0000-000022240000}"/>
    <cellStyle name="Normal 5 2 2 2 3 2 3 3 2" xfId="8325" xr:uid="{00000000-0005-0000-0000-000023240000}"/>
    <cellStyle name="Normal 5 2 2 2 3 2 3 3 2 2" xfId="18185" xr:uid="{00000000-0005-0000-0000-000024240000}"/>
    <cellStyle name="Normal 5 2 2 2 3 2 3 3 2 2 2" xfId="37900" xr:uid="{00000000-0005-0000-0000-000025240000}"/>
    <cellStyle name="Normal 5 2 2 2 3 2 3 3 2 3" xfId="28043" xr:uid="{00000000-0005-0000-0000-000026240000}"/>
    <cellStyle name="Normal 5 2 2 2 3 2 3 3 3" xfId="13257" xr:uid="{00000000-0005-0000-0000-000027240000}"/>
    <cellStyle name="Normal 5 2 2 2 3 2 3 3 3 2" xfId="32972" xr:uid="{00000000-0005-0000-0000-000028240000}"/>
    <cellStyle name="Normal 5 2 2 2 3 2 3 3 4" xfId="23115" xr:uid="{00000000-0005-0000-0000-000029240000}"/>
    <cellStyle name="Normal 5 2 2 2 3 2 3 4" xfId="5861" xr:uid="{00000000-0005-0000-0000-00002A240000}"/>
    <cellStyle name="Normal 5 2 2 2 3 2 3 4 2" xfId="15721" xr:uid="{00000000-0005-0000-0000-00002B240000}"/>
    <cellStyle name="Normal 5 2 2 2 3 2 3 4 2 2" xfId="35436" xr:uid="{00000000-0005-0000-0000-00002C240000}"/>
    <cellStyle name="Normal 5 2 2 2 3 2 3 4 3" xfId="25579" xr:uid="{00000000-0005-0000-0000-00002D240000}"/>
    <cellStyle name="Normal 5 2 2 2 3 2 3 5" xfId="10793" xr:uid="{00000000-0005-0000-0000-00002E240000}"/>
    <cellStyle name="Normal 5 2 2 2 3 2 3 5 2" xfId="30508" xr:uid="{00000000-0005-0000-0000-00002F240000}"/>
    <cellStyle name="Normal 5 2 2 2 3 2 3 6" xfId="20651" xr:uid="{00000000-0005-0000-0000-000030240000}"/>
    <cellStyle name="Normal 5 2 2 2 3 2 4" xfId="1542" xr:uid="{00000000-0005-0000-0000-000031240000}"/>
    <cellStyle name="Normal 5 2 2 2 3 2 4 2" xfId="4009" xr:uid="{00000000-0005-0000-0000-000032240000}"/>
    <cellStyle name="Normal 5 2 2 2 3 2 4 2 2" xfId="8941" xr:uid="{00000000-0005-0000-0000-000033240000}"/>
    <cellStyle name="Normal 5 2 2 2 3 2 4 2 2 2" xfId="18801" xr:uid="{00000000-0005-0000-0000-000034240000}"/>
    <cellStyle name="Normal 5 2 2 2 3 2 4 2 2 2 2" xfId="38516" xr:uid="{00000000-0005-0000-0000-000035240000}"/>
    <cellStyle name="Normal 5 2 2 2 3 2 4 2 2 3" xfId="28659" xr:uid="{00000000-0005-0000-0000-000036240000}"/>
    <cellStyle name="Normal 5 2 2 2 3 2 4 2 3" xfId="13873" xr:uid="{00000000-0005-0000-0000-000037240000}"/>
    <cellStyle name="Normal 5 2 2 2 3 2 4 2 3 2" xfId="33588" xr:uid="{00000000-0005-0000-0000-000038240000}"/>
    <cellStyle name="Normal 5 2 2 2 3 2 4 2 4" xfId="23731" xr:uid="{00000000-0005-0000-0000-000039240000}"/>
    <cellStyle name="Normal 5 2 2 2 3 2 4 3" xfId="6477" xr:uid="{00000000-0005-0000-0000-00003A240000}"/>
    <cellStyle name="Normal 5 2 2 2 3 2 4 3 2" xfId="16337" xr:uid="{00000000-0005-0000-0000-00003B240000}"/>
    <cellStyle name="Normal 5 2 2 2 3 2 4 3 2 2" xfId="36052" xr:uid="{00000000-0005-0000-0000-00003C240000}"/>
    <cellStyle name="Normal 5 2 2 2 3 2 4 3 3" xfId="26195" xr:uid="{00000000-0005-0000-0000-00003D240000}"/>
    <cellStyle name="Normal 5 2 2 2 3 2 4 4" xfId="11409" xr:uid="{00000000-0005-0000-0000-00003E240000}"/>
    <cellStyle name="Normal 5 2 2 2 3 2 4 4 2" xfId="31124" xr:uid="{00000000-0005-0000-0000-00003F240000}"/>
    <cellStyle name="Normal 5 2 2 2 3 2 4 5" xfId="21267" xr:uid="{00000000-0005-0000-0000-000040240000}"/>
    <cellStyle name="Normal 5 2 2 2 3 2 5" xfId="2777" xr:uid="{00000000-0005-0000-0000-000041240000}"/>
    <cellStyle name="Normal 5 2 2 2 3 2 5 2" xfId="7709" xr:uid="{00000000-0005-0000-0000-000042240000}"/>
    <cellStyle name="Normal 5 2 2 2 3 2 5 2 2" xfId="17569" xr:uid="{00000000-0005-0000-0000-000043240000}"/>
    <cellStyle name="Normal 5 2 2 2 3 2 5 2 2 2" xfId="37284" xr:uid="{00000000-0005-0000-0000-000044240000}"/>
    <cellStyle name="Normal 5 2 2 2 3 2 5 2 3" xfId="27427" xr:uid="{00000000-0005-0000-0000-000045240000}"/>
    <cellStyle name="Normal 5 2 2 2 3 2 5 3" xfId="12641" xr:uid="{00000000-0005-0000-0000-000046240000}"/>
    <cellStyle name="Normal 5 2 2 2 3 2 5 3 2" xfId="32356" xr:uid="{00000000-0005-0000-0000-000047240000}"/>
    <cellStyle name="Normal 5 2 2 2 3 2 5 4" xfId="22499" xr:uid="{00000000-0005-0000-0000-000048240000}"/>
    <cellStyle name="Normal 5 2 2 2 3 2 6" xfId="5245" xr:uid="{00000000-0005-0000-0000-000049240000}"/>
    <cellStyle name="Normal 5 2 2 2 3 2 6 2" xfId="15105" xr:uid="{00000000-0005-0000-0000-00004A240000}"/>
    <cellStyle name="Normal 5 2 2 2 3 2 6 2 2" xfId="34820" xr:uid="{00000000-0005-0000-0000-00004B240000}"/>
    <cellStyle name="Normal 5 2 2 2 3 2 6 3" xfId="24963" xr:uid="{00000000-0005-0000-0000-00004C240000}"/>
    <cellStyle name="Normal 5 2 2 2 3 2 7" xfId="10177" xr:uid="{00000000-0005-0000-0000-00004D240000}"/>
    <cellStyle name="Normal 5 2 2 2 3 2 7 2" xfId="29892" xr:uid="{00000000-0005-0000-0000-00004E240000}"/>
    <cellStyle name="Normal 5 2 2 2 3 2 8" xfId="20035" xr:uid="{00000000-0005-0000-0000-00004F240000}"/>
    <cellStyle name="Normal 5 2 2 2 3 3" xfId="457" xr:uid="{00000000-0005-0000-0000-000050240000}"/>
    <cellStyle name="Normal 5 2 2 2 3 3 2" xfId="1077" xr:uid="{00000000-0005-0000-0000-000051240000}"/>
    <cellStyle name="Normal 5 2 2 2 3 3 2 2" xfId="2312" xr:uid="{00000000-0005-0000-0000-000052240000}"/>
    <cellStyle name="Normal 5 2 2 2 3 3 2 2 2" xfId="4779" xr:uid="{00000000-0005-0000-0000-000053240000}"/>
    <cellStyle name="Normal 5 2 2 2 3 3 2 2 2 2" xfId="9711" xr:uid="{00000000-0005-0000-0000-000054240000}"/>
    <cellStyle name="Normal 5 2 2 2 3 3 2 2 2 2 2" xfId="19571" xr:uid="{00000000-0005-0000-0000-000055240000}"/>
    <cellStyle name="Normal 5 2 2 2 3 3 2 2 2 2 2 2" xfId="39286" xr:uid="{00000000-0005-0000-0000-000056240000}"/>
    <cellStyle name="Normal 5 2 2 2 3 3 2 2 2 2 3" xfId="29429" xr:uid="{00000000-0005-0000-0000-000057240000}"/>
    <cellStyle name="Normal 5 2 2 2 3 3 2 2 2 3" xfId="14643" xr:uid="{00000000-0005-0000-0000-000058240000}"/>
    <cellStyle name="Normal 5 2 2 2 3 3 2 2 2 3 2" xfId="34358" xr:uid="{00000000-0005-0000-0000-000059240000}"/>
    <cellStyle name="Normal 5 2 2 2 3 3 2 2 2 4" xfId="24501" xr:uid="{00000000-0005-0000-0000-00005A240000}"/>
    <cellStyle name="Normal 5 2 2 2 3 3 2 2 3" xfId="7247" xr:uid="{00000000-0005-0000-0000-00005B240000}"/>
    <cellStyle name="Normal 5 2 2 2 3 3 2 2 3 2" xfId="17107" xr:uid="{00000000-0005-0000-0000-00005C240000}"/>
    <cellStyle name="Normal 5 2 2 2 3 3 2 2 3 2 2" xfId="36822" xr:uid="{00000000-0005-0000-0000-00005D240000}"/>
    <cellStyle name="Normal 5 2 2 2 3 3 2 2 3 3" xfId="26965" xr:uid="{00000000-0005-0000-0000-00005E240000}"/>
    <cellStyle name="Normal 5 2 2 2 3 3 2 2 4" xfId="12179" xr:uid="{00000000-0005-0000-0000-00005F240000}"/>
    <cellStyle name="Normal 5 2 2 2 3 3 2 2 4 2" xfId="31894" xr:uid="{00000000-0005-0000-0000-000060240000}"/>
    <cellStyle name="Normal 5 2 2 2 3 3 2 2 5" xfId="22037" xr:uid="{00000000-0005-0000-0000-000061240000}"/>
    <cellStyle name="Normal 5 2 2 2 3 3 2 3" xfId="3547" xr:uid="{00000000-0005-0000-0000-000062240000}"/>
    <cellStyle name="Normal 5 2 2 2 3 3 2 3 2" xfId="8479" xr:uid="{00000000-0005-0000-0000-000063240000}"/>
    <cellStyle name="Normal 5 2 2 2 3 3 2 3 2 2" xfId="18339" xr:uid="{00000000-0005-0000-0000-000064240000}"/>
    <cellStyle name="Normal 5 2 2 2 3 3 2 3 2 2 2" xfId="38054" xr:uid="{00000000-0005-0000-0000-000065240000}"/>
    <cellStyle name="Normal 5 2 2 2 3 3 2 3 2 3" xfId="28197" xr:uid="{00000000-0005-0000-0000-000066240000}"/>
    <cellStyle name="Normal 5 2 2 2 3 3 2 3 3" xfId="13411" xr:uid="{00000000-0005-0000-0000-000067240000}"/>
    <cellStyle name="Normal 5 2 2 2 3 3 2 3 3 2" xfId="33126" xr:uid="{00000000-0005-0000-0000-000068240000}"/>
    <cellStyle name="Normal 5 2 2 2 3 3 2 3 4" xfId="23269" xr:uid="{00000000-0005-0000-0000-000069240000}"/>
    <cellStyle name="Normal 5 2 2 2 3 3 2 4" xfId="6015" xr:uid="{00000000-0005-0000-0000-00006A240000}"/>
    <cellStyle name="Normal 5 2 2 2 3 3 2 4 2" xfId="15875" xr:uid="{00000000-0005-0000-0000-00006B240000}"/>
    <cellStyle name="Normal 5 2 2 2 3 3 2 4 2 2" xfId="35590" xr:uid="{00000000-0005-0000-0000-00006C240000}"/>
    <cellStyle name="Normal 5 2 2 2 3 3 2 4 3" xfId="25733" xr:uid="{00000000-0005-0000-0000-00006D240000}"/>
    <cellStyle name="Normal 5 2 2 2 3 3 2 5" xfId="10947" xr:uid="{00000000-0005-0000-0000-00006E240000}"/>
    <cellStyle name="Normal 5 2 2 2 3 3 2 5 2" xfId="30662" xr:uid="{00000000-0005-0000-0000-00006F240000}"/>
    <cellStyle name="Normal 5 2 2 2 3 3 2 6" xfId="20805" xr:uid="{00000000-0005-0000-0000-000070240000}"/>
    <cellStyle name="Normal 5 2 2 2 3 3 3" xfId="1696" xr:uid="{00000000-0005-0000-0000-000071240000}"/>
    <cellStyle name="Normal 5 2 2 2 3 3 3 2" xfId="4163" xr:uid="{00000000-0005-0000-0000-000072240000}"/>
    <cellStyle name="Normal 5 2 2 2 3 3 3 2 2" xfId="9095" xr:uid="{00000000-0005-0000-0000-000073240000}"/>
    <cellStyle name="Normal 5 2 2 2 3 3 3 2 2 2" xfId="18955" xr:uid="{00000000-0005-0000-0000-000074240000}"/>
    <cellStyle name="Normal 5 2 2 2 3 3 3 2 2 2 2" xfId="38670" xr:uid="{00000000-0005-0000-0000-000075240000}"/>
    <cellStyle name="Normal 5 2 2 2 3 3 3 2 2 3" xfId="28813" xr:uid="{00000000-0005-0000-0000-000076240000}"/>
    <cellStyle name="Normal 5 2 2 2 3 3 3 2 3" xfId="14027" xr:uid="{00000000-0005-0000-0000-000077240000}"/>
    <cellStyle name="Normal 5 2 2 2 3 3 3 2 3 2" xfId="33742" xr:uid="{00000000-0005-0000-0000-000078240000}"/>
    <cellStyle name="Normal 5 2 2 2 3 3 3 2 4" xfId="23885" xr:uid="{00000000-0005-0000-0000-000079240000}"/>
    <cellStyle name="Normal 5 2 2 2 3 3 3 3" xfId="6631" xr:uid="{00000000-0005-0000-0000-00007A240000}"/>
    <cellStyle name="Normal 5 2 2 2 3 3 3 3 2" xfId="16491" xr:uid="{00000000-0005-0000-0000-00007B240000}"/>
    <cellStyle name="Normal 5 2 2 2 3 3 3 3 2 2" xfId="36206" xr:uid="{00000000-0005-0000-0000-00007C240000}"/>
    <cellStyle name="Normal 5 2 2 2 3 3 3 3 3" xfId="26349" xr:uid="{00000000-0005-0000-0000-00007D240000}"/>
    <cellStyle name="Normal 5 2 2 2 3 3 3 4" xfId="11563" xr:uid="{00000000-0005-0000-0000-00007E240000}"/>
    <cellStyle name="Normal 5 2 2 2 3 3 3 4 2" xfId="31278" xr:uid="{00000000-0005-0000-0000-00007F240000}"/>
    <cellStyle name="Normal 5 2 2 2 3 3 3 5" xfId="21421" xr:uid="{00000000-0005-0000-0000-000080240000}"/>
    <cellStyle name="Normal 5 2 2 2 3 3 4" xfId="2931" xr:uid="{00000000-0005-0000-0000-000081240000}"/>
    <cellStyle name="Normal 5 2 2 2 3 3 4 2" xfId="7863" xr:uid="{00000000-0005-0000-0000-000082240000}"/>
    <cellStyle name="Normal 5 2 2 2 3 3 4 2 2" xfId="17723" xr:uid="{00000000-0005-0000-0000-000083240000}"/>
    <cellStyle name="Normal 5 2 2 2 3 3 4 2 2 2" xfId="37438" xr:uid="{00000000-0005-0000-0000-000084240000}"/>
    <cellStyle name="Normal 5 2 2 2 3 3 4 2 3" xfId="27581" xr:uid="{00000000-0005-0000-0000-000085240000}"/>
    <cellStyle name="Normal 5 2 2 2 3 3 4 3" xfId="12795" xr:uid="{00000000-0005-0000-0000-000086240000}"/>
    <cellStyle name="Normal 5 2 2 2 3 3 4 3 2" xfId="32510" xr:uid="{00000000-0005-0000-0000-000087240000}"/>
    <cellStyle name="Normal 5 2 2 2 3 3 4 4" xfId="22653" xr:uid="{00000000-0005-0000-0000-000088240000}"/>
    <cellStyle name="Normal 5 2 2 2 3 3 5" xfId="5399" xr:uid="{00000000-0005-0000-0000-000089240000}"/>
    <cellStyle name="Normal 5 2 2 2 3 3 5 2" xfId="15259" xr:uid="{00000000-0005-0000-0000-00008A240000}"/>
    <cellStyle name="Normal 5 2 2 2 3 3 5 2 2" xfId="34974" xr:uid="{00000000-0005-0000-0000-00008B240000}"/>
    <cellStyle name="Normal 5 2 2 2 3 3 5 3" xfId="25117" xr:uid="{00000000-0005-0000-0000-00008C240000}"/>
    <cellStyle name="Normal 5 2 2 2 3 3 6" xfId="10331" xr:uid="{00000000-0005-0000-0000-00008D240000}"/>
    <cellStyle name="Normal 5 2 2 2 3 3 6 2" xfId="30046" xr:uid="{00000000-0005-0000-0000-00008E240000}"/>
    <cellStyle name="Normal 5 2 2 2 3 3 7" xfId="20189" xr:uid="{00000000-0005-0000-0000-00008F240000}"/>
    <cellStyle name="Normal 5 2 2 2 3 4" xfId="770" xr:uid="{00000000-0005-0000-0000-000090240000}"/>
    <cellStyle name="Normal 5 2 2 2 3 4 2" xfId="2006" xr:uid="{00000000-0005-0000-0000-000091240000}"/>
    <cellStyle name="Normal 5 2 2 2 3 4 2 2" xfId="4473" xr:uid="{00000000-0005-0000-0000-000092240000}"/>
    <cellStyle name="Normal 5 2 2 2 3 4 2 2 2" xfId="9405" xr:uid="{00000000-0005-0000-0000-000093240000}"/>
    <cellStyle name="Normal 5 2 2 2 3 4 2 2 2 2" xfId="19265" xr:uid="{00000000-0005-0000-0000-000094240000}"/>
    <cellStyle name="Normal 5 2 2 2 3 4 2 2 2 2 2" xfId="38980" xr:uid="{00000000-0005-0000-0000-000095240000}"/>
    <cellStyle name="Normal 5 2 2 2 3 4 2 2 2 3" xfId="29123" xr:uid="{00000000-0005-0000-0000-000096240000}"/>
    <cellStyle name="Normal 5 2 2 2 3 4 2 2 3" xfId="14337" xr:uid="{00000000-0005-0000-0000-000097240000}"/>
    <cellStyle name="Normal 5 2 2 2 3 4 2 2 3 2" xfId="34052" xr:uid="{00000000-0005-0000-0000-000098240000}"/>
    <cellStyle name="Normal 5 2 2 2 3 4 2 2 4" xfId="24195" xr:uid="{00000000-0005-0000-0000-000099240000}"/>
    <cellStyle name="Normal 5 2 2 2 3 4 2 3" xfId="6941" xr:uid="{00000000-0005-0000-0000-00009A240000}"/>
    <cellStyle name="Normal 5 2 2 2 3 4 2 3 2" xfId="16801" xr:uid="{00000000-0005-0000-0000-00009B240000}"/>
    <cellStyle name="Normal 5 2 2 2 3 4 2 3 2 2" xfId="36516" xr:uid="{00000000-0005-0000-0000-00009C240000}"/>
    <cellStyle name="Normal 5 2 2 2 3 4 2 3 3" xfId="26659" xr:uid="{00000000-0005-0000-0000-00009D240000}"/>
    <cellStyle name="Normal 5 2 2 2 3 4 2 4" xfId="11873" xr:uid="{00000000-0005-0000-0000-00009E240000}"/>
    <cellStyle name="Normal 5 2 2 2 3 4 2 4 2" xfId="31588" xr:uid="{00000000-0005-0000-0000-00009F240000}"/>
    <cellStyle name="Normal 5 2 2 2 3 4 2 5" xfId="21731" xr:uid="{00000000-0005-0000-0000-0000A0240000}"/>
    <cellStyle name="Normal 5 2 2 2 3 4 3" xfId="3241" xr:uid="{00000000-0005-0000-0000-0000A1240000}"/>
    <cellStyle name="Normal 5 2 2 2 3 4 3 2" xfId="8173" xr:uid="{00000000-0005-0000-0000-0000A2240000}"/>
    <cellStyle name="Normal 5 2 2 2 3 4 3 2 2" xfId="18033" xr:uid="{00000000-0005-0000-0000-0000A3240000}"/>
    <cellStyle name="Normal 5 2 2 2 3 4 3 2 2 2" xfId="37748" xr:uid="{00000000-0005-0000-0000-0000A4240000}"/>
    <cellStyle name="Normal 5 2 2 2 3 4 3 2 3" xfId="27891" xr:uid="{00000000-0005-0000-0000-0000A5240000}"/>
    <cellStyle name="Normal 5 2 2 2 3 4 3 3" xfId="13105" xr:uid="{00000000-0005-0000-0000-0000A6240000}"/>
    <cellStyle name="Normal 5 2 2 2 3 4 3 3 2" xfId="32820" xr:uid="{00000000-0005-0000-0000-0000A7240000}"/>
    <cellStyle name="Normal 5 2 2 2 3 4 3 4" xfId="22963" xr:uid="{00000000-0005-0000-0000-0000A8240000}"/>
    <cellStyle name="Normal 5 2 2 2 3 4 4" xfId="5709" xr:uid="{00000000-0005-0000-0000-0000A9240000}"/>
    <cellStyle name="Normal 5 2 2 2 3 4 4 2" xfId="15569" xr:uid="{00000000-0005-0000-0000-0000AA240000}"/>
    <cellStyle name="Normal 5 2 2 2 3 4 4 2 2" xfId="35284" xr:uid="{00000000-0005-0000-0000-0000AB240000}"/>
    <cellStyle name="Normal 5 2 2 2 3 4 4 3" xfId="25427" xr:uid="{00000000-0005-0000-0000-0000AC240000}"/>
    <cellStyle name="Normal 5 2 2 2 3 4 5" xfId="10641" xr:uid="{00000000-0005-0000-0000-0000AD240000}"/>
    <cellStyle name="Normal 5 2 2 2 3 4 5 2" xfId="30356" xr:uid="{00000000-0005-0000-0000-0000AE240000}"/>
    <cellStyle name="Normal 5 2 2 2 3 4 6" xfId="20499" xr:uid="{00000000-0005-0000-0000-0000AF240000}"/>
    <cellStyle name="Normal 5 2 2 2 3 5" xfId="1390" xr:uid="{00000000-0005-0000-0000-0000B0240000}"/>
    <cellStyle name="Normal 5 2 2 2 3 5 2" xfId="3857" xr:uid="{00000000-0005-0000-0000-0000B1240000}"/>
    <cellStyle name="Normal 5 2 2 2 3 5 2 2" xfId="8789" xr:uid="{00000000-0005-0000-0000-0000B2240000}"/>
    <cellStyle name="Normal 5 2 2 2 3 5 2 2 2" xfId="18649" xr:uid="{00000000-0005-0000-0000-0000B3240000}"/>
    <cellStyle name="Normal 5 2 2 2 3 5 2 2 2 2" xfId="38364" xr:uid="{00000000-0005-0000-0000-0000B4240000}"/>
    <cellStyle name="Normal 5 2 2 2 3 5 2 2 3" xfId="28507" xr:uid="{00000000-0005-0000-0000-0000B5240000}"/>
    <cellStyle name="Normal 5 2 2 2 3 5 2 3" xfId="13721" xr:uid="{00000000-0005-0000-0000-0000B6240000}"/>
    <cellStyle name="Normal 5 2 2 2 3 5 2 3 2" xfId="33436" xr:uid="{00000000-0005-0000-0000-0000B7240000}"/>
    <cellStyle name="Normal 5 2 2 2 3 5 2 4" xfId="23579" xr:uid="{00000000-0005-0000-0000-0000B8240000}"/>
    <cellStyle name="Normal 5 2 2 2 3 5 3" xfId="6325" xr:uid="{00000000-0005-0000-0000-0000B9240000}"/>
    <cellStyle name="Normal 5 2 2 2 3 5 3 2" xfId="16185" xr:uid="{00000000-0005-0000-0000-0000BA240000}"/>
    <cellStyle name="Normal 5 2 2 2 3 5 3 2 2" xfId="35900" xr:uid="{00000000-0005-0000-0000-0000BB240000}"/>
    <cellStyle name="Normal 5 2 2 2 3 5 3 3" xfId="26043" xr:uid="{00000000-0005-0000-0000-0000BC240000}"/>
    <cellStyle name="Normal 5 2 2 2 3 5 4" xfId="11257" xr:uid="{00000000-0005-0000-0000-0000BD240000}"/>
    <cellStyle name="Normal 5 2 2 2 3 5 4 2" xfId="30972" xr:uid="{00000000-0005-0000-0000-0000BE240000}"/>
    <cellStyle name="Normal 5 2 2 2 3 5 5" xfId="21115" xr:uid="{00000000-0005-0000-0000-0000BF240000}"/>
    <cellStyle name="Normal 5 2 2 2 3 6" xfId="2625" xr:uid="{00000000-0005-0000-0000-0000C0240000}"/>
    <cellStyle name="Normal 5 2 2 2 3 6 2" xfId="7557" xr:uid="{00000000-0005-0000-0000-0000C1240000}"/>
    <cellStyle name="Normal 5 2 2 2 3 6 2 2" xfId="17417" xr:uid="{00000000-0005-0000-0000-0000C2240000}"/>
    <cellStyle name="Normal 5 2 2 2 3 6 2 2 2" xfId="37132" xr:uid="{00000000-0005-0000-0000-0000C3240000}"/>
    <cellStyle name="Normal 5 2 2 2 3 6 2 3" xfId="27275" xr:uid="{00000000-0005-0000-0000-0000C4240000}"/>
    <cellStyle name="Normal 5 2 2 2 3 6 3" xfId="12489" xr:uid="{00000000-0005-0000-0000-0000C5240000}"/>
    <cellStyle name="Normal 5 2 2 2 3 6 3 2" xfId="32204" xr:uid="{00000000-0005-0000-0000-0000C6240000}"/>
    <cellStyle name="Normal 5 2 2 2 3 6 4" xfId="22347" xr:uid="{00000000-0005-0000-0000-0000C7240000}"/>
    <cellStyle name="Normal 5 2 2 2 3 7" xfId="5093" xr:uid="{00000000-0005-0000-0000-0000C8240000}"/>
    <cellStyle name="Normal 5 2 2 2 3 7 2" xfId="14953" xr:uid="{00000000-0005-0000-0000-0000C9240000}"/>
    <cellStyle name="Normal 5 2 2 2 3 7 2 2" xfId="34668" xr:uid="{00000000-0005-0000-0000-0000CA240000}"/>
    <cellStyle name="Normal 5 2 2 2 3 7 3" xfId="24811" xr:uid="{00000000-0005-0000-0000-0000CB240000}"/>
    <cellStyle name="Normal 5 2 2 2 3 8" xfId="10025" xr:uid="{00000000-0005-0000-0000-0000CC240000}"/>
    <cellStyle name="Normal 5 2 2 2 3 8 2" xfId="29740" xr:uid="{00000000-0005-0000-0000-0000CD240000}"/>
    <cellStyle name="Normal 5 2 2 2 3 9" xfId="19883" xr:uid="{00000000-0005-0000-0000-0000CE240000}"/>
    <cellStyle name="Normal 5 2 2 2 4" xfId="219" xr:uid="{00000000-0005-0000-0000-0000CF240000}"/>
    <cellStyle name="Normal 5 2 2 2 4 2" xfId="533" xr:uid="{00000000-0005-0000-0000-0000D0240000}"/>
    <cellStyle name="Normal 5 2 2 2 4 2 2" xfId="1153" xr:uid="{00000000-0005-0000-0000-0000D1240000}"/>
    <cellStyle name="Normal 5 2 2 2 4 2 2 2" xfId="2388" xr:uid="{00000000-0005-0000-0000-0000D2240000}"/>
    <cellStyle name="Normal 5 2 2 2 4 2 2 2 2" xfId="4855" xr:uid="{00000000-0005-0000-0000-0000D3240000}"/>
    <cellStyle name="Normal 5 2 2 2 4 2 2 2 2 2" xfId="9787" xr:uid="{00000000-0005-0000-0000-0000D4240000}"/>
    <cellStyle name="Normal 5 2 2 2 4 2 2 2 2 2 2" xfId="19647" xr:uid="{00000000-0005-0000-0000-0000D5240000}"/>
    <cellStyle name="Normal 5 2 2 2 4 2 2 2 2 2 2 2" xfId="39362" xr:uid="{00000000-0005-0000-0000-0000D6240000}"/>
    <cellStyle name="Normal 5 2 2 2 4 2 2 2 2 2 3" xfId="29505" xr:uid="{00000000-0005-0000-0000-0000D7240000}"/>
    <cellStyle name="Normal 5 2 2 2 4 2 2 2 2 3" xfId="14719" xr:uid="{00000000-0005-0000-0000-0000D8240000}"/>
    <cellStyle name="Normal 5 2 2 2 4 2 2 2 2 3 2" xfId="34434" xr:uid="{00000000-0005-0000-0000-0000D9240000}"/>
    <cellStyle name="Normal 5 2 2 2 4 2 2 2 2 4" xfId="24577" xr:uid="{00000000-0005-0000-0000-0000DA240000}"/>
    <cellStyle name="Normal 5 2 2 2 4 2 2 2 3" xfId="7323" xr:uid="{00000000-0005-0000-0000-0000DB240000}"/>
    <cellStyle name="Normal 5 2 2 2 4 2 2 2 3 2" xfId="17183" xr:uid="{00000000-0005-0000-0000-0000DC240000}"/>
    <cellStyle name="Normal 5 2 2 2 4 2 2 2 3 2 2" xfId="36898" xr:uid="{00000000-0005-0000-0000-0000DD240000}"/>
    <cellStyle name="Normal 5 2 2 2 4 2 2 2 3 3" xfId="27041" xr:uid="{00000000-0005-0000-0000-0000DE240000}"/>
    <cellStyle name="Normal 5 2 2 2 4 2 2 2 4" xfId="12255" xr:uid="{00000000-0005-0000-0000-0000DF240000}"/>
    <cellStyle name="Normal 5 2 2 2 4 2 2 2 4 2" xfId="31970" xr:uid="{00000000-0005-0000-0000-0000E0240000}"/>
    <cellStyle name="Normal 5 2 2 2 4 2 2 2 5" xfId="22113" xr:uid="{00000000-0005-0000-0000-0000E1240000}"/>
    <cellStyle name="Normal 5 2 2 2 4 2 2 3" xfId="3623" xr:uid="{00000000-0005-0000-0000-0000E2240000}"/>
    <cellStyle name="Normal 5 2 2 2 4 2 2 3 2" xfId="8555" xr:uid="{00000000-0005-0000-0000-0000E3240000}"/>
    <cellStyle name="Normal 5 2 2 2 4 2 2 3 2 2" xfId="18415" xr:uid="{00000000-0005-0000-0000-0000E4240000}"/>
    <cellStyle name="Normal 5 2 2 2 4 2 2 3 2 2 2" xfId="38130" xr:uid="{00000000-0005-0000-0000-0000E5240000}"/>
    <cellStyle name="Normal 5 2 2 2 4 2 2 3 2 3" xfId="28273" xr:uid="{00000000-0005-0000-0000-0000E6240000}"/>
    <cellStyle name="Normal 5 2 2 2 4 2 2 3 3" xfId="13487" xr:uid="{00000000-0005-0000-0000-0000E7240000}"/>
    <cellStyle name="Normal 5 2 2 2 4 2 2 3 3 2" xfId="33202" xr:uid="{00000000-0005-0000-0000-0000E8240000}"/>
    <cellStyle name="Normal 5 2 2 2 4 2 2 3 4" xfId="23345" xr:uid="{00000000-0005-0000-0000-0000E9240000}"/>
    <cellStyle name="Normal 5 2 2 2 4 2 2 4" xfId="6091" xr:uid="{00000000-0005-0000-0000-0000EA240000}"/>
    <cellStyle name="Normal 5 2 2 2 4 2 2 4 2" xfId="15951" xr:uid="{00000000-0005-0000-0000-0000EB240000}"/>
    <cellStyle name="Normal 5 2 2 2 4 2 2 4 2 2" xfId="35666" xr:uid="{00000000-0005-0000-0000-0000EC240000}"/>
    <cellStyle name="Normal 5 2 2 2 4 2 2 4 3" xfId="25809" xr:uid="{00000000-0005-0000-0000-0000ED240000}"/>
    <cellStyle name="Normal 5 2 2 2 4 2 2 5" xfId="11023" xr:uid="{00000000-0005-0000-0000-0000EE240000}"/>
    <cellStyle name="Normal 5 2 2 2 4 2 2 5 2" xfId="30738" xr:uid="{00000000-0005-0000-0000-0000EF240000}"/>
    <cellStyle name="Normal 5 2 2 2 4 2 2 6" xfId="20881" xr:uid="{00000000-0005-0000-0000-0000F0240000}"/>
    <cellStyle name="Normal 5 2 2 2 4 2 3" xfId="1772" xr:uid="{00000000-0005-0000-0000-0000F1240000}"/>
    <cellStyle name="Normal 5 2 2 2 4 2 3 2" xfId="4239" xr:uid="{00000000-0005-0000-0000-0000F2240000}"/>
    <cellStyle name="Normal 5 2 2 2 4 2 3 2 2" xfId="9171" xr:uid="{00000000-0005-0000-0000-0000F3240000}"/>
    <cellStyle name="Normal 5 2 2 2 4 2 3 2 2 2" xfId="19031" xr:uid="{00000000-0005-0000-0000-0000F4240000}"/>
    <cellStyle name="Normal 5 2 2 2 4 2 3 2 2 2 2" xfId="38746" xr:uid="{00000000-0005-0000-0000-0000F5240000}"/>
    <cellStyle name="Normal 5 2 2 2 4 2 3 2 2 3" xfId="28889" xr:uid="{00000000-0005-0000-0000-0000F6240000}"/>
    <cellStyle name="Normal 5 2 2 2 4 2 3 2 3" xfId="14103" xr:uid="{00000000-0005-0000-0000-0000F7240000}"/>
    <cellStyle name="Normal 5 2 2 2 4 2 3 2 3 2" xfId="33818" xr:uid="{00000000-0005-0000-0000-0000F8240000}"/>
    <cellStyle name="Normal 5 2 2 2 4 2 3 2 4" xfId="23961" xr:uid="{00000000-0005-0000-0000-0000F9240000}"/>
    <cellStyle name="Normal 5 2 2 2 4 2 3 3" xfId="6707" xr:uid="{00000000-0005-0000-0000-0000FA240000}"/>
    <cellStyle name="Normal 5 2 2 2 4 2 3 3 2" xfId="16567" xr:uid="{00000000-0005-0000-0000-0000FB240000}"/>
    <cellStyle name="Normal 5 2 2 2 4 2 3 3 2 2" xfId="36282" xr:uid="{00000000-0005-0000-0000-0000FC240000}"/>
    <cellStyle name="Normal 5 2 2 2 4 2 3 3 3" xfId="26425" xr:uid="{00000000-0005-0000-0000-0000FD240000}"/>
    <cellStyle name="Normal 5 2 2 2 4 2 3 4" xfId="11639" xr:uid="{00000000-0005-0000-0000-0000FE240000}"/>
    <cellStyle name="Normal 5 2 2 2 4 2 3 4 2" xfId="31354" xr:uid="{00000000-0005-0000-0000-0000FF240000}"/>
    <cellStyle name="Normal 5 2 2 2 4 2 3 5" xfId="21497" xr:uid="{00000000-0005-0000-0000-000000250000}"/>
    <cellStyle name="Normal 5 2 2 2 4 2 4" xfId="3007" xr:uid="{00000000-0005-0000-0000-000001250000}"/>
    <cellStyle name="Normal 5 2 2 2 4 2 4 2" xfId="7939" xr:uid="{00000000-0005-0000-0000-000002250000}"/>
    <cellStyle name="Normal 5 2 2 2 4 2 4 2 2" xfId="17799" xr:uid="{00000000-0005-0000-0000-000003250000}"/>
    <cellStyle name="Normal 5 2 2 2 4 2 4 2 2 2" xfId="37514" xr:uid="{00000000-0005-0000-0000-000004250000}"/>
    <cellStyle name="Normal 5 2 2 2 4 2 4 2 3" xfId="27657" xr:uid="{00000000-0005-0000-0000-000005250000}"/>
    <cellStyle name="Normal 5 2 2 2 4 2 4 3" xfId="12871" xr:uid="{00000000-0005-0000-0000-000006250000}"/>
    <cellStyle name="Normal 5 2 2 2 4 2 4 3 2" xfId="32586" xr:uid="{00000000-0005-0000-0000-000007250000}"/>
    <cellStyle name="Normal 5 2 2 2 4 2 4 4" xfId="22729" xr:uid="{00000000-0005-0000-0000-000008250000}"/>
    <cellStyle name="Normal 5 2 2 2 4 2 5" xfId="5475" xr:uid="{00000000-0005-0000-0000-000009250000}"/>
    <cellStyle name="Normal 5 2 2 2 4 2 5 2" xfId="15335" xr:uid="{00000000-0005-0000-0000-00000A250000}"/>
    <cellStyle name="Normal 5 2 2 2 4 2 5 2 2" xfId="35050" xr:uid="{00000000-0005-0000-0000-00000B250000}"/>
    <cellStyle name="Normal 5 2 2 2 4 2 5 3" xfId="25193" xr:uid="{00000000-0005-0000-0000-00000C250000}"/>
    <cellStyle name="Normal 5 2 2 2 4 2 6" xfId="10407" xr:uid="{00000000-0005-0000-0000-00000D250000}"/>
    <cellStyle name="Normal 5 2 2 2 4 2 6 2" xfId="30122" xr:uid="{00000000-0005-0000-0000-00000E250000}"/>
    <cellStyle name="Normal 5 2 2 2 4 2 7" xfId="20265" xr:uid="{00000000-0005-0000-0000-00000F250000}"/>
    <cellStyle name="Normal 5 2 2 2 4 3" xfId="846" xr:uid="{00000000-0005-0000-0000-000010250000}"/>
    <cellStyle name="Normal 5 2 2 2 4 3 2" xfId="2082" xr:uid="{00000000-0005-0000-0000-000011250000}"/>
    <cellStyle name="Normal 5 2 2 2 4 3 2 2" xfId="4549" xr:uid="{00000000-0005-0000-0000-000012250000}"/>
    <cellStyle name="Normal 5 2 2 2 4 3 2 2 2" xfId="9481" xr:uid="{00000000-0005-0000-0000-000013250000}"/>
    <cellStyle name="Normal 5 2 2 2 4 3 2 2 2 2" xfId="19341" xr:uid="{00000000-0005-0000-0000-000014250000}"/>
    <cellStyle name="Normal 5 2 2 2 4 3 2 2 2 2 2" xfId="39056" xr:uid="{00000000-0005-0000-0000-000015250000}"/>
    <cellStyle name="Normal 5 2 2 2 4 3 2 2 2 3" xfId="29199" xr:uid="{00000000-0005-0000-0000-000016250000}"/>
    <cellStyle name="Normal 5 2 2 2 4 3 2 2 3" xfId="14413" xr:uid="{00000000-0005-0000-0000-000017250000}"/>
    <cellStyle name="Normal 5 2 2 2 4 3 2 2 3 2" xfId="34128" xr:uid="{00000000-0005-0000-0000-000018250000}"/>
    <cellStyle name="Normal 5 2 2 2 4 3 2 2 4" xfId="24271" xr:uid="{00000000-0005-0000-0000-000019250000}"/>
    <cellStyle name="Normal 5 2 2 2 4 3 2 3" xfId="7017" xr:uid="{00000000-0005-0000-0000-00001A250000}"/>
    <cellStyle name="Normal 5 2 2 2 4 3 2 3 2" xfId="16877" xr:uid="{00000000-0005-0000-0000-00001B250000}"/>
    <cellStyle name="Normal 5 2 2 2 4 3 2 3 2 2" xfId="36592" xr:uid="{00000000-0005-0000-0000-00001C250000}"/>
    <cellStyle name="Normal 5 2 2 2 4 3 2 3 3" xfId="26735" xr:uid="{00000000-0005-0000-0000-00001D250000}"/>
    <cellStyle name="Normal 5 2 2 2 4 3 2 4" xfId="11949" xr:uid="{00000000-0005-0000-0000-00001E250000}"/>
    <cellStyle name="Normal 5 2 2 2 4 3 2 4 2" xfId="31664" xr:uid="{00000000-0005-0000-0000-00001F250000}"/>
    <cellStyle name="Normal 5 2 2 2 4 3 2 5" xfId="21807" xr:uid="{00000000-0005-0000-0000-000020250000}"/>
    <cellStyle name="Normal 5 2 2 2 4 3 3" xfId="3317" xr:uid="{00000000-0005-0000-0000-000021250000}"/>
    <cellStyle name="Normal 5 2 2 2 4 3 3 2" xfId="8249" xr:uid="{00000000-0005-0000-0000-000022250000}"/>
    <cellStyle name="Normal 5 2 2 2 4 3 3 2 2" xfId="18109" xr:uid="{00000000-0005-0000-0000-000023250000}"/>
    <cellStyle name="Normal 5 2 2 2 4 3 3 2 2 2" xfId="37824" xr:uid="{00000000-0005-0000-0000-000024250000}"/>
    <cellStyle name="Normal 5 2 2 2 4 3 3 2 3" xfId="27967" xr:uid="{00000000-0005-0000-0000-000025250000}"/>
    <cellStyle name="Normal 5 2 2 2 4 3 3 3" xfId="13181" xr:uid="{00000000-0005-0000-0000-000026250000}"/>
    <cellStyle name="Normal 5 2 2 2 4 3 3 3 2" xfId="32896" xr:uid="{00000000-0005-0000-0000-000027250000}"/>
    <cellStyle name="Normal 5 2 2 2 4 3 3 4" xfId="23039" xr:uid="{00000000-0005-0000-0000-000028250000}"/>
    <cellStyle name="Normal 5 2 2 2 4 3 4" xfId="5785" xr:uid="{00000000-0005-0000-0000-000029250000}"/>
    <cellStyle name="Normal 5 2 2 2 4 3 4 2" xfId="15645" xr:uid="{00000000-0005-0000-0000-00002A250000}"/>
    <cellStyle name="Normal 5 2 2 2 4 3 4 2 2" xfId="35360" xr:uid="{00000000-0005-0000-0000-00002B250000}"/>
    <cellStyle name="Normal 5 2 2 2 4 3 4 3" xfId="25503" xr:uid="{00000000-0005-0000-0000-00002C250000}"/>
    <cellStyle name="Normal 5 2 2 2 4 3 5" xfId="10717" xr:uid="{00000000-0005-0000-0000-00002D250000}"/>
    <cellStyle name="Normal 5 2 2 2 4 3 5 2" xfId="30432" xr:uid="{00000000-0005-0000-0000-00002E250000}"/>
    <cellStyle name="Normal 5 2 2 2 4 3 6" xfId="20575" xr:uid="{00000000-0005-0000-0000-00002F250000}"/>
    <cellStyle name="Normal 5 2 2 2 4 4" xfId="1466" xr:uid="{00000000-0005-0000-0000-000030250000}"/>
    <cellStyle name="Normal 5 2 2 2 4 4 2" xfId="3933" xr:uid="{00000000-0005-0000-0000-000031250000}"/>
    <cellStyle name="Normal 5 2 2 2 4 4 2 2" xfId="8865" xr:uid="{00000000-0005-0000-0000-000032250000}"/>
    <cellStyle name="Normal 5 2 2 2 4 4 2 2 2" xfId="18725" xr:uid="{00000000-0005-0000-0000-000033250000}"/>
    <cellStyle name="Normal 5 2 2 2 4 4 2 2 2 2" xfId="38440" xr:uid="{00000000-0005-0000-0000-000034250000}"/>
    <cellStyle name="Normal 5 2 2 2 4 4 2 2 3" xfId="28583" xr:uid="{00000000-0005-0000-0000-000035250000}"/>
    <cellStyle name="Normal 5 2 2 2 4 4 2 3" xfId="13797" xr:uid="{00000000-0005-0000-0000-000036250000}"/>
    <cellStyle name="Normal 5 2 2 2 4 4 2 3 2" xfId="33512" xr:uid="{00000000-0005-0000-0000-000037250000}"/>
    <cellStyle name="Normal 5 2 2 2 4 4 2 4" xfId="23655" xr:uid="{00000000-0005-0000-0000-000038250000}"/>
    <cellStyle name="Normal 5 2 2 2 4 4 3" xfId="6401" xr:uid="{00000000-0005-0000-0000-000039250000}"/>
    <cellStyle name="Normal 5 2 2 2 4 4 3 2" xfId="16261" xr:uid="{00000000-0005-0000-0000-00003A250000}"/>
    <cellStyle name="Normal 5 2 2 2 4 4 3 2 2" xfId="35976" xr:uid="{00000000-0005-0000-0000-00003B250000}"/>
    <cellStyle name="Normal 5 2 2 2 4 4 3 3" xfId="26119" xr:uid="{00000000-0005-0000-0000-00003C250000}"/>
    <cellStyle name="Normal 5 2 2 2 4 4 4" xfId="11333" xr:uid="{00000000-0005-0000-0000-00003D250000}"/>
    <cellStyle name="Normal 5 2 2 2 4 4 4 2" xfId="31048" xr:uid="{00000000-0005-0000-0000-00003E250000}"/>
    <cellStyle name="Normal 5 2 2 2 4 4 5" xfId="21191" xr:uid="{00000000-0005-0000-0000-00003F250000}"/>
    <cellStyle name="Normal 5 2 2 2 4 5" xfId="2701" xr:uid="{00000000-0005-0000-0000-000040250000}"/>
    <cellStyle name="Normal 5 2 2 2 4 5 2" xfId="7633" xr:uid="{00000000-0005-0000-0000-000041250000}"/>
    <cellStyle name="Normal 5 2 2 2 4 5 2 2" xfId="17493" xr:uid="{00000000-0005-0000-0000-000042250000}"/>
    <cellStyle name="Normal 5 2 2 2 4 5 2 2 2" xfId="37208" xr:uid="{00000000-0005-0000-0000-000043250000}"/>
    <cellStyle name="Normal 5 2 2 2 4 5 2 3" xfId="27351" xr:uid="{00000000-0005-0000-0000-000044250000}"/>
    <cellStyle name="Normal 5 2 2 2 4 5 3" xfId="12565" xr:uid="{00000000-0005-0000-0000-000045250000}"/>
    <cellStyle name="Normal 5 2 2 2 4 5 3 2" xfId="32280" xr:uid="{00000000-0005-0000-0000-000046250000}"/>
    <cellStyle name="Normal 5 2 2 2 4 5 4" xfId="22423" xr:uid="{00000000-0005-0000-0000-000047250000}"/>
    <cellStyle name="Normal 5 2 2 2 4 6" xfId="5169" xr:uid="{00000000-0005-0000-0000-000048250000}"/>
    <cellStyle name="Normal 5 2 2 2 4 6 2" xfId="15029" xr:uid="{00000000-0005-0000-0000-000049250000}"/>
    <cellStyle name="Normal 5 2 2 2 4 6 2 2" xfId="34744" xr:uid="{00000000-0005-0000-0000-00004A250000}"/>
    <cellStyle name="Normal 5 2 2 2 4 6 3" xfId="24887" xr:uid="{00000000-0005-0000-0000-00004B250000}"/>
    <cellStyle name="Normal 5 2 2 2 4 7" xfId="10101" xr:uid="{00000000-0005-0000-0000-00004C250000}"/>
    <cellStyle name="Normal 5 2 2 2 4 7 2" xfId="29816" xr:uid="{00000000-0005-0000-0000-00004D250000}"/>
    <cellStyle name="Normal 5 2 2 2 4 8" xfId="19959" xr:uid="{00000000-0005-0000-0000-00004E250000}"/>
    <cellStyle name="Normal 5 2 2 2 5" xfId="381" xr:uid="{00000000-0005-0000-0000-00004F250000}"/>
    <cellStyle name="Normal 5 2 2 2 5 2" xfId="1001" xr:uid="{00000000-0005-0000-0000-000050250000}"/>
    <cellStyle name="Normal 5 2 2 2 5 2 2" xfId="2236" xr:uid="{00000000-0005-0000-0000-000051250000}"/>
    <cellStyle name="Normal 5 2 2 2 5 2 2 2" xfId="4703" xr:uid="{00000000-0005-0000-0000-000052250000}"/>
    <cellStyle name="Normal 5 2 2 2 5 2 2 2 2" xfId="9635" xr:uid="{00000000-0005-0000-0000-000053250000}"/>
    <cellStyle name="Normal 5 2 2 2 5 2 2 2 2 2" xfId="19495" xr:uid="{00000000-0005-0000-0000-000054250000}"/>
    <cellStyle name="Normal 5 2 2 2 5 2 2 2 2 2 2" xfId="39210" xr:uid="{00000000-0005-0000-0000-000055250000}"/>
    <cellStyle name="Normal 5 2 2 2 5 2 2 2 2 3" xfId="29353" xr:uid="{00000000-0005-0000-0000-000056250000}"/>
    <cellStyle name="Normal 5 2 2 2 5 2 2 2 3" xfId="14567" xr:uid="{00000000-0005-0000-0000-000057250000}"/>
    <cellStyle name="Normal 5 2 2 2 5 2 2 2 3 2" xfId="34282" xr:uid="{00000000-0005-0000-0000-000058250000}"/>
    <cellStyle name="Normal 5 2 2 2 5 2 2 2 4" xfId="24425" xr:uid="{00000000-0005-0000-0000-000059250000}"/>
    <cellStyle name="Normal 5 2 2 2 5 2 2 3" xfId="7171" xr:uid="{00000000-0005-0000-0000-00005A250000}"/>
    <cellStyle name="Normal 5 2 2 2 5 2 2 3 2" xfId="17031" xr:uid="{00000000-0005-0000-0000-00005B250000}"/>
    <cellStyle name="Normal 5 2 2 2 5 2 2 3 2 2" xfId="36746" xr:uid="{00000000-0005-0000-0000-00005C250000}"/>
    <cellStyle name="Normal 5 2 2 2 5 2 2 3 3" xfId="26889" xr:uid="{00000000-0005-0000-0000-00005D250000}"/>
    <cellStyle name="Normal 5 2 2 2 5 2 2 4" xfId="12103" xr:uid="{00000000-0005-0000-0000-00005E250000}"/>
    <cellStyle name="Normal 5 2 2 2 5 2 2 4 2" xfId="31818" xr:uid="{00000000-0005-0000-0000-00005F250000}"/>
    <cellStyle name="Normal 5 2 2 2 5 2 2 5" xfId="21961" xr:uid="{00000000-0005-0000-0000-000060250000}"/>
    <cellStyle name="Normal 5 2 2 2 5 2 3" xfId="3471" xr:uid="{00000000-0005-0000-0000-000061250000}"/>
    <cellStyle name="Normal 5 2 2 2 5 2 3 2" xfId="8403" xr:uid="{00000000-0005-0000-0000-000062250000}"/>
    <cellStyle name="Normal 5 2 2 2 5 2 3 2 2" xfId="18263" xr:uid="{00000000-0005-0000-0000-000063250000}"/>
    <cellStyle name="Normal 5 2 2 2 5 2 3 2 2 2" xfId="37978" xr:uid="{00000000-0005-0000-0000-000064250000}"/>
    <cellStyle name="Normal 5 2 2 2 5 2 3 2 3" xfId="28121" xr:uid="{00000000-0005-0000-0000-000065250000}"/>
    <cellStyle name="Normal 5 2 2 2 5 2 3 3" xfId="13335" xr:uid="{00000000-0005-0000-0000-000066250000}"/>
    <cellStyle name="Normal 5 2 2 2 5 2 3 3 2" xfId="33050" xr:uid="{00000000-0005-0000-0000-000067250000}"/>
    <cellStyle name="Normal 5 2 2 2 5 2 3 4" xfId="23193" xr:uid="{00000000-0005-0000-0000-000068250000}"/>
    <cellStyle name="Normal 5 2 2 2 5 2 4" xfId="5939" xr:uid="{00000000-0005-0000-0000-000069250000}"/>
    <cellStyle name="Normal 5 2 2 2 5 2 4 2" xfId="15799" xr:uid="{00000000-0005-0000-0000-00006A250000}"/>
    <cellStyle name="Normal 5 2 2 2 5 2 4 2 2" xfId="35514" xr:uid="{00000000-0005-0000-0000-00006B250000}"/>
    <cellStyle name="Normal 5 2 2 2 5 2 4 3" xfId="25657" xr:uid="{00000000-0005-0000-0000-00006C250000}"/>
    <cellStyle name="Normal 5 2 2 2 5 2 5" xfId="10871" xr:uid="{00000000-0005-0000-0000-00006D250000}"/>
    <cellStyle name="Normal 5 2 2 2 5 2 5 2" xfId="30586" xr:uid="{00000000-0005-0000-0000-00006E250000}"/>
    <cellStyle name="Normal 5 2 2 2 5 2 6" xfId="20729" xr:uid="{00000000-0005-0000-0000-00006F250000}"/>
    <cellStyle name="Normal 5 2 2 2 5 3" xfId="1620" xr:uid="{00000000-0005-0000-0000-000070250000}"/>
    <cellStyle name="Normal 5 2 2 2 5 3 2" xfId="4087" xr:uid="{00000000-0005-0000-0000-000071250000}"/>
    <cellStyle name="Normal 5 2 2 2 5 3 2 2" xfId="9019" xr:uid="{00000000-0005-0000-0000-000072250000}"/>
    <cellStyle name="Normal 5 2 2 2 5 3 2 2 2" xfId="18879" xr:uid="{00000000-0005-0000-0000-000073250000}"/>
    <cellStyle name="Normal 5 2 2 2 5 3 2 2 2 2" xfId="38594" xr:uid="{00000000-0005-0000-0000-000074250000}"/>
    <cellStyle name="Normal 5 2 2 2 5 3 2 2 3" xfId="28737" xr:uid="{00000000-0005-0000-0000-000075250000}"/>
    <cellStyle name="Normal 5 2 2 2 5 3 2 3" xfId="13951" xr:uid="{00000000-0005-0000-0000-000076250000}"/>
    <cellStyle name="Normal 5 2 2 2 5 3 2 3 2" xfId="33666" xr:uid="{00000000-0005-0000-0000-000077250000}"/>
    <cellStyle name="Normal 5 2 2 2 5 3 2 4" xfId="23809" xr:uid="{00000000-0005-0000-0000-000078250000}"/>
    <cellStyle name="Normal 5 2 2 2 5 3 3" xfId="6555" xr:uid="{00000000-0005-0000-0000-000079250000}"/>
    <cellStyle name="Normal 5 2 2 2 5 3 3 2" xfId="16415" xr:uid="{00000000-0005-0000-0000-00007A250000}"/>
    <cellStyle name="Normal 5 2 2 2 5 3 3 2 2" xfId="36130" xr:uid="{00000000-0005-0000-0000-00007B250000}"/>
    <cellStyle name="Normal 5 2 2 2 5 3 3 3" xfId="26273" xr:uid="{00000000-0005-0000-0000-00007C250000}"/>
    <cellStyle name="Normal 5 2 2 2 5 3 4" xfId="11487" xr:uid="{00000000-0005-0000-0000-00007D250000}"/>
    <cellStyle name="Normal 5 2 2 2 5 3 4 2" xfId="31202" xr:uid="{00000000-0005-0000-0000-00007E250000}"/>
    <cellStyle name="Normal 5 2 2 2 5 3 5" xfId="21345" xr:uid="{00000000-0005-0000-0000-00007F250000}"/>
    <cellStyle name="Normal 5 2 2 2 5 4" xfId="2855" xr:uid="{00000000-0005-0000-0000-000080250000}"/>
    <cellStyle name="Normal 5 2 2 2 5 4 2" xfId="7787" xr:uid="{00000000-0005-0000-0000-000081250000}"/>
    <cellStyle name="Normal 5 2 2 2 5 4 2 2" xfId="17647" xr:uid="{00000000-0005-0000-0000-000082250000}"/>
    <cellStyle name="Normal 5 2 2 2 5 4 2 2 2" xfId="37362" xr:uid="{00000000-0005-0000-0000-000083250000}"/>
    <cellStyle name="Normal 5 2 2 2 5 4 2 3" xfId="27505" xr:uid="{00000000-0005-0000-0000-000084250000}"/>
    <cellStyle name="Normal 5 2 2 2 5 4 3" xfId="12719" xr:uid="{00000000-0005-0000-0000-000085250000}"/>
    <cellStyle name="Normal 5 2 2 2 5 4 3 2" xfId="32434" xr:uid="{00000000-0005-0000-0000-000086250000}"/>
    <cellStyle name="Normal 5 2 2 2 5 4 4" xfId="22577" xr:uid="{00000000-0005-0000-0000-000087250000}"/>
    <cellStyle name="Normal 5 2 2 2 5 5" xfId="5323" xr:uid="{00000000-0005-0000-0000-000088250000}"/>
    <cellStyle name="Normal 5 2 2 2 5 5 2" xfId="15183" xr:uid="{00000000-0005-0000-0000-000089250000}"/>
    <cellStyle name="Normal 5 2 2 2 5 5 2 2" xfId="34898" xr:uid="{00000000-0005-0000-0000-00008A250000}"/>
    <cellStyle name="Normal 5 2 2 2 5 5 3" xfId="25041" xr:uid="{00000000-0005-0000-0000-00008B250000}"/>
    <cellStyle name="Normal 5 2 2 2 5 6" xfId="10255" xr:uid="{00000000-0005-0000-0000-00008C250000}"/>
    <cellStyle name="Normal 5 2 2 2 5 6 2" xfId="29970" xr:uid="{00000000-0005-0000-0000-00008D250000}"/>
    <cellStyle name="Normal 5 2 2 2 5 7" xfId="20113" xr:uid="{00000000-0005-0000-0000-00008E250000}"/>
    <cellStyle name="Normal 5 2 2 2 6" xfId="694" xr:uid="{00000000-0005-0000-0000-00008F250000}"/>
    <cellStyle name="Normal 5 2 2 2 6 2" xfId="1930" xr:uid="{00000000-0005-0000-0000-000090250000}"/>
    <cellStyle name="Normal 5 2 2 2 6 2 2" xfId="4397" xr:uid="{00000000-0005-0000-0000-000091250000}"/>
    <cellStyle name="Normal 5 2 2 2 6 2 2 2" xfId="9329" xr:uid="{00000000-0005-0000-0000-000092250000}"/>
    <cellStyle name="Normal 5 2 2 2 6 2 2 2 2" xfId="19189" xr:uid="{00000000-0005-0000-0000-000093250000}"/>
    <cellStyle name="Normal 5 2 2 2 6 2 2 2 2 2" xfId="38904" xr:uid="{00000000-0005-0000-0000-000094250000}"/>
    <cellStyle name="Normal 5 2 2 2 6 2 2 2 3" xfId="29047" xr:uid="{00000000-0005-0000-0000-000095250000}"/>
    <cellStyle name="Normal 5 2 2 2 6 2 2 3" xfId="14261" xr:uid="{00000000-0005-0000-0000-000096250000}"/>
    <cellStyle name="Normal 5 2 2 2 6 2 2 3 2" xfId="33976" xr:uid="{00000000-0005-0000-0000-000097250000}"/>
    <cellStyle name="Normal 5 2 2 2 6 2 2 4" xfId="24119" xr:uid="{00000000-0005-0000-0000-000098250000}"/>
    <cellStyle name="Normal 5 2 2 2 6 2 3" xfId="6865" xr:uid="{00000000-0005-0000-0000-000099250000}"/>
    <cellStyle name="Normal 5 2 2 2 6 2 3 2" xfId="16725" xr:uid="{00000000-0005-0000-0000-00009A250000}"/>
    <cellStyle name="Normal 5 2 2 2 6 2 3 2 2" xfId="36440" xr:uid="{00000000-0005-0000-0000-00009B250000}"/>
    <cellStyle name="Normal 5 2 2 2 6 2 3 3" xfId="26583" xr:uid="{00000000-0005-0000-0000-00009C250000}"/>
    <cellStyle name="Normal 5 2 2 2 6 2 4" xfId="11797" xr:uid="{00000000-0005-0000-0000-00009D250000}"/>
    <cellStyle name="Normal 5 2 2 2 6 2 4 2" xfId="31512" xr:uid="{00000000-0005-0000-0000-00009E250000}"/>
    <cellStyle name="Normal 5 2 2 2 6 2 5" xfId="21655" xr:uid="{00000000-0005-0000-0000-00009F250000}"/>
    <cellStyle name="Normal 5 2 2 2 6 3" xfId="3165" xr:uid="{00000000-0005-0000-0000-0000A0250000}"/>
    <cellStyle name="Normal 5 2 2 2 6 3 2" xfId="8097" xr:uid="{00000000-0005-0000-0000-0000A1250000}"/>
    <cellStyle name="Normal 5 2 2 2 6 3 2 2" xfId="17957" xr:uid="{00000000-0005-0000-0000-0000A2250000}"/>
    <cellStyle name="Normal 5 2 2 2 6 3 2 2 2" xfId="37672" xr:uid="{00000000-0005-0000-0000-0000A3250000}"/>
    <cellStyle name="Normal 5 2 2 2 6 3 2 3" xfId="27815" xr:uid="{00000000-0005-0000-0000-0000A4250000}"/>
    <cellStyle name="Normal 5 2 2 2 6 3 3" xfId="13029" xr:uid="{00000000-0005-0000-0000-0000A5250000}"/>
    <cellStyle name="Normal 5 2 2 2 6 3 3 2" xfId="32744" xr:uid="{00000000-0005-0000-0000-0000A6250000}"/>
    <cellStyle name="Normal 5 2 2 2 6 3 4" xfId="22887" xr:uid="{00000000-0005-0000-0000-0000A7250000}"/>
    <cellStyle name="Normal 5 2 2 2 6 4" xfId="5633" xr:uid="{00000000-0005-0000-0000-0000A8250000}"/>
    <cellStyle name="Normal 5 2 2 2 6 4 2" xfId="15493" xr:uid="{00000000-0005-0000-0000-0000A9250000}"/>
    <cellStyle name="Normal 5 2 2 2 6 4 2 2" xfId="35208" xr:uid="{00000000-0005-0000-0000-0000AA250000}"/>
    <cellStyle name="Normal 5 2 2 2 6 4 3" xfId="25351" xr:uid="{00000000-0005-0000-0000-0000AB250000}"/>
    <cellStyle name="Normal 5 2 2 2 6 5" xfId="10565" xr:uid="{00000000-0005-0000-0000-0000AC250000}"/>
    <cellStyle name="Normal 5 2 2 2 6 5 2" xfId="30280" xr:uid="{00000000-0005-0000-0000-0000AD250000}"/>
    <cellStyle name="Normal 5 2 2 2 6 6" xfId="20423" xr:uid="{00000000-0005-0000-0000-0000AE250000}"/>
    <cellStyle name="Normal 5 2 2 2 7" xfId="1314" xr:uid="{00000000-0005-0000-0000-0000AF250000}"/>
    <cellStyle name="Normal 5 2 2 2 7 2" xfId="3781" xr:uid="{00000000-0005-0000-0000-0000B0250000}"/>
    <cellStyle name="Normal 5 2 2 2 7 2 2" xfId="8713" xr:uid="{00000000-0005-0000-0000-0000B1250000}"/>
    <cellStyle name="Normal 5 2 2 2 7 2 2 2" xfId="18573" xr:uid="{00000000-0005-0000-0000-0000B2250000}"/>
    <cellStyle name="Normal 5 2 2 2 7 2 2 2 2" xfId="38288" xr:uid="{00000000-0005-0000-0000-0000B3250000}"/>
    <cellStyle name="Normal 5 2 2 2 7 2 2 3" xfId="28431" xr:uid="{00000000-0005-0000-0000-0000B4250000}"/>
    <cellStyle name="Normal 5 2 2 2 7 2 3" xfId="13645" xr:uid="{00000000-0005-0000-0000-0000B5250000}"/>
    <cellStyle name="Normal 5 2 2 2 7 2 3 2" xfId="33360" xr:uid="{00000000-0005-0000-0000-0000B6250000}"/>
    <cellStyle name="Normal 5 2 2 2 7 2 4" xfId="23503" xr:uid="{00000000-0005-0000-0000-0000B7250000}"/>
    <cellStyle name="Normal 5 2 2 2 7 3" xfId="6249" xr:uid="{00000000-0005-0000-0000-0000B8250000}"/>
    <cellStyle name="Normal 5 2 2 2 7 3 2" xfId="16109" xr:uid="{00000000-0005-0000-0000-0000B9250000}"/>
    <cellStyle name="Normal 5 2 2 2 7 3 2 2" xfId="35824" xr:uid="{00000000-0005-0000-0000-0000BA250000}"/>
    <cellStyle name="Normal 5 2 2 2 7 3 3" xfId="25967" xr:uid="{00000000-0005-0000-0000-0000BB250000}"/>
    <cellStyle name="Normal 5 2 2 2 7 4" xfId="11181" xr:uid="{00000000-0005-0000-0000-0000BC250000}"/>
    <cellStyle name="Normal 5 2 2 2 7 4 2" xfId="30896" xr:uid="{00000000-0005-0000-0000-0000BD250000}"/>
    <cellStyle name="Normal 5 2 2 2 7 5" xfId="21039" xr:uid="{00000000-0005-0000-0000-0000BE250000}"/>
    <cellStyle name="Normal 5 2 2 2 8" xfId="2549" xr:uid="{00000000-0005-0000-0000-0000BF250000}"/>
    <cellStyle name="Normal 5 2 2 2 8 2" xfId="7481" xr:uid="{00000000-0005-0000-0000-0000C0250000}"/>
    <cellStyle name="Normal 5 2 2 2 8 2 2" xfId="17341" xr:uid="{00000000-0005-0000-0000-0000C1250000}"/>
    <cellStyle name="Normal 5 2 2 2 8 2 2 2" xfId="37056" xr:uid="{00000000-0005-0000-0000-0000C2250000}"/>
    <cellStyle name="Normal 5 2 2 2 8 2 3" xfId="27199" xr:uid="{00000000-0005-0000-0000-0000C3250000}"/>
    <cellStyle name="Normal 5 2 2 2 8 3" xfId="12413" xr:uid="{00000000-0005-0000-0000-0000C4250000}"/>
    <cellStyle name="Normal 5 2 2 2 8 3 2" xfId="32128" xr:uid="{00000000-0005-0000-0000-0000C5250000}"/>
    <cellStyle name="Normal 5 2 2 2 8 4" xfId="22271" xr:uid="{00000000-0005-0000-0000-0000C6250000}"/>
    <cellStyle name="Normal 5 2 2 2 9" xfId="5017" xr:uid="{00000000-0005-0000-0000-0000C7250000}"/>
    <cellStyle name="Normal 5 2 2 2 9 2" xfId="14877" xr:uid="{00000000-0005-0000-0000-0000C8250000}"/>
    <cellStyle name="Normal 5 2 2 2 9 2 2" xfId="34592" xr:uid="{00000000-0005-0000-0000-0000C9250000}"/>
    <cellStyle name="Normal 5 2 2 2 9 3" xfId="24735" xr:uid="{00000000-0005-0000-0000-0000CA250000}"/>
    <cellStyle name="Normal 5 2 2 3" xfId="76" xr:uid="{00000000-0005-0000-0000-0000CB250000}"/>
    <cellStyle name="Normal 5 2 2 3 10" xfId="19826" xr:uid="{00000000-0005-0000-0000-0000CC250000}"/>
    <cellStyle name="Normal 5 2 2 3 2" xfId="157" xr:uid="{00000000-0005-0000-0000-0000CD250000}"/>
    <cellStyle name="Normal 5 2 2 3 2 2" xfId="314" xr:uid="{00000000-0005-0000-0000-0000CE250000}"/>
    <cellStyle name="Normal 5 2 2 3 2 2 2" xfId="628" xr:uid="{00000000-0005-0000-0000-0000CF250000}"/>
    <cellStyle name="Normal 5 2 2 3 2 2 2 2" xfId="1248" xr:uid="{00000000-0005-0000-0000-0000D0250000}"/>
    <cellStyle name="Normal 5 2 2 3 2 2 2 2 2" xfId="2483" xr:uid="{00000000-0005-0000-0000-0000D1250000}"/>
    <cellStyle name="Normal 5 2 2 3 2 2 2 2 2 2" xfId="4950" xr:uid="{00000000-0005-0000-0000-0000D2250000}"/>
    <cellStyle name="Normal 5 2 2 3 2 2 2 2 2 2 2" xfId="9882" xr:uid="{00000000-0005-0000-0000-0000D3250000}"/>
    <cellStyle name="Normal 5 2 2 3 2 2 2 2 2 2 2 2" xfId="19742" xr:uid="{00000000-0005-0000-0000-0000D4250000}"/>
    <cellStyle name="Normal 5 2 2 3 2 2 2 2 2 2 2 2 2" xfId="39457" xr:uid="{00000000-0005-0000-0000-0000D5250000}"/>
    <cellStyle name="Normal 5 2 2 3 2 2 2 2 2 2 2 3" xfId="29600" xr:uid="{00000000-0005-0000-0000-0000D6250000}"/>
    <cellStyle name="Normal 5 2 2 3 2 2 2 2 2 2 3" xfId="14814" xr:uid="{00000000-0005-0000-0000-0000D7250000}"/>
    <cellStyle name="Normal 5 2 2 3 2 2 2 2 2 2 3 2" xfId="34529" xr:uid="{00000000-0005-0000-0000-0000D8250000}"/>
    <cellStyle name="Normal 5 2 2 3 2 2 2 2 2 2 4" xfId="24672" xr:uid="{00000000-0005-0000-0000-0000D9250000}"/>
    <cellStyle name="Normal 5 2 2 3 2 2 2 2 2 3" xfId="7418" xr:uid="{00000000-0005-0000-0000-0000DA250000}"/>
    <cellStyle name="Normal 5 2 2 3 2 2 2 2 2 3 2" xfId="17278" xr:uid="{00000000-0005-0000-0000-0000DB250000}"/>
    <cellStyle name="Normal 5 2 2 3 2 2 2 2 2 3 2 2" xfId="36993" xr:uid="{00000000-0005-0000-0000-0000DC250000}"/>
    <cellStyle name="Normal 5 2 2 3 2 2 2 2 2 3 3" xfId="27136" xr:uid="{00000000-0005-0000-0000-0000DD250000}"/>
    <cellStyle name="Normal 5 2 2 3 2 2 2 2 2 4" xfId="12350" xr:uid="{00000000-0005-0000-0000-0000DE250000}"/>
    <cellStyle name="Normal 5 2 2 3 2 2 2 2 2 4 2" xfId="32065" xr:uid="{00000000-0005-0000-0000-0000DF250000}"/>
    <cellStyle name="Normal 5 2 2 3 2 2 2 2 2 5" xfId="22208" xr:uid="{00000000-0005-0000-0000-0000E0250000}"/>
    <cellStyle name="Normal 5 2 2 3 2 2 2 2 3" xfId="3718" xr:uid="{00000000-0005-0000-0000-0000E1250000}"/>
    <cellStyle name="Normal 5 2 2 3 2 2 2 2 3 2" xfId="8650" xr:uid="{00000000-0005-0000-0000-0000E2250000}"/>
    <cellStyle name="Normal 5 2 2 3 2 2 2 2 3 2 2" xfId="18510" xr:uid="{00000000-0005-0000-0000-0000E3250000}"/>
    <cellStyle name="Normal 5 2 2 3 2 2 2 2 3 2 2 2" xfId="38225" xr:uid="{00000000-0005-0000-0000-0000E4250000}"/>
    <cellStyle name="Normal 5 2 2 3 2 2 2 2 3 2 3" xfId="28368" xr:uid="{00000000-0005-0000-0000-0000E5250000}"/>
    <cellStyle name="Normal 5 2 2 3 2 2 2 2 3 3" xfId="13582" xr:uid="{00000000-0005-0000-0000-0000E6250000}"/>
    <cellStyle name="Normal 5 2 2 3 2 2 2 2 3 3 2" xfId="33297" xr:uid="{00000000-0005-0000-0000-0000E7250000}"/>
    <cellStyle name="Normal 5 2 2 3 2 2 2 2 3 4" xfId="23440" xr:uid="{00000000-0005-0000-0000-0000E8250000}"/>
    <cellStyle name="Normal 5 2 2 3 2 2 2 2 4" xfId="6186" xr:uid="{00000000-0005-0000-0000-0000E9250000}"/>
    <cellStyle name="Normal 5 2 2 3 2 2 2 2 4 2" xfId="16046" xr:uid="{00000000-0005-0000-0000-0000EA250000}"/>
    <cellStyle name="Normal 5 2 2 3 2 2 2 2 4 2 2" xfId="35761" xr:uid="{00000000-0005-0000-0000-0000EB250000}"/>
    <cellStyle name="Normal 5 2 2 3 2 2 2 2 4 3" xfId="25904" xr:uid="{00000000-0005-0000-0000-0000EC250000}"/>
    <cellStyle name="Normal 5 2 2 3 2 2 2 2 5" xfId="11118" xr:uid="{00000000-0005-0000-0000-0000ED250000}"/>
    <cellStyle name="Normal 5 2 2 3 2 2 2 2 5 2" xfId="30833" xr:uid="{00000000-0005-0000-0000-0000EE250000}"/>
    <cellStyle name="Normal 5 2 2 3 2 2 2 2 6" xfId="20976" xr:uid="{00000000-0005-0000-0000-0000EF250000}"/>
    <cellStyle name="Normal 5 2 2 3 2 2 2 3" xfId="1867" xr:uid="{00000000-0005-0000-0000-0000F0250000}"/>
    <cellStyle name="Normal 5 2 2 3 2 2 2 3 2" xfId="4334" xr:uid="{00000000-0005-0000-0000-0000F1250000}"/>
    <cellStyle name="Normal 5 2 2 3 2 2 2 3 2 2" xfId="9266" xr:uid="{00000000-0005-0000-0000-0000F2250000}"/>
    <cellStyle name="Normal 5 2 2 3 2 2 2 3 2 2 2" xfId="19126" xr:uid="{00000000-0005-0000-0000-0000F3250000}"/>
    <cellStyle name="Normal 5 2 2 3 2 2 2 3 2 2 2 2" xfId="38841" xr:uid="{00000000-0005-0000-0000-0000F4250000}"/>
    <cellStyle name="Normal 5 2 2 3 2 2 2 3 2 2 3" xfId="28984" xr:uid="{00000000-0005-0000-0000-0000F5250000}"/>
    <cellStyle name="Normal 5 2 2 3 2 2 2 3 2 3" xfId="14198" xr:uid="{00000000-0005-0000-0000-0000F6250000}"/>
    <cellStyle name="Normal 5 2 2 3 2 2 2 3 2 3 2" xfId="33913" xr:uid="{00000000-0005-0000-0000-0000F7250000}"/>
    <cellStyle name="Normal 5 2 2 3 2 2 2 3 2 4" xfId="24056" xr:uid="{00000000-0005-0000-0000-0000F8250000}"/>
    <cellStyle name="Normal 5 2 2 3 2 2 2 3 3" xfId="6802" xr:uid="{00000000-0005-0000-0000-0000F9250000}"/>
    <cellStyle name="Normal 5 2 2 3 2 2 2 3 3 2" xfId="16662" xr:uid="{00000000-0005-0000-0000-0000FA250000}"/>
    <cellStyle name="Normal 5 2 2 3 2 2 2 3 3 2 2" xfId="36377" xr:uid="{00000000-0005-0000-0000-0000FB250000}"/>
    <cellStyle name="Normal 5 2 2 3 2 2 2 3 3 3" xfId="26520" xr:uid="{00000000-0005-0000-0000-0000FC250000}"/>
    <cellStyle name="Normal 5 2 2 3 2 2 2 3 4" xfId="11734" xr:uid="{00000000-0005-0000-0000-0000FD250000}"/>
    <cellStyle name="Normal 5 2 2 3 2 2 2 3 4 2" xfId="31449" xr:uid="{00000000-0005-0000-0000-0000FE250000}"/>
    <cellStyle name="Normal 5 2 2 3 2 2 2 3 5" xfId="21592" xr:uid="{00000000-0005-0000-0000-0000FF250000}"/>
    <cellStyle name="Normal 5 2 2 3 2 2 2 4" xfId="3102" xr:uid="{00000000-0005-0000-0000-000000260000}"/>
    <cellStyle name="Normal 5 2 2 3 2 2 2 4 2" xfId="8034" xr:uid="{00000000-0005-0000-0000-000001260000}"/>
    <cellStyle name="Normal 5 2 2 3 2 2 2 4 2 2" xfId="17894" xr:uid="{00000000-0005-0000-0000-000002260000}"/>
    <cellStyle name="Normal 5 2 2 3 2 2 2 4 2 2 2" xfId="37609" xr:uid="{00000000-0005-0000-0000-000003260000}"/>
    <cellStyle name="Normal 5 2 2 3 2 2 2 4 2 3" xfId="27752" xr:uid="{00000000-0005-0000-0000-000004260000}"/>
    <cellStyle name="Normal 5 2 2 3 2 2 2 4 3" xfId="12966" xr:uid="{00000000-0005-0000-0000-000005260000}"/>
    <cellStyle name="Normal 5 2 2 3 2 2 2 4 3 2" xfId="32681" xr:uid="{00000000-0005-0000-0000-000006260000}"/>
    <cellStyle name="Normal 5 2 2 3 2 2 2 4 4" xfId="22824" xr:uid="{00000000-0005-0000-0000-000007260000}"/>
    <cellStyle name="Normal 5 2 2 3 2 2 2 5" xfId="5570" xr:uid="{00000000-0005-0000-0000-000008260000}"/>
    <cellStyle name="Normal 5 2 2 3 2 2 2 5 2" xfId="15430" xr:uid="{00000000-0005-0000-0000-000009260000}"/>
    <cellStyle name="Normal 5 2 2 3 2 2 2 5 2 2" xfId="35145" xr:uid="{00000000-0005-0000-0000-00000A260000}"/>
    <cellStyle name="Normal 5 2 2 3 2 2 2 5 3" xfId="25288" xr:uid="{00000000-0005-0000-0000-00000B260000}"/>
    <cellStyle name="Normal 5 2 2 3 2 2 2 6" xfId="10502" xr:uid="{00000000-0005-0000-0000-00000C260000}"/>
    <cellStyle name="Normal 5 2 2 3 2 2 2 6 2" xfId="30217" xr:uid="{00000000-0005-0000-0000-00000D260000}"/>
    <cellStyle name="Normal 5 2 2 3 2 2 2 7" xfId="20360" xr:uid="{00000000-0005-0000-0000-00000E260000}"/>
    <cellStyle name="Normal 5 2 2 3 2 2 3" xfId="941" xr:uid="{00000000-0005-0000-0000-00000F260000}"/>
    <cellStyle name="Normal 5 2 2 3 2 2 3 2" xfId="2177" xr:uid="{00000000-0005-0000-0000-000010260000}"/>
    <cellStyle name="Normal 5 2 2 3 2 2 3 2 2" xfId="4644" xr:uid="{00000000-0005-0000-0000-000011260000}"/>
    <cellStyle name="Normal 5 2 2 3 2 2 3 2 2 2" xfId="9576" xr:uid="{00000000-0005-0000-0000-000012260000}"/>
    <cellStyle name="Normal 5 2 2 3 2 2 3 2 2 2 2" xfId="19436" xr:uid="{00000000-0005-0000-0000-000013260000}"/>
    <cellStyle name="Normal 5 2 2 3 2 2 3 2 2 2 2 2" xfId="39151" xr:uid="{00000000-0005-0000-0000-000014260000}"/>
    <cellStyle name="Normal 5 2 2 3 2 2 3 2 2 2 3" xfId="29294" xr:uid="{00000000-0005-0000-0000-000015260000}"/>
    <cellStyle name="Normal 5 2 2 3 2 2 3 2 2 3" xfId="14508" xr:uid="{00000000-0005-0000-0000-000016260000}"/>
    <cellStyle name="Normal 5 2 2 3 2 2 3 2 2 3 2" xfId="34223" xr:uid="{00000000-0005-0000-0000-000017260000}"/>
    <cellStyle name="Normal 5 2 2 3 2 2 3 2 2 4" xfId="24366" xr:uid="{00000000-0005-0000-0000-000018260000}"/>
    <cellStyle name="Normal 5 2 2 3 2 2 3 2 3" xfId="7112" xr:uid="{00000000-0005-0000-0000-000019260000}"/>
    <cellStyle name="Normal 5 2 2 3 2 2 3 2 3 2" xfId="16972" xr:uid="{00000000-0005-0000-0000-00001A260000}"/>
    <cellStyle name="Normal 5 2 2 3 2 2 3 2 3 2 2" xfId="36687" xr:uid="{00000000-0005-0000-0000-00001B260000}"/>
    <cellStyle name="Normal 5 2 2 3 2 2 3 2 3 3" xfId="26830" xr:uid="{00000000-0005-0000-0000-00001C260000}"/>
    <cellStyle name="Normal 5 2 2 3 2 2 3 2 4" xfId="12044" xr:uid="{00000000-0005-0000-0000-00001D260000}"/>
    <cellStyle name="Normal 5 2 2 3 2 2 3 2 4 2" xfId="31759" xr:uid="{00000000-0005-0000-0000-00001E260000}"/>
    <cellStyle name="Normal 5 2 2 3 2 2 3 2 5" xfId="21902" xr:uid="{00000000-0005-0000-0000-00001F260000}"/>
    <cellStyle name="Normal 5 2 2 3 2 2 3 3" xfId="3412" xr:uid="{00000000-0005-0000-0000-000020260000}"/>
    <cellStyle name="Normal 5 2 2 3 2 2 3 3 2" xfId="8344" xr:uid="{00000000-0005-0000-0000-000021260000}"/>
    <cellStyle name="Normal 5 2 2 3 2 2 3 3 2 2" xfId="18204" xr:uid="{00000000-0005-0000-0000-000022260000}"/>
    <cellStyle name="Normal 5 2 2 3 2 2 3 3 2 2 2" xfId="37919" xr:uid="{00000000-0005-0000-0000-000023260000}"/>
    <cellStyle name="Normal 5 2 2 3 2 2 3 3 2 3" xfId="28062" xr:uid="{00000000-0005-0000-0000-000024260000}"/>
    <cellStyle name="Normal 5 2 2 3 2 2 3 3 3" xfId="13276" xr:uid="{00000000-0005-0000-0000-000025260000}"/>
    <cellStyle name="Normal 5 2 2 3 2 2 3 3 3 2" xfId="32991" xr:uid="{00000000-0005-0000-0000-000026260000}"/>
    <cellStyle name="Normal 5 2 2 3 2 2 3 3 4" xfId="23134" xr:uid="{00000000-0005-0000-0000-000027260000}"/>
    <cellStyle name="Normal 5 2 2 3 2 2 3 4" xfId="5880" xr:uid="{00000000-0005-0000-0000-000028260000}"/>
    <cellStyle name="Normal 5 2 2 3 2 2 3 4 2" xfId="15740" xr:uid="{00000000-0005-0000-0000-000029260000}"/>
    <cellStyle name="Normal 5 2 2 3 2 2 3 4 2 2" xfId="35455" xr:uid="{00000000-0005-0000-0000-00002A260000}"/>
    <cellStyle name="Normal 5 2 2 3 2 2 3 4 3" xfId="25598" xr:uid="{00000000-0005-0000-0000-00002B260000}"/>
    <cellStyle name="Normal 5 2 2 3 2 2 3 5" xfId="10812" xr:uid="{00000000-0005-0000-0000-00002C260000}"/>
    <cellStyle name="Normal 5 2 2 3 2 2 3 5 2" xfId="30527" xr:uid="{00000000-0005-0000-0000-00002D260000}"/>
    <cellStyle name="Normal 5 2 2 3 2 2 3 6" xfId="20670" xr:uid="{00000000-0005-0000-0000-00002E260000}"/>
    <cellStyle name="Normal 5 2 2 3 2 2 4" xfId="1561" xr:uid="{00000000-0005-0000-0000-00002F260000}"/>
    <cellStyle name="Normal 5 2 2 3 2 2 4 2" xfId="4028" xr:uid="{00000000-0005-0000-0000-000030260000}"/>
    <cellStyle name="Normal 5 2 2 3 2 2 4 2 2" xfId="8960" xr:uid="{00000000-0005-0000-0000-000031260000}"/>
    <cellStyle name="Normal 5 2 2 3 2 2 4 2 2 2" xfId="18820" xr:uid="{00000000-0005-0000-0000-000032260000}"/>
    <cellStyle name="Normal 5 2 2 3 2 2 4 2 2 2 2" xfId="38535" xr:uid="{00000000-0005-0000-0000-000033260000}"/>
    <cellStyle name="Normal 5 2 2 3 2 2 4 2 2 3" xfId="28678" xr:uid="{00000000-0005-0000-0000-000034260000}"/>
    <cellStyle name="Normal 5 2 2 3 2 2 4 2 3" xfId="13892" xr:uid="{00000000-0005-0000-0000-000035260000}"/>
    <cellStyle name="Normal 5 2 2 3 2 2 4 2 3 2" xfId="33607" xr:uid="{00000000-0005-0000-0000-000036260000}"/>
    <cellStyle name="Normal 5 2 2 3 2 2 4 2 4" xfId="23750" xr:uid="{00000000-0005-0000-0000-000037260000}"/>
    <cellStyle name="Normal 5 2 2 3 2 2 4 3" xfId="6496" xr:uid="{00000000-0005-0000-0000-000038260000}"/>
    <cellStyle name="Normal 5 2 2 3 2 2 4 3 2" xfId="16356" xr:uid="{00000000-0005-0000-0000-000039260000}"/>
    <cellStyle name="Normal 5 2 2 3 2 2 4 3 2 2" xfId="36071" xr:uid="{00000000-0005-0000-0000-00003A260000}"/>
    <cellStyle name="Normal 5 2 2 3 2 2 4 3 3" xfId="26214" xr:uid="{00000000-0005-0000-0000-00003B260000}"/>
    <cellStyle name="Normal 5 2 2 3 2 2 4 4" xfId="11428" xr:uid="{00000000-0005-0000-0000-00003C260000}"/>
    <cellStyle name="Normal 5 2 2 3 2 2 4 4 2" xfId="31143" xr:uid="{00000000-0005-0000-0000-00003D260000}"/>
    <cellStyle name="Normal 5 2 2 3 2 2 4 5" xfId="21286" xr:uid="{00000000-0005-0000-0000-00003E260000}"/>
    <cellStyle name="Normal 5 2 2 3 2 2 5" xfId="2796" xr:uid="{00000000-0005-0000-0000-00003F260000}"/>
    <cellStyle name="Normal 5 2 2 3 2 2 5 2" xfId="7728" xr:uid="{00000000-0005-0000-0000-000040260000}"/>
    <cellStyle name="Normal 5 2 2 3 2 2 5 2 2" xfId="17588" xr:uid="{00000000-0005-0000-0000-000041260000}"/>
    <cellStyle name="Normal 5 2 2 3 2 2 5 2 2 2" xfId="37303" xr:uid="{00000000-0005-0000-0000-000042260000}"/>
    <cellStyle name="Normal 5 2 2 3 2 2 5 2 3" xfId="27446" xr:uid="{00000000-0005-0000-0000-000043260000}"/>
    <cellStyle name="Normal 5 2 2 3 2 2 5 3" xfId="12660" xr:uid="{00000000-0005-0000-0000-000044260000}"/>
    <cellStyle name="Normal 5 2 2 3 2 2 5 3 2" xfId="32375" xr:uid="{00000000-0005-0000-0000-000045260000}"/>
    <cellStyle name="Normal 5 2 2 3 2 2 5 4" xfId="22518" xr:uid="{00000000-0005-0000-0000-000046260000}"/>
    <cellStyle name="Normal 5 2 2 3 2 2 6" xfId="5264" xr:uid="{00000000-0005-0000-0000-000047260000}"/>
    <cellStyle name="Normal 5 2 2 3 2 2 6 2" xfId="15124" xr:uid="{00000000-0005-0000-0000-000048260000}"/>
    <cellStyle name="Normal 5 2 2 3 2 2 6 2 2" xfId="34839" xr:uid="{00000000-0005-0000-0000-000049260000}"/>
    <cellStyle name="Normal 5 2 2 3 2 2 6 3" xfId="24982" xr:uid="{00000000-0005-0000-0000-00004A260000}"/>
    <cellStyle name="Normal 5 2 2 3 2 2 7" xfId="10196" xr:uid="{00000000-0005-0000-0000-00004B260000}"/>
    <cellStyle name="Normal 5 2 2 3 2 2 7 2" xfId="29911" xr:uid="{00000000-0005-0000-0000-00004C260000}"/>
    <cellStyle name="Normal 5 2 2 3 2 2 8" xfId="20054" xr:uid="{00000000-0005-0000-0000-00004D260000}"/>
    <cellStyle name="Normal 5 2 2 3 2 3" xfId="476" xr:uid="{00000000-0005-0000-0000-00004E260000}"/>
    <cellStyle name="Normal 5 2 2 3 2 3 2" xfId="1096" xr:uid="{00000000-0005-0000-0000-00004F260000}"/>
    <cellStyle name="Normal 5 2 2 3 2 3 2 2" xfId="2331" xr:uid="{00000000-0005-0000-0000-000050260000}"/>
    <cellStyle name="Normal 5 2 2 3 2 3 2 2 2" xfId="4798" xr:uid="{00000000-0005-0000-0000-000051260000}"/>
    <cellStyle name="Normal 5 2 2 3 2 3 2 2 2 2" xfId="9730" xr:uid="{00000000-0005-0000-0000-000052260000}"/>
    <cellStyle name="Normal 5 2 2 3 2 3 2 2 2 2 2" xfId="19590" xr:uid="{00000000-0005-0000-0000-000053260000}"/>
    <cellStyle name="Normal 5 2 2 3 2 3 2 2 2 2 2 2" xfId="39305" xr:uid="{00000000-0005-0000-0000-000054260000}"/>
    <cellStyle name="Normal 5 2 2 3 2 3 2 2 2 2 3" xfId="29448" xr:uid="{00000000-0005-0000-0000-000055260000}"/>
    <cellStyle name="Normal 5 2 2 3 2 3 2 2 2 3" xfId="14662" xr:uid="{00000000-0005-0000-0000-000056260000}"/>
    <cellStyle name="Normal 5 2 2 3 2 3 2 2 2 3 2" xfId="34377" xr:uid="{00000000-0005-0000-0000-000057260000}"/>
    <cellStyle name="Normal 5 2 2 3 2 3 2 2 2 4" xfId="24520" xr:uid="{00000000-0005-0000-0000-000058260000}"/>
    <cellStyle name="Normal 5 2 2 3 2 3 2 2 3" xfId="7266" xr:uid="{00000000-0005-0000-0000-000059260000}"/>
    <cellStyle name="Normal 5 2 2 3 2 3 2 2 3 2" xfId="17126" xr:uid="{00000000-0005-0000-0000-00005A260000}"/>
    <cellStyle name="Normal 5 2 2 3 2 3 2 2 3 2 2" xfId="36841" xr:uid="{00000000-0005-0000-0000-00005B260000}"/>
    <cellStyle name="Normal 5 2 2 3 2 3 2 2 3 3" xfId="26984" xr:uid="{00000000-0005-0000-0000-00005C260000}"/>
    <cellStyle name="Normal 5 2 2 3 2 3 2 2 4" xfId="12198" xr:uid="{00000000-0005-0000-0000-00005D260000}"/>
    <cellStyle name="Normal 5 2 2 3 2 3 2 2 4 2" xfId="31913" xr:uid="{00000000-0005-0000-0000-00005E260000}"/>
    <cellStyle name="Normal 5 2 2 3 2 3 2 2 5" xfId="22056" xr:uid="{00000000-0005-0000-0000-00005F260000}"/>
    <cellStyle name="Normal 5 2 2 3 2 3 2 3" xfId="3566" xr:uid="{00000000-0005-0000-0000-000060260000}"/>
    <cellStyle name="Normal 5 2 2 3 2 3 2 3 2" xfId="8498" xr:uid="{00000000-0005-0000-0000-000061260000}"/>
    <cellStyle name="Normal 5 2 2 3 2 3 2 3 2 2" xfId="18358" xr:uid="{00000000-0005-0000-0000-000062260000}"/>
    <cellStyle name="Normal 5 2 2 3 2 3 2 3 2 2 2" xfId="38073" xr:uid="{00000000-0005-0000-0000-000063260000}"/>
    <cellStyle name="Normal 5 2 2 3 2 3 2 3 2 3" xfId="28216" xr:uid="{00000000-0005-0000-0000-000064260000}"/>
    <cellStyle name="Normal 5 2 2 3 2 3 2 3 3" xfId="13430" xr:uid="{00000000-0005-0000-0000-000065260000}"/>
    <cellStyle name="Normal 5 2 2 3 2 3 2 3 3 2" xfId="33145" xr:uid="{00000000-0005-0000-0000-000066260000}"/>
    <cellStyle name="Normal 5 2 2 3 2 3 2 3 4" xfId="23288" xr:uid="{00000000-0005-0000-0000-000067260000}"/>
    <cellStyle name="Normal 5 2 2 3 2 3 2 4" xfId="6034" xr:uid="{00000000-0005-0000-0000-000068260000}"/>
    <cellStyle name="Normal 5 2 2 3 2 3 2 4 2" xfId="15894" xr:uid="{00000000-0005-0000-0000-000069260000}"/>
    <cellStyle name="Normal 5 2 2 3 2 3 2 4 2 2" xfId="35609" xr:uid="{00000000-0005-0000-0000-00006A260000}"/>
    <cellStyle name="Normal 5 2 2 3 2 3 2 4 3" xfId="25752" xr:uid="{00000000-0005-0000-0000-00006B260000}"/>
    <cellStyle name="Normal 5 2 2 3 2 3 2 5" xfId="10966" xr:uid="{00000000-0005-0000-0000-00006C260000}"/>
    <cellStyle name="Normal 5 2 2 3 2 3 2 5 2" xfId="30681" xr:uid="{00000000-0005-0000-0000-00006D260000}"/>
    <cellStyle name="Normal 5 2 2 3 2 3 2 6" xfId="20824" xr:uid="{00000000-0005-0000-0000-00006E260000}"/>
    <cellStyle name="Normal 5 2 2 3 2 3 3" xfId="1715" xr:uid="{00000000-0005-0000-0000-00006F260000}"/>
    <cellStyle name="Normal 5 2 2 3 2 3 3 2" xfId="4182" xr:uid="{00000000-0005-0000-0000-000070260000}"/>
    <cellStyle name="Normal 5 2 2 3 2 3 3 2 2" xfId="9114" xr:uid="{00000000-0005-0000-0000-000071260000}"/>
    <cellStyle name="Normal 5 2 2 3 2 3 3 2 2 2" xfId="18974" xr:uid="{00000000-0005-0000-0000-000072260000}"/>
    <cellStyle name="Normal 5 2 2 3 2 3 3 2 2 2 2" xfId="38689" xr:uid="{00000000-0005-0000-0000-000073260000}"/>
    <cellStyle name="Normal 5 2 2 3 2 3 3 2 2 3" xfId="28832" xr:uid="{00000000-0005-0000-0000-000074260000}"/>
    <cellStyle name="Normal 5 2 2 3 2 3 3 2 3" xfId="14046" xr:uid="{00000000-0005-0000-0000-000075260000}"/>
    <cellStyle name="Normal 5 2 2 3 2 3 3 2 3 2" xfId="33761" xr:uid="{00000000-0005-0000-0000-000076260000}"/>
    <cellStyle name="Normal 5 2 2 3 2 3 3 2 4" xfId="23904" xr:uid="{00000000-0005-0000-0000-000077260000}"/>
    <cellStyle name="Normal 5 2 2 3 2 3 3 3" xfId="6650" xr:uid="{00000000-0005-0000-0000-000078260000}"/>
    <cellStyle name="Normal 5 2 2 3 2 3 3 3 2" xfId="16510" xr:uid="{00000000-0005-0000-0000-000079260000}"/>
    <cellStyle name="Normal 5 2 2 3 2 3 3 3 2 2" xfId="36225" xr:uid="{00000000-0005-0000-0000-00007A260000}"/>
    <cellStyle name="Normal 5 2 2 3 2 3 3 3 3" xfId="26368" xr:uid="{00000000-0005-0000-0000-00007B260000}"/>
    <cellStyle name="Normal 5 2 2 3 2 3 3 4" xfId="11582" xr:uid="{00000000-0005-0000-0000-00007C260000}"/>
    <cellStyle name="Normal 5 2 2 3 2 3 3 4 2" xfId="31297" xr:uid="{00000000-0005-0000-0000-00007D260000}"/>
    <cellStyle name="Normal 5 2 2 3 2 3 3 5" xfId="21440" xr:uid="{00000000-0005-0000-0000-00007E260000}"/>
    <cellStyle name="Normal 5 2 2 3 2 3 4" xfId="2950" xr:uid="{00000000-0005-0000-0000-00007F260000}"/>
    <cellStyle name="Normal 5 2 2 3 2 3 4 2" xfId="7882" xr:uid="{00000000-0005-0000-0000-000080260000}"/>
    <cellStyle name="Normal 5 2 2 3 2 3 4 2 2" xfId="17742" xr:uid="{00000000-0005-0000-0000-000081260000}"/>
    <cellStyle name="Normal 5 2 2 3 2 3 4 2 2 2" xfId="37457" xr:uid="{00000000-0005-0000-0000-000082260000}"/>
    <cellStyle name="Normal 5 2 2 3 2 3 4 2 3" xfId="27600" xr:uid="{00000000-0005-0000-0000-000083260000}"/>
    <cellStyle name="Normal 5 2 2 3 2 3 4 3" xfId="12814" xr:uid="{00000000-0005-0000-0000-000084260000}"/>
    <cellStyle name="Normal 5 2 2 3 2 3 4 3 2" xfId="32529" xr:uid="{00000000-0005-0000-0000-000085260000}"/>
    <cellStyle name="Normal 5 2 2 3 2 3 4 4" xfId="22672" xr:uid="{00000000-0005-0000-0000-000086260000}"/>
    <cellStyle name="Normal 5 2 2 3 2 3 5" xfId="5418" xr:uid="{00000000-0005-0000-0000-000087260000}"/>
    <cellStyle name="Normal 5 2 2 3 2 3 5 2" xfId="15278" xr:uid="{00000000-0005-0000-0000-000088260000}"/>
    <cellStyle name="Normal 5 2 2 3 2 3 5 2 2" xfId="34993" xr:uid="{00000000-0005-0000-0000-000089260000}"/>
    <cellStyle name="Normal 5 2 2 3 2 3 5 3" xfId="25136" xr:uid="{00000000-0005-0000-0000-00008A260000}"/>
    <cellStyle name="Normal 5 2 2 3 2 3 6" xfId="10350" xr:uid="{00000000-0005-0000-0000-00008B260000}"/>
    <cellStyle name="Normal 5 2 2 3 2 3 6 2" xfId="30065" xr:uid="{00000000-0005-0000-0000-00008C260000}"/>
    <cellStyle name="Normal 5 2 2 3 2 3 7" xfId="20208" xr:uid="{00000000-0005-0000-0000-00008D260000}"/>
    <cellStyle name="Normal 5 2 2 3 2 4" xfId="789" xr:uid="{00000000-0005-0000-0000-00008E260000}"/>
    <cellStyle name="Normal 5 2 2 3 2 4 2" xfId="2025" xr:uid="{00000000-0005-0000-0000-00008F260000}"/>
    <cellStyle name="Normal 5 2 2 3 2 4 2 2" xfId="4492" xr:uid="{00000000-0005-0000-0000-000090260000}"/>
    <cellStyle name="Normal 5 2 2 3 2 4 2 2 2" xfId="9424" xr:uid="{00000000-0005-0000-0000-000091260000}"/>
    <cellStyle name="Normal 5 2 2 3 2 4 2 2 2 2" xfId="19284" xr:uid="{00000000-0005-0000-0000-000092260000}"/>
    <cellStyle name="Normal 5 2 2 3 2 4 2 2 2 2 2" xfId="38999" xr:uid="{00000000-0005-0000-0000-000093260000}"/>
    <cellStyle name="Normal 5 2 2 3 2 4 2 2 2 3" xfId="29142" xr:uid="{00000000-0005-0000-0000-000094260000}"/>
    <cellStyle name="Normal 5 2 2 3 2 4 2 2 3" xfId="14356" xr:uid="{00000000-0005-0000-0000-000095260000}"/>
    <cellStyle name="Normal 5 2 2 3 2 4 2 2 3 2" xfId="34071" xr:uid="{00000000-0005-0000-0000-000096260000}"/>
    <cellStyle name="Normal 5 2 2 3 2 4 2 2 4" xfId="24214" xr:uid="{00000000-0005-0000-0000-000097260000}"/>
    <cellStyle name="Normal 5 2 2 3 2 4 2 3" xfId="6960" xr:uid="{00000000-0005-0000-0000-000098260000}"/>
    <cellStyle name="Normal 5 2 2 3 2 4 2 3 2" xfId="16820" xr:uid="{00000000-0005-0000-0000-000099260000}"/>
    <cellStyle name="Normal 5 2 2 3 2 4 2 3 2 2" xfId="36535" xr:uid="{00000000-0005-0000-0000-00009A260000}"/>
    <cellStyle name="Normal 5 2 2 3 2 4 2 3 3" xfId="26678" xr:uid="{00000000-0005-0000-0000-00009B260000}"/>
    <cellStyle name="Normal 5 2 2 3 2 4 2 4" xfId="11892" xr:uid="{00000000-0005-0000-0000-00009C260000}"/>
    <cellStyle name="Normal 5 2 2 3 2 4 2 4 2" xfId="31607" xr:uid="{00000000-0005-0000-0000-00009D260000}"/>
    <cellStyle name="Normal 5 2 2 3 2 4 2 5" xfId="21750" xr:uid="{00000000-0005-0000-0000-00009E260000}"/>
    <cellStyle name="Normal 5 2 2 3 2 4 3" xfId="3260" xr:uid="{00000000-0005-0000-0000-00009F260000}"/>
    <cellStyle name="Normal 5 2 2 3 2 4 3 2" xfId="8192" xr:uid="{00000000-0005-0000-0000-0000A0260000}"/>
    <cellStyle name="Normal 5 2 2 3 2 4 3 2 2" xfId="18052" xr:uid="{00000000-0005-0000-0000-0000A1260000}"/>
    <cellStyle name="Normal 5 2 2 3 2 4 3 2 2 2" xfId="37767" xr:uid="{00000000-0005-0000-0000-0000A2260000}"/>
    <cellStyle name="Normal 5 2 2 3 2 4 3 2 3" xfId="27910" xr:uid="{00000000-0005-0000-0000-0000A3260000}"/>
    <cellStyle name="Normal 5 2 2 3 2 4 3 3" xfId="13124" xr:uid="{00000000-0005-0000-0000-0000A4260000}"/>
    <cellStyle name="Normal 5 2 2 3 2 4 3 3 2" xfId="32839" xr:uid="{00000000-0005-0000-0000-0000A5260000}"/>
    <cellStyle name="Normal 5 2 2 3 2 4 3 4" xfId="22982" xr:uid="{00000000-0005-0000-0000-0000A6260000}"/>
    <cellStyle name="Normal 5 2 2 3 2 4 4" xfId="5728" xr:uid="{00000000-0005-0000-0000-0000A7260000}"/>
    <cellStyle name="Normal 5 2 2 3 2 4 4 2" xfId="15588" xr:uid="{00000000-0005-0000-0000-0000A8260000}"/>
    <cellStyle name="Normal 5 2 2 3 2 4 4 2 2" xfId="35303" xr:uid="{00000000-0005-0000-0000-0000A9260000}"/>
    <cellStyle name="Normal 5 2 2 3 2 4 4 3" xfId="25446" xr:uid="{00000000-0005-0000-0000-0000AA260000}"/>
    <cellStyle name="Normal 5 2 2 3 2 4 5" xfId="10660" xr:uid="{00000000-0005-0000-0000-0000AB260000}"/>
    <cellStyle name="Normal 5 2 2 3 2 4 5 2" xfId="30375" xr:uid="{00000000-0005-0000-0000-0000AC260000}"/>
    <cellStyle name="Normal 5 2 2 3 2 4 6" xfId="20518" xr:uid="{00000000-0005-0000-0000-0000AD260000}"/>
    <cellStyle name="Normal 5 2 2 3 2 5" xfId="1409" xr:uid="{00000000-0005-0000-0000-0000AE260000}"/>
    <cellStyle name="Normal 5 2 2 3 2 5 2" xfId="3876" xr:uid="{00000000-0005-0000-0000-0000AF260000}"/>
    <cellStyle name="Normal 5 2 2 3 2 5 2 2" xfId="8808" xr:uid="{00000000-0005-0000-0000-0000B0260000}"/>
    <cellStyle name="Normal 5 2 2 3 2 5 2 2 2" xfId="18668" xr:uid="{00000000-0005-0000-0000-0000B1260000}"/>
    <cellStyle name="Normal 5 2 2 3 2 5 2 2 2 2" xfId="38383" xr:uid="{00000000-0005-0000-0000-0000B2260000}"/>
    <cellStyle name="Normal 5 2 2 3 2 5 2 2 3" xfId="28526" xr:uid="{00000000-0005-0000-0000-0000B3260000}"/>
    <cellStyle name="Normal 5 2 2 3 2 5 2 3" xfId="13740" xr:uid="{00000000-0005-0000-0000-0000B4260000}"/>
    <cellStyle name="Normal 5 2 2 3 2 5 2 3 2" xfId="33455" xr:uid="{00000000-0005-0000-0000-0000B5260000}"/>
    <cellStyle name="Normal 5 2 2 3 2 5 2 4" xfId="23598" xr:uid="{00000000-0005-0000-0000-0000B6260000}"/>
    <cellStyle name="Normal 5 2 2 3 2 5 3" xfId="6344" xr:uid="{00000000-0005-0000-0000-0000B7260000}"/>
    <cellStyle name="Normal 5 2 2 3 2 5 3 2" xfId="16204" xr:uid="{00000000-0005-0000-0000-0000B8260000}"/>
    <cellStyle name="Normal 5 2 2 3 2 5 3 2 2" xfId="35919" xr:uid="{00000000-0005-0000-0000-0000B9260000}"/>
    <cellStyle name="Normal 5 2 2 3 2 5 3 3" xfId="26062" xr:uid="{00000000-0005-0000-0000-0000BA260000}"/>
    <cellStyle name="Normal 5 2 2 3 2 5 4" xfId="11276" xr:uid="{00000000-0005-0000-0000-0000BB260000}"/>
    <cellStyle name="Normal 5 2 2 3 2 5 4 2" xfId="30991" xr:uid="{00000000-0005-0000-0000-0000BC260000}"/>
    <cellStyle name="Normal 5 2 2 3 2 5 5" xfId="21134" xr:uid="{00000000-0005-0000-0000-0000BD260000}"/>
    <cellStyle name="Normal 5 2 2 3 2 6" xfId="2644" xr:uid="{00000000-0005-0000-0000-0000BE260000}"/>
    <cellStyle name="Normal 5 2 2 3 2 6 2" xfId="7576" xr:uid="{00000000-0005-0000-0000-0000BF260000}"/>
    <cellStyle name="Normal 5 2 2 3 2 6 2 2" xfId="17436" xr:uid="{00000000-0005-0000-0000-0000C0260000}"/>
    <cellStyle name="Normal 5 2 2 3 2 6 2 2 2" xfId="37151" xr:uid="{00000000-0005-0000-0000-0000C1260000}"/>
    <cellStyle name="Normal 5 2 2 3 2 6 2 3" xfId="27294" xr:uid="{00000000-0005-0000-0000-0000C2260000}"/>
    <cellStyle name="Normal 5 2 2 3 2 6 3" xfId="12508" xr:uid="{00000000-0005-0000-0000-0000C3260000}"/>
    <cellStyle name="Normal 5 2 2 3 2 6 3 2" xfId="32223" xr:uid="{00000000-0005-0000-0000-0000C4260000}"/>
    <cellStyle name="Normal 5 2 2 3 2 6 4" xfId="22366" xr:uid="{00000000-0005-0000-0000-0000C5260000}"/>
    <cellStyle name="Normal 5 2 2 3 2 7" xfId="5112" xr:uid="{00000000-0005-0000-0000-0000C6260000}"/>
    <cellStyle name="Normal 5 2 2 3 2 7 2" xfId="14972" xr:uid="{00000000-0005-0000-0000-0000C7260000}"/>
    <cellStyle name="Normal 5 2 2 3 2 7 2 2" xfId="34687" xr:uid="{00000000-0005-0000-0000-0000C8260000}"/>
    <cellStyle name="Normal 5 2 2 3 2 7 3" xfId="24830" xr:uid="{00000000-0005-0000-0000-0000C9260000}"/>
    <cellStyle name="Normal 5 2 2 3 2 8" xfId="10044" xr:uid="{00000000-0005-0000-0000-0000CA260000}"/>
    <cellStyle name="Normal 5 2 2 3 2 8 2" xfId="29759" xr:uid="{00000000-0005-0000-0000-0000CB260000}"/>
    <cellStyle name="Normal 5 2 2 3 2 9" xfId="19902" xr:uid="{00000000-0005-0000-0000-0000CC260000}"/>
    <cellStyle name="Normal 5 2 2 3 3" xfId="238" xr:uid="{00000000-0005-0000-0000-0000CD260000}"/>
    <cellStyle name="Normal 5 2 2 3 3 2" xfId="552" xr:uid="{00000000-0005-0000-0000-0000CE260000}"/>
    <cellStyle name="Normal 5 2 2 3 3 2 2" xfId="1172" xr:uid="{00000000-0005-0000-0000-0000CF260000}"/>
    <cellStyle name="Normal 5 2 2 3 3 2 2 2" xfId="2407" xr:uid="{00000000-0005-0000-0000-0000D0260000}"/>
    <cellStyle name="Normal 5 2 2 3 3 2 2 2 2" xfId="4874" xr:uid="{00000000-0005-0000-0000-0000D1260000}"/>
    <cellStyle name="Normal 5 2 2 3 3 2 2 2 2 2" xfId="9806" xr:uid="{00000000-0005-0000-0000-0000D2260000}"/>
    <cellStyle name="Normal 5 2 2 3 3 2 2 2 2 2 2" xfId="19666" xr:uid="{00000000-0005-0000-0000-0000D3260000}"/>
    <cellStyle name="Normal 5 2 2 3 3 2 2 2 2 2 2 2" xfId="39381" xr:uid="{00000000-0005-0000-0000-0000D4260000}"/>
    <cellStyle name="Normal 5 2 2 3 3 2 2 2 2 2 3" xfId="29524" xr:uid="{00000000-0005-0000-0000-0000D5260000}"/>
    <cellStyle name="Normal 5 2 2 3 3 2 2 2 2 3" xfId="14738" xr:uid="{00000000-0005-0000-0000-0000D6260000}"/>
    <cellStyle name="Normal 5 2 2 3 3 2 2 2 2 3 2" xfId="34453" xr:uid="{00000000-0005-0000-0000-0000D7260000}"/>
    <cellStyle name="Normal 5 2 2 3 3 2 2 2 2 4" xfId="24596" xr:uid="{00000000-0005-0000-0000-0000D8260000}"/>
    <cellStyle name="Normal 5 2 2 3 3 2 2 2 3" xfId="7342" xr:uid="{00000000-0005-0000-0000-0000D9260000}"/>
    <cellStyle name="Normal 5 2 2 3 3 2 2 2 3 2" xfId="17202" xr:uid="{00000000-0005-0000-0000-0000DA260000}"/>
    <cellStyle name="Normal 5 2 2 3 3 2 2 2 3 2 2" xfId="36917" xr:uid="{00000000-0005-0000-0000-0000DB260000}"/>
    <cellStyle name="Normal 5 2 2 3 3 2 2 2 3 3" xfId="27060" xr:uid="{00000000-0005-0000-0000-0000DC260000}"/>
    <cellStyle name="Normal 5 2 2 3 3 2 2 2 4" xfId="12274" xr:uid="{00000000-0005-0000-0000-0000DD260000}"/>
    <cellStyle name="Normal 5 2 2 3 3 2 2 2 4 2" xfId="31989" xr:uid="{00000000-0005-0000-0000-0000DE260000}"/>
    <cellStyle name="Normal 5 2 2 3 3 2 2 2 5" xfId="22132" xr:uid="{00000000-0005-0000-0000-0000DF260000}"/>
    <cellStyle name="Normal 5 2 2 3 3 2 2 3" xfId="3642" xr:uid="{00000000-0005-0000-0000-0000E0260000}"/>
    <cellStyle name="Normal 5 2 2 3 3 2 2 3 2" xfId="8574" xr:uid="{00000000-0005-0000-0000-0000E1260000}"/>
    <cellStyle name="Normal 5 2 2 3 3 2 2 3 2 2" xfId="18434" xr:uid="{00000000-0005-0000-0000-0000E2260000}"/>
    <cellStyle name="Normal 5 2 2 3 3 2 2 3 2 2 2" xfId="38149" xr:uid="{00000000-0005-0000-0000-0000E3260000}"/>
    <cellStyle name="Normal 5 2 2 3 3 2 2 3 2 3" xfId="28292" xr:uid="{00000000-0005-0000-0000-0000E4260000}"/>
    <cellStyle name="Normal 5 2 2 3 3 2 2 3 3" xfId="13506" xr:uid="{00000000-0005-0000-0000-0000E5260000}"/>
    <cellStyle name="Normal 5 2 2 3 3 2 2 3 3 2" xfId="33221" xr:uid="{00000000-0005-0000-0000-0000E6260000}"/>
    <cellStyle name="Normal 5 2 2 3 3 2 2 3 4" xfId="23364" xr:uid="{00000000-0005-0000-0000-0000E7260000}"/>
    <cellStyle name="Normal 5 2 2 3 3 2 2 4" xfId="6110" xr:uid="{00000000-0005-0000-0000-0000E8260000}"/>
    <cellStyle name="Normal 5 2 2 3 3 2 2 4 2" xfId="15970" xr:uid="{00000000-0005-0000-0000-0000E9260000}"/>
    <cellStyle name="Normal 5 2 2 3 3 2 2 4 2 2" xfId="35685" xr:uid="{00000000-0005-0000-0000-0000EA260000}"/>
    <cellStyle name="Normal 5 2 2 3 3 2 2 4 3" xfId="25828" xr:uid="{00000000-0005-0000-0000-0000EB260000}"/>
    <cellStyle name="Normal 5 2 2 3 3 2 2 5" xfId="11042" xr:uid="{00000000-0005-0000-0000-0000EC260000}"/>
    <cellStyle name="Normal 5 2 2 3 3 2 2 5 2" xfId="30757" xr:uid="{00000000-0005-0000-0000-0000ED260000}"/>
    <cellStyle name="Normal 5 2 2 3 3 2 2 6" xfId="20900" xr:uid="{00000000-0005-0000-0000-0000EE260000}"/>
    <cellStyle name="Normal 5 2 2 3 3 2 3" xfId="1791" xr:uid="{00000000-0005-0000-0000-0000EF260000}"/>
    <cellStyle name="Normal 5 2 2 3 3 2 3 2" xfId="4258" xr:uid="{00000000-0005-0000-0000-0000F0260000}"/>
    <cellStyle name="Normal 5 2 2 3 3 2 3 2 2" xfId="9190" xr:uid="{00000000-0005-0000-0000-0000F1260000}"/>
    <cellStyle name="Normal 5 2 2 3 3 2 3 2 2 2" xfId="19050" xr:uid="{00000000-0005-0000-0000-0000F2260000}"/>
    <cellStyle name="Normal 5 2 2 3 3 2 3 2 2 2 2" xfId="38765" xr:uid="{00000000-0005-0000-0000-0000F3260000}"/>
    <cellStyle name="Normal 5 2 2 3 3 2 3 2 2 3" xfId="28908" xr:uid="{00000000-0005-0000-0000-0000F4260000}"/>
    <cellStyle name="Normal 5 2 2 3 3 2 3 2 3" xfId="14122" xr:uid="{00000000-0005-0000-0000-0000F5260000}"/>
    <cellStyle name="Normal 5 2 2 3 3 2 3 2 3 2" xfId="33837" xr:uid="{00000000-0005-0000-0000-0000F6260000}"/>
    <cellStyle name="Normal 5 2 2 3 3 2 3 2 4" xfId="23980" xr:uid="{00000000-0005-0000-0000-0000F7260000}"/>
    <cellStyle name="Normal 5 2 2 3 3 2 3 3" xfId="6726" xr:uid="{00000000-0005-0000-0000-0000F8260000}"/>
    <cellStyle name="Normal 5 2 2 3 3 2 3 3 2" xfId="16586" xr:uid="{00000000-0005-0000-0000-0000F9260000}"/>
    <cellStyle name="Normal 5 2 2 3 3 2 3 3 2 2" xfId="36301" xr:uid="{00000000-0005-0000-0000-0000FA260000}"/>
    <cellStyle name="Normal 5 2 2 3 3 2 3 3 3" xfId="26444" xr:uid="{00000000-0005-0000-0000-0000FB260000}"/>
    <cellStyle name="Normal 5 2 2 3 3 2 3 4" xfId="11658" xr:uid="{00000000-0005-0000-0000-0000FC260000}"/>
    <cellStyle name="Normal 5 2 2 3 3 2 3 4 2" xfId="31373" xr:uid="{00000000-0005-0000-0000-0000FD260000}"/>
    <cellStyle name="Normal 5 2 2 3 3 2 3 5" xfId="21516" xr:uid="{00000000-0005-0000-0000-0000FE260000}"/>
    <cellStyle name="Normal 5 2 2 3 3 2 4" xfId="3026" xr:uid="{00000000-0005-0000-0000-0000FF260000}"/>
    <cellStyle name="Normal 5 2 2 3 3 2 4 2" xfId="7958" xr:uid="{00000000-0005-0000-0000-000000270000}"/>
    <cellStyle name="Normal 5 2 2 3 3 2 4 2 2" xfId="17818" xr:uid="{00000000-0005-0000-0000-000001270000}"/>
    <cellStyle name="Normal 5 2 2 3 3 2 4 2 2 2" xfId="37533" xr:uid="{00000000-0005-0000-0000-000002270000}"/>
    <cellStyle name="Normal 5 2 2 3 3 2 4 2 3" xfId="27676" xr:uid="{00000000-0005-0000-0000-000003270000}"/>
    <cellStyle name="Normal 5 2 2 3 3 2 4 3" xfId="12890" xr:uid="{00000000-0005-0000-0000-000004270000}"/>
    <cellStyle name="Normal 5 2 2 3 3 2 4 3 2" xfId="32605" xr:uid="{00000000-0005-0000-0000-000005270000}"/>
    <cellStyle name="Normal 5 2 2 3 3 2 4 4" xfId="22748" xr:uid="{00000000-0005-0000-0000-000006270000}"/>
    <cellStyle name="Normal 5 2 2 3 3 2 5" xfId="5494" xr:uid="{00000000-0005-0000-0000-000007270000}"/>
    <cellStyle name="Normal 5 2 2 3 3 2 5 2" xfId="15354" xr:uid="{00000000-0005-0000-0000-000008270000}"/>
    <cellStyle name="Normal 5 2 2 3 3 2 5 2 2" xfId="35069" xr:uid="{00000000-0005-0000-0000-000009270000}"/>
    <cellStyle name="Normal 5 2 2 3 3 2 5 3" xfId="25212" xr:uid="{00000000-0005-0000-0000-00000A270000}"/>
    <cellStyle name="Normal 5 2 2 3 3 2 6" xfId="10426" xr:uid="{00000000-0005-0000-0000-00000B270000}"/>
    <cellStyle name="Normal 5 2 2 3 3 2 6 2" xfId="30141" xr:uid="{00000000-0005-0000-0000-00000C270000}"/>
    <cellStyle name="Normal 5 2 2 3 3 2 7" xfId="20284" xr:uid="{00000000-0005-0000-0000-00000D270000}"/>
    <cellStyle name="Normal 5 2 2 3 3 3" xfId="865" xr:uid="{00000000-0005-0000-0000-00000E270000}"/>
    <cellStyle name="Normal 5 2 2 3 3 3 2" xfId="2101" xr:uid="{00000000-0005-0000-0000-00000F270000}"/>
    <cellStyle name="Normal 5 2 2 3 3 3 2 2" xfId="4568" xr:uid="{00000000-0005-0000-0000-000010270000}"/>
    <cellStyle name="Normal 5 2 2 3 3 3 2 2 2" xfId="9500" xr:uid="{00000000-0005-0000-0000-000011270000}"/>
    <cellStyle name="Normal 5 2 2 3 3 3 2 2 2 2" xfId="19360" xr:uid="{00000000-0005-0000-0000-000012270000}"/>
    <cellStyle name="Normal 5 2 2 3 3 3 2 2 2 2 2" xfId="39075" xr:uid="{00000000-0005-0000-0000-000013270000}"/>
    <cellStyle name="Normal 5 2 2 3 3 3 2 2 2 3" xfId="29218" xr:uid="{00000000-0005-0000-0000-000014270000}"/>
    <cellStyle name="Normal 5 2 2 3 3 3 2 2 3" xfId="14432" xr:uid="{00000000-0005-0000-0000-000015270000}"/>
    <cellStyle name="Normal 5 2 2 3 3 3 2 2 3 2" xfId="34147" xr:uid="{00000000-0005-0000-0000-000016270000}"/>
    <cellStyle name="Normal 5 2 2 3 3 3 2 2 4" xfId="24290" xr:uid="{00000000-0005-0000-0000-000017270000}"/>
    <cellStyle name="Normal 5 2 2 3 3 3 2 3" xfId="7036" xr:uid="{00000000-0005-0000-0000-000018270000}"/>
    <cellStyle name="Normal 5 2 2 3 3 3 2 3 2" xfId="16896" xr:uid="{00000000-0005-0000-0000-000019270000}"/>
    <cellStyle name="Normal 5 2 2 3 3 3 2 3 2 2" xfId="36611" xr:uid="{00000000-0005-0000-0000-00001A270000}"/>
    <cellStyle name="Normal 5 2 2 3 3 3 2 3 3" xfId="26754" xr:uid="{00000000-0005-0000-0000-00001B270000}"/>
    <cellStyle name="Normal 5 2 2 3 3 3 2 4" xfId="11968" xr:uid="{00000000-0005-0000-0000-00001C270000}"/>
    <cellStyle name="Normal 5 2 2 3 3 3 2 4 2" xfId="31683" xr:uid="{00000000-0005-0000-0000-00001D270000}"/>
    <cellStyle name="Normal 5 2 2 3 3 3 2 5" xfId="21826" xr:uid="{00000000-0005-0000-0000-00001E270000}"/>
    <cellStyle name="Normal 5 2 2 3 3 3 3" xfId="3336" xr:uid="{00000000-0005-0000-0000-00001F270000}"/>
    <cellStyle name="Normal 5 2 2 3 3 3 3 2" xfId="8268" xr:uid="{00000000-0005-0000-0000-000020270000}"/>
    <cellStyle name="Normal 5 2 2 3 3 3 3 2 2" xfId="18128" xr:uid="{00000000-0005-0000-0000-000021270000}"/>
    <cellStyle name="Normal 5 2 2 3 3 3 3 2 2 2" xfId="37843" xr:uid="{00000000-0005-0000-0000-000022270000}"/>
    <cellStyle name="Normal 5 2 2 3 3 3 3 2 3" xfId="27986" xr:uid="{00000000-0005-0000-0000-000023270000}"/>
    <cellStyle name="Normal 5 2 2 3 3 3 3 3" xfId="13200" xr:uid="{00000000-0005-0000-0000-000024270000}"/>
    <cellStyle name="Normal 5 2 2 3 3 3 3 3 2" xfId="32915" xr:uid="{00000000-0005-0000-0000-000025270000}"/>
    <cellStyle name="Normal 5 2 2 3 3 3 3 4" xfId="23058" xr:uid="{00000000-0005-0000-0000-000026270000}"/>
    <cellStyle name="Normal 5 2 2 3 3 3 4" xfId="5804" xr:uid="{00000000-0005-0000-0000-000027270000}"/>
    <cellStyle name="Normal 5 2 2 3 3 3 4 2" xfId="15664" xr:uid="{00000000-0005-0000-0000-000028270000}"/>
    <cellStyle name="Normal 5 2 2 3 3 3 4 2 2" xfId="35379" xr:uid="{00000000-0005-0000-0000-000029270000}"/>
    <cellStyle name="Normal 5 2 2 3 3 3 4 3" xfId="25522" xr:uid="{00000000-0005-0000-0000-00002A270000}"/>
    <cellStyle name="Normal 5 2 2 3 3 3 5" xfId="10736" xr:uid="{00000000-0005-0000-0000-00002B270000}"/>
    <cellStyle name="Normal 5 2 2 3 3 3 5 2" xfId="30451" xr:uid="{00000000-0005-0000-0000-00002C270000}"/>
    <cellStyle name="Normal 5 2 2 3 3 3 6" xfId="20594" xr:uid="{00000000-0005-0000-0000-00002D270000}"/>
    <cellStyle name="Normal 5 2 2 3 3 4" xfId="1485" xr:uid="{00000000-0005-0000-0000-00002E270000}"/>
    <cellStyle name="Normal 5 2 2 3 3 4 2" xfId="3952" xr:uid="{00000000-0005-0000-0000-00002F270000}"/>
    <cellStyle name="Normal 5 2 2 3 3 4 2 2" xfId="8884" xr:uid="{00000000-0005-0000-0000-000030270000}"/>
    <cellStyle name="Normal 5 2 2 3 3 4 2 2 2" xfId="18744" xr:uid="{00000000-0005-0000-0000-000031270000}"/>
    <cellStyle name="Normal 5 2 2 3 3 4 2 2 2 2" xfId="38459" xr:uid="{00000000-0005-0000-0000-000032270000}"/>
    <cellStyle name="Normal 5 2 2 3 3 4 2 2 3" xfId="28602" xr:uid="{00000000-0005-0000-0000-000033270000}"/>
    <cellStyle name="Normal 5 2 2 3 3 4 2 3" xfId="13816" xr:uid="{00000000-0005-0000-0000-000034270000}"/>
    <cellStyle name="Normal 5 2 2 3 3 4 2 3 2" xfId="33531" xr:uid="{00000000-0005-0000-0000-000035270000}"/>
    <cellStyle name="Normal 5 2 2 3 3 4 2 4" xfId="23674" xr:uid="{00000000-0005-0000-0000-000036270000}"/>
    <cellStyle name="Normal 5 2 2 3 3 4 3" xfId="6420" xr:uid="{00000000-0005-0000-0000-000037270000}"/>
    <cellStyle name="Normal 5 2 2 3 3 4 3 2" xfId="16280" xr:uid="{00000000-0005-0000-0000-000038270000}"/>
    <cellStyle name="Normal 5 2 2 3 3 4 3 2 2" xfId="35995" xr:uid="{00000000-0005-0000-0000-000039270000}"/>
    <cellStyle name="Normal 5 2 2 3 3 4 3 3" xfId="26138" xr:uid="{00000000-0005-0000-0000-00003A270000}"/>
    <cellStyle name="Normal 5 2 2 3 3 4 4" xfId="11352" xr:uid="{00000000-0005-0000-0000-00003B270000}"/>
    <cellStyle name="Normal 5 2 2 3 3 4 4 2" xfId="31067" xr:uid="{00000000-0005-0000-0000-00003C270000}"/>
    <cellStyle name="Normal 5 2 2 3 3 4 5" xfId="21210" xr:uid="{00000000-0005-0000-0000-00003D270000}"/>
    <cellStyle name="Normal 5 2 2 3 3 5" xfId="2720" xr:uid="{00000000-0005-0000-0000-00003E270000}"/>
    <cellStyle name="Normal 5 2 2 3 3 5 2" xfId="7652" xr:uid="{00000000-0005-0000-0000-00003F270000}"/>
    <cellStyle name="Normal 5 2 2 3 3 5 2 2" xfId="17512" xr:uid="{00000000-0005-0000-0000-000040270000}"/>
    <cellStyle name="Normal 5 2 2 3 3 5 2 2 2" xfId="37227" xr:uid="{00000000-0005-0000-0000-000041270000}"/>
    <cellStyle name="Normal 5 2 2 3 3 5 2 3" xfId="27370" xr:uid="{00000000-0005-0000-0000-000042270000}"/>
    <cellStyle name="Normal 5 2 2 3 3 5 3" xfId="12584" xr:uid="{00000000-0005-0000-0000-000043270000}"/>
    <cellStyle name="Normal 5 2 2 3 3 5 3 2" xfId="32299" xr:uid="{00000000-0005-0000-0000-000044270000}"/>
    <cellStyle name="Normal 5 2 2 3 3 5 4" xfId="22442" xr:uid="{00000000-0005-0000-0000-000045270000}"/>
    <cellStyle name="Normal 5 2 2 3 3 6" xfId="5188" xr:uid="{00000000-0005-0000-0000-000046270000}"/>
    <cellStyle name="Normal 5 2 2 3 3 6 2" xfId="15048" xr:uid="{00000000-0005-0000-0000-000047270000}"/>
    <cellStyle name="Normal 5 2 2 3 3 6 2 2" xfId="34763" xr:uid="{00000000-0005-0000-0000-000048270000}"/>
    <cellStyle name="Normal 5 2 2 3 3 6 3" xfId="24906" xr:uid="{00000000-0005-0000-0000-000049270000}"/>
    <cellStyle name="Normal 5 2 2 3 3 7" xfId="10120" xr:uid="{00000000-0005-0000-0000-00004A270000}"/>
    <cellStyle name="Normal 5 2 2 3 3 7 2" xfId="29835" xr:uid="{00000000-0005-0000-0000-00004B270000}"/>
    <cellStyle name="Normal 5 2 2 3 3 8" xfId="19978" xr:uid="{00000000-0005-0000-0000-00004C270000}"/>
    <cellStyle name="Normal 5 2 2 3 4" xfId="400" xr:uid="{00000000-0005-0000-0000-00004D270000}"/>
    <cellStyle name="Normal 5 2 2 3 4 2" xfId="1020" xr:uid="{00000000-0005-0000-0000-00004E270000}"/>
    <cellStyle name="Normal 5 2 2 3 4 2 2" xfId="2255" xr:uid="{00000000-0005-0000-0000-00004F270000}"/>
    <cellStyle name="Normal 5 2 2 3 4 2 2 2" xfId="4722" xr:uid="{00000000-0005-0000-0000-000050270000}"/>
    <cellStyle name="Normal 5 2 2 3 4 2 2 2 2" xfId="9654" xr:uid="{00000000-0005-0000-0000-000051270000}"/>
    <cellStyle name="Normal 5 2 2 3 4 2 2 2 2 2" xfId="19514" xr:uid="{00000000-0005-0000-0000-000052270000}"/>
    <cellStyle name="Normal 5 2 2 3 4 2 2 2 2 2 2" xfId="39229" xr:uid="{00000000-0005-0000-0000-000053270000}"/>
    <cellStyle name="Normal 5 2 2 3 4 2 2 2 2 3" xfId="29372" xr:uid="{00000000-0005-0000-0000-000054270000}"/>
    <cellStyle name="Normal 5 2 2 3 4 2 2 2 3" xfId="14586" xr:uid="{00000000-0005-0000-0000-000055270000}"/>
    <cellStyle name="Normal 5 2 2 3 4 2 2 2 3 2" xfId="34301" xr:uid="{00000000-0005-0000-0000-000056270000}"/>
    <cellStyle name="Normal 5 2 2 3 4 2 2 2 4" xfId="24444" xr:uid="{00000000-0005-0000-0000-000057270000}"/>
    <cellStyle name="Normal 5 2 2 3 4 2 2 3" xfId="7190" xr:uid="{00000000-0005-0000-0000-000058270000}"/>
    <cellStyle name="Normal 5 2 2 3 4 2 2 3 2" xfId="17050" xr:uid="{00000000-0005-0000-0000-000059270000}"/>
    <cellStyle name="Normal 5 2 2 3 4 2 2 3 2 2" xfId="36765" xr:uid="{00000000-0005-0000-0000-00005A270000}"/>
    <cellStyle name="Normal 5 2 2 3 4 2 2 3 3" xfId="26908" xr:uid="{00000000-0005-0000-0000-00005B270000}"/>
    <cellStyle name="Normal 5 2 2 3 4 2 2 4" xfId="12122" xr:uid="{00000000-0005-0000-0000-00005C270000}"/>
    <cellStyle name="Normal 5 2 2 3 4 2 2 4 2" xfId="31837" xr:uid="{00000000-0005-0000-0000-00005D270000}"/>
    <cellStyle name="Normal 5 2 2 3 4 2 2 5" xfId="21980" xr:uid="{00000000-0005-0000-0000-00005E270000}"/>
    <cellStyle name="Normal 5 2 2 3 4 2 3" xfId="3490" xr:uid="{00000000-0005-0000-0000-00005F270000}"/>
    <cellStyle name="Normal 5 2 2 3 4 2 3 2" xfId="8422" xr:uid="{00000000-0005-0000-0000-000060270000}"/>
    <cellStyle name="Normal 5 2 2 3 4 2 3 2 2" xfId="18282" xr:uid="{00000000-0005-0000-0000-000061270000}"/>
    <cellStyle name="Normal 5 2 2 3 4 2 3 2 2 2" xfId="37997" xr:uid="{00000000-0005-0000-0000-000062270000}"/>
    <cellStyle name="Normal 5 2 2 3 4 2 3 2 3" xfId="28140" xr:uid="{00000000-0005-0000-0000-000063270000}"/>
    <cellStyle name="Normal 5 2 2 3 4 2 3 3" xfId="13354" xr:uid="{00000000-0005-0000-0000-000064270000}"/>
    <cellStyle name="Normal 5 2 2 3 4 2 3 3 2" xfId="33069" xr:uid="{00000000-0005-0000-0000-000065270000}"/>
    <cellStyle name="Normal 5 2 2 3 4 2 3 4" xfId="23212" xr:uid="{00000000-0005-0000-0000-000066270000}"/>
    <cellStyle name="Normal 5 2 2 3 4 2 4" xfId="5958" xr:uid="{00000000-0005-0000-0000-000067270000}"/>
    <cellStyle name="Normal 5 2 2 3 4 2 4 2" xfId="15818" xr:uid="{00000000-0005-0000-0000-000068270000}"/>
    <cellStyle name="Normal 5 2 2 3 4 2 4 2 2" xfId="35533" xr:uid="{00000000-0005-0000-0000-000069270000}"/>
    <cellStyle name="Normal 5 2 2 3 4 2 4 3" xfId="25676" xr:uid="{00000000-0005-0000-0000-00006A270000}"/>
    <cellStyle name="Normal 5 2 2 3 4 2 5" xfId="10890" xr:uid="{00000000-0005-0000-0000-00006B270000}"/>
    <cellStyle name="Normal 5 2 2 3 4 2 5 2" xfId="30605" xr:uid="{00000000-0005-0000-0000-00006C270000}"/>
    <cellStyle name="Normal 5 2 2 3 4 2 6" xfId="20748" xr:uid="{00000000-0005-0000-0000-00006D270000}"/>
    <cellStyle name="Normal 5 2 2 3 4 3" xfId="1639" xr:uid="{00000000-0005-0000-0000-00006E270000}"/>
    <cellStyle name="Normal 5 2 2 3 4 3 2" xfId="4106" xr:uid="{00000000-0005-0000-0000-00006F270000}"/>
    <cellStyle name="Normal 5 2 2 3 4 3 2 2" xfId="9038" xr:uid="{00000000-0005-0000-0000-000070270000}"/>
    <cellStyle name="Normal 5 2 2 3 4 3 2 2 2" xfId="18898" xr:uid="{00000000-0005-0000-0000-000071270000}"/>
    <cellStyle name="Normal 5 2 2 3 4 3 2 2 2 2" xfId="38613" xr:uid="{00000000-0005-0000-0000-000072270000}"/>
    <cellStyle name="Normal 5 2 2 3 4 3 2 2 3" xfId="28756" xr:uid="{00000000-0005-0000-0000-000073270000}"/>
    <cellStyle name="Normal 5 2 2 3 4 3 2 3" xfId="13970" xr:uid="{00000000-0005-0000-0000-000074270000}"/>
    <cellStyle name="Normal 5 2 2 3 4 3 2 3 2" xfId="33685" xr:uid="{00000000-0005-0000-0000-000075270000}"/>
    <cellStyle name="Normal 5 2 2 3 4 3 2 4" xfId="23828" xr:uid="{00000000-0005-0000-0000-000076270000}"/>
    <cellStyle name="Normal 5 2 2 3 4 3 3" xfId="6574" xr:uid="{00000000-0005-0000-0000-000077270000}"/>
    <cellStyle name="Normal 5 2 2 3 4 3 3 2" xfId="16434" xr:uid="{00000000-0005-0000-0000-000078270000}"/>
    <cellStyle name="Normal 5 2 2 3 4 3 3 2 2" xfId="36149" xr:uid="{00000000-0005-0000-0000-000079270000}"/>
    <cellStyle name="Normal 5 2 2 3 4 3 3 3" xfId="26292" xr:uid="{00000000-0005-0000-0000-00007A270000}"/>
    <cellStyle name="Normal 5 2 2 3 4 3 4" xfId="11506" xr:uid="{00000000-0005-0000-0000-00007B270000}"/>
    <cellStyle name="Normal 5 2 2 3 4 3 4 2" xfId="31221" xr:uid="{00000000-0005-0000-0000-00007C270000}"/>
    <cellStyle name="Normal 5 2 2 3 4 3 5" xfId="21364" xr:uid="{00000000-0005-0000-0000-00007D270000}"/>
    <cellStyle name="Normal 5 2 2 3 4 4" xfId="2874" xr:uid="{00000000-0005-0000-0000-00007E270000}"/>
    <cellStyle name="Normal 5 2 2 3 4 4 2" xfId="7806" xr:uid="{00000000-0005-0000-0000-00007F270000}"/>
    <cellStyle name="Normal 5 2 2 3 4 4 2 2" xfId="17666" xr:uid="{00000000-0005-0000-0000-000080270000}"/>
    <cellStyle name="Normal 5 2 2 3 4 4 2 2 2" xfId="37381" xr:uid="{00000000-0005-0000-0000-000081270000}"/>
    <cellStyle name="Normal 5 2 2 3 4 4 2 3" xfId="27524" xr:uid="{00000000-0005-0000-0000-000082270000}"/>
    <cellStyle name="Normal 5 2 2 3 4 4 3" xfId="12738" xr:uid="{00000000-0005-0000-0000-000083270000}"/>
    <cellStyle name="Normal 5 2 2 3 4 4 3 2" xfId="32453" xr:uid="{00000000-0005-0000-0000-000084270000}"/>
    <cellStyle name="Normal 5 2 2 3 4 4 4" xfId="22596" xr:uid="{00000000-0005-0000-0000-000085270000}"/>
    <cellStyle name="Normal 5 2 2 3 4 5" xfId="5342" xr:uid="{00000000-0005-0000-0000-000086270000}"/>
    <cellStyle name="Normal 5 2 2 3 4 5 2" xfId="15202" xr:uid="{00000000-0005-0000-0000-000087270000}"/>
    <cellStyle name="Normal 5 2 2 3 4 5 2 2" xfId="34917" xr:uid="{00000000-0005-0000-0000-000088270000}"/>
    <cellStyle name="Normal 5 2 2 3 4 5 3" xfId="25060" xr:uid="{00000000-0005-0000-0000-000089270000}"/>
    <cellStyle name="Normal 5 2 2 3 4 6" xfId="10274" xr:uid="{00000000-0005-0000-0000-00008A270000}"/>
    <cellStyle name="Normal 5 2 2 3 4 6 2" xfId="29989" xr:uid="{00000000-0005-0000-0000-00008B270000}"/>
    <cellStyle name="Normal 5 2 2 3 4 7" xfId="20132" xr:uid="{00000000-0005-0000-0000-00008C270000}"/>
    <cellStyle name="Normal 5 2 2 3 5" xfId="713" xr:uid="{00000000-0005-0000-0000-00008D270000}"/>
    <cellStyle name="Normal 5 2 2 3 5 2" xfId="1949" xr:uid="{00000000-0005-0000-0000-00008E270000}"/>
    <cellStyle name="Normal 5 2 2 3 5 2 2" xfId="4416" xr:uid="{00000000-0005-0000-0000-00008F270000}"/>
    <cellStyle name="Normal 5 2 2 3 5 2 2 2" xfId="9348" xr:uid="{00000000-0005-0000-0000-000090270000}"/>
    <cellStyle name="Normal 5 2 2 3 5 2 2 2 2" xfId="19208" xr:uid="{00000000-0005-0000-0000-000091270000}"/>
    <cellStyle name="Normal 5 2 2 3 5 2 2 2 2 2" xfId="38923" xr:uid="{00000000-0005-0000-0000-000092270000}"/>
    <cellStyle name="Normal 5 2 2 3 5 2 2 2 3" xfId="29066" xr:uid="{00000000-0005-0000-0000-000093270000}"/>
    <cellStyle name="Normal 5 2 2 3 5 2 2 3" xfId="14280" xr:uid="{00000000-0005-0000-0000-000094270000}"/>
    <cellStyle name="Normal 5 2 2 3 5 2 2 3 2" xfId="33995" xr:uid="{00000000-0005-0000-0000-000095270000}"/>
    <cellStyle name="Normal 5 2 2 3 5 2 2 4" xfId="24138" xr:uid="{00000000-0005-0000-0000-000096270000}"/>
    <cellStyle name="Normal 5 2 2 3 5 2 3" xfId="6884" xr:uid="{00000000-0005-0000-0000-000097270000}"/>
    <cellStyle name="Normal 5 2 2 3 5 2 3 2" xfId="16744" xr:uid="{00000000-0005-0000-0000-000098270000}"/>
    <cellStyle name="Normal 5 2 2 3 5 2 3 2 2" xfId="36459" xr:uid="{00000000-0005-0000-0000-000099270000}"/>
    <cellStyle name="Normal 5 2 2 3 5 2 3 3" xfId="26602" xr:uid="{00000000-0005-0000-0000-00009A270000}"/>
    <cellStyle name="Normal 5 2 2 3 5 2 4" xfId="11816" xr:uid="{00000000-0005-0000-0000-00009B270000}"/>
    <cellStyle name="Normal 5 2 2 3 5 2 4 2" xfId="31531" xr:uid="{00000000-0005-0000-0000-00009C270000}"/>
    <cellStyle name="Normal 5 2 2 3 5 2 5" xfId="21674" xr:uid="{00000000-0005-0000-0000-00009D270000}"/>
    <cellStyle name="Normal 5 2 2 3 5 3" xfId="3184" xr:uid="{00000000-0005-0000-0000-00009E270000}"/>
    <cellStyle name="Normal 5 2 2 3 5 3 2" xfId="8116" xr:uid="{00000000-0005-0000-0000-00009F270000}"/>
    <cellStyle name="Normal 5 2 2 3 5 3 2 2" xfId="17976" xr:uid="{00000000-0005-0000-0000-0000A0270000}"/>
    <cellStyle name="Normal 5 2 2 3 5 3 2 2 2" xfId="37691" xr:uid="{00000000-0005-0000-0000-0000A1270000}"/>
    <cellStyle name="Normal 5 2 2 3 5 3 2 3" xfId="27834" xr:uid="{00000000-0005-0000-0000-0000A2270000}"/>
    <cellStyle name="Normal 5 2 2 3 5 3 3" xfId="13048" xr:uid="{00000000-0005-0000-0000-0000A3270000}"/>
    <cellStyle name="Normal 5 2 2 3 5 3 3 2" xfId="32763" xr:uid="{00000000-0005-0000-0000-0000A4270000}"/>
    <cellStyle name="Normal 5 2 2 3 5 3 4" xfId="22906" xr:uid="{00000000-0005-0000-0000-0000A5270000}"/>
    <cellStyle name="Normal 5 2 2 3 5 4" xfId="5652" xr:uid="{00000000-0005-0000-0000-0000A6270000}"/>
    <cellStyle name="Normal 5 2 2 3 5 4 2" xfId="15512" xr:uid="{00000000-0005-0000-0000-0000A7270000}"/>
    <cellStyle name="Normal 5 2 2 3 5 4 2 2" xfId="35227" xr:uid="{00000000-0005-0000-0000-0000A8270000}"/>
    <cellStyle name="Normal 5 2 2 3 5 4 3" xfId="25370" xr:uid="{00000000-0005-0000-0000-0000A9270000}"/>
    <cellStyle name="Normal 5 2 2 3 5 5" xfId="10584" xr:uid="{00000000-0005-0000-0000-0000AA270000}"/>
    <cellStyle name="Normal 5 2 2 3 5 5 2" xfId="30299" xr:uid="{00000000-0005-0000-0000-0000AB270000}"/>
    <cellStyle name="Normal 5 2 2 3 5 6" xfId="20442" xr:uid="{00000000-0005-0000-0000-0000AC270000}"/>
    <cellStyle name="Normal 5 2 2 3 6" xfId="1333" xr:uid="{00000000-0005-0000-0000-0000AD270000}"/>
    <cellStyle name="Normal 5 2 2 3 6 2" xfId="3800" xr:uid="{00000000-0005-0000-0000-0000AE270000}"/>
    <cellStyle name="Normal 5 2 2 3 6 2 2" xfId="8732" xr:uid="{00000000-0005-0000-0000-0000AF270000}"/>
    <cellStyle name="Normal 5 2 2 3 6 2 2 2" xfId="18592" xr:uid="{00000000-0005-0000-0000-0000B0270000}"/>
    <cellStyle name="Normal 5 2 2 3 6 2 2 2 2" xfId="38307" xr:uid="{00000000-0005-0000-0000-0000B1270000}"/>
    <cellStyle name="Normal 5 2 2 3 6 2 2 3" xfId="28450" xr:uid="{00000000-0005-0000-0000-0000B2270000}"/>
    <cellStyle name="Normal 5 2 2 3 6 2 3" xfId="13664" xr:uid="{00000000-0005-0000-0000-0000B3270000}"/>
    <cellStyle name="Normal 5 2 2 3 6 2 3 2" xfId="33379" xr:uid="{00000000-0005-0000-0000-0000B4270000}"/>
    <cellStyle name="Normal 5 2 2 3 6 2 4" xfId="23522" xr:uid="{00000000-0005-0000-0000-0000B5270000}"/>
    <cellStyle name="Normal 5 2 2 3 6 3" xfId="6268" xr:uid="{00000000-0005-0000-0000-0000B6270000}"/>
    <cellStyle name="Normal 5 2 2 3 6 3 2" xfId="16128" xr:uid="{00000000-0005-0000-0000-0000B7270000}"/>
    <cellStyle name="Normal 5 2 2 3 6 3 2 2" xfId="35843" xr:uid="{00000000-0005-0000-0000-0000B8270000}"/>
    <cellStyle name="Normal 5 2 2 3 6 3 3" xfId="25986" xr:uid="{00000000-0005-0000-0000-0000B9270000}"/>
    <cellStyle name="Normal 5 2 2 3 6 4" xfId="11200" xr:uid="{00000000-0005-0000-0000-0000BA270000}"/>
    <cellStyle name="Normal 5 2 2 3 6 4 2" xfId="30915" xr:uid="{00000000-0005-0000-0000-0000BB270000}"/>
    <cellStyle name="Normal 5 2 2 3 6 5" xfId="21058" xr:uid="{00000000-0005-0000-0000-0000BC270000}"/>
    <cellStyle name="Normal 5 2 2 3 7" xfId="2568" xr:uid="{00000000-0005-0000-0000-0000BD270000}"/>
    <cellStyle name="Normal 5 2 2 3 7 2" xfId="7500" xr:uid="{00000000-0005-0000-0000-0000BE270000}"/>
    <cellStyle name="Normal 5 2 2 3 7 2 2" xfId="17360" xr:uid="{00000000-0005-0000-0000-0000BF270000}"/>
    <cellStyle name="Normal 5 2 2 3 7 2 2 2" xfId="37075" xr:uid="{00000000-0005-0000-0000-0000C0270000}"/>
    <cellStyle name="Normal 5 2 2 3 7 2 3" xfId="27218" xr:uid="{00000000-0005-0000-0000-0000C1270000}"/>
    <cellStyle name="Normal 5 2 2 3 7 3" xfId="12432" xr:uid="{00000000-0005-0000-0000-0000C2270000}"/>
    <cellStyle name="Normal 5 2 2 3 7 3 2" xfId="32147" xr:uid="{00000000-0005-0000-0000-0000C3270000}"/>
    <cellStyle name="Normal 5 2 2 3 7 4" xfId="22290" xr:uid="{00000000-0005-0000-0000-0000C4270000}"/>
    <cellStyle name="Normal 5 2 2 3 8" xfId="5036" xr:uid="{00000000-0005-0000-0000-0000C5270000}"/>
    <cellStyle name="Normal 5 2 2 3 8 2" xfId="14896" xr:uid="{00000000-0005-0000-0000-0000C6270000}"/>
    <cellStyle name="Normal 5 2 2 3 8 2 2" xfId="34611" xr:uid="{00000000-0005-0000-0000-0000C7270000}"/>
    <cellStyle name="Normal 5 2 2 3 8 3" xfId="24754" xr:uid="{00000000-0005-0000-0000-0000C8270000}"/>
    <cellStyle name="Normal 5 2 2 3 9" xfId="9968" xr:uid="{00000000-0005-0000-0000-0000C9270000}"/>
    <cellStyle name="Normal 5 2 2 3 9 2" xfId="29683" xr:uid="{00000000-0005-0000-0000-0000CA270000}"/>
    <cellStyle name="Normal 5 2 2 4" xfId="119" xr:uid="{00000000-0005-0000-0000-0000CB270000}"/>
    <cellStyle name="Normal 5 2 2 4 2" xfId="276" xr:uid="{00000000-0005-0000-0000-0000CC270000}"/>
    <cellStyle name="Normal 5 2 2 4 2 2" xfId="590" xr:uid="{00000000-0005-0000-0000-0000CD270000}"/>
    <cellStyle name="Normal 5 2 2 4 2 2 2" xfId="1210" xr:uid="{00000000-0005-0000-0000-0000CE270000}"/>
    <cellStyle name="Normal 5 2 2 4 2 2 2 2" xfId="2445" xr:uid="{00000000-0005-0000-0000-0000CF270000}"/>
    <cellStyle name="Normal 5 2 2 4 2 2 2 2 2" xfId="4912" xr:uid="{00000000-0005-0000-0000-0000D0270000}"/>
    <cellStyle name="Normal 5 2 2 4 2 2 2 2 2 2" xfId="9844" xr:uid="{00000000-0005-0000-0000-0000D1270000}"/>
    <cellStyle name="Normal 5 2 2 4 2 2 2 2 2 2 2" xfId="19704" xr:uid="{00000000-0005-0000-0000-0000D2270000}"/>
    <cellStyle name="Normal 5 2 2 4 2 2 2 2 2 2 2 2" xfId="39419" xr:uid="{00000000-0005-0000-0000-0000D3270000}"/>
    <cellStyle name="Normal 5 2 2 4 2 2 2 2 2 2 3" xfId="29562" xr:uid="{00000000-0005-0000-0000-0000D4270000}"/>
    <cellStyle name="Normal 5 2 2 4 2 2 2 2 2 3" xfId="14776" xr:uid="{00000000-0005-0000-0000-0000D5270000}"/>
    <cellStyle name="Normal 5 2 2 4 2 2 2 2 2 3 2" xfId="34491" xr:uid="{00000000-0005-0000-0000-0000D6270000}"/>
    <cellStyle name="Normal 5 2 2 4 2 2 2 2 2 4" xfId="24634" xr:uid="{00000000-0005-0000-0000-0000D7270000}"/>
    <cellStyle name="Normal 5 2 2 4 2 2 2 2 3" xfId="7380" xr:uid="{00000000-0005-0000-0000-0000D8270000}"/>
    <cellStyle name="Normal 5 2 2 4 2 2 2 2 3 2" xfId="17240" xr:uid="{00000000-0005-0000-0000-0000D9270000}"/>
    <cellStyle name="Normal 5 2 2 4 2 2 2 2 3 2 2" xfId="36955" xr:uid="{00000000-0005-0000-0000-0000DA270000}"/>
    <cellStyle name="Normal 5 2 2 4 2 2 2 2 3 3" xfId="27098" xr:uid="{00000000-0005-0000-0000-0000DB270000}"/>
    <cellStyle name="Normal 5 2 2 4 2 2 2 2 4" xfId="12312" xr:uid="{00000000-0005-0000-0000-0000DC270000}"/>
    <cellStyle name="Normal 5 2 2 4 2 2 2 2 4 2" xfId="32027" xr:uid="{00000000-0005-0000-0000-0000DD270000}"/>
    <cellStyle name="Normal 5 2 2 4 2 2 2 2 5" xfId="22170" xr:uid="{00000000-0005-0000-0000-0000DE270000}"/>
    <cellStyle name="Normal 5 2 2 4 2 2 2 3" xfId="3680" xr:uid="{00000000-0005-0000-0000-0000DF270000}"/>
    <cellStyle name="Normal 5 2 2 4 2 2 2 3 2" xfId="8612" xr:uid="{00000000-0005-0000-0000-0000E0270000}"/>
    <cellStyle name="Normal 5 2 2 4 2 2 2 3 2 2" xfId="18472" xr:uid="{00000000-0005-0000-0000-0000E1270000}"/>
    <cellStyle name="Normal 5 2 2 4 2 2 2 3 2 2 2" xfId="38187" xr:uid="{00000000-0005-0000-0000-0000E2270000}"/>
    <cellStyle name="Normal 5 2 2 4 2 2 2 3 2 3" xfId="28330" xr:uid="{00000000-0005-0000-0000-0000E3270000}"/>
    <cellStyle name="Normal 5 2 2 4 2 2 2 3 3" xfId="13544" xr:uid="{00000000-0005-0000-0000-0000E4270000}"/>
    <cellStyle name="Normal 5 2 2 4 2 2 2 3 3 2" xfId="33259" xr:uid="{00000000-0005-0000-0000-0000E5270000}"/>
    <cellStyle name="Normal 5 2 2 4 2 2 2 3 4" xfId="23402" xr:uid="{00000000-0005-0000-0000-0000E6270000}"/>
    <cellStyle name="Normal 5 2 2 4 2 2 2 4" xfId="6148" xr:uid="{00000000-0005-0000-0000-0000E7270000}"/>
    <cellStyle name="Normal 5 2 2 4 2 2 2 4 2" xfId="16008" xr:uid="{00000000-0005-0000-0000-0000E8270000}"/>
    <cellStyle name="Normal 5 2 2 4 2 2 2 4 2 2" xfId="35723" xr:uid="{00000000-0005-0000-0000-0000E9270000}"/>
    <cellStyle name="Normal 5 2 2 4 2 2 2 4 3" xfId="25866" xr:uid="{00000000-0005-0000-0000-0000EA270000}"/>
    <cellStyle name="Normal 5 2 2 4 2 2 2 5" xfId="11080" xr:uid="{00000000-0005-0000-0000-0000EB270000}"/>
    <cellStyle name="Normal 5 2 2 4 2 2 2 5 2" xfId="30795" xr:uid="{00000000-0005-0000-0000-0000EC270000}"/>
    <cellStyle name="Normal 5 2 2 4 2 2 2 6" xfId="20938" xr:uid="{00000000-0005-0000-0000-0000ED270000}"/>
    <cellStyle name="Normal 5 2 2 4 2 2 3" xfId="1829" xr:uid="{00000000-0005-0000-0000-0000EE270000}"/>
    <cellStyle name="Normal 5 2 2 4 2 2 3 2" xfId="4296" xr:uid="{00000000-0005-0000-0000-0000EF270000}"/>
    <cellStyle name="Normal 5 2 2 4 2 2 3 2 2" xfId="9228" xr:uid="{00000000-0005-0000-0000-0000F0270000}"/>
    <cellStyle name="Normal 5 2 2 4 2 2 3 2 2 2" xfId="19088" xr:uid="{00000000-0005-0000-0000-0000F1270000}"/>
    <cellStyle name="Normal 5 2 2 4 2 2 3 2 2 2 2" xfId="38803" xr:uid="{00000000-0005-0000-0000-0000F2270000}"/>
    <cellStyle name="Normal 5 2 2 4 2 2 3 2 2 3" xfId="28946" xr:uid="{00000000-0005-0000-0000-0000F3270000}"/>
    <cellStyle name="Normal 5 2 2 4 2 2 3 2 3" xfId="14160" xr:uid="{00000000-0005-0000-0000-0000F4270000}"/>
    <cellStyle name="Normal 5 2 2 4 2 2 3 2 3 2" xfId="33875" xr:uid="{00000000-0005-0000-0000-0000F5270000}"/>
    <cellStyle name="Normal 5 2 2 4 2 2 3 2 4" xfId="24018" xr:uid="{00000000-0005-0000-0000-0000F6270000}"/>
    <cellStyle name="Normal 5 2 2 4 2 2 3 3" xfId="6764" xr:uid="{00000000-0005-0000-0000-0000F7270000}"/>
    <cellStyle name="Normal 5 2 2 4 2 2 3 3 2" xfId="16624" xr:uid="{00000000-0005-0000-0000-0000F8270000}"/>
    <cellStyle name="Normal 5 2 2 4 2 2 3 3 2 2" xfId="36339" xr:uid="{00000000-0005-0000-0000-0000F9270000}"/>
    <cellStyle name="Normal 5 2 2 4 2 2 3 3 3" xfId="26482" xr:uid="{00000000-0005-0000-0000-0000FA270000}"/>
    <cellStyle name="Normal 5 2 2 4 2 2 3 4" xfId="11696" xr:uid="{00000000-0005-0000-0000-0000FB270000}"/>
    <cellStyle name="Normal 5 2 2 4 2 2 3 4 2" xfId="31411" xr:uid="{00000000-0005-0000-0000-0000FC270000}"/>
    <cellStyle name="Normal 5 2 2 4 2 2 3 5" xfId="21554" xr:uid="{00000000-0005-0000-0000-0000FD270000}"/>
    <cellStyle name="Normal 5 2 2 4 2 2 4" xfId="3064" xr:uid="{00000000-0005-0000-0000-0000FE270000}"/>
    <cellStyle name="Normal 5 2 2 4 2 2 4 2" xfId="7996" xr:uid="{00000000-0005-0000-0000-0000FF270000}"/>
    <cellStyle name="Normal 5 2 2 4 2 2 4 2 2" xfId="17856" xr:uid="{00000000-0005-0000-0000-000000280000}"/>
    <cellStyle name="Normal 5 2 2 4 2 2 4 2 2 2" xfId="37571" xr:uid="{00000000-0005-0000-0000-000001280000}"/>
    <cellStyle name="Normal 5 2 2 4 2 2 4 2 3" xfId="27714" xr:uid="{00000000-0005-0000-0000-000002280000}"/>
    <cellStyle name="Normal 5 2 2 4 2 2 4 3" xfId="12928" xr:uid="{00000000-0005-0000-0000-000003280000}"/>
    <cellStyle name="Normal 5 2 2 4 2 2 4 3 2" xfId="32643" xr:uid="{00000000-0005-0000-0000-000004280000}"/>
    <cellStyle name="Normal 5 2 2 4 2 2 4 4" xfId="22786" xr:uid="{00000000-0005-0000-0000-000005280000}"/>
    <cellStyle name="Normal 5 2 2 4 2 2 5" xfId="5532" xr:uid="{00000000-0005-0000-0000-000006280000}"/>
    <cellStyle name="Normal 5 2 2 4 2 2 5 2" xfId="15392" xr:uid="{00000000-0005-0000-0000-000007280000}"/>
    <cellStyle name="Normal 5 2 2 4 2 2 5 2 2" xfId="35107" xr:uid="{00000000-0005-0000-0000-000008280000}"/>
    <cellStyle name="Normal 5 2 2 4 2 2 5 3" xfId="25250" xr:uid="{00000000-0005-0000-0000-000009280000}"/>
    <cellStyle name="Normal 5 2 2 4 2 2 6" xfId="10464" xr:uid="{00000000-0005-0000-0000-00000A280000}"/>
    <cellStyle name="Normal 5 2 2 4 2 2 6 2" xfId="30179" xr:uid="{00000000-0005-0000-0000-00000B280000}"/>
    <cellStyle name="Normal 5 2 2 4 2 2 7" xfId="20322" xr:uid="{00000000-0005-0000-0000-00000C280000}"/>
    <cellStyle name="Normal 5 2 2 4 2 3" xfId="903" xr:uid="{00000000-0005-0000-0000-00000D280000}"/>
    <cellStyle name="Normal 5 2 2 4 2 3 2" xfId="2139" xr:uid="{00000000-0005-0000-0000-00000E280000}"/>
    <cellStyle name="Normal 5 2 2 4 2 3 2 2" xfId="4606" xr:uid="{00000000-0005-0000-0000-00000F280000}"/>
    <cellStyle name="Normal 5 2 2 4 2 3 2 2 2" xfId="9538" xr:uid="{00000000-0005-0000-0000-000010280000}"/>
    <cellStyle name="Normal 5 2 2 4 2 3 2 2 2 2" xfId="19398" xr:uid="{00000000-0005-0000-0000-000011280000}"/>
    <cellStyle name="Normal 5 2 2 4 2 3 2 2 2 2 2" xfId="39113" xr:uid="{00000000-0005-0000-0000-000012280000}"/>
    <cellStyle name="Normal 5 2 2 4 2 3 2 2 2 3" xfId="29256" xr:uid="{00000000-0005-0000-0000-000013280000}"/>
    <cellStyle name="Normal 5 2 2 4 2 3 2 2 3" xfId="14470" xr:uid="{00000000-0005-0000-0000-000014280000}"/>
    <cellStyle name="Normal 5 2 2 4 2 3 2 2 3 2" xfId="34185" xr:uid="{00000000-0005-0000-0000-000015280000}"/>
    <cellStyle name="Normal 5 2 2 4 2 3 2 2 4" xfId="24328" xr:uid="{00000000-0005-0000-0000-000016280000}"/>
    <cellStyle name="Normal 5 2 2 4 2 3 2 3" xfId="7074" xr:uid="{00000000-0005-0000-0000-000017280000}"/>
    <cellStyle name="Normal 5 2 2 4 2 3 2 3 2" xfId="16934" xr:uid="{00000000-0005-0000-0000-000018280000}"/>
    <cellStyle name="Normal 5 2 2 4 2 3 2 3 2 2" xfId="36649" xr:uid="{00000000-0005-0000-0000-000019280000}"/>
    <cellStyle name="Normal 5 2 2 4 2 3 2 3 3" xfId="26792" xr:uid="{00000000-0005-0000-0000-00001A280000}"/>
    <cellStyle name="Normal 5 2 2 4 2 3 2 4" xfId="12006" xr:uid="{00000000-0005-0000-0000-00001B280000}"/>
    <cellStyle name="Normal 5 2 2 4 2 3 2 4 2" xfId="31721" xr:uid="{00000000-0005-0000-0000-00001C280000}"/>
    <cellStyle name="Normal 5 2 2 4 2 3 2 5" xfId="21864" xr:uid="{00000000-0005-0000-0000-00001D280000}"/>
    <cellStyle name="Normal 5 2 2 4 2 3 3" xfId="3374" xr:uid="{00000000-0005-0000-0000-00001E280000}"/>
    <cellStyle name="Normal 5 2 2 4 2 3 3 2" xfId="8306" xr:uid="{00000000-0005-0000-0000-00001F280000}"/>
    <cellStyle name="Normal 5 2 2 4 2 3 3 2 2" xfId="18166" xr:uid="{00000000-0005-0000-0000-000020280000}"/>
    <cellStyle name="Normal 5 2 2 4 2 3 3 2 2 2" xfId="37881" xr:uid="{00000000-0005-0000-0000-000021280000}"/>
    <cellStyle name="Normal 5 2 2 4 2 3 3 2 3" xfId="28024" xr:uid="{00000000-0005-0000-0000-000022280000}"/>
    <cellStyle name="Normal 5 2 2 4 2 3 3 3" xfId="13238" xr:uid="{00000000-0005-0000-0000-000023280000}"/>
    <cellStyle name="Normal 5 2 2 4 2 3 3 3 2" xfId="32953" xr:uid="{00000000-0005-0000-0000-000024280000}"/>
    <cellStyle name="Normal 5 2 2 4 2 3 3 4" xfId="23096" xr:uid="{00000000-0005-0000-0000-000025280000}"/>
    <cellStyle name="Normal 5 2 2 4 2 3 4" xfId="5842" xr:uid="{00000000-0005-0000-0000-000026280000}"/>
    <cellStyle name="Normal 5 2 2 4 2 3 4 2" xfId="15702" xr:uid="{00000000-0005-0000-0000-000027280000}"/>
    <cellStyle name="Normal 5 2 2 4 2 3 4 2 2" xfId="35417" xr:uid="{00000000-0005-0000-0000-000028280000}"/>
    <cellStyle name="Normal 5 2 2 4 2 3 4 3" xfId="25560" xr:uid="{00000000-0005-0000-0000-000029280000}"/>
    <cellStyle name="Normal 5 2 2 4 2 3 5" xfId="10774" xr:uid="{00000000-0005-0000-0000-00002A280000}"/>
    <cellStyle name="Normal 5 2 2 4 2 3 5 2" xfId="30489" xr:uid="{00000000-0005-0000-0000-00002B280000}"/>
    <cellStyle name="Normal 5 2 2 4 2 3 6" xfId="20632" xr:uid="{00000000-0005-0000-0000-00002C280000}"/>
    <cellStyle name="Normal 5 2 2 4 2 4" xfId="1523" xr:uid="{00000000-0005-0000-0000-00002D280000}"/>
    <cellStyle name="Normal 5 2 2 4 2 4 2" xfId="3990" xr:uid="{00000000-0005-0000-0000-00002E280000}"/>
    <cellStyle name="Normal 5 2 2 4 2 4 2 2" xfId="8922" xr:uid="{00000000-0005-0000-0000-00002F280000}"/>
    <cellStyle name="Normal 5 2 2 4 2 4 2 2 2" xfId="18782" xr:uid="{00000000-0005-0000-0000-000030280000}"/>
    <cellStyle name="Normal 5 2 2 4 2 4 2 2 2 2" xfId="38497" xr:uid="{00000000-0005-0000-0000-000031280000}"/>
    <cellStyle name="Normal 5 2 2 4 2 4 2 2 3" xfId="28640" xr:uid="{00000000-0005-0000-0000-000032280000}"/>
    <cellStyle name="Normal 5 2 2 4 2 4 2 3" xfId="13854" xr:uid="{00000000-0005-0000-0000-000033280000}"/>
    <cellStyle name="Normal 5 2 2 4 2 4 2 3 2" xfId="33569" xr:uid="{00000000-0005-0000-0000-000034280000}"/>
    <cellStyle name="Normal 5 2 2 4 2 4 2 4" xfId="23712" xr:uid="{00000000-0005-0000-0000-000035280000}"/>
    <cellStyle name="Normal 5 2 2 4 2 4 3" xfId="6458" xr:uid="{00000000-0005-0000-0000-000036280000}"/>
    <cellStyle name="Normal 5 2 2 4 2 4 3 2" xfId="16318" xr:uid="{00000000-0005-0000-0000-000037280000}"/>
    <cellStyle name="Normal 5 2 2 4 2 4 3 2 2" xfId="36033" xr:uid="{00000000-0005-0000-0000-000038280000}"/>
    <cellStyle name="Normal 5 2 2 4 2 4 3 3" xfId="26176" xr:uid="{00000000-0005-0000-0000-000039280000}"/>
    <cellStyle name="Normal 5 2 2 4 2 4 4" xfId="11390" xr:uid="{00000000-0005-0000-0000-00003A280000}"/>
    <cellStyle name="Normal 5 2 2 4 2 4 4 2" xfId="31105" xr:uid="{00000000-0005-0000-0000-00003B280000}"/>
    <cellStyle name="Normal 5 2 2 4 2 4 5" xfId="21248" xr:uid="{00000000-0005-0000-0000-00003C280000}"/>
    <cellStyle name="Normal 5 2 2 4 2 5" xfId="2758" xr:uid="{00000000-0005-0000-0000-00003D280000}"/>
    <cellStyle name="Normal 5 2 2 4 2 5 2" xfId="7690" xr:uid="{00000000-0005-0000-0000-00003E280000}"/>
    <cellStyle name="Normal 5 2 2 4 2 5 2 2" xfId="17550" xr:uid="{00000000-0005-0000-0000-00003F280000}"/>
    <cellStyle name="Normal 5 2 2 4 2 5 2 2 2" xfId="37265" xr:uid="{00000000-0005-0000-0000-000040280000}"/>
    <cellStyle name="Normal 5 2 2 4 2 5 2 3" xfId="27408" xr:uid="{00000000-0005-0000-0000-000041280000}"/>
    <cellStyle name="Normal 5 2 2 4 2 5 3" xfId="12622" xr:uid="{00000000-0005-0000-0000-000042280000}"/>
    <cellStyle name="Normal 5 2 2 4 2 5 3 2" xfId="32337" xr:uid="{00000000-0005-0000-0000-000043280000}"/>
    <cellStyle name="Normal 5 2 2 4 2 5 4" xfId="22480" xr:uid="{00000000-0005-0000-0000-000044280000}"/>
    <cellStyle name="Normal 5 2 2 4 2 6" xfId="5226" xr:uid="{00000000-0005-0000-0000-000045280000}"/>
    <cellStyle name="Normal 5 2 2 4 2 6 2" xfId="15086" xr:uid="{00000000-0005-0000-0000-000046280000}"/>
    <cellStyle name="Normal 5 2 2 4 2 6 2 2" xfId="34801" xr:uid="{00000000-0005-0000-0000-000047280000}"/>
    <cellStyle name="Normal 5 2 2 4 2 6 3" xfId="24944" xr:uid="{00000000-0005-0000-0000-000048280000}"/>
    <cellStyle name="Normal 5 2 2 4 2 7" xfId="10158" xr:uid="{00000000-0005-0000-0000-000049280000}"/>
    <cellStyle name="Normal 5 2 2 4 2 7 2" xfId="29873" xr:uid="{00000000-0005-0000-0000-00004A280000}"/>
    <cellStyle name="Normal 5 2 2 4 2 8" xfId="20016" xr:uid="{00000000-0005-0000-0000-00004B280000}"/>
    <cellStyle name="Normal 5 2 2 4 3" xfId="438" xr:uid="{00000000-0005-0000-0000-00004C280000}"/>
    <cellStyle name="Normal 5 2 2 4 3 2" xfId="1058" xr:uid="{00000000-0005-0000-0000-00004D280000}"/>
    <cellStyle name="Normal 5 2 2 4 3 2 2" xfId="2293" xr:uid="{00000000-0005-0000-0000-00004E280000}"/>
    <cellStyle name="Normal 5 2 2 4 3 2 2 2" xfId="4760" xr:uid="{00000000-0005-0000-0000-00004F280000}"/>
    <cellStyle name="Normal 5 2 2 4 3 2 2 2 2" xfId="9692" xr:uid="{00000000-0005-0000-0000-000050280000}"/>
    <cellStyle name="Normal 5 2 2 4 3 2 2 2 2 2" xfId="19552" xr:uid="{00000000-0005-0000-0000-000051280000}"/>
    <cellStyle name="Normal 5 2 2 4 3 2 2 2 2 2 2" xfId="39267" xr:uid="{00000000-0005-0000-0000-000052280000}"/>
    <cellStyle name="Normal 5 2 2 4 3 2 2 2 2 3" xfId="29410" xr:uid="{00000000-0005-0000-0000-000053280000}"/>
    <cellStyle name="Normal 5 2 2 4 3 2 2 2 3" xfId="14624" xr:uid="{00000000-0005-0000-0000-000054280000}"/>
    <cellStyle name="Normal 5 2 2 4 3 2 2 2 3 2" xfId="34339" xr:uid="{00000000-0005-0000-0000-000055280000}"/>
    <cellStyle name="Normal 5 2 2 4 3 2 2 2 4" xfId="24482" xr:uid="{00000000-0005-0000-0000-000056280000}"/>
    <cellStyle name="Normal 5 2 2 4 3 2 2 3" xfId="7228" xr:uid="{00000000-0005-0000-0000-000057280000}"/>
    <cellStyle name="Normal 5 2 2 4 3 2 2 3 2" xfId="17088" xr:uid="{00000000-0005-0000-0000-000058280000}"/>
    <cellStyle name="Normal 5 2 2 4 3 2 2 3 2 2" xfId="36803" xr:uid="{00000000-0005-0000-0000-000059280000}"/>
    <cellStyle name="Normal 5 2 2 4 3 2 2 3 3" xfId="26946" xr:uid="{00000000-0005-0000-0000-00005A280000}"/>
    <cellStyle name="Normal 5 2 2 4 3 2 2 4" xfId="12160" xr:uid="{00000000-0005-0000-0000-00005B280000}"/>
    <cellStyle name="Normal 5 2 2 4 3 2 2 4 2" xfId="31875" xr:uid="{00000000-0005-0000-0000-00005C280000}"/>
    <cellStyle name="Normal 5 2 2 4 3 2 2 5" xfId="22018" xr:uid="{00000000-0005-0000-0000-00005D280000}"/>
    <cellStyle name="Normal 5 2 2 4 3 2 3" xfId="3528" xr:uid="{00000000-0005-0000-0000-00005E280000}"/>
    <cellStyle name="Normal 5 2 2 4 3 2 3 2" xfId="8460" xr:uid="{00000000-0005-0000-0000-00005F280000}"/>
    <cellStyle name="Normal 5 2 2 4 3 2 3 2 2" xfId="18320" xr:uid="{00000000-0005-0000-0000-000060280000}"/>
    <cellStyle name="Normal 5 2 2 4 3 2 3 2 2 2" xfId="38035" xr:uid="{00000000-0005-0000-0000-000061280000}"/>
    <cellStyle name="Normal 5 2 2 4 3 2 3 2 3" xfId="28178" xr:uid="{00000000-0005-0000-0000-000062280000}"/>
    <cellStyle name="Normal 5 2 2 4 3 2 3 3" xfId="13392" xr:uid="{00000000-0005-0000-0000-000063280000}"/>
    <cellStyle name="Normal 5 2 2 4 3 2 3 3 2" xfId="33107" xr:uid="{00000000-0005-0000-0000-000064280000}"/>
    <cellStyle name="Normal 5 2 2 4 3 2 3 4" xfId="23250" xr:uid="{00000000-0005-0000-0000-000065280000}"/>
    <cellStyle name="Normal 5 2 2 4 3 2 4" xfId="5996" xr:uid="{00000000-0005-0000-0000-000066280000}"/>
    <cellStyle name="Normal 5 2 2 4 3 2 4 2" xfId="15856" xr:uid="{00000000-0005-0000-0000-000067280000}"/>
    <cellStyle name="Normal 5 2 2 4 3 2 4 2 2" xfId="35571" xr:uid="{00000000-0005-0000-0000-000068280000}"/>
    <cellStyle name="Normal 5 2 2 4 3 2 4 3" xfId="25714" xr:uid="{00000000-0005-0000-0000-000069280000}"/>
    <cellStyle name="Normal 5 2 2 4 3 2 5" xfId="10928" xr:uid="{00000000-0005-0000-0000-00006A280000}"/>
    <cellStyle name="Normal 5 2 2 4 3 2 5 2" xfId="30643" xr:uid="{00000000-0005-0000-0000-00006B280000}"/>
    <cellStyle name="Normal 5 2 2 4 3 2 6" xfId="20786" xr:uid="{00000000-0005-0000-0000-00006C280000}"/>
    <cellStyle name="Normal 5 2 2 4 3 3" xfId="1677" xr:uid="{00000000-0005-0000-0000-00006D280000}"/>
    <cellStyle name="Normal 5 2 2 4 3 3 2" xfId="4144" xr:uid="{00000000-0005-0000-0000-00006E280000}"/>
    <cellStyle name="Normal 5 2 2 4 3 3 2 2" xfId="9076" xr:uid="{00000000-0005-0000-0000-00006F280000}"/>
    <cellStyle name="Normal 5 2 2 4 3 3 2 2 2" xfId="18936" xr:uid="{00000000-0005-0000-0000-000070280000}"/>
    <cellStyle name="Normal 5 2 2 4 3 3 2 2 2 2" xfId="38651" xr:uid="{00000000-0005-0000-0000-000071280000}"/>
    <cellStyle name="Normal 5 2 2 4 3 3 2 2 3" xfId="28794" xr:uid="{00000000-0005-0000-0000-000072280000}"/>
    <cellStyle name="Normal 5 2 2 4 3 3 2 3" xfId="14008" xr:uid="{00000000-0005-0000-0000-000073280000}"/>
    <cellStyle name="Normal 5 2 2 4 3 3 2 3 2" xfId="33723" xr:uid="{00000000-0005-0000-0000-000074280000}"/>
    <cellStyle name="Normal 5 2 2 4 3 3 2 4" xfId="23866" xr:uid="{00000000-0005-0000-0000-000075280000}"/>
    <cellStyle name="Normal 5 2 2 4 3 3 3" xfId="6612" xr:uid="{00000000-0005-0000-0000-000076280000}"/>
    <cellStyle name="Normal 5 2 2 4 3 3 3 2" xfId="16472" xr:uid="{00000000-0005-0000-0000-000077280000}"/>
    <cellStyle name="Normal 5 2 2 4 3 3 3 2 2" xfId="36187" xr:uid="{00000000-0005-0000-0000-000078280000}"/>
    <cellStyle name="Normal 5 2 2 4 3 3 3 3" xfId="26330" xr:uid="{00000000-0005-0000-0000-000079280000}"/>
    <cellStyle name="Normal 5 2 2 4 3 3 4" xfId="11544" xr:uid="{00000000-0005-0000-0000-00007A280000}"/>
    <cellStyle name="Normal 5 2 2 4 3 3 4 2" xfId="31259" xr:uid="{00000000-0005-0000-0000-00007B280000}"/>
    <cellStyle name="Normal 5 2 2 4 3 3 5" xfId="21402" xr:uid="{00000000-0005-0000-0000-00007C280000}"/>
    <cellStyle name="Normal 5 2 2 4 3 4" xfId="2912" xr:uid="{00000000-0005-0000-0000-00007D280000}"/>
    <cellStyle name="Normal 5 2 2 4 3 4 2" xfId="7844" xr:uid="{00000000-0005-0000-0000-00007E280000}"/>
    <cellStyle name="Normal 5 2 2 4 3 4 2 2" xfId="17704" xr:uid="{00000000-0005-0000-0000-00007F280000}"/>
    <cellStyle name="Normal 5 2 2 4 3 4 2 2 2" xfId="37419" xr:uid="{00000000-0005-0000-0000-000080280000}"/>
    <cellStyle name="Normal 5 2 2 4 3 4 2 3" xfId="27562" xr:uid="{00000000-0005-0000-0000-000081280000}"/>
    <cellStyle name="Normal 5 2 2 4 3 4 3" xfId="12776" xr:uid="{00000000-0005-0000-0000-000082280000}"/>
    <cellStyle name="Normal 5 2 2 4 3 4 3 2" xfId="32491" xr:uid="{00000000-0005-0000-0000-000083280000}"/>
    <cellStyle name="Normal 5 2 2 4 3 4 4" xfId="22634" xr:uid="{00000000-0005-0000-0000-000084280000}"/>
    <cellStyle name="Normal 5 2 2 4 3 5" xfId="5380" xr:uid="{00000000-0005-0000-0000-000085280000}"/>
    <cellStyle name="Normal 5 2 2 4 3 5 2" xfId="15240" xr:uid="{00000000-0005-0000-0000-000086280000}"/>
    <cellStyle name="Normal 5 2 2 4 3 5 2 2" xfId="34955" xr:uid="{00000000-0005-0000-0000-000087280000}"/>
    <cellStyle name="Normal 5 2 2 4 3 5 3" xfId="25098" xr:uid="{00000000-0005-0000-0000-000088280000}"/>
    <cellStyle name="Normal 5 2 2 4 3 6" xfId="10312" xr:uid="{00000000-0005-0000-0000-000089280000}"/>
    <cellStyle name="Normal 5 2 2 4 3 6 2" xfId="30027" xr:uid="{00000000-0005-0000-0000-00008A280000}"/>
    <cellStyle name="Normal 5 2 2 4 3 7" xfId="20170" xr:uid="{00000000-0005-0000-0000-00008B280000}"/>
    <cellStyle name="Normal 5 2 2 4 4" xfId="751" xr:uid="{00000000-0005-0000-0000-00008C280000}"/>
    <cellStyle name="Normal 5 2 2 4 4 2" xfId="1987" xr:uid="{00000000-0005-0000-0000-00008D280000}"/>
    <cellStyle name="Normal 5 2 2 4 4 2 2" xfId="4454" xr:uid="{00000000-0005-0000-0000-00008E280000}"/>
    <cellStyle name="Normal 5 2 2 4 4 2 2 2" xfId="9386" xr:uid="{00000000-0005-0000-0000-00008F280000}"/>
    <cellStyle name="Normal 5 2 2 4 4 2 2 2 2" xfId="19246" xr:uid="{00000000-0005-0000-0000-000090280000}"/>
    <cellStyle name="Normal 5 2 2 4 4 2 2 2 2 2" xfId="38961" xr:uid="{00000000-0005-0000-0000-000091280000}"/>
    <cellStyle name="Normal 5 2 2 4 4 2 2 2 3" xfId="29104" xr:uid="{00000000-0005-0000-0000-000092280000}"/>
    <cellStyle name="Normal 5 2 2 4 4 2 2 3" xfId="14318" xr:uid="{00000000-0005-0000-0000-000093280000}"/>
    <cellStyle name="Normal 5 2 2 4 4 2 2 3 2" xfId="34033" xr:uid="{00000000-0005-0000-0000-000094280000}"/>
    <cellStyle name="Normal 5 2 2 4 4 2 2 4" xfId="24176" xr:uid="{00000000-0005-0000-0000-000095280000}"/>
    <cellStyle name="Normal 5 2 2 4 4 2 3" xfId="6922" xr:uid="{00000000-0005-0000-0000-000096280000}"/>
    <cellStyle name="Normal 5 2 2 4 4 2 3 2" xfId="16782" xr:uid="{00000000-0005-0000-0000-000097280000}"/>
    <cellStyle name="Normal 5 2 2 4 4 2 3 2 2" xfId="36497" xr:uid="{00000000-0005-0000-0000-000098280000}"/>
    <cellStyle name="Normal 5 2 2 4 4 2 3 3" xfId="26640" xr:uid="{00000000-0005-0000-0000-000099280000}"/>
    <cellStyle name="Normal 5 2 2 4 4 2 4" xfId="11854" xr:uid="{00000000-0005-0000-0000-00009A280000}"/>
    <cellStyle name="Normal 5 2 2 4 4 2 4 2" xfId="31569" xr:uid="{00000000-0005-0000-0000-00009B280000}"/>
    <cellStyle name="Normal 5 2 2 4 4 2 5" xfId="21712" xr:uid="{00000000-0005-0000-0000-00009C280000}"/>
    <cellStyle name="Normal 5 2 2 4 4 3" xfId="3222" xr:uid="{00000000-0005-0000-0000-00009D280000}"/>
    <cellStyle name="Normal 5 2 2 4 4 3 2" xfId="8154" xr:uid="{00000000-0005-0000-0000-00009E280000}"/>
    <cellStyle name="Normal 5 2 2 4 4 3 2 2" xfId="18014" xr:uid="{00000000-0005-0000-0000-00009F280000}"/>
    <cellStyle name="Normal 5 2 2 4 4 3 2 2 2" xfId="37729" xr:uid="{00000000-0005-0000-0000-0000A0280000}"/>
    <cellStyle name="Normal 5 2 2 4 4 3 2 3" xfId="27872" xr:uid="{00000000-0005-0000-0000-0000A1280000}"/>
    <cellStyle name="Normal 5 2 2 4 4 3 3" xfId="13086" xr:uid="{00000000-0005-0000-0000-0000A2280000}"/>
    <cellStyle name="Normal 5 2 2 4 4 3 3 2" xfId="32801" xr:uid="{00000000-0005-0000-0000-0000A3280000}"/>
    <cellStyle name="Normal 5 2 2 4 4 3 4" xfId="22944" xr:uid="{00000000-0005-0000-0000-0000A4280000}"/>
    <cellStyle name="Normal 5 2 2 4 4 4" xfId="5690" xr:uid="{00000000-0005-0000-0000-0000A5280000}"/>
    <cellStyle name="Normal 5 2 2 4 4 4 2" xfId="15550" xr:uid="{00000000-0005-0000-0000-0000A6280000}"/>
    <cellStyle name="Normal 5 2 2 4 4 4 2 2" xfId="35265" xr:uid="{00000000-0005-0000-0000-0000A7280000}"/>
    <cellStyle name="Normal 5 2 2 4 4 4 3" xfId="25408" xr:uid="{00000000-0005-0000-0000-0000A8280000}"/>
    <cellStyle name="Normal 5 2 2 4 4 5" xfId="10622" xr:uid="{00000000-0005-0000-0000-0000A9280000}"/>
    <cellStyle name="Normal 5 2 2 4 4 5 2" xfId="30337" xr:uid="{00000000-0005-0000-0000-0000AA280000}"/>
    <cellStyle name="Normal 5 2 2 4 4 6" xfId="20480" xr:uid="{00000000-0005-0000-0000-0000AB280000}"/>
    <cellStyle name="Normal 5 2 2 4 5" xfId="1371" xr:uid="{00000000-0005-0000-0000-0000AC280000}"/>
    <cellStyle name="Normal 5 2 2 4 5 2" xfId="3838" xr:uid="{00000000-0005-0000-0000-0000AD280000}"/>
    <cellStyle name="Normal 5 2 2 4 5 2 2" xfId="8770" xr:uid="{00000000-0005-0000-0000-0000AE280000}"/>
    <cellStyle name="Normal 5 2 2 4 5 2 2 2" xfId="18630" xr:uid="{00000000-0005-0000-0000-0000AF280000}"/>
    <cellStyle name="Normal 5 2 2 4 5 2 2 2 2" xfId="38345" xr:uid="{00000000-0005-0000-0000-0000B0280000}"/>
    <cellStyle name="Normal 5 2 2 4 5 2 2 3" xfId="28488" xr:uid="{00000000-0005-0000-0000-0000B1280000}"/>
    <cellStyle name="Normal 5 2 2 4 5 2 3" xfId="13702" xr:uid="{00000000-0005-0000-0000-0000B2280000}"/>
    <cellStyle name="Normal 5 2 2 4 5 2 3 2" xfId="33417" xr:uid="{00000000-0005-0000-0000-0000B3280000}"/>
    <cellStyle name="Normal 5 2 2 4 5 2 4" xfId="23560" xr:uid="{00000000-0005-0000-0000-0000B4280000}"/>
    <cellStyle name="Normal 5 2 2 4 5 3" xfId="6306" xr:uid="{00000000-0005-0000-0000-0000B5280000}"/>
    <cellStyle name="Normal 5 2 2 4 5 3 2" xfId="16166" xr:uid="{00000000-0005-0000-0000-0000B6280000}"/>
    <cellStyle name="Normal 5 2 2 4 5 3 2 2" xfId="35881" xr:uid="{00000000-0005-0000-0000-0000B7280000}"/>
    <cellStyle name="Normal 5 2 2 4 5 3 3" xfId="26024" xr:uid="{00000000-0005-0000-0000-0000B8280000}"/>
    <cellStyle name="Normal 5 2 2 4 5 4" xfId="11238" xr:uid="{00000000-0005-0000-0000-0000B9280000}"/>
    <cellStyle name="Normal 5 2 2 4 5 4 2" xfId="30953" xr:uid="{00000000-0005-0000-0000-0000BA280000}"/>
    <cellStyle name="Normal 5 2 2 4 5 5" xfId="21096" xr:uid="{00000000-0005-0000-0000-0000BB280000}"/>
    <cellStyle name="Normal 5 2 2 4 6" xfId="2606" xr:uid="{00000000-0005-0000-0000-0000BC280000}"/>
    <cellStyle name="Normal 5 2 2 4 6 2" xfId="7538" xr:uid="{00000000-0005-0000-0000-0000BD280000}"/>
    <cellStyle name="Normal 5 2 2 4 6 2 2" xfId="17398" xr:uid="{00000000-0005-0000-0000-0000BE280000}"/>
    <cellStyle name="Normal 5 2 2 4 6 2 2 2" xfId="37113" xr:uid="{00000000-0005-0000-0000-0000BF280000}"/>
    <cellStyle name="Normal 5 2 2 4 6 2 3" xfId="27256" xr:uid="{00000000-0005-0000-0000-0000C0280000}"/>
    <cellStyle name="Normal 5 2 2 4 6 3" xfId="12470" xr:uid="{00000000-0005-0000-0000-0000C1280000}"/>
    <cellStyle name="Normal 5 2 2 4 6 3 2" xfId="32185" xr:uid="{00000000-0005-0000-0000-0000C2280000}"/>
    <cellStyle name="Normal 5 2 2 4 6 4" xfId="22328" xr:uid="{00000000-0005-0000-0000-0000C3280000}"/>
    <cellStyle name="Normal 5 2 2 4 7" xfId="5074" xr:uid="{00000000-0005-0000-0000-0000C4280000}"/>
    <cellStyle name="Normal 5 2 2 4 7 2" xfId="14934" xr:uid="{00000000-0005-0000-0000-0000C5280000}"/>
    <cellStyle name="Normal 5 2 2 4 7 2 2" xfId="34649" xr:uid="{00000000-0005-0000-0000-0000C6280000}"/>
    <cellStyle name="Normal 5 2 2 4 7 3" xfId="24792" xr:uid="{00000000-0005-0000-0000-0000C7280000}"/>
    <cellStyle name="Normal 5 2 2 4 8" xfId="10006" xr:uid="{00000000-0005-0000-0000-0000C8280000}"/>
    <cellStyle name="Normal 5 2 2 4 8 2" xfId="29721" xr:uid="{00000000-0005-0000-0000-0000C9280000}"/>
    <cellStyle name="Normal 5 2 2 4 9" xfId="19864" xr:uid="{00000000-0005-0000-0000-0000CA280000}"/>
    <cellStyle name="Normal 5 2 2 5" xfId="200" xr:uid="{00000000-0005-0000-0000-0000CB280000}"/>
    <cellStyle name="Normal 5 2 2 5 2" xfId="514" xr:uid="{00000000-0005-0000-0000-0000CC280000}"/>
    <cellStyle name="Normal 5 2 2 5 2 2" xfId="1134" xr:uid="{00000000-0005-0000-0000-0000CD280000}"/>
    <cellStyle name="Normal 5 2 2 5 2 2 2" xfId="2369" xr:uid="{00000000-0005-0000-0000-0000CE280000}"/>
    <cellStyle name="Normal 5 2 2 5 2 2 2 2" xfId="4836" xr:uid="{00000000-0005-0000-0000-0000CF280000}"/>
    <cellStyle name="Normal 5 2 2 5 2 2 2 2 2" xfId="9768" xr:uid="{00000000-0005-0000-0000-0000D0280000}"/>
    <cellStyle name="Normal 5 2 2 5 2 2 2 2 2 2" xfId="19628" xr:uid="{00000000-0005-0000-0000-0000D1280000}"/>
    <cellStyle name="Normal 5 2 2 5 2 2 2 2 2 2 2" xfId="39343" xr:uid="{00000000-0005-0000-0000-0000D2280000}"/>
    <cellStyle name="Normal 5 2 2 5 2 2 2 2 2 3" xfId="29486" xr:uid="{00000000-0005-0000-0000-0000D3280000}"/>
    <cellStyle name="Normal 5 2 2 5 2 2 2 2 3" xfId="14700" xr:uid="{00000000-0005-0000-0000-0000D4280000}"/>
    <cellStyle name="Normal 5 2 2 5 2 2 2 2 3 2" xfId="34415" xr:uid="{00000000-0005-0000-0000-0000D5280000}"/>
    <cellStyle name="Normal 5 2 2 5 2 2 2 2 4" xfId="24558" xr:uid="{00000000-0005-0000-0000-0000D6280000}"/>
    <cellStyle name="Normal 5 2 2 5 2 2 2 3" xfId="7304" xr:uid="{00000000-0005-0000-0000-0000D7280000}"/>
    <cellStyle name="Normal 5 2 2 5 2 2 2 3 2" xfId="17164" xr:uid="{00000000-0005-0000-0000-0000D8280000}"/>
    <cellStyle name="Normal 5 2 2 5 2 2 2 3 2 2" xfId="36879" xr:uid="{00000000-0005-0000-0000-0000D9280000}"/>
    <cellStyle name="Normal 5 2 2 5 2 2 2 3 3" xfId="27022" xr:uid="{00000000-0005-0000-0000-0000DA280000}"/>
    <cellStyle name="Normal 5 2 2 5 2 2 2 4" xfId="12236" xr:uid="{00000000-0005-0000-0000-0000DB280000}"/>
    <cellStyle name="Normal 5 2 2 5 2 2 2 4 2" xfId="31951" xr:uid="{00000000-0005-0000-0000-0000DC280000}"/>
    <cellStyle name="Normal 5 2 2 5 2 2 2 5" xfId="22094" xr:uid="{00000000-0005-0000-0000-0000DD280000}"/>
    <cellStyle name="Normal 5 2 2 5 2 2 3" xfId="3604" xr:uid="{00000000-0005-0000-0000-0000DE280000}"/>
    <cellStyle name="Normal 5 2 2 5 2 2 3 2" xfId="8536" xr:uid="{00000000-0005-0000-0000-0000DF280000}"/>
    <cellStyle name="Normal 5 2 2 5 2 2 3 2 2" xfId="18396" xr:uid="{00000000-0005-0000-0000-0000E0280000}"/>
    <cellStyle name="Normal 5 2 2 5 2 2 3 2 2 2" xfId="38111" xr:uid="{00000000-0005-0000-0000-0000E1280000}"/>
    <cellStyle name="Normal 5 2 2 5 2 2 3 2 3" xfId="28254" xr:uid="{00000000-0005-0000-0000-0000E2280000}"/>
    <cellStyle name="Normal 5 2 2 5 2 2 3 3" xfId="13468" xr:uid="{00000000-0005-0000-0000-0000E3280000}"/>
    <cellStyle name="Normal 5 2 2 5 2 2 3 3 2" xfId="33183" xr:uid="{00000000-0005-0000-0000-0000E4280000}"/>
    <cellStyle name="Normal 5 2 2 5 2 2 3 4" xfId="23326" xr:uid="{00000000-0005-0000-0000-0000E5280000}"/>
    <cellStyle name="Normal 5 2 2 5 2 2 4" xfId="6072" xr:uid="{00000000-0005-0000-0000-0000E6280000}"/>
    <cellStyle name="Normal 5 2 2 5 2 2 4 2" xfId="15932" xr:uid="{00000000-0005-0000-0000-0000E7280000}"/>
    <cellStyle name="Normal 5 2 2 5 2 2 4 2 2" xfId="35647" xr:uid="{00000000-0005-0000-0000-0000E8280000}"/>
    <cellStyle name="Normal 5 2 2 5 2 2 4 3" xfId="25790" xr:uid="{00000000-0005-0000-0000-0000E9280000}"/>
    <cellStyle name="Normal 5 2 2 5 2 2 5" xfId="11004" xr:uid="{00000000-0005-0000-0000-0000EA280000}"/>
    <cellStyle name="Normal 5 2 2 5 2 2 5 2" xfId="30719" xr:uid="{00000000-0005-0000-0000-0000EB280000}"/>
    <cellStyle name="Normal 5 2 2 5 2 2 6" xfId="20862" xr:uid="{00000000-0005-0000-0000-0000EC280000}"/>
    <cellStyle name="Normal 5 2 2 5 2 3" xfId="1753" xr:uid="{00000000-0005-0000-0000-0000ED280000}"/>
    <cellStyle name="Normal 5 2 2 5 2 3 2" xfId="4220" xr:uid="{00000000-0005-0000-0000-0000EE280000}"/>
    <cellStyle name="Normal 5 2 2 5 2 3 2 2" xfId="9152" xr:uid="{00000000-0005-0000-0000-0000EF280000}"/>
    <cellStyle name="Normal 5 2 2 5 2 3 2 2 2" xfId="19012" xr:uid="{00000000-0005-0000-0000-0000F0280000}"/>
    <cellStyle name="Normal 5 2 2 5 2 3 2 2 2 2" xfId="38727" xr:uid="{00000000-0005-0000-0000-0000F1280000}"/>
    <cellStyle name="Normal 5 2 2 5 2 3 2 2 3" xfId="28870" xr:uid="{00000000-0005-0000-0000-0000F2280000}"/>
    <cellStyle name="Normal 5 2 2 5 2 3 2 3" xfId="14084" xr:uid="{00000000-0005-0000-0000-0000F3280000}"/>
    <cellStyle name="Normal 5 2 2 5 2 3 2 3 2" xfId="33799" xr:uid="{00000000-0005-0000-0000-0000F4280000}"/>
    <cellStyle name="Normal 5 2 2 5 2 3 2 4" xfId="23942" xr:uid="{00000000-0005-0000-0000-0000F5280000}"/>
    <cellStyle name="Normal 5 2 2 5 2 3 3" xfId="6688" xr:uid="{00000000-0005-0000-0000-0000F6280000}"/>
    <cellStyle name="Normal 5 2 2 5 2 3 3 2" xfId="16548" xr:uid="{00000000-0005-0000-0000-0000F7280000}"/>
    <cellStyle name="Normal 5 2 2 5 2 3 3 2 2" xfId="36263" xr:uid="{00000000-0005-0000-0000-0000F8280000}"/>
    <cellStyle name="Normal 5 2 2 5 2 3 3 3" xfId="26406" xr:uid="{00000000-0005-0000-0000-0000F9280000}"/>
    <cellStyle name="Normal 5 2 2 5 2 3 4" xfId="11620" xr:uid="{00000000-0005-0000-0000-0000FA280000}"/>
    <cellStyle name="Normal 5 2 2 5 2 3 4 2" xfId="31335" xr:uid="{00000000-0005-0000-0000-0000FB280000}"/>
    <cellStyle name="Normal 5 2 2 5 2 3 5" xfId="21478" xr:uid="{00000000-0005-0000-0000-0000FC280000}"/>
    <cellStyle name="Normal 5 2 2 5 2 4" xfId="2988" xr:uid="{00000000-0005-0000-0000-0000FD280000}"/>
    <cellStyle name="Normal 5 2 2 5 2 4 2" xfId="7920" xr:uid="{00000000-0005-0000-0000-0000FE280000}"/>
    <cellStyle name="Normal 5 2 2 5 2 4 2 2" xfId="17780" xr:uid="{00000000-0005-0000-0000-0000FF280000}"/>
    <cellStyle name="Normal 5 2 2 5 2 4 2 2 2" xfId="37495" xr:uid="{00000000-0005-0000-0000-000000290000}"/>
    <cellStyle name="Normal 5 2 2 5 2 4 2 3" xfId="27638" xr:uid="{00000000-0005-0000-0000-000001290000}"/>
    <cellStyle name="Normal 5 2 2 5 2 4 3" xfId="12852" xr:uid="{00000000-0005-0000-0000-000002290000}"/>
    <cellStyle name="Normal 5 2 2 5 2 4 3 2" xfId="32567" xr:uid="{00000000-0005-0000-0000-000003290000}"/>
    <cellStyle name="Normal 5 2 2 5 2 4 4" xfId="22710" xr:uid="{00000000-0005-0000-0000-000004290000}"/>
    <cellStyle name="Normal 5 2 2 5 2 5" xfId="5456" xr:uid="{00000000-0005-0000-0000-000005290000}"/>
    <cellStyle name="Normal 5 2 2 5 2 5 2" xfId="15316" xr:uid="{00000000-0005-0000-0000-000006290000}"/>
    <cellStyle name="Normal 5 2 2 5 2 5 2 2" xfId="35031" xr:uid="{00000000-0005-0000-0000-000007290000}"/>
    <cellStyle name="Normal 5 2 2 5 2 5 3" xfId="25174" xr:uid="{00000000-0005-0000-0000-000008290000}"/>
    <cellStyle name="Normal 5 2 2 5 2 6" xfId="10388" xr:uid="{00000000-0005-0000-0000-000009290000}"/>
    <cellStyle name="Normal 5 2 2 5 2 6 2" xfId="30103" xr:uid="{00000000-0005-0000-0000-00000A290000}"/>
    <cellStyle name="Normal 5 2 2 5 2 7" xfId="20246" xr:uid="{00000000-0005-0000-0000-00000B290000}"/>
    <cellStyle name="Normal 5 2 2 5 3" xfId="827" xr:uid="{00000000-0005-0000-0000-00000C290000}"/>
    <cellStyle name="Normal 5 2 2 5 3 2" xfId="2063" xr:uid="{00000000-0005-0000-0000-00000D290000}"/>
    <cellStyle name="Normal 5 2 2 5 3 2 2" xfId="4530" xr:uid="{00000000-0005-0000-0000-00000E290000}"/>
    <cellStyle name="Normal 5 2 2 5 3 2 2 2" xfId="9462" xr:uid="{00000000-0005-0000-0000-00000F290000}"/>
    <cellStyle name="Normal 5 2 2 5 3 2 2 2 2" xfId="19322" xr:uid="{00000000-0005-0000-0000-000010290000}"/>
    <cellStyle name="Normal 5 2 2 5 3 2 2 2 2 2" xfId="39037" xr:uid="{00000000-0005-0000-0000-000011290000}"/>
    <cellStyle name="Normal 5 2 2 5 3 2 2 2 3" xfId="29180" xr:uid="{00000000-0005-0000-0000-000012290000}"/>
    <cellStyle name="Normal 5 2 2 5 3 2 2 3" xfId="14394" xr:uid="{00000000-0005-0000-0000-000013290000}"/>
    <cellStyle name="Normal 5 2 2 5 3 2 2 3 2" xfId="34109" xr:uid="{00000000-0005-0000-0000-000014290000}"/>
    <cellStyle name="Normal 5 2 2 5 3 2 2 4" xfId="24252" xr:uid="{00000000-0005-0000-0000-000015290000}"/>
    <cellStyle name="Normal 5 2 2 5 3 2 3" xfId="6998" xr:uid="{00000000-0005-0000-0000-000016290000}"/>
    <cellStyle name="Normal 5 2 2 5 3 2 3 2" xfId="16858" xr:uid="{00000000-0005-0000-0000-000017290000}"/>
    <cellStyle name="Normal 5 2 2 5 3 2 3 2 2" xfId="36573" xr:uid="{00000000-0005-0000-0000-000018290000}"/>
    <cellStyle name="Normal 5 2 2 5 3 2 3 3" xfId="26716" xr:uid="{00000000-0005-0000-0000-000019290000}"/>
    <cellStyle name="Normal 5 2 2 5 3 2 4" xfId="11930" xr:uid="{00000000-0005-0000-0000-00001A290000}"/>
    <cellStyle name="Normal 5 2 2 5 3 2 4 2" xfId="31645" xr:uid="{00000000-0005-0000-0000-00001B290000}"/>
    <cellStyle name="Normal 5 2 2 5 3 2 5" xfId="21788" xr:uid="{00000000-0005-0000-0000-00001C290000}"/>
    <cellStyle name="Normal 5 2 2 5 3 3" xfId="3298" xr:uid="{00000000-0005-0000-0000-00001D290000}"/>
    <cellStyle name="Normal 5 2 2 5 3 3 2" xfId="8230" xr:uid="{00000000-0005-0000-0000-00001E290000}"/>
    <cellStyle name="Normal 5 2 2 5 3 3 2 2" xfId="18090" xr:uid="{00000000-0005-0000-0000-00001F290000}"/>
    <cellStyle name="Normal 5 2 2 5 3 3 2 2 2" xfId="37805" xr:uid="{00000000-0005-0000-0000-000020290000}"/>
    <cellStyle name="Normal 5 2 2 5 3 3 2 3" xfId="27948" xr:uid="{00000000-0005-0000-0000-000021290000}"/>
    <cellStyle name="Normal 5 2 2 5 3 3 3" xfId="13162" xr:uid="{00000000-0005-0000-0000-000022290000}"/>
    <cellStyle name="Normal 5 2 2 5 3 3 3 2" xfId="32877" xr:uid="{00000000-0005-0000-0000-000023290000}"/>
    <cellStyle name="Normal 5 2 2 5 3 3 4" xfId="23020" xr:uid="{00000000-0005-0000-0000-000024290000}"/>
    <cellStyle name="Normal 5 2 2 5 3 4" xfId="5766" xr:uid="{00000000-0005-0000-0000-000025290000}"/>
    <cellStyle name="Normal 5 2 2 5 3 4 2" xfId="15626" xr:uid="{00000000-0005-0000-0000-000026290000}"/>
    <cellStyle name="Normal 5 2 2 5 3 4 2 2" xfId="35341" xr:uid="{00000000-0005-0000-0000-000027290000}"/>
    <cellStyle name="Normal 5 2 2 5 3 4 3" xfId="25484" xr:uid="{00000000-0005-0000-0000-000028290000}"/>
    <cellStyle name="Normal 5 2 2 5 3 5" xfId="10698" xr:uid="{00000000-0005-0000-0000-000029290000}"/>
    <cellStyle name="Normal 5 2 2 5 3 5 2" xfId="30413" xr:uid="{00000000-0005-0000-0000-00002A290000}"/>
    <cellStyle name="Normal 5 2 2 5 3 6" xfId="20556" xr:uid="{00000000-0005-0000-0000-00002B290000}"/>
    <cellStyle name="Normal 5 2 2 5 4" xfId="1447" xr:uid="{00000000-0005-0000-0000-00002C290000}"/>
    <cellStyle name="Normal 5 2 2 5 4 2" xfId="3914" xr:uid="{00000000-0005-0000-0000-00002D290000}"/>
    <cellStyle name="Normal 5 2 2 5 4 2 2" xfId="8846" xr:uid="{00000000-0005-0000-0000-00002E290000}"/>
    <cellStyle name="Normal 5 2 2 5 4 2 2 2" xfId="18706" xr:uid="{00000000-0005-0000-0000-00002F290000}"/>
    <cellStyle name="Normal 5 2 2 5 4 2 2 2 2" xfId="38421" xr:uid="{00000000-0005-0000-0000-000030290000}"/>
    <cellStyle name="Normal 5 2 2 5 4 2 2 3" xfId="28564" xr:uid="{00000000-0005-0000-0000-000031290000}"/>
    <cellStyle name="Normal 5 2 2 5 4 2 3" xfId="13778" xr:uid="{00000000-0005-0000-0000-000032290000}"/>
    <cellStyle name="Normal 5 2 2 5 4 2 3 2" xfId="33493" xr:uid="{00000000-0005-0000-0000-000033290000}"/>
    <cellStyle name="Normal 5 2 2 5 4 2 4" xfId="23636" xr:uid="{00000000-0005-0000-0000-000034290000}"/>
    <cellStyle name="Normal 5 2 2 5 4 3" xfId="6382" xr:uid="{00000000-0005-0000-0000-000035290000}"/>
    <cellStyle name="Normal 5 2 2 5 4 3 2" xfId="16242" xr:uid="{00000000-0005-0000-0000-000036290000}"/>
    <cellStyle name="Normal 5 2 2 5 4 3 2 2" xfId="35957" xr:uid="{00000000-0005-0000-0000-000037290000}"/>
    <cellStyle name="Normal 5 2 2 5 4 3 3" xfId="26100" xr:uid="{00000000-0005-0000-0000-000038290000}"/>
    <cellStyle name="Normal 5 2 2 5 4 4" xfId="11314" xr:uid="{00000000-0005-0000-0000-000039290000}"/>
    <cellStyle name="Normal 5 2 2 5 4 4 2" xfId="31029" xr:uid="{00000000-0005-0000-0000-00003A290000}"/>
    <cellStyle name="Normal 5 2 2 5 4 5" xfId="21172" xr:uid="{00000000-0005-0000-0000-00003B290000}"/>
    <cellStyle name="Normal 5 2 2 5 5" xfId="2682" xr:uid="{00000000-0005-0000-0000-00003C290000}"/>
    <cellStyle name="Normal 5 2 2 5 5 2" xfId="7614" xr:uid="{00000000-0005-0000-0000-00003D290000}"/>
    <cellStyle name="Normal 5 2 2 5 5 2 2" xfId="17474" xr:uid="{00000000-0005-0000-0000-00003E290000}"/>
    <cellStyle name="Normal 5 2 2 5 5 2 2 2" xfId="37189" xr:uid="{00000000-0005-0000-0000-00003F290000}"/>
    <cellStyle name="Normal 5 2 2 5 5 2 3" xfId="27332" xr:uid="{00000000-0005-0000-0000-000040290000}"/>
    <cellStyle name="Normal 5 2 2 5 5 3" xfId="12546" xr:uid="{00000000-0005-0000-0000-000041290000}"/>
    <cellStyle name="Normal 5 2 2 5 5 3 2" xfId="32261" xr:uid="{00000000-0005-0000-0000-000042290000}"/>
    <cellStyle name="Normal 5 2 2 5 5 4" xfId="22404" xr:uid="{00000000-0005-0000-0000-000043290000}"/>
    <cellStyle name="Normal 5 2 2 5 6" xfId="5150" xr:uid="{00000000-0005-0000-0000-000044290000}"/>
    <cellStyle name="Normal 5 2 2 5 6 2" xfId="15010" xr:uid="{00000000-0005-0000-0000-000045290000}"/>
    <cellStyle name="Normal 5 2 2 5 6 2 2" xfId="34725" xr:uid="{00000000-0005-0000-0000-000046290000}"/>
    <cellStyle name="Normal 5 2 2 5 6 3" xfId="24868" xr:uid="{00000000-0005-0000-0000-000047290000}"/>
    <cellStyle name="Normal 5 2 2 5 7" xfId="10082" xr:uid="{00000000-0005-0000-0000-000048290000}"/>
    <cellStyle name="Normal 5 2 2 5 7 2" xfId="29797" xr:uid="{00000000-0005-0000-0000-000049290000}"/>
    <cellStyle name="Normal 5 2 2 5 8" xfId="19940" xr:uid="{00000000-0005-0000-0000-00004A290000}"/>
    <cellStyle name="Normal 5 2 2 6" xfId="362" xr:uid="{00000000-0005-0000-0000-00004B290000}"/>
    <cellStyle name="Normal 5 2 2 6 2" xfId="982" xr:uid="{00000000-0005-0000-0000-00004C290000}"/>
    <cellStyle name="Normal 5 2 2 6 2 2" xfId="2217" xr:uid="{00000000-0005-0000-0000-00004D290000}"/>
    <cellStyle name="Normal 5 2 2 6 2 2 2" xfId="4684" xr:uid="{00000000-0005-0000-0000-00004E290000}"/>
    <cellStyle name="Normal 5 2 2 6 2 2 2 2" xfId="9616" xr:uid="{00000000-0005-0000-0000-00004F290000}"/>
    <cellStyle name="Normal 5 2 2 6 2 2 2 2 2" xfId="19476" xr:uid="{00000000-0005-0000-0000-000050290000}"/>
    <cellStyle name="Normal 5 2 2 6 2 2 2 2 2 2" xfId="39191" xr:uid="{00000000-0005-0000-0000-000051290000}"/>
    <cellStyle name="Normal 5 2 2 6 2 2 2 2 3" xfId="29334" xr:uid="{00000000-0005-0000-0000-000052290000}"/>
    <cellStyle name="Normal 5 2 2 6 2 2 2 3" xfId="14548" xr:uid="{00000000-0005-0000-0000-000053290000}"/>
    <cellStyle name="Normal 5 2 2 6 2 2 2 3 2" xfId="34263" xr:uid="{00000000-0005-0000-0000-000054290000}"/>
    <cellStyle name="Normal 5 2 2 6 2 2 2 4" xfId="24406" xr:uid="{00000000-0005-0000-0000-000055290000}"/>
    <cellStyle name="Normal 5 2 2 6 2 2 3" xfId="7152" xr:uid="{00000000-0005-0000-0000-000056290000}"/>
    <cellStyle name="Normal 5 2 2 6 2 2 3 2" xfId="17012" xr:uid="{00000000-0005-0000-0000-000057290000}"/>
    <cellStyle name="Normal 5 2 2 6 2 2 3 2 2" xfId="36727" xr:uid="{00000000-0005-0000-0000-000058290000}"/>
    <cellStyle name="Normal 5 2 2 6 2 2 3 3" xfId="26870" xr:uid="{00000000-0005-0000-0000-000059290000}"/>
    <cellStyle name="Normal 5 2 2 6 2 2 4" xfId="12084" xr:uid="{00000000-0005-0000-0000-00005A290000}"/>
    <cellStyle name="Normal 5 2 2 6 2 2 4 2" xfId="31799" xr:uid="{00000000-0005-0000-0000-00005B290000}"/>
    <cellStyle name="Normal 5 2 2 6 2 2 5" xfId="21942" xr:uid="{00000000-0005-0000-0000-00005C290000}"/>
    <cellStyle name="Normal 5 2 2 6 2 3" xfId="3452" xr:uid="{00000000-0005-0000-0000-00005D290000}"/>
    <cellStyle name="Normal 5 2 2 6 2 3 2" xfId="8384" xr:uid="{00000000-0005-0000-0000-00005E290000}"/>
    <cellStyle name="Normal 5 2 2 6 2 3 2 2" xfId="18244" xr:uid="{00000000-0005-0000-0000-00005F290000}"/>
    <cellStyle name="Normal 5 2 2 6 2 3 2 2 2" xfId="37959" xr:uid="{00000000-0005-0000-0000-000060290000}"/>
    <cellStyle name="Normal 5 2 2 6 2 3 2 3" xfId="28102" xr:uid="{00000000-0005-0000-0000-000061290000}"/>
    <cellStyle name="Normal 5 2 2 6 2 3 3" xfId="13316" xr:uid="{00000000-0005-0000-0000-000062290000}"/>
    <cellStyle name="Normal 5 2 2 6 2 3 3 2" xfId="33031" xr:uid="{00000000-0005-0000-0000-000063290000}"/>
    <cellStyle name="Normal 5 2 2 6 2 3 4" xfId="23174" xr:uid="{00000000-0005-0000-0000-000064290000}"/>
    <cellStyle name="Normal 5 2 2 6 2 4" xfId="5920" xr:uid="{00000000-0005-0000-0000-000065290000}"/>
    <cellStyle name="Normal 5 2 2 6 2 4 2" xfId="15780" xr:uid="{00000000-0005-0000-0000-000066290000}"/>
    <cellStyle name="Normal 5 2 2 6 2 4 2 2" xfId="35495" xr:uid="{00000000-0005-0000-0000-000067290000}"/>
    <cellStyle name="Normal 5 2 2 6 2 4 3" xfId="25638" xr:uid="{00000000-0005-0000-0000-000068290000}"/>
    <cellStyle name="Normal 5 2 2 6 2 5" xfId="10852" xr:uid="{00000000-0005-0000-0000-000069290000}"/>
    <cellStyle name="Normal 5 2 2 6 2 5 2" xfId="30567" xr:uid="{00000000-0005-0000-0000-00006A290000}"/>
    <cellStyle name="Normal 5 2 2 6 2 6" xfId="20710" xr:uid="{00000000-0005-0000-0000-00006B290000}"/>
    <cellStyle name="Normal 5 2 2 6 3" xfId="1601" xr:uid="{00000000-0005-0000-0000-00006C290000}"/>
    <cellStyle name="Normal 5 2 2 6 3 2" xfId="4068" xr:uid="{00000000-0005-0000-0000-00006D290000}"/>
    <cellStyle name="Normal 5 2 2 6 3 2 2" xfId="9000" xr:uid="{00000000-0005-0000-0000-00006E290000}"/>
    <cellStyle name="Normal 5 2 2 6 3 2 2 2" xfId="18860" xr:uid="{00000000-0005-0000-0000-00006F290000}"/>
    <cellStyle name="Normal 5 2 2 6 3 2 2 2 2" xfId="38575" xr:uid="{00000000-0005-0000-0000-000070290000}"/>
    <cellStyle name="Normal 5 2 2 6 3 2 2 3" xfId="28718" xr:uid="{00000000-0005-0000-0000-000071290000}"/>
    <cellStyle name="Normal 5 2 2 6 3 2 3" xfId="13932" xr:uid="{00000000-0005-0000-0000-000072290000}"/>
    <cellStyle name="Normal 5 2 2 6 3 2 3 2" xfId="33647" xr:uid="{00000000-0005-0000-0000-000073290000}"/>
    <cellStyle name="Normal 5 2 2 6 3 2 4" xfId="23790" xr:uid="{00000000-0005-0000-0000-000074290000}"/>
    <cellStyle name="Normal 5 2 2 6 3 3" xfId="6536" xr:uid="{00000000-0005-0000-0000-000075290000}"/>
    <cellStyle name="Normal 5 2 2 6 3 3 2" xfId="16396" xr:uid="{00000000-0005-0000-0000-000076290000}"/>
    <cellStyle name="Normal 5 2 2 6 3 3 2 2" xfId="36111" xr:uid="{00000000-0005-0000-0000-000077290000}"/>
    <cellStyle name="Normal 5 2 2 6 3 3 3" xfId="26254" xr:uid="{00000000-0005-0000-0000-000078290000}"/>
    <cellStyle name="Normal 5 2 2 6 3 4" xfId="11468" xr:uid="{00000000-0005-0000-0000-000079290000}"/>
    <cellStyle name="Normal 5 2 2 6 3 4 2" xfId="31183" xr:uid="{00000000-0005-0000-0000-00007A290000}"/>
    <cellStyle name="Normal 5 2 2 6 3 5" xfId="21326" xr:uid="{00000000-0005-0000-0000-00007B290000}"/>
    <cellStyle name="Normal 5 2 2 6 4" xfId="2836" xr:uid="{00000000-0005-0000-0000-00007C290000}"/>
    <cellStyle name="Normal 5 2 2 6 4 2" xfId="7768" xr:uid="{00000000-0005-0000-0000-00007D290000}"/>
    <cellStyle name="Normal 5 2 2 6 4 2 2" xfId="17628" xr:uid="{00000000-0005-0000-0000-00007E290000}"/>
    <cellStyle name="Normal 5 2 2 6 4 2 2 2" xfId="37343" xr:uid="{00000000-0005-0000-0000-00007F290000}"/>
    <cellStyle name="Normal 5 2 2 6 4 2 3" xfId="27486" xr:uid="{00000000-0005-0000-0000-000080290000}"/>
    <cellStyle name="Normal 5 2 2 6 4 3" xfId="12700" xr:uid="{00000000-0005-0000-0000-000081290000}"/>
    <cellStyle name="Normal 5 2 2 6 4 3 2" xfId="32415" xr:uid="{00000000-0005-0000-0000-000082290000}"/>
    <cellStyle name="Normal 5 2 2 6 4 4" xfId="22558" xr:uid="{00000000-0005-0000-0000-000083290000}"/>
    <cellStyle name="Normal 5 2 2 6 5" xfId="5304" xr:uid="{00000000-0005-0000-0000-000084290000}"/>
    <cellStyle name="Normal 5 2 2 6 5 2" xfId="15164" xr:uid="{00000000-0005-0000-0000-000085290000}"/>
    <cellStyle name="Normal 5 2 2 6 5 2 2" xfId="34879" xr:uid="{00000000-0005-0000-0000-000086290000}"/>
    <cellStyle name="Normal 5 2 2 6 5 3" xfId="25022" xr:uid="{00000000-0005-0000-0000-000087290000}"/>
    <cellStyle name="Normal 5 2 2 6 6" xfId="10236" xr:uid="{00000000-0005-0000-0000-000088290000}"/>
    <cellStyle name="Normal 5 2 2 6 6 2" xfId="29951" xr:uid="{00000000-0005-0000-0000-000089290000}"/>
    <cellStyle name="Normal 5 2 2 6 7" xfId="20094" xr:uid="{00000000-0005-0000-0000-00008A290000}"/>
    <cellStyle name="Normal 5 2 2 7" xfId="675" xr:uid="{00000000-0005-0000-0000-00008B290000}"/>
    <cellStyle name="Normal 5 2 2 7 2" xfId="1911" xr:uid="{00000000-0005-0000-0000-00008C290000}"/>
    <cellStyle name="Normal 5 2 2 7 2 2" xfId="4378" xr:uid="{00000000-0005-0000-0000-00008D290000}"/>
    <cellStyle name="Normal 5 2 2 7 2 2 2" xfId="9310" xr:uid="{00000000-0005-0000-0000-00008E290000}"/>
    <cellStyle name="Normal 5 2 2 7 2 2 2 2" xfId="19170" xr:uid="{00000000-0005-0000-0000-00008F290000}"/>
    <cellStyle name="Normal 5 2 2 7 2 2 2 2 2" xfId="38885" xr:uid="{00000000-0005-0000-0000-000090290000}"/>
    <cellStyle name="Normal 5 2 2 7 2 2 2 3" xfId="29028" xr:uid="{00000000-0005-0000-0000-000091290000}"/>
    <cellStyle name="Normal 5 2 2 7 2 2 3" xfId="14242" xr:uid="{00000000-0005-0000-0000-000092290000}"/>
    <cellStyle name="Normal 5 2 2 7 2 2 3 2" xfId="33957" xr:uid="{00000000-0005-0000-0000-000093290000}"/>
    <cellStyle name="Normal 5 2 2 7 2 2 4" xfId="24100" xr:uid="{00000000-0005-0000-0000-000094290000}"/>
    <cellStyle name="Normal 5 2 2 7 2 3" xfId="6846" xr:uid="{00000000-0005-0000-0000-000095290000}"/>
    <cellStyle name="Normal 5 2 2 7 2 3 2" xfId="16706" xr:uid="{00000000-0005-0000-0000-000096290000}"/>
    <cellStyle name="Normal 5 2 2 7 2 3 2 2" xfId="36421" xr:uid="{00000000-0005-0000-0000-000097290000}"/>
    <cellStyle name="Normal 5 2 2 7 2 3 3" xfId="26564" xr:uid="{00000000-0005-0000-0000-000098290000}"/>
    <cellStyle name="Normal 5 2 2 7 2 4" xfId="11778" xr:uid="{00000000-0005-0000-0000-000099290000}"/>
    <cellStyle name="Normal 5 2 2 7 2 4 2" xfId="31493" xr:uid="{00000000-0005-0000-0000-00009A290000}"/>
    <cellStyle name="Normal 5 2 2 7 2 5" xfId="21636" xr:uid="{00000000-0005-0000-0000-00009B290000}"/>
    <cellStyle name="Normal 5 2 2 7 3" xfId="3146" xr:uid="{00000000-0005-0000-0000-00009C290000}"/>
    <cellStyle name="Normal 5 2 2 7 3 2" xfId="8078" xr:uid="{00000000-0005-0000-0000-00009D290000}"/>
    <cellStyle name="Normal 5 2 2 7 3 2 2" xfId="17938" xr:uid="{00000000-0005-0000-0000-00009E290000}"/>
    <cellStyle name="Normal 5 2 2 7 3 2 2 2" xfId="37653" xr:uid="{00000000-0005-0000-0000-00009F290000}"/>
    <cellStyle name="Normal 5 2 2 7 3 2 3" xfId="27796" xr:uid="{00000000-0005-0000-0000-0000A0290000}"/>
    <cellStyle name="Normal 5 2 2 7 3 3" xfId="13010" xr:uid="{00000000-0005-0000-0000-0000A1290000}"/>
    <cellStyle name="Normal 5 2 2 7 3 3 2" xfId="32725" xr:uid="{00000000-0005-0000-0000-0000A2290000}"/>
    <cellStyle name="Normal 5 2 2 7 3 4" xfId="22868" xr:uid="{00000000-0005-0000-0000-0000A3290000}"/>
    <cellStyle name="Normal 5 2 2 7 4" xfId="5614" xr:uid="{00000000-0005-0000-0000-0000A4290000}"/>
    <cellStyle name="Normal 5 2 2 7 4 2" xfId="15474" xr:uid="{00000000-0005-0000-0000-0000A5290000}"/>
    <cellStyle name="Normal 5 2 2 7 4 2 2" xfId="35189" xr:uid="{00000000-0005-0000-0000-0000A6290000}"/>
    <cellStyle name="Normal 5 2 2 7 4 3" xfId="25332" xr:uid="{00000000-0005-0000-0000-0000A7290000}"/>
    <cellStyle name="Normal 5 2 2 7 5" xfId="10546" xr:uid="{00000000-0005-0000-0000-0000A8290000}"/>
    <cellStyle name="Normal 5 2 2 7 5 2" xfId="30261" xr:uid="{00000000-0005-0000-0000-0000A9290000}"/>
    <cellStyle name="Normal 5 2 2 7 6" xfId="20404" xr:uid="{00000000-0005-0000-0000-0000AA290000}"/>
    <cellStyle name="Normal 5 2 2 8" xfId="1295" xr:uid="{00000000-0005-0000-0000-0000AB290000}"/>
    <cellStyle name="Normal 5 2 2 8 2" xfId="3762" xr:uid="{00000000-0005-0000-0000-0000AC290000}"/>
    <cellStyle name="Normal 5 2 2 8 2 2" xfId="8694" xr:uid="{00000000-0005-0000-0000-0000AD290000}"/>
    <cellStyle name="Normal 5 2 2 8 2 2 2" xfId="18554" xr:uid="{00000000-0005-0000-0000-0000AE290000}"/>
    <cellStyle name="Normal 5 2 2 8 2 2 2 2" xfId="38269" xr:uid="{00000000-0005-0000-0000-0000AF290000}"/>
    <cellStyle name="Normal 5 2 2 8 2 2 3" xfId="28412" xr:uid="{00000000-0005-0000-0000-0000B0290000}"/>
    <cellStyle name="Normal 5 2 2 8 2 3" xfId="13626" xr:uid="{00000000-0005-0000-0000-0000B1290000}"/>
    <cellStyle name="Normal 5 2 2 8 2 3 2" xfId="33341" xr:uid="{00000000-0005-0000-0000-0000B2290000}"/>
    <cellStyle name="Normal 5 2 2 8 2 4" xfId="23484" xr:uid="{00000000-0005-0000-0000-0000B3290000}"/>
    <cellStyle name="Normal 5 2 2 8 3" xfId="6230" xr:uid="{00000000-0005-0000-0000-0000B4290000}"/>
    <cellStyle name="Normal 5 2 2 8 3 2" xfId="16090" xr:uid="{00000000-0005-0000-0000-0000B5290000}"/>
    <cellStyle name="Normal 5 2 2 8 3 2 2" xfId="35805" xr:uid="{00000000-0005-0000-0000-0000B6290000}"/>
    <cellStyle name="Normal 5 2 2 8 3 3" xfId="25948" xr:uid="{00000000-0005-0000-0000-0000B7290000}"/>
    <cellStyle name="Normal 5 2 2 8 4" xfId="11162" xr:uid="{00000000-0005-0000-0000-0000B8290000}"/>
    <cellStyle name="Normal 5 2 2 8 4 2" xfId="30877" xr:uid="{00000000-0005-0000-0000-0000B9290000}"/>
    <cellStyle name="Normal 5 2 2 8 5" xfId="21020" xr:uid="{00000000-0005-0000-0000-0000BA290000}"/>
    <cellStyle name="Normal 5 2 2 9" xfId="2530" xr:uid="{00000000-0005-0000-0000-0000BB290000}"/>
    <cellStyle name="Normal 5 2 2 9 2" xfId="7462" xr:uid="{00000000-0005-0000-0000-0000BC290000}"/>
    <cellStyle name="Normal 5 2 2 9 2 2" xfId="17322" xr:uid="{00000000-0005-0000-0000-0000BD290000}"/>
    <cellStyle name="Normal 5 2 2 9 2 2 2" xfId="37037" xr:uid="{00000000-0005-0000-0000-0000BE290000}"/>
    <cellStyle name="Normal 5 2 2 9 2 3" xfId="27180" xr:uid="{00000000-0005-0000-0000-0000BF290000}"/>
    <cellStyle name="Normal 5 2 2 9 3" xfId="12394" xr:uid="{00000000-0005-0000-0000-0000C0290000}"/>
    <cellStyle name="Normal 5 2 2 9 3 2" xfId="32109" xr:uid="{00000000-0005-0000-0000-0000C1290000}"/>
    <cellStyle name="Normal 5 2 2 9 4" xfId="22252" xr:uid="{00000000-0005-0000-0000-0000C2290000}"/>
    <cellStyle name="Normal 5 2 3" xfId="42" xr:uid="{00000000-0005-0000-0000-0000C3290000}"/>
    <cellStyle name="Normal 5 2 3 10" xfId="9940" xr:uid="{00000000-0005-0000-0000-0000C4290000}"/>
    <cellStyle name="Normal 5 2 3 10 2" xfId="29655" xr:uid="{00000000-0005-0000-0000-0000C5290000}"/>
    <cellStyle name="Normal 5 2 3 11" xfId="19798" xr:uid="{00000000-0005-0000-0000-0000C6290000}"/>
    <cellStyle name="Normal 5 2 3 2" xfId="86" xr:uid="{00000000-0005-0000-0000-0000C7290000}"/>
    <cellStyle name="Normal 5 2 3 2 10" xfId="19836" xr:uid="{00000000-0005-0000-0000-0000C8290000}"/>
    <cellStyle name="Normal 5 2 3 2 2" xfId="167" xr:uid="{00000000-0005-0000-0000-0000C9290000}"/>
    <cellStyle name="Normal 5 2 3 2 2 2" xfId="324" xr:uid="{00000000-0005-0000-0000-0000CA290000}"/>
    <cellStyle name="Normal 5 2 3 2 2 2 2" xfId="638" xr:uid="{00000000-0005-0000-0000-0000CB290000}"/>
    <cellStyle name="Normal 5 2 3 2 2 2 2 2" xfId="1258" xr:uid="{00000000-0005-0000-0000-0000CC290000}"/>
    <cellStyle name="Normal 5 2 3 2 2 2 2 2 2" xfId="2493" xr:uid="{00000000-0005-0000-0000-0000CD290000}"/>
    <cellStyle name="Normal 5 2 3 2 2 2 2 2 2 2" xfId="4960" xr:uid="{00000000-0005-0000-0000-0000CE290000}"/>
    <cellStyle name="Normal 5 2 3 2 2 2 2 2 2 2 2" xfId="9892" xr:uid="{00000000-0005-0000-0000-0000CF290000}"/>
    <cellStyle name="Normal 5 2 3 2 2 2 2 2 2 2 2 2" xfId="19752" xr:uid="{00000000-0005-0000-0000-0000D0290000}"/>
    <cellStyle name="Normal 5 2 3 2 2 2 2 2 2 2 2 2 2" xfId="39467" xr:uid="{00000000-0005-0000-0000-0000D1290000}"/>
    <cellStyle name="Normal 5 2 3 2 2 2 2 2 2 2 2 3" xfId="29610" xr:uid="{00000000-0005-0000-0000-0000D2290000}"/>
    <cellStyle name="Normal 5 2 3 2 2 2 2 2 2 2 3" xfId="14824" xr:uid="{00000000-0005-0000-0000-0000D3290000}"/>
    <cellStyle name="Normal 5 2 3 2 2 2 2 2 2 2 3 2" xfId="34539" xr:uid="{00000000-0005-0000-0000-0000D4290000}"/>
    <cellStyle name="Normal 5 2 3 2 2 2 2 2 2 2 4" xfId="24682" xr:uid="{00000000-0005-0000-0000-0000D5290000}"/>
    <cellStyle name="Normal 5 2 3 2 2 2 2 2 2 3" xfId="7428" xr:uid="{00000000-0005-0000-0000-0000D6290000}"/>
    <cellStyle name="Normal 5 2 3 2 2 2 2 2 2 3 2" xfId="17288" xr:uid="{00000000-0005-0000-0000-0000D7290000}"/>
    <cellStyle name="Normal 5 2 3 2 2 2 2 2 2 3 2 2" xfId="37003" xr:uid="{00000000-0005-0000-0000-0000D8290000}"/>
    <cellStyle name="Normal 5 2 3 2 2 2 2 2 2 3 3" xfId="27146" xr:uid="{00000000-0005-0000-0000-0000D9290000}"/>
    <cellStyle name="Normal 5 2 3 2 2 2 2 2 2 4" xfId="12360" xr:uid="{00000000-0005-0000-0000-0000DA290000}"/>
    <cellStyle name="Normal 5 2 3 2 2 2 2 2 2 4 2" xfId="32075" xr:uid="{00000000-0005-0000-0000-0000DB290000}"/>
    <cellStyle name="Normal 5 2 3 2 2 2 2 2 2 5" xfId="22218" xr:uid="{00000000-0005-0000-0000-0000DC290000}"/>
    <cellStyle name="Normal 5 2 3 2 2 2 2 2 3" xfId="3728" xr:uid="{00000000-0005-0000-0000-0000DD290000}"/>
    <cellStyle name="Normal 5 2 3 2 2 2 2 2 3 2" xfId="8660" xr:uid="{00000000-0005-0000-0000-0000DE290000}"/>
    <cellStyle name="Normal 5 2 3 2 2 2 2 2 3 2 2" xfId="18520" xr:uid="{00000000-0005-0000-0000-0000DF290000}"/>
    <cellStyle name="Normal 5 2 3 2 2 2 2 2 3 2 2 2" xfId="38235" xr:uid="{00000000-0005-0000-0000-0000E0290000}"/>
    <cellStyle name="Normal 5 2 3 2 2 2 2 2 3 2 3" xfId="28378" xr:uid="{00000000-0005-0000-0000-0000E1290000}"/>
    <cellStyle name="Normal 5 2 3 2 2 2 2 2 3 3" xfId="13592" xr:uid="{00000000-0005-0000-0000-0000E2290000}"/>
    <cellStyle name="Normal 5 2 3 2 2 2 2 2 3 3 2" xfId="33307" xr:uid="{00000000-0005-0000-0000-0000E3290000}"/>
    <cellStyle name="Normal 5 2 3 2 2 2 2 2 3 4" xfId="23450" xr:uid="{00000000-0005-0000-0000-0000E4290000}"/>
    <cellStyle name="Normal 5 2 3 2 2 2 2 2 4" xfId="6196" xr:uid="{00000000-0005-0000-0000-0000E5290000}"/>
    <cellStyle name="Normal 5 2 3 2 2 2 2 2 4 2" xfId="16056" xr:uid="{00000000-0005-0000-0000-0000E6290000}"/>
    <cellStyle name="Normal 5 2 3 2 2 2 2 2 4 2 2" xfId="35771" xr:uid="{00000000-0005-0000-0000-0000E7290000}"/>
    <cellStyle name="Normal 5 2 3 2 2 2 2 2 4 3" xfId="25914" xr:uid="{00000000-0005-0000-0000-0000E8290000}"/>
    <cellStyle name="Normal 5 2 3 2 2 2 2 2 5" xfId="11128" xr:uid="{00000000-0005-0000-0000-0000E9290000}"/>
    <cellStyle name="Normal 5 2 3 2 2 2 2 2 5 2" xfId="30843" xr:uid="{00000000-0005-0000-0000-0000EA290000}"/>
    <cellStyle name="Normal 5 2 3 2 2 2 2 2 6" xfId="20986" xr:uid="{00000000-0005-0000-0000-0000EB290000}"/>
    <cellStyle name="Normal 5 2 3 2 2 2 2 3" xfId="1877" xr:uid="{00000000-0005-0000-0000-0000EC290000}"/>
    <cellStyle name="Normal 5 2 3 2 2 2 2 3 2" xfId="4344" xr:uid="{00000000-0005-0000-0000-0000ED290000}"/>
    <cellStyle name="Normal 5 2 3 2 2 2 2 3 2 2" xfId="9276" xr:uid="{00000000-0005-0000-0000-0000EE290000}"/>
    <cellStyle name="Normal 5 2 3 2 2 2 2 3 2 2 2" xfId="19136" xr:uid="{00000000-0005-0000-0000-0000EF290000}"/>
    <cellStyle name="Normal 5 2 3 2 2 2 2 3 2 2 2 2" xfId="38851" xr:uid="{00000000-0005-0000-0000-0000F0290000}"/>
    <cellStyle name="Normal 5 2 3 2 2 2 2 3 2 2 3" xfId="28994" xr:uid="{00000000-0005-0000-0000-0000F1290000}"/>
    <cellStyle name="Normal 5 2 3 2 2 2 2 3 2 3" xfId="14208" xr:uid="{00000000-0005-0000-0000-0000F2290000}"/>
    <cellStyle name="Normal 5 2 3 2 2 2 2 3 2 3 2" xfId="33923" xr:uid="{00000000-0005-0000-0000-0000F3290000}"/>
    <cellStyle name="Normal 5 2 3 2 2 2 2 3 2 4" xfId="24066" xr:uid="{00000000-0005-0000-0000-0000F4290000}"/>
    <cellStyle name="Normal 5 2 3 2 2 2 2 3 3" xfId="6812" xr:uid="{00000000-0005-0000-0000-0000F5290000}"/>
    <cellStyle name="Normal 5 2 3 2 2 2 2 3 3 2" xfId="16672" xr:uid="{00000000-0005-0000-0000-0000F6290000}"/>
    <cellStyle name="Normal 5 2 3 2 2 2 2 3 3 2 2" xfId="36387" xr:uid="{00000000-0005-0000-0000-0000F7290000}"/>
    <cellStyle name="Normal 5 2 3 2 2 2 2 3 3 3" xfId="26530" xr:uid="{00000000-0005-0000-0000-0000F8290000}"/>
    <cellStyle name="Normal 5 2 3 2 2 2 2 3 4" xfId="11744" xr:uid="{00000000-0005-0000-0000-0000F9290000}"/>
    <cellStyle name="Normal 5 2 3 2 2 2 2 3 4 2" xfId="31459" xr:uid="{00000000-0005-0000-0000-0000FA290000}"/>
    <cellStyle name="Normal 5 2 3 2 2 2 2 3 5" xfId="21602" xr:uid="{00000000-0005-0000-0000-0000FB290000}"/>
    <cellStyle name="Normal 5 2 3 2 2 2 2 4" xfId="3112" xr:uid="{00000000-0005-0000-0000-0000FC290000}"/>
    <cellStyle name="Normal 5 2 3 2 2 2 2 4 2" xfId="8044" xr:uid="{00000000-0005-0000-0000-0000FD290000}"/>
    <cellStyle name="Normal 5 2 3 2 2 2 2 4 2 2" xfId="17904" xr:uid="{00000000-0005-0000-0000-0000FE290000}"/>
    <cellStyle name="Normal 5 2 3 2 2 2 2 4 2 2 2" xfId="37619" xr:uid="{00000000-0005-0000-0000-0000FF290000}"/>
    <cellStyle name="Normal 5 2 3 2 2 2 2 4 2 3" xfId="27762" xr:uid="{00000000-0005-0000-0000-0000002A0000}"/>
    <cellStyle name="Normal 5 2 3 2 2 2 2 4 3" xfId="12976" xr:uid="{00000000-0005-0000-0000-0000012A0000}"/>
    <cellStyle name="Normal 5 2 3 2 2 2 2 4 3 2" xfId="32691" xr:uid="{00000000-0005-0000-0000-0000022A0000}"/>
    <cellStyle name="Normal 5 2 3 2 2 2 2 4 4" xfId="22834" xr:uid="{00000000-0005-0000-0000-0000032A0000}"/>
    <cellStyle name="Normal 5 2 3 2 2 2 2 5" xfId="5580" xr:uid="{00000000-0005-0000-0000-0000042A0000}"/>
    <cellStyle name="Normal 5 2 3 2 2 2 2 5 2" xfId="15440" xr:uid="{00000000-0005-0000-0000-0000052A0000}"/>
    <cellStyle name="Normal 5 2 3 2 2 2 2 5 2 2" xfId="35155" xr:uid="{00000000-0005-0000-0000-0000062A0000}"/>
    <cellStyle name="Normal 5 2 3 2 2 2 2 5 3" xfId="25298" xr:uid="{00000000-0005-0000-0000-0000072A0000}"/>
    <cellStyle name="Normal 5 2 3 2 2 2 2 6" xfId="10512" xr:uid="{00000000-0005-0000-0000-0000082A0000}"/>
    <cellStyle name="Normal 5 2 3 2 2 2 2 6 2" xfId="30227" xr:uid="{00000000-0005-0000-0000-0000092A0000}"/>
    <cellStyle name="Normal 5 2 3 2 2 2 2 7" xfId="20370" xr:uid="{00000000-0005-0000-0000-00000A2A0000}"/>
    <cellStyle name="Normal 5 2 3 2 2 2 3" xfId="951" xr:uid="{00000000-0005-0000-0000-00000B2A0000}"/>
    <cellStyle name="Normal 5 2 3 2 2 2 3 2" xfId="2187" xr:uid="{00000000-0005-0000-0000-00000C2A0000}"/>
    <cellStyle name="Normal 5 2 3 2 2 2 3 2 2" xfId="4654" xr:uid="{00000000-0005-0000-0000-00000D2A0000}"/>
    <cellStyle name="Normal 5 2 3 2 2 2 3 2 2 2" xfId="9586" xr:uid="{00000000-0005-0000-0000-00000E2A0000}"/>
    <cellStyle name="Normal 5 2 3 2 2 2 3 2 2 2 2" xfId="19446" xr:uid="{00000000-0005-0000-0000-00000F2A0000}"/>
    <cellStyle name="Normal 5 2 3 2 2 2 3 2 2 2 2 2" xfId="39161" xr:uid="{00000000-0005-0000-0000-0000102A0000}"/>
    <cellStyle name="Normal 5 2 3 2 2 2 3 2 2 2 3" xfId="29304" xr:uid="{00000000-0005-0000-0000-0000112A0000}"/>
    <cellStyle name="Normal 5 2 3 2 2 2 3 2 2 3" xfId="14518" xr:uid="{00000000-0005-0000-0000-0000122A0000}"/>
    <cellStyle name="Normal 5 2 3 2 2 2 3 2 2 3 2" xfId="34233" xr:uid="{00000000-0005-0000-0000-0000132A0000}"/>
    <cellStyle name="Normal 5 2 3 2 2 2 3 2 2 4" xfId="24376" xr:uid="{00000000-0005-0000-0000-0000142A0000}"/>
    <cellStyle name="Normal 5 2 3 2 2 2 3 2 3" xfId="7122" xr:uid="{00000000-0005-0000-0000-0000152A0000}"/>
    <cellStyle name="Normal 5 2 3 2 2 2 3 2 3 2" xfId="16982" xr:uid="{00000000-0005-0000-0000-0000162A0000}"/>
    <cellStyle name="Normal 5 2 3 2 2 2 3 2 3 2 2" xfId="36697" xr:uid="{00000000-0005-0000-0000-0000172A0000}"/>
    <cellStyle name="Normal 5 2 3 2 2 2 3 2 3 3" xfId="26840" xr:uid="{00000000-0005-0000-0000-0000182A0000}"/>
    <cellStyle name="Normal 5 2 3 2 2 2 3 2 4" xfId="12054" xr:uid="{00000000-0005-0000-0000-0000192A0000}"/>
    <cellStyle name="Normal 5 2 3 2 2 2 3 2 4 2" xfId="31769" xr:uid="{00000000-0005-0000-0000-00001A2A0000}"/>
    <cellStyle name="Normal 5 2 3 2 2 2 3 2 5" xfId="21912" xr:uid="{00000000-0005-0000-0000-00001B2A0000}"/>
    <cellStyle name="Normal 5 2 3 2 2 2 3 3" xfId="3422" xr:uid="{00000000-0005-0000-0000-00001C2A0000}"/>
    <cellStyle name="Normal 5 2 3 2 2 2 3 3 2" xfId="8354" xr:uid="{00000000-0005-0000-0000-00001D2A0000}"/>
    <cellStyle name="Normal 5 2 3 2 2 2 3 3 2 2" xfId="18214" xr:uid="{00000000-0005-0000-0000-00001E2A0000}"/>
    <cellStyle name="Normal 5 2 3 2 2 2 3 3 2 2 2" xfId="37929" xr:uid="{00000000-0005-0000-0000-00001F2A0000}"/>
    <cellStyle name="Normal 5 2 3 2 2 2 3 3 2 3" xfId="28072" xr:uid="{00000000-0005-0000-0000-0000202A0000}"/>
    <cellStyle name="Normal 5 2 3 2 2 2 3 3 3" xfId="13286" xr:uid="{00000000-0005-0000-0000-0000212A0000}"/>
    <cellStyle name="Normal 5 2 3 2 2 2 3 3 3 2" xfId="33001" xr:uid="{00000000-0005-0000-0000-0000222A0000}"/>
    <cellStyle name="Normal 5 2 3 2 2 2 3 3 4" xfId="23144" xr:uid="{00000000-0005-0000-0000-0000232A0000}"/>
    <cellStyle name="Normal 5 2 3 2 2 2 3 4" xfId="5890" xr:uid="{00000000-0005-0000-0000-0000242A0000}"/>
    <cellStyle name="Normal 5 2 3 2 2 2 3 4 2" xfId="15750" xr:uid="{00000000-0005-0000-0000-0000252A0000}"/>
    <cellStyle name="Normal 5 2 3 2 2 2 3 4 2 2" xfId="35465" xr:uid="{00000000-0005-0000-0000-0000262A0000}"/>
    <cellStyle name="Normal 5 2 3 2 2 2 3 4 3" xfId="25608" xr:uid="{00000000-0005-0000-0000-0000272A0000}"/>
    <cellStyle name="Normal 5 2 3 2 2 2 3 5" xfId="10822" xr:uid="{00000000-0005-0000-0000-0000282A0000}"/>
    <cellStyle name="Normal 5 2 3 2 2 2 3 5 2" xfId="30537" xr:uid="{00000000-0005-0000-0000-0000292A0000}"/>
    <cellStyle name="Normal 5 2 3 2 2 2 3 6" xfId="20680" xr:uid="{00000000-0005-0000-0000-00002A2A0000}"/>
    <cellStyle name="Normal 5 2 3 2 2 2 4" xfId="1571" xr:uid="{00000000-0005-0000-0000-00002B2A0000}"/>
    <cellStyle name="Normal 5 2 3 2 2 2 4 2" xfId="4038" xr:uid="{00000000-0005-0000-0000-00002C2A0000}"/>
    <cellStyle name="Normal 5 2 3 2 2 2 4 2 2" xfId="8970" xr:uid="{00000000-0005-0000-0000-00002D2A0000}"/>
    <cellStyle name="Normal 5 2 3 2 2 2 4 2 2 2" xfId="18830" xr:uid="{00000000-0005-0000-0000-00002E2A0000}"/>
    <cellStyle name="Normal 5 2 3 2 2 2 4 2 2 2 2" xfId="38545" xr:uid="{00000000-0005-0000-0000-00002F2A0000}"/>
    <cellStyle name="Normal 5 2 3 2 2 2 4 2 2 3" xfId="28688" xr:uid="{00000000-0005-0000-0000-0000302A0000}"/>
    <cellStyle name="Normal 5 2 3 2 2 2 4 2 3" xfId="13902" xr:uid="{00000000-0005-0000-0000-0000312A0000}"/>
    <cellStyle name="Normal 5 2 3 2 2 2 4 2 3 2" xfId="33617" xr:uid="{00000000-0005-0000-0000-0000322A0000}"/>
    <cellStyle name="Normal 5 2 3 2 2 2 4 2 4" xfId="23760" xr:uid="{00000000-0005-0000-0000-0000332A0000}"/>
    <cellStyle name="Normal 5 2 3 2 2 2 4 3" xfId="6506" xr:uid="{00000000-0005-0000-0000-0000342A0000}"/>
    <cellStyle name="Normal 5 2 3 2 2 2 4 3 2" xfId="16366" xr:uid="{00000000-0005-0000-0000-0000352A0000}"/>
    <cellStyle name="Normal 5 2 3 2 2 2 4 3 2 2" xfId="36081" xr:uid="{00000000-0005-0000-0000-0000362A0000}"/>
    <cellStyle name="Normal 5 2 3 2 2 2 4 3 3" xfId="26224" xr:uid="{00000000-0005-0000-0000-0000372A0000}"/>
    <cellStyle name="Normal 5 2 3 2 2 2 4 4" xfId="11438" xr:uid="{00000000-0005-0000-0000-0000382A0000}"/>
    <cellStyle name="Normal 5 2 3 2 2 2 4 4 2" xfId="31153" xr:uid="{00000000-0005-0000-0000-0000392A0000}"/>
    <cellStyle name="Normal 5 2 3 2 2 2 4 5" xfId="21296" xr:uid="{00000000-0005-0000-0000-00003A2A0000}"/>
    <cellStyle name="Normal 5 2 3 2 2 2 5" xfId="2806" xr:uid="{00000000-0005-0000-0000-00003B2A0000}"/>
    <cellStyle name="Normal 5 2 3 2 2 2 5 2" xfId="7738" xr:uid="{00000000-0005-0000-0000-00003C2A0000}"/>
    <cellStyle name="Normal 5 2 3 2 2 2 5 2 2" xfId="17598" xr:uid="{00000000-0005-0000-0000-00003D2A0000}"/>
    <cellStyle name="Normal 5 2 3 2 2 2 5 2 2 2" xfId="37313" xr:uid="{00000000-0005-0000-0000-00003E2A0000}"/>
    <cellStyle name="Normal 5 2 3 2 2 2 5 2 3" xfId="27456" xr:uid="{00000000-0005-0000-0000-00003F2A0000}"/>
    <cellStyle name="Normal 5 2 3 2 2 2 5 3" xfId="12670" xr:uid="{00000000-0005-0000-0000-0000402A0000}"/>
    <cellStyle name="Normal 5 2 3 2 2 2 5 3 2" xfId="32385" xr:uid="{00000000-0005-0000-0000-0000412A0000}"/>
    <cellStyle name="Normal 5 2 3 2 2 2 5 4" xfId="22528" xr:uid="{00000000-0005-0000-0000-0000422A0000}"/>
    <cellStyle name="Normal 5 2 3 2 2 2 6" xfId="5274" xr:uid="{00000000-0005-0000-0000-0000432A0000}"/>
    <cellStyle name="Normal 5 2 3 2 2 2 6 2" xfId="15134" xr:uid="{00000000-0005-0000-0000-0000442A0000}"/>
    <cellStyle name="Normal 5 2 3 2 2 2 6 2 2" xfId="34849" xr:uid="{00000000-0005-0000-0000-0000452A0000}"/>
    <cellStyle name="Normal 5 2 3 2 2 2 6 3" xfId="24992" xr:uid="{00000000-0005-0000-0000-0000462A0000}"/>
    <cellStyle name="Normal 5 2 3 2 2 2 7" xfId="10206" xr:uid="{00000000-0005-0000-0000-0000472A0000}"/>
    <cellStyle name="Normal 5 2 3 2 2 2 7 2" xfId="29921" xr:uid="{00000000-0005-0000-0000-0000482A0000}"/>
    <cellStyle name="Normal 5 2 3 2 2 2 8" xfId="20064" xr:uid="{00000000-0005-0000-0000-0000492A0000}"/>
    <cellStyle name="Normal 5 2 3 2 2 3" xfId="486" xr:uid="{00000000-0005-0000-0000-00004A2A0000}"/>
    <cellStyle name="Normal 5 2 3 2 2 3 2" xfId="1106" xr:uid="{00000000-0005-0000-0000-00004B2A0000}"/>
    <cellStyle name="Normal 5 2 3 2 2 3 2 2" xfId="2341" xr:uid="{00000000-0005-0000-0000-00004C2A0000}"/>
    <cellStyle name="Normal 5 2 3 2 2 3 2 2 2" xfId="4808" xr:uid="{00000000-0005-0000-0000-00004D2A0000}"/>
    <cellStyle name="Normal 5 2 3 2 2 3 2 2 2 2" xfId="9740" xr:uid="{00000000-0005-0000-0000-00004E2A0000}"/>
    <cellStyle name="Normal 5 2 3 2 2 3 2 2 2 2 2" xfId="19600" xr:uid="{00000000-0005-0000-0000-00004F2A0000}"/>
    <cellStyle name="Normal 5 2 3 2 2 3 2 2 2 2 2 2" xfId="39315" xr:uid="{00000000-0005-0000-0000-0000502A0000}"/>
    <cellStyle name="Normal 5 2 3 2 2 3 2 2 2 2 3" xfId="29458" xr:uid="{00000000-0005-0000-0000-0000512A0000}"/>
    <cellStyle name="Normal 5 2 3 2 2 3 2 2 2 3" xfId="14672" xr:uid="{00000000-0005-0000-0000-0000522A0000}"/>
    <cellStyle name="Normal 5 2 3 2 2 3 2 2 2 3 2" xfId="34387" xr:uid="{00000000-0005-0000-0000-0000532A0000}"/>
    <cellStyle name="Normal 5 2 3 2 2 3 2 2 2 4" xfId="24530" xr:uid="{00000000-0005-0000-0000-0000542A0000}"/>
    <cellStyle name="Normal 5 2 3 2 2 3 2 2 3" xfId="7276" xr:uid="{00000000-0005-0000-0000-0000552A0000}"/>
    <cellStyle name="Normal 5 2 3 2 2 3 2 2 3 2" xfId="17136" xr:uid="{00000000-0005-0000-0000-0000562A0000}"/>
    <cellStyle name="Normal 5 2 3 2 2 3 2 2 3 2 2" xfId="36851" xr:uid="{00000000-0005-0000-0000-0000572A0000}"/>
    <cellStyle name="Normal 5 2 3 2 2 3 2 2 3 3" xfId="26994" xr:uid="{00000000-0005-0000-0000-0000582A0000}"/>
    <cellStyle name="Normal 5 2 3 2 2 3 2 2 4" xfId="12208" xr:uid="{00000000-0005-0000-0000-0000592A0000}"/>
    <cellStyle name="Normal 5 2 3 2 2 3 2 2 4 2" xfId="31923" xr:uid="{00000000-0005-0000-0000-00005A2A0000}"/>
    <cellStyle name="Normal 5 2 3 2 2 3 2 2 5" xfId="22066" xr:uid="{00000000-0005-0000-0000-00005B2A0000}"/>
    <cellStyle name="Normal 5 2 3 2 2 3 2 3" xfId="3576" xr:uid="{00000000-0005-0000-0000-00005C2A0000}"/>
    <cellStyle name="Normal 5 2 3 2 2 3 2 3 2" xfId="8508" xr:uid="{00000000-0005-0000-0000-00005D2A0000}"/>
    <cellStyle name="Normal 5 2 3 2 2 3 2 3 2 2" xfId="18368" xr:uid="{00000000-0005-0000-0000-00005E2A0000}"/>
    <cellStyle name="Normal 5 2 3 2 2 3 2 3 2 2 2" xfId="38083" xr:uid="{00000000-0005-0000-0000-00005F2A0000}"/>
    <cellStyle name="Normal 5 2 3 2 2 3 2 3 2 3" xfId="28226" xr:uid="{00000000-0005-0000-0000-0000602A0000}"/>
    <cellStyle name="Normal 5 2 3 2 2 3 2 3 3" xfId="13440" xr:uid="{00000000-0005-0000-0000-0000612A0000}"/>
    <cellStyle name="Normal 5 2 3 2 2 3 2 3 3 2" xfId="33155" xr:uid="{00000000-0005-0000-0000-0000622A0000}"/>
    <cellStyle name="Normal 5 2 3 2 2 3 2 3 4" xfId="23298" xr:uid="{00000000-0005-0000-0000-0000632A0000}"/>
    <cellStyle name="Normal 5 2 3 2 2 3 2 4" xfId="6044" xr:uid="{00000000-0005-0000-0000-0000642A0000}"/>
    <cellStyle name="Normal 5 2 3 2 2 3 2 4 2" xfId="15904" xr:uid="{00000000-0005-0000-0000-0000652A0000}"/>
    <cellStyle name="Normal 5 2 3 2 2 3 2 4 2 2" xfId="35619" xr:uid="{00000000-0005-0000-0000-0000662A0000}"/>
    <cellStyle name="Normal 5 2 3 2 2 3 2 4 3" xfId="25762" xr:uid="{00000000-0005-0000-0000-0000672A0000}"/>
    <cellStyle name="Normal 5 2 3 2 2 3 2 5" xfId="10976" xr:uid="{00000000-0005-0000-0000-0000682A0000}"/>
    <cellStyle name="Normal 5 2 3 2 2 3 2 5 2" xfId="30691" xr:uid="{00000000-0005-0000-0000-0000692A0000}"/>
    <cellStyle name="Normal 5 2 3 2 2 3 2 6" xfId="20834" xr:uid="{00000000-0005-0000-0000-00006A2A0000}"/>
    <cellStyle name="Normal 5 2 3 2 2 3 3" xfId="1725" xr:uid="{00000000-0005-0000-0000-00006B2A0000}"/>
    <cellStyle name="Normal 5 2 3 2 2 3 3 2" xfId="4192" xr:uid="{00000000-0005-0000-0000-00006C2A0000}"/>
    <cellStyle name="Normal 5 2 3 2 2 3 3 2 2" xfId="9124" xr:uid="{00000000-0005-0000-0000-00006D2A0000}"/>
    <cellStyle name="Normal 5 2 3 2 2 3 3 2 2 2" xfId="18984" xr:uid="{00000000-0005-0000-0000-00006E2A0000}"/>
    <cellStyle name="Normal 5 2 3 2 2 3 3 2 2 2 2" xfId="38699" xr:uid="{00000000-0005-0000-0000-00006F2A0000}"/>
    <cellStyle name="Normal 5 2 3 2 2 3 3 2 2 3" xfId="28842" xr:uid="{00000000-0005-0000-0000-0000702A0000}"/>
    <cellStyle name="Normal 5 2 3 2 2 3 3 2 3" xfId="14056" xr:uid="{00000000-0005-0000-0000-0000712A0000}"/>
    <cellStyle name="Normal 5 2 3 2 2 3 3 2 3 2" xfId="33771" xr:uid="{00000000-0005-0000-0000-0000722A0000}"/>
    <cellStyle name="Normal 5 2 3 2 2 3 3 2 4" xfId="23914" xr:uid="{00000000-0005-0000-0000-0000732A0000}"/>
    <cellStyle name="Normal 5 2 3 2 2 3 3 3" xfId="6660" xr:uid="{00000000-0005-0000-0000-0000742A0000}"/>
    <cellStyle name="Normal 5 2 3 2 2 3 3 3 2" xfId="16520" xr:uid="{00000000-0005-0000-0000-0000752A0000}"/>
    <cellStyle name="Normal 5 2 3 2 2 3 3 3 2 2" xfId="36235" xr:uid="{00000000-0005-0000-0000-0000762A0000}"/>
    <cellStyle name="Normal 5 2 3 2 2 3 3 3 3" xfId="26378" xr:uid="{00000000-0005-0000-0000-0000772A0000}"/>
    <cellStyle name="Normal 5 2 3 2 2 3 3 4" xfId="11592" xr:uid="{00000000-0005-0000-0000-0000782A0000}"/>
    <cellStyle name="Normal 5 2 3 2 2 3 3 4 2" xfId="31307" xr:uid="{00000000-0005-0000-0000-0000792A0000}"/>
    <cellStyle name="Normal 5 2 3 2 2 3 3 5" xfId="21450" xr:uid="{00000000-0005-0000-0000-00007A2A0000}"/>
    <cellStyle name="Normal 5 2 3 2 2 3 4" xfId="2960" xr:uid="{00000000-0005-0000-0000-00007B2A0000}"/>
    <cellStyle name="Normal 5 2 3 2 2 3 4 2" xfId="7892" xr:uid="{00000000-0005-0000-0000-00007C2A0000}"/>
    <cellStyle name="Normal 5 2 3 2 2 3 4 2 2" xfId="17752" xr:uid="{00000000-0005-0000-0000-00007D2A0000}"/>
    <cellStyle name="Normal 5 2 3 2 2 3 4 2 2 2" xfId="37467" xr:uid="{00000000-0005-0000-0000-00007E2A0000}"/>
    <cellStyle name="Normal 5 2 3 2 2 3 4 2 3" xfId="27610" xr:uid="{00000000-0005-0000-0000-00007F2A0000}"/>
    <cellStyle name="Normal 5 2 3 2 2 3 4 3" xfId="12824" xr:uid="{00000000-0005-0000-0000-0000802A0000}"/>
    <cellStyle name="Normal 5 2 3 2 2 3 4 3 2" xfId="32539" xr:uid="{00000000-0005-0000-0000-0000812A0000}"/>
    <cellStyle name="Normal 5 2 3 2 2 3 4 4" xfId="22682" xr:uid="{00000000-0005-0000-0000-0000822A0000}"/>
    <cellStyle name="Normal 5 2 3 2 2 3 5" xfId="5428" xr:uid="{00000000-0005-0000-0000-0000832A0000}"/>
    <cellStyle name="Normal 5 2 3 2 2 3 5 2" xfId="15288" xr:uid="{00000000-0005-0000-0000-0000842A0000}"/>
    <cellStyle name="Normal 5 2 3 2 2 3 5 2 2" xfId="35003" xr:uid="{00000000-0005-0000-0000-0000852A0000}"/>
    <cellStyle name="Normal 5 2 3 2 2 3 5 3" xfId="25146" xr:uid="{00000000-0005-0000-0000-0000862A0000}"/>
    <cellStyle name="Normal 5 2 3 2 2 3 6" xfId="10360" xr:uid="{00000000-0005-0000-0000-0000872A0000}"/>
    <cellStyle name="Normal 5 2 3 2 2 3 6 2" xfId="30075" xr:uid="{00000000-0005-0000-0000-0000882A0000}"/>
    <cellStyle name="Normal 5 2 3 2 2 3 7" xfId="20218" xr:uid="{00000000-0005-0000-0000-0000892A0000}"/>
    <cellStyle name="Normal 5 2 3 2 2 4" xfId="799" xr:uid="{00000000-0005-0000-0000-00008A2A0000}"/>
    <cellStyle name="Normal 5 2 3 2 2 4 2" xfId="2035" xr:uid="{00000000-0005-0000-0000-00008B2A0000}"/>
    <cellStyle name="Normal 5 2 3 2 2 4 2 2" xfId="4502" xr:uid="{00000000-0005-0000-0000-00008C2A0000}"/>
    <cellStyle name="Normal 5 2 3 2 2 4 2 2 2" xfId="9434" xr:uid="{00000000-0005-0000-0000-00008D2A0000}"/>
    <cellStyle name="Normal 5 2 3 2 2 4 2 2 2 2" xfId="19294" xr:uid="{00000000-0005-0000-0000-00008E2A0000}"/>
    <cellStyle name="Normal 5 2 3 2 2 4 2 2 2 2 2" xfId="39009" xr:uid="{00000000-0005-0000-0000-00008F2A0000}"/>
    <cellStyle name="Normal 5 2 3 2 2 4 2 2 2 3" xfId="29152" xr:uid="{00000000-0005-0000-0000-0000902A0000}"/>
    <cellStyle name="Normal 5 2 3 2 2 4 2 2 3" xfId="14366" xr:uid="{00000000-0005-0000-0000-0000912A0000}"/>
    <cellStyle name="Normal 5 2 3 2 2 4 2 2 3 2" xfId="34081" xr:uid="{00000000-0005-0000-0000-0000922A0000}"/>
    <cellStyle name="Normal 5 2 3 2 2 4 2 2 4" xfId="24224" xr:uid="{00000000-0005-0000-0000-0000932A0000}"/>
    <cellStyle name="Normal 5 2 3 2 2 4 2 3" xfId="6970" xr:uid="{00000000-0005-0000-0000-0000942A0000}"/>
    <cellStyle name="Normal 5 2 3 2 2 4 2 3 2" xfId="16830" xr:uid="{00000000-0005-0000-0000-0000952A0000}"/>
    <cellStyle name="Normal 5 2 3 2 2 4 2 3 2 2" xfId="36545" xr:uid="{00000000-0005-0000-0000-0000962A0000}"/>
    <cellStyle name="Normal 5 2 3 2 2 4 2 3 3" xfId="26688" xr:uid="{00000000-0005-0000-0000-0000972A0000}"/>
    <cellStyle name="Normal 5 2 3 2 2 4 2 4" xfId="11902" xr:uid="{00000000-0005-0000-0000-0000982A0000}"/>
    <cellStyle name="Normal 5 2 3 2 2 4 2 4 2" xfId="31617" xr:uid="{00000000-0005-0000-0000-0000992A0000}"/>
    <cellStyle name="Normal 5 2 3 2 2 4 2 5" xfId="21760" xr:uid="{00000000-0005-0000-0000-00009A2A0000}"/>
    <cellStyle name="Normal 5 2 3 2 2 4 3" xfId="3270" xr:uid="{00000000-0005-0000-0000-00009B2A0000}"/>
    <cellStyle name="Normal 5 2 3 2 2 4 3 2" xfId="8202" xr:uid="{00000000-0005-0000-0000-00009C2A0000}"/>
    <cellStyle name="Normal 5 2 3 2 2 4 3 2 2" xfId="18062" xr:uid="{00000000-0005-0000-0000-00009D2A0000}"/>
    <cellStyle name="Normal 5 2 3 2 2 4 3 2 2 2" xfId="37777" xr:uid="{00000000-0005-0000-0000-00009E2A0000}"/>
    <cellStyle name="Normal 5 2 3 2 2 4 3 2 3" xfId="27920" xr:uid="{00000000-0005-0000-0000-00009F2A0000}"/>
    <cellStyle name="Normal 5 2 3 2 2 4 3 3" xfId="13134" xr:uid="{00000000-0005-0000-0000-0000A02A0000}"/>
    <cellStyle name="Normal 5 2 3 2 2 4 3 3 2" xfId="32849" xr:uid="{00000000-0005-0000-0000-0000A12A0000}"/>
    <cellStyle name="Normal 5 2 3 2 2 4 3 4" xfId="22992" xr:uid="{00000000-0005-0000-0000-0000A22A0000}"/>
    <cellStyle name="Normal 5 2 3 2 2 4 4" xfId="5738" xr:uid="{00000000-0005-0000-0000-0000A32A0000}"/>
    <cellStyle name="Normal 5 2 3 2 2 4 4 2" xfId="15598" xr:uid="{00000000-0005-0000-0000-0000A42A0000}"/>
    <cellStyle name="Normal 5 2 3 2 2 4 4 2 2" xfId="35313" xr:uid="{00000000-0005-0000-0000-0000A52A0000}"/>
    <cellStyle name="Normal 5 2 3 2 2 4 4 3" xfId="25456" xr:uid="{00000000-0005-0000-0000-0000A62A0000}"/>
    <cellStyle name="Normal 5 2 3 2 2 4 5" xfId="10670" xr:uid="{00000000-0005-0000-0000-0000A72A0000}"/>
    <cellStyle name="Normal 5 2 3 2 2 4 5 2" xfId="30385" xr:uid="{00000000-0005-0000-0000-0000A82A0000}"/>
    <cellStyle name="Normal 5 2 3 2 2 4 6" xfId="20528" xr:uid="{00000000-0005-0000-0000-0000A92A0000}"/>
    <cellStyle name="Normal 5 2 3 2 2 5" xfId="1419" xr:uid="{00000000-0005-0000-0000-0000AA2A0000}"/>
    <cellStyle name="Normal 5 2 3 2 2 5 2" xfId="3886" xr:uid="{00000000-0005-0000-0000-0000AB2A0000}"/>
    <cellStyle name="Normal 5 2 3 2 2 5 2 2" xfId="8818" xr:uid="{00000000-0005-0000-0000-0000AC2A0000}"/>
    <cellStyle name="Normal 5 2 3 2 2 5 2 2 2" xfId="18678" xr:uid="{00000000-0005-0000-0000-0000AD2A0000}"/>
    <cellStyle name="Normal 5 2 3 2 2 5 2 2 2 2" xfId="38393" xr:uid="{00000000-0005-0000-0000-0000AE2A0000}"/>
    <cellStyle name="Normal 5 2 3 2 2 5 2 2 3" xfId="28536" xr:uid="{00000000-0005-0000-0000-0000AF2A0000}"/>
    <cellStyle name="Normal 5 2 3 2 2 5 2 3" xfId="13750" xr:uid="{00000000-0005-0000-0000-0000B02A0000}"/>
    <cellStyle name="Normal 5 2 3 2 2 5 2 3 2" xfId="33465" xr:uid="{00000000-0005-0000-0000-0000B12A0000}"/>
    <cellStyle name="Normal 5 2 3 2 2 5 2 4" xfId="23608" xr:uid="{00000000-0005-0000-0000-0000B22A0000}"/>
    <cellStyle name="Normal 5 2 3 2 2 5 3" xfId="6354" xr:uid="{00000000-0005-0000-0000-0000B32A0000}"/>
    <cellStyle name="Normal 5 2 3 2 2 5 3 2" xfId="16214" xr:uid="{00000000-0005-0000-0000-0000B42A0000}"/>
    <cellStyle name="Normal 5 2 3 2 2 5 3 2 2" xfId="35929" xr:uid="{00000000-0005-0000-0000-0000B52A0000}"/>
    <cellStyle name="Normal 5 2 3 2 2 5 3 3" xfId="26072" xr:uid="{00000000-0005-0000-0000-0000B62A0000}"/>
    <cellStyle name="Normal 5 2 3 2 2 5 4" xfId="11286" xr:uid="{00000000-0005-0000-0000-0000B72A0000}"/>
    <cellStyle name="Normal 5 2 3 2 2 5 4 2" xfId="31001" xr:uid="{00000000-0005-0000-0000-0000B82A0000}"/>
    <cellStyle name="Normal 5 2 3 2 2 5 5" xfId="21144" xr:uid="{00000000-0005-0000-0000-0000B92A0000}"/>
    <cellStyle name="Normal 5 2 3 2 2 6" xfId="2654" xr:uid="{00000000-0005-0000-0000-0000BA2A0000}"/>
    <cellStyle name="Normal 5 2 3 2 2 6 2" xfId="7586" xr:uid="{00000000-0005-0000-0000-0000BB2A0000}"/>
    <cellStyle name="Normal 5 2 3 2 2 6 2 2" xfId="17446" xr:uid="{00000000-0005-0000-0000-0000BC2A0000}"/>
    <cellStyle name="Normal 5 2 3 2 2 6 2 2 2" xfId="37161" xr:uid="{00000000-0005-0000-0000-0000BD2A0000}"/>
    <cellStyle name="Normal 5 2 3 2 2 6 2 3" xfId="27304" xr:uid="{00000000-0005-0000-0000-0000BE2A0000}"/>
    <cellStyle name="Normal 5 2 3 2 2 6 3" xfId="12518" xr:uid="{00000000-0005-0000-0000-0000BF2A0000}"/>
    <cellStyle name="Normal 5 2 3 2 2 6 3 2" xfId="32233" xr:uid="{00000000-0005-0000-0000-0000C02A0000}"/>
    <cellStyle name="Normal 5 2 3 2 2 6 4" xfId="22376" xr:uid="{00000000-0005-0000-0000-0000C12A0000}"/>
    <cellStyle name="Normal 5 2 3 2 2 7" xfId="5122" xr:uid="{00000000-0005-0000-0000-0000C22A0000}"/>
    <cellStyle name="Normal 5 2 3 2 2 7 2" xfId="14982" xr:uid="{00000000-0005-0000-0000-0000C32A0000}"/>
    <cellStyle name="Normal 5 2 3 2 2 7 2 2" xfId="34697" xr:uid="{00000000-0005-0000-0000-0000C42A0000}"/>
    <cellStyle name="Normal 5 2 3 2 2 7 3" xfId="24840" xr:uid="{00000000-0005-0000-0000-0000C52A0000}"/>
    <cellStyle name="Normal 5 2 3 2 2 8" xfId="10054" xr:uid="{00000000-0005-0000-0000-0000C62A0000}"/>
    <cellStyle name="Normal 5 2 3 2 2 8 2" xfId="29769" xr:uid="{00000000-0005-0000-0000-0000C72A0000}"/>
    <cellStyle name="Normal 5 2 3 2 2 9" xfId="19912" xr:uid="{00000000-0005-0000-0000-0000C82A0000}"/>
    <cellStyle name="Normal 5 2 3 2 3" xfId="248" xr:uid="{00000000-0005-0000-0000-0000C92A0000}"/>
    <cellStyle name="Normal 5 2 3 2 3 2" xfId="562" xr:uid="{00000000-0005-0000-0000-0000CA2A0000}"/>
    <cellStyle name="Normal 5 2 3 2 3 2 2" xfId="1182" xr:uid="{00000000-0005-0000-0000-0000CB2A0000}"/>
    <cellStyle name="Normal 5 2 3 2 3 2 2 2" xfId="2417" xr:uid="{00000000-0005-0000-0000-0000CC2A0000}"/>
    <cellStyle name="Normal 5 2 3 2 3 2 2 2 2" xfId="4884" xr:uid="{00000000-0005-0000-0000-0000CD2A0000}"/>
    <cellStyle name="Normal 5 2 3 2 3 2 2 2 2 2" xfId="9816" xr:uid="{00000000-0005-0000-0000-0000CE2A0000}"/>
    <cellStyle name="Normal 5 2 3 2 3 2 2 2 2 2 2" xfId="19676" xr:uid="{00000000-0005-0000-0000-0000CF2A0000}"/>
    <cellStyle name="Normal 5 2 3 2 3 2 2 2 2 2 2 2" xfId="39391" xr:uid="{00000000-0005-0000-0000-0000D02A0000}"/>
    <cellStyle name="Normal 5 2 3 2 3 2 2 2 2 2 3" xfId="29534" xr:uid="{00000000-0005-0000-0000-0000D12A0000}"/>
    <cellStyle name="Normal 5 2 3 2 3 2 2 2 2 3" xfId="14748" xr:uid="{00000000-0005-0000-0000-0000D22A0000}"/>
    <cellStyle name="Normal 5 2 3 2 3 2 2 2 2 3 2" xfId="34463" xr:uid="{00000000-0005-0000-0000-0000D32A0000}"/>
    <cellStyle name="Normal 5 2 3 2 3 2 2 2 2 4" xfId="24606" xr:uid="{00000000-0005-0000-0000-0000D42A0000}"/>
    <cellStyle name="Normal 5 2 3 2 3 2 2 2 3" xfId="7352" xr:uid="{00000000-0005-0000-0000-0000D52A0000}"/>
    <cellStyle name="Normal 5 2 3 2 3 2 2 2 3 2" xfId="17212" xr:uid="{00000000-0005-0000-0000-0000D62A0000}"/>
    <cellStyle name="Normal 5 2 3 2 3 2 2 2 3 2 2" xfId="36927" xr:uid="{00000000-0005-0000-0000-0000D72A0000}"/>
    <cellStyle name="Normal 5 2 3 2 3 2 2 2 3 3" xfId="27070" xr:uid="{00000000-0005-0000-0000-0000D82A0000}"/>
    <cellStyle name="Normal 5 2 3 2 3 2 2 2 4" xfId="12284" xr:uid="{00000000-0005-0000-0000-0000D92A0000}"/>
    <cellStyle name="Normal 5 2 3 2 3 2 2 2 4 2" xfId="31999" xr:uid="{00000000-0005-0000-0000-0000DA2A0000}"/>
    <cellStyle name="Normal 5 2 3 2 3 2 2 2 5" xfId="22142" xr:uid="{00000000-0005-0000-0000-0000DB2A0000}"/>
    <cellStyle name="Normal 5 2 3 2 3 2 2 3" xfId="3652" xr:uid="{00000000-0005-0000-0000-0000DC2A0000}"/>
    <cellStyle name="Normal 5 2 3 2 3 2 2 3 2" xfId="8584" xr:uid="{00000000-0005-0000-0000-0000DD2A0000}"/>
    <cellStyle name="Normal 5 2 3 2 3 2 2 3 2 2" xfId="18444" xr:uid="{00000000-0005-0000-0000-0000DE2A0000}"/>
    <cellStyle name="Normal 5 2 3 2 3 2 2 3 2 2 2" xfId="38159" xr:uid="{00000000-0005-0000-0000-0000DF2A0000}"/>
    <cellStyle name="Normal 5 2 3 2 3 2 2 3 2 3" xfId="28302" xr:uid="{00000000-0005-0000-0000-0000E02A0000}"/>
    <cellStyle name="Normal 5 2 3 2 3 2 2 3 3" xfId="13516" xr:uid="{00000000-0005-0000-0000-0000E12A0000}"/>
    <cellStyle name="Normal 5 2 3 2 3 2 2 3 3 2" xfId="33231" xr:uid="{00000000-0005-0000-0000-0000E22A0000}"/>
    <cellStyle name="Normal 5 2 3 2 3 2 2 3 4" xfId="23374" xr:uid="{00000000-0005-0000-0000-0000E32A0000}"/>
    <cellStyle name="Normal 5 2 3 2 3 2 2 4" xfId="6120" xr:uid="{00000000-0005-0000-0000-0000E42A0000}"/>
    <cellStyle name="Normal 5 2 3 2 3 2 2 4 2" xfId="15980" xr:uid="{00000000-0005-0000-0000-0000E52A0000}"/>
    <cellStyle name="Normal 5 2 3 2 3 2 2 4 2 2" xfId="35695" xr:uid="{00000000-0005-0000-0000-0000E62A0000}"/>
    <cellStyle name="Normal 5 2 3 2 3 2 2 4 3" xfId="25838" xr:uid="{00000000-0005-0000-0000-0000E72A0000}"/>
    <cellStyle name="Normal 5 2 3 2 3 2 2 5" xfId="11052" xr:uid="{00000000-0005-0000-0000-0000E82A0000}"/>
    <cellStyle name="Normal 5 2 3 2 3 2 2 5 2" xfId="30767" xr:uid="{00000000-0005-0000-0000-0000E92A0000}"/>
    <cellStyle name="Normal 5 2 3 2 3 2 2 6" xfId="20910" xr:uid="{00000000-0005-0000-0000-0000EA2A0000}"/>
    <cellStyle name="Normal 5 2 3 2 3 2 3" xfId="1801" xr:uid="{00000000-0005-0000-0000-0000EB2A0000}"/>
    <cellStyle name="Normal 5 2 3 2 3 2 3 2" xfId="4268" xr:uid="{00000000-0005-0000-0000-0000EC2A0000}"/>
    <cellStyle name="Normal 5 2 3 2 3 2 3 2 2" xfId="9200" xr:uid="{00000000-0005-0000-0000-0000ED2A0000}"/>
    <cellStyle name="Normal 5 2 3 2 3 2 3 2 2 2" xfId="19060" xr:uid="{00000000-0005-0000-0000-0000EE2A0000}"/>
    <cellStyle name="Normal 5 2 3 2 3 2 3 2 2 2 2" xfId="38775" xr:uid="{00000000-0005-0000-0000-0000EF2A0000}"/>
    <cellStyle name="Normal 5 2 3 2 3 2 3 2 2 3" xfId="28918" xr:uid="{00000000-0005-0000-0000-0000F02A0000}"/>
    <cellStyle name="Normal 5 2 3 2 3 2 3 2 3" xfId="14132" xr:uid="{00000000-0005-0000-0000-0000F12A0000}"/>
    <cellStyle name="Normal 5 2 3 2 3 2 3 2 3 2" xfId="33847" xr:uid="{00000000-0005-0000-0000-0000F22A0000}"/>
    <cellStyle name="Normal 5 2 3 2 3 2 3 2 4" xfId="23990" xr:uid="{00000000-0005-0000-0000-0000F32A0000}"/>
    <cellStyle name="Normal 5 2 3 2 3 2 3 3" xfId="6736" xr:uid="{00000000-0005-0000-0000-0000F42A0000}"/>
    <cellStyle name="Normal 5 2 3 2 3 2 3 3 2" xfId="16596" xr:uid="{00000000-0005-0000-0000-0000F52A0000}"/>
    <cellStyle name="Normal 5 2 3 2 3 2 3 3 2 2" xfId="36311" xr:uid="{00000000-0005-0000-0000-0000F62A0000}"/>
    <cellStyle name="Normal 5 2 3 2 3 2 3 3 3" xfId="26454" xr:uid="{00000000-0005-0000-0000-0000F72A0000}"/>
    <cellStyle name="Normal 5 2 3 2 3 2 3 4" xfId="11668" xr:uid="{00000000-0005-0000-0000-0000F82A0000}"/>
    <cellStyle name="Normal 5 2 3 2 3 2 3 4 2" xfId="31383" xr:uid="{00000000-0005-0000-0000-0000F92A0000}"/>
    <cellStyle name="Normal 5 2 3 2 3 2 3 5" xfId="21526" xr:uid="{00000000-0005-0000-0000-0000FA2A0000}"/>
    <cellStyle name="Normal 5 2 3 2 3 2 4" xfId="3036" xr:uid="{00000000-0005-0000-0000-0000FB2A0000}"/>
    <cellStyle name="Normal 5 2 3 2 3 2 4 2" xfId="7968" xr:uid="{00000000-0005-0000-0000-0000FC2A0000}"/>
    <cellStyle name="Normal 5 2 3 2 3 2 4 2 2" xfId="17828" xr:uid="{00000000-0005-0000-0000-0000FD2A0000}"/>
    <cellStyle name="Normal 5 2 3 2 3 2 4 2 2 2" xfId="37543" xr:uid="{00000000-0005-0000-0000-0000FE2A0000}"/>
    <cellStyle name="Normal 5 2 3 2 3 2 4 2 3" xfId="27686" xr:uid="{00000000-0005-0000-0000-0000FF2A0000}"/>
    <cellStyle name="Normal 5 2 3 2 3 2 4 3" xfId="12900" xr:uid="{00000000-0005-0000-0000-0000002B0000}"/>
    <cellStyle name="Normal 5 2 3 2 3 2 4 3 2" xfId="32615" xr:uid="{00000000-0005-0000-0000-0000012B0000}"/>
    <cellStyle name="Normal 5 2 3 2 3 2 4 4" xfId="22758" xr:uid="{00000000-0005-0000-0000-0000022B0000}"/>
    <cellStyle name="Normal 5 2 3 2 3 2 5" xfId="5504" xr:uid="{00000000-0005-0000-0000-0000032B0000}"/>
    <cellStyle name="Normal 5 2 3 2 3 2 5 2" xfId="15364" xr:uid="{00000000-0005-0000-0000-0000042B0000}"/>
    <cellStyle name="Normal 5 2 3 2 3 2 5 2 2" xfId="35079" xr:uid="{00000000-0005-0000-0000-0000052B0000}"/>
    <cellStyle name="Normal 5 2 3 2 3 2 5 3" xfId="25222" xr:uid="{00000000-0005-0000-0000-0000062B0000}"/>
    <cellStyle name="Normal 5 2 3 2 3 2 6" xfId="10436" xr:uid="{00000000-0005-0000-0000-0000072B0000}"/>
    <cellStyle name="Normal 5 2 3 2 3 2 6 2" xfId="30151" xr:uid="{00000000-0005-0000-0000-0000082B0000}"/>
    <cellStyle name="Normal 5 2 3 2 3 2 7" xfId="20294" xr:uid="{00000000-0005-0000-0000-0000092B0000}"/>
    <cellStyle name="Normal 5 2 3 2 3 3" xfId="875" xr:uid="{00000000-0005-0000-0000-00000A2B0000}"/>
    <cellStyle name="Normal 5 2 3 2 3 3 2" xfId="2111" xr:uid="{00000000-0005-0000-0000-00000B2B0000}"/>
    <cellStyle name="Normal 5 2 3 2 3 3 2 2" xfId="4578" xr:uid="{00000000-0005-0000-0000-00000C2B0000}"/>
    <cellStyle name="Normal 5 2 3 2 3 3 2 2 2" xfId="9510" xr:uid="{00000000-0005-0000-0000-00000D2B0000}"/>
    <cellStyle name="Normal 5 2 3 2 3 3 2 2 2 2" xfId="19370" xr:uid="{00000000-0005-0000-0000-00000E2B0000}"/>
    <cellStyle name="Normal 5 2 3 2 3 3 2 2 2 2 2" xfId="39085" xr:uid="{00000000-0005-0000-0000-00000F2B0000}"/>
    <cellStyle name="Normal 5 2 3 2 3 3 2 2 2 3" xfId="29228" xr:uid="{00000000-0005-0000-0000-0000102B0000}"/>
    <cellStyle name="Normal 5 2 3 2 3 3 2 2 3" xfId="14442" xr:uid="{00000000-0005-0000-0000-0000112B0000}"/>
    <cellStyle name="Normal 5 2 3 2 3 3 2 2 3 2" xfId="34157" xr:uid="{00000000-0005-0000-0000-0000122B0000}"/>
    <cellStyle name="Normal 5 2 3 2 3 3 2 2 4" xfId="24300" xr:uid="{00000000-0005-0000-0000-0000132B0000}"/>
    <cellStyle name="Normal 5 2 3 2 3 3 2 3" xfId="7046" xr:uid="{00000000-0005-0000-0000-0000142B0000}"/>
    <cellStyle name="Normal 5 2 3 2 3 3 2 3 2" xfId="16906" xr:uid="{00000000-0005-0000-0000-0000152B0000}"/>
    <cellStyle name="Normal 5 2 3 2 3 3 2 3 2 2" xfId="36621" xr:uid="{00000000-0005-0000-0000-0000162B0000}"/>
    <cellStyle name="Normal 5 2 3 2 3 3 2 3 3" xfId="26764" xr:uid="{00000000-0005-0000-0000-0000172B0000}"/>
    <cellStyle name="Normal 5 2 3 2 3 3 2 4" xfId="11978" xr:uid="{00000000-0005-0000-0000-0000182B0000}"/>
    <cellStyle name="Normal 5 2 3 2 3 3 2 4 2" xfId="31693" xr:uid="{00000000-0005-0000-0000-0000192B0000}"/>
    <cellStyle name="Normal 5 2 3 2 3 3 2 5" xfId="21836" xr:uid="{00000000-0005-0000-0000-00001A2B0000}"/>
    <cellStyle name="Normal 5 2 3 2 3 3 3" xfId="3346" xr:uid="{00000000-0005-0000-0000-00001B2B0000}"/>
    <cellStyle name="Normal 5 2 3 2 3 3 3 2" xfId="8278" xr:uid="{00000000-0005-0000-0000-00001C2B0000}"/>
    <cellStyle name="Normal 5 2 3 2 3 3 3 2 2" xfId="18138" xr:uid="{00000000-0005-0000-0000-00001D2B0000}"/>
    <cellStyle name="Normal 5 2 3 2 3 3 3 2 2 2" xfId="37853" xr:uid="{00000000-0005-0000-0000-00001E2B0000}"/>
    <cellStyle name="Normal 5 2 3 2 3 3 3 2 3" xfId="27996" xr:uid="{00000000-0005-0000-0000-00001F2B0000}"/>
    <cellStyle name="Normal 5 2 3 2 3 3 3 3" xfId="13210" xr:uid="{00000000-0005-0000-0000-0000202B0000}"/>
    <cellStyle name="Normal 5 2 3 2 3 3 3 3 2" xfId="32925" xr:uid="{00000000-0005-0000-0000-0000212B0000}"/>
    <cellStyle name="Normal 5 2 3 2 3 3 3 4" xfId="23068" xr:uid="{00000000-0005-0000-0000-0000222B0000}"/>
    <cellStyle name="Normal 5 2 3 2 3 3 4" xfId="5814" xr:uid="{00000000-0005-0000-0000-0000232B0000}"/>
    <cellStyle name="Normal 5 2 3 2 3 3 4 2" xfId="15674" xr:uid="{00000000-0005-0000-0000-0000242B0000}"/>
    <cellStyle name="Normal 5 2 3 2 3 3 4 2 2" xfId="35389" xr:uid="{00000000-0005-0000-0000-0000252B0000}"/>
    <cellStyle name="Normal 5 2 3 2 3 3 4 3" xfId="25532" xr:uid="{00000000-0005-0000-0000-0000262B0000}"/>
    <cellStyle name="Normal 5 2 3 2 3 3 5" xfId="10746" xr:uid="{00000000-0005-0000-0000-0000272B0000}"/>
    <cellStyle name="Normal 5 2 3 2 3 3 5 2" xfId="30461" xr:uid="{00000000-0005-0000-0000-0000282B0000}"/>
    <cellStyle name="Normal 5 2 3 2 3 3 6" xfId="20604" xr:uid="{00000000-0005-0000-0000-0000292B0000}"/>
    <cellStyle name="Normal 5 2 3 2 3 4" xfId="1495" xr:uid="{00000000-0005-0000-0000-00002A2B0000}"/>
    <cellStyle name="Normal 5 2 3 2 3 4 2" xfId="3962" xr:uid="{00000000-0005-0000-0000-00002B2B0000}"/>
    <cellStyle name="Normal 5 2 3 2 3 4 2 2" xfId="8894" xr:uid="{00000000-0005-0000-0000-00002C2B0000}"/>
    <cellStyle name="Normal 5 2 3 2 3 4 2 2 2" xfId="18754" xr:uid="{00000000-0005-0000-0000-00002D2B0000}"/>
    <cellStyle name="Normal 5 2 3 2 3 4 2 2 2 2" xfId="38469" xr:uid="{00000000-0005-0000-0000-00002E2B0000}"/>
    <cellStyle name="Normal 5 2 3 2 3 4 2 2 3" xfId="28612" xr:uid="{00000000-0005-0000-0000-00002F2B0000}"/>
    <cellStyle name="Normal 5 2 3 2 3 4 2 3" xfId="13826" xr:uid="{00000000-0005-0000-0000-0000302B0000}"/>
    <cellStyle name="Normal 5 2 3 2 3 4 2 3 2" xfId="33541" xr:uid="{00000000-0005-0000-0000-0000312B0000}"/>
    <cellStyle name="Normal 5 2 3 2 3 4 2 4" xfId="23684" xr:uid="{00000000-0005-0000-0000-0000322B0000}"/>
    <cellStyle name="Normal 5 2 3 2 3 4 3" xfId="6430" xr:uid="{00000000-0005-0000-0000-0000332B0000}"/>
    <cellStyle name="Normal 5 2 3 2 3 4 3 2" xfId="16290" xr:uid="{00000000-0005-0000-0000-0000342B0000}"/>
    <cellStyle name="Normal 5 2 3 2 3 4 3 2 2" xfId="36005" xr:uid="{00000000-0005-0000-0000-0000352B0000}"/>
    <cellStyle name="Normal 5 2 3 2 3 4 3 3" xfId="26148" xr:uid="{00000000-0005-0000-0000-0000362B0000}"/>
    <cellStyle name="Normal 5 2 3 2 3 4 4" xfId="11362" xr:uid="{00000000-0005-0000-0000-0000372B0000}"/>
    <cellStyle name="Normal 5 2 3 2 3 4 4 2" xfId="31077" xr:uid="{00000000-0005-0000-0000-0000382B0000}"/>
    <cellStyle name="Normal 5 2 3 2 3 4 5" xfId="21220" xr:uid="{00000000-0005-0000-0000-0000392B0000}"/>
    <cellStyle name="Normal 5 2 3 2 3 5" xfId="2730" xr:uid="{00000000-0005-0000-0000-00003A2B0000}"/>
    <cellStyle name="Normal 5 2 3 2 3 5 2" xfId="7662" xr:uid="{00000000-0005-0000-0000-00003B2B0000}"/>
    <cellStyle name="Normal 5 2 3 2 3 5 2 2" xfId="17522" xr:uid="{00000000-0005-0000-0000-00003C2B0000}"/>
    <cellStyle name="Normal 5 2 3 2 3 5 2 2 2" xfId="37237" xr:uid="{00000000-0005-0000-0000-00003D2B0000}"/>
    <cellStyle name="Normal 5 2 3 2 3 5 2 3" xfId="27380" xr:uid="{00000000-0005-0000-0000-00003E2B0000}"/>
    <cellStyle name="Normal 5 2 3 2 3 5 3" xfId="12594" xr:uid="{00000000-0005-0000-0000-00003F2B0000}"/>
    <cellStyle name="Normal 5 2 3 2 3 5 3 2" xfId="32309" xr:uid="{00000000-0005-0000-0000-0000402B0000}"/>
    <cellStyle name="Normal 5 2 3 2 3 5 4" xfId="22452" xr:uid="{00000000-0005-0000-0000-0000412B0000}"/>
    <cellStyle name="Normal 5 2 3 2 3 6" xfId="5198" xr:uid="{00000000-0005-0000-0000-0000422B0000}"/>
    <cellStyle name="Normal 5 2 3 2 3 6 2" xfId="15058" xr:uid="{00000000-0005-0000-0000-0000432B0000}"/>
    <cellStyle name="Normal 5 2 3 2 3 6 2 2" xfId="34773" xr:uid="{00000000-0005-0000-0000-0000442B0000}"/>
    <cellStyle name="Normal 5 2 3 2 3 6 3" xfId="24916" xr:uid="{00000000-0005-0000-0000-0000452B0000}"/>
    <cellStyle name="Normal 5 2 3 2 3 7" xfId="10130" xr:uid="{00000000-0005-0000-0000-0000462B0000}"/>
    <cellStyle name="Normal 5 2 3 2 3 7 2" xfId="29845" xr:uid="{00000000-0005-0000-0000-0000472B0000}"/>
    <cellStyle name="Normal 5 2 3 2 3 8" xfId="19988" xr:uid="{00000000-0005-0000-0000-0000482B0000}"/>
    <cellStyle name="Normal 5 2 3 2 4" xfId="410" xr:uid="{00000000-0005-0000-0000-0000492B0000}"/>
    <cellStyle name="Normal 5 2 3 2 4 2" xfId="1030" xr:uid="{00000000-0005-0000-0000-00004A2B0000}"/>
    <cellStyle name="Normal 5 2 3 2 4 2 2" xfId="2265" xr:uid="{00000000-0005-0000-0000-00004B2B0000}"/>
    <cellStyle name="Normal 5 2 3 2 4 2 2 2" xfId="4732" xr:uid="{00000000-0005-0000-0000-00004C2B0000}"/>
    <cellStyle name="Normal 5 2 3 2 4 2 2 2 2" xfId="9664" xr:uid="{00000000-0005-0000-0000-00004D2B0000}"/>
    <cellStyle name="Normal 5 2 3 2 4 2 2 2 2 2" xfId="19524" xr:uid="{00000000-0005-0000-0000-00004E2B0000}"/>
    <cellStyle name="Normal 5 2 3 2 4 2 2 2 2 2 2" xfId="39239" xr:uid="{00000000-0005-0000-0000-00004F2B0000}"/>
    <cellStyle name="Normal 5 2 3 2 4 2 2 2 2 3" xfId="29382" xr:uid="{00000000-0005-0000-0000-0000502B0000}"/>
    <cellStyle name="Normal 5 2 3 2 4 2 2 2 3" xfId="14596" xr:uid="{00000000-0005-0000-0000-0000512B0000}"/>
    <cellStyle name="Normal 5 2 3 2 4 2 2 2 3 2" xfId="34311" xr:uid="{00000000-0005-0000-0000-0000522B0000}"/>
    <cellStyle name="Normal 5 2 3 2 4 2 2 2 4" xfId="24454" xr:uid="{00000000-0005-0000-0000-0000532B0000}"/>
    <cellStyle name="Normal 5 2 3 2 4 2 2 3" xfId="7200" xr:uid="{00000000-0005-0000-0000-0000542B0000}"/>
    <cellStyle name="Normal 5 2 3 2 4 2 2 3 2" xfId="17060" xr:uid="{00000000-0005-0000-0000-0000552B0000}"/>
    <cellStyle name="Normal 5 2 3 2 4 2 2 3 2 2" xfId="36775" xr:uid="{00000000-0005-0000-0000-0000562B0000}"/>
    <cellStyle name="Normal 5 2 3 2 4 2 2 3 3" xfId="26918" xr:uid="{00000000-0005-0000-0000-0000572B0000}"/>
    <cellStyle name="Normal 5 2 3 2 4 2 2 4" xfId="12132" xr:uid="{00000000-0005-0000-0000-0000582B0000}"/>
    <cellStyle name="Normal 5 2 3 2 4 2 2 4 2" xfId="31847" xr:uid="{00000000-0005-0000-0000-0000592B0000}"/>
    <cellStyle name="Normal 5 2 3 2 4 2 2 5" xfId="21990" xr:uid="{00000000-0005-0000-0000-00005A2B0000}"/>
    <cellStyle name="Normal 5 2 3 2 4 2 3" xfId="3500" xr:uid="{00000000-0005-0000-0000-00005B2B0000}"/>
    <cellStyle name="Normal 5 2 3 2 4 2 3 2" xfId="8432" xr:uid="{00000000-0005-0000-0000-00005C2B0000}"/>
    <cellStyle name="Normal 5 2 3 2 4 2 3 2 2" xfId="18292" xr:uid="{00000000-0005-0000-0000-00005D2B0000}"/>
    <cellStyle name="Normal 5 2 3 2 4 2 3 2 2 2" xfId="38007" xr:uid="{00000000-0005-0000-0000-00005E2B0000}"/>
    <cellStyle name="Normal 5 2 3 2 4 2 3 2 3" xfId="28150" xr:uid="{00000000-0005-0000-0000-00005F2B0000}"/>
    <cellStyle name="Normal 5 2 3 2 4 2 3 3" xfId="13364" xr:uid="{00000000-0005-0000-0000-0000602B0000}"/>
    <cellStyle name="Normal 5 2 3 2 4 2 3 3 2" xfId="33079" xr:uid="{00000000-0005-0000-0000-0000612B0000}"/>
    <cellStyle name="Normal 5 2 3 2 4 2 3 4" xfId="23222" xr:uid="{00000000-0005-0000-0000-0000622B0000}"/>
    <cellStyle name="Normal 5 2 3 2 4 2 4" xfId="5968" xr:uid="{00000000-0005-0000-0000-0000632B0000}"/>
    <cellStyle name="Normal 5 2 3 2 4 2 4 2" xfId="15828" xr:uid="{00000000-0005-0000-0000-0000642B0000}"/>
    <cellStyle name="Normal 5 2 3 2 4 2 4 2 2" xfId="35543" xr:uid="{00000000-0005-0000-0000-0000652B0000}"/>
    <cellStyle name="Normal 5 2 3 2 4 2 4 3" xfId="25686" xr:uid="{00000000-0005-0000-0000-0000662B0000}"/>
    <cellStyle name="Normal 5 2 3 2 4 2 5" xfId="10900" xr:uid="{00000000-0005-0000-0000-0000672B0000}"/>
    <cellStyle name="Normal 5 2 3 2 4 2 5 2" xfId="30615" xr:uid="{00000000-0005-0000-0000-0000682B0000}"/>
    <cellStyle name="Normal 5 2 3 2 4 2 6" xfId="20758" xr:uid="{00000000-0005-0000-0000-0000692B0000}"/>
    <cellStyle name="Normal 5 2 3 2 4 3" xfId="1649" xr:uid="{00000000-0005-0000-0000-00006A2B0000}"/>
    <cellStyle name="Normal 5 2 3 2 4 3 2" xfId="4116" xr:uid="{00000000-0005-0000-0000-00006B2B0000}"/>
    <cellStyle name="Normal 5 2 3 2 4 3 2 2" xfId="9048" xr:uid="{00000000-0005-0000-0000-00006C2B0000}"/>
    <cellStyle name="Normal 5 2 3 2 4 3 2 2 2" xfId="18908" xr:uid="{00000000-0005-0000-0000-00006D2B0000}"/>
    <cellStyle name="Normal 5 2 3 2 4 3 2 2 2 2" xfId="38623" xr:uid="{00000000-0005-0000-0000-00006E2B0000}"/>
    <cellStyle name="Normal 5 2 3 2 4 3 2 2 3" xfId="28766" xr:uid="{00000000-0005-0000-0000-00006F2B0000}"/>
    <cellStyle name="Normal 5 2 3 2 4 3 2 3" xfId="13980" xr:uid="{00000000-0005-0000-0000-0000702B0000}"/>
    <cellStyle name="Normal 5 2 3 2 4 3 2 3 2" xfId="33695" xr:uid="{00000000-0005-0000-0000-0000712B0000}"/>
    <cellStyle name="Normal 5 2 3 2 4 3 2 4" xfId="23838" xr:uid="{00000000-0005-0000-0000-0000722B0000}"/>
    <cellStyle name="Normal 5 2 3 2 4 3 3" xfId="6584" xr:uid="{00000000-0005-0000-0000-0000732B0000}"/>
    <cellStyle name="Normal 5 2 3 2 4 3 3 2" xfId="16444" xr:uid="{00000000-0005-0000-0000-0000742B0000}"/>
    <cellStyle name="Normal 5 2 3 2 4 3 3 2 2" xfId="36159" xr:uid="{00000000-0005-0000-0000-0000752B0000}"/>
    <cellStyle name="Normal 5 2 3 2 4 3 3 3" xfId="26302" xr:uid="{00000000-0005-0000-0000-0000762B0000}"/>
    <cellStyle name="Normal 5 2 3 2 4 3 4" xfId="11516" xr:uid="{00000000-0005-0000-0000-0000772B0000}"/>
    <cellStyle name="Normal 5 2 3 2 4 3 4 2" xfId="31231" xr:uid="{00000000-0005-0000-0000-0000782B0000}"/>
    <cellStyle name="Normal 5 2 3 2 4 3 5" xfId="21374" xr:uid="{00000000-0005-0000-0000-0000792B0000}"/>
    <cellStyle name="Normal 5 2 3 2 4 4" xfId="2884" xr:uid="{00000000-0005-0000-0000-00007A2B0000}"/>
    <cellStyle name="Normal 5 2 3 2 4 4 2" xfId="7816" xr:uid="{00000000-0005-0000-0000-00007B2B0000}"/>
    <cellStyle name="Normal 5 2 3 2 4 4 2 2" xfId="17676" xr:uid="{00000000-0005-0000-0000-00007C2B0000}"/>
    <cellStyle name="Normal 5 2 3 2 4 4 2 2 2" xfId="37391" xr:uid="{00000000-0005-0000-0000-00007D2B0000}"/>
    <cellStyle name="Normal 5 2 3 2 4 4 2 3" xfId="27534" xr:uid="{00000000-0005-0000-0000-00007E2B0000}"/>
    <cellStyle name="Normal 5 2 3 2 4 4 3" xfId="12748" xr:uid="{00000000-0005-0000-0000-00007F2B0000}"/>
    <cellStyle name="Normal 5 2 3 2 4 4 3 2" xfId="32463" xr:uid="{00000000-0005-0000-0000-0000802B0000}"/>
    <cellStyle name="Normal 5 2 3 2 4 4 4" xfId="22606" xr:uid="{00000000-0005-0000-0000-0000812B0000}"/>
    <cellStyle name="Normal 5 2 3 2 4 5" xfId="5352" xr:uid="{00000000-0005-0000-0000-0000822B0000}"/>
    <cellStyle name="Normal 5 2 3 2 4 5 2" xfId="15212" xr:uid="{00000000-0005-0000-0000-0000832B0000}"/>
    <cellStyle name="Normal 5 2 3 2 4 5 2 2" xfId="34927" xr:uid="{00000000-0005-0000-0000-0000842B0000}"/>
    <cellStyle name="Normal 5 2 3 2 4 5 3" xfId="25070" xr:uid="{00000000-0005-0000-0000-0000852B0000}"/>
    <cellStyle name="Normal 5 2 3 2 4 6" xfId="10284" xr:uid="{00000000-0005-0000-0000-0000862B0000}"/>
    <cellStyle name="Normal 5 2 3 2 4 6 2" xfId="29999" xr:uid="{00000000-0005-0000-0000-0000872B0000}"/>
    <cellStyle name="Normal 5 2 3 2 4 7" xfId="20142" xr:uid="{00000000-0005-0000-0000-0000882B0000}"/>
    <cellStyle name="Normal 5 2 3 2 5" xfId="723" xr:uid="{00000000-0005-0000-0000-0000892B0000}"/>
    <cellStyle name="Normal 5 2 3 2 5 2" xfId="1959" xr:uid="{00000000-0005-0000-0000-00008A2B0000}"/>
    <cellStyle name="Normal 5 2 3 2 5 2 2" xfId="4426" xr:uid="{00000000-0005-0000-0000-00008B2B0000}"/>
    <cellStyle name="Normal 5 2 3 2 5 2 2 2" xfId="9358" xr:uid="{00000000-0005-0000-0000-00008C2B0000}"/>
    <cellStyle name="Normal 5 2 3 2 5 2 2 2 2" xfId="19218" xr:uid="{00000000-0005-0000-0000-00008D2B0000}"/>
    <cellStyle name="Normal 5 2 3 2 5 2 2 2 2 2" xfId="38933" xr:uid="{00000000-0005-0000-0000-00008E2B0000}"/>
    <cellStyle name="Normal 5 2 3 2 5 2 2 2 3" xfId="29076" xr:uid="{00000000-0005-0000-0000-00008F2B0000}"/>
    <cellStyle name="Normal 5 2 3 2 5 2 2 3" xfId="14290" xr:uid="{00000000-0005-0000-0000-0000902B0000}"/>
    <cellStyle name="Normal 5 2 3 2 5 2 2 3 2" xfId="34005" xr:uid="{00000000-0005-0000-0000-0000912B0000}"/>
    <cellStyle name="Normal 5 2 3 2 5 2 2 4" xfId="24148" xr:uid="{00000000-0005-0000-0000-0000922B0000}"/>
    <cellStyle name="Normal 5 2 3 2 5 2 3" xfId="6894" xr:uid="{00000000-0005-0000-0000-0000932B0000}"/>
    <cellStyle name="Normal 5 2 3 2 5 2 3 2" xfId="16754" xr:uid="{00000000-0005-0000-0000-0000942B0000}"/>
    <cellStyle name="Normal 5 2 3 2 5 2 3 2 2" xfId="36469" xr:uid="{00000000-0005-0000-0000-0000952B0000}"/>
    <cellStyle name="Normal 5 2 3 2 5 2 3 3" xfId="26612" xr:uid="{00000000-0005-0000-0000-0000962B0000}"/>
    <cellStyle name="Normal 5 2 3 2 5 2 4" xfId="11826" xr:uid="{00000000-0005-0000-0000-0000972B0000}"/>
    <cellStyle name="Normal 5 2 3 2 5 2 4 2" xfId="31541" xr:uid="{00000000-0005-0000-0000-0000982B0000}"/>
    <cellStyle name="Normal 5 2 3 2 5 2 5" xfId="21684" xr:uid="{00000000-0005-0000-0000-0000992B0000}"/>
    <cellStyle name="Normal 5 2 3 2 5 3" xfId="3194" xr:uid="{00000000-0005-0000-0000-00009A2B0000}"/>
    <cellStyle name="Normal 5 2 3 2 5 3 2" xfId="8126" xr:uid="{00000000-0005-0000-0000-00009B2B0000}"/>
    <cellStyle name="Normal 5 2 3 2 5 3 2 2" xfId="17986" xr:uid="{00000000-0005-0000-0000-00009C2B0000}"/>
    <cellStyle name="Normal 5 2 3 2 5 3 2 2 2" xfId="37701" xr:uid="{00000000-0005-0000-0000-00009D2B0000}"/>
    <cellStyle name="Normal 5 2 3 2 5 3 2 3" xfId="27844" xr:uid="{00000000-0005-0000-0000-00009E2B0000}"/>
    <cellStyle name="Normal 5 2 3 2 5 3 3" xfId="13058" xr:uid="{00000000-0005-0000-0000-00009F2B0000}"/>
    <cellStyle name="Normal 5 2 3 2 5 3 3 2" xfId="32773" xr:uid="{00000000-0005-0000-0000-0000A02B0000}"/>
    <cellStyle name="Normal 5 2 3 2 5 3 4" xfId="22916" xr:uid="{00000000-0005-0000-0000-0000A12B0000}"/>
    <cellStyle name="Normal 5 2 3 2 5 4" xfId="5662" xr:uid="{00000000-0005-0000-0000-0000A22B0000}"/>
    <cellStyle name="Normal 5 2 3 2 5 4 2" xfId="15522" xr:uid="{00000000-0005-0000-0000-0000A32B0000}"/>
    <cellStyle name="Normal 5 2 3 2 5 4 2 2" xfId="35237" xr:uid="{00000000-0005-0000-0000-0000A42B0000}"/>
    <cellStyle name="Normal 5 2 3 2 5 4 3" xfId="25380" xr:uid="{00000000-0005-0000-0000-0000A52B0000}"/>
    <cellStyle name="Normal 5 2 3 2 5 5" xfId="10594" xr:uid="{00000000-0005-0000-0000-0000A62B0000}"/>
    <cellStyle name="Normal 5 2 3 2 5 5 2" xfId="30309" xr:uid="{00000000-0005-0000-0000-0000A72B0000}"/>
    <cellStyle name="Normal 5 2 3 2 5 6" xfId="20452" xr:uid="{00000000-0005-0000-0000-0000A82B0000}"/>
    <cellStyle name="Normal 5 2 3 2 6" xfId="1343" xr:uid="{00000000-0005-0000-0000-0000A92B0000}"/>
    <cellStyle name="Normal 5 2 3 2 6 2" xfId="3810" xr:uid="{00000000-0005-0000-0000-0000AA2B0000}"/>
    <cellStyle name="Normal 5 2 3 2 6 2 2" xfId="8742" xr:uid="{00000000-0005-0000-0000-0000AB2B0000}"/>
    <cellStyle name="Normal 5 2 3 2 6 2 2 2" xfId="18602" xr:uid="{00000000-0005-0000-0000-0000AC2B0000}"/>
    <cellStyle name="Normal 5 2 3 2 6 2 2 2 2" xfId="38317" xr:uid="{00000000-0005-0000-0000-0000AD2B0000}"/>
    <cellStyle name="Normal 5 2 3 2 6 2 2 3" xfId="28460" xr:uid="{00000000-0005-0000-0000-0000AE2B0000}"/>
    <cellStyle name="Normal 5 2 3 2 6 2 3" xfId="13674" xr:uid="{00000000-0005-0000-0000-0000AF2B0000}"/>
    <cellStyle name="Normal 5 2 3 2 6 2 3 2" xfId="33389" xr:uid="{00000000-0005-0000-0000-0000B02B0000}"/>
    <cellStyle name="Normal 5 2 3 2 6 2 4" xfId="23532" xr:uid="{00000000-0005-0000-0000-0000B12B0000}"/>
    <cellStyle name="Normal 5 2 3 2 6 3" xfId="6278" xr:uid="{00000000-0005-0000-0000-0000B22B0000}"/>
    <cellStyle name="Normal 5 2 3 2 6 3 2" xfId="16138" xr:uid="{00000000-0005-0000-0000-0000B32B0000}"/>
    <cellStyle name="Normal 5 2 3 2 6 3 2 2" xfId="35853" xr:uid="{00000000-0005-0000-0000-0000B42B0000}"/>
    <cellStyle name="Normal 5 2 3 2 6 3 3" xfId="25996" xr:uid="{00000000-0005-0000-0000-0000B52B0000}"/>
    <cellStyle name="Normal 5 2 3 2 6 4" xfId="11210" xr:uid="{00000000-0005-0000-0000-0000B62B0000}"/>
    <cellStyle name="Normal 5 2 3 2 6 4 2" xfId="30925" xr:uid="{00000000-0005-0000-0000-0000B72B0000}"/>
    <cellStyle name="Normal 5 2 3 2 6 5" xfId="21068" xr:uid="{00000000-0005-0000-0000-0000B82B0000}"/>
    <cellStyle name="Normal 5 2 3 2 7" xfId="2578" xr:uid="{00000000-0005-0000-0000-0000B92B0000}"/>
    <cellStyle name="Normal 5 2 3 2 7 2" xfId="7510" xr:uid="{00000000-0005-0000-0000-0000BA2B0000}"/>
    <cellStyle name="Normal 5 2 3 2 7 2 2" xfId="17370" xr:uid="{00000000-0005-0000-0000-0000BB2B0000}"/>
    <cellStyle name="Normal 5 2 3 2 7 2 2 2" xfId="37085" xr:uid="{00000000-0005-0000-0000-0000BC2B0000}"/>
    <cellStyle name="Normal 5 2 3 2 7 2 3" xfId="27228" xr:uid="{00000000-0005-0000-0000-0000BD2B0000}"/>
    <cellStyle name="Normal 5 2 3 2 7 3" xfId="12442" xr:uid="{00000000-0005-0000-0000-0000BE2B0000}"/>
    <cellStyle name="Normal 5 2 3 2 7 3 2" xfId="32157" xr:uid="{00000000-0005-0000-0000-0000BF2B0000}"/>
    <cellStyle name="Normal 5 2 3 2 7 4" xfId="22300" xr:uid="{00000000-0005-0000-0000-0000C02B0000}"/>
    <cellStyle name="Normal 5 2 3 2 8" xfId="5046" xr:uid="{00000000-0005-0000-0000-0000C12B0000}"/>
    <cellStyle name="Normal 5 2 3 2 8 2" xfId="14906" xr:uid="{00000000-0005-0000-0000-0000C22B0000}"/>
    <cellStyle name="Normal 5 2 3 2 8 2 2" xfId="34621" xr:uid="{00000000-0005-0000-0000-0000C32B0000}"/>
    <cellStyle name="Normal 5 2 3 2 8 3" xfId="24764" xr:uid="{00000000-0005-0000-0000-0000C42B0000}"/>
    <cellStyle name="Normal 5 2 3 2 9" xfId="9978" xr:uid="{00000000-0005-0000-0000-0000C52B0000}"/>
    <cellStyle name="Normal 5 2 3 2 9 2" xfId="29693" xr:uid="{00000000-0005-0000-0000-0000C62B0000}"/>
    <cellStyle name="Normal 5 2 3 3" xfId="129" xr:uid="{00000000-0005-0000-0000-0000C72B0000}"/>
    <cellStyle name="Normal 5 2 3 3 2" xfId="286" xr:uid="{00000000-0005-0000-0000-0000C82B0000}"/>
    <cellStyle name="Normal 5 2 3 3 2 2" xfId="600" xr:uid="{00000000-0005-0000-0000-0000C92B0000}"/>
    <cellStyle name="Normal 5 2 3 3 2 2 2" xfId="1220" xr:uid="{00000000-0005-0000-0000-0000CA2B0000}"/>
    <cellStyle name="Normal 5 2 3 3 2 2 2 2" xfId="2455" xr:uid="{00000000-0005-0000-0000-0000CB2B0000}"/>
    <cellStyle name="Normal 5 2 3 3 2 2 2 2 2" xfId="4922" xr:uid="{00000000-0005-0000-0000-0000CC2B0000}"/>
    <cellStyle name="Normal 5 2 3 3 2 2 2 2 2 2" xfId="9854" xr:uid="{00000000-0005-0000-0000-0000CD2B0000}"/>
    <cellStyle name="Normal 5 2 3 3 2 2 2 2 2 2 2" xfId="19714" xr:uid="{00000000-0005-0000-0000-0000CE2B0000}"/>
    <cellStyle name="Normal 5 2 3 3 2 2 2 2 2 2 2 2" xfId="39429" xr:uid="{00000000-0005-0000-0000-0000CF2B0000}"/>
    <cellStyle name="Normal 5 2 3 3 2 2 2 2 2 2 3" xfId="29572" xr:uid="{00000000-0005-0000-0000-0000D02B0000}"/>
    <cellStyle name="Normal 5 2 3 3 2 2 2 2 2 3" xfId="14786" xr:uid="{00000000-0005-0000-0000-0000D12B0000}"/>
    <cellStyle name="Normal 5 2 3 3 2 2 2 2 2 3 2" xfId="34501" xr:uid="{00000000-0005-0000-0000-0000D22B0000}"/>
    <cellStyle name="Normal 5 2 3 3 2 2 2 2 2 4" xfId="24644" xr:uid="{00000000-0005-0000-0000-0000D32B0000}"/>
    <cellStyle name="Normal 5 2 3 3 2 2 2 2 3" xfId="7390" xr:uid="{00000000-0005-0000-0000-0000D42B0000}"/>
    <cellStyle name="Normal 5 2 3 3 2 2 2 2 3 2" xfId="17250" xr:uid="{00000000-0005-0000-0000-0000D52B0000}"/>
    <cellStyle name="Normal 5 2 3 3 2 2 2 2 3 2 2" xfId="36965" xr:uid="{00000000-0005-0000-0000-0000D62B0000}"/>
    <cellStyle name="Normal 5 2 3 3 2 2 2 2 3 3" xfId="27108" xr:uid="{00000000-0005-0000-0000-0000D72B0000}"/>
    <cellStyle name="Normal 5 2 3 3 2 2 2 2 4" xfId="12322" xr:uid="{00000000-0005-0000-0000-0000D82B0000}"/>
    <cellStyle name="Normal 5 2 3 3 2 2 2 2 4 2" xfId="32037" xr:uid="{00000000-0005-0000-0000-0000D92B0000}"/>
    <cellStyle name="Normal 5 2 3 3 2 2 2 2 5" xfId="22180" xr:uid="{00000000-0005-0000-0000-0000DA2B0000}"/>
    <cellStyle name="Normal 5 2 3 3 2 2 2 3" xfId="3690" xr:uid="{00000000-0005-0000-0000-0000DB2B0000}"/>
    <cellStyle name="Normal 5 2 3 3 2 2 2 3 2" xfId="8622" xr:uid="{00000000-0005-0000-0000-0000DC2B0000}"/>
    <cellStyle name="Normal 5 2 3 3 2 2 2 3 2 2" xfId="18482" xr:uid="{00000000-0005-0000-0000-0000DD2B0000}"/>
    <cellStyle name="Normal 5 2 3 3 2 2 2 3 2 2 2" xfId="38197" xr:uid="{00000000-0005-0000-0000-0000DE2B0000}"/>
    <cellStyle name="Normal 5 2 3 3 2 2 2 3 2 3" xfId="28340" xr:uid="{00000000-0005-0000-0000-0000DF2B0000}"/>
    <cellStyle name="Normal 5 2 3 3 2 2 2 3 3" xfId="13554" xr:uid="{00000000-0005-0000-0000-0000E02B0000}"/>
    <cellStyle name="Normal 5 2 3 3 2 2 2 3 3 2" xfId="33269" xr:uid="{00000000-0005-0000-0000-0000E12B0000}"/>
    <cellStyle name="Normal 5 2 3 3 2 2 2 3 4" xfId="23412" xr:uid="{00000000-0005-0000-0000-0000E22B0000}"/>
    <cellStyle name="Normal 5 2 3 3 2 2 2 4" xfId="6158" xr:uid="{00000000-0005-0000-0000-0000E32B0000}"/>
    <cellStyle name="Normal 5 2 3 3 2 2 2 4 2" xfId="16018" xr:uid="{00000000-0005-0000-0000-0000E42B0000}"/>
    <cellStyle name="Normal 5 2 3 3 2 2 2 4 2 2" xfId="35733" xr:uid="{00000000-0005-0000-0000-0000E52B0000}"/>
    <cellStyle name="Normal 5 2 3 3 2 2 2 4 3" xfId="25876" xr:uid="{00000000-0005-0000-0000-0000E62B0000}"/>
    <cellStyle name="Normal 5 2 3 3 2 2 2 5" xfId="11090" xr:uid="{00000000-0005-0000-0000-0000E72B0000}"/>
    <cellStyle name="Normal 5 2 3 3 2 2 2 5 2" xfId="30805" xr:uid="{00000000-0005-0000-0000-0000E82B0000}"/>
    <cellStyle name="Normal 5 2 3 3 2 2 2 6" xfId="20948" xr:uid="{00000000-0005-0000-0000-0000E92B0000}"/>
    <cellStyle name="Normal 5 2 3 3 2 2 3" xfId="1839" xr:uid="{00000000-0005-0000-0000-0000EA2B0000}"/>
    <cellStyle name="Normal 5 2 3 3 2 2 3 2" xfId="4306" xr:uid="{00000000-0005-0000-0000-0000EB2B0000}"/>
    <cellStyle name="Normal 5 2 3 3 2 2 3 2 2" xfId="9238" xr:uid="{00000000-0005-0000-0000-0000EC2B0000}"/>
    <cellStyle name="Normal 5 2 3 3 2 2 3 2 2 2" xfId="19098" xr:uid="{00000000-0005-0000-0000-0000ED2B0000}"/>
    <cellStyle name="Normal 5 2 3 3 2 2 3 2 2 2 2" xfId="38813" xr:uid="{00000000-0005-0000-0000-0000EE2B0000}"/>
    <cellStyle name="Normal 5 2 3 3 2 2 3 2 2 3" xfId="28956" xr:uid="{00000000-0005-0000-0000-0000EF2B0000}"/>
    <cellStyle name="Normal 5 2 3 3 2 2 3 2 3" xfId="14170" xr:uid="{00000000-0005-0000-0000-0000F02B0000}"/>
    <cellStyle name="Normal 5 2 3 3 2 2 3 2 3 2" xfId="33885" xr:uid="{00000000-0005-0000-0000-0000F12B0000}"/>
    <cellStyle name="Normal 5 2 3 3 2 2 3 2 4" xfId="24028" xr:uid="{00000000-0005-0000-0000-0000F22B0000}"/>
    <cellStyle name="Normal 5 2 3 3 2 2 3 3" xfId="6774" xr:uid="{00000000-0005-0000-0000-0000F32B0000}"/>
    <cellStyle name="Normal 5 2 3 3 2 2 3 3 2" xfId="16634" xr:uid="{00000000-0005-0000-0000-0000F42B0000}"/>
    <cellStyle name="Normal 5 2 3 3 2 2 3 3 2 2" xfId="36349" xr:uid="{00000000-0005-0000-0000-0000F52B0000}"/>
    <cellStyle name="Normal 5 2 3 3 2 2 3 3 3" xfId="26492" xr:uid="{00000000-0005-0000-0000-0000F62B0000}"/>
    <cellStyle name="Normal 5 2 3 3 2 2 3 4" xfId="11706" xr:uid="{00000000-0005-0000-0000-0000F72B0000}"/>
    <cellStyle name="Normal 5 2 3 3 2 2 3 4 2" xfId="31421" xr:uid="{00000000-0005-0000-0000-0000F82B0000}"/>
    <cellStyle name="Normal 5 2 3 3 2 2 3 5" xfId="21564" xr:uid="{00000000-0005-0000-0000-0000F92B0000}"/>
    <cellStyle name="Normal 5 2 3 3 2 2 4" xfId="3074" xr:uid="{00000000-0005-0000-0000-0000FA2B0000}"/>
    <cellStyle name="Normal 5 2 3 3 2 2 4 2" xfId="8006" xr:uid="{00000000-0005-0000-0000-0000FB2B0000}"/>
    <cellStyle name="Normal 5 2 3 3 2 2 4 2 2" xfId="17866" xr:uid="{00000000-0005-0000-0000-0000FC2B0000}"/>
    <cellStyle name="Normal 5 2 3 3 2 2 4 2 2 2" xfId="37581" xr:uid="{00000000-0005-0000-0000-0000FD2B0000}"/>
    <cellStyle name="Normal 5 2 3 3 2 2 4 2 3" xfId="27724" xr:uid="{00000000-0005-0000-0000-0000FE2B0000}"/>
    <cellStyle name="Normal 5 2 3 3 2 2 4 3" xfId="12938" xr:uid="{00000000-0005-0000-0000-0000FF2B0000}"/>
    <cellStyle name="Normal 5 2 3 3 2 2 4 3 2" xfId="32653" xr:uid="{00000000-0005-0000-0000-0000002C0000}"/>
    <cellStyle name="Normal 5 2 3 3 2 2 4 4" xfId="22796" xr:uid="{00000000-0005-0000-0000-0000012C0000}"/>
    <cellStyle name="Normal 5 2 3 3 2 2 5" xfId="5542" xr:uid="{00000000-0005-0000-0000-0000022C0000}"/>
    <cellStyle name="Normal 5 2 3 3 2 2 5 2" xfId="15402" xr:uid="{00000000-0005-0000-0000-0000032C0000}"/>
    <cellStyle name="Normal 5 2 3 3 2 2 5 2 2" xfId="35117" xr:uid="{00000000-0005-0000-0000-0000042C0000}"/>
    <cellStyle name="Normal 5 2 3 3 2 2 5 3" xfId="25260" xr:uid="{00000000-0005-0000-0000-0000052C0000}"/>
    <cellStyle name="Normal 5 2 3 3 2 2 6" xfId="10474" xr:uid="{00000000-0005-0000-0000-0000062C0000}"/>
    <cellStyle name="Normal 5 2 3 3 2 2 6 2" xfId="30189" xr:uid="{00000000-0005-0000-0000-0000072C0000}"/>
    <cellStyle name="Normal 5 2 3 3 2 2 7" xfId="20332" xr:uid="{00000000-0005-0000-0000-0000082C0000}"/>
    <cellStyle name="Normal 5 2 3 3 2 3" xfId="913" xr:uid="{00000000-0005-0000-0000-0000092C0000}"/>
    <cellStyle name="Normal 5 2 3 3 2 3 2" xfId="2149" xr:uid="{00000000-0005-0000-0000-00000A2C0000}"/>
    <cellStyle name="Normal 5 2 3 3 2 3 2 2" xfId="4616" xr:uid="{00000000-0005-0000-0000-00000B2C0000}"/>
    <cellStyle name="Normal 5 2 3 3 2 3 2 2 2" xfId="9548" xr:uid="{00000000-0005-0000-0000-00000C2C0000}"/>
    <cellStyle name="Normal 5 2 3 3 2 3 2 2 2 2" xfId="19408" xr:uid="{00000000-0005-0000-0000-00000D2C0000}"/>
    <cellStyle name="Normal 5 2 3 3 2 3 2 2 2 2 2" xfId="39123" xr:uid="{00000000-0005-0000-0000-00000E2C0000}"/>
    <cellStyle name="Normal 5 2 3 3 2 3 2 2 2 3" xfId="29266" xr:uid="{00000000-0005-0000-0000-00000F2C0000}"/>
    <cellStyle name="Normal 5 2 3 3 2 3 2 2 3" xfId="14480" xr:uid="{00000000-0005-0000-0000-0000102C0000}"/>
    <cellStyle name="Normal 5 2 3 3 2 3 2 2 3 2" xfId="34195" xr:uid="{00000000-0005-0000-0000-0000112C0000}"/>
    <cellStyle name="Normal 5 2 3 3 2 3 2 2 4" xfId="24338" xr:uid="{00000000-0005-0000-0000-0000122C0000}"/>
    <cellStyle name="Normal 5 2 3 3 2 3 2 3" xfId="7084" xr:uid="{00000000-0005-0000-0000-0000132C0000}"/>
    <cellStyle name="Normal 5 2 3 3 2 3 2 3 2" xfId="16944" xr:uid="{00000000-0005-0000-0000-0000142C0000}"/>
    <cellStyle name="Normal 5 2 3 3 2 3 2 3 2 2" xfId="36659" xr:uid="{00000000-0005-0000-0000-0000152C0000}"/>
    <cellStyle name="Normal 5 2 3 3 2 3 2 3 3" xfId="26802" xr:uid="{00000000-0005-0000-0000-0000162C0000}"/>
    <cellStyle name="Normal 5 2 3 3 2 3 2 4" xfId="12016" xr:uid="{00000000-0005-0000-0000-0000172C0000}"/>
    <cellStyle name="Normal 5 2 3 3 2 3 2 4 2" xfId="31731" xr:uid="{00000000-0005-0000-0000-0000182C0000}"/>
    <cellStyle name="Normal 5 2 3 3 2 3 2 5" xfId="21874" xr:uid="{00000000-0005-0000-0000-0000192C0000}"/>
    <cellStyle name="Normal 5 2 3 3 2 3 3" xfId="3384" xr:uid="{00000000-0005-0000-0000-00001A2C0000}"/>
    <cellStyle name="Normal 5 2 3 3 2 3 3 2" xfId="8316" xr:uid="{00000000-0005-0000-0000-00001B2C0000}"/>
    <cellStyle name="Normal 5 2 3 3 2 3 3 2 2" xfId="18176" xr:uid="{00000000-0005-0000-0000-00001C2C0000}"/>
    <cellStyle name="Normal 5 2 3 3 2 3 3 2 2 2" xfId="37891" xr:uid="{00000000-0005-0000-0000-00001D2C0000}"/>
    <cellStyle name="Normal 5 2 3 3 2 3 3 2 3" xfId="28034" xr:uid="{00000000-0005-0000-0000-00001E2C0000}"/>
    <cellStyle name="Normal 5 2 3 3 2 3 3 3" xfId="13248" xr:uid="{00000000-0005-0000-0000-00001F2C0000}"/>
    <cellStyle name="Normal 5 2 3 3 2 3 3 3 2" xfId="32963" xr:uid="{00000000-0005-0000-0000-0000202C0000}"/>
    <cellStyle name="Normal 5 2 3 3 2 3 3 4" xfId="23106" xr:uid="{00000000-0005-0000-0000-0000212C0000}"/>
    <cellStyle name="Normal 5 2 3 3 2 3 4" xfId="5852" xr:uid="{00000000-0005-0000-0000-0000222C0000}"/>
    <cellStyle name="Normal 5 2 3 3 2 3 4 2" xfId="15712" xr:uid="{00000000-0005-0000-0000-0000232C0000}"/>
    <cellStyle name="Normal 5 2 3 3 2 3 4 2 2" xfId="35427" xr:uid="{00000000-0005-0000-0000-0000242C0000}"/>
    <cellStyle name="Normal 5 2 3 3 2 3 4 3" xfId="25570" xr:uid="{00000000-0005-0000-0000-0000252C0000}"/>
    <cellStyle name="Normal 5 2 3 3 2 3 5" xfId="10784" xr:uid="{00000000-0005-0000-0000-0000262C0000}"/>
    <cellStyle name="Normal 5 2 3 3 2 3 5 2" xfId="30499" xr:uid="{00000000-0005-0000-0000-0000272C0000}"/>
    <cellStyle name="Normal 5 2 3 3 2 3 6" xfId="20642" xr:uid="{00000000-0005-0000-0000-0000282C0000}"/>
    <cellStyle name="Normal 5 2 3 3 2 4" xfId="1533" xr:uid="{00000000-0005-0000-0000-0000292C0000}"/>
    <cellStyle name="Normal 5 2 3 3 2 4 2" xfId="4000" xr:uid="{00000000-0005-0000-0000-00002A2C0000}"/>
    <cellStyle name="Normal 5 2 3 3 2 4 2 2" xfId="8932" xr:uid="{00000000-0005-0000-0000-00002B2C0000}"/>
    <cellStyle name="Normal 5 2 3 3 2 4 2 2 2" xfId="18792" xr:uid="{00000000-0005-0000-0000-00002C2C0000}"/>
    <cellStyle name="Normal 5 2 3 3 2 4 2 2 2 2" xfId="38507" xr:uid="{00000000-0005-0000-0000-00002D2C0000}"/>
    <cellStyle name="Normal 5 2 3 3 2 4 2 2 3" xfId="28650" xr:uid="{00000000-0005-0000-0000-00002E2C0000}"/>
    <cellStyle name="Normal 5 2 3 3 2 4 2 3" xfId="13864" xr:uid="{00000000-0005-0000-0000-00002F2C0000}"/>
    <cellStyle name="Normal 5 2 3 3 2 4 2 3 2" xfId="33579" xr:uid="{00000000-0005-0000-0000-0000302C0000}"/>
    <cellStyle name="Normal 5 2 3 3 2 4 2 4" xfId="23722" xr:uid="{00000000-0005-0000-0000-0000312C0000}"/>
    <cellStyle name="Normal 5 2 3 3 2 4 3" xfId="6468" xr:uid="{00000000-0005-0000-0000-0000322C0000}"/>
    <cellStyle name="Normal 5 2 3 3 2 4 3 2" xfId="16328" xr:uid="{00000000-0005-0000-0000-0000332C0000}"/>
    <cellStyle name="Normal 5 2 3 3 2 4 3 2 2" xfId="36043" xr:uid="{00000000-0005-0000-0000-0000342C0000}"/>
    <cellStyle name="Normal 5 2 3 3 2 4 3 3" xfId="26186" xr:uid="{00000000-0005-0000-0000-0000352C0000}"/>
    <cellStyle name="Normal 5 2 3 3 2 4 4" xfId="11400" xr:uid="{00000000-0005-0000-0000-0000362C0000}"/>
    <cellStyle name="Normal 5 2 3 3 2 4 4 2" xfId="31115" xr:uid="{00000000-0005-0000-0000-0000372C0000}"/>
    <cellStyle name="Normal 5 2 3 3 2 4 5" xfId="21258" xr:uid="{00000000-0005-0000-0000-0000382C0000}"/>
    <cellStyle name="Normal 5 2 3 3 2 5" xfId="2768" xr:uid="{00000000-0005-0000-0000-0000392C0000}"/>
    <cellStyle name="Normal 5 2 3 3 2 5 2" xfId="7700" xr:uid="{00000000-0005-0000-0000-00003A2C0000}"/>
    <cellStyle name="Normal 5 2 3 3 2 5 2 2" xfId="17560" xr:uid="{00000000-0005-0000-0000-00003B2C0000}"/>
    <cellStyle name="Normal 5 2 3 3 2 5 2 2 2" xfId="37275" xr:uid="{00000000-0005-0000-0000-00003C2C0000}"/>
    <cellStyle name="Normal 5 2 3 3 2 5 2 3" xfId="27418" xr:uid="{00000000-0005-0000-0000-00003D2C0000}"/>
    <cellStyle name="Normal 5 2 3 3 2 5 3" xfId="12632" xr:uid="{00000000-0005-0000-0000-00003E2C0000}"/>
    <cellStyle name="Normal 5 2 3 3 2 5 3 2" xfId="32347" xr:uid="{00000000-0005-0000-0000-00003F2C0000}"/>
    <cellStyle name="Normal 5 2 3 3 2 5 4" xfId="22490" xr:uid="{00000000-0005-0000-0000-0000402C0000}"/>
    <cellStyle name="Normal 5 2 3 3 2 6" xfId="5236" xr:uid="{00000000-0005-0000-0000-0000412C0000}"/>
    <cellStyle name="Normal 5 2 3 3 2 6 2" xfId="15096" xr:uid="{00000000-0005-0000-0000-0000422C0000}"/>
    <cellStyle name="Normal 5 2 3 3 2 6 2 2" xfId="34811" xr:uid="{00000000-0005-0000-0000-0000432C0000}"/>
    <cellStyle name="Normal 5 2 3 3 2 6 3" xfId="24954" xr:uid="{00000000-0005-0000-0000-0000442C0000}"/>
    <cellStyle name="Normal 5 2 3 3 2 7" xfId="10168" xr:uid="{00000000-0005-0000-0000-0000452C0000}"/>
    <cellStyle name="Normal 5 2 3 3 2 7 2" xfId="29883" xr:uid="{00000000-0005-0000-0000-0000462C0000}"/>
    <cellStyle name="Normal 5 2 3 3 2 8" xfId="20026" xr:uid="{00000000-0005-0000-0000-0000472C0000}"/>
    <cellStyle name="Normal 5 2 3 3 3" xfId="448" xr:uid="{00000000-0005-0000-0000-0000482C0000}"/>
    <cellStyle name="Normal 5 2 3 3 3 2" xfId="1068" xr:uid="{00000000-0005-0000-0000-0000492C0000}"/>
    <cellStyle name="Normal 5 2 3 3 3 2 2" xfId="2303" xr:uid="{00000000-0005-0000-0000-00004A2C0000}"/>
    <cellStyle name="Normal 5 2 3 3 3 2 2 2" xfId="4770" xr:uid="{00000000-0005-0000-0000-00004B2C0000}"/>
    <cellStyle name="Normal 5 2 3 3 3 2 2 2 2" xfId="9702" xr:uid="{00000000-0005-0000-0000-00004C2C0000}"/>
    <cellStyle name="Normal 5 2 3 3 3 2 2 2 2 2" xfId="19562" xr:uid="{00000000-0005-0000-0000-00004D2C0000}"/>
    <cellStyle name="Normal 5 2 3 3 3 2 2 2 2 2 2" xfId="39277" xr:uid="{00000000-0005-0000-0000-00004E2C0000}"/>
    <cellStyle name="Normal 5 2 3 3 3 2 2 2 2 3" xfId="29420" xr:uid="{00000000-0005-0000-0000-00004F2C0000}"/>
    <cellStyle name="Normal 5 2 3 3 3 2 2 2 3" xfId="14634" xr:uid="{00000000-0005-0000-0000-0000502C0000}"/>
    <cellStyle name="Normal 5 2 3 3 3 2 2 2 3 2" xfId="34349" xr:uid="{00000000-0005-0000-0000-0000512C0000}"/>
    <cellStyle name="Normal 5 2 3 3 3 2 2 2 4" xfId="24492" xr:uid="{00000000-0005-0000-0000-0000522C0000}"/>
    <cellStyle name="Normal 5 2 3 3 3 2 2 3" xfId="7238" xr:uid="{00000000-0005-0000-0000-0000532C0000}"/>
    <cellStyle name="Normal 5 2 3 3 3 2 2 3 2" xfId="17098" xr:uid="{00000000-0005-0000-0000-0000542C0000}"/>
    <cellStyle name="Normal 5 2 3 3 3 2 2 3 2 2" xfId="36813" xr:uid="{00000000-0005-0000-0000-0000552C0000}"/>
    <cellStyle name="Normal 5 2 3 3 3 2 2 3 3" xfId="26956" xr:uid="{00000000-0005-0000-0000-0000562C0000}"/>
    <cellStyle name="Normal 5 2 3 3 3 2 2 4" xfId="12170" xr:uid="{00000000-0005-0000-0000-0000572C0000}"/>
    <cellStyle name="Normal 5 2 3 3 3 2 2 4 2" xfId="31885" xr:uid="{00000000-0005-0000-0000-0000582C0000}"/>
    <cellStyle name="Normal 5 2 3 3 3 2 2 5" xfId="22028" xr:uid="{00000000-0005-0000-0000-0000592C0000}"/>
    <cellStyle name="Normal 5 2 3 3 3 2 3" xfId="3538" xr:uid="{00000000-0005-0000-0000-00005A2C0000}"/>
    <cellStyle name="Normal 5 2 3 3 3 2 3 2" xfId="8470" xr:uid="{00000000-0005-0000-0000-00005B2C0000}"/>
    <cellStyle name="Normal 5 2 3 3 3 2 3 2 2" xfId="18330" xr:uid="{00000000-0005-0000-0000-00005C2C0000}"/>
    <cellStyle name="Normal 5 2 3 3 3 2 3 2 2 2" xfId="38045" xr:uid="{00000000-0005-0000-0000-00005D2C0000}"/>
    <cellStyle name="Normal 5 2 3 3 3 2 3 2 3" xfId="28188" xr:uid="{00000000-0005-0000-0000-00005E2C0000}"/>
    <cellStyle name="Normal 5 2 3 3 3 2 3 3" xfId="13402" xr:uid="{00000000-0005-0000-0000-00005F2C0000}"/>
    <cellStyle name="Normal 5 2 3 3 3 2 3 3 2" xfId="33117" xr:uid="{00000000-0005-0000-0000-0000602C0000}"/>
    <cellStyle name="Normal 5 2 3 3 3 2 3 4" xfId="23260" xr:uid="{00000000-0005-0000-0000-0000612C0000}"/>
    <cellStyle name="Normal 5 2 3 3 3 2 4" xfId="6006" xr:uid="{00000000-0005-0000-0000-0000622C0000}"/>
    <cellStyle name="Normal 5 2 3 3 3 2 4 2" xfId="15866" xr:uid="{00000000-0005-0000-0000-0000632C0000}"/>
    <cellStyle name="Normal 5 2 3 3 3 2 4 2 2" xfId="35581" xr:uid="{00000000-0005-0000-0000-0000642C0000}"/>
    <cellStyle name="Normal 5 2 3 3 3 2 4 3" xfId="25724" xr:uid="{00000000-0005-0000-0000-0000652C0000}"/>
    <cellStyle name="Normal 5 2 3 3 3 2 5" xfId="10938" xr:uid="{00000000-0005-0000-0000-0000662C0000}"/>
    <cellStyle name="Normal 5 2 3 3 3 2 5 2" xfId="30653" xr:uid="{00000000-0005-0000-0000-0000672C0000}"/>
    <cellStyle name="Normal 5 2 3 3 3 2 6" xfId="20796" xr:uid="{00000000-0005-0000-0000-0000682C0000}"/>
    <cellStyle name="Normal 5 2 3 3 3 3" xfId="1687" xr:uid="{00000000-0005-0000-0000-0000692C0000}"/>
    <cellStyle name="Normal 5 2 3 3 3 3 2" xfId="4154" xr:uid="{00000000-0005-0000-0000-00006A2C0000}"/>
    <cellStyle name="Normal 5 2 3 3 3 3 2 2" xfId="9086" xr:uid="{00000000-0005-0000-0000-00006B2C0000}"/>
    <cellStyle name="Normal 5 2 3 3 3 3 2 2 2" xfId="18946" xr:uid="{00000000-0005-0000-0000-00006C2C0000}"/>
    <cellStyle name="Normal 5 2 3 3 3 3 2 2 2 2" xfId="38661" xr:uid="{00000000-0005-0000-0000-00006D2C0000}"/>
    <cellStyle name="Normal 5 2 3 3 3 3 2 2 3" xfId="28804" xr:uid="{00000000-0005-0000-0000-00006E2C0000}"/>
    <cellStyle name="Normal 5 2 3 3 3 3 2 3" xfId="14018" xr:uid="{00000000-0005-0000-0000-00006F2C0000}"/>
    <cellStyle name="Normal 5 2 3 3 3 3 2 3 2" xfId="33733" xr:uid="{00000000-0005-0000-0000-0000702C0000}"/>
    <cellStyle name="Normal 5 2 3 3 3 3 2 4" xfId="23876" xr:uid="{00000000-0005-0000-0000-0000712C0000}"/>
    <cellStyle name="Normal 5 2 3 3 3 3 3" xfId="6622" xr:uid="{00000000-0005-0000-0000-0000722C0000}"/>
    <cellStyle name="Normal 5 2 3 3 3 3 3 2" xfId="16482" xr:uid="{00000000-0005-0000-0000-0000732C0000}"/>
    <cellStyle name="Normal 5 2 3 3 3 3 3 2 2" xfId="36197" xr:uid="{00000000-0005-0000-0000-0000742C0000}"/>
    <cellStyle name="Normal 5 2 3 3 3 3 3 3" xfId="26340" xr:uid="{00000000-0005-0000-0000-0000752C0000}"/>
    <cellStyle name="Normal 5 2 3 3 3 3 4" xfId="11554" xr:uid="{00000000-0005-0000-0000-0000762C0000}"/>
    <cellStyle name="Normal 5 2 3 3 3 3 4 2" xfId="31269" xr:uid="{00000000-0005-0000-0000-0000772C0000}"/>
    <cellStyle name="Normal 5 2 3 3 3 3 5" xfId="21412" xr:uid="{00000000-0005-0000-0000-0000782C0000}"/>
    <cellStyle name="Normal 5 2 3 3 3 4" xfId="2922" xr:uid="{00000000-0005-0000-0000-0000792C0000}"/>
    <cellStyle name="Normal 5 2 3 3 3 4 2" xfId="7854" xr:uid="{00000000-0005-0000-0000-00007A2C0000}"/>
    <cellStyle name="Normal 5 2 3 3 3 4 2 2" xfId="17714" xr:uid="{00000000-0005-0000-0000-00007B2C0000}"/>
    <cellStyle name="Normal 5 2 3 3 3 4 2 2 2" xfId="37429" xr:uid="{00000000-0005-0000-0000-00007C2C0000}"/>
    <cellStyle name="Normal 5 2 3 3 3 4 2 3" xfId="27572" xr:uid="{00000000-0005-0000-0000-00007D2C0000}"/>
    <cellStyle name="Normal 5 2 3 3 3 4 3" xfId="12786" xr:uid="{00000000-0005-0000-0000-00007E2C0000}"/>
    <cellStyle name="Normal 5 2 3 3 3 4 3 2" xfId="32501" xr:uid="{00000000-0005-0000-0000-00007F2C0000}"/>
    <cellStyle name="Normal 5 2 3 3 3 4 4" xfId="22644" xr:uid="{00000000-0005-0000-0000-0000802C0000}"/>
    <cellStyle name="Normal 5 2 3 3 3 5" xfId="5390" xr:uid="{00000000-0005-0000-0000-0000812C0000}"/>
    <cellStyle name="Normal 5 2 3 3 3 5 2" xfId="15250" xr:uid="{00000000-0005-0000-0000-0000822C0000}"/>
    <cellStyle name="Normal 5 2 3 3 3 5 2 2" xfId="34965" xr:uid="{00000000-0005-0000-0000-0000832C0000}"/>
    <cellStyle name="Normal 5 2 3 3 3 5 3" xfId="25108" xr:uid="{00000000-0005-0000-0000-0000842C0000}"/>
    <cellStyle name="Normal 5 2 3 3 3 6" xfId="10322" xr:uid="{00000000-0005-0000-0000-0000852C0000}"/>
    <cellStyle name="Normal 5 2 3 3 3 6 2" xfId="30037" xr:uid="{00000000-0005-0000-0000-0000862C0000}"/>
    <cellStyle name="Normal 5 2 3 3 3 7" xfId="20180" xr:uid="{00000000-0005-0000-0000-0000872C0000}"/>
    <cellStyle name="Normal 5 2 3 3 4" xfId="761" xr:uid="{00000000-0005-0000-0000-0000882C0000}"/>
    <cellStyle name="Normal 5 2 3 3 4 2" xfId="1997" xr:uid="{00000000-0005-0000-0000-0000892C0000}"/>
    <cellStyle name="Normal 5 2 3 3 4 2 2" xfId="4464" xr:uid="{00000000-0005-0000-0000-00008A2C0000}"/>
    <cellStyle name="Normal 5 2 3 3 4 2 2 2" xfId="9396" xr:uid="{00000000-0005-0000-0000-00008B2C0000}"/>
    <cellStyle name="Normal 5 2 3 3 4 2 2 2 2" xfId="19256" xr:uid="{00000000-0005-0000-0000-00008C2C0000}"/>
    <cellStyle name="Normal 5 2 3 3 4 2 2 2 2 2" xfId="38971" xr:uid="{00000000-0005-0000-0000-00008D2C0000}"/>
    <cellStyle name="Normal 5 2 3 3 4 2 2 2 3" xfId="29114" xr:uid="{00000000-0005-0000-0000-00008E2C0000}"/>
    <cellStyle name="Normal 5 2 3 3 4 2 2 3" xfId="14328" xr:uid="{00000000-0005-0000-0000-00008F2C0000}"/>
    <cellStyle name="Normal 5 2 3 3 4 2 2 3 2" xfId="34043" xr:uid="{00000000-0005-0000-0000-0000902C0000}"/>
    <cellStyle name="Normal 5 2 3 3 4 2 2 4" xfId="24186" xr:uid="{00000000-0005-0000-0000-0000912C0000}"/>
    <cellStyle name="Normal 5 2 3 3 4 2 3" xfId="6932" xr:uid="{00000000-0005-0000-0000-0000922C0000}"/>
    <cellStyle name="Normal 5 2 3 3 4 2 3 2" xfId="16792" xr:uid="{00000000-0005-0000-0000-0000932C0000}"/>
    <cellStyle name="Normal 5 2 3 3 4 2 3 2 2" xfId="36507" xr:uid="{00000000-0005-0000-0000-0000942C0000}"/>
    <cellStyle name="Normal 5 2 3 3 4 2 3 3" xfId="26650" xr:uid="{00000000-0005-0000-0000-0000952C0000}"/>
    <cellStyle name="Normal 5 2 3 3 4 2 4" xfId="11864" xr:uid="{00000000-0005-0000-0000-0000962C0000}"/>
    <cellStyle name="Normal 5 2 3 3 4 2 4 2" xfId="31579" xr:uid="{00000000-0005-0000-0000-0000972C0000}"/>
    <cellStyle name="Normal 5 2 3 3 4 2 5" xfId="21722" xr:uid="{00000000-0005-0000-0000-0000982C0000}"/>
    <cellStyle name="Normal 5 2 3 3 4 3" xfId="3232" xr:uid="{00000000-0005-0000-0000-0000992C0000}"/>
    <cellStyle name="Normal 5 2 3 3 4 3 2" xfId="8164" xr:uid="{00000000-0005-0000-0000-00009A2C0000}"/>
    <cellStyle name="Normal 5 2 3 3 4 3 2 2" xfId="18024" xr:uid="{00000000-0005-0000-0000-00009B2C0000}"/>
    <cellStyle name="Normal 5 2 3 3 4 3 2 2 2" xfId="37739" xr:uid="{00000000-0005-0000-0000-00009C2C0000}"/>
    <cellStyle name="Normal 5 2 3 3 4 3 2 3" xfId="27882" xr:uid="{00000000-0005-0000-0000-00009D2C0000}"/>
    <cellStyle name="Normal 5 2 3 3 4 3 3" xfId="13096" xr:uid="{00000000-0005-0000-0000-00009E2C0000}"/>
    <cellStyle name="Normal 5 2 3 3 4 3 3 2" xfId="32811" xr:uid="{00000000-0005-0000-0000-00009F2C0000}"/>
    <cellStyle name="Normal 5 2 3 3 4 3 4" xfId="22954" xr:uid="{00000000-0005-0000-0000-0000A02C0000}"/>
    <cellStyle name="Normal 5 2 3 3 4 4" xfId="5700" xr:uid="{00000000-0005-0000-0000-0000A12C0000}"/>
    <cellStyle name="Normal 5 2 3 3 4 4 2" xfId="15560" xr:uid="{00000000-0005-0000-0000-0000A22C0000}"/>
    <cellStyle name="Normal 5 2 3 3 4 4 2 2" xfId="35275" xr:uid="{00000000-0005-0000-0000-0000A32C0000}"/>
    <cellStyle name="Normal 5 2 3 3 4 4 3" xfId="25418" xr:uid="{00000000-0005-0000-0000-0000A42C0000}"/>
    <cellStyle name="Normal 5 2 3 3 4 5" xfId="10632" xr:uid="{00000000-0005-0000-0000-0000A52C0000}"/>
    <cellStyle name="Normal 5 2 3 3 4 5 2" xfId="30347" xr:uid="{00000000-0005-0000-0000-0000A62C0000}"/>
    <cellStyle name="Normal 5 2 3 3 4 6" xfId="20490" xr:uid="{00000000-0005-0000-0000-0000A72C0000}"/>
    <cellStyle name="Normal 5 2 3 3 5" xfId="1381" xr:uid="{00000000-0005-0000-0000-0000A82C0000}"/>
    <cellStyle name="Normal 5 2 3 3 5 2" xfId="3848" xr:uid="{00000000-0005-0000-0000-0000A92C0000}"/>
    <cellStyle name="Normal 5 2 3 3 5 2 2" xfId="8780" xr:uid="{00000000-0005-0000-0000-0000AA2C0000}"/>
    <cellStyle name="Normal 5 2 3 3 5 2 2 2" xfId="18640" xr:uid="{00000000-0005-0000-0000-0000AB2C0000}"/>
    <cellStyle name="Normal 5 2 3 3 5 2 2 2 2" xfId="38355" xr:uid="{00000000-0005-0000-0000-0000AC2C0000}"/>
    <cellStyle name="Normal 5 2 3 3 5 2 2 3" xfId="28498" xr:uid="{00000000-0005-0000-0000-0000AD2C0000}"/>
    <cellStyle name="Normal 5 2 3 3 5 2 3" xfId="13712" xr:uid="{00000000-0005-0000-0000-0000AE2C0000}"/>
    <cellStyle name="Normal 5 2 3 3 5 2 3 2" xfId="33427" xr:uid="{00000000-0005-0000-0000-0000AF2C0000}"/>
    <cellStyle name="Normal 5 2 3 3 5 2 4" xfId="23570" xr:uid="{00000000-0005-0000-0000-0000B02C0000}"/>
    <cellStyle name="Normal 5 2 3 3 5 3" xfId="6316" xr:uid="{00000000-0005-0000-0000-0000B12C0000}"/>
    <cellStyle name="Normal 5 2 3 3 5 3 2" xfId="16176" xr:uid="{00000000-0005-0000-0000-0000B22C0000}"/>
    <cellStyle name="Normal 5 2 3 3 5 3 2 2" xfId="35891" xr:uid="{00000000-0005-0000-0000-0000B32C0000}"/>
    <cellStyle name="Normal 5 2 3 3 5 3 3" xfId="26034" xr:uid="{00000000-0005-0000-0000-0000B42C0000}"/>
    <cellStyle name="Normal 5 2 3 3 5 4" xfId="11248" xr:uid="{00000000-0005-0000-0000-0000B52C0000}"/>
    <cellStyle name="Normal 5 2 3 3 5 4 2" xfId="30963" xr:uid="{00000000-0005-0000-0000-0000B62C0000}"/>
    <cellStyle name="Normal 5 2 3 3 5 5" xfId="21106" xr:uid="{00000000-0005-0000-0000-0000B72C0000}"/>
    <cellStyle name="Normal 5 2 3 3 6" xfId="2616" xr:uid="{00000000-0005-0000-0000-0000B82C0000}"/>
    <cellStyle name="Normal 5 2 3 3 6 2" xfId="7548" xr:uid="{00000000-0005-0000-0000-0000B92C0000}"/>
    <cellStyle name="Normal 5 2 3 3 6 2 2" xfId="17408" xr:uid="{00000000-0005-0000-0000-0000BA2C0000}"/>
    <cellStyle name="Normal 5 2 3 3 6 2 2 2" xfId="37123" xr:uid="{00000000-0005-0000-0000-0000BB2C0000}"/>
    <cellStyle name="Normal 5 2 3 3 6 2 3" xfId="27266" xr:uid="{00000000-0005-0000-0000-0000BC2C0000}"/>
    <cellStyle name="Normal 5 2 3 3 6 3" xfId="12480" xr:uid="{00000000-0005-0000-0000-0000BD2C0000}"/>
    <cellStyle name="Normal 5 2 3 3 6 3 2" xfId="32195" xr:uid="{00000000-0005-0000-0000-0000BE2C0000}"/>
    <cellStyle name="Normal 5 2 3 3 6 4" xfId="22338" xr:uid="{00000000-0005-0000-0000-0000BF2C0000}"/>
    <cellStyle name="Normal 5 2 3 3 7" xfId="5084" xr:uid="{00000000-0005-0000-0000-0000C02C0000}"/>
    <cellStyle name="Normal 5 2 3 3 7 2" xfId="14944" xr:uid="{00000000-0005-0000-0000-0000C12C0000}"/>
    <cellStyle name="Normal 5 2 3 3 7 2 2" xfId="34659" xr:uid="{00000000-0005-0000-0000-0000C22C0000}"/>
    <cellStyle name="Normal 5 2 3 3 7 3" xfId="24802" xr:uid="{00000000-0005-0000-0000-0000C32C0000}"/>
    <cellStyle name="Normal 5 2 3 3 8" xfId="10016" xr:uid="{00000000-0005-0000-0000-0000C42C0000}"/>
    <cellStyle name="Normal 5 2 3 3 8 2" xfId="29731" xr:uid="{00000000-0005-0000-0000-0000C52C0000}"/>
    <cellStyle name="Normal 5 2 3 3 9" xfId="19874" xr:uid="{00000000-0005-0000-0000-0000C62C0000}"/>
    <cellStyle name="Normal 5 2 3 4" xfId="210" xr:uid="{00000000-0005-0000-0000-0000C72C0000}"/>
    <cellStyle name="Normal 5 2 3 4 2" xfId="524" xr:uid="{00000000-0005-0000-0000-0000C82C0000}"/>
    <cellStyle name="Normal 5 2 3 4 2 2" xfId="1144" xr:uid="{00000000-0005-0000-0000-0000C92C0000}"/>
    <cellStyle name="Normal 5 2 3 4 2 2 2" xfId="2379" xr:uid="{00000000-0005-0000-0000-0000CA2C0000}"/>
    <cellStyle name="Normal 5 2 3 4 2 2 2 2" xfId="4846" xr:uid="{00000000-0005-0000-0000-0000CB2C0000}"/>
    <cellStyle name="Normal 5 2 3 4 2 2 2 2 2" xfId="9778" xr:uid="{00000000-0005-0000-0000-0000CC2C0000}"/>
    <cellStyle name="Normal 5 2 3 4 2 2 2 2 2 2" xfId="19638" xr:uid="{00000000-0005-0000-0000-0000CD2C0000}"/>
    <cellStyle name="Normal 5 2 3 4 2 2 2 2 2 2 2" xfId="39353" xr:uid="{00000000-0005-0000-0000-0000CE2C0000}"/>
    <cellStyle name="Normal 5 2 3 4 2 2 2 2 2 3" xfId="29496" xr:uid="{00000000-0005-0000-0000-0000CF2C0000}"/>
    <cellStyle name="Normal 5 2 3 4 2 2 2 2 3" xfId="14710" xr:uid="{00000000-0005-0000-0000-0000D02C0000}"/>
    <cellStyle name="Normal 5 2 3 4 2 2 2 2 3 2" xfId="34425" xr:uid="{00000000-0005-0000-0000-0000D12C0000}"/>
    <cellStyle name="Normal 5 2 3 4 2 2 2 2 4" xfId="24568" xr:uid="{00000000-0005-0000-0000-0000D22C0000}"/>
    <cellStyle name="Normal 5 2 3 4 2 2 2 3" xfId="7314" xr:uid="{00000000-0005-0000-0000-0000D32C0000}"/>
    <cellStyle name="Normal 5 2 3 4 2 2 2 3 2" xfId="17174" xr:uid="{00000000-0005-0000-0000-0000D42C0000}"/>
    <cellStyle name="Normal 5 2 3 4 2 2 2 3 2 2" xfId="36889" xr:uid="{00000000-0005-0000-0000-0000D52C0000}"/>
    <cellStyle name="Normal 5 2 3 4 2 2 2 3 3" xfId="27032" xr:uid="{00000000-0005-0000-0000-0000D62C0000}"/>
    <cellStyle name="Normal 5 2 3 4 2 2 2 4" xfId="12246" xr:uid="{00000000-0005-0000-0000-0000D72C0000}"/>
    <cellStyle name="Normal 5 2 3 4 2 2 2 4 2" xfId="31961" xr:uid="{00000000-0005-0000-0000-0000D82C0000}"/>
    <cellStyle name="Normal 5 2 3 4 2 2 2 5" xfId="22104" xr:uid="{00000000-0005-0000-0000-0000D92C0000}"/>
    <cellStyle name="Normal 5 2 3 4 2 2 3" xfId="3614" xr:uid="{00000000-0005-0000-0000-0000DA2C0000}"/>
    <cellStyle name="Normal 5 2 3 4 2 2 3 2" xfId="8546" xr:uid="{00000000-0005-0000-0000-0000DB2C0000}"/>
    <cellStyle name="Normal 5 2 3 4 2 2 3 2 2" xfId="18406" xr:uid="{00000000-0005-0000-0000-0000DC2C0000}"/>
    <cellStyle name="Normal 5 2 3 4 2 2 3 2 2 2" xfId="38121" xr:uid="{00000000-0005-0000-0000-0000DD2C0000}"/>
    <cellStyle name="Normal 5 2 3 4 2 2 3 2 3" xfId="28264" xr:uid="{00000000-0005-0000-0000-0000DE2C0000}"/>
    <cellStyle name="Normal 5 2 3 4 2 2 3 3" xfId="13478" xr:uid="{00000000-0005-0000-0000-0000DF2C0000}"/>
    <cellStyle name="Normal 5 2 3 4 2 2 3 3 2" xfId="33193" xr:uid="{00000000-0005-0000-0000-0000E02C0000}"/>
    <cellStyle name="Normal 5 2 3 4 2 2 3 4" xfId="23336" xr:uid="{00000000-0005-0000-0000-0000E12C0000}"/>
    <cellStyle name="Normal 5 2 3 4 2 2 4" xfId="6082" xr:uid="{00000000-0005-0000-0000-0000E22C0000}"/>
    <cellStyle name="Normal 5 2 3 4 2 2 4 2" xfId="15942" xr:uid="{00000000-0005-0000-0000-0000E32C0000}"/>
    <cellStyle name="Normal 5 2 3 4 2 2 4 2 2" xfId="35657" xr:uid="{00000000-0005-0000-0000-0000E42C0000}"/>
    <cellStyle name="Normal 5 2 3 4 2 2 4 3" xfId="25800" xr:uid="{00000000-0005-0000-0000-0000E52C0000}"/>
    <cellStyle name="Normal 5 2 3 4 2 2 5" xfId="11014" xr:uid="{00000000-0005-0000-0000-0000E62C0000}"/>
    <cellStyle name="Normal 5 2 3 4 2 2 5 2" xfId="30729" xr:uid="{00000000-0005-0000-0000-0000E72C0000}"/>
    <cellStyle name="Normal 5 2 3 4 2 2 6" xfId="20872" xr:uid="{00000000-0005-0000-0000-0000E82C0000}"/>
    <cellStyle name="Normal 5 2 3 4 2 3" xfId="1763" xr:uid="{00000000-0005-0000-0000-0000E92C0000}"/>
    <cellStyle name="Normal 5 2 3 4 2 3 2" xfId="4230" xr:uid="{00000000-0005-0000-0000-0000EA2C0000}"/>
    <cellStyle name="Normal 5 2 3 4 2 3 2 2" xfId="9162" xr:uid="{00000000-0005-0000-0000-0000EB2C0000}"/>
    <cellStyle name="Normal 5 2 3 4 2 3 2 2 2" xfId="19022" xr:uid="{00000000-0005-0000-0000-0000EC2C0000}"/>
    <cellStyle name="Normal 5 2 3 4 2 3 2 2 2 2" xfId="38737" xr:uid="{00000000-0005-0000-0000-0000ED2C0000}"/>
    <cellStyle name="Normal 5 2 3 4 2 3 2 2 3" xfId="28880" xr:uid="{00000000-0005-0000-0000-0000EE2C0000}"/>
    <cellStyle name="Normal 5 2 3 4 2 3 2 3" xfId="14094" xr:uid="{00000000-0005-0000-0000-0000EF2C0000}"/>
    <cellStyle name="Normal 5 2 3 4 2 3 2 3 2" xfId="33809" xr:uid="{00000000-0005-0000-0000-0000F02C0000}"/>
    <cellStyle name="Normal 5 2 3 4 2 3 2 4" xfId="23952" xr:uid="{00000000-0005-0000-0000-0000F12C0000}"/>
    <cellStyle name="Normal 5 2 3 4 2 3 3" xfId="6698" xr:uid="{00000000-0005-0000-0000-0000F22C0000}"/>
    <cellStyle name="Normal 5 2 3 4 2 3 3 2" xfId="16558" xr:uid="{00000000-0005-0000-0000-0000F32C0000}"/>
    <cellStyle name="Normal 5 2 3 4 2 3 3 2 2" xfId="36273" xr:uid="{00000000-0005-0000-0000-0000F42C0000}"/>
    <cellStyle name="Normal 5 2 3 4 2 3 3 3" xfId="26416" xr:uid="{00000000-0005-0000-0000-0000F52C0000}"/>
    <cellStyle name="Normal 5 2 3 4 2 3 4" xfId="11630" xr:uid="{00000000-0005-0000-0000-0000F62C0000}"/>
    <cellStyle name="Normal 5 2 3 4 2 3 4 2" xfId="31345" xr:uid="{00000000-0005-0000-0000-0000F72C0000}"/>
    <cellStyle name="Normal 5 2 3 4 2 3 5" xfId="21488" xr:uid="{00000000-0005-0000-0000-0000F82C0000}"/>
    <cellStyle name="Normal 5 2 3 4 2 4" xfId="2998" xr:uid="{00000000-0005-0000-0000-0000F92C0000}"/>
    <cellStyle name="Normal 5 2 3 4 2 4 2" xfId="7930" xr:uid="{00000000-0005-0000-0000-0000FA2C0000}"/>
    <cellStyle name="Normal 5 2 3 4 2 4 2 2" xfId="17790" xr:uid="{00000000-0005-0000-0000-0000FB2C0000}"/>
    <cellStyle name="Normal 5 2 3 4 2 4 2 2 2" xfId="37505" xr:uid="{00000000-0005-0000-0000-0000FC2C0000}"/>
    <cellStyle name="Normal 5 2 3 4 2 4 2 3" xfId="27648" xr:uid="{00000000-0005-0000-0000-0000FD2C0000}"/>
    <cellStyle name="Normal 5 2 3 4 2 4 3" xfId="12862" xr:uid="{00000000-0005-0000-0000-0000FE2C0000}"/>
    <cellStyle name="Normal 5 2 3 4 2 4 3 2" xfId="32577" xr:uid="{00000000-0005-0000-0000-0000FF2C0000}"/>
    <cellStyle name="Normal 5 2 3 4 2 4 4" xfId="22720" xr:uid="{00000000-0005-0000-0000-0000002D0000}"/>
    <cellStyle name="Normal 5 2 3 4 2 5" xfId="5466" xr:uid="{00000000-0005-0000-0000-0000012D0000}"/>
    <cellStyle name="Normal 5 2 3 4 2 5 2" xfId="15326" xr:uid="{00000000-0005-0000-0000-0000022D0000}"/>
    <cellStyle name="Normal 5 2 3 4 2 5 2 2" xfId="35041" xr:uid="{00000000-0005-0000-0000-0000032D0000}"/>
    <cellStyle name="Normal 5 2 3 4 2 5 3" xfId="25184" xr:uid="{00000000-0005-0000-0000-0000042D0000}"/>
    <cellStyle name="Normal 5 2 3 4 2 6" xfId="10398" xr:uid="{00000000-0005-0000-0000-0000052D0000}"/>
    <cellStyle name="Normal 5 2 3 4 2 6 2" xfId="30113" xr:uid="{00000000-0005-0000-0000-0000062D0000}"/>
    <cellStyle name="Normal 5 2 3 4 2 7" xfId="20256" xr:uid="{00000000-0005-0000-0000-0000072D0000}"/>
    <cellStyle name="Normal 5 2 3 4 3" xfId="837" xr:uid="{00000000-0005-0000-0000-0000082D0000}"/>
    <cellStyle name="Normal 5 2 3 4 3 2" xfId="2073" xr:uid="{00000000-0005-0000-0000-0000092D0000}"/>
    <cellStyle name="Normal 5 2 3 4 3 2 2" xfId="4540" xr:uid="{00000000-0005-0000-0000-00000A2D0000}"/>
    <cellStyle name="Normal 5 2 3 4 3 2 2 2" xfId="9472" xr:uid="{00000000-0005-0000-0000-00000B2D0000}"/>
    <cellStyle name="Normal 5 2 3 4 3 2 2 2 2" xfId="19332" xr:uid="{00000000-0005-0000-0000-00000C2D0000}"/>
    <cellStyle name="Normal 5 2 3 4 3 2 2 2 2 2" xfId="39047" xr:uid="{00000000-0005-0000-0000-00000D2D0000}"/>
    <cellStyle name="Normal 5 2 3 4 3 2 2 2 3" xfId="29190" xr:uid="{00000000-0005-0000-0000-00000E2D0000}"/>
    <cellStyle name="Normal 5 2 3 4 3 2 2 3" xfId="14404" xr:uid="{00000000-0005-0000-0000-00000F2D0000}"/>
    <cellStyle name="Normal 5 2 3 4 3 2 2 3 2" xfId="34119" xr:uid="{00000000-0005-0000-0000-0000102D0000}"/>
    <cellStyle name="Normal 5 2 3 4 3 2 2 4" xfId="24262" xr:uid="{00000000-0005-0000-0000-0000112D0000}"/>
    <cellStyle name="Normal 5 2 3 4 3 2 3" xfId="7008" xr:uid="{00000000-0005-0000-0000-0000122D0000}"/>
    <cellStyle name="Normal 5 2 3 4 3 2 3 2" xfId="16868" xr:uid="{00000000-0005-0000-0000-0000132D0000}"/>
    <cellStyle name="Normal 5 2 3 4 3 2 3 2 2" xfId="36583" xr:uid="{00000000-0005-0000-0000-0000142D0000}"/>
    <cellStyle name="Normal 5 2 3 4 3 2 3 3" xfId="26726" xr:uid="{00000000-0005-0000-0000-0000152D0000}"/>
    <cellStyle name="Normal 5 2 3 4 3 2 4" xfId="11940" xr:uid="{00000000-0005-0000-0000-0000162D0000}"/>
    <cellStyle name="Normal 5 2 3 4 3 2 4 2" xfId="31655" xr:uid="{00000000-0005-0000-0000-0000172D0000}"/>
    <cellStyle name="Normal 5 2 3 4 3 2 5" xfId="21798" xr:uid="{00000000-0005-0000-0000-0000182D0000}"/>
    <cellStyle name="Normal 5 2 3 4 3 3" xfId="3308" xr:uid="{00000000-0005-0000-0000-0000192D0000}"/>
    <cellStyle name="Normal 5 2 3 4 3 3 2" xfId="8240" xr:uid="{00000000-0005-0000-0000-00001A2D0000}"/>
    <cellStyle name="Normal 5 2 3 4 3 3 2 2" xfId="18100" xr:uid="{00000000-0005-0000-0000-00001B2D0000}"/>
    <cellStyle name="Normal 5 2 3 4 3 3 2 2 2" xfId="37815" xr:uid="{00000000-0005-0000-0000-00001C2D0000}"/>
    <cellStyle name="Normal 5 2 3 4 3 3 2 3" xfId="27958" xr:uid="{00000000-0005-0000-0000-00001D2D0000}"/>
    <cellStyle name="Normal 5 2 3 4 3 3 3" xfId="13172" xr:uid="{00000000-0005-0000-0000-00001E2D0000}"/>
    <cellStyle name="Normal 5 2 3 4 3 3 3 2" xfId="32887" xr:uid="{00000000-0005-0000-0000-00001F2D0000}"/>
    <cellStyle name="Normal 5 2 3 4 3 3 4" xfId="23030" xr:uid="{00000000-0005-0000-0000-0000202D0000}"/>
    <cellStyle name="Normal 5 2 3 4 3 4" xfId="5776" xr:uid="{00000000-0005-0000-0000-0000212D0000}"/>
    <cellStyle name="Normal 5 2 3 4 3 4 2" xfId="15636" xr:uid="{00000000-0005-0000-0000-0000222D0000}"/>
    <cellStyle name="Normal 5 2 3 4 3 4 2 2" xfId="35351" xr:uid="{00000000-0005-0000-0000-0000232D0000}"/>
    <cellStyle name="Normal 5 2 3 4 3 4 3" xfId="25494" xr:uid="{00000000-0005-0000-0000-0000242D0000}"/>
    <cellStyle name="Normal 5 2 3 4 3 5" xfId="10708" xr:uid="{00000000-0005-0000-0000-0000252D0000}"/>
    <cellStyle name="Normal 5 2 3 4 3 5 2" xfId="30423" xr:uid="{00000000-0005-0000-0000-0000262D0000}"/>
    <cellStyle name="Normal 5 2 3 4 3 6" xfId="20566" xr:uid="{00000000-0005-0000-0000-0000272D0000}"/>
    <cellStyle name="Normal 5 2 3 4 4" xfId="1457" xr:uid="{00000000-0005-0000-0000-0000282D0000}"/>
    <cellStyle name="Normal 5 2 3 4 4 2" xfId="3924" xr:uid="{00000000-0005-0000-0000-0000292D0000}"/>
    <cellStyle name="Normal 5 2 3 4 4 2 2" xfId="8856" xr:uid="{00000000-0005-0000-0000-00002A2D0000}"/>
    <cellStyle name="Normal 5 2 3 4 4 2 2 2" xfId="18716" xr:uid="{00000000-0005-0000-0000-00002B2D0000}"/>
    <cellStyle name="Normal 5 2 3 4 4 2 2 2 2" xfId="38431" xr:uid="{00000000-0005-0000-0000-00002C2D0000}"/>
    <cellStyle name="Normal 5 2 3 4 4 2 2 3" xfId="28574" xr:uid="{00000000-0005-0000-0000-00002D2D0000}"/>
    <cellStyle name="Normal 5 2 3 4 4 2 3" xfId="13788" xr:uid="{00000000-0005-0000-0000-00002E2D0000}"/>
    <cellStyle name="Normal 5 2 3 4 4 2 3 2" xfId="33503" xr:uid="{00000000-0005-0000-0000-00002F2D0000}"/>
    <cellStyle name="Normal 5 2 3 4 4 2 4" xfId="23646" xr:uid="{00000000-0005-0000-0000-0000302D0000}"/>
    <cellStyle name="Normal 5 2 3 4 4 3" xfId="6392" xr:uid="{00000000-0005-0000-0000-0000312D0000}"/>
    <cellStyle name="Normal 5 2 3 4 4 3 2" xfId="16252" xr:uid="{00000000-0005-0000-0000-0000322D0000}"/>
    <cellStyle name="Normal 5 2 3 4 4 3 2 2" xfId="35967" xr:uid="{00000000-0005-0000-0000-0000332D0000}"/>
    <cellStyle name="Normal 5 2 3 4 4 3 3" xfId="26110" xr:uid="{00000000-0005-0000-0000-0000342D0000}"/>
    <cellStyle name="Normal 5 2 3 4 4 4" xfId="11324" xr:uid="{00000000-0005-0000-0000-0000352D0000}"/>
    <cellStyle name="Normal 5 2 3 4 4 4 2" xfId="31039" xr:uid="{00000000-0005-0000-0000-0000362D0000}"/>
    <cellStyle name="Normal 5 2 3 4 4 5" xfId="21182" xr:uid="{00000000-0005-0000-0000-0000372D0000}"/>
    <cellStyle name="Normal 5 2 3 4 5" xfId="2692" xr:uid="{00000000-0005-0000-0000-0000382D0000}"/>
    <cellStyle name="Normal 5 2 3 4 5 2" xfId="7624" xr:uid="{00000000-0005-0000-0000-0000392D0000}"/>
    <cellStyle name="Normal 5 2 3 4 5 2 2" xfId="17484" xr:uid="{00000000-0005-0000-0000-00003A2D0000}"/>
    <cellStyle name="Normal 5 2 3 4 5 2 2 2" xfId="37199" xr:uid="{00000000-0005-0000-0000-00003B2D0000}"/>
    <cellStyle name="Normal 5 2 3 4 5 2 3" xfId="27342" xr:uid="{00000000-0005-0000-0000-00003C2D0000}"/>
    <cellStyle name="Normal 5 2 3 4 5 3" xfId="12556" xr:uid="{00000000-0005-0000-0000-00003D2D0000}"/>
    <cellStyle name="Normal 5 2 3 4 5 3 2" xfId="32271" xr:uid="{00000000-0005-0000-0000-00003E2D0000}"/>
    <cellStyle name="Normal 5 2 3 4 5 4" xfId="22414" xr:uid="{00000000-0005-0000-0000-00003F2D0000}"/>
    <cellStyle name="Normal 5 2 3 4 6" xfId="5160" xr:uid="{00000000-0005-0000-0000-0000402D0000}"/>
    <cellStyle name="Normal 5 2 3 4 6 2" xfId="15020" xr:uid="{00000000-0005-0000-0000-0000412D0000}"/>
    <cellStyle name="Normal 5 2 3 4 6 2 2" xfId="34735" xr:uid="{00000000-0005-0000-0000-0000422D0000}"/>
    <cellStyle name="Normal 5 2 3 4 6 3" xfId="24878" xr:uid="{00000000-0005-0000-0000-0000432D0000}"/>
    <cellStyle name="Normal 5 2 3 4 7" xfId="10092" xr:uid="{00000000-0005-0000-0000-0000442D0000}"/>
    <cellStyle name="Normal 5 2 3 4 7 2" xfId="29807" xr:uid="{00000000-0005-0000-0000-0000452D0000}"/>
    <cellStyle name="Normal 5 2 3 4 8" xfId="19950" xr:uid="{00000000-0005-0000-0000-0000462D0000}"/>
    <cellStyle name="Normal 5 2 3 5" xfId="372" xr:uid="{00000000-0005-0000-0000-0000472D0000}"/>
    <cellStyle name="Normal 5 2 3 5 2" xfId="992" xr:uid="{00000000-0005-0000-0000-0000482D0000}"/>
    <cellStyle name="Normal 5 2 3 5 2 2" xfId="2227" xr:uid="{00000000-0005-0000-0000-0000492D0000}"/>
    <cellStyle name="Normal 5 2 3 5 2 2 2" xfId="4694" xr:uid="{00000000-0005-0000-0000-00004A2D0000}"/>
    <cellStyle name="Normal 5 2 3 5 2 2 2 2" xfId="9626" xr:uid="{00000000-0005-0000-0000-00004B2D0000}"/>
    <cellStyle name="Normal 5 2 3 5 2 2 2 2 2" xfId="19486" xr:uid="{00000000-0005-0000-0000-00004C2D0000}"/>
    <cellStyle name="Normal 5 2 3 5 2 2 2 2 2 2" xfId="39201" xr:uid="{00000000-0005-0000-0000-00004D2D0000}"/>
    <cellStyle name="Normal 5 2 3 5 2 2 2 2 3" xfId="29344" xr:uid="{00000000-0005-0000-0000-00004E2D0000}"/>
    <cellStyle name="Normal 5 2 3 5 2 2 2 3" xfId="14558" xr:uid="{00000000-0005-0000-0000-00004F2D0000}"/>
    <cellStyle name="Normal 5 2 3 5 2 2 2 3 2" xfId="34273" xr:uid="{00000000-0005-0000-0000-0000502D0000}"/>
    <cellStyle name="Normal 5 2 3 5 2 2 2 4" xfId="24416" xr:uid="{00000000-0005-0000-0000-0000512D0000}"/>
    <cellStyle name="Normal 5 2 3 5 2 2 3" xfId="7162" xr:uid="{00000000-0005-0000-0000-0000522D0000}"/>
    <cellStyle name="Normal 5 2 3 5 2 2 3 2" xfId="17022" xr:uid="{00000000-0005-0000-0000-0000532D0000}"/>
    <cellStyle name="Normal 5 2 3 5 2 2 3 2 2" xfId="36737" xr:uid="{00000000-0005-0000-0000-0000542D0000}"/>
    <cellStyle name="Normal 5 2 3 5 2 2 3 3" xfId="26880" xr:uid="{00000000-0005-0000-0000-0000552D0000}"/>
    <cellStyle name="Normal 5 2 3 5 2 2 4" xfId="12094" xr:uid="{00000000-0005-0000-0000-0000562D0000}"/>
    <cellStyle name="Normal 5 2 3 5 2 2 4 2" xfId="31809" xr:uid="{00000000-0005-0000-0000-0000572D0000}"/>
    <cellStyle name="Normal 5 2 3 5 2 2 5" xfId="21952" xr:uid="{00000000-0005-0000-0000-0000582D0000}"/>
    <cellStyle name="Normal 5 2 3 5 2 3" xfId="3462" xr:uid="{00000000-0005-0000-0000-0000592D0000}"/>
    <cellStyle name="Normal 5 2 3 5 2 3 2" xfId="8394" xr:uid="{00000000-0005-0000-0000-00005A2D0000}"/>
    <cellStyle name="Normal 5 2 3 5 2 3 2 2" xfId="18254" xr:uid="{00000000-0005-0000-0000-00005B2D0000}"/>
    <cellStyle name="Normal 5 2 3 5 2 3 2 2 2" xfId="37969" xr:uid="{00000000-0005-0000-0000-00005C2D0000}"/>
    <cellStyle name="Normal 5 2 3 5 2 3 2 3" xfId="28112" xr:uid="{00000000-0005-0000-0000-00005D2D0000}"/>
    <cellStyle name="Normal 5 2 3 5 2 3 3" xfId="13326" xr:uid="{00000000-0005-0000-0000-00005E2D0000}"/>
    <cellStyle name="Normal 5 2 3 5 2 3 3 2" xfId="33041" xr:uid="{00000000-0005-0000-0000-00005F2D0000}"/>
    <cellStyle name="Normal 5 2 3 5 2 3 4" xfId="23184" xr:uid="{00000000-0005-0000-0000-0000602D0000}"/>
    <cellStyle name="Normal 5 2 3 5 2 4" xfId="5930" xr:uid="{00000000-0005-0000-0000-0000612D0000}"/>
    <cellStyle name="Normal 5 2 3 5 2 4 2" xfId="15790" xr:uid="{00000000-0005-0000-0000-0000622D0000}"/>
    <cellStyle name="Normal 5 2 3 5 2 4 2 2" xfId="35505" xr:uid="{00000000-0005-0000-0000-0000632D0000}"/>
    <cellStyle name="Normal 5 2 3 5 2 4 3" xfId="25648" xr:uid="{00000000-0005-0000-0000-0000642D0000}"/>
    <cellStyle name="Normal 5 2 3 5 2 5" xfId="10862" xr:uid="{00000000-0005-0000-0000-0000652D0000}"/>
    <cellStyle name="Normal 5 2 3 5 2 5 2" xfId="30577" xr:uid="{00000000-0005-0000-0000-0000662D0000}"/>
    <cellStyle name="Normal 5 2 3 5 2 6" xfId="20720" xr:uid="{00000000-0005-0000-0000-0000672D0000}"/>
    <cellStyle name="Normal 5 2 3 5 3" xfId="1611" xr:uid="{00000000-0005-0000-0000-0000682D0000}"/>
    <cellStyle name="Normal 5 2 3 5 3 2" xfId="4078" xr:uid="{00000000-0005-0000-0000-0000692D0000}"/>
    <cellStyle name="Normal 5 2 3 5 3 2 2" xfId="9010" xr:uid="{00000000-0005-0000-0000-00006A2D0000}"/>
    <cellStyle name="Normal 5 2 3 5 3 2 2 2" xfId="18870" xr:uid="{00000000-0005-0000-0000-00006B2D0000}"/>
    <cellStyle name="Normal 5 2 3 5 3 2 2 2 2" xfId="38585" xr:uid="{00000000-0005-0000-0000-00006C2D0000}"/>
    <cellStyle name="Normal 5 2 3 5 3 2 2 3" xfId="28728" xr:uid="{00000000-0005-0000-0000-00006D2D0000}"/>
    <cellStyle name="Normal 5 2 3 5 3 2 3" xfId="13942" xr:uid="{00000000-0005-0000-0000-00006E2D0000}"/>
    <cellStyle name="Normal 5 2 3 5 3 2 3 2" xfId="33657" xr:uid="{00000000-0005-0000-0000-00006F2D0000}"/>
    <cellStyle name="Normal 5 2 3 5 3 2 4" xfId="23800" xr:uid="{00000000-0005-0000-0000-0000702D0000}"/>
    <cellStyle name="Normal 5 2 3 5 3 3" xfId="6546" xr:uid="{00000000-0005-0000-0000-0000712D0000}"/>
    <cellStyle name="Normal 5 2 3 5 3 3 2" xfId="16406" xr:uid="{00000000-0005-0000-0000-0000722D0000}"/>
    <cellStyle name="Normal 5 2 3 5 3 3 2 2" xfId="36121" xr:uid="{00000000-0005-0000-0000-0000732D0000}"/>
    <cellStyle name="Normal 5 2 3 5 3 3 3" xfId="26264" xr:uid="{00000000-0005-0000-0000-0000742D0000}"/>
    <cellStyle name="Normal 5 2 3 5 3 4" xfId="11478" xr:uid="{00000000-0005-0000-0000-0000752D0000}"/>
    <cellStyle name="Normal 5 2 3 5 3 4 2" xfId="31193" xr:uid="{00000000-0005-0000-0000-0000762D0000}"/>
    <cellStyle name="Normal 5 2 3 5 3 5" xfId="21336" xr:uid="{00000000-0005-0000-0000-0000772D0000}"/>
    <cellStyle name="Normal 5 2 3 5 4" xfId="2846" xr:uid="{00000000-0005-0000-0000-0000782D0000}"/>
    <cellStyle name="Normal 5 2 3 5 4 2" xfId="7778" xr:uid="{00000000-0005-0000-0000-0000792D0000}"/>
    <cellStyle name="Normal 5 2 3 5 4 2 2" xfId="17638" xr:uid="{00000000-0005-0000-0000-00007A2D0000}"/>
    <cellStyle name="Normal 5 2 3 5 4 2 2 2" xfId="37353" xr:uid="{00000000-0005-0000-0000-00007B2D0000}"/>
    <cellStyle name="Normal 5 2 3 5 4 2 3" xfId="27496" xr:uid="{00000000-0005-0000-0000-00007C2D0000}"/>
    <cellStyle name="Normal 5 2 3 5 4 3" xfId="12710" xr:uid="{00000000-0005-0000-0000-00007D2D0000}"/>
    <cellStyle name="Normal 5 2 3 5 4 3 2" xfId="32425" xr:uid="{00000000-0005-0000-0000-00007E2D0000}"/>
    <cellStyle name="Normal 5 2 3 5 4 4" xfId="22568" xr:uid="{00000000-0005-0000-0000-00007F2D0000}"/>
    <cellStyle name="Normal 5 2 3 5 5" xfId="5314" xr:uid="{00000000-0005-0000-0000-0000802D0000}"/>
    <cellStyle name="Normal 5 2 3 5 5 2" xfId="15174" xr:uid="{00000000-0005-0000-0000-0000812D0000}"/>
    <cellStyle name="Normal 5 2 3 5 5 2 2" xfId="34889" xr:uid="{00000000-0005-0000-0000-0000822D0000}"/>
    <cellStyle name="Normal 5 2 3 5 5 3" xfId="25032" xr:uid="{00000000-0005-0000-0000-0000832D0000}"/>
    <cellStyle name="Normal 5 2 3 5 6" xfId="10246" xr:uid="{00000000-0005-0000-0000-0000842D0000}"/>
    <cellStyle name="Normal 5 2 3 5 6 2" xfId="29961" xr:uid="{00000000-0005-0000-0000-0000852D0000}"/>
    <cellStyle name="Normal 5 2 3 5 7" xfId="20104" xr:uid="{00000000-0005-0000-0000-0000862D0000}"/>
    <cellStyle name="Normal 5 2 3 6" xfId="685" xr:uid="{00000000-0005-0000-0000-0000872D0000}"/>
    <cellStyle name="Normal 5 2 3 6 2" xfId="1921" xr:uid="{00000000-0005-0000-0000-0000882D0000}"/>
    <cellStyle name="Normal 5 2 3 6 2 2" xfId="4388" xr:uid="{00000000-0005-0000-0000-0000892D0000}"/>
    <cellStyle name="Normal 5 2 3 6 2 2 2" xfId="9320" xr:uid="{00000000-0005-0000-0000-00008A2D0000}"/>
    <cellStyle name="Normal 5 2 3 6 2 2 2 2" xfId="19180" xr:uid="{00000000-0005-0000-0000-00008B2D0000}"/>
    <cellStyle name="Normal 5 2 3 6 2 2 2 2 2" xfId="38895" xr:uid="{00000000-0005-0000-0000-00008C2D0000}"/>
    <cellStyle name="Normal 5 2 3 6 2 2 2 3" xfId="29038" xr:uid="{00000000-0005-0000-0000-00008D2D0000}"/>
    <cellStyle name="Normal 5 2 3 6 2 2 3" xfId="14252" xr:uid="{00000000-0005-0000-0000-00008E2D0000}"/>
    <cellStyle name="Normal 5 2 3 6 2 2 3 2" xfId="33967" xr:uid="{00000000-0005-0000-0000-00008F2D0000}"/>
    <cellStyle name="Normal 5 2 3 6 2 2 4" xfId="24110" xr:uid="{00000000-0005-0000-0000-0000902D0000}"/>
    <cellStyle name="Normal 5 2 3 6 2 3" xfId="6856" xr:uid="{00000000-0005-0000-0000-0000912D0000}"/>
    <cellStyle name="Normal 5 2 3 6 2 3 2" xfId="16716" xr:uid="{00000000-0005-0000-0000-0000922D0000}"/>
    <cellStyle name="Normal 5 2 3 6 2 3 2 2" xfId="36431" xr:uid="{00000000-0005-0000-0000-0000932D0000}"/>
    <cellStyle name="Normal 5 2 3 6 2 3 3" xfId="26574" xr:uid="{00000000-0005-0000-0000-0000942D0000}"/>
    <cellStyle name="Normal 5 2 3 6 2 4" xfId="11788" xr:uid="{00000000-0005-0000-0000-0000952D0000}"/>
    <cellStyle name="Normal 5 2 3 6 2 4 2" xfId="31503" xr:uid="{00000000-0005-0000-0000-0000962D0000}"/>
    <cellStyle name="Normal 5 2 3 6 2 5" xfId="21646" xr:uid="{00000000-0005-0000-0000-0000972D0000}"/>
    <cellStyle name="Normal 5 2 3 6 3" xfId="3156" xr:uid="{00000000-0005-0000-0000-0000982D0000}"/>
    <cellStyle name="Normal 5 2 3 6 3 2" xfId="8088" xr:uid="{00000000-0005-0000-0000-0000992D0000}"/>
    <cellStyle name="Normal 5 2 3 6 3 2 2" xfId="17948" xr:uid="{00000000-0005-0000-0000-00009A2D0000}"/>
    <cellStyle name="Normal 5 2 3 6 3 2 2 2" xfId="37663" xr:uid="{00000000-0005-0000-0000-00009B2D0000}"/>
    <cellStyle name="Normal 5 2 3 6 3 2 3" xfId="27806" xr:uid="{00000000-0005-0000-0000-00009C2D0000}"/>
    <cellStyle name="Normal 5 2 3 6 3 3" xfId="13020" xr:uid="{00000000-0005-0000-0000-00009D2D0000}"/>
    <cellStyle name="Normal 5 2 3 6 3 3 2" xfId="32735" xr:uid="{00000000-0005-0000-0000-00009E2D0000}"/>
    <cellStyle name="Normal 5 2 3 6 3 4" xfId="22878" xr:uid="{00000000-0005-0000-0000-00009F2D0000}"/>
    <cellStyle name="Normal 5 2 3 6 4" xfId="5624" xr:uid="{00000000-0005-0000-0000-0000A02D0000}"/>
    <cellStyle name="Normal 5 2 3 6 4 2" xfId="15484" xr:uid="{00000000-0005-0000-0000-0000A12D0000}"/>
    <cellStyle name="Normal 5 2 3 6 4 2 2" xfId="35199" xr:uid="{00000000-0005-0000-0000-0000A22D0000}"/>
    <cellStyle name="Normal 5 2 3 6 4 3" xfId="25342" xr:uid="{00000000-0005-0000-0000-0000A32D0000}"/>
    <cellStyle name="Normal 5 2 3 6 5" xfId="10556" xr:uid="{00000000-0005-0000-0000-0000A42D0000}"/>
    <cellStyle name="Normal 5 2 3 6 5 2" xfId="30271" xr:uid="{00000000-0005-0000-0000-0000A52D0000}"/>
    <cellStyle name="Normal 5 2 3 6 6" xfId="20414" xr:uid="{00000000-0005-0000-0000-0000A62D0000}"/>
    <cellStyle name="Normal 5 2 3 7" xfId="1305" xr:uid="{00000000-0005-0000-0000-0000A72D0000}"/>
    <cellStyle name="Normal 5 2 3 7 2" xfId="3772" xr:uid="{00000000-0005-0000-0000-0000A82D0000}"/>
    <cellStyle name="Normal 5 2 3 7 2 2" xfId="8704" xr:uid="{00000000-0005-0000-0000-0000A92D0000}"/>
    <cellStyle name="Normal 5 2 3 7 2 2 2" xfId="18564" xr:uid="{00000000-0005-0000-0000-0000AA2D0000}"/>
    <cellStyle name="Normal 5 2 3 7 2 2 2 2" xfId="38279" xr:uid="{00000000-0005-0000-0000-0000AB2D0000}"/>
    <cellStyle name="Normal 5 2 3 7 2 2 3" xfId="28422" xr:uid="{00000000-0005-0000-0000-0000AC2D0000}"/>
    <cellStyle name="Normal 5 2 3 7 2 3" xfId="13636" xr:uid="{00000000-0005-0000-0000-0000AD2D0000}"/>
    <cellStyle name="Normal 5 2 3 7 2 3 2" xfId="33351" xr:uid="{00000000-0005-0000-0000-0000AE2D0000}"/>
    <cellStyle name="Normal 5 2 3 7 2 4" xfId="23494" xr:uid="{00000000-0005-0000-0000-0000AF2D0000}"/>
    <cellStyle name="Normal 5 2 3 7 3" xfId="6240" xr:uid="{00000000-0005-0000-0000-0000B02D0000}"/>
    <cellStyle name="Normal 5 2 3 7 3 2" xfId="16100" xr:uid="{00000000-0005-0000-0000-0000B12D0000}"/>
    <cellStyle name="Normal 5 2 3 7 3 2 2" xfId="35815" xr:uid="{00000000-0005-0000-0000-0000B22D0000}"/>
    <cellStyle name="Normal 5 2 3 7 3 3" xfId="25958" xr:uid="{00000000-0005-0000-0000-0000B32D0000}"/>
    <cellStyle name="Normal 5 2 3 7 4" xfId="11172" xr:uid="{00000000-0005-0000-0000-0000B42D0000}"/>
    <cellStyle name="Normal 5 2 3 7 4 2" xfId="30887" xr:uid="{00000000-0005-0000-0000-0000B52D0000}"/>
    <cellStyle name="Normal 5 2 3 7 5" xfId="21030" xr:uid="{00000000-0005-0000-0000-0000B62D0000}"/>
    <cellStyle name="Normal 5 2 3 8" xfId="2540" xr:uid="{00000000-0005-0000-0000-0000B72D0000}"/>
    <cellStyle name="Normal 5 2 3 8 2" xfId="7472" xr:uid="{00000000-0005-0000-0000-0000B82D0000}"/>
    <cellStyle name="Normal 5 2 3 8 2 2" xfId="17332" xr:uid="{00000000-0005-0000-0000-0000B92D0000}"/>
    <cellStyle name="Normal 5 2 3 8 2 2 2" xfId="37047" xr:uid="{00000000-0005-0000-0000-0000BA2D0000}"/>
    <cellStyle name="Normal 5 2 3 8 2 3" xfId="27190" xr:uid="{00000000-0005-0000-0000-0000BB2D0000}"/>
    <cellStyle name="Normal 5 2 3 8 3" xfId="12404" xr:uid="{00000000-0005-0000-0000-0000BC2D0000}"/>
    <cellStyle name="Normal 5 2 3 8 3 2" xfId="32119" xr:uid="{00000000-0005-0000-0000-0000BD2D0000}"/>
    <cellStyle name="Normal 5 2 3 8 4" xfId="22262" xr:uid="{00000000-0005-0000-0000-0000BE2D0000}"/>
    <cellStyle name="Normal 5 2 3 9" xfId="5008" xr:uid="{00000000-0005-0000-0000-0000BF2D0000}"/>
    <cellStyle name="Normal 5 2 3 9 2" xfId="14868" xr:uid="{00000000-0005-0000-0000-0000C02D0000}"/>
    <cellStyle name="Normal 5 2 3 9 2 2" xfId="34583" xr:uid="{00000000-0005-0000-0000-0000C12D0000}"/>
    <cellStyle name="Normal 5 2 3 9 3" xfId="24726" xr:uid="{00000000-0005-0000-0000-0000C22D0000}"/>
    <cellStyle name="Normal 5 2 4" xfId="66" xr:uid="{00000000-0005-0000-0000-0000C32D0000}"/>
    <cellStyle name="Normal 5 2 4 10" xfId="19817" xr:uid="{00000000-0005-0000-0000-0000C42D0000}"/>
    <cellStyle name="Normal 5 2 4 2" xfId="148" xr:uid="{00000000-0005-0000-0000-0000C52D0000}"/>
    <cellStyle name="Normal 5 2 4 2 2" xfId="305" xr:uid="{00000000-0005-0000-0000-0000C62D0000}"/>
    <cellStyle name="Normal 5 2 4 2 2 2" xfId="619" xr:uid="{00000000-0005-0000-0000-0000C72D0000}"/>
    <cellStyle name="Normal 5 2 4 2 2 2 2" xfId="1239" xr:uid="{00000000-0005-0000-0000-0000C82D0000}"/>
    <cellStyle name="Normal 5 2 4 2 2 2 2 2" xfId="2474" xr:uid="{00000000-0005-0000-0000-0000C92D0000}"/>
    <cellStyle name="Normal 5 2 4 2 2 2 2 2 2" xfId="4941" xr:uid="{00000000-0005-0000-0000-0000CA2D0000}"/>
    <cellStyle name="Normal 5 2 4 2 2 2 2 2 2 2" xfId="9873" xr:uid="{00000000-0005-0000-0000-0000CB2D0000}"/>
    <cellStyle name="Normal 5 2 4 2 2 2 2 2 2 2 2" xfId="19733" xr:uid="{00000000-0005-0000-0000-0000CC2D0000}"/>
    <cellStyle name="Normal 5 2 4 2 2 2 2 2 2 2 2 2" xfId="39448" xr:uid="{00000000-0005-0000-0000-0000CD2D0000}"/>
    <cellStyle name="Normal 5 2 4 2 2 2 2 2 2 2 3" xfId="29591" xr:uid="{00000000-0005-0000-0000-0000CE2D0000}"/>
    <cellStyle name="Normal 5 2 4 2 2 2 2 2 2 3" xfId="14805" xr:uid="{00000000-0005-0000-0000-0000CF2D0000}"/>
    <cellStyle name="Normal 5 2 4 2 2 2 2 2 2 3 2" xfId="34520" xr:uid="{00000000-0005-0000-0000-0000D02D0000}"/>
    <cellStyle name="Normal 5 2 4 2 2 2 2 2 2 4" xfId="24663" xr:uid="{00000000-0005-0000-0000-0000D12D0000}"/>
    <cellStyle name="Normal 5 2 4 2 2 2 2 2 3" xfId="7409" xr:uid="{00000000-0005-0000-0000-0000D22D0000}"/>
    <cellStyle name="Normal 5 2 4 2 2 2 2 2 3 2" xfId="17269" xr:uid="{00000000-0005-0000-0000-0000D32D0000}"/>
    <cellStyle name="Normal 5 2 4 2 2 2 2 2 3 2 2" xfId="36984" xr:uid="{00000000-0005-0000-0000-0000D42D0000}"/>
    <cellStyle name="Normal 5 2 4 2 2 2 2 2 3 3" xfId="27127" xr:uid="{00000000-0005-0000-0000-0000D52D0000}"/>
    <cellStyle name="Normal 5 2 4 2 2 2 2 2 4" xfId="12341" xr:uid="{00000000-0005-0000-0000-0000D62D0000}"/>
    <cellStyle name="Normal 5 2 4 2 2 2 2 2 4 2" xfId="32056" xr:uid="{00000000-0005-0000-0000-0000D72D0000}"/>
    <cellStyle name="Normal 5 2 4 2 2 2 2 2 5" xfId="22199" xr:uid="{00000000-0005-0000-0000-0000D82D0000}"/>
    <cellStyle name="Normal 5 2 4 2 2 2 2 3" xfId="3709" xr:uid="{00000000-0005-0000-0000-0000D92D0000}"/>
    <cellStyle name="Normal 5 2 4 2 2 2 2 3 2" xfId="8641" xr:uid="{00000000-0005-0000-0000-0000DA2D0000}"/>
    <cellStyle name="Normal 5 2 4 2 2 2 2 3 2 2" xfId="18501" xr:uid="{00000000-0005-0000-0000-0000DB2D0000}"/>
    <cellStyle name="Normal 5 2 4 2 2 2 2 3 2 2 2" xfId="38216" xr:uid="{00000000-0005-0000-0000-0000DC2D0000}"/>
    <cellStyle name="Normal 5 2 4 2 2 2 2 3 2 3" xfId="28359" xr:uid="{00000000-0005-0000-0000-0000DD2D0000}"/>
    <cellStyle name="Normal 5 2 4 2 2 2 2 3 3" xfId="13573" xr:uid="{00000000-0005-0000-0000-0000DE2D0000}"/>
    <cellStyle name="Normal 5 2 4 2 2 2 2 3 3 2" xfId="33288" xr:uid="{00000000-0005-0000-0000-0000DF2D0000}"/>
    <cellStyle name="Normal 5 2 4 2 2 2 2 3 4" xfId="23431" xr:uid="{00000000-0005-0000-0000-0000E02D0000}"/>
    <cellStyle name="Normal 5 2 4 2 2 2 2 4" xfId="6177" xr:uid="{00000000-0005-0000-0000-0000E12D0000}"/>
    <cellStyle name="Normal 5 2 4 2 2 2 2 4 2" xfId="16037" xr:uid="{00000000-0005-0000-0000-0000E22D0000}"/>
    <cellStyle name="Normal 5 2 4 2 2 2 2 4 2 2" xfId="35752" xr:uid="{00000000-0005-0000-0000-0000E32D0000}"/>
    <cellStyle name="Normal 5 2 4 2 2 2 2 4 3" xfId="25895" xr:uid="{00000000-0005-0000-0000-0000E42D0000}"/>
    <cellStyle name="Normal 5 2 4 2 2 2 2 5" xfId="11109" xr:uid="{00000000-0005-0000-0000-0000E52D0000}"/>
    <cellStyle name="Normal 5 2 4 2 2 2 2 5 2" xfId="30824" xr:uid="{00000000-0005-0000-0000-0000E62D0000}"/>
    <cellStyle name="Normal 5 2 4 2 2 2 2 6" xfId="20967" xr:uid="{00000000-0005-0000-0000-0000E72D0000}"/>
    <cellStyle name="Normal 5 2 4 2 2 2 3" xfId="1858" xr:uid="{00000000-0005-0000-0000-0000E82D0000}"/>
    <cellStyle name="Normal 5 2 4 2 2 2 3 2" xfId="4325" xr:uid="{00000000-0005-0000-0000-0000E92D0000}"/>
    <cellStyle name="Normal 5 2 4 2 2 2 3 2 2" xfId="9257" xr:uid="{00000000-0005-0000-0000-0000EA2D0000}"/>
    <cellStyle name="Normal 5 2 4 2 2 2 3 2 2 2" xfId="19117" xr:uid="{00000000-0005-0000-0000-0000EB2D0000}"/>
    <cellStyle name="Normal 5 2 4 2 2 2 3 2 2 2 2" xfId="38832" xr:uid="{00000000-0005-0000-0000-0000EC2D0000}"/>
    <cellStyle name="Normal 5 2 4 2 2 2 3 2 2 3" xfId="28975" xr:uid="{00000000-0005-0000-0000-0000ED2D0000}"/>
    <cellStyle name="Normal 5 2 4 2 2 2 3 2 3" xfId="14189" xr:uid="{00000000-0005-0000-0000-0000EE2D0000}"/>
    <cellStyle name="Normal 5 2 4 2 2 2 3 2 3 2" xfId="33904" xr:uid="{00000000-0005-0000-0000-0000EF2D0000}"/>
    <cellStyle name="Normal 5 2 4 2 2 2 3 2 4" xfId="24047" xr:uid="{00000000-0005-0000-0000-0000F02D0000}"/>
    <cellStyle name="Normal 5 2 4 2 2 2 3 3" xfId="6793" xr:uid="{00000000-0005-0000-0000-0000F12D0000}"/>
    <cellStyle name="Normal 5 2 4 2 2 2 3 3 2" xfId="16653" xr:uid="{00000000-0005-0000-0000-0000F22D0000}"/>
    <cellStyle name="Normal 5 2 4 2 2 2 3 3 2 2" xfId="36368" xr:uid="{00000000-0005-0000-0000-0000F32D0000}"/>
    <cellStyle name="Normal 5 2 4 2 2 2 3 3 3" xfId="26511" xr:uid="{00000000-0005-0000-0000-0000F42D0000}"/>
    <cellStyle name="Normal 5 2 4 2 2 2 3 4" xfId="11725" xr:uid="{00000000-0005-0000-0000-0000F52D0000}"/>
    <cellStyle name="Normal 5 2 4 2 2 2 3 4 2" xfId="31440" xr:uid="{00000000-0005-0000-0000-0000F62D0000}"/>
    <cellStyle name="Normal 5 2 4 2 2 2 3 5" xfId="21583" xr:uid="{00000000-0005-0000-0000-0000F72D0000}"/>
    <cellStyle name="Normal 5 2 4 2 2 2 4" xfId="3093" xr:uid="{00000000-0005-0000-0000-0000F82D0000}"/>
    <cellStyle name="Normal 5 2 4 2 2 2 4 2" xfId="8025" xr:uid="{00000000-0005-0000-0000-0000F92D0000}"/>
    <cellStyle name="Normal 5 2 4 2 2 2 4 2 2" xfId="17885" xr:uid="{00000000-0005-0000-0000-0000FA2D0000}"/>
    <cellStyle name="Normal 5 2 4 2 2 2 4 2 2 2" xfId="37600" xr:uid="{00000000-0005-0000-0000-0000FB2D0000}"/>
    <cellStyle name="Normal 5 2 4 2 2 2 4 2 3" xfId="27743" xr:uid="{00000000-0005-0000-0000-0000FC2D0000}"/>
    <cellStyle name="Normal 5 2 4 2 2 2 4 3" xfId="12957" xr:uid="{00000000-0005-0000-0000-0000FD2D0000}"/>
    <cellStyle name="Normal 5 2 4 2 2 2 4 3 2" xfId="32672" xr:uid="{00000000-0005-0000-0000-0000FE2D0000}"/>
    <cellStyle name="Normal 5 2 4 2 2 2 4 4" xfId="22815" xr:uid="{00000000-0005-0000-0000-0000FF2D0000}"/>
    <cellStyle name="Normal 5 2 4 2 2 2 5" xfId="5561" xr:uid="{00000000-0005-0000-0000-0000002E0000}"/>
    <cellStyle name="Normal 5 2 4 2 2 2 5 2" xfId="15421" xr:uid="{00000000-0005-0000-0000-0000012E0000}"/>
    <cellStyle name="Normal 5 2 4 2 2 2 5 2 2" xfId="35136" xr:uid="{00000000-0005-0000-0000-0000022E0000}"/>
    <cellStyle name="Normal 5 2 4 2 2 2 5 3" xfId="25279" xr:uid="{00000000-0005-0000-0000-0000032E0000}"/>
    <cellStyle name="Normal 5 2 4 2 2 2 6" xfId="10493" xr:uid="{00000000-0005-0000-0000-0000042E0000}"/>
    <cellStyle name="Normal 5 2 4 2 2 2 6 2" xfId="30208" xr:uid="{00000000-0005-0000-0000-0000052E0000}"/>
    <cellStyle name="Normal 5 2 4 2 2 2 7" xfId="20351" xr:uid="{00000000-0005-0000-0000-0000062E0000}"/>
    <cellStyle name="Normal 5 2 4 2 2 3" xfId="932" xr:uid="{00000000-0005-0000-0000-0000072E0000}"/>
    <cellStyle name="Normal 5 2 4 2 2 3 2" xfId="2168" xr:uid="{00000000-0005-0000-0000-0000082E0000}"/>
    <cellStyle name="Normal 5 2 4 2 2 3 2 2" xfId="4635" xr:uid="{00000000-0005-0000-0000-0000092E0000}"/>
    <cellStyle name="Normal 5 2 4 2 2 3 2 2 2" xfId="9567" xr:uid="{00000000-0005-0000-0000-00000A2E0000}"/>
    <cellStyle name="Normal 5 2 4 2 2 3 2 2 2 2" xfId="19427" xr:uid="{00000000-0005-0000-0000-00000B2E0000}"/>
    <cellStyle name="Normal 5 2 4 2 2 3 2 2 2 2 2" xfId="39142" xr:uid="{00000000-0005-0000-0000-00000C2E0000}"/>
    <cellStyle name="Normal 5 2 4 2 2 3 2 2 2 3" xfId="29285" xr:uid="{00000000-0005-0000-0000-00000D2E0000}"/>
    <cellStyle name="Normal 5 2 4 2 2 3 2 2 3" xfId="14499" xr:uid="{00000000-0005-0000-0000-00000E2E0000}"/>
    <cellStyle name="Normal 5 2 4 2 2 3 2 2 3 2" xfId="34214" xr:uid="{00000000-0005-0000-0000-00000F2E0000}"/>
    <cellStyle name="Normal 5 2 4 2 2 3 2 2 4" xfId="24357" xr:uid="{00000000-0005-0000-0000-0000102E0000}"/>
    <cellStyle name="Normal 5 2 4 2 2 3 2 3" xfId="7103" xr:uid="{00000000-0005-0000-0000-0000112E0000}"/>
    <cellStyle name="Normal 5 2 4 2 2 3 2 3 2" xfId="16963" xr:uid="{00000000-0005-0000-0000-0000122E0000}"/>
    <cellStyle name="Normal 5 2 4 2 2 3 2 3 2 2" xfId="36678" xr:uid="{00000000-0005-0000-0000-0000132E0000}"/>
    <cellStyle name="Normal 5 2 4 2 2 3 2 3 3" xfId="26821" xr:uid="{00000000-0005-0000-0000-0000142E0000}"/>
    <cellStyle name="Normal 5 2 4 2 2 3 2 4" xfId="12035" xr:uid="{00000000-0005-0000-0000-0000152E0000}"/>
    <cellStyle name="Normal 5 2 4 2 2 3 2 4 2" xfId="31750" xr:uid="{00000000-0005-0000-0000-0000162E0000}"/>
    <cellStyle name="Normal 5 2 4 2 2 3 2 5" xfId="21893" xr:uid="{00000000-0005-0000-0000-0000172E0000}"/>
    <cellStyle name="Normal 5 2 4 2 2 3 3" xfId="3403" xr:uid="{00000000-0005-0000-0000-0000182E0000}"/>
    <cellStyle name="Normal 5 2 4 2 2 3 3 2" xfId="8335" xr:uid="{00000000-0005-0000-0000-0000192E0000}"/>
    <cellStyle name="Normal 5 2 4 2 2 3 3 2 2" xfId="18195" xr:uid="{00000000-0005-0000-0000-00001A2E0000}"/>
    <cellStyle name="Normal 5 2 4 2 2 3 3 2 2 2" xfId="37910" xr:uid="{00000000-0005-0000-0000-00001B2E0000}"/>
    <cellStyle name="Normal 5 2 4 2 2 3 3 2 3" xfId="28053" xr:uid="{00000000-0005-0000-0000-00001C2E0000}"/>
    <cellStyle name="Normal 5 2 4 2 2 3 3 3" xfId="13267" xr:uid="{00000000-0005-0000-0000-00001D2E0000}"/>
    <cellStyle name="Normal 5 2 4 2 2 3 3 3 2" xfId="32982" xr:uid="{00000000-0005-0000-0000-00001E2E0000}"/>
    <cellStyle name="Normal 5 2 4 2 2 3 3 4" xfId="23125" xr:uid="{00000000-0005-0000-0000-00001F2E0000}"/>
    <cellStyle name="Normal 5 2 4 2 2 3 4" xfId="5871" xr:uid="{00000000-0005-0000-0000-0000202E0000}"/>
    <cellStyle name="Normal 5 2 4 2 2 3 4 2" xfId="15731" xr:uid="{00000000-0005-0000-0000-0000212E0000}"/>
    <cellStyle name="Normal 5 2 4 2 2 3 4 2 2" xfId="35446" xr:uid="{00000000-0005-0000-0000-0000222E0000}"/>
    <cellStyle name="Normal 5 2 4 2 2 3 4 3" xfId="25589" xr:uid="{00000000-0005-0000-0000-0000232E0000}"/>
    <cellStyle name="Normal 5 2 4 2 2 3 5" xfId="10803" xr:uid="{00000000-0005-0000-0000-0000242E0000}"/>
    <cellStyle name="Normal 5 2 4 2 2 3 5 2" xfId="30518" xr:uid="{00000000-0005-0000-0000-0000252E0000}"/>
    <cellStyle name="Normal 5 2 4 2 2 3 6" xfId="20661" xr:uid="{00000000-0005-0000-0000-0000262E0000}"/>
    <cellStyle name="Normal 5 2 4 2 2 4" xfId="1552" xr:uid="{00000000-0005-0000-0000-0000272E0000}"/>
    <cellStyle name="Normal 5 2 4 2 2 4 2" xfId="4019" xr:uid="{00000000-0005-0000-0000-0000282E0000}"/>
    <cellStyle name="Normal 5 2 4 2 2 4 2 2" xfId="8951" xr:uid="{00000000-0005-0000-0000-0000292E0000}"/>
    <cellStyle name="Normal 5 2 4 2 2 4 2 2 2" xfId="18811" xr:uid="{00000000-0005-0000-0000-00002A2E0000}"/>
    <cellStyle name="Normal 5 2 4 2 2 4 2 2 2 2" xfId="38526" xr:uid="{00000000-0005-0000-0000-00002B2E0000}"/>
    <cellStyle name="Normal 5 2 4 2 2 4 2 2 3" xfId="28669" xr:uid="{00000000-0005-0000-0000-00002C2E0000}"/>
    <cellStyle name="Normal 5 2 4 2 2 4 2 3" xfId="13883" xr:uid="{00000000-0005-0000-0000-00002D2E0000}"/>
    <cellStyle name="Normal 5 2 4 2 2 4 2 3 2" xfId="33598" xr:uid="{00000000-0005-0000-0000-00002E2E0000}"/>
    <cellStyle name="Normal 5 2 4 2 2 4 2 4" xfId="23741" xr:uid="{00000000-0005-0000-0000-00002F2E0000}"/>
    <cellStyle name="Normal 5 2 4 2 2 4 3" xfId="6487" xr:uid="{00000000-0005-0000-0000-0000302E0000}"/>
    <cellStyle name="Normal 5 2 4 2 2 4 3 2" xfId="16347" xr:uid="{00000000-0005-0000-0000-0000312E0000}"/>
    <cellStyle name="Normal 5 2 4 2 2 4 3 2 2" xfId="36062" xr:uid="{00000000-0005-0000-0000-0000322E0000}"/>
    <cellStyle name="Normal 5 2 4 2 2 4 3 3" xfId="26205" xr:uid="{00000000-0005-0000-0000-0000332E0000}"/>
    <cellStyle name="Normal 5 2 4 2 2 4 4" xfId="11419" xr:uid="{00000000-0005-0000-0000-0000342E0000}"/>
    <cellStyle name="Normal 5 2 4 2 2 4 4 2" xfId="31134" xr:uid="{00000000-0005-0000-0000-0000352E0000}"/>
    <cellStyle name="Normal 5 2 4 2 2 4 5" xfId="21277" xr:uid="{00000000-0005-0000-0000-0000362E0000}"/>
    <cellStyle name="Normal 5 2 4 2 2 5" xfId="2787" xr:uid="{00000000-0005-0000-0000-0000372E0000}"/>
    <cellStyle name="Normal 5 2 4 2 2 5 2" xfId="7719" xr:uid="{00000000-0005-0000-0000-0000382E0000}"/>
    <cellStyle name="Normal 5 2 4 2 2 5 2 2" xfId="17579" xr:uid="{00000000-0005-0000-0000-0000392E0000}"/>
    <cellStyle name="Normal 5 2 4 2 2 5 2 2 2" xfId="37294" xr:uid="{00000000-0005-0000-0000-00003A2E0000}"/>
    <cellStyle name="Normal 5 2 4 2 2 5 2 3" xfId="27437" xr:uid="{00000000-0005-0000-0000-00003B2E0000}"/>
    <cellStyle name="Normal 5 2 4 2 2 5 3" xfId="12651" xr:uid="{00000000-0005-0000-0000-00003C2E0000}"/>
    <cellStyle name="Normal 5 2 4 2 2 5 3 2" xfId="32366" xr:uid="{00000000-0005-0000-0000-00003D2E0000}"/>
    <cellStyle name="Normal 5 2 4 2 2 5 4" xfId="22509" xr:uid="{00000000-0005-0000-0000-00003E2E0000}"/>
    <cellStyle name="Normal 5 2 4 2 2 6" xfId="5255" xr:uid="{00000000-0005-0000-0000-00003F2E0000}"/>
    <cellStyle name="Normal 5 2 4 2 2 6 2" xfId="15115" xr:uid="{00000000-0005-0000-0000-0000402E0000}"/>
    <cellStyle name="Normal 5 2 4 2 2 6 2 2" xfId="34830" xr:uid="{00000000-0005-0000-0000-0000412E0000}"/>
    <cellStyle name="Normal 5 2 4 2 2 6 3" xfId="24973" xr:uid="{00000000-0005-0000-0000-0000422E0000}"/>
    <cellStyle name="Normal 5 2 4 2 2 7" xfId="10187" xr:uid="{00000000-0005-0000-0000-0000432E0000}"/>
    <cellStyle name="Normal 5 2 4 2 2 7 2" xfId="29902" xr:uid="{00000000-0005-0000-0000-0000442E0000}"/>
    <cellStyle name="Normal 5 2 4 2 2 8" xfId="20045" xr:uid="{00000000-0005-0000-0000-0000452E0000}"/>
    <cellStyle name="Normal 5 2 4 2 3" xfId="467" xr:uid="{00000000-0005-0000-0000-0000462E0000}"/>
    <cellStyle name="Normal 5 2 4 2 3 2" xfId="1087" xr:uid="{00000000-0005-0000-0000-0000472E0000}"/>
    <cellStyle name="Normal 5 2 4 2 3 2 2" xfId="2322" xr:uid="{00000000-0005-0000-0000-0000482E0000}"/>
    <cellStyle name="Normal 5 2 4 2 3 2 2 2" xfId="4789" xr:uid="{00000000-0005-0000-0000-0000492E0000}"/>
    <cellStyle name="Normal 5 2 4 2 3 2 2 2 2" xfId="9721" xr:uid="{00000000-0005-0000-0000-00004A2E0000}"/>
    <cellStyle name="Normal 5 2 4 2 3 2 2 2 2 2" xfId="19581" xr:uid="{00000000-0005-0000-0000-00004B2E0000}"/>
    <cellStyle name="Normal 5 2 4 2 3 2 2 2 2 2 2" xfId="39296" xr:uid="{00000000-0005-0000-0000-00004C2E0000}"/>
    <cellStyle name="Normal 5 2 4 2 3 2 2 2 2 3" xfId="29439" xr:uid="{00000000-0005-0000-0000-00004D2E0000}"/>
    <cellStyle name="Normal 5 2 4 2 3 2 2 2 3" xfId="14653" xr:uid="{00000000-0005-0000-0000-00004E2E0000}"/>
    <cellStyle name="Normal 5 2 4 2 3 2 2 2 3 2" xfId="34368" xr:uid="{00000000-0005-0000-0000-00004F2E0000}"/>
    <cellStyle name="Normal 5 2 4 2 3 2 2 2 4" xfId="24511" xr:uid="{00000000-0005-0000-0000-0000502E0000}"/>
    <cellStyle name="Normal 5 2 4 2 3 2 2 3" xfId="7257" xr:uid="{00000000-0005-0000-0000-0000512E0000}"/>
    <cellStyle name="Normal 5 2 4 2 3 2 2 3 2" xfId="17117" xr:uid="{00000000-0005-0000-0000-0000522E0000}"/>
    <cellStyle name="Normal 5 2 4 2 3 2 2 3 2 2" xfId="36832" xr:uid="{00000000-0005-0000-0000-0000532E0000}"/>
    <cellStyle name="Normal 5 2 4 2 3 2 2 3 3" xfId="26975" xr:uid="{00000000-0005-0000-0000-0000542E0000}"/>
    <cellStyle name="Normal 5 2 4 2 3 2 2 4" xfId="12189" xr:uid="{00000000-0005-0000-0000-0000552E0000}"/>
    <cellStyle name="Normal 5 2 4 2 3 2 2 4 2" xfId="31904" xr:uid="{00000000-0005-0000-0000-0000562E0000}"/>
    <cellStyle name="Normal 5 2 4 2 3 2 2 5" xfId="22047" xr:uid="{00000000-0005-0000-0000-0000572E0000}"/>
    <cellStyle name="Normal 5 2 4 2 3 2 3" xfId="3557" xr:uid="{00000000-0005-0000-0000-0000582E0000}"/>
    <cellStyle name="Normal 5 2 4 2 3 2 3 2" xfId="8489" xr:uid="{00000000-0005-0000-0000-0000592E0000}"/>
    <cellStyle name="Normal 5 2 4 2 3 2 3 2 2" xfId="18349" xr:uid="{00000000-0005-0000-0000-00005A2E0000}"/>
    <cellStyle name="Normal 5 2 4 2 3 2 3 2 2 2" xfId="38064" xr:uid="{00000000-0005-0000-0000-00005B2E0000}"/>
    <cellStyle name="Normal 5 2 4 2 3 2 3 2 3" xfId="28207" xr:uid="{00000000-0005-0000-0000-00005C2E0000}"/>
    <cellStyle name="Normal 5 2 4 2 3 2 3 3" xfId="13421" xr:uid="{00000000-0005-0000-0000-00005D2E0000}"/>
    <cellStyle name="Normal 5 2 4 2 3 2 3 3 2" xfId="33136" xr:uid="{00000000-0005-0000-0000-00005E2E0000}"/>
    <cellStyle name="Normal 5 2 4 2 3 2 3 4" xfId="23279" xr:uid="{00000000-0005-0000-0000-00005F2E0000}"/>
    <cellStyle name="Normal 5 2 4 2 3 2 4" xfId="6025" xr:uid="{00000000-0005-0000-0000-0000602E0000}"/>
    <cellStyle name="Normal 5 2 4 2 3 2 4 2" xfId="15885" xr:uid="{00000000-0005-0000-0000-0000612E0000}"/>
    <cellStyle name="Normal 5 2 4 2 3 2 4 2 2" xfId="35600" xr:uid="{00000000-0005-0000-0000-0000622E0000}"/>
    <cellStyle name="Normal 5 2 4 2 3 2 4 3" xfId="25743" xr:uid="{00000000-0005-0000-0000-0000632E0000}"/>
    <cellStyle name="Normal 5 2 4 2 3 2 5" xfId="10957" xr:uid="{00000000-0005-0000-0000-0000642E0000}"/>
    <cellStyle name="Normal 5 2 4 2 3 2 5 2" xfId="30672" xr:uid="{00000000-0005-0000-0000-0000652E0000}"/>
    <cellStyle name="Normal 5 2 4 2 3 2 6" xfId="20815" xr:uid="{00000000-0005-0000-0000-0000662E0000}"/>
    <cellStyle name="Normal 5 2 4 2 3 3" xfId="1706" xr:uid="{00000000-0005-0000-0000-0000672E0000}"/>
    <cellStyle name="Normal 5 2 4 2 3 3 2" xfId="4173" xr:uid="{00000000-0005-0000-0000-0000682E0000}"/>
    <cellStyle name="Normal 5 2 4 2 3 3 2 2" xfId="9105" xr:uid="{00000000-0005-0000-0000-0000692E0000}"/>
    <cellStyle name="Normal 5 2 4 2 3 3 2 2 2" xfId="18965" xr:uid="{00000000-0005-0000-0000-00006A2E0000}"/>
    <cellStyle name="Normal 5 2 4 2 3 3 2 2 2 2" xfId="38680" xr:uid="{00000000-0005-0000-0000-00006B2E0000}"/>
    <cellStyle name="Normal 5 2 4 2 3 3 2 2 3" xfId="28823" xr:uid="{00000000-0005-0000-0000-00006C2E0000}"/>
    <cellStyle name="Normal 5 2 4 2 3 3 2 3" xfId="14037" xr:uid="{00000000-0005-0000-0000-00006D2E0000}"/>
    <cellStyle name="Normal 5 2 4 2 3 3 2 3 2" xfId="33752" xr:uid="{00000000-0005-0000-0000-00006E2E0000}"/>
    <cellStyle name="Normal 5 2 4 2 3 3 2 4" xfId="23895" xr:uid="{00000000-0005-0000-0000-00006F2E0000}"/>
    <cellStyle name="Normal 5 2 4 2 3 3 3" xfId="6641" xr:uid="{00000000-0005-0000-0000-0000702E0000}"/>
    <cellStyle name="Normal 5 2 4 2 3 3 3 2" xfId="16501" xr:uid="{00000000-0005-0000-0000-0000712E0000}"/>
    <cellStyle name="Normal 5 2 4 2 3 3 3 2 2" xfId="36216" xr:uid="{00000000-0005-0000-0000-0000722E0000}"/>
    <cellStyle name="Normal 5 2 4 2 3 3 3 3" xfId="26359" xr:uid="{00000000-0005-0000-0000-0000732E0000}"/>
    <cellStyle name="Normal 5 2 4 2 3 3 4" xfId="11573" xr:uid="{00000000-0005-0000-0000-0000742E0000}"/>
    <cellStyle name="Normal 5 2 4 2 3 3 4 2" xfId="31288" xr:uid="{00000000-0005-0000-0000-0000752E0000}"/>
    <cellStyle name="Normal 5 2 4 2 3 3 5" xfId="21431" xr:uid="{00000000-0005-0000-0000-0000762E0000}"/>
    <cellStyle name="Normal 5 2 4 2 3 4" xfId="2941" xr:uid="{00000000-0005-0000-0000-0000772E0000}"/>
    <cellStyle name="Normal 5 2 4 2 3 4 2" xfId="7873" xr:uid="{00000000-0005-0000-0000-0000782E0000}"/>
    <cellStyle name="Normal 5 2 4 2 3 4 2 2" xfId="17733" xr:uid="{00000000-0005-0000-0000-0000792E0000}"/>
    <cellStyle name="Normal 5 2 4 2 3 4 2 2 2" xfId="37448" xr:uid="{00000000-0005-0000-0000-00007A2E0000}"/>
    <cellStyle name="Normal 5 2 4 2 3 4 2 3" xfId="27591" xr:uid="{00000000-0005-0000-0000-00007B2E0000}"/>
    <cellStyle name="Normal 5 2 4 2 3 4 3" xfId="12805" xr:uid="{00000000-0005-0000-0000-00007C2E0000}"/>
    <cellStyle name="Normal 5 2 4 2 3 4 3 2" xfId="32520" xr:uid="{00000000-0005-0000-0000-00007D2E0000}"/>
    <cellStyle name="Normal 5 2 4 2 3 4 4" xfId="22663" xr:uid="{00000000-0005-0000-0000-00007E2E0000}"/>
    <cellStyle name="Normal 5 2 4 2 3 5" xfId="5409" xr:uid="{00000000-0005-0000-0000-00007F2E0000}"/>
    <cellStyle name="Normal 5 2 4 2 3 5 2" xfId="15269" xr:uid="{00000000-0005-0000-0000-0000802E0000}"/>
    <cellStyle name="Normal 5 2 4 2 3 5 2 2" xfId="34984" xr:uid="{00000000-0005-0000-0000-0000812E0000}"/>
    <cellStyle name="Normal 5 2 4 2 3 5 3" xfId="25127" xr:uid="{00000000-0005-0000-0000-0000822E0000}"/>
    <cellStyle name="Normal 5 2 4 2 3 6" xfId="10341" xr:uid="{00000000-0005-0000-0000-0000832E0000}"/>
    <cellStyle name="Normal 5 2 4 2 3 6 2" xfId="30056" xr:uid="{00000000-0005-0000-0000-0000842E0000}"/>
    <cellStyle name="Normal 5 2 4 2 3 7" xfId="20199" xr:uid="{00000000-0005-0000-0000-0000852E0000}"/>
    <cellStyle name="Normal 5 2 4 2 4" xfId="780" xr:uid="{00000000-0005-0000-0000-0000862E0000}"/>
    <cellStyle name="Normal 5 2 4 2 4 2" xfId="2016" xr:uid="{00000000-0005-0000-0000-0000872E0000}"/>
    <cellStyle name="Normal 5 2 4 2 4 2 2" xfId="4483" xr:uid="{00000000-0005-0000-0000-0000882E0000}"/>
    <cellStyle name="Normal 5 2 4 2 4 2 2 2" xfId="9415" xr:uid="{00000000-0005-0000-0000-0000892E0000}"/>
    <cellStyle name="Normal 5 2 4 2 4 2 2 2 2" xfId="19275" xr:uid="{00000000-0005-0000-0000-00008A2E0000}"/>
    <cellStyle name="Normal 5 2 4 2 4 2 2 2 2 2" xfId="38990" xr:uid="{00000000-0005-0000-0000-00008B2E0000}"/>
    <cellStyle name="Normal 5 2 4 2 4 2 2 2 3" xfId="29133" xr:uid="{00000000-0005-0000-0000-00008C2E0000}"/>
    <cellStyle name="Normal 5 2 4 2 4 2 2 3" xfId="14347" xr:uid="{00000000-0005-0000-0000-00008D2E0000}"/>
    <cellStyle name="Normal 5 2 4 2 4 2 2 3 2" xfId="34062" xr:uid="{00000000-0005-0000-0000-00008E2E0000}"/>
    <cellStyle name="Normal 5 2 4 2 4 2 2 4" xfId="24205" xr:uid="{00000000-0005-0000-0000-00008F2E0000}"/>
    <cellStyle name="Normal 5 2 4 2 4 2 3" xfId="6951" xr:uid="{00000000-0005-0000-0000-0000902E0000}"/>
    <cellStyle name="Normal 5 2 4 2 4 2 3 2" xfId="16811" xr:uid="{00000000-0005-0000-0000-0000912E0000}"/>
    <cellStyle name="Normal 5 2 4 2 4 2 3 2 2" xfId="36526" xr:uid="{00000000-0005-0000-0000-0000922E0000}"/>
    <cellStyle name="Normal 5 2 4 2 4 2 3 3" xfId="26669" xr:uid="{00000000-0005-0000-0000-0000932E0000}"/>
    <cellStyle name="Normal 5 2 4 2 4 2 4" xfId="11883" xr:uid="{00000000-0005-0000-0000-0000942E0000}"/>
    <cellStyle name="Normal 5 2 4 2 4 2 4 2" xfId="31598" xr:uid="{00000000-0005-0000-0000-0000952E0000}"/>
    <cellStyle name="Normal 5 2 4 2 4 2 5" xfId="21741" xr:uid="{00000000-0005-0000-0000-0000962E0000}"/>
    <cellStyle name="Normal 5 2 4 2 4 3" xfId="3251" xr:uid="{00000000-0005-0000-0000-0000972E0000}"/>
    <cellStyle name="Normal 5 2 4 2 4 3 2" xfId="8183" xr:uid="{00000000-0005-0000-0000-0000982E0000}"/>
    <cellStyle name="Normal 5 2 4 2 4 3 2 2" xfId="18043" xr:uid="{00000000-0005-0000-0000-0000992E0000}"/>
    <cellStyle name="Normal 5 2 4 2 4 3 2 2 2" xfId="37758" xr:uid="{00000000-0005-0000-0000-00009A2E0000}"/>
    <cellStyle name="Normal 5 2 4 2 4 3 2 3" xfId="27901" xr:uid="{00000000-0005-0000-0000-00009B2E0000}"/>
    <cellStyle name="Normal 5 2 4 2 4 3 3" xfId="13115" xr:uid="{00000000-0005-0000-0000-00009C2E0000}"/>
    <cellStyle name="Normal 5 2 4 2 4 3 3 2" xfId="32830" xr:uid="{00000000-0005-0000-0000-00009D2E0000}"/>
    <cellStyle name="Normal 5 2 4 2 4 3 4" xfId="22973" xr:uid="{00000000-0005-0000-0000-00009E2E0000}"/>
    <cellStyle name="Normal 5 2 4 2 4 4" xfId="5719" xr:uid="{00000000-0005-0000-0000-00009F2E0000}"/>
    <cellStyle name="Normal 5 2 4 2 4 4 2" xfId="15579" xr:uid="{00000000-0005-0000-0000-0000A02E0000}"/>
    <cellStyle name="Normal 5 2 4 2 4 4 2 2" xfId="35294" xr:uid="{00000000-0005-0000-0000-0000A12E0000}"/>
    <cellStyle name="Normal 5 2 4 2 4 4 3" xfId="25437" xr:uid="{00000000-0005-0000-0000-0000A22E0000}"/>
    <cellStyle name="Normal 5 2 4 2 4 5" xfId="10651" xr:uid="{00000000-0005-0000-0000-0000A32E0000}"/>
    <cellStyle name="Normal 5 2 4 2 4 5 2" xfId="30366" xr:uid="{00000000-0005-0000-0000-0000A42E0000}"/>
    <cellStyle name="Normal 5 2 4 2 4 6" xfId="20509" xr:uid="{00000000-0005-0000-0000-0000A52E0000}"/>
    <cellStyle name="Normal 5 2 4 2 5" xfId="1400" xr:uid="{00000000-0005-0000-0000-0000A62E0000}"/>
    <cellStyle name="Normal 5 2 4 2 5 2" xfId="3867" xr:uid="{00000000-0005-0000-0000-0000A72E0000}"/>
    <cellStyle name="Normal 5 2 4 2 5 2 2" xfId="8799" xr:uid="{00000000-0005-0000-0000-0000A82E0000}"/>
    <cellStyle name="Normal 5 2 4 2 5 2 2 2" xfId="18659" xr:uid="{00000000-0005-0000-0000-0000A92E0000}"/>
    <cellStyle name="Normal 5 2 4 2 5 2 2 2 2" xfId="38374" xr:uid="{00000000-0005-0000-0000-0000AA2E0000}"/>
    <cellStyle name="Normal 5 2 4 2 5 2 2 3" xfId="28517" xr:uid="{00000000-0005-0000-0000-0000AB2E0000}"/>
    <cellStyle name="Normal 5 2 4 2 5 2 3" xfId="13731" xr:uid="{00000000-0005-0000-0000-0000AC2E0000}"/>
    <cellStyle name="Normal 5 2 4 2 5 2 3 2" xfId="33446" xr:uid="{00000000-0005-0000-0000-0000AD2E0000}"/>
    <cellStyle name="Normal 5 2 4 2 5 2 4" xfId="23589" xr:uid="{00000000-0005-0000-0000-0000AE2E0000}"/>
    <cellStyle name="Normal 5 2 4 2 5 3" xfId="6335" xr:uid="{00000000-0005-0000-0000-0000AF2E0000}"/>
    <cellStyle name="Normal 5 2 4 2 5 3 2" xfId="16195" xr:uid="{00000000-0005-0000-0000-0000B02E0000}"/>
    <cellStyle name="Normal 5 2 4 2 5 3 2 2" xfId="35910" xr:uid="{00000000-0005-0000-0000-0000B12E0000}"/>
    <cellStyle name="Normal 5 2 4 2 5 3 3" xfId="26053" xr:uid="{00000000-0005-0000-0000-0000B22E0000}"/>
    <cellStyle name="Normal 5 2 4 2 5 4" xfId="11267" xr:uid="{00000000-0005-0000-0000-0000B32E0000}"/>
    <cellStyle name="Normal 5 2 4 2 5 4 2" xfId="30982" xr:uid="{00000000-0005-0000-0000-0000B42E0000}"/>
    <cellStyle name="Normal 5 2 4 2 5 5" xfId="21125" xr:uid="{00000000-0005-0000-0000-0000B52E0000}"/>
    <cellStyle name="Normal 5 2 4 2 6" xfId="2635" xr:uid="{00000000-0005-0000-0000-0000B62E0000}"/>
    <cellStyle name="Normal 5 2 4 2 6 2" xfId="7567" xr:uid="{00000000-0005-0000-0000-0000B72E0000}"/>
    <cellStyle name="Normal 5 2 4 2 6 2 2" xfId="17427" xr:uid="{00000000-0005-0000-0000-0000B82E0000}"/>
    <cellStyle name="Normal 5 2 4 2 6 2 2 2" xfId="37142" xr:uid="{00000000-0005-0000-0000-0000B92E0000}"/>
    <cellStyle name="Normal 5 2 4 2 6 2 3" xfId="27285" xr:uid="{00000000-0005-0000-0000-0000BA2E0000}"/>
    <cellStyle name="Normal 5 2 4 2 6 3" xfId="12499" xr:uid="{00000000-0005-0000-0000-0000BB2E0000}"/>
    <cellStyle name="Normal 5 2 4 2 6 3 2" xfId="32214" xr:uid="{00000000-0005-0000-0000-0000BC2E0000}"/>
    <cellStyle name="Normal 5 2 4 2 6 4" xfId="22357" xr:uid="{00000000-0005-0000-0000-0000BD2E0000}"/>
    <cellStyle name="Normal 5 2 4 2 7" xfId="5103" xr:uid="{00000000-0005-0000-0000-0000BE2E0000}"/>
    <cellStyle name="Normal 5 2 4 2 7 2" xfId="14963" xr:uid="{00000000-0005-0000-0000-0000BF2E0000}"/>
    <cellStyle name="Normal 5 2 4 2 7 2 2" xfId="34678" xr:uid="{00000000-0005-0000-0000-0000C02E0000}"/>
    <cellStyle name="Normal 5 2 4 2 7 3" xfId="24821" xr:uid="{00000000-0005-0000-0000-0000C12E0000}"/>
    <cellStyle name="Normal 5 2 4 2 8" xfId="10035" xr:uid="{00000000-0005-0000-0000-0000C22E0000}"/>
    <cellStyle name="Normal 5 2 4 2 8 2" xfId="29750" xr:uid="{00000000-0005-0000-0000-0000C32E0000}"/>
    <cellStyle name="Normal 5 2 4 2 9" xfId="19893" xr:uid="{00000000-0005-0000-0000-0000C42E0000}"/>
    <cellStyle name="Normal 5 2 4 3" xfId="229" xr:uid="{00000000-0005-0000-0000-0000C52E0000}"/>
    <cellStyle name="Normal 5 2 4 3 2" xfId="543" xr:uid="{00000000-0005-0000-0000-0000C62E0000}"/>
    <cellStyle name="Normal 5 2 4 3 2 2" xfId="1163" xr:uid="{00000000-0005-0000-0000-0000C72E0000}"/>
    <cellStyle name="Normal 5 2 4 3 2 2 2" xfId="2398" xr:uid="{00000000-0005-0000-0000-0000C82E0000}"/>
    <cellStyle name="Normal 5 2 4 3 2 2 2 2" xfId="4865" xr:uid="{00000000-0005-0000-0000-0000C92E0000}"/>
    <cellStyle name="Normal 5 2 4 3 2 2 2 2 2" xfId="9797" xr:uid="{00000000-0005-0000-0000-0000CA2E0000}"/>
    <cellStyle name="Normal 5 2 4 3 2 2 2 2 2 2" xfId="19657" xr:uid="{00000000-0005-0000-0000-0000CB2E0000}"/>
    <cellStyle name="Normal 5 2 4 3 2 2 2 2 2 2 2" xfId="39372" xr:uid="{00000000-0005-0000-0000-0000CC2E0000}"/>
    <cellStyle name="Normal 5 2 4 3 2 2 2 2 2 3" xfId="29515" xr:uid="{00000000-0005-0000-0000-0000CD2E0000}"/>
    <cellStyle name="Normal 5 2 4 3 2 2 2 2 3" xfId="14729" xr:uid="{00000000-0005-0000-0000-0000CE2E0000}"/>
    <cellStyle name="Normal 5 2 4 3 2 2 2 2 3 2" xfId="34444" xr:uid="{00000000-0005-0000-0000-0000CF2E0000}"/>
    <cellStyle name="Normal 5 2 4 3 2 2 2 2 4" xfId="24587" xr:uid="{00000000-0005-0000-0000-0000D02E0000}"/>
    <cellStyle name="Normal 5 2 4 3 2 2 2 3" xfId="7333" xr:uid="{00000000-0005-0000-0000-0000D12E0000}"/>
    <cellStyle name="Normal 5 2 4 3 2 2 2 3 2" xfId="17193" xr:uid="{00000000-0005-0000-0000-0000D22E0000}"/>
    <cellStyle name="Normal 5 2 4 3 2 2 2 3 2 2" xfId="36908" xr:uid="{00000000-0005-0000-0000-0000D32E0000}"/>
    <cellStyle name="Normal 5 2 4 3 2 2 2 3 3" xfId="27051" xr:uid="{00000000-0005-0000-0000-0000D42E0000}"/>
    <cellStyle name="Normal 5 2 4 3 2 2 2 4" xfId="12265" xr:uid="{00000000-0005-0000-0000-0000D52E0000}"/>
    <cellStyle name="Normal 5 2 4 3 2 2 2 4 2" xfId="31980" xr:uid="{00000000-0005-0000-0000-0000D62E0000}"/>
    <cellStyle name="Normal 5 2 4 3 2 2 2 5" xfId="22123" xr:uid="{00000000-0005-0000-0000-0000D72E0000}"/>
    <cellStyle name="Normal 5 2 4 3 2 2 3" xfId="3633" xr:uid="{00000000-0005-0000-0000-0000D82E0000}"/>
    <cellStyle name="Normal 5 2 4 3 2 2 3 2" xfId="8565" xr:uid="{00000000-0005-0000-0000-0000D92E0000}"/>
    <cellStyle name="Normal 5 2 4 3 2 2 3 2 2" xfId="18425" xr:uid="{00000000-0005-0000-0000-0000DA2E0000}"/>
    <cellStyle name="Normal 5 2 4 3 2 2 3 2 2 2" xfId="38140" xr:uid="{00000000-0005-0000-0000-0000DB2E0000}"/>
    <cellStyle name="Normal 5 2 4 3 2 2 3 2 3" xfId="28283" xr:uid="{00000000-0005-0000-0000-0000DC2E0000}"/>
    <cellStyle name="Normal 5 2 4 3 2 2 3 3" xfId="13497" xr:uid="{00000000-0005-0000-0000-0000DD2E0000}"/>
    <cellStyle name="Normal 5 2 4 3 2 2 3 3 2" xfId="33212" xr:uid="{00000000-0005-0000-0000-0000DE2E0000}"/>
    <cellStyle name="Normal 5 2 4 3 2 2 3 4" xfId="23355" xr:uid="{00000000-0005-0000-0000-0000DF2E0000}"/>
    <cellStyle name="Normal 5 2 4 3 2 2 4" xfId="6101" xr:uid="{00000000-0005-0000-0000-0000E02E0000}"/>
    <cellStyle name="Normal 5 2 4 3 2 2 4 2" xfId="15961" xr:uid="{00000000-0005-0000-0000-0000E12E0000}"/>
    <cellStyle name="Normal 5 2 4 3 2 2 4 2 2" xfId="35676" xr:uid="{00000000-0005-0000-0000-0000E22E0000}"/>
    <cellStyle name="Normal 5 2 4 3 2 2 4 3" xfId="25819" xr:uid="{00000000-0005-0000-0000-0000E32E0000}"/>
    <cellStyle name="Normal 5 2 4 3 2 2 5" xfId="11033" xr:uid="{00000000-0005-0000-0000-0000E42E0000}"/>
    <cellStyle name="Normal 5 2 4 3 2 2 5 2" xfId="30748" xr:uid="{00000000-0005-0000-0000-0000E52E0000}"/>
    <cellStyle name="Normal 5 2 4 3 2 2 6" xfId="20891" xr:uid="{00000000-0005-0000-0000-0000E62E0000}"/>
    <cellStyle name="Normal 5 2 4 3 2 3" xfId="1782" xr:uid="{00000000-0005-0000-0000-0000E72E0000}"/>
    <cellStyle name="Normal 5 2 4 3 2 3 2" xfId="4249" xr:uid="{00000000-0005-0000-0000-0000E82E0000}"/>
    <cellStyle name="Normal 5 2 4 3 2 3 2 2" xfId="9181" xr:uid="{00000000-0005-0000-0000-0000E92E0000}"/>
    <cellStyle name="Normal 5 2 4 3 2 3 2 2 2" xfId="19041" xr:uid="{00000000-0005-0000-0000-0000EA2E0000}"/>
    <cellStyle name="Normal 5 2 4 3 2 3 2 2 2 2" xfId="38756" xr:uid="{00000000-0005-0000-0000-0000EB2E0000}"/>
    <cellStyle name="Normal 5 2 4 3 2 3 2 2 3" xfId="28899" xr:uid="{00000000-0005-0000-0000-0000EC2E0000}"/>
    <cellStyle name="Normal 5 2 4 3 2 3 2 3" xfId="14113" xr:uid="{00000000-0005-0000-0000-0000ED2E0000}"/>
    <cellStyle name="Normal 5 2 4 3 2 3 2 3 2" xfId="33828" xr:uid="{00000000-0005-0000-0000-0000EE2E0000}"/>
    <cellStyle name="Normal 5 2 4 3 2 3 2 4" xfId="23971" xr:uid="{00000000-0005-0000-0000-0000EF2E0000}"/>
    <cellStyle name="Normal 5 2 4 3 2 3 3" xfId="6717" xr:uid="{00000000-0005-0000-0000-0000F02E0000}"/>
    <cellStyle name="Normal 5 2 4 3 2 3 3 2" xfId="16577" xr:uid="{00000000-0005-0000-0000-0000F12E0000}"/>
    <cellStyle name="Normal 5 2 4 3 2 3 3 2 2" xfId="36292" xr:uid="{00000000-0005-0000-0000-0000F22E0000}"/>
    <cellStyle name="Normal 5 2 4 3 2 3 3 3" xfId="26435" xr:uid="{00000000-0005-0000-0000-0000F32E0000}"/>
    <cellStyle name="Normal 5 2 4 3 2 3 4" xfId="11649" xr:uid="{00000000-0005-0000-0000-0000F42E0000}"/>
    <cellStyle name="Normal 5 2 4 3 2 3 4 2" xfId="31364" xr:uid="{00000000-0005-0000-0000-0000F52E0000}"/>
    <cellStyle name="Normal 5 2 4 3 2 3 5" xfId="21507" xr:uid="{00000000-0005-0000-0000-0000F62E0000}"/>
    <cellStyle name="Normal 5 2 4 3 2 4" xfId="3017" xr:uid="{00000000-0005-0000-0000-0000F72E0000}"/>
    <cellStyle name="Normal 5 2 4 3 2 4 2" xfId="7949" xr:uid="{00000000-0005-0000-0000-0000F82E0000}"/>
    <cellStyle name="Normal 5 2 4 3 2 4 2 2" xfId="17809" xr:uid="{00000000-0005-0000-0000-0000F92E0000}"/>
    <cellStyle name="Normal 5 2 4 3 2 4 2 2 2" xfId="37524" xr:uid="{00000000-0005-0000-0000-0000FA2E0000}"/>
    <cellStyle name="Normal 5 2 4 3 2 4 2 3" xfId="27667" xr:uid="{00000000-0005-0000-0000-0000FB2E0000}"/>
    <cellStyle name="Normal 5 2 4 3 2 4 3" xfId="12881" xr:uid="{00000000-0005-0000-0000-0000FC2E0000}"/>
    <cellStyle name="Normal 5 2 4 3 2 4 3 2" xfId="32596" xr:uid="{00000000-0005-0000-0000-0000FD2E0000}"/>
    <cellStyle name="Normal 5 2 4 3 2 4 4" xfId="22739" xr:uid="{00000000-0005-0000-0000-0000FE2E0000}"/>
    <cellStyle name="Normal 5 2 4 3 2 5" xfId="5485" xr:uid="{00000000-0005-0000-0000-0000FF2E0000}"/>
    <cellStyle name="Normal 5 2 4 3 2 5 2" xfId="15345" xr:uid="{00000000-0005-0000-0000-0000002F0000}"/>
    <cellStyle name="Normal 5 2 4 3 2 5 2 2" xfId="35060" xr:uid="{00000000-0005-0000-0000-0000012F0000}"/>
    <cellStyle name="Normal 5 2 4 3 2 5 3" xfId="25203" xr:uid="{00000000-0005-0000-0000-0000022F0000}"/>
    <cellStyle name="Normal 5 2 4 3 2 6" xfId="10417" xr:uid="{00000000-0005-0000-0000-0000032F0000}"/>
    <cellStyle name="Normal 5 2 4 3 2 6 2" xfId="30132" xr:uid="{00000000-0005-0000-0000-0000042F0000}"/>
    <cellStyle name="Normal 5 2 4 3 2 7" xfId="20275" xr:uid="{00000000-0005-0000-0000-0000052F0000}"/>
    <cellStyle name="Normal 5 2 4 3 3" xfId="856" xr:uid="{00000000-0005-0000-0000-0000062F0000}"/>
    <cellStyle name="Normal 5 2 4 3 3 2" xfId="2092" xr:uid="{00000000-0005-0000-0000-0000072F0000}"/>
    <cellStyle name="Normal 5 2 4 3 3 2 2" xfId="4559" xr:uid="{00000000-0005-0000-0000-0000082F0000}"/>
    <cellStyle name="Normal 5 2 4 3 3 2 2 2" xfId="9491" xr:uid="{00000000-0005-0000-0000-0000092F0000}"/>
    <cellStyle name="Normal 5 2 4 3 3 2 2 2 2" xfId="19351" xr:uid="{00000000-0005-0000-0000-00000A2F0000}"/>
    <cellStyle name="Normal 5 2 4 3 3 2 2 2 2 2" xfId="39066" xr:uid="{00000000-0005-0000-0000-00000B2F0000}"/>
    <cellStyle name="Normal 5 2 4 3 3 2 2 2 3" xfId="29209" xr:uid="{00000000-0005-0000-0000-00000C2F0000}"/>
    <cellStyle name="Normal 5 2 4 3 3 2 2 3" xfId="14423" xr:uid="{00000000-0005-0000-0000-00000D2F0000}"/>
    <cellStyle name="Normal 5 2 4 3 3 2 2 3 2" xfId="34138" xr:uid="{00000000-0005-0000-0000-00000E2F0000}"/>
    <cellStyle name="Normal 5 2 4 3 3 2 2 4" xfId="24281" xr:uid="{00000000-0005-0000-0000-00000F2F0000}"/>
    <cellStyle name="Normal 5 2 4 3 3 2 3" xfId="7027" xr:uid="{00000000-0005-0000-0000-0000102F0000}"/>
    <cellStyle name="Normal 5 2 4 3 3 2 3 2" xfId="16887" xr:uid="{00000000-0005-0000-0000-0000112F0000}"/>
    <cellStyle name="Normal 5 2 4 3 3 2 3 2 2" xfId="36602" xr:uid="{00000000-0005-0000-0000-0000122F0000}"/>
    <cellStyle name="Normal 5 2 4 3 3 2 3 3" xfId="26745" xr:uid="{00000000-0005-0000-0000-0000132F0000}"/>
    <cellStyle name="Normal 5 2 4 3 3 2 4" xfId="11959" xr:uid="{00000000-0005-0000-0000-0000142F0000}"/>
    <cellStyle name="Normal 5 2 4 3 3 2 4 2" xfId="31674" xr:uid="{00000000-0005-0000-0000-0000152F0000}"/>
    <cellStyle name="Normal 5 2 4 3 3 2 5" xfId="21817" xr:uid="{00000000-0005-0000-0000-0000162F0000}"/>
    <cellStyle name="Normal 5 2 4 3 3 3" xfId="3327" xr:uid="{00000000-0005-0000-0000-0000172F0000}"/>
    <cellStyle name="Normal 5 2 4 3 3 3 2" xfId="8259" xr:uid="{00000000-0005-0000-0000-0000182F0000}"/>
    <cellStyle name="Normal 5 2 4 3 3 3 2 2" xfId="18119" xr:uid="{00000000-0005-0000-0000-0000192F0000}"/>
    <cellStyle name="Normal 5 2 4 3 3 3 2 2 2" xfId="37834" xr:uid="{00000000-0005-0000-0000-00001A2F0000}"/>
    <cellStyle name="Normal 5 2 4 3 3 3 2 3" xfId="27977" xr:uid="{00000000-0005-0000-0000-00001B2F0000}"/>
    <cellStyle name="Normal 5 2 4 3 3 3 3" xfId="13191" xr:uid="{00000000-0005-0000-0000-00001C2F0000}"/>
    <cellStyle name="Normal 5 2 4 3 3 3 3 2" xfId="32906" xr:uid="{00000000-0005-0000-0000-00001D2F0000}"/>
    <cellStyle name="Normal 5 2 4 3 3 3 4" xfId="23049" xr:uid="{00000000-0005-0000-0000-00001E2F0000}"/>
    <cellStyle name="Normal 5 2 4 3 3 4" xfId="5795" xr:uid="{00000000-0005-0000-0000-00001F2F0000}"/>
    <cellStyle name="Normal 5 2 4 3 3 4 2" xfId="15655" xr:uid="{00000000-0005-0000-0000-0000202F0000}"/>
    <cellStyle name="Normal 5 2 4 3 3 4 2 2" xfId="35370" xr:uid="{00000000-0005-0000-0000-0000212F0000}"/>
    <cellStyle name="Normal 5 2 4 3 3 4 3" xfId="25513" xr:uid="{00000000-0005-0000-0000-0000222F0000}"/>
    <cellStyle name="Normal 5 2 4 3 3 5" xfId="10727" xr:uid="{00000000-0005-0000-0000-0000232F0000}"/>
    <cellStyle name="Normal 5 2 4 3 3 5 2" xfId="30442" xr:uid="{00000000-0005-0000-0000-0000242F0000}"/>
    <cellStyle name="Normal 5 2 4 3 3 6" xfId="20585" xr:uid="{00000000-0005-0000-0000-0000252F0000}"/>
    <cellStyle name="Normal 5 2 4 3 4" xfId="1476" xr:uid="{00000000-0005-0000-0000-0000262F0000}"/>
    <cellStyle name="Normal 5 2 4 3 4 2" xfId="3943" xr:uid="{00000000-0005-0000-0000-0000272F0000}"/>
    <cellStyle name="Normal 5 2 4 3 4 2 2" xfId="8875" xr:uid="{00000000-0005-0000-0000-0000282F0000}"/>
    <cellStyle name="Normal 5 2 4 3 4 2 2 2" xfId="18735" xr:uid="{00000000-0005-0000-0000-0000292F0000}"/>
    <cellStyle name="Normal 5 2 4 3 4 2 2 2 2" xfId="38450" xr:uid="{00000000-0005-0000-0000-00002A2F0000}"/>
    <cellStyle name="Normal 5 2 4 3 4 2 2 3" xfId="28593" xr:uid="{00000000-0005-0000-0000-00002B2F0000}"/>
    <cellStyle name="Normal 5 2 4 3 4 2 3" xfId="13807" xr:uid="{00000000-0005-0000-0000-00002C2F0000}"/>
    <cellStyle name="Normal 5 2 4 3 4 2 3 2" xfId="33522" xr:uid="{00000000-0005-0000-0000-00002D2F0000}"/>
    <cellStyle name="Normal 5 2 4 3 4 2 4" xfId="23665" xr:uid="{00000000-0005-0000-0000-00002E2F0000}"/>
    <cellStyle name="Normal 5 2 4 3 4 3" xfId="6411" xr:uid="{00000000-0005-0000-0000-00002F2F0000}"/>
    <cellStyle name="Normal 5 2 4 3 4 3 2" xfId="16271" xr:uid="{00000000-0005-0000-0000-0000302F0000}"/>
    <cellStyle name="Normal 5 2 4 3 4 3 2 2" xfId="35986" xr:uid="{00000000-0005-0000-0000-0000312F0000}"/>
    <cellStyle name="Normal 5 2 4 3 4 3 3" xfId="26129" xr:uid="{00000000-0005-0000-0000-0000322F0000}"/>
    <cellStyle name="Normal 5 2 4 3 4 4" xfId="11343" xr:uid="{00000000-0005-0000-0000-0000332F0000}"/>
    <cellStyle name="Normal 5 2 4 3 4 4 2" xfId="31058" xr:uid="{00000000-0005-0000-0000-0000342F0000}"/>
    <cellStyle name="Normal 5 2 4 3 4 5" xfId="21201" xr:uid="{00000000-0005-0000-0000-0000352F0000}"/>
    <cellStyle name="Normal 5 2 4 3 5" xfId="2711" xr:uid="{00000000-0005-0000-0000-0000362F0000}"/>
    <cellStyle name="Normal 5 2 4 3 5 2" xfId="7643" xr:uid="{00000000-0005-0000-0000-0000372F0000}"/>
    <cellStyle name="Normal 5 2 4 3 5 2 2" xfId="17503" xr:uid="{00000000-0005-0000-0000-0000382F0000}"/>
    <cellStyle name="Normal 5 2 4 3 5 2 2 2" xfId="37218" xr:uid="{00000000-0005-0000-0000-0000392F0000}"/>
    <cellStyle name="Normal 5 2 4 3 5 2 3" xfId="27361" xr:uid="{00000000-0005-0000-0000-00003A2F0000}"/>
    <cellStyle name="Normal 5 2 4 3 5 3" xfId="12575" xr:uid="{00000000-0005-0000-0000-00003B2F0000}"/>
    <cellStyle name="Normal 5 2 4 3 5 3 2" xfId="32290" xr:uid="{00000000-0005-0000-0000-00003C2F0000}"/>
    <cellStyle name="Normal 5 2 4 3 5 4" xfId="22433" xr:uid="{00000000-0005-0000-0000-00003D2F0000}"/>
    <cellStyle name="Normal 5 2 4 3 6" xfId="5179" xr:uid="{00000000-0005-0000-0000-00003E2F0000}"/>
    <cellStyle name="Normal 5 2 4 3 6 2" xfId="15039" xr:uid="{00000000-0005-0000-0000-00003F2F0000}"/>
    <cellStyle name="Normal 5 2 4 3 6 2 2" xfId="34754" xr:uid="{00000000-0005-0000-0000-0000402F0000}"/>
    <cellStyle name="Normal 5 2 4 3 6 3" xfId="24897" xr:uid="{00000000-0005-0000-0000-0000412F0000}"/>
    <cellStyle name="Normal 5 2 4 3 7" xfId="10111" xr:uid="{00000000-0005-0000-0000-0000422F0000}"/>
    <cellStyle name="Normal 5 2 4 3 7 2" xfId="29826" xr:uid="{00000000-0005-0000-0000-0000432F0000}"/>
    <cellStyle name="Normal 5 2 4 3 8" xfId="19969" xr:uid="{00000000-0005-0000-0000-0000442F0000}"/>
    <cellStyle name="Normal 5 2 4 4" xfId="391" xr:uid="{00000000-0005-0000-0000-0000452F0000}"/>
    <cellStyle name="Normal 5 2 4 4 2" xfId="1011" xr:uid="{00000000-0005-0000-0000-0000462F0000}"/>
    <cellStyle name="Normal 5 2 4 4 2 2" xfId="2246" xr:uid="{00000000-0005-0000-0000-0000472F0000}"/>
    <cellStyle name="Normal 5 2 4 4 2 2 2" xfId="4713" xr:uid="{00000000-0005-0000-0000-0000482F0000}"/>
    <cellStyle name="Normal 5 2 4 4 2 2 2 2" xfId="9645" xr:uid="{00000000-0005-0000-0000-0000492F0000}"/>
    <cellStyle name="Normal 5 2 4 4 2 2 2 2 2" xfId="19505" xr:uid="{00000000-0005-0000-0000-00004A2F0000}"/>
    <cellStyle name="Normal 5 2 4 4 2 2 2 2 2 2" xfId="39220" xr:uid="{00000000-0005-0000-0000-00004B2F0000}"/>
    <cellStyle name="Normal 5 2 4 4 2 2 2 2 3" xfId="29363" xr:uid="{00000000-0005-0000-0000-00004C2F0000}"/>
    <cellStyle name="Normal 5 2 4 4 2 2 2 3" xfId="14577" xr:uid="{00000000-0005-0000-0000-00004D2F0000}"/>
    <cellStyle name="Normal 5 2 4 4 2 2 2 3 2" xfId="34292" xr:uid="{00000000-0005-0000-0000-00004E2F0000}"/>
    <cellStyle name="Normal 5 2 4 4 2 2 2 4" xfId="24435" xr:uid="{00000000-0005-0000-0000-00004F2F0000}"/>
    <cellStyle name="Normal 5 2 4 4 2 2 3" xfId="7181" xr:uid="{00000000-0005-0000-0000-0000502F0000}"/>
    <cellStyle name="Normal 5 2 4 4 2 2 3 2" xfId="17041" xr:uid="{00000000-0005-0000-0000-0000512F0000}"/>
    <cellStyle name="Normal 5 2 4 4 2 2 3 2 2" xfId="36756" xr:uid="{00000000-0005-0000-0000-0000522F0000}"/>
    <cellStyle name="Normal 5 2 4 4 2 2 3 3" xfId="26899" xr:uid="{00000000-0005-0000-0000-0000532F0000}"/>
    <cellStyle name="Normal 5 2 4 4 2 2 4" xfId="12113" xr:uid="{00000000-0005-0000-0000-0000542F0000}"/>
    <cellStyle name="Normal 5 2 4 4 2 2 4 2" xfId="31828" xr:uid="{00000000-0005-0000-0000-0000552F0000}"/>
    <cellStyle name="Normal 5 2 4 4 2 2 5" xfId="21971" xr:uid="{00000000-0005-0000-0000-0000562F0000}"/>
    <cellStyle name="Normal 5 2 4 4 2 3" xfId="3481" xr:uid="{00000000-0005-0000-0000-0000572F0000}"/>
    <cellStyle name="Normal 5 2 4 4 2 3 2" xfId="8413" xr:uid="{00000000-0005-0000-0000-0000582F0000}"/>
    <cellStyle name="Normal 5 2 4 4 2 3 2 2" xfId="18273" xr:uid="{00000000-0005-0000-0000-0000592F0000}"/>
    <cellStyle name="Normal 5 2 4 4 2 3 2 2 2" xfId="37988" xr:uid="{00000000-0005-0000-0000-00005A2F0000}"/>
    <cellStyle name="Normal 5 2 4 4 2 3 2 3" xfId="28131" xr:uid="{00000000-0005-0000-0000-00005B2F0000}"/>
    <cellStyle name="Normal 5 2 4 4 2 3 3" xfId="13345" xr:uid="{00000000-0005-0000-0000-00005C2F0000}"/>
    <cellStyle name="Normal 5 2 4 4 2 3 3 2" xfId="33060" xr:uid="{00000000-0005-0000-0000-00005D2F0000}"/>
    <cellStyle name="Normal 5 2 4 4 2 3 4" xfId="23203" xr:uid="{00000000-0005-0000-0000-00005E2F0000}"/>
    <cellStyle name="Normal 5 2 4 4 2 4" xfId="5949" xr:uid="{00000000-0005-0000-0000-00005F2F0000}"/>
    <cellStyle name="Normal 5 2 4 4 2 4 2" xfId="15809" xr:uid="{00000000-0005-0000-0000-0000602F0000}"/>
    <cellStyle name="Normal 5 2 4 4 2 4 2 2" xfId="35524" xr:uid="{00000000-0005-0000-0000-0000612F0000}"/>
    <cellStyle name="Normal 5 2 4 4 2 4 3" xfId="25667" xr:uid="{00000000-0005-0000-0000-0000622F0000}"/>
    <cellStyle name="Normal 5 2 4 4 2 5" xfId="10881" xr:uid="{00000000-0005-0000-0000-0000632F0000}"/>
    <cellStyle name="Normal 5 2 4 4 2 5 2" xfId="30596" xr:uid="{00000000-0005-0000-0000-0000642F0000}"/>
    <cellStyle name="Normal 5 2 4 4 2 6" xfId="20739" xr:uid="{00000000-0005-0000-0000-0000652F0000}"/>
    <cellStyle name="Normal 5 2 4 4 3" xfId="1630" xr:uid="{00000000-0005-0000-0000-0000662F0000}"/>
    <cellStyle name="Normal 5 2 4 4 3 2" xfId="4097" xr:uid="{00000000-0005-0000-0000-0000672F0000}"/>
    <cellStyle name="Normal 5 2 4 4 3 2 2" xfId="9029" xr:uid="{00000000-0005-0000-0000-0000682F0000}"/>
    <cellStyle name="Normal 5 2 4 4 3 2 2 2" xfId="18889" xr:uid="{00000000-0005-0000-0000-0000692F0000}"/>
    <cellStyle name="Normal 5 2 4 4 3 2 2 2 2" xfId="38604" xr:uid="{00000000-0005-0000-0000-00006A2F0000}"/>
    <cellStyle name="Normal 5 2 4 4 3 2 2 3" xfId="28747" xr:uid="{00000000-0005-0000-0000-00006B2F0000}"/>
    <cellStyle name="Normal 5 2 4 4 3 2 3" xfId="13961" xr:uid="{00000000-0005-0000-0000-00006C2F0000}"/>
    <cellStyle name="Normal 5 2 4 4 3 2 3 2" xfId="33676" xr:uid="{00000000-0005-0000-0000-00006D2F0000}"/>
    <cellStyle name="Normal 5 2 4 4 3 2 4" xfId="23819" xr:uid="{00000000-0005-0000-0000-00006E2F0000}"/>
    <cellStyle name="Normal 5 2 4 4 3 3" xfId="6565" xr:uid="{00000000-0005-0000-0000-00006F2F0000}"/>
    <cellStyle name="Normal 5 2 4 4 3 3 2" xfId="16425" xr:uid="{00000000-0005-0000-0000-0000702F0000}"/>
    <cellStyle name="Normal 5 2 4 4 3 3 2 2" xfId="36140" xr:uid="{00000000-0005-0000-0000-0000712F0000}"/>
    <cellStyle name="Normal 5 2 4 4 3 3 3" xfId="26283" xr:uid="{00000000-0005-0000-0000-0000722F0000}"/>
    <cellStyle name="Normal 5 2 4 4 3 4" xfId="11497" xr:uid="{00000000-0005-0000-0000-0000732F0000}"/>
    <cellStyle name="Normal 5 2 4 4 3 4 2" xfId="31212" xr:uid="{00000000-0005-0000-0000-0000742F0000}"/>
    <cellStyle name="Normal 5 2 4 4 3 5" xfId="21355" xr:uid="{00000000-0005-0000-0000-0000752F0000}"/>
    <cellStyle name="Normal 5 2 4 4 4" xfId="2865" xr:uid="{00000000-0005-0000-0000-0000762F0000}"/>
    <cellStyle name="Normal 5 2 4 4 4 2" xfId="7797" xr:uid="{00000000-0005-0000-0000-0000772F0000}"/>
    <cellStyle name="Normal 5 2 4 4 4 2 2" xfId="17657" xr:uid="{00000000-0005-0000-0000-0000782F0000}"/>
    <cellStyle name="Normal 5 2 4 4 4 2 2 2" xfId="37372" xr:uid="{00000000-0005-0000-0000-0000792F0000}"/>
    <cellStyle name="Normal 5 2 4 4 4 2 3" xfId="27515" xr:uid="{00000000-0005-0000-0000-00007A2F0000}"/>
    <cellStyle name="Normal 5 2 4 4 4 3" xfId="12729" xr:uid="{00000000-0005-0000-0000-00007B2F0000}"/>
    <cellStyle name="Normal 5 2 4 4 4 3 2" xfId="32444" xr:uid="{00000000-0005-0000-0000-00007C2F0000}"/>
    <cellStyle name="Normal 5 2 4 4 4 4" xfId="22587" xr:uid="{00000000-0005-0000-0000-00007D2F0000}"/>
    <cellStyle name="Normal 5 2 4 4 5" xfId="5333" xr:uid="{00000000-0005-0000-0000-00007E2F0000}"/>
    <cellStyle name="Normal 5 2 4 4 5 2" xfId="15193" xr:uid="{00000000-0005-0000-0000-00007F2F0000}"/>
    <cellStyle name="Normal 5 2 4 4 5 2 2" xfId="34908" xr:uid="{00000000-0005-0000-0000-0000802F0000}"/>
    <cellStyle name="Normal 5 2 4 4 5 3" xfId="25051" xr:uid="{00000000-0005-0000-0000-0000812F0000}"/>
    <cellStyle name="Normal 5 2 4 4 6" xfId="10265" xr:uid="{00000000-0005-0000-0000-0000822F0000}"/>
    <cellStyle name="Normal 5 2 4 4 6 2" xfId="29980" xr:uid="{00000000-0005-0000-0000-0000832F0000}"/>
    <cellStyle name="Normal 5 2 4 4 7" xfId="20123" xr:uid="{00000000-0005-0000-0000-0000842F0000}"/>
    <cellStyle name="Normal 5 2 4 5" xfId="704" xr:uid="{00000000-0005-0000-0000-0000852F0000}"/>
    <cellStyle name="Normal 5 2 4 5 2" xfId="1940" xr:uid="{00000000-0005-0000-0000-0000862F0000}"/>
    <cellStyle name="Normal 5 2 4 5 2 2" xfId="4407" xr:uid="{00000000-0005-0000-0000-0000872F0000}"/>
    <cellStyle name="Normal 5 2 4 5 2 2 2" xfId="9339" xr:uid="{00000000-0005-0000-0000-0000882F0000}"/>
    <cellStyle name="Normal 5 2 4 5 2 2 2 2" xfId="19199" xr:uid="{00000000-0005-0000-0000-0000892F0000}"/>
    <cellStyle name="Normal 5 2 4 5 2 2 2 2 2" xfId="38914" xr:uid="{00000000-0005-0000-0000-00008A2F0000}"/>
    <cellStyle name="Normal 5 2 4 5 2 2 2 3" xfId="29057" xr:uid="{00000000-0005-0000-0000-00008B2F0000}"/>
    <cellStyle name="Normal 5 2 4 5 2 2 3" xfId="14271" xr:uid="{00000000-0005-0000-0000-00008C2F0000}"/>
    <cellStyle name="Normal 5 2 4 5 2 2 3 2" xfId="33986" xr:uid="{00000000-0005-0000-0000-00008D2F0000}"/>
    <cellStyle name="Normal 5 2 4 5 2 2 4" xfId="24129" xr:uid="{00000000-0005-0000-0000-00008E2F0000}"/>
    <cellStyle name="Normal 5 2 4 5 2 3" xfId="6875" xr:uid="{00000000-0005-0000-0000-00008F2F0000}"/>
    <cellStyle name="Normal 5 2 4 5 2 3 2" xfId="16735" xr:uid="{00000000-0005-0000-0000-0000902F0000}"/>
    <cellStyle name="Normal 5 2 4 5 2 3 2 2" xfId="36450" xr:uid="{00000000-0005-0000-0000-0000912F0000}"/>
    <cellStyle name="Normal 5 2 4 5 2 3 3" xfId="26593" xr:uid="{00000000-0005-0000-0000-0000922F0000}"/>
    <cellStyle name="Normal 5 2 4 5 2 4" xfId="11807" xr:uid="{00000000-0005-0000-0000-0000932F0000}"/>
    <cellStyle name="Normal 5 2 4 5 2 4 2" xfId="31522" xr:uid="{00000000-0005-0000-0000-0000942F0000}"/>
    <cellStyle name="Normal 5 2 4 5 2 5" xfId="21665" xr:uid="{00000000-0005-0000-0000-0000952F0000}"/>
    <cellStyle name="Normal 5 2 4 5 3" xfId="3175" xr:uid="{00000000-0005-0000-0000-0000962F0000}"/>
    <cellStyle name="Normal 5 2 4 5 3 2" xfId="8107" xr:uid="{00000000-0005-0000-0000-0000972F0000}"/>
    <cellStyle name="Normal 5 2 4 5 3 2 2" xfId="17967" xr:uid="{00000000-0005-0000-0000-0000982F0000}"/>
    <cellStyle name="Normal 5 2 4 5 3 2 2 2" xfId="37682" xr:uid="{00000000-0005-0000-0000-0000992F0000}"/>
    <cellStyle name="Normal 5 2 4 5 3 2 3" xfId="27825" xr:uid="{00000000-0005-0000-0000-00009A2F0000}"/>
    <cellStyle name="Normal 5 2 4 5 3 3" xfId="13039" xr:uid="{00000000-0005-0000-0000-00009B2F0000}"/>
    <cellStyle name="Normal 5 2 4 5 3 3 2" xfId="32754" xr:uid="{00000000-0005-0000-0000-00009C2F0000}"/>
    <cellStyle name="Normal 5 2 4 5 3 4" xfId="22897" xr:uid="{00000000-0005-0000-0000-00009D2F0000}"/>
    <cellStyle name="Normal 5 2 4 5 4" xfId="5643" xr:uid="{00000000-0005-0000-0000-00009E2F0000}"/>
    <cellStyle name="Normal 5 2 4 5 4 2" xfId="15503" xr:uid="{00000000-0005-0000-0000-00009F2F0000}"/>
    <cellStyle name="Normal 5 2 4 5 4 2 2" xfId="35218" xr:uid="{00000000-0005-0000-0000-0000A02F0000}"/>
    <cellStyle name="Normal 5 2 4 5 4 3" xfId="25361" xr:uid="{00000000-0005-0000-0000-0000A12F0000}"/>
    <cellStyle name="Normal 5 2 4 5 5" xfId="10575" xr:uid="{00000000-0005-0000-0000-0000A22F0000}"/>
    <cellStyle name="Normal 5 2 4 5 5 2" xfId="30290" xr:uid="{00000000-0005-0000-0000-0000A32F0000}"/>
    <cellStyle name="Normal 5 2 4 5 6" xfId="20433" xr:uid="{00000000-0005-0000-0000-0000A42F0000}"/>
    <cellStyle name="Normal 5 2 4 6" xfId="1324" xr:uid="{00000000-0005-0000-0000-0000A52F0000}"/>
    <cellStyle name="Normal 5 2 4 6 2" xfId="3791" xr:uid="{00000000-0005-0000-0000-0000A62F0000}"/>
    <cellStyle name="Normal 5 2 4 6 2 2" xfId="8723" xr:uid="{00000000-0005-0000-0000-0000A72F0000}"/>
    <cellStyle name="Normal 5 2 4 6 2 2 2" xfId="18583" xr:uid="{00000000-0005-0000-0000-0000A82F0000}"/>
    <cellStyle name="Normal 5 2 4 6 2 2 2 2" xfId="38298" xr:uid="{00000000-0005-0000-0000-0000A92F0000}"/>
    <cellStyle name="Normal 5 2 4 6 2 2 3" xfId="28441" xr:uid="{00000000-0005-0000-0000-0000AA2F0000}"/>
    <cellStyle name="Normal 5 2 4 6 2 3" xfId="13655" xr:uid="{00000000-0005-0000-0000-0000AB2F0000}"/>
    <cellStyle name="Normal 5 2 4 6 2 3 2" xfId="33370" xr:uid="{00000000-0005-0000-0000-0000AC2F0000}"/>
    <cellStyle name="Normal 5 2 4 6 2 4" xfId="23513" xr:uid="{00000000-0005-0000-0000-0000AD2F0000}"/>
    <cellStyle name="Normal 5 2 4 6 3" xfId="6259" xr:uid="{00000000-0005-0000-0000-0000AE2F0000}"/>
    <cellStyle name="Normal 5 2 4 6 3 2" xfId="16119" xr:uid="{00000000-0005-0000-0000-0000AF2F0000}"/>
    <cellStyle name="Normal 5 2 4 6 3 2 2" xfId="35834" xr:uid="{00000000-0005-0000-0000-0000B02F0000}"/>
    <cellStyle name="Normal 5 2 4 6 3 3" xfId="25977" xr:uid="{00000000-0005-0000-0000-0000B12F0000}"/>
    <cellStyle name="Normal 5 2 4 6 4" xfId="11191" xr:uid="{00000000-0005-0000-0000-0000B22F0000}"/>
    <cellStyle name="Normal 5 2 4 6 4 2" xfId="30906" xr:uid="{00000000-0005-0000-0000-0000B32F0000}"/>
    <cellStyle name="Normal 5 2 4 6 5" xfId="21049" xr:uid="{00000000-0005-0000-0000-0000B42F0000}"/>
    <cellStyle name="Normal 5 2 4 7" xfId="2559" xr:uid="{00000000-0005-0000-0000-0000B52F0000}"/>
    <cellStyle name="Normal 5 2 4 7 2" xfId="7491" xr:uid="{00000000-0005-0000-0000-0000B62F0000}"/>
    <cellStyle name="Normal 5 2 4 7 2 2" xfId="17351" xr:uid="{00000000-0005-0000-0000-0000B72F0000}"/>
    <cellStyle name="Normal 5 2 4 7 2 2 2" xfId="37066" xr:uid="{00000000-0005-0000-0000-0000B82F0000}"/>
    <cellStyle name="Normal 5 2 4 7 2 3" xfId="27209" xr:uid="{00000000-0005-0000-0000-0000B92F0000}"/>
    <cellStyle name="Normal 5 2 4 7 3" xfId="12423" xr:uid="{00000000-0005-0000-0000-0000BA2F0000}"/>
    <cellStyle name="Normal 5 2 4 7 3 2" xfId="32138" xr:uid="{00000000-0005-0000-0000-0000BB2F0000}"/>
    <cellStyle name="Normal 5 2 4 7 4" xfId="22281" xr:uid="{00000000-0005-0000-0000-0000BC2F0000}"/>
    <cellStyle name="Normal 5 2 4 8" xfId="5027" xr:uid="{00000000-0005-0000-0000-0000BD2F0000}"/>
    <cellStyle name="Normal 5 2 4 8 2" xfId="14887" xr:uid="{00000000-0005-0000-0000-0000BE2F0000}"/>
    <cellStyle name="Normal 5 2 4 8 2 2" xfId="34602" xr:uid="{00000000-0005-0000-0000-0000BF2F0000}"/>
    <cellStyle name="Normal 5 2 4 8 3" xfId="24745" xr:uid="{00000000-0005-0000-0000-0000C02F0000}"/>
    <cellStyle name="Normal 5 2 4 9" xfId="9959" xr:uid="{00000000-0005-0000-0000-0000C12F0000}"/>
    <cellStyle name="Normal 5 2 4 9 2" xfId="29674" xr:uid="{00000000-0005-0000-0000-0000C22F0000}"/>
    <cellStyle name="Normal 5 2 5" xfId="109" xr:uid="{00000000-0005-0000-0000-0000C32F0000}"/>
    <cellStyle name="Normal 5 2 5 2" xfId="267" xr:uid="{00000000-0005-0000-0000-0000C42F0000}"/>
    <cellStyle name="Normal 5 2 5 2 2" xfId="581" xr:uid="{00000000-0005-0000-0000-0000C52F0000}"/>
    <cellStyle name="Normal 5 2 5 2 2 2" xfId="1201" xr:uid="{00000000-0005-0000-0000-0000C62F0000}"/>
    <cellStyle name="Normal 5 2 5 2 2 2 2" xfId="2436" xr:uid="{00000000-0005-0000-0000-0000C72F0000}"/>
    <cellStyle name="Normal 5 2 5 2 2 2 2 2" xfId="4903" xr:uid="{00000000-0005-0000-0000-0000C82F0000}"/>
    <cellStyle name="Normal 5 2 5 2 2 2 2 2 2" xfId="9835" xr:uid="{00000000-0005-0000-0000-0000C92F0000}"/>
    <cellStyle name="Normal 5 2 5 2 2 2 2 2 2 2" xfId="19695" xr:uid="{00000000-0005-0000-0000-0000CA2F0000}"/>
    <cellStyle name="Normal 5 2 5 2 2 2 2 2 2 2 2" xfId="39410" xr:uid="{00000000-0005-0000-0000-0000CB2F0000}"/>
    <cellStyle name="Normal 5 2 5 2 2 2 2 2 2 3" xfId="29553" xr:uid="{00000000-0005-0000-0000-0000CC2F0000}"/>
    <cellStyle name="Normal 5 2 5 2 2 2 2 2 3" xfId="14767" xr:uid="{00000000-0005-0000-0000-0000CD2F0000}"/>
    <cellStyle name="Normal 5 2 5 2 2 2 2 2 3 2" xfId="34482" xr:uid="{00000000-0005-0000-0000-0000CE2F0000}"/>
    <cellStyle name="Normal 5 2 5 2 2 2 2 2 4" xfId="24625" xr:uid="{00000000-0005-0000-0000-0000CF2F0000}"/>
    <cellStyle name="Normal 5 2 5 2 2 2 2 3" xfId="7371" xr:uid="{00000000-0005-0000-0000-0000D02F0000}"/>
    <cellStyle name="Normal 5 2 5 2 2 2 2 3 2" xfId="17231" xr:uid="{00000000-0005-0000-0000-0000D12F0000}"/>
    <cellStyle name="Normal 5 2 5 2 2 2 2 3 2 2" xfId="36946" xr:uid="{00000000-0005-0000-0000-0000D22F0000}"/>
    <cellStyle name="Normal 5 2 5 2 2 2 2 3 3" xfId="27089" xr:uid="{00000000-0005-0000-0000-0000D32F0000}"/>
    <cellStyle name="Normal 5 2 5 2 2 2 2 4" xfId="12303" xr:uid="{00000000-0005-0000-0000-0000D42F0000}"/>
    <cellStyle name="Normal 5 2 5 2 2 2 2 4 2" xfId="32018" xr:uid="{00000000-0005-0000-0000-0000D52F0000}"/>
    <cellStyle name="Normal 5 2 5 2 2 2 2 5" xfId="22161" xr:uid="{00000000-0005-0000-0000-0000D62F0000}"/>
    <cellStyle name="Normal 5 2 5 2 2 2 3" xfId="3671" xr:uid="{00000000-0005-0000-0000-0000D72F0000}"/>
    <cellStyle name="Normal 5 2 5 2 2 2 3 2" xfId="8603" xr:uid="{00000000-0005-0000-0000-0000D82F0000}"/>
    <cellStyle name="Normal 5 2 5 2 2 2 3 2 2" xfId="18463" xr:uid="{00000000-0005-0000-0000-0000D92F0000}"/>
    <cellStyle name="Normal 5 2 5 2 2 2 3 2 2 2" xfId="38178" xr:uid="{00000000-0005-0000-0000-0000DA2F0000}"/>
    <cellStyle name="Normal 5 2 5 2 2 2 3 2 3" xfId="28321" xr:uid="{00000000-0005-0000-0000-0000DB2F0000}"/>
    <cellStyle name="Normal 5 2 5 2 2 2 3 3" xfId="13535" xr:uid="{00000000-0005-0000-0000-0000DC2F0000}"/>
    <cellStyle name="Normal 5 2 5 2 2 2 3 3 2" xfId="33250" xr:uid="{00000000-0005-0000-0000-0000DD2F0000}"/>
    <cellStyle name="Normal 5 2 5 2 2 2 3 4" xfId="23393" xr:uid="{00000000-0005-0000-0000-0000DE2F0000}"/>
    <cellStyle name="Normal 5 2 5 2 2 2 4" xfId="6139" xr:uid="{00000000-0005-0000-0000-0000DF2F0000}"/>
    <cellStyle name="Normal 5 2 5 2 2 2 4 2" xfId="15999" xr:uid="{00000000-0005-0000-0000-0000E02F0000}"/>
    <cellStyle name="Normal 5 2 5 2 2 2 4 2 2" xfId="35714" xr:uid="{00000000-0005-0000-0000-0000E12F0000}"/>
    <cellStyle name="Normal 5 2 5 2 2 2 4 3" xfId="25857" xr:uid="{00000000-0005-0000-0000-0000E22F0000}"/>
    <cellStyle name="Normal 5 2 5 2 2 2 5" xfId="11071" xr:uid="{00000000-0005-0000-0000-0000E32F0000}"/>
    <cellStyle name="Normal 5 2 5 2 2 2 5 2" xfId="30786" xr:uid="{00000000-0005-0000-0000-0000E42F0000}"/>
    <cellStyle name="Normal 5 2 5 2 2 2 6" xfId="20929" xr:uid="{00000000-0005-0000-0000-0000E52F0000}"/>
    <cellStyle name="Normal 5 2 5 2 2 3" xfId="1820" xr:uid="{00000000-0005-0000-0000-0000E62F0000}"/>
    <cellStyle name="Normal 5 2 5 2 2 3 2" xfId="4287" xr:uid="{00000000-0005-0000-0000-0000E72F0000}"/>
    <cellStyle name="Normal 5 2 5 2 2 3 2 2" xfId="9219" xr:uid="{00000000-0005-0000-0000-0000E82F0000}"/>
    <cellStyle name="Normal 5 2 5 2 2 3 2 2 2" xfId="19079" xr:uid="{00000000-0005-0000-0000-0000E92F0000}"/>
    <cellStyle name="Normal 5 2 5 2 2 3 2 2 2 2" xfId="38794" xr:uid="{00000000-0005-0000-0000-0000EA2F0000}"/>
    <cellStyle name="Normal 5 2 5 2 2 3 2 2 3" xfId="28937" xr:uid="{00000000-0005-0000-0000-0000EB2F0000}"/>
    <cellStyle name="Normal 5 2 5 2 2 3 2 3" xfId="14151" xr:uid="{00000000-0005-0000-0000-0000EC2F0000}"/>
    <cellStyle name="Normal 5 2 5 2 2 3 2 3 2" xfId="33866" xr:uid="{00000000-0005-0000-0000-0000ED2F0000}"/>
    <cellStyle name="Normal 5 2 5 2 2 3 2 4" xfId="24009" xr:uid="{00000000-0005-0000-0000-0000EE2F0000}"/>
    <cellStyle name="Normal 5 2 5 2 2 3 3" xfId="6755" xr:uid="{00000000-0005-0000-0000-0000EF2F0000}"/>
    <cellStyle name="Normal 5 2 5 2 2 3 3 2" xfId="16615" xr:uid="{00000000-0005-0000-0000-0000F02F0000}"/>
    <cellStyle name="Normal 5 2 5 2 2 3 3 2 2" xfId="36330" xr:uid="{00000000-0005-0000-0000-0000F12F0000}"/>
    <cellStyle name="Normal 5 2 5 2 2 3 3 3" xfId="26473" xr:uid="{00000000-0005-0000-0000-0000F22F0000}"/>
    <cellStyle name="Normal 5 2 5 2 2 3 4" xfId="11687" xr:uid="{00000000-0005-0000-0000-0000F32F0000}"/>
    <cellStyle name="Normal 5 2 5 2 2 3 4 2" xfId="31402" xr:uid="{00000000-0005-0000-0000-0000F42F0000}"/>
    <cellStyle name="Normal 5 2 5 2 2 3 5" xfId="21545" xr:uid="{00000000-0005-0000-0000-0000F52F0000}"/>
    <cellStyle name="Normal 5 2 5 2 2 4" xfId="3055" xr:uid="{00000000-0005-0000-0000-0000F62F0000}"/>
    <cellStyle name="Normal 5 2 5 2 2 4 2" xfId="7987" xr:uid="{00000000-0005-0000-0000-0000F72F0000}"/>
    <cellStyle name="Normal 5 2 5 2 2 4 2 2" xfId="17847" xr:uid="{00000000-0005-0000-0000-0000F82F0000}"/>
    <cellStyle name="Normal 5 2 5 2 2 4 2 2 2" xfId="37562" xr:uid="{00000000-0005-0000-0000-0000F92F0000}"/>
    <cellStyle name="Normal 5 2 5 2 2 4 2 3" xfId="27705" xr:uid="{00000000-0005-0000-0000-0000FA2F0000}"/>
    <cellStyle name="Normal 5 2 5 2 2 4 3" xfId="12919" xr:uid="{00000000-0005-0000-0000-0000FB2F0000}"/>
    <cellStyle name="Normal 5 2 5 2 2 4 3 2" xfId="32634" xr:uid="{00000000-0005-0000-0000-0000FC2F0000}"/>
    <cellStyle name="Normal 5 2 5 2 2 4 4" xfId="22777" xr:uid="{00000000-0005-0000-0000-0000FD2F0000}"/>
    <cellStyle name="Normal 5 2 5 2 2 5" xfId="5523" xr:uid="{00000000-0005-0000-0000-0000FE2F0000}"/>
    <cellStyle name="Normal 5 2 5 2 2 5 2" xfId="15383" xr:uid="{00000000-0005-0000-0000-0000FF2F0000}"/>
    <cellStyle name="Normal 5 2 5 2 2 5 2 2" xfId="35098" xr:uid="{00000000-0005-0000-0000-000000300000}"/>
    <cellStyle name="Normal 5 2 5 2 2 5 3" xfId="25241" xr:uid="{00000000-0005-0000-0000-000001300000}"/>
    <cellStyle name="Normal 5 2 5 2 2 6" xfId="10455" xr:uid="{00000000-0005-0000-0000-000002300000}"/>
    <cellStyle name="Normal 5 2 5 2 2 6 2" xfId="30170" xr:uid="{00000000-0005-0000-0000-000003300000}"/>
    <cellStyle name="Normal 5 2 5 2 2 7" xfId="20313" xr:uid="{00000000-0005-0000-0000-000004300000}"/>
    <cellStyle name="Normal 5 2 5 2 3" xfId="894" xr:uid="{00000000-0005-0000-0000-000005300000}"/>
    <cellStyle name="Normal 5 2 5 2 3 2" xfId="2130" xr:uid="{00000000-0005-0000-0000-000006300000}"/>
    <cellStyle name="Normal 5 2 5 2 3 2 2" xfId="4597" xr:uid="{00000000-0005-0000-0000-000007300000}"/>
    <cellStyle name="Normal 5 2 5 2 3 2 2 2" xfId="9529" xr:uid="{00000000-0005-0000-0000-000008300000}"/>
    <cellStyle name="Normal 5 2 5 2 3 2 2 2 2" xfId="19389" xr:uid="{00000000-0005-0000-0000-000009300000}"/>
    <cellStyle name="Normal 5 2 5 2 3 2 2 2 2 2" xfId="39104" xr:uid="{00000000-0005-0000-0000-00000A300000}"/>
    <cellStyle name="Normal 5 2 5 2 3 2 2 2 3" xfId="29247" xr:uid="{00000000-0005-0000-0000-00000B300000}"/>
    <cellStyle name="Normal 5 2 5 2 3 2 2 3" xfId="14461" xr:uid="{00000000-0005-0000-0000-00000C300000}"/>
    <cellStyle name="Normal 5 2 5 2 3 2 2 3 2" xfId="34176" xr:uid="{00000000-0005-0000-0000-00000D300000}"/>
    <cellStyle name="Normal 5 2 5 2 3 2 2 4" xfId="24319" xr:uid="{00000000-0005-0000-0000-00000E300000}"/>
    <cellStyle name="Normal 5 2 5 2 3 2 3" xfId="7065" xr:uid="{00000000-0005-0000-0000-00000F300000}"/>
    <cellStyle name="Normal 5 2 5 2 3 2 3 2" xfId="16925" xr:uid="{00000000-0005-0000-0000-000010300000}"/>
    <cellStyle name="Normal 5 2 5 2 3 2 3 2 2" xfId="36640" xr:uid="{00000000-0005-0000-0000-000011300000}"/>
    <cellStyle name="Normal 5 2 5 2 3 2 3 3" xfId="26783" xr:uid="{00000000-0005-0000-0000-000012300000}"/>
    <cellStyle name="Normal 5 2 5 2 3 2 4" xfId="11997" xr:uid="{00000000-0005-0000-0000-000013300000}"/>
    <cellStyle name="Normal 5 2 5 2 3 2 4 2" xfId="31712" xr:uid="{00000000-0005-0000-0000-000014300000}"/>
    <cellStyle name="Normal 5 2 5 2 3 2 5" xfId="21855" xr:uid="{00000000-0005-0000-0000-000015300000}"/>
    <cellStyle name="Normal 5 2 5 2 3 3" xfId="3365" xr:uid="{00000000-0005-0000-0000-000016300000}"/>
    <cellStyle name="Normal 5 2 5 2 3 3 2" xfId="8297" xr:uid="{00000000-0005-0000-0000-000017300000}"/>
    <cellStyle name="Normal 5 2 5 2 3 3 2 2" xfId="18157" xr:uid="{00000000-0005-0000-0000-000018300000}"/>
    <cellStyle name="Normal 5 2 5 2 3 3 2 2 2" xfId="37872" xr:uid="{00000000-0005-0000-0000-000019300000}"/>
    <cellStyle name="Normal 5 2 5 2 3 3 2 3" xfId="28015" xr:uid="{00000000-0005-0000-0000-00001A300000}"/>
    <cellStyle name="Normal 5 2 5 2 3 3 3" xfId="13229" xr:uid="{00000000-0005-0000-0000-00001B300000}"/>
    <cellStyle name="Normal 5 2 5 2 3 3 3 2" xfId="32944" xr:uid="{00000000-0005-0000-0000-00001C300000}"/>
    <cellStyle name="Normal 5 2 5 2 3 3 4" xfId="23087" xr:uid="{00000000-0005-0000-0000-00001D300000}"/>
    <cellStyle name="Normal 5 2 5 2 3 4" xfId="5833" xr:uid="{00000000-0005-0000-0000-00001E300000}"/>
    <cellStyle name="Normal 5 2 5 2 3 4 2" xfId="15693" xr:uid="{00000000-0005-0000-0000-00001F300000}"/>
    <cellStyle name="Normal 5 2 5 2 3 4 2 2" xfId="35408" xr:uid="{00000000-0005-0000-0000-000020300000}"/>
    <cellStyle name="Normal 5 2 5 2 3 4 3" xfId="25551" xr:uid="{00000000-0005-0000-0000-000021300000}"/>
    <cellStyle name="Normal 5 2 5 2 3 5" xfId="10765" xr:uid="{00000000-0005-0000-0000-000022300000}"/>
    <cellStyle name="Normal 5 2 5 2 3 5 2" xfId="30480" xr:uid="{00000000-0005-0000-0000-000023300000}"/>
    <cellStyle name="Normal 5 2 5 2 3 6" xfId="20623" xr:uid="{00000000-0005-0000-0000-000024300000}"/>
    <cellStyle name="Normal 5 2 5 2 4" xfId="1514" xr:uid="{00000000-0005-0000-0000-000025300000}"/>
    <cellStyle name="Normal 5 2 5 2 4 2" xfId="3981" xr:uid="{00000000-0005-0000-0000-000026300000}"/>
    <cellStyle name="Normal 5 2 5 2 4 2 2" xfId="8913" xr:uid="{00000000-0005-0000-0000-000027300000}"/>
    <cellStyle name="Normal 5 2 5 2 4 2 2 2" xfId="18773" xr:uid="{00000000-0005-0000-0000-000028300000}"/>
    <cellStyle name="Normal 5 2 5 2 4 2 2 2 2" xfId="38488" xr:uid="{00000000-0005-0000-0000-000029300000}"/>
    <cellStyle name="Normal 5 2 5 2 4 2 2 3" xfId="28631" xr:uid="{00000000-0005-0000-0000-00002A300000}"/>
    <cellStyle name="Normal 5 2 5 2 4 2 3" xfId="13845" xr:uid="{00000000-0005-0000-0000-00002B300000}"/>
    <cellStyle name="Normal 5 2 5 2 4 2 3 2" xfId="33560" xr:uid="{00000000-0005-0000-0000-00002C300000}"/>
    <cellStyle name="Normal 5 2 5 2 4 2 4" xfId="23703" xr:uid="{00000000-0005-0000-0000-00002D300000}"/>
    <cellStyle name="Normal 5 2 5 2 4 3" xfId="6449" xr:uid="{00000000-0005-0000-0000-00002E300000}"/>
    <cellStyle name="Normal 5 2 5 2 4 3 2" xfId="16309" xr:uid="{00000000-0005-0000-0000-00002F300000}"/>
    <cellStyle name="Normal 5 2 5 2 4 3 2 2" xfId="36024" xr:uid="{00000000-0005-0000-0000-000030300000}"/>
    <cellStyle name="Normal 5 2 5 2 4 3 3" xfId="26167" xr:uid="{00000000-0005-0000-0000-000031300000}"/>
    <cellStyle name="Normal 5 2 5 2 4 4" xfId="11381" xr:uid="{00000000-0005-0000-0000-000032300000}"/>
    <cellStyle name="Normal 5 2 5 2 4 4 2" xfId="31096" xr:uid="{00000000-0005-0000-0000-000033300000}"/>
    <cellStyle name="Normal 5 2 5 2 4 5" xfId="21239" xr:uid="{00000000-0005-0000-0000-000034300000}"/>
    <cellStyle name="Normal 5 2 5 2 5" xfId="2749" xr:uid="{00000000-0005-0000-0000-000035300000}"/>
    <cellStyle name="Normal 5 2 5 2 5 2" xfId="7681" xr:uid="{00000000-0005-0000-0000-000036300000}"/>
    <cellStyle name="Normal 5 2 5 2 5 2 2" xfId="17541" xr:uid="{00000000-0005-0000-0000-000037300000}"/>
    <cellStyle name="Normal 5 2 5 2 5 2 2 2" xfId="37256" xr:uid="{00000000-0005-0000-0000-000038300000}"/>
    <cellStyle name="Normal 5 2 5 2 5 2 3" xfId="27399" xr:uid="{00000000-0005-0000-0000-000039300000}"/>
    <cellStyle name="Normal 5 2 5 2 5 3" xfId="12613" xr:uid="{00000000-0005-0000-0000-00003A300000}"/>
    <cellStyle name="Normal 5 2 5 2 5 3 2" xfId="32328" xr:uid="{00000000-0005-0000-0000-00003B300000}"/>
    <cellStyle name="Normal 5 2 5 2 5 4" xfId="22471" xr:uid="{00000000-0005-0000-0000-00003C300000}"/>
    <cellStyle name="Normal 5 2 5 2 6" xfId="5217" xr:uid="{00000000-0005-0000-0000-00003D300000}"/>
    <cellStyle name="Normal 5 2 5 2 6 2" xfId="15077" xr:uid="{00000000-0005-0000-0000-00003E300000}"/>
    <cellStyle name="Normal 5 2 5 2 6 2 2" xfId="34792" xr:uid="{00000000-0005-0000-0000-00003F300000}"/>
    <cellStyle name="Normal 5 2 5 2 6 3" xfId="24935" xr:uid="{00000000-0005-0000-0000-000040300000}"/>
    <cellStyle name="Normal 5 2 5 2 7" xfId="10149" xr:uid="{00000000-0005-0000-0000-000041300000}"/>
    <cellStyle name="Normal 5 2 5 2 7 2" xfId="29864" xr:uid="{00000000-0005-0000-0000-000042300000}"/>
    <cellStyle name="Normal 5 2 5 2 8" xfId="20007" xr:uid="{00000000-0005-0000-0000-000043300000}"/>
    <cellStyle name="Normal 5 2 5 3" xfId="429" xr:uid="{00000000-0005-0000-0000-000044300000}"/>
    <cellStyle name="Normal 5 2 5 3 2" xfId="1049" xr:uid="{00000000-0005-0000-0000-000045300000}"/>
    <cellStyle name="Normal 5 2 5 3 2 2" xfId="2284" xr:uid="{00000000-0005-0000-0000-000046300000}"/>
    <cellStyle name="Normal 5 2 5 3 2 2 2" xfId="4751" xr:uid="{00000000-0005-0000-0000-000047300000}"/>
    <cellStyle name="Normal 5 2 5 3 2 2 2 2" xfId="9683" xr:uid="{00000000-0005-0000-0000-000048300000}"/>
    <cellStyle name="Normal 5 2 5 3 2 2 2 2 2" xfId="19543" xr:uid="{00000000-0005-0000-0000-000049300000}"/>
    <cellStyle name="Normal 5 2 5 3 2 2 2 2 2 2" xfId="39258" xr:uid="{00000000-0005-0000-0000-00004A300000}"/>
    <cellStyle name="Normal 5 2 5 3 2 2 2 2 3" xfId="29401" xr:uid="{00000000-0005-0000-0000-00004B300000}"/>
    <cellStyle name="Normal 5 2 5 3 2 2 2 3" xfId="14615" xr:uid="{00000000-0005-0000-0000-00004C300000}"/>
    <cellStyle name="Normal 5 2 5 3 2 2 2 3 2" xfId="34330" xr:uid="{00000000-0005-0000-0000-00004D300000}"/>
    <cellStyle name="Normal 5 2 5 3 2 2 2 4" xfId="24473" xr:uid="{00000000-0005-0000-0000-00004E300000}"/>
    <cellStyle name="Normal 5 2 5 3 2 2 3" xfId="7219" xr:uid="{00000000-0005-0000-0000-00004F300000}"/>
    <cellStyle name="Normal 5 2 5 3 2 2 3 2" xfId="17079" xr:uid="{00000000-0005-0000-0000-000050300000}"/>
    <cellStyle name="Normal 5 2 5 3 2 2 3 2 2" xfId="36794" xr:uid="{00000000-0005-0000-0000-000051300000}"/>
    <cellStyle name="Normal 5 2 5 3 2 2 3 3" xfId="26937" xr:uid="{00000000-0005-0000-0000-000052300000}"/>
    <cellStyle name="Normal 5 2 5 3 2 2 4" xfId="12151" xr:uid="{00000000-0005-0000-0000-000053300000}"/>
    <cellStyle name="Normal 5 2 5 3 2 2 4 2" xfId="31866" xr:uid="{00000000-0005-0000-0000-000054300000}"/>
    <cellStyle name="Normal 5 2 5 3 2 2 5" xfId="22009" xr:uid="{00000000-0005-0000-0000-000055300000}"/>
    <cellStyle name="Normal 5 2 5 3 2 3" xfId="3519" xr:uid="{00000000-0005-0000-0000-000056300000}"/>
    <cellStyle name="Normal 5 2 5 3 2 3 2" xfId="8451" xr:uid="{00000000-0005-0000-0000-000057300000}"/>
    <cellStyle name="Normal 5 2 5 3 2 3 2 2" xfId="18311" xr:uid="{00000000-0005-0000-0000-000058300000}"/>
    <cellStyle name="Normal 5 2 5 3 2 3 2 2 2" xfId="38026" xr:uid="{00000000-0005-0000-0000-000059300000}"/>
    <cellStyle name="Normal 5 2 5 3 2 3 2 3" xfId="28169" xr:uid="{00000000-0005-0000-0000-00005A300000}"/>
    <cellStyle name="Normal 5 2 5 3 2 3 3" xfId="13383" xr:uid="{00000000-0005-0000-0000-00005B300000}"/>
    <cellStyle name="Normal 5 2 5 3 2 3 3 2" xfId="33098" xr:uid="{00000000-0005-0000-0000-00005C300000}"/>
    <cellStyle name="Normal 5 2 5 3 2 3 4" xfId="23241" xr:uid="{00000000-0005-0000-0000-00005D300000}"/>
    <cellStyle name="Normal 5 2 5 3 2 4" xfId="5987" xr:uid="{00000000-0005-0000-0000-00005E300000}"/>
    <cellStyle name="Normal 5 2 5 3 2 4 2" xfId="15847" xr:uid="{00000000-0005-0000-0000-00005F300000}"/>
    <cellStyle name="Normal 5 2 5 3 2 4 2 2" xfId="35562" xr:uid="{00000000-0005-0000-0000-000060300000}"/>
    <cellStyle name="Normal 5 2 5 3 2 4 3" xfId="25705" xr:uid="{00000000-0005-0000-0000-000061300000}"/>
    <cellStyle name="Normal 5 2 5 3 2 5" xfId="10919" xr:uid="{00000000-0005-0000-0000-000062300000}"/>
    <cellStyle name="Normal 5 2 5 3 2 5 2" xfId="30634" xr:uid="{00000000-0005-0000-0000-000063300000}"/>
    <cellStyle name="Normal 5 2 5 3 2 6" xfId="20777" xr:uid="{00000000-0005-0000-0000-000064300000}"/>
    <cellStyle name="Normal 5 2 5 3 3" xfId="1668" xr:uid="{00000000-0005-0000-0000-000065300000}"/>
    <cellStyle name="Normal 5 2 5 3 3 2" xfId="4135" xr:uid="{00000000-0005-0000-0000-000066300000}"/>
    <cellStyle name="Normal 5 2 5 3 3 2 2" xfId="9067" xr:uid="{00000000-0005-0000-0000-000067300000}"/>
    <cellStyle name="Normal 5 2 5 3 3 2 2 2" xfId="18927" xr:uid="{00000000-0005-0000-0000-000068300000}"/>
    <cellStyle name="Normal 5 2 5 3 3 2 2 2 2" xfId="38642" xr:uid="{00000000-0005-0000-0000-000069300000}"/>
    <cellStyle name="Normal 5 2 5 3 3 2 2 3" xfId="28785" xr:uid="{00000000-0005-0000-0000-00006A300000}"/>
    <cellStyle name="Normal 5 2 5 3 3 2 3" xfId="13999" xr:uid="{00000000-0005-0000-0000-00006B300000}"/>
    <cellStyle name="Normal 5 2 5 3 3 2 3 2" xfId="33714" xr:uid="{00000000-0005-0000-0000-00006C300000}"/>
    <cellStyle name="Normal 5 2 5 3 3 2 4" xfId="23857" xr:uid="{00000000-0005-0000-0000-00006D300000}"/>
    <cellStyle name="Normal 5 2 5 3 3 3" xfId="6603" xr:uid="{00000000-0005-0000-0000-00006E300000}"/>
    <cellStyle name="Normal 5 2 5 3 3 3 2" xfId="16463" xr:uid="{00000000-0005-0000-0000-00006F300000}"/>
    <cellStyle name="Normal 5 2 5 3 3 3 2 2" xfId="36178" xr:uid="{00000000-0005-0000-0000-000070300000}"/>
    <cellStyle name="Normal 5 2 5 3 3 3 3" xfId="26321" xr:uid="{00000000-0005-0000-0000-000071300000}"/>
    <cellStyle name="Normal 5 2 5 3 3 4" xfId="11535" xr:uid="{00000000-0005-0000-0000-000072300000}"/>
    <cellStyle name="Normal 5 2 5 3 3 4 2" xfId="31250" xr:uid="{00000000-0005-0000-0000-000073300000}"/>
    <cellStyle name="Normal 5 2 5 3 3 5" xfId="21393" xr:uid="{00000000-0005-0000-0000-000074300000}"/>
    <cellStyle name="Normal 5 2 5 3 4" xfId="2903" xr:uid="{00000000-0005-0000-0000-000075300000}"/>
    <cellStyle name="Normal 5 2 5 3 4 2" xfId="7835" xr:uid="{00000000-0005-0000-0000-000076300000}"/>
    <cellStyle name="Normal 5 2 5 3 4 2 2" xfId="17695" xr:uid="{00000000-0005-0000-0000-000077300000}"/>
    <cellStyle name="Normal 5 2 5 3 4 2 2 2" xfId="37410" xr:uid="{00000000-0005-0000-0000-000078300000}"/>
    <cellStyle name="Normal 5 2 5 3 4 2 3" xfId="27553" xr:uid="{00000000-0005-0000-0000-000079300000}"/>
    <cellStyle name="Normal 5 2 5 3 4 3" xfId="12767" xr:uid="{00000000-0005-0000-0000-00007A300000}"/>
    <cellStyle name="Normal 5 2 5 3 4 3 2" xfId="32482" xr:uid="{00000000-0005-0000-0000-00007B300000}"/>
    <cellStyle name="Normal 5 2 5 3 4 4" xfId="22625" xr:uid="{00000000-0005-0000-0000-00007C300000}"/>
    <cellStyle name="Normal 5 2 5 3 5" xfId="5371" xr:uid="{00000000-0005-0000-0000-00007D300000}"/>
    <cellStyle name="Normal 5 2 5 3 5 2" xfId="15231" xr:uid="{00000000-0005-0000-0000-00007E300000}"/>
    <cellStyle name="Normal 5 2 5 3 5 2 2" xfId="34946" xr:uid="{00000000-0005-0000-0000-00007F300000}"/>
    <cellStyle name="Normal 5 2 5 3 5 3" xfId="25089" xr:uid="{00000000-0005-0000-0000-000080300000}"/>
    <cellStyle name="Normal 5 2 5 3 6" xfId="10303" xr:uid="{00000000-0005-0000-0000-000081300000}"/>
    <cellStyle name="Normal 5 2 5 3 6 2" xfId="30018" xr:uid="{00000000-0005-0000-0000-000082300000}"/>
    <cellStyle name="Normal 5 2 5 3 7" xfId="20161" xr:uid="{00000000-0005-0000-0000-000083300000}"/>
    <cellStyle name="Normal 5 2 5 4" xfId="742" xr:uid="{00000000-0005-0000-0000-000084300000}"/>
    <cellStyle name="Normal 5 2 5 4 2" xfId="1978" xr:uid="{00000000-0005-0000-0000-000085300000}"/>
    <cellStyle name="Normal 5 2 5 4 2 2" xfId="4445" xr:uid="{00000000-0005-0000-0000-000086300000}"/>
    <cellStyle name="Normal 5 2 5 4 2 2 2" xfId="9377" xr:uid="{00000000-0005-0000-0000-000087300000}"/>
    <cellStyle name="Normal 5 2 5 4 2 2 2 2" xfId="19237" xr:uid="{00000000-0005-0000-0000-000088300000}"/>
    <cellStyle name="Normal 5 2 5 4 2 2 2 2 2" xfId="38952" xr:uid="{00000000-0005-0000-0000-000089300000}"/>
    <cellStyle name="Normal 5 2 5 4 2 2 2 3" xfId="29095" xr:uid="{00000000-0005-0000-0000-00008A300000}"/>
    <cellStyle name="Normal 5 2 5 4 2 2 3" xfId="14309" xr:uid="{00000000-0005-0000-0000-00008B300000}"/>
    <cellStyle name="Normal 5 2 5 4 2 2 3 2" xfId="34024" xr:uid="{00000000-0005-0000-0000-00008C300000}"/>
    <cellStyle name="Normal 5 2 5 4 2 2 4" xfId="24167" xr:uid="{00000000-0005-0000-0000-00008D300000}"/>
    <cellStyle name="Normal 5 2 5 4 2 3" xfId="6913" xr:uid="{00000000-0005-0000-0000-00008E300000}"/>
    <cellStyle name="Normal 5 2 5 4 2 3 2" xfId="16773" xr:uid="{00000000-0005-0000-0000-00008F300000}"/>
    <cellStyle name="Normal 5 2 5 4 2 3 2 2" xfId="36488" xr:uid="{00000000-0005-0000-0000-000090300000}"/>
    <cellStyle name="Normal 5 2 5 4 2 3 3" xfId="26631" xr:uid="{00000000-0005-0000-0000-000091300000}"/>
    <cellStyle name="Normal 5 2 5 4 2 4" xfId="11845" xr:uid="{00000000-0005-0000-0000-000092300000}"/>
    <cellStyle name="Normal 5 2 5 4 2 4 2" xfId="31560" xr:uid="{00000000-0005-0000-0000-000093300000}"/>
    <cellStyle name="Normal 5 2 5 4 2 5" xfId="21703" xr:uid="{00000000-0005-0000-0000-000094300000}"/>
    <cellStyle name="Normal 5 2 5 4 3" xfId="3213" xr:uid="{00000000-0005-0000-0000-000095300000}"/>
    <cellStyle name="Normal 5 2 5 4 3 2" xfId="8145" xr:uid="{00000000-0005-0000-0000-000096300000}"/>
    <cellStyle name="Normal 5 2 5 4 3 2 2" xfId="18005" xr:uid="{00000000-0005-0000-0000-000097300000}"/>
    <cellStyle name="Normal 5 2 5 4 3 2 2 2" xfId="37720" xr:uid="{00000000-0005-0000-0000-000098300000}"/>
    <cellStyle name="Normal 5 2 5 4 3 2 3" xfId="27863" xr:uid="{00000000-0005-0000-0000-000099300000}"/>
    <cellStyle name="Normal 5 2 5 4 3 3" xfId="13077" xr:uid="{00000000-0005-0000-0000-00009A300000}"/>
    <cellStyle name="Normal 5 2 5 4 3 3 2" xfId="32792" xr:uid="{00000000-0005-0000-0000-00009B300000}"/>
    <cellStyle name="Normal 5 2 5 4 3 4" xfId="22935" xr:uid="{00000000-0005-0000-0000-00009C300000}"/>
    <cellStyle name="Normal 5 2 5 4 4" xfId="5681" xr:uid="{00000000-0005-0000-0000-00009D300000}"/>
    <cellStyle name="Normal 5 2 5 4 4 2" xfId="15541" xr:uid="{00000000-0005-0000-0000-00009E300000}"/>
    <cellStyle name="Normal 5 2 5 4 4 2 2" xfId="35256" xr:uid="{00000000-0005-0000-0000-00009F300000}"/>
    <cellStyle name="Normal 5 2 5 4 4 3" xfId="25399" xr:uid="{00000000-0005-0000-0000-0000A0300000}"/>
    <cellStyle name="Normal 5 2 5 4 5" xfId="10613" xr:uid="{00000000-0005-0000-0000-0000A1300000}"/>
    <cellStyle name="Normal 5 2 5 4 5 2" xfId="30328" xr:uid="{00000000-0005-0000-0000-0000A2300000}"/>
    <cellStyle name="Normal 5 2 5 4 6" xfId="20471" xr:uid="{00000000-0005-0000-0000-0000A3300000}"/>
    <cellStyle name="Normal 5 2 5 5" xfId="1362" xr:uid="{00000000-0005-0000-0000-0000A4300000}"/>
    <cellStyle name="Normal 5 2 5 5 2" xfId="3829" xr:uid="{00000000-0005-0000-0000-0000A5300000}"/>
    <cellStyle name="Normal 5 2 5 5 2 2" xfId="8761" xr:uid="{00000000-0005-0000-0000-0000A6300000}"/>
    <cellStyle name="Normal 5 2 5 5 2 2 2" xfId="18621" xr:uid="{00000000-0005-0000-0000-0000A7300000}"/>
    <cellStyle name="Normal 5 2 5 5 2 2 2 2" xfId="38336" xr:uid="{00000000-0005-0000-0000-0000A8300000}"/>
    <cellStyle name="Normal 5 2 5 5 2 2 3" xfId="28479" xr:uid="{00000000-0005-0000-0000-0000A9300000}"/>
    <cellStyle name="Normal 5 2 5 5 2 3" xfId="13693" xr:uid="{00000000-0005-0000-0000-0000AA300000}"/>
    <cellStyle name="Normal 5 2 5 5 2 3 2" xfId="33408" xr:uid="{00000000-0005-0000-0000-0000AB300000}"/>
    <cellStyle name="Normal 5 2 5 5 2 4" xfId="23551" xr:uid="{00000000-0005-0000-0000-0000AC300000}"/>
    <cellStyle name="Normal 5 2 5 5 3" xfId="6297" xr:uid="{00000000-0005-0000-0000-0000AD300000}"/>
    <cellStyle name="Normal 5 2 5 5 3 2" xfId="16157" xr:uid="{00000000-0005-0000-0000-0000AE300000}"/>
    <cellStyle name="Normal 5 2 5 5 3 2 2" xfId="35872" xr:uid="{00000000-0005-0000-0000-0000AF300000}"/>
    <cellStyle name="Normal 5 2 5 5 3 3" xfId="26015" xr:uid="{00000000-0005-0000-0000-0000B0300000}"/>
    <cellStyle name="Normal 5 2 5 5 4" xfId="11229" xr:uid="{00000000-0005-0000-0000-0000B1300000}"/>
    <cellStyle name="Normal 5 2 5 5 4 2" xfId="30944" xr:uid="{00000000-0005-0000-0000-0000B2300000}"/>
    <cellStyle name="Normal 5 2 5 5 5" xfId="21087" xr:uid="{00000000-0005-0000-0000-0000B3300000}"/>
    <cellStyle name="Normal 5 2 5 6" xfId="2597" xr:uid="{00000000-0005-0000-0000-0000B4300000}"/>
    <cellStyle name="Normal 5 2 5 6 2" xfId="7529" xr:uid="{00000000-0005-0000-0000-0000B5300000}"/>
    <cellStyle name="Normal 5 2 5 6 2 2" xfId="17389" xr:uid="{00000000-0005-0000-0000-0000B6300000}"/>
    <cellStyle name="Normal 5 2 5 6 2 2 2" xfId="37104" xr:uid="{00000000-0005-0000-0000-0000B7300000}"/>
    <cellStyle name="Normal 5 2 5 6 2 3" xfId="27247" xr:uid="{00000000-0005-0000-0000-0000B8300000}"/>
    <cellStyle name="Normal 5 2 5 6 3" xfId="12461" xr:uid="{00000000-0005-0000-0000-0000B9300000}"/>
    <cellStyle name="Normal 5 2 5 6 3 2" xfId="32176" xr:uid="{00000000-0005-0000-0000-0000BA300000}"/>
    <cellStyle name="Normal 5 2 5 6 4" xfId="22319" xr:uid="{00000000-0005-0000-0000-0000BB300000}"/>
    <cellStyle name="Normal 5 2 5 7" xfId="5065" xr:uid="{00000000-0005-0000-0000-0000BC300000}"/>
    <cellStyle name="Normal 5 2 5 7 2" xfId="14925" xr:uid="{00000000-0005-0000-0000-0000BD300000}"/>
    <cellStyle name="Normal 5 2 5 7 2 2" xfId="34640" xr:uid="{00000000-0005-0000-0000-0000BE300000}"/>
    <cellStyle name="Normal 5 2 5 7 3" xfId="24783" xr:uid="{00000000-0005-0000-0000-0000BF300000}"/>
    <cellStyle name="Normal 5 2 5 8" xfId="9997" xr:uid="{00000000-0005-0000-0000-0000C0300000}"/>
    <cellStyle name="Normal 5 2 5 8 2" xfId="29712" xr:uid="{00000000-0005-0000-0000-0000C1300000}"/>
    <cellStyle name="Normal 5 2 5 9" xfId="19855" xr:uid="{00000000-0005-0000-0000-0000C2300000}"/>
    <cellStyle name="Normal 5 2 6" xfId="190" xr:uid="{00000000-0005-0000-0000-0000C3300000}"/>
    <cellStyle name="Normal 5 2 6 2" xfId="505" xr:uid="{00000000-0005-0000-0000-0000C4300000}"/>
    <cellStyle name="Normal 5 2 6 2 2" xfId="1125" xr:uid="{00000000-0005-0000-0000-0000C5300000}"/>
    <cellStyle name="Normal 5 2 6 2 2 2" xfId="2360" xr:uid="{00000000-0005-0000-0000-0000C6300000}"/>
    <cellStyle name="Normal 5 2 6 2 2 2 2" xfId="4827" xr:uid="{00000000-0005-0000-0000-0000C7300000}"/>
    <cellStyle name="Normal 5 2 6 2 2 2 2 2" xfId="9759" xr:uid="{00000000-0005-0000-0000-0000C8300000}"/>
    <cellStyle name="Normal 5 2 6 2 2 2 2 2 2" xfId="19619" xr:uid="{00000000-0005-0000-0000-0000C9300000}"/>
    <cellStyle name="Normal 5 2 6 2 2 2 2 2 2 2" xfId="39334" xr:uid="{00000000-0005-0000-0000-0000CA300000}"/>
    <cellStyle name="Normal 5 2 6 2 2 2 2 2 3" xfId="29477" xr:uid="{00000000-0005-0000-0000-0000CB300000}"/>
    <cellStyle name="Normal 5 2 6 2 2 2 2 3" xfId="14691" xr:uid="{00000000-0005-0000-0000-0000CC300000}"/>
    <cellStyle name="Normal 5 2 6 2 2 2 2 3 2" xfId="34406" xr:uid="{00000000-0005-0000-0000-0000CD300000}"/>
    <cellStyle name="Normal 5 2 6 2 2 2 2 4" xfId="24549" xr:uid="{00000000-0005-0000-0000-0000CE300000}"/>
    <cellStyle name="Normal 5 2 6 2 2 2 3" xfId="7295" xr:uid="{00000000-0005-0000-0000-0000CF300000}"/>
    <cellStyle name="Normal 5 2 6 2 2 2 3 2" xfId="17155" xr:uid="{00000000-0005-0000-0000-0000D0300000}"/>
    <cellStyle name="Normal 5 2 6 2 2 2 3 2 2" xfId="36870" xr:uid="{00000000-0005-0000-0000-0000D1300000}"/>
    <cellStyle name="Normal 5 2 6 2 2 2 3 3" xfId="27013" xr:uid="{00000000-0005-0000-0000-0000D2300000}"/>
    <cellStyle name="Normal 5 2 6 2 2 2 4" xfId="12227" xr:uid="{00000000-0005-0000-0000-0000D3300000}"/>
    <cellStyle name="Normal 5 2 6 2 2 2 4 2" xfId="31942" xr:uid="{00000000-0005-0000-0000-0000D4300000}"/>
    <cellStyle name="Normal 5 2 6 2 2 2 5" xfId="22085" xr:uid="{00000000-0005-0000-0000-0000D5300000}"/>
    <cellStyle name="Normal 5 2 6 2 2 3" xfId="3595" xr:uid="{00000000-0005-0000-0000-0000D6300000}"/>
    <cellStyle name="Normal 5 2 6 2 2 3 2" xfId="8527" xr:uid="{00000000-0005-0000-0000-0000D7300000}"/>
    <cellStyle name="Normal 5 2 6 2 2 3 2 2" xfId="18387" xr:uid="{00000000-0005-0000-0000-0000D8300000}"/>
    <cellStyle name="Normal 5 2 6 2 2 3 2 2 2" xfId="38102" xr:uid="{00000000-0005-0000-0000-0000D9300000}"/>
    <cellStyle name="Normal 5 2 6 2 2 3 2 3" xfId="28245" xr:uid="{00000000-0005-0000-0000-0000DA300000}"/>
    <cellStyle name="Normal 5 2 6 2 2 3 3" xfId="13459" xr:uid="{00000000-0005-0000-0000-0000DB300000}"/>
    <cellStyle name="Normal 5 2 6 2 2 3 3 2" xfId="33174" xr:uid="{00000000-0005-0000-0000-0000DC300000}"/>
    <cellStyle name="Normal 5 2 6 2 2 3 4" xfId="23317" xr:uid="{00000000-0005-0000-0000-0000DD300000}"/>
    <cellStyle name="Normal 5 2 6 2 2 4" xfId="6063" xr:uid="{00000000-0005-0000-0000-0000DE300000}"/>
    <cellStyle name="Normal 5 2 6 2 2 4 2" xfId="15923" xr:uid="{00000000-0005-0000-0000-0000DF300000}"/>
    <cellStyle name="Normal 5 2 6 2 2 4 2 2" xfId="35638" xr:uid="{00000000-0005-0000-0000-0000E0300000}"/>
    <cellStyle name="Normal 5 2 6 2 2 4 3" xfId="25781" xr:uid="{00000000-0005-0000-0000-0000E1300000}"/>
    <cellStyle name="Normal 5 2 6 2 2 5" xfId="10995" xr:uid="{00000000-0005-0000-0000-0000E2300000}"/>
    <cellStyle name="Normal 5 2 6 2 2 5 2" xfId="30710" xr:uid="{00000000-0005-0000-0000-0000E3300000}"/>
    <cellStyle name="Normal 5 2 6 2 2 6" xfId="20853" xr:uid="{00000000-0005-0000-0000-0000E4300000}"/>
    <cellStyle name="Normal 5 2 6 2 3" xfId="1744" xr:uid="{00000000-0005-0000-0000-0000E5300000}"/>
    <cellStyle name="Normal 5 2 6 2 3 2" xfId="4211" xr:uid="{00000000-0005-0000-0000-0000E6300000}"/>
    <cellStyle name="Normal 5 2 6 2 3 2 2" xfId="9143" xr:uid="{00000000-0005-0000-0000-0000E7300000}"/>
    <cellStyle name="Normal 5 2 6 2 3 2 2 2" xfId="19003" xr:uid="{00000000-0005-0000-0000-0000E8300000}"/>
    <cellStyle name="Normal 5 2 6 2 3 2 2 2 2" xfId="38718" xr:uid="{00000000-0005-0000-0000-0000E9300000}"/>
    <cellStyle name="Normal 5 2 6 2 3 2 2 3" xfId="28861" xr:uid="{00000000-0005-0000-0000-0000EA300000}"/>
    <cellStyle name="Normal 5 2 6 2 3 2 3" xfId="14075" xr:uid="{00000000-0005-0000-0000-0000EB300000}"/>
    <cellStyle name="Normal 5 2 6 2 3 2 3 2" xfId="33790" xr:uid="{00000000-0005-0000-0000-0000EC300000}"/>
    <cellStyle name="Normal 5 2 6 2 3 2 4" xfId="23933" xr:uid="{00000000-0005-0000-0000-0000ED300000}"/>
    <cellStyle name="Normal 5 2 6 2 3 3" xfId="6679" xr:uid="{00000000-0005-0000-0000-0000EE300000}"/>
    <cellStyle name="Normal 5 2 6 2 3 3 2" xfId="16539" xr:uid="{00000000-0005-0000-0000-0000EF300000}"/>
    <cellStyle name="Normal 5 2 6 2 3 3 2 2" xfId="36254" xr:uid="{00000000-0005-0000-0000-0000F0300000}"/>
    <cellStyle name="Normal 5 2 6 2 3 3 3" xfId="26397" xr:uid="{00000000-0005-0000-0000-0000F1300000}"/>
    <cellStyle name="Normal 5 2 6 2 3 4" xfId="11611" xr:uid="{00000000-0005-0000-0000-0000F2300000}"/>
    <cellStyle name="Normal 5 2 6 2 3 4 2" xfId="31326" xr:uid="{00000000-0005-0000-0000-0000F3300000}"/>
    <cellStyle name="Normal 5 2 6 2 3 5" xfId="21469" xr:uid="{00000000-0005-0000-0000-0000F4300000}"/>
    <cellStyle name="Normal 5 2 6 2 4" xfId="2979" xr:uid="{00000000-0005-0000-0000-0000F5300000}"/>
    <cellStyle name="Normal 5 2 6 2 4 2" xfId="7911" xr:uid="{00000000-0005-0000-0000-0000F6300000}"/>
    <cellStyle name="Normal 5 2 6 2 4 2 2" xfId="17771" xr:uid="{00000000-0005-0000-0000-0000F7300000}"/>
    <cellStyle name="Normal 5 2 6 2 4 2 2 2" xfId="37486" xr:uid="{00000000-0005-0000-0000-0000F8300000}"/>
    <cellStyle name="Normal 5 2 6 2 4 2 3" xfId="27629" xr:uid="{00000000-0005-0000-0000-0000F9300000}"/>
    <cellStyle name="Normal 5 2 6 2 4 3" xfId="12843" xr:uid="{00000000-0005-0000-0000-0000FA300000}"/>
    <cellStyle name="Normal 5 2 6 2 4 3 2" xfId="32558" xr:uid="{00000000-0005-0000-0000-0000FB300000}"/>
    <cellStyle name="Normal 5 2 6 2 4 4" xfId="22701" xr:uid="{00000000-0005-0000-0000-0000FC300000}"/>
    <cellStyle name="Normal 5 2 6 2 5" xfId="5447" xr:uid="{00000000-0005-0000-0000-0000FD300000}"/>
    <cellStyle name="Normal 5 2 6 2 5 2" xfId="15307" xr:uid="{00000000-0005-0000-0000-0000FE300000}"/>
    <cellStyle name="Normal 5 2 6 2 5 2 2" xfId="35022" xr:uid="{00000000-0005-0000-0000-0000FF300000}"/>
    <cellStyle name="Normal 5 2 6 2 5 3" xfId="25165" xr:uid="{00000000-0005-0000-0000-000000310000}"/>
    <cellStyle name="Normal 5 2 6 2 6" xfId="10379" xr:uid="{00000000-0005-0000-0000-000001310000}"/>
    <cellStyle name="Normal 5 2 6 2 6 2" xfId="30094" xr:uid="{00000000-0005-0000-0000-000002310000}"/>
    <cellStyle name="Normal 5 2 6 2 7" xfId="20237" xr:uid="{00000000-0005-0000-0000-000003310000}"/>
    <cellStyle name="Normal 5 2 6 3" xfId="818" xr:uid="{00000000-0005-0000-0000-000004310000}"/>
    <cellStyle name="Normal 5 2 6 3 2" xfId="2054" xr:uid="{00000000-0005-0000-0000-000005310000}"/>
    <cellStyle name="Normal 5 2 6 3 2 2" xfId="4521" xr:uid="{00000000-0005-0000-0000-000006310000}"/>
    <cellStyle name="Normal 5 2 6 3 2 2 2" xfId="9453" xr:uid="{00000000-0005-0000-0000-000007310000}"/>
    <cellStyle name="Normal 5 2 6 3 2 2 2 2" xfId="19313" xr:uid="{00000000-0005-0000-0000-000008310000}"/>
    <cellStyle name="Normal 5 2 6 3 2 2 2 2 2" xfId="39028" xr:uid="{00000000-0005-0000-0000-000009310000}"/>
    <cellStyle name="Normal 5 2 6 3 2 2 2 3" xfId="29171" xr:uid="{00000000-0005-0000-0000-00000A310000}"/>
    <cellStyle name="Normal 5 2 6 3 2 2 3" xfId="14385" xr:uid="{00000000-0005-0000-0000-00000B310000}"/>
    <cellStyle name="Normal 5 2 6 3 2 2 3 2" xfId="34100" xr:uid="{00000000-0005-0000-0000-00000C310000}"/>
    <cellStyle name="Normal 5 2 6 3 2 2 4" xfId="24243" xr:uid="{00000000-0005-0000-0000-00000D310000}"/>
    <cellStyle name="Normal 5 2 6 3 2 3" xfId="6989" xr:uid="{00000000-0005-0000-0000-00000E310000}"/>
    <cellStyle name="Normal 5 2 6 3 2 3 2" xfId="16849" xr:uid="{00000000-0005-0000-0000-00000F310000}"/>
    <cellStyle name="Normal 5 2 6 3 2 3 2 2" xfId="36564" xr:uid="{00000000-0005-0000-0000-000010310000}"/>
    <cellStyle name="Normal 5 2 6 3 2 3 3" xfId="26707" xr:uid="{00000000-0005-0000-0000-000011310000}"/>
    <cellStyle name="Normal 5 2 6 3 2 4" xfId="11921" xr:uid="{00000000-0005-0000-0000-000012310000}"/>
    <cellStyle name="Normal 5 2 6 3 2 4 2" xfId="31636" xr:uid="{00000000-0005-0000-0000-000013310000}"/>
    <cellStyle name="Normal 5 2 6 3 2 5" xfId="21779" xr:uid="{00000000-0005-0000-0000-000014310000}"/>
    <cellStyle name="Normal 5 2 6 3 3" xfId="3289" xr:uid="{00000000-0005-0000-0000-000015310000}"/>
    <cellStyle name="Normal 5 2 6 3 3 2" xfId="8221" xr:uid="{00000000-0005-0000-0000-000016310000}"/>
    <cellStyle name="Normal 5 2 6 3 3 2 2" xfId="18081" xr:uid="{00000000-0005-0000-0000-000017310000}"/>
    <cellStyle name="Normal 5 2 6 3 3 2 2 2" xfId="37796" xr:uid="{00000000-0005-0000-0000-000018310000}"/>
    <cellStyle name="Normal 5 2 6 3 3 2 3" xfId="27939" xr:uid="{00000000-0005-0000-0000-000019310000}"/>
    <cellStyle name="Normal 5 2 6 3 3 3" xfId="13153" xr:uid="{00000000-0005-0000-0000-00001A310000}"/>
    <cellStyle name="Normal 5 2 6 3 3 3 2" xfId="32868" xr:uid="{00000000-0005-0000-0000-00001B310000}"/>
    <cellStyle name="Normal 5 2 6 3 3 4" xfId="23011" xr:uid="{00000000-0005-0000-0000-00001C310000}"/>
    <cellStyle name="Normal 5 2 6 3 4" xfId="5757" xr:uid="{00000000-0005-0000-0000-00001D310000}"/>
    <cellStyle name="Normal 5 2 6 3 4 2" xfId="15617" xr:uid="{00000000-0005-0000-0000-00001E310000}"/>
    <cellStyle name="Normal 5 2 6 3 4 2 2" xfId="35332" xr:uid="{00000000-0005-0000-0000-00001F310000}"/>
    <cellStyle name="Normal 5 2 6 3 4 3" xfId="25475" xr:uid="{00000000-0005-0000-0000-000020310000}"/>
    <cellStyle name="Normal 5 2 6 3 5" xfId="10689" xr:uid="{00000000-0005-0000-0000-000021310000}"/>
    <cellStyle name="Normal 5 2 6 3 5 2" xfId="30404" xr:uid="{00000000-0005-0000-0000-000022310000}"/>
    <cellStyle name="Normal 5 2 6 3 6" xfId="20547" xr:uid="{00000000-0005-0000-0000-000023310000}"/>
    <cellStyle name="Normal 5 2 6 4" xfId="1438" xr:uid="{00000000-0005-0000-0000-000024310000}"/>
    <cellStyle name="Normal 5 2 6 4 2" xfId="3905" xr:uid="{00000000-0005-0000-0000-000025310000}"/>
    <cellStyle name="Normal 5 2 6 4 2 2" xfId="8837" xr:uid="{00000000-0005-0000-0000-000026310000}"/>
    <cellStyle name="Normal 5 2 6 4 2 2 2" xfId="18697" xr:uid="{00000000-0005-0000-0000-000027310000}"/>
    <cellStyle name="Normal 5 2 6 4 2 2 2 2" xfId="38412" xr:uid="{00000000-0005-0000-0000-000028310000}"/>
    <cellStyle name="Normal 5 2 6 4 2 2 3" xfId="28555" xr:uid="{00000000-0005-0000-0000-000029310000}"/>
    <cellStyle name="Normal 5 2 6 4 2 3" xfId="13769" xr:uid="{00000000-0005-0000-0000-00002A310000}"/>
    <cellStyle name="Normal 5 2 6 4 2 3 2" xfId="33484" xr:uid="{00000000-0005-0000-0000-00002B310000}"/>
    <cellStyle name="Normal 5 2 6 4 2 4" xfId="23627" xr:uid="{00000000-0005-0000-0000-00002C310000}"/>
    <cellStyle name="Normal 5 2 6 4 3" xfId="6373" xr:uid="{00000000-0005-0000-0000-00002D310000}"/>
    <cellStyle name="Normal 5 2 6 4 3 2" xfId="16233" xr:uid="{00000000-0005-0000-0000-00002E310000}"/>
    <cellStyle name="Normal 5 2 6 4 3 2 2" xfId="35948" xr:uid="{00000000-0005-0000-0000-00002F310000}"/>
    <cellStyle name="Normal 5 2 6 4 3 3" xfId="26091" xr:uid="{00000000-0005-0000-0000-000030310000}"/>
    <cellStyle name="Normal 5 2 6 4 4" xfId="11305" xr:uid="{00000000-0005-0000-0000-000031310000}"/>
    <cellStyle name="Normal 5 2 6 4 4 2" xfId="31020" xr:uid="{00000000-0005-0000-0000-000032310000}"/>
    <cellStyle name="Normal 5 2 6 4 5" xfId="21163" xr:uid="{00000000-0005-0000-0000-000033310000}"/>
    <cellStyle name="Normal 5 2 6 5" xfId="2673" xr:uid="{00000000-0005-0000-0000-000034310000}"/>
    <cellStyle name="Normal 5 2 6 5 2" xfId="7605" xr:uid="{00000000-0005-0000-0000-000035310000}"/>
    <cellStyle name="Normal 5 2 6 5 2 2" xfId="17465" xr:uid="{00000000-0005-0000-0000-000036310000}"/>
    <cellStyle name="Normal 5 2 6 5 2 2 2" xfId="37180" xr:uid="{00000000-0005-0000-0000-000037310000}"/>
    <cellStyle name="Normal 5 2 6 5 2 3" xfId="27323" xr:uid="{00000000-0005-0000-0000-000038310000}"/>
    <cellStyle name="Normal 5 2 6 5 3" xfId="12537" xr:uid="{00000000-0005-0000-0000-000039310000}"/>
    <cellStyle name="Normal 5 2 6 5 3 2" xfId="32252" xr:uid="{00000000-0005-0000-0000-00003A310000}"/>
    <cellStyle name="Normal 5 2 6 5 4" xfId="22395" xr:uid="{00000000-0005-0000-0000-00003B310000}"/>
    <cellStyle name="Normal 5 2 6 6" xfId="5141" xr:uid="{00000000-0005-0000-0000-00003C310000}"/>
    <cellStyle name="Normal 5 2 6 6 2" xfId="15001" xr:uid="{00000000-0005-0000-0000-00003D310000}"/>
    <cellStyle name="Normal 5 2 6 6 2 2" xfId="34716" xr:uid="{00000000-0005-0000-0000-00003E310000}"/>
    <cellStyle name="Normal 5 2 6 6 3" xfId="24859" xr:uid="{00000000-0005-0000-0000-00003F310000}"/>
    <cellStyle name="Normal 5 2 6 7" xfId="10073" xr:uid="{00000000-0005-0000-0000-000040310000}"/>
    <cellStyle name="Normal 5 2 6 7 2" xfId="29788" xr:uid="{00000000-0005-0000-0000-000041310000}"/>
    <cellStyle name="Normal 5 2 6 8" xfId="19931" xr:uid="{00000000-0005-0000-0000-000042310000}"/>
    <cellStyle name="Normal 5 2 7" xfId="352" xr:uid="{00000000-0005-0000-0000-000043310000}"/>
    <cellStyle name="Normal 5 2 7 2" xfId="973" xr:uid="{00000000-0005-0000-0000-000044310000}"/>
    <cellStyle name="Normal 5 2 7 2 2" xfId="2208" xr:uid="{00000000-0005-0000-0000-000045310000}"/>
    <cellStyle name="Normal 5 2 7 2 2 2" xfId="4675" xr:uid="{00000000-0005-0000-0000-000046310000}"/>
    <cellStyle name="Normal 5 2 7 2 2 2 2" xfId="9607" xr:uid="{00000000-0005-0000-0000-000047310000}"/>
    <cellStyle name="Normal 5 2 7 2 2 2 2 2" xfId="19467" xr:uid="{00000000-0005-0000-0000-000048310000}"/>
    <cellStyle name="Normal 5 2 7 2 2 2 2 2 2" xfId="39182" xr:uid="{00000000-0005-0000-0000-000049310000}"/>
    <cellStyle name="Normal 5 2 7 2 2 2 2 3" xfId="29325" xr:uid="{00000000-0005-0000-0000-00004A310000}"/>
    <cellStyle name="Normal 5 2 7 2 2 2 3" xfId="14539" xr:uid="{00000000-0005-0000-0000-00004B310000}"/>
    <cellStyle name="Normal 5 2 7 2 2 2 3 2" xfId="34254" xr:uid="{00000000-0005-0000-0000-00004C310000}"/>
    <cellStyle name="Normal 5 2 7 2 2 2 4" xfId="24397" xr:uid="{00000000-0005-0000-0000-00004D310000}"/>
    <cellStyle name="Normal 5 2 7 2 2 3" xfId="7143" xr:uid="{00000000-0005-0000-0000-00004E310000}"/>
    <cellStyle name="Normal 5 2 7 2 2 3 2" xfId="17003" xr:uid="{00000000-0005-0000-0000-00004F310000}"/>
    <cellStyle name="Normal 5 2 7 2 2 3 2 2" xfId="36718" xr:uid="{00000000-0005-0000-0000-000050310000}"/>
    <cellStyle name="Normal 5 2 7 2 2 3 3" xfId="26861" xr:uid="{00000000-0005-0000-0000-000051310000}"/>
    <cellStyle name="Normal 5 2 7 2 2 4" xfId="12075" xr:uid="{00000000-0005-0000-0000-000052310000}"/>
    <cellStyle name="Normal 5 2 7 2 2 4 2" xfId="31790" xr:uid="{00000000-0005-0000-0000-000053310000}"/>
    <cellStyle name="Normal 5 2 7 2 2 5" xfId="21933" xr:uid="{00000000-0005-0000-0000-000054310000}"/>
    <cellStyle name="Normal 5 2 7 2 3" xfId="3443" xr:uid="{00000000-0005-0000-0000-000055310000}"/>
    <cellStyle name="Normal 5 2 7 2 3 2" xfId="8375" xr:uid="{00000000-0005-0000-0000-000056310000}"/>
    <cellStyle name="Normal 5 2 7 2 3 2 2" xfId="18235" xr:uid="{00000000-0005-0000-0000-000057310000}"/>
    <cellStyle name="Normal 5 2 7 2 3 2 2 2" xfId="37950" xr:uid="{00000000-0005-0000-0000-000058310000}"/>
    <cellStyle name="Normal 5 2 7 2 3 2 3" xfId="28093" xr:uid="{00000000-0005-0000-0000-000059310000}"/>
    <cellStyle name="Normal 5 2 7 2 3 3" xfId="13307" xr:uid="{00000000-0005-0000-0000-00005A310000}"/>
    <cellStyle name="Normal 5 2 7 2 3 3 2" xfId="33022" xr:uid="{00000000-0005-0000-0000-00005B310000}"/>
    <cellStyle name="Normal 5 2 7 2 3 4" xfId="23165" xr:uid="{00000000-0005-0000-0000-00005C310000}"/>
    <cellStyle name="Normal 5 2 7 2 4" xfId="5911" xr:uid="{00000000-0005-0000-0000-00005D310000}"/>
    <cellStyle name="Normal 5 2 7 2 4 2" xfId="15771" xr:uid="{00000000-0005-0000-0000-00005E310000}"/>
    <cellStyle name="Normal 5 2 7 2 4 2 2" xfId="35486" xr:uid="{00000000-0005-0000-0000-00005F310000}"/>
    <cellStyle name="Normal 5 2 7 2 4 3" xfId="25629" xr:uid="{00000000-0005-0000-0000-000060310000}"/>
    <cellStyle name="Normal 5 2 7 2 5" xfId="10843" xr:uid="{00000000-0005-0000-0000-000061310000}"/>
    <cellStyle name="Normal 5 2 7 2 5 2" xfId="30558" xr:uid="{00000000-0005-0000-0000-000062310000}"/>
    <cellStyle name="Normal 5 2 7 2 6" xfId="20701" xr:uid="{00000000-0005-0000-0000-000063310000}"/>
    <cellStyle name="Normal 5 2 7 3" xfId="1592" xr:uid="{00000000-0005-0000-0000-000064310000}"/>
    <cellStyle name="Normal 5 2 7 3 2" xfId="4059" xr:uid="{00000000-0005-0000-0000-000065310000}"/>
    <cellStyle name="Normal 5 2 7 3 2 2" xfId="8991" xr:uid="{00000000-0005-0000-0000-000066310000}"/>
    <cellStyle name="Normal 5 2 7 3 2 2 2" xfId="18851" xr:uid="{00000000-0005-0000-0000-000067310000}"/>
    <cellStyle name="Normal 5 2 7 3 2 2 2 2" xfId="38566" xr:uid="{00000000-0005-0000-0000-000068310000}"/>
    <cellStyle name="Normal 5 2 7 3 2 2 3" xfId="28709" xr:uid="{00000000-0005-0000-0000-000069310000}"/>
    <cellStyle name="Normal 5 2 7 3 2 3" xfId="13923" xr:uid="{00000000-0005-0000-0000-00006A310000}"/>
    <cellStyle name="Normal 5 2 7 3 2 3 2" xfId="33638" xr:uid="{00000000-0005-0000-0000-00006B310000}"/>
    <cellStyle name="Normal 5 2 7 3 2 4" xfId="23781" xr:uid="{00000000-0005-0000-0000-00006C310000}"/>
    <cellStyle name="Normal 5 2 7 3 3" xfId="6527" xr:uid="{00000000-0005-0000-0000-00006D310000}"/>
    <cellStyle name="Normal 5 2 7 3 3 2" xfId="16387" xr:uid="{00000000-0005-0000-0000-00006E310000}"/>
    <cellStyle name="Normal 5 2 7 3 3 2 2" xfId="36102" xr:uid="{00000000-0005-0000-0000-00006F310000}"/>
    <cellStyle name="Normal 5 2 7 3 3 3" xfId="26245" xr:uid="{00000000-0005-0000-0000-000070310000}"/>
    <cellStyle name="Normal 5 2 7 3 4" xfId="11459" xr:uid="{00000000-0005-0000-0000-000071310000}"/>
    <cellStyle name="Normal 5 2 7 3 4 2" xfId="31174" xr:uid="{00000000-0005-0000-0000-000072310000}"/>
    <cellStyle name="Normal 5 2 7 3 5" xfId="21317" xr:uid="{00000000-0005-0000-0000-000073310000}"/>
    <cellStyle name="Normal 5 2 7 4" xfId="2827" xr:uid="{00000000-0005-0000-0000-000074310000}"/>
    <cellStyle name="Normal 5 2 7 4 2" xfId="7759" xr:uid="{00000000-0005-0000-0000-000075310000}"/>
    <cellStyle name="Normal 5 2 7 4 2 2" xfId="17619" xr:uid="{00000000-0005-0000-0000-000076310000}"/>
    <cellStyle name="Normal 5 2 7 4 2 2 2" xfId="37334" xr:uid="{00000000-0005-0000-0000-000077310000}"/>
    <cellStyle name="Normal 5 2 7 4 2 3" xfId="27477" xr:uid="{00000000-0005-0000-0000-000078310000}"/>
    <cellStyle name="Normal 5 2 7 4 3" xfId="12691" xr:uid="{00000000-0005-0000-0000-000079310000}"/>
    <cellStyle name="Normal 5 2 7 4 3 2" xfId="32406" xr:uid="{00000000-0005-0000-0000-00007A310000}"/>
    <cellStyle name="Normal 5 2 7 4 4" xfId="22549" xr:uid="{00000000-0005-0000-0000-00007B310000}"/>
    <cellStyle name="Normal 5 2 7 5" xfId="5295" xr:uid="{00000000-0005-0000-0000-00007C310000}"/>
    <cellStyle name="Normal 5 2 7 5 2" xfId="15155" xr:uid="{00000000-0005-0000-0000-00007D310000}"/>
    <cellStyle name="Normal 5 2 7 5 2 2" xfId="34870" xr:uid="{00000000-0005-0000-0000-00007E310000}"/>
    <cellStyle name="Normal 5 2 7 5 3" xfId="25013" xr:uid="{00000000-0005-0000-0000-00007F310000}"/>
    <cellStyle name="Normal 5 2 7 6" xfId="10227" xr:uid="{00000000-0005-0000-0000-000080310000}"/>
    <cellStyle name="Normal 5 2 7 6 2" xfId="29942" xr:uid="{00000000-0005-0000-0000-000081310000}"/>
    <cellStyle name="Normal 5 2 7 7" xfId="20085" xr:uid="{00000000-0005-0000-0000-000082310000}"/>
    <cellStyle name="Normal 5 2 8" xfId="665" xr:uid="{00000000-0005-0000-0000-000083310000}"/>
    <cellStyle name="Normal 5 2 8 2" xfId="1902" xr:uid="{00000000-0005-0000-0000-000084310000}"/>
    <cellStyle name="Normal 5 2 8 2 2" xfId="4369" xr:uid="{00000000-0005-0000-0000-000085310000}"/>
    <cellStyle name="Normal 5 2 8 2 2 2" xfId="9301" xr:uid="{00000000-0005-0000-0000-000086310000}"/>
    <cellStyle name="Normal 5 2 8 2 2 2 2" xfId="19161" xr:uid="{00000000-0005-0000-0000-000087310000}"/>
    <cellStyle name="Normal 5 2 8 2 2 2 2 2" xfId="38876" xr:uid="{00000000-0005-0000-0000-000088310000}"/>
    <cellStyle name="Normal 5 2 8 2 2 2 3" xfId="29019" xr:uid="{00000000-0005-0000-0000-000089310000}"/>
    <cellStyle name="Normal 5 2 8 2 2 3" xfId="14233" xr:uid="{00000000-0005-0000-0000-00008A310000}"/>
    <cellStyle name="Normal 5 2 8 2 2 3 2" xfId="33948" xr:uid="{00000000-0005-0000-0000-00008B310000}"/>
    <cellStyle name="Normal 5 2 8 2 2 4" xfId="24091" xr:uid="{00000000-0005-0000-0000-00008C310000}"/>
    <cellStyle name="Normal 5 2 8 2 3" xfId="6837" xr:uid="{00000000-0005-0000-0000-00008D310000}"/>
    <cellStyle name="Normal 5 2 8 2 3 2" xfId="16697" xr:uid="{00000000-0005-0000-0000-00008E310000}"/>
    <cellStyle name="Normal 5 2 8 2 3 2 2" xfId="36412" xr:uid="{00000000-0005-0000-0000-00008F310000}"/>
    <cellStyle name="Normal 5 2 8 2 3 3" xfId="26555" xr:uid="{00000000-0005-0000-0000-000090310000}"/>
    <cellStyle name="Normal 5 2 8 2 4" xfId="11769" xr:uid="{00000000-0005-0000-0000-000091310000}"/>
    <cellStyle name="Normal 5 2 8 2 4 2" xfId="31484" xr:uid="{00000000-0005-0000-0000-000092310000}"/>
    <cellStyle name="Normal 5 2 8 2 5" xfId="21627" xr:uid="{00000000-0005-0000-0000-000093310000}"/>
    <cellStyle name="Normal 5 2 8 3" xfId="3137" xr:uid="{00000000-0005-0000-0000-000094310000}"/>
    <cellStyle name="Normal 5 2 8 3 2" xfId="8069" xr:uid="{00000000-0005-0000-0000-000095310000}"/>
    <cellStyle name="Normal 5 2 8 3 2 2" xfId="17929" xr:uid="{00000000-0005-0000-0000-000096310000}"/>
    <cellStyle name="Normal 5 2 8 3 2 2 2" xfId="37644" xr:uid="{00000000-0005-0000-0000-000097310000}"/>
    <cellStyle name="Normal 5 2 8 3 2 3" xfId="27787" xr:uid="{00000000-0005-0000-0000-000098310000}"/>
    <cellStyle name="Normal 5 2 8 3 3" xfId="13001" xr:uid="{00000000-0005-0000-0000-000099310000}"/>
    <cellStyle name="Normal 5 2 8 3 3 2" xfId="32716" xr:uid="{00000000-0005-0000-0000-00009A310000}"/>
    <cellStyle name="Normal 5 2 8 3 4" xfId="22859" xr:uid="{00000000-0005-0000-0000-00009B310000}"/>
    <cellStyle name="Normal 5 2 8 4" xfId="5605" xr:uid="{00000000-0005-0000-0000-00009C310000}"/>
    <cellStyle name="Normal 5 2 8 4 2" xfId="15465" xr:uid="{00000000-0005-0000-0000-00009D310000}"/>
    <cellStyle name="Normal 5 2 8 4 2 2" xfId="35180" xr:uid="{00000000-0005-0000-0000-00009E310000}"/>
    <cellStyle name="Normal 5 2 8 4 3" xfId="25323" xr:uid="{00000000-0005-0000-0000-00009F310000}"/>
    <cellStyle name="Normal 5 2 8 5" xfId="10537" xr:uid="{00000000-0005-0000-0000-0000A0310000}"/>
    <cellStyle name="Normal 5 2 8 5 2" xfId="30252" xr:uid="{00000000-0005-0000-0000-0000A1310000}"/>
    <cellStyle name="Normal 5 2 8 6" xfId="20395" xr:uid="{00000000-0005-0000-0000-0000A2310000}"/>
    <cellStyle name="Normal 5 2 9" xfId="1285" xr:uid="{00000000-0005-0000-0000-0000A3310000}"/>
    <cellStyle name="Normal 5 2 9 2" xfId="3753" xr:uid="{00000000-0005-0000-0000-0000A4310000}"/>
    <cellStyle name="Normal 5 2 9 2 2" xfId="8685" xr:uid="{00000000-0005-0000-0000-0000A5310000}"/>
    <cellStyle name="Normal 5 2 9 2 2 2" xfId="18545" xr:uid="{00000000-0005-0000-0000-0000A6310000}"/>
    <cellStyle name="Normal 5 2 9 2 2 2 2" xfId="38260" xr:uid="{00000000-0005-0000-0000-0000A7310000}"/>
    <cellStyle name="Normal 5 2 9 2 2 3" xfId="28403" xr:uid="{00000000-0005-0000-0000-0000A8310000}"/>
    <cellStyle name="Normal 5 2 9 2 3" xfId="13617" xr:uid="{00000000-0005-0000-0000-0000A9310000}"/>
    <cellStyle name="Normal 5 2 9 2 3 2" xfId="33332" xr:uid="{00000000-0005-0000-0000-0000AA310000}"/>
    <cellStyle name="Normal 5 2 9 2 4" xfId="23475" xr:uid="{00000000-0005-0000-0000-0000AB310000}"/>
    <cellStyle name="Normal 5 2 9 3" xfId="6221" xr:uid="{00000000-0005-0000-0000-0000AC310000}"/>
    <cellStyle name="Normal 5 2 9 3 2" xfId="16081" xr:uid="{00000000-0005-0000-0000-0000AD310000}"/>
    <cellStyle name="Normal 5 2 9 3 2 2" xfId="35796" xr:uid="{00000000-0005-0000-0000-0000AE310000}"/>
    <cellStyle name="Normal 5 2 9 3 3" xfId="25939" xr:uid="{00000000-0005-0000-0000-0000AF310000}"/>
    <cellStyle name="Normal 5 2 9 4" xfId="11153" xr:uid="{00000000-0005-0000-0000-0000B0310000}"/>
    <cellStyle name="Normal 5 2 9 4 2" xfId="30868" xr:uid="{00000000-0005-0000-0000-0000B1310000}"/>
    <cellStyle name="Normal 5 2 9 5" xfId="21011" xr:uid="{00000000-0005-0000-0000-0000B2310000}"/>
    <cellStyle name="Normal 5 3" xfId="24" xr:uid="{00000000-0005-0000-0000-0000B3310000}"/>
    <cellStyle name="Normal 5 3 10" xfId="4995" xr:uid="{00000000-0005-0000-0000-0000B4310000}"/>
    <cellStyle name="Normal 5 3 10 2" xfId="14855" xr:uid="{00000000-0005-0000-0000-0000B5310000}"/>
    <cellStyle name="Normal 5 3 10 2 2" xfId="34570" xr:uid="{00000000-0005-0000-0000-0000B6310000}"/>
    <cellStyle name="Normal 5 3 10 3" xfId="24713" xr:uid="{00000000-0005-0000-0000-0000B7310000}"/>
    <cellStyle name="Normal 5 3 11" xfId="9927" xr:uid="{00000000-0005-0000-0000-0000B8310000}"/>
    <cellStyle name="Normal 5 3 11 2" xfId="29642" xr:uid="{00000000-0005-0000-0000-0000B9310000}"/>
    <cellStyle name="Normal 5 3 12" xfId="19785" xr:uid="{00000000-0005-0000-0000-0000BA310000}"/>
    <cellStyle name="Normal 5 3 2" xfId="49" xr:uid="{00000000-0005-0000-0000-0000BB310000}"/>
    <cellStyle name="Normal 5 3 2 10" xfId="9946" xr:uid="{00000000-0005-0000-0000-0000BC310000}"/>
    <cellStyle name="Normal 5 3 2 10 2" xfId="29661" xr:uid="{00000000-0005-0000-0000-0000BD310000}"/>
    <cellStyle name="Normal 5 3 2 11" xfId="19804" xr:uid="{00000000-0005-0000-0000-0000BE310000}"/>
    <cellStyle name="Normal 5 3 2 2" xfId="92" xr:uid="{00000000-0005-0000-0000-0000BF310000}"/>
    <cellStyle name="Normal 5 3 2 2 10" xfId="19842" xr:uid="{00000000-0005-0000-0000-0000C0310000}"/>
    <cellStyle name="Normal 5 3 2 2 2" xfId="173" xr:uid="{00000000-0005-0000-0000-0000C1310000}"/>
    <cellStyle name="Normal 5 3 2 2 2 2" xfId="330" xr:uid="{00000000-0005-0000-0000-0000C2310000}"/>
    <cellStyle name="Normal 5 3 2 2 2 2 2" xfId="644" xr:uid="{00000000-0005-0000-0000-0000C3310000}"/>
    <cellStyle name="Normal 5 3 2 2 2 2 2 2" xfId="1264" xr:uid="{00000000-0005-0000-0000-0000C4310000}"/>
    <cellStyle name="Normal 5 3 2 2 2 2 2 2 2" xfId="2499" xr:uid="{00000000-0005-0000-0000-0000C5310000}"/>
    <cellStyle name="Normal 5 3 2 2 2 2 2 2 2 2" xfId="4966" xr:uid="{00000000-0005-0000-0000-0000C6310000}"/>
    <cellStyle name="Normal 5 3 2 2 2 2 2 2 2 2 2" xfId="9898" xr:uid="{00000000-0005-0000-0000-0000C7310000}"/>
    <cellStyle name="Normal 5 3 2 2 2 2 2 2 2 2 2 2" xfId="19758" xr:uid="{00000000-0005-0000-0000-0000C8310000}"/>
    <cellStyle name="Normal 5 3 2 2 2 2 2 2 2 2 2 2 2" xfId="39473" xr:uid="{00000000-0005-0000-0000-0000C9310000}"/>
    <cellStyle name="Normal 5 3 2 2 2 2 2 2 2 2 2 3" xfId="29616" xr:uid="{00000000-0005-0000-0000-0000CA310000}"/>
    <cellStyle name="Normal 5 3 2 2 2 2 2 2 2 2 3" xfId="14830" xr:uid="{00000000-0005-0000-0000-0000CB310000}"/>
    <cellStyle name="Normal 5 3 2 2 2 2 2 2 2 2 3 2" xfId="34545" xr:uid="{00000000-0005-0000-0000-0000CC310000}"/>
    <cellStyle name="Normal 5 3 2 2 2 2 2 2 2 2 4" xfId="24688" xr:uid="{00000000-0005-0000-0000-0000CD310000}"/>
    <cellStyle name="Normal 5 3 2 2 2 2 2 2 2 3" xfId="7434" xr:uid="{00000000-0005-0000-0000-0000CE310000}"/>
    <cellStyle name="Normal 5 3 2 2 2 2 2 2 2 3 2" xfId="17294" xr:uid="{00000000-0005-0000-0000-0000CF310000}"/>
    <cellStyle name="Normal 5 3 2 2 2 2 2 2 2 3 2 2" xfId="37009" xr:uid="{00000000-0005-0000-0000-0000D0310000}"/>
    <cellStyle name="Normal 5 3 2 2 2 2 2 2 2 3 3" xfId="27152" xr:uid="{00000000-0005-0000-0000-0000D1310000}"/>
    <cellStyle name="Normal 5 3 2 2 2 2 2 2 2 4" xfId="12366" xr:uid="{00000000-0005-0000-0000-0000D2310000}"/>
    <cellStyle name="Normal 5 3 2 2 2 2 2 2 2 4 2" xfId="32081" xr:uid="{00000000-0005-0000-0000-0000D3310000}"/>
    <cellStyle name="Normal 5 3 2 2 2 2 2 2 2 5" xfId="22224" xr:uid="{00000000-0005-0000-0000-0000D4310000}"/>
    <cellStyle name="Normal 5 3 2 2 2 2 2 2 3" xfId="3734" xr:uid="{00000000-0005-0000-0000-0000D5310000}"/>
    <cellStyle name="Normal 5 3 2 2 2 2 2 2 3 2" xfId="8666" xr:uid="{00000000-0005-0000-0000-0000D6310000}"/>
    <cellStyle name="Normal 5 3 2 2 2 2 2 2 3 2 2" xfId="18526" xr:uid="{00000000-0005-0000-0000-0000D7310000}"/>
    <cellStyle name="Normal 5 3 2 2 2 2 2 2 3 2 2 2" xfId="38241" xr:uid="{00000000-0005-0000-0000-0000D8310000}"/>
    <cellStyle name="Normal 5 3 2 2 2 2 2 2 3 2 3" xfId="28384" xr:uid="{00000000-0005-0000-0000-0000D9310000}"/>
    <cellStyle name="Normal 5 3 2 2 2 2 2 2 3 3" xfId="13598" xr:uid="{00000000-0005-0000-0000-0000DA310000}"/>
    <cellStyle name="Normal 5 3 2 2 2 2 2 2 3 3 2" xfId="33313" xr:uid="{00000000-0005-0000-0000-0000DB310000}"/>
    <cellStyle name="Normal 5 3 2 2 2 2 2 2 3 4" xfId="23456" xr:uid="{00000000-0005-0000-0000-0000DC310000}"/>
    <cellStyle name="Normal 5 3 2 2 2 2 2 2 4" xfId="6202" xr:uid="{00000000-0005-0000-0000-0000DD310000}"/>
    <cellStyle name="Normal 5 3 2 2 2 2 2 2 4 2" xfId="16062" xr:uid="{00000000-0005-0000-0000-0000DE310000}"/>
    <cellStyle name="Normal 5 3 2 2 2 2 2 2 4 2 2" xfId="35777" xr:uid="{00000000-0005-0000-0000-0000DF310000}"/>
    <cellStyle name="Normal 5 3 2 2 2 2 2 2 4 3" xfId="25920" xr:uid="{00000000-0005-0000-0000-0000E0310000}"/>
    <cellStyle name="Normal 5 3 2 2 2 2 2 2 5" xfId="11134" xr:uid="{00000000-0005-0000-0000-0000E1310000}"/>
    <cellStyle name="Normal 5 3 2 2 2 2 2 2 5 2" xfId="30849" xr:uid="{00000000-0005-0000-0000-0000E2310000}"/>
    <cellStyle name="Normal 5 3 2 2 2 2 2 2 6" xfId="20992" xr:uid="{00000000-0005-0000-0000-0000E3310000}"/>
    <cellStyle name="Normal 5 3 2 2 2 2 2 3" xfId="1883" xr:uid="{00000000-0005-0000-0000-0000E4310000}"/>
    <cellStyle name="Normal 5 3 2 2 2 2 2 3 2" xfId="4350" xr:uid="{00000000-0005-0000-0000-0000E5310000}"/>
    <cellStyle name="Normal 5 3 2 2 2 2 2 3 2 2" xfId="9282" xr:uid="{00000000-0005-0000-0000-0000E6310000}"/>
    <cellStyle name="Normal 5 3 2 2 2 2 2 3 2 2 2" xfId="19142" xr:uid="{00000000-0005-0000-0000-0000E7310000}"/>
    <cellStyle name="Normal 5 3 2 2 2 2 2 3 2 2 2 2" xfId="38857" xr:uid="{00000000-0005-0000-0000-0000E8310000}"/>
    <cellStyle name="Normal 5 3 2 2 2 2 2 3 2 2 3" xfId="29000" xr:uid="{00000000-0005-0000-0000-0000E9310000}"/>
    <cellStyle name="Normal 5 3 2 2 2 2 2 3 2 3" xfId="14214" xr:uid="{00000000-0005-0000-0000-0000EA310000}"/>
    <cellStyle name="Normal 5 3 2 2 2 2 2 3 2 3 2" xfId="33929" xr:uid="{00000000-0005-0000-0000-0000EB310000}"/>
    <cellStyle name="Normal 5 3 2 2 2 2 2 3 2 4" xfId="24072" xr:uid="{00000000-0005-0000-0000-0000EC310000}"/>
    <cellStyle name="Normal 5 3 2 2 2 2 2 3 3" xfId="6818" xr:uid="{00000000-0005-0000-0000-0000ED310000}"/>
    <cellStyle name="Normal 5 3 2 2 2 2 2 3 3 2" xfId="16678" xr:uid="{00000000-0005-0000-0000-0000EE310000}"/>
    <cellStyle name="Normal 5 3 2 2 2 2 2 3 3 2 2" xfId="36393" xr:uid="{00000000-0005-0000-0000-0000EF310000}"/>
    <cellStyle name="Normal 5 3 2 2 2 2 2 3 3 3" xfId="26536" xr:uid="{00000000-0005-0000-0000-0000F0310000}"/>
    <cellStyle name="Normal 5 3 2 2 2 2 2 3 4" xfId="11750" xr:uid="{00000000-0005-0000-0000-0000F1310000}"/>
    <cellStyle name="Normal 5 3 2 2 2 2 2 3 4 2" xfId="31465" xr:uid="{00000000-0005-0000-0000-0000F2310000}"/>
    <cellStyle name="Normal 5 3 2 2 2 2 2 3 5" xfId="21608" xr:uid="{00000000-0005-0000-0000-0000F3310000}"/>
    <cellStyle name="Normal 5 3 2 2 2 2 2 4" xfId="3118" xr:uid="{00000000-0005-0000-0000-0000F4310000}"/>
    <cellStyle name="Normal 5 3 2 2 2 2 2 4 2" xfId="8050" xr:uid="{00000000-0005-0000-0000-0000F5310000}"/>
    <cellStyle name="Normal 5 3 2 2 2 2 2 4 2 2" xfId="17910" xr:uid="{00000000-0005-0000-0000-0000F6310000}"/>
    <cellStyle name="Normal 5 3 2 2 2 2 2 4 2 2 2" xfId="37625" xr:uid="{00000000-0005-0000-0000-0000F7310000}"/>
    <cellStyle name="Normal 5 3 2 2 2 2 2 4 2 3" xfId="27768" xr:uid="{00000000-0005-0000-0000-0000F8310000}"/>
    <cellStyle name="Normal 5 3 2 2 2 2 2 4 3" xfId="12982" xr:uid="{00000000-0005-0000-0000-0000F9310000}"/>
    <cellStyle name="Normal 5 3 2 2 2 2 2 4 3 2" xfId="32697" xr:uid="{00000000-0005-0000-0000-0000FA310000}"/>
    <cellStyle name="Normal 5 3 2 2 2 2 2 4 4" xfId="22840" xr:uid="{00000000-0005-0000-0000-0000FB310000}"/>
    <cellStyle name="Normal 5 3 2 2 2 2 2 5" xfId="5586" xr:uid="{00000000-0005-0000-0000-0000FC310000}"/>
    <cellStyle name="Normal 5 3 2 2 2 2 2 5 2" xfId="15446" xr:uid="{00000000-0005-0000-0000-0000FD310000}"/>
    <cellStyle name="Normal 5 3 2 2 2 2 2 5 2 2" xfId="35161" xr:uid="{00000000-0005-0000-0000-0000FE310000}"/>
    <cellStyle name="Normal 5 3 2 2 2 2 2 5 3" xfId="25304" xr:uid="{00000000-0005-0000-0000-0000FF310000}"/>
    <cellStyle name="Normal 5 3 2 2 2 2 2 6" xfId="10518" xr:uid="{00000000-0005-0000-0000-000000320000}"/>
    <cellStyle name="Normal 5 3 2 2 2 2 2 6 2" xfId="30233" xr:uid="{00000000-0005-0000-0000-000001320000}"/>
    <cellStyle name="Normal 5 3 2 2 2 2 2 7" xfId="20376" xr:uid="{00000000-0005-0000-0000-000002320000}"/>
    <cellStyle name="Normal 5 3 2 2 2 2 3" xfId="957" xr:uid="{00000000-0005-0000-0000-000003320000}"/>
    <cellStyle name="Normal 5 3 2 2 2 2 3 2" xfId="2193" xr:uid="{00000000-0005-0000-0000-000004320000}"/>
    <cellStyle name="Normal 5 3 2 2 2 2 3 2 2" xfId="4660" xr:uid="{00000000-0005-0000-0000-000005320000}"/>
    <cellStyle name="Normal 5 3 2 2 2 2 3 2 2 2" xfId="9592" xr:uid="{00000000-0005-0000-0000-000006320000}"/>
    <cellStyle name="Normal 5 3 2 2 2 2 3 2 2 2 2" xfId="19452" xr:uid="{00000000-0005-0000-0000-000007320000}"/>
    <cellStyle name="Normal 5 3 2 2 2 2 3 2 2 2 2 2" xfId="39167" xr:uid="{00000000-0005-0000-0000-000008320000}"/>
    <cellStyle name="Normal 5 3 2 2 2 2 3 2 2 2 3" xfId="29310" xr:uid="{00000000-0005-0000-0000-000009320000}"/>
    <cellStyle name="Normal 5 3 2 2 2 2 3 2 2 3" xfId="14524" xr:uid="{00000000-0005-0000-0000-00000A320000}"/>
    <cellStyle name="Normal 5 3 2 2 2 2 3 2 2 3 2" xfId="34239" xr:uid="{00000000-0005-0000-0000-00000B320000}"/>
    <cellStyle name="Normal 5 3 2 2 2 2 3 2 2 4" xfId="24382" xr:uid="{00000000-0005-0000-0000-00000C320000}"/>
    <cellStyle name="Normal 5 3 2 2 2 2 3 2 3" xfId="7128" xr:uid="{00000000-0005-0000-0000-00000D320000}"/>
    <cellStyle name="Normal 5 3 2 2 2 2 3 2 3 2" xfId="16988" xr:uid="{00000000-0005-0000-0000-00000E320000}"/>
    <cellStyle name="Normal 5 3 2 2 2 2 3 2 3 2 2" xfId="36703" xr:uid="{00000000-0005-0000-0000-00000F320000}"/>
    <cellStyle name="Normal 5 3 2 2 2 2 3 2 3 3" xfId="26846" xr:uid="{00000000-0005-0000-0000-000010320000}"/>
    <cellStyle name="Normal 5 3 2 2 2 2 3 2 4" xfId="12060" xr:uid="{00000000-0005-0000-0000-000011320000}"/>
    <cellStyle name="Normal 5 3 2 2 2 2 3 2 4 2" xfId="31775" xr:uid="{00000000-0005-0000-0000-000012320000}"/>
    <cellStyle name="Normal 5 3 2 2 2 2 3 2 5" xfId="21918" xr:uid="{00000000-0005-0000-0000-000013320000}"/>
    <cellStyle name="Normal 5 3 2 2 2 2 3 3" xfId="3428" xr:uid="{00000000-0005-0000-0000-000014320000}"/>
    <cellStyle name="Normal 5 3 2 2 2 2 3 3 2" xfId="8360" xr:uid="{00000000-0005-0000-0000-000015320000}"/>
    <cellStyle name="Normal 5 3 2 2 2 2 3 3 2 2" xfId="18220" xr:uid="{00000000-0005-0000-0000-000016320000}"/>
    <cellStyle name="Normal 5 3 2 2 2 2 3 3 2 2 2" xfId="37935" xr:uid="{00000000-0005-0000-0000-000017320000}"/>
    <cellStyle name="Normal 5 3 2 2 2 2 3 3 2 3" xfId="28078" xr:uid="{00000000-0005-0000-0000-000018320000}"/>
    <cellStyle name="Normal 5 3 2 2 2 2 3 3 3" xfId="13292" xr:uid="{00000000-0005-0000-0000-000019320000}"/>
    <cellStyle name="Normal 5 3 2 2 2 2 3 3 3 2" xfId="33007" xr:uid="{00000000-0005-0000-0000-00001A320000}"/>
    <cellStyle name="Normal 5 3 2 2 2 2 3 3 4" xfId="23150" xr:uid="{00000000-0005-0000-0000-00001B320000}"/>
    <cellStyle name="Normal 5 3 2 2 2 2 3 4" xfId="5896" xr:uid="{00000000-0005-0000-0000-00001C320000}"/>
    <cellStyle name="Normal 5 3 2 2 2 2 3 4 2" xfId="15756" xr:uid="{00000000-0005-0000-0000-00001D320000}"/>
    <cellStyle name="Normal 5 3 2 2 2 2 3 4 2 2" xfId="35471" xr:uid="{00000000-0005-0000-0000-00001E320000}"/>
    <cellStyle name="Normal 5 3 2 2 2 2 3 4 3" xfId="25614" xr:uid="{00000000-0005-0000-0000-00001F320000}"/>
    <cellStyle name="Normal 5 3 2 2 2 2 3 5" xfId="10828" xr:uid="{00000000-0005-0000-0000-000020320000}"/>
    <cellStyle name="Normal 5 3 2 2 2 2 3 5 2" xfId="30543" xr:uid="{00000000-0005-0000-0000-000021320000}"/>
    <cellStyle name="Normal 5 3 2 2 2 2 3 6" xfId="20686" xr:uid="{00000000-0005-0000-0000-000022320000}"/>
    <cellStyle name="Normal 5 3 2 2 2 2 4" xfId="1577" xr:uid="{00000000-0005-0000-0000-000023320000}"/>
    <cellStyle name="Normal 5 3 2 2 2 2 4 2" xfId="4044" xr:uid="{00000000-0005-0000-0000-000024320000}"/>
    <cellStyle name="Normal 5 3 2 2 2 2 4 2 2" xfId="8976" xr:uid="{00000000-0005-0000-0000-000025320000}"/>
    <cellStyle name="Normal 5 3 2 2 2 2 4 2 2 2" xfId="18836" xr:uid="{00000000-0005-0000-0000-000026320000}"/>
    <cellStyle name="Normal 5 3 2 2 2 2 4 2 2 2 2" xfId="38551" xr:uid="{00000000-0005-0000-0000-000027320000}"/>
    <cellStyle name="Normal 5 3 2 2 2 2 4 2 2 3" xfId="28694" xr:uid="{00000000-0005-0000-0000-000028320000}"/>
    <cellStyle name="Normal 5 3 2 2 2 2 4 2 3" xfId="13908" xr:uid="{00000000-0005-0000-0000-000029320000}"/>
    <cellStyle name="Normal 5 3 2 2 2 2 4 2 3 2" xfId="33623" xr:uid="{00000000-0005-0000-0000-00002A320000}"/>
    <cellStyle name="Normal 5 3 2 2 2 2 4 2 4" xfId="23766" xr:uid="{00000000-0005-0000-0000-00002B320000}"/>
    <cellStyle name="Normal 5 3 2 2 2 2 4 3" xfId="6512" xr:uid="{00000000-0005-0000-0000-00002C320000}"/>
    <cellStyle name="Normal 5 3 2 2 2 2 4 3 2" xfId="16372" xr:uid="{00000000-0005-0000-0000-00002D320000}"/>
    <cellStyle name="Normal 5 3 2 2 2 2 4 3 2 2" xfId="36087" xr:uid="{00000000-0005-0000-0000-00002E320000}"/>
    <cellStyle name="Normal 5 3 2 2 2 2 4 3 3" xfId="26230" xr:uid="{00000000-0005-0000-0000-00002F320000}"/>
    <cellStyle name="Normal 5 3 2 2 2 2 4 4" xfId="11444" xr:uid="{00000000-0005-0000-0000-000030320000}"/>
    <cellStyle name="Normal 5 3 2 2 2 2 4 4 2" xfId="31159" xr:uid="{00000000-0005-0000-0000-000031320000}"/>
    <cellStyle name="Normal 5 3 2 2 2 2 4 5" xfId="21302" xr:uid="{00000000-0005-0000-0000-000032320000}"/>
    <cellStyle name="Normal 5 3 2 2 2 2 5" xfId="2812" xr:uid="{00000000-0005-0000-0000-000033320000}"/>
    <cellStyle name="Normal 5 3 2 2 2 2 5 2" xfId="7744" xr:uid="{00000000-0005-0000-0000-000034320000}"/>
    <cellStyle name="Normal 5 3 2 2 2 2 5 2 2" xfId="17604" xr:uid="{00000000-0005-0000-0000-000035320000}"/>
    <cellStyle name="Normal 5 3 2 2 2 2 5 2 2 2" xfId="37319" xr:uid="{00000000-0005-0000-0000-000036320000}"/>
    <cellStyle name="Normal 5 3 2 2 2 2 5 2 3" xfId="27462" xr:uid="{00000000-0005-0000-0000-000037320000}"/>
    <cellStyle name="Normal 5 3 2 2 2 2 5 3" xfId="12676" xr:uid="{00000000-0005-0000-0000-000038320000}"/>
    <cellStyle name="Normal 5 3 2 2 2 2 5 3 2" xfId="32391" xr:uid="{00000000-0005-0000-0000-000039320000}"/>
    <cellStyle name="Normal 5 3 2 2 2 2 5 4" xfId="22534" xr:uid="{00000000-0005-0000-0000-00003A320000}"/>
    <cellStyle name="Normal 5 3 2 2 2 2 6" xfId="5280" xr:uid="{00000000-0005-0000-0000-00003B320000}"/>
    <cellStyle name="Normal 5 3 2 2 2 2 6 2" xfId="15140" xr:uid="{00000000-0005-0000-0000-00003C320000}"/>
    <cellStyle name="Normal 5 3 2 2 2 2 6 2 2" xfId="34855" xr:uid="{00000000-0005-0000-0000-00003D320000}"/>
    <cellStyle name="Normal 5 3 2 2 2 2 6 3" xfId="24998" xr:uid="{00000000-0005-0000-0000-00003E320000}"/>
    <cellStyle name="Normal 5 3 2 2 2 2 7" xfId="10212" xr:uid="{00000000-0005-0000-0000-00003F320000}"/>
    <cellStyle name="Normal 5 3 2 2 2 2 7 2" xfId="29927" xr:uid="{00000000-0005-0000-0000-000040320000}"/>
    <cellStyle name="Normal 5 3 2 2 2 2 8" xfId="20070" xr:uid="{00000000-0005-0000-0000-000041320000}"/>
    <cellStyle name="Normal 5 3 2 2 2 3" xfId="492" xr:uid="{00000000-0005-0000-0000-000042320000}"/>
    <cellStyle name="Normal 5 3 2 2 2 3 2" xfId="1112" xr:uid="{00000000-0005-0000-0000-000043320000}"/>
    <cellStyle name="Normal 5 3 2 2 2 3 2 2" xfId="2347" xr:uid="{00000000-0005-0000-0000-000044320000}"/>
    <cellStyle name="Normal 5 3 2 2 2 3 2 2 2" xfId="4814" xr:uid="{00000000-0005-0000-0000-000045320000}"/>
    <cellStyle name="Normal 5 3 2 2 2 3 2 2 2 2" xfId="9746" xr:uid="{00000000-0005-0000-0000-000046320000}"/>
    <cellStyle name="Normal 5 3 2 2 2 3 2 2 2 2 2" xfId="19606" xr:uid="{00000000-0005-0000-0000-000047320000}"/>
    <cellStyle name="Normal 5 3 2 2 2 3 2 2 2 2 2 2" xfId="39321" xr:uid="{00000000-0005-0000-0000-000048320000}"/>
    <cellStyle name="Normal 5 3 2 2 2 3 2 2 2 2 3" xfId="29464" xr:uid="{00000000-0005-0000-0000-000049320000}"/>
    <cellStyle name="Normal 5 3 2 2 2 3 2 2 2 3" xfId="14678" xr:uid="{00000000-0005-0000-0000-00004A320000}"/>
    <cellStyle name="Normal 5 3 2 2 2 3 2 2 2 3 2" xfId="34393" xr:uid="{00000000-0005-0000-0000-00004B320000}"/>
    <cellStyle name="Normal 5 3 2 2 2 3 2 2 2 4" xfId="24536" xr:uid="{00000000-0005-0000-0000-00004C320000}"/>
    <cellStyle name="Normal 5 3 2 2 2 3 2 2 3" xfId="7282" xr:uid="{00000000-0005-0000-0000-00004D320000}"/>
    <cellStyle name="Normal 5 3 2 2 2 3 2 2 3 2" xfId="17142" xr:uid="{00000000-0005-0000-0000-00004E320000}"/>
    <cellStyle name="Normal 5 3 2 2 2 3 2 2 3 2 2" xfId="36857" xr:uid="{00000000-0005-0000-0000-00004F320000}"/>
    <cellStyle name="Normal 5 3 2 2 2 3 2 2 3 3" xfId="27000" xr:uid="{00000000-0005-0000-0000-000050320000}"/>
    <cellStyle name="Normal 5 3 2 2 2 3 2 2 4" xfId="12214" xr:uid="{00000000-0005-0000-0000-000051320000}"/>
    <cellStyle name="Normal 5 3 2 2 2 3 2 2 4 2" xfId="31929" xr:uid="{00000000-0005-0000-0000-000052320000}"/>
    <cellStyle name="Normal 5 3 2 2 2 3 2 2 5" xfId="22072" xr:uid="{00000000-0005-0000-0000-000053320000}"/>
    <cellStyle name="Normal 5 3 2 2 2 3 2 3" xfId="3582" xr:uid="{00000000-0005-0000-0000-000054320000}"/>
    <cellStyle name="Normal 5 3 2 2 2 3 2 3 2" xfId="8514" xr:uid="{00000000-0005-0000-0000-000055320000}"/>
    <cellStyle name="Normal 5 3 2 2 2 3 2 3 2 2" xfId="18374" xr:uid="{00000000-0005-0000-0000-000056320000}"/>
    <cellStyle name="Normal 5 3 2 2 2 3 2 3 2 2 2" xfId="38089" xr:uid="{00000000-0005-0000-0000-000057320000}"/>
    <cellStyle name="Normal 5 3 2 2 2 3 2 3 2 3" xfId="28232" xr:uid="{00000000-0005-0000-0000-000058320000}"/>
    <cellStyle name="Normal 5 3 2 2 2 3 2 3 3" xfId="13446" xr:uid="{00000000-0005-0000-0000-000059320000}"/>
    <cellStyle name="Normal 5 3 2 2 2 3 2 3 3 2" xfId="33161" xr:uid="{00000000-0005-0000-0000-00005A320000}"/>
    <cellStyle name="Normal 5 3 2 2 2 3 2 3 4" xfId="23304" xr:uid="{00000000-0005-0000-0000-00005B320000}"/>
    <cellStyle name="Normal 5 3 2 2 2 3 2 4" xfId="6050" xr:uid="{00000000-0005-0000-0000-00005C320000}"/>
    <cellStyle name="Normal 5 3 2 2 2 3 2 4 2" xfId="15910" xr:uid="{00000000-0005-0000-0000-00005D320000}"/>
    <cellStyle name="Normal 5 3 2 2 2 3 2 4 2 2" xfId="35625" xr:uid="{00000000-0005-0000-0000-00005E320000}"/>
    <cellStyle name="Normal 5 3 2 2 2 3 2 4 3" xfId="25768" xr:uid="{00000000-0005-0000-0000-00005F320000}"/>
    <cellStyle name="Normal 5 3 2 2 2 3 2 5" xfId="10982" xr:uid="{00000000-0005-0000-0000-000060320000}"/>
    <cellStyle name="Normal 5 3 2 2 2 3 2 5 2" xfId="30697" xr:uid="{00000000-0005-0000-0000-000061320000}"/>
    <cellStyle name="Normal 5 3 2 2 2 3 2 6" xfId="20840" xr:uid="{00000000-0005-0000-0000-000062320000}"/>
    <cellStyle name="Normal 5 3 2 2 2 3 3" xfId="1731" xr:uid="{00000000-0005-0000-0000-000063320000}"/>
    <cellStyle name="Normal 5 3 2 2 2 3 3 2" xfId="4198" xr:uid="{00000000-0005-0000-0000-000064320000}"/>
    <cellStyle name="Normal 5 3 2 2 2 3 3 2 2" xfId="9130" xr:uid="{00000000-0005-0000-0000-000065320000}"/>
    <cellStyle name="Normal 5 3 2 2 2 3 3 2 2 2" xfId="18990" xr:uid="{00000000-0005-0000-0000-000066320000}"/>
    <cellStyle name="Normal 5 3 2 2 2 3 3 2 2 2 2" xfId="38705" xr:uid="{00000000-0005-0000-0000-000067320000}"/>
    <cellStyle name="Normal 5 3 2 2 2 3 3 2 2 3" xfId="28848" xr:uid="{00000000-0005-0000-0000-000068320000}"/>
    <cellStyle name="Normal 5 3 2 2 2 3 3 2 3" xfId="14062" xr:uid="{00000000-0005-0000-0000-000069320000}"/>
    <cellStyle name="Normal 5 3 2 2 2 3 3 2 3 2" xfId="33777" xr:uid="{00000000-0005-0000-0000-00006A320000}"/>
    <cellStyle name="Normal 5 3 2 2 2 3 3 2 4" xfId="23920" xr:uid="{00000000-0005-0000-0000-00006B320000}"/>
    <cellStyle name="Normal 5 3 2 2 2 3 3 3" xfId="6666" xr:uid="{00000000-0005-0000-0000-00006C320000}"/>
    <cellStyle name="Normal 5 3 2 2 2 3 3 3 2" xfId="16526" xr:uid="{00000000-0005-0000-0000-00006D320000}"/>
    <cellStyle name="Normal 5 3 2 2 2 3 3 3 2 2" xfId="36241" xr:uid="{00000000-0005-0000-0000-00006E320000}"/>
    <cellStyle name="Normal 5 3 2 2 2 3 3 3 3" xfId="26384" xr:uid="{00000000-0005-0000-0000-00006F320000}"/>
    <cellStyle name="Normal 5 3 2 2 2 3 3 4" xfId="11598" xr:uid="{00000000-0005-0000-0000-000070320000}"/>
    <cellStyle name="Normal 5 3 2 2 2 3 3 4 2" xfId="31313" xr:uid="{00000000-0005-0000-0000-000071320000}"/>
    <cellStyle name="Normal 5 3 2 2 2 3 3 5" xfId="21456" xr:uid="{00000000-0005-0000-0000-000072320000}"/>
    <cellStyle name="Normal 5 3 2 2 2 3 4" xfId="2966" xr:uid="{00000000-0005-0000-0000-000073320000}"/>
    <cellStyle name="Normal 5 3 2 2 2 3 4 2" xfId="7898" xr:uid="{00000000-0005-0000-0000-000074320000}"/>
    <cellStyle name="Normal 5 3 2 2 2 3 4 2 2" xfId="17758" xr:uid="{00000000-0005-0000-0000-000075320000}"/>
    <cellStyle name="Normal 5 3 2 2 2 3 4 2 2 2" xfId="37473" xr:uid="{00000000-0005-0000-0000-000076320000}"/>
    <cellStyle name="Normal 5 3 2 2 2 3 4 2 3" xfId="27616" xr:uid="{00000000-0005-0000-0000-000077320000}"/>
    <cellStyle name="Normal 5 3 2 2 2 3 4 3" xfId="12830" xr:uid="{00000000-0005-0000-0000-000078320000}"/>
    <cellStyle name="Normal 5 3 2 2 2 3 4 3 2" xfId="32545" xr:uid="{00000000-0005-0000-0000-000079320000}"/>
    <cellStyle name="Normal 5 3 2 2 2 3 4 4" xfId="22688" xr:uid="{00000000-0005-0000-0000-00007A320000}"/>
    <cellStyle name="Normal 5 3 2 2 2 3 5" xfId="5434" xr:uid="{00000000-0005-0000-0000-00007B320000}"/>
    <cellStyle name="Normal 5 3 2 2 2 3 5 2" xfId="15294" xr:uid="{00000000-0005-0000-0000-00007C320000}"/>
    <cellStyle name="Normal 5 3 2 2 2 3 5 2 2" xfId="35009" xr:uid="{00000000-0005-0000-0000-00007D320000}"/>
    <cellStyle name="Normal 5 3 2 2 2 3 5 3" xfId="25152" xr:uid="{00000000-0005-0000-0000-00007E320000}"/>
    <cellStyle name="Normal 5 3 2 2 2 3 6" xfId="10366" xr:uid="{00000000-0005-0000-0000-00007F320000}"/>
    <cellStyle name="Normal 5 3 2 2 2 3 6 2" xfId="30081" xr:uid="{00000000-0005-0000-0000-000080320000}"/>
    <cellStyle name="Normal 5 3 2 2 2 3 7" xfId="20224" xr:uid="{00000000-0005-0000-0000-000081320000}"/>
    <cellStyle name="Normal 5 3 2 2 2 4" xfId="805" xr:uid="{00000000-0005-0000-0000-000082320000}"/>
    <cellStyle name="Normal 5 3 2 2 2 4 2" xfId="2041" xr:uid="{00000000-0005-0000-0000-000083320000}"/>
    <cellStyle name="Normal 5 3 2 2 2 4 2 2" xfId="4508" xr:uid="{00000000-0005-0000-0000-000084320000}"/>
    <cellStyle name="Normal 5 3 2 2 2 4 2 2 2" xfId="9440" xr:uid="{00000000-0005-0000-0000-000085320000}"/>
    <cellStyle name="Normal 5 3 2 2 2 4 2 2 2 2" xfId="19300" xr:uid="{00000000-0005-0000-0000-000086320000}"/>
    <cellStyle name="Normal 5 3 2 2 2 4 2 2 2 2 2" xfId="39015" xr:uid="{00000000-0005-0000-0000-000087320000}"/>
    <cellStyle name="Normal 5 3 2 2 2 4 2 2 2 3" xfId="29158" xr:uid="{00000000-0005-0000-0000-000088320000}"/>
    <cellStyle name="Normal 5 3 2 2 2 4 2 2 3" xfId="14372" xr:uid="{00000000-0005-0000-0000-000089320000}"/>
    <cellStyle name="Normal 5 3 2 2 2 4 2 2 3 2" xfId="34087" xr:uid="{00000000-0005-0000-0000-00008A320000}"/>
    <cellStyle name="Normal 5 3 2 2 2 4 2 2 4" xfId="24230" xr:uid="{00000000-0005-0000-0000-00008B320000}"/>
    <cellStyle name="Normal 5 3 2 2 2 4 2 3" xfId="6976" xr:uid="{00000000-0005-0000-0000-00008C320000}"/>
    <cellStyle name="Normal 5 3 2 2 2 4 2 3 2" xfId="16836" xr:uid="{00000000-0005-0000-0000-00008D320000}"/>
    <cellStyle name="Normal 5 3 2 2 2 4 2 3 2 2" xfId="36551" xr:uid="{00000000-0005-0000-0000-00008E320000}"/>
    <cellStyle name="Normal 5 3 2 2 2 4 2 3 3" xfId="26694" xr:uid="{00000000-0005-0000-0000-00008F320000}"/>
    <cellStyle name="Normal 5 3 2 2 2 4 2 4" xfId="11908" xr:uid="{00000000-0005-0000-0000-000090320000}"/>
    <cellStyle name="Normal 5 3 2 2 2 4 2 4 2" xfId="31623" xr:uid="{00000000-0005-0000-0000-000091320000}"/>
    <cellStyle name="Normal 5 3 2 2 2 4 2 5" xfId="21766" xr:uid="{00000000-0005-0000-0000-000092320000}"/>
    <cellStyle name="Normal 5 3 2 2 2 4 3" xfId="3276" xr:uid="{00000000-0005-0000-0000-000093320000}"/>
    <cellStyle name="Normal 5 3 2 2 2 4 3 2" xfId="8208" xr:uid="{00000000-0005-0000-0000-000094320000}"/>
    <cellStyle name="Normal 5 3 2 2 2 4 3 2 2" xfId="18068" xr:uid="{00000000-0005-0000-0000-000095320000}"/>
    <cellStyle name="Normal 5 3 2 2 2 4 3 2 2 2" xfId="37783" xr:uid="{00000000-0005-0000-0000-000096320000}"/>
    <cellStyle name="Normal 5 3 2 2 2 4 3 2 3" xfId="27926" xr:uid="{00000000-0005-0000-0000-000097320000}"/>
    <cellStyle name="Normal 5 3 2 2 2 4 3 3" xfId="13140" xr:uid="{00000000-0005-0000-0000-000098320000}"/>
    <cellStyle name="Normal 5 3 2 2 2 4 3 3 2" xfId="32855" xr:uid="{00000000-0005-0000-0000-000099320000}"/>
    <cellStyle name="Normal 5 3 2 2 2 4 3 4" xfId="22998" xr:uid="{00000000-0005-0000-0000-00009A320000}"/>
    <cellStyle name="Normal 5 3 2 2 2 4 4" xfId="5744" xr:uid="{00000000-0005-0000-0000-00009B320000}"/>
    <cellStyle name="Normal 5 3 2 2 2 4 4 2" xfId="15604" xr:uid="{00000000-0005-0000-0000-00009C320000}"/>
    <cellStyle name="Normal 5 3 2 2 2 4 4 2 2" xfId="35319" xr:uid="{00000000-0005-0000-0000-00009D320000}"/>
    <cellStyle name="Normal 5 3 2 2 2 4 4 3" xfId="25462" xr:uid="{00000000-0005-0000-0000-00009E320000}"/>
    <cellStyle name="Normal 5 3 2 2 2 4 5" xfId="10676" xr:uid="{00000000-0005-0000-0000-00009F320000}"/>
    <cellStyle name="Normal 5 3 2 2 2 4 5 2" xfId="30391" xr:uid="{00000000-0005-0000-0000-0000A0320000}"/>
    <cellStyle name="Normal 5 3 2 2 2 4 6" xfId="20534" xr:uid="{00000000-0005-0000-0000-0000A1320000}"/>
    <cellStyle name="Normal 5 3 2 2 2 5" xfId="1425" xr:uid="{00000000-0005-0000-0000-0000A2320000}"/>
    <cellStyle name="Normal 5 3 2 2 2 5 2" xfId="3892" xr:uid="{00000000-0005-0000-0000-0000A3320000}"/>
    <cellStyle name="Normal 5 3 2 2 2 5 2 2" xfId="8824" xr:uid="{00000000-0005-0000-0000-0000A4320000}"/>
    <cellStyle name="Normal 5 3 2 2 2 5 2 2 2" xfId="18684" xr:uid="{00000000-0005-0000-0000-0000A5320000}"/>
    <cellStyle name="Normal 5 3 2 2 2 5 2 2 2 2" xfId="38399" xr:uid="{00000000-0005-0000-0000-0000A6320000}"/>
    <cellStyle name="Normal 5 3 2 2 2 5 2 2 3" xfId="28542" xr:uid="{00000000-0005-0000-0000-0000A7320000}"/>
    <cellStyle name="Normal 5 3 2 2 2 5 2 3" xfId="13756" xr:uid="{00000000-0005-0000-0000-0000A8320000}"/>
    <cellStyle name="Normal 5 3 2 2 2 5 2 3 2" xfId="33471" xr:uid="{00000000-0005-0000-0000-0000A9320000}"/>
    <cellStyle name="Normal 5 3 2 2 2 5 2 4" xfId="23614" xr:uid="{00000000-0005-0000-0000-0000AA320000}"/>
    <cellStyle name="Normal 5 3 2 2 2 5 3" xfId="6360" xr:uid="{00000000-0005-0000-0000-0000AB320000}"/>
    <cellStyle name="Normal 5 3 2 2 2 5 3 2" xfId="16220" xr:uid="{00000000-0005-0000-0000-0000AC320000}"/>
    <cellStyle name="Normal 5 3 2 2 2 5 3 2 2" xfId="35935" xr:uid="{00000000-0005-0000-0000-0000AD320000}"/>
    <cellStyle name="Normal 5 3 2 2 2 5 3 3" xfId="26078" xr:uid="{00000000-0005-0000-0000-0000AE320000}"/>
    <cellStyle name="Normal 5 3 2 2 2 5 4" xfId="11292" xr:uid="{00000000-0005-0000-0000-0000AF320000}"/>
    <cellStyle name="Normal 5 3 2 2 2 5 4 2" xfId="31007" xr:uid="{00000000-0005-0000-0000-0000B0320000}"/>
    <cellStyle name="Normal 5 3 2 2 2 5 5" xfId="21150" xr:uid="{00000000-0005-0000-0000-0000B1320000}"/>
    <cellStyle name="Normal 5 3 2 2 2 6" xfId="2660" xr:uid="{00000000-0005-0000-0000-0000B2320000}"/>
    <cellStyle name="Normal 5 3 2 2 2 6 2" xfId="7592" xr:uid="{00000000-0005-0000-0000-0000B3320000}"/>
    <cellStyle name="Normal 5 3 2 2 2 6 2 2" xfId="17452" xr:uid="{00000000-0005-0000-0000-0000B4320000}"/>
    <cellStyle name="Normal 5 3 2 2 2 6 2 2 2" xfId="37167" xr:uid="{00000000-0005-0000-0000-0000B5320000}"/>
    <cellStyle name="Normal 5 3 2 2 2 6 2 3" xfId="27310" xr:uid="{00000000-0005-0000-0000-0000B6320000}"/>
    <cellStyle name="Normal 5 3 2 2 2 6 3" xfId="12524" xr:uid="{00000000-0005-0000-0000-0000B7320000}"/>
    <cellStyle name="Normal 5 3 2 2 2 6 3 2" xfId="32239" xr:uid="{00000000-0005-0000-0000-0000B8320000}"/>
    <cellStyle name="Normal 5 3 2 2 2 6 4" xfId="22382" xr:uid="{00000000-0005-0000-0000-0000B9320000}"/>
    <cellStyle name="Normal 5 3 2 2 2 7" xfId="5128" xr:uid="{00000000-0005-0000-0000-0000BA320000}"/>
    <cellStyle name="Normal 5 3 2 2 2 7 2" xfId="14988" xr:uid="{00000000-0005-0000-0000-0000BB320000}"/>
    <cellStyle name="Normal 5 3 2 2 2 7 2 2" xfId="34703" xr:uid="{00000000-0005-0000-0000-0000BC320000}"/>
    <cellStyle name="Normal 5 3 2 2 2 7 3" xfId="24846" xr:uid="{00000000-0005-0000-0000-0000BD320000}"/>
    <cellStyle name="Normal 5 3 2 2 2 8" xfId="10060" xr:uid="{00000000-0005-0000-0000-0000BE320000}"/>
    <cellStyle name="Normal 5 3 2 2 2 8 2" xfId="29775" xr:uid="{00000000-0005-0000-0000-0000BF320000}"/>
    <cellStyle name="Normal 5 3 2 2 2 9" xfId="19918" xr:uid="{00000000-0005-0000-0000-0000C0320000}"/>
    <cellStyle name="Normal 5 3 2 2 3" xfId="254" xr:uid="{00000000-0005-0000-0000-0000C1320000}"/>
    <cellStyle name="Normal 5 3 2 2 3 2" xfId="568" xr:uid="{00000000-0005-0000-0000-0000C2320000}"/>
    <cellStyle name="Normal 5 3 2 2 3 2 2" xfId="1188" xr:uid="{00000000-0005-0000-0000-0000C3320000}"/>
    <cellStyle name="Normal 5 3 2 2 3 2 2 2" xfId="2423" xr:uid="{00000000-0005-0000-0000-0000C4320000}"/>
    <cellStyle name="Normal 5 3 2 2 3 2 2 2 2" xfId="4890" xr:uid="{00000000-0005-0000-0000-0000C5320000}"/>
    <cellStyle name="Normal 5 3 2 2 3 2 2 2 2 2" xfId="9822" xr:uid="{00000000-0005-0000-0000-0000C6320000}"/>
    <cellStyle name="Normal 5 3 2 2 3 2 2 2 2 2 2" xfId="19682" xr:uid="{00000000-0005-0000-0000-0000C7320000}"/>
    <cellStyle name="Normal 5 3 2 2 3 2 2 2 2 2 2 2" xfId="39397" xr:uid="{00000000-0005-0000-0000-0000C8320000}"/>
    <cellStyle name="Normal 5 3 2 2 3 2 2 2 2 2 3" xfId="29540" xr:uid="{00000000-0005-0000-0000-0000C9320000}"/>
    <cellStyle name="Normal 5 3 2 2 3 2 2 2 2 3" xfId="14754" xr:uid="{00000000-0005-0000-0000-0000CA320000}"/>
    <cellStyle name="Normal 5 3 2 2 3 2 2 2 2 3 2" xfId="34469" xr:uid="{00000000-0005-0000-0000-0000CB320000}"/>
    <cellStyle name="Normal 5 3 2 2 3 2 2 2 2 4" xfId="24612" xr:uid="{00000000-0005-0000-0000-0000CC320000}"/>
    <cellStyle name="Normal 5 3 2 2 3 2 2 2 3" xfId="7358" xr:uid="{00000000-0005-0000-0000-0000CD320000}"/>
    <cellStyle name="Normal 5 3 2 2 3 2 2 2 3 2" xfId="17218" xr:uid="{00000000-0005-0000-0000-0000CE320000}"/>
    <cellStyle name="Normal 5 3 2 2 3 2 2 2 3 2 2" xfId="36933" xr:uid="{00000000-0005-0000-0000-0000CF320000}"/>
    <cellStyle name="Normal 5 3 2 2 3 2 2 2 3 3" xfId="27076" xr:uid="{00000000-0005-0000-0000-0000D0320000}"/>
    <cellStyle name="Normal 5 3 2 2 3 2 2 2 4" xfId="12290" xr:uid="{00000000-0005-0000-0000-0000D1320000}"/>
    <cellStyle name="Normal 5 3 2 2 3 2 2 2 4 2" xfId="32005" xr:uid="{00000000-0005-0000-0000-0000D2320000}"/>
    <cellStyle name="Normal 5 3 2 2 3 2 2 2 5" xfId="22148" xr:uid="{00000000-0005-0000-0000-0000D3320000}"/>
    <cellStyle name="Normal 5 3 2 2 3 2 2 3" xfId="3658" xr:uid="{00000000-0005-0000-0000-0000D4320000}"/>
    <cellStyle name="Normal 5 3 2 2 3 2 2 3 2" xfId="8590" xr:uid="{00000000-0005-0000-0000-0000D5320000}"/>
    <cellStyle name="Normal 5 3 2 2 3 2 2 3 2 2" xfId="18450" xr:uid="{00000000-0005-0000-0000-0000D6320000}"/>
    <cellStyle name="Normal 5 3 2 2 3 2 2 3 2 2 2" xfId="38165" xr:uid="{00000000-0005-0000-0000-0000D7320000}"/>
    <cellStyle name="Normal 5 3 2 2 3 2 2 3 2 3" xfId="28308" xr:uid="{00000000-0005-0000-0000-0000D8320000}"/>
    <cellStyle name="Normal 5 3 2 2 3 2 2 3 3" xfId="13522" xr:uid="{00000000-0005-0000-0000-0000D9320000}"/>
    <cellStyle name="Normal 5 3 2 2 3 2 2 3 3 2" xfId="33237" xr:uid="{00000000-0005-0000-0000-0000DA320000}"/>
    <cellStyle name="Normal 5 3 2 2 3 2 2 3 4" xfId="23380" xr:uid="{00000000-0005-0000-0000-0000DB320000}"/>
    <cellStyle name="Normal 5 3 2 2 3 2 2 4" xfId="6126" xr:uid="{00000000-0005-0000-0000-0000DC320000}"/>
    <cellStyle name="Normal 5 3 2 2 3 2 2 4 2" xfId="15986" xr:uid="{00000000-0005-0000-0000-0000DD320000}"/>
    <cellStyle name="Normal 5 3 2 2 3 2 2 4 2 2" xfId="35701" xr:uid="{00000000-0005-0000-0000-0000DE320000}"/>
    <cellStyle name="Normal 5 3 2 2 3 2 2 4 3" xfId="25844" xr:uid="{00000000-0005-0000-0000-0000DF320000}"/>
    <cellStyle name="Normal 5 3 2 2 3 2 2 5" xfId="11058" xr:uid="{00000000-0005-0000-0000-0000E0320000}"/>
    <cellStyle name="Normal 5 3 2 2 3 2 2 5 2" xfId="30773" xr:uid="{00000000-0005-0000-0000-0000E1320000}"/>
    <cellStyle name="Normal 5 3 2 2 3 2 2 6" xfId="20916" xr:uid="{00000000-0005-0000-0000-0000E2320000}"/>
    <cellStyle name="Normal 5 3 2 2 3 2 3" xfId="1807" xr:uid="{00000000-0005-0000-0000-0000E3320000}"/>
    <cellStyle name="Normal 5 3 2 2 3 2 3 2" xfId="4274" xr:uid="{00000000-0005-0000-0000-0000E4320000}"/>
    <cellStyle name="Normal 5 3 2 2 3 2 3 2 2" xfId="9206" xr:uid="{00000000-0005-0000-0000-0000E5320000}"/>
    <cellStyle name="Normal 5 3 2 2 3 2 3 2 2 2" xfId="19066" xr:uid="{00000000-0005-0000-0000-0000E6320000}"/>
    <cellStyle name="Normal 5 3 2 2 3 2 3 2 2 2 2" xfId="38781" xr:uid="{00000000-0005-0000-0000-0000E7320000}"/>
    <cellStyle name="Normal 5 3 2 2 3 2 3 2 2 3" xfId="28924" xr:uid="{00000000-0005-0000-0000-0000E8320000}"/>
    <cellStyle name="Normal 5 3 2 2 3 2 3 2 3" xfId="14138" xr:uid="{00000000-0005-0000-0000-0000E9320000}"/>
    <cellStyle name="Normal 5 3 2 2 3 2 3 2 3 2" xfId="33853" xr:uid="{00000000-0005-0000-0000-0000EA320000}"/>
    <cellStyle name="Normal 5 3 2 2 3 2 3 2 4" xfId="23996" xr:uid="{00000000-0005-0000-0000-0000EB320000}"/>
    <cellStyle name="Normal 5 3 2 2 3 2 3 3" xfId="6742" xr:uid="{00000000-0005-0000-0000-0000EC320000}"/>
    <cellStyle name="Normal 5 3 2 2 3 2 3 3 2" xfId="16602" xr:uid="{00000000-0005-0000-0000-0000ED320000}"/>
    <cellStyle name="Normal 5 3 2 2 3 2 3 3 2 2" xfId="36317" xr:uid="{00000000-0005-0000-0000-0000EE320000}"/>
    <cellStyle name="Normal 5 3 2 2 3 2 3 3 3" xfId="26460" xr:uid="{00000000-0005-0000-0000-0000EF320000}"/>
    <cellStyle name="Normal 5 3 2 2 3 2 3 4" xfId="11674" xr:uid="{00000000-0005-0000-0000-0000F0320000}"/>
    <cellStyle name="Normal 5 3 2 2 3 2 3 4 2" xfId="31389" xr:uid="{00000000-0005-0000-0000-0000F1320000}"/>
    <cellStyle name="Normal 5 3 2 2 3 2 3 5" xfId="21532" xr:uid="{00000000-0005-0000-0000-0000F2320000}"/>
    <cellStyle name="Normal 5 3 2 2 3 2 4" xfId="3042" xr:uid="{00000000-0005-0000-0000-0000F3320000}"/>
    <cellStyle name="Normal 5 3 2 2 3 2 4 2" xfId="7974" xr:uid="{00000000-0005-0000-0000-0000F4320000}"/>
    <cellStyle name="Normal 5 3 2 2 3 2 4 2 2" xfId="17834" xr:uid="{00000000-0005-0000-0000-0000F5320000}"/>
    <cellStyle name="Normal 5 3 2 2 3 2 4 2 2 2" xfId="37549" xr:uid="{00000000-0005-0000-0000-0000F6320000}"/>
    <cellStyle name="Normal 5 3 2 2 3 2 4 2 3" xfId="27692" xr:uid="{00000000-0005-0000-0000-0000F7320000}"/>
    <cellStyle name="Normal 5 3 2 2 3 2 4 3" xfId="12906" xr:uid="{00000000-0005-0000-0000-0000F8320000}"/>
    <cellStyle name="Normal 5 3 2 2 3 2 4 3 2" xfId="32621" xr:uid="{00000000-0005-0000-0000-0000F9320000}"/>
    <cellStyle name="Normal 5 3 2 2 3 2 4 4" xfId="22764" xr:uid="{00000000-0005-0000-0000-0000FA320000}"/>
    <cellStyle name="Normal 5 3 2 2 3 2 5" xfId="5510" xr:uid="{00000000-0005-0000-0000-0000FB320000}"/>
    <cellStyle name="Normal 5 3 2 2 3 2 5 2" xfId="15370" xr:uid="{00000000-0005-0000-0000-0000FC320000}"/>
    <cellStyle name="Normal 5 3 2 2 3 2 5 2 2" xfId="35085" xr:uid="{00000000-0005-0000-0000-0000FD320000}"/>
    <cellStyle name="Normal 5 3 2 2 3 2 5 3" xfId="25228" xr:uid="{00000000-0005-0000-0000-0000FE320000}"/>
    <cellStyle name="Normal 5 3 2 2 3 2 6" xfId="10442" xr:uid="{00000000-0005-0000-0000-0000FF320000}"/>
    <cellStyle name="Normal 5 3 2 2 3 2 6 2" xfId="30157" xr:uid="{00000000-0005-0000-0000-000000330000}"/>
    <cellStyle name="Normal 5 3 2 2 3 2 7" xfId="20300" xr:uid="{00000000-0005-0000-0000-000001330000}"/>
    <cellStyle name="Normal 5 3 2 2 3 3" xfId="881" xr:uid="{00000000-0005-0000-0000-000002330000}"/>
    <cellStyle name="Normal 5 3 2 2 3 3 2" xfId="2117" xr:uid="{00000000-0005-0000-0000-000003330000}"/>
    <cellStyle name="Normal 5 3 2 2 3 3 2 2" xfId="4584" xr:uid="{00000000-0005-0000-0000-000004330000}"/>
    <cellStyle name="Normal 5 3 2 2 3 3 2 2 2" xfId="9516" xr:uid="{00000000-0005-0000-0000-000005330000}"/>
    <cellStyle name="Normal 5 3 2 2 3 3 2 2 2 2" xfId="19376" xr:uid="{00000000-0005-0000-0000-000006330000}"/>
    <cellStyle name="Normal 5 3 2 2 3 3 2 2 2 2 2" xfId="39091" xr:uid="{00000000-0005-0000-0000-000007330000}"/>
    <cellStyle name="Normal 5 3 2 2 3 3 2 2 2 3" xfId="29234" xr:uid="{00000000-0005-0000-0000-000008330000}"/>
    <cellStyle name="Normal 5 3 2 2 3 3 2 2 3" xfId="14448" xr:uid="{00000000-0005-0000-0000-000009330000}"/>
    <cellStyle name="Normal 5 3 2 2 3 3 2 2 3 2" xfId="34163" xr:uid="{00000000-0005-0000-0000-00000A330000}"/>
    <cellStyle name="Normal 5 3 2 2 3 3 2 2 4" xfId="24306" xr:uid="{00000000-0005-0000-0000-00000B330000}"/>
    <cellStyle name="Normal 5 3 2 2 3 3 2 3" xfId="7052" xr:uid="{00000000-0005-0000-0000-00000C330000}"/>
    <cellStyle name="Normal 5 3 2 2 3 3 2 3 2" xfId="16912" xr:uid="{00000000-0005-0000-0000-00000D330000}"/>
    <cellStyle name="Normal 5 3 2 2 3 3 2 3 2 2" xfId="36627" xr:uid="{00000000-0005-0000-0000-00000E330000}"/>
    <cellStyle name="Normal 5 3 2 2 3 3 2 3 3" xfId="26770" xr:uid="{00000000-0005-0000-0000-00000F330000}"/>
    <cellStyle name="Normal 5 3 2 2 3 3 2 4" xfId="11984" xr:uid="{00000000-0005-0000-0000-000010330000}"/>
    <cellStyle name="Normal 5 3 2 2 3 3 2 4 2" xfId="31699" xr:uid="{00000000-0005-0000-0000-000011330000}"/>
    <cellStyle name="Normal 5 3 2 2 3 3 2 5" xfId="21842" xr:uid="{00000000-0005-0000-0000-000012330000}"/>
    <cellStyle name="Normal 5 3 2 2 3 3 3" xfId="3352" xr:uid="{00000000-0005-0000-0000-000013330000}"/>
    <cellStyle name="Normal 5 3 2 2 3 3 3 2" xfId="8284" xr:uid="{00000000-0005-0000-0000-000014330000}"/>
    <cellStyle name="Normal 5 3 2 2 3 3 3 2 2" xfId="18144" xr:uid="{00000000-0005-0000-0000-000015330000}"/>
    <cellStyle name="Normal 5 3 2 2 3 3 3 2 2 2" xfId="37859" xr:uid="{00000000-0005-0000-0000-000016330000}"/>
    <cellStyle name="Normal 5 3 2 2 3 3 3 2 3" xfId="28002" xr:uid="{00000000-0005-0000-0000-000017330000}"/>
    <cellStyle name="Normal 5 3 2 2 3 3 3 3" xfId="13216" xr:uid="{00000000-0005-0000-0000-000018330000}"/>
    <cellStyle name="Normal 5 3 2 2 3 3 3 3 2" xfId="32931" xr:uid="{00000000-0005-0000-0000-000019330000}"/>
    <cellStyle name="Normal 5 3 2 2 3 3 3 4" xfId="23074" xr:uid="{00000000-0005-0000-0000-00001A330000}"/>
    <cellStyle name="Normal 5 3 2 2 3 3 4" xfId="5820" xr:uid="{00000000-0005-0000-0000-00001B330000}"/>
    <cellStyle name="Normal 5 3 2 2 3 3 4 2" xfId="15680" xr:uid="{00000000-0005-0000-0000-00001C330000}"/>
    <cellStyle name="Normal 5 3 2 2 3 3 4 2 2" xfId="35395" xr:uid="{00000000-0005-0000-0000-00001D330000}"/>
    <cellStyle name="Normal 5 3 2 2 3 3 4 3" xfId="25538" xr:uid="{00000000-0005-0000-0000-00001E330000}"/>
    <cellStyle name="Normal 5 3 2 2 3 3 5" xfId="10752" xr:uid="{00000000-0005-0000-0000-00001F330000}"/>
    <cellStyle name="Normal 5 3 2 2 3 3 5 2" xfId="30467" xr:uid="{00000000-0005-0000-0000-000020330000}"/>
    <cellStyle name="Normal 5 3 2 2 3 3 6" xfId="20610" xr:uid="{00000000-0005-0000-0000-000021330000}"/>
    <cellStyle name="Normal 5 3 2 2 3 4" xfId="1501" xr:uid="{00000000-0005-0000-0000-000022330000}"/>
    <cellStyle name="Normal 5 3 2 2 3 4 2" xfId="3968" xr:uid="{00000000-0005-0000-0000-000023330000}"/>
    <cellStyle name="Normal 5 3 2 2 3 4 2 2" xfId="8900" xr:uid="{00000000-0005-0000-0000-000024330000}"/>
    <cellStyle name="Normal 5 3 2 2 3 4 2 2 2" xfId="18760" xr:uid="{00000000-0005-0000-0000-000025330000}"/>
    <cellStyle name="Normal 5 3 2 2 3 4 2 2 2 2" xfId="38475" xr:uid="{00000000-0005-0000-0000-000026330000}"/>
    <cellStyle name="Normal 5 3 2 2 3 4 2 2 3" xfId="28618" xr:uid="{00000000-0005-0000-0000-000027330000}"/>
    <cellStyle name="Normal 5 3 2 2 3 4 2 3" xfId="13832" xr:uid="{00000000-0005-0000-0000-000028330000}"/>
    <cellStyle name="Normal 5 3 2 2 3 4 2 3 2" xfId="33547" xr:uid="{00000000-0005-0000-0000-000029330000}"/>
    <cellStyle name="Normal 5 3 2 2 3 4 2 4" xfId="23690" xr:uid="{00000000-0005-0000-0000-00002A330000}"/>
    <cellStyle name="Normal 5 3 2 2 3 4 3" xfId="6436" xr:uid="{00000000-0005-0000-0000-00002B330000}"/>
    <cellStyle name="Normal 5 3 2 2 3 4 3 2" xfId="16296" xr:uid="{00000000-0005-0000-0000-00002C330000}"/>
    <cellStyle name="Normal 5 3 2 2 3 4 3 2 2" xfId="36011" xr:uid="{00000000-0005-0000-0000-00002D330000}"/>
    <cellStyle name="Normal 5 3 2 2 3 4 3 3" xfId="26154" xr:uid="{00000000-0005-0000-0000-00002E330000}"/>
    <cellStyle name="Normal 5 3 2 2 3 4 4" xfId="11368" xr:uid="{00000000-0005-0000-0000-00002F330000}"/>
    <cellStyle name="Normal 5 3 2 2 3 4 4 2" xfId="31083" xr:uid="{00000000-0005-0000-0000-000030330000}"/>
    <cellStyle name="Normal 5 3 2 2 3 4 5" xfId="21226" xr:uid="{00000000-0005-0000-0000-000031330000}"/>
    <cellStyle name="Normal 5 3 2 2 3 5" xfId="2736" xr:uid="{00000000-0005-0000-0000-000032330000}"/>
    <cellStyle name="Normal 5 3 2 2 3 5 2" xfId="7668" xr:uid="{00000000-0005-0000-0000-000033330000}"/>
    <cellStyle name="Normal 5 3 2 2 3 5 2 2" xfId="17528" xr:uid="{00000000-0005-0000-0000-000034330000}"/>
    <cellStyle name="Normal 5 3 2 2 3 5 2 2 2" xfId="37243" xr:uid="{00000000-0005-0000-0000-000035330000}"/>
    <cellStyle name="Normal 5 3 2 2 3 5 2 3" xfId="27386" xr:uid="{00000000-0005-0000-0000-000036330000}"/>
    <cellStyle name="Normal 5 3 2 2 3 5 3" xfId="12600" xr:uid="{00000000-0005-0000-0000-000037330000}"/>
    <cellStyle name="Normal 5 3 2 2 3 5 3 2" xfId="32315" xr:uid="{00000000-0005-0000-0000-000038330000}"/>
    <cellStyle name="Normal 5 3 2 2 3 5 4" xfId="22458" xr:uid="{00000000-0005-0000-0000-000039330000}"/>
    <cellStyle name="Normal 5 3 2 2 3 6" xfId="5204" xr:uid="{00000000-0005-0000-0000-00003A330000}"/>
    <cellStyle name="Normal 5 3 2 2 3 6 2" xfId="15064" xr:uid="{00000000-0005-0000-0000-00003B330000}"/>
    <cellStyle name="Normal 5 3 2 2 3 6 2 2" xfId="34779" xr:uid="{00000000-0005-0000-0000-00003C330000}"/>
    <cellStyle name="Normal 5 3 2 2 3 6 3" xfId="24922" xr:uid="{00000000-0005-0000-0000-00003D330000}"/>
    <cellStyle name="Normal 5 3 2 2 3 7" xfId="10136" xr:uid="{00000000-0005-0000-0000-00003E330000}"/>
    <cellStyle name="Normal 5 3 2 2 3 7 2" xfId="29851" xr:uid="{00000000-0005-0000-0000-00003F330000}"/>
    <cellStyle name="Normal 5 3 2 2 3 8" xfId="19994" xr:uid="{00000000-0005-0000-0000-000040330000}"/>
    <cellStyle name="Normal 5 3 2 2 4" xfId="416" xr:uid="{00000000-0005-0000-0000-000041330000}"/>
    <cellStyle name="Normal 5 3 2 2 4 2" xfId="1036" xr:uid="{00000000-0005-0000-0000-000042330000}"/>
    <cellStyle name="Normal 5 3 2 2 4 2 2" xfId="2271" xr:uid="{00000000-0005-0000-0000-000043330000}"/>
    <cellStyle name="Normal 5 3 2 2 4 2 2 2" xfId="4738" xr:uid="{00000000-0005-0000-0000-000044330000}"/>
    <cellStyle name="Normal 5 3 2 2 4 2 2 2 2" xfId="9670" xr:uid="{00000000-0005-0000-0000-000045330000}"/>
    <cellStyle name="Normal 5 3 2 2 4 2 2 2 2 2" xfId="19530" xr:uid="{00000000-0005-0000-0000-000046330000}"/>
    <cellStyle name="Normal 5 3 2 2 4 2 2 2 2 2 2" xfId="39245" xr:uid="{00000000-0005-0000-0000-000047330000}"/>
    <cellStyle name="Normal 5 3 2 2 4 2 2 2 2 3" xfId="29388" xr:uid="{00000000-0005-0000-0000-000048330000}"/>
    <cellStyle name="Normal 5 3 2 2 4 2 2 2 3" xfId="14602" xr:uid="{00000000-0005-0000-0000-000049330000}"/>
    <cellStyle name="Normal 5 3 2 2 4 2 2 2 3 2" xfId="34317" xr:uid="{00000000-0005-0000-0000-00004A330000}"/>
    <cellStyle name="Normal 5 3 2 2 4 2 2 2 4" xfId="24460" xr:uid="{00000000-0005-0000-0000-00004B330000}"/>
    <cellStyle name="Normal 5 3 2 2 4 2 2 3" xfId="7206" xr:uid="{00000000-0005-0000-0000-00004C330000}"/>
    <cellStyle name="Normal 5 3 2 2 4 2 2 3 2" xfId="17066" xr:uid="{00000000-0005-0000-0000-00004D330000}"/>
    <cellStyle name="Normal 5 3 2 2 4 2 2 3 2 2" xfId="36781" xr:uid="{00000000-0005-0000-0000-00004E330000}"/>
    <cellStyle name="Normal 5 3 2 2 4 2 2 3 3" xfId="26924" xr:uid="{00000000-0005-0000-0000-00004F330000}"/>
    <cellStyle name="Normal 5 3 2 2 4 2 2 4" xfId="12138" xr:uid="{00000000-0005-0000-0000-000050330000}"/>
    <cellStyle name="Normal 5 3 2 2 4 2 2 4 2" xfId="31853" xr:uid="{00000000-0005-0000-0000-000051330000}"/>
    <cellStyle name="Normal 5 3 2 2 4 2 2 5" xfId="21996" xr:uid="{00000000-0005-0000-0000-000052330000}"/>
    <cellStyle name="Normal 5 3 2 2 4 2 3" xfId="3506" xr:uid="{00000000-0005-0000-0000-000053330000}"/>
    <cellStyle name="Normal 5 3 2 2 4 2 3 2" xfId="8438" xr:uid="{00000000-0005-0000-0000-000054330000}"/>
    <cellStyle name="Normal 5 3 2 2 4 2 3 2 2" xfId="18298" xr:uid="{00000000-0005-0000-0000-000055330000}"/>
    <cellStyle name="Normal 5 3 2 2 4 2 3 2 2 2" xfId="38013" xr:uid="{00000000-0005-0000-0000-000056330000}"/>
    <cellStyle name="Normal 5 3 2 2 4 2 3 2 3" xfId="28156" xr:uid="{00000000-0005-0000-0000-000057330000}"/>
    <cellStyle name="Normal 5 3 2 2 4 2 3 3" xfId="13370" xr:uid="{00000000-0005-0000-0000-000058330000}"/>
    <cellStyle name="Normal 5 3 2 2 4 2 3 3 2" xfId="33085" xr:uid="{00000000-0005-0000-0000-000059330000}"/>
    <cellStyle name="Normal 5 3 2 2 4 2 3 4" xfId="23228" xr:uid="{00000000-0005-0000-0000-00005A330000}"/>
    <cellStyle name="Normal 5 3 2 2 4 2 4" xfId="5974" xr:uid="{00000000-0005-0000-0000-00005B330000}"/>
    <cellStyle name="Normal 5 3 2 2 4 2 4 2" xfId="15834" xr:uid="{00000000-0005-0000-0000-00005C330000}"/>
    <cellStyle name="Normal 5 3 2 2 4 2 4 2 2" xfId="35549" xr:uid="{00000000-0005-0000-0000-00005D330000}"/>
    <cellStyle name="Normal 5 3 2 2 4 2 4 3" xfId="25692" xr:uid="{00000000-0005-0000-0000-00005E330000}"/>
    <cellStyle name="Normal 5 3 2 2 4 2 5" xfId="10906" xr:uid="{00000000-0005-0000-0000-00005F330000}"/>
    <cellStyle name="Normal 5 3 2 2 4 2 5 2" xfId="30621" xr:uid="{00000000-0005-0000-0000-000060330000}"/>
    <cellStyle name="Normal 5 3 2 2 4 2 6" xfId="20764" xr:uid="{00000000-0005-0000-0000-000061330000}"/>
    <cellStyle name="Normal 5 3 2 2 4 3" xfId="1655" xr:uid="{00000000-0005-0000-0000-000062330000}"/>
    <cellStyle name="Normal 5 3 2 2 4 3 2" xfId="4122" xr:uid="{00000000-0005-0000-0000-000063330000}"/>
    <cellStyle name="Normal 5 3 2 2 4 3 2 2" xfId="9054" xr:uid="{00000000-0005-0000-0000-000064330000}"/>
    <cellStyle name="Normal 5 3 2 2 4 3 2 2 2" xfId="18914" xr:uid="{00000000-0005-0000-0000-000065330000}"/>
    <cellStyle name="Normal 5 3 2 2 4 3 2 2 2 2" xfId="38629" xr:uid="{00000000-0005-0000-0000-000066330000}"/>
    <cellStyle name="Normal 5 3 2 2 4 3 2 2 3" xfId="28772" xr:uid="{00000000-0005-0000-0000-000067330000}"/>
    <cellStyle name="Normal 5 3 2 2 4 3 2 3" xfId="13986" xr:uid="{00000000-0005-0000-0000-000068330000}"/>
    <cellStyle name="Normal 5 3 2 2 4 3 2 3 2" xfId="33701" xr:uid="{00000000-0005-0000-0000-000069330000}"/>
    <cellStyle name="Normal 5 3 2 2 4 3 2 4" xfId="23844" xr:uid="{00000000-0005-0000-0000-00006A330000}"/>
    <cellStyle name="Normal 5 3 2 2 4 3 3" xfId="6590" xr:uid="{00000000-0005-0000-0000-00006B330000}"/>
    <cellStyle name="Normal 5 3 2 2 4 3 3 2" xfId="16450" xr:uid="{00000000-0005-0000-0000-00006C330000}"/>
    <cellStyle name="Normal 5 3 2 2 4 3 3 2 2" xfId="36165" xr:uid="{00000000-0005-0000-0000-00006D330000}"/>
    <cellStyle name="Normal 5 3 2 2 4 3 3 3" xfId="26308" xr:uid="{00000000-0005-0000-0000-00006E330000}"/>
    <cellStyle name="Normal 5 3 2 2 4 3 4" xfId="11522" xr:uid="{00000000-0005-0000-0000-00006F330000}"/>
    <cellStyle name="Normal 5 3 2 2 4 3 4 2" xfId="31237" xr:uid="{00000000-0005-0000-0000-000070330000}"/>
    <cellStyle name="Normal 5 3 2 2 4 3 5" xfId="21380" xr:uid="{00000000-0005-0000-0000-000071330000}"/>
    <cellStyle name="Normal 5 3 2 2 4 4" xfId="2890" xr:uid="{00000000-0005-0000-0000-000072330000}"/>
    <cellStyle name="Normal 5 3 2 2 4 4 2" xfId="7822" xr:uid="{00000000-0005-0000-0000-000073330000}"/>
    <cellStyle name="Normal 5 3 2 2 4 4 2 2" xfId="17682" xr:uid="{00000000-0005-0000-0000-000074330000}"/>
    <cellStyle name="Normal 5 3 2 2 4 4 2 2 2" xfId="37397" xr:uid="{00000000-0005-0000-0000-000075330000}"/>
    <cellStyle name="Normal 5 3 2 2 4 4 2 3" xfId="27540" xr:uid="{00000000-0005-0000-0000-000076330000}"/>
    <cellStyle name="Normal 5 3 2 2 4 4 3" xfId="12754" xr:uid="{00000000-0005-0000-0000-000077330000}"/>
    <cellStyle name="Normal 5 3 2 2 4 4 3 2" xfId="32469" xr:uid="{00000000-0005-0000-0000-000078330000}"/>
    <cellStyle name="Normal 5 3 2 2 4 4 4" xfId="22612" xr:uid="{00000000-0005-0000-0000-000079330000}"/>
    <cellStyle name="Normal 5 3 2 2 4 5" xfId="5358" xr:uid="{00000000-0005-0000-0000-00007A330000}"/>
    <cellStyle name="Normal 5 3 2 2 4 5 2" xfId="15218" xr:uid="{00000000-0005-0000-0000-00007B330000}"/>
    <cellStyle name="Normal 5 3 2 2 4 5 2 2" xfId="34933" xr:uid="{00000000-0005-0000-0000-00007C330000}"/>
    <cellStyle name="Normal 5 3 2 2 4 5 3" xfId="25076" xr:uid="{00000000-0005-0000-0000-00007D330000}"/>
    <cellStyle name="Normal 5 3 2 2 4 6" xfId="10290" xr:uid="{00000000-0005-0000-0000-00007E330000}"/>
    <cellStyle name="Normal 5 3 2 2 4 6 2" xfId="30005" xr:uid="{00000000-0005-0000-0000-00007F330000}"/>
    <cellStyle name="Normal 5 3 2 2 4 7" xfId="20148" xr:uid="{00000000-0005-0000-0000-000080330000}"/>
    <cellStyle name="Normal 5 3 2 2 5" xfId="729" xr:uid="{00000000-0005-0000-0000-000081330000}"/>
    <cellStyle name="Normal 5 3 2 2 5 2" xfId="1965" xr:uid="{00000000-0005-0000-0000-000082330000}"/>
    <cellStyle name="Normal 5 3 2 2 5 2 2" xfId="4432" xr:uid="{00000000-0005-0000-0000-000083330000}"/>
    <cellStyle name="Normal 5 3 2 2 5 2 2 2" xfId="9364" xr:uid="{00000000-0005-0000-0000-000084330000}"/>
    <cellStyle name="Normal 5 3 2 2 5 2 2 2 2" xfId="19224" xr:uid="{00000000-0005-0000-0000-000085330000}"/>
    <cellStyle name="Normal 5 3 2 2 5 2 2 2 2 2" xfId="38939" xr:uid="{00000000-0005-0000-0000-000086330000}"/>
    <cellStyle name="Normal 5 3 2 2 5 2 2 2 3" xfId="29082" xr:uid="{00000000-0005-0000-0000-000087330000}"/>
    <cellStyle name="Normal 5 3 2 2 5 2 2 3" xfId="14296" xr:uid="{00000000-0005-0000-0000-000088330000}"/>
    <cellStyle name="Normal 5 3 2 2 5 2 2 3 2" xfId="34011" xr:uid="{00000000-0005-0000-0000-000089330000}"/>
    <cellStyle name="Normal 5 3 2 2 5 2 2 4" xfId="24154" xr:uid="{00000000-0005-0000-0000-00008A330000}"/>
    <cellStyle name="Normal 5 3 2 2 5 2 3" xfId="6900" xr:uid="{00000000-0005-0000-0000-00008B330000}"/>
    <cellStyle name="Normal 5 3 2 2 5 2 3 2" xfId="16760" xr:uid="{00000000-0005-0000-0000-00008C330000}"/>
    <cellStyle name="Normal 5 3 2 2 5 2 3 2 2" xfId="36475" xr:uid="{00000000-0005-0000-0000-00008D330000}"/>
    <cellStyle name="Normal 5 3 2 2 5 2 3 3" xfId="26618" xr:uid="{00000000-0005-0000-0000-00008E330000}"/>
    <cellStyle name="Normal 5 3 2 2 5 2 4" xfId="11832" xr:uid="{00000000-0005-0000-0000-00008F330000}"/>
    <cellStyle name="Normal 5 3 2 2 5 2 4 2" xfId="31547" xr:uid="{00000000-0005-0000-0000-000090330000}"/>
    <cellStyle name="Normal 5 3 2 2 5 2 5" xfId="21690" xr:uid="{00000000-0005-0000-0000-000091330000}"/>
    <cellStyle name="Normal 5 3 2 2 5 3" xfId="3200" xr:uid="{00000000-0005-0000-0000-000092330000}"/>
    <cellStyle name="Normal 5 3 2 2 5 3 2" xfId="8132" xr:uid="{00000000-0005-0000-0000-000093330000}"/>
    <cellStyle name="Normal 5 3 2 2 5 3 2 2" xfId="17992" xr:uid="{00000000-0005-0000-0000-000094330000}"/>
    <cellStyle name="Normal 5 3 2 2 5 3 2 2 2" xfId="37707" xr:uid="{00000000-0005-0000-0000-000095330000}"/>
    <cellStyle name="Normal 5 3 2 2 5 3 2 3" xfId="27850" xr:uid="{00000000-0005-0000-0000-000096330000}"/>
    <cellStyle name="Normal 5 3 2 2 5 3 3" xfId="13064" xr:uid="{00000000-0005-0000-0000-000097330000}"/>
    <cellStyle name="Normal 5 3 2 2 5 3 3 2" xfId="32779" xr:uid="{00000000-0005-0000-0000-000098330000}"/>
    <cellStyle name="Normal 5 3 2 2 5 3 4" xfId="22922" xr:uid="{00000000-0005-0000-0000-000099330000}"/>
    <cellStyle name="Normal 5 3 2 2 5 4" xfId="5668" xr:uid="{00000000-0005-0000-0000-00009A330000}"/>
    <cellStyle name="Normal 5 3 2 2 5 4 2" xfId="15528" xr:uid="{00000000-0005-0000-0000-00009B330000}"/>
    <cellStyle name="Normal 5 3 2 2 5 4 2 2" xfId="35243" xr:uid="{00000000-0005-0000-0000-00009C330000}"/>
    <cellStyle name="Normal 5 3 2 2 5 4 3" xfId="25386" xr:uid="{00000000-0005-0000-0000-00009D330000}"/>
    <cellStyle name="Normal 5 3 2 2 5 5" xfId="10600" xr:uid="{00000000-0005-0000-0000-00009E330000}"/>
    <cellStyle name="Normal 5 3 2 2 5 5 2" xfId="30315" xr:uid="{00000000-0005-0000-0000-00009F330000}"/>
    <cellStyle name="Normal 5 3 2 2 5 6" xfId="20458" xr:uid="{00000000-0005-0000-0000-0000A0330000}"/>
    <cellStyle name="Normal 5 3 2 2 6" xfId="1349" xr:uid="{00000000-0005-0000-0000-0000A1330000}"/>
    <cellStyle name="Normal 5 3 2 2 6 2" xfId="3816" xr:uid="{00000000-0005-0000-0000-0000A2330000}"/>
    <cellStyle name="Normal 5 3 2 2 6 2 2" xfId="8748" xr:uid="{00000000-0005-0000-0000-0000A3330000}"/>
    <cellStyle name="Normal 5 3 2 2 6 2 2 2" xfId="18608" xr:uid="{00000000-0005-0000-0000-0000A4330000}"/>
    <cellStyle name="Normal 5 3 2 2 6 2 2 2 2" xfId="38323" xr:uid="{00000000-0005-0000-0000-0000A5330000}"/>
    <cellStyle name="Normal 5 3 2 2 6 2 2 3" xfId="28466" xr:uid="{00000000-0005-0000-0000-0000A6330000}"/>
    <cellStyle name="Normal 5 3 2 2 6 2 3" xfId="13680" xr:uid="{00000000-0005-0000-0000-0000A7330000}"/>
    <cellStyle name="Normal 5 3 2 2 6 2 3 2" xfId="33395" xr:uid="{00000000-0005-0000-0000-0000A8330000}"/>
    <cellStyle name="Normal 5 3 2 2 6 2 4" xfId="23538" xr:uid="{00000000-0005-0000-0000-0000A9330000}"/>
    <cellStyle name="Normal 5 3 2 2 6 3" xfId="6284" xr:uid="{00000000-0005-0000-0000-0000AA330000}"/>
    <cellStyle name="Normal 5 3 2 2 6 3 2" xfId="16144" xr:uid="{00000000-0005-0000-0000-0000AB330000}"/>
    <cellStyle name="Normal 5 3 2 2 6 3 2 2" xfId="35859" xr:uid="{00000000-0005-0000-0000-0000AC330000}"/>
    <cellStyle name="Normal 5 3 2 2 6 3 3" xfId="26002" xr:uid="{00000000-0005-0000-0000-0000AD330000}"/>
    <cellStyle name="Normal 5 3 2 2 6 4" xfId="11216" xr:uid="{00000000-0005-0000-0000-0000AE330000}"/>
    <cellStyle name="Normal 5 3 2 2 6 4 2" xfId="30931" xr:uid="{00000000-0005-0000-0000-0000AF330000}"/>
    <cellStyle name="Normal 5 3 2 2 6 5" xfId="21074" xr:uid="{00000000-0005-0000-0000-0000B0330000}"/>
    <cellStyle name="Normal 5 3 2 2 7" xfId="2584" xr:uid="{00000000-0005-0000-0000-0000B1330000}"/>
    <cellStyle name="Normal 5 3 2 2 7 2" xfId="7516" xr:uid="{00000000-0005-0000-0000-0000B2330000}"/>
    <cellStyle name="Normal 5 3 2 2 7 2 2" xfId="17376" xr:uid="{00000000-0005-0000-0000-0000B3330000}"/>
    <cellStyle name="Normal 5 3 2 2 7 2 2 2" xfId="37091" xr:uid="{00000000-0005-0000-0000-0000B4330000}"/>
    <cellStyle name="Normal 5 3 2 2 7 2 3" xfId="27234" xr:uid="{00000000-0005-0000-0000-0000B5330000}"/>
    <cellStyle name="Normal 5 3 2 2 7 3" xfId="12448" xr:uid="{00000000-0005-0000-0000-0000B6330000}"/>
    <cellStyle name="Normal 5 3 2 2 7 3 2" xfId="32163" xr:uid="{00000000-0005-0000-0000-0000B7330000}"/>
    <cellStyle name="Normal 5 3 2 2 7 4" xfId="22306" xr:uid="{00000000-0005-0000-0000-0000B8330000}"/>
    <cellStyle name="Normal 5 3 2 2 8" xfId="5052" xr:uid="{00000000-0005-0000-0000-0000B9330000}"/>
    <cellStyle name="Normal 5 3 2 2 8 2" xfId="14912" xr:uid="{00000000-0005-0000-0000-0000BA330000}"/>
    <cellStyle name="Normal 5 3 2 2 8 2 2" xfId="34627" xr:uid="{00000000-0005-0000-0000-0000BB330000}"/>
    <cellStyle name="Normal 5 3 2 2 8 3" xfId="24770" xr:uid="{00000000-0005-0000-0000-0000BC330000}"/>
    <cellStyle name="Normal 5 3 2 2 9" xfId="9984" xr:uid="{00000000-0005-0000-0000-0000BD330000}"/>
    <cellStyle name="Normal 5 3 2 2 9 2" xfId="29699" xr:uid="{00000000-0005-0000-0000-0000BE330000}"/>
    <cellStyle name="Normal 5 3 2 3" xfId="135" xr:uid="{00000000-0005-0000-0000-0000BF330000}"/>
    <cellStyle name="Normal 5 3 2 3 2" xfId="292" xr:uid="{00000000-0005-0000-0000-0000C0330000}"/>
    <cellStyle name="Normal 5 3 2 3 2 2" xfId="606" xr:uid="{00000000-0005-0000-0000-0000C1330000}"/>
    <cellStyle name="Normal 5 3 2 3 2 2 2" xfId="1226" xr:uid="{00000000-0005-0000-0000-0000C2330000}"/>
    <cellStyle name="Normal 5 3 2 3 2 2 2 2" xfId="2461" xr:uid="{00000000-0005-0000-0000-0000C3330000}"/>
    <cellStyle name="Normal 5 3 2 3 2 2 2 2 2" xfId="4928" xr:uid="{00000000-0005-0000-0000-0000C4330000}"/>
    <cellStyle name="Normal 5 3 2 3 2 2 2 2 2 2" xfId="9860" xr:uid="{00000000-0005-0000-0000-0000C5330000}"/>
    <cellStyle name="Normal 5 3 2 3 2 2 2 2 2 2 2" xfId="19720" xr:uid="{00000000-0005-0000-0000-0000C6330000}"/>
    <cellStyle name="Normal 5 3 2 3 2 2 2 2 2 2 2 2" xfId="39435" xr:uid="{00000000-0005-0000-0000-0000C7330000}"/>
    <cellStyle name="Normal 5 3 2 3 2 2 2 2 2 2 3" xfId="29578" xr:uid="{00000000-0005-0000-0000-0000C8330000}"/>
    <cellStyle name="Normal 5 3 2 3 2 2 2 2 2 3" xfId="14792" xr:uid="{00000000-0005-0000-0000-0000C9330000}"/>
    <cellStyle name="Normal 5 3 2 3 2 2 2 2 2 3 2" xfId="34507" xr:uid="{00000000-0005-0000-0000-0000CA330000}"/>
    <cellStyle name="Normal 5 3 2 3 2 2 2 2 2 4" xfId="24650" xr:uid="{00000000-0005-0000-0000-0000CB330000}"/>
    <cellStyle name="Normal 5 3 2 3 2 2 2 2 3" xfId="7396" xr:uid="{00000000-0005-0000-0000-0000CC330000}"/>
    <cellStyle name="Normal 5 3 2 3 2 2 2 2 3 2" xfId="17256" xr:uid="{00000000-0005-0000-0000-0000CD330000}"/>
    <cellStyle name="Normal 5 3 2 3 2 2 2 2 3 2 2" xfId="36971" xr:uid="{00000000-0005-0000-0000-0000CE330000}"/>
    <cellStyle name="Normal 5 3 2 3 2 2 2 2 3 3" xfId="27114" xr:uid="{00000000-0005-0000-0000-0000CF330000}"/>
    <cellStyle name="Normal 5 3 2 3 2 2 2 2 4" xfId="12328" xr:uid="{00000000-0005-0000-0000-0000D0330000}"/>
    <cellStyle name="Normal 5 3 2 3 2 2 2 2 4 2" xfId="32043" xr:uid="{00000000-0005-0000-0000-0000D1330000}"/>
    <cellStyle name="Normal 5 3 2 3 2 2 2 2 5" xfId="22186" xr:uid="{00000000-0005-0000-0000-0000D2330000}"/>
    <cellStyle name="Normal 5 3 2 3 2 2 2 3" xfId="3696" xr:uid="{00000000-0005-0000-0000-0000D3330000}"/>
    <cellStyle name="Normal 5 3 2 3 2 2 2 3 2" xfId="8628" xr:uid="{00000000-0005-0000-0000-0000D4330000}"/>
    <cellStyle name="Normal 5 3 2 3 2 2 2 3 2 2" xfId="18488" xr:uid="{00000000-0005-0000-0000-0000D5330000}"/>
    <cellStyle name="Normal 5 3 2 3 2 2 2 3 2 2 2" xfId="38203" xr:uid="{00000000-0005-0000-0000-0000D6330000}"/>
    <cellStyle name="Normal 5 3 2 3 2 2 2 3 2 3" xfId="28346" xr:uid="{00000000-0005-0000-0000-0000D7330000}"/>
    <cellStyle name="Normal 5 3 2 3 2 2 2 3 3" xfId="13560" xr:uid="{00000000-0005-0000-0000-0000D8330000}"/>
    <cellStyle name="Normal 5 3 2 3 2 2 2 3 3 2" xfId="33275" xr:uid="{00000000-0005-0000-0000-0000D9330000}"/>
    <cellStyle name="Normal 5 3 2 3 2 2 2 3 4" xfId="23418" xr:uid="{00000000-0005-0000-0000-0000DA330000}"/>
    <cellStyle name="Normal 5 3 2 3 2 2 2 4" xfId="6164" xr:uid="{00000000-0005-0000-0000-0000DB330000}"/>
    <cellStyle name="Normal 5 3 2 3 2 2 2 4 2" xfId="16024" xr:uid="{00000000-0005-0000-0000-0000DC330000}"/>
    <cellStyle name="Normal 5 3 2 3 2 2 2 4 2 2" xfId="35739" xr:uid="{00000000-0005-0000-0000-0000DD330000}"/>
    <cellStyle name="Normal 5 3 2 3 2 2 2 4 3" xfId="25882" xr:uid="{00000000-0005-0000-0000-0000DE330000}"/>
    <cellStyle name="Normal 5 3 2 3 2 2 2 5" xfId="11096" xr:uid="{00000000-0005-0000-0000-0000DF330000}"/>
    <cellStyle name="Normal 5 3 2 3 2 2 2 5 2" xfId="30811" xr:uid="{00000000-0005-0000-0000-0000E0330000}"/>
    <cellStyle name="Normal 5 3 2 3 2 2 2 6" xfId="20954" xr:uid="{00000000-0005-0000-0000-0000E1330000}"/>
    <cellStyle name="Normal 5 3 2 3 2 2 3" xfId="1845" xr:uid="{00000000-0005-0000-0000-0000E2330000}"/>
    <cellStyle name="Normal 5 3 2 3 2 2 3 2" xfId="4312" xr:uid="{00000000-0005-0000-0000-0000E3330000}"/>
    <cellStyle name="Normal 5 3 2 3 2 2 3 2 2" xfId="9244" xr:uid="{00000000-0005-0000-0000-0000E4330000}"/>
    <cellStyle name="Normal 5 3 2 3 2 2 3 2 2 2" xfId="19104" xr:uid="{00000000-0005-0000-0000-0000E5330000}"/>
    <cellStyle name="Normal 5 3 2 3 2 2 3 2 2 2 2" xfId="38819" xr:uid="{00000000-0005-0000-0000-0000E6330000}"/>
    <cellStyle name="Normal 5 3 2 3 2 2 3 2 2 3" xfId="28962" xr:uid="{00000000-0005-0000-0000-0000E7330000}"/>
    <cellStyle name="Normal 5 3 2 3 2 2 3 2 3" xfId="14176" xr:uid="{00000000-0005-0000-0000-0000E8330000}"/>
    <cellStyle name="Normal 5 3 2 3 2 2 3 2 3 2" xfId="33891" xr:uid="{00000000-0005-0000-0000-0000E9330000}"/>
    <cellStyle name="Normal 5 3 2 3 2 2 3 2 4" xfId="24034" xr:uid="{00000000-0005-0000-0000-0000EA330000}"/>
    <cellStyle name="Normal 5 3 2 3 2 2 3 3" xfId="6780" xr:uid="{00000000-0005-0000-0000-0000EB330000}"/>
    <cellStyle name="Normal 5 3 2 3 2 2 3 3 2" xfId="16640" xr:uid="{00000000-0005-0000-0000-0000EC330000}"/>
    <cellStyle name="Normal 5 3 2 3 2 2 3 3 2 2" xfId="36355" xr:uid="{00000000-0005-0000-0000-0000ED330000}"/>
    <cellStyle name="Normal 5 3 2 3 2 2 3 3 3" xfId="26498" xr:uid="{00000000-0005-0000-0000-0000EE330000}"/>
    <cellStyle name="Normal 5 3 2 3 2 2 3 4" xfId="11712" xr:uid="{00000000-0005-0000-0000-0000EF330000}"/>
    <cellStyle name="Normal 5 3 2 3 2 2 3 4 2" xfId="31427" xr:uid="{00000000-0005-0000-0000-0000F0330000}"/>
    <cellStyle name="Normal 5 3 2 3 2 2 3 5" xfId="21570" xr:uid="{00000000-0005-0000-0000-0000F1330000}"/>
    <cellStyle name="Normal 5 3 2 3 2 2 4" xfId="3080" xr:uid="{00000000-0005-0000-0000-0000F2330000}"/>
    <cellStyle name="Normal 5 3 2 3 2 2 4 2" xfId="8012" xr:uid="{00000000-0005-0000-0000-0000F3330000}"/>
    <cellStyle name="Normal 5 3 2 3 2 2 4 2 2" xfId="17872" xr:uid="{00000000-0005-0000-0000-0000F4330000}"/>
    <cellStyle name="Normal 5 3 2 3 2 2 4 2 2 2" xfId="37587" xr:uid="{00000000-0005-0000-0000-0000F5330000}"/>
    <cellStyle name="Normal 5 3 2 3 2 2 4 2 3" xfId="27730" xr:uid="{00000000-0005-0000-0000-0000F6330000}"/>
    <cellStyle name="Normal 5 3 2 3 2 2 4 3" xfId="12944" xr:uid="{00000000-0005-0000-0000-0000F7330000}"/>
    <cellStyle name="Normal 5 3 2 3 2 2 4 3 2" xfId="32659" xr:uid="{00000000-0005-0000-0000-0000F8330000}"/>
    <cellStyle name="Normal 5 3 2 3 2 2 4 4" xfId="22802" xr:uid="{00000000-0005-0000-0000-0000F9330000}"/>
    <cellStyle name="Normal 5 3 2 3 2 2 5" xfId="5548" xr:uid="{00000000-0005-0000-0000-0000FA330000}"/>
    <cellStyle name="Normal 5 3 2 3 2 2 5 2" xfId="15408" xr:uid="{00000000-0005-0000-0000-0000FB330000}"/>
    <cellStyle name="Normal 5 3 2 3 2 2 5 2 2" xfId="35123" xr:uid="{00000000-0005-0000-0000-0000FC330000}"/>
    <cellStyle name="Normal 5 3 2 3 2 2 5 3" xfId="25266" xr:uid="{00000000-0005-0000-0000-0000FD330000}"/>
    <cellStyle name="Normal 5 3 2 3 2 2 6" xfId="10480" xr:uid="{00000000-0005-0000-0000-0000FE330000}"/>
    <cellStyle name="Normal 5 3 2 3 2 2 6 2" xfId="30195" xr:uid="{00000000-0005-0000-0000-0000FF330000}"/>
    <cellStyle name="Normal 5 3 2 3 2 2 7" xfId="20338" xr:uid="{00000000-0005-0000-0000-000000340000}"/>
    <cellStyle name="Normal 5 3 2 3 2 3" xfId="919" xr:uid="{00000000-0005-0000-0000-000001340000}"/>
    <cellStyle name="Normal 5 3 2 3 2 3 2" xfId="2155" xr:uid="{00000000-0005-0000-0000-000002340000}"/>
    <cellStyle name="Normal 5 3 2 3 2 3 2 2" xfId="4622" xr:uid="{00000000-0005-0000-0000-000003340000}"/>
    <cellStyle name="Normal 5 3 2 3 2 3 2 2 2" xfId="9554" xr:uid="{00000000-0005-0000-0000-000004340000}"/>
    <cellStyle name="Normal 5 3 2 3 2 3 2 2 2 2" xfId="19414" xr:uid="{00000000-0005-0000-0000-000005340000}"/>
    <cellStyle name="Normal 5 3 2 3 2 3 2 2 2 2 2" xfId="39129" xr:uid="{00000000-0005-0000-0000-000006340000}"/>
    <cellStyle name="Normal 5 3 2 3 2 3 2 2 2 3" xfId="29272" xr:uid="{00000000-0005-0000-0000-000007340000}"/>
    <cellStyle name="Normal 5 3 2 3 2 3 2 2 3" xfId="14486" xr:uid="{00000000-0005-0000-0000-000008340000}"/>
    <cellStyle name="Normal 5 3 2 3 2 3 2 2 3 2" xfId="34201" xr:uid="{00000000-0005-0000-0000-000009340000}"/>
    <cellStyle name="Normal 5 3 2 3 2 3 2 2 4" xfId="24344" xr:uid="{00000000-0005-0000-0000-00000A340000}"/>
    <cellStyle name="Normal 5 3 2 3 2 3 2 3" xfId="7090" xr:uid="{00000000-0005-0000-0000-00000B340000}"/>
    <cellStyle name="Normal 5 3 2 3 2 3 2 3 2" xfId="16950" xr:uid="{00000000-0005-0000-0000-00000C340000}"/>
    <cellStyle name="Normal 5 3 2 3 2 3 2 3 2 2" xfId="36665" xr:uid="{00000000-0005-0000-0000-00000D340000}"/>
    <cellStyle name="Normal 5 3 2 3 2 3 2 3 3" xfId="26808" xr:uid="{00000000-0005-0000-0000-00000E340000}"/>
    <cellStyle name="Normal 5 3 2 3 2 3 2 4" xfId="12022" xr:uid="{00000000-0005-0000-0000-00000F340000}"/>
    <cellStyle name="Normal 5 3 2 3 2 3 2 4 2" xfId="31737" xr:uid="{00000000-0005-0000-0000-000010340000}"/>
    <cellStyle name="Normal 5 3 2 3 2 3 2 5" xfId="21880" xr:uid="{00000000-0005-0000-0000-000011340000}"/>
    <cellStyle name="Normal 5 3 2 3 2 3 3" xfId="3390" xr:uid="{00000000-0005-0000-0000-000012340000}"/>
    <cellStyle name="Normal 5 3 2 3 2 3 3 2" xfId="8322" xr:uid="{00000000-0005-0000-0000-000013340000}"/>
    <cellStyle name="Normal 5 3 2 3 2 3 3 2 2" xfId="18182" xr:uid="{00000000-0005-0000-0000-000014340000}"/>
    <cellStyle name="Normal 5 3 2 3 2 3 3 2 2 2" xfId="37897" xr:uid="{00000000-0005-0000-0000-000015340000}"/>
    <cellStyle name="Normal 5 3 2 3 2 3 3 2 3" xfId="28040" xr:uid="{00000000-0005-0000-0000-000016340000}"/>
    <cellStyle name="Normal 5 3 2 3 2 3 3 3" xfId="13254" xr:uid="{00000000-0005-0000-0000-000017340000}"/>
    <cellStyle name="Normal 5 3 2 3 2 3 3 3 2" xfId="32969" xr:uid="{00000000-0005-0000-0000-000018340000}"/>
    <cellStyle name="Normal 5 3 2 3 2 3 3 4" xfId="23112" xr:uid="{00000000-0005-0000-0000-000019340000}"/>
    <cellStyle name="Normal 5 3 2 3 2 3 4" xfId="5858" xr:uid="{00000000-0005-0000-0000-00001A340000}"/>
    <cellStyle name="Normal 5 3 2 3 2 3 4 2" xfId="15718" xr:uid="{00000000-0005-0000-0000-00001B340000}"/>
    <cellStyle name="Normal 5 3 2 3 2 3 4 2 2" xfId="35433" xr:uid="{00000000-0005-0000-0000-00001C340000}"/>
    <cellStyle name="Normal 5 3 2 3 2 3 4 3" xfId="25576" xr:uid="{00000000-0005-0000-0000-00001D340000}"/>
    <cellStyle name="Normal 5 3 2 3 2 3 5" xfId="10790" xr:uid="{00000000-0005-0000-0000-00001E340000}"/>
    <cellStyle name="Normal 5 3 2 3 2 3 5 2" xfId="30505" xr:uid="{00000000-0005-0000-0000-00001F340000}"/>
    <cellStyle name="Normal 5 3 2 3 2 3 6" xfId="20648" xr:uid="{00000000-0005-0000-0000-000020340000}"/>
    <cellStyle name="Normal 5 3 2 3 2 4" xfId="1539" xr:uid="{00000000-0005-0000-0000-000021340000}"/>
    <cellStyle name="Normal 5 3 2 3 2 4 2" xfId="4006" xr:uid="{00000000-0005-0000-0000-000022340000}"/>
    <cellStyle name="Normal 5 3 2 3 2 4 2 2" xfId="8938" xr:uid="{00000000-0005-0000-0000-000023340000}"/>
    <cellStyle name="Normal 5 3 2 3 2 4 2 2 2" xfId="18798" xr:uid="{00000000-0005-0000-0000-000024340000}"/>
    <cellStyle name="Normal 5 3 2 3 2 4 2 2 2 2" xfId="38513" xr:uid="{00000000-0005-0000-0000-000025340000}"/>
    <cellStyle name="Normal 5 3 2 3 2 4 2 2 3" xfId="28656" xr:uid="{00000000-0005-0000-0000-000026340000}"/>
    <cellStyle name="Normal 5 3 2 3 2 4 2 3" xfId="13870" xr:uid="{00000000-0005-0000-0000-000027340000}"/>
    <cellStyle name="Normal 5 3 2 3 2 4 2 3 2" xfId="33585" xr:uid="{00000000-0005-0000-0000-000028340000}"/>
    <cellStyle name="Normal 5 3 2 3 2 4 2 4" xfId="23728" xr:uid="{00000000-0005-0000-0000-000029340000}"/>
    <cellStyle name="Normal 5 3 2 3 2 4 3" xfId="6474" xr:uid="{00000000-0005-0000-0000-00002A340000}"/>
    <cellStyle name="Normal 5 3 2 3 2 4 3 2" xfId="16334" xr:uid="{00000000-0005-0000-0000-00002B340000}"/>
    <cellStyle name="Normal 5 3 2 3 2 4 3 2 2" xfId="36049" xr:uid="{00000000-0005-0000-0000-00002C340000}"/>
    <cellStyle name="Normal 5 3 2 3 2 4 3 3" xfId="26192" xr:uid="{00000000-0005-0000-0000-00002D340000}"/>
    <cellStyle name="Normal 5 3 2 3 2 4 4" xfId="11406" xr:uid="{00000000-0005-0000-0000-00002E340000}"/>
    <cellStyle name="Normal 5 3 2 3 2 4 4 2" xfId="31121" xr:uid="{00000000-0005-0000-0000-00002F340000}"/>
    <cellStyle name="Normal 5 3 2 3 2 4 5" xfId="21264" xr:uid="{00000000-0005-0000-0000-000030340000}"/>
    <cellStyle name="Normal 5 3 2 3 2 5" xfId="2774" xr:uid="{00000000-0005-0000-0000-000031340000}"/>
    <cellStyle name="Normal 5 3 2 3 2 5 2" xfId="7706" xr:uid="{00000000-0005-0000-0000-000032340000}"/>
    <cellStyle name="Normal 5 3 2 3 2 5 2 2" xfId="17566" xr:uid="{00000000-0005-0000-0000-000033340000}"/>
    <cellStyle name="Normal 5 3 2 3 2 5 2 2 2" xfId="37281" xr:uid="{00000000-0005-0000-0000-000034340000}"/>
    <cellStyle name="Normal 5 3 2 3 2 5 2 3" xfId="27424" xr:uid="{00000000-0005-0000-0000-000035340000}"/>
    <cellStyle name="Normal 5 3 2 3 2 5 3" xfId="12638" xr:uid="{00000000-0005-0000-0000-000036340000}"/>
    <cellStyle name="Normal 5 3 2 3 2 5 3 2" xfId="32353" xr:uid="{00000000-0005-0000-0000-000037340000}"/>
    <cellStyle name="Normal 5 3 2 3 2 5 4" xfId="22496" xr:uid="{00000000-0005-0000-0000-000038340000}"/>
    <cellStyle name="Normal 5 3 2 3 2 6" xfId="5242" xr:uid="{00000000-0005-0000-0000-000039340000}"/>
    <cellStyle name="Normal 5 3 2 3 2 6 2" xfId="15102" xr:uid="{00000000-0005-0000-0000-00003A340000}"/>
    <cellStyle name="Normal 5 3 2 3 2 6 2 2" xfId="34817" xr:uid="{00000000-0005-0000-0000-00003B340000}"/>
    <cellStyle name="Normal 5 3 2 3 2 6 3" xfId="24960" xr:uid="{00000000-0005-0000-0000-00003C340000}"/>
    <cellStyle name="Normal 5 3 2 3 2 7" xfId="10174" xr:uid="{00000000-0005-0000-0000-00003D340000}"/>
    <cellStyle name="Normal 5 3 2 3 2 7 2" xfId="29889" xr:uid="{00000000-0005-0000-0000-00003E340000}"/>
    <cellStyle name="Normal 5 3 2 3 2 8" xfId="20032" xr:uid="{00000000-0005-0000-0000-00003F340000}"/>
    <cellStyle name="Normal 5 3 2 3 3" xfId="454" xr:uid="{00000000-0005-0000-0000-000040340000}"/>
    <cellStyle name="Normal 5 3 2 3 3 2" xfId="1074" xr:uid="{00000000-0005-0000-0000-000041340000}"/>
    <cellStyle name="Normal 5 3 2 3 3 2 2" xfId="2309" xr:uid="{00000000-0005-0000-0000-000042340000}"/>
    <cellStyle name="Normal 5 3 2 3 3 2 2 2" xfId="4776" xr:uid="{00000000-0005-0000-0000-000043340000}"/>
    <cellStyle name="Normal 5 3 2 3 3 2 2 2 2" xfId="9708" xr:uid="{00000000-0005-0000-0000-000044340000}"/>
    <cellStyle name="Normal 5 3 2 3 3 2 2 2 2 2" xfId="19568" xr:uid="{00000000-0005-0000-0000-000045340000}"/>
    <cellStyle name="Normal 5 3 2 3 3 2 2 2 2 2 2" xfId="39283" xr:uid="{00000000-0005-0000-0000-000046340000}"/>
    <cellStyle name="Normal 5 3 2 3 3 2 2 2 2 3" xfId="29426" xr:uid="{00000000-0005-0000-0000-000047340000}"/>
    <cellStyle name="Normal 5 3 2 3 3 2 2 2 3" xfId="14640" xr:uid="{00000000-0005-0000-0000-000048340000}"/>
    <cellStyle name="Normal 5 3 2 3 3 2 2 2 3 2" xfId="34355" xr:uid="{00000000-0005-0000-0000-000049340000}"/>
    <cellStyle name="Normal 5 3 2 3 3 2 2 2 4" xfId="24498" xr:uid="{00000000-0005-0000-0000-00004A340000}"/>
    <cellStyle name="Normal 5 3 2 3 3 2 2 3" xfId="7244" xr:uid="{00000000-0005-0000-0000-00004B340000}"/>
    <cellStyle name="Normal 5 3 2 3 3 2 2 3 2" xfId="17104" xr:uid="{00000000-0005-0000-0000-00004C340000}"/>
    <cellStyle name="Normal 5 3 2 3 3 2 2 3 2 2" xfId="36819" xr:uid="{00000000-0005-0000-0000-00004D340000}"/>
    <cellStyle name="Normal 5 3 2 3 3 2 2 3 3" xfId="26962" xr:uid="{00000000-0005-0000-0000-00004E340000}"/>
    <cellStyle name="Normal 5 3 2 3 3 2 2 4" xfId="12176" xr:uid="{00000000-0005-0000-0000-00004F340000}"/>
    <cellStyle name="Normal 5 3 2 3 3 2 2 4 2" xfId="31891" xr:uid="{00000000-0005-0000-0000-000050340000}"/>
    <cellStyle name="Normal 5 3 2 3 3 2 2 5" xfId="22034" xr:uid="{00000000-0005-0000-0000-000051340000}"/>
    <cellStyle name="Normal 5 3 2 3 3 2 3" xfId="3544" xr:uid="{00000000-0005-0000-0000-000052340000}"/>
    <cellStyle name="Normal 5 3 2 3 3 2 3 2" xfId="8476" xr:uid="{00000000-0005-0000-0000-000053340000}"/>
    <cellStyle name="Normal 5 3 2 3 3 2 3 2 2" xfId="18336" xr:uid="{00000000-0005-0000-0000-000054340000}"/>
    <cellStyle name="Normal 5 3 2 3 3 2 3 2 2 2" xfId="38051" xr:uid="{00000000-0005-0000-0000-000055340000}"/>
    <cellStyle name="Normal 5 3 2 3 3 2 3 2 3" xfId="28194" xr:uid="{00000000-0005-0000-0000-000056340000}"/>
    <cellStyle name="Normal 5 3 2 3 3 2 3 3" xfId="13408" xr:uid="{00000000-0005-0000-0000-000057340000}"/>
    <cellStyle name="Normal 5 3 2 3 3 2 3 3 2" xfId="33123" xr:uid="{00000000-0005-0000-0000-000058340000}"/>
    <cellStyle name="Normal 5 3 2 3 3 2 3 4" xfId="23266" xr:uid="{00000000-0005-0000-0000-000059340000}"/>
    <cellStyle name="Normal 5 3 2 3 3 2 4" xfId="6012" xr:uid="{00000000-0005-0000-0000-00005A340000}"/>
    <cellStyle name="Normal 5 3 2 3 3 2 4 2" xfId="15872" xr:uid="{00000000-0005-0000-0000-00005B340000}"/>
    <cellStyle name="Normal 5 3 2 3 3 2 4 2 2" xfId="35587" xr:uid="{00000000-0005-0000-0000-00005C340000}"/>
    <cellStyle name="Normal 5 3 2 3 3 2 4 3" xfId="25730" xr:uid="{00000000-0005-0000-0000-00005D340000}"/>
    <cellStyle name="Normal 5 3 2 3 3 2 5" xfId="10944" xr:uid="{00000000-0005-0000-0000-00005E340000}"/>
    <cellStyle name="Normal 5 3 2 3 3 2 5 2" xfId="30659" xr:uid="{00000000-0005-0000-0000-00005F340000}"/>
    <cellStyle name="Normal 5 3 2 3 3 2 6" xfId="20802" xr:uid="{00000000-0005-0000-0000-000060340000}"/>
    <cellStyle name="Normal 5 3 2 3 3 3" xfId="1693" xr:uid="{00000000-0005-0000-0000-000061340000}"/>
    <cellStyle name="Normal 5 3 2 3 3 3 2" xfId="4160" xr:uid="{00000000-0005-0000-0000-000062340000}"/>
    <cellStyle name="Normal 5 3 2 3 3 3 2 2" xfId="9092" xr:uid="{00000000-0005-0000-0000-000063340000}"/>
    <cellStyle name="Normal 5 3 2 3 3 3 2 2 2" xfId="18952" xr:uid="{00000000-0005-0000-0000-000064340000}"/>
    <cellStyle name="Normal 5 3 2 3 3 3 2 2 2 2" xfId="38667" xr:uid="{00000000-0005-0000-0000-000065340000}"/>
    <cellStyle name="Normal 5 3 2 3 3 3 2 2 3" xfId="28810" xr:uid="{00000000-0005-0000-0000-000066340000}"/>
    <cellStyle name="Normal 5 3 2 3 3 3 2 3" xfId="14024" xr:uid="{00000000-0005-0000-0000-000067340000}"/>
    <cellStyle name="Normal 5 3 2 3 3 3 2 3 2" xfId="33739" xr:uid="{00000000-0005-0000-0000-000068340000}"/>
    <cellStyle name="Normal 5 3 2 3 3 3 2 4" xfId="23882" xr:uid="{00000000-0005-0000-0000-000069340000}"/>
    <cellStyle name="Normal 5 3 2 3 3 3 3" xfId="6628" xr:uid="{00000000-0005-0000-0000-00006A340000}"/>
    <cellStyle name="Normal 5 3 2 3 3 3 3 2" xfId="16488" xr:uid="{00000000-0005-0000-0000-00006B340000}"/>
    <cellStyle name="Normal 5 3 2 3 3 3 3 2 2" xfId="36203" xr:uid="{00000000-0005-0000-0000-00006C340000}"/>
    <cellStyle name="Normal 5 3 2 3 3 3 3 3" xfId="26346" xr:uid="{00000000-0005-0000-0000-00006D340000}"/>
    <cellStyle name="Normal 5 3 2 3 3 3 4" xfId="11560" xr:uid="{00000000-0005-0000-0000-00006E340000}"/>
    <cellStyle name="Normal 5 3 2 3 3 3 4 2" xfId="31275" xr:uid="{00000000-0005-0000-0000-00006F340000}"/>
    <cellStyle name="Normal 5 3 2 3 3 3 5" xfId="21418" xr:uid="{00000000-0005-0000-0000-000070340000}"/>
    <cellStyle name="Normal 5 3 2 3 3 4" xfId="2928" xr:uid="{00000000-0005-0000-0000-000071340000}"/>
    <cellStyle name="Normal 5 3 2 3 3 4 2" xfId="7860" xr:uid="{00000000-0005-0000-0000-000072340000}"/>
    <cellStyle name="Normal 5 3 2 3 3 4 2 2" xfId="17720" xr:uid="{00000000-0005-0000-0000-000073340000}"/>
    <cellStyle name="Normal 5 3 2 3 3 4 2 2 2" xfId="37435" xr:uid="{00000000-0005-0000-0000-000074340000}"/>
    <cellStyle name="Normal 5 3 2 3 3 4 2 3" xfId="27578" xr:uid="{00000000-0005-0000-0000-000075340000}"/>
    <cellStyle name="Normal 5 3 2 3 3 4 3" xfId="12792" xr:uid="{00000000-0005-0000-0000-000076340000}"/>
    <cellStyle name="Normal 5 3 2 3 3 4 3 2" xfId="32507" xr:uid="{00000000-0005-0000-0000-000077340000}"/>
    <cellStyle name="Normal 5 3 2 3 3 4 4" xfId="22650" xr:uid="{00000000-0005-0000-0000-000078340000}"/>
    <cellStyle name="Normal 5 3 2 3 3 5" xfId="5396" xr:uid="{00000000-0005-0000-0000-000079340000}"/>
    <cellStyle name="Normal 5 3 2 3 3 5 2" xfId="15256" xr:uid="{00000000-0005-0000-0000-00007A340000}"/>
    <cellStyle name="Normal 5 3 2 3 3 5 2 2" xfId="34971" xr:uid="{00000000-0005-0000-0000-00007B340000}"/>
    <cellStyle name="Normal 5 3 2 3 3 5 3" xfId="25114" xr:uid="{00000000-0005-0000-0000-00007C340000}"/>
    <cellStyle name="Normal 5 3 2 3 3 6" xfId="10328" xr:uid="{00000000-0005-0000-0000-00007D340000}"/>
    <cellStyle name="Normal 5 3 2 3 3 6 2" xfId="30043" xr:uid="{00000000-0005-0000-0000-00007E340000}"/>
    <cellStyle name="Normal 5 3 2 3 3 7" xfId="20186" xr:uid="{00000000-0005-0000-0000-00007F340000}"/>
    <cellStyle name="Normal 5 3 2 3 4" xfId="767" xr:uid="{00000000-0005-0000-0000-000080340000}"/>
    <cellStyle name="Normal 5 3 2 3 4 2" xfId="2003" xr:uid="{00000000-0005-0000-0000-000081340000}"/>
    <cellStyle name="Normal 5 3 2 3 4 2 2" xfId="4470" xr:uid="{00000000-0005-0000-0000-000082340000}"/>
    <cellStyle name="Normal 5 3 2 3 4 2 2 2" xfId="9402" xr:uid="{00000000-0005-0000-0000-000083340000}"/>
    <cellStyle name="Normal 5 3 2 3 4 2 2 2 2" xfId="19262" xr:uid="{00000000-0005-0000-0000-000084340000}"/>
    <cellStyle name="Normal 5 3 2 3 4 2 2 2 2 2" xfId="38977" xr:uid="{00000000-0005-0000-0000-000085340000}"/>
    <cellStyle name="Normal 5 3 2 3 4 2 2 2 3" xfId="29120" xr:uid="{00000000-0005-0000-0000-000086340000}"/>
    <cellStyle name="Normal 5 3 2 3 4 2 2 3" xfId="14334" xr:uid="{00000000-0005-0000-0000-000087340000}"/>
    <cellStyle name="Normal 5 3 2 3 4 2 2 3 2" xfId="34049" xr:uid="{00000000-0005-0000-0000-000088340000}"/>
    <cellStyle name="Normal 5 3 2 3 4 2 2 4" xfId="24192" xr:uid="{00000000-0005-0000-0000-000089340000}"/>
    <cellStyle name="Normal 5 3 2 3 4 2 3" xfId="6938" xr:uid="{00000000-0005-0000-0000-00008A340000}"/>
    <cellStyle name="Normal 5 3 2 3 4 2 3 2" xfId="16798" xr:uid="{00000000-0005-0000-0000-00008B340000}"/>
    <cellStyle name="Normal 5 3 2 3 4 2 3 2 2" xfId="36513" xr:uid="{00000000-0005-0000-0000-00008C340000}"/>
    <cellStyle name="Normal 5 3 2 3 4 2 3 3" xfId="26656" xr:uid="{00000000-0005-0000-0000-00008D340000}"/>
    <cellStyle name="Normal 5 3 2 3 4 2 4" xfId="11870" xr:uid="{00000000-0005-0000-0000-00008E340000}"/>
    <cellStyle name="Normal 5 3 2 3 4 2 4 2" xfId="31585" xr:uid="{00000000-0005-0000-0000-00008F340000}"/>
    <cellStyle name="Normal 5 3 2 3 4 2 5" xfId="21728" xr:uid="{00000000-0005-0000-0000-000090340000}"/>
    <cellStyle name="Normal 5 3 2 3 4 3" xfId="3238" xr:uid="{00000000-0005-0000-0000-000091340000}"/>
    <cellStyle name="Normal 5 3 2 3 4 3 2" xfId="8170" xr:uid="{00000000-0005-0000-0000-000092340000}"/>
    <cellStyle name="Normal 5 3 2 3 4 3 2 2" xfId="18030" xr:uid="{00000000-0005-0000-0000-000093340000}"/>
    <cellStyle name="Normal 5 3 2 3 4 3 2 2 2" xfId="37745" xr:uid="{00000000-0005-0000-0000-000094340000}"/>
    <cellStyle name="Normal 5 3 2 3 4 3 2 3" xfId="27888" xr:uid="{00000000-0005-0000-0000-000095340000}"/>
    <cellStyle name="Normal 5 3 2 3 4 3 3" xfId="13102" xr:uid="{00000000-0005-0000-0000-000096340000}"/>
    <cellStyle name="Normal 5 3 2 3 4 3 3 2" xfId="32817" xr:uid="{00000000-0005-0000-0000-000097340000}"/>
    <cellStyle name="Normal 5 3 2 3 4 3 4" xfId="22960" xr:uid="{00000000-0005-0000-0000-000098340000}"/>
    <cellStyle name="Normal 5 3 2 3 4 4" xfId="5706" xr:uid="{00000000-0005-0000-0000-000099340000}"/>
    <cellStyle name="Normal 5 3 2 3 4 4 2" xfId="15566" xr:uid="{00000000-0005-0000-0000-00009A340000}"/>
    <cellStyle name="Normal 5 3 2 3 4 4 2 2" xfId="35281" xr:uid="{00000000-0005-0000-0000-00009B340000}"/>
    <cellStyle name="Normal 5 3 2 3 4 4 3" xfId="25424" xr:uid="{00000000-0005-0000-0000-00009C340000}"/>
    <cellStyle name="Normal 5 3 2 3 4 5" xfId="10638" xr:uid="{00000000-0005-0000-0000-00009D340000}"/>
    <cellStyle name="Normal 5 3 2 3 4 5 2" xfId="30353" xr:uid="{00000000-0005-0000-0000-00009E340000}"/>
    <cellStyle name="Normal 5 3 2 3 4 6" xfId="20496" xr:uid="{00000000-0005-0000-0000-00009F340000}"/>
    <cellStyle name="Normal 5 3 2 3 5" xfId="1387" xr:uid="{00000000-0005-0000-0000-0000A0340000}"/>
    <cellStyle name="Normal 5 3 2 3 5 2" xfId="3854" xr:uid="{00000000-0005-0000-0000-0000A1340000}"/>
    <cellStyle name="Normal 5 3 2 3 5 2 2" xfId="8786" xr:uid="{00000000-0005-0000-0000-0000A2340000}"/>
    <cellStyle name="Normal 5 3 2 3 5 2 2 2" xfId="18646" xr:uid="{00000000-0005-0000-0000-0000A3340000}"/>
    <cellStyle name="Normal 5 3 2 3 5 2 2 2 2" xfId="38361" xr:uid="{00000000-0005-0000-0000-0000A4340000}"/>
    <cellStyle name="Normal 5 3 2 3 5 2 2 3" xfId="28504" xr:uid="{00000000-0005-0000-0000-0000A5340000}"/>
    <cellStyle name="Normal 5 3 2 3 5 2 3" xfId="13718" xr:uid="{00000000-0005-0000-0000-0000A6340000}"/>
    <cellStyle name="Normal 5 3 2 3 5 2 3 2" xfId="33433" xr:uid="{00000000-0005-0000-0000-0000A7340000}"/>
    <cellStyle name="Normal 5 3 2 3 5 2 4" xfId="23576" xr:uid="{00000000-0005-0000-0000-0000A8340000}"/>
    <cellStyle name="Normal 5 3 2 3 5 3" xfId="6322" xr:uid="{00000000-0005-0000-0000-0000A9340000}"/>
    <cellStyle name="Normal 5 3 2 3 5 3 2" xfId="16182" xr:uid="{00000000-0005-0000-0000-0000AA340000}"/>
    <cellStyle name="Normal 5 3 2 3 5 3 2 2" xfId="35897" xr:uid="{00000000-0005-0000-0000-0000AB340000}"/>
    <cellStyle name="Normal 5 3 2 3 5 3 3" xfId="26040" xr:uid="{00000000-0005-0000-0000-0000AC340000}"/>
    <cellStyle name="Normal 5 3 2 3 5 4" xfId="11254" xr:uid="{00000000-0005-0000-0000-0000AD340000}"/>
    <cellStyle name="Normal 5 3 2 3 5 4 2" xfId="30969" xr:uid="{00000000-0005-0000-0000-0000AE340000}"/>
    <cellStyle name="Normal 5 3 2 3 5 5" xfId="21112" xr:uid="{00000000-0005-0000-0000-0000AF340000}"/>
    <cellStyle name="Normal 5 3 2 3 6" xfId="2622" xr:uid="{00000000-0005-0000-0000-0000B0340000}"/>
    <cellStyle name="Normal 5 3 2 3 6 2" xfId="7554" xr:uid="{00000000-0005-0000-0000-0000B1340000}"/>
    <cellStyle name="Normal 5 3 2 3 6 2 2" xfId="17414" xr:uid="{00000000-0005-0000-0000-0000B2340000}"/>
    <cellStyle name="Normal 5 3 2 3 6 2 2 2" xfId="37129" xr:uid="{00000000-0005-0000-0000-0000B3340000}"/>
    <cellStyle name="Normal 5 3 2 3 6 2 3" xfId="27272" xr:uid="{00000000-0005-0000-0000-0000B4340000}"/>
    <cellStyle name="Normal 5 3 2 3 6 3" xfId="12486" xr:uid="{00000000-0005-0000-0000-0000B5340000}"/>
    <cellStyle name="Normal 5 3 2 3 6 3 2" xfId="32201" xr:uid="{00000000-0005-0000-0000-0000B6340000}"/>
    <cellStyle name="Normal 5 3 2 3 6 4" xfId="22344" xr:uid="{00000000-0005-0000-0000-0000B7340000}"/>
    <cellStyle name="Normal 5 3 2 3 7" xfId="5090" xr:uid="{00000000-0005-0000-0000-0000B8340000}"/>
    <cellStyle name="Normal 5 3 2 3 7 2" xfId="14950" xr:uid="{00000000-0005-0000-0000-0000B9340000}"/>
    <cellStyle name="Normal 5 3 2 3 7 2 2" xfId="34665" xr:uid="{00000000-0005-0000-0000-0000BA340000}"/>
    <cellStyle name="Normal 5 3 2 3 7 3" xfId="24808" xr:uid="{00000000-0005-0000-0000-0000BB340000}"/>
    <cellStyle name="Normal 5 3 2 3 8" xfId="10022" xr:uid="{00000000-0005-0000-0000-0000BC340000}"/>
    <cellStyle name="Normal 5 3 2 3 8 2" xfId="29737" xr:uid="{00000000-0005-0000-0000-0000BD340000}"/>
    <cellStyle name="Normal 5 3 2 3 9" xfId="19880" xr:uid="{00000000-0005-0000-0000-0000BE340000}"/>
    <cellStyle name="Normal 5 3 2 4" xfId="216" xr:uid="{00000000-0005-0000-0000-0000BF340000}"/>
    <cellStyle name="Normal 5 3 2 4 2" xfId="530" xr:uid="{00000000-0005-0000-0000-0000C0340000}"/>
    <cellStyle name="Normal 5 3 2 4 2 2" xfId="1150" xr:uid="{00000000-0005-0000-0000-0000C1340000}"/>
    <cellStyle name="Normal 5 3 2 4 2 2 2" xfId="2385" xr:uid="{00000000-0005-0000-0000-0000C2340000}"/>
    <cellStyle name="Normal 5 3 2 4 2 2 2 2" xfId="4852" xr:uid="{00000000-0005-0000-0000-0000C3340000}"/>
    <cellStyle name="Normal 5 3 2 4 2 2 2 2 2" xfId="9784" xr:uid="{00000000-0005-0000-0000-0000C4340000}"/>
    <cellStyle name="Normal 5 3 2 4 2 2 2 2 2 2" xfId="19644" xr:uid="{00000000-0005-0000-0000-0000C5340000}"/>
    <cellStyle name="Normal 5 3 2 4 2 2 2 2 2 2 2" xfId="39359" xr:uid="{00000000-0005-0000-0000-0000C6340000}"/>
    <cellStyle name="Normal 5 3 2 4 2 2 2 2 2 3" xfId="29502" xr:uid="{00000000-0005-0000-0000-0000C7340000}"/>
    <cellStyle name="Normal 5 3 2 4 2 2 2 2 3" xfId="14716" xr:uid="{00000000-0005-0000-0000-0000C8340000}"/>
    <cellStyle name="Normal 5 3 2 4 2 2 2 2 3 2" xfId="34431" xr:uid="{00000000-0005-0000-0000-0000C9340000}"/>
    <cellStyle name="Normal 5 3 2 4 2 2 2 2 4" xfId="24574" xr:uid="{00000000-0005-0000-0000-0000CA340000}"/>
    <cellStyle name="Normal 5 3 2 4 2 2 2 3" xfId="7320" xr:uid="{00000000-0005-0000-0000-0000CB340000}"/>
    <cellStyle name="Normal 5 3 2 4 2 2 2 3 2" xfId="17180" xr:uid="{00000000-0005-0000-0000-0000CC340000}"/>
    <cellStyle name="Normal 5 3 2 4 2 2 2 3 2 2" xfId="36895" xr:uid="{00000000-0005-0000-0000-0000CD340000}"/>
    <cellStyle name="Normal 5 3 2 4 2 2 2 3 3" xfId="27038" xr:uid="{00000000-0005-0000-0000-0000CE340000}"/>
    <cellStyle name="Normal 5 3 2 4 2 2 2 4" xfId="12252" xr:uid="{00000000-0005-0000-0000-0000CF340000}"/>
    <cellStyle name="Normal 5 3 2 4 2 2 2 4 2" xfId="31967" xr:uid="{00000000-0005-0000-0000-0000D0340000}"/>
    <cellStyle name="Normal 5 3 2 4 2 2 2 5" xfId="22110" xr:uid="{00000000-0005-0000-0000-0000D1340000}"/>
    <cellStyle name="Normal 5 3 2 4 2 2 3" xfId="3620" xr:uid="{00000000-0005-0000-0000-0000D2340000}"/>
    <cellStyle name="Normal 5 3 2 4 2 2 3 2" xfId="8552" xr:uid="{00000000-0005-0000-0000-0000D3340000}"/>
    <cellStyle name="Normal 5 3 2 4 2 2 3 2 2" xfId="18412" xr:uid="{00000000-0005-0000-0000-0000D4340000}"/>
    <cellStyle name="Normal 5 3 2 4 2 2 3 2 2 2" xfId="38127" xr:uid="{00000000-0005-0000-0000-0000D5340000}"/>
    <cellStyle name="Normal 5 3 2 4 2 2 3 2 3" xfId="28270" xr:uid="{00000000-0005-0000-0000-0000D6340000}"/>
    <cellStyle name="Normal 5 3 2 4 2 2 3 3" xfId="13484" xr:uid="{00000000-0005-0000-0000-0000D7340000}"/>
    <cellStyle name="Normal 5 3 2 4 2 2 3 3 2" xfId="33199" xr:uid="{00000000-0005-0000-0000-0000D8340000}"/>
    <cellStyle name="Normal 5 3 2 4 2 2 3 4" xfId="23342" xr:uid="{00000000-0005-0000-0000-0000D9340000}"/>
    <cellStyle name="Normal 5 3 2 4 2 2 4" xfId="6088" xr:uid="{00000000-0005-0000-0000-0000DA340000}"/>
    <cellStyle name="Normal 5 3 2 4 2 2 4 2" xfId="15948" xr:uid="{00000000-0005-0000-0000-0000DB340000}"/>
    <cellStyle name="Normal 5 3 2 4 2 2 4 2 2" xfId="35663" xr:uid="{00000000-0005-0000-0000-0000DC340000}"/>
    <cellStyle name="Normal 5 3 2 4 2 2 4 3" xfId="25806" xr:uid="{00000000-0005-0000-0000-0000DD340000}"/>
    <cellStyle name="Normal 5 3 2 4 2 2 5" xfId="11020" xr:uid="{00000000-0005-0000-0000-0000DE340000}"/>
    <cellStyle name="Normal 5 3 2 4 2 2 5 2" xfId="30735" xr:uid="{00000000-0005-0000-0000-0000DF340000}"/>
    <cellStyle name="Normal 5 3 2 4 2 2 6" xfId="20878" xr:uid="{00000000-0005-0000-0000-0000E0340000}"/>
    <cellStyle name="Normal 5 3 2 4 2 3" xfId="1769" xr:uid="{00000000-0005-0000-0000-0000E1340000}"/>
    <cellStyle name="Normal 5 3 2 4 2 3 2" xfId="4236" xr:uid="{00000000-0005-0000-0000-0000E2340000}"/>
    <cellStyle name="Normal 5 3 2 4 2 3 2 2" xfId="9168" xr:uid="{00000000-0005-0000-0000-0000E3340000}"/>
    <cellStyle name="Normal 5 3 2 4 2 3 2 2 2" xfId="19028" xr:uid="{00000000-0005-0000-0000-0000E4340000}"/>
    <cellStyle name="Normal 5 3 2 4 2 3 2 2 2 2" xfId="38743" xr:uid="{00000000-0005-0000-0000-0000E5340000}"/>
    <cellStyle name="Normal 5 3 2 4 2 3 2 2 3" xfId="28886" xr:uid="{00000000-0005-0000-0000-0000E6340000}"/>
    <cellStyle name="Normal 5 3 2 4 2 3 2 3" xfId="14100" xr:uid="{00000000-0005-0000-0000-0000E7340000}"/>
    <cellStyle name="Normal 5 3 2 4 2 3 2 3 2" xfId="33815" xr:uid="{00000000-0005-0000-0000-0000E8340000}"/>
    <cellStyle name="Normal 5 3 2 4 2 3 2 4" xfId="23958" xr:uid="{00000000-0005-0000-0000-0000E9340000}"/>
    <cellStyle name="Normal 5 3 2 4 2 3 3" xfId="6704" xr:uid="{00000000-0005-0000-0000-0000EA340000}"/>
    <cellStyle name="Normal 5 3 2 4 2 3 3 2" xfId="16564" xr:uid="{00000000-0005-0000-0000-0000EB340000}"/>
    <cellStyle name="Normal 5 3 2 4 2 3 3 2 2" xfId="36279" xr:uid="{00000000-0005-0000-0000-0000EC340000}"/>
    <cellStyle name="Normal 5 3 2 4 2 3 3 3" xfId="26422" xr:uid="{00000000-0005-0000-0000-0000ED340000}"/>
    <cellStyle name="Normal 5 3 2 4 2 3 4" xfId="11636" xr:uid="{00000000-0005-0000-0000-0000EE340000}"/>
    <cellStyle name="Normal 5 3 2 4 2 3 4 2" xfId="31351" xr:uid="{00000000-0005-0000-0000-0000EF340000}"/>
    <cellStyle name="Normal 5 3 2 4 2 3 5" xfId="21494" xr:uid="{00000000-0005-0000-0000-0000F0340000}"/>
    <cellStyle name="Normal 5 3 2 4 2 4" xfId="3004" xr:uid="{00000000-0005-0000-0000-0000F1340000}"/>
    <cellStyle name="Normal 5 3 2 4 2 4 2" xfId="7936" xr:uid="{00000000-0005-0000-0000-0000F2340000}"/>
    <cellStyle name="Normal 5 3 2 4 2 4 2 2" xfId="17796" xr:uid="{00000000-0005-0000-0000-0000F3340000}"/>
    <cellStyle name="Normal 5 3 2 4 2 4 2 2 2" xfId="37511" xr:uid="{00000000-0005-0000-0000-0000F4340000}"/>
    <cellStyle name="Normal 5 3 2 4 2 4 2 3" xfId="27654" xr:uid="{00000000-0005-0000-0000-0000F5340000}"/>
    <cellStyle name="Normal 5 3 2 4 2 4 3" xfId="12868" xr:uid="{00000000-0005-0000-0000-0000F6340000}"/>
    <cellStyle name="Normal 5 3 2 4 2 4 3 2" xfId="32583" xr:uid="{00000000-0005-0000-0000-0000F7340000}"/>
    <cellStyle name="Normal 5 3 2 4 2 4 4" xfId="22726" xr:uid="{00000000-0005-0000-0000-0000F8340000}"/>
    <cellStyle name="Normal 5 3 2 4 2 5" xfId="5472" xr:uid="{00000000-0005-0000-0000-0000F9340000}"/>
    <cellStyle name="Normal 5 3 2 4 2 5 2" xfId="15332" xr:uid="{00000000-0005-0000-0000-0000FA340000}"/>
    <cellStyle name="Normal 5 3 2 4 2 5 2 2" xfId="35047" xr:uid="{00000000-0005-0000-0000-0000FB340000}"/>
    <cellStyle name="Normal 5 3 2 4 2 5 3" xfId="25190" xr:uid="{00000000-0005-0000-0000-0000FC340000}"/>
    <cellStyle name="Normal 5 3 2 4 2 6" xfId="10404" xr:uid="{00000000-0005-0000-0000-0000FD340000}"/>
    <cellStyle name="Normal 5 3 2 4 2 6 2" xfId="30119" xr:uid="{00000000-0005-0000-0000-0000FE340000}"/>
    <cellStyle name="Normal 5 3 2 4 2 7" xfId="20262" xr:uid="{00000000-0005-0000-0000-0000FF340000}"/>
    <cellStyle name="Normal 5 3 2 4 3" xfId="843" xr:uid="{00000000-0005-0000-0000-000000350000}"/>
    <cellStyle name="Normal 5 3 2 4 3 2" xfId="2079" xr:uid="{00000000-0005-0000-0000-000001350000}"/>
    <cellStyle name="Normal 5 3 2 4 3 2 2" xfId="4546" xr:uid="{00000000-0005-0000-0000-000002350000}"/>
    <cellStyle name="Normal 5 3 2 4 3 2 2 2" xfId="9478" xr:uid="{00000000-0005-0000-0000-000003350000}"/>
    <cellStyle name="Normal 5 3 2 4 3 2 2 2 2" xfId="19338" xr:uid="{00000000-0005-0000-0000-000004350000}"/>
    <cellStyle name="Normal 5 3 2 4 3 2 2 2 2 2" xfId="39053" xr:uid="{00000000-0005-0000-0000-000005350000}"/>
    <cellStyle name="Normal 5 3 2 4 3 2 2 2 3" xfId="29196" xr:uid="{00000000-0005-0000-0000-000006350000}"/>
    <cellStyle name="Normal 5 3 2 4 3 2 2 3" xfId="14410" xr:uid="{00000000-0005-0000-0000-000007350000}"/>
    <cellStyle name="Normal 5 3 2 4 3 2 2 3 2" xfId="34125" xr:uid="{00000000-0005-0000-0000-000008350000}"/>
    <cellStyle name="Normal 5 3 2 4 3 2 2 4" xfId="24268" xr:uid="{00000000-0005-0000-0000-000009350000}"/>
    <cellStyle name="Normal 5 3 2 4 3 2 3" xfId="7014" xr:uid="{00000000-0005-0000-0000-00000A350000}"/>
    <cellStyle name="Normal 5 3 2 4 3 2 3 2" xfId="16874" xr:uid="{00000000-0005-0000-0000-00000B350000}"/>
    <cellStyle name="Normal 5 3 2 4 3 2 3 2 2" xfId="36589" xr:uid="{00000000-0005-0000-0000-00000C350000}"/>
    <cellStyle name="Normal 5 3 2 4 3 2 3 3" xfId="26732" xr:uid="{00000000-0005-0000-0000-00000D350000}"/>
    <cellStyle name="Normal 5 3 2 4 3 2 4" xfId="11946" xr:uid="{00000000-0005-0000-0000-00000E350000}"/>
    <cellStyle name="Normal 5 3 2 4 3 2 4 2" xfId="31661" xr:uid="{00000000-0005-0000-0000-00000F350000}"/>
    <cellStyle name="Normal 5 3 2 4 3 2 5" xfId="21804" xr:uid="{00000000-0005-0000-0000-000010350000}"/>
    <cellStyle name="Normal 5 3 2 4 3 3" xfId="3314" xr:uid="{00000000-0005-0000-0000-000011350000}"/>
    <cellStyle name="Normal 5 3 2 4 3 3 2" xfId="8246" xr:uid="{00000000-0005-0000-0000-000012350000}"/>
    <cellStyle name="Normal 5 3 2 4 3 3 2 2" xfId="18106" xr:uid="{00000000-0005-0000-0000-000013350000}"/>
    <cellStyle name="Normal 5 3 2 4 3 3 2 2 2" xfId="37821" xr:uid="{00000000-0005-0000-0000-000014350000}"/>
    <cellStyle name="Normal 5 3 2 4 3 3 2 3" xfId="27964" xr:uid="{00000000-0005-0000-0000-000015350000}"/>
    <cellStyle name="Normal 5 3 2 4 3 3 3" xfId="13178" xr:uid="{00000000-0005-0000-0000-000016350000}"/>
    <cellStyle name="Normal 5 3 2 4 3 3 3 2" xfId="32893" xr:uid="{00000000-0005-0000-0000-000017350000}"/>
    <cellStyle name="Normal 5 3 2 4 3 3 4" xfId="23036" xr:uid="{00000000-0005-0000-0000-000018350000}"/>
    <cellStyle name="Normal 5 3 2 4 3 4" xfId="5782" xr:uid="{00000000-0005-0000-0000-000019350000}"/>
    <cellStyle name="Normal 5 3 2 4 3 4 2" xfId="15642" xr:uid="{00000000-0005-0000-0000-00001A350000}"/>
    <cellStyle name="Normal 5 3 2 4 3 4 2 2" xfId="35357" xr:uid="{00000000-0005-0000-0000-00001B350000}"/>
    <cellStyle name="Normal 5 3 2 4 3 4 3" xfId="25500" xr:uid="{00000000-0005-0000-0000-00001C350000}"/>
    <cellStyle name="Normal 5 3 2 4 3 5" xfId="10714" xr:uid="{00000000-0005-0000-0000-00001D350000}"/>
    <cellStyle name="Normal 5 3 2 4 3 5 2" xfId="30429" xr:uid="{00000000-0005-0000-0000-00001E350000}"/>
    <cellStyle name="Normal 5 3 2 4 3 6" xfId="20572" xr:uid="{00000000-0005-0000-0000-00001F350000}"/>
    <cellStyle name="Normal 5 3 2 4 4" xfId="1463" xr:uid="{00000000-0005-0000-0000-000020350000}"/>
    <cellStyle name="Normal 5 3 2 4 4 2" xfId="3930" xr:uid="{00000000-0005-0000-0000-000021350000}"/>
    <cellStyle name="Normal 5 3 2 4 4 2 2" xfId="8862" xr:uid="{00000000-0005-0000-0000-000022350000}"/>
    <cellStyle name="Normal 5 3 2 4 4 2 2 2" xfId="18722" xr:uid="{00000000-0005-0000-0000-000023350000}"/>
    <cellStyle name="Normal 5 3 2 4 4 2 2 2 2" xfId="38437" xr:uid="{00000000-0005-0000-0000-000024350000}"/>
    <cellStyle name="Normal 5 3 2 4 4 2 2 3" xfId="28580" xr:uid="{00000000-0005-0000-0000-000025350000}"/>
    <cellStyle name="Normal 5 3 2 4 4 2 3" xfId="13794" xr:uid="{00000000-0005-0000-0000-000026350000}"/>
    <cellStyle name="Normal 5 3 2 4 4 2 3 2" xfId="33509" xr:uid="{00000000-0005-0000-0000-000027350000}"/>
    <cellStyle name="Normal 5 3 2 4 4 2 4" xfId="23652" xr:uid="{00000000-0005-0000-0000-000028350000}"/>
    <cellStyle name="Normal 5 3 2 4 4 3" xfId="6398" xr:uid="{00000000-0005-0000-0000-000029350000}"/>
    <cellStyle name="Normal 5 3 2 4 4 3 2" xfId="16258" xr:uid="{00000000-0005-0000-0000-00002A350000}"/>
    <cellStyle name="Normal 5 3 2 4 4 3 2 2" xfId="35973" xr:uid="{00000000-0005-0000-0000-00002B350000}"/>
    <cellStyle name="Normal 5 3 2 4 4 3 3" xfId="26116" xr:uid="{00000000-0005-0000-0000-00002C350000}"/>
    <cellStyle name="Normal 5 3 2 4 4 4" xfId="11330" xr:uid="{00000000-0005-0000-0000-00002D350000}"/>
    <cellStyle name="Normal 5 3 2 4 4 4 2" xfId="31045" xr:uid="{00000000-0005-0000-0000-00002E350000}"/>
    <cellStyle name="Normal 5 3 2 4 4 5" xfId="21188" xr:uid="{00000000-0005-0000-0000-00002F350000}"/>
    <cellStyle name="Normal 5 3 2 4 5" xfId="2698" xr:uid="{00000000-0005-0000-0000-000030350000}"/>
    <cellStyle name="Normal 5 3 2 4 5 2" xfId="7630" xr:uid="{00000000-0005-0000-0000-000031350000}"/>
    <cellStyle name="Normal 5 3 2 4 5 2 2" xfId="17490" xr:uid="{00000000-0005-0000-0000-000032350000}"/>
    <cellStyle name="Normal 5 3 2 4 5 2 2 2" xfId="37205" xr:uid="{00000000-0005-0000-0000-000033350000}"/>
    <cellStyle name="Normal 5 3 2 4 5 2 3" xfId="27348" xr:uid="{00000000-0005-0000-0000-000034350000}"/>
    <cellStyle name="Normal 5 3 2 4 5 3" xfId="12562" xr:uid="{00000000-0005-0000-0000-000035350000}"/>
    <cellStyle name="Normal 5 3 2 4 5 3 2" xfId="32277" xr:uid="{00000000-0005-0000-0000-000036350000}"/>
    <cellStyle name="Normal 5 3 2 4 5 4" xfId="22420" xr:uid="{00000000-0005-0000-0000-000037350000}"/>
    <cellStyle name="Normal 5 3 2 4 6" xfId="5166" xr:uid="{00000000-0005-0000-0000-000038350000}"/>
    <cellStyle name="Normal 5 3 2 4 6 2" xfId="15026" xr:uid="{00000000-0005-0000-0000-000039350000}"/>
    <cellStyle name="Normal 5 3 2 4 6 2 2" xfId="34741" xr:uid="{00000000-0005-0000-0000-00003A350000}"/>
    <cellStyle name="Normal 5 3 2 4 6 3" xfId="24884" xr:uid="{00000000-0005-0000-0000-00003B350000}"/>
    <cellStyle name="Normal 5 3 2 4 7" xfId="10098" xr:uid="{00000000-0005-0000-0000-00003C350000}"/>
    <cellStyle name="Normal 5 3 2 4 7 2" xfId="29813" xr:uid="{00000000-0005-0000-0000-00003D350000}"/>
    <cellStyle name="Normal 5 3 2 4 8" xfId="19956" xr:uid="{00000000-0005-0000-0000-00003E350000}"/>
    <cellStyle name="Normal 5 3 2 5" xfId="378" xr:uid="{00000000-0005-0000-0000-00003F350000}"/>
    <cellStyle name="Normal 5 3 2 5 2" xfId="998" xr:uid="{00000000-0005-0000-0000-000040350000}"/>
    <cellStyle name="Normal 5 3 2 5 2 2" xfId="2233" xr:uid="{00000000-0005-0000-0000-000041350000}"/>
    <cellStyle name="Normal 5 3 2 5 2 2 2" xfId="4700" xr:uid="{00000000-0005-0000-0000-000042350000}"/>
    <cellStyle name="Normal 5 3 2 5 2 2 2 2" xfId="9632" xr:uid="{00000000-0005-0000-0000-000043350000}"/>
    <cellStyle name="Normal 5 3 2 5 2 2 2 2 2" xfId="19492" xr:uid="{00000000-0005-0000-0000-000044350000}"/>
    <cellStyle name="Normal 5 3 2 5 2 2 2 2 2 2" xfId="39207" xr:uid="{00000000-0005-0000-0000-000045350000}"/>
    <cellStyle name="Normal 5 3 2 5 2 2 2 2 3" xfId="29350" xr:uid="{00000000-0005-0000-0000-000046350000}"/>
    <cellStyle name="Normal 5 3 2 5 2 2 2 3" xfId="14564" xr:uid="{00000000-0005-0000-0000-000047350000}"/>
    <cellStyle name="Normal 5 3 2 5 2 2 2 3 2" xfId="34279" xr:uid="{00000000-0005-0000-0000-000048350000}"/>
    <cellStyle name="Normal 5 3 2 5 2 2 2 4" xfId="24422" xr:uid="{00000000-0005-0000-0000-000049350000}"/>
    <cellStyle name="Normal 5 3 2 5 2 2 3" xfId="7168" xr:uid="{00000000-0005-0000-0000-00004A350000}"/>
    <cellStyle name="Normal 5 3 2 5 2 2 3 2" xfId="17028" xr:uid="{00000000-0005-0000-0000-00004B350000}"/>
    <cellStyle name="Normal 5 3 2 5 2 2 3 2 2" xfId="36743" xr:uid="{00000000-0005-0000-0000-00004C350000}"/>
    <cellStyle name="Normal 5 3 2 5 2 2 3 3" xfId="26886" xr:uid="{00000000-0005-0000-0000-00004D350000}"/>
    <cellStyle name="Normal 5 3 2 5 2 2 4" xfId="12100" xr:uid="{00000000-0005-0000-0000-00004E350000}"/>
    <cellStyle name="Normal 5 3 2 5 2 2 4 2" xfId="31815" xr:uid="{00000000-0005-0000-0000-00004F350000}"/>
    <cellStyle name="Normal 5 3 2 5 2 2 5" xfId="21958" xr:uid="{00000000-0005-0000-0000-000050350000}"/>
    <cellStyle name="Normal 5 3 2 5 2 3" xfId="3468" xr:uid="{00000000-0005-0000-0000-000051350000}"/>
    <cellStyle name="Normal 5 3 2 5 2 3 2" xfId="8400" xr:uid="{00000000-0005-0000-0000-000052350000}"/>
    <cellStyle name="Normal 5 3 2 5 2 3 2 2" xfId="18260" xr:uid="{00000000-0005-0000-0000-000053350000}"/>
    <cellStyle name="Normal 5 3 2 5 2 3 2 2 2" xfId="37975" xr:uid="{00000000-0005-0000-0000-000054350000}"/>
    <cellStyle name="Normal 5 3 2 5 2 3 2 3" xfId="28118" xr:uid="{00000000-0005-0000-0000-000055350000}"/>
    <cellStyle name="Normal 5 3 2 5 2 3 3" xfId="13332" xr:uid="{00000000-0005-0000-0000-000056350000}"/>
    <cellStyle name="Normal 5 3 2 5 2 3 3 2" xfId="33047" xr:uid="{00000000-0005-0000-0000-000057350000}"/>
    <cellStyle name="Normal 5 3 2 5 2 3 4" xfId="23190" xr:uid="{00000000-0005-0000-0000-000058350000}"/>
    <cellStyle name="Normal 5 3 2 5 2 4" xfId="5936" xr:uid="{00000000-0005-0000-0000-000059350000}"/>
    <cellStyle name="Normal 5 3 2 5 2 4 2" xfId="15796" xr:uid="{00000000-0005-0000-0000-00005A350000}"/>
    <cellStyle name="Normal 5 3 2 5 2 4 2 2" xfId="35511" xr:uid="{00000000-0005-0000-0000-00005B350000}"/>
    <cellStyle name="Normal 5 3 2 5 2 4 3" xfId="25654" xr:uid="{00000000-0005-0000-0000-00005C350000}"/>
    <cellStyle name="Normal 5 3 2 5 2 5" xfId="10868" xr:uid="{00000000-0005-0000-0000-00005D350000}"/>
    <cellStyle name="Normal 5 3 2 5 2 5 2" xfId="30583" xr:uid="{00000000-0005-0000-0000-00005E350000}"/>
    <cellStyle name="Normal 5 3 2 5 2 6" xfId="20726" xr:uid="{00000000-0005-0000-0000-00005F350000}"/>
    <cellStyle name="Normal 5 3 2 5 3" xfId="1617" xr:uid="{00000000-0005-0000-0000-000060350000}"/>
    <cellStyle name="Normal 5 3 2 5 3 2" xfId="4084" xr:uid="{00000000-0005-0000-0000-000061350000}"/>
    <cellStyle name="Normal 5 3 2 5 3 2 2" xfId="9016" xr:uid="{00000000-0005-0000-0000-000062350000}"/>
    <cellStyle name="Normal 5 3 2 5 3 2 2 2" xfId="18876" xr:uid="{00000000-0005-0000-0000-000063350000}"/>
    <cellStyle name="Normal 5 3 2 5 3 2 2 2 2" xfId="38591" xr:uid="{00000000-0005-0000-0000-000064350000}"/>
    <cellStyle name="Normal 5 3 2 5 3 2 2 3" xfId="28734" xr:uid="{00000000-0005-0000-0000-000065350000}"/>
    <cellStyle name="Normal 5 3 2 5 3 2 3" xfId="13948" xr:uid="{00000000-0005-0000-0000-000066350000}"/>
    <cellStyle name="Normal 5 3 2 5 3 2 3 2" xfId="33663" xr:uid="{00000000-0005-0000-0000-000067350000}"/>
    <cellStyle name="Normal 5 3 2 5 3 2 4" xfId="23806" xr:uid="{00000000-0005-0000-0000-000068350000}"/>
    <cellStyle name="Normal 5 3 2 5 3 3" xfId="6552" xr:uid="{00000000-0005-0000-0000-000069350000}"/>
    <cellStyle name="Normal 5 3 2 5 3 3 2" xfId="16412" xr:uid="{00000000-0005-0000-0000-00006A350000}"/>
    <cellStyle name="Normal 5 3 2 5 3 3 2 2" xfId="36127" xr:uid="{00000000-0005-0000-0000-00006B350000}"/>
    <cellStyle name="Normal 5 3 2 5 3 3 3" xfId="26270" xr:uid="{00000000-0005-0000-0000-00006C350000}"/>
    <cellStyle name="Normal 5 3 2 5 3 4" xfId="11484" xr:uid="{00000000-0005-0000-0000-00006D350000}"/>
    <cellStyle name="Normal 5 3 2 5 3 4 2" xfId="31199" xr:uid="{00000000-0005-0000-0000-00006E350000}"/>
    <cellStyle name="Normal 5 3 2 5 3 5" xfId="21342" xr:uid="{00000000-0005-0000-0000-00006F350000}"/>
    <cellStyle name="Normal 5 3 2 5 4" xfId="2852" xr:uid="{00000000-0005-0000-0000-000070350000}"/>
    <cellStyle name="Normal 5 3 2 5 4 2" xfId="7784" xr:uid="{00000000-0005-0000-0000-000071350000}"/>
    <cellStyle name="Normal 5 3 2 5 4 2 2" xfId="17644" xr:uid="{00000000-0005-0000-0000-000072350000}"/>
    <cellStyle name="Normal 5 3 2 5 4 2 2 2" xfId="37359" xr:uid="{00000000-0005-0000-0000-000073350000}"/>
    <cellStyle name="Normal 5 3 2 5 4 2 3" xfId="27502" xr:uid="{00000000-0005-0000-0000-000074350000}"/>
    <cellStyle name="Normal 5 3 2 5 4 3" xfId="12716" xr:uid="{00000000-0005-0000-0000-000075350000}"/>
    <cellStyle name="Normal 5 3 2 5 4 3 2" xfId="32431" xr:uid="{00000000-0005-0000-0000-000076350000}"/>
    <cellStyle name="Normal 5 3 2 5 4 4" xfId="22574" xr:uid="{00000000-0005-0000-0000-000077350000}"/>
    <cellStyle name="Normal 5 3 2 5 5" xfId="5320" xr:uid="{00000000-0005-0000-0000-000078350000}"/>
    <cellStyle name="Normal 5 3 2 5 5 2" xfId="15180" xr:uid="{00000000-0005-0000-0000-000079350000}"/>
    <cellStyle name="Normal 5 3 2 5 5 2 2" xfId="34895" xr:uid="{00000000-0005-0000-0000-00007A350000}"/>
    <cellStyle name="Normal 5 3 2 5 5 3" xfId="25038" xr:uid="{00000000-0005-0000-0000-00007B350000}"/>
    <cellStyle name="Normal 5 3 2 5 6" xfId="10252" xr:uid="{00000000-0005-0000-0000-00007C350000}"/>
    <cellStyle name="Normal 5 3 2 5 6 2" xfId="29967" xr:uid="{00000000-0005-0000-0000-00007D350000}"/>
    <cellStyle name="Normal 5 3 2 5 7" xfId="20110" xr:uid="{00000000-0005-0000-0000-00007E350000}"/>
    <cellStyle name="Normal 5 3 2 6" xfId="691" xr:uid="{00000000-0005-0000-0000-00007F350000}"/>
    <cellStyle name="Normal 5 3 2 6 2" xfId="1927" xr:uid="{00000000-0005-0000-0000-000080350000}"/>
    <cellStyle name="Normal 5 3 2 6 2 2" xfId="4394" xr:uid="{00000000-0005-0000-0000-000081350000}"/>
    <cellStyle name="Normal 5 3 2 6 2 2 2" xfId="9326" xr:uid="{00000000-0005-0000-0000-000082350000}"/>
    <cellStyle name="Normal 5 3 2 6 2 2 2 2" xfId="19186" xr:uid="{00000000-0005-0000-0000-000083350000}"/>
    <cellStyle name="Normal 5 3 2 6 2 2 2 2 2" xfId="38901" xr:uid="{00000000-0005-0000-0000-000084350000}"/>
    <cellStyle name="Normal 5 3 2 6 2 2 2 3" xfId="29044" xr:uid="{00000000-0005-0000-0000-000085350000}"/>
    <cellStyle name="Normal 5 3 2 6 2 2 3" xfId="14258" xr:uid="{00000000-0005-0000-0000-000086350000}"/>
    <cellStyle name="Normal 5 3 2 6 2 2 3 2" xfId="33973" xr:uid="{00000000-0005-0000-0000-000087350000}"/>
    <cellStyle name="Normal 5 3 2 6 2 2 4" xfId="24116" xr:uid="{00000000-0005-0000-0000-000088350000}"/>
    <cellStyle name="Normal 5 3 2 6 2 3" xfId="6862" xr:uid="{00000000-0005-0000-0000-000089350000}"/>
    <cellStyle name="Normal 5 3 2 6 2 3 2" xfId="16722" xr:uid="{00000000-0005-0000-0000-00008A350000}"/>
    <cellStyle name="Normal 5 3 2 6 2 3 2 2" xfId="36437" xr:uid="{00000000-0005-0000-0000-00008B350000}"/>
    <cellStyle name="Normal 5 3 2 6 2 3 3" xfId="26580" xr:uid="{00000000-0005-0000-0000-00008C350000}"/>
    <cellStyle name="Normal 5 3 2 6 2 4" xfId="11794" xr:uid="{00000000-0005-0000-0000-00008D350000}"/>
    <cellStyle name="Normal 5 3 2 6 2 4 2" xfId="31509" xr:uid="{00000000-0005-0000-0000-00008E350000}"/>
    <cellStyle name="Normal 5 3 2 6 2 5" xfId="21652" xr:uid="{00000000-0005-0000-0000-00008F350000}"/>
    <cellStyle name="Normal 5 3 2 6 3" xfId="3162" xr:uid="{00000000-0005-0000-0000-000090350000}"/>
    <cellStyle name="Normal 5 3 2 6 3 2" xfId="8094" xr:uid="{00000000-0005-0000-0000-000091350000}"/>
    <cellStyle name="Normal 5 3 2 6 3 2 2" xfId="17954" xr:uid="{00000000-0005-0000-0000-000092350000}"/>
    <cellStyle name="Normal 5 3 2 6 3 2 2 2" xfId="37669" xr:uid="{00000000-0005-0000-0000-000093350000}"/>
    <cellStyle name="Normal 5 3 2 6 3 2 3" xfId="27812" xr:uid="{00000000-0005-0000-0000-000094350000}"/>
    <cellStyle name="Normal 5 3 2 6 3 3" xfId="13026" xr:uid="{00000000-0005-0000-0000-000095350000}"/>
    <cellStyle name="Normal 5 3 2 6 3 3 2" xfId="32741" xr:uid="{00000000-0005-0000-0000-000096350000}"/>
    <cellStyle name="Normal 5 3 2 6 3 4" xfId="22884" xr:uid="{00000000-0005-0000-0000-000097350000}"/>
    <cellStyle name="Normal 5 3 2 6 4" xfId="5630" xr:uid="{00000000-0005-0000-0000-000098350000}"/>
    <cellStyle name="Normal 5 3 2 6 4 2" xfId="15490" xr:uid="{00000000-0005-0000-0000-000099350000}"/>
    <cellStyle name="Normal 5 3 2 6 4 2 2" xfId="35205" xr:uid="{00000000-0005-0000-0000-00009A350000}"/>
    <cellStyle name="Normal 5 3 2 6 4 3" xfId="25348" xr:uid="{00000000-0005-0000-0000-00009B350000}"/>
    <cellStyle name="Normal 5 3 2 6 5" xfId="10562" xr:uid="{00000000-0005-0000-0000-00009C350000}"/>
    <cellStyle name="Normal 5 3 2 6 5 2" xfId="30277" xr:uid="{00000000-0005-0000-0000-00009D350000}"/>
    <cellStyle name="Normal 5 3 2 6 6" xfId="20420" xr:uid="{00000000-0005-0000-0000-00009E350000}"/>
    <cellStyle name="Normal 5 3 2 7" xfId="1311" xr:uid="{00000000-0005-0000-0000-00009F350000}"/>
    <cellStyle name="Normal 5 3 2 7 2" xfId="3778" xr:uid="{00000000-0005-0000-0000-0000A0350000}"/>
    <cellStyle name="Normal 5 3 2 7 2 2" xfId="8710" xr:uid="{00000000-0005-0000-0000-0000A1350000}"/>
    <cellStyle name="Normal 5 3 2 7 2 2 2" xfId="18570" xr:uid="{00000000-0005-0000-0000-0000A2350000}"/>
    <cellStyle name="Normal 5 3 2 7 2 2 2 2" xfId="38285" xr:uid="{00000000-0005-0000-0000-0000A3350000}"/>
    <cellStyle name="Normal 5 3 2 7 2 2 3" xfId="28428" xr:uid="{00000000-0005-0000-0000-0000A4350000}"/>
    <cellStyle name="Normal 5 3 2 7 2 3" xfId="13642" xr:uid="{00000000-0005-0000-0000-0000A5350000}"/>
    <cellStyle name="Normal 5 3 2 7 2 3 2" xfId="33357" xr:uid="{00000000-0005-0000-0000-0000A6350000}"/>
    <cellStyle name="Normal 5 3 2 7 2 4" xfId="23500" xr:uid="{00000000-0005-0000-0000-0000A7350000}"/>
    <cellStyle name="Normal 5 3 2 7 3" xfId="6246" xr:uid="{00000000-0005-0000-0000-0000A8350000}"/>
    <cellStyle name="Normal 5 3 2 7 3 2" xfId="16106" xr:uid="{00000000-0005-0000-0000-0000A9350000}"/>
    <cellStyle name="Normal 5 3 2 7 3 2 2" xfId="35821" xr:uid="{00000000-0005-0000-0000-0000AA350000}"/>
    <cellStyle name="Normal 5 3 2 7 3 3" xfId="25964" xr:uid="{00000000-0005-0000-0000-0000AB350000}"/>
    <cellStyle name="Normal 5 3 2 7 4" xfId="11178" xr:uid="{00000000-0005-0000-0000-0000AC350000}"/>
    <cellStyle name="Normal 5 3 2 7 4 2" xfId="30893" xr:uid="{00000000-0005-0000-0000-0000AD350000}"/>
    <cellStyle name="Normal 5 3 2 7 5" xfId="21036" xr:uid="{00000000-0005-0000-0000-0000AE350000}"/>
    <cellStyle name="Normal 5 3 2 8" xfId="2546" xr:uid="{00000000-0005-0000-0000-0000AF350000}"/>
    <cellStyle name="Normal 5 3 2 8 2" xfId="7478" xr:uid="{00000000-0005-0000-0000-0000B0350000}"/>
    <cellStyle name="Normal 5 3 2 8 2 2" xfId="17338" xr:uid="{00000000-0005-0000-0000-0000B1350000}"/>
    <cellStyle name="Normal 5 3 2 8 2 2 2" xfId="37053" xr:uid="{00000000-0005-0000-0000-0000B2350000}"/>
    <cellStyle name="Normal 5 3 2 8 2 3" xfId="27196" xr:uid="{00000000-0005-0000-0000-0000B3350000}"/>
    <cellStyle name="Normal 5 3 2 8 3" xfId="12410" xr:uid="{00000000-0005-0000-0000-0000B4350000}"/>
    <cellStyle name="Normal 5 3 2 8 3 2" xfId="32125" xr:uid="{00000000-0005-0000-0000-0000B5350000}"/>
    <cellStyle name="Normal 5 3 2 8 4" xfId="22268" xr:uid="{00000000-0005-0000-0000-0000B6350000}"/>
    <cellStyle name="Normal 5 3 2 9" xfId="5014" xr:uid="{00000000-0005-0000-0000-0000B7350000}"/>
    <cellStyle name="Normal 5 3 2 9 2" xfId="14874" xr:uid="{00000000-0005-0000-0000-0000B8350000}"/>
    <cellStyle name="Normal 5 3 2 9 2 2" xfId="34589" xr:uid="{00000000-0005-0000-0000-0000B9350000}"/>
    <cellStyle name="Normal 5 3 2 9 3" xfId="24732" xr:uid="{00000000-0005-0000-0000-0000BA350000}"/>
    <cellStyle name="Normal 5 3 3" xfId="73" xr:uid="{00000000-0005-0000-0000-0000BB350000}"/>
    <cellStyle name="Normal 5 3 3 10" xfId="19823" xr:uid="{00000000-0005-0000-0000-0000BC350000}"/>
    <cellStyle name="Normal 5 3 3 2" xfId="154" xr:uid="{00000000-0005-0000-0000-0000BD350000}"/>
    <cellStyle name="Normal 5 3 3 2 2" xfId="311" xr:uid="{00000000-0005-0000-0000-0000BE350000}"/>
    <cellStyle name="Normal 5 3 3 2 2 2" xfId="625" xr:uid="{00000000-0005-0000-0000-0000BF350000}"/>
    <cellStyle name="Normal 5 3 3 2 2 2 2" xfId="1245" xr:uid="{00000000-0005-0000-0000-0000C0350000}"/>
    <cellStyle name="Normal 5 3 3 2 2 2 2 2" xfId="2480" xr:uid="{00000000-0005-0000-0000-0000C1350000}"/>
    <cellStyle name="Normal 5 3 3 2 2 2 2 2 2" xfId="4947" xr:uid="{00000000-0005-0000-0000-0000C2350000}"/>
    <cellStyle name="Normal 5 3 3 2 2 2 2 2 2 2" xfId="9879" xr:uid="{00000000-0005-0000-0000-0000C3350000}"/>
    <cellStyle name="Normal 5 3 3 2 2 2 2 2 2 2 2" xfId="19739" xr:uid="{00000000-0005-0000-0000-0000C4350000}"/>
    <cellStyle name="Normal 5 3 3 2 2 2 2 2 2 2 2 2" xfId="39454" xr:uid="{00000000-0005-0000-0000-0000C5350000}"/>
    <cellStyle name="Normal 5 3 3 2 2 2 2 2 2 2 3" xfId="29597" xr:uid="{00000000-0005-0000-0000-0000C6350000}"/>
    <cellStyle name="Normal 5 3 3 2 2 2 2 2 2 3" xfId="14811" xr:uid="{00000000-0005-0000-0000-0000C7350000}"/>
    <cellStyle name="Normal 5 3 3 2 2 2 2 2 2 3 2" xfId="34526" xr:uid="{00000000-0005-0000-0000-0000C8350000}"/>
    <cellStyle name="Normal 5 3 3 2 2 2 2 2 2 4" xfId="24669" xr:uid="{00000000-0005-0000-0000-0000C9350000}"/>
    <cellStyle name="Normal 5 3 3 2 2 2 2 2 3" xfId="7415" xr:uid="{00000000-0005-0000-0000-0000CA350000}"/>
    <cellStyle name="Normal 5 3 3 2 2 2 2 2 3 2" xfId="17275" xr:uid="{00000000-0005-0000-0000-0000CB350000}"/>
    <cellStyle name="Normal 5 3 3 2 2 2 2 2 3 2 2" xfId="36990" xr:uid="{00000000-0005-0000-0000-0000CC350000}"/>
    <cellStyle name="Normal 5 3 3 2 2 2 2 2 3 3" xfId="27133" xr:uid="{00000000-0005-0000-0000-0000CD350000}"/>
    <cellStyle name="Normal 5 3 3 2 2 2 2 2 4" xfId="12347" xr:uid="{00000000-0005-0000-0000-0000CE350000}"/>
    <cellStyle name="Normal 5 3 3 2 2 2 2 2 4 2" xfId="32062" xr:uid="{00000000-0005-0000-0000-0000CF350000}"/>
    <cellStyle name="Normal 5 3 3 2 2 2 2 2 5" xfId="22205" xr:uid="{00000000-0005-0000-0000-0000D0350000}"/>
    <cellStyle name="Normal 5 3 3 2 2 2 2 3" xfId="3715" xr:uid="{00000000-0005-0000-0000-0000D1350000}"/>
    <cellStyle name="Normal 5 3 3 2 2 2 2 3 2" xfId="8647" xr:uid="{00000000-0005-0000-0000-0000D2350000}"/>
    <cellStyle name="Normal 5 3 3 2 2 2 2 3 2 2" xfId="18507" xr:uid="{00000000-0005-0000-0000-0000D3350000}"/>
    <cellStyle name="Normal 5 3 3 2 2 2 2 3 2 2 2" xfId="38222" xr:uid="{00000000-0005-0000-0000-0000D4350000}"/>
    <cellStyle name="Normal 5 3 3 2 2 2 2 3 2 3" xfId="28365" xr:uid="{00000000-0005-0000-0000-0000D5350000}"/>
    <cellStyle name="Normal 5 3 3 2 2 2 2 3 3" xfId="13579" xr:uid="{00000000-0005-0000-0000-0000D6350000}"/>
    <cellStyle name="Normal 5 3 3 2 2 2 2 3 3 2" xfId="33294" xr:uid="{00000000-0005-0000-0000-0000D7350000}"/>
    <cellStyle name="Normal 5 3 3 2 2 2 2 3 4" xfId="23437" xr:uid="{00000000-0005-0000-0000-0000D8350000}"/>
    <cellStyle name="Normal 5 3 3 2 2 2 2 4" xfId="6183" xr:uid="{00000000-0005-0000-0000-0000D9350000}"/>
    <cellStyle name="Normal 5 3 3 2 2 2 2 4 2" xfId="16043" xr:uid="{00000000-0005-0000-0000-0000DA350000}"/>
    <cellStyle name="Normal 5 3 3 2 2 2 2 4 2 2" xfId="35758" xr:uid="{00000000-0005-0000-0000-0000DB350000}"/>
    <cellStyle name="Normal 5 3 3 2 2 2 2 4 3" xfId="25901" xr:uid="{00000000-0005-0000-0000-0000DC350000}"/>
    <cellStyle name="Normal 5 3 3 2 2 2 2 5" xfId="11115" xr:uid="{00000000-0005-0000-0000-0000DD350000}"/>
    <cellStyle name="Normal 5 3 3 2 2 2 2 5 2" xfId="30830" xr:uid="{00000000-0005-0000-0000-0000DE350000}"/>
    <cellStyle name="Normal 5 3 3 2 2 2 2 6" xfId="20973" xr:uid="{00000000-0005-0000-0000-0000DF350000}"/>
    <cellStyle name="Normal 5 3 3 2 2 2 3" xfId="1864" xr:uid="{00000000-0005-0000-0000-0000E0350000}"/>
    <cellStyle name="Normal 5 3 3 2 2 2 3 2" xfId="4331" xr:uid="{00000000-0005-0000-0000-0000E1350000}"/>
    <cellStyle name="Normal 5 3 3 2 2 2 3 2 2" xfId="9263" xr:uid="{00000000-0005-0000-0000-0000E2350000}"/>
    <cellStyle name="Normal 5 3 3 2 2 2 3 2 2 2" xfId="19123" xr:uid="{00000000-0005-0000-0000-0000E3350000}"/>
    <cellStyle name="Normal 5 3 3 2 2 2 3 2 2 2 2" xfId="38838" xr:uid="{00000000-0005-0000-0000-0000E4350000}"/>
    <cellStyle name="Normal 5 3 3 2 2 2 3 2 2 3" xfId="28981" xr:uid="{00000000-0005-0000-0000-0000E5350000}"/>
    <cellStyle name="Normal 5 3 3 2 2 2 3 2 3" xfId="14195" xr:uid="{00000000-0005-0000-0000-0000E6350000}"/>
    <cellStyle name="Normal 5 3 3 2 2 2 3 2 3 2" xfId="33910" xr:uid="{00000000-0005-0000-0000-0000E7350000}"/>
    <cellStyle name="Normal 5 3 3 2 2 2 3 2 4" xfId="24053" xr:uid="{00000000-0005-0000-0000-0000E8350000}"/>
    <cellStyle name="Normal 5 3 3 2 2 2 3 3" xfId="6799" xr:uid="{00000000-0005-0000-0000-0000E9350000}"/>
    <cellStyle name="Normal 5 3 3 2 2 2 3 3 2" xfId="16659" xr:uid="{00000000-0005-0000-0000-0000EA350000}"/>
    <cellStyle name="Normal 5 3 3 2 2 2 3 3 2 2" xfId="36374" xr:uid="{00000000-0005-0000-0000-0000EB350000}"/>
    <cellStyle name="Normal 5 3 3 2 2 2 3 3 3" xfId="26517" xr:uid="{00000000-0005-0000-0000-0000EC350000}"/>
    <cellStyle name="Normal 5 3 3 2 2 2 3 4" xfId="11731" xr:uid="{00000000-0005-0000-0000-0000ED350000}"/>
    <cellStyle name="Normal 5 3 3 2 2 2 3 4 2" xfId="31446" xr:uid="{00000000-0005-0000-0000-0000EE350000}"/>
    <cellStyle name="Normal 5 3 3 2 2 2 3 5" xfId="21589" xr:uid="{00000000-0005-0000-0000-0000EF350000}"/>
    <cellStyle name="Normal 5 3 3 2 2 2 4" xfId="3099" xr:uid="{00000000-0005-0000-0000-0000F0350000}"/>
    <cellStyle name="Normal 5 3 3 2 2 2 4 2" xfId="8031" xr:uid="{00000000-0005-0000-0000-0000F1350000}"/>
    <cellStyle name="Normal 5 3 3 2 2 2 4 2 2" xfId="17891" xr:uid="{00000000-0005-0000-0000-0000F2350000}"/>
    <cellStyle name="Normal 5 3 3 2 2 2 4 2 2 2" xfId="37606" xr:uid="{00000000-0005-0000-0000-0000F3350000}"/>
    <cellStyle name="Normal 5 3 3 2 2 2 4 2 3" xfId="27749" xr:uid="{00000000-0005-0000-0000-0000F4350000}"/>
    <cellStyle name="Normal 5 3 3 2 2 2 4 3" xfId="12963" xr:uid="{00000000-0005-0000-0000-0000F5350000}"/>
    <cellStyle name="Normal 5 3 3 2 2 2 4 3 2" xfId="32678" xr:uid="{00000000-0005-0000-0000-0000F6350000}"/>
    <cellStyle name="Normal 5 3 3 2 2 2 4 4" xfId="22821" xr:uid="{00000000-0005-0000-0000-0000F7350000}"/>
    <cellStyle name="Normal 5 3 3 2 2 2 5" xfId="5567" xr:uid="{00000000-0005-0000-0000-0000F8350000}"/>
    <cellStyle name="Normal 5 3 3 2 2 2 5 2" xfId="15427" xr:uid="{00000000-0005-0000-0000-0000F9350000}"/>
    <cellStyle name="Normal 5 3 3 2 2 2 5 2 2" xfId="35142" xr:uid="{00000000-0005-0000-0000-0000FA350000}"/>
    <cellStyle name="Normal 5 3 3 2 2 2 5 3" xfId="25285" xr:uid="{00000000-0005-0000-0000-0000FB350000}"/>
    <cellStyle name="Normal 5 3 3 2 2 2 6" xfId="10499" xr:uid="{00000000-0005-0000-0000-0000FC350000}"/>
    <cellStyle name="Normal 5 3 3 2 2 2 6 2" xfId="30214" xr:uid="{00000000-0005-0000-0000-0000FD350000}"/>
    <cellStyle name="Normal 5 3 3 2 2 2 7" xfId="20357" xr:uid="{00000000-0005-0000-0000-0000FE350000}"/>
    <cellStyle name="Normal 5 3 3 2 2 3" xfId="938" xr:uid="{00000000-0005-0000-0000-0000FF350000}"/>
    <cellStyle name="Normal 5 3 3 2 2 3 2" xfId="2174" xr:uid="{00000000-0005-0000-0000-000000360000}"/>
    <cellStyle name="Normal 5 3 3 2 2 3 2 2" xfId="4641" xr:uid="{00000000-0005-0000-0000-000001360000}"/>
    <cellStyle name="Normal 5 3 3 2 2 3 2 2 2" xfId="9573" xr:uid="{00000000-0005-0000-0000-000002360000}"/>
    <cellStyle name="Normal 5 3 3 2 2 3 2 2 2 2" xfId="19433" xr:uid="{00000000-0005-0000-0000-000003360000}"/>
    <cellStyle name="Normal 5 3 3 2 2 3 2 2 2 2 2" xfId="39148" xr:uid="{00000000-0005-0000-0000-000004360000}"/>
    <cellStyle name="Normal 5 3 3 2 2 3 2 2 2 3" xfId="29291" xr:uid="{00000000-0005-0000-0000-000005360000}"/>
    <cellStyle name="Normal 5 3 3 2 2 3 2 2 3" xfId="14505" xr:uid="{00000000-0005-0000-0000-000006360000}"/>
    <cellStyle name="Normal 5 3 3 2 2 3 2 2 3 2" xfId="34220" xr:uid="{00000000-0005-0000-0000-000007360000}"/>
    <cellStyle name="Normal 5 3 3 2 2 3 2 2 4" xfId="24363" xr:uid="{00000000-0005-0000-0000-000008360000}"/>
    <cellStyle name="Normal 5 3 3 2 2 3 2 3" xfId="7109" xr:uid="{00000000-0005-0000-0000-000009360000}"/>
    <cellStyle name="Normal 5 3 3 2 2 3 2 3 2" xfId="16969" xr:uid="{00000000-0005-0000-0000-00000A360000}"/>
    <cellStyle name="Normal 5 3 3 2 2 3 2 3 2 2" xfId="36684" xr:uid="{00000000-0005-0000-0000-00000B360000}"/>
    <cellStyle name="Normal 5 3 3 2 2 3 2 3 3" xfId="26827" xr:uid="{00000000-0005-0000-0000-00000C360000}"/>
    <cellStyle name="Normal 5 3 3 2 2 3 2 4" xfId="12041" xr:uid="{00000000-0005-0000-0000-00000D360000}"/>
    <cellStyle name="Normal 5 3 3 2 2 3 2 4 2" xfId="31756" xr:uid="{00000000-0005-0000-0000-00000E360000}"/>
    <cellStyle name="Normal 5 3 3 2 2 3 2 5" xfId="21899" xr:uid="{00000000-0005-0000-0000-00000F360000}"/>
    <cellStyle name="Normal 5 3 3 2 2 3 3" xfId="3409" xr:uid="{00000000-0005-0000-0000-000010360000}"/>
    <cellStyle name="Normal 5 3 3 2 2 3 3 2" xfId="8341" xr:uid="{00000000-0005-0000-0000-000011360000}"/>
    <cellStyle name="Normal 5 3 3 2 2 3 3 2 2" xfId="18201" xr:uid="{00000000-0005-0000-0000-000012360000}"/>
    <cellStyle name="Normal 5 3 3 2 2 3 3 2 2 2" xfId="37916" xr:uid="{00000000-0005-0000-0000-000013360000}"/>
    <cellStyle name="Normal 5 3 3 2 2 3 3 2 3" xfId="28059" xr:uid="{00000000-0005-0000-0000-000014360000}"/>
    <cellStyle name="Normal 5 3 3 2 2 3 3 3" xfId="13273" xr:uid="{00000000-0005-0000-0000-000015360000}"/>
    <cellStyle name="Normal 5 3 3 2 2 3 3 3 2" xfId="32988" xr:uid="{00000000-0005-0000-0000-000016360000}"/>
    <cellStyle name="Normal 5 3 3 2 2 3 3 4" xfId="23131" xr:uid="{00000000-0005-0000-0000-000017360000}"/>
    <cellStyle name="Normal 5 3 3 2 2 3 4" xfId="5877" xr:uid="{00000000-0005-0000-0000-000018360000}"/>
    <cellStyle name="Normal 5 3 3 2 2 3 4 2" xfId="15737" xr:uid="{00000000-0005-0000-0000-000019360000}"/>
    <cellStyle name="Normal 5 3 3 2 2 3 4 2 2" xfId="35452" xr:uid="{00000000-0005-0000-0000-00001A360000}"/>
    <cellStyle name="Normal 5 3 3 2 2 3 4 3" xfId="25595" xr:uid="{00000000-0005-0000-0000-00001B360000}"/>
    <cellStyle name="Normal 5 3 3 2 2 3 5" xfId="10809" xr:uid="{00000000-0005-0000-0000-00001C360000}"/>
    <cellStyle name="Normal 5 3 3 2 2 3 5 2" xfId="30524" xr:uid="{00000000-0005-0000-0000-00001D360000}"/>
    <cellStyle name="Normal 5 3 3 2 2 3 6" xfId="20667" xr:uid="{00000000-0005-0000-0000-00001E360000}"/>
    <cellStyle name="Normal 5 3 3 2 2 4" xfId="1558" xr:uid="{00000000-0005-0000-0000-00001F360000}"/>
    <cellStyle name="Normal 5 3 3 2 2 4 2" xfId="4025" xr:uid="{00000000-0005-0000-0000-000020360000}"/>
    <cellStyle name="Normal 5 3 3 2 2 4 2 2" xfId="8957" xr:uid="{00000000-0005-0000-0000-000021360000}"/>
    <cellStyle name="Normal 5 3 3 2 2 4 2 2 2" xfId="18817" xr:uid="{00000000-0005-0000-0000-000022360000}"/>
    <cellStyle name="Normal 5 3 3 2 2 4 2 2 2 2" xfId="38532" xr:uid="{00000000-0005-0000-0000-000023360000}"/>
    <cellStyle name="Normal 5 3 3 2 2 4 2 2 3" xfId="28675" xr:uid="{00000000-0005-0000-0000-000024360000}"/>
    <cellStyle name="Normal 5 3 3 2 2 4 2 3" xfId="13889" xr:uid="{00000000-0005-0000-0000-000025360000}"/>
    <cellStyle name="Normal 5 3 3 2 2 4 2 3 2" xfId="33604" xr:uid="{00000000-0005-0000-0000-000026360000}"/>
    <cellStyle name="Normal 5 3 3 2 2 4 2 4" xfId="23747" xr:uid="{00000000-0005-0000-0000-000027360000}"/>
    <cellStyle name="Normal 5 3 3 2 2 4 3" xfId="6493" xr:uid="{00000000-0005-0000-0000-000028360000}"/>
    <cellStyle name="Normal 5 3 3 2 2 4 3 2" xfId="16353" xr:uid="{00000000-0005-0000-0000-000029360000}"/>
    <cellStyle name="Normal 5 3 3 2 2 4 3 2 2" xfId="36068" xr:uid="{00000000-0005-0000-0000-00002A360000}"/>
    <cellStyle name="Normal 5 3 3 2 2 4 3 3" xfId="26211" xr:uid="{00000000-0005-0000-0000-00002B360000}"/>
    <cellStyle name="Normal 5 3 3 2 2 4 4" xfId="11425" xr:uid="{00000000-0005-0000-0000-00002C360000}"/>
    <cellStyle name="Normal 5 3 3 2 2 4 4 2" xfId="31140" xr:uid="{00000000-0005-0000-0000-00002D360000}"/>
    <cellStyle name="Normal 5 3 3 2 2 4 5" xfId="21283" xr:uid="{00000000-0005-0000-0000-00002E360000}"/>
    <cellStyle name="Normal 5 3 3 2 2 5" xfId="2793" xr:uid="{00000000-0005-0000-0000-00002F360000}"/>
    <cellStyle name="Normal 5 3 3 2 2 5 2" xfId="7725" xr:uid="{00000000-0005-0000-0000-000030360000}"/>
    <cellStyle name="Normal 5 3 3 2 2 5 2 2" xfId="17585" xr:uid="{00000000-0005-0000-0000-000031360000}"/>
    <cellStyle name="Normal 5 3 3 2 2 5 2 2 2" xfId="37300" xr:uid="{00000000-0005-0000-0000-000032360000}"/>
    <cellStyle name="Normal 5 3 3 2 2 5 2 3" xfId="27443" xr:uid="{00000000-0005-0000-0000-000033360000}"/>
    <cellStyle name="Normal 5 3 3 2 2 5 3" xfId="12657" xr:uid="{00000000-0005-0000-0000-000034360000}"/>
    <cellStyle name="Normal 5 3 3 2 2 5 3 2" xfId="32372" xr:uid="{00000000-0005-0000-0000-000035360000}"/>
    <cellStyle name="Normal 5 3 3 2 2 5 4" xfId="22515" xr:uid="{00000000-0005-0000-0000-000036360000}"/>
    <cellStyle name="Normal 5 3 3 2 2 6" xfId="5261" xr:uid="{00000000-0005-0000-0000-000037360000}"/>
    <cellStyle name="Normal 5 3 3 2 2 6 2" xfId="15121" xr:uid="{00000000-0005-0000-0000-000038360000}"/>
    <cellStyle name="Normal 5 3 3 2 2 6 2 2" xfId="34836" xr:uid="{00000000-0005-0000-0000-000039360000}"/>
    <cellStyle name="Normal 5 3 3 2 2 6 3" xfId="24979" xr:uid="{00000000-0005-0000-0000-00003A360000}"/>
    <cellStyle name="Normal 5 3 3 2 2 7" xfId="10193" xr:uid="{00000000-0005-0000-0000-00003B360000}"/>
    <cellStyle name="Normal 5 3 3 2 2 7 2" xfId="29908" xr:uid="{00000000-0005-0000-0000-00003C360000}"/>
    <cellStyle name="Normal 5 3 3 2 2 8" xfId="20051" xr:uid="{00000000-0005-0000-0000-00003D360000}"/>
    <cellStyle name="Normal 5 3 3 2 3" xfId="473" xr:uid="{00000000-0005-0000-0000-00003E360000}"/>
    <cellStyle name="Normal 5 3 3 2 3 2" xfId="1093" xr:uid="{00000000-0005-0000-0000-00003F360000}"/>
    <cellStyle name="Normal 5 3 3 2 3 2 2" xfId="2328" xr:uid="{00000000-0005-0000-0000-000040360000}"/>
    <cellStyle name="Normal 5 3 3 2 3 2 2 2" xfId="4795" xr:uid="{00000000-0005-0000-0000-000041360000}"/>
    <cellStyle name="Normal 5 3 3 2 3 2 2 2 2" xfId="9727" xr:uid="{00000000-0005-0000-0000-000042360000}"/>
    <cellStyle name="Normal 5 3 3 2 3 2 2 2 2 2" xfId="19587" xr:uid="{00000000-0005-0000-0000-000043360000}"/>
    <cellStyle name="Normal 5 3 3 2 3 2 2 2 2 2 2" xfId="39302" xr:uid="{00000000-0005-0000-0000-000044360000}"/>
    <cellStyle name="Normal 5 3 3 2 3 2 2 2 2 3" xfId="29445" xr:uid="{00000000-0005-0000-0000-000045360000}"/>
    <cellStyle name="Normal 5 3 3 2 3 2 2 2 3" xfId="14659" xr:uid="{00000000-0005-0000-0000-000046360000}"/>
    <cellStyle name="Normal 5 3 3 2 3 2 2 2 3 2" xfId="34374" xr:uid="{00000000-0005-0000-0000-000047360000}"/>
    <cellStyle name="Normal 5 3 3 2 3 2 2 2 4" xfId="24517" xr:uid="{00000000-0005-0000-0000-000048360000}"/>
    <cellStyle name="Normal 5 3 3 2 3 2 2 3" xfId="7263" xr:uid="{00000000-0005-0000-0000-000049360000}"/>
    <cellStyle name="Normal 5 3 3 2 3 2 2 3 2" xfId="17123" xr:uid="{00000000-0005-0000-0000-00004A360000}"/>
    <cellStyle name="Normal 5 3 3 2 3 2 2 3 2 2" xfId="36838" xr:uid="{00000000-0005-0000-0000-00004B360000}"/>
    <cellStyle name="Normal 5 3 3 2 3 2 2 3 3" xfId="26981" xr:uid="{00000000-0005-0000-0000-00004C360000}"/>
    <cellStyle name="Normal 5 3 3 2 3 2 2 4" xfId="12195" xr:uid="{00000000-0005-0000-0000-00004D360000}"/>
    <cellStyle name="Normal 5 3 3 2 3 2 2 4 2" xfId="31910" xr:uid="{00000000-0005-0000-0000-00004E360000}"/>
    <cellStyle name="Normal 5 3 3 2 3 2 2 5" xfId="22053" xr:uid="{00000000-0005-0000-0000-00004F360000}"/>
    <cellStyle name="Normal 5 3 3 2 3 2 3" xfId="3563" xr:uid="{00000000-0005-0000-0000-000050360000}"/>
    <cellStyle name="Normal 5 3 3 2 3 2 3 2" xfId="8495" xr:uid="{00000000-0005-0000-0000-000051360000}"/>
    <cellStyle name="Normal 5 3 3 2 3 2 3 2 2" xfId="18355" xr:uid="{00000000-0005-0000-0000-000052360000}"/>
    <cellStyle name="Normal 5 3 3 2 3 2 3 2 2 2" xfId="38070" xr:uid="{00000000-0005-0000-0000-000053360000}"/>
    <cellStyle name="Normal 5 3 3 2 3 2 3 2 3" xfId="28213" xr:uid="{00000000-0005-0000-0000-000054360000}"/>
    <cellStyle name="Normal 5 3 3 2 3 2 3 3" xfId="13427" xr:uid="{00000000-0005-0000-0000-000055360000}"/>
    <cellStyle name="Normal 5 3 3 2 3 2 3 3 2" xfId="33142" xr:uid="{00000000-0005-0000-0000-000056360000}"/>
    <cellStyle name="Normal 5 3 3 2 3 2 3 4" xfId="23285" xr:uid="{00000000-0005-0000-0000-000057360000}"/>
    <cellStyle name="Normal 5 3 3 2 3 2 4" xfId="6031" xr:uid="{00000000-0005-0000-0000-000058360000}"/>
    <cellStyle name="Normal 5 3 3 2 3 2 4 2" xfId="15891" xr:uid="{00000000-0005-0000-0000-000059360000}"/>
    <cellStyle name="Normal 5 3 3 2 3 2 4 2 2" xfId="35606" xr:uid="{00000000-0005-0000-0000-00005A360000}"/>
    <cellStyle name="Normal 5 3 3 2 3 2 4 3" xfId="25749" xr:uid="{00000000-0005-0000-0000-00005B360000}"/>
    <cellStyle name="Normal 5 3 3 2 3 2 5" xfId="10963" xr:uid="{00000000-0005-0000-0000-00005C360000}"/>
    <cellStyle name="Normal 5 3 3 2 3 2 5 2" xfId="30678" xr:uid="{00000000-0005-0000-0000-00005D360000}"/>
    <cellStyle name="Normal 5 3 3 2 3 2 6" xfId="20821" xr:uid="{00000000-0005-0000-0000-00005E360000}"/>
    <cellStyle name="Normal 5 3 3 2 3 3" xfId="1712" xr:uid="{00000000-0005-0000-0000-00005F360000}"/>
    <cellStyle name="Normal 5 3 3 2 3 3 2" xfId="4179" xr:uid="{00000000-0005-0000-0000-000060360000}"/>
    <cellStyle name="Normal 5 3 3 2 3 3 2 2" xfId="9111" xr:uid="{00000000-0005-0000-0000-000061360000}"/>
    <cellStyle name="Normal 5 3 3 2 3 3 2 2 2" xfId="18971" xr:uid="{00000000-0005-0000-0000-000062360000}"/>
    <cellStyle name="Normal 5 3 3 2 3 3 2 2 2 2" xfId="38686" xr:uid="{00000000-0005-0000-0000-000063360000}"/>
    <cellStyle name="Normal 5 3 3 2 3 3 2 2 3" xfId="28829" xr:uid="{00000000-0005-0000-0000-000064360000}"/>
    <cellStyle name="Normal 5 3 3 2 3 3 2 3" xfId="14043" xr:uid="{00000000-0005-0000-0000-000065360000}"/>
    <cellStyle name="Normal 5 3 3 2 3 3 2 3 2" xfId="33758" xr:uid="{00000000-0005-0000-0000-000066360000}"/>
    <cellStyle name="Normal 5 3 3 2 3 3 2 4" xfId="23901" xr:uid="{00000000-0005-0000-0000-000067360000}"/>
    <cellStyle name="Normal 5 3 3 2 3 3 3" xfId="6647" xr:uid="{00000000-0005-0000-0000-000068360000}"/>
    <cellStyle name="Normal 5 3 3 2 3 3 3 2" xfId="16507" xr:uid="{00000000-0005-0000-0000-000069360000}"/>
    <cellStyle name="Normal 5 3 3 2 3 3 3 2 2" xfId="36222" xr:uid="{00000000-0005-0000-0000-00006A360000}"/>
    <cellStyle name="Normal 5 3 3 2 3 3 3 3" xfId="26365" xr:uid="{00000000-0005-0000-0000-00006B360000}"/>
    <cellStyle name="Normal 5 3 3 2 3 3 4" xfId="11579" xr:uid="{00000000-0005-0000-0000-00006C360000}"/>
    <cellStyle name="Normal 5 3 3 2 3 3 4 2" xfId="31294" xr:uid="{00000000-0005-0000-0000-00006D360000}"/>
    <cellStyle name="Normal 5 3 3 2 3 3 5" xfId="21437" xr:uid="{00000000-0005-0000-0000-00006E360000}"/>
    <cellStyle name="Normal 5 3 3 2 3 4" xfId="2947" xr:uid="{00000000-0005-0000-0000-00006F360000}"/>
    <cellStyle name="Normal 5 3 3 2 3 4 2" xfId="7879" xr:uid="{00000000-0005-0000-0000-000070360000}"/>
    <cellStyle name="Normal 5 3 3 2 3 4 2 2" xfId="17739" xr:uid="{00000000-0005-0000-0000-000071360000}"/>
    <cellStyle name="Normal 5 3 3 2 3 4 2 2 2" xfId="37454" xr:uid="{00000000-0005-0000-0000-000072360000}"/>
    <cellStyle name="Normal 5 3 3 2 3 4 2 3" xfId="27597" xr:uid="{00000000-0005-0000-0000-000073360000}"/>
    <cellStyle name="Normal 5 3 3 2 3 4 3" xfId="12811" xr:uid="{00000000-0005-0000-0000-000074360000}"/>
    <cellStyle name="Normal 5 3 3 2 3 4 3 2" xfId="32526" xr:uid="{00000000-0005-0000-0000-000075360000}"/>
    <cellStyle name="Normal 5 3 3 2 3 4 4" xfId="22669" xr:uid="{00000000-0005-0000-0000-000076360000}"/>
    <cellStyle name="Normal 5 3 3 2 3 5" xfId="5415" xr:uid="{00000000-0005-0000-0000-000077360000}"/>
    <cellStyle name="Normal 5 3 3 2 3 5 2" xfId="15275" xr:uid="{00000000-0005-0000-0000-000078360000}"/>
    <cellStyle name="Normal 5 3 3 2 3 5 2 2" xfId="34990" xr:uid="{00000000-0005-0000-0000-000079360000}"/>
    <cellStyle name="Normal 5 3 3 2 3 5 3" xfId="25133" xr:uid="{00000000-0005-0000-0000-00007A360000}"/>
    <cellStyle name="Normal 5 3 3 2 3 6" xfId="10347" xr:uid="{00000000-0005-0000-0000-00007B360000}"/>
    <cellStyle name="Normal 5 3 3 2 3 6 2" xfId="30062" xr:uid="{00000000-0005-0000-0000-00007C360000}"/>
    <cellStyle name="Normal 5 3 3 2 3 7" xfId="20205" xr:uid="{00000000-0005-0000-0000-00007D360000}"/>
    <cellStyle name="Normal 5 3 3 2 4" xfId="786" xr:uid="{00000000-0005-0000-0000-00007E360000}"/>
    <cellStyle name="Normal 5 3 3 2 4 2" xfId="2022" xr:uid="{00000000-0005-0000-0000-00007F360000}"/>
    <cellStyle name="Normal 5 3 3 2 4 2 2" xfId="4489" xr:uid="{00000000-0005-0000-0000-000080360000}"/>
    <cellStyle name="Normal 5 3 3 2 4 2 2 2" xfId="9421" xr:uid="{00000000-0005-0000-0000-000081360000}"/>
    <cellStyle name="Normal 5 3 3 2 4 2 2 2 2" xfId="19281" xr:uid="{00000000-0005-0000-0000-000082360000}"/>
    <cellStyle name="Normal 5 3 3 2 4 2 2 2 2 2" xfId="38996" xr:uid="{00000000-0005-0000-0000-000083360000}"/>
    <cellStyle name="Normal 5 3 3 2 4 2 2 2 3" xfId="29139" xr:uid="{00000000-0005-0000-0000-000084360000}"/>
    <cellStyle name="Normal 5 3 3 2 4 2 2 3" xfId="14353" xr:uid="{00000000-0005-0000-0000-000085360000}"/>
    <cellStyle name="Normal 5 3 3 2 4 2 2 3 2" xfId="34068" xr:uid="{00000000-0005-0000-0000-000086360000}"/>
    <cellStyle name="Normal 5 3 3 2 4 2 2 4" xfId="24211" xr:uid="{00000000-0005-0000-0000-000087360000}"/>
    <cellStyle name="Normal 5 3 3 2 4 2 3" xfId="6957" xr:uid="{00000000-0005-0000-0000-000088360000}"/>
    <cellStyle name="Normal 5 3 3 2 4 2 3 2" xfId="16817" xr:uid="{00000000-0005-0000-0000-000089360000}"/>
    <cellStyle name="Normal 5 3 3 2 4 2 3 2 2" xfId="36532" xr:uid="{00000000-0005-0000-0000-00008A360000}"/>
    <cellStyle name="Normal 5 3 3 2 4 2 3 3" xfId="26675" xr:uid="{00000000-0005-0000-0000-00008B360000}"/>
    <cellStyle name="Normal 5 3 3 2 4 2 4" xfId="11889" xr:uid="{00000000-0005-0000-0000-00008C360000}"/>
    <cellStyle name="Normal 5 3 3 2 4 2 4 2" xfId="31604" xr:uid="{00000000-0005-0000-0000-00008D360000}"/>
    <cellStyle name="Normal 5 3 3 2 4 2 5" xfId="21747" xr:uid="{00000000-0005-0000-0000-00008E360000}"/>
    <cellStyle name="Normal 5 3 3 2 4 3" xfId="3257" xr:uid="{00000000-0005-0000-0000-00008F360000}"/>
    <cellStyle name="Normal 5 3 3 2 4 3 2" xfId="8189" xr:uid="{00000000-0005-0000-0000-000090360000}"/>
    <cellStyle name="Normal 5 3 3 2 4 3 2 2" xfId="18049" xr:uid="{00000000-0005-0000-0000-000091360000}"/>
    <cellStyle name="Normal 5 3 3 2 4 3 2 2 2" xfId="37764" xr:uid="{00000000-0005-0000-0000-000092360000}"/>
    <cellStyle name="Normal 5 3 3 2 4 3 2 3" xfId="27907" xr:uid="{00000000-0005-0000-0000-000093360000}"/>
    <cellStyle name="Normal 5 3 3 2 4 3 3" xfId="13121" xr:uid="{00000000-0005-0000-0000-000094360000}"/>
    <cellStyle name="Normal 5 3 3 2 4 3 3 2" xfId="32836" xr:uid="{00000000-0005-0000-0000-000095360000}"/>
    <cellStyle name="Normal 5 3 3 2 4 3 4" xfId="22979" xr:uid="{00000000-0005-0000-0000-000096360000}"/>
    <cellStyle name="Normal 5 3 3 2 4 4" xfId="5725" xr:uid="{00000000-0005-0000-0000-000097360000}"/>
    <cellStyle name="Normal 5 3 3 2 4 4 2" xfId="15585" xr:uid="{00000000-0005-0000-0000-000098360000}"/>
    <cellStyle name="Normal 5 3 3 2 4 4 2 2" xfId="35300" xr:uid="{00000000-0005-0000-0000-000099360000}"/>
    <cellStyle name="Normal 5 3 3 2 4 4 3" xfId="25443" xr:uid="{00000000-0005-0000-0000-00009A360000}"/>
    <cellStyle name="Normal 5 3 3 2 4 5" xfId="10657" xr:uid="{00000000-0005-0000-0000-00009B360000}"/>
    <cellStyle name="Normal 5 3 3 2 4 5 2" xfId="30372" xr:uid="{00000000-0005-0000-0000-00009C360000}"/>
    <cellStyle name="Normal 5 3 3 2 4 6" xfId="20515" xr:uid="{00000000-0005-0000-0000-00009D360000}"/>
    <cellStyle name="Normal 5 3 3 2 5" xfId="1406" xr:uid="{00000000-0005-0000-0000-00009E360000}"/>
    <cellStyle name="Normal 5 3 3 2 5 2" xfId="3873" xr:uid="{00000000-0005-0000-0000-00009F360000}"/>
    <cellStyle name="Normal 5 3 3 2 5 2 2" xfId="8805" xr:uid="{00000000-0005-0000-0000-0000A0360000}"/>
    <cellStyle name="Normal 5 3 3 2 5 2 2 2" xfId="18665" xr:uid="{00000000-0005-0000-0000-0000A1360000}"/>
    <cellStyle name="Normal 5 3 3 2 5 2 2 2 2" xfId="38380" xr:uid="{00000000-0005-0000-0000-0000A2360000}"/>
    <cellStyle name="Normal 5 3 3 2 5 2 2 3" xfId="28523" xr:uid="{00000000-0005-0000-0000-0000A3360000}"/>
    <cellStyle name="Normal 5 3 3 2 5 2 3" xfId="13737" xr:uid="{00000000-0005-0000-0000-0000A4360000}"/>
    <cellStyle name="Normal 5 3 3 2 5 2 3 2" xfId="33452" xr:uid="{00000000-0005-0000-0000-0000A5360000}"/>
    <cellStyle name="Normal 5 3 3 2 5 2 4" xfId="23595" xr:uid="{00000000-0005-0000-0000-0000A6360000}"/>
    <cellStyle name="Normal 5 3 3 2 5 3" xfId="6341" xr:uid="{00000000-0005-0000-0000-0000A7360000}"/>
    <cellStyle name="Normal 5 3 3 2 5 3 2" xfId="16201" xr:uid="{00000000-0005-0000-0000-0000A8360000}"/>
    <cellStyle name="Normal 5 3 3 2 5 3 2 2" xfId="35916" xr:uid="{00000000-0005-0000-0000-0000A9360000}"/>
    <cellStyle name="Normal 5 3 3 2 5 3 3" xfId="26059" xr:uid="{00000000-0005-0000-0000-0000AA360000}"/>
    <cellStyle name="Normal 5 3 3 2 5 4" xfId="11273" xr:uid="{00000000-0005-0000-0000-0000AB360000}"/>
    <cellStyle name="Normal 5 3 3 2 5 4 2" xfId="30988" xr:uid="{00000000-0005-0000-0000-0000AC360000}"/>
    <cellStyle name="Normal 5 3 3 2 5 5" xfId="21131" xr:uid="{00000000-0005-0000-0000-0000AD360000}"/>
    <cellStyle name="Normal 5 3 3 2 6" xfId="2641" xr:uid="{00000000-0005-0000-0000-0000AE360000}"/>
    <cellStyle name="Normal 5 3 3 2 6 2" xfId="7573" xr:uid="{00000000-0005-0000-0000-0000AF360000}"/>
    <cellStyle name="Normal 5 3 3 2 6 2 2" xfId="17433" xr:uid="{00000000-0005-0000-0000-0000B0360000}"/>
    <cellStyle name="Normal 5 3 3 2 6 2 2 2" xfId="37148" xr:uid="{00000000-0005-0000-0000-0000B1360000}"/>
    <cellStyle name="Normal 5 3 3 2 6 2 3" xfId="27291" xr:uid="{00000000-0005-0000-0000-0000B2360000}"/>
    <cellStyle name="Normal 5 3 3 2 6 3" xfId="12505" xr:uid="{00000000-0005-0000-0000-0000B3360000}"/>
    <cellStyle name="Normal 5 3 3 2 6 3 2" xfId="32220" xr:uid="{00000000-0005-0000-0000-0000B4360000}"/>
    <cellStyle name="Normal 5 3 3 2 6 4" xfId="22363" xr:uid="{00000000-0005-0000-0000-0000B5360000}"/>
    <cellStyle name="Normal 5 3 3 2 7" xfId="5109" xr:uid="{00000000-0005-0000-0000-0000B6360000}"/>
    <cellStyle name="Normal 5 3 3 2 7 2" xfId="14969" xr:uid="{00000000-0005-0000-0000-0000B7360000}"/>
    <cellStyle name="Normal 5 3 3 2 7 2 2" xfId="34684" xr:uid="{00000000-0005-0000-0000-0000B8360000}"/>
    <cellStyle name="Normal 5 3 3 2 7 3" xfId="24827" xr:uid="{00000000-0005-0000-0000-0000B9360000}"/>
    <cellStyle name="Normal 5 3 3 2 8" xfId="10041" xr:uid="{00000000-0005-0000-0000-0000BA360000}"/>
    <cellStyle name="Normal 5 3 3 2 8 2" xfId="29756" xr:uid="{00000000-0005-0000-0000-0000BB360000}"/>
    <cellStyle name="Normal 5 3 3 2 9" xfId="19899" xr:uid="{00000000-0005-0000-0000-0000BC360000}"/>
    <cellStyle name="Normal 5 3 3 3" xfId="235" xr:uid="{00000000-0005-0000-0000-0000BD360000}"/>
    <cellStyle name="Normal 5 3 3 3 2" xfId="549" xr:uid="{00000000-0005-0000-0000-0000BE360000}"/>
    <cellStyle name="Normal 5 3 3 3 2 2" xfId="1169" xr:uid="{00000000-0005-0000-0000-0000BF360000}"/>
    <cellStyle name="Normal 5 3 3 3 2 2 2" xfId="2404" xr:uid="{00000000-0005-0000-0000-0000C0360000}"/>
    <cellStyle name="Normal 5 3 3 3 2 2 2 2" xfId="4871" xr:uid="{00000000-0005-0000-0000-0000C1360000}"/>
    <cellStyle name="Normal 5 3 3 3 2 2 2 2 2" xfId="9803" xr:uid="{00000000-0005-0000-0000-0000C2360000}"/>
    <cellStyle name="Normal 5 3 3 3 2 2 2 2 2 2" xfId="19663" xr:uid="{00000000-0005-0000-0000-0000C3360000}"/>
    <cellStyle name="Normal 5 3 3 3 2 2 2 2 2 2 2" xfId="39378" xr:uid="{00000000-0005-0000-0000-0000C4360000}"/>
    <cellStyle name="Normal 5 3 3 3 2 2 2 2 2 3" xfId="29521" xr:uid="{00000000-0005-0000-0000-0000C5360000}"/>
    <cellStyle name="Normal 5 3 3 3 2 2 2 2 3" xfId="14735" xr:uid="{00000000-0005-0000-0000-0000C6360000}"/>
    <cellStyle name="Normal 5 3 3 3 2 2 2 2 3 2" xfId="34450" xr:uid="{00000000-0005-0000-0000-0000C7360000}"/>
    <cellStyle name="Normal 5 3 3 3 2 2 2 2 4" xfId="24593" xr:uid="{00000000-0005-0000-0000-0000C8360000}"/>
    <cellStyle name="Normal 5 3 3 3 2 2 2 3" xfId="7339" xr:uid="{00000000-0005-0000-0000-0000C9360000}"/>
    <cellStyle name="Normal 5 3 3 3 2 2 2 3 2" xfId="17199" xr:uid="{00000000-0005-0000-0000-0000CA360000}"/>
    <cellStyle name="Normal 5 3 3 3 2 2 2 3 2 2" xfId="36914" xr:uid="{00000000-0005-0000-0000-0000CB360000}"/>
    <cellStyle name="Normal 5 3 3 3 2 2 2 3 3" xfId="27057" xr:uid="{00000000-0005-0000-0000-0000CC360000}"/>
    <cellStyle name="Normal 5 3 3 3 2 2 2 4" xfId="12271" xr:uid="{00000000-0005-0000-0000-0000CD360000}"/>
    <cellStyle name="Normal 5 3 3 3 2 2 2 4 2" xfId="31986" xr:uid="{00000000-0005-0000-0000-0000CE360000}"/>
    <cellStyle name="Normal 5 3 3 3 2 2 2 5" xfId="22129" xr:uid="{00000000-0005-0000-0000-0000CF360000}"/>
    <cellStyle name="Normal 5 3 3 3 2 2 3" xfId="3639" xr:uid="{00000000-0005-0000-0000-0000D0360000}"/>
    <cellStyle name="Normal 5 3 3 3 2 2 3 2" xfId="8571" xr:uid="{00000000-0005-0000-0000-0000D1360000}"/>
    <cellStyle name="Normal 5 3 3 3 2 2 3 2 2" xfId="18431" xr:uid="{00000000-0005-0000-0000-0000D2360000}"/>
    <cellStyle name="Normal 5 3 3 3 2 2 3 2 2 2" xfId="38146" xr:uid="{00000000-0005-0000-0000-0000D3360000}"/>
    <cellStyle name="Normal 5 3 3 3 2 2 3 2 3" xfId="28289" xr:uid="{00000000-0005-0000-0000-0000D4360000}"/>
    <cellStyle name="Normal 5 3 3 3 2 2 3 3" xfId="13503" xr:uid="{00000000-0005-0000-0000-0000D5360000}"/>
    <cellStyle name="Normal 5 3 3 3 2 2 3 3 2" xfId="33218" xr:uid="{00000000-0005-0000-0000-0000D6360000}"/>
    <cellStyle name="Normal 5 3 3 3 2 2 3 4" xfId="23361" xr:uid="{00000000-0005-0000-0000-0000D7360000}"/>
    <cellStyle name="Normal 5 3 3 3 2 2 4" xfId="6107" xr:uid="{00000000-0005-0000-0000-0000D8360000}"/>
    <cellStyle name="Normal 5 3 3 3 2 2 4 2" xfId="15967" xr:uid="{00000000-0005-0000-0000-0000D9360000}"/>
    <cellStyle name="Normal 5 3 3 3 2 2 4 2 2" xfId="35682" xr:uid="{00000000-0005-0000-0000-0000DA360000}"/>
    <cellStyle name="Normal 5 3 3 3 2 2 4 3" xfId="25825" xr:uid="{00000000-0005-0000-0000-0000DB360000}"/>
    <cellStyle name="Normal 5 3 3 3 2 2 5" xfId="11039" xr:uid="{00000000-0005-0000-0000-0000DC360000}"/>
    <cellStyle name="Normal 5 3 3 3 2 2 5 2" xfId="30754" xr:uid="{00000000-0005-0000-0000-0000DD360000}"/>
    <cellStyle name="Normal 5 3 3 3 2 2 6" xfId="20897" xr:uid="{00000000-0005-0000-0000-0000DE360000}"/>
    <cellStyle name="Normal 5 3 3 3 2 3" xfId="1788" xr:uid="{00000000-0005-0000-0000-0000DF360000}"/>
    <cellStyle name="Normal 5 3 3 3 2 3 2" xfId="4255" xr:uid="{00000000-0005-0000-0000-0000E0360000}"/>
    <cellStyle name="Normal 5 3 3 3 2 3 2 2" xfId="9187" xr:uid="{00000000-0005-0000-0000-0000E1360000}"/>
    <cellStyle name="Normal 5 3 3 3 2 3 2 2 2" xfId="19047" xr:uid="{00000000-0005-0000-0000-0000E2360000}"/>
    <cellStyle name="Normal 5 3 3 3 2 3 2 2 2 2" xfId="38762" xr:uid="{00000000-0005-0000-0000-0000E3360000}"/>
    <cellStyle name="Normal 5 3 3 3 2 3 2 2 3" xfId="28905" xr:uid="{00000000-0005-0000-0000-0000E4360000}"/>
    <cellStyle name="Normal 5 3 3 3 2 3 2 3" xfId="14119" xr:uid="{00000000-0005-0000-0000-0000E5360000}"/>
    <cellStyle name="Normal 5 3 3 3 2 3 2 3 2" xfId="33834" xr:uid="{00000000-0005-0000-0000-0000E6360000}"/>
    <cellStyle name="Normal 5 3 3 3 2 3 2 4" xfId="23977" xr:uid="{00000000-0005-0000-0000-0000E7360000}"/>
    <cellStyle name="Normal 5 3 3 3 2 3 3" xfId="6723" xr:uid="{00000000-0005-0000-0000-0000E8360000}"/>
    <cellStyle name="Normal 5 3 3 3 2 3 3 2" xfId="16583" xr:uid="{00000000-0005-0000-0000-0000E9360000}"/>
    <cellStyle name="Normal 5 3 3 3 2 3 3 2 2" xfId="36298" xr:uid="{00000000-0005-0000-0000-0000EA360000}"/>
    <cellStyle name="Normal 5 3 3 3 2 3 3 3" xfId="26441" xr:uid="{00000000-0005-0000-0000-0000EB360000}"/>
    <cellStyle name="Normal 5 3 3 3 2 3 4" xfId="11655" xr:uid="{00000000-0005-0000-0000-0000EC360000}"/>
    <cellStyle name="Normal 5 3 3 3 2 3 4 2" xfId="31370" xr:uid="{00000000-0005-0000-0000-0000ED360000}"/>
    <cellStyle name="Normal 5 3 3 3 2 3 5" xfId="21513" xr:uid="{00000000-0005-0000-0000-0000EE360000}"/>
    <cellStyle name="Normal 5 3 3 3 2 4" xfId="3023" xr:uid="{00000000-0005-0000-0000-0000EF360000}"/>
    <cellStyle name="Normal 5 3 3 3 2 4 2" xfId="7955" xr:uid="{00000000-0005-0000-0000-0000F0360000}"/>
    <cellStyle name="Normal 5 3 3 3 2 4 2 2" xfId="17815" xr:uid="{00000000-0005-0000-0000-0000F1360000}"/>
    <cellStyle name="Normal 5 3 3 3 2 4 2 2 2" xfId="37530" xr:uid="{00000000-0005-0000-0000-0000F2360000}"/>
    <cellStyle name="Normal 5 3 3 3 2 4 2 3" xfId="27673" xr:uid="{00000000-0005-0000-0000-0000F3360000}"/>
    <cellStyle name="Normal 5 3 3 3 2 4 3" xfId="12887" xr:uid="{00000000-0005-0000-0000-0000F4360000}"/>
    <cellStyle name="Normal 5 3 3 3 2 4 3 2" xfId="32602" xr:uid="{00000000-0005-0000-0000-0000F5360000}"/>
    <cellStyle name="Normal 5 3 3 3 2 4 4" xfId="22745" xr:uid="{00000000-0005-0000-0000-0000F6360000}"/>
    <cellStyle name="Normal 5 3 3 3 2 5" xfId="5491" xr:uid="{00000000-0005-0000-0000-0000F7360000}"/>
    <cellStyle name="Normal 5 3 3 3 2 5 2" xfId="15351" xr:uid="{00000000-0005-0000-0000-0000F8360000}"/>
    <cellStyle name="Normal 5 3 3 3 2 5 2 2" xfId="35066" xr:uid="{00000000-0005-0000-0000-0000F9360000}"/>
    <cellStyle name="Normal 5 3 3 3 2 5 3" xfId="25209" xr:uid="{00000000-0005-0000-0000-0000FA360000}"/>
    <cellStyle name="Normal 5 3 3 3 2 6" xfId="10423" xr:uid="{00000000-0005-0000-0000-0000FB360000}"/>
    <cellStyle name="Normal 5 3 3 3 2 6 2" xfId="30138" xr:uid="{00000000-0005-0000-0000-0000FC360000}"/>
    <cellStyle name="Normal 5 3 3 3 2 7" xfId="20281" xr:uid="{00000000-0005-0000-0000-0000FD360000}"/>
    <cellStyle name="Normal 5 3 3 3 3" xfId="862" xr:uid="{00000000-0005-0000-0000-0000FE360000}"/>
    <cellStyle name="Normal 5 3 3 3 3 2" xfId="2098" xr:uid="{00000000-0005-0000-0000-0000FF360000}"/>
    <cellStyle name="Normal 5 3 3 3 3 2 2" xfId="4565" xr:uid="{00000000-0005-0000-0000-000000370000}"/>
    <cellStyle name="Normal 5 3 3 3 3 2 2 2" xfId="9497" xr:uid="{00000000-0005-0000-0000-000001370000}"/>
    <cellStyle name="Normal 5 3 3 3 3 2 2 2 2" xfId="19357" xr:uid="{00000000-0005-0000-0000-000002370000}"/>
    <cellStyle name="Normal 5 3 3 3 3 2 2 2 2 2" xfId="39072" xr:uid="{00000000-0005-0000-0000-000003370000}"/>
    <cellStyle name="Normal 5 3 3 3 3 2 2 2 3" xfId="29215" xr:uid="{00000000-0005-0000-0000-000004370000}"/>
    <cellStyle name="Normal 5 3 3 3 3 2 2 3" xfId="14429" xr:uid="{00000000-0005-0000-0000-000005370000}"/>
    <cellStyle name="Normal 5 3 3 3 3 2 2 3 2" xfId="34144" xr:uid="{00000000-0005-0000-0000-000006370000}"/>
    <cellStyle name="Normal 5 3 3 3 3 2 2 4" xfId="24287" xr:uid="{00000000-0005-0000-0000-000007370000}"/>
    <cellStyle name="Normal 5 3 3 3 3 2 3" xfId="7033" xr:uid="{00000000-0005-0000-0000-000008370000}"/>
    <cellStyle name="Normal 5 3 3 3 3 2 3 2" xfId="16893" xr:uid="{00000000-0005-0000-0000-000009370000}"/>
    <cellStyle name="Normal 5 3 3 3 3 2 3 2 2" xfId="36608" xr:uid="{00000000-0005-0000-0000-00000A370000}"/>
    <cellStyle name="Normal 5 3 3 3 3 2 3 3" xfId="26751" xr:uid="{00000000-0005-0000-0000-00000B370000}"/>
    <cellStyle name="Normal 5 3 3 3 3 2 4" xfId="11965" xr:uid="{00000000-0005-0000-0000-00000C370000}"/>
    <cellStyle name="Normal 5 3 3 3 3 2 4 2" xfId="31680" xr:uid="{00000000-0005-0000-0000-00000D370000}"/>
    <cellStyle name="Normal 5 3 3 3 3 2 5" xfId="21823" xr:uid="{00000000-0005-0000-0000-00000E370000}"/>
    <cellStyle name="Normal 5 3 3 3 3 3" xfId="3333" xr:uid="{00000000-0005-0000-0000-00000F370000}"/>
    <cellStyle name="Normal 5 3 3 3 3 3 2" xfId="8265" xr:uid="{00000000-0005-0000-0000-000010370000}"/>
    <cellStyle name="Normal 5 3 3 3 3 3 2 2" xfId="18125" xr:uid="{00000000-0005-0000-0000-000011370000}"/>
    <cellStyle name="Normal 5 3 3 3 3 3 2 2 2" xfId="37840" xr:uid="{00000000-0005-0000-0000-000012370000}"/>
    <cellStyle name="Normal 5 3 3 3 3 3 2 3" xfId="27983" xr:uid="{00000000-0005-0000-0000-000013370000}"/>
    <cellStyle name="Normal 5 3 3 3 3 3 3" xfId="13197" xr:uid="{00000000-0005-0000-0000-000014370000}"/>
    <cellStyle name="Normal 5 3 3 3 3 3 3 2" xfId="32912" xr:uid="{00000000-0005-0000-0000-000015370000}"/>
    <cellStyle name="Normal 5 3 3 3 3 3 4" xfId="23055" xr:uid="{00000000-0005-0000-0000-000016370000}"/>
    <cellStyle name="Normal 5 3 3 3 3 4" xfId="5801" xr:uid="{00000000-0005-0000-0000-000017370000}"/>
    <cellStyle name="Normal 5 3 3 3 3 4 2" xfId="15661" xr:uid="{00000000-0005-0000-0000-000018370000}"/>
    <cellStyle name="Normal 5 3 3 3 3 4 2 2" xfId="35376" xr:uid="{00000000-0005-0000-0000-000019370000}"/>
    <cellStyle name="Normal 5 3 3 3 3 4 3" xfId="25519" xr:uid="{00000000-0005-0000-0000-00001A370000}"/>
    <cellStyle name="Normal 5 3 3 3 3 5" xfId="10733" xr:uid="{00000000-0005-0000-0000-00001B370000}"/>
    <cellStyle name="Normal 5 3 3 3 3 5 2" xfId="30448" xr:uid="{00000000-0005-0000-0000-00001C370000}"/>
    <cellStyle name="Normal 5 3 3 3 3 6" xfId="20591" xr:uid="{00000000-0005-0000-0000-00001D370000}"/>
    <cellStyle name="Normal 5 3 3 3 4" xfId="1482" xr:uid="{00000000-0005-0000-0000-00001E370000}"/>
    <cellStyle name="Normal 5 3 3 3 4 2" xfId="3949" xr:uid="{00000000-0005-0000-0000-00001F370000}"/>
    <cellStyle name="Normal 5 3 3 3 4 2 2" xfId="8881" xr:uid="{00000000-0005-0000-0000-000020370000}"/>
    <cellStyle name="Normal 5 3 3 3 4 2 2 2" xfId="18741" xr:uid="{00000000-0005-0000-0000-000021370000}"/>
    <cellStyle name="Normal 5 3 3 3 4 2 2 2 2" xfId="38456" xr:uid="{00000000-0005-0000-0000-000022370000}"/>
    <cellStyle name="Normal 5 3 3 3 4 2 2 3" xfId="28599" xr:uid="{00000000-0005-0000-0000-000023370000}"/>
    <cellStyle name="Normal 5 3 3 3 4 2 3" xfId="13813" xr:uid="{00000000-0005-0000-0000-000024370000}"/>
    <cellStyle name="Normal 5 3 3 3 4 2 3 2" xfId="33528" xr:uid="{00000000-0005-0000-0000-000025370000}"/>
    <cellStyle name="Normal 5 3 3 3 4 2 4" xfId="23671" xr:uid="{00000000-0005-0000-0000-000026370000}"/>
    <cellStyle name="Normal 5 3 3 3 4 3" xfId="6417" xr:uid="{00000000-0005-0000-0000-000027370000}"/>
    <cellStyle name="Normal 5 3 3 3 4 3 2" xfId="16277" xr:uid="{00000000-0005-0000-0000-000028370000}"/>
    <cellStyle name="Normal 5 3 3 3 4 3 2 2" xfId="35992" xr:uid="{00000000-0005-0000-0000-000029370000}"/>
    <cellStyle name="Normal 5 3 3 3 4 3 3" xfId="26135" xr:uid="{00000000-0005-0000-0000-00002A370000}"/>
    <cellStyle name="Normal 5 3 3 3 4 4" xfId="11349" xr:uid="{00000000-0005-0000-0000-00002B370000}"/>
    <cellStyle name="Normal 5 3 3 3 4 4 2" xfId="31064" xr:uid="{00000000-0005-0000-0000-00002C370000}"/>
    <cellStyle name="Normal 5 3 3 3 4 5" xfId="21207" xr:uid="{00000000-0005-0000-0000-00002D370000}"/>
    <cellStyle name="Normal 5 3 3 3 5" xfId="2717" xr:uid="{00000000-0005-0000-0000-00002E370000}"/>
    <cellStyle name="Normal 5 3 3 3 5 2" xfId="7649" xr:uid="{00000000-0005-0000-0000-00002F370000}"/>
    <cellStyle name="Normal 5 3 3 3 5 2 2" xfId="17509" xr:uid="{00000000-0005-0000-0000-000030370000}"/>
    <cellStyle name="Normal 5 3 3 3 5 2 2 2" xfId="37224" xr:uid="{00000000-0005-0000-0000-000031370000}"/>
    <cellStyle name="Normal 5 3 3 3 5 2 3" xfId="27367" xr:uid="{00000000-0005-0000-0000-000032370000}"/>
    <cellStyle name="Normal 5 3 3 3 5 3" xfId="12581" xr:uid="{00000000-0005-0000-0000-000033370000}"/>
    <cellStyle name="Normal 5 3 3 3 5 3 2" xfId="32296" xr:uid="{00000000-0005-0000-0000-000034370000}"/>
    <cellStyle name="Normal 5 3 3 3 5 4" xfId="22439" xr:uid="{00000000-0005-0000-0000-000035370000}"/>
    <cellStyle name="Normal 5 3 3 3 6" xfId="5185" xr:uid="{00000000-0005-0000-0000-000036370000}"/>
    <cellStyle name="Normal 5 3 3 3 6 2" xfId="15045" xr:uid="{00000000-0005-0000-0000-000037370000}"/>
    <cellStyle name="Normal 5 3 3 3 6 2 2" xfId="34760" xr:uid="{00000000-0005-0000-0000-000038370000}"/>
    <cellStyle name="Normal 5 3 3 3 6 3" xfId="24903" xr:uid="{00000000-0005-0000-0000-000039370000}"/>
    <cellStyle name="Normal 5 3 3 3 7" xfId="10117" xr:uid="{00000000-0005-0000-0000-00003A370000}"/>
    <cellStyle name="Normal 5 3 3 3 7 2" xfId="29832" xr:uid="{00000000-0005-0000-0000-00003B370000}"/>
    <cellStyle name="Normal 5 3 3 3 8" xfId="19975" xr:uid="{00000000-0005-0000-0000-00003C370000}"/>
    <cellStyle name="Normal 5 3 3 4" xfId="397" xr:uid="{00000000-0005-0000-0000-00003D370000}"/>
    <cellStyle name="Normal 5 3 3 4 2" xfId="1017" xr:uid="{00000000-0005-0000-0000-00003E370000}"/>
    <cellStyle name="Normal 5 3 3 4 2 2" xfId="2252" xr:uid="{00000000-0005-0000-0000-00003F370000}"/>
    <cellStyle name="Normal 5 3 3 4 2 2 2" xfId="4719" xr:uid="{00000000-0005-0000-0000-000040370000}"/>
    <cellStyle name="Normal 5 3 3 4 2 2 2 2" xfId="9651" xr:uid="{00000000-0005-0000-0000-000041370000}"/>
    <cellStyle name="Normal 5 3 3 4 2 2 2 2 2" xfId="19511" xr:uid="{00000000-0005-0000-0000-000042370000}"/>
    <cellStyle name="Normal 5 3 3 4 2 2 2 2 2 2" xfId="39226" xr:uid="{00000000-0005-0000-0000-000043370000}"/>
    <cellStyle name="Normal 5 3 3 4 2 2 2 2 3" xfId="29369" xr:uid="{00000000-0005-0000-0000-000044370000}"/>
    <cellStyle name="Normal 5 3 3 4 2 2 2 3" xfId="14583" xr:uid="{00000000-0005-0000-0000-000045370000}"/>
    <cellStyle name="Normal 5 3 3 4 2 2 2 3 2" xfId="34298" xr:uid="{00000000-0005-0000-0000-000046370000}"/>
    <cellStyle name="Normal 5 3 3 4 2 2 2 4" xfId="24441" xr:uid="{00000000-0005-0000-0000-000047370000}"/>
    <cellStyle name="Normal 5 3 3 4 2 2 3" xfId="7187" xr:uid="{00000000-0005-0000-0000-000048370000}"/>
    <cellStyle name="Normal 5 3 3 4 2 2 3 2" xfId="17047" xr:uid="{00000000-0005-0000-0000-000049370000}"/>
    <cellStyle name="Normal 5 3 3 4 2 2 3 2 2" xfId="36762" xr:uid="{00000000-0005-0000-0000-00004A370000}"/>
    <cellStyle name="Normal 5 3 3 4 2 2 3 3" xfId="26905" xr:uid="{00000000-0005-0000-0000-00004B370000}"/>
    <cellStyle name="Normal 5 3 3 4 2 2 4" xfId="12119" xr:uid="{00000000-0005-0000-0000-00004C370000}"/>
    <cellStyle name="Normal 5 3 3 4 2 2 4 2" xfId="31834" xr:uid="{00000000-0005-0000-0000-00004D370000}"/>
    <cellStyle name="Normal 5 3 3 4 2 2 5" xfId="21977" xr:uid="{00000000-0005-0000-0000-00004E370000}"/>
    <cellStyle name="Normal 5 3 3 4 2 3" xfId="3487" xr:uid="{00000000-0005-0000-0000-00004F370000}"/>
    <cellStyle name="Normal 5 3 3 4 2 3 2" xfId="8419" xr:uid="{00000000-0005-0000-0000-000050370000}"/>
    <cellStyle name="Normal 5 3 3 4 2 3 2 2" xfId="18279" xr:uid="{00000000-0005-0000-0000-000051370000}"/>
    <cellStyle name="Normal 5 3 3 4 2 3 2 2 2" xfId="37994" xr:uid="{00000000-0005-0000-0000-000052370000}"/>
    <cellStyle name="Normal 5 3 3 4 2 3 2 3" xfId="28137" xr:uid="{00000000-0005-0000-0000-000053370000}"/>
    <cellStyle name="Normal 5 3 3 4 2 3 3" xfId="13351" xr:uid="{00000000-0005-0000-0000-000054370000}"/>
    <cellStyle name="Normal 5 3 3 4 2 3 3 2" xfId="33066" xr:uid="{00000000-0005-0000-0000-000055370000}"/>
    <cellStyle name="Normal 5 3 3 4 2 3 4" xfId="23209" xr:uid="{00000000-0005-0000-0000-000056370000}"/>
    <cellStyle name="Normal 5 3 3 4 2 4" xfId="5955" xr:uid="{00000000-0005-0000-0000-000057370000}"/>
    <cellStyle name="Normal 5 3 3 4 2 4 2" xfId="15815" xr:uid="{00000000-0005-0000-0000-000058370000}"/>
    <cellStyle name="Normal 5 3 3 4 2 4 2 2" xfId="35530" xr:uid="{00000000-0005-0000-0000-000059370000}"/>
    <cellStyle name="Normal 5 3 3 4 2 4 3" xfId="25673" xr:uid="{00000000-0005-0000-0000-00005A370000}"/>
    <cellStyle name="Normal 5 3 3 4 2 5" xfId="10887" xr:uid="{00000000-0005-0000-0000-00005B370000}"/>
    <cellStyle name="Normal 5 3 3 4 2 5 2" xfId="30602" xr:uid="{00000000-0005-0000-0000-00005C370000}"/>
    <cellStyle name="Normal 5 3 3 4 2 6" xfId="20745" xr:uid="{00000000-0005-0000-0000-00005D370000}"/>
    <cellStyle name="Normal 5 3 3 4 3" xfId="1636" xr:uid="{00000000-0005-0000-0000-00005E370000}"/>
    <cellStyle name="Normal 5 3 3 4 3 2" xfId="4103" xr:uid="{00000000-0005-0000-0000-00005F370000}"/>
    <cellStyle name="Normal 5 3 3 4 3 2 2" xfId="9035" xr:uid="{00000000-0005-0000-0000-000060370000}"/>
    <cellStyle name="Normal 5 3 3 4 3 2 2 2" xfId="18895" xr:uid="{00000000-0005-0000-0000-000061370000}"/>
    <cellStyle name="Normal 5 3 3 4 3 2 2 2 2" xfId="38610" xr:uid="{00000000-0005-0000-0000-000062370000}"/>
    <cellStyle name="Normal 5 3 3 4 3 2 2 3" xfId="28753" xr:uid="{00000000-0005-0000-0000-000063370000}"/>
    <cellStyle name="Normal 5 3 3 4 3 2 3" xfId="13967" xr:uid="{00000000-0005-0000-0000-000064370000}"/>
    <cellStyle name="Normal 5 3 3 4 3 2 3 2" xfId="33682" xr:uid="{00000000-0005-0000-0000-000065370000}"/>
    <cellStyle name="Normal 5 3 3 4 3 2 4" xfId="23825" xr:uid="{00000000-0005-0000-0000-000066370000}"/>
    <cellStyle name="Normal 5 3 3 4 3 3" xfId="6571" xr:uid="{00000000-0005-0000-0000-000067370000}"/>
    <cellStyle name="Normal 5 3 3 4 3 3 2" xfId="16431" xr:uid="{00000000-0005-0000-0000-000068370000}"/>
    <cellStyle name="Normal 5 3 3 4 3 3 2 2" xfId="36146" xr:uid="{00000000-0005-0000-0000-000069370000}"/>
    <cellStyle name="Normal 5 3 3 4 3 3 3" xfId="26289" xr:uid="{00000000-0005-0000-0000-00006A370000}"/>
    <cellStyle name="Normal 5 3 3 4 3 4" xfId="11503" xr:uid="{00000000-0005-0000-0000-00006B370000}"/>
    <cellStyle name="Normal 5 3 3 4 3 4 2" xfId="31218" xr:uid="{00000000-0005-0000-0000-00006C370000}"/>
    <cellStyle name="Normal 5 3 3 4 3 5" xfId="21361" xr:uid="{00000000-0005-0000-0000-00006D370000}"/>
    <cellStyle name="Normal 5 3 3 4 4" xfId="2871" xr:uid="{00000000-0005-0000-0000-00006E370000}"/>
    <cellStyle name="Normal 5 3 3 4 4 2" xfId="7803" xr:uid="{00000000-0005-0000-0000-00006F370000}"/>
    <cellStyle name="Normal 5 3 3 4 4 2 2" xfId="17663" xr:uid="{00000000-0005-0000-0000-000070370000}"/>
    <cellStyle name="Normal 5 3 3 4 4 2 2 2" xfId="37378" xr:uid="{00000000-0005-0000-0000-000071370000}"/>
    <cellStyle name="Normal 5 3 3 4 4 2 3" xfId="27521" xr:uid="{00000000-0005-0000-0000-000072370000}"/>
    <cellStyle name="Normal 5 3 3 4 4 3" xfId="12735" xr:uid="{00000000-0005-0000-0000-000073370000}"/>
    <cellStyle name="Normal 5 3 3 4 4 3 2" xfId="32450" xr:uid="{00000000-0005-0000-0000-000074370000}"/>
    <cellStyle name="Normal 5 3 3 4 4 4" xfId="22593" xr:uid="{00000000-0005-0000-0000-000075370000}"/>
    <cellStyle name="Normal 5 3 3 4 5" xfId="5339" xr:uid="{00000000-0005-0000-0000-000076370000}"/>
    <cellStyle name="Normal 5 3 3 4 5 2" xfId="15199" xr:uid="{00000000-0005-0000-0000-000077370000}"/>
    <cellStyle name="Normal 5 3 3 4 5 2 2" xfId="34914" xr:uid="{00000000-0005-0000-0000-000078370000}"/>
    <cellStyle name="Normal 5 3 3 4 5 3" xfId="25057" xr:uid="{00000000-0005-0000-0000-000079370000}"/>
    <cellStyle name="Normal 5 3 3 4 6" xfId="10271" xr:uid="{00000000-0005-0000-0000-00007A370000}"/>
    <cellStyle name="Normal 5 3 3 4 6 2" xfId="29986" xr:uid="{00000000-0005-0000-0000-00007B370000}"/>
    <cellStyle name="Normal 5 3 3 4 7" xfId="20129" xr:uid="{00000000-0005-0000-0000-00007C370000}"/>
    <cellStyle name="Normal 5 3 3 5" xfId="710" xr:uid="{00000000-0005-0000-0000-00007D370000}"/>
    <cellStyle name="Normal 5 3 3 5 2" xfId="1946" xr:uid="{00000000-0005-0000-0000-00007E370000}"/>
    <cellStyle name="Normal 5 3 3 5 2 2" xfId="4413" xr:uid="{00000000-0005-0000-0000-00007F370000}"/>
    <cellStyle name="Normal 5 3 3 5 2 2 2" xfId="9345" xr:uid="{00000000-0005-0000-0000-000080370000}"/>
    <cellStyle name="Normal 5 3 3 5 2 2 2 2" xfId="19205" xr:uid="{00000000-0005-0000-0000-000081370000}"/>
    <cellStyle name="Normal 5 3 3 5 2 2 2 2 2" xfId="38920" xr:uid="{00000000-0005-0000-0000-000082370000}"/>
    <cellStyle name="Normal 5 3 3 5 2 2 2 3" xfId="29063" xr:uid="{00000000-0005-0000-0000-000083370000}"/>
    <cellStyle name="Normal 5 3 3 5 2 2 3" xfId="14277" xr:uid="{00000000-0005-0000-0000-000084370000}"/>
    <cellStyle name="Normal 5 3 3 5 2 2 3 2" xfId="33992" xr:uid="{00000000-0005-0000-0000-000085370000}"/>
    <cellStyle name="Normal 5 3 3 5 2 2 4" xfId="24135" xr:uid="{00000000-0005-0000-0000-000086370000}"/>
    <cellStyle name="Normal 5 3 3 5 2 3" xfId="6881" xr:uid="{00000000-0005-0000-0000-000087370000}"/>
    <cellStyle name="Normal 5 3 3 5 2 3 2" xfId="16741" xr:uid="{00000000-0005-0000-0000-000088370000}"/>
    <cellStyle name="Normal 5 3 3 5 2 3 2 2" xfId="36456" xr:uid="{00000000-0005-0000-0000-000089370000}"/>
    <cellStyle name="Normal 5 3 3 5 2 3 3" xfId="26599" xr:uid="{00000000-0005-0000-0000-00008A370000}"/>
    <cellStyle name="Normal 5 3 3 5 2 4" xfId="11813" xr:uid="{00000000-0005-0000-0000-00008B370000}"/>
    <cellStyle name="Normal 5 3 3 5 2 4 2" xfId="31528" xr:uid="{00000000-0005-0000-0000-00008C370000}"/>
    <cellStyle name="Normal 5 3 3 5 2 5" xfId="21671" xr:uid="{00000000-0005-0000-0000-00008D370000}"/>
    <cellStyle name="Normal 5 3 3 5 3" xfId="3181" xr:uid="{00000000-0005-0000-0000-00008E370000}"/>
    <cellStyle name="Normal 5 3 3 5 3 2" xfId="8113" xr:uid="{00000000-0005-0000-0000-00008F370000}"/>
    <cellStyle name="Normal 5 3 3 5 3 2 2" xfId="17973" xr:uid="{00000000-0005-0000-0000-000090370000}"/>
    <cellStyle name="Normal 5 3 3 5 3 2 2 2" xfId="37688" xr:uid="{00000000-0005-0000-0000-000091370000}"/>
    <cellStyle name="Normal 5 3 3 5 3 2 3" xfId="27831" xr:uid="{00000000-0005-0000-0000-000092370000}"/>
    <cellStyle name="Normal 5 3 3 5 3 3" xfId="13045" xr:uid="{00000000-0005-0000-0000-000093370000}"/>
    <cellStyle name="Normal 5 3 3 5 3 3 2" xfId="32760" xr:uid="{00000000-0005-0000-0000-000094370000}"/>
    <cellStyle name="Normal 5 3 3 5 3 4" xfId="22903" xr:uid="{00000000-0005-0000-0000-000095370000}"/>
    <cellStyle name="Normal 5 3 3 5 4" xfId="5649" xr:uid="{00000000-0005-0000-0000-000096370000}"/>
    <cellStyle name="Normal 5 3 3 5 4 2" xfId="15509" xr:uid="{00000000-0005-0000-0000-000097370000}"/>
    <cellStyle name="Normal 5 3 3 5 4 2 2" xfId="35224" xr:uid="{00000000-0005-0000-0000-000098370000}"/>
    <cellStyle name="Normal 5 3 3 5 4 3" xfId="25367" xr:uid="{00000000-0005-0000-0000-000099370000}"/>
    <cellStyle name="Normal 5 3 3 5 5" xfId="10581" xr:uid="{00000000-0005-0000-0000-00009A370000}"/>
    <cellStyle name="Normal 5 3 3 5 5 2" xfId="30296" xr:uid="{00000000-0005-0000-0000-00009B370000}"/>
    <cellStyle name="Normal 5 3 3 5 6" xfId="20439" xr:uid="{00000000-0005-0000-0000-00009C370000}"/>
    <cellStyle name="Normal 5 3 3 6" xfId="1330" xr:uid="{00000000-0005-0000-0000-00009D370000}"/>
    <cellStyle name="Normal 5 3 3 6 2" xfId="3797" xr:uid="{00000000-0005-0000-0000-00009E370000}"/>
    <cellStyle name="Normal 5 3 3 6 2 2" xfId="8729" xr:uid="{00000000-0005-0000-0000-00009F370000}"/>
    <cellStyle name="Normal 5 3 3 6 2 2 2" xfId="18589" xr:uid="{00000000-0005-0000-0000-0000A0370000}"/>
    <cellStyle name="Normal 5 3 3 6 2 2 2 2" xfId="38304" xr:uid="{00000000-0005-0000-0000-0000A1370000}"/>
    <cellStyle name="Normal 5 3 3 6 2 2 3" xfId="28447" xr:uid="{00000000-0005-0000-0000-0000A2370000}"/>
    <cellStyle name="Normal 5 3 3 6 2 3" xfId="13661" xr:uid="{00000000-0005-0000-0000-0000A3370000}"/>
    <cellStyle name="Normal 5 3 3 6 2 3 2" xfId="33376" xr:uid="{00000000-0005-0000-0000-0000A4370000}"/>
    <cellStyle name="Normal 5 3 3 6 2 4" xfId="23519" xr:uid="{00000000-0005-0000-0000-0000A5370000}"/>
    <cellStyle name="Normal 5 3 3 6 3" xfId="6265" xr:uid="{00000000-0005-0000-0000-0000A6370000}"/>
    <cellStyle name="Normal 5 3 3 6 3 2" xfId="16125" xr:uid="{00000000-0005-0000-0000-0000A7370000}"/>
    <cellStyle name="Normal 5 3 3 6 3 2 2" xfId="35840" xr:uid="{00000000-0005-0000-0000-0000A8370000}"/>
    <cellStyle name="Normal 5 3 3 6 3 3" xfId="25983" xr:uid="{00000000-0005-0000-0000-0000A9370000}"/>
    <cellStyle name="Normal 5 3 3 6 4" xfId="11197" xr:uid="{00000000-0005-0000-0000-0000AA370000}"/>
    <cellStyle name="Normal 5 3 3 6 4 2" xfId="30912" xr:uid="{00000000-0005-0000-0000-0000AB370000}"/>
    <cellStyle name="Normal 5 3 3 6 5" xfId="21055" xr:uid="{00000000-0005-0000-0000-0000AC370000}"/>
    <cellStyle name="Normal 5 3 3 7" xfId="2565" xr:uid="{00000000-0005-0000-0000-0000AD370000}"/>
    <cellStyle name="Normal 5 3 3 7 2" xfId="7497" xr:uid="{00000000-0005-0000-0000-0000AE370000}"/>
    <cellStyle name="Normal 5 3 3 7 2 2" xfId="17357" xr:uid="{00000000-0005-0000-0000-0000AF370000}"/>
    <cellStyle name="Normal 5 3 3 7 2 2 2" xfId="37072" xr:uid="{00000000-0005-0000-0000-0000B0370000}"/>
    <cellStyle name="Normal 5 3 3 7 2 3" xfId="27215" xr:uid="{00000000-0005-0000-0000-0000B1370000}"/>
    <cellStyle name="Normal 5 3 3 7 3" xfId="12429" xr:uid="{00000000-0005-0000-0000-0000B2370000}"/>
    <cellStyle name="Normal 5 3 3 7 3 2" xfId="32144" xr:uid="{00000000-0005-0000-0000-0000B3370000}"/>
    <cellStyle name="Normal 5 3 3 7 4" xfId="22287" xr:uid="{00000000-0005-0000-0000-0000B4370000}"/>
    <cellStyle name="Normal 5 3 3 8" xfId="5033" xr:uid="{00000000-0005-0000-0000-0000B5370000}"/>
    <cellStyle name="Normal 5 3 3 8 2" xfId="14893" xr:uid="{00000000-0005-0000-0000-0000B6370000}"/>
    <cellStyle name="Normal 5 3 3 8 2 2" xfId="34608" xr:uid="{00000000-0005-0000-0000-0000B7370000}"/>
    <cellStyle name="Normal 5 3 3 8 3" xfId="24751" xr:uid="{00000000-0005-0000-0000-0000B8370000}"/>
    <cellStyle name="Normal 5 3 3 9" xfId="9965" xr:uid="{00000000-0005-0000-0000-0000B9370000}"/>
    <cellStyle name="Normal 5 3 3 9 2" xfId="29680" xr:uid="{00000000-0005-0000-0000-0000BA370000}"/>
    <cellStyle name="Normal 5 3 4" xfId="116" xr:uid="{00000000-0005-0000-0000-0000BB370000}"/>
    <cellStyle name="Normal 5 3 4 2" xfId="273" xr:uid="{00000000-0005-0000-0000-0000BC370000}"/>
    <cellStyle name="Normal 5 3 4 2 2" xfId="587" xr:uid="{00000000-0005-0000-0000-0000BD370000}"/>
    <cellStyle name="Normal 5 3 4 2 2 2" xfId="1207" xr:uid="{00000000-0005-0000-0000-0000BE370000}"/>
    <cellStyle name="Normal 5 3 4 2 2 2 2" xfId="2442" xr:uid="{00000000-0005-0000-0000-0000BF370000}"/>
    <cellStyle name="Normal 5 3 4 2 2 2 2 2" xfId="4909" xr:uid="{00000000-0005-0000-0000-0000C0370000}"/>
    <cellStyle name="Normal 5 3 4 2 2 2 2 2 2" xfId="9841" xr:uid="{00000000-0005-0000-0000-0000C1370000}"/>
    <cellStyle name="Normal 5 3 4 2 2 2 2 2 2 2" xfId="19701" xr:uid="{00000000-0005-0000-0000-0000C2370000}"/>
    <cellStyle name="Normal 5 3 4 2 2 2 2 2 2 2 2" xfId="39416" xr:uid="{00000000-0005-0000-0000-0000C3370000}"/>
    <cellStyle name="Normal 5 3 4 2 2 2 2 2 2 3" xfId="29559" xr:uid="{00000000-0005-0000-0000-0000C4370000}"/>
    <cellStyle name="Normal 5 3 4 2 2 2 2 2 3" xfId="14773" xr:uid="{00000000-0005-0000-0000-0000C5370000}"/>
    <cellStyle name="Normal 5 3 4 2 2 2 2 2 3 2" xfId="34488" xr:uid="{00000000-0005-0000-0000-0000C6370000}"/>
    <cellStyle name="Normal 5 3 4 2 2 2 2 2 4" xfId="24631" xr:uid="{00000000-0005-0000-0000-0000C7370000}"/>
    <cellStyle name="Normal 5 3 4 2 2 2 2 3" xfId="7377" xr:uid="{00000000-0005-0000-0000-0000C8370000}"/>
    <cellStyle name="Normal 5 3 4 2 2 2 2 3 2" xfId="17237" xr:uid="{00000000-0005-0000-0000-0000C9370000}"/>
    <cellStyle name="Normal 5 3 4 2 2 2 2 3 2 2" xfId="36952" xr:uid="{00000000-0005-0000-0000-0000CA370000}"/>
    <cellStyle name="Normal 5 3 4 2 2 2 2 3 3" xfId="27095" xr:uid="{00000000-0005-0000-0000-0000CB370000}"/>
    <cellStyle name="Normal 5 3 4 2 2 2 2 4" xfId="12309" xr:uid="{00000000-0005-0000-0000-0000CC370000}"/>
    <cellStyle name="Normal 5 3 4 2 2 2 2 4 2" xfId="32024" xr:uid="{00000000-0005-0000-0000-0000CD370000}"/>
    <cellStyle name="Normal 5 3 4 2 2 2 2 5" xfId="22167" xr:uid="{00000000-0005-0000-0000-0000CE370000}"/>
    <cellStyle name="Normal 5 3 4 2 2 2 3" xfId="3677" xr:uid="{00000000-0005-0000-0000-0000CF370000}"/>
    <cellStyle name="Normal 5 3 4 2 2 2 3 2" xfId="8609" xr:uid="{00000000-0005-0000-0000-0000D0370000}"/>
    <cellStyle name="Normal 5 3 4 2 2 2 3 2 2" xfId="18469" xr:uid="{00000000-0005-0000-0000-0000D1370000}"/>
    <cellStyle name="Normal 5 3 4 2 2 2 3 2 2 2" xfId="38184" xr:uid="{00000000-0005-0000-0000-0000D2370000}"/>
    <cellStyle name="Normal 5 3 4 2 2 2 3 2 3" xfId="28327" xr:uid="{00000000-0005-0000-0000-0000D3370000}"/>
    <cellStyle name="Normal 5 3 4 2 2 2 3 3" xfId="13541" xr:uid="{00000000-0005-0000-0000-0000D4370000}"/>
    <cellStyle name="Normal 5 3 4 2 2 2 3 3 2" xfId="33256" xr:uid="{00000000-0005-0000-0000-0000D5370000}"/>
    <cellStyle name="Normal 5 3 4 2 2 2 3 4" xfId="23399" xr:uid="{00000000-0005-0000-0000-0000D6370000}"/>
    <cellStyle name="Normal 5 3 4 2 2 2 4" xfId="6145" xr:uid="{00000000-0005-0000-0000-0000D7370000}"/>
    <cellStyle name="Normal 5 3 4 2 2 2 4 2" xfId="16005" xr:uid="{00000000-0005-0000-0000-0000D8370000}"/>
    <cellStyle name="Normal 5 3 4 2 2 2 4 2 2" xfId="35720" xr:uid="{00000000-0005-0000-0000-0000D9370000}"/>
    <cellStyle name="Normal 5 3 4 2 2 2 4 3" xfId="25863" xr:uid="{00000000-0005-0000-0000-0000DA370000}"/>
    <cellStyle name="Normal 5 3 4 2 2 2 5" xfId="11077" xr:uid="{00000000-0005-0000-0000-0000DB370000}"/>
    <cellStyle name="Normal 5 3 4 2 2 2 5 2" xfId="30792" xr:uid="{00000000-0005-0000-0000-0000DC370000}"/>
    <cellStyle name="Normal 5 3 4 2 2 2 6" xfId="20935" xr:uid="{00000000-0005-0000-0000-0000DD370000}"/>
    <cellStyle name="Normal 5 3 4 2 2 3" xfId="1826" xr:uid="{00000000-0005-0000-0000-0000DE370000}"/>
    <cellStyle name="Normal 5 3 4 2 2 3 2" xfId="4293" xr:uid="{00000000-0005-0000-0000-0000DF370000}"/>
    <cellStyle name="Normal 5 3 4 2 2 3 2 2" xfId="9225" xr:uid="{00000000-0005-0000-0000-0000E0370000}"/>
    <cellStyle name="Normal 5 3 4 2 2 3 2 2 2" xfId="19085" xr:uid="{00000000-0005-0000-0000-0000E1370000}"/>
    <cellStyle name="Normal 5 3 4 2 2 3 2 2 2 2" xfId="38800" xr:uid="{00000000-0005-0000-0000-0000E2370000}"/>
    <cellStyle name="Normal 5 3 4 2 2 3 2 2 3" xfId="28943" xr:uid="{00000000-0005-0000-0000-0000E3370000}"/>
    <cellStyle name="Normal 5 3 4 2 2 3 2 3" xfId="14157" xr:uid="{00000000-0005-0000-0000-0000E4370000}"/>
    <cellStyle name="Normal 5 3 4 2 2 3 2 3 2" xfId="33872" xr:uid="{00000000-0005-0000-0000-0000E5370000}"/>
    <cellStyle name="Normal 5 3 4 2 2 3 2 4" xfId="24015" xr:uid="{00000000-0005-0000-0000-0000E6370000}"/>
    <cellStyle name="Normal 5 3 4 2 2 3 3" xfId="6761" xr:uid="{00000000-0005-0000-0000-0000E7370000}"/>
    <cellStyle name="Normal 5 3 4 2 2 3 3 2" xfId="16621" xr:uid="{00000000-0005-0000-0000-0000E8370000}"/>
    <cellStyle name="Normal 5 3 4 2 2 3 3 2 2" xfId="36336" xr:uid="{00000000-0005-0000-0000-0000E9370000}"/>
    <cellStyle name="Normal 5 3 4 2 2 3 3 3" xfId="26479" xr:uid="{00000000-0005-0000-0000-0000EA370000}"/>
    <cellStyle name="Normal 5 3 4 2 2 3 4" xfId="11693" xr:uid="{00000000-0005-0000-0000-0000EB370000}"/>
    <cellStyle name="Normal 5 3 4 2 2 3 4 2" xfId="31408" xr:uid="{00000000-0005-0000-0000-0000EC370000}"/>
    <cellStyle name="Normal 5 3 4 2 2 3 5" xfId="21551" xr:uid="{00000000-0005-0000-0000-0000ED370000}"/>
    <cellStyle name="Normal 5 3 4 2 2 4" xfId="3061" xr:uid="{00000000-0005-0000-0000-0000EE370000}"/>
    <cellStyle name="Normal 5 3 4 2 2 4 2" xfId="7993" xr:uid="{00000000-0005-0000-0000-0000EF370000}"/>
    <cellStyle name="Normal 5 3 4 2 2 4 2 2" xfId="17853" xr:uid="{00000000-0005-0000-0000-0000F0370000}"/>
    <cellStyle name="Normal 5 3 4 2 2 4 2 2 2" xfId="37568" xr:uid="{00000000-0005-0000-0000-0000F1370000}"/>
    <cellStyle name="Normal 5 3 4 2 2 4 2 3" xfId="27711" xr:uid="{00000000-0005-0000-0000-0000F2370000}"/>
    <cellStyle name="Normal 5 3 4 2 2 4 3" xfId="12925" xr:uid="{00000000-0005-0000-0000-0000F3370000}"/>
    <cellStyle name="Normal 5 3 4 2 2 4 3 2" xfId="32640" xr:uid="{00000000-0005-0000-0000-0000F4370000}"/>
    <cellStyle name="Normal 5 3 4 2 2 4 4" xfId="22783" xr:uid="{00000000-0005-0000-0000-0000F5370000}"/>
    <cellStyle name="Normal 5 3 4 2 2 5" xfId="5529" xr:uid="{00000000-0005-0000-0000-0000F6370000}"/>
    <cellStyle name="Normal 5 3 4 2 2 5 2" xfId="15389" xr:uid="{00000000-0005-0000-0000-0000F7370000}"/>
    <cellStyle name="Normal 5 3 4 2 2 5 2 2" xfId="35104" xr:uid="{00000000-0005-0000-0000-0000F8370000}"/>
    <cellStyle name="Normal 5 3 4 2 2 5 3" xfId="25247" xr:uid="{00000000-0005-0000-0000-0000F9370000}"/>
    <cellStyle name="Normal 5 3 4 2 2 6" xfId="10461" xr:uid="{00000000-0005-0000-0000-0000FA370000}"/>
    <cellStyle name="Normal 5 3 4 2 2 6 2" xfId="30176" xr:uid="{00000000-0005-0000-0000-0000FB370000}"/>
    <cellStyle name="Normal 5 3 4 2 2 7" xfId="20319" xr:uid="{00000000-0005-0000-0000-0000FC370000}"/>
    <cellStyle name="Normal 5 3 4 2 3" xfId="900" xr:uid="{00000000-0005-0000-0000-0000FD370000}"/>
    <cellStyle name="Normal 5 3 4 2 3 2" xfId="2136" xr:uid="{00000000-0005-0000-0000-0000FE370000}"/>
    <cellStyle name="Normal 5 3 4 2 3 2 2" xfId="4603" xr:uid="{00000000-0005-0000-0000-0000FF370000}"/>
    <cellStyle name="Normal 5 3 4 2 3 2 2 2" xfId="9535" xr:uid="{00000000-0005-0000-0000-000000380000}"/>
    <cellStyle name="Normal 5 3 4 2 3 2 2 2 2" xfId="19395" xr:uid="{00000000-0005-0000-0000-000001380000}"/>
    <cellStyle name="Normal 5 3 4 2 3 2 2 2 2 2" xfId="39110" xr:uid="{00000000-0005-0000-0000-000002380000}"/>
    <cellStyle name="Normal 5 3 4 2 3 2 2 2 3" xfId="29253" xr:uid="{00000000-0005-0000-0000-000003380000}"/>
    <cellStyle name="Normal 5 3 4 2 3 2 2 3" xfId="14467" xr:uid="{00000000-0005-0000-0000-000004380000}"/>
    <cellStyle name="Normal 5 3 4 2 3 2 2 3 2" xfId="34182" xr:uid="{00000000-0005-0000-0000-000005380000}"/>
    <cellStyle name="Normal 5 3 4 2 3 2 2 4" xfId="24325" xr:uid="{00000000-0005-0000-0000-000006380000}"/>
    <cellStyle name="Normal 5 3 4 2 3 2 3" xfId="7071" xr:uid="{00000000-0005-0000-0000-000007380000}"/>
    <cellStyle name="Normal 5 3 4 2 3 2 3 2" xfId="16931" xr:uid="{00000000-0005-0000-0000-000008380000}"/>
    <cellStyle name="Normal 5 3 4 2 3 2 3 2 2" xfId="36646" xr:uid="{00000000-0005-0000-0000-000009380000}"/>
    <cellStyle name="Normal 5 3 4 2 3 2 3 3" xfId="26789" xr:uid="{00000000-0005-0000-0000-00000A380000}"/>
    <cellStyle name="Normal 5 3 4 2 3 2 4" xfId="12003" xr:uid="{00000000-0005-0000-0000-00000B380000}"/>
    <cellStyle name="Normal 5 3 4 2 3 2 4 2" xfId="31718" xr:uid="{00000000-0005-0000-0000-00000C380000}"/>
    <cellStyle name="Normal 5 3 4 2 3 2 5" xfId="21861" xr:uid="{00000000-0005-0000-0000-00000D380000}"/>
    <cellStyle name="Normal 5 3 4 2 3 3" xfId="3371" xr:uid="{00000000-0005-0000-0000-00000E380000}"/>
    <cellStyle name="Normal 5 3 4 2 3 3 2" xfId="8303" xr:uid="{00000000-0005-0000-0000-00000F380000}"/>
    <cellStyle name="Normal 5 3 4 2 3 3 2 2" xfId="18163" xr:uid="{00000000-0005-0000-0000-000010380000}"/>
    <cellStyle name="Normal 5 3 4 2 3 3 2 2 2" xfId="37878" xr:uid="{00000000-0005-0000-0000-000011380000}"/>
    <cellStyle name="Normal 5 3 4 2 3 3 2 3" xfId="28021" xr:uid="{00000000-0005-0000-0000-000012380000}"/>
    <cellStyle name="Normal 5 3 4 2 3 3 3" xfId="13235" xr:uid="{00000000-0005-0000-0000-000013380000}"/>
    <cellStyle name="Normal 5 3 4 2 3 3 3 2" xfId="32950" xr:uid="{00000000-0005-0000-0000-000014380000}"/>
    <cellStyle name="Normal 5 3 4 2 3 3 4" xfId="23093" xr:uid="{00000000-0005-0000-0000-000015380000}"/>
    <cellStyle name="Normal 5 3 4 2 3 4" xfId="5839" xr:uid="{00000000-0005-0000-0000-000016380000}"/>
    <cellStyle name="Normal 5 3 4 2 3 4 2" xfId="15699" xr:uid="{00000000-0005-0000-0000-000017380000}"/>
    <cellStyle name="Normal 5 3 4 2 3 4 2 2" xfId="35414" xr:uid="{00000000-0005-0000-0000-000018380000}"/>
    <cellStyle name="Normal 5 3 4 2 3 4 3" xfId="25557" xr:uid="{00000000-0005-0000-0000-000019380000}"/>
    <cellStyle name="Normal 5 3 4 2 3 5" xfId="10771" xr:uid="{00000000-0005-0000-0000-00001A380000}"/>
    <cellStyle name="Normal 5 3 4 2 3 5 2" xfId="30486" xr:uid="{00000000-0005-0000-0000-00001B380000}"/>
    <cellStyle name="Normal 5 3 4 2 3 6" xfId="20629" xr:uid="{00000000-0005-0000-0000-00001C380000}"/>
    <cellStyle name="Normal 5 3 4 2 4" xfId="1520" xr:uid="{00000000-0005-0000-0000-00001D380000}"/>
    <cellStyle name="Normal 5 3 4 2 4 2" xfId="3987" xr:uid="{00000000-0005-0000-0000-00001E380000}"/>
    <cellStyle name="Normal 5 3 4 2 4 2 2" xfId="8919" xr:uid="{00000000-0005-0000-0000-00001F380000}"/>
    <cellStyle name="Normal 5 3 4 2 4 2 2 2" xfId="18779" xr:uid="{00000000-0005-0000-0000-000020380000}"/>
    <cellStyle name="Normal 5 3 4 2 4 2 2 2 2" xfId="38494" xr:uid="{00000000-0005-0000-0000-000021380000}"/>
    <cellStyle name="Normal 5 3 4 2 4 2 2 3" xfId="28637" xr:uid="{00000000-0005-0000-0000-000022380000}"/>
    <cellStyle name="Normal 5 3 4 2 4 2 3" xfId="13851" xr:uid="{00000000-0005-0000-0000-000023380000}"/>
    <cellStyle name="Normal 5 3 4 2 4 2 3 2" xfId="33566" xr:uid="{00000000-0005-0000-0000-000024380000}"/>
    <cellStyle name="Normal 5 3 4 2 4 2 4" xfId="23709" xr:uid="{00000000-0005-0000-0000-000025380000}"/>
    <cellStyle name="Normal 5 3 4 2 4 3" xfId="6455" xr:uid="{00000000-0005-0000-0000-000026380000}"/>
    <cellStyle name="Normal 5 3 4 2 4 3 2" xfId="16315" xr:uid="{00000000-0005-0000-0000-000027380000}"/>
    <cellStyle name="Normal 5 3 4 2 4 3 2 2" xfId="36030" xr:uid="{00000000-0005-0000-0000-000028380000}"/>
    <cellStyle name="Normal 5 3 4 2 4 3 3" xfId="26173" xr:uid="{00000000-0005-0000-0000-000029380000}"/>
    <cellStyle name="Normal 5 3 4 2 4 4" xfId="11387" xr:uid="{00000000-0005-0000-0000-00002A380000}"/>
    <cellStyle name="Normal 5 3 4 2 4 4 2" xfId="31102" xr:uid="{00000000-0005-0000-0000-00002B380000}"/>
    <cellStyle name="Normal 5 3 4 2 4 5" xfId="21245" xr:uid="{00000000-0005-0000-0000-00002C380000}"/>
    <cellStyle name="Normal 5 3 4 2 5" xfId="2755" xr:uid="{00000000-0005-0000-0000-00002D380000}"/>
    <cellStyle name="Normal 5 3 4 2 5 2" xfId="7687" xr:uid="{00000000-0005-0000-0000-00002E380000}"/>
    <cellStyle name="Normal 5 3 4 2 5 2 2" xfId="17547" xr:uid="{00000000-0005-0000-0000-00002F380000}"/>
    <cellStyle name="Normal 5 3 4 2 5 2 2 2" xfId="37262" xr:uid="{00000000-0005-0000-0000-000030380000}"/>
    <cellStyle name="Normal 5 3 4 2 5 2 3" xfId="27405" xr:uid="{00000000-0005-0000-0000-000031380000}"/>
    <cellStyle name="Normal 5 3 4 2 5 3" xfId="12619" xr:uid="{00000000-0005-0000-0000-000032380000}"/>
    <cellStyle name="Normal 5 3 4 2 5 3 2" xfId="32334" xr:uid="{00000000-0005-0000-0000-000033380000}"/>
    <cellStyle name="Normal 5 3 4 2 5 4" xfId="22477" xr:uid="{00000000-0005-0000-0000-000034380000}"/>
    <cellStyle name="Normal 5 3 4 2 6" xfId="5223" xr:uid="{00000000-0005-0000-0000-000035380000}"/>
    <cellStyle name="Normal 5 3 4 2 6 2" xfId="15083" xr:uid="{00000000-0005-0000-0000-000036380000}"/>
    <cellStyle name="Normal 5 3 4 2 6 2 2" xfId="34798" xr:uid="{00000000-0005-0000-0000-000037380000}"/>
    <cellStyle name="Normal 5 3 4 2 6 3" xfId="24941" xr:uid="{00000000-0005-0000-0000-000038380000}"/>
    <cellStyle name="Normal 5 3 4 2 7" xfId="10155" xr:uid="{00000000-0005-0000-0000-000039380000}"/>
    <cellStyle name="Normal 5 3 4 2 7 2" xfId="29870" xr:uid="{00000000-0005-0000-0000-00003A380000}"/>
    <cellStyle name="Normal 5 3 4 2 8" xfId="20013" xr:uid="{00000000-0005-0000-0000-00003B380000}"/>
    <cellStyle name="Normal 5 3 4 3" xfId="435" xr:uid="{00000000-0005-0000-0000-00003C380000}"/>
    <cellStyle name="Normal 5 3 4 3 2" xfId="1055" xr:uid="{00000000-0005-0000-0000-00003D380000}"/>
    <cellStyle name="Normal 5 3 4 3 2 2" xfId="2290" xr:uid="{00000000-0005-0000-0000-00003E380000}"/>
    <cellStyle name="Normal 5 3 4 3 2 2 2" xfId="4757" xr:uid="{00000000-0005-0000-0000-00003F380000}"/>
    <cellStyle name="Normal 5 3 4 3 2 2 2 2" xfId="9689" xr:uid="{00000000-0005-0000-0000-000040380000}"/>
    <cellStyle name="Normal 5 3 4 3 2 2 2 2 2" xfId="19549" xr:uid="{00000000-0005-0000-0000-000041380000}"/>
    <cellStyle name="Normal 5 3 4 3 2 2 2 2 2 2" xfId="39264" xr:uid="{00000000-0005-0000-0000-000042380000}"/>
    <cellStyle name="Normal 5 3 4 3 2 2 2 2 3" xfId="29407" xr:uid="{00000000-0005-0000-0000-000043380000}"/>
    <cellStyle name="Normal 5 3 4 3 2 2 2 3" xfId="14621" xr:uid="{00000000-0005-0000-0000-000044380000}"/>
    <cellStyle name="Normal 5 3 4 3 2 2 2 3 2" xfId="34336" xr:uid="{00000000-0005-0000-0000-000045380000}"/>
    <cellStyle name="Normal 5 3 4 3 2 2 2 4" xfId="24479" xr:uid="{00000000-0005-0000-0000-000046380000}"/>
    <cellStyle name="Normal 5 3 4 3 2 2 3" xfId="7225" xr:uid="{00000000-0005-0000-0000-000047380000}"/>
    <cellStyle name="Normal 5 3 4 3 2 2 3 2" xfId="17085" xr:uid="{00000000-0005-0000-0000-000048380000}"/>
    <cellStyle name="Normal 5 3 4 3 2 2 3 2 2" xfId="36800" xr:uid="{00000000-0005-0000-0000-000049380000}"/>
    <cellStyle name="Normal 5 3 4 3 2 2 3 3" xfId="26943" xr:uid="{00000000-0005-0000-0000-00004A380000}"/>
    <cellStyle name="Normal 5 3 4 3 2 2 4" xfId="12157" xr:uid="{00000000-0005-0000-0000-00004B380000}"/>
    <cellStyle name="Normal 5 3 4 3 2 2 4 2" xfId="31872" xr:uid="{00000000-0005-0000-0000-00004C380000}"/>
    <cellStyle name="Normal 5 3 4 3 2 2 5" xfId="22015" xr:uid="{00000000-0005-0000-0000-00004D380000}"/>
    <cellStyle name="Normal 5 3 4 3 2 3" xfId="3525" xr:uid="{00000000-0005-0000-0000-00004E380000}"/>
    <cellStyle name="Normal 5 3 4 3 2 3 2" xfId="8457" xr:uid="{00000000-0005-0000-0000-00004F380000}"/>
    <cellStyle name="Normal 5 3 4 3 2 3 2 2" xfId="18317" xr:uid="{00000000-0005-0000-0000-000050380000}"/>
    <cellStyle name="Normal 5 3 4 3 2 3 2 2 2" xfId="38032" xr:uid="{00000000-0005-0000-0000-000051380000}"/>
    <cellStyle name="Normal 5 3 4 3 2 3 2 3" xfId="28175" xr:uid="{00000000-0005-0000-0000-000052380000}"/>
    <cellStyle name="Normal 5 3 4 3 2 3 3" xfId="13389" xr:uid="{00000000-0005-0000-0000-000053380000}"/>
    <cellStyle name="Normal 5 3 4 3 2 3 3 2" xfId="33104" xr:uid="{00000000-0005-0000-0000-000054380000}"/>
    <cellStyle name="Normal 5 3 4 3 2 3 4" xfId="23247" xr:uid="{00000000-0005-0000-0000-000055380000}"/>
    <cellStyle name="Normal 5 3 4 3 2 4" xfId="5993" xr:uid="{00000000-0005-0000-0000-000056380000}"/>
    <cellStyle name="Normal 5 3 4 3 2 4 2" xfId="15853" xr:uid="{00000000-0005-0000-0000-000057380000}"/>
    <cellStyle name="Normal 5 3 4 3 2 4 2 2" xfId="35568" xr:uid="{00000000-0005-0000-0000-000058380000}"/>
    <cellStyle name="Normal 5 3 4 3 2 4 3" xfId="25711" xr:uid="{00000000-0005-0000-0000-000059380000}"/>
    <cellStyle name="Normal 5 3 4 3 2 5" xfId="10925" xr:uid="{00000000-0005-0000-0000-00005A380000}"/>
    <cellStyle name="Normal 5 3 4 3 2 5 2" xfId="30640" xr:uid="{00000000-0005-0000-0000-00005B380000}"/>
    <cellStyle name="Normal 5 3 4 3 2 6" xfId="20783" xr:uid="{00000000-0005-0000-0000-00005C380000}"/>
    <cellStyle name="Normal 5 3 4 3 3" xfId="1674" xr:uid="{00000000-0005-0000-0000-00005D380000}"/>
    <cellStyle name="Normal 5 3 4 3 3 2" xfId="4141" xr:uid="{00000000-0005-0000-0000-00005E380000}"/>
    <cellStyle name="Normal 5 3 4 3 3 2 2" xfId="9073" xr:uid="{00000000-0005-0000-0000-00005F380000}"/>
    <cellStyle name="Normal 5 3 4 3 3 2 2 2" xfId="18933" xr:uid="{00000000-0005-0000-0000-000060380000}"/>
    <cellStyle name="Normal 5 3 4 3 3 2 2 2 2" xfId="38648" xr:uid="{00000000-0005-0000-0000-000061380000}"/>
    <cellStyle name="Normal 5 3 4 3 3 2 2 3" xfId="28791" xr:uid="{00000000-0005-0000-0000-000062380000}"/>
    <cellStyle name="Normal 5 3 4 3 3 2 3" xfId="14005" xr:uid="{00000000-0005-0000-0000-000063380000}"/>
    <cellStyle name="Normal 5 3 4 3 3 2 3 2" xfId="33720" xr:uid="{00000000-0005-0000-0000-000064380000}"/>
    <cellStyle name="Normal 5 3 4 3 3 2 4" xfId="23863" xr:uid="{00000000-0005-0000-0000-000065380000}"/>
    <cellStyle name="Normal 5 3 4 3 3 3" xfId="6609" xr:uid="{00000000-0005-0000-0000-000066380000}"/>
    <cellStyle name="Normal 5 3 4 3 3 3 2" xfId="16469" xr:uid="{00000000-0005-0000-0000-000067380000}"/>
    <cellStyle name="Normal 5 3 4 3 3 3 2 2" xfId="36184" xr:uid="{00000000-0005-0000-0000-000068380000}"/>
    <cellStyle name="Normal 5 3 4 3 3 3 3" xfId="26327" xr:uid="{00000000-0005-0000-0000-000069380000}"/>
    <cellStyle name="Normal 5 3 4 3 3 4" xfId="11541" xr:uid="{00000000-0005-0000-0000-00006A380000}"/>
    <cellStyle name="Normal 5 3 4 3 3 4 2" xfId="31256" xr:uid="{00000000-0005-0000-0000-00006B380000}"/>
    <cellStyle name="Normal 5 3 4 3 3 5" xfId="21399" xr:uid="{00000000-0005-0000-0000-00006C380000}"/>
    <cellStyle name="Normal 5 3 4 3 4" xfId="2909" xr:uid="{00000000-0005-0000-0000-00006D380000}"/>
    <cellStyle name="Normal 5 3 4 3 4 2" xfId="7841" xr:uid="{00000000-0005-0000-0000-00006E380000}"/>
    <cellStyle name="Normal 5 3 4 3 4 2 2" xfId="17701" xr:uid="{00000000-0005-0000-0000-00006F380000}"/>
    <cellStyle name="Normal 5 3 4 3 4 2 2 2" xfId="37416" xr:uid="{00000000-0005-0000-0000-000070380000}"/>
    <cellStyle name="Normal 5 3 4 3 4 2 3" xfId="27559" xr:uid="{00000000-0005-0000-0000-000071380000}"/>
    <cellStyle name="Normal 5 3 4 3 4 3" xfId="12773" xr:uid="{00000000-0005-0000-0000-000072380000}"/>
    <cellStyle name="Normal 5 3 4 3 4 3 2" xfId="32488" xr:uid="{00000000-0005-0000-0000-000073380000}"/>
    <cellStyle name="Normal 5 3 4 3 4 4" xfId="22631" xr:uid="{00000000-0005-0000-0000-000074380000}"/>
    <cellStyle name="Normal 5 3 4 3 5" xfId="5377" xr:uid="{00000000-0005-0000-0000-000075380000}"/>
    <cellStyle name="Normal 5 3 4 3 5 2" xfId="15237" xr:uid="{00000000-0005-0000-0000-000076380000}"/>
    <cellStyle name="Normal 5 3 4 3 5 2 2" xfId="34952" xr:uid="{00000000-0005-0000-0000-000077380000}"/>
    <cellStyle name="Normal 5 3 4 3 5 3" xfId="25095" xr:uid="{00000000-0005-0000-0000-000078380000}"/>
    <cellStyle name="Normal 5 3 4 3 6" xfId="10309" xr:uid="{00000000-0005-0000-0000-000079380000}"/>
    <cellStyle name="Normal 5 3 4 3 6 2" xfId="30024" xr:uid="{00000000-0005-0000-0000-00007A380000}"/>
    <cellStyle name="Normal 5 3 4 3 7" xfId="20167" xr:uid="{00000000-0005-0000-0000-00007B380000}"/>
    <cellStyle name="Normal 5 3 4 4" xfId="748" xr:uid="{00000000-0005-0000-0000-00007C380000}"/>
    <cellStyle name="Normal 5 3 4 4 2" xfId="1984" xr:uid="{00000000-0005-0000-0000-00007D380000}"/>
    <cellStyle name="Normal 5 3 4 4 2 2" xfId="4451" xr:uid="{00000000-0005-0000-0000-00007E380000}"/>
    <cellStyle name="Normal 5 3 4 4 2 2 2" xfId="9383" xr:uid="{00000000-0005-0000-0000-00007F380000}"/>
    <cellStyle name="Normal 5 3 4 4 2 2 2 2" xfId="19243" xr:uid="{00000000-0005-0000-0000-000080380000}"/>
    <cellStyle name="Normal 5 3 4 4 2 2 2 2 2" xfId="38958" xr:uid="{00000000-0005-0000-0000-000081380000}"/>
    <cellStyle name="Normal 5 3 4 4 2 2 2 3" xfId="29101" xr:uid="{00000000-0005-0000-0000-000082380000}"/>
    <cellStyle name="Normal 5 3 4 4 2 2 3" xfId="14315" xr:uid="{00000000-0005-0000-0000-000083380000}"/>
    <cellStyle name="Normal 5 3 4 4 2 2 3 2" xfId="34030" xr:uid="{00000000-0005-0000-0000-000084380000}"/>
    <cellStyle name="Normal 5 3 4 4 2 2 4" xfId="24173" xr:uid="{00000000-0005-0000-0000-000085380000}"/>
    <cellStyle name="Normal 5 3 4 4 2 3" xfId="6919" xr:uid="{00000000-0005-0000-0000-000086380000}"/>
    <cellStyle name="Normal 5 3 4 4 2 3 2" xfId="16779" xr:uid="{00000000-0005-0000-0000-000087380000}"/>
    <cellStyle name="Normal 5 3 4 4 2 3 2 2" xfId="36494" xr:uid="{00000000-0005-0000-0000-000088380000}"/>
    <cellStyle name="Normal 5 3 4 4 2 3 3" xfId="26637" xr:uid="{00000000-0005-0000-0000-000089380000}"/>
    <cellStyle name="Normal 5 3 4 4 2 4" xfId="11851" xr:uid="{00000000-0005-0000-0000-00008A380000}"/>
    <cellStyle name="Normal 5 3 4 4 2 4 2" xfId="31566" xr:uid="{00000000-0005-0000-0000-00008B380000}"/>
    <cellStyle name="Normal 5 3 4 4 2 5" xfId="21709" xr:uid="{00000000-0005-0000-0000-00008C380000}"/>
    <cellStyle name="Normal 5 3 4 4 3" xfId="3219" xr:uid="{00000000-0005-0000-0000-00008D380000}"/>
    <cellStyle name="Normal 5 3 4 4 3 2" xfId="8151" xr:uid="{00000000-0005-0000-0000-00008E380000}"/>
    <cellStyle name="Normal 5 3 4 4 3 2 2" xfId="18011" xr:uid="{00000000-0005-0000-0000-00008F380000}"/>
    <cellStyle name="Normal 5 3 4 4 3 2 2 2" xfId="37726" xr:uid="{00000000-0005-0000-0000-000090380000}"/>
    <cellStyle name="Normal 5 3 4 4 3 2 3" xfId="27869" xr:uid="{00000000-0005-0000-0000-000091380000}"/>
    <cellStyle name="Normal 5 3 4 4 3 3" xfId="13083" xr:uid="{00000000-0005-0000-0000-000092380000}"/>
    <cellStyle name="Normal 5 3 4 4 3 3 2" xfId="32798" xr:uid="{00000000-0005-0000-0000-000093380000}"/>
    <cellStyle name="Normal 5 3 4 4 3 4" xfId="22941" xr:uid="{00000000-0005-0000-0000-000094380000}"/>
    <cellStyle name="Normal 5 3 4 4 4" xfId="5687" xr:uid="{00000000-0005-0000-0000-000095380000}"/>
    <cellStyle name="Normal 5 3 4 4 4 2" xfId="15547" xr:uid="{00000000-0005-0000-0000-000096380000}"/>
    <cellStyle name="Normal 5 3 4 4 4 2 2" xfId="35262" xr:uid="{00000000-0005-0000-0000-000097380000}"/>
    <cellStyle name="Normal 5 3 4 4 4 3" xfId="25405" xr:uid="{00000000-0005-0000-0000-000098380000}"/>
    <cellStyle name="Normal 5 3 4 4 5" xfId="10619" xr:uid="{00000000-0005-0000-0000-000099380000}"/>
    <cellStyle name="Normal 5 3 4 4 5 2" xfId="30334" xr:uid="{00000000-0005-0000-0000-00009A380000}"/>
    <cellStyle name="Normal 5 3 4 4 6" xfId="20477" xr:uid="{00000000-0005-0000-0000-00009B380000}"/>
    <cellStyle name="Normal 5 3 4 5" xfId="1368" xr:uid="{00000000-0005-0000-0000-00009C380000}"/>
    <cellStyle name="Normal 5 3 4 5 2" xfId="3835" xr:uid="{00000000-0005-0000-0000-00009D380000}"/>
    <cellStyle name="Normal 5 3 4 5 2 2" xfId="8767" xr:uid="{00000000-0005-0000-0000-00009E380000}"/>
    <cellStyle name="Normal 5 3 4 5 2 2 2" xfId="18627" xr:uid="{00000000-0005-0000-0000-00009F380000}"/>
    <cellStyle name="Normal 5 3 4 5 2 2 2 2" xfId="38342" xr:uid="{00000000-0005-0000-0000-0000A0380000}"/>
    <cellStyle name="Normal 5 3 4 5 2 2 3" xfId="28485" xr:uid="{00000000-0005-0000-0000-0000A1380000}"/>
    <cellStyle name="Normal 5 3 4 5 2 3" xfId="13699" xr:uid="{00000000-0005-0000-0000-0000A2380000}"/>
    <cellStyle name="Normal 5 3 4 5 2 3 2" xfId="33414" xr:uid="{00000000-0005-0000-0000-0000A3380000}"/>
    <cellStyle name="Normal 5 3 4 5 2 4" xfId="23557" xr:uid="{00000000-0005-0000-0000-0000A4380000}"/>
    <cellStyle name="Normal 5 3 4 5 3" xfId="6303" xr:uid="{00000000-0005-0000-0000-0000A5380000}"/>
    <cellStyle name="Normal 5 3 4 5 3 2" xfId="16163" xr:uid="{00000000-0005-0000-0000-0000A6380000}"/>
    <cellStyle name="Normal 5 3 4 5 3 2 2" xfId="35878" xr:uid="{00000000-0005-0000-0000-0000A7380000}"/>
    <cellStyle name="Normal 5 3 4 5 3 3" xfId="26021" xr:uid="{00000000-0005-0000-0000-0000A8380000}"/>
    <cellStyle name="Normal 5 3 4 5 4" xfId="11235" xr:uid="{00000000-0005-0000-0000-0000A9380000}"/>
    <cellStyle name="Normal 5 3 4 5 4 2" xfId="30950" xr:uid="{00000000-0005-0000-0000-0000AA380000}"/>
    <cellStyle name="Normal 5 3 4 5 5" xfId="21093" xr:uid="{00000000-0005-0000-0000-0000AB380000}"/>
    <cellStyle name="Normal 5 3 4 6" xfId="2603" xr:uid="{00000000-0005-0000-0000-0000AC380000}"/>
    <cellStyle name="Normal 5 3 4 6 2" xfId="7535" xr:uid="{00000000-0005-0000-0000-0000AD380000}"/>
    <cellStyle name="Normal 5 3 4 6 2 2" xfId="17395" xr:uid="{00000000-0005-0000-0000-0000AE380000}"/>
    <cellStyle name="Normal 5 3 4 6 2 2 2" xfId="37110" xr:uid="{00000000-0005-0000-0000-0000AF380000}"/>
    <cellStyle name="Normal 5 3 4 6 2 3" xfId="27253" xr:uid="{00000000-0005-0000-0000-0000B0380000}"/>
    <cellStyle name="Normal 5 3 4 6 3" xfId="12467" xr:uid="{00000000-0005-0000-0000-0000B1380000}"/>
    <cellStyle name="Normal 5 3 4 6 3 2" xfId="32182" xr:uid="{00000000-0005-0000-0000-0000B2380000}"/>
    <cellStyle name="Normal 5 3 4 6 4" xfId="22325" xr:uid="{00000000-0005-0000-0000-0000B3380000}"/>
    <cellStyle name="Normal 5 3 4 7" xfId="5071" xr:uid="{00000000-0005-0000-0000-0000B4380000}"/>
    <cellStyle name="Normal 5 3 4 7 2" xfId="14931" xr:uid="{00000000-0005-0000-0000-0000B5380000}"/>
    <cellStyle name="Normal 5 3 4 7 2 2" xfId="34646" xr:uid="{00000000-0005-0000-0000-0000B6380000}"/>
    <cellStyle name="Normal 5 3 4 7 3" xfId="24789" xr:uid="{00000000-0005-0000-0000-0000B7380000}"/>
    <cellStyle name="Normal 5 3 4 8" xfId="10003" xr:uid="{00000000-0005-0000-0000-0000B8380000}"/>
    <cellStyle name="Normal 5 3 4 8 2" xfId="29718" xr:uid="{00000000-0005-0000-0000-0000B9380000}"/>
    <cellStyle name="Normal 5 3 4 9" xfId="19861" xr:uid="{00000000-0005-0000-0000-0000BA380000}"/>
    <cellStyle name="Normal 5 3 5" xfId="197" xr:uid="{00000000-0005-0000-0000-0000BB380000}"/>
    <cellStyle name="Normal 5 3 5 2" xfId="511" xr:uid="{00000000-0005-0000-0000-0000BC380000}"/>
    <cellStyle name="Normal 5 3 5 2 2" xfId="1131" xr:uid="{00000000-0005-0000-0000-0000BD380000}"/>
    <cellStyle name="Normal 5 3 5 2 2 2" xfId="2366" xr:uid="{00000000-0005-0000-0000-0000BE380000}"/>
    <cellStyle name="Normal 5 3 5 2 2 2 2" xfId="4833" xr:uid="{00000000-0005-0000-0000-0000BF380000}"/>
    <cellStyle name="Normal 5 3 5 2 2 2 2 2" xfId="9765" xr:uid="{00000000-0005-0000-0000-0000C0380000}"/>
    <cellStyle name="Normal 5 3 5 2 2 2 2 2 2" xfId="19625" xr:uid="{00000000-0005-0000-0000-0000C1380000}"/>
    <cellStyle name="Normal 5 3 5 2 2 2 2 2 2 2" xfId="39340" xr:uid="{00000000-0005-0000-0000-0000C2380000}"/>
    <cellStyle name="Normal 5 3 5 2 2 2 2 2 3" xfId="29483" xr:uid="{00000000-0005-0000-0000-0000C3380000}"/>
    <cellStyle name="Normal 5 3 5 2 2 2 2 3" xfId="14697" xr:uid="{00000000-0005-0000-0000-0000C4380000}"/>
    <cellStyle name="Normal 5 3 5 2 2 2 2 3 2" xfId="34412" xr:uid="{00000000-0005-0000-0000-0000C5380000}"/>
    <cellStyle name="Normal 5 3 5 2 2 2 2 4" xfId="24555" xr:uid="{00000000-0005-0000-0000-0000C6380000}"/>
    <cellStyle name="Normal 5 3 5 2 2 2 3" xfId="7301" xr:uid="{00000000-0005-0000-0000-0000C7380000}"/>
    <cellStyle name="Normal 5 3 5 2 2 2 3 2" xfId="17161" xr:uid="{00000000-0005-0000-0000-0000C8380000}"/>
    <cellStyle name="Normal 5 3 5 2 2 2 3 2 2" xfId="36876" xr:uid="{00000000-0005-0000-0000-0000C9380000}"/>
    <cellStyle name="Normal 5 3 5 2 2 2 3 3" xfId="27019" xr:uid="{00000000-0005-0000-0000-0000CA380000}"/>
    <cellStyle name="Normal 5 3 5 2 2 2 4" xfId="12233" xr:uid="{00000000-0005-0000-0000-0000CB380000}"/>
    <cellStyle name="Normal 5 3 5 2 2 2 4 2" xfId="31948" xr:uid="{00000000-0005-0000-0000-0000CC380000}"/>
    <cellStyle name="Normal 5 3 5 2 2 2 5" xfId="22091" xr:uid="{00000000-0005-0000-0000-0000CD380000}"/>
    <cellStyle name="Normal 5 3 5 2 2 3" xfId="3601" xr:uid="{00000000-0005-0000-0000-0000CE380000}"/>
    <cellStyle name="Normal 5 3 5 2 2 3 2" xfId="8533" xr:uid="{00000000-0005-0000-0000-0000CF380000}"/>
    <cellStyle name="Normal 5 3 5 2 2 3 2 2" xfId="18393" xr:uid="{00000000-0005-0000-0000-0000D0380000}"/>
    <cellStyle name="Normal 5 3 5 2 2 3 2 2 2" xfId="38108" xr:uid="{00000000-0005-0000-0000-0000D1380000}"/>
    <cellStyle name="Normal 5 3 5 2 2 3 2 3" xfId="28251" xr:uid="{00000000-0005-0000-0000-0000D2380000}"/>
    <cellStyle name="Normal 5 3 5 2 2 3 3" xfId="13465" xr:uid="{00000000-0005-0000-0000-0000D3380000}"/>
    <cellStyle name="Normal 5 3 5 2 2 3 3 2" xfId="33180" xr:uid="{00000000-0005-0000-0000-0000D4380000}"/>
    <cellStyle name="Normal 5 3 5 2 2 3 4" xfId="23323" xr:uid="{00000000-0005-0000-0000-0000D5380000}"/>
    <cellStyle name="Normal 5 3 5 2 2 4" xfId="6069" xr:uid="{00000000-0005-0000-0000-0000D6380000}"/>
    <cellStyle name="Normal 5 3 5 2 2 4 2" xfId="15929" xr:uid="{00000000-0005-0000-0000-0000D7380000}"/>
    <cellStyle name="Normal 5 3 5 2 2 4 2 2" xfId="35644" xr:uid="{00000000-0005-0000-0000-0000D8380000}"/>
    <cellStyle name="Normal 5 3 5 2 2 4 3" xfId="25787" xr:uid="{00000000-0005-0000-0000-0000D9380000}"/>
    <cellStyle name="Normal 5 3 5 2 2 5" xfId="11001" xr:uid="{00000000-0005-0000-0000-0000DA380000}"/>
    <cellStyle name="Normal 5 3 5 2 2 5 2" xfId="30716" xr:uid="{00000000-0005-0000-0000-0000DB380000}"/>
    <cellStyle name="Normal 5 3 5 2 2 6" xfId="20859" xr:uid="{00000000-0005-0000-0000-0000DC380000}"/>
    <cellStyle name="Normal 5 3 5 2 3" xfId="1750" xr:uid="{00000000-0005-0000-0000-0000DD380000}"/>
    <cellStyle name="Normal 5 3 5 2 3 2" xfId="4217" xr:uid="{00000000-0005-0000-0000-0000DE380000}"/>
    <cellStyle name="Normal 5 3 5 2 3 2 2" xfId="9149" xr:uid="{00000000-0005-0000-0000-0000DF380000}"/>
    <cellStyle name="Normal 5 3 5 2 3 2 2 2" xfId="19009" xr:uid="{00000000-0005-0000-0000-0000E0380000}"/>
    <cellStyle name="Normal 5 3 5 2 3 2 2 2 2" xfId="38724" xr:uid="{00000000-0005-0000-0000-0000E1380000}"/>
    <cellStyle name="Normal 5 3 5 2 3 2 2 3" xfId="28867" xr:uid="{00000000-0005-0000-0000-0000E2380000}"/>
    <cellStyle name="Normal 5 3 5 2 3 2 3" xfId="14081" xr:uid="{00000000-0005-0000-0000-0000E3380000}"/>
    <cellStyle name="Normal 5 3 5 2 3 2 3 2" xfId="33796" xr:uid="{00000000-0005-0000-0000-0000E4380000}"/>
    <cellStyle name="Normal 5 3 5 2 3 2 4" xfId="23939" xr:uid="{00000000-0005-0000-0000-0000E5380000}"/>
    <cellStyle name="Normal 5 3 5 2 3 3" xfId="6685" xr:uid="{00000000-0005-0000-0000-0000E6380000}"/>
    <cellStyle name="Normal 5 3 5 2 3 3 2" xfId="16545" xr:uid="{00000000-0005-0000-0000-0000E7380000}"/>
    <cellStyle name="Normal 5 3 5 2 3 3 2 2" xfId="36260" xr:uid="{00000000-0005-0000-0000-0000E8380000}"/>
    <cellStyle name="Normal 5 3 5 2 3 3 3" xfId="26403" xr:uid="{00000000-0005-0000-0000-0000E9380000}"/>
    <cellStyle name="Normal 5 3 5 2 3 4" xfId="11617" xr:uid="{00000000-0005-0000-0000-0000EA380000}"/>
    <cellStyle name="Normal 5 3 5 2 3 4 2" xfId="31332" xr:uid="{00000000-0005-0000-0000-0000EB380000}"/>
    <cellStyle name="Normal 5 3 5 2 3 5" xfId="21475" xr:uid="{00000000-0005-0000-0000-0000EC380000}"/>
    <cellStyle name="Normal 5 3 5 2 4" xfId="2985" xr:uid="{00000000-0005-0000-0000-0000ED380000}"/>
    <cellStyle name="Normal 5 3 5 2 4 2" xfId="7917" xr:uid="{00000000-0005-0000-0000-0000EE380000}"/>
    <cellStyle name="Normal 5 3 5 2 4 2 2" xfId="17777" xr:uid="{00000000-0005-0000-0000-0000EF380000}"/>
    <cellStyle name="Normal 5 3 5 2 4 2 2 2" xfId="37492" xr:uid="{00000000-0005-0000-0000-0000F0380000}"/>
    <cellStyle name="Normal 5 3 5 2 4 2 3" xfId="27635" xr:uid="{00000000-0005-0000-0000-0000F1380000}"/>
    <cellStyle name="Normal 5 3 5 2 4 3" xfId="12849" xr:uid="{00000000-0005-0000-0000-0000F2380000}"/>
    <cellStyle name="Normal 5 3 5 2 4 3 2" xfId="32564" xr:uid="{00000000-0005-0000-0000-0000F3380000}"/>
    <cellStyle name="Normal 5 3 5 2 4 4" xfId="22707" xr:uid="{00000000-0005-0000-0000-0000F4380000}"/>
    <cellStyle name="Normal 5 3 5 2 5" xfId="5453" xr:uid="{00000000-0005-0000-0000-0000F5380000}"/>
    <cellStyle name="Normal 5 3 5 2 5 2" xfId="15313" xr:uid="{00000000-0005-0000-0000-0000F6380000}"/>
    <cellStyle name="Normal 5 3 5 2 5 2 2" xfId="35028" xr:uid="{00000000-0005-0000-0000-0000F7380000}"/>
    <cellStyle name="Normal 5 3 5 2 5 3" xfId="25171" xr:uid="{00000000-0005-0000-0000-0000F8380000}"/>
    <cellStyle name="Normal 5 3 5 2 6" xfId="10385" xr:uid="{00000000-0005-0000-0000-0000F9380000}"/>
    <cellStyle name="Normal 5 3 5 2 6 2" xfId="30100" xr:uid="{00000000-0005-0000-0000-0000FA380000}"/>
    <cellStyle name="Normal 5 3 5 2 7" xfId="20243" xr:uid="{00000000-0005-0000-0000-0000FB380000}"/>
    <cellStyle name="Normal 5 3 5 3" xfId="824" xr:uid="{00000000-0005-0000-0000-0000FC380000}"/>
    <cellStyle name="Normal 5 3 5 3 2" xfId="2060" xr:uid="{00000000-0005-0000-0000-0000FD380000}"/>
    <cellStyle name="Normal 5 3 5 3 2 2" xfId="4527" xr:uid="{00000000-0005-0000-0000-0000FE380000}"/>
    <cellStyle name="Normal 5 3 5 3 2 2 2" xfId="9459" xr:uid="{00000000-0005-0000-0000-0000FF380000}"/>
    <cellStyle name="Normal 5 3 5 3 2 2 2 2" xfId="19319" xr:uid="{00000000-0005-0000-0000-000000390000}"/>
    <cellStyle name="Normal 5 3 5 3 2 2 2 2 2" xfId="39034" xr:uid="{00000000-0005-0000-0000-000001390000}"/>
    <cellStyle name="Normal 5 3 5 3 2 2 2 3" xfId="29177" xr:uid="{00000000-0005-0000-0000-000002390000}"/>
    <cellStyle name="Normal 5 3 5 3 2 2 3" xfId="14391" xr:uid="{00000000-0005-0000-0000-000003390000}"/>
    <cellStyle name="Normal 5 3 5 3 2 2 3 2" xfId="34106" xr:uid="{00000000-0005-0000-0000-000004390000}"/>
    <cellStyle name="Normal 5 3 5 3 2 2 4" xfId="24249" xr:uid="{00000000-0005-0000-0000-000005390000}"/>
    <cellStyle name="Normal 5 3 5 3 2 3" xfId="6995" xr:uid="{00000000-0005-0000-0000-000006390000}"/>
    <cellStyle name="Normal 5 3 5 3 2 3 2" xfId="16855" xr:uid="{00000000-0005-0000-0000-000007390000}"/>
    <cellStyle name="Normal 5 3 5 3 2 3 2 2" xfId="36570" xr:uid="{00000000-0005-0000-0000-000008390000}"/>
    <cellStyle name="Normal 5 3 5 3 2 3 3" xfId="26713" xr:uid="{00000000-0005-0000-0000-000009390000}"/>
    <cellStyle name="Normal 5 3 5 3 2 4" xfId="11927" xr:uid="{00000000-0005-0000-0000-00000A390000}"/>
    <cellStyle name="Normal 5 3 5 3 2 4 2" xfId="31642" xr:uid="{00000000-0005-0000-0000-00000B390000}"/>
    <cellStyle name="Normal 5 3 5 3 2 5" xfId="21785" xr:uid="{00000000-0005-0000-0000-00000C390000}"/>
    <cellStyle name="Normal 5 3 5 3 3" xfId="3295" xr:uid="{00000000-0005-0000-0000-00000D390000}"/>
    <cellStyle name="Normal 5 3 5 3 3 2" xfId="8227" xr:uid="{00000000-0005-0000-0000-00000E390000}"/>
    <cellStyle name="Normal 5 3 5 3 3 2 2" xfId="18087" xr:uid="{00000000-0005-0000-0000-00000F390000}"/>
    <cellStyle name="Normal 5 3 5 3 3 2 2 2" xfId="37802" xr:uid="{00000000-0005-0000-0000-000010390000}"/>
    <cellStyle name="Normal 5 3 5 3 3 2 3" xfId="27945" xr:uid="{00000000-0005-0000-0000-000011390000}"/>
    <cellStyle name="Normal 5 3 5 3 3 3" xfId="13159" xr:uid="{00000000-0005-0000-0000-000012390000}"/>
    <cellStyle name="Normal 5 3 5 3 3 3 2" xfId="32874" xr:uid="{00000000-0005-0000-0000-000013390000}"/>
    <cellStyle name="Normal 5 3 5 3 3 4" xfId="23017" xr:uid="{00000000-0005-0000-0000-000014390000}"/>
    <cellStyle name="Normal 5 3 5 3 4" xfId="5763" xr:uid="{00000000-0005-0000-0000-000015390000}"/>
    <cellStyle name="Normal 5 3 5 3 4 2" xfId="15623" xr:uid="{00000000-0005-0000-0000-000016390000}"/>
    <cellStyle name="Normal 5 3 5 3 4 2 2" xfId="35338" xr:uid="{00000000-0005-0000-0000-000017390000}"/>
    <cellStyle name="Normal 5 3 5 3 4 3" xfId="25481" xr:uid="{00000000-0005-0000-0000-000018390000}"/>
    <cellStyle name="Normal 5 3 5 3 5" xfId="10695" xr:uid="{00000000-0005-0000-0000-000019390000}"/>
    <cellStyle name="Normal 5 3 5 3 5 2" xfId="30410" xr:uid="{00000000-0005-0000-0000-00001A390000}"/>
    <cellStyle name="Normal 5 3 5 3 6" xfId="20553" xr:uid="{00000000-0005-0000-0000-00001B390000}"/>
    <cellStyle name="Normal 5 3 5 4" xfId="1444" xr:uid="{00000000-0005-0000-0000-00001C390000}"/>
    <cellStyle name="Normal 5 3 5 4 2" xfId="3911" xr:uid="{00000000-0005-0000-0000-00001D390000}"/>
    <cellStyle name="Normal 5 3 5 4 2 2" xfId="8843" xr:uid="{00000000-0005-0000-0000-00001E390000}"/>
    <cellStyle name="Normal 5 3 5 4 2 2 2" xfId="18703" xr:uid="{00000000-0005-0000-0000-00001F390000}"/>
    <cellStyle name="Normal 5 3 5 4 2 2 2 2" xfId="38418" xr:uid="{00000000-0005-0000-0000-000020390000}"/>
    <cellStyle name="Normal 5 3 5 4 2 2 3" xfId="28561" xr:uid="{00000000-0005-0000-0000-000021390000}"/>
    <cellStyle name="Normal 5 3 5 4 2 3" xfId="13775" xr:uid="{00000000-0005-0000-0000-000022390000}"/>
    <cellStyle name="Normal 5 3 5 4 2 3 2" xfId="33490" xr:uid="{00000000-0005-0000-0000-000023390000}"/>
    <cellStyle name="Normal 5 3 5 4 2 4" xfId="23633" xr:uid="{00000000-0005-0000-0000-000024390000}"/>
    <cellStyle name="Normal 5 3 5 4 3" xfId="6379" xr:uid="{00000000-0005-0000-0000-000025390000}"/>
    <cellStyle name="Normal 5 3 5 4 3 2" xfId="16239" xr:uid="{00000000-0005-0000-0000-000026390000}"/>
    <cellStyle name="Normal 5 3 5 4 3 2 2" xfId="35954" xr:uid="{00000000-0005-0000-0000-000027390000}"/>
    <cellStyle name="Normal 5 3 5 4 3 3" xfId="26097" xr:uid="{00000000-0005-0000-0000-000028390000}"/>
    <cellStyle name="Normal 5 3 5 4 4" xfId="11311" xr:uid="{00000000-0005-0000-0000-000029390000}"/>
    <cellStyle name="Normal 5 3 5 4 4 2" xfId="31026" xr:uid="{00000000-0005-0000-0000-00002A390000}"/>
    <cellStyle name="Normal 5 3 5 4 5" xfId="21169" xr:uid="{00000000-0005-0000-0000-00002B390000}"/>
    <cellStyle name="Normal 5 3 5 5" xfId="2679" xr:uid="{00000000-0005-0000-0000-00002C390000}"/>
    <cellStyle name="Normal 5 3 5 5 2" xfId="7611" xr:uid="{00000000-0005-0000-0000-00002D390000}"/>
    <cellStyle name="Normal 5 3 5 5 2 2" xfId="17471" xr:uid="{00000000-0005-0000-0000-00002E390000}"/>
    <cellStyle name="Normal 5 3 5 5 2 2 2" xfId="37186" xr:uid="{00000000-0005-0000-0000-00002F390000}"/>
    <cellStyle name="Normal 5 3 5 5 2 3" xfId="27329" xr:uid="{00000000-0005-0000-0000-000030390000}"/>
    <cellStyle name="Normal 5 3 5 5 3" xfId="12543" xr:uid="{00000000-0005-0000-0000-000031390000}"/>
    <cellStyle name="Normal 5 3 5 5 3 2" xfId="32258" xr:uid="{00000000-0005-0000-0000-000032390000}"/>
    <cellStyle name="Normal 5 3 5 5 4" xfId="22401" xr:uid="{00000000-0005-0000-0000-000033390000}"/>
    <cellStyle name="Normal 5 3 5 6" xfId="5147" xr:uid="{00000000-0005-0000-0000-000034390000}"/>
    <cellStyle name="Normal 5 3 5 6 2" xfId="15007" xr:uid="{00000000-0005-0000-0000-000035390000}"/>
    <cellStyle name="Normal 5 3 5 6 2 2" xfId="34722" xr:uid="{00000000-0005-0000-0000-000036390000}"/>
    <cellStyle name="Normal 5 3 5 6 3" xfId="24865" xr:uid="{00000000-0005-0000-0000-000037390000}"/>
    <cellStyle name="Normal 5 3 5 7" xfId="10079" xr:uid="{00000000-0005-0000-0000-000038390000}"/>
    <cellStyle name="Normal 5 3 5 7 2" xfId="29794" xr:uid="{00000000-0005-0000-0000-000039390000}"/>
    <cellStyle name="Normal 5 3 5 8" xfId="19937" xr:uid="{00000000-0005-0000-0000-00003A390000}"/>
    <cellStyle name="Normal 5 3 6" xfId="359" xr:uid="{00000000-0005-0000-0000-00003B390000}"/>
    <cellStyle name="Normal 5 3 6 2" xfId="979" xr:uid="{00000000-0005-0000-0000-00003C390000}"/>
    <cellStyle name="Normal 5 3 6 2 2" xfId="2214" xr:uid="{00000000-0005-0000-0000-00003D390000}"/>
    <cellStyle name="Normal 5 3 6 2 2 2" xfId="4681" xr:uid="{00000000-0005-0000-0000-00003E390000}"/>
    <cellStyle name="Normal 5 3 6 2 2 2 2" xfId="9613" xr:uid="{00000000-0005-0000-0000-00003F390000}"/>
    <cellStyle name="Normal 5 3 6 2 2 2 2 2" xfId="19473" xr:uid="{00000000-0005-0000-0000-000040390000}"/>
    <cellStyle name="Normal 5 3 6 2 2 2 2 2 2" xfId="39188" xr:uid="{00000000-0005-0000-0000-000041390000}"/>
    <cellStyle name="Normal 5 3 6 2 2 2 2 3" xfId="29331" xr:uid="{00000000-0005-0000-0000-000042390000}"/>
    <cellStyle name="Normal 5 3 6 2 2 2 3" xfId="14545" xr:uid="{00000000-0005-0000-0000-000043390000}"/>
    <cellStyle name="Normal 5 3 6 2 2 2 3 2" xfId="34260" xr:uid="{00000000-0005-0000-0000-000044390000}"/>
    <cellStyle name="Normal 5 3 6 2 2 2 4" xfId="24403" xr:uid="{00000000-0005-0000-0000-000045390000}"/>
    <cellStyle name="Normal 5 3 6 2 2 3" xfId="7149" xr:uid="{00000000-0005-0000-0000-000046390000}"/>
    <cellStyle name="Normal 5 3 6 2 2 3 2" xfId="17009" xr:uid="{00000000-0005-0000-0000-000047390000}"/>
    <cellStyle name="Normal 5 3 6 2 2 3 2 2" xfId="36724" xr:uid="{00000000-0005-0000-0000-000048390000}"/>
    <cellStyle name="Normal 5 3 6 2 2 3 3" xfId="26867" xr:uid="{00000000-0005-0000-0000-000049390000}"/>
    <cellStyle name="Normal 5 3 6 2 2 4" xfId="12081" xr:uid="{00000000-0005-0000-0000-00004A390000}"/>
    <cellStyle name="Normal 5 3 6 2 2 4 2" xfId="31796" xr:uid="{00000000-0005-0000-0000-00004B390000}"/>
    <cellStyle name="Normal 5 3 6 2 2 5" xfId="21939" xr:uid="{00000000-0005-0000-0000-00004C390000}"/>
    <cellStyle name="Normal 5 3 6 2 3" xfId="3449" xr:uid="{00000000-0005-0000-0000-00004D390000}"/>
    <cellStyle name="Normal 5 3 6 2 3 2" xfId="8381" xr:uid="{00000000-0005-0000-0000-00004E390000}"/>
    <cellStyle name="Normal 5 3 6 2 3 2 2" xfId="18241" xr:uid="{00000000-0005-0000-0000-00004F390000}"/>
    <cellStyle name="Normal 5 3 6 2 3 2 2 2" xfId="37956" xr:uid="{00000000-0005-0000-0000-000050390000}"/>
    <cellStyle name="Normal 5 3 6 2 3 2 3" xfId="28099" xr:uid="{00000000-0005-0000-0000-000051390000}"/>
    <cellStyle name="Normal 5 3 6 2 3 3" xfId="13313" xr:uid="{00000000-0005-0000-0000-000052390000}"/>
    <cellStyle name="Normal 5 3 6 2 3 3 2" xfId="33028" xr:uid="{00000000-0005-0000-0000-000053390000}"/>
    <cellStyle name="Normal 5 3 6 2 3 4" xfId="23171" xr:uid="{00000000-0005-0000-0000-000054390000}"/>
    <cellStyle name="Normal 5 3 6 2 4" xfId="5917" xr:uid="{00000000-0005-0000-0000-000055390000}"/>
    <cellStyle name="Normal 5 3 6 2 4 2" xfId="15777" xr:uid="{00000000-0005-0000-0000-000056390000}"/>
    <cellStyle name="Normal 5 3 6 2 4 2 2" xfId="35492" xr:uid="{00000000-0005-0000-0000-000057390000}"/>
    <cellStyle name="Normal 5 3 6 2 4 3" xfId="25635" xr:uid="{00000000-0005-0000-0000-000058390000}"/>
    <cellStyle name="Normal 5 3 6 2 5" xfId="10849" xr:uid="{00000000-0005-0000-0000-000059390000}"/>
    <cellStyle name="Normal 5 3 6 2 5 2" xfId="30564" xr:uid="{00000000-0005-0000-0000-00005A390000}"/>
    <cellStyle name="Normal 5 3 6 2 6" xfId="20707" xr:uid="{00000000-0005-0000-0000-00005B390000}"/>
    <cellStyle name="Normal 5 3 6 3" xfId="1598" xr:uid="{00000000-0005-0000-0000-00005C390000}"/>
    <cellStyle name="Normal 5 3 6 3 2" xfId="4065" xr:uid="{00000000-0005-0000-0000-00005D390000}"/>
    <cellStyle name="Normal 5 3 6 3 2 2" xfId="8997" xr:uid="{00000000-0005-0000-0000-00005E390000}"/>
    <cellStyle name="Normal 5 3 6 3 2 2 2" xfId="18857" xr:uid="{00000000-0005-0000-0000-00005F390000}"/>
    <cellStyle name="Normal 5 3 6 3 2 2 2 2" xfId="38572" xr:uid="{00000000-0005-0000-0000-000060390000}"/>
    <cellStyle name="Normal 5 3 6 3 2 2 3" xfId="28715" xr:uid="{00000000-0005-0000-0000-000061390000}"/>
    <cellStyle name="Normal 5 3 6 3 2 3" xfId="13929" xr:uid="{00000000-0005-0000-0000-000062390000}"/>
    <cellStyle name="Normal 5 3 6 3 2 3 2" xfId="33644" xr:uid="{00000000-0005-0000-0000-000063390000}"/>
    <cellStyle name="Normal 5 3 6 3 2 4" xfId="23787" xr:uid="{00000000-0005-0000-0000-000064390000}"/>
    <cellStyle name="Normal 5 3 6 3 3" xfId="6533" xr:uid="{00000000-0005-0000-0000-000065390000}"/>
    <cellStyle name="Normal 5 3 6 3 3 2" xfId="16393" xr:uid="{00000000-0005-0000-0000-000066390000}"/>
    <cellStyle name="Normal 5 3 6 3 3 2 2" xfId="36108" xr:uid="{00000000-0005-0000-0000-000067390000}"/>
    <cellStyle name="Normal 5 3 6 3 3 3" xfId="26251" xr:uid="{00000000-0005-0000-0000-000068390000}"/>
    <cellStyle name="Normal 5 3 6 3 4" xfId="11465" xr:uid="{00000000-0005-0000-0000-000069390000}"/>
    <cellStyle name="Normal 5 3 6 3 4 2" xfId="31180" xr:uid="{00000000-0005-0000-0000-00006A390000}"/>
    <cellStyle name="Normal 5 3 6 3 5" xfId="21323" xr:uid="{00000000-0005-0000-0000-00006B390000}"/>
    <cellStyle name="Normal 5 3 6 4" xfId="2833" xr:uid="{00000000-0005-0000-0000-00006C390000}"/>
    <cellStyle name="Normal 5 3 6 4 2" xfId="7765" xr:uid="{00000000-0005-0000-0000-00006D390000}"/>
    <cellStyle name="Normal 5 3 6 4 2 2" xfId="17625" xr:uid="{00000000-0005-0000-0000-00006E390000}"/>
    <cellStyle name="Normal 5 3 6 4 2 2 2" xfId="37340" xr:uid="{00000000-0005-0000-0000-00006F390000}"/>
    <cellStyle name="Normal 5 3 6 4 2 3" xfId="27483" xr:uid="{00000000-0005-0000-0000-000070390000}"/>
    <cellStyle name="Normal 5 3 6 4 3" xfId="12697" xr:uid="{00000000-0005-0000-0000-000071390000}"/>
    <cellStyle name="Normal 5 3 6 4 3 2" xfId="32412" xr:uid="{00000000-0005-0000-0000-000072390000}"/>
    <cellStyle name="Normal 5 3 6 4 4" xfId="22555" xr:uid="{00000000-0005-0000-0000-000073390000}"/>
    <cellStyle name="Normal 5 3 6 5" xfId="5301" xr:uid="{00000000-0005-0000-0000-000074390000}"/>
    <cellStyle name="Normal 5 3 6 5 2" xfId="15161" xr:uid="{00000000-0005-0000-0000-000075390000}"/>
    <cellStyle name="Normal 5 3 6 5 2 2" xfId="34876" xr:uid="{00000000-0005-0000-0000-000076390000}"/>
    <cellStyle name="Normal 5 3 6 5 3" xfId="25019" xr:uid="{00000000-0005-0000-0000-000077390000}"/>
    <cellStyle name="Normal 5 3 6 6" xfId="10233" xr:uid="{00000000-0005-0000-0000-000078390000}"/>
    <cellStyle name="Normal 5 3 6 6 2" xfId="29948" xr:uid="{00000000-0005-0000-0000-000079390000}"/>
    <cellStyle name="Normal 5 3 6 7" xfId="20091" xr:uid="{00000000-0005-0000-0000-00007A390000}"/>
    <cellStyle name="Normal 5 3 7" xfId="672" xr:uid="{00000000-0005-0000-0000-00007B390000}"/>
    <cellStyle name="Normal 5 3 7 2" xfId="1908" xr:uid="{00000000-0005-0000-0000-00007C390000}"/>
    <cellStyle name="Normal 5 3 7 2 2" xfId="4375" xr:uid="{00000000-0005-0000-0000-00007D390000}"/>
    <cellStyle name="Normal 5 3 7 2 2 2" xfId="9307" xr:uid="{00000000-0005-0000-0000-00007E390000}"/>
    <cellStyle name="Normal 5 3 7 2 2 2 2" xfId="19167" xr:uid="{00000000-0005-0000-0000-00007F390000}"/>
    <cellStyle name="Normal 5 3 7 2 2 2 2 2" xfId="38882" xr:uid="{00000000-0005-0000-0000-000080390000}"/>
    <cellStyle name="Normal 5 3 7 2 2 2 3" xfId="29025" xr:uid="{00000000-0005-0000-0000-000081390000}"/>
    <cellStyle name="Normal 5 3 7 2 2 3" xfId="14239" xr:uid="{00000000-0005-0000-0000-000082390000}"/>
    <cellStyle name="Normal 5 3 7 2 2 3 2" xfId="33954" xr:uid="{00000000-0005-0000-0000-000083390000}"/>
    <cellStyle name="Normal 5 3 7 2 2 4" xfId="24097" xr:uid="{00000000-0005-0000-0000-000084390000}"/>
    <cellStyle name="Normal 5 3 7 2 3" xfId="6843" xr:uid="{00000000-0005-0000-0000-000085390000}"/>
    <cellStyle name="Normal 5 3 7 2 3 2" xfId="16703" xr:uid="{00000000-0005-0000-0000-000086390000}"/>
    <cellStyle name="Normal 5 3 7 2 3 2 2" xfId="36418" xr:uid="{00000000-0005-0000-0000-000087390000}"/>
    <cellStyle name="Normal 5 3 7 2 3 3" xfId="26561" xr:uid="{00000000-0005-0000-0000-000088390000}"/>
    <cellStyle name="Normal 5 3 7 2 4" xfId="11775" xr:uid="{00000000-0005-0000-0000-000089390000}"/>
    <cellStyle name="Normal 5 3 7 2 4 2" xfId="31490" xr:uid="{00000000-0005-0000-0000-00008A390000}"/>
    <cellStyle name="Normal 5 3 7 2 5" xfId="21633" xr:uid="{00000000-0005-0000-0000-00008B390000}"/>
    <cellStyle name="Normal 5 3 7 3" xfId="3143" xr:uid="{00000000-0005-0000-0000-00008C390000}"/>
    <cellStyle name="Normal 5 3 7 3 2" xfId="8075" xr:uid="{00000000-0005-0000-0000-00008D390000}"/>
    <cellStyle name="Normal 5 3 7 3 2 2" xfId="17935" xr:uid="{00000000-0005-0000-0000-00008E390000}"/>
    <cellStyle name="Normal 5 3 7 3 2 2 2" xfId="37650" xr:uid="{00000000-0005-0000-0000-00008F390000}"/>
    <cellStyle name="Normal 5 3 7 3 2 3" xfId="27793" xr:uid="{00000000-0005-0000-0000-000090390000}"/>
    <cellStyle name="Normal 5 3 7 3 3" xfId="13007" xr:uid="{00000000-0005-0000-0000-000091390000}"/>
    <cellStyle name="Normal 5 3 7 3 3 2" xfId="32722" xr:uid="{00000000-0005-0000-0000-000092390000}"/>
    <cellStyle name="Normal 5 3 7 3 4" xfId="22865" xr:uid="{00000000-0005-0000-0000-000093390000}"/>
    <cellStyle name="Normal 5 3 7 4" xfId="5611" xr:uid="{00000000-0005-0000-0000-000094390000}"/>
    <cellStyle name="Normal 5 3 7 4 2" xfId="15471" xr:uid="{00000000-0005-0000-0000-000095390000}"/>
    <cellStyle name="Normal 5 3 7 4 2 2" xfId="35186" xr:uid="{00000000-0005-0000-0000-000096390000}"/>
    <cellStyle name="Normal 5 3 7 4 3" xfId="25329" xr:uid="{00000000-0005-0000-0000-000097390000}"/>
    <cellStyle name="Normal 5 3 7 5" xfId="10543" xr:uid="{00000000-0005-0000-0000-000098390000}"/>
    <cellStyle name="Normal 5 3 7 5 2" xfId="30258" xr:uid="{00000000-0005-0000-0000-000099390000}"/>
    <cellStyle name="Normal 5 3 7 6" xfId="20401" xr:uid="{00000000-0005-0000-0000-00009A390000}"/>
    <cellStyle name="Normal 5 3 8" xfId="1292" xr:uid="{00000000-0005-0000-0000-00009B390000}"/>
    <cellStyle name="Normal 5 3 8 2" xfId="3759" xr:uid="{00000000-0005-0000-0000-00009C390000}"/>
    <cellStyle name="Normal 5 3 8 2 2" xfId="8691" xr:uid="{00000000-0005-0000-0000-00009D390000}"/>
    <cellStyle name="Normal 5 3 8 2 2 2" xfId="18551" xr:uid="{00000000-0005-0000-0000-00009E390000}"/>
    <cellStyle name="Normal 5 3 8 2 2 2 2" xfId="38266" xr:uid="{00000000-0005-0000-0000-00009F390000}"/>
    <cellStyle name="Normal 5 3 8 2 2 3" xfId="28409" xr:uid="{00000000-0005-0000-0000-0000A0390000}"/>
    <cellStyle name="Normal 5 3 8 2 3" xfId="13623" xr:uid="{00000000-0005-0000-0000-0000A1390000}"/>
    <cellStyle name="Normal 5 3 8 2 3 2" xfId="33338" xr:uid="{00000000-0005-0000-0000-0000A2390000}"/>
    <cellStyle name="Normal 5 3 8 2 4" xfId="23481" xr:uid="{00000000-0005-0000-0000-0000A3390000}"/>
    <cellStyle name="Normal 5 3 8 3" xfId="6227" xr:uid="{00000000-0005-0000-0000-0000A4390000}"/>
    <cellStyle name="Normal 5 3 8 3 2" xfId="16087" xr:uid="{00000000-0005-0000-0000-0000A5390000}"/>
    <cellStyle name="Normal 5 3 8 3 2 2" xfId="35802" xr:uid="{00000000-0005-0000-0000-0000A6390000}"/>
    <cellStyle name="Normal 5 3 8 3 3" xfId="25945" xr:uid="{00000000-0005-0000-0000-0000A7390000}"/>
    <cellStyle name="Normal 5 3 8 4" xfId="11159" xr:uid="{00000000-0005-0000-0000-0000A8390000}"/>
    <cellStyle name="Normal 5 3 8 4 2" xfId="30874" xr:uid="{00000000-0005-0000-0000-0000A9390000}"/>
    <cellStyle name="Normal 5 3 8 5" xfId="21017" xr:uid="{00000000-0005-0000-0000-0000AA390000}"/>
    <cellStyle name="Normal 5 3 9" xfId="2527" xr:uid="{00000000-0005-0000-0000-0000AB390000}"/>
    <cellStyle name="Normal 5 3 9 2" xfId="7459" xr:uid="{00000000-0005-0000-0000-0000AC390000}"/>
    <cellStyle name="Normal 5 3 9 2 2" xfId="17319" xr:uid="{00000000-0005-0000-0000-0000AD390000}"/>
    <cellStyle name="Normal 5 3 9 2 2 2" xfId="37034" xr:uid="{00000000-0005-0000-0000-0000AE390000}"/>
    <cellStyle name="Normal 5 3 9 2 3" xfId="27177" xr:uid="{00000000-0005-0000-0000-0000AF390000}"/>
    <cellStyle name="Normal 5 3 9 3" xfId="12391" xr:uid="{00000000-0005-0000-0000-0000B0390000}"/>
    <cellStyle name="Normal 5 3 9 3 2" xfId="32106" xr:uid="{00000000-0005-0000-0000-0000B1390000}"/>
    <cellStyle name="Normal 5 3 9 4" xfId="22249" xr:uid="{00000000-0005-0000-0000-0000B2390000}"/>
    <cellStyle name="Normal 5 4" xfId="39" xr:uid="{00000000-0005-0000-0000-0000B3390000}"/>
    <cellStyle name="Normal 5 4 10" xfId="9937" xr:uid="{00000000-0005-0000-0000-0000B4390000}"/>
    <cellStyle name="Normal 5 4 10 2" xfId="29652" xr:uid="{00000000-0005-0000-0000-0000B5390000}"/>
    <cellStyle name="Normal 5 4 11" xfId="19795" xr:uid="{00000000-0005-0000-0000-0000B6390000}"/>
    <cellStyle name="Normal 5 4 2" xfId="83" xr:uid="{00000000-0005-0000-0000-0000B7390000}"/>
    <cellStyle name="Normal 5 4 2 10" xfId="19833" xr:uid="{00000000-0005-0000-0000-0000B8390000}"/>
    <cellStyle name="Normal 5 4 2 2" xfId="164" xr:uid="{00000000-0005-0000-0000-0000B9390000}"/>
    <cellStyle name="Normal 5 4 2 2 2" xfId="321" xr:uid="{00000000-0005-0000-0000-0000BA390000}"/>
    <cellStyle name="Normal 5 4 2 2 2 2" xfId="635" xr:uid="{00000000-0005-0000-0000-0000BB390000}"/>
    <cellStyle name="Normal 5 4 2 2 2 2 2" xfId="1255" xr:uid="{00000000-0005-0000-0000-0000BC390000}"/>
    <cellStyle name="Normal 5 4 2 2 2 2 2 2" xfId="2490" xr:uid="{00000000-0005-0000-0000-0000BD390000}"/>
    <cellStyle name="Normal 5 4 2 2 2 2 2 2 2" xfId="4957" xr:uid="{00000000-0005-0000-0000-0000BE390000}"/>
    <cellStyle name="Normal 5 4 2 2 2 2 2 2 2 2" xfId="9889" xr:uid="{00000000-0005-0000-0000-0000BF390000}"/>
    <cellStyle name="Normal 5 4 2 2 2 2 2 2 2 2 2" xfId="19749" xr:uid="{00000000-0005-0000-0000-0000C0390000}"/>
    <cellStyle name="Normal 5 4 2 2 2 2 2 2 2 2 2 2" xfId="39464" xr:uid="{00000000-0005-0000-0000-0000C1390000}"/>
    <cellStyle name="Normal 5 4 2 2 2 2 2 2 2 2 3" xfId="29607" xr:uid="{00000000-0005-0000-0000-0000C2390000}"/>
    <cellStyle name="Normal 5 4 2 2 2 2 2 2 2 3" xfId="14821" xr:uid="{00000000-0005-0000-0000-0000C3390000}"/>
    <cellStyle name="Normal 5 4 2 2 2 2 2 2 2 3 2" xfId="34536" xr:uid="{00000000-0005-0000-0000-0000C4390000}"/>
    <cellStyle name="Normal 5 4 2 2 2 2 2 2 2 4" xfId="24679" xr:uid="{00000000-0005-0000-0000-0000C5390000}"/>
    <cellStyle name="Normal 5 4 2 2 2 2 2 2 3" xfId="7425" xr:uid="{00000000-0005-0000-0000-0000C6390000}"/>
    <cellStyle name="Normal 5 4 2 2 2 2 2 2 3 2" xfId="17285" xr:uid="{00000000-0005-0000-0000-0000C7390000}"/>
    <cellStyle name="Normal 5 4 2 2 2 2 2 2 3 2 2" xfId="37000" xr:uid="{00000000-0005-0000-0000-0000C8390000}"/>
    <cellStyle name="Normal 5 4 2 2 2 2 2 2 3 3" xfId="27143" xr:uid="{00000000-0005-0000-0000-0000C9390000}"/>
    <cellStyle name="Normal 5 4 2 2 2 2 2 2 4" xfId="12357" xr:uid="{00000000-0005-0000-0000-0000CA390000}"/>
    <cellStyle name="Normal 5 4 2 2 2 2 2 2 4 2" xfId="32072" xr:uid="{00000000-0005-0000-0000-0000CB390000}"/>
    <cellStyle name="Normal 5 4 2 2 2 2 2 2 5" xfId="22215" xr:uid="{00000000-0005-0000-0000-0000CC390000}"/>
    <cellStyle name="Normal 5 4 2 2 2 2 2 3" xfId="3725" xr:uid="{00000000-0005-0000-0000-0000CD390000}"/>
    <cellStyle name="Normal 5 4 2 2 2 2 2 3 2" xfId="8657" xr:uid="{00000000-0005-0000-0000-0000CE390000}"/>
    <cellStyle name="Normal 5 4 2 2 2 2 2 3 2 2" xfId="18517" xr:uid="{00000000-0005-0000-0000-0000CF390000}"/>
    <cellStyle name="Normal 5 4 2 2 2 2 2 3 2 2 2" xfId="38232" xr:uid="{00000000-0005-0000-0000-0000D0390000}"/>
    <cellStyle name="Normal 5 4 2 2 2 2 2 3 2 3" xfId="28375" xr:uid="{00000000-0005-0000-0000-0000D1390000}"/>
    <cellStyle name="Normal 5 4 2 2 2 2 2 3 3" xfId="13589" xr:uid="{00000000-0005-0000-0000-0000D2390000}"/>
    <cellStyle name="Normal 5 4 2 2 2 2 2 3 3 2" xfId="33304" xr:uid="{00000000-0005-0000-0000-0000D3390000}"/>
    <cellStyle name="Normal 5 4 2 2 2 2 2 3 4" xfId="23447" xr:uid="{00000000-0005-0000-0000-0000D4390000}"/>
    <cellStyle name="Normal 5 4 2 2 2 2 2 4" xfId="6193" xr:uid="{00000000-0005-0000-0000-0000D5390000}"/>
    <cellStyle name="Normal 5 4 2 2 2 2 2 4 2" xfId="16053" xr:uid="{00000000-0005-0000-0000-0000D6390000}"/>
    <cellStyle name="Normal 5 4 2 2 2 2 2 4 2 2" xfId="35768" xr:uid="{00000000-0005-0000-0000-0000D7390000}"/>
    <cellStyle name="Normal 5 4 2 2 2 2 2 4 3" xfId="25911" xr:uid="{00000000-0005-0000-0000-0000D8390000}"/>
    <cellStyle name="Normal 5 4 2 2 2 2 2 5" xfId="11125" xr:uid="{00000000-0005-0000-0000-0000D9390000}"/>
    <cellStyle name="Normal 5 4 2 2 2 2 2 5 2" xfId="30840" xr:uid="{00000000-0005-0000-0000-0000DA390000}"/>
    <cellStyle name="Normal 5 4 2 2 2 2 2 6" xfId="20983" xr:uid="{00000000-0005-0000-0000-0000DB390000}"/>
    <cellStyle name="Normal 5 4 2 2 2 2 3" xfId="1874" xr:uid="{00000000-0005-0000-0000-0000DC390000}"/>
    <cellStyle name="Normal 5 4 2 2 2 2 3 2" xfId="4341" xr:uid="{00000000-0005-0000-0000-0000DD390000}"/>
    <cellStyle name="Normal 5 4 2 2 2 2 3 2 2" xfId="9273" xr:uid="{00000000-0005-0000-0000-0000DE390000}"/>
    <cellStyle name="Normal 5 4 2 2 2 2 3 2 2 2" xfId="19133" xr:uid="{00000000-0005-0000-0000-0000DF390000}"/>
    <cellStyle name="Normal 5 4 2 2 2 2 3 2 2 2 2" xfId="38848" xr:uid="{00000000-0005-0000-0000-0000E0390000}"/>
    <cellStyle name="Normal 5 4 2 2 2 2 3 2 2 3" xfId="28991" xr:uid="{00000000-0005-0000-0000-0000E1390000}"/>
    <cellStyle name="Normal 5 4 2 2 2 2 3 2 3" xfId="14205" xr:uid="{00000000-0005-0000-0000-0000E2390000}"/>
    <cellStyle name="Normal 5 4 2 2 2 2 3 2 3 2" xfId="33920" xr:uid="{00000000-0005-0000-0000-0000E3390000}"/>
    <cellStyle name="Normal 5 4 2 2 2 2 3 2 4" xfId="24063" xr:uid="{00000000-0005-0000-0000-0000E4390000}"/>
    <cellStyle name="Normal 5 4 2 2 2 2 3 3" xfId="6809" xr:uid="{00000000-0005-0000-0000-0000E5390000}"/>
    <cellStyle name="Normal 5 4 2 2 2 2 3 3 2" xfId="16669" xr:uid="{00000000-0005-0000-0000-0000E6390000}"/>
    <cellStyle name="Normal 5 4 2 2 2 2 3 3 2 2" xfId="36384" xr:uid="{00000000-0005-0000-0000-0000E7390000}"/>
    <cellStyle name="Normal 5 4 2 2 2 2 3 3 3" xfId="26527" xr:uid="{00000000-0005-0000-0000-0000E8390000}"/>
    <cellStyle name="Normal 5 4 2 2 2 2 3 4" xfId="11741" xr:uid="{00000000-0005-0000-0000-0000E9390000}"/>
    <cellStyle name="Normal 5 4 2 2 2 2 3 4 2" xfId="31456" xr:uid="{00000000-0005-0000-0000-0000EA390000}"/>
    <cellStyle name="Normal 5 4 2 2 2 2 3 5" xfId="21599" xr:uid="{00000000-0005-0000-0000-0000EB390000}"/>
    <cellStyle name="Normal 5 4 2 2 2 2 4" xfId="3109" xr:uid="{00000000-0005-0000-0000-0000EC390000}"/>
    <cellStyle name="Normal 5 4 2 2 2 2 4 2" xfId="8041" xr:uid="{00000000-0005-0000-0000-0000ED390000}"/>
    <cellStyle name="Normal 5 4 2 2 2 2 4 2 2" xfId="17901" xr:uid="{00000000-0005-0000-0000-0000EE390000}"/>
    <cellStyle name="Normal 5 4 2 2 2 2 4 2 2 2" xfId="37616" xr:uid="{00000000-0005-0000-0000-0000EF390000}"/>
    <cellStyle name="Normal 5 4 2 2 2 2 4 2 3" xfId="27759" xr:uid="{00000000-0005-0000-0000-0000F0390000}"/>
    <cellStyle name="Normal 5 4 2 2 2 2 4 3" xfId="12973" xr:uid="{00000000-0005-0000-0000-0000F1390000}"/>
    <cellStyle name="Normal 5 4 2 2 2 2 4 3 2" xfId="32688" xr:uid="{00000000-0005-0000-0000-0000F2390000}"/>
    <cellStyle name="Normal 5 4 2 2 2 2 4 4" xfId="22831" xr:uid="{00000000-0005-0000-0000-0000F3390000}"/>
    <cellStyle name="Normal 5 4 2 2 2 2 5" xfId="5577" xr:uid="{00000000-0005-0000-0000-0000F4390000}"/>
    <cellStyle name="Normal 5 4 2 2 2 2 5 2" xfId="15437" xr:uid="{00000000-0005-0000-0000-0000F5390000}"/>
    <cellStyle name="Normal 5 4 2 2 2 2 5 2 2" xfId="35152" xr:uid="{00000000-0005-0000-0000-0000F6390000}"/>
    <cellStyle name="Normal 5 4 2 2 2 2 5 3" xfId="25295" xr:uid="{00000000-0005-0000-0000-0000F7390000}"/>
    <cellStyle name="Normal 5 4 2 2 2 2 6" xfId="10509" xr:uid="{00000000-0005-0000-0000-0000F8390000}"/>
    <cellStyle name="Normal 5 4 2 2 2 2 6 2" xfId="30224" xr:uid="{00000000-0005-0000-0000-0000F9390000}"/>
    <cellStyle name="Normal 5 4 2 2 2 2 7" xfId="20367" xr:uid="{00000000-0005-0000-0000-0000FA390000}"/>
    <cellStyle name="Normal 5 4 2 2 2 3" xfId="948" xr:uid="{00000000-0005-0000-0000-0000FB390000}"/>
    <cellStyle name="Normal 5 4 2 2 2 3 2" xfId="2184" xr:uid="{00000000-0005-0000-0000-0000FC390000}"/>
    <cellStyle name="Normal 5 4 2 2 2 3 2 2" xfId="4651" xr:uid="{00000000-0005-0000-0000-0000FD390000}"/>
    <cellStyle name="Normal 5 4 2 2 2 3 2 2 2" xfId="9583" xr:uid="{00000000-0005-0000-0000-0000FE390000}"/>
    <cellStyle name="Normal 5 4 2 2 2 3 2 2 2 2" xfId="19443" xr:uid="{00000000-0005-0000-0000-0000FF390000}"/>
    <cellStyle name="Normal 5 4 2 2 2 3 2 2 2 2 2" xfId="39158" xr:uid="{00000000-0005-0000-0000-0000003A0000}"/>
    <cellStyle name="Normal 5 4 2 2 2 3 2 2 2 3" xfId="29301" xr:uid="{00000000-0005-0000-0000-0000013A0000}"/>
    <cellStyle name="Normal 5 4 2 2 2 3 2 2 3" xfId="14515" xr:uid="{00000000-0005-0000-0000-0000023A0000}"/>
    <cellStyle name="Normal 5 4 2 2 2 3 2 2 3 2" xfId="34230" xr:uid="{00000000-0005-0000-0000-0000033A0000}"/>
    <cellStyle name="Normal 5 4 2 2 2 3 2 2 4" xfId="24373" xr:uid="{00000000-0005-0000-0000-0000043A0000}"/>
    <cellStyle name="Normal 5 4 2 2 2 3 2 3" xfId="7119" xr:uid="{00000000-0005-0000-0000-0000053A0000}"/>
    <cellStyle name="Normal 5 4 2 2 2 3 2 3 2" xfId="16979" xr:uid="{00000000-0005-0000-0000-0000063A0000}"/>
    <cellStyle name="Normal 5 4 2 2 2 3 2 3 2 2" xfId="36694" xr:uid="{00000000-0005-0000-0000-0000073A0000}"/>
    <cellStyle name="Normal 5 4 2 2 2 3 2 3 3" xfId="26837" xr:uid="{00000000-0005-0000-0000-0000083A0000}"/>
    <cellStyle name="Normal 5 4 2 2 2 3 2 4" xfId="12051" xr:uid="{00000000-0005-0000-0000-0000093A0000}"/>
    <cellStyle name="Normal 5 4 2 2 2 3 2 4 2" xfId="31766" xr:uid="{00000000-0005-0000-0000-00000A3A0000}"/>
    <cellStyle name="Normal 5 4 2 2 2 3 2 5" xfId="21909" xr:uid="{00000000-0005-0000-0000-00000B3A0000}"/>
    <cellStyle name="Normal 5 4 2 2 2 3 3" xfId="3419" xr:uid="{00000000-0005-0000-0000-00000C3A0000}"/>
    <cellStyle name="Normal 5 4 2 2 2 3 3 2" xfId="8351" xr:uid="{00000000-0005-0000-0000-00000D3A0000}"/>
    <cellStyle name="Normal 5 4 2 2 2 3 3 2 2" xfId="18211" xr:uid="{00000000-0005-0000-0000-00000E3A0000}"/>
    <cellStyle name="Normal 5 4 2 2 2 3 3 2 2 2" xfId="37926" xr:uid="{00000000-0005-0000-0000-00000F3A0000}"/>
    <cellStyle name="Normal 5 4 2 2 2 3 3 2 3" xfId="28069" xr:uid="{00000000-0005-0000-0000-0000103A0000}"/>
    <cellStyle name="Normal 5 4 2 2 2 3 3 3" xfId="13283" xr:uid="{00000000-0005-0000-0000-0000113A0000}"/>
    <cellStyle name="Normal 5 4 2 2 2 3 3 3 2" xfId="32998" xr:uid="{00000000-0005-0000-0000-0000123A0000}"/>
    <cellStyle name="Normal 5 4 2 2 2 3 3 4" xfId="23141" xr:uid="{00000000-0005-0000-0000-0000133A0000}"/>
    <cellStyle name="Normal 5 4 2 2 2 3 4" xfId="5887" xr:uid="{00000000-0005-0000-0000-0000143A0000}"/>
    <cellStyle name="Normal 5 4 2 2 2 3 4 2" xfId="15747" xr:uid="{00000000-0005-0000-0000-0000153A0000}"/>
    <cellStyle name="Normal 5 4 2 2 2 3 4 2 2" xfId="35462" xr:uid="{00000000-0005-0000-0000-0000163A0000}"/>
    <cellStyle name="Normal 5 4 2 2 2 3 4 3" xfId="25605" xr:uid="{00000000-0005-0000-0000-0000173A0000}"/>
    <cellStyle name="Normal 5 4 2 2 2 3 5" xfId="10819" xr:uid="{00000000-0005-0000-0000-0000183A0000}"/>
    <cellStyle name="Normal 5 4 2 2 2 3 5 2" xfId="30534" xr:uid="{00000000-0005-0000-0000-0000193A0000}"/>
    <cellStyle name="Normal 5 4 2 2 2 3 6" xfId="20677" xr:uid="{00000000-0005-0000-0000-00001A3A0000}"/>
    <cellStyle name="Normal 5 4 2 2 2 4" xfId="1568" xr:uid="{00000000-0005-0000-0000-00001B3A0000}"/>
    <cellStyle name="Normal 5 4 2 2 2 4 2" xfId="4035" xr:uid="{00000000-0005-0000-0000-00001C3A0000}"/>
    <cellStyle name="Normal 5 4 2 2 2 4 2 2" xfId="8967" xr:uid="{00000000-0005-0000-0000-00001D3A0000}"/>
    <cellStyle name="Normal 5 4 2 2 2 4 2 2 2" xfId="18827" xr:uid="{00000000-0005-0000-0000-00001E3A0000}"/>
    <cellStyle name="Normal 5 4 2 2 2 4 2 2 2 2" xfId="38542" xr:uid="{00000000-0005-0000-0000-00001F3A0000}"/>
    <cellStyle name="Normal 5 4 2 2 2 4 2 2 3" xfId="28685" xr:uid="{00000000-0005-0000-0000-0000203A0000}"/>
    <cellStyle name="Normal 5 4 2 2 2 4 2 3" xfId="13899" xr:uid="{00000000-0005-0000-0000-0000213A0000}"/>
    <cellStyle name="Normal 5 4 2 2 2 4 2 3 2" xfId="33614" xr:uid="{00000000-0005-0000-0000-0000223A0000}"/>
    <cellStyle name="Normal 5 4 2 2 2 4 2 4" xfId="23757" xr:uid="{00000000-0005-0000-0000-0000233A0000}"/>
    <cellStyle name="Normal 5 4 2 2 2 4 3" xfId="6503" xr:uid="{00000000-0005-0000-0000-0000243A0000}"/>
    <cellStyle name="Normal 5 4 2 2 2 4 3 2" xfId="16363" xr:uid="{00000000-0005-0000-0000-0000253A0000}"/>
    <cellStyle name="Normal 5 4 2 2 2 4 3 2 2" xfId="36078" xr:uid="{00000000-0005-0000-0000-0000263A0000}"/>
    <cellStyle name="Normal 5 4 2 2 2 4 3 3" xfId="26221" xr:uid="{00000000-0005-0000-0000-0000273A0000}"/>
    <cellStyle name="Normal 5 4 2 2 2 4 4" xfId="11435" xr:uid="{00000000-0005-0000-0000-0000283A0000}"/>
    <cellStyle name="Normal 5 4 2 2 2 4 4 2" xfId="31150" xr:uid="{00000000-0005-0000-0000-0000293A0000}"/>
    <cellStyle name="Normal 5 4 2 2 2 4 5" xfId="21293" xr:uid="{00000000-0005-0000-0000-00002A3A0000}"/>
    <cellStyle name="Normal 5 4 2 2 2 5" xfId="2803" xr:uid="{00000000-0005-0000-0000-00002B3A0000}"/>
    <cellStyle name="Normal 5 4 2 2 2 5 2" xfId="7735" xr:uid="{00000000-0005-0000-0000-00002C3A0000}"/>
    <cellStyle name="Normal 5 4 2 2 2 5 2 2" xfId="17595" xr:uid="{00000000-0005-0000-0000-00002D3A0000}"/>
    <cellStyle name="Normal 5 4 2 2 2 5 2 2 2" xfId="37310" xr:uid="{00000000-0005-0000-0000-00002E3A0000}"/>
    <cellStyle name="Normal 5 4 2 2 2 5 2 3" xfId="27453" xr:uid="{00000000-0005-0000-0000-00002F3A0000}"/>
    <cellStyle name="Normal 5 4 2 2 2 5 3" xfId="12667" xr:uid="{00000000-0005-0000-0000-0000303A0000}"/>
    <cellStyle name="Normal 5 4 2 2 2 5 3 2" xfId="32382" xr:uid="{00000000-0005-0000-0000-0000313A0000}"/>
    <cellStyle name="Normal 5 4 2 2 2 5 4" xfId="22525" xr:uid="{00000000-0005-0000-0000-0000323A0000}"/>
    <cellStyle name="Normal 5 4 2 2 2 6" xfId="5271" xr:uid="{00000000-0005-0000-0000-0000333A0000}"/>
    <cellStyle name="Normal 5 4 2 2 2 6 2" xfId="15131" xr:uid="{00000000-0005-0000-0000-0000343A0000}"/>
    <cellStyle name="Normal 5 4 2 2 2 6 2 2" xfId="34846" xr:uid="{00000000-0005-0000-0000-0000353A0000}"/>
    <cellStyle name="Normal 5 4 2 2 2 6 3" xfId="24989" xr:uid="{00000000-0005-0000-0000-0000363A0000}"/>
    <cellStyle name="Normal 5 4 2 2 2 7" xfId="10203" xr:uid="{00000000-0005-0000-0000-0000373A0000}"/>
    <cellStyle name="Normal 5 4 2 2 2 7 2" xfId="29918" xr:uid="{00000000-0005-0000-0000-0000383A0000}"/>
    <cellStyle name="Normal 5 4 2 2 2 8" xfId="20061" xr:uid="{00000000-0005-0000-0000-0000393A0000}"/>
    <cellStyle name="Normal 5 4 2 2 3" xfId="483" xr:uid="{00000000-0005-0000-0000-00003A3A0000}"/>
    <cellStyle name="Normal 5 4 2 2 3 2" xfId="1103" xr:uid="{00000000-0005-0000-0000-00003B3A0000}"/>
    <cellStyle name="Normal 5 4 2 2 3 2 2" xfId="2338" xr:uid="{00000000-0005-0000-0000-00003C3A0000}"/>
    <cellStyle name="Normal 5 4 2 2 3 2 2 2" xfId="4805" xr:uid="{00000000-0005-0000-0000-00003D3A0000}"/>
    <cellStyle name="Normal 5 4 2 2 3 2 2 2 2" xfId="9737" xr:uid="{00000000-0005-0000-0000-00003E3A0000}"/>
    <cellStyle name="Normal 5 4 2 2 3 2 2 2 2 2" xfId="19597" xr:uid="{00000000-0005-0000-0000-00003F3A0000}"/>
    <cellStyle name="Normal 5 4 2 2 3 2 2 2 2 2 2" xfId="39312" xr:uid="{00000000-0005-0000-0000-0000403A0000}"/>
    <cellStyle name="Normal 5 4 2 2 3 2 2 2 2 3" xfId="29455" xr:uid="{00000000-0005-0000-0000-0000413A0000}"/>
    <cellStyle name="Normal 5 4 2 2 3 2 2 2 3" xfId="14669" xr:uid="{00000000-0005-0000-0000-0000423A0000}"/>
    <cellStyle name="Normal 5 4 2 2 3 2 2 2 3 2" xfId="34384" xr:uid="{00000000-0005-0000-0000-0000433A0000}"/>
    <cellStyle name="Normal 5 4 2 2 3 2 2 2 4" xfId="24527" xr:uid="{00000000-0005-0000-0000-0000443A0000}"/>
    <cellStyle name="Normal 5 4 2 2 3 2 2 3" xfId="7273" xr:uid="{00000000-0005-0000-0000-0000453A0000}"/>
    <cellStyle name="Normal 5 4 2 2 3 2 2 3 2" xfId="17133" xr:uid="{00000000-0005-0000-0000-0000463A0000}"/>
    <cellStyle name="Normal 5 4 2 2 3 2 2 3 2 2" xfId="36848" xr:uid="{00000000-0005-0000-0000-0000473A0000}"/>
    <cellStyle name="Normal 5 4 2 2 3 2 2 3 3" xfId="26991" xr:uid="{00000000-0005-0000-0000-0000483A0000}"/>
    <cellStyle name="Normal 5 4 2 2 3 2 2 4" xfId="12205" xr:uid="{00000000-0005-0000-0000-0000493A0000}"/>
    <cellStyle name="Normal 5 4 2 2 3 2 2 4 2" xfId="31920" xr:uid="{00000000-0005-0000-0000-00004A3A0000}"/>
    <cellStyle name="Normal 5 4 2 2 3 2 2 5" xfId="22063" xr:uid="{00000000-0005-0000-0000-00004B3A0000}"/>
    <cellStyle name="Normal 5 4 2 2 3 2 3" xfId="3573" xr:uid="{00000000-0005-0000-0000-00004C3A0000}"/>
    <cellStyle name="Normal 5 4 2 2 3 2 3 2" xfId="8505" xr:uid="{00000000-0005-0000-0000-00004D3A0000}"/>
    <cellStyle name="Normal 5 4 2 2 3 2 3 2 2" xfId="18365" xr:uid="{00000000-0005-0000-0000-00004E3A0000}"/>
    <cellStyle name="Normal 5 4 2 2 3 2 3 2 2 2" xfId="38080" xr:uid="{00000000-0005-0000-0000-00004F3A0000}"/>
    <cellStyle name="Normal 5 4 2 2 3 2 3 2 3" xfId="28223" xr:uid="{00000000-0005-0000-0000-0000503A0000}"/>
    <cellStyle name="Normal 5 4 2 2 3 2 3 3" xfId="13437" xr:uid="{00000000-0005-0000-0000-0000513A0000}"/>
    <cellStyle name="Normal 5 4 2 2 3 2 3 3 2" xfId="33152" xr:uid="{00000000-0005-0000-0000-0000523A0000}"/>
    <cellStyle name="Normal 5 4 2 2 3 2 3 4" xfId="23295" xr:uid="{00000000-0005-0000-0000-0000533A0000}"/>
    <cellStyle name="Normal 5 4 2 2 3 2 4" xfId="6041" xr:uid="{00000000-0005-0000-0000-0000543A0000}"/>
    <cellStyle name="Normal 5 4 2 2 3 2 4 2" xfId="15901" xr:uid="{00000000-0005-0000-0000-0000553A0000}"/>
    <cellStyle name="Normal 5 4 2 2 3 2 4 2 2" xfId="35616" xr:uid="{00000000-0005-0000-0000-0000563A0000}"/>
    <cellStyle name="Normal 5 4 2 2 3 2 4 3" xfId="25759" xr:uid="{00000000-0005-0000-0000-0000573A0000}"/>
    <cellStyle name="Normal 5 4 2 2 3 2 5" xfId="10973" xr:uid="{00000000-0005-0000-0000-0000583A0000}"/>
    <cellStyle name="Normal 5 4 2 2 3 2 5 2" xfId="30688" xr:uid="{00000000-0005-0000-0000-0000593A0000}"/>
    <cellStyle name="Normal 5 4 2 2 3 2 6" xfId="20831" xr:uid="{00000000-0005-0000-0000-00005A3A0000}"/>
    <cellStyle name="Normal 5 4 2 2 3 3" xfId="1722" xr:uid="{00000000-0005-0000-0000-00005B3A0000}"/>
    <cellStyle name="Normal 5 4 2 2 3 3 2" xfId="4189" xr:uid="{00000000-0005-0000-0000-00005C3A0000}"/>
    <cellStyle name="Normal 5 4 2 2 3 3 2 2" xfId="9121" xr:uid="{00000000-0005-0000-0000-00005D3A0000}"/>
    <cellStyle name="Normal 5 4 2 2 3 3 2 2 2" xfId="18981" xr:uid="{00000000-0005-0000-0000-00005E3A0000}"/>
    <cellStyle name="Normal 5 4 2 2 3 3 2 2 2 2" xfId="38696" xr:uid="{00000000-0005-0000-0000-00005F3A0000}"/>
    <cellStyle name="Normal 5 4 2 2 3 3 2 2 3" xfId="28839" xr:uid="{00000000-0005-0000-0000-0000603A0000}"/>
    <cellStyle name="Normal 5 4 2 2 3 3 2 3" xfId="14053" xr:uid="{00000000-0005-0000-0000-0000613A0000}"/>
    <cellStyle name="Normal 5 4 2 2 3 3 2 3 2" xfId="33768" xr:uid="{00000000-0005-0000-0000-0000623A0000}"/>
    <cellStyle name="Normal 5 4 2 2 3 3 2 4" xfId="23911" xr:uid="{00000000-0005-0000-0000-0000633A0000}"/>
    <cellStyle name="Normal 5 4 2 2 3 3 3" xfId="6657" xr:uid="{00000000-0005-0000-0000-0000643A0000}"/>
    <cellStyle name="Normal 5 4 2 2 3 3 3 2" xfId="16517" xr:uid="{00000000-0005-0000-0000-0000653A0000}"/>
    <cellStyle name="Normal 5 4 2 2 3 3 3 2 2" xfId="36232" xr:uid="{00000000-0005-0000-0000-0000663A0000}"/>
    <cellStyle name="Normal 5 4 2 2 3 3 3 3" xfId="26375" xr:uid="{00000000-0005-0000-0000-0000673A0000}"/>
    <cellStyle name="Normal 5 4 2 2 3 3 4" xfId="11589" xr:uid="{00000000-0005-0000-0000-0000683A0000}"/>
    <cellStyle name="Normal 5 4 2 2 3 3 4 2" xfId="31304" xr:uid="{00000000-0005-0000-0000-0000693A0000}"/>
    <cellStyle name="Normal 5 4 2 2 3 3 5" xfId="21447" xr:uid="{00000000-0005-0000-0000-00006A3A0000}"/>
    <cellStyle name="Normal 5 4 2 2 3 4" xfId="2957" xr:uid="{00000000-0005-0000-0000-00006B3A0000}"/>
    <cellStyle name="Normal 5 4 2 2 3 4 2" xfId="7889" xr:uid="{00000000-0005-0000-0000-00006C3A0000}"/>
    <cellStyle name="Normal 5 4 2 2 3 4 2 2" xfId="17749" xr:uid="{00000000-0005-0000-0000-00006D3A0000}"/>
    <cellStyle name="Normal 5 4 2 2 3 4 2 2 2" xfId="37464" xr:uid="{00000000-0005-0000-0000-00006E3A0000}"/>
    <cellStyle name="Normal 5 4 2 2 3 4 2 3" xfId="27607" xr:uid="{00000000-0005-0000-0000-00006F3A0000}"/>
    <cellStyle name="Normal 5 4 2 2 3 4 3" xfId="12821" xr:uid="{00000000-0005-0000-0000-0000703A0000}"/>
    <cellStyle name="Normal 5 4 2 2 3 4 3 2" xfId="32536" xr:uid="{00000000-0005-0000-0000-0000713A0000}"/>
    <cellStyle name="Normal 5 4 2 2 3 4 4" xfId="22679" xr:uid="{00000000-0005-0000-0000-0000723A0000}"/>
    <cellStyle name="Normal 5 4 2 2 3 5" xfId="5425" xr:uid="{00000000-0005-0000-0000-0000733A0000}"/>
    <cellStyle name="Normal 5 4 2 2 3 5 2" xfId="15285" xr:uid="{00000000-0005-0000-0000-0000743A0000}"/>
    <cellStyle name="Normal 5 4 2 2 3 5 2 2" xfId="35000" xr:uid="{00000000-0005-0000-0000-0000753A0000}"/>
    <cellStyle name="Normal 5 4 2 2 3 5 3" xfId="25143" xr:uid="{00000000-0005-0000-0000-0000763A0000}"/>
    <cellStyle name="Normal 5 4 2 2 3 6" xfId="10357" xr:uid="{00000000-0005-0000-0000-0000773A0000}"/>
    <cellStyle name="Normal 5 4 2 2 3 6 2" xfId="30072" xr:uid="{00000000-0005-0000-0000-0000783A0000}"/>
    <cellStyle name="Normal 5 4 2 2 3 7" xfId="20215" xr:uid="{00000000-0005-0000-0000-0000793A0000}"/>
    <cellStyle name="Normal 5 4 2 2 4" xfId="796" xr:uid="{00000000-0005-0000-0000-00007A3A0000}"/>
    <cellStyle name="Normal 5 4 2 2 4 2" xfId="2032" xr:uid="{00000000-0005-0000-0000-00007B3A0000}"/>
    <cellStyle name="Normal 5 4 2 2 4 2 2" xfId="4499" xr:uid="{00000000-0005-0000-0000-00007C3A0000}"/>
    <cellStyle name="Normal 5 4 2 2 4 2 2 2" xfId="9431" xr:uid="{00000000-0005-0000-0000-00007D3A0000}"/>
    <cellStyle name="Normal 5 4 2 2 4 2 2 2 2" xfId="19291" xr:uid="{00000000-0005-0000-0000-00007E3A0000}"/>
    <cellStyle name="Normal 5 4 2 2 4 2 2 2 2 2" xfId="39006" xr:uid="{00000000-0005-0000-0000-00007F3A0000}"/>
    <cellStyle name="Normal 5 4 2 2 4 2 2 2 3" xfId="29149" xr:uid="{00000000-0005-0000-0000-0000803A0000}"/>
    <cellStyle name="Normal 5 4 2 2 4 2 2 3" xfId="14363" xr:uid="{00000000-0005-0000-0000-0000813A0000}"/>
    <cellStyle name="Normal 5 4 2 2 4 2 2 3 2" xfId="34078" xr:uid="{00000000-0005-0000-0000-0000823A0000}"/>
    <cellStyle name="Normal 5 4 2 2 4 2 2 4" xfId="24221" xr:uid="{00000000-0005-0000-0000-0000833A0000}"/>
    <cellStyle name="Normal 5 4 2 2 4 2 3" xfId="6967" xr:uid="{00000000-0005-0000-0000-0000843A0000}"/>
    <cellStyle name="Normal 5 4 2 2 4 2 3 2" xfId="16827" xr:uid="{00000000-0005-0000-0000-0000853A0000}"/>
    <cellStyle name="Normal 5 4 2 2 4 2 3 2 2" xfId="36542" xr:uid="{00000000-0005-0000-0000-0000863A0000}"/>
    <cellStyle name="Normal 5 4 2 2 4 2 3 3" xfId="26685" xr:uid="{00000000-0005-0000-0000-0000873A0000}"/>
    <cellStyle name="Normal 5 4 2 2 4 2 4" xfId="11899" xr:uid="{00000000-0005-0000-0000-0000883A0000}"/>
    <cellStyle name="Normal 5 4 2 2 4 2 4 2" xfId="31614" xr:uid="{00000000-0005-0000-0000-0000893A0000}"/>
    <cellStyle name="Normal 5 4 2 2 4 2 5" xfId="21757" xr:uid="{00000000-0005-0000-0000-00008A3A0000}"/>
    <cellStyle name="Normal 5 4 2 2 4 3" xfId="3267" xr:uid="{00000000-0005-0000-0000-00008B3A0000}"/>
    <cellStyle name="Normal 5 4 2 2 4 3 2" xfId="8199" xr:uid="{00000000-0005-0000-0000-00008C3A0000}"/>
    <cellStyle name="Normal 5 4 2 2 4 3 2 2" xfId="18059" xr:uid="{00000000-0005-0000-0000-00008D3A0000}"/>
    <cellStyle name="Normal 5 4 2 2 4 3 2 2 2" xfId="37774" xr:uid="{00000000-0005-0000-0000-00008E3A0000}"/>
    <cellStyle name="Normal 5 4 2 2 4 3 2 3" xfId="27917" xr:uid="{00000000-0005-0000-0000-00008F3A0000}"/>
    <cellStyle name="Normal 5 4 2 2 4 3 3" xfId="13131" xr:uid="{00000000-0005-0000-0000-0000903A0000}"/>
    <cellStyle name="Normal 5 4 2 2 4 3 3 2" xfId="32846" xr:uid="{00000000-0005-0000-0000-0000913A0000}"/>
    <cellStyle name="Normal 5 4 2 2 4 3 4" xfId="22989" xr:uid="{00000000-0005-0000-0000-0000923A0000}"/>
    <cellStyle name="Normal 5 4 2 2 4 4" xfId="5735" xr:uid="{00000000-0005-0000-0000-0000933A0000}"/>
    <cellStyle name="Normal 5 4 2 2 4 4 2" xfId="15595" xr:uid="{00000000-0005-0000-0000-0000943A0000}"/>
    <cellStyle name="Normal 5 4 2 2 4 4 2 2" xfId="35310" xr:uid="{00000000-0005-0000-0000-0000953A0000}"/>
    <cellStyle name="Normal 5 4 2 2 4 4 3" xfId="25453" xr:uid="{00000000-0005-0000-0000-0000963A0000}"/>
    <cellStyle name="Normal 5 4 2 2 4 5" xfId="10667" xr:uid="{00000000-0005-0000-0000-0000973A0000}"/>
    <cellStyle name="Normal 5 4 2 2 4 5 2" xfId="30382" xr:uid="{00000000-0005-0000-0000-0000983A0000}"/>
    <cellStyle name="Normal 5 4 2 2 4 6" xfId="20525" xr:uid="{00000000-0005-0000-0000-0000993A0000}"/>
    <cellStyle name="Normal 5 4 2 2 5" xfId="1416" xr:uid="{00000000-0005-0000-0000-00009A3A0000}"/>
    <cellStyle name="Normal 5 4 2 2 5 2" xfId="3883" xr:uid="{00000000-0005-0000-0000-00009B3A0000}"/>
    <cellStyle name="Normal 5 4 2 2 5 2 2" xfId="8815" xr:uid="{00000000-0005-0000-0000-00009C3A0000}"/>
    <cellStyle name="Normal 5 4 2 2 5 2 2 2" xfId="18675" xr:uid="{00000000-0005-0000-0000-00009D3A0000}"/>
    <cellStyle name="Normal 5 4 2 2 5 2 2 2 2" xfId="38390" xr:uid="{00000000-0005-0000-0000-00009E3A0000}"/>
    <cellStyle name="Normal 5 4 2 2 5 2 2 3" xfId="28533" xr:uid="{00000000-0005-0000-0000-00009F3A0000}"/>
    <cellStyle name="Normal 5 4 2 2 5 2 3" xfId="13747" xr:uid="{00000000-0005-0000-0000-0000A03A0000}"/>
    <cellStyle name="Normal 5 4 2 2 5 2 3 2" xfId="33462" xr:uid="{00000000-0005-0000-0000-0000A13A0000}"/>
    <cellStyle name="Normal 5 4 2 2 5 2 4" xfId="23605" xr:uid="{00000000-0005-0000-0000-0000A23A0000}"/>
    <cellStyle name="Normal 5 4 2 2 5 3" xfId="6351" xr:uid="{00000000-0005-0000-0000-0000A33A0000}"/>
    <cellStyle name="Normal 5 4 2 2 5 3 2" xfId="16211" xr:uid="{00000000-0005-0000-0000-0000A43A0000}"/>
    <cellStyle name="Normal 5 4 2 2 5 3 2 2" xfId="35926" xr:uid="{00000000-0005-0000-0000-0000A53A0000}"/>
    <cellStyle name="Normal 5 4 2 2 5 3 3" xfId="26069" xr:uid="{00000000-0005-0000-0000-0000A63A0000}"/>
    <cellStyle name="Normal 5 4 2 2 5 4" xfId="11283" xr:uid="{00000000-0005-0000-0000-0000A73A0000}"/>
    <cellStyle name="Normal 5 4 2 2 5 4 2" xfId="30998" xr:uid="{00000000-0005-0000-0000-0000A83A0000}"/>
    <cellStyle name="Normal 5 4 2 2 5 5" xfId="21141" xr:uid="{00000000-0005-0000-0000-0000A93A0000}"/>
    <cellStyle name="Normal 5 4 2 2 6" xfId="2651" xr:uid="{00000000-0005-0000-0000-0000AA3A0000}"/>
    <cellStyle name="Normal 5 4 2 2 6 2" xfId="7583" xr:uid="{00000000-0005-0000-0000-0000AB3A0000}"/>
    <cellStyle name="Normal 5 4 2 2 6 2 2" xfId="17443" xr:uid="{00000000-0005-0000-0000-0000AC3A0000}"/>
    <cellStyle name="Normal 5 4 2 2 6 2 2 2" xfId="37158" xr:uid="{00000000-0005-0000-0000-0000AD3A0000}"/>
    <cellStyle name="Normal 5 4 2 2 6 2 3" xfId="27301" xr:uid="{00000000-0005-0000-0000-0000AE3A0000}"/>
    <cellStyle name="Normal 5 4 2 2 6 3" xfId="12515" xr:uid="{00000000-0005-0000-0000-0000AF3A0000}"/>
    <cellStyle name="Normal 5 4 2 2 6 3 2" xfId="32230" xr:uid="{00000000-0005-0000-0000-0000B03A0000}"/>
    <cellStyle name="Normal 5 4 2 2 6 4" xfId="22373" xr:uid="{00000000-0005-0000-0000-0000B13A0000}"/>
    <cellStyle name="Normal 5 4 2 2 7" xfId="5119" xr:uid="{00000000-0005-0000-0000-0000B23A0000}"/>
    <cellStyle name="Normal 5 4 2 2 7 2" xfId="14979" xr:uid="{00000000-0005-0000-0000-0000B33A0000}"/>
    <cellStyle name="Normal 5 4 2 2 7 2 2" xfId="34694" xr:uid="{00000000-0005-0000-0000-0000B43A0000}"/>
    <cellStyle name="Normal 5 4 2 2 7 3" xfId="24837" xr:uid="{00000000-0005-0000-0000-0000B53A0000}"/>
    <cellStyle name="Normal 5 4 2 2 8" xfId="10051" xr:uid="{00000000-0005-0000-0000-0000B63A0000}"/>
    <cellStyle name="Normal 5 4 2 2 8 2" xfId="29766" xr:uid="{00000000-0005-0000-0000-0000B73A0000}"/>
    <cellStyle name="Normal 5 4 2 2 9" xfId="19909" xr:uid="{00000000-0005-0000-0000-0000B83A0000}"/>
    <cellStyle name="Normal 5 4 2 3" xfId="245" xr:uid="{00000000-0005-0000-0000-0000B93A0000}"/>
    <cellStyle name="Normal 5 4 2 3 2" xfId="559" xr:uid="{00000000-0005-0000-0000-0000BA3A0000}"/>
    <cellStyle name="Normal 5 4 2 3 2 2" xfId="1179" xr:uid="{00000000-0005-0000-0000-0000BB3A0000}"/>
    <cellStyle name="Normal 5 4 2 3 2 2 2" xfId="2414" xr:uid="{00000000-0005-0000-0000-0000BC3A0000}"/>
    <cellStyle name="Normal 5 4 2 3 2 2 2 2" xfId="4881" xr:uid="{00000000-0005-0000-0000-0000BD3A0000}"/>
    <cellStyle name="Normal 5 4 2 3 2 2 2 2 2" xfId="9813" xr:uid="{00000000-0005-0000-0000-0000BE3A0000}"/>
    <cellStyle name="Normal 5 4 2 3 2 2 2 2 2 2" xfId="19673" xr:uid="{00000000-0005-0000-0000-0000BF3A0000}"/>
    <cellStyle name="Normal 5 4 2 3 2 2 2 2 2 2 2" xfId="39388" xr:uid="{00000000-0005-0000-0000-0000C03A0000}"/>
    <cellStyle name="Normal 5 4 2 3 2 2 2 2 2 3" xfId="29531" xr:uid="{00000000-0005-0000-0000-0000C13A0000}"/>
    <cellStyle name="Normal 5 4 2 3 2 2 2 2 3" xfId="14745" xr:uid="{00000000-0005-0000-0000-0000C23A0000}"/>
    <cellStyle name="Normal 5 4 2 3 2 2 2 2 3 2" xfId="34460" xr:uid="{00000000-0005-0000-0000-0000C33A0000}"/>
    <cellStyle name="Normal 5 4 2 3 2 2 2 2 4" xfId="24603" xr:uid="{00000000-0005-0000-0000-0000C43A0000}"/>
    <cellStyle name="Normal 5 4 2 3 2 2 2 3" xfId="7349" xr:uid="{00000000-0005-0000-0000-0000C53A0000}"/>
    <cellStyle name="Normal 5 4 2 3 2 2 2 3 2" xfId="17209" xr:uid="{00000000-0005-0000-0000-0000C63A0000}"/>
    <cellStyle name="Normal 5 4 2 3 2 2 2 3 2 2" xfId="36924" xr:uid="{00000000-0005-0000-0000-0000C73A0000}"/>
    <cellStyle name="Normal 5 4 2 3 2 2 2 3 3" xfId="27067" xr:uid="{00000000-0005-0000-0000-0000C83A0000}"/>
    <cellStyle name="Normal 5 4 2 3 2 2 2 4" xfId="12281" xr:uid="{00000000-0005-0000-0000-0000C93A0000}"/>
    <cellStyle name="Normal 5 4 2 3 2 2 2 4 2" xfId="31996" xr:uid="{00000000-0005-0000-0000-0000CA3A0000}"/>
    <cellStyle name="Normal 5 4 2 3 2 2 2 5" xfId="22139" xr:uid="{00000000-0005-0000-0000-0000CB3A0000}"/>
    <cellStyle name="Normal 5 4 2 3 2 2 3" xfId="3649" xr:uid="{00000000-0005-0000-0000-0000CC3A0000}"/>
    <cellStyle name="Normal 5 4 2 3 2 2 3 2" xfId="8581" xr:uid="{00000000-0005-0000-0000-0000CD3A0000}"/>
    <cellStyle name="Normal 5 4 2 3 2 2 3 2 2" xfId="18441" xr:uid="{00000000-0005-0000-0000-0000CE3A0000}"/>
    <cellStyle name="Normal 5 4 2 3 2 2 3 2 2 2" xfId="38156" xr:uid="{00000000-0005-0000-0000-0000CF3A0000}"/>
    <cellStyle name="Normal 5 4 2 3 2 2 3 2 3" xfId="28299" xr:uid="{00000000-0005-0000-0000-0000D03A0000}"/>
    <cellStyle name="Normal 5 4 2 3 2 2 3 3" xfId="13513" xr:uid="{00000000-0005-0000-0000-0000D13A0000}"/>
    <cellStyle name="Normal 5 4 2 3 2 2 3 3 2" xfId="33228" xr:uid="{00000000-0005-0000-0000-0000D23A0000}"/>
    <cellStyle name="Normal 5 4 2 3 2 2 3 4" xfId="23371" xr:uid="{00000000-0005-0000-0000-0000D33A0000}"/>
    <cellStyle name="Normal 5 4 2 3 2 2 4" xfId="6117" xr:uid="{00000000-0005-0000-0000-0000D43A0000}"/>
    <cellStyle name="Normal 5 4 2 3 2 2 4 2" xfId="15977" xr:uid="{00000000-0005-0000-0000-0000D53A0000}"/>
    <cellStyle name="Normal 5 4 2 3 2 2 4 2 2" xfId="35692" xr:uid="{00000000-0005-0000-0000-0000D63A0000}"/>
    <cellStyle name="Normal 5 4 2 3 2 2 4 3" xfId="25835" xr:uid="{00000000-0005-0000-0000-0000D73A0000}"/>
    <cellStyle name="Normal 5 4 2 3 2 2 5" xfId="11049" xr:uid="{00000000-0005-0000-0000-0000D83A0000}"/>
    <cellStyle name="Normal 5 4 2 3 2 2 5 2" xfId="30764" xr:uid="{00000000-0005-0000-0000-0000D93A0000}"/>
    <cellStyle name="Normal 5 4 2 3 2 2 6" xfId="20907" xr:uid="{00000000-0005-0000-0000-0000DA3A0000}"/>
    <cellStyle name="Normal 5 4 2 3 2 3" xfId="1798" xr:uid="{00000000-0005-0000-0000-0000DB3A0000}"/>
    <cellStyle name="Normal 5 4 2 3 2 3 2" xfId="4265" xr:uid="{00000000-0005-0000-0000-0000DC3A0000}"/>
    <cellStyle name="Normal 5 4 2 3 2 3 2 2" xfId="9197" xr:uid="{00000000-0005-0000-0000-0000DD3A0000}"/>
    <cellStyle name="Normal 5 4 2 3 2 3 2 2 2" xfId="19057" xr:uid="{00000000-0005-0000-0000-0000DE3A0000}"/>
    <cellStyle name="Normal 5 4 2 3 2 3 2 2 2 2" xfId="38772" xr:uid="{00000000-0005-0000-0000-0000DF3A0000}"/>
    <cellStyle name="Normal 5 4 2 3 2 3 2 2 3" xfId="28915" xr:uid="{00000000-0005-0000-0000-0000E03A0000}"/>
    <cellStyle name="Normal 5 4 2 3 2 3 2 3" xfId="14129" xr:uid="{00000000-0005-0000-0000-0000E13A0000}"/>
    <cellStyle name="Normal 5 4 2 3 2 3 2 3 2" xfId="33844" xr:uid="{00000000-0005-0000-0000-0000E23A0000}"/>
    <cellStyle name="Normal 5 4 2 3 2 3 2 4" xfId="23987" xr:uid="{00000000-0005-0000-0000-0000E33A0000}"/>
    <cellStyle name="Normal 5 4 2 3 2 3 3" xfId="6733" xr:uid="{00000000-0005-0000-0000-0000E43A0000}"/>
    <cellStyle name="Normal 5 4 2 3 2 3 3 2" xfId="16593" xr:uid="{00000000-0005-0000-0000-0000E53A0000}"/>
    <cellStyle name="Normal 5 4 2 3 2 3 3 2 2" xfId="36308" xr:uid="{00000000-0005-0000-0000-0000E63A0000}"/>
    <cellStyle name="Normal 5 4 2 3 2 3 3 3" xfId="26451" xr:uid="{00000000-0005-0000-0000-0000E73A0000}"/>
    <cellStyle name="Normal 5 4 2 3 2 3 4" xfId="11665" xr:uid="{00000000-0005-0000-0000-0000E83A0000}"/>
    <cellStyle name="Normal 5 4 2 3 2 3 4 2" xfId="31380" xr:uid="{00000000-0005-0000-0000-0000E93A0000}"/>
    <cellStyle name="Normal 5 4 2 3 2 3 5" xfId="21523" xr:uid="{00000000-0005-0000-0000-0000EA3A0000}"/>
    <cellStyle name="Normal 5 4 2 3 2 4" xfId="3033" xr:uid="{00000000-0005-0000-0000-0000EB3A0000}"/>
    <cellStyle name="Normal 5 4 2 3 2 4 2" xfId="7965" xr:uid="{00000000-0005-0000-0000-0000EC3A0000}"/>
    <cellStyle name="Normal 5 4 2 3 2 4 2 2" xfId="17825" xr:uid="{00000000-0005-0000-0000-0000ED3A0000}"/>
    <cellStyle name="Normal 5 4 2 3 2 4 2 2 2" xfId="37540" xr:uid="{00000000-0005-0000-0000-0000EE3A0000}"/>
    <cellStyle name="Normal 5 4 2 3 2 4 2 3" xfId="27683" xr:uid="{00000000-0005-0000-0000-0000EF3A0000}"/>
    <cellStyle name="Normal 5 4 2 3 2 4 3" xfId="12897" xr:uid="{00000000-0005-0000-0000-0000F03A0000}"/>
    <cellStyle name="Normal 5 4 2 3 2 4 3 2" xfId="32612" xr:uid="{00000000-0005-0000-0000-0000F13A0000}"/>
    <cellStyle name="Normal 5 4 2 3 2 4 4" xfId="22755" xr:uid="{00000000-0005-0000-0000-0000F23A0000}"/>
    <cellStyle name="Normal 5 4 2 3 2 5" xfId="5501" xr:uid="{00000000-0005-0000-0000-0000F33A0000}"/>
    <cellStyle name="Normal 5 4 2 3 2 5 2" xfId="15361" xr:uid="{00000000-0005-0000-0000-0000F43A0000}"/>
    <cellStyle name="Normal 5 4 2 3 2 5 2 2" xfId="35076" xr:uid="{00000000-0005-0000-0000-0000F53A0000}"/>
    <cellStyle name="Normal 5 4 2 3 2 5 3" xfId="25219" xr:uid="{00000000-0005-0000-0000-0000F63A0000}"/>
    <cellStyle name="Normal 5 4 2 3 2 6" xfId="10433" xr:uid="{00000000-0005-0000-0000-0000F73A0000}"/>
    <cellStyle name="Normal 5 4 2 3 2 6 2" xfId="30148" xr:uid="{00000000-0005-0000-0000-0000F83A0000}"/>
    <cellStyle name="Normal 5 4 2 3 2 7" xfId="20291" xr:uid="{00000000-0005-0000-0000-0000F93A0000}"/>
    <cellStyle name="Normal 5 4 2 3 3" xfId="872" xr:uid="{00000000-0005-0000-0000-0000FA3A0000}"/>
    <cellStyle name="Normal 5 4 2 3 3 2" xfId="2108" xr:uid="{00000000-0005-0000-0000-0000FB3A0000}"/>
    <cellStyle name="Normal 5 4 2 3 3 2 2" xfId="4575" xr:uid="{00000000-0005-0000-0000-0000FC3A0000}"/>
    <cellStyle name="Normal 5 4 2 3 3 2 2 2" xfId="9507" xr:uid="{00000000-0005-0000-0000-0000FD3A0000}"/>
    <cellStyle name="Normal 5 4 2 3 3 2 2 2 2" xfId="19367" xr:uid="{00000000-0005-0000-0000-0000FE3A0000}"/>
    <cellStyle name="Normal 5 4 2 3 3 2 2 2 2 2" xfId="39082" xr:uid="{00000000-0005-0000-0000-0000FF3A0000}"/>
    <cellStyle name="Normal 5 4 2 3 3 2 2 2 3" xfId="29225" xr:uid="{00000000-0005-0000-0000-0000003B0000}"/>
    <cellStyle name="Normal 5 4 2 3 3 2 2 3" xfId="14439" xr:uid="{00000000-0005-0000-0000-0000013B0000}"/>
    <cellStyle name="Normal 5 4 2 3 3 2 2 3 2" xfId="34154" xr:uid="{00000000-0005-0000-0000-0000023B0000}"/>
    <cellStyle name="Normal 5 4 2 3 3 2 2 4" xfId="24297" xr:uid="{00000000-0005-0000-0000-0000033B0000}"/>
    <cellStyle name="Normal 5 4 2 3 3 2 3" xfId="7043" xr:uid="{00000000-0005-0000-0000-0000043B0000}"/>
    <cellStyle name="Normal 5 4 2 3 3 2 3 2" xfId="16903" xr:uid="{00000000-0005-0000-0000-0000053B0000}"/>
    <cellStyle name="Normal 5 4 2 3 3 2 3 2 2" xfId="36618" xr:uid="{00000000-0005-0000-0000-0000063B0000}"/>
    <cellStyle name="Normal 5 4 2 3 3 2 3 3" xfId="26761" xr:uid="{00000000-0005-0000-0000-0000073B0000}"/>
    <cellStyle name="Normal 5 4 2 3 3 2 4" xfId="11975" xr:uid="{00000000-0005-0000-0000-0000083B0000}"/>
    <cellStyle name="Normal 5 4 2 3 3 2 4 2" xfId="31690" xr:uid="{00000000-0005-0000-0000-0000093B0000}"/>
    <cellStyle name="Normal 5 4 2 3 3 2 5" xfId="21833" xr:uid="{00000000-0005-0000-0000-00000A3B0000}"/>
    <cellStyle name="Normal 5 4 2 3 3 3" xfId="3343" xr:uid="{00000000-0005-0000-0000-00000B3B0000}"/>
    <cellStyle name="Normal 5 4 2 3 3 3 2" xfId="8275" xr:uid="{00000000-0005-0000-0000-00000C3B0000}"/>
    <cellStyle name="Normal 5 4 2 3 3 3 2 2" xfId="18135" xr:uid="{00000000-0005-0000-0000-00000D3B0000}"/>
    <cellStyle name="Normal 5 4 2 3 3 3 2 2 2" xfId="37850" xr:uid="{00000000-0005-0000-0000-00000E3B0000}"/>
    <cellStyle name="Normal 5 4 2 3 3 3 2 3" xfId="27993" xr:uid="{00000000-0005-0000-0000-00000F3B0000}"/>
    <cellStyle name="Normal 5 4 2 3 3 3 3" xfId="13207" xr:uid="{00000000-0005-0000-0000-0000103B0000}"/>
    <cellStyle name="Normal 5 4 2 3 3 3 3 2" xfId="32922" xr:uid="{00000000-0005-0000-0000-0000113B0000}"/>
    <cellStyle name="Normal 5 4 2 3 3 3 4" xfId="23065" xr:uid="{00000000-0005-0000-0000-0000123B0000}"/>
    <cellStyle name="Normal 5 4 2 3 3 4" xfId="5811" xr:uid="{00000000-0005-0000-0000-0000133B0000}"/>
    <cellStyle name="Normal 5 4 2 3 3 4 2" xfId="15671" xr:uid="{00000000-0005-0000-0000-0000143B0000}"/>
    <cellStyle name="Normal 5 4 2 3 3 4 2 2" xfId="35386" xr:uid="{00000000-0005-0000-0000-0000153B0000}"/>
    <cellStyle name="Normal 5 4 2 3 3 4 3" xfId="25529" xr:uid="{00000000-0005-0000-0000-0000163B0000}"/>
    <cellStyle name="Normal 5 4 2 3 3 5" xfId="10743" xr:uid="{00000000-0005-0000-0000-0000173B0000}"/>
    <cellStyle name="Normal 5 4 2 3 3 5 2" xfId="30458" xr:uid="{00000000-0005-0000-0000-0000183B0000}"/>
    <cellStyle name="Normal 5 4 2 3 3 6" xfId="20601" xr:uid="{00000000-0005-0000-0000-0000193B0000}"/>
    <cellStyle name="Normal 5 4 2 3 4" xfId="1492" xr:uid="{00000000-0005-0000-0000-00001A3B0000}"/>
    <cellStyle name="Normal 5 4 2 3 4 2" xfId="3959" xr:uid="{00000000-0005-0000-0000-00001B3B0000}"/>
    <cellStyle name="Normal 5 4 2 3 4 2 2" xfId="8891" xr:uid="{00000000-0005-0000-0000-00001C3B0000}"/>
    <cellStyle name="Normal 5 4 2 3 4 2 2 2" xfId="18751" xr:uid="{00000000-0005-0000-0000-00001D3B0000}"/>
    <cellStyle name="Normal 5 4 2 3 4 2 2 2 2" xfId="38466" xr:uid="{00000000-0005-0000-0000-00001E3B0000}"/>
    <cellStyle name="Normal 5 4 2 3 4 2 2 3" xfId="28609" xr:uid="{00000000-0005-0000-0000-00001F3B0000}"/>
    <cellStyle name="Normal 5 4 2 3 4 2 3" xfId="13823" xr:uid="{00000000-0005-0000-0000-0000203B0000}"/>
    <cellStyle name="Normal 5 4 2 3 4 2 3 2" xfId="33538" xr:uid="{00000000-0005-0000-0000-0000213B0000}"/>
    <cellStyle name="Normal 5 4 2 3 4 2 4" xfId="23681" xr:uid="{00000000-0005-0000-0000-0000223B0000}"/>
    <cellStyle name="Normal 5 4 2 3 4 3" xfId="6427" xr:uid="{00000000-0005-0000-0000-0000233B0000}"/>
    <cellStyle name="Normal 5 4 2 3 4 3 2" xfId="16287" xr:uid="{00000000-0005-0000-0000-0000243B0000}"/>
    <cellStyle name="Normal 5 4 2 3 4 3 2 2" xfId="36002" xr:uid="{00000000-0005-0000-0000-0000253B0000}"/>
    <cellStyle name="Normal 5 4 2 3 4 3 3" xfId="26145" xr:uid="{00000000-0005-0000-0000-0000263B0000}"/>
    <cellStyle name="Normal 5 4 2 3 4 4" xfId="11359" xr:uid="{00000000-0005-0000-0000-0000273B0000}"/>
    <cellStyle name="Normal 5 4 2 3 4 4 2" xfId="31074" xr:uid="{00000000-0005-0000-0000-0000283B0000}"/>
    <cellStyle name="Normal 5 4 2 3 4 5" xfId="21217" xr:uid="{00000000-0005-0000-0000-0000293B0000}"/>
    <cellStyle name="Normal 5 4 2 3 5" xfId="2727" xr:uid="{00000000-0005-0000-0000-00002A3B0000}"/>
    <cellStyle name="Normal 5 4 2 3 5 2" xfId="7659" xr:uid="{00000000-0005-0000-0000-00002B3B0000}"/>
    <cellStyle name="Normal 5 4 2 3 5 2 2" xfId="17519" xr:uid="{00000000-0005-0000-0000-00002C3B0000}"/>
    <cellStyle name="Normal 5 4 2 3 5 2 2 2" xfId="37234" xr:uid="{00000000-0005-0000-0000-00002D3B0000}"/>
    <cellStyle name="Normal 5 4 2 3 5 2 3" xfId="27377" xr:uid="{00000000-0005-0000-0000-00002E3B0000}"/>
    <cellStyle name="Normal 5 4 2 3 5 3" xfId="12591" xr:uid="{00000000-0005-0000-0000-00002F3B0000}"/>
    <cellStyle name="Normal 5 4 2 3 5 3 2" xfId="32306" xr:uid="{00000000-0005-0000-0000-0000303B0000}"/>
    <cellStyle name="Normal 5 4 2 3 5 4" xfId="22449" xr:uid="{00000000-0005-0000-0000-0000313B0000}"/>
    <cellStyle name="Normal 5 4 2 3 6" xfId="5195" xr:uid="{00000000-0005-0000-0000-0000323B0000}"/>
    <cellStyle name="Normal 5 4 2 3 6 2" xfId="15055" xr:uid="{00000000-0005-0000-0000-0000333B0000}"/>
    <cellStyle name="Normal 5 4 2 3 6 2 2" xfId="34770" xr:uid="{00000000-0005-0000-0000-0000343B0000}"/>
    <cellStyle name="Normal 5 4 2 3 6 3" xfId="24913" xr:uid="{00000000-0005-0000-0000-0000353B0000}"/>
    <cellStyle name="Normal 5 4 2 3 7" xfId="10127" xr:uid="{00000000-0005-0000-0000-0000363B0000}"/>
    <cellStyle name="Normal 5 4 2 3 7 2" xfId="29842" xr:uid="{00000000-0005-0000-0000-0000373B0000}"/>
    <cellStyle name="Normal 5 4 2 3 8" xfId="19985" xr:uid="{00000000-0005-0000-0000-0000383B0000}"/>
    <cellStyle name="Normal 5 4 2 4" xfId="407" xr:uid="{00000000-0005-0000-0000-0000393B0000}"/>
    <cellStyle name="Normal 5 4 2 4 2" xfId="1027" xr:uid="{00000000-0005-0000-0000-00003A3B0000}"/>
    <cellStyle name="Normal 5 4 2 4 2 2" xfId="2262" xr:uid="{00000000-0005-0000-0000-00003B3B0000}"/>
    <cellStyle name="Normal 5 4 2 4 2 2 2" xfId="4729" xr:uid="{00000000-0005-0000-0000-00003C3B0000}"/>
    <cellStyle name="Normal 5 4 2 4 2 2 2 2" xfId="9661" xr:uid="{00000000-0005-0000-0000-00003D3B0000}"/>
    <cellStyle name="Normal 5 4 2 4 2 2 2 2 2" xfId="19521" xr:uid="{00000000-0005-0000-0000-00003E3B0000}"/>
    <cellStyle name="Normal 5 4 2 4 2 2 2 2 2 2" xfId="39236" xr:uid="{00000000-0005-0000-0000-00003F3B0000}"/>
    <cellStyle name="Normal 5 4 2 4 2 2 2 2 3" xfId="29379" xr:uid="{00000000-0005-0000-0000-0000403B0000}"/>
    <cellStyle name="Normal 5 4 2 4 2 2 2 3" xfId="14593" xr:uid="{00000000-0005-0000-0000-0000413B0000}"/>
    <cellStyle name="Normal 5 4 2 4 2 2 2 3 2" xfId="34308" xr:uid="{00000000-0005-0000-0000-0000423B0000}"/>
    <cellStyle name="Normal 5 4 2 4 2 2 2 4" xfId="24451" xr:uid="{00000000-0005-0000-0000-0000433B0000}"/>
    <cellStyle name="Normal 5 4 2 4 2 2 3" xfId="7197" xr:uid="{00000000-0005-0000-0000-0000443B0000}"/>
    <cellStyle name="Normal 5 4 2 4 2 2 3 2" xfId="17057" xr:uid="{00000000-0005-0000-0000-0000453B0000}"/>
    <cellStyle name="Normal 5 4 2 4 2 2 3 2 2" xfId="36772" xr:uid="{00000000-0005-0000-0000-0000463B0000}"/>
    <cellStyle name="Normal 5 4 2 4 2 2 3 3" xfId="26915" xr:uid="{00000000-0005-0000-0000-0000473B0000}"/>
    <cellStyle name="Normal 5 4 2 4 2 2 4" xfId="12129" xr:uid="{00000000-0005-0000-0000-0000483B0000}"/>
    <cellStyle name="Normal 5 4 2 4 2 2 4 2" xfId="31844" xr:uid="{00000000-0005-0000-0000-0000493B0000}"/>
    <cellStyle name="Normal 5 4 2 4 2 2 5" xfId="21987" xr:uid="{00000000-0005-0000-0000-00004A3B0000}"/>
    <cellStyle name="Normal 5 4 2 4 2 3" xfId="3497" xr:uid="{00000000-0005-0000-0000-00004B3B0000}"/>
    <cellStyle name="Normal 5 4 2 4 2 3 2" xfId="8429" xr:uid="{00000000-0005-0000-0000-00004C3B0000}"/>
    <cellStyle name="Normal 5 4 2 4 2 3 2 2" xfId="18289" xr:uid="{00000000-0005-0000-0000-00004D3B0000}"/>
    <cellStyle name="Normal 5 4 2 4 2 3 2 2 2" xfId="38004" xr:uid="{00000000-0005-0000-0000-00004E3B0000}"/>
    <cellStyle name="Normal 5 4 2 4 2 3 2 3" xfId="28147" xr:uid="{00000000-0005-0000-0000-00004F3B0000}"/>
    <cellStyle name="Normal 5 4 2 4 2 3 3" xfId="13361" xr:uid="{00000000-0005-0000-0000-0000503B0000}"/>
    <cellStyle name="Normal 5 4 2 4 2 3 3 2" xfId="33076" xr:uid="{00000000-0005-0000-0000-0000513B0000}"/>
    <cellStyle name="Normal 5 4 2 4 2 3 4" xfId="23219" xr:uid="{00000000-0005-0000-0000-0000523B0000}"/>
    <cellStyle name="Normal 5 4 2 4 2 4" xfId="5965" xr:uid="{00000000-0005-0000-0000-0000533B0000}"/>
    <cellStyle name="Normal 5 4 2 4 2 4 2" xfId="15825" xr:uid="{00000000-0005-0000-0000-0000543B0000}"/>
    <cellStyle name="Normal 5 4 2 4 2 4 2 2" xfId="35540" xr:uid="{00000000-0005-0000-0000-0000553B0000}"/>
    <cellStyle name="Normal 5 4 2 4 2 4 3" xfId="25683" xr:uid="{00000000-0005-0000-0000-0000563B0000}"/>
    <cellStyle name="Normal 5 4 2 4 2 5" xfId="10897" xr:uid="{00000000-0005-0000-0000-0000573B0000}"/>
    <cellStyle name="Normal 5 4 2 4 2 5 2" xfId="30612" xr:uid="{00000000-0005-0000-0000-0000583B0000}"/>
    <cellStyle name="Normal 5 4 2 4 2 6" xfId="20755" xr:uid="{00000000-0005-0000-0000-0000593B0000}"/>
    <cellStyle name="Normal 5 4 2 4 3" xfId="1646" xr:uid="{00000000-0005-0000-0000-00005A3B0000}"/>
    <cellStyle name="Normal 5 4 2 4 3 2" xfId="4113" xr:uid="{00000000-0005-0000-0000-00005B3B0000}"/>
    <cellStyle name="Normal 5 4 2 4 3 2 2" xfId="9045" xr:uid="{00000000-0005-0000-0000-00005C3B0000}"/>
    <cellStyle name="Normal 5 4 2 4 3 2 2 2" xfId="18905" xr:uid="{00000000-0005-0000-0000-00005D3B0000}"/>
    <cellStyle name="Normal 5 4 2 4 3 2 2 2 2" xfId="38620" xr:uid="{00000000-0005-0000-0000-00005E3B0000}"/>
    <cellStyle name="Normal 5 4 2 4 3 2 2 3" xfId="28763" xr:uid="{00000000-0005-0000-0000-00005F3B0000}"/>
    <cellStyle name="Normal 5 4 2 4 3 2 3" xfId="13977" xr:uid="{00000000-0005-0000-0000-0000603B0000}"/>
    <cellStyle name="Normal 5 4 2 4 3 2 3 2" xfId="33692" xr:uid="{00000000-0005-0000-0000-0000613B0000}"/>
    <cellStyle name="Normal 5 4 2 4 3 2 4" xfId="23835" xr:uid="{00000000-0005-0000-0000-0000623B0000}"/>
    <cellStyle name="Normal 5 4 2 4 3 3" xfId="6581" xr:uid="{00000000-0005-0000-0000-0000633B0000}"/>
    <cellStyle name="Normal 5 4 2 4 3 3 2" xfId="16441" xr:uid="{00000000-0005-0000-0000-0000643B0000}"/>
    <cellStyle name="Normal 5 4 2 4 3 3 2 2" xfId="36156" xr:uid="{00000000-0005-0000-0000-0000653B0000}"/>
    <cellStyle name="Normal 5 4 2 4 3 3 3" xfId="26299" xr:uid="{00000000-0005-0000-0000-0000663B0000}"/>
    <cellStyle name="Normal 5 4 2 4 3 4" xfId="11513" xr:uid="{00000000-0005-0000-0000-0000673B0000}"/>
    <cellStyle name="Normal 5 4 2 4 3 4 2" xfId="31228" xr:uid="{00000000-0005-0000-0000-0000683B0000}"/>
    <cellStyle name="Normal 5 4 2 4 3 5" xfId="21371" xr:uid="{00000000-0005-0000-0000-0000693B0000}"/>
    <cellStyle name="Normal 5 4 2 4 4" xfId="2881" xr:uid="{00000000-0005-0000-0000-00006A3B0000}"/>
    <cellStyle name="Normal 5 4 2 4 4 2" xfId="7813" xr:uid="{00000000-0005-0000-0000-00006B3B0000}"/>
    <cellStyle name="Normal 5 4 2 4 4 2 2" xfId="17673" xr:uid="{00000000-0005-0000-0000-00006C3B0000}"/>
    <cellStyle name="Normal 5 4 2 4 4 2 2 2" xfId="37388" xr:uid="{00000000-0005-0000-0000-00006D3B0000}"/>
    <cellStyle name="Normal 5 4 2 4 4 2 3" xfId="27531" xr:uid="{00000000-0005-0000-0000-00006E3B0000}"/>
    <cellStyle name="Normal 5 4 2 4 4 3" xfId="12745" xr:uid="{00000000-0005-0000-0000-00006F3B0000}"/>
    <cellStyle name="Normal 5 4 2 4 4 3 2" xfId="32460" xr:uid="{00000000-0005-0000-0000-0000703B0000}"/>
    <cellStyle name="Normal 5 4 2 4 4 4" xfId="22603" xr:uid="{00000000-0005-0000-0000-0000713B0000}"/>
    <cellStyle name="Normal 5 4 2 4 5" xfId="5349" xr:uid="{00000000-0005-0000-0000-0000723B0000}"/>
    <cellStyle name="Normal 5 4 2 4 5 2" xfId="15209" xr:uid="{00000000-0005-0000-0000-0000733B0000}"/>
    <cellStyle name="Normal 5 4 2 4 5 2 2" xfId="34924" xr:uid="{00000000-0005-0000-0000-0000743B0000}"/>
    <cellStyle name="Normal 5 4 2 4 5 3" xfId="25067" xr:uid="{00000000-0005-0000-0000-0000753B0000}"/>
    <cellStyle name="Normal 5 4 2 4 6" xfId="10281" xr:uid="{00000000-0005-0000-0000-0000763B0000}"/>
    <cellStyle name="Normal 5 4 2 4 6 2" xfId="29996" xr:uid="{00000000-0005-0000-0000-0000773B0000}"/>
    <cellStyle name="Normal 5 4 2 4 7" xfId="20139" xr:uid="{00000000-0005-0000-0000-0000783B0000}"/>
    <cellStyle name="Normal 5 4 2 5" xfId="720" xr:uid="{00000000-0005-0000-0000-0000793B0000}"/>
    <cellStyle name="Normal 5 4 2 5 2" xfId="1956" xr:uid="{00000000-0005-0000-0000-00007A3B0000}"/>
    <cellStyle name="Normal 5 4 2 5 2 2" xfId="4423" xr:uid="{00000000-0005-0000-0000-00007B3B0000}"/>
    <cellStyle name="Normal 5 4 2 5 2 2 2" xfId="9355" xr:uid="{00000000-0005-0000-0000-00007C3B0000}"/>
    <cellStyle name="Normal 5 4 2 5 2 2 2 2" xfId="19215" xr:uid="{00000000-0005-0000-0000-00007D3B0000}"/>
    <cellStyle name="Normal 5 4 2 5 2 2 2 2 2" xfId="38930" xr:uid="{00000000-0005-0000-0000-00007E3B0000}"/>
    <cellStyle name="Normal 5 4 2 5 2 2 2 3" xfId="29073" xr:uid="{00000000-0005-0000-0000-00007F3B0000}"/>
    <cellStyle name="Normal 5 4 2 5 2 2 3" xfId="14287" xr:uid="{00000000-0005-0000-0000-0000803B0000}"/>
    <cellStyle name="Normal 5 4 2 5 2 2 3 2" xfId="34002" xr:uid="{00000000-0005-0000-0000-0000813B0000}"/>
    <cellStyle name="Normal 5 4 2 5 2 2 4" xfId="24145" xr:uid="{00000000-0005-0000-0000-0000823B0000}"/>
    <cellStyle name="Normal 5 4 2 5 2 3" xfId="6891" xr:uid="{00000000-0005-0000-0000-0000833B0000}"/>
    <cellStyle name="Normal 5 4 2 5 2 3 2" xfId="16751" xr:uid="{00000000-0005-0000-0000-0000843B0000}"/>
    <cellStyle name="Normal 5 4 2 5 2 3 2 2" xfId="36466" xr:uid="{00000000-0005-0000-0000-0000853B0000}"/>
    <cellStyle name="Normal 5 4 2 5 2 3 3" xfId="26609" xr:uid="{00000000-0005-0000-0000-0000863B0000}"/>
    <cellStyle name="Normal 5 4 2 5 2 4" xfId="11823" xr:uid="{00000000-0005-0000-0000-0000873B0000}"/>
    <cellStyle name="Normal 5 4 2 5 2 4 2" xfId="31538" xr:uid="{00000000-0005-0000-0000-0000883B0000}"/>
    <cellStyle name="Normal 5 4 2 5 2 5" xfId="21681" xr:uid="{00000000-0005-0000-0000-0000893B0000}"/>
    <cellStyle name="Normal 5 4 2 5 3" xfId="3191" xr:uid="{00000000-0005-0000-0000-00008A3B0000}"/>
    <cellStyle name="Normal 5 4 2 5 3 2" xfId="8123" xr:uid="{00000000-0005-0000-0000-00008B3B0000}"/>
    <cellStyle name="Normal 5 4 2 5 3 2 2" xfId="17983" xr:uid="{00000000-0005-0000-0000-00008C3B0000}"/>
    <cellStyle name="Normal 5 4 2 5 3 2 2 2" xfId="37698" xr:uid="{00000000-0005-0000-0000-00008D3B0000}"/>
    <cellStyle name="Normal 5 4 2 5 3 2 3" xfId="27841" xr:uid="{00000000-0005-0000-0000-00008E3B0000}"/>
    <cellStyle name="Normal 5 4 2 5 3 3" xfId="13055" xr:uid="{00000000-0005-0000-0000-00008F3B0000}"/>
    <cellStyle name="Normal 5 4 2 5 3 3 2" xfId="32770" xr:uid="{00000000-0005-0000-0000-0000903B0000}"/>
    <cellStyle name="Normal 5 4 2 5 3 4" xfId="22913" xr:uid="{00000000-0005-0000-0000-0000913B0000}"/>
    <cellStyle name="Normal 5 4 2 5 4" xfId="5659" xr:uid="{00000000-0005-0000-0000-0000923B0000}"/>
    <cellStyle name="Normal 5 4 2 5 4 2" xfId="15519" xr:uid="{00000000-0005-0000-0000-0000933B0000}"/>
    <cellStyle name="Normal 5 4 2 5 4 2 2" xfId="35234" xr:uid="{00000000-0005-0000-0000-0000943B0000}"/>
    <cellStyle name="Normal 5 4 2 5 4 3" xfId="25377" xr:uid="{00000000-0005-0000-0000-0000953B0000}"/>
    <cellStyle name="Normal 5 4 2 5 5" xfId="10591" xr:uid="{00000000-0005-0000-0000-0000963B0000}"/>
    <cellStyle name="Normal 5 4 2 5 5 2" xfId="30306" xr:uid="{00000000-0005-0000-0000-0000973B0000}"/>
    <cellStyle name="Normal 5 4 2 5 6" xfId="20449" xr:uid="{00000000-0005-0000-0000-0000983B0000}"/>
    <cellStyle name="Normal 5 4 2 6" xfId="1340" xr:uid="{00000000-0005-0000-0000-0000993B0000}"/>
    <cellStyle name="Normal 5 4 2 6 2" xfId="3807" xr:uid="{00000000-0005-0000-0000-00009A3B0000}"/>
    <cellStyle name="Normal 5 4 2 6 2 2" xfId="8739" xr:uid="{00000000-0005-0000-0000-00009B3B0000}"/>
    <cellStyle name="Normal 5 4 2 6 2 2 2" xfId="18599" xr:uid="{00000000-0005-0000-0000-00009C3B0000}"/>
    <cellStyle name="Normal 5 4 2 6 2 2 2 2" xfId="38314" xr:uid="{00000000-0005-0000-0000-00009D3B0000}"/>
    <cellStyle name="Normal 5 4 2 6 2 2 3" xfId="28457" xr:uid="{00000000-0005-0000-0000-00009E3B0000}"/>
    <cellStyle name="Normal 5 4 2 6 2 3" xfId="13671" xr:uid="{00000000-0005-0000-0000-00009F3B0000}"/>
    <cellStyle name="Normal 5 4 2 6 2 3 2" xfId="33386" xr:uid="{00000000-0005-0000-0000-0000A03B0000}"/>
    <cellStyle name="Normal 5 4 2 6 2 4" xfId="23529" xr:uid="{00000000-0005-0000-0000-0000A13B0000}"/>
    <cellStyle name="Normal 5 4 2 6 3" xfId="6275" xr:uid="{00000000-0005-0000-0000-0000A23B0000}"/>
    <cellStyle name="Normal 5 4 2 6 3 2" xfId="16135" xr:uid="{00000000-0005-0000-0000-0000A33B0000}"/>
    <cellStyle name="Normal 5 4 2 6 3 2 2" xfId="35850" xr:uid="{00000000-0005-0000-0000-0000A43B0000}"/>
    <cellStyle name="Normal 5 4 2 6 3 3" xfId="25993" xr:uid="{00000000-0005-0000-0000-0000A53B0000}"/>
    <cellStyle name="Normal 5 4 2 6 4" xfId="11207" xr:uid="{00000000-0005-0000-0000-0000A63B0000}"/>
    <cellStyle name="Normal 5 4 2 6 4 2" xfId="30922" xr:uid="{00000000-0005-0000-0000-0000A73B0000}"/>
    <cellStyle name="Normal 5 4 2 6 5" xfId="21065" xr:uid="{00000000-0005-0000-0000-0000A83B0000}"/>
    <cellStyle name="Normal 5 4 2 7" xfId="2575" xr:uid="{00000000-0005-0000-0000-0000A93B0000}"/>
    <cellStyle name="Normal 5 4 2 7 2" xfId="7507" xr:uid="{00000000-0005-0000-0000-0000AA3B0000}"/>
    <cellStyle name="Normal 5 4 2 7 2 2" xfId="17367" xr:uid="{00000000-0005-0000-0000-0000AB3B0000}"/>
    <cellStyle name="Normal 5 4 2 7 2 2 2" xfId="37082" xr:uid="{00000000-0005-0000-0000-0000AC3B0000}"/>
    <cellStyle name="Normal 5 4 2 7 2 3" xfId="27225" xr:uid="{00000000-0005-0000-0000-0000AD3B0000}"/>
    <cellStyle name="Normal 5 4 2 7 3" xfId="12439" xr:uid="{00000000-0005-0000-0000-0000AE3B0000}"/>
    <cellStyle name="Normal 5 4 2 7 3 2" xfId="32154" xr:uid="{00000000-0005-0000-0000-0000AF3B0000}"/>
    <cellStyle name="Normal 5 4 2 7 4" xfId="22297" xr:uid="{00000000-0005-0000-0000-0000B03B0000}"/>
    <cellStyle name="Normal 5 4 2 8" xfId="5043" xr:uid="{00000000-0005-0000-0000-0000B13B0000}"/>
    <cellStyle name="Normal 5 4 2 8 2" xfId="14903" xr:uid="{00000000-0005-0000-0000-0000B23B0000}"/>
    <cellStyle name="Normal 5 4 2 8 2 2" xfId="34618" xr:uid="{00000000-0005-0000-0000-0000B33B0000}"/>
    <cellStyle name="Normal 5 4 2 8 3" xfId="24761" xr:uid="{00000000-0005-0000-0000-0000B43B0000}"/>
    <cellStyle name="Normal 5 4 2 9" xfId="9975" xr:uid="{00000000-0005-0000-0000-0000B53B0000}"/>
    <cellStyle name="Normal 5 4 2 9 2" xfId="29690" xr:uid="{00000000-0005-0000-0000-0000B63B0000}"/>
    <cellStyle name="Normal 5 4 3" xfId="126" xr:uid="{00000000-0005-0000-0000-0000B73B0000}"/>
    <cellStyle name="Normal 5 4 3 2" xfId="283" xr:uid="{00000000-0005-0000-0000-0000B83B0000}"/>
    <cellStyle name="Normal 5 4 3 2 2" xfId="597" xr:uid="{00000000-0005-0000-0000-0000B93B0000}"/>
    <cellStyle name="Normal 5 4 3 2 2 2" xfId="1217" xr:uid="{00000000-0005-0000-0000-0000BA3B0000}"/>
    <cellStyle name="Normal 5 4 3 2 2 2 2" xfId="2452" xr:uid="{00000000-0005-0000-0000-0000BB3B0000}"/>
    <cellStyle name="Normal 5 4 3 2 2 2 2 2" xfId="4919" xr:uid="{00000000-0005-0000-0000-0000BC3B0000}"/>
    <cellStyle name="Normal 5 4 3 2 2 2 2 2 2" xfId="9851" xr:uid="{00000000-0005-0000-0000-0000BD3B0000}"/>
    <cellStyle name="Normal 5 4 3 2 2 2 2 2 2 2" xfId="19711" xr:uid="{00000000-0005-0000-0000-0000BE3B0000}"/>
    <cellStyle name="Normal 5 4 3 2 2 2 2 2 2 2 2" xfId="39426" xr:uid="{00000000-0005-0000-0000-0000BF3B0000}"/>
    <cellStyle name="Normal 5 4 3 2 2 2 2 2 2 3" xfId="29569" xr:uid="{00000000-0005-0000-0000-0000C03B0000}"/>
    <cellStyle name="Normal 5 4 3 2 2 2 2 2 3" xfId="14783" xr:uid="{00000000-0005-0000-0000-0000C13B0000}"/>
    <cellStyle name="Normal 5 4 3 2 2 2 2 2 3 2" xfId="34498" xr:uid="{00000000-0005-0000-0000-0000C23B0000}"/>
    <cellStyle name="Normal 5 4 3 2 2 2 2 2 4" xfId="24641" xr:uid="{00000000-0005-0000-0000-0000C33B0000}"/>
    <cellStyle name="Normal 5 4 3 2 2 2 2 3" xfId="7387" xr:uid="{00000000-0005-0000-0000-0000C43B0000}"/>
    <cellStyle name="Normal 5 4 3 2 2 2 2 3 2" xfId="17247" xr:uid="{00000000-0005-0000-0000-0000C53B0000}"/>
    <cellStyle name="Normal 5 4 3 2 2 2 2 3 2 2" xfId="36962" xr:uid="{00000000-0005-0000-0000-0000C63B0000}"/>
    <cellStyle name="Normal 5 4 3 2 2 2 2 3 3" xfId="27105" xr:uid="{00000000-0005-0000-0000-0000C73B0000}"/>
    <cellStyle name="Normal 5 4 3 2 2 2 2 4" xfId="12319" xr:uid="{00000000-0005-0000-0000-0000C83B0000}"/>
    <cellStyle name="Normal 5 4 3 2 2 2 2 4 2" xfId="32034" xr:uid="{00000000-0005-0000-0000-0000C93B0000}"/>
    <cellStyle name="Normal 5 4 3 2 2 2 2 5" xfId="22177" xr:uid="{00000000-0005-0000-0000-0000CA3B0000}"/>
    <cellStyle name="Normal 5 4 3 2 2 2 3" xfId="3687" xr:uid="{00000000-0005-0000-0000-0000CB3B0000}"/>
    <cellStyle name="Normal 5 4 3 2 2 2 3 2" xfId="8619" xr:uid="{00000000-0005-0000-0000-0000CC3B0000}"/>
    <cellStyle name="Normal 5 4 3 2 2 2 3 2 2" xfId="18479" xr:uid="{00000000-0005-0000-0000-0000CD3B0000}"/>
    <cellStyle name="Normal 5 4 3 2 2 2 3 2 2 2" xfId="38194" xr:uid="{00000000-0005-0000-0000-0000CE3B0000}"/>
    <cellStyle name="Normal 5 4 3 2 2 2 3 2 3" xfId="28337" xr:uid="{00000000-0005-0000-0000-0000CF3B0000}"/>
    <cellStyle name="Normal 5 4 3 2 2 2 3 3" xfId="13551" xr:uid="{00000000-0005-0000-0000-0000D03B0000}"/>
    <cellStyle name="Normal 5 4 3 2 2 2 3 3 2" xfId="33266" xr:uid="{00000000-0005-0000-0000-0000D13B0000}"/>
    <cellStyle name="Normal 5 4 3 2 2 2 3 4" xfId="23409" xr:uid="{00000000-0005-0000-0000-0000D23B0000}"/>
    <cellStyle name="Normal 5 4 3 2 2 2 4" xfId="6155" xr:uid="{00000000-0005-0000-0000-0000D33B0000}"/>
    <cellStyle name="Normal 5 4 3 2 2 2 4 2" xfId="16015" xr:uid="{00000000-0005-0000-0000-0000D43B0000}"/>
    <cellStyle name="Normal 5 4 3 2 2 2 4 2 2" xfId="35730" xr:uid="{00000000-0005-0000-0000-0000D53B0000}"/>
    <cellStyle name="Normal 5 4 3 2 2 2 4 3" xfId="25873" xr:uid="{00000000-0005-0000-0000-0000D63B0000}"/>
    <cellStyle name="Normal 5 4 3 2 2 2 5" xfId="11087" xr:uid="{00000000-0005-0000-0000-0000D73B0000}"/>
    <cellStyle name="Normal 5 4 3 2 2 2 5 2" xfId="30802" xr:uid="{00000000-0005-0000-0000-0000D83B0000}"/>
    <cellStyle name="Normal 5 4 3 2 2 2 6" xfId="20945" xr:uid="{00000000-0005-0000-0000-0000D93B0000}"/>
    <cellStyle name="Normal 5 4 3 2 2 3" xfId="1836" xr:uid="{00000000-0005-0000-0000-0000DA3B0000}"/>
    <cellStyle name="Normal 5 4 3 2 2 3 2" xfId="4303" xr:uid="{00000000-0005-0000-0000-0000DB3B0000}"/>
    <cellStyle name="Normal 5 4 3 2 2 3 2 2" xfId="9235" xr:uid="{00000000-0005-0000-0000-0000DC3B0000}"/>
    <cellStyle name="Normal 5 4 3 2 2 3 2 2 2" xfId="19095" xr:uid="{00000000-0005-0000-0000-0000DD3B0000}"/>
    <cellStyle name="Normal 5 4 3 2 2 3 2 2 2 2" xfId="38810" xr:uid="{00000000-0005-0000-0000-0000DE3B0000}"/>
    <cellStyle name="Normal 5 4 3 2 2 3 2 2 3" xfId="28953" xr:uid="{00000000-0005-0000-0000-0000DF3B0000}"/>
    <cellStyle name="Normal 5 4 3 2 2 3 2 3" xfId="14167" xr:uid="{00000000-0005-0000-0000-0000E03B0000}"/>
    <cellStyle name="Normal 5 4 3 2 2 3 2 3 2" xfId="33882" xr:uid="{00000000-0005-0000-0000-0000E13B0000}"/>
    <cellStyle name="Normal 5 4 3 2 2 3 2 4" xfId="24025" xr:uid="{00000000-0005-0000-0000-0000E23B0000}"/>
    <cellStyle name="Normal 5 4 3 2 2 3 3" xfId="6771" xr:uid="{00000000-0005-0000-0000-0000E33B0000}"/>
    <cellStyle name="Normal 5 4 3 2 2 3 3 2" xfId="16631" xr:uid="{00000000-0005-0000-0000-0000E43B0000}"/>
    <cellStyle name="Normal 5 4 3 2 2 3 3 2 2" xfId="36346" xr:uid="{00000000-0005-0000-0000-0000E53B0000}"/>
    <cellStyle name="Normal 5 4 3 2 2 3 3 3" xfId="26489" xr:uid="{00000000-0005-0000-0000-0000E63B0000}"/>
    <cellStyle name="Normal 5 4 3 2 2 3 4" xfId="11703" xr:uid="{00000000-0005-0000-0000-0000E73B0000}"/>
    <cellStyle name="Normal 5 4 3 2 2 3 4 2" xfId="31418" xr:uid="{00000000-0005-0000-0000-0000E83B0000}"/>
    <cellStyle name="Normal 5 4 3 2 2 3 5" xfId="21561" xr:uid="{00000000-0005-0000-0000-0000E93B0000}"/>
    <cellStyle name="Normal 5 4 3 2 2 4" xfId="3071" xr:uid="{00000000-0005-0000-0000-0000EA3B0000}"/>
    <cellStyle name="Normal 5 4 3 2 2 4 2" xfId="8003" xr:uid="{00000000-0005-0000-0000-0000EB3B0000}"/>
    <cellStyle name="Normal 5 4 3 2 2 4 2 2" xfId="17863" xr:uid="{00000000-0005-0000-0000-0000EC3B0000}"/>
    <cellStyle name="Normal 5 4 3 2 2 4 2 2 2" xfId="37578" xr:uid="{00000000-0005-0000-0000-0000ED3B0000}"/>
    <cellStyle name="Normal 5 4 3 2 2 4 2 3" xfId="27721" xr:uid="{00000000-0005-0000-0000-0000EE3B0000}"/>
    <cellStyle name="Normal 5 4 3 2 2 4 3" xfId="12935" xr:uid="{00000000-0005-0000-0000-0000EF3B0000}"/>
    <cellStyle name="Normal 5 4 3 2 2 4 3 2" xfId="32650" xr:uid="{00000000-0005-0000-0000-0000F03B0000}"/>
    <cellStyle name="Normal 5 4 3 2 2 4 4" xfId="22793" xr:uid="{00000000-0005-0000-0000-0000F13B0000}"/>
    <cellStyle name="Normal 5 4 3 2 2 5" xfId="5539" xr:uid="{00000000-0005-0000-0000-0000F23B0000}"/>
    <cellStyle name="Normal 5 4 3 2 2 5 2" xfId="15399" xr:uid="{00000000-0005-0000-0000-0000F33B0000}"/>
    <cellStyle name="Normal 5 4 3 2 2 5 2 2" xfId="35114" xr:uid="{00000000-0005-0000-0000-0000F43B0000}"/>
    <cellStyle name="Normal 5 4 3 2 2 5 3" xfId="25257" xr:uid="{00000000-0005-0000-0000-0000F53B0000}"/>
    <cellStyle name="Normal 5 4 3 2 2 6" xfId="10471" xr:uid="{00000000-0005-0000-0000-0000F63B0000}"/>
    <cellStyle name="Normal 5 4 3 2 2 6 2" xfId="30186" xr:uid="{00000000-0005-0000-0000-0000F73B0000}"/>
    <cellStyle name="Normal 5 4 3 2 2 7" xfId="20329" xr:uid="{00000000-0005-0000-0000-0000F83B0000}"/>
    <cellStyle name="Normal 5 4 3 2 3" xfId="910" xr:uid="{00000000-0005-0000-0000-0000F93B0000}"/>
    <cellStyle name="Normal 5 4 3 2 3 2" xfId="2146" xr:uid="{00000000-0005-0000-0000-0000FA3B0000}"/>
    <cellStyle name="Normal 5 4 3 2 3 2 2" xfId="4613" xr:uid="{00000000-0005-0000-0000-0000FB3B0000}"/>
    <cellStyle name="Normal 5 4 3 2 3 2 2 2" xfId="9545" xr:uid="{00000000-0005-0000-0000-0000FC3B0000}"/>
    <cellStyle name="Normal 5 4 3 2 3 2 2 2 2" xfId="19405" xr:uid="{00000000-0005-0000-0000-0000FD3B0000}"/>
    <cellStyle name="Normal 5 4 3 2 3 2 2 2 2 2" xfId="39120" xr:uid="{00000000-0005-0000-0000-0000FE3B0000}"/>
    <cellStyle name="Normal 5 4 3 2 3 2 2 2 3" xfId="29263" xr:uid="{00000000-0005-0000-0000-0000FF3B0000}"/>
    <cellStyle name="Normal 5 4 3 2 3 2 2 3" xfId="14477" xr:uid="{00000000-0005-0000-0000-0000003C0000}"/>
    <cellStyle name="Normal 5 4 3 2 3 2 2 3 2" xfId="34192" xr:uid="{00000000-0005-0000-0000-0000013C0000}"/>
    <cellStyle name="Normal 5 4 3 2 3 2 2 4" xfId="24335" xr:uid="{00000000-0005-0000-0000-0000023C0000}"/>
    <cellStyle name="Normal 5 4 3 2 3 2 3" xfId="7081" xr:uid="{00000000-0005-0000-0000-0000033C0000}"/>
    <cellStyle name="Normal 5 4 3 2 3 2 3 2" xfId="16941" xr:uid="{00000000-0005-0000-0000-0000043C0000}"/>
    <cellStyle name="Normal 5 4 3 2 3 2 3 2 2" xfId="36656" xr:uid="{00000000-0005-0000-0000-0000053C0000}"/>
    <cellStyle name="Normal 5 4 3 2 3 2 3 3" xfId="26799" xr:uid="{00000000-0005-0000-0000-0000063C0000}"/>
    <cellStyle name="Normal 5 4 3 2 3 2 4" xfId="12013" xr:uid="{00000000-0005-0000-0000-0000073C0000}"/>
    <cellStyle name="Normal 5 4 3 2 3 2 4 2" xfId="31728" xr:uid="{00000000-0005-0000-0000-0000083C0000}"/>
    <cellStyle name="Normal 5 4 3 2 3 2 5" xfId="21871" xr:uid="{00000000-0005-0000-0000-0000093C0000}"/>
    <cellStyle name="Normal 5 4 3 2 3 3" xfId="3381" xr:uid="{00000000-0005-0000-0000-00000A3C0000}"/>
    <cellStyle name="Normal 5 4 3 2 3 3 2" xfId="8313" xr:uid="{00000000-0005-0000-0000-00000B3C0000}"/>
    <cellStyle name="Normal 5 4 3 2 3 3 2 2" xfId="18173" xr:uid="{00000000-0005-0000-0000-00000C3C0000}"/>
    <cellStyle name="Normal 5 4 3 2 3 3 2 2 2" xfId="37888" xr:uid="{00000000-0005-0000-0000-00000D3C0000}"/>
    <cellStyle name="Normal 5 4 3 2 3 3 2 3" xfId="28031" xr:uid="{00000000-0005-0000-0000-00000E3C0000}"/>
    <cellStyle name="Normal 5 4 3 2 3 3 3" xfId="13245" xr:uid="{00000000-0005-0000-0000-00000F3C0000}"/>
    <cellStyle name="Normal 5 4 3 2 3 3 3 2" xfId="32960" xr:uid="{00000000-0005-0000-0000-0000103C0000}"/>
    <cellStyle name="Normal 5 4 3 2 3 3 4" xfId="23103" xr:uid="{00000000-0005-0000-0000-0000113C0000}"/>
    <cellStyle name="Normal 5 4 3 2 3 4" xfId="5849" xr:uid="{00000000-0005-0000-0000-0000123C0000}"/>
    <cellStyle name="Normal 5 4 3 2 3 4 2" xfId="15709" xr:uid="{00000000-0005-0000-0000-0000133C0000}"/>
    <cellStyle name="Normal 5 4 3 2 3 4 2 2" xfId="35424" xr:uid="{00000000-0005-0000-0000-0000143C0000}"/>
    <cellStyle name="Normal 5 4 3 2 3 4 3" xfId="25567" xr:uid="{00000000-0005-0000-0000-0000153C0000}"/>
    <cellStyle name="Normal 5 4 3 2 3 5" xfId="10781" xr:uid="{00000000-0005-0000-0000-0000163C0000}"/>
    <cellStyle name="Normal 5 4 3 2 3 5 2" xfId="30496" xr:uid="{00000000-0005-0000-0000-0000173C0000}"/>
    <cellStyle name="Normal 5 4 3 2 3 6" xfId="20639" xr:uid="{00000000-0005-0000-0000-0000183C0000}"/>
    <cellStyle name="Normal 5 4 3 2 4" xfId="1530" xr:uid="{00000000-0005-0000-0000-0000193C0000}"/>
    <cellStyle name="Normal 5 4 3 2 4 2" xfId="3997" xr:uid="{00000000-0005-0000-0000-00001A3C0000}"/>
    <cellStyle name="Normal 5 4 3 2 4 2 2" xfId="8929" xr:uid="{00000000-0005-0000-0000-00001B3C0000}"/>
    <cellStyle name="Normal 5 4 3 2 4 2 2 2" xfId="18789" xr:uid="{00000000-0005-0000-0000-00001C3C0000}"/>
    <cellStyle name="Normal 5 4 3 2 4 2 2 2 2" xfId="38504" xr:uid="{00000000-0005-0000-0000-00001D3C0000}"/>
    <cellStyle name="Normal 5 4 3 2 4 2 2 3" xfId="28647" xr:uid="{00000000-0005-0000-0000-00001E3C0000}"/>
    <cellStyle name="Normal 5 4 3 2 4 2 3" xfId="13861" xr:uid="{00000000-0005-0000-0000-00001F3C0000}"/>
    <cellStyle name="Normal 5 4 3 2 4 2 3 2" xfId="33576" xr:uid="{00000000-0005-0000-0000-0000203C0000}"/>
    <cellStyle name="Normal 5 4 3 2 4 2 4" xfId="23719" xr:uid="{00000000-0005-0000-0000-0000213C0000}"/>
    <cellStyle name="Normal 5 4 3 2 4 3" xfId="6465" xr:uid="{00000000-0005-0000-0000-0000223C0000}"/>
    <cellStyle name="Normal 5 4 3 2 4 3 2" xfId="16325" xr:uid="{00000000-0005-0000-0000-0000233C0000}"/>
    <cellStyle name="Normal 5 4 3 2 4 3 2 2" xfId="36040" xr:uid="{00000000-0005-0000-0000-0000243C0000}"/>
    <cellStyle name="Normal 5 4 3 2 4 3 3" xfId="26183" xr:uid="{00000000-0005-0000-0000-0000253C0000}"/>
    <cellStyle name="Normal 5 4 3 2 4 4" xfId="11397" xr:uid="{00000000-0005-0000-0000-0000263C0000}"/>
    <cellStyle name="Normal 5 4 3 2 4 4 2" xfId="31112" xr:uid="{00000000-0005-0000-0000-0000273C0000}"/>
    <cellStyle name="Normal 5 4 3 2 4 5" xfId="21255" xr:uid="{00000000-0005-0000-0000-0000283C0000}"/>
    <cellStyle name="Normal 5 4 3 2 5" xfId="2765" xr:uid="{00000000-0005-0000-0000-0000293C0000}"/>
    <cellStyle name="Normal 5 4 3 2 5 2" xfId="7697" xr:uid="{00000000-0005-0000-0000-00002A3C0000}"/>
    <cellStyle name="Normal 5 4 3 2 5 2 2" xfId="17557" xr:uid="{00000000-0005-0000-0000-00002B3C0000}"/>
    <cellStyle name="Normal 5 4 3 2 5 2 2 2" xfId="37272" xr:uid="{00000000-0005-0000-0000-00002C3C0000}"/>
    <cellStyle name="Normal 5 4 3 2 5 2 3" xfId="27415" xr:uid="{00000000-0005-0000-0000-00002D3C0000}"/>
    <cellStyle name="Normal 5 4 3 2 5 3" xfId="12629" xr:uid="{00000000-0005-0000-0000-00002E3C0000}"/>
    <cellStyle name="Normal 5 4 3 2 5 3 2" xfId="32344" xr:uid="{00000000-0005-0000-0000-00002F3C0000}"/>
    <cellStyle name="Normal 5 4 3 2 5 4" xfId="22487" xr:uid="{00000000-0005-0000-0000-0000303C0000}"/>
    <cellStyle name="Normal 5 4 3 2 6" xfId="5233" xr:uid="{00000000-0005-0000-0000-0000313C0000}"/>
    <cellStyle name="Normal 5 4 3 2 6 2" xfId="15093" xr:uid="{00000000-0005-0000-0000-0000323C0000}"/>
    <cellStyle name="Normal 5 4 3 2 6 2 2" xfId="34808" xr:uid="{00000000-0005-0000-0000-0000333C0000}"/>
    <cellStyle name="Normal 5 4 3 2 6 3" xfId="24951" xr:uid="{00000000-0005-0000-0000-0000343C0000}"/>
    <cellStyle name="Normal 5 4 3 2 7" xfId="10165" xr:uid="{00000000-0005-0000-0000-0000353C0000}"/>
    <cellStyle name="Normal 5 4 3 2 7 2" xfId="29880" xr:uid="{00000000-0005-0000-0000-0000363C0000}"/>
    <cellStyle name="Normal 5 4 3 2 8" xfId="20023" xr:uid="{00000000-0005-0000-0000-0000373C0000}"/>
    <cellStyle name="Normal 5 4 3 3" xfId="445" xr:uid="{00000000-0005-0000-0000-0000383C0000}"/>
    <cellStyle name="Normal 5 4 3 3 2" xfId="1065" xr:uid="{00000000-0005-0000-0000-0000393C0000}"/>
    <cellStyle name="Normal 5 4 3 3 2 2" xfId="2300" xr:uid="{00000000-0005-0000-0000-00003A3C0000}"/>
    <cellStyle name="Normal 5 4 3 3 2 2 2" xfId="4767" xr:uid="{00000000-0005-0000-0000-00003B3C0000}"/>
    <cellStyle name="Normal 5 4 3 3 2 2 2 2" xfId="9699" xr:uid="{00000000-0005-0000-0000-00003C3C0000}"/>
    <cellStyle name="Normal 5 4 3 3 2 2 2 2 2" xfId="19559" xr:uid="{00000000-0005-0000-0000-00003D3C0000}"/>
    <cellStyle name="Normal 5 4 3 3 2 2 2 2 2 2" xfId="39274" xr:uid="{00000000-0005-0000-0000-00003E3C0000}"/>
    <cellStyle name="Normal 5 4 3 3 2 2 2 2 3" xfId="29417" xr:uid="{00000000-0005-0000-0000-00003F3C0000}"/>
    <cellStyle name="Normal 5 4 3 3 2 2 2 3" xfId="14631" xr:uid="{00000000-0005-0000-0000-0000403C0000}"/>
    <cellStyle name="Normal 5 4 3 3 2 2 2 3 2" xfId="34346" xr:uid="{00000000-0005-0000-0000-0000413C0000}"/>
    <cellStyle name="Normal 5 4 3 3 2 2 2 4" xfId="24489" xr:uid="{00000000-0005-0000-0000-0000423C0000}"/>
    <cellStyle name="Normal 5 4 3 3 2 2 3" xfId="7235" xr:uid="{00000000-0005-0000-0000-0000433C0000}"/>
    <cellStyle name="Normal 5 4 3 3 2 2 3 2" xfId="17095" xr:uid="{00000000-0005-0000-0000-0000443C0000}"/>
    <cellStyle name="Normal 5 4 3 3 2 2 3 2 2" xfId="36810" xr:uid="{00000000-0005-0000-0000-0000453C0000}"/>
    <cellStyle name="Normal 5 4 3 3 2 2 3 3" xfId="26953" xr:uid="{00000000-0005-0000-0000-0000463C0000}"/>
    <cellStyle name="Normal 5 4 3 3 2 2 4" xfId="12167" xr:uid="{00000000-0005-0000-0000-0000473C0000}"/>
    <cellStyle name="Normal 5 4 3 3 2 2 4 2" xfId="31882" xr:uid="{00000000-0005-0000-0000-0000483C0000}"/>
    <cellStyle name="Normal 5 4 3 3 2 2 5" xfId="22025" xr:uid="{00000000-0005-0000-0000-0000493C0000}"/>
    <cellStyle name="Normal 5 4 3 3 2 3" xfId="3535" xr:uid="{00000000-0005-0000-0000-00004A3C0000}"/>
    <cellStyle name="Normal 5 4 3 3 2 3 2" xfId="8467" xr:uid="{00000000-0005-0000-0000-00004B3C0000}"/>
    <cellStyle name="Normal 5 4 3 3 2 3 2 2" xfId="18327" xr:uid="{00000000-0005-0000-0000-00004C3C0000}"/>
    <cellStyle name="Normal 5 4 3 3 2 3 2 2 2" xfId="38042" xr:uid="{00000000-0005-0000-0000-00004D3C0000}"/>
    <cellStyle name="Normal 5 4 3 3 2 3 2 3" xfId="28185" xr:uid="{00000000-0005-0000-0000-00004E3C0000}"/>
    <cellStyle name="Normal 5 4 3 3 2 3 3" xfId="13399" xr:uid="{00000000-0005-0000-0000-00004F3C0000}"/>
    <cellStyle name="Normal 5 4 3 3 2 3 3 2" xfId="33114" xr:uid="{00000000-0005-0000-0000-0000503C0000}"/>
    <cellStyle name="Normal 5 4 3 3 2 3 4" xfId="23257" xr:uid="{00000000-0005-0000-0000-0000513C0000}"/>
    <cellStyle name="Normal 5 4 3 3 2 4" xfId="6003" xr:uid="{00000000-0005-0000-0000-0000523C0000}"/>
    <cellStyle name="Normal 5 4 3 3 2 4 2" xfId="15863" xr:uid="{00000000-0005-0000-0000-0000533C0000}"/>
    <cellStyle name="Normal 5 4 3 3 2 4 2 2" xfId="35578" xr:uid="{00000000-0005-0000-0000-0000543C0000}"/>
    <cellStyle name="Normal 5 4 3 3 2 4 3" xfId="25721" xr:uid="{00000000-0005-0000-0000-0000553C0000}"/>
    <cellStyle name="Normal 5 4 3 3 2 5" xfId="10935" xr:uid="{00000000-0005-0000-0000-0000563C0000}"/>
    <cellStyle name="Normal 5 4 3 3 2 5 2" xfId="30650" xr:uid="{00000000-0005-0000-0000-0000573C0000}"/>
    <cellStyle name="Normal 5 4 3 3 2 6" xfId="20793" xr:uid="{00000000-0005-0000-0000-0000583C0000}"/>
    <cellStyle name="Normal 5 4 3 3 3" xfId="1684" xr:uid="{00000000-0005-0000-0000-0000593C0000}"/>
    <cellStyle name="Normal 5 4 3 3 3 2" xfId="4151" xr:uid="{00000000-0005-0000-0000-00005A3C0000}"/>
    <cellStyle name="Normal 5 4 3 3 3 2 2" xfId="9083" xr:uid="{00000000-0005-0000-0000-00005B3C0000}"/>
    <cellStyle name="Normal 5 4 3 3 3 2 2 2" xfId="18943" xr:uid="{00000000-0005-0000-0000-00005C3C0000}"/>
    <cellStyle name="Normal 5 4 3 3 3 2 2 2 2" xfId="38658" xr:uid="{00000000-0005-0000-0000-00005D3C0000}"/>
    <cellStyle name="Normal 5 4 3 3 3 2 2 3" xfId="28801" xr:uid="{00000000-0005-0000-0000-00005E3C0000}"/>
    <cellStyle name="Normal 5 4 3 3 3 2 3" xfId="14015" xr:uid="{00000000-0005-0000-0000-00005F3C0000}"/>
    <cellStyle name="Normal 5 4 3 3 3 2 3 2" xfId="33730" xr:uid="{00000000-0005-0000-0000-0000603C0000}"/>
    <cellStyle name="Normal 5 4 3 3 3 2 4" xfId="23873" xr:uid="{00000000-0005-0000-0000-0000613C0000}"/>
    <cellStyle name="Normal 5 4 3 3 3 3" xfId="6619" xr:uid="{00000000-0005-0000-0000-0000623C0000}"/>
    <cellStyle name="Normal 5 4 3 3 3 3 2" xfId="16479" xr:uid="{00000000-0005-0000-0000-0000633C0000}"/>
    <cellStyle name="Normal 5 4 3 3 3 3 2 2" xfId="36194" xr:uid="{00000000-0005-0000-0000-0000643C0000}"/>
    <cellStyle name="Normal 5 4 3 3 3 3 3" xfId="26337" xr:uid="{00000000-0005-0000-0000-0000653C0000}"/>
    <cellStyle name="Normal 5 4 3 3 3 4" xfId="11551" xr:uid="{00000000-0005-0000-0000-0000663C0000}"/>
    <cellStyle name="Normal 5 4 3 3 3 4 2" xfId="31266" xr:uid="{00000000-0005-0000-0000-0000673C0000}"/>
    <cellStyle name="Normal 5 4 3 3 3 5" xfId="21409" xr:uid="{00000000-0005-0000-0000-0000683C0000}"/>
    <cellStyle name="Normal 5 4 3 3 4" xfId="2919" xr:uid="{00000000-0005-0000-0000-0000693C0000}"/>
    <cellStyle name="Normal 5 4 3 3 4 2" xfId="7851" xr:uid="{00000000-0005-0000-0000-00006A3C0000}"/>
    <cellStyle name="Normal 5 4 3 3 4 2 2" xfId="17711" xr:uid="{00000000-0005-0000-0000-00006B3C0000}"/>
    <cellStyle name="Normal 5 4 3 3 4 2 2 2" xfId="37426" xr:uid="{00000000-0005-0000-0000-00006C3C0000}"/>
    <cellStyle name="Normal 5 4 3 3 4 2 3" xfId="27569" xr:uid="{00000000-0005-0000-0000-00006D3C0000}"/>
    <cellStyle name="Normal 5 4 3 3 4 3" xfId="12783" xr:uid="{00000000-0005-0000-0000-00006E3C0000}"/>
    <cellStyle name="Normal 5 4 3 3 4 3 2" xfId="32498" xr:uid="{00000000-0005-0000-0000-00006F3C0000}"/>
    <cellStyle name="Normal 5 4 3 3 4 4" xfId="22641" xr:uid="{00000000-0005-0000-0000-0000703C0000}"/>
    <cellStyle name="Normal 5 4 3 3 5" xfId="5387" xr:uid="{00000000-0005-0000-0000-0000713C0000}"/>
    <cellStyle name="Normal 5 4 3 3 5 2" xfId="15247" xr:uid="{00000000-0005-0000-0000-0000723C0000}"/>
    <cellStyle name="Normal 5 4 3 3 5 2 2" xfId="34962" xr:uid="{00000000-0005-0000-0000-0000733C0000}"/>
    <cellStyle name="Normal 5 4 3 3 5 3" xfId="25105" xr:uid="{00000000-0005-0000-0000-0000743C0000}"/>
    <cellStyle name="Normal 5 4 3 3 6" xfId="10319" xr:uid="{00000000-0005-0000-0000-0000753C0000}"/>
    <cellStyle name="Normal 5 4 3 3 6 2" xfId="30034" xr:uid="{00000000-0005-0000-0000-0000763C0000}"/>
    <cellStyle name="Normal 5 4 3 3 7" xfId="20177" xr:uid="{00000000-0005-0000-0000-0000773C0000}"/>
    <cellStyle name="Normal 5 4 3 4" xfId="758" xr:uid="{00000000-0005-0000-0000-0000783C0000}"/>
    <cellStyle name="Normal 5 4 3 4 2" xfId="1994" xr:uid="{00000000-0005-0000-0000-0000793C0000}"/>
    <cellStyle name="Normal 5 4 3 4 2 2" xfId="4461" xr:uid="{00000000-0005-0000-0000-00007A3C0000}"/>
    <cellStyle name="Normal 5 4 3 4 2 2 2" xfId="9393" xr:uid="{00000000-0005-0000-0000-00007B3C0000}"/>
    <cellStyle name="Normal 5 4 3 4 2 2 2 2" xfId="19253" xr:uid="{00000000-0005-0000-0000-00007C3C0000}"/>
    <cellStyle name="Normal 5 4 3 4 2 2 2 2 2" xfId="38968" xr:uid="{00000000-0005-0000-0000-00007D3C0000}"/>
    <cellStyle name="Normal 5 4 3 4 2 2 2 3" xfId="29111" xr:uid="{00000000-0005-0000-0000-00007E3C0000}"/>
    <cellStyle name="Normal 5 4 3 4 2 2 3" xfId="14325" xr:uid="{00000000-0005-0000-0000-00007F3C0000}"/>
    <cellStyle name="Normal 5 4 3 4 2 2 3 2" xfId="34040" xr:uid="{00000000-0005-0000-0000-0000803C0000}"/>
    <cellStyle name="Normal 5 4 3 4 2 2 4" xfId="24183" xr:uid="{00000000-0005-0000-0000-0000813C0000}"/>
    <cellStyle name="Normal 5 4 3 4 2 3" xfId="6929" xr:uid="{00000000-0005-0000-0000-0000823C0000}"/>
    <cellStyle name="Normal 5 4 3 4 2 3 2" xfId="16789" xr:uid="{00000000-0005-0000-0000-0000833C0000}"/>
    <cellStyle name="Normal 5 4 3 4 2 3 2 2" xfId="36504" xr:uid="{00000000-0005-0000-0000-0000843C0000}"/>
    <cellStyle name="Normal 5 4 3 4 2 3 3" xfId="26647" xr:uid="{00000000-0005-0000-0000-0000853C0000}"/>
    <cellStyle name="Normal 5 4 3 4 2 4" xfId="11861" xr:uid="{00000000-0005-0000-0000-0000863C0000}"/>
    <cellStyle name="Normal 5 4 3 4 2 4 2" xfId="31576" xr:uid="{00000000-0005-0000-0000-0000873C0000}"/>
    <cellStyle name="Normal 5 4 3 4 2 5" xfId="21719" xr:uid="{00000000-0005-0000-0000-0000883C0000}"/>
    <cellStyle name="Normal 5 4 3 4 3" xfId="3229" xr:uid="{00000000-0005-0000-0000-0000893C0000}"/>
    <cellStyle name="Normal 5 4 3 4 3 2" xfId="8161" xr:uid="{00000000-0005-0000-0000-00008A3C0000}"/>
    <cellStyle name="Normal 5 4 3 4 3 2 2" xfId="18021" xr:uid="{00000000-0005-0000-0000-00008B3C0000}"/>
    <cellStyle name="Normal 5 4 3 4 3 2 2 2" xfId="37736" xr:uid="{00000000-0005-0000-0000-00008C3C0000}"/>
    <cellStyle name="Normal 5 4 3 4 3 2 3" xfId="27879" xr:uid="{00000000-0005-0000-0000-00008D3C0000}"/>
    <cellStyle name="Normal 5 4 3 4 3 3" xfId="13093" xr:uid="{00000000-0005-0000-0000-00008E3C0000}"/>
    <cellStyle name="Normal 5 4 3 4 3 3 2" xfId="32808" xr:uid="{00000000-0005-0000-0000-00008F3C0000}"/>
    <cellStyle name="Normal 5 4 3 4 3 4" xfId="22951" xr:uid="{00000000-0005-0000-0000-0000903C0000}"/>
    <cellStyle name="Normal 5 4 3 4 4" xfId="5697" xr:uid="{00000000-0005-0000-0000-0000913C0000}"/>
    <cellStyle name="Normal 5 4 3 4 4 2" xfId="15557" xr:uid="{00000000-0005-0000-0000-0000923C0000}"/>
    <cellStyle name="Normal 5 4 3 4 4 2 2" xfId="35272" xr:uid="{00000000-0005-0000-0000-0000933C0000}"/>
    <cellStyle name="Normal 5 4 3 4 4 3" xfId="25415" xr:uid="{00000000-0005-0000-0000-0000943C0000}"/>
    <cellStyle name="Normal 5 4 3 4 5" xfId="10629" xr:uid="{00000000-0005-0000-0000-0000953C0000}"/>
    <cellStyle name="Normal 5 4 3 4 5 2" xfId="30344" xr:uid="{00000000-0005-0000-0000-0000963C0000}"/>
    <cellStyle name="Normal 5 4 3 4 6" xfId="20487" xr:uid="{00000000-0005-0000-0000-0000973C0000}"/>
    <cellStyle name="Normal 5 4 3 5" xfId="1378" xr:uid="{00000000-0005-0000-0000-0000983C0000}"/>
    <cellStyle name="Normal 5 4 3 5 2" xfId="3845" xr:uid="{00000000-0005-0000-0000-0000993C0000}"/>
    <cellStyle name="Normal 5 4 3 5 2 2" xfId="8777" xr:uid="{00000000-0005-0000-0000-00009A3C0000}"/>
    <cellStyle name="Normal 5 4 3 5 2 2 2" xfId="18637" xr:uid="{00000000-0005-0000-0000-00009B3C0000}"/>
    <cellStyle name="Normal 5 4 3 5 2 2 2 2" xfId="38352" xr:uid="{00000000-0005-0000-0000-00009C3C0000}"/>
    <cellStyle name="Normal 5 4 3 5 2 2 3" xfId="28495" xr:uid="{00000000-0005-0000-0000-00009D3C0000}"/>
    <cellStyle name="Normal 5 4 3 5 2 3" xfId="13709" xr:uid="{00000000-0005-0000-0000-00009E3C0000}"/>
    <cellStyle name="Normal 5 4 3 5 2 3 2" xfId="33424" xr:uid="{00000000-0005-0000-0000-00009F3C0000}"/>
    <cellStyle name="Normal 5 4 3 5 2 4" xfId="23567" xr:uid="{00000000-0005-0000-0000-0000A03C0000}"/>
    <cellStyle name="Normal 5 4 3 5 3" xfId="6313" xr:uid="{00000000-0005-0000-0000-0000A13C0000}"/>
    <cellStyle name="Normal 5 4 3 5 3 2" xfId="16173" xr:uid="{00000000-0005-0000-0000-0000A23C0000}"/>
    <cellStyle name="Normal 5 4 3 5 3 2 2" xfId="35888" xr:uid="{00000000-0005-0000-0000-0000A33C0000}"/>
    <cellStyle name="Normal 5 4 3 5 3 3" xfId="26031" xr:uid="{00000000-0005-0000-0000-0000A43C0000}"/>
    <cellStyle name="Normal 5 4 3 5 4" xfId="11245" xr:uid="{00000000-0005-0000-0000-0000A53C0000}"/>
    <cellStyle name="Normal 5 4 3 5 4 2" xfId="30960" xr:uid="{00000000-0005-0000-0000-0000A63C0000}"/>
    <cellStyle name="Normal 5 4 3 5 5" xfId="21103" xr:uid="{00000000-0005-0000-0000-0000A73C0000}"/>
    <cellStyle name="Normal 5 4 3 6" xfId="2613" xr:uid="{00000000-0005-0000-0000-0000A83C0000}"/>
    <cellStyle name="Normal 5 4 3 6 2" xfId="7545" xr:uid="{00000000-0005-0000-0000-0000A93C0000}"/>
    <cellStyle name="Normal 5 4 3 6 2 2" xfId="17405" xr:uid="{00000000-0005-0000-0000-0000AA3C0000}"/>
    <cellStyle name="Normal 5 4 3 6 2 2 2" xfId="37120" xr:uid="{00000000-0005-0000-0000-0000AB3C0000}"/>
    <cellStyle name="Normal 5 4 3 6 2 3" xfId="27263" xr:uid="{00000000-0005-0000-0000-0000AC3C0000}"/>
    <cellStyle name="Normal 5 4 3 6 3" xfId="12477" xr:uid="{00000000-0005-0000-0000-0000AD3C0000}"/>
    <cellStyle name="Normal 5 4 3 6 3 2" xfId="32192" xr:uid="{00000000-0005-0000-0000-0000AE3C0000}"/>
    <cellStyle name="Normal 5 4 3 6 4" xfId="22335" xr:uid="{00000000-0005-0000-0000-0000AF3C0000}"/>
    <cellStyle name="Normal 5 4 3 7" xfId="5081" xr:uid="{00000000-0005-0000-0000-0000B03C0000}"/>
    <cellStyle name="Normal 5 4 3 7 2" xfId="14941" xr:uid="{00000000-0005-0000-0000-0000B13C0000}"/>
    <cellStyle name="Normal 5 4 3 7 2 2" xfId="34656" xr:uid="{00000000-0005-0000-0000-0000B23C0000}"/>
    <cellStyle name="Normal 5 4 3 7 3" xfId="24799" xr:uid="{00000000-0005-0000-0000-0000B33C0000}"/>
    <cellStyle name="Normal 5 4 3 8" xfId="10013" xr:uid="{00000000-0005-0000-0000-0000B43C0000}"/>
    <cellStyle name="Normal 5 4 3 8 2" xfId="29728" xr:uid="{00000000-0005-0000-0000-0000B53C0000}"/>
    <cellStyle name="Normal 5 4 3 9" xfId="19871" xr:uid="{00000000-0005-0000-0000-0000B63C0000}"/>
    <cellStyle name="Normal 5 4 4" xfId="207" xr:uid="{00000000-0005-0000-0000-0000B73C0000}"/>
    <cellStyle name="Normal 5 4 4 2" xfId="521" xr:uid="{00000000-0005-0000-0000-0000B83C0000}"/>
    <cellStyle name="Normal 5 4 4 2 2" xfId="1141" xr:uid="{00000000-0005-0000-0000-0000B93C0000}"/>
    <cellStyle name="Normal 5 4 4 2 2 2" xfId="2376" xr:uid="{00000000-0005-0000-0000-0000BA3C0000}"/>
    <cellStyle name="Normal 5 4 4 2 2 2 2" xfId="4843" xr:uid="{00000000-0005-0000-0000-0000BB3C0000}"/>
    <cellStyle name="Normal 5 4 4 2 2 2 2 2" xfId="9775" xr:uid="{00000000-0005-0000-0000-0000BC3C0000}"/>
    <cellStyle name="Normal 5 4 4 2 2 2 2 2 2" xfId="19635" xr:uid="{00000000-0005-0000-0000-0000BD3C0000}"/>
    <cellStyle name="Normal 5 4 4 2 2 2 2 2 2 2" xfId="39350" xr:uid="{00000000-0005-0000-0000-0000BE3C0000}"/>
    <cellStyle name="Normal 5 4 4 2 2 2 2 2 3" xfId="29493" xr:uid="{00000000-0005-0000-0000-0000BF3C0000}"/>
    <cellStyle name="Normal 5 4 4 2 2 2 2 3" xfId="14707" xr:uid="{00000000-0005-0000-0000-0000C03C0000}"/>
    <cellStyle name="Normal 5 4 4 2 2 2 2 3 2" xfId="34422" xr:uid="{00000000-0005-0000-0000-0000C13C0000}"/>
    <cellStyle name="Normal 5 4 4 2 2 2 2 4" xfId="24565" xr:uid="{00000000-0005-0000-0000-0000C23C0000}"/>
    <cellStyle name="Normal 5 4 4 2 2 2 3" xfId="7311" xr:uid="{00000000-0005-0000-0000-0000C33C0000}"/>
    <cellStyle name="Normal 5 4 4 2 2 2 3 2" xfId="17171" xr:uid="{00000000-0005-0000-0000-0000C43C0000}"/>
    <cellStyle name="Normal 5 4 4 2 2 2 3 2 2" xfId="36886" xr:uid="{00000000-0005-0000-0000-0000C53C0000}"/>
    <cellStyle name="Normal 5 4 4 2 2 2 3 3" xfId="27029" xr:uid="{00000000-0005-0000-0000-0000C63C0000}"/>
    <cellStyle name="Normal 5 4 4 2 2 2 4" xfId="12243" xr:uid="{00000000-0005-0000-0000-0000C73C0000}"/>
    <cellStyle name="Normal 5 4 4 2 2 2 4 2" xfId="31958" xr:uid="{00000000-0005-0000-0000-0000C83C0000}"/>
    <cellStyle name="Normal 5 4 4 2 2 2 5" xfId="22101" xr:uid="{00000000-0005-0000-0000-0000C93C0000}"/>
    <cellStyle name="Normal 5 4 4 2 2 3" xfId="3611" xr:uid="{00000000-0005-0000-0000-0000CA3C0000}"/>
    <cellStyle name="Normal 5 4 4 2 2 3 2" xfId="8543" xr:uid="{00000000-0005-0000-0000-0000CB3C0000}"/>
    <cellStyle name="Normal 5 4 4 2 2 3 2 2" xfId="18403" xr:uid="{00000000-0005-0000-0000-0000CC3C0000}"/>
    <cellStyle name="Normal 5 4 4 2 2 3 2 2 2" xfId="38118" xr:uid="{00000000-0005-0000-0000-0000CD3C0000}"/>
    <cellStyle name="Normal 5 4 4 2 2 3 2 3" xfId="28261" xr:uid="{00000000-0005-0000-0000-0000CE3C0000}"/>
    <cellStyle name="Normal 5 4 4 2 2 3 3" xfId="13475" xr:uid="{00000000-0005-0000-0000-0000CF3C0000}"/>
    <cellStyle name="Normal 5 4 4 2 2 3 3 2" xfId="33190" xr:uid="{00000000-0005-0000-0000-0000D03C0000}"/>
    <cellStyle name="Normal 5 4 4 2 2 3 4" xfId="23333" xr:uid="{00000000-0005-0000-0000-0000D13C0000}"/>
    <cellStyle name="Normal 5 4 4 2 2 4" xfId="6079" xr:uid="{00000000-0005-0000-0000-0000D23C0000}"/>
    <cellStyle name="Normal 5 4 4 2 2 4 2" xfId="15939" xr:uid="{00000000-0005-0000-0000-0000D33C0000}"/>
    <cellStyle name="Normal 5 4 4 2 2 4 2 2" xfId="35654" xr:uid="{00000000-0005-0000-0000-0000D43C0000}"/>
    <cellStyle name="Normal 5 4 4 2 2 4 3" xfId="25797" xr:uid="{00000000-0005-0000-0000-0000D53C0000}"/>
    <cellStyle name="Normal 5 4 4 2 2 5" xfId="11011" xr:uid="{00000000-0005-0000-0000-0000D63C0000}"/>
    <cellStyle name="Normal 5 4 4 2 2 5 2" xfId="30726" xr:uid="{00000000-0005-0000-0000-0000D73C0000}"/>
    <cellStyle name="Normal 5 4 4 2 2 6" xfId="20869" xr:uid="{00000000-0005-0000-0000-0000D83C0000}"/>
    <cellStyle name="Normal 5 4 4 2 3" xfId="1760" xr:uid="{00000000-0005-0000-0000-0000D93C0000}"/>
    <cellStyle name="Normal 5 4 4 2 3 2" xfId="4227" xr:uid="{00000000-0005-0000-0000-0000DA3C0000}"/>
    <cellStyle name="Normal 5 4 4 2 3 2 2" xfId="9159" xr:uid="{00000000-0005-0000-0000-0000DB3C0000}"/>
    <cellStyle name="Normal 5 4 4 2 3 2 2 2" xfId="19019" xr:uid="{00000000-0005-0000-0000-0000DC3C0000}"/>
    <cellStyle name="Normal 5 4 4 2 3 2 2 2 2" xfId="38734" xr:uid="{00000000-0005-0000-0000-0000DD3C0000}"/>
    <cellStyle name="Normal 5 4 4 2 3 2 2 3" xfId="28877" xr:uid="{00000000-0005-0000-0000-0000DE3C0000}"/>
    <cellStyle name="Normal 5 4 4 2 3 2 3" xfId="14091" xr:uid="{00000000-0005-0000-0000-0000DF3C0000}"/>
    <cellStyle name="Normal 5 4 4 2 3 2 3 2" xfId="33806" xr:uid="{00000000-0005-0000-0000-0000E03C0000}"/>
    <cellStyle name="Normal 5 4 4 2 3 2 4" xfId="23949" xr:uid="{00000000-0005-0000-0000-0000E13C0000}"/>
    <cellStyle name="Normal 5 4 4 2 3 3" xfId="6695" xr:uid="{00000000-0005-0000-0000-0000E23C0000}"/>
    <cellStyle name="Normal 5 4 4 2 3 3 2" xfId="16555" xr:uid="{00000000-0005-0000-0000-0000E33C0000}"/>
    <cellStyle name="Normal 5 4 4 2 3 3 2 2" xfId="36270" xr:uid="{00000000-0005-0000-0000-0000E43C0000}"/>
    <cellStyle name="Normal 5 4 4 2 3 3 3" xfId="26413" xr:uid="{00000000-0005-0000-0000-0000E53C0000}"/>
    <cellStyle name="Normal 5 4 4 2 3 4" xfId="11627" xr:uid="{00000000-0005-0000-0000-0000E63C0000}"/>
    <cellStyle name="Normal 5 4 4 2 3 4 2" xfId="31342" xr:uid="{00000000-0005-0000-0000-0000E73C0000}"/>
    <cellStyle name="Normal 5 4 4 2 3 5" xfId="21485" xr:uid="{00000000-0005-0000-0000-0000E83C0000}"/>
    <cellStyle name="Normal 5 4 4 2 4" xfId="2995" xr:uid="{00000000-0005-0000-0000-0000E93C0000}"/>
    <cellStyle name="Normal 5 4 4 2 4 2" xfId="7927" xr:uid="{00000000-0005-0000-0000-0000EA3C0000}"/>
    <cellStyle name="Normal 5 4 4 2 4 2 2" xfId="17787" xr:uid="{00000000-0005-0000-0000-0000EB3C0000}"/>
    <cellStyle name="Normal 5 4 4 2 4 2 2 2" xfId="37502" xr:uid="{00000000-0005-0000-0000-0000EC3C0000}"/>
    <cellStyle name="Normal 5 4 4 2 4 2 3" xfId="27645" xr:uid="{00000000-0005-0000-0000-0000ED3C0000}"/>
    <cellStyle name="Normal 5 4 4 2 4 3" xfId="12859" xr:uid="{00000000-0005-0000-0000-0000EE3C0000}"/>
    <cellStyle name="Normal 5 4 4 2 4 3 2" xfId="32574" xr:uid="{00000000-0005-0000-0000-0000EF3C0000}"/>
    <cellStyle name="Normal 5 4 4 2 4 4" xfId="22717" xr:uid="{00000000-0005-0000-0000-0000F03C0000}"/>
    <cellStyle name="Normal 5 4 4 2 5" xfId="5463" xr:uid="{00000000-0005-0000-0000-0000F13C0000}"/>
    <cellStyle name="Normal 5 4 4 2 5 2" xfId="15323" xr:uid="{00000000-0005-0000-0000-0000F23C0000}"/>
    <cellStyle name="Normal 5 4 4 2 5 2 2" xfId="35038" xr:uid="{00000000-0005-0000-0000-0000F33C0000}"/>
    <cellStyle name="Normal 5 4 4 2 5 3" xfId="25181" xr:uid="{00000000-0005-0000-0000-0000F43C0000}"/>
    <cellStyle name="Normal 5 4 4 2 6" xfId="10395" xr:uid="{00000000-0005-0000-0000-0000F53C0000}"/>
    <cellStyle name="Normal 5 4 4 2 6 2" xfId="30110" xr:uid="{00000000-0005-0000-0000-0000F63C0000}"/>
    <cellStyle name="Normal 5 4 4 2 7" xfId="20253" xr:uid="{00000000-0005-0000-0000-0000F73C0000}"/>
    <cellStyle name="Normal 5 4 4 3" xfId="834" xr:uid="{00000000-0005-0000-0000-0000F83C0000}"/>
    <cellStyle name="Normal 5 4 4 3 2" xfId="2070" xr:uid="{00000000-0005-0000-0000-0000F93C0000}"/>
    <cellStyle name="Normal 5 4 4 3 2 2" xfId="4537" xr:uid="{00000000-0005-0000-0000-0000FA3C0000}"/>
    <cellStyle name="Normal 5 4 4 3 2 2 2" xfId="9469" xr:uid="{00000000-0005-0000-0000-0000FB3C0000}"/>
    <cellStyle name="Normal 5 4 4 3 2 2 2 2" xfId="19329" xr:uid="{00000000-0005-0000-0000-0000FC3C0000}"/>
    <cellStyle name="Normal 5 4 4 3 2 2 2 2 2" xfId="39044" xr:uid="{00000000-0005-0000-0000-0000FD3C0000}"/>
    <cellStyle name="Normal 5 4 4 3 2 2 2 3" xfId="29187" xr:uid="{00000000-0005-0000-0000-0000FE3C0000}"/>
    <cellStyle name="Normal 5 4 4 3 2 2 3" xfId="14401" xr:uid="{00000000-0005-0000-0000-0000FF3C0000}"/>
    <cellStyle name="Normal 5 4 4 3 2 2 3 2" xfId="34116" xr:uid="{00000000-0005-0000-0000-0000003D0000}"/>
    <cellStyle name="Normal 5 4 4 3 2 2 4" xfId="24259" xr:uid="{00000000-0005-0000-0000-0000013D0000}"/>
    <cellStyle name="Normal 5 4 4 3 2 3" xfId="7005" xr:uid="{00000000-0005-0000-0000-0000023D0000}"/>
    <cellStyle name="Normal 5 4 4 3 2 3 2" xfId="16865" xr:uid="{00000000-0005-0000-0000-0000033D0000}"/>
    <cellStyle name="Normal 5 4 4 3 2 3 2 2" xfId="36580" xr:uid="{00000000-0005-0000-0000-0000043D0000}"/>
    <cellStyle name="Normal 5 4 4 3 2 3 3" xfId="26723" xr:uid="{00000000-0005-0000-0000-0000053D0000}"/>
    <cellStyle name="Normal 5 4 4 3 2 4" xfId="11937" xr:uid="{00000000-0005-0000-0000-0000063D0000}"/>
    <cellStyle name="Normal 5 4 4 3 2 4 2" xfId="31652" xr:uid="{00000000-0005-0000-0000-0000073D0000}"/>
    <cellStyle name="Normal 5 4 4 3 2 5" xfId="21795" xr:uid="{00000000-0005-0000-0000-0000083D0000}"/>
    <cellStyle name="Normal 5 4 4 3 3" xfId="3305" xr:uid="{00000000-0005-0000-0000-0000093D0000}"/>
    <cellStyle name="Normal 5 4 4 3 3 2" xfId="8237" xr:uid="{00000000-0005-0000-0000-00000A3D0000}"/>
    <cellStyle name="Normal 5 4 4 3 3 2 2" xfId="18097" xr:uid="{00000000-0005-0000-0000-00000B3D0000}"/>
    <cellStyle name="Normal 5 4 4 3 3 2 2 2" xfId="37812" xr:uid="{00000000-0005-0000-0000-00000C3D0000}"/>
    <cellStyle name="Normal 5 4 4 3 3 2 3" xfId="27955" xr:uid="{00000000-0005-0000-0000-00000D3D0000}"/>
    <cellStyle name="Normal 5 4 4 3 3 3" xfId="13169" xr:uid="{00000000-0005-0000-0000-00000E3D0000}"/>
    <cellStyle name="Normal 5 4 4 3 3 3 2" xfId="32884" xr:uid="{00000000-0005-0000-0000-00000F3D0000}"/>
    <cellStyle name="Normal 5 4 4 3 3 4" xfId="23027" xr:uid="{00000000-0005-0000-0000-0000103D0000}"/>
    <cellStyle name="Normal 5 4 4 3 4" xfId="5773" xr:uid="{00000000-0005-0000-0000-0000113D0000}"/>
    <cellStyle name="Normal 5 4 4 3 4 2" xfId="15633" xr:uid="{00000000-0005-0000-0000-0000123D0000}"/>
    <cellStyle name="Normal 5 4 4 3 4 2 2" xfId="35348" xr:uid="{00000000-0005-0000-0000-0000133D0000}"/>
    <cellStyle name="Normal 5 4 4 3 4 3" xfId="25491" xr:uid="{00000000-0005-0000-0000-0000143D0000}"/>
    <cellStyle name="Normal 5 4 4 3 5" xfId="10705" xr:uid="{00000000-0005-0000-0000-0000153D0000}"/>
    <cellStyle name="Normal 5 4 4 3 5 2" xfId="30420" xr:uid="{00000000-0005-0000-0000-0000163D0000}"/>
    <cellStyle name="Normal 5 4 4 3 6" xfId="20563" xr:uid="{00000000-0005-0000-0000-0000173D0000}"/>
    <cellStyle name="Normal 5 4 4 4" xfId="1454" xr:uid="{00000000-0005-0000-0000-0000183D0000}"/>
    <cellStyle name="Normal 5 4 4 4 2" xfId="3921" xr:uid="{00000000-0005-0000-0000-0000193D0000}"/>
    <cellStyle name="Normal 5 4 4 4 2 2" xfId="8853" xr:uid="{00000000-0005-0000-0000-00001A3D0000}"/>
    <cellStyle name="Normal 5 4 4 4 2 2 2" xfId="18713" xr:uid="{00000000-0005-0000-0000-00001B3D0000}"/>
    <cellStyle name="Normal 5 4 4 4 2 2 2 2" xfId="38428" xr:uid="{00000000-0005-0000-0000-00001C3D0000}"/>
    <cellStyle name="Normal 5 4 4 4 2 2 3" xfId="28571" xr:uid="{00000000-0005-0000-0000-00001D3D0000}"/>
    <cellStyle name="Normal 5 4 4 4 2 3" xfId="13785" xr:uid="{00000000-0005-0000-0000-00001E3D0000}"/>
    <cellStyle name="Normal 5 4 4 4 2 3 2" xfId="33500" xr:uid="{00000000-0005-0000-0000-00001F3D0000}"/>
    <cellStyle name="Normal 5 4 4 4 2 4" xfId="23643" xr:uid="{00000000-0005-0000-0000-0000203D0000}"/>
    <cellStyle name="Normal 5 4 4 4 3" xfId="6389" xr:uid="{00000000-0005-0000-0000-0000213D0000}"/>
    <cellStyle name="Normal 5 4 4 4 3 2" xfId="16249" xr:uid="{00000000-0005-0000-0000-0000223D0000}"/>
    <cellStyle name="Normal 5 4 4 4 3 2 2" xfId="35964" xr:uid="{00000000-0005-0000-0000-0000233D0000}"/>
    <cellStyle name="Normal 5 4 4 4 3 3" xfId="26107" xr:uid="{00000000-0005-0000-0000-0000243D0000}"/>
    <cellStyle name="Normal 5 4 4 4 4" xfId="11321" xr:uid="{00000000-0005-0000-0000-0000253D0000}"/>
    <cellStyle name="Normal 5 4 4 4 4 2" xfId="31036" xr:uid="{00000000-0005-0000-0000-0000263D0000}"/>
    <cellStyle name="Normal 5 4 4 4 5" xfId="21179" xr:uid="{00000000-0005-0000-0000-0000273D0000}"/>
    <cellStyle name="Normal 5 4 4 5" xfId="2689" xr:uid="{00000000-0005-0000-0000-0000283D0000}"/>
    <cellStyle name="Normal 5 4 4 5 2" xfId="7621" xr:uid="{00000000-0005-0000-0000-0000293D0000}"/>
    <cellStyle name="Normal 5 4 4 5 2 2" xfId="17481" xr:uid="{00000000-0005-0000-0000-00002A3D0000}"/>
    <cellStyle name="Normal 5 4 4 5 2 2 2" xfId="37196" xr:uid="{00000000-0005-0000-0000-00002B3D0000}"/>
    <cellStyle name="Normal 5 4 4 5 2 3" xfId="27339" xr:uid="{00000000-0005-0000-0000-00002C3D0000}"/>
    <cellStyle name="Normal 5 4 4 5 3" xfId="12553" xr:uid="{00000000-0005-0000-0000-00002D3D0000}"/>
    <cellStyle name="Normal 5 4 4 5 3 2" xfId="32268" xr:uid="{00000000-0005-0000-0000-00002E3D0000}"/>
    <cellStyle name="Normal 5 4 4 5 4" xfId="22411" xr:uid="{00000000-0005-0000-0000-00002F3D0000}"/>
    <cellStyle name="Normal 5 4 4 6" xfId="5157" xr:uid="{00000000-0005-0000-0000-0000303D0000}"/>
    <cellStyle name="Normal 5 4 4 6 2" xfId="15017" xr:uid="{00000000-0005-0000-0000-0000313D0000}"/>
    <cellStyle name="Normal 5 4 4 6 2 2" xfId="34732" xr:uid="{00000000-0005-0000-0000-0000323D0000}"/>
    <cellStyle name="Normal 5 4 4 6 3" xfId="24875" xr:uid="{00000000-0005-0000-0000-0000333D0000}"/>
    <cellStyle name="Normal 5 4 4 7" xfId="10089" xr:uid="{00000000-0005-0000-0000-0000343D0000}"/>
    <cellStyle name="Normal 5 4 4 7 2" xfId="29804" xr:uid="{00000000-0005-0000-0000-0000353D0000}"/>
    <cellStyle name="Normal 5 4 4 8" xfId="19947" xr:uid="{00000000-0005-0000-0000-0000363D0000}"/>
    <cellStyle name="Normal 5 4 5" xfId="369" xr:uid="{00000000-0005-0000-0000-0000373D0000}"/>
    <cellStyle name="Normal 5 4 5 2" xfId="989" xr:uid="{00000000-0005-0000-0000-0000383D0000}"/>
    <cellStyle name="Normal 5 4 5 2 2" xfId="2224" xr:uid="{00000000-0005-0000-0000-0000393D0000}"/>
    <cellStyle name="Normal 5 4 5 2 2 2" xfId="4691" xr:uid="{00000000-0005-0000-0000-00003A3D0000}"/>
    <cellStyle name="Normal 5 4 5 2 2 2 2" xfId="9623" xr:uid="{00000000-0005-0000-0000-00003B3D0000}"/>
    <cellStyle name="Normal 5 4 5 2 2 2 2 2" xfId="19483" xr:uid="{00000000-0005-0000-0000-00003C3D0000}"/>
    <cellStyle name="Normal 5 4 5 2 2 2 2 2 2" xfId="39198" xr:uid="{00000000-0005-0000-0000-00003D3D0000}"/>
    <cellStyle name="Normal 5 4 5 2 2 2 2 3" xfId="29341" xr:uid="{00000000-0005-0000-0000-00003E3D0000}"/>
    <cellStyle name="Normal 5 4 5 2 2 2 3" xfId="14555" xr:uid="{00000000-0005-0000-0000-00003F3D0000}"/>
    <cellStyle name="Normal 5 4 5 2 2 2 3 2" xfId="34270" xr:uid="{00000000-0005-0000-0000-0000403D0000}"/>
    <cellStyle name="Normal 5 4 5 2 2 2 4" xfId="24413" xr:uid="{00000000-0005-0000-0000-0000413D0000}"/>
    <cellStyle name="Normal 5 4 5 2 2 3" xfId="7159" xr:uid="{00000000-0005-0000-0000-0000423D0000}"/>
    <cellStyle name="Normal 5 4 5 2 2 3 2" xfId="17019" xr:uid="{00000000-0005-0000-0000-0000433D0000}"/>
    <cellStyle name="Normal 5 4 5 2 2 3 2 2" xfId="36734" xr:uid="{00000000-0005-0000-0000-0000443D0000}"/>
    <cellStyle name="Normal 5 4 5 2 2 3 3" xfId="26877" xr:uid="{00000000-0005-0000-0000-0000453D0000}"/>
    <cellStyle name="Normal 5 4 5 2 2 4" xfId="12091" xr:uid="{00000000-0005-0000-0000-0000463D0000}"/>
    <cellStyle name="Normal 5 4 5 2 2 4 2" xfId="31806" xr:uid="{00000000-0005-0000-0000-0000473D0000}"/>
    <cellStyle name="Normal 5 4 5 2 2 5" xfId="21949" xr:uid="{00000000-0005-0000-0000-0000483D0000}"/>
    <cellStyle name="Normal 5 4 5 2 3" xfId="3459" xr:uid="{00000000-0005-0000-0000-0000493D0000}"/>
    <cellStyle name="Normal 5 4 5 2 3 2" xfId="8391" xr:uid="{00000000-0005-0000-0000-00004A3D0000}"/>
    <cellStyle name="Normal 5 4 5 2 3 2 2" xfId="18251" xr:uid="{00000000-0005-0000-0000-00004B3D0000}"/>
    <cellStyle name="Normal 5 4 5 2 3 2 2 2" xfId="37966" xr:uid="{00000000-0005-0000-0000-00004C3D0000}"/>
    <cellStyle name="Normal 5 4 5 2 3 2 3" xfId="28109" xr:uid="{00000000-0005-0000-0000-00004D3D0000}"/>
    <cellStyle name="Normal 5 4 5 2 3 3" xfId="13323" xr:uid="{00000000-0005-0000-0000-00004E3D0000}"/>
    <cellStyle name="Normal 5 4 5 2 3 3 2" xfId="33038" xr:uid="{00000000-0005-0000-0000-00004F3D0000}"/>
    <cellStyle name="Normal 5 4 5 2 3 4" xfId="23181" xr:uid="{00000000-0005-0000-0000-0000503D0000}"/>
    <cellStyle name="Normal 5 4 5 2 4" xfId="5927" xr:uid="{00000000-0005-0000-0000-0000513D0000}"/>
    <cellStyle name="Normal 5 4 5 2 4 2" xfId="15787" xr:uid="{00000000-0005-0000-0000-0000523D0000}"/>
    <cellStyle name="Normal 5 4 5 2 4 2 2" xfId="35502" xr:uid="{00000000-0005-0000-0000-0000533D0000}"/>
    <cellStyle name="Normal 5 4 5 2 4 3" xfId="25645" xr:uid="{00000000-0005-0000-0000-0000543D0000}"/>
    <cellStyle name="Normal 5 4 5 2 5" xfId="10859" xr:uid="{00000000-0005-0000-0000-0000553D0000}"/>
    <cellStyle name="Normal 5 4 5 2 5 2" xfId="30574" xr:uid="{00000000-0005-0000-0000-0000563D0000}"/>
    <cellStyle name="Normal 5 4 5 2 6" xfId="20717" xr:uid="{00000000-0005-0000-0000-0000573D0000}"/>
    <cellStyle name="Normal 5 4 5 3" xfId="1608" xr:uid="{00000000-0005-0000-0000-0000583D0000}"/>
    <cellStyle name="Normal 5 4 5 3 2" xfId="4075" xr:uid="{00000000-0005-0000-0000-0000593D0000}"/>
    <cellStyle name="Normal 5 4 5 3 2 2" xfId="9007" xr:uid="{00000000-0005-0000-0000-00005A3D0000}"/>
    <cellStyle name="Normal 5 4 5 3 2 2 2" xfId="18867" xr:uid="{00000000-0005-0000-0000-00005B3D0000}"/>
    <cellStyle name="Normal 5 4 5 3 2 2 2 2" xfId="38582" xr:uid="{00000000-0005-0000-0000-00005C3D0000}"/>
    <cellStyle name="Normal 5 4 5 3 2 2 3" xfId="28725" xr:uid="{00000000-0005-0000-0000-00005D3D0000}"/>
    <cellStyle name="Normal 5 4 5 3 2 3" xfId="13939" xr:uid="{00000000-0005-0000-0000-00005E3D0000}"/>
    <cellStyle name="Normal 5 4 5 3 2 3 2" xfId="33654" xr:uid="{00000000-0005-0000-0000-00005F3D0000}"/>
    <cellStyle name="Normal 5 4 5 3 2 4" xfId="23797" xr:uid="{00000000-0005-0000-0000-0000603D0000}"/>
    <cellStyle name="Normal 5 4 5 3 3" xfId="6543" xr:uid="{00000000-0005-0000-0000-0000613D0000}"/>
    <cellStyle name="Normal 5 4 5 3 3 2" xfId="16403" xr:uid="{00000000-0005-0000-0000-0000623D0000}"/>
    <cellStyle name="Normal 5 4 5 3 3 2 2" xfId="36118" xr:uid="{00000000-0005-0000-0000-0000633D0000}"/>
    <cellStyle name="Normal 5 4 5 3 3 3" xfId="26261" xr:uid="{00000000-0005-0000-0000-0000643D0000}"/>
    <cellStyle name="Normal 5 4 5 3 4" xfId="11475" xr:uid="{00000000-0005-0000-0000-0000653D0000}"/>
    <cellStyle name="Normal 5 4 5 3 4 2" xfId="31190" xr:uid="{00000000-0005-0000-0000-0000663D0000}"/>
    <cellStyle name="Normal 5 4 5 3 5" xfId="21333" xr:uid="{00000000-0005-0000-0000-0000673D0000}"/>
    <cellStyle name="Normal 5 4 5 4" xfId="2843" xr:uid="{00000000-0005-0000-0000-0000683D0000}"/>
    <cellStyle name="Normal 5 4 5 4 2" xfId="7775" xr:uid="{00000000-0005-0000-0000-0000693D0000}"/>
    <cellStyle name="Normal 5 4 5 4 2 2" xfId="17635" xr:uid="{00000000-0005-0000-0000-00006A3D0000}"/>
    <cellStyle name="Normal 5 4 5 4 2 2 2" xfId="37350" xr:uid="{00000000-0005-0000-0000-00006B3D0000}"/>
    <cellStyle name="Normal 5 4 5 4 2 3" xfId="27493" xr:uid="{00000000-0005-0000-0000-00006C3D0000}"/>
    <cellStyle name="Normal 5 4 5 4 3" xfId="12707" xr:uid="{00000000-0005-0000-0000-00006D3D0000}"/>
    <cellStyle name="Normal 5 4 5 4 3 2" xfId="32422" xr:uid="{00000000-0005-0000-0000-00006E3D0000}"/>
    <cellStyle name="Normal 5 4 5 4 4" xfId="22565" xr:uid="{00000000-0005-0000-0000-00006F3D0000}"/>
    <cellStyle name="Normal 5 4 5 5" xfId="5311" xr:uid="{00000000-0005-0000-0000-0000703D0000}"/>
    <cellStyle name="Normal 5 4 5 5 2" xfId="15171" xr:uid="{00000000-0005-0000-0000-0000713D0000}"/>
    <cellStyle name="Normal 5 4 5 5 2 2" xfId="34886" xr:uid="{00000000-0005-0000-0000-0000723D0000}"/>
    <cellStyle name="Normal 5 4 5 5 3" xfId="25029" xr:uid="{00000000-0005-0000-0000-0000733D0000}"/>
    <cellStyle name="Normal 5 4 5 6" xfId="10243" xr:uid="{00000000-0005-0000-0000-0000743D0000}"/>
    <cellStyle name="Normal 5 4 5 6 2" xfId="29958" xr:uid="{00000000-0005-0000-0000-0000753D0000}"/>
    <cellStyle name="Normal 5 4 5 7" xfId="20101" xr:uid="{00000000-0005-0000-0000-0000763D0000}"/>
    <cellStyle name="Normal 5 4 6" xfId="682" xr:uid="{00000000-0005-0000-0000-0000773D0000}"/>
    <cellStyle name="Normal 5 4 6 2" xfId="1918" xr:uid="{00000000-0005-0000-0000-0000783D0000}"/>
    <cellStyle name="Normal 5 4 6 2 2" xfId="4385" xr:uid="{00000000-0005-0000-0000-0000793D0000}"/>
    <cellStyle name="Normal 5 4 6 2 2 2" xfId="9317" xr:uid="{00000000-0005-0000-0000-00007A3D0000}"/>
    <cellStyle name="Normal 5 4 6 2 2 2 2" xfId="19177" xr:uid="{00000000-0005-0000-0000-00007B3D0000}"/>
    <cellStyle name="Normal 5 4 6 2 2 2 2 2" xfId="38892" xr:uid="{00000000-0005-0000-0000-00007C3D0000}"/>
    <cellStyle name="Normal 5 4 6 2 2 2 3" xfId="29035" xr:uid="{00000000-0005-0000-0000-00007D3D0000}"/>
    <cellStyle name="Normal 5 4 6 2 2 3" xfId="14249" xr:uid="{00000000-0005-0000-0000-00007E3D0000}"/>
    <cellStyle name="Normal 5 4 6 2 2 3 2" xfId="33964" xr:uid="{00000000-0005-0000-0000-00007F3D0000}"/>
    <cellStyle name="Normal 5 4 6 2 2 4" xfId="24107" xr:uid="{00000000-0005-0000-0000-0000803D0000}"/>
    <cellStyle name="Normal 5 4 6 2 3" xfId="6853" xr:uid="{00000000-0005-0000-0000-0000813D0000}"/>
    <cellStyle name="Normal 5 4 6 2 3 2" xfId="16713" xr:uid="{00000000-0005-0000-0000-0000823D0000}"/>
    <cellStyle name="Normal 5 4 6 2 3 2 2" xfId="36428" xr:uid="{00000000-0005-0000-0000-0000833D0000}"/>
    <cellStyle name="Normal 5 4 6 2 3 3" xfId="26571" xr:uid="{00000000-0005-0000-0000-0000843D0000}"/>
    <cellStyle name="Normal 5 4 6 2 4" xfId="11785" xr:uid="{00000000-0005-0000-0000-0000853D0000}"/>
    <cellStyle name="Normal 5 4 6 2 4 2" xfId="31500" xr:uid="{00000000-0005-0000-0000-0000863D0000}"/>
    <cellStyle name="Normal 5 4 6 2 5" xfId="21643" xr:uid="{00000000-0005-0000-0000-0000873D0000}"/>
    <cellStyle name="Normal 5 4 6 3" xfId="3153" xr:uid="{00000000-0005-0000-0000-0000883D0000}"/>
    <cellStyle name="Normal 5 4 6 3 2" xfId="8085" xr:uid="{00000000-0005-0000-0000-0000893D0000}"/>
    <cellStyle name="Normal 5 4 6 3 2 2" xfId="17945" xr:uid="{00000000-0005-0000-0000-00008A3D0000}"/>
    <cellStyle name="Normal 5 4 6 3 2 2 2" xfId="37660" xr:uid="{00000000-0005-0000-0000-00008B3D0000}"/>
    <cellStyle name="Normal 5 4 6 3 2 3" xfId="27803" xr:uid="{00000000-0005-0000-0000-00008C3D0000}"/>
    <cellStyle name="Normal 5 4 6 3 3" xfId="13017" xr:uid="{00000000-0005-0000-0000-00008D3D0000}"/>
    <cellStyle name="Normal 5 4 6 3 3 2" xfId="32732" xr:uid="{00000000-0005-0000-0000-00008E3D0000}"/>
    <cellStyle name="Normal 5 4 6 3 4" xfId="22875" xr:uid="{00000000-0005-0000-0000-00008F3D0000}"/>
    <cellStyle name="Normal 5 4 6 4" xfId="5621" xr:uid="{00000000-0005-0000-0000-0000903D0000}"/>
    <cellStyle name="Normal 5 4 6 4 2" xfId="15481" xr:uid="{00000000-0005-0000-0000-0000913D0000}"/>
    <cellStyle name="Normal 5 4 6 4 2 2" xfId="35196" xr:uid="{00000000-0005-0000-0000-0000923D0000}"/>
    <cellStyle name="Normal 5 4 6 4 3" xfId="25339" xr:uid="{00000000-0005-0000-0000-0000933D0000}"/>
    <cellStyle name="Normal 5 4 6 5" xfId="10553" xr:uid="{00000000-0005-0000-0000-0000943D0000}"/>
    <cellStyle name="Normal 5 4 6 5 2" xfId="30268" xr:uid="{00000000-0005-0000-0000-0000953D0000}"/>
    <cellStyle name="Normal 5 4 6 6" xfId="20411" xr:uid="{00000000-0005-0000-0000-0000963D0000}"/>
    <cellStyle name="Normal 5 4 7" xfId="1302" xr:uid="{00000000-0005-0000-0000-0000973D0000}"/>
    <cellStyle name="Normal 5 4 7 2" xfId="3769" xr:uid="{00000000-0005-0000-0000-0000983D0000}"/>
    <cellStyle name="Normal 5 4 7 2 2" xfId="8701" xr:uid="{00000000-0005-0000-0000-0000993D0000}"/>
    <cellStyle name="Normal 5 4 7 2 2 2" xfId="18561" xr:uid="{00000000-0005-0000-0000-00009A3D0000}"/>
    <cellStyle name="Normal 5 4 7 2 2 2 2" xfId="38276" xr:uid="{00000000-0005-0000-0000-00009B3D0000}"/>
    <cellStyle name="Normal 5 4 7 2 2 3" xfId="28419" xr:uid="{00000000-0005-0000-0000-00009C3D0000}"/>
    <cellStyle name="Normal 5 4 7 2 3" xfId="13633" xr:uid="{00000000-0005-0000-0000-00009D3D0000}"/>
    <cellStyle name="Normal 5 4 7 2 3 2" xfId="33348" xr:uid="{00000000-0005-0000-0000-00009E3D0000}"/>
    <cellStyle name="Normal 5 4 7 2 4" xfId="23491" xr:uid="{00000000-0005-0000-0000-00009F3D0000}"/>
    <cellStyle name="Normal 5 4 7 3" xfId="6237" xr:uid="{00000000-0005-0000-0000-0000A03D0000}"/>
    <cellStyle name="Normal 5 4 7 3 2" xfId="16097" xr:uid="{00000000-0005-0000-0000-0000A13D0000}"/>
    <cellStyle name="Normal 5 4 7 3 2 2" xfId="35812" xr:uid="{00000000-0005-0000-0000-0000A23D0000}"/>
    <cellStyle name="Normal 5 4 7 3 3" xfId="25955" xr:uid="{00000000-0005-0000-0000-0000A33D0000}"/>
    <cellStyle name="Normal 5 4 7 4" xfId="11169" xr:uid="{00000000-0005-0000-0000-0000A43D0000}"/>
    <cellStyle name="Normal 5 4 7 4 2" xfId="30884" xr:uid="{00000000-0005-0000-0000-0000A53D0000}"/>
    <cellStyle name="Normal 5 4 7 5" xfId="21027" xr:uid="{00000000-0005-0000-0000-0000A63D0000}"/>
    <cellStyle name="Normal 5 4 8" xfId="2537" xr:uid="{00000000-0005-0000-0000-0000A73D0000}"/>
    <cellStyle name="Normal 5 4 8 2" xfId="7469" xr:uid="{00000000-0005-0000-0000-0000A83D0000}"/>
    <cellStyle name="Normal 5 4 8 2 2" xfId="17329" xr:uid="{00000000-0005-0000-0000-0000A93D0000}"/>
    <cellStyle name="Normal 5 4 8 2 2 2" xfId="37044" xr:uid="{00000000-0005-0000-0000-0000AA3D0000}"/>
    <cellStyle name="Normal 5 4 8 2 3" xfId="27187" xr:uid="{00000000-0005-0000-0000-0000AB3D0000}"/>
    <cellStyle name="Normal 5 4 8 3" xfId="12401" xr:uid="{00000000-0005-0000-0000-0000AC3D0000}"/>
    <cellStyle name="Normal 5 4 8 3 2" xfId="32116" xr:uid="{00000000-0005-0000-0000-0000AD3D0000}"/>
    <cellStyle name="Normal 5 4 8 4" xfId="22259" xr:uid="{00000000-0005-0000-0000-0000AE3D0000}"/>
    <cellStyle name="Normal 5 4 9" xfId="5005" xr:uid="{00000000-0005-0000-0000-0000AF3D0000}"/>
    <cellStyle name="Normal 5 4 9 2" xfId="14865" xr:uid="{00000000-0005-0000-0000-0000B03D0000}"/>
    <cellStyle name="Normal 5 4 9 2 2" xfId="34580" xr:uid="{00000000-0005-0000-0000-0000B13D0000}"/>
    <cellStyle name="Normal 5 4 9 3" xfId="24723" xr:uid="{00000000-0005-0000-0000-0000B23D0000}"/>
    <cellStyle name="Normal 5 5" xfId="63" xr:uid="{00000000-0005-0000-0000-0000B33D0000}"/>
    <cellStyle name="Normal 5 5 10" xfId="19814" xr:uid="{00000000-0005-0000-0000-0000B43D0000}"/>
    <cellStyle name="Normal 5 5 2" xfId="145" xr:uid="{00000000-0005-0000-0000-0000B53D0000}"/>
    <cellStyle name="Normal 5 5 2 2" xfId="302" xr:uid="{00000000-0005-0000-0000-0000B63D0000}"/>
    <cellStyle name="Normal 5 5 2 2 2" xfId="616" xr:uid="{00000000-0005-0000-0000-0000B73D0000}"/>
    <cellStyle name="Normal 5 5 2 2 2 2" xfId="1236" xr:uid="{00000000-0005-0000-0000-0000B83D0000}"/>
    <cellStyle name="Normal 5 5 2 2 2 2 2" xfId="2471" xr:uid="{00000000-0005-0000-0000-0000B93D0000}"/>
    <cellStyle name="Normal 5 5 2 2 2 2 2 2" xfId="4938" xr:uid="{00000000-0005-0000-0000-0000BA3D0000}"/>
    <cellStyle name="Normal 5 5 2 2 2 2 2 2 2" xfId="9870" xr:uid="{00000000-0005-0000-0000-0000BB3D0000}"/>
    <cellStyle name="Normal 5 5 2 2 2 2 2 2 2 2" xfId="19730" xr:uid="{00000000-0005-0000-0000-0000BC3D0000}"/>
    <cellStyle name="Normal 5 5 2 2 2 2 2 2 2 2 2" xfId="39445" xr:uid="{00000000-0005-0000-0000-0000BD3D0000}"/>
    <cellStyle name="Normal 5 5 2 2 2 2 2 2 2 3" xfId="29588" xr:uid="{00000000-0005-0000-0000-0000BE3D0000}"/>
    <cellStyle name="Normal 5 5 2 2 2 2 2 2 3" xfId="14802" xr:uid="{00000000-0005-0000-0000-0000BF3D0000}"/>
    <cellStyle name="Normal 5 5 2 2 2 2 2 2 3 2" xfId="34517" xr:uid="{00000000-0005-0000-0000-0000C03D0000}"/>
    <cellStyle name="Normal 5 5 2 2 2 2 2 2 4" xfId="24660" xr:uid="{00000000-0005-0000-0000-0000C13D0000}"/>
    <cellStyle name="Normal 5 5 2 2 2 2 2 3" xfId="7406" xr:uid="{00000000-0005-0000-0000-0000C23D0000}"/>
    <cellStyle name="Normal 5 5 2 2 2 2 2 3 2" xfId="17266" xr:uid="{00000000-0005-0000-0000-0000C33D0000}"/>
    <cellStyle name="Normal 5 5 2 2 2 2 2 3 2 2" xfId="36981" xr:uid="{00000000-0005-0000-0000-0000C43D0000}"/>
    <cellStyle name="Normal 5 5 2 2 2 2 2 3 3" xfId="27124" xr:uid="{00000000-0005-0000-0000-0000C53D0000}"/>
    <cellStyle name="Normal 5 5 2 2 2 2 2 4" xfId="12338" xr:uid="{00000000-0005-0000-0000-0000C63D0000}"/>
    <cellStyle name="Normal 5 5 2 2 2 2 2 4 2" xfId="32053" xr:uid="{00000000-0005-0000-0000-0000C73D0000}"/>
    <cellStyle name="Normal 5 5 2 2 2 2 2 5" xfId="22196" xr:uid="{00000000-0005-0000-0000-0000C83D0000}"/>
    <cellStyle name="Normal 5 5 2 2 2 2 3" xfId="3706" xr:uid="{00000000-0005-0000-0000-0000C93D0000}"/>
    <cellStyle name="Normal 5 5 2 2 2 2 3 2" xfId="8638" xr:uid="{00000000-0005-0000-0000-0000CA3D0000}"/>
    <cellStyle name="Normal 5 5 2 2 2 2 3 2 2" xfId="18498" xr:uid="{00000000-0005-0000-0000-0000CB3D0000}"/>
    <cellStyle name="Normal 5 5 2 2 2 2 3 2 2 2" xfId="38213" xr:uid="{00000000-0005-0000-0000-0000CC3D0000}"/>
    <cellStyle name="Normal 5 5 2 2 2 2 3 2 3" xfId="28356" xr:uid="{00000000-0005-0000-0000-0000CD3D0000}"/>
    <cellStyle name="Normal 5 5 2 2 2 2 3 3" xfId="13570" xr:uid="{00000000-0005-0000-0000-0000CE3D0000}"/>
    <cellStyle name="Normal 5 5 2 2 2 2 3 3 2" xfId="33285" xr:uid="{00000000-0005-0000-0000-0000CF3D0000}"/>
    <cellStyle name="Normal 5 5 2 2 2 2 3 4" xfId="23428" xr:uid="{00000000-0005-0000-0000-0000D03D0000}"/>
    <cellStyle name="Normal 5 5 2 2 2 2 4" xfId="6174" xr:uid="{00000000-0005-0000-0000-0000D13D0000}"/>
    <cellStyle name="Normal 5 5 2 2 2 2 4 2" xfId="16034" xr:uid="{00000000-0005-0000-0000-0000D23D0000}"/>
    <cellStyle name="Normal 5 5 2 2 2 2 4 2 2" xfId="35749" xr:uid="{00000000-0005-0000-0000-0000D33D0000}"/>
    <cellStyle name="Normal 5 5 2 2 2 2 4 3" xfId="25892" xr:uid="{00000000-0005-0000-0000-0000D43D0000}"/>
    <cellStyle name="Normal 5 5 2 2 2 2 5" xfId="11106" xr:uid="{00000000-0005-0000-0000-0000D53D0000}"/>
    <cellStyle name="Normal 5 5 2 2 2 2 5 2" xfId="30821" xr:uid="{00000000-0005-0000-0000-0000D63D0000}"/>
    <cellStyle name="Normal 5 5 2 2 2 2 6" xfId="20964" xr:uid="{00000000-0005-0000-0000-0000D73D0000}"/>
    <cellStyle name="Normal 5 5 2 2 2 3" xfId="1855" xr:uid="{00000000-0005-0000-0000-0000D83D0000}"/>
    <cellStyle name="Normal 5 5 2 2 2 3 2" xfId="4322" xr:uid="{00000000-0005-0000-0000-0000D93D0000}"/>
    <cellStyle name="Normal 5 5 2 2 2 3 2 2" xfId="9254" xr:uid="{00000000-0005-0000-0000-0000DA3D0000}"/>
    <cellStyle name="Normal 5 5 2 2 2 3 2 2 2" xfId="19114" xr:uid="{00000000-0005-0000-0000-0000DB3D0000}"/>
    <cellStyle name="Normal 5 5 2 2 2 3 2 2 2 2" xfId="38829" xr:uid="{00000000-0005-0000-0000-0000DC3D0000}"/>
    <cellStyle name="Normal 5 5 2 2 2 3 2 2 3" xfId="28972" xr:uid="{00000000-0005-0000-0000-0000DD3D0000}"/>
    <cellStyle name="Normal 5 5 2 2 2 3 2 3" xfId="14186" xr:uid="{00000000-0005-0000-0000-0000DE3D0000}"/>
    <cellStyle name="Normal 5 5 2 2 2 3 2 3 2" xfId="33901" xr:uid="{00000000-0005-0000-0000-0000DF3D0000}"/>
    <cellStyle name="Normal 5 5 2 2 2 3 2 4" xfId="24044" xr:uid="{00000000-0005-0000-0000-0000E03D0000}"/>
    <cellStyle name="Normal 5 5 2 2 2 3 3" xfId="6790" xr:uid="{00000000-0005-0000-0000-0000E13D0000}"/>
    <cellStyle name="Normal 5 5 2 2 2 3 3 2" xfId="16650" xr:uid="{00000000-0005-0000-0000-0000E23D0000}"/>
    <cellStyle name="Normal 5 5 2 2 2 3 3 2 2" xfId="36365" xr:uid="{00000000-0005-0000-0000-0000E33D0000}"/>
    <cellStyle name="Normal 5 5 2 2 2 3 3 3" xfId="26508" xr:uid="{00000000-0005-0000-0000-0000E43D0000}"/>
    <cellStyle name="Normal 5 5 2 2 2 3 4" xfId="11722" xr:uid="{00000000-0005-0000-0000-0000E53D0000}"/>
    <cellStyle name="Normal 5 5 2 2 2 3 4 2" xfId="31437" xr:uid="{00000000-0005-0000-0000-0000E63D0000}"/>
    <cellStyle name="Normal 5 5 2 2 2 3 5" xfId="21580" xr:uid="{00000000-0005-0000-0000-0000E73D0000}"/>
    <cellStyle name="Normal 5 5 2 2 2 4" xfId="3090" xr:uid="{00000000-0005-0000-0000-0000E83D0000}"/>
    <cellStyle name="Normal 5 5 2 2 2 4 2" xfId="8022" xr:uid="{00000000-0005-0000-0000-0000E93D0000}"/>
    <cellStyle name="Normal 5 5 2 2 2 4 2 2" xfId="17882" xr:uid="{00000000-0005-0000-0000-0000EA3D0000}"/>
    <cellStyle name="Normal 5 5 2 2 2 4 2 2 2" xfId="37597" xr:uid="{00000000-0005-0000-0000-0000EB3D0000}"/>
    <cellStyle name="Normal 5 5 2 2 2 4 2 3" xfId="27740" xr:uid="{00000000-0005-0000-0000-0000EC3D0000}"/>
    <cellStyle name="Normal 5 5 2 2 2 4 3" xfId="12954" xr:uid="{00000000-0005-0000-0000-0000ED3D0000}"/>
    <cellStyle name="Normal 5 5 2 2 2 4 3 2" xfId="32669" xr:uid="{00000000-0005-0000-0000-0000EE3D0000}"/>
    <cellStyle name="Normal 5 5 2 2 2 4 4" xfId="22812" xr:uid="{00000000-0005-0000-0000-0000EF3D0000}"/>
    <cellStyle name="Normal 5 5 2 2 2 5" xfId="5558" xr:uid="{00000000-0005-0000-0000-0000F03D0000}"/>
    <cellStyle name="Normal 5 5 2 2 2 5 2" xfId="15418" xr:uid="{00000000-0005-0000-0000-0000F13D0000}"/>
    <cellStyle name="Normal 5 5 2 2 2 5 2 2" xfId="35133" xr:uid="{00000000-0005-0000-0000-0000F23D0000}"/>
    <cellStyle name="Normal 5 5 2 2 2 5 3" xfId="25276" xr:uid="{00000000-0005-0000-0000-0000F33D0000}"/>
    <cellStyle name="Normal 5 5 2 2 2 6" xfId="10490" xr:uid="{00000000-0005-0000-0000-0000F43D0000}"/>
    <cellStyle name="Normal 5 5 2 2 2 6 2" xfId="30205" xr:uid="{00000000-0005-0000-0000-0000F53D0000}"/>
    <cellStyle name="Normal 5 5 2 2 2 7" xfId="20348" xr:uid="{00000000-0005-0000-0000-0000F63D0000}"/>
    <cellStyle name="Normal 5 5 2 2 3" xfId="929" xr:uid="{00000000-0005-0000-0000-0000F73D0000}"/>
    <cellStyle name="Normal 5 5 2 2 3 2" xfId="2165" xr:uid="{00000000-0005-0000-0000-0000F83D0000}"/>
    <cellStyle name="Normal 5 5 2 2 3 2 2" xfId="4632" xr:uid="{00000000-0005-0000-0000-0000F93D0000}"/>
    <cellStyle name="Normal 5 5 2 2 3 2 2 2" xfId="9564" xr:uid="{00000000-0005-0000-0000-0000FA3D0000}"/>
    <cellStyle name="Normal 5 5 2 2 3 2 2 2 2" xfId="19424" xr:uid="{00000000-0005-0000-0000-0000FB3D0000}"/>
    <cellStyle name="Normal 5 5 2 2 3 2 2 2 2 2" xfId="39139" xr:uid="{00000000-0005-0000-0000-0000FC3D0000}"/>
    <cellStyle name="Normal 5 5 2 2 3 2 2 2 3" xfId="29282" xr:uid="{00000000-0005-0000-0000-0000FD3D0000}"/>
    <cellStyle name="Normal 5 5 2 2 3 2 2 3" xfId="14496" xr:uid="{00000000-0005-0000-0000-0000FE3D0000}"/>
    <cellStyle name="Normal 5 5 2 2 3 2 2 3 2" xfId="34211" xr:uid="{00000000-0005-0000-0000-0000FF3D0000}"/>
    <cellStyle name="Normal 5 5 2 2 3 2 2 4" xfId="24354" xr:uid="{00000000-0005-0000-0000-0000003E0000}"/>
    <cellStyle name="Normal 5 5 2 2 3 2 3" xfId="7100" xr:uid="{00000000-0005-0000-0000-0000013E0000}"/>
    <cellStyle name="Normal 5 5 2 2 3 2 3 2" xfId="16960" xr:uid="{00000000-0005-0000-0000-0000023E0000}"/>
    <cellStyle name="Normal 5 5 2 2 3 2 3 2 2" xfId="36675" xr:uid="{00000000-0005-0000-0000-0000033E0000}"/>
    <cellStyle name="Normal 5 5 2 2 3 2 3 3" xfId="26818" xr:uid="{00000000-0005-0000-0000-0000043E0000}"/>
    <cellStyle name="Normal 5 5 2 2 3 2 4" xfId="12032" xr:uid="{00000000-0005-0000-0000-0000053E0000}"/>
    <cellStyle name="Normal 5 5 2 2 3 2 4 2" xfId="31747" xr:uid="{00000000-0005-0000-0000-0000063E0000}"/>
    <cellStyle name="Normal 5 5 2 2 3 2 5" xfId="21890" xr:uid="{00000000-0005-0000-0000-0000073E0000}"/>
    <cellStyle name="Normal 5 5 2 2 3 3" xfId="3400" xr:uid="{00000000-0005-0000-0000-0000083E0000}"/>
    <cellStyle name="Normal 5 5 2 2 3 3 2" xfId="8332" xr:uid="{00000000-0005-0000-0000-0000093E0000}"/>
    <cellStyle name="Normal 5 5 2 2 3 3 2 2" xfId="18192" xr:uid="{00000000-0005-0000-0000-00000A3E0000}"/>
    <cellStyle name="Normal 5 5 2 2 3 3 2 2 2" xfId="37907" xr:uid="{00000000-0005-0000-0000-00000B3E0000}"/>
    <cellStyle name="Normal 5 5 2 2 3 3 2 3" xfId="28050" xr:uid="{00000000-0005-0000-0000-00000C3E0000}"/>
    <cellStyle name="Normal 5 5 2 2 3 3 3" xfId="13264" xr:uid="{00000000-0005-0000-0000-00000D3E0000}"/>
    <cellStyle name="Normal 5 5 2 2 3 3 3 2" xfId="32979" xr:uid="{00000000-0005-0000-0000-00000E3E0000}"/>
    <cellStyle name="Normal 5 5 2 2 3 3 4" xfId="23122" xr:uid="{00000000-0005-0000-0000-00000F3E0000}"/>
    <cellStyle name="Normal 5 5 2 2 3 4" xfId="5868" xr:uid="{00000000-0005-0000-0000-0000103E0000}"/>
    <cellStyle name="Normal 5 5 2 2 3 4 2" xfId="15728" xr:uid="{00000000-0005-0000-0000-0000113E0000}"/>
    <cellStyle name="Normal 5 5 2 2 3 4 2 2" xfId="35443" xr:uid="{00000000-0005-0000-0000-0000123E0000}"/>
    <cellStyle name="Normal 5 5 2 2 3 4 3" xfId="25586" xr:uid="{00000000-0005-0000-0000-0000133E0000}"/>
    <cellStyle name="Normal 5 5 2 2 3 5" xfId="10800" xr:uid="{00000000-0005-0000-0000-0000143E0000}"/>
    <cellStyle name="Normal 5 5 2 2 3 5 2" xfId="30515" xr:uid="{00000000-0005-0000-0000-0000153E0000}"/>
    <cellStyle name="Normal 5 5 2 2 3 6" xfId="20658" xr:uid="{00000000-0005-0000-0000-0000163E0000}"/>
    <cellStyle name="Normal 5 5 2 2 4" xfId="1549" xr:uid="{00000000-0005-0000-0000-0000173E0000}"/>
    <cellStyle name="Normal 5 5 2 2 4 2" xfId="4016" xr:uid="{00000000-0005-0000-0000-0000183E0000}"/>
    <cellStyle name="Normal 5 5 2 2 4 2 2" xfId="8948" xr:uid="{00000000-0005-0000-0000-0000193E0000}"/>
    <cellStyle name="Normal 5 5 2 2 4 2 2 2" xfId="18808" xr:uid="{00000000-0005-0000-0000-00001A3E0000}"/>
    <cellStyle name="Normal 5 5 2 2 4 2 2 2 2" xfId="38523" xr:uid="{00000000-0005-0000-0000-00001B3E0000}"/>
    <cellStyle name="Normal 5 5 2 2 4 2 2 3" xfId="28666" xr:uid="{00000000-0005-0000-0000-00001C3E0000}"/>
    <cellStyle name="Normal 5 5 2 2 4 2 3" xfId="13880" xr:uid="{00000000-0005-0000-0000-00001D3E0000}"/>
    <cellStyle name="Normal 5 5 2 2 4 2 3 2" xfId="33595" xr:uid="{00000000-0005-0000-0000-00001E3E0000}"/>
    <cellStyle name="Normal 5 5 2 2 4 2 4" xfId="23738" xr:uid="{00000000-0005-0000-0000-00001F3E0000}"/>
    <cellStyle name="Normal 5 5 2 2 4 3" xfId="6484" xr:uid="{00000000-0005-0000-0000-0000203E0000}"/>
    <cellStyle name="Normal 5 5 2 2 4 3 2" xfId="16344" xr:uid="{00000000-0005-0000-0000-0000213E0000}"/>
    <cellStyle name="Normal 5 5 2 2 4 3 2 2" xfId="36059" xr:uid="{00000000-0005-0000-0000-0000223E0000}"/>
    <cellStyle name="Normal 5 5 2 2 4 3 3" xfId="26202" xr:uid="{00000000-0005-0000-0000-0000233E0000}"/>
    <cellStyle name="Normal 5 5 2 2 4 4" xfId="11416" xr:uid="{00000000-0005-0000-0000-0000243E0000}"/>
    <cellStyle name="Normal 5 5 2 2 4 4 2" xfId="31131" xr:uid="{00000000-0005-0000-0000-0000253E0000}"/>
    <cellStyle name="Normal 5 5 2 2 4 5" xfId="21274" xr:uid="{00000000-0005-0000-0000-0000263E0000}"/>
    <cellStyle name="Normal 5 5 2 2 5" xfId="2784" xr:uid="{00000000-0005-0000-0000-0000273E0000}"/>
    <cellStyle name="Normal 5 5 2 2 5 2" xfId="7716" xr:uid="{00000000-0005-0000-0000-0000283E0000}"/>
    <cellStyle name="Normal 5 5 2 2 5 2 2" xfId="17576" xr:uid="{00000000-0005-0000-0000-0000293E0000}"/>
    <cellStyle name="Normal 5 5 2 2 5 2 2 2" xfId="37291" xr:uid="{00000000-0005-0000-0000-00002A3E0000}"/>
    <cellStyle name="Normal 5 5 2 2 5 2 3" xfId="27434" xr:uid="{00000000-0005-0000-0000-00002B3E0000}"/>
    <cellStyle name="Normal 5 5 2 2 5 3" xfId="12648" xr:uid="{00000000-0005-0000-0000-00002C3E0000}"/>
    <cellStyle name="Normal 5 5 2 2 5 3 2" xfId="32363" xr:uid="{00000000-0005-0000-0000-00002D3E0000}"/>
    <cellStyle name="Normal 5 5 2 2 5 4" xfId="22506" xr:uid="{00000000-0005-0000-0000-00002E3E0000}"/>
    <cellStyle name="Normal 5 5 2 2 6" xfId="5252" xr:uid="{00000000-0005-0000-0000-00002F3E0000}"/>
    <cellStyle name="Normal 5 5 2 2 6 2" xfId="15112" xr:uid="{00000000-0005-0000-0000-0000303E0000}"/>
    <cellStyle name="Normal 5 5 2 2 6 2 2" xfId="34827" xr:uid="{00000000-0005-0000-0000-0000313E0000}"/>
    <cellStyle name="Normal 5 5 2 2 6 3" xfId="24970" xr:uid="{00000000-0005-0000-0000-0000323E0000}"/>
    <cellStyle name="Normal 5 5 2 2 7" xfId="10184" xr:uid="{00000000-0005-0000-0000-0000333E0000}"/>
    <cellStyle name="Normal 5 5 2 2 7 2" xfId="29899" xr:uid="{00000000-0005-0000-0000-0000343E0000}"/>
    <cellStyle name="Normal 5 5 2 2 8" xfId="20042" xr:uid="{00000000-0005-0000-0000-0000353E0000}"/>
    <cellStyle name="Normal 5 5 2 3" xfId="464" xr:uid="{00000000-0005-0000-0000-0000363E0000}"/>
    <cellStyle name="Normal 5 5 2 3 2" xfId="1084" xr:uid="{00000000-0005-0000-0000-0000373E0000}"/>
    <cellStyle name="Normal 5 5 2 3 2 2" xfId="2319" xr:uid="{00000000-0005-0000-0000-0000383E0000}"/>
    <cellStyle name="Normal 5 5 2 3 2 2 2" xfId="4786" xr:uid="{00000000-0005-0000-0000-0000393E0000}"/>
    <cellStyle name="Normal 5 5 2 3 2 2 2 2" xfId="9718" xr:uid="{00000000-0005-0000-0000-00003A3E0000}"/>
    <cellStyle name="Normal 5 5 2 3 2 2 2 2 2" xfId="19578" xr:uid="{00000000-0005-0000-0000-00003B3E0000}"/>
    <cellStyle name="Normal 5 5 2 3 2 2 2 2 2 2" xfId="39293" xr:uid="{00000000-0005-0000-0000-00003C3E0000}"/>
    <cellStyle name="Normal 5 5 2 3 2 2 2 2 3" xfId="29436" xr:uid="{00000000-0005-0000-0000-00003D3E0000}"/>
    <cellStyle name="Normal 5 5 2 3 2 2 2 3" xfId="14650" xr:uid="{00000000-0005-0000-0000-00003E3E0000}"/>
    <cellStyle name="Normal 5 5 2 3 2 2 2 3 2" xfId="34365" xr:uid="{00000000-0005-0000-0000-00003F3E0000}"/>
    <cellStyle name="Normal 5 5 2 3 2 2 2 4" xfId="24508" xr:uid="{00000000-0005-0000-0000-0000403E0000}"/>
    <cellStyle name="Normal 5 5 2 3 2 2 3" xfId="7254" xr:uid="{00000000-0005-0000-0000-0000413E0000}"/>
    <cellStyle name="Normal 5 5 2 3 2 2 3 2" xfId="17114" xr:uid="{00000000-0005-0000-0000-0000423E0000}"/>
    <cellStyle name="Normal 5 5 2 3 2 2 3 2 2" xfId="36829" xr:uid="{00000000-0005-0000-0000-0000433E0000}"/>
    <cellStyle name="Normal 5 5 2 3 2 2 3 3" xfId="26972" xr:uid="{00000000-0005-0000-0000-0000443E0000}"/>
    <cellStyle name="Normal 5 5 2 3 2 2 4" xfId="12186" xr:uid="{00000000-0005-0000-0000-0000453E0000}"/>
    <cellStyle name="Normal 5 5 2 3 2 2 4 2" xfId="31901" xr:uid="{00000000-0005-0000-0000-0000463E0000}"/>
    <cellStyle name="Normal 5 5 2 3 2 2 5" xfId="22044" xr:uid="{00000000-0005-0000-0000-0000473E0000}"/>
    <cellStyle name="Normal 5 5 2 3 2 3" xfId="3554" xr:uid="{00000000-0005-0000-0000-0000483E0000}"/>
    <cellStyle name="Normal 5 5 2 3 2 3 2" xfId="8486" xr:uid="{00000000-0005-0000-0000-0000493E0000}"/>
    <cellStyle name="Normal 5 5 2 3 2 3 2 2" xfId="18346" xr:uid="{00000000-0005-0000-0000-00004A3E0000}"/>
    <cellStyle name="Normal 5 5 2 3 2 3 2 2 2" xfId="38061" xr:uid="{00000000-0005-0000-0000-00004B3E0000}"/>
    <cellStyle name="Normal 5 5 2 3 2 3 2 3" xfId="28204" xr:uid="{00000000-0005-0000-0000-00004C3E0000}"/>
    <cellStyle name="Normal 5 5 2 3 2 3 3" xfId="13418" xr:uid="{00000000-0005-0000-0000-00004D3E0000}"/>
    <cellStyle name="Normal 5 5 2 3 2 3 3 2" xfId="33133" xr:uid="{00000000-0005-0000-0000-00004E3E0000}"/>
    <cellStyle name="Normal 5 5 2 3 2 3 4" xfId="23276" xr:uid="{00000000-0005-0000-0000-00004F3E0000}"/>
    <cellStyle name="Normal 5 5 2 3 2 4" xfId="6022" xr:uid="{00000000-0005-0000-0000-0000503E0000}"/>
    <cellStyle name="Normal 5 5 2 3 2 4 2" xfId="15882" xr:uid="{00000000-0005-0000-0000-0000513E0000}"/>
    <cellStyle name="Normal 5 5 2 3 2 4 2 2" xfId="35597" xr:uid="{00000000-0005-0000-0000-0000523E0000}"/>
    <cellStyle name="Normal 5 5 2 3 2 4 3" xfId="25740" xr:uid="{00000000-0005-0000-0000-0000533E0000}"/>
    <cellStyle name="Normal 5 5 2 3 2 5" xfId="10954" xr:uid="{00000000-0005-0000-0000-0000543E0000}"/>
    <cellStyle name="Normal 5 5 2 3 2 5 2" xfId="30669" xr:uid="{00000000-0005-0000-0000-0000553E0000}"/>
    <cellStyle name="Normal 5 5 2 3 2 6" xfId="20812" xr:uid="{00000000-0005-0000-0000-0000563E0000}"/>
    <cellStyle name="Normal 5 5 2 3 3" xfId="1703" xr:uid="{00000000-0005-0000-0000-0000573E0000}"/>
    <cellStyle name="Normal 5 5 2 3 3 2" xfId="4170" xr:uid="{00000000-0005-0000-0000-0000583E0000}"/>
    <cellStyle name="Normal 5 5 2 3 3 2 2" xfId="9102" xr:uid="{00000000-0005-0000-0000-0000593E0000}"/>
    <cellStyle name="Normal 5 5 2 3 3 2 2 2" xfId="18962" xr:uid="{00000000-0005-0000-0000-00005A3E0000}"/>
    <cellStyle name="Normal 5 5 2 3 3 2 2 2 2" xfId="38677" xr:uid="{00000000-0005-0000-0000-00005B3E0000}"/>
    <cellStyle name="Normal 5 5 2 3 3 2 2 3" xfId="28820" xr:uid="{00000000-0005-0000-0000-00005C3E0000}"/>
    <cellStyle name="Normal 5 5 2 3 3 2 3" xfId="14034" xr:uid="{00000000-0005-0000-0000-00005D3E0000}"/>
    <cellStyle name="Normal 5 5 2 3 3 2 3 2" xfId="33749" xr:uid="{00000000-0005-0000-0000-00005E3E0000}"/>
    <cellStyle name="Normal 5 5 2 3 3 2 4" xfId="23892" xr:uid="{00000000-0005-0000-0000-00005F3E0000}"/>
    <cellStyle name="Normal 5 5 2 3 3 3" xfId="6638" xr:uid="{00000000-0005-0000-0000-0000603E0000}"/>
    <cellStyle name="Normal 5 5 2 3 3 3 2" xfId="16498" xr:uid="{00000000-0005-0000-0000-0000613E0000}"/>
    <cellStyle name="Normal 5 5 2 3 3 3 2 2" xfId="36213" xr:uid="{00000000-0005-0000-0000-0000623E0000}"/>
    <cellStyle name="Normal 5 5 2 3 3 3 3" xfId="26356" xr:uid="{00000000-0005-0000-0000-0000633E0000}"/>
    <cellStyle name="Normal 5 5 2 3 3 4" xfId="11570" xr:uid="{00000000-0005-0000-0000-0000643E0000}"/>
    <cellStyle name="Normal 5 5 2 3 3 4 2" xfId="31285" xr:uid="{00000000-0005-0000-0000-0000653E0000}"/>
    <cellStyle name="Normal 5 5 2 3 3 5" xfId="21428" xr:uid="{00000000-0005-0000-0000-0000663E0000}"/>
    <cellStyle name="Normal 5 5 2 3 4" xfId="2938" xr:uid="{00000000-0005-0000-0000-0000673E0000}"/>
    <cellStyle name="Normal 5 5 2 3 4 2" xfId="7870" xr:uid="{00000000-0005-0000-0000-0000683E0000}"/>
    <cellStyle name="Normal 5 5 2 3 4 2 2" xfId="17730" xr:uid="{00000000-0005-0000-0000-0000693E0000}"/>
    <cellStyle name="Normal 5 5 2 3 4 2 2 2" xfId="37445" xr:uid="{00000000-0005-0000-0000-00006A3E0000}"/>
    <cellStyle name="Normal 5 5 2 3 4 2 3" xfId="27588" xr:uid="{00000000-0005-0000-0000-00006B3E0000}"/>
    <cellStyle name="Normal 5 5 2 3 4 3" xfId="12802" xr:uid="{00000000-0005-0000-0000-00006C3E0000}"/>
    <cellStyle name="Normal 5 5 2 3 4 3 2" xfId="32517" xr:uid="{00000000-0005-0000-0000-00006D3E0000}"/>
    <cellStyle name="Normal 5 5 2 3 4 4" xfId="22660" xr:uid="{00000000-0005-0000-0000-00006E3E0000}"/>
    <cellStyle name="Normal 5 5 2 3 5" xfId="5406" xr:uid="{00000000-0005-0000-0000-00006F3E0000}"/>
    <cellStyle name="Normal 5 5 2 3 5 2" xfId="15266" xr:uid="{00000000-0005-0000-0000-0000703E0000}"/>
    <cellStyle name="Normal 5 5 2 3 5 2 2" xfId="34981" xr:uid="{00000000-0005-0000-0000-0000713E0000}"/>
    <cellStyle name="Normal 5 5 2 3 5 3" xfId="25124" xr:uid="{00000000-0005-0000-0000-0000723E0000}"/>
    <cellStyle name="Normal 5 5 2 3 6" xfId="10338" xr:uid="{00000000-0005-0000-0000-0000733E0000}"/>
    <cellStyle name="Normal 5 5 2 3 6 2" xfId="30053" xr:uid="{00000000-0005-0000-0000-0000743E0000}"/>
    <cellStyle name="Normal 5 5 2 3 7" xfId="20196" xr:uid="{00000000-0005-0000-0000-0000753E0000}"/>
    <cellStyle name="Normal 5 5 2 4" xfId="777" xr:uid="{00000000-0005-0000-0000-0000763E0000}"/>
    <cellStyle name="Normal 5 5 2 4 2" xfId="2013" xr:uid="{00000000-0005-0000-0000-0000773E0000}"/>
    <cellStyle name="Normal 5 5 2 4 2 2" xfId="4480" xr:uid="{00000000-0005-0000-0000-0000783E0000}"/>
    <cellStyle name="Normal 5 5 2 4 2 2 2" xfId="9412" xr:uid="{00000000-0005-0000-0000-0000793E0000}"/>
    <cellStyle name="Normal 5 5 2 4 2 2 2 2" xfId="19272" xr:uid="{00000000-0005-0000-0000-00007A3E0000}"/>
    <cellStyle name="Normal 5 5 2 4 2 2 2 2 2" xfId="38987" xr:uid="{00000000-0005-0000-0000-00007B3E0000}"/>
    <cellStyle name="Normal 5 5 2 4 2 2 2 3" xfId="29130" xr:uid="{00000000-0005-0000-0000-00007C3E0000}"/>
    <cellStyle name="Normal 5 5 2 4 2 2 3" xfId="14344" xr:uid="{00000000-0005-0000-0000-00007D3E0000}"/>
    <cellStyle name="Normal 5 5 2 4 2 2 3 2" xfId="34059" xr:uid="{00000000-0005-0000-0000-00007E3E0000}"/>
    <cellStyle name="Normal 5 5 2 4 2 2 4" xfId="24202" xr:uid="{00000000-0005-0000-0000-00007F3E0000}"/>
    <cellStyle name="Normal 5 5 2 4 2 3" xfId="6948" xr:uid="{00000000-0005-0000-0000-0000803E0000}"/>
    <cellStyle name="Normal 5 5 2 4 2 3 2" xfId="16808" xr:uid="{00000000-0005-0000-0000-0000813E0000}"/>
    <cellStyle name="Normal 5 5 2 4 2 3 2 2" xfId="36523" xr:uid="{00000000-0005-0000-0000-0000823E0000}"/>
    <cellStyle name="Normal 5 5 2 4 2 3 3" xfId="26666" xr:uid="{00000000-0005-0000-0000-0000833E0000}"/>
    <cellStyle name="Normal 5 5 2 4 2 4" xfId="11880" xr:uid="{00000000-0005-0000-0000-0000843E0000}"/>
    <cellStyle name="Normal 5 5 2 4 2 4 2" xfId="31595" xr:uid="{00000000-0005-0000-0000-0000853E0000}"/>
    <cellStyle name="Normal 5 5 2 4 2 5" xfId="21738" xr:uid="{00000000-0005-0000-0000-0000863E0000}"/>
    <cellStyle name="Normal 5 5 2 4 3" xfId="3248" xr:uid="{00000000-0005-0000-0000-0000873E0000}"/>
    <cellStyle name="Normal 5 5 2 4 3 2" xfId="8180" xr:uid="{00000000-0005-0000-0000-0000883E0000}"/>
    <cellStyle name="Normal 5 5 2 4 3 2 2" xfId="18040" xr:uid="{00000000-0005-0000-0000-0000893E0000}"/>
    <cellStyle name="Normal 5 5 2 4 3 2 2 2" xfId="37755" xr:uid="{00000000-0005-0000-0000-00008A3E0000}"/>
    <cellStyle name="Normal 5 5 2 4 3 2 3" xfId="27898" xr:uid="{00000000-0005-0000-0000-00008B3E0000}"/>
    <cellStyle name="Normal 5 5 2 4 3 3" xfId="13112" xr:uid="{00000000-0005-0000-0000-00008C3E0000}"/>
    <cellStyle name="Normal 5 5 2 4 3 3 2" xfId="32827" xr:uid="{00000000-0005-0000-0000-00008D3E0000}"/>
    <cellStyle name="Normal 5 5 2 4 3 4" xfId="22970" xr:uid="{00000000-0005-0000-0000-00008E3E0000}"/>
    <cellStyle name="Normal 5 5 2 4 4" xfId="5716" xr:uid="{00000000-0005-0000-0000-00008F3E0000}"/>
    <cellStyle name="Normal 5 5 2 4 4 2" xfId="15576" xr:uid="{00000000-0005-0000-0000-0000903E0000}"/>
    <cellStyle name="Normal 5 5 2 4 4 2 2" xfId="35291" xr:uid="{00000000-0005-0000-0000-0000913E0000}"/>
    <cellStyle name="Normal 5 5 2 4 4 3" xfId="25434" xr:uid="{00000000-0005-0000-0000-0000923E0000}"/>
    <cellStyle name="Normal 5 5 2 4 5" xfId="10648" xr:uid="{00000000-0005-0000-0000-0000933E0000}"/>
    <cellStyle name="Normal 5 5 2 4 5 2" xfId="30363" xr:uid="{00000000-0005-0000-0000-0000943E0000}"/>
    <cellStyle name="Normal 5 5 2 4 6" xfId="20506" xr:uid="{00000000-0005-0000-0000-0000953E0000}"/>
    <cellStyle name="Normal 5 5 2 5" xfId="1397" xr:uid="{00000000-0005-0000-0000-0000963E0000}"/>
    <cellStyle name="Normal 5 5 2 5 2" xfId="3864" xr:uid="{00000000-0005-0000-0000-0000973E0000}"/>
    <cellStyle name="Normal 5 5 2 5 2 2" xfId="8796" xr:uid="{00000000-0005-0000-0000-0000983E0000}"/>
    <cellStyle name="Normal 5 5 2 5 2 2 2" xfId="18656" xr:uid="{00000000-0005-0000-0000-0000993E0000}"/>
    <cellStyle name="Normal 5 5 2 5 2 2 2 2" xfId="38371" xr:uid="{00000000-0005-0000-0000-00009A3E0000}"/>
    <cellStyle name="Normal 5 5 2 5 2 2 3" xfId="28514" xr:uid="{00000000-0005-0000-0000-00009B3E0000}"/>
    <cellStyle name="Normal 5 5 2 5 2 3" xfId="13728" xr:uid="{00000000-0005-0000-0000-00009C3E0000}"/>
    <cellStyle name="Normal 5 5 2 5 2 3 2" xfId="33443" xr:uid="{00000000-0005-0000-0000-00009D3E0000}"/>
    <cellStyle name="Normal 5 5 2 5 2 4" xfId="23586" xr:uid="{00000000-0005-0000-0000-00009E3E0000}"/>
    <cellStyle name="Normal 5 5 2 5 3" xfId="6332" xr:uid="{00000000-0005-0000-0000-00009F3E0000}"/>
    <cellStyle name="Normal 5 5 2 5 3 2" xfId="16192" xr:uid="{00000000-0005-0000-0000-0000A03E0000}"/>
    <cellStyle name="Normal 5 5 2 5 3 2 2" xfId="35907" xr:uid="{00000000-0005-0000-0000-0000A13E0000}"/>
    <cellStyle name="Normal 5 5 2 5 3 3" xfId="26050" xr:uid="{00000000-0005-0000-0000-0000A23E0000}"/>
    <cellStyle name="Normal 5 5 2 5 4" xfId="11264" xr:uid="{00000000-0005-0000-0000-0000A33E0000}"/>
    <cellStyle name="Normal 5 5 2 5 4 2" xfId="30979" xr:uid="{00000000-0005-0000-0000-0000A43E0000}"/>
    <cellStyle name="Normal 5 5 2 5 5" xfId="21122" xr:uid="{00000000-0005-0000-0000-0000A53E0000}"/>
    <cellStyle name="Normal 5 5 2 6" xfId="2632" xr:uid="{00000000-0005-0000-0000-0000A63E0000}"/>
    <cellStyle name="Normal 5 5 2 6 2" xfId="7564" xr:uid="{00000000-0005-0000-0000-0000A73E0000}"/>
    <cellStyle name="Normal 5 5 2 6 2 2" xfId="17424" xr:uid="{00000000-0005-0000-0000-0000A83E0000}"/>
    <cellStyle name="Normal 5 5 2 6 2 2 2" xfId="37139" xr:uid="{00000000-0005-0000-0000-0000A93E0000}"/>
    <cellStyle name="Normal 5 5 2 6 2 3" xfId="27282" xr:uid="{00000000-0005-0000-0000-0000AA3E0000}"/>
    <cellStyle name="Normal 5 5 2 6 3" xfId="12496" xr:uid="{00000000-0005-0000-0000-0000AB3E0000}"/>
    <cellStyle name="Normal 5 5 2 6 3 2" xfId="32211" xr:uid="{00000000-0005-0000-0000-0000AC3E0000}"/>
    <cellStyle name="Normal 5 5 2 6 4" xfId="22354" xr:uid="{00000000-0005-0000-0000-0000AD3E0000}"/>
    <cellStyle name="Normal 5 5 2 7" xfId="5100" xr:uid="{00000000-0005-0000-0000-0000AE3E0000}"/>
    <cellStyle name="Normal 5 5 2 7 2" xfId="14960" xr:uid="{00000000-0005-0000-0000-0000AF3E0000}"/>
    <cellStyle name="Normal 5 5 2 7 2 2" xfId="34675" xr:uid="{00000000-0005-0000-0000-0000B03E0000}"/>
    <cellStyle name="Normal 5 5 2 7 3" xfId="24818" xr:uid="{00000000-0005-0000-0000-0000B13E0000}"/>
    <cellStyle name="Normal 5 5 2 8" xfId="10032" xr:uid="{00000000-0005-0000-0000-0000B23E0000}"/>
    <cellStyle name="Normal 5 5 2 8 2" xfId="29747" xr:uid="{00000000-0005-0000-0000-0000B33E0000}"/>
    <cellStyle name="Normal 5 5 2 9" xfId="19890" xr:uid="{00000000-0005-0000-0000-0000B43E0000}"/>
    <cellStyle name="Normal 5 5 3" xfId="226" xr:uid="{00000000-0005-0000-0000-0000B53E0000}"/>
    <cellStyle name="Normal 5 5 3 2" xfId="540" xr:uid="{00000000-0005-0000-0000-0000B63E0000}"/>
    <cellStyle name="Normal 5 5 3 2 2" xfId="1160" xr:uid="{00000000-0005-0000-0000-0000B73E0000}"/>
    <cellStyle name="Normal 5 5 3 2 2 2" xfId="2395" xr:uid="{00000000-0005-0000-0000-0000B83E0000}"/>
    <cellStyle name="Normal 5 5 3 2 2 2 2" xfId="4862" xr:uid="{00000000-0005-0000-0000-0000B93E0000}"/>
    <cellStyle name="Normal 5 5 3 2 2 2 2 2" xfId="9794" xr:uid="{00000000-0005-0000-0000-0000BA3E0000}"/>
    <cellStyle name="Normal 5 5 3 2 2 2 2 2 2" xfId="19654" xr:uid="{00000000-0005-0000-0000-0000BB3E0000}"/>
    <cellStyle name="Normal 5 5 3 2 2 2 2 2 2 2" xfId="39369" xr:uid="{00000000-0005-0000-0000-0000BC3E0000}"/>
    <cellStyle name="Normal 5 5 3 2 2 2 2 2 3" xfId="29512" xr:uid="{00000000-0005-0000-0000-0000BD3E0000}"/>
    <cellStyle name="Normal 5 5 3 2 2 2 2 3" xfId="14726" xr:uid="{00000000-0005-0000-0000-0000BE3E0000}"/>
    <cellStyle name="Normal 5 5 3 2 2 2 2 3 2" xfId="34441" xr:uid="{00000000-0005-0000-0000-0000BF3E0000}"/>
    <cellStyle name="Normal 5 5 3 2 2 2 2 4" xfId="24584" xr:uid="{00000000-0005-0000-0000-0000C03E0000}"/>
    <cellStyle name="Normal 5 5 3 2 2 2 3" xfId="7330" xr:uid="{00000000-0005-0000-0000-0000C13E0000}"/>
    <cellStyle name="Normal 5 5 3 2 2 2 3 2" xfId="17190" xr:uid="{00000000-0005-0000-0000-0000C23E0000}"/>
    <cellStyle name="Normal 5 5 3 2 2 2 3 2 2" xfId="36905" xr:uid="{00000000-0005-0000-0000-0000C33E0000}"/>
    <cellStyle name="Normal 5 5 3 2 2 2 3 3" xfId="27048" xr:uid="{00000000-0005-0000-0000-0000C43E0000}"/>
    <cellStyle name="Normal 5 5 3 2 2 2 4" xfId="12262" xr:uid="{00000000-0005-0000-0000-0000C53E0000}"/>
    <cellStyle name="Normal 5 5 3 2 2 2 4 2" xfId="31977" xr:uid="{00000000-0005-0000-0000-0000C63E0000}"/>
    <cellStyle name="Normal 5 5 3 2 2 2 5" xfId="22120" xr:uid="{00000000-0005-0000-0000-0000C73E0000}"/>
    <cellStyle name="Normal 5 5 3 2 2 3" xfId="3630" xr:uid="{00000000-0005-0000-0000-0000C83E0000}"/>
    <cellStyle name="Normal 5 5 3 2 2 3 2" xfId="8562" xr:uid="{00000000-0005-0000-0000-0000C93E0000}"/>
    <cellStyle name="Normal 5 5 3 2 2 3 2 2" xfId="18422" xr:uid="{00000000-0005-0000-0000-0000CA3E0000}"/>
    <cellStyle name="Normal 5 5 3 2 2 3 2 2 2" xfId="38137" xr:uid="{00000000-0005-0000-0000-0000CB3E0000}"/>
    <cellStyle name="Normal 5 5 3 2 2 3 2 3" xfId="28280" xr:uid="{00000000-0005-0000-0000-0000CC3E0000}"/>
    <cellStyle name="Normal 5 5 3 2 2 3 3" xfId="13494" xr:uid="{00000000-0005-0000-0000-0000CD3E0000}"/>
    <cellStyle name="Normal 5 5 3 2 2 3 3 2" xfId="33209" xr:uid="{00000000-0005-0000-0000-0000CE3E0000}"/>
    <cellStyle name="Normal 5 5 3 2 2 3 4" xfId="23352" xr:uid="{00000000-0005-0000-0000-0000CF3E0000}"/>
    <cellStyle name="Normal 5 5 3 2 2 4" xfId="6098" xr:uid="{00000000-0005-0000-0000-0000D03E0000}"/>
    <cellStyle name="Normal 5 5 3 2 2 4 2" xfId="15958" xr:uid="{00000000-0005-0000-0000-0000D13E0000}"/>
    <cellStyle name="Normal 5 5 3 2 2 4 2 2" xfId="35673" xr:uid="{00000000-0005-0000-0000-0000D23E0000}"/>
    <cellStyle name="Normal 5 5 3 2 2 4 3" xfId="25816" xr:uid="{00000000-0005-0000-0000-0000D33E0000}"/>
    <cellStyle name="Normal 5 5 3 2 2 5" xfId="11030" xr:uid="{00000000-0005-0000-0000-0000D43E0000}"/>
    <cellStyle name="Normal 5 5 3 2 2 5 2" xfId="30745" xr:uid="{00000000-0005-0000-0000-0000D53E0000}"/>
    <cellStyle name="Normal 5 5 3 2 2 6" xfId="20888" xr:uid="{00000000-0005-0000-0000-0000D63E0000}"/>
    <cellStyle name="Normal 5 5 3 2 3" xfId="1779" xr:uid="{00000000-0005-0000-0000-0000D73E0000}"/>
    <cellStyle name="Normal 5 5 3 2 3 2" xfId="4246" xr:uid="{00000000-0005-0000-0000-0000D83E0000}"/>
    <cellStyle name="Normal 5 5 3 2 3 2 2" xfId="9178" xr:uid="{00000000-0005-0000-0000-0000D93E0000}"/>
    <cellStyle name="Normal 5 5 3 2 3 2 2 2" xfId="19038" xr:uid="{00000000-0005-0000-0000-0000DA3E0000}"/>
    <cellStyle name="Normal 5 5 3 2 3 2 2 2 2" xfId="38753" xr:uid="{00000000-0005-0000-0000-0000DB3E0000}"/>
    <cellStyle name="Normal 5 5 3 2 3 2 2 3" xfId="28896" xr:uid="{00000000-0005-0000-0000-0000DC3E0000}"/>
    <cellStyle name="Normal 5 5 3 2 3 2 3" xfId="14110" xr:uid="{00000000-0005-0000-0000-0000DD3E0000}"/>
    <cellStyle name="Normal 5 5 3 2 3 2 3 2" xfId="33825" xr:uid="{00000000-0005-0000-0000-0000DE3E0000}"/>
    <cellStyle name="Normal 5 5 3 2 3 2 4" xfId="23968" xr:uid="{00000000-0005-0000-0000-0000DF3E0000}"/>
    <cellStyle name="Normal 5 5 3 2 3 3" xfId="6714" xr:uid="{00000000-0005-0000-0000-0000E03E0000}"/>
    <cellStyle name="Normal 5 5 3 2 3 3 2" xfId="16574" xr:uid="{00000000-0005-0000-0000-0000E13E0000}"/>
    <cellStyle name="Normal 5 5 3 2 3 3 2 2" xfId="36289" xr:uid="{00000000-0005-0000-0000-0000E23E0000}"/>
    <cellStyle name="Normal 5 5 3 2 3 3 3" xfId="26432" xr:uid="{00000000-0005-0000-0000-0000E33E0000}"/>
    <cellStyle name="Normal 5 5 3 2 3 4" xfId="11646" xr:uid="{00000000-0005-0000-0000-0000E43E0000}"/>
    <cellStyle name="Normal 5 5 3 2 3 4 2" xfId="31361" xr:uid="{00000000-0005-0000-0000-0000E53E0000}"/>
    <cellStyle name="Normal 5 5 3 2 3 5" xfId="21504" xr:uid="{00000000-0005-0000-0000-0000E63E0000}"/>
    <cellStyle name="Normal 5 5 3 2 4" xfId="3014" xr:uid="{00000000-0005-0000-0000-0000E73E0000}"/>
    <cellStyle name="Normal 5 5 3 2 4 2" xfId="7946" xr:uid="{00000000-0005-0000-0000-0000E83E0000}"/>
    <cellStyle name="Normal 5 5 3 2 4 2 2" xfId="17806" xr:uid="{00000000-0005-0000-0000-0000E93E0000}"/>
    <cellStyle name="Normal 5 5 3 2 4 2 2 2" xfId="37521" xr:uid="{00000000-0005-0000-0000-0000EA3E0000}"/>
    <cellStyle name="Normal 5 5 3 2 4 2 3" xfId="27664" xr:uid="{00000000-0005-0000-0000-0000EB3E0000}"/>
    <cellStyle name="Normal 5 5 3 2 4 3" xfId="12878" xr:uid="{00000000-0005-0000-0000-0000EC3E0000}"/>
    <cellStyle name="Normal 5 5 3 2 4 3 2" xfId="32593" xr:uid="{00000000-0005-0000-0000-0000ED3E0000}"/>
    <cellStyle name="Normal 5 5 3 2 4 4" xfId="22736" xr:uid="{00000000-0005-0000-0000-0000EE3E0000}"/>
    <cellStyle name="Normal 5 5 3 2 5" xfId="5482" xr:uid="{00000000-0005-0000-0000-0000EF3E0000}"/>
    <cellStyle name="Normal 5 5 3 2 5 2" xfId="15342" xr:uid="{00000000-0005-0000-0000-0000F03E0000}"/>
    <cellStyle name="Normal 5 5 3 2 5 2 2" xfId="35057" xr:uid="{00000000-0005-0000-0000-0000F13E0000}"/>
    <cellStyle name="Normal 5 5 3 2 5 3" xfId="25200" xr:uid="{00000000-0005-0000-0000-0000F23E0000}"/>
    <cellStyle name="Normal 5 5 3 2 6" xfId="10414" xr:uid="{00000000-0005-0000-0000-0000F33E0000}"/>
    <cellStyle name="Normal 5 5 3 2 6 2" xfId="30129" xr:uid="{00000000-0005-0000-0000-0000F43E0000}"/>
    <cellStyle name="Normal 5 5 3 2 7" xfId="20272" xr:uid="{00000000-0005-0000-0000-0000F53E0000}"/>
    <cellStyle name="Normal 5 5 3 3" xfId="853" xr:uid="{00000000-0005-0000-0000-0000F63E0000}"/>
    <cellStyle name="Normal 5 5 3 3 2" xfId="2089" xr:uid="{00000000-0005-0000-0000-0000F73E0000}"/>
    <cellStyle name="Normal 5 5 3 3 2 2" xfId="4556" xr:uid="{00000000-0005-0000-0000-0000F83E0000}"/>
    <cellStyle name="Normal 5 5 3 3 2 2 2" xfId="9488" xr:uid="{00000000-0005-0000-0000-0000F93E0000}"/>
    <cellStyle name="Normal 5 5 3 3 2 2 2 2" xfId="19348" xr:uid="{00000000-0005-0000-0000-0000FA3E0000}"/>
    <cellStyle name="Normal 5 5 3 3 2 2 2 2 2" xfId="39063" xr:uid="{00000000-0005-0000-0000-0000FB3E0000}"/>
    <cellStyle name="Normal 5 5 3 3 2 2 2 3" xfId="29206" xr:uid="{00000000-0005-0000-0000-0000FC3E0000}"/>
    <cellStyle name="Normal 5 5 3 3 2 2 3" xfId="14420" xr:uid="{00000000-0005-0000-0000-0000FD3E0000}"/>
    <cellStyle name="Normal 5 5 3 3 2 2 3 2" xfId="34135" xr:uid="{00000000-0005-0000-0000-0000FE3E0000}"/>
    <cellStyle name="Normal 5 5 3 3 2 2 4" xfId="24278" xr:uid="{00000000-0005-0000-0000-0000FF3E0000}"/>
    <cellStyle name="Normal 5 5 3 3 2 3" xfId="7024" xr:uid="{00000000-0005-0000-0000-0000003F0000}"/>
    <cellStyle name="Normal 5 5 3 3 2 3 2" xfId="16884" xr:uid="{00000000-0005-0000-0000-0000013F0000}"/>
    <cellStyle name="Normal 5 5 3 3 2 3 2 2" xfId="36599" xr:uid="{00000000-0005-0000-0000-0000023F0000}"/>
    <cellStyle name="Normal 5 5 3 3 2 3 3" xfId="26742" xr:uid="{00000000-0005-0000-0000-0000033F0000}"/>
    <cellStyle name="Normal 5 5 3 3 2 4" xfId="11956" xr:uid="{00000000-0005-0000-0000-0000043F0000}"/>
    <cellStyle name="Normal 5 5 3 3 2 4 2" xfId="31671" xr:uid="{00000000-0005-0000-0000-0000053F0000}"/>
    <cellStyle name="Normal 5 5 3 3 2 5" xfId="21814" xr:uid="{00000000-0005-0000-0000-0000063F0000}"/>
    <cellStyle name="Normal 5 5 3 3 3" xfId="3324" xr:uid="{00000000-0005-0000-0000-0000073F0000}"/>
    <cellStyle name="Normal 5 5 3 3 3 2" xfId="8256" xr:uid="{00000000-0005-0000-0000-0000083F0000}"/>
    <cellStyle name="Normal 5 5 3 3 3 2 2" xfId="18116" xr:uid="{00000000-0005-0000-0000-0000093F0000}"/>
    <cellStyle name="Normal 5 5 3 3 3 2 2 2" xfId="37831" xr:uid="{00000000-0005-0000-0000-00000A3F0000}"/>
    <cellStyle name="Normal 5 5 3 3 3 2 3" xfId="27974" xr:uid="{00000000-0005-0000-0000-00000B3F0000}"/>
    <cellStyle name="Normal 5 5 3 3 3 3" xfId="13188" xr:uid="{00000000-0005-0000-0000-00000C3F0000}"/>
    <cellStyle name="Normal 5 5 3 3 3 3 2" xfId="32903" xr:uid="{00000000-0005-0000-0000-00000D3F0000}"/>
    <cellStyle name="Normal 5 5 3 3 3 4" xfId="23046" xr:uid="{00000000-0005-0000-0000-00000E3F0000}"/>
    <cellStyle name="Normal 5 5 3 3 4" xfId="5792" xr:uid="{00000000-0005-0000-0000-00000F3F0000}"/>
    <cellStyle name="Normal 5 5 3 3 4 2" xfId="15652" xr:uid="{00000000-0005-0000-0000-0000103F0000}"/>
    <cellStyle name="Normal 5 5 3 3 4 2 2" xfId="35367" xr:uid="{00000000-0005-0000-0000-0000113F0000}"/>
    <cellStyle name="Normal 5 5 3 3 4 3" xfId="25510" xr:uid="{00000000-0005-0000-0000-0000123F0000}"/>
    <cellStyle name="Normal 5 5 3 3 5" xfId="10724" xr:uid="{00000000-0005-0000-0000-0000133F0000}"/>
    <cellStyle name="Normal 5 5 3 3 5 2" xfId="30439" xr:uid="{00000000-0005-0000-0000-0000143F0000}"/>
    <cellStyle name="Normal 5 5 3 3 6" xfId="20582" xr:uid="{00000000-0005-0000-0000-0000153F0000}"/>
    <cellStyle name="Normal 5 5 3 4" xfId="1473" xr:uid="{00000000-0005-0000-0000-0000163F0000}"/>
    <cellStyle name="Normal 5 5 3 4 2" xfId="3940" xr:uid="{00000000-0005-0000-0000-0000173F0000}"/>
    <cellStyle name="Normal 5 5 3 4 2 2" xfId="8872" xr:uid="{00000000-0005-0000-0000-0000183F0000}"/>
    <cellStyle name="Normal 5 5 3 4 2 2 2" xfId="18732" xr:uid="{00000000-0005-0000-0000-0000193F0000}"/>
    <cellStyle name="Normal 5 5 3 4 2 2 2 2" xfId="38447" xr:uid="{00000000-0005-0000-0000-00001A3F0000}"/>
    <cellStyle name="Normal 5 5 3 4 2 2 3" xfId="28590" xr:uid="{00000000-0005-0000-0000-00001B3F0000}"/>
    <cellStyle name="Normal 5 5 3 4 2 3" xfId="13804" xr:uid="{00000000-0005-0000-0000-00001C3F0000}"/>
    <cellStyle name="Normal 5 5 3 4 2 3 2" xfId="33519" xr:uid="{00000000-0005-0000-0000-00001D3F0000}"/>
    <cellStyle name="Normal 5 5 3 4 2 4" xfId="23662" xr:uid="{00000000-0005-0000-0000-00001E3F0000}"/>
    <cellStyle name="Normal 5 5 3 4 3" xfId="6408" xr:uid="{00000000-0005-0000-0000-00001F3F0000}"/>
    <cellStyle name="Normal 5 5 3 4 3 2" xfId="16268" xr:uid="{00000000-0005-0000-0000-0000203F0000}"/>
    <cellStyle name="Normal 5 5 3 4 3 2 2" xfId="35983" xr:uid="{00000000-0005-0000-0000-0000213F0000}"/>
    <cellStyle name="Normal 5 5 3 4 3 3" xfId="26126" xr:uid="{00000000-0005-0000-0000-0000223F0000}"/>
    <cellStyle name="Normal 5 5 3 4 4" xfId="11340" xr:uid="{00000000-0005-0000-0000-0000233F0000}"/>
    <cellStyle name="Normal 5 5 3 4 4 2" xfId="31055" xr:uid="{00000000-0005-0000-0000-0000243F0000}"/>
    <cellStyle name="Normal 5 5 3 4 5" xfId="21198" xr:uid="{00000000-0005-0000-0000-0000253F0000}"/>
    <cellStyle name="Normal 5 5 3 5" xfId="2708" xr:uid="{00000000-0005-0000-0000-0000263F0000}"/>
    <cellStyle name="Normal 5 5 3 5 2" xfId="7640" xr:uid="{00000000-0005-0000-0000-0000273F0000}"/>
    <cellStyle name="Normal 5 5 3 5 2 2" xfId="17500" xr:uid="{00000000-0005-0000-0000-0000283F0000}"/>
    <cellStyle name="Normal 5 5 3 5 2 2 2" xfId="37215" xr:uid="{00000000-0005-0000-0000-0000293F0000}"/>
    <cellStyle name="Normal 5 5 3 5 2 3" xfId="27358" xr:uid="{00000000-0005-0000-0000-00002A3F0000}"/>
    <cellStyle name="Normal 5 5 3 5 3" xfId="12572" xr:uid="{00000000-0005-0000-0000-00002B3F0000}"/>
    <cellStyle name="Normal 5 5 3 5 3 2" xfId="32287" xr:uid="{00000000-0005-0000-0000-00002C3F0000}"/>
    <cellStyle name="Normal 5 5 3 5 4" xfId="22430" xr:uid="{00000000-0005-0000-0000-00002D3F0000}"/>
    <cellStyle name="Normal 5 5 3 6" xfId="5176" xr:uid="{00000000-0005-0000-0000-00002E3F0000}"/>
    <cellStyle name="Normal 5 5 3 6 2" xfId="15036" xr:uid="{00000000-0005-0000-0000-00002F3F0000}"/>
    <cellStyle name="Normal 5 5 3 6 2 2" xfId="34751" xr:uid="{00000000-0005-0000-0000-0000303F0000}"/>
    <cellStyle name="Normal 5 5 3 6 3" xfId="24894" xr:uid="{00000000-0005-0000-0000-0000313F0000}"/>
    <cellStyle name="Normal 5 5 3 7" xfId="10108" xr:uid="{00000000-0005-0000-0000-0000323F0000}"/>
    <cellStyle name="Normal 5 5 3 7 2" xfId="29823" xr:uid="{00000000-0005-0000-0000-0000333F0000}"/>
    <cellStyle name="Normal 5 5 3 8" xfId="19966" xr:uid="{00000000-0005-0000-0000-0000343F0000}"/>
    <cellStyle name="Normal 5 5 4" xfId="388" xr:uid="{00000000-0005-0000-0000-0000353F0000}"/>
    <cellStyle name="Normal 5 5 4 2" xfId="1008" xr:uid="{00000000-0005-0000-0000-0000363F0000}"/>
    <cellStyle name="Normal 5 5 4 2 2" xfId="2243" xr:uid="{00000000-0005-0000-0000-0000373F0000}"/>
    <cellStyle name="Normal 5 5 4 2 2 2" xfId="4710" xr:uid="{00000000-0005-0000-0000-0000383F0000}"/>
    <cellStyle name="Normal 5 5 4 2 2 2 2" xfId="9642" xr:uid="{00000000-0005-0000-0000-0000393F0000}"/>
    <cellStyle name="Normal 5 5 4 2 2 2 2 2" xfId="19502" xr:uid="{00000000-0005-0000-0000-00003A3F0000}"/>
    <cellStyle name="Normal 5 5 4 2 2 2 2 2 2" xfId="39217" xr:uid="{00000000-0005-0000-0000-00003B3F0000}"/>
    <cellStyle name="Normal 5 5 4 2 2 2 2 3" xfId="29360" xr:uid="{00000000-0005-0000-0000-00003C3F0000}"/>
    <cellStyle name="Normal 5 5 4 2 2 2 3" xfId="14574" xr:uid="{00000000-0005-0000-0000-00003D3F0000}"/>
    <cellStyle name="Normal 5 5 4 2 2 2 3 2" xfId="34289" xr:uid="{00000000-0005-0000-0000-00003E3F0000}"/>
    <cellStyle name="Normal 5 5 4 2 2 2 4" xfId="24432" xr:uid="{00000000-0005-0000-0000-00003F3F0000}"/>
    <cellStyle name="Normal 5 5 4 2 2 3" xfId="7178" xr:uid="{00000000-0005-0000-0000-0000403F0000}"/>
    <cellStyle name="Normal 5 5 4 2 2 3 2" xfId="17038" xr:uid="{00000000-0005-0000-0000-0000413F0000}"/>
    <cellStyle name="Normal 5 5 4 2 2 3 2 2" xfId="36753" xr:uid="{00000000-0005-0000-0000-0000423F0000}"/>
    <cellStyle name="Normal 5 5 4 2 2 3 3" xfId="26896" xr:uid="{00000000-0005-0000-0000-0000433F0000}"/>
    <cellStyle name="Normal 5 5 4 2 2 4" xfId="12110" xr:uid="{00000000-0005-0000-0000-0000443F0000}"/>
    <cellStyle name="Normal 5 5 4 2 2 4 2" xfId="31825" xr:uid="{00000000-0005-0000-0000-0000453F0000}"/>
    <cellStyle name="Normal 5 5 4 2 2 5" xfId="21968" xr:uid="{00000000-0005-0000-0000-0000463F0000}"/>
    <cellStyle name="Normal 5 5 4 2 3" xfId="3478" xr:uid="{00000000-0005-0000-0000-0000473F0000}"/>
    <cellStyle name="Normal 5 5 4 2 3 2" xfId="8410" xr:uid="{00000000-0005-0000-0000-0000483F0000}"/>
    <cellStyle name="Normal 5 5 4 2 3 2 2" xfId="18270" xr:uid="{00000000-0005-0000-0000-0000493F0000}"/>
    <cellStyle name="Normal 5 5 4 2 3 2 2 2" xfId="37985" xr:uid="{00000000-0005-0000-0000-00004A3F0000}"/>
    <cellStyle name="Normal 5 5 4 2 3 2 3" xfId="28128" xr:uid="{00000000-0005-0000-0000-00004B3F0000}"/>
    <cellStyle name="Normal 5 5 4 2 3 3" xfId="13342" xr:uid="{00000000-0005-0000-0000-00004C3F0000}"/>
    <cellStyle name="Normal 5 5 4 2 3 3 2" xfId="33057" xr:uid="{00000000-0005-0000-0000-00004D3F0000}"/>
    <cellStyle name="Normal 5 5 4 2 3 4" xfId="23200" xr:uid="{00000000-0005-0000-0000-00004E3F0000}"/>
    <cellStyle name="Normal 5 5 4 2 4" xfId="5946" xr:uid="{00000000-0005-0000-0000-00004F3F0000}"/>
    <cellStyle name="Normal 5 5 4 2 4 2" xfId="15806" xr:uid="{00000000-0005-0000-0000-0000503F0000}"/>
    <cellStyle name="Normal 5 5 4 2 4 2 2" xfId="35521" xr:uid="{00000000-0005-0000-0000-0000513F0000}"/>
    <cellStyle name="Normal 5 5 4 2 4 3" xfId="25664" xr:uid="{00000000-0005-0000-0000-0000523F0000}"/>
    <cellStyle name="Normal 5 5 4 2 5" xfId="10878" xr:uid="{00000000-0005-0000-0000-0000533F0000}"/>
    <cellStyle name="Normal 5 5 4 2 5 2" xfId="30593" xr:uid="{00000000-0005-0000-0000-0000543F0000}"/>
    <cellStyle name="Normal 5 5 4 2 6" xfId="20736" xr:uid="{00000000-0005-0000-0000-0000553F0000}"/>
    <cellStyle name="Normal 5 5 4 3" xfId="1627" xr:uid="{00000000-0005-0000-0000-0000563F0000}"/>
    <cellStyle name="Normal 5 5 4 3 2" xfId="4094" xr:uid="{00000000-0005-0000-0000-0000573F0000}"/>
    <cellStyle name="Normal 5 5 4 3 2 2" xfId="9026" xr:uid="{00000000-0005-0000-0000-0000583F0000}"/>
    <cellStyle name="Normal 5 5 4 3 2 2 2" xfId="18886" xr:uid="{00000000-0005-0000-0000-0000593F0000}"/>
    <cellStyle name="Normal 5 5 4 3 2 2 2 2" xfId="38601" xr:uid="{00000000-0005-0000-0000-00005A3F0000}"/>
    <cellStyle name="Normal 5 5 4 3 2 2 3" xfId="28744" xr:uid="{00000000-0005-0000-0000-00005B3F0000}"/>
    <cellStyle name="Normal 5 5 4 3 2 3" xfId="13958" xr:uid="{00000000-0005-0000-0000-00005C3F0000}"/>
    <cellStyle name="Normal 5 5 4 3 2 3 2" xfId="33673" xr:uid="{00000000-0005-0000-0000-00005D3F0000}"/>
    <cellStyle name="Normal 5 5 4 3 2 4" xfId="23816" xr:uid="{00000000-0005-0000-0000-00005E3F0000}"/>
    <cellStyle name="Normal 5 5 4 3 3" xfId="6562" xr:uid="{00000000-0005-0000-0000-00005F3F0000}"/>
    <cellStyle name="Normal 5 5 4 3 3 2" xfId="16422" xr:uid="{00000000-0005-0000-0000-0000603F0000}"/>
    <cellStyle name="Normal 5 5 4 3 3 2 2" xfId="36137" xr:uid="{00000000-0005-0000-0000-0000613F0000}"/>
    <cellStyle name="Normal 5 5 4 3 3 3" xfId="26280" xr:uid="{00000000-0005-0000-0000-0000623F0000}"/>
    <cellStyle name="Normal 5 5 4 3 4" xfId="11494" xr:uid="{00000000-0005-0000-0000-0000633F0000}"/>
    <cellStyle name="Normal 5 5 4 3 4 2" xfId="31209" xr:uid="{00000000-0005-0000-0000-0000643F0000}"/>
    <cellStyle name="Normal 5 5 4 3 5" xfId="21352" xr:uid="{00000000-0005-0000-0000-0000653F0000}"/>
    <cellStyle name="Normal 5 5 4 4" xfId="2862" xr:uid="{00000000-0005-0000-0000-0000663F0000}"/>
    <cellStyle name="Normal 5 5 4 4 2" xfId="7794" xr:uid="{00000000-0005-0000-0000-0000673F0000}"/>
    <cellStyle name="Normal 5 5 4 4 2 2" xfId="17654" xr:uid="{00000000-0005-0000-0000-0000683F0000}"/>
    <cellStyle name="Normal 5 5 4 4 2 2 2" xfId="37369" xr:uid="{00000000-0005-0000-0000-0000693F0000}"/>
    <cellStyle name="Normal 5 5 4 4 2 3" xfId="27512" xr:uid="{00000000-0005-0000-0000-00006A3F0000}"/>
    <cellStyle name="Normal 5 5 4 4 3" xfId="12726" xr:uid="{00000000-0005-0000-0000-00006B3F0000}"/>
    <cellStyle name="Normal 5 5 4 4 3 2" xfId="32441" xr:uid="{00000000-0005-0000-0000-00006C3F0000}"/>
    <cellStyle name="Normal 5 5 4 4 4" xfId="22584" xr:uid="{00000000-0005-0000-0000-00006D3F0000}"/>
    <cellStyle name="Normal 5 5 4 5" xfId="5330" xr:uid="{00000000-0005-0000-0000-00006E3F0000}"/>
    <cellStyle name="Normal 5 5 4 5 2" xfId="15190" xr:uid="{00000000-0005-0000-0000-00006F3F0000}"/>
    <cellStyle name="Normal 5 5 4 5 2 2" xfId="34905" xr:uid="{00000000-0005-0000-0000-0000703F0000}"/>
    <cellStyle name="Normal 5 5 4 5 3" xfId="25048" xr:uid="{00000000-0005-0000-0000-0000713F0000}"/>
    <cellStyle name="Normal 5 5 4 6" xfId="10262" xr:uid="{00000000-0005-0000-0000-0000723F0000}"/>
    <cellStyle name="Normal 5 5 4 6 2" xfId="29977" xr:uid="{00000000-0005-0000-0000-0000733F0000}"/>
    <cellStyle name="Normal 5 5 4 7" xfId="20120" xr:uid="{00000000-0005-0000-0000-0000743F0000}"/>
    <cellStyle name="Normal 5 5 5" xfId="701" xr:uid="{00000000-0005-0000-0000-0000753F0000}"/>
    <cellStyle name="Normal 5 5 5 2" xfId="1937" xr:uid="{00000000-0005-0000-0000-0000763F0000}"/>
    <cellStyle name="Normal 5 5 5 2 2" xfId="4404" xr:uid="{00000000-0005-0000-0000-0000773F0000}"/>
    <cellStyle name="Normal 5 5 5 2 2 2" xfId="9336" xr:uid="{00000000-0005-0000-0000-0000783F0000}"/>
    <cellStyle name="Normal 5 5 5 2 2 2 2" xfId="19196" xr:uid="{00000000-0005-0000-0000-0000793F0000}"/>
    <cellStyle name="Normal 5 5 5 2 2 2 2 2" xfId="38911" xr:uid="{00000000-0005-0000-0000-00007A3F0000}"/>
    <cellStyle name="Normal 5 5 5 2 2 2 3" xfId="29054" xr:uid="{00000000-0005-0000-0000-00007B3F0000}"/>
    <cellStyle name="Normal 5 5 5 2 2 3" xfId="14268" xr:uid="{00000000-0005-0000-0000-00007C3F0000}"/>
    <cellStyle name="Normal 5 5 5 2 2 3 2" xfId="33983" xr:uid="{00000000-0005-0000-0000-00007D3F0000}"/>
    <cellStyle name="Normal 5 5 5 2 2 4" xfId="24126" xr:uid="{00000000-0005-0000-0000-00007E3F0000}"/>
    <cellStyle name="Normal 5 5 5 2 3" xfId="6872" xr:uid="{00000000-0005-0000-0000-00007F3F0000}"/>
    <cellStyle name="Normal 5 5 5 2 3 2" xfId="16732" xr:uid="{00000000-0005-0000-0000-0000803F0000}"/>
    <cellStyle name="Normal 5 5 5 2 3 2 2" xfId="36447" xr:uid="{00000000-0005-0000-0000-0000813F0000}"/>
    <cellStyle name="Normal 5 5 5 2 3 3" xfId="26590" xr:uid="{00000000-0005-0000-0000-0000823F0000}"/>
    <cellStyle name="Normal 5 5 5 2 4" xfId="11804" xr:uid="{00000000-0005-0000-0000-0000833F0000}"/>
    <cellStyle name="Normal 5 5 5 2 4 2" xfId="31519" xr:uid="{00000000-0005-0000-0000-0000843F0000}"/>
    <cellStyle name="Normal 5 5 5 2 5" xfId="21662" xr:uid="{00000000-0005-0000-0000-0000853F0000}"/>
    <cellStyle name="Normal 5 5 5 3" xfId="3172" xr:uid="{00000000-0005-0000-0000-0000863F0000}"/>
    <cellStyle name="Normal 5 5 5 3 2" xfId="8104" xr:uid="{00000000-0005-0000-0000-0000873F0000}"/>
    <cellStyle name="Normal 5 5 5 3 2 2" xfId="17964" xr:uid="{00000000-0005-0000-0000-0000883F0000}"/>
    <cellStyle name="Normal 5 5 5 3 2 2 2" xfId="37679" xr:uid="{00000000-0005-0000-0000-0000893F0000}"/>
    <cellStyle name="Normal 5 5 5 3 2 3" xfId="27822" xr:uid="{00000000-0005-0000-0000-00008A3F0000}"/>
    <cellStyle name="Normal 5 5 5 3 3" xfId="13036" xr:uid="{00000000-0005-0000-0000-00008B3F0000}"/>
    <cellStyle name="Normal 5 5 5 3 3 2" xfId="32751" xr:uid="{00000000-0005-0000-0000-00008C3F0000}"/>
    <cellStyle name="Normal 5 5 5 3 4" xfId="22894" xr:uid="{00000000-0005-0000-0000-00008D3F0000}"/>
    <cellStyle name="Normal 5 5 5 4" xfId="5640" xr:uid="{00000000-0005-0000-0000-00008E3F0000}"/>
    <cellStyle name="Normal 5 5 5 4 2" xfId="15500" xr:uid="{00000000-0005-0000-0000-00008F3F0000}"/>
    <cellStyle name="Normal 5 5 5 4 2 2" xfId="35215" xr:uid="{00000000-0005-0000-0000-0000903F0000}"/>
    <cellStyle name="Normal 5 5 5 4 3" xfId="25358" xr:uid="{00000000-0005-0000-0000-0000913F0000}"/>
    <cellStyle name="Normal 5 5 5 5" xfId="10572" xr:uid="{00000000-0005-0000-0000-0000923F0000}"/>
    <cellStyle name="Normal 5 5 5 5 2" xfId="30287" xr:uid="{00000000-0005-0000-0000-0000933F0000}"/>
    <cellStyle name="Normal 5 5 5 6" xfId="20430" xr:uid="{00000000-0005-0000-0000-0000943F0000}"/>
    <cellStyle name="Normal 5 5 6" xfId="1321" xr:uid="{00000000-0005-0000-0000-0000953F0000}"/>
    <cellStyle name="Normal 5 5 6 2" xfId="3788" xr:uid="{00000000-0005-0000-0000-0000963F0000}"/>
    <cellStyle name="Normal 5 5 6 2 2" xfId="8720" xr:uid="{00000000-0005-0000-0000-0000973F0000}"/>
    <cellStyle name="Normal 5 5 6 2 2 2" xfId="18580" xr:uid="{00000000-0005-0000-0000-0000983F0000}"/>
    <cellStyle name="Normal 5 5 6 2 2 2 2" xfId="38295" xr:uid="{00000000-0005-0000-0000-0000993F0000}"/>
    <cellStyle name="Normal 5 5 6 2 2 3" xfId="28438" xr:uid="{00000000-0005-0000-0000-00009A3F0000}"/>
    <cellStyle name="Normal 5 5 6 2 3" xfId="13652" xr:uid="{00000000-0005-0000-0000-00009B3F0000}"/>
    <cellStyle name="Normal 5 5 6 2 3 2" xfId="33367" xr:uid="{00000000-0005-0000-0000-00009C3F0000}"/>
    <cellStyle name="Normal 5 5 6 2 4" xfId="23510" xr:uid="{00000000-0005-0000-0000-00009D3F0000}"/>
    <cellStyle name="Normal 5 5 6 3" xfId="6256" xr:uid="{00000000-0005-0000-0000-00009E3F0000}"/>
    <cellStyle name="Normal 5 5 6 3 2" xfId="16116" xr:uid="{00000000-0005-0000-0000-00009F3F0000}"/>
    <cellStyle name="Normal 5 5 6 3 2 2" xfId="35831" xr:uid="{00000000-0005-0000-0000-0000A03F0000}"/>
    <cellStyle name="Normal 5 5 6 3 3" xfId="25974" xr:uid="{00000000-0005-0000-0000-0000A13F0000}"/>
    <cellStyle name="Normal 5 5 6 4" xfId="11188" xr:uid="{00000000-0005-0000-0000-0000A23F0000}"/>
    <cellStyle name="Normal 5 5 6 4 2" xfId="30903" xr:uid="{00000000-0005-0000-0000-0000A33F0000}"/>
    <cellStyle name="Normal 5 5 6 5" xfId="21046" xr:uid="{00000000-0005-0000-0000-0000A43F0000}"/>
    <cellStyle name="Normal 5 5 7" xfId="2556" xr:uid="{00000000-0005-0000-0000-0000A53F0000}"/>
    <cellStyle name="Normal 5 5 7 2" xfId="7488" xr:uid="{00000000-0005-0000-0000-0000A63F0000}"/>
    <cellStyle name="Normal 5 5 7 2 2" xfId="17348" xr:uid="{00000000-0005-0000-0000-0000A73F0000}"/>
    <cellStyle name="Normal 5 5 7 2 2 2" xfId="37063" xr:uid="{00000000-0005-0000-0000-0000A83F0000}"/>
    <cellStyle name="Normal 5 5 7 2 3" xfId="27206" xr:uid="{00000000-0005-0000-0000-0000A93F0000}"/>
    <cellStyle name="Normal 5 5 7 3" xfId="12420" xr:uid="{00000000-0005-0000-0000-0000AA3F0000}"/>
    <cellStyle name="Normal 5 5 7 3 2" xfId="32135" xr:uid="{00000000-0005-0000-0000-0000AB3F0000}"/>
    <cellStyle name="Normal 5 5 7 4" xfId="22278" xr:uid="{00000000-0005-0000-0000-0000AC3F0000}"/>
    <cellStyle name="Normal 5 5 8" xfId="5024" xr:uid="{00000000-0005-0000-0000-0000AD3F0000}"/>
    <cellStyle name="Normal 5 5 8 2" xfId="14884" xr:uid="{00000000-0005-0000-0000-0000AE3F0000}"/>
    <cellStyle name="Normal 5 5 8 2 2" xfId="34599" xr:uid="{00000000-0005-0000-0000-0000AF3F0000}"/>
    <cellStyle name="Normal 5 5 8 3" xfId="24742" xr:uid="{00000000-0005-0000-0000-0000B03F0000}"/>
    <cellStyle name="Normal 5 5 9" xfId="9956" xr:uid="{00000000-0005-0000-0000-0000B13F0000}"/>
    <cellStyle name="Normal 5 5 9 2" xfId="29671" xr:uid="{00000000-0005-0000-0000-0000B23F0000}"/>
    <cellStyle name="Normal 5 6" xfId="106" xr:uid="{00000000-0005-0000-0000-0000B33F0000}"/>
    <cellStyle name="Normal 5 6 2" xfId="264" xr:uid="{00000000-0005-0000-0000-0000B43F0000}"/>
    <cellStyle name="Normal 5 6 2 2" xfId="578" xr:uid="{00000000-0005-0000-0000-0000B53F0000}"/>
    <cellStyle name="Normal 5 6 2 2 2" xfId="1198" xr:uid="{00000000-0005-0000-0000-0000B63F0000}"/>
    <cellStyle name="Normal 5 6 2 2 2 2" xfId="2433" xr:uid="{00000000-0005-0000-0000-0000B73F0000}"/>
    <cellStyle name="Normal 5 6 2 2 2 2 2" xfId="4900" xr:uid="{00000000-0005-0000-0000-0000B83F0000}"/>
    <cellStyle name="Normal 5 6 2 2 2 2 2 2" xfId="9832" xr:uid="{00000000-0005-0000-0000-0000B93F0000}"/>
    <cellStyle name="Normal 5 6 2 2 2 2 2 2 2" xfId="19692" xr:uid="{00000000-0005-0000-0000-0000BA3F0000}"/>
    <cellStyle name="Normal 5 6 2 2 2 2 2 2 2 2" xfId="39407" xr:uid="{00000000-0005-0000-0000-0000BB3F0000}"/>
    <cellStyle name="Normal 5 6 2 2 2 2 2 2 3" xfId="29550" xr:uid="{00000000-0005-0000-0000-0000BC3F0000}"/>
    <cellStyle name="Normal 5 6 2 2 2 2 2 3" xfId="14764" xr:uid="{00000000-0005-0000-0000-0000BD3F0000}"/>
    <cellStyle name="Normal 5 6 2 2 2 2 2 3 2" xfId="34479" xr:uid="{00000000-0005-0000-0000-0000BE3F0000}"/>
    <cellStyle name="Normal 5 6 2 2 2 2 2 4" xfId="24622" xr:uid="{00000000-0005-0000-0000-0000BF3F0000}"/>
    <cellStyle name="Normal 5 6 2 2 2 2 3" xfId="7368" xr:uid="{00000000-0005-0000-0000-0000C03F0000}"/>
    <cellStyle name="Normal 5 6 2 2 2 2 3 2" xfId="17228" xr:uid="{00000000-0005-0000-0000-0000C13F0000}"/>
    <cellStyle name="Normal 5 6 2 2 2 2 3 2 2" xfId="36943" xr:uid="{00000000-0005-0000-0000-0000C23F0000}"/>
    <cellStyle name="Normal 5 6 2 2 2 2 3 3" xfId="27086" xr:uid="{00000000-0005-0000-0000-0000C33F0000}"/>
    <cellStyle name="Normal 5 6 2 2 2 2 4" xfId="12300" xr:uid="{00000000-0005-0000-0000-0000C43F0000}"/>
    <cellStyle name="Normal 5 6 2 2 2 2 4 2" xfId="32015" xr:uid="{00000000-0005-0000-0000-0000C53F0000}"/>
    <cellStyle name="Normal 5 6 2 2 2 2 5" xfId="22158" xr:uid="{00000000-0005-0000-0000-0000C63F0000}"/>
    <cellStyle name="Normal 5 6 2 2 2 3" xfId="3668" xr:uid="{00000000-0005-0000-0000-0000C73F0000}"/>
    <cellStyle name="Normal 5 6 2 2 2 3 2" xfId="8600" xr:uid="{00000000-0005-0000-0000-0000C83F0000}"/>
    <cellStyle name="Normal 5 6 2 2 2 3 2 2" xfId="18460" xr:uid="{00000000-0005-0000-0000-0000C93F0000}"/>
    <cellStyle name="Normal 5 6 2 2 2 3 2 2 2" xfId="38175" xr:uid="{00000000-0005-0000-0000-0000CA3F0000}"/>
    <cellStyle name="Normal 5 6 2 2 2 3 2 3" xfId="28318" xr:uid="{00000000-0005-0000-0000-0000CB3F0000}"/>
    <cellStyle name="Normal 5 6 2 2 2 3 3" xfId="13532" xr:uid="{00000000-0005-0000-0000-0000CC3F0000}"/>
    <cellStyle name="Normal 5 6 2 2 2 3 3 2" xfId="33247" xr:uid="{00000000-0005-0000-0000-0000CD3F0000}"/>
    <cellStyle name="Normal 5 6 2 2 2 3 4" xfId="23390" xr:uid="{00000000-0005-0000-0000-0000CE3F0000}"/>
    <cellStyle name="Normal 5 6 2 2 2 4" xfId="6136" xr:uid="{00000000-0005-0000-0000-0000CF3F0000}"/>
    <cellStyle name="Normal 5 6 2 2 2 4 2" xfId="15996" xr:uid="{00000000-0005-0000-0000-0000D03F0000}"/>
    <cellStyle name="Normal 5 6 2 2 2 4 2 2" xfId="35711" xr:uid="{00000000-0005-0000-0000-0000D13F0000}"/>
    <cellStyle name="Normal 5 6 2 2 2 4 3" xfId="25854" xr:uid="{00000000-0005-0000-0000-0000D23F0000}"/>
    <cellStyle name="Normal 5 6 2 2 2 5" xfId="11068" xr:uid="{00000000-0005-0000-0000-0000D33F0000}"/>
    <cellStyle name="Normal 5 6 2 2 2 5 2" xfId="30783" xr:uid="{00000000-0005-0000-0000-0000D43F0000}"/>
    <cellStyle name="Normal 5 6 2 2 2 6" xfId="20926" xr:uid="{00000000-0005-0000-0000-0000D53F0000}"/>
    <cellStyle name="Normal 5 6 2 2 3" xfId="1817" xr:uid="{00000000-0005-0000-0000-0000D63F0000}"/>
    <cellStyle name="Normal 5 6 2 2 3 2" xfId="4284" xr:uid="{00000000-0005-0000-0000-0000D73F0000}"/>
    <cellStyle name="Normal 5 6 2 2 3 2 2" xfId="9216" xr:uid="{00000000-0005-0000-0000-0000D83F0000}"/>
    <cellStyle name="Normal 5 6 2 2 3 2 2 2" xfId="19076" xr:uid="{00000000-0005-0000-0000-0000D93F0000}"/>
    <cellStyle name="Normal 5 6 2 2 3 2 2 2 2" xfId="38791" xr:uid="{00000000-0005-0000-0000-0000DA3F0000}"/>
    <cellStyle name="Normal 5 6 2 2 3 2 2 3" xfId="28934" xr:uid="{00000000-0005-0000-0000-0000DB3F0000}"/>
    <cellStyle name="Normal 5 6 2 2 3 2 3" xfId="14148" xr:uid="{00000000-0005-0000-0000-0000DC3F0000}"/>
    <cellStyle name="Normal 5 6 2 2 3 2 3 2" xfId="33863" xr:uid="{00000000-0005-0000-0000-0000DD3F0000}"/>
    <cellStyle name="Normal 5 6 2 2 3 2 4" xfId="24006" xr:uid="{00000000-0005-0000-0000-0000DE3F0000}"/>
    <cellStyle name="Normal 5 6 2 2 3 3" xfId="6752" xr:uid="{00000000-0005-0000-0000-0000DF3F0000}"/>
    <cellStyle name="Normal 5 6 2 2 3 3 2" xfId="16612" xr:uid="{00000000-0005-0000-0000-0000E03F0000}"/>
    <cellStyle name="Normal 5 6 2 2 3 3 2 2" xfId="36327" xr:uid="{00000000-0005-0000-0000-0000E13F0000}"/>
    <cellStyle name="Normal 5 6 2 2 3 3 3" xfId="26470" xr:uid="{00000000-0005-0000-0000-0000E23F0000}"/>
    <cellStyle name="Normal 5 6 2 2 3 4" xfId="11684" xr:uid="{00000000-0005-0000-0000-0000E33F0000}"/>
    <cellStyle name="Normal 5 6 2 2 3 4 2" xfId="31399" xr:uid="{00000000-0005-0000-0000-0000E43F0000}"/>
    <cellStyle name="Normal 5 6 2 2 3 5" xfId="21542" xr:uid="{00000000-0005-0000-0000-0000E53F0000}"/>
    <cellStyle name="Normal 5 6 2 2 4" xfId="3052" xr:uid="{00000000-0005-0000-0000-0000E63F0000}"/>
    <cellStyle name="Normal 5 6 2 2 4 2" xfId="7984" xr:uid="{00000000-0005-0000-0000-0000E73F0000}"/>
    <cellStyle name="Normal 5 6 2 2 4 2 2" xfId="17844" xr:uid="{00000000-0005-0000-0000-0000E83F0000}"/>
    <cellStyle name="Normal 5 6 2 2 4 2 2 2" xfId="37559" xr:uid="{00000000-0005-0000-0000-0000E93F0000}"/>
    <cellStyle name="Normal 5 6 2 2 4 2 3" xfId="27702" xr:uid="{00000000-0005-0000-0000-0000EA3F0000}"/>
    <cellStyle name="Normal 5 6 2 2 4 3" xfId="12916" xr:uid="{00000000-0005-0000-0000-0000EB3F0000}"/>
    <cellStyle name="Normal 5 6 2 2 4 3 2" xfId="32631" xr:uid="{00000000-0005-0000-0000-0000EC3F0000}"/>
    <cellStyle name="Normal 5 6 2 2 4 4" xfId="22774" xr:uid="{00000000-0005-0000-0000-0000ED3F0000}"/>
    <cellStyle name="Normal 5 6 2 2 5" xfId="5520" xr:uid="{00000000-0005-0000-0000-0000EE3F0000}"/>
    <cellStyle name="Normal 5 6 2 2 5 2" xfId="15380" xr:uid="{00000000-0005-0000-0000-0000EF3F0000}"/>
    <cellStyle name="Normal 5 6 2 2 5 2 2" xfId="35095" xr:uid="{00000000-0005-0000-0000-0000F03F0000}"/>
    <cellStyle name="Normal 5 6 2 2 5 3" xfId="25238" xr:uid="{00000000-0005-0000-0000-0000F13F0000}"/>
    <cellStyle name="Normal 5 6 2 2 6" xfId="10452" xr:uid="{00000000-0005-0000-0000-0000F23F0000}"/>
    <cellStyle name="Normal 5 6 2 2 6 2" xfId="30167" xr:uid="{00000000-0005-0000-0000-0000F33F0000}"/>
    <cellStyle name="Normal 5 6 2 2 7" xfId="20310" xr:uid="{00000000-0005-0000-0000-0000F43F0000}"/>
    <cellStyle name="Normal 5 6 2 3" xfId="891" xr:uid="{00000000-0005-0000-0000-0000F53F0000}"/>
    <cellStyle name="Normal 5 6 2 3 2" xfId="2127" xr:uid="{00000000-0005-0000-0000-0000F63F0000}"/>
    <cellStyle name="Normal 5 6 2 3 2 2" xfId="4594" xr:uid="{00000000-0005-0000-0000-0000F73F0000}"/>
    <cellStyle name="Normal 5 6 2 3 2 2 2" xfId="9526" xr:uid="{00000000-0005-0000-0000-0000F83F0000}"/>
    <cellStyle name="Normal 5 6 2 3 2 2 2 2" xfId="19386" xr:uid="{00000000-0005-0000-0000-0000F93F0000}"/>
    <cellStyle name="Normal 5 6 2 3 2 2 2 2 2" xfId="39101" xr:uid="{00000000-0005-0000-0000-0000FA3F0000}"/>
    <cellStyle name="Normal 5 6 2 3 2 2 2 3" xfId="29244" xr:uid="{00000000-0005-0000-0000-0000FB3F0000}"/>
    <cellStyle name="Normal 5 6 2 3 2 2 3" xfId="14458" xr:uid="{00000000-0005-0000-0000-0000FC3F0000}"/>
    <cellStyle name="Normal 5 6 2 3 2 2 3 2" xfId="34173" xr:uid="{00000000-0005-0000-0000-0000FD3F0000}"/>
    <cellStyle name="Normal 5 6 2 3 2 2 4" xfId="24316" xr:uid="{00000000-0005-0000-0000-0000FE3F0000}"/>
    <cellStyle name="Normal 5 6 2 3 2 3" xfId="7062" xr:uid="{00000000-0005-0000-0000-0000FF3F0000}"/>
    <cellStyle name="Normal 5 6 2 3 2 3 2" xfId="16922" xr:uid="{00000000-0005-0000-0000-000000400000}"/>
    <cellStyle name="Normal 5 6 2 3 2 3 2 2" xfId="36637" xr:uid="{00000000-0005-0000-0000-000001400000}"/>
    <cellStyle name="Normal 5 6 2 3 2 3 3" xfId="26780" xr:uid="{00000000-0005-0000-0000-000002400000}"/>
    <cellStyle name="Normal 5 6 2 3 2 4" xfId="11994" xr:uid="{00000000-0005-0000-0000-000003400000}"/>
    <cellStyle name="Normal 5 6 2 3 2 4 2" xfId="31709" xr:uid="{00000000-0005-0000-0000-000004400000}"/>
    <cellStyle name="Normal 5 6 2 3 2 5" xfId="21852" xr:uid="{00000000-0005-0000-0000-000005400000}"/>
    <cellStyle name="Normal 5 6 2 3 3" xfId="3362" xr:uid="{00000000-0005-0000-0000-000006400000}"/>
    <cellStyle name="Normal 5 6 2 3 3 2" xfId="8294" xr:uid="{00000000-0005-0000-0000-000007400000}"/>
    <cellStyle name="Normal 5 6 2 3 3 2 2" xfId="18154" xr:uid="{00000000-0005-0000-0000-000008400000}"/>
    <cellStyle name="Normal 5 6 2 3 3 2 2 2" xfId="37869" xr:uid="{00000000-0005-0000-0000-000009400000}"/>
    <cellStyle name="Normal 5 6 2 3 3 2 3" xfId="28012" xr:uid="{00000000-0005-0000-0000-00000A400000}"/>
    <cellStyle name="Normal 5 6 2 3 3 3" xfId="13226" xr:uid="{00000000-0005-0000-0000-00000B400000}"/>
    <cellStyle name="Normal 5 6 2 3 3 3 2" xfId="32941" xr:uid="{00000000-0005-0000-0000-00000C400000}"/>
    <cellStyle name="Normal 5 6 2 3 3 4" xfId="23084" xr:uid="{00000000-0005-0000-0000-00000D400000}"/>
    <cellStyle name="Normal 5 6 2 3 4" xfId="5830" xr:uid="{00000000-0005-0000-0000-00000E400000}"/>
    <cellStyle name="Normal 5 6 2 3 4 2" xfId="15690" xr:uid="{00000000-0005-0000-0000-00000F400000}"/>
    <cellStyle name="Normal 5 6 2 3 4 2 2" xfId="35405" xr:uid="{00000000-0005-0000-0000-000010400000}"/>
    <cellStyle name="Normal 5 6 2 3 4 3" xfId="25548" xr:uid="{00000000-0005-0000-0000-000011400000}"/>
    <cellStyle name="Normal 5 6 2 3 5" xfId="10762" xr:uid="{00000000-0005-0000-0000-000012400000}"/>
    <cellStyle name="Normal 5 6 2 3 5 2" xfId="30477" xr:uid="{00000000-0005-0000-0000-000013400000}"/>
    <cellStyle name="Normal 5 6 2 3 6" xfId="20620" xr:uid="{00000000-0005-0000-0000-000014400000}"/>
    <cellStyle name="Normal 5 6 2 4" xfId="1511" xr:uid="{00000000-0005-0000-0000-000015400000}"/>
    <cellStyle name="Normal 5 6 2 4 2" xfId="3978" xr:uid="{00000000-0005-0000-0000-000016400000}"/>
    <cellStyle name="Normal 5 6 2 4 2 2" xfId="8910" xr:uid="{00000000-0005-0000-0000-000017400000}"/>
    <cellStyle name="Normal 5 6 2 4 2 2 2" xfId="18770" xr:uid="{00000000-0005-0000-0000-000018400000}"/>
    <cellStyle name="Normal 5 6 2 4 2 2 2 2" xfId="38485" xr:uid="{00000000-0005-0000-0000-000019400000}"/>
    <cellStyle name="Normal 5 6 2 4 2 2 3" xfId="28628" xr:uid="{00000000-0005-0000-0000-00001A400000}"/>
    <cellStyle name="Normal 5 6 2 4 2 3" xfId="13842" xr:uid="{00000000-0005-0000-0000-00001B400000}"/>
    <cellStyle name="Normal 5 6 2 4 2 3 2" xfId="33557" xr:uid="{00000000-0005-0000-0000-00001C400000}"/>
    <cellStyle name="Normal 5 6 2 4 2 4" xfId="23700" xr:uid="{00000000-0005-0000-0000-00001D400000}"/>
    <cellStyle name="Normal 5 6 2 4 3" xfId="6446" xr:uid="{00000000-0005-0000-0000-00001E400000}"/>
    <cellStyle name="Normal 5 6 2 4 3 2" xfId="16306" xr:uid="{00000000-0005-0000-0000-00001F400000}"/>
    <cellStyle name="Normal 5 6 2 4 3 2 2" xfId="36021" xr:uid="{00000000-0005-0000-0000-000020400000}"/>
    <cellStyle name="Normal 5 6 2 4 3 3" xfId="26164" xr:uid="{00000000-0005-0000-0000-000021400000}"/>
    <cellStyle name="Normal 5 6 2 4 4" xfId="11378" xr:uid="{00000000-0005-0000-0000-000022400000}"/>
    <cellStyle name="Normal 5 6 2 4 4 2" xfId="31093" xr:uid="{00000000-0005-0000-0000-000023400000}"/>
    <cellStyle name="Normal 5 6 2 4 5" xfId="21236" xr:uid="{00000000-0005-0000-0000-000024400000}"/>
    <cellStyle name="Normal 5 6 2 5" xfId="2746" xr:uid="{00000000-0005-0000-0000-000025400000}"/>
    <cellStyle name="Normal 5 6 2 5 2" xfId="7678" xr:uid="{00000000-0005-0000-0000-000026400000}"/>
    <cellStyle name="Normal 5 6 2 5 2 2" xfId="17538" xr:uid="{00000000-0005-0000-0000-000027400000}"/>
    <cellStyle name="Normal 5 6 2 5 2 2 2" xfId="37253" xr:uid="{00000000-0005-0000-0000-000028400000}"/>
    <cellStyle name="Normal 5 6 2 5 2 3" xfId="27396" xr:uid="{00000000-0005-0000-0000-000029400000}"/>
    <cellStyle name="Normal 5 6 2 5 3" xfId="12610" xr:uid="{00000000-0005-0000-0000-00002A400000}"/>
    <cellStyle name="Normal 5 6 2 5 3 2" xfId="32325" xr:uid="{00000000-0005-0000-0000-00002B400000}"/>
    <cellStyle name="Normal 5 6 2 5 4" xfId="22468" xr:uid="{00000000-0005-0000-0000-00002C400000}"/>
    <cellStyle name="Normal 5 6 2 6" xfId="5214" xr:uid="{00000000-0005-0000-0000-00002D400000}"/>
    <cellStyle name="Normal 5 6 2 6 2" xfId="15074" xr:uid="{00000000-0005-0000-0000-00002E400000}"/>
    <cellStyle name="Normal 5 6 2 6 2 2" xfId="34789" xr:uid="{00000000-0005-0000-0000-00002F400000}"/>
    <cellStyle name="Normal 5 6 2 6 3" xfId="24932" xr:uid="{00000000-0005-0000-0000-000030400000}"/>
    <cellStyle name="Normal 5 6 2 7" xfId="10146" xr:uid="{00000000-0005-0000-0000-000031400000}"/>
    <cellStyle name="Normal 5 6 2 7 2" xfId="29861" xr:uid="{00000000-0005-0000-0000-000032400000}"/>
    <cellStyle name="Normal 5 6 2 8" xfId="20004" xr:uid="{00000000-0005-0000-0000-000033400000}"/>
    <cellStyle name="Normal 5 6 3" xfId="426" xr:uid="{00000000-0005-0000-0000-000034400000}"/>
    <cellStyle name="Normal 5 6 3 2" xfId="1046" xr:uid="{00000000-0005-0000-0000-000035400000}"/>
    <cellStyle name="Normal 5 6 3 2 2" xfId="2281" xr:uid="{00000000-0005-0000-0000-000036400000}"/>
    <cellStyle name="Normal 5 6 3 2 2 2" xfId="4748" xr:uid="{00000000-0005-0000-0000-000037400000}"/>
    <cellStyle name="Normal 5 6 3 2 2 2 2" xfId="9680" xr:uid="{00000000-0005-0000-0000-000038400000}"/>
    <cellStyle name="Normal 5 6 3 2 2 2 2 2" xfId="19540" xr:uid="{00000000-0005-0000-0000-000039400000}"/>
    <cellStyle name="Normal 5 6 3 2 2 2 2 2 2" xfId="39255" xr:uid="{00000000-0005-0000-0000-00003A400000}"/>
    <cellStyle name="Normal 5 6 3 2 2 2 2 3" xfId="29398" xr:uid="{00000000-0005-0000-0000-00003B400000}"/>
    <cellStyle name="Normal 5 6 3 2 2 2 3" xfId="14612" xr:uid="{00000000-0005-0000-0000-00003C400000}"/>
    <cellStyle name="Normal 5 6 3 2 2 2 3 2" xfId="34327" xr:uid="{00000000-0005-0000-0000-00003D400000}"/>
    <cellStyle name="Normal 5 6 3 2 2 2 4" xfId="24470" xr:uid="{00000000-0005-0000-0000-00003E400000}"/>
    <cellStyle name="Normal 5 6 3 2 2 3" xfId="7216" xr:uid="{00000000-0005-0000-0000-00003F400000}"/>
    <cellStyle name="Normal 5 6 3 2 2 3 2" xfId="17076" xr:uid="{00000000-0005-0000-0000-000040400000}"/>
    <cellStyle name="Normal 5 6 3 2 2 3 2 2" xfId="36791" xr:uid="{00000000-0005-0000-0000-000041400000}"/>
    <cellStyle name="Normal 5 6 3 2 2 3 3" xfId="26934" xr:uid="{00000000-0005-0000-0000-000042400000}"/>
    <cellStyle name="Normal 5 6 3 2 2 4" xfId="12148" xr:uid="{00000000-0005-0000-0000-000043400000}"/>
    <cellStyle name="Normal 5 6 3 2 2 4 2" xfId="31863" xr:uid="{00000000-0005-0000-0000-000044400000}"/>
    <cellStyle name="Normal 5 6 3 2 2 5" xfId="22006" xr:uid="{00000000-0005-0000-0000-000045400000}"/>
    <cellStyle name="Normal 5 6 3 2 3" xfId="3516" xr:uid="{00000000-0005-0000-0000-000046400000}"/>
    <cellStyle name="Normal 5 6 3 2 3 2" xfId="8448" xr:uid="{00000000-0005-0000-0000-000047400000}"/>
    <cellStyle name="Normal 5 6 3 2 3 2 2" xfId="18308" xr:uid="{00000000-0005-0000-0000-000048400000}"/>
    <cellStyle name="Normal 5 6 3 2 3 2 2 2" xfId="38023" xr:uid="{00000000-0005-0000-0000-000049400000}"/>
    <cellStyle name="Normal 5 6 3 2 3 2 3" xfId="28166" xr:uid="{00000000-0005-0000-0000-00004A400000}"/>
    <cellStyle name="Normal 5 6 3 2 3 3" xfId="13380" xr:uid="{00000000-0005-0000-0000-00004B400000}"/>
    <cellStyle name="Normal 5 6 3 2 3 3 2" xfId="33095" xr:uid="{00000000-0005-0000-0000-00004C400000}"/>
    <cellStyle name="Normal 5 6 3 2 3 4" xfId="23238" xr:uid="{00000000-0005-0000-0000-00004D400000}"/>
    <cellStyle name="Normal 5 6 3 2 4" xfId="5984" xr:uid="{00000000-0005-0000-0000-00004E400000}"/>
    <cellStyle name="Normal 5 6 3 2 4 2" xfId="15844" xr:uid="{00000000-0005-0000-0000-00004F400000}"/>
    <cellStyle name="Normal 5 6 3 2 4 2 2" xfId="35559" xr:uid="{00000000-0005-0000-0000-000050400000}"/>
    <cellStyle name="Normal 5 6 3 2 4 3" xfId="25702" xr:uid="{00000000-0005-0000-0000-000051400000}"/>
    <cellStyle name="Normal 5 6 3 2 5" xfId="10916" xr:uid="{00000000-0005-0000-0000-000052400000}"/>
    <cellStyle name="Normal 5 6 3 2 5 2" xfId="30631" xr:uid="{00000000-0005-0000-0000-000053400000}"/>
    <cellStyle name="Normal 5 6 3 2 6" xfId="20774" xr:uid="{00000000-0005-0000-0000-000054400000}"/>
    <cellStyle name="Normal 5 6 3 3" xfId="1665" xr:uid="{00000000-0005-0000-0000-000055400000}"/>
    <cellStyle name="Normal 5 6 3 3 2" xfId="4132" xr:uid="{00000000-0005-0000-0000-000056400000}"/>
    <cellStyle name="Normal 5 6 3 3 2 2" xfId="9064" xr:uid="{00000000-0005-0000-0000-000057400000}"/>
    <cellStyle name="Normal 5 6 3 3 2 2 2" xfId="18924" xr:uid="{00000000-0005-0000-0000-000058400000}"/>
    <cellStyle name="Normal 5 6 3 3 2 2 2 2" xfId="38639" xr:uid="{00000000-0005-0000-0000-000059400000}"/>
    <cellStyle name="Normal 5 6 3 3 2 2 3" xfId="28782" xr:uid="{00000000-0005-0000-0000-00005A400000}"/>
    <cellStyle name="Normal 5 6 3 3 2 3" xfId="13996" xr:uid="{00000000-0005-0000-0000-00005B400000}"/>
    <cellStyle name="Normal 5 6 3 3 2 3 2" xfId="33711" xr:uid="{00000000-0005-0000-0000-00005C400000}"/>
    <cellStyle name="Normal 5 6 3 3 2 4" xfId="23854" xr:uid="{00000000-0005-0000-0000-00005D400000}"/>
    <cellStyle name="Normal 5 6 3 3 3" xfId="6600" xr:uid="{00000000-0005-0000-0000-00005E400000}"/>
    <cellStyle name="Normal 5 6 3 3 3 2" xfId="16460" xr:uid="{00000000-0005-0000-0000-00005F400000}"/>
    <cellStyle name="Normal 5 6 3 3 3 2 2" xfId="36175" xr:uid="{00000000-0005-0000-0000-000060400000}"/>
    <cellStyle name="Normal 5 6 3 3 3 3" xfId="26318" xr:uid="{00000000-0005-0000-0000-000061400000}"/>
    <cellStyle name="Normal 5 6 3 3 4" xfId="11532" xr:uid="{00000000-0005-0000-0000-000062400000}"/>
    <cellStyle name="Normal 5 6 3 3 4 2" xfId="31247" xr:uid="{00000000-0005-0000-0000-000063400000}"/>
    <cellStyle name="Normal 5 6 3 3 5" xfId="21390" xr:uid="{00000000-0005-0000-0000-000064400000}"/>
    <cellStyle name="Normal 5 6 3 4" xfId="2900" xr:uid="{00000000-0005-0000-0000-000065400000}"/>
    <cellStyle name="Normal 5 6 3 4 2" xfId="7832" xr:uid="{00000000-0005-0000-0000-000066400000}"/>
    <cellStyle name="Normal 5 6 3 4 2 2" xfId="17692" xr:uid="{00000000-0005-0000-0000-000067400000}"/>
    <cellStyle name="Normal 5 6 3 4 2 2 2" xfId="37407" xr:uid="{00000000-0005-0000-0000-000068400000}"/>
    <cellStyle name="Normal 5 6 3 4 2 3" xfId="27550" xr:uid="{00000000-0005-0000-0000-000069400000}"/>
    <cellStyle name="Normal 5 6 3 4 3" xfId="12764" xr:uid="{00000000-0005-0000-0000-00006A400000}"/>
    <cellStyle name="Normal 5 6 3 4 3 2" xfId="32479" xr:uid="{00000000-0005-0000-0000-00006B400000}"/>
    <cellStyle name="Normal 5 6 3 4 4" xfId="22622" xr:uid="{00000000-0005-0000-0000-00006C400000}"/>
    <cellStyle name="Normal 5 6 3 5" xfId="5368" xr:uid="{00000000-0005-0000-0000-00006D400000}"/>
    <cellStyle name="Normal 5 6 3 5 2" xfId="15228" xr:uid="{00000000-0005-0000-0000-00006E400000}"/>
    <cellStyle name="Normal 5 6 3 5 2 2" xfId="34943" xr:uid="{00000000-0005-0000-0000-00006F400000}"/>
    <cellStyle name="Normal 5 6 3 5 3" xfId="25086" xr:uid="{00000000-0005-0000-0000-000070400000}"/>
    <cellStyle name="Normal 5 6 3 6" xfId="10300" xr:uid="{00000000-0005-0000-0000-000071400000}"/>
    <cellStyle name="Normal 5 6 3 6 2" xfId="30015" xr:uid="{00000000-0005-0000-0000-000072400000}"/>
    <cellStyle name="Normal 5 6 3 7" xfId="20158" xr:uid="{00000000-0005-0000-0000-000073400000}"/>
    <cellStyle name="Normal 5 6 4" xfId="739" xr:uid="{00000000-0005-0000-0000-000074400000}"/>
    <cellStyle name="Normal 5 6 4 2" xfId="1975" xr:uid="{00000000-0005-0000-0000-000075400000}"/>
    <cellStyle name="Normal 5 6 4 2 2" xfId="4442" xr:uid="{00000000-0005-0000-0000-000076400000}"/>
    <cellStyle name="Normal 5 6 4 2 2 2" xfId="9374" xr:uid="{00000000-0005-0000-0000-000077400000}"/>
    <cellStyle name="Normal 5 6 4 2 2 2 2" xfId="19234" xr:uid="{00000000-0005-0000-0000-000078400000}"/>
    <cellStyle name="Normal 5 6 4 2 2 2 2 2" xfId="38949" xr:uid="{00000000-0005-0000-0000-000079400000}"/>
    <cellStyle name="Normal 5 6 4 2 2 2 3" xfId="29092" xr:uid="{00000000-0005-0000-0000-00007A400000}"/>
    <cellStyle name="Normal 5 6 4 2 2 3" xfId="14306" xr:uid="{00000000-0005-0000-0000-00007B400000}"/>
    <cellStyle name="Normal 5 6 4 2 2 3 2" xfId="34021" xr:uid="{00000000-0005-0000-0000-00007C400000}"/>
    <cellStyle name="Normal 5 6 4 2 2 4" xfId="24164" xr:uid="{00000000-0005-0000-0000-00007D400000}"/>
    <cellStyle name="Normal 5 6 4 2 3" xfId="6910" xr:uid="{00000000-0005-0000-0000-00007E400000}"/>
    <cellStyle name="Normal 5 6 4 2 3 2" xfId="16770" xr:uid="{00000000-0005-0000-0000-00007F400000}"/>
    <cellStyle name="Normal 5 6 4 2 3 2 2" xfId="36485" xr:uid="{00000000-0005-0000-0000-000080400000}"/>
    <cellStyle name="Normal 5 6 4 2 3 3" xfId="26628" xr:uid="{00000000-0005-0000-0000-000081400000}"/>
    <cellStyle name="Normal 5 6 4 2 4" xfId="11842" xr:uid="{00000000-0005-0000-0000-000082400000}"/>
    <cellStyle name="Normal 5 6 4 2 4 2" xfId="31557" xr:uid="{00000000-0005-0000-0000-000083400000}"/>
    <cellStyle name="Normal 5 6 4 2 5" xfId="21700" xr:uid="{00000000-0005-0000-0000-000084400000}"/>
    <cellStyle name="Normal 5 6 4 3" xfId="3210" xr:uid="{00000000-0005-0000-0000-000085400000}"/>
    <cellStyle name="Normal 5 6 4 3 2" xfId="8142" xr:uid="{00000000-0005-0000-0000-000086400000}"/>
    <cellStyle name="Normal 5 6 4 3 2 2" xfId="18002" xr:uid="{00000000-0005-0000-0000-000087400000}"/>
    <cellStyle name="Normal 5 6 4 3 2 2 2" xfId="37717" xr:uid="{00000000-0005-0000-0000-000088400000}"/>
    <cellStyle name="Normal 5 6 4 3 2 3" xfId="27860" xr:uid="{00000000-0005-0000-0000-000089400000}"/>
    <cellStyle name="Normal 5 6 4 3 3" xfId="13074" xr:uid="{00000000-0005-0000-0000-00008A400000}"/>
    <cellStyle name="Normal 5 6 4 3 3 2" xfId="32789" xr:uid="{00000000-0005-0000-0000-00008B400000}"/>
    <cellStyle name="Normal 5 6 4 3 4" xfId="22932" xr:uid="{00000000-0005-0000-0000-00008C400000}"/>
    <cellStyle name="Normal 5 6 4 4" xfId="5678" xr:uid="{00000000-0005-0000-0000-00008D400000}"/>
    <cellStyle name="Normal 5 6 4 4 2" xfId="15538" xr:uid="{00000000-0005-0000-0000-00008E400000}"/>
    <cellStyle name="Normal 5 6 4 4 2 2" xfId="35253" xr:uid="{00000000-0005-0000-0000-00008F400000}"/>
    <cellStyle name="Normal 5 6 4 4 3" xfId="25396" xr:uid="{00000000-0005-0000-0000-000090400000}"/>
    <cellStyle name="Normal 5 6 4 5" xfId="10610" xr:uid="{00000000-0005-0000-0000-000091400000}"/>
    <cellStyle name="Normal 5 6 4 5 2" xfId="30325" xr:uid="{00000000-0005-0000-0000-000092400000}"/>
    <cellStyle name="Normal 5 6 4 6" xfId="20468" xr:uid="{00000000-0005-0000-0000-000093400000}"/>
    <cellStyle name="Normal 5 6 5" xfId="1359" xr:uid="{00000000-0005-0000-0000-000094400000}"/>
    <cellStyle name="Normal 5 6 5 2" xfId="3826" xr:uid="{00000000-0005-0000-0000-000095400000}"/>
    <cellStyle name="Normal 5 6 5 2 2" xfId="8758" xr:uid="{00000000-0005-0000-0000-000096400000}"/>
    <cellStyle name="Normal 5 6 5 2 2 2" xfId="18618" xr:uid="{00000000-0005-0000-0000-000097400000}"/>
    <cellStyle name="Normal 5 6 5 2 2 2 2" xfId="38333" xr:uid="{00000000-0005-0000-0000-000098400000}"/>
    <cellStyle name="Normal 5 6 5 2 2 3" xfId="28476" xr:uid="{00000000-0005-0000-0000-000099400000}"/>
    <cellStyle name="Normal 5 6 5 2 3" xfId="13690" xr:uid="{00000000-0005-0000-0000-00009A400000}"/>
    <cellStyle name="Normal 5 6 5 2 3 2" xfId="33405" xr:uid="{00000000-0005-0000-0000-00009B400000}"/>
    <cellStyle name="Normal 5 6 5 2 4" xfId="23548" xr:uid="{00000000-0005-0000-0000-00009C400000}"/>
    <cellStyle name="Normal 5 6 5 3" xfId="6294" xr:uid="{00000000-0005-0000-0000-00009D400000}"/>
    <cellStyle name="Normal 5 6 5 3 2" xfId="16154" xr:uid="{00000000-0005-0000-0000-00009E400000}"/>
    <cellStyle name="Normal 5 6 5 3 2 2" xfId="35869" xr:uid="{00000000-0005-0000-0000-00009F400000}"/>
    <cellStyle name="Normal 5 6 5 3 3" xfId="26012" xr:uid="{00000000-0005-0000-0000-0000A0400000}"/>
    <cellStyle name="Normal 5 6 5 4" xfId="11226" xr:uid="{00000000-0005-0000-0000-0000A1400000}"/>
    <cellStyle name="Normal 5 6 5 4 2" xfId="30941" xr:uid="{00000000-0005-0000-0000-0000A2400000}"/>
    <cellStyle name="Normal 5 6 5 5" xfId="21084" xr:uid="{00000000-0005-0000-0000-0000A3400000}"/>
    <cellStyle name="Normal 5 6 6" xfId="2594" xr:uid="{00000000-0005-0000-0000-0000A4400000}"/>
    <cellStyle name="Normal 5 6 6 2" xfId="7526" xr:uid="{00000000-0005-0000-0000-0000A5400000}"/>
    <cellStyle name="Normal 5 6 6 2 2" xfId="17386" xr:uid="{00000000-0005-0000-0000-0000A6400000}"/>
    <cellStyle name="Normal 5 6 6 2 2 2" xfId="37101" xr:uid="{00000000-0005-0000-0000-0000A7400000}"/>
    <cellStyle name="Normal 5 6 6 2 3" xfId="27244" xr:uid="{00000000-0005-0000-0000-0000A8400000}"/>
    <cellStyle name="Normal 5 6 6 3" xfId="12458" xr:uid="{00000000-0005-0000-0000-0000A9400000}"/>
    <cellStyle name="Normal 5 6 6 3 2" xfId="32173" xr:uid="{00000000-0005-0000-0000-0000AA400000}"/>
    <cellStyle name="Normal 5 6 6 4" xfId="22316" xr:uid="{00000000-0005-0000-0000-0000AB400000}"/>
    <cellStyle name="Normal 5 6 7" xfId="5062" xr:uid="{00000000-0005-0000-0000-0000AC400000}"/>
    <cellStyle name="Normal 5 6 7 2" xfId="14922" xr:uid="{00000000-0005-0000-0000-0000AD400000}"/>
    <cellStyle name="Normal 5 6 7 2 2" xfId="34637" xr:uid="{00000000-0005-0000-0000-0000AE400000}"/>
    <cellStyle name="Normal 5 6 7 3" xfId="24780" xr:uid="{00000000-0005-0000-0000-0000AF400000}"/>
    <cellStyle name="Normal 5 6 8" xfId="9994" xr:uid="{00000000-0005-0000-0000-0000B0400000}"/>
    <cellStyle name="Normal 5 6 8 2" xfId="29709" xr:uid="{00000000-0005-0000-0000-0000B1400000}"/>
    <cellStyle name="Normal 5 6 9" xfId="19852" xr:uid="{00000000-0005-0000-0000-0000B2400000}"/>
    <cellStyle name="Normal 5 7" xfId="187" xr:uid="{00000000-0005-0000-0000-0000B3400000}"/>
    <cellStyle name="Normal 5 7 2" xfId="502" xr:uid="{00000000-0005-0000-0000-0000B4400000}"/>
    <cellStyle name="Normal 5 7 2 2" xfId="1122" xr:uid="{00000000-0005-0000-0000-0000B5400000}"/>
    <cellStyle name="Normal 5 7 2 2 2" xfId="2357" xr:uid="{00000000-0005-0000-0000-0000B6400000}"/>
    <cellStyle name="Normal 5 7 2 2 2 2" xfId="4824" xr:uid="{00000000-0005-0000-0000-0000B7400000}"/>
    <cellStyle name="Normal 5 7 2 2 2 2 2" xfId="9756" xr:uid="{00000000-0005-0000-0000-0000B8400000}"/>
    <cellStyle name="Normal 5 7 2 2 2 2 2 2" xfId="19616" xr:uid="{00000000-0005-0000-0000-0000B9400000}"/>
    <cellStyle name="Normal 5 7 2 2 2 2 2 2 2" xfId="39331" xr:uid="{00000000-0005-0000-0000-0000BA400000}"/>
    <cellStyle name="Normal 5 7 2 2 2 2 2 3" xfId="29474" xr:uid="{00000000-0005-0000-0000-0000BB400000}"/>
    <cellStyle name="Normal 5 7 2 2 2 2 3" xfId="14688" xr:uid="{00000000-0005-0000-0000-0000BC400000}"/>
    <cellStyle name="Normal 5 7 2 2 2 2 3 2" xfId="34403" xr:uid="{00000000-0005-0000-0000-0000BD400000}"/>
    <cellStyle name="Normal 5 7 2 2 2 2 4" xfId="24546" xr:uid="{00000000-0005-0000-0000-0000BE400000}"/>
    <cellStyle name="Normal 5 7 2 2 2 3" xfId="7292" xr:uid="{00000000-0005-0000-0000-0000BF400000}"/>
    <cellStyle name="Normal 5 7 2 2 2 3 2" xfId="17152" xr:uid="{00000000-0005-0000-0000-0000C0400000}"/>
    <cellStyle name="Normal 5 7 2 2 2 3 2 2" xfId="36867" xr:uid="{00000000-0005-0000-0000-0000C1400000}"/>
    <cellStyle name="Normal 5 7 2 2 2 3 3" xfId="27010" xr:uid="{00000000-0005-0000-0000-0000C2400000}"/>
    <cellStyle name="Normal 5 7 2 2 2 4" xfId="12224" xr:uid="{00000000-0005-0000-0000-0000C3400000}"/>
    <cellStyle name="Normal 5 7 2 2 2 4 2" xfId="31939" xr:uid="{00000000-0005-0000-0000-0000C4400000}"/>
    <cellStyle name="Normal 5 7 2 2 2 5" xfId="22082" xr:uid="{00000000-0005-0000-0000-0000C5400000}"/>
    <cellStyle name="Normal 5 7 2 2 3" xfId="3592" xr:uid="{00000000-0005-0000-0000-0000C6400000}"/>
    <cellStyle name="Normal 5 7 2 2 3 2" xfId="8524" xr:uid="{00000000-0005-0000-0000-0000C7400000}"/>
    <cellStyle name="Normal 5 7 2 2 3 2 2" xfId="18384" xr:uid="{00000000-0005-0000-0000-0000C8400000}"/>
    <cellStyle name="Normal 5 7 2 2 3 2 2 2" xfId="38099" xr:uid="{00000000-0005-0000-0000-0000C9400000}"/>
    <cellStyle name="Normal 5 7 2 2 3 2 3" xfId="28242" xr:uid="{00000000-0005-0000-0000-0000CA400000}"/>
    <cellStyle name="Normal 5 7 2 2 3 3" xfId="13456" xr:uid="{00000000-0005-0000-0000-0000CB400000}"/>
    <cellStyle name="Normal 5 7 2 2 3 3 2" xfId="33171" xr:uid="{00000000-0005-0000-0000-0000CC400000}"/>
    <cellStyle name="Normal 5 7 2 2 3 4" xfId="23314" xr:uid="{00000000-0005-0000-0000-0000CD400000}"/>
    <cellStyle name="Normal 5 7 2 2 4" xfId="6060" xr:uid="{00000000-0005-0000-0000-0000CE400000}"/>
    <cellStyle name="Normal 5 7 2 2 4 2" xfId="15920" xr:uid="{00000000-0005-0000-0000-0000CF400000}"/>
    <cellStyle name="Normal 5 7 2 2 4 2 2" xfId="35635" xr:uid="{00000000-0005-0000-0000-0000D0400000}"/>
    <cellStyle name="Normal 5 7 2 2 4 3" xfId="25778" xr:uid="{00000000-0005-0000-0000-0000D1400000}"/>
    <cellStyle name="Normal 5 7 2 2 5" xfId="10992" xr:uid="{00000000-0005-0000-0000-0000D2400000}"/>
    <cellStyle name="Normal 5 7 2 2 5 2" xfId="30707" xr:uid="{00000000-0005-0000-0000-0000D3400000}"/>
    <cellStyle name="Normal 5 7 2 2 6" xfId="20850" xr:uid="{00000000-0005-0000-0000-0000D4400000}"/>
    <cellStyle name="Normal 5 7 2 3" xfId="1741" xr:uid="{00000000-0005-0000-0000-0000D5400000}"/>
    <cellStyle name="Normal 5 7 2 3 2" xfId="4208" xr:uid="{00000000-0005-0000-0000-0000D6400000}"/>
    <cellStyle name="Normal 5 7 2 3 2 2" xfId="9140" xr:uid="{00000000-0005-0000-0000-0000D7400000}"/>
    <cellStyle name="Normal 5 7 2 3 2 2 2" xfId="19000" xr:uid="{00000000-0005-0000-0000-0000D8400000}"/>
    <cellStyle name="Normal 5 7 2 3 2 2 2 2" xfId="38715" xr:uid="{00000000-0005-0000-0000-0000D9400000}"/>
    <cellStyle name="Normal 5 7 2 3 2 2 3" xfId="28858" xr:uid="{00000000-0005-0000-0000-0000DA400000}"/>
    <cellStyle name="Normal 5 7 2 3 2 3" xfId="14072" xr:uid="{00000000-0005-0000-0000-0000DB400000}"/>
    <cellStyle name="Normal 5 7 2 3 2 3 2" xfId="33787" xr:uid="{00000000-0005-0000-0000-0000DC400000}"/>
    <cellStyle name="Normal 5 7 2 3 2 4" xfId="23930" xr:uid="{00000000-0005-0000-0000-0000DD400000}"/>
    <cellStyle name="Normal 5 7 2 3 3" xfId="6676" xr:uid="{00000000-0005-0000-0000-0000DE400000}"/>
    <cellStyle name="Normal 5 7 2 3 3 2" xfId="16536" xr:uid="{00000000-0005-0000-0000-0000DF400000}"/>
    <cellStyle name="Normal 5 7 2 3 3 2 2" xfId="36251" xr:uid="{00000000-0005-0000-0000-0000E0400000}"/>
    <cellStyle name="Normal 5 7 2 3 3 3" xfId="26394" xr:uid="{00000000-0005-0000-0000-0000E1400000}"/>
    <cellStyle name="Normal 5 7 2 3 4" xfId="11608" xr:uid="{00000000-0005-0000-0000-0000E2400000}"/>
    <cellStyle name="Normal 5 7 2 3 4 2" xfId="31323" xr:uid="{00000000-0005-0000-0000-0000E3400000}"/>
    <cellStyle name="Normal 5 7 2 3 5" xfId="21466" xr:uid="{00000000-0005-0000-0000-0000E4400000}"/>
    <cellStyle name="Normal 5 7 2 4" xfId="2976" xr:uid="{00000000-0005-0000-0000-0000E5400000}"/>
    <cellStyle name="Normal 5 7 2 4 2" xfId="7908" xr:uid="{00000000-0005-0000-0000-0000E6400000}"/>
    <cellStyle name="Normal 5 7 2 4 2 2" xfId="17768" xr:uid="{00000000-0005-0000-0000-0000E7400000}"/>
    <cellStyle name="Normal 5 7 2 4 2 2 2" xfId="37483" xr:uid="{00000000-0005-0000-0000-0000E8400000}"/>
    <cellStyle name="Normal 5 7 2 4 2 3" xfId="27626" xr:uid="{00000000-0005-0000-0000-0000E9400000}"/>
    <cellStyle name="Normal 5 7 2 4 3" xfId="12840" xr:uid="{00000000-0005-0000-0000-0000EA400000}"/>
    <cellStyle name="Normal 5 7 2 4 3 2" xfId="32555" xr:uid="{00000000-0005-0000-0000-0000EB400000}"/>
    <cellStyle name="Normal 5 7 2 4 4" xfId="22698" xr:uid="{00000000-0005-0000-0000-0000EC400000}"/>
    <cellStyle name="Normal 5 7 2 5" xfId="5444" xr:uid="{00000000-0005-0000-0000-0000ED400000}"/>
    <cellStyle name="Normal 5 7 2 5 2" xfId="15304" xr:uid="{00000000-0005-0000-0000-0000EE400000}"/>
    <cellStyle name="Normal 5 7 2 5 2 2" xfId="35019" xr:uid="{00000000-0005-0000-0000-0000EF400000}"/>
    <cellStyle name="Normal 5 7 2 5 3" xfId="25162" xr:uid="{00000000-0005-0000-0000-0000F0400000}"/>
    <cellStyle name="Normal 5 7 2 6" xfId="10376" xr:uid="{00000000-0005-0000-0000-0000F1400000}"/>
    <cellStyle name="Normal 5 7 2 6 2" xfId="30091" xr:uid="{00000000-0005-0000-0000-0000F2400000}"/>
    <cellStyle name="Normal 5 7 2 7" xfId="20234" xr:uid="{00000000-0005-0000-0000-0000F3400000}"/>
    <cellStyle name="Normal 5 7 3" xfId="815" xr:uid="{00000000-0005-0000-0000-0000F4400000}"/>
    <cellStyle name="Normal 5 7 3 2" xfId="2051" xr:uid="{00000000-0005-0000-0000-0000F5400000}"/>
    <cellStyle name="Normal 5 7 3 2 2" xfId="4518" xr:uid="{00000000-0005-0000-0000-0000F6400000}"/>
    <cellStyle name="Normal 5 7 3 2 2 2" xfId="9450" xr:uid="{00000000-0005-0000-0000-0000F7400000}"/>
    <cellStyle name="Normal 5 7 3 2 2 2 2" xfId="19310" xr:uid="{00000000-0005-0000-0000-0000F8400000}"/>
    <cellStyle name="Normal 5 7 3 2 2 2 2 2" xfId="39025" xr:uid="{00000000-0005-0000-0000-0000F9400000}"/>
    <cellStyle name="Normal 5 7 3 2 2 2 3" xfId="29168" xr:uid="{00000000-0005-0000-0000-0000FA400000}"/>
    <cellStyle name="Normal 5 7 3 2 2 3" xfId="14382" xr:uid="{00000000-0005-0000-0000-0000FB400000}"/>
    <cellStyle name="Normal 5 7 3 2 2 3 2" xfId="34097" xr:uid="{00000000-0005-0000-0000-0000FC400000}"/>
    <cellStyle name="Normal 5 7 3 2 2 4" xfId="24240" xr:uid="{00000000-0005-0000-0000-0000FD400000}"/>
    <cellStyle name="Normal 5 7 3 2 3" xfId="6986" xr:uid="{00000000-0005-0000-0000-0000FE400000}"/>
    <cellStyle name="Normal 5 7 3 2 3 2" xfId="16846" xr:uid="{00000000-0005-0000-0000-0000FF400000}"/>
    <cellStyle name="Normal 5 7 3 2 3 2 2" xfId="36561" xr:uid="{00000000-0005-0000-0000-000000410000}"/>
    <cellStyle name="Normal 5 7 3 2 3 3" xfId="26704" xr:uid="{00000000-0005-0000-0000-000001410000}"/>
    <cellStyle name="Normal 5 7 3 2 4" xfId="11918" xr:uid="{00000000-0005-0000-0000-000002410000}"/>
    <cellStyle name="Normal 5 7 3 2 4 2" xfId="31633" xr:uid="{00000000-0005-0000-0000-000003410000}"/>
    <cellStyle name="Normal 5 7 3 2 5" xfId="21776" xr:uid="{00000000-0005-0000-0000-000004410000}"/>
    <cellStyle name="Normal 5 7 3 3" xfId="3286" xr:uid="{00000000-0005-0000-0000-000005410000}"/>
    <cellStyle name="Normal 5 7 3 3 2" xfId="8218" xr:uid="{00000000-0005-0000-0000-000006410000}"/>
    <cellStyle name="Normal 5 7 3 3 2 2" xfId="18078" xr:uid="{00000000-0005-0000-0000-000007410000}"/>
    <cellStyle name="Normal 5 7 3 3 2 2 2" xfId="37793" xr:uid="{00000000-0005-0000-0000-000008410000}"/>
    <cellStyle name="Normal 5 7 3 3 2 3" xfId="27936" xr:uid="{00000000-0005-0000-0000-000009410000}"/>
    <cellStyle name="Normal 5 7 3 3 3" xfId="13150" xr:uid="{00000000-0005-0000-0000-00000A410000}"/>
    <cellStyle name="Normal 5 7 3 3 3 2" xfId="32865" xr:uid="{00000000-0005-0000-0000-00000B410000}"/>
    <cellStyle name="Normal 5 7 3 3 4" xfId="23008" xr:uid="{00000000-0005-0000-0000-00000C410000}"/>
    <cellStyle name="Normal 5 7 3 4" xfId="5754" xr:uid="{00000000-0005-0000-0000-00000D410000}"/>
    <cellStyle name="Normal 5 7 3 4 2" xfId="15614" xr:uid="{00000000-0005-0000-0000-00000E410000}"/>
    <cellStyle name="Normal 5 7 3 4 2 2" xfId="35329" xr:uid="{00000000-0005-0000-0000-00000F410000}"/>
    <cellStyle name="Normal 5 7 3 4 3" xfId="25472" xr:uid="{00000000-0005-0000-0000-000010410000}"/>
    <cellStyle name="Normal 5 7 3 5" xfId="10686" xr:uid="{00000000-0005-0000-0000-000011410000}"/>
    <cellStyle name="Normal 5 7 3 5 2" xfId="30401" xr:uid="{00000000-0005-0000-0000-000012410000}"/>
    <cellStyle name="Normal 5 7 3 6" xfId="20544" xr:uid="{00000000-0005-0000-0000-000013410000}"/>
    <cellStyle name="Normal 5 7 4" xfId="1435" xr:uid="{00000000-0005-0000-0000-000014410000}"/>
    <cellStyle name="Normal 5 7 4 2" xfId="3902" xr:uid="{00000000-0005-0000-0000-000015410000}"/>
    <cellStyle name="Normal 5 7 4 2 2" xfId="8834" xr:uid="{00000000-0005-0000-0000-000016410000}"/>
    <cellStyle name="Normal 5 7 4 2 2 2" xfId="18694" xr:uid="{00000000-0005-0000-0000-000017410000}"/>
    <cellStyle name="Normal 5 7 4 2 2 2 2" xfId="38409" xr:uid="{00000000-0005-0000-0000-000018410000}"/>
    <cellStyle name="Normal 5 7 4 2 2 3" xfId="28552" xr:uid="{00000000-0005-0000-0000-000019410000}"/>
    <cellStyle name="Normal 5 7 4 2 3" xfId="13766" xr:uid="{00000000-0005-0000-0000-00001A410000}"/>
    <cellStyle name="Normal 5 7 4 2 3 2" xfId="33481" xr:uid="{00000000-0005-0000-0000-00001B410000}"/>
    <cellStyle name="Normal 5 7 4 2 4" xfId="23624" xr:uid="{00000000-0005-0000-0000-00001C410000}"/>
    <cellStyle name="Normal 5 7 4 3" xfId="6370" xr:uid="{00000000-0005-0000-0000-00001D410000}"/>
    <cellStyle name="Normal 5 7 4 3 2" xfId="16230" xr:uid="{00000000-0005-0000-0000-00001E410000}"/>
    <cellStyle name="Normal 5 7 4 3 2 2" xfId="35945" xr:uid="{00000000-0005-0000-0000-00001F410000}"/>
    <cellStyle name="Normal 5 7 4 3 3" xfId="26088" xr:uid="{00000000-0005-0000-0000-000020410000}"/>
    <cellStyle name="Normal 5 7 4 4" xfId="11302" xr:uid="{00000000-0005-0000-0000-000021410000}"/>
    <cellStyle name="Normal 5 7 4 4 2" xfId="31017" xr:uid="{00000000-0005-0000-0000-000022410000}"/>
    <cellStyle name="Normal 5 7 4 5" xfId="21160" xr:uid="{00000000-0005-0000-0000-000023410000}"/>
    <cellStyle name="Normal 5 7 5" xfId="2670" xr:uid="{00000000-0005-0000-0000-000024410000}"/>
    <cellStyle name="Normal 5 7 5 2" xfId="7602" xr:uid="{00000000-0005-0000-0000-000025410000}"/>
    <cellStyle name="Normal 5 7 5 2 2" xfId="17462" xr:uid="{00000000-0005-0000-0000-000026410000}"/>
    <cellStyle name="Normal 5 7 5 2 2 2" xfId="37177" xr:uid="{00000000-0005-0000-0000-000027410000}"/>
    <cellStyle name="Normal 5 7 5 2 3" xfId="27320" xr:uid="{00000000-0005-0000-0000-000028410000}"/>
    <cellStyle name="Normal 5 7 5 3" xfId="12534" xr:uid="{00000000-0005-0000-0000-000029410000}"/>
    <cellStyle name="Normal 5 7 5 3 2" xfId="32249" xr:uid="{00000000-0005-0000-0000-00002A410000}"/>
    <cellStyle name="Normal 5 7 5 4" xfId="22392" xr:uid="{00000000-0005-0000-0000-00002B410000}"/>
    <cellStyle name="Normal 5 7 6" xfId="5138" xr:uid="{00000000-0005-0000-0000-00002C410000}"/>
    <cellStyle name="Normal 5 7 6 2" xfId="14998" xr:uid="{00000000-0005-0000-0000-00002D410000}"/>
    <cellStyle name="Normal 5 7 6 2 2" xfId="34713" xr:uid="{00000000-0005-0000-0000-00002E410000}"/>
    <cellStyle name="Normal 5 7 6 3" xfId="24856" xr:uid="{00000000-0005-0000-0000-00002F410000}"/>
    <cellStyle name="Normal 5 7 7" xfId="10070" xr:uid="{00000000-0005-0000-0000-000030410000}"/>
    <cellStyle name="Normal 5 7 7 2" xfId="29785" xr:uid="{00000000-0005-0000-0000-000031410000}"/>
    <cellStyle name="Normal 5 7 8" xfId="19928" xr:uid="{00000000-0005-0000-0000-000032410000}"/>
    <cellStyle name="Normal 5 8" xfId="341" xr:uid="{00000000-0005-0000-0000-000033410000}"/>
    <cellStyle name="Normal 5 8 2" xfId="650" xr:uid="{00000000-0005-0000-0000-000034410000}"/>
    <cellStyle name="Normal 5 8 2 2" xfId="1270" xr:uid="{00000000-0005-0000-0000-000035410000}"/>
    <cellStyle name="Normal 5 8 2 2 2" xfId="2505" xr:uid="{00000000-0005-0000-0000-000036410000}"/>
    <cellStyle name="Normal 5 8 2 2 2 2" xfId="4972" xr:uid="{00000000-0005-0000-0000-000037410000}"/>
    <cellStyle name="Normal 5 8 2 2 2 2 2" xfId="9904" xr:uid="{00000000-0005-0000-0000-000038410000}"/>
    <cellStyle name="Normal 5 8 2 2 2 2 2 2" xfId="19764" xr:uid="{00000000-0005-0000-0000-000039410000}"/>
    <cellStyle name="Normal 5 8 2 2 2 2 2 2 2" xfId="39479" xr:uid="{00000000-0005-0000-0000-00003A410000}"/>
    <cellStyle name="Normal 5 8 2 2 2 2 2 3" xfId="29622" xr:uid="{00000000-0005-0000-0000-00003B410000}"/>
    <cellStyle name="Normal 5 8 2 2 2 2 3" xfId="14836" xr:uid="{00000000-0005-0000-0000-00003C410000}"/>
    <cellStyle name="Normal 5 8 2 2 2 2 3 2" xfId="34551" xr:uid="{00000000-0005-0000-0000-00003D410000}"/>
    <cellStyle name="Normal 5 8 2 2 2 2 4" xfId="24694" xr:uid="{00000000-0005-0000-0000-00003E410000}"/>
    <cellStyle name="Normal 5 8 2 2 2 3" xfId="7440" xr:uid="{00000000-0005-0000-0000-00003F410000}"/>
    <cellStyle name="Normal 5 8 2 2 2 3 2" xfId="17300" xr:uid="{00000000-0005-0000-0000-000040410000}"/>
    <cellStyle name="Normal 5 8 2 2 2 3 2 2" xfId="37015" xr:uid="{00000000-0005-0000-0000-000041410000}"/>
    <cellStyle name="Normal 5 8 2 2 2 3 3" xfId="27158" xr:uid="{00000000-0005-0000-0000-000042410000}"/>
    <cellStyle name="Normal 5 8 2 2 2 4" xfId="12372" xr:uid="{00000000-0005-0000-0000-000043410000}"/>
    <cellStyle name="Normal 5 8 2 2 2 4 2" xfId="32087" xr:uid="{00000000-0005-0000-0000-000044410000}"/>
    <cellStyle name="Normal 5 8 2 2 2 5" xfId="22230" xr:uid="{00000000-0005-0000-0000-000045410000}"/>
    <cellStyle name="Normal 5 8 2 2 3" xfId="3740" xr:uid="{00000000-0005-0000-0000-000046410000}"/>
    <cellStyle name="Normal 5 8 2 2 3 2" xfId="8672" xr:uid="{00000000-0005-0000-0000-000047410000}"/>
    <cellStyle name="Normal 5 8 2 2 3 2 2" xfId="18532" xr:uid="{00000000-0005-0000-0000-000048410000}"/>
    <cellStyle name="Normal 5 8 2 2 3 2 2 2" xfId="38247" xr:uid="{00000000-0005-0000-0000-000049410000}"/>
    <cellStyle name="Normal 5 8 2 2 3 2 3" xfId="28390" xr:uid="{00000000-0005-0000-0000-00004A410000}"/>
    <cellStyle name="Normal 5 8 2 2 3 3" xfId="13604" xr:uid="{00000000-0005-0000-0000-00004B410000}"/>
    <cellStyle name="Normal 5 8 2 2 3 3 2" xfId="33319" xr:uid="{00000000-0005-0000-0000-00004C410000}"/>
    <cellStyle name="Normal 5 8 2 2 3 4" xfId="23462" xr:uid="{00000000-0005-0000-0000-00004D410000}"/>
    <cellStyle name="Normal 5 8 2 2 4" xfId="6208" xr:uid="{00000000-0005-0000-0000-00004E410000}"/>
    <cellStyle name="Normal 5 8 2 2 4 2" xfId="16068" xr:uid="{00000000-0005-0000-0000-00004F410000}"/>
    <cellStyle name="Normal 5 8 2 2 4 2 2" xfId="35783" xr:uid="{00000000-0005-0000-0000-000050410000}"/>
    <cellStyle name="Normal 5 8 2 2 4 3" xfId="25926" xr:uid="{00000000-0005-0000-0000-000051410000}"/>
    <cellStyle name="Normal 5 8 2 2 5" xfId="11140" xr:uid="{00000000-0005-0000-0000-000052410000}"/>
    <cellStyle name="Normal 5 8 2 2 5 2" xfId="30855" xr:uid="{00000000-0005-0000-0000-000053410000}"/>
    <cellStyle name="Normal 5 8 2 2 6" xfId="20998" xr:uid="{00000000-0005-0000-0000-000054410000}"/>
    <cellStyle name="Normal 5 8 2 3" xfId="1889" xr:uid="{00000000-0005-0000-0000-000055410000}"/>
    <cellStyle name="Normal 5 8 2 3 2" xfId="4356" xr:uid="{00000000-0005-0000-0000-000056410000}"/>
    <cellStyle name="Normal 5 8 2 3 2 2" xfId="9288" xr:uid="{00000000-0005-0000-0000-000057410000}"/>
    <cellStyle name="Normal 5 8 2 3 2 2 2" xfId="19148" xr:uid="{00000000-0005-0000-0000-000058410000}"/>
    <cellStyle name="Normal 5 8 2 3 2 2 2 2" xfId="38863" xr:uid="{00000000-0005-0000-0000-000059410000}"/>
    <cellStyle name="Normal 5 8 2 3 2 2 3" xfId="29006" xr:uid="{00000000-0005-0000-0000-00005A410000}"/>
    <cellStyle name="Normal 5 8 2 3 2 3" xfId="14220" xr:uid="{00000000-0005-0000-0000-00005B410000}"/>
    <cellStyle name="Normal 5 8 2 3 2 3 2" xfId="33935" xr:uid="{00000000-0005-0000-0000-00005C410000}"/>
    <cellStyle name="Normal 5 8 2 3 2 4" xfId="24078" xr:uid="{00000000-0005-0000-0000-00005D410000}"/>
    <cellStyle name="Normal 5 8 2 3 3" xfId="6824" xr:uid="{00000000-0005-0000-0000-00005E410000}"/>
    <cellStyle name="Normal 5 8 2 3 3 2" xfId="16684" xr:uid="{00000000-0005-0000-0000-00005F410000}"/>
    <cellStyle name="Normal 5 8 2 3 3 2 2" xfId="36399" xr:uid="{00000000-0005-0000-0000-000060410000}"/>
    <cellStyle name="Normal 5 8 2 3 3 3" xfId="26542" xr:uid="{00000000-0005-0000-0000-000061410000}"/>
    <cellStyle name="Normal 5 8 2 3 4" xfId="11756" xr:uid="{00000000-0005-0000-0000-000062410000}"/>
    <cellStyle name="Normal 5 8 2 3 4 2" xfId="31471" xr:uid="{00000000-0005-0000-0000-000063410000}"/>
    <cellStyle name="Normal 5 8 2 3 5" xfId="21614" xr:uid="{00000000-0005-0000-0000-000064410000}"/>
    <cellStyle name="Normal 5 8 2 4" xfId="3124" xr:uid="{00000000-0005-0000-0000-000065410000}"/>
    <cellStyle name="Normal 5 8 2 4 2" xfId="8056" xr:uid="{00000000-0005-0000-0000-000066410000}"/>
    <cellStyle name="Normal 5 8 2 4 2 2" xfId="17916" xr:uid="{00000000-0005-0000-0000-000067410000}"/>
    <cellStyle name="Normal 5 8 2 4 2 2 2" xfId="37631" xr:uid="{00000000-0005-0000-0000-000068410000}"/>
    <cellStyle name="Normal 5 8 2 4 2 3" xfId="27774" xr:uid="{00000000-0005-0000-0000-000069410000}"/>
    <cellStyle name="Normal 5 8 2 4 3" xfId="12988" xr:uid="{00000000-0005-0000-0000-00006A410000}"/>
    <cellStyle name="Normal 5 8 2 4 3 2" xfId="32703" xr:uid="{00000000-0005-0000-0000-00006B410000}"/>
    <cellStyle name="Normal 5 8 2 4 4" xfId="22846" xr:uid="{00000000-0005-0000-0000-00006C410000}"/>
    <cellStyle name="Normal 5 8 2 5" xfId="5592" xr:uid="{00000000-0005-0000-0000-00006D410000}"/>
    <cellStyle name="Normal 5 8 2 5 2" xfId="15452" xr:uid="{00000000-0005-0000-0000-00006E410000}"/>
    <cellStyle name="Normal 5 8 2 5 2 2" xfId="35167" xr:uid="{00000000-0005-0000-0000-00006F410000}"/>
    <cellStyle name="Normal 5 8 2 5 3" xfId="25310" xr:uid="{00000000-0005-0000-0000-000070410000}"/>
    <cellStyle name="Normal 5 8 2 6" xfId="10524" xr:uid="{00000000-0005-0000-0000-000071410000}"/>
    <cellStyle name="Normal 5 8 2 6 2" xfId="30239" xr:uid="{00000000-0005-0000-0000-000072410000}"/>
    <cellStyle name="Normal 5 8 2 7" xfId="20382" xr:uid="{00000000-0005-0000-0000-000073410000}"/>
    <cellStyle name="Normal 5 8 3" xfId="963" xr:uid="{00000000-0005-0000-0000-000074410000}"/>
    <cellStyle name="Normal 5 8 3 2" xfId="2199" xr:uid="{00000000-0005-0000-0000-000075410000}"/>
    <cellStyle name="Normal 5 8 3 2 2" xfId="4666" xr:uid="{00000000-0005-0000-0000-000076410000}"/>
    <cellStyle name="Normal 5 8 3 2 2 2" xfId="9598" xr:uid="{00000000-0005-0000-0000-000077410000}"/>
    <cellStyle name="Normal 5 8 3 2 2 2 2" xfId="19458" xr:uid="{00000000-0005-0000-0000-000078410000}"/>
    <cellStyle name="Normal 5 8 3 2 2 2 2 2" xfId="39173" xr:uid="{00000000-0005-0000-0000-000079410000}"/>
    <cellStyle name="Normal 5 8 3 2 2 2 3" xfId="29316" xr:uid="{00000000-0005-0000-0000-00007A410000}"/>
    <cellStyle name="Normal 5 8 3 2 2 3" xfId="14530" xr:uid="{00000000-0005-0000-0000-00007B410000}"/>
    <cellStyle name="Normal 5 8 3 2 2 3 2" xfId="34245" xr:uid="{00000000-0005-0000-0000-00007C410000}"/>
    <cellStyle name="Normal 5 8 3 2 2 4" xfId="24388" xr:uid="{00000000-0005-0000-0000-00007D410000}"/>
    <cellStyle name="Normal 5 8 3 2 3" xfId="7134" xr:uid="{00000000-0005-0000-0000-00007E410000}"/>
    <cellStyle name="Normal 5 8 3 2 3 2" xfId="16994" xr:uid="{00000000-0005-0000-0000-00007F410000}"/>
    <cellStyle name="Normal 5 8 3 2 3 2 2" xfId="36709" xr:uid="{00000000-0005-0000-0000-000080410000}"/>
    <cellStyle name="Normal 5 8 3 2 3 3" xfId="26852" xr:uid="{00000000-0005-0000-0000-000081410000}"/>
    <cellStyle name="Normal 5 8 3 2 4" xfId="12066" xr:uid="{00000000-0005-0000-0000-000082410000}"/>
    <cellStyle name="Normal 5 8 3 2 4 2" xfId="31781" xr:uid="{00000000-0005-0000-0000-000083410000}"/>
    <cellStyle name="Normal 5 8 3 2 5" xfId="21924" xr:uid="{00000000-0005-0000-0000-000084410000}"/>
    <cellStyle name="Normal 5 8 3 3" xfId="3434" xr:uid="{00000000-0005-0000-0000-000085410000}"/>
    <cellStyle name="Normal 5 8 3 3 2" xfId="8366" xr:uid="{00000000-0005-0000-0000-000086410000}"/>
    <cellStyle name="Normal 5 8 3 3 2 2" xfId="18226" xr:uid="{00000000-0005-0000-0000-000087410000}"/>
    <cellStyle name="Normal 5 8 3 3 2 2 2" xfId="37941" xr:uid="{00000000-0005-0000-0000-000088410000}"/>
    <cellStyle name="Normal 5 8 3 3 2 3" xfId="28084" xr:uid="{00000000-0005-0000-0000-000089410000}"/>
    <cellStyle name="Normal 5 8 3 3 3" xfId="13298" xr:uid="{00000000-0005-0000-0000-00008A410000}"/>
    <cellStyle name="Normal 5 8 3 3 3 2" xfId="33013" xr:uid="{00000000-0005-0000-0000-00008B410000}"/>
    <cellStyle name="Normal 5 8 3 3 4" xfId="23156" xr:uid="{00000000-0005-0000-0000-00008C410000}"/>
    <cellStyle name="Normal 5 8 3 4" xfId="5902" xr:uid="{00000000-0005-0000-0000-00008D410000}"/>
    <cellStyle name="Normal 5 8 3 4 2" xfId="15762" xr:uid="{00000000-0005-0000-0000-00008E410000}"/>
    <cellStyle name="Normal 5 8 3 4 2 2" xfId="35477" xr:uid="{00000000-0005-0000-0000-00008F410000}"/>
    <cellStyle name="Normal 5 8 3 4 3" xfId="25620" xr:uid="{00000000-0005-0000-0000-000090410000}"/>
    <cellStyle name="Normal 5 8 3 5" xfId="10834" xr:uid="{00000000-0005-0000-0000-000091410000}"/>
    <cellStyle name="Normal 5 8 3 5 2" xfId="30549" xr:uid="{00000000-0005-0000-0000-000092410000}"/>
    <cellStyle name="Normal 5 8 3 6" xfId="20692" xr:uid="{00000000-0005-0000-0000-000093410000}"/>
    <cellStyle name="Normal 5 8 4" xfId="1583" xr:uid="{00000000-0005-0000-0000-000094410000}"/>
    <cellStyle name="Normal 5 8 4 2" xfId="4050" xr:uid="{00000000-0005-0000-0000-000095410000}"/>
    <cellStyle name="Normal 5 8 4 2 2" xfId="8982" xr:uid="{00000000-0005-0000-0000-000096410000}"/>
    <cellStyle name="Normal 5 8 4 2 2 2" xfId="18842" xr:uid="{00000000-0005-0000-0000-000097410000}"/>
    <cellStyle name="Normal 5 8 4 2 2 2 2" xfId="38557" xr:uid="{00000000-0005-0000-0000-000098410000}"/>
    <cellStyle name="Normal 5 8 4 2 2 3" xfId="28700" xr:uid="{00000000-0005-0000-0000-000099410000}"/>
    <cellStyle name="Normal 5 8 4 2 3" xfId="13914" xr:uid="{00000000-0005-0000-0000-00009A410000}"/>
    <cellStyle name="Normal 5 8 4 2 3 2" xfId="33629" xr:uid="{00000000-0005-0000-0000-00009B410000}"/>
    <cellStyle name="Normal 5 8 4 2 4" xfId="23772" xr:uid="{00000000-0005-0000-0000-00009C410000}"/>
    <cellStyle name="Normal 5 8 4 3" xfId="6518" xr:uid="{00000000-0005-0000-0000-00009D410000}"/>
    <cellStyle name="Normal 5 8 4 3 2" xfId="16378" xr:uid="{00000000-0005-0000-0000-00009E410000}"/>
    <cellStyle name="Normal 5 8 4 3 2 2" xfId="36093" xr:uid="{00000000-0005-0000-0000-00009F410000}"/>
    <cellStyle name="Normal 5 8 4 3 3" xfId="26236" xr:uid="{00000000-0005-0000-0000-0000A0410000}"/>
    <cellStyle name="Normal 5 8 4 4" xfId="11450" xr:uid="{00000000-0005-0000-0000-0000A1410000}"/>
    <cellStyle name="Normal 5 8 4 4 2" xfId="31165" xr:uid="{00000000-0005-0000-0000-0000A2410000}"/>
    <cellStyle name="Normal 5 8 4 5" xfId="21308" xr:uid="{00000000-0005-0000-0000-0000A3410000}"/>
    <cellStyle name="Normal 5 8 5" xfId="2818" xr:uid="{00000000-0005-0000-0000-0000A4410000}"/>
    <cellStyle name="Normal 5 8 5 2" xfId="7750" xr:uid="{00000000-0005-0000-0000-0000A5410000}"/>
    <cellStyle name="Normal 5 8 5 2 2" xfId="17610" xr:uid="{00000000-0005-0000-0000-0000A6410000}"/>
    <cellStyle name="Normal 5 8 5 2 2 2" xfId="37325" xr:uid="{00000000-0005-0000-0000-0000A7410000}"/>
    <cellStyle name="Normal 5 8 5 2 3" xfId="27468" xr:uid="{00000000-0005-0000-0000-0000A8410000}"/>
    <cellStyle name="Normal 5 8 5 3" xfId="12682" xr:uid="{00000000-0005-0000-0000-0000A9410000}"/>
    <cellStyle name="Normal 5 8 5 3 2" xfId="32397" xr:uid="{00000000-0005-0000-0000-0000AA410000}"/>
    <cellStyle name="Normal 5 8 5 4" xfId="22540" xr:uid="{00000000-0005-0000-0000-0000AB410000}"/>
    <cellStyle name="Normal 5 8 6" xfId="5286" xr:uid="{00000000-0005-0000-0000-0000AC410000}"/>
    <cellStyle name="Normal 5 8 6 2" xfId="15146" xr:uid="{00000000-0005-0000-0000-0000AD410000}"/>
    <cellStyle name="Normal 5 8 6 2 2" xfId="34861" xr:uid="{00000000-0005-0000-0000-0000AE410000}"/>
    <cellStyle name="Normal 5 8 6 3" xfId="25004" xr:uid="{00000000-0005-0000-0000-0000AF410000}"/>
    <cellStyle name="Normal 5 8 7" xfId="10218" xr:uid="{00000000-0005-0000-0000-0000B0410000}"/>
    <cellStyle name="Normal 5 8 7 2" xfId="29933" xr:uid="{00000000-0005-0000-0000-0000B1410000}"/>
    <cellStyle name="Normal 5 8 8" xfId="20076" xr:uid="{00000000-0005-0000-0000-0000B2410000}"/>
    <cellStyle name="Normal 5 9" xfId="349" xr:uid="{00000000-0005-0000-0000-0000B3410000}"/>
    <cellStyle name="Normal 5 9 2" xfId="970" xr:uid="{00000000-0005-0000-0000-0000B4410000}"/>
    <cellStyle name="Normal 5 9 2 2" xfId="2205" xr:uid="{00000000-0005-0000-0000-0000B5410000}"/>
    <cellStyle name="Normal 5 9 2 2 2" xfId="4672" xr:uid="{00000000-0005-0000-0000-0000B6410000}"/>
    <cellStyle name="Normal 5 9 2 2 2 2" xfId="9604" xr:uid="{00000000-0005-0000-0000-0000B7410000}"/>
    <cellStyle name="Normal 5 9 2 2 2 2 2" xfId="19464" xr:uid="{00000000-0005-0000-0000-0000B8410000}"/>
    <cellStyle name="Normal 5 9 2 2 2 2 2 2" xfId="39179" xr:uid="{00000000-0005-0000-0000-0000B9410000}"/>
    <cellStyle name="Normal 5 9 2 2 2 2 3" xfId="29322" xr:uid="{00000000-0005-0000-0000-0000BA410000}"/>
    <cellStyle name="Normal 5 9 2 2 2 3" xfId="14536" xr:uid="{00000000-0005-0000-0000-0000BB410000}"/>
    <cellStyle name="Normal 5 9 2 2 2 3 2" xfId="34251" xr:uid="{00000000-0005-0000-0000-0000BC410000}"/>
    <cellStyle name="Normal 5 9 2 2 2 4" xfId="24394" xr:uid="{00000000-0005-0000-0000-0000BD410000}"/>
    <cellStyle name="Normal 5 9 2 2 3" xfId="7140" xr:uid="{00000000-0005-0000-0000-0000BE410000}"/>
    <cellStyle name="Normal 5 9 2 2 3 2" xfId="17000" xr:uid="{00000000-0005-0000-0000-0000BF410000}"/>
    <cellStyle name="Normal 5 9 2 2 3 2 2" xfId="36715" xr:uid="{00000000-0005-0000-0000-0000C0410000}"/>
    <cellStyle name="Normal 5 9 2 2 3 3" xfId="26858" xr:uid="{00000000-0005-0000-0000-0000C1410000}"/>
    <cellStyle name="Normal 5 9 2 2 4" xfId="12072" xr:uid="{00000000-0005-0000-0000-0000C2410000}"/>
    <cellStyle name="Normal 5 9 2 2 4 2" xfId="31787" xr:uid="{00000000-0005-0000-0000-0000C3410000}"/>
    <cellStyle name="Normal 5 9 2 2 5" xfId="21930" xr:uid="{00000000-0005-0000-0000-0000C4410000}"/>
    <cellStyle name="Normal 5 9 2 3" xfId="3440" xr:uid="{00000000-0005-0000-0000-0000C5410000}"/>
    <cellStyle name="Normal 5 9 2 3 2" xfId="8372" xr:uid="{00000000-0005-0000-0000-0000C6410000}"/>
    <cellStyle name="Normal 5 9 2 3 2 2" xfId="18232" xr:uid="{00000000-0005-0000-0000-0000C7410000}"/>
    <cellStyle name="Normal 5 9 2 3 2 2 2" xfId="37947" xr:uid="{00000000-0005-0000-0000-0000C8410000}"/>
    <cellStyle name="Normal 5 9 2 3 2 3" xfId="28090" xr:uid="{00000000-0005-0000-0000-0000C9410000}"/>
    <cellStyle name="Normal 5 9 2 3 3" xfId="13304" xr:uid="{00000000-0005-0000-0000-0000CA410000}"/>
    <cellStyle name="Normal 5 9 2 3 3 2" xfId="33019" xr:uid="{00000000-0005-0000-0000-0000CB410000}"/>
    <cellStyle name="Normal 5 9 2 3 4" xfId="23162" xr:uid="{00000000-0005-0000-0000-0000CC410000}"/>
    <cellStyle name="Normal 5 9 2 4" xfId="5908" xr:uid="{00000000-0005-0000-0000-0000CD410000}"/>
    <cellStyle name="Normal 5 9 2 4 2" xfId="15768" xr:uid="{00000000-0005-0000-0000-0000CE410000}"/>
    <cellStyle name="Normal 5 9 2 4 2 2" xfId="35483" xr:uid="{00000000-0005-0000-0000-0000CF410000}"/>
    <cellStyle name="Normal 5 9 2 4 3" xfId="25626" xr:uid="{00000000-0005-0000-0000-0000D0410000}"/>
    <cellStyle name="Normal 5 9 2 5" xfId="10840" xr:uid="{00000000-0005-0000-0000-0000D1410000}"/>
    <cellStyle name="Normal 5 9 2 5 2" xfId="30555" xr:uid="{00000000-0005-0000-0000-0000D2410000}"/>
    <cellStyle name="Normal 5 9 2 6" xfId="20698" xr:uid="{00000000-0005-0000-0000-0000D3410000}"/>
    <cellStyle name="Normal 5 9 3" xfId="1589" xr:uid="{00000000-0005-0000-0000-0000D4410000}"/>
    <cellStyle name="Normal 5 9 3 2" xfId="4056" xr:uid="{00000000-0005-0000-0000-0000D5410000}"/>
    <cellStyle name="Normal 5 9 3 2 2" xfId="8988" xr:uid="{00000000-0005-0000-0000-0000D6410000}"/>
    <cellStyle name="Normal 5 9 3 2 2 2" xfId="18848" xr:uid="{00000000-0005-0000-0000-0000D7410000}"/>
    <cellStyle name="Normal 5 9 3 2 2 2 2" xfId="38563" xr:uid="{00000000-0005-0000-0000-0000D8410000}"/>
    <cellStyle name="Normal 5 9 3 2 2 3" xfId="28706" xr:uid="{00000000-0005-0000-0000-0000D9410000}"/>
    <cellStyle name="Normal 5 9 3 2 3" xfId="13920" xr:uid="{00000000-0005-0000-0000-0000DA410000}"/>
    <cellStyle name="Normal 5 9 3 2 3 2" xfId="33635" xr:uid="{00000000-0005-0000-0000-0000DB410000}"/>
    <cellStyle name="Normal 5 9 3 2 4" xfId="23778" xr:uid="{00000000-0005-0000-0000-0000DC410000}"/>
    <cellStyle name="Normal 5 9 3 3" xfId="6524" xr:uid="{00000000-0005-0000-0000-0000DD410000}"/>
    <cellStyle name="Normal 5 9 3 3 2" xfId="16384" xr:uid="{00000000-0005-0000-0000-0000DE410000}"/>
    <cellStyle name="Normal 5 9 3 3 2 2" xfId="36099" xr:uid="{00000000-0005-0000-0000-0000DF410000}"/>
    <cellStyle name="Normal 5 9 3 3 3" xfId="26242" xr:uid="{00000000-0005-0000-0000-0000E0410000}"/>
    <cellStyle name="Normal 5 9 3 4" xfId="11456" xr:uid="{00000000-0005-0000-0000-0000E1410000}"/>
    <cellStyle name="Normal 5 9 3 4 2" xfId="31171" xr:uid="{00000000-0005-0000-0000-0000E2410000}"/>
    <cellStyle name="Normal 5 9 3 5" xfId="21314" xr:uid="{00000000-0005-0000-0000-0000E3410000}"/>
    <cellStyle name="Normal 5 9 4" xfId="2824" xr:uid="{00000000-0005-0000-0000-0000E4410000}"/>
    <cellStyle name="Normal 5 9 4 2" xfId="7756" xr:uid="{00000000-0005-0000-0000-0000E5410000}"/>
    <cellStyle name="Normal 5 9 4 2 2" xfId="17616" xr:uid="{00000000-0005-0000-0000-0000E6410000}"/>
    <cellStyle name="Normal 5 9 4 2 2 2" xfId="37331" xr:uid="{00000000-0005-0000-0000-0000E7410000}"/>
    <cellStyle name="Normal 5 9 4 2 3" xfId="27474" xr:uid="{00000000-0005-0000-0000-0000E8410000}"/>
    <cellStyle name="Normal 5 9 4 3" xfId="12688" xr:uid="{00000000-0005-0000-0000-0000E9410000}"/>
    <cellStyle name="Normal 5 9 4 3 2" xfId="32403" xr:uid="{00000000-0005-0000-0000-0000EA410000}"/>
    <cellStyle name="Normal 5 9 4 4" xfId="22546" xr:uid="{00000000-0005-0000-0000-0000EB410000}"/>
    <cellStyle name="Normal 5 9 5" xfId="5292" xr:uid="{00000000-0005-0000-0000-0000EC410000}"/>
    <cellStyle name="Normal 5 9 5 2" xfId="15152" xr:uid="{00000000-0005-0000-0000-0000ED410000}"/>
    <cellStyle name="Normal 5 9 5 2 2" xfId="34867" xr:uid="{00000000-0005-0000-0000-0000EE410000}"/>
    <cellStyle name="Normal 5 9 5 3" xfId="25010" xr:uid="{00000000-0005-0000-0000-0000EF410000}"/>
    <cellStyle name="Normal 5 9 6" xfId="10224" xr:uid="{00000000-0005-0000-0000-0000F0410000}"/>
    <cellStyle name="Normal 5 9 6 2" xfId="29939" xr:uid="{00000000-0005-0000-0000-0000F1410000}"/>
    <cellStyle name="Normal 5 9 7" xfId="20082" xr:uid="{00000000-0005-0000-0000-0000F2410000}"/>
    <cellStyle name="Normal 6" xfId="12" xr:uid="{00000000-0005-0000-0000-0000F3410000}"/>
    <cellStyle name="Normal 6 10" xfId="2518" xr:uid="{00000000-0005-0000-0000-0000F4410000}"/>
    <cellStyle name="Normal 6 10 2" xfId="7451" xr:uid="{00000000-0005-0000-0000-0000F5410000}"/>
    <cellStyle name="Normal 6 10 2 2" xfId="17311" xr:uid="{00000000-0005-0000-0000-0000F6410000}"/>
    <cellStyle name="Normal 6 10 2 2 2" xfId="37026" xr:uid="{00000000-0005-0000-0000-0000F7410000}"/>
    <cellStyle name="Normal 6 10 2 3" xfId="27169" xr:uid="{00000000-0005-0000-0000-0000F8410000}"/>
    <cellStyle name="Normal 6 10 3" xfId="12383" xr:uid="{00000000-0005-0000-0000-0000F9410000}"/>
    <cellStyle name="Normal 6 10 3 2" xfId="32098" xr:uid="{00000000-0005-0000-0000-0000FA410000}"/>
    <cellStyle name="Normal 6 10 4" xfId="22241" xr:uid="{00000000-0005-0000-0000-0000FB410000}"/>
    <cellStyle name="Normal 6 11" xfId="4986" xr:uid="{00000000-0005-0000-0000-0000FC410000}"/>
    <cellStyle name="Normal 6 11 2" xfId="14847" xr:uid="{00000000-0005-0000-0000-0000FD410000}"/>
    <cellStyle name="Normal 6 11 2 2" xfId="34562" xr:uid="{00000000-0005-0000-0000-0000FE410000}"/>
    <cellStyle name="Normal 6 11 3" xfId="24705" xr:uid="{00000000-0005-0000-0000-0000FF410000}"/>
    <cellStyle name="Normal 6 12" xfId="9918" xr:uid="{00000000-0005-0000-0000-000000420000}"/>
    <cellStyle name="Normal 6 12 2" xfId="29634" xr:uid="{00000000-0005-0000-0000-000001420000}"/>
    <cellStyle name="Normal 6 13" xfId="19777" xr:uid="{00000000-0005-0000-0000-000002420000}"/>
    <cellStyle name="Normal 6 2" xfId="25" xr:uid="{00000000-0005-0000-0000-000003420000}"/>
    <cellStyle name="Normal 6 2 10" xfId="4996" xr:uid="{00000000-0005-0000-0000-000004420000}"/>
    <cellStyle name="Normal 6 2 10 2" xfId="14856" xr:uid="{00000000-0005-0000-0000-000005420000}"/>
    <cellStyle name="Normal 6 2 10 2 2" xfId="34571" xr:uid="{00000000-0005-0000-0000-000006420000}"/>
    <cellStyle name="Normal 6 2 10 3" xfId="24714" xr:uid="{00000000-0005-0000-0000-000007420000}"/>
    <cellStyle name="Normal 6 2 11" xfId="9928" xr:uid="{00000000-0005-0000-0000-000008420000}"/>
    <cellStyle name="Normal 6 2 11 2" xfId="29643" xr:uid="{00000000-0005-0000-0000-000009420000}"/>
    <cellStyle name="Normal 6 2 12" xfId="19786" xr:uid="{00000000-0005-0000-0000-00000A420000}"/>
    <cellStyle name="Normal 6 2 2" xfId="50" xr:uid="{00000000-0005-0000-0000-00000B420000}"/>
    <cellStyle name="Normal 6 2 2 10" xfId="9947" xr:uid="{00000000-0005-0000-0000-00000C420000}"/>
    <cellStyle name="Normal 6 2 2 10 2" xfId="29662" xr:uid="{00000000-0005-0000-0000-00000D420000}"/>
    <cellStyle name="Normal 6 2 2 11" xfId="19805" xr:uid="{00000000-0005-0000-0000-00000E420000}"/>
    <cellStyle name="Normal 6 2 2 2" xfId="93" xr:uid="{00000000-0005-0000-0000-00000F420000}"/>
    <cellStyle name="Normal 6 2 2 2 10" xfId="19843" xr:uid="{00000000-0005-0000-0000-000010420000}"/>
    <cellStyle name="Normal 6 2 2 2 2" xfId="174" xr:uid="{00000000-0005-0000-0000-000011420000}"/>
    <cellStyle name="Normal 6 2 2 2 2 2" xfId="331" xr:uid="{00000000-0005-0000-0000-000012420000}"/>
    <cellStyle name="Normal 6 2 2 2 2 2 2" xfId="645" xr:uid="{00000000-0005-0000-0000-000013420000}"/>
    <cellStyle name="Normal 6 2 2 2 2 2 2 2" xfId="1265" xr:uid="{00000000-0005-0000-0000-000014420000}"/>
    <cellStyle name="Normal 6 2 2 2 2 2 2 2 2" xfId="2500" xr:uid="{00000000-0005-0000-0000-000015420000}"/>
    <cellStyle name="Normal 6 2 2 2 2 2 2 2 2 2" xfId="4967" xr:uid="{00000000-0005-0000-0000-000016420000}"/>
    <cellStyle name="Normal 6 2 2 2 2 2 2 2 2 2 2" xfId="9899" xr:uid="{00000000-0005-0000-0000-000017420000}"/>
    <cellStyle name="Normal 6 2 2 2 2 2 2 2 2 2 2 2" xfId="19759" xr:uid="{00000000-0005-0000-0000-000018420000}"/>
    <cellStyle name="Normal 6 2 2 2 2 2 2 2 2 2 2 2 2" xfId="39474" xr:uid="{00000000-0005-0000-0000-000019420000}"/>
    <cellStyle name="Normal 6 2 2 2 2 2 2 2 2 2 2 3" xfId="29617" xr:uid="{00000000-0005-0000-0000-00001A420000}"/>
    <cellStyle name="Normal 6 2 2 2 2 2 2 2 2 2 3" xfId="14831" xr:uid="{00000000-0005-0000-0000-00001B420000}"/>
    <cellStyle name="Normal 6 2 2 2 2 2 2 2 2 2 3 2" xfId="34546" xr:uid="{00000000-0005-0000-0000-00001C420000}"/>
    <cellStyle name="Normal 6 2 2 2 2 2 2 2 2 2 4" xfId="24689" xr:uid="{00000000-0005-0000-0000-00001D420000}"/>
    <cellStyle name="Normal 6 2 2 2 2 2 2 2 2 3" xfId="7435" xr:uid="{00000000-0005-0000-0000-00001E420000}"/>
    <cellStyle name="Normal 6 2 2 2 2 2 2 2 2 3 2" xfId="17295" xr:uid="{00000000-0005-0000-0000-00001F420000}"/>
    <cellStyle name="Normal 6 2 2 2 2 2 2 2 2 3 2 2" xfId="37010" xr:uid="{00000000-0005-0000-0000-000020420000}"/>
    <cellStyle name="Normal 6 2 2 2 2 2 2 2 2 3 3" xfId="27153" xr:uid="{00000000-0005-0000-0000-000021420000}"/>
    <cellStyle name="Normal 6 2 2 2 2 2 2 2 2 4" xfId="12367" xr:uid="{00000000-0005-0000-0000-000022420000}"/>
    <cellStyle name="Normal 6 2 2 2 2 2 2 2 2 4 2" xfId="32082" xr:uid="{00000000-0005-0000-0000-000023420000}"/>
    <cellStyle name="Normal 6 2 2 2 2 2 2 2 2 5" xfId="22225" xr:uid="{00000000-0005-0000-0000-000024420000}"/>
    <cellStyle name="Normal 6 2 2 2 2 2 2 2 3" xfId="3735" xr:uid="{00000000-0005-0000-0000-000025420000}"/>
    <cellStyle name="Normal 6 2 2 2 2 2 2 2 3 2" xfId="8667" xr:uid="{00000000-0005-0000-0000-000026420000}"/>
    <cellStyle name="Normal 6 2 2 2 2 2 2 2 3 2 2" xfId="18527" xr:uid="{00000000-0005-0000-0000-000027420000}"/>
    <cellStyle name="Normal 6 2 2 2 2 2 2 2 3 2 2 2" xfId="38242" xr:uid="{00000000-0005-0000-0000-000028420000}"/>
    <cellStyle name="Normal 6 2 2 2 2 2 2 2 3 2 3" xfId="28385" xr:uid="{00000000-0005-0000-0000-000029420000}"/>
    <cellStyle name="Normal 6 2 2 2 2 2 2 2 3 3" xfId="13599" xr:uid="{00000000-0005-0000-0000-00002A420000}"/>
    <cellStyle name="Normal 6 2 2 2 2 2 2 2 3 3 2" xfId="33314" xr:uid="{00000000-0005-0000-0000-00002B420000}"/>
    <cellStyle name="Normal 6 2 2 2 2 2 2 2 3 4" xfId="23457" xr:uid="{00000000-0005-0000-0000-00002C420000}"/>
    <cellStyle name="Normal 6 2 2 2 2 2 2 2 4" xfId="6203" xr:uid="{00000000-0005-0000-0000-00002D420000}"/>
    <cellStyle name="Normal 6 2 2 2 2 2 2 2 4 2" xfId="16063" xr:uid="{00000000-0005-0000-0000-00002E420000}"/>
    <cellStyle name="Normal 6 2 2 2 2 2 2 2 4 2 2" xfId="35778" xr:uid="{00000000-0005-0000-0000-00002F420000}"/>
    <cellStyle name="Normal 6 2 2 2 2 2 2 2 4 3" xfId="25921" xr:uid="{00000000-0005-0000-0000-000030420000}"/>
    <cellStyle name="Normal 6 2 2 2 2 2 2 2 5" xfId="11135" xr:uid="{00000000-0005-0000-0000-000031420000}"/>
    <cellStyle name="Normal 6 2 2 2 2 2 2 2 5 2" xfId="30850" xr:uid="{00000000-0005-0000-0000-000032420000}"/>
    <cellStyle name="Normal 6 2 2 2 2 2 2 2 6" xfId="20993" xr:uid="{00000000-0005-0000-0000-000033420000}"/>
    <cellStyle name="Normal 6 2 2 2 2 2 2 3" xfId="1884" xr:uid="{00000000-0005-0000-0000-000034420000}"/>
    <cellStyle name="Normal 6 2 2 2 2 2 2 3 2" xfId="4351" xr:uid="{00000000-0005-0000-0000-000035420000}"/>
    <cellStyle name="Normal 6 2 2 2 2 2 2 3 2 2" xfId="9283" xr:uid="{00000000-0005-0000-0000-000036420000}"/>
    <cellStyle name="Normal 6 2 2 2 2 2 2 3 2 2 2" xfId="19143" xr:uid="{00000000-0005-0000-0000-000037420000}"/>
    <cellStyle name="Normal 6 2 2 2 2 2 2 3 2 2 2 2" xfId="38858" xr:uid="{00000000-0005-0000-0000-000038420000}"/>
    <cellStyle name="Normal 6 2 2 2 2 2 2 3 2 2 3" xfId="29001" xr:uid="{00000000-0005-0000-0000-000039420000}"/>
    <cellStyle name="Normal 6 2 2 2 2 2 2 3 2 3" xfId="14215" xr:uid="{00000000-0005-0000-0000-00003A420000}"/>
    <cellStyle name="Normal 6 2 2 2 2 2 2 3 2 3 2" xfId="33930" xr:uid="{00000000-0005-0000-0000-00003B420000}"/>
    <cellStyle name="Normal 6 2 2 2 2 2 2 3 2 4" xfId="24073" xr:uid="{00000000-0005-0000-0000-00003C420000}"/>
    <cellStyle name="Normal 6 2 2 2 2 2 2 3 3" xfId="6819" xr:uid="{00000000-0005-0000-0000-00003D420000}"/>
    <cellStyle name="Normal 6 2 2 2 2 2 2 3 3 2" xfId="16679" xr:uid="{00000000-0005-0000-0000-00003E420000}"/>
    <cellStyle name="Normal 6 2 2 2 2 2 2 3 3 2 2" xfId="36394" xr:uid="{00000000-0005-0000-0000-00003F420000}"/>
    <cellStyle name="Normal 6 2 2 2 2 2 2 3 3 3" xfId="26537" xr:uid="{00000000-0005-0000-0000-000040420000}"/>
    <cellStyle name="Normal 6 2 2 2 2 2 2 3 4" xfId="11751" xr:uid="{00000000-0005-0000-0000-000041420000}"/>
    <cellStyle name="Normal 6 2 2 2 2 2 2 3 4 2" xfId="31466" xr:uid="{00000000-0005-0000-0000-000042420000}"/>
    <cellStyle name="Normal 6 2 2 2 2 2 2 3 5" xfId="21609" xr:uid="{00000000-0005-0000-0000-000043420000}"/>
    <cellStyle name="Normal 6 2 2 2 2 2 2 4" xfId="3119" xr:uid="{00000000-0005-0000-0000-000044420000}"/>
    <cellStyle name="Normal 6 2 2 2 2 2 2 4 2" xfId="8051" xr:uid="{00000000-0005-0000-0000-000045420000}"/>
    <cellStyle name="Normal 6 2 2 2 2 2 2 4 2 2" xfId="17911" xr:uid="{00000000-0005-0000-0000-000046420000}"/>
    <cellStyle name="Normal 6 2 2 2 2 2 2 4 2 2 2" xfId="37626" xr:uid="{00000000-0005-0000-0000-000047420000}"/>
    <cellStyle name="Normal 6 2 2 2 2 2 2 4 2 3" xfId="27769" xr:uid="{00000000-0005-0000-0000-000048420000}"/>
    <cellStyle name="Normal 6 2 2 2 2 2 2 4 3" xfId="12983" xr:uid="{00000000-0005-0000-0000-000049420000}"/>
    <cellStyle name="Normal 6 2 2 2 2 2 2 4 3 2" xfId="32698" xr:uid="{00000000-0005-0000-0000-00004A420000}"/>
    <cellStyle name="Normal 6 2 2 2 2 2 2 4 4" xfId="22841" xr:uid="{00000000-0005-0000-0000-00004B420000}"/>
    <cellStyle name="Normal 6 2 2 2 2 2 2 5" xfId="5587" xr:uid="{00000000-0005-0000-0000-00004C420000}"/>
    <cellStyle name="Normal 6 2 2 2 2 2 2 5 2" xfId="15447" xr:uid="{00000000-0005-0000-0000-00004D420000}"/>
    <cellStyle name="Normal 6 2 2 2 2 2 2 5 2 2" xfId="35162" xr:uid="{00000000-0005-0000-0000-00004E420000}"/>
    <cellStyle name="Normal 6 2 2 2 2 2 2 5 3" xfId="25305" xr:uid="{00000000-0005-0000-0000-00004F420000}"/>
    <cellStyle name="Normal 6 2 2 2 2 2 2 6" xfId="10519" xr:uid="{00000000-0005-0000-0000-000050420000}"/>
    <cellStyle name="Normal 6 2 2 2 2 2 2 6 2" xfId="30234" xr:uid="{00000000-0005-0000-0000-000051420000}"/>
    <cellStyle name="Normal 6 2 2 2 2 2 2 7" xfId="20377" xr:uid="{00000000-0005-0000-0000-000052420000}"/>
    <cellStyle name="Normal 6 2 2 2 2 2 3" xfId="958" xr:uid="{00000000-0005-0000-0000-000053420000}"/>
    <cellStyle name="Normal 6 2 2 2 2 2 3 2" xfId="2194" xr:uid="{00000000-0005-0000-0000-000054420000}"/>
    <cellStyle name="Normal 6 2 2 2 2 2 3 2 2" xfId="4661" xr:uid="{00000000-0005-0000-0000-000055420000}"/>
    <cellStyle name="Normal 6 2 2 2 2 2 3 2 2 2" xfId="9593" xr:uid="{00000000-0005-0000-0000-000056420000}"/>
    <cellStyle name="Normal 6 2 2 2 2 2 3 2 2 2 2" xfId="19453" xr:uid="{00000000-0005-0000-0000-000057420000}"/>
    <cellStyle name="Normal 6 2 2 2 2 2 3 2 2 2 2 2" xfId="39168" xr:uid="{00000000-0005-0000-0000-000058420000}"/>
    <cellStyle name="Normal 6 2 2 2 2 2 3 2 2 2 3" xfId="29311" xr:uid="{00000000-0005-0000-0000-000059420000}"/>
    <cellStyle name="Normal 6 2 2 2 2 2 3 2 2 3" xfId="14525" xr:uid="{00000000-0005-0000-0000-00005A420000}"/>
    <cellStyle name="Normal 6 2 2 2 2 2 3 2 2 3 2" xfId="34240" xr:uid="{00000000-0005-0000-0000-00005B420000}"/>
    <cellStyle name="Normal 6 2 2 2 2 2 3 2 2 4" xfId="24383" xr:uid="{00000000-0005-0000-0000-00005C420000}"/>
    <cellStyle name="Normal 6 2 2 2 2 2 3 2 3" xfId="7129" xr:uid="{00000000-0005-0000-0000-00005D420000}"/>
    <cellStyle name="Normal 6 2 2 2 2 2 3 2 3 2" xfId="16989" xr:uid="{00000000-0005-0000-0000-00005E420000}"/>
    <cellStyle name="Normal 6 2 2 2 2 2 3 2 3 2 2" xfId="36704" xr:uid="{00000000-0005-0000-0000-00005F420000}"/>
    <cellStyle name="Normal 6 2 2 2 2 2 3 2 3 3" xfId="26847" xr:uid="{00000000-0005-0000-0000-000060420000}"/>
    <cellStyle name="Normal 6 2 2 2 2 2 3 2 4" xfId="12061" xr:uid="{00000000-0005-0000-0000-000061420000}"/>
    <cellStyle name="Normal 6 2 2 2 2 2 3 2 4 2" xfId="31776" xr:uid="{00000000-0005-0000-0000-000062420000}"/>
    <cellStyle name="Normal 6 2 2 2 2 2 3 2 5" xfId="21919" xr:uid="{00000000-0005-0000-0000-000063420000}"/>
    <cellStyle name="Normal 6 2 2 2 2 2 3 3" xfId="3429" xr:uid="{00000000-0005-0000-0000-000064420000}"/>
    <cellStyle name="Normal 6 2 2 2 2 2 3 3 2" xfId="8361" xr:uid="{00000000-0005-0000-0000-000065420000}"/>
    <cellStyle name="Normal 6 2 2 2 2 2 3 3 2 2" xfId="18221" xr:uid="{00000000-0005-0000-0000-000066420000}"/>
    <cellStyle name="Normal 6 2 2 2 2 2 3 3 2 2 2" xfId="37936" xr:uid="{00000000-0005-0000-0000-000067420000}"/>
    <cellStyle name="Normal 6 2 2 2 2 2 3 3 2 3" xfId="28079" xr:uid="{00000000-0005-0000-0000-000068420000}"/>
    <cellStyle name="Normal 6 2 2 2 2 2 3 3 3" xfId="13293" xr:uid="{00000000-0005-0000-0000-000069420000}"/>
    <cellStyle name="Normal 6 2 2 2 2 2 3 3 3 2" xfId="33008" xr:uid="{00000000-0005-0000-0000-00006A420000}"/>
    <cellStyle name="Normal 6 2 2 2 2 2 3 3 4" xfId="23151" xr:uid="{00000000-0005-0000-0000-00006B420000}"/>
    <cellStyle name="Normal 6 2 2 2 2 2 3 4" xfId="5897" xr:uid="{00000000-0005-0000-0000-00006C420000}"/>
    <cellStyle name="Normal 6 2 2 2 2 2 3 4 2" xfId="15757" xr:uid="{00000000-0005-0000-0000-00006D420000}"/>
    <cellStyle name="Normal 6 2 2 2 2 2 3 4 2 2" xfId="35472" xr:uid="{00000000-0005-0000-0000-00006E420000}"/>
    <cellStyle name="Normal 6 2 2 2 2 2 3 4 3" xfId="25615" xr:uid="{00000000-0005-0000-0000-00006F420000}"/>
    <cellStyle name="Normal 6 2 2 2 2 2 3 5" xfId="10829" xr:uid="{00000000-0005-0000-0000-000070420000}"/>
    <cellStyle name="Normal 6 2 2 2 2 2 3 5 2" xfId="30544" xr:uid="{00000000-0005-0000-0000-000071420000}"/>
    <cellStyle name="Normal 6 2 2 2 2 2 3 6" xfId="20687" xr:uid="{00000000-0005-0000-0000-000072420000}"/>
    <cellStyle name="Normal 6 2 2 2 2 2 4" xfId="1578" xr:uid="{00000000-0005-0000-0000-000073420000}"/>
    <cellStyle name="Normal 6 2 2 2 2 2 4 2" xfId="4045" xr:uid="{00000000-0005-0000-0000-000074420000}"/>
    <cellStyle name="Normal 6 2 2 2 2 2 4 2 2" xfId="8977" xr:uid="{00000000-0005-0000-0000-000075420000}"/>
    <cellStyle name="Normal 6 2 2 2 2 2 4 2 2 2" xfId="18837" xr:uid="{00000000-0005-0000-0000-000076420000}"/>
    <cellStyle name="Normal 6 2 2 2 2 2 4 2 2 2 2" xfId="38552" xr:uid="{00000000-0005-0000-0000-000077420000}"/>
    <cellStyle name="Normal 6 2 2 2 2 2 4 2 2 3" xfId="28695" xr:uid="{00000000-0005-0000-0000-000078420000}"/>
    <cellStyle name="Normal 6 2 2 2 2 2 4 2 3" xfId="13909" xr:uid="{00000000-0005-0000-0000-000079420000}"/>
    <cellStyle name="Normal 6 2 2 2 2 2 4 2 3 2" xfId="33624" xr:uid="{00000000-0005-0000-0000-00007A420000}"/>
    <cellStyle name="Normal 6 2 2 2 2 2 4 2 4" xfId="23767" xr:uid="{00000000-0005-0000-0000-00007B420000}"/>
    <cellStyle name="Normal 6 2 2 2 2 2 4 3" xfId="6513" xr:uid="{00000000-0005-0000-0000-00007C420000}"/>
    <cellStyle name="Normal 6 2 2 2 2 2 4 3 2" xfId="16373" xr:uid="{00000000-0005-0000-0000-00007D420000}"/>
    <cellStyle name="Normal 6 2 2 2 2 2 4 3 2 2" xfId="36088" xr:uid="{00000000-0005-0000-0000-00007E420000}"/>
    <cellStyle name="Normal 6 2 2 2 2 2 4 3 3" xfId="26231" xr:uid="{00000000-0005-0000-0000-00007F420000}"/>
    <cellStyle name="Normal 6 2 2 2 2 2 4 4" xfId="11445" xr:uid="{00000000-0005-0000-0000-000080420000}"/>
    <cellStyle name="Normal 6 2 2 2 2 2 4 4 2" xfId="31160" xr:uid="{00000000-0005-0000-0000-000081420000}"/>
    <cellStyle name="Normal 6 2 2 2 2 2 4 5" xfId="21303" xr:uid="{00000000-0005-0000-0000-000082420000}"/>
    <cellStyle name="Normal 6 2 2 2 2 2 5" xfId="2813" xr:uid="{00000000-0005-0000-0000-000083420000}"/>
    <cellStyle name="Normal 6 2 2 2 2 2 5 2" xfId="7745" xr:uid="{00000000-0005-0000-0000-000084420000}"/>
    <cellStyle name="Normal 6 2 2 2 2 2 5 2 2" xfId="17605" xr:uid="{00000000-0005-0000-0000-000085420000}"/>
    <cellStyle name="Normal 6 2 2 2 2 2 5 2 2 2" xfId="37320" xr:uid="{00000000-0005-0000-0000-000086420000}"/>
    <cellStyle name="Normal 6 2 2 2 2 2 5 2 3" xfId="27463" xr:uid="{00000000-0005-0000-0000-000087420000}"/>
    <cellStyle name="Normal 6 2 2 2 2 2 5 3" xfId="12677" xr:uid="{00000000-0005-0000-0000-000088420000}"/>
    <cellStyle name="Normal 6 2 2 2 2 2 5 3 2" xfId="32392" xr:uid="{00000000-0005-0000-0000-000089420000}"/>
    <cellStyle name="Normal 6 2 2 2 2 2 5 4" xfId="22535" xr:uid="{00000000-0005-0000-0000-00008A420000}"/>
    <cellStyle name="Normal 6 2 2 2 2 2 6" xfId="5281" xr:uid="{00000000-0005-0000-0000-00008B420000}"/>
    <cellStyle name="Normal 6 2 2 2 2 2 6 2" xfId="15141" xr:uid="{00000000-0005-0000-0000-00008C420000}"/>
    <cellStyle name="Normal 6 2 2 2 2 2 6 2 2" xfId="34856" xr:uid="{00000000-0005-0000-0000-00008D420000}"/>
    <cellStyle name="Normal 6 2 2 2 2 2 6 3" xfId="24999" xr:uid="{00000000-0005-0000-0000-00008E420000}"/>
    <cellStyle name="Normal 6 2 2 2 2 2 7" xfId="10213" xr:uid="{00000000-0005-0000-0000-00008F420000}"/>
    <cellStyle name="Normal 6 2 2 2 2 2 7 2" xfId="29928" xr:uid="{00000000-0005-0000-0000-000090420000}"/>
    <cellStyle name="Normal 6 2 2 2 2 2 8" xfId="20071" xr:uid="{00000000-0005-0000-0000-000091420000}"/>
    <cellStyle name="Normal 6 2 2 2 2 3" xfId="493" xr:uid="{00000000-0005-0000-0000-000092420000}"/>
    <cellStyle name="Normal 6 2 2 2 2 3 2" xfId="1113" xr:uid="{00000000-0005-0000-0000-000093420000}"/>
    <cellStyle name="Normal 6 2 2 2 2 3 2 2" xfId="2348" xr:uid="{00000000-0005-0000-0000-000094420000}"/>
    <cellStyle name="Normal 6 2 2 2 2 3 2 2 2" xfId="4815" xr:uid="{00000000-0005-0000-0000-000095420000}"/>
    <cellStyle name="Normal 6 2 2 2 2 3 2 2 2 2" xfId="9747" xr:uid="{00000000-0005-0000-0000-000096420000}"/>
    <cellStyle name="Normal 6 2 2 2 2 3 2 2 2 2 2" xfId="19607" xr:uid="{00000000-0005-0000-0000-000097420000}"/>
    <cellStyle name="Normal 6 2 2 2 2 3 2 2 2 2 2 2" xfId="39322" xr:uid="{00000000-0005-0000-0000-000098420000}"/>
    <cellStyle name="Normal 6 2 2 2 2 3 2 2 2 2 3" xfId="29465" xr:uid="{00000000-0005-0000-0000-000099420000}"/>
    <cellStyle name="Normal 6 2 2 2 2 3 2 2 2 3" xfId="14679" xr:uid="{00000000-0005-0000-0000-00009A420000}"/>
    <cellStyle name="Normal 6 2 2 2 2 3 2 2 2 3 2" xfId="34394" xr:uid="{00000000-0005-0000-0000-00009B420000}"/>
    <cellStyle name="Normal 6 2 2 2 2 3 2 2 2 4" xfId="24537" xr:uid="{00000000-0005-0000-0000-00009C420000}"/>
    <cellStyle name="Normal 6 2 2 2 2 3 2 2 3" xfId="7283" xr:uid="{00000000-0005-0000-0000-00009D420000}"/>
    <cellStyle name="Normal 6 2 2 2 2 3 2 2 3 2" xfId="17143" xr:uid="{00000000-0005-0000-0000-00009E420000}"/>
    <cellStyle name="Normal 6 2 2 2 2 3 2 2 3 2 2" xfId="36858" xr:uid="{00000000-0005-0000-0000-00009F420000}"/>
    <cellStyle name="Normal 6 2 2 2 2 3 2 2 3 3" xfId="27001" xr:uid="{00000000-0005-0000-0000-0000A0420000}"/>
    <cellStyle name="Normal 6 2 2 2 2 3 2 2 4" xfId="12215" xr:uid="{00000000-0005-0000-0000-0000A1420000}"/>
    <cellStyle name="Normal 6 2 2 2 2 3 2 2 4 2" xfId="31930" xr:uid="{00000000-0005-0000-0000-0000A2420000}"/>
    <cellStyle name="Normal 6 2 2 2 2 3 2 2 5" xfId="22073" xr:uid="{00000000-0005-0000-0000-0000A3420000}"/>
    <cellStyle name="Normal 6 2 2 2 2 3 2 3" xfId="3583" xr:uid="{00000000-0005-0000-0000-0000A4420000}"/>
    <cellStyle name="Normal 6 2 2 2 2 3 2 3 2" xfId="8515" xr:uid="{00000000-0005-0000-0000-0000A5420000}"/>
    <cellStyle name="Normal 6 2 2 2 2 3 2 3 2 2" xfId="18375" xr:uid="{00000000-0005-0000-0000-0000A6420000}"/>
    <cellStyle name="Normal 6 2 2 2 2 3 2 3 2 2 2" xfId="38090" xr:uid="{00000000-0005-0000-0000-0000A7420000}"/>
    <cellStyle name="Normal 6 2 2 2 2 3 2 3 2 3" xfId="28233" xr:uid="{00000000-0005-0000-0000-0000A8420000}"/>
    <cellStyle name="Normal 6 2 2 2 2 3 2 3 3" xfId="13447" xr:uid="{00000000-0005-0000-0000-0000A9420000}"/>
    <cellStyle name="Normal 6 2 2 2 2 3 2 3 3 2" xfId="33162" xr:uid="{00000000-0005-0000-0000-0000AA420000}"/>
    <cellStyle name="Normal 6 2 2 2 2 3 2 3 4" xfId="23305" xr:uid="{00000000-0005-0000-0000-0000AB420000}"/>
    <cellStyle name="Normal 6 2 2 2 2 3 2 4" xfId="6051" xr:uid="{00000000-0005-0000-0000-0000AC420000}"/>
    <cellStyle name="Normal 6 2 2 2 2 3 2 4 2" xfId="15911" xr:uid="{00000000-0005-0000-0000-0000AD420000}"/>
    <cellStyle name="Normal 6 2 2 2 2 3 2 4 2 2" xfId="35626" xr:uid="{00000000-0005-0000-0000-0000AE420000}"/>
    <cellStyle name="Normal 6 2 2 2 2 3 2 4 3" xfId="25769" xr:uid="{00000000-0005-0000-0000-0000AF420000}"/>
    <cellStyle name="Normal 6 2 2 2 2 3 2 5" xfId="10983" xr:uid="{00000000-0005-0000-0000-0000B0420000}"/>
    <cellStyle name="Normal 6 2 2 2 2 3 2 5 2" xfId="30698" xr:uid="{00000000-0005-0000-0000-0000B1420000}"/>
    <cellStyle name="Normal 6 2 2 2 2 3 2 6" xfId="20841" xr:uid="{00000000-0005-0000-0000-0000B2420000}"/>
    <cellStyle name="Normal 6 2 2 2 2 3 3" xfId="1732" xr:uid="{00000000-0005-0000-0000-0000B3420000}"/>
    <cellStyle name="Normal 6 2 2 2 2 3 3 2" xfId="4199" xr:uid="{00000000-0005-0000-0000-0000B4420000}"/>
    <cellStyle name="Normal 6 2 2 2 2 3 3 2 2" xfId="9131" xr:uid="{00000000-0005-0000-0000-0000B5420000}"/>
    <cellStyle name="Normal 6 2 2 2 2 3 3 2 2 2" xfId="18991" xr:uid="{00000000-0005-0000-0000-0000B6420000}"/>
    <cellStyle name="Normal 6 2 2 2 2 3 3 2 2 2 2" xfId="38706" xr:uid="{00000000-0005-0000-0000-0000B7420000}"/>
    <cellStyle name="Normal 6 2 2 2 2 3 3 2 2 3" xfId="28849" xr:uid="{00000000-0005-0000-0000-0000B8420000}"/>
    <cellStyle name="Normal 6 2 2 2 2 3 3 2 3" xfId="14063" xr:uid="{00000000-0005-0000-0000-0000B9420000}"/>
    <cellStyle name="Normal 6 2 2 2 2 3 3 2 3 2" xfId="33778" xr:uid="{00000000-0005-0000-0000-0000BA420000}"/>
    <cellStyle name="Normal 6 2 2 2 2 3 3 2 4" xfId="23921" xr:uid="{00000000-0005-0000-0000-0000BB420000}"/>
    <cellStyle name="Normal 6 2 2 2 2 3 3 3" xfId="6667" xr:uid="{00000000-0005-0000-0000-0000BC420000}"/>
    <cellStyle name="Normal 6 2 2 2 2 3 3 3 2" xfId="16527" xr:uid="{00000000-0005-0000-0000-0000BD420000}"/>
    <cellStyle name="Normal 6 2 2 2 2 3 3 3 2 2" xfId="36242" xr:uid="{00000000-0005-0000-0000-0000BE420000}"/>
    <cellStyle name="Normal 6 2 2 2 2 3 3 3 3" xfId="26385" xr:uid="{00000000-0005-0000-0000-0000BF420000}"/>
    <cellStyle name="Normal 6 2 2 2 2 3 3 4" xfId="11599" xr:uid="{00000000-0005-0000-0000-0000C0420000}"/>
    <cellStyle name="Normal 6 2 2 2 2 3 3 4 2" xfId="31314" xr:uid="{00000000-0005-0000-0000-0000C1420000}"/>
    <cellStyle name="Normal 6 2 2 2 2 3 3 5" xfId="21457" xr:uid="{00000000-0005-0000-0000-0000C2420000}"/>
    <cellStyle name="Normal 6 2 2 2 2 3 4" xfId="2967" xr:uid="{00000000-0005-0000-0000-0000C3420000}"/>
    <cellStyle name="Normal 6 2 2 2 2 3 4 2" xfId="7899" xr:uid="{00000000-0005-0000-0000-0000C4420000}"/>
    <cellStyle name="Normal 6 2 2 2 2 3 4 2 2" xfId="17759" xr:uid="{00000000-0005-0000-0000-0000C5420000}"/>
    <cellStyle name="Normal 6 2 2 2 2 3 4 2 2 2" xfId="37474" xr:uid="{00000000-0005-0000-0000-0000C6420000}"/>
    <cellStyle name="Normal 6 2 2 2 2 3 4 2 3" xfId="27617" xr:uid="{00000000-0005-0000-0000-0000C7420000}"/>
    <cellStyle name="Normal 6 2 2 2 2 3 4 3" xfId="12831" xr:uid="{00000000-0005-0000-0000-0000C8420000}"/>
    <cellStyle name="Normal 6 2 2 2 2 3 4 3 2" xfId="32546" xr:uid="{00000000-0005-0000-0000-0000C9420000}"/>
    <cellStyle name="Normal 6 2 2 2 2 3 4 4" xfId="22689" xr:uid="{00000000-0005-0000-0000-0000CA420000}"/>
    <cellStyle name="Normal 6 2 2 2 2 3 5" xfId="5435" xr:uid="{00000000-0005-0000-0000-0000CB420000}"/>
    <cellStyle name="Normal 6 2 2 2 2 3 5 2" xfId="15295" xr:uid="{00000000-0005-0000-0000-0000CC420000}"/>
    <cellStyle name="Normal 6 2 2 2 2 3 5 2 2" xfId="35010" xr:uid="{00000000-0005-0000-0000-0000CD420000}"/>
    <cellStyle name="Normal 6 2 2 2 2 3 5 3" xfId="25153" xr:uid="{00000000-0005-0000-0000-0000CE420000}"/>
    <cellStyle name="Normal 6 2 2 2 2 3 6" xfId="10367" xr:uid="{00000000-0005-0000-0000-0000CF420000}"/>
    <cellStyle name="Normal 6 2 2 2 2 3 6 2" xfId="30082" xr:uid="{00000000-0005-0000-0000-0000D0420000}"/>
    <cellStyle name="Normal 6 2 2 2 2 3 7" xfId="20225" xr:uid="{00000000-0005-0000-0000-0000D1420000}"/>
    <cellStyle name="Normal 6 2 2 2 2 4" xfId="806" xr:uid="{00000000-0005-0000-0000-0000D2420000}"/>
    <cellStyle name="Normal 6 2 2 2 2 4 2" xfId="2042" xr:uid="{00000000-0005-0000-0000-0000D3420000}"/>
    <cellStyle name="Normal 6 2 2 2 2 4 2 2" xfId="4509" xr:uid="{00000000-0005-0000-0000-0000D4420000}"/>
    <cellStyle name="Normal 6 2 2 2 2 4 2 2 2" xfId="9441" xr:uid="{00000000-0005-0000-0000-0000D5420000}"/>
    <cellStyle name="Normal 6 2 2 2 2 4 2 2 2 2" xfId="19301" xr:uid="{00000000-0005-0000-0000-0000D6420000}"/>
    <cellStyle name="Normal 6 2 2 2 2 4 2 2 2 2 2" xfId="39016" xr:uid="{00000000-0005-0000-0000-0000D7420000}"/>
    <cellStyle name="Normal 6 2 2 2 2 4 2 2 2 3" xfId="29159" xr:uid="{00000000-0005-0000-0000-0000D8420000}"/>
    <cellStyle name="Normal 6 2 2 2 2 4 2 2 3" xfId="14373" xr:uid="{00000000-0005-0000-0000-0000D9420000}"/>
    <cellStyle name="Normal 6 2 2 2 2 4 2 2 3 2" xfId="34088" xr:uid="{00000000-0005-0000-0000-0000DA420000}"/>
    <cellStyle name="Normal 6 2 2 2 2 4 2 2 4" xfId="24231" xr:uid="{00000000-0005-0000-0000-0000DB420000}"/>
    <cellStyle name="Normal 6 2 2 2 2 4 2 3" xfId="6977" xr:uid="{00000000-0005-0000-0000-0000DC420000}"/>
    <cellStyle name="Normal 6 2 2 2 2 4 2 3 2" xfId="16837" xr:uid="{00000000-0005-0000-0000-0000DD420000}"/>
    <cellStyle name="Normal 6 2 2 2 2 4 2 3 2 2" xfId="36552" xr:uid="{00000000-0005-0000-0000-0000DE420000}"/>
    <cellStyle name="Normal 6 2 2 2 2 4 2 3 3" xfId="26695" xr:uid="{00000000-0005-0000-0000-0000DF420000}"/>
    <cellStyle name="Normal 6 2 2 2 2 4 2 4" xfId="11909" xr:uid="{00000000-0005-0000-0000-0000E0420000}"/>
    <cellStyle name="Normal 6 2 2 2 2 4 2 4 2" xfId="31624" xr:uid="{00000000-0005-0000-0000-0000E1420000}"/>
    <cellStyle name="Normal 6 2 2 2 2 4 2 5" xfId="21767" xr:uid="{00000000-0005-0000-0000-0000E2420000}"/>
    <cellStyle name="Normal 6 2 2 2 2 4 3" xfId="3277" xr:uid="{00000000-0005-0000-0000-0000E3420000}"/>
    <cellStyle name="Normal 6 2 2 2 2 4 3 2" xfId="8209" xr:uid="{00000000-0005-0000-0000-0000E4420000}"/>
    <cellStyle name="Normal 6 2 2 2 2 4 3 2 2" xfId="18069" xr:uid="{00000000-0005-0000-0000-0000E5420000}"/>
    <cellStyle name="Normal 6 2 2 2 2 4 3 2 2 2" xfId="37784" xr:uid="{00000000-0005-0000-0000-0000E6420000}"/>
    <cellStyle name="Normal 6 2 2 2 2 4 3 2 3" xfId="27927" xr:uid="{00000000-0005-0000-0000-0000E7420000}"/>
    <cellStyle name="Normal 6 2 2 2 2 4 3 3" xfId="13141" xr:uid="{00000000-0005-0000-0000-0000E8420000}"/>
    <cellStyle name="Normal 6 2 2 2 2 4 3 3 2" xfId="32856" xr:uid="{00000000-0005-0000-0000-0000E9420000}"/>
    <cellStyle name="Normal 6 2 2 2 2 4 3 4" xfId="22999" xr:uid="{00000000-0005-0000-0000-0000EA420000}"/>
    <cellStyle name="Normal 6 2 2 2 2 4 4" xfId="5745" xr:uid="{00000000-0005-0000-0000-0000EB420000}"/>
    <cellStyle name="Normal 6 2 2 2 2 4 4 2" xfId="15605" xr:uid="{00000000-0005-0000-0000-0000EC420000}"/>
    <cellStyle name="Normal 6 2 2 2 2 4 4 2 2" xfId="35320" xr:uid="{00000000-0005-0000-0000-0000ED420000}"/>
    <cellStyle name="Normal 6 2 2 2 2 4 4 3" xfId="25463" xr:uid="{00000000-0005-0000-0000-0000EE420000}"/>
    <cellStyle name="Normal 6 2 2 2 2 4 5" xfId="10677" xr:uid="{00000000-0005-0000-0000-0000EF420000}"/>
    <cellStyle name="Normal 6 2 2 2 2 4 5 2" xfId="30392" xr:uid="{00000000-0005-0000-0000-0000F0420000}"/>
    <cellStyle name="Normal 6 2 2 2 2 4 6" xfId="20535" xr:uid="{00000000-0005-0000-0000-0000F1420000}"/>
    <cellStyle name="Normal 6 2 2 2 2 5" xfId="1426" xr:uid="{00000000-0005-0000-0000-0000F2420000}"/>
    <cellStyle name="Normal 6 2 2 2 2 5 2" xfId="3893" xr:uid="{00000000-0005-0000-0000-0000F3420000}"/>
    <cellStyle name="Normal 6 2 2 2 2 5 2 2" xfId="8825" xr:uid="{00000000-0005-0000-0000-0000F4420000}"/>
    <cellStyle name="Normal 6 2 2 2 2 5 2 2 2" xfId="18685" xr:uid="{00000000-0005-0000-0000-0000F5420000}"/>
    <cellStyle name="Normal 6 2 2 2 2 5 2 2 2 2" xfId="38400" xr:uid="{00000000-0005-0000-0000-0000F6420000}"/>
    <cellStyle name="Normal 6 2 2 2 2 5 2 2 3" xfId="28543" xr:uid="{00000000-0005-0000-0000-0000F7420000}"/>
    <cellStyle name="Normal 6 2 2 2 2 5 2 3" xfId="13757" xr:uid="{00000000-0005-0000-0000-0000F8420000}"/>
    <cellStyle name="Normal 6 2 2 2 2 5 2 3 2" xfId="33472" xr:uid="{00000000-0005-0000-0000-0000F9420000}"/>
    <cellStyle name="Normal 6 2 2 2 2 5 2 4" xfId="23615" xr:uid="{00000000-0005-0000-0000-0000FA420000}"/>
    <cellStyle name="Normal 6 2 2 2 2 5 3" xfId="6361" xr:uid="{00000000-0005-0000-0000-0000FB420000}"/>
    <cellStyle name="Normal 6 2 2 2 2 5 3 2" xfId="16221" xr:uid="{00000000-0005-0000-0000-0000FC420000}"/>
    <cellStyle name="Normal 6 2 2 2 2 5 3 2 2" xfId="35936" xr:uid="{00000000-0005-0000-0000-0000FD420000}"/>
    <cellStyle name="Normal 6 2 2 2 2 5 3 3" xfId="26079" xr:uid="{00000000-0005-0000-0000-0000FE420000}"/>
    <cellStyle name="Normal 6 2 2 2 2 5 4" xfId="11293" xr:uid="{00000000-0005-0000-0000-0000FF420000}"/>
    <cellStyle name="Normal 6 2 2 2 2 5 4 2" xfId="31008" xr:uid="{00000000-0005-0000-0000-000000430000}"/>
    <cellStyle name="Normal 6 2 2 2 2 5 5" xfId="21151" xr:uid="{00000000-0005-0000-0000-000001430000}"/>
    <cellStyle name="Normal 6 2 2 2 2 6" xfId="2661" xr:uid="{00000000-0005-0000-0000-000002430000}"/>
    <cellStyle name="Normal 6 2 2 2 2 6 2" xfId="7593" xr:uid="{00000000-0005-0000-0000-000003430000}"/>
    <cellStyle name="Normal 6 2 2 2 2 6 2 2" xfId="17453" xr:uid="{00000000-0005-0000-0000-000004430000}"/>
    <cellStyle name="Normal 6 2 2 2 2 6 2 2 2" xfId="37168" xr:uid="{00000000-0005-0000-0000-000005430000}"/>
    <cellStyle name="Normal 6 2 2 2 2 6 2 3" xfId="27311" xr:uid="{00000000-0005-0000-0000-000006430000}"/>
    <cellStyle name="Normal 6 2 2 2 2 6 3" xfId="12525" xr:uid="{00000000-0005-0000-0000-000007430000}"/>
    <cellStyle name="Normal 6 2 2 2 2 6 3 2" xfId="32240" xr:uid="{00000000-0005-0000-0000-000008430000}"/>
    <cellStyle name="Normal 6 2 2 2 2 6 4" xfId="22383" xr:uid="{00000000-0005-0000-0000-000009430000}"/>
    <cellStyle name="Normal 6 2 2 2 2 7" xfId="5129" xr:uid="{00000000-0005-0000-0000-00000A430000}"/>
    <cellStyle name="Normal 6 2 2 2 2 7 2" xfId="14989" xr:uid="{00000000-0005-0000-0000-00000B430000}"/>
    <cellStyle name="Normal 6 2 2 2 2 7 2 2" xfId="34704" xr:uid="{00000000-0005-0000-0000-00000C430000}"/>
    <cellStyle name="Normal 6 2 2 2 2 7 3" xfId="24847" xr:uid="{00000000-0005-0000-0000-00000D430000}"/>
    <cellStyle name="Normal 6 2 2 2 2 8" xfId="10061" xr:uid="{00000000-0005-0000-0000-00000E430000}"/>
    <cellStyle name="Normal 6 2 2 2 2 8 2" xfId="29776" xr:uid="{00000000-0005-0000-0000-00000F430000}"/>
    <cellStyle name="Normal 6 2 2 2 2 9" xfId="19919" xr:uid="{00000000-0005-0000-0000-000010430000}"/>
    <cellStyle name="Normal 6 2 2 2 3" xfId="255" xr:uid="{00000000-0005-0000-0000-000011430000}"/>
    <cellStyle name="Normal 6 2 2 2 3 2" xfId="569" xr:uid="{00000000-0005-0000-0000-000012430000}"/>
    <cellStyle name="Normal 6 2 2 2 3 2 2" xfId="1189" xr:uid="{00000000-0005-0000-0000-000013430000}"/>
    <cellStyle name="Normal 6 2 2 2 3 2 2 2" xfId="2424" xr:uid="{00000000-0005-0000-0000-000014430000}"/>
    <cellStyle name="Normal 6 2 2 2 3 2 2 2 2" xfId="4891" xr:uid="{00000000-0005-0000-0000-000015430000}"/>
    <cellStyle name="Normal 6 2 2 2 3 2 2 2 2 2" xfId="9823" xr:uid="{00000000-0005-0000-0000-000016430000}"/>
    <cellStyle name="Normal 6 2 2 2 3 2 2 2 2 2 2" xfId="19683" xr:uid="{00000000-0005-0000-0000-000017430000}"/>
    <cellStyle name="Normal 6 2 2 2 3 2 2 2 2 2 2 2" xfId="39398" xr:uid="{00000000-0005-0000-0000-000018430000}"/>
    <cellStyle name="Normal 6 2 2 2 3 2 2 2 2 2 3" xfId="29541" xr:uid="{00000000-0005-0000-0000-000019430000}"/>
    <cellStyle name="Normal 6 2 2 2 3 2 2 2 2 3" xfId="14755" xr:uid="{00000000-0005-0000-0000-00001A430000}"/>
    <cellStyle name="Normal 6 2 2 2 3 2 2 2 2 3 2" xfId="34470" xr:uid="{00000000-0005-0000-0000-00001B430000}"/>
    <cellStyle name="Normal 6 2 2 2 3 2 2 2 2 4" xfId="24613" xr:uid="{00000000-0005-0000-0000-00001C430000}"/>
    <cellStyle name="Normal 6 2 2 2 3 2 2 2 3" xfId="7359" xr:uid="{00000000-0005-0000-0000-00001D430000}"/>
    <cellStyle name="Normal 6 2 2 2 3 2 2 2 3 2" xfId="17219" xr:uid="{00000000-0005-0000-0000-00001E430000}"/>
    <cellStyle name="Normal 6 2 2 2 3 2 2 2 3 2 2" xfId="36934" xr:uid="{00000000-0005-0000-0000-00001F430000}"/>
    <cellStyle name="Normal 6 2 2 2 3 2 2 2 3 3" xfId="27077" xr:uid="{00000000-0005-0000-0000-000020430000}"/>
    <cellStyle name="Normal 6 2 2 2 3 2 2 2 4" xfId="12291" xr:uid="{00000000-0005-0000-0000-000021430000}"/>
    <cellStyle name="Normal 6 2 2 2 3 2 2 2 4 2" xfId="32006" xr:uid="{00000000-0005-0000-0000-000022430000}"/>
    <cellStyle name="Normal 6 2 2 2 3 2 2 2 5" xfId="22149" xr:uid="{00000000-0005-0000-0000-000023430000}"/>
    <cellStyle name="Normal 6 2 2 2 3 2 2 3" xfId="3659" xr:uid="{00000000-0005-0000-0000-000024430000}"/>
    <cellStyle name="Normal 6 2 2 2 3 2 2 3 2" xfId="8591" xr:uid="{00000000-0005-0000-0000-000025430000}"/>
    <cellStyle name="Normal 6 2 2 2 3 2 2 3 2 2" xfId="18451" xr:uid="{00000000-0005-0000-0000-000026430000}"/>
    <cellStyle name="Normal 6 2 2 2 3 2 2 3 2 2 2" xfId="38166" xr:uid="{00000000-0005-0000-0000-000027430000}"/>
    <cellStyle name="Normal 6 2 2 2 3 2 2 3 2 3" xfId="28309" xr:uid="{00000000-0005-0000-0000-000028430000}"/>
    <cellStyle name="Normal 6 2 2 2 3 2 2 3 3" xfId="13523" xr:uid="{00000000-0005-0000-0000-000029430000}"/>
    <cellStyle name="Normal 6 2 2 2 3 2 2 3 3 2" xfId="33238" xr:uid="{00000000-0005-0000-0000-00002A430000}"/>
    <cellStyle name="Normal 6 2 2 2 3 2 2 3 4" xfId="23381" xr:uid="{00000000-0005-0000-0000-00002B430000}"/>
    <cellStyle name="Normal 6 2 2 2 3 2 2 4" xfId="6127" xr:uid="{00000000-0005-0000-0000-00002C430000}"/>
    <cellStyle name="Normal 6 2 2 2 3 2 2 4 2" xfId="15987" xr:uid="{00000000-0005-0000-0000-00002D430000}"/>
    <cellStyle name="Normal 6 2 2 2 3 2 2 4 2 2" xfId="35702" xr:uid="{00000000-0005-0000-0000-00002E430000}"/>
    <cellStyle name="Normal 6 2 2 2 3 2 2 4 3" xfId="25845" xr:uid="{00000000-0005-0000-0000-00002F430000}"/>
    <cellStyle name="Normal 6 2 2 2 3 2 2 5" xfId="11059" xr:uid="{00000000-0005-0000-0000-000030430000}"/>
    <cellStyle name="Normal 6 2 2 2 3 2 2 5 2" xfId="30774" xr:uid="{00000000-0005-0000-0000-000031430000}"/>
    <cellStyle name="Normal 6 2 2 2 3 2 2 6" xfId="20917" xr:uid="{00000000-0005-0000-0000-000032430000}"/>
    <cellStyle name="Normal 6 2 2 2 3 2 3" xfId="1808" xr:uid="{00000000-0005-0000-0000-000033430000}"/>
    <cellStyle name="Normal 6 2 2 2 3 2 3 2" xfId="4275" xr:uid="{00000000-0005-0000-0000-000034430000}"/>
    <cellStyle name="Normal 6 2 2 2 3 2 3 2 2" xfId="9207" xr:uid="{00000000-0005-0000-0000-000035430000}"/>
    <cellStyle name="Normal 6 2 2 2 3 2 3 2 2 2" xfId="19067" xr:uid="{00000000-0005-0000-0000-000036430000}"/>
    <cellStyle name="Normal 6 2 2 2 3 2 3 2 2 2 2" xfId="38782" xr:uid="{00000000-0005-0000-0000-000037430000}"/>
    <cellStyle name="Normal 6 2 2 2 3 2 3 2 2 3" xfId="28925" xr:uid="{00000000-0005-0000-0000-000038430000}"/>
    <cellStyle name="Normal 6 2 2 2 3 2 3 2 3" xfId="14139" xr:uid="{00000000-0005-0000-0000-000039430000}"/>
    <cellStyle name="Normal 6 2 2 2 3 2 3 2 3 2" xfId="33854" xr:uid="{00000000-0005-0000-0000-00003A430000}"/>
    <cellStyle name="Normal 6 2 2 2 3 2 3 2 4" xfId="23997" xr:uid="{00000000-0005-0000-0000-00003B430000}"/>
    <cellStyle name="Normal 6 2 2 2 3 2 3 3" xfId="6743" xr:uid="{00000000-0005-0000-0000-00003C430000}"/>
    <cellStyle name="Normal 6 2 2 2 3 2 3 3 2" xfId="16603" xr:uid="{00000000-0005-0000-0000-00003D430000}"/>
    <cellStyle name="Normal 6 2 2 2 3 2 3 3 2 2" xfId="36318" xr:uid="{00000000-0005-0000-0000-00003E430000}"/>
    <cellStyle name="Normal 6 2 2 2 3 2 3 3 3" xfId="26461" xr:uid="{00000000-0005-0000-0000-00003F430000}"/>
    <cellStyle name="Normal 6 2 2 2 3 2 3 4" xfId="11675" xr:uid="{00000000-0005-0000-0000-000040430000}"/>
    <cellStyle name="Normal 6 2 2 2 3 2 3 4 2" xfId="31390" xr:uid="{00000000-0005-0000-0000-000041430000}"/>
    <cellStyle name="Normal 6 2 2 2 3 2 3 5" xfId="21533" xr:uid="{00000000-0005-0000-0000-000042430000}"/>
    <cellStyle name="Normal 6 2 2 2 3 2 4" xfId="3043" xr:uid="{00000000-0005-0000-0000-000043430000}"/>
    <cellStyle name="Normal 6 2 2 2 3 2 4 2" xfId="7975" xr:uid="{00000000-0005-0000-0000-000044430000}"/>
    <cellStyle name="Normal 6 2 2 2 3 2 4 2 2" xfId="17835" xr:uid="{00000000-0005-0000-0000-000045430000}"/>
    <cellStyle name="Normal 6 2 2 2 3 2 4 2 2 2" xfId="37550" xr:uid="{00000000-0005-0000-0000-000046430000}"/>
    <cellStyle name="Normal 6 2 2 2 3 2 4 2 3" xfId="27693" xr:uid="{00000000-0005-0000-0000-000047430000}"/>
    <cellStyle name="Normal 6 2 2 2 3 2 4 3" xfId="12907" xr:uid="{00000000-0005-0000-0000-000048430000}"/>
    <cellStyle name="Normal 6 2 2 2 3 2 4 3 2" xfId="32622" xr:uid="{00000000-0005-0000-0000-000049430000}"/>
    <cellStyle name="Normal 6 2 2 2 3 2 4 4" xfId="22765" xr:uid="{00000000-0005-0000-0000-00004A430000}"/>
    <cellStyle name="Normal 6 2 2 2 3 2 5" xfId="5511" xr:uid="{00000000-0005-0000-0000-00004B430000}"/>
    <cellStyle name="Normal 6 2 2 2 3 2 5 2" xfId="15371" xr:uid="{00000000-0005-0000-0000-00004C430000}"/>
    <cellStyle name="Normal 6 2 2 2 3 2 5 2 2" xfId="35086" xr:uid="{00000000-0005-0000-0000-00004D430000}"/>
    <cellStyle name="Normal 6 2 2 2 3 2 5 3" xfId="25229" xr:uid="{00000000-0005-0000-0000-00004E430000}"/>
    <cellStyle name="Normal 6 2 2 2 3 2 6" xfId="10443" xr:uid="{00000000-0005-0000-0000-00004F430000}"/>
    <cellStyle name="Normal 6 2 2 2 3 2 6 2" xfId="30158" xr:uid="{00000000-0005-0000-0000-000050430000}"/>
    <cellStyle name="Normal 6 2 2 2 3 2 7" xfId="20301" xr:uid="{00000000-0005-0000-0000-000051430000}"/>
    <cellStyle name="Normal 6 2 2 2 3 3" xfId="882" xr:uid="{00000000-0005-0000-0000-000052430000}"/>
    <cellStyle name="Normal 6 2 2 2 3 3 2" xfId="2118" xr:uid="{00000000-0005-0000-0000-000053430000}"/>
    <cellStyle name="Normal 6 2 2 2 3 3 2 2" xfId="4585" xr:uid="{00000000-0005-0000-0000-000054430000}"/>
    <cellStyle name="Normal 6 2 2 2 3 3 2 2 2" xfId="9517" xr:uid="{00000000-0005-0000-0000-000055430000}"/>
    <cellStyle name="Normal 6 2 2 2 3 3 2 2 2 2" xfId="19377" xr:uid="{00000000-0005-0000-0000-000056430000}"/>
    <cellStyle name="Normal 6 2 2 2 3 3 2 2 2 2 2" xfId="39092" xr:uid="{00000000-0005-0000-0000-000057430000}"/>
    <cellStyle name="Normal 6 2 2 2 3 3 2 2 2 3" xfId="29235" xr:uid="{00000000-0005-0000-0000-000058430000}"/>
    <cellStyle name="Normal 6 2 2 2 3 3 2 2 3" xfId="14449" xr:uid="{00000000-0005-0000-0000-000059430000}"/>
    <cellStyle name="Normal 6 2 2 2 3 3 2 2 3 2" xfId="34164" xr:uid="{00000000-0005-0000-0000-00005A430000}"/>
    <cellStyle name="Normal 6 2 2 2 3 3 2 2 4" xfId="24307" xr:uid="{00000000-0005-0000-0000-00005B430000}"/>
    <cellStyle name="Normal 6 2 2 2 3 3 2 3" xfId="7053" xr:uid="{00000000-0005-0000-0000-00005C430000}"/>
    <cellStyle name="Normal 6 2 2 2 3 3 2 3 2" xfId="16913" xr:uid="{00000000-0005-0000-0000-00005D430000}"/>
    <cellStyle name="Normal 6 2 2 2 3 3 2 3 2 2" xfId="36628" xr:uid="{00000000-0005-0000-0000-00005E430000}"/>
    <cellStyle name="Normal 6 2 2 2 3 3 2 3 3" xfId="26771" xr:uid="{00000000-0005-0000-0000-00005F430000}"/>
    <cellStyle name="Normal 6 2 2 2 3 3 2 4" xfId="11985" xr:uid="{00000000-0005-0000-0000-000060430000}"/>
    <cellStyle name="Normal 6 2 2 2 3 3 2 4 2" xfId="31700" xr:uid="{00000000-0005-0000-0000-000061430000}"/>
    <cellStyle name="Normal 6 2 2 2 3 3 2 5" xfId="21843" xr:uid="{00000000-0005-0000-0000-000062430000}"/>
    <cellStyle name="Normal 6 2 2 2 3 3 3" xfId="3353" xr:uid="{00000000-0005-0000-0000-000063430000}"/>
    <cellStyle name="Normal 6 2 2 2 3 3 3 2" xfId="8285" xr:uid="{00000000-0005-0000-0000-000064430000}"/>
    <cellStyle name="Normal 6 2 2 2 3 3 3 2 2" xfId="18145" xr:uid="{00000000-0005-0000-0000-000065430000}"/>
    <cellStyle name="Normal 6 2 2 2 3 3 3 2 2 2" xfId="37860" xr:uid="{00000000-0005-0000-0000-000066430000}"/>
    <cellStyle name="Normal 6 2 2 2 3 3 3 2 3" xfId="28003" xr:uid="{00000000-0005-0000-0000-000067430000}"/>
    <cellStyle name="Normal 6 2 2 2 3 3 3 3" xfId="13217" xr:uid="{00000000-0005-0000-0000-000068430000}"/>
    <cellStyle name="Normal 6 2 2 2 3 3 3 3 2" xfId="32932" xr:uid="{00000000-0005-0000-0000-000069430000}"/>
    <cellStyle name="Normal 6 2 2 2 3 3 3 4" xfId="23075" xr:uid="{00000000-0005-0000-0000-00006A430000}"/>
    <cellStyle name="Normal 6 2 2 2 3 3 4" xfId="5821" xr:uid="{00000000-0005-0000-0000-00006B430000}"/>
    <cellStyle name="Normal 6 2 2 2 3 3 4 2" xfId="15681" xr:uid="{00000000-0005-0000-0000-00006C430000}"/>
    <cellStyle name="Normal 6 2 2 2 3 3 4 2 2" xfId="35396" xr:uid="{00000000-0005-0000-0000-00006D430000}"/>
    <cellStyle name="Normal 6 2 2 2 3 3 4 3" xfId="25539" xr:uid="{00000000-0005-0000-0000-00006E430000}"/>
    <cellStyle name="Normal 6 2 2 2 3 3 5" xfId="10753" xr:uid="{00000000-0005-0000-0000-00006F430000}"/>
    <cellStyle name="Normal 6 2 2 2 3 3 5 2" xfId="30468" xr:uid="{00000000-0005-0000-0000-000070430000}"/>
    <cellStyle name="Normal 6 2 2 2 3 3 6" xfId="20611" xr:uid="{00000000-0005-0000-0000-000071430000}"/>
    <cellStyle name="Normal 6 2 2 2 3 4" xfId="1502" xr:uid="{00000000-0005-0000-0000-000072430000}"/>
    <cellStyle name="Normal 6 2 2 2 3 4 2" xfId="3969" xr:uid="{00000000-0005-0000-0000-000073430000}"/>
    <cellStyle name="Normal 6 2 2 2 3 4 2 2" xfId="8901" xr:uid="{00000000-0005-0000-0000-000074430000}"/>
    <cellStyle name="Normal 6 2 2 2 3 4 2 2 2" xfId="18761" xr:uid="{00000000-0005-0000-0000-000075430000}"/>
    <cellStyle name="Normal 6 2 2 2 3 4 2 2 2 2" xfId="38476" xr:uid="{00000000-0005-0000-0000-000076430000}"/>
    <cellStyle name="Normal 6 2 2 2 3 4 2 2 3" xfId="28619" xr:uid="{00000000-0005-0000-0000-000077430000}"/>
    <cellStyle name="Normal 6 2 2 2 3 4 2 3" xfId="13833" xr:uid="{00000000-0005-0000-0000-000078430000}"/>
    <cellStyle name="Normal 6 2 2 2 3 4 2 3 2" xfId="33548" xr:uid="{00000000-0005-0000-0000-000079430000}"/>
    <cellStyle name="Normal 6 2 2 2 3 4 2 4" xfId="23691" xr:uid="{00000000-0005-0000-0000-00007A430000}"/>
    <cellStyle name="Normal 6 2 2 2 3 4 3" xfId="6437" xr:uid="{00000000-0005-0000-0000-00007B430000}"/>
    <cellStyle name="Normal 6 2 2 2 3 4 3 2" xfId="16297" xr:uid="{00000000-0005-0000-0000-00007C430000}"/>
    <cellStyle name="Normal 6 2 2 2 3 4 3 2 2" xfId="36012" xr:uid="{00000000-0005-0000-0000-00007D430000}"/>
    <cellStyle name="Normal 6 2 2 2 3 4 3 3" xfId="26155" xr:uid="{00000000-0005-0000-0000-00007E430000}"/>
    <cellStyle name="Normal 6 2 2 2 3 4 4" xfId="11369" xr:uid="{00000000-0005-0000-0000-00007F430000}"/>
    <cellStyle name="Normal 6 2 2 2 3 4 4 2" xfId="31084" xr:uid="{00000000-0005-0000-0000-000080430000}"/>
    <cellStyle name="Normal 6 2 2 2 3 4 5" xfId="21227" xr:uid="{00000000-0005-0000-0000-000081430000}"/>
    <cellStyle name="Normal 6 2 2 2 3 5" xfId="2737" xr:uid="{00000000-0005-0000-0000-000082430000}"/>
    <cellStyle name="Normal 6 2 2 2 3 5 2" xfId="7669" xr:uid="{00000000-0005-0000-0000-000083430000}"/>
    <cellStyle name="Normal 6 2 2 2 3 5 2 2" xfId="17529" xr:uid="{00000000-0005-0000-0000-000084430000}"/>
    <cellStyle name="Normal 6 2 2 2 3 5 2 2 2" xfId="37244" xr:uid="{00000000-0005-0000-0000-000085430000}"/>
    <cellStyle name="Normal 6 2 2 2 3 5 2 3" xfId="27387" xr:uid="{00000000-0005-0000-0000-000086430000}"/>
    <cellStyle name="Normal 6 2 2 2 3 5 3" xfId="12601" xr:uid="{00000000-0005-0000-0000-000087430000}"/>
    <cellStyle name="Normal 6 2 2 2 3 5 3 2" xfId="32316" xr:uid="{00000000-0005-0000-0000-000088430000}"/>
    <cellStyle name="Normal 6 2 2 2 3 5 4" xfId="22459" xr:uid="{00000000-0005-0000-0000-000089430000}"/>
    <cellStyle name="Normal 6 2 2 2 3 6" xfId="5205" xr:uid="{00000000-0005-0000-0000-00008A430000}"/>
    <cellStyle name="Normal 6 2 2 2 3 6 2" xfId="15065" xr:uid="{00000000-0005-0000-0000-00008B430000}"/>
    <cellStyle name="Normal 6 2 2 2 3 6 2 2" xfId="34780" xr:uid="{00000000-0005-0000-0000-00008C430000}"/>
    <cellStyle name="Normal 6 2 2 2 3 6 3" xfId="24923" xr:uid="{00000000-0005-0000-0000-00008D430000}"/>
    <cellStyle name="Normal 6 2 2 2 3 7" xfId="10137" xr:uid="{00000000-0005-0000-0000-00008E430000}"/>
    <cellStyle name="Normal 6 2 2 2 3 7 2" xfId="29852" xr:uid="{00000000-0005-0000-0000-00008F430000}"/>
    <cellStyle name="Normal 6 2 2 2 3 8" xfId="19995" xr:uid="{00000000-0005-0000-0000-000090430000}"/>
    <cellStyle name="Normal 6 2 2 2 4" xfId="417" xr:uid="{00000000-0005-0000-0000-000091430000}"/>
    <cellStyle name="Normal 6 2 2 2 4 2" xfId="1037" xr:uid="{00000000-0005-0000-0000-000092430000}"/>
    <cellStyle name="Normal 6 2 2 2 4 2 2" xfId="2272" xr:uid="{00000000-0005-0000-0000-000093430000}"/>
    <cellStyle name="Normal 6 2 2 2 4 2 2 2" xfId="4739" xr:uid="{00000000-0005-0000-0000-000094430000}"/>
    <cellStyle name="Normal 6 2 2 2 4 2 2 2 2" xfId="9671" xr:uid="{00000000-0005-0000-0000-000095430000}"/>
    <cellStyle name="Normal 6 2 2 2 4 2 2 2 2 2" xfId="19531" xr:uid="{00000000-0005-0000-0000-000096430000}"/>
    <cellStyle name="Normal 6 2 2 2 4 2 2 2 2 2 2" xfId="39246" xr:uid="{00000000-0005-0000-0000-000097430000}"/>
    <cellStyle name="Normal 6 2 2 2 4 2 2 2 2 3" xfId="29389" xr:uid="{00000000-0005-0000-0000-000098430000}"/>
    <cellStyle name="Normal 6 2 2 2 4 2 2 2 3" xfId="14603" xr:uid="{00000000-0005-0000-0000-000099430000}"/>
    <cellStyle name="Normal 6 2 2 2 4 2 2 2 3 2" xfId="34318" xr:uid="{00000000-0005-0000-0000-00009A430000}"/>
    <cellStyle name="Normal 6 2 2 2 4 2 2 2 4" xfId="24461" xr:uid="{00000000-0005-0000-0000-00009B430000}"/>
    <cellStyle name="Normal 6 2 2 2 4 2 2 3" xfId="7207" xr:uid="{00000000-0005-0000-0000-00009C430000}"/>
    <cellStyle name="Normal 6 2 2 2 4 2 2 3 2" xfId="17067" xr:uid="{00000000-0005-0000-0000-00009D430000}"/>
    <cellStyle name="Normal 6 2 2 2 4 2 2 3 2 2" xfId="36782" xr:uid="{00000000-0005-0000-0000-00009E430000}"/>
    <cellStyle name="Normal 6 2 2 2 4 2 2 3 3" xfId="26925" xr:uid="{00000000-0005-0000-0000-00009F430000}"/>
    <cellStyle name="Normal 6 2 2 2 4 2 2 4" xfId="12139" xr:uid="{00000000-0005-0000-0000-0000A0430000}"/>
    <cellStyle name="Normal 6 2 2 2 4 2 2 4 2" xfId="31854" xr:uid="{00000000-0005-0000-0000-0000A1430000}"/>
    <cellStyle name="Normal 6 2 2 2 4 2 2 5" xfId="21997" xr:uid="{00000000-0005-0000-0000-0000A2430000}"/>
    <cellStyle name="Normal 6 2 2 2 4 2 3" xfId="3507" xr:uid="{00000000-0005-0000-0000-0000A3430000}"/>
    <cellStyle name="Normal 6 2 2 2 4 2 3 2" xfId="8439" xr:uid="{00000000-0005-0000-0000-0000A4430000}"/>
    <cellStyle name="Normal 6 2 2 2 4 2 3 2 2" xfId="18299" xr:uid="{00000000-0005-0000-0000-0000A5430000}"/>
    <cellStyle name="Normal 6 2 2 2 4 2 3 2 2 2" xfId="38014" xr:uid="{00000000-0005-0000-0000-0000A6430000}"/>
    <cellStyle name="Normal 6 2 2 2 4 2 3 2 3" xfId="28157" xr:uid="{00000000-0005-0000-0000-0000A7430000}"/>
    <cellStyle name="Normal 6 2 2 2 4 2 3 3" xfId="13371" xr:uid="{00000000-0005-0000-0000-0000A8430000}"/>
    <cellStyle name="Normal 6 2 2 2 4 2 3 3 2" xfId="33086" xr:uid="{00000000-0005-0000-0000-0000A9430000}"/>
    <cellStyle name="Normal 6 2 2 2 4 2 3 4" xfId="23229" xr:uid="{00000000-0005-0000-0000-0000AA430000}"/>
    <cellStyle name="Normal 6 2 2 2 4 2 4" xfId="5975" xr:uid="{00000000-0005-0000-0000-0000AB430000}"/>
    <cellStyle name="Normal 6 2 2 2 4 2 4 2" xfId="15835" xr:uid="{00000000-0005-0000-0000-0000AC430000}"/>
    <cellStyle name="Normal 6 2 2 2 4 2 4 2 2" xfId="35550" xr:uid="{00000000-0005-0000-0000-0000AD430000}"/>
    <cellStyle name="Normal 6 2 2 2 4 2 4 3" xfId="25693" xr:uid="{00000000-0005-0000-0000-0000AE430000}"/>
    <cellStyle name="Normal 6 2 2 2 4 2 5" xfId="10907" xr:uid="{00000000-0005-0000-0000-0000AF430000}"/>
    <cellStyle name="Normal 6 2 2 2 4 2 5 2" xfId="30622" xr:uid="{00000000-0005-0000-0000-0000B0430000}"/>
    <cellStyle name="Normal 6 2 2 2 4 2 6" xfId="20765" xr:uid="{00000000-0005-0000-0000-0000B1430000}"/>
    <cellStyle name="Normal 6 2 2 2 4 3" xfId="1656" xr:uid="{00000000-0005-0000-0000-0000B2430000}"/>
    <cellStyle name="Normal 6 2 2 2 4 3 2" xfId="4123" xr:uid="{00000000-0005-0000-0000-0000B3430000}"/>
    <cellStyle name="Normal 6 2 2 2 4 3 2 2" xfId="9055" xr:uid="{00000000-0005-0000-0000-0000B4430000}"/>
    <cellStyle name="Normal 6 2 2 2 4 3 2 2 2" xfId="18915" xr:uid="{00000000-0005-0000-0000-0000B5430000}"/>
    <cellStyle name="Normal 6 2 2 2 4 3 2 2 2 2" xfId="38630" xr:uid="{00000000-0005-0000-0000-0000B6430000}"/>
    <cellStyle name="Normal 6 2 2 2 4 3 2 2 3" xfId="28773" xr:uid="{00000000-0005-0000-0000-0000B7430000}"/>
    <cellStyle name="Normal 6 2 2 2 4 3 2 3" xfId="13987" xr:uid="{00000000-0005-0000-0000-0000B8430000}"/>
    <cellStyle name="Normal 6 2 2 2 4 3 2 3 2" xfId="33702" xr:uid="{00000000-0005-0000-0000-0000B9430000}"/>
    <cellStyle name="Normal 6 2 2 2 4 3 2 4" xfId="23845" xr:uid="{00000000-0005-0000-0000-0000BA430000}"/>
    <cellStyle name="Normal 6 2 2 2 4 3 3" xfId="6591" xr:uid="{00000000-0005-0000-0000-0000BB430000}"/>
    <cellStyle name="Normal 6 2 2 2 4 3 3 2" xfId="16451" xr:uid="{00000000-0005-0000-0000-0000BC430000}"/>
    <cellStyle name="Normal 6 2 2 2 4 3 3 2 2" xfId="36166" xr:uid="{00000000-0005-0000-0000-0000BD430000}"/>
    <cellStyle name="Normal 6 2 2 2 4 3 3 3" xfId="26309" xr:uid="{00000000-0005-0000-0000-0000BE430000}"/>
    <cellStyle name="Normal 6 2 2 2 4 3 4" xfId="11523" xr:uid="{00000000-0005-0000-0000-0000BF430000}"/>
    <cellStyle name="Normal 6 2 2 2 4 3 4 2" xfId="31238" xr:uid="{00000000-0005-0000-0000-0000C0430000}"/>
    <cellStyle name="Normal 6 2 2 2 4 3 5" xfId="21381" xr:uid="{00000000-0005-0000-0000-0000C1430000}"/>
    <cellStyle name="Normal 6 2 2 2 4 4" xfId="2891" xr:uid="{00000000-0005-0000-0000-0000C2430000}"/>
    <cellStyle name="Normal 6 2 2 2 4 4 2" xfId="7823" xr:uid="{00000000-0005-0000-0000-0000C3430000}"/>
    <cellStyle name="Normal 6 2 2 2 4 4 2 2" xfId="17683" xr:uid="{00000000-0005-0000-0000-0000C4430000}"/>
    <cellStyle name="Normal 6 2 2 2 4 4 2 2 2" xfId="37398" xr:uid="{00000000-0005-0000-0000-0000C5430000}"/>
    <cellStyle name="Normal 6 2 2 2 4 4 2 3" xfId="27541" xr:uid="{00000000-0005-0000-0000-0000C6430000}"/>
    <cellStyle name="Normal 6 2 2 2 4 4 3" xfId="12755" xr:uid="{00000000-0005-0000-0000-0000C7430000}"/>
    <cellStyle name="Normal 6 2 2 2 4 4 3 2" xfId="32470" xr:uid="{00000000-0005-0000-0000-0000C8430000}"/>
    <cellStyle name="Normal 6 2 2 2 4 4 4" xfId="22613" xr:uid="{00000000-0005-0000-0000-0000C9430000}"/>
    <cellStyle name="Normal 6 2 2 2 4 5" xfId="5359" xr:uid="{00000000-0005-0000-0000-0000CA430000}"/>
    <cellStyle name="Normal 6 2 2 2 4 5 2" xfId="15219" xr:uid="{00000000-0005-0000-0000-0000CB430000}"/>
    <cellStyle name="Normal 6 2 2 2 4 5 2 2" xfId="34934" xr:uid="{00000000-0005-0000-0000-0000CC430000}"/>
    <cellStyle name="Normal 6 2 2 2 4 5 3" xfId="25077" xr:uid="{00000000-0005-0000-0000-0000CD430000}"/>
    <cellStyle name="Normal 6 2 2 2 4 6" xfId="10291" xr:uid="{00000000-0005-0000-0000-0000CE430000}"/>
    <cellStyle name="Normal 6 2 2 2 4 6 2" xfId="30006" xr:uid="{00000000-0005-0000-0000-0000CF430000}"/>
    <cellStyle name="Normal 6 2 2 2 4 7" xfId="20149" xr:uid="{00000000-0005-0000-0000-0000D0430000}"/>
    <cellStyle name="Normal 6 2 2 2 5" xfId="730" xr:uid="{00000000-0005-0000-0000-0000D1430000}"/>
    <cellStyle name="Normal 6 2 2 2 5 2" xfId="1966" xr:uid="{00000000-0005-0000-0000-0000D2430000}"/>
    <cellStyle name="Normal 6 2 2 2 5 2 2" xfId="4433" xr:uid="{00000000-0005-0000-0000-0000D3430000}"/>
    <cellStyle name="Normal 6 2 2 2 5 2 2 2" xfId="9365" xr:uid="{00000000-0005-0000-0000-0000D4430000}"/>
    <cellStyle name="Normal 6 2 2 2 5 2 2 2 2" xfId="19225" xr:uid="{00000000-0005-0000-0000-0000D5430000}"/>
    <cellStyle name="Normal 6 2 2 2 5 2 2 2 2 2" xfId="38940" xr:uid="{00000000-0005-0000-0000-0000D6430000}"/>
    <cellStyle name="Normal 6 2 2 2 5 2 2 2 3" xfId="29083" xr:uid="{00000000-0005-0000-0000-0000D7430000}"/>
    <cellStyle name="Normal 6 2 2 2 5 2 2 3" xfId="14297" xr:uid="{00000000-0005-0000-0000-0000D8430000}"/>
    <cellStyle name="Normal 6 2 2 2 5 2 2 3 2" xfId="34012" xr:uid="{00000000-0005-0000-0000-0000D9430000}"/>
    <cellStyle name="Normal 6 2 2 2 5 2 2 4" xfId="24155" xr:uid="{00000000-0005-0000-0000-0000DA430000}"/>
    <cellStyle name="Normal 6 2 2 2 5 2 3" xfId="6901" xr:uid="{00000000-0005-0000-0000-0000DB430000}"/>
    <cellStyle name="Normal 6 2 2 2 5 2 3 2" xfId="16761" xr:uid="{00000000-0005-0000-0000-0000DC430000}"/>
    <cellStyle name="Normal 6 2 2 2 5 2 3 2 2" xfId="36476" xr:uid="{00000000-0005-0000-0000-0000DD430000}"/>
    <cellStyle name="Normal 6 2 2 2 5 2 3 3" xfId="26619" xr:uid="{00000000-0005-0000-0000-0000DE430000}"/>
    <cellStyle name="Normal 6 2 2 2 5 2 4" xfId="11833" xr:uid="{00000000-0005-0000-0000-0000DF430000}"/>
    <cellStyle name="Normal 6 2 2 2 5 2 4 2" xfId="31548" xr:uid="{00000000-0005-0000-0000-0000E0430000}"/>
    <cellStyle name="Normal 6 2 2 2 5 2 5" xfId="21691" xr:uid="{00000000-0005-0000-0000-0000E1430000}"/>
    <cellStyle name="Normal 6 2 2 2 5 3" xfId="3201" xr:uid="{00000000-0005-0000-0000-0000E2430000}"/>
    <cellStyle name="Normal 6 2 2 2 5 3 2" xfId="8133" xr:uid="{00000000-0005-0000-0000-0000E3430000}"/>
    <cellStyle name="Normal 6 2 2 2 5 3 2 2" xfId="17993" xr:uid="{00000000-0005-0000-0000-0000E4430000}"/>
    <cellStyle name="Normal 6 2 2 2 5 3 2 2 2" xfId="37708" xr:uid="{00000000-0005-0000-0000-0000E5430000}"/>
    <cellStyle name="Normal 6 2 2 2 5 3 2 3" xfId="27851" xr:uid="{00000000-0005-0000-0000-0000E6430000}"/>
    <cellStyle name="Normal 6 2 2 2 5 3 3" xfId="13065" xr:uid="{00000000-0005-0000-0000-0000E7430000}"/>
    <cellStyle name="Normal 6 2 2 2 5 3 3 2" xfId="32780" xr:uid="{00000000-0005-0000-0000-0000E8430000}"/>
    <cellStyle name="Normal 6 2 2 2 5 3 4" xfId="22923" xr:uid="{00000000-0005-0000-0000-0000E9430000}"/>
    <cellStyle name="Normal 6 2 2 2 5 4" xfId="5669" xr:uid="{00000000-0005-0000-0000-0000EA430000}"/>
    <cellStyle name="Normal 6 2 2 2 5 4 2" xfId="15529" xr:uid="{00000000-0005-0000-0000-0000EB430000}"/>
    <cellStyle name="Normal 6 2 2 2 5 4 2 2" xfId="35244" xr:uid="{00000000-0005-0000-0000-0000EC430000}"/>
    <cellStyle name="Normal 6 2 2 2 5 4 3" xfId="25387" xr:uid="{00000000-0005-0000-0000-0000ED430000}"/>
    <cellStyle name="Normal 6 2 2 2 5 5" xfId="10601" xr:uid="{00000000-0005-0000-0000-0000EE430000}"/>
    <cellStyle name="Normal 6 2 2 2 5 5 2" xfId="30316" xr:uid="{00000000-0005-0000-0000-0000EF430000}"/>
    <cellStyle name="Normal 6 2 2 2 5 6" xfId="20459" xr:uid="{00000000-0005-0000-0000-0000F0430000}"/>
    <cellStyle name="Normal 6 2 2 2 6" xfId="1350" xr:uid="{00000000-0005-0000-0000-0000F1430000}"/>
    <cellStyle name="Normal 6 2 2 2 6 2" xfId="3817" xr:uid="{00000000-0005-0000-0000-0000F2430000}"/>
    <cellStyle name="Normal 6 2 2 2 6 2 2" xfId="8749" xr:uid="{00000000-0005-0000-0000-0000F3430000}"/>
    <cellStyle name="Normal 6 2 2 2 6 2 2 2" xfId="18609" xr:uid="{00000000-0005-0000-0000-0000F4430000}"/>
    <cellStyle name="Normal 6 2 2 2 6 2 2 2 2" xfId="38324" xr:uid="{00000000-0005-0000-0000-0000F5430000}"/>
    <cellStyle name="Normal 6 2 2 2 6 2 2 3" xfId="28467" xr:uid="{00000000-0005-0000-0000-0000F6430000}"/>
    <cellStyle name="Normal 6 2 2 2 6 2 3" xfId="13681" xr:uid="{00000000-0005-0000-0000-0000F7430000}"/>
    <cellStyle name="Normal 6 2 2 2 6 2 3 2" xfId="33396" xr:uid="{00000000-0005-0000-0000-0000F8430000}"/>
    <cellStyle name="Normal 6 2 2 2 6 2 4" xfId="23539" xr:uid="{00000000-0005-0000-0000-0000F9430000}"/>
    <cellStyle name="Normal 6 2 2 2 6 3" xfId="6285" xr:uid="{00000000-0005-0000-0000-0000FA430000}"/>
    <cellStyle name="Normal 6 2 2 2 6 3 2" xfId="16145" xr:uid="{00000000-0005-0000-0000-0000FB430000}"/>
    <cellStyle name="Normal 6 2 2 2 6 3 2 2" xfId="35860" xr:uid="{00000000-0005-0000-0000-0000FC430000}"/>
    <cellStyle name="Normal 6 2 2 2 6 3 3" xfId="26003" xr:uid="{00000000-0005-0000-0000-0000FD430000}"/>
    <cellStyle name="Normal 6 2 2 2 6 4" xfId="11217" xr:uid="{00000000-0005-0000-0000-0000FE430000}"/>
    <cellStyle name="Normal 6 2 2 2 6 4 2" xfId="30932" xr:uid="{00000000-0005-0000-0000-0000FF430000}"/>
    <cellStyle name="Normal 6 2 2 2 6 5" xfId="21075" xr:uid="{00000000-0005-0000-0000-000000440000}"/>
    <cellStyle name="Normal 6 2 2 2 7" xfId="2585" xr:uid="{00000000-0005-0000-0000-000001440000}"/>
    <cellStyle name="Normal 6 2 2 2 7 2" xfId="7517" xr:uid="{00000000-0005-0000-0000-000002440000}"/>
    <cellStyle name="Normal 6 2 2 2 7 2 2" xfId="17377" xr:uid="{00000000-0005-0000-0000-000003440000}"/>
    <cellStyle name="Normal 6 2 2 2 7 2 2 2" xfId="37092" xr:uid="{00000000-0005-0000-0000-000004440000}"/>
    <cellStyle name="Normal 6 2 2 2 7 2 3" xfId="27235" xr:uid="{00000000-0005-0000-0000-000005440000}"/>
    <cellStyle name="Normal 6 2 2 2 7 3" xfId="12449" xr:uid="{00000000-0005-0000-0000-000006440000}"/>
    <cellStyle name="Normal 6 2 2 2 7 3 2" xfId="32164" xr:uid="{00000000-0005-0000-0000-000007440000}"/>
    <cellStyle name="Normal 6 2 2 2 7 4" xfId="22307" xr:uid="{00000000-0005-0000-0000-000008440000}"/>
    <cellStyle name="Normal 6 2 2 2 8" xfId="5053" xr:uid="{00000000-0005-0000-0000-000009440000}"/>
    <cellStyle name="Normal 6 2 2 2 8 2" xfId="14913" xr:uid="{00000000-0005-0000-0000-00000A440000}"/>
    <cellStyle name="Normal 6 2 2 2 8 2 2" xfId="34628" xr:uid="{00000000-0005-0000-0000-00000B440000}"/>
    <cellStyle name="Normal 6 2 2 2 8 3" xfId="24771" xr:uid="{00000000-0005-0000-0000-00000C440000}"/>
    <cellStyle name="Normal 6 2 2 2 9" xfId="9985" xr:uid="{00000000-0005-0000-0000-00000D440000}"/>
    <cellStyle name="Normal 6 2 2 2 9 2" xfId="29700" xr:uid="{00000000-0005-0000-0000-00000E440000}"/>
    <cellStyle name="Normal 6 2 2 3" xfId="136" xr:uid="{00000000-0005-0000-0000-00000F440000}"/>
    <cellStyle name="Normal 6 2 2 3 2" xfId="293" xr:uid="{00000000-0005-0000-0000-000010440000}"/>
    <cellStyle name="Normal 6 2 2 3 2 2" xfId="607" xr:uid="{00000000-0005-0000-0000-000011440000}"/>
    <cellStyle name="Normal 6 2 2 3 2 2 2" xfId="1227" xr:uid="{00000000-0005-0000-0000-000012440000}"/>
    <cellStyle name="Normal 6 2 2 3 2 2 2 2" xfId="2462" xr:uid="{00000000-0005-0000-0000-000013440000}"/>
    <cellStyle name="Normal 6 2 2 3 2 2 2 2 2" xfId="4929" xr:uid="{00000000-0005-0000-0000-000014440000}"/>
    <cellStyle name="Normal 6 2 2 3 2 2 2 2 2 2" xfId="9861" xr:uid="{00000000-0005-0000-0000-000015440000}"/>
    <cellStyle name="Normal 6 2 2 3 2 2 2 2 2 2 2" xfId="19721" xr:uid="{00000000-0005-0000-0000-000016440000}"/>
    <cellStyle name="Normal 6 2 2 3 2 2 2 2 2 2 2 2" xfId="39436" xr:uid="{00000000-0005-0000-0000-000017440000}"/>
    <cellStyle name="Normal 6 2 2 3 2 2 2 2 2 2 3" xfId="29579" xr:uid="{00000000-0005-0000-0000-000018440000}"/>
    <cellStyle name="Normal 6 2 2 3 2 2 2 2 2 3" xfId="14793" xr:uid="{00000000-0005-0000-0000-000019440000}"/>
    <cellStyle name="Normal 6 2 2 3 2 2 2 2 2 3 2" xfId="34508" xr:uid="{00000000-0005-0000-0000-00001A440000}"/>
    <cellStyle name="Normal 6 2 2 3 2 2 2 2 2 4" xfId="24651" xr:uid="{00000000-0005-0000-0000-00001B440000}"/>
    <cellStyle name="Normal 6 2 2 3 2 2 2 2 3" xfId="7397" xr:uid="{00000000-0005-0000-0000-00001C440000}"/>
    <cellStyle name="Normal 6 2 2 3 2 2 2 2 3 2" xfId="17257" xr:uid="{00000000-0005-0000-0000-00001D440000}"/>
    <cellStyle name="Normal 6 2 2 3 2 2 2 2 3 2 2" xfId="36972" xr:uid="{00000000-0005-0000-0000-00001E440000}"/>
    <cellStyle name="Normal 6 2 2 3 2 2 2 2 3 3" xfId="27115" xr:uid="{00000000-0005-0000-0000-00001F440000}"/>
    <cellStyle name="Normal 6 2 2 3 2 2 2 2 4" xfId="12329" xr:uid="{00000000-0005-0000-0000-000020440000}"/>
    <cellStyle name="Normal 6 2 2 3 2 2 2 2 4 2" xfId="32044" xr:uid="{00000000-0005-0000-0000-000021440000}"/>
    <cellStyle name="Normal 6 2 2 3 2 2 2 2 5" xfId="22187" xr:uid="{00000000-0005-0000-0000-000022440000}"/>
    <cellStyle name="Normal 6 2 2 3 2 2 2 3" xfId="3697" xr:uid="{00000000-0005-0000-0000-000023440000}"/>
    <cellStyle name="Normal 6 2 2 3 2 2 2 3 2" xfId="8629" xr:uid="{00000000-0005-0000-0000-000024440000}"/>
    <cellStyle name="Normal 6 2 2 3 2 2 2 3 2 2" xfId="18489" xr:uid="{00000000-0005-0000-0000-000025440000}"/>
    <cellStyle name="Normal 6 2 2 3 2 2 2 3 2 2 2" xfId="38204" xr:uid="{00000000-0005-0000-0000-000026440000}"/>
    <cellStyle name="Normal 6 2 2 3 2 2 2 3 2 3" xfId="28347" xr:uid="{00000000-0005-0000-0000-000027440000}"/>
    <cellStyle name="Normal 6 2 2 3 2 2 2 3 3" xfId="13561" xr:uid="{00000000-0005-0000-0000-000028440000}"/>
    <cellStyle name="Normal 6 2 2 3 2 2 2 3 3 2" xfId="33276" xr:uid="{00000000-0005-0000-0000-000029440000}"/>
    <cellStyle name="Normal 6 2 2 3 2 2 2 3 4" xfId="23419" xr:uid="{00000000-0005-0000-0000-00002A440000}"/>
    <cellStyle name="Normal 6 2 2 3 2 2 2 4" xfId="6165" xr:uid="{00000000-0005-0000-0000-00002B440000}"/>
    <cellStyle name="Normal 6 2 2 3 2 2 2 4 2" xfId="16025" xr:uid="{00000000-0005-0000-0000-00002C440000}"/>
    <cellStyle name="Normal 6 2 2 3 2 2 2 4 2 2" xfId="35740" xr:uid="{00000000-0005-0000-0000-00002D440000}"/>
    <cellStyle name="Normal 6 2 2 3 2 2 2 4 3" xfId="25883" xr:uid="{00000000-0005-0000-0000-00002E440000}"/>
    <cellStyle name="Normal 6 2 2 3 2 2 2 5" xfId="11097" xr:uid="{00000000-0005-0000-0000-00002F440000}"/>
    <cellStyle name="Normal 6 2 2 3 2 2 2 5 2" xfId="30812" xr:uid="{00000000-0005-0000-0000-000030440000}"/>
    <cellStyle name="Normal 6 2 2 3 2 2 2 6" xfId="20955" xr:uid="{00000000-0005-0000-0000-000031440000}"/>
    <cellStyle name="Normal 6 2 2 3 2 2 3" xfId="1846" xr:uid="{00000000-0005-0000-0000-000032440000}"/>
    <cellStyle name="Normal 6 2 2 3 2 2 3 2" xfId="4313" xr:uid="{00000000-0005-0000-0000-000033440000}"/>
    <cellStyle name="Normal 6 2 2 3 2 2 3 2 2" xfId="9245" xr:uid="{00000000-0005-0000-0000-000034440000}"/>
    <cellStyle name="Normal 6 2 2 3 2 2 3 2 2 2" xfId="19105" xr:uid="{00000000-0005-0000-0000-000035440000}"/>
    <cellStyle name="Normal 6 2 2 3 2 2 3 2 2 2 2" xfId="38820" xr:uid="{00000000-0005-0000-0000-000036440000}"/>
    <cellStyle name="Normal 6 2 2 3 2 2 3 2 2 3" xfId="28963" xr:uid="{00000000-0005-0000-0000-000037440000}"/>
    <cellStyle name="Normal 6 2 2 3 2 2 3 2 3" xfId="14177" xr:uid="{00000000-0005-0000-0000-000038440000}"/>
    <cellStyle name="Normal 6 2 2 3 2 2 3 2 3 2" xfId="33892" xr:uid="{00000000-0005-0000-0000-000039440000}"/>
    <cellStyle name="Normal 6 2 2 3 2 2 3 2 4" xfId="24035" xr:uid="{00000000-0005-0000-0000-00003A440000}"/>
    <cellStyle name="Normal 6 2 2 3 2 2 3 3" xfId="6781" xr:uid="{00000000-0005-0000-0000-00003B440000}"/>
    <cellStyle name="Normal 6 2 2 3 2 2 3 3 2" xfId="16641" xr:uid="{00000000-0005-0000-0000-00003C440000}"/>
    <cellStyle name="Normal 6 2 2 3 2 2 3 3 2 2" xfId="36356" xr:uid="{00000000-0005-0000-0000-00003D440000}"/>
    <cellStyle name="Normal 6 2 2 3 2 2 3 3 3" xfId="26499" xr:uid="{00000000-0005-0000-0000-00003E440000}"/>
    <cellStyle name="Normal 6 2 2 3 2 2 3 4" xfId="11713" xr:uid="{00000000-0005-0000-0000-00003F440000}"/>
    <cellStyle name="Normal 6 2 2 3 2 2 3 4 2" xfId="31428" xr:uid="{00000000-0005-0000-0000-000040440000}"/>
    <cellStyle name="Normal 6 2 2 3 2 2 3 5" xfId="21571" xr:uid="{00000000-0005-0000-0000-000041440000}"/>
    <cellStyle name="Normal 6 2 2 3 2 2 4" xfId="3081" xr:uid="{00000000-0005-0000-0000-000042440000}"/>
    <cellStyle name="Normal 6 2 2 3 2 2 4 2" xfId="8013" xr:uid="{00000000-0005-0000-0000-000043440000}"/>
    <cellStyle name="Normal 6 2 2 3 2 2 4 2 2" xfId="17873" xr:uid="{00000000-0005-0000-0000-000044440000}"/>
    <cellStyle name="Normal 6 2 2 3 2 2 4 2 2 2" xfId="37588" xr:uid="{00000000-0005-0000-0000-000045440000}"/>
    <cellStyle name="Normal 6 2 2 3 2 2 4 2 3" xfId="27731" xr:uid="{00000000-0005-0000-0000-000046440000}"/>
    <cellStyle name="Normal 6 2 2 3 2 2 4 3" xfId="12945" xr:uid="{00000000-0005-0000-0000-000047440000}"/>
    <cellStyle name="Normal 6 2 2 3 2 2 4 3 2" xfId="32660" xr:uid="{00000000-0005-0000-0000-000048440000}"/>
    <cellStyle name="Normal 6 2 2 3 2 2 4 4" xfId="22803" xr:uid="{00000000-0005-0000-0000-000049440000}"/>
    <cellStyle name="Normal 6 2 2 3 2 2 5" xfId="5549" xr:uid="{00000000-0005-0000-0000-00004A440000}"/>
    <cellStyle name="Normal 6 2 2 3 2 2 5 2" xfId="15409" xr:uid="{00000000-0005-0000-0000-00004B440000}"/>
    <cellStyle name="Normal 6 2 2 3 2 2 5 2 2" xfId="35124" xr:uid="{00000000-0005-0000-0000-00004C440000}"/>
    <cellStyle name="Normal 6 2 2 3 2 2 5 3" xfId="25267" xr:uid="{00000000-0005-0000-0000-00004D440000}"/>
    <cellStyle name="Normal 6 2 2 3 2 2 6" xfId="10481" xr:uid="{00000000-0005-0000-0000-00004E440000}"/>
    <cellStyle name="Normal 6 2 2 3 2 2 6 2" xfId="30196" xr:uid="{00000000-0005-0000-0000-00004F440000}"/>
    <cellStyle name="Normal 6 2 2 3 2 2 7" xfId="20339" xr:uid="{00000000-0005-0000-0000-000050440000}"/>
    <cellStyle name="Normal 6 2 2 3 2 3" xfId="920" xr:uid="{00000000-0005-0000-0000-000051440000}"/>
    <cellStyle name="Normal 6 2 2 3 2 3 2" xfId="2156" xr:uid="{00000000-0005-0000-0000-000052440000}"/>
    <cellStyle name="Normal 6 2 2 3 2 3 2 2" xfId="4623" xr:uid="{00000000-0005-0000-0000-000053440000}"/>
    <cellStyle name="Normal 6 2 2 3 2 3 2 2 2" xfId="9555" xr:uid="{00000000-0005-0000-0000-000054440000}"/>
    <cellStyle name="Normal 6 2 2 3 2 3 2 2 2 2" xfId="19415" xr:uid="{00000000-0005-0000-0000-000055440000}"/>
    <cellStyle name="Normal 6 2 2 3 2 3 2 2 2 2 2" xfId="39130" xr:uid="{00000000-0005-0000-0000-000056440000}"/>
    <cellStyle name="Normal 6 2 2 3 2 3 2 2 2 3" xfId="29273" xr:uid="{00000000-0005-0000-0000-000057440000}"/>
    <cellStyle name="Normal 6 2 2 3 2 3 2 2 3" xfId="14487" xr:uid="{00000000-0005-0000-0000-000058440000}"/>
    <cellStyle name="Normal 6 2 2 3 2 3 2 2 3 2" xfId="34202" xr:uid="{00000000-0005-0000-0000-000059440000}"/>
    <cellStyle name="Normal 6 2 2 3 2 3 2 2 4" xfId="24345" xr:uid="{00000000-0005-0000-0000-00005A440000}"/>
    <cellStyle name="Normal 6 2 2 3 2 3 2 3" xfId="7091" xr:uid="{00000000-0005-0000-0000-00005B440000}"/>
    <cellStyle name="Normal 6 2 2 3 2 3 2 3 2" xfId="16951" xr:uid="{00000000-0005-0000-0000-00005C440000}"/>
    <cellStyle name="Normal 6 2 2 3 2 3 2 3 2 2" xfId="36666" xr:uid="{00000000-0005-0000-0000-00005D440000}"/>
    <cellStyle name="Normal 6 2 2 3 2 3 2 3 3" xfId="26809" xr:uid="{00000000-0005-0000-0000-00005E440000}"/>
    <cellStyle name="Normal 6 2 2 3 2 3 2 4" xfId="12023" xr:uid="{00000000-0005-0000-0000-00005F440000}"/>
    <cellStyle name="Normal 6 2 2 3 2 3 2 4 2" xfId="31738" xr:uid="{00000000-0005-0000-0000-000060440000}"/>
    <cellStyle name="Normal 6 2 2 3 2 3 2 5" xfId="21881" xr:uid="{00000000-0005-0000-0000-000061440000}"/>
    <cellStyle name="Normal 6 2 2 3 2 3 3" xfId="3391" xr:uid="{00000000-0005-0000-0000-000062440000}"/>
    <cellStyle name="Normal 6 2 2 3 2 3 3 2" xfId="8323" xr:uid="{00000000-0005-0000-0000-000063440000}"/>
    <cellStyle name="Normal 6 2 2 3 2 3 3 2 2" xfId="18183" xr:uid="{00000000-0005-0000-0000-000064440000}"/>
    <cellStyle name="Normal 6 2 2 3 2 3 3 2 2 2" xfId="37898" xr:uid="{00000000-0005-0000-0000-000065440000}"/>
    <cellStyle name="Normal 6 2 2 3 2 3 3 2 3" xfId="28041" xr:uid="{00000000-0005-0000-0000-000066440000}"/>
    <cellStyle name="Normal 6 2 2 3 2 3 3 3" xfId="13255" xr:uid="{00000000-0005-0000-0000-000067440000}"/>
    <cellStyle name="Normal 6 2 2 3 2 3 3 3 2" xfId="32970" xr:uid="{00000000-0005-0000-0000-000068440000}"/>
    <cellStyle name="Normal 6 2 2 3 2 3 3 4" xfId="23113" xr:uid="{00000000-0005-0000-0000-000069440000}"/>
    <cellStyle name="Normal 6 2 2 3 2 3 4" xfId="5859" xr:uid="{00000000-0005-0000-0000-00006A440000}"/>
    <cellStyle name="Normal 6 2 2 3 2 3 4 2" xfId="15719" xr:uid="{00000000-0005-0000-0000-00006B440000}"/>
    <cellStyle name="Normal 6 2 2 3 2 3 4 2 2" xfId="35434" xr:uid="{00000000-0005-0000-0000-00006C440000}"/>
    <cellStyle name="Normal 6 2 2 3 2 3 4 3" xfId="25577" xr:uid="{00000000-0005-0000-0000-00006D440000}"/>
    <cellStyle name="Normal 6 2 2 3 2 3 5" xfId="10791" xr:uid="{00000000-0005-0000-0000-00006E440000}"/>
    <cellStyle name="Normal 6 2 2 3 2 3 5 2" xfId="30506" xr:uid="{00000000-0005-0000-0000-00006F440000}"/>
    <cellStyle name="Normal 6 2 2 3 2 3 6" xfId="20649" xr:uid="{00000000-0005-0000-0000-000070440000}"/>
    <cellStyle name="Normal 6 2 2 3 2 4" xfId="1540" xr:uid="{00000000-0005-0000-0000-000071440000}"/>
    <cellStyle name="Normal 6 2 2 3 2 4 2" xfId="4007" xr:uid="{00000000-0005-0000-0000-000072440000}"/>
    <cellStyle name="Normal 6 2 2 3 2 4 2 2" xfId="8939" xr:uid="{00000000-0005-0000-0000-000073440000}"/>
    <cellStyle name="Normal 6 2 2 3 2 4 2 2 2" xfId="18799" xr:uid="{00000000-0005-0000-0000-000074440000}"/>
    <cellStyle name="Normal 6 2 2 3 2 4 2 2 2 2" xfId="38514" xr:uid="{00000000-0005-0000-0000-000075440000}"/>
    <cellStyle name="Normal 6 2 2 3 2 4 2 2 3" xfId="28657" xr:uid="{00000000-0005-0000-0000-000076440000}"/>
    <cellStyle name="Normal 6 2 2 3 2 4 2 3" xfId="13871" xr:uid="{00000000-0005-0000-0000-000077440000}"/>
    <cellStyle name="Normal 6 2 2 3 2 4 2 3 2" xfId="33586" xr:uid="{00000000-0005-0000-0000-000078440000}"/>
    <cellStyle name="Normal 6 2 2 3 2 4 2 4" xfId="23729" xr:uid="{00000000-0005-0000-0000-000079440000}"/>
    <cellStyle name="Normal 6 2 2 3 2 4 3" xfId="6475" xr:uid="{00000000-0005-0000-0000-00007A440000}"/>
    <cellStyle name="Normal 6 2 2 3 2 4 3 2" xfId="16335" xr:uid="{00000000-0005-0000-0000-00007B440000}"/>
    <cellStyle name="Normal 6 2 2 3 2 4 3 2 2" xfId="36050" xr:uid="{00000000-0005-0000-0000-00007C440000}"/>
    <cellStyle name="Normal 6 2 2 3 2 4 3 3" xfId="26193" xr:uid="{00000000-0005-0000-0000-00007D440000}"/>
    <cellStyle name="Normal 6 2 2 3 2 4 4" xfId="11407" xr:uid="{00000000-0005-0000-0000-00007E440000}"/>
    <cellStyle name="Normal 6 2 2 3 2 4 4 2" xfId="31122" xr:uid="{00000000-0005-0000-0000-00007F440000}"/>
    <cellStyle name="Normal 6 2 2 3 2 4 5" xfId="21265" xr:uid="{00000000-0005-0000-0000-000080440000}"/>
    <cellStyle name="Normal 6 2 2 3 2 5" xfId="2775" xr:uid="{00000000-0005-0000-0000-000081440000}"/>
    <cellStyle name="Normal 6 2 2 3 2 5 2" xfId="7707" xr:uid="{00000000-0005-0000-0000-000082440000}"/>
    <cellStyle name="Normal 6 2 2 3 2 5 2 2" xfId="17567" xr:uid="{00000000-0005-0000-0000-000083440000}"/>
    <cellStyle name="Normal 6 2 2 3 2 5 2 2 2" xfId="37282" xr:uid="{00000000-0005-0000-0000-000084440000}"/>
    <cellStyle name="Normal 6 2 2 3 2 5 2 3" xfId="27425" xr:uid="{00000000-0005-0000-0000-000085440000}"/>
    <cellStyle name="Normal 6 2 2 3 2 5 3" xfId="12639" xr:uid="{00000000-0005-0000-0000-000086440000}"/>
    <cellStyle name="Normal 6 2 2 3 2 5 3 2" xfId="32354" xr:uid="{00000000-0005-0000-0000-000087440000}"/>
    <cellStyle name="Normal 6 2 2 3 2 5 4" xfId="22497" xr:uid="{00000000-0005-0000-0000-000088440000}"/>
    <cellStyle name="Normal 6 2 2 3 2 6" xfId="5243" xr:uid="{00000000-0005-0000-0000-000089440000}"/>
    <cellStyle name="Normal 6 2 2 3 2 6 2" xfId="15103" xr:uid="{00000000-0005-0000-0000-00008A440000}"/>
    <cellStyle name="Normal 6 2 2 3 2 6 2 2" xfId="34818" xr:uid="{00000000-0005-0000-0000-00008B440000}"/>
    <cellStyle name="Normal 6 2 2 3 2 6 3" xfId="24961" xr:uid="{00000000-0005-0000-0000-00008C440000}"/>
    <cellStyle name="Normal 6 2 2 3 2 7" xfId="10175" xr:uid="{00000000-0005-0000-0000-00008D440000}"/>
    <cellStyle name="Normal 6 2 2 3 2 7 2" xfId="29890" xr:uid="{00000000-0005-0000-0000-00008E440000}"/>
    <cellStyle name="Normal 6 2 2 3 2 8" xfId="20033" xr:uid="{00000000-0005-0000-0000-00008F440000}"/>
    <cellStyle name="Normal 6 2 2 3 3" xfId="455" xr:uid="{00000000-0005-0000-0000-000090440000}"/>
    <cellStyle name="Normal 6 2 2 3 3 2" xfId="1075" xr:uid="{00000000-0005-0000-0000-000091440000}"/>
    <cellStyle name="Normal 6 2 2 3 3 2 2" xfId="2310" xr:uid="{00000000-0005-0000-0000-000092440000}"/>
    <cellStyle name="Normal 6 2 2 3 3 2 2 2" xfId="4777" xr:uid="{00000000-0005-0000-0000-000093440000}"/>
    <cellStyle name="Normal 6 2 2 3 3 2 2 2 2" xfId="9709" xr:uid="{00000000-0005-0000-0000-000094440000}"/>
    <cellStyle name="Normal 6 2 2 3 3 2 2 2 2 2" xfId="19569" xr:uid="{00000000-0005-0000-0000-000095440000}"/>
    <cellStyle name="Normal 6 2 2 3 3 2 2 2 2 2 2" xfId="39284" xr:uid="{00000000-0005-0000-0000-000096440000}"/>
    <cellStyle name="Normal 6 2 2 3 3 2 2 2 2 3" xfId="29427" xr:uid="{00000000-0005-0000-0000-000097440000}"/>
    <cellStyle name="Normal 6 2 2 3 3 2 2 2 3" xfId="14641" xr:uid="{00000000-0005-0000-0000-000098440000}"/>
    <cellStyle name="Normal 6 2 2 3 3 2 2 2 3 2" xfId="34356" xr:uid="{00000000-0005-0000-0000-000099440000}"/>
    <cellStyle name="Normal 6 2 2 3 3 2 2 2 4" xfId="24499" xr:uid="{00000000-0005-0000-0000-00009A440000}"/>
    <cellStyle name="Normal 6 2 2 3 3 2 2 3" xfId="7245" xr:uid="{00000000-0005-0000-0000-00009B440000}"/>
    <cellStyle name="Normal 6 2 2 3 3 2 2 3 2" xfId="17105" xr:uid="{00000000-0005-0000-0000-00009C440000}"/>
    <cellStyle name="Normal 6 2 2 3 3 2 2 3 2 2" xfId="36820" xr:uid="{00000000-0005-0000-0000-00009D440000}"/>
    <cellStyle name="Normal 6 2 2 3 3 2 2 3 3" xfId="26963" xr:uid="{00000000-0005-0000-0000-00009E440000}"/>
    <cellStyle name="Normal 6 2 2 3 3 2 2 4" xfId="12177" xr:uid="{00000000-0005-0000-0000-00009F440000}"/>
    <cellStyle name="Normal 6 2 2 3 3 2 2 4 2" xfId="31892" xr:uid="{00000000-0005-0000-0000-0000A0440000}"/>
    <cellStyle name="Normal 6 2 2 3 3 2 2 5" xfId="22035" xr:uid="{00000000-0005-0000-0000-0000A1440000}"/>
    <cellStyle name="Normal 6 2 2 3 3 2 3" xfId="3545" xr:uid="{00000000-0005-0000-0000-0000A2440000}"/>
    <cellStyle name="Normal 6 2 2 3 3 2 3 2" xfId="8477" xr:uid="{00000000-0005-0000-0000-0000A3440000}"/>
    <cellStyle name="Normal 6 2 2 3 3 2 3 2 2" xfId="18337" xr:uid="{00000000-0005-0000-0000-0000A4440000}"/>
    <cellStyle name="Normal 6 2 2 3 3 2 3 2 2 2" xfId="38052" xr:uid="{00000000-0005-0000-0000-0000A5440000}"/>
    <cellStyle name="Normal 6 2 2 3 3 2 3 2 3" xfId="28195" xr:uid="{00000000-0005-0000-0000-0000A6440000}"/>
    <cellStyle name="Normal 6 2 2 3 3 2 3 3" xfId="13409" xr:uid="{00000000-0005-0000-0000-0000A7440000}"/>
    <cellStyle name="Normal 6 2 2 3 3 2 3 3 2" xfId="33124" xr:uid="{00000000-0005-0000-0000-0000A8440000}"/>
    <cellStyle name="Normal 6 2 2 3 3 2 3 4" xfId="23267" xr:uid="{00000000-0005-0000-0000-0000A9440000}"/>
    <cellStyle name="Normal 6 2 2 3 3 2 4" xfId="6013" xr:uid="{00000000-0005-0000-0000-0000AA440000}"/>
    <cellStyle name="Normal 6 2 2 3 3 2 4 2" xfId="15873" xr:uid="{00000000-0005-0000-0000-0000AB440000}"/>
    <cellStyle name="Normal 6 2 2 3 3 2 4 2 2" xfId="35588" xr:uid="{00000000-0005-0000-0000-0000AC440000}"/>
    <cellStyle name="Normal 6 2 2 3 3 2 4 3" xfId="25731" xr:uid="{00000000-0005-0000-0000-0000AD440000}"/>
    <cellStyle name="Normal 6 2 2 3 3 2 5" xfId="10945" xr:uid="{00000000-0005-0000-0000-0000AE440000}"/>
    <cellStyle name="Normal 6 2 2 3 3 2 5 2" xfId="30660" xr:uid="{00000000-0005-0000-0000-0000AF440000}"/>
    <cellStyle name="Normal 6 2 2 3 3 2 6" xfId="20803" xr:uid="{00000000-0005-0000-0000-0000B0440000}"/>
    <cellStyle name="Normal 6 2 2 3 3 3" xfId="1694" xr:uid="{00000000-0005-0000-0000-0000B1440000}"/>
    <cellStyle name="Normal 6 2 2 3 3 3 2" xfId="4161" xr:uid="{00000000-0005-0000-0000-0000B2440000}"/>
    <cellStyle name="Normal 6 2 2 3 3 3 2 2" xfId="9093" xr:uid="{00000000-0005-0000-0000-0000B3440000}"/>
    <cellStyle name="Normal 6 2 2 3 3 3 2 2 2" xfId="18953" xr:uid="{00000000-0005-0000-0000-0000B4440000}"/>
    <cellStyle name="Normal 6 2 2 3 3 3 2 2 2 2" xfId="38668" xr:uid="{00000000-0005-0000-0000-0000B5440000}"/>
    <cellStyle name="Normal 6 2 2 3 3 3 2 2 3" xfId="28811" xr:uid="{00000000-0005-0000-0000-0000B6440000}"/>
    <cellStyle name="Normal 6 2 2 3 3 3 2 3" xfId="14025" xr:uid="{00000000-0005-0000-0000-0000B7440000}"/>
    <cellStyle name="Normal 6 2 2 3 3 3 2 3 2" xfId="33740" xr:uid="{00000000-0005-0000-0000-0000B8440000}"/>
    <cellStyle name="Normal 6 2 2 3 3 3 2 4" xfId="23883" xr:uid="{00000000-0005-0000-0000-0000B9440000}"/>
    <cellStyle name="Normal 6 2 2 3 3 3 3" xfId="6629" xr:uid="{00000000-0005-0000-0000-0000BA440000}"/>
    <cellStyle name="Normal 6 2 2 3 3 3 3 2" xfId="16489" xr:uid="{00000000-0005-0000-0000-0000BB440000}"/>
    <cellStyle name="Normal 6 2 2 3 3 3 3 2 2" xfId="36204" xr:uid="{00000000-0005-0000-0000-0000BC440000}"/>
    <cellStyle name="Normal 6 2 2 3 3 3 3 3" xfId="26347" xr:uid="{00000000-0005-0000-0000-0000BD440000}"/>
    <cellStyle name="Normal 6 2 2 3 3 3 4" xfId="11561" xr:uid="{00000000-0005-0000-0000-0000BE440000}"/>
    <cellStyle name="Normal 6 2 2 3 3 3 4 2" xfId="31276" xr:uid="{00000000-0005-0000-0000-0000BF440000}"/>
    <cellStyle name="Normal 6 2 2 3 3 3 5" xfId="21419" xr:uid="{00000000-0005-0000-0000-0000C0440000}"/>
    <cellStyle name="Normal 6 2 2 3 3 4" xfId="2929" xr:uid="{00000000-0005-0000-0000-0000C1440000}"/>
    <cellStyle name="Normal 6 2 2 3 3 4 2" xfId="7861" xr:uid="{00000000-0005-0000-0000-0000C2440000}"/>
    <cellStyle name="Normal 6 2 2 3 3 4 2 2" xfId="17721" xr:uid="{00000000-0005-0000-0000-0000C3440000}"/>
    <cellStyle name="Normal 6 2 2 3 3 4 2 2 2" xfId="37436" xr:uid="{00000000-0005-0000-0000-0000C4440000}"/>
    <cellStyle name="Normal 6 2 2 3 3 4 2 3" xfId="27579" xr:uid="{00000000-0005-0000-0000-0000C5440000}"/>
    <cellStyle name="Normal 6 2 2 3 3 4 3" xfId="12793" xr:uid="{00000000-0005-0000-0000-0000C6440000}"/>
    <cellStyle name="Normal 6 2 2 3 3 4 3 2" xfId="32508" xr:uid="{00000000-0005-0000-0000-0000C7440000}"/>
    <cellStyle name="Normal 6 2 2 3 3 4 4" xfId="22651" xr:uid="{00000000-0005-0000-0000-0000C8440000}"/>
    <cellStyle name="Normal 6 2 2 3 3 5" xfId="5397" xr:uid="{00000000-0005-0000-0000-0000C9440000}"/>
    <cellStyle name="Normal 6 2 2 3 3 5 2" xfId="15257" xr:uid="{00000000-0005-0000-0000-0000CA440000}"/>
    <cellStyle name="Normal 6 2 2 3 3 5 2 2" xfId="34972" xr:uid="{00000000-0005-0000-0000-0000CB440000}"/>
    <cellStyle name="Normal 6 2 2 3 3 5 3" xfId="25115" xr:uid="{00000000-0005-0000-0000-0000CC440000}"/>
    <cellStyle name="Normal 6 2 2 3 3 6" xfId="10329" xr:uid="{00000000-0005-0000-0000-0000CD440000}"/>
    <cellStyle name="Normal 6 2 2 3 3 6 2" xfId="30044" xr:uid="{00000000-0005-0000-0000-0000CE440000}"/>
    <cellStyle name="Normal 6 2 2 3 3 7" xfId="20187" xr:uid="{00000000-0005-0000-0000-0000CF440000}"/>
    <cellStyle name="Normal 6 2 2 3 4" xfId="768" xr:uid="{00000000-0005-0000-0000-0000D0440000}"/>
    <cellStyle name="Normal 6 2 2 3 4 2" xfId="2004" xr:uid="{00000000-0005-0000-0000-0000D1440000}"/>
    <cellStyle name="Normal 6 2 2 3 4 2 2" xfId="4471" xr:uid="{00000000-0005-0000-0000-0000D2440000}"/>
    <cellStyle name="Normal 6 2 2 3 4 2 2 2" xfId="9403" xr:uid="{00000000-0005-0000-0000-0000D3440000}"/>
    <cellStyle name="Normal 6 2 2 3 4 2 2 2 2" xfId="19263" xr:uid="{00000000-0005-0000-0000-0000D4440000}"/>
    <cellStyle name="Normal 6 2 2 3 4 2 2 2 2 2" xfId="38978" xr:uid="{00000000-0005-0000-0000-0000D5440000}"/>
    <cellStyle name="Normal 6 2 2 3 4 2 2 2 3" xfId="29121" xr:uid="{00000000-0005-0000-0000-0000D6440000}"/>
    <cellStyle name="Normal 6 2 2 3 4 2 2 3" xfId="14335" xr:uid="{00000000-0005-0000-0000-0000D7440000}"/>
    <cellStyle name="Normal 6 2 2 3 4 2 2 3 2" xfId="34050" xr:uid="{00000000-0005-0000-0000-0000D8440000}"/>
    <cellStyle name="Normal 6 2 2 3 4 2 2 4" xfId="24193" xr:uid="{00000000-0005-0000-0000-0000D9440000}"/>
    <cellStyle name="Normal 6 2 2 3 4 2 3" xfId="6939" xr:uid="{00000000-0005-0000-0000-0000DA440000}"/>
    <cellStyle name="Normal 6 2 2 3 4 2 3 2" xfId="16799" xr:uid="{00000000-0005-0000-0000-0000DB440000}"/>
    <cellStyle name="Normal 6 2 2 3 4 2 3 2 2" xfId="36514" xr:uid="{00000000-0005-0000-0000-0000DC440000}"/>
    <cellStyle name="Normal 6 2 2 3 4 2 3 3" xfId="26657" xr:uid="{00000000-0005-0000-0000-0000DD440000}"/>
    <cellStyle name="Normal 6 2 2 3 4 2 4" xfId="11871" xr:uid="{00000000-0005-0000-0000-0000DE440000}"/>
    <cellStyle name="Normal 6 2 2 3 4 2 4 2" xfId="31586" xr:uid="{00000000-0005-0000-0000-0000DF440000}"/>
    <cellStyle name="Normal 6 2 2 3 4 2 5" xfId="21729" xr:uid="{00000000-0005-0000-0000-0000E0440000}"/>
    <cellStyle name="Normal 6 2 2 3 4 3" xfId="3239" xr:uid="{00000000-0005-0000-0000-0000E1440000}"/>
    <cellStyle name="Normal 6 2 2 3 4 3 2" xfId="8171" xr:uid="{00000000-0005-0000-0000-0000E2440000}"/>
    <cellStyle name="Normal 6 2 2 3 4 3 2 2" xfId="18031" xr:uid="{00000000-0005-0000-0000-0000E3440000}"/>
    <cellStyle name="Normal 6 2 2 3 4 3 2 2 2" xfId="37746" xr:uid="{00000000-0005-0000-0000-0000E4440000}"/>
    <cellStyle name="Normal 6 2 2 3 4 3 2 3" xfId="27889" xr:uid="{00000000-0005-0000-0000-0000E5440000}"/>
    <cellStyle name="Normal 6 2 2 3 4 3 3" xfId="13103" xr:uid="{00000000-0005-0000-0000-0000E6440000}"/>
    <cellStyle name="Normal 6 2 2 3 4 3 3 2" xfId="32818" xr:uid="{00000000-0005-0000-0000-0000E7440000}"/>
    <cellStyle name="Normal 6 2 2 3 4 3 4" xfId="22961" xr:uid="{00000000-0005-0000-0000-0000E8440000}"/>
    <cellStyle name="Normal 6 2 2 3 4 4" xfId="5707" xr:uid="{00000000-0005-0000-0000-0000E9440000}"/>
    <cellStyle name="Normal 6 2 2 3 4 4 2" xfId="15567" xr:uid="{00000000-0005-0000-0000-0000EA440000}"/>
    <cellStyle name="Normal 6 2 2 3 4 4 2 2" xfId="35282" xr:uid="{00000000-0005-0000-0000-0000EB440000}"/>
    <cellStyle name="Normal 6 2 2 3 4 4 3" xfId="25425" xr:uid="{00000000-0005-0000-0000-0000EC440000}"/>
    <cellStyle name="Normal 6 2 2 3 4 5" xfId="10639" xr:uid="{00000000-0005-0000-0000-0000ED440000}"/>
    <cellStyle name="Normal 6 2 2 3 4 5 2" xfId="30354" xr:uid="{00000000-0005-0000-0000-0000EE440000}"/>
    <cellStyle name="Normal 6 2 2 3 4 6" xfId="20497" xr:uid="{00000000-0005-0000-0000-0000EF440000}"/>
    <cellStyle name="Normal 6 2 2 3 5" xfId="1388" xr:uid="{00000000-0005-0000-0000-0000F0440000}"/>
    <cellStyle name="Normal 6 2 2 3 5 2" xfId="3855" xr:uid="{00000000-0005-0000-0000-0000F1440000}"/>
    <cellStyle name="Normal 6 2 2 3 5 2 2" xfId="8787" xr:uid="{00000000-0005-0000-0000-0000F2440000}"/>
    <cellStyle name="Normal 6 2 2 3 5 2 2 2" xfId="18647" xr:uid="{00000000-0005-0000-0000-0000F3440000}"/>
    <cellStyle name="Normal 6 2 2 3 5 2 2 2 2" xfId="38362" xr:uid="{00000000-0005-0000-0000-0000F4440000}"/>
    <cellStyle name="Normal 6 2 2 3 5 2 2 3" xfId="28505" xr:uid="{00000000-0005-0000-0000-0000F5440000}"/>
    <cellStyle name="Normal 6 2 2 3 5 2 3" xfId="13719" xr:uid="{00000000-0005-0000-0000-0000F6440000}"/>
    <cellStyle name="Normal 6 2 2 3 5 2 3 2" xfId="33434" xr:uid="{00000000-0005-0000-0000-0000F7440000}"/>
    <cellStyle name="Normal 6 2 2 3 5 2 4" xfId="23577" xr:uid="{00000000-0005-0000-0000-0000F8440000}"/>
    <cellStyle name="Normal 6 2 2 3 5 3" xfId="6323" xr:uid="{00000000-0005-0000-0000-0000F9440000}"/>
    <cellStyle name="Normal 6 2 2 3 5 3 2" xfId="16183" xr:uid="{00000000-0005-0000-0000-0000FA440000}"/>
    <cellStyle name="Normal 6 2 2 3 5 3 2 2" xfId="35898" xr:uid="{00000000-0005-0000-0000-0000FB440000}"/>
    <cellStyle name="Normal 6 2 2 3 5 3 3" xfId="26041" xr:uid="{00000000-0005-0000-0000-0000FC440000}"/>
    <cellStyle name="Normal 6 2 2 3 5 4" xfId="11255" xr:uid="{00000000-0005-0000-0000-0000FD440000}"/>
    <cellStyle name="Normal 6 2 2 3 5 4 2" xfId="30970" xr:uid="{00000000-0005-0000-0000-0000FE440000}"/>
    <cellStyle name="Normal 6 2 2 3 5 5" xfId="21113" xr:uid="{00000000-0005-0000-0000-0000FF440000}"/>
    <cellStyle name="Normal 6 2 2 3 6" xfId="2623" xr:uid="{00000000-0005-0000-0000-000000450000}"/>
    <cellStyle name="Normal 6 2 2 3 6 2" xfId="7555" xr:uid="{00000000-0005-0000-0000-000001450000}"/>
    <cellStyle name="Normal 6 2 2 3 6 2 2" xfId="17415" xr:uid="{00000000-0005-0000-0000-000002450000}"/>
    <cellStyle name="Normal 6 2 2 3 6 2 2 2" xfId="37130" xr:uid="{00000000-0005-0000-0000-000003450000}"/>
    <cellStyle name="Normal 6 2 2 3 6 2 3" xfId="27273" xr:uid="{00000000-0005-0000-0000-000004450000}"/>
    <cellStyle name="Normal 6 2 2 3 6 3" xfId="12487" xr:uid="{00000000-0005-0000-0000-000005450000}"/>
    <cellStyle name="Normal 6 2 2 3 6 3 2" xfId="32202" xr:uid="{00000000-0005-0000-0000-000006450000}"/>
    <cellStyle name="Normal 6 2 2 3 6 4" xfId="22345" xr:uid="{00000000-0005-0000-0000-000007450000}"/>
    <cellStyle name="Normal 6 2 2 3 7" xfId="5091" xr:uid="{00000000-0005-0000-0000-000008450000}"/>
    <cellStyle name="Normal 6 2 2 3 7 2" xfId="14951" xr:uid="{00000000-0005-0000-0000-000009450000}"/>
    <cellStyle name="Normal 6 2 2 3 7 2 2" xfId="34666" xr:uid="{00000000-0005-0000-0000-00000A450000}"/>
    <cellStyle name="Normal 6 2 2 3 7 3" xfId="24809" xr:uid="{00000000-0005-0000-0000-00000B450000}"/>
    <cellStyle name="Normal 6 2 2 3 8" xfId="10023" xr:uid="{00000000-0005-0000-0000-00000C450000}"/>
    <cellStyle name="Normal 6 2 2 3 8 2" xfId="29738" xr:uid="{00000000-0005-0000-0000-00000D450000}"/>
    <cellStyle name="Normal 6 2 2 3 9" xfId="19881" xr:uid="{00000000-0005-0000-0000-00000E450000}"/>
    <cellStyle name="Normal 6 2 2 4" xfId="217" xr:uid="{00000000-0005-0000-0000-00000F450000}"/>
    <cellStyle name="Normal 6 2 2 4 2" xfId="531" xr:uid="{00000000-0005-0000-0000-000010450000}"/>
    <cellStyle name="Normal 6 2 2 4 2 2" xfId="1151" xr:uid="{00000000-0005-0000-0000-000011450000}"/>
    <cellStyle name="Normal 6 2 2 4 2 2 2" xfId="2386" xr:uid="{00000000-0005-0000-0000-000012450000}"/>
    <cellStyle name="Normal 6 2 2 4 2 2 2 2" xfId="4853" xr:uid="{00000000-0005-0000-0000-000013450000}"/>
    <cellStyle name="Normal 6 2 2 4 2 2 2 2 2" xfId="9785" xr:uid="{00000000-0005-0000-0000-000014450000}"/>
    <cellStyle name="Normal 6 2 2 4 2 2 2 2 2 2" xfId="19645" xr:uid="{00000000-0005-0000-0000-000015450000}"/>
    <cellStyle name="Normal 6 2 2 4 2 2 2 2 2 2 2" xfId="39360" xr:uid="{00000000-0005-0000-0000-000016450000}"/>
    <cellStyle name="Normal 6 2 2 4 2 2 2 2 2 3" xfId="29503" xr:uid="{00000000-0005-0000-0000-000017450000}"/>
    <cellStyle name="Normal 6 2 2 4 2 2 2 2 3" xfId="14717" xr:uid="{00000000-0005-0000-0000-000018450000}"/>
    <cellStyle name="Normal 6 2 2 4 2 2 2 2 3 2" xfId="34432" xr:uid="{00000000-0005-0000-0000-000019450000}"/>
    <cellStyle name="Normal 6 2 2 4 2 2 2 2 4" xfId="24575" xr:uid="{00000000-0005-0000-0000-00001A450000}"/>
    <cellStyle name="Normal 6 2 2 4 2 2 2 3" xfId="7321" xr:uid="{00000000-0005-0000-0000-00001B450000}"/>
    <cellStyle name="Normal 6 2 2 4 2 2 2 3 2" xfId="17181" xr:uid="{00000000-0005-0000-0000-00001C450000}"/>
    <cellStyle name="Normal 6 2 2 4 2 2 2 3 2 2" xfId="36896" xr:uid="{00000000-0005-0000-0000-00001D450000}"/>
    <cellStyle name="Normal 6 2 2 4 2 2 2 3 3" xfId="27039" xr:uid="{00000000-0005-0000-0000-00001E450000}"/>
    <cellStyle name="Normal 6 2 2 4 2 2 2 4" xfId="12253" xr:uid="{00000000-0005-0000-0000-00001F450000}"/>
    <cellStyle name="Normal 6 2 2 4 2 2 2 4 2" xfId="31968" xr:uid="{00000000-0005-0000-0000-000020450000}"/>
    <cellStyle name="Normal 6 2 2 4 2 2 2 5" xfId="22111" xr:uid="{00000000-0005-0000-0000-000021450000}"/>
    <cellStyle name="Normal 6 2 2 4 2 2 3" xfId="3621" xr:uid="{00000000-0005-0000-0000-000022450000}"/>
    <cellStyle name="Normal 6 2 2 4 2 2 3 2" xfId="8553" xr:uid="{00000000-0005-0000-0000-000023450000}"/>
    <cellStyle name="Normal 6 2 2 4 2 2 3 2 2" xfId="18413" xr:uid="{00000000-0005-0000-0000-000024450000}"/>
    <cellStyle name="Normal 6 2 2 4 2 2 3 2 2 2" xfId="38128" xr:uid="{00000000-0005-0000-0000-000025450000}"/>
    <cellStyle name="Normal 6 2 2 4 2 2 3 2 3" xfId="28271" xr:uid="{00000000-0005-0000-0000-000026450000}"/>
    <cellStyle name="Normal 6 2 2 4 2 2 3 3" xfId="13485" xr:uid="{00000000-0005-0000-0000-000027450000}"/>
    <cellStyle name="Normal 6 2 2 4 2 2 3 3 2" xfId="33200" xr:uid="{00000000-0005-0000-0000-000028450000}"/>
    <cellStyle name="Normal 6 2 2 4 2 2 3 4" xfId="23343" xr:uid="{00000000-0005-0000-0000-000029450000}"/>
    <cellStyle name="Normal 6 2 2 4 2 2 4" xfId="6089" xr:uid="{00000000-0005-0000-0000-00002A450000}"/>
    <cellStyle name="Normal 6 2 2 4 2 2 4 2" xfId="15949" xr:uid="{00000000-0005-0000-0000-00002B450000}"/>
    <cellStyle name="Normal 6 2 2 4 2 2 4 2 2" xfId="35664" xr:uid="{00000000-0005-0000-0000-00002C450000}"/>
    <cellStyle name="Normal 6 2 2 4 2 2 4 3" xfId="25807" xr:uid="{00000000-0005-0000-0000-00002D450000}"/>
    <cellStyle name="Normal 6 2 2 4 2 2 5" xfId="11021" xr:uid="{00000000-0005-0000-0000-00002E450000}"/>
    <cellStyle name="Normal 6 2 2 4 2 2 5 2" xfId="30736" xr:uid="{00000000-0005-0000-0000-00002F450000}"/>
    <cellStyle name="Normal 6 2 2 4 2 2 6" xfId="20879" xr:uid="{00000000-0005-0000-0000-000030450000}"/>
    <cellStyle name="Normal 6 2 2 4 2 3" xfId="1770" xr:uid="{00000000-0005-0000-0000-000031450000}"/>
    <cellStyle name="Normal 6 2 2 4 2 3 2" xfId="4237" xr:uid="{00000000-0005-0000-0000-000032450000}"/>
    <cellStyle name="Normal 6 2 2 4 2 3 2 2" xfId="9169" xr:uid="{00000000-0005-0000-0000-000033450000}"/>
    <cellStyle name="Normal 6 2 2 4 2 3 2 2 2" xfId="19029" xr:uid="{00000000-0005-0000-0000-000034450000}"/>
    <cellStyle name="Normal 6 2 2 4 2 3 2 2 2 2" xfId="38744" xr:uid="{00000000-0005-0000-0000-000035450000}"/>
    <cellStyle name="Normal 6 2 2 4 2 3 2 2 3" xfId="28887" xr:uid="{00000000-0005-0000-0000-000036450000}"/>
    <cellStyle name="Normal 6 2 2 4 2 3 2 3" xfId="14101" xr:uid="{00000000-0005-0000-0000-000037450000}"/>
    <cellStyle name="Normal 6 2 2 4 2 3 2 3 2" xfId="33816" xr:uid="{00000000-0005-0000-0000-000038450000}"/>
    <cellStyle name="Normal 6 2 2 4 2 3 2 4" xfId="23959" xr:uid="{00000000-0005-0000-0000-000039450000}"/>
    <cellStyle name="Normal 6 2 2 4 2 3 3" xfId="6705" xr:uid="{00000000-0005-0000-0000-00003A450000}"/>
    <cellStyle name="Normal 6 2 2 4 2 3 3 2" xfId="16565" xr:uid="{00000000-0005-0000-0000-00003B450000}"/>
    <cellStyle name="Normal 6 2 2 4 2 3 3 2 2" xfId="36280" xr:uid="{00000000-0005-0000-0000-00003C450000}"/>
    <cellStyle name="Normal 6 2 2 4 2 3 3 3" xfId="26423" xr:uid="{00000000-0005-0000-0000-00003D450000}"/>
    <cellStyle name="Normal 6 2 2 4 2 3 4" xfId="11637" xr:uid="{00000000-0005-0000-0000-00003E450000}"/>
    <cellStyle name="Normal 6 2 2 4 2 3 4 2" xfId="31352" xr:uid="{00000000-0005-0000-0000-00003F450000}"/>
    <cellStyle name="Normal 6 2 2 4 2 3 5" xfId="21495" xr:uid="{00000000-0005-0000-0000-000040450000}"/>
    <cellStyle name="Normal 6 2 2 4 2 4" xfId="3005" xr:uid="{00000000-0005-0000-0000-000041450000}"/>
    <cellStyle name="Normal 6 2 2 4 2 4 2" xfId="7937" xr:uid="{00000000-0005-0000-0000-000042450000}"/>
    <cellStyle name="Normal 6 2 2 4 2 4 2 2" xfId="17797" xr:uid="{00000000-0005-0000-0000-000043450000}"/>
    <cellStyle name="Normal 6 2 2 4 2 4 2 2 2" xfId="37512" xr:uid="{00000000-0005-0000-0000-000044450000}"/>
    <cellStyle name="Normal 6 2 2 4 2 4 2 3" xfId="27655" xr:uid="{00000000-0005-0000-0000-000045450000}"/>
    <cellStyle name="Normal 6 2 2 4 2 4 3" xfId="12869" xr:uid="{00000000-0005-0000-0000-000046450000}"/>
    <cellStyle name="Normal 6 2 2 4 2 4 3 2" xfId="32584" xr:uid="{00000000-0005-0000-0000-000047450000}"/>
    <cellStyle name="Normal 6 2 2 4 2 4 4" xfId="22727" xr:uid="{00000000-0005-0000-0000-000048450000}"/>
    <cellStyle name="Normal 6 2 2 4 2 5" xfId="5473" xr:uid="{00000000-0005-0000-0000-000049450000}"/>
    <cellStyle name="Normal 6 2 2 4 2 5 2" xfId="15333" xr:uid="{00000000-0005-0000-0000-00004A450000}"/>
    <cellStyle name="Normal 6 2 2 4 2 5 2 2" xfId="35048" xr:uid="{00000000-0005-0000-0000-00004B450000}"/>
    <cellStyle name="Normal 6 2 2 4 2 5 3" xfId="25191" xr:uid="{00000000-0005-0000-0000-00004C450000}"/>
    <cellStyle name="Normal 6 2 2 4 2 6" xfId="10405" xr:uid="{00000000-0005-0000-0000-00004D450000}"/>
    <cellStyle name="Normal 6 2 2 4 2 6 2" xfId="30120" xr:uid="{00000000-0005-0000-0000-00004E450000}"/>
    <cellStyle name="Normal 6 2 2 4 2 7" xfId="20263" xr:uid="{00000000-0005-0000-0000-00004F450000}"/>
    <cellStyle name="Normal 6 2 2 4 3" xfId="844" xr:uid="{00000000-0005-0000-0000-000050450000}"/>
    <cellStyle name="Normal 6 2 2 4 3 2" xfId="2080" xr:uid="{00000000-0005-0000-0000-000051450000}"/>
    <cellStyle name="Normal 6 2 2 4 3 2 2" xfId="4547" xr:uid="{00000000-0005-0000-0000-000052450000}"/>
    <cellStyle name="Normal 6 2 2 4 3 2 2 2" xfId="9479" xr:uid="{00000000-0005-0000-0000-000053450000}"/>
    <cellStyle name="Normal 6 2 2 4 3 2 2 2 2" xfId="19339" xr:uid="{00000000-0005-0000-0000-000054450000}"/>
    <cellStyle name="Normal 6 2 2 4 3 2 2 2 2 2" xfId="39054" xr:uid="{00000000-0005-0000-0000-000055450000}"/>
    <cellStyle name="Normal 6 2 2 4 3 2 2 2 3" xfId="29197" xr:uid="{00000000-0005-0000-0000-000056450000}"/>
    <cellStyle name="Normal 6 2 2 4 3 2 2 3" xfId="14411" xr:uid="{00000000-0005-0000-0000-000057450000}"/>
    <cellStyle name="Normal 6 2 2 4 3 2 2 3 2" xfId="34126" xr:uid="{00000000-0005-0000-0000-000058450000}"/>
    <cellStyle name="Normal 6 2 2 4 3 2 2 4" xfId="24269" xr:uid="{00000000-0005-0000-0000-000059450000}"/>
    <cellStyle name="Normal 6 2 2 4 3 2 3" xfId="7015" xr:uid="{00000000-0005-0000-0000-00005A450000}"/>
    <cellStyle name="Normal 6 2 2 4 3 2 3 2" xfId="16875" xr:uid="{00000000-0005-0000-0000-00005B450000}"/>
    <cellStyle name="Normal 6 2 2 4 3 2 3 2 2" xfId="36590" xr:uid="{00000000-0005-0000-0000-00005C450000}"/>
    <cellStyle name="Normal 6 2 2 4 3 2 3 3" xfId="26733" xr:uid="{00000000-0005-0000-0000-00005D450000}"/>
    <cellStyle name="Normal 6 2 2 4 3 2 4" xfId="11947" xr:uid="{00000000-0005-0000-0000-00005E450000}"/>
    <cellStyle name="Normal 6 2 2 4 3 2 4 2" xfId="31662" xr:uid="{00000000-0005-0000-0000-00005F450000}"/>
    <cellStyle name="Normal 6 2 2 4 3 2 5" xfId="21805" xr:uid="{00000000-0005-0000-0000-000060450000}"/>
    <cellStyle name="Normal 6 2 2 4 3 3" xfId="3315" xr:uid="{00000000-0005-0000-0000-000061450000}"/>
    <cellStyle name="Normal 6 2 2 4 3 3 2" xfId="8247" xr:uid="{00000000-0005-0000-0000-000062450000}"/>
    <cellStyle name="Normal 6 2 2 4 3 3 2 2" xfId="18107" xr:uid="{00000000-0005-0000-0000-000063450000}"/>
    <cellStyle name="Normal 6 2 2 4 3 3 2 2 2" xfId="37822" xr:uid="{00000000-0005-0000-0000-000064450000}"/>
    <cellStyle name="Normal 6 2 2 4 3 3 2 3" xfId="27965" xr:uid="{00000000-0005-0000-0000-000065450000}"/>
    <cellStyle name="Normal 6 2 2 4 3 3 3" xfId="13179" xr:uid="{00000000-0005-0000-0000-000066450000}"/>
    <cellStyle name="Normal 6 2 2 4 3 3 3 2" xfId="32894" xr:uid="{00000000-0005-0000-0000-000067450000}"/>
    <cellStyle name="Normal 6 2 2 4 3 3 4" xfId="23037" xr:uid="{00000000-0005-0000-0000-000068450000}"/>
    <cellStyle name="Normal 6 2 2 4 3 4" xfId="5783" xr:uid="{00000000-0005-0000-0000-000069450000}"/>
    <cellStyle name="Normal 6 2 2 4 3 4 2" xfId="15643" xr:uid="{00000000-0005-0000-0000-00006A450000}"/>
    <cellStyle name="Normal 6 2 2 4 3 4 2 2" xfId="35358" xr:uid="{00000000-0005-0000-0000-00006B450000}"/>
    <cellStyle name="Normal 6 2 2 4 3 4 3" xfId="25501" xr:uid="{00000000-0005-0000-0000-00006C450000}"/>
    <cellStyle name="Normal 6 2 2 4 3 5" xfId="10715" xr:uid="{00000000-0005-0000-0000-00006D450000}"/>
    <cellStyle name="Normal 6 2 2 4 3 5 2" xfId="30430" xr:uid="{00000000-0005-0000-0000-00006E450000}"/>
    <cellStyle name="Normal 6 2 2 4 3 6" xfId="20573" xr:uid="{00000000-0005-0000-0000-00006F450000}"/>
    <cellStyle name="Normal 6 2 2 4 4" xfId="1464" xr:uid="{00000000-0005-0000-0000-000070450000}"/>
    <cellStyle name="Normal 6 2 2 4 4 2" xfId="3931" xr:uid="{00000000-0005-0000-0000-000071450000}"/>
    <cellStyle name="Normal 6 2 2 4 4 2 2" xfId="8863" xr:uid="{00000000-0005-0000-0000-000072450000}"/>
    <cellStyle name="Normal 6 2 2 4 4 2 2 2" xfId="18723" xr:uid="{00000000-0005-0000-0000-000073450000}"/>
    <cellStyle name="Normal 6 2 2 4 4 2 2 2 2" xfId="38438" xr:uid="{00000000-0005-0000-0000-000074450000}"/>
    <cellStyle name="Normal 6 2 2 4 4 2 2 3" xfId="28581" xr:uid="{00000000-0005-0000-0000-000075450000}"/>
    <cellStyle name="Normal 6 2 2 4 4 2 3" xfId="13795" xr:uid="{00000000-0005-0000-0000-000076450000}"/>
    <cellStyle name="Normal 6 2 2 4 4 2 3 2" xfId="33510" xr:uid="{00000000-0005-0000-0000-000077450000}"/>
    <cellStyle name="Normal 6 2 2 4 4 2 4" xfId="23653" xr:uid="{00000000-0005-0000-0000-000078450000}"/>
    <cellStyle name="Normal 6 2 2 4 4 3" xfId="6399" xr:uid="{00000000-0005-0000-0000-000079450000}"/>
    <cellStyle name="Normal 6 2 2 4 4 3 2" xfId="16259" xr:uid="{00000000-0005-0000-0000-00007A450000}"/>
    <cellStyle name="Normal 6 2 2 4 4 3 2 2" xfId="35974" xr:uid="{00000000-0005-0000-0000-00007B450000}"/>
    <cellStyle name="Normal 6 2 2 4 4 3 3" xfId="26117" xr:uid="{00000000-0005-0000-0000-00007C450000}"/>
    <cellStyle name="Normal 6 2 2 4 4 4" xfId="11331" xr:uid="{00000000-0005-0000-0000-00007D450000}"/>
    <cellStyle name="Normal 6 2 2 4 4 4 2" xfId="31046" xr:uid="{00000000-0005-0000-0000-00007E450000}"/>
    <cellStyle name="Normal 6 2 2 4 4 5" xfId="21189" xr:uid="{00000000-0005-0000-0000-00007F450000}"/>
    <cellStyle name="Normal 6 2 2 4 5" xfId="2699" xr:uid="{00000000-0005-0000-0000-000080450000}"/>
    <cellStyle name="Normal 6 2 2 4 5 2" xfId="7631" xr:uid="{00000000-0005-0000-0000-000081450000}"/>
    <cellStyle name="Normal 6 2 2 4 5 2 2" xfId="17491" xr:uid="{00000000-0005-0000-0000-000082450000}"/>
    <cellStyle name="Normal 6 2 2 4 5 2 2 2" xfId="37206" xr:uid="{00000000-0005-0000-0000-000083450000}"/>
    <cellStyle name="Normal 6 2 2 4 5 2 3" xfId="27349" xr:uid="{00000000-0005-0000-0000-000084450000}"/>
    <cellStyle name="Normal 6 2 2 4 5 3" xfId="12563" xr:uid="{00000000-0005-0000-0000-000085450000}"/>
    <cellStyle name="Normal 6 2 2 4 5 3 2" xfId="32278" xr:uid="{00000000-0005-0000-0000-000086450000}"/>
    <cellStyle name="Normal 6 2 2 4 5 4" xfId="22421" xr:uid="{00000000-0005-0000-0000-000087450000}"/>
    <cellStyle name="Normal 6 2 2 4 6" xfId="5167" xr:uid="{00000000-0005-0000-0000-000088450000}"/>
    <cellStyle name="Normal 6 2 2 4 6 2" xfId="15027" xr:uid="{00000000-0005-0000-0000-000089450000}"/>
    <cellStyle name="Normal 6 2 2 4 6 2 2" xfId="34742" xr:uid="{00000000-0005-0000-0000-00008A450000}"/>
    <cellStyle name="Normal 6 2 2 4 6 3" xfId="24885" xr:uid="{00000000-0005-0000-0000-00008B450000}"/>
    <cellStyle name="Normal 6 2 2 4 7" xfId="10099" xr:uid="{00000000-0005-0000-0000-00008C450000}"/>
    <cellStyle name="Normal 6 2 2 4 7 2" xfId="29814" xr:uid="{00000000-0005-0000-0000-00008D450000}"/>
    <cellStyle name="Normal 6 2 2 4 8" xfId="19957" xr:uid="{00000000-0005-0000-0000-00008E450000}"/>
    <cellStyle name="Normal 6 2 2 5" xfId="379" xr:uid="{00000000-0005-0000-0000-00008F450000}"/>
    <cellStyle name="Normal 6 2 2 5 2" xfId="999" xr:uid="{00000000-0005-0000-0000-000090450000}"/>
    <cellStyle name="Normal 6 2 2 5 2 2" xfId="2234" xr:uid="{00000000-0005-0000-0000-000091450000}"/>
    <cellStyle name="Normal 6 2 2 5 2 2 2" xfId="4701" xr:uid="{00000000-0005-0000-0000-000092450000}"/>
    <cellStyle name="Normal 6 2 2 5 2 2 2 2" xfId="9633" xr:uid="{00000000-0005-0000-0000-000093450000}"/>
    <cellStyle name="Normal 6 2 2 5 2 2 2 2 2" xfId="19493" xr:uid="{00000000-0005-0000-0000-000094450000}"/>
    <cellStyle name="Normal 6 2 2 5 2 2 2 2 2 2" xfId="39208" xr:uid="{00000000-0005-0000-0000-000095450000}"/>
    <cellStyle name="Normal 6 2 2 5 2 2 2 2 3" xfId="29351" xr:uid="{00000000-0005-0000-0000-000096450000}"/>
    <cellStyle name="Normal 6 2 2 5 2 2 2 3" xfId="14565" xr:uid="{00000000-0005-0000-0000-000097450000}"/>
    <cellStyle name="Normal 6 2 2 5 2 2 2 3 2" xfId="34280" xr:uid="{00000000-0005-0000-0000-000098450000}"/>
    <cellStyle name="Normal 6 2 2 5 2 2 2 4" xfId="24423" xr:uid="{00000000-0005-0000-0000-000099450000}"/>
    <cellStyle name="Normal 6 2 2 5 2 2 3" xfId="7169" xr:uid="{00000000-0005-0000-0000-00009A450000}"/>
    <cellStyle name="Normal 6 2 2 5 2 2 3 2" xfId="17029" xr:uid="{00000000-0005-0000-0000-00009B450000}"/>
    <cellStyle name="Normal 6 2 2 5 2 2 3 2 2" xfId="36744" xr:uid="{00000000-0005-0000-0000-00009C450000}"/>
    <cellStyle name="Normal 6 2 2 5 2 2 3 3" xfId="26887" xr:uid="{00000000-0005-0000-0000-00009D450000}"/>
    <cellStyle name="Normal 6 2 2 5 2 2 4" xfId="12101" xr:uid="{00000000-0005-0000-0000-00009E450000}"/>
    <cellStyle name="Normal 6 2 2 5 2 2 4 2" xfId="31816" xr:uid="{00000000-0005-0000-0000-00009F450000}"/>
    <cellStyle name="Normal 6 2 2 5 2 2 5" xfId="21959" xr:uid="{00000000-0005-0000-0000-0000A0450000}"/>
    <cellStyle name="Normal 6 2 2 5 2 3" xfId="3469" xr:uid="{00000000-0005-0000-0000-0000A1450000}"/>
    <cellStyle name="Normal 6 2 2 5 2 3 2" xfId="8401" xr:uid="{00000000-0005-0000-0000-0000A2450000}"/>
    <cellStyle name="Normal 6 2 2 5 2 3 2 2" xfId="18261" xr:uid="{00000000-0005-0000-0000-0000A3450000}"/>
    <cellStyle name="Normal 6 2 2 5 2 3 2 2 2" xfId="37976" xr:uid="{00000000-0005-0000-0000-0000A4450000}"/>
    <cellStyle name="Normal 6 2 2 5 2 3 2 3" xfId="28119" xr:uid="{00000000-0005-0000-0000-0000A5450000}"/>
    <cellStyle name="Normal 6 2 2 5 2 3 3" xfId="13333" xr:uid="{00000000-0005-0000-0000-0000A6450000}"/>
    <cellStyle name="Normal 6 2 2 5 2 3 3 2" xfId="33048" xr:uid="{00000000-0005-0000-0000-0000A7450000}"/>
    <cellStyle name="Normal 6 2 2 5 2 3 4" xfId="23191" xr:uid="{00000000-0005-0000-0000-0000A8450000}"/>
    <cellStyle name="Normal 6 2 2 5 2 4" xfId="5937" xr:uid="{00000000-0005-0000-0000-0000A9450000}"/>
    <cellStyle name="Normal 6 2 2 5 2 4 2" xfId="15797" xr:uid="{00000000-0005-0000-0000-0000AA450000}"/>
    <cellStyle name="Normal 6 2 2 5 2 4 2 2" xfId="35512" xr:uid="{00000000-0005-0000-0000-0000AB450000}"/>
    <cellStyle name="Normal 6 2 2 5 2 4 3" xfId="25655" xr:uid="{00000000-0005-0000-0000-0000AC450000}"/>
    <cellStyle name="Normal 6 2 2 5 2 5" xfId="10869" xr:uid="{00000000-0005-0000-0000-0000AD450000}"/>
    <cellStyle name="Normal 6 2 2 5 2 5 2" xfId="30584" xr:uid="{00000000-0005-0000-0000-0000AE450000}"/>
    <cellStyle name="Normal 6 2 2 5 2 6" xfId="20727" xr:uid="{00000000-0005-0000-0000-0000AF450000}"/>
    <cellStyle name="Normal 6 2 2 5 3" xfId="1618" xr:uid="{00000000-0005-0000-0000-0000B0450000}"/>
    <cellStyle name="Normal 6 2 2 5 3 2" xfId="4085" xr:uid="{00000000-0005-0000-0000-0000B1450000}"/>
    <cellStyle name="Normal 6 2 2 5 3 2 2" xfId="9017" xr:uid="{00000000-0005-0000-0000-0000B2450000}"/>
    <cellStyle name="Normal 6 2 2 5 3 2 2 2" xfId="18877" xr:uid="{00000000-0005-0000-0000-0000B3450000}"/>
    <cellStyle name="Normal 6 2 2 5 3 2 2 2 2" xfId="38592" xr:uid="{00000000-0005-0000-0000-0000B4450000}"/>
    <cellStyle name="Normal 6 2 2 5 3 2 2 3" xfId="28735" xr:uid="{00000000-0005-0000-0000-0000B5450000}"/>
    <cellStyle name="Normal 6 2 2 5 3 2 3" xfId="13949" xr:uid="{00000000-0005-0000-0000-0000B6450000}"/>
    <cellStyle name="Normal 6 2 2 5 3 2 3 2" xfId="33664" xr:uid="{00000000-0005-0000-0000-0000B7450000}"/>
    <cellStyle name="Normal 6 2 2 5 3 2 4" xfId="23807" xr:uid="{00000000-0005-0000-0000-0000B8450000}"/>
    <cellStyle name="Normal 6 2 2 5 3 3" xfId="6553" xr:uid="{00000000-0005-0000-0000-0000B9450000}"/>
    <cellStyle name="Normal 6 2 2 5 3 3 2" xfId="16413" xr:uid="{00000000-0005-0000-0000-0000BA450000}"/>
    <cellStyle name="Normal 6 2 2 5 3 3 2 2" xfId="36128" xr:uid="{00000000-0005-0000-0000-0000BB450000}"/>
    <cellStyle name="Normal 6 2 2 5 3 3 3" xfId="26271" xr:uid="{00000000-0005-0000-0000-0000BC450000}"/>
    <cellStyle name="Normal 6 2 2 5 3 4" xfId="11485" xr:uid="{00000000-0005-0000-0000-0000BD450000}"/>
    <cellStyle name="Normal 6 2 2 5 3 4 2" xfId="31200" xr:uid="{00000000-0005-0000-0000-0000BE450000}"/>
    <cellStyle name="Normal 6 2 2 5 3 5" xfId="21343" xr:uid="{00000000-0005-0000-0000-0000BF450000}"/>
    <cellStyle name="Normal 6 2 2 5 4" xfId="2853" xr:uid="{00000000-0005-0000-0000-0000C0450000}"/>
    <cellStyle name="Normal 6 2 2 5 4 2" xfId="7785" xr:uid="{00000000-0005-0000-0000-0000C1450000}"/>
    <cellStyle name="Normal 6 2 2 5 4 2 2" xfId="17645" xr:uid="{00000000-0005-0000-0000-0000C2450000}"/>
    <cellStyle name="Normal 6 2 2 5 4 2 2 2" xfId="37360" xr:uid="{00000000-0005-0000-0000-0000C3450000}"/>
    <cellStyle name="Normal 6 2 2 5 4 2 3" xfId="27503" xr:uid="{00000000-0005-0000-0000-0000C4450000}"/>
    <cellStyle name="Normal 6 2 2 5 4 3" xfId="12717" xr:uid="{00000000-0005-0000-0000-0000C5450000}"/>
    <cellStyle name="Normal 6 2 2 5 4 3 2" xfId="32432" xr:uid="{00000000-0005-0000-0000-0000C6450000}"/>
    <cellStyle name="Normal 6 2 2 5 4 4" xfId="22575" xr:uid="{00000000-0005-0000-0000-0000C7450000}"/>
    <cellStyle name="Normal 6 2 2 5 5" xfId="5321" xr:uid="{00000000-0005-0000-0000-0000C8450000}"/>
    <cellStyle name="Normal 6 2 2 5 5 2" xfId="15181" xr:uid="{00000000-0005-0000-0000-0000C9450000}"/>
    <cellStyle name="Normal 6 2 2 5 5 2 2" xfId="34896" xr:uid="{00000000-0005-0000-0000-0000CA450000}"/>
    <cellStyle name="Normal 6 2 2 5 5 3" xfId="25039" xr:uid="{00000000-0005-0000-0000-0000CB450000}"/>
    <cellStyle name="Normal 6 2 2 5 6" xfId="10253" xr:uid="{00000000-0005-0000-0000-0000CC450000}"/>
    <cellStyle name="Normal 6 2 2 5 6 2" xfId="29968" xr:uid="{00000000-0005-0000-0000-0000CD450000}"/>
    <cellStyle name="Normal 6 2 2 5 7" xfId="20111" xr:uid="{00000000-0005-0000-0000-0000CE450000}"/>
    <cellStyle name="Normal 6 2 2 6" xfId="692" xr:uid="{00000000-0005-0000-0000-0000CF450000}"/>
    <cellStyle name="Normal 6 2 2 6 2" xfId="1928" xr:uid="{00000000-0005-0000-0000-0000D0450000}"/>
    <cellStyle name="Normal 6 2 2 6 2 2" xfId="4395" xr:uid="{00000000-0005-0000-0000-0000D1450000}"/>
    <cellStyle name="Normal 6 2 2 6 2 2 2" xfId="9327" xr:uid="{00000000-0005-0000-0000-0000D2450000}"/>
    <cellStyle name="Normal 6 2 2 6 2 2 2 2" xfId="19187" xr:uid="{00000000-0005-0000-0000-0000D3450000}"/>
    <cellStyle name="Normal 6 2 2 6 2 2 2 2 2" xfId="38902" xr:uid="{00000000-0005-0000-0000-0000D4450000}"/>
    <cellStyle name="Normal 6 2 2 6 2 2 2 3" xfId="29045" xr:uid="{00000000-0005-0000-0000-0000D5450000}"/>
    <cellStyle name="Normal 6 2 2 6 2 2 3" xfId="14259" xr:uid="{00000000-0005-0000-0000-0000D6450000}"/>
    <cellStyle name="Normal 6 2 2 6 2 2 3 2" xfId="33974" xr:uid="{00000000-0005-0000-0000-0000D7450000}"/>
    <cellStyle name="Normal 6 2 2 6 2 2 4" xfId="24117" xr:uid="{00000000-0005-0000-0000-0000D8450000}"/>
    <cellStyle name="Normal 6 2 2 6 2 3" xfId="6863" xr:uid="{00000000-0005-0000-0000-0000D9450000}"/>
    <cellStyle name="Normal 6 2 2 6 2 3 2" xfId="16723" xr:uid="{00000000-0005-0000-0000-0000DA450000}"/>
    <cellStyle name="Normal 6 2 2 6 2 3 2 2" xfId="36438" xr:uid="{00000000-0005-0000-0000-0000DB450000}"/>
    <cellStyle name="Normal 6 2 2 6 2 3 3" xfId="26581" xr:uid="{00000000-0005-0000-0000-0000DC450000}"/>
    <cellStyle name="Normal 6 2 2 6 2 4" xfId="11795" xr:uid="{00000000-0005-0000-0000-0000DD450000}"/>
    <cellStyle name="Normal 6 2 2 6 2 4 2" xfId="31510" xr:uid="{00000000-0005-0000-0000-0000DE450000}"/>
    <cellStyle name="Normal 6 2 2 6 2 5" xfId="21653" xr:uid="{00000000-0005-0000-0000-0000DF450000}"/>
    <cellStyle name="Normal 6 2 2 6 3" xfId="3163" xr:uid="{00000000-0005-0000-0000-0000E0450000}"/>
    <cellStyle name="Normal 6 2 2 6 3 2" xfId="8095" xr:uid="{00000000-0005-0000-0000-0000E1450000}"/>
    <cellStyle name="Normal 6 2 2 6 3 2 2" xfId="17955" xr:uid="{00000000-0005-0000-0000-0000E2450000}"/>
    <cellStyle name="Normal 6 2 2 6 3 2 2 2" xfId="37670" xr:uid="{00000000-0005-0000-0000-0000E3450000}"/>
    <cellStyle name="Normal 6 2 2 6 3 2 3" xfId="27813" xr:uid="{00000000-0005-0000-0000-0000E4450000}"/>
    <cellStyle name="Normal 6 2 2 6 3 3" xfId="13027" xr:uid="{00000000-0005-0000-0000-0000E5450000}"/>
    <cellStyle name="Normal 6 2 2 6 3 3 2" xfId="32742" xr:uid="{00000000-0005-0000-0000-0000E6450000}"/>
    <cellStyle name="Normal 6 2 2 6 3 4" xfId="22885" xr:uid="{00000000-0005-0000-0000-0000E7450000}"/>
    <cellStyle name="Normal 6 2 2 6 4" xfId="5631" xr:uid="{00000000-0005-0000-0000-0000E8450000}"/>
    <cellStyle name="Normal 6 2 2 6 4 2" xfId="15491" xr:uid="{00000000-0005-0000-0000-0000E9450000}"/>
    <cellStyle name="Normal 6 2 2 6 4 2 2" xfId="35206" xr:uid="{00000000-0005-0000-0000-0000EA450000}"/>
    <cellStyle name="Normal 6 2 2 6 4 3" xfId="25349" xr:uid="{00000000-0005-0000-0000-0000EB450000}"/>
    <cellStyle name="Normal 6 2 2 6 5" xfId="10563" xr:uid="{00000000-0005-0000-0000-0000EC450000}"/>
    <cellStyle name="Normal 6 2 2 6 5 2" xfId="30278" xr:uid="{00000000-0005-0000-0000-0000ED450000}"/>
    <cellStyle name="Normal 6 2 2 6 6" xfId="20421" xr:uid="{00000000-0005-0000-0000-0000EE450000}"/>
    <cellStyle name="Normal 6 2 2 7" xfId="1312" xr:uid="{00000000-0005-0000-0000-0000EF450000}"/>
    <cellStyle name="Normal 6 2 2 7 2" xfId="3779" xr:uid="{00000000-0005-0000-0000-0000F0450000}"/>
    <cellStyle name="Normal 6 2 2 7 2 2" xfId="8711" xr:uid="{00000000-0005-0000-0000-0000F1450000}"/>
    <cellStyle name="Normal 6 2 2 7 2 2 2" xfId="18571" xr:uid="{00000000-0005-0000-0000-0000F2450000}"/>
    <cellStyle name="Normal 6 2 2 7 2 2 2 2" xfId="38286" xr:uid="{00000000-0005-0000-0000-0000F3450000}"/>
    <cellStyle name="Normal 6 2 2 7 2 2 3" xfId="28429" xr:uid="{00000000-0005-0000-0000-0000F4450000}"/>
    <cellStyle name="Normal 6 2 2 7 2 3" xfId="13643" xr:uid="{00000000-0005-0000-0000-0000F5450000}"/>
    <cellStyle name="Normal 6 2 2 7 2 3 2" xfId="33358" xr:uid="{00000000-0005-0000-0000-0000F6450000}"/>
    <cellStyle name="Normal 6 2 2 7 2 4" xfId="23501" xr:uid="{00000000-0005-0000-0000-0000F7450000}"/>
    <cellStyle name="Normal 6 2 2 7 3" xfId="6247" xr:uid="{00000000-0005-0000-0000-0000F8450000}"/>
    <cellStyle name="Normal 6 2 2 7 3 2" xfId="16107" xr:uid="{00000000-0005-0000-0000-0000F9450000}"/>
    <cellStyle name="Normal 6 2 2 7 3 2 2" xfId="35822" xr:uid="{00000000-0005-0000-0000-0000FA450000}"/>
    <cellStyle name="Normal 6 2 2 7 3 3" xfId="25965" xr:uid="{00000000-0005-0000-0000-0000FB450000}"/>
    <cellStyle name="Normal 6 2 2 7 4" xfId="11179" xr:uid="{00000000-0005-0000-0000-0000FC450000}"/>
    <cellStyle name="Normal 6 2 2 7 4 2" xfId="30894" xr:uid="{00000000-0005-0000-0000-0000FD450000}"/>
    <cellStyle name="Normal 6 2 2 7 5" xfId="21037" xr:uid="{00000000-0005-0000-0000-0000FE450000}"/>
    <cellStyle name="Normal 6 2 2 8" xfId="2547" xr:uid="{00000000-0005-0000-0000-0000FF450000}"/>
    <cellStyle name="Normal 6 2 2 8 2" xfId="7479" xr:uid="{00000000-0005-0000-0000-000000460000}"/>
    <cellStyle name="Normal 6 2 2 8 2 2" xfId="17339" xr:uid="{00000000-0005-0000-0000-000001460000}"/>
    <cellStyle name="Normal 6 2 2 8 2 2 2" xfId="37054" xr:uid="{00000000-0005-0000-0000-000002460000}"/>
    <cellStyle name="Normal 6 2 2 8 2 3" xfId="27197" xr:uid="{00000000-0005-0000-0000-000003460000}"/>
    <cellStyle name="Normal 6 2 2 8 3" xfId="12411" xr:uid="{00000000-0005-0000-0000-000004460000}"/>
    <cellStyle name="Normal 6 2 2 8 3 2" xfId="32126" xr:uid="{00000000-0005-0000-0000-000005460000}"/>
    <cellStyle name="Normal 6 2 2 8 4" xfId="22269" xr:uid="{00000000-0005-0000-0000-000006460000}"/>
    <cellStyle name="Normal 6 2 2 9" xfId="5015" xr:uid="{00000000-0005-0000-0000-000007460000}"/>
    <cellStyle name="Normal 6 2 2 9 2" xfId="14875" xr:uid="{00000000-0005-0000-0000-000008460000}"/>
    <cellStyle name="Normal 6 2 2 9 2 2" xfId="34590" xr:uid="{00000000-0005-0000-0000-000009460000}"/>
    <cellStyle name="Normal 6 2 2 9 3" xfId="24733" xr:uid="{00000000-0005-0000-0000-00000A460000}"/>
    <cellStyle name="Normal 6 2 3" xfId="74" xr:uid="{00000000-0005-0000-0000-00000B460000}"/>
    <cellStyle name="Normal 6 2 3 10" xfId="19824" xr:uid="{00000000-0005-0000-0000-00000C460000}"/>
    <cellStyle name="Normal 6 2 3 2" xfId="155" xr:uid="{00000000-0005-0000-0000-00000D460000}"/>
    <cellStyle name="Normal 6 2 3 2 2" xfId="312" xr:uid="{00000000-0005-0000-0000-00000E460000}"/>
    <cellStyle name="Normal 6 2 3 2 2 2" xfId="626" xr:uid="{00000000-0005-0000-0000-00000F460000}"/>
    <cellStyle name="Normal 6 2 3 2 2 2 2" xfId="1246" xr:uid="{00000000-0005-0000-0000-000010460000}"/>
    <cellStyle name="Normal 6 2 3 2 2 2 2 2" xfId="2481" xr:uid="{00000000-0005-0000-0000-000011460000}"/>
    <cellStyle name="Normal 6 2 3 2 2 2 2 2 2" xfId="4948" xr:uid="{00000000-0005-0000-0000-000012460000}"/>
    <cellStyle name="Normal 6 2 3 2 2 2 2 2 2 2" xfId="9880" xr:uid="{00000000-0005-0000-0000-000013460000}"/>
    <cellStyle name="Normal 6 2 3 2 2 2 2 2 2 2 2" xfId="19740" xr:uid="{00000000-0005-0000-0000-000014460000}"/>
    <cellStyle name="Normal 6 2 3 2 2 2 2 2 2 2 2 2" xfId="39455" xr:uid="{00000000-0005-0000-0000-000015460000}"/>
    <cellStyle name="Normal 6 2 3 2 2 2 2 2 2 2 3" xfId="29598" xr:uid="{00000000-0005-0000-0000-000016460000}"/>
    <cellStyle name="Normal 6 2 3 2 2 2 2 2 2 3" xfId="14812" xr:uid="{00000000-0005-0000-0000-000017460000}"/>
    <cellStyle name="Normal 6 2 3 2 2 2 2 2 2 3 2" xfId="34527" xr:uid="{00000000-0005-0000-0000-000018460000}"/>
    <cellStyle name="Normal 6 2 3 2 2 2 2 2 2 4" xfId="24670" xr:uid="{00000000-0005-0000-0000-000019460000}"/>
    <cellStyle name="Normal 6 2 3 2 2 2 2 2 3" xfId="7416" xr:uid="{00000000-0005-0000-0000-00001A460000}"/>
    <cellStyle name="Normal 6 2 3 2 2 2 2 2 3 2" xfId="17276" xr:uid="{00000000-0005-0000-0000-00001B460000}"/>
    <cellStyle name="Normal 6 2 3 2 2 2 2 2 3 2 2" xfId="36991" xr:uid="{00000000-0005-0000-0000-00001C460000}"/>
    <cellStyle name="Normal 6 2 3 2 2 2 2 2 3 3" xfId="27134" xr:uid="{00000000-0005-0000-0000-00001D460000}"/>
    <cellStyle name="Normal 6 2 3 2 2 2 2 2 4" xfId="12348" xr:uid="{00000000-0005-0000-0000-00001E460000}"/>
    <cellStyle name="Normal 6 2 3 2 2 2 2 2 4 2" xfId="32063" xr:uid="{00000000-0005-0000-0000-00001F460000}"/>
    <cellStyle name="Normal 6 2 3 2 2 2 2 2 5" xfId="22206" xr:uid="{00000000-0005-0000-0000-000020460000}"/>
    <cellStyle name="Normal 6 2 3 2 2 2 2 3" xfId="3716" xr:uid="{00000000-0005-0000-0000-000021460000}"/>
    <cellStyle name="Normal 6 2 3 2 2 2 2 3 2" xfId="8648" xr:uid="{00000000-0005-0000-0000-000022460000}"/>
    <cellStyle name="Normal 6 2 3 2 2 2 2 3 2 2" xfId="18508" xr:uid="{00000000-0005-0000-0000-000023460000}"/>
    <cellStyle name="Normal 6 2 3 2 2 2 2 3 2 2 2" xfId="38223" xr:uid="{00000000-0005-0000-0000-000024460000}"/>
    <cellStyle name="Normal 6 2 3 2 2 2 2 3 2 3" xfId="28366" xr:uid="{00000000-0005-0000-0000-000025460000}"/>
    <cellStyle name="Normal 6 2 3 2 2 2 2 3 3" xfId="13580" xr:uid="{00000000-0005-0000-0000-000026460000}"/>
    <cellStyle name="Normal 6 2 3 2 2 2 2 3 3 2" xfId="33295" xr:uid="{00000000-0005-0000-0000-000027460000}"/>
    <cellStyle name="Normal 6 2 3 2 2 2 2 3 4" xfId="23438" xr:uid="{00000000-0005-0000-0000-000028460000}"/>
    <cellStyle name="Normal 6 2 3 2 2 2 2 4" xfId="6184" xr:uid="{00000000-0005-0000-0000-000029460000}"/>
    <cellStyle name="Normal 6 2 3 2 2 2 2 4 2" xfId="16044" xr:uid="{00000000-0005-0000-0000-00002A460000}"/>
    <cellStyle name="Normal 6 2 3 2 2 2 2 4 2 2" xfId="35759" xr:uid="{00000000-0005-0000-0000-00002B460000}"/>
    <cellStyle name="Normal 6 2 3 2 2 2 2 4 3" xfId="25902" xr:uid="{00000000-0005-0000-0000-00002C460000}"/>
    <cellStyle name="Normal 6 2 3 2 2 2 2 5" xfId="11116" xr:uid="{00000000-0005-0000-0000-00002D460000}"/>
    <cellStyle name="Normal 6 2 3 2 2 2 2 5 2" xfId="30831" xr:uid="{00000000-0005-0000-0000-00002E460000}"/>
    <cellStyle name="Normal 6 2 3 2 2 2 2 6" xfId="20974" xr:uid="{00000000-0005-0000-0000-00002F460000}"/>
    <cellStyle name="Normal 6 2 3 2 2 2 3" xfId="1865" xr:uid="{00000000-0005-0000-0000-000030460000}"/>
    <cellStyle name="Normal 6 2 3 2 2 2 3 2" xfId="4332" xr:uid="{00000000-0005-0000-0000-000031460000}"/>
    <cellStyle name="Normal 6 2 3 2 2 2 3 2 2" xfId="9264" xr:uid="{00000000-0005-0000-0000-000032460000}"/>
    <cellStyle name="Normal 6 2 3 2 2 2 3 2 2 2" xfId="19124" xr:uid="{00000000-0005-0000-0000-000033460000}"/>
    <cellStyle name="Normal 6 2 3 2 2 2 3 2 2 2 2" xfId="38839" xr:uid="{00000000-0005-0000-0000-000034460000}"/>
    <cellStyle name="Normal 6 2 3 2 2 2 3 2 2 3" xfId="28982" xr:uid="{00000000-0005-0000-0000-000035460000}"/>
    <cellStyle name="Normal 6 2 3 2 2 2 3 2 3" xfId="14196" xr:uid="{00000000-0005-0000-0000-000036460000}"/>
    <cellStyle name="Normal 6 2 3 2 2 2 3 2 3 2" xfId="33911" xr:uid="{00000000-0005-0000-0000-000037460000}"/>
    <cellStyle name="Normal 6 2 3 2 2 2 3 2 4" xfId="24054" xr:uid="{00000000-0005-0000-0000-000038460000}"/>
    <cellStyle name="Normal 6 2 3 2 2 2 3 3" xfId="6800" xr:uid="{00000000-0005-0000-0000-000039460000}"/>
    <cellStyle name="Normal 6 2 3 2 2 2 3 3 2" xfId="16660" xr:uid="{00000000-0005-0000-0000-00003A460000}"/>
    <cellStyle name="Normal 6 2 3 2 2 2 3 3 2 2" xfId="36375" xr:uid="{00000000-0005-0000-0000-00003B460000}"/>
    <cellStyle name="Normal 6 2 3 2 2 2 3 3 3" xfId="26518" xr:uid="{00000000-0005-0000-0000-00003C460000}"/>
    <cellStyle name="Normal 6 2 3 2 2 2 3 4" xfId="11732" xr:uid="{00000000-0005-0000-0000-00003D460000}"/>
    <cellStyle name="Normal 6 2 3 2 2 2 3 4 2" xfId="31447" xr:uid="{00000000-0005-0000-0000-00003E460000}"/>
    <cellStyle name="Normal 6 2 3 2 2 2 3 5" xfId="21590" xr:uid="{00000000-0005-0000-0000-00003F460000}"/>
    <cellStyle name="Normal 6 2 3 2 2 2 4" xfId="3100" xr:uid="{00000000-0005-0000-0000-000040460000}"/>
    <cellStyle name="Normal 6 2 3 2 2 2 4 2" xfId="8032" xr:uid="{00000000-0005-0000-0000-000041460000}"/>
    <cellStyle name="Normal 6 2 3 2 2 2 4 2 2" xfId="17892" xr:uid="{00000000-0005-0000-0000-000042460000}"/>
    <cellStyle name="Normal 6 2 3 2 2 2 4 2 2 2" xfId="37607" xr:uid="{00000000-0005-0000-0000-000043460000}"/>
    <cellStyle name="Normal 6 2 3 2 2 2 4 2 3" xfId="27750" xr:uid="{00000000-0005-0000-0000-000044460000}"/>
    <cellStyle name="Normal 6 2 3 2 2 2 4 3" xfId="12964" xr:uid="{00000000-0005-0000-0000-000045460000}"/>
    <cellStyle name="Normal 6 2 3 2 2 2 4 3 2" xfId="32679" xr:uid="{00000000-0005-0000-0000-000046460000}"/>
    <cellStyle name="Normal 6 2 3 2 2 2 4 4" xfId="22822" xr:uid="{00000000-0005-0000-0000-000047460000}"/>
    <cellStyle name="Normal 6 2 3 2 2 2 5" xfId="5568" xr:uid="{00000000-0005-0000-0000-000048460000}"/>
    <cellStyle name="Normal 6 2 3 2 2 2 5 2" xfId="15428" xr:uid="{00000000-0005-0000-0000-000049460000}"/>
    <cellStyle name="Normal 6 2 3 2 2 2 5 2 2" xfId="35143" xr:uid="{00000000-0005-0000-0000-00004A460000}"/>
    <cellStyle name="Normal 6 2 3 2 2 2 5 3" xfId="25286" xr:uid="{00000000-0005-0000-0000-00004B460000}"/>
    <cellStyle name="Normal 6 2 3 2 2 2 6" xfId="10500" xr:uid="{00000000-0005-0000-0000-00004C460000}"/>
    <cellStyle name="Normal 6 2 3 2 2 2 6 2" xfId="30215" xr:uid="{00000000-0005-0000-0000-00004D460000}"/>
    <cellStyle name="Normal 6 2 3 2 2 2 7" xfId="20358" xr:uid="{00000000-0005-0000-0000-00004E460000}"/>
    <cellStyle name="Normal 6 2 3 2 2 3" xfId="939" xr:uid="{00000000-0005-0000-0000-00004F460000}"/>
    <cellStyle name="Normal 6 2 3 2 2 3 2" xfId="2175" xr:uid="{00000000-0005-0000-0000-000050460000}"/>
    <cellStyle name="Normal 6 2 3 2 2 3 2 2" xfId="4642" xr:uid="{00000000-0005-0000-0000-000051460000}"/>
    <cellStyle name="Normal 6 2 3 2 2 3 2 2 2" xfId="9574" xr:uid="{00000000-0005-0000-0000-000052460000}"/>
    <cellStyle name="Normal 6 2 3 2 2 3 2 2 2 2" xfId="19434" xr:uid="{00000000-0005-0000-0000-000053460000}"/>
    <cellStyle name="Normal 6 2 3 2 2 3 2 2 2 2 2" xfId="39149" xr:uid="{00000000-0005-0000-0000-000054460000}"/>
    <cellStyle name="Normal 6 2 3 2 2 3 2 2 2 3" xfId="29292" xr:uid="{00000000-0005-0000-0000-000055460000}"/>
    <cellStyle name="Normal 6 2 3 2 2 3 2 2 3" xfId="14506" xr:uid="{00000000-0005-0000-0000-000056460000}"/>
    <cellStyle name="Normal 6 2 3 2 2 3 2 2 3 2" xfId="34221" xr:uid="{00000000-0005-0000-0000-000057460000}"/>
    <cellStyle name="Normal 6 2 3 2 2 3 2 2 4" xfId="24364" xr:uid="{00000000-0005-0000-0000-000058460000}"/>
    <cellStyle name="Normal 6 2 3 2 2 3 2 3" xfId="7110" xr:uid="{00000000-0005-0000-0000-000059460000}"/>
    <cellStyle name="Normal 6 2 3 2 2 3 2 3 2" xfId="16970" xr:uid="{00000000-0005-0000-0000-00005A460000}"/>
    <cellStyle name="Normal 6 2 3 2 2 3 2 3 2 2" xfId="36685" xr:uid="{00000000-0005-0000-0000-00005B460000}"/>
    <cellStyle name="Normal 6 2 3 2 2 3 2 3 3" xfId="26828" xr:uid="{00000000-0005-0000-0000-00005C460000}"/>
    <cellStyle name="Normal 6 2 3 2 2 3 2 4" xfId="12042" xr:uid="{00000000-0005-0000-0000-00005D460000}"/>
    <cellStyle name="Normal 6 2 3 2 2 3 2 4 2" xfId="31757" xr:uid="{00000000-0005-0000-0000-00005E460000}"/>
    <cellStyle name="Normal 6 2 3 2 2 3 2 5" xfId="21900" xr:uid="{00000000-0005-0000-0000-00005F460000}"/>
    <cellStyle name="Normal 6 2 3 2 2 3 3" xfId="3410" xr:uid="{00000000-0005-0000-0000-000060460000}"/>
    <cellStyle name="Normal 6 2 3 2 2 3 3 2" xfId="8342" xr:uid="{00000000-0005-0000-0000-000061460000}"/>
    <cellStyle name="Normal 6 2 3 2 2 3 3 2 2" xfId="18202" xr:uid="{00000000-0005-0000-0000-000062460000}"/>
    <cellStyle name="Normal 6 2 3 2 2 3 3 2 2 2" xfId="37917" xr:uid="{00000000-0005-0000-0000-000063460000}"/>
    <cellStyle name="Normal 6 2 3 2 2 3 3 2 3" xfId="28060" xr:uid="{00000000-0005-0000-0000-000064460000}"/>
    <cellStyle name="Normal 6 2 3 2 2 3 3 3" xfId="13274" xr:uid="{00000000-0005-0000-0000-000065460000}"/>
    <cellStyle name="Normal 6 2 3 2 2 3 3 3 2" xfId="32989" xr:uid="{00000000-0005-0000-0000-000066460000}"/>
    <cellStyle name="Normal 6 2 3 2 2 3 3 4" xfId="23132" xr:uid="{00000000-0005-0000-0000-000067460000}"/>
    <cellStyle name="Normal 6 2 3 2 2 3 4" xfId="5878" xr:uid="{00000000-0005-0000-0000-000068460000}"/>
    <cellStyle name="Normal 6 2 3 2 2 3 4 2" xfId="15738" xr:uid="{00000000-0005-0000-0000-000069460000}"/>
    <cellStyle name="Normal 6 2 3 2 2 3 4 2 2" xfId="35453" xr:uid="{00000000-0005-0000-0000-00006A460000}"/>
    <cellStyle name="Normal 6 2 3 2 2 3 4 3" xfId="25596" xr:uid="{00000000-0005-0000-0000-00006B460000}"/>
    <cellStyle name="Normal 6 2 3 2 2 3 5" xfId="10810" xr:uid="{00000000-0005-0000-0000-00006C460000}"/>
    <cellStyle name="Normal 6 2 3 2 2 3 5 2" xfId="30525" xr:uid="{00000000-0005-0000-0000-00006D460000}"/>
    <cellStyle name="Normal 6 2 3 2 2 3 6" xfId="20668" xr:uid="{00000000-0005-0000-0000-00006E460000}"/>
    <cellStyle name="Normal 6 2 3 2 2 4" xfId="1559" xr:uid="{00000000-0005-0000-0000-00006F460000}"/>
    <cellStyle name="Normal 6 2 3 2 2 4 2" xfId="4026" xr:uid="{00000000-0005-0000-0000-000070460000}"/>
    <cellStyle name="Normal 6 2 3 2 2 4 2 2" xfId="8958" xr:uid="{00000000-0005-0000-0000-000071460000}"/>
    <cellStyle name="Normal 6 2 3 2 2 4 2 2 2" xfId="18818" xr:uid="{00000000-0005-0000-0000-000072460000}"/>
    <cellStyle name="Normal 6 2 3 2 2 4 2 2 2 2" xfId="38533" xr:uid="{00000000-0005-0000-0000-000073460000}"/>
    <cellStyle name="Normal 6 2 3 2 2 4 2 2 3" xfId="28676" xr:uid="{00000000-0005-0000-0000-000074460000}"/>
    <cellStyle name="Normal 6 2 3 2 2 4 2 3" xfId="13890" xr:uid="{00000000-0005-0000-0000-000075460000}"/>
    <cellStyle name="Normal 6 2 3 2 2 4 2 3 2" xfId="33605" xr:uid="{00000000-0005-0000-0000-000076460000}"/>
    <cellStyle name="Normal 6 2 3 2 2 4 2 4" xfId="23748" xr:uid="{00000000-0005-0000-0000-000077460000}"/>
    <cellStyle name="Normal 6 2 3 2 2 4 3" xfId="6494" xr:uid="{00000000-0005-0000-0000-000078460000}"/>
    <cellStyle name="Normal 6 2 3 2 2 4 3 2" xfId="16354" xr:uid="{00000000-0005-0000-0000-000079460000}"/>
    <cellStyle name="Normal 6 2 3 2 2 4 3 2 2" xfId="36069" xr:uid="{00000000-0005-0000-0000-00007A460000}"/>
    <cellStyle name="Normal 6 2 3 2 2 4 3 3" xfId="26212" xr:uid="{00000000-0005-0000-0000-00007B460000}"/>
    <cellStyle name="Normal 6 2 3 2 2 4 4" xfId="11426" xr:uid="{00000000-0005-0000-0000-00007C460000}"/>
    <cellStyle name="Normal 6 2 3 2 2 4 4 2" xfId="31141" xr:uid="{00000000-0005-0000-0000-00007D460000}"/>
    <cellStyle name="Normal 6 2 3 2 2 4 5" xfId="21284" xr:uid="{00000000-0005-0000-0000-00007E460000}"/>
    <cellStyle name="Normal 6 2 3 2 2 5" xfId="2794" xr:uid="{00000000-0005-0000-0000-00007F460000}"/>
    <cellStyle name="Normal 6 2 3 2 2 5 2" xfId="7726" xr:uid="{00000000-0005-0000-0000-000080460000}"/>
    <cellStyle name="Normal 6 2 3 2 2 5 2 2" xfId="17586" xr:uid="{00000000-0005-0000-0000-000081460000}"/>
    <cellStyle name="Normal 6 2 3 2 2 5 2 2 2" xfId="37301" xr:uid="{00000000-0005-0000-0000-000082460000}"/>
    <cellStyle name="Normal 6 2 3 2 2 5 2 3" xfId="27444" xr:uid="{00000000-0005-0000-0000-000083460000}"/>
    <cellStyle name="Normal 6 2 3 2 2 5 3" xfId="12658" xr:uid="{00000000-0005-0000-0000-000084460000}"/>
    <cellStyle name="Normal 6 2 3 2 2 5 3 2" xfId="32373" xr:uid="{00000000-0005-0000-0000-000085460000}"/>
    <cellStyle name="Normal 6 2 3 2 2 5 4" xfId="22516" xr:uid="{00000000-0005-0000-0000-000086460000}"/>
    <cellStyle name="Normal 6 2 3 2 2 6" xfId="5262" xr:uid="{00000000-0005-0000-0000-000087460000}"/>
    <cellStyle name="Normal 6 2 3 2 2 6 2" xfId="15122" xr:uid="{00000000-0005-0000-0000-000088460000}"/>
    <cellStyle name="Normal 6 2 3 2 2 6 2 2" xfId="34837" xr:uid="{00000000-0005-0000-0000-000089460000}"/>
    <cellStyle name="Normal 6 2 3 2 2 6 3" xfId="24980" xr:uid="{00000000-0005-0000-0000-00008A460000}"/>
    <cellStyle name="Normal 6 2 3 2 2 7" xfId="10194" xr:uid="{00000000-0005-0000-0000-00008B460000}"/>
    <cellStyle name="Normal 6 2 3 2 2 7 2" xfId="29909" xr:uid="{00000000-0005-0000-0000-00008C460000}"/>
    <cellStyle name="Normal 6 2 3 2 2 8" xfId="20052" xr:uid="{00000000-0005-0000-0000-00008D460000}"/>
    <cellStyle name="Normal 6 2 3 2 3" xfId="474" xr:uid="{00000000-0005-0000-0000-00008E460000}"/>
    <cellStyle name="Normal 6 2 3 2 3 2" xfId="1094" xr:uid="{00000000-0005-0000-0000-00008F460000}"/>
    <cellStyle name="Normal 6 2 3 2 3 2 2" xfId="2329" xr:uid="{00000000-0005-0000-0000-000090460000}"/>
    <cellStyle name="Normal 6 2 3 2 3 2 2 2" xfId="4796" xr:uid="{00000000-0005-0000-0000-000091460000}"/>
    <cellStyle name="Normal 6 2 3 2 3 2 2 2 2" xfId="9728" xr:uid="{00000000-0005-0000-0000-000092460000}"/>
    <cellStyle name="Normal 6 2 3 2 3 2 2 2 2 2" xfId="19588" xr:uid="{00000000-0005-0000-0000-000093460000}"/>
    <cellStyle name="Normal 6 2 3 2 3 2 2 2 2 2 2" xfId="39303" xr:uid="{00000000-0005-0000-0000-000094460000}"/>
    <cellStyle name="Normal 6 2 3 2 3 2 2 2 2 3" xfId="29446" xr:uid="{00000000-0005-0000-0000-000095460000}"/>
    <cellStyle name="Normal 6 2 3 2 3 2 2 2 3" xfId="14660" xr:uid="{00000000-0005-0000-0000-000096460000}"/>
    <cellStyle name="Normal 6 2 3 2 3 2 2 2 3 2" xfId="34375" xr:uid="{00000000-0005-0000-0000-000097460000}"/>
    <cellStyle name="Normal 6 2 3 2 3 2 2 2 4" xfId="24518" xr:uid="{00000000-0005-0000-0000-000098460000}"/>
    <cellStyle name="Normal 6 2 3 2 3 2 2 3" xfId="7264" xr:uid="{00000000-0005-0000-0000-000099460000}"/>
    <cellStyle name="Normal 6 2 3 2 3 2 2 3 2" xfId="17124" xr:uid="{00000000-0005-0000-0000-00009A460000}"/>
    <cellStyle name="Normal 6 2 3 2 3 2 2 3 2 2" xfId="36839" xr:uid="{00000000-0005-0000-0000-00009B460000}"/>
    <cellStyle name="Normal 6 2 3 2 3 2 2 3 3" xfId="26982" xr:uid="{00000000-0005-0000-0000-00009C460000}"/>
    <cellStyle name="Normal 6 2 3 2 3 2 2 4" xfId="12196" xr:uid="{00000000-0005-0000-0000-00009D460000}"/>
    <cellStyle name="Normal 6 2 3 2 3 2 2 4 2" xfId="31911" xr:uid="{00000000-0005-0000-0000-00009E460000}"/>
    <cellStyle name="Normal 6 2 3 2 3 2 2 5" xfId="22054" xr:uid="{00000000-0005-0000-0000-00009F460000}"/>
    <cellStyle name="Normal 6 2 3 2 3 2 3" xfId="3564" xr:uid="{00000000-0005-0000-0000-0000A0460000}"/>
    <cellStyle name="Normal 6 2 3 2 3 2 3 2" xfId="8496" xr:uid="{00000000-0005-0000-0000-0000A1460000}"/>
    <cellStyle name="Normal 6 2 3 2 3 2 3 2 2" xfId="18356" xr:uid="{00000000-0005-0000-0000-0000A2460000}"/>
    <cellStyle name="Normal 6 2 3 2 3 2 3 2 2 2" xfId="38071" xr:uid="{00000000-0005-0000-0000-0000A3460000}"/>
    <cellStyle name="Normal 6 2 3 2 3 2 3 2 3" xfId="28214" xr:uid="{00000000-0005-0000-0000-0000A4460000}"/>
    <cellStyle name="Normal 6 2 3 2 3 2 3 3" xfId="13428" xr:uid="{00000000-0005-0000-0000-0000A5460000}"/>
    <cellStyle name="Normal 6 2 3 2 3 2 3 3 2" xfId="33143" xr:uid="{00000000-0005-0000-0000-0000A6460000}"/>
    <cellStyle name="Normal 6 2 3 2 3 2 3 4" xfId="23286" xr:uid="{00000000-0005-0000-0000-0000A7460000}"/>
    <cellStyle name="Normal 6 2 3 2 3 2 4" xfId="6032" xr:uid="{00000000-0005-0000-0000-0000A8460000}"/>
    <cellStyle name="Normal 6 2 3 2 3 2 4 2" xfId="15892" xr:uid="{00000000-0005-0000-0000-0000A9460000}"/>
    <cellStyle name="Normal 6 2 3 2 3 2 4 2 2" xfId="35607" xr:uid="{00000000-0005-0000-0000-0000AA460000}"/>
    <cellStyle name="Normal 6 2 3 2 3 2 4 3" xfId="25750" xr:uid="{00000000-0005-0000-0000-0000AB460000}"/>
    <cellStyle name="Normal 6 2 3 2 3 2 5" xfId="10964" xr:uid="{00000000-0005-0000-0000-0000AC460000}"/>
    <cellStyle name="Normal 6 2 3 2 3 2 5 2" xfId="30679" xr:uid="{00000000-0005-0000-0000-0000AD460000}"/>
    <cellStyle name="Normal 6 2 3 2 3 2 6" xfId="20822" xr:uid="{00000000-0005-0000-0000-0000AE460000}"/>
    <cellStyle name="Normal 6 2 3 2 3 3" xfId="1713" xr:uid="{00000000-0005-0000-0000-0000AF460000}"/>
    <cellStyle name="Normal 6 2 3 2 3 3 2" xfId="4180" xr:uid="{00000000-0005-0000-0000-0000B0460000}"/>
    <cellStyle name="Normal 6 2 3 2 3 3 2 2" xfId="9112" xr:uid="{00000000-0005-0000-0000-0000B1460000}"/>
    <cellStyle name="Normal 6 2 3 2 3 3 2 2 2" xfId="18972" xr:uid="{00000000-0005-0000-0000-0000B2460000}"/>
    <cellStyle name="Normal 6 2 3 2 3 3 2 2 2 2" xfId="38687" xr:uid="{00000000-0005-0000-0000-0000B3460000}"/>
    <cellStyle name="Normal 6 2 3 2 3 3 2 2 3" xfId="28830" xr:uid="{00000000-0005-0000-0000-0000B4460000}"/>
    <cellStyle name="Normal 6 2 3 2 3 3 2 3" xfId="14044" xr:uid="{00000000-0005-0000-0000-0000B5460000}"/>
    <cellStyle name="Normal 6 2 3 2 3 3 2 3 2" xfId="33759" xr:uid="{00000000-0005-0000-0000-0000B6460000}"/>
    <cellStyle name="Normal 6 2 3 2 3 3 2 4" xfId="23902" xr:uid="{00000000-0005-0000-0000-0000B7460000}"/>
    <cellStyle name="Normal 6 2 3 2 3 3 3" xfId="6648" xr:uid="{00000000-0005-0000-0000-0000B8460000}"/>
    <cellStyle name="Normal 6 2 3 2 3 3 3 2" xfId="16508" xr:uid="{00000000-0005-0000-0000-0000B9460000}"/>
    <cellStyle name="Normal 6 2 3 2 3 3 3 2 2" xfId="36223" xr:uid="{00000000-0005-0000-0000-0000BA460000}"/>
    <cellStyle name="Normal 6 2 3 2 3 3 3 3" xfId="26366" xr:uid="{00000000-0005-0000-0000-0000BB460000}"/>
    <cellStyle name="Normal 6 2 3 2 3 3 4" xfId="11580" xr:uid="{00000000-0005-0000-0000-0000BC460000}"/>
    <cellStyle name="Normal 6 2 3 2 3 3 4 2" xfId="31295" xr:uid="{00000000-0005-0000-0000-0000BD460000}"/>
    <cellStyle name="Normal 6 2 3 2 3 3 5" xfId="21438" xr:uid="{00000000-0005-0000-0000-0000BE460000}"/>
    <cellStyle name="Normal 6 2 3 2 3 4" xfId="2948" xr:uid="{00000000-0005-0000-0000-0000BF460000}"/>
    <cellStyle name="Normal 6 2 3 2 3 4 2" xfId="7880" xr:uid="{00000000-0005-0000-0000-0000C0460000}"/>
    <cellStyle name="Normal 6 2 3 2 3 4 2 2" xfId="17740" xr:uid="{00000000-0005-0000-0000-0000C1460000}"/>
    <cellStyle name="Normal 6 2 3 2 3 4 2 2 2" xfId="37455" xr:uid="{00000000-0005-0000-0000-0000C2460000}"/>
    <cellStyle name="Normal 6 2 3 2 3 4 2 3" xfId="27598" xr:uid="{00000000-0005-0000-0000-0000C3460000}"/>
    <cellStyle name="Normal 6 2 3 2 3 4 3" xfId="12812" xr:uid="{00000000-0005-0000-0000-0000C4460000}"/>
    <cellStyle name="Normal 6 2 3 2 3 4 3 2" xfId="32527" xr:uid="{00000000-0005-0000-0000-0000C5460000}"/>
    <cellStyle name="Normal 6 2 3 2 3 4 4" xfId="22670" xr:uid="{00000000-0005-0000-0000-0000C6460000}"/>
    <cellStyle name="Normal 6 2 3 2 3 5" xfId="5416" xr:uid="{00000000-0005-0000-0000-0000C7460000}"/>
    <cellStyle name="Normal 6 2 3 2 3 5 2" xfId="15276" xr:uid="{00000000-0005-0000-0000-0000C8460000}"/>
    <cellStyle name="Normal 6 2 3 2 3 5 2 2" xfId="34991" xr:uid="{00000000-0005-0000-0000-0000C9460000}"/>
    <cellStyle name="Normal 6 2 3 2 3 5 3" xfId="25134" xr:uid="{00000000-0005-0000-0000-0000CA460000}"/>
    <cellStyle name="Normal 6 2 3 2 3 6" xfId="10348" xr:uid="{00000000-0005-0000-0000-0000CB460000}"/>
    <cellStyle name="Normal 6 2 3 2 3 6 2" xfId="30063" xr:uid="{00000000-0005-0000-0000-0000CC460000}"/>
    <cellStyle name="Normal 6 2 3 2 3 7" xfId="20206" xr:uid="{00000000-0005-0000-0000-0000CD460000}"/>
    <cellStyle name="Normal 6 2 3 2 4" xfId="787" xr:uid="{00000000-0005-0000-0000-0000CE460000}"/>
    <cellStyle name="Normal 6 2 3 2 4 2" xfId="2023" xr:uid="{00000000-0005-0000-0000-0000CF460000}"/>
    <cellStyle name="Normal 6 2 3 2 4 2 2" xfId="4490" xr:uid="{00000000-0005-0000-0000-0000D0460000}"/>
    <cellStyle name="Normal 6 2 3 2 4 2 2 2" xfId="9422" xr:uid="{00000000-0005-0000-0000-0000D1460000}"/>
    <cellStyle name="Normal 6 2 3 2 4 2 2 2 2" xfId="19282" xr:uid="{00000000-0005-0000-0000-0000D2460000}"/>
    <cellStyle name="Normal 6 2 3 2 4 2 2 2 2 2" xfId="38997" xr:uid="{00000000-0005-0000-0000-0000D3460000}"/>
    <cellStyle name="Normal 6 2 3 2 4 2 2 2 3" xfId="29140" xr:uid="{00000000-0005-0000-0000-0000D4460000}"/>
    <cellStyle name="Normal 6 2 3 2 4 2 2 3" xfId="14354" xr:uid="{00000000-0005-0000-0000-0000D5460000}"/>
    <cellStyle name="Normal 6 2 3 2 4 2 2 3 2" xfId="34069" xr:uid="{00000000-0005-0000-0000-0000D6460000}"/>
    <cellStyle name="Normal 6 2 3 2 4 2 2 4" xfId="24212" xr:uid="{00000000-0005-0000-0000-0000D7460000}"/>
    <cellStyle name="Normal 6 2 3 2 4 2 3" xfId="6958" xr:uid="{00000000-0005-0000-0000-0000D8460000}"/>
    <cellStyle name="Normal 6 2 3 2 4 2 3 2" xfId="16818" xr:uid="{00000000-0005-0000-0000-0000D9460000}"/>
    <cellStyle name="Normal 6 2 3 2 4 2 3 2 2" xfId="36533" xr:uid="{00000000-0005-0000-0000-0000DA460000}"/>
    <cellStyle name="Normal 6 2 3 2 4 2 3 3" xfId="26676" xr:uid="{00000000-0005-0000-0000-0000DB460000}"/>
    <cellStyle name="Normal 6 2 3 2 4 2 4" xfId="11890" xr:uid="{00000000-0005-0000-0000-0000DC460000}"/>
    <cellStyle name="Normal 6 2 3 2 4 2 4 2" xfId="31605" xr:uid="{00000000-0005-0000-0000-0000DD460000}"/>
    <cellStyle name="Normal 6 2 3 2 4 2 5" xfId="21748" xr:uid="{00000000-0005-0000-0000-0000DE460000}"/>
    <cellStyle name="Normal 6 2 3 2 4 3" xfId="3258" xr:uid="{00000000-0005-0000-0000-0000DF460000}"/>
    <cellStyle name="Normal 6 2 3 2 4 3 2" xfId="8190" xr:uid="{00000000-0005-0000-0000-0000E0460000}"/>
    <cellStyle name="Normal 6 2 3 2 4 3 2 2" xfId="18050" xr:uid="{00000000-0005-0000-0000-0000E1460000}"/>
    <cellStyle name="Normal 6 2 3 2 4 3 2 2 2" xfId="37765" xr:uid="{00000000-0005-0000-0000-0000E2460000}"/>
    <cellStyle name="Normal 6 2 3 2 4 3 2 3" xfId="27908" xr:uid="{00000000-0005-0000-0000-0000E3460000}"/>
    <cellStyle name="Normal 6 2 3 2 4 3 3" xfId="13122" xr:uid="{00000000-0005-0000-0000-0000E4460000}"/>
    <cellStyle name="Normal 6 2 3 2 4 3 3 2" xfId="32837" xr:uid="{00000000-0005-0000-0000-0000E5460000}"/>
    <cellStyle name="Normal 6 2 3 2 4 3 4" xfId="22980" xr:uid="{00000000-0005-0000-0000-0000E6460000}"/>
    <cellStyle name="Normal 6 2 3 2 4 4" xfId="5726" xr:uid="{00000000-0005-0000-0000-0000E7460000}"/>
    <cellStyle name="Normal 6 2 3 2 4 4 2" xfId="15586" xr:uid="{00000000-0005-0000-0000-0000E8460000}"/>
    <cellStyle name="Normal 6 2 3 2 4 4 2 2" xfId="35301" xr:uid="{00000000-0005-0000-0000-0000E9460000}"/>
    <cellStyle name="Normal 6 2 3 2 4 4 3" xfId="25444" xr:uid="{00000000-0005-0000-0000-0000EA460000}"/>
    <cellStyle name="Normal 6 2 3 2 4 5" xfId="10658" xr:uid="{00000000-0005-0000-0000-0000EB460000}"/>
    <cellStyle name="Normal 6 2 3 2 4 5 2" xfId="30373" xr:uid="{00000000-0005-0000-0000-0000EC460000}"/>
    <cellStyle name="Normal 6 2 3 2 4 6" xfId="20516" xr:uid="{00000000-0005-0000-0000-0000ED460000}"/>
    <cellStyle name="Normal 6 2 3 2 5" xfId="1407" xr:uid="{00000000-0005-0000-0000-0000EE460000}"/>
    <cellStyle name="Normal 6 2 3 2 5 2" xfId="3874" xr:uid="{00000000-0005-0000-0000-0000EF460000}"/>
    <cellStyle name="Normal 6 2 3 2 5 2 2" xfId="8806" xr:uid="{00000000-0005-0000-0000-0000F0460000}"/>
    <cellStyle name="Normal 6 2 3 2 5 2 2 2" xfId="18666" xr:uid="{00000000-0005-0000-0000-0000F1460000}"/>
    <cellStyle name="Normal 6 2 3 2 5 2 2 2 2" xfId="38381" xr:uid="{00000000-0005-0000-0000-0000F2460000}"/>
    <cellStyle name="Normal 6 2 3 2 5 2 2 3" xfId="28524" xr:uid="{00000000-0005-0000-0000-0000F3460000}"/>
    <cellStyle name="Normal 6 2 3 2 5 2 3" xfId="13738" xr:uid="{00000000-0005-0000-0000-0000F4460000}"/>
    <cellStyle name="Normal 6 2 3 2 5 2 3 2" xfId="33453" xr:uid="{00000000-0005-0000-0000-0000F5460000}"/>
    <cellStyle name="Normal 6 2 3 2 5 2 4" xfId="23596" xr:uid="{00000000-0005-0000-0000-0000F6460000}"/>
    <cellStyle name="Normal 6 2 3 2 5 3" xfId="6342" xr:uid="{00000000-0005-0000-0000-0000F7460000}"/>
    <cellStyle name="Normal 6 2 3 2 5 3 2" xfId="16202" xr:uid="{00000000-0005-0000-0000-0000F8460000}"/>
    <cellStyle name="Normal 6 2 3 2 5 3 2 2" xfId="35917" xr:uid="{00000000-0005-0000-0000-0000F9460000}"/>
    <cellStyle name="Normal 6 2 3 2 5 3 3" xfId="26060" xr:uid="{00000000-0005-0000-0000-0000FA460000}"/>
    <cellStyle name="Normal 6 2 3 2 5 4" xfId="11274" xr:uid="{00000000-0005-0000-0000-0000FB460000}"/>
    <cellStyle name="Normal 6 2 3 2 5 4 2" xfId="30989" xr:uid="{00000000-0005-0000-0000-0000FC460000}"/>
    <cellStyle name="Normal 6 2 3 2 5 5" xfId="21132" xr:uid="{00000000-0005-0000-0000-0000FD460000}"/>
    <cellStyle name="Normal 6 2 3 2 6" xfId="2642" xr:uid="{00000000-0005-0000-0000-0000FE460000}"/>
    <cellStyle name="Normal 6 2 3 2 6 2" xfId="7574" xr:uid="{00000000-0005-0000-0000-0000FF460000}"/>
    <cellStyle name="Normal 6 2 3 2 6 2 2" xfId="17434" xr:uid="{00000000-0005-0000-0000-000000470000}"/>
    <cellStyle name="Normal 6 2 3 2 6 2 2 2" xfId="37149" xr:uid="{00000000-0005-0000-0000-000001470000}"/>
    <cellStyle name="Normal 6 2 3 2 6 2 3" xfId="27292" xr:uid="{00000000-0005-0000-0000-000002470000}"/>
    <cellStyle name="Normal 6 2 3 2 6 3" xfId="12506" xr:uid="{00000000-0005-0000-0000-000003470000}"/>
    <cellStyle name="Normal 6 2 3 2 6 3 2" xfId="32221" xr:uid="{00000000-0005-0000-0000-000004470000}"/>
    <cellStyle name="Normal 6 2 3 2 6 4" xfId="22364" xr:uid="{00000000-0005-0000-0000-000005470000}"/>
    <cellStyle name="Normal 6 2 3 2 7" xfId="5110" xr:uid="{00000000-0005-0000-0000-000006470000}"/>
    <cellStyle name="Normal 6 2 3 2 7 2" xfId="14970" xr:uid="{00000000-0005-0000-0000-000007470000}"/>
    <cellStyle name="Normal 6 2 3 2 7 2 2" xfId="34685" xr:uid="{00000000-0005-0000-0000-000008470000}"/>
    <cellStyle name="Normal 6 2 3 2 7 3" xfId="24828" xr:uid="{00000000-0005-0000-0000-000009470000}"/>
    <cellStyle name="Normal 6 2 3 2 8" xfId="10042" xr:uid="{00000000-0005-0000-0000-00000A470000}"/>
    <cellStyle name="Normal 6 2 3 2 8 2" xfId="29757" xr:uid="{00000000-0005-0000-0000-00000B470000}"/>
    <cellStyle name="Normal 6 2 3 2 9" xfId="19900" xr:uid="{00000000-0005-0000-0000-00000C470000}"/>
    <cellStyle name="Normal 6 2 3 3" xfId="236" xr:uid="{00000000-0005-0000-0000-00000D470000}"/>
    <cellStyle name="Normal 6 2 3 3 2" xfId="550" xr:uid="{00000000-0005-0000-0000-00000E470000}"/>
    <cellStyle name="Normal 6 2 3 3 2 2" xfId="1170" xr:uid="{00000000-0005-0000-0000-00000F470000}"/>
    <cellStyle name="Normal 6 2 3 3 2 2 2" xfId="2405" xr:uid="{00000000-0005-0000-0000-000010470000}"/>
    <cellStyle name="Normal 6 2 3 3 2 2 2 2" xfId="4872" xr:uid="{00000000-0005-0000-0000-000011470000}"/>
    <cellStyle name="Normal 6 2 3 3 2 2 2 2 2" xfId="9804" xr:uid="{00000000-0005-0000-0000-000012470000}"/>
    <cellStyle name="Normal 6 2 3 3 2 2 2 2 2 2" xfId="19664" xr:uid="{00000000-0005-0000-0000-000013470000}"/>
    <cellStyle name="Normal 6 2 3 3 2 2 2 2 2 2 2" xfId="39379" xr:uid="{00000000-0005-0000-0000-000014470000}"/>
    <cellStyle name="Normal 6 2 3 3 2 2 2 2 2 3" xfId="29522" xr:uid="{00000000-0005-0000-0000-000015470000}"/>
    <cellStyle name="Normal 6 2 3 3 2 2 2 2 3" xfId="14736" xr:uid="{00000000-0005-0000-0000-000016470000}"/>
    <cellStyle name="Normal 6 2 3 3 2 2 2 2 3 2" xfId="34451" xr:uid="{00000000-0005-0000-0000-000017470000}"/>
    <cellStyle name="Normal 6 2 3 3 2 2 2 2 4" xfId="24594" xr:uid="{00000000-0005-0000-0000-000018470000}"/>
    <cellStyle name="Normal 6 2 3 3 2 2 2 3" xfId="7340" xr:uid="{00000000-0005-0000-0000-000019470000}"/>
    <cellStyle name="Normal 6 2 3 3 2 2 2 3 2" xfId="17200" xr:uid="{00000000-0005-0000-0000-00001A470000}"/>
    <cellStyle name="Normal 6 2 3 3 2 2 2 3 2 2" xfId="36915" xr:uid="{00000000-0005-0000-0000-00001B470000}"/>
    <cellStyle name="Normal 6 2 3 3 2 2 2 3 3" xfId="27058" xr:uid="{00000000-0005-0000-0000-00001C470000}"/>
    <cellStyle name="Normal 6 2 3 3 2 2 2 4" xfId="12272" xr:uid="{00000000-0005-0000-0000-00001D470000}"/>
    <cellStyle name="Normal 6 2 3 3 2 2 2 4 2" xfId="31987" xr:uid="{00000000-0005-0000-0000-00001E470000}"/>
    <cellStyle name="Normal 6 2 3 3 2 2 2 5" xfId="22130" xr:uid="{00000000-0005-0000-0000-00001F470000}"/>
    <cellStyle name="Normal 6 2 3 3 2 2 3" xfId="3640" xr:uid="{00000000-0005-0000-0000-000020470000}"/>
    <cellStyle name="Normal 6 2 3 3 2 2 3 2" xfId="8572" xr:uid="{00000000-0005-0000-0000-000021470000}"/>
    <cellStyle name="Normal 6 2 3 3 2 2 3 2 2" xfId="18432" xr:uid="{00000000-0005-0000-0000-000022470000}"/>
    <cellStyle name="Normal 6 2 3 3 2 2 3 2 2 2" xfId="38147" xr:uid="{00000000-0005-0000-0000-000023470000}"/>
    <cellStyle name="Normal 6 2 3 3 2 2 3 2 3" xfId="28290" xr:uid="{00000000-0005-0000-0000-000024470000}"/>
    <cellStyle name="Normal 6 2 3 3 2 2 3 3" xfId="13504" xr:uid="{00000000-0005-0000-0000-000025470000}"/>
    <cellStyle name="Normal 6 2 3 3 2 2 3 3 2" xfId="33219" xr:uid="{00000000-0005-0000-0000-000026470000}"/>
    <cellStyle name="Normal 6 2 3 3 2 2 3 4" xfId="23362" xr:uid="{00000000-0005-0000-0000-000027470000}"/>
    <cellStyle name="Normal 6 2 3 3 2 2 4" xfId="6108" xr:uid="{00000000-0005-0000-0000-000028470000}"/>
    <cellStyle name="Normal 6 2 3 3 2 2 4 2" xfId="15968" xr:uid="{00000000-0005-0000-0000-000029470000}"/>
    <cellStyle name="Normal 6 2 3 3 2 2 4 2 2" xfId="35683" xr:uid="{00000000-0005-0000-0000-00002A470000}"/>
    <cellStyle name="Normal 6 2 3 3 2 2 4 3" xfId="25826" xr:uid="{00000000-0005-0000-0000-00002B470000}"/>
    <cellStyle name="Normal 6 2 3 3 2 2 5" xfId="11040" xr:uid="{00000000-0005-0000-0000-00002C470000}"/>
    <cellStyle name="Normal 6 2 3 3 2 2 5 2" xfId="30755" xr:uid="{00000000-0005-0000-0000-00002D470000}"/>
    <cellStyle name="Normal 6 2 3 3 2 2 6" xfId="20898" xr:uid="{00000000-0005-0000-0000-00002E470000}"/>
    <cellStyle name="Normal 6 2 3 3 2 3" xfId="1789" xr:uid="{00000000-0005-0000-0000-00002F470000}"/>
    <cellStyle name="Normal 6 2 3 3 2 3 2" xfId="4256" xr:uid="{00000000-0005-0000-0000-000030470000}"/>
    <cellStyle name="Normal 6 2 3 3 2 3 2 2" xfId="9188" xr:uid="{00000000-0005-0000-0000-000031470000}"/>
    <cellStyle name="Normal 6 2 3 3 2 3 2 2 2" xfId="19048" xr:uid="{00000000-0005-0000-0000-000032470000}"/>
    <cellStyle name="Normal 6 2 3 3 2 3 2 2 2 2" xfId="38763" xr:uid="{00000000-0005-0000-0000-000033470000}"/>
    <cellStyle name="Normal 6 2 3 3 2 3 2 2 3" xfId="28906" xr:uid="{00000000-0005-0000-0000-000034470000}"/>
    <cellStyle name="Normal 6 2 3 3 2 3 2 3" xfId="14120" xr:uid="{00000000-0005-0000-0000-000035470000}"/>
    <cellStyle name="Normal 6 2 3 3 2 3 2 3 2" xfId="33835" xr:uid="{00000000-0005-0000-0000-000036470000}"/>
    <cellStyle name="Normal 6 2 3 3 2 3 2 4" xfId="23978" xr:uid="{00000000-0005-0000-0000-000037470000}"/>
    <cellStyle name="Normal 6 2 3 3 2 3 3" xfId="6724" xr:uid="{00000000-0005-0000-0000-000038470000}"/>
    <cellStyle name="Normal 6 2 3 3 2 3 3 2" xfId="16584" xr:uid="{00000000-0005-0000-0000-000039470000}"/>
    <cellStyle name="Normal 6 2 3 3 2 3 3 2 2" xfId="36299" xr:uid="{00000000-0005-0000-0000-00003A470000}"/>
    <cellStyle name="Normal 6 2 3 3 2 3 3 3" xfId="26442" xr:uid="{00000000-0005-0000-0000-00003B470000}"/>
    <cellStyle name="Normal 6 2 3 3 2 3 4" xfId="11656" xr:uid="{00000000-0005-0000-0000-00003C470000}"/>
    <cellStyle name="Normal 6 2 3 3 2 3 4 2" xfId="31371" xr:uid="{00000000-0005-0000-0000-00003D470000}"/>
    <cellStyle name="Normal 6 2 3 3 2 3 5" xfId="21514" xr:uid="{00000000-0005-0000-0000-00003E470000}"/>
    <cellStyle name="Normal 6 2 3 3 2 4" xfId="3024" xr:uid="{00000000-0005-0000-0000-00003F470000}"/>
    <cellStyle name="Normal 6 2 3 3 2 4 2" xfId="7956" xr:uid="{00000000-0005-0000-0000-000040470000}"/>
    <cellStyle name="Normal 6 2 3 3 2 4 2 2" xfId="17816" xr:uid="{00000000-0005-0000-0000-000041470000}"/>
    <cellStyle name="Normal 6 2 3 3 2 4 2 2 2" xfId="37531" xr:uid="{00000000-0005-0000-0000-000042470000}"/>
    <cellStyle name="Normal 6 2 3 3 2 4 2 3" xfId="27674" xr:uid="{00000000-0005-0000-0000-000043470000}"/>
    <cellStyle name="Normal 6 2 3 3 2 4 3" xfId="12888" xr:uid="{00000000-0005-0000-0000-000044470000}"/>
    <cellStyle name="Normal 6 2 3 3 2 4 3 2" xfId="32603" xr:uid="{00000000-0005-0000-0000-000045470000}"/>
    <cellStyle name="Normal 6 2 3 3 2 4 4" xfId="22746" xr:uid="{00000000-0005-0000-0000-000046470000}"/>
    <cellStyle name="Normal 6 2 3 3 2 5" xfId="5492" xr:uid="{00000000-0005-0000-0000-000047470000}"/>
    <cellStyle name="Normal 6 2 3 3 2 5 2" xfId="15352" xr:uid="{00000000-0005-0000-0000-000048470000}"/>
    <cellStyle name="Normal 6 2 3 3 2 5 2 2" xfId="35067" xr:uid="{00000000-0005-0000-0000-000049470000}"/>
    <cellStyle name="Normal 6 2 3 3 2 5 3" xfId="25210" xr:uid="{00000000-0005-0000-0000-00004A470000}"/>
    <cellStyle name="Normal 6 2 3 3 2 6" xfId="10424" xr:uid="{00000000-0005-0000-0000-00004B470000}"/>
    <cellStyle name="Normal 6 2 3 3 2 6 2" xfId="30139" xr:uid="{00000000-0005-0000-0000-00004C470000}"/>
    <cellStyle name="Normal 6 2 3 3 2 7" xfId="20282" xr:uid="{00000000-0005-0000-0000-00004D470000}"/>
    <cellStyle name="Normal 6 2 3 3 3" xfId="863" xr:uid="{00000000-0005-0000-0000-00004E470000}"/>
    <cellStyle name="Normal 6 2 3 3 3 2" xfId="2099" xr:uid="{00000000-0005-0000-0000-00004F470000}"/>
    <cellStyle name="Normal 6 2 3 3 3 2 2" xfId="4566" xr:uid="{00000000-0005-0000-0000-000050470000}"/>
    <cellStyle name="Normal 6 2 3 3 3 2 2 2" xfId="9498" xr:uid="{00000000-0005-0000-0000-000051470000}"/>
    <cellStyle name="Normal 6 2 3 3 3 2 2 2 2" xfId="19358" xr:uid="{00000000-0005-0000-0000-000052470000}"/>
    <cellStyle name="Normal 6 2 3 3 3 2 2 2 2 2" xfId="39073" xr:uid="{00000000-0005-0000-0000-000053470000}"/>
    <cellStyle name="Normal 6 2 3 3 3 2 2 2 3" xfId="29216" xr:uid="{00000000-0005-0000-0000-000054470000}"/>
    <cellStyle name="Normal 6 2 3 3 3 2 2 3" xfId="14430" xr:uid="{00000000-0005-0000-0000-000055470000}"/>
    <cellStyle name="Normal 6 2 3 3 3 2 2 3 2" xfId="34145" xr:uid="{00000000-0005-0000-0000-000056470000}"/>
    <cellStyle name="Normal 6 2 3 3 3 2 2 4" xfId="24288" xr:uid="{00000000-0005-0000-0000-000057470000}"/>
    <cellStyle name="Normal 6 2 3 3 3 2 3" xfId="7034" xr:uid="{00000000-0005-0000-0000-000058470000}"/>
    <cellStyle name="Normal 6 2 3 3 3 2 3 2" xfId="16894" xr:uid="{00000000-0005-0000-0000-000059470000}"/>
    <cellStyle name="Normal 6 2 3 3 3 2 3 2 2" xfId="36609" xr:uid="{00000000-0005-0000-0000-00005A470000}"/>
    <cellStyle name="Normal 6 2 3 3 3 2 3 3" xfId="26752" xr:uid="{00000000-0005-0000-0000-00005B470000}"/>
    <cellStyle name="Normal 6 2 3 3 3 2 4" xfId="11966" xr:uid="{00000000-0005-0000-0000-00005C470000}"/>
    <cellStyle name="Normal 6 2 3 3 3 2 4 2" xfId="31681" xr:uid="{00000000-0005-0000-0000-00005D470000}"/>
    <cellStyle name="Normal 6 2 3 3 3 2 5" xfId="21824" xr:uid="{00000000-0005-0000-0000-00005E470000}"/>
    <cellStyle name="Normal 6 2 3 3 3 3" xfId="3334" xr:uid="{00000000-0005-0000-0000-00005F470000}"/>
    <cellStyle name="Normal 6 2 3 3 3 3 2" xfId="8266" xr:uid="{00000000-0005-0000-0000-000060470000}"/>
    <cellStyle name="Normal 6 2 3 3 3 3 2 2" xfId="18126" xr:uid="{00000000-0005-0000-0000-000061470000}"/>
    <cellStyle name="Normal 6 2 3 3 3 3 2 2 2" xfId="37841" xr:uid="{00000000-0005-0000-0000-000062470000}"/>
    <cellStyle name="Normal 6 2 3 3 3 3 2 3" xfId="27984" xr:uid="{00000000-0005-0000-0000-000063470000}"/>
    <cellStyle name="Normal 6 2 3 3 3 3 3" xfId="13198" xr:uid="{00000000-0005-0000-0000-000064470000}"/>
    <cellStyle name="Normal 6 2 3 3 3 3 3 2" xfId="32913" xr:uid="{00000000-0005-0000-0000-000065470000}"/>
    <cellStyle name="Normal 6 2 3 3 3 3 4" xfId="23056" xr:uid="{00000000-0005-0000-0000-000066470000}"/>
    <cellStyle name="Normal 6 2 3 3 3 4" xfId="5802" xr:uid="{00000000-0005-0000-0000-000067470000}"/>
    <cellStyle name="Normal 6 2 3 3 3 4 2" xfId="15662" xr:uid="{00000000-0005-0000-0000-000068470000}"/>
    <cellStyle name="Normal 6 2 3 3 3 4 2 2" xfId="35377" xr:uid="{00000000-0005-0000-0000-000069470000}"/>
    <cellStyle name="Normal 6 2 3 3 3 4 3" xfId="25520" xr:uid="{00000000-0005-0000-0000-00006A470000}"/>
    <cellStyle name="Normal 6 2 3 3 3 5" xfId="10734" xr:uid="{00000000-0005-0000-0000-00006B470000}"/>
    <cellStyle name="Normal 6 2 3 3 3 5 2" xfId="30449" xr:uid="{00000000-0005-0000-0000-00006C470000}"/>
    <cellStyle name="Normal 6 2 3 3 3 6" xfId="20592" xr:uid="{00000000-0005-0000-0000-00006D470000}"/>
    <cellStyle name="Normal 6 2 3 3 4" xfId="1483" xr:uid="{00000000-0005-0000-0000-00006E470000}"/>
    <cellStyle name="Normal 6 2 3 3 4 2" xfId="3950" xr:uid="{00000000-0005-0000-0000-00006F470000}"/>
    <cellStyle name="Normal 6 2 3 3 4 2 2" xfId="8882" xr:uid="{00000000-0005-0000-0000-000070470000}"/>
    <cellStyle name="Normal 6 2 3 3 4 2 2 2" xfId="18742" xr:uid="{00000000-0005-0000-0000-000071470000}"/>
    <cellStyle name="Normal 6 2 3 3 4 2 2 2 2" xfId="38457" xr:uid="{00000000-0005-0000-0000-000072470000}"/>
    <cellStyle name="Normal 6 2 3 3 4 2 2 3" xfId="28600" xr:uid="{00000000-0005-0000-0000-000073470000}"/>
    <cellStyle name="Normal 6 2 3 3 4 2 3" xfId="13814" xr:uid="{00000000-0005-0000-0000-000074470000}"/>
    <cellStyle name="Normal 6 2 3 3 4 2 3 2" xfId="33529" xr:uid="{00000000-0005-0000-0000-000075470000}"/>
    <cellStyle name="Normal 6 2 3 3 4 2 4" xfId="23672" xr:uid="{00000000-0005-0000-0000-000076470000}"/>
    <cellStyle name="Normal 6 2 3 3 4 3" xfId="6418" xr:uid="{00000000-0005-0000-0000-000077470000}"/>
    <cellStyle name="Normal 6 2 3 3 4 3 2" xfId="16278" xr:uid="{00000000-0005-0000-0000-000078470000}"/>
    <cellStyle name="Normal 6 2 3 3 4 3 2 2" xfId="35993" xr:uid="{00000000-0005-0000-0000-000079470000}"/>
    <cellStyle name="Normal 6 2 3 3 4 3 3" xfId="26136" xr:uid="{00000000-0005-0000-0000-00007A470000}"/>
    <cellStyle name="Normal 6 2 3 3 4 4" xfId="11350" xr:uid="{00000000-0005-0000-0000-00007B470000}"/>
    <cellStyle name="Normal 6 2 3 3 4 4 2" xfId="31065" xr:uid="{00000000-0005-0000-0000-00007C470000}"/>
    <cellStyle name="Normal 6 2 3 3 4 5" xfId="21208" xr:uid="{00000000-0005-0000-0000-00007D470000}"/>
    <cellStyle name="Normal 6 2 3 3 5" xfId="2718" xr:uid="{00000000-0005-0000-0000-00007E470000}"/>
    <cellStyle name="Normal 6 2 3 3 5 2" xfId="7650" xr:uid="{00000000-0005-0000-0000-00007F470000}"/>
    <cellStyle name="Normal 6 2 3 3 5 2 2" xfId="17510" xr:uid="{00000000-0005-0000-0000-000080470000}"/>
    <cellStyle name="Normal 6 2 3 3 5 2 2 2" xfId="37225" xr:uid="{00000000-0005-0000-0000-000081470000}"/>
    <cellStyle name="Normal 6 2 3 3 5 2 3" xfId="27368" xr:uid="{00000000-0005-0000-0000-000082470000}"/>
    <cellStyle name="Normal 6 2 3 3 5 3" xfId="12582" xr:uid="{00000000-0005-0000-0000-000083470000}"/>
    <cellStyle name="Normal 6 2 3 3 5 3 2" xfId="32297" xr:uid="{00000000-0005-0000-0000-000084470000}"/>
    <cellStyle name="Normal 6 2 3 3 5 4" xfId="22440" xr:uid="{00000000-0005-0000-0000-000085470000}"/>
    <cellStyle name="Normal 6 2 3 3 6" xfId="5186" xr:uid="{00000000-0005-0000-0000-000086470000}"/>
    <cellStyle name="Normal 6 2 3 3 6 2" xfId="15046" xr:uid="{00000000-0005-0000-0000-000087470000}"/>
    <cellStyle name="Normal 6 2 3 3 6 2 2" xfId="34761" xr:uid="{00000000-0005-0000-0000-000088470000}"/>
    <cellStyle name="Normal 6 2 3 3 6 3" xfId="24904" xr:uid="{00000000-0005-0000-0000-000089470000}"/>
    <cellStyle name="Normal 6 2 3 3 7" xfId="10118" xr:uid="{00000000-0005-0000-0000-00008A470000}"/>
    <cellStyle name="Normal 6 2 3 3 7 2" xfId="29833" xr:uid="{00000000-0005-0000-0000-00008B470000}"/>
    <cellStyle name="Normal 6 2 3 3 8" xfId="19976" xr:uid="{00000000-0005-0000-0000-00008C470000}"/>
    <cellStyle name="Normal 6 2 3 4" xfId="398" xr:uid="{00000000-0005-0000-0000-00008D470000}"/>
    <cellStyle name="Normal 6 2 3 4 2" xfId="1018" xr:uid="{00000000-0005-0000-0000-00008E470000}"/>
    <cellStyle name="Normal 6 2 3 4 2 2" xfId="2253" xr:uid="{00000000-0005-0000-0000-00008F470000}"/>
    <cellStyle name="Normal 6 2 3 4 2 2 2" xfId="4720" xr:uid="{00000000-0005-0000-0000-000090470000}"/>
    <cellStyle name="Normal 6 2 3 4 2 2 2 2" xfId="9652" xr:uid="{00000000-0005-0000-0000-000091470000}"/>
    <cellStyle name="Normal 6 2 3 4 2 2 2 2 2" xfId="19512" xr:uid="{00000000-0005-0000-0000-000092470000}"/>
    <cellStyle name="Normal 6 2 3 4 2 2 2 2 2 2" xfId="39227" xr:uid="{00000000-0005-0000-0000-000093470000}"/>
    <cellStyle name="Normal 6 2 3 4 2 2 2 2 3" xfId="29370" xr:uid="{00000000-0005-0000-0000-000094470000}"/>
    <cellStyle name="Normal 6 2 3 4 2 2 2 3" xfId="14584" xr:uid="{00000000-0005-0000-0000-000095470000}"/>
    <cellStyle name="Normal 6 2 3 4 2 2 2 3 2" xfId="34299" xr:uid="{00000000-0005-0000-0000-000096470000}"/>
    <cellStyle name="Normal 6 2 3 4 2 2 2 4" xfId="24442" xr:uid="{00000000-0005-0000-0000-000097470000}"/>
    <cellStyle name="Normal 6 2 3 4 2 2 3" xfId="7188" xr:uid="{00000000-0005-0000-0000-000098470000}"/>
    <cellStyle name="Normal 6 2 3 4 2 2 3 2" xfId="17048" xr:uid="{00000000-0005-0000-0000-000099470000}"/>
    <cellStyle name="Normal 6 2 3 4 2 2 3 2 2" xfId="36763" xr:uid="{00000000-0005-0000-0000-00009A470000}"/>
    <cellStyle name="Normal 6 2 3 4 2 2 3 3" xfId="26906" xr:uid="{00000000-0005-0000-0000-00009B470000}"/>
    <cellStyle name="Normal 6 2 3 4 2 2 4" xfId="12120" xr:uid="{00000000-0005-0000-0000-00009C470000}"/>
    <cellStyle name="Normal 6 2 3 4 2 2 4 2" xfId="31835" xr:uid="{00000000-0005-0000-0000-00009D470000}"/>
    <cellStyle name="Normal 6 2 3 4 2 2 5" xfId="21978" xr:uid="{00000000-0005-0000-0000-00009E470000}"/>
    <cellStyle name="Normal 6 2 3 4 2 3" xfId="3488" xr:uid="{00000000-0005-0000-0000-00009F470000}"/>
    <cellStyle name="Normal 6 2 3 4 2 3 2" xfId="8420" xr:uid="{00000000-0005-0000-0000-0000A0470000}"/>
    <cellStyle name="Normal 6 2 3 4 2 3 2 2" xfId="18280" xr:uid="{00000000-0005-0000-0000-0000A1470000}"/>
    <cellStyle name="Normal 6 2 3 4 2 3 2 2 2" xfId="37995" xr:uid="{00000000-0005-0000-0000-0000A2470000}"/>
    <cellStyle name="Normal 6 2 3 4 2 3 2 3" xfId="28138" xr:uid="{00000000-0005-0000-0000-0000A3470000}"/>
    <cellStyle name="Normal 6 2 3 4 2 3 3" xfId="13352" xr:uid="{00000000-0005-0000-0000-0000A4470000}"/>
    <cellStyle name="Normal 6 2 3 4 2 3 3 2" xfId="33067" xr:uid="{00000000-0005-0000-0000-0000A5470000}"/>
    <cellStyle name="Normal 6 2 3 4 2 3 4" xfId="23210" xr:uid="{00000000-0005-0000-0000-0000A6470000}"/>
    <cellStyle name="Normal 6 2 3 4 2 4" xfId="5956" xr:uid="{00000000-0005-0000-0000-0000A7470000}"/>
    <cellStyle name="Normal 6 2 3 4 2 4 2" xfId="15816" xr:uid="{00000000-0005-0000-0000-0000A8470000}"/>
    <cellStyle name="Normal 6 2 3 4 2 4 2 2" xfId="35531" xr:uid="{00000000-0005-0000-0000-0000A9470000}"/>
    <cellStyle name="Normal 6 2 3 4 2 4 3" xfId="25674" xr:uid="{00000000-0005-0000-0000-0000AA470000}"/>
    <cellStyle name="Normal 6 2 3 4 2 5" xfId="10888" xr:uid="{00000000-0005-0000-0000-0000AB470000}"/>
    <cellStyle name="Normal 6 2 3 4 2 5 2" xfId="30603" xr:uid="{00000000-0005-0000-0000-0000AC470000}"/>
    <cellStyle name="Normal 6 2 3 4 2 6" xfId="20746" xr:uid="{00000000-0005-0000-0000-0000AD470000}"/>
    <cellStyle name="Normal 6 2 3 4 3" xfId="1637" xr:uid="{00000000-0005-0000-0000-0000AE470000}"/>
    <cellStyle name="Normal 6 2 3 4 3 2" xfId="4104" xr:uid="{00000000-0005-0000-0000-0000AF470000}"/>
    <cellStyle name="Normal 6 2 3 4 3 2 2" xfId="9036" xr:uid="{00000000-0005-0000-0000-0000B0470000}"/>
    <cellStyle name="Normal 6 2 3 4 3 2 2 2" xfId="18896" xr:uid="{00000000-0005-0000-0000-0000B1470000}"/>
    <cellStyle name="Normal 6 2 3 4 3 2 2 2 2" xfId="38611" xr:uid="{00000000-0005-0000-0000-0000B2470000}"/>
    <cellStyle name="Normal 6 2 3 4 3 2 2 3" xfId="28754" xr:uid="{00000000-0005-0000-0000-0000B3470000}"/>
    <cellStyle name="Normal 6 2 3 4 3 2 3" xfId="13968" xr:uid="{00000000-0005-0000-0000-0000B4470000}"/>
    <cellStyle name="Normal 6 2 3 4 3 2 3 2" xfId="33683" xr:uid="{00000000-0005-0000-0000-0000B5470000}"/>
    <cellStyle name="Normal 6 2 3 4 3 2 4" xfId="23826" xr:uid="{00000000-0005-0000-0000-0000B6470000}"/>
    <cellStyle name="Normal 6 2 3 4 3 3" xfId="6572" xr:uid="{00000000-0005-0000-0000-0000B7470000}"/>
    <cellStyle name="Normal 6 2 3 4 3 3 2" xfId="16432" xr:uid="{00000000-0005-0000-0000-0000B8470000}"/>
    <cellStyle name="Normal 6 2 3 4 3 3 2 2" xfId="36147" xr:uid="{00000000-0005-0000-0000-0000B9470000}"/>
    <cellStyle name="Normal 6 2 3 4 3 3 3" xfId="26290" xr:uid="{00000000-0005-0000-0000-0000BA470000}"/>
    <cellStyle name="Normal 6 2 3 4 3 4" xfId="11504" xr:uid="{00000000-0005-0000-0000-0000BB470000}"/>
    <cellStyle name="Normal 6 2 3 4 3 4 2" xfId="31219" xr:uid="{00000000-0005-0000-0000-0000BC470000}"/>
    <cellStyle name="Normal 6 2 3 4 3 5" xfId="21362" xr:uid="{00000000-0005-0000-0000-0000BD470000}"/>
    <cellStyle name="Normal 6 2 3 4 4" xfId="2872" xr:uid="{00000000-0005-0000-0000-0000BE470000}"/>
    <cellStyle name="Normal 6 2 3 4 4 2" xfId="7804" xr:uid="{00000000-0005-0000-0000-0000BF470000}"/>
    <cellStyle name="Normal 6 2 3 4 4 2 2" xfId="17664" xr:uid="{00000000-0005-0000-0000-0000C0470000}"/>
    <cellStyle name="Normal 6 2 3 4 4 2 2 2" xfId="37379" xr:uid="{00000000-0005-0000-0000-0000C1470000}"/>
    <cellStyle name="Normal 6 2 3 4 4 2 3" xfId="27522" xr:uid="{00000000-0005-0000-0000-0000C2470000}"/>
    <cellStyle name="Normal 6 2 3 4 4 3" xfId="12736" xr:uid="{00000000-0005-0000-0000-0000C3470000}"/>
    <cellStyle name="Normal 6 2 3 4 4 3 2" xfId="32451" xr:uid="{00000000-0005-0000-0000-0000C4470000}"/>
    <cellStyle name="Normal 6 2 3 4 4 4" xfId="22594" xr:uid="{00000000-0005-0000-0000-0000C5470000}"/>
    <cellStyle name="Normal 6 2 3 4 5" xfId="5340" xr:uid="{00000000-0005-0000-0000-0000C6470000}"/>
    <cellStyle name="Normal 6 2 3 4 5 2" xfId="15200" xr:uid="{00000000-0005-0000-0000-0000C7470000}"/>
    <cellStyle name="Normal 6 2 3 4 5 2 2" xfId="34915" xr:uid="{00000000-0005-0000-0000-0000C8470000}"/>
    <cellStyle name="Normal 6 2 3 4 5 3" xfId="25058" xr:uid="{00000000-0005-0000-0000-0000C9470000}"/>
    <cellStyle name="Normal 6 2 3 4 6" xfId="10272" xr:uid="{00000000-0005-0000-0000-0000CA470000}"/>
    <cellStyle name="Normal 6 2 3 4 6 2" xfId="29987" xr:uid="{00000000-0005-0000-0000-0000CB470000}"/>
    <cellStyle name="Normal 6 2 3 4 7" xfId="20130" xr:uid="{00000000-0005-0000-0000-0000CC470000}"/>
    <cellStyle name="Normal 6 2 3 5" xfId="711" xr:uid="{00000000-0005-0000-0000-0000CD470000}"/>
    <cellStyle name="Normal 6 2 3 5 2" xfId="1947" xr:uid="{00000000-0005-0000-0000-0000CE470000}"/>
    <cellStyle name="Normal 6 2 3 5 2 2" xfId="4414" xr:uid="{00000000-0005-0000-0000-0000CF470000}"/>
    <cellStyle name="Normal 6 2 3 5 2 2 2" xfId="9346" xr:uid="{00000000-0005-0000-0000-0000D0470000}"/>
    <cellStyle name="Normal 6 2 3 5 2 2 2 2" xfId="19206" xr:uid="{00000000-0005-0000-0000-0000D1470000}"/>
    <cellStyle name="Normal 6 2 3 5 2 2 2 2 2" xfId="38921" xr:uid="{00000000-0005-0000-0000-0000D2470000}"/>
    <cellStyle name="Normal 6 2 3 5 2 2 2 3" xfId="29064" xr:uid="{00000000-0005-0000-0000-0000D3470000}"/>
    <cellStyle name="Normal 6 2 3 5 2 2 3" xfId="14278" xr:uid="{00000000-0005-0000-0000-0000D4470000}"/>
    <cellStyle name="Normal 6 2 3 5 2 2 3 2" xfId="33993" xr:uid="{00000000-0005-0000-0000-0000D5470000}"/>
    <cellStyle name="Normal 6 2 3 5 2 2 4" xfId="24136" xr:uid="{00000000-0005-0000-0000-0000D6470000}"/>
    <cellStyle name="Normal 6 2 3 5 2 3" xfId="6882" xr:uid="{00000000-0005-0000-0000-0000D7470000}"/>
    <cellStyle name="Normal 6 2 3 5 2 3 2" xfId="16742" xr:uid="{00000000-0005-0000-0000-0000D8470000}"/>
    <cellStyle name="Normal 6 2 3 5 2 3 2 2" xfId="36457" xr:uid="{00000000-0005-0000-0000-0000D9470000}"/>
    <cellStyle name="Normal 6 2 3 5 2 3 3" xfId="26600" xr:uid="{00000000-0005-0000-0000-0000DA470000}"/>
    <cellStyle name="Normal 6 2 3 5 2 4" xfId="11814" xr:uid="{00000000-0005-0000-0000-0000DB470000}"/>
    <cellStyle name="Normal 6 2 3 5 2 4 2" xfId="31529" xr:uid="{00000000-0005-0000-0000-0000DC470000}"/>
    <cellStyle name="Normal 6 2 3 5 2 5" xfId="21672" xr:uid="{00000000-0005-0000-0000-0000DD470000}"/>
    <cellStyle name="Normal 6 2 3 5 3" xfId="3182" xr:uid="{00000000-0005-0000-0000-0000DE470000}"/>
    <cellStyle name="Normal 6 2 3 5 3 2" xfId="8114" xr:uid="{00000000-0005-0000-0000-0000DF470000}"/>
    <cellStyle name="Normal 6 2 3 5 3 2 2" xfId="17974" xr:uid="{00000000-0005-0000-0000-0000E0470000}"/>
    <cellStyle name="Normal 6 2 3 5 3 2 2 2" xfId="37689" xr:uid="{00000000-0005-0000-0000-0000E1470000}"/>
    <cellStyle name="Normal 6 2 3 5 3 2 3" xfId="27832" xr:uid="{00000000-0005-0000-0000-0000E2470000}"/>
    <cellStyle name="Normal 6 2 3 5 3 3" xfId="13046" xr:uid="{00000000-0005-0000-0000-0000E3470000}"/>
    <cellStyle name="Normal 6 2 3 5 3 3 2" xfId="32761" xr:uid="{00000000-0005-0000-0000-0000E4470000}"/>
    <cellStyle name="Normal 6 2 3 5 3 4" xfId="22904" xr:uid="{00000000-0005-0000-0000-0000E5470000}"/>
    <cellStyle name="Normal 6 2 3 5 4" xfId="5650" xr:uid="{00000000-0005-0000-0000-0000E6470000}"/>
    <cellStyle name="Normal 6 2 3 5 4 2" xfId="15510" xr:uid="{00000000-0005-0000-0000-0000E7470000}"/>
    <cellStyle name="Normal 6 2 3 5 4 2 2" xfId="35225" xr:uid="{00000000-0005-0000-0000-0000E8470000}"/>
    <cellStyle name="Normal 6 2 3 5 4 3" xfId="25368" xr:uid="{00000000-0005-0000-0000-0000E9470000}"/>
    <cellStyle name="Normal 6 2 3 5 5" xfId="10582" xr:uid="{00000000-0005-0000-0000-0000EA470000}"/>
    <cellStyle name="Normal 6 2 3 5 5 2" xfId="30297" xr:uid="{00000000-0005-0000-0000-0000EB470000}"/>
    <cellStyle name="Normal 6 2 3 5 6" xfId="20440" xr:uid="{00000000-0005-0000-0000-0000EC470000}"/>
    <cellStyle name="Normal 6 2 3 6" xfId="1331" xr:uid="{00000000-0005-0000-0000-0000ED470000}"/>
    <cellStyle name="Normal 6 2 3 6 2" xfId="3798" xr:uid="{00000000-0005-0000-0000-0000EE470000}"/>
    <cellStyle name="Normal 6 2 3 6 2 2" xfId="8730" xr:uid="{00000000-0005-0000-0000-0000EF470000}"/>
    <cellStyle name="Normal 6 2 3 6 2 2 2" xfId="18590" xr:uid="{00000000-0005-0000-0000-0000F0470000}"/>
    <cellStyle name="Normal 6 2 3 6 2 2 2 2" xfId="38305" xr:uid="{00000000-0005-0000-0000-0000F1470000}"/>
    <cellStyle name="Normal 6 2 3 6 2 2 3" xfId="28448" xr:uid="{00000000-0005-0000-0000-0000F2470000}"/>
    <cellStyle name="Normal 6 2 3 6 2 3" xfId="13662" xr:uid="{00000000-0005-0000-0000-0000F3470000}"/>
    <cellStyle name="Normal 6 2 3 6 2 3 2" xfId="33377" xr:uid="{00000000-0005-0000-0000-0000F4470000}"/>
    <cellStyle name="Normal 6 2 3 6 2 4" xfId="23520" xr:uid="{00000000-0005-0000-0000-0000F5470000}"/>
    <cellStyle name="Normal 6 2 3 6 3" xfId="6266" xr:uid="{00000000-0005-0000-0000-0000F6470000}"/>
    <cellStyle name="Normal 6 2 3 6 3 2" xfId="16126" xr:uid="{00000000-0005-0000-0000-0000F7470000}"/>
    <cellStyle name="Normal 6 2 3 6 3 2 2" xfId="35841" xr:uid="{00000000-0005-0000-0000-0000F8470000}"/>
    <cellStyle name="Normal 6 2 3 6 3 3" xfId="25984" xr:uid="{00000000-0005-0000-0000-0000F9470000}"/>
    <cellStyle name="Normal 6 2 3 6 4" xfId="11198" xr:uid="{00000000-0005-0000-0000-0000FA470000}"/>
    <cellStyle name="Normal 6 2 3 6 4 2" xfId="30913" xr:uid="{00000000-0005-0000-0000-0000FB470000}"/>
    <cellStyle name="Normal 6 2 3 6 5" xfId="21056" xr:uid="{00000000-0005-0000-0000-0000FC470000}"/>
    <cellStyle name="Normal 6 2 3 7" xfId="2566" xr:uid="{00000000-0005-0000-0000-0000FD470000}"/>
    <cellStyle name="Normal 6 2 3 7 2" xfId="7498" xr:uid="{00000000-0005-0000-0000-0000FE470000}"/>
    <cellStyle name="Normal 6 2 3 7 2 2" xfId="17358" xr:uid="{00000000-0005-0000-0000-0000FF470000}"/>
    <cellStyle name="Normal 6 2 3 7 2 2 2" xfId="37073" xr:uid="{00000000-0005-0000-0000-000000480000}"/>
    <cellStyle name="Normal 6 2 3 7 2 3" xfId="27216" xr:uid="{00000000-0005-0000-0000-000001480000}"/>
    <cellStyle name="Normal 6 2 3 7 3" xfId="12430" xr:uid="{00000000-0005-0000-0000-000002480000}"/>
    <cellStyle name="Normal 6 2 3 7 3 2" xfId="32145" xr:uid="{00000000-0005-0000-0000-000003480000}"/>
    <cellStyle name="Normal 6 2 3 7 4" xfId="22288" xr:uid="{00000000-0005-0000-0000-000004480000}"/>
    <cellStyle name="Normal 6 2 3 8" xfId="5034" xr:uid="{00000000-0005-0000-0000-000005480000}"/>
    <cellStyle name="Normal 6 2 3 8 2" xfId="14894" xr:uid="{00000000-0005-0000-0000-000006480000}"/>
    <cellStyle name="Normal 6 2 3 8 2 2" xfId="34609" xr:uid="{00000000-0005-0000-0000-000007480000}"/>
    <cellStyle name="Normal 6 2 3 8 3" xfId="24752" xr:uid="{00000000-0005-0000-0000-000008480000}"/>
    <cellStyle name="Normal 6 2 3 9" xfId="9966" xr:uid="{00000000-0005-0000-0000-000009480000}"/>
    <cellStyle name="Normal 6 2 3 9 2" xfId="29681" xr:uid="{00000000-0005-0000-0000-00000A480000}"/>
    <cellStyle name="Normal 6 2 4" xfId="117" xr:uid="{00000000-0005-0000-0000-00000B480000}"/>
    <cellStyle name="Normal 6 2 4 2" xfId="274" xr:uid="{00000000-0005-0000-0000-00000C480000}"/>
    <cellStyle name="Normal 6 2 4 2 2" xfId="588" xr:uid="{00000000-0005-0000-0000-00000D480000}"/>
    <cellStyle name="Normal 6 2 4 2 2 2" xfId="1208" xr:uid="{00000000-0005-0000-0000-00000E480000}"/>
    <cellStyle name="Normal 6 2 4 2 2 2 2" xfId="2443" xr:uid="{00000000-0005-0000-0000-00000F480000}"/>
    <cellStyle name="Normal 6 2 4 2 2 2 2 2" xfId="4910" xr:uid="{00000000-0005-0000-0000-000010480000}"/>
    <cellStyle name="Normal 6 2 4 2 2 2 2 2 2" xfId="9842" xr:uid="{00000000-0005-0000-0000-000011480000}"/>
    <cellStyle name="Normal 6 2 4 2 2 2 2 2 2 2" xfId="19702" xr:uid="{00000000-0005-0000-0000-000012480000}"/>
    <cellStyle name="Normal 6 2 4 2 2 2 2 2 2 2 2" xfId="39417" xr:uid="{00000000-0005-0000-0000-000013480000}"/>
    <cellStyle name="Normal 6 2 4 2 2 2 2 2 2 3" xfId="29560" xr:uid="{00000000-0005-0000-0000-000014480000}"/>
    <cellStyle name="Normal 6 2 4 2 2 2 2 2 3" xfId="14774" xr:uid="{00000000-0005-0000-0000-000015480000}"/>
    <cellStyle name="Normal 6 2 4 2 2 2 2 2 3 2" xfId="34489" xr:uid="{00000000-0005-0000-0000-000016480000}"/>
    <cellStyle name="Normal 6 2 4 2 2 2 2 2 4" xfId="24632" xr:uid="{00000000-0005-0000-0000-000017480000}"/>
    <cellStyle name="Normal 6 2 4 2 2 2 2 3" xfId="7378" xr:uid="{00000000-0005-0000-0000-000018480000}"/>
    <cellStyle name="Normal 6 2 4 2 2 2 2 3 2" xfId="17238" xr:uid="{00000000-0005-0000-0000-000019480000}"/>
    <cellStyle name="Normal 6 2 4 2 2 2 2 3 2 2" xfId="36953" xr:uid="{00000000-0005-0000-0000-00001A480000}"/>
    <cellStyle name="Normal 6 2 4 2 2 2 2 3 3" xfId="27096" xr:uid="{00000000-0005-0000-0000-00001B480000}"/>
    <cellStyle name="Normal 6 2 4 2 2 2 2 4" xfId="12310" xr:uid="{00000000-0005-0000-0000-00001C480000}"/>
    <cellStyle name="Normal 6 2 4 2 2 2 2 4 2" xfId="32025" xr:uid="{00000000-0005-0000-0000-00001D480000}"/>
    <cellStyle name="Normal 6 2 4 2 2 2 2 5" xfId="22168" xr:uid="{00000000-0005-0000-0000-00001E480000}"/>
    <cellStyle name="Normal 6 2 4 2 2 2 3" xfId="3678" xr:uid="{00000000-0005-0000-0000-00001F480000}"/>
    <cellStyle name="Normal 6 2 4 2 2 2 3 2" xfId="8610" xr:uid="{00000000-0005-0000-0000-000020480000}"/>
    <cellStyle name="Normal 6 2 4 2 2 2 3 2 2" xfId="18470" xr:uid="{00000000-0005-0000-0000-000021480000}"/>
    <cellStyle name="Normal 6 2 4 2 2 2 3 2 2 2" xfId="38185" xr:uid="{00000000-0005-0000-0000-000022480000}"/>
    <cellStyle name="Normal 6 2 4 2 2 2 3 2 3" xfId="28328" xr:uid="{00000000-0005-0000-0000-000023480000}"/>
    <cellStyle name="Normal 6 2 4 2 2 2 3 3" xfId="13542" xr:uid="{00000000-0005-0000-0000-000024480000}"/>
    <cellStyle name="Normal 6 2 4 2 2 2 3 3 2" xfId="33257" xr:uid="{00000000-0005-0000-0000-000025480000}"/>
    <cellStyle name="Normal 6 2 4 2 2 2 3 4" xfId="23400" xr:uid="{00000000-0005-0000-0000-000026480000}"/>
    <cellStyle name="Normal 6 2 4 2 2 2 4" xfId="6146" xr:uid="{00000000-0005-0000-0000-000027480000}"/>
    <cellStyle name="Normal 6 2 4 2 2 2 4 2" xfId="16006" xr:uid="{00000000-0005-0000-0000-000028480000}"/>
    <cellStyle name="Normal 6 2 4 2 2 2 4 2 2" xfId="35721" xr:uid="{00000000-0005-0000-0000-000029480000}"/>
    <cellStyle name="Normal 6 2 4 2 2 2 4 3" xfId="25864" xr:uid="{00000000-0005-0000-0000-00002A480000}"/>
    <cellStyle name="Normal 6 2 4 2 2 2 5" xfId="11078" xr:uid="{00000000-0005-0000-0000-00002B480000}"/>
    <cellStyle name="Normal 6 2 4 2 2 2 5 2" xfId="30793" xr:uid="{00000000-0005-0000-0000-00002C480000}"/>
    <cellStyle name="Normal 6 2 4 2 2 2 6" xfId="20936" xr:uid="{00000000-0005-0000-0000-00002D480000}"/>
    <cellStyle name="Normal 6 2 4 2 2 3" xfId="1827" xr:uid="{00000000-0005-0000-0000-00002E480000}"/>
    <cellStyle name="Normal 6 2 4 2 2 3 2" xfId="4294" xr:uid="{00000000-0005-0000-0000-00002F480000}"/>
    <cellStyle name="Normal 6 2 4 2 2 3 2 2" xfId="9226" xr:uid="{00000000-0005-0000-0000-000030480000}"/>
    <cellStyle name="Normal 6 2 4 2 2 3 2 2 2" xfId="19086" xr:uid="{00000000-0005-0000-0000-000031480000}"/>
    <cellStyle name="Normal 6 2 4 2 2 3 2 2 2 2" xfId="38801" xr:uid="{00000000-0005-0000-0000-000032480000}"/>
    <cellStyle name="Normal 6 2 4 2 2 3 2 2 3" xfId="28944" xr:uid="{00000000-0005-0000-0000-000033480000}"/>
    <cellStyle name="Normal 6 2 4 2 2 3 2 3" xfId="14158" xr:uid="{00000000-0005-0000-0000-000034480000}"/>
    <cellStyle name="Normal 6 2 4 2 2 3 2 3 2" xfId="33873" xr:uid="{00000000-0005-0000-0000-000035480000}"/>
    <cellStyle name="Normal 6 2 4 2 2 3 2 4" xfId="24016" xr:uid="{00000000-0005-0000-0000-000036480000}"/>
    <cellStyle name="Normal 6 2 4 2 2 3 3" xfId="6762" xr:uid="{00000000-0005-0000-0000-000037480000}"/>
    <cellStyle name="Normal 6 2 4 2 2 3 3 2" xfId="16622" xr:uid="{00000000-0005-0000-0000-000038480000}"/>
    <cellStyle name="Normal 6 2 4 2 2 3 3 2 2" xfId="36337" xr:uid="{00000000-0005-0000-0000-000039480000}"/>
    <cellStyle name="Normal 6 2 4 2 2 3 3 3" xfId="26480" xr:uid="{00000000-0005-0000-0000-00003A480000}"/>
    <cellStyle name="Normal 6 2 4 2 2 3 4" xfId="11694" xr:uid="{00000000-0005-0000-0000-00003B480000}"/>
    <cellStyle name="Normal 6 2 4 2 2 3 4 2" xfId="31409" xr:uid="{00000000-0005-0000-0000-00003C480000}"/>
    <cellStyle name="Normal 6 2 4 2 2 3 5" xfId="21552" xr:uid="{00000000-0005-0000-0000-00003D480000}"/>
    <cellStyle name="Normal 6 2 4 2 2 4" xfId="3062" xr:uid="{00000000-0005-0000-0000-00003E480000}"/>
    <cellStyle name="Normal 6 2 4 2 2 4 2" xfId="7994" xr:uid="{00000000-0005-0000-0000-00003F480000}"/>
    <cellStyle name="Normal 6 2 4 2 2 4 2 2" xfId="17854" xr:uid="{00000000-0005-0000-0000-000040480000}"/>
    <cellStyle name="Normal 6 2 4 2 2 4 2 2 2" xfId="37569" xr:uid="{00000000-0005-0000-0000-000041480000}"/>
    <cellStyle name="Normal 6 2 4 2 2 4 2 3" xfId="27712" xr:uid="{00000000-0005-0000-0000-000042480000}"/>
    <cellStyle name="Normal 6 2 4 2 2 4 3" xfId="12926" xr:uid="{00000000-0005-0000-0000-000043480000}"/>
    <cellStyle name="Normal 6 2 4 2 2 4 3 2" xfId="32641" xr:uid="{00000000-0005-0000-0000-000044480000}"/>
    <cellStyle name="Normal 6 2 4 2 2 4 4" xfId="22784" xr:uid="{00000000-0005-0000-0000-000045480000}"/>
    <cellStyle name="Normal 6 2 4 2 2 5" xfId="5530" xr:uid="{00000000-0005-0000-0000-000046480000}"/>
    <cellStyle name="Normal 6 2 4 2 2 5 2" xfId="15390" xr:uid="{00000000-0005-0000-0000-000047480000}"/>
    <cellStyle name="Normal 6 2 4 2 2 5 2 2" xfId="35105" xr:uid="{00000000-0005-0000-0000-000048480000}"/>
    <cellStyle name="Normal 6 2 4 2 2 5 3" xfId="25248" xr:uid="{00000000-0005-0000-0000-000049480000}"/>
    <cellStyle name="Normal 6 2 4 2 2 6" xfId="10462" xr:uid="{00000000-0005-0000-0000-00004A480000}"/>
    <cellStyle name="Normal 6 2 4 2 2 6 2" xfId="30177" xr:uid="{00000000-0005-0000-0000-00004B480000}"/>
    <cellStyle name="Normal 6 2 4 2 2 7" xfId="20320" xr:uid="{00000000-0005-0000-0000-00004C480000}"/>
    <cellStyle name="Normal 6 2 4 2 3" xfId="901" xr:uid="{00000000-0005-0000-0000-00004D480000}"/>
    <cellStyle name="Normal 6 2 4 2 3 2" xfId="2137" xr:uid="{00000000-0005-0000-0000-00004E480000}"/>
    <cellStyle name="Normal 6 2 4 2 3 2 2" xfId="4604" xr:uid="{00000000-0005-0000-0000-00004F480000}"/>
    <cellStyle name="Normal 6 2 4 2 3 2 2 2" xfId="9536" xr:uid="{00000000-0005-0000-0000-000050480000}"/>
    <cellStyle name="Normal 6 2 4 2 3 2 2 2 2" xfId="19396" xr:uid="{00000000-0005-0000-0000-000051480000}"/>
    <cellStyle name="Normal 6 2 4 2 3 2 2 2 2 2" xfId="39111" xr:uid="{00000000-0005-0000-0000-000052480000}"/>
    <cellStyle name="Normal 6 2 4 2 3 2 2 2 3" xfId="29254" xr:uid="{00000000-0005-0000-0000-000053480000}"/>
    <cellStyle name="Normal 6 2 4 2 3 2 2 3" xfId="14468" xr:uid="{00000000-0005-0000-0000-000054480000}"/>
    <cellStyle name="Normal 6 2 4 2 3 2 2 3 2" xfId="34183" xr:uid="{00000000-0005-0000-0000-000055480000}"/>
    <cellStyle name="Normal 6 2 4 2 3 2 2 4" xfId="24326" xr:uid="{00000000-0005-0000-0000-000056480000}"/>
    <cellStyle name="Normal 6 2 4 2 3 2 3" xfId="7072" xr:uid="{00000000-0005-0000-0000-000057480000}"/>
    <cellStyle name="Normal 6 2 4 2 3 2 3 2" xfId="16932" xr:uid="{00000000-0005-0000-0000-000058480000}"/>
    <cellStyle name="Normal 6 2 4 2 3 2 3 2 2" xfId="36647" xr:uid="{00000000-0005-0000-0000-000059480000}"/>
    <cellStyle name="Normal 6 2 4 2 3 2 3 3" xfId="26790" xr:uid="{00000000-0005-0000-0000-00005A480000}"/>
    <cellStyle name="Normal 6 2 4 2 3 2 4" xfId="12004" xr:uid="{00000000-0005-0000-0000-00005B480000}"/>
    <cellStyle name="Normal 6 2 4 2 3 2 4 2" xfId="31719" xr:uid="{00000000-0005-0000-0000-00005C480000}"/>
    <cellStyle name="Normal 6 2 4 2 3 2 5" xfId="21862" xr:uid="{00000000-0005-0000-0000-00005D480000}"/>
    <cellStyle name="Normal 6 2 4 2 3 3" xfId="3372" xr:uid="{00000000-0005-0000-0000-00005E480000}"/>
    <cellStyle name="Normal 6 2 4 2 3 3 2" xfId="8304" xr:uid="{00000000-0005-0000-0000-00005F480000}"/>
    <cellStyle name="Normal 6 2 4 2 3 3 2 2" xfId="18164" xr:uid="{00000000-0005-0000-0000-000060480000}"/>
    <cellStyle name="Normal 6 2 4 2 3 3 2 2 2" xfId="37879" xr:uid="{00000000-0005-0000-0000-000061480000}"/>
    <cellStyle name="Normal 6 2 4 2 3 3 2 3" xfId="28022" xr:uid="{00000000-0005-0000-0000-000062480000}"/>
    <cellStyle name="Normal 6 2 4 2 3 3 3" xfId="13236" xr:uid="{00000000-0005-0000-0000-000063480000}"/>
    <cellStyle name="Normal 6 2 4 2 3 3 3 2" xfId="32951" xr:uid="{00000000-0005-0000-0000-000064480000}"/>
    <cellStyle name="Normal 6 2 4 2 3 3 4" xfId="23094" xr:uid="{00000000-0005-0000-0000-000065480000}"/>
    <cellStyle name="Normal 6 2 4 2 3 4" xfId="5840" xr:uid="{00000000-0005-0000-0000-000066480000}"/>
    <cellStyle name="Normal 6 2 4 2 3 4 2" xfId="15700" xr:uid="{00000000-0005-0000-0000-000067480000}"/>
    <cellStyle name="Normal 6 2 4 2 3 4 2 2" xfId="35415" xr:uid="{00000000-0005-0000-0000-000068480000}"/>
    <cellStyle name="Normal 6 2 4 2 3 4 3" xfId="25558" xr:uid="{00000000-0005-0000-0000-000069480000}"/>
    <cellStyle name="Normal 6 2 4 2 3 5" xfId="10772" xr:uid="{00000000-0005-0000-0000-00006A480000}"/>
    <cellStyle name="Normal 6 2 4 2 3 5 2" xfId="30487" xr:uid="{00000000-0005-0000-0000-00006B480000}"/>
    <cellStyle name="Normal 6 2 4 2 3 6" xfId="20630" xr:uid="{00000000-0005-0000-0000-00006C480000}"/>
    <cellStyle name="Normal 6 2 4 2 4" xfId="1521" xr:uid="{00000000-0005-0000-0000-00006D480000}"/>
    <cellStyle name="Normal 6 2 4 2 4 2" xfId="3988" xr:uid="{00000000-0005-0000-0000-00006E480000}"/>
    <cellStyle name="Normal 6 2 4 2 4 2 2" xfId="8920" xr:uid="{00000000-0005-0000-0000-00006F480000}"/>
    <cellStyle name="Normal 6 2 4 2 4 2 2 2" xfId="18780" xr:uid="{00000000-0005-0000-0000-000070480000}"/>
    <cellStyle name="Normal 6 2 4 2 4 2 2 2 2" xfId="38495" xr:uid="{00000000-0005-0000-0000-000071480000}"/>
    <cellStyle name="Normal 6 2 4 2 4 2 2 3" xfId="28638" xr:uid="{00000000-0005-0000-0000-000072480000}"/>
    <cellStyle name="Normal 6 2 4 2 4 2 3" xfId="13852" xr:uid="{00000000-0005-0000-0000-000073480000}"/>
    <cellStyle name="Normal 6 2 4 2 4 2 3 2" xfId="33567" xr:uid="{00000000-0005-0000-0000-000074480000}"/>
    <cellStyle name="Normal 6 2 4 2 4 2 4" xfId="23710" xr:uid="{00000000-0005-0000-0000-000075480000}"/>
    <cellStyle name="Normal 6 2 4 2 4 3" xfId="6456" xr:uid="{00000000-0005-0000-0000-000076480000}"/>
    <cellStyle name="Normal 6 2 4 2 4 3 2" xfId="16316" xr:uid="{00000000-0005-0000-0000-000077480000}"/>
    <cellStyle name="Normal 6 2 4 2 4 3 2 2" xfId="36031" xr:uid="{00000000-0005-0000-0000-000078480000}"/>
    <cellStyle name="Normal 6 2 4 2 4 3 3" xfId="26174" xr:uid="{00000000-0005-0000-0000-000079480000}"/>
    <cellStyle name="Normal 6 2 4 2 4 4" xfId="11388" xr:uid="{00000000-0005-0000-0000-00007A480000}"/>
    <cellStyle name="Normal 6 2 4 2 4 4 2" xfId="31103" xr:uid="{00000000-0005-0000-0000-00007B480000}"/>
    <cellStyle name="Normal 6 2 4 2 4 5" xfId="21246" xr:uid="{00000000-0005-0000-0000-00007C480000}"/>
    <cellStyle name="Normal 6 2 4 2 5" xfId="2756" xr:uid="{00000000-0005-0000-0000-00007D480000}"/>
    <cellStyle name="Normal 6 2 4 2 5 2" xfId="7688" xr:uid="{00000000-0005-0000-0000-00007E480000}"/>
    <cellStyle name="Normal 6 2 4 2 5 2 2" xfId="17548" xr:uid="{00000000-0005-0000-0000-00007F480000}"/>
    <cellStyle name="Normal 6 2 4 2 5 2 2 2" xfId="37263" xr:uid="{00000000-0005-0000-0000-000080480000}"/>
    <cellStyle name="Normal 6 2 4 2 5 2 3" xfId="27406" xr:uid="{00000000-0005-0000-0000-000081480000}"/>
    <cellStyle name="Normal 6 2 4 2 5 3" xfId="12620" xr:uid="{00000000-0005-0000-0000-000082480000}"/>
    <cellStyle name="Normal 6 2 4 2 5 3 2" xfId="32335" xr:uid="{00000000-0005-0000-0000-000083480000}"/>
    <cellStyle name="Normal 6 2 4 2 5 4" xfId="22478" xr:uid="{00000000-0005-0000-0000-000084480000}"/>
    <cellStyle name="Normal 6 2 4 2 6" xfId="5224" xr:uid="{00000000-0005-0000-0000-000085480000}"/>
    <cellStyle name="Normal 6 2 4 2 6 2" xfId="15084" xr:uid="{00000000-0005-0000-0000-000086480000}"/>
    <cellStyle name="Normal 6 2 4 2 6 2 2" xfId="34799" xr:uid="{00000000-0005-0000-0000-000087480000}"/>
    <cellStyle name="Normal 6 2 4 2 6 3" xfId="24942" xr:uid="{00000000-0005-0000-0000-000088480000}"/>
    <cellStyle name="Normal 6 2 4 2 7" xfId="10156" xr:uid="{00000000-0005-0000-0000-000089480000}"/>
    <cellStyle name="Normal 6 2 4 2 7 2" xfId="29871" xr:uid="{00000000-0005-0000-0000-00008A480000}"/>
    <cellStyle name="Normal 6 2 4 2 8" xfId="20014" xr:uid="{00000000-0005-0000-0000-00008B480000}"/>
    <cellStyle name="Normal 6 2 4 3" xfId="436" xr:uid="{00000000-0005-0000-0000-00008C480000}"/>
    <cellStyle name="Normal 6 2 4 3 2" xfId="1056" xr:uid="{00000000-0005-0000-0000-00008D480000}"/>
    <cellStyle name="Normal 6 2 4 3 2 2" xfId="2291" xr:uid="{00000000-0005-0000-0000-00008E480000}"/>
    <cellStyle name="Normal 6 2 4 3 2 2 2" xfId="4758" xr:uid="{00000000-0005-0000-0000-00008F480000}"/>
    <cellStyle name="Normal 6 2 4 3 2 2 2 2" xfId="9690" xr:uid="{00000000-0005-0000-0000-000090480000}"/>
    <cellStyle name="Normal 6 2 4 3 2 2 2 2 2" xfId="19550" xr:uid="{00000000-0005-0000-0000-000091480000}"/>
    <cellStyle name="Normal 6 2 4 3 2 2 2 2 2 2" xfId="39265" xr:uid="{00000000-0005-0000-0000-000092480000}"/>
    <cellStyle name="Normal 6 2 4 3 2 2 2 2 3" xfId="29408" xr:uid="{00000000-0005-0000-0000-000093480000}"/>
    <cellStyle name="Normal 6 2 4 3 2 2 2 3" xfId="14622" xr:uid="{00000000-0005-0000-0000-000094480000}"/>
    <cellStyle name="Normal 6 2 4 3 2 2 2 3 2" xfId="34337" xr:uid="{00000000-0005-0000-0000-000095480000}"/>
    <cellStyle name="Normal 6 2 4 3 2 2 2 4" xfId="24480" xr:uid="{00000000-0005-0000-0000-000096480000}"/>
    <cellStyle name="Normal 6 2 4 3 2 2 3" xfId="7226" xr:uid="{00000000-0005-0000-0000-000097480000}"/>
    <cellStyle name="Normal 6 2 4 3 2 2 3 2" xfId="17086" xr:uid="{00000000-0005-0000-0000-000098480000}"/>
    <cellStyle name="Normal 6 2 4 3 2 2 3 2 2" xfId="36801" xr:uid="{00000000-0005-0000-0000-000099480000}"/>
    <cellStyle name="Normal 6 2 4 3 2 2 3 3" xfId="26944" xr:uid="{00000000-0005-0000-0000-00009A480000}"/>
    <cellStyle name="Normal 6 2 4 3 2 2 4" xfId="12158" xr:uid="{00000000-0005-0000-0000-00009B480000}"/>
    <cellStyle name="Normal 6 2 4 3 2 2 4 2" xfId="31873" xr:uid="{00000000-0005-0000-0000-00009C480000}"/>
    <cellStyle name="Normal 6 2 4 3 2 2 5" xfId="22016" xr:uid="{00000000-0005-0000-0000-00009D480000}"/>
    <cellStyle name="Normal 6 2 4 3 2 3" xfId="3526" xr:uid="{00000000-0005-0000-0000-00009E480000}"/>
    <cellStyle name="Normal 6 2 4 3 2 3 2" xfId="8458" xr:uid="{00000000-0005-0000-0000-00009F480000}"/>
    <cellStyle name="Normal 6 2 4 3 2 3 2 2" xfId="18318" xr:uid="{00000000-0005-0000-0000-0000A0480000}"/>
    <cellStyle name="Normal 6 2 4 3 2 3 2 2 2" xfId="38033" xr:uid="{00000000-0005-0000-0000-0000A1480000}"/>
    <cellStyle name="Normal 6 2 4 3 2 3 2 3" xfId="28176" xr:uid="{00000000-0005-0000-0000-0000A2480000}"/>
    <cellStyle name="Normal 6 2 4 3 2 3 3" xfId="13390" xr:uid="{00000000-0005-0000-0000-0000A3480000}"/>
    <cellStyle name="Normal 6 2 4 3 2 3 3 2" xfId="33105" xr:uid="{00000000-0005-0000-0000-0000A4480000}"/>
    <cellStyle name="Normal 6 2 4 3 2 3 4" xfId="23248" xr:uid="{00000000-0005-0000-0000-0000A5480000}"/>
    <cellStyle name="Normal 6 2 4 3 2 4" xfId="5994" xr:uid="{00000000-0005-0000-0000-0000A6480000}"/>
    <cellStyle name="Normal 6 2 4 3 2 4 2" xfId="15854" xr:uid="{00000000-0005-0000-0000-0000A7480000}"/>
    <cellStyle name="Normal 6 2 4 3 2 4 2 2" xfId="35569" xr:uid="{00000000-0005-0000-0000-0000A8480000}"/>
    <cellStyle name="Normal 6 2 4 3 2 4 3" xfId="25712" xr:uid="{00000000-0005-0000-0000-0000A9480000}"/>
    <cellStyle name="Normal 6 2 4 3 2 5" xfId="10926" xr:uid="{00000000-0005-0000-0000-0000AA480000}"/>
    <cellStyle name="Normal 6 2 4 3 2 5 2" xfId="30641" xr:uid="{00000000-0005-0000-0000-0000AB480000}"/>
    <cellStyle name="Normal 6 2 4 3 2 6" xfId="20784" xr:uid="{00000000-0005-0000-0000-0000AC480000}"/>
    <cellStyle name="Normal 6 2 4 3 3" xfId="1675" xr:uid="{00000000-0005-0000-0000-0000AD480000}"/>
    <cellStyle name="Normal 6 2 4 3 3 2" xfId="4142" xr:uid="{00000000-0005-0000-0000-0000AE480000}"/>
    <cellStyle name="Normal 6 2 4 3 3 2 2" xfId="9074" xr:uid="{00000000-0005-0000-0000-0000AF480000}"/>
    <cellStyle name="Normal 6 2 4 3 3 2 2 2" xfId="18934" xr:uid="{00000000-0005-0000-0000-0000B0480000}"/>
    <cellStyle name="Normal 6 2 4 3 3 2 2 2 2" xfId="38649" xr:uid="{00000000-0005-0000-0000-0000B1480000}"/>
    <cellStyle name="Normal 6 2 4 3 3 2 2 3" xfId="28792" xr:uid="{00000000-0005-0000-0000-0000B2480000}"/>
    <cellStyle name="Normal 6 2 4 3 3 2 3" xfId="14006" xr:uid="{00000000-0005-0000-0000-0000B3480000}"/>
    <cellStyle name="Normal 6 2 4 3 3 2 3 2" xfId="33721" xr:uid="{00000000-0005-0000-0000-0000B4480000}"/>
    <cellStyle name="Normal 6 2 4 3 3 2 4" xfId="23864" xr:uid="{00000000-0005-0000-0000-0000B5480000}"/>
    <cellStyle name="Normal 6 2 4 3 3 3" xfId="6610" xr:uid="{00000000-0005-0000-0000-0000B6480000}"/>
    <cellStyle name="Normal 6 2 4 3 3 3 2" xfId="16470" xr:uid="{00000000-0005-0000-0000-0000B7480000}"/>
    <cellStyle name="Normal 6 2 4 3 3 3 2 2" xfId="36185" xr:uid="{00000000-0005-0000-0000-0000B8480000}"/>
    <cellStyle name="Normal 6 2 4 3 3 3 3" xfId="26328" xr:uid="{00000000-0005-0000-0000-0000B9480000}"/>
    <cellStyle name="Normal 6 2 4 3 3 4" xfId="11542" xr:uid="{00000000-0005-0000-0000-0000BA480000}"/>
    <cellStyle name="Normal 6 2 4 3 3 4 2" xfId="31257" xr:uid="{00000000-0005-0000-0000-0000BB480000}"/>
    <cellStyle name="Normal 6 2 4 3 3 5" xfId="21400" xr:uid="{00000000-0005-0000-0000-0000BC480000}"/>
    <cellStyle name="Normal 6 2 4 3 4" xfId="2910" xr:uid="{00000000-0005-0000-0000-0000BD480000}"/>
    <cellStyle name="Normal 6 2 4 3 4 2" xfId="7842" xr:uid="{00000000-0005-0000-0000-0000BE480000}"/>
    <cellStyle name="Normal 6 2 4 3 4 2 2" xfId="17702" xr:uid="{00000000-0005-0000-0000-0000BF480000}"/>
    <cellStyle name="Normal 6 2 4 3 4 2 2 2" xfId="37417" xr:uid="{00000000-0005-0000-0000-0000C0480000}"/>
    <cellStyle name="Normal 6 2 4 3 4 2 3" xfId="27560" xr:uid="{00000000-0005-0000-0000-0000C1480000}"/>
    <cellStyle name="Normal 6 2 4 3 4 3" xfId="12774" xr:uid="{00000000-0005-0000-0000-0000C2480000}"/>
    <cellStyle name="Normal 6 2 4 3 4 3 2" xfId="32489" xr:uid="{00000000-0005-0000-0000-0000C3480000}"/>
    <cellStyle name="Normal 6 2 4 3 4 4" xfId="22632" xr:uid="{00000000-0005-0000-0000-0000C4480000}"/>
    <cellStyle name="Normal 6 2 4 3 5" xfId="5378" xr:uid="{00000000-0005-0000-0000-0000C5480000}"/>
    <cellStyle name="Normal 6 2 4 3 5 2" xfId="15238" xr:uid="{00000000-0005-0000-0000-0000C6480000}"/>
    <cellStyle name="Normal 6 2 4 3 5 2 2" xfId="34953" xr:uid="{00000000-0005-0000-0000-0000C7480000}"/>
    <cellStyle name="Normal 6 2 4 3 5 3" xfId="25096" xr:uid="{00000000-0005-0000-0000-0000C8480000}"/>
    <cellStyle name="Normal 6 2 4 3 6" xfId="10310" xr:uid="{00000000-0005-0000-0000-0000C9480000}"/>
    <cellStyle name="Normal 6 2 4 3 6 2" xfId="30025" xr:uid="{00000000-0005-0000-0000-0000CA480000}"/>
    <cellStyle name="Normal 6 2 4 3 7" xfId="20168" xr:uid="{00000000-0005-0000-0000-0000CB480000}"/>
    <cellStyle name="Normal 6 2 4 4" xfId="749" xr:uid="{00000000-0005-0000-0000-0000CC480000}"/>
    <cellStyle name="Normal 6 2 4 4 2" xfId="1985" xr:uid="{00000000-0005-0000-0000-0000CD480000}"/>
    <cellStyle name="Normal 6 2 4 4 2 2" xfId="4452" xr:uid="{00000000-0005-0000-0000-0000CE480000}"/>
    <cellStyle name="Normal 6 2 4 4 2 2 2" xfId="9384" xr:uid="{00000000-0005-0000-0000-0000CF480000}"/>
    <cellStyle name="Normal 6 2 4 4 2 2 2 2" xfId="19244" xr:uid="{00000000-0005-0000-0000-0000D0480000}"/>
    <cellStyle name="Normal 6 2 4 4 2 2 2 2 2" xfId="38959" xr:uid="{00000000-0005-0000-0000-0000D1480000}"/>
    <cellStyle name="Normal 6 2 4 4 2 2 2 3" xfId="29102" xr:uid="{00000000-0005-0000-0000-0000D2480000}"/>
    <cellStyle name="Normal 6 2 4 4 2 2 3" xfId="14316" xr:uid="{00000000-0005-0000-0000-0000D3480000}"/>
    <cellStyle name="Normal 6 2 4 4 2 2 3 2" xfId="34031" xr:uid="{00000000-0005-0000-0000-0000D4480000}"/>
    <cellStyle name="Normal 6 2 4 4 2 2 4" xfId="24174" xr:uid="{00000000-0005-0000-0000-0000D5480000}"/>
    <cellStyle name="Normal 6 2 4 4 2 3" xfId="6920" xr:uid="{00000000-0005-0000-0000-0000D6480000}"/>
    <cellStyle name="Normal 6 2 4 4 2 3 2" xfId="16780" xr:uid="{00000000-0005-0000-0000-0000D7480000}"/>
    <cellStyle name="Normal 6 2 4 4 2 3 2 2" xfId="36495" xr:uid="{00000000-0005-0000-0000-0000D8480000}"/>
    <cellStyle name="Normal 6 2 4 4 2 3 3" xfId="26638" xr:uid="{00000000-0005-0000-0000-0000D9480000}"/>
    <cellStyle name="Normal 6 2 4 4 2 4" xfId="11852" xr:uid="{00000000-0005-0000-0000-0000DA480000}"/>
    <cellStyle name="Normal 6 2 4 4 2 4 2" xfId="31567" xr:uid="{00000000-0005-0000-0000-0000DB480000}"/>
    <cellStyle name="Normal 6 2 4 4 2 5" xfId="21710" xr:uid="{00000000-0005-0000-0000-0000DC480000}"/>
    <cellStyle name="Normal 6 2 4 4 3" xfId="3220" xr:uid="{00000000-0005-0000-0000-0000DD480000}"/>
    <cellStyle name="Normal 6 2 4 4 3 2" xfId="8152" xr:uid="{00000000-0005-0000-0000-0000DE480000}"/>
    <cellStyle name="Normal 6 2 4 4 3 2 2" xfId="18012" xr:uid="{00000000-0005-0000-0000-0000DF480000}"/>
    <cellStyle name="Normal 6 2 4 4 3 2 2 2" xfId="37727" xr:uid="{00000000-0005-0000-0000-0000E0480000}"/>
    <cellStyle name="Normal 6 2 4 4 3 2 3" xfId="27870" xr:uid="{00000000-0005-0000-0000-0000E1480000}"/>
    <cellStyle name="Normal 6 2 4 4 3 3" xfId="13084" xr:uid="{00000000-0005-0000-0000-0000E2480000}"/>
    <cellStyle name="Normal 6 2 4 4 3 3 2" xfId="32799" xr:uid="{00000000-0005-0000-0000-0000E3480000}"/>
    <cellStyle name="Normal 6 2 4 4 3 4" xfId="22942" xr:uid="{00000000-0005-0000-0000-0000E4480000}"/>
    <cellStyle name="Normal 6 2 4 4 4" xfId="5688" xr:uid="{00000000-0005-0000-0000-0000E5480000}"/>
    <cellStyle name="Normal 6 2 4 4 4 2" xfId="15548" xr:uid="{00000000-0005-0000-0000-0000E6480000}"/>
    <cellStyle name="Normal 6 2 4 4 4 2 2" xfId="35263" xr:uid="{00000000-0005-0000-0000-0000E7480000}"/>
    <cellStyle name="Normal 6 2 4 4 4 3" xfId="25406" xr:uid="{00000000-0005-0000-0000-0000E8480000}"/>
    <cellStyle name="Normal 6 2 4 4 5" xfId="10620" xr:uid="{00000000-0005-0000-0000-0000E9480000}"/>
    <cellStyle name="Normal 6 2 4 4 5 2" xfId="30335" xr:uid="{00000000-0005-0000-0000-0000EA480000}"/>
    <cellStyle name="Normal 6 2 4 4 6" xfId="20478" xr:uid="{00000000-0005-0000-0000-0000EB480000}"/>
    <cellStyle name="Normal 6 2 4 5" xfId="1369" xr:uid="{00000000-0005-0000-0000-0000EC480000}"/>
    <cellStyle name="Normal 6 2 4 5 2" xfId="3836" xr:uid="{00000000-0005-0000-0000-0000ED480000}"/>
    <cellStyle name="Normal 6 2 4 5 2 2" xfId="8768" xr:uid="{00000000-0005-0000-0000-0000EE480000}"/>
    <cellStyle name="Normal 6 2 4 5 2 2 2" xfId="18628" xr:uid="{00000000-0005-0000-0000-0000EF480000}"/>
    <cellStyle name="Normal 6 2 4 5 2 2 2 2" xfId="38343" xr:uid="{00000000-0005-0000-0000-0000F0480000}"/>
    <cellStyle name="Normal 6 2 4 5 2 2 3" xfId="28486" xr:uid="{00000000-0005-0000-0000-0000F1480000}"/>
    <cellStyle name="Normal 6 2 4 5 2 3" xfId="13700" xr:uid="{00000000-0005-0000-0000-0000F2480000}"/>
    <cellStyle name="Normal 6 2 4 5 2 3 2" xfId="33415" xr:uid="{00000000-0005-0000-0000-0000F3480000}"/>
    <cellStyle name="Normal 6 2 4 5 2 4" xfId="23558" xr:uid="{00000000-0005-0000-0000-0000F4480000}"/>
    <cellStyle name="Normal 6 2 4 5 3" xfId="6304" xr:uid="{00000000-0005-0000-0000-0000F5480000}"/>
    <cellStyle name="Normal 6 2 4 5 3 2" xfId="16164" xr:uid="{00000000-0005-0000-0000-0000F6480000}"/>
    <cellStyle name="Normal 6 2 4 5 3 2 2" xfId="35879" xr:uid="{00000000-0005-0000-0000-0000F7480000}"/>
    <cellStyle name="Normal 6 2 4 5 3 3" xfId="26022" xr:uid="{00000000-0005-0000-0000-0000F8480000}"/>
    <cellStyle name="Normal 6 2 4 5 4" xfId="11236" xr:uid="{00000000-0005-0000-0000-0000F9480000}"/>
    <cellStyle name="Normal 6 2 4 5 4 2" xfId="30951" xr:uid="{00000000-0005-0000-0000-0000FA480000}"/>
    <cellStyle name="Normal 6 2 4 5 5" xfId="21094" xr:uid="{00000000-0005-0000-0000-0000FB480000}"/>
    <cellStyle name="Normal 6 2 4 6" xfId="2604" xr:uid="{00000000-0005-0000-0000-0000FC480000}"/>
    <cellStyle name="Normal 6 2 4 6 2" xfId="7536" xr:uid="{00000000-0005-0000-0000-0000FD480000}"/>
    <cellStyle name="Normal 6 2 4 6 2 2" xfId="17396" xr:uid="{00000000-0005-0000-0000-0000FE480000}"/>
    <cellStyle name="Normal 6 2 4 6 2 2 2" xfId="37111" xr:uid="{00000000-0005-0000-0000-0000FF480000}"/>
    <cellStyle name="Normal 6 2 4 6 2 3" xfId="27254" xr:uid="{00000000-0005-0000-0000-000000490000}"/>
    <cellStyle name="Normal 6 2 4 6 3" xfId="12468" xr:uid="{00000000-0005-0000-0000-000001490000}"/>
    <cellStyle name="Normal 6 2 4 6 3 2" xfId="32183" xr:uid="{00000000-0005-0000-0000-000002490000}"/>
    <cellStyle name="Normal 6 2 4 6 4" xfId="22326" xr:uid="{00000000-0005-0000-0000-000003490000}"/>
    <cellStyle name="Normal 6 2 4 7" xfId="5072" xr:uid="{00000000-0005-0000-0000-000004490000}"/>
    <cellStyle name="Normal 6 2 4 7 2" xfId="14932" xr:uid="{00000000-0005-0000-0000-000005490000}"/>
    <cellStyle name="Normal 6 2 4 7 2 2" xfId="34647" xr:uid="{00000000-0005-0000-0000-000006490000}"/>
    <cellStyle name="Normal 6 2 4 7 3" xfId="24790" xr:uid="{00000000-0005-0000-0000-000007490000}"/>
    <cellStyle name="Normal 6 2 4 8" xfId="10004" xr:uid="{00000000-0005-0000-0000-000008490000}"/>
    <cellStyle name="Normal 6 2 4 8 2" xfId="29719" xr:uid="{00000000-0005-0000-0000-000009490000}"/>
    <cellStyle name="Normal 6 2 4 9" xfId="19862" xr:uid="{00000000-0005-0000-0000-00000A490000}"/>
    <cellStyle name="Normal 6 2 5" xfId="198" xr:uid="{00000000-0005-0000-0000-00000B490000}"/>
    <cellStyle name="Normal 6 2 5 2" xfId="512" xr:uid="{00000000-0005-0000-0000-00000C490000}"/>
    <cellStyle name="Normal 6 2 5 2 2" xfId="1132" xr:uid="{00000000-0005-0000-0000-00000D490000}"/>
    <cellStyle name="Normal 6 2 5 2 2 2" xfId="2367" xr:uid="{00000000-0005-0000-0000-00000E490000}"/>
    <cellStyle name="Normal 6 2 5 2 2 2 2" xfId="4834" xr:uid="{00000000-0005-0000-0000-00000F490000}"/>
    <cellStyle name="Normal 6 2 5 2 2 2 2 2" xfId="9766" xr:uid="{00000000-0005-0000-0000-000010490000}"/>
    <cellStyle name="Normal 6 2 5 2 2 2 2 2 2" xfId="19626" xr:uid="{00000000-0005-0000-0000-000011490000}"/>
    <cellStyle name="Normal 6 2 5 2 2 2 2 2 2 2" xfId="39341" xr:uid="{00000000-0005-0000-0000-000012490000}"/>
    <cellStyle name="Normal 6 2 5 2 2 2 2 2 3" xfId="29484" xr:uid="{00000000-0005-0000-0000-000013490000}"/>
    <cellStyle name="Normal 6 2 5 2 2 2 2 3" xfId="14698" xr:uid="{00000000-0005-0000-0000-000014490000}"/>
    <cellStyle name="Normal 6 2 5 2 2 2 2 3 2" xfId="34413" xr:uid="{00000000-0005-0000-0000-000015490000}"/>
    <cellStyle name="Normal 6 2 5 2 2 2 2 4" xfId="24556" xr:uid="{00000000-0005-0000-0000-000016490000}"/>
    <cellStyle name="Normal 6 2 5 2 2 2 3" xfId="7302" xr:uid="{00000000-0005-0000-0000-000017490000}"/>
    <cellStyle name="Normal 6 2 5 2 2 2 3 2" xfId="17162" xr:uid="{00000000-0005-0000-0000-000018490000}"/>
    <cellStyle name="Normal 6 2 5 2 2 2 3 2 2" xfId="36877" xr:uid="{00000000-0005-0000-0000-000019490000}"/>
    <cellStyle name="Normal 6 2 5 2 2 2 3 3" xfId="27020" xr:uid="{00000000-0005-0000-0000-00001A490000}"/>
    <cellStyle name="Normal 6 2 5 2 2 2 4" xfId="12234" xr:uid="{00000000-0005-0000-0000-00001B490000}"/>
    <cellStyle name="Normal 6 2 5 2 2 2 4 2" xfId="31949" xr:uid="{00000000-0005-0000-0000-00001C490000}"/>
    <cellStyle name="Normal 6 2 5 2 2 2 5" xfId="22092" xr:uid="{00000000-0005-0000-0000-00001D490000}"/>
    <cellStyle name="Normal 6 2 5 2 2 3" xfId="3602" xr:uid="{00000000-0005-0000-0000-00001E490000}"/>
    <cellStyle name="Normal 6 2 5 2 2 3 2" xfId="8534" xr:uid="{00000000-0005-0000-0000-00001F490000}"/>
    <cellStyle name="Normal 6 2 5 2 2 3 2 2" xfId="18394" xr:uid="{00000000-0005-0000-0000-000020490000}"/>
    <cellStyle name="Normal 6 2 5 2 2 3 2 2 2" xfId="38109" xr:uid="{00000000-0005-0000-0000-000021490000}"/>
    <cellStyle name="Normal 6 2 5 2 2 3 2 3" xfId="28252" xr:uid="{00000000-0005-0000-0000-000022490000}"/>
    <cellStyle name="Normal 6 2 5 2 2 3 3" xfId="13466" xr:uid="{00000000-0005-0000-0000-000023490000}"/>
    <cellStyle name="Normal 6 2 5 2 2 3 3 2" xfId="33181" xr:uid="{00000000-0005-0000-0000-000024490000}"/>
    <cellStyle name="Normal 6 2 5 2 2 3 4" xfId="23324" xr:uid="{00000000-0005-0000-0000-000025490000}"/>
    <cellStyle name="Normal 6 2 5 2 2 4" xfId="6070" xr:uid="{00000000-0005-0000-0000-000026490000}"/>
    <cellStyle name="Normal 6 2 5 2 2 4 2" xfId="15930" xr:uid="{00000000-0005-0000-0000-000027490000}"/>
    <cellStyle name="Normal 6 2 5 2 2 4 2 2" xfId="35645" xr:uid="{00000000-0005-0000-0000-000028490000}"/>
    <cellStyle name="Normal 6 2 5 2 2 4 3" xfId="25788" xr:uid="{00000000-0005-0000-0000-000029490000}"/>
    <cellStyle name="Normal 6 2 5 2 2 5" xfId="11002" xr:uid="{00000000-0005-0000-0000-00002A490000}"/>
    <cellStyle name="Normal 6 2 5 2 2 5 2" xfId="30717" xr:uid="{00000000-0005-0000-0000-00002B490000}"/>
    <cellStyle name="Normal 6 2 5 2 2 6" xfId="20860" xr:uid="{00000000-0005-0000-0000-00002C490000}"/>
    <cellStyle name="Normal 6 2 5 2 3" xfId="1751" xr:uid="{00000000-0005-0000-0000-00002D490000}"/>
    <cellStyle name="Normal 6 2 5 2 3 2" xfId="4218" xr:uid="{00000000-0005-0000-0000-00002E490000}"/>
    <cellStyle name="Normal 6 2 5 2 3 2 2" xfId="9150" xr:uid="{00000000-0005-0000-0000-00002F490000}"/>
    <cellStyle name="Normal 6 2 5 2 3 2 2 2" xfId="19010" xr:uid="{00000000-0005-0000-0000-000030490000}"/>
    <cellStyle name="Normal 6 2 5 2 3 2 2 2 2" xfId="38725" xr:uid="{00000000-0005-0000-0000-000031490000}"/>
    <cellStyle name="Normal 6 2 5 2 3 2 2 3" xfId="28868" xr:uid="{00000000-0005-0000-0000-000032490000}"/>
    <cellStyle name="Normal 6 2 5 2 3 2 3" xfId="14082" xr:uid="{00000000-0005-0000-0000-000033490000}"/>
    <cellStyle name="Normal 6 2 5 2 3 2 3 2" xfId="33797" xr:uid="{00000000-0005-0000-0000-000034490000}"/>
    <cellStyle name="Normal 6 2 5 2 3 2 4" xfId="23940" xr:uid="{00000000-0005-0000-0000-000035490000}"/>
    <cellStyle name="Normal 6 2 5 2 3 3" xfId="6686" xr:uid="{00000000-0005-0000-0000-000036490000}"/>
    <cellStyle name="Normal 6 2 5 2 3 3 2" xfId="16546" xr:uid="{00000000-0005-0000-0000-000037490000}"/>
    <cellStyle name="Normal 6 2 5 2 3 3 2 2" xfId="36261" xr:uid="{00000000-0005-0000-0000-000038490000}"/>
    <cellStyle name="Normal 6 2 5 2 3 3 3" xfId="26404" xr:uid="{00000000-0005-0000-0000-000039490000}"/>
    <cellStyle name="Normal 6 2 5 2 3 4" xfId="11618" xr:uid="{00000000-0005-0000-0000-00003A490000}"/>
    <cellStyle name="Normal 6 2 5 2 3 4 2" xfId="31333" xr:uid="{00000000-0005-0000-0000-00003B490000}"/>
    <cellStyle name="Normal 6 2 5 2 3 5" xfId="21476" xr:uid="{00000000-0005-0000-0000-00003C490000}"/>
    <cellStyle name="Normal 6 2 5 2 4" xfId="2986" xr:uid="{00000000-0005-0000-0000-00003D490000}"/>
    <cellStyle name="Normal 6 2 5 2 4 2" xfId="7918" xr:uid="{00000000-0005-0000-0000-00003E490000}"/>
    <cellStyle name="Normal 6 2 5 2 4 2 2" xfId="17778" xr:uid="{00000000-0005-0000-0000-00003F490000}"/>
    <cellStyle name="Normal 6 2 5 2 4 2 2 2" xfId="37493" xr:uid="{00000000-0005-0000-0000-000040490000}"/>
    <cellStyle name="Normal 6 2 5 2 4 2 3" xfId="27636" xr:uid="{00000000-0005-0000-0000-000041490000}"/>
    <cellStyle name="Normal 6 2 5 2 4 3" xfId="12850" xr:uid="{00000000-0005-0000-0000-000042490000}"/>
    <cellStyle name="Normal 6 2 5 2 4 3 2" xfId="32565" xr:uid="{00000000-0005-0000-0000-000043490000}"/>
    <cellStyle name="Normal 6 2 5 2 4 4" xfId="22708" xr:uid="{00000000-0005-0000-0000-000044490000}"/>
    <cellStyle name="Normal 6 2 5 2 5" xfId="5454" xr:uid="{00000000-0005-0000-0000-000045490000}"/>
    <cellStyle name="Normal 6 2 5 2 5 2" xfId="15314" xr:uid="{00000000-0005-0000-0000-000046490000}"/>
    <cellStyle name="Normal 6 2 5 2 5 2 2" xfId="35029" xr:uid="{00000000-0005-0000-0000-000047490000}"/>
    <cellStyle name="Normal 6 2 5 2 5 3" xfId="25172" xr:uid="{00000000-0005-0000-0000-000048490000}"/>
    <cellStyle name="Normal 6 2 5 2 6" xfId="10386" xr:uid="{00000000-0005-0000-0000-000049490000}"/>
    <cellStyle name="Normal 6 2 5 2 6 2" xfId="30101" xr:uid="{00000000-0005-0000-0000-00004A490000}"/>
    <cellStyle name="Normal 6 2 5 2 7" xfId="20244" xr:uid="{00000000-0005-0000-0000-00004B490000}"/>
    <cellStyle name="Normal 6 2 5 3" xfId="825" xr:uid="{00000000-0005-0000-0000-00004C490000}"/>
    <cellStyle name="Normal 6 2 5 3 2" xfId="2061" xr:uid="{00000000-0005-0000-0000-00004D490000}"/>
    <cellStyle name="Normal 6 2 5 3 2 2" xfId="4528" xr:uid="{00000000-0005-0000-0000-00004E490000}"/>
    <cellStyle name="Normal 6 2 5 3 2 2 2" xfId="9460" xr:uid="{00000000-0005-0000-0000-00004F490000}"/>
    <cellStyle name="Normal 6 2 5 3 2 2 2 2" xfId="19320" xr:uid="{00000000-0005-0000-0000-000050490000}"/>
    <cellStyle name="Normal 6 2 5 3 2 2 2 2 2" xfId="39035" xr:uid="{00000000-0005-0000-0000-000051490000}"/>
    <cellStyle name="Normal 6 2 5 3 2 2 2 3" xfId="29178" xr:uid="{00000000-0005-0000-0000-000052490000}"/>
    <cellStyle name="Normal 6 2 5 3 2 2 3" xfId="14392" xr:uid="{00000000-0005-0000-0000-000053490000}"/>
    <cellStyle name="Normal 6 2 5 3 2 2 3 2" xfId="34107" xr:uid="{00000000-0005-0000-0000-000054490000}"/>
    <cellStyle name="Normal 6 2 5 3 2 2 4" xfId="24250" xr:uid="{00000000-0005-0000-0000-000055490000}"/>
    <cellStyle name="Normal 6 2 5 3 2 3" xfId="6996" xr:uid="{00000000-0005-0000-0000-000056490000}"/>
    <cellStyle name="Normal 6 2 5 3 2 3 2" xfId="16856" xr:uid="{00000000-0005-0000-0000-000057490000}"/>
    <cellStyle name="Normal 6 2 5 3 2 3 2 2" xfId="36571" xr:uid="{00000000-0005-0000-0000-000058490000}"/>
    <cellStyle name="Normal 6 2 5 3 2 3 3" xfId="26714" xr:uid="{00000000-0005-0000-0000-000059490000}"/>
    <cellStyle name="Normal 6 2 5 3 2 4" xfId="11928" xr:uid="{00000000-0005-0000-0000-00005A490000}"/>
    <cellStyle name="Normal 6 2 5 3 2 4 2" xfId="31643" xr:uid="{00000000-0005-0000-0000-00005B490000}"/>
    <cellStyle name="Normal 6 2 5 3 2 5" xfId="21786" xr:uid="{00000000-0005-0000-0000-00005C490000}"/>
    <cellStyle name="Normal 6 2 5 3 3" xfId="3296" xr:uid="{00000000-0005-0000-0000-00005D490000}"/>
    <cellStyle name="Normal 6 2 5 3 3 2" xfId="8228" xr:uid="{00000000-0005-0000-0000-00005E490000}"/>
    <cellStyle name="Normal 6 2 5 3 3 2 2" xfId="18088" xr:uid="{00000000-0005-0000-0000-00005F490000}"/>
    <cellStyle name="Normal 6 2 5 3 3 2 2 2" xfId="37803" xr:uid="{00000000-0005-0000-0000-000060490000}"/>
    <cellStyle name="Normal 6 2 5 3 3 2 3" xfId="27946" xr:uid="{00000000-0005-0000-0000-000061490000}"/>
    <cellStyle name="Normal 6 2 5 3 3 3" xfId="13160" xr:uid="{00000000-0005-0000-0000-000062490000}"/>
    <cellStyle name="Normal 6 2 5 3 3 3 2" xfId="32875" xr:uid="{00000000-0005-0000-0000-000063490000}"/>
    <cellStyle name="Normal 6 2 5 3 3 4" xfId="23018" xr:uid="{00000000-0005-0000-0000-000064490000}"/>
    <cellStyle name="Normal 6 2 5 3 4" xfId="5764" xr:uid="{00000000-0005-0000-0000-000065490000}"/>
    <cellStyle name="Normal 6 2 5 3 4 2" xfId="15624" xr:uid="{00000000-0005-0000-0000-000066490000}"/>
    <cellStyle name="Normal 6 2 5 3 4 2 2" xfId="35339" xr:uid="{00000000-0005-0000-0000-000067490000}"/>
    <cellStyle name="Normal 6 2 5 3 4 3" xfId="25482" xr:uid="{00000000-0005-0000-0000-000068490000}"/>
    <cellStyle name="Normal 6 2 5 3 5" xfId="10696" xr:uid="{00000000-0005-0000-0000-000069490000}"/>
    <cellStyle name="Normal 6 2 5 3 5 2" xfId="30411" xr:uid="{00000000-0005-0000-0000-00006A490000}"/>
    <cellStyle name="Normal 6 2 5 3 6" xfId="20554" xr:uid="{00000000-0005-0000-0000-00006B490000}"/>
    <cellStyle name="Normal 6 2 5 4" xfId="1445" xr:uid="{00000000-0005-0000-0000-00006C490000}"/>
    <cellStyle name="Normal 6 2 5 4 2" xfId="3912" xr:uid="{00000000-0005-0000-0000-00006D490000}"/>
    <cellStyle name="Normal 6 2 5 4 2 2" xfId="8844" xr:uid="{00000000-0005-0000-0000-00006E490000}"/>
    <cellStyle name="Normal 6 2 5 4 2 2 2" xfId="18704" xr:uid="{00000000-0005-0000-0000-00006F490000}"/>
    <cellStyle name="Normal 6 2 5 4 2 2 2 2" xfId="38419" xr:uid="{00000000-0005-0000-0000-000070490000}"/>
    <cellStyle name="Normal 6 2 5 4 2 2 3" xfId="28562" xr:uid="{00000000-0005-0000-0000-000071490000}"/>
    <cellStyle name="Normal 6 2 5 4 2 3" xfId="13776" xr:uid="{00000000-0005-0000-0000-000072490000}"/>
    <cellStyle name="Normal 6 2 5 4 2 3 2" xfId="33491" xr:uid="{00000000-0005-0000-0000-000073490000}"/>
    <cellStyle name="Normal 6 2 5 4 2 4" xfId="23634" xr:uid="{00000000-0005-0000-0000-000074490000}"/>
    <cellStyle name="Normal 6 2 5 4 3" xfId="6380" xr:uid="{00000000-0005-0000-0000-000075490000}"/>
    <cellStyle name="Normal 6 2 5 4 3 2" xfId="16240" xr:uid="{00000000-0005-0000-0000-000076490000}"/>
    <cellStyle name="Normal 6 2 5 4 3 2 2" xfId="35955" xr:uid="{00000000-0005-0000-0000-000077490000}"/>
    <cellStyle name="Normal 6 2 5 4 3 3" xfId="26098" xr:uid="{00000000-0005-0000-0000-000078490000}"/>
    <cellStyle name="Normal 6 2 5 4 4" xfId="11312" xr:uid="{00000000-0005-0000-0000-000079490000}"/>
    <cellStyle name="Normal 6 2 5 4 4 2" xfId="31027" xr:uid="{00000000-0005-0000-0000-00007A490000}"/>
    <cellStyle name="Normal 6 2 5 4 5" xfId="21170" xr:uid="{00000000-0005-0000-0000-00007B490000}"/>
    <cellStyle name="Normal 6 2 5 5" xfId="2680" xr:uid="{00000000-0005-0000-0000-00007C490000}"/>
    <cellStyle name="Normal 6 2 5 5 2" xfId="7612" xr:uid="{00000000-0005-0000-0000-00007D490000}"/>
    <cellStyle name="Normal 6 2 5 5 2 2" xfId="17472" xr:uid="{00000000-0005-0000-0000-00007E490000}"/>
    <cellStyle name="Normal 6 2 5 5 2 2 2" xfId="37187" xr:uid="{00000000-0005-0000-0000-00007F490000}"/>
    <cellStyle name="Normal 6 2 5 5 2 3" xfId="27330" xr:uid="{00000000-0005-0000-0000-000080490000}"/>
    <cellStyle name="Normal 6 2 5 5 3" xfId="12544" xr:uid="{00000000-0005-0000-0000-000081490000}"/>
    <cellStyle name="Normal 6 2 5 5 3 2" xfId="32259" xr:uid="{00000000-0005-0000-0000-000082490000}"/>
    <cellStyle name="Normal 6 2 5 5 4" xfId="22402" xr:uid="{00000000-0005-0000-0000-000083490000}"/>
    <cellStyle name="Normal 6 2 5 6" xfId="5148" xr:uid="{00000000-0005-0000-0000-000084490000}"/>
    <cellStyle name="Normal 6 2 5 6 2" xfId="15008" xr:uid="{00000000-0005-0000-0000-000085490000}"/>
    <cellStyle name="Normal 6 2 5 6 2 2" xfId="34723" xr:uid="{00000000-0005-0000-0000-000086490000}"/>
    <cellStyle name="Normal 6 2 5 6 3" xfId="24866" xr:uid="{00000000-0005-0000-0000-000087490000}"/>
    <cellStyle name="Normal 6 2 5 7" xfId="10080" xr:uid="{00000000-0005-0000-0000-000088490000}"/>
    <cellStyle name="Normal 6 2 5 7 2" xfId="29795" xr:uid="{00000000-0005-0000-0000-000089490000}"/>
    <cellStyle name="Normal 6 2 5 8" xfId="19938" xr:uid="{00000000-0005-0000-0000-00008A490000}"/>
    <cellStyle name="Normal 6 2 6" xfId="360" xr:uid="{00000000-0005-0000-0000-00008B490000}"/>
    <cellStyle name="Normal 6 2 6 2" xfId="980" xr:uid="{00000000-0005-0000-0000-00008C490000}"/>
    <cellStyle name="Normal 6 2 6 2 2" xfId="2215" xr:uid="{00000000-0005-0000-0000-00008D490000}"/>
    <cellStyle name="Normal 6 2 6 2 2 2" xfId="4682" xr:uid="{00000000-0005-0000-0000-00008E490000}"/>
    <cellStyle name="Normal 6 2 6 2 2 2 2" xfId="9614" xr:uid="{00000000-0005-0000-0000-00008F490000}"/>
    <cellStyle name="Normal 6 2 6 2 2 2 2 2" xfId="19474" xr:uid="{00000000-0005-0000-0000-000090490000}"/>
    <cellStyle name="Normal 6 2 6 2 2 2 2 2 2" xfId="39189" xr:uid="{00000000-0005-0000-0000-000091490000}"/>
    <cellStyle name="Normal 6 2 6 2 2 2 2 3" xfId="29332" xr:uid="{00000000-0005-0000-0000-000092490000}"/>
    <cellStyle name="Normal 6 2 6 2 2 2 3" xfId="14546" xr:uid="{00000000-0005-0000-0000-000093490000}"/>
    <cellStyle name="Normal 6 2 6 2 2 2 3 2" xfId="34261" xr:uid="{00000000-0005-0000-0000-000094490000}"/>
    <cellStyle name="Normal 6 2 6 2 2 2 4" xfId="24404" xr:uid="{00000000-0005-0000-0000-000095490000}"/>
    <cellStyle name="Normal 6 2 6 2 2 3" xfId="7150" xr:uid="{00000000-0005-0000-0000-000096490000}"/>
    <cellStyle name="Normal 6 2 6 2 2 3 2" xfId="17010" xr:uid="{00000000-0005-0000-0000-000097490000}"/>
    <cellStyle name="Normal 6 2 6 2 2 3 2 2" xfId="36725" xr:uid="{00000000-0005-0000-0000-000098490000}"/>
    <cellStyle name="Normal 6 2 6 2 2 3 3" xfId="26868" xr:uid="{00000000-0005-0000-0000-000099490000}"/>
    <cellStyle name="Normal 6 2 6 2 2 4" xfId="12082" xr:uid="{00000000-0005-0000-0000-00009A490000}"/>
    <cellStyle name="Normal 6 2 6 2 2 4 2" xfId="31797" xr:uid="{00000000-0005-0000-0000-00009B490000}"/>
    <cellStyle name="Normal 6 2 6 2 2 5" xfId="21940" xr:uid="{00000000-0005-0000-0000-00009C490000}"/>
    <cellStyle name="Normal 6 2 6 2 3" xfId="3450" xr:uid="{00000000-0005-0000-0000-00009D490000}"/>
    <cellStyle name="Normal 6 2 6 2 3 2" xfId="8382" xr:uid="{00000000-0005-0000-0000-00009E490000}"/>
    <cellStyle name="Normal 6 2 6 2 3 2 2" xfId="18242" xr:uid="{00000000-0005-0000-0000-00009F490000}"/>
    <cellStyle name="Normal 6 2 6 2 3 2 2 2" xfId="37957" xr:uid="{00000000-0005-0000-0000-0000A0490000}"/>
    <cellStyle name="Normal 6 2 6 2 3 2 3" xfId="28100" xr:uid="{00000000-0005-0000-0000-0000A1490000}"/>
    <cellStyle name="Normal 6 2 6 2 3 3" xfId="13314" xr:uid="{00000000-0005-0000-0000-0000A2490000}"/>
    <cellStyle name="Normal 6 2 6 2 3 3 2" xfId="33029" xr:uid="{00000000-0005-0000-0000-0000A3490000}"/>
    <cellStyle name="Normal 6 2 6 2 3 4" xfId="23172" xr:uid="{00000000-0005-0000-0000-0000A4490000}"/>
    <cellStyle name="Normal 6 2 6 2 4" xfId="5918" xr:uid="{00000000-0005-0000-0000-0000A5490000}"/>
    <cellStyle name="Normal 6 2 6 2 4 2" xfId="15778" xr:uid="{00000000-0005-0000-0000-0000A6490000}"/>
    <cellStyle name="Normal 6 2 6 2 4 2 2" xfId="35493" xr:uid="{00000000-0005-0000-0000-0000A7490000}"/>
    <cellStyle name="Normal 6 2 6 2 4 3" xfId="25636" xr:uid="{00000000-0005-0000-0000-0000A8490000}"/>
    <cellStyle name="Normal 6 2 6 2 5" xfId="10850" xr:uid="{00000000-0005-0000-0000-0000A9490000}"/>
    <cellStyle name="Normal 6 2 6 2 5 2" xfId="30565" xr:uid="{00000000-0005-0000-0000-0000AA490000}"/>
    <cellStyle name="Normal 6 2 6 2 6" xfId="20708" xr:uid="{00000000-0005-0000-0000-0000AB490000}"/>
    <cellStyle name="Normal 6 2 6 3" xfId="1599" xr:uid="{00000000-0005-0000-0000-0000AC490000}"/>
    <cellStyle name="Normal 6 2 6 3 2" xfId="4066" xr:uid="{00000000-0005-0000-0000-0000AD490000}"/>
    <cellStyle name="Normal 6 2 6 3 2 2" xfId="8998" xr:uid="{00000000-0005-0000-0000-0000AE490000}"/>
    <cellStyle name="Normal 6 2 6 3 2 2 2" xfId="18858" xr:uid="{00000000-0005-0000-0000-0000AF490000}"/>
    <cellStyle name="Normal 6 2 6 3 2 2 2 2" xfId="38573" xr:uid="{00000000-0005-0000-0000-0000B0490000}"/>
    <cellStyle name="Normal 6 2 6 3 2 2 3" xfId="28716" xr:uid="{00000000-0005-0000-0000-0000B1490000}"/>
    <cellStyle name="Normal 6 2 6 3 2 3" xfId="13930" xr:uid="{00000000-0005-0000-0000-0000B2490000}"/>
    <cellStyle name="Normal 6 2 6 3 2 3 2" xfId="33645" xr:uid="{00000000-0005-0000-0000-0000B3490000}"/>
    <cellStyle name="Normal 6 2 6 3 2 4" xfId="23788" xr:uid="{00000000-0005-0000-0000-0000B4490000}"/>
    <cellStyle name="Normal 6 2 6 3 3" xfId="6534" xr:uid="{00000000-0005-0000-0000-0000B5490000}"/>
    <cellStyle name="Normal 6 2 6 3 3 2" xfId="16394" xr:uid="{00000000-0005-0000-0000-0000B6490000}"/>
    <cellStyle name="Normal 6 2 6 3 3 2 2" xfId="36109" xr:uid="{00000000-0005-0000-0000-0000B7490000}"/>
    <cellStyle name="Normal 6 2 6 3 3 3" xfId="26252" xr:uid="{00000000-0005-0000-0000-0000B8490000}"/>
    <cellStyle name="Normal 6 2 6 3 4" xfId="11466" xr:uid="{00000000-0005-0000-0000-0000B9490000}"/>
    <cellStyle name="Normal 6 2 6 3 4 2" xfId="31181" xr:uid="{00000000-0005-0000-0000-0000BA490000}"/>
    <cellStyle name="Normal 6 2 6 3 5" xfId="21324" xr:uid="{00000000-0005-0000-0000-0000BB490000}"/>
    <cellStyle name="Normal 6 2 6 4" xfId="2834" xr:uid="{00000000-0005-0000-0000-0000BC490000}"/>
    <cellStyle name="Normal 6 2 6 4 2" xfId="7766" xr:uid="{00000000-0005-0000-0000-0000BD490000}"/>
    <cellStyle name="Normal 6 2 6 4 2 2" xfId="17626" xr:uid="{00000000-0005-0000-0000-0000BE490000}"/>
    <cellStyle name="Normal 6 2 6 4 2 2 2" xfId="37341" xr:uid="{00000000-0005-0000-0000-0000BF490000}"/>
    <cellStyle name="Normal 6 2 6 4 2 3" xfId="27484" xr:uid="{00000000-0005-0000-0000-0000C0490000}"/>
    <cellStyle name="Normal 6 2 6 4 3" xfId="12698" xr:uid="{00000000-0005-0000-0000-0000C1490000}"/>
    <cellStyle name="Normal 6 2 6 4 3 2" xfId="32413" xr:uid="{00000000-0005-0000-0000-0000C2490000}"/>
    <cellStyle name="Normal 6 2 6 4 4" xfId="22556" xr:uid="{00000000-0005-0000-0000-0000C3490000}"/>
    <cellStyle name="Normal 6 2 6 5" xfId="5302" xr:uid="{00000000-0005-0000-0000-0000C4490000}"/>
    <cellStyle name="Normal 6 2 6 5 2" xfId="15162" xr:uid="{00000000-0005-0000-0000-0000C5490000}"/>
    <cellStyle name="Normal 6 2 6 5 2 2" xfId="34877" xr:uid="{00000000-0005-0000-0000-0000C6490000}"/>
    <cellStyle name="Normal 6 2 6 5 3" xfId="25020" xr:uid="{00000000-0005-0000-0000-0000C7490000}"/>
    <cellStyle name="Normal 6 2 6 6" xfId="10234" xr:uid="{00000000-0005-0000-0000-0000C8490000}"/>
    <cellStyle name="Normal 6 2 6 6 2" xfId="29949" xr:uid="{00000000-0005-0000-0000-0000C9490000}"/>
    <cellStyle name="Normal 6 2 6 7" xfId="20092" xr:uid="{00000000-0005-0000-0000-0000CA490000}"/>
    <cellStyle name="Normal 6 2 7" xfId="673" xr:uid="{00000000-0005-0000-0000-0000CB490000}"/>
    <cellStyle name="Normal 6 2 7 2" xfId="1909" xr:uid="{00000000-0005-0000-0000-0000CC490000}"/>
    <cellStyle name="Normal 6 2 7 2 2" xfId="4376" xr:uid="{00000000-0005-0000-0000-0000CD490000}"/>
    <cellStyle name="Normal 6 2 7 2 2 2" xfId="9308" xr:uid="{00000000-0005-0000-0000-0000CE490000}"/>
    <cellStyle name="Normal 6 2 7 2 2 2 2" xfId="19168" xr:uid="{00000000-0005-0000-0000-0000CF490000}"/>
    <cellStyle name="Normal 6 2 7 2 2 2 2 2" xfId="38883" xr:uid="{00000000-0005-0000-0000-0000D0490000}"/>
    <cellStyle name="Normal 6 2 7 2 2 2 3" xfId="29026" xr:uid="{00000000-0005-0000-0000-0000D1490000}"/>
    <cellStyle name="Normal 6 2 7 2 2 3" xfId="14240" xr:uid="{00000000-0005-0000-0000-0000D2490000}"/>
    <cellStyle name="Normal 6 2 7 2 2 3 2" xfId="33955" xr:uid="{00000000-0005-0000-0000-0000D3490000}"/>
    <cellStyle name="Normal 6 2 7 2 2 4" xfId="24098" xr:uid="{00000000-0005-0000-0000-0000D4490000}"/>
    <cellStyle name="Normal 6 2 7 2 3" xfId="6844" xr:uid="{00000000-0005-0000-0000-0000D5490000}"/>
    <cellStyle name="Normal 6 2 7 2 3 2" xfId="16704" xr:uid="{00000000-0005-0000-0000-0000D6490000}"/>
    <cellStyle name="Normal 6 2 7 2 3 2 2" xfId="36419" xr:uid="{00000000-0005-0000-0000-0000D7490000}"/>
    <cellStyle name="Normal 6 2 7 2 3 3" xfId="26562" xr:uid="{00000000-0005-0000-0000-0000D8490000}"/>
    <cellStyle name="Normal 6 2 7 2 4" xfId="11776" xr:uid="{00000000-0005-0000-0000-0000D9490000}"/>
    <cellStyle name="Normal 6 2 7 2 4 2" xfId="31491" xr:uid="{00000000-0005-0000-0000-0000DA490000}"/>
    <cellStyle name="Normal 6 2 7 2 5" xfId="21634" xr:uid="{00000000-0005-0000-0000-0000DB490000}"/>
    <cellStyle name="Normal 6 2 7 3" xfId="3144" xr:uid="{00000000-0005-0000-0000-0000DC490000}"/>
    <cellStyle name="Normal 6 2 7 3 2" xfId="8076" xr:uid="{00000000-0005-0000-0000-0000DD490000}"/>
    <cellStyle name="Normal 6 2 7 3 2 2" xfId="17936" xr:uid="{00000000-0005-0000-0000-0000DE490000}"/>
    <cellStyle name="Normal 6 2 7 3 2 2 2" xfId="37651" xr:uid="{00000000-0005-0000-0000-0000DF490000}"/>
    <cellStyle name="Normal 6 2 7 3 2 3" xfId="27794" xr:uid="{00000000-0005-0000-0000-0000E0490000}"/>
    <cellStyle name="Normal 6 2 7 3 3" xfId="13008" xr:uid="{00000000-0005-0000-0000-0000E1490000}"/>
    <cellStyle name="Normal 6 2 7 3 3 2" xfId="32723" xr:uid="{00000000-0005-0000-0000-0000E2490000}"/>
    <cellStyle name="Normal 6 2 7 3 4" xfId="22866" xr:uid="{00000000-0005-0000-0000-0000E3490000}"/>
    <cellStyle name="Normal 6 2 7 4" xfId="5612" xr:uid="{00000000-0005-0000-0000-0000E4490000}"/>
    <cellStyle name="Normal 6 2 7 4 2" xfId="15472" xr:uid="{00000000-0005-0000-0000-0000E5490000}"/>
    <cellStyle name="Normal 6 2 7 4 2 2" xfId="35187" xr:uid="{00000000-0005-0000-0000-0000E6490000}"/>
    <cellStyle name="Normal 6 2 7 4 3" xfId="25330" xr:uid="{00000000-0005-0000-0000-0000E7490000}"/>
    <cellStyle name="Normal 6 2 7 5" xfId="10544" xr:uid="{00000000-0005-0000-0000-0000E8490000}"/>
    <cellStyle name="Normal 6 2 7 5 2" xfId="30259" xr:uid="{00000000-0005-0000-0000-0000E9490000}"/>
    <cellStyle name="Normal 6 2 7 6" xfId="20402" xr:uid="{00000000-0005-0000-0000-0000EA490000}"/>
    <cellStyle name="Normal 6 2 8" xfId="1293" xr:uid="{00000000-0005-0000-0000-0000EB490000}"/>
    <cellStyle name="Normal 6 2 8 2" xfId="3760" xr:uid="{00000000-0005-0000-0000-0000EC490000}"/>
    <cellStyle name="Normal 6 2 8 2 2" xfId="8692" xr:uid="{00000000-0005-0000-0000-0000ED490000}"/>
    <cellStyle name="Normal 6 2 8 2 2 2" xfId="18552" xr:uid="{00000000-0005-0000-0000-0000EE490000}"/>
    <cellStyle name="Normal 6 2 8 2 2 2 2" xfId="38267" xr:uid="{00000000-0005-0000-0000-0000EF490000}"/>
    <cellStyle name="Normal 6 2 8 2 2 3" xfId="28410" xr:uid="{00000000-0005-0000-0000-0000F0490000}"/>
    <cellStyle name="Normal 6 2 8 2 3" xfId="13624" xr:uid="{00000000-0005-0000-0000-0000F1490000}"/>
    <cellStyle name="Normal 6 2 8 2 3 2" xfId="33339" xr:uid="{00000000-0005-0000-0000-0000F2490000}"/>
    <cellStyle name="Normal 6 2 8 2 4" xfId="23482" xr:uid="{00000000-0005-0000-0000-0000F3490000}"/>
    <cellStyle name="Normal 6 2 8 3" xfId="6228" xr:uid="{00000000-0005-0000-0000-0000F4490000}"/>
    <cellStyle name="Normal 6 2 8 3 2" xfId="16088" xr:uid="{00000000-0005-0000-0000-0000F5490000}"/>
    <cellStyle name="Normal 6 2 8 3 2 2" xfId="35803" xr:uid="{00000000-0005-0000-0000-0000F6490000}"/>
    <cellStyle name="Normal 6 2 8 3 3" xfId="25946" xr:uid="{00000000-0005-0000-0000-0000F7490000}"/>
    <cellStyle name="Normal 6 2 8 4" xfId="11160" xr:uid="{00000000-0005-0000-0000-0000F8490000}"/>
    <cellStyle name="Normal 6 2 8 4 2" xfId="30875" xr:uid="{00000000-0005-0000-0000-0000F9490000}"/>
    <cellStyle name="Normal 6 2 8 5" xfId="21018" xr:uid="{00000000-0005-0000-0000-0000FA490000}"/>
    <cellStyle name="Normal 6 2 9" xfId="2528" xr:uid="{00000000-0005-0000-0000-0000FB490000}"/>
    <cellStyle name="Normal 6 2 9 2" xfId="7460" xr:uid="{00000000-0005-0000-0000-0000FC490000}"/>
    <cellStyle name="Normal 6 2 9 2 2" xfId="17320" xr:uid="{00000000-0005-0000-0000-0000FD490000}"/>
    <cellStyle name="Normal 6 2 9 2 2 2" xfId="37035" xr:uid="{00000000-0005-0000-0000-0000FE490000}"/>
    <cellStyle name="Normal 6 2 9 2 3" xfId="27178" xr:uid="{00000000-0005-0000-0000-0000FF490000}"/>
    <cellStyle name="Normal 6 2 9 3" xfId="12392" xr:uid="{00000000-0005-0000-0000-0000004A0000}"/>
    <cellStyle name="Normal 6 2 9 3 2" xfId="32107" xr:uid="{00000000-0005-0000-0000-0000014A0000}"/>
    <cellStyle name="Normal 6 2 9 4" xfId="22250" xr:uid="{00000000-0005-0000-0000-0000024A0000}"/>
    <cellStyle name="Normal 6 3" xfId="40" xr:uid="{00000000-0005-0000-0000-0000034A0000}"/>
    <cellStyle name="Normal 6 3 10" xfId="9938" xr:uid="{00000000-0005-0000-0000-0000044A0000}"/>
    <cellStyle name="Normal 6 3 10 2" xfId="29653" xr:uid="{00000000-0005-0000-0000-0000054A0000}"/>
    <cellStyle name="Normal 6 3 11" xfId="19796" xr:uid="{00000000-0005-0000-0000-0000064A0000}"/>
    <cellStyle name="Normal 6 3 2" xfId="84" xr:uid="{00000000-0005-0000-0000-0000074A0000}"/>
    <cellStyle name="Normal 6 3 2 10" xfId="19834" xr:uid="{00000000-0005-0000-0000-0000084A0000}"/>
    <cellStyle name="Normal 6 3 2 2" xfId="165" xr:uid="{00000000-0005-0000-0000-0000094A0000}"/>
    <cellStyle name="Normal 6 3 2 2 2" xfId="322" xr:uid="{00000000-0005-0000-0000-00000A4A0000}"/>
    <cellStyle name="Normal 6 3 2 2 2 2" xfId="636" xr:uid="{00000000-0005-0000-0000-00000B4A0000}"/>
    <cellStyle name="Normal 6 3 2 2 2 2 2" xfId="1256" xr:uid="{00000000-0005-0000-0000-00000C4A0000}"/>
    <cellStyle name="Normal 6 3 2 2 2 2 2 2" xfId="2491" xr:uid="{00000000-0005-0000-0000-00000D4A0000}"/>
    <cellStyle name="Normal 6 3 2 2 2 2 2 2 2" xfId="4958" xr:uid="{00000000-0005-0000-0000-00000E4A0000}"/>
    <cellStyle name="Normal 6 3 2 2 2 2 2 2 2 2" xfId="9890" xr:uid="{00000000-0005-0000-0000-00000F4A0000}"/>
    <cellStyle name="Normal 6 3 2 2 2 2 2 2 2 2 2" xfId="19750" xr:uid="{00000000-0005-0000-0000-0000104A0000}"/>
    <cellStyle name="Normal 6 3 2 2 2 2 2 2 2 2 2 2" xfId="39465" xr:uid="{00000000-0005-0000-0000-0000114A0000}"/>
    <cellStyle name="Normal 6 3 2 2 2 2 2 2 2 2 3" xfId="29608" xr:uid="{00000000-0005-0000-0000-0000124A0000}"/>
    <cellStyle name="Normal 6 3 2 2 2 2 2 2 2 3" xfId="14822" xr:uid="{00000000-0005-0000-0000-0000134A0000}"/>
    <cellStyle name="Normal 6 3 2 2 2 2 2 2 2 3 2" xfId="34537" xr:uid="{00000000-0005-0000-0000-0000144A0000}"/>
    <cellStyle name="Normal 6 3 2 2 2 2 2 2 2 4" xfId="24680" xr:uid="{00000000-0005-0000-0000-0000154A0000}"/>
    <cellStyle name="Normal 6 3 2 2 2 2 2 2 3" xfId="7426" xr:uid="{00000000-0005-0000-0000-0000164A0000}"/>
    <cellStyle name="Normal 6 3 2 2 2 2 2 2 3 2" xfId="17286" xr:uid="{00000000-0005-0000-0000-0000174A0000}"/>
    <cellStyle name="Normal 6 3 2 2 2 2 2 2 3 2 2" xfId="37001" xr:uid="{00000000-0005-0000-0000-0000184A0000}"/>
    <cellStyle name="Normal 6 3 2 2 2 2 2 2 3 3" xfId="27144" xr:uid="{00000000-0005-0000-0000-0000194A0000}"/>
    <cellStyle name="Normal 6 3 2 2 2 2 2 2 4" xfId="12358" xr:uid="{00000000-0005-0000-0000-00001A4A0000}"/>
    <cellStyle name="Normal 6 3 2 2 2 2 2 2 4 2" xfId="32073" xr:uid="{00000000-0005-0000-0000-00001B4A0000}"/>
    <cellStyle name="Normal 6 3 2 2 2 2 2 2 5" xfId="22216" xr:uid="{00000000-0005-0000-0000-00001C4A0000}"/>
    <cellStyle name="Normal 6 3 2 2 2 2 2 3" xfId="3726" xr:uid="{00000000-0005-0000-0000-00001D4A0000}"/>
    <cellStyle name="Normal 6 3 2 2 2 2 2 3 2" xfId="8658" xr:uid="{00000000-0005-0000-0000-00001E4A0000}"/>
    <cellStyle name="Normal 6 3 2 2 2 2 2 3 2 2" xfId="18518" xr:uid="{00000000-0005-0000-0000-00001F4A0000}"/>
    <cellStyle name="Normal 6 3 2 2 2 2 2 3 2 2 2" xfId="38233" xr:uid="{00000000-0005-0000-0000-0000204A0000}"/>
    <cellStyle name="Normal 6 3 2 2 2 2 2 3 2 3" xfId="28376" xr:uid="{00000000-0005-0000-0000-0000214A0000}"/>
    <cellStyle name="Normal 6 3 2 2 2 2 2 3 3" xfId="13590" xr:uid="{00000000-0005-0000-0000-0000224A0000}"/>
    <cellStyle name="Normal 6 3 2 2 2 2 2 3 3 2" xfId="33305" xr:uid="{00000000-0005-0000-0000-0000234A0000}"/>
    <cellStyle name="Normal 6 3 2 2 2 2 2 3 4" xfId="23448" xr:uid="{00000000-0005-0000-0000-0000244A0000}"/>
    <cellStyle name="Normal 6 3 2 2 2 2 2 4" xfId="6194" xr:uid="{00000000-0005-0000-0000-0000254A0000}"/>
    <cellStyle name="Normal 6 3 2 2 2 2 2 4 2" xfId="16054" xr:uid="{00000000-0005-0000-0000-0000264A0000}"/>
    <cellStyle name="Normal 6 3 2 2 2 2 2 4 2 2" xfId="35769" xr:uid="{00000000-0005-0000-0000-0000274A0000}"/>
    <cellStyle name="Normal 6 3 2 2 2 2 2 4 3" xfId="25912" xr:uid="{00000000-0005-0000-0000-0000284A0000}"/>
    <cellStyle name="Normal 6 3 2 2 2 2 2 5" xfId="11126" xr:uid="{00000000-0005-0000-0000-0000294A0000}"/>
    <cellStyle name="Normal 6 3 2 2 2 2 2 5 2" xfId="30841" xr:uid="{00000000-0005-0000-0000-00002A4A0000}"/>
    <cellStyle name="Normal 6 3 2 2 2 2 2 6" xfId="20984" xr:uid="{00000000-0005-0000-0000-00002B4A0000}"/>
    <cellStyle name="Normal 6 3 2 2 2 2 3" xfId="1875" xr:uid="{00000000-0005-0000-0000-00002C4A0000}"/>
    <cellStyle name="Normal 6 3 2 2 2 2 3 2" xfId="4342" xr:uid="{00000000-0005-0000-0000-00002D4A0000}"/>
    <cellStyle name="Normal 6 3 2 2 2 2 3 2 2" xfId="9274" xr:uid="{00000000-0005-0000-0000-00002E4A0000}"/>
    <cellStyle name="Normal 6 3 2 2 2 2 3 2 2 2" xfId="19134" xr:uid="{00000000-0005-0000-0000-00002F4A0000}"/>
    <cellStyle name="Normal 6 3 2 2 2 2 3 2 2 2 2" xfId="38849" xr:uid="{00000000-0005-0000-0000-0000304A0000}"/>
    <cellStyle name="Normal 6 3 2 2 2 2 3 2 2 3" xfId="28992" xr:uid="{00000000-0005-0000-0000-0000314A0000}"/>
    <cellStyle name="Normal 6 3 2 2 2 2 3 2 3" xfId="14206" xr:uid="{00000000-0005-0000-0000-0000324A0000}"/>
    <cellStyle name="Normal 6 3 2 2 2 2 3 2 3 2" xfId="33921" xr:uid="{00000000-0005-0000-0000-0000334A0000}"/>
    <cellStyle name="Normal 6 3 2 2 2 2 3 2 4" xfId="24064" xr:uid="{00000000-0005-0000-0000-0000344A0000}"/>
    <cellStyle name="Normal 6 3 2 2 2 2 3 3" xfId="6810" xr:uid="{00000000-0005-0000-0000-0000354A0000}"/>
    <cellStyle name="Normal 6 3 2 2 2 2 3 3 2" xfId="16670" xr:uid="{00000000-0005-0000-0000-0000364A0000}"/>
    <cellStyle name="Normal 6 3 2 2 2 2 3 3 2 2" xfId="36385" xr:uid="{00000000-0005-0000-0000-0000374A0000}"/>
    <cellStyle name="Normal 6 3 2 2 2 2 3 3 3" xfId="26528" xr:uid="{00000000-0005-0000-0000-0000384A0000}"/>
    <cellStyle name="Normal 6 3 2 2 2 2 3 4" xfId="11742" xr:uid="{00000000-0005-0000-0000-0000394A0000}"/>
    <cellStyle name="Normal 6 3 2 2 2 2 3 4 2" xfId="31457" xr:uid="{00000000-0005-0000-0000-00003A4A0000}"/>
    <cellStyle name="Normal 6 3 2 2 2 2 3 5" xfId="21600" xr:uid="{00000000-0005-0000-0000-00003B4A0000}"/>
    <cellStyle name="Normal 6 3 2 2 2 2 4" xfId="3110" xr:uid="{00000000-0005-0000-0000-00003C4A0000}"/>
    <cellStyle name="Normal 6 3 2 2 2 2 4 2" xfId="8042" xr:uid="{00000000-0005-0000-0000-00003D4A0000}"/>
    <cellStyle name="Normal 6 3 2 2 2 2 4 2 2" xfId="17902" xr:uid="{00000000-0005-0000-0000-00003E4A0000}"/>
    <cellStyle name="Normal 6 3 2 2 2 2 4 2 2 2" xfId="37617" xr:uid="{00000000-0005-0000-0000-00003F4A0000}"/>
    <cellStyle name="Normal 6 3 2 2 2 2 4 2 3" xfId="27760" xr:uid="{00000000-0005-0000-0000-0000404A0000}"/>
    <cellStyle name="Normal 6 3 2 2 2 2 4 3" xfId="12974" xr:uid="{00000000-0005-0000-0000-0000414A0000}"/>
    <cellStyle name="Normal 6 3 2 2 2 2 4 3 2" xfId="32689" xr:uid="{00000000-0005-0000-0000-0000424A0000}"/>
    <cellStyle name="Normal 6 3 2 2 2 2 4 4" xfId="22832" xr:uid="{00000000-0005-0000-0000-0000434A0000}"/>
    <cellStyle name="Normal 6 3 2 2 2 2 5" xfId="5578" xr:uid="{00000000-0005-0000-0000-0000444A0000}"/>
    <cellStyle name="Normal 6 3 2 2 2 2 5 2" xfId="15438" xr:uid="{00000000-0005-0000-0000-0000454A0000}"/>
    <cellStyle name="Normal 6 3 2 2 2 2 5 2 2" xfId="35153" xr:uid="{00000000-0005-0000-0000-0000464A0000}"/>
    <cellStyle name="Normal 6 3 2 2 2 2 5 3" xfId="25296" xr:uid="{00000000-0005-0000-0000-0000474A0000}"/>
    <cellStyle name="Normal 6 3 2 2 2 2 6" xfId="10510" xr:uid="{00000000-0005-0000-0000-0000484A0000}"/>
    <cellStyle name="Normal 6 3 2 2 2 2 6 2" xfId="30225" xr:uid="{00000000-0005-0000-0000-0000494A0000}"/>
    <cellStyle name="Normal 6 3 2 2 2 2 7" xfId="20368" xr:uid="{00000000-0005-0000-0000-00004A4A0000}"/>
    <cellStyle name="Normal 6 3 2 2 2 3" xfId="949" xr:uid="{00000000-0005-0000-0000-00004B4A0000}"/>
    <cellStyle name="Normal 6 3 2 2 2 3 2" xfId="2185" xr:uid="{00000000-0005-0000-0000-00004C4A0000}"/>
    <cellStyle name="Normal 6 3 2 2 2 3 2 2" xfId="4652" xr:uid="{00000000-0005-0000-0000-00004D4A0000}"/>
    <cellStyle name="Normal 6 3 2 2 2 3 2 2 2" xfId="9584" xr:uid="{00000000-0005-0000-0000-00004E4A0000}"/>
    <cellStyle name="Normal 6 3 2 2 2 3 2 2 2 2" xfId="19444" xr:uid="{00000000-0005-0000-0000-00004F4A0000}"/>
    <cellStyle name="Normal 6 3 2 2 2 3 2 2 2 2 2" xfId="39159" xr:uid="{00000000-0005-0000-0000-0000504A0000}"/>
    <cellStyle name="Normal 6 3 2 2 2 3 2 2 2 3" xfId="29302" xr:uid="{00000000-0005-0000-0000-0000514A0000}"/>
    <cellStyle name="Normal 6 3 2 2 2 3 2 2 3" xfId="14516" xr:uid="{00000000-0005-0000-0000-0000524A0000}"/>
    <cellStyle name="Normal 6 3 2 2 2 3 2 2 3 2" xfId="34231" xr:uid="{00000000-0005-0000-0000-0000534A0000}"/>
    <cellStyle name="Normal 6 3 2 2 2 3 2 2 4" xfId="24374" xr:uid="{00000000-0005-0000-0000-0000544A0000}"/>
    <cellStyle name="Normal 6 3 2 2 2 3 2 3" xfId="7120" xr:uid="{00000000-0005-0000-0000-0000554A0000}"/>
    <cellStyle name="Normal 6 3 2 2 2 3 2 3 2" xfId="16980" xr:uid="{00000000-0005-0000-0000-0000564A0000}"/>
    <cellStyle name="Normal 6 3 2 2 2 3 2 3 2 2" xfId="36695" xr:uid="{00000000-0005-0000-0000-0000574A0000}"/>
    <cellStyle name="Normal 6 3 2 2 2 3 2 3 3" xfId="26838" xr:uid="{00000000-0005-0000-0000-0000584A0000}"/>
    <cellStyle name="Normal 6 3 2 2 2 3 2 4" xfId="12052" xr:uid="{00000000-0005-0000-0000-0000594A0000}"/>
    <cellStyle name="Normal 6 3 2 2 2 3 2 4 2" xfId="31767" xr:uid="{00000000-0005-0000-0000-00005A4A0000}"/>
    <cellStyle name="Normal 6 3 2 2 2 3 2 5" xfId="21910" xr:uid="{00000000-0005-0000-0000-00005B4A0000}"/>
    <cellStyle name="Normal 6 3 2 2 2 3 3" xfId="3420" xr:uid="{00000000-0005-0000-0000-00005C4A0000}"/>
    <cellStyle name="Normal 6 3 2 2 2 3 3 2" xfId="8352" xr:uid="{00000000-0005-0000-0000-00005D4A0000}"/>
    <cellStyle name="Normal 6 3 2 2 2 3 3 2 2" xfId="18212" xr:uid="{00000000-0005-0000-0000-00005E4A0000}"/>
    <cellStyle name="Normal 6 3 2 2 2 3 3 2 2 2" xfId="37927" xr:uid="{00000000-0005-0000-0000-00005F4A0000}"/>
    <cellStyle name="Normal 6 3 2 2 2 3 3 2 3" xfId="28070" xr:uid="{00000000-0005-0000-0000-0000604A0000}"/>
    <cellStyle name="Normal 6 3 2 2 2 3 3 3" xfId="13284" xr:uid="{00000000-0005-0000-0000-0000614A0000}"/>
    <cellStyle name="Normal 6 3 2 2 2 3 3 3 2" xfId="32999" xr:uid="{00000000-0005-0000-0000-0000624A0000}"/>
    <cellStyle name="Normal 6 3 2 2 2 3 3 4" xfId="23142" xr:uid="{00000000-0005-0000-0000-0000634A0000}"/>
    <cellStyle name="Normal 6 3 2 2 2 3 4" xfId="5888" xr:uid="{00000000-0005-0000-0000-0000644A0000}"/>
    <cellStyle name="Normal 6 3 2 2 2 3 4 2" xfId="15748" xr:uid="{00000000-0005-0000-0000-0000654A0000}"/>
    <cellStyle name="Normal 6 3 2 2 2 3 4 2 2" xfId="35463" xr:uid="{00000000-0005-0000-0000-0000664A0000}"/>
    <cellStyle name="Normal 6 3 2 2 2 3 4 3" xfId="25606" xr:uid="{00000000-0005-0000-0000-0000674A0000}"/>
    <cellStyle name="Normal 6 3 2 2 2 3 5" xfId="10820" xr:uid="{00000000-0005-0000-0000-0000684A0000}"/>
    <cellStyle name="Normal 6 3 2 2 2 3 5 2" xfId="30535" xr:uid="{00000000-0005-0000-0000-0000694A0000}"/>
    <cellStyle name="Normal 6 3 2 2 2 3 6" xfId="20678" xr:uid="{00000000-0005-0000-0000-00006A4A0000}"/>
    <cellStyle name="Normal 6 3 2 2 2 4" xfId="1569" xr:uid="{00000000-0005-0000-0000-00006B4A0000}"/>
    <cellStyle name="Normal 6 3 2 2 2 4 2" xfId="4036" xr:uid="{00000000-0005-0000-0000-00006C4A0000}"/>
    <cellStyle name="Normal 6 3 2 2 2 4 2 2" xfId="8968" xr:uid="{00000000-0005-0000-0000-00006D4A0000}"/>
    <cellStyle name="Normal 6 3 2 2 2 4 2 2 2" xfId="18828" xr:uid="{00000000-0005-0000-0000-00006E4A0000}"/>
    <cellStyle name="Normal 6 3 2 2 2 4 2 2 2 2" xfId="38543" xr:uid="{00000000-0005-0000-0000-00006F4A0000}"/>
    <cellStyle name="Normal 6 3 2 2 2 4 2 2 3" xfId="28686" xr:uid="{00000000-0005-0000-0000-0000704A0000}"/>
    <cellStyle name="Normal 6 3 2 2 2 4 2 3" xfId="13900" xr:uid="{00000000-0005-0000-0000-0000714A0000}"/>
    <cellStyle name="Normal 6 3 2 2 2 4 2 3 2" xfId="33615" xr:uid="{00000000-0005-0000-0000-0000724A0000}"/>
    <cellStyle name="Normal 6 3 2 2 2 4 2 4" xfId="23758" xr:uid="{00000000-0005-0000-0000-0000734A0000}"/>
    <cellStyle name="Normal 6 3 2 2 2 4 3" xfId="6504" xr:uid="{00000000-0005-0000-0000-0000744A0000}"/>
    <cellStyle name="Normal 6 3 2 2 2 4 3 2" xfId="16364" xr:uid="{00000000-0005-0000-0000-0000754A0000}"/>
    <cellStyle name="Normal 6 3 2 2 2 4 3 2 2" xfId="36079" xr:uid="{00000000-0005-0000-0000-0000764A0000}"/>
    <cellStyle name="Normal 6 3 2 2 2 4 3 3" xfId="26222" xr:uid="{00000000-0005-0000-0000-0000774A0000}"/>
    <cellStyle name="Normal 6 3 2 2 2 4 4" xfId="11436" xr:uid="{00000000-0005-0000-0000-0000784A0000}"/>
    <cellStyle name="Normal 6 3 2 2 2 4 4 2" xfId="31151" xr:uid="{00000000-0005-0000-0000-0000794A0000}"/>
    <cellStyle name="Normal 6 3 2 2 2 4 5" xfId="21294" xr:uid="{00000000-0005-0000-0000-00007A4A0000}"/>
    <cellStyle name="Normal 6 3 2 2 2 5" xfId="2804" xr:uid="{00000000-0005-0000-0000-00007B4A0000}"/>
    <cellStyle name="Normal 6 3 2 2 2 5 2" xfId="7736" xr:uid="{00000000-0005-0000-0000-00007C4A0000}"/>
    <cellStyle name="Normal 6 3 2 2 2 5 2 2" xfId="17596" xr:uid="{00000000-0005-0000-0000-00007D4A0000}"/>
    <cellStyle name="Normal 6 3 2 2 2 5 2 2 2" xfId="37311" xr:uid="{00000000-0005-0000-0000-00007E4A0000}"/>
    <cellStyle name="Normal 6 3 2 2 2 5 2 3" xfId="27454" xr:uid="{00000000-0005-0000-0000-00007F4A0000}"/>
    <cellStyle name="Normal 6 3 2 2 2 5 3" xfId="12668" xr:uid="{00000000-0005-0000-0000-0000804A0000}"/>
    <cellStyle name="Normal 6 3 2 2 2 5 3 2" xfId="32383" xr:uid="{00000000-0005-0000-0000-0000814A0000}"/>
    <cellStyle name="Normal 6 3 2 2 2 5 4" xfId="22526" xr:uid="{00000000-0005-0000-0000-0000824A0000}"/>
    <cellStyle name="Normal 6 3 2 2 2 6" xfId="5272" xr:uid="{00000000-0005-0000-0000-0000834A0000}"/>
    <cellStyle name="Normal 6 3 2 2 2 6 2" xfId="15132" xr:uid="{00000000-0005-0000-0000-0000844A0000}"/>
    <cellStyle name="Normal 6 3 2 2 2 6 2 2" xfId="34847" xr:uid="{00000000-0005-0000-0000-0000854A0000}"/>
    <cellStyle name="Normal 6 3 2 2 2 6 3" xfId="24990" xr:uid="{00000000-0005-0000-0000-0000864A0000}"/>
    <cellStyle name="Normal 6 3 2 2 2 7" xfId="10204" xr:uid="{00000000-0005-0000-0000-0000874A0000}"/>
    <cellStyle name="Normal 6 3 2 2 2 7 2" xfId="29919" xr:uid="{00000000-0005-0000-0000-0000884A0000}"/>
    <cellStyle name="Normal 6 3 2 2 2 8" xfId="20062" xr:uid="{00000000-0005-0000-0000-0000894A0000}"/>
    <cellStyle name="Normal 6 3 2 2 3" xfId="484" xr:uid="{00000000-0005-0000-0000-00008A4A0000}"/>
    <cellStyle name="Normal 6 3 2 2 3 2" xfId="1104" xr:uid="{00000000-0005-0000-0000-00008B4A0000}"/>
    <cellStyle name="Normal 6 3 2 2 3 2 2" xfId="2339" xr:uid="{00000000-0005-0000-0000-00008C4A0000}"/>
    <cellStyle name="Normal 6 3 2 2 3 2 2 2" xfId="4806" xr:uid="{00000000-0005-0000-0000-00008D4A0000}"/>
    <cellStyle name="Normal 6 3 2 2 3 2 2 2 2" xfId="9738" xr:uid="{00000000-0005-0000-0000-00008E4A0000}"/>
    <cellStyle name="Normal 6 3 2 2 3 2 2 2 2 2" xfId="19598" xr:uid="{00000000-0005-0000-0000-00008F4A0000}"/>
    <cellStyle name="Normal 6 3 2 2 3 2 2 2 2 2 2" xfId="39313" xr:uid="{00000000-0005-0000-0000-0000904A0000}"/>
    <cellStyle name="Normal 6 3 2 2 3 2 2 2 2 3" xfId="29456" xr:uid="{00000000-0005-0000-0000-0000914A0000}"/>
    <cellStyle name="Normal 6 3 2 2 3 2 2 2 3" xfId="14670" xr:uid="{00000000-0005-0000-0000-0000924A0000}"/>
    <cellStyle name="Normal 6 3 2 2 3 2 2 2 3 2" xfId="34385" xr:uid="{00000000-0005-0000-0000-0000934A0000}"/>
    <cellStyle name="Normal 6 3 2 2 3 2 2 2 4" xfId="24528" xr:uid="{00000000-0005-0000-0000-0000944A0000}"/>
    <cellStyle name="Normal 6 3 2 2 3 2 2 3" xfId="7274" xr:uid="{00000000-0005-0000-0000-0000954A0000}"/>
    <cellStyle name="Normal 6 3 2 2 3 2 2 3 2" xfId="17134" xr:uid="{00000000-0005-0000-0000-0000964A0000}"/>
    <cellStyle name="Normal 6 3 2 2 3 2 2 3 2 2" xfId="36849" xr:uid="{00000000-0005-0000-0000-0000974A0000}"/>
    <cellStyle name="Normal 6 3 2 2 3 2 2 3 3" xfId="26992" xr:uid="{00000000-0005-0000-0000-0000984A0000}"/>
    <cellStyle name="Normal 6 3 2 2 3 2 2 4" xfId="12206" xr:uid="{00000000-0005-0000-0000-0000994A0000}"/>
    <cellStyle name="Normal 6 3 2 2 3 2 2 4 2" xfId="31921" xr:uid="{00000000-0005-0000-0000-00009A4A0000}"/>
    <cellStyle name="Normal 6 3 2 2 3 2 2 5" xfId="22064" xr:uid="{00000000-0005-0000-0000-00009B4A0000}"/>
    <cellStyle name="Normal 6 3 2 2 3 2 3" xfId="3574" xr:uid="{00000000-0005-0000-0000-00009C4A0000}"/>
    <cellStyle name="Normal 6 3 2 2 3 2 3 2" xfId="8506" xr:uid="{00000000-0005-0000-0000-00009D4A0000}"/>
    <cellStyle name="Normal 6 3 2 2 3 2 3 2 2" xfId="18366" xr:uid="{00000000-0005-0000-0000-00009E4A0000}"/>
    <cellStyle name="Normal 6 3 2 2 3 2 3 2 2 2" xfId="38081" xr:uid="{00000000-0005-0000-0000-00009F4A0000}"/>
    <cellStyle name="Normal 6 3 2 2 3 2 3 2 3" xfId="28224" xr:uid="{00000000-0005-0000-0000-0000A04A0000}"/>
    <cellStyle name="Normal 6 3 2 2 3 2 3 3" xfId="13438" xr:uid="{00000000-0005-0000-0000-0000A14A0000}"/>
    <cellStyle name="Normal 6 3 2 2 3 2 3 3 2" xfId="33153" xr:uid="{00000000-0005-0000-0000-0000A24A0000}"/>
    <cellStyle name="Normal 6 3 2 2 3 2 3 4" xfId="23296" xr:uid="{00000000-0005-0000-0000-0000A34A0000}"/>
    <cellStyle name="Normal 6 3 2 2 3 2 4" xfId="6042" xr:uid="{00000000-0005-0000-0000-0000A44A0000}"/>
    <cellStyle name="Normal 6 3 2 2 3 2 4 2" xfId="15902" xr:uid="{00000000-0005-0000-0000-0000A54A0000}"/>
    <cellStyle name="Normal 6 3 2 2 3 2 4 2 2" xfId="35617" xr:uid="{00000000-0005-0000-0000-0000A64A0000}"/>
    <cellStyle name="Normal 6 3 2 2 3 2 4 3" xfId="25760" xr:uid="{00000000-0005-0000-0000-0000A74A0000}"/>
    <cellStyle name="Normal 6 3 2 2 3 2 5" xfId="10974" xr:uid="{00000000-0005-0000-0000-0000A84A0000}"/>
    <cellStyle name="Normal 6 3 2 2 3 2 5 2" xfId="30689" xr:uid="{00000000-0005-0000-0000-0000A94A0000}"/>
    <cellStyle name="Normal 6 3 2 2 3 2 6" xfId="20832" xr:uid="{00000000-0005-0000-0000-0000AA4A0000}"/>
    <cellStyle name="Normal 6 3 2 2 3 3" xfId="1723" xr:uid="{00000000-0005-0000-0000-0000AB4A0000}"/>
    <cellStyle name="Normal 6 3 2 2 3 3 2" xfId="4190" xr:uid="{00000000-0005-0000-0000-0000AC4A0000}"/>
    <cellStyle name="Normal 6 3 2 2 3 3 2 2" xfId="9122" xr:uid="{00000000-0005-0000-0000-0000AD4A0000}"/>
    <cellStyle name="Normal 6 3 2 2 3 3 2 2 2" xfId="18982" xr:uid="{00000000-0005-0000-0000-0000AE4A0000}"/>
    <cellStyle name="Normal 6 3 2 2 3 3 2 2 2 2" xfId="38697" xr:uid="{00000000-0005-0000-0000-0000AF4A0000}"/>
    <cellStyle name="Normal 6 3 2 2 3 3 2 2 3" xfId="28840" xr:uid="{00000000-0005-0000-0000-0000B04A0000}"/>
    <cellStyle name="Normal 6 3 2 2 3 3 2 3" xfId="14054" xr:uid="{00000000-0005-0000-0000-0000B14A0000}"/>
    <cellStyle name="Normal 6 3 2 2 3 3 2 3 2" xfId="33769" xr:uid="{00000000-0005-0000-0000-0000B24A0000}"/>
    <cellStyle name="Normal 6 3 2 2 3 3 2 4" xfId="23912" xr:uid="{00000000-0005-0000-0000-0000B34A0000}"/>
    <cellStyle name="Normal 6 3 2 2 3 3 3" xfId="6658" xr:uid="{00000000-0005-0000-0000-0000B44A0000}"/>
    <cellStyle name="Normal 6 3 2 2 3 3 3 2" xfId="16518" xr:uid="{00000000-0005-0000-0000-0000B54A0000}"/>
    <cellStyle name="Normal 6 3 2 2 3 3 3 2 2" xfId="36233" xr:uid="{00000000-0005-0000-0000-0000B64A0000}"/>
    <cellStyle name="Normal 6 3 2 2 3 3 3 3" xfId="26376" xr:uid="{00000000-0005-0000-0000-0000B74A0000}"/>
    <cellStyle name="Normal 6 3 2 2 3 3 4" xfId="11590" xr:uid="{00000000-0005-0000-0000-0000B84A0000}"/>
    <cellStyle name="Normal 6 3 2 2 3 3 4 2" xfId="31305" xr:uid="{00000000-0005-0000-0000-0000B94A0000}"/>
    <cellStyle name="Normal 6 3 2 2 3 3 5" xfId="21448" xr:uid="{00000000-0005-0000-0000-0000BA4A0000}"/>
    <cellStyle name="Normal 6 3 2 2 3 4" xfId="2958" xr:uid="{00000000-0005-0000-0000-0000BB4A0000}"/>
    <cellStyle name="Normal 6 3 2 2 3 4 2" xfId="7890" xr:uid="{00000000-0005-0000-0000-0000BC4A0000}"/>
    <cellStyle name="Normal 6 3 2 2 3 4 2 2" xfId="17750" xr:uid="{00000000-0005-0000-0000-0000BD4A0000}"/>
    <cellStyle name="Normal 6 3 2 2 3 4 2 2 2" xfId="37465" xr:uid="{00000000-0005-0000-0000-0000BE4A0000}"/>
    <cellStyle name="Normal 6 3 2 2 3 4 2 3" xfId="27608" xr:uid="{00000000-0005-0000-0000-0000BF4A0000}"/>
    <cellStyle name="Normal 6 3 2 2 3 4 3" xfId="12822" xr:uid="{00000000-0005-0000-0000-0000C04A0000}"/>
    <cellStyle name="Normal 6 3 2 2 3 4 3 2" xfId="32537" xr:uid="{00000000-0005-0000-0000-0000C14A0000}"/>
    <cellStyle name="Normal 6 3 2 2 3 4 4" xfId="22680" xr:uid="{00000000-0005-0000-0000-0000C24A0000}"/>
    <cellStyle name="Normal 6 3 2 2 3 5" xfId="5426" xr:uid="{00000000-0005-0000-0000-0000C34A0000}"/>
    <cellStyle name="Normal 6 3 2 2 3 5 2" xfId="15286" xr:uid="{00000000-0005-0000-0000-0000C44A0000}"/>
    <cellStyle name="Normal 6 3 2 2 3 5 2 2" xfId="35001" xr:uid="{00000000-0005-0000-0000-0000C54A0000}"/>
    <cellStyle name="Normal 6 3 2 2 3 5 3" xfId="25144" xr:uid="{00000000-0005-0000-0000-0000C64A0000}"/>
    <cellStyle name="Normal 6 3 2 2 3 6" xfId="10358" xr:uid="{00000000-0005-0000-0000-0000C74A0000}"/>
    <cellStyle name="Normal 6 3 2 2 3 6 2" xfId="30073" xr:uid="{00000000-0005-0000-0000-0000C84A0000}"/>
    <cellStyle name="Normal 6 3 2 2 3 7" xfId="20216" xr:uid="{00000000-0005-0000-0000-0000C94A0000}"/>
    <cellStyle name="Normal 6 3 2 2 4" xfId="797" xr:uid="{00000000-0005-0000-0000-0000CA4A0000}"/>
    <cellStyle name="Normal 6 3 2 2 4 2" xfId="2033" xr:uid="{00000000-0005-0000-0000-0000CB4A0000}"/>
    <cellStyle name="Normal 6 3 2 2 4 2 2" xfId="4500" xr:uid="{00000000-0005-0000-0000-0000CC4A0000}"/>
    <cellStyle name="Normal 6 3 2 2 4 2 2 2" xfId="9432" xr:uid="{00000000-0005-0000-0000-0000CD4A0000}"/>
    <cellStyle name="Normal 6 3 2 2 4 2 2 2 2" xfId="19292" xr:uid="{00000000-0005-0000-0000-0000CE4A0000}"/>
    <cellStyle name="Normal 6 3 2 2 4 2 2 2 2 2" xfId="39007" xr:uid="{00000000-0005-0000-0000-0000CF4A0000}"/>
    <cellStyle name="Normal 6 3 2 2 4 2 2 2 3" xfId="29150" xr:uid="{00000000-0005-0000-0000-0000D04A0000}"/>
    <cellStyle name="Normal 6 3 2 2 4 2 2 3" xfId="14364" xr:uid="{00000000-0005-0000-0000-0000D14A0000}"/>
    <cellStyle name="Normal 6 3 2 2 4 2 2 3 2" xfId="34079" xr:uid="{00000000-0005-0000-0000-0000D24A0000}"/>
    <cellStyle name="Normal 6 3 2 2 4 2 2 4" xfId="24222" xr:uid="{00000000-0005-0000-0000-0000D34A0000}"/>
    <cellStyle name="Normal 6 3 2 2 4 2 3" xfId="6968" xr:uid="{00000000-0005-0000-0000-0000D44A0000}"/>
    <cellStyle name="Normal 6 3 2 2 4 2 3 2" xfId="16828" xr:uid="{00000000-0005-0000-0000-0000D54A0000}"/>
    <cellStyle name="Normal 6 3 2 2 4 2 3 2 2" xfId="36543" xr:uid="{00000000-0005-0000-0000-0000D64A0000}"/>
    <cellStyle name="Normal 6 3 2 2 4 2 3 3" xfId="26686" xr:uid="{00000000-0005-0000-0000-0000D74A0000}"/>
    <cellStyle name="Normal 6 3 2 2 4 2 4" xfId="11900" xr:uid="{00000000-0005-0000-0000-0000D84A0000}"/>
    <cellStyle name="Normal 6 3 2 2 4 2 4 2" xfId="31615" xr:uid="{00000000-0005-0000-0000-0000D94A0000}"/>
    <cellStyle name="Normal 6 3 2 2 4 2 5" xfId="21758" xr:uid="{00000000-0005-0000-0000-0000DA4A0000}"/>
    <cellStyle name="Normal 6 3 2 2 4 3" xfId="3268" xr:uid="{00000000-0005-0000-0000-0000DB4A0000}"/>
    <cellStyle name="Normal 6 3 2 2 4 3 2" xfId="8200" xr:uid="{00000000-0005-0000-0000-0000DC4A0000}"/>
    <cellStyle name="Normal 6 3 2 2 4 3 2 2" xfId="18060" xr:uid="{00000000-0005-0000-0000-0000DD4A0000}"/>
    <cellStyle name="Normal 6 3 2 2 4 3 2 2 2" xfId="37775" xr:uid="{00000000-0005-0000-0000-0000DE4A0000}"/>
    <cellStyle name="Normal 6 3 2 2 4 3 2 3" xfId="27918" xr:uid="{00000000-0005-0000-0000-0000DF4A0000}"/>
    <cellStyle name="Normal 6 3 2 2 4 3 3" xfId="13132" xr:uid="{00000000-0005-0000-0000-0000E04A0000}"/>
    <cellStyle name="Normal 6 3 2 2 4 3 3 2" xfId="32847" xr:uid="{00000000-0005-0000-0000-0000E14A0000}"/>
    <cellStyle name="Normal 6 3 2 2 4 3 4" xfId="22990" xr:uid="{00000000-0005-0000-0000-0000E24A0000}"/>
    <cellStyle name="Normal 6 3 2 2 4 4" xfId="5736" xr:uid="{00000000-0005-0000-0000-0000E34A0000}"/>
    <cellStyle name="Normal 6 3 2 2 4 4 2" xfId="15596" xr:uid="{00000000-0005-0000-0000-0000E44A0000}"/>
    <cellStyle name="Normal 6 3 2 2 4 4 2 2" xfId="35311" xr:uid="{00000000-0005-0000-0000-0000E54A0000}"/>
    <cellStyle name="Normal 6 3 2 2 4 4 3" xfId="25454" xr:uid="{00000000-0005-0000-0000-0000E64A0000}"/>
    <cellStyle name="Normal 6 3 2 2 4 5" xfId="10668" xr:uid="{00000000-0005-0000-0000-0000E74A0000}"/>
    <cellStyle name="Normal 6 3 2 2 4 5 2" xfId="30383" xr:uid="{00000000-0005-0000-0000-0000E84A0000}"/>
    <cellStyle name="Normal 6 3 2 2 4 6" xfId="20526" xr:uid="{00000000-0005-0000-0000-0000E94A0000}"/>
    <cellStyle name="Normal 6 3 2 2 5" xfId="1417" xr:uid="{00000000-0005-0000-0000-0000EA4A0000}"/>
    <cellStyle name="Normal 6 3 2 2 5 2" xfId="3884" xr:uid="{00000000-0005-0000-0000-0000EB4A0000}"/>
    <cellStyle name="Normal 6 3 2 2 5 2 2" xfId="8816" xr:uid="{00000000-0005-0000-0000-0000EC4A0000}"/>
    <cellStyle name="Normal 6 3 2 2 5 2 2 2" xfId="18676" xr:uid="{00000000-0005-0000-0000-0000ED4A0000}"/>
    <cellStyle name="Normal 6 3 2 2 5 2 2 2 2" xfId="38391" xr:uid="{00000000-0005-0000-0000-0000EE4A0000}"/>
    <cellStyle name="Normal 6 3 2 2 5 2 2 3" xfId="28534" xr:uid="{00000000-0005-0000-0000-0000EF4A0000}"/>
    <cellStyle name="Normal 6 3 2 2 5 2 3" xfId="13748" xr:uid="{00000000-0005-0000-0000-0000F04A0000}"/>
    <cellStyle name="Normal 6 3 2 2 5 2 3 2" xfId="33463" xr:uid="{00000000-0005-0000-0000-0000F14A0000}"/>
    <cellStyle name="Normal 6 3 2 2 5 2 4" xfId="23606" xr:uid="{00000000-0005-0000-0000-0000F24A0000}"/>
    <cellStyle name="Normal 6 3 2 2 5 3" xfId="6352" xr:uid="{00000000-0005-0000-0000-0000F34A0000}"/>
    <cellStyle name="Normal 6 3 2 2 5 3 2" xfId="16212" xr:uid="{00000000-0005-0000-0000-0000F44A0000}"/>
    <cellStyle name="Normal 6 3 2 2 5 3 2 2" xfId="35927" xr:uid="{00000000-0005-0000-0000-0000F54A0000}"/>
    <cellStyle name="Normal 6 3 2 2 5 3 3" xfId="26070" xr:uid="{00000000-0005-0000-0000-0000F64A0000}"/>
    <cellStyle name="Normal 6 3 2 2 5 4" xfId="11284" xr:uid="{00000000-0005-0000-0000-0000F74A0000}"/>
    <cellStyle name="Normal 6 3 2 2 5 4 2" xfId="30999" xr:uid="{00000000-0005-0000-0000-0000F84A0000}"/>
    <cellStyle name="Normal 6 3 2 2 5 5" xfId="21142" xr:uid="{00000000-0005-0000-0000-0000F94A0000}"/>
    <cellStyle name="Normal 6 3 2 2 6" xfId="2652" xr:uid="{00000000-0005-0000-0000-0000FA4A0000}"/>
    <cellStyle name="Normal 6 3 2 2 6 2" xfId="7584" xr:uid="{00000000-0005-0000-0000-0000FB4A0000}"/>
    <cellStyle name="Normal 6 3 2 2 6 2 2" xfId="17444" xr:uid="{00000000-0005-0000-0000-0000FC4A0000}"/>
    <cellStyle name="Normal 6 3 2 2 6 2 2 2" xfId="37159" xr:uid="{00000000-0005-0000-0000-0000FD4A0000}"/>
    <cellStyle name="Normal 6 3 2 2 6 2 3" xfId="27302" xr:uid="{00000000-0005-0000-0000-0000FE4A0000}"/>
    <cellStyle name="Normal 6 3 2 2 6 3" xfId="12516" xr:uid="{00000000-0005-0000-0000-0000FF4A0000}"/>
    <cellStyle name="Normal 6 3 2 2 6 3 2" xfId="32231" xr:uid="{00000000-0005-0000-0000-0000004B0000}"/>
    <cellStyle name="Normal 6 3 2 2 6 4" xfId="22374" xr:uid="{00000000-0005-0000-0000-0000014B0000}"/>
    <cellStyle name="Normal 6 3 2 2 7" xfId="5120" xr:uid="{00000000-0005-0000-0000-0000024B0000}"/>
    <cellStyle name="Normal 6 3 2 2 7 2" xfId="14980" xr:uid="{00000000-0005-0000-0000-0000034B0000}"/>
    <cellStyle name="Normal 6 3 2 2 7 2 2" xfId="34695" xr:uid="{00000000-0005-0000-0000-0000044B0000}"/>
    <cellStyle name="Normal 6 3 2 2 7 3" xfId="24838" xr:uid="{00000000-0005-0000-0000-0000054B0000}"/>
    <cellStyle name="Normal 6 3 2 2 8" xfId="10052" xr:uid="{00000000-0005-0000-0000-0000064B0000}"/>
    <cellStyle name="Normal 6 3 2 2 8 2" xfId="29767" xr:uid="{00000000-0005-0000-0000-0000074B0000}"/>
    <cellStyle name="Normal 6 3 2 2 9" xfId="19910" xr:uid="{00000000-0005-0000-0000-0000084B0000}"/>
    <cellStyle name="Normal 6 3 2 3" xfId="246" xr:uid="{00000000-0005-0000-0000-0000094B0000}"/>
    <cellStyle name="Normal 6 3 2 3 2" xfId="560" xr:uid="{00000000-0005-0000-0000-00000A4B0000}"/>
    <cellStyle name="Normal 6 3 2 3 2 2" xfId="1180" xr:uid="{00000000-0005-0000-0000-00000B4B0000}"/>
    <cellStyle name="Normal 6 3 2 3 2 2 2" xfId="2415" xr:uid="{00000000-0005-0000-0000-00000C4B0000}"/>
    <cellStyle name="Normal 6 3 2 3 2 2 2 2" xfId="4882" xr:uid="{00000000-0005-0000-0000-00000D4B0000}"/>
    <cellStyle name="Normal 6 3 2 3 2 2 2 2 2" xfId="9814" xr:uid="{00000000-0005-0000-0000-00000E4B0000}"/>
    <cellStyle name="Normal 6 3 2 3 2 2 2 2 2 2" xfId="19674" xr:uid="{00000000-0005-0000-0000-00000F4B0000}"/>
    <cellStyle name="Normal 6 3 2 3 2 2 2 2 2 2 2" xfId="39389" xr:uid="{00000000-0005-0000-0000-0000104B0000}"/>
    <cellStyle name="Normal 6 3 2 3 2 2 2 2 2 3" xfId="29532" xr:uid="{00000000-0005-0000-0000-0000114B0000}"/>
    <cellStyle name="Normal 6 3 2 3 2 2 2 2 3" xfId="14746" xr:uid="{00000000-0005-0000-0000-0000124B0000}"/>
    <cellStyle name="Normal 6 3 2 3 2 2 2 2 3 2" xfId="34461" xr:uid="{00000000-0005-0000-0000-0000134B0000}"/>
    <cellStyle name="Normal 6 3 2 3 2 2 2 2 4" xfId="24604" xr:uid="{00000000-0005-0000-0000-0000144B0000}"/>
    <cellStyle name="Normal 6 3 2 3 2 2 2 3" xfId="7350" xr:uid="{00000000-0005-0000-0000-0000154B0000}"/>
    <cellStyle name="Normal 6 3 2 3 2 2 2 3 2" xfId="17210" xr:uid="{00000000-0005-0000-0000-0000164B0000}"/>
    <cellStyle name="Normal 6 3 2 3 2 2 2 3 2 2" xfId="36925" xr:uid="{00000000-0005-0000-0000-0000174B0000}"/>
    <cellStyle name="Normal 6 3 2 3 2 2 2 3 3" xfId="27068" xr:uid="{00000000-0005-0000-0000-0000184B0000}"/>
    <cellStyle name="Normal 6 3 2 3 2 2 2 4" xfId="12282" xr:uid="{00000000-0005-0000-0000-0000194B0000}"/>
    <cellStyle name="Normal 6 3 2 3 2 2 2 4 2" xfId="31997" xr:uid="{00000000-0005-0000-0000-00001A4B0000}"/>
    <cellStyle name="Normal 6 3 2 3 2 2 2 5" xfId="22140" xr:uid="{00000000-0005-0000-0000-00001B4B0000}"/>
    <cellStyle name="Normal 6 3 2 3 2 2 3" xfId="3650" xr:uid="{00000000-0005-0000-0000-00001C4B0000}"/>
    <cellStyle name="Normal 6 3 2 3 2 2 3 2" xfId="8582" xr:uid="{00000000-0005-0000-0000-00001D4B0000}"/>
    <cellStyle name="Normal 6 3 2 3 2 2 3 2 2" xfId="18442" xr:uid="{00000000-0005-0000-0000-00001E4B0000}"/>
    <cellStyle name="Normal 6 3 2 3 2 2 3 2 2 2" xfId="38157" xr:uid="{00000000-0005-0000-0000-00001F4B0000}"/>
    <cellStyle name="Normal 6 3 2 3 2 2 3 2 3" xfId="28300" xr:uid="{00000000-0005-0000-0000-0000204B0000}"/>
    <cellStyle name="Normal 6 3 2 3 2 2 3 3" xfId="13514" xr:uid="{00000000-0005-0000-0000-0000214B0000}"/>
    <cellStyle name="Normal 6 3 2 3 2 2 3 3 2" xfId="33229" xr:uid="{00000000-0005-0000-0000-0000224B0000}"/>
    <cellStyle name="Normal 6 3 2 3 2 2 3 4" xfId="23372" xr:uid="{00000000-0005-0000-0000-0000234B0000}"/>
    <cellStyle name="Normal 6 3 2 3 2 2 4" xfId="6118" xr:uid="{00000000-0005-0000-0000-0000244B0000}"/>
    <cellStyle name="Normal 6 3 2 3 2 2 4 2" xfId="15978" xr:uid="{00000000-0005-0000-0000-0000254B0000}"/>
    <cellStyle name="Normal 6 3 2 3 2 2 4 2 2" xfId="35693" xr:uid="{00000000-0005-0000-0000-0000264B0000}"/>
    <cellStyle name="Normal 6 3 2 3 2 2 4 3" xfId="25836" xr:uid="{00000000-0005-0000-0000-0000274B0000}"/>
    <cellStyle name="Normal 6 3 2 3 2 2 5" xfId="11050" xr:uid="{00000000-0005-0000-0000-0000284B0000}"/>
    <cellStyle name="Normal 6 3 2 3 2 2 5 2" xfId="30765" xr:uid="{00000000-0005-0000-0000-0000294B0000}"/>
    <cellStyle name="Normal 6 3 2 3 2 2 6" xfId="20908" xr:uid="{00000000-0005-0000-0000-00002A4B0000}"/>
    <cellStyle name="Normal 6 3 2 3 2 3" xfId="1799" xr:uid="{00000000-0005-0000-0000-00002B4B0000}"/>
    <cellStyle name="Normal 6 3 2 3 2 3 2" xfId="4266" xr:uid="{00000000-0005-0000-0000-00002C4B0000}"/>
    <cellStyle name="Normal 6 3 2 3 2 3 2 2" xfId="9198" xr:uid="{00000000-0005-0000-0000-00002D4B0000}"/>
    <cellStyle name="Normal 6 3 2 3 2 3 2 2 2" xfId="19058" xr:uid="{00000000-0005-0000-0000-00002E4B0000}"/>
    <cellStyle name="Normal 6 3 2 3 2 3 2 2 2 2" xfId="38773" xr:uid="{00000000-0005-0000-0000-00002F4B0000}"/>
    <cellStyle name="Normal 6 3 2 3 2 3 2 2 3" xfId="28916" xr:uid="{00000000-0005-0000-0000-0000304B0000}"/>
    <cellStyle name="Normal 6 3 2 3 2 3 2 3" xfId="14130" xr:uid="{00000000-0005-0000-0000-0000314B0000}"/>
    <cellStyle name="Normal 6 3 2 3 2 3 2 3 2" xfId="33845" xr:uid="{00000000-0005-0000-0000-0000324B0000}"/>
    <cellStyle name="Normal 6 3 2 3 2 3 2 4" xfId="23988" xr:uid="{00000000-0005-0000-0000-0000334B0000}"/>
    <cellStyle name="Normal 6 3 2 3 2 3 3" xfId="6734" xr:uid="{00000000-0005-0000-0000-0000344B0000}"/>
    <cellStyle name="Normal 6 3 2 3 2 3 3 2" xfId="16594" xr:uid="{00000000-0005-0000-0000-0000354B0000}"/>
    <cellStyle name="Normal 6 3 2 3 2 3 3 2 2" xfId="36309" xr:uid="{00000000-0005-0000-0000-0000364B0000}"/>
    <cellStyle name="Normal 6 3 2 3 2 3 3 3" xfId="26452" xr:uid="{00000000-0005-0000-0000-0000374B0000}"/>
    <cellStyle name="Normal 6 3 2 3 2 3 4" xfId="11666" xr:uid="{00000000-0005-0000-0000-0000384B0000}"/>
    <cellStyle name="Normal 6 3 2 3 2 3 4 2" xfId="31381" xr:uid="{00000000-0005-0000-0000-0000394B0000}"/>
    <cellStyle name="Normal 6 3 2 3 2 3 5" xfId="21524" xr:uid="{00000000-0005-0000-0000-00003A4B0000}"/>
    <cellStyle name="Normal 6 3 2 3 2 4" xfId="3034" xr:uid="{00000000-0005-0000-0000-00003B4B0000}"/>
    <cellStyle name="Normal 6 3 2 3 2 4 2" xfId="7966" xr:uid="{00000000-0005-0000-0000-00003C4B0000}"/>
    <cellStyle name="Normal 6 3 2 3 2 4 2 2" xfId="17826" xr:uid="{00000000-0005-0000-0000-00003D4B0000}"/>
    <cellStyle name="Normal 6 3 2 3 2 4 2 2 2" xfId="37541" xr:uid="{00000000-0005-0000-0000-00003E4B0000}"/>
    <cellStyle name="Normal 6 3 2 3 2 4 2 3" xfId="27684" xr:uid="{00000000-0005-0000-0000-00003F4B0000}"/>
    <cellStyle name="Normal 6 3 2 3 2 4 3" xfId="12898" xr:uid="{00000000-0005-0000-0000-0000404B0000}"/>
    <cellStyle name="Normal 6 3 2 3 2 4 3 2" xfId="32613" xr:uid="{00000000-0005-0000-0000-0000414B0000}"/>
    <cellStyle name="Normal 6 3 2 3 2 4 4" xfId="22756" xr:uid="{00000000-0005-0000-0000-0000424B0000}"/>
    <cellStyle name="Normal 6 3 2 3 2 5" xfId="5502" xr:uid="{00000000-0005-0000-0000-0000434B0000}"/>
    <cellStyle name="Normal 6 3 2 3 2 5 2" xfId="15362" xr:uid="{00000000-0005-0000-0000-0000444B0000}"/>
    <cellStyle name="Normal 6 3 2 3 2 5 2 2" xfId="35077" xr:uid="{00000000-0005-0000-0000-0000454B0000}"/>
    <cellStyle name="Normal 6 3 2 3 2 5 3" xfId="25220" xr:uid="{00000000-0005-0000-0000-0000464B0000}"/>
    <cellStyle name="Normal 6 3 2 3 2 6" xfId="10434" xr:uid="{00000000-0005-0000-0000-0000474B0000}"/>
    <cellStyle name="Normal 6 3 2 3 2 6 2" xfId="30149" xr:uid="{00000000-0005-0000-0000-0000484B0000}"/>
    <cellStyle name="Normal 6 3 2 3 2 7" xfId="20292" xr:uid="{00000000-0005-0000-0000-0000494B0000}"/>
    <cellStyle name="Normal 6 3 2 3 3" xfId="873" xr:uid="{00000000-0005-0000-0000-00004A4B0000}"/>
    <cellStyle name="Normal 6 3 2 3 3 2" xfId="2109" xr:uid="{00000000-0005-0000-0000-00004B4B0000}"/>
    <cellStyle name="Normal 6 3 2 3 3 2 2" xfId="4576" xr:uid="{00000000-0005-0000-0000-00004C4B0000}"/>
    <cellStyle name="Normal 6 3 2 3 3 2 2 2" xfId="9508" xr:uid="{00000000-0005-0000-0000-00004D4B0000}"/>
    <cellStyle name="Normal 6 3 2 3 3 2 2 2 2" xfId="19368" xr:uid="{00000000-0005-0000-0000-00004E4B0000}"/>
    <cellStyle name="Normal 6 3 2 3 3 2 2 2 2 2" xfId="39083" xr:uid="{00000000-0005-0000-0000-00004F4B0000}"/>
    <cellStyle name="Normal 6 3 2 3 3 2 2 2 3" xfId="29226" xr:uid="{00000000-0005-0000-0000-0000504B0000}"/>
    <cellStyle name="Normal 6 3 2 3 3 2 2 3" xfId="14440" xr:uid="{00000000-0005-0000-0000-0000514B0000}"/>
    <cellStyle name="Normal 6 3 2 3 3 2 2 3 2" xfId="34155" xr:uid="{00000000-0005-0000-0000-0000524B0000}"/>
    <cellStyle name="Normal 6 3 2 3 3 2 2 4" xfId="24298" xr:uid="{00000000-0005-0000-0000-0000534B0000}"/>
    <cellStyle name="Normal 6 3 2 3 3 2 3" xfId="7044" xr:uid="{00000000-0005-0000-0000-0000544B0000}"/>
    <cellStyle name="Normal 6 3 2 3 3 2 3 2" xfId="16904" xr:uid="{00000000-0005-0000-0000-0000554B0000}"/>
    <cellStyle name="Normal 6 3 2 3 3 2 3 2 2" xfId="36619" xr:uid="{00000000-0005-0000-0000-0000564B0000}"/>
    <cellStyle name="Normal 6 3 2 3 3 2 3 3" xfId="26762" xr:uid="{00000000-0005-0000-0000-0000574B0000}"/>
    <cellStyle name="Normal 6 3 2 3 3 2 4" xfId="11976" xr:uid="{00000000-0005-0000-0000-0000584B0000}"/>
    <cellStyle name="Normal 6 3 2 3 3 2 4 2" xfId="31691" xr:uid="{00000000-0005-0000-0000-0000594B0000}"/>
    <cellStyle name="Normal 6 3 2 3 3 2 5" xfId="21834" xr:uid="{00000000-0005-0000-0000-00005A4B0000}"/>
    <cellStyle name="Normal 6 3 2 3 3 3" xfId="3344" xr:uid="{00000000-0005-0000-0000-00005B4B0000}"/>
    <cellStyle name="Normal 6 3 2 3 3 3 2" xfId="8276" xr:uid="{00000000-0005-0000-0000-00005C4B0000}"/>
    <cellStyle name="Normal 6 3 2 3 3 3 2 2" xfId="18136" xr:uid="{00000000-0005-0000-0000-00005D4B0000}"/>
    <cellStyle name="Normal 6 3 2 3 3 3 2 2 2" xfId="37851" xr:uid="{00000000-0005-0000-0000-00005E4B0000}"/>
    <cellStyle name="Normal 6 3 2 3 3 3 2 3" xfId="27994" xr:uid="{00000000-0005-0000-0000-00005F4B0000}"/>
    <cellStyle name="Normal 6 3 2 3 3 3 3" xfId="13208" xr:uid="{00000000-0005-0000-0000-0000604B0000}"/>
    <cellStyle name="Normal 6 3 2 3 3 3 3 2" xfId="32923" xr:uid="{00000000-0005-0000-0000-0000614B0000}"/>
    <cellStyle name="Normal 6 3 2 3 3 3 4" xfId="23066" xr:uid="{00000000-0005-0000-0000-0000624B0000}"/>
    <cellStyle name="Normal 6 3 2 3 3 4" xfId="5812" xr:uid="{00000000-0005-0000-0000-0000634B0000}"/>
    <cellStyle name="Normal 6 3 2 3 3 4 2" xfId="15672" xr:uid="{00000000-0005-0000-0000-0000644B0000}"/>
    <cellStyle name="Normal 6 3 2 3 3 4 2 2" xfId="35387" xr:uid="{00000000-0005-0000-0000-0000654B0000}"/>
    <cellStyle name="Normal 6 3 2 3 3 4 3" xfId="25530" xr:uid="{00000000-0005-0000-0000-0000664B0000}"/>
    <cellStyle name="Normal 6 3 2 3 3 5" xfId="10744" xr:uid="{00000000-0005-0000-0000-0000674B0000}"/>
    <cellStyle name="Normal 6 3 2 3 3 5 2" xfId="30459" xr:uid="{00000000-0005-0000-0000-0000684B0000}"/>
    <cellStyle name="Normal 6 3 2 3 3 6" xfId="20602" xr:uid="{00000000-0005-0000-0000-0000694B0000}"/>
    <cellStyle name="Normal 6 3 2 3 4" xfId="1493" xr:uid="{00000000-0005-0000-0000-00006A4B0000}"/>
    <cellStyle name="Normal 6 3 2 3 4 2" xfId="3960" xr:uid="{00000000-0005-0000-0000-00006B4B0000}"/>
    <cellStyle name="Normal 6 3 2 3 4 2 2" xfId="8892" xr:uid="{00000000-0005-0000-0000-00006C4B0000}"/>
    <cellStyle name="Normal 6 3 2 3 4 2 2 2" xfId="18752" xr:uid="{00000000-0005-0000-0000-00006D4B0000}"/>
    <cellStyle name="Normal 6 3 2 3 4 2 2 2 2" xfId="38467" xr:uid="{00000000-0005-0000-0000-00006E4B0000}"/>
    <cellStyle name="Normal 6 3 2 3 4 2 2 3" xfId="28610" xr:uid="{00000000-0005-0000-0000-00006F4B0000}"/>
    <cellStyle name="Normal 6 3 2 3 4 2 3" xfId="13824" xr:uid="{00000000-0005-0000-0000-0000704B0000}"/>
    <cellStyle name="Normal 6 3 2 3 4 2 3 2" xfId="33539" xr:uid="{00000000-0005-0000-0000-0000714B0000}"/>
    <cellStyle name="Normal 6 3 2 3 4 2 4" xfId="23682" xr:uid="{00000000-0005-0000-0000-0000724B0000}"/>
    <cellStyle name="Normal 6 3 2 3 4 3" xfId="6428" xr:uid="{00000000-0005-0000-0000-0000734B0000}"/>
    <cellStyle name="Normal 6 3 2 3 4 3 2" xfId="16288" xr:uid="{00000000-0005-0000-0000-0000744B0000}"/>
    <cellStyle name="Normal 6 3 2 3 4 3 2 2" xfId="36003" xr:uid="{00000000-0005-0000-0000-0000754B0000}"/>
    <cellStyle name="Normal 6 3 2 3 4 3 3" xfId="26146" xr:uid="{00000000-0005-0000-0000-0000764B0000}"/>
    <cellStyle name="Normal 6 3 2 3 4 4" xfId="11360" xr:uid="{00000000-0005-0000-0000-0000774B0000}"/>
    <cellStyle name="Normal 6 3 2 3 4 4 2" xfId="31075" xr:uid="{00000000-0005-0000-0000-0000784B0000}"/>
    <cellStyle name="Normal 6 3 2 3 4 5" xfId="21218" xr:uid="{00000000-0005-0000-0000-0000794B0000}"/>
    <cellStyle name="Normal 6 3 2 3 5" xfId="2728" xr:uid="{00000000-0005-0000-0000-00007A4B0000}"/>
    <cellStyle name="Normal 6 3 2 3 5 2" xfId="7660" xr:uid="{00000000-0005-0000-0000-00007B4B0000}"/>
    <cellStyle name="Normal 6 3 2 3 5 2 2" xfId="17520" xr:uid="{00000000-0005-0000-0000-00007C4B0000}"/>
    <cellStyle name="Normal 6 3 2 3 5 2 2 2" xfId="37235" xr:uid="{00000000-0005-0000-0000-00007D4B0000}"/>
    <cellStyle name="Normal 6 3 2 3 5 2 3" xfId="27378" xr:uid="{00000000-0005-0000-0000-00007E4B0000}"/>
    <cellStyle name="Normal 6 3 2 3 5 3" xfId="12592" xr:uid="{00000000-0005-0000-0000-00007F4B0000}"/>
    <cellStyle name="Normal 6 3 2 3 5 3 2" xfId="32307" xr:uid="{00000000-0005-0000-0000-0000804B0000}"/>
    <cellStyle name="Normal 6 3 2 3 5 4" xfId="22450" xr:uid="{00000000-0005-0000-0000-0000814B0000}"/>
    <cellStyle name="Normal 6 3 2 3 6" xfId="5196" xr:uid="{00000000-0005-0000-0000-0000824B0000}"/>
    <cellStyle name="Normal 6 3 2 3 6 2" xfId="15056" xr:uid="{00000000-0005-0000-0000-0000834B0000}"/>
    <cellStyle name="Normal 6 3 2 3 6 2 2" xfId="34771" xr:uid="{00000000-0005-0000-0000-0000844B0000}"/>
    <cellStyle name="Normal 6 3 2 3 6 3" xfId="24914" xr:uid="{00000000-0005-0000-0000-0000854B0000}"/>
    <cellStyle name="Normal 6 3 2 3 7" xfId="10128" xr:uid="{00000000-0005-0000-0000-0000864B0000}"/>
    <cellStyle name="Normal 6 3 2 3 7 2" xfId="29843" xr:uid="{00000000-0005-0000-0000-0000874B0000}"/>
    <cellStyle name="Normal 6 3 2 3 8" xfId="19986" xr:uid="{00000000-0005-0000-0000-0000884B0000}"/>
    <cellStyle name="Normal 6 3 2 4" xfId="408" xr:uid="{00000000-0005-0000-0000-0000894B0000}"/>
    <cellStyle name="Normal 6 3 2 4 2" xfId="1028" xr:uid="{00000000-0005-0000-0000-00008A4B0000}"/>
    <cellStyle name="Normal 6 3 2 4 2 2" xfId="2263" xr:uid="{00000000-0005-0000-0000-00008B4B0000}"/>
    <cellStyle name="Normal 6 3 2 4 2 2 2" xfId="4730" xr:uid="{00000000-0005-0000-0000-00008C4B0000}"/>
    <cellStyle name="Normal 6 3 2 4 2 2 2 2" xfId="9662" xr:uid="{00000000-0005-0000-0000-00008D4B0000}"/>
    <cellStyle name="Normal 6 3 2 4 2 2 2 2 2" xfId="19522" xr:uid="{00000000-0005-0000-0000-00008E4B0000}"/>
    <cellStyle name="Normal 6 3 2 4 2 2 2 2 2 2" xfId="39237" xr:uid="{00000000-0005-0000-0000-00008F4B0000}"/>
    <cellStyle name="Normal 6 3 2 4 2 2 2 2 3" xfId="29380" xr:uid="{00000000-0005-0000-0000-0000904B0000}"/>
    <cellStyle name="Normal 6 3 2 4 2 2 2 3" xfId="14594" xr:uid="{00000000-0005-0000-0000-0000914B0000}"/>
    <cellStyle name="Normal 6 3 2 4 2 2 2 3 2" xfId="34309" xr:uid="{00000000-0005-0000-0000-0000924B0000}"/>
    <cellStyle name="Normal 6 3 2 4 2 2 2 4" xfId="24452" xr:uid="{00000000-0005-0000-0000-0000934B0000}"/>
    <cellStyle name="Normal 6 3 2 4 2 2 3" xfId="7198" xr:uid="{00000000-0005-0000-0000-0000944B0000}"/>
    <cellStyle name="Normal 6 3 2 4 2 2 3 2" xfId="17058" xr:uid="{00000000-0005-0000-0000-0000954B0000}"/>
    <cellStyle name="Normal 6 3 2 4 2 2 3 2 2" xfId="36773" xr:uid="{00000000-0005-0000-0000-0000964B0000}"/>
    <cellStyle name="Normal 6 3 2 4 2 2 3 3" xfId="26916" xr:uid="{00000000-0005-0000-0000-0000974B0000}"/>
    <cellStyle name="Normal 6 3 2 4 2 2 4" xfId="12130" xr:uid="{00000000-0005-0000-0000-0000984B0000}"/>
    <cellStyle name="Normal 6 3 2 4 2 2 4 2" xfId="31845" xr:uid="{00000000-0005-0000-0000-0000994B0000}"/>
    <cellStyle name="Normal 6 3 2 4 2 2 5" xfId="21988" xr:uid="{00000000-0005-0000-0000-00009A4B0000}"/>
    <cellStyle name="Normal 6 3 2 4 2 3" xfId="3498" xr:uid="{00000000-0005-0000-0000-00009B4B0000}"/>
    <cellStyle name="Normal 6 3 2 4 2 3 2" xfId="8430" xr:uid="{00000000-0005-0000-0000-00009C4B0000}"/>
    <cellStyle name="Normal 6 3 2 4 2 3 2 2" xfId="18290" xr:uid="{00000000-0005-0000-0000-00009D4B0000}"/>
    <cellStyle name="Normal 6 3 2 4 2 3 2 2 2" xfId="38005" xr:uid="{00000000-0005-0000-0000-00009E4B0000}"/>
    <cellStyle name="Normal 6 3 2 4 2 3 2 3" xfId="28148" xr:uid="{00000000-0005-0000-0000-00009F4B0000}"/>
    <cellStyle name="Normal 6 3 2 4 2 3 3" xfId="13362" xr:uid="{00000000-0005-0000-0000-0000A04B0000}"/>
    <cellStyle name="Normal 6 3 2 4 2 3 3 2" xfId="33077" xr:uid="{00000000-0005-0000-0000-0000A14B0000}"/>
    <cellStyle name="Normal 6 3 2 4 2 3 4" xfId="23220" xr:uid="{00000000-0005-0000-0000-0000A24B0000}"/>
    <cellStyle name="Normal 6 3 2 4 2 4" xfId="5966" xr:uid="{00000000-0005-0000-0000-0000A34B0000}"/>
    <cellStyle name="Normal 6 3 2 4 2 4 2" xfId="15826" xr:uid="{00000000-0005-0000-0000-0000A44B0000}"/>
    <cellStyle name="Normal 6 3 2 4 2 4 2 2" xfId="35541" xr:uid="{00000000-0005-0000-0000-0000A54B0000}"/>
    <cellStyle name="Normal 6 3 2 4 2 4 3" xfId="25684" xr:uid="{00000000-0005-0000-0000-0000A64B0000}"/>
    <cellStyle name="Normal 6 3 2 4 2 5" xfId="10898" xr:uid="{00000000-0005-0000-0000-0000A74B0000}"/>
    <cellStyle name="Normal 6 3 2 4 2 5 2" xfId="30613" xr:uid="{00000000-0005-0000-0000-0000A84B0000}"/>
    <cellStyle name="Normal 6 3 2 4 2 6" xfId="20756" xr:uid="{00000000-0005-0000-0000-0000A94B0000}"/>
    <cellStyle name="Normal 6 3 2 4 3" xfId="1647" xr:uid="{00000000-0005-0000-0000-0000AA4B0000}"/>
    <cellStyle name="Normal 6 3 2 4 3 2" xfId="4114" xr:uid="{00000000-0005-0000-0000-0000AB4B0000}"/>
    <cellStyle name="Normal 6 3 2 4 3 2 2" xfId="9046" xr:uid="{00000000-0005-0000-0000-0000AC4B0000}"/>
    <cellStyle name="Normal 6 3 2 4 3 2 2 2" xfId="18906" xr:uid="{00000000-0005-0000-0000-0000AD4B0000}"/>
    <cellStyle name="Normal 6 3 2 4 3 2 2 2 2" xfId="38621" xr:uid="{00000000-0005-0000-0000-0000AE4B0000}"/>
    <cellStyle name="Normal 6 3 2 4 3 2 2 3" xfId="28764" xr:uid="{00000000-0005-0000-0000-0000AF4B0000}"/>
    <cellStyle name="Normal 6 3 2 4 3 2 3" xfId="13978" xr:uid="{00000000-0005-0000-0000-0000B04B0000}"/>
    <cellStyle name="Normal 6 3 2 4 3 2 3 2" xfId="33693" xr:uid="{00000000-0005-0000-0000-0000B14B0000}"/>
    <cellStyle name="Normal 6 3 2 4 3 2 4" xfId="23836" xr:uid="{00000000-0005-0000-0000-0000B24B0000}"/>
    <cellStyle name="Normal 6 3 2 4 3 3" xfId="6582" xr:uid="{00000000-0005-0000-0000-0000B34B0000}"/>
    <cellStyle name="Normal 6 3 2 4 3 3 2" xfId="16442" xr:uid="{00000000-0005-0000-0000-0000B44B0000}"/>
    <cellStyle name="Normal 6 3 2 4 3 3 2 2" xfId="36157" xr:uid="{00000000-0005-0000-0000-0000B54B0000}"/>
    <cellStyle name="Normal 6 3 2 4 3 3 3" xfId="26300" xr:uid="{00000000-0005-0000-0000-0000B64B0000}"/>
    <cellStyle name="Normal 6 3 2 4 3 4" xfId="11514" xr:uid="{00000000-0005-0000-0000-0000B74B0000}"/>
    <cellStyle name="Normal 6 3 2 4 3 4 2" xfId="31229" xr:uid="{00000000-0005-0000-0000-0000B84B0000}"/>
    <cellStyle name="Normal 6 3 2 4 3 5" xfId="21372" xr:uid="{00000000-0005-0000-0000-0000B94B0000}"/>
    <cellStyle name="Normal 6 3 2 4 4" xfId="2882" xr:uid="{00000000-0005-0000-0000-0000BA4B0000}"/>
    <cellStyle name="Normal 6 3 2 4 4 2" xfId="7814" xr:uid="{00000000-0005-0000-0000-0000BB4B0000}"/>
    <cellStyle name="Normal 6 3 2 4 4 2 2" xfId="17674" xr:uid="{00000000-0005-0000-0000-0000BC4B0000}"/>
    <cellStyle name="Normal 6 3 2 4 4 2 2 2" xfId="37389" xr:uid="{00000000-0005-0000-0000-0000BD4B0000}"/>
    <cellStyle name="Normal 6 3 2 4 4 2 3" xfId="27532" xr:uid="{00000000-0005-0000-0000-0000BE4B0000}"/>
    <cellStyle name="Normal 6 3 2 4 4 3" xfId="12746" xr:uid="{00000000-0005-0000-0000-0000BF4B0000}"/>
    <cellStyle name="Normal 6 3 2 4 4 3 2" xfId="32461" xr:uid="{00000000-0005-0000-0000-0000C04B0000}"/>
    <cellStyle name="Normal 6 3 2 4 4 4" xfId="22604" xr:uid="{00000000-0005-0000-0000-0000C14B0000}"/>
    <cellStyle name="Normal 6 3 2 4 5" xfId="5350" xr:uid="{00000000-0005-0000-0000-0000C24B0000}"/>
    <cellStyle name="Normal 6 3 2 4 5 2" xfId="15210" xr:uid="{00000000-0005-0000-0000-0000C34B0000}"/>
    <cellStyle name="Normal 6 3 2 4 5 2 2" xfId="34925" xr:uid="{00000000-0005-0000-0000-0000C44B0000}"/>
    <cellStyle name="Normal 6 3 2 4 5 3" xfId="25068" xr:uid="{00000000-0005-0000-0000-0000C54B0000}"/>
    <cellStyle name="Normal 6 3 2 4 6" xfId="10282" xr:uid="{00000000-0005-0000-0000-0000C64B0000}"/>
    <cellStyle name="Normal 6 3 2 4 6 2" xfId="29997" xr:uid="{00000000-0005-0000-0000-0000C74B0000}"/>
    <cellStyle name="Normal 6 3 2 4 7" xfId="20140" xr:uid="{00000000-0005-0000-0000-0000C84B0000}"/>
    <cellStyle name="Normal 6 3 2 5" xfId="721" xr:uid="{00000000-0005-0000-0000-0000C94B0000}"/>
    <cellStyle name="Normal 6 3 2 5 2" xfId="1957" xr:uid="{00000000-0005-0000-0000-0000CA4B0000}"/>
    <cellStyle name="Normal 6 3 2 5 2 2" xfId="4424" xr:uid="{00000000-0005-0000-0000-0000CB4B0000}"/>
    <cellStyle name="Normal 6 3 2 5 2 2 2" xfId="9356" xr:uid="{00000000-0005-0000-0000-0000CC4B0000}"/>
    <cellStyle name="Normal 6 3 2 5 2 2 2 2" xfId="19216" xr:uid="{00000000-0005-0000-0000-0000CD4B0000}"/>
    <cellStyle name="Normal 6 3 2 5 2 2 2 2 2" xfId="38931" xr:uid="{00000000-0005-0000-0000-0000CE4B0000}"/>
    <cellStyle name="Normal 6 3 2 5 2 2 2 3" xfId="29074" xr:uid="{00000000-0005-0000-0000-0000CF4B0000}"/>
    <cellStyle name="Normal 6 3 2 5 2 2 3" xfId="14288" xr:uid="{00000000-0005-0000-0000-0000D04B0000}"/>
    <cellStyle name="Normal 6 3 2 5 2 2 3 2" xfId="34003" xr:uid="{00000000-0005-0000-0000-0000D14B0000}"/>
    <cellStyle name="Normal 6 3 2 5 2 2 4" xfId="24146" xr:uid="{00000000-0005-0000-0000-0000D24B0000}"/>
    <cellStyle name="Normal 6 3 2 5 2 3" xfId="6892" xr:uid="{00000000-0005-0000-0000-0000D34B0000}"/>
    <cellStyle name="Normal 6 3 2 5 2 3 2" xfId="16752" xr:uid="{00000000-0005-0000-0000-0000D44B0000}"/>
    <cellStyle name="Normal 6 3 2 5 2 3 2 2" xfId="36467" xr:uid="{00000000-0005-0000-0000-0000D54B0000}"/>
    <cellStyle name="Normal 6 3 2 5 2 3 3" xfId="26610" xr:uid="{00000000-0005-0000-0000-0000D64B0000}"/>
    <cellStyle name="Normal 6 3 2 5 2 4" xfId="11824" xr:uid="{00000000-0005-0000-0000-0000D74B0000}"/>
    <cellStyle name="Normal 6 3 2 5 2 4 2" xfId="31539" xr:uid="{00000000-0005-0000-0000-0000D84B0000}"/>
    <cellStyle name="Normal 6 3 2 5 2 5" xfId="21682" xr:uid="{00000000-0005-0000-0000-0000D94B0000}"/>
    <cellStyle name="Normal 6 3 2 5 3" xfId="3192" xr:uid="{00000000-0005-0000-0000-0000DA4B0000}"/>
    <cellStyle name="Normal 6 3 2 5 3 2" xfId="8124" xr:uid="{00000000-0005-0000-0000-0000DB4B0000}"/>
    <cellStyle name="Normal 6 3 2 5 3 2 2" xfId="17984" xr:uid="{00000000-0005-0000-0000-0000DC4B0000}"/>
    <cellStyle name="Normal 6 3 2 5 3 2 2 2" xfId="37699" xr:uid="{00000000-0005-0000-0000-0000DD4B0000}"/>
    <cellStyle name="Normal 6 3 2 5 3 2 3" xfId="27842" xr:uid="{00000000-0005-0000-0000-0000DE4B0000}"/>
    <cellStyle name="Normal 6 3 2 5 3 3" xfId="13056" xr:uid="{00000000-0005-0000-0000-0000DF4B0000}"/>
    <cellStyle name="Normal 6 3 2 5 3 3 2" xfId="32771" xr:uid="{00000000-0005-0000-0000-0000E04B0000}"/>
    <cellStyle name="Normal 6 3 2 5 3 4" xfId="22914" xr:uid="{00000000-0005-0000-0000-0000E14B0000}"/>
    <cellStyle name="Normal 6 3 2 5 4" xfId="5660" xr:uid="{00000000-0005-0000-0000-0000E24B0000}"/>
    <cellStyle name="Normal 6 3 2 5 4 2" xfId="15520" xr:uid="{00000000-0005-0000-0000-0000E34B0000}"/>
    <cellStyle name="Normal 6 3 2 5 4 2 2" xfId="35235" xr:uid="{00000000-0005-0000-0000-0000E44B0000}"/>
    <cellStyle name="Normal 6 3 2 5 4 3" xfId="25378" xr:uid="{00000000-0005-0000-0000-0000E54B0000}"/>
    <cellStyle name="Normal 6 3 2 5 5" xfId="10592" xr:uid="{00000000-0005-0000-0000-0000E64B0000}"/>
    <cellStyle name="Normal 6 3 2 5 5 2" xfId="30307" xr:uid="{00000000-0005-0000-0000-0000E74B0000}"/>
    <cellStyle name="Normal 6 3 2 5 6" xfId="20450" xr:uid="{00000000-0005-0000-0000-0000E84B0000}"/>
    <cellStyle name="Normal 6 3 2 6" xfId="1341" xr:uid="{00000000-0005-0000-0000-0000E94B0000}"/>
    <cellStyle name="Normal 6 3 2 6 2" xfId="3808" xr:uid="{00000000-0005-0000-0000-0000EA4B0000}"/>
    <cellStyle name="Normal 6 3 2 6 2 2" xfId="8740" xr:uid="{00000000-0005-0000-0000-0000EB4B0000}"/>
    <cellStyle name="Normal 6 3 2 6 2 2 2" xfId="18600" xr:uid="{00000000-0005-0000-0000-0000EC4B0000}"/>
    <cellStyle name="Normal 6 3 2 6 2 2 2 2" xfId="38315" xr:uid="{00000000-0005-0000-0000-0000ED4B0000}"/>
    <cellStyle name="Normal 6 3 2 6 2 2 3" xfId="28458" xr:uid="{00000000-0005-0000-0000-0000EE4B0000}"/>
    <cellStyle name="Normal 6 3 2 6 2 3" xfId="13672" xr:uid="{00000000-0005-0000-0000-0000EF4B0000}"/>
    <cellStyle name="Normal 6 3 2 6 2 3 2" xfId="33387" xr:uid="{00000000-0005-0000-0000-0000F04B0000}"/>
    <cellStyle name="Normal 6 3 2 6 2 4" xfId="23530" xr:uid="{00000000-0005-0000-0000-0000F14B0000}"/>
    <cellStyle name="Normal 6 3 2 6 3" xfId="6276" xr:uid="{00000000-0005-0000-0000-0000F24B0000}"/>
    <cellStyle name="Normal 6 3 2 6 3 2" xfId="16136" xr:uid="{00000000-0005-0000-0000-0000F34B0000}"/>
    <cellStyle name="Normal 6 3 2 6 3 2 2" xfId="35851" xr:uid="{00000000-0005-0000-0000-0000F44B0000}"/>
    <cellStyle name="Normal 6 3 2 6 3 3" xfId="25994" xr:uid="{00000000-0005-0000-0000-0000F54B0000}"/>
    <cellStyle name="Normal 6 3 2 6 4" xfId="11208" xr:uid="{00000000-0005-0000-0000-0000F64B0000}"/>
    <cellStyle name="Normal 6 3 2 6 4 2" xfId="30923" xr:uid="{00000000-0005-0000-0000-0000F74B0000}"/>
    <cellStyle name="Normal 6 3 2 6 5" xfId="21066" xr:uid="{00000000-0005-0000-0000-0000F84B0000}"/>
    <cellStyle name="Normal 6 3 2 7" xfId="2576" xr:uid="{00000000-0005-0000-0000-0000F94B0000}"/>
    <cellStyle name="Normal 6 3 2 7 2" xfId="7508" xr:uid="{00000000-0005-0000-0000-0000FA4B0000}"/>
    <cellStyle name="Normal 6 3 2 7 2 2" xfId="17368" xr:uid="{00000000-0005-0000-0000-0000FB4B0000}"/>
    <cellStyle name="Normal 6 3 2 7 2 2 2" xfId="37083" xr:uid="{00000000-0005-0000-0000-0000FC4B0000}"/>
    <cellStyle name="Normal 6 3 2 7 2 3" xfId="27226" xr:uid="{00000000-0005-0000-0000-0000FD4B0000}"/>
    <cellStyle name="Normal 6 3 2 7 3" xfId="12440" xr:uid="{00000000-0005-0000-0000-0000FE4B0000}"/>
    <cellStyle name="Normal 6 3 2 7 3 2" xfId="32155" xr:uid="{00000000-0005-0000-0000-0000FF4B0000}"/>
    <cellStyle name="Normal 6 3 2 7 4" xfId="22298" xr:uid="{00000000-0005-0000-0000-0000004C0000}"/>
    <cellStyle name="Normal 6 3 2 8" xfId="5044" xr:uid="{00000000-0005-0000-0000-0000014C0000}"/>
    <cellStyle name="Normal 6 3 2 8 2" xfId="14904" xr:uid="{00000000-0005-0000-0000-0000024C0000}"/>
    <cellStyle name="Normal 6 3 2 8 2 2" xfId="34619" xr:uid="{00000000-0005-0000-0000-0000034C0000}"/>
    <cellStyle name="Normal 6 3 2 8 3" xfId="24762" xr:uid="{00000000-0005-0000-0000-0000044C0000}"/>
    <cellStyle name="Normal 6 3 2 9" xfId="9976" xr:uid="{00000000-0005-0000-0000-0000054C0000}"/>
    <cellStyle name="Normal 6 3 2 9 2" xfId="29691" xr:uid="{00000000-0005-0000-0000-0000064C0000}"/>
    <cellStyle name="Normal 6 3 3" xfId="127" xr:uid="{00000000-0005-0000-0000-0000074C0000}"/>
    <cellStyle name="Normal 6 3 3 2" xfId="284" xr:uid="{00000000-0005-0000-0000-0000084C0000}"/>
    <cellStyle name="Normal 6 3 3 2 2" xfId="598" xr:uid="{00000000-0005-0000-0000-0000094C0000}"/>
    <cellStyle name="Normal 6 3 3 2 2 2" xfId="1218" xr:uid="{00000000-0005-0000-0000-00000A4C0000}"/>
    <cellStyle name="Normal 6 3 3 2 2 2 2" xfId="2453" xr:uid="{00000000-0005-0000-0000-00000B4C0000}"/>
    <cellStyle name="Normal 6 3 3 2 2 2 2 2" xfId="4920" xr:uid="{00000000-0005-0000-0000-00000C4C0000}"/>
    <cellStyle name="Normal 6 3 3 2 2 2 2 2 2" xfId="9852" xr:uid="{00000000-0005-0000-0000-00000D4C0000}"/>
    <cellStyle name="Normal 6 3 3 2 2 2 2 2 2 2" xfId="19712" xr:uid="{00000000-0005-0000-0000-00000E4C0000}"/>
    <cellStyle name="Normal 6 3 3 2 2 2 2 2 2 2 2" xfId="39427" xr:uid="{00000000-0005-0000-0000-00000F4C0000}"/>
    <cellStyle name="Normal 6 3 3 2 2 2 2 2 2 3" xfId="29570" xr:uid="{00000000-0005-0000-0000-0000104C0000}"/>
    <cellStyle name="Normal 6 3 3 2 2 2 2 2 3" xfId="14784" xr:uid="{00000000-0005-0000-0000-0000114C0000}"/>
    <cellStyle name="Normal 6 3 3 2 2 2 2 2 3 2" xfId="34499" xr:uid="{00000000-0005-0000-0000-0000124C0000}"/>
    <cellStyle name="Normal 6 3 3 2 2 2 2 2 4" xfId="24642" xr:uid="{00000000-0005-0000-0000-0000134C0000}"/>
    <cellStyle name="Normal 6 3 3 2 2 2 2 3" xfId="7388" xr:uid="{00000000-0005-0000-0000-0000144C0000}"/>
    <cellStyle name="Normal 6 3 3 2 2 2 2 3 2" xfId="17248" xr:uid="{00000000-0005-0000-0000-0000154C0000}"/>
    <cellStyle name="Normal 6 3 3 2 2 2 2 3 2 2" xfId="36963" xr:uid="{00000000-0005-0000-0000-0000164C0000}"/>
    <cellStyle name="Normal 6 3 3 2 2 2 2 3 3" xfId="27106" xr:uid="{00000000-0005-0000-0000-0000174C0000}"/>
    <cellStyle name="Normal 6 3 3 2 2 2 2 4" xfId="12320" xr:uid="{00000000-0005-0000-0000-0000184C0000}"/>
    <cellStyle name="Normal 6 3 3 2 2 2 2 4 2" xfId="32035" xr:uid="{00000000-0005-0000-0000-0000194C0000}"/>
    <cellStyle name="Normal 6 3 3 2 2 2 2 5" xfId="22178" xr:uid="{00000000-0005-0000-0000-00001A4C0000}"/>
    <cellStyle name="Normal 6 3 3 2 2 2 3" xfId="3688" xr:uid="{00000000-0005-0000-0000-00001B4C0000}"/>
    <cellStyle name="Normal 6 3 3 2 2 2 3 2" xfId="8620" xr:uid="{00000000-0005-0000-0000-00001C4C0000}"/>
    <cellStyle name="Normal 6 3 3 2 2 2 3 2 2" xfId="18480" xr:uid="{00000000-0005-0000-0000-00001D4C0000}"/>
    <cellStyle name="Normal 6 3 3 2 2 2 3 2 2 2" xfId="38195" xr:uid="{00000000-0005-0000-0000-00001E4C0000}"/>
    <cellStyle name="Normal 6 3 3 2 2 2 3 2 3" xfId="28338" xr:uid="{00000000-0005-0000-0000-00001F4C0000}"/>
    <cellStyle name="Normal 6 3 3 2 2 2 3 3" xfId="13552" xr:uid="{00000000-0005-0000-0000-0000204C0000}"/>
    <cellStyle name="Normal 6 3 3 2 2 2 3 3 2" xfId="33267" xr:uid="{00000000-0005-0000-0000-0000214C0000}"/>
    <cellStyle name="Normal 6 3 3 2 2 2 3 4" xfId="23410" xr:uid="{00000000-0005-0000-0000-0000224C0000}"/>
    <cellStyle name="Normal 6 3 3 2 2 2 4" xfId="6156" xr:uid="{00000000-0005-0000-0000-0000234C0000}"/>
    <cellStyle name="Normal 6 3 3 2 2 2 4 2" xfId="16016" xr:uid="{00000000-0005-0000-0000-0000244C0000}"/>
    <cellStyle name="Normal 6 3 3 2 2 2 4 2 2" xfId="35731" xr:uid="{00000000-0005-0000-0000-0000254C0000}"/>
    <cellStyle name="Normal 6 3 3 2 2 2 4 3" xfId="25874" xr:uid="{00000000-0005-0000-0000-0000264C0000}"/>
    <cellStyle name="Normal 6 3 3 2 2 2 5" xfId="11088" xr:uid="{00000000-0005-0000-0000-0000274C0000}"/>
    <cellStyle name="Normal 6 3 3 2 2 2 5 2" xfId="30803" xr:uid="{00000000-0005-0000-0000-0000284C0000}"/>
    <cellStyle name="Normal 6 3 3 2 2 2 6" xfId="20946" xr:uid="{00000000-0005-0000-0000-0000294C0000}"/>
    <cellStyle name="Normal 6 3 3 2 2 3" xfId="1837" xr:uid="{00000000-0005-0000-0000-00002A4C0000}"/>
    <cellStyle name="Normal 6 3 3 2 2 3 2" xfId="4304" xr:uid="{00000000-0005-0000-0000-00002B4C0000}"/>
    <cellStyle name="Normal 6 3 3 2 2 3 2 2" xfId="9236" xr:uid="{00000000-0005-0000-0000-00002C4C0000}"/>
    <cellStyle name="Normal 6 3 3 2 2 3 2 2 2" xfId="19096" xr:uid="{00000000-0005-0000-0000-00002D4C0000}"/>
    <cellStyle name="Normal 6 3 3 2 2 3 2 2 2 2" xfId="38811" xr:uid="{00000000-0005-0000-0000-00002E4C0000}"/>
    <cellStyle name="Normal 6 3 3 2 2 3 2 2 3" xfId="28954" xr:uid="{00000000-0005-0000-0000-00002F4C0000}"/>
    <cellStyle name="Normal 6 3 3 2 2 3 2 3" xfId="14168" xr:uid="{00000000-0005-0000-0000-0000304C0000}"/>
    <cellStyle name="Normal 6 3 3 2 2 3 2 3 2" xfId="33883" xr:uid="{00000000-0005-0000-0000-0000314C0000}"/>
    <cellStyle name="Normal 6 3 3 2 2 3 2 4" xfId="24026" xr:uid="{00000000-0005-0000-0000-0000324C0000}"/>
    <cellStyle name="Normal 6 3 3 2 2 3 3" xfId="6772" xr:uid="{00000000-0005-0000-0000-0000334C0000}"/>
    <cellStyle name="Normal 6 3 3 2 2 3 3 2" xfId="16632" xr:uid="{00000000-0005-0000-0000-0000344C0000}"/>
    <cellStyle name="Normal 6 3 3 2 2 3 3 2 2" xfId="36347" xr:uid="{00000000-0005-0000-0000-0000354C0000}"/>
    <cellStyle name="Normal 6 3 3 2 2 3 3 3" xfId="26490" xr:uid="{00000000-0005-0000-0000-0000364C0000}"/>
    <cellStyle name="Normal 6 3 3 2 2 3 4" xfId="11704" xr:uid="{00000000-0005-0000-0000-0000374C0000}"/>
    <cellStyle name="Normal 6 3 3 2 2 3 4 2" xfId="31419" xr:uid="{00000000-0005-0000-0000-0000384C0000}"/>
    <cellStyle name="Normal 6 3 3 2 2 3 5" xfId="21562" xr:uid="{00000000-0005-0000-0000-0000394C0000}"/>
    <cellStyle name="Normal 6 3 3 2 2 4" xfId="3072" xr:uid="{00000000-0005-0000-0000-00003A4C0000}"/>
    <cellStyle name="Normal 6 3 3 2 2 4 2" xfId="8004" xr:uid="{00000000-0005-0000-0000-00003B4C0000}"/>
    <cellStyle name="Normal 6 3 3 2 2 4 2 2" xfId="17864" xr:uid="{00000000-0005-0000-0000-00003C4C0000}"/>
    <cellStyle name="Normal 6 3 3 2 2 4 2 2 2" xfId="37579" xr:uid="{00000000-0005-0000-0000-00003D4C0000}"/>
    <cellStyle name="Normal 6 3 3 2 2 4 2 3" xfId="27722" xr:uid="{00000000-0005-0000-0000-00003E4C0000}"/>
    <cellStyle name="Normal 6 3 3 2 2 4 3" xfId="12936" xr:uid="{00000000-0005-0000-0000-00003F4C0000}"/>
    <cellStyle name="Normal 6 3 3 2 2 4 3 2" xfId="32651" xr:uid="{00000000-0005-0000-0000-0000404C0000}"/>
    <cellStyle name="Normal 6 3 3 2 2 4 4" xfId="22794" xr:uid="{00000000-0005-0000-0000-0000414C0000}"/>
    <cellStyle name="Normal 6 3 3 2 2 5" xfId="5540" xr:uid="{00000000-0005-0000-0000-0000424C0000}"/>
    <cellStyle name="Normal 6 3 3 2 2 5 2" xfId="15400" xr:uid="{00000000-0005-0000-0000-0000434C0000}"/>
    <cellStyle name="Normal 6 3 3 2 2 5 2 2" xfId="35115" xr:uid="{00000000-0005-0000-0000-0000444C0000}"/>
    <cellStyle name="Normal 6 3 3 2 2 5 3" xfId="25258" xr:uid="{00000000-0005-0000-0000-0000454C0000}"/>
    <cellStyle name="Normal 6 3 3 2 2 6" xfId="10472" xr:uid="{00000000-0005-0000-0000-0000464C0000}"/>
    <cellStyle name="Normal 6 3 3 2 2 6 2" xfId="30187" xr:uid="{00000000-0005-0000-0000-0000474C0000}"/>
    <cellStyle name="Normal 6 3 3 2 2 7" xfId="20330" xr:uid="{00000000-0005-0000-0000-0000484C0000}"/>
    <cellStyle name="Normal 6 3 3 2 3" xfId="911" xr:uid="{00000000-0005-0000-0000-0000494C0000}"/>
    <cellStyle name="Normal 6 3 3 2 3 2" xfId="2147" xr:uid="{00000000-0005-0000-0000-00004A4C0000}"/>
    <cellStyle name="Normal 6 3 3 2 3 2 2" xfId="4614" xr:uid="{00000000-0005-0000-0000-00004B4C0000}"/>
    <cellStyle name="Normal 6 3 3 2 3 2 2 2" xfId="9546" xr:uid="{00000000-0005-0000-0000-00004C4C0000}"/>
    <cellStyle name="Normal 6 3 3 2 3 2 2 2 2" xfId="19406" xr:uid="{00000000-0005-0000-0000-00004D4C0000}"/>
    <cellStyle name="Normal 6 3 3 2 3 2 2 2 2 2" xfId="39121" xr:uid="{00000000-0005-0000-0000-00004E4C0000}"/>
    <cellStyle name="Normal 6 3 3 2 3 2 2 2 3" xfId="29264" xr:uid="{00000000-0005-0000-0000-00004F4C0000}"/>
    <cellStyle name="Normal 6 3 3 2 3 2 2 3" xfId="14478" xr:uid="{00000000-0005-0000-0000-0000504C0000}"/>
    <cellStyle name="Normal 6 3 3 2 3 2 2 3 2" xfId="34193" xr:uid="{00000000-0005-0000-0000-0000514C0000}"/>
    <cellStyle name="Normal 6 3 3 2 3 2 2 4" xfId="24336" xr:uid="{00000000-0005-0000-0000-0000524C0000}"/>
    <cellStyle name="Normal 6 3 3 2 3 2 3" xfId="7082" xr:uid="{00000000-0005-0000-0000-0000534C0000}"/>
    <cellStyle name="Normal 6 3 3 2 3 2 3 2" xfId="16942" xr:uid="{00000000-0005-0000-0000-0000544C0000}"/>
    <cellStyle name="Normal 6 3 3 2 3 2 3 2 2" xfId="36657" xr:uid="{00000000-0005-0000-0000-0000554C0000}"/>
    <cellStyle name="Normal 6 3 3 2 3 2 3 3" xfId="26800" xr:uid="{00000000-0005-0000-0000-0000564C0000}"/>
    <cellStyle name="Normal 6 3 3 2 3 2 4" xfId="12014" xr:uid="{00000000-0005-0000-0000-0000574C0000}"/>
    <cellStyle name="Normal 6 3 3 2 3 2 4 2" xfId="31729" xr:uid="{00000000-0005-0000-0000-0000584C0000}"/>
    <cellStyle name="Normal 6 3 3 2 3 2 5" xfId="21872" xr:uid="{00000000-0005-0000-0000-0000594C0000}"/>
    <cellStyle name="Normal 6 3 3 2 3 3" xfId="3382" xr:uid="{00000000-0005-0000-0000-00005A4C0000}"/>
    <cellStyle name="Normal 6 3 3 2 3 3 2" xfId="8314" xr:uid="{00000000-0005-0000-0000-00005B4C0000}"/>
    <cellStyle name="Normal 6 3 3 2 3 3 2 2" xfId="18174" xr:uid="{00000000-0005-0000-0000-00005C4C0000}"/>
    <cellStyle name="Normal 6 3 3 2 3 3 2 2 2" xfId="37889" xr:uid="{00000000-0005-0000-0000-00005D4C0000}"/>
    <cellStyle name="Normal 6 3 3 2 3 3 2 3" xfId="28032" xr:uid="{00000000-0005-0000-0000-00005E4C0000}"/>
    <cellStyle name="Normal 6 3 3 2 3 3 3" xfId="13246" xr:uid="{00000000-0005-0000-0000-00005F4C0000}"/>
    <cellStyle name="Normal 6 3 3 2 3 3 3 2" xfId="32961" xr:uid="{00000000-0005-0000-0000-0000604C0000}"/>
    <cellStyle name="Normal 6 3 3 2 3 3 4" xfId="23104" xr:uid="{00000000-0005-0000-0000-0000614C0000}"/>
    <cellStyle name="Normal 6 3 3 2 3 4" xfId="5850" xr:uid="{00000000-0005-0000-0000-0000624C0000}"/>
    <cellStyle name="Normal 6 3 3 2 3 4 2" xfId="15710" xr:uid="{00000000-0005-0000-0000-0000634C0000}"/>
    <cellStyle name="Normal 6 3 3 2 3 4 2 2" xfId="35425" xr:uid="{00000000-0005-0000-0000-0000644C0000}"/>
    <cellStyle name="Normal 6 3 3 2 3 4 3" xfId="25568" xr:uid="{00000000-0005-0000-0000-0000654C0000}"/>
    <cellStyle name="Normal 6 3 3 2 3 5" xfId="10782" xr:uid="{00000000-0005-0000-0000-0000664C0000}"/>
    <cellStyle name="Normal 6 3 3 2 3 5 2" xfId="30497" xr:uid="{00000000-0005-0000-0000-0000674C0000}"/>
    <cellStyle name="Normal 6 3 3 2 3 6" xfId="20640" xr:uid="{00000000-0005-0000-0000-0000684C0000}"/>
    <cellStyle name="Normal 6 3 3 2 4" xfId="1531" xr:uid="{00000000-0005-0000-0000-0000694C0000}"/>
    <cellStyle name="Normal 6 3 3 2 4 2" xfId="3998" xr:uid="{00000000-0005-0000-0000-00006A4C0000}"/>
    <cellStyle name="Normal 6 3 3 2 4 2 2" xfId="8930" xr:uid="{00000000-0005-0000-0000-00006B4C0000}"/>
    <cellStyle name="Normal 6 3 3 2 4 2 2 2" xfId="18790" xr:uid="{00000000-0005-0000-0000-00006C4C0000}"/>
    <cellStyle name="Normal 6 3 3 2 4 2 2 2 2" xfId="38505" xr:uid="{00000000-0005-0000-0000-00006D4C0000}"/>
    <cellStyle name="Normal 6 3 3 2 4 2 2 3" xfId="28648" xr:uid="{00000000-0005-0000-0000-00006E4C0000}"/>
    <cellStyle name="Normal 6 3 3 2 4 2 3" xfId="13862" xr:uid="{00000000-0005-0000-0000-00006F4C0000}"/>
    <cellStyle name="Normal 6 3 3 2 4 2 3 2" xfId="33577" xr:uid="{00000000-0005-0000-0000-0000704C0000}"/>
    <cellStyle name="Normal 6 3 3 2 4 2 4" xfId="23720" xr:uid="{00000000-0005-0000-0000-0000714C0000}"/>
    <cellStyle name="Normal 6 3 3 2 4 3" xfId="6466" xr:uid="{00000000-0005-0000-0000-0000724C0000}"/>
    <cellStyle name="Normal 6 3 3 2 4 3 2" xfId="16326" xr:uid="{00000000-0005-0000-0000-0000734C0000}"/>
    <cellStyle name="Normal 6 3 3 2 4 3 2 2" xfId="36041" xr:uid="{00000000-0005-0000-0000-0000744C0000}"/>
    <cellStyle name="Normal 6 3 3 2 4 3 3" xfId="26184" xr:uid="{00000000-0005-0000-0000-0000754C0000}"/>
    <cellStyle name="Normal 6 3 3 2 4 4" xfId="11398" xr:uid="{00000000-0005-0000-0000-0000764C0000}"/>
    <cellStyle name="Normal 6 3 3 2 4 4 2" xfId="31113" xr:uid="{00000000-0005-0000-0000-0000774C0000}"/>
    <cellStyle name="Normal 6 3 3 2 4 5" xfId="21256" xr:uid="{00000000-0005-0000-0000-0000784C0000}"/>
    <cellStyle name="Normal 6 3 3 2 5" xfId="2766" xr:uid="{00000000-0005-0000-0000-0000794C0000}"/>
    <cellStyle name="Normal 6 3 3 2 5 2" xfId="7698" xr:uid="{00000000-0005-0000-0000-00007A4C0000}"/>
    <cellStyle name="Normal 6 3 3 2 5 2 2" xfId="17558" xr:uid="{00000000-0005-0000-0000-00007B4C0000}"/>
    <cellStyle name="Normal 6 3 3 2 5 2 2 2" xfId="37273" xr:uid="{00000000-0005-0000-0000-00007C4C0000}"/>
    <cellStyle name="Normal 6 3 3 2 5 2 3" xfId="27416" xr:uid="{00000000-0005-0000-0000-00007D4C0000}"/>
    <cellStyle name="Normal 6 3 3 2 5 3" xfId="12630" xr:uid="{00000000-0005-0000-0000-00007E4C0000}"/>
    <cellStyle name="Normal 6 3 3 2 5 3 2" xfId="32345" xr:uid="{00000000-0005-0000-0000-00007F4C0000}"/>
    <cellStyle name="Normal 6 3 3 2 5 4" xfId="22488" xr:uid="{00000000-0005-0000-0000-0000804C0000}"/>
    <cellStyle name="Normal 6 3 3 2 6" xfId="5234" xr:uid="{00000000-0005-0000-0000-0000814C0000}"/>
    <cellStyle name="Normal 6 3 3 2 6 2" xfId="15094" xr:uid="{00000000-0005-0000-0000-0000824C0000}"/>
    <cellStyle name="Normal 6 3 3 2 6 2 2" xfId="34809" xr:uid="{00000000-0005-0000-0000-0000834C0000}"/>
    <cellStyle name="Normal 6 3 3 2 6 3" xfId="24952" xr:uid="{00000000-0005-0000-0000-0000844C0000}"/>
    <cellStyle name="Normal 6 3 3 2 7" xfId="10166" xr:uid="{00000000-0005-0000-0000-0000854C0000}"/>
    <cellStyle name="Normal 6 3 3 2 7 2" xfId="29881" xr:uid="{00000000-0005-0000-0000-0000864C0000}"/>
    <cellStyle name="Normal 6 3 3 2 8" xfId="20024" xr:uid="{00000000-0005-0000-0000-0000874C0000}"/>
    <cellStyle name="Normal 6 3 3 3" xfId="446" xr:uid="{00000000-0005-0000-0000-0000884C0000}"/>
    <cellStyle name="Normal 6 3 3 3 2" xfId="1066" xr:uid="{00000000-0005-0000-0000-0000894C0000}"/>
    <cellStyle name="Normal 6 3 3 3 2 2" xfId="2301" xr:uid="{00000000-0005-0000-0000-00008A4C0000}"/>
    <cellStyle name="Normal 6 3 3 3 2 2 2" xfId="4768" xr:uid="{00000000-0005-0000-0000-00008B4C0000}"/>
    <cellStyle name="Normal 6 3 3 3 2 2 2 2" xfId="9700" xr:uid="{00000000-0005-0000-0000-00008C4C0000}"/>
    <cellStyle name="Normal 6 3 3 3 2 2 2 2 2" xfId="19560" xr:uid="{00000000-0005-0000-0000-00008D4C0000}"/>
    <cellStyle name="Normal 6 3 3 3 2 2 2 2 2 2" xfId="39275" xr:uid="{00000000-0005-0000-0000-00008E4C0000}"/>
    <cellStyle name="Normal 6 3 3 3 2 2 2 2 3" xfId="29418" xr:uid="{00000000-0005-0000-0000-00008F4C0000}"/>
    <cellStyle name="Normal 6 3 3 3 2 2 2 3" xfId="14632" xr:uid="{00000000-0005-0000-0000-0000904C0000}"/>
    <cellStyle name="Normal 6 3 3 3 2 2 2 3 2" xfId="34347" xr:uid="{00000000-0005-0000-0000-0000914C0000}"/>
    <cellStyle name="Normal 6 3 3 3 2 2 2 4" xfId="24490" xr:uid="{00000000-0005-0000-0000-0000924C0000}"/>
    <cellStyle name="Normal 6 3 3 3 2 2 3" xfId="7236" xr:uid="{00000000-0005-0000-0000-0000934C0000}"/>
    <cellStyle name="Normal 6 3 3 3 2 2 3 2" xfId="17096" xr:uid="{00000000-0005-0000-0000-0000944C0000}"/>
    <cellStyle name="Normal 6 3 3 3 2 2 3 2 2" xfId="36811" xr:uid="{00000000-0005-0000-0000-0000954C0000}"/>
    <cellStyle name="Normal 6 3 3 3 2 2 3 3" xfId="26954" xr:uid="{00000000-0005-0000-0000-0000964C0000}"/>
    <cellStyle name="Normal 6 3 3 3 2 2 4" xfId="12168" xr:uid="{00000000-0005-0000-0000-0000974C0000}"/>
    <cellStyle name="Normal 6 3 3 3 2 2 4 2" xfId="31883" xr:uid="{00000000-0005-0000-0000-0000984C0000}"/>
    <cellStyle name="Normal 6 3 3 3 2 2 5" xfId="22026" xr:uid="{00000000-0005-0000-0000-0000994C0000}"/>
    <cellStyle name="Normal 6 3 3 3 2 3" xfId="3536" xr:uid="{00000000-0005-0000-0000-00009A4C0000}"/>
    <cellStyle name="Normal 6 3 3 3 2 3 2" xfId="8468" xr:uid="{00000000-0005-0000-0000-00009B4C0000}"/>
    <cellStyle name="Normal 6 3 3 3 2 3 2 2" xfId="18328" xr:uid="{00000000-0005-0000-0000-00009C4C0000}"/>
    <cellStyle name="Normal 6 3 3 3 2 3 2 2 2" xfId="38043" xr:uid="{00000000-0005-0000-0000-00009D4C0000}"/>
    <cellStyle name="Normal 6 3 3 3 2 3 2 3" xfId="28186" xr:uid="{00000000-0005-0000-0000-00009E4C0000}"/>
    <cellStyle name="Normal 6 3 3 3 2 3 3" xfId="13400" xr:uid="{00000000-0005-0000-0000-00009F4C0000}"/>
    <cellStyle name="Normal 6 3 3 3 2 3 3 2" xfId="33115" xr:uid="{00000000-0005-0000-0000-0000A04C0000}"/>
    <cellStyle name="Normal 6 3 3 3 2 3 4" xfId="23258" xr:uid="{00000000-0005-0000-0000-0000A14C0000}"/>
    <cellStyle name="Normal 6 3 3 3 2 4" xfId="6004" xr:uid="{00000000-0005-0000-0000-0000A24C0000}"/>
    <cellStyle name="Normal 6 3 3 3 2 4 2" xfId="15864" xr:uid="{00000000-0005-0000-0000-0000A34C0000}"/>
    <cellStyle name="Normal 6 3 3 3 2 4 2 2" xfId="35579" xr:uid="{00000000-0005-0000-0000-0000A44C0000}"/>
    <cellStyle name="Normal 6 3 3 3 2 4 3" xfId="25722" xr:uid="{00000000-0005-0000-0000-0000A54C0000}"/>
    <cellStyle name="Normal 6 3 3 3 2 5" xfId="10936" xr:uid="{00000000-0005-0000-0000-0000A64C0000}"/>
    <cellStyle name="Normal 6 3 3 3 2 5 2" xfId="30651" xr:uid="{00000000-0005-0000-0000-0000A74C0000}"/>
    <cellStyle name="Normal 6 3 3 3 2 6" xfId="20794" xr:uid="{00000000-0005-0000-0000-0000A84C0000}"/>
    <cellStyle name="Normal 6 3 3 3 3" xfId="1685" xr:uid="{00000000-0005-0000-0000-0000A94C0000}"/>
    <cellStyle name="Normal 6 3 3 3 3 2" xfId="4152" xr:uid="{00000000-0005-0000-0000-0000AA4C0000}"/>
    <cellStyle name="Normal 6 3 3 3 3 2 2" xfId="9084" xr:uid="{00000000-0005-0000-0000-0000AB4C0000}"/>
    <cellStyle name="Normal 6 3 3 3 3 2 2 2" xfId="18944" xr:uid="{00000000-0005-0000-0000-0000AC4C0000}"/>
    <cellStyle name="Normal 6 3 3 3 3 2 2 2 2" xfId="38659" xr:uid="{00000000-0005-0000-0000-0000AD4C0000}"/>
    <cellStyle name="Normal 6 3 3 3 3 2 2 3" xfId="28802" xr:uid="{00000000-0005-0000-0000-0000AE4C0000}"/>
    <cellStyle name="Normal 6 3 3 3 3 2 3" xfId="14016" xr:uid="{00000000-0005-0000-0000-0000AF4C0000}"/>
    <cellStyle name="Normal 6 3 3 3 3 2 3 2" xfId="33731" xr:uid="{00000000-0005-0000-0000-0000B04C0000}"/>
    <cellStyle name="Normal 6 3 3 3 3 2 4" xfId="23874" xr:uid="{00000000-0005-0000-0000-0000B14C0000}"/>
    <cellStyle name="Normal 6 3 3 3 3 3" xfId="6620" xr:uid="{00000000-0005-0000-0000-0000B24C0000}"/>
    <cellStyle name="Normal 6 3 3 3 3 3 2" xfId="16480" xr:uid="{00000000-0005-0000-0000-0000B34C0000}"/>
    <cellStyle name="Normal 6 3 3 3 3 3 2 2" xfId="36195" xr:uid="{00000000-0005-0000-0000-0000B44C0000}"/>
    <cellStyle name="Normal 6 3 3 3 3 3 3" xfId="26338" xr:uid="{00000000-0005-0000-0000-0000B54C0000}"/>
    <cellStyle name="Normal 6 3 3 3 3 4" xfId="11552" xr:uid="{00000000-0005-0000-0000-0000B64C0000}"/>
    <cellStyle name="Normal 6 3 3 3 3 4 2" xfId="31267" xr:uid="{00000000-0005-0000-0000-0000B74C0000}"/>
    <cellStyle name="Normal 6 3 3 3 3 5" xfId="21410" xr:uid="{00000000-0005-0000-0000-0000B84C0000}"/>
    <cellStyle name="Normal 6 3 3 3 4" xfId="2920" xr:uid="{00000000-0005-0000-0000-0000B94C0000}"/>
    <cellStyle name="Normal 6 3 3 3 4 2" xfId="7852" xr:uid="{00000000-0005-0000-0000-0000BA4C0000}"/>
    <cellStyle name="Normal 6 3 3 3 4 2 2" xfId="17712" xr:uid="{00000000-0005-0000-0000-0000BB4C0000}"/>
    <cellStyle name="Normal 6 3 3 3 4 2 2 2" xfId="37427" xr:uid="{00000000-0005-0000-0000-0000BC4C0000}"/>
    <cellStyle name="Normal 6 3 3 3 4 2 3" xfId="27570" xr:uid="{00000000-0005-0000-0000-0000BD4C0000}"/>
    <cellStyle name="Normal 6 3 3 3 4 3" xfId="12784" xr:uid="{00000000-0005-0000-0000-0000BE4C0000}"/>
    <cellStyle name="Normal 6 3 3 3 4 3 2" xfId="32499" xr:uid="{00000000-0005-0000-0000-0000BF4C0000}"/>
    <cellStyle name="Normal 6 3 3 3 4 4" xfId="22642" xr:uid="{00000000-0005-0000-0000-0000C04C0000}"/>
    <cellStyle name="Normal 6 3 3 3 5" xfId="5388" xr:uid="{00000000-0005-0000-0000-0000C14C0000}"/>
    <cellStyle name="Normal 6 3 3 3 5 2" xfId="15248" xr:uid="{00000000-0005-0000-0000-0000C24C0000}"/>
    <cellStyle name="Normal 6 3 3 3 5 2 2" xfId="34963" xr:uid="{00000000-0005-0000-0000-0000C34C0000}"/>
    <cellStyle name="Normal 6 3 3 3 5 3" xfId="25106" xr:uid="{00000000-0005-0000-0000-0000C44C0000}"/>
    <cellStyle name="Normal 6 3 3 3 6" xfId="10320" xr:uid="{00000000-0005-0000-0000-0000C54C0000}"/>
    <cellStyle name="Normal 6 3 3 3 6 2" xfId="30035" xr:uid="{00000000-0005-0000-0000-0000C64C0000}"/>
    <cellStyle name="Normal 6 3 3 3 7" xfId="20178" xr:uid="{00000000-0005-0000-0000-0000C74C0000}"/>
    <cellStyle name="Normal 6 3 3 4" xfId="759" xr:uid="{00000000-0005-0000-0000-0000C84C0000}"/>
    <cellStyle name="Normal 6 3 3 4 2" xfId="1995" xr:uid="{00000000-0005-0000-0000-0000C94C0000}"/>
    <cellStyle name="Normal 6 3 3 4 2 2" xfId="4462" xr:uid="{00000000-0005-0000-0000-0000CA4C0000}"/>
    <cellStyle name="Normal 6 3 3 4 2 2 2" xfId="9394" xr:uid="{00000000-0005-0000-0000-0000CB4C0000}"/>
    <cellStyle name="Normal 6 3 3 4 2 2 2 2" xfId="19254" xr:uid="{00000000-0005-0000-0000-0000CC4C0000}"/>
    <cellStyle name="Normal 6 3 3 4 2 2 2 2 2" xfId="38969" xr:uid="{00000000-0005-0000-0000-0000CD4C0000}"/>
    <cellStyle name="Normal 6 3 3 4 2 2 2 3" xfId="29112" xr:uid="{00000000-0005-0000-0000-0000CE4C0000}"/>
    <cellStyle name="Normal 6 3 3 4 2 2 3" xfId="14326" xr:uid="{00000000-0005-0000-0000-0000CF4C0000}"/>
    <cellStyle name="Normal 6 3 3 4 2 2 3 2" xfId="34041" xr:uid="{00000000-0005-0000-0000-0000D04C0000}"/>
    <cellStyle name="Normal 6 3 3 4 2 2 4" xfId="24184" xr:uid="{00000000-0005-0000-0000-0000D14C0000}"/>
    <cellStyle name="Normal 6 3 3 4 2 3" xfId="6930" xr:uid="{00000000-0005-0000-0000-0000D24C0000}"/>
    <cellStyle name="Normal 6 3 3 4 2 3 2" xfId="16790" xr:uid="{00000000-0005-0000-0000-0000D34C0000}"/>
    <cellStyle name="Normal 6 3 3 4 2 3 2 2" xfId="36505" xr:uid="{00000000-0005-0000-0000-0000D44C0000}"/>
    <cellStyle name="Normal 6 3 3 4 2 3 3" xfId="26648" xr:uid="{00000000-0005-0000-0000-0000D54C0000}"/>
    <cellStyle name="Normal 6 3 3 4 2 4" xfId="11862" xr:uid="{00000000-0005-0000-0000-0000D64C0000}"/>
    <cellStyle name="Normal 6 3 3 4 2 4 2" xfId="31577" xr:uid="{00000000-0005-0000-0000-0000D74C0000}"/>
    <cellStyle name="Normal 6 3 3 4 2 5" xfId="21720" xr:uid="{00000000-0005-0000-0000-0000D84C0000}"/>
    <cellStyle name="Normal 6 3 3 4 3" xfId="3230" xr:uid="{00000000-0005-0000-0000-0000D94C0000}"/>
    <cellStyle name="Normal 6 3 3 4 3 2" xfId="8162" xr:uid="{00000000-0005-0000-0000-0000DA4C0000}"/>
    <cellStyle name="Normal 6 3 3 4 3 2 2" xfId="18022" xr:uid="{00000000-0005-0000-0000-0000DB4C0000}"/>
    <cellStyle name="Normal 6 3 3 4 3 2 2 2" xfId="37737" xr:uid="{00000000-0005-0000-0000-0000DC4C0000}"/>
    <cellStyle name="Normal 6 3 3 4 3 2 3" xfId="27880" xr:uid="{00000000-0005-0000-0000-0000DD4C0000}"/>
    <cellStyle name="Normal 6 3 3 4 3 3" xfId="13094" xr:uid="{00000000-0005-0000-0000-0000DE4C0000}"/>
    <cellStyle name="Normal 6 3 3 4 3 3 2" xfId="32809" xr:uid="{00000000-0005-0000-0000-0000DF4C0000}"/>
    <cellStyle name="Normal 6 3 3 4 3 4" xfId="22952" xr:uid="{00000000-0005-0000-0000-0000E04C0000}"/>
    <cellStyle name="Normal 6 3 3 4 4" xfId="5698" xr:uid="{00000000-0005-0000-0000-0000E14C0000}"/>
    <cellStyle name="Normal 6 3 3 4 4 2" xfId="15558" xr:uid="{00000000-0005-0000-0000-0000E24C0000}"/>
    <cellStyle name="Normal 6 3 3 4 4 2 2" xfId="35273" xr:uid="{00000000-0005-0000-0000-0000E34C0000}"/>
    <cellStyle name="Normal 6 3 3 4 4 3" xfId="25416" xr:uid="{00000000-0005-0000-0000-0000E44C0000}"/>
    <cellStyle name="Normal 6 3 3 4 5" xfId="10630" xr:uid="{00000000-0005-0000-0000-0000E54C0000}"/>
    <cellStyle name="Normal 6 3 3 4 5 2" xfId="30345" xr:uid="{00000000-0005-0000-0000-0000E64C0000}"/>
    <cellStyle name="Normal 6 3 3 4 6" xfId="20488" xr:uid="{00000000-0005-0000-0000-0000E74C0000}"/>
    <cellStyle name="Normal 6 3 3 5" xfId="1379" xr:uid="{00000000-0005-0000-0000-0000E84C0000}"/>
    <cellStyle name="Normal 6 3 3 5 2" xfId="3846" xr:uid="{00000000-0005-0000-0000-0000E94C0000}"/>
    <cellStyle name="Normal 6 3 3 5 2 2" xfId="8778" xr:uid="{00000000-0005-0000-0000-0000EA4C0000}"/>
    <cellStyle name="Normal 6 3 3 5 2 2 2" xfId="18638" xr:uid="{00000000-0005-0000-0000-0000EB4C0000}"/>
    <cellStyle name="Normal 6 3 3 5 2 2 2 2" xfId="38353" xr:uid="{00000000-0005-0000-0000-0000EC4C0000}"/>
    <cellStyle name="Normal 6 3 3 5 2 2 3" xfId="28496" xr:uid="{00000000-0005-0000-0000-0000ED4C0000}"/>
    <cellStyle name="Normal 6 3 3 5 2 3" xfId="13710" xr:uid="{00000000-0005-0000-0000-0000EE4C0000}"/>
    <cellStyle name="Normal 6 3 3 5 2 3 2" xfId="33425" xr:uid="{00000000-0005-0000-0000-0000EF4C0000}"/>
    <cellStyle name="Normal 6 3 3 5 2 4" xfId="23568" xr:uid="{00000000-0005-0000-0000-0000F04C0000}"/>
    <cellStyle name="Normal 6 3 3 5 3" xfId="6314" xr:uid="{00000000-0005-0000-0000-0000F14C0000}"/>
    <cellStyle name="Normal 6 3 3 5 3 2" xfId="16174" xr:uid="{00000000-0005-0000-0000-0000F24C0000}"/>
    <cellStyle name="Normal 6 3 3 5 3 2 2" xfId="35889" xr:uid="{00000000-0005-0000-0000-0000F34C0000}"/>
    <cellStyle name="Normal 6 3 3 5 3 3" xfId="26032" xr:uid="{00000000-0005-0000-0000-0000F44C0000}"/>
    <cellStyle name="Normal 6 3 3 5 4" xfId="11246" xr:uid="{00000000-0005-0000-0000-0000F54C0000}"/>
    <cellStyle name="Normal 6 3 3 5 4 2" xfId="30961" xr:uid="{00000000-0005-0000-0000-0000F64C0000}"/>
    <cellStyle name="Normal 6 3 3 5 5" xfId="21104" xr:uid="{00000000-0005-0000-0000-0000F74C0000}"/>
    <cellStyle name="Normal 6 3 3 6" xfId="2614" xr:uid="{00000000-0005-0000-0000-0000F84C0000}"/>
    <cellStyle name="Normal 6 3 3 6 2" xfId="7546" xr:uid="{00000000-0005-0000-0000-0000F94C0000}"/>
    <cellStyle name="Normal 6 3 3 6 2 2" xfId="17406" xr:uid="{00000000-0005-0000-0000-0000FA4C0000}"/>
    <cellStyle name="Normal 6 3 3 6 2 2 2" xfId="37121" xr:uid="{00000000-0005-0000-0000-0000FB4C0000}"/>
    <cellStyle name="Normal 6 3 3 6 2 3" xfId="27264" xr:uid="{00000000-0005-0000-0000-0000FC4C0000}"/>
    <cellStyle name="Normal 6 3 3 6 3" xfId="12478" xr:uid="{00000000-0005-0000-0000-0000FD4C0000}"/>
    <cellStyle name="Normal 6 3 3 6 3 2" xfId="32193" xr:uid="{00000000-0005-0000-0000-0000FE4C0000}"/>
    <cellStyle name="Normal 6 3 3 6 4" xfId="22336" xr:uid="{00000000-0005-0000-0000-0000FF4C0000}"/>
    <cellStyle name="Normal 6 3 3 7" xfId="5082" xr:uid="{00000000-0005-0000-0000-0000004D0000}"/>
    <cellStyle name="Normal 6 3 3 7 2" xfId="14942" xr:uid="{00000000-0005-0000-0000-0000014D0000}"/>
    <cellStyle name="Normal 6 3 3 7 2 2" xfId="34657" xr:uid="{00000000-0005-0000-0000-0000024D0000}"/>
    <cellStyle name="Normal 6 3 3 7 3" xfId="24800" xr:uid="{00000000-0005-0000-0000-0000034D0000}"/>
    <cellStyle name="Normal 6 3 3 8" xfId="10014" xr:uid="{00000000-0005-0000-0000-0000044D0000}"/>
    <cellStyle name="Normal 6 3 3 8 2" xfId="29729" xr:uid="{00000000-0005-0000-0000-0000054D0000}"/>
    <cellStyle name="Normal 6 3 3 9" xfId="19872" xr:uid="{00000000-0005-0000-0000-0000064D0000}"/>
    <cellStyle name="Normal 6 3 4" xfId="208" xr:uid="{00000000-0005-0000-0000-0000074D0000}"/>
    <cellStyle name="Normal 6 3 4 2" xfId="522" xr:uid="{00000000-0005-0000-0000-0000084D0000}"/>
    <cellStyle name="Normal 6 3 4 2 2" xfId="1142" xr:uid="{00000000-0005-0000-0000-0000094D0000}"/>
    <cellStyle name="Normal 6 3 4 2 2 2" xfId="2377" xr:uid="{00000000-0005-0000-0000-00000A4D0000}"/>
    <cellStyle name="Normal 6 3 4 2 2 2 2" xfId="4844" xr:uid="{00000000-0005-0000-0000-00000B4D0000}"/>
    <cellStyle name="Normal 6 3 4 2 2 2 2 2" xfId="9776" xr:uid="{00000000-0005-0000-0000-00000C4D0000}"/>
    <cellStyle name="Normal 6 3 4 2 2 2 2 2 2" xfId="19636" xr:uid="{00000000-0005-0000-0000-00000D4D0000}"/>
    <cellStyle name="Normal 6 3 4 2 2 2 2 2 2 2" xfId="39351" xr:uid="{00000000-0005-0000-0000-00000E4D0000}"/>
    <cellStyle name="Normal 6 3 4 2 2 2 2 2 3" xfId="29494" xr:uid="{00000000-0005-0000-0000-00000F4D0000}"/>
    <cellStyle name="Normal 6 3 4 2 2 2 2 3" xfId="14708" xr:uid="{00000000-0005-0000-0000-0000104D0000}"/>
    <cellStyle name="Normal 6 3 4 2 2 2 2 3 2" xfId="34423" xr:uid="{00000000-0005-0000-0000-0000114D0000}"/>
    <cellStyle name="Normal 6 3 4 2 2 2 2 4" xfId="24566" xr:uid="{00000000-0005-0000-0000-0000124D0000}"/>
    <cellStyle name="Normal 6 3 4 2 2 2 3" xfId="7312" xr:uid="{00000000-0005-0000-0000-0000134D0000}"/>
    <cellStyle name="Normal 6 3 4 2 2 2 3 2" xfId="17172" xr:uid="{00000000-0005-0000-0000-0000144D0000}"/>
    <cellStyle name="Normal 6 3 4 2 2 2 3 2 2" xfId="36887" xr:uid="{00000000-0005-0000-0000-0000154D0000}"/>
    <cellStyle name="Normal 6 3 4 2 2 2 3 3" xfId="27030" xr:uid="{00000000-0005-0000-0000-0000164D0000}"/>
    <cellStyle name="Normal 6 3 4 2 2 2 4" xfId="12244" xr:uid="{00000000-0005-0000-0000-0000174D0000}"/>
    <cellStyle name="Normal 6 3 4 2 2 2 4 2" xfId="31959" xr:uid="{00000000-0005-0000-0000-0000184D0000}"/>
    <cellStyle name="Normal 6 3 4 2 2 2 5" xfId="22102" xr:uid="{00000000-0005-0000-0000-0000194D0000}"/>
    <cellStyle name="Normal 6 3 4 2 2 3" xfId="3612" xr:uid="{00000000-0005-0000-0000-00001A4D0000}"/>
    <cellStyle name="Normal 6 3 4 2 2 3 2" xfId="8544" xr:uid="{00000000-0005-0000-0000-00001B4D0000}"/>
    <cellStyle name="Normal 6 3 4 2 2 3 2 2" xfId="18404" xr:uid="{00000000-0005-0000-0000-00001C4D0000}"/>
    <cellStyle name="Normal 6 3 4 2 2 3 2 2 2" xfId="38119" xr:uid="{00000000-0005-0000-0000-00001D4D0000}"/>
    <cellStyle name="Normal 6 3 4 2 2 3 2 3" xfId="28262" xr:uid="{00000000-0005-0000-0000-00001E4D0000}"/>
    <cellStyle name="Normal 6 3 4 2 2 3 3" xfId="13476" xr:uid="{00000000-0005-0000-0000-00001F4D0000}"/>
    <cellStyle name="Normal 6 3 4 2 2 3 3 2" xfId="33191" xr:uid="{00000000-0005-0000-0000-0000204D0000}"/>
    <cellStyle name="Normal 6 3 4 2 2 3 4" xfId="23334" xr:uid="{00000000-0005-0000-0000-0000214D0000}"/>
    <cellStyle name="Normal 6 3 4 2 2 4" xfId="6080" xr:uid="{00000000-0005-0000-0000-0000224D0000}"/>
    <cellStyle name="Normal 6 3 4 2 2 4 2" xfId="15940" xr:uid="{00000000-0005-0000-0000-0000234D0000}"/>
    <cellStyle name="Normal 6 3 4 2 2 4 2 2" xfId="35655" xr:uid="{00000000-0005-0000-0000-0000244D0000}"/>
    <cellStyle name="Normal 6 3 4 2 2 4 3" xfId="25798" xr:uid="{00000000-0005-0000-0000-0000254D0000}"/>
    <cellStyle name="Normal 6 3 4 2 2 5" xfId="11012" xr:uid="{00000000-0005-0000-0000-0000264D0000}"/>
    <cellStyle name="Normal 6 3 4 2 2 5 2" xfId="30727" xr:uid="{00000000-0005-0000-0000-0000274D0000}"/>
    <cellStyle name="Normal 6 3 4 2 2 6" xfId="20870" xr:uid="{00000000-0005-0000-0000-0000284D0000}"/>
    <cellStyle name="Normal 6 3 4 2 3" xfId="1761" xr:uid="{00000000-0005-0000-0000-0000294D0000}"/>
    <cellStyle name="Normal 6 3 4 2 3 2" xfId="4228" xr:uid="{00000000-0005-0000-0000-00002A4D0000}"/>
    <cellStyle name="Normal 6 3 4 2 3 2 2" xfId="9160" xr:uid="{00000000-0005-0000-0000-00002B4D0000}"/>
    <cellStyle name="Normal 6 3 4 2 3 2 2 2" xfId="19020" xr:uid="{00000000-0005-0000-0000-00002C4D0000}"/>
    <cellStyle name="Normal 6 3 4 2 3 2 2 2 2" xfId="38735" xr:uid="{00000000-0005-0000-0000-00002D4D0000}"/>
    <cellStyle name="Normal 6 3 4 2 3 2 2 3" xfId="28878" xr:uid="{00000000-0005-0000-0000-00002E4D0000}"/>
    <cellStyle name="Normal 6 3 4 2 3 2 3" xfId="14092" xr:uid="{00000000-0005-0000-0000-00002F4D0000}"/>
    <cellStyle name="Normal 6 3 4 2 3 2 3 2" xfId="33807" xr:uid="{00000000-0005-0000-0000-0000304D0000}"/>
    <cellStyle name="Normal 6 3 4 2 3 2 4" xfId="23950" xr:uid="{00000000-0005-0000-0000-0000314D0000}"/>
    <cellStyle name="Normal 6 3 4 2 3 3" xfId="6696" xr:uid="{00000000-0005-0000-0000-0000324D0000}"/>
    <cellStyle name="Normal 6 3 4 2 3 3 2" xfId="16556" xr:uid="{00000000-0005-0000-0000-0000334D0000}"/>
    <cellStyle name="Normal 6 3 4 2 3 3 2 2" xfId="36271" xr:uid="{00000000-0005-0000-0000-0000344D0000}"/>
    <cellStyle name="Normal 6 3 4 2 3 3 3" xfId="26414" xr:uid="{00000000-0005-0000-0000-0000354D0000}"/>
    <cellStyle name="Normal 6 3 4 2 3 4" xfId="11628" xr:uid="{00000000-0005-0000-0000-0000364D0000}"/>
    <cellStyle name="Normal 6 3 4 2 3 4 2" xfId="31343" xr:uid="{00000000-0005-0000-0000-0000374D0000}"/>
    <cellStyle name="Normal 6 3 4 2 3 5" xfId="21486" xr:uid="{00000000-0005-0000-0000-0000384D0000}"/>
    <cellStyle name="Normal 6 3 4 2 4" xfId="2996" xr:uid="{00000000-0005-0000-0000-0000394D0000}"/>
    <cellStyle name="Normal 6 3 4 2 4 2" xfId="7928" xr:uid="{00000000-0005-0000-0000-00003A4D0000}"/>
    <cellStyle name="Normal 6 3 4 2 4 2 2" xfId="17788" xr:uid="{00000000-0005-0000-0000-00003B4D0000}"/>
    <cellStyle name="Normal 6 3 4 2 4 2 2 2" xfId="37503" xr:uid="{00000000-0005-0000-0000-00003C4D0000}"/>
    <cellStyle name="Normal 6 3 4 2 4 2 3" xfId="27646" xr:uid="{00000000-0005-0000-0000-00003D4D0000}"/>
    <cellStyle name="Normal 6 3 4 2 4 3" xfId="12860" xr:uid="{00000000-0005-0000-0000-00003E4D0000}"/>
    <cellStyle name="Normal 6 3 4 2 4 3 2" xfId="32575" xr:uid="{00000000-0005-0000-0000-00003F4D0000}"/>
    <cellStyle name="Normal 6 3 4 2 4 4" xfId="22718" xr:uid="{00000000-0005-0000-0000-0000404D0000}"/>
    <cellStyle name="Normal 6 3 4 2 5" xfId="5464" xr:uid="{00000000-0005-0000-0000-0000414D0000}"/>
    <cellStyle name="Normal 6 3 4 2 5 2" xfId="15324" xr:uid="{00000000-0005-0000-0000-0000424D0000}"/>
    <cellStyle name="Normal 6 3 4 2 5 2 2" xfId="35039" xr:uid="{00000000-0005-0000-0000-0000434D0000}"/>
    <cellStyle name="Normal 6 3 4 2 5 3" xfId="25182" xr:uid="{00000000-0005-0000-0000-0000444D0000}"/>
    <cellStyle name="Normal 6 3 4 2 6" xfId="10396" xr:uid="{00000000-0005-0000-0000-0000454D0000}"/>
    <cellStyle name="Normal 6 3 4 2 6 2" xfId="30111" xr:uid="{00000000-0005-0000-0000-0000464D0000}"/>
    <cellStyle name="Normal 6 3 4 2 7" xfId="20254" xr:uid="{00000000-0005-0000-0000-0000474D0000}"/>
    <cellStyle name="Normal 6 3 4 3" xfId="835" xr:uid="{00000000-0005-0000-0000-0000484D0000}"/>
    <cellStyle name="Normal 6 3 4 3 2" xfId="2071" xr:uid="{00000000-0005-0000-0000-0000494D0000}"/>
    <cellStyle name="Normal 6 3 4 3 2 2" xfId="4538" xr:uid="{00000000-0005-0000-0000-00004A4D0000}"/>
    <cellStyle name="Normal 6 3 4 3 2 2 2" xfId="9470" xr:uid="{00000000-0005-0000-0000-00004B4D0000}"/>
    <cellStyle name="Normal 6 3 4 3 2 2 2 2" xfId="19330" xr:uid="{00000000-0005-0000-0000-00004C4D0000}"/>
    <cellStyle name="Normal 6 3 4 3 2 2 2 2 2" xfId="39045" xr:uid="{00000000-0005-0000-0000-00004D4D0000}"/>
    <cellStyle name="Normal 6 3 4 3 2 2 2 3" xfId="29188" xr:uid="{00000000-0005-0000-0000-00004E4D0000}"/>
    <cellStyle name="Normal 6 3 4 3 2 2 3" xfId="14402" xr:uid="{00000000-0005-0000-0000-00004F4D0000}"/>
    <cellStyle name="Normal 6 3 4 3 2 2 3 2" xfId="34117" xr:uid="{00000000-0005-0000-0000-0000504D0000}"/>
    <cellStyle name="Normal 6 3 4 3 2 2 4" xfId="24260" xr:uid="{00000000-0005-0000-0000-0000514D0000}"/>
    <cellStyle name="Normal 6 3 4 3 2 3" xfId="7006" xr:uid="{00000000-0005-0000-0000-0000524D0000}"/>
    <cellStyle name="Normal 6 3 4 3 2 3 2" xfId="16866" xr:uid="{00000000-0005-0000-0000-0000534D0000}"/>
    <cellStyle name="Normal 6 3 4 3 2 3 2 2" xfId="36581" xr:uid="{00000000-0005-0000-0000-0000544D0000}"/>
    <cellStyle name="Normal 6 3 4 3 2 3 3" xfId="26724" xr:uid="{00000000-0005-0000-0000-0000554D0000}"/>
    <cellStyle name="Normal 6 3 4 3 2 4" xfId="11938" xr:uid="{00000000-0005-0000-0000-0000564D0000}"/>
    <cellStyle name="Normal 6 3 4 3 2 4 2" xfId="31653" xr:uid="{00000000-0005-0000-0000-0000574D0000}"/>
    <cellStyle name="Normal 6 3 4 3 2 5" xfId="21796" xr:uid="{00000000-0005-0000-0000-0000584D0000}"/>
    <cellStyle name="Normal 6 3 4 3 3" xfId="3306" xr:uid="{00000000-0005-0000-0000-0000594D0000}"/>
    <cellStyle name="Normal 6 3 4 3 3 2" xfId="8238" xr:uid="{00000000-0005-0000-0000-00005A4D0000}"/>
    <cellStyle name="Normal 6 3 4 3 3 2 2" xfId="18098" xr:uid="{00000000-0005-0000-0000-00005B4D0000}"/>
    <cellStyle name="Normal 6 3 4 3 3 2 2 2" xfId="37813" xr:uid="{00000000-0005-0000-0000-00005C4D0000}"/>
    <cellStyle name="Normal 6 3 4 3 3 2 3" xfId="27956" xr:uid="{00000000-0005-0000-0000-00005D4D0000}"/>
    <cellStyle name="Normal 6 3 4 3 3 3" xfId="13170" xr:uid="{00000000-0005-0000-0000-00005E4D0000}"/>
    <cellStyle name="Normal 6 3 4 3 3 3 2" xfId="32885" xr:uid="{00000000-0005-0000-0000-00005F4D0000}"/>
    <cellStyle name="Normal 6 3 4 3 3 4" xfId="23028" xr:uid="{00000000-0005-0000-0000-0000604D0000}"/>
    <cellStyle name="Normal 6 3 4 3 4" xfId="5774" xr:uid="{00000000-0005-0000-0000-0000614D0000}"/>
    <cellStyle name="Normal 6 3 4 3 4 2" xfId="15634" xr:uid="{00000000-0005-0000-0000-0000624D0000}"/>
    <cellStyle name="Normal 6 3 4 3 4 2 2" xfId="35349" xr:uid="{00000000-0005-0000-0000-0000634D0000}"/>
    <cellStyle name="Normal 6 3 4 3 4 3" xfId="25492" xr:uid="{00000000-0005-0000-0000-0000644D0000}"/>
    <cellStyle name="Normal 6 3 4 3 5" xfId="10706" xr:uid="{00000000-0005-0000-0000-0000654D0000}"/>
    <cellStyle name="Normal 6 3 4 3 5 2" xfId="30421" xr:uid="{00000000-0005-0000-0000-0000664D0000}"/>
    <cellStyle name="Normal 6 3 4 3 6" xfId="20564" xr:uid="{00000000-0005-0000-0000-0000674D0000}"/>
    <cellStyle name="Normal 6 3 4 4" xfId="1455" xr:uid="{00000000-0005-0000-0000-0000684D0000}"/>
    <cellStyle name="Normal 6 3 4 4 2" xfId="3922" xr:uid="{00000000-0005-0000-0000-0000694D0000}"/>
    <cellStyle name="Normal 6 3 4 4 2 2" xfId="8854" xr:uid="{00000000-0005-0000-0000-00006A4D0000}"/>
    <cellStyle name="Normal 6 3 4 4 2 2 2" xfId="18714" xr:uid="{00000000-0005-0000-0000-00006B4D0000}"/>
    <cellStyle name="Normal 6 3 4 4 2 2 2 2" xfId="38429" xr:uid="{00000000-0005-0000-0000-00006C4D0000}"/>
    <cellStyle name="Normal 6 3 4 4 2 2 3" xfId="28572" xr:uid="{00000000-0005-0000-0000-00006D4D0000}"/>
    <cellStyle name="Normal 6 3 4 4 2 3" xfId="13786" xr:uid="{00000000-0005-0000-0000-00006E4D0000}"/>
    <cellStyle name="Normal 6 3 4 4 2 3 2" xfId="33501" xr:uid="{00000000-0005-0000-0000-00006F4D0000}"/>
    <cellStyle name="Normal 6 3 4 4 2 4" xfId="23644" xr:uid="{00000000-0005-0000-0000-0000704D0000}"/>
    <cellStyle name="Normal 6 3 4 4 3" xfId="6390" xr:uid="{00000000-0005-0000-0000-0000714D0000}"/>
    <cellStyle name="Normal 6 3 4 4 3 2" xfId="16250" xr:uid="{00000000-0005-0000-0000-0000724D0000}"/>
    <cellStyle name="Normal 6 3 4 4 3 2 2" xfId="35965" xr:uid="{00000000-0005-0000-0000-0000734D0000}"/>
    <cellStyle name="Normal 6 3 4 4 3 3" xfId="26108" xr:uid="{00000000-0005-0000-0000-0000744D0000}"/>
    <cellStyle name="Normal 6 3 4 4 4" xfId="11322" xr:uid="{00000000-0005-0000-0000-0000754D0000}"/>
    <cellStyle name="Normal 6 3 4 4 4 2" xfId="31037" xr:uid="{00000000-0005-0000-0000-0000764D0000}"/>
    <cellStyle name="Normal 6 3 4 4 5" xfId="21180" xr:uid="{00000000-0005-0000-0000-0000774D0000}"/>
    <cellStyle name="Normal 6 3 4 5" xfId="2690" xr:uid="{00000000-0005-0000-0000-0000784D0000}"/>
    <cellStyle name="Normal 6 3 4 5 2" xfId="7622" xr:uid="{00000000-0005-0000-0000-0000794D0000}"/>
    <cellStyle name="Normal 6 3 4 5 2 2" xfId="17482" xr:uid="{00000000-0005-0000-0000-00007A4D0000}"/>
    <cellStyle name="Normal 6 3 4 5 2 2 2" xfId="37197" xr:uid="{00000000-0005-0000-0000-00007B4D0000}"/>
    <cellStyle name="Normal 6 3 4 5 2 3" xfId="27340" xr:uid="{00000000-0005-0000-0000-00007C4D0000}"/>
    <cellStyle name="Normal 6 3 4 5 3" xfId="12554" xr:uid="{00000000-0005-0000-0000-00007D4D0000}"/>
    <cellStyle name="Normal 6 3 4 5 3 2" xfId="32269" xr:uid="{00000000-0005-0000-0000-00007E4D0000}"/>
    <cellStyle name="Normal 6 3 4 5 4" xfId="22412" xr:uid="{00000000-0005-0000-0000-00007F4D0000}"/>
    <cellStyle name="Normal 6 3 4 6" xfId="5158" xr:uid="{00000000-0005-0000-0000-0000804D0000}"/>
    <cellStyle name="Normal 6 3 4 6 2" xfId="15018" xr:uid="{00000000-0005-0000-0000-0000814D0000}"/>
    <cellStyle name="Normal 6 3 4 6 2 2" xfId="34733" xr:uid="{00000000-0005-0000-0000-0000824D0000}"/>
    <cellStyle name="Normal 6 3 4 6 3" xfId="24876" xr:uid="{00000000-0005-0000-0000-0000834D0000}"/>
    <cellStyle name="Normal 6 3 4 7" xfId="10090" xr:uid="{00000000-0005-0000-0000-0000844D0000}"/>
    <cellStyle name="Normal 6 3 4 7 2" xfId="29805" xr:uid="{00000000-0005-0000-0000-0000854D0000}"/>
    <cellStyle name="Normal 6 3 4 8" xfId="19948" xr:uid="{00000000-0005-0000-0000-0000864D0000}"/>
    <cellStyle name="Normal 6 3 5" xfId="370" xr:uid="{00000000-0005-0000-0000-0000874D0000}"/>
    <cellStyle name="Normal 6 3 5 2" xfId="990" xr:uid="{00000000-0005-0000-0000-0000884D0000}"/>
    <cellStyle name="Normal 6 3 5 2 2" xfId="2225" xr:uid="{00000000-0005-0000-0000-0000894D0000}"/>
    <cellStyle name="Normal 6 3 5 2 2 2" xfId="4692" xr:uid="{00000000-0005-0000-0000-00008A4D0000}"/>
    <cellStyle name="Normal 6 3 5 2 2 2 2" xfId="9624" xr:uid="{00000000-0005-0000-0000-00008B4D0000}"/>
    <cellStyle name="Normal 6 3 5 2 2 2 2 2" xfId="19484" xr:uid="{00000000-0005-0000-0000-00008C4D0000}"/>
    <cellStyle name="Normal 6 3 5 2 2 2 2 2 2" xfId="39199" xr:uid="{00000000-0005-0000-0000-00008D4D0000}"/>
    <cellStyle name="Normal 6 3 5 2 2 2 2 3" xfId="29342" xr:uid="{00000000-0005-0000-0000-00008E4D0000}"/>
    <cellStyle name="Normal 6 3 5 2 2 2 3" xfId="14556" xr:uid="{00000000-0005-0000-0000-00008F4D0000}"/>
    <cellStyle name="Normal 6 3 5 2 2 2 3 2" xfId="34271" xr:uid="{00000000-0005-0000-0000-0000904D0000}"/>
    <cellStyle name="Normal 6 3 5 2 2 2 4" xfId="24414" xr:uid="{00000000-0005-0000-0000-0000914D0000}"/>
    <cellStyle name="Normal 6 3 5 2 2 3" xfId="7160" xr:uid="{00000000-0005-0000-0000-0000924D0000}"/>
    <cellStyle name="Normal 6 3 5 2 2 3 2" xfId="17020" xr:uid="{00000000-0005-0000-0000-0000934D0000}"/>
    <cellStyle name="Normal 6 3 5 2 2 3 2 2" xfId="36735" xr:uid="{00000000-0005-0000-0000-0000944D0000}"/>
    <cellStyle name="Normal 6 3 5 2 2 3 3" xfId="26878" xr:uid="{00000000-0005-0000-0000-0000954D0000}"/>
    <cellStyle name="Normal 6 3 5 2 2 4" xfId="12092" xr:uid="{00000000-0005-0000-0000-0000964D0000}"/>
    <cellStyle name="Normal 6 3 5 2 2 4 2" xfId="31807" xr:uid="{00000000-0005-0000-0000-0000974D0000}"/>
    <cellStyle name="Normal 6 3 5 2 2 5" xfId="21950" xr:uid="{00000000-0005-0000-0000-0000984D0000}"/>
    <cellStyle name="Normal 6 3 5 2 3" xfId="3460" xr:uid="{00000000-0005-0000-0000-0000994D0000}"/>
    <cellStyle name="Normal 6 3 5 2 3 2" xfId="8392" xr:uid="{00000000-0005-0000-0000-00009A4D0000}"/>
    <cellStyle name="Normal 6 3 5 2 3 2 2" xfId="18252" xr:uid="{00000000-0005-0000-0000-00009B4D0000}"/>
    <cellStyle name="Normal 6 3 5 2 3 2 2 2" xfId="37967" xr:uid="{00000000-0005-0000-0000-00009C4D0000}"/>
    <cellStyle name="Normal 6 3 5 2 3 2 3" xfId="28110" xr:uid="{00000000-0005-0000-0000-00009D4D0000}"/>
    <cellStyle name="Normal 6 3 5 2 3 3" xfId="13324" xr:uid="{00000000-0005-0000-0000-00009E4D0000}"/>
    <cellStyle name="Normal 6 3 5 2 3 3 2" xfId="33039" xr:uid="{00000000-0005-0000-0000-00009F4D0000}"/>
    <cellStyle name="Normal 6 3 5 2 3 4" xfId="23182" xr:uid="{00000000-0005-0000-0000-0000A04D0000}"/>
    <cellStyle name="Normal 6 3 5 2 4" xfId="5928" xr:uid="{00000000-0005-0000-0000-0000A14D0000}"/>
    <cellStyle name="Normal 6 3 5 2 4 2" xfId="15788" xr:uid="{00000000-0005-0000-0000-0000A24D0000}"/>
    <cellStyle name="Normal 6 3 5 2 4 2 2" xfId="35503" xr:uid="{00000000-0005-0000-0000-0000A34D0000}"/>
    <cellStyle name="Normal 6 3 5 2 4 3" xfId="25646" xr:uid="{00000000-0005-0000-0000-0000A44D0000}"/>
    <cellStyle name="Normal 6 3 5 2 5" xfId="10860" xr:uid="{00000000-0005-0000-0000-0000A54D0000}"/>
    <cellStyle name="Normal 6 3 5 2 5 2" xfId="30575" xr:uid="{00000000-0005-0000-0000-0000A64D0000}"/>
    <cellStyle name="Normal 6 3 5 2 6" xfId="20718" xr:uid="{00000000-0005-0000-0000-0000A74D0000}"/>
    <cellStyle name="Normal 6 3 5 3" xfId="1609" xr:uid="{00000000-0005-0000-0000-0000A84D0000}"/>
    <cellStyle name="Normal 6 3 5 3 2" xfId="4076" xr:uid="{00000000-0005-0000-0000-0000A94D0000}"/>
    <cellStyle name="Normal 6 3 5 3 2 2" xfId="9008" xr:uid="{00000000-0005-0000-0000-0000AA4D0000}"/>
    <cellStyle name="Normal 6 3 5 3 2 2 2" xfId="18868" xr:uid="{00000000-0005-0000-0000-0000AB4D0000}"/>
    <cellStyle name="Normal 6 3 5 3 2 2 2 2" xfId="38583" xr:uid="{00000000-0005-0000-0000-0000AC4D0000}"/>
    <cellStyle name="Normal 6 3 5 3 2 2 3" xfId="28726" xr:uid="{00000000-0005-0000-0000-0000AD4D0000}"/>
    <cellStyle name="Normal 6 3 5 3 2 3" xfId="13940" xr:uid="{00000000-0005-0000-0000-0000AE4D0000}"/>
    <cellStyle name="Normal 6 3 5 3 2 3 2" xfId="33655" xr:uid="{00000000-0005-0000-0000-0000AF4D0000}"/>
    <cellStyle name="Normal 6 3 5 3 2 4" xfId="23798" xr:uid="{00000000-0005-0000-0000-0000B04D0000}"/>
    <cellStyle name="Normal 6 3 5 3 3" xfId="6544" xr:uid="{00000000-0005-0000-0000-0000B14D0000}"/>
    <cellStyle name="Normal 6 3 5 3 3 2" xfId="16404" xr:uid="{00000000-0005-0000-0000-0000B24D0000}"/>
    <cellStyle name="Normal 6 3 5 3 3 2 2" xfId="36119" xr:uid="{00000000-0005-0000-0000-0000B34D0000}"/>
    <cellStyle name="Normal 6 3 5 3 3 3" xfId="26262" xr:uid="{00000000-0005-0000-0000-0000B44D0000}"/>
    <cellStyle name="Normal 6 3 5 3 4" xfId="11476" xr:uid="{00000000-0005-0000-0000-0000B54D0000}"/>
    <cellStyle name="Normal 6 3 5 3 4 2" xfId="31191" xr:uid="{00000000-0005-0000-0000-0000B64D0000}"/>
    <cellStyle name="Normal 6 3 5 3 5" xfId="21334" xr:uid="{00000000-0005-0000-0000-0000B74D0000}"/>
    <cellStyle name="Normal 6 3 5 4" xfId="2844" xr:uid="{00000000-0005-0000-0000-0000B84D0000}"/>
    <cellStyle name="Normal 6 3 5 4 2" xfId="7776" xr:uid="{00000000-0005-0000-0000-0000B94D0000}"/>
    <cellStyle name="Normal 6 3 5 4 2 2" xfId="17636" xr:uid="{00000000-0005-0000-0000-0000BA4D0000}"/>
    <cellStyle name="Normal 6 3 5 4 2 2 2" xfId="37351" xr:uid="{00000000-0005-0000-0000-0000BB4D0000}"/>
    <cellStyle name="Normal 6 3 5 4 2 3" xfId="27494" xr:uid="{00000000-0005-0000-0000-0000BC4D0000}"/>
    <cellStyle name="Normal 6 3 5 4 3" xfId="12708" xr:uid="{00000000-0005-0000-0000-0000BD4D0000}"/>
    <cellStyle name="Normal 6 3 5 4 3 2" xfId="32423" xr:uid="{00000000-0005-0000-0000-0000BE4D0000}"/>
    <cellStyle name="Normal 6 3 5 4 4" xfId="22566" xr:uid="{00000000-0005-0000-0000-0000BF4D0000}"/>
    <cellStyle name="Normal 6 3 5 5" xfId="5312" xr:uid="{00000000-0005-0000-0000-0000C04D0000}"/>
    <cellStyle name="Normal 6 3 5 5 2" xfId="15172" xr:uid="{00000000-0005-0000-0000-0000C14D0000}"/>
    <cellStyle name="Normal 6 3 5 5 2 2" xfId="34887" xr:uid="{00000000-0005-0000-0000-0000C24D0000}"/>
    <cellStyle name="Normal 6 3 5 5 3" xfId="25030" xr:uid="{00000000-0005-0000-0000-0000C34D0000}"/>
    <cellStyle name="Normal 6 3 5 6" xfId="10244" xr:uid="{00000000-0005-0000-0000-0000C44D0000}"/>
    <cellStyle name="Normal 6 3 5 6 2" xfId="29959" xr:uid="{00000000-0005-0000-0000-0000C54D0000}"/>
    <cellStyle name="Normal 6 3 5 7" xfId="20102" xr:uid="{00000000-0005-0000-0000-0000C64D0000}"/>
    <cellStyle name="Normal 6 3 6" xfId="683" xr:uid="{00000000-0005-0000-0000-0000C74D0000}"/>
    <cellStyle name="Normal 6 3 6 2" xfId="1919" xr:uid="{00000000-0005-0000-0000-0000C84D0000}"/>
    <cellStyle name="Normal 6 3 6 2 2" xfId="4386" xr:uid="{00000000-0005-0000-0000-0000C94D0000}"/>
    <cellStyle name="Normal 6 3 6 2 2 2" xfId="9318" xr:uid="{00000000-0005-0000-0000-0000CA4D0000}"/>
    <cellStyle name="Normal 6 3 6 2 2 2 2" xfId="19178" xr:uid="{00000000-0005-0000-0000-0000CB4D0000}"/>
    <cellStyle name="Normal 6 3 6 2 2 2 2 2" xfId="38893" xr:uid="{00000000-0005-0000-0000-0000CC4D0000}"/>
    <cellStyle name="Normal 6 3 6 2 2 2 3" xfId="29036" xr:uid="{00000000-0005-0000-0000-0000CD4D0000}"/>
    <cellStyle name="Normal 6 3 6 2 2 3" xfId="14250" xr:uid="{00000000-0005-0000-0000-0000CE4D0000}"/>
    <cellStyle name="Normal 6 3 6 2 2 3 2" xfId="33965" xr:uid="{00000000-0005-0000-0000-0000CF4D0000}"/>
    <cellStyle name="Normal 6 3 6 2 2 4" xfId="24108" xr:uid="{00000000-0005-0000-0000-0000D04D0000}"/>
    <cellStyle name="Normal 6 3 6 2 3" xfId="6854" xr:uid="{00000000-0005-0000-0000-0000D14D0000}"/>
    <cellStyle name="Normal 6 3 6 2 3 2" xfId="16714" xr:uid="{00000000-0005-0000-0000-0000D24D0000}"/>
    <cellStyle name="Normal 6 3 6 2 3 2 2" xfId="36429" xr:uid="{00000000-0005-0000-0000-0000D34D0000}"/>
    <cellStyle name="Normal 6 3 6 2 3 3" xfId="26572" xr:uid="{00000000-0005-0000-0000-0000D44D0000}"/>
    <cellStyle name="Normal 6 3 6 2 4" xfId="11786" xr:uid="{00000000-0005-0000-0000-0000D54D0000}"/>
    <cellStyle name="Normal 6 3 6 2 4 2" xfId="31501" xr:uid="{00000000-0005-0000-0000-0000D64D0000}"/>
    <cellStyle name="Normal 6 3 6 2 5" xfId="21644" xr:uid="{00000000-0005-0000-0000-0000D74D0000}"/>
    <cellStyle name="Normal 6 3 6 3" xfId="3154" xr:uid="{00000000-0005-0000-0000-0000D84D0000}"/>
    <cellStyle name="Normal 6 3 6 3 2" xfId="8086" xr:uid="{00000000-0005-0000-0000-0000D94D0000}"/>
    <cellStyle name="Normal 6 3 6 3 2 2" xfId="17946" xr:uid="{00000000-0005-0000-0000-0000DA4D0000}"/>
    <cellStyle name="Normal 6 3 6 3 2 2 2" xfId="37661" xr:uid="{00000000-0005-0000-0000-0000DB4D0000}"/>
    <cellStyle name="Normal 6 3 6 3 2 3" xfId="27804" xr:uid="{00000000-0005-0000-0000-0000DC4D0000}"/>
    <cellStyle name="Normal 6 3 6 3 3" xfId="13018" xr:uid="{00000000-0005-0000-0000-0000DD4D0000}"/>
    <cellStyle name="Normal 6 3 6 3 3 2" xfId="32733" xr:uid="{00000000-0005-0000-0000-0000DE4D0000}"/>
    <cellStyle name="Normal 6 3 6 3 4" xfId="22876" xr:uid="{00000000-0005-0000-0000-0000DF4D0000}"/>
    <cellStyle name="Normal 6 3 6 4" xfId="5622" xr:uid="{00000000-0005-0000-0000-0000E04D0000}"/>
    <cellStyle name="Normal 6 3 6 4 2" xfId="15482" xr:uid="{00000000-0005-0000-0000-0000E14D0000}"/>
    <cellStyle name="Normal 6 3 6 4 2 2" xfId="35197" xr:uid="{00000000-0005-0000-0000-0000E24D0000}"/>
    <cellStyle name="Normal 6 3 6 4 3" xfId="25340" xr:uid="{00000000-0005-0000-0000-0000E34D0000}"/>
    <cellStyle name="Normal 6 3 6 5" xfId="10554" xr:uid="{00000000-0005-0000-0000-0000E44D0000}"/>
    <cellStyle name="Normal 6 3 6 5 2" xfId="30269" xr:uid="{00000000-0005-0000-0000-0000E54D0000}"/>
    <cellStyle name="Normal 6 3 6 6" xfId="20412" xr:uid="{00000000-0005-0000-0000-0000E64D0000}"/>
    <cellStyle name="Normal 6 3 7" xfId="1303" xr:uid="{00000000-0005-0000-0000-0000E74D0000}"/>
    <cellStyle name="Normal 6 3 7 2" xfId="3770" xr:uid="{00000000-0005-0000-0000-0000E84D0000}"/>
    <cellStyle name="Normal 6 3 7 2 2" xfId="8702" xr:uid="{00000000-0005-0000-0000-0000E94D0000}"/>
    <cellStyle name="Normal 6 3 7 2 2 2" xfId="18562" xr:uid="{00000000-0005-0000-0000-0000EA4D0000}"/>
    <cellStyle name="Normal 6 3 7 2 2 2 2" xfId="38277" xr:uid="{00000000-0005-0000-0000-0000EB4D0000}"/>
    <cellStyle name="Normal 6 3 7 2 2 3" xfId="28420" xr:uid="{00000000-0005-0000-0000-0000EC4D0000}"/>
    <cellStyle name="Normal 6 3 7 2 3" xfId="13634" xr:uid="{00000000-0005-0000-0000-0000ED4D0000}"/>
    <cellStyle name="Normal 6 3 7 2 3 2" xfId="33349" xr:uid="{00000000-0005-0000-0000-0000EE4D0000}"/>
    <cellStyle name="Normal 6 3 7 2 4" xfId="23492" xr:uid="{00000000-0005-0000-0000-0000EF4D0000}"/>
    <cellStyle name="Normal 6 3 7 3" xfId="6238" xr:uid="{00000000-0005-0000-0000-0000F04D0000}"/>
    <cellStyle name="Normal 6 3 7 3 2" xfId="16098" xr:uid="{00000000-0005-0000-0000-0000F14D0000}"/>
    <cellStyle name="Normal 6 3 7 3 2 2" xfId="35813" xr:uid="{00000000-0005-0000-0000-0000F24D0000}"/>
    <cellStyle name="Normal 6 3 7 3 3" xfId="25956" xr:uid="{00000000-0005-0000-0000-0000F34D0000}"/>
    <cellStyle name="Normal 6 3 7 4" xfId="11170" xr:uid="{00000000-0005-0000-0000-0000F44D0000}"/>
    <cellStyle name="Normal 6 3 7 4 2" xfId="30885" xr:uid="{00000000-0005-0000-0000-0000F54D0000}"/>
    <cellStyle name="Normal 6 3 7 5" xfId="21028" xr:uid="{00000000-0005-0000-0000-0000F64D0000}"/>
    <cellStyle name="Normal 6 3 8" xfId="2538" xr:uid="{00000000-0005-0000-0000-0000F74D0000}"/>
    <cellStyle name="Normal 6 3 8 2" xfId="7470" xr:uid="{00000000-0005-0000-0000-0000F84D0000}"/>
    <cellStyle name="Normal 6 3 8 2 2" xfId="17330" xr:uid="{00000000-0005-0000-0000-0000F94D0000}"/>
    <cellStyle name="Normal 6 3 8 2 2 2" xfId="37045" xr:uid="{00000000-0005-0000-0000-0000FA4D0000}"/>
    <cellStyle name="Normal 6 3 8 2 3" xfId="27188" xr:uid="{00000000-0005-0000-0000-0000FB4D0000}"/>
    <cellStyle name="Normal 6 3 8 3" xfId="12402" xr:uid="{00000000-0005-0000-0000-0000FC4D0000}"/>
    <cellStyle name="Normal 6 3 8 3 2" xfId="32117" xr:uid="{00000000-0005-0000-0000-0000FD4D0000}"/>
    <cellStyle name="Normal 6 3 8 4" xfId="22260" xr:uid="{00000000-0005-0000-0000-0000FE4D0000}"/>
    <cellStyle name="Normal 6 3 9" xfId="5006" xr:uid="{00000000-0005-0000-0000-0000FF4D0000}"/>
    <cellStyle name="Normal 6 3 9 2" xfId="14866" xr:uid="{00000000-0005-0000-0000-0000004E0000}"/>
    <cellStyle name="Normal 6 3 9 2 2" xfId="34581" xr:uid="{00000000-0005-0000-0000-0000014E0000}"/>
    <cellStyle name="Normal 6 3 9 3" xfId="24724" xr:uid="{00000000-0005-0000-0000-0000024E0000}"/>
    <cellStyle name="Normal 6 4" xfId="64" xr:uid="{00000000-0005-0000-0000-0000034E0000}"/>
    <cellStyle name="Normal 6 4 10" xfId="19815" xr:uid="{00000000-0005-0000-0000-0000044E0000}"/>
    <cellStyle name="Normal 6 4 2" xfId="146" xr:uid="{00000000-0005-0000-0000-0000054E0000}"/>
    <cellStyle name="Normal 6 4 2 2" xfId="303" xr:uid="{00000000-0005-0000-0000-0000064E0000}"/>
    <cellStyle name="Normal 6 4 2 2 2" xfId="617" xr:uid="{00000000-0005-0000-0000-0000074E0000}"/>
    <cellStyle name="Normal 6 4 2 2 2 2" xfId="1237" xr:uid="{00000000-0005-0000-0000-0000084E0000}"/>
    <cellStyle name="Normal 6 4 2 2 2 2 2" xfId="2472" xr:uid="{00000000-0005-0000-0000-0000094E0000}"/>
    <cellStyle name="Normal 6 4 2 2 2 2 2 2" xfId="4939" xr:uid="{00000000-0005-0000-0000-00000A4E0000}"/>
    <cellStyle name="Normal 6 4 2 2 2 2 2 2 2" xfId="9871" xr:uid="{00000000-0005-0000-0000-00000B4E0000}"/>
    <cellStyle name="Normal 6 4 2 2 2 2 2 2 2 2" xfId="19731" xr:uid="{00000000-0005-0000-0000-00000C4E0000}"/>
    <cellStyle name="Normal 6 4 2 2 2 2 2 2 2 2 2" xfId="39446" xr:uid="{00000000-0005-0000-0000-00000D4E0000}"/>
    <cellStyle name="Normal 6 4 2 2 2 2 2 2 2 3" xfId="29589" xr:uid="{00000000-0005-0000-0000-00000E4E0000}"/>
    <cellStyle name="Normal 6 4 2 2 2 2 2 2 3" xfId="14803" xr:uid="{00000000-0005-0000-0000-00000F4E0000}"/>
    <cellStyle name="Normal 6 4 2 2 2 2 2 2 3 2" xfId="34518" xr:uid="{00000000-0005-0000-0000-0000104E0000}"/>
    <cellStyle name="Normal 6 4 2 2 2 2 2 2 4" xfId="24661" xr:uid="{00000000-0005-0000-0000-0000114E0000}"/>
    <cellStyle name="Normal 6 4 2 2 2 2 2 3" xfId="7407" xr:uid="{00000000-0005-0000-0000-0000124E0000}"/>
    <cellStyle name="Normal 6 4 2 2 2 2 2 3 2" xfId="17267" xr:uid="{00000000-0005-0000-0000-0000134E0000}"/>
    <cellStyle name="Normal 6 4 2 2 2 2 2 3 2 2" xfId="36982" xr:uid="{00000000-0005-0000-0000-0000144E0000}"/>
    <cellStyle name="Normal 6 4 2 2 2 2 2 3 3" xfId="27125" xr:uid="{00000000-0005-0000-0000-0000154E0000}"/>
    <cellStyle name="Normal 6 4 2 2 2 2 2 4" xfId="12339" xr:uid="{00000000-0005-0000-0000-0000164E0000}"/>
    <cellStyle name="Normal 6 4 2 2 2 2 2 4 2" xfId="32054" xr:uid="{00000000-0005-0000-0000-0000174E0000}"/>
    <cellStyle name="Normal 6 4 2 2 2 2 2 5" xfId="22197" xr:uid="{00000000-0005-0000-0000-0000184E0000}"/>
    <cellStyle name="Normal 6 4 2 2 2 2 3" xfId="3707" xr:uid="{00000000-0005-0000-0000-0000194E0000}"/>
    <cellStyle name="Normal 6 4 2 2 2 2 3 2" xfId="8639" xr:uid="{00000000-0005-0000-0000-00001A4E0000}"/>
    <cellStyle name="Normal 6 4 2 2 2 2 3 2 2" xfId="18499" xr:uid="{00000000-0005-0000-0000-00001B4E0000}"/>
    <cellStyle name="Normal 6 4 2 2 2 2 3 2 2 2" xfId="38214" xr:uid="{00000000-0005-0000-0000-00001C4E0000}"/>
    <cellStyle name="Normal 6 4 2 2 2 2 3 2 3" xfId="28357" xr:uid="{00000000-0005-0000-0000-00001D4E0000}"/>
    <cellStyle name="Normal 6 4 2 2 2 2 3 3" xfId="13571" xr:uid="{00000000-0005-0000-0000-00001E4E0000}"/>
    <cellStyle name="Normal 6 4 2 2 2 2 3 3 2" xfId="33286" xr:uid="{00000000-0005-0000-0000-00001F4E0000}"/>
    <cellStyle name="Normal 6 4 2 2 2 2 3 4" xfId="23429" xr:uid="{00000000-0005-0000-0000-0000204E0000}"/>
    <cellStyle name="Normal 6 4 2 2 2 2 4" xfId="6175" xr:uid="{00000000-0005-0000-0000-0000214E0000}"/>
    <cellStyle name="Normal 6 4 2 2 2 2 4 2" xfId="16035" xr:uid="{00000000-0005-0000-0000-0000224E0000}"/>
    <cellStyle name="Normal 6 4 2 2 2 2 4 2 2" xfId="35750" xr:uid="{00000000-0005-0000-0000-0000234E0000}"/>
    <cellStyle name="Normal 6 4 2 2 2 2 4 3" xfId="25893" xr:uid="{00000000-0005-0000-0000-0000244E0000}"/>
    <cellStyle name="Normal 6 4 2 2 2 2 5" xfId="11107" xr:uid="{00000000-0005-0000-0000-0000254E0000}"/>
    <cellStyle name="Normal 6 4 2 2 2 2 5 2" xfId="30822" xr:uid="{00000000-0005-0000-0000-0000264E0000}"/>
    <cellStyle name="Normal 6 4 2 2 2 2 6" xfId="20965" xr:uid="{00000000-0005-0000-0000-0000274E0000}"/>
    <cellStyle name="Normal 6 4 2 2 2 3" xfId="1856" xr:uid="{00000000-0005-0000-0000-0000284E0000}"/>
    <cellStyle name="Normal 6 4 2 2 2 3 2" xfId="4323" xr:uid="{00000000-0005-0000-0000-0000294E0000}"/>
    <cellStyle name="Normal 6 4 2 2 2 3 2 2" xfId="9255" xr:uid="{00000000-0005-0000-0000-00002A4E0000}"/>
    <cellStyle name="Normal 6 4 2 2 2 3 2 2 2" xfId="19115" xr:uid="{00000000-0005-0000-0000-00002B4E0000}"/>
    <cellStyle name="Normal 6 4 2 2 2 3 2 2 2 2" xfId="38830" xr:uid="{00000000-0005-0000-0000-00002C4E0000}"/>
    <cellStyle name="Normal 6 4 2 2 2 3 2 2 3" xfId="28973" xr:uid="{00000000-0005-0000-0000-00002D4E0000}"/>
    <cellStyle name="Normal 6 4 2 2 2 3 2 3" xfId="14187" xr:uid="{00000000-0005-0000-0000-00002E4E0000}"/>
    <cellStyle name="Normal 6 4 2 2 2 3 2 3 2" xfId="33902" xr:uid="{00000000-0005-0000-0000-00002F4E0000}"/>
    <cellStyle name="Normal 6 4 2 2 2 3 2 4" xfId="24045" xr:uid="{00000000-0005-0000-0000-0000304E0000}"/>
    <cellStyle name="Normal 6 4 2 2 2 3 3" xfId="6791" xr:uid="{00000000-0005-0000-0000-0000314E0000}"/>
    <cellStyle name="Normal 6 4 2 2 2 3 3 2" xfId="16651" xr:uid="{00000000-0005-0000-0000-0000324E0000}"/>
    <cellStyle name="Normal 6 4 2 2 2 3 3 2 2" xfId="36366" xr:uid="{00000000-0005-0000-0000-0000334E0000}"/>
    <cellStyle name="Normal 6 4 2 2 2 3 3 3" xfId="26509" xr:uid="{00000000-0005-0000-0000-0000344E0000}"/>
    <cellStyle name="Normal 6 4 2 2 2 3 4" xfId="11723" xr:uid="{00000000-0005-0000-0000-0000354E0000}"/>
    <cellStyle name="Normal 6 4 2 2 2 3 4 2" xfId="31438" xr:uid="{00000000-0005-0000-0000-0000364E0000}"/>
    <cellStyle name="Normal 6 4 2 2 2 3 5" xfId="21581" xr:uid="{00000000-0005-0000-0000-0000374E0000}"/>
    <cellStyle name="Normal 6 4 2 2 2 4" xfId="3091" xr:uid="{00000000-0005-0000-0000-0000384E0000}"/>
    <cellStyle name="Normal 6 4 2 2 2 4 2" xfId="8023" xr:uid="{00000000-0005-0000-0000-0000394E0000}"/>
    <cellStyle name="Normal 6 4 2 2 2 4 2 2" xfId="17883" xr:uid="{00000000-0005-0000-0000-00003A4E0000}"/>
    <cellStyle name="Normal 6 4 2 2 2 4 2 2 2" xfId="37598" xr:uid="{00000000-0005-0000-0000-00003B4E0000}"/>
    <cellStyle name="Normal 6 4 2 2 2 4 2 3" xfId="27741" xr:uid="{00000000-0005-0000-0000-00003C4E0000}"/>
    <cellStyle name="Normal 6 4 2 2 2 4 3" xfId="12955" xr:uid="{00000000-0005-0000-0000-00003D4E0000}"/>
    <cellStyle name="Normal 6 4 2 2 2 4 3 2" xfId="32670" xr:uid="{00000000-0005-0000-0000-00003E4E0000}"/>
    <cellStyle name="Normal 6 4 2 2 2 4 4" xfId="22813" xr:uid="{00000000-0005-0000-0000-00003F4E0000}"/>
    <cellStyle name="Normal 6 4 2 2 2 5" xfId="5559" xr:uid="{00000000-0005-0000-0000-0000404E0000}"/>
    <cellStyle name="Normal 6 4 2 2 2 5 2" xfId="15419" xr:uid="{00000000-0005-0000-0000-0000414E0000}"/>
    <cellStyle name="Normal 6 4 2 2 2 5 2 2" xfId="35134" xr:uid="{00000000-0005-0000-0000-0000424E0000}"/>
    <cellStyle name="Normal 6 4 2 2 2 5 3" xfId="25277" xr:uid="{00000000-0005-0000-0000-0000434E0000}"/>
    <cellStyle name="Normal 6 4 2 2 2 6" xfId="10491" xr:uid="{00000000-0005-0000-0000-0000444E0000}"/>
    <cellStyle name="Normal 6 4 2 2 2 6 2" xfId="30206" xr:uid="{00000000-0005-0000-0000-0000454E0000}"/>
    <cellStyle name="Normal 6 4 2 2 2 7" xfId="20349" xr:uid="{00000000-0005-0000-0000-0000464E0000}"/>
    <cellStyle name="Normal 6 4 2 2 3" xfId="930" xr:uid="{00000000-0005-0000-0000-0000474E0000}"/>
    <cellStyle name="Normal 6 4 2 2 3 2" xfId="2166" xr:uid="{00000000-0005-0000-0000-0000484E0000}"/>
    <cellStyle name="Normal 6 4 2 2 3 2 2" xfId="4633" xr:uid="{00000000-0005-0000-0000-0000494E0000}"/>
    <cellStyle name="Normal 6 4 2 2 3 2 2 2" xfId="9565" xr:uid="{00000000-0005-0000-0000-00004A4E0000}"/>
    <cellStyle name="Normal 6 4 2 2 3 2 2 2 2" xfId="19425" xr:uid="{00000000-0005-0000-0000-00004B4E0000}"/>
    <cellStyle name="Normal 6 4 2 2 3 2 2 2 2 2" xfId="39140" xr:uid="{00000000-0005-0000-0000-00004C4E0000}"/>
    <cellStyle name="Normal 6 4 2 2 3 2 2 2 3" xfId="29283" xr:uid="{00000000-0005-0000-0000-00004D4E0000}"/>
    <cellStyle name="Normal 6 4 2 2 3 2 2 3" xfId="14497" xr:uid="{00000000-0005-0000-0000-00004E4E0000}"/>
    <cellStyle name="Normal 6 4 2 2 3 2 2 3 2" xfId="34212" xr:uid="{00000000-0005-0000-0000-00004F4E0000}"/>
    <cellStyle name="Normal 6 4 2 2 3 2 2 4" xfId="24355" xr:uid="{00000000-0005-0000-0000-0000504E0000}"/>
    <cellStyle name="Normal 6 4 2 2 3 2 3" xfId="7101" xr:uid="{00000000-0005-0000-0000-0000514E0000}"/>
    <cellStyle name="Normal 6 4 2 2 3 2 3 2" xfId="16961" xr:uid="{00000000-0005-0000-0000-0000524E0000}"/>
    <cellStyle name="Normal 6 4 2 2 3 2 3 2 2" xfId="36676" xr:uid="{00000000-0005-0000-0000-0000534E0000}"/>
    <cellStyle name="Normal 6 4 2 2 3 2 3 3" xfId="26819" xr:uid="{00000000-0005-0000-0000-0000544E0000}"/>
    <cellStyle name="Normal 6 4 2 2 3 2 4" xfId="12033" xr:uid="{00000000-0005-0000-0000-0000554E0000}"/>
    <cellStyle name="Normal 6 4 2 2 3 2 4 2" xfId="31748" xr:uid="{00000000-0005-0000-0000-0000564E0000}"/>
    <cellStyle name="Normal 6 4 2 2 3 2 5" xfId="21891" xr:uid="{00000000-0005-0000-0000-0000574E0000}"/>
    <cellStyle name="Normal 6 4 2 2 3 3" xfId="3401" xr:uid="{00000000-0005-0000-0000-0000584E0000}"/>
    <cellStyle name="Normal 6 4 2 2 3 3 2" xfId="8333" xr:uid="{00000000-0005-0000-0000-0000594E0000}"/>
    <cellStyle name="Normal 6 4 2 2 3 3 2 2" xfId="18193" xr:uid="{00000000-0005-0000-0000-00005A4E0000}"/>
    <cellStyle name="Normal 6 4 2 2 3 3 2 2 2" xfId="37908" xr:uid="{00000000-0005-0000-0000-00005B4E0000}"/>
    <cellStyle name="Normal 6 4 2 2 3 3 2 3" xfId="28051" xr:uid="{00000000-0005-0000-0000-00005C4E0000}"/>
    <cellStyle name="Normal 6 4 2 2 3 3 3" xfId="13265" xr:uid="{00000000-0005-0000-0000-00005D4E0000}"/>
    <cellStyle name="Normal 6 4 2 2 3 3 3 2" xfId="32980" xr:uid="{00000000-0005-0000-0000-00005E4E0000}"/>
    <cellStyle name="Normal 6 4 2 2 3 3 4" xfId="23123" xr:uid="{00000000-0005-0000-0000-00005F4E0000}"/>
    <cellStyle name="Normal 6 4 2 2 3 4" xfId="5869" xr:uid="{00000000-0005-0000-0000-0000604E0000}"/>
    <cellStyle name="Normal 6 4 2 2 3 4 2" xfId="15729" xr:uid="{00000000-0005-0000-0000-0000614E0000}"/>
    <cellStyle name="Normal 6 4 2 2 3 4 2 2" xfId="35444" xr:uid="{00000000-0005-0000-0000-0000624E0000}"/>
    <cellStyle name="Normal 6 4 2 2 3 4 3" xfId="25587" xr:uid="{00000000-0005-0000-0000-0000634E0000}"/>
    <cellStyle name="Normal 6 4 2 2 3 5" xfId="10801" xr:uid="{00000000-0005-0000-0000-0000644E0000}"/>
    <cellStyle name="Normal 6 4 2 2 3 5 2" xfId="30516" xr:uid="{00000000-0005-0000-0000-0000654E0000}"/>
    <cellStyle name="Normal 6 4 2 2 3 6" xfId="20659" xr:uid="{00000000-0005-0000-0000-0000664E0000}"/>
    <cellStyle name="Normal 6 4 2 2 4" xfId="1550" xr:uid="{00000000-0005-0000-0000-0000674E0000}"/>
    <cellStyle name="Normal 6 4 2 2 4 2" xfId="4017" xr:uid="{00000000-0005-0000-0000-0000684E0000}"/>
    <cellStyle name="Normal 6 4 2 2 4 2 2" xfId="8949" xr:uid="{00000000-0005-0000-0000-0000694E0000}"/>
    <cellStyle name="Normal 6 4 2 2 4 2 2 2" xfId="18809" xr:uid="{00000000-0005-0000-0000-00006A4E0000}"/>
    <cellStyle name="Normal 6 4 2 2 4 2 2 2 2" xfId="38524" xr:uid="{00000000-0005-0000-0000-00006B4E0000}"/>
    <cellStyle name="Normal 6 4 2 2 4 2 2 3" xfId="28667" xr:uid="{00000000-0005-0000-0000-00006C4E0000}"/>
    <cellStyle name="Normal 6 4 2 2 4 2 3" xfId="13881" xr:uid="{00000000-0005-0000-0000-00006D4E0000}"/>
    <cellStyle name="Normal 6 4 2 2 4 2 3 2" xfId="33596" xr:uid="{00000000-0005-0000-0000-00006E4E0000}"/>
    <cellStyle name="Normal 6 4 2 2 4 2 4" xfId="23739" xr:uid="{00000000-0005-0000-0000-00006F4E0000}"/>
    <cellStyle name="Normal 6 4 2 2 4 3" xfId="6485" xr:uid="{00000000-0005-0000-0000-0000704E0000}"/>
    <cellStyle name="Normal 6 4 2 2 4 3 2" xfId="16345" xr:uid="{00000000-0005-0000-0000-0000714E0000}"/>
    <cellStyle name="Normal 6 4 2 2 4 3 2 2" xfId="36060" xr:uid="{00000000-0005-0000-0000-0000724E0000}"/>
    <cellStyle name="Normal 6 4 2 2 4 3 3" xfId="26203" xr:uid="{00000000-0005-0000-0000-0000734E0000}"/>
    <cellStyle name="Normal 6 4 2 2 4 4" xfId="11417" xr:uid="{00000000-0005-0000-0000-0000744E0000}"/>
    <cellStyle name="Normal 6 4 2 2 4 4 2" xfId="31132" xr:uid="{00000000-0005-0000-0000-0000754E0000}"/>
    <cellStyle name="Normal 6 4 2 2 4 5" xfId="21275" xr:uid="{00000000-0005-0000-0000-0000764E0000}"/>
    <cellStyle name="Normal 6 4 2 2 5" xfId="2785" xr:uid="{00000000-0005-0000-0000-0000774E0000}"/>
    <cellStyle name="Normal 6 4 2 2 5 2" xfId="7717" xr:uid="{00000000-0005-0000-0000-0000784E0000}"/>
    <cellStyle name="Normal 6 4 2 2 5 2 2" xfId="17577" xr:uid="{00000000-0005-0000-0000-0000794E0000}"/>
    <cellStyle name="Normal 6 4 2 2 5 2 2 2" xfId="37292" xr:uid="{00000000-0005-0000-0000-00007A4E0000}"/>
    <cellStyle name="Normal 6 4 2 2 5 2 3" xfId="27435" xr:uid="{00000000-0005-0000-0000-00007B4E0000}"/>
    <cellStyle name="Normal 6 4 2 2 5 3" xfId="12649" xr:uid="{00000000-0005-0000-0000-00007C4E0000}"/>
    <cellStyle name="Normal 6 4 2 2 5 3 2" xfId="32364" xr:uid="{00000000-0005-0000-0000-00007D4E0000}"/>
    <cellStyle name="Normal 6 4 2 2 5 4" xfId="22507" xr:uid="{00000000-0005-0000-0000-00007E4E0000}"/>
    <cellStyle name="Normal 6 4 2 2 6" xfId="5253" xr:uid="{00000000-0005-0000-0000-00007F4E0000}"/>
    <cellStyle name="Normal 6 4 2 2 6 2" xfId="15113" xr:uid="{00000000-0005-0000-0000-0000804E0000}"/>
    <cellStyle name="Normal 6 4 2 2 6 2 2" xfId="34828" xr:uid="{00000000-0005-0000-0000-0000814E0000}"/>
    <cellStyle name="Normal 6 4 2 2 6 3" xfId="24971" xr:uid="{00000000-0005-0000-0000-0000824E0000}"/>
    <cellStyle name="Normal 6 4 2 2 7" xfId="10185" xr:uid="{00000000-0005-0000-0000-0000834E0000}"/>
    <cellStyle name="Normal 6 4 2 2 7 2" xfId="29900" xr:uid="{00000000-0005-0000-0000-0000844E0000}"/>
    <cellStyle name="Normal 6 4 2 2 8" xfId="20043" xr:uid="{00000000-0005-0000-0000-0000854E0000}"/>
    <cellStyle name="Normal 6 4 2 3" xfId="465" xr:uid="{00000000-0005-0000-0000-0000864E0000}"/>
    <cellStyle name="Normal 6 4 2 3 2" xfId="1085" xr:uid="{00000000-0005-0000-0000-0000874E0000}"/>
    <cellStyle name="Normal 6 4 2 3 2 2" xfId="2320" xr:uid="{00000000-0005-0000-0000-0000884E0000}"/>
    <cellStyle name="Normal 6 4 2 3 2 2 2" xfId="4787" xr:uid="{00000000-0005-0000-0000-0000894E0000}"/>
    <cellStyle name="Normal 6 4 2 3 2 2 2 2" xfId="9719" xr:uid="{00000000-0005-0000-0000-00008A4E0000}"/>
    <cellStyle name="Normal 6 4 2 3 2 2 2 2 2" xfId="19579" xr:uid="{00000000-0005-0000-0000-00008B4E0000}"/>
    <cellStyle name="Normal 6 4 2 3 2 2 2 2 2 2" xfId="39294" xr:uid="{00000000-0005-0000-0000-00008C4E0000}"/>
    <cellStyle name="Normal 6 4 2 3 2 2 2 2 3" xfId="29437" xr:uid="{00000000-0005-0000-0000-00008D4E0000}"/>
    <cellStyle name="Normal 6 4 2 3 2 2 2 3" xfId="14651" xr:uid="{00000000-0005-0000-0000-00008E4E0000}"/>
    <cellStyle name="Normal 6 4 2 3 2 2 2 3 2" xfId="34366" xr:uid="{00000000-0005-0000-0000-00008F4E0000}"/>
    <cellStyle name="Normal 6 4 2 3 2 2 2 4" xfId="24509" xr:uid="{00000000-0005-0000-0000-0000904E0000}"/>
    <cellStyle name="Normal 6 4 2 3 2 2 3" xfId="7255" xr:uid="{00000000-0005-0000-0000-0000914E0000}"/>
    <cellStyle name="Normal 6 4 2 3 2 2 3 2" xfId="17115" xr:uid="{00000000-0005-0000-0000-0000924E0000}"/>
    <cellStyle name="Normal 6 4 2 3 2 2 3 2 2" xfId="36830" xr:uid="{00000000-0005-0000-0000-0000934E0000}"/>
    <cellStyle name="Normal 6 4 2 3 2 2 3 3" xfId="26973" xr:uid="{00000000-0005-0000-0000-0000944E0000}"/>
    <cellStyle name="Normal 6 4 2 3 2 2 4" xfId="12187" xr:uid="{00000000-0005-0000-0000-0000954E0000}"/>
    <cellStyle name="Normal 6 4 2 3 2 2 4 2" xfId="31902" xr:uid="{00000000-0005-0000-0000-0000964E0000}"/>
    <cellStyle name="Normal 6 4 2 3 2 2 5" xfId="22045" xr:uid="{00000000-0005-0000-0000-0000974E0000}"/>
    <cellStyle name="Normal 6 4 2 3 2 3" xfId="3555" xr:uid="{00000000-0005-0000-0000-0000984E0000}"/>
    <cellStyle name="Normal 6 4 2 3 2 3 2" xfId="8487" xr:uid="{00000000-0005-0000-0000-0000994E0000}"/>
    <cellStyle name="Normal 6 4 2 3 2 3 2 2" xfId="18347" xr:uid="{00000000-0005-0000-0000-00009A4E0000}"/>
    <cellStyle name="Normal 6 4 2 3 2 3 2 2 2" xfId="38062" xr:uid="{00000000-0005-0000-0000-00009B4E0000}"/>
    <cellStyle name="Normal 6 4 2 3 2 3 2 3" xfId="28205" xr:uid="{00000000-0005-0000-0000-00009C4E0000}"/>
    <cellStyle name="Normal 6 4 2 3 2 3 3" xfId="13419" xr:uid="{00000000-0005-0000-0000-00009D4E0000}"/>
    <cellStyle name="Normal 6 4 2 3 2 3 3 2" xfId="33134" xr:uid="{00000000-0005-0000-0000-00009E4E0000}"/>
    <cellStyle name="Normal 6 4 2 3 2 3 4" xfId="23277" xr:uid="{00000000-0005-0000-0000-00009F4E0000}"/>
    <cellStyle name="Normal 6 4 2 3 2 4" xfId="6023" xr:uid="{00000000-0005-0000-0000-0000A04E0000}"/>
    <cellStyle name="Normal 6 4 2 3 2 4 2" xfId="15883" xr:uid="{00000000-0005-0000-0000-0000A14E0000}"/>
    <cellStyle name="Normal 6 4 2 3 2 4 2 2" xfId="35598" xr:uid="{00000000-0005-0000-0000-0000A24E0000}"/>
    <cellStyle name="Normal 6 4 2 3 2 4 3" xfId="25741" xr:uid="{00000000-0005-0000-0000-0000A34E0000}"/>
    <cellStyle name="Normal 6 4 2 3 2 5" xfId="10955" xr:uid="{00000000-0005-0000-0000-0000A44E0000}"/>
    <cellStyle name="Normal 6 4 2 3 2 5 2" xfId="30670" xr:uid="{00000000-0005-0000-0000-0000A54E0000}"/>
    <cellStyle name="Normal 6 4 2 3 2 6" xfId="20813" xr:uid="{00000000-0005-0000-0000-0000A64E0000}"/>
    <cellStyle name="Normal 6 4 2 3 3" xfId="1704" xr:uid="{00000000-0005-0000-0000-0000A74E0000}"/>
    <cellStyle name="Normal 6 4 2 3 3 2" xfId="4171" xr:uid="{00000000-0005-0000-0000-0000A84E0000}"/>
    <cellStyle name="Normal 6 4 2 3 3 2 2" xfId="9103" xr:uid="{00000000-0005-0000-0000-0000A94E0000}"/>
    <cellStyle name="Normal 6 4 2 3 3 2 2 2" xfId="18963" xr:uid="{00000000-0005-0000-0000-0000AA4E0000}"/>
    <cellStyle name="Normal 6 4 2 3 3 2 2 2 2" xfId="38678" xr:uid="{00000000-0005-0000-0000-0000AB4E0000}"/>
    <cellStyle name="Normal 6 4 2 3 3 2 2 3" xfId="28821" xr:uid="{00000000-0005-0000-0000-0000AC4E0000}"/>
    <cellStyle name="Normal 6 4 2 3 3 2 3" xfId="14035" xr:uid="{00000000-0005-0000-0000-0000AD4E0000}"/>
    <cellStyle name="Normal 6 4 2 3 3 2 3 2" xfId="33750" xr:uid="{00000000-0005-0000-0000-0000AE4E0000}"/>
    <cellStyle name="Normal 6 4 2 3 3 2 4" xfId="23893" xr:uid="{00000000-0005-0000-0000-0000AF4E0000}"/>
    <cellStyle name="Normal 6 4 2 3 3 3" xfId="6639" xr:uid="{00000000-0005-0000-0000-0000B04E0000}"/>
    <cellStyle name="Normal 6 4 2 3 3 3 2" xfId="16499" xr:uid="{00000000-0005-0000-0000-0000B14E0000}"/>
    <cellStyle name="Normal 6 4 2 3 3 3 2 2" xfId="36214" xr:uid="{00000000-0005-0000-0000-0000B24E0000}"/>
    <cellStyle name="Normal 6 4 2 3 3 3 3" xfId="26357" xr:uid="{00000000-0005-0000-0000-0000B34E0000}"/>
    <cellStyle name="Normal 6 4 2 3 3 4" xfId="11571" xr:uid="{00000000-0005-0000-0000-0000B44E0000}"/>
    <cellStyle name="Normal 6 4 2 3 3 4 2" xfId="31286" xr:uid="{00000000-0005-0000-0000-0000B54E0000}"/>
    <cellStyle name="Normal 6 4 2 3 3 5" xfId="21429" xr:uid="{00000000-0005-0000-0000-0000B64E0000}"/>
    <cellStyle name="Normal 6 4 2 3 4" xfId="2939" xr:uid="{00000000-0005-0000-0000-0000B74E0000}"/>
    <cellStyle name="Normal 6 4 2 3 4 2" xfId="7871" xr:uid="{00000000-0005-0000-0000-0000B84E0000}"/>
    <cellStyle name="Normal 6 4 2 3 4 2 2" xfId="17731" xr:uid="{00000000-0005-0000-0000-0000B94E0000}"/>
    <cellStyle name="Normal 6 4 2 3 4 2 2 2" xfId="37446" xr:uid="{00000000-0005-0000-0000-0000BA4E0000}"/>
    <cellStyle name="Normal 6 4 2 3 4 2 3" xfId="27589" xr:uid="{00000000-0005-0000-0000-0000BB4E0000}"/>
    <cellStyle name="Normal 6 4 2 3 4 3" xfId="12803" xr:uid="{00000000-0005-0000-0000-0000BC4E0000}"/>
    <cellStyle name="Normal 6 4 2 3 4 3 2" xfId="32518" xr:uid="{00000000-0005-0000-0000-0000BD4E0000}"/>
    <cellStyle name="Normal 6 4 2 3 4 4" xfId="22661" xr:uid="{00000000-0005-0000-0000-0000BE4E0000}"/>
    <cellStyle name="Normal 6 4 2 3 5" xfId="5407" xr:uid="{00000000-0005-0000-0000-0000BF4E0000}"/>
    <cellStyle name="Normal 6 4 2 3 5 2" xfId="15267" xr:uid="{00000000-0005-0000-0000-0000C04E0000}"/>
    <cellStyle name="Normal 6 4 2 3 5 2 2" xfId="34982" xr:uid="{00000000-0005-0000-0000-0000C14E0000}"/>
    <cellStyle name="Normal 6 4 2 3 5 3" xfId="25125" xr:uid="{00000000-0005-0000-0000-0000C24E0000}"/>
    <cellStyle name="Normal 6 4 2 3 6" xfId="10339" xr:uid="{00000000-0005-0000-0000-0000C34E0000}"/>
    <cellStyle name="Normal 6 4 2 3 6 2" xfId="30054" xr:uid="{00000000-0005-0000-0000-0000C44E0000}"/>
    <cellStyle name="Normal 6 4 2 3 7" xfId="20197" xr:uid="{00000000-0005-0000-0000-0000C54E0000}"/>
    <cellStyle name="Normal 6 4 2 4" xfId="778" xr:uid="{00000000-0005-0000-0000-0000C64E0000}"/>
    <cellStyle name="Normal 6 4 2 4 2" xfId="2014" xr:uid="{00000000-0005-0000-0000-0000C74E0000}"/>
    <cellStyle name="Normal 6 4 2 4 2 2" xfId="4481" xr:uid="{00000000-0005-0000-0000-0000C84E0000}"/>
    <cellStyle name="Normal 6 4 2 4 2 2 2" xfId="9413" xr:uid="{00000000-0005-0000-0000-0000C94E0000}"/>
    <cellStyle name="Normal 6 4 2 4 2 2 2 2" xfId="19273" xr:uid="{00000000-0005-0000-0000-0000CA4E0000}"/>
    <cellStyle name="Normal 6 4 2 4 2 2 2 2 2" xfId="38988" xr:uid="{00000000-0005-0000-0000-0000CB4E0000}"/>
    <cellStyle name="Normal 6 4 2 4 2 2 2 3" xfId="29131" xr:uid="{00000000-0005-0000-0000-0000CC4E0000}"/>
    <cellStyle name="Normal 6 4 2 4 2 2 3" xfId="14345" xr:uid="{00000000-0005-0000-0000-0000CD4E0000}"/>
    <cellStyle name="Normal 6 4 2 4 2 2 3 2" xfId="34060" xr:uid="{00000000-0005-0000-0000-0000CE4E0000}"/>
    <cellStyle name="Normal 6 4 2 4 2 2 4" xfId="24203" xr:uid="{00000000-0005-0000-0000-0000CF4E0000}"/>
    <cellStyle name="Normal 6 4 2 4 2 3" xfId="6949" xr:uid="{00000000-0005-0000-0000-0000D04E0000}"/>
    <cellStyle name="Normal 6 4 2 4 2 3 2" xfId="16809" xr:uid="{00000000-0005-0000-0000-0000D14E0000}"/>
    <cellStyle name="Normal 6 4 2 4 2 3 2 2" xfId="36524" xr:uid="{00000000-0005-0000-0000-0000D24E0000}"/>
    <cellStyle name="Normal 6 4 2 4 2 3 3" xfId="26667" xr:uid="{00000000-0005-0000-0000-0000D34E0000}"/>
    <cellStyle name="Normal 6 4 2 4 2 4" xfId="11881" xr:uid="{00000000-0005-0000-0000-0000D44E0000}"/>
    <cellStyle name="Normal 6 4 2 4 2 4 2" xfId="31596" xr:uid="{00000000-0005-0000-0000-0000D54E0000}"/>
    <cellStyle name="Normal 6 4 2 4 2 5" xfId="21739" xr:uid="{00000000-0005-0000-0000-0000D64E0000}"/>
    <cellStyle name="Normal 6 4 2 4 3" xfId="3249" xr:uid="{00000000-0005-0000-0000-0000D74E0000}"/>
    <cellStyle name="Normal 6 4 2 4 3 2" xfId="8181" xr:uid="{00000000-0005-0000-0000-0000D84E0000}"/>
    <cellStyle name="Normal 6 4 2 4 3 2 2" xfId="18041" xr:uid="{00000000-0005-0000-0000-0000D94E0000}"/>
    <cellStyle name="Normal 6 4 2 4 3 2 2 2" xfId="37756" xr:uid="{00000000-0005-0000-0000-0000DA4E0000}"/>
    <cellStyle name="Normal 6 4 2 4 3 2 3" xfId="27899" xr:uid="{00000000-0005-0000-0000-0000DB4E0000}"/>
    <cellStyle name="Normal 6 4 2 4 3 3" xfId="13113" xr:uid="{00000000-0005-0000-0000-0000DC4E0000}"/>
    <cellStyle name="Normal 6 4 2 4 3 3 2" xfId="32828" xr:uid="{00000000-0005-0000-0000-0000DD4E0000}"/>
    <cellStyle name="Normal 6 4 2 4 3 4" xfId="22971" xr:uid="{00000000-0005-0000-0000-0000DE4E0000}"/>
    <cellStyle name="Normal 6 4 2 4 4" xfId="5717" xr:uid="{00000000-0005-0000-0000-0000DF4E0000}"/>
    <cellStyle name="Normal 6 4 2 4 4 2" xfId="15577" xr:uid="{00000000-0005-0000-0000-0000E04E0000}"/>
    <cellStyle name="Normal 6 4 2 4 4 2 2" xfId="35292" xr:uid="{00000000-0005-0000-0000-0000E14E0000}"/>
    <cellStyle name="Normal 6 4 2 4 4 3" xfId="25435" xr:uid="{00000000-0005-0000-0000-0000E24E0000}"/>
    <cellStyle name="Normal 6 4 2 4 5" xfId="10649" xr:uid="{00000000-0005-0000-0000-0000E34E0000}"/>
    <cellStyle name="Normal 6 4 2 4 5 2" xfId="30364" xr:uid="{00000000-0005-0000-0000-0000E44E0000}"/>
    <cellStyle name="Normal 6 4 2 4 6" xfId="20507" xr:uid="{00000000-0005-0000-0000-0000E54E0000}"/>
    <cellStyle name="Normal 6 4 2 5" xfId="1398" xr:uid="{00000000-0005-0000-0000-0000E64E0000}"/>
    <cellStyle name="Normal 6 4 2 5 2" xfId="3865" xr:uid="{00000000-0005-0000-0000-0000E74E0000}"/>
    <cellStyle name="Normal 6 4 2 5 2 2" xfId="8797" xr:uid="{00000000-0005-0000-0000-0000E84E0000}"/>
    <cellStyle name="Normal 6 4 2 5 2 2 2" xfId="18657" xr:uid="{00000000-0005-0000-0000-0000E94E0000}"/>
    <cellStyle name="Normal 6 4 2 5 2 2 2 2" xfId="38372" xr:uid="{00000000-0005-0000-0000-0000EA4E0000}"/>
    <cellStyle name="Normal 6 4 2 5 2 2 3" xfId="28515" xr:uid="{00000000-0005-0000-0000-0000EB4E0000}"/>
    <cellStyle name="Normal 6 4 2 5 2 3" xfId="13729" xr:uid="{00000000-0005-0000-0000-0000EC4E0000}"/>
    <cellStyle name="Normal 6 4 2 5 2 3 2" xfId="33444" xr:uid="{00000000-0005-0000-0000-0000ED4E0000}"/>
    <cellStyle name="Normal 6 4 2 5 2 4" xfId="23587" xr:uid="{00000000-0005-0000-0000-0000EE4E0000}"/>
    <cellStyle name="Normal 6 4 2 5 3" xfId="6333" xr:uid="{00000000-0005-0000-0000-0000EF4E0000}"/>
    <cellStyle name="Normal 6 4 2 5 3 2" xfId="16193" xr:uid="{00000000-0005-0000-0000-0000F04E0000}"/>
    <cellStyle name="Normal 6 4 2 5 3 2 2" xfId="35908" xr:uid="{00000000-0005-0000-0000-0000F14E0000}"/>
    <cellStyle name="Normal 6 4 2 5 3 3" xfId="26051" xr:uid="{00000000-0005-0000-0000-0000F24E0000}"/>
    <cellStyle name="Normal 6 4 2 5 4" xfId="11265" xr:uid="{00000000-0005-0000-0000-0000F34E0000}"/>
    <cellStyle name="Normal 6 4 2 5 4 2" xfId="30980" xr:uid="{00000000-0005-0000-0000-0000F44E0000}"/>
    <cellStyle name="Normal 6 4 2 5 5" xfId="21123" xr:uid="{00000000-0005-0000-0000-0000F54E0000}"/>
    <cellStyle name="Normal 6 4 2 6" xfId="2633" xr:uid="{00000000-0005-0000-0000-0000F64E0000}"/>
    <cellStyle name="Normal 6 4 2 6 2" xfId="7565" xr:uid="{00000000-0005-0000-0000-0000F74E0000}"/>
    <cellStyle name="Normal 6 4 2 6 2 2" xfId="17425" xr:uid="{00000000-0005-0000-0000-0000F84E0000}"/>
    <cellStyle name="Normal 6 4 2 6 2 2 2" xfId="37140" xr:uid="{00000000-0005-0000-0000-0000F94E0000}"/>
    <cellStyle name="Normal 6 4 2 6 2 3" xfId="27283" xr:uid="{00000000-0005-0000-0000-0000FA4E0000}"/>
    <cellStyle name="Normal 6 4 2 6 3" xfId="12497" xr:uid="{00000000-0005-0000-0000-0000FB4E0000}"/>
    <cellStyle name="Normal 6 4 2 6 3 2" xfId="32212" xr:uid="{00000000-0005-0000-0000-0000FC4E0000}"/>
    <cellStyle name="Normal 6 4 2 6 4" xfId="22355" xr:uid="{00000000-0005-0000-0000-0000FD4E0000}"/>
    <cellStyle name="Normal 6 4 2 7" xfId="5101" xr:uid="{00000000-0005-0000-0000-0000FE4E0000}"/>
    <cellStyle name="Normal 6 4 2 7 2" xfId="14961" xr:uid="{00000000-0005-0000-0000-0000FF4E0000}"/>
    <cellStyle name="Normal 6 4 2 7 2 2" xfId="34676" xr:uid="{00000000-0005-0000-0000-0000004F0000}"/>
    <cellStyle name="Normal 6 4 2 7 3" xfId="24819" xr:uid="{00000000-0005-0000-0000-0000014F0000}"/>
    <cellStyle name="Normal 6 4 2 8" xfId="10033" xr:uid="{00000000-0005-0000-0000-0000024F0000}"/>
    <cellStyle name="Normal 6 4 2 8 2" xfId="29748" xr:uid="{00000000-0005-0000-0000-0000034F0000}"/>
    <cellStyle name="Normal 6 4 2 9" xfId="19891" xr:uid="{00000000-0005-0000-0000-0000044F0000}"/>
    <cellStyle name="Normal 6 4 3" xfId="227" xr:uid="{00000000-0005-0000-0000-0000054F0000}"/>
    <cellStyle name="Normal 6 4 3 2" xfId="541" xr:uid="{00000000-0005-0000-0000-0000064F0000}"/>
    <cellStyle name="Normal 6 4 3 2 2" xfId="1161" xr:uid="{00000000-0005-0000-0000-0000074F0000}"/>
    <cellStyle name="Normal 6 4 3 2 2 2" xfId="2396" xr:uid="{00000000-0005-0000-0000-0000084F0000}"/>
    <cellStyle name="Normal 6 4 3 2 2 2 2" xfId="4863" xr:uid="{00000000-0005-0000-0000-0000094F0000}"/>
    <cellStyle name="Normal 6 4 3 2 2 2 2 2" xfId="9795" xr:uid="{00000000-0005-0000-0000-00000A4F0000}"/>
    <cellStyle name="Normal 6 4 3 2 2 2 2 2 2" xfId="19655" xr:uid="{00000000-0005-0000-0000-00000B4F0000}"/>
    <cellStyle name="Normal 6 4 3 2 2 2 2 2 2 2" xfId="39370" xr:uid="{00000000-0005-0000-0000-00000C4F0000}"/>
    <cellStyle name="Normal 6 4 3 2 2 2 2 2 3" xfId="29513" xr:uid="{00000000-0005-0000-0000-00000D4F0000}"/>
    <cellStyle name="Normal 6 4 3 2 2 2 2 3" xfId="14727" xr:uid="{00000000-0005-0000-0000-00000E4F0000}"/>
    <cellStyle name="Normal 6 4 3 2 2 2 2 3 2" xfId="34442" xr:uid="{00000000-0005-0000-0000-00000F4F0000}"/>
    <cellStyle name="Normal 6 4 3 2 2 2 2 4" xfId="24585" xr:uid="{00000000-0005-0000-0000-0000104F0000}"/>
    <cellStyle name="Normal 6 4 3 2 2 2 3" xfId="7331" xr:uid="{00000000-0005-0000-0000-0000114F0000}"/>
    <cellStyle name="Normal 6 4 3 2 2 2 3 2" xfId="17191" xr:uid="{00000000-0005-0000-0000-0000124F0000}"/>
    <cellStyle name="Normal 6 4 3 2 2 2 3 2 2" xfId="36906" xr:uid="{00000000-0005-0000-0000-0000134F0000}"/>
    <cellStyle name="Normal 6 4 3 2 2 2 3 3" xfId="27049" xr:uid="{00000000-0005-0000-0000-0000144F0000}"/>
    <cellStyle name="Normal 6 4 3 2 2 2 4" xfId="12263" xr:uid="{00000000-0005-0000-0000-0000154F0000}"/>
    <cellStyle name="Normal 6 4 3 2 2 2 4 2" xfId="31978" xr:uid="{00000000-0005-0000-0000-0000164F0000}"/>
    <cellStyle name="Normal 6 4 3 2 2 2 5" xfId="22121" xr:uid="{00000000-0005-0000-0000-0000174F0000}"/>
    <cellStyle name="Normal 6 4 3 2 2 3" xfId="3631" xr:uid="{00000000-0005-0000-0000-0000184F0000}"/>
    <cellStyle name="Normal 6 4 3 2 2 3 2" xfId="8563" xr:uid="{00000000-0005-0000-0000-0000194F0000}"/>
    <cellStyle name="Normal 6 4 3 2 2 3 2 2" xfId="18423" xr:uid="{00000000-0005-0000-0000-00001A4F0000}"/>
    <cellStyle name="Normal 6 4 3 2 2 3 2 2 2" xfId="38138" xr:uid="{00000000-0005-0000-0000-00001B4F0000}"/>
    <cellStyle name="Normal 6 4 3 2 2 3 2 3" xfId="28281" xr:uid="{00000000-0005-0000-0000-00001C4F0000}"/>
    <cellStyle name="Normal 6 4 3 2 2 3 3" xfId="13495" xr:uid="{00000000-0005-0000-0000-00001D4F0000}"/>
    <cellStyle name="Normal 6 4 3 2 2 3 3 2" xfId="33210" xr:uid="{00000000-0005-0000-0000-00001E4F0000}"/>
    <cellStyle name="Normal 6 4 3 2 2 3 4" xfId="23353" xr:uid="{00000000-0005-0000-0000-00001F4F0000}"/>
    <cellStyle name="Normal 6 4 3 2 2 4" xfId="6099" xr:uid="{00000000-0005-0000-0000-0000204F0000}"/>
    <cellStyle name="Normal 6 4 3 2 2 4 2" xfId="15959" xr:uid="{00000000-0005-0000-0000-0000214F0000}"/>
    <cellStyle name="Normal 6 4 3 2 2 4 2 2" xfId="35674" xr:uid="{00000000-0005-0000-0000-0000224F0000}"/>
    <cellStyle name="Normal 6 4 3 2 2 4 3" xfId="25817" xr:uid="{00000000-0005-0000-0000-0000234F0000}"/>
    <cellStyle name="Normal 6 4 3 2 2 5" xfId="11031" xr:uid="{00000000-0005-0000-0000-0000244F0000}"/>
    <cellStyle name="Normal 6 4 3 2 2 5 2" xfId="30746" xr:uid="{00000000-0005-0000-0000-0000254F0000}"/>
    <cellStyle name="Normal 6 4 3 2 2 6" xfId="20889" xr:uid="{00000000-0005-0000-0000-0000264F0000}"/>
    <cellStyle name="Normal 6 4 3 2 3" xfId="1780" xr:uid="{00000000-0005-0000-0000-0000274F0000}"/>
    <cellStyle name="Normal 6 4 3 2 3 2" xfId="4247" xr:uid="{00000000-0005-0000-0000-0000284F0000}"/>
    <cellStyle name="Normal 6 4 3 2 3 2 2" xfId="9179" xr:uid="{00000000-0005-0000-0000-0000294F0000}"/>
    <cellStyle name="Normal 6 4 3 2 3 2 2 2" xfId="19039" xr:uid="{00000000-0005-0000-0000-00002A4F0000}"/>
    <cellStyle name="Normal 6 4 3 2 3 2 2 2 2" xfId="38754" xr:uid="{00000000-0005-0000-0000-00002B4F0000}"/>
    <cellStyle name="Normal 6 4 3 2 3 2 2 3" xfId="28897" xr:uid="{00000000-0005-0000-0000-00002C4F0000}"/>
    <cellStyle name="Normal 6 4 3 2 3 2 3" xfId="14111" xr:uid="{00000000-0005-0000-0000-00002D4F0000}"/>
    <cellStyle name="Normal 6 4 3 2 3 2 3 2" xfId="33826" xr:uid="{00000000-0005-0000-0000-00002E4F0000}"/>
    <cellStyle name="Normal 6 4 3 2 3 2 4" xfId="23969" xr:uid="{00000000-0005-0000-0000-00002F4F0000}"/>
    <cellStyle name="Normal 6 4 3 2 3 3" xfId="6715" xr:uid="{00000000-0005-0000-0000-0000304F0000}"/>
    <cellStyle name="Normal 6 4 3 2 3 3 2" xfId="16575" xr:uid="{00000000-0005-0000-0000-0000314F0000}"/>
    <cellStyle name="Normal 6 4 3 2 3 3 2 2" xfId="36290" xr:uid="{00000000-0005-0000-0000-0000324F0000}"/>
    <cellStyle name="Normal 6 4 3 2 3 3 3" xfId="26433" xr:uid="{00000000-0005-0000-0000-0000334F0000}"/>
    <cellStyle name="Normal 6 4 3 2 3 4" xfId="11647" xr:uid="{00000000-0005-0000-0000-0000344F0000}"/>
    <cellStyle name="Normal 6 4 3 2 3 4 2" xfId="31362" xr:uid="{00000000-0005-0000-0000-0000354F0000}"/>
    <cellStyle name="Normal 6 4 3 2 3 5" xfId="21505" xr:uid="{00000000-0005-0000-0000-0000364F0000}"/>
    <cellStyle name="Normal 6 4 3 2 4" xfId="3015" xr:uid="{00000000-0005-0000-0000-0000374F0000}"/>
    <cellStyle name="Normal 6 4 3 2 4 2" xfId="7947" xr:uid="{00000000-0005-0000-0000-0000384F0000}"/>
    <cellStyle name="Normal 6 4 3 2 4 2 2" xfId="17807" xr:uid="{00000000-0005-0000-0000-0000394F0000}"/>
    <cellStyle name="Normal 6 4 3 2 4 2 2 2" xfId="37522" xr:uid="{00000000-0005-0000-0000-00003A4F0000}"/>
    <cellStyle name="Normal 6 4 3 2 4 2 3" xfId="27665" xr:uid="{00000000-0005-0000-0000-00003B4F0000}"/>
    <cellStyle name="Normal 6 4 3 2 4 3" xfId="12879" xr:uid="{00000000-0005-0000-0000-00003C4F0000}"/>
    <cellStyle name="Normal 6 4 3 2 4 3 2" xfId="32594" xr:uid="{00000000-0005-0000-0000-00003D4F0000}"/>
    <cellStyle name="Normal 6 4 3 2 4 4" xfId="22737" xr:uid="{00000000-0005-0000-0000-00003E4F0000}"/>
    <cellStyle name="Normal 6 4 3 2 5" xfId="5483" xr:uid="{00000000-0005-0000-0000-00003F4F0000}"/>
    <cellStyle name="Normal 6 4 3 2 5 2" xfId="15343" xr:uid="{00000000-0005-0000-0000-0000404F0000}"/>
    <cellStyle name="Normal 6 4 3 2 5 2 2" xfId="35058" xr:uid="{00000000-0005-0000-0000-0000414F0000}"/>
    <cellStyle name="Normal 6 4 3 2 5 3" xfId="25201" xr:uid="{00000000-0005-0000-0000-0000424F0000}"/>
    <cellStyle name="Normal 6 4 3 2 6" xfId="10415" xr:uid="{00000000-0005-0000-0000-0000434F0000}"/>
    <cellStyle name="Normal 6 4 3 2 6 2" xfId="30130" xr:uid="{00000000-0005-0000-0000-0000444F0000}"/>
    <cellStyle name="Normal 6 4 3 2 7" xfId="20273" xr:uid="{00000000-0005-0000-0000-0000454F0000}"/>
    <cellStyle name="Normal 6 4 3 3" xfId="854" xr:uid="{00000000-0005-0000-0000-0000464F0000}"/>
    <cellStyle name="Normal 6 4 3 3 2" xfId="2090" xr:uid="{00000000-0005-0000-0000-0000474F0000}"/>
    <cellStyle name="Normal 6 4 3 3 2 2" xfId="4557" xr:uid="{00000000-0005-0000-0000-0000484F0000}"/>
    <cellStyle name="Normal 6 4 3 3 2 2 2" xfId="9489" xr:uid="{00000000-0005-0000-0000-0000494F0000}"/>
    <cellStyle name="Normal 6 4 3 3 2 2 2 2" xfId="19349" xr:uid="{00000000-0005-0000-0000-00004A4F0000}"/>
    <cellStyle name="Normal 6 4 3 3 2 2 2 2 2" xfId="39064" xr:uid="{00000000-0005-0000-0000-00004B4F0000}"/>
    <cellStyle name="Normal 6 4 3 3 2 2 2 3" xfId="29207" xr:uid="{00000000-0005-0000-0000-00004C4F0000}"/>
    <cellStyle name="Normal 6 4 3 3 2 2 3" xfId="14421" xr:uid="{00000000-0005-0000-0000-00004D4F0000}"/>
    <cellStyle name="Normal 6 4 3 3 2 2 3 2" xfId="34136" xr:uid="{00000000-0005-0000-0000-00004E4F0000}"/>
    <cellStyle name="Normal 6 4 3 3 2 2 4" xfId="24279" xr:uid="{00000000-0005-0000-0000-00004F4F0000}"/>
    <cellStyle name="Normal 6 4 3 3 2 3" xfId="7025" xr:uid="{00000000-0005-0000-0000-0000504F0000}"/>
    <cellStyle name="Normal 6 4 3 3 2 3 2" xfId="16885" xr:uid="{00000000-0005-0000-0000-0000514F0000}"/>
    <cellStyle name="Normal 6 4 3 3 2 3 2 2" xfId="36600" xr:uid="{00000000-0005-0000-0000-0000524F0000}"/>
    <cellStyle name="Normal 6 4 3 3 2 3 3" xfId="26743" xr:uid="{00000000-0005-0000-0000-0000534F0000}"/>
    <cellStyle name="Normal 6 4 3 3 2 4" xfId="11957" xr:uid="{00000000-0005-0000-0000-0000544F0000}"/>
    <cellStyle name="Normal 6 4 3 3 2 4 2" xfId="31672" xr:uid="{00000000-0005-0000-0000-0000554F0000}"/>
    <cellStyle name="Normal 6 4 3 3 2 5" xfId="21815" xr:uid="{00000000-0005-0000-0000-0000564F0000}"/>
    <cellStyle name="Normal 6 4 3 3 3" xfId="3325" xr:uid="{00000000-0005-0000-0000-0000574F0000}"/>
    <cellStyle name="Normal 6 4 3 3 3 2" xfId="8257" xr:uid="{00000000-0005-0000-0000-0000584F0000}"/>
    <cellStyle name="Normal 6 4 3 3 3 2 2" xfId="18117" xr:uid="{00000000-0005-0000-0000-0000594F0000}"/>
    <cellStyle name="Normal 6 4 3 3 3 2 2 2" xfId="37832" xr:uid="{00000000-0005-0000-0000-00005A4F0000}"/>
    <cellStyle name="Normal 6 4 3 3 3 2 3" xfId="27975" xr:uid="{00000000-0005-0000-0000-00005B4F0000}"/>
    <cellStyle name="Normal 6 4 3 3 3 3" xfId="13189" xr:uid="{00000000-0005-0000-0000-00005C4F0000}"/>
    <cellStyle name="Normal 6 4 3 3 3 3 2" xfId="32904" xr:uid="{00000000-0005-0000-0000-00005D4F0000}"/>
    <cellStyle name="Normal 6 4 3 3 3 4" xfId="23047" xr:uid="{00000000-0005-0000-0000-00005E4F0000}"/>
    <cellStyle name="Normal 6 4 3 3 4" xfId="5793" xr:uid="{00000000-0005-0000-0000-00005F4F0000}"/>
    <cellStyle name="Normal 6 4 3 3 4 2" xfId="15653" xr:uid="{00000000-0005-0000-0000-0000604F0000}"/>
    <cellStyle name="Normal 6 4 3 3 4 2 2" xfId="35368" xr:uid="{00000000-0005-0000-0000-0000614F0000}"/>
    <cellStyle name="Normal 6 4 3 3 4 3" xfId="25511" xr:uid="{00000000-0005-0000-0000-0000624F0000}"/>
    <cellStyle name="Normal 6 4 3 3 5" xfId="10725" xr:uid="{00000000-0005-0000-0000-0000634F0000}"/>
    <cellStyle name="Normal 6 4 3 3 5 2" xfId="30440" xr:uid="{00000000-0005-0000-0000-0000644F0000}"/>
    <cellStyle name="Normal 6 4 3 3 6" xfId="20583" xr:uid="{00000000-0005-0000-0000-0000654F0000}"/>
    <cellStyle name="Normal 6 4 3 4" xfId="1474" xr:uid="{00000000-0005-0000-0000-0000664F0000}"/>
    <cellStyle name="Normal 6 4 3 4 2" xfId="3941" xr:uid="{00000000-0005-0000-0000-0000674F0000}"/>
    <cellStyle name="Normal 6 4 3 4 2 2" xfId="8873" xr:uid="{00000000-0005-0000-0000-0000684F0000}"/>
    <cellStyle name="Normal 6 4 3 4 2 2 2" xfId="18733" xr:uid="{00000000-0005-0000-0000-0000694F0000}"/>
    <cellStyle name="Normal 6 4 3 4 2 2 2 2" xfId="38448" xr:uid="{00000000-0005-0000-0000-00006A4F0000}"/>
    <cellStyle name="Normal 6 4 3 4 2 2 3" xfId="28591" xr:uid="{00000000-0005-0000-0000-00006B4F0000}"/>
    <cellStyle name="Normal 6 4 3 4 2 3" xfId="13805" xr:uid="{00000000-0005-0000-0000-00006C4F0000}"/>
    <cellStyle name="Normal 6 4 3 4 2 3 2" xfId="33520" xr:uid="{00000000-0005-0000-0000-00006D4F0000}"/>
    <cellStyle name="Normal 6 4 3 4 2 4" xfId="23663" xr:uid="{00000000-0005-0000-0000-00006E4F0000}"/>
    <cellStyle name="Normal 6 4 3 4 3" xfId="6409" xr:uid="{00000000-0005-0000-0000-00006F4F0000}"/>
    <cellStyle name="Normal 6 4 3 4 3 2" xfId="16269" xr:uid="{00000000-0005-0000-0000-0000704F0000}"/>
    <cellStyle name="Normal 6 4 3 4 3 2 2" xfId="35984" xr:uid="{00000000-0005-0000-0000-0000714F0000}"/>
    <cellStyle name="Normal 6 4 3 4 3 3" xfId="26127" xr:uid="{00000000-0005-0000-0000-0000724F0000}"/>
    <cellStyle name="Normal 6 4 3 4 4" xfId="11341" xr:uid="{00000000-0005-0000-0000-0000734F0000}"/>
    <cellStyle name="Normal 6 4 3 4 4 2" xfId="31056" xr:uid="{00000000-0005-0000-0000-0000744F0000}"/>
    <cellStyle name="Normal 6 4 3 4 5" xfId="21199" xr:uid="{00000000-0005-0000-0000-0000754F0000}"/>
    <cellStyle name="Normal 6 4 3 5" xfId="2709" xr:uid="{00000000-0005-0000-0000-0000764F0000}"/>
    <cellStyle name="Normal 6 4 3 5 2" xfId="7641" xr:uid="{00000000-0005-0000-0000-0000774F0000}"/>
    <cellStyle name="Normal 6 4 3 5 2 2" xfId="17501" xr:uid="{00000000-0005-0000-0000-0000784F0000}"/>
    <cellStyle name="Normal 6 4 3 5 2 2 2" xfId="37216" xr:uid="{00000000-0005-0000-0000-0000794F0000}"/>
    <cellStyle name="Normal 6 4 3 5 2 3" xfId="27359" xr:uid="{00000000-0005-0000-0000-00007A4F0000}"/>
    <cellStyle name="Normal 6 4 3 5 3" xfId="12573" xr:uid="{00000000-0005-0000-0000-00007B4F0000}"/>
    <cellStyle name="Normal 6 4 3 5 3 2" xfId="32288" xr:uid="{00000000-0005-0000-0000-00007C4F0000}"/>
    <cellStyle name="Normal 6 4 3 5 4" xfId="22431" xr:uid="{00000000-0005-0000-0000-00007D4F0000}"/>
    <cellStyle name="Normal 6 4 3 6" xfId="5177" xr:uid="{00000000-0005-0000-0000-00007E4F0000}"/>
    <cellStyle name="Normal 6 4 3 6 2" xfId="15037" xr:uid="{00000000-0005-0000-0000-00007F4F0000}"/>
    <cellStyle name="Normal 6 4 3 6 2 2" xfId="34752" xr:uid="{00000000-0005-0000-0000-0000804F0000}"/>
    <cellStyle name="Normal 6 4 3 6 3" xfId="24895" xr:uid="{00000000-0005-0000-0000-0000814F0000}"/>
    <cellStyle name="Normal 6 4 3 7" xfId="10109" xr:uid="{00000000-0005-0000-0000-0000824F0000}"/>
    <cellStyle name="Normal 6 4 3 7 2" xfId="29824" xr:uid="{00000000-0005-0000-0000-0000834F0000}"/>
    <cellStyle name="Normal 6 4 3 8" xfId="19967" xr:uid="{00000000-0005-0000-0000-0000844F0000}"/>
    <cellStyle name="Normal 6 4 4" xfId="389" xr:uid="{00000000-0005-0000-0000-0000854F0000}"/>
    <cellStyle name="Normal 6 4 4 2" xfId="1009" xr:uid="{00000000-0005-0000-0000-0000864F0000}"/>
    <cellStyle name="Normal 6 4 4 2 2" xfId="2244" xr:uid="{00000000-0005-0000-0000-0000874F0000}"/>
    <cellStyle name="Normal 6 4 4 2 2 2" xfId="4711" xr:uid="{00000000-0005-0000-0000-0000884F0000}"/>
    <cellStyle name="Normal 6 4 4 2 2 2 2" xfId="9643" xr:uid="{00000000-0005-0000-0000-0000894F0000}"/>
    <cellStyle name="Normal 6 4 4 2 2 2 2 2" xfId="19503" xr:uid="{00000000-0005-0000-0000-00008A4F0000}"/>
    <cellStyle name="Normal 6 4 4 2 2 2 2 2 2" xfId="39218" xr:uid="{00000000-0005-0000-0000-00008B4F0000}"/>
    <cellStyle name="Normal 6 4 4 2 2 2 2 3" xfId="29361" xr:uid="{00000000-0005-0000-0000-00008C4F0000}"/>
    <cellStyle name="Normal 6 4 4 2 2 2 3" xfId="14575" xr:uid="{00000000-0005-0000-0000-00008D4F0000}"/>
    <cellStyle name="Normal 6 4 4 2 2 2 3 2" xfId="34290" xr:uid="{00000000-0005-0000-0000-00008E4F0000}"/>
    <cellStyle name="Normal 6 4 4 2 2 2 4" xfId="24433" xr:uid="{00000000-0005-0000-0000-00008F4F0000}"/>
    <cellStyle name="Normal 6 4 4 2 2 3" xfId="7179" xr:uid="{00000000-0005-0000-0000-0000904F0000}"/>
    <cellStyle name="Normal 6 4 4 2 2 3 2" xfId="17039" xr:uid="{00000000-0005-0000-0000-0000914F0000}"/>
    <cellStyle name="Normal 6 4 4 2 2 3 2 2" xfId="36754" xr:uid="{00000000-0005-0000-0000-0000924F0000}"/>
    <cellStyle name="Normal 6 4 4 2 2 3 3" xfId="26897" xr:uid="{00000000-0005-0000-0000-0000934F0000}"/>
    <cellStyle name="Normal 6 4 4 2 2 4" xfId="12111" xr:uid="{00000000-0005-0000-0000-0000944F0000}"/>
    <cellStyle name="Normal 6 4 4 2 2 4 2" xfId="31826" xr:uid="{00000000-0005-0000-0000-0000954F0000}"/>
    <cellStyle name="Normal 6 4 4 2 2 5" xfId="21969" xr:uid="{00000000-0005-0000-0000-0000964F0000}"/>
    <cellStyle name="Normal 6 4 4 2 3" xfId="3479" xr:uid="{00000000-0005-0000-0000-0000974F0000}"/>
    <cellStyle name="Normal 6 4 4 2 3 2" xfId="8411" xr:uid="{00000000-0005-0000-0000-0000984F0000}"/>
    <cellStyle name="Normal 6 4 4 2 3 2 2" xfId="18271" xr:uid="{00000000-0005-0000-0000-0000994F0000}"/>
    <cellStyle name="Normal 6 4 4 2 3 2 2 2" xfId="37986" xr:uid="{00000000-0005-0000-0000-00009A4F0000}"/>
    <cellStyle name="Normal 6 4 4 2 3 2 3" xfId="28129" xr:uid="{00000000-0005-0000-0000-00009B4F0000}"/>
    <cellStyle name="Normal 6 4 4 2 3 3" xfId="13343" xr:uid="{00000000-0005-0000-0000-00009C4F0000}"/>
    <cellStyle name="Normal 6 4 4 2 3 3 2" xfId="33058" xr:uid="{00000000-0005-0000-0000-00009D4F0000}"/>
    <cellStyle name="Normal 6 4 4 2 3 4" xfId="23201" xr:uid="{00000000-0005-0000-0000-00009E4F0000}"/>
    <cellStyle name="Normal 6 4 4 2 4" xfId="5947" xr:uid="{00000000-0005-0000-0000-00009F4F0000}"/>
    <cellStyle name="Normal 6 4 4 2 4 2" xfId="15807" xr:uid="{00000000-0005-0000-0000-0000A04F0000}"/>
    <cellStyle name="Normal 6 4 4 2 4 2 2" xfId="35522" xr:uid="{00000000-0005-0000-0000-0000A14F0000}"/>
    <cellStyle name="Normal 6 4 4 2 4 3" xfId="25665" xr:uid="{00000000-0005-0000-0000-0000A24F0000}"/>
    <cellStyle name="Normal 6 4 4 2 5" xfId="10879" xr:uid="{00000000-0005-0000-0000-0000A34F0000}"/>
    <cellStyle name="Normal 6 4 4 2 5 2" xfId="30594" xr:uid="{00000000-0005-0000-0000-0000A44F0000}"/>
    <cellStyle name="Normal 6 4 4 2 6" xfId="20737" xr:uid="{00000000-0005-0000-0000-0000A54F0000}"/>
    <cellStyle name="Normal 6 4 4 3" xfId="1628" xr:uid="{00000000-0005-0000-0000-0000A64F0000}"/>
    <cellStyle name="Normal 6 4 4 3 2" xfId="4095" xr:uid="{00000000-0005-0000-0000-0000A74F0000}"/>
    <cellStyle name="Normal 6 4 4 3 2 2" xfId="9027" xr:uid="{00000000-0005-0000-0000-0000A84F0000}"/>
    <cellStyle name="Normal 6 4 4 3 2 2 2" xfId="18887" xr:uid="{00000000-0005-0000-0000-0000A94F0000}"/>
    <cellStyle name="Normal 6 4 4 3 2 2 2 2" xfId="38602" xr:uid="{00000000-0005-0000-0000-0000AA4F0000}"/>
    <cellStyle name="Normal 6 4 4 3 2 2 3" xfId="28745" xr:uid="{00000000-0005-0000-0000-0000AB4F0000}"/>
    <cellStyle name="Normal 6 4 4 3 2 3" xfId="13959" xr:uid="{00000000-0005-0000-0000-0000AC4F0000}"/>
    <cellStyle name="Normal 6 4 4 3 2 3 2" xfId="33674" xr:uid="{00000000-0005-0000-0000-0000AD4F0000}"/>
    <cellStyle name="Normal 6 4 4 3 2 4" xfId="23817" xr:uid="{00000000-0005-0000-0000-0000AE4F0000}"/>
    <cellStyle name="Normal 6 4 4 3 3" xfId="6563" xr:uid="{00000000-0005-0000-0000-0000AF4F0000}"/>
    <cellStyle name="Normal 6 4 4 3 3 2" xfId="16423" xr:uid="{00000000-0005-0000-0000-0000B04F0000}"/>
    <cellStyle name="Normal 6 4 4 3 3 2 2" xfId="36138" xr:uid="{00000000-0005-0000-0000-0000B14F0000}"/>
    <cellStyle name="Normal 6 4 4 3 3 3" xfId="26281" xr:uid="{00000000-0005-0000-0000-0000B24F0000}"/>
    <cellStyle name="Normal 6 4 4 3 4" xfId="11495" xr:uid="{00000000-0005-0000-0000-0000B34F0000}"/>
    <cellStyle name="Normal 6 4 4 3 4 2" xfId="31210" xr:uid="{00000000-0005-0000-0000-0000B44F0000}"/>
    <cellStyle name="Normal 6 4 4 3 5" xfId="21353" xr:uid="{00000000-0005-0000-0000-0000B54F0000}"/>
    <cellStyle name="Normal 6 4 4 4" xfId="2863" xr:uid="{00000000-0005-0000-0000-0000B64F0000}"/>
    <cellStyle name="Normal 6 4 4 4 2" xfId="7795" xr:uid="{00000000-0005-0000-0000-0000B74F0000}"/>
    <cellStyle name="Normal 6 4 4 4 2 2" xfId="17655" xr:uid="{00000000-0005-0000-0000-0000B84F0000}"/>
    <cellStyle name="Normal 6 4 4 4 2 2 2" xfId="37370" xr:uid="{00000000-0005-0000-0000-0000B94F0000}"/>
    <cellStyle name="Normal 6 4 4 4 2 3" xfId="27513" xr:uid="{00000000-0005-0000-0000-0000BA4F0000}"/>
    <cellStyle name="Normal 6 4 4 4 3" xfId="12727" xr:uid="{00000000-0005-0000-0000-0000BB4F0000}"/>
    <cellStyle name="Normal 6 4 4 4 3 2" xfId="32442" xr:uid="{00000000-0005-0000-0000-0000BC4F0000}"/>
    <cellStyle name="Normal 6 4 4 4 4" xfId="22585" xr:uid="{00000000-0005-0000-0000-0000BD4F0000}"/>
    <cellStyle name="Normal 6 4 4 5" xfId="5331" xr:uid="{00000000-0005-0000-0000-0000BE4F0000}"/>
    <cellStyle name="Normal 6 4 4 5 2" xfId="15191" xr:uid="{00000000-0005-0000-0000-0000BF4F0000}"/>
    <cellStyle name="Normal 6 4 4 5 2 2" xfId="34906" xr:uid="{00000000-0005-0000-0000-0000C04F0000}"/>
    <cellStyle name="Normal 6 4 4 5 3" xfId="25049" xr:uid="{00000000-0005-0000-0000-0000C14F0000}"/>
    <cellStyle name="Normal 6 4 4 6" xfId="10263" xr:uid="{00000000-0005-0000-0000-0000C24F0000}"/>
    <cellStyle name="Normal 6 4 4 6 2" xfId="29978" xr:uid="{00000000-0005-0000-0000-0000C34F0000}"/>
    <cellStyle name="Normal 6 4 4 7" xfId="20121" xr:uid="{00000000-0005-0000-0000-0000C44F0000}"/>
    <cellStyle name="Normal 6 4 5" xfId="702" xr:uid="{00000000-0005-0000-0000-0000C54F0000}"/>
    <cellStyle name="Normal 6 4 5 2" xfId="1938" xr:uid="{00000000-0005-0000-0000-0000C64F0000}"/>
    <cellStyle name="Normal 6 4 5 2 2" xfId="4405" xr:uid="{00000000-0005-0000-0000-0000C74F0000}"/>
    <cellStyle name="Normal 6 4 5 2 2 2" xfId="9337" xr:uid="{00000000-0005-0000-0000-0000C84F0000}"/>
    <cellStyle name="Normal 6 4 5 2 2 2 2" xfId="19197" xr:uid="{00000000-0005-0000-0000-0000C94F0000}"/>
    <cellStyle name="Normal 6 4 5 2 2 2 2 2" xfId="38912" xr:uid="{00000000-0005-0000-0000-0000CA4F0000}"/>
    <cellStyle name="Normal 6 4 5 2 2 2 3" xfId="29055" xr:uid="{00000000-0005-0000-0000-0000CB4F0000}"/>
    <cellStyle name="Normal 6 4 5 2 2 3" xfId="14269" xr:uid="{00000000-0005-0000-0000-0000CC4F0000}"/>
    <cellStyle name="Normal 6 4 5 2 2 3 2" xfId="33984" xr:uid="{00000000-0005-0000-0000-0000CD4F0000}"/>
    <cellStyle name="Normal 6 4 5 2 2 4" xfId="24127" xr:uid="{00000000-0005-0000-0000-0000CE4F0000}"/>
    <cellStyle name="Normal 6 4 5 2 3" xfId="6873" xr:uid="{00000000-0005-0000-0000-0000CF4F0000}"/>
    <cellStyle name="Normal 6 4 5 2 3 2" xfId="16733" xr:uid="{00000000-0005-0000-0000-0000D04F0000}"/>
    <cellStyle name="Normal 6 4 5 2 3 2 2" xfId="36448" xr:uid="{00000000-0005-0000-0000-0000D14F0000}"/>
    <cellStyle name="Normal 6 4 5 2 3 3" xfId="26591" xr:uid="{00000000-0005-0000-0000-0000D24F0000}"/>
    <cellStyle name="Normal 6 4 5 2 4" xfId="11805" xr:uid="{00000000-0005-0000-0000-0000D34F0000}"/>
    <cellStyle name="Normal 6 4 5 2 4 2" xfId="31520" xr:uid="{00000000-0005-0000-0000-0000D44F0000}"/>
    <cellStyle name="Normal 6 4 5 2 5" xfId="21663" xr:uid="{00000000-0005-0000-0000-0000D54F0000}"/>
    <cellStyle name="Normal 6 4 5 3" xfId="3173" xr:uid="{00000000-0005-0000-0000-0000D64F0000}"/>
    <cellStyle name="Normal 6 4 5 3 2" xfId="8105" xr:uid="{00000000-0005-0000-0000-0000D74F0000}"/>
    <cellStyle name="Normal 6 4 5 3 2 2" xfId="17965" xr:uid="{00000000-0005-0000-0000-0000D84F0000}"/>
    <cellStyle name="Normal 6 4 5 3 2 2 2" xfId="37680" xr:uid="{00000000-0005-0000-0000-0000D94F0000}"/>
    <cellStyle name="Normal 6 4 5 3 2 3" xfId="27823" xr:uid="{00000000-0005-0000-0000-0000DA4F0000}"/>
    <cellStyle name="Normal 6 4 5 3 3" xfId="13037" xr:uid="{00000000-0005-0000-0000-0000DB4F0000}"/>
    <cellStyle name="Normal 6 4 5 3 3 2" xfId="32752" xr:uid="{00000000-0005-0000-0000-0000DC4F0000}"/>
    <cellStyle name="Normal 6 4 5 3 4" xfId="22895" xr:uid="{00000000-0005-0000-0000-0000DD4F0000}"/>
    <cellStyle name="Normal 6 4 5 4" xfId="5641" xr:uid="{00000000-0005-0000-0000-0000DE4F0000}"/>
    <cellStyle name="Normal 6 4 5 4 2" xfId="15501" xr:uid="{00000000-0005-0000-0000-0000DF4F0000}"/>
    <cellStyle name="Normal 6 4 5 4 2 2" xfId="35216" xr:uid="{00000000-0005-0000-0000-0000E04F0000}"/>
    <cellStyle name="Normal 6 4 5 4 3" xfId="25359" xr:uid="{00000000-0005-0000-0000-0000E14F0000}"/>
    <cellStyle name="Normal 6 4 5 5" xfId="10573" xr:uid="{00000000-0005-0000-0000-0000E24F0000}"/>
    <cellStyle name="Normal 6 4 5 5 2" xfId="30288" xr:uid="{00000000-0005-0000-0000-0000E34F0000}"/>
    <cellStyle name="Normal 6 4 5 6" xfId="20431" xr:uid="{00000000-0005-0000-0000-0000E44F0000}"/>
    <cellStyle name="Normal 6 4 6" xfId="1322" xr:uid="{00000000-0005-0000-0000-0000E54F0000}"/>
    <cellStyle name="Normal 6 4 6 2" xfId="3789" xr:uid="{00000000-0005-0000-0000-0000E64F0000}"/>
    <cellStyle name="Normal 6 4 6 2 2" xfId="8721" xr:uid="{00000000-0005-0000-0000-0000E74F0000}"/>
    <cellStyle name="Normal 6 4 6 2 2 2" xfId="18581" xr:uid="{00000000-0005-0000-0000-0000E84F0000}"/>
    <cellStyle name="Normal 6 4 6 2 2 2 2" xfId="38296" xr:uid="{00000000-0005-0000-0000-0000E94F0000}"/>
    <cellStyle name="Normal 6 4 6 2 2 3" xfId="28439" xr:uid="{00000000-0005-0000-0000-0000EA4F0000}"/>
    <cellStyle name="Normal 6 4 6 2 3" xfId="13653" xr:uid="{00000000-0005-0000-0000-0000EB4F0000}"/>
    <cellStyle name="Normal 6 4 6 2 3 2" xfId="33368" xr:uid="{00000000-0005-0000-0000-0000EC4F0000}"/>
    <cellStyle name="Normal 6 4 6 2 4" xfId="23511" xr:uid="{00000000-0005-0000-0000-0000ED4F0000}"/>
    <cellStyle name="Normal 6 4 6 3" xfId="6257" xr:uid="{00000000-0005-0000-0000-0000EE4F0000}"/>
    <cellStyle name="Normal 6 4 6 3 2" xfId="16117" xr:uid="{00000000-0005-0000-0000-0000EF4F0000}"/>
    <cellStyle name="Normal 6 4 6 3 2 2" xfId="35832" xr:uid="{00000000-0005-0000-0000-0000F04F0000}"/>
    <cellStyle name="Normal 6 4 6 3 3" xfId="25975" xr:uid="{00000000-0005-0000-0000-0000F14F0000}"/>
    <cellStyle name="Normal 6 4 6 4" xfId="11189" xr:uid="{00000000-0005-0000-0000-0000F24F0000}"/>
    <cellStyle name="Normal 6 4 6 4 2" xfId="30904" xr:uid="{00000000-0005-0000-0000-0000F34F0000}"/>
    <cellStyle name="Normal 6 4 6 5" xfId="21047" xr:uid="{00000000-0005-0000-0000-0000F44F0000}"/>
    <cellStyle name="Normal 6 4 7" xfId="2557" xr:uid="{00000000-0005-0000-0000-0000F54F0000}"/>
    <cellStyle name="Normal 6 4 7 2" xfId="7489" xr:uid="{00000000-0005-0000-0000-0000F64F0000}"/>
    <cellStyle name="Normal 6 4 7 2 2" xfId="17349" xr:uid="{00000000-0005-0000-0000-0000F74F0000}"/>
    <cellStyle name="Normal 6 4 7 2 2 2" xfId="37064" xr:uid="{00000000-0005-0000-0000-0000F84F0000}"/>
    <cellStyle name="Normal 6 4 7 2 3" xfId="27207" xr:uid="{00000000-0005-0000-0000-0000F94F0000}"/>
    <cellStyle name="Normal 6 4 7 3" xfId="12421" xr:uid="{00000000-0005-0000-0000-0000FA4F0000}"/>
    <cellStyle name="Normal 6 4 7 3 2" xfId="32136" xr:uid="{00000000-0005-0000-0000-0000FB4F0000}"/>
    <cellStyle name="Normal 6 4 7 4" xfId="22279" xr:uid="{00000000-0005-0000-0000-0000FC4F0000}"/>
    <cellStyle name="Normal 6 4 8" xfId="5025" xr:uid="{00000000-0005-0000-0000-0000FD4F0000}"/>
    <cellStyle name="Normal 6 4 8 2" xfId="14885" xr:uid="{00000000-0005-0000-0000-0000FE4F0000}"/>
    <cellStyle name="Normal 6 4 8 2 2" xfId="34600" xr:uid="{00000000-0005-0000-0000-0000FF4F0000}"/>
    <cellStyle name="Normal 6 4 8 3" xfId="24743" xr:uid="{00000000-0005-0000-0000-000000500000}"/>
    <cellStyle name="Normal 6 4 9" xfId="9957" xr:uid="{00000000-0005-0000-0000-000001500000}"/>
    <cellStyle name="Normal 6 4 9 2" xfId="29672" xr:uid="{00000000-0005-0000-0000-000002500000}"/>
    <cellStyle name="Normal 6 5" xfId="107" xr:uid="{00000000-0005-0000-0000-000003500000}"/>
    <cellStyle name="Normal 6 5 2" xfId="265" xr:uid="{00000000-0005-0000-0000-000004500000}"/>
    <cellStyle name="Normal 6 5 2 2" xfId="579" xr:uid="{00000000-0005-0000-0000-000005500000}"/>
    <cellStyle name="Normal 6 5 2 2 2" xfId="1199" xr:uid="{00000000-0005-0000-0000-000006500000}"/>
    <cellStyle name="Normal 6 5 2 2 2 2" xfId="2434" xr:uid="{00000000-0005-0000-0000-000007500000}"/>
    <cellStyle name="Normal 6 5 2 2 2 2 2" xfId="4901" xr:uid="{00000000-0005-0000-0000-000008500000}"/>
    <cellStyle name="Normal 6 5 2 2 2 2 2 2" xfId="9833" xr:uid="{00000000-0005-0000-0000-000009500000}"/>
    <cellStyle name="Normal 6 5 2 2 2 2 2 2 2" xfId="19693" xr:uid="{00000000-0005-0000-0000-00000A500000}"/>
    <cellStyle name="Normal 6 5 2 2 2 2 2 2 2 2" xfId="39408" xr:uid="{00000000-0005-0000-0000-00000B500000}"/>
    <cellStyle name="Normal 6 5 2 2 2 2 2 2 3" xfId="29551" xr:uid="{00000000-0005-0000-0000-00000C500000}"/>
    <cellStyle name="Normal 6 5 2 2 2 2 2 3" xfId="14765" xr:uid="{00000000-0005-0000-0000-00000D500000}"/>
    <cellStyle name="Normal 6 5 2 2 2 2 2 3 2" xfId="34480" xr:uid="{00000000-0005-0000-0000-00000E500000}"/>
    <cellStyle name="Normal 6 5 2 2 2 2 2 4" xfId="24623" xr:uid="{00000000-0005-0000-0000-00000F500000}"/>
    <cellStyle name="Normal 6 5 2 2 2 2 3" xfId="7369" xr:uid="{00000000-0005-0000-0000-000010500000}"/>
    <cellStyle name="Normal 6 5 2 2 2 2 3 2" xfId="17229" xr:uid="{00000000-0005-0000-0000-000011500000}"/>
    <cellStyle name="Normal 6 5 2 2 2 2 3 2 2" xfId="36944" xr:uid="{00000000-0005-0000-0000-000012500000}"/>
    <cellStyle name="Normal 6 5 2 2 2 2 3 3" xfId="27087" xr:uid="{00000000-0005-0000-0000-000013500000}"/>
    <cellStyle name="Normal 6 5 2 2 2 2 4" xfId="12301" xr:uid="{00000000-0005-0000-0000-000014500000}"/>
    <cellStyle name="Normal 6 5 2 2 2 2 4 2" xfId="32016" xr:uid="{00000000-0005-0000-0000-000015500000}"/>
    <cellStyle name="Normal 6 5 2 2 2 2 5" xfId="22159" xr:uid="{00000000-0005-0000-0000-000016500000}"/>
    <cellStyle name="Normal 6 5 2 2 2 3" xfId="3669" xr:uid="{00000000-0005-0000-0000-000017500000}"/>
    <cellStyle name="Normal 6 5 2 2 2 3 2" xfId="8601" xr:uid="{00000000-0005-0000-0000-000018500000}"/>
    <cellStyle name="Normal 6 5 2 2 2 3 2 2" xfId="18461" xr:uid="{00000000-0005-0000-0000-000019500000}"/>
    <cellStyle name="Normal 6 5 2 2 2 3 2 2 2" xfId="38176" xr:uid="{00000000-0005-0000-0000-00001A500000}"/>
    <cellStyle name="Normal 6 5 2 2 2 3 2 3" xfId="28319" xr:uid="{00000000-0005-0000-0000-00001B500000}"/>
    <cellStyle name="Normal 6 5 2 2 2 3 3" xfId="13533" xr:uid="{00000000-0005-0000-0000-00001C500000}"/>
    <cellStyle name="Normal 6 5 2 2 2 3 3 2" xfId="33248" xr:uid="{00000000-0005-0000-0000-00001D500000}"/>
    <cellStyle name="Normal 6 5 2 2 2 3 4" xfId="23391" xr:uid="{00000000-0005-0000-0000-00001E500000}"/>
    <cellStyle name="Normal 6 5 2 2 2 4" xfId="6137" xr:uid="{00000000-0005-0000-0000-00001F500000}"/>
    <cellStyle name="Normal 6 5 2 2 2 4 2" xfId="15997" xr:uid="{00000000-0005-0000-0000-000020500000}"/>
    <cellStyle name="Normal 6 5 2 2 2 4 2 2" xfId="35712" xr:uid="{00000000-0005-0000-0000-000021500000}"/>
    <cellStyle name="Normal 6 5 2 2 2 4 3" xfId="25855" xr:uid="{00000000-0005-0000-0000-000022500000}"/>
    <cellStyle name="Normal 6 5 2 2 2 5" xfId="11069" xr:uid="{00000000-0005-0000-0000-000023500000}"/>
    <cellStyle name="Normal 6 5 2 2 2 5 2" xfId="30784" xr:uid="{00000000-0005-0000-0000-000024500000}"/>
    <cellStyle name="Normal 6 5 2 2 2 6" xfId="20927" xr:uid="{00000000-0005-0000-0000-000025500000}"/>
    <cellStyle name="Normal 6 5 2 2 3" xfId="1818" xr:uid="{00000000-0005-0000-0000-000026500000}"/>
    <cellStyle name="Normal 6 5 2 2 3 2" xfId="4285" xr:uid="{00000000-0005-0000-0000-000027500000}"/>
    <cellStyle name="Normal 6 5 2 2 3 2 2" xfId="9217" xr:uid="{00000000-0005-0000-0000-000028500000}"/>
    <cellStyle name="Normal 6 5 2 2 3 2 2 2" xfId="19077" xr:uid="{00000000-0005-0000-0000-000029500000}"/>
    <cellStyle name="Normal 6 5 2 2 3 2 2 2 2" xfId="38792" xr:uid="{00000000-0005-0000-0000-00002A500000}"/>
    <cellStyle name="Normal 6 5 2 2 3 2 2 3" xfId="28935" xr:uid="{00000000-0005-0000-0000-00002B500000}"/>
    <cellStyle name="Normal 6 5 2 2 3 2 3" xfId="14149" xr:uid="{00000000-0005-0000-0000-00002C500000}"/>
    <cellStyle name="Normal 6 5 2 2 3 2 3 2" xfId="33864" xr:uid="{00000000-0005-0000-0000-00002D500000}"/>
    <cellStyle name="Normal 6 5 2 2 3 2 4" xfId="24007" xr:uid="{00000000-0005-0000-0000-00002E500000}"/>
    <cellStyle name="Normal 6 5 2 2 3 3" xfId="6753" xr:uid="{00000000-0005-0000-0000-00002F500000}"/>
    <cellStyle name="Normal 6 5 2 2 3 3 2" xfId="16613" xr:uid="{00000000-0005-0000-0000-000030500000}"/>
    <cellStyle name="Normal 6 5 2 2 3 3 2 2" xfId="36328" xr:uid="{00000000-0005-0000-0000-000031500000}"/>
    <cellStyle name="Normal 6 5 2 2 3 3 3" xfId="26471" xr:uid="{00000000-0005-0000-0000-000032500000}"/>
    <cellStyle name="Normal 6 5 2 2 3 4" xfId="11685" xr:uid="{00000000-0005-0000-0000-000033500000}"/>
    <cellStyle name="Normal 6 5 2 2 3 4 2" xfId="31400" xr:uid="{00000000-0005-0000-0000-000034500000}"/>
    <cellStyle name="Normal 6 5 2 2 3 5" xfId="21543" xr:uid="{00000000-0005-0000-0000-000035500000}"/>
    <cellStyle name="Normal 6 5 2 2 4" xfId="3053" xr:uid="{00000000-0005-0000-0000-000036500000}"/>
    <cellStyle name="Normal 6 5 2 2 4 2" xfId="7985" xr:uid="{00000000-0005-0000-0000-000037500000}"/>
    <cellStyle name="Normal 6 5 2 2 4 2 2" xfId="17845" xr:uid="{00000000-0005-0000-0000-000038500000}"/>
    <cellStyle name="Normal 6 5 2 2 4 2 2 2" xfId="37560" xr:uid="{00000000-0005-0000-0000-000039500000}"/>
    <cellStyle name="Normal 6 5 2 2 4 2 3" xfId="27703" xr:uid="{00000000-0005-0000-0000-00003A500000}"/>
    <cellStyle name="Normal 6 5 2 2 4 3" xfId="12917" xr:uid="{00000000-0005-0000-0000-00003B500000}"/>
    <cellStyle name="Normal 6 5 2 2 4 3 2" xfId="32632" xr:uid="{00000000-0005-0000-0000-00003C500000}"/>
    <cellStyle name="Normal 6 5 2 2 4 4" xfId="22775" xr:uid="{00000000-0005-0000-0000-00003D500000}"/>
    <cellStyle name="Normal 6 5 2 2 5" xfId="5521" xr:uid="{00000000-0005-0000-0000-00003E500000}"/>
    <cellStyle name="Normal 6 5 2 2 5 2" xfId="15381" xr:uid="{00000000-0005-0000-0000-00003F500000}"/>
    <cellStyle name="Normal 6 5 2 2 5 2 2" xfId="35096" xr:uid="{00000000-0005-0000-0000-000040500000}"/>
    <cellStyle name="Normal 6 5 2 2 5 3" xfId="25239" xr:uid="{00000000-0005-0000-0000-000041500000}"/>
    <cellStyle name="Normal 6 5 2 2 6" xfId="10453" xr:uid="{00000000-0005-0000-0000-000042500000}"/>
    <cellStyle name="Normal 6 5 2 2 6 2" xfId="30168" xr:uid="{00000000-0005-0000-0000-000043500000}"/>
    <cellStyle name="Normal 6 5 2 2 7" xfId="20311" xr:uid="{00000000-0005-0000-0000-000044500000}"/>
    <cellStyle name="Normal 6 5 2 3" xfId="892" xr:uid="{00000000-0005-0000-0000-000045500000}"/>
    <cellStyle name="Normal 6 5 2 3 2" xfId="2128" xr:uid="{00000000-0005-0000-0000-000046500000}"/>
    <cellStyle name="Normal 6 5 2 3 2 2" xfId="4595" xr:uid="{00000000-0005-0000-0000-000047500000}"/>
    <cellStyle name="Normal 6 5 2 3 2 2 2" xfId="9527" xr:uid="{00000000-0005-0000-0000-000048500000}"/>
    <cellStyle name="Normal 6 5 2 3 2 2 2 2" xfId="19387" xr:uid="{00000000-0005-0000-0000-000049500000}"/>
    <cellStyle name="Normal 6 5 2 3 2 2 2 2 2" xfId="39102" xr:uid="{00000000-0005-0000-0000-00004A500000}"/>
    <cellStyle name="Normal 6 5 2 3 2 2 2 3" xfId="29245" xr:uid="{00000000-0005-0000-0000-00004B500000}"/>
    <cellStyle name="Normal 6 5 2 3 2 2 3" xfId="14459" xr:uid="{00000000-0005-0000-0000-00004C500000}"/>
    <cellStyle name="Normal 6 5 2 3 2 2 3 2" xfId="34174" xr:uid="{00000000-0005-0000-0000-00004D500000}"/>
    <cellStyle name="Normal 6 5 2 3 2 2 4" xfId="24317" xr:uid="{00000000-0005-0000-0000-00004E500000}"/>
    <cellStyle name="Normal 6 5 2 3 2 3" xfId="7063" xr:uid="{00000000-0005-0000-0000-00004F500000}"/>
    <cellStyle name="Normal 6 5 2 3 2 3 2" xfId="16923" xr:uid="{00000000-0005-0000-0000-000050500000}"/>
    <cellStyle name="Normal 6 5 2 3 2 3 2 2" xfId="36638" xr:uid="{00000000-0005-0000-0000-000051500000}"/>
    <cellStyle name="Normal 6 5 2 3 2 3 3" xfId="26781" xr:uid="{00000000-0005-0000-0000-000052500000}"/>
    <cellStyle name="Normal 6 5 2 3 2 4" xfId="11995" xr:uid="{00000000-0005-0000-0000-000053500000}"/>
    <cellStyle name="Normal 6 5 2 3 2 4 2" xfId="31710" xr:uid="{00000000-0005-0000-0000-000054500000}"/>
    <cellStyle name="Normal 6 5 2 3 2 5" xfId="21853" xr:uid="{00000000-0005-0000-0000-000055500000}"/>
    <cellStyle name="Normal 6 5 2 3 3" xfId="3363" xr:uid="{00000000-0005-0000-0000-000056500000}"/>
    <cellStyle name="Normal 6 5 2 3 3 2" xfId="8295" xr:uid="{00000000-0005-0000-0000-000057500000}"/>
    <cellStyle name="Normal 6 5 2 3 3 2 2" xfId="18155" xr:uid="{00000000-0005-0000-0000-000058500000}"/>
    <cellStyle name="Normal 6 5 2 3 3 2 2 2" xfId="37870" xr:uid="{00000000-0005-0000-0000-000059500000}"/>
    <cellStyle name="Normal 6 5 2 3 3 2 3" xfId="28013" xr:uid="{00000000-0005-0000-0000-00005A500000}"/>
    <cellStyle name="Normal 6 5 2 3 3 3" xfId="13227" xr:uid="{00000000-0005-0000-0000-00005B500000}"/>
    <cellStyle name="Normal 6 5 2 3 3 3 2" xfId="32942" xr:uid="{00000000-0005-0000-0000-00005C500000}"/>
    <cellStyle name="Normal 6 5 2 3 3 4" xfId="23085" xr:uid="{00000000-0005-0000-0000-00005D500000}"/>
    <cellStyle name="Normal 6 5 2 3 4" xfId="5831" xr:uid="{00000000-0005-0000-0000-00005E500000}"/>
    <cellStyle name="Normal 6 5 2 3 4 2" xfId="15691" xr:uid="{00000000-0005-0000-0000-00005F500000}"/>
    <cellStyle name="Normal 6 5 2 3 4 2 2" xfId="35406" xr:uid="{00000000-0005-0000-0000-000060500000}"/>
    <cellStyle name="Normal 6 5 2 3 4 3" xfId="25549" xr:uid="{00000000-0005-0000-0000-000061500000}"/>
    <cellStyle name="Normal 6 5 2 3 5" xfId="10763" xr:uid="{00000000-0005-0000-0000-000062500000}"/>
    <cellStyle name="Normal 6 5 2 3 5 2" xfId="30478" xr:uid="{00000000-0005-0000-0000-000063500000}"/>
    <cellStyle name="Normal 6 5 2 3 6" xfId="20621" xr:uid="{00000000-0005-0000-0000-000064500000}"/>
    <cellStyle name="Normal 6 5 2 4" xfId="1512" xr:uid="{00000000-0005-0000-0000-000065500000}"/>
    <cellStyle name="Normal 6 5 2 4 2" xfId="3979" xr:uid="{00000000-0005-0000-0000-000066500000}"/>
    <cellStyle name="Normal 6 5 2 4 2 2" xfId="8911" xr:uid="{00000000-0005-0000-0000-000067500000}"/>
    <cellStyle name="Normal 6 5 2 4 2 2 2" xfId="18771" xr:uid="{00000000-0005-0000-0000-000068500000}"/>
    <cellStyle name="Normal 6 5 2 4 2 2 2 2" xfId="38486" xr:uid="{00000000-0005-0000-0000-000069500000}"/>
    <cellStyle name="Normal 6 5 2 4 2 2 3" xfId="28629" xr:uid="{00000000-0005-0000-0000-00006A500000}"/>
    <cellStyle name="Normal 6 5 2 4 2 3" xfId="13843" xr:uid="{00000000-0005-0000-0000-00006B500000}"/>
    <cellStyle name="Normal 6 5 2 4 2 3 2" xfId="33558" xr:uid="{00000000-0005-0000-0000-00006C500000}"/>
    <cellStyle name="Normal 6 5 2 4 2 4" xfId="23701" xr:uid="{00000000-0005-0000-0000-00006D500000}"/>
    <cellStyle name="Normal 6 5 2 4 3" xfId="6447" xr:uid="{00000000-0005-0000-0000-00006E500000}"/>
    <cellStyle name="Normal 6 5 2 4 3 2" xfId="16307" xr:uid="{00000000-0005-0000-0000-00006F500000}"/>
    <cellStyle name="Normal 6 5 2 4 3 2 2" xfId="36022" xr:uid="{00000000-0005-0000-0000-000070500000}"/>
    <cellStyle name="Normal 6 5 2 4 3 3" xfId="26165" xr:uid="{00000000-0005-0000-0000-000071500000}"/>
    <cellStyle name="Normal 6 5 2 4 4" xfId="11379" xr:uid="{00000000-0005-0000-0000-000072500000}"/>
    <cellStyle name="Normal 6 5 2 4 4 2" xfId="31094" xr:uid="{00000000-0005-0000-0000-000073500000}"/>
    <cellStyle name="Normal 6 5 2 4 5" xfId="21237" xr:uid="{00000000-0005-0000-0000-000074500000}"/>
    <cellStyle name="Normal 6 5 2 5" xfId="2747" xr:uid="{00000000-0005-0000-0000-000075500000}"/>
    <cellStyle name="Normal 6 5 2 5 2" xfId="7679" xr:uid="{00000000-0005-0000-0000-000076500000}"/>
    <cellStyle name="Normal 6 5 2 5 2 2" xfId="17539" xr:uid="{00000000-0005-0000-0000-000077500000}"/>
    <cellStyle name="Normal 6 5 2 5 2 2 2" xfId="37254" xr:uid="{00000000-0005-0000-0000-000078500000}"/>
    <cellStyle name="Normal 6 5 2 5 2 3" xfId="27397" xr:uid="{00000000-0005-0000-0000-000079500000}"/>
    <cellStyle name="Normal 6 5 2 5 3" xfId="12611" xr:uid="{00000000-0005-0000-0000-00007A500000}"/>
    <cellStyle name="Normal 6 5 2 5 3 2" xfId="32326" xr:uid="{00000000-0005-0000-0000-00007B500000}"/>
    <cellStyle name="Normal 6 5 2 5 4" xfId="22469" xr:uid="{00000000-0005-0000-0000-00007C500000}"/>
    <cellStyle name="Normal 6 5 2 6" xfId="5215" xr:uid="{00000000-0005-0000-0000-00007D500000}"/>
    <cellStyle name="Normal 6 5 2 6 2" xfId="15075" xr:uid="{00000000-0005-0000-0000-00007E500000}"/>
    <cellStyle name="Normal 6 5 2 6 2 2" xfId="34790" xr:uid="{00000000-0005-0000-0000-00007F500000}"/>
    <cellStyle name="Normal 6 5 2 6 3" xfId="24933" xr:uid="{00000000-0005-0000-0000-000080500000}"/>
    <cellStyle name="Normal 6 5 2 7" xfId="10147" xr:uid="{00000000-0005-0000-0000-000081500000}"/>
    <cellStyle name="Normal 6 5 2 7 2" xfId="29862" xr:uid="{00000000-0005-0000-0000-000082500000}"/>
    <cellStyle name="Normal 6 5 2 8" xfId="20005" xr:uid="{00000000-0005-0000-0000-000083500000}"/>
    <cellStyle name="Normal 6 5 3" xfId="427" xr:uid="{00000000-0005-0000-0000-000084500000}"/>
    <cellStyle name="Normal 6 5 3 2" xfId="1047" xr:uid="{00000000-0005-0000-0000-000085500000}"/>
    <cellStyle name="Normal 6 5 3 2 2" xfId="2282" xr:uid="{00000000-0005-0000-0000-000086500000}"/>
    <cellStyle name="Normal 6 5 3 2 2 2" xfId="4749" xr:uid="{00000000-0005-0000-0000-000087500000}"/>
    <cellStyle name="Normal 6 5 3 2 2 2 2" xfId="9681" xr:uid="{00000000-0005-0000-0000-000088500000}"/>
    <cellStyle name="Normal 6 5 3 2 2 2 2 2" xfId="19541" xr:uid="{00000000-0005-0000-0000-000089500000}"/>
    <cellStyle name="Normal 6 5 3 2 2 2 2 2 2" xfId="39256" xr:uid="{00000000-0005-0000-0000-00008A500000}"/>
    <cellStyle name="Normal 6 5 3 2 2 2 2 3" xfId="29399" xr:uid="{00000000-0005-0000-0000-00008B500000}"/>
    <cellStyle name="Normal 6 5 3 2 2 2 3" xfId="14613" xr:uid="{00000000-0005-0000-0000-00008C500000}"/>
    <cellStyle name="Normal 6 5 3 2 2 2 3 2" xfId="34328" xr:uid="{00000000-0005-0000-0000-00008D500000}"/>
    <cellStyle name="Normal 6 5 3 2 2 2 4" xfId="24471" xr:uid="{00000000-0005-0000-0000-00008E500000}"/>
    <cellStyle name="Normal 6 5 3 2 2 3" xfId="7217" xr:uid="{00000000-0005-0000-0000-00008F500000}"/>
    <cellStyle name="Normal 6 5 3 2 2 3 2" xfId="17077" xr:uid="{00000000-0005-0000-0000-000090500000}"/>
    <cellStyle name="Normal 6 5 3 2 2 3 2 2" xfId="36792" xr:uid="{00000000-0005-0000-0000-000091500000}"/>
    <cellStyle name="Normal 6 5 3 2 2 3 3" xfId="26935" xr:uid="{00000000-0005-0000-0000-000092500000}"/>
    <cellStyle name="Normal 6 5 3 2 2 4" xfId="12149" xr:uid="{00000000-0005-0000-0000-000093500000}"/>
    <cellStyle name="Normal 6 5 3 2 2 4 2" xfId="31864" xr:uid="{00000000-0005-0000-0000-000094500000}"/>
    <cellStyle name="Normal 6 5 3 2 2 5" xfId="22007" xr:uid="{00000000-0005-0000-0000-000095500000}"/>
    <cellStyle name="Normal 6 5 3 2 3" xfId="3517" xr:uid="{00000000-0005-0000-0000-000096500000}"/>
    <cellStyle name="Normal 6 5 3 2 3 2" xfId="8449" xr:uid="{00000000-0005-0000-0000-000097500000}"/>
    <cellStyle name="Normal 6 5 3 2 3 2 2" xfId="18309" xr:uid="{00000000-0005-0000-0000-000098500000}"/>
    <cellStyle name="Normal 6 5 3 2 3 2 2 2" xfId="38024" xr:uid="{00000000-0005-0000-0000-000099500000}"/>
    <cellStyle name="Normal 6 5 3 2 3 2 3" xfId="28167" xr:uid="{00000000-0005-0000-0000-00009A500000}"/>
    <cellStyle name="Normal 6 5 3 2 3 3" xfId="13381" xr:uid="{00000000-0005-0000-0000-00009B500000}"/>
    <cellStyle name="Normal 6 5 3 2 3 3 2" xfId="33096" xr:uid="{00000000-0005-0000-0000-00009C500000}"/>
    <cellStyle name="Normal 6 5 3 2 3 4" xfId="23239" xr:uid="{00000000-0005-0000-0000-00009D500000}"/>
    <cellStyle name="Normal 6 5 3 2 4" xfId="5985" xr:uid="{00000000-0005-0000-0000-00009E500000}"/>
    <cellStyle name="Normal 6 5 3 2 4 2" xfId="15845" xr:uid="{00000000-0005-0000-0000-00009F500000}"/>
    <cellStyle name="Normal 6 5 3 2 4 2 2" xfId="35560" xr:uid="{00000000-0005-0000-0000-0000A0500000}"/>
    <cellStyle name="Normal 6 5 3 2 4 3" xfId="25703" xr:uid="{00000000-0005-0000-0000-0000A1500000}"/>
    <cellStyle name="Normal 6 5 3 2 5" xfId="10917" xr:uid="{00000000-0005-0000-0000-0000A2500000}"/>
    <cellStyle name="Normal 6 5 3 2 5 2" xfId="30632" xr:uid="{00000000-0005-0000-0000-0000A3500000}"/>
    <cellStyle name="Normal 6 5 3 2 6" xfId="20775" xr:uid="{00000000-0005-0000-0000-0000A4500000}"/>
    <cellStyle name="Normal 6 5 3 3" xfId="1666" xr:uid="{00000000-0005-0000-0000-0000A5500000}"/>
    <cellStyle name="Normal 6 5 3 3 2" xfId="4133" xr:uid="{00000000-0005-0000-0000-0000A6500000}"/>
    <cellStyle name="Normal 6 5 3 3 2 2" xfId="9065" xr:uid="{00000000-0005-0000-0000-0000A7500000}"/>
    <cellStyle name="Normal 6 5 3 3 2 2 2" xfId="18925" xr:uid="{00000000-0005-0000-0000-0000A8500000}"/>
    <cellStyle name="Normal 6 5 3 3 2 2 2 2" xfId="38640" xr:uid="{00000000-0005-0000-0000-0000A9500000}"/>
    <cellStyle name="Normal 6 5 3 3 2 2 3" xfId="28783" xr:uid="{00000000-0005-0000-0000-0000AA500000}"/>
    <cellStyle name="Normal 6 5 3 3 2 3" xfId="13997" xr:uid="{00000000-0005-0000-0000-0000AB500000}"/>
    <cellStyle name="Normal 6 5 3 3 2 3 2" xfId="33712" xr:uid="{00000000-0005-0000-0000-0000AC500000}"/>
    <cellStyle name="Normal 6 5 3 3 2 4" xfId="23855" xr:uid="{00000000-0005-0000-0000-0000AD500000}"/>
    <cellStyle name="Normal 6 5 3 3 3" xfId="6601" xr:uid="{00000000-0005-0000-0000-0000AE500000}"/>
    <cellStyle name="Normal 6 5 3 3 3 2" xfId="16461" xr:uid="{00000000-0005-0000-0000-0000AF500000}"/>
    <cellStyle name="Normal 6 5 3 3 3 2 2" xfId="36176" xr:uid="{00000000-0005-0000-0000-0000B0500000}"/>
    <cellStyle name="Normal 6 5 3 3 3 3" xfId="26319" xr:uid="{00000000-0005-0000-0000-0000B1500000}"/>
    <cellStyle name="Normal 6 5 3 3 4" xfId="11533" xr:uid="{00000000-0005-0000-0000-0000B2500000}"/>
    <cellStyle name="Normal 6 5 3 3 4 2" xfId="31248" xr:uid="{00000000-0005-0000-0000-0000B3500000}"/>
    <cellStyle name="Normal 6 5 3 3 5" xfId="21391" xr:uid="{00000000-0005-0000-0000-0000B4500000}"/>
    <cellStyle name="Normal 6 5 3 4" xfId="2901" xr:uid="{00000000-0005-0000-0000-0000B5500000}"/>
    <cellStyle name="Normal 6 5 3 4 2" xfId="7833" xr:uid="{00000000-0005-0000-0000-0000B6500000}"/>
    <cellStyle name="Normal 6 5 3 4 2 2" xfId="17693" xr:uid="{00000000-0005-0000-0000-0000B7500000}"/>
    <cellStyle name="Normal 6 5 3 4 2 2 2" xfId="37408" xr:uid="{00000000-0005-0000-0000-0000B8500000}"/>
    <cellStyle name="Normal 6 5 3 4 2 3" xfId="27551" xr:uid="{00000000-0005-0000-0000-0000B9500000}"/>
    <cellStyle name="Normal 6 5 3 4 3" xfId="12765" xr:uid="{00000000-0005-0000-0000-0000BA500000}"/>
    <cellStyle name="Normal 6 5 3 4 3 2" xfId="32480" xr:uid="{00000000-0005-0000-0000-0000BB500000}"/>
    <cellStyle name="Normal 6 5 3 4 4" xfId="22623" xr:uid="{00000000-0005-0000-0000-0000BC500000}"/>
    <cellStyle name="Normal 6 5 3 5" xfId="5369" xr:uid="{00000000-0005-0000-0000-0000BD500000}"/>
    <cellStyle name="Normal 6 5 3 5 2" xfId="15229" xr:uid="{00000000-0005-0000-0000-0000BE500000}"/>
    <cellStyle name="Normal 6 5 3 5 2 2" xfId="34944" xr:uid="{00000000-0005-0000-0000-0000BF500000}"/>
    <cellStyle name="Normal 6 5 3 5 3" xfId="25087" xr:uid="{00000000-0005-0000-0000-0000C0500000}"/>
    <cellStyle name="Normal 6 5 3 6" xfId="10301" xr:uid="{00000000-0005-0000-0000-0000C1500000}"/>
    <cellStyle name="Normal 6 5 3 6 2" xfId="30016" xr:uid="{00000000-0005-0000-0000-0000C2500000}"/>
    <cellStyle name="Normal 6 5 3 7" xfId="20159" xr:uid="{00000000-0005-0000-0000-0000C3500000}"/>
    <cellStyle name="Normal 6 5 4" xfId="740" xr:uid="{00000000-0005-0000-0000-0000C4500000}"/>
    <cellStyle name="Normal 6 5 4 2" xfId="1976" xr:uid="{00000000-0005-0000-0000-0000C5500000}"/>
    <cellStyle name="Normal 6 5 4 2 2" xfId="4443" xr:uid="{00000000-0005-0000-0000-0000C6500000}"/>
    <cellStyle name="Normal 6 5 4 2 2 2" xfId="9375" xr:uid="{00000000-0005-0000-0000-0000C7500000}"/>
    <cellStyle name="Normal 6 5 4 2 2 2 2" xfId="19235" xr:uid="{00000000-0005-0000-0000-0000C8500000}"/>
    <cellStyle name="Normal 6 5 4 2 2 2 2 2" xfId="38950" xr:uid="{00000000-0005-0000-0000-0000C9500000}"/>
    <cellStyle name="Normal 6 5 4 2 2 2 3" xfId="29093" xr:uid="{00000000-0005-0000-0000-0000CA500000}"/>
    <cellStyle name="Normal 6 5 4 2 2 3" xfId="14307" xr:uid="{00000000-0005-0000-0000-0000CB500000}"/>
    <cellStyle name="Normal 6 5 4 2 2 3 2" xfId="34022" xr:uid="{00000000-0005-0000-0000-0000CC500000}"/>
    <cellStyle name="Normal 6 5 4 2 2 4" xfId="24165" xr:uid="{00000000-0005-0000-0000-0000CD500000}"/>
    <cellStyle name="Normal 6 5 4 2 3" xfId="6911" xr:uid="{00000000-0005-0000-0000-0000CE500000}"/>
    <cellStyle name="Normal 6 5 4 2 3 2" xfId="16771" xr:uid="{00000000-0005-0000-0000-0000CF500000}"/>
    <cellStyle name="Normal 6 5 4 2 3 2 2" xfId="36486" xr:uid="{00000000-0005-0000-0000-0000D0500000}"/>
    <cellStyle name="Normal 6 5 4 2 3 3" xfId="26629" xr:uid="{00000000-0005-0000-0000-0000D1500000}"/>
    <cellStyle name="Normal 6 5 4 2 4" xfId="11843" xr:uid="{00000000-0005-0000-0000-0000D2500000}"/>
    <cellStyle name="Normal 6 5 4 2 4 2" xfId="31558" xr:uid="{00000000-0005-0000-0000-0000D3500000}"/>
    <cellStyle name="Normal 6 5 4 2 5" xfId="21701" xr:uid="{00000000-0005-0000-0000-0000D4500000}"/>
    <cellStyle name="Normal 6 5 4 3" xfId="3211" xr:uid="{00000000-0005-0000-0000-0000D5500000}"/>
    <cellStyle name="Normal 6 5 4 3 2" xfId="8143" xr:uid="{00000000-0005-0000-0000-0000D6500000}"/>
    <cellStyle name="Normal 6 5 4 3 2 2" xfId="18003" xr:uid="{00000000-0005-0000-0000-0000D7500000}"/>
    <cellStyle name="Normal 6 5 4 3 2 2 2" xfId="37718" xr:uid="{00000000-0005-0000-0000-0000D8500000}"/>
    <cellStyle name="Normal 6 5 4 3 2 3" xfId="27861" xr:uid="{00000000-0005-0000-0000-0000D9500000}"/>
    <cellStyle name="Normal 6 5 4 3 3" xfId="13075" xr:uid="{00000000-0005-0000-0000-0000DA500000}"/>
    <cellStyle name="Normal 6 5 4 3 3 2" xfId="32790" xr:uid="{00000000-0005-0000-0000-0000DB500000}"/>
    <cellStyle name="Normal 6 5 4 3 4" xfId="22933" xr:uid="{00000000-0005-0000-0000-0000DC500000}"/>
    <cellStyle name="Normal 6 5 4 4" xfId="5679" xr:uid="{00000000-0005-0000-0000-0000DD500000}"/>
    <cellStyle name="Normal 6 5 4 4 2" xfId="15539" xr:uid="{00000000-0005-0000-0000-0000DE500000}"/>
    <cellStyle name="Normal 6 5 4 4 2 2" xfId="35254" xr:uid="{00000000-0005-0000-0000-0000DF500000}"/>
    <cellStyle name="Normal 6 5 4 4 3" xfId="25397" xr:uid="{00000000-0005-0000-0000-0000E0500000}"/>
    <cellStyle name="Normal 6 5 4 5" xfId="10611" xr:uid="{00000000-0005-0000-0000-0000E1500000}"/>
    <cellStyle name="Normal 6 5 4 5 2" xfId="30326" xr:uid="{00000000-0005-0000-0000-0000E2500000}"/>
    <cellStyle name="Normal 6 5 4 6" xfId="20469" xr:uid="{00000000-0005-0000-0000-0000E3500000}"/>
    <cellStyle name="Normal 6 5 5" xfId="1360" xr:uid="{00000000-0005-0000-0000-0000E4500000}"/>
    <cellStyle name="Normal 6 5 5 2" xfId="3827" xr:uid="{00000000-0005-0000-0000-0000E5500000}"/>
    <cellStyle name="Normal 6 5 5 2 2" xfId="8759" xr:uid="{00000000-0005-0000-0000-0000E6500000}"/>
    <cellStyle name="Normal 6 5 5 2 2 2" xfId="18619" xr:uid="{00000000-0005-0000-0000-0000E7500000}"/>
    <cellStyle name="Normal 6 5 5 2 2 2 2" xfId="38334" xr:uid="{00000000-0005-0000-0000-0000E8500000}"/>
    <cellStyle name="Normal 6 5 5 2 2 3" xfId="28477" xr:uid="{00000000-0005-0000-0000-0000E9500000}"/>
    <cellStyle name="Normal 6 5 5 2 3" xfId="13691" xr:uid="{00000000-0005-0000-0000-0000EA500000}"/>
    <cellStyle name="Normal 6 5 5 2 3 2" xfId="33406" xr:uid="{00000000-0005-0000-0000-0000EB500000}"/>
    <cellStyle name="Normal 6 5 5 2 4" xfId="23549" xr:uid="{00000000-0005-0000-0000-0000EC500000}"/>
    <cellStyle name="Normal 6 5 5 3" xfId="6295" xr:uid="{00000000-0005-0000-0000-0000ED500000}"/>
    <cellStyle name="Normal 6 5 5 3 2" xfId="16155" xr:uid="{00000000-0005-0000-0000-0000EE500000}"/>
    <cellStyle name="Normal 6 5 5 3 2 2" xfId="35870" xr:uid="{00000000-0005-0000-0000-0000EF500000}"/>
    <cellStyle name="Normal 6 5 5 3 3" xfId="26013" xr:uid="{00000000-0005-0000-0000-0000F0500000}"/>
    <cellStyle name="Normal 6 5 5 4" xfId="11227" xr:uid="{00000000-0005-0000-0000-0000F1500000}"/>
    <cellStyle name="Normal 6 5 5 4 2" xfId="30942" xr:uid="{00000000-0005-0000-0000-0000F2500000}"/>
    <cellStyle name="Normal 6 5 5 5" xfId="21085" xr:uid="{00000000-0005-0000-0000-0000F3500000}"/>
    <cellStyle name="Normal 6 5 6" xfId="2595" xr:uid="{00000000-0005-0000-0000-0000F4500000}"/>
    <cellStyle name="Normal 6 5 6 2" xfId="7527" xr:uid="{00000000-0005-0000-0000-0000F5500000}"/>
    <cellStyle name="Normal 6 5 6 2 2" xfId="17387" xr:uid="{00000000-0005-0000-0000-0000F6500000}"/>
    <cellStyle name="Normal 6 5 6 2 2 2" xfId="37102" xr:uid="{00000000-0005-0000-0000-0000F7500000}"/>
    <cellStyle name="Normal 6 5 6 2 3" xfId="27245" xr:uid="{00000000-0005-0000-0000-0000F8500000}"/>
    <cellStyle name="Normal 6 5 6 3" xfId="12459" xr:uid="{00000000-0005-0000-0000-0000F9500000}"/>
    <cellStyle name="Normal 6 5 6 3 2" xfId="32174" xr:uid="{00000000-0005-0000-0000-0000FA500000}"/>
    <cellStyle name="Normal 6 5 6 4" xfId="22317" xr:uid="{00000000-0005-0000-0000-0000FB500000}"/>
    <cellStyle name="Normal 6 5 7" xfId="5063" xr:uid="{00000000-0005-0000-0000-0000FC500000}"/>
    <cellStyle name="Normal 6 5 7 2" xfId="14923" xr:uid="{00000000-0005-0000-0000-0000FD500000}"/>
    <cellStyle name="Normal 6 5 7 2 2" xfId="34638" xr:uid="{00000000-0005-0000-0000-0000FE500000}"/>
    <cellStyle name="Normal 6 5 7 3" xfId="24781" xr:uid="{00000000-0005-0000-0000-0000FF500000}"/>
    <cellStyle name="Normal 6 5 8" xfId="9995" xr:uid="{00000000-0005-0000-0000-000000510000}"/>
    <cellStyle name="Normal 6 5 8 2" xfId="29710" xr:uid="{00000000-0005-0000-0000-000001510000}"/>
    <cellStyle name="Normal 6 5 9" xfId="19853" xr:uid="{00000000-0005-0000-0000-000002510000}"/>
    <cellStyle name="Normal 6 6" xfId="188" xr:uid="{00000000-0005-0000-0000-000003510000}"/>
    <cellStyle name="Normal 6 6 2" xfId="503" xr:uid="{00000000-0005-0000-0000-000004510000}"/>
    <cellStyle name="Normal 6 6 2 2" xfId="1123" xr:uid="{00000000-0005-0000-0000-000005510000}"/>
    <cellStyle name="Normal 6 6 2 2 2" xfId="2358" xr:uid="{00000000-0005-0000-0000-000006510000}"/>
    <cellStyle name="Normal 6 6 2 2 2 2" xfId="4825" xr:uid="{00000000-0005-0000-0000-000007510000}"/>
    <cellStyle name="Normal 6 6 2 2 2 2 2" xfId="9757" xr:uid="{00000000-0005-0000-0000-000008510000}"/>
    <cellStyle name="Normal 6 6 2 2 2 2 2 2" xfId="19617" xr:uid="{00000000-0005-0000-0000-000009510000}"/>
    <cellStyle name="Normal 6 6 2 2 2 2 2 2 2" xfId="39332" xr:uid="{00000000-0005-0000-0000-00000A510000}"/>
    <cellStyle name="Normal 6 6 2 2 2 2 2 3" xfId="29475" xr:uid="{00000000-0005-0000-0000-00000B510000}"/>
    <cellStyle name="Normal 6 6 2 2 2 2 3" xfId="14689" xr:uid="{00000000-0005-0000-0000-00000C510000}"/>
    <cellStyle name="Normal 6 6 2 2 2 2 3 2" xfId="34404" xr:uid="{00000000-0005-0000-0000-00000D510000}"/>
    <cellStyle name="Normal 6 6 2 2 2 2 4" xfId="24547" xr:uid="{00000000-0005-0000-0000-00000E510000}"/>
    <cellStyle name="Normal 6 6 2 2 2 3" xfId="7293" xr:uid="{00000000-0005-0000-0000-00000F510000}"/>
    <cellStyle name="Normal 6 6 2 2 2 3 2" xfId="17153" xr:uid="{00000000-0005-0000-0000-000010510000}"/>
    <cellStyle name="Normal 6 6 2 2 2 3 2 2" xfId="36868" xr:uid="{00000000-0005-0000-0000-000011510000}"/>
    <cellStyle name="Normal 6 6 2 2 2 3 3" xfId="27011" xr:uid="{00000000-0005-0000-0000-000012510000}"/>
    <cellStyle name="Normal 6 6 2 2 2 4" xfId="12225" xr:uid="{00000000-0005-0000-0000-000013510000}"/>
    <cellStyle name="Normal 6 6 2 2 2 4 2" xfId="31940" xr:uid="{00000000-0005-0000-0000-000014510000}"/>
    <cellStyle name="Normal 6 6 2 2 2 5" xfId="22083" xr:uid="{00000000-0005-0000-0000-000015510000}"/>
    <cellStyle name="Normal 6 6 2 2 3" xfId="3593" xr:uid="{00000000-0005-0000-0000-000016510000}"/>
    <cellStyle name="Normal 6 6 2 2 3 2" xfId="8525" xr:uid="{00000000-0005-0000-0000-000017510000}"/>
    <cellStyle name="Normal 6 6 2 2 3 2 2" xfId="18385" xr:uid="{00000000-0005-0000-0000-000018510000}"/>
    <cellStyle name="Normal 6 6 2 2 3 2 2 2" xfId="38100" xr:uid="{00000000-0005-0000-0000-000019510000}"/>
    <cellStyle name="Normal 6 6 2 2 3 2 3" xfId="28243" xr:uid="{00000000-0005-0000-0000-00001A510000}"/>
    <cellStyle name="Normal 6 6 2 2 3 3" xfId="13457" xr:uid="{00000000-0005-0000-0000-00001B510000}"/>
    <cellStyle name="Normal 6 6 2 2 3 3 2" xfId="33172" xr:uid="{00000000-0005-0000-0000-00001C510000}"/>
    <cellStyle name="Normal 6 6 2 2 3 4" xfId="23315" xr:uid="{00000000-0005-0000-0000-00001D510000}"/>
    <cellStyle name="Normal 6 6 2 2 4" xfId="6061" xr:uid="{00000000-0005-0000-0000-00001E510000}"/>
    <cellStyle name="Normal 6 6 2 2 4 2" xfId="15921" xr:uid="{00000000-0005-0000-0000-00001F510000}"/>
    <cellStyle name="Normal 6 6 2 2 4 2 2" xfId="35636" xr:uid="{00000000-0005-0000-0000-000020510000}"/>
    <cellStyle name="Normal 6 6 2 2 4 3" xfId="25779" xr:uid="{00000000-0005-0000-0000-000021510000}"/>
    <cellStyle name="Normal 6 6 2 2 5" xfId="10993" xr:uid="{00000000-0005-0000-0000-000022510000}"/>
    <cellStyle name="Normal 6 6 2 2 5 2" xfId="30708" xr:uid="{00000000-0005-0000-0000-000023510000}"/>
    <cellStyle name="Normal 6 6 2 2 6" xfId="20851" xr:uid="{00000000-0005-0000-0000-000024510000}"/>
    <cellStyle name="Normal 6 6 2 3" xfId="1742" xr:uid="{00000000-0005-0000-0000-000025510000}"/>
    <cellStyle name="Normal 6 6 2 3 2" xfId="4209" xr:uid="{00000000-0005-0000-0000-000026510000}"/>
    <cellStyle name="Normal 6 6 2 3 2 2" xfId="9141" xr:uid="{00000000-0005-0000-0000-000027510000}"/>
    <cellStyle name="Normal 6 6 2 3 2 2 2" xfId="19001" xr:uid="{00000000-0005-0000-0000-000028510000}"/>
    <cellStyle name="Normal 6 6 2 3 2 2 2 2" xfId="38716" xr:uid="{00000000-0005-0000-0000-000029510000}"/>
    <cellStyle name="Normal 6 6 2 3 2 2 3" xfId="28859" xr:uid="{00000000-0005-0000-0000-00002A510000}"/>
    <cellStyle name="Normal 6 6 2 3 2 3" xfId="14073" xr:uid="{00000000-0005-0000-0000-00002B510000}"/>
    <cellStyle name="Normal 6 6 2 3 2 3 2" xfId="33788" xr:uid="{00000000-0005-0000-0000-00002C510000}"/>
    <cellStyle name="Normal 6 6 2 3 2 4" xfId="23931" xr:uid="{00000000-0005-0000-0000-00002D510000}"/>
    <cellStyle name="Normal 6 6 2 3 3" xfId="6677" xr:uid="{00000000-0005-0000-0000-00002E510000}"/>
    <cellStyle name="Normal 6 6 2 3 3 2" xfId="16537" xr:uid="{00000000-0005-0000-0000-00002F510000}"/>
    <cellStyle name="Normal 6 6 2 3 3 2 2" xfId="36252" xr:uid="{00000000-0005-0000-0000-000030510000}"/>
    <cellStyle name="Normal 6 6 2 3 3 3" xfId="26395" xr:uid="{00000000-0005-0000-0000-000031510000}"/>
    <cellStyle name="Normal 6 6 2 3 4" xfId="11609" xr:uid="{00000000-0005-0000-0000-000032510000}"/>
    <cellStyle name="Normal 6 6 2 3 4 2" xfId="31324" xr:uid="{00000000-0005-0000-0000-000033510000}"/>
    <cellStyle name="Normal 6 6 2 3 5" xfId="21467" xr:uid="{00000000-0005-0000-0000-000034510000}"/>
    <cellStyle name="Normal 6 6 2 4" xfId="2977" xr:uid="{00000000-0005-0000-0000-000035510000}"/>
    <cellStyle name="Normal 6 6 2 4 2" xfId="7909" xr:uid="{00000000-0005-0000-0000-000036510000}"/>
    <cellStyle name="Normal 6 6 2 4 2 2" xfId="17769" xr:uid="{00000000-0005-0000-0000-000037510000}"/>
    <cellStyle name="Normal 6 6 2 4 2 2 2" xfId="37484" xr:uid="{00000000-0005-0000-0000-000038510000}"/>
    <cellStyle name="Normal 6 6 2 4 2 3" xfId="27627" xr:uid="{00000000-0005-0000-0000-000039510000}"/>
    <cellStyle name="Normal 6 6 2 4 3" xfId="12841" xr:uid="{00000000-0005-0000-0000-00003A510000}"/>
    <cellStyle name="Normal 6 6 2 4 3 2" xfId="32556" xr:uid="{00000000-0005-0000-0000-00003B510000}"/>
    <cellStyle name="Normal 6 6 2 4 4" xfId="22699" xr:uid="{00000000-0005-0000-0000-00003C510000}"/>
    <cellStyle name="Normal 6 6 2 5" xfId="5445" xr:uid="{00000000-0005-0000-0000-00003D510000}"/>
    <cellStyle name="Normal 6 6 2 5 2" xfId="15305" xr:uid="{00000000-0005-0000-0000-00003E510000}"/>
    <cellStyle name="Normal 6 6 2 5 2 2" xfId="35020" xr:uid="{00000000-0005-0000-0000-00003F510000}"/>
    <cellStyle name="Normal 6 6 2 5 3" xfId="25163" xr:uid="{00000000-0005-0000-0000-000040510000}"/>
    <cellStyle name="Normal 6 6 2 6" xfId="10377" xr:uid="{00000000-0005-0000-0000-000041510000}"/>
    <cellStyle name="Normal 6 6 2 6 2" xfId="30092" xr:uid="{00000000-0005-0000-0000-000042510000}"/>
    <cellStyle name="Normal 6 6 2 7" xfId="20235" xr:uid="{00000000-0005-0000-0000-000043510000}"/>
    <cellStyle name="Normal 6 6 3" xfId="816" xr:uid="{00000000-0005-0000-0000-000044510000}"/>
    <cellStyle name="Normal 6 6 3 2" xfId="2052" xr:uid="{00000000-0005-0000-0000-000045510000}"/>
    <cellStyle name="Normal 6 6 3 2 2" xfId="4519" xr:uid="{00000000-0005-0000-0000-000046510000}"/>
    <cellStyle name="Normal 6 6 3 2 2 2" xfId="9451" xr:uid="{00000000-0005-0000-0000-000047510000}"/>
    <cellStyle name="Normal 6 6 3 2 2 2 2" xfId="19311" xr:uid="{00000000-0005-0000-0000-000048510000}"/>
    <cellStyle name="Normal 6 6 3 2 2 2 2 2" xfId="39026" xr:uid="{00000000-0005-0000-0000-000049510000}"/>
    <cellStyle name="Normal 6 6 3 2 2 2 3" xfId="29169" xr:uid="{00000000-0005-0000-0000-00004A510000}"/>
    <cellStyle name="Normal 6 6 3 2 2 3" xfId="14383" xr:uid="{00000000-0005-0000-0000-00004B510000}"/>
    <cellStyle name="Normal 6 6 3 2 2 3 2" xfId="34098" xr:uid="{00000000-0005-0000-0000-00004C510000}"/>
    <cellStyle name="Normal 6 6 3 2 2 4" xfId="24241" xr:uid="{00000000-0005-0000-0000-00004D510000}"/>
    <cellStyle name="Normal 6 6 3 2 3" xfId="6987" xr:uid="{00000000-0005-0000-0000-00004E510000}"/>
    <cellStyle name="Normal 6 6 3 2 3 2" xfId="16847" xr:uid="{00000000-0005-0000-0000-00004F510000}"/>
    <cellStyle name="Normal 6 6 3 2 3 2 2" xfId="36562" xr:uid="{00000000-0005-0000-0000-000050510000}"/>
    <cellStyle name="Normal 6 6 3 2 3 3" xfId="26705" xr:uid="{00000000-0005-0000-0000-000051510000}"/>
    <cellStyle name="Normal 6 6 3 2 4" xfId="11919" xr:uid="{00000000-0005-0000-0000-000052510000}"/>
    <cellStyle name="Normal 6 6 3 2 4 2" xfId="31634" xr:uid="{00000000-0005-0000-0000-000053510000}"/>
    <cellStyle name="Normal 6 6 3 2 5" xfId="21777" xr:uid="{00000000-0005-0000-0000-000054510000}"/>
    <cellStyle name="Normal 6 6 3 3" xfId="3287" xr:uid="{00000000-0005-0000-0000-000055510000}"/>
    <cellStyle name="Normal 6 6 3 3 2" xfId="8219" xr:uid="{00000000-0005-0000-0000-000056510000}"/>
    <cellStyle name="Normal 6 6 3 3 2 2" xfId="18079" xr:uid="{00000000-0005-0000-0000-000057510000}"/>
    <cellStyle name="Normal 6 6 3 3 2 2 2" xfId="37794" xr:uid="{00000000-0005-0000-0000-000058510000}"/>
    <cellStyle name="Normal 6 6 3 3 2 3" xfId="27937" xr:uid="{00000000-0005-0000-0000-000059510000}"/>
    <cellStyle name="Normal 6 6 3 3 3" xfId="13151" xr:uid="{00000000-0005-0000-0000-00005A510000}"/>
    <cellStyle name="Normal 6 6 3 3 3 2" xfId="32866" xr:uid="{00000000-0005-0000-0000-00005B510000}"/>
    <cellStyle name="Normal 6 6 3 3 4" xfId="23009" xr:uid="{00000000-0005-0000-0000-00005C510000}"/>
    <cellStyle name="Normal 6 6 3 4" xfId="5755" xr:uid="{00000000-0005-0000-0000-00005D510000}"/>
    <cellStyle name="Normal 6 6 3 4 2" xfId="15615" xr:uid="{00000000-0005-0000-0000-00005E510000}"/>
    <cellStyle name="Normal 6 6 3 4 2 2" xfId="35330" xr:uid="{00000000-0005-0000-0000-00005F510000}"/>
    <cellStyle name="Normal 6 6 3 4 3" xfId="25473" xr:uid="{00000000-0005-0000-0000-000060510000}"/>
    <cellStyle name="Normal 6 6 3 5" xfId="10687" xr:uid="{00000000-0005-0000-0000-000061510000}"/>
    <cellStyle name="Normal 6 6 3 5 2" xfId="30402" xr:uid="{00000000-0005-0000-0000-000062510000}"/>
    <cellStyle name="Normal 6 6 3 6" xfId="20545" xr:uid="{00000000-0005-0000-0000-000063510000}"/>
    <cellStyle name="Normal 6 6 4" xfId="1436" xr:uid="{00000000-0005-0000-0000-000064510000}"/>
    <cellStyle name="Normal 6 6 4 2" xfId="3903" xr:uid="{00000000-0005-0000-0000-000065510000}"/>
    <cellStyle name="Normal 6 6 4 2 2" xfId="8835" xr:uid="{00000000-0005-0000-0000-000066510000}"/>
    <cellStyle name="Normal 6 6 4 2 2 2" xfId="18695" xr:uid="{00000000-0005-0000-0000-000067510000}"/>
    <cellStyle name="Normal 6 6 4 2 2 2 2" xfId="38410" xr:uid="{00000000-0005-0000-0000-000068510000}"/>
    <cellStyle name="Normal 6 6 4 2 2 3" xfId="28553" xr:uid="{00000000-0005-0000-0000-000069510000}"/>
    <cellStyle name="Normal 6 6 4 2 3" xfId="13767" xr:uid="{00000000-0005-0000-0000-00006A510000}"/>
    <cellStyle name="Normal 6 6 4 2 3 2" xfId="33482" xr:uid="{00000000-0005-0000-0000-00006B510000}"/>
    <cellStyle name="Normal 6 6 4 2 4" xfId="23625" xr:uid="{00000000-0005-0000-0000-00006C510000}"/>
    <cellStyle name="Normal 6 6 4 3" xfId="6371" xr:uid="{00000000-0005-0000-0000-00006D510000}"/>
    <cellStyle name="Normal 6 6 4 3 2" xfId="16231" xr:uid="{00000000-0005-0000-0000-00006E510000}"/>
    <cellStyle name="Normal 6 6 4 3 2 2" xfId="35946" xr:uid="{00000000-0005-0000-0000-00006F510000}"/>
    <cellStyle name="Normal 6 6 4 3 3" xfId="26089" xr:uid="{00000000-0005-0000-0000-000070510000}"/>
    <cellStyle name="Normal 6 6 4 4" xfId="11303" xr:uid="{00000000-0005-0000-0000-000071510000}"/>
    <cellStyle name="Normal 6 6 4 4 2" xfId="31018" xr:uid="{00000000-0005-0000-0000-000072510000}"/>
    <cellStyle name="Normal 6 6 4 5" xfId="21161" xr:uid="{00000000-0005-0000-0000-000073510000}"/>
    <cellStyle name="Normal 6 6 5" xfId="2671" xr:uid="{00000000-0005-0000-0000-000074510000}"/>
    <cellStyle name="Normal 6 6 5 2" xfId="7603" xr:uid="{00000000-0005-0000-0000-000075510000}"/>
    <cellStyle name="Normal 6 6 5 2 2" xfId="17463" xr:uid="{00000000-0005-0000-0000-000076510000}"/>
    <cellStyle name="Normal 6 6 5 2 2 2" xfId="37178" xr:uid="{00000000-0005-0000-0000-000077510000}"/>
    <cellStyle name="Normal 6 6 5 2 3" xfId="27321" xr:uid="{00000000-0005-0000-0000-000078510000}"/>
    <cellStyle name="Normal 6 6 5 3" xfId="12535" xr:uid="{00000000-0005-0000-0000-000079510000}"/>
    <cellStyle name="Normal 6 6 5 3 2" xfId="32250" xr:uid="{00000000-0005-0000-0000-00007A510000}"/>
    <cellStyle name="Normal 6 6 5 4" xfId="22393" xr:uid="{00000000-0005-0000-0000-00007B510000}"/>
    <cellStyle name="Normal 6 6 6" xfId="5139" xr:uid="{00000000-0005-0000-0000-00007C510000}"/>
    <cellStyle name="Normal 6 6 6 2" xfId="14999" xr:uid="{00000000-0005-0000-0000-00007D510000}"/>
    <cellStyle name="Normal 6 6 6 2 2" xfId="34714" xr:uid="{00000000-0005-0000-0000-00007E510000}"/>
    <cellStyle name="Normal 6 6 6 3" xfId="24857" xr:uid="{00000000-0005-0000-0000-00007F510000}"/>
    <cellStyle name="Normal 6 6 7" xfId="10071" xr:uid="{00000000-0005-0000-0000-000080510000}"/>
    <cellStyle name="Normal 6 6 7 2" xfId="29786" xr:uid="{00000000-0005-0000-0000-000081510000}"/>
    <cellStyle name="Normal 6 6 8" xfId="19929" xr:uid="{00000000-0005-0000-0000-000082510000}"/>
    <cellStyle name="Normal 6 7" xfId="350" xr:uid="{00000000-0005-0000-0000-000083510000}"/>
    <cellStyle name="Normal 6 7 2" xfId="971" xr:uid="{00000000-0005-0000-0000-000084510000}"/>
    <cellStyle name="Normal 6 7 2 2" xfId="2206" xr:uid="{00000000-0005-0000-0000-000085510000}"/>
    <cellStyle name="Normal 6 7 2 2 2" xfId="4673" xr:uid="{00000000-0005-0000-0000-000086510000}"/>
    <cellStyle name="Normal 6 7 2 2 2 2" xfId="9605" xr:uid="{00000000-0005-0000-0000-000087510000}"/>
    <cellStyle name="Normal 6 7 2 2 2 2 2" xfId="19465" xr:uid="{00000000-0005-0000-0000-000088510000}"/>
    <cellStyle name="Normal 6 7 2 2 2 2 2 2" xfId="39180" xr:uid="{00000000-0005-0000-0000-000089510000}"/>
    <cellStyle name="Normal 6 7 2 2 2 2 3" xfId="29323" xr:uid="{00000000-0005-0000-0000-00008A510000}"/>
    <cellStyle name="Normal 6 7 2 2 2 3" xfId="14537" xr:uid="{00000000-0005-0000-0000-00008B510000}"/>
    <cellStyle name="Normal 6 7 2 2 2 3 2" xfId="34252" xr:uid="{00000000-0005-0000-0000-00008C510000}"/>
    <cellStyle name="Normal 6 7 2 2 2 4" xfId="24395" xr:uid="{00000000-0005-0000-0000-00008D510000}"/>
    <cellStyle name="Normal 6 7 2 2 3" xfId="7141" xr:uid="{00000000-0005-0000-0000-00008E510000}"/>
    <cellStyle name="Normal 6 7 2 2 3 2" xfId="17001" xr:uid="{00000000-0005-0000-0000-00008F510000}"/>
    <cellStyle name="Normal 6 7 2 2 3 2 2" xfId="36716" xr:uid="{00000000-0005-0000-0000-000090510000}"/>
    <cellStyle name="Normal 6 7 2 2 3 3" xfId="26859" xr:uid="{00000000-0005-0000-0000-000091510000}"/>
    <cellStyle name="Normal 6 7 2 2 4" xfId="12073" xr:uid="{00000000-0005-0000-0000-000092510000}"/>
    <cellStyle name="Normal 6 7 2 2 4 2" xfId="31788" xr:uid="{00000000-0005-0000-0000-000093510000}"/>
    <cellStyle name="Normal 6 7 2 2 5" xfId="21931" xr:uid="{00000000-0005-0000-0000-000094510000}"/>
    <cellStyle name="Normal 6 7 2 3" xfId="3441" xr:uid="{00000000-0005-0000-0000-000095510000}"/>
    <cellStyle name="Normal 6 7 2 3 2" xfId="8373" xr:uid="{00000000-0005-0000-0000-000096510000}"/>
    <cellStyle name="Normal 6 7 2 3 2 2" xfId="18233" xr:uid="{00000000-0005-0000-0000-000097510000}"/>
    <cellStyle name="Normal 6 7 2 3 2 2 2" xfId="37948" xr:uid="{00000000-0005-0000-0000-000098510000}"/>
    <cellStyle name="Normal 6 7 2 3 2 3" xfId="28091" xr:uid="{00000000-0005-0000-0000-000099510000}"/>
    <cellStyle name="Normal 6 7 2 3 3" xfId="13305" xr:uid="{00000000-0005-0000-0000-00009A510000}"/>
    <cellStyle name="Normal 6 7 2 3 3 2" xfId="33020" xr:uid="{00000000-0005-0000-0000-00009B510000}"/>
    <cellStyle name="Normal 6 7 2 3 4" xfId="23163" xr:uid="{00000000-0005-0000-0000-00009C510000}"/>
    <cellStyle name="Normal 6 7 2 4" xfId="5909" xr:uid="{00000000-0005-0000-0000-00009D510000}"/>
    <cellStyle name="Normal 6 7 2 4 2" xfId="15769" xr:uid="{00000000-0005-0000-0000-00009E510000}"/>
    <cellStyle name="Normal 6 7 2 4 2 2" xfId="35484" xr:uid="{00000000-0005-0000-0000-00009F510000}"/>
    <cellStyle name="Normal 6 7 2 4 3" xfId="25627" xr:uid="{00000000-0005-0000-0000-0000A0510000}"/>
    <cellStyle name="Normal 6 7 2 5" xfId="10841" xr:uid="{00000000-0005-0000-0000-0000A1510000}"/>
    <cellStyle name="Normal 6 7 2 5 2" xfId="30556" xr:uid="{00000000-0005-0000-0000-0000A2510000}"/>
    <cellStyle name="Normal 6 7 2 6" xfId="20699" xr:uid="{00000000-0005-0000-0000-0000A3510000}"/>
    <cellStyle name="Normal 6 7 3" xfId="1590" xr:uid="{00000000-0005-0000-0000-0000A4510000}"/>
    <cellStyle name="Normal 6 7 3 2" xfId="4057" xr:uid="{00000000-0005-0000-0000-0000A5510000}"/>
    <cellStyle name="Normal 6 7 3 2 2" xfId="8989" xr:uid="{00000000-0005-0000-0000-0000A6510000}"/>
    <cellStyle name="Normal 6 7 3 2 2 2" xfId="18849" xr:uid="{00000000-0005-0000-0000-0000A7510000}"/>
    <cellStyle name="Normal 6 7 3 2 2 2 2" xfId="38564" xr:uid="{00000000-0005-0000-0000-0000A8510000}"/>
    <cellStyle name="Normal 6 7 3 2 2 3" xfId="28707" xr:uid="{00000000-0005-0000-0000-0000A9510000}"/>
    <cellStyle name="Normal 6 7 3 2 3" xfId="13921" xr:uid="{00000000-0005-0000-0000-0000AA510000}"/>
    <cellStyle name="Normal 6 7 3 2 3 2" xfId="33636" xr:uid="{00000000-0005-0000-0000-0000AB510000}"/>
    <cellStyle name="Normal 6 7 3 2 4" xfId="23779" xr:uid="{00000000-0005-0000-0000-0000AC510000}"/>
    <cellStyle name="Normal 6 7 3 3" xfId="6525" xr:uid="{00000000-0005-0000-0000-0000AD510000}"/>
    <cellStyle name="Normal 6 7 3 3 2" xfId="16385" xr:uid="{00000000-0005-0000-0000-0000AE510000}"/>
    <cellStyle name="Normal 6 7 3 3 2 2" xfId="36100" xr:uid="{00000000-0005-0000-0000-0000AF510000}"/>
    <cellStyle name="Normal 6 7 3 3 3" xfId="26243" xr:uid="{00000000-0005-0000-0000-0000B0510000}"/>
    <cellStyle name="Normal 6 7 3 4" xfId="11457" xr:uid="{00000000-0005-0000-0000-0000B1510000}"/>
    <cellStyle name="Normal 6 7 3 4 2" xfId="31172" xr:uid="{00000000-0005-0000-0000-0000B2510000}"/>
    <cellStyle name="Normal 6 7 3 5" xfId="21315" xr:uid="{00000000-0005-0000-0000-0000B3510000}"/>
    <cellStyle name="Normal 6 7 4" xfId="2825" xr:uid="{00000000-0005-0000-0000-0000B4510000}"/>
    <cellStyle name="Normal 6 7 4 2" xfId="7757" xr:uid="{00000000-0005-0000-0000-0000B5510000}"/>
    <cellStyle name="Normal 6 7 4 2 2" xfId="17617" xr:uid="{00000000-0005-0000-0000-0000B6510000}"/>
    <cellStyle name="Normal 6 7 4 2 2 2" xfId="37332" xr:uid="{00000000-0005-0000-0000-0000B7510000}"/>
    <cellStyle name="Normal 6 7 4 2 3" xfId="27475" xr:uid="{00000000-0005-0000-0000-0000B8510000}"/>
    <cellStyle name="Normal 6 7 4 3" xfId="12689" xr:uid="{00000000-0005-0000-0000-0000B9510000}"/>
    <cellStyle name="Normal 6 7 4 3 2" xfId="32404" xr:uid="{00000000-0005-0000-0000-0000BA510000}"/>
    <cellStyle name="Normal 6 7 4 4" xfId="22547" xr:uid="{00000000-0005-0000-0000-0000BB510000}"/>
    <cellStyle name="Normal 6 7 5" xfId="5293" xr:uid="{00000000-0005-0000-0000-0000BC510000}"/>
    <cellStyle name="Normal 6 7 5 2" xfId="15153" xr:uid="{00000000-0005-0000-0000-0000BD510000}"/>
    <cellStyle name="Normal 6 7 5 2 2" xfId="34868" xr:uid="{00000000-0005-0000-0000-0000BE510000}"/>
    <cellStyle name="Normal 6 7 5 3" xfId="25011" xr:uid="{00000000-0005-0000-0000-0000BF510000}"/>
    <cellStyle name="Normal 6 7 6" xfId="10225" xr:uid="{00000000-0005-0000-0000-0000C0510000}"/>
    <cellStyle name="Normal 6 7 6 2" xfId="29940" xr:uid="{00000000-0005-0000-0000-0000C1510000}"/>
    <cellStyle name="Normal 6 7 7" xfId="20083" xr:uid="{00000000-0005-0000-0000-0000C2510000}"/>
    <cellStyle name="Normal 6 8" xfId="663" xr:uid="{00000000-0005-0000-0000-0000C3510000}"/>
    <cellStyle name="Normal 6 8 2" xfId="1900" xr:uid="{00000000-0005-0000-0000-0000C4510000}"/>
    <cellStyle name="Normal 6 8 2 2" xfId="4367" xr:uid="{00000000-0005-0000-0000-0000C5510000}"/>
    <cellStyle name="Normal 6 8 2 2 2" xfId="9299" xr:uid="{00000000-0005-0000-0000-0000C6510000}"/>
    <cellStyle name="Normal 6 8 2 2 2 2" xfId="19159" xr:uid="{00000000-0005-0000-0000-0000C7510000}"/>
    <cellStyle name="Normal 6 8 2 2 2 2 2" xfId="38874" xr:uid="{00000000-0005-0000-0000-0000C8510000}"/>
    <cellStyle name="Normal 6 8 2 2 2 3" xfId="29017" xr:uid="{00000000-0005-0000-0000-0000C9510000}"/>
    <cellStyle name="Normal 6 8 2 2 3" xfId="14231" xr:uid="{00000000-0005-0000-0000-0000CA510000}"/>
    <cellStyle name="Normal 6 8 2 2 3 2" xfId="33946" xr:uid="{00000000-0005-0000-0000-0000CB510000}"/>
    <cellStyle name="Normal 6 8 2 2 4" xfId="24089" xr:uid="{00000000-0005-0000-0000-0000CC510000}"/>
    <cellStyle name="Normal 6 8 2 3" xfId="6835" xr:uid="{00000000-0005-0000-0000-0000CD510000}"/>
    <cellStyle name="Normal 6 8 2 3 2" xfId="16695" xr:uid="{00000000-0005-0000-0000-0000CE510000}"/>
    <cellStyle name="Normal 6 8 2 3 2 2" xfId="36410" xr:uid="{00000000-0005-0000-0000-0000CF510000}"/>
    <cellStyle name="Normal 6 8 2 3 3" xfId="26553" xr:uid="{00000000-0005-0000-0000-0000D0510000}"/>
    <cellStyle name="Normal 6 8 2 4" xfId="11767" xr:uid="{00000000-0005-0000-0000-0000D1510000}"/>
    <cellStyle name="Normal 6 8 2 4 2" xfId="31482" xr:uid="{00000000-0005-0000-0000-0000D2510000}"/>
    <cellStyle name="Normal 6 8 2 5" xfId="21625" xr:uid="{00000000-0005-0000-0000-0000D3510000}"/>
    <cellStyle name="Normal 6 8 3" xfId="3135" xr:uid="{00000000-0005-0000-0000-0000D4510000}"/>
    <cellStyle name="Normal 6 8 3 2" xfId="8067" xr:uid="{00000000-0005-0000-0000-0000D5510000}"/>
    <cellStyle name="Normal 6 8 3 2 2" xfId="17927" xr:uid="{00000000-0005-0000-0000-0000D6510000}"/>
    <cellStyle name="Normal 6 8 3 2 2 2" xfId="37642" xr:uid="{00000000-0005-0000-0000-0000D7510000}"/>
    <cellStyle name="Normal 6 8 3 2 3" xfId="27785" xr:uid="{00000000-0005-0000-0000-0000D8510000}"/>
    <cellStyle name="Normal 6 8 3 3" xfId="12999" xr:uid="{00000000-0005-0000-0000-0000D9510000}"/>
    <cellStyle name="Normal 6 8 3 3 2" xfId="32714" xr:uid="{00000000-0005-0000-0000-0000DA510000}"/>
    <cellStyle name="Normal 6 8 3 4" xfId="22857" xr:uid="{00000000-0005-0000-0000-0000DB510000}"/>
    <cellStyle name="Normal 6 8 4" xfId="5603" xr:uid="{00000000-0005-0000-0000-0000DC510000}"/>
    <cellStyle name="Normal 6 8 4 2" xfId="15463" xr:uid="{00000000-0005-0000-0000-0000DD510000}"/>
    <cellStyle name="Normal 6 8 4 2 2" xfId="35178" xr:uid="{00000000-0005-0000-0000-0000DE510000}"/>
    <cellStyle name="Normal 6 8 4 3" xfId="25321" xr:uid="{00000000-0005-0000-0000-0000DF510000}"/>
    <cellStyle name="Normal 6 8 5" xfId="10535" xr:uid="{00000000-0005-0000-0000-0000E0510000}"/>
    <cellStyle name="Normal 6 8 5 2" xfId="30250" xr:uid="{00000000-0005-0000-0000-0000E1510000}"/>
    <cellStyle name="Normal 6 8 6" xfId="20393" xr:uid="{00000000-0005-0000-0000-0000E2510000}"/>
    <cellStyle name="Normal 6 9" xfId="1283" xr:uid="{00000000-0005-0000-0000-0000E3510000}"/>
    <cellStyle name="Normal 6 9 2" xfId="3751" xr:uid="{00000000-0005-0000-0000-0000E4510000}"/>
    <cellStyle name="Normal 6 9 2 2" xfId="8683" xr:uid="{00000000-0005-0000-0000-0000E5510000}"/>
    <cellStyle name="Normal 6 9 2 2 2" xfId="18543" xr:uid="{00000000-0005-0000-0000-0000E6510000}"/>
    <cellStyle name="Normal 6 9 2 2 2 2" xfId="38258" xr:uid="{00000000-0005-0000-0000-0000E7510000}"/>
    <cellStyle name="Normal 6 9 2 2 3" xfId="28401" xr:uid="{00000000-0005-0000-0000-0000E8510000}"/>
    <cellStyle name="Normal 6 9 2 3" xfId="13615" xr:uid="{00000000-0005-0000-0000-0000E9510000}"/>
    <cellStyle name="Normal 6 9 2 3 2" xfId="33330" xr:uid="{00000000-0005-0000-0000-0000EA510000}"/>
    <cellStyle name="Normal 6 9 2 4" xfId="23473" xr:uid="{00000000-0005-0000-0000-0000EB510000}"/>
    <cellStyle name="Normal 6 9 3" xfId="6219" xr:uid="{00000000-0005-0000-0000-0000EC510000}"/>
    <cellStyle name="Normal 6 9 3 2" xfId="16079" xr:uid="{00000000-0005-0000-0000-0000ED510000}"/>
    <cellStyle name="Normal 6 9 3 2 2" xfId="35794" xr:uid="{00000000-0005-0000-0000-0000EE510000}"/>
    <cellStyle name="Normal 6 9 3 3" xfId="25937" xr:uid="{00000000-0005-0000-0000-0000EF510000}"/>
    <cellStyle name="Normal 6 9 4" xfId="11151" xr:uid="{00000000-0005-0000-0000-0000F0510000}"/>
    <cellStyle name="Normal 6 9 4 2" xfId="30866" xr:uid="{00000000-0005-0000-0000-0000F1510000}"/>
    <cellStyle name="Normal 6 9 5" xfId="21009" xr:uid="{00000000-0005-0000-0000-0000F2510000}"/>
    <cellStyle name="Normal 7" xfId="15" xr:uid="{00000000-0005-0000-0000-0000F3510000}"/>
    <cellStyle name="Normal 7 10" xfId="2522" xr:uid="{00000000-0005-0000-0000-0000F4510000}"/>
    <cellStyle name="Normal 7 10 2" xfId="7454" xr:uid="{00000000-0005-0000-0000-0000F5510000}"/>
    <cellStyle name="Normal 7 10 2 2" xfId="17314" xr:uid="{00000000-0005-0000-0000-0000F6510000}"/>
    <cellStyle name="Normal 7 10 2 2 2" xfId="37029" xr:uid="{00000000-0005-0000-0000-0000F7510000}"/>
    <cellStyle name="Normal 7 10 2 3" xfId="27172" xr:uid="{00000000-0005-0000-0000-0000F8510000}"/>
    <cellStyle name="Normal 7 10 3" xfId="12386" xr:uid="{00000000-0005-0000-0000-0000F9510000}"/>
    <cellStyle name="Normal 7 10 3 2" xfId="32101" xr:uid="{00000000-0005-0000-0000-0000FA510000}"/>
    <cellStyle name="Normal 7 10 4" xfId="22244" xr:uid="{00000000-0005-0000-0000-0000FB510000}"/>
    <cellStyle name="Normal 7 11" xfId="4990" xr:uid="{00000000-0005-0000-0000-0000FC510000}"/>
    <cellStyle name="Normal 7 11 2" xfId="14850" xr:uid="{00000000-0005-0000-0000-0000FD510000}"/>
    <cellStyle name="Normal 7 11 2 2" xfId="34565" xr:uid="{00000000-0005-0000-0000-0000FE510000}"/>
    <cellStyle name="Normal 7 11 3" xfId="24708" xr:uid="{00000000-0005-0000-0000-0000FF510000}"/>
    <cellStyle name="Normal 7 12" xfId="9922" xr:uid="{00000000-0005-0000-0000-000000520000}"/>
    <cellStyle name="Normal 7 12 2" xfId="29637" xr:uid="{00000000-0005-0000-0000-000001520000}"/>
    <cellStyle name="Normal 7 13" xfId="19780" xr:uid="{00000000-0005-0000-0000-000002520000}"/>
    <cellStyle name="Normal 7 2" xfId="29" xr:uid="{00000000-0005-0000-0000-000003520000}"/>
    <cellStyle name="Normal 7 2 10" xfId="4999" xr:uid="{00000000-0005-0000-0000-000004520000}"/>
    <cellStyle name="Normal 7 2 10 2" xfId="14859" xr:uid="{00000000-0005-0000-0000-000005520000}"/>
    <cellStyle name="Normal 7 2 10 2 2" xfId="34574" xr:uid="{00000000-0005-0000-0000-000006520000}"/>
    <cellStyle name="Normal 7 2 10 3" xfId="24717" xr:uid="{00000000-0005-0000-0000-000007520000}"/>
    <cellStyle name="Normal 7 2 11" xfId="9931" xr:uid="{00000000-0005-0000-0000-000008520000}"/>
    <cellStyle name="Normal 7 2 11 2" xfId="29646" xr:uid="{00000000-0005-0000-0000-000009520000}"/>
    <cellStyle name="Normal 7 2 12" xfId="19789" xr:uid="{00000000-0005-0000-0000-00000A520000}"/>
    <cellStyle name="Normal 7 2 2" xfId="53" xr:uid="{00000000-0005-0000-0000-00000B520000}"/>
    <cellStyle name="Normal 7 2 2 10" xfId="9950" xr:uid="{00000000-0005-0000-0000-00000C520000}"/>
    <cellStyle name="Normal 7 2 2 10 2" xfId="29665" xr:uid="{00000000-0005-0000-0000-00000D520000}"/>
    <cellStyle name="Normal 7 2 2 11" xfId="19808" xr:uid="{00000000-0005-0000-0000-00000E520000}"/>
    <cellStyle name="Normal 7 2 2 2" xfId="96" xr:uid="{00000000-0005-0000-0000-00000F520000}"/>
    <cellStyle name="Normal 7 2 2 2 10" xfId="19846" xr:uid="{00000000-0005-0000-0000-000010520000}"/>
    <cellStyle name="Normal 7 2 2 2 2" xfId="177" xr:uid="{00000000-0005-0000-0000-000011520000}"/>
    <cellStyle name="Normal 7 2 2 2 2 2" xfId="334" xr:uid="{00000000-0005-0000-0000-000012520000}"/>
    <cellStyle name="Normal 7 2 2 2 2 2 2" xfId="648" xr:uid="{00000000-0005-0000-0000-000013520000}"/>
    <cellStyle name="Normal 7 2 2 2 2 2 2 2" xfId="1268" xr:uid="{00000000-0005-0000-0000-000014520000}"/>
    <cellStyle name="Normal 7 2 2 2 2 2 2 2 2" xfId="2503" xr:uid="{00000000-0005-0000-0000-000015520000}"/>
    <cellStyle name="Normal 7 2 2 2 2 2 2 2 2 2" xfId="4970" xr:uid="{00000000-0005-0000-0000-000016520000}"/>
    <cellStyle name="Normal 7 2 2 2 2 2 2 2 2 2 2" xfId="9902" xr:uid="{00000000-0005-0000-0000-000017520000}"/>
    <cellStyle name="Normal 7 2 2 2 2 2 2 2 2 2 2 2" xfId="19762" xr:uid="{00000000-0005-0000-0000-000018520000}"/>
    <cellStyle name="Normal 7 2 2 2 2 2 2 2 2 2 2 2 2" xfId="39477" xr:uid="{00000000-0005-0000-0000-000019520000}"/>
    <cellStyle name="Normal 7 2 2 2 2 2 2 2 2 2 2 3" xfId="29620" xr:uid="{00000000-0005-0000-0000-00001A520000}"/>
    <cellStyle name="Normal 7 2 2 2 2 2 2 2 2 2 3" xfId="14834" xr:uid="{00000000-0005-0000-0000-00001B520000}"/>
    <cellStyle name="Normal 7 2 2 2 2 2 2 2 2 2 3 2" xfId="34549" xr:uid="{00000000-0005-0000-0000-00001C520000}"/>
    <cellStyle name="Normal 7 2 2 2 2 2 2 2 2 2 4" xfId="24692" xr:uid="{00000000-0005-0000-0000-00001D520000}"/>
    <cellStyle name="Normal 7 2 2 2 2 2 2 2 2 3" xfId="7438" xr:uid="{00000000-0005-0000-0000-00001E520000}"/>
    <cellStyle name="Normal 7 2 2 2 2 2 2 2 2 3 2" xfId="17298" xr:uid="{00000000-0005-0000-0000-00001F520000}"/>
    <cellStyle name="Normal 7 2 2 2 2 2 2 2 2 3 2 2" xfId="37013" xr:uid="{00000000-0005-0000-0000-000020520000}"/>
    <cellStyle name="Normal 7 2 2 2 2 2 2 2 2 3 3" xfId="27156" xr:uid="{00000000-0005-0000-0000-000021520000}"/>
    <cellStyle name="Normal 7 2 2 2 2 2 2 2 2 4" xfId="12370" xr:uid="{00000000-0005-0000-0000-000022520000}"/>
    <cellStyle name="Normal 7 2 2 2 2 2 2 2 2 4 2" xfId="32085" xr:uid="{00000000-0005-0000-0000-000023520000}"/>
    <cellStyle name="Normal 7 2 2 2 2 2 2 2 2 5" xfId="22228" xr:uid="{00000000-0005-0000-0000-000024520000}"/>
    <cellStyle name="Normal 7 2 2 2 2 2 2 2 3" xfId="3738" xr:uid="{00000000-0005-0000-0000-000025520000}"/>
    <cellStyle name="Normal 7 2 2 2 2 2 2 2 3 2" xfId="8670" xr:uid="{00000000-0005-0000-0000-000026520000}"/>
    <cellStyle name="Normal 7 2 2 2 2 2 2 2 3 2 2" xfId="18530" xr:uid="{00000000-0005-0000-0000-000027520000}"/>
    <cellStyle name="Normal 7 2 2 2 2 2 2 2 3 2 2 2" xfId="38245" xr:uid="{00000000-0005-0000-0000-000028520000}"/>
    <cellStyle name="Normal 7 2 2 2 2 2 2 2 3 2 3" xfId="28388" xr:uid="{00000000-0005-0000-0000-000029520000}"/>
    <cellStyle name="Normal 7 2 2 2 2 2 2 2 3 3" xfId="13602" xr:uid="{00000000-0005-0000-0000-00002A520000}"/>
    <cellStyle name="Normal 7 2 2 2 2 2 2 2 3 3 2" xfId="33317" xr:uid="{00000000-0005-0000-0000-00002B520000}"/>
    <cellStyle name="Normal 7 2 2 2 2 2 2 2 3 4" xfId="23460" xr:uid="{00000000-0005-0000-0000-00002C520000}"/>
    <cellStyle name="Normal 7 2 2 2 2 2 2 2 4" xfId="6206" xr:uid="{00000000-0005-0000-0000-00002D520000}"/>
    <cellStyle name="Normal 7 2 2 2 2 2 2 2 4 2" xfId="16066" xr:uid="{00000000-0005-0000-0000-00002E520000}"/>
    <cellStyle name="Normal 7 2 2 2 2 2 2 2 4 2 2" xfId="35781" xr:uid="{00000000-0005-0000-0000-00002F520000}"/>
    <cellStyle name="Normal 7 2 2 2 2 2 2 2 4 3" xfId="25924" xr:uid="{00000000-0005-0000-0000-000030520000}"/>
    <cellStyle name="Normal 7 2 2 2 2 2 2 2 5" xfId="11138" xr:uid="{00000000-0005-0000-0000-000031520000}"/>
    <cellStyle name="Normal 7 2 2 2 2 2 2 2 5 2" xfId="30853" xr:uid="{00000000-0005-0000-0000-000032520000}"/>
    <cellStyle name="Normal 7 2 2 2 2 2 2 2 6" xfId="20996" xr:uid="{00000000-0005-0000-0000-000033520000}"/>
    <cellStyle name="Normal 7 2 2 2 2 2 2 3" xfId="1887" xr:uid="{00000000-0005-0000-0000-000034520000}"/>
    <cellStyle name="Normal 7 2 2 2 2 2 2 3 2" xfId="4354" xr:uid="{00000000-0005-0000-0000-000035520000}"/>
    <cellStyle name="Normal 7 2 2 2 2 2 2 3 2 2" xfId="9286" xr:uid="{00000000-0005-0000-0000-000036520000}"/>
    <cellStyle name="Normal 7 2 2 2 2 2 2 3 2 2 2" xfId="19146" xr:uid="{00000000-0005-0000-0000-000037520000}"/>
    <cellStyle name="Normal 7 2 2 2 2 2 2 3 2 2 2 2" xfId="38861" xr:uid="{00000000-0005-0000-0000-000038520000}"/>
    <cellStyle name="Normal 7 2 2 2 2 2 2 3 2 2 3" xfId="29004" xr:uid="{00000000-0005-0000-0000-000039520000}"/>
    <cellStyle name="Normal 7 2 2 2 2 2 2 3 2 3" xfId="14218" xr:uid="{00000000-0005-0000-0000-00003A520000}"/>
    <cellStyle name="Normal 7 2 2 2 2 2 2 3 2 3 2" xfId="33933" xr:uid="{00000000-0005-0000-0000-00003B520000}"/>
    <cellStyle name="Normal 7 2 2 2 2 2 2 3 2 4" xfId="24076" xr:uid="{00000000-0005-0000-0000-00003C520000}"/>
    <cellStyle name="Normal 7 2 2 2 2 2 2 3 3" xfId="6822" xr:uid="{00000000-0005-0000-0000-00003D520000}"/>
    <cellStyle name="Normal 7 2 2 2 2 2 2 3 3 2" xfId="16682" xr:uid="{00000000-0005-0000-0000-00003E520000}"/>
    <cellStyle name="Normal 7 2 2 2 2 2 2 3 3 2 2" xfId="36397" xr:uid="{00000000-0005-0000-0000-00003F520000}"/>
    <cellStyle name="Normal 7 2 2 2 2 2 2 3 3 3" xfId="26540" xr:uid="{00000000-0005-0000-0000-000040520000}"/>
    <cellStyle name="Normal 7 2 2 2 2 2 2 3 4" xfId="11754" xr:uid="{00000000-0005-0000-0000-000041520000}"/>
    <cellStyle name="Normal 7 2 2 2 2 2 2 3 4 2" xfId="31469" xr:uid="{00000000-0005-0000-0000-000042520000}"/>
    <cellStyle name="Normal 7 2 2 2 2 2 2 3 5" xfId="21612" xr:uid="{00000000-0005-0000-0000-000043520000}"/>
    <cellStyle name="Normal 7 2 2 2 2 2 2 4" xfId="3122" xr:uid="{00000000-0005-0000-0000-000044520000}"/>
    <cellStyle name="Normal 7 2 2 2 2 2 2 4 2" xfId="8054" xr:uid="{00000000-0005-0000-0000-000045520000}"/>
    <cellStyle name="Normal 7 2 2 2 2 2 2 4 2 2" xfId="17914" xr:uid="{00000000-0005-0000-0000-000046520000}"/>
    <cellStyle name="Normal 7 2 2 2 2 2 2 4 2 2 2" xfId="37629" xr:uid="{00000000-0005-0000-0000-000047520000}"/>
    <cellStyle name="Normal 7 2 2 2 2 2 2 4 2 3" xfId="27772" xr:uid="{00000000-0005-0000-0000-000048520000}"/>
    <cellStyle name="Normal 7 2 2 2 2 2 2 4 3" xfId="12986" xr:uid="{00000000-0005-0000-0000-000049520000}"/>
    <cellStyle name="Normal 7 2 2 2 2 2 2 4 3 2" xfId="32701" xr:uid="{00000000-0005-0000-0000-00004A520000}"/>
    <cellStyle name="Normal 7 2 2 2 2 2 2 4 4" xfId="22844" xr:uid="{00000000-0005-0000-0000-00004B520000}"/>
    <cellStyle name="Normal 7 2 2 2 2 2 2 5" xfId="5590" xr:uid="{00000000-0005-0000-0000-00004C520000}"/>
    <cellStyle name="Normal 7 2 2 2 2 2 2 5 2" xfId="15450" xr:uid="{00000000-0005-0000-0000-00004D520000}"/>
    <cellStyle name="Normal 7 2 2 2 2 2 2 5 2 2" xfId="35165" xr:uid="{00000000-0005-0000-0000-00004E520000}"/>
    <cellStyle name="Normal 7 2 2 2 2 2 2 5 3" xfId="25308" xr:uid="{00000000-0005-0000-0000-00004F520000}"/>
    <cellStyle name="Normal 7 2 2 2 2 2 2 6" xfId="10522" xr:uid="{00000000-0005-0000-0000-000050520000}"/>
    <cellStyle name="Normal 7 2 2 2 2 2 2 6 2" xfId="30237" xr:uid="{00000000-0005-0000-0000-000051520000}"/>
    <cellStyle name="Normal 7 2 2 2 2 2 2 7" xfId="20380" xr:uid="{00000000-0005-0000-0000-000052520000}"/>
    <cellStyle name="Normal 7 2 2 2 2 2 3" xfId="961" xr:uid="{00000000-0005-0000-0000-000053520000}"/>
    <cellStyle name="Normal 7 2 2 2 2 2 3 2" xfId="2197" xr:uid="{00000000-0005-0000-0000-000054520000}"/>
    <cellStyle name="Normal 7 2 2 2 2 2 3 2 2" xfId="4664" xr:uid="{00000000-0005-0000-0000-000055520000}"/>
    <cellStyle name="Normal 7 2 2 2 2 2 3 2 2 2" xfId="9596" xr:uid="{00000000-0005-0000-0000-000056520000}"/>
    <cellStyle name="Normal 7 2 2 2 2 2 3 2 2 2 2" xfId="19456" xr:uid="{00000000-0005-0000-0000-000057520000}"/>
    <cellStyle name="Normal 7 2 2 2 2 2 3 2 2 2 2 2" xfId="39171" xr:uid="{00000000-0005-0000-0000-000058520000}"/>
    <cellStyle name="Normal 7 2 2 2 2 2 3 2 2 2 3" xfId="29314" xr:uid="{00000000-0005-0000-0000-000059520000}"/>
    <cellStyle name="Normal 7 2 2 2 2 2 3 2 2 3" xfId="14528" xr:uid="{00000000-0005-0000-0000-00005A520000}"/>
    <cellStyle name="Normal 7 2 2 2 2 2 3 2 2 3 2" xfId="34243" xr:uid="{00000000-0005-0000-0000-00005B520000}"/>
    <cellStyle name="Normal 7 2 2 2 2 2 3 2 2 4" xfId="24386" xr:uid="{00000000-0005-0000-0000-00005C520000}"/>
    <cellStyle name="Normal 7 2 2 2 2 2 3 2 3" xfId="7132" xr:uid="{00000000-0005-0000-0000-00005D520000}"/>
    <cellStyle name="Normal 7 2 2 2 2 2 3 2 3 2" xfId="16992" xr:uid="{00000000-0005-0000-0000-00005E520000}"/>
    <cellStyle name="Normal 7 2 2 2 2 2 3 2 3 2 2" xfId="36707" xr:uid="{00000000-0005-0000-0000-00005F520000}"/>
    <cellStyle name="Normal 7 2 2 2 2 2 3 2 3 3" xfId="26850" xr:uid="{00000000-0005-0000-0000-000060520000}"/>
    <cellStyle name="Normal 7 2 2 2 2 2 3 2 4" xfId="12064" xr:uid="{00000000-0005-0000-0000-000061520000}"/>
    <cellStyle name="Normal 7 2 2 2 2 2 3 2 4 2" xfId="31779" xr:uid="{00000000-0005-0000-0000-000062520000}"/>
    <cellStyle name="Normal 7 2 2 2 2 2 3 2 5" xfId="21922" xr:uid="{00000000-0005-0000-0000-000063520000}"/>
    <cellStyle name="Normal 7 2 2 2 2 2 3 3" xfId="3432" xr:uid="{00000000-0005-0000-0000-000064520000}"/>
    <cellStyle name="Normal 7 2 2 2 2 2 3 3 2" xfId="8364" xr:uid="{00000000-0005-0000-0000-000065520000}"/>
    <cellStyle name="Normal 7 2 2 2 2 2 3 3 2 2" xfId="18224" xr:uid="{00000000-0005-0000-0000-000066520000}"/>
    <cellStyle name="Normal 7 2 2 2 2 2 3 3 2 2 2" xfId="37939" xr:uid="{00000000-0005-0000-0000-000067520000}"/>
    <cellStyle name="Normal 7 2 2 2 2 2 3 3 2 3" xfId="28082" xr:uid="{00000000-0005-0000-0000-000068520000}"/>
    <cellStyle name="Normal 7 2 2 2 2 2 3 3 3" xfId="13296" xr:uid="{00000000-0005-0000-0000-000069520000}"/>
    <cellStyle name="Normal 7 2 2 2 2 2 3 3 3 2" xfId="33011" xr:uid="{00000000-0005-0000-0000-00006A520000}"/>
    <cellStyle name="Normal 7 2 2 2 2 2 3 3 4" xfId="23154" xr:uid="{00000000-0005-0000-0000-00006B520000}"/>
    <cellStyle name="Normal 7 2 2 2 2 2 3 4" xfId="5900" xr:uid="{00000000-0005-0000-0000-00006C520000}"/>
    <cellStyle name="Normal 7 2 2 2 2 2 3 4 2" xfId="15760" xr:uid="{00000000-0005-0000-0000-00006D520000}"/>
    <cellStyle name="Normal 7 2 2 2 2 2 3 4 2 2" xfId="35475" xr:uid="{00000000-0005-0000-0000-00006E520000}"/>
    <cellStyle name="Normal 7 2 2 2 2 2 3 4 3" xfId="25618" xr:uid="{00000000-0005-0000-0000-00006F520000}"/>
    <cellStyle name="Normal 7 2 2 2 2 2 3 5" xfId="10832" xr:uid="{00000000-0005-0000-0000-000070520000}"/>
    <cellStyle name="Normal 7 2 2 2 2 2 3 5 2" xfId="30547" xr:uid="{00000000-0005-0000-0000-000071520000}"/>
    <cellStyle name="Normal 7 2 2 2 2 2 3 6" xfId="20690" xr:uid="{00000000-0005-0000-0000-000072520000}"/>
    <cellStyle name="Normal 7 2 2 2 2 2 4" xfId="1581" xr:uid="{00000000-0005-0000-0000-000073520000}"/>
    <cellStyle name="Normal 7 2 2 2 2 2 4 2" xfId="4048" xr:uid="{00000000-0005-0000-0000-000074520000}"/>
    <cellStyle name="Normal 7 2 2 2 2 2 4 2 2" xfId="8980" xr:uid="{00000000-0005-0000-0000-000075520000}"/>
    <cellStyle name="Normal 7 2 2 2 2 2 4 2 2 2" xfId="18840" xr:uid="{00000000-0005-0000-0000-000076520000}"/>
    <cellStyle name="Normal 7 2 2 2 2 2 4 2 2 2 2" xfId="38555" xr:uid="{00000000-0005-0000-0000-000077520000}"/>
    <cellStyle name="Normal 7 2 2 2 2 2 4 2 2 3" xfId="28698" xr:uid="{00000000-0005-0000-0000-000078520000}"/>
    <cellStyle name="Normal 7 2 2 2 2 2 4 2 3" xfId="13912" xr:uid="{00000000-0005-0000-0000-000079520000}"/>
    <cellStyle name="Normal 7 2 2 2 2 2 4 2 3 2" xfId="33627" xr:uid="{00000000-0005-0000-0000-00007A520000}"/>
    <cellStyle name="Normal 7 2 2 2 2 2 4 2 4" xfId="23770" xr:uid="{00000000-0005-0000-0000-00007B520000}"/>
    <cellStyle name="Normal 7 2 2 2 2 2 4 3" xfId="6516" xr:uid="{00000000-0005-0000-0000-00007C520000}"/>
    <cellStyle name="Normal 7 2 2 2 2 2 4 3 2" xfId="16376" xr:uid="{00000000-0005-0000-0000-00007D520000}"/>
    <cellStyle name="Normal 7 2 2 2 2 2 4 3 2 2" xfId="36091" xr:uid="{00000000-0005-0000-0000-00007E520000}"/>
    <cellStyle name="Normal 7 2 2 2 2 2 4 3 3" xfId="26234" xr:uid="{00000000-0005-0000-0000-00007F520000}"/>
    <cellStyle name="Normal 7 2 2 2 2 2 4 4" xfId="11448" xr:uid="{00000000-0005-0000-0000-000080520000}"/>
    <cellStyle name="Normal 7 2 2 2 2 2 4 4 2" xfId="31163" xr:uid="{00000000-0005-0000-0000-000081520000}"/>
    <cellStyle name="Normal 7 2 2 2 2 2 4 5" xfId="21306" xr:uid="{00000000-0005-0000-0000-000082520000}"/>
    <cellStyle name="Normal 7 2 2 2 2 2 5" xfId="2816" xr:uid="{00000000-0005-0000-0000-000083520000}"/>
    <cellStyle name="Normal 7 2 2 2 2 2 5 2" xfId="7748" xr:uid="{00000000-0005-0000-0000-000084520000}"/>
    <cellStyle name="Normal 7 2 2 2 2 2 5 2 2" xfId="17608" xr:uid="{00000000-0005-0000-0000-000085520000}"/>
    <cellStyle name="Normal 7 2 2 2 2 2 5 2 2 2" xfId="37323" xr:uid="{00000000-0005-0000-0000-000086520000}"/>
    <cellStyle name="Normal 7 2 2 2 2 2 5 2 3" xfId="27466" xr:uid="{00000000-0005-0000-0000-000087520000}"/>
    <cellStyle name="Normal 7 2 2 2 2 2 5 3" xfId="12680" xr:uid="{00000000-0005-0000-0000-000088520000}"/>
    <cellStyle name="Normal 7 2 2 2 2 2 5 3 2" xfId="32395" xr:uid="{00000000-0005-0000-0000-000089520000}"/>
    <cellStyle name="Normal 7 2 2 2 2 2 5 4" xfId="22538" xr:uid="{00000000-0005-0000-0000-00008A520000}"/>
    <cellStyle name="Normal 7 2 2 2 2 2 6" xfId="5284" xr:uid="{00000000-0005-0000-0000-00008B520000}"/>
    <cellStyle name="Normal 7 2 2 2 2 2 6 2" xfId="15144" xr:uid="{00000000-0005-0000-0000-00008C520000}"/>
    <cellStyle name="Normal 7 2 2 2 2 2 6 2 2" xfId="34859" xr:uid="{00000000-0005-0000-0000-00008D520000}"/>
    <cellStyle name="Normal 7 2 2 2 2 2 6 3" xfId="25002" xr:uid="{00000000-0005-0000-0000-00008E520000}"/>
    <cellStyle name="Normal 7 2 2 2 2 2 7" xfId="10216" xr:uid="{00000000-0005-0000-0000-00008F520000}"/>
    <cellStyle name="Normal 7 2 2 2 2 2 7 2" xfId="29931" xr:uid="{00000000-0005-0000-0000-000090520000}"/>
    <cellStyle name="Normal 7 2 2 2 2 2 8" xfId="20074" xr:uid="{00000000-0005-0000-0000-000091520000}"/>
    <cellStyle name="Normal 7 2 2 2 2 3" xfId="496" xr:uid="{00000000-0005-0000-0000-000092520000}"/>
    <cellStyle name="Normal 7 2 2 2 2 3 2" xfId="1116" xr:uid="{00000000-0005-0000-0000-000093520000}"/>
    <cellStyle name="Normal 7 2 2 2 2 3 2 2" xfId="2351" xr:uid="{00000000-0005-0000-0000-000094520000}"/>
    <cellStyle name="Normal 7 2 2 2 2 3 2 2 2" xfId="4818" xr:uid="{00000000-0005-0000-0000-000095520000}"/>
    <cellStyle name="Normal 7 2 2 2 2 3 2 2 2 2" xfId="9750" xr:uid="{00000000-0005-0000-0000-000096520000}"/>
    <cellStyle name="Normal 7 2 2 2 2 3 2 2 2 2 2" xfId="19610" xr:uid="{00000000-0005-0000-0000-000097520000}"/>
    <cellStyle name="Normal 7 2 2 2 2 3 2 2 2 2 2 2" xfId="39325" xr:uid="{00000000-0005-0000-0000-000098520000}"/>
    <cellStyle name="Normal 7 2 2 2 2 3 2 2 2 2 3" xfId="29468" xr:uid="{00000000-0005-0000-0000-000099520000}"/>
    <cellStyle name="Normal 7 2 2 2 2 3 2 2 2 3" xfId="14682" xr:uid="{00000000-0005-0000-0000-00009A520000}"/>
    <cellStyle name="Normal 7 2 2 2 2 3 2 2 2 3 2" xfId="34397" xr:uid="{00000000-0005-0000-0000-00009B520000}"/>
    <cellStyle name="Normal 7 2 2 2 2 3 2 2 2 4" xfId="24540" xr:uid="{00000000-0005-0000-0000-00009C520000}"/>
    <cellStyle name="Normal 7 2 2 2 2 3 2 2 3" xfId="7286" xr:uid="{00000000-0005-0000-0000-00009D520000}"/>
    <cellStyle name="Normal 7 2 2 2 2 3 2 2 3 2" xfId="17146" xr:uid="{00000000-0005-0000-0000-00009E520000}"/>
    <cellStyle name="Normal 7 2 2 2 2 3 2 2 3 2 2" xfId="36861" xr:uid="{00000000-0005-0000-0000-00009F520000}"/>
    <cellStyle name="Normal 7 2 2 2 2 3 2 2 3 3" xfId="27004" xr:uid="{00000000-0005-0000-0000-0000A0520000}"/>
    <cellStyle name="Normal 7 2 2 2 2 3 2 2 4" xfId="12218" xr:uid="{00000000-0005-0000-0000-0000A1520000}"/>
    <cellStyle name="Normal 7 2 2 2 2 3 2 2 4 2" xfId="31933" xr:uid="{00000000-0005-0000-0000-0000A2520000}"/>
    <cellStyle name="Normal 7 2 2 2 2 3 2 2 5" xfId="22076" xr:uid="{00000000-0005-0000-0000-0000A3520000}"/>
    <cellStyle name="Normal 7 2 2 2 2 3 2 3" xfId="3586" xr:uid="{00000000-0005-0000-0000-0000A4520000}"/>
    <cellStyle name="Normal 7 2 2 2 2 3 2 3 2" xfId="8518" xr:uid="{00000000-0005-0000-0000-0000A5520000}"/>
    <cellStyle name="Normal 7 2 2 2 2 3 2 3 2 2" xfId="18378" xr:uid="{00000000-0005-0000-0000-0000A6520000}"/>
    <cellStyle name="Normal 7 2 2 2 2 3 2 3 2 2 2" xfId="38093" xr:uid="{00000000-0005-0000-0000-0000A7520000}"/>
    <cellStyle name="Normal 7 2 2 2 2 3 2 3 2 3" xfId="28236" xr:uid="{00000000-0005-0000-0000-0000A8520000}"/>
    <cellStyle name="Normal 7 2 2 2 2 3 2 3 3" xfId="13450" xr:uid="{00000000-0005-0000-0000-0000A9520000}"/>
    <cellStyle name="Normal 7 2 2 2 2 3 2 3 3 2" xfId="33165" xr:uid="{00000000-0005-0000-0000-0000AA520000}"/>
    <cellStyle name="Normal 7 2 2 2 2 3 2 3 4" xfId="23308" xr:uid="{00000000-0005-0000-0000-0000AB520000}"/>
    <cellStyle name="Normal 7 2 2 2 2 3 2 4" xfId="6054" xr:uid="{00000000-0005-0000-0000-0000AC520000}"/>
    <cellStyle name="Normal 7 2 2 2 2 3 2 4 2" xfId="15914" xr:uid="{00000000-0005-0000-0000-0000AD520000}"/>
    <cellStyle name="Normal 7 2 2 2 2 3 2 4 2 2" xfId="35629" xr:uid="{00000000-0005-0000-0000-0000AE520000}"/>
    <cellStyle name="Normal 7 2 2 2 2 3 2 4 3" xfId="25772" xr:uid="{00000000-0005-0000-0000-0000AF520000}"/>
    <cellStyle name="Normal 7 2 2 2 2 3 2 5" xfId="10986" xr:uid="{00000000-0005-0000-0000-0000B0520000}"/>
    <cellStyle name="Normal 7 2 2 2 2 3 2 5 2" xfId="30701" xr:uid="{00000000-0005-0000-0000-0000B1520000}"/>
    <cellStyle name="Normal 7 2 2 2 2 3 2 6" xfId="20844" xr:uid="{00000000-0005-0000-0000-0000B2520000}"/>
    <cellStyle name="Normal 7 2 2 2 2 3 3" xfId="1735" xr:uid="{00000000-0005-0000-0000-0000B3520000}"/>
    <cellStyle name="Normal 7 2 2 2 2 3 3 2" xfId="4202" xr:uid="{00000000-0005-0000-0000-0000B4520000}"/>
    <cellStyle name="Normal 7 2 2 2 2 3 3 2 2" xfId="9134" xr:uid="{00000000-0005-0000-0000-0000B5520000}"/>
    <cellStyle name="Normal 7 2 2 2 2 3 3 2 2 2" xfId="18994" xr:uid="{00000000-0005-0000-0000-0000B6520000}"/>
    <cellStyle name="Normal 7 2 2 2 2 3 3 2 2 2 2" xfId="38709" xr:uid="{00000000-0005-0000-0000-0000B7520000}"/>
    <cellStyle name="Normal 7 2 2 2 2 3 3 2 2 3" xfId="28852" xr:uid="{00000000-0005-0000-0000-0000B8520000}"/>
    <cellStyle name="Normal 7 2 2 2 2 3 3 2 3" xfId="14066" xr:uid="{00000000-0005-0000-0000-0000B9520000}"/>
    <cellStyle name="Normal 7 2 2 2 2 3 3 2 3 2" xfId="33781" xr:uid="{00000000-0005-0000-0000-0000BA520000}"/>
    <cellStyle name="Normal 7 2 2 2 2 3 3 2 4" xfId="23924" xr:uid="{00000000-0005-0000-0000-0000BB520000}"/>
    <cellStyle name="Normal 7 2 2 2 2 3 3 3" xfId="6670" xr:uid="{00000000-0005-0000-0000-0000BC520000}"/>
    <cellStyle name="Normal 7 2 2 2 2 3 3 3 2" xfId="16530" xr:uid="{00000000-0005-0000-0000-0000BD520000}"/>
    <cellStyle name="Normal 7 2 2 2 2 3 3 3 2 2" xfId="36245" xr:uid="{00000000-0005-0000-0000-0000BE520000}"/>
    <cellStyle name="Normal 7 2 2 2 2 3 3 3 3" xfId="26388" xr:uid="{00000000-0005-0000-0000-0000BF520000}"/>
    <cellStyle name="Normal 7 2 2 2 2 3 3 4" xfId="11602" xr:uid="{00000000-0005-0000-0000-0000C0520000}"/>
    <cellStyle name="Normal 7 2 2 2 2 3 3 4 2" xfId="31317" xr:uid="{00000000-0005-0000-0000-0000C1520000}"/>
    <cellStyle name="Normal 7 2 2 2 2 3 3 5" xfId="21460" xr:uid="{00000000-0005-0000-0000-0000C2520000}"/>
    <cellStyle name="Normal 7 2 2 2 2 3 4" xfId="2970" xr:uid="{00000000-0005-0000-0000-0000C3520000}"/>
    <cellStyle name="Normal 7 2 2 2 2 3 4 2" xfId="7902" xr:uid="{00000000-0005-0000-0000-0000C4520000}"/>
    <cellStyle name="Normal 7 2 2 2 2 3 4 2 2" xfId="17762" xr:uid="{00000000-0005-0000-0000-0000C5520000}"/>
    <cellStyle name="Normal 7 2 2 2 2 3 4 2 2 2" xfId="37477" xr:uid="{00000000-0005-0000-0000-0000C6520000}"/>
    <cellStyle name="Normal 7 2 2 2 2 3 4 2 3" xfId="27620" xr:uid="{00000000-0005-0000-0000-0000C7520000}"/>
    <cellStyle name="Normal 7 2 2 2 2 3 4 3" xfId="12834" xr:uid="{00000000-0005-0000-0000-0000C8520000}"/>
    <cellStyle name="Normal 7 2 2 2 2 3 4 3 2" xfId="32549" xr:uid="{00000000-0005-0000-0000-0000C9520000}"/>
    <cellStyle name="Normal 7 2 2 2 2 3 4 4" xfId="22692" xr:uid="{00000000-0005-0000-0000-0000CA520000}"/>
    <cellStyle name="Normal 7 2 2 2 2 3 5" xfId="5438" xr:uid="{00000000-0005-0000-0000-0000CB520000}"/>
    <cellStyle name="Normal 7 2 2 2 2 3 5 2" xfId="15298" xr:uid="{00000000-0005-0000-0000-0000CC520000}"/>
    <cellStyle name="Normal 7 2 2 2 2 3 5 2 2" xfId="35013" xr:uid="{00000000-0005-0000-0000-0000CD520000}"/>
    <cellStyle name="Normal 7 2 2 2 2 3 5 3" xfId="25156" xr:uid="{00000000-0005-0000-0000-0000CE520000}"/>
    <cellStyle name="Normal 7 2 2 2 2 3 6" xfId="10370" xr:uid="{00000000-0005-0000-0000-0000CF520000}"/>
    <cellStyle name="Normal 7 2 2 2 2 3 6 2" xfId="30085" xr:uid="{00000000-0005-0000-0000-0000D0520000}"/>
    <cellStyle name="Normal 7 2 2 2 2 3 7" xfId="20228" xr:uid="{00000000-0005-0000-0000-0000D1520000}"/>
    <cellStyle name="Normal 7 2 2 2 2 4" xfId="809" xr:uid="{00000000-0005-0000-0000-0000D2520000}"/>
    <cellStyle name="Normal 7 2 2 2 2 4 2" xfId="2045" xr:uid="{00000000-0005-0000-0000-0000D3520000}"/>
    <cellStyle name="Normal 7 2 2 2 2 4 2 2" xfId="4512" xr:uid="{00000000-0005-0000-0000-0000D4520000}"/>
    <cellStyle name="Normal 7 2 2 2 2 4 2 2 2" xfId="9444" xr:uid="{00000000-0005-0000-0000-0000D5520000}"/>
    <cellStyle name="Normal 7 2 2 2 2 4 2 2 2 2" xfId="19304" xr:uid="{00000000-0005-0000-0000-0000D6520000}"/>
    <cellStyle name="Normal 7 2 2 2 2 4 2 2 2 2 2" xfId="39019" xr:uid="{00000000-0005-0000-0000-0000D7520000}"/>
    <cellStyle name="Normal 7 2 2 2 2 4 2 2 2 3" xfId="29162" xr:uid="{00000000-0005-0000-0000-0000D8520000}"/>
    <cellStyle name="Normal 7 2 2 2 2 4 2 2 3" xfId="14376" xr:uid="{00000000-0005-0000-0000-0000D9520000}"/>
    <cellStyle name="Normal 7 2 2 2 2 4 2 2 3 2" xfId="34091" xr:uid="{00000000-0005-0000-0000-0000DA520000}"/>
    <cellStyle name="Normal 7 2 2 2 2 4 2 2 4" xfId="24234" xr:uid="{00000000-0005-0000-0000-0000DB520000}"/>
    <cellStyle name="Normal 7 2 2 2 2 4 2 3" xfId="6980" xr:uid="{00000000-0005-0000-0000-0000DC520000}"/>
    <cellStyle name="Normal 7 2 2 2 2 4 2 3 2" xfId="16840" xr:uid="{00000000-0005-0000-0000-0000DD520000}"/>
    <cellStyle name="Normal 7 2 2 2 2 4 2 3 2 2" xfId="36555" xr:uid="{00000000-0005-0000-0000-0000DE520000}"/>
    <cellStyle name="Normal 7 2 2 2 2 4 2 3 3" xfId="26698" xr:uid="{00000000-0005-0000-0000-0000DF520000}"/>
    <cellStyle name="Normal 7 2 2 2 2 4 2 4" xfId="11912" xr:uid="{00000000-0005-0000-0000-0000E0520000}"/>
    <cellStyle name="Normal 7 2 2 2 2 4 2 4 2" xfId="31627" xr:uid="{00000000-0005-0000-0000-0000E1520000}"/>
    <cellStyle name="Normal 7 2 2 2 2 4 2 5" xfId="21770" xr:uid="{00000000-0005-0000-0000-0000E2520000}"/>
    <cellStyle name="Normal 7 2 2 2 2 4 3" xfId="3280" xr:uid="{00000000-0005-0000-0000-0000E3520000}"/>
    <cellStyle name="Normal 7 2 2 2 2 4 3 2" xfId="8212" xr:uid="{00000000-0005-0000-0000-0000E4520000}"/>
    <cellStyle name="Normal 7 2 2 2 2 4 3 2 2" xfId="18072" xr:uid="{00000000-0005-0000-0000-0000E5520000}"/>
    <cellStyle name="Normal 7 2 2 2 2 4 3 2 2 2" xfId="37787" xr:uid="{00000000-0005-0000-0000-0000E6520000}"/>
    <cellStyle name="Normal 7 2 2 2 2 4 3 2 3" xfId="27930" xr:uid="{00000000-0005-0000-0000-0000E7520000}"/>
    <cellStyle name="Normal 7 2 2 2 2 4 3 3" xfId="13144" xr:uid="{00000000-0005-0000-0000-0000E8520000}"/>
    <cellStyle name="Normal 7 2 2 2 2 4 3 3 2" xfId="32859" xr:uid="{00000000-0005-0000-0000-0000E9520000}"/>
    <cellStyle name="Normal 7 2 2 2 2 4 3 4" xfId="23002" xr:uid="{00000000-0005-0000-0000-0000EA520000}"/>
    <cellStyle name="Normal 7 2 2 2 2 4 4" xfId="5748" xr:uid="{00000000-0005-0000-0000-0000EB520000}"/>
    <cellStyle name="Normal 7 2 2 2 2 4 4 2" xfId="15608" xr:uid="{00000000-0005-0000-0000-0000EC520000}"/>
    <cellStyle name="Normal 7 2 2 2 2 4 4 2 2" xfId="35323" xr:uid="{00000000-0005-0000-0000-0000ED520000}"/>
    <cellStyle name="Normal 7 2 2 2 2 4 4 3" xfId="25466" xr:uid="{00000000-0005-0000-0000-0000EE520000}"/>
    <cellStyle name="Normal 7 2 2 2 2 4 5" xfId="10680" xr:uid="{00000000-0005-0000-0000-0000EF520000}"/>
    <cellStyle name="Normal 7 2 2 2 2 4 5 2" xfId="30395" xr:uid="{00000000-0005-0000-0000-0000F0520000}"/>
    <cellStyle name="Normal 7 2 2 2 2 4 6" xfId="20538" xr:uid="{00000000-0005-0000-0000-0000F1520000}"/>
    <cellStyle name="Normal 7 2 2 2 2 5" xfId="1429" xr:uid="{00000000-0005-0000-0000-0000F2520000}"/>
    <cellStyle name="Normal 7 2 2 2 2 5 2" xfId="3896" xr:uid="{00000000-0005-0000-0000-0000F3520000}"/>
    <cellStyle name="Normal 7 2 2 2 2 5 2 2" xfId="8828" xr:uid="{00000000-0005-0000-0000-0000F4520000}"/>
    <cellStyle name="Normal 7 2 2 2 2 5 2 2 2" xfId="18688" xr:uid="{00000000-0005-0000-0000-0000F5520000}"/>
    <cellStyle name="Normal 7 2 2 2 2 5 2 2 2 2" xfId="38403" xr:uid="{00000000-0005-0000-0000-0000F6520000}"/>
    <cellStyle name="Normal 7 2 2 2 2 5 2 2 3" xfId="28546" xr:uid="{00000000-0005-0000-0000-0000F7520000}"/>
    <cellStyle name="Normal 7 2 2 2 2 5 2 3" xfId="13760" xr:uid="{00000000-0005-0000-0000-0000F8520000}"/>
    <cellStyle name="Normal 7 2 2 2 2 5 2 3 2" xfId="33475" xr:uid="{00000000-0005-0000-0000-0000F9520000}"/>
    <cellStyle name="Normal 7 2 2 2 2 5 2 4" xfId="23618" xr:uid="{00000000-0005-0000-0000-0000FA520000}"/>
    <cellStyle name="Normal 7 2 2 2 2 5 3" xfId="6364" xr:uid="{00000000-0005-0000-0000-0000FB520000}"/>
    <cellStyle name="Normal 7 2 2 2 2 5 3 2" xfId="16224" xr:uid="{00000000-0005-0000-0000-0000FC520000}"/>
    <cellStyle name="Normal 7 2 2 2 2 5 3 2 2" xfId="35939" xr:uid="{00000000-0005-0000-0000-0000FD520000}"/>
    <cellStyle name="Normal 7 2 2 2 2 5 3 3" xfId="26082" xr:uid="{00000000-0005-0000-0000-0000FE520000}"/>
    <cellStyle name="Normal 7 2 2 2 2 5 4" xfId="11296" xr:uid="{00000000-0005-0000-0000-0000FF520000}"/>
    <cellStyle name="Normal 7 2 2 2 2 5 4 2" xfId="31011" xr:uid="{00000000-0005-0000-0000-000000530000}"/>
    <cellStyle name="Normal 7 2 2 2 2 5 5" xfId="21154" xr:uid="{00000000-0005-0000-0000-000001530000}"/>
    <cellStyle name="Normal 7 2 2 2 2 6" xfId="2664" xr:uid="{00000000-0005-0000-0000-000002530000}"/>
    <cellStyle name="Normal 7 2 2 2 2 6 2" xfId="7596" xr:uid="{00000000-0005-0000-0000-000003530000}"/>
    <cellStyle name="Normal 7 2 2 2 2 6 2 2" xfId="17456" xr:uid="{00000000-0005-0000-0000-000004530000}"/>
    <cellStyle name="Normal 7 2 2 2 2 6 2 2 2" xfId="37171" xr:uid="{00000000-0005-0000-0000-000005530000}"/>
    <cellStyle name="Normal 7 2 2 2 2 6 2 3" xfId="27314" xr:uid="{00000000-0005-0000-0000-000006530000}"/>
    <cellStyle name="Normal 7 2 2 2 2 6 3" xfId="12528" xr:uid="{00000000-0005-0000-0000-000007530000}"/>
    <cellStyle name="Normal 7 2 2 2 2 6 3 2" xfId="32243" xr:uid="{00000000-0005-0000-0000-000008530000}"/>
    <cellStyle name="Normal 7 2 2 2 2 6 4" xfId="22386" xr:uid="{00000000-0005-0000-0000-000009530000}"/>
    <cellStyle name="Normal 7 2 2 2 2 7" xfId="5132" xr:uid="{00000000-0005-0000-0000-00000A530000}"/>
    <cellStyle name="Normal 7 2 2 2 2 7 2" xfId="14992" xr:uid="{00000000-0005-0000-0000-00000B530000}"/>
    <cellStyle name="Normal 7 2 2 2 2 7 2 2" xfId="34707" xr:uid="{00000000-0005-0000-0000-00000C530000}"/>
    <cellStyle name="Normal 7 2 2 2 2 7 3" xfId="24850" xr:uid="{00000000-0005-0000-0000-00000D530000}"/>
    <cellStyle name="Normal 7 2 2 2 2 8" xfId="10064" xr:uid="{00000000-0005-0000-0000-00000E530000}"/>
    <cellStyle name="Normal 7 2 2 2 2 8 2" xfId="29779" xr:uid="{00000000-0005-0000-0000-00000F530000}"/>
    <cellStyle name="Normal 7 2 2 2 2 9" xfId="19922" xr:uid="{00000000-0005-0000-0000-000010530000}"/>
    <cellStyle name="Normal 7 2 2 2 3" xfId="258" xr:uid="{00000000-0005-0000-0000-000011530000}"/>
    <cellStyle name="Normal 7 2 2 2 3 2" xfId="572" xr:uid="{00000000-0005-0000-0000-000012530000}"/>
    <cellStyle name="Normal 7 2 2 2 3 2 2" xfId="1192" xr:uid="{00000000-0005-0000-0000-000013530000}"/>
    <cellStyle name="Normal 7 2 2 2 3 2 2 2" xfId="2427" xr:uid="{00000000-0005-0000-0000-000014530000}"/>
    <cellStyle name="Normal 7 2 2 2 3 2 2 2 2" xfId="4894" xr:uid="{00000000-0005-0000-0000-000015530000}"/>
    <cellStyle name="Normal 7 2 2 2 3 2 2 2 2 2" xfId="9826" xr:uid="{00000000-0005-0000-0000-000016530000}"/>
    <cellStyle name="Normal 7 2 2 2 3 2 2 2 2 2 2" xfId="19686" xr:uid="{00000000-0005-0000-0000-000017530000}"/>
    <cellStyle name="Normal 7 2 2 2 3 2 2 2 2 2 2 2" xfId="39401" xr:uid="{00000000-0005-0000-0000-000018530000}"/>
    <cellStyle name="Normal 7 2 2 2 3 2 2 2 2 2 3" xfId="29544" xr:uid="{00000000-0005-0000-0000-000019530000}"/>
    <cellStyle name="Normal 7 2 2 2 3 2 2 2 2 3" xfId="14758" xr:uid="{00000000-0005-0000-0000-00001A530000}"/>
    <cellStyle name="Normal 7 2 2 2 3 2 2 2 2 3 2" xfId="34473" xr:uid="{00000000-0005-0000-0000-00001B530000}"/>
    <cellStyle name="Normal 7 2 2 2 3 2 2 2 2 4" xfId="24616" xr:uid="{00000000-0005-0000-0000-00001C530000}"/>
    <cellStyle name="Normal 7 2 2 2 3 2 2 2 3" xfId="7362" xr:uid="{00000000-0005-0000-0000-00001D530000}"/>
    <cellStyle name="Normal 7 2 2 2 3 2 2 2 3 2" xfId="17222" xr:uid="{00000000-0005-0000-0000-00001E530000}"/>
    <cellStyle name="Normal 7 2 2 2 3 2 2 2 3 2 2" xfId="36937" xr:uid="{00000000-0005-0000-0000-00001F530000}"/>
    <cellStyle name="Normal 7 2 2 2 3 2 2 2 3 3" xfId="27080" xr:uid="{00000000-0005-0000-0000-000020530000}"/>
    <cellStyle name="Normal 7 2 2 2 3 2 2 2 4" xfId="12294" xr:uid="{00000000-0005-0000-0000-000021530000}"/>
    <cellStyle name="Normal 7 2 2 2 3 2 2 2 4 2" xfId="32009" xr:uid="{00000000-0005-0000-0000-000022530000}"/>
    <cellStyle name="Normal 7 2 2 2 3 2 2 2 5" xfId="22152" xr:uid="{00000000-0005-0000-0000-000023530000}"/>
    <cellStyle name="Normal 7 2 2 2 3 2 2 3" xfId="3662" xr:uid="{00000000-0005-0000-0000-000024530000}"/>
    <cellStyle name="Normal 7 2 2 2 3 2 2 3 2" xfId="8594" xr:uid="{00000000-0005-0000-0000-000025530000}"/>
    <cellStyle name="Normal 7 2 2 2 3 2 2 3 2 2" xfId="18454" xr:uid="{00000000-0005-0000-0000-000026530000}"/>
    <cellStyle name="Normal 7 2 2 2 3 2 2 3 2 2 2" xfId="38169" xr:uid="{00000000-0005-0000-0000-000027530000}"/>
    <cellStyle name="Normal 7 2 2 2 3 2 2 3 2 3" xfId="28312" xr:uid="{00000000-0005-0000-0000-000028530000}"/>
    <cellStyle name="Normal 7 2 2 2 3 2 2 3 3" xfId="13526" xr:uid="{00000000-0005-0000-0000-000029530000}"/>
    <cellStyle name="Normal 7 2 2 2 3 2 2 3 3 2" xfId="33241" xr:uid="{00000000-0005-0000-0000-00002A530000}"/>
    <cellStyle name="Normal 7 2 2 2 3 2 2 3 4" xfId="23384" xr:uid="{00000000-0005-0000-0000-00002B530000}"/>
    <cellStyle name="Normal 7 2 2 2 3 2 2 4" xfId="6130" xr:uid="{00000000-0005-0000-0000-00002C530000}"/>
    <cellStyle name="Normal 7 2 2 2 3 2 2 4 2" xfId="15990" xr:uid="{00000000-0005-0000-0000-00002D530000}"/>
    <cellStyle name="Normal 7 2 2 2 3 2 2 4 2 2" xfId="35705" xr:uid="{00000000-0005-0000-0000-00002E530000}"/>
    <cellStyle name="Normal 7 2 2 2 3 2 2 4 3" xfId="25848" xr:uid="{00000000-0005-0000-0000-00002F530000}"/>
    <cellStyle name="Normal 7 2 2 2 3 2 2 5" xfId="11062" xr:uid="{00000000-0005-0000-0000-000030530000}"/>
    <cellStyle name="Normal 7 2 2 2 3 2 2 5 2" xfId="30777" xr:uid="{00000000-0005-0000-0000-000031530000}"/>
    <cellStyle name="Normal 7 2 2 2 3 2 2 6" xfId="20920" xr:uid="{00000000-0005-0000-0000-000032530000}"/>
    <cellStyle name="Normal 7 2 2 2 3 2 3" xfId="1811" xr:uid="{00000000-0005-0000-0000-000033530000}"/>
    <cellStyle name="Normal 7 2 2 2 3 2 3 2" xfId="4278" xr:uid="{00000000-0005-0000-0000-000034530000}"/>
    <cellStyle name="Normal 7 2 2 2 3 2 3 2 2" xfId="9210" xr:uid="{00000000-0005-0000-0000-000035530000}"/>
    <cellStyle name="Normal 7 2 2 2 3 2 3 2 2 2" xfId="19070" xr:uid="{00000000-0005-0000-0000-000036530000}"/>
    <cellStyle name="Normal 7 2 2 2 3 2 3 2 2 2 2" xfId="38785" xr:uid="{00000000-0005-0000-0000-000037530000}"/>
    <cellStyle name="Normal 7 2 2 2 3 2 3 2 2 3" xfId="28928" xr:uid="{00000000-0005-0000-0000-000038530000}"/>
    <cellStyle name="Normal 7 2 2 2 3 2 3 2 3" xfId="14142" xr:uid="{00000000-0005-0000-0000-000039530000}"/>
    <cellStyle name="Normal 7 2 2 2 3 2 3 2 3 2" xfId="33857" xr:uid="{00000000-0005-0000-0000-00003A530000}"/>
    <cellStyle name="Normal 7 2 2 2 3 2 3 2 4" xfId="24000" xr:uid="{00000000-0005-0000-0000-00003B530000}"/>
    <cellStyle name="Normal 7 2 2 2 3 2 3 3" xfId="6746" xr:uid="{00000000-0005-0000-0000-00003C530000}"/>
    <cellStyle name="Normal 7 2 2 2 3 2 3 3 2" xfId="16606" xr:uid="{00000000-0005-0000-0000-00003D530000}"/>
    <cellStyle name="Normal 7 2 2 2 3 2 3 3 2 2" xfId="36321" xr:uid="{00000000-0005-0000-0000-00003E530000}"/>
    <cellStyle name="Normal 7 2 2 2 3 2 3 3 3" xfId="26464" xr:uid="{00000000-0005-0000-0000-00003F530000}"/>
    <cellStyle name="Normal 7 2 2 2 3 2 3 4" xfId="11678" xr:uid="{00000000-0005-0000-0000-000040530000}"/>
    <cellStyle name="Normal 7 2 2 2 3 2 3 4 2" xfId="31393" xr:uid="{00000000-0005-0000-0000-000041530000}"/>
    <cellStyle name="Normal 7 2 2 2 3 2 3 5" xfId="21536" xr:uid="{00000000-0005-0000-0000-000042530000}"/>
    <cellStyle name="Normal 7 2 2 2 3 2 4" xfId="3046" xr:uid="{00000000-0005-0000-0000-000043530000}"/>
    <cellStyle name="Normal 7 2 2 2 3 2 4 2" xfId="7978" xr:uid="{00000000-0005-0000-0000-000044530000}"/>
    <cellStyle name="Normal 7 2 2 2 3 2 4 2 2" xfId="17838" xr:uid="{00000000-0005-0000-0000-000045530000}"/>
    <cellStyle name="Normal 7 2 2 2 3 2 4 2 2 2" xfId="37553" xr:uid="{00000000-0005-0000-0000-000046530000}"/>
    <cellStyle name="Normal 7 2 2 2 3 2 4 2 3" xfId="27696" xr:uid="{00000000-0005-0000-0000-000047530000}"/>
    <cellStyle name="Normal 7 2 2 2 3 2 4 3" xfId="12910" xr:uid="{00000000-0005-0000-0000-000048530000}"/>
    <cellStyle name="Normal 7 2 2 2 3 2 4 3 2" xfId="32625" xr:uid="{00000000-0005-0000-0000-000049530000}"/>
    <cellStyle name="Normal 7 2 2 2 3 2 4 4" xfId="22768" xr:uid="{00000000-0005-0000-0000-00004A530000}"/>
    <cellStyle name="Normal 7 2 2 2 3 2 5" xfId="5514" xr:uid="{00000000-0005-0000-0000-00004B530000}"/>
    <cellStyle name="Normal 7 2 2 2 3 2 5 2" xfId="15374" xr:uid="{00000000-0005-0000-0000-00004C530000}"/>
    <cellStyle name="Normal 7 2 2 2 3 2 5 2 2" xfId="35089" xr:uid="{00000000-0005-0000-0000-00004D530000}"/>
    <cellStyle name="Normal 7 2 2 2 3 2 5 3" xfId="25232" xr:uid="{00000000-0005-0000-0000-00004E530000}"/>
    <cellStyle name="Normal 7 2 2 2 3 2 6" xfId="10446" xr:uid="{00000000-0005-0000-0000-00004F530000}"/>
    <cellStyle name="Normal 7 2 2 2 3 2 6 2" xfId="30161" xr:uid="{00000000-0005-0000-0000-000050530000}"/>
    <cellStyle name="Normal 7 2 2 2 3 2 7" xfId="20304" xr:uid="{00000000-0005-0000-0000-000051530000}"/>
    <cellStyle name="Normal 7 2 2 2 3 3" xfId="885" xr:uid="{00000000-0005-0000-0000-000052530000}"/>
    <cellStyle name="Normal 7 2 2 2 3 3 2" xfId="2121" xr:uid="{00000000-0005-0000-0000-000053530000}"/>
    <cellStyle name="Normal 7 2 2 2 3 3 2 2" xfId="4588" xr:uid="{00000000-0005-0000-0000-000054530000}"/>
    <cellStyle name="Normal 7 2 2 2 3 3 2 2 2" xfId="9520" xr:uid="{00000000-0005-0000-0000-000055530000}"/>
    <cellStyle name="Normal 7 2 2 2 3 3 2 2 2 2" xfId="19380" xr:uid="{00000000-0005-0000-0000-000056530000}"/>
    <cellStyle name="Normal 7 2 2 2 3 3 2 2 2 2 2" xfId="39095" xr:uid="{00000000-0005-0000-0000-000057530000}"/>
    <cellStyle name="Normal 7 2 2 2 3 3 2 2 2 3" xfId="29238" xr:uid="{00000000-0005-0000-0000-000058530000}"/>
    <cellStyle name="Normal 7 2 2 2 3 3 2 2 3" xfId="14452" xr:uid="{00000000-0005-0000-0000-000059530000}"/>
    <cellStyle name="Normal 7 2 2 2 3 3 2 2 3 2" xfId="34167" xr:uid="{00000000-0005-0000-0000-00005A530000}"/>
    <cellStyle name="Normal 7 2 2 2 3 3 2 2 4" xfId="24310" xr:uid="{00000000-0005-0000-0000-00005B530000}"/>
    <cellStyle name="Normal 7 2 2 2 3 3 2 3" xfId="7056" xr:uid="{00000000-0005-0000-0000-00005C530000}"/>
    <cellStyle name="Normal 7 2 2 2 3 3 2 3 2" xfId="16916" xr:uid="{00000000-0005-0000-0000-00005D530000}"/>
    <cellStyle name="Normal 7 2 2 2 3 3 2 3 2 2" xfId="36631" xr:uid="{00000000-0005-0000-0000-00005E530000}"/>
    <cellStyle name="Normal 7 2 2 2 3 3 2 3 3" xfId="26774" xr:uid="{00000000-0005-0000-0000-00005F530000}"/>
    <cellStyle name="Normal 7 2 2 2 3 3 2 4" xfId="11988" xr:uid="{00000000-0005-0000-0000-000060530000}"/>
    <cellStyle name="Normal 7 2 2 2 3 3 2 4 2" xfId="31703" xr:uid="{00000000-0005-0000-0000-000061530000}"/>
    <cellStyle name="Normal 7 2 2 2 3 3 2 5" xfId="21846" xr:uid="{00000000-0005-0000-0000-000062530000}"/>
    <cellStyle name="Normal 7 2 2 2 3 3 3" xfId="3356" xr:uid="{00000000-0005-0000-0000-000063530000}"/>
    <cellStyle name="Normal 7 2 2 2 3 3 3 2" xfId="8288" xr:uid="{00000000-0005-0000-0000-000064530000}"/>
    <cellStyle name="Normal 7 2 2 2 3 3 3 2 2" xfId="18148" xr:uid="{00000000-0005-0000-0000-000065530000}"/>
    <cellStyle name="Normal 7 2 2 2 3 3 3 2 2 2" xfId="37863" xr:uid="{00000000-0005-0000-0000-000066530000}"/>
    <cellStyle name="Normal 7 2 2 2 3 3 3 2 3" xfId="28006" xr:uid="{00000000-0005-0000-0000-000067530000}"/>
    <cellStyle name="Normal 7 2 2 2 3 3 3 3" xfId="13220" xr:uid="{00000000-0005-0000-0000-000068530000}"/>
    <cellStyle name="Normal 7 2 2 2 3 3 3 3 2" xfId="32935" xr:uid="{00000000-0005-0000-0000-000069530000}"/>
    <cellStyle name="Normal 7 2 2 2 3 3 3 4" xfId="23078" xr:uid="{00000000-0005-0000-0000-00006A530000}"/>
    <cellStyle name="Normal 7 2 2 2 3 3 4" xfId="5824" xr:uid="{00000000-0005-0000-0000-00006B530000}"/>
    <cellStyle name="Normal 7 2 2 2 3 3 4 2" xfId="15684" xr:uid="{00000000-0005-0000-0000-00006C530000}"/>
    <cellStyle name="Normal 7 2 2 2 3 3 4 2 2" xfId="35399" xr:uid="{00000000-0005-0000-0000-00006D530000}"/>
    <cellStyle name="Normal 7 2 2 2 3 3 4 3" xfId="25542" xr:uid="{00000000-0005-0000-0000-00006E530000}"/>
    <cellStyle name="Normal 7 2 2 2 3 3 5" xfId="10756" xr:uid="{00000000-0005-0000-0000-00006F530000}"/>
    <cellStyle name="Normal 7 2 2 2 3 3 5 2" xfId="30471" xr:uid="{00000000-0005-0000-0000-000070530000}"/>
    <cellStyle name="Normal 7 2 2 2 3 3 6" xfId="20614" xr:uid="{00000000-0005-0000-0000-000071530000}"/>
    <cellStyle name="Normal 7 2 2 2 3 4" xfId="1505" xr:uid="{00000000-0005-0000-0000-000072530000}"/>
    <cellStyle name="Normal 7 2 2 2 3 4 2" xfId="3972" xr:uid="{00000000-0005-0000-0000-000073530000}"/>
    <cellStyle name="Normal 7 2 2 2 3 4 2 2" xfId="8904" xr:uid="{00000000-0005-0000-0000-000074530000}"/>
    <cellStyle name="Normal 7 2 2 2 3 4 2 2 2" xfId="18764" xr:uid="{00000000-0005-0000-0000-000075530000}"/>
    <cellStyle name="Normal 7 2 2 2 3 4 2 2 2 2" xfId="38479" xr:uid="{00000000-0005-0000-0000-000076530000}"/>
    <cellStyle name="Normal 7 2 2 2 3 4 2 2 3" xfId="28622" xr:uid="{00000000-0005-0000-0000-000077530000}"/>
    <cellStyle name="Normal 7 2 2 2 3 4 2 3" xfId="13836" xr:uid="{00000000-0005-0000-0000-000078530000}"/>
    <cellStyle name="Normal 7 2 2 2 3 4 2 3 2" xfId="33551" xr:uid="{00000000-0005-0000-0000-000079530000}"/>
    <cellStyle name="Normal 7 2 2 2 3 4 2 4" xfId="23694" xr:uid="{00000000-0005-0000-0000-00007A530000}"/>
    <cellStyle name="Normal 7 2 2 2 3 4 3" xfId="6440" xr:uid="{00000000-0005-0000-0000-00007B530000}"/>
    <cellStyle name="Normal 7 2 2 2 3 4 3 2" xfId="16300" xr:uid="{00000000-0005-0000-0000-00007C530000}"/>
    <cellStyle name="Normal 7 2 2 2 3 4 3 2 2" xfId="36015" xr:uid="{00000000-0005-0000-0000-00007D530000}"/>
    <cellStyle name="Normal 7 2 2 2 3 4 3 3" xfId="26158" xr:uid="{00000000-0005-0000-0000-00007E530000}"/>
    <cellStyle name="Normal 7 2 2 2 3 4 4" xfId="11372" xr:uid="{00000000-0005-0000-0000-00007F530000}"/>
    <cellStyle name="Normal 7 2 2 2 3 4 4 2" xfId="31087" xr:uid="{00000000-0005-0000-0000-000080530000}"/>
    <cellStyle name="Normal 7 2 2 2 3 4 5" xfId="21230" xr:uid="{00000000-0005-0000-0000-000081530000}"/>
    <cellStyle name="Normal 7 2 2 2 3 5" xfId="2740" xr:uid="{00000000-0005-0000-0000-000082530000}"/>
    <cellStyle name="Normal 7 2 2 2 3 5 2" xfId="7672" xr:uid="{00000000-0005-0000-0000-000083530000}"/>
    <cellStyle name="Normal 7 2 2 2 3 5 2 2" xfId="17532" xr:uid="{00000000-0005-0000-0000-000084530000}"/>
    <cellStyle name="Normal 7 2 2 2 3 5 2 2 2" xfId="37247" xr:uid="{00000000-0005-0000-0000-000085530000}"/>
    <cellStyle name="Normal 7 2 2 2 3 5 2 3" xfId="27390" xr:uid="{00000000-0005-0000-0000-000086530000}"/>
    <cellStyle name="Normal 7 2 2 2 3 5 3" xfId="12604" xr:uid="{00000000-0005-0000-0000-000087530000}"/>
    <cellStyle name="Normal 7 2 2 2 3 5 3 2" xfId="32319" xr:uid="{00000000-0005-0000-0000-000088530000}"/>
    <cellStyle name="Normal 7 2 2 2 3 5 4" xfId="22462" xr:uid="{00000000-0005-0000-0000-000089530000}"/>
    <cellStyle name="Normal 7 2 2 2 3 6" xfId="5208" xr:uid="{00000000-0005-0000-0000-00008A530000}"/>
    <cellStyle name="Normal 7 2 2 2 3 6 2" xfId="15068" xr:uid="{00000000-0005-0000-0000-00008B530000}"/>
    <cellStyle name="Normal 7 2 2 2 3 6 2 2" xfId="34783" xr:uid="{00000000-0005-0000-0000-00008C530000}"/>
    <cellStyle name="Normal 7 2 2 2 3 6 3" xfId="24926" xr:uid="{00000000-0005-0000-0000-00008D530000}"/>
    <cellStyle name="Normal 7 2 2 2 3 7" xfId="10140" xr:uid="{00000000-0005-0000-0000-00008E530000}"/>
    <cellStyle name="Normal 7 2 2 2 3 7 2" xfId="29855" xr:uid="{00000000-0005-0000-0000-00008F530000}"/>
    <cellStyle name="Normal 7 2 2 2 3 8" xfId="19998" xr:uid="{00000000-0005-0000-0000-000090530000}"/>
    <cellStyle name="Normal 7 2 2 2 4" xfId="420" xr:uid="{00000000-0005-0000-0000-000091530000}"/>
    <cellStyle name="Normal 7 2 2 2 4 2" xfId="1040" xr:uid="{00000000-0005-0000-0000-000092530000}"/>
    <cellStyle name="Normal 7 2 2 2 4 2 2" xfId="2275" xr:uid="{00000000-0005-0000-0000-000093530000}"/>
    <cellStyle name="Normal 7 2 2 2 4 2 2 2" xfId="4742" xr:uid="{00000000-0005-0000-0000-000094530000}"/>
    <cellStyle name="Normal 7 2 2 2 4 2 2 2 2" xfId="9674" xr:uid="{00000000-0005-0000-0000-000095530000}"/>
    <cellStyle name="Normal 7 2 2 2 4 2 2 2 2 2" xfId="19534" xr:uid="{00000000-0005-0000-0000-000096530000}"/>
    <cellStyle name="Normal 7 2 2 2 4 2 2 2 2 2 2" xfId="39249" xr:uid="{00000000-0005-0000-0000-000097530000}"/>
    <cellStyle name="Normal 7 2 2 2 4 2 2 2 2 3" xfId="29392" xr:uid="{00000000-0005-0000-0000-000098530000}"/>
    <cellStyle name="Normal 7 2 2 2 4 2 2 2 3" xfId="14606" xr:uid="{00000000-0005-0000-0000-000099530000}"/>
    <cellStyle name="Normal 7 2 2 2 4 2 2 2 3 2" xfId="34321" xr:uid="{00000000-0005-0000-0000-00009A530000}"/>
    <cellStyle name="Normal 7 2 2 2 4 2 2 2 4" xfId="24464" xr:uid="{00000000-0005-0000-0000-00009B530000}"/>
    <cellStyle name="Normal 7 2 2 2 4 2 2 3" xfId="7210" xr:uid="{00000000-0005-0000-0000-00009C530000}"/>
    <cellStyle name="Normal 7 2 2 2 4 2 2 3 2" xfId="17070" xr:uid="{00000000-0005-0000-0000-00009D530000}"/>
    <cellStyle name="Normal 7 2 2 2 4 2 2 3 2 2" xfId="36785" xr:uid="{00000000-0005-0000-0000-00009E530000}"/>
    <cellStyle name="Normal 7 2 2 2 4 2 2 3 3" xfId="26928" xr:uid="{00000000-0005-0000-0000-00009F530000}"/>
    <cellStyle name="Normal 7 2 2 2 4 2 2 4" xfId="12142" xr:uid="{00000000-0005-0000-0000-0000A0530000}"/>
    <cellStyle name="Normal 7 2 2 2 4 2 2 4 2" xfId="31857" xr:uid="{00000000-0005-0000-0000-0000A1530000}"/>
    <cellStyle name="Normal 7 2 2 2 4 2 2 5" xfId="22000" xr:uid="{00000000-0005-0000-0000-0000A2530000}"/>
    <cellStyle name="Normal 7 2 2 2 4 2 3" xfId="3510" xr:uid="{00000000-0005-0000-0000-0000A3530000}"/>
    <cellStyle name="Normal 7 2 2 2 4 2 3 2" xfId="8442" xr:uid="{00000000-0005-0000-0000-0000A4530000}"/>
    <cellStyle name="Normal 7 2 2 2 4 2 3 2 2" xfId="18302" xr:uid="{00000000-0005-0000-0000-0000A5530000}"/>
    <cellStyle name="Normal 7 2 2 2 4 2 3 2 2 2" xfId="38017" xr:uid="{00000000-0005-0000-0000-0000A6530000}"/>
    <cellStyle name="Normal 7 2 2 2 4 2 3 2 3" xfId="28160" xr:uid="{00000000-0005-0000-0000-0000A7530000}"/>
    <cellStyle name="Normal 7 2 2 2 4 2 3 3" xfId="13374" xr:uid="{00000000-0005-0000-0000-0000A8530000}"/>
    <cellStyle name="Normal 7 2 2 2 4 2 3 3 2" xfId="33089" xr:uid="{00000000-0005-0000-0000-0000A9530000}"/>
    <cellStyle name="Normal 7 2 2 2 4 2 3 4" xfId="23232" xr:uid="{00000000-0005-0000-0000-0000AA530000}"/>
    <cellStyle name="Normal 7 2 2 2 4 2 4" xfId="5978" xr:uid="{00000000-0005-0000-0000-0000AB530000}"/>
    <cellStyle name="Normal 7 2 2 2 4 2 4 2" xfId="15838" xr:uid="{00000000-0005-0000-0000-0000AC530000}"/>
    <cellStyle name="Normal 7 2 2 2 4 2 4 2 2" xfId="35553" xr:uid="{00000000-0005-0000-0000-0000AD530000}"/>
    <cellStyle name="Normal 7 2 2 2 4 2 4 3" xfId="25696" xr:uid="{00000000-0005-0000-0000-0000AE530000}"/>
    <cellStyle name="Normal 7 2 2 2 4 2 5" xfId="10910" xr:uid="{00000000-0005-0000-0000-0000AF530000}"/>
    <cellStyle name="Normal 7 2 2 2 4 2 5 2" xfId="30625" xr:uid="{00000000-0005-0000-0000-0000B0530000}"/>
    <cellStyle name="Normal 7 2 2 2 4 2 6" xfId="20768" xr:uid="{00000000-0005-0000-0000-0000B1530000}"/>
    <cellStyle name="Normal 7 2 2 2 4 3" xfId="1659" xr:uid="{00000000-0005-0000-0000-0000B2530000}"/>
    <cellStyle name="Normal 7 2 2 2 4 3 2" xfId="4126" xr:uid="{00000000-0005-0000-0000-0000B3530000}"/>
    <cellStyle name="Normal 7 2 2 2 4 3 2 2" xfId="9058" xr:uid="{00000000-0005-0000-0000-0000B4530000}"/>
    <cellStyle name="Normal 7 2 2 2 4 3 2 2 2" xfId="18918" xr:uid="{00000000-0005-0000-0000-0000B5530000}"/>
    <cellStyle name="Normal 7 2 2 2 4 3 2 2 2 2" xfId="38633" xr:uid="{00000000-0005-0000-0000-0000B6530000}"/>
    <cellStyle name="Normal 7 2 2 2 4 3 2 2 3" xfId="28776" xr:uid="{00000000-0005-0000-0000-0000B7530000}"/>
    <cellStyle name="Normal 7 2 2 2 4 3 2 3" xfId="13990" xr:uid="{00000000-0005-0000-0000-0000B8530000}"/>
    <cellStyle name="Normal 7 2 2 2 4 3 2 3 2" xfId="33705" xr:uid="{00000000-0005-0000-0000-0000B9530000}"/>
    <cellStyle name="Normal 7 2 2 2 4 3 2 4" xfId="23848" xr:uid="{00000000-0005-0000-0000-0000BA530000}"/>
    <cellStyle name="Normal 7 2 2 2 4 3 3" xfId="6594" xr:uid="{00000000-0005-0000-0000-0000BB530000}"/>
    <cellStyle name="Normal 7 2 2 2 4 3 3 2" xfId="16454" xr:uid="{00000000-0005-0000-0000-0000BC530000}"/>
    <cellStyle name="Normal 7 2 2 2 4 3 3 2 2" xfId="36169" xr:uid="{00000000-0005-0000-0000-0000BD530000}"/>
    <cellStyle name="Normal 7 2 2 2 4 3 3 3" xfId="26312" xr:uid="{00000000-0005-0000-0000-0000BE530000}"/>
    <cellStyle name="Normal 7 2 2 2 4 3 4" xfId="11526" xr:uid="{00000000-0005-0000-0000-0000BF530000}"/>
    <cellStyle name="Normal 7 2 2 2 4 3 4 2" xfId="31241" xr:uid="{00000000-0005-0000-0000-0000C0530000}"/>
    <cellStyle name="Normal 7 2 2 2 4 3 5" xfId="21384" xr:uid="{00000000-0005-0000-0000-0000C1530000}"/>
    <cellStyle name="Normal 7 2 2 2 4 4" xfId="2894" xr:uid="{00000000-0005-0000-0000-0000C2530000}"/>
    <cellStyle name="Normal 7 2 2 2 4 4 2" xfId="7826" xr:uid="{00000000-0005-0000-0000-0000C3530000}"/>
    <cellStyle name="Normal 7 2 2 2 4 4 2 2" xfId="17686" xr:uid="{00000000-0005-0000-0000-0000C4530000}"/>
    <cellStyle name="Normal 7 2 2 2 4 4 2 2 2" xfId="37401" xr:uid="{00000000-0005-0000-0000-0000C5530000}"/>
    <cellStyle name="Normal 7 2 2 2 4 4 2 3" xfId="27544" xr:uid="{00000000-0005-0000-0000-0000C6530000}"/>
    <cellStyle name="Normal 7 2 2 2 4 4 3" xfId="12758" xr:uid="{00000000-0005-0000-0000-0000C7530000}"/>
    <cellStyle name="Normal 7 2 2 2 4 4 3 2" xfId="32473" xr:uid="{00000000-0005-0000-0000-0000C8530000}"/>
    <cellStyle name="Normal 7 2 2 2 4 4 4" xfId="22616" xr:uid="{00000000-0005-0000-0000-0000C9530000}"/>
    <cellStyle name="Normal 7 2 2 2 4 5" xfId="5362" xr:uid="{00000000-0005-0000-0000-0000CA530000}"/>
    <cellStyle name="Normal 7 2 2 2 4 5 2" xfId="15222" xr:uid="{00000000-0005-0000-0000-0000CB530000}"/>
    <cellStyle name="Normal 7 2 2 2 4 5 2 2" xfId="34937" xr:uid="{00000000-0005-0000-0000-0000CC530000}"/>
    <cellStyle name="Normal 7 2 2 2 4 5 3" xfId="25080" xr:uid="{00000000-0005-0000-0000-0000CD530000}"/>
    <cellStyle name="Normal 7 2 2 2 4 6" xfId="10294" xr:uid="{00000000-0005-0000-0000-0000CE530000}"/>
    <cellStyle name="Normal 7 2 2 2 4 6 2" xfId="30009" xr:uid="{00000000-0005-0000-0000-0000CF530000}"/>
    <cellStyle name="Normal 7 2 2 2 4 7" xfId="20152" xr:uid="{00000000-0005-0000-0000-0000D0530000}"/>
    <cellStyle name="Normal 7 2 2 2 5" xfId="733" xr:uid="{00000000-0005-0000-0000-0000D1530000}"/>
    <cellStyle name="Normal 7 2 2 2 5 2" xfId="1969" xr:uid="{00000000-0005-0000-0000-0000D2530000}"/>
    <cellStyle name="Normal 7 2 2 2 5 2 2" xfId="4436" xr:uid="{00000000-0005-0000-0000-0000D3530000}"/>
    <cellStyle name="Normal 7 2 2 2 5 2 2 2" xfId="9368" xr:uid="{00000000-0005-0000-0000-0000D4530000}"/>
    <cellStyle name="Normal 7 2 2 2 5 2 2 2 2" xfId="19228" xr:uid="{00000000-0005-0000-0000-0000D5530000}"/>
    <cellStyle name="Normal 7 2 2 2 5 2 2 2 2 2" xfId="38943" xr:uid="{00000000-0005-0000-0000-0000D6530000}"/>
    <cellStyle name="Normal 7 2 2 2 5 2 2 2 3" xfId="29086" xr:uid="{00000000-0005-0000-0000-0000D7530000}"/>
    <cellStyle name="Normal 7 2 2 2 5 2 2 3" xfId="14300" xr:uid="{00000000-0005-0000-0000-0000D8530000}"/>
    <cellStyle name="Normal 7 2 2 2 5 2 2 3 2" xfId="34015" xr:uid="{00000000-0005-0000-0000-0000D9530000}"/>
    <cellStyle name="Normal 7 2 2 2 5 2 2 4" xfId="24158" xr:uid="{00000000-0005-0000-0000-0000DA530000}"/>
    <cellStyle name="Normal 7 2 2 2 5 2 3" xfId="6904" xr:uid="{00000000-0005-0000-0000-0000DB530000}"/>
    <cellStyle name="Normal 7 2 2 2 5 2 3 2" xfId="16764" xr:uid="{00000000-0005-0000-0000-0000DC530000}"/>
    <cellStyle name="Normal 7 2 2 2 5 2 3 2 2" xfId="36479" xr:uid="{00000000-0005-0000-0000-0000DD530000}"/>
    <cellStyle name="Normal 7 2 2 2 5 2 3 3" xfId="26622" xr:uid="{00000000-0005-0000-0000-0000DE530000}"/>
    <cellStyle name="Normal 7 2 2 2 5 2 4" xfId="11836" xr:uid="{00000000-0005-0000-0000-0000DF530000}"/>
    <cellStyle name="Normal 7 2 2 2 5 2 4 2" xfId="31551" xr:uid="{00000000-0005-0000-0000-0000E0530000}"/>
    <cellStyle name="Normal 7 2 2 2 5 2 5" xfId="21694" xr:uid="{00000000-0005-0000-0000-0000E1530000}"/>
    <cellStyle name="Normal 7 2 2 2 5 3" xfId="3204" xr:uid="{00000000-0005-0000-0000-0000E2530000}"/>
    <cellStyle name="Normal 7 2 2 2 5 3 2" xfId="8136" xr:uid="{00000000-0005-0000-0000-0000E3530000}"/>
    <cellStyle name="Normal 7 2 2 2 5 3 2 2" xfId="17996" xr:uid="{00000000-0005-0000-0000-0000E4530000}"/>
    <cellStyle name="Normal 7 2 2 2 5 3 2 2 2" xfId="37711" xr:uid="{00000000-0005-0000-0000-0000E5530000}"/>
    <cellStyle name="Normal 7 2 2 2 5 3 2 3" xfId="27854" xr:uid="{00000000-0005-0000-0000-0000E6530000}"/>
    <cellStyle name="Normal 7 2 2 2 5 3 3" xfId="13068" xr:uid="{00000000-0005-0000-0000-0000E7530000}"/>
    <cellStyle name="Normal 7 2 2 2 5 3 3 2" xfId="32783" xr:uid="{00000000-0005-0000-0000-0000E8530000}"/>
    <cellStyle name="Normal 7 2 2 2 5 3 4" xfId="22926" xr:uid="{00000000-0005-0000-0000-0000E9530000}"/>
    <cellStyle name="Normal 7 2 2 2 5 4" xfId="5672" xr:uid="{00000000-0005-0000-0000-0000EA530000}"/>
    <cellStyle name="Normal 7 2 2 2 5 4 2" xfId="15532" xr:uid="{00000000-0005-0000-0000-0000EB530000}"/>
    <cellStyle name="Normal 7 2 2 2 5 4 2 2" xfId="35247" xr:uid="{00000000-0005-0000-0000-0000EC530000}"/>
    <cellStyle name="Normal 7 2 2 2 5 4 3" xfId="25390" xr:uid="{00000000-0005-0000-0000-0000ED530000}"/>
    <cellStyle name="Normal 7 2 2 2 5 5" xfId="10604" xr:uid="{00000000-0005-0000-0000-0000EE530000}"/>
    <cellStyle name="Normal 7 2 2 2 5 5 2" xfId="30319" xr:uid="{00000000-0005-0000-0000-0000EF530000}"/>
    <cellStyle name="Normal 7 2 2 2 5 6" xfId="20462" xr:uid="{00000000-0005-0000-0000-0000F0530000}"/>
    <cellStyle name="Normal 7 2 2 2 6" xfId="1353" xr:uid="{00000000-0005-0000-0000-0000F1530000}"/>
    <cellStyle name="Normal 7 2 2 2 6 2" xfId="3820" xr:uid="{00000000-0005-0000-0000-0000F2530000}"/>
    <cellStyle name="Normal 7 2 2 2 6 2 2" xfId="8752" xr:uid="{00000000-0005-0000-0000-0000F3530000}"/>
    <cellStyle name="Normal 7 2 2 2 6 2 2 2" xfId="18612" xr:uid="{00000000-0005-0000-0000-0000F4530000}"/>
    <cellStyle name="Normal 7 2 2 2 6 2 2 2 2" xfId="38327" xr:uid="{00000000-0005-0000-0000-0000F5530000}"/>
    <cellStyle name="Normal 7 2 2 2 6 2 2 3" xfId="28470" xr:uid="{00000000-0005-0000-0000-0000F6530000}"/>
    <cellStyle name="Normal 7 2 2 2 6 2 3" xfId="13684" xr:uid="{00000000-0005-0000-0000-0000F7530000}"/>
    <cellStyle name="Normal 7 2 2 2 6 2 3 2" xfId="33399" xr:uid="{00000000-0005-0000-0000-0000F8530000}"/>
    <cellStyle name="Normal 7 2 2 2 6 2 4" xfId="23542" xr:uid="{00000000-0005-0000-0000-0000F9530000}"/>
    <cellStyle name="Normal 7 2 2 2 6 3" xfId="6288" xr:uid="{00000000-0005-0000-0000-0000FA530000}"/>
    <cellStyle name="Normal 7 2 2 2 6 3 2" xfId="16148" xr:uid="{00000000-0005-0000-0000-0000FB530000}"/>
    <cellStyle name="Normal 7 2 2 2 6 3 2 2" xfId="35863" xr:uid="{00000000-0005-0000-0000-0000FC530000}"/>
    <cellStyle name="Normal 7 2 2 2 6 3 3" xfId="26006" xr:uid="{00000000-0005-0000-0000-0000FD530000}"/>
    <cellStyle name="Normal 7 2 2 2 6 4" xfId="11220" xr:uid="{00000000-0005-0000-0000-0000FE530000}"/>
    <cellStyle name="Normal 7 2 2 2 6 4 2" xfId="30935" xr:uid="{00000000-0005-0000-0000-0000FF530000}"/>
    <cellStyle name="Normal 7 2 2 2 6 5" xfId="21078" xr:uid="{00000000-0005-0000-0000-000000540000}"/>
    <cellStyle name="Normal 7 2 2 2 7" xfId="2588" xr:uid="{00000000-0005-0000-0000-000001540000}"/>
    <cellStyle name="Normal 7 2 2 2 7 2" xfId="7520" xr:uid="{00000000-0005-0000-0000-000002540000}"/>
    <cellStyle name="Normal 7 2 2 2 7 2 2" xfId="17380" xr:uid="{00000000-0005-0000-0000-000003540000}"/>
    <cellStyle name="Normal 7 2 2 2 7 2 2 2" xfId="37095" xr:uid="{00000000-0005-0000-0000-000004540000}"/>
    <cellStyle name="Normal 7 2 2 2 7 2 3" xfId="27238" xr:uid="{00000000-0005-0000-0000-000005540000}"/>
    <cellStyle name="Normal 7 2 2 2 7 3" xfId="12452" xr:uid="{00000000-0005-0000-0000-000006540000}"/>
    <cellStyle name="Normal 7 2 2 2 7 3 2" xfId="32167" xr:uid="{00000000-0005-0000-0000-000007540000}"/>
    <cellStyle name="Normal 7 2 2 2 7 4" xfId="22310" xr:uid="{00000000-0005-0000-0000-000008540000}"/>
    <cellStyle name="Normal 7 2 2 2 8" xfId="5056" xr:uid="{00000000-0005-0000-0000-000009540000}"/>
    <cellStyle name="Normal 7 2 2 2 8 2" xfId="14916" xr:uid="{00000000-0005-0000-0000-00000A540000}"/>
    <cellStyle name="Normal 7 2 2 2 8 2 2" xfId="34631" xr:uid="{00000000-0005-0000-0000-00000B540000}"/>
    <cellStyle name="Normal 7 2 2 2 8 3" xfId="24774" xr:uid="{00000000-0005-0000-0000-00000C540000}"/>
    <cellStyle name="Normal 7 2 2 2 9" xfId="9988" xr:uid="{00000000-0005-0000-0000-00000D540000}"/>
    <cellStyle name="Normal 7 2 2 2 9 2" xfId="29703" xr:uid="{00000000-0005-0000-0000-00000E540000}"/>
    <cellStyle name="Normal 7 2 2 3" xfId="139" xr:uid="{00000000-0005-0000-0000-00000F540000}"/>
    <cellStyle name="Normal 7 2 2 3 2" xfId="296" xr:uid="{00000000-0005-0000-0000-000010540000}"/>
    <cellStyle name="Normal 7 2 2 3 2 2" xfId="610" xr:uid="{00000000-0005-0000-0000-000011540000}"/>
    <cellStyle name="Normal 7 2 2 3 2 2 2" xfId="1230" xr:uid="{00000000-0005-0000-0000-000012540000}"/>
    <cellStyle name="Normal 7 2 2 3 2 2 2 2" xfId="2465" xr:uid="{00000000-0005-0000-0000-000013540000}"/>
    <cellStyle name="Normal 7 2 2 3 2 2 2 2 2" xfId="4932" xr:uid="{00000000-0005-0000-0000-000014540000}"/>
    <cellStyle name="Normal 7 2 2 3 2 2 2 2 2 2" xfId="9864" xr:uid="{00000000-0005-0000-0000-000015540000}"/>
    <cellStyle name="Normal 7 2 2 3 2 2 2 2 2 2 2" xfId="19724" xr:uid="{00000000-0005-0000-0000-000016540000}"/>
    <cellStyle name="Normal 7 2 2 3 2 2 2 2 2 2 2 2" xfId="39439" xr:uid="{00000000-0005-0000-0000-000017540000}"/>
    <cellStyle name="Normal 7 2 2 3 2 2 2 2 2 2 3" xfId="29582" xr:uid="{00000000-0005-0000-0000-000018540000}"/>
    <cellStyle name="Normal 7 2 2 3 2 2 2 2 2 3" xfId="14796" xr:uid="{00000000-0005-0000-0000-000019540000}"/>
    <cellStyle name="Normal 7 2 2 3 2 2 2 2 2 3 2" xfId="34511" xr:uid="{00000000-0005-0000-0000-00001A540000}"/>
    <cellStyle name="Normal 7 2 2 3 2 2 2 2 2 4" xfId="24654" xr:uid="{00000000-0005-0000-0000-00001B540000}"/>
    <cellStyle name="Normal 7 2 2 3 2 2 2 2 3" xfId="7400" xr:uid="{00000000-0005-0000-0000-00001C540000}"/>
    <cellStyle name="Normal 7 2 2 3 2 2 2 2 3 2" xfId="17260" xr:uid="{00000000-0005-0000-0000-00001D540000}"/>
    <cellStyle name="Normal 7 2 2 3 2 2 2 2 3 2 2" xfId="36975" xr:uid="{00000000-0005-0000-0000-00001E540000}"/>
    <cellStyle name="Normal 7 2 2 3 2 2 2 2 3 3" xfId="27118" xr:uid="{00000000-0005-0000-0000-00001F540000}"/>
    <cellStyle name="Normal 7 2 2 3 2 2 2 2 4" xfId="12332" xr:uid="{00000000-0005-0000-0000-000020540000}"/>
    <cellStyle name="Normal 7 2 2 3 2 2 2 2 4 2" xfId="32047" xr:uid="{00000000-0005-0000-0000-000021540000}"/>
    <cellStyle name="Normal 7 2 2 3 2 2 2 2 5" xfId="22190" xr:uid="{00000000-0005-0000-0000-000022540000}"/>
    <cellStyle name="Normal 7 2 2 3 2 2 2 3" xfId="3700" xr:uid="{00000000-0005-0000-0000-000023540000}"/>
    <cellStyle name="Normal 7 2 2 3 2 2 2 3 2" xfId="8632" xr:uid="{00000000-0005-0000-0000-000024540000}"/>
    <cellStyle name="Normal 7 2 2 3 2 2 2 3 2 2" xfId="18492" xr:uid="{00000000-0005-0000-0000-000025540000}"/>
    <cellStyle name="Normal 7 2 2 3 2 2 2 3 2 2 2" xfId="38207" xr:uid="{00000000-0005-0000-0000-000026540000}"/>
    <cellStyle name="Normal 7 2 2 3 2 2 2 3 2 3" xfId="28350" xr:uid="{00000000-0005-0000-0000-000027540000}"/>
    <cellStyle name="Normal 7 2 2 3 2 2 2 3 3" xfId="13564" xr:uid="{00000000-0005-0000-0000-000028540000}"/>
    <cellStyle name="Normal 7 2 2 3 2 2 2 3 3 2" xfId="33279" xr:uid="{00000000-0005-0000-0000-000029540000}"/>
    <cellStyle name="Normal 7 2 2 3 2 2 2 3 4" xfId="23422" xr:uid="{00000000-0005-0000-0000-00002A540000}"/>
    <cellStyle name="Normal 7 2 2 3 2 2 2 4" xfId="6168" xr:uid="{00000000-0005-0000-0000-00002B540000}"/>
    <cellStyle name="Normal 7 2 2 3 2 2 2 4 2" xfId="16028" xr:uid="{00000000-0005-0000-0000-00002C540000}"/>
    <cellStyle name="Normal 7 2 2 3 2 2 2 4 2 2" xfId="35743" xr:uid="{00000000-0005-0000-0000-00002D540000}"/>
    <cellStyle name="Normal 7 2 2 3 2 2 2 4 3" xfId="25886" xr:uid="{00000000-0005-0000-0000-00002E540000}"/>
    <cellStyle name="Normal 7 2 2 3 2 2 2 5" xfId="11100" xr:uid="{00000000-0005-0000-0000-00002F540000}"/>
    <cellStyle name="Normal 7 2 2 3 2 2 2 5 2" xfId="30815" xr:uid="{00000000-0005-0000-0000-000030540000}"/>
    <cellStyle name="Normal 7 2 2 3 2 2 2 6" xfId="20958" xr:uid="{00000000-0005-0000-0000-000031540000}"/>
    <cellStyle name="Normal 7 2 2 3 2 2 3" xfId="1849" xr:uid="{00000000-0005-0000-0000-000032540000}"/>
    <cellStyle name="Normal 7 2 2 3 2 2 3 2" xfId="4316" xr:uid="{00000000-0005-0000-0000-000033540000}"/>
    <cellStyle name="Normal 7 2 2 3 2 2 3 2 2" xfId="9248" xr:uid="{00000000-0005-0000-0000-000034540000}"/>
    <cellStyle name="Normal 7 2 2 3 2 2 3 2 2 2" xfId="19108" xr:uid="{00000000-0005-0000-0000-000035540000}"/>
    <cellStyle name="Normal 7 2 2 3 2 2 3 2 2 2 2" xfId="38823" xr:uid="{00000000-0005-0000-0000-000036540000}"/>
    <cellStyle name="Normal 7 2 2 3 2 2 3 2 2 3" xfId="28966" xr:uid="{00000000-0005-0000-0000-000037540000}"/>
    <cellStyle name="Normal 7 2 2 3 2 2 3 2 3" xfId="14180" xr:uid="{00000000-0005-0000-0000-000038540000}"/>
    <cellStyle name="Normal 7 2 2 3 2 2 3 2 3 2" xfId="33895" xr:uid="{00000000-0005-0000-0000-000039540000}"/>
    <cellStyle name="Normal 7 2 2 3 2 2 3 2 4" xfId="24038" xr:uid="{00000000-0005-0000-0000-00003A540000}"/>
    <cellStyle name="Normal 7 2 2 3 2 2 3 3" xfId="6784" xr:uid="{00000000-0005-0000-0000-00003B540000}"/>
    <cellStyle name="Normal 7 2 2 3 2 2 3 3 2" xfId="16644" xr:uid="{00000000-0005-0000-0000-00003C540000}"/>
    <cellStyle name="Normal 7 2 2 3 2 2 3 3 2 2" xfId="36359" xr:uid="{00000000-0005-0000-0000-00003D540000}"/>
    <cellStyle name="Normal 7 2 2 3 2 2 3 3 3" xfId="26502" xr:uid="{00000000-0005-0000-0000-00003E540000}"/>
    <cellStyle name="Normal 7 2 2 3 2 2 3 4" xfId="11716" xr:uid="{00000000-0005-0000-0000-00003F540000}"/>
    <cellStyle name="Normal 7 2 2 3 2 2 3 4 2" xfId="31431" xr:uid="{00000000-0005-0000-0000-000040540000}"/>
    <cellStyle name="Normal 7 2 2 3 2 2 3 5" xfId="21574" xr:uid="{00000000-0005-0000-0000-000041540000}"/>
    <cellStyle name="Normal 7 2 2 3 2 2 4" xfId="3084" xr:uid="{00000000-0005-0000-0000-000042540000}"/>
    <cellStyle name="Normal 7 2 2 3 2 2 4 2" xfId="8016" xr:uid="{00000000-0005-0000-0000-000043540000}"/>
    <cellStyle name="Normal 7 2 2 3 2 2 4 2 2" xfId="17876" xr:uid="{00000000-0005-0000-0000-000044540000}"/>
    <cellStyle name="Normal 7 2 2 3 2 2 4 2 2 2" xfId="37591" xr:uid="{00000000-0005-0000-0000-000045540000}"/>
    <cellStyle name="Normal 7 2 2 3 2 2 4 2 3" xfId="27734" xr:uid="{00000000-0005-0000-0000-000046540000}"/>
    <cellStyle name="Normal 7 2 2 3 2 2 4 3" xfId="12948" xr:uid="{00000000-0005-0000-0000-000047540000}"/>
    <cellStyle name="Normal 7 2 2 3 2 2 4 3 2" xfId="32663" xr:uid="{00000000-0005-0000-0000-000048540000}"/>
    <cellStyle name="Normal 7 2 2 3 2 2 4 4" xfId="22806" xr:uid="{00000000-0005-0000-0000-000049540000}"/>
    <cellStyle name="Normal 7 2 2 3 2 2 5" xfId="5552" xr:uid="{00000000-0005-0000-0000-00004A540000}"/>
    <cellStyle name="Normal 7 2 2 3 2 2 5 2" xfId="15412" xr:uid="{00000000-0005-0000-0000-00004B540000}"/>
    <cellStyle name="Normal 7 2 2 3 2 2 5 2 2" xfId="35127" xr:uid="{00000000-0005-0000-0000-00004C540000}"/>
    <cellStyle name="Normal 7 2 2 3 2 2 5 3" xfId="25270" xr:uid="{00000000-0005-0000-0000-00004D540000}"/>
    <cellStyle name="Normal 7 2 2 3 2 2 6" xfId="10484" xr:uid="{00000000-0005-0000-0000-00004E540000}"/>
    <cellStyle name="Normal 7 2 2 3 2 2 6 2" xfId="30199" xr:uid="{00000000-0005-0000-0000-00004F540000}"/>
    <cellStyle name="Normal 7 2 2 3 2 2 7" xfId="20342" xr:uid="{00000000-0005-0000-0000-000050540000}"/>
    <cellStyle name="Normal 7 2 2 3 2 3" xfId="923" xr:uid="{00000000-0005-0000-0000-000051540000}"/>
    <cellStyle name="Normal 7 2 2 3 2 3 2" xfId="2159" xr:uid="{00000000-0005-0000-0000-000052540000}"/>
    <cellStyle name="Normal 7 2 2 3 2 3 2 2" xfId="4626" xr:uid="{00000000-0005-0000-0000-000053540000}"/>
    <cellStyle name="Normal 7 2 2 3 2 3 2 2 2" xfId="9558" xr:uid="{00000000-0005-0000-0000-000054540000}"/>
    <cellStyle name="Normal 7 2 2 3 2 3 2 2 2 2" xfId="19418" xr:uid="{00000000-0005-0000-0000-000055540000}"/>
    <cellStyle name="Normal 7 2 2 3 2 3 2 2 2 2 2" xfId="39133" xr:uid="{00000000-0005-0000-0000-000056540000}"/>
    <cellStyle name="Normal 7 2 2 3 2 3 2 2 2 3" xfId="29276" xr:uid="{00000000-0005-0000-0000-000057540000}"/>
    <cellStyle name="Normal 7 2 2 3 2 3 2 2 3" xfId="14490" xr:uid="{00000000-0005-0000-0000-000058540000}"/>
    <cellStyle name="Normal 7 2 2 3 2 3 2 2 3 2" xfId="34205" xr:uid="{00000000-0005-0000-0000-000059540000}"/>
    <cellStyle name="Normal 7 2 2 3 2 3 2 2 4" xfId="24348" xr:uid="{00000000-0005-0000-0000-00005A540000}"/>
    <cellStyle name="Normal 7 2 2 3 2 3 2 3" xfId="7094" xr:uid="{00000000-0005-0000-0000-00005B540000}"/>
    <cellStyle name="Normal 7 2 2 3 2 3 2 3 2" xfId="16954" xr:uid="{00000000-0005-0000-0000-00005C540000}"/>
    <cellStyle name="Normal 7 2 2 3 2 3 2 3 2 2" xfId="36669" xr:uid="{00000000-0005-0000-0000-00005D540000}"/>
    <cellStyle name="Normal 7 2 2 3 2 3 2 3 3" xfId="26812" xr:uid="{00000000-0005-0000-0000-00005E540000}"/>
    <cellStyle name="Normal 7 2 2 3 2 3 2 4" xfId="12026" xr:uid="{00000000-0005-0000-0000-00005F540000}"/>
    <cellStyle name="Normal 7 2 2 3 2 3 2 4 2" xfId="31741" xr:uid="{00000000-0005-0000-0000-000060540000}"/>
    <cellStyle name="Normal 7 2 2 3 2 3 2 5" xfId="21884" xr:uid="{00000000-0005-0000-0000-000061540000}"/>
    <cellStyle name="Normal 7 2 2 3 2 3 3" xfId="3394" xr:uid="{00000000-0005-0000-0000-000062540000}"/>
    <cellStyle name="Normal 7 2 2 3 2 3 3 2" xfId="8326" xr:uid="{00000000-0005-0000-0000-000063540000}"/>
    <cellStyle name="Normal 7 2 2 3 2 3 3 2 2" xfId="18186" xr:uid="{00000000-0005-0000-0000-000064540000}"/>
    <cellStyle name="Normal 7 2 2 3 2 3 3 2 2 2" xfId="37901" xr:uid="{00000000-0005-0000-0000-000065540000}"/>
    <cellStyle name="Normal 7 2 2 3 2 3 3 2 3" xfId="28044" xr:uid="{00000000-0005-0000-0000-000066540000}"/>
    <cellStyle name="Normal 7 2 2 3 2 3 3 3" xfId="13258" xr:uid="{00000000-0005-0000-0000-000067540000}"/>
    <cellStyle name="Normal 7 2 2 3 2 3 3 3 2" xfId="32973" xr:uid="{00000000-0005-0000-0000-000068540000}"/>
    <cellStyle name="Normal 7 2 2 3 2 3 3 4" xfId="23116" xr:uid="{00000000-0005-0000-0000-000069540000}"/>
    <cellStyle name="Normal 7 2 2 3 2 3 4" xfId="5862" xr:uid="{00000000-0005-0000-0000-00006A540000}"/>
    <cellStyle name="Normal 7 2 2 3 2 3 4 2" xfId="15722" xr:uid="{00000000-0005-0000-0000-00006B540000}"/>
    <cellStyle name="Normal 7 2 2 3 2 3 4 2 2" xfId="35437" xr:uid="{00000000-0005-0000-0000-00006C540000}"/>
    <cellStyle name="Normal 7 2 2 3 2 3 4 3" xfId="25580" xr:uid="{00000000-0005-0000-0000-00006D540000}"/>
    <cellStyle name="Normal 7 2 2 3 2 3 5" xfId="10794" xr:uid="{00000000-0005-0000-0000-00006E540000}"/>
    <cellStyle name="Normal 7 2 2 3 2 3 5 2" xfId="30509" xr:uid="{00000000-0005-0000-0000-00006F540000}"/>
    <cellStyle name="Normal 7 2 2 3 2 3 6" xfId="20652" xr:uid="{00000000-0005-0000-0000-000070540000}"/>
    <cellStyle name="Normal 7 2 2 3 2 4" xfId="1543" xr:uid="{00000000-0005-0000-0000-000071540000}"/>
    <cellStyle name="Normal 7 2 2 3 2 4 2" xfId="4010" xr:uid="{00000000-0005-0000-0000-000072540000}"/>
    <cellStyle name="Normal 7 2 2 3 2 4 2 2" xfId="8942" xr:uid="{00000000-0005-0000-0000-000073540000}"/>
    <cellStyle name="Normal 7 2 2 3 2 4 2 2 2" xfId="18802" xr:uid="{00000000-0005-0000-0000-000074540000}"/>
    <cellStyle name="Normal 7 2 2 3 2 4 2 2 2 2" xfId="38517" xr:uid="{00000000-0005-0000-0000-000075540000}"/>
    <cellStyle name="Normal 7 2 2 3 2 4 2 2 3" xfId="28660" xr:uid="{00000000-0005-0000-0000-000076540000}"/>
    <cellStyle name="Normal 7 2 2 3 2 4 2 3" xfId="13874" xr:uid="{00000000-0005-0000-0000-000077540000}"/>
    <cellStyle name="Normal 7 2 2 3 2 4 2 3 2" xfId="33589" xr:uid="{00000000-0005-0000-0000-000078540000}"/>
    <cellStyle name="Normal 7 2 2 3 2 4 2 4" xfId="23732" xr:uid="{00000000-0005-0000-0000-000079540000}"/>
    <cellStyle name="Normal 7 2 2 3 2 4 3" xfId="6478" xr:uid="{00000000-0005-0000-0000-00007A540000}"/>
    <cellStyle name="Normal 7 2 2 3 2 4 3 2" xfId="16338" xr:uid="{00000000-0005-0000-0000-00007B540000}"/>
    <cellStyle name="Normal 7 2 2 3 2 4 3 2 2" xfId="36053" xr:uid="{00000000-0005-0000-0000-00007C540000}"/>
    <cellStyle name="Normal 7 2 2 3 2 4 3 3" xfId="26196" xr:uid="{00000000-0005-0000-0000-00007D540000}"/>
    <cellStyle name="Normal 7 2 2 3 2 4 4" xfId="11410" xr:uid="{00000000-0005-0000-0000-00007E540000}"/>
    <cellStyle name="Normal 7 2 2 3 2 4 4 2" xfId="31125" xr:uid="{00000000-0005-0000-0000-00007F540000}"/>
    <cellStyle name="Normal 7 2 2 3 2 4 5" xfId="21268" xr:uid="{00000000-0005-0000-0000-000080540000}"/>
    <cellStyle name="Normal 7 2 2 3 2 5" xfId="2778" xr:uid="{00000000-0005-0000-0000-000081540000}"/>
    <cellStyle name="Normal 7 2 2 3 2 5 2" xfId="7710" xr:uid="{00000000-0005-0000-0000-000082540000}"/>
    <cellStyle name="Normal 7 2 2 3 2 5 2 2" xfId="17570" xr:uid="{00000000-0005-0000-0000-000083540000}"/>
    <cellStyle name="Normal 7 2 2 3 2 5 2 2 2" xfId="37285" xr:uid="{00000000-0005-0000-0000-000084540000}"/>
    <cellStyle name="Normal 7 2 2 3 2 5 2 3" xfId="27428" xr:uid="{00000000-0005-0000-0000-000085540000}"/>
    <cellStyle name="Normal 7 2 2 3 2 5 3" xfId="12642" xr:uid="{00000000-0005-0000-0000-000086540000}"/>
    <cellStyle name="Normal 7 2 2 3 2 5 3 2" xfId="32357" xr:uid="{00000000-0005-0000-0000-000087540000}"/>
    <cellStyle name="Normal 7 2 2 3 2 5 4" xfId="22500" xr:uid="{00000000-0005-0000-0000-000088540000}"/>
    <cellStyle name="Normal 7 2 2 3 2 6" xfId="5246" xr:uid="{00000000-0005-0000-0000-000089540000}"/>
    <cellStyle name="Normal 7 2 2 3 2 6 2" xfId="15106" xr:uid="{00000000-0005-0000-0000-00008A540000}"/>
    <cellStyle name="Normal 7 2 2 3 2 6 2 2" xfId="34821" xr:uid="{00000000-0005-0000-0000-00008B540000}"/>
    <cellStyle name="Normal 7 2 2 3 2 6 3" xfId="24964" xr:uid="{00000000-0005-0000-0000-00008C540000}"/>
    <cellStyle name="Normal 7 2 2 3 2 7" xfId="10178" xr:uid="{00000000-0005-0000-0000-00008D540000}"/>
    <cellStyle name="Normal 7 2 2 3 2 7 2" xfId="29893" xr:uid="{00000000-0005-0000-0000-00008E540000}"/>
    <cellStyle name="Normal 7 2 2 3 2 8" xfId="20036" xr:uid="{00000000-0005-0000-0000-00008F540000}"/>
    <cellStyle name="Normal 7 2 2 3 3" xfId="458" xr:uid="{00000000-0005-0000-0000-000090540000}"/>
    <cellStyle name="Normal 7 2 2 3 3 2" xfId="1078" xr:uid="{00000000-0005-0000-0000-000091540000}"/>
    <cellStyle name="Normal 7 2 2 3 3 2 2" xfId="2313" xr:uid="{00000000-0005-0000-0000-000092540000}"/>
    <cellStyle name="Normal 7 2 2 3 3 2 2 2" xfId="4780" xr:uid="{00000000-0005-0000-0000-000093540000}"/>
    <cellStyle name="Normal 7 2 2 3 3 2 2 2 2" xfId="9712" xr:uid="{00000000-0005-0000-0000-000094540000}"/>
    <cellStyle name="Normal 7 2 2 3 3 2 2 2 2 2" xfId="19572" xr:uid="{00000000-0005-0000-0000-000095540000}"/>
    <cellStyle name="Normal 7 2 2 3 3 2 2 2 2 2 2" xfId="39287" xr:uid="{00000000-0005-0000-0000-000096540000}"/>
    <cellStyle name="Normal 7 2 2 3 3 2 2 2 2 3" xfId="29430" xr:uid="{00000000-0005-0000-0000-000097540000}"/>
    <cellStyle name="Normal 7 2 2 3 3 2 2 2 3" xfId="14644" xr:uid="{00000000-0005-0000-0000-000098540000}"/>
    <cellStyle name="Normal 7 2 2 3 3 2 2 2 3 2" xfId="34359" xr:uid="{00000000-0005-0000-0000-000099540000}"/>
    <cellStyle name="Normal 7 2 2 3 3 2 2 2 4" xfId="24502" xr:uid="{00000000-0005-0000-0000-00009A540000}"/>
    <cellStyle name="Normal 7 2 2 3 3 2 2 3" xfId="7248" xr:uid="{00000000-0005-0000-0000-00009B540000}"/>
    <cellStyle name="Normal 7 2 2 3 3 2 2 3 2" xfId="17108" xr:uid="{00000000-0005-0000-0000-00009C540000}"/>
    <cellStyle name="Normal 7 2 2 3 3 2 2 3 2 2" xfId="36823" xr:uid="{00000000-0005-0000-0000-00009D540000}"/>
    <cellStyle name="Normal 7 2 2 3 3 2 2 3 3" xfId="26966" xr:uid="{00000000-0005-0000-0000-00009E540000}"/>
    <cellStyle name="Normal 7 2 2 3 3 2 2 4" xfId="12180" xr:uid="{00000000-0005-0000-0000-00009F540000}"/>
    <cellStyle name="Normal 7 2 2 3 3 2 2 4 2" xfId="31895" xr:uid="{00000000-0005-0000-0000-0000A0540000}"/>
    <cellStyle name="Normal 7 2 2 3 3 2 2 5" xfId="22038" xr:uid="{00000000-0005-0000-0000-0000A1540000}"/>
    <cellStyle name="Normal 7 2 2 3 3 2 3" xfId="3548" xr:uid="{00000000-0005-0000-0000-0000A2540000}"/>
    <cellStyle name="Normal 7 2 2 3 3 2 3 2" xfId="8480" xr:uid="{00000000-0005-0000-0000-0000A3540000}"/>
    <cellStyle name="Normal 7 2 2 3 3 2 3 2 2" xfId="18340" xr:uid="{00000000-0005-0000-0000-0000A4540000}"/>
    <cellStyle name="Normal 7 2 2 3 3 2 3 2 2 2" xfId="38055" xr:uid="{00000000-0005-0000-0000-0000A5540000}"/>
    <cellStyle name="Normal 7 2 2 3 3 2 3 2 3" xfId="28198" xr:uid="{00000000-0005-0000-0000-0000A6540000}"/>
    <cellStyle name="Normal 7 2 2 3 3 2 3 3" xfId="13412" xr:uid="{00000000-0005-0000-0000-0000A7540000}"/>
    <cellStyle name="Normal 7 2 2 3 3 2 3 3 2" xfId="33127" xr:uid="{00000000-0005-0000-0000-0000A8540000}"/>
    <cellStyle name="Normal 7 2 2 3 3 2 3 4" xfId="23270" xr:uid="{00000000-0005-0000-0000-0000A9540000}"/>
    <cellStyle name="Normal 7 2 2 3 3 2 4" xfId="6016" xr:uid="{00000000-0005-0000-0000-0000AA540000}"/>
    <cellStyle name="Normal 7 2 2 3 3 2 4 2" xfId="15876" xr:uid="{00000000-0005-0000-0000-0000AB540000}"/>
    <cellStyle name="Normal 7 2 2 3 3 2 4 2 2" xfId="35591" xr:uid="{00000000-0005-0000-0000-0000AC540000}"/>
    <cellStyle name="Normal 7 2 2 3 3 2 4 3" xfId="25734" xr:uid="{00000000-0005-0000-0000-0000AD540000}"/>
    <cellStyle name="Normal 7 2 2 3 3 2 5" xfId="10948" xr:uid="{00000000-0005-0000-0000-0000AE540000}"/>
    <cellStyle name="Normal 7 2 2 3 3 2 5 2" xfId="30663" xr:uid="{00000000-0005-0000-0000-0000AF540000}"/>
    <cellStyle name="Normal 7 2 2 3 3 2 6" xfId="20806" xr:uid="{00000000-0005-0000-0000-0000B0540000}"/>
    <cellStyle name="Normal 7 2 2 3 3 3" xfId="1697" xr:uid="{00000000-0005-0000-0000-0000B1540000}"/>
    <cellStyle name="Normal 7 2 2 3 3 3 2" xfId="4164" xr:uid="{00000000-0005-0000-0000-0000B2540000}"/>
    <cellStyle name="Normal 7 2 2 3 3 3 2 2" xfId="9096" xr:uid="{00000000-0005-0000-0000-0000B3540000}"/>
    <cellStyle name="Normal 7 2 2 3 3 3 2 2 2" xfId="18956" xr:uid="{00000000-0005-0000-0000-0000B4540000}"/>
    <cellStyle name="Normal 7 2 2 3 3 3 2 2 2 2" xfId="38671" xr:uid="{00000000-0005-0000-0000-0000B5540000}"/>
    <cellStyle name="Normal 7 2 2 3 3 3 2 2 3" xfId="28814" xr:uid="{00000000-0005-0000-0000-0000B6540000}"/>
    <cellStyle name="Normal 7 2 2 3 3 3 2 3" xfId="14028" xr:uid="{00000000-0005-0000-0000-0000B7540000}"/>
    <cellStyle name="Normal 7 2 2 3 3 3 2 3 2" xfId="33743" xr:uid="{00000000-0005-0000-0000-0000B8540000}"/>
    <cellStyle name="Normal 7 2 2 3 3 3 2 4" xfId="23886" xr:uid="{00000000-0005-0000-0000-0000B9540000}"/>
    <cellStyle name="Normal 7 2 2 3 3 3 3" xfId="6632" xr:uid="{00000000-0005-0000-0000-0000BA540000}"/>
    <cellStyle name="Normal 7 2 2 3 3 3 3 2" xfId="16492" xr:uid="{00000000-0005-0000-0000-0000BB540000}"/>
    <cellStyle name="Normal 7 2 2 3 3 3 3 2 2" xfId="36207" xr:uid="{00000000-0005-0000-0000-0000BC540000}"/>
    <cellStyle name="Normal 7 2 2 3 3 3 3 3" xfId="26350" xr:uid="{00000000-0005-0000-0000-0000BD540000}"/>
    <cellStyle name="Normal 7 2 2 3 3 3 4" xfId="11564" xr:uid="{00000000-0005-0000-0000-0000BE540000}"/>
    <cellStyle name="Normal 7 2 2 3 3 3 4 2" xfId="31279" xr:uid="{00000000-0005-0000-0000-0000BF540000}"/>
    <cellStyle name="Normal 7 2 2 3 3 3 5" xfId="21422" xr:uid="{00000000-0005-0000-0000-0000C0540000}"/>
    <cellStyle name="Normal 7 2 2 3 3 4" xfId="2932" xr:uid="{00000000-0005-0000-0000-0000C1540000}"/>
    <cellStyle name="Normal 7 2 2 3 3 4 2" xfId="7864" xr:uid="{00000000-0005-0000-0000-0000C2540000}"/>
    <cellStyle name="Normal 7 2 2 3 3 4 2 2" xfId="17724" xr:uid="{00000000-0005-0000-0000-0000C3540000}"/>
    <cellStyle name="Normal 7 2 2 3 3 4 2 2 2" xfId="37439" xr:uid="{00000000-0005-0000-0000-0000C4540000}"/>
    <cellStyle name="Normal 7 2 2 3 3 4 2 3" xfId="27582" xr:uid="{00000000-0005-0000-0000-0000C5540000}"/>
    <cellStyle name="Normal 7 2 2 3 3 4 3" xfId="12796" xr:uid="{00000000-0005-0000-0000-0000C6540000}"/>
    <cellStyle name="Normal 7 2 2 3 3 4 3 2" xfId="32511" xr:uid="{00000000-0005-0000-0000-0000C7540000}"/>
    <cellStyle name="Normal 7 2 2 3 3 4 4" xfId="22654" xr:uid="{00000000-0005-0000-0000-0000C8540000}"/>
    <cellStyle name="Normal 7 2 2 3 3 5" xfId="5400" xr:uid="{00000000-0005-0000-0000-0000C9540000}"/>
    <cellStyle name="Normal 7 2 2 3 3 5 2" xfId="15260" xr:uid="{00000000-0005-0000-0000-0000CA540000}"/>
    <cellStyle name="Normal 7 2 2 3 3 5 2 2" xfId="34975" xr:uid="{00000000-0005-0000-0000-0000CB540000}"/>
    <cellStyle name="Normal 7 2 2 3 3 5 3" xfId="25118" xr:uid="{00000000-0005-0000-0000-0000CC540000}"/>
    <cellStyle name="Normal 7 2 2 3 3 6" xfId="10332" xr:uid="{00000000-0005-0000-0000-0000CD540000}"/>
    <cellStyle name="Normal 7 2 2 3 3 6 2" xfId="30047" xr:uid="{00000000-0005-0000-0000-0000CE540000}"/>
    <cellStyle name="Normal 7 2 2 3 3 7" xfId="20190" xr:uid="{00000000-0005-0000-0000-0000CF540000}"/>
    <cellStyle name="Normal 7 2 2 3 4" xfId="771" xr:uid="{00000000-0005-0000-0000-0000D0540000}"/>
    <cellStyle name="Normal 7 2 2 3 4 2" xfId="2007" xr:uid="{00000000-0005-0000-0000-0000D1540000}"/>
    <cellStyle name="Normal 7 2 2 3 4 2 2" xfId="4474" xr:uid="{00000000-0005-0000-0000-0000D2540000}"/>
    <cellStyle name="Normal 7 2 2 3 4 2 2 2" xfId="9406" xr:uid="{00000000-0005-0000-0000-0000D3540000}"/>
    <cellStyle name="Normal 7 2 2 3 4 2 2 2 2" xfId="19266" xr:uid="{00000000-0005-0000-0000-0000D4540000}"/>
    <cellStyle name="Normal 7 2 2 3 4 2 2 2 2 2" xfId="38981" xr:uid="{00000000-0005-0000-0000-0000D5540000}"/>
    <cellStyle name="Normal 7 2 2 3 4 2 2 2 3" xfId="29124" xr:uid="{00000000-0005-0000-0000-0000D6540000}"/>
    <cellStyle name="Normal 7 2 2 3 4 2 2 3" xfId="14338" xr:uid="{00000000-0005-0000-0000-0000D7540000}"/>
    <cellStyle name="Normal 7 2 2 3 4 2 2 3 2" xfId="34053" xr:uid="{00000000-0005-0000-0000-0000D8540000}"/>
    <cellStyle name="Normal 7 2 2 3 4 2 2 4" xfId="24196" xr:uid="{00000000-0005-0000-0000-0000D9540000}"/>
    <cellStyle name="Normal 7 2 2 3 4 2 3" xfId="6942" xr:uid="{00000000-0005-0000-0000-0000DA540000}"/>
    <cellStyle name="Normal 7 2 2 3 4 2 3 2" xfId="16802" xr:uid="{00000000-0005-0000-0000-0000DB540000}"/>
    <cellStyle name="Normal 7 2 2 3 4 2 3 2 2" xfId="36517" xr:uid="{00000000-0005-0000-0000-0000DC540000}"/>
    <cellStyle name="Normal 7 2 2 3 4 2 3 3" xfId="26660" xr:uid="{00000000-0005-0000-0000-0000DD540000}"/>
    <cellStyle name="Normal 7 2 2 3 4 2 4" xfId="11874" xr:uid="{00000000-0005-0000-0000-0000DE540000}"/>
    <cellStyle name="Normal 7 2 2 3 4 2 4 2" xfId="31589" xr:uid="{00000000-0005-0000-0000-0000DF540000}"/>
    <cellStyle name="Normal 7 2 2 3 4 2 5" xfId="21732" xr:uid="{00000000-0005-0000-0000-0000E0540000}"/>
    <cellStyle name="Normal 7 2 2 3 4 3" xfId="3242" xr:uid="{00000000-0005-0000-0000-0000E1540000}"/>
    <cellStyle name="Normal 7 2 2 3 4 3 2" xfId="8174" xr:uid="{00000000-0005-0000-0000-0000E2540000}"/>
    <cellStyle name="Normal 7 2 2 3 4 3 2 2" xfId="18034" xr:uid="{00000000-0005-0000-0000-0000E3540000}"/>
    <cellStyle name="Normal 7 2 2 3 4 3 2 2 2" xfId="37749" xr:uid="{00000000-0005-0000-0000-0000E4540000}"/>
    <cellStyle name="Normal 7 2 2 3 4 3 2 3" xfId="27892" xr:uid="{00000000-0005-0000-0000-0000E5540000}"/>
    <cellStyle name="Normal 7 2 2 3 4 3 3" xfId="13106" xr:uid="{00000000-0005-0000-0000-0000E6540000}"/>
    <cellStyle name="Normal 7 2 2 3 4 3 3 2" xfId="32821" xr:uid="{00000000-0005-0000-0000-0000E7540000}"/>
    <cellStyle name="Normal 7 2 2 3 4 3 4" xfId="22964" xr:uid="{00000000-0005-0000-0000-0000E8540000}"/>
    <cellStyle name="Normal 7 2 2 3 4 4" xfId="5710" xr:uid="{00000000-0005-0000-0000-0000E9540000}"/>
    <cellStyle name="Normal 7 2 2 3 4 4 2" xfId="15570" xr:uid="{00000000-0005-0000-0000-0000EA540000}"/>
    <cellStyle name="Normal 7 2 2 3 4 4 2 2" xfId="35285" xr:uid="{00000000-0005-0000-0000-0000EB540000}"/>
    <cellStyle name="Normal 7 2 2 3 4 4 3" xfId="25428" xr:uid="{00000000-0005-0000-0000-0000EC540000}"/>
    <cellStyle name="Normal 7 2 2 3 4 5" xfId="10642" xr:uid="{00000000-0005-0000-0000-0000ED540000}"/>
    <cellStyle name="Normal 7 2 2 3 4 5 2" xfId="30357" xr:uid="{00000000-0005-0000-0000-0000EE540000}"/>
    <cellStyle name="Normal 7 2 2 3 4 6" xfId="20500" xr:uid="{00000000-0005-0000-0000-0000EF540000}"/>
    <cellStyle name="Normal 7 2 2 3 5" xfId="1391" xr:uid="{00000000-0005-0000-0000-0000F0540000}"/>
    <cellStyle name="Normal 7 2 2 3 5 2" xfId="3858" xr:uid="{00000000-0005-0000-0000-0000F1540000}"/>
    <cellStyle name="Normal 7 2 2 3 5 2 2" xfId="8790" xr:uid="{00000000-0005-0000-0000-0000F2540000}"/>
    <cellStyle name="Normal 7 2 2 3 5 2 2 2" xfId="18650" xr:uid="{00000000-0005-0000-0000-0000F3540000}"/>
    <cellStyle name="Normal 7 2 2 3 5 2 2 2 2" xfId="38365" xr:uid="{00000000-0005-0000-0000-0000F4540000}"/>
    <cellStyle name="Normal 7 2 2 3 5 2 2 3" xfId="28508" xr:uid="{00000000-0005-0000-0000-0000F5540000}"/>
    <cellStyle name="Normal 7 2 2 3 5 2 3" xfId="13722" xr:uid="{00000000-0005-0000-0000-0000F6540000}"/>
    <cellStyle name="Normal 7 2 2 3 5 2 3 2" xfId="33437" xr:uid="{00000000-0005-0000-0000-0000F7540000}"/>
    <cellStyle name="Normal 7 2 2 3 5 2 4" xfId="23580" xr:uid="{00000000-0005-0000-0000-0000F8540000}"/>
    <cellStyle name="Normal 7 2 2 3 5 3" xfId="6326" xr:uid="{00000000-0005-0000-0000-0000F9540000}"/>
    <cellStyle name="Normal 7 2 2 3 5 3 2" xfId="16186" xr:uid="{00000000-0005-0000-0000-0000FA540000}"/>
    <cellStyle name="Normal 7 2 2 3 5 3 2 2" xfId="35901" xr:uid="{00000000-0005-0000-0000-0000FB540000}"/>
    <cellStyle name="Normal 7 2 2 3 5 3 3" xfId="26044" xr:uid="{00000000-0005-0000-0000-0000FC540000}"/>
    <cellStyle name="Normal 7 2 2 3 5 4" xfId="11258" xr:uid="{00000000-0005-0000-0000-0000FD540000}"/>
    <cellStyle name="Normal 7 2 2 3 5 4 2" xfId="30973" xr:uid="{00000000-0005-0000-0000-0000FE540000}"/>
    <cellStyle name="Normal 7 2 2 3 5 5" xfId="21116" xr:uid="{00000000-0005-0000-0000-0000FF540000}"/>
    <cellStyle name="Normal 7 2 2 3 6" xfId="2626" xr:uid="{00000000-0005-0000-0000-000000550000}"/>
    <cellStyle name="Normal 7 2 2 3 6 2" xfId="7558" xr:uid="{00000000-0005-0000-0000-000001550000}"/>
    <cellStyle name="Normal 7 2 2 3 6 2 2" xfId="17418" xr:uid="{00000000-0005-0000-0000-000002550000}"/>
    <cellStyle name="Normal 7 2 2 3 6 2 2 2" xfId="37133" xr:uid="{00000000-0005-0000-0000-000003550000}"/>
    <cellStyle name="Normal 7 2 2 3 6 2 3" xfId="27276" xr:uid="{00000000-0005-0000-0000-000004550000}"/>
    <cellStyle name="Normal 7 2 2 3 6 3" xfId="12490" xr:uid="{00000000-0005-0000-0000-000005550000}"/>
    <cellStyle name="Normal 7 2 2 3 6 3 2" xfId="32205" xr:uid="{00000000-0005-0000-0000-000006550000}"/>
    <cellStyle name="Normal 7 2 2 3 6 4" xfId="22348" xr:uid="{00000000-0005-0000-0000-000007550000}"/>
    <cellStyle name="Normal 7 2 2 3 7" xfId="5094" xr:uid="{00000000-0005-0000-0000-000008550000}"/>
    <cellStyle name="Normal 7 2 2 3 7 2" xfId="14954" xr:uid="{00000000-0005-0000-0000-000009550000}"/>
    <cellStyle name="Normal 7 2 2 3 7 2 2" xfId="34669" xr:uid="{00000000-0005-0000-0000-00000A550000}"/>
    <cellStyle name="Normal 7 2 2 3 7 3" xfId="24812" xr:uid="{00000000-0005-0000-0000-00000B550000}"/>
    <cellStyle name="Normal 7 2 2 3 8" xfId="10026" xr:uid="{00000000-0005-0000-0000-00000C550000}"/>
    <cellStyle name="Normal 7 2 2 3 8 2" xfId="29741" xr:uid="{00000000-0005-0000-0000-00000D550000}"/>
    <cellStyle name="Normal 7 2 2 3 9" xfId="19884" xr:uid="{00000000-0005-0000-0000-00000E550000}"/>
    <cellStyle name="Normal 7 2 2 4" xfId="220" xr:uid="{00000000-0005-0000-0000-00000F550000}"/>
    <cellStyle name="Normal 7 2 2 4 2" xfId="534" xr:uid="{00000000-0005-0000-0000-000010550000}"/>
    <cellStyle name="Normal 7 2 2 4 2 2" xfId="1154" xr:uid="{00000000-0005-0000-0000-000011550000}"/>
    <cellStyle name="Normal 7 2 2 4 2 2 2" xfId="2389" xr:uid="{00000000-0005-0000-0000-000012550000}"/>
    <cellStyle name="Normal 7 2 2 4 2 2 2 2" xfId="4856" xr:uid="{00000000-0005-0000-0000-000013550000}"/>
    <cellStyle name="Normal 7 2 2 4 2 2 2 2 2" xfId="9788" xr:uid="{00000000-0005-0000-0000-000014550000}"/>
    <cellStyle name="Normal 7 2 2 4 2 2 2 2 2 2" xfId="19648" xr:uid="{00000000-0005-0000-0000-000015550000}"/>
    <cellStyle name="Normal 7 2 2 4 2 2 2 2 2 2 2" xfId="39363" xr:uid="{00000000-0005-0000-0000-000016550000}"/>
    <cellStyle name="Normal 7 2 2 4 2 2 2 2 2 3" xfId="29506" xr:uid="{00000000-0005-0000-0000-000017550000}"/>
    <cellStyle name="Normal 7 2 2 4 2 2 2 2 3" xfId="14720" xr:uid="{00000000-0005-0000-0000-000018550000}"/>
    <cellStyle name="Normal 7 2 2 4 2 2 2 2 3 2" xfId="34435" xr:uid="{00000000-0005-0000-0000-000019550000}"/>
    <cellStyle name="Normal 7 2 2 4 2 2 2 2 4" xfId="24578" xr:uid="{00000000-0005-0000-0000-00001A550000}"/>
    <cellStyle name="Normal 7 2 2 4 2 2 2 3" xfId="7324" xr:uid="{00000000-0005-0000-0000-00001B550000}"/>
    <cellStyle name="Normal 7 2 2 4 2 2 2 3 2" xfId="17184" xr:uid="{00000000-0005-0000-0000-00001C550000}"/>
    <cellStyle name="Normal 7 2 2 4 2 2 2 3 2 2" xfId="36899" xr:uid="{00000000-0005-0000-0000-00001D550000}"/>
    <cellStyle name="Normal 7 2 2 4 2 2 2 3 3" xfId="27042" xr:uid="{00000000-0005-0000-0000-00001E550000}"/>
    <cellStyle name="Normal 7 2 2 4 2 2 2 4" xfId="12256" xr:uid="{00000000-0005-0000-0000-00001F550000}"/>
    <cellStyle name="Normal 7 2 2 4 2 2 2 4 2" xfId="31971" xr:uid="{00000000-0005-0000-0000-000020550000}"/>
    <cellStyle name="Normal 7 2 2 4 2 2 2 5" xfId="22114" xr:uid="{00000000-0005-0000-0000-000021550000}"/>
    <cellStyle name="Normal 7 2 2 4 2 2 3" xfId="3624" xr:uid="{00000000-0005-0000-0000-000022550000}"/>
    <cellStyle name="Normal 7 2 2 4 2 2 3 2" xfId="8556" xr:uid="{00000000-0005-0000-0000-000023550000}"/>
    <cellStyle name="Normal 7 2 2 4 2 2 3 2 2" xfId="18416" xr:uid="{00000000-0005-0000-0000-000024550000}"/>
    <cellStyle name="Normal 7 2 2 4 2 2 3 2 2 2" xfId="38131" xr:uid="{00000000-0005-0000-0000-000025550000}"/>
    <cellStyle name="Normal 7 2 2 4 2 2 3 2 3" xfId="28274" xr:uid="{00000000-0005-0000-0000-000026550000}"/>
    <cellStyle name="Normal 7 2 2 4 2 2 3 3" xfId="13488" xr:uid="{00000000-0005-0000-0000-000027550000}"/>
    <cellStyle name="Normal 7 2 2 4 2 2 3 3 2" xfId="33203" xr:uid="{00000000-0005-0000-0000-000028550000}"/>
    <cellStyle name="Normal 7 2 2 4 2 2 3 4" xfId="23346" xr:uid="{00000000-0005-0000-0000-000029550000}"/>
    <cellStyle name="Normal 7 2 2 4 2 2 4" xfId="6092" xr:uid="{00000000-0005-0000-0000-00002A550000}"/>
    <cellStyle name="Normal 7 2 2 4 2 2 4 2" xfId="15952" xr:uid="{00000000-0005-0000-0000-00002B550000}"/>
    <cellStyle name="Normal 7 2 2 4 2 2 4 2 2" xfId="35667" xr:uid="{00000000-0005-0000-0000-00002C550000}"/>
    <cellStyle name="Normal 7 2 2 4 2 2 4 3" xfId="25810" xr:uid="{00000000-0005-0000-0000-00002D550000}"/>
    <cellStyle name="Normal 7 2 2 4 2 2 5" xfId="11024" xr:uid="{00000000-0005-0000-0000-00002E550000}"/>
    <cellStyle name="Normal 7 2 2 4 2 2 5 2" xfId="30739" xr:uid="{00000000-0005-0000-0000-00002F550000}"/>
    <cellStyle name="Normal 7 2 2 4 2 2 6" xfId="20882" xr:uid="{00000000-0005-0000-0000-000030550000}"/>
    <cellStyle name="Normal 7 2 2 4 2 3" xfId="1773" xr:uid="{00000000-0005-0000-0000-000031550000}"/>
    <cellStyle name="Normal 7 2 2 4 2 3 2" xfId="4240" xr:uid="{00000000-0005-0000-0000-000032550000}"/>
    <cellStyle name="Normal 7 2 2 4 2 3 2 2" xfId="9172" xr:uid="{00000000-0005-0000-0000-000033550000}"/>
    <cellStyle name="Normal 7 2 2 4 2 3 2 2 2" xfId="19032" xr:uid="{00000000-0005-0000-0000-000034550000}"/>
    <cellStyle name="Normal 7 2 2 4 2 3 2 2 2 2" xfId="38747" xr:uid="{00000000-0005-0000-0000-000035550000}"/>
    <cellStyle name="Normal 7 2 2 4 2 3 2 2 3" xfId="28890" xr:uid="{00000000-0005-0000-0000-000036550000}"/>
    <cellStyle name="Normal 7 2 2 4 2 3 2 3" xfId="14104" xr:uid="{00000000-0005-0000-0000-000037550000}"/>
    <cellStyle name="Normal 7 2 2 4 2 3 2 3 2" xfId="33819" xr:uid="{00000000-0005-0000-0000-000038550000}"/>
    <cellStyle name="Normal 7 2 2 4 2 3 2 4" xfId="23962" xr:uid="{00000000-0005-0000-0000-000039550000}"/>
    <cellStyle name="Normal 7 2 2 4 2 3 3" xfId="6708" xr:uid="{00000000-0005-0000-0000-00003A550000}"/>
    <cellStyle name="Normal 7 2 2 4 2 3 3 2" xfId="16568" xr:uid="{00000000-0005-0000-0000-00003B550000}"/>
    <cellStyle name="Normal 7 2 2 4 2 3 3 2 2" xfId="36283" xr:uid="{00000000-0005-0000-0000-00003C550000}"/>
    <cellStyle name="Normal 7 2 2 4 2 3 3 3" xfId="26426" xr:uid="{00000000-0005-0000-0000-00003D550000}"/>
    <cellStyle name="Normal 7 2 2 4 2 3 4" xfId="11640" xr:uid="{00000000-0005-0000-0000-00003E550000}"/>
    <cellStyle name="Normal 7 2 2 4 2 3 4 2" xfId="31355" xr:uid="{00000000-0005-0000-0000-00003F550000}"/>
    <cellStyle name="Normal 7 2 2 4 2 3 5" xfId="21498" xr:uid="{00000000-0005-0000-0000-000040550000}"/>
    <cellStyle name="Normal 7 2 2 4 2 4" xfId="3008" xr:uid="{00000000-0005-0000-0000-000041550000}"/>
    <cellStyle name="Normal 7 2 2 4 2 4 2" xfId="7940" xr:uid="{00000000-0005-0000-0000-000042550000}"/>
    <cellStyle name="Normal 7 2 2 4 2 4 2 2" xfId="17800" xr:uid="{00000000-0005-0000-0000-000043550000}"/>
    <cellStyle name="Normal 7 2 2 4 2 4 2 2 2" xfId="37515" xr:uid="{00000000-0005-0000-0000-000044550000}"/>
    <cellStyle name="Normal 7 2 2 4 2 4 2 3" xfId="27658" xr:uid="{00000000-0005-0000-0000-000045550000}"/>
    <cellStyle name="Normal 7 2 2 4 2 4 3" xfId="12872" xr:uid="{00000000-0005-0000-0000-000046550000}"/>
    <cellStyle name="Normal 7 2 2 4 2 4 3 2" xfId="32587" xr:uid="{00000000-0005-0000-0000-000047550000}"/>
    <cellStyle name="Normal 7 2 2 4 2 4 4" xfId="22730" xr:uid="{00000000-0005-0000-0000-000048550000}"/>
    <cellStyle name="Normal 7 2 2 4 2 5" xfId="5476" xr:uid="{00000000-0005-0000-0000-000049550000}"/>
    <cellStyle name="Normal 7 2 2 4 2 5 2" xfId="15336" xr:uid="{00000000-0005-0000-0000-00004A550000}"/>
    <cellStyle name="Normal 7 2 2 4 2 5 2 2" xfId="35051" xr:uid="{00000000-0005-0000-0000-00004B550000}"/>
    <cellStyle name="Normal 7 2 2 4 2 5 3" xfId="25194" xr:uid="{00000000-0005-0000-0000-00004C550000}"/>
    <cellStyle name="Normal 7 2 2 4 2 6" xfId="10408" xr:uid="{00000000-0005-0000-0000-00004D550000}"/>
    <cellStyle name="Normal 7 2 2 4 2 6 2" xfId="30123" xr:uid="{00000000-0005-0000-0000-00004E550000}"/>
    <cellStyle name="Normal 7 2 2 4 2 7" xfId="20266" xr:uid="{00000000-0005-0000-0000-00004F550000}"/>
    <cellStyle name="Normal 7 2 2 4 3" xfId="847" xr:uid="{00000000-0005-0000-0000-000050550000}"/>
    <cellStyle name="Normal 7 2 2 4 3 2" xfId="2083" xr:uid="{00000000-0005-0000-0000-000051550000}"/>
    <cellStyle name="Normal 7 2 2 4 3 2 2" xfId="4550" xr:uid="{00000000-0005-0000-0000-000052550000}"/>
    <cellStyle name="Normal 7 2 2 4 3 2 2 2" xfId="9482" xr:uid="{00000000-0005-0000-0000-000053550000}"/>
    <cellStyle name="Normal 7 2 2 4 3 2 2 2 2" xfId="19342" xr:uid="{00000000-0005-0000-0000-000054550000}"/>
    <cellStyle name="Normal 7 2 2 4 3 2 2 2 2 2" xfId="39057" xr:uid="{00000000-0005-0000-0000-000055550000}"/>
    <cellStyle name="Normal 7 2 2 4 3 2 2 2 3" xfId="29200" xr:uid="{00000000-0005-0000-0000-000056550000}"/>
    <cellStyle name="Normal 7 2 2 4 3 2 2 3" xfId="14414" xr:uid="{00000000-0005-0000-0000-000057550000}"/>
    <cellStyle name="Normal 7 2 2 4 3 2 2 3 2" xfId="34129" xr:uid="{00000000-0005-0000-0000-000058550000}"/>
    <cellStyle name="Normal 7 2 2 4 3 2 2 4" xfId="24272" xr:uid="{00000000-0005-0000-0000-000059550000}"/>
    <cellStyle name="Normal 7 2 2 4 3 2 3" xfId="7018" xr:uid="{00000000-0005-0000-0000-00005A550000}"/>
    <cellStyle name="Normal 7 2 2 4 3 2 3 2" xfId="16878" xr:uid="{00000000-0005-0000-0000-00005B550000}"/>
    <cellStyle name="Normal 7 2 2 4 3 2 3 2 2" xfId="36593" xr:uid="{00000000-0005-0000-0000-00005C550000}"/>
    <cellStyle name="Normal 7 2 2 4 3 2 3 3" xfId="26736" xr:uid="{00000000-0005-0000-0000-00005D550000}"/>
    <cellStyle name="Normal 7 2 2 4 3 2 4" xfId="11950" xr:uid="{00000000-0005-0000-0000-00005E550000}"/>
    <cellStyle name="Normal 7 2 2 4 3 2 4 2" xfId="31665" xr:uid="{00000000-0005-0000-0000-00005F550000}"/>
    <cellStyle name="Normal 7 2 2 4 3 2 5" xfId="21808" xr:uid="{00000000-0005-0000-0000-000060550000}"/>
    <cellStyle name="Normal 7 2 2 4 3 3" xfId="3318" xr:uid="{00000000-0005-0000-0000-000061550000}"/>
    <cellStyle name="Normal 7 2 2 4 3 3 2" xfId="8250" xr:uid="{00000000-0005-0000-0000-000062550000}"/>
    <cellStyle name="Normal 7 2 2 4 3 3 2 2" xfId="18110" xr:uid="{00000000-0005-0000-0000-000063550000}"/>
    <cellStyle name="Normal 7 2 2 4 3 3 2 2 2" xfId="37825" xr:uid="{00000000-0005-0000-0000-000064550000}"/>
    <cellStyle name="Normal 7 2 2 4 3 3 2 3" xfId="27968" xr:uid="{00000000-0005-0000-0000-000065550000}"/>
    <cellStyle name="Normal 7 2 2 4 3 3 3" xfId="13182" xr:uid="{00000000-0005-0000-0000-000066550000}"/>
    <cellStyle name="Normal 7 2 2 4 3 3 3 2" xfId="32897" xr:uid="{00000000-0005-0000-0000-000067550000}"/>
    <cellStyle name="Normal 7 2 2 4 3 3 4" xfId="23040" xr:uid="{00000000-0005-0000-0000-000068550000}"/>
    <cellStyle name="Normal 7 2 2 4 3 4" xfId="5786" xr:uid="{00000000-0005-0000-0000-000069550000}"/>
    <cellStyle name="Normal 7 2 2 4 3 4 2" xfId="15646" xr:uid="{00000000-0005-0000-0000-00006A550000}"/>
    <cellStyle name="Normal 7 2 2 4 3 4 2 2" xfId="35361" xr:uid="{00000000-0005-0000-0000-00006B550000}"/>
    <cellStyle name="Normal 7 2 2 4 3 4 3" xfId="25504" xr:uid="{00000000-0005-0000-0000-00006C550000}"/>
    <cellStyle name="Normal 7 2 2 4 3 5" xfId="10718" xr:uid="{00000000-0005-0000-0000-00006D550000}"/>
    <cellStyle name="Normal 7 2 2 4 3 5 2" xfId="30433" xr:uid="{00000000-0005-0000-0000-00006E550000}"/>
    <cellStyle name="Normal 7 2 2 4 3 6" xfId="20576" xr:uid="{00000000-0005-0000-0000-00006F550000}"/>
    <cellStyle name="Normal 7 2 2 4 4" xfId="1467" xr:uid="{00000000-0005-0000-0000-000070550000}"/>
    <cellStyle name="Normal 7 2 2 4 4 2" xfId="3934" xr:uid="{00000000-0005-0000-0000-000071550000}"/>
    <cellStyle name="Normal 7 2 2 4 4 2 2" xfId="8866" xr:uid="{00000000-0005-0000-0000-000072550000}"/>
    <cellStyle name="Normal 7 2 2 4 4 2 2 2" xfId="18726" xr:uid="{00000000-0005-0000-0000-000073550000}"/>
    <cellStyle name="Normal 7 2 2 4 4 2 2 2 2" xfId="38441" xr:uid="{00000000-0005-0000-0000-000074550000}"/>
    <cellStyle name="Normal 7 2 2 4 4 2 2 3" xfId="28584" xr:uid="{00000000-0005-0000-0000-000075550000}"/>
    <cellStyle name="Normal 7 2 2 4 4 2 3" xfId="13798" xr:uid="{00000000-0005-0000-0000-000076550000}"/>
    <cellStyle name="Normal 7 2 2 4 4 2 3 2" xfId="33513" xr:uid="{00000000-0005-0000-0000-000077550000}"/>
    <cellStyle name="Normal 7 2 2 4 4 2 4" xfId="23656" xr:uid="{00000000-0005-0000-0000-000078550000}"/>
    <cellStyle name="Normal 7 2 2 4 4 3" xfId="6402" xr:uid="{00000000-0005-0000-0000-000079550000}"/>
    <cellStyle name="Normal 7 2 2 4 4 3 2" xfId="16262" xr:uid="{00000000-0005-0000-0000-00007A550000}"/>
    <cellStyle name="Normal 7 2 2 4 4 3 2 2" xfId="35977" xr:uid="{00000000-0005-0000-0000-00007B550000}"/>
    <cellStyle name="Normal 7 2 2 4 4 3 3" xfId="26120" xr:uid="{00000000-0005-0000-0000-00007C550000}"/>
    <cellStyle name="Normal 7 2 2 4 4 4" xfId="11334" xr:uid="{00000000-0005-0000-0000-00007D550000}"/>
    <cellStyle name="Normal 7 2 2 4 4 4 2" xfId="31049" xr:uid="{00000000-0005-0000-0000-00007E550000}"/>
    <cellStyle name="Normal 7 2 2 4 4 5" xfId="21192" xr:uid="{00000000-0005-0000-0000-00007F550000}"/>
    <cellStyle name="Normal 7 2 2 4 5" xfId="2702" xr:uid="{00000000-0005-0000-0000-000080550000}"/>
    <cellStyle name="Normal 7 2 2 4 5 2" xfId="7634" xr:uid="{00000000-0005-0000-0000-000081550000}"/>
    <cellStyle name="Normal 7 2 2 4 5 2 2" xfId="17494" xr:uid="{00000000-0005-0000-0000-000082550000}"/>
    <cellStyle name="Normal 7 2 2 4 5 2 2 2" xfId="37209" xr:uid="{00000000-0005-0000-0000-000083550000}"/>
    <cellStyle name="Normal 7 2 2 4 5 2 3" xfId="27352" xr:uid="{00000000-0005-0000-0000-000084550000}"/>
    <cellStyle name="Normal 7 2 2 4 5 3" xfId="12566" xr:uid="{00000000-0005-0000-0000-000085550000}"/>
    <cellStyle name="Normal 7 2 2 4 5 3 2" xfId="32281" xr:uid="{00000000-0005-0000-0000-000086550000}"/>
    <cellStyle name="Normal 7 2 2 4 5 4" xfId="22424" xr:uid="{00000000-0005-0000-0000-000087550000}"/>
    <cellStyle name="Normal 7 2 2 4 6" xfId="5170" xr:uid="{00000000-0005-0000-0000-000088550000}"/>
    <cellStyle name="Normal 7 2 2 4 6 2" xfId="15030" xr:uid="{00000000-0005-0000-0000-000089550000}"/>
    <cellStyle name="Normal 7 2 2 4 6 2 2" xfId="34745" xr:uid="{00000000-0005-0000-0000-00008A550000}"/>
    <cellStyle name="Normal 7 2 2 4 6 3" xfId="24888" xr:uid="{00000000-0005-0000-0000-00008B550000}"/>
    <cellStyle name="Normal 7 2 2 4 7" xfId="10102" xr:uid="{00000000-0005-0000-0000-00008C550000}"/>
    <cellStyle name="Normal 7 2 2 4 7 2" xfId="29817" xr:uid="{00000000-0005-0000-0000-00008D550000}"/>
    <cellStyle name="Normal 7 2 2 4 8" xfId="19960" xr:uid="{00000000-0005-0000-0000-00008E550000}"/>
    <cellStyle name="Normal 7 2 2 5" xfId="382" xr:uid="{00000000-0005-0000-0000-00008F550000}"/>
    <cellStyle name="Normal 7 2 2 5 2" xfId="1002" xr:uid="{00000000-0005-0000-0000-000090550000}"/>
    <cellStyle name="Normal 7 2 2 5 2 2" xfId="2237" xr:uid="{00000000-0005-0000-0000-000091550000}"/>
    <cellStyle name="Normal 7 2 2 5 2 2 2" xfId="4704" xr:uid="{00000000-0005-0000-0000-000092550000}"/>
    <cellStyle name="Normal 7 2 2 5 2 2 2 2" xfId="9636" xr:uid="{00000000-0005-0000-0000-000093550000}"/>
    <cellStyle name="Normal 7 2 2 5 2 2 2 2 2" xfId="19496" xr:uid="{00000000-0005-0000-0000-000094550000}"/>
    <cellStyle name="Normal 7 2 2 5 2 2 2 2 2 2" xfId="39211" xr:uid="{00000000-0005-0000-0000-000095550000}"/>
    <cellStyle name="Normal 7 2 2 5 2 2 2 2 3" xfId="29354" xr:uid="{00000000-0005-0000-0000-000096550000}"/>
    <cellStyle name="Normal 7 2 2 5 2 2 2 3" xfId="14568" xr:uid="{00000000-0005-0000-0000-000097550000}"/>
    <cellStyle name="Normal 7 2 2 5 2 2 2 3 2" xfId="34283" xr:uid="{00000000-0005-0000-0000-000098550000}"/>
    <cellStyle name="Normal 7 2 2 5 2 2 2 4" xfId="24426" xr:uid="{00000000-0005-0000-0000-000099550000}"/>
    <cellStyle name="Normal 7 2 2 5 2 2 3" xfId="7172" xr:uid="{00000000-0005-0000-0000-00009A550000}"/>
    <cellStyle name="Normal 7 2 2 5 2 2 3 2" xfId="17032" xr:uid="{00000000-0005-0000-0000-00009B550000}"/>
    <cellStyle name="Normal 7 2 2 5 2 2 3 2 2" xfId="36747" xr:uid="{00000000-0005-0000-0000-00009C550000}"/>
    <cellStyle name="Normal 7 2 2 5 2 2 3 3" xfId="26890" xr:uid="{00000000-0005-0000-0000-00009D550000}"/>
    <cellStyle name="Normal 7 2 2 5 2 2 4" xfId="12104" xr:uid="{00000000-0005-0000-0000-00009E550000}"/>
    <cellStyle name="Normal 7 2 2 5 2 2 4 2" xfId="31819" xr:uid="{00000000-0005-0000-0000-00009F550000}"/>
    <cellStyle name="Normal 7 2 2 5 2 2 5" xfId="21962" xr:uid="{00000000-0005-0000-0000-0000A0550000}"/>
    <cellStyle name="Normal 7 2 2 5 2 3" xfId="3472" xr:uid="{00000000-0005-0000-0000-0000A1550000}"/>
    <cellStyle name="Normal 7 2 2 5 2 3 2" xfId="8404" xr:uid="{00000000-0005-0000-0000-0000A2550000}"/>
    <cellStyle name="Normal 7 2 2 5 2 3 2 2" xfId="18264" xr:uid="{00000000-0005-0000-0000-0000A3550000}"/>
    <cellStyle name="Normal 7 2 2 5 2 3 2 2 2" xfId="37979" xr:uid="{00000000-0005-0000-0000-0000A4550000}"/>
    <cellStyle name="Normal 7 2 2 5 2 3 2 3" xfId="28122" xr:uid="{00000000-0005-0000-0000-0000A5550000}"/>
    <cellStyle name="Normal 7 2 2 5 2 3 3" xfId="13336" xr:uid="{00000000-0005-0000-0000-0000A6550000}"/>
    <cellStyle name="Normal 7 2 2 5 2 3 3 2" xfId="33051" xr:uid="{00000000-0005-0000-0000-0000A7550000}"/>
    <cellStyle name="Normal 7 2 2 5 2 3 4" xfId="23194" xr:uid="{00000000-0005-0000-0000-0000A8550000}"/>
    <cellStyle name="Normal 7 2 2 5 2 4" xfId="5940" xr:uid="{00000000-0005-0000-0000-0000A9550000}"/>
    <cellStyle name="Normal 7 2 2 5 2 4 2" xfId="15800" xr:uid="{00000000-0005-0000-0000-0000AA550000}"/>
    <cellStyle name="Normal 7 2 2 5 2 4 2 2" xfId="35515" xr:uid="{00000000-0005-0000-0000-0000AB550000}"/>
    <cellStyle name="Normal 7 2 2 5 2 4 3" xfId="25658" xr:uid="{00000000-0005-0000-0000-0000AC550000}"/>
    <cellStyle name="Normal 7 2 2 5 2 5" xfId="10872" xr:uid="{00000000-0005-0000-0000-0000AD550000}"/>
    <cellStyle name="Normal 7 2 2 5 2 5 2" xfId="30587" xr:uid="{00000000-0005-0000-0000-0000AE550000}"/>
    <cellStyle name="Normal 7 2 2 5 2 6" xfId="20730" xr:uid="{00000000-0005-0000-0000-0000AF550000}"/>
    <cellStyle name="Normal 7 2 2 5 3" xfId="1621" xr:uid="{00000000-0005-0000-0000-0000B0550000}"/>
    <cellStyle name="Normal 7 2 2 5 3 2" xfId="4088" xr:uid="{00000000-0005-0000-0000-0000B1550000}"/>
    <cellStyle name="Normal 7 2 2 5 3 2 2" xfId="9020" xr:uid="{00000000-0005-0000-0000-0000B2550000}"/>
    <cellStyle name="Normal 7 2 2 5 3 2 2 2" xfId="18880" xr:uid="{00000000-0005-0000-0000-0000B3550000}"/>
    <cellStyle name="Normal 7 2 2 5 3 2 2 2 2" xfId="38595" xr:uid="{00000000-0005-0000-0000-0000B4550000}"/>
    <cellStyle name="Normal 7 2 2 5 3 2 2 3" xfId="28738" xr:uid="{00000000-0005-0000-0000-0000B5550000}"/>
    <cellStyle name="Normal 7 2 2 5 3 2 3" xfId="13952" xr:uid="{00000000-0005-0000-0000-0000B6550000}"/>
    <cellStyle name="Normal 7 2 2 5 3 2 3 2" xfId="33667" xr:uid="{00000000-0005-0000-0000-0000B7550000}"/>
    <cellStyle name="Normal 7 2 2 5 3 2 4" xfId="23810" xr:uid="{00000000-0005-0000-0000-0000B8550000}"/>
    <cellStyle name="Normal 7 2 2 5 3 3" xfId="6556" xr:uid="{00000000-0005-0000-0000-0000B9550000}"/>
    <cellStyle name="Normal 7 2 2 5 3 3 2" xfId="16416" xr:uid="{00000000-0005-0000-0000-0000BA550000}"/>
    <cellStyle name="Normal 7 2 2 5 3 3 2 2" xfId="36131" xr:uid="{00000000-0005-0000-0000-0000BB550000}"/>
    <cellStyle name="Normal 7 2 2 5 3 3 3" xfId="26274" xr:uid="{00000000-0005-0000-0000-0000BC550000}"/>
    <cellStyle name="Normal 7 2 2 5 3 4" xfId="11488" xr:uid="{00000000-0005-0000-0000-0000BD550000}"/>
    <cellStyle name="Normal 7 2 2 5 3 4 2" xfId="31203" xr:uid="{00000000-0005-0000-0000-0000BE550000}"/>
    <cellStyle name="Normal 7 2 2 5 3 5" xfId="21346" xr:uid="{00000000-0005-0000-0000-0000BF550000}"/>
    <cellStyle name="Normal 7 2 2 5 4" xfId="2856" xr:uid="{00000000-0005-0000-0000-0000C0550000}"/>
    <cellStyle name="Normal 7 2 2 5 4 2" xfId="7788" xr:uid="{00000000-0005-0000-0000-0000C1550000}"/>
    <cellStyle name="Normal 7 2 2 5 4 2 2" xfId="17648" xr:uid="{00000000-0005-0000-0000-0000C2550000}"/>
    <cellStyle name="Normal 7 2 2 5 4 2 2 2" xfId="37363" xr:uid="{00000000-0005-0000-0000-0000C3550000}"/>
    <cellStyle name="Normal 7 2 2 5 4 2 3" xfId="27506" xr:uid="{00000000-0005-0000-0000-0000C4550000}"/>
    <cellStyle name="Normal 7 2 2 5 4 3" xfId="12720" xr:uid="{00000000-0005-0000-0000-0000C5550000}"/>
    <cellStyle name="Normal 7 2 2 5 4 3 2" xfId="32435" xr:uid="{00000000-0005-0000-0000-0000C6550000}"/>
    <cellStyle name="Normal 7 2 2 5 4 4" xfId="22578" xr:uid="{00000000-0005-0000-0000-0000C7550000}"/>
    <cellStyle name="Normal 7 2 2 5 5" xfId="5324" xr:uid="{00000000-0005-0000-0000-0000C8550000}"/>
    <cellStyle name="Normal 7 2 2 5 5 2" xfId="15184" xr:uid="{00000000-0005-0000-0000-0000C9550000}"/>
    <cellStyle name="Normal 7 2 2 5 5 2 2" xfId="34899" xr:uid="{00000000-0005-0000-0000-0000CA550000}"/>
    <cellStyle name="Normal 7 2 2 5 5 3" xfId="25042" xr:uid="{00000000-0005-0000-0000-0000CB550000}"/>
    <cellStyle name="Normal 7 2 2 5 6" xfId="10256" xr:uid="{00000000-0005-0000-0000-0000CC550000}"/>
    <cellStyle name="Normal 7 2 2 5 6 2" xfId="29971" xr:uid="{00000000-0005-0000-0000-0000CD550000}"/>
    <cellStyle name="Normal 7 2 2 5 7" xfId="20114" xr:uid="{00000000-0005-0000-0000-0000CE550000}"/>
    <cellStyle name="Normal 7 2 2 6" xfId="695" xr:uid="{00000000-0005-0000-0000-0000CF550000}"/>
    <cellStyle name="Normal 7 2 2 6 2" xfId="1931" xr:uid="{00000000-0005-0000-0000-0000D0550000}"/>
    <cellStyle name="Normal 7 2 2 6 2 2" xfId="4398" xr:uid="{00000000-0005-0000-0000-0000D1550000}"/>
    <cellStyle name="Normal 7 2 2 6 2 2 2" xfId="9330" xr:uid="{00000000-0005-0000-0000-0000D2550000}"/>
    <cellStyle name="Normal 7 2 2 6 2 2 2 2" xfId="19190" xr:uid="{00000000-0005-0000-0000-0000D3550000}"/>
    <cellStyle name="Normal 7 2 2 6 2 2 2 2 2" xfId="38905" xr:uid="{00000000-0005-0000-0000-0000D4550000}"/>
    <cellStyle name="Normal 7 2 2 6 2 2 2 3" xfId="29048" xr:uid="{00000000-0005-0000-0000-0000D5550000}"/>
    <cellStyle name="Normal 7 2 2 6 2 2 3" xfId="14262" xr:uid="{00000000-0005-0000-0000-0000D6550000}"/>
    <cellStyle name="Normal 7 2 2 6 2 2 3 2" xfId="33977" xr:uid="{00000000-0005-0000-0000-0000D7550000}"/>
    <cellStyle name="Normal 7 2 2 6 2 2 4" xfId="24120" xr:uid="{00000000-0005-0000-0000-0000D8550000}"/>
    <cellStyle name="Normal 7 2 2 6 2 3" xfId="6866" xr:uid="{00000000-0005-0000-0000-0000D9550000}"/>
    <cellStyle name="Normal 7 2 2 6 2 3 2" xfId="16726" xr:uid="{00000000-0005-0000-0000-0000DA550000}"/>
    <cellStyle name="Normal 7 2 2 6 2 3 2 2" xfId="36441" xr:uid="{00000000-0005-0000-0000-0000DB550000}"/>
    <cellStyle name="Normal 7 2 2 6 2 3 3" xfId="26584" xr:uid="{00000000-0005-0000-0000-0000DC550000}"/>
    <cellStyle name="Normal 7 2 2 6 2 4" xfId="11798" xr:uid="{00000000-0005-0000-0000-0000DD550000}"/>
    <cellStyle name="Normal 7 2 2 6 2 4 2" xfId="31513" xr:uid="{00000000-0005-0000-0000-0000DE550000}"/>
    <cellStyle name="Normal 7 2 2 6 2 5" xfId="21656" xr:uid="{00000000-0005-0000-0000-0000DF550000}"/>
    <cellStyle name="Normal 7 2 2 6 3" xfId="3166" xr:uid="{00000000-0005-0000-0000-0000E0550000}"/>
    <cellStyle name="Normal 7 2 2 6 3 2" xfId="8098" xr:uid="{00000000-0005-0000-0000-0000E1550000}"/>
    <cellStyle name="Normal 7 2 2 6 3 2 2" xfId="17958" xr:uid="{00000000-0005-0000-0000-0000E2550000}"/>
    <cellStyle name="Normal 7 2 2 6 3 2 2 2" xfId="37673" xr:uid="{00000000-0005-0000-0000-0000E3550000}"/>
    <cellStyle name="Normal 7 2 2 6 3 2 3" xfId="27816" xr:uid="{00000000-0005-0000-0000-0000E4550000}"/>
    <cellStyle name="Normal 7 2 2 6 3 3" xfId="13030" xr:uid="{00000000-0005-0000-0000-0000E5550000}"/>
    <cellStyle name="Normal 7 2 2 6 3 3 2" xfId="32745" xr:uid="{00000000-0005-0000-0000-0000E6550000}"/>
    <cellStyle name="Normal 7 2 2 6 3 4" xfId="22888" xr:uid="{00000000-0005-0000-0000-0000E7550000}"/>
    <cellStyle name="Normal 7 2 2 6 4" xfId="5634" xr:uid="{00000000-0005-0000-0000-0000E8550000}"/>
    <cellStyle name="Normal 7 2 2 6 4 2" xfId="15494" xr:uid="{00000000-0005-0000-0000-0000E9550000}"/>
    <cellStyle name="Normal 7 2 2 6 4 2 2" xfId="35209" xr:uid="{00000000-0005-0000-0000-0000EA550000}"/>
    <cellStyle name="Normal 7 2 2 6 4 3" xfId="25352" xr:uid="{00000000-0005-0000-0000-0000EB550000}"/>
    <cellStyle name="Normal 7 2 2 6 5" xfId="10566" xr:uid="{00000000-0005-0000-0000-0000EC550000}"/>
    <cellStyle name="Normal 7 2 2 6 5 2" xfId="30281" xr:uid="{00000000-0005-0000-0000-0000ED550000}"/>
    <cellStyle name="Normal 7 2 2 6 6" xfId="20424" xr:uid="{00000000-0005-0000-0000-0000EE550000}"/>
    <cellStyle name="Normal 7 2 2 7" xfId="1315" xr:uid="{00000000-0005-0000-0000-0000EF550000}"/>
    <cellStyle name="Normal 7 2 2 7 2" xfId="3782" xr:uid="{00000000-0005-0000-0000-0000F0550000}"/>
    <cellStyle name="Normal 7 2 2 7 2 2" xfId="8714" xr:uid="{00000000-0005-0000-0000-0000F1550000}"/>
    <cellStyle name="Normal 7 2 2 7 2 2 2" xfId="18574" xr:uid="{00000000-0005-0000-0000-0000F2550000}"/>
    <cellStyle name="Normal 7 2 2 7 2 2 2 2" xfId="38289" xr:uid="{00000000-0005-0000-0000-0000F3550000}"/>
    <cellStyle name="Normal 7 2 2 7 2 2 3" xfId="28432" xr:uid="{00000000-0005-0000-0000-0000F4550000}"/>
    <cellStyle name="Normal 7 2 2 7 2 3" xfId="13646" xr:uid="{00000000-0005-0000-0000-0000F5550000}"/>
    <cellStyle name="Normal 7 2 2 7 2 3 2" xfId="33361" xr:uid="{00000000-0005-0000-0000-0000F6550000}"/>
    <cellStyle name="Normal 7 2 2 7 2 4" xfId="23504" xr:uid="{00000000-0005-0000-0000-0000F7550000}"/>
    <cellStyle name="Normal 7 2 2 7 3" xfId="6250" xr:uid="{00000000-0005-0000-0000-0000F8550000}"/>
    <cellStyle name="Normal 7 2 2 7 3 2" xfId="16110" xr:uid="{00000000-0005-0000-0000-0000F9550000}"/>
    <cellStyle name="Normal 7 2 2 7 3 2 2" xfId="35825" xr:uid="{00000000-0005-0000-0000-0000FA550000}"/>
    <cellStyle name="Normal 7 2 2 7 3 3" xfId="25968" xr:uid="{00000000-0005-0000-0000-0000FB550000}"/>
    <cellStyle name="Normal 7 2 2 7 4" xfId="11182" xr:uid="{00000000-0005-0000-0000-0000FC550000}"/>
    <cellStyle name="Normal 7 2 2 7 4 2" xfId="30897" xr:uid="{00000000-0005-0000-0000-0000FD550000}"/>
    <cellStyle name="Normal 7 2 2 7 5" xfId="21040" xr:uid="{00000000-0005-0000-0000-0000FE550000}"/>
    <cellStyle name="Normal 7 2 2 8" xfId="2550" xr:uid="{00000000-0005-0000-0000-0000FF550000}"/>
    <cellStyle name="Normal 7 2 2 8 2" xfId="7482" xr:uid="{00000000-0005-0000-0000-000000560000}"/>
    <cellStyle name="Normal 7 2 2 8 2 2" xfId="17342" xr:uid="{00000000-0005-0000-0000-000001560000}"/>
    <cellStyle name="Normal 7 2 2 8 2 2 2" xfId="37057" xr:uid="{00000000-0005-0000-0000-000002560000}"/>
    <cellStyle name="Normal 7 2 2 8 2 3" xfId="27200" xr:uid="{00000000-0005-0000-0000-000003560000}"/>
    <cellStyle name="Normal 7 2 2 8 3" xfId="12414" xr:uid="{00000000-0005-0000-0000-000004560000}"/>
    <cellStyle name="Normal 7 2 2 8 3 2" xfId="32129" xr:uid="{00000000-0005-0000-0000-000005560000}"/>
    <cellStyle name="Normal 7 2 2 8 4" xfId="22272" xr:uid="{00000000-0005-0000-0000-000006560000}"/>
    <cellStyle name="Normal 7 2 2 9" xfId="5018" xr:uid="{00000000-0005-0000-0000-000007560000}"/>
    <cellStyle name="Normal 7 2 2 9 2" xfId="14878" xr:uid="{00000000-0005-0000-0000-000008560000}"/>
    <cellStyle name="Normal 7 2 2 9 2 2" xfId="34593" xr:uid="{00000000-0005-0000-0000-000009560000}"/>
    <cellStyle name="Normal 7 2 2 9 3" xfId="24736" xr:uid="{00000000-0005-0000-0000-00000A560000}"/>
    <cellStyle name="Normal 7 2 3" xfId="77" xr:uid="{00000000-0005-0000-0000-00000B560000}"/>
    <cellStyle name="Normal 7 2 3 10" xfId="19827" xr:uid="{00000000-0005-0000-0000-00000C560000}"/>
    <cellStyle name="Normal 7 2 3 2" xfId="158" xr:uid="{00000000-0005-0000-0000-00000D560000}"/>
    <cellStyle name="Normal 7 2 3 2 2" xfId="315" xr:uid="{00000000-0005-0000-0000-00000E560000}"/>
    <cellStyle name="Normal 7 2 3 2 2 2" xfId="629" xr:uid="{00000000-0005-0000-0000-00000F560000}"/>
    <cellStyle name="Normal 7 2 3 2 2 2 2" xfId="1249" xr:uid="{00000000-0005-0000-0000-000010560000}"/>
    <cellStyle name="Normal 7 2 3 2 2 2 2 2" xfId="2484" xr:uid="{00000000-0005-0000-0000-000011560000}"/>
    <cellStyle name="Normal 7 2 3 2 2 2 2 2 2" xfId="4951" xr:uid="{00000000-0005-0000-0000-000012560000}"/>
    <cellStyle name="Normal 7 2 3 2 2 2 2 2 2 2" xfId="9883" xr:uid="{00000000-0005-0000-0000-000013560000}"/>
    <cellStyle name="Normal 7 2 3 2 2 2 2 2 2 2 2" xfId="19743" xr:uid="{00000000-0005-0000-0000-000014560000}"/>
    <cellStyle name="Normal 7 2 3 2 2 2 2 2 2 2 2 2" xfId="39458" xr:uid="{00000000-0005-0000-0000-000015560000}"/>
    <cellStyle name="Normal 7 2 3 2 2 2 2 2 2 2 3" xfId="29601" xr:uid="{00000000-0005-0000-0000-000016560000}"/>
    <cellStyle name="Normal 7 2 3 2 2 2 2 2 2 3" xfId="14815" xr:uid="{00000000-0005-0000-0000-000017560000}"/>
    <cellStyle name="Normal 7 2 3 2 2 2 2 2 2 3 2" xfId="34530" xr:uid="{00000000-0005-0000-0000-000018560000}"/>
    <cellStyle name="Normal 7 2 3 2 2 2 2 2 2 4" xfId="24673" xr:uid="{00000000-0005-0000-0000-000019560000}"/>
    <cellStyle name="Normal 7 2 3 2 2 2 2 2 3" xfId="7419" xr:uid="{00000000-0005-0000-0000-00001A560000}"/>
    <cellStyle name="Normal 7 2 3 2 2 2 2 2 3 2" xfId="17279" xr:uid="{00000000-0005-0000-0000-00001B560000}"/>
    <cellStyle name="Normal 7 2 3 2 2 2 2 2 3 2 2" xfId="36994" xr:uid="{00000000-0005-0000-0000-00001C560000}"/>
    <cellStyle name="Normal 7 2 3 2 2 2 2 2 3 3" xfId="27137" xr:uid="{00000000-0005-0000-0000-00001D560000}"/>
    <cellStyle name="Normal 7 2 3 2 2 2 2 2 4" xfId="12351" xr:uid="{00000000-0005-0000-0000-00001E560000}"/>
    <cellStyle name="Normal 7 2 3 2 2 2 2 2 4 2" xfId="32066" xr:uid="{00000000-0005-0000-0000-00001F560000}"/>
    <cellStyle name="Normal 7 2 3 2 2 2 2 2 5" xfId="22209" xr:uid="{00000000-0005-0000-0000-000020560000}"/>
    <cellStyle name="Normal 7 2 3 2 2 2 2 3" xfId="3719" xr:uid="{00000000-0005-0000-0000-000021560000}"/>
    <cellStyle name="Normal 7 2 3 2 2 2 2 3 2" xfId="8651" xr:uid="{00000000-0005-0000-0000-000022560000}"/>
    <cellStyle name="Normal 7 2 3 2 2 2 2 3 2 2" xfId="18511" xr:uid="{00000000-0005-0000-0000-000023560000}"/>
    <cellStyle name="Normal 7 2 3 2 2 2 2 3 2 2 2" xfId="38226" xr:uid="{00000000-0005-0000-0000-000024560000}"/>
    <cellStyle name="Normal 7 2 3 2 2 2 2 3 2 3" xfId="28369" xr:uid="{00000000-0005-0000-0000-000025560000}"/>
    <cellStyle name="Normal 7 2 3 2 2 2 2 3 3" xfId="13583" xr:uid="{00000000-0005-0000-0000-000026560000}"/>
    <cellStyle name="Normal 7 2 3 2 2 2 2 3 3 2" xfId="33298" xr:uid="{00000000-0005-0000-0000-000027560000}"/>
    <cellStyle name="Normal 7 2 3 2 2 2 2 3 4" xfId="23441" xr:uid="{00000000-0005-0000-0000-000028560000}"/>
    <cellStyle name="Normal 7 2 3 2 2 2 2 4" xfId="6187" xr:uid="{00000000-0005-0000-0000-000029560000}"/>
    <cellStyle name="Normal 7 2 3 2 2 2 2 4 2" xfId="16047" xr:uid="{00000000-0005-0000-0000-00002A560000}"/>
    <cellStyle name="Normal 7 2 3 2 2 2 2 4 2 2" xfId="35762" xr:uid="{00000000-0005-0000-0000-00002B560000}"/>
    <cellStyle name="Normal 7 2 3 2 2 2 2 4 3" xfId="25905" xr:uid="{00000000-0005-0000-0000-00002C560000}"/>
    <cellStyle name="Normal 7 2 3 2 2 2 2 5" xfId="11119" xr:uid="{00000000-0005-0000-0000-00002D560000}"/>
    <cellStyle name="Normal 7 2 3 2 2 2 2 5 2" xfId="30834" xr:uid="{00000000-0005-0000-0000-00002E560000}"/>
    <cellStyle name="Normal 7 2 3 2 2 2 2 6" xfId="20977" xr:uid="{00000000-0005-0000-0000-00002F560000}"/>
    <cellStyle name="Normal 7 2 3 2 2 2 3" xfId="1868" xr:uid="{00000000-0005-0000-0000-000030560000}"/>
    <cellStyle name="Normal 7 2 3 2 2 2 3 2" xfId="4335" xr:uid="{00000000-0005-0000-0000-000031560000}"/>
    <cellStyle name="Normal 7 2 3 2 2 2 3 2 2" xfId="9267" xr:uid="{00000000-0005-0000-0000-000032560000}"/>
    <cellStyle name="Normal 7 2 3 2 2 2 3 2 2 2" xfId="19127" xr:uid="{00000000-0005-0000-0000-000033560000}"/>
    <cellStyle name="Normal 7 2 3 2 2 2 3 2 2 2 2" xfId="38842" xr:uid="{00000000-0005-0000-0000-000034560000}"/>
    <cellStyle name="Normal 7 2 3 2 2 2 3 2 2 3" xfId="28985" xr:uid="{00000000-0005-0000-0000-000035560000}"/>
    <cellStyle name="Normal 7 2 3 2 2 2 3 2 3" xfId="14199" xr:uid="{00000000-0005-0000-0000-000036560000}"/>
    <cellStyle name="Normal 7 2 3 2 2 2 3 2 3 2" xfId="33914" xr:uid="{00000000-0005-0000-0000-000037560000}"/>
    <cellStyle name="Normal 7 2 3 2 2 2 3 2 4" xfId="24057" xr:uid="{00000000-0005-0000-0000-000038560000}"/>
    <cellStyle name="Normal 7 2 3 2 2 2 3 3" xfId="6803" xr:uid="{00000000-0005-0000-0000-000039560000}"/>
    <cellStyle name="Normal 7 2 3 2 2 2 3 3 2" xfId="16663" xr:uid="{00000000-0005-0000-0000-00003A560000}"/>
    <cellStyle name="Normal 7 2 3 2 2 2 3 3 2 2" xfId="36378" xr:uid="{00000000-0005-0000-0000-00003B560000}"/>
    <cellStyle name="Normal 7 2 3 2 2 2 3 3 3" xfId="26521" xr:uid="{00000000-0005-0000-0000-00003C560000}"/>
    <cellStyle name="Normal 7 2 3 2 2 2 3 4" xfId="11735" xr:uid="{00000000-0005-0000-0000-00003D560000}"/>
    <cellStyle name="Normal 7 2 3 2 2 2 3 4 2" xfId="31450" xr:uid="{00000000-0005-0000-0000-00003E560000}"/>
    <cellStyle name="Normal 7 2 3 2 2 2 3 5" xfId="21593" xr:uid="{00000000-0005-0000-0000-00003F560000}"/>
    <cellStyle name="Normal 7 2 3 2 2 2 4" xfId="3103" xr:uid="{00000000-0005-0000-0000-000040560000}"/>
    <cellStyle name="Normal 7 2 3 2 2 2 4 2" xfId="8035" xr:uid="{00000000-0005-0000-0000-000041560000}"/>
    <cellStyle name="Normal 7 2 3 2 2 2 4 2 2" xfId="17895" xr:uid="{00000000-0005-0000-0000-000042560000}"/>
    <cellStyle name="Normal 7 2 3 2 2 2 4 2 2 2" xfId="37610" xr:uid="{00000000-0005-0000-0000-000043560000}"/>
    <cellStyle name="Normal 7 2 3 2 2 2 4 2 3" xfId="27753" xr:uid="{00000000-0005-0000-0000-000044560000}"/>
    <cellStyle name="Normal 7 2 3 2 2 2 4 3" xfId="12967" xr:uid="{00000000-0005-0000-0000-000045560000}"/>
    <cellStyle name="Normal 7 2 3 2 2 2 4 3 2" xfId="32682" xr:uid="{00000000-0005-0000-0000-000046560000}"/>
    <cellStyle name="Normal 7 2 3 2 2 2 4 4" xfId="22825" xr:uid="{00000000-0005-0000-0000-000047560000}"/>
    <cellStyle name="Normal 7 2 3 2 2 2 5" xfId="5571" xr:uid="{00000000-0005-0000-0000-000048560000}"/>
    <cellStyle name="Normal 7 2 3 2 2 2 5 2" xfId="15431" xr:uid="{00000000-0005-0000-0000-000049560000}"/>
    <cellStyle name="Normal 7 2 3 2 2 2 5 2 2" xfId="35146" xr:uid="{00000000-0005-0000-0000-00004A560000}"/>
    <cellStyle name="Normal 7 2 3 2 2 2 5 3" xfId="25289" xr:uid="{00000000-0005-0000-0000-00004B560000}"/>
    <cellStyle name="Normal 7 2 3 2 2 2 6" xfId="10503" xr:uid="{00000000-0005-0000-0000-00004C560000}"/>
    <cellStyle name="Normal 7 2 3 2 2 2 6 2" xfId="30218" xr:uid="{00000000-0005-0000-0000-00004D560000}"/>
    <cellStyle name="Normal 7 2 3 2 2 2 7" xfId="20361" xr:uid="{00000000-0005-0000-0000-00004E560000}"/>
    <cellStyle name="Normal 7 2 3 2 2 3" xfId="942" xr:uid="{00000000-0005-0000-0000-00004F560000}"/>
    <cellStyle name="Normal 7 2 3 2 2 3 2" xfId="2178" xr:uid="{00000000-0005-0000-0000-000050560000}"/>
    <cellStyle name="Normal 7 2 3 2 2 3 2 2" xfId="4645" xr:uid="{00000000-0005-0000-0000-000051560000}"/>
    <cellStyle name="Normal 7 2 3 2 2 3 2 2 2" xfId="9577" xr:uid="{00000000-0005-0000-0000-000052560000}"/>
    <cellStyle name="Normal 7 2 3 2 2 3 2 2 2 2" xfId="19437" xr:uid="{00000000-0005-0000-0000-000053560000}"/>
    <cellStyle name="Normal 7 2 3 2 2 3 2 2 2 2 2" xfId="39152" xr:uid="{00000000-0005-0000-0000-000054560000}"/>
    <cellStyle name="Normal 7 2 3 2 2 3 2 2 2 3" xfId="29295" xr:uid="{00000000-0005-0000-0000-000055560000}"/>
    <cellStyle name="Normal 7 2 3 2 2 3 2 2 3" xfId="14509" xr:uid="{00000000-0005-0000-0000-000056560000}"/>
    <cellStyle name="Normal 7 2 3 2 2 3 2 2 3 2" xfId="34224" xr:uid="{00000000-0005-0000-0000-000057560000}"/>
    <cellStyle name="Normal 7 2 3 2 2 3 2 2 4" xfId="24367" xr:uid="{00000000-0005-0000-0000-000058560000}"/>
    <cellStyle name="Normal 7 2 3 2 2 3 2 3" xfId="7113" xr:uid="{00000000-0005-0000-0000-000059560000}"/>
    <cellStyle name="Normal 7 2 3 2 2 3 2 3 2" xfId="16973" xr:uid="{00000000-0005-0000-0000-00005A560000}"/>
    <cellStyle name="Normal 7 2 3 2 2 3 2 3 2 2" xfId="36688" xr:uid="{00000000-0005-0000-0000-00005B560000}"/>
    <cellStyle name="Normal 7 2 3 2 2 3 2 3 3" xfId="26831" xr:uid="{00000000-0005-0000-0000-00005C560000}"/>
    <cellStyle name="Normal 7 2 3 2 2 3 2 4" xfId="12045" xr:uid="{00000000-0005-0000-0000-00005D560000}"/>
    <cellStyle name="Normal 7 2 3 2 2 3 2 4 2" xfId="31760" xr:uid="{00000000-0005-0000-0000-00005E560000}"/>
    <cellStyle name="Normal 7 2 3 2 2 3 2 5" xfId="21903" xr:uid="{00000000-0005-0000-0000-00005F560000}"/>
    <cellStyle name="Normal 7 2 3 2 2 3 3" xfId="3413" xr:uid="{00000000-0005-0000-0000-000060560000}"/>
    <cellStyle name="Normal 7 2 3 2 2 3 3 2" xfId="8345" xr:uid="{00000000-0005-0000-0000-000061560000}"/>
    <cellStyle name="Normal 7 2 3 2 2 3 3 2 2" xfId="18205" xr:uid="{00000000-0005-0000-0000-000062560000}"/>
    <cellStyle name="Normal 7 2 3 2 2 3 3 2 2 2" xfId="37920" xr:uid="{00000000-0005-0000-0000-000063560000}"/>
    <cellStyle name="Normal 7 2 3 2 2 3 3 2 3" xfId="28063" xr:uid="{00000000-0005-0000-0000-000064560000}"/>
    <cellStyle name="Normal 7 2 3 2 2 3 3 3" xfId="13277" xr:uid="{00000000-0005-0000-0000-000065560000}"/>
    <cellStyle name="Normal 7 2 3 2 2 3 3 3 2" xfId="32992" xr:uid="{00000000-0005-0000-0000-000066560000}"/>
    <cellStyle name="Normal 7 2 3 2 2 3 3 4" xfId="23135" xr:uid="{00000000-0005-0000-0000-000067560000}"/>
    <cellStyle name="Normal 7 2 3 2 2 3 4" xfId="5881" xr:uid="{00000000-0005-0000-0000-000068560000}"/>
    <cellStyle name="Normal 7 2 3 2 2 3 4 2" xfId="15741" xr:uid="{00000000-0005-0000-0000-000069560000}"/>
    <cellStyle name="Normal 7 2 3 2 2 3 4 2 2" xfId="35456" xr:uid="{00000000-0005-0000-0000-00006A560000}"/>
    <cellStyle name="Normal 7 2 3 2 2 3 4 3" xfId="25599" xr:uid="{00000000-0005-0000-0000-00006B560000}"/>
    <cellStyle name="Normal 7 2 3 2 2 3 5" xfId="10813" xr:uid="{00000000-0005-0000-0000-00006C560000}"/>
    <cellStyle name="Normal 7 2 3 2 2 3 5 2" xfId="30528" xr:uid="{00000000-0005-0000-0000-00006D560000}"/>
    <cellStyle name="Normal 7 2 3 2 2 3 6" xfId="20671" xr:uid="{00000000-0005-0000-0000-00006E560000}"/>
    <cellStyle name="Normal 7 2 3 2 2 4" xfId="1562" xr:uid="{00000000-0005-0000-0000-00006F560000}"/>
    <cellStyle name="Normal 7 2 3 2 2 4 2" xfId="4029" xr:uid="{00000000-0005-0000-0000-000070560000}"/>
    <cellStyle name="Normal 7 2 3 2 2 4 2 2" xfId="8961" xr:uid="{00000000-0005-0000-0000-000071560000}"/>
    <cellStyle name="Normal 7 2 3 2 2 4 2 2 2" xfId="18821" xr:uid="{00000000-0005-0000-0000-000072560000}"/>
    <cellStyle name="Normal 7 2 3 2 2 4 2 2 2 2" xfId="38536" xr:uid="{00000000-0005-0000-0000-000073560000}"/>
    <cellStyle name="Normal 7 2 3 2 2 4 2 2 3" xfId="28679" xr:uid="{00000000-0005-0000-0000-000074560000}"/>
    <cellStyle name="Normal 7 2 3 2 2 4 2 3" xfId="13893" xr:uid="{00000000-0005-0000-0000-000075560000}"/>
    <cellStyle name="Normal 7 2 3 2 2 4 2 3 2" xfId="33608" xr:uid="{00000000-0005-0000-0000-000076560000}"/>
    <cellStyle name="Normal 7 2 3 2 2 4 2 4" xfId="23751" xr:uid="{00000000-0005-0000-0000-000077560000}"/>
    <cellStyle name="Normal 7 2 3 2 2 4 3" xfId="6497" xr:uid="{00000000-0005-0000-0000-000078560000}"/>
    <cellStyle name="Normal 7 2 3 2 2 4 3 2" xfId="16357" xr:uid="{00000000-0005-0000-0000-000079560000}"/>
    <cellStyle name="Normal 7 2 3 2 2 4 3 2 2" xfId="36072" xr:uid="{00000000-0005-0000-0000-00007A560000}"/>
    <cellStyle name="Normal 7 2 3 2 2 4 3 3" xfId="26215" xr:uid="{00000000-0005-0000-0000-00007B560000}"/>
    <cellStyle name="Normal 7 2 3 2 2 4 4" xfId="11429" xr:uid="{00000000-0005-0000-0000-00007C560000}"/>
    <cellStyle name="Normal 7 2 3 2 2 4 4 2" xfId="31144" xr:uid="{00000000-0005-0000-0000-00007D560000}"/>
    <cellStyle name="Normal 7 2 3 2 2 4 5" xfId="21287" xr:uid="{00000000-0005-0000-0000-00007E560000}"/>
    <cellStyle name="Normal 7 2 3 2 2 5" xfId="2797" xr:uid="{00000000-0005-0000-0000-00007F560000}"/>
    <cellStyle name="Normal 7 2 3 2 2 5 2" xfId="7729" xr:uid="{00000000-0005-0000-0000-000080560000}"/>
    <cellStyle name="Normal 7 2 3 2 2 5 2 2" xfId="17589" xr:uid="{00000000-0005-0000-0000-000081560000}"/>
    <cellStyle name="Normal 7 2 3 2 2 5 2 2 2" xfId="37304" xr:uid="{00000000-0005-0000-0000-000082560000}"/>
    <cellStyle name="Normal 7 2 3 2 2 5 2 3" xfId="27447" xr:uid="{00000000-0005-0000-0000-000083560000}"/>
    <cellStyle name="Normal 7 2 3 2 2 5 3" xfId="12661" xr:uid="{00000000-0005-0000-0000-000084560000}"/>
    <cellStyle name="Normal 7 2 3 2 2 5 3 2" xfId="32376" xr:uid="{00000000-0005-0000-0000-000085560000}"/>
    <cellStyle name="Normal 7 2 3 2 2 5 4" xfId="22519" xr:uid="{00000000-0005-0000-0000-000086560000}"/>
    <cellStyle name="Normal 7 2 3 2 2 6" xfId="5265" xr:uid="{00000000-0005-0000-0000-000087560000}"/>
    <cellStyle name="Normal 7 2 3 2 2 6 2" xfId="15125" xr:uid="{00000000-0005-0000-0000-000088560000}"/>
    <cellStyle name="Normal 7 2 3 2 2 6 2 2" xfId="34840" xr:uid="{00000000-0005-0000-0000-000089560000}"/>
    <cellStyle name="Normal 7 2 3 2 2 6 3" xfId="24983" xr:uid="{00000000-0005-0000-0000-00008A560000}"/>
    <cellStyle name="Normal 7 2 3 2 2 7" xfId="10197" xr:uid="{00000000-0005-0000-0000-00008B560000}"/>
    <cellStyle name="Normal 7 2 3 2 2 7 2" xfId="29912" xr:uid="{00000000-0005-0000-0000-00008C560000}"/>
    <cellStyle name="Normal 7 2 3 2 2 8" xfId="20055" xr:uid="{00000000-0005-0000-0000-00008D560000}"/>
    <cellStyle name="Normal 7 2 3 2 3" xfId="477" xr:uid="{00000000-0005-0000-0000-00008E560000}"/>
    <cellStyle name="Normal 7 2 3 2 3 2" xfId="1097" xr:uid="{00000000-0005-0000-0000-00008F560000}"/>
    <cellStyle name="Normal 7 2 3 2 3 2 2" xfId="2332" xr:uid="{00000000-0005-0000-0000-000090560000}"/>
    <cellStyle name="Normal 7 2 3 2 3 2 2 2" xfId="4799" xr:uid="{00000000-0005-0000-0000-000091560000}"/>
    <cellStyle name="Normal 7 2 3 2 3 2 2 2 2" xfId="9731" xr:uid="{00000000-0005-0000-0000-000092560000}"/>
    <cellStyle name="Normal 7 2 3 2 3 2 2 2 2 2" xfId="19591" xr:uid="{00000000-0005-0000-0000-000093560000}"/>
    <cellStyle name="Normal 7 2 3 2 3 2 2 2 2 2 2" xfId="39306" xr:uid="{00000000-0005-0000-0000-000094560000}"/>
    <cellStyle name="Normal 7 2 3 2 3 2 2 2 2 3" xfId="29449" xr:uid="{00000000-0005-0000-0000-000095560000}"/>
    <cellStyle name="Normal 7 2 3 2 3 2 2 2 3" xfId="14663" xr:uid="{00000000-0005-0000-0000-000096560000}"/>
    <cellStyle name="Normal 7 2 3 2 3 2 2 2 3 2" xfId="34378" xr:uid="{00000000-0005-0000-0000-000097560000}"/>
    <cellStyle name="Normal 7 2 3 2 3 2 2 2 4" xfId="24521" xr:uid="{00000000-0005-0000-0000-000098560000}"/>
    <cellStyle name="Normal 7 2 3 2 3 2 2 3" xfId="7267" xr:uid="{00000000-0005-0000-0000-000099560000}"/>
    <cellStyle name="Normal 7 2 3 2 3 2 2 3 2" xfId="17127" xr:uid="{00000000-0005-0000-0000-00009A560000}"/>
    <cellStyle name="Normal 7 2 3 2 3 2 2 3 2 2" xfId="36842" xr:uid="{00000000-0005-0000-0000-00009B560000}"/>
    <cellStyle name="Normal 7 2 3 2 3 2 2 3 3" xfId="26985" xr:uid="{00000000-0005-0000-0000-00009C560000}"/>
    <cellStyle name="Normal 7 2 3 2 3 2 2 4" xfId="12199" xr:uid="{00000000-0005-0000-0000-00009D560000}"/>
    <cellStyle name="Normal 7 2 3 2 3 2 2 4 2" xfId="31914" xr:uid="{00000000-0005-0000-0000-00009E560000}"/>
    <cellStyle name="Normal 7 2 3 2 3 2 2 5" xfId="22057" xr:uid="{00000000-0005-0000-0000-00009F560000}"/>
    <cellStyle name="Normal 7 2 3 2 3 2 3" xfId="3567" xr:uid="{00000000-0005-0000-0000-0000A0560000}"/>
    <cellStyle name="Normal 7 2 3 2 3 2 3 2" xfId="8499" xr:uid="{00000000-0005-0000-0000-0000A1560000}"/>
    <cellStyle name="Normal 7 2 3 2 3 2 3 2 2" xfId="18359" xr:uid="{00000000-0005-0000-0000-0000A2560000}"/>
    <cellStyle name="Normal 7 2 3 2 3 2 3 2 2 2" xfId="38074" xr:uid="{00000000-0005-0000-0000-0000A3560000}"/>
    <cellStyle name="Normal 7 2 3 2 3 2 3 2 3" xfId="28217" xr:uid="{00000000-0005-0000-0000-0000A4560000}"/>
    <cellStyle name="Normal 7 2 3 2 3 2 3 3" xfId="13431" xr:uid="{00000000-0005-0000-0000-0000A5560000}"/>
    <cellStyle name="Normal 7 2 3 2 3 2 3 3 2" xfId="33146" xr:uid="{00000000-0005-0000-0000-0000A6560000}"/>
    <cellStyle name="Normal 7 2 3 2 3 2 3 4" xfId="23289" xr:uid="{00000000-0005-0000-0000-0000A7560000}"/>
    <cellStyle name="Normal 7 2 3 2 3 2 4" xfId="6035" xr:uid="{00000000-0005-0000-0000-0000A8560000}"/>
    <cellStyle name="Normal 7 2 3 2 3 2 4 2" xfId="15895" xr:uid="{00000000-0005-0000-0000-0000A9560000}"/>
    <cellStyle name="Normal 7 2 3 2 3 2 4 2 2" xfId="35610" xr:uid="{00000000-0005-0000-0000-0000AA560000}"/>
    <cellStyle name="Normal 7 2 3 2 3 2 4 3" xfId="25753" xr:uid="{00000000-0005-0000-0000-0000AB560000}"/>
    <cellStyle name="Normal 7 2 3 2 3 2 5" xfId="10967" xr:uid="{00000000-0005-0000-0000-0000AC560000}"/>
    <cellStyle name="Normal 7 2 3 2 3 2 5 2" xfId="30682" xr:uid="{00000000-0005-0000-0000-0000AD560000}"/>
    <cellStyle name="Normal 7 2 3 2 3 2 6" xfId="20825" xr:uid="{00000000-0005-0000-0000-0000AE560000}"/>
    <cellStyle name="Normal 7 2 3 2 3 3" xfId="1716" xr:uid="{00000000-0005-0000-0000-0000AF560000}"/>
    <cellStyle name="Normal 7 2 3 2 3 3 2" xfId="4183" xr:uid="{00000000-0005-0000-0000-0000B0560000}"/>
    <cellStyle name="Normal 7 2 3 2 3 3 2 2" xfId="9115" xr:uid="{00000000-0005-0000-0000-0000B1560000}"/>
    <cellStyle name="Normal 7 2 3 2 3 3 2 2 2" xfId="18975" xr:uid="{00000000-0005-0000-0000-0000B2560000}"/>
    <cellStyle name="Normal 7 2 3 2 3 3 2 2 2 2" xfId="38690" xr:uid="{00000000-0005-0000-0000-0000B3560000}"/>
    <cellStyle name="Normal 7 2 3 2 3 3 2 2 3" xfId="28833" xr:uid="{00000000-0005-0000-0000-0000B4560000}"/>
    <cellStyle name="Normal 7 2 3 2 3 3 2 3" xfId="14047" xr:uid="{00000000-0005-0000-0000-0000B5560000}"/>
    <cellStyle name="Normal 7 2 3 2 3 3 2 3 2" xfId="33762" xr:uid="{00000000-0005-0000-0000-0000B6560000}"/>
    <cellStyle name="Normal 7 2 3 2 3 3 2 4" xfId="23905" xr:uid="{00000000-0005-0000-0000-0000B7560000}"/>
    <cellStyle name="Normal 7 2 3 2 3 3 3" xfId="6651" xr:uid="{00000000-0005-0000-0000-0000B8560000}"/>
    <cellStyle name="Normal 7 2 3 2 3 3 3 2" xfId="16511" xr:uid="{00000000-0005-0000-0000-0000B9560000}"/>
    <cellStyle name="Normal 7 2 3 2 3 3 3 2 2" xfId="36226" xr:uid="{00000000-0005-0000-0000-0000BA560000}"/>
    <cellStyle name="Normal 7 2 3 2 3 3 3 3" xfId="26369" xr:uid="{00000000-0005-0000-0000-0000BB560000}"/>
    <cellStyle name="Normal 7 2 3 2 3 3 4" xfId="11583" xr:uid="{00000000-0005-0000-0000-0000BC560000}"/>
    <cellStyle name="Normal 7 2 3 2 3 3 4 2" xfId="31298" xr:uid="{00000000-0005-0000-0000-0000BD560000}"/>
    <cellStyle name="Normal 7 2 3 2 3 3 5" xfId="21441" xr:uid="{00000000-0005-0000-0000-0000BE560000}"/>
    <cellStyle name="Normal 7 2 3 2 3 4" xfId="2951" xr:uid="{00000000-0005-0000-0000-0000BF560000}"/>
    <cellStyle name="Normal 7 2 3 2 3 4 2" xfId="7883" xr:uid="{00000000-0005-0000-0000-0000C0560000}"/>
    <cellStyle name="Normal 7 2 3 2 3 4 2 2" xfId="17743" xr:uid="{00000000-0005-0000-0000-0000C1560000}"/>
    <cellStyle name="Normal 7 2 3 2 3 4 2 2 2" xfId="37458" xr:uid="{00000000-0005-0000-0000-0000C2560000}"/>
    <cellStyle name="Normal 7 2 3 2 3 4 2 3" xfId="27601" xr:uid="{00000000-0005-0000-0000-0000C3560000}"/>
    <cellStyle name="Normal 7 2 3 2 3 4 3" xfId="12815" xr:uid="{00000000-0005-0000-0000-0000C4560000}"/>
    <cellStyle name="Normal 7 2 3 2 3 4 3 2" xfId="32530" xr:uid="{00000000-0005-0000-0000-0000C5560000}"/>
    <cellStyle name="Normal 7 2 3 2 3 4 4" xfId="22673" xr:uid="{00000000-0005-0000-0000-0000C6560000}"/>
    <cellStyle name="Normal 7 2 3 2 3 5" xfId="5419" xr:uid="{00000000-0005-0000-0000-0000C7560000}"/>
    <cellStyle name="Normal 7 2 3 2 3 5 2" xfId="15279" xr:uid="{00000000-0005-0000-0000-0000C8560000}"/>
    <cellStyle name="Normal 7 2 3 2 3 5 2 2" xfId="34994" xr:uid="{00000000-0005-0000-0000-0000C9560000}"/>
    <cellStyle name="Normal 7 2 3 2 3 5 3" xfId="25137" xr:uid="{00000000-0005-0000-0000-0000CA560000}"/>
    <cellStyle name="Normal 7 2 3 2 3 6" xfId="10351" xr:uid="{00000000-0005-0000-0000-0000CB560000}"/>
    <cellStyle name="Normal 7 2 3 2 3 6 2" xfId="30066" xr:uid="{00000000-0005-0000-0000-0000CC560000}"/>
    <cellStyle name="Normal 7 2 3 2 3 7" xfId="20209" xr:uid="{00000000-0005-0000-0000-0000CD560000}"/>
    <cellStyle name="Normal 7 2 3 2 4" xfId="790" xr:uid="{00000000-0005-0000-0000-0000CE560000}"/>
    <cellStyle name="Normal 7 2 3 2 4 2" xfId="2026" xr:uid="{00000000-0005-0000-0000-0000CF560000}"/>
    <cellStyle name="Normal 7 2 3 2 4 2 2" xfId="4493" xr:uid="{00000000-0005-0000-0000-0000D0560000}"/>
    <cellStyle name="Normal 7 2 3 2 4 2 2 2" xfId="9425" xr:uid="{00000000-0005-0000-0000-0000D1560000}"/>
    <cellStyle name="Normal 7 2 3 2 4 2 2 2 2" xfId="19285" xr:uid="{00000000-0005-0000-0000-0000D2560000}"/>
    <cellStyle name="Normal 7 2 3 2 4 2 2 2 2 2" xfId="39000" xr:uid="{00000000-0005-0000-0000-0000D3560000}"/>
    <cellStyle name="Normal 7 2 3 2 4 2 2 2 3" xfId="29143" xr:uid="{00000000-0005-0000-0000-0000D4560000}"/>
    <cellStyle name="Normal 7 2 3 2 4 2 2 3" xfId="14357" xr:uid="{00000000-0005-0000-0000-0000D5560000}"/>
    <cellStyle name="Normal 7 2 3 2 4 2 2 3 2" xfId="34072" xr:uid="{00000000-0005-0000-0000-0000D6560000}"/>
    <cellStyle name="Normal 7 2 3 2 4 2 2 4" xfId="24215" xr:uid="{00000000-0005-0000-0000-0000D7560000}"/>
    <cellStyle name="Normal 7 2 3 2 4 2 3" xfId="6961" xr:uid="{00000000-0005-0000-0000-0000D8560000}"/>
    <cellStyle name="Normal 7 2 3 2 4 2 3 2" xfId="16821" xr:uid="{00000000-0005-0000-0000-0000D9560000}"/>
    <cellStyle name="Normal 7 2 3 2 4 2 3 2 2" xfId="36536" xr:uid="{00000000-0005-0000-0000-0000DA560000}"/>
    <cellStyle name="Normal 7 2 3 2 4 2 3 3" xfId="26679" xr:uid="{00000000-0005-0000-0000-0000DB560000}"/>
    <cellStyle name="Normal 7 2 3 2 4 2 4" xfId="11893" xr:uid="{00000000-0005-0000-0000-0000DC560000}"/>
    <cellStyle name="Normal 7 2 3 2 4 2 4 2" xfId="31608" xr:uid="{00000000-0005-0000-0000-0000DD560000}"/>
    <cellStyle name="Normal 7 2 3 2 4 2 5" xfId="21751" xr:uid="{00000000-0005-0000-0000-0000DE560000}"/>
    <cellStyle name="Normal 7 2 3 2 4 3" xfId="3261" xr:uid="{00000000-0005-0000-0000-0000DF560000}"/>
    <cellStyle name="Normal 7 2 3 2 4 3 2" xfId="8193" xr:uid="{00000000-0005-0000-0000-0000E0560000}"/>
    <cellStyle name="Normal 7 2 3 2 4 3 2 2" xfId="18053" xr:uid="{00000000-0005-0000-0000-0000E1560000}"/>
    <cellStyle name="Normal 7 2 3 2 4 3 2 2 2" xfId="37768" xr:uid="{00000000-0005-0000-0000-0000E2560000}"/>
    <cellStyle name="Normal 7 2 3 2 4 3 2 3" xfId="27911" xr:uid="{00000000-0005-0000-0000-0000E3560000}"/>
    <cellStyle name="Normal 7 2 3 2 4 3 3" xfId="13125" xr:uid="{00000000-0005-0000-0000-0000E4560000}"/>
    <cellStyle name="Normal 7 2 3 2 4 3 3 2" xfId="32840" xr:uid="{00000000-0005-0000-0000-0000E5560000}"/>
    <cellStyle name="Normal 7 2 3 2 4 3 4" xfId="22983" xr:uid="{00000000-0005-0000-0000-0000E6560000}"/>
    <cellStyle name="Normal 7 2 3 2 4 4" xfId="5729" xr:uid="{00000000-0005-0000-0000-0000E7560000}"/>
    <cellStyle name="Normal 7 2 3 2 4 4 2" xfId="15589" xr:uid="{00000000-0005-0000-0000-0000E8560000}"/>
    <cellStyle name="Normal 7 2 3 2 4 4 2 2" xfId="35304" xr:uid="{00000000-0005-0000-0000-0000E9560000}"/>
    <cellStyle name="Normal 7 2 3 2 4 4 3" xfId="25447" xr:uid="{00000000-0005-0000-0000-0000EA560000}"/>
    <cellStyle name="Normal 7 2 3 2 4 5" xfId="10661" xr:uid="{00000000-0005-0000-0000-0000EB560000}"/>
    <cellStyle name="Normal 7 2 3 2 4 5 2" xfId="30376" xr:uid="{00000000-0005-0000-0000-0000EC560000}"/>
    <cellStyle name="Normal 7 2 3 2 4 6" xfId="20519" xr:uid="{00000000-0005-0000-0000-0000ED560000}"/>
    <cellStyle name="Normal 7 2 3 2 5" xfId="1410" xr:uid="{00000000-0005-0000-0000-0000EE560000}"/>
    <cellStyle name="Normal 7 2 3 2 5 2" xfId="3877" xr:uid="{00000000-0005-0000-0000-0000EF560000}"/>
    <cellStyle name="Normal 7 2 3 2 5 2 2" xfId="8809" xr:uid="{00000000-0005-0000-0000-0000F0560000}"/>
    <cellStyle name="Normal 7 2 3 2 5 2 2 2" xfId="18669" xr:uid="{00000000-0005-0000-0000-0000F1560000}"/>
    <cellStyle name="Normal 7 2 3 2 5 2 2 2 2" xfId="38384" xr:uid="{00000000-0005-0000-0000-0000F2560000}"/>
    <cellStyle name="Normal 7 2 3 2 5 2 2 3" xfId="28527" xr:uid="{00000000-0005-0000-0000-0000F3560000}"/>
    <cellStyle name="Normal 7 2 3 2 5 2 3" xfId="13741" xr:uid="{00000000-0005-0000-0000-0000F4560000}"/>
    <cellStyle name="Normal 7 2 3 2 5 2 3 2" xfId="33456" xr:uid="{00000000-0005-0000-0000-0000F5560000}"/>
    <cellStyle name="Normal 7 2 3 2 5 2 4" xfId="23599" xr:uid="{00000000-0005-0000-0000-0000F6560000}"/>
    <cellStyle name="Normal 7 2 3 2 5 3" xfId="6345" xr:uid="{00000000-0005-0000-0000-0000F7560000}"/>
    <cellStyle name="Normal 7 2 3 2 5 3 2" xfId="16205" xr:uid="{00000000-0005-0000-0000-0000F8560000}"/>
    <cellStyle name="Normal 7 2 3 2 5 3 2 2" xfId="35920" xr:uid="{00000000-0005-0000-0000-0000F9560000}"/>
    <cellStyle name="Normal 7 2 3 2 5 3 3" xfId="26063" xr:uid="{00000000-0005-0000-0000-0000FA560000}"/>
    <cellStyle name="Normal 7 2 3 2 5 4" xfId="11277" xr:uid="{00000000-0005-0000-0000-0000FB560000}"/>
    <cellStyle name="Normal 7 2 3 2 5 4 2" xfId="30992" xr:uid="{00000000-0005-0000-0000-0000FC560000}"/>
    <cellStyle name="Normal 7 2 3 2 5 5" xfId="21135" xr:uid="{00000000-0005-0000-0000-0000FD560000}"/>
    <cellStyle name="Normal 7 2 3 2 6" xfId="2645" xr:uid="{00000000-0005-0000-0000-0000FE560000}"/>
    <cellStyle name="Normal 7 2 3 2 6 2" xfId="7577" xr:uid="{00000000-0005-0000-0000-0000FF560000}"/>
    <cellStyle name="Normal 7 2 3 2 6 2 2" xfId="17437" xr:uid="{00000000-0005-0000-0000-000000570000}"/>
    <cellStyle name="Normal 7 2 3 2 6 2 2 2" xfId="37152" xr:uid="{00000000-0005-0000-0000-000001570000}"/>
    <cellStyle name="Normal 7 2 3 2 6 2 3" xfId="27295" xr:uid="{00000000-0005-0000-0000-000002570000}"/>
    <cellStyle name="Normal 7 2 3 2 6 3" xfId="12509" xr:uid="{00000000-0005-0000-0000-000003570000}"/>
    <cellStyle name="Normal 7 2 3 2 6 3 2" xfId="32224" xr:uid="{00000000-0005-0000-0000-000004570000}"/>
    <cellStyle name="Normal 7 2 3 2 6 4" xfId="22367" xr:uid="{00000000-0005-0000-0000-000005570000}"/>
    <cellStyle name="Normal 7 2 3 2 7" xfId="5113" xr:uid="{00000000-0005-0000-0000-000006570000}"/>
    <cellStyle name="Normal 7 2 3 2 7 2" xfId="14973" xr:uid="{00000000-0005-0000-0000-000007570000}"/>
    <cellStyle name="Normal 7 2 3 2 7 2 2" xfId="34688" xr:uid="{00000000-0005-0000-0000-000008570000}"/>
    <cellStyle name="Normal 7 2 3 2 7 3" xfId="24831" xr:uid="{00000000-0005-0000-0000-000009570000}"/>
    <cellStyle name="Normal 7 2 3 2 8" xfId="10045" xr:uid="{00000000-0005-0000-0000-00000A570000}"/>
    <cellStyle name="Normal 7 2 3 2 8 2" xfId="29760" xr:uid="{00000000-0005-0000-0000-00000B570000}"/>
    <cellStyle name="Normal 7 2 3 2 9" xfId="19903" xr:uid="{00000000-0005-0000-0000-00000C570000}"/>
    <cellStyle name="Normal 7 2 3 3" xfId="239" xr:uid="{00000000-0005-0000-0000-00000D570000}"/>
    <cellStyle name="Normal 7 2 3 3 2" xfId="553" xr:uid="{00000000-0005-0000-0000-00000E570000}"/>
    <cellStyle name="Normal 7 2 3 3 2 2" xfId="1173" xr:uid="{00000000-0005-0000-0000-00000F570000}"/>
    <cellStyle name="Normal 7 2 3 3 2 2 2" xfId="2408" xr:uid="{00000000-0005-0000-0000-000010570000}"/>
    <cellStyle name="Normal 7 2 3 3 2 2 2 2" xfId="4875" xr:uid="{00000000-0005-0000-0000-000011570000}"/>
    <cellStyle name="Normal 7 2 3 3 2 2 2 2 2" xfId="9807" xr:uid="{00000000-0005-0000-0000-000012570000}"/>
    <cellStyle name="Normal 7 2 3 3 2 2 2 2 2 2" xfId="19667" xr:uid="{00000000-0005-0000-0000-000013570000}"/>
    <cellStyle name="Normal 7 2 3 3 2 2 2 2 2 2 2" xfId="39382" xr:uid="{00000000-0005-0000-0000-000014570000}"/>
    <cellStyle name="Normal 7 2 3 3 2 2 2 2 2 3" xfId="29525" xr:uid="{00000000-0005-0000-0000-000015570000}"/>
    <cellStyle name="Normal 7 2 3 3 2 2 2 2 3" xfId="14739" xr:uid="{00000000-0005-0000-0000-000016570000}"/>
    <cellStyle name="Normal 7 2 3 3 2 2 2 2 3 2" xfId="34454" xr:uid="{00000000-0005-0000-0000-000017570000}"/>
    <cellStyle name="Normal 7 2 3 3 2 2 2 2 4" xfId="24597" xr:uid="{00000000-0005-0000-0000-000018570000}"/>
    <cellStyle name="Normal 7 2 3 3 2 2 2 3" xfId="7343" xr:uid="{00000000-0005-0000-0000-000019570000}"/>
    <cellStyle name="Normal 7 2 3 3 2 2 2 3 2" xfId="17203" xr:uid="{00000000-0005-0000-0000-00001A570000}"/>
    <cellStyle name="Normal 7 2 3 3 2 2 2 3 2 2" xfId="36918" xr:uid="{00000000-0005-0000-0000-00001B570000}"/>
    <cellStyle name="Normal 7 2 3 3 2 2 2 3 3" xfId="27061" xr:uid="{00000000-0005-0000-0000-00001C570000}"/>
    <cellStyle name="Normal 7 2 3 3 2 2 2 4" xfId="12275" xr:uid="{00000000-0005-0000-0000-00001D570000}"/>
    <cellStyle name="Normal 7 2 3 3 2 2 2 4 2" xfId="31990" xr:uid="{00000000-0005-0000-0000-00001E570000}"/>
    <cellStyle name="Normal 7 2 3 3 2 2 2 5" xfId="22133" xr:uid="{00000000-0005-0000-0000-00001F570000}"/>
    <cellStyle name="Normal 7 2 3 3 2 2 3" xfId="3643" xr:uid="{00000000-0005-0000-0000-000020570000}"/>
    <cellStyle name="Normal 7 2 3 3 2 2 3 2" xfId="8575" xr:uid="{00000000-0005-0000-0000-000021570000}"/>
    <cellStyle name="Normal 7 2 3 3 2 2 3 2 2" xfId="18435" xr:uid="{00000000-0005-0000-0000-000022570000}"/>
    <cellStyle name="Normal 7 2 3 3 2 2 3 2 2 2" xfId="38150" xr:uid="{00000000-0005-0000-0000-000023570000}"/>
    <cellStyle name="Normal 7 2 3 3 2 2 3 2 3" xfId="28293" xr:uid="{00000000-0005-0000-0000-000024570000}"/>
    <cellStyle name="Normal 7 2 3 3 2 2 3 3" xfId="13507" xr:uid="{00000000-0005-0000-0000-000025570000}"/>
    <cellStyle name="Normal 7 2 3 3 2 2 3 3 2" xfId="33222" xr:uid="{00000000-0005-0000-0000-000026570000}"/>
    <cellStyle name="Normal 7 2 3 3 2 2 3 4" xfId="23365" xr:uid="{00000000-0005-0000-0000-000027570000}"/>
    <cellStyle name="Normal 7 2 3 3 2 2 4" xfId="6111" xr:uid="{00000000-0005-0000-0000-000028570000}"/>
    <cellStyle name="Normal 7 2 3 3 2 2 4 2" xfId="15971" xr:uid="{00000000-0005-0000-0000-000029570000}"/>
    <cellStyle name="Normal 7 2 3 3 2 2 4 2 2" xfId="35686" xr:uid="{00000000-0005-0000-0000-00002A570000}"/>
    <cellStyle name="Normal 7 2 3 3 2 2 4 3" xfId="25829" xr:uid="{00000000-0005-0000-0000-00002B570000}"/>
    <cellStyle name="Normal 7 2 3 3 2 2 5" xfId="11043" xr:uid="{00000000-0005-0000-0000-00002C570000}"/>
    <cellStyle name="Normal 7 2 3 3 2 2 5 2" xfId="30758" xr:uid="{00000000-0005-0000-0000-00002D570000}"/>
    <cellStyle name="Normal 7 2 3 3 2 2 6" xfId="20901" xr:uid="{00000000-0005-0000-0000-00002E570000}"/>
    <cellStyle name="Normal 7 2 3 3 2 3" xfId="1792" xr:uid="{00000000-0005-0000-0000-00002F570000}"/>
    <cellStyle name="Normal 7 2 3 3 2 3 2" xfId="4259" xr:uid="{00000000-0005-0000-0000-000030570000}"/>
    <cellStyle name="Normal 7 2 3 3 2 3 2 2" xfId="9191" xr:uid="{00000000-0005-0000-0000-000031570000}"/>
    <cellStyle name="Normal 7 2 3 3 2 3 2 2 2" xfId="19051" xr:uid="{00000000-0005-0000-0000-000032570000}"/>
    <cellStyle name="Normal 7 2 3 3 2 3 2 2 2 2" xfId="38766" xr:uid="{00000000-0005-0000-0000-000033570000}"/>
    <cellStyle name="Normal 7 2 3 3 2 3 2 2 3" xfId="28909" xr:uid="{00000000-0005-0000-0000-000034570000}"/>
    <cellStyle name="Normal 7 2 3 3 2 3 2 3" xfId="14123" xr:uid="{00000000-0005-0000-0000-000035570000}"/>
    <cellStyle name="Normal 7 2 3 3 2 3 2 3 2" xfId="33838" xr:uid="{00000000-0005-0000-0000-000036570000}"/>
    <cellStyle name="Normal 7 2 3 3 2 3 2 4" xfId="23981" xr:uid="{00000000-0005-0000-0000-000037570000}"/>
    <cellStyle name="Normal 7 2 3 3 2 3 3" xfId="6727" xr:uid="{00000000-0005-0000-0000-000038570000}"/>
    <cellStyle name="Normal 7 2 3 3 2 3 3 2" xfId="16587" xr:uid="{00000000-0005-0000-0000-000039570000}"/>
    <cellStyle name="Normal 7 2 3 3 2 3 3 2 2" xfId="36302" xr:uid="{00000000-0005-0000-0000-00003A570000}"/>
    <cellStyle name="Normal 7 2 3 3 2 3 3 3" xfId="26445" xr:uid="{00000000-0005-0000-0000-00003B570000}"/>
    <cellStyle name="Normal 7 2 3 3 2 3 4" xfId="11659" xr:uid="{00000000-0005-0000-0000-00003C570000}"/>
    <cellStyle name="Normal 7 2 3 3 2 3 4 2" xfId="31374" xr:uid="{00000000-0005-0000-0000-00003D570000}"/>
    <cellStyle name="Normal 7 2 3 3 2 3 5" xfId="21517" xr:uid="{00000000-0005-0000-0000-00003E570000}"/>
    <cellStyle name="Normal 7 2 3 3 2 4" xfId="3027" xr:uid="{00000000-0005-0000-0000-00003F570000}"/>
    <cellStyle name="Normal 7 2 3 3 2 4 2" xfId="7959" xr:uid="{00000000-0005-0000-0000-000040570000}"/>
    <cellStyle name="Normal 7 2 3 3 2 4 2 2" xfId="17819" xr:uid="{00000000-0005-0000-0000-000041570000}"/>
    <cellStyle name="Normal 7 2 3 3 2 4 2 2 2" xfId="37534" xr:uid="{00000000-0005-0000-0000-000042570000}"/>
    <cellStyle name="Normal 7 2 3 3 2 4 2 3" xfId="27677" xr:uid="{00000000-0005-0000-0000-000043570000}"/>
    <cellStyle name="Normal 7 2 3 3 2 4 3" xfId="12891" xr:uid="{00000000-0005-0000-0000-000044570000}"/>
    <cellStyle name="Normal 7 2 3 3 2 4 3 2" xfId="32606" xr:uid="{00000000-0005-0000-0000-000045570000}"/>
    <cellStyle name="Normal 7 2 3 3 2 4 4" xfId="22749" xr:uid="{00000000-0005-0000-0000-000046570000}"/>
    <cellStyle name="Normal 7 2 3 3 2 5" xfId="5495" xr:uid="{00000000-0005-0000-0000-000047570000}"/>
    <cellStyle name="Normal 7 2 3 3 2 5 2" xfId="15355" xr:uid="{00000000-0005-0000-0000-000048570000}"/>
    <cellStyle name="Normal 7 2 3 3 2 5 2 2" xfId="35070" xr:uid="{00000000-0005-0000-0000-000049570000}"/>
    <cellStyle name="Normal 7 2 3 3 2 5 3" xfId="25213" xr:uid="{00000000-0005-0000-0000-00004A570000}"/>
    <cellStyle name="Normal 7 2 3 3 2 6" xfId="10427" xr:uid="{00000000-0005-0000-0000-00004B570000}"/>
    <cellStyle name="Normal 7 2 3 3 2 6 2" xfId="30142" xr:uid="{00000000-0005-0000-0000-00004C570000}"/>
    <cellStyle name="Normal 7 2 3 3 2 7" xfId="20285" xr:uid="{00000000-0005-0000-0000-00004D570000}"/>
    <cellStyle name="Normal 7 2 3 3 3" xfId="866" xr:uid="{00000000-0005-0000-0000-00004E570000}"/>
    <cellStyle name="Normal 7 2 3 3 3 2" xfId="2102" xr:uid="{00000000-0005-0000-0000-00004F570000}"/>
    <cellStyle name="Normal 7 2 3 3 3 2 2" xfId="4569" xr:uid="{00000000-0005-0000-0000-000050570000}"/>
    <cellStyle name="Normal 7 2 3 3 3 2 2 2" xfId="9501" xr:uid="{00000000-0005-0000-0000-000051570000}"/>
    <cellStyle name="Normal 7 2 3 3 3 2 2 2 2" xfId="19361" xr:uid="{00000000-0005-0000-0000-000052570000}"/>
    <cellStyle name="Normal 7 2 3 3 3 2 2 2 2 2" xfId="39076" xr:uid="{00000000-0005-0000-0000-000053570000}"/>
    <cellStyle name="Normal 7 2 3 3 3 2 2 2 3" xfId="29219" xr:uid="{00000000-0005-0000-0000-000054570000}"/>
    <cellStyle name="Normal 7 2 3 3 3 2 2 3" xfId="14433" xr:uid="{00000000-0005-0000-0000-000055570000}"/>
    <cellStyle name="Normal 7 2 3 3 3 2 2 3 2" xfId="34148" xr:uid="{00000000-0005-0000-0000-000056570000}"/>
    <cellStyle name="Normal 7 2 3 3 3 2 2 4" xfId="24291" xr:uid="{00000000-0005-0000-0000-000057570000}"/>
    <cellStyle name="Normal 7 2 3 3 3 2 3" xfId="7037" xr:uid="{00000000-0005-0000-0000-000058570000}"/>
    <cellStyle name="Normal 7 2 3 3 3 2 3 2" xfId="16897" xr:uid="{00000000-0005-0000-0000-000059570000}"/>
    <cellStyle name="Normal 7 2 3 3 3 2 3 2 2" xfId="36612" xr:uid="{00000000-0005-0000-0000-00005A570000}"/>
    <cellStyle name="Normal 7 2 3 3 3 2 3 3" xfId="26755" xr:uid="{00000000-0005-0000-0000-00005B570000}"/>
    <cellStyle name="Normal 7 2 3 3 3 2 4" xfId="11969" xr:uid="{00000000-0005-0000-0000-00005C570000}"/>
    <cellStyle name="Normal 7 2 3 3 3 2 4 2" xfId="31684" xr:uid="{00000000-0005-0000-0000-00005D570000}"/>
    <cellStyle name="Normal 7 2 3 3 3 2 5" xfId="21827" xr:uid="{00000000-0005-0000-0000-00005E570000}"/>
    <cellStyle name="Normal 7 2 3 3 3 3" xfId="3337" xr:uid="{00000000-0005-0000-0000-00005F570000}"/>
    <cellStyle name="Normal 7 2 3 3 3 3 2" xfId="8269" xr:uid="{00000000-0005-0000-0000-000060570000}"/>
    <cellStyle name="Normal 7 2 3 3 3 3 2 2" xfId="18129" xr:uid="{00000000-0005-0000-0000-000061570000}"/>
    <cellStyle name="Normal 7 2 3 3 3 3 2 2 2" xfId="37844" xr:uid="{00000000-0005-0000-0000-000062570000}"/>
    <cellStyle name="Normal 7 2 3 3 3 3 2 3" xfId="27987" xr:uid="{00000000-0005-0000-0000-000063570000}"/>
    <cellStyle name="Normal 7 2 3 3 3 3 3" xfId="13201" xr:uid="{00000000-0005-0000-0000-000064570000}"/>
    <cellStyle name="Normal 7 2 3 3 3 3 3 2" xfId="32916" xr:uid="{00000000-0005-0000-0000-000065570000}"/>
    <cellStyle name="Normal 7 2 3 3 3 3 4" xfId="23059" xr:uid="{00000000-0005-0000-0000-000066570000}"/>
    <cellStyle name="Normal 7 2 3 3 3 4" xfId="5805" xr:uid="{00000000-0005-0000-0000-000067570000}"/>
    <cellStyle name="Normal 7 2 3 3 3 4 2" xfId="15665" xr:uid="{00000000-0005-0000-0000-000068570000}"/>
    <cellStyle name="Normal 7 2 3 3 3 4 2 2" xfId="35380" xr:uid="{00000000-0005-0000-0000-000069570000}"/>
    <cellStyle name="Normal 7 2 3 3 3 4 3" xfId="25523" xr:uid="{00000000-0005-0000-0000-00006A570000}"/>
    <cellStyle name="Normal 7 2 3 3 3 5" xfId="10737" xr:uid="{00000000-0005-0000-0000-00006B570000}"/>
    <cellStyle name="Normal 7 2 3 3 3 5 2" xfId="30452" xr:uid="{00000000-0005-0000-0000-00006C570000}"/>
    <cellStyle name="Normal 7 2 3 3 3 6" xfId="20595" xr:uid="{00000000-0005-0000-0000-00006D570000}"/>
    <cellStyle name="Normal 7 2 3 3 4" xfId="1486" xr:uid="{00000000-0005-0000-0000-00006E570000}"/>
    <cellStyle name="Normal 7 2 3 3 4 2" xfId="3953" xr:uid="{00000000-0005-0000-0000-00006F570000}"/>
    <cellStyle name="Normal 7 2 3 3 4 2 2" xfId="8885" xr:uid="{00000000-0005-0000-0000-000070570000}"/>
    <cellStyle name="Normal 7 2 3 3 4 2 2 2" xfId="18745" xr:uid="{00000000-0005-0000-0000-000071570000}"/>
    <cellStyle name="Normal 7 2 3 3 4 2 2 2 2" xfId="38460" xr:uid="{00000000-0005-0000-0000-000072570000}"/>
    <cellStyle name="Normal 7 2 3 3 4 2 2 3" xfId="28603" xr:uid="{00000000-0005-0000-0000-000073570000}"/>
    <cellStyle name="Normal 7 2 3 3 4 2 3" xfId="13817" xr:uid="{00000000-0005-0000-0000-000074570000}"/>
    <cellStyle name="Normal 7 2 3 3 4 2 3 2" xfId="33532" xr:uid="{00000000-0005-0000-0000-000075570000}"/>
    <cellStyle name="Normal 7 2 3 3 4 2 4" xfId="23675" xr:uid="{00000000-0005-0000-0000-000076570000}"/>
    <cellStyle name="Normal 7 2 3 3 4 3" xfId="6421" xr:uid="{00000000-0005-0000-0000-000077570000}"/>
    <cellStyle name="Normal 7 2 3 3 4 3 2" xfId="16281" xr:uid="{00000000-0005-0000-0000-000078570000}"/>
    <cellStyle name="Normal 7 2 3 3 4 3 2 2" xfId="35996" xr:uid="{00000000-0005-0000-0000-000079570000}"/>
    <cellStyle name="Normal 7 2 3 3 4 3 3" xfId="26139" xr:uid="{00000000-0005-0000-0000-00007A570000}"/>
    <cellStyle name="Normal 7 2 3 3 4 4" xfId="11353" xr:uid="{00000000-0005-0000-0000-00007B570000}"/>
    <cellStyle name="Normal 7 2 3 3 4 4 2" xfId="31068" xr:uid="{00000000-0005-0000-0000-00007C570000}"/>
    <cellStyle name="Normal 7 2 3 3 4 5" xfId="21211" xr:uid="{00000000-0005-0000-0000-00007D570000}"/>
    <cellStyle name="Normal 7 2 3 3 5" xfId="2721" xr:uid="{00000000-0005-0000-0000-00007E570000}"/>
    <cellStyle name="Normal 7 2 3 3 5 2" xfId="7653" xr:uid="{00000000-0005-0000-0000-00007F570000}"/>
    <cellStyle name="Normal 7 2 3 3 5 2 2" xfId="17513" xr:uid="{00000000-0005-0000-0000-000080570000}"/>
    <cellStyle name="Normal 7 2 3 3 5 2 2 2" xfId="37228" xr:uid="{00000000-0005-0000-0000-000081570000}"/>
    <cellStyle name="Normal 7 2 3 3 5 2 3" xfId="27371" xr:uid="{00000000-0005-0000-0000-000082570000}"/>
    <cellStyle name="Normal 7 2 3 3 5 3" xfId="12585" xr:uid="{00000000-0005-0000-0000-000083570000}"/>
    <cellStyle name="Normal 7 2 3 3 5 3 2" xfId="32300" xr:uid="{00000000-0005-0000-0000-000084570000}"/>
    <cellStyle name="Normal 7 2 3 3 5 4" xfId="22443" xr:uid="{00000000-0005-0000-0000-000085570000}"/>
    <cellStyle name="Normal 7 2 3 3 6" xfId="5189" xr:uid="{00000000-0005-0000-0000-000086570000}"/>
    <cellStyle name="Normal 7 2 3 3 6 2" xfId="15049" xr:uid="{00000000-0005-0000-0000-000087570000}"/>
    <cellStyle name="Normal 7 2 3 3 6 2 2" xfId="34764" xr:uid="{00000000-0005-0000-0000-000088570000}"/>
    <cellStyle name="Normal 7 2 3 3 6 3" xfId="24907" xr:uid="{00000000-0005-0000-0000-000089570000}"/>
    <cellStyle name="Normal 7 2 3 3 7" xfId="10121" xr:uid="{00000000-0005-0000-0000-00008A570000}"/>
    <cellStyle name="Normal 7 2 3 3 7 2" xfId="29836" xr:uid="{00000000-0005-0000-0000-00008B570000}"/>
    <cellStyle name="Normal 7 2 3 3 8" xfId="19979" xr:uid="{00000000-0005-0000-0000-00008C570000}"/>
    <cellStyle name="Normal 7 2 3 4" xfId="401" xr:uid="{00000000-0005-0000-0000-00008D570000}"/>
    <cellStyle name="Normal 7 2 3 4 2" xfId="1021" xr:uid="{00000000-0005-0000-0000-00008E570000}"/>
    <cellStyle name="Normal 7 2 3 4 2 2" xfId="2256" xr:uid="{00000000-0005-0000-0000-00008F570000}"/>
    <cellStyle name="Normal 7 2 3 4 2 2 2" xfId="4723" xr:uid="{00000000-0005-0000-0000-000090570000}"/>
    <cellStyle name="Normal 7 2 3 4 2 2 2 2" xfId="9655" xr:uid="{00000000-0005-0000-0000-000091570000}"/>
    <cellStyle name="Normal 7 2 3 4 2 2 2 2 2" xfId="19515" xr:uid="{00000000-0005-0000-0000-000092570000}"/>
    <cellStyle name="Normal 7 2 3 4 2 2 2 2 2 2" xfId="39230" xr:uid="{00000000-0005-0000-0000-000093570000}"/>
    <cellStyle name="Normal 7 2 3 4 2 2 2 2 3" xfId="29373" xr:uid="{00000000-0005-0000-0000-000094570000}"/>
    <cellStyle name="Normal 7 2 3 4 2 2 2 3" xfId="14587" xr:uid="{00000000-0005-0000-0000-000095570000}"/>
    <cellStyle name="Normal 7 2 3 4 2 2 2 3 2" xfId="34302" xr:uid="{00000000-0005-0000-0000-000096570000}"/>
    <cellStyle name="Normal 7 2 3 4 2 2 2 4" xfId="24445" xr:uid="{00000000-0005-0000-0000-000097570000}"/>
    <cellStyle name="Normal 7 2 3 4 2 2 3" xfId="7191" xr:uid="{00000000-0005-0000-0000-000098570000}"/>
    <cellStyle name="Normal 7 2 3 4 2 2 3 2" xfId="17051" xr:uid="{00000000-0005-0000-0000-000099570000}"/>
    <cellStyle name="Normal 7 2 3 4 2 2 3 2 2" xfId="36766" xr:uid="{00000000-0005-0000-0000-00009A570000}"/>
    <cellStyle name="Normal 7 2 3 4 2 2 3 3" xfId="26909" xr:uid="{00000000-0005-0000-0000-00009B570000}"/>
    <cellStyle name="Normal 7 2 3 4 2 2 4" xfId="12123" xr:uid="{00000000-0005-0000-0000-00009C570000}"/>
    <cellStyle name="Normal 7 2 3 4 2 2 4 2" xfId="31838" xr:uid="{00000000-0005-0000-0000-00009D570000}"/>
    <cellStyle name="Normal 7 2 3 4 2 2 5" xfId="21981" xr:uid="{00000000-0005-0000-0000-00009E570000}"/>
    <cellStyle name="Normal 7 2 3 4 2 3" xfId="3491" xr:uid="{00000000-0005-0000-0000-00009F570000}"/>
    <cellStyle name="Normal 7 2 3 4 2 3 2" xfId="8423" xr:uid="{00000000-0005-0000-0000-0000A0570000}"/>
    <cellStyle name="Normal 7 2 3 4 2 3 2 2" xfId="18283" xr:uid="{00000000-0005-0000-0000-0000A1570000}"/>
    <cellStyle name="Normal 7 2 3 4 2 3 2 2 2" xfId="37998" xr:uid="{00000000-0005-0000-0000-0000A2570000}"/>
    <cellStyle name="Normal 7 2 3 4 2 3 2 3" xfId="28141" xr:uid="{00000000-0005-0000-0000-0000A3570000}"/>
    <cellStyle name="Normal 7 2 3 4 2 3 3" xfId="13355" xr:uid="{00000000-0005-0000-0000-0000A4570000}"/>
    <cellStyle name="Normal 7 2 3 4 2 3 3 2" xfId="33070" xr:uid="{00000000-0005-0000-0000-0000A5570000}"/>
    <cellStyle name="Normal 7 2 3 4 2 3 4" xfId="23213" xr:uid="{00000000-0005-0000-0000-0000A6570000}"/>
    <cellStyle name="Normal 7 2 3 4 2 4" xfId="5959" xr:uid="{00000000-0005-0000-0000-0000A7570000}"/>
    <cellStyle name="Normal 7 2 3 4 2 4 2" xfId="15819" xr:uid="{00000000-0005-0000-0000-0000A8570000}"/>
    <cellStyle name="Normal 7 2 3 4 2 4 2 2" xfId="35534" xr:uid="{00000000-0005-0000-0000-0000A9570000}"/>
    <cellStyle name="Normal 7 2 3 4 2 4 3" xfId="25677" xr:uid="{00000000-0005-0000-0000-0000AA570000}"/>
    <cellStyle name="Normal 7 2 3 4 2 5" xfId="10891" xr:uid="{00000000-0005-0000-0000-0000AB570000}"/>
    <cellStyle name="Normal 7 2 3 4 2 5 2" xfId="30606" xr:uid="{00000000-0005-0000-0000-0000AC570000}"/>
    <cellStyle name="Normal 7 2 3 4 2 6" xfId="20749" xr:uid="{00000000-0005-0000-0000-0000AD570000}"/>
    <cellStyle name="Normal 7 2 3 4 3" xfId="1640" xr:uid="{00000000-0005-0000-0000-0000AE570000}"/>
    <cellStyle name="Normal 7 2 3 4 3 2" xfId="4107" xr:uid="{00000000-0005-0000-0000-0000AF570000}"/>
    <cellStyle name="Normal 7 2 3 4 3 2 2" xfId="9039" xr:uid="{00000000-0005-0000-0000-0000B0570000}"/>
    <cellStyle name="Normal 7 2 3 4 3 2 2 2" xfId="18899" xr:uid="{00000000-0005-0000-0000-0000B1570000}"/>
    <cellStyle name="Normal 7 2 3 4 3 2 2 2 2" xfId="38614" xr:uid="{00000000-0005-0000-0000-0000B2570000}"/>
    <cellStyle name="Normal 7 2 3 4 3 2 2 3" xfId="28757" xr:uid="{00000000-0005-0000-0000-0000B3570000}"/>
    <cellStyle name="Normal 7 2 3 4 3 2 3" xfId="13971" xr:uid="{00000000-0005-0000-0000-0000B4570000}"/>
    <cellStyle name="Normal 7 2 3 4 3 2 3 2" xfId="33686" xr:uid="{00000000-0005-0000-0000-0000B5570000}"/>
    <cellStyle name="Normal 7 2 3 4 3 2 4" xfId="23829" xr:uid="{00000000-0005-0000-0000-0000B6570000}"/>
    <cellStyle name="Normal 7 2 3 4 3 3" xfId="6575" xr:uid="{00000000-0005-0000-0000-0000B7570000}"/>
    <cellStyle name="Normal 7 2 3 4 3 3 2" xfId="16435" xr:uid="{00000000-0005-0000-0000-0000B8570000}"/>
    <cellStyle name="Normal 7 2 3 4 3 3 2 2" xfId="36150" xr:uid="{00000000-0005-0000-0000-0000B9570000}"/>
    <cellStyle name="Normal 7 2 3 4 3 3 3" xfId="26293" xr:uid="{00000000-0005-0000-0000-0000BA570000}"/>
    <cellStyle name="Normal 7 2 3 4 3 4" xfId="11507" xr:uid="{00000000-0005-0000-0000-0000BB570000}"/>
    <cellStyle name="Normal 7 2 3 4 3 4 2" xfId="31222" xr:uid="{00000000-0005-0000-0000-0000BC570000}"/>
    <cellStyle name="Normal 7 2 3 4 3 5" xfId="21365" xr:uid="{00000000-0005-0000-0000-0000BD570000}"/>
    <cellStyle name="Normal 7 2 3 4 4" xfId="2875" xr:uid="{00000000-0005-0000-0000-0000BE570000}"/>
    <cellStyle name="Normal 7 2 3 4 4 2" xfId="7807" xr:uid="{00000000-0005-0000-0000-0000BF570000}"/>
    <cellStyle name="Normal 7 2 3 4 4 2 2" xfId="17667" xr:uid="{00000000-0005-0000-0000-0000C0570000}"/>
    <cellStyle name="Normal 7 2 3 4 4 2 2 2" xfId="37382" xr:uid="{00000000-0005-0000-0000-0000C1570000}"/>
    <cellStyle name="Normal 7 2 3 4 4 2 3" xfId="27525" xr:uid="{00000000-0005-0000-0000-0000C2570000}"/>
    <cellStyle name="Normal 7 2 3 4 4 3" xfId="12739" xr:uid="{00000000-0005-0000-0000-0000C3570000}"/>
    <cellStyle name="Normal 7 2 3 4 4 3 2" xfId="32454" xr:uid="{00000000-0005-0000-0000-0000C4570000}"/>
    <cellStyle name="Normal 7 2 3 4 4 4" xfId="22597" xr:uid="{00000000-0005-0000-0000-0000C5570000}"/>
    <cellStyle name="Normal 7 2 3 4 5" xfId="5343" xr:uid="{00000000-0005-0000-0000-0000C6570000}"/>
    <cellStyle name="Normal 7 2 3 4 5 2" xfId="15203" xr:uid="{00000000-0005-0000-0000-0000C7570000}"/>
    <cellStyle name="Normal 7 2 3 4 5 2 2" xfId="34918" xr:uid="{00000000-0005-0000-0000-0000C8570000}"/>
    <cellStyle name="Normal 7 2 3 4 5 3" xfId="25061" xr:uid="{00000000-0005-0000-0000-0000C9570000}"/>
    <cellStyle name="Normal 7 2 3 4 6" xfId="10275" xr:uid="{00000000-0005-0000-0000-0000CA570000}"/>
    <cellStyle name="Normal 7 2 3 4 6 2" xfId="29990" xr:uid="{00000000-0005-0000-0000-0000CB570000}"/>
    <cellStyle name="Normal 7 2 3 4 7" xfId="20133" xr:uid="{00000000-0005-0000-0000-0000CC570000}"/>
    <cellStyle name="Normal 7 2 3 5" xfId="714" xr:uid="{00000000-0005-0000-0000-0000CD570000}"/>
    <cellStyle name="Normal 7 2 3 5 2" xfId="1950" xr:uid="{00000000-0005-0000-0000-0000CE570000}"/>
    <cellStyle name="Normal 7 2 3 5 2 2" xfId="4417" xr:uid="{00000000-0005-0000-0000-0000CF570000}"/>
    <cellStyle name="Normal 7 2 3 5 2 2 2" xfId="9349" xr:uid="{00000000-0005-0000-0000-0000D0570000}"/>
    <cellStyle name="Normal 7 2 3 5 2 2 2 2" xfId="19209" xr:uid="{00000000-0005-0000-0000-0000D1570000}"/>
    <cellStyle name="Normal 7 2 3 5 2 2 2 2 2" xfId="38924" xr:uid="{00000000-0005-0000-0000-0000D2570000}"/>
    <cellStyle name="Normal 7 2 3 5 2 2 2 3" xfId="29067" xr:uid="{00000000-0005-0000-0000-0000D3570000}"/>
    <cellStyle name="Normal 7 2 3 5 2 2 3" xfId="14281" xr:uid="{00000000-0005-0000-0000-0000D4570000}"/>
    <cellStyle name="Normal 7 2 3 5 2 2 3 2" xfId="33996" xr:uid="{00000000-0005-0000-0000-0000D5570000}"/>
    <cellStyle name="Normal 7 2 3 5 2 2 4" xfId="24139" xr:uid="{00000000-0005-0000-0000-0000D6570000}"/>
    <cellStyle name="Normal 7 2 3 5 2 3" xfId="6885" xr:uid="{00000000-0005-0000-0000-0000D7570000}"/>
    <cellStyle name="Normal 7 2 3 5 2 3 2" xfId="16745" xr:uid="{00000000-0005-0000-0000-0000D8570000}"/>
    <cellStyle name="Normal 7 2 3 5 2 3 2 2" xfId="36460" xr:uid="{00000000-0005-0000-0000-0000D9570000}"/>
    <cellStyle name="Normal 7 2 3 5 2 3 3" xfId="26603" xr:uid="{00000000-0005-0000-0000-0000DA570000}"/>
    <cellStyle name="Normal 7 2 3 5 2 4" xfId="11817" xr:uid="{00000000-0005-0000-0000-0000DB570000}"/>
    <cellStyle name="Normal 7 2 3 5 2 4 2" xfId="31532" xr:uid="{00000000-0005-0000-0000-0000DC570000}"/>
    <cellStyle name="Normal 7 2 3 5 2 5" xfId="21675" xr:uid="{00000000-0005-0000-0000-0000DD570000}"/>
    <cellStyle name="Normal 7 2 3 5 3" xfId="3185" xr:uid="{00000000-0005-0000-0000-0000DE570000}"/>
    <cellStyle name="Normal 7 2 3 5 3 2" xfId="8117" xr:uid="{00000000-0005-0000-0000-0000DF570000}"/>
    <cellStyle name="Normal 7 2 3 5 3 2 2" xfId="17977" xr:uid="{00000000-0005-0000-0000-0000E0570000}"/>
    <cellStyle name="Normal 7 2 3 5 3 2 2 2" xfId="37692" xr:uid="{00000000-0005-0000-0000-0000E1570000}"/>
    <cellStyle name="Normal 7 2 3 5 3 2 3" xfId="27835" xr:uid="{00000000-0005-0000-0000-0000E2570000}"/>
    <cellStyle name="Normal 7 2 3 5 3 3" xfId="13049" xr:uid="{00000000-0005-0000-0000-0000E3570000}"/>
    <cellStyle name="Normal 7 2 3 5 3 3 2" xfId="32764" xr:uid="{00000000-0005-0000-0000-0000E4570000}"/>
    <cellStyle name="Normal 7 2 3 5 3 4" xfId="22907" xr:uid="{00000000-0005-0000-0000-0000E5570000}"/>
    <cellStyle name="Normal 7 2 3 5 4" xfId="5653" xr:uid="{00000000-0005-0000-0000-0000E6570000}"/>
    <cellStyle name="Normal 7 2 3 5 4 2" xfId="15513" xr:uid="{00000000-0005-0000-0000-0000E7570000}"/>
    <cellStyle name="Normal 7 2 3 5 4 2 2" xfId="35228" xr:uid="{00000000-0005-0000-0000-0000E8570000}"/>
    <cellStyle name="Normal 7 2 3 5 4 3" xfId="25371" xr:uid="{00000000-0005-0000-0000-0000E9570000}"/>
    <cellStyle name="Normal 7 2 3 5 5" xfId="10585" xr:uid="{00000000-0005-0000-0000-0000EA570000}"/>
    <cellStyle name="Normal 7 2 3 5 5 2" xfId="30300" xr:uid="{00000000-0005-0000-0000-0000EB570000}"/>
    <cellStyle name="Normal 7 2 3 5 6" xfId="20443" xr:uid="{00000000-0005-0000-0000-0000EC570000}"/>
    <cellStyle name="Normal 7 2 3 6" xfId="1334" xr:uid="{00000000-0005-0000-0000-0000ED570000}"/>
    <cellStyle name="Normal 7 2 3 6 2" xfId="3801" xr:uid="{00000000-0005-0000-0000-0000EE570000}"/>
    <cellStyle name="Normal 7 2 3 6 2 2" xfId="8733" xr:uid="{00000000-0005-0000-0000-0000EF570000}"/>
    <cellStyle name="Normal 7 2 3 6 2 2 2" xfId="18593" xr:uid="{00000000-0005-0000-0000-0000F0570000}"/>
    <cellStyle name="Normal 7 2 3 6 2 2 2 2" xfId="38308" xr:uid="{00000000-0005-0000-0000-0000F1570000}"/>
    <cellStyle name="Normal 7 2 3 6 2 2 3" xfId="28451" xr:uid="{00000000-0005-0000-0000-0000F2570000}"/>
    <cellStyle name="Normal 7 2 3 6 2 3" xfId="13665" xr:uid="{00000000-0005-0000-0000-0000F3570000}"/>
    <cellStyle name="Normal 7 2 3 6 2 3 2" xfId="33380" xr:uid="{00000000-0005-0000-0000-0000F4570000}"/>
    <cellStyle name="Normal 7 2 3 6 2 4" xfId="23523" xr:uid="{00000000-0005-0000-0000-0000F5570000}"/>
    <cellStyle name="Normal 7 2 3 6 3" xfId="6269" xr:uid="{00000000-0005-0000-0000-0000F6570000}"/>
    <cellStyle name="Normal 7 2 3 6 3 2" xfId="16129" xr:uid="{00000000-0005-0000-0000-0000F7570000}"/>
    <cellStyle name="Normal 7 2 3 6 3 2 2" xfId="35844" xr:uid="{00000000-0005-0000-0000-0000F8570000}"/>
    <cellStyle name="Normal 7 2 3 6 3 3" xfId="25987" xr:uid="{00000000-0005-0000-0000-0000F9570000}"/>
    <cellStyle name="Normal 7 2 3 6 4" xfId="11201" xr:uid="{00000000-0005-0000-0000-0000FA570000}"/>
    <cellStyle name="Normal 7 2 3 6 4 2" xfId="30916" xr:uid="{00000000-0005-0000-0000-0000FB570000}"/>
    <cellStyle name="Normal 7 2 3 6 5" xfId="21059" xr:uid="{00000000-0005-0000-0000-0000FC570000}"/>
    <cellStyle name="Normal 7 2 3 7" xfId="2569" xr:uid="{00000000-0005-0000-0000-0000FD570000}"/>
    <cellStyle name="Normal 7 2 3 7 2" xfId="7501" xr:uid="{00000000-0005-0000-0000-0000FE570000}"/>
    <cellStyle name="Normal 7 2 3 7 2 2" xfId="17361" xr:uid="{00000000-0005-0000-0000-0000FF570000}"/>
    <cellStyle name="Normal 7 2 3 7 2 2 2" xfId="37076" xr:uid="{00000000-0005-0000-0000-000000580000}"/>
    <cellStyle name="Normal 7 2 3 7 2 3" xfId="27219" xr:uid="{00000000-0005-0000-0000-000001580000}"/>
    <cellStyle name="Normal 7 2 3 7 3" xfId="12433" xr:uid="{00000000-0005-0000-0000-000002580000}"/>
    <cellStyle name="Normal 7 2 3 7 3 2" xfId="32148" xr:uid="{00000000-0005-0000-0000-000003580000}"/>
    <cellStyle name="Normal 7 2 3 7 4" xfId="22291" xr:uid="{00000000-0005-0000-0000-000004580000}"/>
    <cellStyle name="Normal 7 2 3 8" xfId="5037" xr:uid="{00000000-0005-0000-0000-000005580000}"/>
    <cellStyle name="Normal 7 2 3 8 2" xfId="14897" xr:uid="{00000000-0005-0000-0000-000006580000}"/>
    <cellStyle name="Normal 7 2 3 8 2 2" xfId="34612" xr:uid="{00000000-0005-0000-0000-000007580000}"/>
    <cellStyle name="Normal 7 2 3 8 3" xfId="24755" xr:uid="{00000000-0005-0000-0000-000008580000}"/>
    <cellStyle name="Normal 7 2 3 9" xfId="9969" xr:uid="{00000000-0005-0000-0000-000009580000}"/>
    <cellStyle name="Normal 7 2 3 9 2" xfId="29684" xr:uid="{00000000-0005-0000-0000-00000A580000}"/>
    <cellStyle name="Normal 7 2 4" xfId="120" xr:uid="{00000000-0005-0000-0000-00000B580000}"/>
    <cellStyle name="Normal 7 2 4 2" xfId="277" xr:uid="{00000000-0005-0000-0000-00000C580000}"/>
    <cellStyle name="Normal 7 2 4 2 2" xfId="591" xr:uid="{00000000-0005-0000-0000-00000D580000}"/>
    <cellStyle name="Normal 7 2 4 2 2 2" xfId="1211" xr:uid="{00000000-0005-0000-0000-00000E580000}"/>
    <cellStyle name="Normal 7 2 4 2 2 2 2" xfId="2446" xr:uid="{00000000-0005-0000-0000-00000F580000}"/>
    <cellStyle name="Normal 7 2 4 2 2 2 2 2" xfId="4913" xr:uid="{00000000-0005-0000-0000-000010580000}"/>
    <cellStyle name="Normal 7 2 4 2 2 2 2 2 2" xfId="9845" xr:uid="{00000000-0005-0000-0000-000011580000}"/>
    <cellStyle name="Normal 7 2 4 2 2 2 2 2 2 2" xfId="19705" xr:uid="{00000000-0005-0000-0000-000012580000}"/>
    <cellStyle name="Normal 7 2 4 2 2 2 2 2 2 2 2" xfId="39420" xr:uid="{00000000-0005-0000-0000-000013580000}"/>
    <cellStyle name="Normal 7 2 4 2 2 2 2 2 2 3" xfId="29563" xr:uid="{00000000-0005-0000-0000-000014580000}"/>
    <cellStyle name="Normal 7 2 4 2 2 2 2 2 3" xfId="14777" xr:uid="{00000000-0005-0000-0000-000015580000}"/>
    <cellStyle name="Normal 7 2 4 2 2 2 2 2 3 2" xfId="34492" xr:uid="{00000000-0005-0000-0000-000016580000}"/>
    <cellStyle name="Normal 7 2 4 2 2 2 2 2 4" xfId="24635" xr:uid="{00000000-0005-0000-0000-000017580000}"/>
    <cellStyle name="Normal 7 2 4 2 2 2 2 3" xfId="7381" xr:uid="{00000000-0005-0000-0000-000018580000}"/>
    <cellStyle name="Normal 7 2 4 2 2 2 2 3 2" xfId="17241" xr:uid="{00000000-0005-0000-0000-000019580000}"/>
    <cellStyle name="Normal 7 2 4 2 2 2 2 3 2 2" xfId="36956" xr:uid="{00000000-0005-0000-0000-00001A580000}"/>
    <cellStyle name="Normal 7 2 4 2 2 2 2 3 3" xfId="27099" xr:uid="{00000000-0005-0000-0000-00001B580000}"/>
    <cellStyle name="Normal 7 2 4 2 2 2 2 4" xfId="12313" xr:uid="{00000000-0005-0000-0000-00001C580000}"/>
    <cellStyle name="Normal 7 2 4 2 2 2 2 4 2" xfId="32028" xr:uid="{00000000-0005-0000-0000-00001D580000}"/>
    <cellStyle name="Normal 7 2 4 2 2 2 2 5" xfId="22171" xr:uid="{00000000-0005-0000-0000-00001E580000}"/>
    <cellStyle name="Normal 7 2 4 2 2 2 3" xfId="3681" xr:uid="{00000000-0005-0000-0000-00001F580000}"/>
    <cellStyle name="Normal 7 2 4 2 2 2 3 2" xfId="8613" xr:uid="{00000000-0005-0000-0000-000020580000}"/>
    <cellStyle name="Normal 7 2 4 2 2 2 3 2 2" xfId="18473" xr:uid="{00000000-0005-0000-0000-000021580000}"/>
    <cellStyle name="Normal 7 2 4 2 2 2 3 2 2 2" xfId="38188" xr:uid="{00000000-0005-0000-0000-000022580000}"/>
    <cellStyle name="Normal 7 2 4 2 2 2 3 2 3" xfId="28331" xr:uid="{00000000-0005-0000-0000-000023580000}"/>
    <cellStyle name="Normal 7 2 4 2 2 2 3 3" xfId="13545" xr:uid="{00000000-0005-0000-0000-000024580000}"/>
    <cellStyle name="Normal 7 2 4 2 2 2 3 3 2" xfId="33260" xr:uid="{00000000-0005-0000-0000-000025580000}"/>
    <cellStyle name="Normal 7 2 4 2 2 2 3 4" xfId="23403" xr:uid="{00000000-0005-0000-0000-000026580000}"/>
    <cellStyle name="Normal 7 2 4 2 2 2 4" xfId="6149" xr:uid="{00000000-0005-0000-0000-000027580000}"/>
    <cellStyle name="Normal 7 2 4 2 2 2 4 2" xfId="16009" xr:uid="{00000000-0005-0000-0000-000028580000}"/>
    <cellStyle name="Normal 7 2 4 2 2 2 4 2 2" xfId="35724" xr:uid="{00000000-0005-0000-0000-000029580000}"/>
    <cellStyle name="Normal 7 2 4 2 2 2 4 3" xfId="25867" xr:uid="{00000000-0005-0000-0000-00002A580000}"/>
    <cellStyle name="Normal 7 2 4 2 2 2 5" xfId="11081" xr:uid="{00000000-0005-0000-0000-00002B580000}"/>
    <cellStyle name="Normal 7 2 4 2 2 2 5 2" xfId="30796" xr:uid="{00000000-0005-0000-0000-00002C580000}"/>
    <cellStyle name="Normal 7 2 4 2 2 2 6" xfId="20939" xr:uid="{00000000-0005-0000-0000-00002D580000}"/>
    <cellStyle name="Normal 7 2 4 2 2 3" xfId="1830" xr:uid="{00000000-0005-0000-0000-00002E580000}"/>
    <cellStyle name="Normal 7 2 4 2 2 3 2" xfId="4297" xr:uid="{00000000-0005-0000-0000-00002F580000}"/>
    <cellStyle name="Normal 7 2 4 2 2 3 2 2" xfId="9229" xr:uid="{00000000-0005-0000-0000-000030580000}"/>
    <cellStyle name="Normal 7 2 4 2 2 3 2 2 2" xfId="19089" xr:uid="{00000000-0005-0000-0000-000031580000}"/>
    <cellStyle name="Normal 7 2 4 2 2 3 2 2 2 2" xfId="38804" xr:uid="{00000000-0005-0000-0000-000032580000}"/>
    <cellStyle name="Normal 7 2 4 2 2 3 2 2 3" xfId="28947" xr:uid="{00000000-0005-0000-0000-000033580000}"/>
    <cellStyle name="Normal 7 2 4 2 2 3 2 3" xfId="14161" xr:uid="{00000000-0005-0000-0000-000034580000}"/>
    <cellStyle name="Normal 7 2 4 2 2 3 2 3 2" xfId="33876" xr:uid="{00000000-0005-0000-0000-000035580000}"/>
    <cellStyle name="Normal 7 2 4 2 2 3 2 4" xfId="24019" xr:uid="{00000000-0005-0000-0000-000036580000}"/>
    <cellStyle name="Normal 7 2 4 2 2 3 3" xfId="6765" xr:uid="{00000000-0005-0000-0000-000037580000}"/>
    <cellStyle name="Normal 7 2 4 2 2 3 3 2" xfId="16625" xr:uid="{00000000-0005-0000-0000-000038580000}"/>
    <cellStyle name="Normal 7 2 4 2 2 3 3 2 2" xfId="36340" xr:uid="{00000000-0005-0000-0000-000039580000}"/>
    <cellStyle name="Normal 7 2 4 2 2 3 3 3" xfId="26483" xr:uid="{00000000-0005-0000-0000-00003A580000}"/>
    <cellStyle name="Normal 7 2 4 2 2 3 4" xfId="11697" xr:uid="{00000000-0005-0000-0000-00003B580000}"/>
    <cellStyle name="Normal 7 2 4 2 2 3 4 2" xfId="31412" xr:uid="{00000000-0005-0000-0000-00003C580000}"/>
    <cellStyle name="Normal 7 2 4 2 2 3 5" xfId="21555" xr:uid="{00000000-0005-0000-0000-00003D580000}"/>
    <cellStyle name="Normal 7 2 4 2 2 4" xfId="3065" xr:uid="{00000000-0005-0000-0000-00003E580000}"/>
    <cellStyle name="Normal 7 2 4 2 2 4 2" xfId="7997" xr:uid="{00000000-0005-0000-0000-00003F580000}"/>
    <cellStyle name="Normal 7 2 4 2 2 4 2 2" xfId="17857" xr:uid="{00000000-0005-0000-0000-000040580000}"/>
    <cellStyle name="Normal 7 2 4 2 2 4 2 2 2" xfId="37572" xr:uid="{00000000-0005-0000-0000-000041580000}"/>
    <cellStyle name="Normal 7 2 4 2 2 4 2 3" xfId="27715" xr:uid="{00000000-0005-0000-0000-000042580000}"/>
    <cellStyle name="Normal 7 2 4 2 2 4 3" xfId="12929" xr:uid="{00000000-0005-0000-0000-000043580000}"/>
    <cellStyle name="Normal 7 2 4 2 2 4 3 2" xfId="32644" xr:uid="{00000000-0005-0000-0000-000044580000}"/>
    <cellStyle name="Normal 7 2 4 2 2 4 4" xfId="22787" xr:uid="{00000000-0005-0000-0000-000045580000}"/>
    <cellStyle name="Normal 7 2 4 2 2 5" xfId="5533" xr:uid="{00000000-0005-0000-0000-000046580000}"/>
    <cellStyle name="Normal 7 2 4 2 2 5 2" xfId="15393" xr:uid="{00000000-0005-0000-0000-000047580000}"/>
    <cellStyle name="Normal 7 2 4 2 2 5 2 2" xfId="35108" xr:uid="{00000000-0005-0000-0000-000048580000}"/>
    <cellStyle name="Normal 7 2 4 2 2 5 3" xfId="25251" xr:uid="{00000000-0005-0000-0000-000049580000}"/>
    <cellStyle name="Normal 7 2 4 2 2 6" xfId="10465" xr:uid="{00000000-0005-0000-0000-00004A580000}"/>
    <cellStyle name="Normal 7 2 4 2 2 6 2" xfId="30180" xr:uid="{00000000-0005-0000-0000-00004B580000}"/>
    <cellStyle name="Normal 7 2 4 2 2 7" xfId="20323" xr:uid="{00000000-0005-0000-0000-00004C580000}"/>
    <cellStyle name="Normal 7 2 4 2 3" xfId="904" xr:uid="{00000000-0005-0000-0000-00004D580000}"/>
    <cellStyle name="Normal 7 2 4 2 3 2" xfId="2140" xr:uid="{00000000-0005-0000-0000-00004E580000}"/>
    <cellStyle name="Normal 7 2 4 2 3 2 2" xfId="4607" xr:uid="{00000000-0005-0000-0000-00004F580000}"/>
    <cellStyle name="Normal 7 2 4 2 3 2 2 2" xfId="9539" xr:uid="{00000000-0005-0000-0000-000050580000}"/>
    <cellStyle name="Normal 7 2 4 2 3 2 2 2 2" xfId="19399" xr:uid="{00000000-0005-0000-0000-000051580000}"/>
    <cellStyle name="Normal 7 2 4 2 3 2 2 2 2 2" xfId="39114" xr:uid="{00000000-0005-0000-0000-000052580000}"/>
    <cellStyle name="Normal 7 2 4 2 3 2 2 2 3" xfId="29257" xr:uid="{00000000-0005-0000-0000-000053580000}"/>
    <cellStyle name="Normal 7 2 4 2 3 2 2 3" xfId="14471" xr:uid="{00000000-0005-0000-0000-000054580000}"/>
    <cellStyle name="Normal 7 2 4 2 3 2 2 3 2" xfId="34186" xr:uid="{00000000-0005-0000-0000-000055580000}"/>
    <cellStyle name="Normal 7 2 4 2 3 2 2 4" xfId="24329" xr:uid="{00000000-0005-0000-0000-000056580000}"/>
    <cellStyle name="Normal 7 2 4 2 3 2 3" xfId="7075" xr:uid="{00000000-0005-0000-0000-000057580000}"/>
    <cellStyle name="Normal 7 2 4 2 3 2 3 2" xfId="16935" xr:uid="{00000000-0005-0000-0000-000058580000}"/>
    <cellStyle name="Normal 7 2 4 2 3 2 3 2 2" xfId="36650" xr:uid="{00000000-0005-0000-0000-000059580000}"/>
    <cellStyle name="Normal 7 2 4 2 3 2 3 3" xfId="26793" xr:uid="{00000000-0005-0000-0000-00005A580000}"/>
    <cellStyle name="Normal 7 2 4 2 3 2 4" xfId="12007" xr:uid="{00000000-0005-0000-0000-00005B580000}"/>
    <cellStyle name="Normal 7 2 4 2 3 2 4 2" xfId="31722" xr:uid="{00000000-0005-0000-0000-00005C580000}"/>
    <cellStyle name="Normal 7 2 4 2 3 2 5" xfId="21865" xr:uid="{00000000-0005-0000-0000-00005D580000}"/>
    <cellStyle name="Normal 7 2 4 2 3 3" xfId="3375" xr:uid="{00000000-0005-0000-0000-00005E580000}"/>
    <cellStyle name="Normal 7 2 4 2 3 3 2" xfId="8307" xr:uid="{00000000-0005-0000-0000-00005F580000}"/>
    <cellStyle name="Normal 7 2 4 2 3 3 2 2" xfId="18167" xr:uid="{00000000-0005-0000-0000-000060580000}"/>
    <cellStyle name="Normal 7 2 4 2 3 3 2 2 2" xfId="37882" xr:uid="{00000000-0005-0000-0000-000061580000}"/>
    <cellStyle name="Normal 7 2 4 2 3 3 2 3" xfId="28025" xr:uid="{00000000-0005-0000-0000-000062580000}"/>
    <cellStyle name="Normal 7 2 4 2 3 3 3" xfId="13239" xr:uid="{00000000-0005-0000-0000-000063580000}"/>
    <cellStyle name="Normal 7 2 4 2 3 3 3 2" xfId="32954" xr:uid="{00000000-0005-0000-0000-000064580000}"/>
    <cellStyle name="Normal 7 2 4 2 3 3 4" xfId="23097" xr:uid="{00000000-0005-0000-0000-000065580000}"/>
    <cellStyle name="Normal 7 2 4 2 3 4" xfId="5843" xr:uid="{00000000-0005-0000-0000-000066580000}"/>
    <cellStyle name="Normal 7 2 4 2 3 4 2" xfId="15703" xr:uid="{00000000-0005-0000-0000-000067580000}"/>
    <cellStyle name="Normal 7 2 4 2 3 4 2 2" xfId="35418" xr:uid="{00000000-0005-0000-0000-000068580000}"/>
    <cellStyle name="Normal 7 2 4 2 3 4 3" xfId="25561" xr:uid="{00000000-0005-0000-0000-000069580000}"/>
    <cellStyle name="Normal 7 2 4 2 3 5" xfId="10775" xr:uid="{00000000-0005-0000-0000-00006A580000}"/>
    <cellStyle name="Normal 7 2 4 2 3 5 2" xfId="30490" xr:uid="{00000000-0005-0000-0000-00006B580000}"/>
    <cellStyle name="Normal 7 2 4 2 3 6" xfId="20633" xr:uid="{00000000-0005-0000-0000-00006C580000}"/>
    <cellStyle name="Normal 7 2 4 2 4" xfId="1524" xr:uid="{00000000-0005-0000-0000-00006D580000}"/>
    <cellStyle name="Normal 7 2 4 2 4 2" xfId="3991" xr:uid="{00000000-0005-0000-0000-00006E580000}"/>
    <cellStyle name="Normal 7 2 4 2 4 2 2" xfId="8923" xr:uid="{00000000-0005-0000-0000-00006F580000}"/>
    <cellStyle name="Normal 7 2 4 2 4 2 2 2" xfId="18783" xr:uid="{00000000-0005-0000-0000-000070580000}"/>
    <cellStyle name="Normal 7 2 4 2 4 2 2 2 2" xfId="38498" xr:uid="{00000000-0005-0000-0000-000071580000}"/>
    <cellStyle name="Normal 7 2 4 2 4 2 2 3" xfId="28641" xr:uid="{00000000-0005-0000-0000-000072580000}"/>
    <cellStyle name="Normal 7 2 4 2 4 2 3" xfId="13855" xr:uid="{00000000-0005-0000-0000-000073580000}"/>
    <cellStyle name="Normal 7 2 4 2 4 2 3 2" xfId="33570" xr:uid="{00000000-0005-0000-0000-000074580000}"/>
    <cellStyle name="Normal 7 2 4 2 4 2 4" xfId="23713" xr:uid="{00000000-0005-0000-0000-000075580000}"/>
    <cellStyle name="Normal 7 2 4 2 4 3" xfId="6459" xr:uid="{00000000-0005-0000-0000-000076580000}"/>
    <cellStyle name="Normal 7 2 4 2 4 3 2" xfId="16319" xr:uid="{00000000-0005-0000-0000-000077580000}"/>
    <cellStyle name="Normal 7 2 4 2 4 3 2 2" xfId="36034" xr:uid="{00000000-0005-0000-0000-000078580000}"/>
    <cellStyle name="Normal 7 2 4 2 4 3 3" xfId="26177" xr:uid="{00000000-0005-0000-0000-000079580000}"/>
    <cellStyle name="Normal 7 2 4 2 4 4" xfId="11391" xr:uid="{00000000-0005-0000-0000-00007A580000}"/>
    <cellStyle name="Normal 7 2 4 2 4 4 2" xfId="31106" xr:uid="{00000000-0005-0000-0000-00007B580000}"/>
    <cellStyle name="Normal 7 2 4 2 4 5" xfId="21249" xr:uid="{00000000-0005-0000-0000-00007C580000}"/>
    <cellStyle name="Normal 7 2 4 2 5" xfId="2759" xr:uid="{00000000-0005-0000-0000-00007D580000}"/>
    <cellStyle name="Normal 7 2 4 2 5 2" xfId="7691" xr:uid="{00000000-0005-0000-0000-00007E580000}"/>
    <cellStyle name="Normal 7 2 4 2 5 2 2" xfId="17551" xr:uid="{00000000-0005-0000-0000-00007F580000}"/>
    <cellStyle name="Normal 7 2 4 2 5 2 2 2" xfId="37266" xr:uid="{00000000-0005-0000-0000-000080580000}"/>
    <cellStyle name="Normal 7 2 4 2 5 2 3" xfId="27409" xr:uid="{00000000-0005-0000-0000-000081580000}"/>
    <cellStyle name="Normal 7 2 4 2 5 3" xfId="12623" xr:uid="{00000000-0005-0000-0000-000082580000}"/>
    <cellStyle name="Normal 7 2 4 2 5 3 2" xfId="32338" xr:uid="{00000000-0005-0000-0000-000083580000}"/>
    <cellStyle name="Normal 7 2 4 2 5 4" xfId="22481" xr:uid="{00000000-0005-0000-0000-000084580000}"/>
    <cellStyle name="Normal 7 2 4 2 6" xfId="5227" xr:uid="{00000000-0005-0000-0000-000085580000}"/>
    <cellStyle name="Normal 7 2 4 2 6 2" xfId="15087" xr:uid="{00000000-0005-0000-0000-000086580000}"/>
    <cellStyle name="Normal 7 2 4 2 6 2 2" xfId="34802" xr:uid="{00000000-0005-0000-0000-000087580000}"/>
    <cellStyle name="Normal 7 2 4 2 6 3" xfId="24945" xr:uid="{00000000-0005-0000-0000-000088580000}"/>
    <cellStyle name="Normal 7 2 4 2 7" xfId="10159" xr:uid="{00000000-0005-0000-0000-000089580000}"/>
    <cellStyle name="Normal 7 2 4 2 7 2" xfId="29874" xr:uid="{00000000-0005-0000-0000-00008A580000}"/>
    <cellStyle name="Normal 7 2 4 2 8" xfId="20017" xr:uid="{00000000-0005-0000-0000-00008B580000}"/>
    <cellStyle name="Normal 7 2 4 3" xfId="439" xr:uid="{00000000-0005-0000-0000-00008C580000}"/>
    <cellStyle name="Normal 7 2 4 3 2" xfId="1059" xr:uid="{00000000-0005-0000-0000-00008D580000}"/>
    <cellStyle name="Normal 7 2 4 3 2 2" xfId="2294" xr:uid="{00000000-0005-0000-0000-00008E580000}"/>
    <cellStyle name="Normal 7 2 4 3 2 2 2" xfId="4761" xr:uid="{00000000-0005-0000-0000-00008F580000}"/>
    <cellStyle name="Normal 7 2 4 3 2 2 2 2" xfId="9693" xr:uid="{00000000-0005-0000-0000-000090580000}"/>
    <cellStyle name="Normal 7 2 4 3 2 2 2 2 2" xfId="19553" xr:uid="{00000000-0005-0000-0000-000091580000}"/>
    <cellStyle name="Normal 7 2 4 3 2 2 2 2 2 2" xfId="39268" xr:uid="{00000000-0005-0000-0000-000092580000}"/>
    <cellStyle name="Normal 7 2 4 3 2 2 2 2 3" xfId="29411" xr:uid="{00000000-0005-0000-0000-000093580000}"/>
    <cellStyle name="Normal 7 2 4 3 2 2 2 3" xfId="14625" xr:uid="{00000000-0005-0000-0000-000094580000}"/>
    <cellStyle name="Normal 7 2 4 3 2 2 2 3 2" xfId="34340" xr:uid="{00000000-0005-0000-0000-000095580000}"/>
    <cellStyle name="Normal 7 2 4 3 2 2 2 4" xfId="24483" xr:uid="{00000000-0005-0000-0000-000096580000}"/>
    <cellStyle name="Normal 7 2 4 3 2 2 3" xfId="7229" xr:uid="{00000000-0005-0000-0000-000097580000}"/>
    <cellStyle name="Normal 7 2 4 3 2 2 3 2" xfId="17089" xr:uid="{00000000-0005-0000-0000-000098580000}"/>
    <cellStyle name="Normal 7 2 4 3 2 2 3 2 2" xfId="36804" xr:uid="{00000000-0005-0000-0000-000099580000}"/>
    <cellStyle name="Normal 7 2 4 3 2 2 3 3" xfId="26947" xr:uid="{00000000-0005-0000-0000-00009A580000}"/>
    <cellStyle name="Normal 7 2 4 3 2 2 4" xfId="12161" xr:uid="{00000000-0005-0000-0000-00009B580000}"/>
    <cellStyle name="Normal 7 2 4 3 2 2 4 2" xfId="31876" xr:uid="{00000000-0005-0000-0000-00009C580000}"/>
    <cellStyle name="Normal 7 2 4 3 2 2 5" xfId="22019" xr:uid="{00000000-0005-0000-0000-00009D580000}"/>
    <cellStyle name="Normal 7 2 4 3 2 3" xfId="3529" xr:uid="{00000000-0005-0000-0000-00009E580000}"/>
    <cellStyle name="Normal 7 2 4 3 2 3 2" xfId="8461" xr:uid="{00000000-0005-0000-0000-00009F580000}"/>
    <cellStyle name="Normal 7 2 4 3 2 3 2 2" xfId="18321" xr:uid="{00000000-0005-0000-0000-0000A0580000}"/>
    <cellStyle name="Normal 7 2 4 3 2 3 2 2 2" xfId="38036" xr:uid="{00000000-0005-0000-0000-0000A1580000}"/>
    <cellStyle name="Normal 7 2 4 3 2 3 2 3" xfId="28179" xr:uid="{00000000-0005-0000-0000-0000A2580000}"/>
    <cellStyle name="Normal 7 2 4 3 2 3 3" xfId="13393" xr:uid="{00000000-0005-0000-0000-0000A3580000}"/>
    <cellStyle name="Normal 7 2 4 3 2 3 3 2" xfId="33108" xr:uid="{00000000-0005-0000-0000-0000A4580000}"/>
    <cellStyle name="Normal 7 2 4 3 2 3 4" xfId="23251" xr:uid="{00000000-0005-0000-0000-0000A5580000}"/>
    <cellStyle name="Normal 7 2 4 3 2 4" xfId="5997" xr:uid="{00000000-0005-0000-0000-0000A6580000}"/>
    <cellStyle name="Normal 7 2 4 3 2 4 2" xfId="15857" xr:uid="{00000000-0005-0000-0000-0000A7580000}"/>
    <cellStyle name="Normal 7 2 4 3 2 4 2 2" xfId="35572" xr:uid="{00000000-0005-0000-0000-0000A8580000}"/>
    <cellStyle name="Normal 7 2 4 3 2 4 3" xfId="25715" xr:uid="{00000000-0005-0000-0000-0000A9580000}"/>
    <cellStyle name="Normal 7 2 4 3 2 5" xfId="10929" xr:uid="{00000000-0005-0000-0000-0000AA580000}"/>
    <cellStyle name="Normal 7 2 4 3 2 5 2" xfId="30644" xr:uid="{00000000-0005-0000-0000-0000AB580000}"/>
    <cellStyle name="Normal 7 2 4 3 2 6" xfId="20787" xr:uid="{00000000-0005-0000-0000-0000AC580000}"/>
    <cellStyle name="Normal 7 2 4 3 3" xfId="1678" xr:uid="{00000000-0005-0000-0000-0000AD580000}"/>
    <cellStyle name="Normal 7 2 4 3 3 2" xfId="4145" xr:uid="{00000000-0005-0000-0000-0000AE580000}"/>
    <cellStyle name="Normal 7 2 4 3 3 2 2" xfId="9077" xr:uid="{00000000-0005-0000-0000-0000AF580000}"/>
    <cellStyle name="Normal 7 2 4 3 3 2 2 2" xfId="18937" xr:uid="{00000000-0005-0000-0000-0000B0580000}"/>
    <cellStyle name="Normal 7 2 4 3 3 2 2 2 2" xfId="38652" xr:uid="{00000000-0005-0000-0000-0000B1580000}"/>
    <cellStyle name="Normal 7 2 4 3 3 2 2 3" xfId="28795" xr:uid="{00000000-0005-0000-0000-0000B2580000}"/>
    <cellStyle name="Normal 7 2 4 3 3 2 3" xfId="14009" xr:uid="{00000000-0005-0000-0000-0000B3580000}"/>
    <cellStyle name="Normal 7 2 4 3 3 2 3 2" xfId="33724" xr:uid="{00000000-0005-0000-0000-0000B4580000}"/>
    <cellStyle name="Normal 7 2 4 3 3 2 4" xfId="23867" xr:uid="{00000000-0005-0000-0000-0000B5580000}"/>
    <cellStyle name="Normal 7 2 4 3 3 3" xfId="6613" xr:uid="{00000000-0005-0000-0000-0000B6580000}"/>
    <cellStyle name="Normal 7 2 4 3 3 3 2" xfId="16473" xr:uid="{00000000-0005-0000-0000-0000B7580000}"/>
    <cellStyle name="Normal 7 2 4 3 3 3 2 2" xfId="36188" xr:uid="{00000000-0005-0000-0000-0000B8580000}"/>
    <cellStyle name="Normal 7 2 4 3 3 3 3" xfId="26331" xr:uid="{00000000-0005-0000-0000-0000B9580000}"/>
    <cellStyle name="Normal 7 2 4 3 3 4" xfId="11545" xr:uid="{00000000-0005-0000-0000-0000BA580000}"/>
    <cellStyle name="Normal 7 2 4 3 3 4 2" xfId="31260" xr:uid="{00000000-0005-0000-0000-0000BB580000}"/>
    <cellStyle name="Normal 7 2 4 3 3 5" xfId="21403" xr:uid="{00000000-0005-0000-0000-0000BC580000}"/>
    <cellStyle name="Normal 7 2 4 3 4" xfId="2913" xr:uid="{00000000-0005-0000-0000-0000BD580000}"/>
    <cellStyle name="Normal 7 2 4 3 4 2" xfId="7845" xr:uid="{00000000-0005-0000-0000-0000BE580000}"/>
    <cellStyle name="Normal 7 2 4 3 4 2 2" xfId="17705" xr:uid="{00000000-0005-0000-0000-0000BF580000}"/>
    <cellStyle name="Normal 7 2 4 3 4 2 2 2" xfId="37420" xr:uid="{00000000-0005-0000-0000-0000C0580000}"/>
    <cellStyle name="Normal 7 2 4 3 4 2 3" xfId="27563" xr:uid="{00000000-0005-0000-0000-0000C1580000}"/>
    <cellStyle name="Normal 7 2 4 3 4 3" xfId="12777" xr:uid="{00000000-0005-0000-0000-0000C2580000}"/>
    <cellStyle name="Normal 7 2 4 3 4 3 2" xfId="32492" xr:uid="{00000000-0005-0000-0000-0000C3580000}"/>
    <cellStyle name="Normal 7 2 4 3 4 4" xfId="22635" xr:uid="{00000000-0005-0000-0000-0000C4580000}"/>
    <cellStyle name="Normal 7 2 4 3 5" xfId="5381" xr:uid="{00000000-0005-0000-0000-0000C5580000}"/>
    <cellStyle name="Normal 7 2 4 3 5 2" xfId="15241" xr:uid="{00000000-0005-0000-0000-0000C6580000}"/>
    <cellStyle name="Normal 7 2 4 3 5 2 2" xfId="34956" xr:uid="{00000000-0005-0000-0000-0000C7580000}"/>
    <cellStyle name="Normal 7 2 4 3 5 3" xfId="25099" xr:uid="{00000000-0005-0000-0000-0000C8580000}"/>
    <cellStyle name="Normal 7 2 4 3 6" xfId="10313" xr:uid="{00000000-0005-0000-0000-0000C9580000}"/>
    <cellStyle name="Normal 7 2 4 3 6 2" xfId="30028" xr:uid="{00000000-0005-0000-0000-0000CA580000}"/>
    <cellStyle name="Normal 7 2 4 3 7" xfId="20171" xr:uid="{00000000-0005-0000-0000-0000CB580000}"/>
    <cellStyle name="Normal 7 2 4 4" xfId="752" xr:uid="{00000000-0005-0000-0000-0000CC580000}"/>
    <cellStyle name="Normal 7 2 4 4 2" xfId="1988" xr:uid="{00000000-0005-0000-0000-0000CD580000}"/>
    <cellStyle name="Normal 7 2 4 4 2 2" xfId="4455" xr:uid="{00000000-0005-0000-0000-0000CE580000}"/>
    <cellStyle name="Normal 7 2 4 4 2 2 2" xfId="9387" xr:uid="{00000000-0005-0000-0000-0000CF580000}"/>
    <cellStyle name="Normal 7 2 4 4 2 2 2 2" xfId="19247" xr:uid="{00000000-0005-0000-0000-0000D0580000}"/>
    <cellStyle name="Normal 7 2 4 4 2 2 2 2 2" xfId="38962" xr:uid="{00000000-0005-0000-0000-0000D1580000}"/>
    <cellStyle name="Normal 7 2 4 4 2 2 2 3" xfId="29105" xr:uid="{00000000-0005-0000-0000-0000D2580000}"/>
    <cellStyle name="Normal 7 2 4 4 2 2 3" xfId="14319" xr:uid="{00000000-0005-0000-0000-0000D3580000}"/>
    <cellStyle name="Normal 7 2 4 4 2 2 3 2" xfId="34034" xr:uid="{00000000-0005-0000-0000-0000D4580000}"/>
    <cellStyle name="Normal 7 2 4 4 2 2 4" xfId="24177" xr:uid="{00000000-0005-0000-0000-0000D5580000}"/>
    <cellStyle name="Normal 7 2 4 4 2 3" xfId="6923" xr:uid="{00000000-0005-0000-0000-0000D6580000}"/>
    <cellStyle name="Normal 7 2 4 4 2 3 2" xfId="16783" xr:uid="{00000000-0005-0000-0000-0000D7580000}"/>
    <cellStyle name="Normal 7 2 4 4 2 3 2 2" xfId="36498" xr:uid="{00000000-0005-0000-0000-0000D8580000}"/>
    <cellStyle name="Normal 7 2 4 4 2 3 3" xfId="26641" xr:uid="{00000000-0005-0000-0000-0000D9580000}"/>
    <cellStyle name="Normal 7 2 4 4 2 4" xfId="11855" xr:uid="{00000000-0005-0000-0000-0000DA580000}"/>
    <cellStyle name="Normal 7 2 4 4 2 4 2" xfId="31570" xr:uid="{00000000-0005-0000-0000-0000DB580000}"/>
    <cellStyle name="Normal 7 2 4 4 2 5" xfId="21713" xr:uid="{00000000-0005-0000-0000-0000DC580000}"/>
    <cellStyle name="Normal 7 2 4 4 3" xfId="3223" xr:uid="{00000000-0005-0000-0000-0000DD580000}"/>
    <cellStyle name="Normal 7 2 4 4 3 2" xfId="8155" xr:uid="{00000000-0005-0000-0000-0000DE580000}"/>
    <cellStyle name="Normal 7 2 4 4 3 2 2" xfId="18015" xr:uid="{00000000-0005-0000-0000-0000DF580000}"/>
    <cellStyle name="Normal 7 2 4 4 3 2 2 2" xfId="37730" xr:uid="{00000000-0005-0000-0000-0000E0580000}"/>
    <cellStyle name="Normal 7 2 4 4 3 2 3" xfId="27873" xr:uid="{00000000-0005-0000-0000-0000E1580000}"/>
    <cellStyle name="Normal 7 2 4 4 3 3" xfId="13087" xr:uid="{00000000-0005-0000-0000-0000E2580000}"/>
    <cellStyle name="Normal 7 2 4 4 3 3 2" xfId="32802" xr:uid="{00000000-0005-0000-0000-0000E3580000}"/>
    <cellStyle name="Normal 7 2 4 4 3 4" xfId="22945" xr:uid="{00000000-0005-0000-0000-0000E4580000}"/>
    <cellStyle name="Normal 7 2 4 4 4" xfId="5691" xr:uid="{00000000-0005-0000-0000-0000E5580000}"/>
    <cellStyle name="Normal 7 2 4 4 4 2" xfId="15551" xr:uid="{00000000-0005-0000-0000-0000E6580000}"/>
    <cellStyle name="Normal 7 2 4 4 4 2 2" xfId="35266" xr:uid="{00000000-0005-0000-0000-0000E7580000}"/>
    <cellStyle name="Normal 7 2 4 4 4 3" xfId="25409" xr:uid="{00000000-0005-0000-0000-0000E8580000}"/>
    <cellStyle name="Normal 7 2 4 4 5" xfId="10623" xr:uid="{00000000-0005-0000-0000-0000E9580000}"/>
    <cellStyle name="Normal 7 2 4 4 5 2" xfId="30338" xr:uid="{00000000-0005-0000-0000-0000EA580000}"/>
    <cellStyle name="Normal 7 2 4 4 6" xfId="20481" xr:uid="{00000000-0005-0000-0000-0000EB580000}"/>
    <cellStyle name="Normal 7 2 4 5" xfId="1372" xr:uid="{00000000-0005-0000-0000-0000EC580000}"/>
    <cellStyle name="Normal 7 2 4 5 2" xfId="3839" xr:uid="{00000000-0005-0000-0000-0000ED580000}"/>
    <cellStyle name="Normal 7 2 4 5 2 2" xfId="8771" xr:uid="{00000000-0005-0000-0000-0000EE580000}"/>
    <cellStyle name="Normal 7 2 4 5 2 2 2" xfId="18631" xr:uid="{00000000-0005-0000-0000-0000EF580000}"/>
    <cellStyle name="Normal 7 2 4 5 2 2 2 2" xfId="38346" xr:uid="{00000000-0005-0000-0000-0000F0580000}"/>
    <cellStyle name="Normal 7 2 4 5 2 2 3" xfId="28489" xr:uid="{00000000-0005-0000-0000-0000F1580000}"/>
    <cellStyle name="Normal 7 2 4 5 2 3" xfId="13703" xr:uid="{00000000-0005-0000-0000-0000F2580000}"/>
    <cellStyle name="Normal 7 2 4 5 2 3 2" xfId="33418" xr:uid="{00000000-0005-0000-0000-0000F3580000}"/>
    <cellStyle name="Normal 7 2 4 5 2 4" xfId="23561" xr:uid="{00000000-0005-0000-0000-0000F4580000}"/>
    <cellStyle name="Normal 7 2 4 5 3" xfId="6307" xr:uid="{00000000-0005-0000-0000-0000F5580000}"/>
    <cellStyle name="Normal 7 2 4 5 3 2" xfId="16167" xr:uid="{00000000-0005-0000-0000-0000F6580000}"/>
    <cellStyle name="Normal 7 2 4 5 3 2 2" xfId="35882" xr:uid="{00000000-0005-0000-0000-0000F7580000}"/>
    <cellStyle name="Normal 7 2 4 5 3 3" xfId="26025" xr:uid="{00000000-0005-0000-0000-0000F8580000}"/>
    <cellStyle name="Normal 7 2 4 5 4" xfId="11239" xr:uid="{00000000-0005-0000-0000-0000F9580000}"/>
    <cellStyle name="Normal 7 2 4 5 4 2" xfId="30954" xr:uid="{00000000-0005-0000-0000-0000FA580000}"/>
    <cellStyle name="Normal 7 2 4 5 5" xfId="21097" xr:uid="{00000000-0005-0000-0000-0000FB580000}"/>
    <cellStyle name="Normal 7 2 4 6" xfId="2607" xr:uid="{00000000-0005-0000-0000-0000FC580000}"/>
    <cellStyle name="Normal 7 2 4 6 2" xfId="7539" xr:uid="{00000000-0005-0000-0000-0000FD580000}"/>
    <cellStyle name="Normal 7 2 4 6 2 2" xfId="17399" xr:uid="{00000000-0005-0000-0000-0000FE580000}"/>
    <cellStyle name="Normal 7 2 4 6 2 2 2" xfId="37114" xr:uid="{00000000-0005-0000-0000-0000FF580000}"/>
    <cellStyle name="Normal 7 2 4 6 2 3" xfId="27257" xr:uid="{00000000-0005-0000-0000-000000590000}"/>
    <cellStyle name="Normal 7 2 4 6 3" xfId="12471" xr:uid="{00000000-0005-0000-0000-000001590000}"/>
    <cellStyle name="Normal 7 2 4 6 3 2" xfId="32186" xr:uid="{00000000-0005-0000-0000-000002590000}"/>
    <cellStyle name="Normal 7 2 4 6 4" xfId="22329" xr:uid="{00000000-0005-0000-0000-000003590000}"/>
    <cellStyle name="Normal 7 2 4 7" xfId="5075" xr:uid="{00000000-0005-0000-0000-000004590000}"/>
    <cellStyle name="Normal 7 2 4 7 2" xfId="14935" xr:uid="{00000000-0005-0000-0000-000005590000}"/>
    <cellStyle name="Normal 7 2 4 7 2 2" xfId="34650" xr:uid="{00000000-0005-0000-0000-000006590000}"/>
    <cellStyle name="Normal 7 2 4 7 3" xfId="24793" xr:uid="{00000000-0005-0000-0000-000007590000}"/>
    <cellStyle name="Normal 7 2 4 8" xfId="10007" xr:uid="{00000000-0005-0000-0000-000008590000}"/>
    <cellStyle name="Normal 7 2 4 8 2" xfId="29722" xr:uid="{00000000-0005-0000-0000-000009590000}"/>
    <cellStyle name="Normal 7 2 4 9" xfId="19865" xr:uid="{00000000-0005-0000-0000-00000A590000}"/>
    <cellStyle name="Normal 7 2 5" xfId="201" xr:uid="{00000000-0005-0000-0000-00000B590000}"/>
    <cellStyle name="Normal 7 2 5 2" xfId="515" xr:uid="{00000000-0005-0000-0000-00000C590000}"/>
    <cellStyle name="Normal 7 2 5 2 2" xfId="1135" xr:uid="{00000000-0005-0000-0000-00000D590000}"/>
    <cellStyle name="Normal 7 2 5 2 2 2" xfId="2370" xr:uid="{00000000-0005-0000-0000-00000E590000}"/>
    <cellStyle name="Normal 7 2 5 2 2 2 2" xfId="4837" xr:uid="{00000000-0005-0000-0000-00000F590000}"/>
    <cellStyle name="Normal 7 2 5 2 2 2 2 2" xfId="9769" xr:uid="{00000000-0005-0000-0000-000010590000}"/>
    <cellStyle name="Normal 7 2 5 2 2 2 2 2 2" xfId="19629" xr:uid="{00000000-0005-0000-0000-000011590000}"/>
    <cellStyle name="Normal 7 2 5 2 2 2 2 2 2 2" xfId="39344" xr:uid="{00000000-0005-0000-0000-000012590000}"/>
    <cellStyle name="Normal 7 2 5 2 2 2 2 2 3" xfId="29487" xr:uid="{00000000-0005-0000-0000-000013590000}"/>
    <cellStyle name="Normal 7 2 5 2 2 2 2 3" xfId="14701" xr:uid="{00000000-0005-0000-0000-000014590000}"/>
    <cellStyle name="Normal 7 2 5 2 2 2 2 3 2" xfId="34416" xr:uid="{00000000-0005-0000-0000-000015590000}"/>
    <cellStyle name="Normal 7 2 5 2 2 2 2 4" xfId="24559" xr:uid="{00000000-0005-0000-0000-000016590000}"/>
    <cellStyle name="Normal 7 2 5 2 2 2 3" xfId="7305" xr:uid="{00000000-0005-0000-0000-000017590000}"/>
    <cellStyle name="Normal 7 2 5 2 2 2 3 2" xfId="17165" xr:uid="{00000000-0005-0000-0000-000018590000}"/>
    <cellStyle name="Normal 7 2 5 2 2 2 3 2 2" xfId="36880" xr:uid="{00000000-0005-0000-0000-000019590000}"/>
    <cellStyle name="Normal 7 2 5 2 2 2 3 3" xfId="27023" xr:uid="{00000000-0005-0000-0000-00001A590000}"/>
    <cellStyle name="Normal 7 2 5 2 2 2 4" xfId="12237" xr:uid="{00000000-0005-0000-0000-00001B590000}"/>
    <cellStyle name="Normal 7 2 5 2 2 2 4 2" xfId="31952" xr:uid="{00000000-0005-0000-0000-00001C590000}"/>
    <cellStyle name="Normal 7 2 5 2 2 2 5" xfId="22095" xr:uid="{00000000-0005-0000-0000-00001D590000}"/>
    <cellStyle name="Normal 7 2 5 2 2 3" xfId="3605" xr:uid="{00000000-0005-0000-0000-00001E590000}"/>
    <cellStyle name="Normal 7 2 5 2 2 3 2" xfId="8537" xr:uid="{00000000-0005-0000-0000-00001F590000}"/>
    <cellStyle name="Normal 7 2 5 2 2 3 2 2" xfId="18397" xr:uid="{00000000-0005-0000-0000-000020590000}"/>
    <cellStyle name="Normal 7 2 5 2 2 3 2 2 2" xfId="38112" xr:uid="{00000000-0005-0000-0000-000021590000}"/>
    <cellStyle name="Normal 7 2 5 2 2 3 2 3" xfId="28255" xr:uid="{00000000-0005-0000-0000-000022590000}"/>
    <cellStyle name="Normal 7 2 5 2 2 3 3" xfId="13469" xr:uid="{00000000-0005-0000-0000-000023590000}"/>
    <cellStyle name="Normal 7 2 5 2 2 3 3 2" xfId="33184" xr:uid="{00000000-0005-0000-0000-000024590000}"/>
    <cellStyle name="Normal 7 2 5 2 2 3 4" xfId="23327" xr:uid="{00000000-0005-0000-0000-000025590000}"/>
    <cellStyle name="Normal 7 2 5 2 2 4" xfId="6073" xr:uid="{00000000-0005-0000-0000-000026590000}"/>
    <cellStyle name="Normal 7 2 5 2 2 4 2" xfId="15933" xr:uid="{00000000-0005-0000-0000-000027590000}"/>
    <cellStyle name="Normal 7 2 5 2 2 4 2 2" xfId="35648" xr:uid="{00000000-0005-0000-0000-000028590000}"/>
    <cellStyle name="Normal 7 2 5 2 2 4 3" xfId="25791" xr:uid="{00000000-0005-0000-0000-000029590000}"/>
    <cellStyle name="Normal 7 2 5 2 2 5" xfId="11005" xr:uid="{00000000-0005-0000-0000-00002A590000}"/>
    <cellStyle name="Normal 7 2 5 2 2 5 2" xfId="30720" xr:uid="{00000000-0005-0000-0000-00002B590000}"/>
    <cellStyle name="Normal 7 2 5 2 2 6" xfId="20863" xr:uid="{00000000-0005-0000-0000-00002C590000}"/>
    <cellStyle name="Normal 7 2 5 2 3" xfId="1754" xr:uid="{00000000-0005-0000-0000-00002D590000}"/>
    <cellStyle name="Normal 7 2 5 2 3 2" xfId="4221" xr:uid="{00000000-0005-0000-0000-00002E590000}"/>
    <cellStyle name="Normal 7 2 5 2 3 2 2" xfId="9153" xr:uid="{00000000-0005-0000-0000-00002F590000}"/>
    <cellStyle name="Normal 7 2 5 2 3 2 2 2" xfId="19013" xr:uid="{00000000-0005-0000-0000-000030590000}"/>
    <cellStyle name="Normal 7 2 5 2 3 2 2 2 2" xfId="38728" xr:uid="{00000000-0005-0000-0000-000031590000}"/>
    <cellStyle name="Normal 7 2 5 2 3 2 2 3" xfId="28871" xr:uid="{00000000-0005-0000-0000-000032590000}"/>
    <cellStyle name="Normal 7 2 5 2 3 2 3" xfId="14085" xr:uid="{00000000-0005-0000-0000-000033590000}"/>
    <cellStyle name="Normal 7 2 5 2 3 2 3 2" xfId="33800" xr:uid="{00000000-0005-0000-0000-000034590000}"/>
    <cellStyle name="Normal 7 2 5 2 3 2 4" xfId="23943" xr:uid="{00000000-0005-0000-0000-000035590000}"/>
    <cellStyle name="Normal 7 2 5 2 3 3" xfId="6689" xr:uid="{00000000-0005-0000-0000-000036590000}"/>
    <cellStyle name="Normal 7 2 5 2 3 3 2" xfId="16549" xr:uid="{00000000-0005-0000-0000-000037590000}"/>
    <cellStyle name="Normal 7 2 5 2 3 3 2 2" xfId="36264" xr:uid="{00000000-0005-0000-0000-000038590000}"/>
    <cellStyle name="Normal 7 2 5 2 3 3 3" xfId="26407" xr:uid="{00000000-0005-0000-0000-000039590000}"/>
    <cellStyle name="Normal 7 2 5 2 3 4" xfId="11621" xr:uid="{00000000-0005-0000-0000-00003A590000}"/>
    <cellStyle name="Normal 7 2 5 2 3 4 2" xfId="31336" xr:uid="{00000000-0005-0000-0000-00003B590000}"/>
    <cellStyle name="Normal 7 2 5 2 3 5" xfId="21479" xr:uid="{00000000-0005-0000-0000-00003C590000}"/>
    <cellStyle name="Normal 7 2 5 2 4" xfId="2989" xr:uid="{00000000-0005-0000-0000-00003D590000}"/>
    <cellStyle name="Normal 7 2 5 2 4 2" xfId="7921" xr:uid="{00000000-0005-0000-0000-00003E590000}"/>
    <cellStyle name="Normal 7 2 5 2 4 2 2" xfId="17781" xr:uid="{00000000-0005-0000-0000-00003F590000}"/>
    <cellStyle name="Normal 7 2 5 2 4 2 2 2" xfId="37496" xr:uid="{00000000-0005-0000-0000-000040590000}"/>
    <cellStyle name="Normal 7 2 5 2 4 2 3" xfId="27639" xr:uid="{00000000-0005-0000-0000-000041590000}"/>
    <cellStyle name="Normal 7 2 5 2 4 3" xfId="12853" xr:uid="{00000000-0005-0000-0000-000042590000}"/>
    <cellStyle name="Normal 7 2 5 2 4 3 2" xfId="32568" xr:uid="{00000000-0005-0000-0000-000043590000}"/>
    <cellStyle name="Normal 7 2 5 2 4 4" xfId="22711" xr:uid="{00000000-0005-0000-0000-000044590000}"/>
    <cellStyle name="Normal 7 2 5 2 5" xfId="5457" xr:uid="{00000000-0005-0000-0000-000045590000}"/>
    <cellStyle name="Normal 7 2 5 2 5 2" xfId="15317" xr:uid="{00000000-0005-0000-0000-000046590000}"/>
    <cellStyle name="Normal 7 2 5 2 5 2 2" xfId="35032" xr:uid="{00000000-0005-0000-0000-000047590000}"/>
    <cellStyle name="Normal 7 2 5 2 5 3" xfId="25175" xr:uid="{00000000-0005-0000-0000-000048590000}"/>
    <cellStyle name="Normal 7 2 5 2 6" xfId="10389" xr:uid="{00000000-0005-0000-0000-000049590000}"/>
    <cellStyle name="Normal 7 2 5 2 6 2" xfId="30104" xr:uid="{00000000-0005-0000-0000-00004A590000}"/>
    <cellStyle name="Normal 7 2 5 2 7" xfId="20247" xr:uid="{00000000-0005-0000-0000-00004B590000}"/>
    <cellStyle name="Normal 7 2 5 3" xfId="828" xr:uid="{00000000-0005-0000-0000-00004C590000}"/>
    <cellStyle name="Normal 7 2 5 3 2" xfId="2064" xr:uid="{00000000-0005-0000-0000-00004D590000}"/>
    <cellStyle name="Normal 7 2 5 3 2 2" xfId="4531" xr:uid="{00000000-0005-0000-0000-00004E590000}"/>
    <cellStyle name="Normal 7 2 5 3 2 2 2" xfId="9463" xr:uid="{00000000-0005-0000-0000-00004F590000}"/>
    <cellStyle name="Normal 7 2 5 3 2 2 2 2" xfId="19323" xr:uid="{00000000-0005-0000-0000-000050590000}"/>
    <cellStyle name="Normal 7 2 5 3 2 2 2 2 2" xfId="39038" xr:uid="{00000000-0005-0000-0000-000051590000}"/>
    <cellStyle name="Normal 7 2 5 3 2 2 2 3" xfId="29181" xr:uid="{00000000-0005-0000-0000-000052590000}"/>
    <cellStyle name="Normal 7 2 5 3 2 2 3" xfId="14395" xr:uid="{00000000-0005-0000-0000-000053590000}"/>
    <cellStyle name="Normal 7 2 5 3 2 2 3 2" xfId="34110" xr:uid="{00000000-0005-0000-0000-000054590000}"/>
    <cellStyle name="Normal 7 2 5 3 2 2 4" xfId="24253" xr:uid="{00000000-0005-0000-0000-000055590000}"/>
    <cellStyle name="Normal 7 2 5 3 2 3" xfId="6999" xr:uid="{00000000-0005-0000-0000-000056590000}"/>
    <cellStyle name="Normal 7 2 5 3 2 3 2" xfId="16859" xr:uid="{00000000-0005-0000-0000-000057590000}"/>
    <cellStyle name="Normal 7 2 5 3 2 3 2 2" xfId="36574" xr:uid="{00000000-0005-0000-0000-000058590000}"/>
    <cellStyle name="Normal 7 2 5 3 2 3 3" xfId="26717" xr:uid="{00000000-0005-0000-0000-000059590000}"/>
    <cellStyle name="Normal 7 2 5 3 2 4" xfId="11931" xr:uid="{00000000-0005-0000-0000-00005A590000}"/>
    <cellStyle name="Normal 7 2 5 3 2 4 2" xfId="31646" xr:uid="{00000000-0005-0000-0000-00005B590000}"/>
    <cellStyle name="Normal 7 2 5 3 2 5" xfId="21789" xr:uid="{00000000-0005-0000-0000-00005C590000}"/>
    <cellStyle name="Normal 7 2 5 3 3" xfId="3299" xr:uid="{00000000-0005-0000-0000-00005D590000}"/>
    <cellStyle name="Normal 7 2 5 3 3 2" xfId="8231" xr:uid="{00000000-0005-0000-0000-00005E590000}"/>
    <cellStyle name="Normal 7 2 5 3 3 2 2" xfId="18091" xr:uid="{00000000-0005-0000-0000-00005F590000}"/>
    <cellStyle name="Normal 7 2 5 3 3 2 2 2" xfId="37806" xr:uid="{00000000-0005-0000-0000-000060590000}"/>
    <cellStyle name="Normal 7 2 5 3 3 2 3" xfId="27949" xr:uid="{00000000-0005-0000-0000-000061590000}"/>
    <cellStyle name="Normal 7 2 5 3 3 3" xfId="13163" xr:uid="{00000000-0005-0000-0000-000062590000}"/>
    <cellStyle name="Normal 7 2 5 3 3 3 2" xfId="32878" xr:uid="{00000000-0005-0000-0000-000063590000}"/>
    <cellStyle name="Normal 7 2 5 3 3 4" xfId="23021" xr:uid="{00000000-0005-0000-0000-000064590000}"/>
    <cellStyle name="Normal 7 2 5 3 4" xfId="5767" xr:uid="{00000000-0005-0000-0000-000065590000}"/>
    <cellStyle name="Normal 7 2 5 3 4 2" xfId="15627" xr:uid="{00000000-0005-0000-0000-000066590000}"/>
    <cellStyle name="Normal 7 2 5 3 4 2 2" xfId="35342" xr:uid="{00000000-0005-0000-0000-000067590000}"/>
    <cellStyle name="Normal 7 2 5 3 4 3" xfId="25485" xr:uid="{00000000-0005-0000-0000-000068590000}"/>
    <cellStyle name="Normal 7 2 5 3 5" xfId="10699" xr:uid="{00000000-0005-0000-0000-000069590000}"/>
    <cellStyle name="Normal 7 2 5 3 5 2" xfId="30414" xr:uid="{00000000-0005-0000-0000-00006A590000}"/>
    <cellStyle name="Normal 7 2 5 3 6" xfId="20557" xr:uid="{00000000-0005-0000-0000-00006B590000}"/>
    <cellStyle name="Normal 7 2 5 4" xfId="1448" xr:uid="{00000000-0005-0000-0000-00006C590000}"/>
    <cellStyle name="Normal 7 2 5 4 2" xfId="3915" xr:uid="{00000000-0005-0000-0000-00006D590000}"/>
    <cellStyle name="Normal 7 2 5 4 2 2" xfId="8847" xr:uid="{00000000-0005-0000-0000-00006E590000}"/>
    <cellStyle name="Normal 7 2 5 4 2 2 2" xfId="18707" xr:uid="{00000000-0005-0000-0000-00006F590000}"/>
    <cellStyle name="Normal 7 2 5 4 2 2 2 2" xfId="38422" xr:uid="{00000000-0005-0000-0000-000070590000}"/>
    <cellStyle name="Normal 7 2 5 4 2 2 3" xfId="28565" xr:uid="{00000000-0005-0000-0000-000071590000}"/>
    <cellStyle name="Normal 7 2 5 4 2 3" xfId="13779" xr:uid="{00000000-0005-0000-0000-000072590000}"/>
    <cellStyle name="Normal 7 2 5 4 2 3 2" xfId="33494" xr:uid="{00000000-0005-0000-0000-000073590000}"/>
    <cellStyle name="Normal 7 2 5 4 2 4" xfId="23637" xr:uid="{00000000-0005-0000-0000-000074590000}"/>
    <cellStyle name="Normal 7 2 5 4 3" xfId="6383" xr:uid="{00000000-0005-0000-0000-000075590000}"/>
    <cellStyle name="Normal 7 2 5 4 3 2" xfId="16243" xr:uid="{00000000-0005-0000-0000-000076590000}"/>
    <cellStyle name="Normal 7 2 5 4 3 2 2" xfId="35958" xr:uid="{00000000-0005-0000-0000-000077590000}"/>
    <cellStyle name="Normal 7 2 5 4 3 3" xfId="26101" xr:uid="{00000000-0005-0000-0000-000078590000}"/>
    <cellStyle name="Normal 7 2 5 4 4" xfId="11315" xr:uid="{00000000-0005-0000-0000-000079590000}"/>
    <cellStyle name="Normal 7 2 5 4 4 2" xfId="31030" xr:uid="{00000000-0005-0000-0000-00007A590000}"/>
    <cellStyle name="Normal 7 2 5 4 5" xfId="21173" xr:uid="{00000000-0005-0000-0000-00007B590000}"/>
    <cellStyle name="Normal 7 2 5 5" xfId="2683" xr:uid="{00000000-0005-0000-0000-00007C590000}"/>
    <cellStyle name="Normal 7 2 5 5 2" xfId="7615" xr:uid="{00000000-0005-0000-0000-00007D590000}"/>
    <cellStyle name="Normal 7 2 5 5 2 2" xfId="17475" xr:uid="{00000000-0005-0000-0000-00007E590000}"/>
    <cellStyle name="Normal 7 2 5 5 2 2 2" xfId="37190" xr:uid="{00000000-0005-0000-0000-00007F590000}"/>
    <cellStyle name="Normal 7 2 5 5 2 3" xfId="27333" xr:uid="{00000000-0005-0000-0000-000080590000}"/>
    <cellStyle name="Normal 7 2 5 5 3" xfId="12547" xr:uid="{00000000-0005-0000-0000-000081590000}"/>
    <cellStyle name="Normal 7 2 5 5 3 2" xfId="32262" xr:uid="{00000000-0005-0000-0000-000082590000}"/>
    <cellStyle name="Normal 7 2 5 5 4" xfId="22405" xr:uid="{00000000-0005-0000-0000-000083590000}"/>
    <cellStyle name="Normal 7 2 5 6" xfId="5151" xr:uid="{00000000-0005-0000-0000-000084590000}"/>
    <cellStyle name="Normal 7 2 5 6 2" xfId="15011" xr:uid="{00000000-0005-0000-0000-000085590000}"/>
    <cellStyle name="Normal 7 2 5 6 2 2" xfId="34726" xr:uid="{00000000-0005-0000-0000-000086590000}"/>
    <cellStyle name="Normal 7 2 5 6 3" xfId="24869" xr:uid="{00000000-0005-0000-0000-000087590000}"/>
    <cellStyle name="Normal 7 2 5 7" xfId="10083" xr:uid="{00000000-0005-0000-0000-000088590000}"/>
    <cellStyle name="Normal 7 2 5 7 2" xfId="29798" xr:uid="{00000000-0005-0000-0000-000089590000}"/>
    <cellStyle name="Normal 7 2 5 8" xfId="19941" xr:uid="{00000000-0005-0000-0000-00008A590000}"/>
    <cellStyle name="Normal 7 2 6" xfId="363" xr:uid="{00000000-0005-0000-0000-00008B590000}"/>
    <cellStyle name="Normal 7 2 6 2" xfId="983" xr:uid="{00000000-0005-0000-0000-00008C590000}"/>
    <cellStyle name="Normal 7 2 6 2 2" xfId="2218" xr:uid="{00000000-0005-0000-0000-00008D590000}"/>
    <cellStyle name="Normal 7 2 6 2 2 2" xfId="4685" xr:uid="{00000000-0005-0000-0000-00008E590000}"/>
    <cellStyle name="Normal 7 2 6 2 2 2 2" xfId="9617" xr:uid="{00000000-0005-0000-0000-00008F590000}"/>
    <cellStyle name="Normal 7 2 6 2 2 2 2 2" xfId="19477" xr:uid="{00000000-0005-0000-0000-000090590000}"/>
    <cellStyle name="Normal 7 2 6 2 2 2 2 2 2" xfId="39192" xr:uid="{00000000-0005-0000-0000-000091590000}"/>
    <cellStyle name="Normal 7 2 6 2 2 2 2 3" xfId="29335" xr:uid="{00000000-0005-0000-0000-000092590000}"/>
    <cellStyle name="Normal 7 2 6 2 2 2 3" xfId="14549" xr:uid="{00000000-0005-0000-0000-000093590000}"/>
    <cellStyle name="Normal 7 2 6 2 2 2 3 2" xfId="34264" xr:uid="{00000000-0005-0000-0000-000094590000}"/>
    <cellStyle name="Normal 7 2 6 2 2 2 4" xfId="24407" xr:uid="{00000000-0005-0000-0000-000095590000}"/>
    <cellStyle name="Normal 7 2 6 2 2 3" xfId="7153" xr:uid="{00000000-0005-0000-0000-000096590000}"/>
    <cellStyle name="Normal 7 2 6 2 2 3 2" xfId="17013" xr:uid="{00000000-0005-0000-0000-000097590000}"/>
    <cellStyle name="Normal 7 2 6 2 2 3 2 2" xfId="36728" xr:uid="{00000000-0005-0000-0000-000098590000}"/>
    <cellStyle name="Normal 7 2 6 2 2 3 3" xfId="26871" xr:uid="{00000000-0005-0000-0000-000099590000}"/>
    <cellStyle name="Normal 7 2 6 2 2 4" xfId="12085" xr:uid="{00000000-0005-0000-0000-00009A590000}"/>
    <cellStyle name="Normal 7 2 6 2 2 4 2" xfId="31800" xr:uid="{00000000-0005-0000-0000-00009B590000}"/>
    <cellStyle name="Normal 7 2 6 2 2 5" xfId="21943" xr:uid="{00000000-0005-0000-0000-00009C590000}"/>
    <cellStyle name="Normal 7 2 6 2 3" xfId="3453" xr:uid="{00000000-0005-0000-0000-00009D590000}"/>
    <cellStyle name="Normal 7 2 6 2 3 2" xfId="8385" xr:uid="{00000000-0005-0000-0000-00009E590000}"/>
    <cellStyle name="Normal 7 2 6 2 3 2 2" xfId="18245" xr:uid="{00000000-0005-0000-0000-00009F590000}"/>
    <cellStyle name="Normal 7 2 6 2 3 2 2 2" xfId="37960" xr:uid="{00000000-0005-0000-0000-0000A0590000}"/>
    <cellStyle name="Normal 7 2 6 2 3 2 3" xfId="28103" xr:uid="{00000000-0005-0000-0000-0000A1590000}"/>
    <cellStyle name="Normal 7 2 6 2 3 3" xfId="13317" xr:uid="{00000000-0005-0000-0000-0000A2590000}"/>
    <cellStyle name="Normal 7 2 6 2 3 3 2" xfId="33032" xr:uid="{00000000-0005-0000-0000-0000A3590000}"/>
    <cellStyle name="Normal 7 2 6 2 3 4" xfId="23175" xr:uid="{00000000-0005-0000-0000-0000A4590000}"/>
    <cellStyle name="Normal 7 2 6 2 4" xfId="5921" xr:uid="{00000000-0005-0000-0000-0000A5590000}"/>
    <cellStyle name="Normal 7 2 6 2 4 2" xfId="15781" xr:uid="{00000000-0005-0000-0000-0000A6590000}"/>
    <cellStyle name="Normal 7 2 6 2 4 2 2" xfId="35496" xr:uid="{00000000-0005-0000-0000-0000A7590000}"/>
    <cellStyle name="Normal 7 2 6 2 4 3" xfId="25639" xr:uid="{00000000-0005-0000-0000-0000A8590000}"/>
    <cellStyle name="Normal 7 2 6 2 5" xfId="10853" xr:uid="{00000000-0005-0000-0000-0000A9590000}"/>
    <cellStyle name="Normal 7 2 6 2 5 2" xfId="30568" xr:uid="{00000000-0005-0000-0000-0000AA590000}"/>
    <cellStyle name="Normal 7 2 6 2 6" xfId="20711" xr:uid="{00000000-0005-0000-0000-0000AB590000}"/>
    <cellStyle name="Normal 7 2 6 3" xfId="1602" xr:uid="{00000000-0005-0000-0000-0000AC590000}"/>
    <cellStyle name="Normal 7 2 6 3 2" xfId="4069" xr:uid="{00000000-0005-0000-0000-0000AD590000}"/>
    <cellStyle name="Normal 7 2 6 3 2 2" xfId="9001" xr:uid="{00000000-0005-0000-0000-0000AE590000}"/>
    <cellStyle name="Normal 7 2 6 3 2 2 2" xfId="18861" xr:uid="{00000000-0005-0000-0000-0000AF590000}"/>
    <cellStyle name="Normal 7 2 6 3 2 2 2 2" xfId="38576" xr:uid="{00000000-0005-0000-0000-0000B0590000}"/>
    <cellStyle name="Normal 7 2 6 3 2 2 3" xfId="28719" xr:uid="{00000000-0005-0000-0000-0000B1590000}"/>
    <cellStyle name="Normal 7 2 6 3 2 3" xfId="13933" xr:uid="{00000000-0005-0000-0000-0000B2590000}"/>
    <cellStyle name="Normal 7 2 6 3 2 3 2" xfId="33648" xr:uid="{00000000-0005-0000-0000-0000B3590000}"/>
    <cellStyle name="Normal 7 2 6 3 2 4" xfId="23791" xr:uid="{00000000-0005-0000-0000-0000B4590000}"/>
    <cellStyle name="Normal 7 2 6 3 3" xfId="6537" xr:uid="{00000000-0005-0000-0000-0000B5590000}"/>
    <cellStyle name="Normal 7 2 6 3 3 2" xfId="16397" xr:uid="{00000000-0005-0000-0000-0000B6590000}"/>
    <cellStyle name="Normal 7 2 6 3 3 2 2" xfId="36112" xr:uid="{00000000-0005-0000-0000-0000B7590000}"/>
    <cellStyle name="Normal 7 2 6 3 3 3" xfId="26255" xr:uid="{00000000-0005-0000-0000-0000B8590000}"/>
    <cellStyle name="Normal 7 2 6 3 4" xfId="11469" xr:uid="{00000000-0005-0000-0000-0000B9590000}"/>
    <cellStyle name="Normal 7 2 6 3 4 2" xfId="31184" xr:uid="{00000000-0005-0000-0000-0000BA590000}"/>
    <cellStyle name="Normal 7 2 6 3 5" xfId="21327" xr:uid="{00000000-0005-0000-0000-0000BB590000}"/>
    <cellStyle name="Normal 7 2 6 4" xfId="2837" xr:uid="{00000000-0005-0000-0000-0000BC590000}"/>
    <cellStyle name="Normal 7 2 6 4 2" xfId="7769" xr:uid="{00000000-0005-0000-0000-0000BD590000}"/>
    <cellStyle name="Normal 7 2 6 4 2 2" xfId="17629" xr:uid="{00000000-0005-0000-0000-0000BE590000}"/>
    <cellStyle name="Normal 7 2 6 4 2 2 2" xfId="37344" xr:uid="{00000000-0005-0000-0000-0000BF590000}"/>
    <cellStyle name="Normal 7 2 6 4 2 3" xfId="27487" xr:uid="{00000000-0005-0000-0000-0000C0590000}"/>
    <cellStyle name="Normal 7 2 6 4 3" xfId="12701" xr:uid="{00000000-0005-0000-0000-0000C1590000}"/>
    <cellStyle name="Normal 7 2 6 4 3 2" xfId="32416" xr:uid="{00000000-0005-0000-0000-0000C2590000}"/>
    <cellStyle name="Normal 7 2 6 4 4" xfId="22559" xr:uid="{00000000-0005-0000-0000-0000C3590000}"/>
    <cellStyle name="Normal 7 2 6 5" xfId="5305" xr:uid="{00000000-0005-0000-0000-0000C4590000}"/>
    <cellStyle name="Normal 7 2 6 5 2" xfId="15165" xr:uid="{00000000-0005-0000-0000-0000C5590000}"/>
    <cellStyle name="Normal 7 2 6 5 2 2" xfId="34880" xr:uid="{00000000-0005-0000-0000-0000C6590000}"/>
    <cellStyle name="Normal 7 2 6 5 3" xfId="25023" xr:uid="{00000000-0005-0000-0000-0000C7590000}"/>
    <cellStyle name="Normal 7 2 6 6" xfId="10237" xr:uid="{00000000-0005-0000-0000-0000C8590000}"/>
    <cellStyle name="Normal 7 2 6 6 2" xfId="29952" xr:uid="{00000000-0005-0000-0000-0000C9590000}"/>
    <cellStyle name="Normal 7 2 6 7" xfId="20095" xr:uid="{00000000-0005-0000-0000-0000CA590000}"/>
    <cellStyle name="Normal 7 2 7" xfId="676" xr:uid="{00000000-0005-0000-0000-0000CB590000}"/>
    <cellStyle name="Normal 7 2 7 2" xfId="1912" xr:uid="{00000000-0005-0000-0000-0000CC590000}"/>
    <cellStyle name="Normal 7 2 7 2 2" xfId="4379" xr:uid="{00000000-0005-0000-0000-0000CD590000}"/>
    <cellStyle name="Normal 7 2 7 2 2 2" xfId="9311" xr:uid="{00000000-0005-0000-0000-0000CE590000}"/>
    <cellStyle name="Normal 7 2 7 2 2 2 2" xfId="19171" xr:uid="{00000000-0005-0000-0000-0000CF590000}"/>
    <cellStyle name="Normal 7 2 7 2 2 2 2 2" xfId="38886" xr:uid="{00000000-0005-0000-0000-0000D0590000}"/>
    <cellStyle name="Normal 7 2 7 2 2 2 3" xfId="29029" xr:uid="{00000000-0005-0000-0000-0000D1590000}"/>
    <cellStyle name="Normal 7 2 7 2 2 3" xfId="14243" xr:uid="{00000000-0005-0000-0000-0000D2590000}"/>
    <cellStyle name="Normal 7 2 7 2 2 3 2" xfId="33958" xr:uid="{00000000-0005-0000-0000-0000D3590000}"/>
    <cellStyle name="Normal 7 2 7 2 2 4" xfId="24101" xr:uid="{00000000-0005-0000-0000-0000D4590000}"/>
    <cellStyle name="Normal 7 2 7 2 3" xfId="6847" xr:uid="{00000000-0005-0000-0000-0000D5590000}"/>
    <cellStyle name="Normal 7 2 7 2 3 2" xfId="16707" xr:uid="{00000000-0005-0000-0000-0000D6590000}"/>
    <cellStyle name="Normal 7 2 7 2 3 2 2" xfId="36422" xr:uid="{00000000-0005-0000-0000-0000D7590000}"/>
    <cellStyle name="Normal 7 2 7 2 3 3" xfId="26565" xr:uid="{00000000-0005-0000-0000-0000D8590000}"/>
    <cellStyle name="Normal 7 2 7 2 4" xfId="11779" xr:uid="{00000000-0005-0000-0000-0000D9590000}"/>
    <cellStyle name="Normal 7 2 7 2 4 2" xfId="31494" xr:uid="{00000000-0005-0000-0000-0000DA590000}"/>
    <cellStyle name="Normal 7 2 7 2 5" xfId="21637" xr:uid="{00000000-0005-0000-0000-0000DB590000}"/>
    <cellStyle name="Normal 7 2 7 3" xfId="3147" xr:uid="{00000000-0005-0000-0000-0000DC590000}"/>
    <cellStyle name="Normal 7 2 7 3 2" xfId="8079" xr:uid="{00000000-0005-0000-0000-0000DD590000}"/>
    <cellStyle name="Normal 7 2 7 3 2 2" xfId="17939" xr:uid="{00000000-0005-0000-0000-0000DE590000}"/>
    <cellStyle name="Normal 7 2 7 3 2 2 2" xfId="37654" xr:uid="{00000000-0005-0000-0000-0000DF590000}"/>
    <cellStyle name="Normal 7 2 7 3 2 3" xfId="27797" xr:uid="{00000000-0005-0000-0000-0000E0590000}"/>
    <cellStyle name="Normal 7 2 7 3 3" xfId="13011" xr:uid="{00000000-0005-0000-0000-0000E1590000}"/>
    <cellStyle name="Normal 7 2 7 3 3 2" xfId="32726" xr:uid="{00000000-0005-0000-0000-0000E2590000}"/>
    <cellStyle name="Normal 7 2 7 3 4" xfId="22869" xr:uid="{00000000-0005-0000-0000-0000E3590000}"/>
    <cellStyle name="Normal 7 2 7 4" xfId="5615" xr:uid="{00000000-0005-0000-0000-0000E4590000}"/>
    <cellStyle name="Normal 7 2 7 4 2" xfId="15475" xr:uid="{00000000-0005-0000-0000-0000E5590000}"/>
    <cellStyle name="Normal 7 2 7 4 2 2" xfId="35190" xr:uid="{00000000-0005-0000-0000-0000E6590000}"/>
    <cellStyle name="Normal 7 2 7 4 3" xfId="25333" xr:uid="{00000000-0005-0000-0000-0000E7590000}"/>
    <cellStyle name="Normal 7 2 7 5" xfId="10547" xr:uid="{00000000-0005-0000-0000-0000E8590000}"/>
    <cellStyle name="Normal 7 2 7 5 2" xfId="30262" xr:uid="{00000000-0005-0000-0000-0000E9590000}"/>
    <cellStyle name="Normal 7 2 7 6" xfId="20405" xr:uid="{00000000-0005-0000-0000-0000EA590000}"/>
    <cellStyle name="Normal 7 2 8" xfId="1296" xr:uid="{00000000-0005-0000-0000-0000EB590000}"/>
    <cellStyle name="Normal 7 2 8 2" xfId="3763" xr:uid="{00000000-0005-0000-0000-0000EC590000}"/>
    <cellStyle name="Normal 7 2 8 2 2" xfId="8695" xr:uid="{00000000-0005-0000-0000-0000ED590000}"/>
    <cellStyle name="Normal 7 2 8 2 2 2" xfId="18555" xr:uid="{00000000-0005-0000-0000-0000EE590000}"/>
    <cellStyle name="Normal 7 2 8 2 2 2 2" xfId="38270" xr:uid="{00000000-0005-0000-0000-0000EF590000}"/>
    <cellStyle name="Normal 7 2 8 2 2 3" xfId="28413" xr:uid="{00000000-0005-0000-0000-0000F0590000}"/>
    <cellStyle name="Normal 7 2 8 2 3" xfId="13627" xr:uid="{00000000-0005-0000-0000-0000F1590000}"/>
    <cellStyle name="Normal 7 2 8 2 3 2" xfId="33342" xr:uid="{00000000-0005-0000-0000-0000F2590000}"/>
    <cellStyle name="Normal 7 2 8 2 4" xfId="23485" xr:uid="{00000000-0005-0000-0000-0000F3590000}"/>
    <cellStyle name="Normal 7 2 8 3" xfId="6231" xr:uid="{00000000-0005-0000-0000-0000F4590000}"/>
    <cellStyle name="Normal 7 2 8 3 2" xfId="16091" xr:uid="{00000000-0005-0000-0000-0000F5590000}"/>
    <cellStyle name="Normal 7 2 8 3 2 2" xfId="35806" xr:uid="{00000000-0005-0000-0000-0000F6590000}"/>
    <cellStyle name="Normal 7 2 8 3 3" xfId="25949" xr:uid="{00000000-0005-0000-0000-0000F7590000}"/>
    <cellStyle name="Normal 7 2 8 4" xfId="11163" xr:uid="{00000000-0005-0000-0000-0000F8590000}"/>
    <cellStyle name="Normal 7 2 8 4 2" xfId="30878" xr:uid="{00000000-0005-0000-0000-0000F9590000}"/>
    <cellStyle name="Normal 7 2 8 5" xfId="21021" xr:uid="{00000000-0005-0000-0000-0000FA590000}"/>
    <cellStyle name="Normal 7 2 9" xfId="2531" xr:uid="{00000000-0005-0000-0000-0000FB590000}"/>
    <cellStyle name="Normal 7 2 9 2" xfId="7463" xr:uid="{00000000-0005-0000-0000-0000FC590000}"/>
    <cellStyle name="Normal 7 2 9 2 2" xfId="17323" xr:uid="{00000000-0005-0000-0000-0000FD590000}"/>
    <cellStyle name="Normal 7 2 9 2 2 2" xfId="37038" xr:uid="{00000000-0005-0000-0000-0000FE590000}"/>
    <cellStyle name="Normal 7 2 9 2 3" xfId="27181" xr:uid="{00000000-0005-0000-0000-0000FF590000}"/>
    <cellStyle name="Normal 7 2 9 3" xfId="12395" xr:uid="{00000000-0005-0000-0000-0000005A0000}"/>
    <cellStyle name="Normal 7 2 9 3 2" xfId="32110" xr:uid="{00000000-0005-0000-0000-0000015A0000}"/>
    <cellStyle name="Normal 7 2 9 4" xfId="22253" xr:uid="{00000000-0005-0000-0000-0000025A0000}"/>
    <cellStyle name="Normal 7 3" xfId="44" xr:uid="{00000000-0005-0000-0000-0000035A0000}"/>
    <cellStyle name="Normal 7 3 10" xfId="9941" xr:uid="{00000000-0005-0000-0000-0000045A0000}"/>
    <cellStyle name="Normal 7 3 10 2" xfId="29656" xr:uid="{00000000-0005-0000-0000-0000055A0000}"/>
    <cellStyle name="Normal 7 3 11" xfId="19799" xr:uid="{00000000-0005-0000-0000-0000065A0000}"/>
    <cellStyle name="Normal 7 3 2" xfId="87" xr:uid="{00000000-0005-0000-0000-0000075A0000}"/>
    <cellStyle name="Normal 7 3 2 10" xfId="19837" xr:uid="{00000000-0005-0000-0000-0000085A0000}"/>
    <cellStyle name="Normal 7 3 2 2" xfId="168" xr:uid="{00000000-0005-0000-0000-0000095A0000}"/>
    <cellStyle name="Normal 7 3 2 2 2" xfId="325" xr:uid="{00000000-0005-0000-0000-00000A5A0000}"/>
    <cellStyle name="Normal 7 3 2 2 2 2" xfId="639" xr:uid="{00000000-0005-0000-0000-00000B5A0000}"/>
    <cellStyle name="Normal 7 3 2 2 2 2 2" xfId="1259" xr:uid="{00000000-0005-0000-0000-00000C5A0000}"/>
    <cellStyle name="Normal 7 3 2 2 2 2 2 2" xfId="2494" xr:uid="{00000000-0005-0000-0000-00000D5A0000}"/>
    <cellStyle name="Normal 7 3 2 2 2 2 2 2 2" xfId="4961" xr:uid="{00000000-0005-0000-0000-00000E5A0000}"/>
    <cellStyle name="Normal 7 3 2 2 2 2 2 2 2 2" xfId="9893" xr:uid="{00000000-0005-0000-0000-00000F5A0000}"/>
    <cellStyle name="Normal 7 3 2 2 2 2 2 2 2 2 2" xfId="19753" xr:uid="{00000000-0005-0000-0000-0000105A0000}"/>
    <cellStyle name="Normal 7 3 2 2 2 2 2 2 2 2 2 2" xfId="39468" xr:uid="{00000000-0005-0000-0000-0000115A0000}"/>
    <cellStyle name="Normal 7 3 2 2 2 2 2 2 2 2 3" xfId="29611" xr:uid="{00000000-0005-0000-0000-0000125A0000}"/>
    <cellStyle name="Normal 7 3 2 2 2 2 2 2 2 3" xfId="14825" xr:uid="{00000000-0005-0000-0000-0000135A0000}"/>
    <cellStyle name="Normal 7 3 2 2 2 2 2 2 2 3 2" xfId="34540" xr:uid="{00000000-0005-0000-0000-0000145A0000}"/>
    <cellStyle name="Normal 7 3 2 2 2 2 2 2 2 4" xfId="24683" xr:uid="{00000000-0005-0000-0000-0000155A0000}"/>
    <cellStyle name="Normal 7 3 2 2 2 2 2 2 3" xfId="7429" xr:uid="{00000000-0005-0000-0000-0000165A0000}"/>
    <cellStyle name="Normal 7 3 2 2 2 2 2 2 3 2" xfId="17289" xr:uid="{00000000-0005-0000-0000-0000175A0000}"/>
    <cellStyle name="Normal 7 3 2 2 2 2 2 2 3 2 2" xfId="37004" xr:uid="{00000000-0005-0000-0000-0000185A0000}"/>
    <cellStyle name="Normal 7 3 2 2 2 2 2 2 3 3" xfId="27147" xr:uid="{00000000-0005-0000-0000-0000195A0000}"/>
    <cellStyle name="Normal 7 3 2 2 2 2 2 2 4" xfId="12361" xr:uid="{00000000-0005-0000-0000-00001A5A0000}"/>
    <cellStyle name="Normal 7 3 2 2 2 2 2 2 4 2" xfId="32076" xr:uid="{00000000-0005-0000-0000-00001B5A0000}"/>
    <cellStyle name="Normal 7 3 2 2 2 2 2 2 5" xfId="22219" xr:uid="{00000000-0005-0000-0000-00001C5A0000}"/>
    <cellStyle name="Normal 7 3 2 2 2 2 2 3" xfId="3729" xr:uid="{00000000-0005-0000-0000-00001D5A0000}"/>
    <cellStyle name="Normal 7 3 2 2 2 2 2 3 2" xfId="8661" xr:uid="{00000000-0005-0000-0000-00001E5A0000}"/>
    <cellStyle name="Normal 7 3 2 2 2 2 2 3 2 2" xfId="18521" xr:uid="{00000000-0005-0000-0000-00001F5A0000}"/>
    <cellStyle name="Normal 7 3 2 2 2 2 2 3 2 2 2" xfId="38236" xr:uid="{00000000-0005-0000-0000-0000205A0000}"/>
    <cellStyle name="Normal 7 3 2 2 2 2 2 3 2 3" xfId="28379" xr:uid="{00000000-0005-0000-0000-0000215A0000}"/>
    <cellStyle name="Normal 7 3 2 2 2 2 2 3 3" xfId="13593" xr:uid="{00000000-0005-0000-0000-0000225A0000}"/>
    <cellStyle name="Normal 7 3 2 2 2 2 2 3 3 2" xfId="33308" xr:uid="{00000000-0005-0000-0000-0000235A0000}"/>
    <cellStyle name="Normal 7 3 2 2 2 2 2 3 4" xfId="23451" xr:uid="{00000000-0005-0000-0000-0000245A0000}"/>
    <cellStyle name="Normal 7 3 2 2 2 2 2 4" xfId="6197" xr:uid="{00000000-0005-0000-0000-0000255A0000}"/>
    <cellStyle name="Normal 7 3 2 2 2 2 2 4 2" xfId="16057" xr:uid="{00000000-0005-0000-0000-0000265A0000}"/>
    <cellStyle name="Normal 7 3 2 2 2 2 2 4 2 2" xfId="35772" xr:uid="{00000000-0005-0000-0000-0000275A0000}"/>
    <cellStyle name="Normal 7 3 2 2 2 2 2 4 3" xfId="25915" xr:uid="{00000000-0005-0000-0000-0000285A0000}"/>
    <cellStyle name="Normal 7 3 2 2 2 2 2 5" xfId="11129" xr:uid="{00000000-0005-0000-0000-0000295A0000}"/>
    <cellStyle name="Normal 7 3 2 2 2 2 2 5 2" xfId="30844" xr:uid="{00000000-0005-0000-0000-00002A5A0000}"/>
    <cellStyle name="Normal 7 3 2 2 2 2 2 6" xfId="20987" xr:uid="{00000000-0005-0000-0000-00002B5A0000}"/>
    <cellStyle name="Normal 7 3 2 2 2 2 3" xfId="1878" xr:uid="{00000000-0005-0000-0000-00002C5A0000}"/>
    <cellStyle name="Normal 7 3 2 2 2 2 3 2" xfId="4345" xr:uid="{00000000-0005-0000-0000-00002D5A0000}"/>
    <cellStyle name="Normal 7 3 2 2 2 2 3 2 2" xfId="9277" xr:uid="{00000000-0005-0000-0000-00002E5A0000}"/>
    <cellStyle name="Normal 7 3 2 2 2 2 3 2 2 2" xfId="19137" xr:uid="{00000000-0005-0000-0000-00002F5A0000}"/>
    <cellStyle name="Normal 7 3 2 2 2 2 3 2 2 2 2" xfId="38852" xr:uid="{00000000-0005-0000-0000-0000305A0000}"/>
    <cellStyle name="Normal 7 3 2 2 2 2 3 2 2 3" xfId="28995" xr:uid="{00000000-0005-0000-0000-0000315A0000}"/>
    <cellStyle name="Normal 7 3 2 2 2 2 3 2 3" xfId="14209" xr:uid="{00000000-0005-0000-0000-0000325A0000}"/>
    <cellStyle name="Normal 7 3 2 2 2 2 3 2 3 2" xfId="33924" xr:uid="{00000000-0005-0000-0000-0000335A0000}"/>
    <cellStyle name="Normal 7 3 2 2 2 2 3 2 4" xfId="24067" xr:uid="{00000000-0005-0000-0000-0000345A0000}"/>
    <cellStyle name="Normal 7 3 2 2 2 2 3 3" xfId="6813" xr:uid="{00000000-0005-0000-0000-0000355A0000}"/>
    <cellStyle name="Normal 7 3 2 2 2 2 3 3 2" xfId="16673" xr:uid="{00000000-0005-0000-0000-0000365A0000}"/>
    <cellStyle name="Normal 7 3 2 2 2 2 3 3 2 2" xfId="36388" xr:uid="{00000000-0005-0000-0000-0000375A0000}"/>
    <cellStyle name="Normal 7 3 2 2 2 2 3 3 3" xfId="26531" xr:uid="{00000000-0005-0000-0000-0000385A0000}"/>
    <cellStyle name="Normal 7 3 2 2 2 2 3 4" xfId="11745" xr:uid="{00000000-0005-0000-0000-0000395A0000}"/>
    <cellStyle name="Normal 7 3 2 2 2 2 3 4 2" xfId="31460" xr:uid="{00000000-0005-0000-0000-00003A5A0000}"/>
    <cellStyle name="Normal 7 3 2 2 2 2 3 5" xfId="21603" xr:uid="{00000000-0005-0000-0000-00003B5A0000}"/>
    <cellStyle name="Normal 7 3 2 2 2 2 4" xfId="3113" xr:uid="{00000000-0005-0000-0000-00003C5A0000}"/>
    <cellStyle name="Normal 7 3 2 2 2 2 4 2" xfId="8045" xr:uid="{00000000-0005-0000-0000-00003D5A0000}"/>
    <cellStyle name="Normal 7 3 2 2 2 2 4 2 2" xfId="17905" xr:uid="{00000000-0005-0000-0000-00003E5A0000}"/>
    <cellStyle name="Normal 7 3 2 2 2 2 4 2 2 2" xfId="37620" xr:uid="{00000000-0005-0000-0000-00003F5A0000}"/>
    <cellStyle name="Normal 7 3 2 2 2 2 4 2 3" xfId="27763" xr:uid="{00000000-0005-0000-0000-0000405A0000}"/>
    <cellStyle name="Normal 7 3 2 2 2 2 4 3" xfId="12977" xr:uid="{00000000-0005-0000-0000-0000415A0000}"/>
    <cellStyle name="Normal 7 3 2 2 2 2 4 3 2" xfId="32692" xr:uid="{00000000-0005-0000-0000-0000425A0000}"/>
    <cellStyle name="Normal 7 3 2 2 2 2 4 4" xfId="22835" xr:uid="{00000000-0005-0000-0000-0000435A0000}"/>
    <cellStyle name="Normal 7 3 2 2 2 2 5" xfId="5581" xr:uid="{00000000-0005-0000-0000-0000445A0000}"/>
    <cellStyle name="Normal 7 3 2 2 2 2 5 2" xfId="15441" xr:uid="{00000000-0005-0000-0000-0000455A0000}"/>
    <cellStyle name="Normal 7 3 2 2 2 2 5 2 2" xfId="35156" xr:uid="{00000000-0005-0000-0000-0000465A0000}"/>
    <cellStyle name="Normal 7 3 2 2 2 2 5 3" xfId="25299" xr:uid="{00000000-0005-0000-0000-0000475A0000}"/>
    <cellStyle name="Normal 7 3 2 2 2 2 6" xfId="10513" xr:uid="{00000000-0005-0000-0000-0000485A0000}"/>
    <cellStyle name="Normal 7 3 2 2 2 2 6 2" xfId="30228" xr:uid="{00000000-0005-0000-0000-0000495A0000}"/>
    <cellStyle name="Normal 7 3 2 2 2 2 7" xfId="20371" xr:uid="{00000000-0005-0000-0000-00004A5A0000}"/>
    <cellStyle name="Normal 7 3 2 2 2 3" xfId="952" xr:uid="{00000000-0005-0000-0000-00004B5A0000}"/>
    <cellStyle name="Normal 7 3 2 2 2 3 2" xfId="2188" xr:uid="{00000000-0005-0000-0000-00004C5A0000}"/>
    <cellStyle name="Normal 7 3 2 2 2 3 2 2" xfId="4655" xr:uid="{00000000-0005-0000-0000-00004D5A0000}"/>
    <cellStyle name="Normal 7 3 2 2 2 3 2 2 2" xfId="9587" xr:uid="{00000000-0005-0000-0000-00004E5A0000}"/>
    <cellStyle name="Normal 7 3 2 2 2 3 2 2 2 2" xfId="19447" xr:uid="{00000000-0005-0000-0000-00004F5A0000}"/>
    <cellStyle name="Normal 7 3 2 2 2 3 2 2 2 2 2" xfId="39162" xr:uid="{00000000-0005-0000-0000-0000505A0000}"/>
    <cellStyle name="Normal 7 3 2 2 2 3 2 2 2 3" xfId="29305" xr:uid="{00000000-0005-0000-0000-0000515A0000}"/>
    <cellStyle name="Normal 7 3 2 2 2 3 2 2 3" xfId="14519" xr:uid="{00000000-0005-0000-0000-0000525A0000}"/>
    <cellStyle name="Normal 7 3 2 2 2 3 2 2 3 2" xfId="34234" xr:uid="{00000000-0005-0000-0000-0000535A0000}"/>
    <cellStyle name="Normal 7 3 2 2 2 3 2 2 4" xfId="24377" xr:uid="{00000000-0005-0000-0000-0000545A0000}"/>
    <cellStyle name="Normal 7 3 2 2 2 3 2 3" xfId="7123" xr:uid="{00000000-0005-0000-0000-0000555A0000}"/>
    <cellStyle name="Normal 7 3 2 2 2 3 2 3 2" xfId="16983" xr:uid="{00000000-0005-0000-0000-0000565A0000}"/>
    <cellStyle name="Normal 7 3 2 2 2 3 2 3 2 2" xfId="36698" xr:uid="{00000000-0005-0000-0000-0000575A0000}"/>
    <cellStyle name="Normal 7 3 2 2 2 3 2 3 3" xfId="26841" xr:uid="{00000000-0005-0000-0000-0000585A0000}"/>
    <cellStyle name="Normal 7 3 2 2 2 3 2 4" xfId="12055" xr:uid="{00000000-0005-0000-0000-0000595A0000}"/>
    <cellStyle name="Normal 7 3 2 2 2 3 2 4 2" xfId="31770" xr:uid="{00000000-0005-0000-0000-00005A5A0000}"/>
    <cellStyle name="Normal 7 3 2 2 2 3 2 5" xfId="21913" xr:uid="{00000000-0005-0000-0000-00005B5A0000}"/>
    <cellStyle name="Normal 7 3 2 2 2 3 3" xfId="3423" xr:uid="{00000000-0005-0000-0000-00005C5A0000}"/>
    <cellStyle name="Normal 7 3 2 2 2 3 3 2" xfId="8355" xr:uid="{00000000-0005-0000-0000-00005D5A0000}"/>
    <cellStyle name="Normal 7 3 2 2 2 3 3 2 2" xfId="18215" xr:uid="{00000000-0005-0000-0000-00005E5A0000}"/>
    <cellStyle name="Normal 7 3 2 2 2 3 3 2 2 2" xfId="37930" xr:uid="{00000000-0005-0000-0000-00005F5A0000}"/>
    <cellStyle name="Normal 7 3 2 2 2 3 3 2 3" xfId="28073" xr:uid="{00000000-0005-0000-0000-0000605A0000}"/>
    <cellStyle name="Normal 7 3 2 2 2 3 3 3" xfId="13287" xr:uid="{00000000-0005-0000-0000-0000615A0000}"/>
    <cellStyle name="Normal 7 3 2 2 2 3 3 3 2" xfId="33002" xr:uid="{00000000-0005-0000-0000-0000625A0000}"/>
    <cellStyle name="Normal 7 3 2 2 2 3 3 4" xfId="23145" xr:uid="{00000000-0005-0000-0000-0000635A0000}"/>
    <cellStyle name="Normal 7 3 2 2 2 3 4" xfId="5891" xr:uid="{00000000-0005-0000-0000-0000645A0000}"/>
    <cellStyle name="Normal 7 3 2 2 2 3 4 2" xfId="15751" xr:uid="{00000000-0005-0000-0000-0000655A0000}"/>
    <cellStyle name="Normal 7 3 2 2 2 3 4 2 2" xfId="35466" xr:uid="{00000000-0005-0000-0000-0000665A0000}"/>
    <cellStyle name="Normal 7 3 2 2 2 3 4 3" xfId="25609" xr:uid="{00000000-0005-0000-0000-0000675A0000}"/>
    <cellStyle name="Normal 7 3 2 2 2 3 5" xfId="10823" xr:uid="{00000000-0005-0000-0000-0000685A0000}"/>
    <cellStyle name="Normal 7 3 2 2 2 3 5 2" xfId="30538" xr:uid="{00000000-0005-0000-0000-0000695A0000}"/>
    <cellStyle name="Normal 7 3 2 2 2 3 6" xfId="20681" xr:uid="{00000000-0005-0000-0000-00006A5A0000}"/>
    <cellStyle name="Normal 7 3 2 2 2 4" xfId="1572" xr:uid="{00000000-0005-0000-0000-00006B5A0000}"/>
    <cellStyle name="Normal 7 3 2 2 2 4 2" xfId="4039" xr:uid="{00000000-0005-0000-0000-00006C5A0000}"/>
    <cellStyle name="Normal 7 3 2 2 2 4 2 2" xfId="8971" xr:uid="{00000000-0005-0000-0000-00006D5A0000}"/>
    <cellStyle name="Normal 7 3 2 2 2 4 2 2 2" xfId="18831" xr:uid="{00000000-0005-0000-0000-00006E5A0000}"/>
    <cellStyle name="Normal 7 3 2 2 2 4 2 2 2 2" xfId="38546" xr:uid="{00000000-0005-0000-0000-00006F5A0000}"/>
    <cellStyle name="Normal 7 3 2 2 2 4 2 2 3" xfId="28689" xr:uid="{00000000-0005-0000-0000-0000705A0000}"/>
    <cellStyle name="Normal 7 3 2 2 2 4 2 3" xfId="13903" xr:uid="{00000000-0005-0000-0000-0000715A0000}"/>
    <cellStyle name="Normal 7 3 2 2 2 4 2 3 2" xfId="33618" xr:uid="{00000000-0005-0000-0000-0000725A0000}"/>
    <cellStyle name="Normal 7 3 2 2 2 4 2 4" xfId="23761" xr:uid="{00000000-0005-0000-0000-0000735A0000}"/>
    <cellStyle name="Normal 7 3 2 2 2 4 3" xfId="6507" xr:uid="{00000000-0005-0000-0000-0000745A0000}"/>
    <cellStyle name="Normal 7 3 2 2 2 4 3 2" xfId="16367" xr:uid="{00000000-0005-0000-0000-0000755A0000}"/>
    <cellStyle name="Normal 7 3 2 2 2 4 3 2 2" xfId="36082" xr:uid="{00000000-0005-0000-0000-0000765A0000}"/>
    <cellStyle name="Normal 7 3 2 2 2 4 3 3" xfId="26225" xr:uid="{00000000-0005-0000-0000-0000775A0000}"/>
    <cellStyle name="Normal 7 3 2 2 2 4 4" xfId="11439" xr:uid="{00000000-0005-0000-0000-0000785A0000}"/>
    <cellStyle name="Normal 7 3 2 2 2 4 4 2" xfId="31154" xr:uid="{00000000-0005-0000-0000-0000795A0000}"/>
    <cellStyle name="Normal 7 3 2 2 2 4 5" xfId="21297" xr:uid="{00000000-0005-0000-0000-00007A5A0000}"/>
    <cellStyle name="Normal 7 3 2 2 2 5" xfId="2807" xr:uid="{00000000-0005-0000-0000-00007B5A0000}"/>
    <cellStyle name="Normal 7 3 2 2 2 5 2" xfId="7739" xr:uid="{00000000-0005-0000-0000-00007C5A0000}"/>
    <cellStyle name="Normal 7 3 2 2 2 5 2 2" xfId="17599" xr:uid="{00000000-0005-0000-0000-00007D5A0000}"/>
    <cellStyle name="Normal 7 3 2 2 2 5 2 2 2" xfId="37314" xr:uid="{00000000-0005-0000-0000-00007E5A0000}"/>
    <cellStyle name="Normal 7 3 2 2 2 5 2 3" xfId="27457" xr:uid="{00000000-0005-0000-0000-00007F5A0000}"/>
    <cellStyle name="Normal 7 3 2 2 2 5 3" xfId="12671" xr:uid="{00000000-0005-0000-0000-0000805A0000}"/>
    <cellStyle name="Normal 7 3 2 2 2 5 3 2" xfId="32386" xr:uid="{00000000-0005-0000-0000-0000815A0000}"/>
    <cellStyle name="Normal 7 3 2 2 2 5 4" xfId="22529" xr:uid="{00000000-0005-0000-0000-0000825A0000}"/>
    <cellStyle name="Normal 7 3 2 2 2 6" xfId="5275" xr:uid="{00000000-0005-0000-0000-0000835A0000}"/>
    <cellStyle name="Normal 7 3 2 2 2 6 2" xfId="15135" xr:uid="{00000000-0005-0000-0000-0000845A0000}"/>
    <cellStyle name="Normal 7 3 2 2 2 6 2 2" xfId="34850" xr:uid="{00000000-0005-0000-0000-0000855A0000}"/>
    <cellStyle name="Normal 7 3 2 2 2 6 3" xfId="24993" xr:uid="{00000000-0005-0000-0000-0000865A0000}"/>
    <cellStyle name="Normal 7 3 2 2 2 7" xfId="10207" xr:uid="{00000000-0005-0000-0000-0000875A0000}"/>
    <cellStyle name="Normal 7 3 2 2 2 7 2" xfId="29922" xr:uid="{00000000-0005-0000-0000-0000885A0000}"/>
    <cellStyle name="Normal 7 3 2 2 2 8" xfId="20065" xr:uid="{00000000-0005-0000-0000-0000895A0000}"/>
    <cellStyle name="Normal 7 3 2 2 3" xfId="487" xr:uid="{00000000-0005-0000-0000-00008A5A0000}"/>
    <cellStyle name="Normal 7 3 2 2 3 2" xfId="1107" xr:uid="{00000000-0005-0000-0000-00008B5A0000}"/>
    <cellStyle name="Normal 7 3 2 2 3 2 2" xfId="2342" xr:uid="{00000000-0005-0000-0000-00008C5A0000}"/>
    <cellStyle name="Normal 7 3 2 2 3 2 2 2" xfId="4809" xr:uid="{00000000-0005-0000-0000-00008D5A0000}"/>
    <cellStyle name="Normal 7 3 2 2 3 2 2 2 2" xfId="9741" xr:uid="{00000000-0005-0000-0000-00008E5A0000}"/>
    <cellStyle name="Normal 7 3 2 2 3 2 2 2 2 2" xfId="19601" xr:uid="{00000000-0005-0000-0000-00008F5A0000}"/>
    <cellStyle name="Normal 7 3 2 2 3 2 2 2 2 2 2" xfId="39316" xr:uid="{00000000-0005-0000-0000-0000905A0000}"/>
    <cellStyle name="Normal 7 3 2 2 3 2 2 2 2 3" xfId="29459" xr:uid="{00000000-0005-0000-0000-0000915A0000}"/>
    <cellStyle name="Normal 7 3 2 2 3 2 2 2 3" xfId="14673" xr:uid="{00000000-0005-0000-0000-0000925A0000}"/>
    <cellStyle name="Normal 7 3 2 2 3 2 2 2 3 2" xfId="34388" xr:uid="{00000000-0005-0000-0000-0000935A0000}"/>
    <cellStyle name="Normal 7 3 2 2 3 2 2 2 4" xfId="24531" xr:uid="{00000000-0005-0000-0000-0000945A0000}"/>
    <cellStyle name="Normal 7 3 2 2 3 2 2 3" xfId="7277" xr:uid="{00000000-0005-0000-0000-0000955A0000}"/>
    <cellStyle name="Normal 7 3 2 2 3 2 2 3 2" xfId="17137" xr:uid="{00000000-0005-0000-0000-0000965A0000}"/>
    <cellStyle name="Normal 7 3 2 2 3 2 2 3 2 2" xfId="36852" xr:uid="{00000000-0005-0000-0000-0000975A0000}"/>
    <cellStyle name="Normal 7 3 2 2 3 2 2 3 3" xfId="26995" xr:uid="{00000000-0005-0000-0000-0000985A0000}"/>
    <cellStyle name="Normal 7 3 2 2 3 2 2 4" xfId="12209" xr:uid="{00000000-0005-0000-0000-0000995A0000}"/>
    <cellStyle name="Normal 7 3 2 2 3 2 2 4 2" xfId="31924" xr:uid="{00000000-0005-0000-0000-00009A5A0000}"/>
    <cellStyle name="Normal 7 3 2 2 3 2 2 5" xfId="22067" xr:uid="{00000000-0005-0000-0000-00009B5A0000}"/>
    <cellStyle name="Normal 7 3 2 2 3 2 3" xfId="3577" xr:uid="{00000000-0005-0000-0000-00009C5A0000}"/>
    <cellStyle name="Normal 7 3 2 2 3 2 3 2" xfId="8509" xr:uid="{00000000-0005-0000-0000-00009D5A0000}"/>
    <cellStyle name="Normal 7 3 2 2 3 2 3 2 2" xfId="18369" xr:uid="{00000000-0005-0000-0000-00009E5A0000}"/>
    <cellStyle name="Normal 7 3 2 2 3 2 3 2 2 2" xfId="38084" xr:uid="{00000000-0005-0000-0000-00009F5A0000}"/>
    <cellStyle name="Normal 7 3 2 2 3 2 3 2 3" xfId="28227" xr:uid="{00000000-0005-0000-0000-0000A05A0000}"/>
    <cellStyle name="Normal 7 3 2 2 3 2 3 3" xfId="13441" xr:uid="{00000000-0005-0000-0000-0000A15A0000}"/>
    <cellStyle name="Normal 7 3 2 2 3 2 3 3 2" xfId="33156" xr:uid="{00000000-0005-0000-0000-0000A25A0000}"/>
    <cellStyle name="Normal 7 3 2 2 3 2 3 4" xfId="23299" xr:uid="{00000000-0005-0000-0000-0000A35A0000}"/>
    <cellStyle name="Normal 7 3 2 2 3 2 4" xfId="6045" xr:uid="{00000000-0005-0000-0000-0000A45A0000}"/>
    <cellStyle name="Normal 7 3 2 2 3 2 4 2" xfId="15905" xr:uid="{00000000-0005-0000-0000-0000A55A0000}"/>
    <cellStyle name="Normal 7 3 2 2 3 2 4 2 2" xfId="35620" xr:uid="{00000000-0005-0000-0000-0000A65A0000}"/>
    <cellStyle name="Normal 7 3 2 2 3 2 4 3" xfId="25763" xr:uid="{00000000-0005-0000-0000-0000A75A0000}"/>
    <cellStyle name="Normal 7 3 2 2 3 2 5" xfId="10977" xr:uid="{00000000-0005-0000-0000-0000A85A0000}"/>
    <cellStyle name="Normal 7 3 2 2 3 2 5 2" xfId="30692" xr:uid="{00000000-0005-0000-0000-0000A95A0000}"/>
    <cellStyle name="Normal 7 3 2 2 3 2 6" xfId="20835" xr:uid="{00000000-0005-0000-0000-0000AA5A0000}"/>
    <cellStyle name="Normal 7 3 2 2 3 3" xfId="1726" xr:uid="{00000000-0005-0000-0000-0000AB5A0000}"/>
    <cellStyle name="Normal 7 3 2 2 3 3 2" xfId="4193" xr:uid="{00000000-0005-0000-0000-0000AC5A0000}"/>
    <cellStyle name="Normal 7 3 2 2 3 3 2 2" xfId="9125" xr:uid="{00000000-0005-0000-0000-0000AD5A0000}"/>
    <cellStyle name="Normal 7 3 2 2 3 3 2 2 2" xfId="18985" xr:uid="{00000000-0005-0000-0000-0000AE5A0000}"/>
    <cellStyle name="Normal 7 3 2 2 3 3 2 2 2 2" xfId="38700" xr:uid="{00000000-0005-0000-0000-0000AF5A0000}"/>
    <cellStyle name="Normal 7 3 2 2 3 3 2 2 3" xfId="28843" xr:uid="{00000000-0005-0000-0000-0000B05A0000}"/>
    <cellStyle name="Normal 7 3 2 2 3 3 2 3" xfId="14057" xr:uid="{00000000-0005-0000-0000-0000B15A0000}"/>
    <cellStyle name="Normal 7 3 2 2 3 3 2 3 2" xfId="33772" xr:uid="{00000000-0005-0000-0000-0000B25A0000}"/>
    <cellStyle name="Normal 7 3 2 2 3 3 2 4" xfId="23915" xr:uid="{00000000-0005-0000-0000-0000B35A0000}"/>
    <cellStyle name="Normal 7 3 2 2 3 3 3" xfId="6661" xr:uid="{00000000-0005-0000-0000-0000B45A0000}"/>
    <cellStyle name="Normal 7 3 2 2 3 3 3 2" xfId="16521" xr:uid="{00000000-0005-0000-0000-0000B55A0000}"/>
    <cellStyle name="Normal 7 3 2 2 3 3 3 2 2" xfId="36236" xr:uid="{00000000-0005-0000-0000-0000B65A0000}"/>
    <cellStyle name="Normal 7 3 2 2 3 3 3 3" xfId="26379" xr:uid="{00000000-0005-0000-0000-0000B75A0000}"/>
    <cellStyle name="Normal 7 3 2 2 3 3 4" xfId="11593" xr:uid="{00000000-0005-0000-0000-0000B85A0000}"/>
    <cellStyle name="Normal 7 3 2 2 3 3 4 2" xfId="31308" xr:uid="{00000000-0005-0000-0000-0000B95A0000}"/>
    <cellStyle name="Normal 7 3 2 2 3 3 5" xfId="21451" xr:uid="{00000000-0005-0000-0000-0000BA5A0000}"/>
    <cellStyle name="Normal 7 3 2 2 3 4" xfId="2961" xr:uid="{00000000-0005-0000-0000-0000BB5A0000}"/>
    <cellStyle name="Normal 7 3 2 2 3 4 2" xfId="7893" xr:uid="{00000000-0005-0000-0000-0000BC5A0000}"/>
    <cellStyle name="Normal 7 3 2 2 3 4 2 2" xfId="17753" xr:uid="{00000000-0005-0000-0000-0000BD5A0000}"/>
    <cellStyle name="Normal 7 3 2 2 3 4 2 2 2" xfId="37468" xr:uid="{00000000-0005-0000-0000-0000BE5A0000}"/>
    <cellStyle name="Normal 7 3 2 2 3 4 2 3" xfId="27611" xr:uid="{00000000-0005-0000-0000-0000BF5A0000}"/>
    <cellStyle name="Normal 7 3 2 2 3 4 3" xfId="12825" xr:uid="{00000000-0005-0000-0000-0000C05A0000}"/>
    <cellStyle name="Normal 7 3 2 2 3 4 3 2" xfId="32540" xr:uid="{00000000-0005-0000-0000-0000C15A0000}"/>
    <cellStyle name="Normal 7 3 2 2 3 4 4" xfId="22683" xr:uid="{00000000-0005-0000-0000-0000C25A0000}"/>
    <cellStyle name="Normal 7 3 2 2 3 5" xfId="5429" xr:uid="{00000000-0005-0000-0000-0000C35A0000}"/>
    <cellStyle name="Normal 7 3 2 2 3 5 2" xfId="15289" xr:uid="{00000000-0005-0000-0000-0000C45A0000}"/>
    <cellStyle name="Normal 7 3 2 2 3 5 2 2" xfId="35004" xr:uid="{00000000-0005-0000-0000-0000C55A0000}"/>
    <cellStyle name="Normal 7 3 2 2 3 5 3" xfId="25147" xr:uid="{00000000-0005-0000-0000-0000C65A0000}"/>
    <cellStyle name="Normal 7 3 2 2 3 6" xfId="10361" xr:uid="{00000000-0005-0000-0000-0000C75A0000}"/>
    <cellStyle name="Normal 7 3 2 2 3 6 2" xfId="30076" xr:uid="{00000000-0005-0000-0000-0000C85A0000}"/>
    <cellStyle name="Normal 7 3 2 2 3 7" xfId="20219" xr:uid="{00000000-0005-0000-0000-0000C95A0000}"/>
    <cellStyle name="Normal 7 3 2 2 4" xfId="800" xr:uid="{00000000-0005-0000-0000-0000CA5A0000}"/>
    <cellStyle name="Normal 7 3 2 2 4 2" xfId="2036" xr:uid="{00000000-0005-0000-0000-0000CB5A0000}"/>
    <cellStyle name="Normal 7 3 2 2 4 2 2" xfId="4503" xr:uid="{00000000-0005-0000-0000-0000CC5A0000}"/>
    <cellStyle name="Normal 7 3 2 2 4 2 2 2" xfId="9435" xr:uid="{00000000-0005-0000-0000-0000CD5A0000}"/>
    <cellStyle name="Normal 7 3 2 2 4 2 2 2 2" xfId="19295" xr:uid="{00000000-0005-0000-0000-0000CE5A0000}"/>
    <cellStyle name="Normal 7 3 2 2 4 2 2 2 2 2" xfId="39010" xr:uid="{00000000-0005-0000-0000-0000CF5A0000}"/>
    <cellStyle name="Normal 7 3 2 2 4 2 2 2 3" xfId="29153" xr:uid="{00000000-0005-0000-0000-0000D05A0000}"/>
    <cellStyle name="Normal 7 3 2 2 4 2 2 3" xfId="14367" xr:uid="{00000000-0005-0000-0000-0000D15A0000}"/>
    <cellStyle name="Normal 7 3 2 2 4 2 2 3 2" xfId="34082" xr:uid="{00000000-0005-0000-0000-0000D25A0000}"/>
    <cellStyle name="Normal 7 3 2 2 4 2 2 4" xfId="24225" xr:uid="{00000000-0005-0000-0000-0000D35A0000}"/>
    <cellStyle name="Normal 7 3 2 2 4 2 3" xfId="6971" xr:uid="{00000000-0005-0000-0000-0000D45A0000}"/>
    <cellStyle name="Normal 7 3 2 2 4 2 3 2" xfId="16831" xr:uid="{00000000-0005-0000-0000-0000D55A0000}"/>
    <cellStyle name="Normal 7 3 2 2 4 2 3 2 2" xfId="36546" xr:uid="{00000000-0005-0000-0000-0000D65A0000}"/>
    <cellStyle name="Normal 7 3 2 2 4 2 3 3" xfId="26689" xr:uid="{00000000-0005-0000-0000-0000D75A0000}"/>
    <cellStyle name="Normal 7 3 2 2 4 2 4" xfId="11903" xr:uid="{00000000-0005-0000-0000-0000D85A0000}"/>
    <cellStyle name="Normal 7 3 2 2 4 2 4 2" xfId="31618" xr:uid="{00000000-0005-0000-0000-0000D95A0000}"/>
    <cellStyle name="Normal 7 3 2 2 4 2 5" xfId="21761" xr:uid="{00000000-0005-0000-0000-0000DA5A0000}"/>
    <cellStyle name="Normal 7 3 2 2 4 3" xfId="3271" xr:uid="{00000000-0005-0000-0000-0000DB5A0000}"/>
    <cellStyle name="Normal 7 3 2 2 4 3 2" xfId="8203" xr:uid="{00000000-0005-0000-0000-0000DC5A0000}"/>
    <cellStyle name="Normal 7 3 2 2 4 3 2 2" xfId="18063" xr:uid="{00000000-0005-0000-0000-0000DD5A0000}"/>
    <cellStyle name="Normal 7 3 2 2 4 3 2 2 2" xfId="37778" xr:uid="{00000000-0005-0000-0000-0000DE5A0000}"/>
    <cellStyle name="Normal 7 3 2 2 4 3 2 3" xfId="27921" xr:uid="{00000000-0005-0000-0000-0000DF5A0000}"/>
    <cellStyle name="Normal 7 3 2 2 4 3 3" xfId="13135" xr:uid="{00000000-0005-0000-0000-0000E05A0000}"/>
    <cellStyle name="Normal 7 3 2 2 4 3 3 2" xfId="32850" xr:uid="{00000000-0005-0000-0000-0000E15A0000}"/>
    <cellStyle name="Normal 7 3 2 2 4 3 4" xfId="22993" xr:uid="{00000000-0005-0000-0000-0000E25A0000}"/>
    <cellStyle name="Normal 7 3 2 2 4 4" xfId="5739" xr:uid="{00000000-0005-0000-0000-0000E35A0000}"/>
    <cellStyle name="Normal 7 3 2 2 4 4 2" xfId="15599" xr:uid="{00000000-0005-0000-0000-0000E45A0000}"/>
    <cellStyle name="Normal 7 3 2 2 4 4 2 2" xfId="35314" xr:uid="{00000000-0005-0000-0000-0000E55A0000}"/>
    <cellStyle name="Normal 7 3 2 2 4 4 3" xfId="25457" xr:uid="{00000000-0005-0000-0000-0000E65A0000}"/>
    <cellStyle name="Normal 7 3 2 2 4 5" xfId="10671" xr:uid="{00000000-0005-0000-0000-0000E75A0000}"/>
    <cellStyle name="Normal 7 3 2 2 4 5 2" xfId="30386" xr:uid="{00000000-0005-0000-0000-0000E85A0000}"/>
    <cellStyle name="Normal 7 3 2 2 4 6" xfId="20529" xr:uid="{00000000-0005-0000-0000-0000E95A0000}"/>
    <cellStyle name="Normal 7 3 2 2 5" xfId="1420" xr:uid="{00000000-0005-0000-0000-0000EA5A0000}"/>
    <cellStyle name="Normal 7 3 2 2 5 2" xfId="3887" xr:uid="{00000000-0005-0000-0000-0000EB5A0000}"/>
    <cellStyle name="Normal 7 3 2 2 5 2 2" xfId="8819" xr:uid="{00000000-0005-0000-0000-0000EC5A0000}"/>
    <cellStyle name="Normal 7 3 2 2 5 2 2 2" xfId="18679" xr:uid="{00000000-0005-0000-0000-0000ED5A0000}"/>
    <cellStyle name="Normal 7 3 2 2 5 2 2 2 2" xfId="38394" xr:uid="{00000000-0005-0000-0000-0000EE5A0000}"/>
    <cellStyle name="Normal 7 3 2 2 5 2 2 3" xfId="28537" xr:uid="{00000000-0005-0000-0000-0000EF5A0000}"/>
    <cellStyle name="Normal 7 3 2 2 5 2 3" xfId="13751" xr:uid="{00000000-0005-0000-0000-0000F05A0000}"/>
    <cellStyle name="Normal 7 3 2 2 5 2 3 2" xfId="33466" xr:uid="{00000000-0005-0000-0000-0000F15A0000}"/>
    <cellStyle name="Normal 7 3 2 2 5 2 4" xfId="23609" xr:uid="{00000000-0005-0000-0000-0000F25A0000}"/>
    <cellStyle name="Normal 7 3 2 2 5 3" xfId="6355" xr:uid="{00000000-0005-0000-0000-0000F35A0000}"/>
    <cellStyle name="Normal 7 3 2 2 5 3 2" xfId="16215" xr:uid="{00000000-0005-0000-0000-0000F45A0000}"/>
    <cellStyle name="Normal 7 3 2 2 5 3 2 2" xfId="35930" xr:uid="{00000000-0005-0000-0000-0000F55A0000}"/>
    <cellStyle name="Normal 7 3 2 2 5 3 3" xfId="26073" xr:uid="{00000000-0005-0000-0000-0000F65A0000}"/>
    <cellStyle name="Normal 7 3 2 2 5 4" xfId="11287" xr:uid="{00000000-0005-0000-0000-0000F75A0000}"/>
    <cellStyle name="Normal 7 3 2 2 5 4 2" xfId="31002" xr:uid="{00000000-0005-0000-0000-0000F85A0000}"/>
    <cellStyle name="Normal 7 3 2 2 5 5" xfId="21145" xr:uid="{00000000-0005-0000-0000-0000F95A0000}"/>
    <cellStyle name="Normal 7 3 2 2 6" xfId="2655" xr:uid="{00000000-0005-0000-0000-0000FA5A0000}"/>
    <cellStyle name="Normal 7 3 2 2 6 2" xfId="7587" xr:uid="{00000000-0005-0000-0000-0000FB5A0000}"/>
    <cellStyle name="Normal 7 3 2 2 6 2 2" xfId="17447" xr:uid="{00000000-0005-0000-0000-0000FC5A0000}"/>
    <cellStyle name="Normal 7 3 2 2 6 2 2 2" xfId="37162" xr:uid="{00000000-0005-0000-0000-0000FD5A0000}"/>
    <cellStyle name="Normal 7 3 2 2 6 2 3" xfId="27305" xr:uid="{00000000-0005-0000-0000-0000FE5A0000}"/>
    <cellStyle name="Normal 7 3 2 2 6 3" xfId="12519" xr:uid="{00000000-0005-0000-0000-0000FF5A0000}"/>
    <cellStyle name="Normal 7 3 2 2 6 3 2" xfId="32234" xr:uid="{00000000-0005-0000-0000-0000005B0000}"/>
    <cellStyle name="Normal 7 3 2 2 6 4" xfId="22377" xr:uid="{00000000-0005-0000-0000-0000015B0000}"/>
    <cellStyle name="Normal 7 3 2 2 7" xfId="5123" xr:uid="{00000000-0005-0000-0000-0000025B0000}"/>
    <cellStyle name="Normal 7 3 2 2 7 2" xfId="14983" xr:uid="{00000000-0005-0000-0000-0000035B0000}"/>
    <cellStyle name="Normal 7 3 2 2 7 2 2" xfId="34698" xr:uid="{00000000-0005-0000-0000-0000045B0000}"/>
    <cellStyle name="Normal 7 3 2 2 7 3" xfId="24841" xr:uid="{00000000-0005-0000-0000-0000055B0000}"/>
    <cellStyle name="Normal 7 3 2 2 8" xfId="10055" xr:uid="{00000000-0005-0000-0000-0000065B0000}"/>
    <cellStyle name="Normal 7 3 2 2 8 2" xfId="29770" xr:uid="{00000000-0005-0000-0000-0000075B0000}"/>
    <cellStyle name="Normal 7 3 2 2 9" xfId="19913" xr:uid="{00000000-0005-0000-0000-0000085B0000}"/>
    <cellStyle name="Normal 7 3 2 3" xfId="249" xr:uid="{00000000-0005-0000-0000-0000095B0000}"/>
    <cellStyle name="Normal 7 3 2 3 2" xfId="563" xr:uid="{00000000-0005-0000-0000-00000A5B0000}"/>
    <cellStyle name="Normal 7 3 2 3 2 2" xfId="1183" xr:uid="{00000000-0005-0000-0000-00000B5B0000}"/>
    <cellStyle name="Normal 7 3 2 3 2 2 2" xfId="2418" xr:uid="{00000000-0005-0000-0000-00000C5B0000}"/>
    <cellStyle name="Normal 7 3 2 3 2 2 2 2" xfId="4885" xr:uid="{00000000-0005-0000-0000-00000D5B0000}"/>
    <cellStyle name="Normal 7 3 2 3 2 2 2 2 2" xfId="9817" xr:uid="{00000000-0005-0000-0000-00000E5B0000}"/>
    <cellStyle name="Normal 7 3 2 3 2 2 2 2 2 2" xfId="19677" xr:uid="{00000000-0005-0000-0000-00000F5B0000}"/>
    <cellStyle name="Normal 7 3 2 3 2 2 2 2 2 2 2" xfId="39392" xr:uid="{00000000-0005-0000-0000-0000105B0000}"/>
    <cellStyle name="Normal 7 3 2 3 2 2 2 2 2 3" xfId="29535" xr:uid="{00000000-0005-0000-0000-0000115B0000}"/>
    <cellStyle name="Normal 7 3 2 3 2 2 2 2 3" xfId="14749" xr:uid="{00000000-0005-0000-0000-0000125B0000}"/>
    <cellStyle name="Normal 7 3 2 3 2 2 2 2 3 2" xfId="34464" xr:uid="{00000000-0005-0000-0000-0000135B0000}"/>
    <cellStyle name="Normal 7 3 2 3 2 2 2 2 4" xfId="24607" xr:uid="{00000000-0005-0000-0000-0000145B0000}"/>
    <cellStyle name="Normal 7 3 2 3 2 2 2 3" xfId="7353" xr:uid="{00000000-0005-0000-0000-0000155B0000}"/>
    <cellStyle name="Normal 7 3 2 3 2 2 2 3 2" xfId="17213" xr:uid="{00000000-0005-0000-0000-0000165B0000}"/>
    <cellStyle name="Normal 7 3 2 3 2 2 2 3 2 2" xfId="36928" xr:uid="{00000000-0005-0000-0000-0000175B0000}"/>
    <cellStyle name="Normal 7 3 2 3 2 2 2 3 3" xfId="27071" xr:uid="{00000000-0005-0000-0000-0000185B0000}"/>
    <cellStyle name="Normal 7 3 2 3 2 2 2 4" xfId="12285" xr:uid="{00000000-0005-0000-0000-0000195B0000}"/>
    <cellStyle name="Normal 7 3 2 3 2 2 2 4 2" xfId="32000" xr:uid="{00000000-0005-0000-0000-00001A5B0000}"/>
    <cellStyle name="Normal 7 3 2 3 2 2 2 5" xfId="22143" xr:uid="{00000000-0005-0000-0000-00001B5B0000}"/>
    <cellStyle name="Normal 7 3 2 3 2 2 3" xfId="3653" xr:uid="{00000000-0005-0000-0000-00001C5B0000}"/>
    <cellStyle name="Normal 7 3 2 3 2 2 3 2" xfId="8585" xr:uid="{00000000-0005-0000-0000-00001D5B0000}"/>
    <cellStyle name="Normal 7 3 2 3 2 2 3 2 2" xfId="18445" xr:uid="{00000000-0005-0000-0000-00001E5B0000}"/>
    <cellStyle name="Normal 7 3 2 3 2 2 3 2 2 2" xfId="38160" xr:uid="{00000000-0005-0000-0000-00001F5B0000}"/>
    <cellStyle name="Normal 7 3 2 3 2 2 3 2 3" xfId="28303" xr:uid="{00000000-0005-0000-0000-0000205B0000}"/>
    <cellStyle name="Normal 7 3 2 3 2 2 3 3" xfId="13517" xr:uid="{00000000-0005-0000-0000-0000215B0000}"/>
    <cellStyle name="Normal 7 3 2 3 2 2 3 3 2" xfId="33232" xr:uid="{00000000-0005-0000-0000-0000225B0000}"/>
    <cellStyle name="Normal 7 3 2 3 2 2 3 4" xfId="23375" xr:uid="{00000000-0005-0000-0000-0000235B0000}"/>
    <cellStyle name="Normal 7 3 2 3 2 2 4" xfId="6121" xr:uid="{00000000-0005-0000-0000-0000245B0000}"/>
    <cellStyle name="Normal 7 3 2 3 2 2 4 2" xfId="15981" xr:uid="{00000000-0005-0000-0000-0000255B0000}"/>
    <cellStyle name="Normal 7 3 2 3 2 2 4 2 2" xfId="35696" xr:uid="{00000000-0005-0000-0000-0000265B0000}"/>
    <cellStyle name="Normal 7 3 2 3 2 2 4 3" xfId="25839" xr:uid="{00000000-0005-0000-0000-0000275B0000}"/>
    <cellStyle name="Normal 7 3 2 3 2 2 5" xfId="11053" xr:uid="{00000000-0005-0000-0000-0000285B0000}"/>
    <cellStyle name="Normal 7 3 2 3 2 2 5 2" xfId="30768" xr:uid="{00000000-0005-0000-0000-0000295B0000}"/>
    <cellStyle name="Normal 7 3 2 3 2 2 6" xfId="20911" xr:uid="{00000000-0005-0000-0000-00002A5B0000}"/>
    <cellStyle name="Normal 7 3 2 3 2 3" xfId="1802" xr:uid="{00000000-0005-0000-0000-00002B5B0000}"/>
    <cellStyle name="Normal 7 3 2 3 2 3 2" xfId="4269" xr:uid="{00000000-0005-0000-0000-00002C5B0000}"/>
    <cellStyle name="Normal 7 3 2 3 2 3 2 2" xfId="9201" xr:uid="{00000000-0005-0000-0000-00002D5B0000}"/>
    <cellStyle name="Normal 7 3 2 3 2 3 2 2 2" xfId="19061" xr:uid="{00000000-0005-0000-0000-00002E5B0000}"/>
    <cellStyle name="Normal 7 3 2 3 2 3 2 2 2 2" xfId="38776" xr:uid="{00000000-0005-0000-0000-00002F5B0000}"/>
    <cellStyle name="Normal 7 3 2 3 2 3 2 2 3" xfId="28919" xr:uid="{00000000-0005-0000-0000-0000305B0000}"/>
    <cellStyle name="Normal 7 3 2 3 2 3 2 3" xfId="14133" xr:uid="{00000000-0005-0000-0000-0000315B0000}"/>
    <cellStyle name="Normal 7 3 2 3 2 3 2 3 2" xfId="33848" xr:uid="{00000000-0005-0000-0000-0000325B0000}"/>
    <cellStyle name="Normal 7 3 2 3 2 3 2 4" xfId="23991" xr:uid="{00000000-0005-0000-0000-0000335B0000}"/>
    <cellStyle name="Normal 7 3 2 3 2 3 3" xfId="6737" xr:uid="{00000000-0005-0000-0000-0000345B0000}"/>
    <cellStyle name="Normal 7 3 2 3 2 3 3 2" xfId="16597" xr:uid="{00000000-0005-0000-0000-0000355B0000}"/>
    <cellStyle name="Normal 7 3 2 3 2 3 3 2 2" xfId="36312" xr:uid="{00000000-0005-0000-0000-0000365B0000}"/>
    <cellStyle name="Normal 7 3 2 3 2 3 3 3" xfId="26455" xr:uid="{00000000-0005-0000-0000-0000375B0000}"/>
    <cellStyle name="Normal 7 3 2 3 2 3 4" xfId="11669" xr:uid="{00000000-0005-0000-0000-0000385B0000}"/>
    <cellStyle name="Normal 7 3 2 3 2 3 4 2" xfId="31384" xr:uid="{00000000-0005-0000-0000-0000395B0000}"/>
    <cellStyle name="Normal 7 3 2 3 2 3 5" xfId="21527" xr:uid="{00000000-0005-0000-0000-00003A5B0000}"/>
    <cellStyle name="Normal 7 3 2 3 2 4" xfId="3037" xr:uid="{00000000-0005-0000-0000-00003B5B0000}"/>
    <cellStyle name="Normal 7 3 2 3 2 4 2" xfId="7969" xr:uid="{00000000-0005-0000-0000-00003C5B0000}"/>
    <cellStyle name="Normal 7 3 2 3 2 4 2 2" xfId="17829" xr:uid="{00000000-0005-0000-0000-00003D5B0000}"/>
    <cellStyle name="Normal 7 3 2 3 2 4 2 2 2" xfId="37544" xr:uid="{00000000-0005-0000-0000-00003E5B0000}"/>
    <cellStyle name="Normal 7 3 2 3 2 4 2 3" xfId="27687" xr:uid="{00000000-0005-0000-0000-00003F5B0000}"/>
    <cellStyle name="Normal 7 3 2 3 2 4 3" xfId="12901" xr:uid="{00000000-0005-0000-0000-0000405B0000}"/>
    <cellStyle name="Normal 7 3 2 3 2 4 3 2" xfId="32616" xr:uid="{00000000-0005-0000-0000-0000415B0000}"/>
    <cellStyle name="Normal 7 3 2 3 2 4 4" xfId="22759" xr:uid="{00000000-0005-0000-0000-0000425B0000}"/>
    <cellStyle name="Normal 7 3 2 3 2 5" xfId="5505" xr:uid="{00000000-0005-0000-0000-0000435B0000}"/>
    <cellStyle name="Normal 7 3 2 3 2 5 2" xfId="15365" xr:uid="{00000000-0005-0000-0000-0000445B0000}"/>
    <cellStyle name="Normal 7 3 2 3 2 5 2 2" xfId="35080" xr:uid="{00000000-0005-0000-0000-0000455B0000}"/>
    <cellStyle name="Normal 7 3 2 3 2 5 3" xfId="25223" xr:uid="{00000000-0005-0000-0000-0000465B0000}"/>
    <cellStyle name="Normal 7 3 2 3 2 6" xfId="10437" xr:uid="{00000000-0005-0000-0000-0000475B0000}"/>
    <cellStyle name="Normal 7 3 2 3 2 6 2" xfId="30152" xr:uid="{00000000-0005-0000-0000-0000485B0000}"/>
    <cellStyle name="Normal 7 3 2 3 2 7" xfId="20295" xr:uid="{00000000-0005-0000-0000-0000495B0000}"/>
    <cellStyle name="Normal 7 3 2 3 3" xfId="876" xr:uid="{00000000-0005-0000-0000-00004A5B0000}"/>
    <cellStyle name="Normal 7 3 2 3 3 2" xfId="2112" xr:uid="{00000000-0005-0000-0000-00004B5B0000}"/>
    <cellStyle name="Normal 7 3 2 3 3 2 2" xfId="4579" xr:uid="{00000000-0005-0000-0000-00004C5B0000}"/>
    <cellStyle name="Normal 7 3 2 3 3 2 2 2" xfId="9511" xr:uid="{00000000-0005-0000-0000-00004D5B0000}"/>
    <cellStyle name="Normal 7 3 2 3 3 2 2 2 2" xfId="19371" xr:uid="{00000000-0005-0000-0000-00004E5B0000}"/>
    <cellStyle name="Normal 7 3 2 3 3 2 2 2 2 2" xfId="39086" xr:uid="{00000000-0005-0000-0000-00004F5B0000}"/>
    <cellStyle name="Normal 7 3 2 3 3 2 2 2 3" xfId="29229" xr:uid="{00000000-0005-0000-0000-0000505B0000}"/>
    <cellStyle name="Normal 7 3 2 3 3 2 2 3" xfId="14443" xr:uid="{00000000-0005-0000-0000-0000515B0000}"/>
    <cellStyle name="Normal 7 3 2 3 3 2 2 3 2" xfId="34158" xr:uid="{00000000-0005-0000-0000-0000525B0000}"/>
    <cellStyle name="Normal 7 3 2 3 3 2 2 4" xfId="24301" xr:uid="{00000000-0005-0000-0000-0000535B0000}"/>
    <cellStyle name="Normal 7 3 2 3 3 2 3" xfId="7047" xr:uid="{00000000-0005-0000-0000-0000545B0000}"/>
    <cellStyle name="Normal 7 3 2 3 3 2 3 2" xfId="16907" xr:uid="{00000000-0005-0000-0000-0000555B0000}"/>
    <cellStyle name="Normal 7 3 2 3 3 2 3 2 2" xfId="36622" xr:uid="{00000000-0005-0000-0000-0000565B0000}"/>
    <cellStyle name="Normal 7 3 2 3 3 2 3 3" xfId="26765" xr:uid="{00000000-0005-0000-0000-0000575B0000}"/>
    <cellStyle name="Normal 7 3 2 3 3 2 4" xfId="11979" xr:uid="{00000000-0005-0000-0000-0000585B0000}"/>
    <cellStyle name="Normal 7 3 2 3 3 2 4 2" xfId="31694" xr:uid="{00000000-0005-0000-0000-0000595B0000}"/>
    <cellStyle name="Normal 7 3 2 3 3 2 5" xfId="21837" xr:uid="{00000000-0005-0000-0000-00005A5B0000}"/>
    <cellStyle name="Normal 7 3 2 3 3 3" xfId="3347" xr:uid="{00000000-0005-0000-0000-00005B5B0000}"/>
    <cellStyle name="Normal 7 3 2 3 3 3 2" xfId="8279" xr:uid="{00000000-0005-0000-0000-00005C5B0000}"/>
    <cellStyle name="Normal 7 3 2 3 3 3 2 2" xfId="18139" xr:uid="{00000000-0005-0000-0000-00005D5B0000}"/>
    <cellStyle name="Normal 7 3 2 3 3 3 2 2 2" xfId="37854" xr:uid="{00000000-0005-0000-0000-00005E5B0000}"/>
    <cellStyle name="Normal 7 3 2 3 3 3 2 3" xfId="27997" xr:uid="{00000000-0005-0000-0000-00005F5B0000}"/>
    <cellStyle name="Normal 7 3 2 3 3 3 3" xfId="13211" xr:uid="{00000000-0005-0000-0000-0000605B0000}"/>
    <cellStyle name="Normal 7 3 2 3 3 3 3 2" xfId="32926" xr:uid="{00000000-0005-0000-0000-0000615B0000}"/>
    <cellStyle name="Normal 7 3 2 3 3 3 4" xfId="23069" xr:uid="{00000000-0005-0000-0000-0000625B0000}"/>
    <cellStyle name="Normal 7 3 2 3 3 4" xfId="5815" xr:uid="{00000000-0005-0000-0000-0000635B0000}"/>
    <cellStyle name="Normal 7 3 2 3 3 4 2" xfId="15675" xr:uid="{00000000-0005-0000-0000-0000645B0000}"/>
    <cellStyle name="Normal 7 3 2 3 3 4 2 2" xfId="35390" xr:uid="{00000000-0005-0000-0000-0000655B0000}"/>
    <cellStyle name="Normal 7 3 2 3 3 4 3" xfId="25533" xr:uid="{00000000-0005-0000-0000-0000665B0000}"/>
    <cellStyle name="Normal 7 3 2 3 3 5" xfId="10747" xr:uid="{00000000-0005-0000-0000-0000675B0000}"/>
    <cellStyle name="Normal 7 3 2 3 3 5 2" xfId="30462" xr:uid="{00000000-0005-0000-0000-0000685B0000}"/>
    <cellStyle name="Normal 7 3 2 3 3 6" xfId="20605" xr:uid="{00000000-0005-0000-0000-0000695B0000}"/>
    <cellStyle name="Normal 7 3 2 3 4" xfId="1496" xr:uid="{00000000-0005-0000-0000-00006A5B0000}"/>
    <cellStyle name="Normal 7 3 2 3 4 2" xfId="3963" xr:uid="{00000000-0005-0000-0000-00006B5B0000}"/>
    <cellStyle name="Normal 7 3 2 3 4 2 2" xfId="8895" xr:uid="{00000000-0005-0000-0000-00006C5B0000}"/>
    <cellStyle name="Normal 7 3 2 3 4 2 2 2" xfId="18755" xr:uid="{00000000-0005-0000-0000-00006D5B0000}"/>
    <cellStyle name="Normal 7 3 2 3 4 2 2 2 2" xfId="38470" xr:uid="{00000000-0005-0000-0000-00006E5B0000}"/>
    <cellStyle name="Normal 7 3 2 3 4 2 2 3" xfId="28613" xr:uid="{00000000-0005-0000-0000-00006F5B0000}"/>
    <cellStyle name="Normal 7 3 2 3 4 2 3" xfId="13827" xr:uid="{00000000-0005-0000-0000-0000705B0000}"/>
    <cellStyle name="Normal 7 3 2 3 4 2 3 2" xfId="33542" xr:uid="{00000000-0005-0000-0000-0000715B0000}"/>
    <cellStyle name="Normal 7 3 2 3 4 2 4" xfId="23685" xr:uid="{00000000-0005-0000-0000-0000725B0000}"/>
    <cellStyle name="Normal 7 3 2 3 4 3" xfId="6431" xr:uid="{00000000-0005-0000-0000-0000735B0000}"/>
    <cellStyle name="Normal 7 3 2 3 4 3 2" xfId="16291" xr:uid="{00000000-0005-0000-0000-0000745B0000}"/>
    <cellStyle name="Normal 7 3 2 3 4 3 2 2" xfId="36006" xr:uid="{00000000-0005-0000-0000-0000755B0000}"/>
    <cellStyle name="Normal 7 3 2 3 4 3 3" xfId="26149" xr:uid="{00000000-0005-0000-0000-0000765B0000}"/>
    <cellStyle name="Normal 7 3 2 3 4 4" xfId="11363" xr:uid="{00000000-0005-0000-0000-0000775B0000}"/>
    <cellStyle name="Normal 7 3 2 3 4 4 2" xfId="31078" xr:uid="{00000000-0005-0000-0000-0000785B0000}"/>
    <cellStyle name="Normal 7 3 2 3 4 5" xfId="21221" xr:uid="{00000000-0005-0000-0000-0000795B0000}"/>
    <cellStyle name="Normal 7 3 2 3 5" xfId="2731" xr:uid="{00000000-0005-0000-0000-00007A5B0000}"/>
    <cellStyle name="Normal 7 3 2 3 5 2" xfId="7663" xr:uid="{00000000-0005-0000-0000-00007B5B0000}"/>
    <cellStyle name="Normal 7 3 2 3 5 2 2" xfId="17523" xr:uid="{00000000-0005-0000-0000-00007C5B0000}"/>
    <cellStyle name="Normal 7 3 2 3 5 2 2 2" xfId="37238" xr:uid="{00000000-0005-0000-0000-00007D5B0000}"/>
    <cellStyle name="Normal 7 3 2 3 5 2 3" xfId="27381" xr:uid="{00000000-0005-0000-0000-00007E5B0000}"/>
    <cellStyle name="Normal 7 3 2 3 5 3" xfId="12595" xr:uid="{00000000-0005-0000-0000-00007F5B0000}"/>
    <cellStyle name="Normal 7 3 2 3 5 3 2" xfId="32310" xr:uid="{00000000-0005-0000-0000-0000805B0000}"/>
    <cellStyle name="Normal 7 3 2 3 5 4" xfId="22453" xr:uid="{00000000-0005-0000-0000-0000815B0000}"/>
    <cellStyle name="Normal 7 3 2 3 6" xfId="5199" xr:uid="{00000000-0005-0000-0000-0000825B0000}"/>
    <cellStyle name="Normal 7 3 2 3 6 2" xfId="15059" xr:uid="{00000000-0005-0000-0000-0000835B0000}"/>
    <cellStyle name="Normal 7 3 2 3 6 2 2" xfId="34774" xr:uid="{00000000-0005-0000-0000-0000845B0000}"/>
    <cellStyle name="Normal 7 3 2 3 6 3" xfId="24917" xr:uid="{00000000-0005-0000-0000-0000855B0000}"/>
    <cellStyle name="Normal 7 3 2 3 7" xfId="10131" xr:uid="{00000000-0005-0000-0000-0000865B0000}"/>
    <cellStyle name="Normal 7 3 2 3 7 2" xfId="29846" xr:uid="{00000000-0005-0000-0000-0000875B0000}"/>
    <cellStyle name="Normal 7 3 2 3 8" xfId="19989" xr:uid="{00000000-0005-0000-0000-0000885B0000}"/>
    <cellStyle name="Normal 7 3 2 4" xfId="411" xr:uid="{00000000-0005-0000-0000-0000895B0000}"/>
    <cellStyle name="Normal 7 3 2 4 2" xfId="1031" xr:uid="{00000000-0005-0000-0000-00008A5B0000}"/>
    <cellStyle name="Normal 7 3 2 4 2 2" xfId="2266" xr:uid="{00000000-0005-0000-0000-00008B5B0000}"/>
    <cellStyle name="Normal 7 3 2 4 2 2 2" xfId="4733" xr:uid="{00000000-0005-0000-0000-00008C5B0000}"/>
    <cellStyle name="Normal 7 3 2 4 2 2 2 2" xfId="9665" xr:uid="{00000000-0005-0000-0000-00008D5B0000}"/>
    <cellStyle name="Normal 7 3 2 4 2 2 2 2 2" xfId="19525" xr:uid="{00000000-0005-0000-0000-00008E5B0000}"/>
    <cellStyle name="Normal 7 3 2 4 2 2 2 2 2 2" xfId="39240" xr:uid="{00000000-0005-0000-0000-00008F5B0000}"/>
    <cellStyle name="Normal 7 3 2 4 2 2 2 2 3" xfId="29383" xr:uid="{00000000-0005-0000-0000-0000905B0000}"/>
    <cellStyle name="Normal 7 3 2 4 2 2 2 3" xfId="14597" xr:uid="{00000000-0005-0000-0000-0000915B0000}"/>
    <cellStyle name="Normal 7 3 2 4 2 2 2 3 2" xfId="34312" xr:uid="{00000000-0005-0000-0000-0000925B0000}"/>
    <cellStyle name="Normal 7 3 2 4 2 2 2 4" xfId="24455" xr:uid="{00000000-0005-0000-0000-0000935B0000}"/>
    <cellStyle name="Normal 7 3 2 4 2 2 3" xfId="7201" xr:uid="{00000000-0005-0000-0000-0000945B0000}"/>
    <cellStyle name="Normal 7 3 2 4 2 2 3 2" xfId="17061" xr:uid="{00000000-0005-0000-0000-0000955B0000}"/>
    <cellStyle name="Normal 7 3 2 4 2 2 3 2 2" xfId="36776" xr:uid="{00000000-0005-0000-0000-0000965B0000}"/>
    <cellStyle name="Normal 7 3 2 4 2 2 3 3" xfId="26919" xr:uid="{00000000-0005-0000-0000-0000975B0000}"/>
    <cellStyle name="Normal 7 3 2 4 2 2 4" xfId="12133" xr:uid="{00000000-0005-0000-0000-0000985B0000}"/>
    <cellStyle name="Normal 7 3 2 4 2 2 4 2" xfId="31848" xr:uid="{00000000-0005-0000-0000-0000995B0000}"/>
    <cellStyle name="Normal 7 3 2 4 2 2 5" xfId="21991" xr:uid="{00000000-0005-0000-0000-00009A5B0000}"/>
    <cellStyle name="Normal 7 3 2 4 2 3" xfId="3501" xr:uid="{00000000-0005-0000-0000-00009B5B0000}"/>
    <cellStyle name="Normal 7 3 2 4 2 3 2" xfId="8433" xr:uid="{00000000-0005-0000-0000-00009C5B0000}"/>
    <cellStyle name="Normal 7 3 2 4 2 3 2 2" xfId="18293" xr:uid="{00000000-0005-0000-0000-00009D5B0000}"/>
    <cellStyle name="Normal 7 3 2 4 2 3 2 2 2" xfId="38008" xr:uid="{00000000-0005-0000-0000-00009E5B0000}"/>
    <cellStyle name="Normal 7 3 2 4 2 3 2 3" xfId="28151" xr:uid="{00000000-0005-0000-0000-00009F5B0000}"/>
    <cellStyle name="Normal 7 3 2 4 2 3 3" xfId="13365" xr:uid="{00000000-0005-0000-0000-0000A05B0000}"/>
    <cellStyle name="Normal 7 3 2 4 2 3 3 2" xfId="33080" xr:uid="{00000000-0005-0000-0000-0000A15B0000}"/>
    <cellStyle name="Normal 7 3 2 4 2 3 4" xfId="23223" xr:uid="{00000000-0005-0000-0000-0000A25B0000}"/>
    <cellStyle name="Normal 7 3 2 4 2 4" xfId="5969" xr:uid="{00000000-0005-0000-0000-0000A35B0000}"/>
    <cellStyle name="Normal 7 3 2 4 2 4 2" xfId="15829" xr:uid="{00000000-0005-0000-0000-0000A45B0000}"/>
    <cellStyle name="Normal 7 3 2 4 2 4 2 2" xfId="35544" xr:uid="{00000000-0005-0000-0000-0000A55B0000}"/>
    <cellStyle name="Normal 7 3 2 4 2 4 3" xfId="25687" xr:uid="{00000000-0005-0000-0000-0000A65B0000}"/>
    <cellStyle name="Normal 7 3 2 4 2 5" xfId="10901" xr:uid="{00000000-0005-0000-0000-0000A75B0000}"/>
    <cellStyle name="Normal 7 3 2 4 2 5 2" xfId="30616" xr:uid="{00000000-0005-0000-0000-0000A85B0000}"/>
    <cellStyle name="Normal 7 3 2 4 2 6" xfId="20759" xr:uid="{00000000-0005-0000-0000-0000A95B0000}"/>
    <cellStyle name="Normal 7 3 2 4 3" xfId="1650" xr:uid="{00000000-0005-0000-0000-0000AA5B0000}"/>
    <cellStyle name="Normal 7 3 2 4 3 2" xfId="4117" xr:uid="{00000000-0005-0000-0000-0000AB5B0000}"/>
    <cellStyle name="Normal 7 3 2 4 3 2 2" xfId="9049" xr:uid="{00000000-0005-0000-0000-0000AC5B0000}"/>
    <cellStyle name="Normal 7 3 2 4 3 2 2 2" xfId="18909" xr:uid="{00000000-0005-0000-0000-0000AD5B0000}"/>
    <cellStyle name="Normal 7 3 2 4 3 2 2 2 2" xfId="38624" xr:uid="{00000000-0005-0000-0000-0000AE5B0000}"/>
    <cellStyle name="Normal 7 3 2 4 3 2 2 3" xfId="28767" xr:uid="{00000000-0005-0000-0000-0000AF5B0000}"/>
    <cellStyle name="Normal 7 3 2 4 3 2 3" xfId="13981" xr:uid="{00000000-0005-0000-0000-0000B05B0000}"/>
    <cellStyle name="Normal 7 3 2 4 3 2 3 2" xfId="33696" xr:uid="{00000000-0005-0000-0000-0000B15B0000}"/>
    <cellStyle name="Normal 7 3 2 4 3 2 4" xfId="23839" xr:uid="{00000000-0005-0000-0000-0000B25B0000}"/>
    <cellStyle name="Normal 7 3 2 4 3 3" xfId="6585" xr:uid="{00000000-0005-0000-0000-0000B35B0000}"/>
    <cellStyle name="Normal 7 3 2 4 3 3 2" xfId="16445" xr:uid="{00000000-0005-0000-0000-0000B45B0000}"/>
    <cellStyle name="Normal 7 3 2 4 3 3 2 2" xfId="36160" xr:uid="{00000000-0005-0000-0000-0000B55B0000}"/>
    <cellStyle name="Normal 7 3 2 4 3 3 3" xfId="26303" xr:uid="{00000000-0005-0000-0000-0000B65B0000}"/>
    <cellStyle name="Normal 7 3 2 4 3 4" xfId="11517" xr:uid="{00000000-0005-0000-0000-0000B75B0000}"/>
    <cellStyle name="Normal 7 3 2 4 3 4 2" xfId="31232" xr:uid="{00000000-0005-0000-0000-0000B85B0000}"/>
    <cellStyle name="Normal 7 3 2 4 3 5" xfId="21375" xr:uid="{00000000-0005-0000-0000-0000B95B0000}"/>
    <cellStyle name="Normal 7 3 2 4 4" xfId="2885" xr:uid="{00000000-0005-0000-0000-0000BA5B0000}"/>
    <cellStyle name="Normal 7 3 2 4 4 2" xfId="7817" xr:uid="{00000000-0005-0000-0000-0000BB5B0000}"/>
    <cellStyle name="Normal 7 3 2 4 4 2 2" xfId="17677" xr:uid="{00000000-0005-0000-0000-0000BC5B0000}"/>
    <cellStyle name="Normal 7 3 2 4 4 2 2 2" xfId="37392" xr:uid="{00000000-0005-0000-0000-0000BD5B0000}"/>
    <cellStyle name="Normal 7 3 2 4 4 2 3" xfId="27535" xr:uid="{00000000-0005-0000-0000-0000BE5B0000}"/>
    <cellStyle name="Normal 7 3 2 4 4 3" xfId="12749" xr:uid="{00000000-0005-0000-0000-0000BF5B0000}"/>
    <cellStyle name="Normal 7 3 2 4 4 3 2" xfId="32464" xr:uid="{00000000-0005-0000-0000-0000C05B0000}"/>
    <cellStyle name="Normal 7 3 2 4 4 4" xfId="22607" xr:uid="{00000000-0005-0000-0000-0000C15B0000}"/>
    <cellStyle name="Normal 7 3 2 4 5" xfId="5353" xr:uid="{00000000-0005-0000-0000-0000C25B0000}"/>
    <cellStyle name="Normal 7 3 2 4 5 2" xfId="15213" xr:uid="{00000000-0005-0000-0000-0000C35B0000}"/>
    <cellStyle name="Normal 7 3 2 4 5 2 2" xfId="34928" xr:uid="{00000000-0005-0000-0000-0000C45B0000}"/>
    <cellStyle name="Normal 7 3 2 4 5 3" xfId="25071" xr:uid="{00000000-0005-0000-0000-0000C55B0000}"/>
    <cellStyle name="Normal 7 3 2 4 6" xfId="10285" xr:uid="{00000000-0005-0000-0000-0000C65B0000}"/>
    <cellStyle name="Normal 7 3 2 4 6 2" xfId="30000" xr:uid="{00000000-0005-0000-0000-0000C75B0000}"/>
    <cellStyle name="Normal 7 3 2 4 7" xfId="20143" xr:uid="{00000000-0005-0000-0000-0000C85B0000}"/>
    <cellStyle name="Normal 7 3 2 5" xfId="724" xr:uid="{00000000-0005-0000-0000-0000C95B0000}"/>
    <cellStyle name="Normal 7 3 2 5 2" xfId="1960" xr:uid="{00000000-0005-0000-0000-0000CA5B0000}"/>
    <cellStyle name="Normal 7 3 2 5 2 2" xfId="4427" xr:uid="{00000000-0005-0000-0000-0000CB5B0000}"/>
    <cellStyle name="Normal 7 3 2 5 2 2 2" xfId="9359" xr:uid="{00000000-0005-0000-0000-0000CC5B0000}"/>
    <cellStyle name="Normal 7 3 2 5 2 2 2 2" xfId="19219" xr:uid="{00000000-0005-0000-0000-0000CD5B0000}"/>
    <cellStyle name="Normal 7 3 2 5 2 2 2 2 2" xfId="38934" xr:uid="{00000000-0005-0000-0000-0000CE5B0000}"/>
    <cellStyle name="Normal 7 3 2 5 2 2 2 3" xfId="29077" xr:uid="{00000000-0005-0000-0000-0000CF5B0000}"/>
    <cellStyle name="Normal 7 3 2 5 2 2 3" xfId="14291" xr:uid="{00000000-0005-0000-0000-0000D05B0000}"/>
    <cellStyle name="Normal 7 3 2 5 2 2 3 2" xfId="34006" xr:uid="{00000000-0005-0000-0000-0000D15B0000}"/>
    <cellStyle name="Normal 7 3 2 5 2 2 4" xfId="24149" xr:uid="{00000000-0005-0000-0000-0000D25B0000}"/>
    <cellStyle name="Normal 7 3 2 5 2 3" xfId="6895" xr:uid="{00000000-0005-0000-0000-0000D35B0000}"/>
    <cellStyle name="Normal 7 3 2 5 2 3 2" xfId="16755" xr:uid="{00000000-0005-0000-0000-0000D45B0000}"/>
    <cellStyle name="Normal 7 3 2 5 2 3 2 2" xfId="36470" xr:uid="{00000000-0005-0000-0000-0000D55B0000}"/>
    <cellStyle name="Normal 7 3 2 5 2 3 3" xfId="26613" xr:uid="{00000000-0005-0000-0000-0000D65B0000}"/>
    <cellStyle name="Normal 7 3 2 5 2 4" xfId="11827" xr:uid="{00000000-0005-0000-0000-0000D75B0000}"/>
    <cellStyle name="Normal 7 3 2 5 2 4 2" xfId="31542" xr:uid="{00000000-0005-0000-0000-0000D85B0000}"/>
    <cellStyle name="Normal 7 3 2 5 2 5" xfId="21685" xr:uid="{00000000-0005-0000-0000-0000D95B0000}"/>
    <cellStyle name="Normal 7 3 2 5 3" xfId="3195" xr:uid="{00000000-0005-0000-0000-0000DA5B0000}"/>
    <cellStyle name="Normal 7 3 2 5 3 2" xfId="8127" xr:uid="{00000000-0005-0000-0000-0000DB5B0000}"/>
    <cellStyle name="Normal 7 3 2 5 3 2 2" xfId="17987" xr:uid="{00000000-0005-0000-0000-0000DC5B0000}"/>
    <cellStyle name="Normal 7 3 2 5 3 2 2 2" xfId="37702" xr:uid="{00000000-0005-0000-0000-0000DD5B0000}"/>
    <cellStyle name="Normal 7 3 2 5 3 2 3" xfId="27845" xr:uid="{00000000-0005-0000-0000-0000DE5B0000}"/>
    <cellStyle name="Normal 7 3 2 5 3 3" xfId="13059" xr:uid="{00000000-0005-0000-0000-0000DF5B0000}"/>
    <cellStyle name="Normal 7 3 2 5 3 3 2" xfId="32774" xr:uid="{00000000-0005-0000-0000-0000E05B0000}"/>
    <cellStyle name="Normal 7 3 2 5 3 4" xfId="22917" xr:uid="{00000000-0005-0000-0000-0000E15B0000}"/>
    <cellStyle name="Normal 7 3 2 5 4" xfId="5663" xr:uid="{00000000-0005-0000-0000-0000E25B0000}"/>
    <cellStyle name="Normal 7 3 2 5 4 2" xfId="15523" xr:uid="{00000000-0005-0000-0000-0000E35B0000}"/>
    <cellStyle name="Normal 7 3 2 5 4 2 2" xfId="35238" xr:uid="{00000000-0005-0000-0000-0000E45B0000}"/>
    <cellStyle name="Normal 7 3 2 5 4 3" xfId="25381" xr:uid="{00000000-0005-0000-0000-0000E55B0000}"/>
    <cellStyle name="Normal 7 3 2 5 5" xfId="10595" xr:uid="{00000000-0005-0000-0000-0000E65B0000}"/>
    <cellStyle name="Normal 7 3 2 5 5 2" xfId="30310" xr:uid="{00000000-0005-0000-0000-0000E75B0000}"/>
    <cellStyle name="Normal 7 3 2 5 6" xfId="20453" xr:uid="{00000000-0005-0000-0000-0000E85B0000}"/>
    <cellStyle name="Normal 7 3 2 6" xfId="1344" xr:uid="{00000000-0005-0000-0000-0000E95B0000}"/>
    <cellStyle name="Normal 7 3 2 6 2" xfId="3811" xr:uid="{00000000-0005-0000-0000-0000EA5B0000}"/>
    <cellStyle name="Normal 7 3 2 6 2 2" xfId="8743" xr:uid="{00000000-0005-0000-0000-0000EB5B0000}"/>
    <cellStyle name="Normal 7 3 2 6 2 2 2" xfId="18603" xr:uid="{00000000-0005-0000-0000-0000EC5B0000}"/>
    <cellStyle name="Normal 7 3 2 6 2 2 2 2" xfId="38318" xr:uid="{00000000-0005-0000-0000-0000ED5B0000}"/>
    <cellStyle name="Normal 7 3 2 6 2 2 3" xfId="28461" xr:uid="{00000000-0005-0000-0000-0000EE5B0000}"/>
    <cellStyle name="Normal 7 3 2 6 2 3" xfId="13675" xr:uid="{00000000-0005-0000-0000-0000EF5B0000}"/>
    <cellStyle name="Normal 7 3 2 6 2 3 2" xfId="33390" xr:uid="{00000000-0005-0000-0000-0000F05B0000}"/>
    <cellStyle name="Normal 7 3 2 6 2 4" xfId="23533" xr:uid="{00000000-0005-0000-0000-0000F15B0000}"/>
    <cellStyle name="Normal 7 3 2 6 3" xfId="6279" xr:uid="{00000000-0005-0000-0000-0000F25B0000}"/>
    <cellStyle name="Normal 7 3 2 6 3 2" xfId="16139" xr:uid="{00000000-0005-0000-0000-0000F35B0000}"/>
    <cellStyle name="Normal 7 3 2 6 3 2 2" xfId="35854" xr:uid="{00000000-0005-0000-0000-0000F45B0000}"/>
    <cellStyle name="Normal 7 3 2 6 3 3" xfId="25997" xr:uid="{00000000-0005-0000-0000-0000F55B0000}"/>
    <cellStyle name="Normal 7 3 2 6 4" xfId="11211" xr:uid="{00000000-0005-0000-0000-0000F65B0000}"/>
    <cellStyle name="Normal 7 3 2 6 4 2" xfId="30926" xr:uid="{00000000-0005-0000-0000-0000F75B0000}"/>
    <cellStyle name="Normal 7 3 2 6 5" xfId="21069" xr:uid="{00000000-0005-0000-0000-0000F85B0000}"/>
    <cellStyle name="Normal 7 3 2 7" xfId="2579" xr:uid="{00000000-0005-0000-0000-0000F95B0000}"/>
    <cellStyle name="Normal 7 3 2 7 2" xfId="7511" xr:uid="{00000000-0005-0000-0000-0000FA5B0000}"/>
    <cellStyle name="Normal 7 3 2 7 2 2" xfId="17371" xr:uid="{00000000-0005-0000-0000-0000FB5B0000}"/>
    <cellStyle name="Normal 7 3 2 7 2 2 2" xfId="37086" xr:uid="{00000000-0005-0000-0000-0000FC5B0000}"/>
    <cellStyle name="Normal 7 3 2 7 2 3" xfId="27229" xr:uid="{00000000-0005-0000-0000-0000FD5B0000}"/>
    <cellStyle name="Normal 7 3 2 7 3" xfId="12443" xr:uid="{00000000-0005-0000-0000-0000FE5B0000}"/>
    <cellStyle name="Normal 7 3 2 7 3 2" xfId="32158" xr:uid="{00000000-0005-0000-0000-0000FF5B0000}"/>
    <cellStyle name="Normal 7 3 2 7 4" xfId="22301" xr:uid="{00000000-0005-0000-0000-0000005C0000}"/>
    <cellStyle name="Normal 7 3 2 8" xfId="5047" xr:uid="{00000000-0005-0000-0000-0000015C0000}"/>
    <cellStyle name="Normal 7 3 2 8 2" xfId="14907" xr:uid="{00000000-0005-0000-0000-0000025C0000}"/>
    <cellStyle name="Normal 7 3 2 8 2 2" xfId="34622" xr:uid="{00000000-0005-0000-0000-0000035C0000}"/>
    <cellStyle name="Normal 7 3 2 8 3" xfId="24765" xr:uid="{00000000-0005-0000-0000-0000045C0000}"/>
    <cellStyle name="Normal 7 3 2 9" xfId="9979" xr:uid="{00000000-0005-0000-0000-0000055C0000}"/>
    <cellStyle name="Normal 7 3 2 9 2" xfId="29694" xr:uid="{00000000-0005-0000-0000-0000065C0000}"/>
    <cellStyle name="Normal 7 3 3" xfId="130" xr:uid="{00000000-0005-0000-0000-0000075C0000}"/>
    <cellStyle name="Normal 7 3 3 2" xfId="287" xr:uid="{00000000-0005-0000-0000-0000085C0000}"/>
    <cellStyle name="Normal 7 3 3 2 2" xfId="601" xr:uid="{00000000-0005-0000-0000-0000095C0000}"/>
    <cellStyle name="Normal 7 3 3 2 2 2" xfId="1221" xr:uid="{00000000-0005-0000-0000-00000A5C0000}"/>
    <cellStyle name="Normal 7 3 3 2 2 2 2" xfId="2456" xr:uid="{00000000-0005-0000-0000-00000B5C0000}"/>
    <cellStyle name="Normal 7 3 3 2 2 2 2 2" xfId="4923" xr:uid="{00000000-0005-0000-0000-00000C5C0000}"/>
    <cellStyle name="Normal 7 3 3 2 2 2 2 2 2" xfId="9855" xr:uid="{00000000-0005-0000-0000-00000D5C0000}"/>
    <cellStyle name="Normal 7 3 3 2 2 2 2 2 2 2" xfId="19715" xr:uid="{00000000-0005-0000-0000-00000E5C0000}"/>
    <cellStyle name="Normal 7 3 3 2 2 2 2 2 2 2 2" xfId="39430" xr:uid="{00000000-0005-0000-0000-00000F5C0000}"/>
    <cellStyle name="Normal 7 3 3 2 2 2 2 2 2 3" xfId="29573" xr:uid="{00000000-0005-0000-0000-0000105C0000}"/>
    <cellStyle name="Normal 7 3 3 2 2 2 2 2 3" xfId="14787" xr:uid="{00000000-0005-0000-0000-0000115C0000}"/>
    <cellStyle name="Normal 7 3 3 2 2 2 2 2 3 2" xfId="34502" xr:uid="{00000000-0005-0000-0000-0000125C0000}"/>
    <cellStyle name="Normal 7 3 3 2 2 2 2 2 4" xfId="24645" xr:uid="{00000000-0005-0000-0000-0000135C0000}"/>
    <cellStyle name="Normal 7 3 3 2 2 2 2 3" xfId="7391" xr:uid="{00000000-0005-0000-0000-0000145C0000}"/>
    <cellStyle name="Normal 7 3 3 2 2 2 2 3 2" xfId="17251" xr:uid="{00000000-0005-0000-0000-0000155C0000}"/>
    <cellStyle name="Normal 7 3 3 2 2 2 2 3 2 2" xfId="36966" xr:uid="{00000000-0005-0000-0000-0000165C0000}"/>
    <cellStyle name="Normal 7 3 3 2 2 2 2 3 3" xfId="27109" xr:uid="{00000000-0005-0000-0000-0000175C0000}"/>
    <cellStyle name="Normal 7 3 3 2 2 2 2 4" xfId="12323" xr:uid="{00000000-0005-0000-0000-0000185C0000}"/>
    <cellStyle name="Normal 7 3 3 2 2 2 2 4 2" xfId="32038" xr:uid="{00000000-0005-0000-0000-0000195C0000}"/>
    <cellStyle name="Normal 7 3 3 2 2 2 2 5" xfId="22181" xr:uid="{00000000-0005-0000-0000-00001A5C0000}"/>
    <cellStyle name="Normal 7 3 3 2 2 2 3" xfId="3691" xr:uid="{00000000-0005-0000-0000-00001B5C0000}"/>
    <cellStyle name="Normal 7 3 3 2 2 2 3 2" xfId="8623" xr:uid="{00000000-0005-0000-0000-00001C5C0000}"/>
    <cellStyle name="Normal 7 3 3 2 2 2 3 2 2" xfId="18483" xr:uid="{00000000-0005-0000-0000-00001D5C0000}"/>
    <cellStyle name="Normal 7 3 3 2 2 2 3 2 2 2" xfId="38198" xr:uid="{00000000-0005-0000-0000-00001E5C0000}"/>
    <cellStyle name="Normal 7 3 3 2 2 2 3 2 3" xfId="28341" xr:uid="{00000000-0005-0000-0000-00001F5C0000}"/>
    <cellStyle name="Normal 7 3 3 2 2 2 3 3" xfId="13555" xr:uid="{00000000-0005-0000-0000-0000205C0000}"/>
    <cellStyle name="Normal 7 3 3 2 2 2 3 3 2" xfId="33270" xr:uid="{00000000-0005-0000-0000-0000215C0000}"/>
    <cellStyle name="Normal 7 3 3 2 2 2 3 4" xfId="23413" xr:uid="{00000000-0005-0000-0000-0000225C0000}"/>
    <cellStyle name="Normal 7 3 3 2 2 2 4" xfId="6159" xr:uid="{00000000-0005-0000-0000-0000235C0000}"/>
    <cellStyle name="Normal 7 3 3 2 2 2 4 2" xfId="16019" xr:uid="{00000000-0005-0000-0000-0000245C0000}"/>
    <cellStyle name="Normal 7 3 3 2 2 2 4 2 2" xfId="35734" xr:uid="{00000000-0005-0000-0000-0000255C0000}"/>
    <cellStyle name="Normal 7 3 3 2 2 2 4 3" xfId="25877" xr:uid="{00000000-0005-0000-0000-0000265C0000}"/>
    <cellStyle name="Normal 7 3 3 2 2 2 5" xfId="11091" xr:uid="{00000000-0005-0000-0000-0000275C0000}"/>
    <cellStyle name="Normal 7 3 3 2 2 2 5 2" xfId="30806" xr:uid="{00000000-0005-0000-0000-0000285C0000}"/>
    <cellStyle name="Normal 7 3 3 2 2 2 6" xfId="20949" xr:uid="{00000000-0005-0000-0000-0000295C0000}"/>
    <cellStyle name="Normal 7 3 3 2 2 3" xfId="1840" xr:uid="{00000000-0005-0000-0000-00002A5C0000}"/>
    <cellStyle name="Normal 7 3 3 2 2 3 2" xfId="4307" xr:uid="{00000000-0005-0000-0000-00002B5C0000}"/>
    <cellStyle name="Normal 7 3 3 2 2 3 2 2" xfId="9239" xr:uid="{00000000-0005-0000-0000-00002C5C0000}"/>
    <cellStyle name="Normal 7 3 3 2 2 3 2 2 2" xfId="19099" xr:uid="{00000000-0005-0000-0000-00002D5C0000}"/>
    <cellStyle name="Normal 7 3 3 2 2 3 2 2 2 2" xfId="38814" xr:uid="{00000000-0005-0000-0000-00002E5C0000}"/>
    <cellStyle name="Normal 7 3 3 2 2 3 2 2 3" xfId="28957" xr:uid="{00000000-0005-0000-0000-00002F5C0000}"/>
    <cellStyle name="Normal 7 3 3 2 2 3 2 3" xfId="14171" xr:uid="{00000000-0005-0000-0000-0000305C0000}"/>
    <cellStyle name="Normal 7 3 3 2 2 3 2 3 2" xfId="33886" xr:uid="{00000000-0005-0000-0000-0000315C0000}"/>
    <cellStyle name="Normal 7 3 3 2 2 3 2 4" xfId="24029" xr:uid="{00000000-0005-0000-0000-0000325C0000}"/>
    <cellStyle name="Normal 7 3 3 2 2 3 3" xfId="6775" xr:uid="{00000000-0005-0000-0000-0000335C0000}"/>
    <cellStyle name="Normal 7 3 3 2 2 3 3 2" xfId="16635" xr:uid="{00000000-0005-0000-0000-0000345C0000}"/>
    <cellStyle name="Normal 7 3 3 2 2 3 3 2 2" xfId="36350" xr:uid="{00000000-0005-0000-0000-0000355C0000}"/>
    <cellStyle name="Normal 7 3 3 2 2 3 3 3" xfId="26493" xr:uid="{00000000-0005-0000-0000-0000365C0000}"/>
    <cellStyle name="Normal 7 3 3 2 2 3 4" xfId="11707" xr:uid="{00000000-0005-0000-0000-0000375C0000}"/>
    <cellStyle name="Normal 7 3 3 2 2 3 4 2" xfId="31422" xr:uid="{00000000-0005-0000-0000-0000385C0000}"/>
    <cellStyle name="Normal 7 3 3 2 2 3 5" xfId="21565" xr:uid="{00000000-0005-0000-0000-0000395C0000}"/>
    <cellStyle name="Normal 7 3 3 2 2 4" xfId="3075" xr:uid="{00000000-0005-0000-0000-00003A5C0000}"/>
    <cellStyle name="Normal 7 3 3 2 2 4 2" xfId="8007" xr:uid="{00000000-0005-0000-0000-00003B5C0000}"/>
    <cellStyle name="Normal 7 3 3 2 2 4 2 2" xfId="17867" xr:uid="{00000000-0005-0000-0000-00003C5C0000}"/>
    <cellStyle name="Normal 7 3 3 2 2 4 2 2 2" xfId="37582" xr:uid="{00000000-0005-0000-0000-00003D5C0000}"/>
    <cellStyle name="Normal 7 3 3 2 2 4 2 3" xfId="27725" xr:uid="{00000000-0005-0000-0000-00003E5C0000}"/>
    <cellStyle name="Normal 7 3 3 2 2 4 3" xfId="12939" xr:uid="{00000000-0005-0000-0000-00003F5C0000}"/>
    <cellStyle name="Normal 7 3 3 2 2 4 3 2" xfId="32654" xr:uid="{00000000-0005-0000-0000-0000405C0000}"/>
    <cellStyle name="Normal 7 3 3 2 2 4 4" xfId="22797" xr:uid="{00000000-0005-0000-0000-0000415C0000}"/>
    <cellStyle name="Normal 7 3 3 2 2 5" xfId="5543" xr:uid="{00000000-0005-0000-0000-0000425C0000}"/>
    <cellStyle name="Normal 7 3 3 2 2 5 2" xfId="15403" xr:uid="{00000000-0005-0000-0000-0000435C0000}"/>
    <cellStyle name="Normal 7 3 3 2 2 5 2 2" xfId="35118" xr:uid="{00000000-0005-0000-0000-0000445C0000}"/>
    <cellStyle name="Normal 7 3 3 2 2 5 3" xfId="25261" xr:uid="{00000000-0005-0000-0000-0000455C0000}"/>
    <cellStyle name="Normal 7 3 3 2 2 6" xfId="10475" xr:uid="{00000000-0005-0000-0000-0000465C0000}"/>
    <cellStyle name="Normal 7 3 3 2 2 6 2" xfId="30190" xr:uid="{00000000-0005-0000-0000-0000475C0000}"/>
    <cellStyle name="Normal 7 3 3 2 2 7" xfId="20333" xr:uid="{00000000-0005-0000-0000-0000485C0000}"/>
    <cellStyle name="Normal 7 3 3 2 3" xfId="914" xr:uid="{00000000-0005-0000-0000-0000495C0000}"/>
    <cellStyle name="Normal 7 3 3 2 3 2" xfId="2150" xr:uid="{00000000-0005-0000-0000-00004A5C0000}"/>
    <cellStyle name="Normal 7 3 3 2 3 2 2" xfId="4617" xr:uid="{00000000-0005-0000-0000-00004B5C0000}"/>
    <cellStyle name="Normal 7 3 3 2 3 2 2 2" xfId="9549" xr:uid="{00000000-0005-0000-0000-00004C5C0000}"/>
    <cellStyle name="Normal 7 3 3 2 3 2 2 2 2" xfId="19409" xr:uid="{00000000-0005-0000-0000-00004D5C0000}"/>
    <cellStyle name="Normal 7 3 3 2 3 2 2 2 2 2" xfId="39124" xr:uid="{00000000-0005-0000-0000-00004E5C0000}"/>
    <cellStyle name="Normal 7 3 3 2 3 2 2 2 3" xfId="29267" xr:uid="{00000000-0005-0000-0000-00004F5C0000}"/>
    <cellStyle name="Normal 7 3 3 2 3 2 2 3" xfId="14481" xr:uid="{00000000-0005-0000-0000-0000505C0000}"/>
    <cellStyle name="Normal 7 3 3 2 3 2 2 3 2" xfId="34196" xr:uid="{00000000-0005-0000-0000-0000515C0000}"/>
    <cellStyle name="Normal 7 3 3 2 3 2 2 4" xfId="24339" xr:uid="{00000000-0005-0000-0000-0000525C0000}"/>
    <cellStyle name="Normal 7 3 3 2 3 2 3" xfId="7085" xr:uid="{00000000-0005-0000-0000-0000535C0000}"/>
    <cellStyle name="Normal 7 3 3 2 3 2 3 2" xfId="16945" xr:uid="{00000000-0005-0000-0000-0000545C0000}"/>
    <cellStyle name="Normal 7 3 3 2 3 2 3 2 2" xfId="36660" xr:uid="{00000000-0005-0000-0000-0000555C0000}"/>
    <cellStyle name="Normal 7 3 3 2 3 2 3 3" xfId="26803" xr:uid="{00000000-0005-0000-0000-0000565C0000}"/>
    <cellStyle name="Normal 7 3 3 2 3 2 4" xfId="12017" xr:uid="{00000000-0005-0000-0000-0000575C0000}"/>
    <cellStyle name="Normal 7 3 3 2 3 2 4 2" xfId="31732" xr:uid="{00000000-0005-0000-0000-0000585C0000}"/>
    <cellStyle name="Normal 7 3 3 2 3 2 5" xfId="21875" xr:uid="{00000000-0005-0000-0000-0000595C0000}"/>
    <cellStyle name="Normal 7 3 3 2 3 3" xfId="3385" xr:uid="{00000000-0005-0000-0000-00005A5C0000}"/>
    <cellStyle name="Normal 7 3 3 2 3 3 2" xfId="8317" xr:uid="{00000000-0005-0000-0000-00005B5C0000}"/>
    <cellStyle name="Normal 7 3 3 2 3 3 2 2" xfId="18177" xr:uid="{00000000-0005-0000-0000-00005C5C0000}"/>
    <cellStyle name="Normal 7 3 3 2 3 3 2 2 2" xfId="37892" xr:uid="{00000000-0005-0000-0000-00005D5C0000}"/>
    <cellStyle name="Normal 7 3 3 2 3 3 2 3" xfId="28035" xr:uid="{00000000-0005-0000-0000-00005E5C0000}"/>
    <cellStyle name="Normal 7 3 3 2 3 3 3" xfId="13249" xr:uid="{00000000-0005-0000-0000-00005F5C0000}"/>
    <cellStyle name="Normal 7 3 3 2 3 3 3 2" xfId="32964" xr:uid="{00000000-0005-0000-0000-0000605C0000}"/>
    <cellStyle name="Normal 7 3 3 2 3 3 4" xfId="23107" xr:uid="{00000000-0005-0000-0000-0000615C0000}"/>
    <cellStyle name="Normal 7 3 3 2 3 4" xfId="5853" xr:uid="{00000000-0005-0000-0000-0000625C0000}"/>
    <cellStyle name="Normal 7 3 3 2 3 4 2" xfId="15713" xr:uid="{00000000-0005-0000-0000-0000635C0000}"/>
    <cellStyle name="Normal 7 3 3 2 3 4 2 2" xfId="35428" xr:uid="{00000000-0005-0000-0000-0000645C0000}"/>
    <cellStyle name="Normal 7 3 3 2 3 4 3" xfId="25571" xr:uid="{00000000-0005-0000-0000-0000655C0000}"/>
    <cellStyle name="Normal 7 3 3 2 3 5" xfId="10785" xr:uid="{00000000-0005-0000-0000-0000665C0000}"/>
    <cellStyle name="Normal 7 3 3 2 3 5 2" xfId="30500" xr:uid="{00000000-0005-0000-0000-0000675C0000}"/>
    <cellStyle name="Normal 7 3 3 2 3 6" xfId="20643" xr:uid="{00000000-0005-0000-0000-0000685C0000}"/>
    <cellStyle name="Normal 7 3 3 2 4" xfId="1534" xr:uid="{00000000-0005-0000-0000-0000695C0000}"/>
    <cellStyle name="Normal 7 3 3 2 4 2" xfId="4001" xr:uid="{00000000-0005-0000-0000-00006A5C0000}"/>
    <cellStyle name="Normal 7 3 3 2 4 2 2" xfId="8933" xr:uid="{00000000-0005-0000-0000-00006B5C0000}"/>
    <cellStyle name="Normal 7 3 3 2 4 2 2 2" xfId="18793" xr:uid="{00000000-0005-0000-0000-00006C5C0000}"/>
    <cellStyle name="Normal 7 3 3 2 4 2 2 2 2" xfId="38508" xr:uid="{00000000-0005-0000-0000-00006D5C0000}"/>
    <cellStyle name="Normal 7 3 3 2 4 2 2 3" xfId="28651" xr:uid="{00000000-0005-0000-0000-00006E5C0000}"/>
    <cellStyle name="Normal 7 3 3 2 4 2 3" xfId="13865" xr:uid="{00000000-0005-0000-0000-00006F5C0000}"/>
    <cellStyle name="Normal 7 3 3 2 4 2 3 2" xfId="33580" xr:uid="{00000000-0005-0000-0000-0000705C0000}"/>
    <cellStyle name="Normal 7 3 3 2 4 2 4" xfId="23723" xr:uid="{00000000-0005-0000-0000-0000715C0000}"/>
    <cellStyle name="Normal 7 3 3 2 4 3" xfId="6469" xr:uid="{00000000-0005-0000-0000-0000725C0000}"/>
    <cellStyle name="Normal 7 3 3 2 4 3 2" xfId="16329" xr:uid="{00000000-0005-0000-0000-0000735C0000}"/>
    <cellStyle name="Normal 7 3 3 2 4 3 2 2" xfId="36044" xr:uid="{00000000-0005-0000-0000-0000745C0000}"/>
    <cellStyle name="Normal 7 3 3 2 4 3 3" xfId="26187" xr:uid="{00000000-0005-0000-0000-0000755C0000}"/>
    <cellStyle name="Normal 7 3 3 2 4 4" xfId="11401" xr:uid="{00000000-0005-0000-0000-0000765C0000}"/>
    <cellStyle name="Normal 7 3 3 2 4 4 2" xfId="31116" xr:uid="{00000000-0005-0000-0000-0000775C0000}"/>
    <cellStyle name="Normal 7 3 3 2 4 5" xfId="21259" xr:uid="{00000000-0005-0000-0000-0000785C0000}"/>
    <cellStyle name="Normal 7 3 3 2 5" xfId="2769" xr:uid="{00000000-0005-0000-0000-0000795C0000}"/>
    <cellStyle name="Normal 7 3 3 2 5 2" xfId="7701" xr:uid="{00000000-0005-0000-0000-00007A5C0000}"/>
    <cellStyle name="Normal 7 3 3 2 5 2 2" xfId="17561" xr:uid="{00000000-0005-0000-0000-00007B5C0000}"/>
    <cellStyle name="Normal 7 3 3 2 5 2 2 2" xfId="37276" xr:uid="{00000000-0005-0000-0000-00007C5C0000}"/>
    <cellStyle name="Normal 7 3 3 2 5 2 3" xfId="27419" xr:uid="{00000000-0005-0000-0000-00007D5C0000}"/>
    <cellStyle name="Normal 7 3 3 2 5 3" xfId="12633" xr:uid="{00000000-0005-0000-0000-00007E5C0000}"/>
    <cellStyle name="Normal 7 3 3 2 5 3 2" xfId="32348" xr:uid="{00000000-0005-0000-0000-00007F5C0000}"/>
    <cellStyle name="Normal 7 3 3 2 5 4" xfId="22491" xr:uid="{00000000-0005-0000-0000-0000805C0000}"/>
    <cellStyle name="Normal 7 3 3 2 6" xfId="5237" xr:uid="{00000000-0005-0000-0000-0000815C0000}"/>
    <cellStyle name="Normal 7 3 3 2 6 2" xfId="15097" xr:uid="{00000000-0005-0000-0000-0000825C0000}"/>
    <cellStyle name="Normal 7 3 3 2 6 2 2" xfId="34812" xr:uid="{00000000-0005-0000-0000-0000835C0000}"/>
    <cellStyle name="Normal 7 3 3 2 6 3" xfId="24955" xr:uid="{00000000-0005-0000-0000-0000845C0000}"/>
    <cellStyle name="Normal 7 3 3 2 7" xfId="10169" xr:uid="{00000000-0005-0000-0000-0000855C0000}"/>
    <cellStyle name="Normal 7 3 3 2 7 2" xfId="29884" xr:uid="{00000000-0005-0000-0000-0000865C0000}"/>
    <cellStyle name="Normal 7 3 3 2 8" xfId="20027" xr:uid="{00000000-0005-0000-0000-0000875C0000}"/>
    <cellStyle name="Normal 7 3 3 3" xfId="449" xr:uid="{00000000-0005-0000-0000-0000885C0000}"/>
    <cellStyle name="Normal 7 3 3 3 2" xfId="1069" xr:uid="{00000000-0005-0000-0000-0000895C0000}"/>
    <cellStyle name="Normal 7 3 3 3 2 2" xfId="2304" xr:uid="{00000000-0005-0000-0000-00008A5C0000}"/>
    <cellStyle name="Normal 7 3 3 3 2 2 2" xfId="4771" xr:uid="{00000000-0005-0000-0000-00008B5C0000}"/>
    <cellStyle name="Normal 7 3 3 3 2 2 2 2" xfId="9703" xr:uid="{00000000-0005-0000-0000-00008C5C0000}"/>
    <cellStyle name="Normal 7 3 3 3 2 2 2 2 2" xfId="19563" xr:uid="{00000000-0005-0000-0000-00008D5C0000}"/>
    <cellStyle name="Normal 7 3 3 3 2 2 2 2 2 2" xfId="39278" xr:uid="{00000000-0005-0000-0000-00008E5C0000}"/>
    <cellStyle name="Normal 7 3 3 3 2 2 2 2 3" xfId="29421" xr:uid="{00000000-0005-0000-0000-00008F5C0000}"/>
    <cellStyle name="Normal 7 3 3 3 2 2 2 3" xfId="14635" xr:uid="{00000000-0005-0000-0000-0000905C0000}"/>
    <cellStyle name="Normal 7 3 3 3 2 2 2 3 2" xfId="34350" xr:uid="{00000000-0005-0000-0000-0000915C0000}"/>
    <cellStyle name="Normal 7 3 3 3 2 2 2 4" xfId="24493" xr:uid="{00000000-0005-0000-0000-0000925C0000}"/>
    <cellStyle name="Normal 7 3 3 3 2 2 3" xfId="7239" xr:uid="{00000000-0005-0000-0000-0000935C0000}"/>
    <cellStyle name="Normal 7 3 3 3 2 2 3 2" xfId="17099" xr:uid="{00000000-0005-0000-0000-0000945C0000}"/>
    <cellStyle name="Normal 7 3 3 3 2 2 3 2 2" xfId="36814" xr:uid="{00000000-0005-0000-0000-0000955C0000}"/>
    <cellStyle name="Normal 7 3 3 3 2 2 3 3" xfId="26957" xr:uid="{00000000-0005-0000-0000-0000965C0000}"/>
    <cellStyle name="Normal 7 3 3 3 2 2 4" xfId="12171" xr:uid="{00000000-0005-0000-0000-0000975C0000}"/>
    <cellStyle name="Normal 7 3 3 3 2 2 4 2" xfId="31886" xr:uid="{00000000-0005-0000-0000-0000985C0000}"/>
    <cellStyle name="Normal 7 3 3 3 2 2 5" xfId="22029" xr:uid="{00000000-0005-0000-0000-0000995C0000}"/>
    <cellStyle name="Normal 7 3 3 3 2 3" xfId="3539" xr:uid="{00000000-0005-0000-0000-00009A5C0000}"/>
    <cellStyle name="Normal 7 3 3 3 2 3 2" xfId="8471" xr:uid="{00000000-0005-0000-0000-00009B5C0000}"/>
    <cellStyle name="Normal 7 3 3 3 2 3 2 2" xfId="18331" xr:uid="{00000000-0005-0000-0000-00009C5C0000}"/>
    <cellStyle name="Normal 7 3 3 3 2 3 2 2 2" xfId="38046" xr:uid="{00000000-0005-0000-0000-00009D5C0000}"/>
    <cellStyle name="Normal 7 3 3 3 2 3 2 3" xfId="28189" xr:uid="{00000000-0005-0000-0000-00009E5C0000}"/>
    <cellStyle name="Normal 7 3 3 3 2 3 3" xfId="13403" xr:uid="{00000000-0005-0000-0000-00009F5C0000}"/>
    <cellStyle name="Normal 7 3 3 3 2 3 3 2" xfId="33118" xr:uid="{00000000-0005-0000-0000-0000A05C0000}"/>
    <cellStyle name="Normal 7 3 3 3 2 3 4" xfId="23261" xr:uid="{00000000-0005-0000-0000-0000A15C0000}"/>
    <cellStyle name="Normal 7 3 3 3 2 4" xfId="6007" xr:uid="{00000000-0005-0000-0000-0000A25C0000}"/>
    <cellStyle name="Normal 7 3 3 3 2 4 2" xfId="15867" xr:uid="{00000000-0005-0000-0000-0000A35C0000}"/>
    <cellStyle name="Normal 7 3 3 3 2 4 2 2" xfId="35582" xr:uid="{00000000-0005-0000-0000-0000A45C0000}"/>
    <cellStyle name="Normal 7 3 3 3 2 4 3" xfId="25725" xr:uid="{00000000-0005-0000-0000-0000A55C0000}"/>
    <cellStyle name="Normal 7 3 3 3 2 5" xfId="10939" xr:uid="{00000000-0005-0000-0000-0000A65C0000}"/>
    <cellStyle name="Normal 7 3 3 3 2 5 2" xfId="30654" xr:uid="{00000000-0005-0000-0000-0000A75C0000}"/>
    <cellStyle name="Normal 7 3 3 3 2 6" xfId="20797" xr:uid="{00000000-0005-0000-0000-0000A85C0000}"/>
    <cellStyle name="Normal 7 3 3 3 3" xfId="1688" xr:uid="{00000000-0005-0000-0000-0000A95C0000}"/>
    <cellStyle name="Normal 7 3 3 3 3 2" xfId="4155" xr:uid="{00000000-0005-0000-0000-0000AA5C0000}"/>
    <cellStyle name="Normal 7 3 3 3 3 2 2" xfId="9087" xr:uid="{00000000-0005-0000-0000-0000AB5C0000}"/>
    <cellStyle name="Normal 7 3 3 3 3 2 2 2" xfId="18947" xr:uid="{00000000-0005-0000-0000-0000AC5C0000}"/>
    <cellStyle name="Normal 7 3 3 3 3 2 2 2 2" xfId="38662" xr:uid="{00000000-0005-0000-0000-0000AD5C0000}"/>
    <cellStyle name="Normal 7 3 3 3 3 2 2 3" xfId="28805" xr:uid="{00000000-0005-0000-0000-0000AE5C0000}"/>
    <cellStyle name="Normal 7 3 3 3 3 2 3" xfId="14019" xr:uid="{00000000-0005-0000-0000-0000AF5C0000}"/>
    <cellStyle name="Normal 7 3 3 3 3 2 3 2" xfId="33734" xr:uid="{00000000-0005-0000-0000-0000B05C0000}"/>
    <cellStyle name="Normal 7 3 3 3 3 2 4" xfId="23877" xr:uid="{00000000-0005-0000-0000-0000B15C0000}"/>
    <cellStyle name="Normal 7 3 3 3 3 3" xfId="6623" xr:uid="{00000000-0005-0000-0000-0000B25C0000}"/>
    <cellStyle name="Normal 7 3 3 3 3 3 2" xfId="16483" xr:uid="{00000000-0005-0000-0000-0000B35C0000}"/>
    <cellStyle name="Normal 7 3 3 3 3 3 2 2" xfId="36198" xr:uid="{00000000-0005-0000-0000-0000B45C0000}"/>
    <cellStyle name="Normal 7 3 3 3 3 3 3" xfId="26341" xr:uid="{00000000-0005-0000-0000-0000B55C0000}"/>
    <cellStyle name="Normal 7 3 3 3 3 4" xfId="11555" xr:uid="{00000000-0005-0000-0000-0000B65C0000}"/>
    <cellStyle name="Normal 7 3 3 3 3 4 2" xfId="31270" xr:uid="{00000000-0005-0000-0000-0000B75C0000}"/>
    <cellStyle name="Normal 7 3 3 3 3 5" xfId="21413" xr:uid="{00000000-0005-0000-0000-0000B85C0000}"/>
    <cellStyle name="Normal 7 3 3 3 4" xfId="2923" xr:uid="{00000000-0005-0000-0000-0000B95C0000}"/>
    <cellStyle name="Normal 7 3 3 3 4 2" xfId="7855" xr:uid="{00000000-0005-0000-0000-0000BA5C0000}"/>
    <cellStyle name="Normal 7 3 3 3 4 2 2" xfId="17715" xr:uid="{00000000-0005-0000-0000-0000BB5C0000}"/>
    <cellStyle name="Normal 7 3 3 3 4 2 2 2" xfId="37430" xr:uid="{00000000-0005-0000-0000-0000BC5C0000}"/>
    <cellStyle name="Normal 7 3 3 3 4 2 3" xfId="27573" xr:uid="{00000000-0005-0000-0000-0000BD5C0000}"/>
    <cellStyle name="Normal 7 3 3 3 4 3" xfId="12787" xr:uid="{00000000-0005-0000-0000-0000BE5C0000}"/>
    <cellStyle name="Normal 7 3 3 3 4 3 2" xfId="32502" xr:uid="{00000000-0005-0000-0000-0000BF5C0000}"/>
    <cellStyle name="Normal 7 3 3 3 4 4" xfId="22645" xr:uid="{00000000-0005-0000-0000-0000C05C0000}"/>
    <cellStyle name="Normal 7 3 3 3 5" xfId="5391" xr:uid="{00000000-0005-0000-0000-0000C15C0000}"/>
    <cellStyle name="Normal 7 3 3 3 5 2" xfId="15251" xr:uid="{00000000-0005-0000-0000-0000C25C0000}"/>
    <cellStyle name="Normal 7 3 3 3 5 2 2" xfId="34966" xr:uid="{00000000-0005-0000-0000-0000C35C0000}"/>
    <cellStyle name="Normal 7 3 3 3 5 3" xfId="25109" xr:uid="{00000000-0005-0000-0000-0000C45C0000}"/>
    <cellStyle name="Normal 7 3 3 3 6" xfId="10323" xr:uid="{00000000-0005-0000-0000-0000C55C0000}"/>
    <cellStyle name="Normal 7 3 3 3 6 2" xfId="30038" xr:uid="{00000000-0005-0000-0000-0000C65C0000}"/>
    <cellStyle name="Normal 7 3 3 3 7" xfId="20181" xr:uid="{00000000-0005-0000-0000-0000C75C0000}"/>
    <cellStyle name="Normal 7 3 3 4" xfId="762" xr:uid="{00000000-0005-0000-0000-0000C85C0000}"/>
    <cellStyle name="Normal 7 3 3 4 2" xfId="1998" xr:uid="{00000000-0005-0000-0000-0000C95C0000}"/>
    <cellStyle name="Normal 7 3 3 4 2 2" xfId="4465" xr:uid="{00000000-0005-0000-0000-0000CA5C0000}"/>
    <cellStyle name="Normal 7 3 3 4 2 2 2" xfId="9397" xr:uid="{00000000-0005-0000-0000-0000CB5C0000}"/>
    <cellStyle name="Normal 7 3 3 4 2 2 2 2" xfId="19257" xr:uid="{00000000-0005-0000-0000-0000CC5C0000}"/>
    <cellStyle name="Normal 7 3 3 4 2 2 2 2 2" xfId="38972" xr:uid="{00000000-0005-0000-0000-0000CD5C0000}"/>
    <cellStyle name="Normal 7 3 3 4 2 2 2 3" xfId="29115" xr:uid="{00000000-0005-0000-0000-0000CE5C0000}"/>
    <cellStyle name="Normal 7 3 3 4 2 2 3" xfId="14329" xr:uid="{00000000-0005-0000-0000-0000CF5C0000}"/>
    <cellStyle name="Normal 7 3 3 4 2 2 3 2" xfId="34044" xr:uid="{00000000-0005-0000-0000-0000D05C0000}"/>
    <cellStyle name="Normal 7 3 3 4 2 2 4" xfId="24187" xr:uid="{00000000-0005-0000-0000-0000D15C0000}"/>
    <cellStyle name="Normal 7 3 3 4 2 3" xfId="6933" xr:uid="{00000000-0005-0000-0000-0000D25C0000}"/>
    <cellStyle name="Normal 7 3 3 4 2 3 2" xfId="16793" xr:uid="{00000000-0005-0000-0000-0000D35C0000}"/>
    <cellStyle name="Normal 7 3 3 4 2 3 2 2" xfId="36508" xr:uid="{00000000-0005-0000-0000-0000D45C0000}"/>
    <cellStyle name="Normal 7 3 3 4 2 3 3" xfId="26651" xr:uid="{00000000-0005-0000-0000-0000D55C0000}"/>
    <cellStyle name="Normal 7 3 3 4 2 4" xfId="11865" xr:uid="{00000000-0005-0000-0000-0000D65C0000}"/>
    <cellStyle name="Normal 7 3 3 4 2 4 2" xfId="31580" xr:uid="{00000000-0005-0000-0000-0000D75C0000}"/>
    <cellStyle name="Normal 7 3 3 4 2 5" xfId="21723" xr:uid="{00000000-0005-0000-0000-0000D85C0000}"/>
    <cellStyle name="Normal 7 3 3 4 3" xfId="3233" xr:uid="{00000000-0005-0000-0000-0000D95C0000}"/>
    <cellStyle name="Normal 7 3 3 4 3 2" xfId="8165" xr:uid="{00000000-0005-0000-0000-0000DA5C0000}"/>
    <cellStyle name="Normal 7 3 3 4 3 2 2" xfId="18025" xr:uid="{00000000-0005-0000-0000-0000DB5C0000}"/>
    <cellStyle name="Normal 7 3 3 4 3 2 2 2" xfId="37740" xr:uid="{00000000-0005-0000-0000-0000DC5C0000}"/>
    <cellStyle name="Normal 7 3 3 4 3 2 3" xfId="27883" xr:uid="{00000000-0005-0000-0000-0000DD5C0000}"/>
    <cellStyle name="Normal 7 3 3 4 3 3" xfId="13097" xr:uid="{00000000-0005-0000-0000-0000DE5C0000}"/>
    <cellStyle name="Normal 7 3 3 4 3 3 2" xfId="32812" xr:uid="{00000000-0005-0000-0000-0000DF5C0000}"/>
    <cellStyle name="Normal 7 3 3 4 3 4" xfId="22955" xr:uid="{00000000-0005-0000-0000-0000E05C0000}"/>
    <cellStyle name="Normal 7 3 3 4 4" xfId="5701" xr:uid="{00000000-0005-0000-0000-0000E15C0000}"/>
    <cellStyle name="Normal 7 3 3 4 4 2" xfId="15561" xr:uid="{00000000-0005-0000-0000-0000E25C0000}"/>
    <cellStyle name="Normal 7 3 3 4 4 2 2" xfId="35276" xr:uid="{00000000-0005-0000-0000-0000E35C0000}"/>
    <cellStyle name="Normal 7 3 3 4 4 3" xfId="25419" xr:uid="{00000000-0005-0000-0000-0000E45C0000}"/>
    <cellStyle name="Normal 7 3 3 4 5" xfId="10633" xr:uid="{00000000-0005-0000-0000-0000E55C0000}"/>
    <cellStyle name="Normal 7 3 3 4 5 2" xfId="30348" xr:uid="{00000000-0005-0000-0000-0000E65C0000}"/>
    <cellStyle name="Normal 7 3 3 4 6" xfId="20491" xr:uid="{00000000-0005-0000-0000-0000E75C0000}"/>
    <cellStyle name="Normal 7 3 3 5" xfId="1382" xr:uid="{00000000-0005-0000-0000-0000E85C0000}"/>
    <cellStyle name="Normal 7 3 3 5 2" xfId="3849" xr:uid="{00000000-0005-0000-0000-0000E95C0000}"/>
    <cellStyle name="Normal 7 3 3 5 2 2" xfId="8781" xr:uid="{00000000-0005-0000-0000-0000EA5C0000}"/>
    <cellStyle name="Normal 7 3 3 5 2 2 2" xfId="18641" xr:uid="{00000000-0005-0000-0000-0000EB5C0000}"/>
    <cellStyle name="Normal 7 3 3 5 2 2 2 2" xfId="38356" xr:uid="{00000000-0005-0000-0000-0000EC5C0000}"/>
    <cellStyle name="Normal 7 3 3 5 2 2 3" xfId="28499" xr:uid="{00000000-0005-0000-0000-0000ED5C0000}"/>
    <cellStyle name="Normal 7 3 3 5 2 3" xfId="13713" xr:uid="{00000000-0005-0000-0000-0000EE5C0000}"/>
    <cellStyle name="Normal 7 3 3 5 2 3 2" xfId="33428" xr:uid="{00000000-0005-0000-0000-0000EF5C0000}"/>
    <cellStyle name="Normal 7 3 3 5 2 4" xfId="23571" xr:uid="{00000000-0005-0000-0000-0000F05C0000}"/>
    <cellStyle name="Normal 7 3 3 5 3" xfId="6317" xr:uid="{00000000-0005-0000-0000-0000F15C0000}"/>
    <cellStyle name="Normal 7 3 3 5 3 2" xfId="16177" xr:uid="{00000000-0005-0000-0000-0000F25C0000}"/>
    <cellStyle name="Normal 7 3 3 5 3 2 2" xfId="35892" xr:uid="{00000000-0005-0000-0000-0000F35C0000}"/>
    <cellStyle name="Normal 7 3 3 5 3 3" xfId="26035" xr:uid="{00000000-0005-0000-0000-0000F45C0000}"/>
    <cellStyle name="Normal 7 3 3 5 4" xfId="11249" xr:uid="{00000000-0005-0000-0000-0000F55C0000}"/>
    <cellStyle name="Normal 7 3 3 5 4 2" xfId="30964" xr:uid="{00000000-0005-0000-0000-0000F65C0000}"/>
    <cellStyle name="Normal 7 3 3 5 5" xfId="21107" xr:uid="{00000000-0005-0000-0000-0000F75C0000}"/>
    <cellStyle name="Normal 7 3 3 6" xfId="2617" xr:uid="{00000000-0005-0000-0000-0000F85C0000}"/>
    <cellStyle name="Normal 7 3 3 6 2" xfId="7549" xr:uid="{00000000-0005-0000-0000-0000F95C0000}"/>
    <cellStyle name="Normal 7 3 3 6 2 2" xfId="17409" xr:uid="{00000000-0005-0000-0000-0000FA5C0000}"/>
    <cellStyle name="Normal 7 3 3 6 2 2 2" xfId="37124" xr:uid="{00000000-0005-0000-0000-0000FB5C0000}"/>
    <cellStyle name="Normal 7 3 3 6 2 3" xfId="27267" xr:uid="{00000000-0005-0000-0000-0000FC5C0000}"/>
    <cellStyle name="Normal 7 3 3 6 3" xfId="12481" xr:uid="{00000000-0005-0000-0000-0000FD5C0000}"/>
    <cellStyle name="Normal 7 3 3 6 3 2" xfId="32196" xr:uid="{00000000-0005-0000-0000-0000FE5C0000}"/>
    <cellStyle name="Normal 7 3 3 6 4" xfId="22339" xr:uid="{00000000-0005-0000-0000-0000FF5C0000}"/>
    <cellStyle name="Normal 7 3 3 7" xfId="5085" xr:uid="{00000000-0005-0000-0000-0000005D0000}"/>
    <cellStyle name="Normal 7 3 3 7 2" xfId="14945" xr:uid="{00000000-0005-0000-0000-0000015D0000}"/>
    <cellStyle name="Normal 7 3 3 7 2 2" xfId="34660" xr:uid="{00000000-0005-0000-0000-0000025D0000}"/>
    <cellStyle name="Normal 7 3 3 7 3" xfId="24803" xr:uid="{00000000-0005-0000-0000-0000035D0000}"/>
    <cellStyle name="Normal 7 3 3 8" xfId="10017" xr:uid="{00000000-0005-0000-0000-0000045D0000}"/>
    <cellStyle name="Normal 7 3 3 8 2" xfId="29732" xr:uid="{00000000-0005-0000-0000-0000055D0000}"/>
    <cellStyle name="Normal 7 3 3 9" xfId="19875" xr:uid="{00000000-0005-0000-0000-0000065D0000}"/>
    <cellStyle name="Normal 7 3 4" xfId="211" xr:uid="{00000000-0005-0000-0000-0000075D0000}"/>
    <cellStyle name="Normal 7 3 4 2" xfId="525" xr:uid="{00000000-0005-0000-0000-0000085D0000}"/>
    <cellStyle name="Normal 7 3 4 2 2" xfId="1145" xr:uid="{00000000-0005-0000-0000-0000095D0000}"/>
    <cellStyle name="Normal 7 3 4 2 2 2" xfId="2380" xr:uid="{00000000-0005-0000-0000-00000A5D0000}"/>
    <cellStyle name="Normal 7 3 4 2 2 2 2" xfId="4847" xr:uid="{00000000-0005-0000-0000-00000B5D0000}"/>
    <cellStyle name="Normal 7 3 4 2 2 2 2 2" xfId="9779" xr:uid="{00000000-0005-0000-0000-00000C5D0000}"/>
    <cellStyle name="Normal 7 3 4 2 2 2 2 2 2" xfId="19639" xr:uid="{00000000-0005-0000-0000-00000D5D0000}"/>
    <cellStyle name="Normal 7 3 4 2 2 2 2 2 2 2" xfId="39354" xr:uid="{00000000-0005-0000-0000-00000E5D0000}"/>
    <cellStyle name="Normal 7 3 4 2 2 2 2 2 3" xfId="29497" xr:uid="{00000000-0005-0000-0000-00000F5D0000}"/>
    <cellStyle name="Normal 7 3 4 2 2 2 2 3" xfId="14711" xr:uid="{00000000-0005-0000-0000-0000105D0000}"/>
    <cellStyle name="Normal 7 3 4 2 2 2 2 3 2" xfId="34426" xr:uid="{00000000-0005-0000-0000-0000115D0000}"/>
    <cellStyle name="Normal 7 3 4 2 2 2 2 4" xfId="24569" xr:uid="{00000000-0005-0000-0000-0000125D0000}"/>
    <cellStyle name="Normal 7 3 4 2 2 2 3" xfId="7315" xr:uid="{00000000-0005-0000-0000-0000135D0000}"/>
    <cellStyle name="Normal 7 3 4 2 2 2 3 2" xfId="17175" xr:uid="{00000000-0005-0000-0000-0000145D0000}"/>
    <cellStyle name="Normal 7 3 4 2 2 2 3 2 2" xfId="36890" xr:uid="{00000000-0005-0000-0000-0000155D0000}"/>
    <cellStyle name="Normal 7 3 4 2 2 2 3 3" xfId="27033" xr:uid="{00000000-0005-0000-0000-0000165D0000}"/>
    <cellStyle name="Normal 7 3 4 2 2 2 4" xfId="12247" xr:uid="{00000000-0005-0000-0000-0000175D0000}"/>
    <cellStyle name="Normal 7 3 4 2 2 2 4 2" xfId="31962" xr:uid="{00000000-0005-0000-0000-0000185D0000}"/>
    <cellStyle name="Normal 7 3 4 2 2 2 5" xfId="22105" xr:uid="{00000000-0005-0000-0000-0000195D0000}"/>
    <cellStyle name="Normal 7 3 4 2 2 3" xfId="3615" xr:uid="{00000000-0005-0000-0000-00001A5D0000}"/>
    <cellStyle name="Normal 7 3 4 2 2 3 2" xfId="8547" xr:uid="{00000000-0005-0000-0000-00001B5D0000}"/>
    <cellStyle name="Normal 7 3 4 2 2 3 2 2" xfId="18407" xr:uid="{00000000-0005-0000-0000-00001C5D0000}"/>
    <cellStyle name="Normal 7 3 4 2 2 3 2 2 2" xfId="38122" xr:uid="{00000000-0005-0000-0000-00001D5D0000}"/>
    <cellStyle name="Normal 7 3 4 2 2 3 2 3" xfId="28265" xr:uid="{00000000-0005-0000-0000-00001E5D0000}"/>
    <cellStyle name="Normal 7 3 4 2 2 3 3" xfId="13479" xr:uid="{00000000-0005-0000-0000-00001F5D0000}"/>
    <cellStyle name="Normal 7 3 4 2 2 3 3 2" xfId="33194" xr:uid="{00000000-0005-0000-0000-0000205D0000}"/>
    <cellStyle name="Normal 7 3 4 2 2 3 4" xfId="23337" xr:uid="{00000000-0005-0000-0000-0000215D0000}"/>
    <cellStyle name="Normal 7 3 4 2 2 4" xfId="6083" xr:uid="{00000000-0005-0000-0000-0000225D0000}"/>
    <cellStyle name="Normal 7 3 4 2 2 4 2" xfId="15943" xr:uid="{00000000-0005-0000-0000-0000235D0000}"/>
    <cellStyle name="Normal 7 3 4 2 2 4 2 2" xfId="35658" xr:uid="{00000000-0005-0000-0000-0000245D0000}"/>
    <cellStyle name="Normal 7 3 4 2 2 4 3" xfId="25801" xr:uid="{00000000-0005-0000-0000-0000255D0000}"/>
    <cellStyle name="Normal 7 3 4 2 2 5" xfId="11015" xr:uid="{00000000-0005-0000-0000-0000265D0000}"/>
    <cellStyle name="Normal 7 3 4 2 2 5 2" xfId="30730" xr:uid="{00000000-0005-0000-0000-0000275D0000}"/>
    <cellStyle name="Normal 7 3 4 2 2 6" xfId="20873" xr:uid="{00000000-0005-0000-0000-0000285D0000}"/>
    <cellStyle name="Normal 7 3 4 2 3" xfId="1764" xr:uid="{00000000-0005-0000-0000-0000295D0000}"/>
    <cellStyle name="Normal 7 3 4 2 3 2" xfId="4231" xr:uid="{00000000-0005-0000-0000-00002A5D0000}"/>
    <cellStyle name="Normal 7 3 4 2 3 2 2" xfId="9163" xr:uid="{00000000-0005-0000-0000-00002B5D0000}"/>
    <cellStyle name="Normal 7 3 4 2 3 2 2 2" xfId="19023" xr:uid="{00000000-0005-0000-0000-00002C5D0000}"/>
    <cellStyle name="Normal 7 3 4 2 3 2 2 2 2" xfId="38738" xr:uid="{00000000-0005-0000-0000-00002D5D0000}"/>
    <cellStyle name="Normal 7 3 4 2 3 2 2 3" xfId="28881" xr:uid="{00000000-0005-0000-0000-00002E5D0000}"/>
    <cellStyle name="Normal 7 3 4 2 3 2 3" xfId="14095" xr:uid="{00000000-0005-0000-0000-00002F5D0000}"/>
    <cellStyle name="Normal 7 3 4 2 3 2 3 2" xfId="33810" xr:uid="{00000000-0005-0000-0000-0000305D0000}"/>
    <cellStyle name="Normal 7 3 4 2 3 2 4" xfId="23953" xr:uid="{00000000-0005-0000-0000-0000315D0000}"/>
    <cellStyle name="Normal 7 3 4 2 3 3" xfId="6699" xr:uid="{00000000-0005-0000-0000-0000325D0000}"/>
    <cellStyle name="Normal 7 3 4 2 3 3 2" xfId="16559" xr:uid="{00000000-0005-0000-0000-0000335D0000}"/>
    <cellStyle name="Normal 7 3 4 2 3 3 2 2" xfId="36274" xr:uid="{00000000-0005-0000-0000-0000345D0000}"/>
    <cellStyle name="Normal 7 3 4 2 3 3 3" xfId="26417" xr:uid="{00000000-0005-0000-0000-0000355D0000}"/>
    <cellStyle name="Normal 7 3 4 2 3 4" xfId="11631" xr:uid="{00000000-0005-0000-0000-0000365D0000}"/>
    <cellStyle name="Normal 7 3 4 2 3 4 2" xfId="31346" xr:uid="{00000000-0005-0000-0000-0000375D0000}"/>
    <cellStyle name="Normal 7 3 4 2 3 5" xfId="21489" xr:uid="{00000000-0005-0000-0000-0000385D0000}"/>
    <cellStyle name="Normal 7 3 4 2 4" xfId="2999" xr:uid="{00000000-0005-0000-0000-0000395D0000}"/>
    <cellStyle name="Normal 7 3 4 2 4 2" xfId="7931" xr:uid="{00000000-0005-0000-0000-00003A5D0000}"/>
    <cellStyle name="Normal 7 3 4 2 4 2 2" xfId="17791" xr:uid="{00000000-0005-0000-0000-00003B5D0000}"/>
    <cellStyle name="Normal 7 3 4 2 4 2 2 2" xfId="37506" xr:uid="{00000000-0005-0000-0000-00003C5D0000}"/>
    <cellStyle name="Normal 7 3 4 2 4 2 3" xfId="27649" xr:uid="{00000000-0005-0000-0000-00003D5D0000}"/>
    <cellStyle name="Normal 7 3 4 2 4 3" xfId="12863" xr:uid="{00000000-0005-0000-0000-00003E5D0000}"/>
    <cellStyle name="Normal 7 3 4 2 4 3 2" xfId="32578" xr:uid="{00000000-0005-0000-0000-00003F5D0000}"/>
    <cellStyle name="Normal 7 3 4 2 4 4" xfId="22721" xr:uid="{00000000-0005-0000-0000-0000405D0000}"/>
    <cellStyle name="Normal 7 3 4 2 5" xfId="5467" xr:uid="{00000000-0005-0000-0000-0000415D0000}"/>
    <cellStyle name="Normal 7 3 4 2 5 2" xfId="15327" xr:uid="{00000000-0005-0000-0000-0000425D0000}"/>
    <cellStyle name="Normal 7 3 4 2 5 2 2" xfId="35042" xr:uid="{00000000-0005-0000-0000-0000435D0000}"/>
    <cellStyle name="Normal 7 3 4 2 5 3" xfId="25185" xr:uid="{00000000-0005-0000-0000-0000445D0000}"/>
    <cellStyle name="Normal 7 3 4 2 6" xfId="10399" xr:uid="{00000000-0005-0000-0000-0000455D0000}"/>
    <cellStyle name="Normal 7 3 4 2 6 2" xfId="30114" xr:uid="{00000000-0005-0000-0000-0000465D0000}"/>
    <cellStyle name="Normal 7 3 4 2 7" xfId="20257" xr:uid="{00000000-0005-0000-0000-0000475D0000}"/>
    <cellStyle name="Normal 7 3 4 3" xfId="838" xr:uid="{00000000-0005-0000-0000-0000485D0000}"/>
    <cellStyle name="Normal 7 3 4 3 2" xfId="2074" xr:uid="{00000000-0005-0000-0000-0000495D0000}"/>
    <cellStyle name="Normal 7 3 4 3 2 2" xfId="4541" xr:uid="{00000000-0005-0000-0000-00004A5D0000}"/>
    <cellStyle name="Normal 7 3 4 3 2 2 2" xfId="9473" xr:uid="{00000000-0005-0000-0000-00004B5D0000}"/>
    <cellStyle name="Normal 7 3 4 3 2 2 2 2" xfId="19333" xr:uid="{00000000-0005-0000-0000-00004C5D0000}"/>
    <cellStyle name="Normal 7 3 4 3 2 2 2 2 2" xfId="39048" xr:uid="{00000000-0005-0000-0000-00004D5D0000}"/>
    <cellStyle name="Normal 7 3 4 3 2 2 2 3" xfId="29191" xr:uid="{00000000-0005-0000-0000-00004E5D0000}"/>
    <cellStyle name="Normal 7 3 4 3 2 2 3" xfId="14405" xr:uid="{00000000-0005-0000-0000-00004F5D0000}"/>
    <cellStyle name="Normal 7 3 4 3 2 2 3 2" xfId="34120" xr:uid="{00000000-0005-0000-0000-0000505D0000}"/>
    <cellStyle name="Normal 7 3 4 3 2 2 4" xfId="24263" xr:uid="{00000000-0005-0000-0000-0000515D0000}"/>
    <cellStyle name="Normal 7 3 4 3 2 3" xfId="7009" xr:uid="{00000000-0005-0000-0000-0000525D0000}"/>
    <cellStyle name="Normal 7 3 4 3 2 3 2" xfId="16869" xr:uid="{00000000-0005-0000-0000-0000535D0000}"/>
    <cellStyle name="Normal 7 3 4 3 2 3 2 2" xfId="36584" xr:uid="{00000000-0005-0000-0000-0000545D0000}"/>
    <cellStyle name="Normal 7 3 4 3 2 3 3" xfId="26727" xr:uid="{00000000-0005-0000-0000-0000555D0000}"/>
    <cellStyle name="Normal 7 3 4 3 2 4" xfId="11941" xr:uid="{00000000-0005-0000-0000-0000565D0000}"/>
    <cellStyle name="Normal 7 3 4 3 2 4 2" xfId="31656" xr:uid="{00000000-0005-0000-0000-0000575D0000}"/>
    <cellStyle name="Normal 7 3 4 3 2 5" xfId="21799" xr:uid="{00000000-0005-0000-0000-0000585D0000}"/>
    <cellStyle name="Normal 7 3 4 3 3" xfId="3309" xr:uid="{00000000-0005-0000-0000-0000595D0000}"/>
    <cellStyle name="Normal 7 3 4 3 3 2" xfId="8241" xr:uid="{00000000-0005-0000-0000-00005A5D0000}"/>
    <cellStyle name="Normal 7 3 4 3 3 2 2" xfId="18101" xr:uid="{00000000-0005-0000-0000-00005B5D0000}"/>
    <cellStyle name="Normal 7 3 4 3 3 2 2 2" xfId="37816" xr:uid="{00000000-0005-0000-0000-00005C5D0000}"/>
    <cellStyle name="Normal 7 3 4 3 3 2 3" xfId="27959" xr:uid="{00000000-0005-0000-0000-00005D5D0000}"/>
    <cellStyle name="Normal 7 3 4 3 3 3" xfId="13173" xr:uid="{00000000-0005-0000-0000-00005E5D0000}"/>
    <cellStyle name="Normal 7 3 4 3 3 3 2" xfId="32888" xr:uid="{00000000-0005-0000-0000-00005F5D0000}"/>
    <cellStyle name="Normal 7 3 4 3 3 4" xfId="23031" xr:uid="{00000000-0005-0000-0000-0000605D0000}"/>
    <cellStyle name="Normal 7 3 4 3 4" xfId="5777" xr:uid="{00000000-0005-0000-0000-0000615D0000}"/>
    <cellStyle name="Normal 7 3 4 3 4 2" xfId="15637" xr:uid="{00000000-0005-0000-0000-0000625D0000}"/>
    <cellStyle name="Normal 7 3 4 3 4 2 2" xfId="35352" xr:uid="{00000000-0005-0000-0000-0000635D0000}"/>
    <cellStyle name="Normal 7 3 4 3 4 3" xfId="25495" xr:uid="{00000000-0005-0000-0000-0000645D0000}"/>
    <cellStyle name="Normal 7 3 4 3 5" xfId="10709" xr:uid="{00000000-0005-0000-0000-0000655D0000}"/>
    <cellStyle name="Normal 7 3 4 3 5 2" xfId="30424" xr:uid="{00000000-0005-0000-0000-0000665D0000}"/>
    <cellStyle name="Normal 7 3 4 3 6" xfId="20567" xr:uid="{00000000-0005-0000-0000-0000675D0000}"/>
    <cellStyle name="Normal 7 3 4 4" xfId="1458" xr:uid="{00000000-0005-0000-0000-0000685D0000}"/>
    <cellStyle name="Normal 7 3 4 4 2" xfId="3925" xr:uid="{00000000-0005-0000-0000-0000695D0000}"/>
    <cellStyle name="Normal 7 3 4 4 2 2" xfId="8857" xr:uid="{00000000-0005-0000-0000-00006A5D0000}"/>
    <cellStyle name="Normal 7 3 4 4 2 2 2" xfId="18717" xr:uid="{00000000-0005-0000-0000-00006B5D0000}"/>
    <cellStyle name="Normal 7 3 4 4 2 2 2 2" xfId="38432" xr:uid="{00000000-0005-0000-0000-00006C5D0000}"/>
    <cellStyle name="Normal 7 3 4 4 2 2 3" xfId="28575" xr:uid="{00000000-0005-0000-0000-00006D5D0000}"/>
    <cellStyle name="Normal 7 3 4 4 2 3" xfId="13789" xr:uid="{00000000-0005-0000-0000-00006E5D0000}"/>
    <cellStyle name="Normal 7 3 4 4 2 3 2" xfId="33504" xr:uid="{00000000-0005-0000-0000-00006F5D0000}"/>
    <cellStyle name="Normal 7 3 4 4 2 4" xfId="23647" xr:uid="{00000000-0005-0000-0000-0000705D0000}"/>
    <cellStyle name="Normal 7 3 4 4 3" xfId="6393" xr:uid="{00000000-0005-0000-0000-0000715D0000}"/>
    <cellStyle name="Normal 7 3 4 4 3 2" xfId="16253" xr:uid="{00000000-0005-0000-0000-0000725D0000}"/>
    <cellStyle name="Normal 7 3 4 4 3 2 2" xfId="35968" xr:uid="{00000000-0005-0000-0000-0000735D0000}"/>
    <cellStyle name="Normal 7 3 4 4 3 3" xfId="26111" xr:uid="{00000000-0005-0000-0000-0000745D0000}"/>
    <cellStyle name="Normal 7 3 4 4 4" xfId="11325" xr:uid="{00000000-0005-0000-0000-0000755D0000}"/>
    <cellStyle name="Normal 7 3 4 4 4 2" xfId="31040" xr:uid="{00000000-0005-0000-0000-0000765D0000}"/>
    <cellStyle name="Normal 7 3 4 4 5" xfId="21183" xr:uid="{00000000-0005-0000-0000-0000775D0000}"/>
    <cellStyle name="Normal 7 3 4 5" xfId="2693" xr:uid="{00000000-0005-0000-0000-0000785D0000}"/>
    <cellStyle name="Normal 7 3 4 5 2" xfId="7625" xr:uid="{00000000-0005-0000-0000-0000795D0000}"/>
    <cellStyle name="Normal 7 3 4 5 2 2" xfId="17485" xr:uid="{00000000-0005-0000-0000-00007A5D0000}"/>
    <cellStyle name="Normal 7 3 4 5 2 2 2" xfId="37200" xr:uid="{00000000-0005-0000-0000-00007B5D0000}"/>
    <cellStyle name="Normal 7 3 4 5 2 3" xfId="27343" xr:uid="{00000000-0005-0000-0000-00007C5D0000}"/>
    <cellStyle name="Normal 7 3 4 5 3" xfId="12557" xr:uid="{00000000-0005-0000-0000-00007D5D0000}"/>
    <cellStyle name="Normal 7 3 4 5 3 2" xfId="32272" xr:uid="{00000000-0005-0000-0000-00007E5D0000}"/>
    <cellStyle name="Normal 7 3 4 5 4" xfId="22415" xr:uid="{00000000-0005-0000-0000-00007F5D0000}"/>
    <cellStyle name="Normal 7 3 4 6" xfId="5161" xr:uid="{00000000-0005-0000-0000-0000805D0000}"/>
    <cellStyle name="Normal 7 3 4 6 2" xfId="15021" xr:uid="{00000000-0005-0000-0000-0000815D0000}"/>
    <cellStyle name="Normal 7 3 4 6 2 2" xfId="34736" xr:uid="{00000000-0005-0000-0000-0000825D0000}"/>
    <cellStyle name="Normal 7 3 4 6 3" xfId="24879" xr:uid="{00000000-0005-0000-0000-0000835D0000}"/>
    <cellStyle name="Normal 7 3 4 7" xfId="10093" xr:uid="{00000000-0005-0000-0000-0000845D0000}"/>
    <cellStyle name="Normal 7 3 4 7 2" xfId="29808" xr:uid="{00000000-0005-0000-0000-0000855D0000}"/>
    <cellStyle name="Normal 7 3 4 8" xfId="19951" xr:uid="{00000000-0005-0000-0000-0000865D0000}"/>
    <cellStyle name="Normal 7 3 5" xfId="373" xr:uid="{00000000-0005-0000-0000-0000875D0000}"/>
    <cellStyle name="Normal 7 3 5 2" xfId="993" xr:uid="{00000000-0005-0000-0000-0000885D0000}"/>
    <cellStyle name="Normal 7 3 5 2 2" xfId="2228" xr:uid="{00000000-0005-0000-0000-0000895D0000}"/>
    <cellStyle name="Normal 7 3 5 2 2 2" xfId="4695" xr:uid="{00000000-0005-0000-0000-00008A5D0000}"/>
    <cellStyle name="Normal 7 3 5 2 2 2 2" xfId="9627" xr:uid="{00000000-0005-0000-0000-00008B5D0000}"/>
    <cellStyle name="Normal 7 3 5 2 2 2 2 2" xfId="19487" xr:uid="{00000000-0005-0000-0000-00008C5D0000}"/>
    <cellStyle name="Normal 7 3 5 2 2 2 2 2 2" xfId="39202" xr:uid="{00000000-0005-0000-0000-00008D5D0000}"/>
    <cellStyle name="Normal 7 3 5 2 2 2 2 3" xfId="29345" xr:uid="{00000000-0005-0000-0000-00008E5D0000}"/>
    <cellStyle name="Normal 7 3 5 2 2 2 3" xfId="14559" xr:uid="{00000000-0005-0000-0000-00008F5D0000}"/>
    <cellStyle name="Normal 7 3 5 2 2 2 3 2" xfId="34274" xr:uid="{00000000-0005-0000-0000-0000905D0000}"/>
    <cellStyle name="Normal 7 3 5 2 2 2 4" xfId="24417" xr:uid="{00000000-0005-0000-0000-0000915D0000}"/>
    <cellStyle name="Normal 7 3 5 2 2 3" xfId="7163" xr:uid="{00000000-0005-0000-0000-0000925D0000}"/>
    <cellStyle name="Normal 7 3 5 2 2 3 2" xfId="17023" xr:uid="{00000000-0005-0000-0000-0000935D0000}"/>
    <cellStyle name="Normal 7 3 5 2 2 3 2 2" xfId="36738" xr:uid="{00000000-0005-0000-0000-0000945D0000}"/>
    <cellStyle name="Normal 7 3 5 2 2 3 3" xfId="26881" xr:uid="{00000000-0005-0000-0000-0000955D0000}"/>
    <cellStyle name="Normal 7 3 5 2 2 4" xfId="12095" xr:uid="{00000000-0005-0000-0000-0000965D0000}"/>
    <cellStyle name="Normal 7 3 5 2 2 4 2" xfId="31810" xr:uid="{00000000-0005-0000-0000-0000975D0000}"/>
    <cellStyle name="Normal 7 3 5 2 2 5" xfId="21953" xr:uid="{00000000-0005-0000-0000-0000985D0000}"/>
    <cellStyle name="Normal 7 3 5 2 3" xfId="3463" xr:uid="{00000000-0005-0000-0000-0000995D0000}"/>
    <cellStyle name="Normal 7 3 5 2 3 2" xfId="8395" xr:uid="{00000000-0005-0000-0000-00009A5D0000}"/>
    <cellStyle name="Normal 7 3 5 2 3 2 2" xfId="18255" xr:uid="{00000000-0005-0000-0000-00009B5D0000}"/>
    <cellStyle name="Normal 7 3 5 2 3 2 2 2" xfId="37970" xr:uid="{00000000-0005-0000-0000-00009C5D0000}"/>
    <cellStyle name="Normal 7 3 5 2 3 2 3" xfId="28113" xr:uid="{00000000-0005-0000-0000-00009D5D0000}"/>
    <cellStyle name="Normal 7 3 5 2 3 3" xfId="13327" xr:uid="{00000000-0005-0000-0000-00009E5D0000}"/>
    <cellStyle name="Normal 7 3 5 2 3 3 2" xfId="33042" xr:uid="{00000000-0005-0000-0000-00009F5D0000}"/>
    <cellStyle name="Normal 7 3 5 2 3 4" xfId="23185" xr:uid="{00000000-0005-0000-0000-0000A05D0000}"/>
    <cellStyle name="Normal 7 3 5 2 4" xfId="5931" xr:uid="{00000000-0005-0000-0000-0000A15D0000}"/>
    <cellStyle name="Normal 7 3 5 2 4 2" xfId="15791" xr:uid="{00000000-0005-0000-0000-0000A25D0000}"/>
    <cellStyle name="Normal 7 3 5 2 4 2 2" xfId="35506" xr:uid="{00000000-0005-0000-0000-0000A35D0000}"/>
    <cellStyle name="Normal 7 3 5 2 4 3" xfId="25649" xr:uid="{00000000-0005-0000-0000-0000A45D0000}"/>
    <cellStyle name="Normal 7 3 5 2 5" xfId="10863" xr:uid="{00000000-0005-0000-0000-0000A55D0000}"/>
    <cellStyle name="Normal 7 3 5 2 5 2" xfId="30578" xr:uid="{00000000-0005-0000-0000-0000A65D0000}"/>
    <cellStyle name="Normal 7 3 5 2 6" xfId="20721" xr:uid="{00000000-0005-0000-0000-0000A75D0000}"/>
    <cellStyle name="Normal 7 3 5 3" xfId="1612" xr:uid="{00000000-0005-0000-0000-0000A85D0000}"/>
    <cellStyle name="Normal 7 3 5 3 2" xfId="4079" xr:uid="{00000000-0005-0000-0000-0000A95D0000}"/>
    <cellStyle name="Normal 7 3 5 3 2 2" xfId="9011" xr:uid="{00000000-0005-0000-0000-0000AA5D0000}"/>
    <cellStyle name="Normal 7 3 5 3 2 2 2" xfId="18871" xr:uid="{00000000-0005-0000-0000-0000AB5D0000}"/>
    <cellStyle name="Normal 7 3 5 3 2 2 2 2" xfId="38586" xr:uid="{00000000-0005-0000-0000-0000AC5D0000}"/>
    <cellStyle name="Normal 7 3 5 3 2 2 3" xfId="28729" xr:uid="{00000000-0005-0000-0000-0000AD5D0000}"/>
    <cellStyle name="Normal 7 3 5 3 2 3" xfId="13943" xr:uid="{00000000-0005-0000-0000-0000AE5D0000}"/>
    <cellStyle name="Normal 7 3 5 3 2 3 2" xfId="33658" xr:uid="{00000000-0005-0000-0000-0000AF5D0000}"/>
    <cellStyle name="Normal 7 3 5 3 2 4" xfId="23801" xr:uid="{00000000-0005-0000-0000-0000B05D0000}"/>
    <cellStyle name="Normal 7 3 5 3 3" xfId="6547" xr:uid="{00000000-0005-0000-0000-0000B15D0000}"/>
    <cellStyle name="Normal 7 3 5 3 3 2" xfId="16407" xr:uid="{00000000-0005-0000-0000-0000B25D0000}"/>
    <cellStyle name="Normal 7 3 5 3 3 2 2" xfId="36122" xr:uid="{00000000-0005-0000-0000-0000B35D0000}"/>
    <cellStyle name="Normal 7 3 5 3 3 3" xfId="26265" xr:uid="{00000000-0005-0000-0000-0000B45D0000}"/>
    <cellStyle name="Normal 7 3 5 3 4" xfId="11479" xr:uid="{00000000-0005-0000-0000-0000B55D0000}"/>
    <cellStyle name="Normal 7 3 5 3 4 2" xfId="31194" xr:uid="{00000000-0005-0000-0000-0000B65D0000}"/>
    <cellStyle name="Normal 7 3 5 3 5" xfId="21337" xr:uid="{00000000-0005-0000-0000-0000B75D0000}"/>
    <cellStyle name="Normal 7 3 5 4" xfId="2847" xr:uid="{00000000-0005-0000-0000-0000B85D0000}"/>
    <cellStyle name="Normal 7 3 5 4 2" xfId="7779" xr:uid="{00000000-0005-0000-0000-0000B95D0000}"/>
    <cellStyle name="Normal 7 3 5 4 2 2" xfId="17639" xr:uid="{00000000-0005-0000-0000-0000BA5D0000}"/>
    <cellStyle name="Normal 7 3 5 4 2 2 2" xfId="37354" xr:uid="{00000000-0005-0000-0000-0000BB5D0000}"/>
    <cellStyle name="Normal 7 3 5 4 2 3" xfId="27497" xr:uid="{00000000-0005-0000-0000-0000BC5D0000}"/>
    <cellStyle name="Normal 7 3 5 4 3" xfId="12711" xr:uid="{00000000-0005-0000-0000-0000BD5D0000}"/>
    <cellStyle name="Normal 7 3 5 4 3 2" xfId="32426" xr:uid="{00000000-0005-0000-0000-0000BE5D0000}"/>
    <cellStyle name="Normal 7 3 5 4 4" xfId="22569" xr:uid="{00000000-0005-0000-0000-0000BF5D0000}"/>
    <cellStyle name="Normal 7 3 5 5" xfId="5315" xr:uid="{00000000-0005-0000-0000-0000C05D0000}"/>
    <cellStyle name="Normal 7 3 5 5 2" xfId="15175" xr:uid="{00000000-0005-0000-0000-0000C15D0000}"/>
    <cellStyle name="Normal 7 3 5 5 2 2" xfId="34890" xr:uid="{00000000-0005-0000-0000-0000C25D0000}"/>
    <cellStyle name="Normal 7 3 5 5 3" xfId="25033" xr:uid="{00000000-0005-0000-0000-0000C35D0000}"/>
    <cellStyle name="Normal 7 3 5 6" xfId="10247" xr:uid="{00000000-0005-0000-0000-0000C45D0000}"/>
    <cellStyle name="Normal 7 3 5 6 2" xfId="29962" xr:uid="{00000000-0005-0000-0000-0000C55D0000}"/>
    <cellStyle name="Normal 7 3 5 7" xfId="20105" xr:uid="{00000000-0005-0000-0000-0000C65D0000}"/>
    <cellStyle name="Normal 7 3 6" xfId="686" xr:uid="{00000000-0005-0000-0000-0000C75D0000}"/>
    <cellStyle name="Normal 7 3 6 2" xfId="1922" xr:uid="{00000000-0005-0000-0000-0000C85D0000}"/>
    <cellStyle name="Normal 7 3 6 2 2" xfId="4389" xr:uid="{00000000-0005-0000-0000-0000C95D0000}"/>
    <cellStyle name="Normal 7 3 6 2 2 2" xfId="9321" xr:uid="{00000000-0005-0000-0000-0000CA5D0000}"/>
    <cellStyle name="Normal 7 3 6 2 2 2 2" xfId="19181" xr:uid="{00000000-0005-0000-0000-0000CB5D0000}"/>
    <cellStyle name="Normal 7 3 6 2 2 2 2 2" xfId="38896" xr:uid="{00000000-0005-0000-0000-0000CC5D0000}"/>
    <cellStyle name="Normal 7 3 6 2 2 2 3" xfId="29039" xr:uid="{00000000-0005-0000-0000-0000CD5D0000}"/>
    <cellStyle name="Normal 7 3 6 2 2 3" xfId="14253" xr:uid="{00000000-0005-0000-0000-0000CE5D0000}"/>
    <cellStyle name="Normal 7 3 6 2 2 3 2" xfId="33968" xr:uid="{00000000-0005-0000-0000-0000CF5D0000}"/>
    <cellStyle name="Normal 7 3 6 2 2 4" xfId="24111" xr:uid="{00000000-0005-0000-0000-0000D05D0000}"/>
    <cellStyle name="Normal 7 3 6 2 3" xfId="6857" xr:uid="{00000000-0005-0000-0000-0000D15D0000}"/>
    <cellStyle name="Normal 7 3 6 2 3 2" xfId="16717" xr:uid="{00000000-0005-0000-0000-0000D25D0000}"/>
    <cellStyle name="Normal 7 3 6 2 3 2 2" xfId="36432" xr:uid="{00000000-0005-0000-0000-0000D35D0000}"/>
    <cellStyle name="Normal 7 3 6 2 3 3" xfId="26575" xr:uid="{00000000-0005-0000-0000-0000D45D0000}"/>
    <cellStyle name="Normal 7 3 6 2 4" xfId="11789" xr:uid="{00000000-0005-0000-0000-0000D55D0000}"/>
    <cellStyle name="Normal 7 3 6 2 4 2" xfId="31504" xr:uid="{00000000-0005-0000-0000-0000D65D0000}"/>
    <cellStyle name="Normal 7 3 6 2 5" xfId="21647" xr:uid="{00000000-0005-0000-0000-0000D75D0000}"/>
    <cellStyle name="Normal 7 3 6 3" xfId="3157" xr:uid="{00000000-0005-0000-0000-0000D85D0000}"/>
    <cellStyle name="Normal 7 3 6 3 2" xfId="8089" xr:uid="{00000000-0005-0000-0000-0000D95D0000}"/>
    <cellStyle name="Normal 7 3 6 3 2 2" xfId="17949" xr:uid="{00000000-0005-0000-0000-0000DA5D0000}"/>
    <cellStyle name="Normal 7 3 6 3 2 2 2" xfId="37664" xr:uid="{00000000-0005-0000-0000-0000DB5D0000}"/>
    <cellStyle name="Normal 7 3 6 3 2 3" xfId="27807" xr:uid="{00000000-0005-0000-0000-0000DC5D0000}"/>
    <cellStyle name="Normal 7 3 6 3 3" xfId="13021" xr:uid="{00000000-0005-0000-0000-0000DD5D0000}"/>
    <cellStyle name="Normal 7 3 6 3 3 2" xfId="32736" xr:uid="{00000000-0005-0000-0000-0000DE5D0000}"/>
    <cellStyle name="Normal 7 3 6 3 4" xfId="22879" xr:uid="{00000000-0005-0000-0000-0000DF5D0000}"/>
    <cellStyle name="Normal 7 3 6 4" xfId="5625" xr:uid="{00000000-0005-0000-0000-0000E05D0000}"/>
    <cellStyle name="Normal 7 3 6 4 2" xfId="15485" xr:uid="{00000000-0005-0000-0000-0000E15D0000}"/>
    <cellStyle name="Normal 7 3 6 4 2 2" xfId="35200" xr:uid="{00000000-0005-0000-0000-0000E25D0000}"/>
    <cellStyle name="Normal 7 3 6 4 3" xfId="25343" xr:uid="{00000000-0005-0000-0000-0000E35D0000}"/>
    <cellStyle name="Normal 7 3 6 5" xfId="10557" xr:uid="{00000000-0005-0000-0000-0000E45D0000}"/>
    <cellStyle name="Normal 7 3 6 5 2" xfId="30272" xr:uid="{00000000-0005-0000-0000-0000E55D0000}"/>
    <cellStyle name="Normal 7 3 6 6" xfId="20415" xr:uid="{00000000-0005-0000-0000-0000E65D0000}"/>
    <cellStyle name="Normal 7 3 7" xfId="1306" xr:uid="{00000000-0005-0000-0000-0000E75D0000}"/>
    <cellStyle name="Normal 7 3 7 2" xfId="3773" xr:uid="{00000000-0005-0000-0000-0000E85D0000}"/>
    <cellStyle name="Normal 7 3 7 2 2" xfId="8705" xr:uid="{00000000-0005-0000-0000-0000E95D0000}"/>
    <cellStyle name="Normal 7 3 7 2 2 2" xfId="18565" xr:uid="{00000000-0005-0000-0000-0000EA5D0000}"/>
    <cellStyle name="Normal 7 3 7 2 2 2 2" xfId="38280" xr:uid="{00000000-0005-0000-0000-0000EB5D0000}"/>
    <cellStyle name="Normal 7 3 7 2 2 3" xfId="28423" xr:uid="{00000000-0005-0000-0000-0000EC5D0000}"/>
    <cellStyle name="Normal 7 3 7 2 3" xfId="13637" xr:uid="{00000000-0005-0000-0000-0000ED5D0000}"/>
    <cellStyle name="Normal 7 3 7 2 3 2" xfId="33352" xr:uid="{00000000-0005-0000-0000-0000EE5D0000}"/>
    <cellStyle name="Normal 7 3 7 2 4" xfId="23495" xr:uid="{00000000-0005-0000-0000-0000EF5D0000}"/>
    <cellStyle name="Normal 7 3 7 3" xfId="6241" xr:uid="{00000000-0005-0000-0000-0000F05D0000}"/>
    <cellStyle name="Normal 7 3 7 3 2" xfId="16101" xr:uid="{00000000-0005-0000-0000-0000F15D0000}"/>
    <cellStyle name="Normal 7 3 7 3 2 2" xfId="35816" xr:uid="{00000000-0005-0000-0000-0000F25D0000}"/>
    <cellStyle name="Normal 7 3 7 3 3" xfId="25959" xr:uid="{00000000-0005-0000-0000-0000F35D0000}"/>
    <cellStyle name="Normal 7 3 7 4" xfId="11173" xr:uid="{00000000-0005-0000-0000-0000F45D0000}"/>
    <cellStyle name="Normal 7 3 7 4 2" xfId="30888" xr:uid="{00000000-0005-0000-0000-0000F55D0000}"/>
    <cellStyle name="Normal 7 3 7 5" xfId="21031" xr:uid="{00000000-0005-0000-0000-0000F65D0000}"/>
    <cellStyle name="Normal 7 3 8" xfId="2541" xr:uid="{00000000-0005-0000-0000-0000F75D0000}"/>
    <cellStyle name="Normal 7 3 8 2" xfId="7473" xr:uid="{00000000-0005-0000-0000-0000F85D0000}"/>
    <cellStyle name="Normal 7 3 8 2 2" xfId="17333" xr:uid="{00000000-0005-0000-0000-0000F95D0000}"/>
    <cellStyle name="Normal 7 3 8 2 2 2" xfId="37048" xr:uid="{00000000-0005-0000-0000-0000FA5D0000}"/>
    <cellStyle name="Normal 7 3 8 2 3" xfId="27191" xr:uid="{00000000-0005-0000-0000-0000FB5D0000}"/>
    <cellStyle name="Normal 7 3 8 3" xfId="12405" xr:uid="{00000000-0005-0000-0000-0000FC5D0000}"/>
    <cellStyle name="Normal 7 3 8 3 2" xfId="32120" xr:uid="{00000000-0005-0000-0000-0000FD5D0000}"/>
    <cellStyle name="Normal 7 3 8 4" xfId="22263" xr:uid="{00000000-0005-0000-0000-0000FE5D0000}"/>
    <cellStyle name="Normal 7 3 9" xfId="5009" xr:uid="{00000000-0005-0000-0000-0000FF5D0000}"/>
    <cellStyle name="Normal 7 3 9 2" xfId="14869" xr:uid="{00000000-0005-0000-0000-0000005E0000}"/>
    <cellStyle name="Normal 7 3 9 2 2" xfId="34584" xr:uid="{00000000-0005-0000-0000-0000015E0000}"/>
    <cellStyle name="Normal 7 3 9 3" xfId="24727" xr:uid="{00000000-0005-0000-0000-0000025E0000}"/>
    <cellStyle name="Normal 7 4" xfId="68" xr:uid="{00000000-0005-0000-0000-0000035E0000}"/>
    <cellStyle name="Normal 7 4 10" xfId="19818" xr:uid="{00000000-0005-0000-0000-0000045E0000}"/>
    <cellStyle name="Normal 7 4 2" xfId="149" xr:uid="{00000000-0005-0000-0000-0000055E0000}"/>
    <cellStyle name="Normal 7 4 2 2" xfId="306" xr:uid="{00000000-0005-0000-0000-0000065E0000}"/>
    <cellStyle name="Normal 7 4 2 2 2" xfId="620" xr:uid="{00000000-0005-0000-0000-0000075E0000}"/>
    <cellStyle name="Normal 7 4 2 2 2 2" xfId="1240" xr:uid="{00000000-0005-0000-0000-0000085E0000}"/>
    <cellStyle name="Normal 7 4 2 2 2 2 2" xfId="2475" xr:uid="{00000000-0005-0000-0000-0000095E0000}"/>
    <cellStyle name="Normal 7 4 2 2 2 2 2 2" xfId="4942" xr:uid="{00000000-0005-0000-0000-00000A5E0000}"/>
    <cellStyle name="Normal 7 4 2 2 2 2 2 2 2" xfId="9874" xr:uid="{00000000-0005-0000-0000-00000B5E0000}"/>
    <cellStyle name="Normal 7 4 2 2 2 2 2 2 2 2" xfId="19734" xr:uid="{00000000-0005-0000-0000-00000C5E0000}"/>
    <cellStyle name="Normal 7 4 2 2 2 2 2 2 2 2 2" xfId="39449" xr:uid="{00000000-0005-0000-0000-00000D5E0000}"/>
    <cellStyle name="Normal 7 4 2 2 2 2 2 2 2 3" xfId="29592" xr:uid="{00000000-0005-0000-0000-00000E5E0000}"/>
    <cellStyle name="Normal 7 4 2 2 2 2 2 2 3" xfId="14806" xr:uid="{00000000-0005-0000-0000-00000F5E0000}"/>
    <cellStyle name="Normal 7 4 2 2 2 2 2 2 3 2" xfId="34521" xr:uid="{00000000-0005-0000-0000-0000105E0000}"/>
    <cellStyle name="Normal 7 4 2 2 2 2 2 2 4" xfId="24664" xr:uid="{00000000-0005-0000-0000-0000115E0000}"/>
    <cellStyle name="Normal 7 4 2 2 2 2 2 3" xfId="7410" xr:uid="{00000000-0005-0000-0000-0000125E0000}"/>
    <cellStyle name="Normal 7 4 2 2 2 2 2 3 2" xfId="17270" xr:uid="{00000000-0005-0000-0000-0000135E0000}"/>
    <cellStyle name="Normal 7 4 2 2 2 2 2 3 2 2" xfId="36985" xr:uid="{00000000-0005-0000-0000-0000145E0000}"/>
    <cellStyle name="Normal 7 4 2 2 2 2 2 3 3" xfId="27128" xr:uid="{00000000-0005-0000-0000-0000155E0000}"/>
    <cellStyle name="Normal 7 4 2 2 2 2 2 4" xfId="12342" xr:uid="{00000000-0005-0000-0000-0000165E0000}"/>
    <cellStyle name="Normal 7 4 2 2 2 2 2 4 2" xfId="32057" xr:uid="{00000000-0005-0000-0000-0000175E0000}"/>
    <cellStyle name="Normal 7 4 2 2 2 2 2 5" xfId="22200" xr:uid="{00000000-0005-0000-0000-0000185E0000}"/>
    <cellStyle name="Normal 7 4 2 2 2 2 3" xfId="3710" xr:uid="{00000000-0005-0000-0000-0000195E0000}"/>
    <cellStyle name="Normal 7 4 2 2 2 2 3 2" xfId="8642" xr:uid="{00000000-0005-0000-0000-00001A5E0000}"/>
    <cellStyle name="Normal 7 4 2 2 2 2 3 2 2" xfId="18502" xr:uid="{00000000-0005-0000-0000-00001B5E0000}"/>
    <cellStyle name="Normal 7 4 2 2 2 2 3 2 2 2" xfId="38217" xr:uid="{00000000-0005-0000-0000-00001C5E0000}"/>
    <cellStyle name="Normal 7 4 2 2 2 2 3 2 3" xfId="28360" xr:uid="{00000000-0005-0000-0000-00001D5E0000}"/>
    <cellStyle name="Normal 7 4 2 2 2 2 3 3" xfId="13574" xr:uid="{00000000-0005-0000-0000-00001E5E0000}"/>
    <cellStyle name="Normal 7 4 2 2 2 2 3 3 2" xfId="33289" xr:uid="{00000000-0005-0000-0000-00001F5E0000}"/>
    <cellStyle name="Normal 7 4 2 2 2 2 3 4" xfId="23432" xr:uid="{00000000-0005-0000-0000-0000205E0000}"/>
    <cellStyle name="Normal 7 4 2 2 2 2 4" xfId="6178" xr:uid="{00000000-0005-0000-0000-0000215E0000}"/>
    <cellStyle name="Normal 7 4 2 2 2 2 4 2" xfId="16038" xr:uid="{00000000-0005-0000-0000-0000225E0000}"/>
    <cellStyle name="Normal 7 4 2 2 2 2 4 2 2" xfId="35753" xr:uid="{00000000-0005-0000-0000-0000235E0000}"/>
    <cellStyle name="Normal 7 4 2 2 2 2 4 3" xfId="25896" xr:uid="{00000000-0005-0000-0000-0000245E0000}"/>
    <cellStyle name="Normal 7 4 2 2 2 2 5" xfId="11110" xr:uid="{00000000-0005-0000-0000-0000255E0000}"/>
    <cellStyle name="Normal 7 4 2 2 2 2 5 2" xfId="30825" xr:uid="{00000000-0005-0000-0000-0000265E0000}"/>
    <cellStyle name="Normal 7 4 2 2 2 2 6" xfId="20968" xr:uid="{00000000-0005-0000-0000-0000275E0000}"/>
    <cellStyle name="Normal 7 4 2 2 2 3" xfId="1859" xr:uid="{00000000-0005-0000-0000-0000285E0000}"/>
    <cellStyle name="Normal 7 4 2 2 2 3 2" xfId="4326" xr:uid="{00000000-0005-0000-0000-0000295E0000}"/>
    <cellStyle name="Normal 7 4 2 2 2 3 2 2" xfId="9258" xr:uid="{00000000-0005-0000-0000-00002A5E0000}"/>
    <cellStyle name="Normal 7 4 2 2 2 3 2 2 2" xfId="19118" xr:uid="{00000000-0005-0000-0000-00002B5E0000}"/>
    <cellStyle name="Normal 7 4 2 2 2 3 2 2 2 2" xfId="38833" xr:uid="{00000000-0005-0000-0000-00002C5E0000}"/>
    <cellStyle name="Normal 7 4 2 2 2 3 2 2 3" xfId="28976" xr:uid="{00000000-0005-0000-0000-00002D5E0000}"/>
    <cellStyle name="Normal 7 4 2 2 2 3 2 3" xfId="14190" xr:uid="{00000000-0005-0000-0000-00002E5E0000}"/>
    <cellStyle name="Normal 7 4 2 2 2 3 2 3 2" xfId="33905" xr:uid="{00000000-0005-0000-0000-00002F5E0000}"/>
    <cellStyle name="Normal 7 4 2 2 2 3 2 4" xfId="24048" xr:uid="{00000000-0005-0000-0000-0000305E0000}"/>
    <cellStyle name="Normal 7 4 2 2 2 3 3" xfId="6794" xr:uid="{00000000-0005-0000-0000-0000315E0000}"/>
    <cellStyle name="Normal 7 4 2 2 2 3 3 2" xfId="16654" xr:uid="{00000000-0005-0000-0000-0000325E0000}"/>
    <cellStyle name="Normal 7 4 2 2 2 3 3 2 2" xfId="36369" xr:uid="{00000000-0005-0000-0000-0000335E0000}"/>
    <cellStyle name="Normal 7 4 2 2 2 3 3 3" xfId="26512" xr:uid="{00000000-0005-0000-0000-0000345E0000}"/>
    <cellStyle name="Normal 7 4 2 2 2 3 4" xfId="11726" xr:uid="{00000000-0005-0000-0000-0000355E0000}"/>
    <cellStyle name="Normal 7 4 2 2 2 3 4 2" xfId="31441" xr:uid="{00000000-0005-0000-0000-0000365E0000}"/>
    <cellStyle name="Normal 7 4 2 2 2 3 5" xfId="21584" xr:uid="{00000000-0005-0000-0000-0000375E0000}"/>
    <cellStyle name="Normal 7 4 2 2 2 4" xfId="3094" xr:uid="{00000000-0005-0000-0000-0000385E0000}"/>
    <cellStyle name="Normal 7 4 2 2 2 4 2" xfId="8026" xr:uid="{00000000-0005-0000-0000-0000395E0000}"/>
    <cellStyle name="Normal 7 4 2 2 2 4 2 2" xfId="17886" xr:uid="{00000000-0005-0000-0000-00003A5E0000}"/>
    <cellStyle name="Normal 7 4 2 2 2 4 2 2 2" xfId="37601" xr:uid="{00000000-0005-0000-0000-00003B5E0000}"/>
    <cellStyle name="Normal 7 4 2 2 2 4 2 3" xfId="27744" xr:uid="{00000000-0005-0000-0000-00003C5E0000}"/>
    <cellStyle name="Normal 7 4 2 2 2 4 3" xfId="12958" xr:uid="{00000000-0005-0000-0000-00003D5E0000}"/>
    <cellStyle name="Normal 7 4 2 2 2 4 3 2" xfId="32673" xr:uid="{00000000-0005-0000-0000-00003E5E0000}"/>
    <cellStyle name="Normal 7 4 2 2 2 4 4" xfId="22816" xr:uid="{00000000-0005-0000-0000-00003F5E0000}"/>
    <cellStyle name="Normal 7 4 2 2 2 5" xfId="5562" xr:uid="{00000000-0005-0000-0000-0000405E0000}"/>
    <cellStyle name="Normal 7 4 2 2 2 5 2" xfId="15422" xr:uid="{00000000-0005-0000-0000-0000415E0000}"/>
    <cellStyle name="Normal 7 4 2 2 2 5 2 2" xfId="35137" xr:uid="{00000000-0005-0000-0000-0000425E0000}"/>
    <cellStyle name="Normal 7 4 2 2 2 5 3" xfId="25280" xr:uid="{00000000-0005-0000-0000-0000435E0000}"/>
    <cellStyle name="Normal 7 4 2 2 2 6" xfId="10494" xr:uid="{00000000-0005-0000-0000-0000445E0000}"/>
    <cellStyle name="Normal 7 4 2 2 2 6 2" xfId="30209" xr:uid="{00000000-0005-0000-0000-0000455E0000}"/>
    <cellStyle name="Normal 7 4 2 2 2 7" xfId="20352" xr:uid="{00000000-0005-0000-0000-0000465E0000}"/>
    <cellStyle name="Normal 7 4 2 2 3" xfId="933" xr:uid="{00000000-0005-0000-0000-0000475E0000}"/>
    <cellStyle name="Normal 7 4 2 2 3 2" xfId="2169" xr:uid="{00000000-0005-0000-0000-0000485E0000}"/>
    <cellStyle name="Normal 7 4 2 2 3 2 2" xfId="4636" xr:uid="{00000000-0005-0000-0000-0000495E0000}"/>
    <cellStyle name="Normal 7 4 2 2 3 2 2 2" xfId="9568" xr:uid="{00000000-0005-0000-0000-00004A5E0000}"/>
    <cellStyle name="Normal 7 4 2 2 3 2 2 2 2" xfId="19428" xr:uid="{00000000-0005-0000-0000-00004B5E0000}"/>
    <cellStyle name="Normal 7 4 2 2 3 2 2 2 2 2" xfId="39143" xr:uid="{00000000-0005-0000-0000-00004C5E0000}"/>
    <cellStyle name="Normal 7 4 2 2 3 2 2 2 3" xfId="29286" xr:uid="{00000000-0005-0000-0000-00004D5E0000}"/>
    <cellStyle name="Normal 7 4 2 2 3 2 2 3" xfId="14500" xr:uid="{00000000-0005-0000-0000-00004E5E0000}"/>
    <cellStyle name="Normal 7 4 2 2 3 2 2 3 2" xfId="34215" xr:uid="{00000000-0005-0000-0000-00004F5E0000}"/>
    <cellStyle name="Normal 7 4 2 2 3 2 2 4" xfId="24358" xr:uid="{00000000-0005-0000-0000-0000505E0000}"/>
    <cellStyle name="Normal 7 4 2 2 3 2 3" xfId="7104" xr:uid="{00000000-0005-0000-0000-0000515E0000}"/>
    <cellStyle name="Normal 7 4 2 2 3 2 3 2" xfId="16964" xr:uid="{00000000-0005-0000-0000-0000525E0000}"/>
    <cellStyle name="Normal 7 4 2 2 3 2 3 2 2" xfId="36679" xr:uid="{00000000-0005-0000-0000-0000535E0000}"/>
    <cellStyle name="Normal 7 4 2 2 3 2 3 3" xfId="26822" xr:uid="{00000000-0005-0000-0000-0000545E0000}"/>
    <cellStyle name="Normal 7 4 2 2 3 2 4" xfId="12036" xr:uid="{00000000-0005-0000-0000-0000555E0000}"/>
    <cellStyle name="Normal 7 4 2 2 3 2 4 2" xfId="31751" xr:uid="{00000000-0005-0000-0000-0000565E0000}"/>
    <cellStyle name="Normal 7 4 2 2 3 2 5" xfId="21894" xr:uid="{00000000-0005-0000-0000-0000575E0000}"/>
    <cellStyle name="Normal 7 4 2 2 3 3" xfId="3404" xr:uid="{00000000-0005-0000-0000-0000585E0000}"/>
    <cellStyle name="Normal 7 4 2 2 3 3 2" xfId="8336" xr:uid="{00000000-0005-0000-0000-0000595E0000}"/>
    <cellStyle name="Normal 7 4 2 2 3 3 2 2" xfId="18196" xr:uid="{00000000-0005-0000-0000-00005A5E0000}"/>
    <cellStyle name="Normal 7 4 2 2 3 3 2 2 2" xfId="37911" xr:uid="{00000000-0005-0000-0000-00005B5E0000}"/>
    <cellStyle name="Normal 7 4 2 2 3 3 2 3" xfId="28054" xr:uid="{00000000-0005-0000-0000-00005C5E0000}"/>
    <cellStyle name="Normal 7 4 2 2 3 3 3" xfId="13268" xr:uid="{00000000-0005-0000-0000-00005D5E0000}"/>
    <cellStyle name="Normal 7 4 2 2 3 3 3 2" xfId="32983" xr:uid="{00000000-0005-0000-0000-00005E5E0000}"/>
    <cellStyle name="Normal 7 4 2 2 3 3 4" xfId="23126" xr:uid="{00000000-0005-0000-0000-00005F5E0000}"/>
    <cellStyle name="Normal 7 4 2 2 3 4" xfId="5872" xr:uid="{00000000-0005-0000-0000-0000605E0000}"/>
    <cellStyle name="Normal 7 4 2 2 3 4 2" xfId="15732" xr:uid="{00000000-0005-0000-0000-0000615E0000}"/>
    <cellStyle name="Normal 7 4 2 2 3 4 2 2" xfId="35447" xr:uid="{00000000-0005-0000-0000-0000625E0000}"/>
    <cellStyle name="Normal 7 4 2 2 3 4 3" xfId="25590" xr:uid="{00000000-0005-0000-0000-0000635E0000}"/>
    <cellStyle name="Normal 7 4 2 2 3 5" xfId="10804" xr:uid="{00000000-0005-0000-0000-0000645E0000}"/>
    <cellStyle name="Normal 7 4 2 2 3 5 2" xfId="30519" xr:uid="{00000000-0005-0000-0000-0000655E0000}"/>
    <cellStyle name="Normal 7 4 2 2 3 6" xfId="20662" xr:uid="{00000000-0005-0000-0000-0000665E0000}"/>
    <cellStyle name="Normal 7 4 2 2 4" xfId="1553" xr:uid="{00000000-0005-0000-0000-0000675E0000}"/>
    <cellStyle name="Normal 7 4 2 2 4 2" xfId="4020" xr:uid="{00000000-0005-0000-0000-0000685E0000}"/>
    <cellStyle name="Normal 7 4 2 2 4 2 2" xfId="8952" xr:uid="{00000000-0005-0000-0000-0000695E0000}"/>
    <cellStyle name="Normal 7 4 2 2 4 2 2 2" xfId="18812" xr:uid="{00000000-0005-0000-0000-00006A5E0000}"/>
    <cellStyle name="Normal 7 4 2 2 4 2 2 2 2" xfId="38527" xr:uid="{00000000-0005-0000-0000-00006B5E0000}"/>
    <cellStyle name="Normal 7 4 2 2 4 2 2 3" xfId="28670" xr:uid="{00000000-0005-0000-0000-00006C5E0000}"/>
    <cellStyle name="Normal 7 4 2 2 4 2 3" xfId="13884" xr:uid="{00000000-0005-0000-0000-00006D5E0000}"/>
    <cellStyle name="Normal 7 4 2 2 4 2 3 2" xfId="33599" xr:uid="{00000000-0005-0000-0000-00006E5E0000}"/>
    <cellStyle name="Normal 7 4 2 2 4 2 4" xfId="23742" xr:uid="{00000000-0005-0000-0000-00006F5E0000}"/>
    <cellStyle name="Normal 7 4 2 2 4 3" xfId="6488" xr:uid="{00000000-0005-0000-0000-0000705E0000}"/>
    <cellStyle name="Normal 7 4 2 2 4 3 2" xfId="16348" xr:uid="{00000000-0005-0000-0000-0000715E0000}"/>
    <cellStyle name="Normal 7 4 2 2 4 3 2 2" xfId="36063" xr:uid="{00000000-0005-0000-0000-0000725E0000}"/>
    <cellStyle name="Normal 7 4 2 2 4 3 3" xfId="26206" xr:uid="{00000000-0005-0000-0000-0000735E0000}"/>
    <cellStyle name="Normal 7 4 2 2 4 4" xfId="11420" xr:uid="{00000000-0005-0000-0000-0000745E0000}"/>
    <cellStyle name="Normal 7 4 2 2 4 4 2" xfId="31135" xr:uid="{00000000-0005-0000-0000-0000755E0000}"/>
    <cellStyle name="Normal 7 4 2 2 4 5" xfId="21278" xr:uid="{00000000-0005-0000-0000-0000765E0000}"/>
    <cellStyle name="Normal 7 4 2 2 5" xfId="2788" xr:uid="{00000000-0005-0000-0000-0000775E0000}"/>
    <cellStyle name="Normal 7 4 2 2 5 2" xfId="7720" xr:uid="{00000000-0005-0000-0000-0000785E0000}"/>
    <cellStyle name="Normal 7 4 2 2 5 2 2" xfId="17580" xr:uid="{00000000-0005-0000-0000-0000795E0000}"/>
    <cellStyle name="Normal 7 4 2 2 5 2 2 2" xfId="37295" xr:uid="{00000000-0005-0000-0000-00007A5E0000}"/>
    <cellStyle name="Normal 7 4 2 2 5 2 3" xfId="27438" xr:uid="{00000000-0005-0000-0000-00007B5E0000}"/>
    <cellStyle name="Normal 7 4 2 2 5 3" xfId="12652" xr:uid="{00000000-0005-0000-0000-00007C5E0000}"/>
    <cellStyle name="Normal 7 4 2 2 5 3 2" xfId="32367" xr:uid="{00000000-0005-0000-0000-00007D5E0000}"/>
    <cellStyle name="Normal 7 4 2 2 5 4" xfId="22510" xr:uid="{00000000-0005-0000-0000-00007E5E0000}"/>
    <cellStyle name="Normal 7 4 2 2 6" xfId="5256" xr:uid="{00000000-0005-0000-0000-00007F5E0000}"/>
    <cellStyle name="Normal 7 4 2 2 6 2" xfId="15116" xr:uid="{00000000-0005-0000-0000-0000805E0000}"/>
    <cellStyle name="Normal 7 4 2 2 6 2 2" xfId="34831" xr:uid="{00000000-0005-0000-0000-0000815E0000}"/>
    <cellStyle name="Normal 7 4 2 2 6 3" xfId="24974" xr:uid="{00000000-0005-0000-0000-0000825E0000}"/>
    <cellStyle name="Normal 7 4 2 2 7" xfId="10188" xr:uid="{00000000-0005-0000-0000-0000835E0000}"/>
    <cellStyle name="Normal 7 4 2 2 7 2" xfId="29903" xr:uid="{00000000-0005-0000-0000-0000845E0000}"/>
    <cellStyle name="Normal 7 4 2 2 8" xfId="20046" xr:uid="{00000000-0005-0000-0000-0000855E0000}"/>
    <cellStyle name="Normal 7 4 2 3" xfId="468" xr:uid="{00000000-0005-0000-0000-0000865E0000}"/>
    <cellStyle name="Normal 7 4 2 3 2" xfId="1088" xr:uid="{00000000-0005-0000-0000-0000875E0000}"/>
    <cellStyle name="Normal 7 4 2 3 2 2" xfId="2323" xr:uid="{00000000-0005-0000-0000-0000885E0000}"/>
    <cellStyle name="Normal 7 4 2 3 2 2 2" xfId="4790" xr:uid="{00000000-0005-0000-0000-0000895E0000}"/>
    <cellStyle name="Normal 7 4 2 3 2 2 2 2" xfId="9722" xr:uid="{00000000-0005-0000-0000-00008A5E0000}"/>
    <cellStyle name="Normal 7 4 2 3 2 2 2 2 2" xfId="19582" xr:uid="{00000000-0005-0000-0000-00008B5E0000}"/>
    <cellStyle name="Normal 7 4 2 3 2 2 2 2 2 2" xfId="39297" xr:uid="{00000000-0005-0000-0000-00008C5E0000}"/>
    <cellStyle name="Normal 7 4 2 3 2 2 2 2 3" xfId="29440" xr:uid="{00000000-0005-0000-0000-00008D5E0000}"/>
    <cellStyle name="Normal 7 4 2 3 2 2 2 3" xfId="14654" xr:uid="{00000000-0005-0000-0000-00008E5E0000}"/>
    <cellStyle name="Normal 7 4 2 3 2 2 2 3 2" xfId="34369" xr:uid="{00000000-0005-0000-0000-00008F5E0000}"/>
    <cellStyle name="Normal 7 4 2 3 2 2 2 4" xfId="24512" xr:uid="{00000000-0005-0000-0000-0000905E0000}"/>
    <cellStyle name="Normal 7 4 2 3 2 2 3" xfId="7258" xr:uid="{00000000-0005-0000-0000-0000915E0000}"/>
    <cellStyle name="Normal 7 4 2 3 2 2 3 2" xfId="17118" xr:uid="{00000000-0005-0000-0000-0000925E0000}"/>
    <cellStyle name="Normal 7 4 2 3 2 2 3 2 2" xfId="36833" xr:uid="{00000000-0005-0000-0000-0000935E0000}"/>
    <cellStyle name="Normal 7 4 2 3 2 2 3 3" xfId="26976" xr:uid="{00000000-0005-0000-0000-0000945E0000}"/>
    <cellStyle name="Normal 7 4 2 3 2 2 4" xfId="12190" xr:uid="{00000000-0005-0000-0000-0000955E0000}"/>
    <cellStyle name="Normal 7 4 2 3 2 2 4 2" xfId="31905" xr:uid="{00000000-0005-0000-0000-0000965E0000}"/>
    <cellStyle name="Normal 7 4 2 3 2 2 5" xfId="22048" xr:uid="{00000000-0005-0000-0000-0000975E0000}"/>
    <cellStyle name="Normal 7 4 2 3 2 3" xfId="3558" xr:uid="{00000000-0005-0000-0000-0000985E0000}"/>
    <cellStyle name="Normal 7 4 2 3 2 3 2" xfId="8490" xr:uid="{00000000-0005-0000-0000-0000995E0000}"/>
    <cellStyle name="Normal 7 4 2 3 2 3 2 2" xfId="18350" xr:uid="{00000000-0005-0000-0000-00009A5E0000}"/>
    <cellStyle name="Normal 7 4 2 3 2 3 2 2 2" xfId="38065" xr:uid="{00000000-0005-0000-0000-00009B5E0000}"/>
    <cellStyle name="Normal 7 4 2 3 2 3 2 3" xfId="28208" xr:uid="{00000000-0005-0000-0000-00009C5E0000}"/>
    <cellStyle name="Normal 7 4 2 3 2 3 3" xfId="13422" xr:uid="{00000000-0005-0000-0000-00009D5E0000}"/>
    <cellStyle name="Normal 7 4 2 3 2 3 3 2" xfId="33137" xr:uid="{00000000-0005-0000-0000-00009E5E0000}"/>
    <cellStyle name="Normal 7 4 2 3 2 3 4" xfId="23280" xr:uid="{00000000-0005-0000-0000-00009F5E0000}"/>
    <cellStyle name="Normal 7 4 2 3 2 4" xfId="6026" xr:uid="{00000000-0005-0000-0000-0000A05E0000}"/>
    <cellStyle name="Normal 7 4 2 3 2 4 2" xfId="15886" xr:uid="{00000000-0005-0000-0000-0000A15E0000}"/>
    <cellStyle name="Normal 7 4 2 3 2 4 2 2" xfId="35601" xr:uid="{00000000-0005-0000-0000-0000A25E0000}"/>
    <cellStyle name="Normal 7 4 2 3 2 4 3" xfId="25744" xr:uid="{00000000-0005-0000-0000-0000A35E0000}"/>
    <cellStyle name="Normal 7 4 2 3 2 5" xfId="10958" xr:uid="{00000000-0005-0000-0000-0000A45E0000}"/>
    <cellStyle name="Normal 7 4 2 3 2 5 2" xfId="30673" xr:uid="{00000000-0005-0000-0000-0000A55E0000}"/>
    <cellStyle name="Normal 7 4 2 3 2 6" xfId="20816" xr:uid="{00000000-0005-0000-0000-0000A65E0000}"/>
    <cellStyle name="Normal 7 4 2 3 3" xfId="1707" xr:uid="{00000000-0005-0000-0000-0000A75E0000}"/>
    <cellStyle name="Normal 7 4 2 3 3 2" xfId="4174" xr:uid="{00000000-0005-0000-0000-0000A85E0000}"/>
    <cellStyle name="Normal 7 4 2 3 3 2 2" xfId="9106" xr:uid="{00000000-0005-0000-0000-0000A95E0000}"/>
    <cellStyle name="Normal 7 4 2 3 3 2 2 2" xfId="18966" xr:uid="{00000000-0005-0000-0000-0000AA5E0000}"/>
    <cellStyle name="Normal 7 4 2 3 3 2 2 2 2" xfId="38681" xr:uid="{00000000-0005-0000-0000-0000AB5E0000}"/>
    <cellStyle name="Normal 7 4 2 3 3 2 2 3" xfId="28824" xr:uid="{00000000-0005-0000-0000-0000AC5E0000}"/>
    <cellStyle name="Normal 7 4 2 3 3 2 3" xfId="14038" xr:uid="{00000000-0005-0000-0000-0000AD5E0000}"/>
    <cellStyle name="Normal 7 4 2 3 3 2 3 2" xfId="33753" xr:uid="{00000000-0005-0000-0000-0000AE5E0000}"/>
    <cellStyle name="Normal 7 4 2 3 3 2 4" xfId="23896" xr:uid="{00000000-0005-0000-0000-0000AF5E0000}"/>
    <cellStyle name="Normal 7 4 2 3 3 3" xfId="6642" xr:uid="{00000000-0005-0000-0000-0000B05E0000}"/>
    <cellStyle name="Normal 7 4 2 3 3 3 2" xfId="16502" xr:uid="{00000000-0005-0000-0000-0000B15E0000}"/>
    <cellStyle name="Normal 7 4 2 3 3 3 2 2" xfId="36217" xr:uid="{00000000-0005-0000-0000-0000B25E0000}"/>
    <cellStyle name="Normal 7 4 2 3 3 3 3" xfId="26360" xr:uid="{00000000-0005-0000-0000-0000B35E0000}"/>
    <cellStyle name="Normal 7 4 2 3 3 4" xfId="11574" xr:uid="{00000000-0005-0000-0000-0000B45E0000}"/>
    <cellStyle name="Normal 7 4 2 3 3 4 2" xfId="31289" xr:uid="{00000000-0005-0000-0000-0000B55E0000}"/>
    <cellStyle name="Normal 7 4 2 3 3 5" xfId="21432" xr:uid="{00000000-0005-0000-0000-0000B65E0000}"/>
    <cellStyle name="Normal 7 4 2 3 4" xfId="2942" xr:uid="{00000000-0005-0000-0000-0000B75E0000}"/>
    <cellStyle name="Normal 7 4 2 3 4 2" xfId="7874" xr:uid="{00000000-0005-0000-0000-0000B85E0000}"/>
    <cellStyle name="Normal 7 4 2 3 4 2 2" xfId="17734" xr:uid="{00000000-0005-0000-0000-0000B95E0000}"/>
    <cellStyle name="Normal 7 4 2 3 4 2 2 2" xfId="37449" xr:uid="{00000000-0005-0000-0000-0000BA5E0000}"/>
    <cellStyle name="Normal 7 4 2 3 4 2 3" xfId="27592" xr:uid="{00000000-0005-0000-0000-0000BB5E0000}"/>
    <cellStyle name="Normal 7 4 2 3 4 3" xfId="12806" xr:uid="{00000000-0005-0000-0000-0000BC5E0000}"/>
    <cellStyle name="Normal 7 4 2 3 4 3 2" xfId="32521" xr:uid="{00000000-0005-0000-0000-0000BD5E0000}"/>
    <cellStyle name="Normal 7 4 2 3 4 4" xfId="22664" xr:uid="{00000000-0005-0000-0000-0000BE5E0000}"/>
    <cellStyle name="Normal 7 4 2 3 5" xfId="5410" xr:uid="{00000000-0005-0000-0000-0000BF5E0000}"/>
    <cellStyle name="Normal 7 4 2 3 5 2" xfId="15270" xr:uid="{00000000-0005-0000-0000-0000C05E0000}"/>
    <cellStyle name="Normal 7 4 2 3 5 2 2" xfId="34985" xr:uid="{00000000-0005-0000-0000-0000C15E0000}"/>
    <cellStyle name="Normal 7 4 2 3 5 3" xfId="25128" xr:uid="{00000000-0005-0000-0000-0000C25E0000}"/>
    <cellStyle name="Normal 7 4 2 3 6" xfId="10342" xr:uid="{00000000-0005-0000-0000-0000C35E0000}"/>
    <cellStyle name="Normal 7 4 2 3 6 2" xfId="30057" xr:uid="{00000000-0005-0000-0000-0000C45E0000}"/>
    <cellStyle name="Normal 7 4 2 3 7" xfId="20200" xr:uid="{00000000-0005-0000-0000-0000C55E0000}"/>
    <cellStyle name="Normal 7 4 2 4" xfId="781" xr:uid="{00000000-0005-0000-0000-0000C65E0000}"/>
    <cellStyle name="Normal 7 4 2 4 2" xfId="2017" xr:uid="{00000000-0005-0000-0000-0000C75E0000}"/>
    <cellStyle name="Normal 7 4 2 4 2 2" xfId="4484" xr:uid="{00000000-0005-0000-0000-0000C85E0000}"/>
    <cellStyle name="Normal 7 4 2 4 2 2 2" xfId="9416" xr:uid="{00000000-0005-0000-0000-0000C95E0000}"/>
    <cellStyle name="Normal 7 4 2 4 2 2 2 2" xfId="19276" xr:uid="{00000000-0005-0000-0000-0000CA5E0000}"/>
    <cellStyle name="Normal 7 4 2 4 2 2 2 2 2" xfId="38991" xr:uid="{00000000-0005-0000-0000-0000CB5E0000}"/>
    <cellStyle name="Normal 7 4 2 4 2 2 2 3" xfId="29134" xr:uid="{00000000-0005-0000-0000-0000CC5E0000}"/>
    <cellStyle name="Normal 7 4 2 4 2 2 3" xfId="14348" xr:uid="{00000000-0005-0000-0000-0000CD5E0000}"/>
    <cellStyle name="Normal 7 4 2 4 2 2 3 2" xfId="34063" xr:uid="{00000000-0005-0000-0000-0000CE5E0000}"/>
    <cellStyle name="Normal 7 4 2 4 2 2 4" xfId="24206" xr:uid="{00000000-0005-0000-0000-0000CF5E0000}"/>
    <cellStyle name="Normal 7 4 2 4 2 3" xfId="6952" xr:uid="{00000000-0005-0000-0000-0000D05E0000}"/>
    <cellStyle name="Normal 7 4 2 4 2 3 2" xfId="16812" xr:uid="{00000000-0005-0000-0000-0000D15E0000}"/>
    <cellStyle name="Normal 7 4 2 4 2 3 2 2" xfId="36527" xr:uid="{00000000-0005-0000-0000-0000D25E0000}"/>
    <cellStyle name="Normal 7 4 2 4 2 3 3" xfId="26670" xr:uid="{00000000-0005-0000-0000-0000D35E0000}"/>
    <cellStyle name="Normal 7 4 2 4 2 4" xfId="11884" xr:uid="{00000000-0005-0000-0000-0000D45E0000}"/>
    <cellStyle name="Normal 7 4 2 4 2 4 2" xfId="31599" xr:uid="{00000000-0005-0000-0000-0000D55E0000}"/>
    <cellStyle name="Normal 7 4 2 4 2 5" xfId="21742" xr:uid="{00000000-0005-0000-0000-0000D65E0000}"/>
    <cellStyle name="Normal 7 4 2 4 3" xfId="3252" xr:uid="{00000000-0005-0000-0000-0000D75E0000}"/>
    <cellStyle name="Normal 7 4 2 4 3 2" xfId="8184" xr:uid="{00000000-0005-0000-0000-0000D85E0000}"/>
    <cellStyle name="Normal 7 4 2 4 3 2 2" xfId="18044" xr:uid="{00000000-0005-0000-0000-0000D95E0000}"/>
    <cellStyle name="Normal 7 4 2 4 3 2 2 2" xfId="37759" xr:uid="{00000000-0005-0000-0000-0000DA5E0000}"/>
    <cellStyle name="Normal 7 4 2 4 3 2 3" xfId="27902" xr:uid="{00000000-0005-0000-0000-0000DB5E0000}"/>
    <cellStyle name="Normal 7 4 2 4 3 3" xfId="13116" xr:uid="{00000000-0005-0000-0000-0000DC5E0000}"/>
    <cellStyle name="Normal 7 4 2 4 3 3 2" xfId="32831" xr:uid="{00000000-0005-0000-0000-0000DD5E0000}"/>
    <cellStyle name="Normal 7 4 2 4 3 4" xfId="22974" xr:uid="{00000000-0005-0000-0000-0000DE5E0000}"/>
    <cellStyle name="Normal 7 4 2 4 4" xfId="5720" xr:uid="{00000000-0005-0000-0000-0000DF5E0000}"/>
    <cellStyle name="Normal 7 4 2 4 4 2" xfId="15580" xr:uid="{00000000-0005-0000-0000-0000E05E0000}"/>
    <cellStyle name="Normal 7 4 2 4 4 2 2" xfId="35295" xr:uid="{00000000-0005-0000-0000-0000E15E0000}"/>
    <cellStyle name="Normal 7 4 2 4 4 3" xfId="25438" xr:uid="{00000000-0005-0000-0000-0000E25E0000}"/>
    <cellStyle name="Normal 7 4 2 4 5" xfId="10652" xr:uid="{00000000-0005-0000-0000-0000E35E0000}"/>
    <cellStyle name="Normal 7 4 2 4 5 2" xfId="30367" xr:uid="{00000000-0005-0000-0000-0000E45E0000}"/>
    <cellStyle name="Normal 7 4 2 4 6" xfId="20510" xr:uid="{00000000-0005-0000-0000-0000E55E0000}"/>
    <cellStyle name="Normal 7 4 2 5" xfId="1401" xr:uid="{00000000-0005-0000-0000-0000E65E0000}"/>
    <cellStyle name="Normal 7 4 2 5 2" xfId="3868" xr:uid="{00000000-0005-0000-0000-0000E75E0000}"/>
    <cellStyle name="Normal 7 4 2 5 2 2" xfId="8800" xr:uid="{00000000-0005-0000-0000-0000E85E0000}"/>
    <cellStyle name="Normal 7 4 2 5 2 2 2" xfId="18660" xr:uid="{00000000-0005-0000-0000-0000E95E0000}"/>
    <cellStyle name="Normal 7 4 2 5 2 2 2 2" xfId="38375" xr:uid="{00000000-0005-0000-0000-0000EA5E0000}"/>
    <cellStyle name="Normal 7 4 2 5 2 2 3" xfId="28518" xr:uid="{00000000-0005-0000-0000-0000EB5E0000}"/>
    <cellStyle name="Normal 7 4 2 5 2 3" xfId="13732" xr:uid="{00000000-0005-0000-0000-0000EC5E0000}"/>
    <cellStyle name="Normal 7 4 2 5 2 3 2" xfId="33447" xr:uid="{00000000-0005-0000-0000-0000ED5E0000}"/>
    <cellStyle name="Normal 7 4 2 5 2 4" xfId="23590" xr:uid="{00000000-0005-0000-0000-0000EE5E0000}"/>
    <cellStyle name="Normal 7 4 2 5 3" xfId="6336" xr:uid="{00000000-0005-0000-0000-0000EF5E0000}"/>
    <cellStyle name="Normal 7 4 2 5 3 2" xfId="16196" xr:uid="{00000000-0005-0000-0000-0000F05E0000}"/>
    <cellStyle name="Normal 7 4 2 5 3 2 2" xfId="35911" xr:uid="{00000000-0005-0000-0000-0000F15E0000}"/>
    <cellStyle name="Normal 7 4 2 5 3 3" xfId="26054" xr:uid="{00000000-0005-0000-0000-0000F25E0000}"/>
    <cellStyle name="Normal 7 4 2 5 4" xfId="11268" xr:uid="{00000000-0005-0000-0000-0000F35E0000}"/>
    <cellStyle name="Normal 7 4 2 5 4 2" xfId="30983" xr:uid="{00000000-0005-0000-0000-0000F45E0000}"/>
    <cellStyle name="Normal 7 4 2 5 5" xfId="21126" xr:uid="{00000000-0005-0000-0000-0000F55E0000}"/>
    <cellStyle name="Normal 7 4 2 6" xfId="2636" xr:uid="{00000000-0005-0000-0000-0000F65E0000}"/>
    <cellStyle name="Normal 7 4 2 6 2" xfId="7568" xr:uid="{00000000-0005-0000-0000-0000F75E0000}"/>
    <cellStyle name="Normal 7 4 2 6 2 2" xfId="17428" xr:uid="{00000000-0005-0000-0000-0000F85E0000}"/>
    <cellStyle name="Normal 7 4 2 6 2 2 2" xfId="37143" xr:uid="{00000000-0005-0000-0000-0000F95E0000}"/>
    <cellStyle name="Normal 7 4 2 6 2 3" xfId="27286" xr:uid="{00000000-0005-0000-0000-0000FA5E0000}"/>
    <cellStyle name="Normal 7 4 2 6 3" xfId="12500" xr:uid="{00000000-0005-0000-0000-0000FB5E0000}"/>
    <cellStyle name="Normal 7 4 2 6 3 2" xfId="32215" xr:uid="{00000000-0005-0000-0000-0000FC5E0000}"/>
    <cellStyle name="Normal 7 4 2 6 4" xfId="22358" xr:uid="{00000000-0005-0000-0000-0000FD5E0000}"/>
    <cellStyle name="Normal 7 4 2 7" xfId="5104" xr:uid="{00000000-0005-0000-0000-0000FE5E0000}"/>
    <cellStyle name="Normal 7 4 2 7 2" xfId="14964" xr:uid="{00000000-0005-0000-0000-0000FF5E0000}"/>
    <cellStyle name="Normal 7 4 2 7 2 2" xfId="34679" xr:uid="{00000000-0005-0000-0000-0000005F0000}"/>
    <cellStyle name="Normal 7 4 2 7 3" xfId="24822" xr:uid="{00000000-0005-0000-0000-0000015F0000}"/>
    <cellStyle name="Normal 7 4 2 8" xfId="10036" xr:uid="{00000000-0005-0000-0000-0000025F0000}"/>
    <cellStyle name="Normal 7 4 2 8 2" xfId="29751" xr:uid="{00000000-0005-0000-0000-0000035F0000}"/>
    <cellStyle name="Normal 7 4 2 9" xfId="19894" xr:uid="{00000000-0005-0000-0000-0000045F0000}"/>
    <cellStyle name="Normal 7 4 3" xfId="230" xr:uid="{00000000-0005-0000-0000-0000055F0000}"/>
    <cellStyle name="Normal 7 4 3 2" xfId="544" xr:uid="{00000000-0005-0000-0000-0000065F0000}"/>
    <cellStyle name="Normal 7 4 3 2 2" xfId="1164" xr:uid="{00000000-0005-0000-0000-0000075F0000}"/>
    <cellStyle name="Normal 7 4 3 2 2 2" xfId="2399" xr:uid="{00000000-0005-0000-0000-0000085F0000}"/>
    <cellStyle name="Normal 7 4 3 2 2 2 2" xfId="4866" xr:uid="{00000000-0005-0000-0000-0000095F0000}"/>
    <cellStyle name="Normal 7 4 3 2 2 2 2 2" xfId="9798" xr:uid="{00000000-0005-0000-0000-00000A5F0000}"/>
    <cellStyle name="Normal 7 4 3 2 2 2 2 2 2" xfId="19658" xr:uid="{00000000-0005-0000-0000-00000B5F0000}"/>
    <cellStyle name="Normal 7 4 3 2 2 2 2 2 2 2" xfId="39373" xr:uid="{00000000-0005-0000-0000-00000C5F0000}"/>
    <cellStyle name="Normal 7 4 3 2 2 2 2 2 3" xfId="29516" xr:uid="{00000000-0005-0000-0000-00000D5F0000}"/>
    <cellStyle name="Normal 7 4 3 2 2 2 2 3" xfId="14730" xr:uid="{00000000-0005-0000-0000-00000E5F0000}"/>
    <cellStyle name="Normal 7 4 3 2 2 2 2 3 2" xfId="34445" xr:uid="{00000000-0005-0000-0000-00000F5F0000}"/>
    <cellStyle name="Normal 7 4 3 2 2 2 2 4" xfId="24588" xr:uid="{00000000-0005-0000-0000-0000105F0000}"/>
    <cellStyle name="Normal 7 4 3 2 2 2 3" xfId="7334" xr:uid="{00000000-0005-0000-0000-0000115F0000}"/>
    <cellStyle name="Normal 7 4 3 2 2 2 3 2" xfId="17194" xr:uid="{00000000-0005-0000-0000-0000125F0000}"/>
    <cellStyle name="Normal 7 4 3 2 2 2 3 2 2" xfId="36909" xr:uid="{00000000-0005-0000-0000-0000135F0000}"/>
    <cellStyle name="Normal 7 4 3 2 2 2 3 3" xfId="27052" xr:uid="{00000000-0005-0000-0000-0000145F0000}"/>
    <cellStyle name="Normal 7 4 3 2 2 2 4" xfId="12266" xr:uid="{00000000-0005-0000-0000-0000155F0000}"/>
    <cellStyle name="Normal 7 4 3 2 2 2 4 2" xfId="31981" xr:uid="{00000000-0005-0000-0000-0000165F0000}"/>
    <cellStyle name="Normal 7 4 3 2 2 2 5" xfId="22124" xr:uid="{00000000-0005-0000-0000-0000175F0000}"/>
    <cellStyle name="Normal 7 4 3 2 2 3" xfId="3634" xr:uid="{00000000-0005-0000-0000-0000185F0000}"/>
    <cellStyle name="Normal 7 4 3 2 2 3 2" xfId="8566" xr:uid="{00000000-0005-0000-0000-0000195F0000}"/>
    <cellStyle name="Normal 7 4 3 2 2 3 2 2" xfId="18426" xr:uid="{00000000-0005-0000-0000-00001A5F0000}"/>
    <cellStyle name="Normal 7 4 3 2 2 3 2 2 2" xfId="38141" xr:uid="{00000000-0005-0000-0000-00001B5F0000}"/>
    <cellStyle name="Normal 7 4 3 2 2 3 2 3" xfId="28284" xr:uid="{00000000-0005-0000-0000-00001C5F0000}"/>
    <cellStyle name="Normal 7 4 3 2 2 3 3" xfId="13498" xr:uid="{00000000-0005-0000-0000-00001D5F0000}"/>
    <cellStyle name="Normal 7 4 3 2 2 3 3 2" xfId="33213" xr:uid="{00000000-0005-0000-0000-00001E5F0000}"/>
    <cellStyle name="Normal 7 4 3 2 2 3 4" xfId="23356" xr:uid="{00000000-0005-0000-0000-00001F5F0000}"/>
    <cellStyle name="Normal 7 4 3 2 2 4" xfId="6102" xr:uid="{00000000-0005-0000-0000-0000205F0000}"/>
    <cellStyle name="Normal 7 4 3 2 2 4 2" xfId="15962" xr:uid="{00000000-0005-0000-0000-0000215F0000}"/>
    <cellStyle name="Normal 7 4 3 2 2 4 2 2" xfId="35677" xr:uid="{00000000-0005-0000-0000-0000225F0000}"/>
    <cellStyle name="Normal 7 4 3 2 2 4 3" xfId="25820" xr:uid="{00000000-0005-0000-0000-0000235F0000}"/>
    <cellStyle name="Normal 7 4 3 2 2 5" xfId="11034" xr:uid="{00000000-0005-0000-0000-0000245F0000}"/>
    <cellStyle name="Normal 7 4 3 2 2 5 2" xfId="30749" xr:uid="{00000000-0005-0000-0000-0000255F0000}"/>
    <cellStyle name="Normal 7 4 3 2 2 6" xfId="20892" xr:uid="{00000000-0005-0000-0000-0000265F0000}"/>
    <cellStyle name="Normal 7 4 3 2 3" xfId="1783" xr:uid="{00000000-0005-0000-0000-0000275F0000}"/>
    <cellStyle name="Normal 7 4 3 2 3 2" xfId="4250" xr:uid="{00000000-0005-0000-0000-0000285F0000}"/>
    <cellStyle name="Normal 7 4 3 2 3 2 2" xfId="9182" xr:uid="{00000000-0005-0000-0000-0000295F0000}"/>
    <cellStyle name="Normal 7 4 3 2 3 2 2 2" xfId="19042" xr:uid="{00000000-0005-0000-0000-00002A5F0000}"/>
    <cellStyle name="Normal 7 4 3 2 3 2 2 2 2" xfId="38757" xr:uid="{00000000-0005-0000-0000-00002B5F0000}"/>
    <cellStyle name="Normal 7 4 3 2 3 2 2 3" xfId="28900" xr:uid="{00000000-0005-0000-0000-00002C5F0000}"/>
    <cellStyle name="Normal 7 4 3 2 3 2 3" xfId="14114" xr:uid="{00000000-0005-0000-0000-00002D5F0000}"/>
    <cellStyle name="Normal 7 4 3 2 3 2 3 2" xfId="33829" xr:uid="{00000000-0005-0000-0000-00002E5F0000}"/>
    <cellStyle name="Normal 7 4 3 2 3 2 4" xfId="23972" xr:uid="{00000000-0005-0000-0000-00002F5F0000}"/>
    <cellStyle name="Normal 7 4 3 2 3 3" xfId="6718" xr:uid="{00000000-0005-0000-0000-0000305F0000}"/>
    <cellStyle name="Normal 7 4 3 2 3 3 2" xfId="16578" xr:uid="{00000000-0005-0000-0000-0000315F0000}"/>
    <cellStyle name="Normal 7 4 3 2 3 3 2 2" xfId="36293" xr:uid="{00000000-0005-0000-0000-0000325F0000}"/>
    <cellStyle name="Normal 7 4 3 2 3 3 3" xfId="26436" xr:uid="{00000000-0005-0000-0000-0000335F0000}"/>
    <cellStyle name="Normal 7 4 3 2 3 4" xfId="11650" xr:uid="{00000000-0005-0000-0000-0000345F0000}"/>
    <cellStyle name="Normal 7 4 3 2 3 4 2" xfId="31365" xr:uid="{00000000-0005-0000-0000-0000355F0000}"/>
    <cellStyle name="Normal 7 4 3 2 3 5" xfId="21508" xr:uid="{00000000-0005-0000-0000-0000365F0000}"/>
    <cellStyle name="Normal 7 4 3 2 4" xfId="3018" xr:uid="{00000000-0005-0000-0000-0000375F0000}"/>
    <cellStyle name="Normal 7 4 3 2 4 2" xfId="7950" xr:uid="{00000000-0005-0000-0000-0000385F0000}"/>
    <cellStyle name="Normal 7 4 3 2 4 2 2" xfId="17810" xr:uid="{00000000-0005-0000-0000-0000395F0000}"/>
    <cellStyle name="Normal 7 4 3 2 4 2 2 2" xfId="37525" xr:uid="{00000000-0005-0000-0000-00003A5F0000}"/>
    <cellStyle name="Normal 7 4 3 2 4 2 3" xfId="27668" xr:uid="{00000000-0005-0000-0000-00003B5F0000}"/>
    <cellStyle name="Normal 7 4 3 2 4 3" xfId="12882" xr:uid="{00000000-0005-0000-0000-00003C5F0000}"/>
    <cellStyle name="Normal 7 4 3 2 4 3 2" xfId="32597" xr:uid="{00000000-0005-0000-0000-00003D5F0000}"/>
    <cellStyle name="Normal 7 4 3 2 4 4" xfId="22740" xr:uid="{00000000-0005-0000-0000-00003E5F0000}"/>
    <cellStyle name="Normal 7 4 3 2 5" xfId="5486" xr:uid="{00000000-0005-0000-0000-00003F5F0000}"/>
    <cellStyle name="Normal 7 4 3 2 5 2" xfId="15346" xr:uid="{00000000-0005-0000-0000-0000405F0000}"/>
    <cellStyle name="Normal 7 4 3 2 5 2 2" xfId="35061" xr:uid="{00000000-0005-0000-0000-0000415F0000}"/>
    <cellStyle name="Normal 7 4 3 2 5 3" xfId="25204" xr:uid="{00000000-0005-0000-0000-0000425F0000}"/>
    <cellStyle name="Normal 7 4 3 2 6" xfId="10418" xr:uid="{00000000-0005-0000-0000-0000435F0000}"/>
    <cellStyle name="Normal 7 4 3 2 6 2" xfId="30133" xr:uid="{00000000-0005-0000-0000-0000445F0000}"/>
    <cellStyle name="Normal 7 4 3 2 7" xfId="20276" xr:uid="{00000000-0005-0000-0000-0000455F0000}"/>
    <cellStyle name="Normal 7 4 3 3" xfId="857" xr:uid="{00000000-0005-0000-0000-0000465F0000}"/>
    <cellStyle name="Normal 7 4 3 3 2" xfId="2093" xr:uid="{00000000-0005-0000-0000-0000475F0000}"/>
    <cellStyle name="Normal 7 4 3 3 2 2" xfId="4560" xr:uid="{00000000-0005-0000-0000-0000485F0000}"/>
    <cellStyle name="Normal 7 4 3 3 2 2 2" xfId="9492" xr:uid="{00000000-0005-0000-0000-0000495F0000}"/>
    <cellStyle name="Normal 7 4 3 3 2 2 2 2" xfId="19352" xr:uid="{00000000-0005-0000-0000-00004A5F0000}"/>
    <cellStyle name="Normal 7 4 3 3 2 2 2 2 2" xfId="39067" xr:uid="{00000000-0005-0000-0000-00004B5F0000}"/>
    <cellStyle name="Normal 7 4 3 3 2 2 2 3" xfId="29210" xr:uid="{00000000-0005-0000-0000-00004C5F0000}"/>
    <cellStyle name="Normal 7 4 3 3 2 2 3" xfId="14424" xr:uid="{00000000-0005-0000-0000-00004D5F0000}"/>
    <cellStyle name="Normal 7 4 3 3 2 2 3 2" xfId="34139" xr:uid="{00000000-0005-0000-0000-00004E5F0000}"/>
    <cellStyle name="Normal 7 4 3 3 2 2 4" xfId="24282" xr:uid="{00000000-0005-0000-0000-00004F5F0000}"/>
    <cellStyle name="Normal 7 4 3 3 2 3" xfId="7028" xr:uid="{00000000-0005-0000-0000-0000505F0000}"/>
    <cellStyle name="Normal 7 4 3 3 2 3 2" xfId="16888" xr:uid="{00000000-0005-0000-0000-0000515F0000}"/>
    <cellStyle name="Normal 7 4 3 3 2 3 2 2" xfId="36603" xr:uid="{00000000-0005-0000-0000-0000525F0000}"/>
    <cellStyle name="Normal 7 4 3 3 2 3 3" xfId="26746" xr:uid="{00000000-0005-0000-0000-0000535F0000}"/>
    <cellStyle name="Normal 7 4 3 3 2 4" xfId="11960" xr:uid="{00000000-0005-0000-0000-0000545F0000}"/>
    <cellStyle name="Normal 7 4 3 3 2 4 2" xfId="31675" xr:uid="{00000000-0005-0000-0000-0000555F0000}"/>
    <cellStyle name="Normal 7 4 3 3 2 5" xfId="21818" xr:uid="{00000000-0005-0000-0000-0000565F0000}"/>
    <cellStyle name="Normal 7 4 3 3 3" xfId="3328" xr:uid="{00000000-0005-0000-0000-0000575F0000}"/>
    <cellStyle name="Normal 7 4 3 3 3 2" xfId="8260" xr:uid="{00000000-0005-0000-0000-0000585F0000}"/>
    <cellStyle name="Normal 7 4 3 3 3 2 2" xfId="18120" xr:uid="{00000000-0005-0000-0000-0000595F0000}"/>
    <cellStyle name="Normal 7 4 3 3 3 2 2 2" xfId="37835" xr:uid="{00000000-0005-0000-0000-00005A5F0000}"/>
    <cellStyle name="Normal 7 4 3 3 3 2 3" xfId="27978" xr:uid="{00000000-0005-0000-0000-00005B5F0000}"/>
    <cellStyle name="Normal 7 4 3 3 3 3" xfId="13192" xr:uid="{00000000-0005-0000-0000-00005C5F0000}"/>
    <cellStyle name="Normal 7 4 3 3 3 3 2" xfId="32907" xr:uid="{00000000-0005-0000-0000-00005D5F0000}"/>
    <cellStyle name="Normal 7 4 3 3 3 4" xfId="23050" xr:uid="{00000000-0005-0000-0000-00005E5F0000}"/>
    <cellStyle name="Normal 7 4 3 3 4" xfId="5796" xr:uid="{00000000-0005-0000-0000-00005F5F0000}"/>
    <cellStyle name="Normal 7 4 3 3 4 2" xfId="15656" xr:uid="{00000000-0005-0000-0000-0000605F0000}"/>
    <cellStyle name="Normal 7 4 3 3 4 2 2" xfId="35371" xr:uid="{00000000-0005-0000-0000-0000615F0000}"/>
    <cellStyle name="Normal 7 4 3 3 4 3" xfId="25514" xr:uid="{00000000-0005-0000-0000-0000625F0000}"/>
    <cellStyle name="Normal 7 4 3 3 5" xfId="10728" xr:uid="{00000000-0005-0000-0000-0000635F0000}"/>
    <cellStyle name="Normal 7 4 3 3 5 2" xfId="30443" xr:uid="{00000000-0005-0000-0000-0000645F0000}"/>
    <cellStyle name="Normal 7 4 3 3 6" xfId="20586" xr:uid="{00000000-0005-0000-0000-0000655F0000}"/>
    <cellStyle name="Normal 7 4 3 4" xfId="1477" xr:uid="{00000000-0005-0000-0000-0000665F0000}"/>
    <cellStyle name="Normal 7 4 3 4 2" xfId="3944" xr:uid="{00000000-0005-0000-0000-0000675F0000}"/>
    <cellStyle name="Normal 7 4 3 4 2 2" xfId="8876" xr:uid="{00000000-0005-0000-0000-0000685F0000}"/>
    <cellStyle name="Normal 7 4 3 4 2 2 2" xfId="18736" xr:uid="{00000000-0005-0000-0000-0000695F0000}"/>
    <cellStyle name="Normal 7 4 3 4 2 2 2 2" xfId="38451" xr:uid="{00000000-0005-0000-0000-00006A5F0000}"/>
    <cellStyle name="Normal 7 4 3 4 2 2 3" xfId="28594" xr:uid="{00000000-0005-0000-0000-00006B5F0000}"/>
    <cellStyle name="Normal 7 4 3 4 2 3" xfId="13808" xr:uid="{00000000-0005-0000-0000-00006C5F0000}"/>
    <cellStyle name="Normal 7 4 3 4 2 3 2" xfId="33523" xr:uid="{00000000-0005-0000-0000-00006D5F0000}"/>
    <cellStyle name="Normal 7 4 3 4 2 4" xfId="23666" xr:uid="{00000000-0005-0000-0000-00006E5F0000}"/>
    <cellStyle name="Normal 7 4 3 4 3" xfId="6412" xr:uid="{00000000-0005-0000-0000-00006F5F0000}"/>
    <cellStyle name="Normal 7 4 3 4 3 2" xfId="16272" xr:uid="{00000000-0005-0000-0000-0000705F0000}"/>
    <cellStyle name="Normal 7 4 3 4 3 2 2" xfId="35987" xr:uid="{00000000-0005-0000-0000-0000715F0000}"/>
    <cellStyle name="Normal 7 4 3 4 3 3" xfId="26130" xr:uid="{00000000-0005-0000-0000-0000725F0000}"/>
    <cellStyle name="Normal 7 4 3 4 4" xfId="11344" xr:uid="{00000000-0005-0000-0000-0000735F0000}"/>
    <cellStyle name="Normal 7 4 3 4 4 2" xfId="31059" xr:uid="{00000000-0005-0000-0000-0000745F0000}"/>
    <cellStyle name="Normal 7 4 3 4 5" xfId="21202" xr:uid="{00000000-0005-0000-0000-0000755F0000}"/>
    <cellStyle name="Normal 7 4 3 5" xfId="2712" xr:uid="{00000000-0005-0000-0000-0000765F0000}"/>
    <cellStyle name="Normal 7 4 3 5 2" xfId="7644" xr:uid="{00000000-0005-0000-0000-0000775F0000}"/>
    <cellStyle name="Normal 7 4 3 5 2 2" xfId="17504" xr:uid="{00000000-0005-0000-0000-0000785F0000}"/>
    <cellStyle name="Normal 7 4 3 5 2 2 2" xfId="37219" xr:uid="{00000000-0005-0000-0000-0000795F0000}"/>
    <cellStyle name="Normal 7 4 3 5 2 3" xfId="27362" xr:uid="{00000000-0005-0000-0000-00007A5F0000}"/>
    <cellStyle name="Normal 7 4 3 5 3" xfId="12576" xr:uid="{00000000-0005-0000-0000-00007B5F0000}"/>
    <cellStyle name="Normal 7 4 3 5 3 2" xfId="32291" xr:uid="{00000000-0005-0000-0000-00007C5F0000}"/>
    <cellStyle name="Normal 7 4 3 5 4" xfId="22434" xr:uid="{00000000-0005-0000-0000-00007D5F0000}"/>
    <cellStyle name="Normal 7 4 3 6" xfId="5180" xr:uid="{00000000-0005-0000-0000-00007E5F0000}"/>
    <cellStyle name="Normal 7 4 3 6 2" xfId="15040" xr:uid="{00000000-0005-0000-0000-00007F5F0000}"/>
    <cellStyle name="Normal 7 4 3 6 2 2" xfId="34755" xr:uid="{00000000-0005-0000-0000-0000805F0000}"/>
    <cellStyle name="Normal 7 4 3 6 3" xfId="24898" xr:uid="{00000000-0005-0000-0000-0000815F0000}"/>
    <cellStyle name="Normal 7 4 3 7" xfId="10112" xr:uid="{00000000-0005-0000-0000-0000825F0000}"/>
    <cellStyle name="Normal 7 4 3 7 2" xfId="29827" xr:uid="{00000000-0005-0000-0000-0000835F0000}"/>
    <cellStyle name="Normal 7 4 3 8" xfId="19970" xr:uid="{00000000-0005-0000-0000-0000845F0000}"/>
    <cellStyle name="Normal 7 4 4" xfId="392" xr:uid="{00000000-0005-0000-0000-0000855F0000}"/>
    <cellStyle name="Normal 7 4 4 2" xfId="1012" xr:uid="{00000000-0005-0000-0000-0000865F0000}"/>
    <cellStyle name="Normal 7 4 4 2 2" xfId="2247" xr:uid="{00000000-0005-0000-0000-0000875F0000}"/>
    <cellStyle name="Normal 7 4 4 2 2 2" xfId="4714" xr:uid="{00000000-0005-0000-0000-0000885F0000}"/>
    <cellStyle name="Normal 7 4 4 2 2 2 2" xfId="9646" xr:uid="{00000000-0005-0000-0000-0000895F0000}"/>
    <cellStyle name="Normal 7 4 4 2 2 2 2 2" xfId="19506" xr:uid="{00000000-0005-0000-0000-00008A5F0000}"/>
    <cellStyle name="Normal 7 4 4 2 2 2 2 2 2" xfId="39221" xr:uid="{00000000-0005-0000-0000-00008B5F0000}"/>
    <cellStyle name="Normal 7 4 4 2 2 2 2 3" xfId="29364" xr:uid="{00000000-0005-0000-0000-00008C5F0000}"/>
    <cellStyle name="Normal 7 4 4 2 2 2 3" xfId="14578" xr:uid="{00000000-0005-0000-0000-00008D5F0000}"/>
    <cellStyle name="Normal 7 4 4 2 2 2 3 2" xfId="34293" xr:uid="{00000000-0005-0000-0000-00008E5F0000}"/>
    <cellStyle name="Normal 7 4 4 2 2 2 4" xfId="24436" xr:uid="{00000000-0005-0000-0000-00008F5F0000}"/>
    <cellStyle name="Normal 7 4 4 2 2 3" xfId="7182" xr:uid="{00000000-0005-0000-0000-0000905F0000}"/>
    <cellStyle name="Normal 7 4 4 2 2 3 2" xfId="17042" xr:uid="{00000000-0005-0000-0000-0000915F0000}"/>
    <cellStyle name="Normal 7 4 4 2 2 3 2 2" xfId="36757" xr:uid="{00000000-0005-0000-0000-0000925F0000}"/>
    <cellStyle name="Normal 7 4 4 2 2 3 3" xfId="26900" xr:uid="{00000000-0005-0000-0000-0000935F0000}"/>
    <cellStyle name="Normal 7 4 4 2 2 4" xfId="12114" xr:uid="{00000000-0005-0000-0000-0000945F0000}"/>
    <cellStyle name="Normal 7 4 4 2 2 4 2" xfId="31829" xr:uid="{00000000-0005-0000-0000-0000955F0000}"/>
    <cellStyle name="Normal 7 4 4 2 2 5" xfId="21972" xr:uid="{00000000-0005-0000-0000-0000965F0000}"/>
    <cellStyle name="Normal 7 4 4 2 3" xfId="3482" xr:uid="{00000000-0005-0000-0000-0000975F0000}"/>
    <cellStyle name="Normal 7 4 4 2 3 2" xfId="8414" xr:uid="{00000000-0005-0000-0000-0000985F0000}"/>
    <cellStyle name="Normal 7 4 4 2 3 2 2" xfId="18274" xr:uid="{00000000-0005-0000-0000-0000995F0000}"/>
    <cellStyle name="Normal 7 4 4 2 3 2 2 2" xfId="37989" xr:uid="{00000000-0005-0000-0000-00009A5F0000}"/>
    <cellStyle name="Normal 7 4 4 2 3 2 3" xfId="28132" xr:uid="{00000000-0005-0000-0000-00009B5F0000}"/>
    <cellStyle name="Normal 7 4 4 2 3 3" xfId="13346" xr:uid="{00000000-0005-0000-0000-00009C5F0000}"/>
    <cellStyle name="Normal 7 4 4 2 3 3 2" xfId="33061" xr:uid="{00000000-0005-0000-0000-00009D5F0000}"/>
    <cellStyle name="Normal 7 4 4 2 3 4" xfId="23204" xr:uid="{00000000-0005-0000-0000-00009E5F0000}"/>
    <cellStyle name="Normal 7 4 4 2 4" xfId="5950" xr:uid="{00000000-0005-0000-0000-00009F5F0000}"/>
    <cellStyle name="Normal 7 4 4 2 4 2" xfId="15810" xr:uid="{00000000-0005-0000-0000-0000A05F0000}"/>
    <cellStyle name="Normal 7 4 4 2 4 2 2" xfId="35525" xr:uid="{00000000-0005-0000-0000-0000A15F0000}"/>
    <cellStyle name="Normal 7 4 4 2 4 3" xfId="25668" xr:uid="{00000000-0005-0000-0000-0000A25F0000}"/>
    <cellStyle name="Normal 7 4 4 2 5" xfId="10882" xr:uid="{00000000-0005-0000-0000-0000A35F0000}"/>
    <cellStyle name="Normal 7 4 4 2 5 2" xfId="30597" xr:uid="{00000000-0005-0000-0000-0000A45F0000}"/>
    <cellStyle name="Normal 7 4 4 2 6" xfId="20740" xr:uid="{00000000-0005-0000-0000-0000A55F0000}"/>
    <cellStyle name="Normal 7 4 4 3" xfId="1631" xr:uid="{00000000-0005-0000-0000-0000A65F0000}"/>
    <cellStyle name="Normal 7 4 4 3 2" xfId="4098" xr:uid="{00000000-0005-0000-0000-0000A75F0000}"/>
    <cellStyle name="Normal 7 4 4 3 2 2" xfId="9030" xr:uid="{00000000-0005-0000-0000-0000A85F0000}"/>
    <cellStyle name="Normal 7 4 4 3 2 2 2" xfId="18890" xr:uid="{00000000-0005-0000-0000-0000A95F0000}"/>
    <cellStyle name="Normal 7 4 4 3 2 2 2 2" xfId="38605" xr:uid="{00000000-0005-0000-0000-0000AA5F0000}"/>
    <cellStyle name="Normal 7 4 4 3 2 2 3" xfId="28748" xr:uid="{00000000-0005-0000-0000-0000AB5F0000}"/>
    <cellStyle name="Normal 7 4 4 3 2 3" xfId="13962" xr:uid="{00000000-0005-0000-0000-0000AC5F0000}"/>
    <cellStyle name="Normal 7 4 4 3 2 3 2" xfId="33677" xr:uid="{00000000-0005-0000-0000-0000AD5F0000}"/>
    <cellStyle name="Normal 7 4 4 3 2 4" xfId="23820" xr:uid="{00000000-0005-0000-0000-0000AE5F0000}"/>
    <cellStyle name="Normal 7 4 4 3 3" xfId="6566" xr:uid="{00000000-0005-0000-0000-0000AF5F0000}"/>
    <cellStyle name="Normal 7 4 4 3 3 2" xfId="16426" xr:uid="{00000000-0005-0000-0000-0000B05F0000}"/>
    <cellStyle name="Normal 7 4 4 3 3 2 2" xfId="36141" xr:uid="{00000000-0005-0000-0000-0000B15F0000}"/>
    <cellStyle name="Normal 7 4 4 3 3 3" xfId="26284" xr:uid="{00000000-0005-0000-0000-0000B25F0000}"/>
    <cellStyle name="Normal 7 4 4 3 4" xfId="11498" xr:uid="{00000000-0005-0000-0000-0000B35F0000}"/>
    <cellStyle name="Normal 7 4 4 3 4 2" xfId="31213" xr:uid="{00000000-0005-0000-0000-0000B45F0000}"/>
    <cellStyle name="Normal 7 4 4 3 5" xfId="21356" xr:uid="{00000000-0005-0000-0000-0000B55F0000}"/>
    <cellStyle name="Normal 7 4 4 4" xfId="2866" xr:uid="{00000000-0005-0000-0000-0000B65F0000}"/>
    <cellStyle name="Normal 7 4 4 4 2" xfId="7798" xr:uid="{00000000-0005-0000-0000-0000B75F0000}"/>
    <cellStyle name="Normal 7 4 4 4 2 2" xfId="17658" xr:uid="{00000000-0005-0000-0000-0000B85F0000}"/>
    <cellStyle name="Normal 7 4 4 4 2 2 2" xfId="37373" xr:uid="{00000000-0005-0000-0000-0000B95F0000}"/>
    <cellStyle name="Normal 7 4 4 4 2 3" xfId="27516" xr:uid="{00000000-0005-0000-0000-0000BA5F0000}"/>
    <cellStyle name="Normal 7 4 4 4 3" xfId="12730" xr:uid="{00000000-0005-0000-0000-0000BB5F0000}"/>
    <cellStyle name="Normal 7 4 4 4 3 2" xfId="32445" xr:uid="{00000000-0005-0000-0000-0000BC5F0000}"/>
    <cellStyle name="Normal 7 4 4 4 4" xfId="22588" xr:uid="{00000000-0005-0000-0000-0000BD5F0000}"/>
    <cellStyle name="Normal 7 4 4 5" xfId="5334" xr:uid="{00000000-0005-0000-0000-0000BE5F0000}"/>
    <cellStyle name="Normal 7 4 4 5 2" xfId="15194" xr:uid="{00000000-0005-0000-0000-0000BF5F0000}"/>
    <cellStyle name="Normal 7 4 4 5 2 2" xfId="34909" xr:uid="{00000000-0005-0000-0000-0000C05F0000}"/>
    <cellStyle name="Normal 7 4 4 5 3" xfId="25052" xr:uid="{00000000-0005-0000-0000-0000C15F0000}"/>
    <cellStyle name="Normal 7 4 4 6" xfId="10266" xr:uid="{00000000-0005-0000-0000-0000C25F0000}"/>
    <cellStyle name="Normal 7 4 4 6 2" xfId="29981" xr:uid="{00000000-0005-0000-0000-0000C35F0000}"/>
    <cellStyle name="Normal 7 4 4 7" xfId="20124" xr:uid="{00000000-0005-0000-0000-0000C45F0000}"/>
    <cellStyle name="Normal 7 4 5" xfId="705" xr:uid="{00000000-0005-0000-0000-0000C55F0000}"/>
    <cellStyle name="Normal 7 4 5 2" xfId="1941" xr:uid="{00000000-0005-0000-0000-0000C65F0000}"/>
    <cellStyle name="Normal 7 4 5 2 2" xfId="4408" xr:uid="{00000000-0005-0000-0000-0000C75F0000}"/>
    <cellStyle name="Normal 7 4 5 2 2 2" xfId="9340" xr:uid="{00000000-0005-0000-0000-0000C85F0000}"/>
    <cellStyle name="Normal 7 4 5 2 2 2 2" xfId="19200" xr:uid="{00000000-0005-0000-0000-0000C95F0000}"/>
    <cellStyle name="Normal 7 4 5 2 2 2 2 2" xfId="38915" xr:uid="{00000000-0005-0000-0000-0000CA5F0000}"/>
    <cellStyle name="Normal 7 4 5 2 2 2 3" xfId="29058" xr:uid="{00000000-0005-0000-0000-0000CB5F0000}"/>
    <cellStyle name="Normal 7 4 5 2 2 3" xfId="14272" xr:uid="{00000000-0005-0000-0000-0000CC5F0000}"/>
    <cellStyle name="Normal 7 4 5 2 2 3 2" xfId="33987" xr:uid="{00000000-0005-0000-0000-0000CD5F0000}"/>
    <cellStyle name="Normal 7 4 5 2 2 4" xfId="24130" xr:uid="{00000000-0005-0000-0000-0000CE5F0000}"/>
    <cellStyle name="Normal 7 4 5 2 3" xfId="6876" xr:uid="{00000000-0005-0000-0000-0000CF5F0000}"/>
    <cellStyle name="Normal 7 4 5 2 3 2" xfId="16736" xr:uid="{00000000-0005-0000-0000-0000D05F0000}"/>
    <cellStyle name="Normal 7 4 5 2 3 2 2" xfId="36451" xr:uid="{00000000-0005-0000-0000-0000D15F0000}"/>
    <cellStyle name="Normal 7 4 5 2 3 3" xfId="26594" xr:uid="{00000000-0005-0000-0000-0000D25F0000}"/>
    <cellStyle name="Normal 7 4 5 2 4" xfId="11808" xr:uid="{00000000-0005-0000-0000-0000D35F0000}"/>
    <cellStyle name="Normal 7 4 5 2 4 2" xfId="31523" xr:uid="{00000000-0005-0000-0000-0000D45F0000}"/>
    <cellStyle name="Normal 7 4 5 2 5" xfId="21666" xr:uid="{00000000-0005-0000-0000-0000D55F0000}"/>
    <cellStyle name="Normal 7 4 5 3" xfId="3176" xr:uid="{00000000-0005-0000-0000-0000D65F0000}"/>
    <cellStyle name="Normal 7 4 5 3 2" xfId="8108" xr:uid="{00000000-0005-0000-0000-0000D75F0000}"/>
    <cellStyle name="Normal 7 4 5 3 2 2" xfId="17968" xr:uid="{00000000-0005-0000-0000-0000D85F0000}"/>
    <cellStyle name="Normal 7 4 5 3 2 2 2" xfId="37683" xr:uid="{00000000-0005-0000-0000-0000D95F0000}"/>
    <cellStyle name="Normal 7 4 5 3 2 3" xfId="27826" xr:uid="{00000000-0005-0000-0000-0000DA5F0000}"/>
    <cellStyle name="Normal 7 4 5 3 3" xfId="13040" xr:uid="{00000000-0005-0000-0000-0000DB5F0000}"/>
    <cellStyle name="Normal 7 4 5 3 3 2" xfId="32755" xr:uid="{00000000-0005-0000-0000-0000DC5F0000}"/>
    <cellStyle name="Normal 7 4 5 3 4" xfId="22898" xr:uid="{00000000-0005-0000-0000-0000DD5F0000}"/>
    <cellStyle name="Normal 7 4 5 4" xfId="5644" xr:uid="{00000000-0005-0000-0000-0000DE5F0000}"/>
    <cellStyle name="Normal 7 4 5 4 2" xfId="15504" xr:uid="{00000000-0005-0000-0000-0000DF5F0000}"/>
    <cellStyle name="Normal 7 4 5 4 2 2" xfId="35219" xr:uid="{00000000-0005-0000-0000-0000E05F0000}"/>
    <cellStyle name="Normal 7 4 5 4 3" xfId="25362" xr:uid="{00000000-0005-0000-0000-0000E15F0000}"/>
    <cellStyle name="Normal 7 4 5 5" xfId="10576" xr:uid="{00000000-0005-0000-0000-0000E25F0000}"/>
    <cellStyle name="Normal 7 4 5 5 2" xfId="30291" xr:uid="{00000000-0005-0000-0000-0000E35F0000}"/>
    <cellStyle name="Normal 7 4 5 6" xfId="20434" xr:uid="{00000000-0005-0000-0000-0000E45F0000}"/>
    <cellStyle name="Normal 7 4 6" xfId="1325" xr:uid="{00000000-0005-0000-0000-0000E55F0000}"/>
    <cellStyle name="Normal 7 4 6 2" xfId="3792" xr:uid="{00000000-0005-0000-0000-0000E65F0000}"/>
    <cellStyle name="Normal 7 4 6 2 2" xfId="8724" xr:uid="{00000000-0005-0000-0000-0000E75F0000}"/>
    <cellStyle name="Normal 7 4 6 2 2 2" xfId="18584" xr:uid="{00000000-0005-0000-0000-0000E85F0000}"/>
    <cellStyle name="Normal 7 4 6 2 2 2 2" xfId="38299" xr:uid="{00000000-0005-0000-0000-0000E95F0000}"/>
    <cellStyle name="Normal 7 4 6 2 2 3" xfId="28442" xr:uid="{00000000-0005-0000-0000-0000EA5F0000}"/>
    <cellStyle name="Normal 7 4 6 2 3" xfId="13656" xr:uid="{00000000-0005-0000-0000-0000EB5F0000}"/>
    <cellStyle name="Normal 7 4 6 2 3 2" xfId="33371" xr:uid="{00000000-0005-0000-0000-0000EC5F0000}"/>
    <cellStyle name="Normal 7 4 6 2 4" xfId="23514" xr:uid="{00000000-0005-0000-0000-0000ED5F0000}"/>
    <cellStyle name="Normal 7 4 6 3" xfId="6260" xr:uid="{00000000-0005-0000-0000-0000EE5F0000}"/>
    <cellStyle name="Normal 7 4 6 3 2" xfId="16120" xr:uid="{00000000-0005-0000-0000-0000EF5F0000}"/>
    <cellStyle name="Normal 7 4 6 3 2 2" xfId="35835" xr:uid="{00000000-0005-0000-0000-0000F05F0000}"/>
    <cellStyle name="Normal 7 4 6 3 3" xfId="25978" xr:uid="{00000000-0005-0000-0000-0000F15F0000}"/>
    <cellStyle name="Normal 7 4 6 4" xfId="11192" xr:uid="{00000000-0005-0000-0000-0000F25F0000}"/>
    <cellStyle name="Normal 7 4 6 4 2" xfId="30907" xr:uid="{00000000-0005-0000-0000-0000F35F0000}"/>
    <cellStyle name="Normal 7 4 6 5" xfId="21050" xr:uid="{00000000-0005-0000-0000-0000F45F0000}"/>
    <cellStyle name="Normal 7 4 7" xfId="2560" xr:uid="{00000000-0005-0000-0000-0000F55F0000}"/>
    <cellStyle name="Normal 7 4 7 2" xfId="7492" xr:uid="{00000000-0005-0000-0000-0000F65F0000}"/>
    <cellStyle name="Normal 7 4 7 2 2" xfId="17352" xr:uid="{00000000-0005-0000-0000-0000F75F0000}"/>
    <cellStyle name="Normal 7 4 7 2 2 2" xfId="37067" xr:uid="{00000000-0005-0000-0000-0000F85F0000}"/>
    <cellStyle name="Normal 7 4 7 2 3" xfId="27210" xr:uid="{00000000-0005-0000-0000-0000F95F0000}"/>
    <cellStyle name="Normal 7 4 7 3" xfId="12424" xr:uid="{00000000-0005-0000-0000-0000FA5F0000}"/>
    <cellStyle name="Normal 7 4 7 3 2" xfId="32139" xr:uid="{00000000-0005-0000-0000-0000FB5F0000}"/>
    <cellStyle name="Normal 7 4 7 4" xfId="22282" xr:uid="{00000000-0005-0000-0000-0000FC5F0000}"/>
    <cellStyle name="Normal 7 4 8" xfId="5028" xr:uid="{00000000-0005-0000-0000-0000FD5F0000}"/>
    <cellStyle name="Normal 7 4 8 2" xfId="14888" xr:uid="{00000000-0005-0000-0000-0000FE5F0000}"/>
    <cellStyle name="Normal 7 4 8 2 2" xfId="34603" xr:uid="{00000000-0005-0000-0000-0000FF5F0000}"/>
    <cellStyle name="Normal 7 4 8 3" xfId="24746" xr:uid="{00000000-0005-0000-0000-000000600000}"/>
    <cellStyle name="Normal 7 4 9" xfId="9960" xr:uid="{00000000-0005-0000-0000-000001600000}"/>
    <cellStyle name="Normal 7 4 9 2" xfId="29675" xr:uid="{00000000-0005-0000-0000-000002600000}"/>
    <cellStyle name="Normal 7 5" xfId="111" xr:uid="{00000000-0005-0000-0000-000003600000}"/>
    <cellStyle name="Normal 7 5 2" xfId="268" xr:uid="{00000000-0005-0000-0000-000004600000}"/>
    <cellStyle name="Normal 7 5 2 2" xfId="582" xr:uid="{00000000-0005-0000-0000-000005600000}"/>
    <cellStyle name="Normal 7 5 2 2 2" xfId="1202" xr:uid="{00000000-0005-0000-0000-000006600000}"/>
    <cellStyle name="Normal 7 5 2 2 2 2" xfId="2437" xr:uid="{00000000-0005-0000-0000-000007600000}"/>
    <cellStyle name="Normal 7 5 2 2 2 2 2" xfId="4904" xr:uid="{00000000-0005-0000-0000-000008600000}"/>
    <cellStyle name="Normal 7 5 2 2 2 2 2 2" xfId="9836" xr:uid="{00000000-0005-0000-0000-000009600000}"/>
    <cellStyle name="Normal 7 5 2 2 2 2 2 2 2" xfId="19696" xr:uid="{00000000-0005-0000-0000-00000A600000}"/>
    <cellStyle name="Normal 7 5 2 2 2 2 2 2 2 2" xfId="39411" xr:uid="{00000000-0005-0000-0000-00000B600000}"/>
    <cellStyle name="Normal 7 5 2 2 2 2 2 2 3" xfId="29554" xr:uid="{00000000-0005-0000-0000-00000C600000}"/>
    <cellStyle name="Normal 7 5 2 2 2 2 2 3" xfId="14768" xr:uid="{00000000-0005-0000-0000-00000D600000}"/>
    <cellStyle name="Normal 7 5 2 2 2 2 2 3 2" xfId="34483" xr:uid="{00000000-0005-0000-0000-00000E600000}"/>
    <cellStyle name="Normal 7 5 2 2 2 2 2 4" xfId="24626" xr:uid="{00000000-0005-0000-0000-00000F600000}"/>
    <cellStyle name="Normal 7 5 2 2 2 2 3" xfId="7372" xr:uid="{00000000-0005-0000-0000-000010600000}"/>
    <cellStyle name="Normal 7 5 2 2 2 2 3 2" xfId="17232" xr:uid="{00000000-0005-0000-0000-000011600000}"/>
    <cellStyle name="Normal 7 5 2 2 2 2 3 2 2" xfId="36947" xr:uid="{00000000-0005-0000-0000-000012600000}"/>
    <cellStyle name="Normal 7 5 2 2 2 2 3 3" xfId="27090" xr:uid="{00000000-0005-0000-0000-000013600000}"/>
    <cellStyle name="Normal 7 5 2 2 2 2 4" xfId="12304" xr:uid="{00000000-0005-0000-0000-000014600000}"/>
    <cellStyle name="Normal 7 5 2 2 2 2 4 2" xfId="32019" xr:uid="{00000000-0005-0000-0000-000015600000}"/>
    <cellStyle name="Normal 7 5 2 2 2 2 5" xfId="22162" xr:uid="{00000000-0005-0000-0000-000016600000}"/>
    <cellStyle name="Normal 7 5 2 2 2 3" xfId="3672" xr:uid="{00000000-0005-0000-0000-000017600000}"/>
    <cellStyle name="Normal 7 5 2 2 2 3 2" xfId="8604" xr:uid="{00000000-0005-0000-0000-000018600000}"/>
    <cellStyle name="Normal 7 5 2 2 2 3 2 2" xfId="18464" xr:uid="{00000000-0005-0000-0000-000019600000}"/>
    <cellStyle name="Normal 7 5 2 2 2 3 2 2 2" xfId="38179" xr:uid="{00000000-0005-0000-0000-00001A600000}"/>
    <cellStyle name="Normal 7 5 2 2 2 3 2 3" xfId="28322" xr:uid="{00000000-0005-0000-0000-00001B600000}"/>
    <cellStyle name="Normal 7 5 2 2 2 3 3" xfId="13536" xr:uid="{00000000-0005-0000-0000-00001C600000}"/>
    <cellStyle name="Normal 7 5 2 2 2 3 3 2" xfId="33251" xr:uid="{00000000-0005-0000-0000-00001D600000}"/>
    <cellStyle name="Normal 7 5 2 2 2 3 4" xfId="23394" xr:uid="{00000000-0005-0000-0000-00001E600000}"/>
    <cellStyle name="Normal 7 5 2 2 2 4" xfId="6140" xr:uid="{00000000-0005-0000-0000-00001F600000}"/>
    <cellStyle name="Normal 7 5 2 2 2 4 2" xfId="16000" xr:uid="{00000000-0005-0000-0000-000020600000}"/>
    <cellStyle name="Normal 7 5 2 2 2 4 2 2" xfId="35715" xr:uid="{00000000-0005-0000-0000-000021600000}"/>
    <cellStyle name="Normal 7 5 2 2 2 4 3" xfId="25858" xr:uid="{00000000-0005-0000-0000-000022600000}"/>
    <cellStyle name="Normal 7 5 2 2 2 5" xfId="11072" xr:uid="{00000000-0005-0000-0000-000023600000}"/>
    <cellStyle name="Normal 7 5 2 2 2 5 2" xfId="30787" xr:uid="{00000000-0005-0000-0000-000024600000}"/>
    <cellStyle name="Normal 7 5 2 2 2 6" xfId="20930" xr:uid="{00000000-0005-0000-0000-000025600000}"/>
    <cellStyle name="Normal 7 5 2 2 3" xfId="1821" xr:uid="{00000000-0005-0000-0000-000026600000}"/>
    <cellStyle name="Normal 7 5 2 2 3 2" xfId="4288" xr:uid="{00000000-0005-0000-0000-000027600000}"/>
    <cellStyle name="Normal 7 5 2 2 3 2 2" xfId="9220" xr:uid="{00000000-0005-0000-0000-000028600000}"/>
    <cellStyle name="Normal 7 5 2 2 3 2 2 2" xfId="19080" xr:uid="{00000000-0005-0000-0000-000029600000}"/>
    <cellStyle name="Normal 7 5 2 2 3 2 2 2 2" xfId="38795" xr:uid="{00000000-0005-0000-0000-00002A600000}"/>
    <cellStyle name="Normal 7 5 2 2 3 2 2 3" xfId="28938" xr:uid="{00000000-0005-0000-0000-00002B600000}"/>
    <cellStyle name="Normal 7 5 2 2 3 2 3" xfId="14152" xr:uid="{00000000-0005-0000-0000-00002C600000}"/>
    <cellStyle name="Normal 7 5 2 2 3 2 3 2" xfId="33867" xr:uid="{00000000-0005-0000-0000-00002D600000}"/>
    <cellStyle name="Normal 7 5 2 2 3 2 4" xfId="24010" xr:uid="{00000000-0005-0000-0000-00002E600000}"/>
    <cellStyle name="Normal 7 5 2 2 3 3" xfId="6756" xr:uid="{00000000-0005-0000-0000-00002F600000}"/>
    <cellStyle name="Normal 7 5 2 2 3 3 2" xfId="16616" xr:uid="{00000000-0005-0000-0000-000030600000}"/>
    <cellStyle name="Normal 7 5 2 2 3 3 2 2" xfId="36331" xr:uid="{00000000-0005-0000-0000-000031600000}"/>
    <cellStyle name="Normal 7 5 2 2 3 3 3" xfId="26474" xr:uid="{00000000-0005-0000-0000-000032600000}"/>
    <cellStyle name="Normal 7 5 2 2 3 4" xfId="11688" xr:uid="{00000000-0005-0000-0000-000033600000}"/>
    <cellStyle name="Normal 7 5 2 2 3 4 2" xfId="31403" xr:uid="{00000000-0005-0000-0000-000034600000}"/>
    <cellStyle name="Normal 7 5 2 2 3 5" xfId="21546" xr:uid="{00000000-0005-0000-0000-000035600000}"/>
    <cellStyle name="Normal 7 5 2 2 4" xfId="3056" xr:uid="{00000000-0005-0000-0000-000036600000}"/>
    <cellStyle name="Normal 7 5 2 2 4 2" xfId="7988" xr:uid="{00000000-0005-0000-0000-000037600000}"/>
    <cellStyle name="Normal 7 5 2 2 4 2 2" xfId="17848" xr:uid="{00000000-0005-0000-0000-000038600000}"/>
    <cellStyle name="Normal 7 5 2 2 4 2 2 2" xfId="37563" xr:uid="{00000000-0005-0000-0000-000039600000}"/>
    <cellStyle name="Normal 7 5 2 2 4 2 3" xfId="27706" xr:uid="{00000000-0005-0000-0000-00003A600000}"/>
    <cellStyle name="Normal 7 5 2 2 4 3" xfId="12920" xr:uid="{00000000-0005-0000-0000-00003B600000}"/>
    <cellStyle name="Normal 7 5 2 2 4 3 2" xfId="32635" xr:uid="{00000000-0005-0000-0000-00003C600000}"/>
    <cellStyle name="Normal 7 5 2 2 4 4" xfId="22778" xr:uid="{00000000-0005-0000-0000-00003D600000}"/>
    <cellStyle name="Normal 7 5 2 2 5" xfId="5524" xr:uid="{00000000-0005-0000-0000-00003E600000}"/>
    <cellStyle name="Normal 7 5 2 2 5 2" xfId="15384" xr:uid="{00000000-0005-0000-0000-00003F600000}"/>
    <cellStyle name="Normal 7 5 2 2 5 2 2" xfId="35099" xr:uid="{00000000-0005-0000-0000-000040600000}"/>
    <cellStyle name="Normal 7 5 2 2 5 3" xfId="25242" xr:uid="{00000000-0005-0000-0000-000041600000}"/>
    <cellStyle name="Normal 7 5 2 2 6" xfId="10456" xr:uid="{00000000-0005-0000-0000-000042600000}"/>
    <cellStyle name="Normal 7 5 2 2 6 2" xfId="30171" xr:uid="{00000000-0005-0000-0000-000043600000}"/>
    <cellStyle name="Normal 7 5 2 2 7" xfId="20314" xr:uid="{00000000-0005-0000-0000-000044600000}"/>
    <cellStyle name="Normal 7 5 2 3" xfId="895" xr:uid="{00000000-0005-0000-0000-000045600000}"/>
    <cellStyle name="Normal 7 5 2 3 2" xfId="2131" xr:uid="{00000000-0005-0000-0000-000046600000}"/>
    <cellStyle name="Normal 7 5 2 3 2 2" xfId="4598" xr:uid="{00000000-0005-0000-0000-000047600000}"/>
    <cellStyle name="Normal 7 5 2 3 2 2 2" xfId="9530" xr:uid="{00000000-0005-0000-0000-000048600000}"/>
    <cellStyle name="Normal 7 5 2 3 2 2 2 2" xfId="19390" xr:uid="{00000000-0005-0000-0000-000049600000}"/>
    <cellStyle name="Normal 7 5 2 3 2 2 2 2 2" xfId="39105" xr:uid="{00000000-0005-0000-0000-00004A600000}"/>
    <cellStyle name="Normal 7 5 2 3 2 2 2 3" xfId="29248" xr:uid="{00000000-0005-0000-0000-00004B600000}"/>
    <cellStyle name="Normal 7 5 2 3 2 2 3" xfId="14462" xr:uid="{00000000-0005-0000-0000-00004C600000}"/>
    <cellStyle name="Normal 7 5 2 3 2 2 3 2" xfId="34177" xr:uid="{00000000-0005-0000-0000-00004D600000}"/>
    <cellStyle name="Normal 7 5 2 3 2 2 4" xfId="24320" xr:uid="{00000000-0005-0000-0000-00004E600000}"/>
    <cellStyle name="Normal 7 5 2 3 2 3" xfId="7066" xr:uid="{00000000-0005-0000-0000-00004F600000}"/>
    <cellStyle name="Normal 7 5 2 3 2 3 2" xfId="16926" xr:uid="{00000000-0005-0000-0000-000050600000}"/>
    <cellStyle name="Normal 7 5 2 3 2 3 2 2" xfId="36641" xr:uid="{00000000-0005-0000-0000-000051600000}"/>
    <cellStyle name="Normal 7 5 2 3 2 3 3" xfId="26784" xr:uid="{00000000-0005-0000-0000-000052600000}"/>
    <cellStyle name="Normal 7 5 2 3 2 4" xfId="11998" xr:uid="{00000000-0005-0000-0000-000053600000}"/>
    <cellStyle name="Normal 7 5 2 3 2 4 2" xfId="31713" xr:uid="{00000000-0005-0000-0000-000054600000}"/>
    <cellStyle name="Normal 7 5 2 3 2 5" xfId="21856" xr:uid="{00000000-0005-0000-0000-000055600000}"/>
    <cellStyle name="Normal 7 5 2 3 3" xfId="3366" xr:uid="{00000000-0005-0000-0000-000056600000}"/>
    <cellStyle name="Normal 7 5 2 3 3 2" xfId="8298" xr:uid="{00000000-0005-0000-0000-000057600000}"/>
    <cellStyle name="Normal 7 5 2 3 3 2 2" xfId="18158" xr:uid="{00000000-0005-0000-0000-000058600000}"/>
    <cellStyle name="Normal 7 5 2 3 3 2 2 2" xfId="37873" xr:uid="{00000000-0005-0000-0000-000059600000}"/>
    <cellStyle name="Normal 7 5 2 3 3 2 3" xfId="28016" xr:uid="{00000000-0005-0000-0000-00005A600000}"/>
    <cellStyle name="Normal 7 5 2 3 3 3" xfId="13230" xr:uid="{00000000-0005-0000-0000-00005B600000}"/>
    <cellStyle name="Normal 7 5 2 3 3 3 2" xfId="32945" xr:uid="{00000000-0005-0000-0000-00005C600000}"/>
    <cellStyle name="Normal 7 5 2 3 3 4" xfId="23088" xr:uid="{00000000-0005-0000-0000-00005D600000}"/>
    <cellStyle name="Normal 7 5 2 3 4" xfId="5834" xr:uid="{00000000-0005-0000-0000-00005E600000}"/>
    <cellStyle name="Normal 7 5 2 3 4 2" xfId="15694" xr:uid="{00000000-0005-0000-0000-00005F600000}"/>
    <cellStyle name="Normal 7 5 2 3 4 2 2" xfId="35409" xr:uid="{00000000-0005-0000-0000-000060600000}"/>
    <cellStyle name="Normal 7 5 2 3 4 3" xfId="25552" xr:uid="{00000000-0005-0000-0000-000061600000}"/>
    <cellStyle name="Normal 7 5 2 3 5" xfId="10766" xr:uid="{00000000-0005-0000-0000-000062600000}"/>
    <cellStyle name="Normal 7 5 2 3 5 2" xfId="30481" xr:uid="{00000000-0005-0000-0000-000063600000}"/>
    <cellStyle name="Normal 7 5 2 3 6" xfId="20624" xr:uid="{00000000-0005-0000-0000-000064600000}"/>
    <cellStyle name="Normal 7 5 2 4" xfId="1515" xr:uid="{00000000-0005-0000-0000-000065600000}"/>
    <cellStyle name="Normal 7 5 2 4 2" xfId="3982" xr:uid="{00000000-0005-0000-0000-000066600000}"/>
    <cellStyle name="Normal 7 5 2 4 2 2" xfId="8914" xr:uid="{00000000-0005-0000-0000-000067600000}"/>
    <cellStyle name="Normal 7 5 2 4 2 2 2" xfId="18774" xr:uid="{00000000-0005-0000-0000-000068600000}"/>
    <cellStyle name="Normal 7 5 2 4 2 2 2 2" xfId="38489" xr:uid="{00000000-0005-0000-0000-000069600000}"/>
    <cellStyle name="Normal 7 5 2 4 2 2 3" xfId="28632" xr:uid="{00000000-0005-0000-0000-00006A600000}"/>
    <cellStyle name="Normal 7 5 2 4 2 3" xfId="13846" xr:uid="{00000000-0005-0000-0000-00006B600000}"/>
    <cellStyle name="Normal 7 5 2 4 2 3 2" xfId="33561" xr:uid="{00000000-0005-0000-0000-00006C600000}"/>
    <cellStyle name="Normal 7 5 2 4 2 4" xfId="23704" xr:uid="{00000000-0005-0000-0000-00006D600000}"/>
    <cellStyle name="Normal 7 5 2 4 3" xfId="6450" xr:uid="{00000000-0005-0000-0000-00006E600000}"/>
    <cellStyle name="Normal 7 5 2 4 3 2" xfId="16310" xr:uid="{00000000-0005-0000-0000-00006F600000}"/>
    <cellStyle name="Normal 7 5 2 4 3 2 2" xfId="36025" xr:uid="{00000000-0005-0000-0000-000070600000}"/>
    <cellStyle name="Normal 7 5 2 4 3 3" xfId="26168" xr:uid="{00000000-0005-0000-0000-000071600000}"/>
    <cellStyle name="Normal 7 5 2 4 4" xfId="11382" xr:uid="{00000000-0005-0000-0000-000072600000}"/>
    <cellStyle name="Normal 7 5 2 4 4 2" xfId="31097" xr:uid="{00000000-0005-0000-0000-000073600000}"/>
    <cellStyle name="Normal 7 5 2 4 5" xfId="21240" xr:uid="{00000000-0005-0000-0000-000074600000}"/>
    <cellStyle name="Normal 7 5 2 5" xfId="2750" xr:uid="{00000000-0005-0000-0000-000075600000}"/>
    <cellStyle name="Normal 7 5 2 5 2" xfId="7682" xr:uid="{00000000-0005-0000-0000-000076600000}"/>
    <cellStyle name="Normal 7 5 2 5 2 2" xfId="17542" xr:uid="{00000000-0005-0000-0000-000077600000}"/>
    <cellStyle name="Normal 7 5 2 5 2 2 2" xfId="37257" xr:uid="{00000000-0005-0000-0000-000078600000}"/>
    <cellStyle name="Normal 7 5 2 5 2 3" xfId="27400" xr:uid="{00000000-0005-0000-0000-000079600000}"/>
    <cellStyle name="Normal 7 5 2 5 3" xfId="12614" xr:uid="{00000000-0005-0000-0000-00007A600000}"/>
    <cellStyle name="Normal 7 5 2 5 3 2" xfId="32329" xr:uid="{00000000-0005-0000-0000-00007B600000}"/>
    <cellStyle name="Normal 7 5 2 5 4" xfId="22472" xr:uid="{00000000-0005-0000-0000-00007C600000}"/>
    <cellStyle name="Normal 7 5 2 6" xfId="5218" xr:uid="{00000000-0005-0000-0000-00007D600000}"/>
    <cellStyle name="Normal 7 5 2 6 2" xfId="15078" xr:uid="{00000000-0005-0000-0000-00007E600000}"/>
    <cellStyle name="Normal 7 5 2 6 2 2" xfId="34793" xr:uid="{00000000-0005-0000-0000-00007F600000}"/>
    <cellStyle name="Normal 7 5 2 6 3" xfId="24936" xr:uid="{00000000-0005-0000-0000-000080600000}"/>
    <cellStyle name="Normal 7 5 2 7" xfId="10150" xr:uid="{00000000-0005-0000-0000-000081600000}"/>
    <cellStyle name="Normal 7 5 2 7 2" xfId="29865" xr:uid="{00000000-0005-0000-0000-000082600000}"/>
    <cellStyle name="Normal 7 5 2 8" xfId="20008" xr:uid="{00000000-0005-0000-0000-000083600000}"/>
    <cellStyle name="Normal 7 5 3" xfId="430" xr:uid="{00000000-0005-0000-0000-000084600000}"/>
    <cellStyle name="Normal 7 5 3 2" xfId="1050" xr:uid="{00000000-0005-0000-0000-000085600000}"/>
    <cellStyle name="Normal 7 5 3 2 2" xfId="2285" xr:uid="{00000000-0005-0000-0000-000086600000}"/>
    <cellStyle name="Normal 7 5 3 2 2 2" xfId="4752" xr:uid="{00000000-0005-0000-0000-000087600000}"/>
    <cellStyle name="Normal 7 5 3 2 2 2 2" xfId="9684" xr:uid="{00000000-0005-0000-0000-000088600000}"/>
    <cellStyle name="Normal 7 5 3 2 2 2 2 2" xfId="19544" xr:uid="{00000000-0005-0000-0000-000089600000}"/>
    <cellStyle name="Normal 7 5 3 2 2 2 2 2 2" xfId="39259" xr:uid="{00000000-0005-0000-0000-00008A600000}"/>
    <cellStyle name="Normal 7 5 3 2 2 2 2 3" xfId="29402" xr:uid="{00000000-0005-0000-0000-00008B600000}"/>
    <cellStyle name="Normal 7 5 3 2 2 2 3" xfId="14616" xr:uid="{00000000-0005-0000-0000-00008C600000}"/>
    <cellStyle name="Normal 7 5 3 2 2 2 3 2" xfId="34331" xr:uid="{00000000-0005-0000-0000-00008D600000}"/>
    <cellStyle name="Normal 7 5 3 2 2 2 4" xfId="24474" xr:uid="{00000000-0005-0000-0000-00008E600000}"/>
    <cellStyle name="Normal 7 5 3 2 2 3" xfId="7220" xr:uid="{00000000-0005-0000-0000-00008F600000}"/>
    <cellStyle name="Normal 7 5 3 2 2 3 2" xfId="17080" xr:uid="{00000000-0005-0000-0000-000090600000}"/>
    <cellStyle name="Normal 7 5 3 2 2 3 2 2" xfId="36795" xr:uid="{00000000-0005-0000-0000-000091600000}"/>
    <cellStyle name="Normal 7 5 3 2 2 3 3" xfId="26938" xr:uid="{00000000-0005-0000-0000-000092600000}"/>
    <cellStyle name="Normal 7 5 3 2 2 4" xfId="12152" xr:uid="{00000000-0005-0000-0000-000093600000}"/>
    <cellStyle name="Normal 7 5 3 2 2 4 2" xfId="31867" xr:uid="{00000000-0005-0000-0000-000094600000}"/>
    <cellStyle name="Normal 7 5 3 2 2 5" xfId="22010" xr:uid="{00000000-0005-0000-0000-000095600000}"/>
    <cellStyle name="Normal 7 5 3 2 3" xfId="3520" xr:uid="{00000000-0005-0000-0000-000096600000}"/>
    <cellStyle name="Normal 7 5 3 2 3 2" xfId="8452" xr:uid="{00000000-0005-0000-0000-000097600000}"/>
    <cellStyle name="Normal 7 5 3 2 3 2 2" xfId="18312" xr:uid="{00000000-0005-0000-0000-000098600000}"/>
    <cellStyle name="Normal 7 5 3 2 3 2 2 2" xfId="38027" xr:uid="{00000000-0005-0000-0000-000099600000}"/>
    <cellStyle name="Normal 7 5 3 2 3 2 3" xfId="28170" xr:uid="{00000000-0005-0000-0000-00009A600000}"/>
    <cellStyle name="Normal 7 5 3 2 3 3" xfId="13384" xr:uid="{00000000-0005-0000-0000-00009B600000}"/>
    <cellStyle name="Normal 7 5 3 2 3 3 2" xfId="33099" xr:uid="{00000000-0005-0000-0000-00009C600000}"/>
    <cellStyle name="Normal 7 5 3 2 3 4" xfId="23242" xr:uid="{00000000-0005-0000-0000-00009D600000}"/>
    <cellStyle name="Normal 7 5 3 2 4" xfId="5988" xr:uid="{00000000-0005-0000-0000-00009E600000}"/>
    <cellStyle name="Normal 7 5 3 2 4 2" xfId="15848" xr:uid="{00000000-0005-0000-0000-00009F600000}"/>
    <cellStyle name="Normal 7 5 3 2 4 2 2" xfId="35563" xr:uid="{00000000-0005-0000-0000-0000A0600000}"/>
    <cellStyle name="Normal 7 5 3 2 4 3" xfId="25706" xr:uid="{00000000-0005-0000-0000-0000A1600000}"/>
    <cellStyle name="Normal 7 5 3 2 5" xfId="10920" xr:uid="{00000000-0005-0000-0000-0000A2600000}"/>
    <cellStyle name="Normal 7 5 3 2 5 2" xfId="30635" xr:uid="{00000000-0005-0000-0000-0000A3600000}"/>
    <cellStyle name="Normal 7 5 3 2 6" xfId="20778" xr:uid="{00000000-0005-0000-0000-0000A4600000}"/>
    <cellStyle name="Normal 7 5 3 3" xfId="1669" xr:uid="{00000000-0005-0000-0000-0000A5600000}"/>
    <cellStyle name="Normal 7 5 3 3 2" xfId="4136" xr:uid="{00000000-0005-0000-0000-0000A6600000}"/>
    <cellStyle name="Normal 7 5 3 3 2 2" xfId="9068" xr:uid="{00000000-0005-0000-0000-0000A7600000}"/>
    <cellStyle name="Normal 7 5 3 3 2 2 2" xfId="18928" xr:uid="{00000000-0005-0000-0000-0000A8600000}"/>
    <cellStyle name="Normal 7 5 3 3 2 2 2 2" xfId="38643" xr:uid="{00000000-0005-0000-0000-0000A9600000}"/>
    <cellStyle name="Normal 7 5 3 3 2 2 3" xfId="28786" xr:uid="{00000000-0005-0000-0000-0000AA600000}"/>
    <cellStyle name="Normal 7 5 3 3 2 3" xfId="14000" xr:uid="{00000000-0005-0000-0000-0000AB600000}"/>
    <cellStyle name="Normal 7 5 3 3 2 3 2" xfId="33715" xr:uid="{00000000-0005-0000-0000-0000AC600000}"/>
    <cellStyle name="Normal 7 5 3 3 2 4" xfId="23858" xr:uid="{00000000-0005-0000-0000-0000AD600000}"/>
    <cellStyle name="Normal 7 5 3 3 3" xfId="6604" xr:uid="{00000000-0005-0000-0000-0000AE600000}"/>
    <cellStyle name="Normal 7 5 3 3 3 2" xfId="16464" xr:uid="{00000000-0005-0000-0000-0000AF600000}"/>
    <cellStyle name="Normal 7 5 3 3 3 2 2" xfId="36179" xr:uid="{00000000-0005-0000-0000-0000B0600000}"/>
    <cellStyle name="Normal 7 5 3 3 3 3" xfId="26322" xr:uid="{00000000-0005-0000-0000-0000B1600000}"/>
    <cellStyle name="Normal 7 5 3 3 4" xfId="11536" xr:uid="{00000000-0005-0000-0000-0000B2600000}"/>
    <cellStyle name="Normal 7 5 3 3 4 2" xfId="31251" xr:uid="{00000000-0005-0000-0000-0000B3600000}"/>
    <cellStyle name="Normal 7 5 3 3 5" xfId="21394" xr:uid="{00000000-0005-0000-0000-0000B4600000}"/>
    <cellStyle name="Normal 7 5 3 4" xfId="2904" xr:uid="{00000000-0005-0000-0000-0000B5600000}"/>
    <cellStyle name="Normal 7 5 3 4 2" xfId="7836" xr:uid="{00000000-0005-0000-0000-0000B6600000}"/>
    <cellStyle name="Normal 7 5 3 4 2 2" xfId="17696" xr:uid="{00000000-0005-0000-0000-0000B7600000}"/>
    <cellStyle name="Normal 7 5 3 4 2 2 2" xfId="37411" xr:uid="{00000000-0005-0000-0000-0000B8600000}"/>
    <cellStyle name="Normal 7 5 3 4 2 3" xfId="27554" xr:uid="{00000000-0005-0000-0000-0000B9600000}"/>
    <cellStyle name="Normal 7 5 3 4 3" xfId="12768" xr:uid="{00000000-0005-0000-0000-0000BA600000}"/>
    <cellStyle name="Normal 7 5 3 4 3 2" xfId="32483" xr:uid="{00000000-0005-0000-0000-0000BB600000}"/>
    <cellStyle name="Normal 7 5 3 4 4" xfId="22626" xr:uid="{00000000-0005-0000-0000-0000BC600000}"/>
    <cellStyle name="Normal 7 5 3 5" xfId="5372" xr:uid="{00000000-0005-0000-0000-0000BD600000}"/>
    <cellStyle name="Normal 7 5 3 5 2" xfId="15232" xr:uid="{00000000-0005-0000-0000-0000BE600000}"/>
    <cellStyle name="Normal 7 5 3 5 2 2" xfId="34947" xr:uid="{00000000-0005-0000-0000-0000BF600000}"/>
    <cellStyle name="Normal 7 5 3 5 3" xfId="25090" xr:uid="{00000000-0005-0000-0000-0000C0600000}"/>
    <cellStyle name="Normal 7 5 3 6" xfId="10304" xr:uid="{00000000-0005-0000-0000-0000C1600000}"/>
    <cellStyle name="Normal 7 5 3 6 2" xfId="30019" xr:uid="{00000000-0005-0000-0000-0000C2600000}"/>
    <cellStyle name="Normal 7 5 3 7" xfId="20162" xr:uid="{00000000-0005-0000-0000-0000C3600000}"/>
    <cellStyle name="Normal 7 5 4" xfId="743" xr:uid="{00000000-0005-0000-0000-0000C4600000}"/>
    <cellStyle name="Normal 7 5 4 2" xfId="1979" xr:uid="{00000000-0005-0000-0000-0000C5600000}"/>
    <cellStyle name="Normal 7 5 4 2 2" xfId="4446" xr:uid="{00000000-0005-0000-0000-0000C6600000}"/>
    <cellStyle name="Normal 7 5 4 2 2 2" xfId="9378" xr:uid="{00000000-0005-0000-0000-0000C7600000}"/>
    <cellStyle name="Normal 7 5 4 2 2 2 2" xfId="19238" xr:uid="{00000000-0005-0000-0000-0000C8600000}"/>
    <cellStyle name="Normal 7 5 4 2 2 2 2 2" xfId="38953" xr:uid="{00000000-0005-0000-0000-0000C9600000}"/>
    <cellStyle name="Normal 7 5 4 2 2 2 3" xfId="29096" xr:uid="{00000000-0005-0000-0000-0000CA600000}"/>
    <cellStyle name="Normal 7 5 4 2 2 3" xfId="14310" xr:uid="{00000000-0005-0000-0000-0000CB600000}"/>
    <cellStyle name="Normal 7 5 4 2 2 3 2" xfId="34025" xr:uid="{00000000-0005-0000-0000-0000CC600000}"/>
    <cellStyle name="Normal 7 5 4 2 2 4" xfId="24168" xr:uid="{00000000-0005-0000-0000-0000CD600000}"/>
    <cellStyle name="Normal 7 5 4 2 3" xfId="6914" xr:uid="{00000000-0005-0000-0000-0000CE600000}"/>
    <cellStyle name="Normal 7 5 4 2 3 2" xfId="16774" xr:uid="{00000000-0005-0000-0000-0000CF600000}"/>
    <cellStyle name="Normal 7 5 4 2 3 2 2" xfId="36489" xr:uid="{00000000-0005-0000-0000-0000D0600000}"/>
    <cellStyle name="Normal 7 5 4 2 3 3" xfId="26632" xr:uid="{00000000-0005-0000-0000-0000D1600000}"/>
    <cellStyle name="Normal 7 5 4 2 4" xfId="11846" xr:uid="{00000000-0005-0000-0000-0000D2600000}"/>
    <cellStyle name="Normal 7 5 4 2 4 2" xfId="31561" xr:uid="{00000000-0005-0000-0000-0000D3600000}"/>
    <cellStyle name="Normal 7 5 4 2 5" xfId="21704" xr:uid="{00000000-0005-0000-0000-0000D4600000}"/>
    <cellStyle name="Normal 7 5 4 3" xfId="3214" xr:uid="{00000000-0005-0000-0000-0000D5600000}"/>
    <cellStyle name="Normal 7 5 4 3 2" xfId="8146" xr:uid="{00000000-0005-0000-0000-0000D6600000}"/>
    <cellStyle name="Normal 7 5 4 3 2 2" xfId="18006" xr:uid="{00000000-0005-0000-0000-0000D7600000}"/>
    <cellStyle name="Normal 7 5 4 3 2 2 2" xfId="37721" xr:uid="{00000000-0005-0000-0000-0000D8600000}"/>
    <cellStyle name="Normal 7 5 4 3 2 3" xfId="27864" xr:uid="{00000000-0005-0000-0000-0000D9600000}"/>
    <cellStyle name="Normal 7 5 4 3 3" xfId="13078" xr:uid="{00000000-0005-0000-0000-0000DA600000}"/>
    <cellStyle name="Normal 7 5 4 3 3 2" xfId="32793" xr:uid="{00000000-0005-0000-0000-0000DB600000}"/>
    <cellStyle name="Normal 7 5 4 3 4" xfId="22936" xr:uid="{00000000-0005-0000-0000-0000DC600000}"/>
    <cellStyle name="Normal 7 5 4 4" xfId="5682" xr:uid="{00000000-0005-0000-0000-0000DD600000}"/>
    <cellStyle name="Normal 7 5 4 4 2" xfId="15542" xr:uid="{00000000-0005-0000-0000-0000DE600000}"/>
    <cellStyle name="Normal 7 5 4 4 2 2" xfId="35257" xr:uid="{00000000-0005-0000-0000-0000DF600000}"/>
    <cellStyle name="Normal 7 5 4 4 3" xfId="25400" xr:uid="{00000000-0005-0000-0000-0000E0600000}"/>
    <cellStyle name="Normal 7 5 4 5" xfId="10614" xr:uid="{00000000-0005-0000-0000-0000E1600000}"/>
    <cellStyle name="Normal 7 5 4 5 2" xfId="30329" xr:uid="{00000000-0005-0000-0000-0000E2600000}"/>
    <cellStyle name="Normal 7 5 4 6" xfId="20472" xr:uid="{00000000-0005-0000-0000-0000E3600000}"/>
    <cellStyle name="Normal 7 5 5" xfId="1363" xr:uid="{00000000-0005-0000-0000-0000E4600000}"/>
    <cellStyle name="Normal 7 5 5 2" xfId="3830" xr:uid="{00000000-0005-0000-0000-0000E5600000}"/>
    <cellStyle name="Normal 7 5 5 2 2" xfId="8762" xr:uid="{00000000-0005-0000-0000-0000E6600000}"/>
    <cellStyle name="Normal 7 5 5 2 2 2" xfId="18622" xr:uid="{00000000-0005-0000-0000-0000E7600000}"/>
    <cellStyle name="Normal 7 5 5 2 2 2 2" xfId="38337" xr:uid="{00000000-0005-0000-0000-0000E8600000}"/>
    <cellStyle name="Normal 7 5 5 2 2 3" xfId="28480" xr:uid="{00000000-0005-0000-0000-0000E9600000}"/>
    <cellStyle name="Normal 7 5 5 2 3" xfId="13694" xr:uid="{00000000-0005-0000-0000-0000EA600000}"/>
    <cellStyle name="Normal 7 5 5 2 3 2" xfId="33409" xr:uid="{00000000-0005-0000-0000-0000EB600000}"/>
    <cellStyle name="Normal 7 5 5 2 4" xfId="23552" xr:uid="{00000000-0005-0000-0000-0000EC600000}"/>
    <cellStyle name="Normal 7 5 5 3" xfId="6298" xr:uid="{00000000-0005-0000-0000-0000ED600000}"/>
    <cellStyle name="Normal 7 5 5 3 2" xfId="16158" xr:uid="{00000000-0005-0000-0000-0000EE600000}"/>
    <cellStyle name="Normal 7 5 5 3 2 2" xfId="35873" xr:uid="{00000000-0005-0000-0000-0000EF600000}"/>
    <cellStyle name="Normal 7 5 5 3 3" xfId="26016" xr:uid="{00000000-0005-0000-0000-0000F0600000}"/>
    <cellStyle name="Normal 7 5 5 4" xfId="11230" xr:uid="{00000000-0005-0000-0000-0000F1600000}"/>
    <cellStyle name="Normal 7 5 5 4 2" xfId="30945" xr:uid="{00000000-0005-0000-0000-0000F2600000}"/>
    <cellStyle name="Normal 7 5 5 5" xfId="21088" xr:uid="{00000000-0005-0000-0000-0000F3600000}"/>
    <cellStyle name="Normal 7 5 6" xfId="2598" xr:uid="{00000000-0005-0000-0000-0000F4600000}"/>
    <cellStyle name="Normal 7 5 6 2" xfId="7530" xr:uid="{00000000-0005-0000-0000-0000F5600000}"/>
    <cellStyle name="Normal 7 5 6 2 2" xfId="17390" xr:uid="{00000000-0005-0000-0000-0000F6600000}"/>
    <cellStyle name="Normal 7 5 6 2 2 2" xfId="37105" xr:uid="{00000000-0005-0000-0000-0000F7600000}"/>
    <cellStyle name="Normal 7 5 6 2 3" xfId="27248" xr:uid="{00000000-0005-0000-0000-0000F8600000}"/>
    <cellStyle name="Normal 7 5 6 3" xfId="12462" xr:uid="{00000000-0005-0000-0000-0000F9600000}"/>
    <cellStyle name="Normal 7 5 6 3 2" xfId="32177" xr:uid="{00000000-0005-0000-0000-0000FA600000}"/>
    <cellStyle name="Normal 7 5 6 4" xfId="22320" xr:uid="{00000000-0005-0000-0000-0000FB600000}"/>
    <cellStyle name="Normal 7 5 7" xfId="5066" xr:uid="{00000000-0005-0000-0000-0000FC600000}"/>
    <cellStyle name="Normal 7 5 7 2" xfId="14926" xr:uid="{00000000-0005-0000-0000-0000FD600000}"/>
    <cellStyle name="Normal 7 5 7 2 2" xfId="34641" xr:uid="{00000000-0005-0000-0000-0000FE600000}"/>
    <cellStyle name="Normal 7 5 7 3" xfId="24784" xr:uid="{00000000-0005-0000-0000-0000FF600000}"/>
    <cellStyle name="Normal 7 5 8" xfId="9998" xr:uid="{00000000-0005-0000-0000-000000610000}"/>
    <cellStyle name="Normal 7 5 8 2" xfId="29713" xr:uid="{00000000-0005-0000-0000-000001610000}"/>
    <cellStyle name="Normal 7 5 9" xfId="19856" xr:uid="{00000000-0005-0000-0000-000002610000}"/>
    <cellStyle name="Normal 7 6" xfId="192" xr:uid="{00000000-0005-0000-0000-000003610000}"/>
    <cellStyle name="Normal 7 6 2" xfId="506" xr:uid="{00000000-0005-0000-0000-000004610000}"/>
    <cellStyle name="Normal 7 6 2 2" xfId="1126" xr:uid="{00000000-0005-0000-0000-000005610000}"/>
    <cellStyle name="Normal 7 6 2 2 2" xfId="2361" xr:uid="{00000000-0005-0000-0000-000006610000}"/>
    <cellStyle name="Normal 7 6 2 2 2 2" xfId="4828" xr:uid="{00000000-0005-0000-0000-000007610000}"/>
    <cellStyle name="Normal 7 6 2 2 2 2 2" xfId="9760" xr:uid="{00000000-0005-0000-0000-000008610000}"/>
    <cellStyle name="Normal 7 6 2 2 2 2 2 2" xfId="19620" xr:uid="{00000000-0005-0000-0000-000009610000}"/>
    <cellStyle name="Normal 7 6 2 2 2 2 2 2 2" xfId="39335" xr:uid="{00000000-0005-0000-0000-00000A610000}"/>
    <cellStyle name="Normal 7 6 2 2 2 2 2 3" xfId="29478" xr:uid="{00000000-0005-0000-0000-00000B610000}"/>
    <cellStyle name="Normal 7 6 2 2 2 2 3" xfId="14692" xr:uid="{00000000-0005-0000-0000-00000C610000}"/>
    <cellStyle name="Normal 7 6 2 2 2 2 3 2" xfId="34407" xr:uid="{00000000-0005-0000-0000-00000D610000}"/>
    <cellStyle name="Normal 7 6 2 2 2 2 4" xfId="24550" xr:uid="{00000000-0005-0000-0000-00000E610000}"/>
    <cellStyle name="Normal 7 6 2 2 2 3" xfId="7296" xr:uid="{00000000-0005-0000-0000-00000F610000}"/>
    <cellStyle name="Normal 7 6 2 2 2 3 2" xfId="17156" xr:uid="{00000000-0005-0000-0000-000010610000}"/>
    <cellStyle name="Normal 7 6 2 2 2 3 2 2" xfId="36871" xr:uid="{00000000-0005-0000-0000-000011610000}"/>
    <cellStyle name="Normal 7 6 2 2 2 3 3" xfId="27014" xr:uid="{00000000-0005-0000-0000-000012610000}"/>
    <cellStyle name="Normal 7 6 2 2 2 4" xfId="12228" xr:uid="{00000000-0005-0000-0000-000013610000}"/>
    <cellStyle name="Normal 7 6 2 2 2 4 2" xfId="31943" xr:uid="{00000000-0005-0000-0000-000014610000}"/>
    <cellStyle name="Normal 7 6 2 2 2 5" xfId="22086" xr:uid="{00000000-0005-0000-0000-000015610000}"/>
    <cellStyle name="Normal 7 6 2 2 3" xfId="3596" xr:uid="{00000000-0005-0000-0000-000016610000}"/>
    <cellStyle name="Normal 7 6 2 2 3 2" xfId="8528" xr:uid="{00000000-0005-0000-0000-000017610000}"/>
    <cellStyle name="Normal 7 6 2 2 3 2 2" xfId="18388" xr:uid="{00000000-0005-0000-0000-000018610000}"/>
    <cellStyle name="Normal 7 6 2 2 3 2 2 2" xfId="38103" xr:uid="{00000000-0005-0000-0000-000019610000}"/>
    <cellStyle name="Normal 7 6 2 2 3 2 3" xfId="28246" xr:uid="{00000000-0005-0000-0000-00001A610000}"/>
    <cellStyle name="Normal 7 6 2 2 3 3" xfId="13460" xr:uid="{00000000-0005-0000-0000-00001B610000}"/>
    <cellStyle name="Normal 7 6 2 2 3 3 2" xfId="33175" xr:uid="{00000000-0005-0000-0000-00001C610000}"/>
    <cellStyle name="Normal 7 6 2 2 3 4" xfId="23318" xr:uid="{00000000-0005-0000-0000-00001D610000}"/>
    <cellStyle name="Normal 7 6 2 2 4" xfId="6064" xr:uid="{00000000-0005-0000-0000-00001E610000}"/>
    <cellStyle name="Normal 7 6 2 2 4 2" xfId="15924" xr:uid="{00000000-0005-0000-0000-00001F610000}"/>
    <cellStyle name="Normal 7 6 2 2 4 2 2" xfId="35639" xr:uid="{00000000-0005-0000-0000-000020610000}"/>
    <cellStyle name="Normal 7 6 2 2 4 3" xfId="25782" xr:uid="{00000000-0005-0000-0000-000021610000}"/>
    <cellStyle name="Normal 7 6 2 2 5" xfId="10996" xr:uid="{00000000-0005-0000-0000-000022610000}"/>
    <cellStyle name="Normal 7 6 2 2 5 2" xfId="30711" xr:uid="{00000000-0005-0000-0000-000023610000}"/>
    <cellStyle name="Normal 7 6 2 2 6" xfId="20854" xr:uid="{00000000-0005-0000-0000-000024610000}"/>
    <cellStyle name="Normal 7 6 2 3" xfId="1745" xr:uid="{00000000-0005-0000-0000-000025610000}"/>
    <cellStyle name="Normal 7 6 2 3 2" xfId="4212" xr:uid="{00000000-0005-0000-0000-000026610000}"/>
    <cellStyle name="Normal 7 6 2 3 2 2" xfId="9144" xr:uid="{00000000-0005-0000-0000-000027610000}"/>
    <cellStyle name="Normal 7 6 2 3 2 2 2" xfId="19004" xr:uid="{00000000-0005-0000-0000-000028610000}"/>
    <cellStyle name="Normal 7 6 2 3 2 2 2 2" xfId="38719" xr:uid="{00000000-0005-0000-0000-000029610000}"/>
    <cellStyle name="Normal 7 6 2 3 2 2 3" xfId="28862" xr:uid="{00000000-0005-0000-0000-00002A610000}"/>
    <cellStyle name="Normal 7 6 2 3 2 3" xfId="14076" xr:uid="{00000000-0005-0000-0000-00002B610000}"/>
    <cellStyle name="Normal 7 6 2 3 2 3 2" xfId="33791" xr:uid="{00000000-0005-0000-0000-00002C610000}"/>
    <cellStyle name="Normal 7 6 2 3 2 4" xfId="23934" xr:uid="{00000000-0005-0000-0000-00002D610000}"/>
    <cellStyle name="Normal 7 6 2 3 3" xfId="6680" xr:uid="{00000000-0005-0000-0000-00002E610000}"/>
    <cellStyle name="Normal 7 6 2 3 3 2" xfId="16540" xr:uid="{00000000-0005-0000-0000-00002F610000}"/>
    <cellStyle name="Normal 7 6 2 3 3 2 2" xfId="36255" xr:uid="{00000000-0005-0000-0000-000030610000}"/>
    <cellStyle name="Normal 7 6 2 3 3 3" xfId="26398" xr:uid="{00000000-0005-0000-0000-000031610000}"/>
    <cellStyle name="Normal 7 6 2 3 4" xfId="11612" xr:uid="{00000000-0005-0000-0000-000032610000}"/>
    <cellStyle name="Normal 7 6 2 3 4 2" xfId="31327" xr:uid="{00000000-0005-0000-0000-000033610000}"/>
    <cellStyle name="Normal 7 6 2 3 5" xfId="21470" xr:uid="{00000000-0005-0000-0000-000034610000}"/>
    <cellStyle name="Normal 7 6 2 4" xfId="2980" xr:uid="{00000000-0005-0000-0000-000035610000}"/>
    <cellStyle name="Normal 7 6 2 4 2" xfId="7912" xr:uid="{00000000-0005-0000-0000-000036610000}"/>
    <cellStyle name="Normal 7 6 2 4 2 2" xfId="17772" xr:uid="{00000000-0005-0000-0000-000037610000}"/>
    <cellStyle name="Normal 7 6 2 4 2 2 2" xfId="37487" xr:uid="{00000000-0005-0000-0000-000038610000}"/>
    <cellStyle name="Normal 7 6 2 4 2 3" xfId="27630" xr:uid="{00000000-0005-0000-0000-000039610000}"/>
    <cellStyle name="Normal 7 6 2 4 3" xfId="12844" xr:uid="{00000000-0005-0000-0000-00003A610000}"/>
    <cellStyle name="Normal 7 6 2 4 3 2" xfId="32559" xr:uid="{00000000-0005-0000-0000-00003B610000}"/>
    <cellStyle name="Normal 7 6 2 4 4" xfId="22702" xr:uid="{00000000-0005-0000-0000-00003C610000}"/>
    <cellStyle name="Normal 7 6 2 5" xfId="5448" xr:uid="{00000000-0005-0000-0000-00003D610000}"/>
    <cellStyle name="Normal 7 6 2 5 2" xfId="15308" xr:uid="{00000000-0005-0000-0000-00003E610000}"/>
    <cellStyle name="Normal 7 6 2 5 2 2" xfId="35023" xr:uid="{00000000-0005-0000-0000-00003F610000}"/>
    <cellStyle name="Normal 7 6 2 5 3" xfId="25166" xr:uid="{00000000-0005-0000-0000-000040610000}"/>
    <cellStyle name="Normal 7 6 2 6" xfId="10380" xr:uid="{00000000-0005-0000-0000-000041610000}"/>
    <cellStyle name="Normal 7 6 2 6 2" xfId="30095" xr:uid="{00000000-0005-0000-0000-000042610000}"/>
    <cellStyle name="Normal 7 6 2 7" xfId="20238" xr:uid="{00000000-0005-0000-0000-000043610000}"/>
    <cellStyle name="Normal 7 6 3" xfId="819" xr:uid="{00000000-0005-0000-0000-000044610000}"/>
    <cellStyle name="Normal 7 6 3 2" xfId="2055" xr:uid="{00000000-0005-0000-0000-000045610000}"/>
    <cellStyle name="Normal 7 6 3 2 2" xfId="4522" xr:uid="{00000000-0005-0000-0000-000046610000}"/>
    <cellStyle name="Normal 7 6 3 2 2 2" xfId="9454" xr:uid="{00000000-0005-0000-0000-000047610000}"/>
    <cellStyle name="Normal 7 6 3 2 2 2 2" xfId="19314" xr:uid="{00000000-0005-0000-0000-000048610000}"/>
    <cellStyle name="Normal 7 6 3 2 2 2 2 2" xfId="39029" xr:uid="{00000000-0005-0000-0000-000049610000}"/>
    <cellStyle name="Normal 7 6 3 2 2 2 3" xfId="29172" xr:uid="{00000000-0005-0000-0000-00004A610000}"/>
    <cellStyle name="Normal 7 6 3 2 2 3" xfId="14386" xr:uid="{00000000-0005-0000-0000-00004B610000}"/>
    <cellStyle name="Normal 7 6 3 2 2 3 2" xfId="34101" xr:uid="{00000000-0005-0000-0000-00004C610000}"/>
    <cellStyle name="Normal 7 6 3 2 2 4" xfId="24244" xr:uid="{00000000-0005-0000-0000-00004D610000}"/>
    <cellStyle name="Normal 7 6 3 2 3" xfId="6990" xr:uid="{00000000-0005-0000-0000-00004E610000}"/>
    <cellStyle name="Normal 7 6 3 2 3 2" xfId="16850" xr:uid="{00000000-0005-0000-0000-00004F610000}"/>
    <cellStyle name="Normal 7 6 3 2 3 2 2" xfId="36565" xr:uid="{00000000-0005-0000-0000-000050610000}"/>
    <cellStyle name="Normal 7 6 3 2 3 3" xfId="26708" xr:uid="{00000000-0005-0000-0000-000051610000}"/>
    <cellStyle name="Normal 7 6 3 2 4" xfId="11922" xr:uid="{00000000-0005-0000-0000-000052610000}"/>
    <cellStyle name="Normal 7 6 3 2 4 2" xfId="31637" xr:uid="{00000000-0005-0000-0000-000053610000}"/>
    <cellStyle name="Normal 7 6 3 2 5" xfId="21780" xr:uid="{00000000-0005-0000-0000-000054610000}"/>
    <cellStyle name="Normal 7 6 3 3" xfId="3290" xr:uid="{00000000-0005-0000-0000-000055610000}"/>
    <cellStyle name="Normal 7 6 3 3 2" xfId="8222" xr:uid="{00000000-0005-0000-0000-000056610000}"/>
    <cellStyle name="Normal 7 6 3 3 2 2" xfId="18082" xr:uid="{00000000-0005-0000-0000-000057610000}"/>
    <cellStyle name="Normal 7 6 3 3 2 2 2" xfId="37797" xr:uid="{00000000-0005-0000-0000-000058610000}"/>
    <cellStyle name="Normal 7 6 3 3 2 3" xfId="27940" xr:uid="{00000000-0005-0000-0000-000059610000}"/>
    <cellStyle name="Normal 7 6 3 3 3" xfId="13154" xr:uid="{00000000-0005-0000-0000-00005A610000}"/>
    <cellStyle name="Normal 7 6 3 3 3 2" xfId="32869" xr:uid="{00000000-0005-0000-0000-00005B610000}"/>
    <cellStyle name="Normal 7 6 3 3 4" xfId="23012" xr:uid="{00000000-0005-0000-0000-00005C610000}"/>
    <cellStyle name="Normal 7 6 3 4" xfId="5758" xr:uid="{00000000-0005-0000-0000-00005D610000}"/>
    <cellStyle name="Normal 7 6 3 4 2" xfId="15618" xr:uid="{00000000-0005-0000-0000-00005E610000}"/>
    <cellStyle name="Normal 7 6 3 4 2 2" xfId="35333" xr:uid="{00000000-0005-0000-0000-00005F610000}"/>
    <cellStyle name="Normal 7 6 3 4 3" xfId="25476" xr:uid="{00000000-0005-0000-0000-000060610000}"/>
    <cellStyle name="Normal 7 6 3 5" xfId="10690" xr:uid="{00000000-0005-0000-0000-000061610000}"/>
    <cellStyle name="Normal 7 6 3 5 2" xfId="30405" xr:uid="{00000000-0005-0000-0000-000062610000}"/>
    <cellStyle name="Normal 7 6 3 6" xfId="20548" xr:uid="{00000000-0005-0000-0000-000063610000}"/>
    <cellStyle name="Normal 7 6 4" xfId="1439" xr:uid="{00000000-0005-0000-0000-000064610000}"/>
    <cellStyle name="Normal 7 6 4 2" xfId="3906" xr:uid="{00000000-0005-0000-0000-000065610000}"/>
    <cellStyle name="Normal 7 6 4 2 2" xfId="8838" xr:uid="{00000000-0005-0000-0000-000066610000}"/>
    <cellStyle name="Normal 7 6 4 2 2 2" xfId="18698" xr:uid="{00000000-0005-0000-0000-000067610000}"/>
    <cellStyle name="Normal 7 6 4 2 2 2 2" xfId="38413" xr:uid="{00000000-0005-0000-0000-000068610000}"/>
    <cellStyle name="Normal 7 6 4 2 2 3" xfId="28556" xr:uid="{00000000-0005-0000-0000-000069610000}"/>
    <cellStyle name="Normal 7 6 4 2 3" xfId="13770" xr:uid="{00000000-0005-0000-0000-00006A610000}"/>
    <cellStyle name="Normal 7 6 4 2 3 2" xfId="33485" xr:uid="{00000000-0005-0000-0000-00006B610000}"/>
    <cellStyle name="Normal 7 6 4 2 4" xfId="23628" xr:uid="{00000000-0005-0000-0000-00006C610000}"/>
    <cellStyle name="Normal 7 6 4 3" xfId="6374" xr:uid="{00000000-0005-0000-0000-00006D610000}"/>
    <cellStyle name="Normal 7 6 4 3 2" xfId="16234" xr:uid="{00000000-0005-0000-0000-00006E610000}"/>
    <cellStyle name="Normal 7 6 4 3 2 2" xfId="35949" xr:uid="{00000000-0005-0000-0000-00006F610000}"/>
    <cellStyle name="Normal 7 6 4 3 3" xfId="26092" xr:uid="{00000000-0005-0000-0000-000070610000}"/>
    <cellStyle name="Normal 7 6 4 4" xfId="11306" xr:uid="{00000000-0005-0000-0000-000071610000}"/>
    <cellStyle name="Normal 7 6 4 4 2" xfId="31021" xr:uid="{00000000-0005-0000-0000-000072610000}"/>
    <cellStyle name="Normal 7 6 4 5" xfId="21164" xr:uid="{00000000-0005-0000-0000-000073610000}"/>
    <cellStyle name="Normal 7 6 5" xfId="2674" xr:uid="{00000000-0005-0000-0000-000074610000}"/>
    <cellStyle name="Normal 7 6 5 2" xfId="7606" xr:uid="{00000000-0005-0000-0000-000075610000}"/>
    <cellStyle name="Normal 7 6 5 2 2" xfId="17466" xr:uid="{00000000-0005-0000-0000-000076610000}"/>
    <cellStyle name="Normal 7 6 5 2 2 2" xfId="37181" xr:uid="{00000000-0005-0000-0000-000077610000}"/>
    <cellStyle name="Normal 7 6 5 2 3" xfId="27324" xr:uid="{00000000-0005-0000-0000-000078610000}"/>
    <cellStyle name="Normal 7 6 5 3" xfId="12538" xr:uid="{00000000-0005-0000-0000-000079610000}"/>
    <cellStyle name="Normal 7 6 5 3 2" xfId="32253" xr:uid="{00000000-0005-0000-0000-00007A610000}"/>
    <cellStyle name="Normal 7 6 5 4" xfId="22396" xr:uid="{00000000-0005-0000-0000-00007B610000}"/>
    <cellStyle name="Normal 7 6 6" xfId="5142" xr:uid="{00000000-0005-0000-0000-00007C610000}"/>
    <cellStyle name="Normal 7 6 6 2" xfId="15002" xr:uid="{00000000-0005-0000-0000-00007D610000}"/>
    <cellStyle name="Normal 7 6 6 2 2" xfId="34717" xr:uid="{00000000-0005-0000-0000-00007E610000}"/>
    <cellStyle name="Normal 7 6 6 3" xfId="24860" xr:uid="{00000000-0005-0000-0000-00007F610000}"/>
    <cellStyle name="Normal 7 6 7" xfId="10074" xr:uid="{00000000-0005-0000-0000-000080610000}"/>
    <cellStyle name="Normal 7 6 7 2" xfId="29789" xr:uid="{00000000-0005-0000-0000-000081610000}"/>
    <cellStyle name="Normal 7 6 8" xfId="19932" xr:uid="{00000000-0005-0000-0000-000082610000}"/>
    <cellStyle name="Normal 7 7" xfId="354" xr:uid="{00000000-0005-0000-0000-000083610000}"/>
    <cellStyle name="Normal 7 7 2" xfId="974" xr:uid="{00000000-0005-0000-0000-000084610000}"/>
    <cellStyle name="Normal 7 7 2 2" xfId="2209" xr:uid="{00000000-0005-0000-0000-000085610000}"/>
    <cellStyle name="Normal 7 7 2 2 2" xfId="4676" xr:uid="{00000000-0005-0000-0000-000086610000}"/>
    <cellStyle name="Normal 7 7 2 2 2 2" xfId="9608" xr:uid="{00000000-0005-0000-0000-000087610000}"/>
    <cellStyle name="Normal 7 7 2 2 2 2 2" xfId="19468" xr:uid="{00000000-0005-0000-0000-000088610000}"/>
    <cellStyle name="Normal 7 7 2 2 2 2 2 2" xfId="39183" xr:uid="{00000000-0005-0000-0000-000089610000}"/>
    <cellStyle name="Normal 7 7 2 2 2 2 3" xfId="29326" xr:uid="{00000000-0005-0000-0000-00008A610000}"/>
    <cellStyle name="Normal 7 7 2 2 2 3" xfId="14540" xr:uid="{00000000-0005-0000-0000-00008B610000}"/>
    <cellStyle name="Normal 7 7 2 2 2 3 2" xfId="34255" xr:uid="{00000000-0005-0000-0000-00008C610000}"/>
    <cellStyle name="Normal 7 7 2 2 2 4" xfId="24398" xr:uid="{00000000-0005-0000-0000-00008D610000}"/>
    <cellStyle name="Normal 7 7 2 2 3" xfId="7144" xr:uid="{00000000-0005-0000-0000-00008E610000}"/>
    <cellStyle name="Normal 7 7 2 2 3 2" xfId="17004" xr:uid="{00000000-0005-0000-0000-00008F610000}"/>
    <cellStyle name="Normal 7 7 2 2 3 2 2" xfId="36719" xr:uid="{00000000-0005-0000-0000-000090610000}"/>
    <cellStyle name="Normal 7 7 2 2 3 3" xfId="26862" xr:uid="{00000000-0005-0000-0000-000091610000}"/>
    <cellStyle name="Normal 7 7 2 2 4" xfId="12076" xr:uid="{00000000-0005-0000-0000-000092610000}"/>
    <cellStyle name="Normal 7 7 2 2 4 2" xfId="31791" xr:uid="{00000000-0005-0000-0000-000093610000}"/>
    <cellStyle name="Normal 7 7 2 2 5" xfId="21934" xr:uid="{00000000-0005-0000-0000-000094610000}"/>
    <cellStyle name="Normal 7 7 2 3" xfId="3444" xr:uid="{00000000-0005-0000-0000-000095610000}"/>
    <cellStyle name="Normal 7 7 2 3 2" xfId="8376" xr:uid="{00000000-0005-0000-0000-000096610000}"/>
    <cellStyle name="Normal 7 7 2 3 2 2" xfId="18236" xr:uid="{00000000-0005-0000-0000-000097610000}"/>
    <cellStyle name="Normal 7 7 2 3 2 2 2" xfId="37951" xr:uid="{00000000-0005-0000-0000-000098610000}"/>
    <cellStyle name="Normal 7 7 2 3 2 3" xfId="28094" xr:uid="{00000000-0005-0000-0000-000099610000}"/>
    <cellStyle name="Normal 7 7 2 3 3" xfId="13308" xr:uid="{00000000-0005-0000-0000-00009A610000}"/>
    <cellStyle name="Normal 7 7 2 3 3 2" xfId="33023" xr:uid="{00000000-0005-0000-0000-00009B610000}"/>
    <cellStyle name="Normal 7 7 2 3 4" xfId="23166" xr:uid="{00000000-0005-0000-0000-00009C610000}"/>
    <cellStyle name="Normal 7 7 2 4" xfId="5912" xr:uid="{00000000-0005-0000-0000-00009D610000}"/>
    <cellStyle name="Normal 7 7 2 4 2" xfId="15772" xr:uid="{00000000-0005-0000-0000-00009E610000}"/>
    <cellStyle name="Normal 7 7 2 4 2 2" xfId="35487" xr:uid="{00000000-0005-0000-0000-00009F610000}"/>
    <cellStyle name="Normal 7 7 2 4 3" xfId="25630" xr:uid="{00000000-0005-0000-0000-0000A0610000}"/>
    <cellStyle name="Normal 7 7 2 5" xfId="10844" xr:uid="{00000000-0005-0000-0000-0000A1610000}"/>
    <cellStyle name="Normal 7 7 2 5 2" xfId="30559" xr:uid="{00000000-0005-0000-0000-0000A2610000}"/>
    <cellStyle name="Normal 7 7 2 6" xfId="20702" xr:uid="{00000000-0005-0000-0000-0000A3610000}"/>
    <cellStyle name="Normal 7 7 3" xfId="1593" xr:uid="{00000000-0005-0000-0000-0000A4610000}"/>
    <cellStyle name="Normal 7 7 3 2" xfId="4060" xr:uid="{00000000-0005-0000-0000-0000A5610000}"/>
    <cellStyle name="Normal 7 7 3 2 2" xfId="8992" xr:uid="{00000000-0005-0000-0000-0000A6610000}"/>
    <cellStyle name="Normal 7 7 3 2 2 2" xfId="18852" xr:uid="{00000000-0005-0000-0000-0000A7610000}"/>
    <cellStyle name="Normal 7 7 3 2 2 2 2" xfId="38567" xr:uid="{00000000-0005-0000-0000-0000A8610000}"/>
    <cellStyle name="Normal 7 7 3 2 2 3" xfId="28710" xr:uid="{00000000-0005-0000-0000-0000A9610000}"/>
    <cellStyle name="Normal 7 7 3 2 3" xfId="13924" xr:uid="{00000000-0005-0000-0000-0000AA610000}"/>
    <cellStyle name="Normal 7 7 3 2 3 2" xfId="33639" xr:uid="{00000000-0005-0000-0000-0000AB610000}"/>
    <cellStyle name="Normal 7 7 3 2 4" xfId="23782" xr:uid="{00000000-0005-0000-0000-0000AC610000}"/>
    <cellStyle name="Normal 7 7 3 3" xfId="6528" xr:uid="{00000000-0005-0000-0000-0000AD610000}"/>
    <cellStyle name="Normal 7 7 3 3 2" xfId="16388" xr:uid="{00000000-0005-0000-0000-0000AE610000}"/>
    <cellStyle name="Normal 7 7 3 3 2 2" xfId="36103" xr:uid="{00000000-0005-0000-0000-0000AF610000}"/>
    <cellStyle name="Normal 7 7 3 3 3" xfId="26246" xr:uid="{00000000-0005-0000-0000-0000B0610000}"/>
    <cellStyle name="Normal 7 7 3 4" xfId="11460" xr:uid="{00000000-0005-0000-0000-0000B1610000}"/>
    <cellStyle name="Normal 7 7 3 4 2" xfId="31175" xr:uid="{00000000-0005-0000-0000-0000B2610000}"/>
    <cellStyle name="Normal 7 7 3 5" xfId="21318" xr:uid="{00000000-0005-0000-0000-0000B3610000}"/>
    <cellStyle name="Normal 7 7 4" xfId="2828" xr:uid="{00000000-0005-0000-0000-0000B4610000}"/>
    <cellStyle name="Normal 7 7 4 2" xfId="7760" xr:uid="{00000000-0005-0000-0000-0000B5610000}"/>
    <cellStyle name="Normal 7 7 4 2 2" xfId="17620" xr:uid="{00000000-0005-0000-0000-0000B6610000}"/>
    <cellStyle name="Normal 7 7 4 2 2 2" xfId="37335" xr:uid="{00000000-0005-0000-0000-0000B7610000}"/>
    <cellStyle name="Normal 7 7 4 2 3" xfId="27478" xr:uid="{00000000-0005-0000-0000-0000B8610000}"/>
    <cellStyle name="Normal 7 7 4 3" xfId="12692" xr:uid="{00000000-0005-0000-0000-0000B9610000}"/>
    <cellStyle name="Normal 7 7 4 3 2" xfId="32407" xr:uid="{00000000-0005-0000-0000-0000BA610000}"/>
    <cellStyle name="Normal 7 7 4 4" xfId="22550" xr:uid="{00000000-0005-0000-0000-0000BB610000}"/>
    <cellStyle name="Normal 7 7 5" xfId="5296" xr:uid="{00000000-0005-0000-0000-0000BC610000}"/>
    <cellStyle name="Normal 7 7 5 2" xfId="15156" xr:uid="{00000000-0005-0000-0000-0000BD610000}"/>
    <cellStyle name="Normal 7 7 5 2 2" xfId="34871" xr:uid="{00000000-0005-0000-0000-0000BE610000}"/>
    <cellStyle name="Normal 7 7 5 3" xfId="25014" xr:uid="{00000000-0005-0000-0000-0000BF610000}"/>
    <cellStyle name="Normal 7 7 6" xfId="10228" xr:uid="{00000000-0005-0000-0000-0000C0610000}"/>
    <cellStyle name="Normal 7 7 6 2" xfId="29943" xr:uid="{00000000-0005-0000-0000-0000C1610000}"/>
    <cellStyle name="Normal 7 7 7" xfId="20086" xr:uid="{00000000-0005-0000-0000-0000C2610000}"/>
    <cellStyle name="Normal 7 8" xfId="667" xr:uid="{00000000-0005-0000-0000-0000C3610000}"/>
    <cellStyle name="Normal 7 8 2" xfId="1903" xr:uid="{00000000-0005-0000-0000-0000C4610000}"/>
    <cellStyle name="Normal 7 8 2 2" xfId="4370" xr:uid="{00000000-0005-0000-0000-0000C5610000}"/>
    <cellStyle name="Normal 7 8 2 2 2" xfId="9302" xr:uid="{00000000-0005-0000-0000-0000C6610000}"/>
    <cellStyle name="Normal 7 8 2 2 2 2" xfId="19162" xr:uid="{00000000-0005-0000-0000-0000C7610000}"/>
    <cellStyle name="Normal 7 8 2 2 2 2 2" xfId="38877" xr:uid="{00000000-0005-0000-0000-0000C8610000}"/>
    <cellStyle name="Normal 7 8 2 2 2 3" xfId="29020" xr:uid="{00000000-0005-0000-0000-0000C9610000}"/>
    <cellStyle name="Normal 7 8 2 2 3" xfId="14234" xr:uid="{00000000-0005-0000-0000-0000CA610000}"/>
    <cellStyle name="Normal 7 8 2 2 3 2" xfId="33949" xr:uid="{00000000-0005-0000-0000-0000CB610000}"/>
    <cellStyle name="Normal 7 8 2 2 4" xfId="24092" xr:uid="{00000000-0005-0000-0000-0000CC610000}"/>
    <cellStyle name="Normal 7 8 2 3" xfId="6838" xr:uid="{00000000-0005-0000-0000-0000CD610000}"/>
    <cellStyle name="Normal 7 8 2 3 2" xfId="16698" xr:uid="{00000000-0005-0000-0000-0000CE610000}"/>
    <cellStyle name="Normal 7 8 2 3 2 2" xfId="36413" xr:uid="{00000000-0005-0000-0000-0000CF610000}"/>
    <cellStyle name="Normal 7 8 2 3 3" xfId="26556" xr:uid="{00000000-0005-0000-0000-0000D0610000}"/>
    <cellStyle name="Normal 7 8 2 4" xfId="11770" xr:uid="{00000000-0005-0000-0000-0000D1610000}"/>
    <cellStyle name="Normal 7 8 2 4 2" xfId="31485" xr:uid="{00000000-0005-0000-0000-0000D2610000}"/>
    <cellStyle name="Normal 7 8 2 5" xfId="21628" xr:uid="{00000000-0005-0000-0000-0000D3610000}"/>
    <cellStyle name="Normal 7 8 3" xfId="3138" xr:uid="{00000000-0005-0000-0000-0000D4610000}"/>
    <cellStyle name="Normal 7 8 3 2" xfId="8070" xr:uid="{00000000-0005-0000-0000-0000D5610000}"/>
    <cellStyle name="Normal 7 8 3 2 2" xfId="17930" xr:uid="{00000000-0005-0000-0000-0000D6610000}"/>
    <cellStyle name="Normal 7 8 3 2 2 2" xfId="37645" xr:uid="{00000000-0005-0000-0000-0000D7610000}"/>
    <cellStyle name="Normal 7 8 3 2 3" xfId="27788" xr:uid="{00000000-0005-0000-0000-0000D8610000}"/>
    <cellStyle name="Normal 7 8 3 3" xfId="13002" xr:uid="{00000000-0005-0000-0000-0000D9610000}"/>
    <cellStyle name="Normal 7 8 3 3 2" xfId="32717" xr:uid="{00000000-0005-0000-0000-0000DA610000}"/>
    <cellStyle name="Normal 7 8 3 4" xfId="22860" xr:uid="{00000000-0005-0000-0000-0000DB610000}"/>
    <cellStyle name="Normal 7 8 4" xfId="5606" xr:uid="{00000000-0005-0000-0000-0000DC610000}"/>
    <cellStyle name="Normal 7 8 4 2" xfId="15466" xr:uid="{00000000-0005-0000-0000-0000DD610000}"/>
    <cellStyle name="Normal 7 8 4 2 2" xfId="35181" xr:uid="{00000000-0005-0000-0000-0000DE610000}"/>
    <cellStyle name="Normal 7 8 4 3" xfId="25324" xr:uid="{00000000-0005-0000-0000-0000DF610000}"/>
    <cellStyle name="Normal 7 8 5" xfId="10538" xr:uid="{00000000-0005-0000-0000-0000E0610000}"/>
    <cellStyle name="Normal 7 8 5 2" xfId="30253" xr:uid="{00000000-0005-0000-0000-0000E1610000}"/>
    <cellStyle name="Normal 7 8 6" xfId="20396" xr:uid="{00000000-0005-0000-0000-0000E2610000}"/>
    <cellStyle name="Normal 7 9" xfId="1287" xr:uid="{00000000-0005-0000-0000-0000E3610000}"/>
    <cellStyle name="Normal 7 9 2" xfId="3754" xr:uid="{00000000-0005-0000-0000-0000E4610000}"/>
    <cellStyle name="Normal 7 9 2 2" xfId="8686" xr:uid="{00000000-0005-0000-0000-0000E5610000}"/>
    <cellStyle name="Normal 7 9 2 2 2" xfId="18546" xr:uid="{00000000-0005-0000-0000-0000E6610000}"/>
    <cellStyle name="Normal 7 9 2 2 2 2" xfId="38261" xr:uid="{00000000-0005-0000-0000-0000E7610000}"/>
    <cellStyle name="Normal 7 9 2 2 3" xfId="28404" xr:uid="{00000000-0005-0000-0000-0000E8610000}"/>
    <cellStyle name="Normal 7 9 2 3" xfId="13618" xr:uid="{00000000-0005-0000-0000-0000E9610000}"/>
    <cellStyle name="Normal 7 9 2 3 2" xfId="33333" xr:uid="{00000000-0005-0000-0000-0000EA610000}"/>
    <cellStyle name="Normal 7 9 2 4" xfId="23476" xr:uid="{00000000-0005-0000-0000-0000EB610000}"/>
    <cellStyle name="Normal 7 9 3" xfId="6222" xr:uid="{00000000-0005-0000-0000-0000EC610000}"/>
    <cellStyle name="Normal 7 9 3 2" xfId="16082" xr:uid="{00000000-0005-0000-0000-0000ED610000}"/>
    <cellStyle name="Normal 7 9 3 2 2" xfId="35797" xr:uid="{00000000-0005-0000-0000-0000EE610000}"/>
    <cellStyle name="Normal 7 9 3 3" xfId="25940" xr:uid="{00000000-0005-0000-0000-0000EF610000}"/>
    <cellStyle name="Normal 7 9 4" xfId="11154" xr:uid="{00000000-0005-0000-0000-0000F0610000}"/>
    <cellStyle name="Normal 7 9 4 2" xfId="30869" xr:uid="{00000000-0005-0000-0000-0000F1610000}"/>
    <cellStyle name="Normal 7 9 5" xfId="21012" xr:uid="{00000000-0005-0000-0000-0000F2610000}"/>
    <cellStyle name="Normal 8" xfId="17" xr:uid="{00000000-0005-0000-0000-0000F3610000}"/>
    <cellStyle name="Normal 8 10" xfId="4992" xr:uid="{00000000-0005-0000-0000-0000F4610000}"/>
    <cellStyle name="Normal 8 10 2" xfId="14852" xr:uid="{00000000-0005-0000-0000-0000F5610000}"/>
    <cellStyle name="Normal 8 10 2 2" xfId="34567" xr:uid="{00000000-0005-0000-0000-0000F6610000}"/>
    <cellStyle name="Normal 8 10 3" xfId="24710" xr:uid="{00000000-0005-0000-0000-0000F7610000}"/>
    <cellStyle name="Normal 8 11" xfId="9924" xr:uid="{00000000-0005-0000-0000-0000F8610000}"/>
    <cellStyle name="Normal 8 11 2" xfId="29639" xr:uid="{00000000-0005-0000-0000-0000F9610000}"/>
    <cellStyle name="Normal 8 12" xfId="19782" xr:uid="{00000000-0005-0000-0000-0000FA610000}"/>
    <cellStyle name="Normal 8 2" xfId="46" xr:uid="{00000000-0005-0000-0000-0000FB610000}"/>
    <cellStyle name="Normal 8 2 10" xfId="9943" xr:uid="{00000000-0005-0000-0000-0000FC610000}"/>
    <cellStyle name="Normal 8 2 10 2" xfId="29658" xr:uid="{00000000-0005-0000-0000-0000FD610000}"/>
    <cellStyle name="Normal 8 2 11" xfId="19801" xr:uid="{00000000-0005-0000-0000-0000FE610000}"/>
    <cellStyle name="Normal 8 2 2" xfId="89" xr:uid="{00000000-0005-0000-0000-0000FF610000}"/>
    <cellStyle name="Normal 8 2 2 10" xfId="19839" xr:uid="{00000000-0005-0000-0000-000000620000}"/>
    <cellStyle name="Normal 8 2 2 2" xfId="170" xr:uid="{00000000-0005-0000-0000-000001620000}"/>
    <cellStyle name="Normal 8 2 2 2 2" xfId="327" xr:uid="{00000000-0005-0000-0000-000002620000}"/>
    <cellStyle name="Normal 8 2 2 2 2 2" xfId="641" xr:uid="{00000000-0005-0000-0000-000003620000}"/>
    <cellStyle name="Normal 8 2 2 2 2 2 2" xfId="1261" xr:uid="{00000000-0005-0000-0000-000004620000}"/>
    <cellStyle name="Normal 8 2 2 2 2 2 2 2" xfId="2496" xr:uid="{00000000-0005-0000-0000-000005620000}"/>
    <cellStyle name="Normal 8 2 2 2 2 2 2 2 2" xfId="4963" xr:uid="{00000000-0005-0000-0000-000006620000}"/>
    <cellStyle name="Normal 8 2 2 2 2 2 2 2 2 2" xfId="9895" xr:uid="{00000000-0005-0000-0000-000007620000}"/>
    <cellStyle name="Normal 8 2 2 2 2 2 2 2 2 2 2" xfId="19755" xr:uid="{00000000-0005-0000-0000-000008620000}"/>
    <cellStyle name="Normal 8 2 2 2 2 2 2 2 2 2 2 2" xfId="39470" xr:uid="{00000000-0005-0000-0000-000009620000}"/>
    <cellStyle name="Normal 8 2 2 2 2 2 2 2 2 2 3" xfId="29613" xr:uid="{00000000-0005-0000-0000-00000A620000}"/>
    <cellStyle name="Normal 8 2 2 2 2 2 2 2 2 3" xfId="14827" xr:uid="{00000000-0005-0000-0000-00000B620000}"/>
    <cellStyle name="Normal 8 2 2 2 2 2 2 2 2 3 2" xfId="34542" xr:uid="{00000000-0005-0000-0000-00000C620000}"/>
    <cellStyle name="Normal 8 2 2 2 2 2 2 2 2 4" xfId="24685" xr:uid="{00000000-0005-0000-0000-00000D620000}"/>
    <cellStyle name="Normal 8 2 2 2 2 2 2 2 3" xfId="7431" xr:uid="{00000000-0005-0000-0000-00000E620000}"/>
    <cellStyle name="Normal 8 2 2 2 2 2 2 2 3 2" xfId="17291" xr:uid="{00000000-0005-0000-0000-00000F620000}"/>
    <cellStyle name="Normal 8 2 2 2 2 2 2 2 3 2 2" xfId="37006" xr:uid="{00000000-0005-0000-0000-000010620000}"/>
    <cellStyle name="Normal 8 2 2 2 2 2 2 2 3 3" xfId="27149" xr:uid="{00000000-0005-0000-0000-000011620000}"/>
    <cellStyle name="Normal 8 2 2 2 2 2 2 2 4" xfId="12363" xr:uid="{00000000-0005-0000-0000-000012620000}"/>
    <cellStyle name="Normal 8 2 2 2 2 2 2 2 4 2" xfId="32078" xr:uid="{00000000-0005-0000-0000-000013620000}"/>
    <cellStyle name="Normal 8 2 2 2 2 2 2 2 5" xfId="22221" xr:uid="{00000000-0005-0000-0000-000014620000}"/>
    <cellStyle name="Normal 8 2 2 2 2 2 2 3" xfId="3731" xr:uid="{00000000-0005-0000-0000-000015620000}"/>
    <cellStyle name="Normal 8 2 2 2 2 2 2 3 2" xfId="8663" xr:uid="{00000000-0005-0000-0000-000016620000}"/>
    <cellStyle name="Normal 8 2 2 2 2 2 2 3 2 2" xfId="18523" xr:uid="{00000000-0005-0000-0000-000017620000}"/>
    <cellStyle name="Normal 8 2 2 2 2 2 2 3 2 2 2" xfId="38238" xr:uid="{00000000-0005-0000-0000-000018620000}"/>
    <cellStyle name="Normal 8 2 2 2 2 2 2 3 2 3" xfId="28381" xr:uid="{00000000-0005-0000-0000-000019620000}"/>
    <cellStyle name="Normal 8 2 2 2 2 2 2 3 3" xfId="13595" xr:uid="{00000000-0005-0000-0000-00001A620000}"/>
    <cellStyle name="Normal 8 2 2 2 2 2 2 3 3 2" xfId="33310" xr:uid="{00000000-0005-0000-0000-00001B620000}"/>
    <cellStyle name="Normal 8 2 2 2 2 2 2 3 4" xfId="23453" xr:uid="{00000000-0005-0000-0000-00001C620000}"/>
    <cellStyle name="Normal 8 2 2 2 2 2 2 4" xfId="6199" xr:uid="{00000000-0005-0000-0000-00001D620000}"/>
    <cellStyle name="Normal 8 2 2 2 2 2 2 4 2" xfId="16059" xr:uid="{00000000-0005-0000-0000-00001E620000}"/>
    <cellStyle name="Normal 8 2 2 2 2 2 2 4 2 2" xfId="35774" xr:uid="{00000000-0005-0000-0000-00001F620000}"/>
    <cellStyle name="Normal 8 2 2 2 2 2 2 4 3" xfId="25917" xr:uid="{00000000-0005-0000-0000-000020620000}"/>
    <cellStyle name="Normal 8 2 2 2 2 2 2 5" xfId="11131" xr:uid="{00000000-0005-0000-0000-000021620000}"/>
    <cellStyle name="Normal 8 2 2 2 2 2 2 5 2" xfId="30846" xr:uid="{00000000-0005-0000-0000-000022620000}"/>
    <cellStyle name="Normal 8 2 2 2 2 2 2 6" xfId="20989" xr:uid="{00000000-0005-0000-0000-000023620000}"/>
    <cellStyle name="Normal 8 2 2 2 2 2 3" xfId="1880" xr:uid="{00000000-0005-0000-0000-000024620000}"/>
    <cellStyle name="Normal 8 2 2 2 2 2 3 2" xfId="4347" xr:uid="{00000000-0005-0000-0000-000025620000}"/>
    <cellStyle name="Normal 8 2 2 2 2 2 3 2 2" xfId="9279" xr:uid="{00000000-0005-0000-0000-000026620000}"/>
    <cellStyle name="Normal 8 2 2 2 2 2 3 2 2 2" xfId="19139" xr:uid="{00000000-0005-0000-0000-000027620000}"/>
    <cellStyle name="Normal 8 2 2 2 2 2 3 2 2 2 2" xfId="38854" xr:uid="{00000000-0005-0000-0000-000028620000}"/>
    <cellStyle name="Normal 8 2 2 2 2 2 3 2 2 3" xfId="28997" xr:uid="{00000000-0005-0000-0000-000029620000}"/>
    <cellStyle name="Normal 8 2 2 2 2 2 3 2 3" xfId="14211" xr:uid="{00000000-0005-0000-0000-00002A620000}"/>
    <cellStyle name="Normal 8 2 2 2 2 2 3 2 3 2" xfId="33926" xr:uid="{00000000-0005-0000-0000-00002B620000}"/>
    <cellStyle name="Normal 8 2 2 2 2 2 3 2 4" xfId="24069" xr:uid="{00000000-0005-0000-0000-00002C620000}"/>
    <cellStyle name="Normal 8 2 2 2 2 2 3 3" xfId="6815" xr:uid="{00000000-0005-0000-0000-00002D620000}"/>
    <cellStyle name="Normal 8 2 2 2 2 2 3 3 2" xfId="16675" xr:uid="{00000000-0005-0000-0000-00002E620000}"/>
    <cellStyle name="Normal 8 2 2 2 2 2 3 3 2 2" xfId="36390" xr:uid="{00000000-0005-0000-0000-00002F620000}"/>
    <cellStyle name="Normal 8 2 2 2 2 2 3 3 3" xfId="26533" xr:uid="{00000000-0005-0000-0000-000030620000}"/>
    <cellStyle name="Normal 8 2 2 2 2 2 3 4" xfId="11747" xr:uid="{00000000-0005-0000-0000-000031620000}"/>
    <cellStyle name="Normal 8 2 2 2 2 2 3 4 2" xfId="31462" xr:uid="{00000000-0005-0000-0000-000032620000}"/>
    <cellStyle name="Normal 8 2 2 2 2 2 3 5" xfId="21605" xr:uid="{00000000-0005-0000-0000-000033620000}"/>
    <cellStyle name="Normal 8 2 2 2 2 2 4" xfId="3115" xr:uid="{00000000-0005-0000-0000-000034620000}"/>
    <cellStyle name="Normal 8 2 2 2 2 2 4 2" xfId="8047" xr:uid="{00000000-0005-0000-0000-000035620000}"/>
    <cellStyle name="Normal 8 2 2 2 2 2 4 2 2" xfId="17907" xr:uid="{00000000-0005-0000-0000-000036620000}"/>
    <cellStyle name="Normal 8 2 2 2 2 2 4 2 2 2" xfId="37622" xr:uid="{00000000-0005-0000-0000-000037620000}"/>
    <cellStyle name="Normal 8 2 2 2 2 2 4 2 3" xfId="27765" xr:uid="{00000000-0005-0000-0000-000038620000}"/>
    <cellStyle name="Normal 8 2 2 2 2 2 4 3" xfId="12979" xr:uid="{00000000-0005-0000-0000-000039620000}"/>
    <cellStyle name="Normal 8 2 2 2 2 2 4 3 2" xfId="32694" xr:uid="{00000000-0005-0000-0000-00003A620000}"/>
    <cellStyle name="Normal 8 2 2 2 2 2 4 4" xfId="22837" xr:uid="{00000000-0005-0000-0000-00003B620000}"/>
    <cellStyle name="Normal 8 2 2 2 2 2 5" xfId="5583" xr:uid="{00000000-0005-0000-0000-00003C620000}"/>
    <cellStyle name="Normal 8 2 2 2 2 2 5 2" xfId="15443" xr:uid="{00000000-0005-0000-0000-00003D620000}"/>
    <cellStyle name="Normal 8 2 2 2 2 2 5 2 2" xfId="35158" xr:uid="{00000000-0005-0000-0000-00003E620000}"/>
    <cellStyle name="Normal 8 2 2 2 2 2 5 3" xfId="25301" xr:uid="{00000000-0005-0000-0000-00003F620000}"/>
    <cellStyle name="Normal 8 2 2 2 2 2 6" xfId="10515" xr:uid="{00000000-0005-0000-0000-000040620000}"/>
    <cellStyle name="Normal 8 2 2 2 2 2 6 2" xfId="30230" xr:uid="{00000000-0005-0000-0000-000041620000}"/>
    <cellStyle name="Normal 8 2 2 2 2 2 7" xfId="20373" xr:uid="{00000000-0005-0000-0000-000042620000}"/>
    <cellStyle name="Normal 8 2 2 2 2 3" xfId="954" xr:uid="{00000000-0005-0000-0000-000043620000}"/>
    <cellStyle name="Normal 8 2 2 2 2 3 2" xfId="2190" xr:uid="{00000000-0005-0000-0000-000044620000}"/>
    <cellStyle name="Normal 8 2 2 2 2 3 2 2" xfId="4657" xr:uid="{00000000-0005-0000-0000-000045620000}"/>
    <cellStyle name="Normal 8 2 2 2 2 3 2 2 2" xfId="9589" xr:uid="{00000000-0005-0000-0000-000046620000}"/>
    <cellStyle name="Normal 8 2 2 2 2 3 2 2 2 2" xfId="19449" xr:uid="{00000000-0005-0000-0000-000047620000}"/>
    <cellStyle name="Normal 8 2 2 2 2 3 2 2 2 2 2" xfId="39164" xr:uid="{00000000-0005-0000-0000-000048620000}"/>
    <cellStyle name="Normal 8 2 2 2 2 3 2 2 2 3" xfId="29307" xr:uid="{00000000-0005-0000-0000-000049620000}"/>
    <cellStyle name="Normal 8 2 2 2 2 3 2 2 3" xfId="14521" xr:uid="{00000000-0005-0000-0000-00004A620000}"/>
    <cellStyle name="Normal 8 2 2 2 2 3 2 2 3 2" xfId="34236" xr:uid="{00000000-0005-0000-0000-00004B620000}"/>
    <cellStyle name="Normal 8 2 2 2 2 3 2 2 4" xfId="24379" xr:uid="{00000000-0005-0000-0000-00004C620000}"/>
    <cellStyle name="Normal 8 2 2 2 2 3 2 3" xfId="7125" xr:uid="{00000000-0005-0000-0000-00004D620000}"/>
    <cellStyle name="Normal 8 2 2 2 2 3 2 3 2" xfId="16985" xr:uid="{00000000-0005-0000-0000-00004E620000}"/>
    <cellStyle name="Normal 8 2 2 2 2 3 2 3 2 2" xfId="36700" xr:uid="{00000000-0005-0000-0000-00004F620000}"/>
    <cellStyle name="Normal 8 2 2 2 2 3 2 3 3" xfId="26843" xr:uid="{00000000-0005-0000-0000-000050620000}"/>
    <cellStyle name="Normal 8 2 2 2 2 3 2 4" xfId="12057" xr:uid="{00000000-0005-0000-0000-000051620000}"/>
    <cellStyle name="Normal 8 2 2 2 2 3 2 4 2" xfId="31772" xr:uid="{00000000-0005-0000-0000-000052620000}"/>
    <cellStyle name="Normal 8 2 2 2 2 3 2 5" xfId="21915" xr:uid="{00000000-0005-0000-0000-000053620000}"/>
    <cellStyle name="Normal 8 2 2 2 2 3 3" xfId="3425" xr:uid="{00000000-0005-0000-0000-000054620000}"/>
    <cellStyle name="Normal 8 2 2 2 2 3 3 2" xfId="8357" xr:uid="{00000000-0005-0000-0000-000055620000}"/>
    <cellStyle name="Normal 8 2 2 2 2 3 3 2 2" xfId="18217" xr:uid="{00000000-0005-0000-0000-000056620000}"/>
    <cellStyle name="Normal 8 2 2 2 2 3 3 2 2 2" xfId="37932" xr:uid="{00000000-0005-0000-0000-000057620000}"/>
    <cellStyle name="Normal 8 2 2 2 2 3 3 2 3" xfId="28075" xr:uid="{00000000-0005-0000-0000-000058620000}"/>
    <cellStyle name="Normal 8 2 2 2 2 3 3 3" xfId="13289" xr:uid="{00000000-0005-0000-0000-000059620000}"/>
    <cellStyle name="Normal 8 2 2 2 2 3 3 3 2" xfId="33004" xr:uid="{00000000-0005-0000-0000-00005A620000}"/>
    <cellStyle name="Normal 8 2 2 2 2 3 3 4" xfId="23147" xr:uid="{00000000-0005-0000-0000-00005B620000}"/>
    <cellStyle name="Normal 8 2 2 2 2 3 4" xfId="5893" xr:uid="{00000000-0005-0000-0000-00005C620000}"/>
    <cellStyle name="Normal 8 2 2 2 2 3 4 2" xfId="15753" xr:uid="{00000000-0005-0000-0000-00005D620000}"/>
    <cellStyle name="Normal 8 2 2 2 2 3 4 2 2" xfId="35468" xr:uid="{00000000-0005-0000-0000-00005E620000}"/>
    <cellStyle name="Normal 8 2 2 2 2 3 4 3" xfId="25611" xr:uid="{00000000-0005-0000-0000-00005F620000}"/>
    <cellStyle name="Normal 8 2 2 2 2 3 5" xfId="10825" xr:uid="{00000000-0005-0000-0000-000060620000}"/>
    <cellStyle name="Normal 8 2 2 2 2 3 5 2" xfId="30540" xr:uid="{00000000-0005-0000-0000-000061620000}"/>
    <cellStyle name="Normal 8 2 2 2 2 3 6" xfId="20683" xr:uid="{00000000-0005-0000-0000-000062620000}"/>
    <cellStyle name="Normal 8 2 2 2 2 4" xfId="1574" xr:uid="{00000000-0005-0000-0000-000063620000}"/>
    <cellStyle name="Normal 8 2 2 2 2 4 2" xfId="4041" xr:uid="{00000000-0005-0000-0000-000064620000}"/>
    <cellStyle name="Normal 8 2 2 2 2 4 2 2" xfId="8973" xr:uid="{00000000-0005-0000-0000-000065620000}"/>
    <cellStyle name="Normal 8 2 2 2 2 4 2 2 2" xfId="18833" xr:uid="{00000000-0005-0000-0000-000066620000}"/>
    <cellStyle name="Normal 8 2 2 2 2 4 2 2 2 2" xfId="38548" xr:uid="{00000000-0005-0000-0000-000067620000}"/>
    <cellStyle name="Normal 8 2 2 2 2 4 2 2 3" xfId="28691" xr:uid="{00000000-0005-0000-0000-000068620000}"/>
    <cellStyle name="Normal 8 2 2 2 2 4 2 3" xfId="13905" xr:uid="{00000000-0005-0000-0000-000069620000}"/>
    <cellStyle name="Normal 8 2 2 2 2 4 2 3 2" xfId="33620" xr:uid="{00000000-0005-0000-0000-00006A620000}"/>
    <cellStyle name="Normal 8 2 2 2 2 4 2 4" xfId="23763" xr:uid="{00000000-0005-0000-0000-00006B620000}"/>
    <cellStyle name="Normal 8 2 2 2 2 4 3" xfId="6509" xr:uid="{00000000-0005-0000-0000-00006C620000}"/>
    <cellStyle name="Normal 8 2 2 2 2 4 3 2" xfId="16369" xr:uid="{00000000-0005-0000-0000-00006D620000}"/>
    <cellStyle name="Normal 8 2 2 2 2 4 3 2 2" xfId="36084" xr:uid="{00000000-0005-0000-0000-00006E620000}"/>
    <cellStyle name="Normal 8 2 2 2 2 4 3 3" xfId="26227" xr:uid="{00000000-0005-0000-0000-00006F620000}"/>
    <cellStyle name="Normal 8 2 2 2 2 4 4" xfId="11441" xr:uid="{00000000-0005-0000-0000-000070620000}"/>
    <cellStyle name="Normal 8 2 2 2 2 4 4 2" xfId="31156" xr:uid="{00000000-0005-0000-0000-000071620000}"/>
    <cellStyle name="Normal 8 2 2 2 2 4 5" xfId="21299" xr:uid="{00000000-0005-0000-0000-000072620000}"/>
    <cellStyle name="Normal 8 2 2 2 2 5" xfId="2809" xr:uid="{00000000-0005-0000-0000-000073620000}"/>
    <cellStyle name="Normal 8 2 2 2 2 5 2" xfId="7741" xr:uid="{00000000-0005-0000-0000-000074620000}"/>
    <cellStyle name="Normal 8 2 2 2 2 5 2 2" xfId="17601" xr:uid="{00000000-0005-0000-0000-000075620000}"/>
    <cellStyle name="Normal 8 2 2 2 2 5 2 2 2" xfId="37316" xr:uid="{00000000-0005-0000-0000-000076620000}"/>
    <cellStyle name="Normal 8 2 2 2 2 5 2 3" xfId="27459" xr:uid="{00000000-0005-0000-0000-000077620000}"/>
    <cellStyle name="Normal 8 2 2 2 2 5 3" xfId="12673" xr:uid="{00000000-0005-0000-0000-000078620000}"/>
    <cellStyle name="Normal 8 2 2 2 2 5 3 2" xfId="32388" xr:uid="{00000000-0005-0000-0000-000079620000}"/>
    <cellStyle name="Normal 8 2 2 2 2 5 4" xfId="22531" xr:uid="{00000000-0005-0000-0000-00007A620000}"/>
    <cellStyle name="Normal 8 2 2 2 2 6" xfId="5277" xr:uid="{00000000-0005-0000-0000-00007B620000}"/>
    <cellStyle name="Normal 8 2 2 2 2 6 2" xfId="15137" xr:uid="{00000000-0005-0000-0000-00007C620000}"/>
    <cellStyle name="Normal 8 2 2 2 2 6 2 2" xfId="34852" xr:uid="{00000000-0005-0000-0000-00007D620000}"/>
    <cellStyle name="Normal 8 2 2 2 2 6 3" xfId="24995" xr:uid="{00000000-0005-0000-0000-00007E620000}"/>
    <cellStyle name="Normal 8 2 2 2 2 7" xfId="10209" xr:uid="{00000000-0005-0000-0000-00007F620000}"/>
    <cellStyle name="Normal 8 2 2 2 2 7 2" xfId="29924" xr:uid="{00000000-0005-0000-0000-000080620000}"/>
    <cellStyle name="Normal 8 2 2 2 2 8" xfId="20067" xr:uid="{00000000-0005-0000-0000-000081620000}"/>
    <cellStyle name="Normal 8 2 2 2 3" xfId="489" xr:uid="{00000000-0005-0000-0000-000082620000}"/>
    <cellStyle name="Normal 8 2 2 2 3 2" xfId="1109" xr:uid="{00000000-0005-0000-0000-000083620000}"/>
    <cellStyle name="Normal 8 2 2 2 3 2 2" xfId="2344" xr:uid="{00000000-0005-0000-0000-000084620000}"/>
    <cellStyle name="Normal 8 2 2 2 3 2 2 2" xfId="4811" xr:uid="{00000000-0005-0000-0000-000085620000}"/>
    <cellStyle name="Normal 8 2 2 2 3 2 2 2 2" xfId="9743" xr:uid="{00000000-0005-0000-0000-000086620000}"/>
    <cellStyle name="Normal 8 2 2 2 3 2 2 2 2 2" xfId="19603" xr:uid="{00000000-0005-0000-0000-000087620000}"/>
    <cellStyle name="Normal 8 2 2 2 3 2 2 2 2 2 2" xfId="39318" xr:uid="{00000000-0005-0000-0000-000088620000}"/>
    <cellStyle name="Normal 8 2 2 2 3 2 2 2 2 3" xfId="29461" xr:uid="{00000000-0005-0000-0000-000089620000}"/>
    <cellStyle name="Normal 8 2 2 2 3 2 2 2 3" xfId="14675" xr:uid="{00000000-0005-0000-0000-00008A620000}"/>
    <cellStyle name="Normal 8 2 2 2 3 2 2 2 3 2" xfId="34390" xr:uid="{00000000-0005-0000-0000-00008B620000}"/>
    <cellStyle name="Normal 8 2 2 2 3 2 2 2 4" xfId="24533" xr:uid="{00000000-0005-0000-0000-00008C620000}"/>
    <cellStyle name="Normal 8 2 2 2 3 2 2 3" xfId="7279" xr:uid="{00000000-0005-0000-0000-00008D620000}"/>
    <cellStyle name="Normal 8 2 2 2 3 2 2 3 2" xfId="17139" xr:uid="{00000000-0005-0000-0000-00008E620000}"/>
    <cellStyle name="Normal 8 2 2 2 3 2 2 3 2 2" xfId="36854" xr:uid="{00000000-0005-0000-0000-00008F620000}"/>
    <cellStyle name="Normal 8 2 2 2 3 2 2 3 3" xfId="26997" xr:uid="{00000000-0005-0000-0000-000090620000}"/>
    <cellStyle name="Normal 8 2 2 2 3 2 2 4" xfId="12211" xr:uid="{00000000-0005-0000-0000-000091620000}"/>
    <cellStyle name="Normal 8 2 2 2 3 2 2 4 2" xfId="31926" xr:uid="{00000000-0005-0000-0000-000092620000}"/>
    <cellStyle name="Normal 8 2 2 2 3 2 2 5" xfId="22069" xr:uid="{00000000-0005-0000-0000-000093620000}"/>
    <cellStyle name="Normal 8 2 2 2 3 2 3" xfId="3579" xr:uid="{00000000-0005-0000-0000-000094620000}"/>
    <cellStyle name="Normal 8 2 2 2 3 2 3 2" xfId="8511" xr:uid="{00000000-0005-0000-0000-000095620000}"/>
    <cellStyle name="Normal 8 2 2 2 3 2 3 2 2" xfId="18371" xr:uid="{00000000-0005-0000-0000-000096620000}"/>
    <cellStyle name="Normal 8 2 2 2 3 2 3 2 2 2" xfId="38086" xr:uid="{00000000-0005-0000-0000-000097620000}"/>
    <cellStyle name="Normal 8 2 2 2 3 2 3 2 3" xfId="28229" xr:uid="{00000000-0005-0000-0000-000098620000}"/>
    <cellStyle name="Normal 8 2 2 2 3 2 3 3" xfId="13443" xr:uid="{00000000-0005-0000-0000-000099620000}"/>
    <cellStyle name="Normal 8 2 2 2 3 2 3 3 2" xfId="33158" xr:uid="{00000000-0005-0000-0000-00009A620000}"/>
    <cellStyle name="Normal 8 2 2 2 3 2 3 4" xfId="23301" xr:uid="{00000000-0005-0000-0000-00009B620000}"/>
    <cellStyle name="Normal 8 2 2 2 3 2 4" xfId="6047" xr:uid="{00000000-0005-0000-0000-00009C620000}"/>
    <cellStyle name="Normal 8 2 2 2 3 2 4 2" xfId="15907" xr:uid="{00000000-0005-0000-0000-00009D620000}"/>
    <cellStyle name="Normal 8 2 2 2 3 2 4 2 2" xfId="35622" xr:uid="{00000000-0005-0000-0000-00009E620000}"/>
    <cellStyle name="Normal 8 2 2 2 3 2 4 3" xfId="25765" xr:uid="{00000000-0005-0000-0000-00009F620000}"/>
    <cellStyle name="Normal 8 2 2 2 3 2 5" xfId="10979" xr:uid="{00000000-0005-0000-0000-0000A0620000}"/>
    <cellStyle name="Normal 8 2 2 2 3 2 5 2" xfId="30694" xr:uid="{00000000-0005-0000-0000-0000A1620000}"/>
    <cellStyle name="Normal 8 2 2 2 3 2 6" xfId="20837" xr:uid="{00000000-0005-0000-0000-0000A2620000}"/>
    <cellStyle name="Normal 8 2 2 2 3 3" xfId="1728" xr:uid="{00000000-0005-0000-0000-0000A3620000}"/>
    <cellStyle name="Normal 8 2 2 2 3 3 2" xfId="4195" xr:uid="{00000000-0005-0000-0000-0000A4620000}"/>
    <cellStyle name="Normal 8 2 2 2 3 3 2 2" xfId="9127" xr:uid="{00000000-0005-0000-0000-0000A5620000}"/>
    <cellStyle name="Normal 8 2 2 2 3 3 2 2 2" xfId="18987" xr:uid="{00000000-0005-0000-0000-0000A6620000}"/>
    <cellStyle name="Normal 8 2 2 2 3 3 2 2 2 2" xfId="38702" xr:uid="{00000000-0005-0000-0000-0000A7620000}"/>
    <cellStyle name="Normal 8 2 2 2 3 3 2 2 3" xfId="28845" xr:uid="{00000000-0005-0000-0000-0000A8620000}"/>
    <cellStyle name="Normal 8 2 2 2 3 3 2 3" xfId="14059" xr:uid="{00000000-0005-0000-0000-0000A9620000}"/>
    <cellStyle name="Normal 8 2 2 2 3 3 2 3 2" xfId="33774" xr:uid="{00000000-0005-0000-0000-0000AA620000}"/>
    <cellStyle name="Normal 8 2 2 2 3 3 2 4" xfId="23917" xr:uid="{00000000-0005-0000-0000-0000AB620000}"/>
    <cellStyle name="Normal 8 2 2 2 3 3 3" xfId="6663" xr:uid="{00000000-0005-0000-0000-0000AC620000}"/>
    <cellStyle name="Normal 8 2 2 2 3 3 3 2" xfId="16523" xr:uid="{00000000-0005-0000-0000-0000AD620000}"/>
    <cellStyle name="Normal 8 2 2 2 3 3 3 2 2" xfId="36238" xr:uid="{00000000-0005-0000-0000-0000AE620000}"/>
    <cellStyle name="Normal 8 2 2 2 3 3 3 3" xfId="26381" xr:uid="{00000000-0005-0000-0000-0000AF620000}"/>
    <cellStyle name="Normal 8 2 2 2 3 3 4" xfId="11595" xr:uid="{00000000-0005-0000-0000-0000B0620000}"/>
    <cellStyle name="Normal 8 2 2 2 3 3 4 2" xfId="31310" xr:uid="{00000000-0005-0000-0000-0000B1620000}"/>
    <cellStyle name="Normal 8 2 2 2 3 3 5" xfId="21453" xr:uid="{00000000-0005-0000-0000-0000B2620000}"/>
    <cellStyle name="Normal 8 2 2 2 3 4" xfId="2963" xr:uid="{00000000-0005-0000-0000-0000B3620000}"/>
    <cellStyle name="Normal 8 2 2 2 3 4 2" xfId="7895" xr:uid="{00000000-0005-0000-0000-0000B4620000}"/>
    <cellStyle name="Normal 8 2 2 2 3 4 2 2" xfId="17755" xr:uid="{00000000-0005-0000-0000-0000B5620000}"/>
    <cellStyle name="Normal 8 2 2 2 3 4 2 2 2" xfId="37470" xr:uid="{00000000-0005-0000-0000-0000B6620000}"/>
    <cellStyle name="Normal 8 2 2 2 3 4 2 3" xfId="27613" xr:uid="{00000000-0005-0000-0000-0000B7620000}"/>
    <cellStyle name="Normal 8 2 2 2 3 4 3" xfId="12827" xr:uid="{00000000-0005-0000-0000-0000B8620000}"/>
    <cellStyle name="Normal 8 2 2 2 3 4 3 2" xfId="32542" xr:uid="{00000000-0005-0000-0000-0000B9620000}"/>
    <cellStyle name="Normal 8 2 2 2 3 4 4" xfId="22685" xr:uid="{00000000-0005-0000-0000-0000BA620000}"/>
    <cellStyle name="Normal 8 2 2 2 3 5" xfId="5431" xr:uid="{00000000-0005-0000-0000-0000BB620000}"/>
    <cellStyle name="Normal 8 2 2 2 3 5 2" xfId="15291" xr:uid="{00000000-0005-0000-0000-0000BC620000}"/>
    <cellStyle name="Normal 8 2 2 2 3 5 2 2" xfId="35006" xr:uid="{00000000-0005-0000-0000-0000BD620000}"/>
    <cellStyle name="Normal 8 2 2 2 3 5 3" xfId="25149" xr:uid="{00000000-0005-0000-0000-0000BE620000}"/>
    <cellStyle name="Normal 8 2 2 2 3 6" xfId="10363" xr:uid="{00000000-0005-0000-0000-0000BF620000}"/>
    <cellStyle name="Normal 8 2 2 2 3 6 2" xfId="30078" xr:uid="{00000000-0005-0000-0000-0000C0620000}"/>
    <cellStyle name="Normal 8 2 2 2 3 7" xfId="20221" xr:uid="{00000000-0005-0000-0000-0000C1620000}"/>
    <cellStyle name="Normal 8 2 2 2 4" xfId="802" xr:uid="{00000000-0005-0000-0000-0000C2620000}"/>
    <cellStyle name="Normal 8 2 2 2 4 2" xfId="2038" xr:uid="{00000000-0005-0000-0000-0000C3620000}"/>
    <cellStyle name="Normal 8 2 2 2 4 2 2" xfId="4505" xr:uid="{00000000-0005-0000-0000-0000C4620000}"/>
    <cellStyle name="Normal 8 2 2 2 4 2 2 2" xfId="9437" xr:uid="{00000000-0005-0000-0000-0000C5620000}"/>
    <cellStyle name="Normal 8 2 2 2 4 2 2 2 2" xfId="19297" xr:uid="{00000000-0005-0000-0000-0000C6620000}"/>
    <cellStyle name="Normal 8 2 2 2 4 2 2 2 2 2" xfId="39012" xr:uid="{00000000-0005-0000-0000-0000C7620000}"/>
    <cellStyle name="Normal 8 2 2 2 4 2 2 2 3" xfId="29155" xr:uid="{00000000-0005-0000-0000-0000C8620000}"/>
    <cellStyle name="Normal 8 2 2 2 4 2 2 3" xfId="14369" xr:uid="{00000000-0005-0000-0000-0000C9620000}"/>
    <cellStyle name="Normal 8 2 2 2 4 2 2 3 2" xfId="34084" xr:uid="{00000000-0005-0000-0000-0000CA620000}"/>
    <cellStyle name="Normal 8 2 2 2 4 2 2 4" xfId="24227" xr:uid="{00000000-0005-0000-0000-0000CB620000}"/>
    <cellStyle name="Normal 8 2 2 2 4 2 3" xfId="6973" xr:uid="{00000000-0005-0000-0000-0000CC620000}"/>
    <cellStyle name="Normal 8 2 2 2 4 2 3 2" xfId="16833" xr:uid="{00000000-0005-0000-0000-0000CD620000}"/>
    <cellStyle name="Normal 8 2 2 2 4 2 3 2 2" xfId="36548" xr:uid="{00000000-0005-0000-0000-0000CE620000}"/>
    <cellStyle name="Normal 8 2 2 2 4 2 3 3" xfId="26691" xr:uid="{00000000-0005-0000-0000-0000CF620000}"/>
    <cellStyle name="Normal 8 2 2 2 4 2 4" xfId="11905" xr:uid="{00000000-0005-0000-0000-0000D0620000}"/>
    <cellStyle name="Normal 8 2 2 2 4 2 4 2" xfId="31620" xr:uid="{00000000-0005-0000-0000-0000D1620000}"/>
    <cellStyle name="Normal 8 2 2 2 4 2 5" xfId="21763" xr:uid="{00000000-0005-0000-0000-0000D2620000}"/>
    <cellStyle name="Normal 8 2 2 2 4 3" xfId="3273" xr:uid="{00000000-0005-0000-0000-0000D3620000}"/>
    <cellStyle name="Normal 8 2 2 2 4 3 2" xfId="8205" xr:uid="{00000000-0005-0000-0000-0000D4620000}"/>
    <cellStyle name="Normal 8 2 2 2 4 3 2 2" xfId="18065" xr:uid="{00000000-0005-0000-0000-0000D5620000}"/>
    <cellStyle name="Normal 8 2 2 2 4 3 2 2 2" xfId="37780" xr:uid="{00000000-0005-0000-0000-0000D6620000}"/>
    <cellStyle name="Normal 8 2 2 2 4 3 2 3" xfId="27923" xr:uid="{00000000-0005-0000-0000-0000D7620000}"/>
    <cellStyle name="Normal 8 2 2 2 4 3 3" xfId="13137" xr:uid="{00000000-0005-0000-0000-0000D8620000}"/>
    <cellStyle name="Normal 8 2 2 2 4 3 3 2" xfId="32852" xr:uid="{00000000-0005-0000-0000-0000D9620000}"/>
    <cellStyle name="Normal 8 2 2 2 4 3 4" xfId="22995" xr:uid="{00000000-0005-0000-0000-0000DA620000}"/>
    <cellStyle name="Normal 8 2 2 2 4 4" xfId="5741" xr:uid="{00000000-0005-0000-0000-0000DB620000}"/>
    <cellStyle name="Normal 8 2 2 2 4 4 2" xfId="15601" xr:uid="{00000000-0005-0000-0000-0000DC620000}"/>
    <cellStyle name="Normal 8 2 2 2 4 4 2 2" xfId="35316" xr:uid="{00000000-0005-0000-0000-0000DD620000}"/>
    <cellStyle name="Normal 8 2 2 2 4 4 3" xfId="25459" xr:uid="{00000000-0005-0000-0000-0000DE620000}"/>
    <cellStyle name="Normal 8 2 2 2 4 5" xfId="10673" xr:uid="{00000000-0005-0000-0000-0000DF620000}"/>
    <cellStyle name="Normal 8 2 2 2 4 5 2" xfId="30388" xr:uid="{00000000-0005-0000-0000-0000E0620000}"/>
    <cellStyle name="Normal 8 2 2 2 4 6" xfId="20531" xr:uid="{00000000-0005-0000-0000-0000E1620000}"/>
    <cellStyle name="Normal 8 2 2 2 5" xfId="1422" xr:uid="{00000000-0005-0000-0000-0000E2620000}"/>
    <cellStyle name="Normal 8 2 2 2 5 2" xfId="3889" xr:uid="{00000000-0005-0000-0000-0000E3620000}"/>
    <cellStyle name="Normal 8 2 2 2 5 2 2" xfId="8821" xr:uid="{00000000-0005-0000-0000-0000E4620000}"/>
    <cellStyle name="Normal 8 2 2 2 5 2 2 2" xfId="18681" xr:uid="{00000000-0005-0000-0000-0000E5620000}"/>
    <cellStyle name="Normal 8 2 2 2 5 2 2 2 2" xfId="38396" xr:uid="{00000000-0005-0000-0000-0000E6620000}"/>
    <cellStyle name="Normal 8 2 2 2 5 2 2 3" xfId="28539" xr:uid="{00000000-0005-0000-0000-0000E7620000}"/>
    <cellStyle name="Normal 8 2 2 2 5 2 3" xfId="13753" xr:uid="{00000000-0005-0000-0000-0000E8620000}"/>
    <cellStyle name="Normal 8 2 2 2 5 2 3 2" xfId="33468" xr:uid="{00000000-0005-0000-0000-0000E9620000}"/>
    <cellStyle name="Normal 8 2 2 2 5 2 4" xfId="23611" xr:uid="{00000000-0005-0000-0000-0000EA620000}"/>
    <cellStyle name="Normal 8 2 2 2 5 3" xfId="6357" xr:uid="{00000000-0005-0000-0000-0000EB620000}"/>
    <cellStyle name="Normal 8 2 2 2 5 3 2" xfId="16217" xr:uid="{00000000-0005-0000-0000-0000EC620000}"/>
    <cellStyle name="Normal 8 2 2 2 5 3 2 2" xfId="35932" xr:uid="{00000000-0005-0000-0000-0000ED620000}"/>
    <cellStyle name="Normal 8 2 2 2 5 3 3" xfId="26075" xr:uid="{00000000-0005-0000-0000-0000EE620000}"/>
    <cellStyle name="Normal 8 2 2 2 5 4" xfId="11289" xr:uid="{00000000-0005-0000-0000-0000EF620000}"/>
    <cellStyle name="Normal 8 2 2 2 5 4 2" xfId="31004" xr:uid="{00000000-0005-0000-0000-0000F0620000}"/>
    <cellStyle name="Normal 8 2 2 2 5 5" xfId="21147" xr:uid="{00000000-0005-0000-0000-0000F1620000}"/>
    <cellStyle name="Normal 8 2 2 2 6" xfId="2657" xr:uid="{00000000-0005-0000-0000-0000F2620000}"/>
    <cellStyle name="Normal 8 2 2 2 6 2" xfId="7589" xr:uid="{00000000-0005-0000-0000-0000F3620000}"/>
    <cellStyle name="Normal 8 2 2 2 6 2 2" xfId="17449" xr:uid="{00000000-0005-0000-0000-0000F4620000}"/>
    <cellStyle name="Normal 8 2 2 2 6 2 2 2" xfId="37164" xr:uid="{00000000-0005-0000-0000-0000F5620000}"/>
    <cellStyle name="Normal 8 2 2 2 6 2 3" xfId="27307" xr:uid="{00000000-0005-0000-0000-0000F6620000}"/>
    <cellStyle name="Normal 8 2 2 2 6 3" xfId="12521" xr:uid="{00000000-0005-0000-0000-0000F7620000}"/>
    <cellStyle name="Normal 8 2 2 2 6 3 2" xfId="32236" xr:uid="{00000000-0005-0000-0000-0000F8620000}"/>
    <cellStyle name="Normal 8 2 2 2 6 4" xfId="22379" xr:uid="{00000000-0005-0000-0000-0000F9620000}"/>
    <cellStyle name="Normal 8 2 2 2 7" xfId="5125" xr:uid="{00000000-0005-0000-0000-0000FA620000}"/>
    <cellStyle name="Normal 8 2 2 2 7 2" xfId="14985" xr:uid="{00000000-0005-0000-0000-0000FB620000}"/>
    <cellStyle name="Normal 8 2 2 2 7 2 2" xfId="34700" xr:uid="{00000000-0005-0000-0000-0000FC620000}"/>
    <cellStyle name="Normal 8 2 2 2 7 3" xfId="24843" xr:uid="{00000000-0005-0000-0000-0000FD620000}"/>
    <cellStyle name="Normal 8 2 2 2 8" xfId="10057" xr:uid="{00000000-0005-0000-0000-0000FE620000}"/>
    <cellStyle name="Normal 8 2 2 2 8 2" xfId="29772" xr:uid="{00000000-0005-0000-0000-0000FF620000}"/>
    <cellStyle name="Normal 8 2 2 2 9" xfId="19915" xr:uid="{00000000-0005-0000-0000-000000630000}"/>
    <cellStyle name="Normal 8 2 2 3" xfId="251" xr:uid="{00000000-0005-0000-0000-000001630000}"/>
    <cellStyle name="Normal 8 2 2 3 2" xfId="565" xr:uid="{00000000-0005-0000-0000-000002630000}"/>
    <cellStyle name="Normal 8 2 2 3 2 2" xfId="1185" xr:uid="{00000000-0005-0000-0000-000003630000}"/>
    <cellStyle name="Normal 8 2 2 3 2 2 2" xfId="2420" xr:uid="{00000000-0005-0000-0000-000004630000}"/>
    <cellStyle name="Normal 8 2 2 3 2 2 2 2" xfId="4887" xr:uid="{00000000-0005-0000-0000-000005630000}"/>
    <cellStyle name="Normal 8 2 2 3 2 2 2 2 2" xfId="9819" xr:uid="{00000000-0005-0000-0000-000006630000}"/>
    <cellStyle name="Normal 8 2 2 3 2 2 2 2 2 2" xfId="19679" xr:uid="{00000000-0005-0000-0000-000007630000}"/>
    <cellStyle name="Normal 8 2 2 3 2 2 2 2 2 2 2" xfId="39394" xr:uid="{00000000-0005-0000-0000-000008630000}"/>
    <cellStyle name="Normal 8 2 2 3 2 2 2 2 2 3" xfId="29537" xr:uid="{00000000-0005-0000-0000-000009630000}"/>
    <cellStyle name="Normal 8 2 2 3 2 2 2 2 3" xfId="14751" xr:uid="{00000000-0005-0000-0000-00000A630000}"/>
    <cellStyle name="Normal 8 2 2 3 2 2 2 2 3 2" xfId="34466" xr:uid="{00000000-0005-0000-0000-00000B630000}"/>
    <cellStyle name="Normal 8 2 2 3 2 2 2 2 4" xfId="24609" xr:uid="{00000000-0005-0000-0000-00000C630000}"/>
    <cellStyle name="Normal 8 2 2 3 2 2 2 3" xfId="7355" xr:uid="{00000000-0005-0000-0000-00000D630000}"/>
    <cellStyle name="Normal 8 2 2 3 2 2 2 3 2" xfId="17215" xr:uid="{00000000-0005-0000-0000-00000E630000}"/>
    <cellStyle name="Normal 8 2 2 3 2 2 2 3 2 2" xfId="36930" xr:uid="{00000000-0005-0000-0000-00000F630000}"/>
    <cellStyle name="Normal 8 2 2 3 2 2 2 3 3" xfId="27073" xr:uid="{00000000-0005-0000-0000-000010630000}"/>
    <cellStyle name="Normal 8 2 2 3 2 2 2 4" xfId="12287" xr:uid="{00000000-0005-0000-0000-000011630000}"/>
    <cellStyle name="Normal 8 2 2 3 2 2 2 4 2" xfId="32002" xr:uid="{00000000-0005-0000-0000-000012630000}"/>
    <cellStyle name="Normal 8 2 2 3 2 2 2 5" xfId="22145" xr:uid="{00000000-0005-0000-0000-000013630000}"/>
    <cellStyle name="Normal 8 2 2 3 2 2 3" xfId="3655" xr:uid="{00000000-0005-0000-0000-000014630000}"/>
    <cellStyle name="Normal 8 2 2 3 2 2 3 2" xfId="8587" xr:uid="{00000000-0005-0000-0000-000015630000}"/>
    <cellStyle name="Normal 8 2 2 3 2 2 3 2 2" xfId="18447" xr:uid="{00000000-0005-0000-0000-000016630000}"/>
    <cellStyle name="Normal 8 2 2 3 2 2 3 2 2 2" xfId="38162" xr:uid="{00000000-0005-0000-0000-000017630000}"/>
    <cellStyle name="Normal 8 2 2 3 2 2 3 2 3" xfId="28305" xr:uid="{00000000-0005-0000-0000-000018630000}"/>
    <cellStyle name="Normal 8 2 2 3 2 2 3 3" xfId="13519" xr:uid="{00000000-0005-0000-0000-000019630000}"/>
    <cellStyle name="Normal 8 2 2 3 2 2 3 3 2" xfId="33234" xr:uid="{00000000-0005-0000-0000-00001A630000}"/>
    <cellStyle name="Normal 8 2 2 3 2 2 3 4" xfId="23377" xr:uid="{00000000-0005-0000-0000-00001B630000}"/>
    <cellStyle name="Normal 8 2 2 3 2 2 4" xfId="6123" xr:uid="{00000000-0005-0000-0000-00001C630000}"/>
    <cellStyle name="Normal 8 2 2 3 2 2 4 2" xfId="15983" xr:uid="{00000000-0005-0000-0000-00001D630000}"/>
    <cellStyle name="Normal 8 2 2 3 2 2 4 2 2" xfId="35698" xr:uid="{00000000-0005-0000-0000-00001E630000}"/>
    <cellStyle name="Normal 8 2 2 3 2 2 4 3" xfId="25841" xr:uid="{00000000-0005-0000-0000-00001F630000}"/>
    <cellStyle name="Normal 8 2 2 3 2 2 5" xfId="11055" xr:uid="{00000000-0005-0000-0000-000020630000}"/>
    <cellStyle name="Normal 8 2 2 3 2 2 5 2" xfId="30770" xr:uid="{00000000-0005-0000-0000-000021630000}"/>
    <cellStyle name="Normal 8 2 2 3 2 2 6" xfId="20913" xr:uid="{00000000-0005-0000-0000-000022630000}"/>
    <cellStyle name="Normal 8 2 2 3 2 3" xfId="1804" xr:uid="{00000000-0005-0000-0000-000023630000}"/>
    <cellStyle name="Normal 8 2 2 3 2 3 2" xfId="4271" xr:uid="{00000000-0005-0000-0000-000024630000}"/>
    <cellStyle name="Normal 8 2 2 3 2 3 2 2" xfId="9203" xr:uid="{00000000-0005-0000-0000-000025630000}"/>
    <cellStyle name="Normal 8 2 2 3 2 3 2 2 2" xfId="19063" xr:uid="{00000000-0005-0000-0000-000026630000}"/>
    <cellStyle name="Normal 8 2 2 3 2 3 2 2 2 2" xfId="38778" xr:uid="{00000000-0005-0000-0000-000027630000}"/>
    <cellStyle name="Normal 8 2 2 3 2 3 2 2 3" xfId="28921" xr:uid="{00000000-0005-0000-0000-000028630000}"/>
    <cellStyle name="Normal 8 2 2 3 2 3 2 3" xfId="14135" xr:uid="{00000000-0005-0000-0000-000029630000}"/>
    <cellStyle name="Normal 8 2 2 3 2 3 2 3 2" xfId="33850" xr:uid="{00000000-0005-0000-0000-00002A630000}"/>
    <cellStyle name="Normal 8 2 2 3 2 3 2 4" xfId="23993" xr:uid="{00000000-0005-0000-0000-00002B630000}"/>
    <cellStyle name="Normal 8 2 2 3 2 3 3" xfId="6739" xr:uid="{00000000-0005-0000-0000-00002C630000}"/>
    <cellStyle name="Normal 8 2 2 3 2 3 3 2" xfId="16599" xr:uid="{00000000-0005-0000-0000-00002D630000}"/>
    <cellStyle name="Normal 8 2 2 3 2 3 3 2 2" xfId="36314" xr:uid="{00000000-0005-0000-0000-00002E630000}"/>
    <cellStyle name="Normal 8 2 2 3 2 3 3 3" xfId="26457" xr:uid="{00000000-0005-0000-0000-00002F630000}"/>
    <cellStyle name="Normal 8 2 2 3 2 3 4" xfId="11671" xr:uid="{00000000-0005-0000-0000-000030630000}"/>
    <cellStyle name="Normal 8 2 2 3 2 3 4 2" xfId="31386" xr:uid="{00000000-0005-0000-0000-000031630000}"/>
    <cellStyle name="Normal 8 2 2 3 2 3 5" xfId="21529" xr:uid="{00000000-0005-0000-0000-000032630000}"/>
    <cellStyle name="Normal 8 2 2 3 2 4" xfId="3039" xr:uid="{00000000-0005-0000-0000-000033630000}"/>
    <cellStyle name="Normal 8 2 2 3 2 4 2" xfId="7971" xr:uid="{00000000-0005-0000-0000-000034630000}"/>
    <cellStyle name="Normal 8 2 2 3 2 4 2 2" xfId="17831" xr:uid="{00000000-0005-0000-0000-000035630000}"/>
    <cellStyle name="Normal 8 2 2 3 2 4 2 2 2" xfId="37546" xr:uid="{00000000-0005-0000-0000-000036630000}"/>
    <cellStyle name="Normal 8 2 2 3 2 4 2 3" xfId="27689" xr:uid="{00000000-0005-0000-0000-000037630000}"/>
    <cellStyle name="Normal 8 2 2 3 2 4 3" xfId="12903" xr:uid="{00000000-0005-0000-0000-000038630000}"/>
    <cellStyle name="Normal 8 2 2 3 2 4 3 2" xfId="32618" xr:uid="{00000000-0005-0000-0000-000039630000}"/>
    <cellStyle name="Normal 8 2 2 3 2 4 4" xfId="22761" xr:uid="{00000000-0005-0000-0000-00003A630000}"/>
    <cellStyle name="Normal 8 2 2 3 2 5" xfId="5507" xr:uid="{00000000-0005-0000-0000-00003B630000}"/>
    <cellStyle name="Normal 8 2 2 3 2 5 2" xfId="15367" xr:uid="{00000000-0005-0000-0000-00003C630000}"/>
    <cellStyle name="Normal 8 2 2 3 2 5 2 2" xfId="35082" xr:uid="{00000000-0005-0000-0000-00003D630000}"/>
    <cellStyle name="Normal 8 2 2 3 2 5 3" xfId="25225" xr:uid="{00000000-0005-0000-0000-00003E630000}"/>
    <cellStyle name="Normal 8 2 2 3 2 6" xfId="10439" xr:uid="{00000000-0005-0000-0000-00003F630000}"/>
    <cellStyle name="Normal 8 2 2 3 2 6 2" xfId="30154" xr:uid="{00000000-0005-0000-0000-000040630000}"/>
    <cellStyle name="Normal 8 2 2 3 2 7" xfId="20297" xr:uid="{00000000-0005-0000-0000-000041630000}"/>
    <cellStyle name="Normal 8 2 2 3 3" xfId="878" xr:uid="{00000000-0005-0000-0000-000042630000}"/>
    <cellStyle name="Normal 8 2 2 3 3 2" xfId="2114" xr:uid="{00000000-0005-0000-0000-000043630000}"/>
    <cellStyle name="Normal 8 2 2 3 3 2 2" xfId="4581" xr:uid="{00000000-0005-0000-0000-000044630000}"/>
    <cellStyle name="Normal 8 2 2 3 3 2 2 2" xfId="9513" xr:uid="{00000000-0005-0000-0000-000045630000}"/>
    <cellStyle name="Normal 8 2 2 3 3 2 2 2 2" xfId="19373" xr:uid="{00000000-0005-0000-0000-000046630000}"/>
    <cellStyle name="Normal 8 2 2 3 3 2 2 2 2 2" xfId="39088" xr:uid="{00000000-0005-0000-0000-000047630000}"/>
    <cellStyle name="Normal 8 2 2 3 3 2 2 2 3" xfId="29231" xr:uid="{00000000-0005-0000-0000-000048630000}"/>
    <cellStyle name="Normal 8 2 2 3 3 2 2 3" xfId="14445" xr:uid="{00000000-0005-0000-0000-000049630000}"/>
    <cellStyle name="Normal 8 2 2 3 3 2 2 3 2" xfId="34160" xr:uid="{00000000-0005-0000-0000-00004A630000}"/>
    <cellStyle name="Normal 8 2 2 3 3 2 2 4" xfId="24303" xr:uid="{00000000-0005-0000-0000-00004B630000}"/>
    <cellStyle name="Normal 8 2 2 3 3 2 3" xfId="7049" xr:uid="{00000000-0005-0000-0000-00004C630000}"/>
    <cellStyle name="Normal 8 2 2 3 3 2 3 2" xfId="16909" xr:uid="{00000000-0005-0000-0000-00004D630000}"/>
    <cellStyle name="Normal 8 2 2 3 3 2 3 2 2" xfId="36624" xr:uid="{00000000-0005-0000-0000-00004E630000}"/>
    <cellStyle name="Normal 8 2 2 3 3 2 3 3" xfId="26767" xr:uid="{00000000-0005-0000-0000-00004F630000}"/>
    <cellStyle name="Normal 8 2 2 3 3 2 4" xfId="11981" xr:uid="{00000000-0005-0000-0000-000050630000}"/>
    <cellStyle name="Normal 8 2 2 3 3 2 4 2" xfId="31696" xr:uid="{00000000-0005-0000-0000-000051630000}"/>
    <cellStyle name="Normal 8 2 2 3 3 2 5" xfId="21839" xr:uid="{00000000-0005-0000-0000-000052630000}"/>
    <cellStyle name="Normal 8 2 2 3 3 3" xfId="3349" xr:uid="{00000000-0005-0000-0000-000053630000}"/>
    <cellStyle name="Normal 8 2 2 3 3 3 2" xfId="8281" xr:uid="{00000000-0005-0000-0000-000054630000}"/>
    <cellStyle name="Normal 8 2 2 3 3 3 2 2" xfId="18141" xr:uid="{00000000-0005-0000-0000-000055630000}"/>
    <cellStyle name="Normal 8 2 2 3 3 3 2 2 2" xfId="37856" xr:uid="{00000000-0005-0000-0000-000056630000}"/>
    <cellStyle name="Normal 8 2 2 3 3 3 2 3" xfId="27999" xr:uid="{00000000-0005-0000-0000-000057630000}"/>
    <cellStyle name="Normal 8 2 2 3 3 3 3" xfId="13213" xr:uid="{00000000-0005-0000-0000-000058630000}"/>
    <cellStyle name="Normal 8 2 2 3 3 3 3 2" xfId="32928" xr:uid="{00000000-0005-0000-0000-000059630000}"/>
    <cellStyle name="Normal 8 2 2 3 3 3 4" xfId="23071" xr:uid="{00000000-0005-0000-0000-00005A630000}"/>
    <cellStyle name="Normal 8 2 2 3 3 4" xfId="5817" xr:uid="{00000000-0005-0000-0000-00005B630000}"/>
    <cellStyle name="Normal 8 2 2 3 3 4 2" xfId="15677" xr:uid="{00000000-0005-0000-0000-00005C630000}"/>
    <cellStyle name="Normal 8 2 2 3 3 4 2 2" xfId="35392" xr:uid="{00000000-0005-0000-0000-00005D630000}"/>
    <cellStyle name="Normal 8 2 2 3 3 4 3" xfId="25535" xr:uid="{00000000-0005-0000-0000-00005E630000}"/>
    <cellStyle name="Normal 8 2 2 3 3 5" xfId="10749" xr:uid="{00000000-0005-0000-0000-00005F630000}"/>
    <cellStyle name="Normal 8 2 2 3 3 5 2" xfId="30464" xr:uid="{00000000-0005-0000-0000-000060630000}"/>
    <cellStyle name="Normal 8 2 2 3 3 6" xfId="20607" xr:uid="{00000000-0005-0000-0000-000061630000}"/>
    <cellStyle name="Normal 8 2 2 3 4" xfId="1498" xr:uid="{00000000-0005-0000-0000-000062630000}"/>
    <cellStyle name="Normal 8 2 2 3 4 2" xfId="3965" xr:uid="{00000000-0005-0000-0000-000063630000}"/>
    <cellStyle name="Normal 8 2 2 3 4 2 2" xfId="8897" xr:uid="{00000000-0005-0000-0000-000064630000}"/>
    <cellStyle name="Normal 8 2 2 3 4 2 2 2" xfId="18757" xr:uid="{00000000-0005-0000-0000-000065630000}"/>
    <cellStyle name="Normal 8 2 2 3 4 2 2 2 2" xfId="38472" xr:uid="{00000000-0005-0000-0000-000066630000}"/>
    <cellStyle name="Normal 8 2 2 3 4 2 2 3" xfId="28615" xr:uid="{00000000-0005-0000-0000-000067630000}"/>
    <cellStyle name="Normal 8 2 2 3 4 2 3" xfId="13829" xr:uid="{00000000-0005-0000-0000-000068630000}"/>
    <cellStyle name="Normal 8 2 2 3 4 2 3 2" xfId="33544" xr:uid="{00000000-0005-0000-0000-000069630000}"/>
    <cellStyle name="Normal 8 2 2 3 4 2 4" xfId="23687" xr:uid="{00000000-0005-0000-0000-00006A630000}"/>
    <cellStyle name="Normal 8 2 2 3 4 3" xfId="6433" xr:uid="{00000000-0005-0000-0000-00006B630000}"/>
    <cellStyle name="Normal 8 2 2 3 4 3 2" xfId="16293" xr:uid="{00000000-0005-0000-0000-00006C630000}"/>
    <cellStyle name="Normal 8 2 2 3 4 3 2 2" xfId="36008" xr:uid="{00000000-0005-0000-0000-00006D630000}"/>
    <cellStyle name="Normal 8 2 2 3 4 3 3" xfId="26151" xr:uid="{00000000-0005-0000-0000-00006E630000}"/>
    <cellStyle name="Normal 8 2 2 3 4 4" xfId="11365" xr:uid="{00000000-0005-0000-0000-00006F630000}"/>
    <cellStyle name="Normal 8 2 2 3 4 4 2" xfId="31080" xr:uid="{00000000-0005-0000-0000-000070630000}"/>
    <cellStyle name="Normal 8 2 2 3 4 5" xfId="21223" xr:uid="{00000000-0005-0000-0000-000071630000}"/>
    <cellStyle name="Normal 8 2 2 3 5" xfId="2733" xr:uid="{00000000-0005-0000-0000-000072630000}"/>
    <cellStyle name="Normal 8 2 2 3 5 2" xfId="7665" xr:uid="{00000000-0005-0000-0000-000073630000}"/>
    <cellStyle name="Normal 8 2 2 3 5 2 2" xfId="17525" xr:uid="{00000000-0005-0000-0000-000074630000}"/>
    <cellStyle name="Normal 8 2 2 3 5 2 2 2" xfId="37240" xr:uid="{00000000-0005-0000-0000-000075630000}"/>
    <cellStyle name="Normal 8 2 2 3 5 2 3" xfId="27383" xr:uid="{00000000-0005-0000-0000-000076630000}"/>
    <cellStyle name="Normal 8 2 2 3 5 3" xfId="12597" xr:uid="{00000000-0005-0000-0000-000077630000}"/>
    <cellStyle name="Normal 8 2 2 3 5 3 2" xfId="32312" xr:uid="{00000000-0005-0000-0000-000078630000}"/>
    <cellStyle name="Normal 8 2 2 3 5 4" xfId="22455" xr:uid="{00000000-0005-0000-0000-000079630000}"/>
    <cellStyle name="Normal 8 2 2 3 6" xfId="5201" xr:uid="{00000000-0005-0000-0000-00007A630000}"/>
    <cellStyle name="Normal 8 2 2 3 6 2" xfId="15061" xr:uid="{00000000-0005-0000-0000-00007B630000}"/>
    <cellStyle name="Normal 8 2 2 3 6 2 2" xfId="34776" xr:uid="{00000000-0005-0000-0000-00007C630000}"/>
    <cellStyle name="Normal 8 2 2 3 6 3" xfId="24919" xr:uid="{00000000-0005-0000-0000-00007D630000}"/>
    <cellStyle name="Normal 8 2 2 3 7" xfId="10133" xr:uid="{00000000-0005-0000-0000-00007E630000}"/>
    <cellStyle name="Normal 8 2 2 3 7 2" xfId="29848" xr:uid="{00000000-0005-0000-0000-00007F630000}"/>
    <cellStyle name="Normal 8 2 2 3 8" xfId="19991" xr:uid="{00000000-0005-0000-0000-000080630000}"/>
    <cellStyle name="Normal 8 2 2 4" xfId="413" xr:uid="{00000000-0005-0000-0000-000081630000}"/>
    <cellStyle name="Normal 8 2 2 4 2" xfId="1033" xr:uid="{00000000-0005-0000-0000-000082630000}"/>
    <cellStyle name="Normal 8 2 2 4 2 2" xfId="2268" xr:uid="{00000000-0005-0000-0000-000083630000}"/>
    <cellStyle name="Normal 8 2 2 4 2 2 2" xfId="4735" xr:uid="{00000000-0005-0000-0000-000084630000}"/>
    <cellStyle name="Normal 8 2 2 4 2 2 2 2" xfId="9667" xr:uid="{00000000-0005-0000-0000-000085630000}"/>
    <cellStyle name="Normal 8 2 2 4 2 2 2 2 2" xfId="19527" xr:uid="{00000000-0005-0000-0000-000086630000}"/>
    <cellStyle name="Normal 8 2 2 4 2 2 2 2 2 2" xfId="39242" xr:uid="{00000000-0005-0000-0000-000087630000}"/>
    <cellStyle name="Normal 8 2 2 4 2 2 2 2 3" xfId="29385" xr:uid="{00000000-0005-0000-0000-000088630000}"/>
    <cellStyle name="Normal 8 2 2 4 2 2 2 3" xfId="14599" xr:uid="{00000000-0005-0000-0000-000089630000}"/>
    <cellStyle name="Normal 8 2 2 4 2 2 2 3 2" xfId="34314" xr:uid="{00000000-0005-0000-0000-00008A630000}"/>
    <cellStyle name="Normal 8 2 2 4 2 2 2 4" xfId="24457" xr:uid="{00000000-0005-0000-0000-00008B630000}"/>
    <cellStyle name="Normal 8 2 2 4 2 2 3" xfId="7203" xr:uid="{00000000-0005-0000-0000-00008C630000}"/>
    <cellStyle name="Normal 8 2 2 4 2 2 3 2" xfId="17063" xr:uid="{00000000-0005-0000-0000-00008D630000}"/>
    <cellStyle name="Normal 8 2 2 4 2 2 3 2 2" xfId="36778" xr:uid="{00000000-0005-0000-0000-00008E630000}"/>
    <cellStyle name="Normal 8 2 2 4 2 2 3 3" xfId="26921" xr:uid="{00000000-0005-0000-0000-00008F630000}"/>
    <cellStyle name="Normal 8 2 2 4 2 2 4" xfId="12135" xr:uid="{00000000-0005-0000-0000-000090630000}"/>
    <cellStyle name="Normal 8 2 2 4 2 2 4 2" xfId="31850" xr:uid="{00000000-0005-0000-0000-000091630000}"/>
    <cellStyle name="Normal 8 2 2 4 2 2 5" xfId="21993" xr:uid="{00000000-0005-0000-0000-000092630000}"/>
    <cellStyle name="Normal 8 2 2 4 2 3" xfId="3503" xr:uid="{00000000-0005-0000-0000-000093630000}"/>
    <cellStyle name="Normal 8 2 2 4 2 3 2" xfId="8435" xr:uid="{00000000-0005-0000-0000-000094630000}"/>
    <cellStyle name="Normal 8 2 2 4 2 3 2 2" xfId="18295" xr:uid="{00000000-0005-0000-0000-000095630000}"/>
    <cellStyle name="Normal 8 2 2 4 2 3 2 2 2" xfId="38010" xr:uid="{00000000-0005-0000-0000-000096630000}"/>
    <cellStyle name="Normal 8 2 2 4 2 3 2 3" xfId="28153" xr:uid="{00000000-0005-0000-0000-000097630000}"/>
    <cellStyle name="Normal 8 2 2 4 2 3 3" xfId="13367" xr:uid="{00000000-0005-0000-0000-000098630000}"/>
    <cellStyle name="Normal 8 2 2 4 2 3 3 2" xfId="33082" xr:uid="{00000000-0005-0000-0000-000099630000}"/>
    <cellStyle name="Normal 8 2 2 4 2 3 4" xfId="23225" xr:uid="{00000000-0005-0000-0000-00009A630000}"/>
    <cellStyle name="Normal 8 2 2 4 2 4" xfId="5971" xr:uid="{00000000-0005-0000-0000-00009B630000}"/>
    <cellStyle name="Normal 8 2 2 4 2 4 2" xfId="15831" xr:uid="{00000000-0005-0000-0000-00009C630000}"/>
    <cellStyle name="Normal 8 2 2 4 2 4 2 2" xfId="35546" xr:uid="{00000000-0005-0000-0000-00009D630000}"/>
    <cellStyle name="Normal 8 2 2 4 2 4 3" xfId="25689" xr:uid="{00000000-0005-0000-0000-00009E630000}"/>
    <cellStyle name="Normal 8 2 2 4 2 5" xfId="10903" xr:uid="{00000000-0005-0000-0000-00009F630000}"/>
    <cellStyle name="Normal 8 2 2 4 2 5 2" xfId="30618" xr:uid="{00000000-0005-0000-0000-0000A0630000}"/>
    <cellStyle name="Normal 8 2 2 4 2 6" xfId="20761" xr:uid="{00000000-0005-0000-0000-0000A1630000}"/>
    <cellStyle name="Normal 8 2 2 4 3" xfId="1652" xr:uid="{00000000-0005-0000-0000-0000A2630000}"/>
    <cellStyle name="Normal 8 2 2 4 3 2" xfId="4119" xr:uid="{00000000-0005-0000-0000-0000A3630000}"/>
    <cellStyle name="Normal 8 2 2 4 3 2 2" xfId="9051" xr:uid="{00000000-0005-0000-0000-0000A4630000}"/>
    <cellStyle name="Normal 8 2 2 4 3 2 2 2" xfId="18911" xr:uid="{00000000-0005-0000-0000-0000A5630000}"/>
    <cellStyle name="Normal 8 2 2 4 3 2 2 2 2" xfId="38626" xr:uid="{00000000-0005-0000-0000-0000A6630000}"/>
    <cellStyle name="Normal 8 2 2 4 3 2 2 3" xfId="28769" xr:uid="{00000000-0005-0000-0000-0000A7630000}"/>
    <cellStyle name="Normal 8 2 2 4 3 2 3" xfId="13983" xr:uid="{00000000-0005-0000-0000-0000A8630000}"/>
    <cellStyle name="Normal 8 2 2 4 3 2 3 2" xfId="33698" xr:uid="{00000000-0005-0000-0000-0000A9630000}"/>
    <cellStyle name="Normal 8 2 2 4 3 2 4" xfId="23841" xr:uid="{00000000-0005-0000-0000-0000AA630000}"/>
    <cellStyle name="Normal 8 2 2 4 3 3" xfId="6587" xr:uid="{00000000-0005-0000-0000-0000AB630000}"/>
    <cellStyle name="Normal 8 2 2 4 3 3 2" xfId="16447" xr:uid="{00000000-0005-0000-0000-0000AC630000}"/>
    <cellStyle name="Normal 8 2 2 4 3 3 2 2" xfId="36162" xr:uid="{00000000-0005-0000-0000-0000AD630000}"/>
    <cellStyle name="Normal 8 2 2 4 3 3 3" xfId="26305" xr:uid="{00000000-0005-0000-0000-0000AE630000}"/>
    <cellStyle name="Normal 8 2 2 4 3 4" xfId="11519" xr:uid="{00000000-0005-0000-0000-0000AF630000}"/>
    <cellStyle name="Normal 8 2 2 4 3 4 2" xfId="31234" xr:uid="{00000000-0005-0000-0000-0000B0630000}"/>
    <cellStyle name="Normal 8 2 2 4 3 5" xfId="21377" xr:uid="{00000000-0005-0000-0000-0000B1630000}"/>
    <cellStyle name="Normal 8 2 2 4 4" xfId="2887" xr:uid="{00000000-0005-0000-0000-0000B2630000}"/>
    <cellStyle name="Normal 8 2 2 4 4 2" xfId="7819" xr:uid="{00000000-0005-0000-0000-0000B3630000}"/>
    <cellStyle name="Normal 8 2 2 4 4 2 2" xfId="17679" xr:uid="{00000000-0005-0000-0000-0000B4630000}"/>
    <cellStyle name="Normal 8 2 2 4 4 2 2 2" xfId="37394" xr:uid="{00000000-0005-0000-0000-0000B5630000}"/>
    <cellStyle name="Normal 8 2 2 4 4 2 3" xfId="27537" xr:uid="{00000000-0005-0000-0000-0000B6630000}"/>
    <cellStyle name="Normal 8 2 2 4 4 3" xfId="12751" xr:uid="{00000000-0005-0000-0000-0000B7630000}"/>
    <cellStyle name="Normal 8 2 2 4 4 3 2" xfId="32466" xr:uid="{00000000-0005-0000-0000-0000B8630000}"/>
    <cellStyle name="Normal 8 2 2 4 4 4" xfId="22609" xr:uid="{00000000-0005-0000-0000-0000B9630000}"/>
    <cellStyle name="Normal 8 2 2 4 5" xfId="5355" xr:uid="{00000000-0005-0000-0000-0000BA630000}"/>
    <cellStyle name="Normal 8 2 2 4 5 2" xfId="15215" xr:uid="{00000000-0005-0000-0000-0000BB630000}"/>
    <cellStyle name="Normal 8 2 2 4 5 2 2" xfId="34930" xr:uid="{00000000-0005-0000-0000-0000BC630000}"/>
    <cellStyle name="Normal 8 2 2 4 5 3" xfId="25073" xr:uid="{00000000-0005-0000-0000-0000BD630000}"/>
    <cellStyle name="Normal 8 2 2 4 6" xfId="10287" xr:uid="{00000000-0005-0000-0000-0000BE630000}"/>
    <cellStyle name="Normal 8 2 2 4 6 2" xfId="30002" xr:uid="{00000000-0005-0000-0000-0000BF630000}"/>
    <cellStyle name="Normal 8 2 2 4 7" xfId="20145" xr:uid="{00000000-0005-0000-0000-0000C0630000}"/>
    <cellStyle name="Normal 8 2 2 5" xfId="726" xr:uid="{00000000-0005-0000-0000-0000C1630000}"/>
    <cellStyle name="Normal 8 2 2 5 2" xfId="1962" xr:uid="{00000000-0005-0000-0000-0000C2630000}"/>
    <cellStyle name="Normal 8 2 2 5 2 2" xfId="4429" xr:uid="{00000000-0005-0000-0000-0000C3630000}"/>
    <cellStyle name="Normal 8 2 2 5 2 2 2" xfId="9361" xr:uid="{00000000-0005-0000-0000-0000C4630000}"/>
    <cellStyle name="Normal 8 2 2 5 2 2 2 2" xfId="19221" xr:uid="{00000000-0005-0000-0000-0000C5630000}"/>
    <cellStyle name="Normal 8 2 2 5 2 2 2 2 2" xfId="38936" xr:uid="{00000000-0005-0000-0000-0000C6630000}"/>
    <cellStyle name="Normal 8 2 2 5 2 2 2 3" xfId="29079" xr:uid="{00000000-0005-0000-0000-0000C7630000}"/>
    <cellStyle name="Normal 8 2 2 5 2 2 3" xfId="14293" xr:uid="{00000000-0005-0000-0000-0000C8630000}"/>
    <cellStyle name="Normal 8 2 2 5 2 2 3 2" xfId="34008" xr:uid="{00000000-0005-0000-0000-0000C9630000}"/>
    <cellStyle name="Normal 8 2 2 5 2 2 4" xfId="24151" xr:uid="{00000000-0005-0000-0000-0000CA630000}"/>
    <cellStyle name="Normal 8 2 2 5 2 3" xfId="6897" xr:uid="{00000000-0005-0000-0000-0000CB630000}"/>
    <cellStyle name="Normal 8 2 2 5 2 3 2" xfId="16757" xr:uid="{00000000-0005-0000-0000-0000CC630000}"/>
    <cellStyle name="Normal 8 2 2 5 2 3 2 2" xfId="36472" xr:uid="{00000000-0005-0000-0000-0000CD630000}"/>
    <cellStyle name="Normal 8 2 2 5 2 3 3" xfId="26615" xr:uid="{00000000-0005-0000-0000-0000CE630000}"/>
    <cellStyle name="Normal 8 2 2 5 2 4" xfId="11829" xr:uid="{00000000-0005-0000-0000-0000CF630000}"/>
    <cellStyle name="Normal 8 2 2 5 2 4 2" xfId="31544" xr:uid="{00000000-0005-0000-0000-0000D0630000}"/>
    <cellStyle name="Normal 8 2 2 5 2 5" xfId="21687" xr:uid="{00000000-0005-0000-0000-0000D1630000}"/>
    <cellStyle name="Normal 8 2 2 5 3" xfId="3197" xr:uid="{00000000-0005-0000-0000-0000D2630000}"/>
    <cellStyle name="Normal 8 2 2 5 3 2" xfId="8129" xr:uid="{00000000-0005-0000-0000-0000D3630000}"/>
    <cellStyle name="Normal 8 2 2 5 3 2 2" xfId="17989" xr:uid="{00000000-0005-0000-0000-0000D4630000}"/>
    <cellStyle name="Normal 8 2 2 5 3 2 2 2" xfId="37704" xr:uid="{00000000-0005-0000-0000-0000D5630000}"/>
    <cellStyle name="Normal 8 2 2 5 3 2 3" xfId="27847" xr:uid="{00000000-0005-0000-0000-0000D6630000}"/>
    <cellStyle name="Normal 8 2 2 5 3 3" xfId="13061" xr:uid="{00000000-0005-0000-0000-0000D7630000}"/>
    <cellStyle name="Normal 8 2 2 5 3 3 2" xfId="32776" xr:uid="{00000000-0005-0000-0000-0000D8630000}"/>
    <cellStyle name="Normal 8 2 2 5 3 4" xfId="22919" xr:uid="{00000000-0005-0000-0000-0000D9630000}"/>
    <cellStyle name="Normal 8 2 2 5 4" xfId="5665" xr:uid="{00000000-0005-0000-0000-0000DA630000}"/>
    <cellStyle name="Normal 8 2 2 5 4 2" xfId="15525" xr:uid="{00000000-0005-0000-0000-0000DB630000}"/>
    <cellStyle name="Normal 8 2 2 5 4 2 2" xfId="35240" xr:uid="{00000000-0005-0000-0000-0000DC630000}"/>
    <cellStyle name="Normal 8 2 2 5 4 3" xfId="25383" xr:uid="{00000000-0005-0000-0000-0000DD630000}"/>
    <cellStyle name="Normal 8 2 2 5 5" xfId="10597" xr:uid="{00000000-0005-0000-0000-0000DE630000}"/>
    <cellStyle name="Normal 8 2 2 5 5 2" xfId="30312" xr:uid="{00000000-0005-0000-0000-0000DF630000}"/>
    <cellStyle name="Normal 8 2 2 5 6" xfId="20455" xr:uid="{00000000-0005-0000-0000-0000E0630000}"/>
    <cellStyle name="Normal 8 2 2 6" xfId="1346" xr:uid="{00000000-0005-0000-0000-0000E1630000}"/>
    <cellStyle name="Normal 8 2 2 6 2" xfId="3813" xr:uid="{00000000-0005-0000-0000-0000E2630000}"/>
    <cellStyle name="Normal 8 2 2 6 2 2" xfId="8745" xr:uid="{00000000-0005-0000-0000-0000E3630000}"/>
    <cellStyle name="Normal 8 2 2 6 2 2 2" xfId="18605" xr:uid="{00000000-0005-0000-0000-0000E4630000}"/>
    <cellStyle name="Normal 8 2 2 6 2 2 2 2" xfId="38320" xr:uid="{00000000-0005-0000-0000-0000E5630000}"/>
    <cellStyle name="Normal 8 2 2 6 2 2 3" xfId="28463" xr:uid="{00000000-0005-0000-0000-0000E6630000}"/>
    <cellStyle name="Normal 8 2 2 6 2 3" xfId="13677" xr:uid="{00000000-0005-0000-0000-0000E7630000}"/>
    <cellStyle name="Normal 8 2 2 6 2 3 2" xfId="33392" xr:uid="{00000000-0005-0000-0000-0000E8630000}"/>
    <cellStyle name="Normal 8 2 2 6 2 4" xfId="23535" xr:uid="{00000000-0005-0000-0000-0000E9630000}"/>
    <cellStyle name="Normal 8 2 2 6 3" xfId="6281" xr:uid="{00000000-0005-0000-0000-0000EA630000}"/>
    <cellStyle name="Normal 8 2 2 6 3 2" xfId="16141" xr:uid="{00000000-0005-0000-0000-0000EB630000}"/>
    <cellStyle name="Normal 8 2 2 6 3 2 2" xfId="35856" xr:uid="{00000000-0005-0000-0000-0000EC630000}"/>
    <cellStyle name="Normal 8 2 2 6 3 3" xfId="25999" xr:uid="{00000000-0005-0000-0000-0000ED630000}"/>
    <cellStyle name="Normal 8 2 2 6 4" xfId="11213" xr:uid="{00000000-0005-0000-0000-0000EE630000}"/>
    <cellStyle name="Normal 8 2 2 6 4 2" xfId="30928" xr:uid="{00000000-0005-0000-0000-0000EF630000}"/>
    <cellStyle name="Normal 8 2 2 6 5" xfId="21071" xr:uid="{00000000-0005-0000-0000-0000F0630000}"/>
    <cellStyle name="Normal 8 2 2 7" xfId="2581" xr:uid="{00000000-0005-0000-0000-0000F1630000}"/>
    <cellStyle name="Normal 8 2 2 7 2" xfId="7513" xr:uid="{00000000-0005-0000-0000-0000F2630000}"/>
    <cellStyle name="Normal 8 2 2 7 2 2" xfId="17373" xr:uid="{00000000-0005-0000-0000-0000F3630000}"/>
    <cellStyle name="Normal 8 2 2 7 2 2 2" xfId="37088" xr:uid="{00000000-0005-0000-0000-0000F4630000}"/>
    <cellStyle name="Normal 8 2 2 7 2 3" xfId="27231" xr:uid="{00000000-0005-0000-0000-0000F5630000}"/>
    <cellStyle name="Normal 8 2 2 7 3" xfId="12445" xr:uid="{00000000-0005-0000-0000-0000F6630000}"/>
    <cellStyle name="Normal 8 2 2 7 3 2" xfId="32160" xr:uid="{00000000-0005-0000-0000-0000F7630000}"/>
    <cellStyle name="Normal 8 2 2 7 4" xfId="22303" xr:uid="{00000000-0005-0000-0000-0000F8630000}"/>
    <cellStyle name="Normal 8 2 2 8" xfId="5049" xr:uid="{00000000-0005-0000-0000-0000F9630000}"/>
    <cellStyle name="Normal 8 2 2 8 2" xfId="14909" xr:uid="{00000000-0005-0000-0000-0000FA630000}"/>
    <cellStyle name="Normal 8 2 2 8 2 2" xfId="34624" xr:uid="{00000000-0005-0000-0000-0000FB630000}"/>
    <cellStyle name="Normal 8 2 2 8 3" xfId="24767" xr:uid="{00000000-0005-0000-0000-0000FC630000}"/>
    <cellStyle name="Normal 8 2 2 9" xfId="9981" xr:uid="{00000000-0005-0000-0000-0000FD630000}"/>
    <cellStyle name="Normal 8 2 2 9 2" xfId="29696" xr:uid="{00000000-0005-0000-0000-0000FE630000}"/>
    <cellStyle name="Normal 8 2 3" xfId="132" xr:uid="{00000000-0005-0000-0000-0000FF630000}"/>
    <cellStyle name="Normal 8 2 3 2" xfId="289" xr:uid="{00000000-0005-0000-0000-000000640000}"/>
    <cellStyle name="Normal 8 2 3 2 2" xfId="603" xr:uid="{00000000-0005-0000-0000-000001640000}"/>
    <cellStyle name="Normal 8 2 3 2 2 2" xfId="1223" xr:uid="{00000000-0005-0000-0000-000002640000}"/>
    <cellStyle name="Normal 8 2 3 2 2 2 2" xfId="2458" xr:uid="{00000000-0005-0000-0000-000003640000}"/>
    <cellStyle name="Normal 8 2 3 2 2 2 2 2" xfId="4925" xr:uid="{00000000-0005-0000-0000-000004640000}"/>
    <cellStyle name="Normal 8 2 3 2 2 2 2 2 2" xfId="9857" xr:uid="{00000000-0005-0000-0000-000005640000}"/>
    <cellStyle name="Normal 8 2 3 2 2 2 2 2 2 2" xfId="19717" xr:uid="{00000000-0005-0000-0000-000006640000}"/>
    <cellStyle name="Normal 8 2 3 2 2 2 2 2 2 2 2" xfId="39432" xr:uid="{00000000-0005-0000-0000-000007640000}"/>
    <cellStyle name="Normal 8 2 3 2 2 2 2 2 2 3" xfId="29575" xr:uid="{00000000-0005-0000-0000-000008640000}"/>
    <cellStyle name="Normal 8 2 3 2 2 2 2 2 3" xfId="14789" xr:uid="{00000000-0005-0000-0000-000009640000}"/>
    <cellStyle name="Normal 8 2 3 2 2 2 2 2 3 2" xfId="34504" xr:uid="{00000000-0005-0000-0000-00000A640000}"/>
    <cellStyle name="Normal 8 2 3 2 2 2 2 2 4" xfId="24647" xr:uid="{00000000-0005-0000-0000-00000B640000}"/>
    <cellStyle name="Normal 8 2 3 2 2 2 2 3" xfId="7393" xr:uid="{00000000-0005-0000-0000-00000C640000}"/>
    <cellStyle name="Normal 8 2 3 2 2 2 2 3 2" xfId="17253" xr:uid="{00000000-0005-0000-0000-00000D640000}"/>
    <cellStyle name="Normal 8 2 3 2 2 2 2 3 2 2" xfId="36968" xr:uid="{00000000-0005-0000-0000-00000E640000}"/>
    <cellStyle name="Normal 8 2 3 2 2 2 2 3 3" xfId="27111" xr:uid="{00000000-0005-0000-0000-00000F640000}"/>
    <cellStyle name="Normal 8 2 3 2 2 2 2 4" xfId="12325" xr:uid="{00000000-0005-0000-0000-000010640000}"/>
    <cellStyle name="Normal 8 2 3 2 2 2 2 4 2" xfId="32040" xr:uid="{00000000-0005-0000-0000-000011640000}"/>
    <cellStyle name="Normal 8 2 3 2 2 2 2 5" xfId="22183" xr:uid="{00000000-0005-0000-0000-000012640000}"/>
    <cellStyle name="Normal 8 2 3 2 2 2 3" xfId="3693" xr:uid="{00000000-0005-0000-0000-000013640000}"/>
    <cellStyle name="Normal 8 2 3 2 2 2 3 2" xfId="8625" xr:uid="{00000000-0005-0000-0000-000014640000}"/>
    <cellStyle name="Normal 8 2 3 2 2 2 3 2 2" xfId="18485" xr:uid="{00000000-0005-0000-0000-000015640000}"/>
    <cellStyle name="Normal 8 2 3 2 2 2 3 2 2 2" xfId="38200" xr:uid="{00000000-0005-0000-0000-000016640000}"/>
    <cellStyle name="Normal 8 2 3 2 2 2 3 2 3" xfId="28343" xr:uid="{00000000-0005-0000-0000-000017640000}"/>
    <cellStyle name="Normal 8 2 3 2 2 2 3 3" xfId="13557" xr:uid="{00000000-0005-0000-0000-000018640000}"/>
    <cellStyle name="Normal 8 2 3 2 2 2 3 3 2" xfId="33272" xr:uid="{00000000-0005-0000-0000-000019640000}"/>
    <cellStyle name="Normal 8 2 3 2 2 2 3 4" xfId="23415" xr:uid="{00000000-0005-0000-0000-00001A640000}"/>
    <cellStyle name="Normal 8 2 3 2 2 2 4" xfId="6161" xr:uid="{00000000-0005-0000-0000-00001B640000}"/>
    <cellStyle name="Normal 8 2 3 2 2 2 4 2" xfId="16021" xr:uid="{00000000-0005-0000-0000-00001C640000}"/>
    <cellStyle name="Normal 8 2 3 2 2 2 4 2 2" xfId="35736" xr:uid="{00000000-0005-0000-0000-00001D640000}"/>
    <cellStyle name="Normal 8 2 3 2 2 2 4 3" xfId="25879" xr:uid="{00000000-0005-0000-0000-00001E640000}"/>
    <cellStyle name="Normal 8 2 3 2 2 2 5" xfId="11093" xr:uid="{00000000-0005-0000-0000-00001F640000}"/>
    <cellStyle name="Normal 8 2 3 2 2 2 5 2" xfId="30808" xr:uid="{00000000-0005-0000-0000-000020640000}"/>
    <cellStyle name="Normal 8 2 3 2 2 2 6" xfId="20951" xr:uid="{00000000-0005-0000-0000-000021640000}"/>
    <cellStyle name="Normal 8 2 3 2 2 3" xfId="1842" xr:uid="{00000000-0005-0000-0000-000022640000}"/>
    <cellStyle name="Normal 8 2 3 2 2 3 2" xfId="4309" xr:uid="{00000000-0005-0000-0000-000023640000}"/>
    <cellStyle name="Normal 8 2 3 2 2 3 2 2" xfId="9241" xr:uid="{00000000-0005-0000-0000-000024640000}"/>
    <cellStyle name="Normal 8 2 3 2 2 3 2 2 2" xfId="19101" xr:uid="{00000000-0005-0000-0000-000025640000}"/>
    <cellStyle name="Normal 8 2 3 2 2 3 2 2 2 2" xfId="38816" xr:uid="{00000000-0005-0000-0000-000026640000}"/>
    <cellStyle name="Normal 8 2 3 2 2 3 2 2 3" xfId="28959" xr:uid="{00000000-0005-0000-0000-000027640000}"/>
    <cellStyle name="Normal 8 2 3 2 2 3 2 3" xfId="14173" xr:uid="{00000000-0005-0000-0000-000028640000}"/>
    <cellStyle name="Normal 8 2 3 2 2 3 2 3 2" xfId="33888" xr:uid="{00000000-0005-0000-0000-000029640000}"/>
    <cellStyle name="Normal 8 2 3 2 2 3 2 4" xfId="24031" xr:uid="{00000000-0005-0000-0000-00002A640000}"/>
    <cellStyle name="Normal 8 2 3 2 2 3 3" xfId="6777" xr:uid="{00000000-0005-0000-0000-00002B640000}"/>
    <cellStyle name="Normal 8 2 3 2 2 3 3 2" xfId="16637" xr:uid="{00000000-0005-0000-0000-00002C640000}"/>
    <cellStyle name="Normal 8 2 3 2 2 3 3 2 2" xfId="36352" xr:uid="{00000000-0005-0000-0000-00002D640000}"/>
    <cellStyle name="Normal 8 2 3 2 2 3 3 3" xfId="26495" xr:uid="{00000000-0005-0000-0000-00002E640000}"/>
    <cellStyle name="Normal 8 2 3 2 2 3 4" xfId="11709" xr:uid="{00000000-0005-0000-0000-00002F640000}"/>
    <cellStyle name="Normal 8 2 3 2 2 3 4 2" xfId="31424" xr:uid="{00000000-0005-0000-0000-000030640000}"/>
    <cellStyle name="Normal 8 2 3 2 2 3 5" xfId="21567" xr:uid="{00000000-0005-0000-0000-000031640000}"/>
    <cellStyle name="Normal 8 2 3 2 2 4" xfId="3077" xr:uid="{00000000-0005-0000-0000-000032640000}"/>
    <cellStyle name="Normal 8 2 3 2 2 4 2" xfId="8009" xr:uid="{00000000-0005-0000-0000-000033640000}"/>
    <cellStyle name="Normal 8 2 3 2 2 4 2 2" xfId="17869" xr:uid="{00000000-0005-0000-0000-000034640000}"/>
    <cellStyle name="Normal 8 2 3 2 2 4 2 2 2" xfId="37584" xr:uid="{00000000-0005-0000-0000-000035640000}"/>
    <cellStyle name="Normal 8 2 3 2 2 4 2 3" xfId="27727" xr:uid="{00000000-0005-0000-0000-000036640000}"/>
    <cellStyle name="Normal 8 2 3 2 2 4 3" xfId="12941" xr:uid="{00000000-0005-0000-0000-000037640000}"/>
    <cellStyle name="Normal 8 2 3 2 2 4 3 2" xfId="32656" xr:uid="{00000000-0005-0000-0000-000038640000}"/>
    <cellStyle name="Normal 8 2 3 2 2 4 4" xfId="22799" xr:uid="{00000000-0005-0000-0000-000039640000}"/>
    <cellStyle name="Normal 8 2 3 2 2 5" xfId="5545" xr:uid="{00000000-0005-0000-0000-00003A640000}"/>
    <cellStyle name="Normal 8 2 3 2 2 5 2" xfId="15405" xr:uid="{00000000-0005-0000-0000-00003B640000}"/>
    <cellStyle name="Normal 8 2 3 2 2 5 2 2" xfId="35120" xr:uid="{00000000-0005-0000-0000-00003C640000}"/>
    <cellStyle name="Normal 8 2 3 2 2 5 3" xfId="25263" xr:uid="{00000000-0005-0000-0000-00003D640000}"/>
    <cellStyle name="Normal 8 2 3 2 2 6" xfId="10477" xr:uid="{00000000-0005-0000-0000-00003E640000}"/>
    <cellStyle name="Normal 8 2 3 2 2 6 2" xfId="30192" xr:uid="{00000000-0005-0000-0000-00003F640000}"/>
    <cellStyle name="Normal 8 2 3 2 2 7" xfId="20335" xr:uid="{00000000-0005-0000-0000-000040640000}"/>
    <cellStyle name="Normal 8 2 3 2 3" xfId="916" xr:uid="{00000000-0005-0000-0000-000041640000}"/>
    <cellStyle name="Normal 8 2 3 2 3 2" xfId="2152" xr:uid="{00000000-0005-0000-0000-000042640000}"/>
    <cellStyle name="Normal 8 2 3 2 3 2 2" xfId="4619" xr:uid="{00000000-0005-0000-0000-000043640000}"/>
    <cellStyle name="Normal 8 2 3 2 3 2 2 2" xfId="9551" xr:uid="{00000000-0005-0000-0000-000044640000}"/>
    <cellStyle name="Normal 8 2 3 2 3 2 2 2 2" xfId="19411" xr:uid="{00000000-0005-0000-0000-000045640000}"/>
    <cellStyle name="Normal 8 2 3 2 3 2 2 2 2 2" xfId="39126" xr:uid="{00000000-0005-0000-0000-000046640000}"/>
    <cellStyle name="Normal 8 2 3 2 3 2 2 2 3" xfId="29269" xr:uid="{00000000-0005-0000-0000-000047640000}"/>
    <cellStyle name="Normal 8 2 3 2 3 2 2 3" xfId="14483" xr:uid="{00000000-0005-0000-0000-000048640000}"/>
    <cellStyle name="Normal 8 2 3 2 3 2 2 3 2" xfId="34198" xr:uid="{00000000-0005-0000-0000-000049640000}"/>
    <cellStyle name="Normal 8 2 3 2 3 2 2 4" xfId="24341" xr:uid="{00000000-0005-0000-0000-00004A640000}"/>
    <cellStyle name="Normal 8 2 3 2 3 2 3" xfId="7087" xr:uid="{00000000-0005-0000-0000-00004B640000}"/>
    <cellStyle name="Normal 8 2 3 2 3 2 3 2" xfId="16947" xr:uid="{00000000-0005-0000-0000-00004C640000}"/>
    <cellStyle name="Normal 8 2 3 2 3 2 3 2 2" xfId="36662" xr:uid="{00000000-0005-0000-0000-00004D640000}"/>
    <cellStyle name="Normal 8 2 3 2 3 2 3 3" xfId="26805" xr:uid="{00000000-0005-0000-0000-00004E640000}"/>
    <cellStyle name="Normal 8 2 3 2 3 2 4" xfId="12019" xr:uid="{00000000-0005-0000-0000-00004F640000}"/>
    <cellStyle name="Normal 8 2 3 2 3 2 4 2" xfId="31734" xr:uid="{00000000-0005-0000-0000-000050640000}"/>
    <cellStyle name="Normal 8 2 3 2 3 2 5" xfId="21877" xr:uid="{00000000-0005-0000-0000-000051640000}"/>
    <cellStyle name="Normal 8 2 3 2 3 3" xfId="3387" xr:uid="{00000000-0005-0000-0000-000052640000}"/>
    <cellStyle name="Normal 8 2 3 2 3 3 2" xfId="8319" xr:uid="{00000000-0005-0000-0000-000053640000}"/>
    <cellStyle name="Normal 8 2 3 2 3 3 2 2" xfId="18179" xr:uid="{00000000-0005-0000-0000-000054640000}"/>
    <cellStyle name="Normal 8 2 3 2 3 3 2 2 2" xfId="37894" xr:uid="{00000000-0005-0000-0000-000055640000}"/>
    <cellStyle name="Normal 8 2 3 2 3 3 2 3" xfId="28037" xr:uid="{00000000-0005-0000-0000-000056640000}"/>
    <cellStyle name="Normal 8 2 3 2 3 3 3" xfId="13251" xr:uid="{00000000-0005-0000-0000-000057640000}"/>
    <cellStyle name="Normal 8 2 3 2 3 3 3 2" xfId="32966" xr:uid="{00000000-0005-0000-0000-000058640000}"/>
    <cellStyle name="Normal 8 2 3 2 3 3 4" xfId="23109" xr:uid="{00000000-0005-0000-0000-000059640000}"/>
    <cellStyle name="Normal 8 2 3 2 3 4" xfId="5855" xr:uid="{00000000-0005-0000-0000-00005A640000}"/>
    <cellStyle name="Normal 8 2 3 2 3 4 2" xfId="15715" xr:uid="{00000000-0005-0000-0000-00005B640000}"/>
    <cellStyle name="Normal 8 2 3 2 3 4 2 2" xfId="35430" xr:uid="{00000000-0005-0000-0000-00005C640000}"/>
    <cellStyle name="Normal 8 2 3 2 3 4 3" xfId="25573" xr:uid="{00000000-0005-0000-0000-00005D640000}"/>
    <cellStyle name="Normal 8 2 3 2 3 5" xfId="10787" xr:uid="{00000000-0005-0000-0000-00005E640000}"/>
    <cellStyle name="Normal 8 2 3 2 3 5 2" xfId="30502" xr:uid="{00000000-0005-0000-0000-00005F640000}"/>
    <cellStyle name="Normal 8 2 3 2 3 6" xfId="20645" xr:uid="{00000000-0005-0000-0000-000060640000}"/>
    <cellStyle name="Normal 8 2 3 2 4" xfId="1536" xr:uid="{00000000-0005-0000-0000-000061640000}"/>
    <cellStyle name="Normal 8 2 3 2 4 2" xfId="4003" xr:uid="{00000000-0005-0000-0000-000062640000}"/>
    <cellStyle name="Normal 8 2 3 2 4 2 2" xfId="8935" xr:uid="{00000000-0005-0000-0000-000063640000}"/>
    <cellStyle name="Normal 8 2 3 2 4 2 2 2" xfId="18795" xr:uid="{00000000-0005-0000-0000-000064640000}"/>
    <cellStyle name="Normal 8 2 3 2 4 2 2 2 2" xfId="38510" xr:uid="{00000000-0005-0000-0000-000065640000}"/>
    <cellStyle name="Normal 8 2 3 2 4 2 2 3" xfId="28653" xr:uid="{00000000-0005-0000-0000-000066640000}"/>
    <cellStyle name="Normal 8 2 3 2 4 2 3" xfId="13867" xr:uid="{00000000-0005-0000-0000-000067640000}"/>
    <cellStyle name="Normal 8 2 3 2 4 2 3 2" xfId="33582" xr:uid="{00000000-0005-0000-0000-000068640000}"/>
    <cellStyle name="Normal 8 2 3 2 4 2 4" xfId="23725" xr:uid="{00000000-0005-0000-0000-000069640000}"/>
    <cellStyle name="Normal 8 2 3 2 4 3" xfId="6471" xr:uid="{00000000-0005-0000-0000-00006A640000}"/>
    <cellStyle name="Normal 8 2 3 2 4 3 2" xfId="16331" xr:uid="{00000000-0005-0000-0000-00006B640000}"/>
    <cellStyle name="Normal 8 2 3 2 4 3 2 2" xfId="36046" xr:uid="{00000000-0005-0000-0000-00006C640000}"/>
    <cellStyle name="Normal 8 2 3 2 4 3 3" xfId="26189" xr:uid="{00000000-0005-0000-0000-00006D640000}"/>
    <cellStyle name="Normal 8 2 3 2 4 4" xfId="11403" xr:uid="{00000000-0005-0000-0000-00006E640000}"/>
    <cellStyle name="Normal 8 2 3 2 4 4 2" xfId="31118" xr:uid="{00000000-0005-0000-0000-00006F640000}"/>
    <cellStyle name="Normal 8 2 3 2 4 5" xfId="21261" xr:uid="{00000000-0005-0000-0000-000070640000}"/>
    <cellStyle name="Normal 8 2 3 2 5" xfId="2771" xr:uid="{00000000-0005-0000-0000-000071640000}"/>
    <cellStyle name="Normal 8 2 3 2 5 2" xfId="7703" xr:uid="{00000000-0005-0000-0000-000072640000}"/>
    <cellStyle name="Normal 8 2 3 2 5 2 2" xfId="17563" xr:uid="{00000000-0005-0000-0000-000073640000}"/>
    <cellStyle name="Normal 8 2 3 2 5 2 2 2" xfId="37278" xr:uid="{00000000-0005-0000-0000-000074640000}"/>
    <cellStyle name="Normal 8 2 3 2 5 2 3" xfId="27421" xr:uid="{00000000-0005-0000-0000-000075640000}"/>
    <cellStyle name="Normal 8 2 3 2 5 3" xfId="12635" xr:uid="{00000000-0005-0000-0000-000076640000}"/>
    <cellStyle name="Normal 8 2 3 2 5 3 2" xfId="32350" xr:uid="{00000000-0005-0000-0000-000077640000}"/>
    <cellStyle name="Normal 8 2 3 2 5 4" xfId="22493" xr:uid="{00000000-0005-0000-0000-000078640000}"/>
    <cellStyle name="Normal 8 2 3 2 6" xfId="5239" xr:uid="{00000000-0005-0000-0000-000079640000}"/>
    <cellStyle name="Normal 8 2 3 2 6 2" xfId="15099" xr:uid="{00000000-0005-0000-0000-00007A640000}"/>
    <cellStyle name="Normal 8 2 3 2 6 2 2" xfId="34814" xr:uid="{00000000-0005-0000-0000-00007B640000}"/>
    <cellStyle name="Normal 8 2 3 2 6 3" xfId="24957" xr:uid="{00000000-0005-0000-0000-00007C640000}"/>
    <cellStyle name="Normal 8 2 3 2 7" xfId="10171" xr:uid="{00000000-0005-0000-0000-00007D640000}"/>
    <cellStyle name="Normal 8 2 3 2 7 2" xfId="29886" xr:uid="{00000000-0005-0000-0000-00007E640000}"/>
    <cellStyle name="Normal 8 2 3 2 8" xfId="20029" xr:uid="{00000000-0005-0000-0000-00007F640000}"/>
    <cellStyle name="Normal 8 2 3 3" xfId="451" xr:uid="{00000000-0005-0000-0000-000080640000}"/>
    <cellStyle name="Normal 8 2 3 3 2" xfId="1071" xr:uid="{00000000-0005-0000-0000-000081640000}"/>
    <cellStyle name="Normal 8 2 3 3 2 2" xfId="2306" xr:uid="{00000000-0005-0000-0000-000082640000}"/>
    <cellStyle name="Normal 8 2 3 3 2 2 2" xfId="4773" xr:uid="{00000000-0005-0000-0000-000083640000}"/>
    <cellStyle name="Normal 8 2 3 3 2 2 2 2" xfId="9705" xr:uid="{00000000-0005-0000-0000-000084640000}"/>
    <cellStyle name="Normal 8 2 3 3 2 2 2 2 2" xfId="19565" xr:uid="{00000000-0005-0000-0000-000085640000}"/>
    <cellStyle name="Normal 8 2 3 3 2 2 2 2 2 2" xfId="39280" xr:uid="{00000000-0005-0000-0000-000086640000}"/>
    <cellStyle name="Normal 8 2 3 3 2 2 2 2 3" xfId="29423" xr:uid="{00000000-0005-0000-0000-000087640000}"/>
    <cellStyle name="Normal 8 2 3 3 2 2 2 3" xfId="14637" xr:uid="{00000000-0005-0000-0000-000088640000}"/>
    <cellStyle name="Normal 8 2 3 3 2 2 2 3 2" xfId="34352" xr:uid="{00000000-0005-0000-0000-000089640000}"/>
    <cellStyle name="Normal 8 2 3 3 2 2 2 4" xfId="24495" xr:uid="{00000000-0005-0000-0000-00008A640000}"/>
    <cellStyle name="Normal 8 2 3 3 2 2 3" xfId="7241" xr:uid="{00000000-0005-0000-0000-00008B640000}"/>
    <cellStyle name="Normal 8 2 3 3 2 2 3 2" xfId="17101" xr:uid="{00000000-0005-0000-0000-00008C640000}"/>
    <cellStyle name="Normal 8 2 3 3 2 2 3 2 2" xfId="36816" xr:uid="{00000000-0005-0000-0000-00008D640000}"/>
    <cellStyle name="Normal 8 2 3 3 2 2 3 3" xfId="26959" xr:uid="{00000000-0005-0000-0000-00008E640000}"/>
    <cellStyle name="Normal 8 2 3 3 2 2 4" xfId="12173" xr:uid="{00000000-0005-0000-0000-00008F640000}"/>
    <cellStyle name="Normal 8 2 3 3 2 2 4 2" xfId="31888" xr:uid="{00000000-0005-0000-0000-000090640000}"/>
    <cellStyle name="Normal 8 2 3 3 2 2 5" xfId="22031" xr:uid="{00000000-0005-0000-0000-000091640000}"/>
    <cellStyle name="Normal 8 2 3 3 2 3" xfId="3541" xr:uid="{00000000-0005-0000-0000-000092640000}"/>
    <cellStyle name="Normal 8 2 3 3 2 3 2" xfId="8473" xr:uid="{00000000-0005-0000-0000-000093640000}"/>
    <cellStyle name="Normal 8 2 3 3 2 3 2 2" xfId="18333" xr:uid="{00000000-0005-0000-0000-000094640000}"/>
    <cellStyle name="Normal 8 2 3 3 2 3 2 2 2" xfId="38048" xr:uid="{00000000-0005-0000-0000-000095640000}"/>
    <cellStyle name="Normal 8 2 3 3 2 3 2 3" xfId="28191" xr:uid="{00000000-0005-0000-0000-000096640000}"/>
    <cellStyle name="Normal 8 2 3 3 2 3 3" xfId="13405" xr:uid="{00000000-0005-0000-0000-000097640000}"/>
    <cellStyle name="Normal 8 2 3 3 2 3 3 2" xfId="33120" xr:uid="{00000000-0005-0000-0000-000098640000}"/>
    <cellStyle name="Normal 8 2 3 3 2 3 4" xfId="23263" xr:uid="{00000000-0005-0000-0000-000099640000}"/>
    <cellStyle name="Normal 8 2 3 3 2 4" xfId="6009" xr:uid="{00000000-0005-0000-0000-00009A640000}"/>
    <cellStyle name="Normal 8 2 3 3 2 4 2" xfId="15869" xr:uid="{00000000-0005-0000-0000-00009B640000}"/>
    <cellStyle name="Normal 8 2 3 3 2 4 2 2" xfId="35584" xr:uid="{00000000-0005-0000-0000-00009C640000}"/>
    <cellStyle name="Normal 8 2 3 3 2 4 3" xfId="25727" xr:uid="{00000000-0005-0000-0000-00009D640000}"/>
    <cellStyle name="Normal 8 2 3 3 2 5" xfId="10941" xr:uid="{00000000-0005-0000-0000-00009E640000}"/>
    <cellStyle name="Normal 8 2 3 3 2 5 2" xfId="30656" xr:uid="{00000000-0005-0000-0000-00009F640000}"/>
    <cellStyle name="Normal 8 2 3 3 2 6" xfId="20799" xr:uid="{00000000-0005-0000-0000-0000A0640000}"/>
    <cellStyle name="Normal 8 2 3 3 3" xfId="1690" xr:uid="{00000000-0005-0000-0000-0000A1640000}"/>
    <cellStyle name="Normal 8 2 3 3 3 2" xfId="4157" xr:uid="{00000000-0005-0000-0000-0000A2640000}"/>
    <cellStyle name="Normal 8 2 3 3 3 2 2" xfId="9089" xr:uid="{00000000-0005-0000-0000-0000A3640000}"/>
    <cellStyle name="Normal 8 2 3 3 3 2 2 2" xfId="18949" xr:uid="{00000000-0005-0000-0000-0000A4640000}"/>
    <cellStyle name="Normal 8 2 3 3 3 2 2 2 2" xfId="38664" xr:uid="{00000000-0005-0000-0000-0000A5640000}"/>
    <cellStyle name="Normal 8 2 3 3 3 2 2 3" xfId="28807" xr:uid="{00000000-0005-0000-0000-0000A6640000}"/>
    <cellStyle name="Normal 8 2 3 3 3 2 3" xfId="14021" xr:uid="{00000000-0005-0000-0000-0000A7640000}"/>
    <cellStyle name="Normal 8 2 3 3 3 2 3 2" xfId="33736" xr:uid="{00000000-0005-0000-0000-0000A8640000}"/>
    <cellStyle name="Normal 8 2 3 3 3 2 4" xfId="23879" xr:uid="{00000000-0005-0000-0000-0000A9640000}"/>
    <cellStyle name="Normal 8 2 3 3 3 3" xfId="6625" xr:uid="{00000000-0005-0000-0000-0000AA640000}"/>
    <cellStyle name="Normal 8 2 3 3 3 3 2" xfId="16485" xr:uid="{00000000-0005-0000-0000-0000AB640000}"/>
    <cellStyle name="Normal 8 2 3 3 3 3 2 2" xfId="36200" xr:uid="{00000000-0005-0000-0000-0000AC640000}"/>
    <cellStyle name="Normal 8 2 3 3 3 3 3" xfId="26343" xr:uid="{00000000-0005-0000-0000-0000AD640000}"/>
    <cellStyle name="Normal 8 2 3 3 3 4" xfId="11557" xr:uid="{00000000-0005-0000-0000-0000AE640000}"/>
    <cellStyle name="Normal 8 2 3 3 3 4 2" xfId="31272" xr:uid="{00000000-0005-0000-0000-0000AF640000}"/>
    <cellStyle name="Normal 8 2 3 3 3 5" xfId="21415" xr:uid="{00000000-0005-0000-0000-0000B0640000}"/>
    <cellStyle name="Normal 8 2 3 3 4" xfId="2925" xr:uid="{00000000-0005-0000-0000-0000B1640000}"/>
    <cellStyle name="Normal 8 2 3 3 4 2" xfId="7857" xr:uid="{00000000-0005-0000-0000-0000B2640000}"/>
    <cellStyle name="Normal 8 2 3 3 4 2 2" xfId="17717" xr:uid="{00000000-0005-0000-0000-0000B3640000}"/>
    <cellStyle name="Normal 8 2 3 3 4 2 2 2" xfId="37432" xr:uid="{00000000-0005-0000-0000-0000B4640000}"/>
    <cellStyle name="Normal 8 2 3 3 4 2 3" xfId="27575" xr:uid="{00000000-0005-0000-0000-0000B5640000}"/>
    <cellStyle name="Normal 8 2 3 3 4 3" xfId="12789" xr:uid="{00000000-0005-0000-0000-0000B6640000}"/>
    <cellStyle name="Normal 8 2 3 3 4 3 2" xfId="32504" xr:uid="{00000000-0005-0000-0000-0000B7640000}"/>
    <cellStyle name="Normal 8 2 3 3 4 4" xfId="22647" xr:uid="{00000000-0005-0000-0000-0000B8640000}"/>
    <cellStyle name="Normal 8 2 3 3 5" xfId="5393" xr:uid="{00000000-0005-0000-0000-0000B9640000}"/>
    <cellStyle name="Normal 8 2 3 3 5 2" xfId="15253" xr:uid="{00000000-0005-0000-0000-0000BA640000}"/>
    <cellStyle name="Normal 8 2 3 3 5 2 2" xfId="34968" xr:uid="{00000000-0005-0000-0000-0000BB640000}"/>
    <cellStyle name="Normal 8 2 3 3 5 3" xfId="25111" xr:uid="{00000000-0005-0000-0000-0000BC640000}"/>
    <cellStyle name="Normal 8 2 3 3 6" xfId="10325" xr:uid="{00000000-0005-0000-0000-0000BD640000}"/>
    <cellStyle name="Normal 8 2 3 3 6 2" xfId="30040" xr:uid="{00000000-0005-0000-0000-0000BE640000}"/>
    <cellStyle name="Normal 8 2 3 3 7" xfId="20183" xr:uid="{00000000-0005-0000-0000-0000BF640000}"/>
    <cellStyle name="Normal 8 2 3 4" xfId="764" xr:uid="{00000000-0005-0000-0000-0000C0640000}"/>
    <cellStyle name="Normal 8 2 3 4 2" xfId="2000" xr:uid="{00000000-0005-0000-0000-0000C1640000}"/>
    <cellStyle name="Normal 8 2 3 4 2 2" xfId="4467" xr:uid="{00000000-0005-0000-0000-0000C2640000}"/>
    <cellStyle name="Normal 8 2 3 4 2 2 2" xfId="9399" xr:uid="{00000000-0005-0000-0000-0000C3640000}"/>
    <cellStyle name="Normal 8 2 3 4 2 2 2 2" xfId="19259" xr:uid="{00000000-0005-0000-0000-0000C4640000}"/>
    <cellStyle name="Normal 8 2 3 4 2 2 2 2 2" xfId="38974" xr:uid="{00000000-0005-0000-0000-0000C5640000}"/>
    <cellStyle name="Normal 8 2 3 4 2 2 2 3" xfId="29117" xr:uid="{00000000-0005-0000-0000-0000C6640000}"/>
    <cellStyle name="Normal 8 2 3 4 2 2 3" xfId="14331" xr:uid="{00000000-0005-0000-0000-0000C7640000}"/>
    <cellStyle name="Normal 8 2 3 4 2 2 3 2" xfId="34046" xr:uid="{00000000-0005-0000-0000-0000C8640000}"/>
    <cellStyle name="Normal 8 2 3 4 2 2 4" xfId="24189" xr:uid="{00000000-0005-0000-0000-0000C9640000}"/>
    <cellStyle name="Normal 8 2 3 4 2 3" xfId="6935" xr:uid="{00000000-0005-0000-0000-0000CA640000}"/>
    <cellStyle name="Normal 8 2 3 4 2 3 2" xfId="16795" xr:uid="{00000000-0005-0000-0000-0000CB640000}"/>
    <cellStyle name="Normal 8 2 3 4 2 3 2 2" xfId="36510" xr:uid="{00000000-0005-0000-0000-0000CC640000}"/>
    <cellStyle name="Normal 8 2 3 4 2 3 3" xfId="26653" xr:uid="{00000000-0005-0000-0000-0000CD640000}"/>
    <cellStyle name="Normal 8 2 3 4 2 4" xfId="11867" xr:uid="{00000000-0005-0000-0000-0000CE640000}"/>
    <cellStyle name="Normal 8 2 3 4 2 4 2" xfId="31582" xr:uid="{00000000-0005-0000-0000-0000CF640000}"/>
    <cellStyle name="Normal 8 2 3 4 2 5" xfId="21725" xr:uid="{00000000-0005-0000-0000-0000D0640000}"/>
    <cellStyle name="Normal 8 2 3 4 3" xfId="3235" xr:uid="{00000000-0005-0000-0000-0000D1640000}"/>
    <cellStyle name="Normal 8 2 3 4 3 2" xfId="8167" xr:uid="{00000000-0005-0000-0000-0000D2640000}"/>
    <cellStyle name="Normal 8 2 3 4 3 2 2" xfId="18027" xr:uid="{00000000-0005-0000-0000-0000D3640000}"/>
    <cellStyle name="Normal 8 2 3 4 3 2 2 2" xfId="37742" xr:uid="{00000000-0005-0000-0000-0000D4640000}"/>
    <cellStyle name="Normal 8 2 3 4 3 2 3" xfId="27885" xr:uid="{00000000-0005-0000-0000-0000D5640000}"/>
    <cellStyle name="Normal 8 2 3 4 3 3" xfId="13099" xr:uid="{00000000-0005-0000-0000-0000D6640000}"/>
    <cellStyle name="Normal 8 2 3 4 3 3 2" xfId="32814" xr:uid="{00000000-0005-0000-0000-0000D7640000}"/>
    <cellStyle name="Normal 8 2 3 4 3 4" xfId="22957" xr:uid="{00000000-0005-0000-0000-0000D8640000}"/>
    <cellStyle name="Normal 8 2 3 4 4" xfId="5703" xr:uid="{00000000-0005-0000-0000-0000D9640000}"/>
    <cellStyle name="Normal 8 2 3 4 4 2" xfId="15563" xr:uid="{00000000-0005-0000-0000-0000DA640000}"/>
    <cellStyle name="Normal 8 2 3 4 4 2 2" xfId="35278" xr:uid="{00000000-0005-0000-0000-0000DB640000}"/>
    <cellStyle name="Normal 8 2 3 4 4 3" xfId="25421" xr:uid="{00000000-0005-0000-0000-0000DC640000}"/>
    <cellStyle name="Normal 8 2 3 4 5" xfId="10635" xr:uid="{00000000-0005-0000-0000-0000DD640000}"/>
    <cellStyle name="Normal 8 2 3 4 5 2" xfId="30350" xr:uid="{00000000-0005-0000-0000-0000DE640000}"/>
    <cellStyle name="Normal 8 2 3 4 6" xfId="20493" xr:uid="{00000000-0005-0000-0000-0000DF640000}"/>
    <cellStyle name="Normal 8 2 3 5" xfId="1384" xr:uid="{00000000-0005-0000-0000-0000E0640000}"/>
    <cellStyle name="Normal 8 2 3 5 2" xfId="3851" xr:uid="{00000000-0005-0000-0000-0000E1640000}"/>
    <cellStyle name="Normal 8 2 3 5 2 2" xfId="8783" xr:uid="{00000000-0005-0000-0000-0000E2640000}"/>
    <cellStyle name="Normal 8 2 3 5 2 2 2" xfId="18643" xr:uid="{00000000-0005-0000-0000-0000E3640000}"/>
    <cellStyle name="Normal 8 2 3 5 2 2 2 2" xfId="38358" xr:uid="{00000000-0005-0000-0000-0000E4640000}"/>
    <cellStyle name="Normal 8 2 3 5 2 2 3" xfId="28501" xr:uid="{00000000-0005-0000-0000-0000E5640000}"/>
    <cellStyle name="Normal 8 2 3 5 2 3" xfId="13715" xr:uid="{00000000-0005-0000-0000-0000E6640000}"/>
    <cellStyle name="Normal 8 2 3 5 2 3 2" xfId="33430" xr:uid="{00000000-0005-0000-0000-0000E7640000}"/>
    <cellStyle name="Normal 8 2 3 5 2 4" xfId="23573" xr:uid="{00000000-0005-0000-0000-0000E8640000}"/>
    <cellStyle name="Normal 8 2 3 5 3" xfId="6319" xr:uid="{00000000-0005-0000-0000-0000E9640000}"/>
    <cellStyle name="Normal 8 2 3 5 3 2" xfId="16179" xr:uid="{00000000-0005-0000-0000-0000EA640000}"/>
    <cellStyle name="Normal 8 2 3 5 3 2 2" xfId="35894" xr:uid="{00000000-0005-0000-0000-0000EB640000}"/>
    <cellStyle name="Normal 8 2 3 5 3 3" xfId="26037" xr:uid="{00000000-0005-0000-0000-0000EC640000}"/>
    <cellStyle name="Normal 8 2 3 5 4" xfId="11251" xr:uid="{00000000-0005-0000-0000-0000ED640000}"/>
    <cellStyle name="Normal 8 2 3 5 4 2" xfId="30966" xr:uid="{00000000-0005-0000-0000-0000EE640000}"/>
    <cellStyle name="Normal 8 2 3 5 5" xfId="21109" xr:uid="{00000000-0005-0000-0000-0000EF640000}"/>
    <cellStyle name="Normal 8 2 3 6" xfId="2619" xr:uid="{00000000-0005-0000-0000-0000F0640000}"/>
    <cellStyle name="Normal 8 2 3 6 2" xfId="7551" xr:uid="{00000000-0005-0000-0000-0000F1640000}"/>
    <cellStyle name="Normal 8 2 3 6 2 2" xfId="17411" xr:uid="{00000000-0005-0000-0000-0000F2640000}"/>
    <cellStyle name="Normal 8 2 3 6 2 2 2" xfId="37126" xr:uid="{00000000-0005-0000-0000-0000F3640000}"/>
    <cellStyle name="Normal 8 2 3 6 2 3" xfId="27269" xr:uid="{00000000-0005-0000-0000-0000F4640000}"/>
    <cellStyle name="Normal 8 2 3 6 3" xfId="12483" xr:uid="{00000000-0005-0000-0000-0000F5640000}"/>
    <cellStyle name="Normal 8 2 3 6 3 2" xfId="32198" xr:uid="{00000000-0005-0000-0000-0000F6640000}"/>
    <cellStyle name="Normal 8 2 3 6 4" xfId="22341" xr:uid="{00000000-0005-0000-0000-0000F7640000}"/>
    <cellStyle name="Normal 8 2 3 7" xfId="5087" xr:uid="{00000000-0005-0000-0000-0000F8640000}"/>
    <cellStyle name="Normal 8 2 3 7 2" xfId="14947" xr:uid="{00000000-0005-0000-0000-0000F9640000}"/>
    <cellStyle name="Normal 8 2 3 7 2 2" xfId="34662" xr:uid="{00000000-0005-0000-0000-0000FA640000}"/>
    <cellStyle name="Normal 8 2 3 7 3" xfId="24805" xr:uid="{00000000-0005-0000-0000-0000FB640000}"/>
    <cellStyle name="Normal 8 2 3 8" xfId="10019" xr:uid="{00000000-0005-0000-0000-0000FC640000}"/>
    <cellStyle name="Normal 8 2 3 8 2" xfId="29734" xr:uid="{00000000-0005-0000-0000-0000FD640000}"/>
    <cellStyle name="Normal 8 2 3 9" xfId="19877" xr:uid="{00000000-0005-0000-0000-0000FE640000}"/>
    <cellStyle name="Normal 8 2 4" xfId="213" xr:uid="{00000000-0005-0000-0000-0000FF640000}"/>
    <cellStyle name="Normal 8 2 4 2" xfId="527" xr:uid="{00000000-0005-0000-0000-000000650000}"/>
    <cellStyle name="Normal 8 2 4 2 2" xfId="1147" xr:uid="{00000000-0005-0000-0000-000001650000}"/>
    <cellStyle name="Normal 8 2 4 2 2 2" xfId="2382" xr:uid="{00000000-0005-0000-0000-000002650000}"/>
    <cellStyle name="Normal 8 2 4 2 2 2 2" xfId="4849" xr:uid="{00000000-0005-0000-0000-000003650000}"/>
    <cellStyle name="Normal 8 2 4 2 2 2 2 2" xfId="9781" xr:uid="{00000000-0005-0000-0000-000004650000}"/>
    <cellStyle name="Normal 8 2 4 2 2 2 2 2 2" xfId="19641" xr:uid="{00000000-0005-0000-0000-000005650000}"/>
    <cellStyle name="Normal 8 2 4 2 2 2 2 2 2 2" xfId="39356" xr:uid="{00000000-0005-0000-0000-000006650000}"/>
    <cellStyle name="Normal 8 2 4 2 2 2 2 2 3" xfId="29499" xr:uid="{00000000-0005-0000-0000-000007650000}"/>
    <cellStyle name="Normal 8 2 4 2 2 2 2 3" xfId="14713" xr:uid="{00000000-0005-0000-0000-000008650000}"/>
    <cellStyle name="Normal 8 2 4 2 2 2 2 3 2" xfId="34428" xr:uid="{00000000-0005-0000-0000-000009650000}"/>
    <cellStyle name="Normal 8 2 4 2 2 2 2 4" xfId="24571" xr:uid="{00000000-0005-0000-0000-00000A650000}"/>
    <cellStyle name="Normal 8 2 4 2 2 2 3" xfId="7317" xr:uid="{00000000-0005-0000-0000-00000B650000}"/>
    <cellStyle name="Normal 8 2 4 2 2 2 3 2" xfId="17177" xr:uid="{00000000-0005-0000-0000-00000C650000}"/>
    <cellStyle name="Normal 8 2 4 2 2 2 3 2 2" xfId="36892" xr:uid="{00000000-0005-0000-0000-00000D650000}"/>
    <cellStyle name="Normal 8 2 4 2 2 2 3 3" xfId="27035" xr:uid="{00000000-0005-0000-0000-00000E650000}"/>
    <cellStyle name="Normal 8 2 4 2 2 2 4" xfId="12249" xr:uid="{00000000-0005-0000-0000-00000F650000}"/>
    <cellStyle name="Normal 8 2 4 2 2 2 4 2" xfId="31964" xr:uid="{00000000-0005-0000-0000-000010650000}"/>
    <cellStyle name="Normal 8 2 4 2 2 2 5" xfId="22107" xr:uid="{00000000-0005-0000-0000-000011650000}"/>
    <cellStyle name="Normal 8 2 4 2 2 3" xfId="3617" xr:uid="{00000000-0005-0000-0000-000012650000}"/>
    <cellStyle name="Normal 8 2 4 2 2 3 2" xfId="8549" xr:uid="{00000000-0005-0000-0000-000013650000}"/>
    <cellStyle name="Normal 8 2 4 2 2 3 2 2" xfId="18409" xr:uid="{00000000-0005-0000-0000-000014650000}"/>
    <cellStyle name="Normal 8 2 4 2 2 3 2 2 2" xfId="38124" xr:uid="{00000000-0005-0000-0000-000015650000}"/>
    <cellStyle name="Normal 8 2 4 2 2 3 2 3" xfId="28267" xr:uid="{00000000-0005-0000-0000-000016650000}"/>
    <cellStyle name="Normal 8 2 4 2 2 3 3" xfId="13481" xr:uid="{00000000-0005-0000-0000-000017650000}"/>
    <cellStyle name="Normal 8 2 4 2 2 3 3 2" xfId="33196" xr:uid="{00000000-0005-0000-0000-000018650000}"/>
    <cellStyle name="Normal 8 2 4 2 2 3 4" xfId="23339" xr:uid="{00000000-0005-0000-0000-000019650000}"/>
    <cellStyle name="Normal 8 2 4 2 2 4" xfId="6085" xr:uid="{00000000-0005-0000-0000-00001A650000}"/>
    <cellStyle name="Normal 8 2 4 2 2 4 2" xfId="15945" xr:uid="{00000000-0005-0000-0000-00001B650000}"/>
    <cellStyle name="Normal 8 2 4 2 2 4 2 2" xfId="35660" xr:uid="{00000000-0005-0000-0000-00001C650000}"/>
    <cellStyle name="Normal 8 2 4 2 2 4 3" xfId="25803" xr:uid="{00000000-0005-0000-0000-00001D650000}"/>
    <cellStyle name="Normal 8 2 4 2 2 5" xfId="11017" xr:uid="{00000000-0005-0000-0000-00001E650000}"/>
    <cellStyle name="Normal 8 2 4 2 2 5 2" xfId="30732" xr:uid="{00000000-0005-0000-0000-00001F650000}"/>
    <cellStyle name="Normal 8 2 4 2 2 6" xfId="20875" xr:uid="{00000000-0005-0000-0000-000020650000}"/>
    <cellStyle name="Normal 8 2 4 2 3" xfId="1766" xr:uid="{00000000-0005-0000-0000-000021650000}"/>
    <cellStyle name="Normal 8 2 4 2 3 2" xfId="4233" xr:uid="{00000000-0005-0000-0000-000022650000}"/>
    <cellStyle name="Normal 8 2 4 2 3 2 2" xfId="9165" xr:uid="{00000000-0005-0000-0000-000023650000}"/>
    <cellStyle name="Normal 8 2 4 2 3 2 2 2" xfId="19025" xr:uid="{00000000-0005-0000-0000-000024650000}"/>
    <cellStyle name="Normal 8 2 4 2 3 2 2 2 2" xfId="38740" xr:uid="{00000000-0005-0000-0000-000025650000}"/>
    <cellStyle name="Normal 8 2 4 2 3 2 2 3" xfId="28883" xr:uid="{00000000-0005-0000-0000-000026650000}"/>
    <cellStyle name="Normal 8 2 4 2 3 2 3" xfId="14097" xr:uid="{00000000-0005-0000-0000-000027650000}"/>
    <cellStyle name="Normal 8 2 4 2 3 2 3 2" xfId="33812" xr:uid="{00000000-0005-0000-0000-000028650000}"/>
    <cellStyle name="Normal 8 2 4 2 3 2 4" xfId="23955" xr:uid="{00000000-0005-0000-0000-000029650000}"/>
    <cellStyle name="Normal 8 2 4 2 3 3" xfId="6701" xr:uid="{00000000-0005-0000-0000-00002A650000}"/>
    <cellStyle name="Normal 8 2 4 2 3 3 2" xfId="16561" xr:uid="{00000000-0005-0000-0000-00002B650000}"/>
    <cellStyle name="Normal 8 2 4 2 3 3 2 2" xfId="36276" xr:uid="{00000000-0005-0000-0000-00002C650000}"/>
    <cellStyle name="Normal 8 2 4 2 3 3 3" xfId="26419" xr:uid="{00000000-0005-0000-0000-00002D650000}"/>
    <cellStyle name="Normal 8 2 4 2 3 4" xfId="11633" xr:uid="{00000000-0005-0000-0000-00002E650000}"/>
    <cellStyle name="Normal 8 2 4 2 3 4 2" xfId="31348" xr:uid="{00000000-0005-0000-0000-00002F650000}"/>
    <cellStyle name="Normal 8 2 4 2 3 5" xfId="21491" xr:uid="{00000000-0005-0000-0000-000030650000}"/>
    <cellStyle name="Normal 8 2 4 2 4" xfId="3001" xr:uid="{00000000-0005-0000-0000-000031650000}"/>
    <cellStyle name="Normal 8 2 4 2 4 2" xfId="7933" xr:uid="{00000000-0005-0000-0000-000032650000}"/>
    <cellStyle name="Normal 8 2 4 2 4 2 2" xfId="17793" xr:uid="{00000000-0005-0000-0000-000033650000}"/>
    <cellStyle name="Normal 8 2 4 2 4 2 2 2" xfId="37508" xr:uid="{00000000-0005-0000-0000-000034650000}"/>
    <cellStyle name="Normal 8 2 4 2 4 2 3" xfId="27651" xr:uid="{00000000-0005-0000-0000-000035650000}"/>
    <cellStyle name="Normal 8 2 4 2 4 3" xfId="12865" xr:uid="{00000000-0005-0000-0000-000036650000}"/>
    <cellStyle name="Normal 8 2 4 2 4 3 2" xfId="32580" xr:uid="{00000000-0005-0000-0000-000037650000}"/>
    <cellStyle name="Normal 8 2 4 2 4 4" xfId="22723" xr:uid="{00000000-0005-0000-0000-000038650000}"/>
    <cellStyle name="Normal 8 2 4 2 5" xfId="5469" xr:uid="{00000000-0005-0000-0000-000039650000}"/>
    <cellStyle name="Normal 8 2 4 2 5 2" xfId="15329" xr:uid="{00000000-0005-0000-0000-00003A650000}"/>
    <cellStyle name="Normal 8 2 4 2 5 2 2" xfId="35044" xr:uid="{00000000-0005-0000-0000-00003B650000}"/>
    <cellStyle name="Normal 8 2 4 2 5 3" xfId="25187" xr:uid="{00000000-0005-0000-0000-00003C650000}"/>
    <cellStyle name="Normal 8 2 4 2 6" xfId="10401" xr:uid="{00000000-0005-0000-0000-00003D650000}"/>
    <cellStyle name="Normal 8 2 4 2 6 2" xfId="30116" xr:uid="{00000000-0005-0000-0000-00003E650000}"/>
    <cellStyle name="Normal 8 2 4 2 7" xfId="20259" xr:uid="{00000000-0005-0000-0000-00003F650000}"/>
    <cellStyle name="Normal 8 2 4 3" xfId="840" xr:uid="{00000000-0005-0000-0000-000040650000}"/>
    <cellStyle name="Normal 8 2 4 3 2" xfId="2076" xr:uid="{00000000-0005-0000-0000-000041650000}"/>
    <cellStyle name="Normal 8 2 4 3 2 2" xfId="4543" xr:uid="{00000000-0005-0000-0000-000042650000}"/>
    <cellStyle name="Normal 8 2 4 3 2 2 2" xfId="9475" xr:uid="{00000000-0005-0000-0000-000043650000}"/>
    <cellStyle name="Normal 8 2 4 3 2 2 2 2" xfId="19335" xr:uid="{00000000-0005-0000-0000-000044650000}"/>
    <cellStyle name="Normal 8 2 4 3 2 2 2 2 2" xfId="39050" xr:uid="{00000000-0005-0000-0000-000045650000}"/>
    <cellStyle name="Normal 8 2 4 3 2 2 2 3" xfId="29193" xr:uid="{00000000-0005-0000-0000-000046650000}"/>
    <cellStyle name="Normal 8 2 4 3 2 2 3" xfId="14407" xr:uid="{00000000-0005-0000-0000-000047650000}"/>
    <cellStyle name="Normal 8 2 4 3 2 2 3 2" xfId="34122" xr:uid="{00000000-0005-0000-0000-000048650000}"/>
    <cellStyle name="Normal 8 2 4 3 2 2 4" xfId="24265" xr:uid="{00000000-0005-0000-0000-000049650000}"/>
    <cellStyle name="Normal 8 2 4 3 2 3" xfId="7011" xr:uid="{00000000-0005-0000-0000-00004A650000}"/>
    <cellStyle name="Normal 8 2 4 3 2 3 2" xfId="16871" xr:uid="{00000000-0005-0000-0000-00004B650000}"/>
    <cellStyle name="Normal 8 2 4 3 2 3 2 2" xfId="36586" xr:uid="{00000000-0005-0000-0000-00004C650000}"/>
    <cellStyle name="Normal 8 2 4 3 2 3 3" xfId="26729" xr:uid="{00000000-0005-0000-0000-00004D650000}"/>
    <cellStyle name="Normal 8 2 4 3 2 4" xfId="11943" xr:uid="{00000000-0005-0000-0000-00004E650000}"/>
    <cellStyle name="Normal 8 2 4 3 2 4 2" xfId="31658" xr:uid="{00000000-0005-0000-0000-00004F650000}"/>
    <cellStyle name="Normal 8 2 4 3 2 5" xfId="21801" xr:uid="{00000000-0005-0000-0000-000050650000}"/>
    <cellStyle name="Normal 8 2 4 3 3" xfId="3311" xr:uid="{00000000-0005-0000-0000-000051650000}"/>
    <cellStyle name="Normal 8 2 4 3 3 2" xfId="8243" xr:uid="{00000000-0005-0000-0000-000052650000}"/>
    <cellStyle name="Normal 8 2 4 3 3 2 2" xfId="18103" xr:uid="{00000000-0005-0000-0000-000053650000}"/>
    <cellStyle name="Normal 8 2 4 3 3 2 2 2" xfId="37818" xr:uid="{00000000-0005-0000-0000-000054650000}"/>
    <cellStyle name="Normal 8 2 4 3 3 2 3" xfId="27961" xr:uid="{00000000-0005-0000-0000-000055650000}"/>
    <cellStyle name="Normal 8 2 4 3 3 3" xfId="13175" xr:uid="{00000000-0005-0000-0000-000056650000}"/>
    <cellStyle name="Normal 8 2 4 3 3 3 2" xfId="32890" xr:uid="{00000000-0005-0000-0000-000057650000}"/>
    <cellStyle name="Normal 8 2 4 3 3 4" xfId="23033" xr:uid="{00000000-0005-0000-0000-000058650000}"/>
    <cellStyle name="Normal 8 2 4 3 4" xfId="5779" xr:uid="{00000000-0005-0000-0000-000059650000}"/>
    <cellStyle name="Normal 8 2 4 3 4 2" xfId="15639" xr:uid="{00000000-0005-0000-0000-00005A650000}"/>
    <cellStyle name="Normal 8 2 4 3 4 2 2" xfId="35354" xr:uid="{00000000-0005-0000-0000-00005B650000}"/>
    <cellStyle name="Normal 8 2 4 3 4 3" xfId="25497" xr:uid="{00000000-0005-0000-0000-00005C650000}"/>
    <cellStyle name="Normal 8 2 4 3 5" xfId="10711" xr:uid="{00000000-0005-0000-0000-00005D650000}"/>
    <cellStyle name="Normal 8 2 4 3 5 2" xfId="30426" xr:uid="{00000000-0005-0000-0000-00005E650000}"/>
    <cellStyle name="Normal 8 2 4 3 6" xfId="20569" xr:uid="{00000000-0005-0000-0000-00005F650000}"/>
    <cellStyle name="Normal 8 2 4 4" xfId="1460" xr:uid="{00000000-0005-0000-0000-000060650000}"/>
    <cellStyle name="Normal 8 2 4 4 2" xfId="3927" xr:uid="{00000000-0005-0000-0000-000061650000}"/>
    <cellStyle name="Normal 8 2 4 4 2 2" xfId="8859" xr:uid="{00000000-0005-0000-0000-000062650000}"/>
    <cellStyle name="Normal 8 2 4 4 2 2 2" xfId="18719" xr:uid="{00000000-0005-0000-0000-000063650000}"/>
    <cellStyle name="Normal 8 2 4 4 2 2 2 2" xfId="38434" xr:uid="{00000000-0005-0000-0000-000064650000}"/>
    <cellStyle name="Normal 8 2 4 4 2 2 3" xfId="28577" xr:uid="{00000000-0005-0000-0000-000065650000}"/>
    <cellStyle name="Normal 8 2 4 4 2 3" xfId="13791" xr:uid="{00000000-0005-0000-0000-000066650000}"/>
    <cellStyle name="Normal 8 2 4 4 2 3 2" xfId="33506" xr:uid="{00000000-0005-0000-0000-000067650000}"/>
    <cellStyle name="Normal 8 2 4 4 2 4" xfId="23649" xr:uid="{00000000-0005-0000-0000-000068650000}"/>
    <cellStyle name="Normal 8 2 4 4 3" xfId="6395" xr:uid="{00000000-0005-0000-0000-000069650000}"/>
    <cellStyle name="Normal 8 2 4 4 3 2" xfId="16255" xr:uid="{00000000-0005-0000-0000-00006A650000}"/>
    <cellStyle name="Normal 8 2 4 4 3 2 2" xfId="35970" xr:uid="{00000000-0005-0000-0000-00006B650000}"/>
    <cellStyle name="Normal 8 2 4 4 3 3" xfId="26113" xr:uid="{00000000-0005-0000-0000-00006C650000}"/>
    <cellStyle name="Normal 8 2 4 4 4" xfId="11327" xr:uid="{00000000-0005-0000-0000-00006D650000}"/>
    <cellStyle name="Normal 8 2 4 4 4 2" xfId="31042" xr:uid="{00000000-0005-0000-0000-00006E650000}"/>
    <cellStyle name="Normal 8 2 4 4 5" xfId="21185" xr:uid="{00000000-0005-0000-0000-00006F650000}"/>
    <cellStyle name="Normal 8 2 4 5" xfId="2695" xr:uid="{00000000-0005-0000-0000-000070650000}"/>
    <cellStyle name="Normal 8 2 4 5 2" xfId="7627" xr:uid="{00000000-0005-0000-0000-000071650000}"/>
    <cellStyle name="Normal 8 2 4 5 2 2" xfId="17487" xr:uid="{00000000-0005-0000-0000-000072650000}"/>
    <cellStyle name="Normal 8 2 4 5 2 2 2" xfId="37202" xr:uid="{00000000-0005-0000-0000-000073650000}"/>
    <cellStyle name="Normal 8 2 4 5 2 3" xfId="27345" xr:uid="{00000000-0005-0000-0000-000074650000}"/>
    <cellStyle name="Normal 8 2 4 5 3" xfId="12559" xr:uid="{00000000-0005-0000-0000-000075650000}"/>
    <cellStyle name="Normal 8 2 4 5 3 2" xfId="32274" xr:uid="{00000000-0005-0000-0000-000076650000}"/>
    <cellStyle name="Normal 8 2 4 5 4" xfId="22417" xr:uid="{00000000-0005-0000-0000-000077650000}"/>
    <cellStyle name="Normal 8 2 4 6" xfId="5163" xr:uid="{00000000-0005-0000-0000-000078650000}"/>
    <cellStyle name="Normal 8 2 4 6 2" xfId="15023" xr:uid="{00000000-0005-0000-0000-000079650000}"/>
    <cellStyle name="Normal 8 2 4 6 2 2" xfId="34738" xr:uid="{00000000-0005-0000-0000-00007A650000}"/>
    <cellStyle name="Normal 8 2 4 6 3" xfId="24881" xr:uid="{00000000-0005-0000-0000-00007B650000}"/>
    <cellStyle name="Normal 8 2 4 7" xfId="10095" xr:uid="{00000000-0005-0000-0000-00007C650000}"/>
    <cellStyle name="Normal 8 2 4 7 2" xfId="29810" xr:uid="{00000000-0005-0000-0000-00007D650000}"/>
    <cellStyle name="Normal 8 2 4 8" xfId="19953" xr:uid="{00000000-0005-0000-0000-00007E650000}"/>
    <cellStyle name="Normal 8 2 5" xfId="375" xr:uid="{00000000-0005-0000-0000-00007F650000}"/>
    <cellStyle name="Normal 8 2 5 2" xfId="995" xr:uid="{00000000-0005-0000-0000-000080650000}"/>
    <cellStyle name="Normal 8 2 5 2 2" xfId="2230" xr:uid="{00000000-0005-0000-0000-000081650000}"/>
    <cellStyle name="Normal 8 2 5 2 2 2" xfId="4697" xr:uid="{00000000-0005-0000-0000-000082650000}"/>
    <cellStyle name="Normal 8 2 5 2 2 2 2" xfId="9629" xr:uid="{00000000-0005-0000-0000-000083650000}"/>
    <cellStyle name="Normal 8 2 5 2 2 2 2 2" xfId="19489" xr:uid="{00000000-0005-0000-0000-000084650000}"/>
    <cellStyle name="Normal 8 2 5 2 2 2 2 2 2" xfId="39204" xr:uid="{00000000-0005-0000-0000-000085650000}"/>
    <cellStyle name="Normal 8 2 5 2 2 2 2 3" xfId="29347" xr:uid="{00000000-0005-0000-0000-000086650000}"/>
    <cellStyle name="Normal 8 2 5 2 2 2 3" xfId="14561" xr:uid="{00000000-0005-0000-0000-000087650000}"/>
    <cellStyle name="Normal 8 2 5 2 2 2 3 2" xfId="34276" xr:uid="{00000000-0005-0000-0000-000088650000}"/>
    <cellStyle name="Normal 8 2 5 2 2 2 4" xfId="24419" xr:uid="{00000000-0005-0000-0000-000089650000}"/>
    <cellStyle name="Normal 8 2 5 2 2 3" xfId="7165" xr:uid="{00000000-0005-0000-0000-00008A650000}"/>
    <cellStyle name="Normal 8 2 5 2 2 3 2" xfId="17025" xr:uid="{00000000-0005-0000-0000-00008B650000}"/>
    <cellStyle name="Normal 8 2 5 2 2 3 2 2" xfId="36740" xr:uid="{00000000-0005-0000-0000-00008C650000}"/>
    <cellStyle name="Normal 8 2 5 2 2 3 3" xfId="26883" xr:uid="{00000000-0005-0000-0000-00008D650000}"/>
    <cellStyle name="Normal 8 2 5 2 2 4" xfId="12097" xr:uid="{00000000-0005-0000-0000-00008E650000}"/>
    <cellStyle name="Normal 8 2 5 2 2 4 2" xfId="31812" xr:uid="{00000000-0005-0000-0000-00008F650000}"/>
    <cellStyle name="Normal 8 2 5 2 2 5" xfId="21955" xr:uid="{00000000-0005-0000-0000-000090650000}"/>
    <cellStyle name="Normal 8 2 5 2 3" xfId="3465" xr:uid="{00000000-0005-0000-0000-000091650000}"/>
    <cellStyle name="Normal 8 2 5 2 3 2" xfId="8397" xr:uid="{00000000-0005-0000-0000-000092650000}"/>
    <cellStyle name="Normal 8 2 5 2 3 2 2" xfId="18257" xr:uid="{00000000-0005-0000-0000-000093650000}"/>
    <cellStyle name="Normal 8 2 5 2 3 2 2 2" xfId="37972" xr:uid="{00000000-0005-0000-0000-000094650000}"/>
    <cellStyle name="Normal 8 2 5 2 3 2 3" xfId="28115" xr:uid="{00000000-0005-0000-0000-000095650000}"/>
    <cellStyle name="Normal 8 2 5 2 3 3" xfId="13329" xr:uid="{00000000-0005-0000-0000-000096650000}"/>
    <cellStyle name="Normal 8 2 5 2 3 3 2" xfId="33044" xr:uid="{00000000-0005-0000-0000-000097650000}"/>
    <cellStyle name="Normal 8 2 5 2 3 4" xfId="23187" xr:uid="{00000000-0005-0000-0000-000098650000}"/>
    <cellStyle name="Normal 8 2 5 2 4" xfId="5933" xr:uid="{00000000-0005-0000-0000-000099650000}"/>
    <cellStyle name="Normal 8 2 5 2 4 2" xfId="15793" xr:uid="{00000000-0005-0000-0000-00009A650000}"/>
    <cellStyle name="Normal 8 2 5 2 4 2 2" xfId="35508" xr:uid="{00000000-0005-0000-0000-00009B650000}"/>
    <cellStyle name="Normal 8 2 5 2 4 3" xfId="25651" xr:uid="{00000000-0005-0000-0000-00009C650000}"/>
    <cellStyle name="Normal 8 2 5 2 5" xfId="10865" xr:uid="{00000000-0005-0000-0000-00009D650000}"/>
    <cellStyle name="Normal 8 2 5 2 5 2" xfId="30580" xr:uid="{00000000-0005-0000-0000-00009E650000}"/>
    <cellStyle name="Normal 8 2 5 2 6" xfId="20723" xr:uid="{00000000-0005-0000-0000-00009F650000}"/>
    <cellStyle name="Normal 8 2 5 3" xfId="1614" xr:uid="{00000000-0005-0000-0000-0000A0650000}"/>
    <cellStyle name="Normal 8 2 5 3 2" xfId="4081" xr:uid="{00000000-0005-0000-0000-0000A1650000}"/>
    <cellStyle name="Normal 8 2 5 3 2 2" xfId="9013" xr:uid="{00000000-0005-0000-0000-0000A2650000}"/>
    <cellStyle name="Normal 8 2 5 3 2 2 2" xfId="18873" xr:uid="{00000000-0005-0000-0000-0000A3650000}"/>
    <cellStyle name="Normal 8 2 5 3 2 2 2 2" xfId="38588" xr:uid="{00000000-0005-0000-0000-0000A4650000}"/>
    <cellStyle name="Normal 8 2 5 3 2 2 3" xfId="28731" xr:uid="{00000000-0005-0000-0000-0000A5650000}"/>
    <cellStyle name="Normal 8 2 5 3 2 3" xfId="13945" xr:uid="{00000000-0005-0000-0000-0000A6650000}"/>
    <cellStyle name="Normal 8 2 5 3 2 3 2" xfId="33660" xr:uid="{00000000-0005-0000-0000-0000A7650000}"/>
    <cellStyle name="Normal 8 2 5 3 2 4" xfId="23803" xr:uid="{00000000-0005-0000-0000-0000A8650000}"/>
    <cellStyle name="Normal 8 2 5 3 3" xfId="6549" xr:uid="{00000000-0005-0000-0000-0000A9650000}"/>
    <cellStyle name="Normal 8 2 5 3 3 2" xfId="16409" xr:uid="{00000000-0005-0000-0000-0000AA650000}"/>
    <cellStyle name="Normal 8 2 5 3 3 2 2" xfId="36124" xr:uid="{00000000-0005-0000-0000-0000AB650000}"/>
    <cellStyle name="Normal 8 2 5 3 3 3" xfId="26267" xr:uid="{00000000-0005-0000-0000-0000AC650000}"/>
    <cellStyle name="Normal 8 2 5 3 4" xfId="11481" xr:uid="{00000000-0005-0000-0000-0000AD650000}"/>
    <cellStyle name="Normal 8 2 5 3 4 2" xfId="31196" xr:uid="{00000000-0005-0000-0000-0000AE650000}"/>
    <cellStyle name="Normal 8 2 5 3 5" xfId="21339" xr:uid="{00000000-0005-0000-0000-0000AF650000}"/>
    <cellStyle name="Normal 8 2 5 4" xfId="2849" xr:uid="{00000000-0005-0000-0000-0000B0650000}"/>
    <cellStyle name="Normal 8 2 5 4 2" xfId="7781" xr:uid="{00000000-0005-0000-0000-0000B1650000}"/>
    <cellStyle name="Normal 8 2 5 4 2 2" xfId="17641" xr:uid="{00000000-0005-0000-0000-0000B2650000}"/>
    <cellStyle name="Normal 8 2 5 4 2 2 2" xfId="37356" xr:uid="{00000000-0005-0000-0000-0000B3650000}"/>
    <cellStyle name="Normal 8 2 5 4 2 3" xfId="27499" xr:uid="{00000000-0005-0000-0000-0000B4650000}"/>
    <cellStyle name="Normal 8 2 5 4 3" xfId="12713" xr:uid="{00000000-0005-0000-0000-0000B5650000}"/>
    <cellStyle name="Normal 8 2 5 4 3 2" xfId="32428" xr:uid="{00000000-0005-0000-0000-0000B6650000}"/>
    <cellStyle name="Normal 8 2 5 4 4" xfId="22571" xr:uid="{00000000-0005-0000-0000-0000B7650000}"/>
    <cellStyle name="Normal 8 2 5 5" xfId="5317" xr:uid="{00000000-0005-0000-0000-0000B8650000}"/>
    <cellStyle name="Normal 8 2 5 5 2" xfId="15177" xr:uid="{00000000-0005-0000-0000-0000B9650000}"/>
    <cellStyle name="Normal 8 2 5 5 2 2" xfId="34892" xr:uid="{00000000-0005-0000-0000-0000BA650000}"/>
    <cellStyle name="Normal 8 2 5 5 3" xfId="25035" xr:uid="{00000000-0005-0000-0000-0000BB650000}"/>
    <cellStyle name="Normal 8 2 5 6" xfId="10249" xr:uid="{00000000-0005-0000-0000-0000BC650000}"/>
    <cellStyle name="Normal 8 2 5 6 2" xfId="29964" xr:uid="{00000000-0005-0000-0000-0000BD650000}"/>
    <cellStyle name="Normal 8 2 5 7" xfId="20107" xr:uid="{00000000-0005-0000-0000-0000BE650000}"/>
    <cellStyle name="Normal 8 2 6" xfId="688" xr:uid="{00000000-0005-0000-0000-0000BF650000}"/>
    <cellStyle name="Normal 8 2 6 2" xfId="1924" xr:uid="{00000000-0005-0000-0000-0000C0650000}"/>
    <cellStyle name="Normal 8 2 6 2 2" xfId="4391" xr:uid="{00000000-0005-0000-0000-0000C1650000}"/>
    <cellStyle name="Normal 8 2 6 2 2 2" xfId="9323" xr:uid="{00000000-0005-0000-0000-0000C2650000}"/>
    <cellStyle name="Normal 8 2 6 2 2 2 2" xfId="19183" xr:uid="{00000000-0005-0000-0000-0000C3650000}"/>
    <cellStyle name="Normal 8 2 6 2 2 2 2 2" xfId="38898" xr:uid="{00000000-0005-0000-0000-0000C4650000}"/>
    <cellStyle name="Normal 8 2 6 2 2 2 3" xfId="29041" xr:uid="{00000000-0005-0000-0000-0000C5650000}"/>
    <cellStyle name="Normal 8 2 6 2 2 3" xfId="14255" xr:uid="{00000000-0005-0000-0000-0000C6650000}"/>
    <cellStyle name="Normal 8 2 6 2 2 3 2" xfId="33970" xr:uid="{00000000-0005-0000-0000-0000C7650000}"/>
    <cellStyle name="Normal 8 2 6 2 2 4" xfId="24113" xr:uid="{00000000-0005-0000-0000-0000C8650000}"/>
    <cellStyle name="Normal 8 2 6 2 3" xfId="6859" xr:uid="{00000000-0005-0000-0000-0000C9650000}"/>
    <cellStyle name="Normal 8 2 6 2 3 2" xfId="16719" xr:uid="{00000000-0005-0000-0000-0000CA650000}"/>
    <cellStyle name="Normal 8 2 6 2 3 2 2" xfId="36434" xr:uid="{00000000-0005-0000-0000-0000CB650000}"/>
    <cellStyle name="Normal 8 2 6 2 3 3" xfId="26577" xr:uid="{00000000-0005-0000-0000-0000CC650000}"/>
    <cellStyle name="Normal 8 2 6 2 4" xfId="11791" xr:uid="{00000000-0005-0000-0000-0000CD650000}"/>
    <cellStyle name="Normal 8 2 6 2 4 2" xfId="31506" xr:uid="{00000000-0005-0000-0000-0000CE650000}"/>
    <cellStyle name="Normal 8 2 6 2 5" xfId="21649" xr:uid="{00000000-0005-0000-0000-0000CF650000}"/>
    <cellStyle name="Normal 8 2 6 3" xfId="3159" xr:uid="{00000000-0005-0000-0000-0000D0650000}"/>
    <cellStyle name="Normal 8 2 6 3 2" xfId="8091" xr:uid="{00000000-0005-0000-0000-0000D1650000}"/>
    <cellStyle name="Normal 8 2 6 3 2 2" xfId="17951" xr:uid="{00000000-0005-0000-0000-0000D2650000}"/>
    <cellStyle name="Normal 8 2 6 3 2 2 2" xfId="37666" xr:uid="{00000000-0005-0000-0000-0000D3650000}"/>
    <cellStyle name="Normal 8 2 6 3 2 3" xfId="27809" xr:uid="{00000000-0005-0000-0000-0000D4650000}"/>
    <cellStyle name="Normal 8 2 6 3 3" xfId="13023" xr:uid="{00000000-0005-0000-0000-0000D5650000}"/>
    <cellStyle name="Normal 8 2 6 3 3 2" xfId="32738" xr:uid="{00000000-0005-0000-0000-0000D6650000}"/>
    <cellStyle name="Normal 8 2 6 3 4" xfId="22881" xr:uid="{00000000-0005-0000-0000-0000D7650000}"/>
    <cellStyle name="Normal 8 2 6 4" xfId="5627" xr:uid="{00000000-0005-0000-0000-0000D8650000}"/>
    <cellStyle name="Normal 8 2 6 4 2" xfId="15487" xr:uid="{00000000-0005-0000-0000-0000D9650000}"/>
    <cellStyle name="Normal 8 2 6 4 2 2" xfId="35202" xr:uid="{00000000-0005-0000-0000-0000DA650000}"/>
    <cellStyle name="Normal 8 2 6 4 3" xfId="25345" xr:uid="{00000000-0005-0000-0000-0000DB650000}"/>
    <cellStyle name="Normal 8 2 6 5" xfId="10559" xr:uid="{00000000-0005-0000-0000-0000DC650000}"/>
    <cellStyle name="Normal 8 2 6 5 2" xfId="30274" xr:uid="{00000000-0005-0000-0000-0000DD650000}"/>
    <cellStyle name="Normal 8 2 6 6" xfId="20417" xr:uid="{00000000-0005-0000-0000-0000DE650000}"/>
    <cellStyle name="Normal 8 2 7" xfId="1308" xr:uid="{00000000-0005-0000-0000-0000DF650000}"/>
    <cellStyle name="Normal 8 2 7 2" xfId="3775" xr:uid="{00000000-0005-0000-0000-0000E0650000}"/>
    <cellStyle name="Normal 8 2 7 2 2" xfId="8707" xr:uid="{00000000-0005-0000-0000-0000E1650000}"/>
    <cellStyle name="Normal 8 2 7 2 2 2" xfId="18567" xr:uid="{00000000-0005-0000-0000-0000E2650000}"/>
    <cellStyle name="Normal 8 2 7 2 2 2 2" xfId="38282" xr:uid="{00000000-0005-0000-0000-0000E3650000}"/>
    <cellStyle name="Normal 8 2 7 2 2 3" xfId="28425" xr:uid="{00000000-0005-0000-0000-0000E4650000}"/>
    <cellStyle name="Normal 8 2 7 2 3" xfId="13639" xr:uid="{00000000-0005-0000-0000-0000E5650000}"/>
    <cellStyle name="Normal 8 2 7 2 3 2" xfId="33354" xr:uid="{00000000-0005-0000-0000-0000E6650000}"/>
    <cellStyle name="Normal 8 2 7 2 4" xfId="23497" xr:uid="{00000000-0005-0000-0000-0000E7650000}"/>
    <cellStyle name="Normal 8 2 7 3" xfId="6243" xr:uid="{00000000-0005-0000-0000-0000E8650000}"/>
    <cellStyle name="Normal 8 2 7 3 2" xfId="16103" xr:uid="{00000000-0005-0000-0000-0000E9650000}"/>
    <cellStyle name="Normal 8 2 7 3 2 2" xfId="35818" xr:uid="{00000000-0005-0000-0000-0000EA650000}"/>
    <cellStyle name="Normal 8 2 7 3 3" xfId="25961" xr:uid="{00000000-0005-0000-0000-0000EB650000}"/>
    <cellStyle name="Normal 8 2 7 4" xfId="11175" xr:uid="{00000000-0005-0000-0000-0000EC650000}"/>
    <cellStyle name="Normal 8 2 7 4 2" xfId="30890" xr:uid="{00000000-0005-0000-0000-0000ED650000}"/>
    <cellStyle name="Normal 8 2 7 5" xfId="21033" xr:uid="{00000000-0005-0000-0000-0000EE650000}"/>
    <cellStyle name="Normal 8 2 8" xfId="2543" xr:uid="{00000000-0005-0000-0000-0000EF650000}"/>
    <cellStyle name="Normal 8 2 8 2" xfId="7475" xr:uid="{00000000-0005-0000-0000-0000F0650000}"/>
    <cellStyle name="Normal 8 2 8 2 2" xfId="17335" xr:uid="{00000000-0005-0000-0000-0000F1650000}"/>
    <cellStyle name="Normal 8 2 8 2 2 2" xfId="37050" xr:uid="{00000000-0005-0000-0000-0000F2650000}"/>
    <cellStyle name="Normal 8 2 8 2 3" xfId="27193" xr:uid="{00000000-0005-0000-0000-0000F3650000}"/>
    <cellStyle name="Normal 8 2 8 3" xfId="12407" xr:uid="{00000000-0005-0000-0000-0000F4650000}"/>
    <cellStyle name="Normal 8 2 8 3 2" xfId="32122" xr:uid="{00000000-0005-0000-0000-0000F5650000}"/>
    <cellStyle name="Normal 8 2 8 4" xfId="22265" xr:uid="{00000000-0005-0000-0000-0000F6650000}"/>
    <cellStyle name="Normal 8 2 9" xfId="5011" xr:uid="{00000000-0005-0000-0000-0000F7650000}"/>
    <cellStyle name="Normal 8 2 9 2" xfId="14871" xr:uid="{00000000-0005-0000-0000-0000F8650000}"/>
    <cellStyle name="Normal 8 2 9 2 2" xfId="34586" xr:uid="{00000000-0005-0000-0000-0000F9650000}"/>
    <cellStyle name="Normal 8 2 9 3" xfId="24729" xr:uid="{00000000-0005-0000-0000-0000FA650000}"/>
    <cellStyle name="Normal 8 3" xfId="70" xr:uid="{00000000-0005-0000-0000-0000FB650000}"/>
    <cellStyle name="Normal 8 3 10" xfId="19820" xr:uid="{00000000-0005-0000-0000-0000FC650000}"/>
    <cellStyle name="Normal 8 3 2" xfId="151" xr:uid="{00000000-0005-0000-0000-0000FD650000}"/>
    <cellStyle name="Normal 8 3 2 2" xfId="308" xr:uid="{00000000-0005-0000-0000-0000FE650000}"/>
    <cellStyle name="Normal 8 3 2 2 2" xfId="622" xr:uid="{00000000-0005-0000-0000-0000FF650000}"/>
    <cellStyle name="Normal 8 3 2 2 2 2" xfId="1242" xr:uid="{00000000-0005-0000-0000-000000660000}"/>
    <cellStyle name="Normal 8 3 2 2 2 2 2" xfId="2477" xr:uid="{00000000-0005-0000-0000-000001660000}"/>
    <cellStyle name="Normal 8 3 2 2 2 2 2 2" xfId="4944" xr:uid="{00000000-0005-0000-0000-000002660000}"/>
    <cellStyle name="Normal 8 3 2 2 2 2 2 2 2" xfId="9876" xr:uid="{00000000-0005-0000-0000-000003660000}"/>
    <cellStyle name="Normal 8 3 2 2 2 2 2 2 2 2" xfId="19736" xr:uid="{00000000-0005-0000-0000-000004660000}"/>
    <cellStyle name="Normal 8 3 2 2 2 2 2 2 2 2 2" xfId="39451" xr:uid="{00000000-0005-0000-0000-000005660000}"/>
    <cellStyle name="Normal 8 3 2 2 2 2 2 2 2 3" xfId="29594" xr:uid="{00000000-0005-0000-0000-000006660000}"/>
    <cellStyle name="Normal 8 3 2 2 2 2 2 2 3" xfId="14808" xr:uid="{00000000-0005-0000-0000-000007660000}"/>
    <cellStyle name="Normal 8 3 2 2 2 2 2 2 3 2" xfId="34523" xr:uid="{00000000-0005-0000-0000-000008660000}"/>
    <cellStyle name="Normal 8 3 2 2 2 2 2 2 4" xfId="24666" xr:uid="{00000000-0005-0000-0000-000009660000}"/>
    <cellStyle name="Normal 8 3 2 2 2 2 2 3" xfId="7412" xr:uid="{00000000-0005-0000-0000-00000A660000}"/>
    <cellStyle name="Normal 8 3 2 2 2 2 2 3 2" xfId="17272" xr:uid="{00000000-0005-0000-0000-00000B660000}"/>
    <cellStyle name="Normal 8 3 2 2 2 2 2 3 2 2" xfId="36987" xr:uid="{00000000-0005-0000-0000-00000C660000}"/>
    <cellStyle name="Normal 8 3 2 2 2 2 2 3 3" xfId="27130" xr:uid="{00000000-0005-0000-0000-00000D660000}"/>
    <cellStyle name="Normal 8 3 2 2 2 2 2 4" xfId="12344" xr:uid="{00000000-0005-0000-0000-00000E660000}"/>
    <cellStyle name="Normal 8 3 2 2 2 2 2 4 2" xfId="32059" xr:uid="{00000000-0005-0000-0000-00000F660000}"/>
    <cellStyle name="Normal 8 3 2 2 2 2 2 5" xfId="22202" xr:uid="{00000000-0005-0000-0000-000010660000}"/>
    <cellStyle name="Normal 8 3 2 2 2 2 3" xfId="3712" xr:uid="{00000000-0005-0000-0000-000011660000}"/>
    <cellStyle name="Normal 8 3 2 2 2 2 3 2" xfId="8644" xr:uid="{00000000-0005-0000-0000-000012660000}"/>
    <cellStyle name="Normal 8 3 2 2 2 2 3 2 2" xfId="18504" xr:uid="{00000000-0005-0000-0000-000013660000}"/>
    <cellStyle name="Normal 8 3 2 2 2 2 3 2 2 2" xfId="38219" xr:uid="{00000000-0005-0000-0000-000014660000}"/>
    <cellStyle name="Normal 8 3 2 2 2 2 3 2 3" xfId="28362" xr:uid="{00000000-0005-0000-0000-000015660000}"/>
    <cellStyle name="Normal 8 3 2 2 2 2 3 3" xfId="13576" xr:uid="{00000000-0005-0000-0000-000016660000}"/>
    <cellStyle name="Normal 8 3 2 2 2 2 3 3 2" xfId="33291" xr:uid="{00000000-0005-0000-0000-000017660000}"/>
    <cellStyle name="Normal 8 3 2 2 2 2 3 4" xfId="23434" xr:uid="{00000000-0005-0000-0000-000018660000}"/>
    <cellStyle name="Normal 8 3 2 2 2 2 4" xfId="6180" xr:uid="{00000000-0005-0000-0000-000019660000}"/>
    <cellStyle name="Normal 8 3 2 2 2 2 4 2" xfId="16040" xr:uid="{00000000-0005-0000-0000-00001A660000}"/>
    <cellStyle name="Normal 8 3 2 2 2 2 4 2 2" xfId="35755" xr:uid="{00000000-0005-0000-0000-00001B660000}"/>
    <cellStyle name="Normal 8 3 2 2 2 2 4 3" xfId="25898" xr:uid="{00000000-0005-0000-0000-00001C660000}"/>
    <cellStyle name="Normal 8 3 2 2 2 2 5" xfId="11112" xr:uid="{00000000-0005-0000-0000-00001D660000}"/>
    <cellStyle name="Normal 8 3 2 2 2 2 5 2" xfId="30827" xr:uid="{00000000-0005-0000-0000-00001E660000}"/>
    <cellStyle name="Normal 8 3 2 2 2 2 6" xfId="20970" xr:uid="{00000000-0005-0000-0000-00001F660000}"/>
    <cellStyle name="Normal 8 3 2 2 2 3" xfId="1861" xr:uid="{00000000-0005-0000-0000-000020660000}"/>
    <cellStyle name="Normal 8 3 2 2 2 3 2" xfId="4328" xr:uid="{00000000-0005-0000-0000-000021660000}"/>
    <cellStyle name="Normal 8 3 2 2 2 3 2 2" xfId="9260" xr:uid="{00000000-0005-0000-0000-000022660000}"/>
    <cellStyle name="Normal 8 3 2 2 2 3 2 2 2" xfId="19120" xr:uid="{00000000-0005-0000-0000-000023660000}"/>
    <cellStyle name="Normal 8 3 2 2 2 3 2 2 2 2" xfId="38835" xr:uid="{00000000-0005-0000-0000-000024660000}"/>
    <cellStyle name="Normal 8 3 2 2 2 3 2 2 3" xfId="28978" xr:uid="{00000000-0005-0000-0000-000025660000}"/>
    <cellStyle name="Normal 8 3 2 2 2 3 2 3" xfId="14192" xr:uid="{00000000-0005-0000-0000-000026660000}"/>
    <cellStyle name="Normal 8 3 2 2 2 3 2 3 2" xfId="33907" xr:uid="{00000000-0005-0000-0000-000027660000}"/>
    <cellStyle name="Normal 8 3 2 2 2 3 2 4" xfId="24050" xr:uid="{00000000-0005-0000-0000-000028660000}"/>
    <cellStyle name="Normal 8 3 2 2 2 3 3" xfId="6796" xr:uid="{00000000-0005-0000-0000-000029660000}"/>
    <cellStyle name="Normal 8 3 2 2 2 3 3 2" xfId="16656" xr:uid="{00000000-0005-0000-0000-00002A660000}"/>
    <cellStyle name="Normal 8 3 2 2 2 3 3 2 2" xfId="36371" xr:uid="{00000000-0005-0000-0000-00002B660000}"/>
    <cellStyle name="Normal 8 3 2 2 2 3 3 3" xfId="26514" xr:uid="{00000000-0005-0000-0000-00002C660000}"/>
    <cellStyle name="Normal 8 3 2 2 2 3 4" xfId="11728" xr:uid="{00000000-0005-0000-0000-00002D660000}"/>
    <cellStyle name="Normal 8 3 2 2 2 3 4 2" xfId="31443" xr:uid="{00000000-0005-0000-0000-00002E660000}"/>
    <cellStyle name="Normal 8 3 2 2 2 3 5" xfId="21586" xr:uid="{00000000-0005-0000-0000-00002F660000}"/>
    <cellStyle name="Normal 8 3 2 2 2 4" xfId="3096" xr:uid="{00000000-0005-0000-0000-000030660000}"/>
    <cellStyle name="Normal 8 3 2 2 2 4 2" xfId="8028" xr:uid="{00000000-0005-0000-0000-000031660000}"/>
    <cellStyle name="Normal 8 3 2 2 2 4 2 2" xfId="17888" xr:uid="{00000000-0005-0000-0000-000032660000}"/>
    <cellStyle name="Normal 8 3 2 2 2 4 2 2 2" xfId="37603" xr:uid="{00000000-0005-0000-0000-000033660000}"/>
    <cellStyle name="Normal 8 3 2 2 2 4 2 3" xfId="27746" xr:uid="{00000000-0005-0000-0000-000034660000}"/>
    <cellStyle name="Normal 8 3 2 2 2 4 3" xfId="12960" xr:uid="{00000000-0005-0000-0000-000035660000}"/>
    <cellStyle name="Normal 8 3 2 2 2 4 3 2" xfId="32675" xr:uid="{00000000-0005-0000-0000-000036660000}"/>
    <cellStyle name="Normal 8 3 2 2 2 4 4" xfId="22818" xr:uid="{00000000-0005-0000-0000-000037660000}"/>
    <cellStyle name="Normal 8 3 2 2 2 5" xfId="5564" xr:uid="{00000000-0005-0000-0000-000038660000}"/>
    <cellStyle name="Normal 8 3 2 2 2 5 2" xfId="15424" xr:uid="{00000000-0005-0000-0000-000039660000}"/>
    <cellStyle name="Normal 8 3 2 2 2 5 2 2" xfId="35139" xr:uid="{00000000-0005-0000-0000-00003A660000}"/>
    <cellStyle name="Normal 8 3 2 2 2 5 3" xfId="25282" xr:uid="{00000000-0005-0000-0000-00003B660000}"/>
    <cellStyle name="Normal 8 3 2 2 2 6" xfId="10496" xr:uid="{00000000-0005-0000-0000-00003C660000}"/>
    <cellStyle name="Normal 8 3 2 2 2 6 2" xfId="30211" xr:uid="{00000000-0005-0000-0000-00003D660000}"/>
    <cellStyle name="Normal 8 3 2 2 2 7" xfId="20354" xr:uid="{00000000-0005-0000-0000-00003E660000}"/>
    <cellStyle name="Normal 8 3 2 2 3" xfId="935" xr:uid="{00000000-0005-0000-0000-00003F660000}"/>
    <cellStyle name="Normal 8 3 2 2 3 2" xfId="2171" xr:uid="{00000000-0005-0000-0000-000040660000}"/>
    <cellStyle name="Normal 8 3 2 2 3 2 2" xfId="4638" xr:uid="{00000000-0005-0000-0000-000041660000}"/>
    <cellStyle name="Normal 8 3 2 2 3 2 2 2" xfId="9570" xr:uid="{00000000-0005-0000-0000-000042660000}"/>
    <cellStyle name="Normal 8 3 2 2 3 2 2 2 2" xfId="19430" xr:uid="{00000000-0005-0000-0000-000043660000}"/>
    <cellStyle name="Normal 8 3 2 2 3 2 2 2 2 2" xfId="39145" xr:uid="{00000000-0005-0000-0000-000044660000}"/>
    <cellStyle name="Normal 8 3 2 2 3 2 2 2 3" xfId="29288" xr:uid="{00000000-0005-0000-0000-000045660000}"/>
    <cellStyle name="Normal 8 3 2 2 3 2 2 3" xfId="14502" xr:uid="{00000000-0005-0000-0000-000046660000}"/>
    <cellStyle name="Normal 8 3 2 2 3 2 2 3 2" xfId="34217" xr:uid="{00000000-0005-0000-0000-000047660000}"/>
    <cellStyle name="Normal 8 3 2 2 3 2 2 4" xfId="24360" xr:uid="{00000000-0005-0000-0000-000048660000}"/>
    <cellStyle name="Normal 8 3 2 2 3 2 3" xfId="7106" xr:uid="{00000000-0005-0000-0000-000049660000}"/>
    <cellStyle name="Normal 8 3 2 2 3 2 3 2" xfId="16966" xr:uid="{00000000-0005-0000-0000-00004A660000}"/>
    <cellStyle name="Normal 8 3 2 2 3 2 3 2 2" xfId="36681" xr:uid="{00000000-0005-0000-0000-00004B660000}"/>
    <cellStyle name="Normal 8 3 2 2 3 2 3 3" xfId="26824" xr:uid="{00000000-0005-0000-0000-00004C660000}"/>
    <cellStyle name="Normal 8 3 2 2 3 2 4" xfId="12038" xr:uid="{00000000-0005-0000-0000-00004D660000}"/>
    <cellStyle name="Normal 8 3 2 2 3 2 4 2" xfId="31753" xr:uid="{00000000-0005-0000-0000-00004E660000}"/>
    <cellStyle name="Normal 8 3 2 2 3 2 5" xfId="21896" xr:uid="{00000000-0005-0000-0000-00004F660000}"/>
    <cellStyle name="Normal 8 3 2 2 3 3" xfId="3406" xr:uid="{00000000-0005-0000-0000-000050660000}"/>
    <cellStyle name="Normal 8 3 2 2 3 3 2" xfId="8338" xr:uid="{00000000-0005-0000-0000-000051660000}"/>
    <cellStyle name="Normal 8 3 2 2 3 3 2 2" xfId="18198" xr:uid="{00000000-0005-0000-0000-000052660000}"/>
    <cellStyle name="Normal 8 3 2 2 3 3 2 2 2" xfId="37913" xr:uid="{00000000-0005-0000-0000-000053660000}"/>
    <cellStyle name="Normal 8 3 2 2 3 3 2 3" xfId="28056" xr:uid="{00000000-0005-0000-0000-000054660000}"/>
    <cellStyle name="Normal 8 3 2 2 3 3 3" xfId="13270" xr:uid="{00000000-0005-0000-0000-000055660000}"/>
    <cellStyle name="Normal 8 3 2 2 3 3 3 2" xfId="32985" xr:uid="{00000000-0005-0000-0000-000056660000}"/>
    <cellStyle name="Normal 8 3 2 2 3 3 4" xfId="23128" xr:uid="{00000000-0005-0000-0000-000057660000}"/>
    <cellStyle name="Normal 8 3 2 2 3 4" xfId="5874" xr:uid="{00000000-0005-0000-0000-000058660000}"/>
    <cellStyle name="Normal 8 3 2 2 3 4 2" xfId="15734" xr:uid="{00000000-0005-0000-0000-000059660000}"/>
    <cellStyle name="Normal 8 3 2 2 3 4 2 2" xfId="35449" xr:uid="{00000000-0005-0000-0000-00005A660000}"/>
    <cellStyle name="Normal 8 3 2 2 3 4 3" xfId="25592" xr:uid="{00000000-0005-0000-0000-00005B660000}"/>
    <cellStyle name="Normal 8 3 2 2 3 5" xfId="10806" xr:uid="{00000000-0005-0000-0000-00005C660000}"/>
    <cellStyle name="Normal 8 3 2 2 3 5 2" xfId="30521" xr:uid="{00000000-0005-0000-0000-00005D660000}"/>
    <cellStyle name="Normal 8 3 2 2 3 6" xfId="20664" xr:uid="{00000000-0005-0000-0000-00005E660000}"/>
    <cellStyle name="Normal 8 3 2 2 4" xfId="1555" xr:uid="{00000000-0005-0000-0000-00005F660000}"/>
    <cellStyle name="Normal 8 3 2 2 4 2" xfId="4022" xr:uid="{00000000-0005-0000-0000-000060660000}"/>
    <cellStyle name="Normal 8 3 2 2 4 2 2" xfId="8954" xr:uid="{00000000-0005-0000-0000-000061660000}"/>
    <cellStyle name="Normal 8 3 2 2 4 2 2 2" xfId="18814" xr:uid="{00000000-0005-0000-0000-000062660000}"/>
    <cellStyle name="Normal 8 3 2 2 4 2 2 2 2" xfId="38529" xr:uid="{00000000-0005-0000-0000-000063660000}"/>
    <cellStyle name="Normal 8 3 2 2 4 2 2 3" xfId="28672" xr:uid="{00000000-0005-0000-0000-000064660000}"/>
    <cellStyle name="Normal 8 3 2 2 4 2 3" xfId="13886" xr:uid="{00000000-0005-0000-0000-000065660000}"/>
    <cellStyle name="Normal 8 3 2 2 4 2 3 2" xfId="33601" xr:uid="{00000000-0005-0000-0000-000066660000}"/>
    <cellStyle name="Normal 8 3 2 2 4 2 4" xfId="23744" xr:uid="{00000000-0005-0000-0000-000067660000}"/>
    <cellStyle name="Normal 8 3 2 2 4 3" xfId="6490" xr:uid="{00000000-0005-0000-0000-000068660000}"/>
    <cellStyle name="Normal 8 3 2 2 4 3 2" xfId="16350" xr:uid="{00000000-0005-0000-0000-000069660000}"/>
    <cellStyle name="Normal 8 3 2 2 4 3 2 2" xfId="36065" xr:uid="{00000000-0005-0000-0000-00006A660000}"/>
    <cellStyle name="Normal 8 3 2 2 4 3 3" xfId="26208" xr:uid="{00000000-0005-0000-0000-00006B660000}"/>
    <cellStyle name="Normal 8 3 2 2 4 4" xfId="11422" xr:uid="{00000000-0005-0000-0000-00006C660000}"/>
    <cellStyle name="Normal 8 3 2 2 4 4 2" xfId="31137" xr:uid="{00000000-0005-0000-0000-00006D660000}"/>
    <cellStyle name="Normal 8 3 2 2 4 5" xfId="21280" xr:uid="{00000000-0005-0000-0000-00006E660000}"/>
    <cellStyle name="Normal 8 3 2 2 5" xfId="2790" xr:uid="{00000000-0005-0000-0000-00006F660000}"/>
    <cellStyle name="Normal 8 3 2 2 5 2" xfId="7722" xr:uid="{00000000-0005-0000-0000-000070660000}"/>
    <cellStyle name="Normal 8 3 2 2 5 2 2" xfId="17582" xr:uid="{00000000-0005-0000-0000-000071660000}"/>
    <cellStyle name="Normal 8 3 2 2 5 2 2 2" xfId="37297" xr:uid="{00000000-0005-0000-0000-000072660000}"/>
    <cellStyle name="Normal 8 3 2 2 5 2 3" xfId="27440" xr:uid="{00000000-0005-0000-0000-000073660000}"/>
    <cellStyle name="Normal 8 3 2 2 5 3" xfId="12654" xr:uid="{00000000-0005-0000-0000-000074660000}"/>
    <cellStyle name="Normal 8 3 2 2 5 3 2" xfId="32369" xr:uid="{00000000-0005-0000-0000-000075660000}"/>
    <cellStyle name="Normal 8 3 2 2 5 4" xfId="22512" xr:uid="{00000000-0005-0000-0000-000076660000}"/>
    <cellStyle name="Normal 8 3 2 2 6" xfId="5258" xr:uid="{00000000-0005-0000-0000-000077660000}"/>
    <cellStyle name="Normal 8 3 2 2 6 2" xfId="15118" xr:uid="{00000000-0005-0000-0000-000078660000}"/>
    <cellStyle name="Normal 8 3 2 2 6 2 2" xfId="34833" xr:uid="{00000000-0005-0000-0000-000079660000}"/>
    <cellStyle name="Normal 8 3 2 2 6 3" xfId="24976" xr:uid="{00000000-0005-0000-0000-00007A660000}"/>
    <cellStyle name="Normal 8 3 2 2 7" xfId="10190" xr:uid="{00000000-0005-0000-0000-00007B660000}"/>
    <cellStyle name="Normal 8 3 2 2 7 2" xfId="29905" xr:uid="{00000000-0005-0000-0000-00007C660000}"/>
    <cellStyle name="Normal 8 3 2 2 8" xfId="20048" xr:uid="{00000000-0005-0000-0000-00007D660000}"/>
    <cellStyle name="Normal 8 3 2 3" xfId="470" xr:uid="{00000000-0005-0000-0000-00007E660000}"/>
    <cellStyle name="Normal 8 3 2 3 2" xfId="1090" xr:uid="{00000000-0005-0000-0000-00007F660000}"/>
    <cellStyle name="Normal 8 3 2 3 2 2" xfId="2325" xr:uid="{00000000-0005-0000-0000-000080660000}"/>
    <cellStyle name="Normal 8 3 2 3 2 2 2" xfId="4792" xr:uid="{00000000-0005-0000-0000-000081660000}"/>
    <cellStyle name="Normal 8 3 2 3 2 2 2 2" xfId="9724" xr:uid="{00000000-0005-0000-0000-000082660000}"/>
    <cellStyle name="Normal 8 3 2 3 2 2 2 2 2" xfId="19584" xr:uid="{00000000-0005-0000-0000-000083660000}"/>
    <cellStyle name="Normal 8 3 2 3 2 2 2 2 2 2" xfId="39299" xr:uid="{00000000-0005-0000-0000-000084660000}"/>
    <cellStyle name="Normal 8 3 2 3 2 2 2 2 3" xfId="29442" xr:uid="{00000000-0005-0000-0000-000085660000}"/>
    <cellStyle name="Normal 8 3 2 3 2 2 2 3" xfId="14656" xr:uid="{00000000-0005-0000-0000-000086660000}"/>
    <cellStyle name="Normal 8 3 2 3 2 2 2 3 2" xfId="34371" xr:uid="{00000000-0005-0000-0000-000087660000}"/>
    <cellStyle name="Normal 8 3 2 3 2 2 2 4" xfId="24514" xr:uid="{00000000-0005-0000-0000-000088660000}"/>
    <cellStyle name="Normal 8 3 2 3 2 2 3" xfId="7260" xr:uid="{00000000-0005-0000-0000-000089660000}"/>
    <cellStyle name="Normal 8 3 2 3 2 2 3 2" xfId="17120" xr:uid="{00000000-0005-0000-0000-00008A660000}"/>
    <cellStyle name="Normal 8 3 2 3 2 2 3 2 2" xfId="36835" xr:uid="{00000000-0005-0000-0000-00008B660000}"/>
    <cellStyle name="Normal 8 3 2 3 2 2 3 3" xfId="26978" xr:uid="{00000000-0005-0000-0000-00008C660000}"/>
    <cellStyle name="Normal 8 3 2 3 2 2 4" xfId="12192" xr:uid="{00000000-0005-0000-0000-00008D660000}"/>
    <cellStyle name="Normal 8 3 2 3 2 2 4 2" xfId="31907" xr:uid="{00000000-0005-0000-0000-00008E660000}"/>
    <cellStyle name="Normal 8 3 2 3 2 2 5" xfId="22050" xr:uid="{00000000-0005-0000-0000-00008F660000}"/>
    <cellStyle name="Normal 8 3 2 3 2 3" xfId="3560" xr:uid="{00000000-0005-0000-0000-000090660000}"/>
    <cellStyle name="Normal 8 3 2 3 2 3 2" xfId="8492" xr:uid="{00000000-0005-0000-0000-000091660000}"/>
    <cellStyle name="Normal 8 3 2 3 2 3 2 2" xfId="18352" xr:uid="{00000000-0005-0000-0000-000092660000}"/>
    <cellStyle name="Normal 8 3 2 3 2 3 2 2 2" xfId="38067" xr:uid="{00000000-0005-0000-0000-000093660000}"/>
    <cellStyle name="Normal 8 3 2 3 2 3 2 3" xfId="28210" xr:uid="{00000000-0005-0000-0000-000094660000}"/>
    <cellStyle name="Normal 8 3 2 3 2 3 3" xfId="13424" xr:uid="{00000000-0005-0000-0000-000095660000}"/>
    <cellStyle name="Normal 8 3 2 3 2 3 3 2" xfId="33139" xr:uid="{00000000-0005-0000-0000-000096660000}"/>
    <cellStyle name="Normal 8 3 2 3 2 3 4" xfId="23282" xr:uid="{00000000-0005-0000-0000-000097660000}"/>
    <cellStyle name="Normal 8 3 2 3 2 4" xfId="6028" xr:uid="{00000000-0005-0000-0000-000098660000}"/>
    <cellStyle name="Normal 8 3 2 3 2 4 2" xfId="15888" xr:uid="{00000000-0005-0000-0000-000099660000}"/>
    <cellStyle name="Normal 8 3 2 3 2 4 2 2" xfId="35603" xr:uid="{00000000-0005-0000-0000-00009A660000}"/>
    <cellStyle name="Normal 8 3 2 3 2 4 3" xfId="25746" xr:uid="{00000000-0005-0000-0000-00009B660000}"/>
    <cellStyle name="Normal 8 3 2 3 2 5" xfId="10960" xr:uid="{00000000-0005-0000-0000-00009C660000}"/>
    <cellStyle name="Normal 8 3 2 3 2 5 2" xfId="30675" xr:uid="{00000000-0005-0000-0000-00009D660000}"/>
    <cellStyle name="Normal 8 3 2 3 2 6" xfId="20818" xr:uid="{00000000-0005-0000-0000-00009E660000}"/>
    <cellStyle name="Normal 8 3 2 3 3" xfId="1709" xr:uid="{00000000-0005-0000-0000-00009F660000}"/>
    <cellStyle name="Normal 8 3 2 3 3 2" xfId="4176" xr:uid="{00000000-0005-0000-0000-0000A0660000}"/>
    <cellStyle name="Normal 8 3 2 3 3 2 2" xfId="9108" xr:uid="{00000000-0005-0000-0000-0000A1660000}"/>
    <cellStyle name="Normal 8 3 2 3 3 2 2 2" xfId="18968" xr:uid="{00000000-0005-0000-0000-0000A2660000}"/>
    <cellStyle name="Normal 8 3 2 3 3 2 2 2 2" xfId="38683" xr:uid="{00000000-0005-0000-0000-0000A3660000}"/>
    <cellStyle name="Normal 8 3 2 3 3 2 2 3" xfId="28826" xr:uid="{00000000-0005-0000-0000-0000A4660000}"/>
    <cellStyle name="Normal 8 3 2 3 3 2 3" xfId="14040" xr:uid="{00000000-0005-0000-0000-0000A5660000}"/>
    <cellStyle name="Normal 8 3 2 3 3 2 3 2" xfId="33755" xr:uid="{00000000-0005-0000-0000-0000A6660000}"/>
    <cellStyle name="Normal 8 3 2 3 3 2 4" xfId="23898" xr:uid="{00000000-0005-0000-0000-0000A7660000}"/>
    <cellStyle name="Normal 8 3 2 3 3 3" xfId="6644" xr:uid="{00000000-0005-0000-0000-0000A8660000}"/>
    <cellStyle name="Normal 8 3 2 3 3 3 2" xfId="16504" xr:uid="{00000000-0005-0000-0000-0000A9660000}"/>
    <cellStyle name="Normal 8 3 2 3 3 3 2 2" xfId="36219" xr:uid="{00000000-0005-0000-0000-0000AA660000}"/>
    <cellStyle name="Normal 8 3 2 3 3 3 3" xfId="26362" xr:uid="{00000000-0005-0000-0000-0000AB660000}"/>
    <cellStyle name="Normal 8 3 2 3 3 4" xfId="11576" xr:uid="{00000000-0005-0000-0000-0000AC660000}"/>
    <cellStyle name="Normal 8 3 2 3 3 4 2" xfId="31291" xr:uid="{00000000-0005-0000-0000-0000AD660000}"/>
    <cellStyle name="Normal 8 3 2 3 3 5" xfId="21434" xr:uid="{00000000-0005-0000-0000-0000AE660000}"/>
    <cellStyle name="Normal 8 3 2 3 4" xfId="2944" xr:uid="{00000000-0005-0000-0000-0000AF660000}"/>
    <cellStyle name="Normal 8 3 2 3 4 2" xfId="7876" xr:uid="{00000000-0005-0000-0000-0000B0660000}"/>
    <cellStyle name="Normal 8 3 2 3 4 2 2" xfId="17736" xr:uid="{00000000-0005-0000-0000-0000B1660000}"/>
    <cellStyle name="Normal 8 3 2 3 4 2 2 2" xfId="37451" xr:uid="{00000000-0005-0000-0000-0000B2660000}"/>
    <cellStyle name="Normal 8 3 2 3 4 2 3" xfId="27594" xr:uid="{00000000-0005-0000-0000-0000B3660000}"/>
    <cellStyle name="Normal 8 3 2 3 4 3" xfId="12808" xr:uid="{00000000-0005-0000-0000-0000B4660000}"/>
    <cellStyle name="Normal 8 3 2 3 4 3 2" xfId="32523" xr:uid="{00000000-0005-0000-0000-0000B5660000}"/>
    <cellStyle name="Normal 8 3 2 3 4 4" xfId="22666" xr:uid="{00000000-0005-0000-0000-0000B6660000}"/>
    <cellStyle name="Normal 8 3 2 3 5" xfId="5412" xr:uid="{00000000-0005-0000-0000-0000B7660000}"/>
    <cellStyle name="Normal 8 3 2 3 5 2" xfId="15272" xr:uid="{00000000-0005-0000-0000-0000B8660000}"/>
    <cellStyle name="Normal 8 3 2 3 5 2 2" xfId="34987" xr:uid="{00000000-0005-0000-0000-0000B9660000}"/>
    <cellStyle name="Normal 8 3 2 3 5 3" xfId="25130" xr:uid="{00000000-0005-0000-0000-0000BA660000}"/>
    <cellStyle name="Normal 8 3 2 3 6" xfId="10344" xr:uid="{00000000-0005-0000-0000-0000BB660000}"/>
    <cellStyle name="Normal 8 3 2 3 6 2" xfId="30059" xr:uid="{00000000-0005-0000-0000-0000BC660000}"/>
    <cellStyle name="Normal 8 3 2 3 7" xfId="20202" xr:uid="{00000000-0005-0000-0000-0000BD660000}"/>
    <cellStyle name="Normal 8 3 2 4" xfId="783" xr:uid="{00000000-0005-0000-0000-0000BE660000}"/>
    <cellStyle name="Normal 8 3 2 4 2" xfId="2019" xr:uid="{00000000-0005-0000-0000-0000BF660000}"/>
    <cellStyle name="Normal 8 3 2 4 2 2" xfId="4486" xr:uid="{00000000-0005-0000-0000-0000C0660000}"/>
    <cellStyle name="Normal 8 3 2 4 2 2 2" xfId="9418" xr:uid="{00000000-0005-0000-0000-0000C1660000}"/>
    <cellStyle name="Normal 8 3 2 4 2 2 2 2" xfId="19278" xr:uid="{00000000-0005-0000-0000-0000C2660000}"/>
    <cellStyle name="Normal 8 3 2 4 2 2 2 2 2" xfId="38993" xr:uid="{00000000-0005-0000-0000-0000C3660000}"/>
    <cellStyle name="Normal 8 3 2 4 2 2 2 3" xfId="29136" xr:uid="{00000000-0005-0000-0000-0000C4660000}"/>
    <cellStyle name="Normal 8 3 2 4 2 2 3" xfId="14350" xr:uid="{00000000-0005-0000-0000-0000C5660000}"/>
    <cellStyle name="Normal 8 3 2 4 2 2 3 2" xfId="34065" xr:uid="{00000000-0005-0000-0000-0000C6660000}"/>
    <cellStyle name="Normal 8 3 2 4 2 2 4" xfId="24208" xr:uid="{00000000-0005-0000-0000-0000C7660000}"/>
    <cellStyle name="Normal 8 3 2 4 2 3" xfId="6954" xr:uid="{00000000-0005-0000-0000-0000C8660000}"/>
    <cellStyle name="Normal 8 3 2 4 2 3 2" xfId="16814" xr:uid="{00000000-0005-0000-0000-0000C9660000}"/>
    <cellStyle name="Normal 8 3 2 4 2 3 2 2" xfId="36529" xr:uid="{00000000-0005-0000-0000-0000CA660000}"/>
    <cellStyle name="Normal 8 3 2 4 2 3 3" xfId="26672" xr:uid="{00000000-0005-0000-0000-0000CB660000}"/>
    <cellStyle name="Normal 8 3 2 4 2 4" xfId="11886" xr:uid="{00000000-0005-0000-0000-0000CC660000}"/>
    <cellStyle name="Normal 8 3 2 4 2 4 2" xfId="31601" xr:uid="{00000000-0005-0000-0000-0000CD660000}"/>
    <cellStyle name="Normal 8 3 2 4 2 5" xfId="21744" xr:uid="{00000000-0005-0000-0000-0000CE660000}"/>
    <cellStyle name="Normal 8 3 2 4 3" xfId="3254" xr:uid="{00000000-0005-0000-0000-0000CF660000}"/>
    <cellStyle name="Normal 8 3 2 4 3 2" xfId="8186" xr:uid="{00000000-0005-0000-0000-0000D0660000}"/>
    <cellStyle name="Normal 8 3 2 4 3 2 2" xfId="18046" xr:uid="{00000000-0005-0000-0000-0000D1660000}"/>
    <cellStyle name="Normal 8 3 2 4 3 2 2 2" xfId="37761" xr:uid="{00000000-0005-0000-0000-0000D2660000}"/>
    <cellStyle name="Normal 8 3 2 4 3 2 3" xfId="27904" xr:uid="{00000000-0005-0000-0000-0000D3660000}"/>
    <cellStyle name="Normal 8 3 2 4 3 3" xfId="13118" xr:uid="{00000000-0005-0000-0000-0000D4660000}"/>
    <cellStyle name="Normal 8 3 2 4 3 3 2" xfId="32833" xr:uid="{00000000-0005-0000-0000-0000D5660000}"/>
    <cellStyle name="Normal 8 3 2 4 3 4" xfId="22976" xr:uid="{00000000-0005-0000-0000-0000D6660000}"/>
    <cellStyle name="Normal 8 3 2 4 4" xfId="5722" xr:uid="{00000000-0005-0000-0000-0000D7660000}"/>
    <cellStyle name="Normal 8 3 2 4 4 2" xfId="15582" xr:uid="{00000000-0005-0000-0000-0000D8660000}"/>
    <cellStyle name="Normal 8 3 2 4 4 2 2" xfId="35297" xr:uid="{00000000-0005-0000-0000-0000D9660000}"/>
    <cellStyle name="Normal 8 3 2 4 4 3" xfId="25440" xr:uid="{00000000-0005-0000-0000-0000DA660000}"/>
    <cellStyle name="Normal 8 3 2 4 5" xfId="10654" xr:uid="{00000000-0005-0000-0000-0000DB660000}"/>
    <cellStyle name="Normal 8 3 2 4 5 2" xfId="30369" xr:uid="{00000000-0005-0000-0000-0000DC660000}"/>
    <cellStyle name="Normal 8 3 2 4 6" xfId="20512" xr:uid="{00000000-0005-0000-0000-0000DD660000}"/>
    <cellStyle name="Normal 8 3 2 5" xfId="1403" xr:uid="{00000000-0005-0000-0000-0000DE660000}"/>
    <cellStyle name="Normal 8 3 2 5 2" xfId="3870" xr:uid="{00000000-0005-0000-0000-0000DF660000}"/>
    <cellStyle name="Normal 8 3 2 5 2 2" xfId="8802" xr:uid="{00000000-0005-0000-0000-0000E0660000}"/>
    <cellStyle name="Normal 8 3 2 5 2 2 2" xfId="18662" xr:uid="{00000000-0005-0000-0000-0000E1660000}"/>
    <cellStyle name="Normal 8 3 2 5 2 2 2 2" xfId="38377" xr:uid="{00000000-0005-0000-0000-0000E2660000}"/>
    <cellStyle name="Normal 8 3 2 5 2 2 3" xfId="28520" xr:uid="{00000000-0005-0000-0000-0000E3660000}"/>
    <cellStyle name="Normal 8 3 2 5 2 3" xfId="13734" xr:uid="{00000000-0005-0000-0000-0000E4660000}"/>
    <cellStyle name="Normal 8 3 2 5 2 3 2" xfId="33449" xr:uid="{00000000-0005-0000-0000-0000E5660000}"/>
    <cellStyle name="Normal 8 3 2 5 2 4" xfId="23592" xr:uid="{00000000-0005-0000-0000-0000E6660000}"/>
    <cellStyle name="Normal 8 3 2 5 3" xfId="6338" xr:uid="{00000000-0005-0000-0000-0000E7660000}"/>
    <cellStyle name="Normal 8 3 2 5 3 2" xfId="16198" xr:uid="{00000000-0005-0000-0000-0000E8660000}"/>
    <cellStyle name="Normal 8 3 2 5 3 2 2" xfId="35913" xr:uid="{00000000-0005-0000-0000-0000E9660000}"/>
    <cellStyle name="Normal 8 3 2 5 3 3" xfId="26056" xr:uid="{00000000-0005-0000-0000-0000EA660000}"/>
    <cellStyle name="Normal 8 3 2 5 4" xfId="11270" xr:uid="{00000000-0005-0000-0000-0000EB660000}"/>
    <cellStyle name="Normal 8 3 2 5 4 2" xfId="30985" xr:uid="{00000000-0005-0000-0000-0000EC660000}"/>
    <cellStyle name="Normal 8 3 2 5 5" xfId="21128" xr:uid="{00000000-0005-0000-0000-0000ED660000}"/>
    <cellStyle name="Normal 8 3 2 6" xfId="2638" xr:uid="{00000000-0005-0000-0000-0000EE660000}"/>
    <cellStyle name="Normal 8 3 2 6 2" xfId="7570" xr:uid="{00000000-0005-0000-0000-0000EF660000}"/>
    <cellStyle name="Normal 8 3 2 6 2 2" xfId="17430" xr:uid="{00000000-0005-0000-0000-0000F0660000}"/>
    <cellStyle name="Normal 8 3 2 6 2 2 2" xfId="37145" xr:uid="{00000000-0005-0000-0000-0000F1660000}"/>
    <cellStyle name="Normal 8 3 2 6 2 3" xfId="27288" xr:uid="{00000000-0005-0000-0000-0000F2660000}"/>
    <cellStyle name="Normal 8 3 2 6 3" xfId="12502" xr:uid="{00000000-0005-0000-0000-0000F3660000}"/>
    <cellStyle name="Normal 8 3 2 6 3 2" xfId="32217" xr:uid="{00000000-0005-0000-0000-0000F4660000}"/>
    <cellStyle name="Normal 8 3 2 6 4" xfId="22360" xr:uid="{00000000-0005-0000-0000-0000F5660000}"/>
    <cellStyle name="Normal 8 3 2 7" xfId="5106" xr:uid="{00000000-0005-0000-0000-0000F6660000}"/>
    <cellStyle name="Normal 8 3 2 7 2" xfId="14966" xr:uid="{00000000-0005-0000-0000-0000F7660000}"/>
    <cellStyle name="Normal 8 3 2 7 2 2" xfId="34681" xr:uid="{00000000-0005-0000-0000-0000F8660000}"/>
    <cellStyle name="Normal 8 3 2 7 3" xfId="24824" xr:uid="{00000000-0005-0000-0000-0000F9660000}"/>
    <cellStyle name="Normal 8 3 2 8" xfId="10038" xr:uid="{00000000-0005-0000-0000-0000FA660000}"/>
    <cellStyle name="Normal 8 3 2 8 2" xfId="29753" xr:uid="{00000000-0005-0000-0000-0000FB660000}"/>
    <cellStyle name="Normal 8 3 2 9" xfId="19896" xr:uid="{00000000-0005-0000-0000-0000FC660000}"/>
    <cellStyle name="Normal 8 3 3" xfId="232" xr:uid="{00000000-0005-0000-0000-0000FD660000}"/>
    <cellStyle name="Normal 8 3 3 2" xfId="546" xr:uid="{00000000-0005-0000-0000-0000FE660000}"/>
    <cellStyle name="Normal 8 3 3 2 2" xfId="1166" xr:uid="{00000000-0005-0000-0000-0000FF660000}"/>
    <cellStyle name="Normal 8 3 3 2 2 2" xfId="2401" xr:uid="{00000000-0005-0000-0000-000000670000}"/>
    <cellStyle name="Normal 8 3 3 2 2 2 2" xfId="4868" xr:uid="{00000000-0005-0000-0000-000001670000}"/>
    <cellStyle name="Normal 8 3 3 2 2 2 2 2" xfId="9800" xr:uid="{00000000-0005-0000-0000-000002670000}"/>
    <cellStyle name="Normal 8 3 3 2 2 2 2 2 2" xfId="19660" xr:uid="{00000000-0005-0000-0000-000003670000}"/>
    <cellStyle name="Normal 8 3 3 2 2 2 2 2 2 2" xfId="39375" xr:uid="{00000000-0005-0000-0000-000004670000}"/>
    <cellStyle name="Normal 8 3 3 2 2 2 2 2 3" xfId="29518" xr:uid="{00000000-0005-0000-0000-000005670000}"/>
    <cellStyle name="Normal 8 3 3 2 2 2 2 3" xfId="14732" xr:uid="{00000000-0005-0000-0000-000006670000}"/>
    <cellStyle name="Normal 8 3 3 2 2 2 2 3 2" xfId="34447" xr:uid="{00000000-0005-0000-0000-000007670000}"/>
    <cellStyle name="Normal 8 3 3 2 2 2 2 4" xfId="24590" xr:uid="{00000000-0005-0000-0000-000008670000}"/>
    <cellStyle name="Normal 8 3 3 2 2 2 3" xfId="7336" xr:uid="{00000000-0005-0000-0000-000009670000}"/>
    <cellStyle name="Normal 8 3 3 2 2 2 3 2" xfId="17196" xr:uid="{00000000-0005-0000-0000-00000A670000}"/>
    <cellStyle name="Normal 8 3 3 2 2 2 3 2 2" xfId="36911" xr:uid="{00000000-0005-0000-0000-00000B670000}"/>
    <cellStyle name="Normal 8 3 3 2 2 2 3 3" xfId="27054" xr:uid="{00000000-0005-0000-0000-00000C670000}"/>
    <cellStyle name="Normal 8 3 3 2 2 2 4" xfId="12268" xr:uid="{00000000-0005-0000-0000-00000D670000}"/>
    <cellStyle name="Normal 8 3 3 2 2 2 4 2" xfId="31983" xr:uid="{00000000-0005-0000-0000-00000E670000}"/>
    <cellStyle name="Normal 8 3 3 2 2 2 5" xfId="22126" xr:uid="{00000000-0005-0000-0000-00000F670000}"/>
    <cellStyle name="Normal 8 3 3 2 2 3" xfId="3636" xr:uid="{00000000-0005-0000-0000-000010670000}"/>
    <cellStyle name="Normal 8 3 3 2 2 3 2" xfId="8568" xr:uid="{00000000-0005-0000-0000-000011670000}"/>
    <cellStyle name="Normal 8 3 3 2 2 3 2 2" xfId="18428" xr:uid="{00000000-0005-0000-0000-000012670000}"/>
    <cellStyle name="Normal 8 3 3 2 2 3 2 2 2" xfId="38143" xr:uid="{00000000-0005-0000-0000-000013670000}"/>
    <cellStyle name="Normal 8 3 3 2 2 3 2 3" xfId="28286" xr:uid="{00000000-0005-0000-0000-000014670000}"/>
    <cellStyle name="Normal 8 3 3 2 2 3 3" xfId="13500" xr:uid="{00000000-0005-0000-0000-000015670000}"/>
    <cellStyle name="Normal 8 3 3 2 2 3 3 2" xfId="33215" xr:uid="{00000000-0005-0000-0000-000016670000}"/>
    <cellStyle name="Normal 8 3 3 2 2 3 4" xfId="23358" xr:uid="{00000000-0005-0000-0000-000017670000}"/>
    <cellStyle name="Normal 8 3 3 2 2 4" xfId="6104" xr:uid="{00000000-0005-0000-0000-000018670000}"/>
    <cellStyle name="Normal 8 3 3 2 2 4 2" xfId="15964" xr:uid="{00000000-0005-0000-0000-000019670000}"/>
    <cellStyle name="Normal 8 3 3 2 2 4 2 2" xfId="35679" xr:uid="{00000000-0005-0000-0000-00001A670000}"/>
    <cellStyle name="Normal 8 3 3 2 2 4 3" xfId="25822" xr:uid="{00000000-0005-0000-0000-00001B670000}"/>
    <cellStyle name="Normal 8 3 3 2 2 5" xfId="11036" xr:uid="{00000000-0005-0000-0000-00001C670000}"/>
    <cellStyle name="Normal 8 3 3 2 2 5 2" xfId="30751" xr:uid="{00000000-0005-0000-0000-00001D670000}"/>
    <cellStyle name="Normal 8 3 3 2 2 6" xfId="20894" xr:uid="{00000000-0005-0000-0000-00001E670000}"/>
    <cellStyle name="Normal 8 3 3 2 3" xfId="1785" xr:uid="{00000000-0005-0000-0000-00001F670000}"/>
    <cellStyle name="Normal 8 3 3 2 3 2" xfId="4252" xr:uid="{00000000-0005-0000-0000-000020670000}"/>
    <cellStyle name="Normal 8 3 3 2 3 2 2" xfId="9184" xr:uid="{00000000-0005-0000-0000-000021670000}"/>
    <cellStyle name="Normal 8 3 3 2 3 2 2 2" xfId="19044" xr:uid="{00000000-0005-0000-0000-000022670000}"/>
    <cellStyle name="Normal 8 3 3 2 3 2 2 2 2" xfId="38759" xr:uid="{00000000-0005-0000-0000-000023670000}"/>
    <cellStyle name="Normal 8 3 3 2 3 2 2 3" xfId="28902" xr:uid="{00000000-0005-0000-0000-000024670000}"/>
    <cellStyle name="Normal 8 3 3 2 3 2 3" xfId="14116" xr:uid="{00000000-0005-0000-0000-000025670000}"/>
    <cellStyle name="Normal 8 3 3 2 3 2 3 2" xfId="33831" xr:uid="{00000000-0005-0000-0000-000026670000}"/>
    <cellStyle name="Normal 8 3 3 2 3 2 4" xfId="23974" xr:uid="{00000000-0005-0000-0000-000027670000}"/>
    <cellStyle name="Normal 8 3 3 2 3 3" xfId="6720" xr:uid="{00000000-0005-0000-0000-000028670000}"/>
    <cellStyle name="Normal 8 3 3 2 3 3 2" xfId="16580" xr:uid="{00000000-0005-0000-0000-000029670000}"/>
    <cellStyle name="Normal 8 3 3 2 3 3 2 2" xfId="36295" xr:uid="{00000000-0005-0000-0000-00002A670000}"/>
    <cellStyle name="Normal 8 3 3 2 3 3 3" xfId="26438" xr:uid="{00000000-0005-0000-0000-00002B670000}"/>
    <cellStyle name="Normal 8 3 3 2 3 4" xfId="11652" xr:uid="{00000000-0005-0000-0000-00002C670000}"/>
    <cellStyle name="Normal 8 3 3 2 3 4 2" xfId="31367" xr:uid="{00000000-0005-0000-0000-00002D670000}"/>
    <cellStyle name="Normal 8 3 3 2 3 5" xfId="21510" xr:uid="{00000000-0005-0000-0000-00002E670000}"/>
    <cellStyle name="Normal 8 3 3 2 4" xfId="3020" xr:uid="{00000000-0005-0000-0000-00002F670000}"/>
    <cellStyle name="Normal 8 3 3 2 4 2" xfId="7952" xr:uid="{00000000-0005-0000-0000-000030670000}"/>
    <cellStyle name="Normal 8 3 3 2 4 2 2" xfId="17812" xr:uid="{00000000-0005-0000-0000-000031670000}"/>
    <cellStyle name="Normal 8 3 3 2 4 2 2 2" xfId="37527" xr:uid="{00000000-0005-0000-0000-000032670000}"/>
    <cellStyle name="Normal 8 3 3 2 4 2 3" xfId="27670" xr:uid="{00000000-0005-0000-0000-000033670000}"/>
    <cellStyle name="Normal 8 3 3 2 4 3" xfId="12884" xr:uid="{00000000-0005-0000-0000-000034670000}"/>
    <cellStyle name="Normal 8 3 3 2 4 3 2" xfId="32599" xr:uid="{00000000-0005-0000-0000-000035670000}"/>
    <cellStyle name="Normal 8 3 3 2 4 4" xfId="22742" xr:uid="{00000000-0005-0000-0000-000036670000}"/>
    <cellStyle name="Normal 8 3 3 2 5" xfId="5488" xr:uid="{00000000-0005-0000-0000-000037670000}"/>
    <cellStyle name="Normal 8 3 3 2 5 2" xfId="15348" xr:uid="{00000000-0005-0000-0000-000038670000}"/>
    <cellStyle name="Normal 8 3 3 2 5 2 2" xfId="35063" xr:uid="{00000000-0005-0000-0000-000039670000}"/>
    <cellStyle name="Normal 8 3 3 2 5 3" xfId="25206" xr:uid="{00000000-0005-0000-0000-00003A670000}"/>
    <cellStyle name="Normal 8 3 3 2 6" xfId="10420" xr:uid="{00000000-0005-0000-0000-00003B670000}"/>
    <cellStyle name="Normal 8 3 3 2 6 2" xfId="30135" xr:uid="{00000000-0005-0000-0000-00003C670000}"/>
    <cellStyle name="Normal 8 3 3 2 7" xfId="20278" xr:uid="{00000000-0005-0000-0000-00003D670000}"/>
    <cellStyle name="Normal 8 3 3 3" xfId="859" xr:uid="{00000000-0005-0000-0000-00003E670000}"/>
    <cellStyle name="Normal 8 3 3 3 2" xfId="2095" xr:uid="{00000000-0005-0000-0000-00003F670000}"/>
    <cellStyle name="Normal 8 3 3 3 2 2" xfId="4562" xr:uid="{00000000-0005-0000-0000-000040670000}"/>
    <cellStyle name="Normal 8 3 3 3 2 2 2" xfId="9494" xr:uid="{00000000-0005-0000-0000-000041670000}"/>
    <cellStyle name="Normal 8 3 3 3 2 2 2 2" xfId="19354" xr:uid="{00000000-0005-0000-0000-000042670000}"/>
    <cellStyle name="Normal 8 3 3 3 2 2 2 2 2" xfId="39069" xr:uid="{00000000-0005-0000-0000-000043670000}"/>
    <cellStyle name="Normal 8 3 3 3 2 2 2 3" xfId="29212" xr:uid="{00000000-0005-0000-0000-000044670000}"/>
    <cellStyle name="Normal 8 3 3 3 2 2 3" xfId="14426" xr:uid="{00000000-0005-0000-0000-000045670000}"/>
    <cellStyle name="Normal 8 3 3 3 2 2 3 2" xfId="34141" xr:uid="{00000000-0005-0000-0000-000046670000}"/>
    <cellStyle name="Normal 8 3 3 3 2 2 4" xfId="24284" xr:uid="{00000000-0005-0000-0000-000047670000}"/>
    <cellStyle name="Normal 8 3 3 3 2 3" xfId="7030" xr:uid="{00000000-0005-0000-0000-000048670000}"/>
    <cellStyle name="Normal 8 3 3 3 2 3 2" xfId="16890" xr:uid="{00000000-0005-0000-0000-000049670000}"/>
    <cellStyle name="Normal 8 3 3 3 2 3 2 2" xfId="36605" xr:uid="{00000000-0005-0000-0000-00004A670000}"/>
    <cellStyle name="Normal 8 3 3 3 2 3 3" xfId="26748" xr:uid="{00000000-0005-0000-0000-00004B670000}"/>
    <cellStyle name="Normal 8 3 3 3 2 4" xfId="11962" xr:uid="{00000000-0005-0000-0000-00004C670000}"/>
    <cellStyle name="Normal 8 3 3 3 2 4 2" xfId="31677" xr:uid="{00000000-0005-0000-0000-00004D670000}"/>
    <cellStyle name="Normal 8 3 3 3 2 5" xfId="21820" xr:uid="{00000000-0005-0000-0000-00004E670000}"/>
    <cellStyle name="Normal 8 3 3 3 3" xfId="3330" xr:uid="{00000000-0005-0000-0000-00004F670000}"/>
    <cellStyle name="Normal 8 3 3 3 3 2" xfId="8262" xr:uid="{00000000-0005-0000-0000-000050670000}"/>
    <cellStyle name="Normal 8 3 3 3 3 2 2" xfId="18122" xr:uid="{00000000-0005-0000-0000-000051670000}"/>
    <cellStyle name="Normal 8 3 3 3 3 2 2 2" xfId="37837" xr:uid="{00000000-0005-0000-0000-000052670000}"/>
    <cellStyle name="Normal 8 3 3 3 3 2 3" xfId="27980" xr:uid="{00000000-0005-0000-0000-000053670000}"/>
    <cellStyle name="Normal 8 3 3 3 3 3" xfId="13194" xr:uid="{00000000-0005-0000-0000-000054670000}"/>
    <cellStyle name="Normal 8 3 3 3 3 3 2" xfId="32909" xr:uid="{00000000-0005-0000-0000-000055670000}"/>
    <cellStyle name="Normal 8 3 3 3 3 4" xfId="23052" xr:uid="{00000000-0005-0000-0000-000056670000}"/>
    <cellStyle name="Normal 8 3 3 3 4" xfId="5798" xr:uid="{00000000-0005-0000-0000-000057670000}"/>
    <cellStyle name="Normal 8 3 3 3 4 2" xfId="15658" xr:uid="{00000000-0005-0000-0000-000058670000}"/>
    <cellStyle name="Normal 8 3 3 3 4 2 2" xfId="35373" xr:uid="{00000000-0005-0000-0000-000059670000}"/>
    <cellStyle name="Normal 8 3 3 3 4 3" xfId="25516" xr:uid="{00000000-0005-0000-0000-00005A670000}"/>
    <cellStyle name="Normal 8 3 3 3 5" xfId="10730" xr:uid="{00000000-0005-0000-0000-00005B670000}"/>
    <cellStyle name="Normal 8 3 3 3 5 2" xfId="30445" xr:uid="{00000000-0005-0000-0000-00005C670000}"/>
    <cellStyle name="Normal 8 3 3 3 6" xfId="20588" xr:uid="{00000000-0005-0000-0000-00005D670000}"/>
    <cellStyle name="Normal 8 3 3 4" xfId="1479" xr:uid="{00000000-0005-0000-0000-00005E670000}"/>
    <cellStyle name="Normal 8 3 3 4 2" xfId="3946" xr:uid="{00000000-0005-0000-0000-00005F670000}"/>
    <cellStyle name="Normal 8 3 3 4 2 2" xfId="8878" xr:uid="{00000000-0005-0000-0000-000060670000}"/>
    <cellStyle name="Normal 8 3 3 4 2 2 2" xfId="18738" xr:uid="{00000000-0005-0000-0000-000061670000}"/>
    <cellStyle name="Normal 8 3 3 4 2 2 2 2" xfId="38453" xr:uid="{00000000-0005-0000-0000-000062670000}"/>
    <cellStyle name="Normal 8 3 3 4 2 2 3" xfId="28596" xr:uid="{00000000-0005-0000-0000-000063670000}"/>
    <cellStyle name="Normal 8 3 3 4 2 3" xfId="13810" xr:uid="{00000000-0005-0000-0000-000064670000}"/>
    <cellStyle name="Normal 8 3 3 4 2 3 2" xfId="33525" xr:uid="{00000000-0005-0000-0000-000065670000}"/>
    <cellStyle name="Normal 8 3 3 4 2 4" xfId="23668" xr:uid="{00000000-0005-0000-0000-000066670000}"/>
    <cellStyle name="Normal 8 3 3 4 3" xfId="6414" xr:uid="{00000000-0005-0000-0000-000067670000}"/>
    <cellStyle name="Normal 8 3 3 4 3 2" xfId="16274" xr:uid="{00000000-0005-0000-0000-000068670000}"/>
    <cellStyle name="Normal 8 3 3 4 3 2 2" xfId="35989" xr:uid="{00000000-0005-0000-0000-000069670000}"/>
    <cellStyle name="Normal 8 3 3 4 3 3" xfId="26132" xr:uid="{00000000-0005-0000-0000-00006A670000}"/>
    <cellStyle name="Normal 8 3 3 4 4" xfId="11346" xr:uid="{00000000-0005-0000-0000-00006B670000}"/>
    <cellStyle name="Normal 8 3 3 4 4 2" xfId="31061" xr:uid="{00000000-0005-0000-0000-00006C670000}"/>
    <cellStyle name="Normal 8 3 3 4 5" xfId="21204" xr:uid="{00000000-0005-0000-0000-00006D670000}"/>
    <cellStyle name="Normal 8 3 3 5" xfId="2714" xr:uid="{00000000-0005-0000-0000-00006E670000}"/>
    <cellStyle name="Normal 8 3 3 5 2" xfId="7646" xr:uid="{00000000-0005-0000-0000-00006F670000}"/>
    <cellStyle name="Normal 8 3 3 5 2 2" xfId="17506" xr:uid="{00000000-0005-0000-0000-000070670000}"/>
    <cellStyle name="Normal 8 3 3 5 2 2 2" xfId="37221" xr:uid="{00000000-0005-0000-0000-000071670000}"/>
    <cellStyle name="Normal 8 3 3 5 2 3" xfId="27364" xr:uid="{00000000-0005-0000-0000-000072670000}"/>
    <cellStyle name="Normal 8 3 3 5 3" xfId="12578" xr:uid="{00000000-0005-0000-0000-000073670000}"/>
    <cellStyle name="Normal 8 3 3 5 3 2" xfId="32293" xr:uid="{00000000-0005-0000-0000-000074670000}"/>
    <cellStyle name="Normal 8 3 3 5 4" xfId="22436" xr:uid="{00000000-0005-0000-0000-000075670000}"/>
    <cellStyle name="Normal 8 3 3 6" xfId="5182" xr:uid="{00000000-0005-0000-0000-000076670000}"/>
    <cellStyle name="Normal 8 3 3 6 2" xfId="15042" xr:uid="{00000000-0005-0000-0000-000077670000}"/>
    <cellStyle name="Normal 8 3 3 6 2 2" xfId="34757" xr:uid="{00000000-0005-0000-0000-000078670000}"/>
    <cellStyle name="Normal 8 3 3 6 3" xfId="24900" xr:uid="{00000000-0005-0000-0000-000079670000}"/>
    <cellStyle name="Normal 8 3 3 7" xfId="10114" xr:uid="{00000000-0005-0000-0000-00007A670000}"/>
    <cellStyle name="Normal 8 3 3 7 2" xfId="29829" xr:uid="{00000000-0005-0000-0000-00007B670000}"/>
    <cellStyle name="Normal 8 3 3 8" xfId="19972" xr:uid="{00000000-0005-0000-0000-00007C670000}"/>
    <cellStyle name="Normal 8 3 4" xfId="394" xr:uid="{00000000-0005-0000-0000-00007D670000}"/>
    <cellStyle name="Normal 8 3 4 2" xfId="1014" xr:uid="{00000000-0005-0000-0000-00007E670000}"/>
    <cellStyle name="Normal 8 3 4 2 2" xfId="2249" xr:uid="{00000000-0005-0000-0000-00007F670000}"/>
    <cellStyle name="Normal 8 3 4 2 2 2" xfId="4716" xr:uid="{00000000-0005-0000-0000-000080670000}"/>
    <cellStyle name="Normal 8 3 4 2 2 2 2" xfId="9648" xr:uid="{00000000-0005-0000-0000-000081670000}"/>
    <cellStyle name="Normal 8 3 4 2 2 2 2 2" xfId="19508" xr:uid="{00000000-0005-0000-0000-000082670000}"/>
    <cellStyle name="Normal 8 3 4 2 2 2 2 2 2" xfId="39223" xr:uid="{00000000-0005-0000-0000-000083670000}"/>
    <cellStyle name="Normal 8 3 4 2 2 2 2 3" xfId="29366" xr:uid="{00000000-0005-0000-0000-000084670000}"/>
    <cellStyle name="Normal 8 3 4 2 2 2 3" xfId="14580" xr:uid="{00000000-0005-0000-0000-000085670000}"/>
    <cellStyle name="Normal 8 3 4 2 2 2 3 2" xfId="34295" xr:uid="{00000000-0005-0000-0000-000086670000}"/>
    <cellStyle name="Normal 8 3 4 2 2 2 4" xfId="24438" xr:uid="{00000000-0005-0000-0000-000087670000}"/>
    <cellStyle name="Normal 8 3 4 2 2 3" xfId="7184" xr:uid="{00000000-0005-0000-0000-000088670000}"/>
    <cellStyle name="Normal 8 3 4 2 2 3 2" xfId="17044" xr:uid="{00000000-0005-0000-0000-000089670000}"/>
    <cellStyle name="Normal 8 3 4 2 2 3 2 2" xfId="36759" xr:uid="{00000000-0005-0000-0000-00008A670000}"/>
    <cellStyle name="Normal 8 3 4 2 2 3 3" xfId="26902" xr:uid="{00000000-0005-0000-0000-00008B670000}"/>
    <cellStyle name="Normal 8 3 4 2 2 4" xfId="12116" xr:uid="{00000000-0005-0000-0000-00008C670000}"/>
    <cellStyle name="Normal 8 3 4 2 2 4 2" xfId="31831" xr:uid="{00000000-0005-0000-0000-00008D670000}"/>
    <cellStyle name="Normal 8 3 4 2 2 5" xfId="21974" xr:uid="{00000000-0005-0000-0000-00008E670000}"/>
    <cellStyle name="Normal 8 3 4 2 3" xfId="3484" xr:uid="{00000000-0005-0000-0000-00008F670000}"/>
    <cellStyle name="Normal 8 3 4 2 3 2" xfId="8416" xr:uid="{00000000-0005-0000-0000-000090670000}"/>
    <cellStyle name="Normal 8 3 4 2 3 2 2" xfId="18276" xr:uid="{00000000-0005-0000-0000-000091670000}"/>
    <cellStyle name="Normal 8 3 4 2 3 2 2 2" xfId="37991" xr:uid="{00000000-0005-0000-0000-000092670000}"/>
    <cellStyle name="Normal 8 3 4 2 3 2 3" xfId="28134" xr:uid="{00000000-0005-0000-0000-000093670000}"/>
    <cellStyle name="Normal 8 3 4 2 3 3" xfId="13348" xr:uid="{00000000-0005-0000-0000-000094670000}"/>
    <cellStyle name="Normal 8 3 4 2 3 3 2" xfId="33063" xr:uid="{00000000-0005-0000-0000-000095670000}"/>
    <cellStyle name="Normal 8 3 4 2 3 4" xfId="23206" xr:uid="{00000000-0005-0000-0000-000096670000}"/>
    <cellStyle name="Normal 8 3 4 2 4" xfId="5952" xr:uid="{00000000-0005-0000-0000-000097670000}"/>
    <cellStyle name="Normal 8 3 4 2 4 2" xfId="15812" xr:uid="{00000000-0005-0000-0000-000098670000}"/>
    <cellStyle name="Normal 8 3 4 2 4 2 2" xfId="35527" xr:uid="{00000000-0005-0000-0000-000099670000}"/>
    <cellStyle name="Normal 8 3 4 2 4 3" xfId="25670" xr:uid="{00000000-0005-0000-0000-00009A670000}"/>
    <cellStyle name="Normal 8 3 4 2 5" xfId="10884" xr:uid="{00000000-0005-0000-0000-00009B670000}"/>
    <cellStyle name="Normal 8 3 4 2 5 2" xfId="30599" xr:uid="{00000000-0005-0000-0000-00009C670000}"/>
    <cellStyle name="Normal 8 3 4 2 6" xfId="20742" xr:uid="{00000000-0005-0000-0000-00009D670000}"/>
    <cellStyle name="Normal 8 3 4 3" xfId="1633" xr:uid="{00000000-0005-0000-0000-00009E670000}"/>
    <cellStyle name="Normal 8 3 4 3 2" xfId="4100" xr:uid="{00000000-0005-0000-0000-00009F670000}"/>
    <cellStyle name="Normal 8 3 4 3 2 2" xfId="9032" xr:uid="{00000000-0005-0000-0000-0000A0670000}"/>
    <cellStyle name="Normal 8 3 4 3 2 2 2" xfId="18892" xr:uid="{00000000-0005-0000-0000-0000A1670000}"/>
    <cellStyle name="Normal 8 3 4 3 2 2 2 2" xfId="38607" xr:uid="{00000000-0005-0000-0000-0000A2670000}"/>
    <cellStyle name="Normal 8 3 4 3 2 2 3" xfId="28750" xr:uid="{00000000-0005-0000-0000-0000A3670000}"/>
    <cellStyle name="Normal 8 3 4 3 2 3" xfId="13964" xr:uid="{00000000-0005-0000-0000-0000A4670000}"/>
    <cellStyle name="Normal 8 3 4 3 2 3 2" xfId="33679" xr:uid="{00000000-0005-0000-0000-0000A5670000}"/>
    <cellStyle name="Normal 8 3 4 3 2 4" xfId="23822" xr:uid="{00000000-0005-0000-0000-0000A6670000}"/>
    <cellStyle name="Normal 8 3 4 3 3" xfId="6568" xr:uid="{00000000-0005-0000-0000-0000A7670000}"/>
    <cellStyle name="Normal 8 3 4 3 3 2" xfId="16428" xr:uid="{00000000-0005-0000-0000-0000A8670000}"/>
    <cellStyle name="Normal 8 3 4 3 3 2 2" xfId="36143" xr:uid="{00000000-0005-0000-0000-0000A9670000}"/>
    <cellStyle name="Normal 8 3 4 3 3 3" xfId="26286" xr:uid="{00000000-0005-0000-0000-0000AA670000}"/>
    <cellStyle name="Normal 8 3 4 3 4" xfId="11500" xr:uid="{00000000-0005-0000-0000-0000AB670000}"/>
    <cellStyle name="Normal 8 3 4 3 4 2" xfId="31215" xr:uid="{00000000-0005-0000-0000-0000AC670000}"/>
    <cellStyle name="Normal 8 3 4 3 5" xfId="21358" xr:uid="{00000000-0005-0000-0000-0000AD670000}"/>
    <cellStyle name="Normal 8 3 4 4" xfId="2868" xr:uid="{00000000-0005-0000-0000-0000AE670000}"/>
    <cellStyle name="Normal 8 3 4 4 2" xfId="7800" xr:uid="{00000000-0005-0000-0000-0000AF670000}"/>
    <cellStyle name="Normal 8 3 4 4 2 2" xfId="17660" xr:uid="{00000000-0005-0000-0000-0000B0670000}"/>
    <cellStyle name="Normal 8 3 4 4 2 2 2" xfId="37375" xr:uid="{00000000-0005-0000-0000-0000B1670000}"/>
    <cellStyle name="Normal 8 3 4 4 2 3" xfId="27518" xr:uid="{00000000-0005-0000-0000-0000B2670000}"/>
    <cellStyle name="Normal 8 3 4 4 3" xfId="12732" xr:uid="{00000000-0005-0000-0000-0000B3670000}"/>
    <cellStyle name="Normal 8 3 4 4 3 2" xfId="32447" xr:uid="{00000000-0005-0000-0000-0000B4670000}"/>
    <cellStyle name="Normal 8 3 4 4 4" xfId="22590" xr:uid="{00000000-0005-0000-0000-0000B5670000}"/>
    <cellStyle name="Normal 8 3 4 5" xfId="5336" xr:uid="{00000000-0005-0000-0000-0000B6670000}"/>
    <cellStyle name="Normal 8 3 4 5 2" xfId="15196" xr:uid="{00000000-0005-0000-0000-0000B7670000}"/>
    <cellStyle name="Normal 8 3 4 5 2 2" xfId="34911" xr:uid="{00000000-0005-0000-0000-0000B8670000}"/>
    <cellStyle name="Normal 8 3 4 5 3" xfId="25054" xr:uid="{00000000-0005-0000-0000-0000B9670000}"/>
    <cellStyle name="Normal 8 3 4 6" xfId="10268" xr:uid="{00000000-0005-0000-0000-0000BA670000}"/>
    <cellStyle name="Normal 8 3 4 6 2" xfId="29983" xr:uid="{00000000-0005-0000-0000-0000BB670000}"/>
    <cellStyle name="Normal 8 3 4 7" xfId="20126" xr:uid="{00000000-0005-0000-0000-0000BC670000}"/>
    <cellStyle name="Normal 8 3 5" xfId="707" xr:uid="{00000000-0005-0000-0000-0000BD670000}"/>
    <cellStyle name="Normal 8 3 5 2" xfId="1943" xr:uid="{00000000-0005-0000-0000-0000BE670000}"/>
    <cellStyle name="Normal 8 3 5 2 2" xfId="4410" xr:uid="{00000000-0005-0000-0000-0000BF670000}"/>
    <cellStyle name="Normal 8 3 5 2 2 2" xfId="9342" xr:uid="{00000000-0005-0000-0000-0000C0670000}"/>
    <cellStyle name="Normal 8 3 5 2 2 2 2" xfId="19202" xr:uid="{00000000-0005-0000-0000-0000C1670000}"/>
    <cellStyle name="Normal 8 3 5 2 2 2 2 2" xfId="38917" xr:uid="{00000000-0005-0000-0000-0000C2670000}"/>
    <cellStyle name="Normal 8 3 5 2 2 2 3" xfId="29060" xr:uid="{00000000-0005-0000-0000-0000C3670000}"/>
    <cellStyle name="Normal 8 3 5 2 2 3" xfId="14274" xr:uid="{00000000-0005-0000-0000-0000C4670000}"/>
    <cellStyle name="Normal 8 3 5 2 2 3 2" xfId="33989" xr:uid="{00000000-0005-0000-0000-0000C5670000}"/>
    <cellStyle name="Normal 8 3 5 2 2 4" xfId="24132" xr:uid="{00000000-0005-0000-0000-0000C6670000}"/>
    <cellStyle name="Normal 8 3 5 2 3" xfId="6878" xr:uid="{00000000-0005-0000-0000-0000C7670000}"/>
    <cellStyle name="Normal 8 3 5 2 3 2" xfId="16738" xr:uid="{00000000-0005-0000-0000-0000C8670000}"/>
    <cellStyle name="Normal 8 3 5 2 3 2 2" xfId="36453" xr:uid="{00000000-0005-0000-0000-0000C9670000}"/>
    <cellStyle name="Normal 8 3 5 2 3 3" xfId="26596" xr:uid="{00000000-0005-0000-0000-0000CA670000}"/>
    <cellStyle name="Normal 8 3 5 2 4" xfId="11810" xr:uid="{00000000-0005-0000-0000-0000CB670000}"/>
    <cellStyle name="Normal 8 3 5 2 4 2" xfId="31525" xr:uid="{00000000-0005-0000-0000-0000CC670000}"/>
    <cellStyle name="Normal 8 3 5 2 5" xfId="21668" xr:uid="{00000000-0005-0000-0000-0000CD670000}"/>
    <cellStyle name="Normal 8 3 5 3" xfId="3178" xr:uid="{00000000-0005-0000-0000-0000CE670000}"/>
    <cellStyle name="Normal 8 3 5 3 2" xfId="8110" xr:uid="{00000000-0005-0000-0000-0000CF670000}"/>
    <cellStyle name="Normal 8 3 5 3 2 2" xfId="17970" xr:uid="{00000000-0005-0000-0000-0000D0670000}"/>
    <cellStyle name="Normal 8 3 5 3 2 2 2" xfId="37685" xr:uid="{00000000-0005-0000-0000-0000D1670000}"/>
    <cellStyle name="Normal 8 3 5 3 2 3" xfId="27828" xr:uid="{00000000-0005-0000-0000-0000D2670000}"/>
    <cellStyle name="Normal 8 3 5 3 3" xfId="13042" xr:uid="{00000000-0005-0000-0000-0000D3670000}"/>
    <cellStyle name="Normal 8 3 5 3 3 2" xfId="32757" xr:uid="{00000000-0005-0000-0000-0000D4670000}"/>
    <cellStyle name="Normal 8 3 5 3 4" xfId="22900" xr:uid="{00000000-0005-0000-0000-0000D5670000}"/>
    <cellStyle name="Normal 8 3 5 4" xfId="5646" xr:uid="{00000000-0005-0000-0000-0000D6670000}"/>
    <cellStyle name="Normal 8 3 5 4 2" xfId="15506" xr:uid="{00000000-0005-0000-0000-0000D7670000}"/>
    <cellStyle name="Normal 8 3 5 4 2 2" xfId="35221" xr:uid="{00000000-0005-0000-0000-0000D8670000}"/>
    <cellStyle name="Normal 8 3 5 4 3" xfId="25364" xr:uid="{00000000-0005-0000-0000-0000D9670000}"/>
    <cellStyle name="Normal 8 3 5 5" xfId="10578" xr:uid="{00000000-0005-0000-0000-0000DA670000}"/>
    <cellStyle name="Normal 8 3 5 5 2" xfId="30293" xr:uid="{00000000-0005-0000-0000-0000DB670000}"/>
    <cellStyle name="Normal 8 3 5 6" xfId="20436" xr:uid="{00000000-0005-0000-0000-0000DC670000}"/>
    <cellStyle name="Normal 8 3 6" xfId="1327" xr:uid="{00000000-0005-0000-0000-0000DD670000}"/>
    <cellStyle name="Normal 8 3 6 2" xfId="3794" xr:uid="{00000000-0005-0000-0000-0000DE670000}"/>
    <cellStyle name="Normal 8 3 6 2 2" xfId="8726" xr:uid="{00000000-0005-0000-0000-0000DF670000}"/>
    <cellStyle name="Normal 8 3 6 2 2 2" xfId="18586" xr:uid="{00000000-0005-0000-0000-0000E0670000}"/>
    <cellStyle name="Normal 8 3 6 2 2 2 2" xfId="38301" xr:uid="{00000000-0005-0000-0000-0000E1670000}"/>
    <cellStyle name="Normal 8 3 6 2 2 3" xfId="28444" xr:uid="{00000000-0005-0000-0000-0000E2670000}"/>
    <cellStyle name="Normal 8 3 6 2 3" xfId="13658" xr:uid="{00000000-0005-0000-0000-0000E3670000}"/>
    <cellStyle name="Normal 8 3 6 2 3 2" xfId="33373" xr:uid="{00000000-0005-0000-0000-0000E4670000}"/>
    <cellStyle name="Normal 8 3 6 2 4" xfId="23516" xr:uid="{00000000-0005-0000-0000-0000E5670000}"/>
    <cellStyle name="Normal 8 3 6 3" xfId="6262" xr:uid="{00000000-0005-0000-0000-0000E6670000}"/>
    <cellStyle name="Normal 8 3 6 3 2" xfId="16122" xr:uid="{00000000-0005-0000-0000-0000E7670000}"/>
    <cellStyle name="Normal 8 3 6 3 2 2" xfId="35837" xr:uid="{00000000-0005-0000-0000-0000E8670000}"/>
    <cellStyle name="Normal 8 3 6 3 3" xfId="25980" xr:uid="{00000000-0005-0000-0000-0000E9670000}"/>
    <cellStyle name="Normal 8 3 6 4" xfId="11194" xr:uid="{00000000-0005-0000-0000-0000EA670000}"/>
    <cellStyle name="Normal 8 3 6 4 2" xfId="30909" xr:uid="{00000000-0005-0000-0000-0000EB670000}"/>
    <cellStyle name="Normal 8 3 6 5" xfId="21052" xr:uid="{00000000-0005-0000-0000-0000EC670000}"/>
    <cellStyle name="Normal 8 3 7" xfId="2562" xr:uid="{00000000-0005-0000-0000-0000ED670000}"/>
    <cellStyle name="Normal 8 3 7 2" xfId="7494" xr:uid="{00000000-0005-0000-0000-0000EE670000}"/>
    <cellStyle name="Normal 8 3 7 2 2" xfId="17354" xr:uid="{00000000-0005-0000-0000-0000EF670000}"/>
    <cellStyle name="Normal 8 3 7 2 2 2" xfId="37069" xr:uid="{00000000-0005-0000-0000-0000F0670000}"/>
    <cellStyle name="Normal 8 3 7 2 3" xfId="27212" xr:uid="{00000000-0005-0000-0000-0000F1670000}"/>
    <cellStyle name="Normal 8 3 7 3" xfId="12426" xr:uid="{00000000-0005-0000-0000-0000F2670000}"/>
    <cellStyle name="Normal 8 3 7 3 2" xfId="32141" xr:uid="{00000000-0005-0000-0000-0000F3670000}"/>
    <cellStyle name="Normal 8 3 7 4" xfId="22284" xr:uid="{00000000-0005-0000-0000-0000F4670000}"/>
    <cellStyle name="Normal 8 3 8" xfId="5030" xr:uid="{00000000-0005-0000-0000-0000F5670000}"/>
    <cellStyle name="Normal 8 3 8 2" xfId="14890" xr:uid="{00000000-0005-0000-0000-0000F6670000}"/>
    <cellStyle name="Normal 8 3 8 2 2" xfId="34605" xr:uid="{00000000-0005-0000-0000-0000F7670000}"/>
    <cellStyle name="Normal 8 3 8 3" xfId="24748" xr:uid="{00000000-0005-0000-0000-0000F8670000}"/>
    <cellStyle name="Normal 8 3 9" xfId="9962" xr:uid="{00000000-0005-0000-0000-0000F9670000}"/>
    <cellStyle name="Normal 8 3 9 2" xfId="29677" xr:uid="{00000000-0005-0000-0000-0000FA670000}"/>
    <cellStyle name="Normal 8 4" xfId="113" xr:uid="{00000000-0005-0000-0000-0000FB670000}"/>
    <cellStyle name="Normal 8 4 2" xfId="270" xr:uid="{00000000-0005-0000-0000-0000FC670000}"/>
    <cellStyle name="Normal 8 4 2 2" xfId="584" xr:uid="{00000000-0005-0000-0000-0000FD670000}"/>
    <cellStyle name="Normal 8 4 2 2 2" xfId="1204" xr:uid="{00000000-0005-0000-0000-0000FE670000}"/>
    <cellStyle name="Normal 8 4 2 2 2 2" xfId="2439" xr:uid="{00000000-0005-0000-0000-0000FF670000}"/>
    <cellStyle name="Normal 8 4 2 2 2 2 2" xfId="4906" xr:uid="{00000000-0005-0000-0000-000000680000}"/>
    <cellStyle name="Normal 8 4 2 2 2 2 2 2" xfId="9838" xr:uid="{00000000-0005-0000-0000-000001680000}"/>
    <cellStyle name="Normal 8 4 2 2 2 2 2 2 2" xfId="19698" xr:uid="{00000000-0005-0000-0000-000002680000}"/>
    <cellStyle name="Normal 8 4 2 2 2 2 2 2 2 2" xfId="39413" xr:uid="{00000000-0005-0000-0000-000003680000}"/>
    <cellStyle name="Normal 8 4 2 2 2 2 2 2 3" xfId="29556" xr:uid="{00000000-0005-0000-0000-000004680000}"/>
    <cellStyle name="Normal 8 4 2 2 2 2 2 3" xfId="14770" xr:uid="{00000000-0005-0000-0000-000005680000}"/>
    <cellStyle name="Normal 8 4 2 2 2 2 2 3 2" xfId="34485" xr:uid="{00000000-0005-0000-0000-000006680000}"/>
    <cellStyle name="Normal 8 4 2 2 2 2 2 4" xfId="24628" xr:uid="{00000000-0005-0000-0000-000007680000}"/>
    <cellStyle name="Normal 8 4 2 2 2 2 3" xfId="7374" xr:uid="{00000000-0005-0000-0000-000008680000}"/>
    <cellStyle name="Normal 8 4 2 2 2 2 3 2" xfId="17234" xr:uid="{00000000-0005-0000-0000-000009680000}"/>
    <cellStyle name="Normal 8 4 2 2 2 2 3 2 2" xfId="36949" xr:uid="{00000000-0005-0000-0000-00000A680000}"/>
    <cellStyle name="Normal 8 4 2 2 2 2 3 3" xfId="27092" xr:uid="{00000000-0005-0000-0000-00000B680000}"/>
    <cellStyle name="Normal 8 4 2 2 2 2 4" xfId="12306" xr:uid="{00000000-0005-0000-0000-00000C680000}"/>
    <cellStyle name="Normal 8 4 2 2 2 2 4 2" xfId="32021" xr:uid="{00000000-0005-0000-0000-00000D680000}"/>
    <cellStyle name="Normal 8 4 2 2 2 2 5" xfId="22164" xr:uid="{00000000-0005-0000-0000-00000E680000}"/>
    <cellStyle name="Normal 8 4 2 2 2 3" xfId="3674" xr:uid="{00000000-0005-0000-0000-00000F680000}"/>
    <cellStyle name="Normal 8 4 2 2 2 3 2" xfId="8606" xr:uid="{00000000-0005-0000-0000-000010680000}"/>
    <cellStyle name="Normal 8 4 2 2 2 3 2 2" xfId="18466" xr:uid="{00000000-0005-0000-0000-000011680000}"/>
    <cellStyle name="Normal 8 4 2 2 2 3 2 2 2" xfId="38181" xr:uid="{00000000-0005-0000-0000-000012680000}"/>
    <cellStyle name="Normal 8 4 2 2 2 3 2 3" xfId="28324" xr:uid="{00000000-0005-0000-0000-000013680000}"/>
    <cellStyle name="Normal 8 4 2 2 2 3 3" xfId="13538" xr:uid="{00000000-0005-0000-0000-000014680000}"/>
    <cellStyle name="Normal 8 4 2 2 2 3 3 2" xfId="33253" xr:uid="{00000000-0005-0000-0000-000015680000}"/>
    <cellStyle name="Normal 8 4 2 2 2 3 4" xfId="23396" xr:uid="{00000000-0005-0000-0000-000016680000}"/>
    <cellStyle name="Normal 8 4 2 2 2 4" xfId="6142" xr:uid="{00000000-0005-0000-0000-000017680000}"/>
    <cellStyle name="Normal 8 4 2 2 2 4 2" xfId="16002" xr:uid="{00000000-0005-0000-0000-000018680000}"/>
    <cellStyle name="Normal 8 4 2 2 2 4 2 2" xfId="35717" xr:uid="{00000000-0005-0000-0000-000019680000}"/>
    <cellStyle name="Normal 8 4 2 2 2 4 3" xfId="25860" xr:uid="{00000000-0005-0000-0000-00001A680000}"/>
    <cellStyle name="Normal 8 4 2 2 2 5" xfId="11074" xr:uid="{00000000-0005-0000-0000-00001B680000}"/>
    <cellStyle name="Normal 8 4 2 2 2 5 2" xfId="30789" xr:uid="{00000000-0005-0000-0000-00001C680000}"/>
    <cellStyle name="Normal 8 4 2 2 2 6" xfId="20932" xr:uid="{00000000-0005-0000-0000-00001D680000}"/>
    <cellStyle name="Normal 8 4 2 2 3" xfId="1823" xr:uid="{00000000-0005-0000-0000-00001E680000}"/>
    <cellStyle name="Normal 8 4 2 2 3 2" xfId="4290" xr:uid="{00000000-0005-0000-0000-00001F680000}"/>
    <cellStyle name="Normal 8 4 2 2 3 2 2" xfId="9222" xr:uid="{00000000-0005-0000-0000-000020680000}"/>
    <cellStyle name="Normal 8 4 2 2 3 2 2 2" xfId="19082" xr:uid="{00000000-0005-0000-0000-000021680000}"/>
    <cellStyle name="Normal 8 4 2 2 3 2 2 2 2" xfId="38797" xr:uid="{00000000-0005-0000-0000-000022680000}"/>
    <cellStyle name="Normal 8 4 2 2 3 2 2 3" xfId="28940" xr:uid="{00000000-0005-0000-0000-000023680000}"/>
    <cellStyle name="Normal 8 4 2 2 3 2 3" xfId="14154" xr:uid="{00000000-0005-0000-0000-000024680000}"/>
    <cellStyle name="Normal 8 4 2 2 3 2 3 2" xfId="33869" xr:uid="{00000000-0005-0000-0000-000025680000}"/>
    <cellStyle name="Normal 8 4 2 2 3 2 4" xfId="24012" xr:uid="{00000000-0005-0000-0000-000026680000}"/>
    <cellStyle name="Normal 8 4 2 2 3 3" xfId="6758" xr:uid="{00000000-0005-0000-0000-000027680000}"/>
    <cellStyle name="Normal 8 4 2 2 3 3 2" xfId="16618" xr:uid="{00000000-0005-0000-0000-000028680000}"/>
    <cellStyle name="Normal 8 4 2 2 3 3 2 2" xfId="36333" xr:uid="{00000000-0005-0000-0000-000029680000}"/>
    <cellStyle name="Normal 8 4 2 2 3 3 3" xfId="26476" xr:uid="{00000000-0005-0000-0000-00002A680000}"/>
    <cellStyle name="Normal 8 4 2 2 3 4" xfId="11690" xr:uid="{00000000-0005-0000-0000-00002B680000}"/>
    <cellStyle name="Normal 8 4 2 2 3 4 2" xfId="31405" xr:uid="{00000000-0005-0000-0000-00002C680000}"/>
    <cellStyle name="Normal 8 4 2 2 3 5" xfId="21548" xr:uid="{00000000-0005-0000-0000-00002D680000}"/>
    <cellStyle name="Normal 8 4 2 2 4" xfId="3058" xr:uid="{00000000-0005-0000-0000-00002E680000}"/>
    <cellStyle name="Normal 8 4 2 2 4 2" xfId="7990" xr:uid="{00000000-0005-0000-0000-00002F680000}"/>
    <cellStyle name="Normal 8 4 2 2 4 2 2" xfId="17850" xr:uid="{00000000-0005-0000-0000-000030680000}"/>
    <cellStyle name="Normal 8 4 2 2 4 2 2 2" xfId="37565" xr:uid="{00000000-0005-0000-0000-000031680000}"/>
    <cellStyle name="Normal 8 4 2 2 4 2 3" xfId="27708" xr:uid="{00000000-0005-0000-0000-000032680000}"/>
    <cellStyle name="Normal 8 4 2 2 4 3" xfId="12922" xr:uid="{00000000-0005-0000-0000-000033680000}"/>
    <cellStyle name="Normal 8 4 2 2 4 3 2" xfId="32637" xr:uid="{00000000-0005-0000-0000-000034680000}"/>
    <cellStyle name="Normal 8 4 2 2 4 4" xfId="22780" xr:uid="{00000000-0005-0000-0000-000035680000}"/>
    <cellStyle name="Normal 8 4 2 2 5" xfId="5526" xr:uid="{00000000-0005-0000-0000-000036680000}"/>
    <cellStyle name="Normal 8 4 2 2 5 2" xfId="15386" xr:uid="{00000000-0005-0000-0000-000037680000}"/>
    <cellStyle name="Normal 8 4 2 2 5 2 2" xfId="35101" xr:uid="{00000000-0005-0000-0000-000038680000}"/>
    <cellStyle name="Normal 8 4 2 2 5 3" xfId="25244" xr:uid="{00000000-0005-0000-0000-000039680000}"/>
    <cellStyle name="Normal 8 4 2 2 6" xfId="10458" xr:uid="{00000000-0005-0000-0000-00003A680000}"/>
    <cellStyle name="Normal 8 4 2 2 6 2" xfId="30173" xr:uid="{00000000-0005-0000-0000-00003B680000}"/>
    <cellStyle name="Normal 8 4 2 2 7" xfId="20316" xr:uid="{00000000-0005-0000-0000-00003C680000}"/>
    <cellStyle name="Normal 8 4 2 3" xfId="897" xr:uid="{00000000-0005-0000-0000-00003D680000}"/>
    <cellStyle name="Normal 8 4 2 3 2" xfId="2133" xr:uid="{00000000-0005-0000-0000-00003E680000}"/>
    <cellStyle name="Normal 8 4 2 3 2 2" xfId="4600" xr:uid="{00000000-0005-0000-0000-00003F680000}"/>
    <cellStyle name="Normal 8 4 2 3 2 2 2" xfId="9532" xr:uid="{00000000-0005-0000-0000-000040680000}"/>
    <cellStyle name="Normal 8 4 2 3 2 2 2 2" xfId="19392" xr:uid="{00000000-0005-0000-0000-000041680000}"/>
    <cellStyle name="Normal 8 4 2 3 2 2 2 2 2" xfId="39107" xr:uid="{00000000-0005-0000-0000-000042680000}"/>
    <cellStyle name="Normal 8 4 2 3 2 2 2 3" xfId="29250" xr:uid="{00000000-0005-0000-0000-000043680000}"/>
    <cellStyle name="Normal 8 4 2 3 2 2 3" xfId="14464" xr:uid="{00000000-0005-0000-0000-000044680000}"/>
    <cellStyle name="Normal 8 4 2 3 2 2 3 2" xfId="34179" xr:uid="{00000000-0005-0000-0000-000045680000}"/>
    <cellStyle name="Normal 8 4 2 3 2 2 4" xfId="24322" xr:uid="{00000000-0005-0000-0000-000046680000}"/>
    <cellStyle name="Normal 8 4 2 3 2 3" xfId="7068" xr:uid="{00000000-0005-0000-0000-000047680000}"/>
    <cellStyle name="Normal 8 4 2 3 2 3 2" xfId="16928" xr:uid="{00000000-0005-0000-0000-000048680000}"/>
    <cellStyle name="Normal 8 4 2 3 2 3 2 2" xfId="36643" xr:uid="{00000000-0005-0000-0000-000049680000}"/>
    <cellStyle name="Normal 8 4 2 3 2 3 3" xfId="26786" xr:uid="{00000000-0005-0000-0000-00004A680000}"/>
    <cellStyle name="Normal 8 4 2 3 2 4" xfId="12000" xr:uid="{00000000-0005-0000-0000-00004B680000}"/>
    <cellStyle name="Normal 8 4 2 3 2 4 2" xfId="31715" xr:uid="{00000000-0005-0000-0000-00004C680000}"/>
    <cellStyle name="Normal 8 4 2 3 2 5" xfId="21858" xr:uid="{00000000-0005-0000-0000-00004D680000}"/>
    <cellStyle name="Normal 8 4 2 3 3" xfId="3368" xr:uid="{00000000-0005-0000-0000-00004E680000}"/>
    <cellStyle name="Normal 8 4 2 3 3 2" xfId="8300" xr:uid="{00000000-0005-0000-0000-00004F680000}"/>
    <cellStyle name="Normal 8 4 2 3 3 2 2" xfId="18160" xr:uid="{00000000-0005-0000-0000-000050680000}"/>
    <cellStyle name="Normal 8 4 2 3 3 2 2 2" xfId="37875" xr:uid="{00000000-0005-0000-0000-000051680000}"/>
    <cellStyle name="Normal 8 4 2 3 3 2 3" xfId="28018" xr:uid="{00000000-0005-0000-0000-000052680000}"/>
    <cellStyle name="Normal 8 4 2 3 3 3" xfId="13232" xr:uid="{00000000-0005-0000-0000-000053680000}"/>
    <cellStyle name="Normal 8 4 2 3 3 3 2" xfId="32947" xr:uid="{00000000-0005-0000-0000-000054680000}"/>
    <cellStyle name="Normal 8 4 2 3 3 4" xfId="23090" xr:uid="{00000000-0005-0000-0000-000055680000}"/>
    <cellStyle name="Normal 8 4 2 3 4" xfId="5836" xr:uid="{00000000-0005-0000-0000-000056680000}"/>
    <cellStyle name="Normal 8 4 2 3 4 2" xfId="15696" xr:uid="{00000000-0005-0000-0000-000057680000}"/>
    <cellStyle name="Normal 8 4 2 3 4 2 2" xfId="35411" xr:uid="{00000000-0005-0000-0000-000058680000}"/>
    <cellStyle name="Normal 8 4 2 3 4 3" xfId="25554" xr:uid="{00000000-0005-0000-0000-000059680000}"/>
    <cellStyle name="Normal 8 4 2 3 5" xfId="10768" xr:uid="{00000000-0005-0000-0000-00005A680000}"/>
    <cellStyle name="Normal 8 4 2 3 5 2" xfId="30483" xr:uid="{00000000-0005-0000-0000-00005B680000}"/>
    <cellStyle name="Normal 8 4 2 3 6" xfId="20626" xr:uid="{00000000-0005-0000-0000-00005C680000}"/>
    <cellStyle name="Normal 8 4 2 4" xfId="1517" xr:uid="{00000000-0005-0000-0000-00005D680000}"/>
    <cellStyle name="Normal 8 4 2 4 2" xfId="3984" xr:uid="{00000000-0005-0000-0000-00005E680000}"/>
    <cellStyle name="Normal 8 4 2 4 2 2" xfId="8916" xr:uid="{00000000-0005-0000-0000-00005F680000}"/>
    <cellStyle name="Normal 8 4 2 4 2 2 2" xfId="18776" xr:uid="{00000000-0005-0000-0000-000060680000}"/>
    <cellStyle name="Normal 8 4 2 4 2 2 2 2" xfId="38491" xr:uid="{00000000-0005-0000-0000-000061680000}"/>
    <cellStyle name="Normal 8 4 2 4 2 2 3" xfId="28634" xr:uid="{00000000-0005-0000-0000-000062680000}"/>
    <cellStyle name="Normal 8 4 2 4 2 3" xfId="13848" xr:uid="{00000000-0005-0000-0000-000063680000}"/>
    <cellStyle name="Normal 8 4 2 4 2 3 2" xfId="33563" xr:uid="{00000000-0005-0000-0000-000064680000}"/>
    <cellStyle name="Normal 8 4 2 4 2 4" xfId="23706" xr:uid="{00000000-0005-0000-0000-000065680000}"/>
    <cellStyle name="Normal 8 4 2 4 3" xfId="6452" xr:uid="{00000000-0005-0000-0000-000066680000}"/>
    <cellStyle name="Normal 8 4 2 4 3 2" xfId="16312" xr:uid="{00000000-0005-0000-0000-000067680000}"/>
    <cellStyle name="Normal 8 4 2 4 3 2 2" xfId="36027" xr:uid="{00000000-0005-0000-0000-000068680000}"/>
    <cellStyle name="Normal 8 4 2 4 3 3" xfId="26170" xr:uid="{00000000-0005-0000-0000-000069680000}"/>
    <cellStyle name="Normal 8 4 2 4 4" xfId="11384" xr:uid="{00000000-0005-0000-0000-00006A680000}"/>
    <cellStyle name="Normal 8 4 2 4 4 2" xfId="31099" xr:uid="{00000000-0005-0000-0000-00006B680000}"/>
    <cellStyle name="Normal 8 4 2 4 5" xfId="21242" xr:uid="{00000000-0005-0000-0000-00006C680000}"/>
    <cellStyle name="Normal 8 4 2 5" xfId="2752" xr:uid="{00000000-0005-0000-0000-00006D680000}"/>
    <cellStyle name="Normal 8 4 2 5 2" xfId="7684" xr:uid="{00000000-0005-0000-0000-00006E680000}"/>
    <cellStyle name="Normal 8 4 2 5 2 2" xfId="17544" xr:uid="{00000000-0005-0000-0000-00006F680000}"/>
    <cellStyle name="Normal 8 4 2 5 2 2 2" xfId="37259" xr:uid="{00000000-0005-0000-0000-000070680000}"/>
    <cellStyle name="Normal 8 4 2 5 2 3" xfId="27402" xr:uid="{00000000-0005-0000-0000-000071680000}"/>
    <cellStyle name="Normal 8 4 2 5 3" xfId="12616" xr:uid="{00000000-0005-0000-0000-000072680000}"/>
    <cellStyle name="Normal 8 4 2 5 3 2" xfId="32331" xr:uid="{00000000-0005-0000-0000-000073680000}"/>
    <cellStyle name="Normal 8 4 2 5 4" xfId="22474" xr:uid="{00000000-0005-0000-0000-000074680000}"/>
    <cellStyle name="Normal 8 4 2 6" xfId="5220" xr:uid="{00000000-0005-0000-0000-000075680000}"/>
    <cellStyle name="Normal 8 4 2 6 2" xfId="15080" xr:uid="{00000000-0005-0000-0000-000076680000}"/>
    <cellStyle name="Normal 8 4 2 6 2 2" xfId="34795" xr:uid="{00000000-0005-0000-0000-000077680000}"/>
    <cellStyle name="Normal 8 4 2 6 3" xfId="24938" xr:uid="{00000000-0005-0000-0000-000078680000}"/>
    <cellStyle name="Normal 8 4 2 7" xfId="10152" xr:uid="{00000000-0005-0000-0000-000079680000}"/>
    <cellStyle name="Normal 8 4 2 7 2" xfId="29867" xr:uid="{00000000-0005-0000-0000-00007A680000}"/>
    <cellStyle name="Normal 8 4 2 8" xfId="20010" xr:uid="{00000000-0005-0000-0000-00007B680000}"/>
    <cellStyle name="Normal 8 4 3" xfId="432" xr:uid="{00000000-0005-0000-0000-00007C680000}"/>
    <cellStyle name="Normal 8 4 3 2" xfId="1052" xr:uid="{00000000-0005-0000-0000-00007D680000}"/>
    <cellStyle name="Normal 8 4 3 2 2" xfId="2287" xr:uid="{00000000-0005-0000-0000-00007E680000}"/>
    <cellStyle name="Normal 8 4 3 2 2 2" xfId="4754" xr:uid="{00000000-0005-0000-0000-00007F680000}"/>
    <cellStyle name="Normal 8 4 3 2 2 2 2" xfId="9686" xr:uid="{00000000-0005-0000-0000-000080680000}"/>
    <cellStyle name="Normal 8 4 3 2 2 2 2 2" xfId="19546" xr:uid="{00000000-0005-0000-0000-000081680000}"/>
    <cellStyle name="Normal 8 4 3 2 2 2 2 2 2" xfId="39261" xr:uid="{00000000-0005-0000-0000-000082680000}"/>
    <cellStyle name="Normal 8 4 3 2 2 2 2 3" xfId="29404" xr:uid="{00000000-0005-0000-0000-000083680000}"/>
    <cellStyle name="Normal 8 4 3 2 2 2 3" xfId="14618" xr:uid="{00000000-0005-0000-0000-000084680000}"/>
    <cellStyle name="Normal 8 4 3 2 2 2 3 2" xfId="34333" xr:uid="{00000000-0005-0000-0000-000085680000}"/>
    <cellStyle name="Normal 8 4 3 2 2 2 4" xfId="24476" xr:uid="{00000000-0005-0000-0000-000086680000}"/>
    <cellStyle name="Normal 8 4 3 2 2 3" xfId="7222" xr:uid="{00000000-0005-0000-0000-000087680000}"/>
    <cellStyle name="Normal 8 4 3 2 2 3 2" xfId="17082" xr:uid="{00000000-0005-0000-0000-000088680000}"/>
    <cellStyle name="Normal 8 4 3 2 2 3 2 2" xfId="36797" xr:uid="{00000000-0005-0000-0000-000089680000}"/>
    <cellStyle name="Normal 8 4 3 2 2 3 3" xfId="26940" xr:uid="{00000000-0005-0000-0000-00008A680000}"/>
    <cellStyle name="Normal 8 4 3 2 2 4" xfId="12154" xr:uid="{00000000-0005-0000-0000-00008B680000}"/>
    <cellStyle name="Normal 8 4 3 2 2 4 2" xfId="31869" xr:uid="{00000000-0005-0000-0000-00008C680000}"/>
    <cellStyle name="Normal 8 4 3 2 2 5" xfId="22012" xr:uid="{00000000-0005-0000-0000-00008D680000}"/>
    <cellStyle name="Normal 8 4 3 2 3" xfId="3522" xr:uid="{00000000-0005-0000-0000-00008E680000}"/>
    <cellStyle name="Normal 8 4 3 2 3 2" xfId="8454" xr:uid="{00000000-0005-0000-0000-00008F680000}"/>
    <cellStyle name="Normal 8 4 3 2 3 2 2" xfId="18314" xr:uid="{00000000-0005-0000-0000-000090680000}"/>
    <cellStyle name="Normal 8 4 3 2 3 2 2 2" xfId="38029" xr:uid="{00000000-0005-0000-0000-000091680000}"/>
    <cellStyle name="Normal 8 4 3 2 3 2 3" xfId="28172" xr:uid="{00000000-0005-0000-0000-000092680000}"/>
    <cellStyle name="Normal 8 4 3 2 3 3" xfId="13386" xr:uid="{00000000-0005-0000-0000-000093680000}"/>
    <cellStyle name="Normal 8 4 3 2 3 3 2" xfId="33101" xr:uid="{00000000-0005-0000-0000-000094680000}"/>
    <cellStyle name="Normal 8 4 3 2 3 4" xfId="23244" xr:uid="{00000000-0005-0000-0000-000095680000}"/>
    <cellStyle name="Normal 8 4 3 2 4" xfId="5990" xr:uid="{00000000-0005-0000-0000-000096680000}"/>
    <cellStyle name="Normal 8 4 3 2 4 2" xfId="15850" xr:uid="{00000000-0005-0000-0000-000097680000}"/>
    <cellStyle name="Normal 8 4 3 2 4 2 2" xfId="35565" xr:uid="{00000000-0005-0000-0000-000098680000}"/>
    <cellStyle name="Normal 8 4 3 2 4 3" xfId="25708" xr:uid="{00000000-0005-0000-0000-000099680000}"/>
    <cellStyle name="Normal 8 4 3 2 5" xfId="10922" xr:uid="{00000000-0005-0000-0000-00009A680000}"/>
    <cellStyle name="Normal 8 4 3 2 5 2" xfId="30637" xr:uid="{00000000-0005-0000-0000-00009B680000}"/>
    <cellStyle name="Normal 8 4 3 2 6" xfId="20780" xr:uid="{00000000-0005-0000-0000-00009C680000}"/>
    <cellStyle name="Normal 8 4 3 3" xfId="1671" xr:uid="{00000000-0005-0000-0000-00009D680000}"/>
    <cellStyle name="Normal 8 4 3 3 2" xfId="4138" xr:uid="{00000000-0005-0000-0000-00009E680000}"/>
    <cellStyle name="Normal 8 4 3 3 2 2" xfId="9070" xr:uid="{00000000-0005-0000-0000-00009F680000}"/>
    <cellStyle name="Normal 8 4 3 3 2 2 2" xfId="18930" xr:uid="{00000000-0005-0000-0000-0000A0680000}"/>
    <cellStyle name="Normal 8 4 3 3 2 2 2 2" xfId="38645" xr:uid="{00000000-0005-0000-0000-0000A1680000}"/>
    <cellStyle name="Normal 8 4 3 3 2 2 3" xfId="28788" xr:uid="{00000000-0005-0000-0000-0000A2680000}"/>
    <cellStyle name="Normal 8 4 3 3 2 3" xfId="14002" xr:uid="{00000000-0005-0000-0000-0000A3680000}"/>
    <cellStyle name="Normal 8 4 3 3 2 3 2" xfId="33717" xr:uid="{00000000-0005-0000-0000-0000A4680000}"/>
    <cellStyle name="Normal 8 4 3 3 2 4" xfId="23860" xr:uid="{00000000-0005-0000-0000-0000A5680000}"/>
    <cellStyle name="Normal 8 4 3 3 3" xfId="6606" xr:uid="{00000000-0005-0000-0000-0000A6680000}"/>
    <cellStyle name="Normal 8 4 3 3 3 2" xfId="16466" xr:uid="{00000000-0005-0000-0000-0000A7680000}"/>
    <cellStyle name="Normal 8 4 3 3 3 2 2" xfId="36181" xr:uid="{00000000-0005-0000-0000-0000A8680000}"/>
    <cellStyle name="Normal 8 4 3 3 3 3" xfId="26324" xr:uid="{00000000-0005-0000-0000-0000A9680000}"/>
    <cellStyle name="Normal 8 4 3 3 4" xfId="11538" xr:uid="{00000000-0005-0000-0000-0000AA680000}"/>
    <cellStyle name="Normal 8 4 3 3 4 2" xfId="31253" xr:uid="{00000000-0005-0000-0000-0000AB680000}"/>
    <cellStyle name="Normal 8 4 3 3 5" xfId="21396" xr:uid="{00000000-0005-0000-0000-0000AC680000}"/>
    <cellStyle name="Normal 8 4 3 4" xfId="2906" xr:uid="{00000000-0005-0000-0000-0000AD680000}"/>
    <cellStyle name="Normal 8 4 3 4 2" xfId="7838" xr:uid="{00000000-0005-0000-0000-0000AE680000}"/>
    <cellStyle name="Normal 8 4 3 4 2 2" xfId="17698" xr:uid="{00000000-0005-0000-0000-0000AF680000}"/>
    <cellStyle name="Normal 8 4 3 4 2 2 2" xfId="37413" xr:uid="{00000000-0005-0000-0000-0000B0680000}"/>
    <cellStyle name="Normal 8 4 3 4 2 3" xfId="27556" xr:uid="{00000000-0005-0000-0000-0000B1680000}"/>
    <cellStyle name="Normal 8 4 3 4 3" xfId="12770" xr:uid="{00000000-0005-0000-0000-0000B2680000}"/>
    <cellStyle name="Normal 8 4 3 4 3 2" xfId="32485" xr:uid="{00000000-0005-0000-0000-0000B3680000}"/>
    <cellStyle name="Normal 8 4 3 4 4" xfId="22628" xr:uid="{00000000-0005-0000-0000-0000B4680000}"/>
    <cellStyle name="Normal 8 4 3 5" xfId="5374" xr:uid="{00000000-0005-0000-0000-0000B5680000}"/>
    <cellStyle name="Normal 8 4 3 5 2" xfId="15234" xr:uid="{00000000-0005-0000-0000-0000B6680000}"/>
    <cellStyle name="Normal 8 4 3 5 2 2" xfId="34949" xr:uid="{00000000-0005-0000-0000-0000B7680000}"/>
    <cellStyle name="Normal 8 4 3 5 3" xfId="25092" xr:uid="{00000000-0005-0000-0000-0000B8680000}"/>
    <cellStyle name="Normal 8 4 3 6" xfId="10306" xr:uid="{00000000-0005-0000-0000-0000B9680000}"/>
    <cellStyle name="Normal 8 4 3 6 2" xfId="30021" xr:uid="{00000000-0005-0000-0000-0000BA680000}"/>
    <cellStyle name="Normal 8 4 3 7" xfId="20164" xr:uid="{00000000-0005-0000-0000-0000BB680000}"/>
    <cellStyle name="Normal 8 4 4" xfId="745" xr:uid="{00000000-0005-0000-0000-0000BC680000}"/>
    <cellStyle name="Normal 8 4 4 2" xfId="1981" xr:uid="{00000000-0005-0000-0000-0000BD680000}"/>
    <cellStyle name="Normal 8 4 4 2 2" xfId="4448" xr:uid="{00000000-0005-0000-0000-0000BE680000}"/>
    <cellStyle name="Normal 8 4 4 2 2 2" xfId="9380" xr:uid="{00000000-0005-0000-0000-0000BF680000}"/>
    <cellStyle name="Normal 8 4 4 2 2 2 2" xfId="19240" xr:uid="{00000000-0005-0000-0000-0000C0680000}"/>
    <cellStyle name="Normal 8 4 4 2 2 2 2 2" xfId="38955" xr:uid="{00000000-0005-0000-0000-0000C1680000}"/>
    <cellStyle name="Normal 8 4 4 2 2 2 3" xfId="29098" xr:uid="{00000000-0005-0000-0000-0000C2680000}"/>
    <cellStyle name="Normal 8 4 4 2 2 3" xfId="14312" xr:uid="{00000000-0005-0000-0000-0000C3680000}"/>
    <cellStyle name="Normal 8 4 4 2 2 3 2" xfId="34027" xr:uid="{00000000-0005-0000-0000-0000C4680000}"/>
    <cellStyle name="Normal 8 4 4 2 2 4" xfId="24170" xr:uid="{00000000-0005-0000-0000-0000C5680000}"/>
    <cellStyle name="Normal 8 4 4 2 3" xfId="6916" xr:uid="{00000000-0005-0000-0000-0000C6680000}"/>
    <cellStyle name="Normal 8 4 4 2 3 2" xfId="16776" xr:uid="{00000000-0005-0000-0000-0000C7680000}"/>
    <cellStyle name="Normal 8 4 4 2 3 2 2" xfId="36491" xr:uid="{00000000-0005-0000-0000-0000C8680000}"/>
    <cellStyle name="Normal 8 4 4 2 3 3" xfId="26634" xr:uid="{00000000-0005-0000-0000-0000C9680000}"/>
    <cellStyle name="Normal 8 4 4 2 4" xfId="11848" xr:uid="{00000000-0005-0000-0000-0000CA680000}"/>
    <cellStyle name="Normal 8 4 4 2 4 2" xfId="31563" xr:uid="{00000000-0005-0000-0000-0000CB680000}"/>
    <cellStyle name="Normal 8 4 4 2 5" xfId="21706" xr:uid="{00000000-0005-0000-0000-0000CC680000}"/>
    <cellStyle name="Normal 8 4 4 3" xfId="3216" xr:uid="{00000000-0005-0000-0000-0000CD680000}"/>
    <cellStyle name="Normal 8 4 4 3 2" xfId="8148" xr:uid="{00000000-0005-0000-0000-0000CE680000}"/>
    <cellStyle name="Normal 8 4 4 3 2 2" xfId="18008" xr:uid="{00000000-0005-0000-0000-0000CF680000}"/>
    <cellStyle name="Normal 8 4 4 3 2 2 2" xfId="37723" xr:uid="{00000000-0005-0000-0000-0000D0680000}"/>
    <cellStyle name="Normal 8 4 4 3 2 3" xfId="27866" xr:uid="{00000000-0005-0000-0000-0000D1680000}"/>
    <cellStyle name="Normal 8 4 4 3 3" xfId="13080" xr:uid="{00000000-0005-0000-0000-0000D2680000}"/>
    <cellStyle name="Normal 8 4 4 3 3 2" xfId="32795" xr:uid="{00000000-0005-0000-0000-0000D3680000}"/>
    <cellStyle name="Normal 8 4 4 3 4" xfId="22938" xr:uid="{00000000-0005-0000-0000-0000D4680000}"/>
    <cellStyle name="Normal 8 4 4 4" xfId="5684" xr:uid="{00000000-0005-0000-0000-0000D5680000}"/>
    <cellStyle name="Normal 8 4 4 4 2" xfId="15544" xr:uid="{00000000-0005-0000-0000-0000D6680000}"/>
    <cellStyle name="Normal 8 4 4 4 2 2" xfId="35259" xr:uid="{00000000-0005-0000-0000-0000D7680000}"/>
    <cellStyle name="Normal 8 4 4 4 3" xfId="25402" xr:uid="{00000000-0005-0000-0000-0000D8680000}"/>
    <cellStyle name="Normal 8 4 4 5" xfId="10616" xr:uid="{00000000-0005-0000-0000-0000D9680000}"/>
    <cellStyle name="Normal 8 4 4 5 2" xfId="30331" xr:uid="{00000000-0005-0000-0000-0000DA680000}"/>
    <cellStyle name="Normal 8 4 4 6" xfId="20474" xr:uid="{00000000-0005-0000-0000-0000DB680000}"/>
    <cellStyle name="Normal 8 4 5" xfId="1365" xr:uid="{00000000-0005-0000-0000-0000DC680000}"/>
    <cellStyle name="Normal 8 4 5 2" xfId="3832" xr:uid="{00000000-0005-0000-0000-0000DD680000}"/>
    <cellStyle name="Normal 8 4 5 2 2" xfId="8764" xr:uid="{00000000-0005-0000-0000-0000DE680000}"/>
    <cellStyle name="Normal 8 4 5 2 2 2" xfId="18624" xr:uid="{00000000-0005-0000-0000-0000DF680000}"/>
    <cellStyle name="Normal 8 4 5 2 2 2 2" xfId="38339" xr:uid="{00000000-0005-0000-0000-0000E0680000}"/>
    <cellStyle name="Normal 8 4 5 2 2 3" xfId="28482" xr:uid="{00000000-0005-0000-0000-0000E1680000}"/>
    <cellStyle name="Normal 8 4 5 2 3" xfId="13696" xr:uid="{00000000-0005-0000-0000-0000E2680000}"/>
    <cellStyle name="Normal 8 4 5 2 3 2" xfId="33411" xr:uid="{00000000-0005-0000-0000-0000E3680000}"/>
    <cellStyle name="Normal 8 4 5 2 4" xfId="23554" xr:uid="{00000000-0005-0000-0000-0000E4680000}"/>
    <cellStyle name="Normal 8 4 5 3" xfId="6300" xr:uid="{00000000-0005-0000-0000-0000E5680000}"/>
    <cellStyle name="Normal 8 4 5 3 2" xfId="16160" xr:uid="{00000000-0005-0000-0000-0000E6680000}"/>
    <cellStyle name="Normal 8 4 5 3 2 2" xfId="35875" xr:uid="{00000000-0005-0000-0000-0000E7680000}"/>
    <cellStyle name="Normal 8 4 5 3 3" xfId="26018" xr:uid="{00000000-0005-0000-0000-0000E8680000}"/>
    <cellStyle name="Normal 8 4 5 4" xfId="11232" xr:uid="{00000000-0005-0000-0000-0000E9680000}"/>
    <cellStyle name="Normal 8 4 5 4 2" xfId="30947" xr:uid="{00000000-0005-0000-0000-0000EA680000}"/>
    <cellStyle name="Normal 8 4 5 5" xfId="21090" xr:uid="{00000000-0005-0000-0000-0000EB680000}"/>
    <cellStyle name="Normal 8 4 6" xfId="2600" xr:uid="{00000000-0005-0000-0000-0000EC680000}"/>
    <cellStyle name="Normal 8 4 6 2" xfId="7532" xr:uid="{00000000-0005-0000-0000-0000ED680000}"/>
    <cellStyle name="Normal 8 4 6 2 2" xfId="17392" xr:uid="{00000000-0005-0000-0000-0000EE680000}"/>
    <cellStyle name="Normal 8 4 6 2 2 2" xfId="37107" xr:uid="{00000000-0005-0000-0000-0000EF680000}"/>
    <cellStyle name="Normal 8 4 6 2 3" xfId="27250" xr:uid="{00000000-0005-0000-0000-0000F0680000}"/>
    <cellStyle name="Normal 8 4 6 3" xfId="12464" xr:uid="{00000000-0005-0000-0000-0000F1680000}"/>
    <cellStyle name="Normal 8 4 6 3 2" xfId="32179" xr:uid="{00000000-0005-0000-0000-0000F2680000}"/>
    <cellStyle name="Normal 8 4 6 4" xfId="22322" xr:uid="{00000000-0005-0000-0000-0000F3680000}"/>
    <cellStyle name="Normal 8 4 7" xfId="5068" xr:uid="{00000000-0005-0000-0000-0000F4680000}"/>
    <cellStyle name="Normal 8 4 7 2" xfId="14928" xr:uid="{00000000-0005-0000-0000-0000F5680000}"/>
    <cellStyle name="Normal 8 4 7 2 2" xfId="34643" xr:uid="{00000000-0005-0000-0000-0000F6680000}"/>
    <cellStyle name="Normal 8 4 7 3" xfId="24786" xr:uid="{00000000-0005-0000-0000-0000F7680000}"/>
    <cellStyle name="Normal 8 4 8" xfId="10000" xr:uid="{00000000-0005-0000-0000-0000F8680000}"/>
    <cellStyle name="Normal 8 4 8 2" xfId="29715" xr:uid="{00000000-0005-0000-0000-0000F9680000}"/>
    <cellStyle name="Normal 8 4 9" xfId="19858" xr:uid="{00000000-0005-0000-0000-0000FA680000}"/>
    <cellStyle name="Normal 8 5" xfId="194" xr:uid="{00000000-0005-0000-0000-0000FB680000}"/>
    <cellStyle name="Normal 8 5 2" xfId="508" xr:uid="{00000000-0005-0000-0000-0000FC680000}"/>
    <cellStyle name="Normal 8 5 2 2" xfId="1128" xr:uid="{00000000-0005-0000-0000-0000FD680000}"/>
    <cellStyle name="Normal 8 5 2 2 2" xfId="2363" xr:uid="{00000000-0005-0000-0000-0000FE680000}"/>
    <cellStyle name="Normal 8 5 2 2 2 2" xfId="4830" xr:uid="{00000000-0005-0000-0000-0000FF680000}"/>
    <cellStyle name="Normal 8 5 2 2 2 2 2" xfId="9762" xr:uid="{00000000-0005-0000-0000-000000690000}"/>
    <cellStyle name="Normal 8 5 2 2 2 2 2 2" xfId="19622" xr:uid="{00000000-0005-0000-0000-000001690000}"/>
    <cellStyle name="Normal 8 5 2 2 2 2 2 2 2" xfId="39337" xr:uid="{00000000-0005-0000-0000-000002690000}"/>
    <cellStyle name="Normal 8 5 2 2 2 2 2 3" xfId="29480" xr:uid="{00000000-0005-0000-0000-000003690000}"/>
    <cellStyle name="Normal 8 5 2 2 2 2 3" xfId="14694" xr:uid="{00000000-0005-0000-0000-000004690000}"/>
    <cellStyle name="Normal 8 5 2 2 2 2 3 2" xfId="34409" xr:uid="{00000000-0005-0000-0000-000005690000}"/>
    <cellStyle name="Normal 8 5 2 2 2 2 4" xfId="24552" xr:uid="{00000000-0005-0000-0000-000006690000}"/>
    <cellStyle name="Normal 8 5 2 2 2 3" xfId="7298" xr:uid="{00000000-0005-0000-0000-000007690000}"/>
    <cellStyle name="Normal 8 5 2 2 2 3 2" xfId="17158" xr:uid="{00000000-0005-0000-0000-000008690000}"/>
    <cellStyle name="Normal 8 5 2 2 2 3 2 2" xfId="36873" xr:uid="{00000000-0005-0000-0000-000009690000}"/>
    <cellStyle name="Normal 8 5 2 2 2 3 3" xfId="27016" xr:uid="{00000000-0005-0000-0000-00000A690000}"/>
    <cellStyle name="Normal 8 5 2 2 2 4" xfId="12230" xr:uid="{00000000-0005-0000-0000-00000B690000}"/>
    <cellStyle name="Normal 8 5 2 2 2 4 2" xfId="31945" xr:uid="{00000000-0005-0000-0000-00000C690000}"/>
    <cellStyle name="Normal 8 5 2 2 2 5" xfId="22088" xr:uid="{00000000-0005-0000-0000-00000D690000}"/>
    <cellStyle name="Normal 8 5 2 2 3" xfId="3598" xr:uid="{00000000-0005-0000-0000-00000E690000}"/>
    <cellStyle name="Normal 8 5 2 2 3 2" xfId="8530" xr:uid="{00000000-0005-0000-0000-00000F690000}"/>
    <cellStyle name="Normal 8 5 2 2 3 2 2" xfId="18390" xr:uid="{00000000-0005-0000-0000-000010690000}"/>
    <cellStyle name="Normal 8 5 2 2 3 2 2 2" xfId="38105" xr:uid="{00000000-0005-0000-0000-000011690000}"/>
    <cellStyle name="Normal 8 5 2 2 3 2 3" xfId="28248" xr:uid="{00000000-0005-0000-0000-000012690000}"/>
    <cellStyle name="Normal 8 5 2 2 3 3" xfId="13462" xr:uid="{00000000-0005-0000-0000-000013690000}"/>
    <cellStyle name="Normal 8 5 2 2 3 3 2" xfId="33177" xr:uid="{00000000-0005-0000-0000-000014690000}"/>
    <cellStyle name="Normal 8 5 2 2 3 4" xfId="23320" xr:uid="{00000000-0005-0000-0000-000015690000}"/>
    <cellStyle name="Normal 8 5 2 2 4" xfId="6066" xr:uid="{00000000-0005-0000-0000-000016690000}"/>
    <cellStyle name="Normal 8 5 2 2 4 2" xfId="15926" xr:uid="{00000000-0005-0000-0000-000017690000}"/>
    <cellStyle name="Normal 8 5 2 2 4 2 2" xfId="35641" xr:uid="{00000000-0005-0000-0000-000018690000}"/>
    <cellStyle name="Normal 8 5 2 2 4 3" xfId="25784" xr:uid="{00000000-0005-0000-0000-000019690000}"/>
    <cellStyle name="Normal 8 5 2 2 5" xfId="10998" xr:uid="{00000000-0005-0000-0000-00001A690000}"/>
    <cellStyle name="Normal 8 5 2 2 5 2" xfId="30713" xr:uid="{00000000-0005-0000-0000-00001B690000}"/>
    <cellStyle name="Normal 8 5 2 2 6" xfId="20856" xr:uid="{00000000-0005-0000-0000-00001C690000}"/>
    <cellStyle name="Normal 8 5 2 3" xfId="1747" xr:uid="{00000000-0005-0000-0000-00001D690000}"/>
    <cellStyle name="Normal 8 5 2 3 2" xfId="4214" xr:uid="{00000000-0005-0000-0000-00001E690000}"/>
    <cellStyle name="Normal 8 5 2 3 2 2" xfId="9146" xr:uid="{00000000-0005-0000-0000-00001F690000}"/>
    <cellStyle name="Normal 8 5 2 3 2 2 2" xfId="19006" xr:uid="{00000000-0005-0000-0000-000020690000}"/>
    <cellStyle name="Normal 8 5 2 3 2 2 2 2" xfId="38721" xr:uid="{00000000-0005-0000-0000-000021690000}"/>
    <cellStyle name="Normal 8 5 2 3 2 2 3" xfId="28864" xr:uid="{00000000-0005-0000-0000-000022690000}"/>
    <cellStyle name="Normal 8 5 2 3 2 3" xfId="14078" xr:uid="{00000000-0005-0000-0000-000023690000}"/>
    <cellStyle name="Normal 8 5 2 3 2 3 2" xfId="33793" xr:uid="{00000000-0005-0000-0000-000024690000}"/>
    <cellStyle name="Normal 8 5 2 3 2 4" xfId="23936" xr:uid="{00000000-0005-0000-0000-000025690000}"/>
    <cellStyle name="Normal 8 5 2 3 3" xfId="6682" xr:uid="{00000000-0005-0000-0000-000026690000}"/>
    <cellStyle name="Normal 8 5 2 3 3 2" xfId="16542" xr:uid="{00000000-0005-0000-0000-000027690000}"/>
    <cellStyle name="Normal 8 5 2 3 3 2 2" xfId="36257" xr:uid="{00000000-0005-0000-0000-000028690000}"/>
    <cellStyle name="Normal 8 5 2 3 3 3" xfId="26400" xr:uid="{00000000-0005-0000-0000-000029690000}"/>
    <cellStyle name="Normal 8 5 2 3 4" xfId="11614" xr:uid="{00000000-0005-0000-0000-00002A690000}"/>
    <cellStyle name="Normal 8 5 2 3 4 2" xfId="31329" xr:uid="{00000000-0005-0000-0000-00002B690000}"/>
    <cellStyle name="Normal 8 5 2 3 5" xfId="21472" xr:uid="{00000000-0005-0000-0000-00002C690000}"/>
    <cellStyle name="Normal 8 5 2 4" xfId="2982" xr:uid="{00000000-0005-0000-0000-00002D690000}"/>
    <cellStyle name="Normal 8 5 2 4 2" xfId="7914" xr:uid="{00000000-0005-0000-0000-00002E690000}"/>
    <cellStyle name="Normal 8 5 2 4 2 2" xfId="17774" xr:uid="{00000000-0005-0000-0000-00002F690000}"/>
    <cellStyle name="Normal 8 5 2 4 2 2 2" xfId="37489" xr:uid="{00000000-0005-0000-0000-000030690000}"/>
    <cellStyle name="Normal 8 5 2 4 2 3" xfId="27632" xr:uid="{00000000-0005-0000-0000-000031690000}"/>
    <cellStyle name="Normal 8 5 2 4 3" xfId="12846" xr:uid="{00000000-0005-0000-0000-000032690000}"/>
    <cellStyle name="Normal 8 5 2 4 3 2" xfId="32561" xr:uid="{00000000-0005-0000-0000-000033690000}"/>
    <cellStyle name="Normal 8 5 2 4 4" xfId="22704" xr:uid="{00000000-0005-0000-0000-000034690000}"/>
    <cellStyle name="Normal 8 5 2 5" xfId="5450" xr:uid="{00000000-0005-0000-0000-000035690000}"/>
    <cellStyle name="Normal 8 5 2 5 2" xfId="15310" xr:uid="{00000000-0005-0000-0000-000036690000}"/>
    <cellStyle name="Normal 8 5 2 5 2 2" xfId="35025" xr:uid="{00000000-0005-0000-0000-000037690000}"/>
    <cellStyle name="Normal 8 5 2 5 3" xfId="25168" xr:uid="{00000000-0005-0000-0000-000038690000}"/>
    <cellStyle name="Normal 8 5 2 6" xfId="10382" xr:uid="{00000000-0005-0000-0000-000039690000}"/>
    <cellStyle name="Normal 8 5 2 6 2" xfId="30097" xr:uid="{00000000-0005-0000-0000-00003A690000}"/>
    <cellStyle name="Normal 8 5 2 7" xfId="20240" xr:uid="{00000000-0005-0000-0000-00003B690000}"/>
    <cellStyle name="Normal 8 5 3" xfId="821" xr:uid="{00000000-0005-0000-0000-00003C690000}"/>
    <cellStyle name="Normal 8 5 3 2" xfId="2057" xr:uid="{00000000-0005-0000-0000-00003D690000}"/>
    <cellStyle name="Normal 8 5 3 2 2" xfId="4524" xr:uid="{00000000-0005-0000-0000-00003E690000}"/>
    <cellStyle name="Normal 8 5 3 2 2 2" xfId="9456" xr:uid="{00000000-0005-0000-0000-00003F690000}"/>
    <cellStyle name="Normal 8 5 3 2 2 2 2" xfId="19316" xr:uid="{00000000-0005-0000-0000-000040690000}"/>
    <cellStyle name="Normal 8 5 3 2 2 2 2 2" xfId="39031" xr:uid="{00000000-0005-0000-0000-000041690000}"/>
    <cellStyle name="Normal 8 5 3 2 2 2 3" xfId="29174" xr:uid="{00000000-0005-0000-0000-000042690000}"/>
    <cellStyle name="Normal 8 5 3 2 2 3" xfId="14388" xr:uid="{00000000-0005-0000-0000-000043690000}"/>
    <cellStyle name="Normal 8 5 3 2 2 3 2" xfId="34103" xr:uid="{00000000-0005-0000-0000-000044690000}"/>
    <cellStyle name="Normal 8 5 3 2 2 4" xfId="24246" xr:uid="{00000000-0005-0000-0000-000045690000}"/>
    <cellStyle name="Normal 8 5 3 2 3" xfId="6992" xr:uid="{00000000-0005-0000-0000-000046690000}"/>
    <cellStyle name="Normal 8 5 3 2 3 2" xfId="16852" xr:uid="{00000000-0005-0000-0000-000047690000}"/>
    <cellStyle name="Normal 8 5 3 2 3 2 2" xfId="36567" xr:uid="{00000000-0005-0000-0000-000048690000}"/>
    <cellStyle name="Normal 8 5 3 2 3 3" xfId="26710" xr:uid="{00000000-0005-0000-0000-000049690000}"/>
    <cellStyle name="Normal 8 5 3 2 4" xfId="11924" xr:uid="{00000000-0005-0000-0000-00004A690000}"/>
    <cellStyle name="Normal 8 5 3 2 4 2" xfId="31639" xr:uid="{00000000-0005-0000-0000-00004B690000}"/>
    <cellStyle name="Normal 8 5 3 2 5" xfId="21782" xr:uid="{00000000-0005-0000-0000-00004C690000}"/>
    <cellStyle name="Normal 8 5 3 3" xfId="3292" xr:uid="{00000000-0005-0000-0000-00004D690000}"/>
    <cellStyle name="Normal 8 5 3 3 2" xfId="8224" xr:uid="{00000000-0005-0000-0000-00004E690000}"/>
    <cellStyle name="Normal 8 5 3 3 2 2" xfId="18084" xr:uid="{00000000-0005-0000-0000-00004F690000}"/>
    <cellStyle name="Normal 8 5 3 3 2 2 2" xfId="37799" xr:uid="{00000000-0005-0000-0000-000050690000}"/>
    <cellStyle name="Normal 8 5 3 3 2 3" xfId="27942" xr:uid="{00000000-0005-0000-0000-000051690000}"/>
    <cellStyle name="Normal 8 5 3 3 3" xfId="13156" xr:uid="{00000000-0005-0000-0000-000052690000}"/>
    <cellStyle name="Normal 8 5 3 3 3 2" xfId="32871" xr:uid="{00000000-0005-0000-0000-000053690000}"/>
    <cellStyle name="Normal 8 5 3 3 4" xfId="23014" xr:uid="{00000000-0005-0000-0000-000054690000}"/>
    <cellStyle name="Normal 8 5 3 4" xfId="5760" xr:uid="{00000000-0005-0000-0000-000055690000}"/>
    <cellStyle name="Normal 8 5 3 4 2" xfId="15620" xr:uid="{00000000-0005-0000-0000-000056690000}"/>
    <cellStyle name="Normal 8 5 3 4 2 2" xfId="35335" xr:uid="{00000000-0005-0000-0000-000057690000}"/>
    <cellStyle name="Normal 8 5 3 4 3" xfId="25478" xr:uid="{00000000-0005-0000-0000-000058690000}"/>
    <cellStyle name="Normal 8 5 3 5" xfId="10692" xr:uid="{00000000-0005-0000-0000-000059690000}"/>
    <cellStyle name="Normal 8 5 3 5 2" xfId="30407" xr:uid="{00000000-0005-0000-0000-00005A690000}"/>
    <cellStyle name="Normal 8 5 3 6" xfId="20550" xr:uid="{00000000-0005-0000-0000-00005B690000}"/>
    <cellStyle name="Normal 8 5 4" xfId="1441" xr:uid="{00000000-0005-0000-0000-00005C690000}"/>
    <cellStyle name="Normal 8 5 4 2" xfId="3908" xr:uid="{00000000-0005-0000-0000-00005D690000}"/>
    <cellStyle name="Normal 8 5 4 2 2" xfId="8840" xr:uid="{00000000-0005-0000-0000-00005E690000}"/>
    <cellStyle name="Normal 8 5 4 2 2 2" xfId="18700" xr:uid="{00000000-0005-0000-0000-00005F690000}"/>
    <cellStyle name="Normal 8 5 4 2 2 2 2" xfId="38415" xr:uid="{00000000-0005-0000-0000-000060690000}"/>
    <cellStyle name="Normal 8 5 4 2 2 3" xfId="28558" xr:uid="{00000000-0005-0000-0000-000061690000}"/>
    <cellStyle name="Normal 8 5 4 2 3" xfId="13772" xr:uid="{00000000-0005-0000-0000-000062690000}"/>
    <cellStyle name="Normal 8 5 4 2 3 2" xfId="33487" xr:uid="{00000000-0005-0000-0000-000063690000}"/>
    <cellStyle name="Normal 8 5 4 2 4" xfId="23630" xr:uid="{00000000-0005-0000-0000-000064690000}"/>
    <cellStyle name="Normal 8 5 4 3" xfId="6376" xr:uid="{00000000-0005-0000-0000-000065690000}"/>
    <cellStyle name="Normal 8 5 4 3 2" xfId="16236" xr:uid="{00000000-0005-0000-0000-000066690000}"/>
    <cellStyle name="Normal 8 5 4 3 2 2" xfId="35951" xr:uid="{00000000-0005-0000-0000-000067690000}"/>
    <cellStyle name="Normal 8 5 4 3 3" xfId="26094" xr:uid="{00000000-0005-0000-0000-000068690000}"/>
    <cellStyle name="Normal 8 5 4 4" xfId="11308" xr:uid="{00000000-0005-0000-0000-000069690000}"/>
    <cellStyle name="Normal 8 5 4 4 2" xfId="31023" xr:uid="{00000000-0005-0000-0000-00006A690000}"/>
    <cellStyle name="Normal 8 5 4 5" xfId="21166" xr:uid="{00000000-0005-0000-0000-00006B690000}"/>
    <cellStyle name="Normal 8 5 5" xfId="2676" xr:uid="{00000000-0005-0000-0000-00006C690000}"/>
    <cellStyle name="Normal 8 5 5 2" xfId="7608" xr:uid="{00000000-0005-0000-0000-00006D690000}"/>
    <cellStyle name="Normal 8 5 5 2 2" xfId="17468" xr:uid="{00000000-0005-0000-0000-00006E690000}"/>
    <cellStyle name="Normal 8 5 5 2 2 2" xfId="37183" xr:uid="{00000000-0005-0000-0000-00006F690000}"/>
    <cellStyle name="Normal 8 5 5 2 3" xfId="27326" xr:uid="{00000000-0005-0000-0000-000070690000}"/>
    <cellStyle name="Normal 8 5 5 3" xfId="12540" xr:uid="{00000000-0005-0000-0000-000071690000}"/>
    <cellStyle name="Normal 8 5 5 3 2" xfId="32255" xr:uid="{00000000-0005-0000-0000-000072690000}"/>
    <cellStyle name="Normal 8 5 5 4" xfId="22398" xr:uid="{00000000-0005-0000-0000-000073690000}"/>
    <cellStyle name="Normal 8 5 6" xfId="5144" xr:uid="{00000000-0005-0000-0000-000074690000}"/>
    <cellStyle name="Normal 8 5 6 2" xfId="15004" xr:uid="{00000000-0005-0000-0000-000075690000}"/>
    <cellStyle name="Normal 8 5 6 2 2" xfId="34719" xr:uid="{00000000-0005-0000-0000-000076690000}"/>
    <cellStyle name="Normal 8 5 6 3" xfId="24862" xr:uid="{00000000-0005-0000-0000-000077690000}"/>
    <cellStyle name="Normal 8 5 7" xfId="10076" xr:uid="{00000000-0005-0000-0000-000078690000}"/>
    <cellStyle name="Normal 8 5 7 2" xfId="29791" xr:uid="{00000000-0005-0000-0000-000079690000}"/>
    <cellStyle name="Normal 8 5 8" xfId="19934" xr:uid="{00000000-0005-0000-0000-00007A690000}"/>
    <cellStyle name="Normal 8 6" xfId="356" xr:uid="{00000000-0005-0000-0000-00007B690000}"/>
    <cellStyle name="Normal 8 6 2" xfId="976" xr:uid="{00000000-0005-0000-0000-00007C690000}"/>
    <cellStyle name="Normal 8 6 2 2" xfId="2211" xr:uid="{00000000-0005-0000-0000-00007D690000}"/>
    <cellStyle name="Normal 8 6 2 2 2" xfId="4678" xr:uid="{00000000-0005-0000-0000-00007E690000}"/>
    <cellStyle name="Normal 8 6 2 2 2 2" xfId="9610" xr:uid="{00000000-0005-0000-0000-00007F690000}"/>
    <cellStyle name="Normal 8 6 2 2 2 2 2" xfId="19470" xr:uid="{00000000-0005-0000-0000-000080690000}"/>
    <cellStyle name="Normal 8 6 2 2 2 2 2 2" xfId="39185" xr:uid="{00000000-0005-0000-0000-000081690000}"/>
    <cellStyle name="Normal 8 6 2 2 2 2 3" xfId="29328" xr:uid="{00000000-0005-0000-0000-000082690000}"/>
    <cellStyle name="Normal 8 6 2 2 2 3" xfId="14542" xr:uid="{00000000-0005-0000-0000-000083690000}"/>
    <cellStyle name="Normal 8 6 2 2 2 3 2" xfId="34257" xr:uid="{00000000-0005-0000-0000-000084690000}"/>
    <cellStyle name="Normal 8 6 2 2 2 4" xfId="24400" xr:uid="{00000000-0005-0000-0000-000085690000}"/>
    <cellStyle name="Normal 8 6 2 2 3" xfId="7146" xr:uid="{00000000-0005-0000-0000-000086690000}"/>
    <cellStyle name="Normal 8 6 2 2 3 2" xfId="17006" xr:uid="{00000000-0005-0000-0000-000087690000}"/>
    <cellStyle name="Normal 8 6 2 2 3 2 2" xfId="36721" xr:uid="{00000000-0005-0000-0000-000088690000}"/>
    <cellStyle name="Normal 8 6 2 2 3 3" xfId="26864" xr:uid="{00000000-0005-0000-0000-000089690000}"/>
    <cellStyle name="Normal 8 6 2 2 4" xfId="12078" xr:uid="{00000000-0005-0000-0000-00008A690000}"/>
    <cellStyle name="Normal 8 6 2 2 4 2" xfId="31793" xr:uid="{00000000-0005-0000-0000-00008B690000}"/>
    <cellStyle name="Normal 8 6 2 2 5" xfId="21936" xr:uid="{00000000-0005-0000-0000-00008C690000}"/>
    <cellStyle name="Normal 8 6 2 3" xfId="3446" xr:uid="{00000000-0005-0000-0000-00008D690000}"/>
    <cellStyle name="Normal 8 6 2 3 2" xfId="8378" xr:uid="{00000000-0005-0000-0000-00008E690000}"/>
    <cellStyle name="Normal 8 6 2 3 2 2" xfId="18238" xr:uid="{00000000-0005-0000-0000-00008F690000}"/>
    <cellStyle name="Normal 8 6 2 3 2 2 2" xfId="37953" xr:uid="{00000000-0005-0000-0000-000090690000}"/>
    <cellStyle name="Normal 8 6 2 3 2 3" xfId="28096" xr:uid="{00000000-0005-0000-0000-000091690000}"/>
    <cellStyle name="Normal 8 6 2 3 3" xfId="13310" xr:uid="{00000000-0005-0000-0000-000092690000}"/>
    <cellStyle name="Normal 8 6 2 3 3 2" xfId="33025" xr:uid="{00000000-0005-0000-0000-000093690000}"/>
    <cellStyle name="Normal 8 6 2 3 4" xfId="23168" xr:uid="{00000000-0005-0000-0000-000094690000}"/>
    <cellStyle name="Normal 8 6 2 4" xfId="5914" xr:uid="{00000000-0005-0000-0000-000095690000}"/>
    <cellStyle name="Normal 8 6 2 4 2" xfId="15774" xr:uid="{00000000-0005-0000-0000-000096690000}"/>
    <cellStyle name="Normal 8 6 2 4 2 2" xfId="35489" xr:uid="{00000000-0005-0000-0000-000097690000}"/>
    <cellStyle name="Normal 8 6 2 4 3" xfId="25632" xr:uid="{00000000-0005-0000-0000-000098690000}"/>
    <cellStyle name="Normal 8 6 2 5" xfId="10846" xr:uid="{00000000-0005-0000-0000-000099690000}"/>
    <cellStyle name="Normal 8 6 2 5 2" xfId="30561" xr:uid="{00000000-0005-0000-0000-00009A690000}"/>
    <cellStyle name="Normal 8 6 2 6" xfId="20704" xr:uid="{00000000-0005-0000-0000-00009B690000}"/>
    <cellStyle name="Normal 8 6 3" xfId="1595" xr:uid="{00000000-0005-0000-0000-00009C690000}"/>
    <cellStyle name="Normal 8 6 3 2" xfId="4062" xr:uid="{00000000-0005-0000-0000-00009D690000}"/>
    <cellStyle name="Normal 8 6 3 2 2" xfId="8994" xr:uid="{00000000-0005-0000-0000-00009E690000}"/>
    <cellStyle name="Normal 8 6 3 2 2 2" xfId="18854" xr:uid="{00000000-0005-0000-0000-00009F690000}"/>
    <cellStyle name="Normal 8 6 3 2 2 2 2" xfId="38569" xr:uid="{00000000-0005-0000-0000-0000A0690000}"/>
    <cellStyle name="Normal 8 6 3 2 2 3" xfId="28712" xr:uid="{00000000-0005-0000-0000-0000A1690000}"/>
    <cellStyle name="Normal 8 6 3 2 3" xfId="13926" xr:uid="{00000000-0005-0000-0000-0000A2690000}"/>
    <cellStyle name="Normal 8 6 3 2 3 2" xfId="33641" xr:uid="{00000000-0005-0000-0000-0000A3690000}"/>
    <cellStyle name="Normal 8 6 3 2 4" xfId="23784" xr:uid="{00000000-0005-0000-0000-0000A4690000}"/>
    <cellStyle name="Normal 8 6 3 3" xfId="6530" xr:uid="{00000000-0005-0000-0000-0000A5690000}"/>
    <cellStyle name="Normal 8 6 3 3 2" xfId="16390" xr:uid="{00000000-0005-0000-0000-0000A6690000}"/>
    <cellStyle name="Normal 8 6 3 3 2 2" xfId="36105" xr:uid="{00000000-0005-0000-0000-0000A7690000}"/>
    <cellStyle name="Normal 8 6 3 3 3" xfId="26248" xr:uid="{00000000-0005-0000-0000-0000A8690000}"/>
    <cellStyle name="Normal 8 6 3 4" xfId="11462" xr:uid="{00000000-0005-0000-0000-0000A9690000}"/>
    <cellStyle name="Normal 8 6 3 4 2" xfId="31177" xr:uid="{00000000-0005-0000-0000-0000AA690000}"/>
    <cellStyle name="Normal 8 6 3 5" xfId="21320" xr:uid="{00000000-0005-0000-0000-0000AB690000}"/>
    <cellStyle name="Normal 8 6 4" xfId="2830" xr:uid="{00000000-0005-0000-0000-0000AC690000}"/>
    <cellStyle name="Normal 8 6 4 2" xfId="7762" xr:uid="{00000000-0005-0000-0000-0000AD690000}"/>
    <cellStyle name="Normal 8 6 4 2 2" xfId="17622" xr:uid="{00000000-0005-0000-0000-0000AE690000}"/>
    <cellStyle name="Normal 8 6 4 2 2 2" xfId="37337" xr:uid="{00000000-0005-0000-0000-0000AF690000}"/>
    <cellStyle name="Normal 8 6 4 2 3" xfId="27480" xr:uid="{00000000-0005-0000-0000-0000B0690000}"/>
    <cellStyle name="Normal 8 6 4 3" xfId="12694" xr:uid="{00000000-0005-0000-0000-0000B1690000}"/>
    <cellStyle name="Normal 8 6 4 3 2" xfId="32409" xr:uid="{00000000-0005-0000-0000-0000B2690000}"/>
    <cellStyle name="Normal 8 6 4 4" xfId="22552" xr:uid="{00000000-0005-0000-0000-0000B3690000}"/>
    <cellStyle name="Normal 8 6 5" xfId="5298" xr:uid="{00000000-0005-0000-0000-0000B4690000}"/>
    <cellStyle name="Normal 8 6 5 2" xfId="15158" xr:uid="{00000000-0005-0000-0000-0000B5690000}"/>
    <cellStyle name="Normal 8 6 5 2 2" xfId="34873" xr:uid="{00000000-0005-0000-0000-0000B6690000}"/>
    <cellStyle name="Normal 8 6 5 3" xfId="25016" xr:uid="{00000000-0005-0000-0000-0000B7690000}"/>
    <cellStyle name="Normal 8 6 6" xfId="10230" xr:uid="{00000000-0005-0000-0000-0000B8690000}"/>
    <cellStyle name="Normal 8 6 6 2" xfId="29945" xr:uid="{00000000-0005-0000-0000-0000B9690000}"/>
    <cellStyle name="Normal 8 6 7" xfId="20088" xr:uid="{00000000-0005-0000-0000-0000BA690000}"/>
    <cellStyle name="Normal 8 7" xfId="669" xr:uid="{00000000-0005-0000-0000-0000BB690000}"/>
    <cellStyle name="Normal 8 7 2" xfId="1905" xr:uid="{00000000-0005-0000-0000-0000BC690000}"/>
    <cellStyle name="Normal 8 7 2 2" xfId="4372" xr:uid="{00000000-0005-0000-0000-0000BD690000}"/>
    <cellStyle name="Normal 8 7 2 2 2" xfId="9304" xr:uid="{00000000-0005-0000-0000-0000BE690000}"/>
    <cellStyle name="Normal 8 7 2 2 2 2" xfId="19164" xr:uid="{00000000-0005-0000-0000-0000BF690000}"/>
    <cellStyle name="Normal 8 7 2 2 2 2 2" xfId="38879" xr:uid="{00000000-0005-0000-0000-0000C0690000}"/>
    <cellStyle name="Normal 8 7 2 2 2 3" xfId="29022" xr:uid="{00000000-0005-0000-0000-0000C1690000}"/>
    <cellStyle name="Normal 8 7 2 2 3" xfId="14236" xr:uid="{00000000-0005-0000-0000-0000C2690000}"/>
    <cellStyle name="Normal 8 7 2 2 3 2" xfId="33951" xr:uid="{00000000-0005-0000-0000-0000C3690000}"/>
    <cellStyle name="Normal 8 7 2 2 4" xfId="24094" xr:uid="{00000000-0005-0000-0000-0000C4690000}"/>
    <cellStyle name="Normal 8 7 2 3" xfId="6840" xr:uid="{00000000-0005-0000-0000-0000C5690000}"/>
    <cellStyle name="Normal 8 7 2 3 2" xfId="16700" xr:uid="{00000000-0005-0000-0000-0000C6690000}"/>
    <cellStyle name="Normal 8 7 2 3 2 2" xfId="36415" xr:uid="{00000000-0005-0000-0000-0000C7690000}"/>
    <cellStyle name="Normal 8 7 2 3 3" xfId="26558" xr:uid="{00000000-0005-0000-0000-0000C8690000}"/>
    <cellStyle name="Normal 8 7 2 4" xfId="11772" xr:uid="{00000000-0005-0000-0000-0000C9690000}"/>
    <cellStyle name="Normal 8 7 2 4 2" xfId="31487" xr:uid="{00000000-0005-0000-0000-0000CA690000}"/>
    <cellStyle name="Normal 8 7 2 5" xfId="21630" xr:uid="{00000000-0005-0000-0000-0000CB690000}"/>
    <cellStyle name="Normal 8 7 3" xfId="3140" xr:uid="{00000000-0005-0000-0000-0000CC690000}"/>
    <cellStyle name="Normal 8 7 3 2" xfId="8072" xr:uid="{00000000-0005-0000-0000-0000CD690000}"/>
    <cellStyle name="Normal 8 7 3 2 2" xfId="17932" xr:uid="{00000000-0005-0000-0000-0000CE690000}"/>
    <cellStyle name="Normal 8 7 3 2 2 2" xfId="37647" xr:uid="{00000000-0005-0000-0000-0000CF690000}"/>
    <cellStyle name="Normal 8 7 3 2 3" xfId="27790" xr:uid="{00000000-0005-0000-0000-0000D0690000}"/>
    <cellStyle name="Normal 8 7 3 3" xfId="13004" xr:uid="{00000000-0005-0000-0000-0000D1690000}"/>
    <cellStyle name="Normal 8 7 3 3 2" xfId="32719" xr:uid="{00000000-0005-0000-0000-0000D2690000}"/>
    <cellStyle name="Normal 8 7 3 4" xfId="22862" xr:uid="{00000000-0005-0000-0000-0000D3690000}"/>
    <cellStyle name="Normal 8 7 4" xfId="5608" xr:uid="{00000000-0005-0000-0000-0000D4690000}"/>
    <cellStyle name="Normal 8 7 4 2" xfId="15468" xr:uid="{00000000-0005-0000-0000-0000D5690000}"/>
    <cellStyle name="Normal 8 7 4 2 2" xfId="35183" xr:uid="{00000000-0005-0000-0000-0000D6690000}"/>
    <cellStyle name="Normal 8 7 4 3" xfId="25326" xr:uid="{00000000-0005-0000-0000-0000D7690000}"/>
    <cellStyle name="Normal 8 7 5" xfId="10540" xr:uid="{00000000-0005-0000-0000-0000D8690000}"/>
    <cellStyle name="Normal 8 7 5 2" xfId="30255" xr:uid="{00000000-0005-0000-0000-0000D9690000}"/>
    <cellStyle name="Normal 8 7 6" xfId="20398" xr:uid="{00000000-0005-0000-0000-0000DA690000}"/>
    <cellStyle name="Normal 8 8" xfId="1289" xr:uid="{00000000-0005-0000-0000-0000DB690000}"/>
    <cellStyle name="Normal 8 8 2" xfId="3756" xr:uid="{00000000-0005-0000-0000-0000DC690000}"/>
    <cellStyle name="Normal 8 8 2 2" xfId="8688" xr:uid="{00000000-0005-0000-0000-0000DD690000}"/>
    <cellStyle name="Normal 8 8 2 2 2" xfId="18548" xr:uid="{00000000-0005-0000-0000-0000DE690000}"/>
    <cellStyle name="Normal 8 8 2 2 2 2" xfId="38263" xr:uid="{00000000-0005-0000-0000-0000DF690000}"/>
    <cellStyle name="Normal 8 8 2 2 3" xfId="28406" xr:uid="{00000000-0005-0000-0000-0000E0690000}"/>
    <cellStyle name="Normal 8 8 2 3" xfId="13620" xr:uid="{00000000-0005-0000-0000-0000E1690000}"/>
    <cellStyle name="Normal 8 8 2 3 2" xfId="33335" xr:uid="{00000000-0005-0000-0000-0000E2690000}"/>
    <cellStyle name="Normal 8 8 2 4" xfId="23478" xr:uid="{00000000-0005-0000-0000-0000E3690000}"/>
    <cellStyle name="Normal 8 8 3" xfId="6224" xr:uid="{00000000-0005-0000-0000-0000E4690000}"/>
    <cellStyle name="Normal 8 8 3 2" xfId="16084" xr:uid="{00000000-0005-0000-0000-0000E5690000}"/>
    <cellStyle name="Normal 8 8 3 2 2" xfId="35799" xr:uid="{00000000-0005-0000-0000-0000E6690000}"/>
    <cellStyle name="Normal 8 8 3 3" xfId="25942" xr:uid="{00000000-0005-0000-0000-0000E7690000}"/>
    <cellStyle name="Normal 8 8 4" xfId="11156" xr:uid="{00000000-0005-0000-0000-0000E8690000}"/>
    <cellStyle name="Normal 8 8 4 2" xfId="30871" xr:uid="{00000000-0005-0000-0000-0000E9690000}"/>
    <cellStyle name="Normal 8 8 5" xfId="21014" xr:uid="{00000000-0005-0000-0000-0000EA690000}"/>
    <cellStyle name="Normal 8 9" xfId="2524" xr:uid="{00000000-0005-0000-0000-0000EB690000}"/>
    <cellStyle name="Normal 8 9 2" xfId="7456" xr:uid="{00000000-0005-0000-0000-0000EC690000}"/>
    <cellStyle name="Normal 8 9 2 2" xfId="17316" xr:uid="{00000000-0005-0000-0000-0000ED690000}"/>
    <cellStyle name="Normal 8 9 2 2 2" xfId="37031" xr:uid="{00000000-0005-0000-0000-0000EE690000}"/>
    <cellStyle name="Normal 8 9 2 3" xfId="27174" xr:uid="{00000000-0005-0000-0000-0000EF690000}"/>
    <cellStyle name="Normal 8 9 3" xfId="12388" xr:uid="{00000000-0005-0000-0000-0000F0690000}"/>
    <cellStyle name="Normal 8 9 3 2" xfId="32103" xr:uid="{00000000-0005-0000-0000-0000F1690000}"/>
    <cellStyle name="Normal 8 9 4" xfId="22246" xr:uid="{00000000-0005-0000-0000-0000F2690000}"/>
    <cellStyle name="Normal 9" xfId="22" xr:uid="{00000000-0005-0000-0000-0000F3690000}"/>
    <cellStyle name="Normal 9 2" xfId="31" xr:uid="{00000000-0005-0000-0000-0000F4690000}"/>
    <cellStyle name="Normal_CALCULO " xfId="39490" xr:uid="{00000000-0005-0000-0000-0000F5690000}"/>
    <cellStyle name="Normal_CALCULO DE BARRAS" xfId="4" xr:uid="{00000000-0005-0000-0000-0000F6690000}"/>
    <cellStyle name="Porcentaje" xfId="39492" builtinId="5"/>
    <cellStyle name="Porcentaje 10" xfId="101" xr:uid="{00000000-0005-0000-0000-0000F8690000}"/>
    <cellStyle name="Porcentaje 10 2" xfId="261" xr:uid="{00000000-0005-0000-0000-0000F9690000}"/>
    <cellStyle name="Porcentaje 10 2 2" xfId="575" xr:uid="{00000000-0005-0000-0000-0000FA690000}"/>
    <cellStyle name="Porcentaje 10 2 2 2" xfId="1195" xr:uid="{00000000-0005-0000-0000-0000FB690000}"/>
    <cellStyle name="Porcentaje 10 2 2 2 2" xfId="2430" xr:uid="{00000000-0005-0000-0000-0000FC690000}"/>
    <cellStyle name="Porcentaje 10 2 2 2 2 2" xfId="4897" xr:uid="{00000000-0005-0000-0000-0000FD690000}"/>
    <cellStyle name="Porcentaje 10 2 2 2 2 2 2" xfId="9829" xr:uid="{00000000-0005-0000-0000-0000FE690000}"/>
    <cellStyle name="Porcentaje 10 2 2 2 2 2 2 2" xfId="19689" xr:uid="{00000000-0005-0000-0000-0000FF690000}"/>
    <cellStyle name="Porcentaje 10 2 2 2 2 2 2 2 2" xfId="39404" xr:uid="{00000000-0005-0000-0000-0000006A0000}"/>
    <cellStyle name="Porcentaje 10 2 2 2 2 2 2 3" xfId="29547" xr:uid="{00000000-0005-0000-0000-0000016A0000}"/>
    <cellStyle name="Porcentaje 10 2 2 2 2 2 3" xfId="14761" xr:uid="{00000000-0005-0000-0000-0000026A0000}"/>
    <cellStyle name="Porcentaje 10 2 2 2 2 2 3 2" xfId="34476" xr:uid="{00000000-0005-0000-0000-0000036A0000}"/>
    <cellStyle name="Porcentaje 10 2 2 2 2 2 4" xfId="24619" xr:uid="{00000000-0005-0000-0000-0000046A0000}"/>
    <cellStyle name="Porcentaje 10 2 2 2 2 3" xfId="7365" xr:uid="{00000000-0005-0000-0000-0000056A0000}"/>
    <cellStyle name="Porcentaje 10 2 2 2 2 3 2" xfId="17225" xr:uid="{00000000-0005-0000-0000-0000066A0000}"/>
    <cellStyle name="Porcentaje 10 2 2 2 2 3 2 2" xfId="36940" xr:uid="{00000000-0005-0000-0000-0000076A0000}"/>
    <cellStyle name="Porcentaje 10 2 2 2 2 3 3" xfId="27083" xr:uid="{00000000-0005-0000-0000-0000086A0000}"/>
    <cellStyle name="Porcentaje 10 2 2 2 2 4" xfId="12297" xr:uid="{00000000-0005-0000-0000-0000096A0000}"/>
    <cellStyle name="Porcentaje 10 2 2 2 2 4 2" xfId="32012" xr:uid="{00000000-0005-0000-0000-00000A6A0000}"/>
    <cellStyle name="Porcentaje 10 2 2 2 2 5" xfId="22155" xr:uid="{00000000-0005-0000-0000-00000B6A0000}"/>
    <cellStyle name="Porcentaje 10 2 2 2 3" xfId="3665" xr:uid="{00000000-0005-0000-0000-00000C6A0000}"/>
    <cellStyle name="Porcentaje 10 2 2 2 3 2" xfId="8597" xr:uid="{00000000-0005-0000-0000-00000D6A0000}"/>
    <cellStyle name="Porcentaje 10 2 2 2 3 2 2" xfId="18457" xr:uid="{00000000-0005-0000-0000-00000E6A0000}"/>
    <cellStyle name="Porcentaje 10 2 2 2 3 2 2 2" xfId="38172" xr:uid="{00000000-0005-0000-0000-00000F6A0000}"/>
    <cellStyle name="Porcentaje 10 2 2 2 3 2 3" xfId="28315" xr:uid="{00000000-0005-0000-0000-0000106A0000}"/>
    <cellStyle name="Porcentaje 10 2 2 2 3 3" xfId="13529" xr:uid="{00000000-0005-0000-0000-0000116A0000}"/>
    <cellStyle name="Porcentaje 10 2 2 2 3 3 2" xfId="33244" xr:uid="{00000000-0005-0000-0000-0000126A0000}"/>
    <cellStyle name="Porcentaje 10 2 2 2 3 4" xfId="23387" xr:uid="{00000000-0005-0000-0000-0000136A0000}"/>
    <cellStyle name="Porcentaje 10 2 2 2 4" xfId="6133" xr:uid="{00000000-0005-0000-0000-0000146A0000}"/>
    <cellStyle name="Porcentaje 10 2 2 2 4 2" xfId="15993" xr:uid="{00000000-0005-0000-0000-0000156A0000}"/>
    <cellStyle name="Porcentaje 10 2 2 2 4 2 2" xfId="35708" xr:uid="{00000000-0005-0000-0000-0000166A0000}"/>
    <cellStyle name="Porcentaje 10 2 2 2 4 3" xfId="25851" xr:uid="{00000000-0005-0000-0000-0000176A0000}"/>
    <cellStyle name="Porcentaje 10 2 2 2 5" xfId="11065" xr:uid="{00000000-0005-0000-0000-0000186A0000}"/>
    <cellStyle name="Porcentaje 10 2 2 2 5 2" xfId="30780" xr:uid="{00000000-0005-0000-0000-0000196A0000}"/>
    <cellStyle name="Porcentaje 10 2 2 2 6" xfId="20923" xr:uid="{00000000-0005-0000-0000-00001A6A0000}"/>
    <cellStyle name="Porcentaje 10 2 2 3" xfId="1814" xr:uid="{00000000-0005-0000-0000-00001B6A0000}"/>
    <cellStyle name="Porcentaje 10 2 2 3 2" xfId="4281" xr:uid="{00000000-0005-0000-0000-00001C6A0000}"/>
    <cellStyle name="Porcentaje 10 2 2 3 2 2" xfId="9213" xr:uid="{00000000-0005-0000-0000-00001D6A0000}"/>
    <cellStyle name="Porcentaje 10 2 2 3 2 2 2" xfId="19073" xr:uid="{00000000-0005-0000-0000-00001E6A0000}"/>
    <cellStyle name="Porcentaje 10 2 2 3 2 2 2 2" xfId="38788" xr:uid="{00000000-0005-0000-0000-00001F6A0000}"/>
    <cellStyle name="Porcentaje 10 2 2 3 2 2 3" xfId="28931" xr:uid="{00000000-0005-0000-0000-0000206A0000}"/>
    <cellStyle name="Porcentaje 10 2 2 3 2 3" xfId="14145" xr:uid="{00000000-0005-0000-0000-0000216A0000}"/>
    <cellStyle name="Porcentaje 10 2 2 3 2 3 2" xfId="33860" xr:uid="{00000000-0005-0000-0000-0000226A0000}"/>
    <cellStyle name="Porcentaje 10 2 2 3 2 4" xfId="24003" xr:uid="{00000000-0005-0000-0000-0000236A0000}"/>
    <cellStyle name="Porcentaje 10 2 2 3 3" xfId="6749" xr:uid="{00000000-0005-0000-0000-0000246A0000}"/>
    <cellStyle name="Porcentaje 10 2 2 3 3 2" xfId="16609" xr:uid="{00000000-0005-0000-0000-0000256A0000}"/>
    <cellStyle name="Porcentaje 10 2 2 3 3 2 2" xfId="36324" xr:uid="{00000000-0005-0000-0000-0000266A0000}"/>
    <cellStyle name="Porcentaje 10 2 2 3 3 3" xfId="26467" xr:uid="{00000000-0005-0000-0000-0000276A0000}"/>
    <cellStyle name="Porcentaje 10 2 2 3 4" xfId="11681" xr:uid="{00000000-0005-0000-0000-0000286A0000}"/>
    <cellStyle name="Porcentaje 10 2 2 3 4 2" xfId="31396" xr:uid="{00000000-0005-0000-0000-0000296A0000}"/>
    <cellStyle name="Porcentaje 10 2 2 3 5" xfId="21539" xr:uid="{00000000-0005-0000-0000-00002A6A0000}"/>
    <cellStyle name="Porcentaje 10 2 2 4" xfId="3049" xr:uid="{00000000-0005-0000-0000-00002B6A0000}"/>
    <cellStyle name="Porcentaje 10 2 2 4 2" xfId="7981" xr:uid="{00000000-0005-0000-0000-00002C6A0000}"/>
    <cellStyle name="Porcentaje 10 2 2 4 2 2" xfId="17841" xr:uid="{00000000-0005-0000-0000-00002D6A0000}"/>
    <cellStyle name="Porcentaje 10 2 2 4 2 2 2" xfId="37556" xr:uid="{00000000-0005-0000-0000-00002E6A0000}"/>
    <cellStyle name="Porcentaje 10 2 2 4 2 3" xfId="27699" xr:uid="{00000000-0005-0000-0000-00002F6A0000}"/>
    <cellStyle name="Porcentaje 10 2 2 4 3" xfId="12913" xr:uid="{00000000-0005-0000-0000-0000306A0000}"/>
    <cellStyle name="Porcentaje 10 2 2 4 3 2" xfId="32628" xr:uid="{00000000-0005-0000-0000-0000316A0000}"/>
    <cellStyle name="Porcentaje 10 2 2 4 4" xfId="22771" xr:uid="{00000000-0005-0000-0000-0000326A0000}"/>
    <cellStyle name="Porcentaje 10 2 2 5" xfId="5517" xr:uid="{00000000-0005-0000-0000-0000336A0000}"/>
    <cellStyle name="Porcentaje 10 2 2 5 2" xfId="15377" xr:uid="{00000000-0005-0000-0000-0000346A0000}"/>
    <cellStyle name="Porcentaje 10 2 2 5 2 2" xfId="35092" xr:uid="{00000000-0005-0000-0000-0000356A0000}"/>
    <cellStyle name="Porcentaje 10 2 2 5 3" xfId="25235" xr:uid="{00000000-0005-0000-0000-0000366A0000}"/>
    <cellStyle name="Porcentaje 10 2 2 6" xfId="10449" xr:uid="{00000000-0005-0000-0000-0000376A0000}"/>
    <cellStyle name="Porcentaje 10 2 2 6 2" xfId="30164" xr:uid="{00000000-0005-0000-0000-0000386A0000}"/>
    <cellStyle name="Porcentaje 10 2 2 7" xfId="20307" xr:uid="{00000000-0005-0000-0000-0000396A0000}"/>
    <cellStyle name="Porcentaje 10 2 3" xfId="888" xr:uid="{00000000-0005-0000-0000-00003A6A0000}"/>
    <cellStyle name="Porcentaje 10 2 3 2" xfId="2124" xr:uid="{00000000-0005-0000-0000-00003B6A0000}"/>
    <cellStyle name="Porcentaje 10 2 3 2 2" xfId="4591" xr:uid="{00000000-0005-0000-0000-00003C6A0000}"/>
    <cellStyle name="Porcentaje 10 2 3 2 2 2" xfId="9523" xr:uid="{00000000-0005-0000-0000-00003D6A0000}"/>
    <cellStyle name="Porcentaje 10 2 3 2 2 2 2" xfId="19383" xr:uid="{00000000-0005-0000-0000-00003E6A0000}"/>
    <cellStyle name="Porcentaje 10 2 3 2 2 2 2 2" xfId="39098" xr:uid="{00000000-0005-0000-0000-00003F6A0000}"/>
    <cellStyle name="Porcentaje 10 2 3 2 2 2 3" xfId="29241" xr:uid="{00000000-0005-0000-0000-0000406A0000}"/>
    <cellStyle name="Porcentaje 10 2 3 2 2 3" xfId="14455" xr:uid="{00000000-0005-0000-0000-0000416A0000}"/>
    <cellStyle name="Porcentaje 10 2 3 2 2 3 2" xfId="34170" xr:uid="{00000000-0005-0000-0000-0000426A0000}"/>
    <cellStyle name="Porcentaje 10 2 3 2 2 4" xfId="24313" xr:uid="{00000000-0005-0000-0000-0000436A0000}"/>
    <cellStyle name="Porcentaje 10 2 3 2 3" xfId="7059" xr:uid="{00000000-0005-0000-0000-0000446A0000}"/>
    <cellStyle name="Porcentaje 10 2 3 2 3 2" xfId="16919" xr:uid="{00000000-0005-0000-0000-0000456A0000}"/>
    <cellStyle name="Porcentaje 10 2 3 2 3 2 2" xfId="36634" xr:uid="{00000000-0005-0000-0000-0000466A0000}"/>
    <cellStyle name="Porcentaje 10 2 3 2 3 3" xfId="26777" xr:uid="{00000000-0005-0000-0000-0000476A0000}"/>
    <cellStyle name="Porcentaje 10 2 3 2 4" xfId="11991" xr:uid="{00000000-0005-0000-0000-0000486A0000}"/>
    <cellStyle name="Porcentaje 10 2 3 2 4 2" xfId="31706" xr:uid="{00000000-0005-0000-0000-0000496A0000}"/>
    <cellStyle name="Porcentaje 10 2 3 2 5" xfId="21849" xr:uid="{00000000-0005-0000-0000-00004A6A0000}"/>
    <cellStyle name="Porcentaje 10 2 3 3" xfId="3359" xr:uid="{00000000-0005-0000-0000-00004B6A0000}"/>
    <cellStyle name="Porcentaje 10 2 3 3 2" xfId="8291" xr:uid="{00000000-0005-0000-0000-00004C6A0000}"/>
    <cellStyle name="Porcentaje 10 2 3 3 2 2" xfId="18151" xr:uid="{00000000-0005-0000-0000-00004D6A0000}"/>
    <cellStyle name="Porcentaje 10 2 3 3 2 2 2" xfId="37866" xr:uid="{00000000-0005-0000-0000-00004E6A0000}"/>
    <cellStyle name="Porcentaje 10 2 3 3 2 3" xfId="28009" xr:uid="{00000000-0005-0000-0000-00004F6A0000}"/>
    <cellStyle name="Porcentaje 10 2 3 3 3" xfId="13223" xr:uid="{00000000-0005-0000-0000-0000506A0000}"/>
    <cellStyle name="Porcentaje 10 2 3 3 3 2" xfId="32938" xr:uid="{00000000-0005-0000-0000-0000516A0000}"/>
    <cellStyle name="Porcentaje 10 2 3 3 4" xfId="23081" xr:uid="{00000000-0005-0000-0000-0000526A0000}"/>
    <cellStyle name="Porcentaje 10 2 3 4" xfId="5827" xr:uid="{00000000-0005-0000-0000-0000536A0000}"/>
    <cellStyle name="Porcentaje 10 2 3 4 2" xfId="15687" xr:uid="{00000000-0005-0000-0000-0000546A0000}"/>
    <cellStyle name="Porcentaje 10 2 3 4 2 2" xfId="35402" xr:uid="{00000000-0005-0000-0000-0000556A0000}"/>
    <cellStyle name="Porcentaje 10 2 3 4 3" xfId="25545" xr:uid="{00000000-0005-0000-0000-0000566A0000}"/>
    <cellStyle name="Porcentaje 10 2 3 5" xfId="10759" xr:uid="{00000000-0005-0000-0000-0000576A0000}"/>
    <cellStyle name="Porcentaje 10 2 3 5 2" xfId="30474" xr:uid="{00000000-0005-0000-0000-0000586A0000}"/>
    <cellStyle name="Porcentaje 10 2 3 6" xfId="20617" xr:uid="{00000000-0005-0000-0000-0000596A0000}"/>
    <cellStyle name="Porcentaje 10 2 4" xfId="1508" xr:uid="{00000000-0005-0000-0000-00005A6A0000}"/>
    <cellStyle name="Porcentaje 10 2 4 2" xfId="3975" xr:uid="{00000000-0005-0000-0000-00005B6A0000}"/>
    <cellStyle name="Porcentaje 10 2 4 2 2" xfId="8907" xr:uid="{00000000-0005-0000-0000-00005C6A0000}"/>
    <cellStyle name="Porcentaje 10 2 4 2 2 2" xfId="18767" xr:uid="{00000000-0005-0000-0000-00005D6A0000}"/>
    <cellStyle name="Porcentaje 10 2 4 2 2 2 2" xfId="38482" xr:uid="{00000000-0005-0000-0000-00005E6A0000}"/>
    <cellStyle name="Porcentaje 10 2 4 2 2 3" xfId="28625" xr:uid="{00000000-0005-0000-0000-00005F6A0000}"/>
    <cellStyle name="Porcentaje 10 2 4 2 3" xfId="13839" xr:uid="{00000000-0005-0000-0000-0000606A0000}"/>
    <cellStyle name="Porcentaje 10 2 4 2 3 2" xfId="33554" xr:uid="{00000000-0005-0000-0000-0000616A0000}"/>
    <cellStyle name="Porcentaje 10 2 4 2 4" xfId="23697" xr:uid="{00000000-0005-0000-0000-0000626A0000}"/>
    <cellStyle name="Porcentaje 10 2 4 3" xfId="6443" xr:uid="{00000000-0005-0000-0000-0000636A0000}"/>
    <cellStyle name="Porcentaje 10 2 4 3 2" xfId="16303" xr:uid="{00000000-0005-0000-0000-0000646A0000}"/>
    <cellStyle name="Porcentaje 10 2 4 3 2 2" xfId="36018" xr:uid="{00000000-0005-0000-0000-0000656A0000}"/>
    <cellStyle name="Porcentaje 10 2 4 3 3" xfId="26161" xr:uid="{00000000-0005-0000-0000-0000666A0000}"/>
    <cellStyle name="Porcentaje 10 2 4 4" xfId="11375" xr:uid="{00000000-0005-0000-0000-0000676A0000}"/>
    <cellStyle name="Porcentaje 10 2 4 4 2" xfId="31090" xr:uid="{00000000-0005-0000-0000-0000686A0000}"/>
    <cellStyle name="Porcentaje 10 2 4 5" xfId="21233" xr:uid="{00000000-0005-0000-0000-0000696A0000}"/>
    <cellStyle name="Porcentaje 10 2 5" xfId="2743" xr:uid="{00000000-0005-0000-0000-00006A6A0000}"/>
    <cellStyle name="Porcentaje 10 2 5 2" xfId="7675" xr:uid="{00000000-0005-0000-0000-00006B6A0000}"/>
    <cellStyle name="Porcentaje 10 2 5 2 2" xfId="17535" xr:uid="{00000000-0005-0000-0000-00006C6A0000}"/>
    <cellStyle name="Porcentaje 10 2 5 2 2 2" xfId="37250" xr:uid="{00000000-0005-0000-0000-00006D6A0000}"/>
    <cellStyle name="Porcentaje 10 2 5 2 3" xfId="27393" xr:uid="{00000000-0005-0000-0000-00006E6A0000}"/>
    <cellStyle name="Porcentaje 10 2 5 3" xfId="12607" xr:uid="{00000000-0005-0000-0000-00006F6A0000}"/>
    <cellStyle name="Porcentaje 10 2 5 3 2" xfId="32322" xr:uid="{00000000-0005-0000-0000-0000706A0000}"/>
    <cellStyle name="Porcentaje 10 2 5 4" xfId="22465" xr:uid="{00000000-0005-0000-0000-0000716A0000}"/>
    <cellStyle name="Porcentaje 10 2 6" xfId="5211" xr:uid="{00000000-0005-0000-0000-0000726A0000}"/>
    <cellStyle name="Porcentaje 10 2 6 2" xfId="15071" xr:uid="{00000000-0005-0000-0000-0000736A0000}"/>
    <cellStyle name="Porcentaje 10 2 6 2 2" xfId="34786" xr:uid="{00000000-0005-0000-0000-0000746A0000}"/>
    <cellStyle name="Porcentaje 10 2 6 3" xfId="24929" xr:uid="{00000000-0005-0000-0000-0000756A0000}"/>
    <cellStyle name="Porcentaje 10 2 7" xfId="10143" xr:uid="{00000000-0005-0000-0000-0000766A0000}"/>
    <cellStyle name="Porcentaje 10 2 7 2" xfId="29858" xr:uid="{00000000-0005-0000-0000-0000776A0000}"/>
    <cellStyle name="Porcentaje 10 2 8" xfId="20001" xr:uid="{00000000-0005-0000-0000-0000786A0000}"/>
    <cellStyle name="Porcentaje 10 3" xfId="423" xr:uid="{00000000-0005-0000-0000-0000796A0000}"/>
    <cellStyle name="Porcentaje 10 3 2" xfId="1043" xr:uid="{00000000-0005-0000-0000-00007A6A0000}"/>
    <cellStyle name="Porcentaje 10 3 2 2" xfId="2278" xr:uid="{00000000-0005-0000-0000-00007B6A0000}"/>
    <cellStyle name="Porcentaje 10 3 2 2 2" xfId="4745" xr:uid="{00000000-0005-0000-0000-00007C6A0000}"/>
    <cellStyle name="Porcentaje 10 3 2 2 2 2" xfId="9677" xr:uid="{00000000-0005-0000-0000-00007D6A0000}"/>
    <cellStyle name="Porcentaje 10 3 2 2 2 2 2" xfId="19537" xr:uid="{00000000-0005-0000-0000-00007E6A0000}"/>
    <cellStyle name="Porcentaje 10 3 2 2 2 2 2 2" xfId="39252" xr:uid="{00000000-0005-0000-0000-00007F6A0000}"/>
    <cellStyle name="Porcentaje 10 3 2 2 2 2 3" xfId="29395" xr:uid="{00000000-0005-0000-0000-0000806A0000}"/>
    <cellStyle name="Porcentaje 10 3 2 2 2 3" xfId="14609" xr:uid="{00000000-0005-0000-0000-0000816A0000}"/>
    <cellStyle name="Porcentaje 10 3 2 2 2 3 2" xfId="34324" xr:uid="{00000000-0005-0000-0000-0000826A0000}"/>
    <cellStyle name="Porcentaje 10 3 2 2 2 4" xfId="24467" xr:uid="{00000000-0005-0000-0000-0000836A0000}"/>
    <cellStyle name="Porcentaje 10 3 2 2 3" xfId="7213" xr:uid="{00000000-0005-0000-0000-0000846A0000}"/>
    <cellStyle name="Porcentaje 10 3 2 2 3 2" xfId="17073" xr:uid="{00000000-0005-0000-0000-0000856A0000}"/>
    <cellStyle name="Porcentaje 10 3 2 2 3 2 2" xfId="36788" xr:uid="{00000000-0005-0000-0000-0000866A0000}"/>
    <cellStyle name="Porcentaje 10 3 2 2 3 3" xfId="26931" xr:uid="{00000000-0005-0000-0000-0000876A0000}"/>
    <cellStyle name="Porcentaje 10 3 2 2 4" xfId="12145" xr:uid="{00000000-0005-0000-0000-0000886A0000}"/>
    <cellStyle name="Porcentaje 10 3 2 2 4 2" xfId="31860" xr:uid="{00000000-0005-0000-0000-0000896A0000}"/>
    <cellStyle name="Porcentaje 10 3 2 2 5" xfId="22003" xr:uid="{00000000-0005-0000-0000-00008A6A0000}"/>
    <cellStyle name="Porcentaje 10 3 2 3" xfId="3513" xr:uid="{00000000-0005-0000-0000-00008B6A0000}"/>
    <cellStyle name="Porcentaje 10 3 2 3 2" xfId="8445" xr:uid="{00000000-0005-0000-0000-00008C6A0000}"/>
    <cellStyle name="Porcentaje 10 3 2 3 2 2" xfId="18305" xr:uid="{00000000-0005-0000-0000-00008D6A0000}"/>
    <cellStyle name="Porcentaje 10 3 2 3 2 2 2" xfId="38020" xr:uid="{00000000-0005-0000-0000-00008E6A0000}"/>
    <cellStyle name="Porcentaje 10 3 2 3 2 3" xfId="28163" xr:uid="{00000000-0005-0000-0000-00008F6A0000}"/>
    <cellStyle name="Porcentaje 10 3 2 3 3" xfId="13377" xr:uid="{00000000-0005-0000-0000-0000906A0000}"/>
    <cellStyle name="Porcentaje 10 3 2 3 3 2" xfId="33092" xr:uid="{00000000-0005-0000-0000-0000916A0000}"/>
    <cellStyle name="Porcentaje 10 3 2 3 4" xfId="23235" xr:uid="{00000000-0005-0000-0000-0000926A0000}"/>
    <cellStyle name="Porcentaje 10 3 2 4" xfId="5981" xr:uid="{00000000-0005-0000-0000-0000936A0000}"/>
    <cellStyle name="Porcentaje 10 3 2 4 2" xfId="15841" xr:uid="{00000000-0005-0000-0000-0000946A0000}"/>
    <cellStyle name="Porcentaje 10 3 2 4 2 2" xfId="35556" xr:uid="{00000000-0005-0000-0000-0000956A0000}"/>
    <cellStyle name="Porcentaje 10 3 2 4 3" xfId="25699" xr:uid="{00000000-0005-0000-0000-0000966A0000}"/>
    <cellStyle name="Porcentaje 10 3 2 5" xfId="10913" xr:uid="{00000000-0005-0000-0000-0000976A0000}"/>
    <cellStyle name="Porcentaje 10 3 2 5 2" xfId="30628" xr:uid="{00000000-0005-0000-0000-0000986A0000}"/>
    <cellStyle name="Porcentaje 10 3 2 6" xfId="20771" xr:uid="{00000000-0005-0000-0000-0000996A0000}"/>
    <cellStyle name="Porcentaje 10 3 3" xfId="1662" xr:uid="{00000000-0005-0000-0000-00009A6A0000}"/>
    <cellStyle name="Porcentaje 10 3 3 2" xfId="4129" xr:uid="{00000000-0005-0000-0000-00009B6A0000}"/>
    <cellStyle name="Porcentaje 10 3 3 2 2" xfId="9061" xr:uid="{00000000-0005-0000-0000-00009C6A0000}"/>
    <cellStyle name="Porcentaje 10 3 3 2 2 2" xfId="18921" xr:uid="{00000000-0005-0000-0000-00009D6A0000}"/>
    <cellStyle name="Porcentaje 10 3 3 2 2 2 2" xfId="38636" xr:uid="{00000000-0005-0000-0000-00009E6A0000}"/>
    <cellStyle name="Porcentaje 10 3 3 2 2 3" xfId="28779" xr:uid="{00000000-0005-0000-0000-00009F6A0000}"/>
    <cellStyle name="Porcentaje 10 3 3 2 3" xfId="13993" xr:uid="{00000000-0005-0000-0000-0000A06A0000}"/>
    <cellStyle name="Porcentaje 10 3 3 2 3 2" xfId="33708" xr:uid="{00000000-0005-0000-0000-0000A16A0000}"/>
    <cellStyle name="Porcentaje 10 3 3 2 4" xfId="23851" xr:uid="{00000000-0005-0000-0000-0000A26A0000}"/>
    <cellStyle name="Porcentaje 10 3 3 3" xfId="6597" xr:uid="{00000000-0005-0000-0000-0000A36A0000}"/>
    <cellStyle name="Porcentaje 10 3 3 3 2" xfId="16457" xr:uid="{00000000-0005-0000-0000-0000A46A0000}"/>
    <cellStyle name="Porcentaje 10 3 3 3 2 2" xfId="36172" xr:uid="{00000000-0005-0000-0000-0000A56A0000}"/>
    <cellStyle name="Porcentaje 10 3 3 3 3" xfId="26315" xr:uid="{00000000-0005-0000-0000-0000A66A0000}"/>
    <cellStyle name="Porcentaje 10 3 3 4" xfId="11529" xr:uid="{00000000-0005-0000-0000-0000A76A0000}"/>
    <cellStyle name="Porcentaje 10 3 3 4 2" xfId="31244" xr:uid="{00000000-0005-0000-0000-0000A86A0000}"/>
    <cellStyle name="Porcentaje 10 3 3 5" xfId="21387" xr:uid="{00000000-0005-0000-0000-0000A96A0000}"/>
    <cellStyle name="Porcentaje 10 3 4" xfId="2897" xr:uid="{00000000-0005-0000-0000-0000AA6A0000}"/>
    <cellStyle name="Porcentaje 10 3 4 2" xfId="7829" xr:uid="{00000000-0005-0000-0000-0000AB6A0000}"/>
    <cellStyle name="Porcentaje 10 3 4 2 2" xfId="17689" xr:uid="{00000000-0005-0000-0000-0000AC6A0000}"/>
    <cellStyle name="Porcentaje 10 3 4 2 2 2" xfId="37404" xr:uid="{00000000-0005-0000-0000-0000AD6A0000}"/>
    <cellStyle name="Porcentaje 10 3 4 2 3" xfId="27547" xr:uid="{00000000-0005-0000-0000-0000AE6A0000}"/>
    <cellStyle name="Porcentaje 10 3 4 3" xfId="12761" xr:uid="{00000000-0005-0000-0000-0000AF6A0000}"/>
    <cellStyle name="Porcentaje 10 3 4 3 2" xfId="32476" xr:uid="{00000000-0005-0000-0000-0000B06A0000}"/>
    <cellStyle name="Porcentaje 10 3 4 4" xfId="22619" xr:uid="{00000000-0005-0000-0000-0000B16A0000}"/>
    <cellStyle name="Porcentaje 10 3 5" xfId="5365" xr:uid="{00000000-0005-0000-0000-0000B26A0000}"/>
    <cellStyle name="Porcentaje 10 3 5 2" xfId="15225" xr:uid="{00000000-0005-0000-0000-0000B36A0000}"/>
    <cellStyle name="Porcentaje 10 3 5 2 2" xfId="34940" xr:uid="{00000000-0005-0000-0000-0000B46A0000}"/>
    <cellStyle name="Porcentaje 10 3 5 3" xfId="25083" xr:uid="{00000000-0005-0000-0000-0000B56A0000}"/>
    <cellStyle name="Porcentaje 10 3 6" xfId="10297" xr:uid="{00000000-0005-0000-0000-0000B66A0000}"/>
    <cellStyle name="Porcentaje 10 3 6 2" xfId="30012" xr:uid="{00000000-0005-0000-0000-0000B76A0000}"/>
    <cellStyle name="Porcentaje 10 3 7" xfId="20155" xr:uid="{00000000-0005-0000-0000-0000B86A0000}"/>
    <cellStyle name="Porcentaje 10 4" xfId="736" xr:uid="{00000000-0005-0000-0000-0000B96A0000}"/>
    <cellStyle name="Porcentaje 10 4 2" xfId="1972" xr:uid="{00000000-0005-0000-0000-0000BA6A0000}"/>
    <cellStyle name="Porcentaje 10 4 2 2" xfId="4439" xr:uid="{00000000-0005-0000-0000-0000BB6A0000}"/>
    <cellStyle name="Porcentaje 10 4 2 2 2" xfId="9371" xr:uid="{00000000-0005-0000-0000-0000BC6A0000}"/>
    <cellStyle name="Porcentaje 10 4 2 2 2 2" xfId="19231" xr:uid="{00000000-0005-0000-0000-0000BD6A0000}"/>
    <cellStyle name="Porcentaje 10 4 2 2 2 2 2" xfId="38946" xr:uid="{00000000-0005-0000-0000-0000BE6A0000}"/>
    <cellStyle name="Porcentaje 10 4 2 2 2 3" xfId="29089" xr:uid="{00000000-0005-0000-0000-0000BF6A0000}"/>
    <cellStyle name="Porcentaje 10 4 2 2 3" xfId="14303" xr:uid="{00000000-0005-0000-0000-0000C06A0000}"/>
    <cellStyle name="Porcentaje 10 4 2 2 3 2" xfId="34018" xr:uid="{00000000-0005-0000-0000-0000C16A0000}"/>
    <cellStyle name="Porcentaje 10 4 2 2 4" xfId="24161" xr:uid="{00000000-0005-0000-0000-0000C26A0000}"/>
    <cellStyle name="Porcentaje 10 4 2 3" xfId="6907" xr:uid="{00000000-0005-0000-0000-0000C36A0000}"/>
    <cellStyle name="Porcentaje 10 4 2 3 2" xfId="16767" xr:uid="{00000000-0005-0000-0000-0000C46A0000}"/>
    <cellStyle name="Porcentaje 10 4 2 3 2 2" xfId="36482" xr:uid="{00000000-0005-0000-0000-0000C56A0000}"/>
    <cellStyle name="Porcentaje 10 4 2 3 3" xfId="26625" xr:uid="{00000000-0005-0000-0000-0000C66A0000}"/>
    <cellStyle name="Porcentaje 10 4 2 4" xfId="11839" xr:uid="{00000000-0005-0000-0000-0000C76A0000}"/>
    <cellStyle name="Porcentaje 10 4 2 4 2" xfId="31554" xr:uid="{00000000-0005-0000-0000-0000C86A0000}"/>
    <cellStyle name="Porcentaje 10 4 2 5" xfId="21697" xr:uid="{00000000-0005-0000-0000-0000C96A0000}"/>
    <cellStyle name="Porcentaje 10 4 3" xfId="3207" xr:uid="{00000000-0005-0000-0000-0000CA6A0000}"/>
    <cellStyle name="Porcentaje 10 4 3 2" xfId="8139" xr:uid="{00000000-0005-0000-0000-0000CB6A0000}"/>
    <cellStyle name="Porcentaje 10 4 3 2 2" xfId="17999" xr:uid="{00000000-0005-0000-0000-0000CC6A0000}"/>
    <cellStyle name="Porcentaje 10 4 3 2 2 2" xfId="37714" xr:uid="{00000000-0005-0000-0000-0000CD6A0000}"/>
    <cellStyle name="Porcentaje 10 4 3 2 3" xfId="27857" xr:uid="{00000000-0005-0000-0000-0000CE6A0000}"/>
    <cellStyle name="Porcentaje 10 4 3 3" xfId="13071" xr:uid="{00000000-0005-0000-0000-0000CF6A0000}"/>
    <cellStyle name="Porcentaje 10 4 3 3 2" xfId="32786" xr:uid="{00000000-0005-0000-0000-0000D06A0000}"/>
    <cellStyle name="Porcentaje 10 4 3 4" xfId="22929" xr:uid="{00000000-0005-0000-0000-0000D16A0000}"/>
    <cellStyle name="Porcentaje 10 4 4" xfId="5675" xr:uid="{00000000-0005-0000-0000-0000D26A0000}"/>
    <cellStyle name="Porcentaje 10 4 4 2" xfId="15535" xr:uid="{00000000-0005-0000-0000-0000D36A0000}"/>
    <cellStyle name="Porcentaje 10 4 4 2 2" xfId="35250" xr:uid="{00000000-0005-0000-0000-0000D46A0000}"/>
    <cellStyle name="Porcentaje 10 4 4 3" xfId="25393" xr:uid="{00000000-0005-0000-0000-0000D56A0000}"/>
    <cellStyle name="Porcentaje 10 4 5" xfId="10607" xr:uid="{00000000-0005-0000-0000-0000D66A0000}"/>
    <cellStyle name="Porcentaje 10 4 5 2" xfId="30322" xr:uid="{00000000-0005-0000-0000-0000D76A0000}"/>
    <cellStyle name="Porcentaje 10 4 6" xfId="20465" xr:uid="{00000000-0005-0000-0000-0000D86A0000}"/>
    <cellStyle name="Porcentaje 10 5" xfId="1356" xr:uid="{00000000-0005-0000-0000-0000D96A0000}"/>
    <cellStyle name="Porcentaje 10 5 2" xfId="3823" xr:uid="{00000000-0005-0000-0000-0000DA6A0000}"/>
    <cellStyle name="Porcentaje 10 5 2 2" xfId="8755" xr:uid="{00000000-0005-0000-0000-0000DB6A0000}"/>
    <cellStyle name="Porcentaje 10 5 2 2 2" xfId="18615" xr:uid="{00000000-0005-0000-0000-0000DC6A0000}"/>
    <cellStyle name="Porcentaje 10 5 2 2 2 2" xfId="38330" xr:uid="{00000000-0005-0000-0000-0000DD6A0000}"/>
    <cellStyle name="Porcentaje 10 5 2 2 3" xfId="28473" xr:uid="{00000000-0005-0000-0000-0000DE6A0000}"/>
    <cellStyle name="Porcentaje 10 5 2 3" xfId="13687" xr:uid="{00000000-0005-0000-0000-0000DF6A0000}"/>
    <cellStyle name="Porcentaje 10 5 2 3 2" xfId="33402" xr:uid="{00000000-0005-0000-0000-0000E06A0000}"/>
    <cellStyle name="Porcentaje 10 5 2 4" xfId="23545" xr:uid="{00000000-0005-0000-0000-0000E16A0000}"/>
    <cellStyle name="Porcentaje 10 5 3" xfId="6291" xr:uid="{00000000-0005-0000-0000-0000E26A0000}"/>
    <cellStyle name="Porcentaje 10 5 3 2" xfId="16151" xr:uid="{00000000-0005-0000-0000-0000E36A0000}"/>
    <cellStyle name="Porcentaje 10 5 3 2 2" xfId="35866" xr:uid="{00000000-0005-0000-0000-0000E46A0000}"/>
    <cellStyle name="Porcentaje 10 5 3 3" xfId="26009" xr:uid="{00000000-0005-0000-0000-0000E56A0000}"/>
    <cellStyle name="Porcentaje 10 5 4" xfId="11223" xr:uid="{00000000-0005-0000-0000-0000E66A0000}"/>
    <cellStyle name="Porcentaje 10 5 4 2" xfId="30938" xr:uid="{00000000-0005-0000-0000-0000E76A0000}"/>
    <cellStyle name="Porcentaje 10 5 5" xfId="21081" xr:uid="{00000000-0005-0000-0000-0000E86A0000}"/>
    <cellStyle name="Porcentaje 10 6" xfId="2591" xr:uid="{00000000-0005-0000-0000-0000E96A0000}"/>
    <cellStyle name="Porcentaje 10 6 2" xfId="7523" xr:uid="{00000000-0005-0000-0000-0000EA6A0000}"/>
    <cellStyle name="Porcentaje 10 6 2 2" xfId="17383" xr:uid="{00000000-0005-0000-0000-0000EB6A0000}"/>
    <cellStyle name="Porcentaje 10 6 2 2 2" xfId="37098" xr:uid="{00000000-0005-0000-0000-0000EC6A0000}"/>
    <cellStyle name="Porcentaje 10 6 2 3" xfId="27241" xr:uid="{00000000-0005-0000-0000-0000ED6A0000}"/>
    <cellStyle name="Porcentaje 10 6 3" xfId="12455" xr:uid="{00000000-0005-0000-0000-0000EE6A0000}"/>
    <cellStyle name="Porcentaje 10 6 3 2" xfId="32170" xr:uid="{00000000-0005-0000-0000-0000EF6A0000}"/>
    <cellStyle name="Porcentaje 10 6 4" xfId="22313" xr:uid="{00000000-0005-0000-0000-0000F06A0000}"/>
    <cellStyle name="Porcentaje 10 7" xfId="5059" xr:uid="{00000000-0005-0000-0000-0000F16A0000}"/>
    <cellStyle name="Porcentaje 10 7 2" xfId="14919" xr:uid="{00000000-0005-0000-0000-0000F26A0000}"/>
    <cellStyle name="Porcentaje 10 7 2 2" xfId="34634" xr:uid="{00000000-0005-0000-0000-0000F36A0000}"/>
    <cellStyle name="Porcentaje 10 7 3" xfId="24777" xr:uid="{00000000-0005-0000-0000-0000F46A0000}"/>
    <cellStyle name="Porcentaje 10 8" xfId="9991" xr:uid="{00000000-0005-0000-0000-0000F56A0000}"/>
    <cellStyle name="Porcentaje 10 8 2" xfId="29706" xr:uid="{00000000-0005-0000-0000-0000F66A0000}"/>
    <cellStyle name="Porcentaje 10 9" xfId="19849" xr:uid="{00000000-0005-0000-0000-0000F76A0000}"/>
    <cellStyle name="Porcentaje 11" xfId="110" xr:uid="{00000000-0005-0000-0000-0000F86A0000}"/>
    <cellStyle name="Porcentaje 11 2" xfId="179" xr:uid="{00000000-0005-0000-0000-0000F96A0000}"/>
    <cellStyle name="Porcentaje 12" xfId="191" xr:uid="{00000000-0005-0000-0000-0000FA6A0000}"/>
    <cellStyle name="Porcentaje 12 2" xfId="340" xr:uid="{00000000-0005-0000-0000-0000FB6A0000}"/>
    <cellStyle name="Porcentaje 13" xfId="183" xr:uid="{00000000-0005-0000-0000-0000FC6A0000}"/>
    <cellStyle name="Porcentaje 13 2" xfId="500" xr:uid="{00000000-0005-0000-0000-0000FD6A0000}"/>
    <cellStyle name="Porcentaje 13 2 2" xfId="1120" xr:uid="{00000000-0005-0000-0000-0000FE6A0000}"/>
    <cellStyle name="Porcentaje 13 2 2 2" xfId="2355" xr:uid="{00000000-0005-0000-0000-0000FF6A0000}"/>
    <cellStyle name="Porcentaje 13 2 2 2 2" xfId="4822" xr:uid="{00000000-0005-0000-0000-0000006B0000}"/>
    <cellStyle name="Porcentaje 13 2 2 2 2 2" xfId="9754" xr:uid="{00000000-0005-0000-0000-0000016B0000}"/>
    <cellStyle name="Porcentaje 13 2 2 2 2 2 2" xfId="19614" xr:uid="{00000000-0005-0000-0000-0000026B0000}"/>
    <cellStyle name="Porcentaje 13 2 2 2 2 2 2 2" xfId="39329" xr:uid="{00000000-0005-0000-0000-0000036B0000}"/>
    <cellStyle name="Porcentaje 13 2 2 2 2 2 3" xfId="29472" xr:uid="{00000000-0005-0000-0000-0000046B0000}"/>
    <cellStyle name="Porcentaje 13 2 2 2 2 3" xfId="14686" xr:uid="{00000000-0005-0000-0000-0000056B0000}"/>
    <cellStyle name="Porcentaje 13 2 2 2 2 3 2" xfId="34401" xr:uid="{00000000-0005-0000-0000-0000066B0000}"/>
    <cellStyle name="Porcentaje 13 2 2 2 2 4" xfId="24544" xr:uid="{00000000-0005-0000-0000-0000076B0000}"/>
    <cellStyle name="Porcentaje 13 2 2 2 3" xfId="7290" xr:uid="{00000000-0005-0000-0000-0000086B0000}"/>
    <cellStyle name="Porcentaje 13 2 2 2 3 2" xfId="17150" xr:uid="{00000000-0005-0000-0000-0000096B0000}"/>
    <cellStyle name="Porcentaje 13 2 2 2 3 2 2" xfId="36865" xr:uid="{00000000-0005-0000-0000-00000A6B0000}"/>
    <cellStyle name="Porcentaje 13 2 2 2 3 3" xfId="27008" xr:uid="{00000000-0005-0000-0000-00000B6B0000}"/>
    <cellStyle name="Porcentaje 13 2 2 2 4" xfId="12222" xr:uid="{00000000-0005-0000-0000-00000C6B0000}"/>
    <cellStyle name="Porcentaje 13 2 2 2 4 2" xfId="31937" xr:uid="{00000000-0005-0000-0000-00000D6B0000}"/>
    <cellStyle name="Porcentaje 13 2 2 2 5" xfId="22080" xr:uid="{00000000-0005-0000-0000-00000E6B0000}"/>
    <cellStyle name="Porcentaje 13 2 2 3" xfId="3590" xr:uid="{00000000-0005-0000-0000-00000F6B0000}"/>
    <cellStyle name="Porcentaje 13 2 2 3 2" xfId="8522" xr:uid="{00000000-0005-0000-0000-0000106B0000}"/>
    <cellStyle name="Porcentaje 13 2 2 3 2 2" xfId="18382" xr:uid="{00000000-0005-0000-0000-0000116B0000}"/>
    <cellStyle name="Porcentaje 13 2 2 3 2 2 2" xfId="38097" xr:uid="{00000000-0005-0000-0000-0000126B0000}"/>
    <cellStyle name="Porcentaje 13 2 2 3 2 3" xfId="28240" xr:uid="{00000000-0005-0000-0000-0000136B0000}"/>
    <cellStyle name="Porcentaje 13 2 2 3 3" xfId="13454" xr:uid="{00000000-0005-0000-0000-0000146B0000}"/>
    <cellStyle name="Porcentaje 13 2 2 3 3 2" xfId="33169" xr:uid="{00000000-0005-0000-0000-0000156B0000}"/>
    <cellStyle name="Porcentaje 13 2 2 3 4" xfId="23312" xr:uid="{00000000-0005-0000-0000-0000166B0000}"/>
    <cellStyle name="Porcentaje 13 2 2 4" xfId="6058" xr:uid="{00000000-0005-0000-0000-0000176B0000}"/>
    <cellStyle name="Porcentaje 13 2 2 4 2" xfId="15918" xr:uid="{00000000-0005-0000-0000-0000186B0000}"/>
    <cellStyle name="Porcentaje 13 2 2 4 2 2" xfId="35633" xr:uid="{00000000-0005-0000-0000-0000196B0000}"/>
    <cellStyle name="Porcentaje 13 2 2 4 3" xfId="25776" xr:uid="{00000000-0005-0000-0000-00001A6B0000}"/>
    <cellStyle name="Porcentaje 13 2 2 5" xfId="10990" xr:uid="{00000000-0005-0000-0000-00001B6B0000}"/>
    <cellStyle name="Porcentaje 13 2 2 5 2" xfId="30705" xr:uid="{00000000-0005-0000-0000-00001C6B0000}"/>
    <cellStyle name="Porcentaje 13 2 2 6" xfId="20848" xr:uid="{00000000-0005-0000-0000-00001D6B0000}"/>
    <cellStyle name="Porcentaje 13 2 3" xfId="1739" xr:uid="{00000000-0005-0000-0000-00001E6B0000}"/>
    <cellStyle name="Porcentaje 13 2 3 2" xfId="4206" xr:uid="{00000000-0005-0000-0000-00001F6B0000}"/>
    <cellStyle name="Porcentaje 13 2 3 2 2" xfId="9138" xr:uid="{00000000-0005-0000-0000-0000206B0000}"/>
    <cellStyle name="Porcentaje 13 2 3 2 2 2" xfId="18998" xr:uid="{00000000-0005-0000-0000-0000216B0000}"/>
    <cellStyle name="Porcentaje 13 2 3 2 2 2 2" xfId="38713" xr:uid="{00000000-0005-0000-0000-0000226B0000}"/>
    <cellStyle name="Porcentaje 13 2 3 2 2 3" xfId="28856" xr:uid="{00000000-0005-0000-0000-0000236B0000}"/>
    <cellStyle name="Porcentaje 13 2 3 2 3" xfId="14070" xr:uid="{00000000-0005-0000-0000-0000246B0000}"/>
    <cellStyle name="Porcentaje 13 2 3 2 3 2" xfId="33785" xr:uid="{00000000-0005-0000-0000-0000256B0000}"/>
    <cellStyle name="Porcentaje 13 2 3 2 4" xfId="23928" xr:uid="{00000000-0005-0000-0000-0000266B0000}"/>
    <cellStyle name="Porcentaje 13 2 3 3" xfId="6674" xr:uid="{00000000-0005-0000-0000-0000276B0000}"/>
    <cellStyle name="Porcentaje 13 2 3 3 2" xfId="16534" xr:uid="{00000000-0005-0000-0000-0000286B0000}"/>
    <cellStyle name="Porcentaje 13 2 3 3 2 2" xfId="36249" xr:uid="{00000000-0005-0000-0000-0000296B0000}"/>
    <cellStyle name="Porcentaje 13 2 3 3 3" xfId="26392" xr:uid="{00000000-0005-0000-0000-00002A6B0000}"/>
    <cellStyle name="Porcentaje 13 2 3 4" xfId="11606" xr:uid="{00000000-0005-0000-0000-00002B6B0000}"/>
    <cellStyle name="Porcentaje 13 2 3 4 2" xfId="31321" xr:uid="{00000000-0005-0000-0000-00002C6B0000}"/>
    <cellStyle name="Porcentaje 13 2 3 5" xfId="21464" xr:uid="{00000000-0005-0000-0000-00002D6B0000}"/>
    <cellStyle name="Porcentaje 13 2 4" xfId="2974" xr:uid="{00000000-0005-0000-0000-00002E6B0000}"/>
    <cellStyle name="Porcentaje 13 2 4 2" xfId="7906" xr:uid="{00000000-0005-0000-0000-00002F6B0000}"/>
    <cellStyle name="Porcentaje 13 2 4 2 2" xfId="17766" xr:uid="{00000000-0005-0000-0000-0000306B0000}"/>
    <cellStyle name="Porcentaje 13 2 4 2 2 2" xfId="37481" xr:uid="{00000000-0005-0000-0000-0000316B0000}"/>
    <cellStyle name="Porcentaje 13 2 4 2 3" xfId="27624" xr:uid="{00000000-0005-0000-0000-0000326B0000}"/>
    <cellStyle name="Porcentaje 13 2 4 3" xfId="12838" xr:uid="{00000000-0005-0000-0000-0000336B0000}"/>
    <cellStyle name="Porcentaje 13 2 4 3 2" xfId="32553" xr:uid="{00000000-0005-0000-0000-0000346B0000}"/>
    <cellStyle name="Porcentaje 13 2 4 4" xfId="22696" xr:uid="{00000000-0005-0000-0000-0000356B0000}"/>
    <cellStyle name="Porcentaje 13 2 5" xfId="5442" xr:uid="{00000000-0005-0000-0000-0000366B0000}"/>
    <cellStyle name="Porcentaje 13 2 5 2" xfId="15302" xr:uid="{00000000-0005-0000-0000-0000376B0000}"/>
    <cellStyle name="Porcentaje 13 2 5 2 2" xfId="35017" xr:uid="{00000000-0005-0000-0000-0000386B0000}"/>
    <cellStyle name="Porcentaje 13 2 5 3" xfId="25160" xr:uid="{00000000-0005-0000-0000-0000396B0000}"/>
    <cellStyle name="Porcentaje 13 2 6" xfId="10374" xr:uid="{00000000-0005-0000-0000-00003A6B0000}"/>
    <cellStyle name="Porcentaje 13 2 6 2" xfId="30089" xr:uid="{00000000-0005-0000-0000-00003B6B0000}"/>
    <cellStyle name="Porcentaje 13 2 7" xfId="20232" xr:uid="{00000000-0005-0000-0000-00003C6B0000}"/>
    <cellStyle name="Porcentaje 13 3" xfId="813" xr:uid="{00000000-0005-0000-0000-00003D6B0000}"/>
    <cellStyle name="Porcentaje 13 3 2" xfId="2049" xr:uid="{00000000-0005-0000-0000-00003E6B0000}"/>
    <cellStyle name="Porcentaje 13 3 2 2" xfId="4516" xr:uid="{00000000-0005-0000-0000-00003F6B0000}"/>
    <cellStyle name="Porcentaje 13 3 2 2 2" xfId="9448" xr:uid="{00000000-0005-0000-0000-0000406B0000}"/>
    <cellStyle name="Porcentaje 13 3 2 2 2 2" xfId="19308" xr:uid="{00000000-0005-0000-0000-0000416B0000}"/>
    <cellStyle name="Porcentaje 13 3 2 2 2 2 2" xfId="39023" xr:uid="{00000000-0005-0000-0000-0000426B0000}"/>
    <cellStyle name="Porcentaje 13 3 2 2 2 3" xfId="29166" xr:uid="{00000000-0005-0000-0000-0000436B0000}"/>
    <cellStyle name="Porcentaje 13 3 2 2 3" xfId="14380" xr:uid="{00000000-0005-0000-0000-0000446B0000}"/>
    <cellStyle name="Porcentaje 13 3 2 2 3 2" xfId="34095" xr:uid="{00000000-0005-0000-0000-0000456B0000}"/>
    <cellStyle name="Porcentaje 13 3 2 2 4" xfId="24238" xr:uid="{00000000-0005-0000-0000-0000466B0000}"/>
    <cellStyle name="Porcentaje 13 3 2 3" xfId="6984" xr:uid="{00000000-0005-0000-0000-0000476B0000}"/>
    <cellStyle name="Porcentaje 13 3 2 3 2" xfId="16844" xr:uid="{00000000-0005-0000-0000-0000486B0000}"/>
    <cellStyle name="Porcentaje 13 3 2 3 2 2" xfId="36559" xr:uid="{00000000-0005-0000-0000-0000496B0000}"/>
    <cellStyle name="Porcentaje 13 3 2 3 3" xfId="26702" xr:uid="{00000000-0005-0000-0000-00004A6B0000}"/>
    <cellStyle name="Porcentaje 13 3 2 4" xfId="11916" xr:uid="{00000000-0005-0000-0000-00004B6B0000}"/>
    <cellStyle name="Porcentaje 13 3 2 4 2" xfId="31631" xr:uid="{00000000-0005-0000-0000-00004C6B0000}"/>
    <cellStyle name="Porcentaje 13 3 2 5" xfId="21774" xr:uid="{00000000-0005-0000-0000-00004D6B0000}"/>
    <cellStyle name="Porcentaje 13 3 3" xfId="3284" xr:uid="{00000000-0005-0000-0000-00004E6B0000}"/>
    <cellStyle name="Porcentaje 13 3 3 2" xfId="8216" xr:uid="{00000000-0005-0000-0000-00004F6B0000}"/>
    <cellStyle name="Porcentaje 13 3 3 2 2" xfId="18076" xr:uid="{00000000-0005-0000-0000-0000506B0000}"/>
    <cellStyle name="Porcentaje 13 3 3 2 2 2" xfId="37791" xr:uid="{00000000-0005-0000-0000-0000516B0000}"/>
    <cellStyle name="Porcentaje 13 3 3 2 3" xfId="27934" xr:uid="{00000000-0005-0000-0000-0000526B0000}"/>
    <cellStyle name="Porcentaje 13 3 3 3" xfId="13148" xr:uid="{00000000-0005-0000-0000-0000536B0000}"/>
    <cellStyle name="Porcentaje 13 3 3 3 2" xfId="32863" xr:uid="{00000000-0005-0000-0000-0000546B0000}"/>
    <cellStyle name="Porcentaje 13 3 3 4" xfId="23006" xr:uid="{00000000-0005-0000-0000-0000556B0000}"/>
    <cellStyle name="Porcentaje 13 3 4" xfId="5752" xr:uid="{00000000-0005-0000-0000-0000566B0000}"/>
    <cellStyle name="Porcentaje 13 3 4 2" xfId="15612" xr:uid="{00000000-0005-0000-0000-0000576B0000}"/>
    <cellStyle name="Porcentaje 13 3 4 2 2" xfId="35327" xr:uid="{00000000-0005-0000-0000-0000586B0000}"/>
    <cellStyle name="Porcentaje 13 3 4 3" xfId="25470" xr:uid="{00000000-0005-0000-0000-0000596B0000}"/>
    <cellStyle name="Porcentaje 13 3 5" xfId="10684" xr:uid="{00000000-0005-0000-0000-00005A6B0000}"/>
    <cellStyle name="Porcentaje 13 3 5 2" xfId="30399" xr:uid="{00000000-0005-0000-0000-00005B6B0000}"/>
    <cellStyle name="Porcentaje 13 3 6" xfId="20542" xr:uid="{00000000-0005-0000-0000-00005C6B0000}"/>
    <cellStyle name="Porcentaje 13 4" xfId="1433" xr:uid="{00000000-0005-0000-0000-00005D6B0000}"/>
    <cellStyle name="Porcentaje 13 4 2" xfId="3900" xr:uid="{00000000-0005-0000-0000-00005E6B0000}"/>
    <cellStyle name="Porcentaje 13 4 2 2" xfId="8832" xr:uid="{00000000-0005-0000-0000-00005F6B0000}"/>
    <cellStyle name="Porcentaje 13 4 2 2 2" xfId="18692" xr:uid="{00000000-0005-0000-0000-0000606B0000}"/>
    <cellStyle name="Porcentaje 13 4 2 2 2 2" xfId="38407" xr:uid="{00000000-0005-0000-0000-0000616B0000}"/>
    <cellStyle name="Porcentaje 13 4 2 2 3" xfId="28550" xr:uid="{00000000-0005-0000-0000-0000626B0000}"/>
    <cellStyle name="Porcentaje 13 4 2 3" xfId="13764" xr:uid="{00000000-0005-0000-0000-0000636B0000}"/>
    <cellStyle name="Porcentaje 13 4 2 3 2" xfId="33479" xr:uid="{00000000-0005-0000-0000-0000646B0000}"/>
    <cellStyle name="Porcentaje 13 4 2 4" xfId="23622" xr:uid="{00000000-0005-0000-0000-0000656B0000}"/>
    <cellStyle name="Porcentaje 13 4 3" xfId="6368" xr:uid="{00000000-0005-0000-0000-0000666B0000}"/>
    <cellStyle name="Porcentaje 13 4 3 2" xfId="16228" xr:uid="{00000000-0005-0000-0000-0000676B0000}"/>
    <cellStyle name="Porcentaje 13 4 3 2 2" xfId="35943" xr:uid="{00000000-0005-0000-0000-0000686B0000}"/>
    <cellStyle name="Porcentaje 13 4 3 3" xfId="26086" xr:uid="{00000000-0005-0000-0000-0000696B0000}"/>
    <cellStyle name="Porcentaje 13 4 4" xfId="11300" xr:uid="{00000000-0005-0000-0000-00006A6B0000}"/>
    <cellStyle name="Porcentaje 13 4 4 2" xfId="31015" xr:uid="{00000000-0005-0000-0000-00006B6B0000}"/>
    <cellStyle name="Porcentaje 13 4 5" xfId="21158" xr:uid="{00000000-0005-0000-0000-00006C6B0000}"/>
    <cellStyle name="Porcentaje 13 5" xfId="2668" xr:uid="{00000000-0005-0000-0000-00006D6B0000}"/>
    <cellStyle name="Porcentaje 13 5 2" xfId="7600" xr:uid="{00000000-0005-0000-0000-00006E6B0000}"/>
    <cellStyle name="Porcentaje 13 5 2 2" xfId="17460" xr:uid="{00000000-0005-0000-0000-00006F6B0000}"/>
    <cellStyle name="Porcentaje 13 5 2 2 2" xfId="37175" xr:uid="{00000000-0005-0000-0000-0000706B0000}"/>
    <cellStyle name="Porcentaje 13 5 2 3" xfId="27318" xr:uid="{00000000-0005-0000-0000-0000716B0000}"/>
    <cellStyle name="Porcentaje 13 5 3" xfId="12532" xr:uid="{00000000-0005-0000-0000-0000726B0000}"/>
    <cellStyle name="Porcentaje 13 5 3 2" xfId="32247" xr:uid="{00000000-0005-0000-0000-0000736B0000}"/>
    <cellStyle name="Porcentaje 13 5 4" xfId="22390" xr:uid="{00000000-0005-0000-0000-0000746B0000}"/>
    <cellStyle name="Porcentaje 13 6" xfId="5136" xr:uid="{00000000-0005-0000-0000-0000756B0000}"/>
    <cellStyle name="Porcentaje 13 6 2" xfId="14996" xr:uid="{00000000-0005-0000-0000-0000766B0000}"/>
    <cellStyle name="Porcentaje 13 6 2 2" xfId="34711" xr:uid="{00000000-0005-0000-0000-0000776B0000}"/>
    <cellStyle name="Porcentaje 13 6 3" xfId="24854" xr:uid="{00000000-0005-0000-0000-0000786B0000}"/>
    <cellStyle name="Porcentaje 13 7" xfId="10068" xr:uid="{00000000-0005-0000-0000-0000796B0000}"/>
    <cellStyle name="Porcentaje 13 7 2" xfId="29783" xr:uid="{00000000-0005-0000-0000-00007A6B0000}"/>
    <cellStyle name="Porcentaje 13 8" xfId="19926" xr:uid="{00000000-0005-0000-0000-00007B6B0000}"/>
    <cellStyle name="Porcentaje 14" xfId="338" xr:uid="{00000000-0005-0000-0000-00007C6B0000}"/>
    <cellStyle name="Porcentaje 15" xfId="353" xr:uid="{00000000-0005-0000-0000-00007D6B0000}"/>
    <cellStyle name="Porcentaje 16" xfId="345" xr:uid="{00000000-0005-0000-0000-00007E6B0000}"/>
    <cellStyle name="Porcentaje 16 2" xfId="967" xr:uid="{00000000-0005-0000-0000-00007F6B0000}"/>
    <cellStyle name="Porcentaje 16 2 2" xfId="2203" xr:uid="{00000000-0005-0000-0000-0000806B0000}"/>
    <cellStyle name="Porcentaje 16 2 2 2" xfId="4670" xr:uid="{00000000-0005-0000-0000-0000816B0000}"/>
    <cellStyle name="Porcentaje 16 2 2 2 2" xfId="9602" xr:uid="{00000000-0005-0000-0000-0000826B0000}"/>
    <cellStyle name="Porcentaje 16 2 2 2 2 2" xfId="19462" xr:uid="{00000000-0005-0000-0000-0000836B0000}"/>
    <cellStyle name="Porcentaje 16 2 2 2 2 2 2" xfId="39177" xr:uid="{00000000-0005-0000-0000-0000846B0000}"/>
    <cellStyle name="Porcentaje 16 2 2 2 2 3" xfId="29320" xr:uid="{00000000-0005-0000-0000-0000856B0000}"/>
    <cellStyle name="Porcentaje 16 2 2 2 3" xfId="14534" xr:uid="{00000000-0005-0000-0000-0000866B0000}"/>
    <cellStyle name="Porcentaje 16 2 2 2 3 2" xfId="34249" xr:uid="{00000000-0005-0000-0000-0000876B0000}"/>
    <cellStyle name="Porcentaje 16 2 2 2 4" xfId="24392" xr:uid="{00000000-0005-0000-0000-0000886B0000}"/>
    <cellStyle name="Porcentaje 16 2 2 3" xfId="7138" xr:uid="{00000000-0005-0000-0000-0000896B0000}"/>
    <cellStyle name="Porcentaje 16 2 2 3 2" xfId="16998" xr:uid="{00000000-0005-0000-0000-00008A6B0000}"/>
    <cellStyle name="Porcentaje 16 2 2 3 2 2" xfId="36713" xr:uid="{00000000-0005-0000-0000-00008B6B0000}"/>
    <cellStyle name="Porcentaje 16 2 2 3 3" xfId="26856" xr:uid="{00000000-0005-0000-0000-00008C6B0000}"/>
    <cellStyle name="Porcentaje 16 2 2 4" xfId="12070" xr:uid="{00000000-0005-0000-0000-00008D6B0000}"/>
    <cellStyle name="Porcentaje 16 2 2 4 2" xfId="31785" xr:uid="{00000000-0005-0000-0000-00008E6B0000}"/>
    <cellStyle name="Porcentaje 16 2 2 5" xfId="21928" xr:uid="{00000000-0005-0000-0000-00008F6B0000}"/>
    <cellStyle name="Porcentaje 16 2 3" xfId="3438" xr:uid="{00000000-0005-0000-0000-0000906B0000}"/>
    <cellStyle name="Porcentaje 16 2 3 2" xfId="8370" xr:uid="{00000000-0005-0000-0000-0000916B0000}"/>
    <cellStyle name="Porcentaje 16 2 3 2 2" xfId="18230" xr:uid="{00000000-0005-0000-0000-0000926B0000}"/>
    <cellStyle name="Porcentaje 16 2 3 2 2 2" xfId="37945" xr:uid="{00000000-0005-0000-0000-0000936B0000}"/>
    <cellStyle name="Porcentaje 16 2 3 2 3" xfId="28088" xr:uid="{00000000-0005-0000-0000-0000946B0000}"/>
    <cellStyle name="Porcentaje 16 2 3 3" xfId="13302" xr:uid="{00000000-0005-0000-0000-0000956B0000}"/>
    <cellStyle name="Porcentaje 16 2 3 3 2" xfId="33017" xr:uid="{00000000-0005-0000-0000-0000966B0000}"/>
    <cellStyle name="Porcentaje 16 2 3 4" xfId="23160" xr:uid="{00000000-0005-0000-0000-0000976B0000}"/>
    <cellStyle name="Porcentaje 16 2 4" xfId="5906" xr:uid="{00000000-0005-0000-0000-0000986B0000}"/>
    <cellStyle name="Porcentaje 16 2 4 2" xfId="15766" xr:uid="{00000000-0005-0000-0000-0000996B0000}"/>
    <cellStyle name="Porcentaje 16 2 4 2 2" xfId="35481" xr:uid="{00000000-0005-0000-0000-00009A6B0000}"/>
    <cellStyle name="Porcentaje 16 2 4 3" xfId="25624" xr:uid="{00000000-0005-0000-0000-00009B6B0000}"/>
    <cellStyle name="Porcentaje 16 2 5" xfId="10838" xr:uid="{00000000-0005-0000-0000-00009C6B0000}"/>
    <cellStyle name="Porcentaje 16 2 5 2" xfId="30553" xr:uid="{00000000-0005-0000-0000-00009D6B0000}"/>
    <cellStyle name="Porcentaje 16 2 6" xfId="20696" xr:uid="{00000000-0005-0000-0000-00009E6B0000}"/>
    <cellStyle name="Porcentaje 16 3" xfId="1587" xr:uid="{00000000-0005-0000-0000-00009F6B0000}"/>
    <cellStyle name="Porcentaje 16 3 2" xfId="4054" xr:uid="{00000000-0005-0000-0000-0000A06B0000}"/>
    <cellStyle name="Porcentaje 16 3 2 2" xfId="8986" xr:uid="{00000000-0005-0000-0000-0000A16B0000}"/>
    <cellStyle name="Porcentaje 16 3 2 2 2" xfId="18846" xr:uid="{00000000-0005-0000-0000-0000A26B0000}"/>
    <cellStyle name="Porcentaje 16 3 2 2 2 2" xfId="38561" xr:uid="{00000000-0005-0000-0000-0000A36B0000}"/>
    <cellStyle name="Porcentaje 16 3 2 2 3" xfId="28704" xr:uid="{00000000-0005-0000-0000-0000A46B0000}"/>
    <cellStyle name="Porcentaje 16 3 2 3" xfId="13918" xr:uid="{00000000-0005-0000-0000-0000A56B0000}"/>
    <cellStyle name="Porcentaje 16 3 2 3 2" xfId="33633" xr:uid="{00000000-0005-0000-0000-0000A66B0000}"/>
    <cellStyle name="Porcentaje 16 3 2 4" xfId="23776" xr:uid="{00000000-0005-0000-0000-0000A76B0000}"/>
    <cellStyle name="Porcentaje 16 3 3" xfId="6522" xr:uid="{00000000-0005-0000-0000-0000A86B0000}"/>
    <cellStyle name="Porcentaje 16 3 3 2" xfId="16382" xr:uid="{00000000-0005-0000-0000-0000A96B0000}"/>
    <cellStyle name="Porcentaje 16 3 3 2 2" xfId="36097" xr:uid="{00000000-0005-0000-0000-0000AA6B0000}"/>
    <cellStyle name="Porcentaje 16 3 3 3" xfId="26240" xr:uid="{00000000-0005-0000-0000-0000AB6B0000}"/>
    <cellStyle name="Porcentaje 16 3 4" xfId="11454" xr:uid="{00000000-0005-0000-0000-0000AC6B0000}"/>
    <cellStyle name="Porcentaje 16 3 4 2" xfId="31169" xr:uid="{00000000-0005-0000-0000-0000AD6B0000}"/>
    <cellStyle name="Porcentaje 16 3 5" xfId="21312" xr:uid="{00000000-0005-0000-0000-0000AE6B0000}"/>
    <cellStyle name="Porcentaje 16 4" xfId="2822" xr:uid="{00000000-0005-0000-0000-0000AF6B0000}"/>
    <cellStyle name="Porcentaje 16 4 2" xfId="7754" xr:uid="{00000000-0005-0000-0000-0000B06B0000}"/>
    <cellStyle name="Porcentaje 16 4 2 2" xfId="17614" xr:uid="{00000000-0005-0000-0000-0000B16B0000}"/>
    <cellStyle name="Porcentaje 16 4 2 2 2" xfId="37329" xr:uid="{00000000-0005-0000-0000-0000B26B0000}"/>
    <cellStyle name="Porcentaje 16 4 2 3" xfId="27472" xr:uid="{00000000-0005-0000-0000-0000B36B0000}"/>
    <cellStyle name="Porcentaje 16 4 3" xfId="12686" xr:uid="{00000000-0005-0000-0000-0000B46B0000}"/>
    <cellStyle name="Porcentaje 16 4 3 2" xfId="32401" xr:uid="{00000000-0005-0000-0000-0000B56B0000}"/>
    <cellStyle name="Porcentaje 16 4 4" xfId="22544" xr:uid="{00000000-0005-0000-0000-0000B66B0000}"/>
    <cellStyle name="Porcentaje 16 5" xfId="5290" xr:uid="{00000000-0005-0000-0000-0000B76B0000}"/>
    <cellStyle name="Porcentaje 16 5 2" xfId="15150" xr:uid="{00000000-0005-0000-0000-0000B86B0000}"/>
    <cellStyle name="Porcentaje 16 5 2 2" xfId="34865" xr:uid="{00000000-0005-0000-0000-0000B96B0000}"/>
    <cellStyle name="Porcentaje 16 5 3" xfId="25008" xr:uid="{00000000-0005-0000-0000-0000BA6B0000}"/>
    <cellStyle name="Porcentaje 16 6" xfId="10222" xr:uid="{00000000-0005-0000-0000-0000BB6B0000}"/>
    <cellStyle name="Porcentaje 16 6 2" xfId="29937" xr:uid="{00000000-0005-0000-0000-0000BC6B0000}"/>
    <cellStyle name="Porcentaje 16 7" xfId="20080" xr:uid="{00000000-0005-0000-0000-0000BD6B0000}"/>
    <cellStyle name="Porcentaje 17" xfId="654" xr:uid="{00000000-0005-0000-0000-0000BE6B0000}"/>
    <cellStyle name="Porcentaje 17 2" xfId="1274" xr:uid="{00000000-0005-0000-0000-0000BF6B0000}"/>
    <cellStyle name="Porcentaje 17 2 2" xfId="2509" xr:uid="{00000000-0005-0000-0000-0000C06B0000}"/>
    <cellStyle name="Porcentaje 17 2 2 2" xfId="4976" xr:uid="{00000000-0005-0000-0000-0000C16B0000}"/>
    <cellStyle name="Porcentaje 17 2 2 2 2" xfId="9908" xr:uid="{00000000-0005-0000-0000-0000C26B0000}"/>
    <cellStyle name="Porcentaje 17 2 2 2 2 2" xfId="19768" xr:uid="{00000000-0005-0000-0000-0000C36B0000}"/>
    <cellStyle name="Porcentaje 17 2 2 2 2 2 2" xfId="39483" xr:uid="{00000000-0005-0000-0000-0000C46B0000}"/>
    <cellStyle name="Porcentaje 17 2 2 2 2 3" xfId="29626" xr:uid="{00000000-0005-0000-0000-0000C56B0000}"/>
    <cellStyle name="Porcentaje 17 2 2 2 3" xfId="14840" xr:uid="{00000000-0005-0000-0000-0000C66B0000}"/>
    <cellStyle name="Porcentaje 17 2 2 2 3 2" xfId="34555" xr:uid="{00000000-0005-0000-0000-0000C76B0000}"/>
    <cellStyle name="Porcentaje 17 2 2 2 4" xfId="24698" xr:uid="{00000000-0005-0000-0000-0000C86B0000}"/>
    <cellStyle name="Porcentaje 17 2 2 3" xfId="7444" xr:uid="{00000000-0005-0000-0000-0000C96B0000}"/>
    <cellStyle name="Porcentaje 17 2 2 3 2" xfId="17304" xr:uid="{00000000-0005-0000-0000-0000CA6B0000}"/>
    <cellStyle name="Porcentaje 17 2 2 3 2 2" xfId="37019" xr:uid="{00000000-0005-0000-0000-0000CB6B0000}"/>
    <cellStyle name="Porcentaje 17 2 2 3 3" xfId="27162" xr:uid="{00000000-0005-0000-0000-0000CC6B0000}"/>
    <cellStyle name="Porcentaje 17 2 2 4" xfId="12376" xr:uid="{00000000-0005-0000-0000-0000CD6B0000}"/>
    <cellStyle name="Porcentaje 17 2 2 4 2" xfId="32091" xr:uid="{00000000-0005-0000-0000-0000CE6B0000}"/>
    <cellStyle name="Porcentaje 17 2 2 5" xfId="22234" xr:uid="{00000000-0005-0000-0000-0000CF6B0000}"/>
    <cellStyle name="Porcentaje 17 2 3" xfId="3744" xr:uid="{00000000-0005-0000-0000-0000D06B0000}"/>
    <cellStyle name="Porcentaje 17 2 3 2" xfId="8676" xr:uid="{00000000-0005-0000-0000-0000D16B0000}"/>
    <cellStyle name="Porcentaje 17 2 3 2 2" xfId="18536" xr:uid="{00000000-0005-0000-0000-0000D26B0000}"/>
    <cellStyle name="Porcentaje 17 2 3 2 2 2" xfId="38251" xr:uid="{00000000-0005-0000-0000-0000D36B0000}"/>
    <cellStyle name="Porcentaje 17 2 3 2 3" xfId="28394" xr:uid="{00000000-0005-0000-0000-0000D46B0000}"/>
    <cellStyle name="Porcentaje 17 2 3 3" xfId="13608" xr:uid="{00000000-0005-0000-0000-0000D56B0000}"/>
    <cellStyle name="Porcentaje 17 2 3 3 2" xfId="33323" xr:uid="{00000000-0005-0000-0000-0000D66B0000}"/>
    <cellStyle name="Porcentaje 17 2 3 4" xfId="23466" xr:uid="{00000000-0005-0000-0000-0000D76B0000}"/>
    <cellStyle name="Porcentaje 17 2 4" xfId="6212" xr:uid="{00000000-0005-0000-0000-0000D86B0000}"/>
    <cellStyle name="Porcentaje 17 2 4 2" xfId="16072" xr:uid="{00000000-0005-0000-0000-0000D96B0000}"/>
    <cellStyle name="Porcentaje 17 2 4 2 2" xfId="35787" xr:uid="{00000000-0005-0000-0000-0000DA6B0000}"/>
    <cellStyle name="Porcentaje 17 2 4 3" xfId="25930" xr:uid="{00000000-0005-0000-0000-0000DB6B0000}"/>
    <cellStyle name="Porcentaje 17 2 5" xfId="11144" xr:uid="{00000000-0005-0000-0000-0000DC6B0000}"/>
    <cellStyle name="Porcentaje 17 2 5 2" xfId="30859" xr:uid="{00000000-0005-0000-0000-0000DD6B0000}"/>
    <cellStyle name="Porcentaje 17 2 6" xfId="21002" xr:uid="{00000000-0005-0000-0000-0000DE6B0000}"/>
    <cellStyle name="Porcentaje 17 3" xfId="1893" xr:uid="{00000000-0005-0000-0000-0000DF6B0000}"/>
    <cellStyle name="Porcentaje 17 3 2" xfId="4360" xr:uid="{00000000-0005-0000-0000-0000E06B0000}"/>
    <cellStyle name="Porcentaje 17 3 2 2" xfId="9292" xr:uid="{00000000-0005-0000-0000-0000E16B0000}"/>
    <cellStyle name="Porcentaje 17 3 2 2 2" xfId="19152" xr:uid="{00000000-0005-0000-0000-0000E26B0000}"/>
    <cellStyle name="Porcentaje 17 3 2 2 2 2" xfId="38867" xr:uid="{00000000-0005-0000-0000-0000E36B0000}"/>
    <cellStyle name="Porcentaje 17 3 2 2 3" xfId="29010" xr:uid="{00000000-0005-0000-0000-0000E46B0000}"/>
    <cellStyle name="Porcentaje 17 3 2 3" xfId="14224" xr:uid="{00000000-0005-0000-0000-0000E56B0000}"/>
    <cellStyle name="Porcentaje 17 3 2 3 2" xfId="33939" xr:uid="{00000000-0005-0000-0000-0000E66B0000}"/>
    <cellStyle name="Porcentaje 17 3 2 4" xfId="24082" xr:uid="{00000000-0005-0000-0000-0000E76B0000}"/>
    <cellStyle name="Porcentaje 17 3 3" xfId="6828" xr:uid="{00000000-0005-0000-0000-0000E86B0000}"/>
    <cellStyle name="Porcentaje 17 3 3 2" xfId="16688" xr:uid="{00000000-0005-0000-0000-0000E96B0000}"/>
    <cellStyle name="Porcentaje 17 3 3 2 2" xfId="36403" xr:uid="{00000000-0005-0000-0000-0000EA6B0000}"/>
    <cellStyle name="Porcentaje 17 3 3 3" xfId="26546" xr:uid="{00000000-0005-0000-0000-0000EB6B0000}"/>
    <cellStyle name="Porcentaje 17 3 4" xfId="11760" xr:uid="{00000000-0005-0000-0000-0000EC6B0000}"/>
    <cellStyle name="Porcentaje 17 3 4 2" xfId="31475" xr:uid="{00000000-0005-0000-0000-0000ED6B0000}"/>
    <cellStyle name="Porcentaje 17 3 5" xfId="21618" xr:uid="{00000000-0005-0000-0000-0000EE6B0000}"/>
    <cellStyle name="Porcentaje 17 4" xfId="3128" xr:uid="{00000000-0005-0000-0000-0000EF6B0000}"/>
    <cellStyle name="Porcentaje 17 4 2" xfId="8060" xr:uid="{00000000-0005-0000-0000-0000F06B0000}"/>
    <cellStyle name="Porcentaje 17 4 2 2" xfId="17920" xr:uid="{00000000-0005-0000-0000-0000F16B0000}"/>
    <cellStyle name="Porcentaje 17 4 2 2 2" xfId="37635" xr:uid="{00000000-0005-0000-0000-0000F26B0000}"/>
    <cellStyle name="Porcentaje 17 4 2 3" xfId="27778" xr:uid="{00000000-0005-0000-0000-0000F36B0000}"/>
    <cellStyle name="Porcentaje 17 4 3" xfId="12992" xr:uid="{00000000-0005-0000-0000-0000F46B0000}"/>
    <cellStyle name="Porcentaje 17 4 3 2" xfId="32707" xr:uid="{00000000-0005-0000-0000-0000F56B0000}"/>
    <cellStyle name="Porcentaje 17 4 4" xfId="22850" xr:uid="{00000000-0005-0000-0000-0000F66B0000}"/>
    <cellStyle name="Porcentaje 17 5" xfId="5596" xr:uid="{00000000-0005-0000-0000-0000F76B0000}"/>
    <cellStyle name="Porcentaje 17 5 2" xfId="15456" xr:uid="{00000000-0005-0000-0000-0000F86B0000}"/>
    <cellStyle name="Porcentaje 17 5 2 2" xfId="35171" xr:uid="{00000000-0005-0000-0000-0000F96B0000}"/>
    <cellStyle name="Porcentaje 17 5 3" xfId="25314" xr:uid="{00000000-0005-0000-0000-0000FA6B0000}"/>
    <cellStyle name="Porcentaje 17 6" xfId="10528" xr:uid="{00000000-0005-0000-0000-0000FB6B0000}"/>
    <cellStyle name="Porcentaje 17 6 2" xfId="30243" xr:uid="{00000000-0005-0000-0000-0000FC6B0000}"/>
    <cellStyle name="Porcentaje 17 7" xfId="20386" xr:uid="{00000000-0005-0000-0000-0000FD6B0000}"/>
    <cellStyle name="Porcentaje 18" xfId="666" xr:uid="{00000000-0005-0000-0000-0000FE6B0000}"/>
    <cellStyle name="Porcentaje 19" xfId="658" xr:uid="{00000000-0005-0000-0000-0000FF6B0000}"/>
    <cellStyle name="Porcentaje 19 2" xfId="1897" xr:uid="{00000000-0005-0000-0000-0000006C0000}"/>
    <cellStyle name="Porcentaje 19 2 2" xfId="4364" xr:uid="{00000000-0005-0000-0000-0000016C0000}"/>
    <cellStyle name="Porcentaje 19 2 2 2" xfId="9296" xr:uid="{00000000-0005-0000-0000-0000026C0000}"/>
    <cellStyle name="Porcentaje 19 2 2 2 2" xfId="19156" xr:uid="{00000000-0005-0000-0000-0000036C0000}"/>
    <cellStyle name="Porcentaje 19 2 2 2 2 2" xfId="38871" xr:uid="{00000000-0005-0000-0000-0000046C0000}"/>
    <cellStyle name="Porcentaje 19 2 2 2 3" xfId="29014" xr:uid="{00000000-0005-0000-0000-0000056C0000}"/>
    <cellStyle name="Porcentaje 19 2 2 3" xfId="14228" xr:uid="{00000000-0005-0000-0000-0000066C0000}"/>
    <cellStyle name="Porcentaje 19 2 2 3 2" xfId="33943" xr:uid="{00000000-0005-0000-0000-0000076C0000}"/>
    <cellStyle name="Porcentaje 19 2 2 4" xfId="24086" xr:uid="{00000000-0005-0000-0000-0000086C0000}"/>
    <cellStyle name="Porcentaje 19 2 3" xfId="6832" xr:uid="{00000000-0005-0000-0000-0000096C0000}"/>
    <cellStyle name="Porcentaje 19 2 3 2" xfId="16692" xr:uid="{00000000-0005-0000-0000-00000A6C0000}"/>
    <cellStyle name="Porcentaje 19 2 3 2 2" xfId="36407" xr:uid="{00000000-0005-0000-0000-00000B6C0000}"/>
    <cellStyle name="Porcentaje 19 2 3 3" xfId="26550" xr:uid="{00000000-0005-0000-0000-00000C6C0000}"/>
    <cellStyle name="Porcentaje 19 2 4" xfId="11764" xr:uid="{00000000-0005-0000-0000-00000D6C0000}"/>
    <cellStyle name="Porcentaje 19 2 4 2" xfId="31479" xr:uid="{00000000-0005-0000-0000-00000E6C0000}"/>
    <cellStyle name="Porcentaje 19 2 5" xfId="21622" xr:uid="{00000000-0005-0000-0000-00000F6C0000}"/>
    <cellStyle name="Porcentaje 19 3" xfId="3132" xr:uid="{00000000-0005-0000-0000-0000106C0000}"/>
    <cellStyle name="Porcentaje 19 3 2" xfId="8064" xr:uid="{00000000-0005-0000-0000-0000116C0000}"/>
    <cellStyle name="Porcentaje 19 3 2 2" xfId="17924" xr:uid="{00000000-0005-0000-0000-0000126C0000}"/>
    <cellStyle name="Porcentaje 19 3 2 2 2" xfId="37639" xr:uid="{00000000-0005-0000-0000-0000136C0000}"/>
    <cellStyle name="Porcentaje 19 3 2 3" xfId="27782" xr:uid="{00000000-0005-0000-0000-0000146C0000}"/>
    <cellStyle name="Porcentaje 19 3 3" xfId="12996" xr:uid="{00000000-0005-0000-0000-0000156C0000}"/>
    <cellStyle name="Porcentaje 19 3 3 2" xfId="32711" xr:uid="{00000000-0005-0000-0000-0000166C0000}"/>
    <cellStyle name="Porcentaje 19 3 4" xfId="22854" xr:uid="{00000000-0005-0000-0000-0000176C0000}"/>
    <cellStyle name="Porcentaje 19 4" xfId="5600" xr:uid="{00000000-0005-0000-0000-0000186C0000}"/>
    <cellStyle name="Porcentaje 19 4 2" xfId="15460" xr:uid="{00000000-0005-0000-0000-0000196C0000}"/>
    <cellStyle name="Porcentaje 19 4 2 2" xfId="35175" xr:uid="{00000000-0005-0000-0000-00001A6C0000}"/>
    <cellStyle name="Porcentaje 19 4 3" xfId="25318" xr:uid="{00000000-0005-0000-0000-00001B6C0000}"/>
    <cellStyle name="Porcentaje 19 5" xfId="10532" xr:uid="{00000000-0005-0000-0000-00001C6C0000}"/>
    <cellStyle name="Porcentaje 19 5 2" xfId="30247" xr:uid="{00000000-0005-0000-0000-00001D6C0000}"/>
    <cellStyle name="Porcentaje 19 6" xfId="20390" xr:uid="{00000000-0005-0000-0000-00001E6C0000}"/>
    <cellStyle name="Porcentaje 2" xfId="13" xr:uid="{00000000-0005-0000-0000-00001F6C0000}"/>
    <cellStyle name="Porcentaje 2 10" xfId="2519" xr:uid="{00000000-0005-0000-0000-0000206C0000}"/>
    <cellStyle name="Porcentaje 2 10 2" xfId="7452" xr:uid="{00000000-0005-0000-0000-0000216C0000}"/>
    <cellStyle name="Porcentaje 2 10 2 2" xfId="17312" xr:uid="{00000000-0005-0000-0000-0000226C0000}"/>
    <cellStyle name="Porcentaje 2 10 2 2 2" xfId="37027" xr:uid="{00000000-0005-0000-0000-0000236C0000}"/>
    <cellStyle name="Porcentaje 2 10 2 3" xfId="27170" xr:uid="{00000000-0005-0000-0000-0000246C0000}"/>
    <cellStyle name="Porcentaje 2 10 3" xfId="12384" xr:uid="{00000000-0005-0000-0000-0000256C0000}"/>
    <cellStyle name="Porcentaje 2 10 3 2" xfId="32099" xr:uid="{00000000-0005-0000-0000-0000266C0000}"/>
    <cellStyle name="Porcentaje 2 10 4" xfId="22242" xr:uid="{00000000-0005-0000-0000-0000276C0000}"/>
    <cellStyle name="Porcentaje 2 11" xfId="4987" xr:uid="{00000000-0005-0000-0000-0000286C0000}"/>
    <cellStyle name="Porcentaje 2 11 2" xfId="14848" xr:uid="{00000000-0005-0000-0000-0000296C0000}"/>
    <cellStyle name="Porcentaje 2 11 2 2" xfId="34563" xr:uid="{00000000-0005-0000-0000-00002A6C0000}"/>
    <cellStyle name="Porcentaje 2 11 3" xfId="24706" xr:uid="{00000000-0005-0000-0000-00002B6C0000}"/>
    <cellStyle name="Porcentaje 2 12" xfId="9919" xr:uid="{00000000-0005-0000-0000-00002C6C0000}"/>
    <cellStyle name="Porcentaje 2 12 2" xfId="29635" xr:uid="{00000000-0005-0000-0000-00002D6C0000}"/>
    <cellStyle name="Porcentaje 2 13" xfId="19778" xr:uid="{00000000-0005-0000-0000-00002E6C0000}"/>
    <cellStyle name="Porcentaje 2 2" xfId="26" xr:uid="{00000000-0005-0000-0000-00002F6C0000}"/>
    <cellStyle name="Porcentaje 2 2 10" xfId="4997" xr:uid="{00000000-0005-0000-0000-0000306C0000}"/>
    <cellStyle name="Porcentaje 2 2 10 2" xfId="14857" xr:uid="{00000000-0005-0000-0000-0000316C0000}"/>
    <cellStyle name="Porcentaje 2 2 10 2 2" xfId="34572" xr:uid="{00000000-0005-0000-0000-0000326C0000}"/>
    <cellStyle name="Porcentaje 2 2 10 3" xfId="24715" xr:uid="{00000000-0005-0000-0000-0000336C0000}"/>
    <cellStyle name="Porcentaje 2 2 11" xfId="9929" xr:uid="{00000000-0005-0000-0000-0000346C0000}"/>
    <cellStyle name="Porcentaje 2 2 11 2" xfId="29644" xr:uid="{00000000-0005-0000-0000-0000356C0000}"/>
    <cellStyle name="Porcentaje 2 2 12" xfId="19787" xr:uid="{00000000-0005-0000-0000-0000366C0000}"/>
    <cellStyle name="Porcentaje 2 2 2" xfId="51" xr:uid="{00000000-0005-0000-0000-0000376C0000}"/>
    <cellStyle name="Porcentaje 2 2 2 10" xfId="9948" xr:uid="{00000000-0005-0000-0000-0000386C0000}"/>
    <cellStyle name="Porcentaje 2 2 2 10 2" xfId="29663" xr:uid="{00000000-0005-0000-0000-0000396C0000}"/>
    <cellStyle name="Porcentaje 2 2 2 11" xfId="19806" xr:uid="{00000000-0005-0000-0000-00003A6C0000}"/>
    <cellStyle name="Porcentaje 2 2 2 2" xfId="94" xr:uid="{00000000-0005-0000-0000-00003B6C0000}"/>
    <cellStyle name="Porcentaje 2 2 2 2 10" xfId="19844" xr:uid="{00000000-0005-0000-0000-00003C6C0000}"/>
    <cellStyle name="Porcentaje 2 2 2 2 2" xfId="175" xr:uid="{00000000-0005-0000-0000-00003D6C0000}"/>
    <cellStyle name="Porcentaje 2 2 2 2 2 2" xfId="332" xr:uid="{00000000-0005-0000-0000-00003E6C0000}"/>
    <cellStyle name="Porcentaje 2 2 2 2 2 2 2" xfId="646" xr:uid="{00000000-0005-0000-0000-00003F6C0000}"/>
    <cellStyle name="Porcentaje 2 2 2 2 2 2 2 2" xfId="1266" xr:uid="{00000000-0005-0000-0000-0000406C0000}"/>
    <cellStyle name="Porcentaje 2 2 2 2 2 2 2 2 2" xfId="2501" xr:uid="{00000000-0005-0000-0000-0000416C0000}"/>
    <cellStyle name="Porcentaje 2 2 2 2 2 2 2 2 2 2" xfId="4968" xr:uid="{00000000-0005-0000-0000-0000426C0000}"/>
    <cellStyle name="Porcentaje 2 2 2 2 2 2 2 2 2 2 2" xfId="9900" xr:uid="{00000000-0005-0000-0000-0000436C0000}"/>
    <cellStyle name="Porcentaje 2 2 2 2 2 2 2 2 2 2 2 2" xfId="19760" xr:uid="{00000000-0005-0000-0000-0000446C0000}"/>
    <cellStyle name="Porcentaje 2 2 2 2 2 2 2 2 2 2 2 2 2" xfId="39475" xr:uid="{00000000-0005-0000-0000-0000456C0000}"/>
    <cellStyle name="Porcentaje 2 2 2 2 2 2 2 2 2 2 2 3" xfId="29618" xr:uid="{00000000-0005-0000-0000-0000466C0000}"/>
    <cellStyle name="Porcentaje 2 2 2 2 2 2 2 2 2 2 3" xfId="14832" xr:uid="{00000000-0005-0000-0000-0000476C0000}"/>
    <cellStyle name="Porcentaje 2 2 2 2 2 2 2 2 2 2 3 2" xfId="34547" xr:uid="{00000000-0005-0000-0000-0000486C0000}"/>
    <cellStyle name="Porcentaje 2 2 2 2 2 2 2 2 2 2 4" xfId="24690" xr:uid="{00000000-0005-0000-0000-0000496C0000}"/>
    <cellStyle name="Porcentaje 2 2 2 2 2 2 2 2 2 3" xfId="7436" xr:uid="{00000000-0005-0000-0000-00004A6C0000}"/>
    <cellStyle name="Porcentaje 2 2 2 2 2 2 2 2 2 3 2" xfId="17296" xr:uid="{00000000-0005-0000-0000-00004B6C0000}"/>
    <cellStyle name="Porcentaje 2 2 2 2 2 2 2 2 2 3 2 2" xfId="37011" xr:uid="{00000000-0005-0000-0000-00004C6C0000}"/>
    <cellStyle name="Porcentaje 2 2 2 2 2 2 2 2 2 3 3" xfId="27154" xr:uid="{00000000-0005-0000-0000-00004D6C0000}"/>
    <cellStyle name="Porcentaje 2 2 2 2 2 2 2 2 2 4" xfId="12368" xr:uid="{00000000-0005-0000-0000-00004E6C0000}"/>
    <cellStyle name="Porcentaje 2 2 2 2 2 2 2 2 2 4 2" xfId="32083" xr:uid="{00000000-0005-0000-0000-00004F6C0000}"/>
    <cellStyle name="Porcentaje 2 2 2 2 2 2 2 2 2 5" xfId="22226" xr:uid="{00000000-0005-0000-0000-0000506C0000}"/>
    <cellStyle name="Porcentaje 2 2 2 2 2 2 2 2 3" xfId="3736" xr:uid="{00000000-0005-0000-0000-0000516C0000}"/>
    <cellStyle name="Porcentaje 2 2 2 2 2 2 2 2 3 2" xfId="8668" xr:uid="{00000000-0005-0000-0000-0000526C0000}"/>
    <cellStyle name="Porcentaje 2 2 2 2 2 2 2 2 3 2 2" xfId="18528" xr:uid="{00000000-0005-0000-0000-0000536C0000}"/>
    <cellStyle name="Porcentaje 2 2 2 2 2 2 2 2 3 2 2 2" xfId="38243" xr:uid="{00000000-0005-0000-0000-0000546C0000}"/>
    <cellStyle name="Porcentaje 2 2 2 2 2 2 2 2 3 2 3" xfId="28386" xr:uid="{00000000-0005-0000-0000-0000556C0000}"/>
    <cellStyle name="Porcentaje 2 2 2 2 2 2 2 2 3 3" xfId="13600" xr:uid="{00000000-0005-0000-0000-0000566C0000}"/>
    <cellStyle name="Porcentaje 2 2 2 2 2 2 2 2 3 3 2" xfId="33315" xr:uid="{00000000-0005-0000-0000-0000576C0000}"/>
    <cellStyle name="Porcentaje 2 2 2 2 2 2 2 2 3 4" xfId="23458" xr:uid="{00000000-0005-0000-0000-0000586C0000}"/>
    <cellStyle name="Porcentaje 2 2 2 2 2 2 2 2 4" xfId="6204" xr:uid="{00000000-0005-0000-0000-0000596C0000}"/>
    <cellStyle name="Porcentaje 2 2 2 2 2 2 2 2 4 2" xfId="16064" xr:uid="{00000000-0005-0000-0000-00005A6C0000}"/>
    <cellStyle name="Porcentaje 2 2 2 2 2 2 2 2 4 2 2" xfId="35779" xr:uid="{00000000-0005-0000-0000-00005B6C0000}"/>
    <cellStyle name="Porcentaje 2 2 2 2 2 2 2 2 4 3" xfId="25922" xr:uid="{00000000-0005-0000-0000-00005C6C0000}"/>
    <cellStyle name="Porcentaje 2 2 2 2 2 2 2 2 5" xfId="11136" xr:uid="{00000000-0005-0000-0000-00005D6C0000}"/>
    <cellStyle name="Porcentaje 2 2 2 2 2 2 2 2 5 2" xfId="30851" xr:uid="{00000000-0005-0000-0000-00005E6C0000}"/>
    <cellStyle name="Porcentaje 2 2 2 2 2 2 2 2 6" xfId="20994" xr:uid="{00000000-0005-0000-0000-00005F6C0000}"/>
    <cellStyle name="Porcentaje 2 2 2 2 2 2 2 3" xfId="1885" xr:uid="{00000000-0005-0000-0000-0000606C0000}"/>
    <cellStyle name="Porcentaje 2 2 2 2 2 2 2 3 2" xfId="4352" xr:uid="{00000000-0005-0000-0000-0000616C0000}"/>
    <cellStyle name="Porcentaje 2 2 2 2 2 2 2 3 2 2" xfId="9284" xr:uid="{00000000-0005-0000-0000-0000626C0000}"/>
    <cellStyle name="Porcentaje 2 2 2 2 2 2 2 3 2 2 2" xfId="19144" xr:uid="{00000000-0005-0000-0000-0000636C0000}"/>
    <cellStyle name="Porcentaje 2 2 2 2 2 2 2 3 2 2 2 2" xfId="38859" xr:uid="{00000000-0005-0000-0000-0000646C0000}"/>
    <cellStyle name="Porcentaje 2 2 2 2 2 2 2 3 2 2 3" xfId="29002" xr:uid="{00000000-0005-0000-0000-0000656C0000}"/>
    <cellStyle name="Porcentaje 2 2 2 2 2 2 2 3 2 3" xfId="14216" xr:uid="{00000000-0005-0000-0000-0000666C0000}"/>
    <cellStyle name="Porcentaje 2 2 2 2 2 2 2 3 2 3 2" xfId="33931" xr:uid="{00000000-0005-0000-0000-0000676C0000}"/>
    <cellStyle name="Porcentaje 2 2 2 2 2 2 2 3 2 4" xfId="24074" xr:uid="{00000000-0005-0000-0000-0000686C0000}"/>
    <cellStyle name="Porcentaje 2 2 2 2 2 2 2 3 3" xfId="6820" xr:uid="{00000000-0005-0000-0000-0000696C0000}"/>
    <cellStyle name="Porcentaje 2 2 2 2 2 2 2 3 3 2" xfId="16680" xr:uid="{00000000-0005-0000-0000-00006A6C0000}"/>
    <cellStyle name="Porcentaje 2 2 2 2 2 2 2 3 3 2 2" xfId="36395" xr:uid="{00000000-0005-0000-0000-00006B6C0000}"/>
    <cellStyle name="Porcentaje 2 2 2 2 2 2 2 3 3 3" xfId="26538" xr:uid="{00000000-0005-0000-0000-00006C6C0000}"/>
    <cellStyle name="Porcentaje 2 2 2 2 2 2 2 3 4" xfId="11752" xr:uid="{00000000-0005-0000-0000-00006D6C0000}"/>
    <cellStyle name="Porcentaje 2 2 2 2 2 2 2 3 4 2" xfId="31467" xr:uid="{00000000-0005-0000-0000-00006E6C0000}"/>
    <cellStyle name="Porcentaje 2 2 2 2 2 2 2 3 5" xfId="21610" xr:uid="{00000000-0005-0000-0000-00006F6C0000}"/>
    <cellStyle name="Porcentaje 2 2 2 2 2 2 2 4" xfId="3120" xr:uid="{00000000-0005-0000-0000-0000706C0000}"/>
    <cellStyle name="Porcentaje 2 2 2 2 2 2 2 4 2" xfId="8052" xr:uid="{00000000-0005-0000-0000-0000716C0000}"/>
    <cellStyle name="Porcentaje 2 2 2 2 2 2 2 4 2 2" xfId="17912" xr:uid="{00000000-0005-0000-0000-0000726C0000}"/>
    <cellStyle name="Porcentaje 2 2 2 2 2 2 2 4 2 2 2" xfId="37627" xr:uid="{00000000-0005-0000-0000-0000736C0000}"/>
    <cellStyle name="Porcentaje 2 2 2 2 2 2 2 4 2 3" xfId="27770" xr:uid="{00000000-0005-0000-0000-0000746C0000}"/>
    <cellStyle name="Porcentaje 2 2 2 2 2 2 2 4 3" xfId="12984" xr:uid="{00000000-0005-0000-0000-0000756C0000}"/>
    <cellStyle name="Porcentaje 2 2 2 2 2 2 2 4 3 2" xfId="32699" xr:uid="{00000000-0005-0000-0000-0000766C0000}"/>
    <cellStyle name="Porcentaje 2 2 2 2 2 2 2 4 4" xfId="22842" xr:uid="{00000000-0005-0000-0000-0000776C0000}"/>
    <cellStyle name="Porcentaje 2 2 2 2 2 2 2 5" xfId="5588" xr:uid="{00000000-0005-0000-0000-0000786C0000}"/>
    <cellStyle name="Porcentaje 2 2 2 2 2 2 2 5 2" xfId="15448" xr:uid="{00000000-0005-0000-0000-0000796C0000}"/>
    <cellStyle name="Porcentaje 2 2 2 2 2 2 2 5 2 2" xfId="35163" xr:uid="{00000000-0005-0000-0000-00007A6C0000}"/>
    <cellStyle name="Porcentaje 2 2 2 2 2 2 2 5 3" xfId="25306" xr:uid="{00000000-0005-0000-0000-00007B6C0000}"/>
    <cellStyle name="Porcentaje 2 2 2 2 2 2 2 6" xfId="10520" xr:uid="{00000000-0005-0000-0000-00007C6C0000}"/>
    <cellStyle name="Porcentaje 2 2 2 2 2 2 2 6 2" xfId="30235" xr:uid="{00000000-0005-0000-0000-00007D6C0000}"/>
    <cellStyle name="Porcentaje 2 2 2 2 2 2 2 7" xfId="20378" xr:uid="{00000000-0005-0000-0000-00007E6C0000}"/>
    <cellStyle name="Porcentaje 2 2 2 2 2 2 3" xfId="959" xr:uid="{00000000-0005-0000-0000-00007F6C0000}"/>
    <cellStyle name="Porcentaje 2 2 2 2 2 2 3 2" xfId="2195" xr:uid="{00000000-0005-0000-0000-0000806C0000}"/>
    <cellStyle name="Porcentaje 2 2 2 2 2 2 3 2 2" xfId="4662" xr:uid="{00000000-0005-0000-0000-0000816C0000}"/>
    <cellStyle name="Porcentaje 2 2 2 2 2 2 3 2 2 2" xfId="9594" xr:uid="{00000000-0005-0000-0000-0000826C0000}"/>
    <cellStyle name="Porcentaje 2 2 2 2 2 2 3 2 2 2 2" xfId="19454" xr:uid="{00000000-0005-0000-0000-0000836C0000}"/>
    <cellStyle name="Porcentaje 2 2 2 2 2 2 3 2 2 2 2 2" xfId="39169" xr:uid="{00000000-0005-0000-0000-0000846C0000}"/>
    <cellStyle name="Porcentaje 2 2 2 2 2 2 3 2 2 2 3" xfId="29312" xr:uid="{00000000-0005-0000-0000-0000856C0000}"/>
    <cellStyle name="Porcentaje 2 2 2 2 2 2 3 2 2 3" xfId="14526" xr:uid="{00000000-0005-0000-0000-0000866C0000}"/>
    <cellStyle name="Porcentaje 2 2 2 2 2 2 3 2 2 3 2" xfId="34241" xr:uid="{00000000-0005-0000-0000-0000876C0000}"/>
    <cellStyle name="Porcentaje 2 2 2 2 2 2 3 2 2 4" xfId="24384" xr:uid="{00000000-0005-0000-0000-0000886C0000}"/>
    <cellStyle name="Porcentaje 2 2 2 2 2 2 3 2 3" xfId="7130" xr:uid="{00000000-0005-0000-0000-0000896C0000}"/>
    <cellStyle name="Porcentaje 2 2 2 2 2 2 3 2 3 2" xfId="16990" xr:uid="{00000000-0005-0000-0000-00008A6C0000}"/>
    <cellStyle name="Porcentaje 2 2 2 2 2 2 3 2 3 2 2" xfId="36705" xr:uid="{00000000-0005-0000-0000-00008B6C0000}"/>
    <cellStyle name="Porcentaje 2 2 2 2 2 2 3 2 3 3" xfId="26848" xr:uid="{00000000-0005-0000-0000-00008C6C0000}"/>
    <cellStyle name="Porcentaje 2 2 2 2 2 2 3 2 4" xfId="12062" xr:uid="{00000000-0005-0000-0000-00008D6C0000}"/>
    <cellStyle name="Porcentaje 2 2 2 2 2 2 3 2 4 2" xfId="31777" xr:uid="{00000000-0005-0000-0000-00008E6C0000}"/>
    <cellStyle name="Porcentaje 2 2 2 2 2 2 3 2 5" xfId="21920" xr:uid="{00000000-0005-0000-0000-00008F6C0000}"/>
    <cellStyle name="Porcentaje 2 2 2 2 2 2 3 3" xfId="3430" xr:uid="{00000000-0005-0000-0000-0000906C0000}"/>
    <cellStyle name="Porcentaje 2 2 2 2 2 2 3 3 2" xfId="8362" xr:uid="{00000000-0005-0000-0000-0000916C0000}"/>
    <cellStyle name="Porcentaje 2 2 2 2 2 2 3 3 2 2" xfId="18222" xr:uid="{00000000-0005-0000-0000-0000926C0000}"/>
    <cellStyle name="Porcentaje 2 2 2 2 2 2 3 3 2 2 2" xfId="37937" xr:uid="{00000000-0005-0000-0000-0000936C0000}"/>
    <cellStyle name="Porcentaje 2 2 2 2 2 2 3 3 2 3" xfId="28080" xr:uid="{00000000-0005-0000-0000-0000946C0000}"/>
    <cellStyle name="Porcentaje 2 2 2 2 2 2 3 3 3" xfId="13294" xr:uid="{00000000-0005-0000-0000-0000956C0000}"/>
    <cellStyle name="Porcentaje 2 2 2 2 2 2 3 3 3 2" xfId="33009" xr:uid="{00000000-0005-0000-0000-0000966C0000}"/>
    <cellStyle name="Porcentaje 2 2 2 2 2 2 3 3 4" xfId="23152" xr:uid="{00000000-0005-0000-0000-0000976C0000}"/>
    <cellStyle name="Porcentaje 2 2 2 2 2 2 3 4" xfId="5898" xr:uid="{00000000-0005-0000-0000-0000986C0000}"/>
    <cellStyle name="Porcentaje 2 2 2 2 2 2 3 4 2" xfId="15758" xr:uid="{00000000-0005-0000-0000-0000996C0000}"/>
    <cellStyle name="Porcentaje 2 2 2 2 2 2 3 4 2 2" xfId="35473" xr:uid="{00000000-0005-0000-0000-00009A6C0000}"/>
    <cellStyle name="Porcentaje 2 2 2 2 2 2 3 4 3" xfId="25616" xr:uid="{00000000-0005-0000-0000-00009B6C0000}"/>
    <cellStyle name="Porcentaje 2 2 2 2 2 2 3 5" xfId="10830" xr:uid="{00000000-0005-0000-0000-00009C6C0000}"/>
    <cellStyle name="Porcentaje 2 2 2 2 2 2 3 5 2" xfId="30545" xr:uid="{00000000-0005-0000-0000-00009D6C0000}"/>
    <cellStyle name="Porcentaje 2 2 2 2 2 2 3 6" xfId="20688" xr:uid="{00000000-0005-0000-0000-00009E6C0000}"/>
    <cellStyle name="Porcentaje 2 2 2 2 2 2 4" xfId="1579" xr:uid="{00000000-0005-0000-0000-00009F6C0000}"/>
    <cellStyle name="Porcentaje 2 2 2 2 2 2 4 2" xfId="4046" xr:uid="{00000000-0005-0000-0000-0000A06C0000}"/>
    <cellStyle name="Porcentaje 2 2 2 2 2 2 4 2 2" xfId="8978" xr:uid="{00000000-0005-0000-0000-0000A16C0000}"/>
    <cellStyle name="Porcentaje 2 2 2 2 2 2 4 2 2 2" xfId="18838" xr:uid="{00000000-0005-0000-0000-0000A26C0000}"/>
    <cellStyle name="Porcentaje 2 2 2 2 2 2 4 2 2 2 2" xfId="38553" xr:uid="{00000000-0005-0000-0000-0000A36C0000}"/>
    <cellStyle name="Porcentaje 2 2 2 2 2 2 4 2 2 3" xfId="28696" xr:uid="{00000000-0005-0000-0000-0000A46C0000}"/>
    <cellStyle name="Porcentaje 2 2 2 2 2 2 4 2 3" xfId="13910" xr:uid="{00000000-0005-0000-0000-0000A56C0000}"/>
    <cellStyle name="Porcentaje 2 2 2 2 2 2 4 2 3 2" xfId="33625" xr:uid="{00000000-0005-0000-0000-0000A66C0000}"/>
    <cellStyle name="Porcentaje 2 2 2 2 2 2 4 2 4" xfId="23768" xr:uid="{00000000-0005-0000-0000-0000A76C0000}"/>
    <cellStyle name="Porcentaje 2 2 2 2 2 2 4 3" xfId="6514" xr:uid="{00000000-0005-0000-0000-0000A86C0000}"/>
    <cellStyle name="Porcentaje 2 2 2 2 2 2 4 3 2" xfId="16374" xr:uid="{00000000-0005-0000-0000-0000A96C0000}"/>
    <cellStyle name="Porcentaje 2 2 2 2 2 2 4 3 2 2" xfId="36089" xr:uid="{00000000-0005-0000-0000-0000AA6C0000}"/>
    <cellStyle name="Porcentaje 2 2 2 2 2 2 4 3 3" xfId="26232" xr:uid="{00000000-0005-0000-0000-0000AB6C0000}"/>
    <cellStyle name="Porcentaje 2 2 2 2 2 2 4 4" xfId="11446" xr:uid="{00000000-0005-0000-0000-0000AC6C0000}"/>
    <cellStyle name="Porcentaje 2 2 2 2 2 2 4 4 2" xfId="31161" xr:uid="{00000000-0005-0000-0000-0000AD6C0000}"/>
    <cellStyle name="Porcentaje 2 2 2 2 2 2 4 5" xfId="21304" xr:uid="{00000000-0005-0000-0000-0000AE6C0000}"/>
    <cellStyle name="Porcentaje 2 2 2 2 2 2 5" xfId="2814" xr:uid="{00000000-0005-0000-0000-0000AF6C0000}"/>
    <cellStyle name="Porcentaje 2 2 2 2 2 2 5 2" xfId="7746" xr:uid="{00000000-0005-0000-0000-0000B06C0000}"/>
    <cellStyle name="Porcentaje 2 2 2 2 2 2 5 2 2" xfId="17606" xr:uid="{00000000-0005-0000-0000-0000B16C0000}"/>
    <cellStyle name="Porcentaje 2 2 2 2 2 2 5 2 2 2" xfId="37321" xr:uid="{00000000-0005-0000-0000-0000B26C0000}"/>
    <cellStyle name="Porcentaje 2 2 2 2 2 2 5 2 3" xfId="27464" xr:uid="{00000000-0005-0000-0000-0000B36C0000}"/>
    <cellStyle name="Porcentaje 2 2 2 2 2 2 5 3" xfId="12678" xr:uid="{00000000-0005-0000-0000-0000B46C0000}"/>
    <cellStyle name="Porcentaje 2 2 2 2 2 2 5 3 2" xfId="32393" xr:uid="{00000000-0005-0000-0000-0000B56C0000}"/>
    <cellStyle name="Porcentaje 2 2 2 2 2 2 5 4" xfId="22536" xr:uid="{00000000-0005-0000-0000-0000B66C0000}"/>
    <cellStyle name="Porcentaje 2 2 2 2 2 2 6" xfId="5282" xr:uid="{00000000-0005-0000-0000-0000B76C0000}"/>
    <cellStyle name="Porcentaje 2 2 2 2 2 2 6 2" xfId="15142" xr:uid="{00000000-0005-0000-0000-0000B86C0000}"/>
    <cellStyle name="Porcentaje 2 2 2 2 2 2 6 2 2" xfId="34857" xr:uid="{00000000-0005-0000-0000-0000B96C0000}"/>
    <cellStyle name="Porcentaje 2 2 2 2 2 2 6 3" xfId="25000" xr:uid="{00000000-0005-0000-0000-0000BA6C0000}"/>
    <cellStyle name="Porcentaje 2 2 2 2 2 2 7" xfId="10214" xr:uid="{00000000-0005-0000-0000-0000BB6C0000}"/>
    <cellStyle name="Porcentaje 2 2 2 2 2 2 7 2" xfId="29929" xr:uid="{00000000-0005-0000-0000-0000BC6C0000}"/>
    <cellStyle name="Porcentaje 2 2 2 2 2 2 8" xfId="20072" xr:uid="{00000000-0005-0000-0000-0000BD6C0000}"/>
    <cellStyle name="Porcentaje 2 2 2 2 2 3" xfId="494" xr:uid="{00000000-0005-0000-0000-0000BE6C0000}"/>
    <cellStyle name="Porcentaje 2 2 2 2 2 3 2" xfId="1114" xr:uid="{00000000-0005-0000-0000-0000BF6C0000}"/>
    <cellStyle name="Porcentaje 2 2 2 2 2 3 2 2" xfId="2349" xr:uid="{00000000-0005-0000-0000-0000C06C0000}"/>
    <cellStyle name="Porcentaje 2 2 2 2 2 3 2 2 2" xfId="4816" xr:uid="{00000000-0005-0000-0000-0000C16C0000}"/>
    <cellStyle name="Porcentaje 2 2 2 2 2 3 2 2 2 2" xfId="9748" xr:uid="{00000000-0005-0000-0000-0000C26C0000}"/>
    <cellStyle name="Porcentaje 2 2 2 2 2 3 2 2 2 2 2" xfId="19608" xr:uid="{00000000-0005-0000-0000-0000C36C0000}"/>
    <cellStyle name="Porcentaje 2 2 2 2 2 3 2 2 2 2 2 2" xfId="39323" xr:uid="{00000000-0005-0000-0000-0000C46C0000}"/>
    <cellStyle name="Porcentaje 2 2 2 2 2 3 2 2 2 2 3" xfId="29466" xr:uid="{00000000-0005-0000-0000-0000C56C0000}"/>
    <cellStyle name="Porcentaje 2 2 2 2 2 3 2 2 2 3" xfId="14680" xr:uid="{00000000-0005-0000-0000-0000C66C0000}"/>
    <cellStyle name="Porcentaje 2 2 2 2 2 3 2 2 2 3 2" xfId="34395" xr:uid="{00000000-0005-0000-0000-0000C76C0000}"/>
    <cellStyle name="Porcentaje 2 2 2 2 2 3 2 2 2 4" xfId="24538" xr:uid="{00000000-0005-0000-0000-0000C86C0000}"/>
    <cellStyle name="Porcentaje 2 2 2 2 2 3 2 2 3" xfId="7284" xr:uid="{00000000-0005-0000-0000-0000C96C0000}"/>
    <cellStyle name="Porcentaje 2 2 2 2 2 3 2 2 3 2" xfId="17144" xr:uid="{00000000-0005-0000-0000-0000CA6C0000}"/>
    <cellStyle name="Porcentaje 2 2 2 2 2 3 2 2 3 2 2" xfId="36859" xr:uid="{00000000-0005-0000-0000-0000CB6C0000}"/>
    <cellStyle name="Porcentaje 2 2 2 2 2 3 2 2 3 3" xfId="27002" xr:uid="{00000000-0005-0000-0000-0000CC6C0000}"/>
    <cellStyle name="Porcentaje 2 2 2 2 2 3 2 2 4" xfId="12216" xr:uid="{00000000-0005-0000-0000-0000CD6C0000}"/>
    <cellStyle name="Porcentaje 2 2 2 2 2 3 2 2 4 2" xfId="31931" xr:uid="{00000000-0005-0000-0000-0000CE6C0000}"/>
    <cellStyle name="Porcentaje 2 2 2 2 2 3 2 2 5" xfId="22074" xr:uid="{00000000-0005-0000-0000-0000CF6C0000}"/>
    <cellStyle name="Porcentaje 2 2 2 2 2 3 2 3" xfId="3584" xr:uid="{00000000-0005-0000-0000-0000D06C0000}"/>
    <cellStyle name="Porcentaje 2 2 2 2 2 3 2 3 2" xfId="8516" xr:uid="{00000000-0005-0000-0000-0000D16C0000}"/>
    <cellStyle name="Porcentaje 2 2 2 2 2 3 2 3 2 2" xfId="18376" xr:uid="{00000000-0005-0000-0000-0000D26C0000}"/>
    <cellStyle name="Porcentaje 2 2 2 2 2 3 2 3 2 2 2" xfId="38091" xr:uid="{00000000-0005-0000-0000-0000D36C0000}"/>
    <cellStyle name="Porcentaje 2 2 2 2 2 3 2 3 2 3" xfId="28234" xr:uid="{00000000-0005-0000-0000-0000D46C0000}"/>
    <cellStyle name="Porcentaje 2 2 2 2 2 3 2 3 3" xfId="13448" xr:uid="{00000000-0005-0000-0000-0000D56C0000}"/>
    <cellStyle name="Porcentaje 2 2 2 2 2 3 2 3 3 2" xfId="33163" xr:uid="{00000000-0005-0000-0000-0000D66C0000}"/>
    <cellStyle name="Porcentaje 2 2 2 2 2 3 2 3 4" xfId="23306" xr:uid="{00000000-0005-0000-0000-0000D76C0000}"/>
    <cellStyle name="Porcentaje 2 2 2 2 2 3 2 4" xfId="6052" xr:uid="{00000000-0005-0000-0000-0000D86C0000}"/>
    <cellStyle name="Porcentaje 2 2 2 2 2 3 2 4 2" xfId="15912" xr:uid="{00000000-0005-0000-0000-0000D96C0000}"/>
    <cellStyle name="Porcentaje 2 2 2 2 2 3 2 4 2 2" xfId="35627" xr:uid="{00000000-0005-0000-0000-0000DA6C0000}"/>
    <cellStyle name="Porcentaje 2 2 2 2 2 3 2 4 3" xfId="25770" xr:uid="{00000000-0005-0000-0000-0000DB6C0000}"/>
    <cellStyle name="Porcentaje 2 2 2 2 2 3 2 5" xfId="10984" xr:uid="{00000000-0005-0000-0000-0000DC6C0000}"/>
    <cellStyle name="Porcentaje 2 2 2 2 2 3 2 5 2" xfId="30699" xr:uid="{00000000-0005-0000-0000-0000DD6C0000}"/>
    <cellStyle name="Porcentaje 2 2 2 2 2 3 2 6" xfId="20842" xr:uid="{00000000-0005-0000-0000-0000DE6C0000}"/>
    <cellStyle name="Porcentaje 2 2 2 2 2 3 3" xfId="1733" xr:uid="{00000000-0005-0000-0000-0000DF6C0000}"/>
    <cellStyle name="Porcentaje 2 2 2 2 2 3 3 2" xfId="4200" xr:uid="{00000000-0005-0000-0000-0000E06C0000}"/>
    <cellStyle name="Porcentaje 2 2 2 2 2 3 3 2 2" xfId="9132" xr:uid="{00000000-0005-0000-0000-0000E16C0000}"/>
    <cellStyle name="Porcentaje 2 2 2 2 2 3 3 2 2 2" xfId="18992" xr:uid="{00000000-0005-0000-0000-0000E26C0000}"/>
    <cellStyle name="Porcentaje 2 2 2 2 2 3 3 2 2 2 2" xfId="38707" xr:uid="{00000000-0005-0000-0000-0000E36C0000}"/>
    <cellStyle name="Porcentaje 2 2 2 2 2 3 3 2 2 3" xfId="28850" xr:uid="{00000000-0005-0000-0000-0000E46C0000}"/>
    <cellStyle name="Porcentaje 2 2 2 2 2 3 3 2 3" xfId="14064" xr:uid="{00000000-0005-0000-0000-0000E56C0000}"/>
    <cellStyle name="Porcentaje 2 2 2 2 2 3 3 2 3 2" xfId="33779" xr:uid="{00000000-0005-0000-0000-0000E66C0000}"/>
    <cellStyle name="Porcentaje 2 2 2 2 2 3 3 2 4" xfId="23922" xr:uid="{00000000-0005-0000-0000-0000E76C0000}"/>
    <cellStyle name="Porcentaje 2 2 2 2 2 3 3 3" xfId="6668" xr:uid="{00000000-0005-0000-0000-0000E86C0000}"/>
    <cellStyle name="Porcentaje 2 2 2 2 2 3 3 3 2" xfId="16528" xr:uid="{00000000-0005-0000-0000-0000E96C0000}"/>
    <cellStyle name="Porcentaje 2 2 2 2 2 3 3 3 2 2" xfId="36243" xr:uid="{00000000-0005-0000-0000-0000EA6C0000}"/>
    <cellStyle name="Porcentaje 2 2 2 2 2 3 3 3 3" xfId="26386" xr:uid="{00000000-0005-0000-0000-0000EB6C0000}"/>
    <cellStyle name="Porcentaje 2 2 2 2 2 3 3 4" xfId="11600" xr:uid="{00000000-0005-0000-0000-0000EC6C0000}"/>
    <cellStyle name="Porcentaje 2 2 2 2 2 3 3 4 2" xfId="31315" xr:uid="{00000000-0005-0000-0000-0000ED6C0000}"/>
    <cellStyle name="Porcentaje 2 2 2 2 2 3 3 5" xfId="21458" xr:uid="{00000000-0005-0000-0000-0000EE6C0000}"/>
    <cellStyle name="Porcentaje 2 2 2 2 2 3 4" xfId="2968" xr:uid="{00000000-0005-0000-0000-0000EF6C0000}"/>
    <cellStyle name="Porcentaje 2 2 2 2 2 3 4 2" xfId="7900" xr:uid="{00000000-0005-0000-0000-0000F06C0000}"/>
    <cellStyle name="Porcentaje 2 2 2 2 2 3 4 2 2" xfId="17760" xr:uid="{00000000-0005-0000-0000-0000F16C0000}"/>
    <cellStyle name="Porcentaje 2 2 2 2 2 3 4 2 2 2" xfId="37475" xr:uid="{00000000-0005-0000-0000-0000F26C0000}"/>
    <cellStyle name="Porcentaje 2 2 2 2 2 3 4 2 3" xfId="27618" xr:uid="{00000000-0005-0000-0000-0000F36C0000}"/>
    <cellStyle name="Porcentaje 2 2 2 2 2 3 4 3" xfId="12832" xr:uid="{00000000-0005-0000-0000-0000F46C0000}"/>
    <cellStyle name="Porcentaje 2 2 2 2 2 3 4 3 2" xfId="32547" xr:uid="{00000000-0005-0000-0000-0000F56C0000}"/>
    <cellStyle name="Porcentaje 2 2 2 2 2 3 4 4" xfId="22690" xr:uid="{00000000-0005-0000-0000-0000F66C0000}"/>
    <cellStyle name="Porcentaje 2 2 2 2 2 3 5" xfId="5436" xr:uid="{00000000-0005-0000-0000-0000F76C0000}"/>
    <cellStyle name="Porcentaje 2 2 2 2 2 3 5 2" xfId="15296" xr:uid="{00000000-0005-0000-0000-0000F86C0000}"/>
    <cellStyle name="Porcentaje 2 2 2 2 2 3 5 2 2" xfId="35011" xr:uid="{00000000-0005-0000-0000-0000F96C0000}"/>
    <cellStyle name="Porcentaje 2 2 2 2 2 3 5 3" xfId="25154" xr:uid="{00000000-0005-0000-0000-0000FA6C0000}"/>
    <cellStyle name="Porcentaje 2 2 2 2 2 3 6" xfId="10368" xr:uid="{00000000-0005-0000-0000-0000FB6C0000}"/>
    <cellStyle name="Porcentaje 2 2 2 2 2 3 6 2" xfId="30083" xr:uid="{00000000-0005-0000-0000-0000FC6C0000}"/>
    <cellStyle name="Porcentaje 2 2 2 2 2 3 7" xfId="20226" xr:uid="{00000000-0005-0000-0000-0000FD6C0000}"/>
    <cellStyle name="Porcentaje 2 2 2 2 2 4" xfId="807" xr:uid="{00000000-0005-0000-0000-0000FE6C0000}"/>
    <cellStyle name="Porcentaje 2 2 2 2 2 4 2" xfId="2043" xr:uid="{00000000-0005-0000-0000-0000FF6C0000}"/>
    <cellStyle name="Porcentaje 2 2 2 2 2 4 2 2" xfId="4510" xr:uid="{00000000-0005-0000-0000-0000006D0000}"/>
    <cellStyle name="Porcentaje 2 2 2 2 2 4 2 2 2" xfId="9442" xr:uid="{00000000-0005-0000-0000-0000016D0000}"/>
    <cellStyle name="Porcentaje 2 2 2 2 2 4 2 2 2 2" xfId="19302" xr:uid="{00000000-0005-0000-0000-0000026D0000}"/>
    <cellStyle name="Porcentaje 2 2 2 2 2 4 2 2 2 2 2" xfId="39017" xr:uid="{00000000-0005-0000-0000-0000036D0000}"/>
    <cellStyle name="Porcentaje 2 2 2 2 2 4 2 2 2 3" xfId="29160" xr:uid="{00000000-0005-0000-0000-0000046D0000}"/>
    <cellStyle name="Porcentaje 2 2 2 2 2 4 2 2 3" xfId="14374" xr:uid="{00000000-0005-0000-0000-0000056D0000}"/>
    <cellStyle name="Porcentaje 2 2 2 2 2 4 2 2 3 2" xfId="34089" xr:uid="{00000000-0005-0000-0000-0000066D0000}"/>
    <cellStyle name="Porcentaje 2 2 2 2 2 4 2 2 4" xfId="24232" xr:uid="{00000000-0005-0000-0000-0000076D0000}"/>
    <cellStyle name="Porcentaje 2 2 2 2 2 4 2 3" xfId="6978" xr:uid="{00000000-0005-0000-0000-0000086D0000}"/>
    <cellStyle name="Porcentaje 2 2 2 2 2 4 2 3 2" xfId="16838" xr:uid="{00000000-0005-0000-0000-0000096D0000}"/>
    <cellStyle name="Porcentaje 2 2 2 2 2 4 2 3 2 2" xfId="36553" xr:uid="{00000000-0005-0000-0000-00000A6D0000}"/>
    <cellStyle name="Porcentaje 2 2 2 2 2 4 2 3 3" xfId="26696" xr:uid="{00000000-0005-0000-0000-00000B6D0000}"/>
    <cellStyle name="Porcentaje 2 2 2 2 2 4 2 4" xfId="11910" xr:uid="{00000000-0005-0000-0000-00000C6D0000}"/>
    <cellStyle name="Porcentaje 2 2 2 2 2 4 2 4 2" xfId="31625" xr:uid="{00000000-0005-0000-0000-00000D6D0000}"/>
    <cellStyle name="Porcentaje 2 2 2 2 2 4 2 5" xfId="21768" xr:uid="{00000000-0005-0000-0000-00000E6D0000}"/>
    <cellStyle name="Porcentaje 2 2 2 2 2 4 3" xfId="3278" xr:uid="{00000000-0005-0000-0000-00000F6D0000}"/>
    <cellStyle name="Porcentaje 2 2 2 2 2 4 3 2" xfId="8210" xr:uid="{00000000-0005-0000-0000-0000106D0000}"/>
    <cellStyle name="Porcentaje 2 2 2 2 2 4 3 2 2" xfId="18070" xr:uid="{00000000-0005-0000-0000-0000116D0000}"/>
    <cellStyle name="Porcentaje 2 2 2 2 2 4 3 2 2 2" xfId="37785" xr:uid="{00000000-0005-0000-0000-0000126D0000}"/>
    <cellStyle name="Porcentaje 2 2 2 2 2 4 3 2 3" xfId="27928" xr:uid="{00000000-0005-0000-0000-0000136D0000}"/>
    <cellStyle name="Porcentaje 2 2 2 2 2 4 3 3" xfId="13142" xr:uid="{00000000-0005-0000-0000-0000146D0000}"/>
    <cellStyle name="Porcentaje 2 2 2 2 2 4 3 3 2" xfId="32857" xr:uid="{00000000-0005-0000-0000-0000156D0000}"/>
    <cellStyle name="Porcentaje 2 2 2 2 2 4 3 4" xfId="23000" xr:uid="{00000000-0005-0000-0000-0000166D0000}"/>
    <cellStyle name="Porcentaje 2 2 2 2 2 4 4" xfId="5746" xr:uid="{00000000-0005-0000-0000-0000176D0000}"/>
    <cellStyle name="Porcentaje 2 2 2 2 2 4 4 2" xfId="15606" xr:uid="{00000000-0005-0000-0000-0000186D0000}"/>
    <cellStyle name="Porcentaje 2 2 2 2 2 4 4 2 2" xfId="35321" xr:uid="{00000000-0005-0000-0000-0000196D0000}"/>
    <cellStyle name="Porcentaje 2 2 2 2 2 4 4 3" xfId="25464" xr:uid="{00000000-0005-0000-0000-00001A6D0000}"/>
    <cellStyle name="Porcentaje 2 2 2 2 2 4 5" xfId="10678" xr:uid="{00000000-0005-0000-0000-00001B6D0000}"/>
    <cellStyle name="Porcentaje 2 2 2 2 2 4 5 2" xfId="30393" xr:uid="{00000000-0005-0000-0000-00001C6D0000}"/>
    <cellStyle name="Porcentaje 2 2 2 2 2 4 6" xfId="20536" xr:uid="{00000000-0005-0000-0000-00001D6D0000}"/>
    <cellStyle name="Porcentaje 2 2 2 2 2 5" xfId="1427" xr:uid="{00000000-0005-0000-0000-00001E6D0000}"/>
    <cellStyle name="Porcentaje 2 2 2 2 2 5 2" xfId="3894" xr:uid="{00000000-0005-0000-0000-00001F6D0000}"/>
    <cellStyle name="Porcentaje 2 2 2 2 2 5 2 2" xfId="8826" xr:uid="{00000000-0005-0000-0000-0000206D0000}"/>
    <cellStyle name="Porcentaje 2 2 2 2 2 5 2 2 2" xfId="18686" xr:uid="{00000000-0005-0000-0000-0000216D0000}"/>
    <cellStyle name="Porcentaje 2 2 2 2 2 5 2 2 2 2" xfId="38401" xr:uid="{00000000-0005-0000-0000-0000226D0000}"/>
    <cellStyle name="Porcentaje 2 2 2 2 2 5 2 2 3" xfId="28544" xr:uid="{00000000-0005-0000-0000-0000236D0000}"/>
    <cellStyle name="Porcentaje 2 2 2 2 2 5 2 3" xfId="13758" xr:uid="{00000000-0005-0000-0000-0000246D0000}"/>
    <cellStyle name="Porcentaje 2 2 2 2 2 5 2 3 2" xfId="33473" xr:uid="{00000000-0005-0000-0000-0000256D0000}"/>
    <cellStyle name="Porcentaje 2 2 2 2 2 5 2 4" xfId="23616" xr:uid="{00000000-0005-0000-0000-0000266D0000}"/>
    <cellStyle name="Porcentaje 2 2 2 2 2 5 3" xfId="6362" xr:uid="{00000000-0005-0000-0000-0000276D0000}"/>
    <cellStyle name="Porcentaje 2 2 2 2 2 5 3 2" xfId="16222" xr:uid="{00000000-0005-0000-0000-0000286D0000}"/>
    <cellStyle name="Porcentaje 2 2 2 2 2 5 3 2 2" xfId="35937" xr:uid="{00000000-0005-0000-0000-0000296D0000}"/>
    <cellStyle name="Porcentaje 2 2 2 2 2 5 3 3" xfId="26080" xr:uid="{00000000-0005-0000-0000-00002A6D0000}"/>
    <cellStyle name="Porcentaje 2 2 2 2 2 5 4" xfId="11294" xr:uid="{00000000-0005-0000-0000-00002B6D0000}"/>
    <cellStyle name="Porcentaje 2 2 2 2 2 5 4 2" xfId="31009" xr:uid="{00000000-0005-0000-0000-00002C6D0000}"/>
    <cellStyle name="Porcentaje 2 2 2 2 2 5 5" xfId="21152" xr:uid="{00000000-0005-0000-0000-00002D6D0000}"/>
    <cellStyle name="Porcentaje 2 2 2 2 2 6" xfId="2662" xr:uid="{00000000-0005-0000-0000-00002E6D0000}"/>
    <cellStyle name="Porcentaje 2 2 2 2 2 6 2" xfId="7594" xr:uid="{00000000-0005-0000-0000-00002F6D0000}"/>
    <cellStyle name="Porcentaje 2 2 2 2 2 6 2 2" xfId="17454" xr:uid="{00000000-0005-0000-0000-0000306D0000}"/>
    <cellStyle name="Porcentaje 2 2 2 2 2 6 2 2 2" xfId="37169" xr:uid="{00000000-0005-0000-0000-0000316D0000}"/>
    <cellStyle name="Porcentaje 2 2 2 2 2 6 2 3" xfId="27312" xr:uid="{00000000-0005-0000-0000-0000326D0000}"/>
    <cellStyle name="Porcentaje 2 2 2 2 2 6 3" xfId="12526" xr:uid="{00000000-0005-0000-0000-0000336D0000}"/>
    <cellStyle name="Porcentaje 2 2 2 2 2 6 3 2" xfId="32241" xr:uid="{00000000-0005-0000-0000-0000346D0000}"/>
    <cellStyle name="Porcentaje 2 2 2 2 2 6 4" xfId="22384" xr:uid="{00000000-0005-0000-0000-0000356D0000}"/>
    <cellStyle name="Porcentaje 2 2 2 2 2 7" xfId="5130" xr:uid="{00000000-0005-0000-0000-0000366D0000}"/>
    <cellStyle name="Porcentaje 2 2 2 2 2 7 2" xfId="14990" xr:uid="{00000000-0005-0000-0000-0000376D0000}"/>
    <cellStyle name="Porcentaje 2 2 2 2 2 7 2 2" xfId="34705" xr:uid="{00000000-0005-0000-0000-0000386D0000}"/>
    <cellStyle name="Porcentaje 2 2 2 2 2 7 3" xfId="24848" xr:uid="{00000000-0005-0000-0000-0000396D0000}"/>
    <cellStyle name="Porcentaje 2 2 2 2 2 8" xfId="10062" xr:uid="{00000000-0005-0000-0000-00003A6D0000}"/>
    <cellStyle name="Porcentaje 2 2 2 2 2 8 2" xfId="29777" xr:uid="{00000000-0005-0000-0000-00003B6D0000}"/>
    <cellStyle name="Porcentaje 2 2 2 2 2 9" xfId="19920" xr:uid="{00000000-0005-0000-0000-00003C6D0000}"/>
    <cellStyle name="Porcentaje 2 2 2 2 3" xfId="256" xr:uid="{00000000-0005-0000-0000-00003D6D0000}"/>
    <cellStyle name="Porcentaje 2 2 2 2 3 2" xfId="570" xr:uid="{00000000-0005-0000-0000-00003E6D0000}"/>
    <cellStyle name="Porcentaje 2 2 2 2 3 2 2" xfId="1190" xr:uid="{00000000-0005-0000-0000-00003F6D0000}"/>
    <cellStyle name="Porcentaje 2 2 2 2 3 2 2 2" xfId="2425" xr:uid="{00000000-0005-0000-0000-0000406D0000}"/>
    <cellStyle name="Porcentaje 2 2 2 2 3 2 2 2 2" xfId="4892" xr:uid="{00000000-0005-0000-0000-0000416D0000}"/>
    <cellStyle name="Porcentaje 2 2 2 2 3 2 2 2 2 2" xfId="9824" xr:uid="{00000000-0005-0000-0000-0000426D0000}"/>
    <cellStyle name="Porcentaje 2 2 2 2 3 2 2 2 2 2 2" xfId="19684" xr:uid="{00000000-0005-0000-0000-0000436D0000}"/>
    <cellStyle name="Porcentaje 2 2 2 2 3 2 2 2 2 2 2 2" xfId="39399" xr:uid="{00000000-0005-0000-0000-0000446D0000}"/>
    <cellStyle name="Porcentaje 2 2 2 2 3 2 2 2 2 2 3" xfId="29542" xr:uid="{00000000-0005-0000-0000-0000456D0000}"/>
    <cellStyle name="Porcentaje 2 2 2 2 3 2 2 2 2 3" xfId="14756" xr:uid="{00000000-0005-0000-0000-0000466D0000}"/>
    <cellStyle name="Porcentaje 2 2 2 2 3 2 2 2 2 3 2" xfId="34471" xr:uid="{00000000-0005-0000-0000-0000476D0000}"/>
    <cellStyle name="Porcentaje 2 2 2 2 3 2 2 2 2 4" xfId="24614" xr:uid="{00000000-0005-0000-0000-0000486D0000}"/>
    <cellStyle name="Porcentaje 2 2 2 2 3 2 2 2 3" xfId="7360" xr:uid="{00000000-0005-0000-0000-0000496D0000}"/>
    <cellStyle name="Porcentaje 2 2 2 2 3 2 2 2 3 2" xfId="17220" xr:uid="{00000000-0005-0000-0000-00004A6D0000}"/>
    <cellStyle name="Porcentaje 2 2 2 2 3 2 2 2 3 2 2" xfId="36935" xr:uid="{00000000-0005-0000-0000-00004B6D0000}"/>
    <cellStyle name="Porcentaje 2 2 2 2 3 2 2 2 3 3" xfId="27078" xr:uid="{00000000-0005-0000-0000-00004C6D0000}"/>
    <cellStyle name="Porcentaje 2 2 2 2 3 2 2 2 4" xfId="12292" xr:uid="{00000000-0005-0000-0000-00004D6D0000}"/>
    <cellStyle name="Porcentaje 2 2 2 2 3 2 2 2 4 2" xfId="32007" xr:uid="{00000000-0005-0000-0000-00004E6D0000}"/>
    <cellStyle name="Porcentaje 2 2 2 2 3 2 2 2 5" xfId="22150" xr:uid="{00000000-0005-0000-0000-00004F6D0000}"/>
    <cellStyle name="Porcentaje 2 2 2 2 3 2 2 3" xfId="3660" xr:uid="{00000000-0005-0000-0000-0000506D0000}"/>
    <cellStyle name="Porcentaje 2 2 2 2 3 2 2 3 2" xfId="8592" xr:uid="{00000000-0005-0000-0000-0000516D0000}"/>
    <cellStyle name="Porcentaje 2 2 2 2 3 2 2 3 2 2" xfId="18452" xr:uid="{00000000-0005-0000-0000-0000526D0000}"/>
    <cellStyle name="Porcentaje 2 2 2 2 3 2 2 3 2 2 2" xfId="38167" xr:uid="{00000000-0005-0000-0000-0000536D0000}"/>
    <cellStyle name="Porcentaje 2 2 2 2 3 2 2 3 2 3" xfId="28310" xr:uid="{00000000-0005-0000-0000-0000546D0000}"/>
    <cellStyle name="Porcentaje 2 2 2 2 3 2 2 3 3" xfId="13524" xr:uid="{00000000-0005-0000-0000-0000556D0000}"/>
    <cellStyle name="Porcentaje 2 2 2 2 3 2 2 3 3 2" xfId="33239" xr:uid="{00000000-0005-0000-0000-0000566D0000}"/>
    <cellStyle name="Porcentaje 2 2 2 2 3 2 2 3 4" xfId="23382" xr:uid="{00000000-0005-0000-0000-0000576D0000}"/>
    <cellStyle name="Porcentaje 2 2 2 2 3 2 2 4" xfId="6128" xr:uid="{00000000-0005-0000-0000-0000586D0000}"/>
    <cellStyle name="Porcentaje 2 2 2 2 3 2 2 4 2" xfId="15988" xr:uid="{00000000-0005-0000-0000-0000596D0000}"/>
    <cellStyle name="Porcentaje 2 2 2 2 3 2 2 4 2 2" xfId="35703" xr:uid="{00000000-0005-0000-0000-00005A6D0000}"/>
    <cellStyle name="Porcentaje 2 2 2 2 3 2 2 4 3" xfId="25846" xr:uid="{00000000-0005-0000-0000-00005B6D0000}"/>
    <cellStyle name="Porcentaje 2 2 2 2 3 2 2 5" xfId="11060" xr:uid="{00000000-0005-0000-0000-00005C6D0000}"/>
    <cellStyle name="Porcentaje 2 2 2 2 3 2 2 5 2" xfId="30775" xr:uid="{00000000-0005-0000-0000-00005D6D0000}"/>
    <cellStyle name="Porcentaje 2 2 2 2 3 2 2 6" xfId="20918" xr:uid="{00000000-0005-0000-0000-00005E6D0000}"/>
    <cellStyle name="Porcentaje 2 2 2 2 3 2 3" xfId="1809" xr:uid="{00000000-0005-0000-0000-00005F6D0000}"/>
    <cellStyle name="Porcentaje 2 2 2 2 3 2 3 2" xfId="4276" xr:uid="{00000000-0005-0000-0000-0000606D0000}"/>
    <cellStyle name="Porcentaje 2 2 2 2 3 2 3 2 2" xfId="9208" xr:uid="{00000000-0005-0000-0000-0000616D0000}"/>
    <cellStyle name="Porcentaje 2 2 2 2 3 2 3 2 2 2" xfId="19068" xr:uid="{00000000-0005-0000-0000-0000626D0000}"/>
    <cellStyle name="Porcentaje 2 2 2 2 3 2 3 2 2 2 2" xfId="38783" xr:uid="{00000000-0005-0000-0000-0000636D0000}"/>
    <cellStyle name="Porcentaje 2 2 2 2 3 2 3 2 2 3" xfId="28926" xr:uid="{00000000-0005-0000-0000-0000646D0000}"/>
    <cellStyle name="Porcentaje 2 2 2 2 3 2 3 2 3" xfId="14140" xr:uid="{00000000-0005-0000-0000-0000656D0000}"/>
    <cellStyle name="Porcentaje 2 2 2 2 3 2 3 2 3 2" xfId="33855" xr:uid="{00000000-0005-0000-0000-0000666D0000}"/>
    <cellStyle name="Porcentaje 2 2 2 2 3 2 3 2 4" xfId="23998" xr:uid="{00000000-0005-0000-0000-0000676D0000}"/>
    <cellStyle name="Porcentaje 2 2 2 2 3 2 3 3" xfId="6744" xr:uid="{00000000-0005-0000-0000-0000686D0000}"/>
    <cellStyle name="Porcentaje 2 2 2 2 3 2 3 3 2" xfId="16604" xr:uid="{00000000-0005-0000-0000-0000696D0000}"/>
    <cellStyle name="Porcentaje 2 2 2 2 3 2 3 3 2 2" xfId="36319" xr:uid="{00000000-0005-0000-0000-00006A6D0000}"/>
    <cellStyle name="Porcentaje 2 2 2 2 3 2 3 3 3" xfId="26462" xr:uid="{00000000-0005-0000-0000-00006B6D0000}"/>
    <cellStyle name="Porcentaje 2 2 2 2 3 2 3 4" xfId="11676" xr:uid="{00000000-0005-0000-0000-00006C6D0000}"/>
    <cellStyle name="Porcentaje 2 2 2 2 3 2 3 4 2" xfId="31391" xr:uid="{00000000-0005-0000-0000-00006D6D0000}"/>
    <cellStyle name="Porcentaje 2 2 2 2 3 2 3 5" xfId="21534" xr:uid="{00000000-0005-0000-0000-00006E6D0000}"/>
    <cellStyle name="Porcentaje 2 2 2 2 3 2 4" xfId="3044" xr:uid="{00000000-0005-0000-0000-00006F6D0000}"/>
    <cellStyle name="Porcentaje 2 2 2 2 3 2 4 2" xfId="7976" xr:uid="{00000000-0005-0000-0000-0000706D0000}"/>
    <cellStyle name="Porcentaje 2 2 2 2 3 2 4 2 2" xfId="17836" xr:uid="{00000000-0005-0000-0000-0000716D0000}"/>
    <cellStyle name="Porcentaje 2 2 2 2 3 2 4 2 2 2" xfId="37551" xr:uid="{00000000-0005-0000-0000-0000726D0000}"/>
    <cellStyle name="Porcentaje 2 2 2 2 3 2 4 2 3" xfId="27694" xr:uid="{00000000-0005-0000-0000-0000736D0000}"/>
    <cellStyle name="Porcentaje 2 2 2 2 3 2 4 3" xfId="12908" xr:uid="{00000000-0005-0000-0000-0000746D0000}"/>
    <cellStyle name="Porcentaje 2 2 2 2 3 2 4 3 2" xfId="32623" xr:uid="{00000000-0005-0000-0000-0000756D0000}"/>
    <cellStyle name="Porcentaje 2 2 2 2 3 2 4 4" xfId="22766" xr:uid="{00000000-0005-0000-0000-0000766D0000}"/>
    <cellStyle name="Porcentaje 2 2 2 2 3 2 5" xfId="5512" xr:uid="{00000000-0005-0000-0000-0000776D0000}"/>
    <cellStyle name="Porcentaje 2 2 2 2 3 2 5 2" xfId="15372" xr:uid="{00000000-0005-0000-0000-0000786D0000}"/>
    <cellStyle name="Porcentaje 2 2 2 2 3 2 5 2 2" xfId="35087" xr:uid="{00000000-0005-0000-0000-0000796D0000}"/>
    <cellStyle name="Porcentaje 2 2 2 2 3 2 5 3" xfId="25230" xr:uid="{00000000-0005-0000-0000-00007A6D0000}"/>
    <cellStyle name="Porcentaje 2 2 2 2 3 2 6" xfId="10444" xr:uid="{00000000-0005-0000-0000-00007B6D0000}"/>
    <cellStyle name="Porcentaje 2 2 2 2 3 2 6 2" xfId="30159" xr:uid="{00000000-0005-0000-0000-00007C6D0000}"/>
    <cellStyle name="Porcentaje 2 2 2 2 3 2 7" xfId="20302" xr:uid="{00000000-0005-0000-0000-00007D6D0000}"/>
    <cellStyle name="Porcentaje 2 2 2 2 3 3" xfId="883" xr:uid="{00000000-0005-0000-0000-00007E6D0000}"/>
    <cellStyle name="Porcentaje 2 2 2 2 3 3 2" xfId="2119" xr:uid="{00000000-0005-0000-0000-00007F6D0000}"/>
    <cellStyle name="Porcentaje 2 2 2 2 3 3 2 2" xfId="4586" xr:uid="{00000000-0005-0000-0000-0000806D0000}"/>
    <cellStyle name="Porcentaje 2 2 2 2 3 3 2 2 2" xfId="9518" xr:uid="{00000000-0005-0000-0000-0000816D0000}"/>
    <cellStyle name="Porcentaje 2 2 2 2 3 3 2 2 2 2" xfId="19378" xr:uid="{00000000-0005-0000-0000-0000826D0000}"/>
    <cellStyle name="Porcentaje 2 2 2 2 3 3 2 2 2 2 2" xfId="39093" xr:uid="{00000000-0005-0000-0000-0000836D0000}"/>
    <cellStyle name="Porcentaje 2 2 2 2 3 3 2 2 2 3" xfId="29236" xr:uid="{00000000-0005-0000-0000-0000846D0000}"/>
    <cellStyle name="Porcentaje 2 2 2 2 3 3 2 2 3" xfId="14450" xr:uid="{00000000-0005-0000-0000-0000856D0000}"/>
    <cellStyle name="Porcentaje 2 2 2 2 3 3 2 2 3 2" xfId="34165" xr:uid="{00000000-0005-0000-0000-0000866D0000}"/>
    <cellStyle name="Porcentaje 2 2 2 2 3 3 2 2 4" xfId="24308" xr:uid="{00000000-0005-0000-0000-0000876D0000}"/>
    <cellStyle name="Porcentaje 2 2 2 2 3 3 2 3" xfId="7054" xr:uid="{00000000-0005-0000-0000-0000886D0000}"/>
    <cellStyle name="Porcentaje 2 2 2 2 3 3 2 3 2" xfId="16914" xr:uid="{00000000-0005-0000-0000-0000896D0000}"/>
    <cellStyle name="Porcentaje 2 2 2 2 3 3 2 3 2 2" xfId="36629" xr:uid="{00000000-0005-0000-0000-00008A6D0000}"/>
    <cellStyle name="Porcentaje 2 2 2 2 3 3 2 3 3" xfId="26772" xr:uid="{00000000-0005-0000-0000-00008B6D0000}"/>
    <cellStyle name="Porcentaje 2 2 2 2 3 3 2 4" xfId="11986" xr:uid="{00000000-0005-0000-0000-00008C6D0000}"/>
    <cellStyle name="Porcentaje 2 2 2 2 3 3 2 4 2" xfId="31701" xr:uid="{00000000-0005-0000-0000-00008D6D0000}"/>
    <cellStyle name="Porcentaje 2 2 2 2 3 3 2 5" xfId="21844" xr:uid="{00000000-0005-0000-0000-00008E6D0000}"/>
    <cellStyle name="Porcentaje 2 2 2 2 3 3 3" xfId="3354" xr:uid="{00000000-0005-0000-0000-00008F6D0000}"/>
    <cellStyle name="Porcentaje 2 2 2 2 3 3 3 2" xfId="8286" xr:uid="{00000000-0005-0000-0000-0000906D0000}"/>
    <cellStyle name="Porcentaje 2 2 2 2 3 3 3 2 2" xfId="18146" xr:uid="{00000000-0005-0000-0000-0000916D0000}"/>
    <cellStyle name="Porcentaje 2 2 2 2 3 3 3 2 2 2" xfId="37861" xr:uid="{00000000-0005-0000-0000-0000926D0000}"/>
    <cellStyle name="Porcentaje 2 2 2 2 3 3 3 2 3" xfId="28004" xr:uid="{00000000-0005-0000-0000-0000936D0000}"/>
    <cellStyle name="Porcentaje 2 2 2 2 3 3 3 3" xfId="13218" xr:uid="{00000000-0005-0000-0000-0000946D0000}"/>
    <cellStyle name="Porcentaje 2 2 2 2 3 3 3 3 2" xfId="32933" xr:uid="{00000000-0005-0000-0000-0000956D0000}"/>
    <cellStyle name="Porcentaje 2 2 2 2 3 3 3 4" xfId="23076" xr:uid="{00000000-0005-0000-0000-0000966D0000}"/>
    <cellStyle name="Porcentaje 2 2 2 2 3 3 4" xfId="5822" xr:uid="{00000000-0005-0000-0000-0000976D0000}"/>
    <cellStyle name="Porcentaje 2 2 2 2 3 3 4 2" xfId="15682" xr:uid="{00000000-0005-0000-0000-0000986D0000}"/>
    <cellStyle name="Porcentaje 2 2 2 2 3 3 4 2 2" xfId="35397" xr:uid="{00000000-0005-0000-0000-0000996D0000}"/>
    <cellStyle name="Porcentaje 2 2 2 2 3 3 4 3" xfId="25540" xr:uid="{00000000-0005-0000-0000-00009A6D0000}"/>
    <cellStyle name="Porcentaje 2 2 2 2 3 3 5" xfId="10754" xr:uid="{00000000-0005-0000-0000-00009B6D0000}"/>
    <cellStyle name="Porcentaje 2 2 2 2 3 3 5 2" xfId="30469" xr:uid="{00000000-0005-0000-0000-00009C6D0000}"/>
    <cellStyle name="Porcentaje 2 2 2 2 3 3 6" xfId="20612" xr:uid="{00000000-0005-0000-0000-00009D6D0000}"/>
    <cellStyle name="Porcentaje 2 2 2 2 3 4" xfId="1503" xr:uid="{00000000-0005-0000-0000-00009E6D0000}"/>
    <cellStyle name="Porcentaje 2 2 2 2 3 4 2" xfId="3970" xr:uid="{00000000-0005-0000-0000-00009F6D0000}"/>
    <cellStyle name="Porcentaje 2 2 2 2 3 4 2 2" xfId="8902" xr:uid="{00000000-0005-0000-0000-0000A06D0000}"/>
    <cellStyle name="Porcentaje 2 2 2 2 3 4 2 2 2" xfId="18762" xr:uid="{00000000-0005-0000-0000-0000A16D0000}"/>
    <cellStyle name="Porcentaje 2 2 2 2 3 4 2 2 2 2" xfId="38477" xr:uid="{00000000-0005-0000-0000-0000A26D0000}"/>
    <cellStyle name="Porcentaje 2 2 2 2 3 4 2 2 3" xfId="28620" xr:uid="{00000000-0005-0000-0000-0000A36D0000}"/>
    <cellStyle name="Porcentaje 2 2 2 2 3 4 2 3" xfId="13834" xr:uid="{00000000-0005-0000-0000-0000A46D0000}"/>
    <cellStyle name="Porcentaje 2 2 2 2 3 4 2 3 2" xfId="33549" xr:uid="{00000000-0005-0000-0000-0000A56D0000}"/>
    <cellStyle name="Porcentaje 2 2 2 2 3 4 2 4" xfId="23692" xr:uid="{00000000-0005-0000-0000-0000A66D0000}"/>
    <cellStyle name="Porcentaje 2 2 2 2 3 4 3" xfId="6438" xr:uid="{00000000-0005-0000-0000-0000A76D0000}"/>
    <cellStyle name="Porcentaje 2 2 2 2 3 4 3 2" xfId="16298" xr:uid="{00000000-0005-0000-0000-0000A86D0000}"/>
    <cellStyle name="Porcentaje 2 2 2 2 3 4 3 2 2" xfId="36013" xr:uid="{00000000-0005-0000-0000-0000A96D0000}"/>
    <cellStyle name="Porcentaje 2 2 2 2 3 4 3 3" xfId="26156" xr:uid="{00000000-0005-0000-0000-0000AA6D0000}"/>
    <cellStyle name="Porcentaje 2 2 2 2 3 4 4" xfId="11370" xr:uid="{00000000-0005-0000-0000-0000AB6D0000}"/>
    <cellStyle name="Porcentaje 2 2 2 2 3 4 4 2" xfId="31085" xr:uid="{00000000-0005-0000-0000-0000AC6D0000}"/>
    <cellStyle name="Porcentaje 2 2 2 2 3 4 5" xfId="21228" xr:uid="{00000000-0005-0000-0000-0000AD6D0000}"/>
    <cellStyle name="Porcentaje 2 2 2 2 3 5" xfId="2738" xr:uid="{00000000-0005-0000-0000-0000AE6D0000}"/>
    <cellStyle name="Porcentaje 2 2 2 2 3 5 2" xfId="7670" xr:uid="{00000000-0005-0000-0000-0000AF6D0000}"/>
    <cellStyle name="Porcentaje 2 2 2 2 3 5 2 2" xfId="17530" xr:uid="{00000000-0005-0000-0000-0000B06D0000}"/>
    <cellStyle name="Porcentaje 2 2 2 2 3 5 2 2 2" xfId="37245" xr:uid="{00000000-0005-0000-0000-0000B16D0000}"/>
    <cellStyle name="Porcentaje 2 2 2 2 3 5 2 3" xfId="27388" xr:uid="{00000000-0005-0000-0000-0000B26D0000}"/>
    <cellStyle name="Porcentaje 2 2 2 2 3 5 3" xfId="12602" xr:uid="{00000000-0005-0000-0000-0000B36D0000}"/>
    <cellStyle name="Porcentaje 2 2 2 2 3 5 3 2" xfId="32317" xr:uid="{00000000-0005-0000-0000-0000B46D0000}"/>
    <cellStyle name="Porcentaje 2 2 2 2 3 5 4" xfId="22460" xr:uid="{00000000-0005-0000-0000-0000B56D0000}"/>
    <cellStyle name="Porcentaje 2 2 2 2 3 6" xfId="5206" xr:uid="{00000000-0005-0000-0000-0000B66D0000}"/>
    <cellStyle name="Porcentaje 2 2 2 2 3 6 2" xfId="15066" xr:uid="{00000000-0005-0000-0000-0000B76D0000}"/>
    <cellStyle name="Porcentaje 2 2 2 2 3 6 2 2" xfId="34781" xr:uid="{00000000-0005-0000-0000-0000B86D0000}"/>
    <cellStyle name="Porcentaje 2 2 2 2 3 6 3" xfId="24924" xr:uid="{00000000-0005-0000-0000-0000B96D0000}"/>
    <cellStyle name="Porcentaje 2 2 2 2 3 7" xfId="10138" xr:uid="{00000000-0005-0000-0000-0000BA6D0000}"/>
    <cellStyle name="Porcentaje 2 2 2 2 3 7 2" xfId="29853" xr:uid="{00000000-0005-0000-0000-0000BB6D0000}"/>
    <cellStyle name="Porcentaje 2 2 2 2 3 8" xfId="19996" xr:uid="{00000000-0005-0000-0000-0000BC6D0000}"/>
    <cellStyle name="Porcentaje 2 2 2 2 4" xfId="418" xr:uid="{00000000-0005-0000-0000-0000BD6D0000}"/>
    <cellStyle name="Porcentaje 2 2 2 2 4 2" xfId="1038" xr:uid="{00000000-0005-0000-0000-0000BE6D0000}"/>
    <cellStyle name="Porcentaje 2 2 2 2 4 2 2" xfId="2273" xr:uid="{00000000-0005-0000-0000-0000BF6D0000}"/>
    <cellStyle name="Porcentaje 2 2 2 2 4 2 2 2" xfId="4740" xr:uid="{00000000-0005-0000-0000-0000C06D0000}"/>
    <cellStyle name="Porcentaje 2 2 2 2 4 2 2 2 2" xfId="9672" xr:uid="{00000000-0005-0000-0000-0000C16D0000}"/>
    <cellStyle name="Porcentaje 2 2 2 2 4 2 2 2 2 2" xfId="19532" xr:uid="{00000000-0005-0000-0000-0000C26D0000}"/>
    <cellStyle name="Porcentaje 2 2 2 2 4 2 2 2 2 2 2" xfId="39247" xr:uid="{00000000-0005-0000-0000-0000C36D0000}"/>
    <cellStyle name="Porcentaje 2 2 2 2 4 2 2 2 2 3" xfId="29390" xr:uid="{00000000-0005-0000-0000-0000C46D0000}"/>
    <cellStyle name="Porcentaje 2 2 2 2 4 2 2 2 3" xfId="14604" xr:uid="{00000000-0005-0000-0000-0000C56D0000}"/>
    <cellStyle name="Porcentaje 2 2 2 2 4 2 2 2 3 2" xfId="34319" xr:uid="{00000000-0005-0000-0000-0000C66D0000}"/>
    <cellStyle name="Porcentaje 2 2 2 2 4 2 2 2 4" xfId="24462" xr:uid="{00000000-0005-0000-0000-0000C76D0000}"/>
    <cellStyle name="Porcentaje 2 2 2 2 4 2 2 3" xfId="7208" xr:uid="{00000000-0005-0000-0000-0000C86D0000}"/>
    <cellStyle name="Porcentaje 2 2 2 2 4 2 2 3 2" xfId="17068" xr:uid="{00000000-0005-0000-0000-0000C96D0000}"/>
    <cellStyle name="Porcentaje 2 2 2 2 4 2 2 3 2 2" xfId="36783" xr:uid="{00000000-0005-0000-0000-0000CA6D0000}"/>
    <cellStyle name="Porcentaje 2 2 2 2 4 2 2 3 3" xfId="26926" xr:uid="{00000000-0005-0000-0000-0000CB6D0000}"/>
    <cellStyle name="Porcentaje 2 2 2 2 4 2 2 4" xfId="12140" xr:uid="{00000000-0005-0000-0000-0000CC6D0000}"/>
    <cellStyle name="Porcentaje 2 2 2 2 4 2 2 4 2" xfId="31855" xr:uid="{00000000-0005-0000-0000-0000CD6D0000}"/>
    <cellStyle name="Porcentaje 2 2 2 2 4 2 2 5" xfId="21998" xr:uid="{00000000-0005-0000-0000-0000CE6D0000}"/>
    <cellStyle name="Porcentaje 2 2 2 2 4 2 3" xfId="3508" xr:uid="{00000000-0005-0000-0000-0000CF6D0000}"/>
    <cellStyle name="Porcentaje 2 2 2 2 4 2 3 2" xfId="8440" xr:uid="{00000000-0005-0000-0000-0000D06D0000}"/>
    <cellStyle name="Porcentaje 2 2 2 2 4 2 3 2 2" xfId="18300" xr:uid="{00000000-0005-0000-0000-0000D16D0000}"/>
    <cellStyle name="Porcentaje 2 2 2 2 4 2 3 2 2 2" xfId="38015" xr:uid="{00000000-0005-0000-0000-0000D26D0000}"/>
    <cellStyle name="Porcentaje 2 2 2 2 4 2 3 2 3" xfId="28158" xr:uid="{00000000-0005-0000-0000-0000D36D0000}"/>
    <cellStyle name="Porcentaje 2 2 2 2 4 2 3 3" xfId="13372" xr:uid="{00000000-0005-0000-0000-0000D46D0000}"/>
    <cellStyle name="Porcentaje 2 2 2 2 4 2 3 3 2" xfId="33087" xr:uid="{00000000-0005-0000-0000-0000D56D0000}"/>
    <cellStyle name="Porcentaje 2 2 2 2 4 2 3 4" xfId="23230" xr:uid="{00000000-0005-0000-0000-0000D66D0000}"/>
    <cellStyle name="Porcentaje 2 2 2 2 4 2 4" xfId="5976" xr:uid="{00000000-0005-0000-0000-0000D76D0000}"/>
    <cellStyle name="Porcentaje 2 2 2 2 4 2 4 2" xfId="15836" xr:uid="{00000000-0005-0000-0000-0000D86D0000}"/>
    <cellStyle name="Porcentaje 2 2 2 2 4 2 4 2 2" xfId="35551" xr:uid="{00000000-0005-0000-0000-0000D96D0000}"/>
    <cellStyle name="Porcentaje 2 2 2 2 4 2 4 3" xfId="25694" xr:uid="{00000000-0005-0000-0000-0000DA6D0000}"/>
    <cellStyle name="Porcentaje 2 2 2 2 4 2 5" xfId="10908" xr:uid="{00000000-0005-0000-0000-0000DB6D0000}"/>
    <cellStyle name="Porcentaje 2 2 2 2 4 2 5 2" xfId="30623" xr:uid="{00000000-0005-0000-0000-0000DC6D0000}"/>
    <cellStyle name="Porcentaje 2 2 2 2 4 2 6" xfId="20766" xr:uid="{00000000-0005-0000-0000-0000DD6D0000}"/>
    <cellStyle name="Porcentaje 2 2 2 2 4 3" xfId="1657" xr:uid="{00000000-0005-0000-0000-0000DE6D0000}"/>
    <cellStyle name="Porcentaje 2 2 2 2 4 3 2" xfId="4124" xr:uid="{00000000-0005-0000-0000-0000DF6D0000}"/>
    <cellStyle name="Porcentaje 2 2 2 2 4 3 2 2" xfId="9056" xr:uid="{00000000-0005-0000-0000-0000E06D0000}"/>
    <cellStyle name="Porcentaje 2 2 2 2 4 3 2 2 2" xfId="18916" xr:uid="{00000000-0005-0000-0000-0000E16D0000}"/>
    <cellStyle name="Porcentaje 2 2 2 2 4 3 2 2 2 2" xfId="38631" xr:uid="{00000000-0005-0000-0000-0000E26D0000}"/>
    <cellStyle name="Porcentaje 2 2 2 2 4 3 2 2 3" xfId="28774" xr:uid="{00000000-0005-0000-0000-0000E36D0000}"/>
    <cellStyle name="Porcentaje 2 2 2 2 4 3 2 3" xfId="13988" xr:uid="{00000000-0005-0000-0000-0000E46D0000}"/>
    <cellStyle name="Porcentaje 2 2 2 2 4 3 2 3 2" xfId="33703" xr:uid="{00000000-0005-0000-0000-0000E56D0000}"/>
    <cellStyle name="Porcentaje 2 2 2 2 4 3 2 4" xfId="23846" xr:uid="{00000000-0005-0000-0000-0000E66D0000}"/>
    <cellStyle name="Porcentaje 2 2 2 2 4 3 3" xfId="6592" xr:uid="{00000000-0005-0000-0000-0000E76D0000}"/>
    <cellStyle name="Porcentaje 2 2 2 2 4 3 3 2" xfId="16452" xr:uid="{00000000-0005-0000-0000-0000E86D0000}"/>
    <cellStyle name="Porcentaje 2 2 2 2 4 3 3 2 2" xfId="36167" xr:uid="{00000000-0005-0000-0000-0000E96D0000}"/>
    <cellStyle name="Porcentaje 2 2 2 2 4 3 3 3" xfId="26310" xr:uid="{00000000-0005-0000-0000-0000EA6D0000}"/>
    <cellStyle name="Porcentaje 2 2 2 2 4 3 4" xfId="11524" xr:uid="{00000000-0005-0000-0000-0000EB6D0000}"/>
    <cellStyle name="Porcentaje 2 2 2 2 4 3 4 2" xfId="31239" xr:uid="{00000000-0005-0000-0000-0000EC6D0000}"/>
    <cellStyle name="Porcentaje 2 2 2 2 4 3 5" xfId="21382" xr:uid="{00000000-0005-0000-0000-0000ED6D0000}"/>
    <cellStyle name="Porcentaje 2 2 2 2 4 4" xfId="2892" xr:uid="{00000000-0005-0000-0000-0000EE6D0000}"/>
    <cellStyle name="Porcentaje 2 2 2 2 4 4 2" xfId="7824" xr:uid="{00000000-0005-0000-0000-0000EF6D0000}"/>
    <cellStyle name="Porcentaje 2 2 2 2 4 4 2 2" xfId="17684" xr:uid="{00000000-0005-0000-0000-0000F06D0000}"/>
    <cellStyle name="Porcentaje 2 2 2 2 4 4 2 2 2" xfId="37399" xr:uid="{00000000-0005-0000-0000-0000F16D0000}"/>
    <cellStyle name="Porcentaje 2 2 2 2 4 4 2 3" xfId="27542" xr:uid="{00000000-0005-0000-0000-0000F26D0000}"/>
    <cellStyle name="Porcentaje 2 2 2 2 4 4 3" xfId="12756" xr:uid="{00000000-0005-0000-0000-0000F36D0000}"/>
    <cellStyle name="Porcentaje 2 2 2 2 4 4 3 2" xfId="32471" xr:uid="{00000000-0005-0000-0000-0000F46D0000}"/>
    <cellStyle name="Porcentaje 2 2 2 2 4 4 4" xfId="22614" xr:uid="{00000000-0005-0000-0000-0000F56D0000}"/>
    <cellStyle name="Porcentaje 2 2 2 2 4 5" xfId="5360" xr:uid="{00000000-0005-0000-0000-0000F66D0000}"/>
    <cellStyle name="Porcentaje 2 2 2 2 4 5 2" xfId="15220" xr:uid="{00000000-0005-0000-0000-0000F76D0000}"/>
    <cellStyle name="Porcentaje 2 2 2 2 4 5 2 2" xfId="34935" xr:uid="{00000000-0005-0000-0000-0000F86D0000}"/>
    <cellStyle name="Porcentaje 2 2 2 2 4 5 3" xfId="25078" xr:uid="{00000000-0005-0000-0000-0000F96D0000}"/>
    <cellStyle name="Porcentaje 2 2 2 2 4 6" xfId="10292" xr:uid="{00000000-0005-0000-0000-0000FA6D0000}"/>
    <cellStyle name="Porcentaje 2 2 2 2 4 6 2" xfId="30007" xr:uid="{00000000-0005-0000-0000-0000FB6D0000}"/>
    <cellStyle name="Porcentaje 2 2 2 2 4 7" xfId="20150" xr:uid="{00000000-0005-0000-0000-0000FC6D0000}"/>
    <cellStyle name="Porcentaje 2 2 2 2 5" xfId="731" xr:uid="{00000000-0005-0000-0000-0000FD6D0000}"/>
    <cellStyle name="Porcentaje 2 2 2 2 5 2" xfId="1967" xr:uid="{00000000-0005-0000-0000-0000FE6D0000}"/>
    <cellStyle name="Porcentaje 2 2 2 2 5 2 2" xfId="4434" xr:uid="{00000000-0005-0000-0000-0000FF6D0000}"/>
    <cellStyle name="Porcentaje 2 2 2 2 5 2 2 2" xfId="9366" xr:uid="{00000000-0005-0000-0000-0000006E0000}"/>
    <cellStyle name="Porcentaje 2 2 2 2 5 2 2 2 2" xfId="19226" xr:uid="{00000000-0005-0000-0000-0000016E0000}"/>
    <cellStyle name="Porcentaje 2 2 2 2 5 2 2 2 2 2" xfId="38941" xr:uid="{00000000-0005-0000-0000-0000026E0000}"/>
    <cellStyle name="Porcentaje 2 2 2 2 5 2 2 2 3" xfId="29084" xr:uid="{00000000-0005-0000-0000-0000036E0000}"/>
    <cellStyle name="Porcentaje 2 2 2 2 5 2 2 3" xfId="14298" xr:uid="{00000000-0005-0000-0000-0000046E0000}"/>
    <cellStyle name="Porcentaje 2 2 2 2 5 2 2 3 2" xfId="34013" xr:uid="{00000000-0005-0000-0000-0000056E0000}"/>
    <cellStyle name="Porcentaje 2 2 2 2 5 2 2 4" xfId="24156" xr:uid="{00000000-0005-0000-0000-0000066E0000}"/>
    <cellStyle name="Porcentaje 2 2 2 2 5 2 3" xfId="6902" xr:uid="{00000000-0005-0000-0000-0000076E0000}"/>
    <cellStyle name="Porcentaje 2 2 2 2 5 2 3 2" xfId="16762" xr:uid="{00000000-0005-0000-0000-0000086E0000}"/>
    <cellStyle name="Porcentaje 2 2 2 2 5 2 3 2 2" xfId="36477" xr:uid="{00000000-0005-0000-0000-0000096E0000}"/>
    <cellStyle name="Porcentaje 2 2 2 2 5 2 3 3" xfId="26620" xr:uid="{00000000-0005-0000-0000-00000A6E0000}"/>
    <cellStyle name="Porcentaje 2 2 2 2 5 2 4" xfId="11834" xr:uid="{00000000-0005-0000-0000-00000B6E0000}"/>
    <cellStyle name="Porcentaje 2 2 2 2 5 2 4 2" xfId="31549" xr:uid="{00000000-0005-0000-0000-00000C6E0000}"/>
    <cellStyle name="Porcentaje 2 2 2 2 5 2 5" xfId="21692" xr:uid="{00000000-0005-0000-0000-00000D6E0000}"/>
    <cellStyle name="Porcentaje 2 2 2 2 5 3" xfId="3202" xr:uid="{00000000-0005-0000-0000-00000E6E0000}"/>
    <cellStyle name="Porcentaje 2 2 2 2 5 3 2" xfId="8134" xr:uid="{00000000-0005-0000-0000-00000F6E0000}"/>
    <cellStyle name="Porcentaje 2 2 2 2 5 3 2 2" xfId="17994" xr:uid="{00000000-0005-0000-0000-0000106E0000}"/>
    <cellStyle name="Porcentaje 2 2 2 2 5 3 2 2 2" xfId="37709" xr:uid="{00000000-0005-0000-0000-0000116E0000}"/>
    <cellStyle name="Porcentaje 2 2 2 2 5 3 2 3" xfId="27852" xr:uid="{00000000-0005-0000-0000-0000126E0000}"/>
    <cellStyle name="Porcentaje 2 2 2 2 5 3 3" xfId="13066" xr:uid="{00000000-0005-0000-0000-0000136E0000}"/>
    <cellStyle name="Porcentaje 2 2 2 2 5 3 3 2" xfId="32781" xr:uid="{00000000-0005-0000-0000-0000146E0000}"/>
    <cellStyle name="Porcentaje 2 2 2 2 5 3 4" xfId="22924" xr:uid="{00000000-0005-0000-0000-0000156E0000}"/>
    <cellStyle name="Porcentaje 2 2 2 2 5 4" xfId="5670" xr:uid="{00000000-0005-0000-0000-0000166E0000}"/>
    <cellStyle name="Porcentaje 2 2 2 2 5 4 2" xfId="15530" xr:uid="{00000000-0005-0000-0000-0000176E0000}"/>
    <cellStyle name="Porcentaje 2 2 2 2 5 4 2 2" xfId="35245" xr:uid="{00000000-0005-0000-0000-0000186E0000}"/>
    <cellStyle name="Porcentaje 2 2 2 2 5 4 3" xfId="25388" xr:uid="{00000000-0005-0000-0000-0000196E0000}"/>
    <cellStyle name="Porcentaje 2 2 2 2 5 5" xfId="10602" xr:uid="{00000000-0005-0000-0000-00001A6E0000}"/>
    <cellStyle name="Porcentaje 2 2 2 2 5 5 2" xfId="30317" xr:uid="{00000000-0005-0000-0000-00001B6E0000}"/>
    <cellStyle name="Porcentaje 2 2 2 2 5 6" xfId="20460" xr:uid="{00000000-0005-0000-0000-00001C6E0000}"/>
    <cellStyle name="Porcentaje 2 2 2 2 6" xfId="1351" xr:uid="{00000000-0005-0000-0000-00001D6E0000}"/>
    <cellStyle name="Porcentaje 2 2 2 2 6 2" xfId="3818" xr:uid="{00000000-0005-0000-0000-00001E6E0000}"/>
    <cellStyle name="Porcentaje 2 2 2 2 6 2 2" xfId="8750" xr:uid="{00000000-0005-0000-0000-00001F6E0000}"/>
    <cellStyle name="Porcentaje 2 2 2 2 6 2 2 2" xfId="18610" xr:uid="{00000000-0005-0000-0000-0000206E0000}"/>
    <cellStyle name="Porcentaje 2 2 2 2 6 2 2 2 2" xfId="38325" xr:uid="{00000000-0005-0000-0000-0000216E0000}"/>
    <cellStyle name="Porcentaje 2 2 2 2 6 2 2 3" xfId="28468" xr:uid="{00000000-0005-0000-0000-0000226E0000}"/>
    <cellStyle name="Porcentaje 2 2 2 2 6 2 3" xfId="13682" xr:uid="{00000000-0005-0000-0000-0000236E0000}"/>
    <cellStyle name="Porcentaje 2 2 2 2 6 2 3 2" xfId="33397" xr:uid="{00000000-0005-0000-0000-0000246E0000}"/>
    <cellStyle name="Porcentaje 2 2 2 2 6 2 4" xfId="23540" xr:uid="{00000000-0005-0000-0000-0000256E0000}"/>
    <cellStyle name="Porcentaje 2 2 2 2 6 3" xfId="6286" xr:uid="{00000000-0005-0000-0000-0000266E0000}"/>
    <cellStyle name="Porcentaje 2 2 2 2 6 3 2" xfId="16146" xr:uid="{00000000-0005-0000-0000-0000276E0000}"/>
    <cellStyle name="Porcentaje 2 2 2 2 6 3 2 2" xfId="35861" xr:uid="{00000000-0005-0000-0000-0000286E0000}"/>
    <cellStyle name="Porcentaje 2 2 2 2 6 3 3" xfId="26004" xr:uid="{00000000-0005-0000-0000-0000296E0000}"/>
    <cellStyle name="Porcentaje 2 2 2 2 6 4" xfId="11218" xr:uid="{00000000-0005-0000-0000-00002A6E0000}"/>
    <cellStyle name="Porcentaje 2 2 2 2 6 4 2" xfId="30933" xr:uid="{00000000-0005-0000-0000-00002B6E0000}"/>
    <cellStyle name="Porcentaje 2 2 2 2 6 5" xfId="21076" xr:uid="{00000000-0005-0000-0000-00002C6E0000}"/>
    <cellStyle name="Porcentaje 2 2 2 2 7" xfId="2586" xr:uid="{00000000-0005-0000-0000-00002D6E0000}"/>
    <cellStyle name="Porcentaje 2 2 2 2 7 2" xfId="7518" xr:uid="{00000000-0005-0000-0000-00002E6E0000}"/>
    <cellStyle name="Porcentaje 2 2 2 2 7 2 2" xfId="17378" xr:uid="{00000000-0005-0000-0000-00002F6E0000}"/>
    <cellStyle name="Porcentaje 2 2 2 2 7 2 2 2" xfId="37093" xr:uid="{00000000-0005-0000-0000-0000306E0000}"/>
    <cellStyle name="Porcentaje 2 2 2 2 7 2 3" xfId="27236" xr:uid="{00000000-0005-0000-0000-0000316E0000}"/>
    <cellStyle name="Porcentaje 2 2 2 2 7 3" xfId="12450" xr:uid="{00000000-0005-0000-0000-0000326E0000}"/>
    <cellStyle name="Porcentaje 2 2 2 2 7 3 2" xfId="32165" xr:uid="{00000000-0005-0000-0000-0000336E0000}"/>
    <cellStyle name="Porcentaje 2 2 2 2 7 4" xfId="22308" xr:uid="{00000000-0005-0000-0000-0000346E0000}"/>
    <cellStyle name="Porcentaje 2 2 2 2 8" xfId="5054" xr:uid="{00000000-0005-0000-0000-0000356E0000}"/>
    <cellStyle name="Porcentaje 2 2 2 2 8 2" xfId="14914" xr:uid="{00000000-0005-0000-0000-0000366E0000}"/>
    <cellStyle name="Porcentaje 2 2 2 2 8 2 2" xfId="34629" xr:uid="{00000000-0005-0000-0000-0000376E0000}"/>
    <cellStyle name="Porcentaje 2 2 2 2 8 3" xfId="24772" xr:uid="{00000000-0005-0000-0000-0000386E0000}"/>
    <cellStyle name="Porcentaje 2 2 2 2 9" xfId="9986" xr:uid="{00000000-0005-0000-0000-0000396E0000}"/>
    <cellStyle name="Porcentaje 2 2 2 2 9 2" xfId="29701" xr:uid="{00000000-0005-0000-0000-00003A6E0000}"/>
    <cellStyle name="Porcentaje 2 2 2 3" xfId="137" xr:uid="{00000000-0005-0000-0000-00003B6E0000}"/>
    <cellStyle name="Porcentaje 2 2 2 3 2" xfId="294" xr:uid="{00000000-0005-0000-0000-00003C6E0000}"/>
    <cellStyle name="Porcentaje 2 2 2 3 2 2" xfId="608" xr:uid="{00000000-0005-0000-0000-00003D6E0000}"/>
    <cellStyle name="Porcentaje 2 2 2 3 2 2 2" xfId="1228" xr:uid="{00000000-0005-0000-0000-00003E6E0000}"/>
    <cellStyle name="Porcentaje 2 2 2 3 2 2 2 2" xfId="2463" xr:uid="{00000000-0005-0000-0000-00003F6E0000}"/>
    <cellStyle name="Porcentaje 2 2 2 3 2 2 2 2 2" xfId="4930" xr:uid="{00000000-0005-0000-0000-0000406E0000}"/>
    <cellStyle name="Porcentaje 2 2 2 3 2 2 2 2 2 2" xfId="9862" xr:uid="{00000000-0005-0000-0000-0000416E0000}"/>
    <cellStyle name="Porcentaje 2 2 2 3 2 2 2 2 2 2 2" xfId="19722" xr:uid="{00000000-0005-0000-0000-0000426E0000}"/>
    <cellStyle name="Porcentaje 2 2 2 3 2 2 2 2 2 2 2 2" xfId="39437" xr:uid="{00000000-0005-0000-0000-0000436E0000}"/>
    <cellStyle name="Porcentaje 2 2 2 3 2 2 2 2 2 2 3" xfId="29580" xr:uid="{00000000-0005-0000-0000-0000446E0000}"/>
    <cellStyle name="Porcentaje 2 2 2 3 2 2 2 2 2 3" xfId="14794" xr:uid="{00000000-0005-0000-0000-0000456E0000}"/>
    <cellStyle name="Porcentaje 2 2 2 3 2 2 2 2 2 3 2" xfId="34509" xr:uid="{00000000-0005-0000-0000-0000466E0000}"/>
    <cellStyle name="Porcentaje 2 2 2 3 2 2 2 2 2 4" xfId="24652" xr:uid="{00000000-0005-0000-0000-0000476E0000}"/>
    <cellStyle name="Porcentaje 2 2 2 3 2 2 2 2 3" xfId="7398" xr:uid="{00000000-0005-0000-0000-0000486E0000}"/>
    <cellStyle name="Porcentaje 2 2 2 3 2 2 2 2 3 2" xfId="17258" xr:uid="{00000000-0005-0000-0000-0000496E0000}"/>
    <cellStyle name="Porcentaje 2 2 2 3 2 2 2 2 3 2 2" xfId="36973" xr:uid="{00000000-0005-0000-0000-00004A6E0000}"/>
    <cellStyle name="Porcentaje 2 2 2 3 2 2 2 2 3 3" xfId="27116" xr:uid="{00000000-0005-0000-0000-00004B6E0000}"/>
    <cellStyle name="Porcentaje 2 2 2 3 2 2 2 2 4" xfId="12330" xr:uid="{00000000-0005-0000-0000-00004C6E0000}"/>
    <cellStyle name="Porcentaje 2 2 2 3 2 2 2 2 4 2" xfId="32045" xr:uid="{00000000-0005-0000-0000-00004D6E0000}"/>
    <cellStyle name="Porcentaje 2 2 2 3 2 2 2 2 5" xfId="22188" xr:uid="{00000000-0005-0000-0000-00004E6E0000}"/>
    <cellStyle name="Porcentaje 2 2 2 3 2 2 2 3" xfId="3698" xr:uid="{00000000-0005-0000-0000-00004F6E0000}"/>
    <cellStyle name="Porcentaje 2 2 2 3 2 2 2 3 2" xfId="8630" xr:uid="{00000000-0005-0000-0000-0000506E0000}"/>
    <cellStyle name="Porcentaje 2 2 2 3 2 2 2 3 2 2" xfId="18490" xr:uid="{00000000-0005-0000-0000-0000516E0000}"/>
    <cellStyle name="Porcentaje 2 2 2 3 2 2 2 3 2 2 2" xfId="38205" xr:uid="{00000000-0005-0000-0000-0000526E0000}"/>
    <cellStyle name="Porcentaje 2 2 2 3 2 2 2 3 2 3" xfId="28348" xr:uid="{00000000-0005-0000-0000-0000536E0000}"/>
    <cellStyle name="Porcentaje 2 2 2 3 2 2 2 3 3" xfId="13562" xr:uid="{00000000-0005-0000-0000-0000546E0000}"/>
    <cellStyle name="Porcentaje 2 2 2 3 2 2 2 3 3 2" xfId="33277" xr:uid="{00000000-0005-0000-0000-0000556E0000}"/>
    <cellStyle name="Porcentaje 2 2 2 3 2 2 2 3 4" xfId="23420" xr:uid="{00000000-0005-0000-0000-0000566E0000}"/>
    <cellStyle name="Porcentaje 2 2 2 3 2 2 2 4" xfId="6166" xr:uid="{00000000-0005-0000-0000-0000576E0000}"/>
    <cellStyle name="Porcentaje 2 2 2 3 2 2 2 4 2" xfId="16026" xr:uid="{00000000-0005-0000-0000-0000586E0000}"/>
    <cellStyle name="Porcentaje 2 2 2 3 2 2 2 4 2 2" xfId="35741" xr:uid="{00000000-0005-0000-0000-0000596E0000}"/>
    <cellStyle name="Porcentaje 2 2 2 3 2 2 2 4 3" xfId="25884" xr:uid="{00000000-0005-0000-0000-00005A6E0000}"/>
    <cellStyle name="Porcentaje 2 2 2 3 2 2 2 5" xfId="11098" xr:uid="{00000000-0005-0000-0000-00005B6E0000}"/>
    <cellStyle name="Porcentaje 2 2 2 3 2 2 2 5 2" xfId="30813" xr:uid="{00000000-0005-0000-0000-00005C6E0000}"/>
    <cellStyle name="Porcentaje 2 2 2 3 2 2 2 6" xfId="20956" xr:uid="{00000000-0005-0000-0000-00005D6E0000}"/>
    <cellStyle name="Porcentaje 2 2 2 3 2 2 3" xfId="1847" xr:uid="{00000000-0005-0000-0000-00005E6E0000}"/>
    <cellStyle name="Porcentaje 2 2 2 3 2 2 3 2" xfId="4314" xr:uid="{00000000-0005-0000-0000-00005F6E0000}"/>
    <cellStyle name="Porcentaje 2 2 2 3 2 2 3 2 2" xfId="9246" xr:uid="{00000000-0005-0000-0000-0000606E0000}"/>
    <cellStyle name="Porcentaje 2 2 2 3 2 2 3 2 2 2" xfId="19106" xr:uid="{00000000-0005-0000-0000-0000616E0000}"/>
    <cellStyle name="Porcentaje 2 2 2 3 2 2 3 2 2 2 2" xfId="38821" xr:uid="{00000000-0005-0000-0000-0000626E0000}"/>
    <cellStyle name="Porcentaje 2 2 2 3 2 2 3 2 2 3" xfId="28964" xr:uid="{00000000-0005-0000-0000-0000636E0000}"/>
    <cellStyle name="Porcentaje 2 2 2 3 2 2 3 2 3" xfId="14178" xr:uid="{00000000-0005-0000-0000-0000646E0000}"/>
    <cellStyle name="Porcentaje 2 2 2 3 2 2 3 2 3 2" xfId="33893" xr:uid="{00000000-0005-0000-0000-0000656E0000}"/>
    <cellStyle name="Porcentaje 2 2 2 3 2 2 3 2 4" xfId="24036" xr:uid="{00000000-0005-0000-0000-0000666E0000}"/>
    <cellStyle name="Porcentaje 2 2 2 3 2 2 3 3" xfId="6782" xr:uid="{00000000-0005-0000-0000-0000676E0000}"/>
    <cellStyle name="Porcentaje 2 2 2 3 2 2 3 3 2" xfId="16642" xr:uid="{00000000-0005-0000-0000-0000686E0000}"/>
    <cellStyle name="Porcentaje 2 2 2 3 2 2 3 3 2 2" xfId="36357" xr:uid="{00000000-0005-0000-0000-0000696E0000}"/>
    <cellStyle name="Porcentaje 2 2 2 3 2 2 3 3 3" xfId="26500" xr:uid="{00000000-0005-0000-0000-00006A6E0000}"/>
    <cellStyle name="Porcentaje 2 2 2 3 2 2 3 4" xfId="11714" xr:uid="{00000000-0005-0000-0000-00006B6E0000}"/>
    <cellStyle name="Porcentaje 2 2 2 3 2 2 3 4 2" xfId="31429" xr:uid="{00000000-0005-0000-0000-00006C6E0000}"/>
    <cellStyle name="Porcentaje 2 2 2 3 2 2 3 5" xfId="21572" xr:uid="{00000000-0005-0000-0000-00006D6E0000}"/>
    <cellStyle name="Porcentaje 2 2 2 3 2 2 4" xfId="3082" xr:uid="{00000000-0005-0000-0000-00006E6E0000}"/>
    <cellStyle name="Porcentaje 2 2 2 3 2 2 4 2" xfId="8014" xr:uid="{00000000-0005-0000-0000-00006F6E0000}"/>
    <cellStyle name="Porcentaje 2 2 2 3 2 2 4 2 2" xfId="17874" xr:uid="{00000000-0005-0000-0000-0000706E0000}"/>
    <cellStyle name="Porcentaje 2 2 2 3 2 2 4 2 2 2" xfId="37589" xr:uid="{00000000-0005-0000-0000-0000716E0000}"/>
    <cellStyle name="Porcentaje 2 2 2 3 2 2 4 2 3" xfId="27732" xr:uid="{00000000-0005-0000-0000-0000726E0000}"/>
    <cellStyle name="Porcentaje 2 2 2 3 2 2 4 3" xfId="12946" xr:uid="{00000000-0005-0000-0000-0000736E0000}"/>
    <cellStyle name="Porcentaje 2 2 2 3 2 2 4 3 2" xfId="32661" xr:uid="{00000000-0005-0000-0000-0000746E0000}"/>
    <cellStyle name="Porcentaje 2 2 2 3 2 2 4 4" xfId="22804" xr:uid="{00000000-0005-0000-0000-0000756E0000}"/>
    <cellStyle name="Porcentaje 2 2 2 3 2 2 5" xfId="5550" xr:uid="{00000000-0005-0000-0000-0000766E0000}"/>
    <cellStyle name="Porcentaje 2 2 2 3 2 2 5 2" xfId="15410" xr:uid="{00000000-0005-0000-0000-0000776E0000}"/>
    <cellStyle name="Porcentaje 2 2 2 3 2 2 5 2 2" xfId="35125" xr:uid="{00000000-0005-0000-0000-0000786E0000}"/>
    <cellStyle name="Porcentaje 2 2 2 3 2 2 5 3" xfId="25268" xr:uid="{00000000-0005-0000-0000-0000796E0000}"/>
    <cellStyle name="Porcentaje 2 2 2 3 2 2 6" xfId="10482" xr:uid="{00000000-0005-0000-0000-00007A6E0000}"/>
    <cellStyle name="Porcentaje 2 2 2 3 2 2 6 2" xfId="30197" xr:uid="{00000000-0005-0000-0000-00007B6E0000}"/>
    <cellStyle name="Porcentaje 2 2 2 3 2 2 7" xfId="20340" xr:uid="{00000000-0005-0000-0000-00007C6E0000}"/>
    <cellStyle name="Porcentaje 2 2 2 3 2 3" xfId="921" xr:uid="{00000000-0005-0000-0000-00007D6E0000}"/>
    <cellStyle name="Porcentaje 2 2 2 3 2 3 2" xfId="2157" xr:uid="{00000000-0005-0000-0000-00007E6E0000}"/>
    <cellStyle name="Porcentaje 2 2 2 3 2 3 2 2" xfId="4624" xr:uid="{00000000-0005-0000-0000-00007F6E0000}"/>
    <cellStyle name="Porcentaje 2 2 2 3 2 3 2 2 2" xfId="9556" xr:uid="{00000000-0005-0000-0000-0000806E0000}"/>
    <cellStyle name="Porcentaje 2 2 2 3 2 3 2 2 2 2" xfId="19416" xr:uid="{00000000-0005-0000-0000-0000816E0000}"/>
    <cellStyle name="Porcentaje 2 2 2 3 2 3 2 2 2 2 2" xfId="39131" xr:uid="{00000000-0005-0000-0000-0000826E0000}"/>
    <cellStyle name="Porcentaje 2 2 2 3 2 3 2 2 2 3" xfId="29274" xr:uid="{00000000-0005-0000-0000-0000836E0000}"/>
    <cellStyle name="Porcentaje 2 2 2 3 2 3 2 2 3" xfId="14488" xr:uid="{00000000-0005-0000-0000-0000846E0000}"/>
    <cellStyle name="Porcentaje 2 2 2 3 2 3 2 2 3 2" xfId="34203" xr:uid="{00000000-0005-0000-0000-0000856E0000}"/>
    <cellStyle name="Porcentaje 2 2 2 3 2 3 2 2 4" xfId="24346" xr:uid="{00000000-0005-0000-0000-0000866E0000}"/>
    <cellStyle name="Porcentaje 2 2 2 3 2 3 2 3" xfId="7092" xr:uid="{00000000-0005-0000-0000-0000876E0000}"/>
    <cellStyle name="Porcentaje 2 2 2 3 2 3 2 3 2" xfId="16952" xr:uid="{00000000-0005-0000-0000-0000886E0000}"/>
    <cellStyle name="Porcentaje 2 2 2 3 2 3 2 3 2 2" xfId="36667" xr:uid="{00000000-0005-0000-0000-0000896E0000}"/>
    <cellStyle name="Porcentaje 2 2 2 3 2 3 2 3 3" xfId="26810" xr:uid="{00000000-0005-0000-0000-00008A6E0000}"/>
    <cellStyle name="Porcentaje 2 2 2 3 2 3 2 4" xfId="12024" xr:uid="{00000000-0005-0000-0000-00008B6E0000}"/>
    <cellStyle name="Porcentaje 2 2 2 3 2 3 2 4 2" xfId="31739" xr:uid="{00000000-0005-0000-0000-00008C6E0000}"/>
    <cellStyle name="Porcentaje 2 2 2 3 2 3 2 5" xfId="21882" xr:uid="{00000000-0005-0000-0000-00008D6E0000}"/>
    <cellStyle name="Porcentaje 2 2 2 3 2 3 3" xfId="3392" xr:uid="{00000000-0005-0000-0000-00008E6E0000}"/>
    <cellStyle name="Porcentaje 2 2 2 3 2 3 3 2" xfId="8324" xr:uid="{00000000-0005-0000-0000-00008F6E0000}"/>
    <cellStyle name="Porcentaje 2 2 2 3 2 3 3 2 2" xfId="18184" xr:uid="{00000000-0005-0000-0000-0000906E0000}"/>
    <cellStyle name="Porcentaje 2 2 2 3 2 3 3 2 2 2" xfId="37899" xr:uid="{00000000-0005-0000-0000-0000916E0000}"/>
    <cellStyle name="Porcentaje 2 2 2 3 2 3 3 2 3" xfId="28042" xr:uid="{00000000-0005-0000-0000-0000926E0000}"/>
    <cellStyle name="Porcentaje 2 2 2 3 2 3 3 3" xfId="13256" xr:uid="{00000000-0005-0000-0000-0000936E0000}"/>
    <cellStyle name="Porcentaje 2 2 2 3 2 3 3 3 2" xfId="32971" xr:uid="{00000000-0005-0000-0000-0000946E0000}"/>
    <cellStyle name="Porcentaje 2 2 2 3 2 3 3 4" xfId="23114" xr:uid="{00000000-0005-0000-0000-0000956E0000}"/>
    <cellStyle name="Porcentaje 2 2 2 3 2 3 4" xfId="5860" xr:uid="{00000000-0005-0000-0000-0000966E0000}"/>
    <cellStyle name="Porcentaje 2 2 2 3 2 3 4 2" xfId="15720" xr:uid="{00000000-0005-0000-0000-0000976E0000}"/>
    <cellStyle name="Porcentaje 2 2 2 3 2 3 4 2 2" xfId="35435" xr:uid="{00000000-0005-0000-0000-0000986E0000}"/>
    <cellStyle name="Porcentaje 2 2 2 3 2 3 4 3" xfId="25578" xr:uid="{00000000-0005-0000-0000-0000996E0000}"/>
    <cellStyle name="Porcentaje 2 2 2 3 2 3 5" xfId="10792" xr:uid="{00000000-0005-0000-0000-00009A6E0000}"/>
    <cellStyle name="Porcentaje 2 2 2 3 2 3 5 2" xfId="30507" xr:uid="{00000000-0005-0000-0000-00009B6E0000}"/>
    <cellStyle name="Porcentaje 2 2 2 3 2 3 6" xfId="20650" xr:uid="{00000000-0005-0000-0000-00009C6E0000}"/>
    <cellStyle name="Porcentaje 2 2 2 3 2 4" xfId="1541" xr:uid="{00000000-0005-0000-0000-00009D6E0000}"/>
    <cellStyle name="Porcentaje 2 2 2 3 2 4 2" xfId="4008" xr:uid="{00000000-0005-0000-0000-00009E6E0000}"/>
    <cellStyle name="Porcentaje 2 2 2 3 2 4 2 2" xfId="8940" xr:uid="{00000000-0005-0000-0000-00009F6E0000}"/>
    <cellStyle name="Porcentaje 2 2 2 3 2 4 2 2 2" xfId="18800" xr:uid="{00000000-0005-0000-0000-0000A06E0000}"/>
    <cellStyle name="Porcentaje 2 2 2 3 2 4 2 2 2 2" xfId="38515" xr:uid="{00000000-0005-0000-0000-0000A16E0000}"/>
    <cellStyle name="Porcentaje 2 2 2 3 2 4 2 2 3" xfId="28658" xr:uid="{00000000-0005-0000-0000-0000A26E0000}"/>
    <cellStyle name="Porcentaje 2 2 2 3 2 4 2 3" xfId="13872" xr:uid="{00000000-0005-0000-0000-0000A36E0000}"/>
    <cellStyle name="Porcentaje 2 2 2 3 2 4 2 3 2" xfId="33587" xr:uid="{00000000-0005-0000-0000-0000A46E0000}"/>
    <cellStyle name="Porcentaje 2 2 2 3 2 4 2 4" xfId="23730" xr:uid="{00000000-0005-0000-0000-0000A56E0000}"/>
    <cellStyle name="Porcentaje 2 2 2 3 2 4 3" xfId="6476" xr:uid="{00000000-0005-0000-0000-0000A66E0000}"/>
    <cellStyle name="Porcentaje 2 2 2 3 2 4 3 2" xfId="16336" xr:uid="{00000000-0005-0000-0000-0000A76E0000}"/>
    <cellStyle name="Porcentaje 2 2 2 3 2 4 3 2 2" xfId="36051" xr:uid="{00000000-0005-0000-0000-0000A86E0000}"/>
    <cellStyle name="Porcentaje 2 2 2 3 2 4 3 3" xfId="26194" xr:uid="{00000000-0005-0000-0000-0000A96E0000}"/>
    <cellStyle name="Porcentaje 2 2 2 3 2 4 4" xfId="11408" xr:uid="{00000000-0005-0000-0000-0000AA6E0000}"/>
    <cellStyle name="Porcentaje 2 2 2 3 2 4 4 2" xfId="31123" xr:uid="{00000000-0005-0000-0000-0000AB6E0000}"/>
    <cellStyle name="Porcentaje 2 2 2 3 2 4 5" xfId="21266" xr:uid="{00000000-0005-0000-0000-0000AC6E0000}"/>
    <cellStyle name="Porcentaje 2 2 2 3 2 5" xfId="2776" xr:uid="{00000000-0005-0000-0000-0000AD6E0000}"/>
    <cellStyle name="Porcentaje 2 2 2 3 2 5 2" xfId="7708" xr:uid="{00000000-0005-0000-0000-0000AE6E0000}"/>
    <cellStyle name="Porcentaje 2 2 2 3 2 5 2 2" xfId="17568" xr:uid="{00000000-0005-0000-0000-0000AF6E0000}"/>
    <cellStyle name="Porcentaje 2 2 2 3 2 5 2 2 2" xfId="37283" xr:uid="{00000000-0005-0000-0000-0000B06E0000}"/>
    <cellStyle name="Porcentaje 2 2 2 3 2 5 2 3" xfId="27426" xr:uid="{00000000-0005-0000-0000-0000B16E0000}"/>
    <cellStyle name="Porcentaje 2 2 2 3 2 5 3" xfId="12640" xr:uid="{00000000-0005-0000-0000-0000B26E0000}"/>
    <cellStyle name="Porcentaje 2 2 2 3 2 5 3 2" xfId="32355" xr:uid="{00000000-0005-0000-0000-0000B36E0000}"/>
    <cellStyle name="Porcentaje 2 2 2 3 2 5 4" xfId="22498" xr:uid="{00000000-0005-0000-0000-0000B46E0000}"/>
    <cellStyle name="Porcentaje 2 2 2 3 2 6" xfId="5244" xr:uid="{00000000-0005-0000-0000-0000B56E0000}"/>
    <cellStyle name="Porcentaje 2 2 2 3 2 6 2" xfId="15104" xr:uid="{00000000-0005-0000-0000-0000B66E0000}"/>
    <cellStyle name="Porcentaje 2 2 2 3 2 6 2 2" xfId="34819" xr:uid="{00000000-0005-0000-0000-0000B76E0000}"/>
    <cellStyle name="Porcentaje 2 2 2 3 2 6 3" xfId="24962" xr:uid="{00000000-0005-0000-0000-0000B86E0000}"/>
    <cellStyle name="Porcentaje 2 2 2 3 2 7" xfId="10176" xr:uid="{00000000-0005-0000-0000-0000B96E0000}"/>
    <cellStyle name="Porcentaje 2 2 2 3 2 7 2" xfId="29891" xr:uid="{00000000-0005-0000-0000-0000BA6E0000}"/>
    <cellStyle name="Porcentaje 2 2 2 3 2 8" xfId="20034" xr:uid="{00000000-0005-0000-0000-0000BB6E0000}"/>
    <cellStyle name="Porcentaje 2 2 2 3 3" xfId="456" xr:uid="{00000000-0005-0000-0000-0000BC6E0000}"/>
    <cellStyle name="Porcentaje 2 2 2 3 3 2" xfId="1076" xr:uid="{00000000-0005-0000-0000-0000BD6E0000}"/>
    <cellStyle name="Porcentaje 2 2 2 3 3 2 2" xfId="2311" xr:uid="{00000000-0005-0000-0000-0000BE6E0000}"/>
    <cellStyle name="Porcentaje 2 2 2 3 3 2 2 2" xfId="4778" xr:uid="{00000000-0005-0000-0000-0000BF6E0000}"/>
    <cellStyle name="Porcentaje 2 2 2 3 3 2 2 2 2" xfId="9710" xr:uid="{00000000-0005-0000-0000-0000C06E0000}"/>
    <cellStyle name="Porcentaje 2 2 2 3 3 2 2 2 2 2" xfId="19570" xr:uid="{00000000-0005-0000-0000-0000C16E0000}"/>
    <cellStyle name="Porcentaje 2 2 2 3 3 2 2 2 2 2 2" xfId="39285" xr:uid="{00000000-0005-0000-0000-0000C26E0000}"/>
    <cellStyle name="Porcentaje 2 2 2 3 3 2 2 2 2 3" xfId="29428" xr:uid="{00000000-0005-0000-0000-0000C36E0000}"/>
    <cellStyle name="Porcentaje 2 2 2 3 3 2 2 2 3" xfId="14642" xr:uid="{00000000-0005-0000-0000-0000C46E0000}"/>
    <cellStyle name="Porcentaje 2 2 2 3 3 2 2 2 3 2" xfId="34357" xr:uid="{00000000-0005-0000-0000-0000C56E0000}"/>
    <cellStyle name="Porcentaje 2 2 2 3 3 2 2 2 4" xfId="24500" xr:uid="{00000000-0005-0000-0000-0000C66E0000}"/>
    <cellStyle name="Porcentaje 2 2 2 3 3 2 2 3" xfId="7246" xr:uid="{00000000-0005-0000-0000-0000C76E0000}"/>
    <cellStyle name="Porcentaje 2 2 2 3 3 2 2 3 2" xfId="17106" xr:uid="{00000000-0005-0000-0000-0000C86E0000}"/>
    <cellStyle name="Porcentaje 2 2 2 3 3 2 2 3 2 2" xfId="36821" xr:uid="{00000000-0005-0000-0000-0000C96E0000}"/>
    <cellStyle name="Porcentaje 2 2 2 3 3 2 2 3 3" xfId="26964" xr:uid="{00000000-0005-0000-0000-0000CA6E0000}"/>
    <cellStyle name="Porcentaje 2 2 2 3 3 2 2 4" xfId="12178" xr:uid="{00000000-0005-0000-0000-0000CB6E0000}"/>
    <cellStyle name="Porcentaje 2 2 2 3 3 2 2 4 2" xfId="31893" xr:uid="{00000000-0005-0000-0000-0000CC6E0000}"/>
    <cellStyle name="Porcentaje 2 2 2 3 3 2 2 5" xfId="22036" xr:uid="{00000000-0005-0000-0000-0000CD6E0000}"/>
    <cellStyle name="Porcentaje 2 2 2 3 3 2 3" xfId="3546" xr:uid="{00000000-0005-0000-0000-0000CE6E0000}"/>
    <cellStyle name="Porcentaje 2 2 2 3 3 2 3 2" xfId="8478" xr:uid="{00000000-0005-0000-0000-0000CF6E0000}"/>
    <cellStyle name="Porcentaje 2 2 2 3 3 2 3 2 2" xfId="18338" xr:uid="{00000000-0005-0000-0000-0000D06E0000}"/>
    <cellStyle name="Porcentaje 2 2 2 3 3 2 3 2 2 2" xfId="38053" xr:uid="{00000000-0005-0000-0000-0000D16E0000}"/>
    <cellStyle name="Porcentaje 2 2 2 3 3 2 3 2 3" xfId="28196" xr:uid="{00000000-0005-0000-0000-0000D26E0000}"/>
    <cellStyle name="Porcentaje 2 2 2 3 3 2 3 3" xfId="13410" xr:uid="{00000000-0005-0000-0000-0000D36E0000}"/>
    <cellStyle name="Porcentaje 2 2 2 3 3 2 3 3 2" xfId="33125" xr:uid="{00000000-0005-0000-0000-0000D46E0000}"/>
    <cellStyle name="Porcentaje 2 2 2 3 3 2 3 4" xfId="23268" xr:uid="{00000000-0005-0000-0000-0000D56E0000}"/>
    <cellStyle name="Porcentaje 2 2 2 3 3 2 4" xfId="6014" xr:uid="{00000000-0005-0000-0000-0000D66E0000}"/>
    <cellStyle name="Porcentaje 2 2 2 3 3 2 4 2" xfId="15874" xr:uid="{00000000-0005-0000-0000-0000D76E0000}"/>
    <cellStyle name="Porcentaje 2 2 2 3 3 2 4 2 2" xfId="35589" xr:uid="{00000000-0005-0000-0000-0000D86E0000}"/>
    <cellStyle name="Porcentaje 2 2 2 3 3 2 4 3" xfId="25732" xr:uid="{00000000-0005-0000-0000-0000D96E0000}"/>
    <cellStyle name="Porcentaje 2 2 2 3 3 2 5" xfId="10946" xr:uid="{00000000-0005-0000-0000-0000DA6E0000}"/>
    <cellStyle name="Porcentaje 2 2 2 3 3 2 5 2" xfId="30661" xr:uid="{00000000-0005-0000-0000-0000DB6E0000}"/>
    <cellStyle name="Porcentaje 2 2 2 3 3 2 6" xfId="20804" xr:uid="{00000000-0005-0000-0000-0000DC6E0000}"/>
    <cellStyle name="Porcentaje 2 2 2 3 3 3" xfId="1695" xr:uid="{00000000-0005-0000-0000-0000DD6E0000}"/>
    <cellStyle name="Porcentaje 2 2 2 3 3 3 2" xfId="4162" xr:uid="{00000000-0005-0000-0000-0000DE6E0000}"/>
    <cellStyle name="Porcentaje 2 2 2 3 3 3 2 2" xfId="9094" xr:uid="{00000000-0005-0000-0000-0000DF6E0000}"/>
    <cellStyle name="Porcentaje 2 2 2 3 3 3 2 2 2" xfId="18954" xr:uid="{00000000-0005-0000-0000-0000E06E0000}"/>
    <cellStyle name="Porcentaje 2 2 2 3 3 3 2 2 2 2" xfId="38669" xr:uid="{00000000-0005-0000-0000-0000E16E0000}"/>
    <cellStyle name="Porcentaje 2 2 2 3 3 3 2 2 3" xfId="28812" xr:uid="{00000000-0005-0000-0000-0000E26E0000}"/>
    <cellStyle name="Porcentaje 2 2 2 3 3 3 2 3" xfId="14026" xr:uid="{00000000-0005-0000-0000-0000E36E0000}"/>
    <cellStyle name="Porcentaje 2 2 2 3 3 3 2 3 2" xfId="33741" xr:uid="{00000000-0005-0000-0000-0000E46E0000}"/>
    <cellStyle name="Porcentaje 2 2 2 3 3 3 2 4" xfId="23884" xr:uid="{00000000-0005-0000-0000-0000E56E0000}"/>
    <cellStyle name="Porcentaje 2 2 2 3 3 3 3" xfId="6630" xr:uid="{00000000-0005-0000-0000-0000E66E0000}"/>
    <cellStyle name="Porcentaje 2 2 2 3 3 3 3 2" xfId="16490" xr:uid="{00000000-0005-0000-0000-0000E76E0000}"/>
    <cellStyle name="Porcentaje 2 2 2 3 3 3 3 2 2" xfId="36205" xr:uid="{00000000-0005-0000-0000-0000E86E0000}"/>
    <cellStyle name="Porcentaje 2 2 2 3 3 3 3 3" xfId="26348" xr:uid="{00000000-0005-0000-0000-0000E96E0000}"/>
    <cellStyle name="Porcentaje 2 2 2 3 3 3 4" xfId="11562" xr:uid="{00000000-0005-0000-0000-0000EA6E0000}"/>
    <cellStyle name="Porcentaje 2 2 2 3 3 3 4 2" xfId="31277" xr:uid="{00000000-0005-0000-0000-0000EB6E0000}"/>
    <cellStyle name="Porcentaje 2 2 2 3 3 3 5" xfId="21420" xr:uid="{00000000-0005-0000-0000-0000EC6E0000}"/>
    <cellStyle name="Porcentaje 2 2 2 3 3 4" xfId="2930" xr:uid="{00000000-0005-0000-0000-0000ED6E0000}"/>
    <cellStyle name="Porcentaje 2 2 2 3 3 4 2" xfId="7862" xr:uid="{00000000-0005-0000-0000-0000EE6E0000}"/>
    <cellStyle name="Porcentaje 2 2 2 3 3 4 2 2" xfId="17722" xr:uid="{00000000-0005-0000-0000-0000EF6E0000}"/>
    <cellStyle name="Porcentaje 2 2 2 3 3 4 2 2 2" xfId="37437" xr:uid="{00000000-0005-0000-0000-0000F06E0000}"/>
    <cellStyle name="Porcentaje 2 2 2 3 3 4 2 3" xfId="27580" xr:uid="{00000000-0005-0000-0000-0000F16E0000}"/>
    <cellStyle name="Porcentaje 2 2 2 3 3 4 3" xfId="12794" xr:uid="{00000000-0005-0000-0000-0000F26E0000}"/>
    <cellStyle name="Porcentaje 2 2 2 3 3 4 3 2" xfId="32509" xr:uid="{00000000-0005-0000-0000-0000F36E0000}"/>
    <cellStyle name="Porcentaje 2 2 2 3 3 4 4" xfId="22652" xr:uid="{00000000-0005-0000-0000-0000F46E0000}"/>
    <cellStyle name="Porcentaje 2 2 2 3 3 5" xfId="5398" xr:uid="{00000000-0005-0000-0000-0000F56E0000}"/>
    <cellStyle name="Porcentaje 2 2 2 3 3 5 2" xfId="15258" xr:uid="{00000000-0005-0000-0000-0000F66E0000}"/>
    <cellStyle name="Porcentaje 2 2 2 3 3 5 2 2" xfId="34973" xr:uid="{00000000-0005-0000-0000-0000F76E0000}"/>
    <cellStyle name="Porcentaje 2 2 2 3 3 5 3" xfId="25116" xr:uid="{00000000-0005-0000-0000-0000F86E0000}"/>
    <cellStyle name="Porcentaje 2 2 2 3 3 6" xfId="10330" xr:uid="{00000000-0005-0000-0000-0000F96E0000}"/>
    <cellStyle name="Porcentaje 2 2 2 3 3 6 2" xfId="30045" xr:uid="{00000000-0005-0000-0000-0000FA6E0000}"/>
    <cellStyle name="Porcentaje 2 2 2 3 3 7" xfId="20188" xr:uid="{00000000-0005-0000-0000-0000FB6E0000}"/>
    <cellStyle name="Porcentaje 2 2 2 3 4" xfId="769" xr:uid="{00000000-0005-0000-0000-0000FC6E0000}"/>
    <cellStyle name="Porcentaje 2 2 2 3 4 2" xfId="2005" xr:uid="{00000000-0005-0000-0000-0000FD6E0000}"/>
    <cellStyle name="Porcentaje 2 2 2 3 4 2 2" xfId="4472" xr:uid="{00000000-0005-0000-0000-0000FE6E0000}"/>
    <cellStyle name="Porcentaje 2 2 2 3 4 2 2 2" xfId="9404" xr:uid="{00000000-0005-0000-0000-0000FF6E0000}"/>
    <cellStyle name="Porcentaje 2 2 2 3 4 2 2 2 2" xfId="19264" xr:uid="{00000000-0005-0000-0000-0000006F0000}"/>
    <cellStyle name="Porcentaje 2 2 2 3 4 2 2 2 2 2" xfId="38979" xr:uid="{00000000-0005-0000-0000-0000016F0000}"/>
    <cellStyle name="Porcentaje 2 2 2 3 4 2 2 2 3" xfId="29122" xr:uid="{00000000-0005-0000-0000-0000026F0000}"/>
    <cellStyle name="Porcentaje 2 2 2 3 4 2 2 3" xfId="14336" xr:uid="{00000000-0005-0000-0000-0000036F0000}"/>
    <cellStyle name="Porcentaje 2 2 2 3 4 2 2 3 2" xfId="34051" xr:uid="{00000000-0005-0000-0000-0000046F0000}"/>
    <cellStyle name="Porcentaje 2 2 2 3 4 2 2 4" xfId="24194" xr:uid="{00000000-0005-0000-0000-0000056F0000}"/>
    <cellStyle name="Porcentaje 2 2 2 3 4 2 3" xfId="6940" xr:uid="{00000000-0005-0000-0000-0000066F0000}"/>
    <cellStyle name="Porcentaje 2 2 2 3 4 2 3 2" xfId="16800" xr:uid="{00000000-0005-0000-0000-0000076F0000}"/>
    <cellStyle name="Porcentaje 2 2 2 3 4 2 3 2 2" xfId="36515" xr:uid="{00000000-0005-0000-0000-0000086F0000}"/>
    <cellStyle name="Porcentaje 2 2 2 3 4 2 3 3" xfId="26658" xr:uid="{00000000-0005-0000-0000-0000096F0000}"/>
    <cellStyle name="Porcentaje 2 2 2 3 4 2 4" xfId="11872" xr:uid="{00000000-0005-0000-0000-00000A6F0000}"/>
    <cellStyle name="Porcentaje 2 2 2 3 4 2 4 2" xfId="31587" xr:uid="{00000000-0005-0000-0000-00000B6F0000}"/>
    <cellStyle name="Porcentaje 2 2 2 3 4 2 5" xfId="21730" xr:uid="{00000000-0005-0000-0000-00000C6F0000}"/>
    <cellStyle name="Porcentaje 2 2 2 3 4 3" xfId="3240" xr:uid="{00000000-0005-0000-0000-00000D6F0000}"/>
    <cellStyle name="Porcentaje 2 2 2 3 4 3 2" xfId="8172" xr:uid="{00000000-0005-0000-0000-00000E6F0000}"/>
    <cellStyle name="Porcentaje 2 2 2 3 4 3 2 2" xfId="18032" xr:uid="{00000000-0005-0000-0000-00000F6F0000}"/>
    <cellStyle name="Porcentaje 2 2 2 3 4 3 2 2 2" xfId="37747" xr:uid="{00000000-0005-0000-0000-0000106F0000}"/>
    <cellStyle name="Porcentaje 2 2 2 3 4 3 2 3" xfId="27890" xr:uid="{00000000-0005-0000-0000-0000116F0000}"/>
    <cellStyle name="Porcentaje 2 2 2 3 4 3 3" xfId="13104" xr:uid="{00000000-0005-0000-0000-0000126F0000}"/>
    <cellStyle name="Porcentaje 2 2 2 3 4 3 3 2" xfId="32819" xr:uid="{00000000-0005-0000-0000-0000136F0000}"/>
    <cellStyle name="Porcentaje 2 2 2 3 4 3 4" xfId="22962" xr:uid="{00000000-0005-0000-0000-0000146F0000}"/>
    <cellStyle name="Porcentaje 2 2 2 3 4 4" xfId="5708" xr:uid="{00000000-0005-0000-0000-0000156F0000}"/>
    <cellStyle name="Porcentaje 2 2 2 3 4 4 2" xfId="15568" xr:uid="{00000000-0005-0000-0000-0000166F0000}"/>
    <cellStyle name="Porcentaje 2 2 2 3 4 4 2 2" xfId="35283" xr:uid="{00000000-0005-0000-0000-0000176F0000}"/>
    <cellStyle name="Porcentaje 2 2 2 3 4 4 3" xfId="25426" xr:uid="{00000000-0005-0000-0000-0000186F0000}"/>
    <cellStyle name="Porcentaje 2 2 2 3 4 5" xfId="10640" xr:uid="{00000000-0005-0000-0000-0000196F0000}"/>
    <cellStyle name="Porcentaje 2 2 2 3 4 5 2" xfId="30355" xr:uid="{00000000-0005-0000-0000-00001A6F0000}"/>
    <cellStyle name="Porcentaje 2 2 2 3 4 6" xfId="20498" xr:uid="{00000000-0005-0000-0000-00001B6F0000}"/>
    <cellStyle name="Porcentaje 2 2 2 3 5" xfId="1389" xr:uid="{00000000-0005-0000-0000-00001C6F0000}"/>
    <cellStyle name="Porcentaje 2 2 2 3 5 2" xfId="3856" xr:uid="{00000000-0005-0000-0000-00001D6F0000}"/>
    <cellStyle name="Porcentaje 2 2 2 3 5 2 2" xfId="8788" xr:uid="{00000000-0005-0000-0000-00001E6F0000}"/>
    <cellStyle name="Porcentaje 2 2 2 3 5 2 2 2" xfId="18648" xr:uid="{00000000-0005-0000-0000-00001F6F0000}"/>
    <cellStyle name="Porcentaje 2 2 2 3 5 2 2 2 2" xfId="38363" xr:uid="{00000000-0005-0000-0000-0000206F0000}"/>
    <cellStyle name="Porcentaje 2 2 2 3 5 2 2 3" xfId="28506" xr:uid="{00000000-0005-0000-0000-0000216F0000}"/>
    <cellStyle name="Porcentaje 2 2 2 3 5 2 3" xfId="13720" xr:uid="{00000000-0005-0000-0000-0000226F0000}"/>
    <cellStyle name="Porcentaje 2 2 2 3 5 2 3 2" xfId="33435" xr:uid="{00000000-0005-0000-0000-0000236F0000}"/>
    <cellStyle name="Porcentaje 2 2 2 3 5 2 4" xfId="23578" xr:uid="{00000000-0005-0000-0000-0000246F0000}"/>
    <cellStyle name="Porcentaje 2 2 2 3 5 3" xfId="6324" xr:uid="{00000000-0005-0000-0000-0000256F0000}"/>
    <cellStyle name="Porcentaje 2 2 2 3 5 3 2" xfId="16184" xr:uid="{00000000-0005-0000-0000-0000266F0000}"/>
    <cellStyle name="Porcentaje 2 2 2 3 5 3 2 2" xfId="35899" xr:uid="{00000000-0005-0000-0000-0000276F0000}"/>
    <cellStyle name="Porcentaje 2 2 2 3 5 3 3" xfId="26042" xr:uid="{00000000-0005-0000-0000-0000286F0000}"/>
    <cellStyle name="Porcentaje 2 2 2 3 5 4" xfId="11256" xr:uid="{00000000-0005-0000-0000-0000296F0000}"/>
    <cellStyle name="Porcentaje 2 2 2 3 5 4 2" xfId="30971" xr:uid="{00000000-0005-0000-0000-00002A6F0000}"/>
    <cellStyle name="Porcentaje 2 2 2 3 5 5" xfId="21114" xr:uid="{00000000-0005-0000-0000-00002B6F0000}"/>
    <cellStyle name="Porcentaje 2 2 2 3 6" xfId="2624" xr:uid="{00000000-0005-0000-0000-00002C6F0000}"/>
    <cellStyle name="Porcentaje 2 2 2 3 6 2" xfId="7556" xr:uid="{00000000-0005-0000-0000-00002D6F0000}"/>
    <cellStyle name="Porcentaje 2 2 2 3 6 2 2" xfId="17416" xr:uid="{00000000-0005-0000-0000-00002E6F0000}"/>
    <cellStyle name="Porcentaje 2 2 2 3 6 2 2 2" xfId="37131" xr:uid="{00000000-0005-0000-0000-00002F6F0000}"/>
    <cellStyle name="Porcentaje 2 2 2 3 6 2 3" xfId="27274" xr:uid="{00000000-0005-0000-0000-0000306F0000}"/>
    <cellStyle name="Porcentaje 2 2 2 3 6 3" xfId="12488" xr:uid="{00000000-0005-0000-0000-0000316F0000}"/>
    <cellStyle name="Porcentaje 2 2 2 3 6 3 2" xfId="32203" xr:uid="{00000000-0005-0000-0000-0000326F0000}"/>
    <cellStyle name="Porcentaje 2 2 2 3 6 4" xfId="22346" xr:uid="{00000000-0005-0000-0000-0000336F0000}"/>
    <cellStyle name="Porcentaje 2 2 2 3 7" xfId="5092" xr:uid="{00000000-0005-0000-0000-0000346F0000}"/>
    <cellStyle name="Porcentaje 2 2 2 3 7 2" xfId="14952" xr:uid="{00000000-0005-0000-0000-0000356F0000}"/>
    <cellStyle name="Porcentaje 2 2 2 3 7 2 2" xfId="34667" xr:uid="{00000000-0005-0000-0000-0000366F0000}"/>
    <cellStyle name="Porcentaje 2 2 2 3 7 3" xfId="24810" xr:uid="{00000000-0005-0000-0000-0000376F0000}"/>
    <cellStyle name="Porcentaje 2 2 2 3 8" xfId="10024" xr:uid="{00000000-0005-0000-0000-0000386F0000}"/>
    <cellStyle name="Porcentaje 2 2 2 3 8 2" xfId="29739" xr:uid="{00000000-0005-0000-0000-0000396F0000}"/>
    <cellStyle name="Porcentaje 2 2 2 3 9" xfId="19882" xr:uid="{00000000-0005-0000-0000-00003A6F0000}"/>
    <cellStyle name="Porcentaje 2 2 2 4" xfId="218" xr:uid="{00000000-0005-0000-0000-00003B6F0000}"/>
    <cellStyle name="Porcentaje 2 2 2 4 2" xfId="532" xr:uid="{00000000-0005-0000-0000-00003C6F0000}"/>
    <cellStyle name="Porcentaje 2 2 2 4 2 2" xfId="1152" xr:uid="{00000000-0005-0000-0000-00003D6F0000}"/>
    <cellStyle name="Porcentaje 2 2 2 4 2 2 2" xfId="2387" xr:uid="{00000000-0005-0000-0000-00003E6F0000}"/>
    <cellStyle name="Porcentaje 2 2 2 4 2 2 2 2" xfId="4854" xr:uid="{00000000-0005-0000-0000-00003F6F0000}"/>
    <cellStyle name="Porcentaje 2 2 2 4 2 2 2 2 2" xfId="9786" xr:uid="{00000000-0005-0000-0000-0000406F0000}"/>
    <cellStyle name="Porcentaje 2 2 2 4 2 2 2 2 2 2" xfId="19646" xr:uid="{00000000-0005-0000-0000-0000416F0000}"/>
    <cellStyle name="Porcentaje 2 2 2 4 2 2 2 2 2 2 2" xfId="39361" xr:uid="{00000000-0005-0000-0000-0000426F0000}"/>
    <cellStyle name="Porcentaje 2 2 2 4 2 2 2 2 2 3" xfId="29504" xr:uid="{00000000-0005-0000-0000-0000436F0000}"/>
    <cellStyle name="Porcentaje 2 2 2 4 2 2 2 2 3" xfId="14718" xr:uid="{00000000-0005-0000-0000-0000446F0000}"/>
    <cellStyle name="Porcentaje 2 2 2 4 2 2 2 2 3 2" xfId="34433" xr:uid="{00000000-0005-0000-0000-0000456F0000}"/>
    <cellStyle name="Porcentaje 2 2 2 4 2 2 2 2 4" xfId="24576" xr:uid="{00000000-0005-0000-0000-0000466F0000}"/>
    <cellStyle name="Porcentaje 2 2 2 4 2 2 2 3" xfId="7322" xr:uid="{00000000-0005-0000-0000-0000476F0000}"/>
    <cellStyle name="Porcentaje 2 2 2 4 2 2 2 3 2" xfId="17182" xr:uid="{00000000-0005-0000-0000-0000486F0000}"/>
    <cellStyle name="Porcentaje 2 2 2 4 2 2 2 3 2 2" xfId="36897" xr:uid="{00000000-0005-0000-0000-0000496F0000}"/>
    <cellStyle name="Porcentaje 2 2 2 4 2 2 2 3 3" xfId="27040" xr:uid="{00000000-0005-0000-0000-00004A6F0000}"/>
    <cellStyle name="Porcentaje 2 2 2 4 2 2 2 4" xfId="12254" xr:uid="{00000000-0005-0000-0000-00004B6F0000}"/>
    <cellStyle name="Porcentaje 2 2 2 4 2 2 2 4 2" xfId="31969" xr:uid="{00000000-0005-0000-0000-00004C6F0000}"/>
    <cellStyle name="Porcentaje 2 2 2 4 2 2 2 5" xfId="22112" xr:uid="{00000000-0005-0000-0000-00004D6F0000}"/>
    <cellStyle name="Porcentaje 2 2 2 4 2 2 3" xfId="3622" xr:uid="{00000000-0005-0000-0000-00004E6F0000}"/>
    <cellStyle name="Porcentaje 2 2 2 4 2 2 3 2" xfId="8554" xr:uid="{00000000-0005-0000-0000-00004F6F0000}"/>
    <cellStyle name="Porcentaje 2 2 2 4 2 2 3 2 2" xfId="18414" xr:uid="{00000000-0005-0000-0000-0000506F0000}"/>
    <cellStyle name="Porcentaje 2 2 2 4 2 2 3 2 2 2" xfId="38129" xr:uid="{00000000-0005-0000-0000-0000516F0000}"/>
    <cellStyle name="Porcentaje 2 2 2 4 2 2 3 2 3" xfId="28272" xr:uid="{00000000-0005-0000-0000-0000526F0000}"/>
    <cellStyle name="Porcentaje 2 2 2 4 2 2 3 3" xfId="13486" xr:uid="{00000000-0005-0000-0000-0000536F0000}"/>
    <cellStyle name="Porcentaje 2 2 2 4 2 2 3 3 2" xfId="33201" xr:uid="{00000000-0005-0000-0000-0000546F0000}"/>
    <cellStyle name="Porcentaje 2 2 2 4 2 2 3 4" xfId="23344" xr:uid="{00000000-0005-0000-0000-0000556F0000}"/>
    <cellStyle name="Porcentaje 2 2 2 4 2 2 4" xfId="6090" xr:uid="{00000000-0005-0000-0000-0000566F0000}"/>
    <cellStyle name="Porcentaje 2 2 2 4 2 2 4 2" xfId="15950" xr:uid="{00000000-0005-0000-0000-0000576F0000}"/>
    <cellStyle name="Porcentaje 2 2 2 4 2 2 4 2 2" xfId="35665" xr:uid="{00000000-0005-0000-0000-0000586F0000}"/>
    <cellStyle name="Porcentaje 2 2 2 4 2 2 4 3" xfId="25808" xr:uid="{00000000-0005-0000-0000-0000596F0000}"/>
    <cellStyle name="Porcentaje 2 2 2 4 2 2 5" xfId="11022" xr:uid="{00000000-0005-0000-0000-00005A6F0000}"/>
    <cellStyle name="Porcentaje 2 2 2 4 2 2 5 2" xfId="30737" xr:uid="{00000000-0005-0000-0000-00005B6F0000}"/>
    <cellStyle name="Porcentaje 2 2 2 4 2 2 6" xfId="20880" xr:uid="{00000000-0005-0000-0000-00005C6F0000}"/>
    <cellStyle name="Porcentaje 2 2 2 4 2 3" xfId="1771" xr:uid="{00000000-0005-0000-0000-00005D6F0000}"/>
    <cellStyle name="Porcentaje 2 2 2 4 2 3 2" xfId="4238" xr:uid="{00000000-0005-0000-0000-00005E6F0000}"/>
    <cellStyle name="Porcentaje 2 2 2 4 2 3 2 2" xfId="9170" xr:uid="{00000000-0005-0000-0000-00005F6F0000}"/>
    <cellStyle name="Porcentaje 2 2 2 4 2 3 2 2 2" xfId="19030" xr:uid="{00000000-0005-0000-0000-0000606F0000}"/>
    <cellStyle name="Porcentaje 2 2 2 4 2 3 2 2 2 2" xfId="38745" xr:uid="{00000000-0005-0000-0000-0000616F0000}"/>
    <cellStyle name="Porcentaje 2 2 2 4 2 3 2 2 3" xfId="28888" xr:uid="{00000000-0005-0000-0000-0000626F0000}"/>
    <cellStyle name="Porcentaje 2 2 2 4 2 3 2 3" xfId="14102" xr:uid="{00000000-0005-0000-0000-0000636F0000}"/>
    <cellStyle name="Porcentaje 2 2 2 4 2 3 2 3 2" xfId="33817" xr:uid="{00000000-0005-0000-0000-0000646F0000}"/>
    <cellStyle name="Porcentaje 2 2 2 4 2 3 2 4" xfId="23960" xr:uid="{00000000-0005-0000-0000-0000656F0000}"/>
    <cellStyle name="Porcentaje 2 2 2 4 2 3 3" xfId="6706" xr:uid="{00000000-0005-0000-0000-0000666F0000}"/>
    <cellStyle name="Porcentaje 2 2 2 4 2 3 3 2" xfId="16566" xr:uid="{00000000-0005-0000-0000-0000676F0000}"/>
    <cellStyle name="Porcentaje 2 2 2 4 2 3 3 2 2" xfId="36281" xr:uid="{00000000-0005-0000-0000-0000686F0000}"/>
    <cellStyle name="Porcentaje 2 2 2 4 2 3 3 3" xfId="26424" xr:uid="{00000000-0005-0000-0000-0000696F0000}"/>
    <cellStyle name="Porcentaje 2 2 2 4 2 3 4" xfId="11638" xr:uid="{00000000-0005-0000-0000-00006A6F0000}"/>
    <cellStyle name="Porcentaje 2 2 2 4 2 3 4 2" xfId="31353" xr:uid="{00000000-0005-0000-0000-00006B6F0000}"/>
    <cellStyle name="Porcentaje 2 2 2 4 2 3 5" xfId="21496" xr:uid="{00000000-0005-0000-0000-00006C6F0000}"/>
    <cellStyle name="Porcentaje 2 2 2 4 2 4" xfId="3006" xr:uid="{00000000-0005-0000-0000-00006D6F0000}"/>
    <cellStyle name="Porcentaje 2 2 2 4 2 4 2" xfId="7938" xr:uid="{00000000-0005-0000-0000-00006E6F0000}"/>
    <cellStyle name="Porcentaje 2 2 2 4 2 4 2 2" xfId="17798" xr:uid="{00000000-0005-0000-0000-00006F6F0000}"/>
    <cellStyle name="Porcentaje 2 2 2 4 2 4 2 2 2" xfId="37513" xr:uid="{00000000-0005-0000-0000-0000706F0000}"/>
    <cellStyle name="Porcentaje 2 2 2 4 2 4 2 3" xfId="27656" xr:uid="{00000000-0005-0000-0000-0000716F0000}"/>
    <cellStyle name="Porcentaje 2 2 2 4 2 4 3" xfId="12870" xr:uid="{00000000-0005-0000-0000-0000726F0000}"/>
    <cellStyle name="Porcentaje 2 2 2 4 2 4 3 2" xfId="32585" xr:uid="{00000000-0005-0000-0000-0000736F0000}"/>
    <cellStyle name="Porcentaje 2 2 2 4 2 4 4" xfId="22728" xr:uid="{00000000-0005-0000-0000-0000746F0000}"/>
    <cellStyle name="Porcentaje 2 2 2 4 2 5" xfId="5474" xr:uid="{00000000-0005-0000-0000-0000756F0000}"/>
    <cellStyle name="Porcentaje 2 2 2 4 2 5 2" xfId="15334" xr:uid="{00000000-0005-0000-0000-0000766F0000}"/>
    <cellStyle name="Porcentaje 2 2 2 4 2 5 2 2" xfId="35049" xr:uid="{00000000-0005-0000-0000-0000776F0000}"/>
    <cellStyle name="Porcentaje 2 2 2 4 2 5 3" xfId="25192" xr:uid="{00000000-0005-0000-0000-0000786F0000}"/>
    <cellStyle name="Porcentaje 2 2 2 4 2 6" xfId="10406" xr:uid="{00000000-0005-0000-0000-0000796F0000}"/>
    <cellStyle name="Porcentaje 2 2 2 4 2 6 2" xfId="30121" xr:uid="{00000000-0005-0000-0000-00007A6F0000}"/>
    <cellStyle name="Porcentaje 2 2 2 4 2 7" xfId="20264" xr:uid="{00000000-0005-0000-0000-00007B6F0000}"/>
    <cellStyle name="Porcentaje 2 2 2 4 3" xfId="845" xr:uid="{00000000-0005-0000-0000-00007C6F0000}"/>
    <cellStyle name="Porcentaje 2 2 2 4 3 2" xfId="2081" xr:uid="{00000000-0005-0000-0000-00007D6F0000}"/>
    <cellStyle name="Porcentaje 2 2 2 4 3 2 2" xfId="4548" xr:uid="{00000000-0005-0000-0000-00007E6F0000}"/>
    <cellStyle name="Porcentaje 2 2 2 4 3 2 2 2" xfId="9480" xr:uid="{00000000-0005-0000-0000-00007F6F0000}"/>
    <cellStyle name="Porcentaje 2 2 2 4 3 2 2 2 2" xfId="19340" xr:uid="{00000000-0005-0000-0000-0000806F0000}"/>
    <cellStyle name="Porcentaje 2 2 2 4 3 2 2 2 2 2" xfId="39055" xr:uid="{00000000-0005-0000-0000-0000816F0000}"/>
    <cellStyle name="Porcentaje 2 2 2 4 3 2 2 2 3" xfId="29198" xr:uid="{00000000-0005-0000-0000-0000826F0000}"/>
    <cellStyle name="Porcentaje 2 2 2 4 3 2 2 3" xfId="14412" xr:uid="{00000000-0005-0000-0000-0000836F0000}"/>
    <cellStyle name="Porcentaje 2 2 2 4 3 2 2 3 2" xfId="34127" xr:uid="{00000000-0005-0000-0000-0000846F0000}"/>
    <cellStyle name="Porcentaje 2 2 2 4 3 2 2 4" xfId="24270" xr:uid="{00000000-0005-0000-0000-0000856F0000}"/>
    <cellStyle name="Porcentaje 2 2 2 4 3 2 3" xfId="7016" xr:uid="{00000000-0005-0000-0000-0000866F0000}"/>
    <cellStyle name="Porcentaje 2 2 2 4 3 2 3 2" xfId="16876" xr:uid="{00000000-0005-0000-0000-0000876F0000}"/>
    <cellStyle name="Porcentaje 2 2 2 4 3 2 3 2 2" xfId="36591" xr:uid="{00000000-0005-0000-0000-0000886F0000}"/>
    <cellStyle name="Porcentaje 2 2 2 4 3 2 3 3" xfId="26734" xr:uid="{00000000-0005-0000-0000-0000896F0000}"/>
    <cellStyle name="Porcentaje 2 2 2 4 3 2 4" xfId="11948" xr:uid="{00000000-0005-0000-0000-00008A6F0000}"/>
    <cellStyle name="Porcentaje 2 2 2 4 3 2 4 2" xfId="31663" xr:uid="{00000000-0005-0000-0000-00008B6F0000}"/>
    <cellStyle name="Porcentaje 2 2 2 4 3 2 5" xfId="21806" xr:uid="{00000000-0005-0000-0000-00008C6F0000}"/>
    <cellStyle name="Porcentaje 2 2 2 4 3 3" xfId="3316" xr:uid="{00000000-0005-0000-0000-00008D6F0000}"/>
    <cellStyle name="Porcentaje 2 2 2 4 3 3 2" xfId="8248" xr:uid="{00000000-0005-0000-0000-00008E6F0000}"/>
    <cellStyle name="Porcentaje 2 2 2 4 3 3 2 2" xfId="18108" xr:uid="{00000000-0005-0000-0000-00008F6F0000}"/>
    <cellStyle name="Porcentaje 2 2 2 4 3 3 2 2 2" xfId="37823" xr:uid="{00000000-0005-0000-0000-0000906F0000}"/>
    <cellStyle name="Porcentaje 2 2 2 4 3 3 2 3" xfId="27966" xr:uid="{00000000-0005-0000-0000-0000916F0000}"/>
    <cellStyle name="Porcentaje 2 2 2 4 3 3 3" xfId="13180" xr:uid="{00000000-0005-0000-0000-0000926F0000}"/>
    <cellStyle name="Porcentaje 2 2 2 4 3 3 3 2" xfId="32895" xr:uid="{00000000-0005-0000-0000-0000936F0000}"/>
    <cellStyle name="Porcentaje 2 2 2 4 3 3 4" xfId="23038" xr:uid="{00000000-0005-0000-0000-0000946F0000}"/>
    <cellStyle name="Porcentaje 2 2 2 4 3 4" xfId="5784" xr:uid="{00000000-0005-0000-0000-0000956F0000}"/>
    <cellStyle name="Porcentaje 2 2 2 4 3 4 2" xfId="15644" xr:uid="{00000000-0005-0000-0000-0000966F0000}"/>
    <cellStyle name="Porcentaje 2 2 2 4 3 4 2 2" xfId="35359" xr:uid="{00000000-0005-0000-0000-0000976F0000}"/>
    <cellStyle name="Porcentaje 2 2 2 4 3 4 3" xfId="25502" xr:uid="{00000000-0005-0000-0000-0000986F0000}"/>
    <cellStyle name="Porcentaje 2 2 2 4 3 5" xfId="10716" xr:uid="{00000000-0005-0000-0000-0000996F0000}"/>
    <cellStyle name="Porcentaje 2 2 2 4 3 5 2" xfId="30431" xr:uid="{00000000-0005-0000-0000-00009A6F0000}"/>
    <cellStyle name="Porcentaje 2 2 2 4 3 6" xfId="20574" xr:uid="{00000000-0005-0000-0000-00009B6F0000}"/>
    <cellStyle name="Porcentaje 2 2 2 4 4" xfId="1465" xr:uid="{00000000-0005-0000-0000-00009C6F0000}"/>
    <cellStyle name="Porcentaje 2 2 2 4 4 2" xfId="3932" xr:uid="{00000000-0005-0000-0000-00009D6F0000}"/>
    <cellStyle name="Porcentaje 2 2 2 4 4 2 2" xfId="8864" xr:uid="{00000000-0005-0000-0000-00009E6F0000}"/>
    <cellStyle name="Porcentaje 2 2 2 4 4 2 2 2" xfId="18724" xr:uid="{00000000-0005-0000-0000-00009F6F0000}"/>
    <cellStyle name="Porcentaje 2 2 2 4 4 2 2 2 2" xfId="38439" xr:uid="{00000000-0005-0000-0000-0000A06F0000}"/>
    <cellStyle name="Porcentaje 2 2 2 4 4 2 2 3" xfId="28582" xr:uid="{00000000-0005-0000-0000-0000A16F0000}"/>
    <cellStyle name="Porcentaje 2 2 2 4 4 2 3" xfId="13796" xr:uid="{00000000-0005-0000-0000-0000A26F0000}"/>
    <cellStyle name="Porcentaje 2 2 2 4 4 2 3 2" xfId="33511" xr:uid="{00000000-0005-0000-0000-0000A36F0000}"/>
    <cellStyle name="Porcentaje 2 2 2 4 4 2 4" xfId="23654" xr:uid="{00000000-0005-0000-0000-0000A46F0000}"/>
    <cellStyle name="Porcentaje 2 2 2 4 4 3" xfId="6400" xr:uid="{00000000-0005-0000-0000-0000A56F0000}"/>
    <cellStyle name="Porcentaje 2 2 2 4 4 3 2" xfId="16260" xr:uid="{00000000-0005-0000-0000-0000A66F0000}"/>
    <cellStyle name="Porcentaje 2 2 2 4 4 3 2 2" xfId="35975" xr:uid="{00000000-0005-0000-0000-0000A76F0000}"/>
    <cellStyle name="Porcentaje 2 2 2 4 4 3 3" xfId="26118" xr:uid="{00000000-0005-0000-0000-0000A86F0000}"/>
    <cellStyle name="Porcentaje 2 2 2 4 4 4" xfId="11332" xr:uid="{00000000-0005-0000-0000-0000A96F0000}"/>
    <cellStyle name="Porcentaje 2 2 2 4 4 4 2" xfId="31047" xr:uid="{00000000-0005-0000-0000-0000AA6F0000}"/>
    <cellStyle name="Porcentaje 2 2 2 4 4 5" xfId="21190" xr:uid="{00000000-0005-0000-0000-0000AB6F0000}"/>
    <cellStyle name="Porcentaje 2 2 2 4 5" xfId="2700" xr:uid="{00000000-0005-0000-0000-0000AC6F0000}"/>
    <cellStyle name="Porcentaje 2 2 2 4 5 2" xfId="7632" xr:uid="{00000000-0005-0000-0000-0000AD6F0000}"/>
    <cellStyle name="Porcentaje 2 2 2 4 5 2 2" xfId="17492" xr:uid="{00000000-0005-0000-0000-0000AE6F0000}"/>
    <cellStyle name="Porcentaje 2 2 2 4 5 2 2 2" xfId="37207" xr:uid="{00000000-0005-0000-0000-0000AF6F0000}"/>
    <cellStyle name="Porcentaje 2 2 2 4 5 2 3" xfId="27350" xr:uid="{00000000-0005-0000-0000-0000B06F0000}"/>
    <cellStyle name="Porcentaje 2 2 2 4 5 3" xfId="12564" xr:uid="{00000000-0005-0000-0000-0000B16F0000}"/>
    <cellStyle name="Porcentaje 2 2 2 4 5 3 2" xfId="32279" xr:uid="{00000000-0005-0000-0000-0000B26F0000}"/>
    <cellStyle name="Porcentaje 2 2 2 4 5 4" xfId="22422" xr:uid="{00000000-0005-0000-0000-0000B36F0000}"/>
    <cellStyle name="Porcentaje 2 2 2 4 6" xfId="5168" xr:uid="{00000000-0005-0000-0000-0000B46F0000}"/>
    <cellStyle name="Porcentaje 2 2 2 4 6 2" xfId="15028" xr:uid="{00000000-0005-0000-0000-0000B56F0000}"/>
    <cellStyle name="Porcentaje 2 2 2 4 6 2 2" xfId="34743" xr:uid="{00000000-0005-0000-0000-0000B66F0000}"/>
    <cellStyle name="Porcentaje 2 2 2 4 6 3" xfId="24886" xr:uid="{00000000-0005-0000-0000-0000B76F0000}"/>
    <cellStyle name="Porcentaje 2 2 2 4 7" xfId="10100" xr:uid="{00000000-0005-0000-0000-0000B86F0000}"/>
    <cellStyle name="Porcentaje 2 2 2 4 7 2" xfId="29815" xr:uid="{00000000-0005-0000-0000-0000B96F0000}"/>
    <cellStyle name="Porcentaje 2 2 2 4 8" xfId="19958" xr:uid="{00000000-0005-0000-0000-0000BA6F0000}"/>
    <cellStyle name="Porcentaje 2 2 2 5" xfId="380" xr:uid="{00000000-0005-0000-0000-0000BB6F0000}"/>
    <cellStyle name="Porcentaje 2 2 2 5 2" xfId="1000" xr:uid="{00000000-0005-0000-0000-0000BC6F0000}"/>
    <cellStyle name="Porcentaje 2 2 2 5 2 2" xfId="2235" xr:uid="{00000000-0005-0000-0000-0000BD6F0000}"/>
    <cellStyle name="Porcentaje 2 2 2 5 2 2 2" xfId="4702" xr:uid="{00000000-0005-0000-0000-0000BE6F0000}"/>
    <cellStyle name="Porcentaje 2 2 2 5 2 2 2 2" xfId="9634" xr:uid="{00000000-0005-0000-0000-0000BF6F0000}"/>
    <cellStyle name="Porcentaje 2 2 2 5 2 2 2 2 2" xfId="19494" xr:uid="{00000000-0005-0000-0000-0000C06F0000}"/>
    <cellStyle name="Porcentaje 2 2 2 5 2 2 2 2 2 2" xfId="39209" xr:uid="{00000000-0005-0000-0000-0000C16F0000}"/>
    <cellStyle name="Porcentaje 2 2 2 5 2 2 2 2 3" xfId="29352" xr:uid="{00000000-0005-0000-0000-0000C26F0000}"/>
    <cellStyle name="Porcentaje 2 2 2 5 2 2 2 3" xfId="14566" xr:uid="{00000000-0005-0000-0000-0000C36F0000}"/>
    <cellStyle name="Porcentaje 2 2 2 5 2 2 2 3 2" xfId="34281" xr:uid="{00000000-0005-0000-0000-0000C46F0000}"/>
    <cellStyle name="Porcentaje 2 2 2 5 2 2 2 4" xfId="24424" xr:uid="{00000000-0005-0000-0000-0000C56F0000}"/>
    <cellStyle name="Porcentaje 2 2 2 5 2 2 3" xfId="7170" xr:uid="{00000000-0005-0000-0000-0000C66F0000}"/>
    <cellStyle name="Porcentaje 2 2 2 5 2 2 3 2" xfId="17030" xr:uid="{00000000-0005-0000-0000-0000C76F0000}"/>
    <cellStyle name="Porcentaje 2 2 2 5 2 2 3 2 2" xfId="36745" xr:uid="{00000000-0005-0000-0000-0000C86F0000}"/>
    <cellStyle name="Porcentaje 2 2 2 5 2 2 3 3" xfId="26888" xr:uid="{00000000-0005-0000-0000-0000C96F0000}"/>
    <cellStyle name="Porcentaje 2 2 2 5 2 2 4" xfId="12102" xr:uid="{00000000-0005-0000-0000-0000CA6F0000}"/>
    <cellStyle name="Porcentaje 2 2 2 5 2 2 4 2" xfId="31817" xr:uid="{00000000-0005-0000-0000-0000CB6F0000}"/>
    <cellStyle name="Porcentaje 2 2 2 5 2 2 5" xfId="21960" xr:uid="{00000000-0005-0000-0000-0000CC6F0000}"/>
    <cellStyle name="Porcentaje 2 2 2 5 2 3" xfId="3470" xr:uid="{00000000-0005-0000-0000-0000CD6F0000}"/>
    <cellStyle name="Porcentaje 2 2 2 5 2 3 2" xfId="8402" xr:uid="{00000000-0005-0000-0000-0000CE6F0000}"/>
    <cellStyle name="Porcentaje 2 2 2 5 2 3 2 2" xfId="18262" xr:uid="{00000000-0005-0000-0000-0000CF6F0000}"/>
    <cellStyle name="Porcentaje 2 2 2 5 2 3 2 2 2" xfId="37977" xr:uid="{00000000-0005-0000-0000-0000D06F0000}"/>
    <cellStyle name="Porcentaje 2 2 2 5 2 3 2 3" xfId="28120" xr:uid="{00000000-0005-0000-0000-0000D16F0000}"/>
    <cellStyle name="Porcentaje 2 2 2 5 2 3 3" xfId="13334" xr:uid="{00000000-0005-0000-0000-0000D26F0000}"/>
    <cellStyle name="Porcentaje 2 2 2 5 2 3 3 2" xfId="33049" xr:uid="{00000000-0005-0000-0000-0000D36F0000}"/>
    <cellStyle name="Porcentaje 2 2 2 5 2 3 4" xfId="23192" xr:uid="{00000000-0005-0000-0000-0000D46F0000}"/>
    <cellStyle name="Porcentaje 2 2 2 5 2 4" xfId="5938" xr:uid="{00000000-0005-0000-0000-0000D56F0000}"/>
    <cellStyle name="Porcentaje 2 2 2 5 2 4 2" xfId="15798" xr:uid="{00000000-0005-0000-0000-0000D66F0000}"/>
    <cellStyle name="Porcentaje 2 2 2 5 2 4 2 2" xfId="35513" xr:uid="{00000000-0005-0000-0000-0000D76F0000}"/>
    <cellStyle name="Porcentaje 2 2 2 5 2 4 3" xfId="25656" xr:uid="{00000000-0005-0000-0000-0000D86F0000}"/>
    <cellStyle name="Porcentaje 2 2 2 5 2 5" xfId="10870" xr:uid="{00000000-0005-0000-0000-0000D96F0000}"/>
    <cellStyle name="Porcentaje 2 2 2 5 2 5 2" xfId="30585" xr:uid="{00000000-0005-0000-0000-0000DA6F0000}"/>
    <cellStyle name="Porcentaje 2 2 2 5 2 6" xfId="20728" xr:uid="{00000000-0005-0000-0000-0000DB6F0000}"/>
    <cellStyle name="Porcentaje 2 2 2 5 3" xfId="1619" xr:uid="{00000000-0005-0000-0000-0000DC6F0000}"/>
    <cellStyle name="Porcentaje 2 2 2 5 3 2" xfId="4086" xr:uid="{00000000-0005-0000-0000-0000DD6F0000}"/>
    <cellStyle name="Porcentaje 2 2 2 5 3 2 2" xfId="9018" xr:uid="{00000000-0005-0000-0000-0000DE6F0000}"/>
    <cellStyle name="Porcentaje 2 2 2 5 3 2 2 2" xfId="18878" xr:uid="{00000000-0005-0000-0000-0000DF6F0000}"/>
    <cellStyle name="Porcentaje 2 2 2 5 3 2 2 2 2" xfId="38593" xr:uid="{00000000-0005-0000-0000-0000E06F0000}"/>
    <cellStyle name="Porcentaje 2 2 2 5 3 2 2 3" xfId="28736" xr:uid="{00000000-0005-0000-0000-0000E16F0000}"/>
    <cellStyle name="Porcentaje 2 2 2 5 3 2 3" xfId="13950" xr:uid="{00000000-0005-0000-0000-0000E26F0000}"/>
    <cellStyle name="Porcentaje 2 2 2 5 3 2 3 2" xfId="33665" xr:uid="{00000000-0005-0000-0000-0000E36F0000}"/>
    <cellStyle name="Porcentaje 2 2 2 5 3 2 4" xfId="23808" xr:uid="{00000000-0005-0000-0000-0000E46F0000}"/>
    <cellStyle name="Porcentaje 2 2 2 5 3 3" xfId="6554" xr:uid="{00000000-0005-0000-0000-0000E56F0000}"/>
    <cellStyle name="Porcentaje 2 2 2 5 3 3 2" xfId="16414" xr:uid="{00000000-0005-0000-0000-0000E66F0000}"/>
    <cellStyle name="Porcentaje 2 2 2 5 3 3 2 2" xfId="36129" xr:uid="{00000000-0005-0000-0000-0000E76F0000}"/>
    <cellStyle name="Porcentaje 2 2 2 5 3 3 3" xfId="26272" xr:uid="{00000000-0005-0000-0000-0000E86F0000}"/>
    <cellStyle name="Porcentaje 2 2 2 5 3 4" xfId="11486" xr:uid="{00000000-0005-0000-0000-0000E96F0000}"/>
    <cellStyle name="Porcentaje 2 2 2 5 3 4 2" xfId="31201" xr:uid="{00000000-0005-0000-0000-0000EA6F0000}"/>
    <cellStyle name="Porcentaje 2 2 2 5 3 5" xfId="21344" xr:uid="{00000000-0005-0000-0000-0000EB6F0000}"/>
    <cellStyle name="Porcentaje 2 2 2 5 4" xfId="2854" xr:uid="{00000000-0005-0000-0000-0000EC6F0000}"/>
    <cellStyle name="Porcentaje 2 2 2 5 4 2" xfId="7786" xr:uid="{00000000-0005-0000-0000-0000ED6F0000}"/>
    <cellStyle name="Porcentaje 2 2 2 5 4 2 2" xfId="17646" xr:uid="{00000000-0005-0000-0000-0000EE6F0000}"/>
    <cellStyle name="Porcentaje 2 2 2 5 4 2 2 2" xfId="37361" xr:uid="{00000000-0005-0000-0000-0000EF6F0000}"/>
    <cellStyle name="Porcentaje 2 2 2 5 4 2 3" xfId="27504" xr:uid="{00000000-0005-0000-0000-0000F06F0000}"/>
    <cellStyle name="Porcentaje 2 2 2 5 4 3" xfId="12718" xr:uid="{00000000-0005-0000-0000-0000F16F0000}"/>
    <cellStyle name="Porcentaje 2 2 2 5 4 3 2" xfId="32433" xr:uid="{00000000-0005-0000-0000-0000F26F0000}"/>
    <cellStyle name="Porcentaje 2 2 2 5 4 4" xfId="22576" xr:uid="{00000000-0005-0000-0000-0000F36F0000}"/>
    <cellStyle name="Porcentaje 2 2 2 5 5" xfId="5322" xr:uid="{00000000-0005-0000-0000-0000F46F0000}"/>
    <cellStyle name="Porcentaje 2 2 2 5 5 2" xfId="15182" xr:uid="{00000000-0005-0000-0000-0000F56F0000}"/>
    <cellStyle name="Porcentaje 2 2 2 5 5 2 2" xfId="34897" xr:uid="{00000000-0005-0000-0000-0000F66F0000}"/>
    <cellStyle name="Porcentaje 2 2 2 5 5 3" xfId="25040" xr:uid="{00000000-0005-0000-0000-0000F76F0000}"/>
    <cellStyle name="Porcentaje 2 2 2 5 6" xfId="10254" xr:uid="{00000000-0005-0000-0000-0000F86F0000}"/>
    <cellStyle name="Porcentaje 2 2 2 5 6 2" xfId="29969" xr:uid="{00000000-0005-0000-0000-0000F96F0000}"/>
    <cellStyle name="Porcentaje 2 2 2 5 7" xfId="20112" xr:uid="{00000000-0005-0000-0000-0000FA6F0000}"/>
    <cellStyle name="Porcentaje 2 2 2 6" xfId="693" xr:uid="{00000000-0005-0000-0000-0000FB6F0000}"/>
    <cellStyle name="Porcentaje 2 2 2 6 2" xfId="1929" xr:uid="{00000000-0005-0000-0000-0000FC6F0000}"/>
    <cellStyle name="Porcentaje 2 2 2 6 2 2" xfId="4396" xr:uid="{00000000-0005-0000-0000-0000FD6F0000}"/>
    <cellStyle name="Porcentaje 2 2 2 6 2 2 2" xfId="9328" xr:uid="{00000000-0005-0000-0000-0000FE6F0000}"/>
    <cellStyle name="Porcentaje 2 2 2 6 2 2 2 2" xfId="19188" xr:uid="{00000000-0005-0000-0000-0000FF6F0000}"/>
    <cellStyle name="Porcentaje 2 2 2 6 2 2 2 2 2" xfId="38903" xr:uid="{00000000-0005-0000-0000-000000700000}"/>
    <cellStyle name="Porcentaje 2 2 2 6 2 2 2 3" xfId="29046" xr:uid="{00000000-0005-0000-0000-000001700000}"/>
    <cellStyle name="Porcentaje 2 2 2 6 2 2 3" xfId="14260" xr:uid="{00000000-0005-0000-0000-000002700000}"/>
    <cellStyle name="Porcentaje 2 2 2 6 2 2 3 2" xfId="33975" xr:uid="{00000000-0005-0000-0000-000003700000}"/>
    <cellStyle name="Porcentaje 2 2 2 6 2 2 4" xfId="24118" xr:uid="{00000000-0005-0000-0000-000004700000}"/>
    <cellStyle name="Porcentaje 2 2 2 6 2 3" xfId="6864" xr:uid="{00000000-0005-0000-0000-000005700000}"/>
    <cellStyle name="Porcentaje 2 2 2 6 2 3 2" xfId="16724" xr:uid="{00000000-0005-0000-0000-000006700000}"/>
    <cellStyle name="Porcentaje 2 2 2 6 2 3 2 2" xfId="36439" xr:uid="{00000000-0005-0000-0000-000007700000}"/>
    <cellStyle name="Porcentaje 2 2 2 6 2 3 3" xfId="26582" xr:uid="{00000000-0005-0000-0000-000008700000}"/>
    <cellStyle name="Porcentaje 2 2 2 6 2 4" xfId="11796" xr:uid="{00000000-0005-0000-0000-000009700000}"/>
    <cellStyle name="Porcentaje 2 2 2 6 2 4 2" xfId="31511" xr:uid="{00000000-0005-0000-0000-00000A700000}"/>
    <cellStyle name="Porcentaje 2 2 2 6 2 5" xfId="21654" xr:uid="{00000000-0005-0000-0000-00000B700000}"/>
    <cellStyle name="Porcentaje 2 2 2 6 3" xfId="3164" xr:uid="{00000000-0005-0000-0000-00000C700000}"/>
    <cellStyle name="Porcentaje 2 2 2 6 3 2" xfId="8096" xr:uid="{00000000-0005-0000-0000-00000D700000}"/>
    <cellStyle name="Porcentaje 2 2 2 6 3 2 2" xfId="17956" xr:uid="{00000000-0005-0000-0000-00000E700000}"/>
    <cellStyle name="Porcentaje 2 2 2 6 3 2 2 2" xfId="37671" xr:uid="{00000000-0005-0000-0000-00000F700000}"/>
    <cellStyle name="Porcentaje 2 2 2 6 3 2 3" xfId="27814" xr:uid="{00000000-0005-0000-0000-000010700000}"/>
    <cellStyle name="Porcentaje 2 2 2 6 3 3" xfId="13028" xr:uid="{00000000-0005-0000-0000-000011700000}"/>
    <cellStyle name="Porcentaje 2 2 2 6 3 3 2" xfId="32743" xr:uid="{00000000-0005-0000-0000-000012700000}"/>
    <cellStyle name="Porcentaje 2 2 2 6 3 4" xfId="22886" xr:uid="{00000000-0005-0000-0000-000013700000}"/>
    <cellStyle name="Porcentaje 2 2 2 6 4" xfId="5632" xr:uid="{00000000-0005-0000-0000-000014700000}"/>
    <cellStyle name="Porcentaje 2 2 2 6 4 2" xfId="15492" xr:uid="{00000000-0005-0000-0000-000015700000}"/>
    <cellStyle name="Porcentaje 2 2 2 6 4 2 2" xfId="35207" xr:uid="{00000000-0005-0000-0000-000016700000}"/>
    <cellStyle name="Porcentaje 2 2 2 6 4 3" xfId="25350" xr:uid="{00000000-0005-0000-0000-000017700000}"/>
    <cellStyle name="Porcentaje 2 2 2 6 5" xfId="10564" xr:uid="{00000000-0005-0000-0000-000018700000}"/>
    <cellStyle name="Porcentaje 2 2 2 6 5 2" xfId="30279" xr:uid="{00000000-0005-0000-0000-000019700000}"/>
    <cellStyle name="Porcentaje 2 2 2 6 6" xfId="20422" xr:uid="{00000000-0005-0000-0000-00001A700000}"/>
    <cellStyle name="Porcentaje 2 2 2 7" xfId="1313" xr:uid="{00000000-0005-0000-0000-00001B700000}"/>
    <cellStyle name="Porcentaje 2 2 2 7 2" xfId="3780" xr:uid="{00000000-0005-0000-0000-00001C700000}"/>
    <cellStyle name="Porcentaje 2 2 2 7 2 2" xfId="8712" xr:uid="{00000000-0005-0000-0000-00001D700000}"/>
    <cellStyle name="Porcentaje 2 2 2 7 2 2 2" xfId="18572" xr:uid="{00000000-0005-0000-0000-00001E700000}"/>
    <cellStyle name="Porcentaje 2 2 2 7 2 2 2 2" xfId="38287" xr:uid="{00000000-0005-0000-0000-00001F700000}"/>
    <cellStyle name="Porcentaje 2 2 2 7 2 2 3" xfId="28430" xr:uid="{00000000-0005-0000-0000-000020700000}"/>
    <cellStyle name="Porcentaje 2 2 2 7 2 3" xfId="13644" xr:uid="{00000000-0005-0000-0000-000021700000}"/>
    <cellStyle name="Porcentaje 2 2 2 7 2 3 2" xfId="33359" xr:uid="{00000000-0005-0000-0000-000022700000}"/>
    <cellStyle name="Porcentaje 2 2 2 7 2 4" xfId="23502" xr:uid="{00000000-0005-0000-0000-000023700000}"/>
    <cellStyle name="Porcentaje 2 2 2 7 3" xfId="6248" xr:uid="{00000000-0005-0000-0000-000024700000}"/>
    <cellStyle name="Porcentaje 2 2 2 7 3 2" xfId="16108" xr:uid="{00000000-0005-0000-0000-000025700000}"/>
    <cellStyle name="Porcentaje 2 2 2 7 3 2 2" xfId="35823" xr:uid="{00000000-0005-0000-0000-000026700000}"/>
    <cellStyle name="Porcentaje 2 2 2 7 3 3" xfId="25966" xr:uid="{00000000-0005-0000-0000-000027700000}"/>
    <cellStyle name="Porcentaje 2 2 2 7 4" xfId="11180" xr:uid="{00000000-0005-0000-0000-000028700000}"/>
    <cellStyle name="Porcentaje 2 2 2 7 4 2" xfId="30895" xr:uid="{00000000-0005-0000-0000-000029700000}"/>
    <cellStyle name="Porcentaje 2 2 2 7 5" xfId="21038" xr:uid="{00000000-0005-0000-0000-00002A700000}"/>
    <cellStyle name="Porcentaje 2 2 2 8" xfId="2548" xr:uid="{00000000-0005-0000-0000-00002B700000}"/>
    <cellStyle name="Porcentaje 2 2 2 8 2" xfId="7480" xr:uid="{00000000-0005-0000-0000-00002C700000}"/>
    <cellStyle name="Porcentaje 2 2 2 8 2 2" xfId="17340" xr:uid="{00000000-0005-0000-0000-00002D700000}"/>
    <cellStyle name="Porcentaje 2 2 2 8 2 2 2" xfId="37055" xr:uid="{00000000-0005-0000-0000-00002E700000}"/>
    <cellStyle name="Porcentaje 2 2 2 8 2 3" xfId="27198" xr:uid="{00000000-0005-0000-0000-00002F700000}"/>
    <cellStyle name="Porcentaje 2 2 2 8 3" xfId="12412" xr:uid="{00000000-0005-0000-0000-000030700000}"/>
    <cellStyle name="Porcentaje 2 2 2 8 3 2" xfId="32127" xr:uid="{00000000-0005-0000-0000-000031700000}"/>
    <cellStyle name="Porcentaje 2 2 2 8 4" xfId="22270" xr:uid="{00000000-0005-0000-0000-000032700000}"/>
    <cellStyle name="Porcentaje 2 2 2 9" xfId="5016" xr:uid="{00000000-0005-0000-0000-000033700000}"/>
    <cellStyle name="Porcentaje 2 2 2 9 2" xfId="14876" xr:uid="{00000000-0005-0000-0000-000034700000}"/>
    <cellStyle name="Porcentaje 2 2 2 9 2 2" xfId="34591" xr:uid="{00000000-0005-0000-0000-000035700000}"/>
    <cellStyle name="Porcentaje 2 2 2 9 3" xfId="24734" xr:uid="{00000000-0005-0000-0000-000036700000}"/>
    <cellStyle name="Porcentaje 2 2 3" xfId="75" xr:uid="{00000000-0005-0000-0000-000037700000}"/>
    <cellStyle name="Porcentaje 2 2 3 10" xfId="19825" xr:uid="{00000000-0005-0000-0000-000038700000}"/>
    <cellStyle name="Porcentaje 2 2 3 2" xfId="156" xr:uid="{00000000-0005-0000-0000-000039700000}"/>
    <cellStyle name="Porcentaje 2 2 3 2 2" xfId="313" xr:uid="{00000000-0005-0000-0000-00003A700000}"/>
    <cellStyle name="Porcentaje 2 2 3 2 2 2" xfId="627" xr:uid="{00000000-0005-0000-0000-00003B700000}"/>
    <cellStyle name="Porcentaje 2 2 3 2 2 2 2" xfId="1247" xr:uid="{00000000-0005-0000-0000-00003C700000}"/>
    <cellStyle name="Porcentaje 2 2 3 2 2 2 2 2" xfId="2482" xr:uid="{00000000-0005-0000-0000-00003D700000}"/>
    <cellStyle name="Porcentaje 2 2 3 2 2 2 2 2 2" xfId="4949" xr:uid="{00000000-0005-0000-0000-00003E700000}"/>
    <cellStyle name="Porcentaje 2 2 3 2 2 2 2 2 2 2" xfId="9881" xr:uid="{00000000-0005-0000-0000-00003F700000}"/>
    <cellStyle name="Porcentaje 2 2 3 2 2 2 2 2 2 2 2" xfId="19741" xr:uid="{00000000-0005-0000-0000-000040700000}"/>
    <cellStyle name="Porcentaje 2 2 3 2 2 2 2 2 2 2 2 2" xfId="39456" xr:uid="{00000000-0005-0000-0000-000041700000}"/>
    <cellStyle name="Porcentaje 2 2 3 2 2 2 2 2 2 2 3" xfId="29599" xr:uid="{00000000-0005-0000-0000-000042700000}"/>
    <cellStyle name="Porcentaje 2 2 3 2 2 2 2 2 2 3" xfId="14813" xr:uid="{00000000-0005-0000-0000-000043700000}"/>
    <cellStyle name="Porcentaje 2 2 3 2 2 2 2 2 2 3 2" xfId="34528" xr:uid="{00000000-0005-0000-0000-000044700000}"/>
    <cellStyle name="Porcentaje 2 2 3 2 2 2 2 2 2 4" xfId="24671" xr:uid="{00000000-0005-0000-0000-000045700000}"/>
    <cellStyle name="Porcentaje 2 2 3 2 2 2 2 2 3" xfId="7417" xr:uid="{00000000-0005-0000-0000-000046700000}"/>
    <cellStyle name="Porcentaje 2 2 3 2 2 2 2 2 3 2" xfId="17277" xr:uid="{00000000-0005-0000-0000-000047700000}"/>
    <cellStyle name="Porcentaje 2 2 3 2 2 2 2 2 3 2 2" xfId="36992" xr:uid="{00000000-0005-0000-0000-000048700000}"/>
    <cellStyle name="Porcentaje 2 2 3 2 2 2 2 2 3 3" xfId="27135" xr:uid="{00000000-0005-0000-0000-000049700000}"/>
    <cellStyle name="Porcentaje 2 2 3 2 2 2 2 2 4" xfId="12349" xr:uid="{00000000-0005-0000-0000-00004A700000}"/>
    <cellStyle name="Porcentaje 2 2 3 2 2 2 2 2 4 2" xfId="32064" xr:uid="{00000000-0005-0000-0000-00004B700000}"/>
    <cellStyle name="Porcentaje 2 2 3 2 2 2 2 2 5" xfId="22207" xr:uid="{00000000-0005-0000-0000-00004C700000}"/>
    <cellStyle name="Porcentaje 2 2 3 2 2 2 2 3" xfId="3717" xr:uid="{00000000-0005-0000-0000-00004D700000}"/>
    <cellStyle name="Porcentaje 2 2 3 2 2 2 2 3 2" xfId="8649" xr:uid="{00000000-0005-0000-0000-00004E700000}"/>
    <cellStyle name="Porcentaje 2 2 3 2 2 2 2 3 2 2" xfId="18509" xr:uid="{00000000-0005-0000-0000-00004F700000}"/>
    <cellStyle name="Porcentaje 2 2 3 2 2 2 2 3 2 2 2" xfId="38224" xr:uid="{00000000-0005-0000-0000-000050700000}"/>
    <cellStyle name="Porcentaje 2 2 3 2 2 2 2 3 2 3" xfId="28367" xr:uid="{00000000-0005-0000-0000-000051700000}"/>
    <cellStyle name="Porcentaje 2 2 3 2 2 2 2 3 3" xfId="13581" xr:uid="{00000000-0005-0000-0000-000052700000}"/>
    <cellStyle name="Porcentaje 2 2 3 2 2 2 2 3 3 2" xfId="33296" xr:uid="{00000000-0005-0000-0000-000053700000}"/>
    <cellStyle name="Porcentaje 2 2 3 2 2 2 2 3 4" xfId="23439" xr:uid="{00000000-0005-0000-0000-000054700000}"/>
    <cellStyle name="Porcentaje 2 2 3 2 2 2 2 4" xfId="6185" xr:uid="{00000000-0005-0000-0000-000055700000}"/>
    <cellStyle name="Porcentaje 2 2 3 2 2 2 2 4 2" xfId="16045" xr:uid="{00000000-0005-0000-0000-000056700000}"/>
    <cellStyle name="Porcentaje 2 2 3 2 2 2 2 4 2 2" xfId="35760" xr:uid="{00000000-0005-0000-0000-000057700000}"/>
    <cellStyle name="Porcentaje 2 2 3 2 2 2 2 4 3" xfId="25903" xr:uid="{00000000-0005-0000-0000-000058700000}"/>
    <cellStyle name="Porcentaje 2 2 3 2 2 2 2 5" xfId="11117" xr:uid="{00000000-0005-0000-0000-000059700000}"/>
    <cellStyle name="Porcentaje 2 2 3 2 2 2 2 5 2" xfId="30832" xr:uid="{00000000-0005-0000-0000-00005A700000}"/>
    <cellStyle name="Porcentaje 2 2 3 2 2 2 2 6" xfId="20975" xr:uid="{00000000-0005-0000-0000-00005B700000}"/>
    <cellStyle name="Porcentaje 2 2 3 2 2 2 3" xfId="1866" xr:uid="{00000000-0005-0000-0000-00005C700000}"/>
    <cellStyle name="Porcentaje 2 2 3 2 2 2 3 2" xfId="4333" xr:uid="{00000000-0005-0000-0000-00005D700000}"/>
    <cellStyle name="Porcentaje 2 2 3 2 2 2 3 2 2" xfId="9265" xr:uid="{00000000-0005-0000-0000-00005E700000}"/>
    <cellStyle name="Porcentaje 2 2 3 2 2 2 3 2 2 2" xfId="19125" xr:uid="{00000000-0005-0000-0000-00005F700000}"/>
    <cellStyle name="Porcentaje 2 2 3 2 2 2 3 2 2 2 2" xfId="38840" xr:uid="{00000000-0005-0000-0000-000060700000}"/>
    <cellStyle name="Porcentaje 2 2 3 2 2 2 3 2 2 3" xfId="28983" xr:uid="{00000000-0005-0000-0000-000061700000}"/>
    <cellStyle name="Porcentaje 2 2 3 2 2 2 3 2 3" xfId="14197" xr:uid="{00000000-0005-0000-0000-000062700000}"/>
    <cellStyle name="Porcentaje 2 2 3 2 2 2 3 2 3 2" xfId="33912" xr:uid="{00000000-0005-0000-0000-000063700000}"/>
    <cellStyle name="Porcentaje 2 2 3 2 2 2 3 2 4" xfId="24055" xr:uid="{00000000-0005-0000-0000-000064700000}"/>
    <cellStyle name="Porcentaje 2 2 3 2 2 2 3 3" xfId="6801" xr:uid="{00000000-0005-0000-0000-000065700000}"/>
    <cellStyle name="Porcentaje 2 2 3 2 2 2 3 3 2" xfId="16661" xr:uid="{00000000-0005-0000-0000-000066700000}"/>
    <cellStyle name="Porcentaje 2 2 3 2 2 2 3 3 2 2" xfId="36376" xr:uid="{00000000-0005-0000-0000-000067700000}"/>
    <cellStyle name="Porcentaje 2 2 3 2 2 2 3 3 3" xfId="26519" xr:uid="{00000000-0005-0000-0000-000068700000}"/>
    <cellStyle name="Porcentaje 2 2 3 2 2 2 3 4" xfId="11733" xr:uid="{00000000-0005-0000-0000-000069700000}"/>
    <cellStyle name="Porcentaje 2 2 3 2 2 2 3 4 2" xfId="31448" xr:uid="{00000000-0005-0000-0000-00006A700000}"/>
    <cellStyle name="Porcentaje 2 2 3 2 2 2 3 5" xfId="21591" xr:uid="{00000000-0005-0000-0000-00006B700000}"/>
    <cellStyle name="Porcentaje 2 2 3 2 2 2 4" xfId="3101" xr:uid="{00000000-0005-0000-0000-00006C700000}"/>
    <cellStyle name="Porcentaje 2 2 3 2 2 2 4 2" xfId="8033" xr:uid="{00000000-0005-0000-0000-00006D700000}"/>
    <cellStyle name="Porcentaje 2 2 3 2 2 2 4 2 2" xfId="17893" xr:uid="{00000000-0005-0000-0000-00006E700000}"/>
    <cellStyle name="Porcentaje 2 2 3 2 2 2 4 2 2 2" xfId="37608" xr:uid="{00000000-0005-0000-0000-00006F700000}"/>
    <cellStyle name="Porcentaje 2 2 3 2 2 2 4 2 3" xfId="27751" xr:uid="{00000000-0005-0000-0000-000070700000}"/>
    <cellStyle name="Porcentaje 2 2 3 2 2 2 4 3" xfId="12965" xr:uid="{00000000-0005-0000-0000-000071700000}"/>
    <cellStyle name="Porcentaje 2 2 3 2 2 2 4 3 2" xfId="32680" xr:uid="{00000000-0005-0000-0000-000072700000}"/>
    <cellStyle name="Porcentaje 2 2 3 2 2 2 4 4" xfId="22823" xr:uid="{00000000-0005-0000-0000-000073700000}"/>
    <cellStyle name="Porcentaje 2 2 3 2 2 2 5" xfId="5569" xr:uid="{00000000-0005-0000-0000-000074700000}"/>
    <cellStyle name="Porcentaje 2 2 3 2 2 2 5 2" xfId="15429" xr:uid="{00000000-0005-0000-0000-000075700000}"/>
    <cellStyle name="Porcentaje 2 2 3 2 2 2 5 2 2" xfId="35144" xr:uid="{00000000-0005-0000-0000-000076700000}"/>
    <cellStyle name="Porcentaje 2 2 3 2 2 2 5 3" xfId="25287" xr:uid="{00000000-0005-0000-0000-000077700000}"/>
    <cellStyle name="Porcentaje 2 2 3 2 2 2 6" xfId="10501" xr:uid="{00000000-0005-0000-0000-000078700000}"/>
    <cellStyle name="Porcentaje 2 2 3 2 2 2 6 2" xfId="30216" xr:uid="{00000000-0005-0000-0000-000079700000}"/>
    <cellStyle name="Porcentaje 2 2 3 2 2 2 7" xfId="20359" xr:uid="{00000000-0005-0000-0000-00007A700000}"/>
    <cellStyle name="Porcentaje 2 2 3 2 2 3" xfId="940" xr:uid="{00000000-0005-0000-0000-00007B700000}"/>
    <cellStyle name="Porcentaje 2 2 3 2 2 3 2" xfId="2176" xr:uid="{00000000-0005-0000-0000-00007C700000}"/>
    <cellStyle name="Porcentaje 2 2 3 2 2 3 2 2" xfId="4643" xr:uid="{00000000-0005-0000-0000-00007D700000}"/>
    <cellStyle name="Porcentaje 2 2 3 2 2 3 2 2 2" xfId="9575" xr:uid="{00000000-0005-0000-0000-00007E700000}"/>
    <cellStyle name="Porcentaje 2 2 3 2 2 3 2 2 2 2" xfId="19435" xr:uid="{00000000-0005-0000-0000-00007F700000}"/>
    <cellStyle name="Porcentaje 2 2 3 2 2 3 2 2 2 2 2" xfId="39150" xr:uid="{00000000-0005-0000-0000-000080700000}"/>
    <cellStyle name="Porcentaje 2 2 3 2 2 3 2 2 2 3" xfId="29293" xr:uid="{00000000-0005-0000-0000-000081700000}"/>
    <cellStyle name="Porcentaje 2 2 3 2 2 3 2 2 3" xfId="14507" xr:uid="{00000000-0005-0000-0000-000082700000}"/>
    <cellStyle name="Porcentaje 2 2 3 2 2 3 2 2 3 2" xfId="34222" xr:uid="{00000000-0005-0000-0000-000083700000}"/>
    <cellStyle name="Porcentaje 2 2 3 2 2 3 2 2 4" xfId="24365" xr:uid="{00000000-0005-0000-0000-000084700000}"/>
    <cellStyle name="Porcentaje 2 2 3 2 2 3 2 3" xfId="7111" xr:uid="{00000000-0005-0000-0000-000085700000}"/>
    <cellStyle name="Porcentaje 2 2 3 2 2 3 2 3 2" xfId="16971" xr:uid="{00000000-0005-0000-0000-000086700000}"/>
    <cellStyle name="Porcentaje 2 2 3 2 2 3 2 3 2 2" xfId="36686" xr:uid="{00000000-0005-0000-0000-000087700000}"/>
    <cellStyle name="Porcentaje 2 2 3 2 2 3 2 3 3" xfId="26829" xr:uid="{00000000-0005-0000-0000-000088700000}"/>
    <cellStyle name="Porcentaje 2 2 3 2 2 3 2 4" xfId="12043" xr:uid="{00000000-0005-0000-0000-000089700000}"/>
    <cellStyle name="Porcentaje 2 2 3 2 2 3 2 4 2" xfId="31758" xr:uid="{00000000-0005-0000-0000-00008A700000}"/>
    <cellStyle name="Porcentaje 2 2 3 2 2 3 2 5" xfId="21901" xr:uid="{00000000-0005-0000-0000-00008B700000}"/>
    <cellStyle name="Porcentaje 2 2 3 2 2 3 3" xfId="3411" xr:uid="{00000000-0005-0000-0000-00008C700000}"/>
    <cellStyle name="Porcentaje 2 2 3 2 2 3 3 2" xfId="8343" xr:uid="{00000000-0005-0000-0000-00008D700000}"/>
    <cellStyle name="Porcentaje 2 2 3 2 2 3 3 2 2" xfId="18203" xr:uid="{00000000-0005-0000-0000-00008E700000}"/>
    <cellStyle name="Porcentaje 2 2 3 2 2 3 3 2 2 2" xfId="37918" xr:uid="{00000000-0005-0000-0000-00008F700000}"/>
    <cellStyle name="Porcentaje 2 2 3 2 2 3 3 2 3" xfId="28061" xr:uid="{00000000-0005-0000-0000-000090700000}"/>
    <cellStyle name="Porcentaje 2 2 3 2 2 3 3 3" xfId="13275" xr:uid="{00000000-0005-0000-0000-000091700000}"/>
    <cellStyle name="Porcentaje 2 2 3 2 2 3 3 3 2" xfId="32990" xr:uid="{00000000-0005-0000-0000-000092700000}"/>
    <cellStyle name="Porcentaje 2 2 3 2 2 3 3 4" xfId="23133" xr:uid="{00000000-0005-0000-0000-000093700000}"/>
    <cellStyle name="Porcentaje 2 2 3 2 2 3 4" xfId="5879" xr:uid="{00000000-0005-0000-0000-000094700000}"/>
    <cellStyle name="Porcentaje 2 2 3 2 2 3 4 2" xfId="15739" xr:uid="{00000000-0005-0000-0000-000095700000}"/>
    <cellStyle name="Porcentaje 2 2 3 2 2 3 4 2 2" xfId="35454" xr:uid="{00000000-0005-0000-0000-000096700000}"/>
    <cellStyle name="Porcentaje 2 2 3 2 2 3 4 3" xfId="25597" xr:uid="{00000000-0005-0000-0000-000097700000}"/>
    <cellStyle name="Porcentaje 2 2 3 2 2 3 5" xfId="10811" xr:uid="{00000000-0005-0000-0000-000098700000}"/>
    <cellStyle name="Porcentaje 2 2 3 2 2 3 5 2" xfId="30526" xr:uid="{00000000-0005-0000-0000-000099700000}"/>
    <cellStyle name="Porcentaje 2 2 3 2 2 3 6" xfId="20669" xr:uid="{00000000-0005-0000-0000-00009A700000}"/>
    <cellStyle name="Porcentaje 2 2 3 2 2 4" xfId="1560" xr:uid="{00000000-0005-0000-0000-00009B700000}"/>
    <cellStyle name="Porcentaje 2 2 3 2 2 4 2" xfId="4027" xr:uid="{00000000-0005-0000-0000-00009C700000}"/>
    <cellStyle name="Porcentaje 2 2 3 2 2 4 2 2" xfId="8959" xr:uid="{00000000-0005-0000-0000-00009D700000}"/>
    <cellStyle name="Porcentaje 2 2 3 2 2 4 2 2 2" xfId="18819" xr:uid="{00000000-0005-0000-0000-00009E700000}"/>
    <cellStyle name="Porcentaje 2 2 3 2 2 4 2 2 2 2" xfId="38534" xr:uid="{00000000-0005-0000-0000-00009F700000}"/>
    <cellStyle name="Porcentaje 2 2 3 2 2 4 2 2 3" xfId="28677" xr:uid="{00000000-0005-0000-0000-0000A0700000}"/>
    <cellStyle name="Porcentaje 2 2 3 2 2 4 2 3" xfId="13891" xr:uid="{00000000-0005-0000-0000-0000A1700000}"/>
    <cellStyle name="Porcentaje 2 2 3 2 2 4 2 3 2" xfId="33606" xr:uid="{00000000-0005-0000-0000-0000A2700000}"/>
    <cellStyle name="Porcentaje 2 2 3 2 2 4 2 4" xfId="23749" xr:uid="{00000000-0005-0000-0000-0000A3700000}"/>
    <cellStyle name="Porcentaje 2 2 3 2 2 4 3" xfId="6495" xr:uid="{00000000-0005-0000-0000-0000A4700000}"/>
    <cellStyle name="Porcentaje 2 2 3 2 2 4 3 2" xfId="16355" xr:uid="{00000000-0005-0000-0000-0000A5700000}"/>
    <cellStyle name="Porcentaje 2 2 3 2 2 4 3 2 2" xfId="36070" xr:uid="{00000000-0005-0000-0000-0000A6700000}"/>
    <cellStyle name="Porcentaje 2 2 3 2 2 4 3 3" xfId="26213" xr:uid="{00000000-0005-0000-0000-0000A7700000}"/>
    <cellStyle name="Porcentaje 2 2 3 2 2 4 4" xfId="11427" xr:uid="{00000000-0005-0000-0000-0000A8700000}"/>
    <cellStyle name="Porcentaje 2 2 3 2 2 4 4 2" xfId="31142" xr:uid="{00000000-0005-0000-0000-0000A9700000}"/>
    <cellStyle name="Porcentaje 2 2 3 2 2 4 5" xfId="21285" xr:uid="{00000000-0005-0000-0000-0000AA700000}"/>
    <cellStyle name="Porcentaje 2 2 3 2 2 5" xfId="2795" xr:uid="{00000000-0005-0000-0000-0000AB700000}"/>
    <cellStyle name="Porcentaje 2 2 3 2 2 5 2" xfId="7727" xr:uid="{00000000-0005-0000-0000-0000AC700000}"/>
    <cellStyle name="Porcentaje 2 2 3 2 2 5 2 2" xfId="17587" xr:uid="{00000000-0005-0000-0000-0000AD700000}"/>
    <cellStyle name="Porcentaje 2 2 3 2 2 5 2 2 2" xfId="37302" xr:uid="{00000000-0005-0000-0000-0000AE700000}"/>
    <cellStyle name="Porcentaje 2 2 3 2 2 5 2 3" xfId="27445" xr:uid="{00000000-0005-0000-0000-0000AF700000}"/>
    <cellStyle name="Porcentaje 2 2 3 2 2 5 3" xfId="12659" xr:uid="{00000000-0005-0000-0000-0000B0700000}"/>
    <cellStyle name="Porcentaje 2 2 3 2 2 5 3 2" xfId="32374" xr:uid="{00000000-0005-0000-0000-0000B1700000}"/>
    <cellStyle name="Porcentaje 2 2 3 2 2 5 4" xfId="22517" xr:uid="{00000000-0005-0000-0000-0000B2700000}"/>
    <cellStyle name="Porcentaje 2 2 3 2 2 6" xfId="5263" xr:uid="{00000000-0005-0000-0000-0000B3700000}"/>
    <cellStyle name="Porcentaje 2 2 3 2 2 6 2" xfId="15123" xr:uid="{00000000-0005-0000-0000-0000B4700000}"/>
    <cellStyle name="Porcentaje 2 2 3 2 2 6 2 2" xfId="34838" xr:uid="{00000000-0005-0000-0000-0000B5700000}"/>
    <cellStyle name="Porcentaje 2 2 3 2 2 6 3" xfId="24981" xr:uid="{00000000-0005-0000-0000-0000B6700000}"/>
    <cellStyle name="Porcentaje 2 2 3 2 2 7" xfId="10195" xr:uid="{00000000-0005-0000-0000-0000B7700000}"/>
    <cellStyle name="Porcentaje 2 2 3 2 2 7 2" xfId="29910" xr:uid="{00000000-0005-0000-0000-0000B8700000}"/>
    <cellStyle name="Porcentaje 2 2 3 2 2 8" xfId="20053" xr:uid="{00000000-0005-0000-0000-0000B9700000}"/>
    <cellStyle name="Porcentaje 2 2 3 2 3" xfId="475" xr:uid="{00000000-0005-0000-0000-0000BA700000}"/>
    <cellStyle name="Porcentaje 2 2 3 2 3 2" xfId="1095" xr:uid="{00000000-0005-0000-0000-0000BB700000}"/>
    <cellStyle name="Porcentaje 2 2 3 2 3 2 2" xfId="2330" xr:uid="{00000000-0005-0000-0000-0000BC700000}"/>
    <cellStyle name="Porcentaje 2 2 3 2 3 2 2 2" xfId="4797" xr:uid="{00000000-0005-0000-0000-0000BD700000}"/>
    <cellStyle name="Porcentaje 2 2 3 2 3 2 2 2 2" xfId="9729" xr:uid="{00000000-0005-0000-0000-0000BE700000}"/>
    <cellStyle name="Porcentaje 2 2 3 2 3 2 2 2 2 2" xfId="19589" xr:uid="{00000000-0005-0000-0000-0000BF700000}"/>
    <cellStyle name="Porcentaje 2 2 3 2 3 2 2 2 2 2 2" xfId="39304" xr:uid="{00000000-0005-0000-0000-0000C0700000}"/>
    <cellStyle name="Porcentaje 2 2 3 2 3 2 2 2 2 3" xfId="29447" xr:uid="{00000000-0005-0000-0000-0000C1700000}"/>
    <cellStyle name="Porcentaje 2 2 3 2 3 2 2 2 3" xfId="14661" xr:uid="{00000000-0005-0000-0000-0000C2700000}"/>
    <cellStyle name="Porcentaje 2 2 3 2 3 2 2 2 3 2" xfId="34376" xr:uid="{00000000-0005-0000-0000-0000C3700000}"/>
    <cellStyle name="Porcentaje 2 2 3 2 3 2 2 2 4" xfId="24519" xr:uid="{00000000-0005-0000-0000-0000C4700000}"/>
    <cellStyle name="Porcentaje 2 2 3 2 3 2 2 3" xfId="7265" xr:uid="{00000000-0005-0000-0000-0000C5700000}"/>
    <cellStyle name="Porcentaje 2 2 3 2 3 2 2 3 2" xfId="17125" xr:uid="{00000000-0005-0000-0000-0000C6700000}"/>
    <cellStyle name="Porcentaje 2 2 3 2 3 2 2 3 2 2" xfId="36840" xr:uid="{00000000-0005-0000-0000-0000C7700000}"/>
    <cellStyle name="Porcentaje 2 2 3 2 3 2 2 3 3" xfId="26983" xr:uid="{00000000-0005-0000-0000-0000C8700000}"/>
    <cellStyle name="Porcentaje 2 2 3 2 3 2 2 4" xfId="12197" xr:uid="{00000000-0005-0000-0000-0000C9700000}"/>
    <cellStyle name="Porcentaje 2 2 3 2 3 2 2 4 2" xfId="31912" xr:uid="{00000000-0005-0000-0000-0000CA700000}"/>
    <cellStyle name="Porcentaje 2 2 3 2 3 2 2 5" xfId="22055" xr:uid="{00000000-0005-0000-0000-0000CB700000}"/>
    <cellStyle name="Porcentaje 2 2 3 2 3 2 3" xfId="3565" xr:uid="{00000000-0005-0000-0000-0000CC700000}"/>
    <cellStyle name="Porcentaje 2 2 3 2 3 2 3 2" xfId="8497" xr:uid="{00000000-0005-0000-0000-0000CD700000}"/>
    <cellStyle name="Porcentaje 2 2 3 2 3 2 3 2 2" xfId="18357" xr:uid="{00000000-0005-0000-0000-0000CE700000}"/>
    <cellStyle name="Porcentaje 2 2 3 2 3 2 3 2 2 2" xfId="38072" xr:uid="{00000000-0005-0000-0000-0000CF700000}"/>
    <cellStyle name="Porcentaje 2 2 3 2 3 2 3 2 3" xfId="28215" xr:uid="{00000000-0005-0000-0000-0000D0700000}"/>
    <cellStyle name="Porcentaje 2 2 3 2 3 2 3 3" xfId="13429" xr:uid="{00000000-0005-0000-0000-0000D1700000}"/>
    <cellStyle name="Porcentaje 2 2 3 2 3 2 3 3 2" xfId="33144" xr:uid="{00000000-0005-0000-0000-0000D2700000}"/>
    <cellStyle name="Porcentaje 2 2 3 2 3 2 3 4" xfId="23287" xr:uid="{00000000-0005-0000-0000-0000D3700000}"/>
    <cellStyle name="Porcentaje 2 2 3 2 3 2 4" xfId="6033" xr:uid="{00000000-0005-0000-0000-0000D4700000}"/>
    <cellStyle name="Porcentaje 2 2 3 2 3 2 4 2" xfId="15893" xr:uid="{00000000-0005-0000-0000-0000D5700000}"/>
    <cellStyle name="Porcentaje 2 2 3 2 3 2 4 2 2" xfId="35608" xr:uid="{00000000-0005-0000-0000-0000D6700000}"/>
    <cellStyle name="Porcentaje 2 2 3 2 3 2 4 3" xfId="25751" xr:uid="{00000000-0005-0000-0000-0000D7700000}"/>
    <cellStyle name="Porcentaje 2 2 3 2 3 2 5" xfId="10965" xr:uid="{00000000-0005-0000-0000-0000D8700000}"/>
    <cellStyle name="Porcentaje 2 2 3 2 3 2 5 2" xfId="30680" xr:uid="{00000000-0005-0000-0000-0000D9700000}"/>
    <cellStyle name="Porcentaje 2 2 3 2 3 2 6" xfId="20823" xr:uid="{00000000-0005-0000-0000-0000DA700000}"/>
    <cellStyle name="Porcentaje 2 2 3 2 3 3" xfId="1714" xr:uid="{00000000-0005-0000-0000-0000DB700000}"/>
    <cellStyle name="Porcentaje 2 2 3 2 3 3 2" xfId="4181" xr:uid="{00000000-0005-0000-0000-0000DC700000}"/>
    <cellStyle name="Porcentaje 2 2 3 2 3 3 2 2" xfId="9113" xr:uid="{00000000-0005-0000-0000-0000DD700000}"/>
    <cellStyle name="Porcentaje 2 2 3 2 3 3 2 2 2" xfId="18973" xr:uid="{00000000-0005-0000-0000-0000DE700000}"/>
    <cellStyle name="Porcentaje 2 2 3 2 3 3 2 2 2 2" xfId="38688" xr:uid="{00000000-0005-0000-0000-0000DF700000}"/>
    <cellStyle name="Porcentaje 2 2 3 2 3 3 2 2 3" xfId="28831" xr:uid="{00000000-0005-0000-0000-0000E0700000}"/>
    <cellStyle name="Porcentaje 2 2 3 2 3 3 2 3" xfId="14045" xr:uid="{00000000-0005-0000-0000-0000E1700000}"/>
    <cellStyle name="Porcentaje 2 2 3 2 3 3 2 3 2" xfId="33760" xr:uid="{00000000-0005-0000-0000-0000E2700000}"/>
    <cellStyle name="Porcentaje 2 2 3 2 3 3 2 4" xfId="23903" xr:uid="{00000000-0005-0000-0000-0000E3700000}"/>
    <cellStyle name="Porcentaje 2 2 3 2 3 3 3" xfId="6649" xr:uid="{00000000-0005-0000-0000-0000E4700000}"/>
    <cellStyle name="Porcentaje 2 2 3 2 3 3 3 2" xfId="16509" xr:uid="{00000000-0005-0000-0000-0000E5700000}"/>
    <cellStyle name="Porcentaje 2 2 3 2 3 3 3 2 2" xfId="36224" xr:uid="{00000000-0005-0000-0000-0000E6700000}"/>
    <cellStyle name="Porcentaje 2 2 3 2 3 3 3 3" xfId="26367" xr:uid="{00000000-0005-0000-0000-0000E7700000}"/>
    <cellStyle name="Porcentaje 2 2 3 2 3 3 4" xfId="11581" xr:uid="{00000000-0005-0000-0000-0000E8700000}"/>
    <cellStyle name="Porcentaje 2 2 3 2 3 3 4 2" xfId="31296" xr:uid="{00000000-0005-0000-0000-0000E9700000}"/>
    <cellStyle name="Porcentaje 2 2 3 2 3 3 5" xfId="21439" xr:uid="{00000000-0005-0000-0000-0000EA700000}"/>
    <cellStyle name="Porcentaje 2 2 3 2 3 4" xfId="2949" xr:uid="{00000000-0005-0000-0000-0000EB700000}"/>
    <cellStyle name="Porcentaje 2 2 3 2 3 4 2" xfId="7881" xr:uid="{00000000-0005-0000-0000-0000EC700000}"/>
    <cellStyle name="Porcentaje 2 2 3 2 3 4 2 2" xfId="17741" xr:uid="{00000000-0005-0000-0000-0000ED700000}"/>
    <cellStyle name="Porcentaje 2 2 3 2 3 4 2 2 2" xfId="37456" xr:uid="{00000000-0005-0000-0000-0000EE700000}"/>
    <cellStyle name="Porcentaje 2 2 3 2 3 4 2 3" xfId="27599" xr:uid="{00000000-0005-0000-0000-0000EF700000}"/>
    <cellStyle name="Porcentaje 2 2 3 2 3 4 3" xfId="12813" xr:uid="{00000000-0005-0000-0000-0000F0700000}"/>
    <cellStyle name="Porcentaje 2 2 3 2 3 4 3 2" xfId="32528" xr:uid="{00000000-0005-0000-0000-0000F1700000}"/>
    <cellStyle name="Porcentaje 2 2 3 2 3 4 4" xfId="22671" xr:uid="{00000000-0005-0000-0000-0000F2700000}"/>
    <cellStyle name="Porcentaje 2 2 3 2 3 5" xfId="5417" xr:uid="{00000000-0005-0000-0000-0000F3700000}"/>
    <cellStyle name="Porcentaje 2 2 3 2 3 5 2" xfId="15277" xr:uid="{00000000-0005-0000-0000-0000F4700000}"/>
    <cellStyle name="Porcentaje 2 2 3 2 3 5 2 2" xfId="34992" xr:uid="{00000000-0005-0000-0000-0000F5700000}"/>
    <cellStyle name="Porcentaje 2 2 3 2 3 5 3" xfId="25135" xr:uid="{00000000-0005-0000-0000-0000F6700000}"/>
    <cellStyle name="Porcentaje 2 2 3 2 3 6" xfId="10349" xr:uid="{00000000-0005-0000-0000-0000F7700000}"/>
    <cellStyle name="Porcentaje 2 2 3 2 3 6 2" xfId="30064" xr:uid="{00000000-0005-0000-0000-0000F8700000}"/>
    <cellStyle name="Porcentaje 2 2 3 2 3 7" xfId="20207" xr:uid="{00000000-0005-0000-0000-0000F9700000}"/>
    <cellStyle name="Porcentaje 2 2 3 2 4" xfId="788" xr:uid="{00000000-0005-0000-0000-0000FA700000}"/>
    <cellStyle name="Porcentaje 2 2 3 2 4 2" xfId="2024" xr:uid="{00000000-0005-0000-0000-0000FB700000}"/>
    <cellStyle name="Porcentaje 2 2 3 2 4 2 2" xfId="4491" xr:uid="{00000000-0005-0000-0000-0000FC700000}"/>
    <cellStyle name="Porcentaje 2 2 3 2 4 2 2 2" xfId="9423" xr:uid="{00000000-0005-0000-0000-0000FD700000}"/>
    <cellStyle name="Porcentaje 2 2 3 2 4 2 2 2 2" xfId="19283" xr:uid="{00000000-0005-0000-0000-0000FE700000}"/>
    <cellStyle name="Porcentaje 2 2 3 2 4 2 2 2 2 2" xfId="38998" xr:uid="{00000000-0005-0000-0000-0000FF700000}"/>
    <cellStyle name="Porcentaje 2 2 3 2 4 2 2 2 3" xfId="29141" xr:uid="{00000000-0005-0000-0000-000000710000}"/>
    <cellStyle name="Porcentaje 2 2 3 2 4 2 2 3" xfId="14355" xr:uid="{00000000-0005-0000-0000-000001710000}"/>
    <cellStyle name="Porcentaje 2 2 3 2 4 2 2 3 2" xfId="34070" xr:uid="{00000000-0005-0000-0000-000002710000}"/>
    <cellStyle name="Porcentaje 2 2 3 2 4 2 2 4" xfId="24213" xr:uid="{00000000-0005-0000-0000-000003710000}"/>
    <cellStyle name="Porcentaje 2 2 3 2 4 2 3" xfId="6959" xr:uid="{00000000-0005-0000-0000-000004710000}"/>
    <cellStyle name="Porcentaje 2 2 3 2 4 2 3 2" xfId="16819" xr:uid="{00000000-0005-0000-0000-000005710000}"/>
    <cellStyle name="Porcentaje 2 2 3 2 4 2 3 2 2" xfId="36534" xr:uid="{00000000-0005-0000-0000-000006710000}"/>
    <cellStyle name="Porcentaje 2 2 3 2 4 2 3 3" xfId="26677" xr:uid="{00000000-0005-0000-0000-000007710000}"/>
    <cellStyle name="Porcentaje 2 2 3 2 4 2 4" xfId="11891" xr:uid="{00000000-0005-0000-0000-000008710000}"/>
    <cellStyle name="Porcentaje 2 2 3 2 4 2 4 2" xfId="31606" xr:uid="{00000000-0005-0000-0000-000009710000}"/>
    <cellStyle name="Porcentaje 2 2 3 2 4 2 5" xfId="21749" xr:uid="{00000000-0005-0000-0000-00000A710000}"/>
    <cellStyle name="Porcentaje 2 2 3 2 4 3" xfId="3259" xr:uid="{00000000-0005-0000-0000-00000B710000}"/>
    <cellStyle name="Porcentaje 2 2 3 2 4 3 2" xfId="8191" xr:uid="{00000000-0005-0000-0000-00000C710000}"/>
    <cellStyle name="Porcentaje 2 2 3 2 4 3 2 2" xfId="18051" xr:uid="{00000000-0005-0000-0000-00000D710000}"/>
    <cellStyle name="Porcentaje 2 2 3 2 4 3 2 2 2" xfId="37766" xr:uid="{00000000-0005-0000-0000-00000E710000}"/>
    <cellStyle name="Porcentaje 2 2 3 2 4 3 2 3" xfId="27909" xr:uid="{00000000-0005-0000-0000-00000F710000}"/>
    <cellStyle name="Porcentaje 2 2 3 2 4 3 3" xfId="13123" xr:uid="{00000000-0005-0000-0000-000010710000}"/>
    <cellStyle name="Porcentaje 2 2 3 2 4 3 3 2" xfId="32838" xr:uid="{00000000-0005-0000-0000-000011710000}"/>
    <cellStyle name="Porcentaje 2 2 3 2 4 3 4" xfId="22981" xr:uid="{00000000-0005-0000-0000-000012710000}"/>
    <cellStyle name="Porcentaje 2 2 3 2 4 4" xfId="5727" xr:uid="{00000000-0005-0000-0000-000013710000}"/>
    <cellStyle name="Porcentaje 2 2 3 2 4 4 2" xfId="15587" xr:uid="{00000000-0005-0000-0000-000014710000}"/>
    <cellStyle name="Porcentaje 2 2 3 2 4 4 2 2" xfId="35302" xr:uid="{00000000-0005-0000-0000-000015710000}"/>
    <cellStyle name="Porcentaje 2 2 3 2 4 4 3" xfId="25445" xr:uid="{00000000-0005-0000-0000-000016710000}"/>
    <cellStyle name="Porcentaje 2 2 3 2 4 5" xfId="10659" xr:uid="{00000000-0005-0000-0000-000017710000}"/>
    <cellStyle name="Porcentaje 2 2 3 2 4 5 2" xfId="30374" xr:uid="{00000000-0005-0000-0000-000018710000}"/>
    <cellStyle name="Porcentaje 2 2 3 2 4 6" xfId="20517" xr:uid="{00000000-0005-0000-0000-000019710000}"/>
    <cellStyle name="Porcentaje 2 2 3 2 5" xfId="1408" xr:uid="{00000000-0005-0000-0000-00001A710000}"/>
    <cellStyle name="Porcentaje 2 2 3 2 5 2" xfId="3875" xr:uid="{00000000-0005-0000-0000-00001B710000}"/>
    <cellStyle name="Porcentaje 2 2 3 2 5 2 2" xfId="8807" xr:uid="{00000000-0005-0000-0000-00001C710000}"/>
    <cellStyle name="Porcentaje 2 2 3 2 5 2 2 2" xfId="18667" xr:uid="{00000000-0005-0000-0000-00001D710000}"/>
    <cellStyle name="Porcentaje 2 2 3 2 5 2 2 2 2" xfId="38382" xr:uid="{00000000-0005-0000-0000-00001E710000}"/>
    <cellStyle name="Porcentaje 2 2 3 2 5 2 2 3" xfId="28525" xr:uid="{00000000-0005-0000-0000-00001F710000}"/>
    <cellStyle name="Porcentaje 2 2 3 2 5 2 3" xfId="13739" xr:uid="{00000000-0005-0000-0000-000020710000}"/>
    <cellStyle name="Porcentaje 2 2 3 2 5 2 3 2" xfId="33454" xr:uid="{00000000-0005-0000-0000-000021710000}"/>
    <cellStyle name="Porcentaje 2 2 3 2 5 2 4" xfId="23597" xr:uid="{00000000-0005-0000-0000-000022710000}"/>
    <cellStyle name="Porcentaje 2 2 3 2 5 3" xfId="6343" xr:uid="{00000000-0005-0000-0000-000023710000}"/>
    <cellStyle name="Porcentaje 2 2 3 2 5 3 2" xfId="16203" xr:uid="{00000000-0005-0000-0000-000024710000}"/>
    <cellStyle name="Porcentaje 2 2 3 2 5 3 2 2" xfId="35918" xr:uid="{00000000-0005-0000-0000-000025710000}"/>
    <cellStyle name="Porcentaje 2 2 3 2 5 3 3" xfId="26061" xr:uid="{00000000-0005-0000-0000-000026710000}"/>
    <cellStyle name="Porcentaje 2 2 3 2 5 4" xfId="11275" xr:uid="{00000000-0005-0000-0000-000027710000}"/>
    <cellStyle name="Porcentaje 2 2 3 2 5 4 2" xfId="30990" xr:uid="{00000000-0005-0000-0000-000028710000}"/>
    <cellStyle name="Porcentaje 2 2 3 2 5 5" xfId="21133" xr:uid="{00000000-0005-0000-0000-000029710000}"/>
    <cellStyle name="Porcentaje 2 2 3 2 6" xfId="2643" xr:uid="{00000000-0005-0000-0000-00002A710000}"/>
    <cellStyle name="Porcentaje 2 2 3 2 6 2" xfId="7575" xr:uid="{00000000-0005-0000-0000-00002B710000}"/>
    <cellStyle name="Porcentaje 2 2 3 2 6 2 2" xfId="17435" xr:uid="{00000000-0005-0000-0000-00002C710000}"/>
    <cellStyle name="Porcentaje 2 2 3 2 6 2 2 2" xfId="37150" xr:uid="{00000000-0005-0000-0000-00002D710000}"/>
    <cellStyle name="Porcentaje 2 2 3 2 6 2 3" xfId="27293" xr:uid="{00000000-0005-0000-0000-00002E710000}"/>
    <cellStyle name="Porcentaje 2 2 3 2 6 3" xfId="12507" xr:uid="{00000000-0005-0000-0000-00002F710000}"/>
    <cellStyle name="Porcentaje 2 2 3 2 6 3 2" xfId="32222" xr:uid="{00000000-0005-0000-0000-000030710000}"/>
    <cellStyle name="Porcentaje 2 2 3 2 6 4" xfId="22365" xr:uid="{00000000-0005-0000-0000-000031710000}"/>
    <cellStyle name="Porcentaje 2 2 3 2 7" xfId="5111" xr:uid="{00000000-0005-0000-0000-000032710000}"/>
    <cellStyle name="Porcentaje 2 2 3 2 7 2" xfId="14971" xr:uid="{00000000-0005-0000-0000-000033710000}"/>
    <cellStyle name="Porcentaje 2 2 3 2 7 2 2" xfId="34686" xr:uid="{00000000-0005-0000-0000-000034710000}"/>
    <cellStyle name="Porcentaje 2 2 3 2 7 3" xfId="24829" xr:uid="{00000000-0005-0000-0000-000035710000}"/>
    <cellStyle name="Porcentaje 2 2 3 2 8" xfId="10043" xr:uid="{00000000-0005-0000-0000-000036710000}"/>
    <cellStyle name="Porcentaje 2 2 3 2 8 2" xfId="29758" xr:uid="{00000000-0005-0000-0000-000037710000}"/>
    <cellStyle name="Porcentaje 2 2 3 2 9" xfId="19901" xr:uid="{00000000-0005-0000-0000-000038710000}"/>
    <cellStyle name="Porcentaje 2 2 3 3" xfId="237" xr:uid="{00000000-0005-0000-0000-000039710000}"/>
    <cellStyle name="Porcentaje 2 2 3 3 2" xfId="551" xr:uid="{00000000-0005-0000-0000-00003A710000}"/>
    <cellStyle name="Porcentaje 2 2 3 3 2 2" xfId="1171" xr:uid="{00000000-0005-0000-0000-00003B710000}"/>
    <cellStyle name="Porcentaje 2 2 3 3 2 2 2" xfId="2406" xr:uid="{00000000-0005-0000-0000-00003C710000}"/>
    <cellStyle name="Porcentaje 2 2 3 3 2 2 2 2" xfId="4873" xr:uid="{00000000-0005-0000-0000-00003D710000}"/>
    <cellStyle name="Porcentaje 2 2 3 3 2 2 2 2 2" xfId="9805" xr:uid="{00000000-0005-0000-0000-00003E710000}"/>
    <cellStyle name="Porcentaje 2 2 3 3 2 2 2 2 2 2" xfId="19665" xr:uid="{00000000-0005-0000-0000-00003F710000}"/>
    <cellStyle name="Porcentaje 2 2 3 3 2 2 2 2 2 2 2" xfId="39380" xr:uid="{00000000-0005-0000-0000-000040710000}"/>
    <cellStyle name="Porcentaje 2 2 3 3 2 2 2 2 2 3" xfId="29523" xr:uid="{00000000-0005-0000-0000-000041710000}"/>
    <cellStyle name="Porcentaje 2 2 3 3 2 2 2 2 3" xfId="14737" xr:uid="{00000000-0005-0000-0000-000042710000}"/>
    <cellStyle name="Porcentaje 2 2 3 3 2 2 2 2 3 2" xfId="34452" xr:uid="{00000000-0005-0000-0000-000043710000}"/>
    <cellStyle name="Porcentaje 2 2 3 3 2 2 2 2 4" xfId="24595" xr:uid="{00000000-0005-0000-0000-000044710000}"/>
    <cellStyle name="Porcentaje 2 2 3 3 2 2 2 3" xfId="7341" xr:uid="{00000000-0005-0000-0000-000045710000}"/>
    <cellStyle name="Porcentaje 2 2 3 3 2 2 2 3 2" xfId="17201" xr:uid="{00000000-0005-0000-0000-000046710000}"/>
    <cellStyle name="Porcentaje 2 2 3 3 2 2 2 3 2 2" xfId="36916" xr:uid="{00000000-0005-0000-0000-000047710000}"/>
    <cellStyle name="Porcentaje 2 2 3 3 2 2 2 3 3" xfId="27059" xr:uid="{00000000-0005-0000-0000-000048710000}"/>
    <cellStyle name="Porcentaje 2 2 3 3 2 2 2 4" xfId="12273" xr:uid="{00000000-0005-0000-0000-000049710000}"/>
    <cellStyle name="Porcentaje 2 2 3 3 2 2 2 4 2" xfId="31988" xr:uid="{00000000-0005-0000-0000-00004A710000}"/>
    <cellStyle name="Porcentaje 2 2 3 3 2 2 2 5" xfId="22131" xr:uid="{00000000-0005-0000-0000-00004B710000}"/>
    <cellStyle name="Porcentaje 2 2 3 3 2 2 3" xfId="3641" xr:uid="{00000000-0005-0000-0000-00004C710000}"/>
    <cellStyle name="Porcentaje 2 2 3 3 2 2 3 2" xfId="8573" xr:uid="{00000000-0005-0000-0000-00004D710000}"/>
    <cellStyle name="Porcentaje 2 2 3 3 2 2 3 2 2" xfId="18433" xr:uid="{00000000-0005-0000-0000-00004E710000}"/>
    <cellStyle name="Porcentaje 2 2 3 3 2 2 3 2 2 2" xfId="38148" xr:uid="{00000000-0005-0000-0000-00004F710000}"/>
    <cellStyle name="Porcentaje 2 2 3 3 2 2 3 2 3" xfId="28291" xr:uid="{00000000-0005-0000-0000-000050710000}"/>
    <cellStyle name="Porcentaje 2 2 3 3 2 2 3 3" xfId="13505" xr:uid="{00000000-0005-0000-0000-000051710000}"/>
    <cellStyle name="Porcentaje 2 2 3 3 2 2 3 3 2" xfId="33220" xr:uid="{00000000-0005-0000-0000-000052710000}"/>
    <cellStyle name="Porcentaje 2 2 3 3 2 2 3 4" xfId="23363" xr:uid="{00000000-0005-0000-0000-000053710000}"/>
    <cellStyle name="Porcentaje 2 2 3 3 2 2 4" xfId="6109" xr:uid="{00000000-0005-0000-0000-000054710000}"/>
    <cellStyle name="Porcentaje 2 2 3 3 2 2 4 2" xfId="15969" xr:uid="{00000000-0005-0000-0000-000055710000}"/>
    <cellStyle name="Porcentaje 2 2 3 3 2 2 4 2 2" xfId="35684" xr:uid="{00000000-0005-0000-0000-000056710000}"/>
    <cellStyle name="Porcentaje 2 2 3 3 2 2 4 3" xfId="25827" xr:uid="{00000000-0005-0000-0000-000057710000}"/>
    <cellStyle name="Porcentaje 2 2 3 3 2 2 5" xfId="11041" xr:uid="{00000000-0005-0000-0000-000058710000}"/>
    <cellStyle name="Porcentaje 2 2 3 3 2 2 5 2" xfId="30756" xr:uid="{00000000-0005-0000-0000-000059710000}"/>
    <cellStyle name="Porcentaje 2 2 3 3 2 2 6" xfId="20899" xr:uid="{00000000-0005-0000-0000-00005A710000}"/>
    <cellStyle name="Porcentaje 2 2 3 3 2 3" xfId="1790" xr:uid="{00000000-0005-0000-0000-00005B710000}"/>
    <cellStyle name="Porcentaje 2 2 3 3 2 3 2" xfId="4257" xr:uid="{00000000-0005-0000-0000-00005C710000}"/>
    <cellStyle name="Porcentaje 2 2 3 3 2 3 2 2" xfId="9189" xr:uid="{00000000-0005-0000-0000-00005D710000}"/>
    <cellStyle name="Porcentaje 2 2 3 3 2 3 2 2 2" xfId="19049" xr:uid="{00000000-0005-0000-0000-00005E710000}"/>
    <cellStyle name="Porcentaje 2 2 3 3 2 3 2 2 2 2" xfId="38764" xr:uid="{00000000-0005-0000-0000-00005F710000}"/>
    <cellStyle name="Porcentaje 2 2 3 3 2 3 2 2 3" xfId="28907" xr:uid="{00000000-0005-0000-0000-000060710000}"/>
    <cellStyle name="Porcentaje 2 2 3 3 2 3 2 3" xfId="14121" xr:uid="{00000000-0005-0000-0000-000061710000}"/>
    <cellStyle name="Porcentaje 2 2 3 3 2 3 2 3 2" xfId="33836" xr:uid="{00000000-0005-0000-0000-000062710000}"/>
    <cellStyle name="Porcentaje 2 2 3 3 2 3 2 4" xfId="23979" xr:uid="{00000000-0005-0000-0000-000063710000}"/>
    <cellStyle name="Porcentaje 2 2 3 3 2 3 3" xfId="6725" xr:uid="{00000000-0005-0000-0000-000064710000}"/>
    <cellStyle name="Porcentaje 2 2 3 3 2 3 3 2" xfId="16585" xr:uid="{00000000-0005-0000-0000-000065710000}"/>
    <cellStyle name="Porcentaje 2 2 3 3 2 3 3 2 2" xfId="36300" xr:uid="{00000000-0005-0000-0000-000066710000}"/>
    <cellStyle name="Porcentaje 2 2 3 3 2 3 3 3" xfId="26443" xr:uid="{00000000-0005-0000-0000-000067710000}"/>
    <cellStyle name="Porcentaje 2 2 3 3 2 3 4" xfId="11657" xr:uid="{00000000-0005-0000-0000-000068710000}"/>
    <cellStyle name="Porcentaje 2 2 3 3 2 3 4 2" xfId="31372" xr:uid="{00000000-0005-0000-0000-000069710000}"/>
    <cellStyle name="Porcentaje 2 2 3 3 2 3 5" xfId="21515" xr:uid="{00000000-0005-0000-0000-00006A710000}"/>
    <cellStyle name="Porcentaje 2 2 3 3 2 4" xfId="3025" xr:uid="{00000000-0005-0000-0000-00006B710000}"/>
    <cellStyle name="Porcentaje 2 2 3 3 2 4 2" xfId="7957" xr:uid="{00000000-0005-0000-0000-00006C710000}"/>
    <cellStyle name="Porcentaje 2 2 3 3 2 4 2 2" xfId="17817" xr:uid="{00000000-0005-0000-0000-00006D710000}"/>
    <cellStyle name="Porcentaje 2 2 3 3 2 4 2 2 2" xfId="37532" xr:uid="{00000000-0005-0000-0000-00006E710000}"/>
    <cellStyle name="Porcentaje 2 2 3 3 2 4 2 3" xfId="27675" xr:uid="{00000000-0005-0000-0000-00006F710000}"/>
    <cellStyle name="Porcentaje 2 2 3 3 2 4 3" xfId="12889" xr:uid="{00000000-0005-0000-0000-000070710000}"/>
    <cellStyle name="Porcentaje 2 2 3 3 2 4 3 2" xfId="32604" xr:uid="{00000000-0005-0000-0000-000071710000}"/>
    <cellStyle name="Porcentaje 2 2 3 3 2 4 4" xfId="22747" xr:uid="{00000000-0005-0000-0000-000072710000}"/>
    <cellStyle name="Porcentaje 2 2 3 3 2 5" xfId="5493" xr:uid="{00000000-0005-0000-0000-000073710000}"/>
    <cellStyle name="Porcentaje 2 2 3 3 2 5 2" xfId="15353" xr:uid="{00000000-0005-0000-0000-000074710000}"/>
    <cellStyle name="Porcentaje 2 2 3 3 2 5 2 2" xfId="35068" xr:uid="{00000000-0005-0000-0000-000075710000}"/>
    <cellStyle name="Porcentaje 2 2 3 3 2 5 3" xfId="25211" xr:uid="{00000000-0005-0000-0000-000076710000}"/>
    <cellStyle name="Porcentaje 2 2 3 3 2 6" xfId="10425" xr:uid="{00000000-0005-0000-0000-000077710000}"/>
    <cellStyle name="Porcentaje 2 2 3 3 2 6 2" xfId="30140" xr:uid="{00000000-0005-0000-0000-000078710000}"/>
    <cellStyle name="Porcentaje 2 2 3 3 2 7" xfId="20283" xr:uid="{00000000-0005-0000-0000-000079710000}"/>
    <cellStyle name="Porcentaje 2 2 3 3 3" xfId="864" xr:uid="{00000000-0005-0000-0000-00007A710000}"/>
    <cellStyle name="Porcentaje 2 2 3 3 3 2" xfId="2100" xr:uid="{00000000-0005-0000-0000-00007B710000}"/>
    <cellStyle name="Porcentaje 2 2 3 3 3 2 2" xfId="4567" xr:uid="{00000000-0005-0000-0000-00007C710000}"/>
    <cellStyle name="Porcentaje 2 2 3 3 3 2 2 2" xfId="9499" xr:uid="{00000000-0005-0000-0000-00007D710000}"/>
    <cellStyle name="Porcentaje 2 2 3 3 3 2 2 2 2" xfId="19359" xr:uid="{00000000-0005-0000-0000-00007E710000}"/>
    <cellStyle name="Porcentaje 2 2 3 3 3 2 2 2 2 2" xfId="39074" xr:uid="{00000000-0005-0000-0000-00007F710000}"/>
    <cellStyle name="Porcentaje 2 2 3 3 3 2 2 2 3" xfId="29217" xr:uid="{00000000-0005-0000-0000-000080710000}"/>
    <cellStyle name="Porcentaje 2 2 3 3 3 2 2 3" xfId="14431" xr:uid="{00000000-0005-0000-0000-000081710000}"/>
    <cellStyle name="Porcentaje 2 2 3 3 3 2 2 3 2" xfId="34146" xr:uid="{00000000-0005-0000-0000-000082710000}"/>
    <cellStyle name="Porcentaje 2 2 3 3 3 2 2 4" xfId="24289" xr:uid="{00000000-0005-0000-0000-000083710000}"/>
    <cellStyle name="Porcentaje 2 2 3 3 3 2 3" xfId="7035" xr:uid="{00000000-0005-0000-0000-000084710000}"/>
    <cellStyle name="Porcentaje 2 2 3 3 3 2 3 2" xfId="16895" xr:uid="{00000000-0005-0000-0000-000085710000}"/>
    <cellStyle name="Porcentaje 2 2 3 3 3 2 3 2 2" xfId="36610" xr:uid="{00000000-0005-0000-0000-000086710000}"/>
    <cellStyle name="Porcentaje 2 2 3 3 3 2 3 3" xfId="26753" xr:uid="{00000000-0005-0000-0000-000087710000}"/>
    <cellStyle name="Porcentaje 2 2 3 3 3 2 4" xfId="11967" xr:uid="{00000000-0005-0000-0000-000088710000}"/>
    <cellStyle name="Porcentaje 2 2 3 3 3 2 4 2" xfId="31682" xr:uid="{00000000-0005-0000-0000-000089710000}"/>
    <cellStyle name="Porcentaje 2 2 3 3 3 2 5" xfId="21825" xr:uid="{00000000-0005-0000-0000-00008A710000}"/>
    <cellStyle name="Porcentaje 2 2 3 3 3 3" xfId="3335" xr:uid="{00000000-0005-0000-0000-00008B710000}"/>
    <cellStyle name="Porcentaje 2 2 3 3 3 3 2" xfId="8267" xr:uid="{00000000-0005-0000-0000-00008C710000}"/>
    <cellStyle name="Porcentaje 2 2 3 3 3 3 2 2" xfId="18127" xr:uid="{00000000-0005-0000-0000-00008D710000}"/>
    <cellStyle name="Porcentaje 2 2 3 3 3 3 2 2 2" xfId="37842" xr:uid="{00000000-0005-0000-0000-00008E710000}"/>
    <cellStyle name="Porcentaje 2 2 3 3 3 3 2 3" xfId="27985" xr:uid="{00000000-0005-0000-0000-00008F710000}"/>
    <cellStyle name="Porcentaje 2 2 3 3 3 3 3" xfId="13199" xr:uid="{00000000-0005-0000-0000-000090710000}"/>
    <cellStyle name="Porcentaje 2 2 3 3 3 3 3 2" xfId="32914" xr:uid="{00000000-0005-0000-0000-000091710000}"/>
    <cellStyle name="Porcentaje 2 2 3 3 3 3 4" xfId="23057" xr:uid="{00000000-0005-0000-0000-000092710000}"/>
    <cellStyle name="Porcentaje 2 2 3 3 3 4" xfId="5803" xr:uid="{00000000-0005-0000-0000-000093710000}"/>
    <cellStyle name="Porcentaje 2 2 3 3 3 4 2" xfId="15663" xr:uid="{00000000-0005-0000-0000-000094710000}"/>
    <cellStyle name="Porcentaje 2 2 3 3 3 4 2 2" xfId="35378" xr:uid="{00000000-0005-0000-0000-000095710000}"/>
    <cellStyle name="Porcentaje 2 2 3 3 3 4 3" xfId="25521" xr:uid="{00000000-0005-0000-0000-000096710000}"/>
    <cellStyle name="Porcentaje 2 2 3 3 3 5" xfId="10735" xr:uid="{00000000-0005-0000-0000-000097710000}"/>
    <cellStyle name="Porcentaje 2 2 3 3 3 5 2" xfId="30450" xr:uid="{00000000-0005-0000-0000-000098710000}"/>
    <cellStyle name="Porcentaje 2 2 3 3 3 6" xfId="20593" xr:uid="{00000000-0005-0000-0000-000099710000}"/>
    <cellStyle name="Porcentaje 2 2 3 3 4" xfId="1484" xr:uid="{00000000-0005-0000-0000-00009A710000}"/>
    <cellStyle name="Porcentaje 2 2 3 3 4 2" xfId="3951" xr:uid="{00000000-0005-0000-0000-00009B710000}"/>
    <cellStyle name="Porcentaje 2 2 3 3 4 2 2" xfId="8883" xr:uid="{00000000-0005-0000-0000-00009C710000}"/>
    <cellStyle name="Porcentaje 2 2 3 3 4 2 2 2" xfId="18743" xr:uid="{00000000-0005-0000-0000-00009D710000}"/>
    <cellStyle name="Porcentaje 2 2 3 3 4 2 2 2 2" xfId="38458" xr:uid="{00000000-0005-0000-0000-00009E710000}"/>
    <cellStyle name="Porcentaje 2 2 3 3 4 2 2 3" xfId="28601" xr:uid="{00000000-0005-0000-0000-00009F710000}"/>
    <cellStyle name="Porcentaje 2 2 3 3 4 2 3" xfId="13815" xr:uid="{00000000-0005-0000-0000-0000A0710000}"/>
    <cellStyle name="Porcentaje 2 2 3 3 4 2 3 2" xfId="33530" xr:uid="{00000000-0005-0000-0000-0000A1710000}"/>
    <cellStyle name="Porcentaje 2 2 3 3 4 2 4" xfId="23673" xr:uid="{00000000-0005-0000-0000-0000A2710000}"/>
    <cellStyle name="Porcentaje 2 2 3 3 4 3" xfId="6419" xr:uid="{00000000-0005-0000-0000-0000A3710000}"/>
    <cellStyle name="Porcentaje 2 2 3 3 4 3 2" xfId="16279" xr:uid="{00000000-0005-0000-0000-0000A4710000}"/>
    <cellStyle name="Porcentaje 2 2 3 3 4 3 2 2" xfId="35994" xr:uid="{00000000-0005-0000-0000-0000A5710000}"/>
    <cellStyle name="Porcentaje 2 2 3 3 4 3 3" xfId="26137" xr:uid="{00000000-0005-0000-0000-0000A6710000}"/>
    <cellStyle name="Porcentaje 2 2 3 3 4 4" xfId="11351" xr:uid="{00000000-0005-0000-0000-0000A7710000}"/>
    <cellStyle name="Porcentaje 2 2 3 3 4 4 2" xfId="31066" xr:uid="{00000000-0005-0000-0000-0000A8710000}"/>
    <cellStyle name="Porcentaje 2 2 3 3 4 5" xfId="21209" xr:uid="{00000000-0005-0000-0000-0000A9710000}"/>
    <cellStyle name="Porcentaje 2 2 3 3 5" xfId="2719" xr:uid="{00000000-0005-0000-0000-0000AA710000}"/>
    <cellStyle name="Porcentaje 2 2 3 3 5 2" xfId="7651" xr:uid="{00000000-0005-0000-0000-0000AB710000}"/>
    <cellStyle name="Porcentaje 2 2 3 3 5 2 2" xfId="17511" xr:uid="{00000000-0005-0000-0000-0000AC710000}"/>
    <cellStyle name="Porcentaje 2 2 3 3 5 2 2 2" xfId="37226" xr:uid="{00000000-0005-0000-0000-0000AD710000}"/>
    <cellStyle name="Porcentaje 2 2 3 3 5 2 3" xfId="27369" xr:uid="{00000000-0005-0000-0000-0000AE710000}"/>
    <cellStyle name="Porcentaje 2 2 3 3 5 3" xfId="12583" xr:uid="{00000000-0005-0000-0000-0000AF710000}"/>
    <cellStyle name="Porcentaje 2 2 3 3 5 3 2" xfId="32298" xr:uid="{00000000-0005-0000-0000-0000B0710000}"/>
    <cellStyle name="Porcentaje 2 2 3 3 5 4" xfId="22441" xr:uid="{00000000-0005-0000-0000-0000B1710000}"/>
    <cellStyle name="Porcentaje 2 2 3 3 6" xfId="5187" xr:uid="{00000000-0005-0000-0000-0000B2710000}"/>
    <cellStyle name="Porcentaje 2 2 3 3 6 2" xfId="15047" xr:uid="{00000000-0005-0000-0000-0000B3710000}"/>
    <cellStyle name="Porcentaje 2 2 3 3 6 2 2" xfId="34762" xr:uid="{00000000-0005-0000-0000-0000B4710000}"/>
    <cellStyle name="Porcentaje 2 2 3 3 6 3" xfId="24905" xr:uid="{00000000-0005-0000-0000-0000B5710000}"/>
    <cellStyle name="Porcentaje 2 2 3 3 7" xfId="10119" xr:uid="{00000000-0005-0000-0000-0000B6710000}"/>
    <cellStyle name="Porcentaje 2 2 3 3 7 2" xfId="29834" xr:uid="{00000000-0005-0000-0000-0000B7710000}"/>
    <cellStyle name="Porcentaje 2 2 3 3 8" xfId="19977" xr:uid="{00000000-0005-0000-0000-0000B8710000}"/>
    <cellStyle name="Porcentaje 2 2 3 4" xfId="399" xr:uid="{00000000-0005-0000-0000-0000B9710000}"/>
    <cellStyle name="Porcentaje 2 2 3 4 2" xfId="1019" xr:uid="{00000000-0005-0000-0000-0000BA710000}"/>
    <cellStyle name="Porcentaje 2 2 3 4 2 2" xfId="2254" xr:uid="{00000000-0005-0000-0000-0000BB710000}"/>
    <cellStyle name="Porcentaje 2 2 3 4 2 2 2" xfId="4721" xr:uid="{00000000-0005-0000-0000-0000BC710000}"/>
    <cellStyle name="Porcentaje 2 2 3 4 2 2 2 2" xfId="9653" xr:uid="{00000000-0005-0000-0000-0000BD710000}"/>
    <cellStyle name="Porcentaje 2 2 3 4 2 2 2 2 2" xfId="19513" xr:uid="{00000000-0005-0000-0000-0000BE710000}"/>
    <cellStyle name="Porcentaje 2 2 3 4 2 2 2 2 2 2" xfId="39228" xr:uid="{00000000-0005-0000-0000-0000BF710000}"/>
    <cellStyle name="Porcentaje 2 2 3 4 2 2 2 2 3" xfId="29371" xr:uid="{00000000-0005-0000-0000-0000C0710000}"/>
    <cellStyle name="Porcentaje 2 2 3 4 2 2 2 3" xfId="14585" xr:uid="{00000000-0005-0000-0000-0000C1710000}"/>
    <cellStyle name="Porcentaje 2 2 3 4 2 2 2 3 2" xfId="34300" xr:uid="{00000000-0005-0000-0000-0000C2710000}"/>
    <cellStyle name="Porcentaje 2 2 3 4 2 2 2 4" xfId="24443" xr:uid="{00000000-0005-0000-0000-0000C3710000}"/>
    <cellStyle name="Porcentaje 2 2 3 4 2 2 3" xfId="7189" xr:uid="{00000000-0005-0000-0000-0000C4710000}"/>
    <cellStyle name="Porcentaje 2 2 3 4 2 2 3 2" xfId="17049" xr:uid="{00000000-0005-0000-0000-0000C5710000}"/>
    <cellStyle name="Porcentaje 2 2 3 4 2 2 3 2 2" xfId="36764" xr:uid="{00000000-0005-0000-0000-0000C6710000}"/>
    <cellStyle name="Porcentaje 2 2 3 4 2 2 3 3" xfId="26907" xr:uid="{00000000-0005-0000-0000-0000C7710000}"/>
    <cellStyle name="Porcentaje 2 2 3 4 2 2 4" xfId="12121" xr:uid="{00000000-0005-0000-0000-0000C8710000}"/>
    <cellStyle name="Porcentaje 2 2 3 4 2 2 4 2" xfId="31836" xr:uid="{00000000-0005-0000-0000-0000C9710000}"/>
    <cellStyle name="Porcentaje 2 2 3 4 2 2 5" xfId="21979" xr:uid="{00000000-0005-0000-0000-0000CA710000}"/>
    <cellStyle name="Porcentaje 2 2 3 4 2 3" xfId="3489" xr:uid="{00000000-0005-0000-0000-0000CB710000}"/>
    <cellStyle name="Porcentaje 2 2 3 4 2 3 2" xfId="8421" xr:uid="{00000000-0005-0000-0000-0000CC710000}"/>
    <cellStyle name="Porcentaje 2 2 3 4 2 3 2 2" xfId="18281" xr:uid="{00000000-0005-0000-0000-0000CD710000}"/>
    <cellStyle name="Porcentaje 2 2 3 4 2 3 2 2 2" xfId="37996" xr:uid="{00000000-0005-0000-0000-0000CE710000}"/>
    <cellStyle name="Porcentaje 2 2 3 4 2 3 2 3" xfId="28139" xr:uid="{00000000-0005-0000-0000-0000CF710000}"/>
    <cellStyle name="Porcentaje 2 2 3 4 2 3 3" xfId="13353" xr:uid="{00000000-0005-0000-0000-0000D0710000}"/>
    <cellStyle name="Porcentaje 2 2 3 4 2 3 3 2" xfId="33068" xr:uid="{00000000-0005-0000-0000-0000D1710000}"/>
    <cellStyle name="Porcentaje 2 2 3 4 2 3 4" xfId="23211" xr:uid="{00000000-0005-0000-0000-0000D2710000}"/>
    <cellStyle name="Porcentaje 2 2 3 4 2 4" xfId="5957" xr:uid="{00000000-0005-0000-0000-0000D3710000}"/>
    <cellStyle name="Porcentaje 2 2 3 4 2 4 2" xfId="15817" xr:uid="{00000000-0005-0000-0000-0000D4710000}"/>
    <cellStyle name="Porcentaje 2 2 3 4 2 4 2 2" xfId="35532" xr:uid="{00000000-0005-0000-0000-0000D5710000}"/>
    <cellStyle name="Porcentaje 2 2 3 4 2 4 3" xfId="25675" xr:uid="{00000000-0005-0000-0000-0000D6710000}"/>
    <cellStyle name="Porcentaje 2 2 3 4 2 5" xfId="10889" xr:uid="{00000000-0005-0000-0000-0000D7710000}"/>
    <cellStyle name="Porcentaje 2 2 3 4 2 5 2" xfId="30604" xr:uid="{00000000-0005-0000-0000-0000D8710000}"/>
    <cellStyle name="Porcentaje 2 2 3 4 2 6" xfId="20747" xr:uid="{00000000-0005-0000-0000-0000D9710000}"/>
    <cellStyle name="Porcentaje 2 2 3 4 3" xfId="1638" xr:uid="{00000000-0005-0000-0000-0000DA710000}"/>
    <cellStyle name="Porcentaje 2 2 3 4 3 2" xfId="4105" xr:uid="{00000000-0005-0000-0000-0000DB710000}"/>
    <cellStyle name="Porcentaje 2 2 3 4 3 2 2" xfId="9037" xr:uid="{00000000-0005-0000-0000-0000DC710000}"/>
    <cellStyle name="Porcentaje 2 2 3 4 3 2 2 2" xfId="18897" xr:uid="{00000000-0005-0000-0000-0000DD710000}"/>
    <cellStyle name="Porcentaje 2 2 3 4 3 2 2 2 2" xfId="38612" xr:uid="{00000000-0005-0000-0000-0000DE710000}"/>
    <cellStyle name="Porcentaje 2 2 3 4 3 2 2 3" xfId="28755" xr:uid="{00000000-0005-0000-0000-0000DF710000}"/>
    <cellStyle name="Porcentaje 2 2 3 4 3 2 3" xfId="13969" xr:uid="{00000000-0005-0000-0000-0000E0710000}"/>
    <cellStyle name="Porcentaje 2 2 3 4 3 2 3 2" xfId="33684" xr:uid="{00000000-0005-0000-0000-0000E1710000}"/>
    <cellStyle name="Porcentaje 2 2 3 4 3 2 4" xfId="23827" xr:uid="{00000000-0005-0000-0000-0000E2710000}"/>
    <cellStyle name="Porcentaje 2 2 3 4 3 3" xfId="6573" xr:uid="{00000000-0005-0000-0000-0000E3710000}"/>
    <cellStyle name="Porcentaje 2 2 3 4 3 3 2" xfId="16433" xr:uid="{00000000-0005-0000-0000-0000E4710000}"/>
    <cellStyle name="Porcentaje 2 2 3 4 3 3 2 2" xfId="36148" xr:uid="{00000000-0005-0000-0000-0000E5710000}"/>
    <cellStyle name="Porcentaje 2 2 3 4 3 3 3" xfId="26291" xr:uid="{00000000-0005-0000-0000-0000E6710000}"/>
    <cellStyle name="Porcentaje 2 2 3 4 3 4" xfId="11505" xr:uid="{00000000-0005-0000-0000-0000E7710000}"/>
    <cellStyle name="Porcentaje 2 2 3 4 3 4 2" xfId="31220" xr:uid="{00000000-0005-0000-0000-0000E8710000}"/>
    <cellStyle name="Porcentaje 2 2 3 4 3 5" xfId="21363" xr:uid="{00000000-0005-0000-0000-0000E9710000}"/>
    <cellStyle name="Porcentaje 2 2 3 4 4" xfId="2873" xr:uid="{00000000-0005-0000-0000-0000EA710000}"/>
    <cellStyle name="Porcentaje 2 2 3 4 4 2" xfId="7805" xr:uid="{00000000-0005-0000-0000-0000EB710000}"/>
    <cellStyle name="Porcentaje 2 2 3 4 4 2 2" xfId="17665" xr:uid="{00000000-0005-0000-0000-0000EC710000}"/>
    <cellStyle name="Porcentaje 2 2 3 4 4 2 2 2" xfId="37380" xr:uid="{00000000-0005-0000-0000-0000ED710000}"/>
    <cellStyle name="Porcentaje 2 2 3 4 4 2 3" xfId="27523" xr:uid="{00000000-0005-0000-0000-0000EE710000}"/>
    <cellStyle name="Porcentaje 2 2 3 4 4 3" xfId="12737" xr:uid="{00000000-0005-0000-0000-0000EF710000}"/>
    <cellStyle name="Porcentaje 2 2 3 4 4 3 2" xfId="32452" xr:uid="{00000000-0005-0000-0000-0000F0710000}"/>
    <cellStyle name="Porcentaje 2 2 3 4 4 4" xfId="22595" xr:uid="{00000000-0005-0000-0000-0000F1710000}"/>
    <cellStyle name="Porcentaje 2 2 3 4 5" xfId="5341" xr:uid="{00000000-0005-0000-0000-0000F2710000}"/>
    <cellStyle name="Porcentaje 2 2 3 4 5 2" xfId="15201" xr:uid="{00000000-0005-0000-0000-0000F3710000}"/>
    <cellStyle name="Porcentaje 2 2 3 4 5 2 2" xfId="34916" xr:uid="{00000000-0005-0000-0000-0000F4710000}"/>
    <cellStyle name="Porcentaje 2 2 3 4 5 3" xfId="25059" xr:uid="{00000000-0005-0000-0000-0000F5710000}"/>
    <cellStyle name="Porcentaje 2 2 3 4 6" xfId="10273" xr:uid="{00000000-0005-0000-0000-0000F6710000}"/>
    <cellStyle name="Porcentaje 2 2 3 4 6 2" xfId="29988" xr:uid="{00000000-0005-0000-0000-0000F7710000}"/>
    <cellStyle name="Porcentaje 2 2 3 4 7" xfId="20131" xr:uid="{00000000-0005-0000-0000-0000F8710000}"/>
    <cellStyle name="Porcentaje 2 2 3 5" xfId="712" xr:uid="{00000000-0005-0000-0000-0000F9710000}"/>
    <cellStyle name="Porcentaje 2 2 3 5 2" xfId="1948" xr:uid="{00000000-0005-0000-0000-0000FA710000}"/>
    <cellStyle name="Porcentaje 2 2 3 5 2 2" xfId="4415" xr:uid="{00000000-0005-0000-0000-0000FB710000}"/>
    <cellStyle name="Porcentaje 2 2 3 5 2 2 2" xfId="9347" xr:uid="{00000000-0005-0000-0000-0000FC710000}"/>
    <cellStyle name="Porcentaje 2 2 3 5 2 2 2 2" xfId="19207" xr:uid="{00000000-0005-0000-0000-0000FD710000}"/>
    <cellStyle name="Porcentaje 2 2 3 5 2 2 2 2 2" xfId="38922" xr:uid="{00000000-0005-0000-0000-0000FE710000}"/>
    <cellStyle name="Porcentaje 2 2 3 5 2 2 2 3" xfId="29065" xr:uid="{00000000-0005-0000-0000-0000FF710000}"/>
    <cellStyle name="Porcentaje 2 2 3 5 2 2 3" xfId="14279" xr:uid="{00000000-0005-0000-0000-000000720000}"/>
    <cellStyle name="Porcentaje 2 2 3 5 2 2 3 2" xfId="33994" xr:uid="{00000000-0005-0000-0000-000001720000}"/>
    <cellStyle name="Porcentaje 2 2 3 5 2 2 4" xfId="24137" xr:uid="{00000000-0005-0000-0000-000002720000}"/>
    <cellStyle name="Porcentaje 2 2 3 5 2 3" xfId="6883" xr:uid="{00000000-0005-0000-0000-000003720000}"/>
    <cellStyle name="Porcentaje 2 2 3 5 2 3 2" xfId="16743" xr:uid="{00000000-0005-0000-0000-000004720000}"/>
    <cellStyle name="Porcentaje 2 2 3 5 2 3 2 2" xfId="36458" xr:uid="{00000000-0005-0000-0000-000005720000}"/>
    <cellStyle name="Porcentaje 2 2 3 5 2 3 3" xfId="26601" xr:uid="{00000000-0005-0000-0000-000006720000}"/>
    <cellStyle name="Porcentaje 2 2 3 5 2 4" xfId="11815" xr:uid="{00000000-0005-0000-0000-000007720000}"/>
    <cellStyle name="Porcentaje 2 2 3 5 2 4 2" xfId="31530" xr:uid="{00000000-0005-0000-0000-000008720000}"/>
    <cellStyle name="Porcentaje 2 2 3 5 2 5" xfId="21673" xr:uid="{00000000-0005-0000-0000-000009720000}"/>
    <cellStyle name="Porcentaje 2 2 3 5 3" xfId="3183" xr:uid="{00000000-0005-0000-0000-00000A720000}"/>
    <cellStyle name="Porcentaje 2 2 3 5 3 2" xfId="8115" xr:uid="{00000000-0005-0000-0000-00000B720000}"/>
    <cellStyle name="Porcentaje 2 2 3 5 3 2 2" xfId="17975" xr:uid="{00000000-0005-0000-0000-00000C720000}"/>
    <cellStyle name="Porcentaje 2 2 3 5 3 2 2 2" xfId="37690" xr:uid="{00000000-0005-0000-0000-00000D720000}"/>
    <cellStyle name="Porcentaje 2 2 3 5 3 2 3" xfId="27833" xr:uid="{00000000-0005-0000-0000-00000E720000}"/>
    <cellStyle name="Porcentaje 2 2 3 5 3 3" xfId="13047" xr:uid="{00000000-0005-0000-0000-00000F720000}"/>
    <cellStyle name="Porcentaje 2 2 3 5 3 3 2" xfId="32762" xr:uid="{00000000-0005-0000-0000-000010720000}"/>
    <cellStyle name="Porcentaje 2 2 3 5 3 4" xfId="22905" xr:uid="{00000000-0005-0000-0000-000011720000}"/>
    <cellStyle name="Porcentaje 2 2 3 5 4" xfId="5651" xr:uid="{00000000-0005-0000-0000-000012720000}"/>
    <cellStyle name="Porcentaje 2 2 3 5 4 2" xfId="15511" xr:uid="{00000000-0005-0000-0000-000013720000}"/>
    <cellStyle name="Porcentaje 2 2 3 5 4 2 2" xfId="35226" xr:uid="{00000000-0005-0000-0000-000014720000}"/>
    <cellStyle name="Porcentaje 2 2 3 5 4 3" xfId="25369" xr:uid="{00000000-0005-0000-0000-000015720000}"/>
    <cellStyle name="Porcentaje 2 2 3 5 5" xfId="10583" xr:uid="{00000000-0005-0000-0000-000016720000}"/>
    <cellStyle name="Porcentaje 2 2 3 5 5 2" xfId="30298" xr:uid="{00000000-0005-0000-0000-000017720000}"/>
    <cellStyle name="Porcentaje 2 2 3 5 6" xfId="20441" xr:uid="{00000000-0005-0000-0000-000018720000}"/>
    <cellStyle name="Porcentaje 2 2 3 6" xfId="1332" xr:uid="{00000000-0005-0000-0000-000019720000}"/>
    <cellStyle name="Porcentaje 2 2 3 6 2" xfId="3799" xr:uid="{00000000-0005-0000-0000-00001A720000}"/>
    <cellStyle name="Porcentaje 2 2 3 6 2 2" xfId="8731" xr:uid="{00000000-0005-0000-0000-00001B720000}"/>
    <cellStyle name="Porcentaje 2 2 3 6 2 2 2" xfId="18591" xr:uid="{00000000-0005-0000-0000-00001C720000}"/>
    <cellStyle name="Porcentaje 2 2 3 6 2 2 2 2" xfId="38306" xr:uid="{00000000-0005-0000-0000-00001D720000}"/>
    <cellStyle name="Porcentaje 2 2 3 6 2 2 3" xfId="28449" xr:uid="{00000000-0005-0000-0000-00001E720000}"/>
    <cellStyle name="Porcentaje 2 2 3 6 2 3" xfId="13663" xr:uid="{00000000-0005-0000-0000-00001F720000}"/>
    <cellStyle name="Porcentaje 2 2 3 6 2 3 2" xfId="33378" xr:uid="{00000000-0005-0000-0000-000020720000}"/>
    <cellStyle name="Porcentaje 2 2 3 6 2 4" xfId="23521" xr:uid="{00000000-0005-0000-0000-000021720000}"/>
    <cellStyle name="Porcentaje 2 2 3 6 3" xfId="6267" xr:uid="{00000000-0005-0000-0000-000022720000}"/>
    <cellStyle name="Porcentaje 2 2 3 6 3 2" xfId="16127" xr:uid="{00000000-0005-0000-0000-000023720000}"/>
    <cellStyle name="Porcentaje 2 2 3 6 3 2 2" xfId="35842" xr:uid="{00000000-0005-0000-0000-000024720000}"/>
    <cellStyle name="Porcentaje 2 2 3 6 3 3" xfId="25985" xr:uid="{00000000-0005-0000-0000-000025720000}"/>
    <cellStyle name="Porcentaje 2 2 3 6 4" xfId="11199" xr:uid="{00000000-0005-0000-0000-000026720000}"/>
    <cellStyle name="Porcentaje 2 2 3 6 4 2" xfId="30914" xr:uid="{00000000-0005-0000-0000-000027720000}"/>
    <cellStyle name="Porcentaje 2 2 3 6 5" xfId="21057" xr:uid="{00000000-0005-0000-0000-000028720000}"/>
    <cellStyle name="Porcentaje 2 2 3 7" xfId="2567" xr:uid="{00000000-0005-0000-0000-000029720000}"/>
    <cellStyle name="Porcentaje 2 2 3 7 2" xfId="7499" xr:uid="{00000000-0005-0000-0000-00002A720000}"/>
    <cellStyle name="Porcentaje 2 2 3 7 2 2" xfId="17359" xr:uid="{00000000-0005-0000-0000-00002B720000}"/>
    <cellStyle name="Porcentaje 2 2 3 7 2 2 2" xfId="37074" xr:uid="{00000000-0005-0000-0000-00002C720000}"/>
    <cellStyle name="Porcentaje 2 2 3 7 2 3" xfId="27217" xr:uid="{00000000-0005-0000-0000-00002D720000}"/>
    <cellStyle name="Porcentaje 2 2 3 7 3" xfId="12431" xr:uid="{00000000-0005-0000-0000-00002E720000}"/>
    <cellStyle name="Porcentaje 2 2 3 7 3 2" xfId="32146" xr:uid="{00000000-0005-0000-0000-00002F720000}"/>
    <cellStyle name="Porcentaje 2 2 3 7 4" xfId="22289" xr:uid="{00000000-0005-0000-0000-000030720000}"/>
    <cellStyle name="Porcentaje 2 2 3 8" xfId="5035" xr:uid="{00000000-0005-0000-0000-000031720000}"/>
    <cellStyle name="Porcentaje 2 2 3 8 2" xfId="14895" xr:uid="{00000000-0005-0000-0000-000032720000}"/>
    <cellStyle name="Porcentaje 2 2 3 8 2 2" xfId="34610" xr:uid="{00000000-0005-0000-0000-000033720000}"/>
    <cellStyle name="Porcentaje 2 2 3 8 3" xfId="24753" xr:uid="{00000000-0005-0000-0000-000034720000}"/>
    <cellStyle name="Porcentaje 2 2 3 9" xfId="9967" xr:uid="{00000000-0005-0000-0000-000035720000}"/>
    <cellStyle name="Porcentaje 2 2 3 9 2" xfId="29682" xr:uid="{00000000-0005-0000-0000-000036720000}"/>
    <cellStyle name="Porcentaje 2 2 4" xfId="118" xr:uid="{00000000-0005-0000-0000-000037720000}"/>
    <cellStyle name="Porcentaje 2 2 4 2" xfId="275" xr:uid="{00000000-0005-0000-0000-000038720000}"/>
    <cellStyle name="Porcentaje 2 2 4 2 2" xfId="589" xr:uid="{00000000-0005-0000-0000-000039720000}"/>
    <cellStyle name="Porcentaje 2 2 4 2 2 2" xfId="1209" xr:uid="{00000000-0005-0000-0000-00003A720000}"/>
    <cellStyle name="Porcentaje 2 2 4 2 2 2 2" xfId="2444" xr:uid="{00000000-0005-0000-0000-00003B720000}"/>
    <cellStyle name="Porcentaje 2 2 4 2 2 2 2 2" xfId="4911" xr:uid="{00000000-0005-0000-0000-00003C720000}"/>
    <cellStyle name="Porcentaje 2 2 4 2 2 2 2 2 2" xfId="9843" xr:uid="{00000000-0005-0000-0000-00003D720000}"/>
    <cellStyle name="Porcentaje 2 2 4 2 2 2 2 2 2 2" xfId="19703" xr:uid="{00000000-0005-0000-0000-00003E720000}"/>
    <cellStyle name="Porcentaje 2 2 4 2 2 2 2 2 2 2 2" xfId="39418" xr:uid="{00000000-0005-0000-0000-00003F720000}"/>
    <cellStyle name="Porcentaje 2 2 4 2 2 2 2 2 2 3" xfId="29561" xr:uid="{00000000-0005-0000-0000-000040720000}"/>
    <cellStyle name="Porcentaje 2 2 4 2 2 2 2 2 3" xfId="14775" xr:uid="{00000000-0005-0000-0000-000041720000}"/>
    <cellStyle name="Porcentaje 2 2 4 2 2 2 2 2 3 2" xfId="34490" xr:uid="{00000000-0005-0000-0000-000042720000}"/>
    <cellStyle name="Porcentaje 2 2 4 2 2 2 2 2 4" xfId="24633" xr:uid="{00000000-0005-0000-0000-000043720000}"/>
    <cellStyle name="Porcentaje 2 2 4 2 2 2 2 3" xfId="7379" xr:uid="{00000000-0005-0000-0000-000044720000}"/>
    <cellStyle name="Porcentaje 2 2 4 2 2 2 2 3 2" xfId="17239" xr:uid="{00000000-0005-0000-0000-000045720000}"/>
    <cellStyle name="Porcentaje 2 2 4 2 2 2 2 3 2 2" xfId="36954" xr:uid="{00000000-0005-0000-0000-000046720000}"/>
    <cellStyle name="Porcentaje 2 2 4 2 2 2 2 3 3" xfId="27097" xr:uid="{00000000-0005-0000-0000-000047720000}"/>
    <cellStyle name="Porcentaje 2 2 4 2 2 2 2 4" xfId="12311" xr:uid="{00000000-0005-0000-0000-000048720000}"/>
    <cellStyle name="Porcentaje 2 2 4 2 2 2 2 4 2" xfId="32026" xr:uid="{00000000-0005-0000-0000-000049720000}"/>
    <cellStyle name="Porcentaje 2 2 4 2 2 2 2 5" xfId="22169" xr:uid="{00000000-0005-0000-0000-00004A720000}"/>
    <cellStyle name="Porcentaje 2 2 4 2 2 2 3" xfId="3679" xr:uid="{00000000-0005-0000-0000-00004B720000}"/>
    <cellStyle name="Porcentaje 2 2 4 2 2 2 3 2" xfId="8611" xr:uid="{00000000-0005-0000-0000-00004C720000}"/>
    <cellStyle name="Porcentaje 2 2 4 2 2 2 3 2 2" xfId="18471" xr:uid="{00000000-0005-0000-0000-00004D720000}"/>
    <cellStyle name="Porcentaje 2 2 4 2 2 2 3 2 2 2" xfId="38186" xr:uid="{00000000-0005-0000-0000-00004E720000}"/>
    <cellStyle name="Porcentaje 2 2 4 2 2 2 3 2 3" xfId="28329" xr:uid="{00000000-0005-0000-0000-00004F720000}"/>
    <cellStyle name="Porcentaje 2 2 4 2 2 2 3 3" xfId="13543" xr:uid="{00000000-0005-0000-0000-000050720000}"/>
    <cellStyle name="Porcentaje 2 2 4 2 2 2 3 3 2" xfId="33258" xr:uid="{00000000-0005-0000-0000-000051720000}"/>
    <cellStyle name="Porcentaje 2 2 4 2 2 2 3 4" xfId="23401" xr:uid="{00000000-0005-0000-0000-000052720000}"/>
    <cellStyle name="Porcentaje 2 2 4 2 2 2 4" xfId="6147" xr:uid="{00000000-0005-0000-0000-000053720000}"/>
    <cellStyle name="Porcentaje 2 2 4 2 2 2 4 2" xfId="16007" xr:uid="{00000000-0005-0000-0000-000054720000}"/>
    <cellStyle name="Porcentaje 2 2 4 2 2 2 4 2 2" xfId="35722" xr:uid="{00000000-0005-0000-0000-000055720000}"/>
    <cellStyle name="Porcentaje 2 2 4 2 2 2 4 3" xfId="25865" xr:uid="{00000000-0005-0000-0000-000056720000}"/>
    <cellStyle name="Porcentaje 2 2 4 2 2 2 5" xfId="11079" xr:uid="{00000000-0005-0000-0000-000057720000}"/>
    <cellStyle name="Porcentaje 2 2 4 2 2 2 5 2" xfId="30794" xr:uid="{00000000-0005-0000-0000-000058720000}"/>
    <cellStyle name="Porcentaje 2 2 4 2 2 2 6" xfId="20937" xr:uid="{00000000-0005-0000-0000-000059720000}"/>
    <cellStyle name="Porcentaje 2 2 4 2 2 3" xfId="1828" xr:uid="{00000000-0005-0000-0000-00005A720000}"/>
    <cellStyle name="Porcentaje 2 2 4 2 2 3 2" xfId="4295" xr:uid="{00000000-0005-0000-0000-00005B720000}"/>
    <cellStyle name="Porcentaje 2 2 4 2 2 3 2 2" xfId="9227" xr:uid="{00000000-0005-0000-0000-00005C720000}"/>
    <cellStyle name="Porcentaje 2 2 4 2 2 3 2 2 2" xfId="19087" xr:uid="{00000000-0005-0000-0000-00005D720000}"/>
    <cellStyle name="Porcentaje 2 2 4 2 2 3 2 2 2 2" xfId="38802" xr:uid="{00000000-0005-0000-0000-00005E720000}"/>
    <cellStyle name="Porcentaje 2 2 4 2 2 3 2 2 3" xfId="28945" xr:uid="{00000000-0005-0000-0000-00005F720000}"/>
    <cellStyle name="Porcentaje 2 2 4 2 2 3 2 3" xfId="14159" xr:uid="{00000000-0005-0000-0000-000060720000}"/>
    <cellStyle name="Porcentaje 2 2 4 2 2 3 2 3 2" xfId="33874" xr:uid="{00000000-0005-0000-0000-000061720000}"/>
    <cellStyle name="Porcentaje 2 2 4 2 2 3 2 4" xfId="24017" xr:uid="{00000000-0005-0000-0000-000062720000}"/>
    <cellStyle name="Porcentaje 2 2 4 2 2 3 3" xfId="6763" xr:uid="{00000000-0005-0000-0000-000063720000}"/>
    <cellStyle name="Porcentaje 2 2 4 2 2 3 3 2" xfId="16623" xr:uid="{00000000-0005-0000-0000-000064720000}"/>
    <cellStyle name="Porcentaje 2 2 4 2 2 3 3 2 2" xfId="36338" xr:uid="{00000000-0005-0000-0000-000065720000}"/>
    <cellStyle name="Porcentaje 2 2 4 2 2 3 3 3" xfId="26481" xr:uid="{00000000-0005-0000-0000-000066720000}"/>
    <cellStyle name="Porcentaje 2 2 4 2 2 3 4" xfId="11695" xr:uid="{00000000-0005-0000-0000-000067720000}"/>
    <cellStyle name="Porcentaje 2 2 4 2 2 3 4 2" xfId="31410" xr:uid="{00000000-0005-0000-0000-000068720000}"/>
    <cellStyle name="Porcentaje 2 2 4 2 2 3 5" xfId="21553" xr:uid="{00000000-0005-0000-0000-000069720000}"/>
    <cellStyle name="Porcentaje 2 2 4 2 2 4" xfId="3063" xr:uid="{00000000-0005-0000-0000-00006A720000}"/>
    <cellStyle name="Porcentaje 2 2 4 2 2 4 2" xfId="7995" xr:uid="{00000000-0005-0000-0000-00006B720000}"/>
    <cellStyle name="Porcentaje 2 2 4 2 2 4 2 2" xfId="17855" xr:uid="{00000000-0005-0000-0000-00006C720000}"/>
    <cellStyle name="Porcentaje 2 2 4 2 2 4 2 2 2" xfId="37570" xr:uid="{00000000-0005-0000-0000-00006D720000}"/>
    <cellStyle name="Porcentaje 2 2 4 2 2 4 2 3" xfId="27713" xr:uid="{00000000-0005-0000-0000-00006E720000}"/>
    <cellStyle name="Porcentaje 2 2 4 2 2 4 3" xfId="12927" xr:uid="{00000000-0005-0000-0000-00006F720000}"/>
    <cellStyle name="Porcentaje 2 2 4 2 2 4 3 2" xfId="32642" xr:uid="{00000000-0005-0000-0000-000070720000}"/>
    <cellStyle name="Porcentaje 2 2 4 2 2 4 4" xfId="22785" xr:uid="{00000000-0005-0000-0000-000071720000}"/>
    <cellStyle name="Porcentaje 2 2 4 2 2 5" xfId="5531" xr:uid="{00000000-0005-0000-0000-000072720000}"/>
    <cellStyle name="Porcentaje 2 2 4 2 2 5 2" xfId="15391" xr:uid="{00000000-0005-0000-0000-000073720000}"/>
    <cellStyle name="Porcentaje 2 2 4 2 2 5 2 2" xfId="35106" xr:uid="{00000000-0005-0000-0000-000074720000}"/>
    <cellStyle name="Porcentaje 2 2 4 2 2 5 3" xfId="25249" xr:uid="{00000000-0005-0000-0000-000075720000}"/>
    <cellStyle name="Porcentaje 2 2 4 2 2 6" xfId="10463" xr:uid="{00000000-0005-0000-0000-000076720000}"/>
    <cellStyle name="Porcentaje 2 2 4 2 2 6 2" xfId="30178" xr:uid="{00000000-0005-0000-0000-000077720000}"/>
    <cellStyle name="Porcentaje 2 2 4 2 2 7" xfId="20321" xr:uid="{00000000-0005-0000-0000-000078720000}"/>
    <cellStyle name="Porcentaje 2 2 4 2 3" xfId="902" xr:uid="{00000000-0005-0000-0000-000079720000}"/>
    <cellStyle name="Porcentaje 2 2 4 2 3 2" xfId="2138" xr:uid="{00000000-0005-0000-0000-00007A720000}"/>
    <cellStyle name="Porcentaje 2 2 4 2 3 2 2" xfId="4605" xr:uid="{00000000-0005-0000-0000-00007B720000}"/>
    <cellStyle name="Porcentaje 2 2 4 2 3 2 2 2" xfId="9537" xr:uid="{00000000-0005-0000-0000-00007C720000}"/>
    <cellStyle name="Porcentaje 2 2 4 2 3 2 2 2 2" xfId="19397" xr:uid="{00000000-0005-0000-0000-00007D720000}"/>
    <cellStyle name="Porcentaje 2 2 4 2 3 2 2 2 2 2" xfId="39112" xr:uid="{00000000-0005-0000-0000-00007E720000}"/>
    <cellStyle name="Porcentaje 2 2 4 2 3 2 2 2 3" xfId="29255" xr:uid="{00000000-0005-0000-0000-00007F720000}"/>
    <cellStyle name="Porcentaje 2 2 4 2 3 2 2 3" xfId="14469" xr:uid="{00000000-0005-0000-0000-000080720000}"/>
    <cellStyle name="Porcentaje 2 2 4 2 3 2 2 3 2" xfId="34184" xr:uid="{00000000-0005-0000-0000-000081720000}"/>
    <cellStyle name="Porcentaje 2 2 4 2 3 2 2 4" xfId="24327" xr:uid="{00000000-0005-0000-0000-000082720000}"/>
    <cellStyle name="Porcentaje 2 2 4 2 3 2 3" xfId="7073" xr:uid="{00000000-0005-0000-0000-000083720000}"/>
    <cellStyle name="Porcentaje 2 2 4 2 3 2 3 2" xfId="16933" xr:uid="{00000000-0005-0000-0000-000084720000}"/>
    <cellStyle name="Porcentaje 2 2 4 2 3 2 3 2 2" xfId="36648" xr:uid="{00000000-0005-0000-0000-000085720000}"/>
    <cellStyle name="Porcentaje 2 2 4 2 3 2 3 3" xfId="26791" xr:uid="{00000000-0005-0000-0000-000086720000}"/>
    <cellStyle name="Porcentaje 2 2 4 2 3 2 4" xfId="12005" xr:uid="{00000000-0005-0000-0000-000087720000}"/>
    <cellStyle name="Porcentaje 2 2 4 2 3 2 4 2" xfId="31720" xr:uid="{00000000-0005-0000-0000-000088720000}"/>
    <cellStyle name="Porcentaje 2 2 4 2 3 2 5" xfId="21863" xr:uid="{00000000-0005-0000-0000-000089720000}"/>
    <cellStyle name="Porcentaje 2 2 4 2 3 3" xfId="3373" xr:uid="{00000000-0005-0000-0000-00008A720000}"/>
    <cellStyle name="Porcentaje 2 2 4 2 3 3 2" xfId="8305" xr:uid="{00000000-0005-0000-0000-00008B720000}"/>
    <cellStyle name="Porcentaje 2 2 4 2 3 3 2 2" xfId="18165" xr:uid="{00000000-0005-0000-0000-00008C720000}"/>
    <cellStyle name="Porcentaje 2 2 4 2 3 3 2 2 2" xfId="37880" xr:uid="{00000000-0005-0000-0000-00008D720000}"/>
    <cellStyle name="Porcentaje 2 2 4 2 3 3 2 3" xfId="28023" xr:uid="{00000000-0005-0000-0000-00008E720000}"/>
    <cellStyle name="Porcentaje 2 2 4 2 3 3 3" xfId="13237" xr:uid="{00000000-0005-0000-0000-00008F720000}"/>
    <cellStyle name="Porcentaje 2 2 4 2 3 3 3 2" xfId="32952" xr:uid="{00000000-0005-0000-0000-000090720000}"/>
    <cellStyle name="Porcentaje 2 2 4 2 3 3 4" xfId="23095" xr:uid="{00000000-0005-0000-0000-000091720000}"/>
    <cellStyle name="Porcentaje 2 2 4 2 3 4" xfId="5841" xr:uid="{00000000-0005-0000-0000-000092720000}"/>
    <cellStyle name="Porcentaje 2 2 4 2 3 4 2" xfId="15701" xr:uid="{00000000-0005-0000-0000-000093720000}"/>
    <cellStyle name="Porcentaje 2 2 4 2 3 4 2 2" xfId="35416" xr:uid="{00000000-0005-0000-0000-000094720000}"/>
    <cellStyle name="Porcentaje 2 2 4 2 3 4 3" xfId="25559" xr:uid="{00000000-0005-0000-0000-000095720000}"/>
    <cellStyle name="Porcentaje 2 2 4 2 3 5" xfId="10773" xr:uid="{00000000-0005-0000-0000-000096720000}"/>
    <cellStyle name="Porcentaje 2 2 4 2 3 5 2" xfId="30488" xr:uid="{00000000-0005-0000-0000-000097720000}"/>
    <cellStyle name="Porcentaje 2 2 4 2 3 6" xfId="20631" xr:uid="{00000000-0005-0000-0000-000098720000}"/>
    <cellStyle name="Porcentaje 2 2 4 2 4" xfId="1522" xr:uid="{00000000-0005-0000-0000-000099720000}"/>
    <cellStyle name="Porcentaje 2 2 4 2 4 2" xfId="3989" xr:uid="{00000000-0005-0000-0000-00009A720000}"/>
    <cellStyle name="Porcentaje 2 2 4 2 4 2 2" xfId="8921" xr:uid="{00000000-0005-0000-0000-00009B720000}"/>
    <cellStyle name="Porcentaje 2 2 4 2 4 2 2 2" xfId="18781" xr:uid="{00000000-0005-0000-0000-00009C720000}"/>
    <cellStyle name="Porcentaje 2 2 4 2 4 2 2 2 2" xfId="38496" xr:uid="{00000000-0005-0000-0000-00009D720000}"/>
    <cellStyle name="Porcentaje 2 2 4 2 4 2 2 3" xfId="28639" xr:uid="{00000000-0005-0000-0000-00009E720000}"/>
    <cellStyle name="Porcentaje 2 2 4 2 4 2 3" xfId="13853" xr:uid="{00000000-0005-0000-0000-00009F720000}"/>
    <cellStyle name="Porcentaje 2 2 4 2 4 2 3 2" xfId="33568" xr:uid="{00000000-0005-0000-0000-0000A0720000}"/>
    <cellStyle name="Porcentaje 2 2 4 2 4 2 4" xfId="23711" xr:uid="{00000000-0005-0000-0000-0000A1720000}"/>
    <cellStyle name="Porcentaje 2 2 4 2 4 3" xfId="6457" xr:uid="{00000000-0005-0000-0000-0000A2720000}"/>
    <cellStyle name="Porcentaje 2 2 4 2 4 3 2" xfId="16317" xr:uid="{00000000-0005-0000-0000-0000A3720000}"/>
    <cellStyle name="Porcentaje 2 2 4 2 4 3 2 2" xfId="36032" xr:uid="{00000000-0005-0000-0000-0000A4720000}"/>
    <cellStyle name="Porcentaje 2 2 4 2 4 3 3" xfId="26175" xr:uid="{00000000-0005-0000-0000-0000A5720000}"/>
    <cellStyle name="Porcentaje 2 2 4 2 4 4" xfId="11389" xr:uid="{00000000-0005-0000-0000-0000A6720000}"/>
    <cellStyle name="Porcentaje 2 2 4 2 4 4 2" xfId="31104" xr:uid="{00000000-0005-0000-0000-0000A7720000}"/>
    <cellStyle name="Porcentaje 2 2 4 2 4 5" xfId="21247" xr:uid="{00000000-0005-0000-0000-0000A8720000}"/>
    <cellStyle name="Porcentaje 2 2 4 2 5" xfId="2757" xr:uid="{00000000-0005-0000-0000-0000A9720000}"/>
    <cellStyle name="Porcentaje 2 2 4 2 5 2" xfId="7689" xr:uid="{00000000-0005-0000-0000-0000AA720000}"/>
    <cellStyle name="Porcentaje 2 2 4 2 5 2 2" xfId="17549" xr:uid="{00000000-0005-0000-0000-0000AB720000}"/>
    <cellStyle name="Porcentaje 2 2 4 2 5 2 2 2" xfId="37264" xr:uid="{00000000-0005-0000-0000-0000AC720000}"/>
    <cellStyle name="Porcentaje 2 2 4 2 5 2 3" xfId="27407" xr:uid="{00000000-0005-0000-0000-0000AD720000}"/>
    <cellStyle name="Porcentaje 2 2 4 2 5 3" xfId="12621" xr:uid="{00000000-0005-0000-0000-0000AE720000}"/>
    <cellStyle name="Porcentaje 2 2 4 2 5 3 2" xfId="32336" xr:uid="{00000000-0005-0000-0000-0000AF720000}"/>
    <cellStyle name="Porcentaje 2 2 4 2 5 4" xfId="22479" xr:uid="{00000000-0005-0000-0000-0000B0720000}"/>
    <cellStyle name="Porcentaje 2 2 4 2 6" xfId="5225" xr:uid="{00000000-0005-0000-0000-0000B1720000}"/>
    <cellStyle name="Porcentaje 2 2 4 2 6 2" xfId="15085" xr:uid="{00000000-0005-0000-0000-0000B2720000}"/>
    <cellStyle name="Porcentaje 2 2 4 2 6 2 2" xfId="34800" xr:uid="{00000000-0005-0000-0000-0000B3720000}"/>
    <cellStyle name="Porcentaje 2 2 4 2 6 3" xfId="24943" xr:uid="{00000000-0005-0000-0000-0000B4720000}"/>
    <cellStyle name="Porcentaje 2 2 4 2 7" xfId="10157" xr:uid="{00000000-0005-0000-0000-0000B5720000}"/>
    <cellStyle name="Porcentaje 2 2 4 2 7 2" xfId="29872" xr:uid="{00000000-0005-0000-0000-0000B6720000}"/>
    <cellStyle name="Porcentaje 2 2 4 2 8" xfId="20015" xr:uid="{00000000-0005-0000-0000-0000B7720000}"/>
    <cellStyle name="Porcentaje 2 2 4 3" xfId="437" xr:uid="{00000000-0005-0000-0000-0000B8720000}"/>
    <cellStyle name="Porcentaje 2 2 4 3 2" xfId="1057" xr:uid="{00000000-0005-0000-0000-0000B9720000}"/>
    <cellStyle name="Porcentaje 2 2 4 3 2 2" xfId="2292" xr:uid="{00000000-0005-0000-0000-0000BA720000}"/>
    <cellStyle name="Porcentaje 2 2 4 3 2 2 2" xfId="4759" xr:uid="{00000000-0005-0000-0000-0000BB720000}"/>
    <cellStyle name="Porcentaje 2 2 4 3 2 2 2 2" xfId="9691" xr:uid="{00000000-0005-0000-0000-0000BC720000}"/>
    <cellStyle name="Porcentaje 2 2 4 3 2 2 2 2 2" xfId="19551" xr:uid="{00000000-0005-0000-0000-0000BD720000}"/>
    <cellStyle name="Porcentaje 2 2 4 3 2 2 2 2 2 2" xfId="39266" xr:uid="{00000000-0005-0000-0000-0000BE720000}"/>
    <cellStyle name="Porcentaje 2 2 4 3 2 2 2 2 3" xfId="29409" xr:uid="{00000000-0005-0000-0000-0000BF720000}"/>
    <cellStyle name="Porcentaje 2 2 4 3 2 2 2 3" xfId="14623" xr:uid="{00000000-0005-0000-0000-0000C0720000}"/>
    <cellStyle name="Porcentaje 2 2 4 3 2 2 2 3 2" xfId="34338" xr:uid="{00000000-0005-0000-0000-0000C1720000}"/>
    <cellStyle name="Porcentaje 2 2 4 3 2 2 2 4" xfId="24481" xr:uid="{00000000-0005-0000-0000-0000C2720000}"/>
    <cellStyle name="Porcentaje 2 2 4 3 2 2 3" xfId="7227" xr:uid="{00000000-0005-0000-0000-0000C3720000}"/>
    <cellStyle name="Porcentaje 2 2 4 3 2 2 3 2" xfId="17087" xr:uid="{00000000-0005-0000-0000-0000C4720000}"/>
    <cellStyle name="Porcentaje 2 2 4 3 2 2 3 2 2" xfId="36802" xr:uid="{00000000-0005-0000-0000-0000C5720000}"/>
    <cellStyle name="Porcentaje 2 2 4 3 2 2 3 3" xfId="26945" xr:uid="{00000000-0005-0000-0000-0000C6720000}"/>
    <cellStyle name="Porcentaje 2 2 4 3 2 2 4" xfId="12159" xr:uid="{00000000-0005-0000-0000-0000C7720000}"/>
    <cellStyle name="Porcentaje 2 2 4 3 2 2 4 2" xfId="31874" xr:uid="{00000000-0005-0000-0000-0000C8720000}"/>
    <cellStyle name="Porcentaje 2 2 4 3 2 2 5" xfId="22017" xr:uid="{00000000-0005-0000-0000-0000C9720000}"/>
    <cellStyle name="Porcentaje 2 2 4 3 2 3" xfId="3527" xr:uid="{00000000-0005-0000-0000-0000CA720000}"/>
    <cellStyle name="Porcentaje 2 2 4 3 2 3 2" xfId="8459" xr:uid="{00000000-0005-0000-0000-0000CB720000}"/>
    <cellStyle name="Porcentaje 2 2 4 3 2 3 2 2" xfId="18319" xr:uid="{00000000-0005-0000-0000-0000CC720000}"/>
    <cellStyle name="Porcentaje 2 2 4 3 2 3 2 2 2" xfId="38034" xr:uid="{00000000-0005-0000-0000-0000CD720000}"/>
    <cellStyle name="Porcentaje 2 2 4 3 2 3 2 3" xfId="28177" xr:uid="{00000000-0005-0000-0000-0000CE720000}"/>
    <cellStyle name="Porcentaje 2 2 4 3 2 3 3" xfId="13391" xr:uid="{00000000-0005-0000-0000-0000CF720000}"/>
    <cellStyle name="Porcentaje 2 2 4 3 2 3 3 2" xfId="33106" xr:uid="{00000000-0005-0000-0000-0000D0720000}"/>
    <cellStyle name="Porcentaje 2 2 4 3 2 3 4" xfId="23249" xr:uid="{00000000-0005-0000-0000-0000D1720000}"/>
    <cellStyle name="Porcentaje 2 2 4 3 2 4" xfId="5995" xr:uid="{00000000-0005-0000-0000-0000D2720000}"/>
    <cellStyle name="Porcentaje 2 2 4 3 2 4 2" xfId="15855" xr:uid="{00000000-0005-0000-0000-0000D3720000}"/>
    <cellStyle name="Porcentaje 2 2 4 3 2 4 2 2" xfId="35570" xr:uid="{00000000-0005-0000-0000-0000D4720000}"/>
    <cellStyle name="Porcentaje 2 2 4 3 2 4 3" xfId="25713" xr:uid="{00000000-0005-0000-0000-0000D5720000}"/>
    <cellStyle name="Porcentaje 2 2 4 3 2 5" xfId="10927" xr:uid="{00000000-0005-0000-0000-0000D6720000}"/>
    <cellStyle name="Porcentaje 2 2 4 3 2 5 2" xfId="30642" xr:uid="{00000000-0005-0000-0000-0000D7720000}"/>
    <cellStyle name="Porcentaje 2 2 4 3 2 6" xfId="20785" xr:uid="{00000000-0005-0000-0000-0000D8720000}"/>
    <cellStyle name="Porcentaje 2 2 4 3 3" xfId="1676" xr:uid="{00000000-0005-0000-0000-0000D9720000}"/>
    <cellStyle name="Porcentaje 2 2 4 3 3 2" xfId="4143" xr:uid="{00000000-0005-0000-0000-0000DA720000}"/>
    <cellStyle name="Porcentaje 2 2 4 3 3 2 2" xfId="9075" xr:uid="{00000000-0005-0000-0000-0000DB720000}"/>
    <cellStyle name="Porcentaje 2 2 4 3 3 2 2 2" xfId="18935" xr:uid="{00000000-0005-0000-0000-0000DC720000}"/>
    <cellStyle name="Porcentaje 2 2 4 3 3 2 2 2 2" xfId="38650" xr:uid="{00000000-0005-0000-0000-0000DD720000}"/>
    <cellStyle name="Porcentaje 2 2 4 3 3 2 2 3" xfId="28793" xr:uid="{00000000-0005-0000-0000-0000DE720000}"/>
    <cellStyle name="Porcentaje 2 2 4 3 3 2 3" xfId="14007" xr:uid="{00000000-0005-0000-0000-0000DF720000}"/>
    <cellStyle name="Porcentaje 2 2 4 3 3 2 3 2" xfId="33722" xr:uid="{00000000-0005-0000-0000-0000E0720000}"/>
    <cellStyle name="Porcentaje 2 2 4 3 3 2 4" xfId="23865" xr:uid="{00000000-0005-0000-0000-0000E1720000}"/>
    <cellStyle name="Porcentaje 2 2 4 3 3 3" xfId="6611" xr:uid="{00000000-0005-0000-0000-0000E2720000}"/>
    <cellStyle name="Porcentaje 2 2 4 3 3 3 2" xfId="16471" xr:uid="{00000000-0005-0000-0000-0000E3720000}"/>
    <cellStyle name="Porcentaje 2 2 4 3 3 3 2 2" xfId="36186" xr:uid="{00000000-0005-0000-0000-0000E4720000}"/>
    <cellStyle name="Porcentaje 2 2 4 3 3 3 3" xfId="26329" xr:uid="{00000000-0005-0000-0000-0000E5720000}"/>
    <cellStyle name="Porcentaje 2 2 4 3 3 4" xfId="11543" xr:uid="{00000000-0005-0000-0000-0000E6720000}"/>
    <cellStyle name="Porcentaje 2 2 4 3 3 4 2" xfId="31258" xr:uid="{00000000-0005-0000-0000-0000E7720000}"/>
    <cellStyle name="Porcentaje 2 2 4 3 3 5" xfId="21401" xr:uid="{00000000-0005-0000-0000-0000E8720000}"/>
    <cellStyle name="Porcentaje 2 2 4 3 4" xfId="2911" xr:uid="{00000000-0005-0000-0000-0000E9720000}"/>
    <cellStyle name="Porcentaje 2 2 4 3 4 2" xfId="7843" xr:uid="{00000000-0005-0000-0000-0000EA720000}"/>
    <cellStyle name="Porcentaje 2 2 4 3 4 2 2" xfId="17703" xr:uid="{00000000-0005-0000-0000-0000EB720000}"/>
    <cellStyle name="Porcentaje 2 2 4 3 4 2 2 2" xfId="37418" xr:uid="{00000000-0005-0000-0000-0000EC720000}"/>
    <cellStyle name="Porcentaje 2 2 4 3 4 2 3" xfId="27561" xr:uid="{00000000-0005-0000-0000-0000ED720000}"/>
    <cellStyle name="Porcentaje 2 2 4 3 4 3" xfId="12775" xr:uid="{00000000-0005-0000-0000-0000EE720000}"/>
    <cellStyle name="Porcentaje 2 2 4 3 4 3 2" xfId="32490" xr:uid="{00000000-0005-0000-0000-0000EF720000}"/>
    <cellStyle name="Porcentaje 2 2 4 3 4 4" xfId="22633" xr:uid="{00000000-0005-0000-0000-0000F0720000}"/>
    <cellStyle name="Porcentaje 2 2 4 3 5" xfId="5379" xr:uid="{00000000-0005-0000-0000-0000F1720000}"/>
    <cellStyle name="Porcentaje 2 2 4 3 5 2" xfId="15239" xr:uid="{00000000-0005-0000-0000-0000F2720000}"/>
    <cellStyle name="Porcentaje 2 2 4 3 5 2 2" xfId="34954" xr:uid="{00000000-0005-0000-0000-0000F3720000}"/>
    <cellStyle name="Porcentaje 2 2 4 3 5 3" xfId="25097" xr:uid="{00000000-0005-0000-0000-0000F4720000}"/>
    <cellStyle name="Porcentaje 2 2 4 3 6" xfId="10311" xr:uid="{00000000-0005-0000-0000-0000F5720000}"/>
    <cellStyle name="Porcentaje 2 2 4 3 6 2" xfId="30026" xr:uid="{00000000-0005-0000-0000-0000F6720000}"/>
    <cellStyle name="Porcentaje 2 2 4 3 7" xfId="20169" xr:uid="{00000000-0005-0000-0000-0000F7720000}"/>
    <cellStyle name="Porcentaje 2 2 4 4" xfId="750" xr:uid="{00000000-0005-0000-0000-0000F8720000}"/>
    <cellStyle name="Porcentaje 2 2 4 4 2" xfId="1986" xr:uid="{00000000-0005-0000-0000-0000F9720000}"/>
    <cellStyle name="Porcentaje 2 2 4 4 2 2" xfId="4453" xr:uid="{00000000-0005-0000-0000-0000FA720000}"/>
    <cellStyle name="Porcentaje 2 2 4 4 2 2 2" xfId="9385" xr:uid="{00000000-0005-0000-0000-0000FB720000}"/>
    <cellStyle name="Porcentaje 2 2 4 4 2 2 2 2" xfId="19245" xr:uid="{00000000-0005-0000-0000-0000FC720000}"/>
    <cellStyle name="Porcentaje 2 2 4 4 2 2 2 2 2" xfId="38960" xr:uid="{00000000-0005-0000-0000-0000FD720000}"/>
    <cellStyle name="Porcentaje 2 2 4 4 2 2 2 3" xfId="29103" xr:uid="{00000000-0005-0000-0000-0000FE720000}"/>
    <cellStyle name="Porcentaje 2 2 4 4 2 2 3" xfId="14317" xr:uid="{00000000-0005-0000-0000-0000FF720000}"/>
    <cellStyle name="Porcentaje 2 2 4 4 2 2 3 2" xfId="34032" xr:uid="{00000000-0005-0000-0000-000000730000}"/>
    <cellStyle name="Porcentaje 2 2 4 4 2 2 4" xfId="24175" xr:uid="{00000000-0005-0000-0000-000001730000}"/>
    <cellStyle name="Porcentaje 2 2 4 4 2 3" xfId="6921" xr:uid="{00000000-0005-0000-0000-000002730000}"/>
    <cellStyle name="Porcentaje 2 2 4 4 2 3 2" xfId="16781" xr:uid="{00000000-0005-0000-0000-000003730000}"/>
    <cellStyle name="Porcentaje 2 2 4 4 2 3 2 2" xfId="36496" xr:uid="{00000000-0005-0000-0000-000004730000}"/>
    <cellStyle name="Porcentaje 2 2 4 4 2 3 3" xfId="26639" xr:uid="{00000000-0005-0000-0000-000005730000}"/>
    <cellStyle name="Porcentaje 2 2 4 4 2 4" xfId="11853" xr:uid="{00000000-0005-0000-0000-000006730000}"/>
    <cellStyle name="Porcentaje 2 2 4 4 2 4 2" xfId="31568" xr:uid="{00000000-0005-0000-0000-000007730000}"/>
    <cellStyle name="Porcentaje 2 2 4 4 2 5" xfId="21711" xr:uid="{00000000-0005-0000-0000-000008730000}"/>
    <cellStyle name="Porcentaje 2 2 4 4 3" xfId="3221" xr:uid="{00000000-0005-0000-0000-000009730000}"/>
    <cellStyle name="Porcentaje 2 2 4 4 3 2" xfId="8153" xr:uid="{00000000-0005-0000-0000-00000A730000}"/>
    <cellStyle name="Porcentaje 2 2 4 4 3 2 2" xfId="18013" xr:uid="{00000000-0005-0000-0000-00000B730000}"/>
    <cellStyle name="Porcentaje 2 2 4 4 3 2 2 2" xfId="37728" xr:uid="{00000000-0005-0000-0000-00000C730000}"/>
    <cellStyle name="Porcentaje 2 2 4 4 3 2 3" xfId="27871" xr:uid="{00000000-0005-0000-0000-00000D730000}"/>
    <cellStyle name="Porcentaje 2 2 4 4 3 3" xfId="13085" xr:uid="{00000000-0005-0000-0000-00000E730000}"/>
    <cellStyle name="Porcentaje 2 2 4 4 3 3 2" xfId="32800" xr:uid="{00000000-0005-0000-0000-00000F730000}"/>
    <cellStyle name="Porcentaje 2 2 4 4 3 4" xfId="22943" xr:uid="{00000000-0005-0000-0000-000010730000}"/>
    <cellStyle name="Porcentaje 2 2 4 4 4" xfId="5689" xr:uid="{00000000-0005-0000-0000-000011730000}"/>
    <cellStyle name="Porcentaje 2 2 4 4 4 2" xfId="15549" xr:uid="{00000000-0005-0000-0000-000012730000}"/>
    <cellStyle name="Porcentaje 2 2 4 4 4 2 2" xfId="35264" xr:uid="{00000000-0005-0000-0000-000013730000}"/>
    <cellStyle name="Porcentaje 2 2 4 4 4 3" xfId="25407" xr:uid="{00000000-0005-0000-0000-000014730000}"/>
    <cellStyle name="Porcentaje 2 2 4 4 5" xfId="10621" xr:uid="{00000000-0005-0000-0000-000015730000}"/>
    <cellStyle name="Porcentaje 2 2 4 4 5 2" xfId="30336" xr:uid="{00000000-0005-0000-0000-000016730000}"/>
    <cellStyle name="Porcentaje 2 2 4 4 6" xfId="20479" xr:uid="{00000000-0005-0000-0000-000017730000}"/>
    <cellStyle name="Porcentaje 2 2 4 5" xfId="1370" xr:uid="{00000000-0005-0000-0000-000018730000}"/>
    <cellStyle name="Porcentaje 2 2 4 5 2" xfId="3837" xr:uid="{00000000-0005-0000-0000-000019730000}"/>
    <cellStyle name="Porcentaje 2 2 4 5 2 2" xfId="8769" xr:uid="{00000000-0005-0000-0000-00001A730000}"/>
    <cellStyle name="Porcentaje 2 2 4 5 2 2 2" xfId="18629" xr:uid="{00000000-0005-0000-0000-00001B730000}"/>
    <cellStyle name="Porcentaje 2 2 4 5 2 2 2 2" xfId="38344" xr:uid="{00000000-0005-0000-0000-00001C730000}"/>
    <cellStyle name="Porcentaje 2 2 4 5 2 2 3" xfId="28487" xr:uid="{00000000-0005-0000-0000-00001D730000}"/>
    <cellStyle name="Porcentaje 2 2 4 5 2 3" xfId="13701" xr:uid="{00000000-0005-0000-0000-00001E730000}"/>
    <cellStyle name="Porcentaje 2 2 4 5 2 3 2" xfId="33416" xr:uid="{00000000-0005-0000-0000-00001F730000}"/>
    <cellStyle name="Porcentaje 2 2 4 5 2 4" xfId="23559" xr:uid="{00000000-0005-0000-0000-000020730000}"/>
    <cellStyle name="Porcentaje 2 2 4 5 3" xfId="6305" xr:uid="{00000000-0005-0000-0000-000021730000}"/>
    <cellStyle name="Porcentaje 2 2 4 5 3 2" xfId="16165" xr:uid="{00000000-0005-0000-0000-000022730000}"/>
    <cellStyle name="Porcentaje 2 2 4 5 3 2 2" xfId="35880" xr:uid="{00000000-0005-0000-0000-000023730000}"/>
    <cellStyle name="Porcentaje 2 2 4 5 3 3" xfId="26023" xr:uid="{00000000-0005-0000-0000-000024730000}"/>
    <cellStyle name="Porcentaje 2 2 4 5 4" xfId="11237" xr:uid="{00000000-0005-0000-0000-000025730000}"/>
    <cellStyle name="Porcentaje 2 2 4 5 4 2" xfId="30952" xr:uid="{00000000-0005-0000-0000-000026730000}"/>
    <cellStyle name="Porcentaje 2 2 4 5 5" xfId="21095" xr:uid="{00000000-0005-0000-0000-000027730000}"/>
    <cellStyle name="Porcentaje 2 2 4 6" xfId="2605" xr:uid="{00000000-0005-0000-0000-000028730000}"/>
    <cellStyle name="Porcentaje 2 2 4 6 2" xfId="7537" xr:uid="{00000000-0005-0000-0000-000029730000}"/>
    <cellStyle name="Porcentaje 2 2 4 6 2 2" xfId="17397" xr:uid="{00000000-0005-0000-0000-00002A730000}"/>
    <cellStyle name="Porcentaje 2 2 4 6 2 2 2" xfId="37112" xr:uid="{00000000-0005-0000-0000-00002B730000}"/>
    <cellStyle name="Porcentaje 2 2 4 6 2 3" xfId="27255" xr:uid="{00000000-0005-0000-0000-00002C730000}"/>
    <cellStyle name="Porcentaje 2 2 4 6 3" xfId="12469" xr:uid="{00000000-0005-0000-0000-00002D730000}"/>
    <cellStyle name="Porcentaje 2 2 4 6 3 2" xfId="32184" xr:uid="{00000000-0005-0000-0000-00002E730000}"/>
    <cellStyle name="Porcentaje 2 2 4 6 4" xfId="22327" xr:uid="{00000000-0005-0000-0000-00002F730000}"/>
    <cellStyle name="Porcentaje 2 2 4 7" xfId="5073" xr:uid="{00000000-0005-0000-0000-000030730000}"/>
    <cellStyle name="Porcentaje 2 2 4 7 2" xfId="14933" xr:uid="{00000000-0005-0000-0000-000031730000}"/>
    <cellStyle name="Porcentaje 2 2 4 7 2 2" xfId="34648" xr:uid="{00000000-0005-0000-0000-000032730000}"/>
    <cellStyle name="Porcentaje 2 2 4 7 3" xfId="24791" xr:uid="{00000000-0005-0000-0000-000033730000}"/>
    <cellStyle name="Porcentaje 2 2 4 8" xfId="10005" xr:uid="{00000000-0005-0000-0000-000034730000}"/>
    <cellStyle name="Porcentaje 2 2 4 8 2" xfId="29720" xr:uid="{00000000-0005-0000-0000-000035730000}"/>
    <cellStyle name="Porcentaje 2 2 4 9" xfId="19863" xr:uid="{00000000-0005-0000-0000-000036730000}"/>
    <cellStyle name="Porcentaje 2 2 5" xfId="199" xr:uid="{00000000-0005-0000-0000-000037730000}"/>
    <cellStyle name="Porcentaje 2 2 5 2" xfId="513" xr:uid="{00000000-0005-0000-0000-000038730000}"/>
    <cellStyle name="Porcentaje 2 2 5 2 2" xfId="1133" xr:uid="{00000000-0005-0000-0000-000039730000}"/>
    <cellStyle name="Porcentaje 2 2 5 2 2 2" xfId="2368" xr:uid="{00000000-0005-0000-0000-00003A730000}"/>
    <cellStyle name="Porcentaje 2 2 5 2 2 2 2" xfId="4835" xr:uid="{00000000-0005-0000-0000-00003B730000}"/>
    <cellStyle name="Porcentaje 2 2 5 2 2 2 2 2" xfId="9767" xr:uid="{00000000-0005-0000-0000-00003C730000}"/>
    <cellStyle name="Porcentaje 2 2 5 2 2 2 2 2 2" xfId="19627" xr:uid="{00000000-0005-0000-0000-00003D730000}"/>
    <cellStyle name="Porcentaje 2 2 5 2 2 2 2 2 2 2" xfId="39342" xr:uid="{00000000-0005-0000-0000-00003E730000}"/>
    <cellStyle name="Porcentaje 2 2 5 2 2 2 2 2 3" xfId="29485" xr:uid="{00000000-0005-0000-0000-00003F730000}"/>
    <cellStyle name="Porcentaje 2 2 5 2 2 2 2 3" xfId="14699" xr:uid="{00000000-0005-0000-0000-000040730000}"/>
    <cellStyle name="Porcentaje 2 2 5 2 2 2 2 3 2" xfId="34414" xr:uid="{00000000-0005-0000-0000-000041730000}"/>
    <cellStyle name="Porcentaje 2 2 5 2 2 2 2 4" xfId="24557" xr:uid="{00000000-0005-0000-0000-000042730000}"/>
    <cellStyle name="Porcentaje 2 2 5 2 2 2 3" xfId="7303" xr:uid="{00000000-0005-0000-0000-000043730000}"/>
    <cellStyle name="Porcentaje 2 2 5 2 2 2 3 2" xfId="17163" xr:uid="{00000000-0005-0000-0000-000044730000}"/>
    <cellStyle name="Porcentaje 2 2 5 2 2 2 3 2 2" xfId="36878" xr:uid="{00000000-0005-0000-0000-000045730000}"/>
    <cellStyle name="Porcentaje 2 2 5 2 2 2 3 3" xfId="27021" xr:uid="{00000000-0005-0000-0000-000046730000}"/>
    <cellStyle name="Porcentaje 2 2 5 2 2 2 4" xfId="12235" xr:uid="{00000000-0005-0000-0000-000047730000}"/>
    <cellStyle name="Porcentaje 2 2 5 2 2 2 4 2" xfId="31950" xr:uid="{00000000-0005-0000-0000-000048730000}"/>
    <cellStyle name="Porcentaje 2 2 5 2 2 2 5" xfId="22093" xr:uid="{00000000-0005-0000-0000-000049730000}"/>
    <cellStyle name="Porcentaje 2 2 5 2 2 3" xfId="3603" xr:uid="{00000000-0005-0000-0000-00004A730000}"/>
    <cellStyle name="Porcentaje 2 2 5 2 2 3 2" xfId="8535" xr:uid="{00000000-0005-0000-0000-00004B730000}"/>
    <cellStyle name="Porcentaje 2 2 5 2 2 3 2 2" xfId="18395" xr:uid="{00000000-0005-0000-0000-00004C730000}"/>
    <cellStyle name="Porcentaje 2 2 5 2 2 3 2 2 2" xfId="38110" xr:uid="{00000000-0005-0000-0000-00004D730000}"/>
    <cellStyle name="Porcentaje 2 2 5 2 2 3 2 3" xfId="28253" xr:uid="{00000000-0005-0000-0000-00004E730000}"/>
    <cellStyle name="Porcentaje 2 2 5 2 2 3 3" xfId="13467" xr:uid="{00000000-0005-0000-0000-00004F730000}"/>
    <cellStyle name="Porcentaje 2 2 5 2 2 3 3 2" xfId="33182" xr:uid="{00000000-0005-0000-0000-000050730000}"/>
    <cellStyle name="Porcentaje 2 2 5 2 2 3 4" xfId="23325" xr:uid="{00000000-0005-0000-0000-000051730000}"/>
    <cellStyle name="Porcentaje 2 2 5 2 2 4" xfId="6071" xr:uid="{00000000-0005-0000-0000-000052730000}"/>
    <cellStyle name="Porcentaje 2 2 5 2 2 4 2" xfId="15931" xr:uid="{00000000-0005-0000-0000-000053730000}"/>
    <cellStyle name="Porcentaje 2 2 5 2 2 4 2 2" xfId="35646" xr:uid="{00000000-0005-0000-0000-000054730000}"/>
    <cellStyle name="Porcentaje 2 2 5 2 2 4 3" xfId="25789" xr:uid="{00000000-0005-0000-0000-000055730000}"/>
    <cellStyle name="Porcentaje 2 2 5 2 2 5" xfId="11003" xr:uid="{00000000-0005-0000-0000-000056730000}"/>
    <cellStyle name="Porcentaje 2 2 5 2 2 5 2" xfId="30718" xr:uid="{00000000-0005-0000-0000-000057730000}"/>
    <cellStyle name="Porcentaje 2 2 5 2 2 6" xfId="20861" xr:uid="{00000000-0005-0000-0000-000058730000}"/>
    <cellStyle name="Porcentaje 2 2 5 2 3" xfId="1752" xr:uid="{00000000-0005-0000-0000-000059730000}"/>
    <cellStyle name="Porcentaje 2 2 5 2 3 2" xfId="4219" xr:uid="{00000000-0005-0000-0000-00005A730000}"/>
    <cellStyle name="Porcentaje 2 2 5 2 3 2 2" xfId="9151" xr:uid="{00000000-0005-0000-0000-00005B730000}"/>
    <cellStyle name="Porcentaje 2 2 5 2 3 2 2 2" xfId="19011" xr:uid="{00000000-0005-0000-0000-00005C730000}"/>
    <cellStyle name="Porcentaje 2 2 5 2 3 2 2 2 2" xfId="38726" xr:uid="{00000000-0005-0000-0000-00005D730000}"/>
    <cellStyle name="Porcentaje 2 2 5 2 3 2 2 3" xfId="28869" xr:uid="{00000000-0005-0000-0000-00005E730000}"/>
    <cellStyle name="Porcentaje 2 2 5 2 3 2 3" xfId="14083" xr:uid="{00000000-0005-0000-0000-00005F730000}"/>
    <cellStyle name="Porcentaje 2 2 5 2 3 2 3 2" xfId="33798" xr:uid="{00000000-0005-0000-0000-000060730000}"/>
    <cellStyle name="Porcentaje 2 2 5 2 3 2 4" xfId="23941" xr:uid="{00000000-0005-0000-0000-000061730000}"/>
    <cellStyle name="Porcentaje 2 2 5 2 3 3" xfId="6687" xr:uid="{00000000-0005-0000-0000-000062730000}"/>
    <cellStyle name="Porcentaje 2 2 5 2 3 3 2" xfId="16547" xr:uid="{00000000-0005-0000-0000-000063730000}"/>
    <cellStyle name="Porcentaje 2 2 5 2 3 3 2 2" xfId="36262" xr:uid="{00000000-0005-0000-0000-000064730000}"/>
    <cellStyle name="Porcentaje 2 2 5 2 3 3 3" xfId="26405" xr:uid="{00000000-0005-0000-0000-000065730000}"/>
    <cellStyle name="Porcentaje 2 2 5 2 3 4" xfId="11619" xr:uid="{00000000-0005-0000-0000-000066730000}"/>
    <cellStyle name="Porcentaje 2 2 5 2 3 4 2" xfId="31334" xr:uid="{00000000-0005-0000-0000-000067730000}"/>
    <cellStyle name="Porcentaje 2 2 5 2 3 5" xfId="21477" xr:uid="{00000000-0005-0000-0000-000068730000}"/>
    <cellStyle name="Porcentaje 2 2 5 2 4" xfId="2987" xr:uid="{00000000-0005-0000-0000-000069730000}"/>
    <cellStyle name="Porcentaje 2 2 5 2 4 2" xfId="7919" xr:uid="{00000000-0005-0000-0000-00006A730000}"/>
    <cellStyle name="Porcentaje 2 2 5 2 4 2 2" xfId="17779" xr:uid="{00000000-0005-0000-0000-00006B730000}"/>
    <cellStyle name="Porcentaje 2 2 5 2 4 2 2 2" xfId="37494" xr:uid="{00000000-0005-0000-0000-00006C730000}"/>
    <cellStyle name="Porcentaje 2 2 5 2 4 2 3" xfId="27637" xr:uid="{00000000-0005-0000-0000-00006D730000}"/>
    <cellStyle name="Porcentaje 2 2 5 2 4 3" xfId="12851" xr:uid="{00000000-0005-0000-0000-00006E730000}"/>
    <cellStyle name="Porcentaje 2 2 5 2 4 3 2" xfId="32566" xr:uid="{00000000-0005-0000-0000-00006F730000}"/>
    <cellStyle name="Porcentaje 2 2 5 2 4 4" xfId="22709" xr:uid="{00000000-0005-0000-0000-000070730000}"/>
    <cellStyle name="Porcentaje 2 2 5 2 5" xfId="5455" xr:uid="{00000000-0005-0000-0000-000071730000}"/>
    <cellStyle name="Porcentaje 2 2 5 2 5 2" xfId="15315" xr:uid="{00000000-0005-0000-0000-000072730000}"/>
    <cellStyle name="Porcentaje 2 2 5 2 5 2 2" xfId="35030" xr:uid="{00000000-0005-0000-0000-000073730000}"/>
    <cellStyle name="Porcentaje 2 2 5 2 5 3" xfId="25173" xr:uid="{00000000-0005-0000-0000-000074730000}"/>
    <cellStyle name="Porcentaje 2 2 5 2 6" xfId="10387" xr:uid="{00000000-0005-0000-0000-000075730000}"/>
    <cellStyle name="Porcentaje 2 2 5 2 6 2" xfId="30102" xr:uid="{00000000-0005-0000-0000-000076730000}"/>
    <cellStyle name="Porcentaje 2 2 5 2 7" xfId="20245" xr:uid="{00000000-0005-0000-0000-000077730000}"/>
    <cellStyle name="Porcentaje 2 2 5 3" xfId="826" xr:uid="{00000000-0005-0000-0000-000078730000}"/>
    <cellStyle name="Porcentaje 2 2 5 3 2" xfId="2062" xr:uid="{00000000-0005-0000-0000-000079730000}"/>
    <cellStyle name="Porcentaje 2 2 5 3 2 2" xfId="4529" xr:uid="{00000000-0005-0000-0000-00007A730000}"/>
    <cellStyle name="Porcentaje 2 2 5 3 2 2 2" xfId="9461" xr:uid="{00000000-0005-0000-0000-00007B730000}"/>
    <cellStyle name="Porcentaje 2 2 5 3 2 2 2 2" xfId="19321" xr:uid="{00000000-0005-0000-0000-00007C730000}"/>
    <cellStyle name="Porcentaje 2 2 5 3 2 2 2 2 2" xfId="39036" xr:uid="{00000000-0005-0000-0000-00007D730000}"/>
    <cellStyle name="Porcentaje 2 2 5 3 2 2 2 3" xfId="29179" xr:uid="{00000000-0005-0000-0000-00007E730000}"/>
    <cellStyle name="Porcentaje 2 2 5 3 2 2 3" xfId="14393" xr:uid="{00000000-0005-0000-0000-00007F730000}"/>
    <cellStyle name="Porcentaje 2 2 5 3 2 2 3 2" xfId="34108" xr:uid="{00000000-0005-0000-0000-000080730000}"/>
    <cellStyle name="Porcentaje 2 2 5 3 2 2 4" xfId="24251" xr:uid="{00000000-0005-0000-0000-000081730000}"/>
    <cellStyle name="Porcentaje 2 2 5 3 2 3" xfId="6997" xr:uid="{00000000-0005-0000-0000-000082730000}"/>
    <cellStyle name="Porcentaje 2 2 5 3 2 3 2" xfId="16857" xr:uid="{00000000-0005-0000-0000-000083730000}"/>
    <cellStyle name="Porcentaje 2 2 5 3 2 3 2 2" xfId="36572" xr:uid="{00000000-0005-0000-0000-000084730000}"/>
    <cellStyle name="Porcentaje 2 2 5 3 2 3 3" xfId="26715" xr:uid="{00000000-0005-0000-0000-000085730000}"/>
    <cellStyle name="Porcentaje 2 2 5 3 2 4" xfId="11929" xr:uid="{00000000-0005-0000-0000-000086730000}"/>
    <cellStyle name="Porcentaje 2 2 5 3 2 4 2" xfId="31644" xr:uid="{00000000-0005-0000-0000-000087730000}"/>
    <cellStyle name="Porcentaje 2 2 5 3 2 5" xfId="21787" xr:uid="{00000000-0005-0000-0000-000088730000}"/>
    <cellStyle name="Porcentaje 2 2 5 3 3" xfId="3297" xr:uid="{00000000-0005-0000-0000-000089730000}"/>
    <cellStyle name="Porcentaje 2 2 5 3 3 2" xfId="8229" xr:uid="{00000000-0005-0000-0000-00008A730000}"/>
    <cellStyle name="Porcentaje 2 2 5 3 3 2 2" xfId="18089" xr:uid="{00000000-0005-0000-0000-00008B730000}"/>
    <cellStyle name="Porcentaje 2 2 5 3 3 2 2 2" xfId="37804" xr:uid="{00000000-0005-0000-0000-00008C730000}"/>
    <cellStyle name="Porcentaje 2 2 5 3 3 2 3" xfId="27947" xr:uid="{00000000-0005-0000-0000-00008D730000}"/>
    <cellStyle name="Porcentaje 2 2 5 3 3 3" xfId="13161" xr:uid="{00000000-0005-0000-0000-00008E730000}"/>
    <cellStyle name="Porcentaje 2 2 5 3 3 3 2" xfId="32876" xr:uid="{00000000-0005-0000-0000-00008F730000}"/>
    <cellStyle name="Porcentaje 2 2 5 3 3 4" xfId="23019" xr:uid="{00000000-0005-0000-0000-000090730000}"/>
    <cellStyle name="Porcentaje 2 2 5 3 4" xfId="5765" xr:uid="{00000000-0005-0000-0000-000091730000}"/>
    <cellStyle name="Porcentaje 2 2 5 3 4 2" xfId="15625" xr:uid="{00000000-0005-0000-0000-000092730000}"/>
    <cellStyle name="Porcentaje 2 2 5 3 4 2 2" xfId="35340" xr:uid="{00000000-0005-0000-0000-000093730000}"/>
    <cellStyle name="Porcentaje 2 2 5 3 4 3" xfId="25483" xr:uid="{00000000-0005-0000-0000-000094730000}"/>
    <cellStyle name="Porcentaje 2 2 5 3 5" xfId="10697" xr:uid="{00000000-0005-0000-0000-000095730000}"/>
    <cellStyle name="Porcentaje 2 2 5 3 5 2" xfId="30412" xr:uid="{00000000-0005-0000-0000-000096730000}"/>
    <cellStyle name="Porcentaje 2 2 5 3 6" xfId="20555" xr:uid="{00000000-0005-0000-0000-000097730000}"/>
    <cellStyle name="Porcentaje 2 2 5 4" xfId="1446" xr:uid="{00000000-0005-0000-0000-000098730000}"/>
    <cellStyle name="Porcentaje 2 2 5 4 2" xfId="3913" xr:uid="{00000000-0005-0000-0000-000099730000}"/>
    <cellStyle name="Porcentaje 2 2 5 4 2 2" xfId="8845" xr:uid="{00000000-0005-0000-0000-00009A730000}"/>
    <cellStyle name="Porcentaje 2 2 5 4 2 2 2" xfId="18705" xr:uid="{00000000-0005-0000-0000-00009B730000}"/>
    <cellStyle name="Porcentaje 2 2 5 4 2 2 2 2" xfId="38420" xr:uid="{00000000-0005-0000-0000-00009C730000}"/>
    <cellStyle name="Porcentaje 2 2 5 4 2 2 3" xfId="28563" xr:uid="{00000000-0005-0000-0000-00009D730000}"/>
    <cellStyle name="Porcentaje 2 2 5 4 2 3" xfId="13777" xr:uid="{00000000-0005-0000-0000-00009E730000}"/>
    <cellStyle name="Porcentaje 2 2 5 4 2 3 2" xfId="33492" xr:uid="{00000000-0005-0000-0000-00009F730000}"/>
    <cellStyle name="Porcentaje 2 2 5 4 2 4" xfId="23635" xr:uid="{00000000-0005-0000-0000-0000A0730000}"/>
    <cellStyle name="Porcentaje 2 2 5 4 3" xfId="6381" xr:uid="{00000000-0005-0000-0000-0000A1730000}"/>
    <cellStyle name="Porcentaje 2 2 5 4 3 2" xfId="16241" xr:uid="{00000000-0005-0000-0000-0000A2730000}"/>
    <cellStyle name="Porcentaje 2 2 5 4 3 2 2" xfId="35956" xr:uid="{00000000-0005-0000-0000-0000A3730000}"/>
    <cellStyle name="Porcentaje 2 2 5 4 3 3" xfId="26099" xr:uid="{00000000-0005-0000-0000-0000A4730000}"/>
    <cellStyle name="Porcentaje 2 2 5 4 4" xfId="11313" xr:uid="{00000000-0005-0000-0000-0000A5730000}"/>
    <cellStyle name="Porcentaje 2 2 5 4 4 2" xfId="31028" xr:uid="{00000000-0005-0000-0000-0000A6730000}"/>
    <cellStyle name="Porcentaje 2 2 5 4 5" xfId="21171" xr:uid="{00000000-0005-0000-0000-0000A7730000}"/>
    <cellStyle name="Porcentaje 2 2 5 5" xfId="2681" xr:uid="{00000000-0005-0000-0000-0000A8730000}"/>
    <cellStyle name="Porcentaje 2 2 5 5 2" xfId="7613" xr:uid="{00000000-0005-0000-0000-0000A9730000}"/>
    <cellStyle name="Porcentaje 2 2 5 5 2 2" xfId="17473" xr:uid="{00000000-0005-0000-0000-0000AA730000}"/>
    <cellStyle name="Porcentaje 2 2 5 5 2 2 2" xfId="37188" xr:uid="{00000000-0005-0000-0000-0000AB730000}"/>
    <cellStyle name="Porcentaje 2 2 5 5 2 3" xfId="27331" xr:uid="{00000000-0005-0000-0000-0000AC730000}"/>
    <cellStyle name="Porcentaje 2 2 5 5 3" xfId="12545" xr:uid="{00000000-0005-0000-0000-0000AD730000}"/>
    <cellStyle name="Porcentaje 2 2 5 5 3 2" xfId="32260" xr:uid="{00000000-0005-0000-0000-0000AE730000}"/>
    <cellStyle name="Porcentaje 2 2 5 5 4" xfId="22403" xr:uid="{00000000-0005-0000-0000-0000AF730000}"/>
    <cellStyle name="Porcentaje 2 2 5 6" xfId="5149" xr:uid="{00000000-0005-0000-0000-0000B0730000}"/>
    <cellStyle name="Porcentaje 2 2 5 6 2" xfId="15009" xr:uid="{00000000-0005-0000-0000-0000B1730000}"/>
    <cellStyle name="Porcentaje 2 2 5 6 2 2" xfId="34724" xr:uid="{00000000-0005-0000-0000-0000B2730000}"/>
    <cellStyle name="Porcentaje 2 2 5 6 3" xfId="24867" xr:uid="{00000000-0005-0000-0000-0000B3730000}"/>
    <cellStyle name="Porcentaje 2 2 5 7" xfId="10081" xr:uid="{00000000-0005-0000-0000-0000B4730000}"/>
    <cellStyle name="Porcentaje 2 2 5 7 2" xfId="29796" xr:uid="{00000000-0005-0000-0000-0000B5730000}"/>
    <cellStyle name="Porcentaje 2 2 5 8" xfId="19939" xr:uid="{00000000-0005-0000-0000-0000B6730000}"/>
    <cellStyle name="Porcentaje 2 2 6" xfId="361" xr:uid="{00000000-0005-0000-0000-0000B7730000}"/>
    <cellStyle name="Porcentaje 2 2 6 2" xfId="981" xr:uid="{00000000-0005-0000-0000-0000B8730000}"/>
    <cellStyle name="Porcentaje 2 2 6 2 2" xfId="2216" xr:uid="{00000000-0005-0000-0000-0000B9730000}"/>
    <cellStyle name="Porcentaje 2 2 6 2 2 2" xfId="4683" xr:uid="{00000000-0005-0000-0000-0000BA730000}"/>
    <cellStyle name="Porcentaje 2 2 6 2 2 2 2" xfId="9615" xr:uid="{00000000-0005-0000-0000-0000BB730000}"/>
    <cellStyle name="Porcentaje 2 2 6 2 2 2 2 2" xfId="19475" xr:uid="{00000000-0005-0000-0000-0000BC730000}"/>
    <cellStyle name="Porcentaje 2 2 6 2 2 2 2 2 2" xfId="39190" xr:uid="{00000000-0005-0000-0000-0000BD730000}"/>
    <cellStyle name="Porcentaje 2 2 6 2 2 2 2 3" xfId="29333" xr:uid="{00000000-0005-0000-0000-0000BE730000}"/>
    <cellStyle name="Porcentaje 2 2 6 2 2 2 3" xfId="14547" xr:uid="{00000000-0005-0000-0000-0000BF730000}"/>
    <cellStyle name="Porcentaje 2 2 6 2 2 2 3 2" xfId="34262" xr:uid="{00000000-0005-0000-0000-0000C0730000}"/>
    <cellStyle name="Porcentaje 2 2 6 2 2 2 4" xfId="24405" xr:uid="{00000000-0005-0000-0000-0000C1730000}"/>
    <cellStyle name="Porcentaje 2 2 6 2 2 3" xfId="7151" xr:uid="{00000000-0005-0000-0000-0000C2730000}"/>
    <cellStyle name="Porcentaje 2 2 6 2 2 3 2" xfId="17011" xr:uid="{00000000-0005-0000-0000-0000C3730000}"/>
    <cellStyle name="Porcentaje 2 2 6 2 2 3 2 2" xfId="36726" xr:uid="{00000000-0005-0000-0000-0000C4730000}"/>
    <cellStyle name="Porcentaje 2 2 6 2 2 3 3" xfId="26869" xr:uid="{00000000-0005-0000-0000-0000C5730000}"/>
    <cellStyle name="Porcentaje 2 2 6 2 2 4" xfId="12083" xr:uid="{00000000-0005-0000-0000-0000C6730000}"/>
    <cellStyle name="Porcentaje 2 2 6 2 2 4 2" xfId="31798" xr:uid="{00000000-0005-0000-0000-0000C7730000}"/>
    <cellStyle name="Porcentaje 2 2 6 2 2 5" xfId="21941" xr:uid="{00000000-0005-0000-0000-0000C8730000}"/>
    <cellStyle name="Porcentaje 2 2 6 2 3" xfId="3451" xr:uid="{00000000-0005-0000-0000-0000C9730000}"/>
    <cellStyle name="Porcentaje 2 2 6 2 3 2" xfId="8383" xr:uid="{00000000-0005-0000-0000-0000CA730000}"/>
    <cellStyle name="Porcentaje 2 2 6 2 3 2 2" xfId="18243" xr:uid="{00000000-0005-0000-0000-0000CB730000}"/>
    <cellStyle name="Porcentaje 2 2 6 2 3 2 2 2" xfId="37958" xr:uid="{00000000-0005-0000-0000-0000CC730000}"/>
    <cellStyle name="Porcentaje 2 2 6 2 3 2 3" xfId="28101" xr:uid="{00000000-0005-0000-0000-0000CD730000}"/>
    <cellStyle name="Porcentaje 2 2 6 2 3 3" xfId="13315" xr:uid="{00000000-0005-0000-0000-0000CE730000}"/>
    <cellStyle name="Porcentaje 2 2 6 2 3 3 2" xfId="33030" xr:uid="{00000000-0005-0000-0000-0000CF730000}"/>
    <cellStyle name="Porcentaje 2 2 6 2 3 4" xfId="23173" xr:uid="{00000000-0005-0000-0000-0000D0730000}"/>
    <cellStyle name="Porcentaje 2 2 6 2 4" xfId="5919" xr:uid="{00000000-0005-0000-0000-0000D1730000}"/>
    <cellStyle name="Porcentaje 2 2 6 2 4 2" xfId="15779" xr:uid="{00000000-0005-0000-0000-0000D2730000}"/>
    <cellStyle name="Porcentaje 2 2 6 2 4 2 2" xfId="35494" xr:uid="{00000000-0005-0000-0000-0000D3730000}"/>
    <cellStyle name="Porcentaje 2 2 6 2 4 3" xfId="25637" xr:uid="{00000000-0005-0000-0000-0000D4730000}"/>
    <cellStyle name="Porcentaje 2 2 6 2 5" xfId="10851" xr:uid="{00000000-0005-0000-0000-0000D5730000}"/>
    <cellStyle name="Porcentaje 2 2 6 2 5 2" xfId="30566" xr:uid="{00000000-0005-0000-0000-0000D6730000}"/>
    <cellStyle name="Porcentaje 2 2 6 2 6" xfId="20709" xr:uid="{00000000-0005-0000-0000-0000D7730000}"/>
    <cellStyle name="Porcentaje 2 2 6 3" xfId="1600" xr:uid="{00000000-0005-0000-0000-0000D8730000}"/>
    <cellStyle name="Porcentaje 2 2 6 3 2" xfId="4067" xr:uid="{00000000-0005-0000-0000-0000D9730000}"/>
    <cellStyle name="Porcentaje 2 2 6 3 2 2" xfId="8999" xr:uid="{00000000-0005-0000-0000-0000DA730000}"/>
    <cellStyle name="Porcentaje 2 2 6 3 2 2 2" xfId="18859" xr:uid="{00000000-0005-0000-0000-0000DB730000}"/>
    <cellStyle name="Porcentaje 2 2 6 3 2 2 2 2" xfId="38574" xr:uid="{00000000-0005-0000-0000-0000DC730000}"/>
    <cellStyle name="Porcentaje 2 2 6 3 2 2 3" xfId="28717" xr:uid="{00000000-0005-0000-0000-0000DD730000}"/>
    <cellStyle name="Porcentaje 2 2 6 3 2 3" xfId="13931" xr:uid="{00000000-0005-0000-0000-0000DE730000}"/>
    <cellStyle name="Porcentaje 2 2 6 3 2 3 2" xfId="33646" xr:uid="{00000000-0005-0000-0000-0000DF730000}"/>
    <cellStyle name="Porcentaje 2 2 6 3 2 4" xfId="23789" xr:uid="{00000000-0005-0000-0000-0000E0730000}"/>
    <cellStyle name="Porcentaje 2 2 6 3 3" xfId="6535" xr:uid="{00000000-0005-0000-0000-0000E1730000}"/>
    <cellStyle name="Porcentaje 2 2 6 3 3 2" xfId="16395" xr:uid="{00000000-0005-0000-0000-0000E2730000}"/>
    <cellStyle name="Porcentaje 2 2 6 3 3 2 2" xfId="36110" xr:uid="{00000000-0005-0000-0000-0000E3730000}"/>
    <cellStyle name="Porcentaje 2 2 6 3 3 3" xfId="26253" xr:uid="{00000000-0005-0000-0000-0000E4730000}"/>
    <cellStyle name="Porcentaje 2 2 6 3 4" xfId="11467" xr:uid="{00000000-0005-0000-0000-0000E5730000}"/>
    <cellStyle name="Porcentaje 2 2 6 3 4 2" xfId="31182" xr:uid="{00000000-0005-0000-0000-0000E6730000}"/>
    <cellStyle name="Porcentaje 2 2 6 3 5" xfId="21325" xr:uid="{00000000-0005-0000-0000-0000E7730000}"/>
    <cellStyle name="Porcentaje 2 2 6 4" xfId="2835" xr:uid="{00000000-0005-0000-0000-0000E8730000}"/>
    <cellStyle name="Porcentaje 2 2 6 4 2" xfId="7767" xr:uid="{00000000-0005-0000-0000-0000E9730000}"/>
    <cellStyle name="Porcentaje 2 2 6 4 2 2" xfId="17627" xr:uid="{00000000-0005-0000-0000-0000EA730000}"/>
    <cellStyle name="Porcentaje 2 2 6 4 2 2 2" xfId="37342" xr:uid="{00000000-0005-0000-0000-0000EB730000}"/>
    <cellStyle name="Porcentaje 2 2 6 4 2 3" xfId="27485" xr:uid="{00000000-0005-0000-0000-0000EC730000}"/>
    <cellStyle name="Porcentaje 2 2 6 4 3" xfId="12699" xr:uid="{00000000-0005-0000-0000-0000ED730000}"/>
    <cellStyle name="Porcentaje 2 2 6 4 3 2" xfId="32414" xr:uid="{00000000-0005-0000-0000-0000EE730000}"/>
    <cellStyle name="Porcentaje 2 2 6 4 4" xfId="22557" xr:uid="{00000000-0005-0000-0000-0000EF730000}"/>
    <cellStyle name="Porcentaje 2 2 6 5" xfId="5303" xr:uid="{00000000-0005-0000-0000-0000F0730000}"/>
    <cellStyle name="Porcentaje 2 2 6 5 2" xfId="15163" xr:uid="{00000000-0005-0000-0000-0000F1730000}"/>
    <cellStyle name="Porcentaje 2 2 6 5 2 2" xfId="34878" xr:uid="{00000000-0005-0000-0000-0000F2730000}"/>
    <cellStyle name="Porcentaje 2 2 6 5 3" xfId="25021" xr:uid="{00000000-0005-0000-0000-0000F3730000}"/>
    <cellStyle name="Porcentaje 2 2 6 6" xfId="10235" xr:uid="{00000000-0005-0000-0000-0000F4730000}"/>
    <cellStyle name="Porcentaje 2 2 6 6 2" xfId="29950" xr:uid="{00000000-0005-0000-0000-0000F5730000}"/>
    <cellStyle name="Porcentaje 2 2 6 7" xfId="20093" xr:uid="{00000000-0005-0000-0000-0000F6730000}"/>
    <cellStyle name="Porcentaje 2 2 7" xfId="674" xr:uid="{00000000-0005-0000-0000-0000F7730000}"/>
    <cellStyle name="Porcentaje 2 2 7 2" xfId="1910" xr:uid="{00000000-0005-0000-0000-0000F8730000}"/>
    <cellStyle name="Porcentaje 2 2 7 2 2" xfId="4377" xr:uid="{00000000-0005-0000-0000-0000F9730000}"/>
    <cellStyle name="Porcentaje 2 2 7 2 2 2" xfId="9309" xr:uid="{00000000-0005-0000-0000-0000FA730000}"/>
    <cellStyle name="Porcentaje 2 2 7 2 2 2 2" xfId="19169" xr:uid="{00000000-0005-0000-0000-0000FB730000}"/>
    <cellStyle name="Porcentaje 2 2 7 2 2 2 2 2" xfId="38884" xr:uid="{00000000-0005-0000-0000-0000FC730000}"/>
    <cellStyle name="Porcentaje 2 2 7 2 2 2 3" xfId="29027" xr:uid="{00000000-0005-0000-0000-0000FD730000}"/>
    <cellStyle name="Porcentaje 2 2 7 2 2 3" xfId="14241" xr:uid="{00000000-0005-0000-0000-0000FE730000}"/>
    <cellStyle name="Porcentaje 2 2 7 2 2 3 2" xfId="33956" xr:uid="{00000000-0005-0000-0000-0000FF730000}"/>
    <cellStyle name="Porcentaje 2 2 7 2 2 4" xfId="24099" xr:uid="{00000000-0005-0000-0000-000000740000}"/>
    <cellStyle name="Porcentaje 2 2 7 2 3" xfId="6845" xr:uid="{00000000-0005-0000-0000-000001740000}"/>
    <cellStyle name="Porcentaje 2 2 7 2 3 2" xfId="16705" xr:uid="{00000000-0005-0000-0000-000002740000}"/>
    <cellStyle name="Porcentaje 2 2 7 2 3 2 2" xfId="36420" xr:uid="{00000000-0005-0000-0000-000003740000}"/>
    <cellStyle name="Porcentaje 2 2 7 2 3 3" xfId="26563" xr:uid="{00000000-0005-0000-0000-000004740000}"/>
    <cellStyle name="Porcentaje 2 2 7 2 4" xfId="11777" xr:uid="{00000000-0005-0000-0000-000005740000}"/>
    <cellStyle name="Porcentaje 2 2 7 2 4 2" xfId="31492" xr:uid="{00000000-0005-0000-0000-000006740000}"/>
    <cellStyle name="Porcentaje 2 2 7 2 5" xfId="21635" xr:uid="{00000000-0005-0000-0000-000007740000}"/>
    <cellStyle name="Porcentaje 2 2 7 3" xfId="3145" xr:uid="{00000000-0005-0000-0000-000008740000}"/>
    <cellStyle name="Porcentaje 2 2 7 3 2" xfId="8077" xr:uid="{00000000-0005-0000-0000-000009740000}"/>
    <cellStyle name="Porcentaje 2 2 7 3 2 2" xfId="17937" xr:uid="{00000000-0005-0000-0000-00000A740000}"/>
    <cellStyle name="Porcentaje 2 2 7 3 2 2 2" xfId="37652" xr:uid="{00000000-0005-0000-0000-00000B740000}"/>
    <cellStyle name="Porcentaje 2 2 7 3 2 3" xfId="27795" xr:uid="{00000000-0005-0000-0000-00000C740000}"/>
    <cellStyle name="Porcentaje 2 2 7 3 3" xfId="13009" xr:uid="{00000000-0005-0000-0000-00000D740000}"/>
    <cellStyle name="Porcentaje 2 2 7 3 3 2" xfId="32724" xr:uid="{00000000-0005-0000-0000-00000E740000}"/>
    <cellStyle name="Porcentaje 2 2 7 3 4" xfId="22867" xr:uid="{00000000-0005-0000-0000-00000F740000}"/>
    <cellStyle name="Porcentaje 2 2 7 4" xfId="5613" xr:uid="{00000000-0005-0000-0000-000010740000}"/>
    <cellStyle name="Porcentaje 2 2 7 4 2" xfId="15473" xr:uid="{00000000-0005-0000-0000-000011740000}"/>
    <cellStyle name="Porcentaje 2 2 7 4 2 2" xfId="35188" xr:uid="{00000000-0005-0000-0000-000012740000}"/>
    <cellStyle name="Porcentaje 2 2 7 4 3" xfId="25331" xr:uid="{00000000-0005-0000-0000-000013740000}"/>
    <cellStyle name="Porcentaje 2 2 7 5" xfId="10545" xr:uid="{00000000-0005-0000-0000-000014740000}"/>
    <cellStyle name="Porcentaje 2 2 7 5 2" xfId="30260" xr:uid="{00000000-0005-0000-0000-000015740000}"/>
    <cellStyle name="Porcentaje 2 2 7 6" xfId="20403" xr:uid="{00000000-0005-0000-0000-000016740000}"/>
    <cellStyle name="Porcentaje 2 2 8" xfId="1294" xr:uid="{00000000-0005-0000-0000-000017740000}"/>
    <cellStyle name="Porcentaje 2 2 8 2" xfId="3761" xr:uid="{00000000-0005-0000-0000-000018740000}"/>
    <cellStyle name="Porcentaje 2 2 8 2 2" xfId="8693" xr:uid="{00000000-0005-0000-0000-000019740000}"/>
    <cellStyle name="Porcentaje 2 2 8 2 2 2" xfId="18553" xr:uid="{00000000-0005-0000-0000-00001A740000}"/>
    <cellStyle name="Porcentaje 2 2 8 2 2 2 2" xfId="38268" xr:uid="{00000000-0005-0000-0000-00001B740000}"/>
    <cellStyle name="Porcentaje 2 2 8 2 2 3" xfId="28411" xr:uid="{00000000-0005-0000-0000-00001C740000}"/>
    <cellStyle name="Porcentaje 2 2 8 2 3" xfId="13625" xr:uid="{00000000-0005-0000-0000-00001D740000}"/>
    <cellStyle name="Porcentaje 2 2 8 2 3 2" xfId="33340" xr:uid="{00000000-0005-0000-0000-00001E740000}"/>
    <cellStyle name="Porcentaje 2 2 8 2 4" xfId="23483" xr:uid="{00000000-0005-0000-0000-00001F740000}"/>
    <cellStyle name="Porcentaje 2 2 8 3" xfId="6229" xr:uid="{00000000-0005-0000-0000-000020740000}"/>
    <cellStyle name="Porcentaje 2 2 8 3 2" xfId="16089" xr:uid="{00000000-0005-0000-0000-000021740000}"/>
    <cellStyle name="Porcentaje 2 2 8 3 2 2" xfId="35804" xr:uid="{00000000-0005-0000-0000-000022740000}"/>
    <cellStyle name="Porcentaje 2 2 8 3 3" xfId="25947" xr:uid="{00000000-0005-0000-0000-000023740000}"/>
    <cellStyle name="Porcentaje 2 2 8 4" xfId="11161" xr:uid="{00000000-0005-0000-0000-000024740000}"/>
    <cellStyle name="Porcentaje 2 2 8 4 2" xfId="30876" xr:uid="{00000000-0005-0000-0000-000025740000}"/>
    <cellStyle name="Porcentaje 2 2 8 5" xfId="21019" xr:uid="{00000000-0005-0000-0000-000026740000}"/>
    <cellStyle name="Porcentaje 2 2 9" xfId="2529" xr:uid="{00000000-0005-0000-0000-000027740000}"/>
    <cellStyle name="Porcentaje 2 2 9 2" xfId="7461" xr:uid="{00000000-0005-0000-0000-000028740000}"/>
    <cellStyle name="Porcentaje 2 2 9 2 2" xfId="17321" xr:uid="{00000000-0005-0000-0000-000029740000}"/>
    <cellStyle name="Porcentaje 2 2 9 2 2 2" xfId="37036" xr:uid="{00000000-0005-0000-0000-00002A740000}"/>
    <cellStyle name="Porcentaje 2 2 9 2 3" xfId="27179" xr:uid="{00000000-0005-0000-0000-00002B740000}"/>
    <cellStyle name="Porcentaje 2 2 9 3" xfId="12393" xr:uid="{00000000-0005-0000-0000-00002C740000}"/>
    <cellStyle name="Porcentaje 2 2 9 3 2" xfId="32108" xr:uid="{00000000-0005-0000-0000-00002D740000}"/>
    <cellStyle name="Porcentaje 2 2 9 4" xfId="22251" xr:uid="{00000000-0005-0000-0000-00002E740000}"/>
    <cellStyle name="Porcentaje 2 3" xfId="41" xr:uid="{00000000-0005-0000-0000-00002F740000}"/>
    <cellStyle name="Porcentaje 2 3 10" xfId="9939" xr:uid="{00000000-0005-0000-0000-000030740000}"/>
    <cellStyle name="Porcentaje 2 3 10 2" xfId="29654" xr:uid="{00000000-0005-0000-0000-000031740000}"/>
    <cellStyle name="Porcentaje 2 3 11" xfId="19797" xr:uid="{00000000-0005-0000-0000-000032740000}"/>
    <cellStyle name="Porcentaje 2 3 2" xfId="85" xr:uid="{00000000-0005-0000-0000-000033740000}"/>
    <cellStyle name="Porcentaje 2 3 2 10" xfId="19835" xr:uid="{00000000-0005-0000-0000-000034740000}"/>
    <cellStyle name="Porcentaje 2 3 2 2" xfId="166" xr:uid="{00000000-0005-0000-0000-000035740000}"/>
    <cellStyle name="Porcentaje 2 3 2 2 2" xfId="323" xr:uid="{00000000-0005-0000-0000-000036740000}"/>
    <cellStyle name="Porcentaje 2 3 2 2 2 2" xfId="637" xr:uid="{00000000-0005-0000-0000-000037740000}"/>
    <cellStyle name="Porcentaje 2 3 2 2 2 2 2" xfId="1257" xr:uid="{00000000-0005-0000-0000-000038740000}"/>
    <cellStyle name="Porcentaje 2 3 2 2 2 2 2 2" xfId="2492" xr:uid="{00000000-0005-0000-0000-000039740000}"/>
    <cellStyle name="Porcentaje 2 3 2 2 2 2 2 2 2" xfId="4959" xr:uid="{00000000-0005-0000-0000-00003A740000}"/>
    <cellStyle name="Porcentaje 2 3 2 2 2 2 2 2 2 2" xfId="9891" xr:uid="{00000000-0005-0000-0000-00003B740000}"/>
    <cellStyle name="Porcentaje 2 3 2 2 2 2 2 2 2 2 2" xfId="19751" xr:uid="{00000000-0005-0000-0000-00003C740000}"/>
    <cellStyle name="Porcentaje 2 3 2 2 2 2 2 2 2 2 2 2" xfId="39466" xr:uid="{00000000-0005-0000-0000-00003D740000}"/>
    <cellStyle name="Porcentaje 2 3 2 2 2 2 2 2 2 2 3" xfId="29609" xr:uid="{00000000-0005-0000-0000-00003E740000}"/>
    <cellStyle name="Porcentaje 2 3 2 2 2 2 2 2 2 3" xfId="14823" xr:uid="{00000000-0005-0000-0000-00003F740000}"/>
    <cellStyle name="Porcentaje 2 3 2 2 2 2 2 2 2 3 2" xfId="34538" xr:uid="{00000000-0005-0000-0000-000040740000}"/>
    <cellStyle name="Porcentaje 2 3 2 2 2 2 2 2 2 4" xfId="24681" xr:uid="{00000000-0005-0000-0000-000041740000}"/>
    <cellStyle name="Porcentaje 2 3 2 2 2 2 2 2 3" xfId="7427" xr:uid="{00000000-0005-0000-0000-000042740000}"/>
    <cellStyle name="Porcentaje 2 3 2 2 2 2 2 2 3 2" xfId="17287" xr:uid="{00000000-0005-0000-0000-000043740000}"/>
    <cellStyle name="Porcentaje 2 3 2 2 2 2 2 2 3 2 2" xfId="37002" xr:uid="{00000000-0005-0000-0000-000044740000}"/>
    <cellStyle name="Porcentaje 2 3 2 2 2 2 2 2 3 3" xfId="27145" xr:uid="{00000000-0005-0000-0000-000045740000}"/>
    <cellStyle name="Porcentaje 2 3 2 2 2 2 2 2 4" xfId="12359" xr:uid="{00000000-0005-0000-0000-000046740000}"/>
    <cellStyle name="Porcentaje 2 3 2 2 2 2 2 2 4 2" xfId="32074" xr:uid="{00000000-0005-0000-0000-000047740000}"/>
    <cellStyle name="Porcentaje 2 3 2 2 2 2 2 2 5" xfId="22217" xr:uid="{00000000-0005-0000-0000-000048740000}"/>
    <cellStyle name="Porcentaje 2 3 2 2 2 2 2 3" xfId="3727" xr:uid="{00000000-0005-0000-0000-000049740000}"/>
    <cellStyle name="Porcentaje 2 3 2 2 2 2 2 3 2" xfId="8659" xr:uid="{00000000-0005-0000-0000-00004A740000}"/>
    <cellStyle name="Porcentaje 2 3 2 2 2 2 2 3 2 2" xfId="18519" xr:uid="{00000000-0005-0000-0000-00004B740000}"/>
    <cellStyle name="Porcentaje 2 3 2 2 2 2 2 3 2 2 2" xfId="38234" xr:uid="{00000000-0005-0000-0000-00004C740000}"/>
    <cellStyle name="Porcentaje 2 3 2 2 2 2 2 3 2 3" xfId="28377" xr:uid="{00000000-0005-0000-0000-00004D740000}"/>
    <cellStyle name="Porcentaje 2 3 2 2 2 2 2 3 3" xfId="13591" xr:uid="{00000000-0005-0000-0000-00004E740000}"/>
    <cellStyle name="Porcentaje 2 3 2 2 2 2 2 3 3 2" xfId="33306" xr:uid="{00000000-0005-0000-0000-00004F740000}"/>
    <cellStyle name="Porcentaje 2 3 2 2 2 2 2 3 4" xfId="23449" xr:uid="{00000000-0005-0000-0000-000050740000}"/>
    <cellStyle name="Porcentaje 2 3 2 2 2 2 2 4" xfId="6195" xr:uid="{00000000-0005-0000-0000-000051740000}"/>
    <cellStyle name="Porcentaje 2 3 2 2 2 2 2 4 2" xfId="16055" xr:uid="{00000000-0005-0000-0000-000052740000}"/>
    <cellStyle name="Porcentaje 2 3 2 2 2 2 2 4 2 2" xfId="35770" xr:uid="{00000000-0005-0000-0000-000053740000}"/>
    <cellStyle name="Porcentaje 2 3 2 2 2 2 2 4 3" xfId="25913" xr:uid="{00000000-0005-0000-0000-000054740000}"/>
    <cellStyle name="Porcentaje 2 3 2 2 2 2 2 5" xfId="11127" xr:uid="{00000000-0005-0000-0000-000055740000}"/>
    <cellStyle name="Porcentaje 2 3 2 2 2 2 2 5 2" xfId="30842" xr:uid="{00000000-0005-0000-0000-000056740000}"/>
    <cellStyle name="Porcentaje 2 3 2 2 2 2 2 6" xfId="20985" xr:uid="{00000000-0005-0000-0000-000057740000}"/>
    <cellStyle name="Porcentaje 2 3 2 2 2 2 3" xfId="1876" xr:uid="{00000000-0005-0000-0000-000058740000}"/>
    <cellStyle name="Porcentaje 2 3 2 2 2 2 3 2" xfId="4343" xr:uid="{00000000-0005-0000-0000-000059740000}"/>
    <cellStyle name="Porcentaje 2 3 2 2 2 2 3 2 2" xfId="9275" xr:uid="{00000000-0005-0000-0000-00005A740000}"/>
    <cellStyle name="Porcentaje 2 3 2 2 2 2 3 2 2 2" xfId="19135" xr:uid="{00000000-0005-0000-0000-00005B740000}"/>
    <cellStyle name="Porcentaje 2 3 2 2 2 2 3 2 2 2 2" xfId="38850" xr:uid="{00000000-0005-0000-0000-00005C740000}"/>
    <cellStyle name="Porcentaje 2 3 2 2 2 2 3 2 2 3" xfId="28993" xr:uid="{00000000-0005-0000-0000-00005D740000}"/>
    <cellStyle name="Porcentaje 2 3 2 2 2 2 3 2 3" xfId="14207" xr:uid="{00000000-0005-0000-0000-00005E740000}"/>
    <cellStyle name="Porcentaje 2 3 2 2 2 2 3 2 3 2" xfId="33922" xr:uid="{00000000-0005-0000-0000-00005F740000}"/>
    <cellStyle name="Porcentaje 2 3 2 2 2 2 3 2 4" xfId="24065" xr:uid="{00000000-0005-0000-0000-000060740000}"/>
    <cellStyle name="Porcentaje 2 3 2 2 2 2 3 3" xfId="6811" xr:uid="{00000000-0005-0000-0000-000061740000}"/>
    <cellStyle name="Porcentaje 2 3 2 2 2 2 3 3 2" xfId="16671" xr:uid="{00000000-0005-0000-0000-000062740000}"/>
    <cellStyle name="Porcentaje 2 3 2 2 2 2 3 3 2 2" xfId="36386" xr:uid="{00000000-0005-0000-0000-000063740000}"/>
    <cellStyle name="Porcentaje 2 3 2 2 2 2 3 3 3" xfId="26529" xr:uid="{00000000-0005-0000-0000-000064740000}"/>
    <cellStyle name="Porcentaje 2 3 2 2 2 2 3 4" xfId="11743" xr:uid="{00000000-0005-0000-0000-000065740000}"/>
    <cellStyle name="Porcentaje 2 3 2 2 2 2 3 4 2" xfId="31458" xr:uid="{00000000-0005-0000-0000-000066740000}"/>
    <cellStyle name="Porcentaje 2 3 2 2 2 2 3 5" xfId="21601" xr:uid="{00000000-0005-0000-0000-000067740000}"/>
    <cellStyle name="Porcentaje 2 3 2 2 2 2 4" xfId="3111" xr:uid="{00000000-0005-0000-0000-000068740000}"/>
    <cellStyle name="Porcentaje 2 3 2 2 2 2 4 2" xfId="8043" xr:uid="{00000000-0005-0000-0000-000069740000}"/>
    <cellStyle name="Porcentaje 2 3 2 2 2 2 4 2 2" xfId="17903" xr:uid="{00000000-0005-0000-0000-00006A740000}"/>
    <cellStyle name="Porcentaje 2 3 2 2 2 2 4 2 2 2" xfId="37618" xr:uid="{00000000-0005-0000-0000-00006B740000}"/>
    <cellStyle name="Porcentaje 2 3 2 2 2 2 4 2 3" xfId="27761" xr:uid="{00000000-0005-0000-0000-00006C740000}"/>
    <cellStyle name="Porcentaje 2 3 2 2 2 2 4 3" xfId="12975" xr:uid="{00000000-0005-0000-0000-00006D740000}"/>
    <cellStyle name="Porcentaje 2 3 2 2 2 2 4 3 2" xfId="32690" xr:uid="{00000000-0005-0000-0000-00006E740000}"/>
    <cellStyle name="Porcentaje 2 3 2 2 2 2 4 4" xfId="22833" xr:uid="{00000000-0005-0000-0000-00006F740000}"/>
    <cellStyle name="Porcentaje 2 3 2 2 2 2 5" xfId="5579" xr:uid="{00000000-0005-0000-0000-000070740000}"/>
    <cellStyle name="Porcentaje 2 3 2 2 2 2 5 2" xfId="15439" xr:uid="{00000000-0005-0000-0000-000071740000}"/>
    <cellStyle name="Porcentaje 2 3 2 2 2 2 5 2 2" xfId="35154" xr:uid="{00000000-0005-0000-0000-000072740000}"/>
    <cellStyle name="Porcentaje 2 3 2 2 2 2 5 3" xfId="25297" xr:uid="{00000000-0005-0000-0000-000073740000}"/>
    <cellStyle name="Porcentaje 2 3 2 2 2 2 6" xfId="10511" xr:uid="{00000000-0005-0000-0000-000074740000}"/>
    <cellStyle name="Porcentaje 2 3 2 2 2 2 6 2" xfId="30226" xr:uid="{00000000-0005-0000-0000-000075740000}"/>
    <cellStyle name="Porcentaje 2 3 2 2 2 2 7" xfId="20369" xr:uid="{00000000-0005-0000-0000-000076740000}"/>
    <cellStyle name="Porcentaje 2 3 2 2 2 3" xfId="950" xr:uid="{00000000-0005-0000-0000-000077740000}"/>
    <cellStyle name="Porcentaje 2 3 2 2 2 3 2" xfId="2186" xr:uid="{00000000-0005-0000-0000-000078740000}"/>
    <cellStyle name="Porcentaje 2 3 2 2 2 3 2 2" xfId="4653" xr:uid="{00000000-0005-0000-0000-000079740000}"/>
    <cellStyle name="Porcentaje 2 3 2 2 2 3 2 2 2" xfId="9585" xr:uid="{00000000-0005-0000-0000-00007A740000}"/>
    <cellStyle name="Porcentaje 2 3 2 2 2 3 2 2 2 2" xfId="19445" xr:uid="{00000000-0005-0000-0000-00007B740000}"/>
    <cellStyle name="Porcentaje 2 3 2 2 2 3 2 2 2 2 2" xfId="39160" xr:uid="{00000000-0005-0000-0000-00007C740000}"/>
    <cellStyle name="Porcentaje 2 3 2 2 2 3 2 2 2 3" xfId="29303" xr:uid="{00000000-0005-0000-0000-00007D740000}"/>
    <cellStyle name="Porcentaje 2 3 2 2 2 3 2 2 3" xfId="14517" xr:uid="{00000000-0005-0000-0000-00007E740000}"/>
    <cellStyle name="Porcentaje 2 3 2 2 2 3 2 2 3 2" xfId="34232" xr:uid="{00000000-0005-0000-0000-00007F740000}"/>
    <cellStyle name="Porcentaje 2 3 2 2 2 3 2 2 4" xfId="24375" xr:uid="{00000000-0005-0000-0000-000080740000}"/>
    <cellStyle name="Porcentaje 2 3 2 2 2 3 2 3" xfId="7121" xr:uid="{00000000-0005-0000-0000-000081740000}"/>
    <cellStyle name="Porcentaje 2 3 2 2 2 3 2 3 2" xfId="16981" xr:uid="{00000000-0005-0000-0000-000082740000}"/>
    <cellStyle name="Porcentaje 2 3 2 2 2 3 2 3 2 2" xfId="36696" xr:uid="{00000000-0005-0000-0000-000083740000}"/>
    <cellStyle name="Porcentaje 2 3 2 2 2 3 2 3 3" xfId="26839" xr:uid="{00000000-0005-0000-0000-000084740000}"/>
    <cellStyle name="Porcentaje 2 3 2 2 2 3 2 4" xfId="12053" xr:uid="{00000000-0005-0000-0000-000085740000}"/>
    <cellStyle name="Porcentaje 2 3 2 2 2 3 2 4 2" xfId="31768" xr:uid="{00000000-0005-0000-0000-000086740000}"/>
    <cellStyle name="Porcentaje 2 3 2 2 2 3 2 5" xfId="21911" xr:uid="{00000000-0005-0000-0000-000087740000}"/>
    <cellStyle name="Porcentaje 2 3 2 2 2 3 3" xfId="3421" xr:uid="{00000000-0005-0000-0000-000088740000}"/>
    <cellStyle name="Porcentaje 2 3 2 2 2 3 3 2" xfId="8353" xr:uid="{00000000-0005-0000-0000-000089740000}"/>
    <cellStyle name="Porcentaje 2 3 2 2 2 3 3 2 2" xfId="18213" xr:uid="{00000000-0005-0000-0000-00008A740000}"/>
    <cellStyle name="Porcentaje 2 3 2 2 2 3 3 2 2 2" xfId="37928" xr:uid="{00000000-0005-0000-0000-00008B740000}"/>
    <cellStyle name="Porcentaje 2 3 2 2 2 3 3 2 3" xfId="28071" xr:uid="{00000000-0005-0000-0000-00008C740000}"/>
    <cellStyle name="Porcentaje 2 3 2 2 2 3 3 3" xfId="13285" xr:uid="{00000000-0005-0000-0000-00008D740000}"/>
    <cellStyle name="Porcentaje 2 3 2 2 2 3 3 3 2" xfId="33000" xr:uid="{00000000-0005-0000-0000-00008E740000}"/>
    <cellStyle name="Porcentaje 2 3 2 2 2 3 3 4" xfId="23143" xr:uid="{00000000-0005-0000-0000-00008F740000}"/>
    <cellStyle name="Porcentaje 2 3 2 2 2 3 4" xfId="5889" xr:uid="{00000000-0005-0000-0000-000090740000}"/>
    <cellStyle name="Porcentaje 2 3 2 2 2 3 4 2" xfId="15749" xr:uid="{00000000-0005-0000-0000-000091740000}"/>
    <cellStyle name="Porcentaje 2 3 2 2 2 3 4 2 2" xfId="35464" xr:uid="{00000000-0005-0000-0000-000092740000}"/>
    <cellStyle name="Porcentaje 2 3 2 2 2 3 4 3" xfId="25607" xr:uid="{00000000-0005-0000-0000-000093740000}"/>
    <cellStyle name="Porcentaje 2 3 2 2 2 3 5" xfId="10821" xr:uid="{00000000-0005-0000-0000-000094740000}"/>
    <cellStyle name="Porcentaje 2 3 2 2 2 3 5 2" xfId="30536" xr:uid="{00000000-0005-0000-0000-000095740000}"/>
    <cellStyle name="Porcentaje 2 3 2 2 2 3 6" xfId="20679" xr:uid="{00000000-0005-0000-0000-000096740000}"/>
    <cellStyle name="Porcentaje 2 3 2 2 2 4" xfId="1570" xr:uid="{00000000-0005-0000-0000-000097740000}"/>
    <cellStyle name="Porcentaje 2 3 2 2 2 4 2" xfId="4037" xr:uid="{00000000-0005-0000-0000-000098740000}"/>
    <cellStyle name="Porcentaje 2 3 2 2 2 4 2 2" xfId="8969" xr:uid="{00000000-0005-0000-0000-000099740000}"/>
    <cellStyle name="Porcentaje 2 3 2 2 2 4 2 2 2" xfId="18829" xr:uid="{00000000-0005-0000-0000-00009A740000}"/>
    <cellStyle name="Porcentaje 2 3 2 2 2 4 2 2 2 2" xfId="38544" xr:uid="{00000000-0005-0000-0000-00009B740000}"/>
    <cellStyle name="Porcentaje 2 3 2 2 2 4 2 2 3" xfId="28687" xr:uid="{00000000-0005-0000-0000-00009C740000}"/>
    <cellStyle name="Porcentaje 2 3 2 2 2 4 2 3" xfId="13901" xr:uid="{00000000-0005-0000-0000-00009D740000}"/>
    <cellStyle name="Porcentaje 2 3 2 2 2 4 2 3 2" xfId="33616" xr:uid="{00000000-0005-0000-0000-00009E740000}"/>
    <cellStyle name="Porcentaje 2 3 2 2 2 4 2 4" xfId="23759" xr:uid="{00000000-0005-0000-0000-00009F740000}"/>
    <cellStyle name="Porcentaje 2 3 2 2 2 4 3" xfId="6505" xr:uid="{00000000-0005-0000-0000-0000A0740000}"/>
    <cellStyle name="Porcentaje 2 3 2 2 2 4 3 2" xfId="16365" xr:uid="{00000000-0005-0000-0000-0000A1740000}"/>
    <cellStyle name="Porcentaje 2 3 2 2 2 4 3 2 2" xfId="36080" xr:uid="{00000000-0005-0000-0000-0000A2740000}"/>
    <cellStyle name="Porcentaje 2 3 2 2 2 4 3 3" xfId="26223" xr:uid="{00000000-0005-0000-0000-0000A3740000}"/>
    <cellStyle name="Porcentaje 2 3 2 2 2 4 4" xfId="11437" xr:uid="{00000000-0005-0000-0000-0000A4740000}"/>
    <cellStyle name="Porcentaje 2 3 2 2 2 4 4 2" xfId="31152" xr:uid="{00000000-0005-0000-0000-0000A5740000}"/>
    <cellStyle name="Porcentaje 2 3 2 2 2 4 5" xfId="21295" xr:uid="{00000000-0005-0000-0000-0000A6740000}"/>
    <cellStyle name="Porcentaje 2 3 2 2 2 5" xfId="2805" xr:uid="{00000000-0005-0000-0000-0000A7740000}"/>
    <cellStyle name="Porcentaje 2 3 2 2 2 5 2" xfId="7737" xr:uid="{00000000-0005-0000-0000-0000A8740000}"/>
    <cellStyle name="Porcentaje 2 3 2 2 2 5 2 2" xfId="17597" xr:uid="{00000000-0005-0000-0000-0000A9740000}"/>
    <cellStyle name="Porcentaje 2 3 2 2 2 5 2 2 2" xfId="37312" xr:uid="{00000000-0005-0000-0000-0000AA740000}"/>
    <cellStyle name="Porcentaje 2 3 2 2 2 5 2 3" xfId="27455" xr:uid="{00000000-0005-0000-0000-0000AB740000}"/>
    <cellStyle name="Porcentaje 2 3 2 2 2 5 3" xfId="12669" xr:uid="{00000000-0005-0000-0000-0000AC740000}"/>
    <cellStyle name="Porcentaje 2 3 2 2 2 5 3 2" xfId="32384" xr:uid="{00000000-0005-0000-0000-0000AD740000}"/>
    <cellStyle name="Porcentaje 2 3 2 2 2 5 4" xfId="22527" xr:uid="{00000000-0005-0000-0000-0000AE740000}"/>
    <cellStyle name="Porcentaje 2 3 2 2 2 6" xfId="5273" xr:uid="{00000000-0005-0000-0000-0000AF740000}"/>
    <cellStyle name="Porcentaje 2 3 2 2 2 6 2" xfId="15133" xr:uid="{00000000-0005-0000-0000-0000B0740000}"/>
    <cellStyle name="Porcentaje 2 3 2 2 2 6 2 2" xfId="34848" xr:uid="{00000000-0005-0000-0000-0000B1740000}"/>
    <cellStyle name="Porcentaje 2 3 2 2 2 6 3" xfId="24991" xr:uid="{00000000-0005-0000-0000-0000B2740000}"/>
    <cellStyle name="Porcentaje 2 3 2 2 2 7" xfId="10205" xr:uid="{00000000-0005-0000-0000-0000B3740000}"/>
    <cellStyle name="Porcentaje 2 3 2 2 2 7 2" xfId="29920" xr:uid="{00000000-0005-0000-0000-0000B4740000}"/>
    <cellStyle name="Porcentaje 2 3 2 2 2 8" xfId="20063" xr:uid="{00000000-0005-0000-0000-0000B5740000}"/>
    <cellStyle name="Porcentaje 2 3 2 2 3" xfId="485" xr:uid="{00000000-0005-0000-0000-0000B6740000}"/>
    <cellStyle name="Porcentaje 2 3 2 2 3 2" xfId="1105" xr:uid="{00000000-0005-0000-0000-0000B7740000}"/>
    <cellStyle name="Porcentaje 2 3 2 2 3 2 2" xfId="2340" xr:uid="{00000000-0005-0000-0000-0000B8740000}"/>
    <cellStyle name="Porcentaje 2 3 2 2 3 2 2 2" xfId="4807" xr:uid="{00000000-0005-0000-0000-0000B9740000}"/>
    <cellStyle name="Porcentaje 2 3 2 2 3 2 2 2 2" xfId="9739" xr:uid="{00000000-0005-0000-0000-0000BA740000}"/>
    <cellStyle name="Porcentaje 2 3 2 2 3 2 2 2 2 2" xfId="19599" xr:uid="{00000000-0005-0000-0000-0000BB740000}"/>
    <cellStyle name="Porcentaje 2 3 2 2 3 2 2 2 2 2 2" xfId="39314" xr:uid="{00000000-0005-0000-0000-0000BC740000}"/>
    <cellStyle name="Porcentaje 2 3 2 2 3 2 2 2 2 3" xfId="29457" xr:uid="{00000000-0005-0000-0000-0000BD740000}"/>
    <cellStyle name="Porcentaje 2 3 2 2 3 2 2 2 3" xfId="14671" xr:uid="{00000000-0005-0000-0000-0000BE740000}"/>
    <cellStyle name="Porcentaje 2 3 2 2 3 2 2 2 3 2" xfId="34386" xr:uid="{00000000-0005-0000-0000-0000BF740000}"/>
    <cellStyle name="Porcentaje 2 3 2 2 3 2 2 2 4" xfId="24529" xr:uid="{00000000-0005-0000-0000-0000C0740000}"/>
    <cellStyle name="Porcentaje 2 3 2 2 3 2 2 3" xfId="7275" xr:uid="{00000000-0005-0000-0000-0000C1740000}"/>
    <cellStyle name="Porcentaje 2 3 2 2 3 2 2 3 2" xfId="17135" xr:uid="{00000000-0005-0000-0000-0000C2740000}"/>
    <cellStyle name="Porcentaje 2 3 2 2 3 2 2 3 2 2" xfId="36850" xr:uid="{00000000-0005-0000-0000-0000C3740000}"/>
    <cellStyle name="Porcentaje 2 3 2 2 3 2 2 3 3" xfId="26993" xr:uid="{00000000-0005-0000-0000-0000C4740000}"/>
    <cellStyle name="Porcentaje 2 3 2 2 3 2 2 4" xfId="12207" xr:uid="{00000000-0005-0000-0000-0000C5740000}"/>
    <cellStyle name="Porcentaje 2 3 2 2 3 2 2 4 2" xfId="31922" xr:uid="{00000000-0005-0000-0000-0000C6740000}"/>
    <cellStyle name="Porcentaje 2 3 2 2 3 2 2 5" xfId="22065" xr:uid="{00000000-0005-0000-0000-0000C7740000}"/>
    <cellStyle name="Porcentaje 2 3 2 2 3 2 3" xfId="3575" xr:uid="{00000000-0005-0000-0000-0000C8740000}"/>
    <cellStyle name="Porcentaje 2 3 2 2 3 2 3 2" xfId="8507" xr:uid="{00000000-0005-0000-0000-0000C9740000}"/>
    <cellStyle name="Porcentaje 2 3 2 2 3 2 3 2 2" xfId="18367" xr:uid="{00000000-0005-0000-0000-0000CA740000}"/>
    <cellStyle name="Porcentaje 2 3 2 2 3 2 3 2 2 2" xfId="38082" xr:uid="{00000000-0005-0000-0000-0000CB740000}"/>
    <cellStyle name="Porcentaje 2 3 2 2 3 2 3 2 3" xfId="28225" xr:uid="{00000000-0005-0000-0000-0000CC740000}"/>
    <cellStyle name="Porcentaje 2 3 2 2 3 2 3 3" xfId="13439" xr:uid="{00000000-0005-0000-0000-0000CD740000}"/>
    <cellStyle name="Porcentaje 2 3 2 2 3 2 3 3 2" xfId="33154" xr:uid="{00000000-0005-0000-0000-0000CE740000}"/>
    <cellStyle name="Porcentaje 2 3 2 2 3 2 3 4" xfId="23297" xr:uid="{00000000-0005-0000-0000-0000CF740000}"/>
    <cellStyle name="Porcentaje 2 3 2 2 3 2 4" xfId="6043" xr:uid="{00000000-0005-0000-0000-0000D0740000}"/>
    <cellStyle name="Porcentaje 2 3 2 2 3 2 4 2" xfId="15903" xr:uid="{00000000-0005-0000-0000-0000D1740000}"/>
    <cellStyle name="Porcentaje 2 3 2 2 3 2 4 2 2" xfId="35618" xr:uid="{00000000-0005-0000-0000-0000D2740000}"/>
    <cellStyle name="Porcentaje 2 3 2 2 3 2 4 3" xfId="25761" xr:uid="{00000000-0005-0000-0000-0000D3740000}"/>
    <cellStyle name="Porcentaje 2 3 2 2 3 2 5" xfId="10975" xr:uid="{00000000-0005-0000-0000-0000D4740000}"/>
    <cellStyle name="Porcentaje 2 3 2 2 3 2 5 2" xfId="30690" xr:uid="{00000000-0005-0000-0000-0000D5740000}"/>
    <cellStyle name="Porcentaje 2 3 2 2 3 2 6" xfId="20833" xr:uid="{00000000-0005-0000-0000-0000D6740000}"/>
    <cellStyle name="Porcentaje 2 3 2 2 3 3" xfId="1724" xr:uid="{00000000-0005-0000-0000-0000D7740000}"/>
    <cellStyle name="Porcentaje 2 3 2 2 3 3 2" xfId="4191" xr:uid="{00000000-0005-0000-0000-0000D8740000}"/>
    <cellStyle name="Porcentaje 2 3 2 2 3 3 2 2" xfId="9123" xr:uid="{00000000-0005-0000-0000-0000D9740000}"/>
    <cellStyle name="Porcentaje 2 3 2 2 3 3 2 2 2" xfId="18983" xr:uid="{00000000-0005-0000-0000-0000DA740000}"/>
    <cellStyle name="Porcentaje 2 3 2 2 3 3 2 2 2 2" xfId="38698" xr:uid="{00000000-0005-0000-0000-0000DB740000}"/>
    <cellStyle name="Porcentaje 2 3 2 2 3 3 2 2 3" xfId="28841" xr:uid="{00000000-0005-0000-0000-0000DC740000}"/>
    <cellStyle name="Porcentaje 2 3 2 2 3 3 2 3" xfId="14055" xr:uid="{00000000-0005-0000-0000-0000DD740000}"/>
    <cellStyle name="Porcentaje 2 3 2 2 3 3 2 3 2" xfId="33770" xr:uid="{00000000-0005-0000-0000-0000DE740000}"/>
    <cellStyle name="Porcentaje 2 3 2 2 3 3 2 4" xfId="23913" xr:uid="{00000000-0005-0000-0000-0000DF740000}"/>
    <cellStyle name="Porcentaje 2 3 2 2 3 3 3" xfId="6659" xr:uid="{00000000-0005-0000-0000-0000E0740000}"/>
    <cellStyle name="Porcentaje 2 3 2 2 3 3 3 2" xfId="16519" xr:uid="{00000000-0005-0000-0000-0000E1740000}"/>
    <cellStyle name="Porcentaje 2 3 2 2 3 3 3 2 2" xfId="36234" xr:uid="{00000000-0005-0000-0000-0000E2740000}"/>
    <cellStyle name="Porcentaje 2 3 2 2 3 3 3 3" xfId="26377" xr:uid="{00000000-0005-0000-0000-0000E3740000}"/>
    <cellStyle name="Porcentaje 2 3 2 2 3 3 4" xfId="11591" xr:uid="{00000000-0005-0000-0000-0000E4740000}"/>
    <cellStyle name="Porcentaje 2 3 2 2 3 3 4 2" xfId="31306" xr:uid="{00000000-0005-0000-0000-0000E5740000}"/>
    <cellStyle name="Porcentaje 2 3 2 2 3 3 5" xfId="21449" xr:uid="{00000000-0005-0000-0000-0000E6740000}"/>
    <cellStyle name="Porcentaje 2 3 2 2 3 4" xfId="2959" xr:uid="{00000000-0005-0000-0000-0000E7740000}"/>
    <cellStyle name="Porcentaje 2 3 2 2 3 4 2" xfId="7891" xr:uid="{00000000-0005-0000-0000-0000E8740000}"/>
    <cellStyle name="Porcentaje 2 3 2 2 3 4 2 2" xfId="17751" xr:uid="{00000000-0005-0000-0000-0000E9740000}"/>
    <cellStyle name="Porcentaje 2 3 2 2 3 4 2 2 2" xfId="37466" xr:uid="{00000000-0005-0000-0000-0000EA740000}"/>
    <cellStyle name="Porcentaje 2 3 2 2 3 4 2 3" xfId="27609" xr:uid="{00000000-0005-0000-0000-0000EB740000}"/>
    <cellStyle name="Porcentaje 2 3 2 2 3 4 3" xfId="12823" xr:uid="{00000000-0005-0000-0000-0000EC740000}"/>
    <cellStyle name="Porcentaje 2 3 2 2 3 4 3 2" xfId="32538" xr:uid="{00000000-0005-0000-0000-0000ED740000}"/>
    <cellStyle name="Porcentaje 2 3 2 2 3 4 4" xfId="22681" xr:uid="{00000000-0005-0000-0000-0000EE740000}"/>
    <cellStyle name="Porcentaje 2 3 2 2 3 5" xfId="5427" xr:uid="{00000000-0005-0000-0000-0000EF740000}"/>
    <cellStyle name="Porcentaje 2 3 2 2 3 5 2" xfId="15287" xr:uid="{00000000-0005-0000-0000-0000F0740000}"/>
    <cellStyle name="Porcentaje 2 3 2 2 3 5 2 2" xfId="35002" xr:uid="{00000000-0005-0000-0000-0000F1740000}"/>
    <cellStyle name="Porcentaje 2 3 2 2 3 5 3" xfId="25145" xr:uid="{00000000-0005-0000-0000-0000F2740000}"/>
    <cellStyle name="Porcentaje 2 3 2 2 3 6" xfId="10359" xr:uid="{00000000-0005-0000-0000-0000F3740000}"/>
    <cellStyle name="Porcentaje 2 3 2 2 3 6 2" xfId="30074" xr:uid="{00000000-0005-0000-0000-0000F4740000}"/>
    <cellStyle name="Porcentaje 2 3 2 2 3 7" xfId="20217" xr:uid="{00000000-0005-0000-0000-0000F5740000}"/>
    <cellStyle name="Porcentaje 2 3 2 2 4" xfId="798" xr:uid="{00000000-0005-0000-0000-0000F6740000}"/>
    <cellStyle name="Porcentaje 2 3 2 2 4 2" xfId="2034" xr:uid="{00000000-0005-0000-0000-0000F7740000}"/>
    <cellStyle name="Porcentaje 2 3 2 2 4 2 2" xfId="4501" xr:uid="{00000000-0005-0000-0000-0000F8740000}"/>
    <cellStyle name="Porcentaje 2 3 2 2 4 2 2 2" xfId="9433" xr:uid="{00000000-0005-0000-0000-0000F9740000}"/>
    <cellStyle name="Porcentaje 2 3 2 2 4 2 2 2 2" xfId="19293" xr:uid="{00000000-0005-0000-0000-0000FA740000}"/>
    <cellStyle name="Porcentaje 2 3 2 2 4 2 2 2 2 2" xfId="39008" xr:uid="{00000000-0005-0000-0000-0000FB740000}"/>
    <cellStyle name="Porcentaje 2 3 2 2 4 2 2 2 3" xfId="29151" xr:uid="{00000000-0005-0000-0000-0000FC740000}"/>
    <cellStyle name="Porcentaje 2 3 2 2 4 2 2 3" xfId="14365" xr:uid="{00000000-0005-0000-0000-0000FD740000}"/>
    <cellStyle name="Porcentaje 2 3 2 2 4 2 2 3 2" xfId="34080" xr:uid="{00000000-0005-0000-0000-0000FE740000}"/>
    <cellStyle name="Porcentaje 2 3 2 2 4 2 2 4" xfId="24223" xr:uid="{00000000-0005-0000-0000-0000FF740000}"/>
    <cellStyle name="Porcentaje 2 3 2 2 4 2 3" xfId="6969" xr:uid="{00000000-0005-0000-0000-000000750000}"/>
    <cellStyle name="Porcentaje 2 3 2 2 4 2 3 2" xfId="16829" xr:uid="{00000000-0005-0000-0000-000001750000}"/>
    <cellStyle name="Porcentaje 2 3 2 2 4 2 3 2 2" xfId="36544" xr:uid="{00000000-0005-0000-0000-000002750000}"/>
    <cellStyle name="Porcentaje 2 3 2 2 4 2 3 3" xfId="26687" xr:uid="{00000000-0005-0000-0000-000003750000}"/>
    <cellStyle name="Porcentaje 2 3 2 2 4 2 4" xfId="11901" xr:uid="{00000000-0005-0000-0000-000004750000}"/>
    <cellStyle name="Porcentaje 2 3 2 2 4 2 4 2" xfId="31616" xr:uid="{00000000-0005-0000-0000-000005750000}"/>
    <cellStyle name="Porcentaje 2 3 2 2 4 2 5" xfId="21759" xr:uid="{00000000-0005-0000-0000-000006750000}"/>
    <cellStyle name="Porcentaje 2 3 2 2 4 3" xfId="3269" xr:uid="{00000000-0005-0000-0000-000007750000}"/>
    <cellStyle name="Porcentaje 2 3 2 2 4 3 2" xfId="8201" xr:uid="{00000000-0005-0000-0000-000008750000}"/>
    <cellStyle name="Porcentaje 2 3 2 2 4 3 2 2" xfId="18061" xr:uid="{00000000-0005-0000-0000-000009750000}"/>
    <cellStyle name="Porcentaje 2 3 2 2 4 3 2 2 2" xfId="37776" xr:uid="{00000000-0005-0000-0000-00000A750000}"/>
    <cellStyle name="Porcentaje 2 3 2 2 4 3 2 3" xfId="27919" xr:uid="{00000000-0005-0000-0000-00000B750000}"/>
    <cellStyle name="Porcentaje 2 3 2 2 4 3 3" xfId="13133" xr:uid="{00000000-0005-0000-0000-00000C750000}"/>
    <cellStyle name="Porcentaje 2 3 2 2 4 3 3 2" xfId="32848" xr:uid="{00000000-0005-0000-0000-00000D750000}"/>
    <cellStyle name="Porcentaje 2 3 2 2 4 3 4" xfId="22991" xr:uid="{00000000-0005-0000-0000-00000E750000}"/>
    <cellStyle name="Porcentaje 2 3 2 2 4 4" xfId="5737" xr:uid="{00000000-0005-0000-0000-00000F750000}"/>
    <cellStyle name="Porcentaje 2 3 2 2 4 4 2" xfId="15597" xr:uid="{00000000-0005-0000-0000-000010750000}"/>
    <cellStyle name="Porcentaje 2 3 2 2 4 4 2 2" xfId="35312" xr:uid="{00000000-0005-0000-0000-000011750000}"/>
    <cellStyle name="Porcentaje 2 3 2 2 4 4 3" xfId="25455" xr:uid="{00000000-0005-0000-0000-000012750000}"/>
    <cellStyle name="Porcentaje 2 3 2 2 4 5" xfId="10669" xr:uid="{00000000-0005-0000-0000-000013750000}"/>
    <cellStyle name="Porcentaje 2 3 2 2 4 5 2" xfId="30384" xr:uid="{00000000-0005-0000-0000-000014750000}"/>
    <cellStyle name="Porcentaje 2 3 2 2 4 6" xfId="20527" xr:uid="{00000000-0005-0000-0000-000015750000}"/>
    <cellStyle name="Porcentaje 2 3 2 2 5" xfId="1418" xr:uid="{00000000-0005-0000-0000-000016750000}"/>
    <cellStyle name="Porcentaje 2 3 2 2 5 2" xfId="3885" xr:uid="{00000000-0005-0000-0000-000017750000}"/>
    <cellStyle name="Porcentaje 2 3 2 2 5 2 2" xfId="8817" xr:uid="{00000000-0005-0000-0000-000018750000}"/>
    <cellStyle name="Porcentaje 2 3 2 2 5 2 2 2" xfId="18677" xr:uid="{00000000-0005-0000-0000-000019750000}"/>
    <cellStyle name="Porcentaje 2 3 2 2 5 2 2 2 2" xfId="38392" xr:uid="{00000000-0005-0000-0000-00001A750000}"/>
    <cellStyle name="Porcentaje 2 3 2 2 5 2 2 3" xfId="28535" xr:uid="{00000000-0005-0000-0000-00001B750000}"/>
    <cellStyle name="Porcentaje 2 3 2 2 5 2 3" xfId="13749" xr:uid="{00000000-0005-0000-0000-00001C750000}"/>
    <cellStyle name="Porcentaje 2 3 2 2 5 2 3 2" xfId="33464" xr:uid="{00000000-0005-0000-0000-00001D750000}"/>
    <cellStyle name="Porcentaje 2 3 2 2 5 2 4" xfId="23607" xr:uid="{00000000-0005-0000-0000-00001E750000}"/>
    <cellStyle name="Porcentaje 2 3 2 2 5 3" xfId="6353" xr:uid="{00000000-0005-0000-0000-00001F750000}"/>
    <cellStyle name="Porcentaje 2 3 2 2 5 3 2" xfId="16213" xr:uid="{00000000-0005-0000-0000-000020750000}"/>
    <cellStyle name="Porcentaje 2 3 2 2 5 3 2 2" xfId="35928" xr:uid="{00000000-0005-0000-0000-000021750000}"/>
    <cellStyle name="Porcentaje 2 3 2 2 5 3 3" xfId="26071" xr:uid="{00000000-0005-0000-0000-000022750000}"/>
    <cellStyle name="Porcentaje 2 3 2 2 5 4" xfId="11285" xr:uid="{00000000-0005-0000-0000-000023750000}"/>
    <cellStyle name="Porcentaje 2 3 2 2 5 4 2" xfId="31000" xr:uid="{00000000-0005-0000-0000-000024750000}"/>
    <cellStyle name="Porcentaje 2 3 2 2 5 5" xfId="21143" xr:uid="{00000000-0005-0000-0000-000025750000}"/>
    <cellStyle name="Porcentaje 2 3 2 2 6" xfId="2653" xr:uid="{00000000-0005-0000-0000-000026750000}"/>
    <cellStyle name="Porcentaje 2 3 2 2 6 2" xfId="7585" xr:uid="{00000000-0005-0000-0000-000027750000}"/>
    <cellStyle name="Porcentaje 2 3 2 2 6 2 2" xfId="17445" xr:uid="{00000000-0005-0000-0000-000028750000}"/>
    <cellStyle name="Porcentaje 2 3 2 2 6 2 2 2" xfId="37160" xr:uid="{00000000-0005-0000-0000-000029750000}"/>
    <cellStyle name="Porcentaje 2 3 2 2 6 2 3" xfId="27303" xr:uid="{00000000-0005-0000-0000-00002A750000}"/>
    <cellStyle name="Porcentaje 2 3 2 2 6 3" xfId="12517" xr:uid="{00000000-0005-0000-0000-00002B750000}"/>
    <cellStyle name="Porcentaje 2 3 2 2 6 3 2" xfId="32232" xr:uid="{00000000-0005-0000-0000-00002C750000}"/>
    <cellStyle name="Porcentaje 2 3 2 2 6 4" xfId="22375" xr:uid="{00000000-0005-0000-0000-00002D750000}"/>
    <cellStyle name="Porcentaje 2 3 2 2 7" xfId="5121" xr:uid="{00000000-0005-0000-0000-00002E750000}"/>
    <cellStyle name="Porcentaje 2 3 2 2 7 2" xfId="14981" xr:uid="{00000000-0005-0000-0000-00002F750000}"/>
    <cellStyle name="Porcentaje 2 3 2 2 7 2 2" xfId="34696" xr:uid="{00000000-0005-0000-0000-000030750000}"/>
    <cellStyle name="Porcentaje 2 3 2 2 7 3" xfId="24839" xr:uid="{00000000-0005-0000-0000-000031750000}"/>
    <cellStyle name="Porcentaje 2 3 2 2 8" xfId="10053" xr:uid="{00000000-0005-0000-0000-000032750000}"/>
    <cellStyle name="Porcentaje 2 3 2 2 8 2" xfId="29768" xr:uid="{00000000-0005-0000-0000-000033750000}"/>
    <cellStyle name="Porcentaje 2 3 2 2 9" xfId="19911" xr:uid="{00000000-0005-0000-0000-000034750000}"/>
    <cellStyle name="Porcentaje 2 3 2 3" xfId="247" xr:uid="{00000000-0005-0000-0000-000035750000}"/>
    <cellStyle name="Porcentaje 2 3 2 3 2" xfId="561" xr:uid="{00000000-0005-0000-0000-000036750000}"/>
    <cellStyle name="Porcentaje 2 3 2 3 2 2" xfId="1181" xr:uid="{00000000-0005-0000-0000-000037750000}"/>
    <cellStyle name="Porcentaje 2 3 2 3 2 2 2" xfId="2416" xr:uid="{00000000-0005-0000-0000-000038750000}"/>
    <cellStyle name="Porcentaje 2 3 2 3 2 2 2 2" xfId="4883" xr:uid="{00000000-0005-0000-0000-000039750000}"/>
    <cellStyle name="Porcentaje 2 3 2 3 2 2 2 2 2" xfId="9815" xr:uid="{00000000-0005-0000-0000-00003A750000}"/>
    <cellStyle name="Porcentaje 2 3 2 3 2 2 2 2 2 2" xfId="19675" xr:uid="{00000000-0005-0000-0000-00003B750000}"/>
    <cellStyle name="Porcentaje 2 3 2 3 2 2 2 2 2 2 2" xfId="39390" xr:uid="{00000000-0005-0000-0000-00003C750000}"/>
    <cellStyle name="Porcentaje 2 3 2 3 2 2 2 2 2 3" xfId="29533" xr:uid="{00000000-0005-0000-0000-00003D750000}"/>
    <cellStyle name="Porcentaje 2 3 2 3 2 2 2 2 3" xfId="14747" xr:uid="{00000000-0005-0000-0000-00003E750000}"/>
    <cellStyle name="Porcentaje 2 3 2 3 2 2 2 2 3 2" xfId="34462" xr:uid="{00000000-0005-0000-0000-00003F750000}"/>
    <cellStyle name="Porcentaje 2 3 2 3 2 2 2 2 4" xfId="24605" xr:uid="{00000000-0005-0000-0000-000040750000}"/>
    <cellStyle name="Porcentaje 2 3 2 3 2 2 2 3" xfId="7351" xr:uid="{00000000-0005-0000-0000-000041750000}"/>
    <cellStyle name="Porcentaje 2 3 2 3 2 2 2 3 2" xfId="17211" xr:uid="{00000000-0005-0000-0000-000042750000}"/>
    <cellStyle name="Porcentaje 2 3 2 3 2 2 2 3 2 2" xfId="36926" xr:uid="{00000000-0005-0000-0000-000043750000}"/>
    <cellStyle name="Porcentaje 2 3 2 3 2 2 2 3 3" xfId="27069" xr:uid="{00000000-0005-0000-0000-000044750000}"/>
    <cellStyle name="Porcentaje 2 3 2 3 2 2 2 4" xfId="12283" xr:uid="{00000000-0005-0000-0000-000045750000}"/>
    <cellStyle name="Porcentaje 2 3 2 3 2 2 2 4 2" xfId="31998" xr:uid="{00000000-0005-0000-0000-000046750000}"/>
    <cellStyle name="Porcentaje 2 3 2 3 2 2 2 5" xfId="22141" xr:uid="{00000000-0005-0000-0000-000047750000}"/>
    <cellStyle name="Porcentaje 2 3 2 3 2 2 3" xfId="3651" xr:uid="{00000000-0005-0000-0000-000048750000}"/>
    <cellStyle name="Porcentaje 2 3 2 3 2 2 3 2" xfId="8583" xr:uid="{00000000-0005-0000-0000-000049750000}"/>
    <cellStyle name="Porcentaje 2 3 2 3 2 2 3 2 2" xfId="18443" xr:uid="{00000000-0005-0000-0000-00004A750000}"/>
    <cellStyle name="Porcentaje 2 3 2 3 2 2 3 2 2 2" xfId="38158" xr:uid="{00000000-0005-0000-0000-00004B750000}"/>
    <cellStyle name="Porcentaje 2 3 2 3 2 2 3 2 3" xfId="28301" xr:uid="{00000000-0005-0000-0000-00004C750000}"/>
    <cellStyle name="Porcentaje 2 3 2 3 2 2 3 3" xfId="13515" xr:uid="{00000000-0005-0000-0000-00004D750000}"/>
    <cellStyle name="Porcentaje 2 3 2 3 2 2 3 3 2" xfId="33230" xr:uid="{00000000-0005-0000-0000-00004E750000}"/>
    <cellStyle name="Porcentaje 2 3 2 3 2 2 3 4" xfId="23373" xr:uid="{00000000-0005-0000-0000-00004F750000}"/>
    <cellStyle name="Porcentaje 2 3 2 3 2 2 4" xfId="6119" xr:uid="{00000000-0005-0000-0000-000050750000}"/>
    <cellStyle name="Porcentaje 2 3 2 3 2 2 4 2" xfId="15979" xr:uid="{00000000-0005-0000-0000-000051750000}"/>
    <cellStyle name="Porcentaje 2 3 2 3 2 2 4 2 2" xfId="35694" xr:uid="{00000000-0005-0000-0000-000052750000}"/>
    <cellStyle name="Porcentaje 2 3 2 3 2 2 4 3" xfId="25837" xr:uid="{00000000-0005-0000-0000-000053750000}"/>
    <cellStyle name="Porcentaje 2 3 2 3 2 2 5" xfId="11051" xr:uid="{00000000-0005-0000-0000-000054750000}"/>
    <cellStyle name="Porcentaje 2 3 2 3 2 2 5 2" xfId="30766" xr:uid="{00000000-0005-0000-0000-000055750000}"/>
    <cellStyle name="Porcentaje 2 3 2 3 2 2 6" xfId="20909" xr:uid="{00000000-0005-0000-0000-000056750000}"/>
    <cellStyle name="Porcentaje 2 3 2 3 2 3" xfId="1800" xr:uid="{00000000-0005-0000-0000-000057750000}"/>
    <cellStyle name="Porcentaje 2 3 2 3 2 3 2" xfId="4267" xr:uid="{00000000-0005-0000-0000-000058750000}"/>
    <cellStyle name="Porcentaje 2 3 2 3 2 3 2 2" xfId="9199" xr:uid="{00000000-0005-0000-0000-000059750000}"/>
    <cellStyle name="Porcentaje 2 3 2 3 2 3 2 2 2" xfId="19059" xr:uid="{00000000-0005-0000-0000-00005A750000}"/>
    <cellStyle name="Porcentaje 2 3 2 3 2 3 2 2 2 2" xfId="38774" xr:uid="{00000000-0005-0000-0000-00005B750000}"/>
    <cellStyle name="Porcentaje 2 3 2 3 2 3 2 2 3" xfId="28917" xr:uid="{00000000-0005-0000-0000-00005C750000}"/>
    <cellStyle name="Porcentaje 2 3 2 3 2 3 2 3" xfId="14131" xr:uid="{00000000-0005-0000-0000-00005D750000}"/>
    <cellStyle name="Porcentaje 2 3 2 3 2 3 2 3 2" xfId="33846" xr:uid="{00000000-0005-0000-0000-00005E750000}"/>
    <cellStyle name="Porcentaje 2 3 2 3 2 3 2 4" xfId="23989" xr:uid="{00000000-0005-0000-0000-00005F750000}"/>
    <cellStyle name="Porcentaje 2 3 2 3 2 3 3" xfId="6735" xr:uid="{00000000-0005-0000-0000-000060750000}"/>
    <cellStyle name="Porcentaje 2 3 2 3 2 3 3 2" xfId="16595" xr:uid="{00000000-0005-0000-0000-000061750000}"/>
    <cellStyle name="Porcentaje 2 3 2 3 2 3 3 2 2" xfId="36310" xr:uid="{00000000-0005-0000-0000-000062750000}"/>
    <cellStyle name="Porcentaje 2 3 2 3 2 3 3 3" xfId="26453" xr:uid="{00000000-0005-0000-0000-000063750000}"/>
    <cellStyle name="Porcentaje 2 3 2 3 2 3 4" xfId="11667" xr:uid="{00000000-0005-0000-0000-000064750000}"/>
    <cellStyle name="Porcentaje 2 3 2 3 2 3 4 2" xfId="31382" xr:uid="{00000000-0005-0000-0000-000065750000}"/>
    <cellStyle name="Porcentaje 2 3 2 3 2 3 5" xfId="21525" xr:uid="{00000000-0005-0000-0000-000066750000}"/>
    <cellStyle name="Porcentaje 2 3 2 3 2 4" xfId="3035" xr:uid="{00000000-0005-0000-0000-000067750000}"/>
    <cellStyle name="Porcentaje 2 3 2 3 2 4 2" xfId="7967" xr:uid="{00000000-0005-0000-0000-000068750000}"/>
    <cellStyle name="Porcentaje 2 3 2 3 2 4 2 2" xfId="17827" xr:uid="{00000000-0005-0000-0000-000069750000}"/>
    <cellStyle name="Porcentaje 2 3 2 3 2 4 2 2 2" xfId="37542" xr:uid="{00000000-0005-0000-0000-00006A750000}"/>
    <cellStyle name="Porcentaje 2 3 2 3 2 4 2 3" xfId="27685" xr:uid="{00000000-0005-0000-0000-00006B750000}"/>
    <cellStyle name="Porcentaje 2 3 2 3 2 4 3" xfId="12899" xr:uid="{00000000-0005-0000-0000-00006C750000}"/>
    <cellStyle name="Porcentaje 2 3 2 3 2 4 3 2" xfId="32614" xr:uid="{00000000-0005-0000-0000-00006D750000}"/>
    <cellStyle name="Porcentaje 2 3 2 3 2 4 4" xfId="22757" xr:uid="{00000000-0005-0000-0000-00006E750000}"/>
    <cellStyle name="Porcentaje 2 3 2 3 2 5" xfId="5503" xr:uid="{00000000-0005-0000-0000-00006F750000}"/>
    <cellStyle name="Porcentaje 2 3 2 3 2 5 2" xfId="15363" xr:uid="{00000000-0005-0000-0000-000070750000}"/>
    <cellStyle name="Porcentaje 2 3 2 3 2 5 2 2" xfId="35078" xr:uid="{00000000-0005-0000-0000-000071750000}"/>
    <cellStyle name="Porcentaje 2 3 2 3 2 5 3" xfId="25221" xr:uid="{00000000-0005-0000-0000-000072750000}"/>
    <cellStyle name="Porcentaje 2 3 2 3 2 6" xfId="10435" xr:uid="{00000000-0005-0000-0000-000073750000}"/>
    <cellStyle name="Porcentaje 2 3 2 3 2 6 2" xfId="30150" xr:uid="{00000000-0005-0000-0000-000074750000}"/>
    <cellStyle name="Porcentaje 2 3 2 3 2 7" xfId="20293" xr:uid="{00000000-0005-0000-0000-000075750000}"/>
    <cellStyle name="Porcentaje 2 3 2 3 3" xfId="874" xr:uid="{00000000-0005-0000-0000-000076750000}"/>
    <cellStyle name="Porcentaje 2 3 2 3 3 2" xfId="2110" xr:uid="{00000000-0005-0000-0000-000077750000}"/>
    <cellStyle name="Porcentaje 2 3 2 3 3 2 2" xfId="4577" xr:uid="{00000000-0005-0000-0000-000078750000}"/>
    <cellStyle name="Porcentaje 2 3 2 3 3 2 2 2" xfId="9509" xr:uid="{00000000-0005-0000-0000-000079750000}"/>
    <cellStyle name="Porcentaje 2 3 2 3 3 2 2 2 2" xfId="19369" xr:uid="{00000000-0005-0000-0000-00007A750000}"/>
    <cellStyle name="Porcentaje 2 3 2 3 3 2 2 2 2 2" xfId="39084" xr:uid="{00000000-0005-0000-0000-00007B750000}"/>
    <cellStyle name="Porcentaje 2 3 2 3 3 2 2 2 3" xfId="29227" xr:uid="{00000000-0005-0000-0000-00007C750000}"/>
    <cellStyle name="Porcentaje 2 3 2 3 3 2 2 3" xfId="14441" xr:uid="{00000000-0005-0000-0000-00007D750000}"/>
    <cellStyle name="Porcentaje 2 3 2 3 3 2 2 3 2" xfId="34156" xr:uid="{00000000-0005-0000-0000-00007E750000}"/>
    <cellStyle name="Porcentaje 2 3 2 3 3 2 2 4" xfId="24299" xr:uid="{00000000-0005-0000-0000-00007F750000}"/>
    <cellStyle name="Porcentaje 2 3 2 3 3 2 3" xfId="7045" xr:uid="{00000000-0005-0000-0000-000080750000}"/>
    <cellStyle name="Porcentaje 2 3 2 3 3 2 3 2" xfId="16905" xr:uid="{00000000-0005-0000-0000-000081750000}"/>
    <cellStyle name="Porcentaje 2 3 2 3 3 2 3 2 2" xfId="36620" xr:uid="{00000000-0005-0000-0000-000082750000}"/>
    <cellStyle name="Porcentaje 2 3 2 3 3 2 3 3" xfId="26763" xr:uid="{00000000-0005-0000-0000-000083750000}"/>
    <cellStyle name="Porcentaje 2 3 2 3 3 2 4" xfId="11977" xr:uid="{00000000-0005-0000-0000-000084750000}"/>
    <cellStyle name="Porcentaje 2 3 2 3 3 2 4 2" xfId="31692" xr:uid="{00000000-0005-0000-0000-000085750000}"/>
    <cellStyle name="Porcentaje 2 3 2 3 3 2 5" xfId="21835" xr:uid="{00000000-0005-0000-0000-000086750000}"/>
    <cellStyle name="Porcentaje 2 3 2 3 3 3" xfId="3345" xr:uid="{00000000-0005-0000-0000-000087750000}"/>
    <cellStyle name="Porcentaje 2 3 2 3 3 3 2" xfId="8277" xr:uid="{00000000-0005-0000-0000-000088750000}"/>
    <cellStyle name="Porcentaje 2 3 2 3 3 3 2 2" xfId="18137" xr:uid="{00000000-0005-0000-0000-000089750000}"/>
    <cellStyle name="Porcentaje 2 3 2 3 3 3 2 2 2" xfId="37852" xr:uid="{00000000-0005-0000-0000-00008A750000}"/>
    <cellStyle name="Porcentaje 2 3 2 3 3 3 2 3" xfId="27995" xr:uid="{00000000-0005-0000-0000-00008B750000}"/>
    <cellStyle name="Porcentaje 2 3 2 3 3 3 3" xfId="13209" xr:uid="{00000000-0005-0000-0000-00008C750000}"/>
    <cellStyle name="Porcentaje 2 3 2 3 3 3 3 2" xfId="32924" xr:uid="{00000000-0005-0000-0000-00008D750000}"/>
    <cellStyle name="Porcentaje 2 3 2 3 3 3 4" xfId="23067" xr:uid="{00000000-0005-0000-0000-00008E750000}"/>
    <cellStyle name="Porcentaje 2 3 2 3 3 4" xfId="5813" xr:uid="{00000000-0005-0000-0000-00008F750000}"/>
    <cellStyle name="Porcentaje 2 3 2 3 3 4 2" xfId="15673" xr:uid="{00000000-0005-0000-0000-000090750000}"/>
    <cellStyle name="Porcentaje 2 3 2 3 3 4 2 2" xfId="35388" xr:uid="{00000000-0005-0000-0000-000091750000}"/>
    <cellStyle name="Porcentaje 2 3 2 3 3 4 3" xfId="25531" xr:uid="{00000000-0005-0000-0000-000092750000}"/>
    <cellStyle name="Porcentaje 2 3 2 3 3 5" xfId="10745" xr:uid="{00000000-0005-0000-0000-000093750000}"/>
    <cellStyle name="Porcentaje 2 3 2 3 3 5 2" xfId="30460" xr:uid="{00000000-0005-0000-0000-000094750000}"/>
    <cellStyle name="Porcentaje 2 3 2 3 3 6" xfId="20603" xr:uid="{00000000-0005-0000-0000-000095750000}"/>
    <cellStyle name="Porcentaje 2 3 2 3 4" xfId="1494" xr:uid="{00000000-0005-0000-0000-000096750000}"/>
    <cellStyle name="Porcentaje 2 3 2 3 4 2" xfId="3961" xr:uid="{00000000-0005-0000-0000-000097750000}"/>
    <cellStyle name="Porcentaje 2 3 2 3 4 2 2" xfId="8893" xr:uid="{00000000-0005-0000-0000-000098750000}"/>
    <cellStyle name="Porcentaje 2 3 2 3 4 2 2 2" xfId="18753" xr:uid="{00000000-0005-0000-0000-000099750000}"/>
    <cellStyle name="Porcentaje 2 3 2 3 4 2 2 2 2" xfId="38468" xr:uid="{00000000-0005-0000-0000-00009A750000}"/>
    <cellStyle name="Porcentaje 2 3 2 3 4 2 2 3" xfId="28611" xr:uid="{00000000-0005-0000-0000-00009B750000}"/>
    <cellStyle name="Porcentaje 2 3 2 3 4 2 3" xfId="13825" xr:uid="{00000000-0005-0000-0000-00009C750000}"/>
    <cellStyle name="Porcentaje 2 3 2 3 4 2 3 2" xfId="33540" xr:uid="{00000000-0005-0000-0000-00009D750000}"/>
    <cellStyle name="Porcentaje 2 3 2 3 4 2 4" xfId="23683" xr:uid="{00000000-0005-0000-0000-00009E750000}"/>
    <cellStyle name="Porcentaje 2 3 2 3 4 3" xfId="6429" xr:uid="{00000000-0005-0000-0000-00009F750000}"/>
    <cellStyle name="Porcentaje 2 3 2 3 4 3 2" xfId="16289" xr:uid="{00000000-0005-0000-0000-0000A0750000}"/>
    <cellStyle name="Porcentaje 2 3 2 3 4 3 2 2" xfId="36004" xr:uid="{00000000-0005-0000-0000-0000A1750000}"/>
    <cellStyle name="Porcentaje 2 3 2 3 4 3 3" xfId="26147" xr:uid="{00000000-0005-0000-0000-0000A2750000}"/>
    <cellStyle name="Porcentaje 2 3 2 3 4 4" xfId="11361" xr:uid="{00000000-0005-0000-0000-0000A3750000}"/>
    <cellStyle name="Porcentaje 2 3 2 3 4 4 2" xfId="31076" xr:uid="{00000000-0005-0000-0000-0000A4750000}"/>
    <cellStyle name="Porcentaje 2 3 2 3 4 5" xfId="21219" xr:uid="{00000000-0005-0000-0000-0000A5750000}"/>
    <cellStyle name="Porcentaje 2 3 2 3 5" xfId="2729" xr:uid="{00000000-0005-0000-0000-0000A6750000}"/>
    <cellStyle name="Porcentaje 2 3 2 3 5 2" xfId="7661" xr:uid="{00000000-0005-0000-0000-0000A7750000}"/>
    <cellStyle name="Porcentaje 2 3 2 3 5 2 2" xfId="17521" xr:uid="{00000000-0005-0000-0000-0000A8750000}"/>
    <cellStyle name="Porcentaje 2 3 2 3 5 2 2 2" xfId="37236" xr:uid="{00000000-0005-0000-0000-0000A9750000}"/>
    <cellStyle name="Porcentaje 2 3 2 3 5 2 3" xfId="27379" xr:uid="{00000000-0005-0000-0000-0000AA750000}"/>
    <cellStyle name="Porcentaje 2 3 2 3 5 3" xfId="12593" xr:uid="{00000000-0005-0000-0000-0000AB750000}"/>
    <cellStyle name="Porcentaje 2 3 2 3 5 3 2" xfId="32308" xr:uid="{00000000-0005-0000-0000-0000AC750000}"/>
    <cellStyle name="Porcentaje 2 3 2 3 5 4" xfId="22451" xr:uid="{00000000-0005-0000-0000-0000AD750000}"/>
    <cellStyle name="Porcentaje 2 3 2 3 6" xfId="5197" xr:uid="{00000000-0005-0000-0000-0000AE750000}"/>
    <cellStyle name="Porcentaje 2 3 2 3 6 2" xfId="15057" xr:uid="{00000000-0005-0000-0000-0000AF750000}"/>
    <cellStyle name="Porcentaje 2 3 2 3 6 2 2" xfId="34772" xr:uid="{00000000-0005-0000-0000-0000B0750000}"/>
    <cellStyle name="Porcentaje 2 3 2 3 6 3" xfId="24915" xr:uid="{00000000-0005-0000-0000-0000B1750000}"/>
    <cellStyle name="Porcentaje 2 3 2 3 7" xfId="10129" xr:uid="{00000000-0005-0000-0000-0000B2750000}"/>
    <cellStyle name="Porcentaje 2 3 2 3 7 2" xfId="29844" xr:uid="{00000000-0005-0000-0000-0000B3750000}"/>
    <cellStyle name="Porcentaje 2 3 2 3 8" xfId="19987" xr:uid="{00000000-0005-0000-0000-0000B4750000}"/>
    <cellStyle name="Porcentaje 2 3 2 4" xfId="409" xr:uid="{00000000-0005-0000-0000-0000B5750000}"/>
    <cellStyle name="Porcentaje 2 3 2 4 2" xfId="1029" xr:uid="{00000000-0005-0000-0000-0000B6750000}"/>
    <cellStyle name="Porcentaje 2 3 2 4 2 2" xfId="2264" xr:uid="{00000000-0005-0000-0000-0000B7750000}"/>
    <cellStyle name="Porcentaje 2 3 2 4 2 2 2" xfId="4731" xr:uid="{00000000-0005-0000-0000-0000B8750000}"/>
    <cellStyle name="Porcentaje 2 3 2 4 2 2 2 2" xfId="9663" xr:uid="{00000000-0005-0000-0000-0000B9750000}"/>
    <cellStyle name="Porcentaje 2 3 2 4 2 2 2 2 2" xfId="19523" xr:uid="{00000000-0005-0000-0000-0000BA750000}"/>
    <cellStyle name="Porcentaje 2 3 2 4 2 2 2 2 2 2" xfId="39238" xr:uid="{00000000-0005-0000-0000-0000BB750000}"/>
    <cellStyle name="Porcentaje 2 3 2 4 2 2 2 2 3" xfId="29381" xr:uid="{00000000-0005-0000-0000-0000BC750000}"/>
    <cellStyle name="Porcentaje 2 3 2 4 2 2 2 3" xfId="14595" xr:uid="{00000000-0005-0000-0000-0000BD750000}"/>
    <cellStyle name="Porcentaje 2 3 2 4 2 2 2 3 2" xfId="34310" xr:uid="{00000000-0005-0000-0000-0000BE750000}"/>
    <cellStyle name="Porcentaje 2 3 2 4 2 2 2 4" xfId="24453" xr:uid="{00000000-0005-0000-0000-0000BF750000}"/>
    <cellStyle name="Porcentaje 2 3 2 4 2 2 3" xfId="7199" xr:uid="{00000000-0005-0000-0000-0000C0750000}"/>
    <cellStyle name="Porcentaje 2 3 2 4 2 2 3 2" xfId="17059" xr:uid="{00000000-0005-0000-0000-0000C1750000}"/>
    <cellStyle name="Porcentaje 2 3 2 4 2 2 3 2 2" xfId="36774" xr:uid="{00000000-0005-0000-0000-0000C2750000}"/>
    <cellStyle name="Porcentaje 2 3 2 4 2 2 3 3" xfId="26917" xr:uid="{00000000-0005-0000-0000-0000C3750000}"/>
    <cellStyle name="Porcentaje 2 3 2 4 2 2 4" xfId="12131" xr:uid="{00000000-0005-0000-0000-0000C4750000}"/>
    <cellStyle name="Porcentaje 2 3 2 4 2 2 4 2" xfId="31846" xr:uid="{00000000-0005-0000-0000-0000C5750000}"/>
    <cellStyle name="Porcentaje 2 3 2 4 2 2 5" xfId="21989" xr:uid="{00000000-0005-0000-0000-0000C6750000}"/>
    <cellStyle name="Porcentaje 2 3 2 4 2 3" xfId="3499" xr:uid="{00000000-0005-0000-0000-0000C7750000}"/>
    <cellStyle name="Porcentaje 2 3 2 4 2 3 2" xfId="8431" xr:uid="{00000000-0005-0000-0000-0000C8750000}"/>
    <cellStyle name="Porcentaje 2 3 2 4 2 3 2 2" xfId="18291" xr:uid="{00000000-0005-0000-0000-0000C9750000}"/>
    <cellStyle name="Porcentaje 2 3 2 4 2 3 2 2 2" xfId="38006" xr:uid="{00000000-0005-0000-0000-0000CA750000}"/>
    <cellStyle name="Porcentaje 2 3 2 4 2 3 2 3" xfId="28149" xr:uid="{00000000-0005-0000-0000-0000CB750000}"/>
    <cellStyle name="Porcentaje 2 3 2 4 2 3 3" xfId="13363" xr:uid="{00000000-0005-0000-0000-0000CC750000}"/>
    <cellStyle name="Porcentaje 2 3 2 4 2 3 3 2" xfId="33078" xr:uid="{00000000-0005-0000-0000-0000CD750000}"/>
    <cellStyle name="Porcentaje 2 3 2 4 2 3 4" xfId="23221" xr:uid="{00000000-0005-0000-0000-0000CE750000}"/>
    <cellStyle name="Porcentaje 2 3 2 4 2 4" xfId="5967" xr:uid="{00000000-0005-0000-0000-0000CF750000}"/>
    <cellStyle name="Porcentaje 2 3 2 4 2 4 2" xfId="15827" xr:uid="{00000000-0005-0000-0000-0000D0750000}"/>
    <cellStyle name="Porcentaje 2 3 2 4 2 4 2 2" xfId="35542" xr:uid="{00000000-0005-0000-0000-0000D1750000}"/>
    <cellStyle name="Porcentaje 2 3 2 4 2 4 3" xfId="25685" xr:uid="{00000000-0005-0000-0000-0000D2750000}"/>
    <cellStyle name="Porcentaje 2 3 2 4 2 5" xfId="10899" xr:uid="{00000000-0005-0000-0000-0000D3750000}"/>
    <cellStyle name="Porcentaje 2 3 2 4 2 5 2" xfId="30614" xr:uid="{00000000-0005-0000-0000-0000D4750000}"/>
    <cellStyle name="Porcentaje 2 3 2 4 2 6" xfId="20757" xr:uid="{00000000-0005-0000-0000-0000D5750000}"/>
    <cellStyle name="Porcentaje 2 3 2 4 3" xfId="1648" xr:uid="{00000000-0005-0000-0000-0000D6750000}"/>
    <cellStyle name="Porcentaje 2 3 2 4 3 2" xfId="4115" xr:uid="{00000000-0005-0000-0000-0000D7750000}"/>
    <cellStyle name="Porcentaje 2 3 2 4 3 2 2" xfId="9047" xr:uid="{00000000-0005-0000-0000-0000D8750000}"/>
    <cellStyle name="Porcentaje 2 3 2 4 3 2 2 2" xfId="18907" xr:uid="{00000000-0005-0000-0000-0000D9750000}"/>
    <cellStyle name="Porcentaje 2 3 2 4 3 2 2 2 2" xfId="38622" xr:uid="{00000000-0005-0000-0000-0000DA750000}"/>
    <cellStyle name="Porcentaje 2 3 2 4 3 2 2 3" xfId="28765" xr:uid="{00000000-0005-0000-0000-0000DB750000}"/>
    <cellStyle name="Porcentaje 2 3 2 4 3 2 3" xfId="13979" xr:uid="{00000000-0005-0000-0000-0000DC750000}"/>
    <cellStyle name="Porcentaje 2 3 2 4 3 2 3 2" xfId="33694" xr:uid="{00000000-0005-0000-0000-0000DD750000}"/>
    <cellStyle name="Porcentaje 2 3 2 4 3 2 4" xfId="23837" xr:uid="{00000000-0005-0000-0000-0000DE750000}"/>
    <cellStyle name="Porcentaje 2 3 2 4 3 3" xfId="6583" xr:uid="{00000000-0005-0000-0000-0000DF750000}"/>
    <cellStyle name="Porcentaje 2 3 2 4 3 3 2" xfId="16443" xr:uid="{00000000-0005-0000-0000-0000E0750000}"/>
    <cellStyle name="Porcentaje 2 3 2 4 3 3 2 2" xfId="36158" xr:uid="{00000000-0005-0000-0000-0000E1750000}"/>
    <cellStyle name="Porcentaje 2 3 2 4 3 3 3" xfId="26301" xr:uid="{00000000-0005-0000-0000-0000E2750000}"/>
    <cellStyle name="Porcentaje 2 3 2 4 3 4" xfId="11515" xr:uid="{00000000-0005-0000-0000-0000E3750000}"/>
    <cellStyle name="Porcentaje 2 3 2 4 3 4 2" xfId="31230" xr:uid="{00000000-0005-0000-0000-0000E4750000}"/>
    <cellStyle name="Porcentaje 2 3 2 4 3 5" xfId="21373" xr:uid="{00000000-0005-0000-0000-0000E5750000}"/>
    <cellStyle name="Porcentaje 2 3 2 4 4" xfId="2883" xr:uid="{00000000-0005-0000-0000-0000E6750000}"/>
    <cellStyle name="Porcentaje 2 3 2 4 4 2" xfId="7815" xr:uid="{00000000-0005-0000-0000-0000E7750000}"/>
    <cellStyle name="Porcentaje 2 3 2 4 4 2 2" xfId="17675" xr:uid="{00000000-0005-0000-0000-0000E8750000}"/>
    <cellStyle name="Porcentaje 2 3 2 4 4 2 2 2" xfId="37390" xr:uid="{00000000-0005-0000-0000-0000E9750000}"/>
    <cellStyle name="Porcentaje 2 3 2 4 4 2 3" xfId="27533" xr:uid="{00000000-0005-0000-0000-0000EA750000}"/>
    <cellStyle name="Porcentaje 2 3 2 4 4 3" xfId="12747" xr:uid="{00000000-0005-0000-0000-0000EB750000}"/>
    <cellStyle name="Porcentaje 2 3 2 4 4 3 2" xfId="32462" xr:uid="{00000000-0005-0000-0000-0000EC750000}"/>
    <cellStyle name="Porcentaje 2 3 2 4 4 4" xfId="22605" xr:uid="{00000000-0005-0000-0000-0000ED750000}"/>
    <cellStyle name="Porcentaje 2 3 2 4 5" xfId="5351" xr:uid="{00000000-0005-0000-0000-0000EE750000}"/>
    <cellStyle name="Porcentaje 2 3 2 4 5 2" xfId="15211" xr:uid="{00000000-0005-0000-0000-0000EF750000}"/>
    <cellStyle name="Porcentaje 2 3 2 4 5 2 2" xfId="34926" xr:uid="{00000000-0005-0000-0000-0000F0750000}"/>
    <cellStyle name="Porcentaje 2 3 2 4 5 3" xfId="25069" xr:uid="{00000000-0005-0000-0000-0000F1750000}"/>
    <cellStyle name="Porcentaje 2 3 2 4 6" xfId="10283" xr:uid="{00000000-0005-0000-0000-0000F2750000}"/>
    <cellStyle name="Porcentaje 2 3 2 4 6 2" xfId="29998" xr:uid="{00000000-0005-0000-0000-0000F3750000}"/>
    <cellStyle name="Porcentaje 2 3 2 4 7" xfId="20141" xr:uid="{00000000-0005-0000-0000-0000F4750000}"/>
    <cellStyle name="Porcentaje 2 3 2 5" xfId="722" xr:uid="{00000000-0005-0000-0000-0000F5750000}"/>
    <cellStyle name="Porcentaje 2 3 2 5 2" xfId="1958" xr:uid="{00000000-0005-0000-0000-0000F6750000}"/>
    <cellStyle name="Porcentaje 2 3 2 5 2 2" xfId="4425" xr:uid="{00000000-0005-0000-0000-0000F7750000}"/>
    <cellStyle name="Porcentaje 2 3 2 5 2 2 2" xfId="9357" xr:uid="{00000000-0005-0000-0000-0000F8750000}"/>
    <cellStyle name="Porcentaje 2 3 2 5 2 2 2 2" xfId="19217" xr:uid="{00000000-0005-0000-0000-0000F9750000}"/>
    <cellStyle name="Porcentaje 2 3 2 5 2 2 2 2 2" xfId="38932" xr:uid="{00000000-0005-0000-0000-0000FA750000}"/>
    <cellStyle name="Porcentaje 2 3 2 5 2 2 2 3" xfId="29075" xr:uid="{00000000-0005-0000-0000-0000FB750000}"/>
    <cellStyle name="Porcentaje 2 3 2 5 2 2 3" xfId="14289" xr:uid="{00000000-0005-0000-0000-0000FC750000}"/>
    <cellStyle name="Porcentaje 2 3 2 5 2 2 3 2" xfId="34004" xr:uid="{00000000-0005-0000-0000-0000FD750000}"/>
    <cellStyle name="Porcentaje 2 3 2 5 2 2 4" xfId="24147" xr:uid="{00000000-0005-0000-0000-0000FE750000}"/>
    <cellStyle name="Porcentaje 2 3 2 5 2 3" xfId="6893" xr:uid="{00000000-0005-0000-0000-0000FF750000}"/>
    <cellStyle name="Porcentaje 2 3 2 5 2 3 2" xfId="16753" xr:uid="{00000000-0005-0000-0000-000000760000}"/>
    <cellStyle name="Porcentaje 2 3 2 5 2 3 2 2" xfId="36468" xr:uid="{00000000-0005-0000-0000-000001760000}"/>
    <cellStyle name="Porcentaje 2 3 2 5 2 3 3" xfId="26611" xr:uid="{00000000-0005-0000-0000-000002760000}"/>
    <cellStyle name="Porcentaje 2 3 2 5 2 4" xfId="11825" xr:uid="{00000000-0005-0000-0000-000003760000}"/>
    <cellStyle name="Porcentaje 2 3 2 5 2 4 2" xfId="31540" xr:uid="{00000000-0005-0000-0000-000004760000}"/>
    <cellStyle name="Porcentaje 2 3 2 5 2 5" xfId="21683" xr:uid="{00000000-0005-0000-0000-000005760000}"/>
    <cellStyle name="Porcentaje 2 3 2 5 3" xfId="3193" xr:uid="{00000000-0005-0000-0000-000006760000}"/>
    <cellStyle name="Porcentaje 2 3 2 5 3 2" xfId="8125" xr:uid="{00000000-0005-0000-0000-000007760000}"/>
    <cellStyle name="Porcentaje 2 3 2 5 3 2 2" xfId="17985" xr:uid="{00000000-0005-0000-0000-000008760000}"/>
    <cellStyle name="Porcentaje 2 3 2 5 3 2 2 2" xfId="37700" xr:uid="{00000000-0005-0000-0000-000009760000}"/>
    <cellStyle name="Porcentaje 2 3 2 5 3 2 3" xfId="27843" xr:uid="{00000000-0005-0000-0000-00000A760000}"/>
    <cellStyle name="Porcentaje 2 3 2 5 3 3" xfId="13057" xr:uid="{00000000-0005-0000-0000-00000B760000}"/>
    <cellStyle name="Porcentaje 2 3 2 5 3 3 2" xfId="32772" xr:uid="{00000000-0005-0000-0000-00000C760000}"/>
    <cellStyle name="Porcentaje 2 3 2 5 3 4" xfId="22915" xr:uid="{00000000-0005-0000-0000-00000D760000}"/>
    <cellStyle name="Porcentaje 2 3 2 5 4" xfId="5661" xr:uid="{00000000-0005-0000-0000-00000E760000}"/>
    <cellStyle name="Porcentaje 2 3 2 5 4 2" xfId="15521" xr:uid="{00000000-0005-0000-0000-00000F760000}"/>
    <cellStyle name="Porcentaje 2 3 2 5 4 2 2" xfId="35236" xr:uid="{00000000-0005-0000-0000-000010760000}"/>
    <cellStyle name="Porcentaje 2 3 2 5 4 3" xfId="25379" xr:uid="{00000000-0005-0000-0000-000011760000}"/>
    <cellStyle name="Porcentaje 2 3 2 5 5" xfId="10593" xr:uid="{00000000-0005-0000-0000-000012760000}"/>
    <cellStyle name="Porcentaje 2 3 2 5 5 2" xfId="30308" xr:uid="{00000000-0005-0000-0000-000013760000}"/>
    <cellStyle name="Porcentaje 2 3 2 5 6" xfId="20451" xr:uid="{00000000-0005-0000-0000-000014760000}"/>
    <cellStyle name="Porcentaje 2 3 2 6" xfId="1342" xr:uid="{00000000-0005-0000-0000-000015760000}"/>
    <cellStyle name="Porcentaje 2 3 2 6 2" xfId="3809" xr:uid="{00000000-0005-0000-0000-000016760000}"/>
    <cellStyle name="Porcentaje 2 3 2 6 2 2" xfId="8741" xr:uid="{00000000-0005-0000-0000-000017760000}"/>
    <cellStyle name="Porcentaje 2 3 2 6 2 2 2" xfId="18601" xr:uid="{00000000-0005-0000-0000-000018760000}"/>
    <cellStyle name="Porcentaje 2 3 2 6 2 2 2 2" xfId="38316" xr:uid="{00000000-0005-0000-0000-000019760000}"/>
    <cellStyle name="Porcentaje 2 3 2 6 2 2 3" xfId="28459" xr:uid="{00000000-0005-0000-0000-00001A760000}"/>
    <cellStyle name="Porcentaje 2 3 2 6 2 3" xfId="13673" xr:uid="{00000000-0005-0000-0000-00001B760000}"/>
    <cellStyle name="Porcentaje 2 3 2 6 2 3 2" xfId="33388" xr:uid="{00000000-0005-0000-0000-00001C760000}"/>
    <cellStyle name="Porcentaje 2 3 2 6 2 4" xfId="23531" xr:uid="{00000000-0005-0000-0000-00001D760000}"/>
    <cellStyle name="Porcentaje 2 3 2 6 3" xfId="6277" xr:uid="{00000000-0005-0000-0000-00001E760000}"/>
    <cellStyle name="Porcentaje 2 3 2 6 3 2" xfId="16137" xr:uid="{00000000-0005-0000-0000-00001F760000}"/>
    <cellStyle name="Porcentaje 2 3 2 6 3 2 2" xfId="35852" xr:uid="{00000000-0005-0000-0000-000020760000}"/>
    <cellStyle name="Porcentaje 2 3 2 6 3 3" xfId="25995" xr:uid="{00000000-0005-0000-0000-000021760000}"/>
    <cellStyle name="Porcentaje 2 3 2 6 4" xfId="11209" xr:uid="{00000000-0005-0000-0000-000022760000}"/>
    <cellStyle name="Porcentaje 2 3 2 6 4 2" xfId="30924" xr:uid="{00000000-0005-0000-0000-000023760000}"/>
    <cellStyle name="Porcentaje 2 3 2 6 5" xfId="21067" xr:uid="{00000000-0005-0000-0000-000024760000}"/>
    <cellStyle name="Porcentaje 2 3 2 7" xfId="2577" xr:uid="{00000000-0005-0000-0000-000025760000}"/>
    <cellStyle name="Porcentaje 2 3 2 7 2" xfId="7509" xr:uid="{00000000-0005-0000-0000-000026760000}"/>
    <cellStyle name="Porcentaje 2 3 2 7 2 2" xfId="17369" xr:uid="{00000000-0005-0000-0000-000027760000}"/>
    <cellStyle name="Porcentaje 2 3 2 7 2 2 2" xfId="37084" xr:uid="{00000000-0005-0000-0000-000028760000}"/>
    <cellStyle name="Porcentaje 2 3 2 7 2 3" xfId="27227" xr:uid="{00000000-0005-0000-0000-000029760000}"/>
    <cellStyle name="Porcentaje 2 3 2 7 3" xfId="12441" xr:uid="{00000000-0005-0000-0000-00002A760000}"/>
    <cellStyle name="Porcentaje 2 3 2 7 3 2" xfId="32156" xr:uid="{00000000-0005-0000-0000-00002B760000}"/>
    <cellStyle name="Porcentaje 2 3 2 7 4" xfId="22299" xr:uid="{00000000-0005-0000-0000-00002C760000}"/>
    <cellStyle name="Porcentaje 2 3 2 8" xfId="5045" xr:uid="{00000000-0005-0000-0000-00002D760000}"/>
    <cellStyle name="Porcentaje 2 3 2 8 2" xfId="14905" xr:uid="{00000000-0005-0000-0000-00002E760000}"/>
    <cellStyle name="Porcentaje 2 3 2 8 2 2" xfId="34620" xr:uid="{00000000-0005-0000-0000-00002F760000}"/>
    <cellStyle name="Porcentaje 2 3 2 8 3" xfId="24763" xr:uid="{00000000-0005-0000-0000-000030760000}"/>
    <cellStyle name="Porcentaje 2 3 2 9" xfId="9977" xr:uid="{00000000-0005-0000-0000-000031760000}"/>
    <cellStyle name="Porcentaje 2 3 2 9 2" xfId="29692" xr:uid="{00000000-0005-0000-0000-000032760000}"/>
    <cellStyle name="Porcentaje 2 3 3" xfId="128" xr:uid="{00000000-0005-0000-0000-000033760000}"/>
    <cellStyle name="Porcentaje 2 3 3 2" xfId="285" xr:uid="{00000000-0005-0000-0000-000034760000}"/>
    <cellStyle name="Porcentaje 2 3 3 2 2" xfId="599" xr:uid="{00000000-0005-0000-0000-000035760000}"/>
    <cellStyle name="Porcentaje 2 3 3 2 2 2" xfId="1219" xr:uid="{00000000-0005-0000-0000-000036760000}"/>
    <cellStyle name="Porcentaje 2 3 3 2 2 2 2" xfId="2454" xr:uid="{00000000-0005-0000-0000-000037760000}"/>
    <cellStyle name="Porcentaje 2 3 3 2 2 2 2 2" xfId="4921" xr:uid="{00000000-0005-0000-0000-000038760000}"/>
    <cellStyle name="Porcentaje 2 3 3 2 2 2 2 2 2" xfId="9853" xr:uid="{00000000-0005-0000-0000-000039760000}"/>
    <cellStyle name="Porcentaje 2 3 3 2 2 2 2 2 2 2" xfId="19713" xr:uid="{00000000-0005-0000-0000-00003A760000}"/>
    <cellStyle name="Porcentaje 2 3 3 2 2 2 2 2 2 2 2" xfId="39428" xr:uid="{00000000-0005-0000-0000-00003B760000}"/>
    <cellStyle name="Porcentaje 2 3 3 2 2 2 2 2 2 3" xfId="29571" xr:uid="{00000000-0005-0000-0000-00003C760000}"/>
    <cellStyle name="Porcentaje 2 3 3 2 2 2 2 2 3" xfId="14785" xr:uid="{00000000-0005-0000-0000-00003D760000}"/>
    <cellStyle name="Porcentaje 2 3 3 2 2 2 2 2 3 2" xfId="34500" xr:uid="{00000000-0005-0000-0000-00003E760000}"/>
    <cellStyle name="Porcentaje 2 3 3 2 2 2 2 2 4" xfId="24643" xr:uid="{00000000-0005-0000-0000-00003F760000}"/>
    <cellStyle name="Porcentaje 2 3 3 2 2 2 2 3" xfId="7389" xr:uid="{00000000-0005-0000-0000-000040760000}"/>
    <cellStyle name="Porcentaje 2 3 3 2 2 2 2 3 2" xfId="17249" xr:uid="{00000000-0005-0000-0000-000041760000}"/>
    <cellStyle name="Porcentaje 2 3 3 2 2 2 2 3 2 2" xfId="36964" xr:uid="{00000000-0005-0000-0000-000042760000}"/>
    <cellStyle name="Porcentaje 2 3 3 2 2 2 2 3 3" xfId="27107" xr:uid="{00000000-0005-0000-0000-000043760000}"/>
    <cellStyle name="Porcentaje 2 3 3 2 2 2 2 4" xfId="12321" xr:uid="{00000000-0005-0000-0000-000044760000}"/>
    <cellStyle name="Porcentaje 2 3 3 2 2 2 2 4 2" xfId="32036" xr:uid="{00000000-0005-0000-0000-000045760000}"/>
    <cellStyle name="Porcentaje 2 3 3 2 2 2 2 5" xfId="22179" xr:uid="{00000000-0005-0000-0000-000046760000}"/>
    <cellStyle name="Porcentaje 2 3 3 2 2 2 3" xfId="3689" xr:uid="{00000000-0005-0000-0000-000047760000}"/>
    <cellStyle name="Porcentaje 2 3 3 2 2 2 3 2" xfId="8621" xr:uid="{00000000-0005-0000-0000-000048760000}"/>
    <cellStyle name="Porcentaje 2 3 3 2 2 2 3 2 2" xfId="18481" xr:uid="{00000000-0005-0000-0000-000049760000}"/>
    <cellStyle name="Porcentaje 2 3 3 2 2 2 3 2 2 2" xfId="38196" xr:uid="{00000000-0005-0000-0000-00004A760000}"/>
    <cellStyle name="Porcentaje 2 3 3 2 2 2 3 2 3" xfId="28339" xr:uid="{00000000-0005-0000-0000-00004B760000}"/>
    <cellStyle name="Porcentaje 2 3 3 2 2 2 3 3" xfId="13553" xr:uid="{00000000-0005-0000-0000-00004C760000}"/>
    <cellStyle name="Porcentaje 2 3 3 2 2 2 3 3 2" xfId="33268" xr:uid="{00000000-0005-0000-0000-00004D760000}"/>
    <cellStyle name="Porcentaje 2 3 3 2 2 2 3 4" xfId="23411" xr:uid="{00000000-0005-0000-0000-00004E760000}"/>
    <cellStyle name="Porcentaje 2 3 3 2 2 2 4" xfId="6157" xr:uid="{00000000-0005-0000-0000-00004F760000}"/>
    <cellStyle name="Porcentaje 2 3 3 2 2 2 4 2" xfId="16017" xr:uid="{00000000-0005-0000-0000-000050760000}"/>
    <cellStyle name="Porcentaje 2 3 3 2 2 2 4 2 2" xfId="35732" xr:uid="{00000000-0005-0000-0000-000051760000}"/>
    <cellStyle name="Porcentaje 2 3 3 2 2 2 4 3" xfId="25875" xr:uid="{00000000-0005-0000-0000-000052760000}"/>
    <cellStyle name="Porcentaje 2 3 3 2 2 2 5" xfId="11089" xr:uid="{00000000-0005-0000-0000-000053760000}"/>
    <cellStyle name="Porcentaje 2 3 3 2 2 2 5 2" xfId="30804" xr:uid="{00000000-0005-0000-0000-000054760000}"/>
    <cellStyle name="Porcentaje 2 3 3 2 2 2 6" xfId="20947" xr:uid="{00000000-0005-0000-0000-000055760000}"/>
    <cellStyle name="Porcentaje 2 3 3 2 2 3" xfId="1838" xr:uid="{00000000-0005-0000-0000-000056760000}"/>
    <cellStyle name="Porcentaje 2 3 3 2 2 3 2" xfId="4305" xr:uid="{00000000-0005-0000-0000-000057760000}"/>
    <cellStyle name="Porcentaje 2 3 3 2 2 3 2 2" xfId="9237" xr:uid="{00000000-0005-0000-0000-000058760000}"/>
    <cellStyle name="Porcentaje 2 3 3 2 2 3 2 2 2" xfId="19097" xr:uid="{00000000-0005-0000-0000-000059760000}"/>
    <cellStyle name="Porcentaje 2 3 3 2 2 3 2 2 2 2" xfId="38812" xr:uid="{00000000-0005-0000-0000-00005A760000}"/>
    <cellStyle name="Porcentaje 2 3 3 2 2 3 2 2 3" xfId="28955" xr:uid="{00000000-0005-0000-0000-00005B760000}"/>
    <cellStyle name="Porcentaje 2 3 3 2 2 3 2 3" xfId="14169" xr:uid="{00000000-0005-0000-0000-00005C760000}"/>
    <cellStyle name="Porcentaje 2 3 3 2 2 3 2 3 2" xfId="33884" xr:uid="{00000000-0005-0000-0000-00005D760000}"/>
    <cellStyle name="Porcentaje 2 3 3 2 2 3 2 4" xfId="24027" xr:uid="{00000000-0005-0000-0000-00005E760000}"/>
    <cellStyle name="Porcentaje 2 3 3 2 2 3 3" xfId="6773" xr:uid="{00000000-0005-0000-0000-00005F760000}"/>
    <cellStyle name="Porcentaje 2 3 3 2 2 3 3 2" xfId="16633" xr:uid="{00000000-0005-0000-0000-000060760000}"/>
    <cellStyle name="Porcentaje 2 3 3 2 2 3 3 2 2" xfId="36348" xr:uid="{00000000-0005-0000-0000-000061760000}"/>
    <cellStyle name="Porcentaje 2 3 3 2 2 3 3 3" xfId="26491" xr:uid="{00000000-0005-0000-0000-000062760000}"/>
    <cellStyle name="Porcentaje 2 3 3 2 2 3 4" xfId="11705" xr:uid="{00000000-0005-0000-0000-000063760000}"/>
    <cellStyle name="Porcentaje 2 3 3 2 2 3 4 2" xfId="31420" xr:uid="{00000000-0005-0000-0000-000064760000}"/>
    <cellStyle name="Porcentaje 2 3 3 2 2 3 5" xfId="21563" xr:uid="{00000000-0005-0000-0000-000065760000}"/>
    <cellStyle name="Porcentaje 2 3 3 2 2 4" xfId="3073" xr:uid="{00000000-0005-0000-0000-000066760000}"/>
    <cellStyle name="Porcentaje 2 3 3 2 2 4 2" xfId="8005" xr:uid="{00000000-0005-0000-0000-000067760000}"/>
    <cellStyle name="Porcentaje 2 3 3 2 2 4 2 2" xfId="17865" xr:uid="{00000000-0005-0000-0000-000068760000}"/>
    <cellStyle name="Porcentaje 2 3 3 2 2 4 2 2 2" xfId="37580" xr:uid="{00000000-0005-0000-0000-000069760000}"/>
    <cellStyle name="Porcentaje 2 3 3 2 2 4 2 3" xfId="27723" xr:uid="{00000000-0005-0000-0000-00006A760000}"/>
    <cellStyle name="Porcentaje 2 3 3 2 2 4 3" xfId="12937" xr:uid="{00000000-0005-0000-0000-00006B760000}"/>
    <cellStyle name="Porcentaje 2 3 3 2 2 4 3 2" xfId="32652" xr:uid="{00000000-0005-0000-0000-00006C760000}"/>
    <cellStyle name="Porcentaje 2 3 3 2 2 4 4" xfId="22795" xr:uid="{00000000-0005-0000-0000-00006D760000}"/>
    <cellStyle name="Porcentaje 2 3 3 2 2 5" xfId="5541" xr:uid="{00000000-0005-0000-0000-00006E760000}"/>
    <cellStyle name="Porcentaje 2 3 3 2 2 5 2" xfId="15401" xr:uid="{00000000-0005-0000-0000-00006F760000}"/>
    <cellStyle name="Porcentaje 2 3 3 2 2 5 2 2" xfId="35116" xr:uid="{00000000-0005-0000-0000-000070760000}"/>
    <cellStyle name="Porcentaje 2 3 3 2 2 5 3" xfId="25259" xr:uid="{00000000-0005-0000-0000-000071760000}"/>
    <cellStyle name="Porcentaje 2 3 3 2 2 6" xfId="10473" xr:uid="{00000000-0005-0000-0000-000072760000}"/>
    <cellStyle name="Porcentaje 2 3 3 2 2 6 2" xfId="30188" xr:uid="{00000000-0005-0000-0000-000073760000}"/>
    <cellStyle name="Porcentaje 2 3 3 2 2 7" xfId="20331" xr:uid="{00000000-0005-0000-0000-000074760000}"/>
    <cellStyle name="Porcentaje 2 3 3 2 3" xfId="912" xr:uid="{00000000-0005-0000-0000-000075760000}"/>
    <cellStyle name="Porcentaje 2 3 3 2 3 2" xfId="2148" xr:uid="{00000000-0005-0000-0000-000076760000}"/>
    <cellStyle name="Porcentaje 2 3 3 2 3 2 2" xfId="4615" xr:uid="{00000000-0005-0000-0000-000077760000}"/>
    <cellStyle name="Porcentaje 2 3 3 2 3 2 2 2" xfId="9547" xr:uid="{00000000-0005-0000-0000-000078760000}"/>
    <cellStyle name="Porcentaje 2 3 3 2 3 2 2 2 2" xfId="19407" xr:uid="{00000000-0005-0000-0000-000079760000}"/>
    <cellStyle name="Porcentaje 2 3 3 2 3 2 2 2 2 2" xfId="39122" xr:uid="{00000000-0005-0000-0000-00007A760000}"/>
    <cellStyle name="Porcentaje 2 3 3 2 3 2 2 2 3" xfId="29265" xr:uid="{00000000-0005-0000-0000-00007B760000}"/>
    <cellStyle name="Porcentaje 2 3 3 2 3 2 2 3" xfId="14479" xr:uid="{00000000-0005-0000-0000-00007C760000}"/>
    <cellStyle name="Porcentaje 2 3 3 2 3 2 2 3 2" xfId="34194" xr:uid="{00000000-0005-0000-0000-00007D760000}"/>
    <cellStyle name="Porcentaje 2 3 3 2 3 2 2 4" xfId="24337" xr:uid="{00000000-0005-0000-0000-00007E760000}"/>
    <cellStyle name="Porcentaje 2 3 3 2 3 2 3" xfId="7083" xr:uid="{00000000-0005-0000-0000-00007F760000}"/>
    <cellStyle name="Porcentaje 2 3 3 2 3 2 3 2" xfId="16943" xr:uid="{00000000-0005-0000-0000-000080760000}"/>
    <cellStyle name="Porcentaje 2 3 3 2 3 2 3 2 2" xfId="36658" xr:uid="{00000000-0005-0000-0000-000081760000}"/>
    <cellStyle name="Porcentaje 2 3 3 2 3 2 3 3" xfId="26801" xr:uid="{00000000-0005-0000-0000-000082760000}"/>
    <cellStyle name="Porcentaje 2 3 3 2 3 2 4" xfId="12015" xr:uid="{00000000-0005-0000-0000-000083760000}"/>
    <cellStyle name="Porcentaje 2 3 3 2 3 2 4 2" xfId="31730" xr:uid="{00000000-0005-0000-0000-000084760000}"/>
    <cellStyle name="Porcentaje 2 3 3 2 3 2 5" xfId="21873" xr:uid="{00000000-0005-0000-0000-000085760000}"/>
    <cellStyle name="Porcentaje 2 3 3 2 3 3" xfId="3383" xr:uid="{00000000-0005-0000-0000-000086760000}"/>
    <cellStyle name="Porcentaje 2 3 3 2 3 3 2" xfId="8315" xr:uid="{00000000-0005-0000-0000-000087760000}"/>
    <cellStyle name="Porcentaje 2 3 3 2 3 3 2 2" xfId="18175" xr:uid="{00000000-0005-0000-0000-000088760000}"/>
    <cellStyle name="Porcentaje 2 3 3 2 3 3 2 2 2" xfId="37890" xr:uid="{00000000-0005-0000-0000-000089760000}"/>
    <cellStyle name="Porcentaje 2 3 3 2 3 3 2 3" xfId="28033" xr:uid="{00000000-0005-0000-0000-00008A760000}"/>
    <cellStyle name="Porcentaje 2 3 3 2 3 3 3" xfId="13247" xr:uid="{00000000-0005-0000-0000-00008B760000}"/>
    <cellStyle name="Porcentaje 2 3 3 2 3 3 3 2" xfId="32962" xr:uid="{00000000-0005-0000-0000-00008C760000}"/>
    <cellStyle name="Porcentaje 2 3 3 2 3 3 4" xfId="23105" xr:uid="{00000000-0005-0000-0000-00008D760000}"/>
    <cellStyle name="Porcentaje 2 3 3 2 3 4" xfId="5851" xr:uid="{00000000-0005-0000-0000-00008E760000}"/>
    <cellStyle name="Porcentaje 2 3 3 2 3 4 2" xfId="15711" xr:uid="{00000000-0005-0000-0000-00008F760000}"/>
    <cellStyle name="Porcentaje 2 3 3 2 3 4 2 2" xfId="35426" xr:uid="{00000000-0005-0000-0000-000090760000}"/>
    <cellStyle name="Porcentaje 2 3 3 2 3 4 3" xfId="25569" xr:uid="{00000000-0005-0000-0000-000091760000}"/>
    <cellStyle name="Porcentaje 2 3 3 2 3 5" xfId="10783" xr:uid="{00000000-0005-0000-0000-000092760000}"/>
    <cellStyle name="Porcentaje 2 3 3 2 3 5 2" xfId="30498" xr:uid="{00000000-0005-0000-0000-000093760000}"/>
    <cellStyle name="Porcentaje 2 3 3 2 3 6" xfId="20641" xr:uid="{00000000-0005-0000-0000-000094760000}"/>
    <cellStyle name="Porcentaje 2 3 3 2 4" xfId="1532" xr:uid="{00000000-0005-0000-0000-000095760000}"/>
    <cellStyle name="Porcentaje 2 3 3 2 4 2" xfId="3999" xr:uid="{00000000-0005-0000-0000-000096760000}"/>
    <cellStyle name="Porcentaje 2 3 3 2 4 2 2" xfId="8931" xr:uid="{00000000-0005-0000-0000-000097760000}"/>
    <cellStyle name="Porcentaje 2 3 3 2 4 2 2 2" xfId="18791" xr:uid="{00000000-0005-0000-0000-000098760000}"/>
    <cellStyle name="Porcentaje 2 3 3 2 4 2 2 2 2" xfId="38506" xr:uid="{00000000-0005-0000-0000-000099760000}"/>
    <cellStyle name="Porcentaje 2 3 3 2 4 2 2 3" xfId="28649" xr:uid="{00000000-0005-0000-0000-00009A760000}"/>
    <cellStyle name="Porcentaje 2 3 3 2 4 2 3" xfId="13863" xr:uid="{00000000-0005-0000-0000-00009B760000}"/>
    <cellStyle name="Porcentaje 2 3 3 2 4 2 3 2" xfId="33578" xr:uid="{00000000-0005-0000-0000-00009C760000}"/>
    <cellStyle name="Porcentaje 2 3 3 2 4 2 4" xfId="23721" xr:uid="{00000000-0005-0000-0000-00009D760000}"/>
    <cellStyle name="Porcentaje 2 3 3 2 4 3" xfId="6467" xr:uid="{00000000-0005-0000-0000-00009E760000}"/>
    <cellStyle name="Porcentaje 2 3 3 2 4 3 2" xfId="16327" xr:uid="{00000000-0005-0000-0000-00009F760000}"/>
    <cellStyle name="Porcentaje 2 3 3 2 4 3 2 2" xfId="36042" xr:uid="{00000000-0005-0000-0000-0000A0760000}"/>
    <cellStyle name="Porcentaje 2 3 3 2 4 3 3" xfId="26185" xr:uid="{00000000-0005-0000-0000-0000A1760000}"/>
    <cellStyle name="Porcentaje 2 3 3 2 4 4" xfId="11399" xr:uid="{00000000-0005-0000-0000-0000A2760000}"/>
    <cellStyle name="Porcentaje 2 3 3 2 4 4 2" xfId="31114" xr:uid="{00000000-0005-0000-0000-0000A3760000}"/>
    <cellStyle name="Porcentaje 2 3 3 2 4 5" xfId="21257" xr:uid="{00000000-0005-0000-0000-0000A4760000}"/>
    <cellStyle name="Porcentaje 2 3 3 2 5" xfId="2767" xr:uid="{00000000-0005-0000-0000-0000A5760000}"/>
    <cellStyle name="Porcentaje 2 3 3 2 5 2" xfId="7699" xr:uid="{00000000-0005-0000-0000-0000A6760000}"/>
    <cellStyle name="Porcentaje 2 3 3 2 5 2 2" xfId="17559" xr:uid="{00000000-0005-0000-0000-0000A7760000}"/>
    <cellStyle name="Porcentaje 2 3 3 2 5 2 2 2" xfId="37274" xr:uid="{00000000-0005-0000-0000-0000A8760000}"/>
    <cellStyle name="Porcentaje 2 3 3 2 5 2 3" xfId="27417" xr:uid="{00000000-0005-0000-0000-0000A9760000}"/>
    <cellStyle name="Porcentaje 2 3 3 2 5 3" xfId="12631" xr:uid="{00000000-0005-0000-0000-0000AA760000}"/>
    <cellStyle name="Porcentaje 2 3 3 2 5 3 2" xfId="32346" xr:uid="{00000000-0005-0000-0000-0000AB760000}"/>
    <cellStyle name="Porcentaje 2 3 3 2 5 4" xfId="22489" xr:uid="{00000000-0005-0000-0000-0000AC760000}"/>
    <cellStyle name="Porcentaje 2 3 3 2 6" xfId="5235" xr:uid="{00000000-0005-0000-0000-0000AD760000}"/>
    <cellStyle name="Porcentaje 2 3 3 2 6 2" xfId="15095" xr:uid="{00000000-0005-0000-0000-0000AE760000}"/>
    <cellStyle name="Porcentaje 2 3 3 2 6 2 2" xfId="34810" xr:uid="{00000000-0005-0000-0000-0000AF760000}"/>
    <cellStyle name="Porcentaje 2 3 3 2 6 3" xfId="24953" xr:uid="{00000000-0005-0000-0000-0000B0760000}"/>
    <cellStyle name="Porcentaje 2 3 3 2 7" xfId="10167" xr:uid="{00000000-0005-0000-0000-0000B1760000}"/>
    <cellStyle name="Porcentaje 2 3 3 2 7 2" xfId="29882" xr:uid="{00000000-0005-0000-0000-0000B2760000}"/>
    <cellStyle name="Porcentaje 2 3 3 2 8" xfId="20025" xr:uid="{00000000-0005-0000-0000-0000B3760000}"/>
    <cellStyle name="Porcentaje 2 3 3 3" xfId="447" xr:uid="{00000000-0005-0000-0000-0000B4760000}"/>
    <cellStyle name="Porcentaje 2 3 3 3 2" xfId="1067" xr:uid="{00000000-0005-0000-0000-0000B5760000}"/>
    <cellStyle name="Porcentaje 2 3 3 3 2 2" xfId="2302" xr:uid="{00000000-0005-0000-0000-0000B6760000}"/>
    <cellStyle name="Porcentaje 2 3 3 3 2 2 2" xfId="4769" xr:uid="{00000000-0005-0000-0000-0000B7760000}"/>
    <cellStyle name="Porcentaje 2 3 3 3 2 2 2 2" xfId="9701" xr:uid="{00000000-0005-0000-0000-0000B8760000}"/>
    <cellStyle name="Porcentaje 2 3 3 3 2 2 2 2 2" xfId="19561" xr:uid="{00000000-0005-0000-0000-0000B9760000}"/>
    <cellStyle name="Porcentaje 2 3 3 3 2 2 2 2 2 2" xfId="39276" xr:uid="{00000000-0005-0000-0000-0000BA760000}"/>
    <cellStyle name="Porcentaje 2 3 3 3 2 2 2 2 3" xfId="29419" xr:uid="{00000000-0005-0000-0000-0000BB760000}"/>
    <cellStyle name="Porcentaje 2 3 3 3 2 2 2 3" xfId="14633" xr:uid="{00000000-0005-0000-0000-0000BC760000}"/>
    <cellStyle name="Porcentaje 2 3 3 3 2 2 2 3 2" xfId="34348" xr:uid="{00000000-0005-0000-0000-0000BD760000}"/>
    <cellStyle name="Porcentaje 2 3 3 3 2 2 2 4" xfId="24491" xr:uid="{00000000-0005-0000-0000-0000BE760000}"/>
    <cellStyle name="Porcentaje 2 3 3 3 2 2 3" xfId="7237" xr:uid="{00000000-0005-0000-0000-0000BF760000}"/>
    <cellStyle name="Porcentaje 2 3 3 3 2 2 3 2" xfId="17097" xr:uid="{00000000-0005-0000-0000-0000C0760000}"/>
    <cellStyle name="Porcentaje 2 3 3 3 2 2 3 2 2" xfId="36812" xr:uid="{00000000-0005-0000-0000-0000C1760000}"/>
    <cellStyle name="Porcentaje 2 3 3 3 2 2 3 3" xfId="26955" xr:uid="{00000000-0005-0000-0000-0000C2760000}"/>
    <cellStyle name="Porcentaje 2 3 3 3 2 2 4" xfId="12169" xr:uid="{00000000-0005-0000-0000-0000C3760000}"/>
    <cellStyle name="Porcentaje 2 3 3 3 2 2 4 2" xfId="31884" xr:uid="{00000000-0005-0000-0000-0000C4760000}"/>
    <cellStyle name="Porcentaje 2 3 3 3 2 2 5" xfId="22027" xr:uid="{00000000-0005-0000-0000-0000C5760000}"/>
    <cellStyle name="Porcentaje 2 3 3 3 2 3" xfId="3537" xr:uid="{00000000-0005-0000-0000-0000C6760000}"/>
    <cellStyle name="Porcentaje 2 3 3 3 2 3 2" xfId="8469" xr:uid="{00000000-0005-0000-0000-0000C7760000}"/>
    <cellStyle name="Porcentaje 2 3 3 3 2 3 2 2" xfId="18329" xr:uid="{00000000-0005-0000-0000-0000C8760000}"/>
    <cellStyle name="Porcentaje 2 3 3 3 2 3 2 2 2" xfId="38044" xr:uid="{00000000-0005-0000-0000-0000C9760000}"/>
    <cellStyle name="Porcentaje 2 3 3 3 2 3 2 3" xfId="28187" xr:uid="{00000000-0005-0000-0000-0000CA760000}"/>
    <cellStyle name="Porcentaje 2 3 3 3 2 3 3" xfId="13401" xr:uid="{00000000-0005-0000-0000-0000CB760000}"/>
    <cellStyle name="Porcentaje 2 3 3 3 2 3 3 2" xfId="33116" xr:uid="{00000000-0005-0000-0000-0000CC760000}"/>
    <cellStyle name="Porcentaje 2 3 3 3 2 3 4" xfId="23259" xr:uid="{00000000-0005-0000-0000-0000CD760000}"/>
    <cellStyle name="Porcentaje 2 3 3 3 2 4" xfId="6005" xr:uid="{00000000-0005-0000-0000-0000CE760000}"/>
    <cellStyle name="Porcentaje 2 3 3 3 2 4 2" xfId="15865" xr:uid="{00000000-0005-0000-0000-0000CF760000}"/>
    <cellStyle name="Porcentaje 2 3 3 3 2 4 2 2" xfId="35580" xr:uid="{00000000-0005-0000-0000-0000D0760000}"/>
    <cellStyle name="Porcentaje 2 3 3 3 2 4 3" xfId="25723" xr:uid="{00000000-0005-0000-0000-0000D1760000}"/>
    <cellStyle name="Porcentaje 2 3 3 3 2 5" xfId="10937" xr:uid="{00000000-0005-0000-0000-0000D2760000}"/>
    <cellStyle name="Porcentaje 2 3 3 3 2 5 2" xfId="30652" xr:uid="{00000000-0005-0000-0000-0000D3760000}"/>
    <cellStyle name="Porcentaje 2 3 3 3 2 6" xfId="20795" xr:uid="{00000000-0005-0000-0000-0000D4760000}"/>
    <cellStyle name="Porcentaje 2 3 3 3 3" xfId="1686" xr:uid="{00000000-0005-0000-0000-0000D5760000}"/>
    <cellStyle name="Porcentaje 2 3 3 3 3 2" xfId="4153" xr:uid="{00000000-0005-0000-0000-0000D6760000}"/>
    <cellStyle name="Porcentaje 2 3 3 3 3 2 2" xfId="9085" xr:uid="{00000000-0005-0000-0000-0000D7760000}"/>
    <cellStyle name="Porcentaje 2 3 3 3 3 2 2 2" xfId="18945" xr:uid="{00000000-0005-0000-0000-0000D8760000}"/>
    <cellStyle name="Porcentaje 2 3 3 3 3 2 2 2 2" xfId="38660" xr:uid="{00000000-0005-0000-0000-0000D9760000}"/>
    <cellStyle name="Porcentaje 2 3 3 3 3 2 2 3" xfId="28803" xr:uid="{00000000-0005-0000-0000-0000DA760000}"/>
    <cellStyle name="Porcentaje 2 3 3 3 3 2 3" xfId="14017" xr:uid="{00000000-0005-0000-0000-0000DB760000}"/>
    <cellStyle name="Porcentaje 2 3 3 3 3 2 3 2" xfId="33732" xr:uid="{00000000-0005-0000-0000-0000DC760000}"/>
    <cellStyle name="Porcentaje 2 3 3 3 3 2 4" xfId="23875" xr:uid="{00000000-0005-0000-0000-0000DD760000}"/>
    <cellStyle name="Porcentaje 2 3 3 3 3 3" xfId="6621" xr:uid="{00000000-0005-0000-0000-0000DE760000}"/>
    <cellStyle name="Porcentaje 2 3 3 3 3 3 2" xfId="16481" xr:uid="{00000000-0005-0000-0000-0000DF760000}"/>
    <cellStyle name="Porcentaje 2 3 3 3 3 3 2 2" xfId="36196" xr:uid="{00000000-0005-0000-0000-0000E0760000}"/>
    <cellStyle name="Porcentaje 2 3 3 3 3 3 3" xfId="26339" xr:uid="{00000000-0005-0000-0000-0000E1760000}"/>
    <cellStyle name="Porcentaje 2 3 3 3 3 4" xfId="11553" xr:uid="{00000000-0005-0000-0000-0000E2760000}"/>
    <cellStyle name="Porcentaje 2 3 3 3 3 4 2" xfId="31268" xr:uid="{00000000-0005-0000-0000-0000E3760000}"/>
    <cellStyle name="Porcentaje 2 3 3 3 3 5" xfId="21411" xr:uid="{00000000-0005-0000-0000-0000E4760000}"/>
    <cellStyle name="Porcentaje 2 3 3 3 4" xfId="2921" xr:uid="{00000000-0005-0000-0000-0000E5760000}"/>
    <cellStyle name="Porcentaje 2 3 3 3 4 2" xfId="7853" xr:uid="{00000000-0005-0000-0000-0000E6760000}"/>
    <cellStyle name="Porcentaje 2 3 3 3 4 2 2" xfId="17713" xr:uid="{00000000-0005-0000-0000-0000E7760000}"/>
    <cellStyle name="Porcentaje 2 3 3 3 4 2 2 2" xfId="37428" xr:uid="{00000000-0005-0000-0000-0000E8760000}"/>
    <cellStyle name="Porcentaje 2 3 3 3 4 2 3" xfId="27571" xr:uid="{00000000-0005-0000-0000-0000E9760000}"/>
    <cellStyle name="Porcentaje 2 3 3 3 4 3" xfId="12785" xr:uid="{00000000-0005-0000-0000-0000EA760000}"/>
    <cellStyle name="Porcentaje 2 3 3 3 4 3 2" xfId="32500" xr:uid="{00000000-0005-0000-0000-0000EB760000}"/>
    <cellStyle name="Porcentaje 2 3 3 3 4 4" xfId="22643" xr:uid="{00000000-0005-0000-0000-0000EC760000}"/>
    <cellStyle name="Porcentaje 2 3 3 3 5" xfId="5389" xr:uid="{00000000-0005-0000-0000-0000ED760000}"/>
    <cellStyle name="Porcentaje 2 3 3 3 5 2" xfId="15249" xr:uid="{00000000-0005-0000-0000-0000EE760000}"/>
    <cellStyle name="Porcentaje 2 3 3 3 5 2 2" xfId="34964" xr:uid="{00000000-0005-0000-0000-0000EF760000}"/>
    <cellStyle name="Porcentaje 2 3 3 3 5 3" xfId="25107" xr:uid="{00000000-0005-0000-0000-0000F0760000}"/>
    <cellStyle name="Porcentaje 2 3 3 3 6" xfId="10321" xr:uid="{00000000-0005-0000-0000-0000F1760000}"/>
    <cellStyle name="Porcentaje 2 3 3 3 6 2" xfId="30036" xr:uid="{00000000-0005-0000-0000-0000F2760000}"/>
    <cellStyle name="Porcentaje 2 3 3 3 7" xfId="20179" xr:uid="{00000000-0005-0000-0000-0000F3760000}"/>
    <cellStyle name="Porcentaje 2 3 3 4" xfId="760" xr:uid="{00000000-0005-0000-0000-0000F4760000}"/>
    <cellStyle name="Porcentaje 2 3 3 4 2" xfId="1996" xr:uid="{00000000-0005-0000-0000-0000F5760000}"/>
    <cellStyle name="Porcentaje 2 3 3 4 2 2" xfId="4463" xr:uid="{00000000-0005-0000-0000-0000F6760000}"/>
    <cellStyle name="Porcentaje 2 3 3 4 2 2 2" xfId="9395" xr:uid="{00000000-0005-0000-0000-0000F7760000}"/>
    <cellStyle name="Porcentaje 2 3 3 4 2 2 2 2" xfId="19255" xr:uid="{00000000-0005-0000-0000-0000F8760000}"/>
    <cellStyle name="Porcentaje 2 3 3 4 2 2 2 2 2" xfId="38970" xr:uid="{00000000-0005-0000-0000-0000F9760000}"/>
    <cellStyle name="Porcentaje 2 3 3 4 2 2 2 3" xfId="29113" xr:uid="{00000000-0005-0000-0000-0000FA760000}"/>
    <cellStyle name="Porcentaje 2 3 3 4 2 2 3" xfId="14327" xr:uid="{00000000-0005-0000-0000-0000FB760000}"/>
    <cellStyle name="Porcentaje 2 3 3 4 2 2 3 2" xfId="34042" xr:uid="{00000000-0005-0000-0000-0000FC760000}"/>
    <cellStyle name="Porcentaje 2 3 3 4 2 2 4" xfId="24185" xr:uid="{00000000-0005-0000-0000-0000FD760000}"/>
    <cellStyle name="Porcentaje 2 3 3 4 2 3" xfId="6931" xr:uid="{00000000-0005-0000-0000-0000FE760000}"/>
    <cellStyle name="Porcentaje 2 3 3 4 2 3 2" xfId="16791" xr:uid="{00000000-0005-0000-0000-0000FF760000}"/>
    <cellStyle name="Porcentaje 2 3 3 4 2 3 2 2" xfId="36506" xr:uid="{00000000-0005-0000-0000-000000770000}"/>
    <cellStyle name="Porcentaje 2 3 3 4 2 3 3" xfId="26649" xr:uid="{00000000-0005-0000-0000-000001770000}"/>
    <cellStyle name="Porcentaje 2 3 3 4 2 4" xfId="11863" xr:uid="{00000000-0005-0000-0000-000002770000}"/>
    <cellStyle name="Porcentaje 2 3 3 4 2 4 2" xfId="31578" xr:uid="{00000000-0005-0000-0000-000003770000}"/>
    <cellStyle name="Porcentaje 2 3 3 4 2 5" xfId="21721" xr:uid="{00000000-0005-0000-0000-000004770000}"/>
    <cellStyle name="Porcentaje 2 3 3 4 3" xfId="3231" xr:uid="{00000000-0005-0000-0000-000005770000}"/>
    <cellStyle name="Porcentaje 2 3 3 4 3 2" xfId="8163" xr:uid="{00000000-0005-0000-0000-000006770000}"/>
    <cellStyle name="Porcentaje 2 3 3 4 3 2 2" xfId="18023" xr:uid="{00000000-0005-0000-0000-000007770000}"/>
    <cellStyle name="Porcentaje 2 3 3 4 3 2 2 2" xfId="37738" xr:uid="{00000000-0005-0000-0000-000008770000}"/>
    <cellStyle name="Porcentaje 2 3 3 4 3 2 3" xfId="27881" xr:uid="{00000000-0005-0000-0000-000009770000}"/>
    <cellStyle name="Porcentaje 2 3 3 4 3 3" xfId="13095" xr:uid="{00000000-0005-0000-0000-00000A770000}"/>
    <cellStyle name="Porcentaje 2 3 3 4 3 3 2" xfId="32810" xr:uid="{00000000-0005-0000-0000-00000B770000}"/>
    <cellStyle name="Porcentaje 2 3 3 4 3 4" xfId="22953" xr:uid="{00000000-0005-0000-0000-00000C770000}"/>
    <cellStyle name="Porcentaje 2 3 3 4 4" xfId="5699" xr:uid="{00000000-0005-0000-0000-00000D770000}"/>
    <cellStyle name="Porcentaje 2 3 3 4 4 2" xfId="15559" xr:uid="{00000000-0005-0000-0000-00000E770000}"/>
    <cellStyle name="Porcentaje 2 3 3 4 4 2 2" xfId="35274" xr:uid="{00000000-0005-0000-0000-00000F770000}"/>
    <cellStyle name="Porcentaje 2 3 3 4 4 3" xfId="25417" xr:uid="{00000000-0005-0000-0000-000010770000}"/>
    <cellStyle name="Porcentaje 2 3 3 4 5" xfId="10631" xr:uid="{00000000-0005-0000-0000-000011770000}"/>
    <cellStyle name="Porcentaje 2 3 3 4 5 2" xfId="30346" xr:uid="{00000000-0005-0000-0000-000012770000}"/>
    <cellStyle name="Porcentaje 2 3 3 4 6" xfId="20489" xr:uid="{00000000-0005-0000-0000-000013770000}"/>
    <cellStyle name="Porcentaje 2 3 3 5" xfId="1380" xr:uid="{00000000-0005-0000-0000-000014770000}"/>
    <cellStyle name="Porcentaje 2 3 3 5 2" xfId="3847" xr:uid="{00000000-0005-0000-0000-000015770000}"/>
    <cellStyle name="Porcentaje 2 3 3 5 2 2" xfId="8779" xr:uid="{00000000-0005-0000-0000-000016770000}"/>
    <cellStyle name="Porcentaje 2 3 3 5 2 2 2" xfId="18639" xr:uid="{00000000-0005-0000-0000-000017770000}"/>
    <cellStyle name="Porcentaje 2 3 3 5 2 2 2 2" xfId="38354" xr:uid="{00000000-0005-0000-0000-000018770000}"/>
    <cellStyle name="Porcentaje 2 3 3 5 2 2 3" xfId="28497" xr:uid="{00000000-0005-0000-0000-000019770000}"/>
    <cellStyle name="Porcentaje 2 3 3 5 2 3" xfId="13711" xr:uid="{00000000-0005-0000-0000-00001A770000}"/>
    <cellStyle name="Porcentaje 2 3 3 5 2 3 2" xfId="33426" xr:uid="{00000000-0005-0000-0000-00001B770000}"/>
    <cellStyle name="Porcentaje 2 3 3 5 2 4" xfId="23569" xr:uid="{00000000-0005-0000-0000-00001C770000}"/>
    <cellStyle name="Porcentaje 2 3 3 5 3" xfId="6315" xr:uid="{00000000-0005-0000-0000-00001D770000}"/>
    <cellStyle name="Porcentaje 2 3 3 5 3 2" xfId="16175" xr:uid="{00000000-0005-0000-0000-00001E770000}"/>
    <cellStyle name="Porcentaje 2 3 3 5 3 2 2" xfId="35890" xr:uid="{00000000-0005-0000-0000-00001F770000}"/>
    <cellStyle name="Porcentaje 2 3 3 5 3 3" xfId="26033" xr:uid="{00000000-0005-0000-0000-000020770000}"/>
    <cellStyle name="Porcentaje 2 3 3 5 4" xfId="11247" xr:uid="{00000000-0005-0000-0000-000021770000}"/>
    <cellStyle name="Porcentaje 2 3 3 5 4 2" xfId="30962" xr:uid="{00000000-0005-0000-0000-000022770000}"/>
    <cellStyle name="Porcentaje 2 3 3 5 5" xfId="21105" xr:uid="{00000000-0005-0000-0000-000023770000}"/>
    <cellStyle name="Porcentaje 2 3 3 6" xfId="2615" xr:uid="{00000000-0005-0000-0000-000024770000}"/>
    <cellStyle name="Porcentaje 2 3 3 6 2" xfId="7547" xr:uid="{00000000-0005-0000-0000-000025770000}"/>
    <cellStyle name="Porcentaje 2 3 3 6 2 2" xfId="17407" xr:uid="{00000000-0005-0000-0000-000026770000}"/>
    <cellStyle name="Porcentaje 2 3 3 6 2 2 2" xfId="37122" xr:uid="{00000000-0005-0000-0000-000027770000}"/>
    <cellStyle name="Porcentaje 2 3 3 6 2 3" xfId="27265" xr:uid="{00000000-0005-0000-0000-000028770000}"/>
    <cellStyle name="Porcentaje 2 3 3 6 3" xfId="12479" xr:uid="{00000000-0005-0000-0000-000029770000}"/>
    <cellStyle name="Porcentaje 2 3 3 6 3 2" xfId="32194" xr:uid="{00000000-0005-0000-0000-00002A770000}"/>
    <cellStyle name="Porcentaje 2 3 3 6 4" xfId="22337" xr:uid="{00000000-0005-0000-0000-00002B770000}"/>
    <cellStyle name="Porcentaje 2 3 3 7" xfId="5083" xr:uid="{00000000-0005-0000-0000-00002C770000}"/>
    <cellStyle name="Porcentaje 2 3 3 7 2" xfId="14943" xr:uid="{00000000-0005-0000-0000-00002D770000}"/>
    <cellStyle name="Porcentaje 2 3 3 7 2 2" xfId="34658" xr:uid="{00000000-0005-0000-0000-00002E770000}"/>
    <cellStyle name="Porcentaje 2 3 3 7 3" xfId="24801" xr:uid="{00000000-0005-0000-0000-00002F770000}"/>
    <cellStyle name="Porcentaje 2 3 3 8" xfId="10015" xr:uid="{00000000-0005-0000-0000-000030770000}"/>
    <cellStyle name="Porcentaje 2 3 3 8 2" xfId="29730" xr:uid="{00000000-0005-0000-0000-000031770000}"/>
    <cellStyle name="Porcentaje 2 3 3 9" xfId="19873" xr:uid="{00000000-0005-0000-0000-000032770000}"/>
    <cellStyle name="Porcentaje 2 3 4" xfId="209" xr:uid="{00000000-0005-0000-0000-000033770000}"/>
    <cellStyle name="Porcentaje 2 3 4 2" xfId="523" xr:uid="{00000000-0005-0000-0000-000034770000}"/>
    <cellStyle name="Porcentaje 2 3 4 2 2" xfId="1143" xr:uid="{00000000-0005-0000-0000-000035770000}"/>
    <cellStyle name="Porcentaje 2 3 4 2 2 2" xfId="2378" xr:uid="{00000000-0005-0000-0000-000036770000}"/>
    <cellStyle name="Porcentaje 2 3 4 2 2 2 2" xfId="4845" xr:uid="{00000000-0005-0000-0000-000037770000}"/>
    <cellStyle name="Porcentaje 2 3 4 2 2 2 2 2" xfId="9777" xr:uid="{00000000-0005-0000-0000-000038770000}"/>
    <cellStyle name="Porcentaje 2 3 4 2 2 2 2 2 2" xfId="19637" xr:uid="{00000000-0005-0000-0000-000039770000}"/>
    <cellStyle name="Porcentaje 2 3 4 2 2 2 2 2 2 2" xfId="39352" xr:uid="{00000000-0005-0000-0000-00003A770000}"/>
    <cellStyle name="Porcentaje 2 3 4 2 2 2 2 2 3" xfId="29495" xr:uid="{00000000-0005-0000-0000-00003B770000}"/>
    <cellStyle name="Porcentaje 2 3 4 2 2 2 2 3" xfId="14709" xr:uid="{00000000-0005-0000-0000-00003C770000}"/>
    <cellStyle name="Porcentaje 2 3 4 2 2 2 2 3 2" xfId="34424" xr:uid="{00000000-0005-0000-0000-00003D770000}"/>
    <cellStyle name="Porcentaje 2 3 4 2 2 2 2 4" xfId="24567" xr:uid="{00000000-0005-0000-0000-00003E770000}"/>
    <cellStyle name="Porcentaje 2 3 4 2 2 2 3" xfId="7313" xr:uid="{00000000-0005-0000-0000-00003F770000}"/>
    <cellStyle name="Porcentaje 2 3 4 2 2 2 3 2" xfId="17173" xr:uid="{00000000-0005-0000-0000-000040770000}"/>
    <cellStyle name="Porcentaje 2 3 4 2 2 2 3 2 2" xfId="36888" xr:uid="{00000000-0005-0000-0000-000041770000}"/>
    <cellStyle name="Porcentaje 2 3 4 2 2 2 3 3" xfId="27031" xr:uid="{00000000-0005-0000-0000-000042770000}"/>
    <cellStyle name="Porcentaje 2 3 4 2 2 2 4" xfId="12245" xr:uid="{00000000-0005-0000-0000-000043770000}"/>
    <cellStyle name="Porcentaje 2 3 4 2 2 2 4 2" xfId="31960" xr:uid="{00000000-0005-0000-0000-000044770000}"/>
    <cellStyle name="Porcentaje 2 3 4 2 2 2 5" xfId="22103" xr:uid="{00000000-0005-0000-0000-000045770000}"/>
    <cellStyle name="Porcentaje 2 3 4 2 2 3" xfId="3613" xr:uid="{00000000-0005-0000-0000-000046770000}"/>
    <cellStyle name="Porcentaje 2 3 4 2 2 3 2" xfId="8545" xr:uid="{00000000-0005-0000-0000-000047770000}"/>
    <cellStyle name="Porcentaje 2 3 4 2 2 3 2 2" xfId="18405" xr:uid="{00000000-0005-0000-0000-000048770000}"/>
    <cellStyle name="Porcentaje 2 3 4 2 2 3 2 2 2" xfId="38120" xr:uid="{00000000-0005-0000-0000-000049770000}"/>
    <cellStyle name="Porcentaje 2 3 4 2 2 3 2 3" xfId="28263" xr:uid="{00000000-0005-0000-0000-00004A770000}"/>
    <cellStyle name="Porcentaje 2 3 4 2 2 3 3" xfId="13477" xr:uid="{00000000-0005-0000-0000-00004B770000}"/>
    <cellStyle name="Porcentaje 2 3 4 2 2 3 3 2" xfId="33192" xr:uid="{00000000-0005-0000-0000-00004C770000}"/>
    <cellStyle name="Porcentaje 2 3 4 2 2 3 4" xfId="23335" xr:uid="{00000000-0005-0000-0000-00004D770000}"/>
    <cellStyle name="Porcentaje 2 3 4 2 2 4" xfId="6081" xr:uid="{00000000-0005-0000-0000-00004E770000}"/>
    <cellStyle name="Porcentaje 2 3 4 2 2 4 2" xfId="15941" xr:uid="{00000000-0005-0000-0000-00004F770000}"/>
    <cellStyle name="Porcentaje 2 3 4 2 2 4 2 2" xfId="35656" xr:uid="{00000000-0005-0000-0000-000050770000}"/>
    <cellStyle name="Porcentaje 2 3 4 2 2 4 3" xfId="25799" xr:uid="{00000000-0005-0000-0000-000051770000}"/>
    <cellStyle name="Porcentaje 2 3 4 2 2 5" xfId="11013" xr:uid="{00000000-0005-0000-0000-000052770000}"/>
    <cellStyle name="Porcentaje 2 3 4 2 2 5 2" xfId="30728" xr:uid="{00000000-0005-0000-0000-000053770000}"/>
    <cellStyle name="Porcentaje 2 3 4 2 2 6" xfId="20871" xr:uid="{00000000-0005-0000-0000-000054770000}"/>
    <cellStyle name="Porcentaje 2 3 4 2 3" xfId="1762" xr:uid="{00000000-0005-0000-0000-000055770000}"/>
    <cellStyle name="Porcentaje 2 3 4 2 3 2" xfId="4229" xr:uid="{00000000-0005-0000-0000-000056770000}"/>
    <cellStyle name="Porcentaje 2 3 4 2 3 2 2" xfId="9161" xr:uid="{00000000-0005-0000-0000-000057770000}"/>
    <cellStyle name="Porcentaje 2 3 4 2 3 2 2 2" xfId="19021" xr:uid="{00000000-0005-0000-0000-000058770000}"/>
    <cellStyle name="Porcentaje 2 3 4 2 3 2 2 2 2" xfId="38736" xr:uid="{00000000-0005-0000-0000-000059770000}"/>
    <cellStyle name="Porcentaje 2 3 4 2 3 2 2 3" xfId="28879" xr:uid="{00000000-0005-0000-0000-00005A770000}"/>
    <cellStyle name="Porcentaje 2 3 4 2 3 2 3" xfId="14093" xr:uid="{00000000-0005-0000-0000-00005B770000}"/>
    <cellStyle name="Porcentaje 2 3 4 2 3 2 3 2" xfId="33808" xr:uid="{00000000-0005-0000-0000-00005C770000}"/>
    <cellStyle name="Porcentaje 2 3 4 2 3 2 4" xfId="23951" xr:uid="{00000000-0005-0000-0000-00005D770000}"/>
    <cellStyle name="Porcentaje 2 3 4 2 3 3" xfId="6697" xr:uid="{00000000-0005-0000-0000-00005E770000}"/>
    <cellStyle name="Porcentaje 2 3 4 2 3 3 2" xfId="16557" xr:uid="{00000000-0005-0000-0000-00005F770000}"/>
    <cellStyle name="Porcentaje 2 3 4 2 3 3 2 2" xfId="36272" xr:uid="{00000000-0005-0000-0000-000060770000}"/>
    <cellStyle name="Porcentaje 2 3 4 2 3 3 3" xfId="26415" xr:uid="{00000000-0005-0000-0000-000061770000}"/>
    <cellStyle name="Porcentaje 2 3 4 2 3 4" xfId="11629" xr:uid="{00000000-0005-0000-0000-000062770000}"/>
    <cellStyle name="Porcentaje 2 3 4 2 3 4 2" xfId="31344" xr:uid="{00000000-0005-0000-0000-000063770000}"/>
    <cellStyle name="Porcentaje 2 3 4 2 3 5" xfId="21487" xr:uid="{00000000-0005-0000-0000-000064770000}"/>
    <cellStyle name="Porcentaje 2 3 4 2 4" xfId="2997" xr:uid="{00000000-0005-0000-0000-000065770000}"/>
    <cellStyle name="Porcentaje 2 3 4 2 4 2" xfId="7929" xr:uid="{00000000-0005-0000-0000-000066770000}"/>
    <cellStyle name="Porcentaje 2 3 4 2 4 2 2" xfId="17789" xr:uid="{00000000-0005-0000-0000-000067770000}"/>
    <cellStyle name="Porcentaje 2 3 4 2 4 2 2 2" xfId="37504" xr:uid="{00000000-0005-0000-0000-000068770000}"/>
    <cellStyle name="Porcentaje 2 3 4 2 4 2 3" xfId="27647" xr:uid="{00000000-0005-0000-0000-000069770000}"/>
    <cellStyle name="Porcentaje 2 3 4 2 4 3" xfId="12861" xr:uid="{00000000-0005-0000-0000-00006A770000}"/>
    <cellStyle name="Porcentaje 2 3 4 2 4 3 2" xfId="32576" xr:uid="{00000000-0005-0000-0000-00006B770000}"/>
    <cellStyle name="Porcentaje 2 3 4 2 4 4" xfId="22719" xr:uid="{00000000-0005-0000-0000-00006C770000}"/>
    <cellStyle name="Porcentaje 2 3 4 2 5" xfId="5465" xr:uid="{00000000-0005-0000-0000-00006D770000}"/>
    <cellStyle name="Porcentaje 2 3 4 2 5 2" xfId="15325" xr:uid="{00000000-0005-0000-0000-00006E770000}"/>
    <cellStyle name="Porcentaje 2 3 4 2 5 2 2" xfId="35040" xr:uid="{00000000-0005-0000-0000-00006F770000}"/>
    <cellStyle name="Porcentaje 2 3 4 2 5 3" xfId="25183" xr:uid="{00000000-0005-0000-0000-000070770000}"/>
    <cellStyle name="Porcentaje 2 3 4 2 6" xfId="10397" xr:uid="{00000000-0005-0000-0000-000071770000}"/>
    <cellStyle name="Porcentaje 2 3 4 2 6 2" xfId="30112" xr:uid="{00000000-0005-0000-0000-000072770000}"/>
    <cellStyle name="Porcentaje 2 3 4 2 7" xfId="20255" xr:uid="{00000000-0005-0000-0000-000073770000}"/>
    <cellStyle name="Porcentaje 2 3 4 3" xfId="836" xr:uid="{00000000-0005-0000-0000-000074770000}"/>
    <cellStyle name="Porcentaje 2 3 4 3 2" xfId="2072" xr:uid="{00000000-0005-0000-0000-000075770000}"/>
    <cellStyle name="Porcentaje 2 3 4 3 2 2" xfId="4539" xr:uid="{00000000-0005-0000-0000-000076770000}"/>
    <cellStyle name="Porcentaje 2 3 4 3 2 2 2" xfId="9471" xr:uid="{00000000-0005-0000-0000-000077770000}"/>
    <cellStyle name="Porcentaje 2 3 4 3 2 2 2 2" xfId="19331" xr:uid="{00000000-0005-0000-0000-000078770000}"/>
    <cellStyle name="Porcentaje 2 3 4 3 2 2 2 2 2" xfId="39046" xr:uid="{00000000-0005-0000-0000-000079770000}"/>
    <cellStyle name="Porcentaje 2 3 4 3 2 2 2 3" xfId="29189" xr:uid="{00000000-0005-0000-0000-00007A770000}"/>
    <cellStyle name="Porcentaje 2 3 4 3 2 2 3" xfId="14403" xr:uid="{00000000-0005-0000-0000-00007B770000}"/>
    <cellStyle name="Porcentaje 2 3 4 3 2 2 3 2" xfId="34118" xr:uid="{00000000-0005-0000-0000-00007C770000}"/>
    <cellStyle name="Porcentaje 2 3 4 3 2 2 4" xfId="24261" xr:uid="{00000000-0005-0000-0000-00007D770000}"/>
    <cellStyle name="Porcentaje 2 3 4 3 2 3" xfId="7007" xr:uid="{00000000-0005-0000-0000-00007E770000}"/>
    <cellStyle name="Porcentaje 2 3 4 3 2 3 2" xfId="16867" xr:uid="{00000000-0005-0000-0000-00007F770000}"/>
    <cellStyle name="Porcentaje 2 3 4 3 2 3 2 2" xfId="36582" xr:uid="{00000000-0005-0000-0000-000080770000}"/>
    <cellStyle name="Porcentaje 2 3 4 3 2 3 3" xfId="26725" xr:uid="{00000000-0005-0000-0000-000081770000}"/>
    <cellStyle name="Porcentaje 2 3 4 3 2 4" xfId="11939" xr:uid="{00000000-0005-0000-0000-000082770000}"/>
    <cellStyle name="Porcentaje 2 3 4 3 2 4 2" xfId="31654" xr:uid="{00000000-0005-0000-0000-000083770000}"/>
    <cellStyle name="Porcentaje 2 3 4 3 2 5" xfId="21797" xr:uid="{00000000-0005-0000-0000-000084770000}"/>
    <cellStyle name="Porcentaje 2 3 4 3 3" xfId="3307" xr:uid="{00000000-0005-0000-0000-000085770000}"/>
    <cellStyle name="Porcentaje 2 3 4 3 3 2" xfId="8239" xr:uid="{00000000-0005-0000-0000-000086770000}"/>
    <cellStyle name="Porcentaje 2 3 4 3 3 2 2" xfId="18099" xr:uid="{00000000-0005-0000-0000-000087770000}"/>
    <cellStyle name="Porcentaje 2 3 4 3 3 2 2 2" xfId="37814" xr:uid="{00000000-0005-0000-0000-000088770000}"/>
    <cellStyle name="Porcentaje 2 3 4 3 3 2 3" xfId="27957" xr:uid="{00000000-0005-0000-0000-000089770000}"/>
    <cellStyle name="Porcentaje 2 3 4 3 3 3" xfId="13171" xr:uid="{00000000-0005-0000-0000-00008A770000}"/>
    <cellStyle name="Porcentaje 2 3 4 3 3 3 2" xfId="32886" xr:uid="{00000000-0005-0000-0000-00008B770000}"/>
    <cellStyle name="Porcentaje 2 3 4 3 3 4" xfId="23029" xr:uid="{00000000-0005-0000-0000-00008C770000}"/>
    <cellStyle name="Porcentaje 2 3 4 3 4" xfId="5775" xr:uid="{00000000-0005-0000-0000-00008D770000}"/>
    <cellStyle name="Porcentaje 2 3 4 3 4 2" xfId="15635" xr:uid="{00000000-0005-0000-0000-00008E770000}"/>
    <cellStyle name="Porcentaje 2 3 4 3 4 2 2" xfId="35350" xr:uid="{00000000-0005-0000-0000-00008F770000}"/>
    <cellStyle name="Porcentaje 2 3 4 3 4 3" xfId="25493" xr:uid="{00000000-0005-0000-0000-000090770000}"/>
    <cellStyle name="Porcentaje 2 3 4 3 5" xfId="10707" xr:uid="{00000000-0005-0000-0000-000091770000}"/>
    <cellStyle name="Porcentaje 2 3 4 3 5 2" xfId="30422" xr:uid="{00000000-0005-0000-0000-000092770000}"/>
    <cellStyle name="Porcentaje 2 3 4 3 6" xfId="20565" xr:uid="{00000000-0005-0000-0000-000093770000}"/>
    <cellStyle name="Porcentaje 2 3 4 4" xfId="1456" xr:uid="{00000000-0005-0000-0000-000094770000}"/>
    <cellStyle name="Porcentaje 2 3 4 4 2" xfId="3923" xr:uid="{00000000-0005-0000-0000-000095770000}"/>
    <cellStyle name="Porcentaje 2 3 4 4 2 2" xfId="8855" xr:uid="{00000000-0005-0000-0000-000096770000}"/>
    <cellStyle name="Porcentaje 2 3 4 4 2 2 2" xfId="18715" xr:uid="{00000000-0005-0000-0000-000097770000}"/>
    <cellStyle name="Porcentaje 2 3 4 4 2 2 2 2" xfId="38430" xr:uid="{00000000-0005-0000-0000-000098770000}"/>
    <cellStyle name="Porcentaje 2 3 4 4 2 2 3" xfId="28573" xr:uid="{00000000-0005-0000-0000-000099770000}"/>
    <cellStyle name="Porcentaje 2 3 4 4 2 3" xfId="13787" xr:uid="{00000000-0005-0000-0000-00009A770000}"/>
    <cellStyle name="Porcentaje 2 3 4 4 2 3 2" xfId="33502" xr:uid="{00000000-0005-0000-0000-00009B770000}"/>
    <cellStyle name="Porcentaje 2 3 4 4 2 4" xfId="23645" xr:uid="{00000000-0005-0000-0000-00009C770000}"/>
    <cellStyle name="Porcentaje 2 3 4 4 3" xfId="6391" xr:uid="{00000000-0005-0000-0000-00009D770000}"/>
    <cellStyle name="Porcentaje 2 3 4 4 3 2" xfId="16251" xr:uid="{00000000-0005-0000-0000-00009E770000}"/>
    <cellStyle name="Porcentaje 2 3 4 4 3 2 2" xfId="35966" xr:uid="{00000000-0005-0000-0000-00009F770000}"/>
    <cellStyle name="Porcentaje 2 3 4 4 3 3" xfId="26109" xr:uid="{00000000-0005-0000-0000-0000A0770000}"/>
    <cellStyle name="Porcentaje 2 3 4 4 4" xfId="11323" xr:uid="{00000000-0005-0000-0000-0000A1770000}"/>
    <cellStyle name="Porcentaje 2 3 4 4 4 2" xfId="31038" xr:uid="{00000000-0005-0000-0000-0000A2770000}"/>
    <cellStyle name="Porcentaje 2 3 4 4 5" xfId="21181" xr:uid="{00000000-0005-0000-0000-0000A3770000}"/>
    <cellStyle name="Porcentaje 2 3 4 5" xfId="2691" xr:uid="{00000000-0005-0000-0000-0000A4770000}"/>
    <cellStyle name="Porcentaje 2 3 4 5 2" xfId="7623" xr:uid="{00000000-0005-0000-0000-0000A5770000}"/>
    <cellStyle name="Porcentaje 2 3 4 5 2 2" xfId="17483" xr:uid="{00000000-0005-0000-0000-0000A6770000}"/>
    <cellStyle name="Porcentaje 2 3 4 5 2 2 2" xfId="37198" xr:uid="{00000000-0005-0000-0000-0000A7770000}"/>
    <cellStyle name="Porcentaje 2 3 4 5 2 3" xfId="27341" xr:uid="{00000000-0005-0000-0000-0000A8770000}"/>
    <cellStyle name="Porcentaje 2 3 4 5 3" xfId="12555" xr:uid="{00000000-0005-0000-0000-0000A9770000}"/>
    <cellStyle name="Porcentaje 2 3 4 5 3 2" xfId="32270" xr:uid="{00000000-0005-0000-0000-0000AA770000}"/>
    <cellStyle name="Porcentaje 2 3 4 5 4" xfId="22413" xr:uid="{00000000-0005-0000-0000-0000AB770000}"/>
    <cellStyle name="Porcentaje 2 3 4 6" xfId="5159" xr:uid="{00000000-0005-0000-0000-0000AC770000}"/>
    <cellStyle name="Porcentaje 2 3 4 6 2" xfId="15019" xr:uid="{00000000-0005-0000-0000-0000AD770000}"/>
    <cellStyle name="Porcentaje 2 3 4 6 2 2" xfId="34734" xr:uid="{00000000-0005-0000-0000-0000AE770000}"/>
    <cellStyle name="Porcentaje 2 3 4 6 3" xfId="24877" xr:uid="{00000000-0005-0000-0000-0000AF770000}"/>
    <cellStyle name="Porcentaje 2 3 4 7" xfId="10091" xr:uid="{00000000-0005-0000-0000-0000B0770000}"/>
    <cellStyle name="Porcentaje 2 3 4 7 2" xfId="29806" xr:uid="{00000000-0005-0000-0000-0000B1770000}"/>
    <cellStyle name="Porcentaje 2 3 4 8" xfId="19949" xr:uid="{00000000-0005-0000-0000-0000B2770000}"/>
    <cellStyle name="Porcentaje 2 3 5" xfId="371" xr:uid="{00000000-0005-0000-0000-0000B3770000}"/>
    <cellStyle name="Porcentaje 2 3 5 2" xfId="991" xr:uid="{00000000-0005-0000-0000-0000B4770000}"/>
    <cellStyle name="Porcentaje 2 3 5 2 2" xfId="2226" xr:uid="{00000000-0005-0000-0000-0000B5770000}"/>
    <cellStyle name="Porcentaje 2 3 5 2 2 2" xfId="4693" xr:uid="{00000000-0005-0000-0000-0000B6770000}"/>
    <cellStyle name="Porcentaje 2 3 5 2 2 2 2" xfId="9625" xr:uid="{00000000-0005-0000-0000-0000B7770000}"/>
    <cellStyle name="Porcentaje 2 3 5 2 2 2 2 2" xfId="19485" xr:uid="{00000000-0005-0000-0000-0000B8770000}"/>
    <cellStyle name="Porcentaje 2 3 5 2 2 2 2 2 2" xfId="39200" xr:uid="{00000000-0005-0000-0000-0000B9770000}"/>
    <cellStyle name="Porcentaje 2 3 5 2 2 2 2 3" xfId="29343" xr:uid="{00000000-0005-0000-0000-0000BA770000}"/>
    <cellStyle name="Porcentaje 2 3 5 2 2 2 3" xfId="14557" xr:uid="{00000000-0005-0000-0000-0000BB770000}"/>
    <cellStyle name="Porcentaje 2 3 5 2 2 2 3 2" xfId="34272" xr:uid="{00000000-0005-0000-0000-0000BC770000}"/>
    <cellStyle name="Porcentaje 2 3 5 2 2 2 4" xfId="24415" xr:uid="{00000000-0005-0000-0000-0000BD770000}"/>
    <cellStyle name="Porcentaje 2 3 5 2 2 3" xfId="7161" xr:uid="{00000000-0005-0000-0000-0000BE770000}"/>
    <cellStyle name="Porcentaje 2 3 5 2 2 3 2" xfId="17021" xr:uid="{00000000-0005-0000-0000-0000BF770000}"/>
    <cellStyle name="Porcentaje 2 3 5 2 2 3 2 2" xfId="36736" xr:uid="{00000000-0005-0000-0000-0000C0770000}"/>
    <cellStyle name="Porcentaje 2 3 5 2 2 3 3" xfId="26879" xr:uid="{00000000-0005-0000-0000-0000C1770000}"/>
    <cellStyle name="Porcentaje 2 3 5 2 2 4" xfId="12093" xr:uid="{00000000-0005-0000-0000-0000C2770000}"/>
    <cellStyle name="Porcentaje 2 3 5 2 2 4 2" xfId="31808" xr:uid="{00000000-0005-0000-0000-0000C3770000}"/>
    <cellStyle name="Porcentaje 2 3 5 2 2 5" xfId="21951" xr:uid="{00000000-0005-0000-0000-0000C4770000}"/>
    <cellStyle name="Porcentaje 2 3 5 2 3" xfId="3461" xr:uid="{00000000-0005-0000-0000-0000C5770000}"/>
    <cellStyle name="Porcentaje 2 3 5 2 3 2" xfId="8393" xr:uid="{00000000-0005-0000-0000-0000C6770000}"/>
    <cellStyle name="Porcentaje 2 3 5 2 3 2 2" xfId="18253" xr:uid="{00000000-0005-0000-0000-0000C7770000}"/>
    <cellStyle name="Porcentaje 2 3 5 2 3 2 2 2" xfId="37968" xr:uid="{00000000-0005-0000-0000-0000C8770000}"/>
    <cellStyle name="Porcentaje 2 3 5 2 3 2 3" xfId="28111" xr:uid="{00000000-0005-0000-0000-0000C9770000}"/>
    <cellStyle name="Porcentaje 2 3 5 2 3 3" xfId="13325" xr:uid="{00000000-0005-0000-0000-0000CA770000}"/>
    <cellStyle name="Porcentaje 2 3 5 2 3 3 2" xfId="33040" xr:uid="{00000000-0005-0000-0000-0000CB770000}"/>
    <cellStyle name="Porcentaje 2 3 5 2 3 4" xfId="23183" xr:uid="{00000000-0005-0000-0000-0000CC770000}"/>
    <cellStyle name="Porcentaje 2 3 5 2 4" xfId="5929" xr:uid="{00000000-0005-0000-0000-0000CD770000}"/>
    <cellStyle name="Porcentaje 2 3 5 2 4 2" xfId="15789" xr:uid="{00000000-0005-0000-0000-0000CE770000}"/>
    <cellStyle name="Porcentaje 2 3 5 2 4 2 2" xfId="35504" xr:uid="{00000000-0005-0000-0000-0000CF770000}"/>
    <cellStyle name="Porcentaje 2 3 5 2 4 3" xfId="25647" xr:uid="{00000000-0005-0000-0000-0000D0770000}"/>
    <cellStyle name="Porcentaje 2 3 5 2 5" xfId="10861" xr:uid="{00000000-0005-0000-0000-0000D1770000}"/>
    <cellStyle name="Porcentaje 2 3 5 2 5 2" xfId="30576" xr:uid="{00000000-0005-0000-0000-0000D2770000}"/>
    <cellStyle name="Porcentaje 2 3 5 2 6" xfId="20719" xr:uid="{00000000-0005-0000-0000-0000D3770000}"/>
    <cellStyle name="Porcentaje 2 3 5 3" xfId="1610" xr:uid="{00000000-0005-0000-0000-0000D4770000}"/>
    <cellStyle name="Porcentaje 2 3 5 3 2" xfId="4077" xr:uid="{00000000-0005-0000-0000-0000D5770000}"/>
    <cellStyle name="Porcentaje 2 3 5 3 2 2" xfId="9009" xr:uid="{00000000-0005-0000-0000-0000D6770000}"/>
    <cellStyle name="Porcentaje 2 3 5 3 2 2 2" xfId="18869" xr:uid="{00000000-0005-0000-0000-0000D7770000}"/>
    <cellStyle name="Porcentaje 2 3 5 3 2 2 2 2" xfId="38584" xr:uid="{00000000-0005-0000-0000-0000D8770000}"/>
    <cellStyle name="Porcentaje 2 3 5 3 2 2 3" xfId="28727" xr:uid="{00000000-0005-0000-0000-0000D9770000}"/>
    <cellStyle name="Porcentaje 2 3 5 3 2 3" xfId="13941" xr:uid="{00000000-0005-0000-0000-0000DA770000}"/>
    <cellStyle name="Porcentaje 2 3 5 3 2 3 2" xfId="33656" xr:uid="{00000000-0005-0000-0000-0000DB770000}"/>
    <cellStyle name="Porcentaje 2 3 5 3 2 4" xfId="23799" xr:uid="{00000000-0005-0000-0000-0000DC770000}"/>
    <cellStyle name="Porcentaje 2 3 5 3 3" xfId="6545" xr:uid="{00000000-0005-0000-0000-0000DD770000}"/>
    <cellStyle name="Porcentaje 2 3 5 3 3 2" xfId="16405" xr:uid="{00000000-0005-0000-0000-0000DE770000}"/>
    <cellStyle name="Porcentaje 2 3 5 3 3 2 2" xfId="36120" xr:uid="{00000000-0005-0000-0000-0000DF770000}"/>
    <cellStyle name="Porcentaje 2 3 5 3 3 3" xfId="26263" xr:uid="{00000000-0005-0000-0000-0000E0770000}"/>
    <cellStyle name="Porcentaje 2 3 5 3 4" xfId="11477" xr:uid="{00000000-0005-0000-0000-0000E1770000}"/>
    <cellStyle name="Porcentaje 2 3 5 3 4 2" xfId="31192" xr:uid="{00000000-0005-0000-0000-0000E2770000}"/>
    <cellStyle name="Porcentaje 2 3 5 3 5" xfId="21335" xr:uid="{00000000-0005-0000-0000-0000E3770000}"/>
    <cellStyle name="Porcentaje 2 3 5 4" xfId="2845" xr:uid="{00000000-0005-0000-0000-0000E4770000}"/>
    <cellStyle name="Porcentaje 2 3 5 4 2" xfId="7777" xr:uid="{00000000-0005-0000-0000-0000E5770000}"/>
    <cellStyle name="Porcentaje 2 3 5 4 2 2" xfId="17637" xr:uid="{00000000-0005-0000-0000-0000E6770000}"/>
    <cellStyle name="Porcentaje 2 3 5 4 2 2 2" xfId="37352" xr:uid="{00000000-0005-0000-0000-0000E7770000}"/>
    <cellStyle name="Porcentaje 2 3 5 4 2 3" xfId="27495" xr:uid="{00000000-0005-0000-0000-0000E8770000}"/>
    <cellStyle name="Porcentaje 2 3 5 4 3" xfId="12709" xr:uid="{00000000-0005-0000-0000-0000E9770000}"/>
    <cellStyle name="Porcentaje 2 3 5 4 3 2" xfId="32424" xr:uid="{00000000-0005-0000-0000-0000EA770000}"/>
    <cellStyle name="Porcentaje 2 3 5 4 4" xfId="22567" xr:uid="{00000000-0005-0000-0000-0000EB770000}"/>
    <cellStyle name="Porcentaje 2 3 5 5" xfId="5313" xr:uid="{00000000-0005-0000-0000-0000EC770000}"/>
    <cellStyle name="Porcentaje 2 3 5 5 2" xfId="15173" xr:uid="{00000000-0005-0000-0000-0000ED770000}"/>
    <cellStyle name="Porcentaje 2 3 5 5 2 2" xfId="34888" xr:uid="{00000000-0005-0000-0000-0000EE770000}"/>
    <cellStyle name="Porcentaje 2 3 5 5 3" xfId="25031" xr:uid="{00000000-0005-0000-0000-0000EF770000}"/>
    <cellStyle name="Porcentaje 2 3 5 6" xfId="10245" xr:uid="{00000000-0005-0000-0000-0000F0770000}"/>
    <cellStyle name="Porcentaje 2 3 5 6 2" xfId="29960" xr:uid="{00000000-0005-0000-0000-0000F1770000}"/>
    <cellStyle name="Porcentaje 2 3 5 7" xfId="20103" xr:uid="{00000000-0005-0000-0000-0000F2770000}"/>
    <cellStyle name="Porcentaje 2 3 6" xfId="684" xr:uid="{00000000-0005-0000-0000-0000F3770000}"/>
    <cellStyle name="Porcentaje 2 3 6 2" xfId="1920" xr:uid="{00000000-0005-0000-0000-0000F4770000}"/>
    <cellStyle name="Porcentaje 2 3 6 2 2" xfId="4387" xr:uid="{00000000-0005-0000-0000-0000F5770000}"/>
    <cellStyle name="Porcentaje 2 3 6 2 2 2" xfId="9319" xr:uid="{00000000-0005-0000-0000-0000F6770000}"/>
    <cellStyle name="Porcentaje 2 3 6 2 2 2 2" xfId="19179" xr:uid="{00000000-0005-0000-0000-0000F7770000}"/>
    <cellStyle name="Porcentaje 2 3 6 2 2 2 2 2" xfId="38894" xr:uid="{00000000-0005-0000-0000-0000F8770000}"/>
    <cellStyle name="Porcentaje 2 3 6 2 2 2 3" xfId="29037" xr:uid="{00000000-0005-0000-0000-0000F9770000}"/>
    <cellStyle name="Porcentaje 2 3 6 2 2 3" xfId="14251" xr:uid="{00000000-0005-0000-0000-0000FA770000}"/>
    <cellStyle name="Porcentaje 2 3 6 2 2 3 2" xfId="33966" xr:uid="{00000000-0005-0000-0000-0000FB770000}"/>
    <cellStyle name="Porcentaje 2 3 6 2 2 4" xfId="24109" xr:uid="{00000000-0005-0000-0000-0000FC770000}"/>
    <cellStyle name="Porcentaje 2 3 6 2 3" xfId="6855" xr:uid="{00000000-0005-0000-0000-0000FD770000}"/>
    <cellStyle name="Porcentaje 2 3 6 2 3 2" xfId="16715" xr:uid="{00000000-0005-0000-0000-0000FE770000}"/>
    <cellStyle name="Porcentaje 2 3 6 2 3 2 2" xfId="36430" xr:uid="{00000000-0005-0000-0000-0000FF770000}"/>
    <cellStyle name="Porcentaje 2 3 6 2 3 3" xfId="26573" xr:uid="{00000000-0005-0000-0000-000000780000}"/>
    <cellStyle name="Porcentaje 2 3 6 2 4" xfId="11787" xr:uid="{00000000-0005-0000-0000-000001780000}"/>
    <cellStyle name="Porcentaje 2 3 6 2 4 2" xfId="31502" xr:uid="{00000000-0005-0000-0000-000002780000}"/>
    <cellStyle name="Porcentaje 2 3 6 2 5" xfId="21645" xr:uid="{00000000-0005-0000-0000-000003780000}"/>
    <cellStyle name="Porcentaje 2 3 6 3" xfId="3155" xr:uid="{00000000-0005-0000-0000-000004780000}"/>
    <cellStyle name="Porcentaje 2 3 6 3 2" xfId="8087" xr:uid="{00000000-0005-0000-0000-000005780000}"/>
    <cellStyle name="Porcentaje 2 3 6 3 2 2" xfId="17947" xr:uid="{00000000-0005-0000-0000-000006780000}"/>
    <cellStyle name="Porcentaje 2 3 6 3 2 2 2" xfId="37662" xr:uid="{00000000-0005-0000-0000-000007780000}"/>
    <cellStyle name="Porcentaje 2 3 6 3 2 3" xfId="27805" xr:uid="{00000000-0005-0000-0000-000008780000}"/>
    <cellStyle name="Porcentaje 2 3 6 3 3" xfId="13019" xr:uid="{00000000-0005-0000-0000-000009780000}"/>
    <cellStyle name="Porcentaje 2 3 6 3 3 2" xfId="32734" xr:uid="{00000000-0005-0000-0000-00000A780000}"/>
    <cellStyle name="Porcentaje 2 3 6 3 4" xfId="22877" xr:uid="{00000000-0005-0000-0000-00000B780000}"/>
    <cellStyle name="Porcentaje 2 3 6 4" xfId="5623" xr:uid="{00000000-0005-0000-0000-00000C780000}"/>
    <cellStyle name="Porcentaje 2 3 6 4 2" xfId="15483" xr:uid="{00000000-0005-0000-0000-00000D780000}"/>
    <cellStyle name="Porcentaje 2 3 6 4 2 2" xfId="35198" xr:uid="{00000000-0005-0000-0000-00000E780000}"/>
    <cellStyle name="Porcentaje 2 3 6 4 3" xfId="25341" xr:uid="{00000000-0005-0000-0000-00000F780000}"/>
    <cellStyle name="Porcentaje 2 3 6 5" xfId="10555" xr:uid="{00000000-0005-0000-0000-000010780000}"/>
    <cellStyle name="Porcentaje 2 3 6 5 2" xfId="30270" xr:uid="{00000000-0005-0000-0000-000011780000}"/>
    <cellStyle name="Porcentaje 2 3 6 6" xfId="20413" xr:uid="{00000000-0005-0000-0000-000012780000}"/>
    <cellStyle name="Porcentaje 2 3 7" xfId="1304" xr:uid="{00000000-0005-0000-0000-000013780000}"/>
    <cellStyle name="Porcentaje 2 3 7 2" xfId="3771" xr:uid="{00000000-0005-0000-0000-000014780000}"/>
    <cellStyle name="Porcentaje 2 3 7 2 2" xfId="8703" xr:uid="{00000000-0005-0000-0000-000015780000}"/>
    <cellStyle name="Porcentaje 2 3 7 2 2 2" xfId="18563" xr:uid="{00000000-0005-0000-0000-000016780000}"/>
    <cellStyle name="Porcentaje 2 3 7 2 2 2 2" xfId="38278" xr:uid="{00000000-0005-0000-0000-000017780000}"/>
    <cellStyle name="Porcentaje 2 3 7 2 2 3" xfId="28421" xr:uid="{00000000-0005-0000-0000-000018780000}"/>
    <cellStyle name="Porcentaje 2 3 7 2 3" xfId="13635" xr:uid="{00000000-0005-0000-0000-000019780000}"/>
    <cellStyle name="Porcentaje 2 3 7 2 3 2" xfId="33350" xr:uid="{00000000-0005-0000-0000-00001A780000}"/>
    <cellStyle name="Porcentaje 2 3 7 2 4" xfId="23493" xr:uid="{00000000-0005-0000-0000-00001B780000}"/>
    <cellStyle name="Porcentaje 2 3 7 3" xfId="6239" xr:uid="{00000000-0005-0000-0000-00001C780000}"/>
    <cellStyle name="Porcentaje 2 3 7 3 2" xfId="16099" xr:uid="{00000000-0005-0000-0000-00001D780000}"/>
    <cellStyle name="Porcentaje 2 3 7 3 2 2" xfId="35814" xr:uid="{00000000-0005-0000-0000-00001E780000}"/>
    <cellStyle name="Porcentaje 2 3 7 3 3" xfId="25957" xr:uid="{00000000-0005-0000-0000-00001F780000}"/>
    <cellStyle name="Porcentaje 2 3 7 4" xfId="11171" xr:uid="{00000000-0005-0000-0000-000020780000}"/>
    <cellStyle name="Porcentaje 2 3 7 4 2" xfId="30886" xr:uid="{00000000-0005-0000-0000-000021780000}"/>
    <cellStyle name="Porcentaje 2 3 7 5" xfId="21029" xr:uid="{00000000-0005-0000-0000-000022780000}"/>
    <cellStyle name="Porcentaje 2 3 8" xfId="2539" xr:uid="{00000000-0005-0000-0000-000023780000}"/>
    <cellStyle name="Porcentaje 2 3 8 2" xfId="7471" xr:uid="{00000000-0005-0000-0000-000024780000}"/>
    <cellStyle name="Porcentaje 2 3 8 2 2" xfId="17331" xr:uid="{00000000-0005-0000-0000-000025780000}"/>
    <cellStyle name="Porcentaje 2 3 8 2 2 2" xfId="37046" xr:uid="{00000000-0005-0000-0000-000026780000}"/>
    <cellStyle name="Porcentaje 2 3 8 2 3" xfId="27189" xr:uid="{00000000-0005-0000-0000-000027780000}"/>
    <cellStyle name="Porcentaje 2 3 8 3" xfId="12403" xr:uid="{00000000-0005-0000-0000-000028780000}"/>
    <cellStyle name="Porcentaje 2 3 8 3 2" xfId="32118" xr:uid="{00000000-0005-0000-0000-000029780000}"/>
    <cellStyle name="Porcentaje 2 3 8 4" xfId="22261" xr:uid="{00000000-0005-0000-0000-00002A780000}"/>
    <cellStyle name="Porcentaje 2 3 9" xfId="5007" xr:uid="{00000000-0005-0000-0000-00002B780000}"/>
    <cellStyle name="Porcentaje 2 3 9 2" xfId="14867" xr:uid="{00000000-0005-0000-0000-00002C780000}"/>
    <cellStyle name="Porcentaje 2 3 9 2 2" xfId="34582" xr:uid="{00000000-0005-0000-0000-00002D780000}"/>
    <cellStyle name="Porcentaje 2 3 9 3" xfId="24725" xr:uid="{00000000-0005-0000-0000-00002E780000}"/>
    <cellStyle name="Porcentaje 2 4" xfId="65" xr:uid="{00000000-0005-0000-0000-00002F780000}"/>
    <cellStyle name="Porcentaje 2 4 10" xfId="19816" xr:uid="{00000000-0005-0000-0000-000030780000}"/>
    <cellStyle name="Porcentaje 2 4 2" xfId="147" xr:uid="{00000000-0005-0000-0000-000031780000}"/>
    <cellStyle name="Porcentaje 2 4 2 2" xfId="304" xr:uid="{00000000-0005-0000-0000-000032780000}"/>
    <cellStyle name="Porcentaje 2 4 2 2 2" xfId="618" xr:uid="{00000000-0005-0000-0000-000033780000}"/>
    <cellStyle name="Porcentaje 2 4 2 2 2 2" xfId="1238" xr:uid="{00000000-0005-0000-0000-000034780000}"/>
    <cellStyle name="Porcentaje 2 4 2 2 2 2 2" xfId="2473" xr:uid="{00000000-0005-0000-0000-000035780000}"/>
    <cellStyle name="Porcentaje 2 4 2 2 2 2 2 2" xfId="4940" xr:uid="{00000000-0005-0000-0000-000036780000}"/>
    <cellStyle name="Porcentaje 2 4 2 2 2 2 2 2 2" xfId="9872" xr:uid="{00000000-0005-0000-0000-000037780000}"/>
    <cellStyle name="Porcentaje 2 4 2 2 2 2 2 2 2 2" xfId="19732" xr:uid="{00000000-0005-0000-0000-000038780000}"/>
    <cellStyle name="Porcentaje 2 4 2 2 2 2 2 2 2 2 2" xfId="39447" xr:uid="{00000000-0005-0000-0000-000039780000}"/>
    <cellStyle name="Porcentaje 2 4 2 2 2 2 2 2 2 3" xfId="29590" xr:uid="{00000000-0005-0000-0000-00003A780000}"/>
    <cellStyle name="Porcentaje 2 4 2 2 2 2 2 2 3" xfId="14804" xr:uid="{00000000-0005-0000-0000-00003B780000}"/>
    <cellStyle name="Porcentaje 2 4 2 2 2 2 2 2 3 2" xfId="34519" xr:uid="{00000000-0005-0000-0000-00003C780000}"/>
    <cellStyle name="Porcentaje 2 4 2 2 2 2 2 2 4" xfId="24662" xr:uid="{00000000-0005-0000-0000-00003D780000}"/>
    <cellStyle name="Porcentaje 2 4 2 2 2 2 2 3" xfId="7408" xr:uid="{00000000-0005-0000-0000-00003E780000}"/>
    <cellStyle name="Porcentaje 2 4 2 2 2 2 2 3 2" xfId="17268" xr:uid="{00000000-0005-0000-0000-00003F780000}"/>
    <cellStyle name="Porcentaje 2 4 2 2 2 2 2 3 2 2" xfId="36983" xr:uid="{00000000-0005-0000-0000-000040780000}"/>
    <cellStyle name="Porcentaje 2 4 2 2 2 2 2 3 3" xfId="27126" xr:uid="{00000000-0005-0000-0000-000041780000}"/>
    <cellStyle name="Porcentaje 2 4 2 2 2 2 2 4" xfId="12340" xr:uid="{00000000-0005-0000-0000-000042780000}"/>
    <cellStyle name="Porcentaje 2 4 2 2 2 2 2 4 2" xfId="32055" xr:uid="{00000000-0005-0000-0000-000043780000}"/>
    <cellStyle name="Porcentaje 2 4 2 2 2 2 2 5" xfId="22198" xr:uid="{00000000-0005-0000-0000-000044780000}"/>
    <cellStyle name="Porcentaje 2 4 2 2 2 2 3" xfId="3708" xr:uid="{00000000-0005-0000-0000-000045780000}"/>
    <cellStyle name="Porcentaje 2 4 2 2 2 2 3 2" xfId="8640" xr:uid="{00000000-0005-0000-0000-000046780000}"/>
    <cellStyle name="Porcentaje 2 4 2 2 2 2 3 2 2" xfId="18500" xr:uid="{00000000-0005-0000-0000-000047780000}"/>
    <cellStyle name="Porcentaje 2 4 2 2 2 2 3 2 2 2" xfId="38215" xr:uid="{00000000-0005-0000-0000-000048780000}"/>
    <cellStyle name="Porcentaje 2 4 2 2 2 2 3 2 3" xfId="28358" xr:uid="{00000000-0005-0000-0000-000049780000}"/>
    <cellStyle name="Porcentaje 2 4 2 2 2 2 3 3" xfId="13572" xr:uid="{00000000-0005-0000-0000-00004A780000}"/>
    <cellStyle name="Porcentaje 2 4 2 2 2 2 3 3 2" xfId="33287" xr:uid="{00000000-0005-0000-0000-00004B780000}"/>
    <cellStyle name="Porcentaje 2 4 2 2 2 2 3 4" xfId="23430" xr:uid="{00000000-0005-0000-0000-00004C780000}"/>
    <cellStyle name="Porcentaje 2 4 2 2 2 2 4" xfId="6176" xr:uid="{00000000-0005-0000-0000-00004D780000}"/>
    <cellStyle name="Porcentaje 2 4 2 2 2 2 4 2" xfId="16036" xr:uid="{00000000-0005-0000-0000-00004E780000}"/>
    <cellStyle name="Porcentaje 2 4 2 2 2 2 4 2 2" xfId="35751" xr:uid="{00000000-0005-0000-0000-00004F780000}"/>
    <cellStyle name="Porcentaje 2 4 2 2 2 2 4 3" xfId="25894" xr:uid="{00000000-0005-0000-0000-000050780000}"/>
    <cellStyle name="Porcentaje 2 4 2 2 2 2 5" xfId="11108" xr:uid="{00000000-0005-0000-0000-000051780000}"/>
    <cellStyle name="Porcentaje 2 4 2 2 2 2 5 2" xfId="30823" xr:uid="{00000000-0005-0000-0000-000052780000}"/>
    <cellStyle name="Porcentaje 2 4 2 2 2 2 6" xfId="20966" xr:uid="{00000000-0005-0000-0000-000053780000}"/>
    <cellStyle name="Porcentaje 2 4 2 2 2 3" xfId="1857" xr:uid="{00000000-0005-0000-0000-000054780000}"/>
    <cellStyle name="Porcentaje 2 4 2 2 2 3 2" xfId="4324" xr:uid="{00000000-0005-0000-0000-000055780000}"/>
    <cellStyle name="Porcentaje 2 4 2 2 2 3 2 2" xfId="9256" xr:uid="{00000000-0005-0000-0000-000056780000}"/>
    <cellStyle name="Porcentaje 2 4 2 2 2 3 2 2 2" xfId="19116" xr:uid="{00000000-0005-0000-0000-000057780000}"/>
    <cellStyle name="Porcentaje 2 4 2 2 2 3 2 2 2 2" xfId="38831" xr:uid="{00000000-0005-0000-0000-000058780000}"/>
    <cellStyle name="Porcentaje 2 4 2 2 2 3 2 2 3" xfId="28974" xr:uid="{00000000-0005-0000-0000-000059780000}"/>
    <cellStyle name="Porcentaje 2 4 2 2 2 3 2 3" xfId="14188" xr:uid="{00000000-0005-0000-0000-00005A780000}"/>
    <cellStyle name="Porcentaje 2 4 2 2 2 3 2 3 2" xfId="33903" xr:uid="{00000000-0005-0000-0000-00005B780000}"/>
    <cellStyle name="Porcentaje 2 4 2 2 2 3 2 4" xfId="24046" xr:uid="{00000000-0005-0000-0000-00005C780000}"/>
    <cellStyle name="Porcentaje 2 4 2 2 2 3 3" xfId="6792" xr:uid="{00000000-0005-0000-0000-00005D780000}"/>
    <cellStyle name="Porcentaje 2 4 2 2 2 3 3 2" xfId="16652" xr:uid="{00000000-0005-0000-0000-00005E780000}"/>
    <cellStyle name="Porcentaje 2 4 2 2 2 3 3 2 2" xfId="36367" xr:uid="{00000000-0005-0000-0000-00005F780000}"/>
    <cellStyle name="Porcentaje 2 4 2 2 2 3 3 3" xfId="26510" xr:uid="{00000000-0005-0000-0000-000060780000}"/>
    <cellStyle name="Porcentaje 2 4 2 2 2 3 4" xfId="11724" xr:uid="{00000000-0005-0000-0000-000061780000}"/>
    <cellStyle name="Porcentaje 2 4 2 2 2 3 4 2" xfId="31439" xr:uid="{00000000-0005-0000-0000-000062780000}"/>
    <cellStyle name="Porcentaje 2 4 2 2 2 3 5" xfId="21582" xr:uid="{00000000-0005-0000-0000-000063780000}"/>
    <cellStyle name="Porcentaje 2 4 2 2 2 4" xfId="3092" xr:uid="{00000000-0005-0000-0000-000064780000}"/>
    <cellStyle name="Porcentaje 2 4 2 2 2 4 2" xfId="8024" xr:uid="{00000000-0005-0000-0000-000065780000}"/>
    <cellStyle name="Porcentaje 2 4 2 2 2 4 2 2" xfId="17884" xr:uid="{00000000-0005-0000-0000-000066780000}"/>
    <cellStyle name="Porcentaje 2 4 2 2 2 4 2 2 2" xfId="37599" xr:uid="{00000000-0005-0000-0000-000067780000}"/>
    <cellStyle name="Porcentaje 2 4 2 2 2 4 2 3" xfId="27742" xr:uid="{00000000-0005-0000-0000-000068780000}"/>
    <cellStyle name="Porcentaje 2 4 2 2 2 4 3" xfId="12956" xr:uid="{00000000-0005-0000-0000-000069780000}"/>
    <cellStyle name="Porcentaje 2 4 2 2 2 4 3 2" xfId="32671" xr:uid="{00000000-0005-0000-0000-00006A780000}"/>
    <cellStyle name="Porcentaje 2 4 2 2 2 4 4" xfId="22814" xr:uid="{00000000-0005-0000-0000-00006B780000}"/>
    <cellStyle name="Porcentaje 2 4 2 2 2 5" xfId="5560" xr:uid="{00000000-0005-0000-0000-00006C780000}"/>
    <cellStyle name="Porcentaje 2 4 2 2 2 5 2" xfId="15420" xr:uid="{00000000-0005-0000-0000-00006D780000}"/>
    <cellStyle name="Porcentaje 2 4 2 2 2 5 2 2" xfId="35135" xr:uid="{00000000-0005-0000-0000-00006E780000}"/>
    <cellStyle name="Porcentaje 2 4 2 2 2 5 3" xfId="25278" xr:uid="{00000000-0005-0000-0000-00006F780000}"/>
    <cellStyle name="Porcentaje 2 4 2 2 2 6" xfId="10492" xr:uid="{00000000-0005-0000-0000-000070780000}"/>
    <cellStyle name="Porcentaje 2 4 2 2 2 6 2" xfId="30207" xr:uid="{00000000-0005-0000-0000-000071780000}"/>
    <cellStyle name="Porcentaje 2 4 2 2 2 7" xfId="20350" xr:uid="{00000000-0005-0000-0000-000072780000}"/>
    <cellStyle name="Porcentaje 2 4 2 2 3" xfId="931" xr:uid="{00000000-0005-0000-0000-000073780000}"/>
    <cellStyle name="Porcentaje 2 4 2 2 3 2" xfId="2167" xr:uid="{00000000-0005-0000-0000-000074780000}"/>
    <cellStyle name="Porcentaje 2 4 2 2 3 2 2" xfId="4634" xr:uid="{00000000-0005-0000-0000-000075780000}"/>
    <cellStyle name="Porcentaje 2 4 2 2 3 2 2 2" xfId="9566" xr:uid="{00000000-0005-0000-0000-000076780000}"/>
    <cellStyle name="Porcentaje 2 4 2 2 3 2 2 2 2" xfId="19426" xr:uid="{00000000-0005-0000-0000-000077780000}"/>
    <cellStyle name="Porcentaje 2 4 2 2 3 2 2 2 2 2" xfId="39141" xr:uid="{00000000-0005-0000-0000-000078780000}"/>
    <cellStyle name="Porcentaje 2 4 2 2 3 2 2 2 3" xfId="29284" xr:uid="{00000000-0005-0000-0000-000079780000}"/>
    <cellStyle name="Porcentaje 2 4 2 2 3 2 2 3" xfId="14498" xr:uid="{00000000-0005-0000-0000-00007A780000}"/>
    <cellStyle name="Porcentaje 2 4 2 2 3 2 2 3 2" xfId="34213" xr:uid="{00000000-0005-0000-0000-00007B780000}"/>
    <cellStyle name="Porcentaje 2 4 2 2 3 2 2 4" xfId="24356" xr:uid="{00000000-0005-0000-0000-00007C780000}"/>
    <cellStyle name="Porcentaje 2 4 2 2 3 2 3" xfId="7102" xr:uid="{00000000-0005-0000-0000-00007D780000}"/>
    <cellStyle name="Porcentaje 2 4 2 2 3 2 3 2" xfId="16962" xr:uid="{00000000-0005-0000-0000-00007E780000}"/>
    <cellStyle name="Porcentaje 2 4 2 2 3 2 3 2 2" xfId="36677" xr:uid="{00000000-0005-0000-0000-00007F780000}"/>
    <cellStyle name="Porcentaje 2 4 2 2 3 2 3 3" xfId="26820" xr:uid="{00000000-0005-0000-0000-000080780000}"/>
    <cellStyle name="Porcentaje 2 4 2 2 3 2 4" xfId="12034" xr:uid="{00000000-0005-0000-0000-000081780000}"/>
    <cellStyle name="Porcentaje 2 4 2 2 3 2 4 2" xfId="31749" xr:uid="{00000000-0005-0000-0000-000082780000}"/>
    <cellStyle name="Porcentaje 2 4 2 2 3 2 5" xfId="21892" xr:uid="{00000000-0005-0000-0000-000083780000}"/>
    <cellStyle name="Porcentaje 2 4 2 2 3 3" xfId="3402" xr:uid="{00000000-0005-0000-0000-000084780000}"/>
    <cellStyle name="Porcentaje 2 4 2 2 3 3 2" xfId="8334" xr:uid="{00000000-0005-0000-0000-000085780000}"/>
    <cellStyle name="Porcentaje 2 4 2 2 3 3 2 2" xfId="18194" xr:uid="{00000000-0005-0000-0000-000086780000}"/>
    <cellStyle name="Porcentaje 2 4 2 2 3 3 2 2 2" xfId="37909" xr:uid="{00000000-0005-0000-0000-000087780000}"/>
    <cellStyle name="Porcentaje 2 4 2 2 3 3 2 3" xfId="28052" xr:uid="{00000000-0005-0000-0000-000088780000}"/>
    <cellStyle name="Porcentaje 2 4 2 2 3 3 3" xfId="13266" xr:uid="{00000000-0005-0000-0000-000089780000}"/>
    <cellStyle name="Porcentaje 2 4 2 2 3 3 3 2" xfId="32981" xr:uid="{00000000-0005-0000-0000-00008A780000}"/>
    <cellStyle name="Porcentaje 2 4 2 2 3 3 4" xfId="23124" xr:uid="{00000000-0005-0000-0000-00008B780000}"/>
    <cellStyle name="Porcentaje 2 4 2 2 3 4" xfId="5870" xr:uid="{00000000-0005-0000-0000-00008C780000}"/>
    <cellStyle name="Porcentaje 2 4 2 2 3 4 2" xfId="15730" xr:uid="{00000000-0005-0000-0000-00008D780000}"/>
    <cellStyle name="Porcentaje 2 4 2 2 3 4 2 2" xfId="35445" xr:uid="{00000000-0005-0000-0000-00008E780000}"/>
    <cellStyle name="Porcentaje 2 4 2 2 3 4 3" xfId="25588" xr:uid="{00000000-0005-0000-0000-00008F780000}"/>
    <cellStyle name="Porcentaje 2 4 2 2 3 5" xfId="10802" xr:uid="{00000000-0005-0000-0000-000090780000}"/>
    <cellStyle name="Porcentaje 2 4 2 2 3 5 2" xfId="30517" xr:uid="{00000000-0005-0000-0000-000091780000}"/>
    <cellStyle name="Porcentaje 2 4 2 2 3 6" xfId="20660" xr:uid="{00000000-0005-0000-0000-000092780000}"/>
    <cellStyle name="Porcentaje 2 4 2 2 4" xfId="1551" xr:uid="{00000000-0005-0000-0000-000093780000}"/>
    <cellStyle name="Porcentaje 2 4 2 2 4 2" xfId="4018" xr:uid="{00000000-0005-0000-0000-000094780000}"/>
    <cellStyle name="Porcentaje 2 4 2 2 4 2 2" xfId="8950" xr:uid="{00000000-0005-0000-0000-000095780000}"/>
    <cellStyle name="Porcentaje 2 4 2 2 4 2 2 2" xfId="18810" xr:uid="{00000000-0005-0000-0000-000096780000}"/>
    <cellStyle name="Porcentaje 2 4 2 2 4 2 2 2 2" xfId="38525" xr:uid="{00000000-0005-0000-0000-000097780000}"/>
    <cellStyle name="Porcentaje 2 4 2 2 4 2 2 3" xfId="28668" xr:uid="{00000000-0005-0000-0000-000098780000}"/>
    <cellStyle name="Porcentaje 2 4 2 2 4 2 3" xfId="13882" xr:uid="{00000000-0005-0000-0000-000099780000}"/>
    <cellStyle name="Porcentaje 2 4 2 2 4 2 3 2" xfId="33597" xr:uid="{00000000-0005-0000-0000-00009A780000}"/>
    <cellStyle name="Porcentaje 2 4 2 2 4 2 4" xfId="23740" xr:uid="{00000000-0005-0000-0000-00009B780000}"/>
    <cellStyle name="Porcentaje 2 4 2 2 4 3" xfId="6486" xr:uid="{00000000-0005-0000-0000-00009C780000}"/>
    <cellStyle name="Porcentaje 2 4 2 2 4 3 2" xfId="16346" xr:uid="{00000000-0005-0000-0000-00009D780000}"/>
    <cellStyle name="Porcentaje 2 4 2 2 4 3 2 2" xfId="36061" xr:uid="{00000000-0005-0000-0000-00009E780000}"/>
    <cellStyle name="Porcentaje 2 4 2 2 4 3 3" xfId="26204" xr:uid="{00000000-0005-0000-0000-00009F780000}"/>
    <cellStyle name="Porcentaje 2 4 2 2 4 4" xfId="11418" xr:uid="{00000000-0005-0000-0000-0000A0780000}"/>
    <cellStyle name="Porcentaje 2 4 2 2 4 4 2" xfId="31133" xr:uid="{00000000-0005-0000-0000-0000A1780000}"/>
    <cellStyle name="Porcentaje 2 4 2 2 4 5" xfId="21276" xr:uid="{00000000-0005-0000-0000-0000A2780000}"/>
    <cellStyle name="Porcentaje 2 4 2 2 5" xfId="2786" xr:uid="{00000000-0005-0000-0000-0000A3780000}"/>
    <cellStyle name="Porcentaje 2 4 2 2 5 2" xfId="7718" xr:uid="{00000000-0005-0000-0000-0000A4780000}"/>
    <cellStyle name="Porcentaje 2 4 2 2 5 2 2" xfId="17578" xr:uid="{00000000-0005-0000-0000-0000A5780000}"/>
    <cellStyle name="Porcentaje 2 4 2 2 5 2 2 2" xfId="37293" xr:uid="{00000000-0005-0000-0000-0000A6780000}"/>
    <cellStyle name="Porcentaje 2 4 2 2 5 2 3" xfId="27436" xr:uid="{00000000-0005-0000-0000-0000A7780000}"/>
    <cellStyle name="Porcentaje 2 4 2 2 5 3" xfId="12650" xr:uid="{00000000-0005-0000-0000-0000A8780000}"/>
    <cellStyle name="Porcentaje 2 4 2 2 5 3 2" xfId="32365" xr:uid="{00000000-0005-0000-0000-0000A9780000}"/>
    <cellStyle name="Porcentaje 2 4 2 2 5 4" xfId="22508" xr:uid="{00000000-0005-0000-0000-0000AA780000}"/>
    <cellStyle name="Porcentaje 2 4 2 2 6" xfId="5254" xr:uid="{00000000-0005-0000-0000-0000AB780000}"/>
    <cellStyle name="Porcentaje 2 4 2 2 6 2" xfId="15114" xr:uid="{00000000-0005-0000-0000-0000AC780000}"/>
    <cellStyle name="Porcentaje 2 4 2 2 6 2 2" xfId="34829" xr:uid="{00000000-0005-0000-0000-0000AD780000}"/>
    <cellStyle name="Porcentaje 2 4 2 2 6 3" xfId="24972" xr:uid="{00000000-0005-0000-0000-0000AE780000}"/>
    <cellStyle name="Porcentaje 2 4 2 2 7" xfId="10186" xr:uid="{00000000-0005-0000-0000-0000AF780000}"/>
    <cellStyle name="Porcentaje 2 4 2 2 7 2" xfId="29901" xr:uid="{00000000-0005-0000-0000-0000B0780000}"/>
    <cellStyle name="Porcentaje 2 4 2 2 8" xfId="20044" xr:uid="{00000000-0005-0000-0000-0000B1780000}"/>
    <cellStyle name="Porcentaje 2 4 2 3" xfId="466" xr:uid="{00000000-0005-0000-0000-0000B2780000}"/>
    <cellStyle name="Porcentaje 2 4 2 3 2" xfId="1086" xr:uid="{00000000-0005-0000-0000-0000B3780000}"/>
    <cellStyle name="Porcentaje 2 4 2 3 2 2" xfId="2321" xr:uid="{00000000-0005-0000-0000-0000B4780000}"/>
    <cellStyle name="Porcentaje 2 4 2 3 2 2 2" xfId="4788" xr:uid="{00000000-0005-0000-0000-0000B5780000}"/>
    <cellStyle name="Porcentaje 2 4 2 3 2 2 2 2" xfId="9720" xr:uid="{00000000-0005-0000-0000-0000B6780000}"/>
    <cellStyle name="Porcentaje 2 4 2 3 2 2 2 2 2" xfId="19580" xr:uid="{00000000-0005-0000-0000-0000B7780000}"/>
    <cellStyle name="Porcentaje 2 4 2 3 2 2 2 2 2 2" xfId="39295" xr:uid="{00000000-0005-0000-0000-0000B8780000}"/>
    <cellStyle name="Porcentaje 2 4 2 3 2 2 2 2 3" xfId="29438" xr:uid="{00000000-0005-0000-0000-0000B9780000}"/>
    <cellStyle name="Porcentaje 2 4 2 3 2 2 2 3" xfId="14652" xr:uid="{00000000-0005-0000-0000-0000BA780000}"/>
    <cellStyle name="Porcentaje 2 4 2 3 2 2 2 3 2" xfId="34367" xr:uid="{00000000-0005-0000-0000-0000BB780000}"/>
    <cellStyle name="Porcentaje 2 4 2 3 2 2 2 4" xfId="24510" xr:uid="{00000000-0005-0000-0000-0000BC780000}"/>
    <cellStyle name="Porcentaje 2 4 2 3 2 2 3" xfId="7256" xr:uid="{00000000-0005-0000-0000-0000BD780000}"/>
    <cellStyle name="Porcentaje 2 4 2 3 2 2 3 2" xfId="17116" xr:uid="{00000000-0005-0000-0000-0000BE780000}"/>
    <cellStyle name="Porcentaje 2 4 2 3 2 2 3 2 2" xfId="36831" xr:uid="{00000000-0005-0000-0000-0000BF780000}"/>
    <cellStyle name="Porcentaje 2 4 2 3 2 2 3 3" xfId="26974" xr:uid="{00000000-0005-0000-0000-0000C0780000}"/>
    <cellStyle name="Porcentaje 2 4 2 3 2 2 4" xfId="12188" xr:uid="{00000000-0005-0000-0000-0000C1780000}"/>
    <cellStyle name="Porcentaje 2 4 2 3 2 2 4 2" xfId="31903" xr:uid="{00000000-0005-0000-0000-0000C2780000}"/>
    <cellStyle name="Porcentaje 2 4 2 3 2 2 5" xfId="22046" xr:uid="{00000000-0005-0000-0000-0000C3780000}"/>
    <cellStyle name="Porcentaje 2 4 2 3 2 3" xfId="3556" xr:uid="{00000000-0005-0000-0000-0000C4780000}"/>
    <cellStyle name="Porcentaje 2 4 2 3 2 3 2" xfId="8488" xr:uid="{00000000-0005-0000-0000-0000C5780000}"/>
    <cellStyle name="Porcentaje 2 4 2 3 2 3 2 2" xfId="18348" xr:uid="{00000000-0005-0000-0000-0000C6780000}"/>
    <cellStyle name="Porcentaje 2 4 2 3 2 3 2 2 2" xfId="38063" xr:uid="{00000000-0005-0000-0000-0000C7780000}"/>
    <cellStyle name="Porcentaje 2 4 2 3 2 3 2 3" xfId="28206" xr:uid="{00000000-0005-0000-0000-0000C8780000}"/>
    <cellStyle name="Porcentaje 2 4 2 3 2 3 3" xfId="13420" xr:uid="{00000000-0005-0000-0000-0000C9780000}"/>
    <cellStyle name="Porcentaje 2 4 2 3 2 3 3 2" xfId="33135" xr:uid="{00000000-0005-0000-0000-0000CA780000}"/>
    <cellStyle name="Porcentaje 2 4 2 3 2 3 4" xfId="23278" xr:uid="{00000000-0005-0000-0000-0000CB780000}"/>
    <cellStyle name="Porcentaje 2 4 2 3 2 4" xfId="6024" xr:uid="{00000000-0005-0000-0000-0000CC780000}"/>
    <cellStyle name="Porcentaje 2 4 2 3 2 4 2" xfId="15884" xr:uid="{00000000-0005-0000-0000-0000CD780000}"/>
    <cellStyle name="Porcentaje 2 4 2 3 2 4 2 2" xfId="35599" xr:uid="{00000000-0005-0000-0000-0000CE780000}"/>
    <cellStyle name="Porcentaje 2 4 2 3 2 4 3" xfId="25742" xr:uid="{00000000-0005-0000-0000-0000CF780000}"/>
    <cellStyle name="Porcentaje 2 4 2 3 2 5" xfId="10956" xr:uid="{00000000-0005-0000-0000-0000D0780000}"/>
    <cellStyle name="Porcentaje 2 4 2 3 2 5 2" xfId="30671" xr:uid="{00000000-0005-0000-0000-0000D1780000}"/>
    <cellStyle name="Porcentaje 2 4 2 3 2 6" xfId="20814" xr:uid="{00000000-0005-0000-0000-0000D2780000}"/>
    <cellStyle name="Porcentaje 2 4 2 3 3" xfId="1705" xr:uid="{00000000-0005-0000-0000-0000D3780000}"/>
    <cellStyle name="Porcentaje 2 4 2 3 3 2" xfId="4172" xr:uid="{00000000-0005-0000-0000-0000D4780000}"/>
    <cellStyle name="Porcentaje 2 4 2 3 3 2 2" xfId="9104" xr:uid="{00000000-0005-0000-0000-0000D5780000}"/>
    <cellStyle name="Porcentaje 2 4 2 3 3 2 2 2" xfId="18964" xr:uid="{00000000-0005-0000-0000-0000D6780000}"/>
    <cellStyle name="Porcentaje 2 4 2 3 3 2 2 2 2" xfId="38679" xr:uid="{00000000-0005-0000-0000-0000D7780000}"/>
    <cellStyle name="Porcentaje 2 4 2 3 3 2 2 3" xfId="28822" xr:uid="{00000000-0005-0000-0000-0000D8780000}"/>
    <cellStyle name="Porcentaje 2 4 2 3 3 2 3" xfId="14036" xr:uid="{00000000-0005-0000-0000-0000D9780000}"/>
    <cellStyle name="Porcentaje 2 4 2 3 3 2 3 2" xfId="33751" xr:uid="{00000000-0005-0000-0000-0000DA780000}"/>
    <cellStyle name="Porcentaje 2 4 2 3 3 2 4" xfId="23894" xr:uid="{00000000-0005-0000-0000-0000DB780000}"/>
    <cellStyle name="Porcentaje 2 4 2 3 3 3" xfId="6640" xr:uid="{00000000-0005-0000-0000-0000DC780000}"/>
    <cellStyle name="Porcentaje 2 4 2 3 3 3 2" xfId="16500" xr:uid="{00000000-0005-0000-0000-0000DD780000}"/>
    <cellStyle name="Porcentaje 2 4 2 3 3 3 2 2" xfId="36215" xr:uid="{00000000-0005-0000-0000-0000DE780000}"/>
    <cellStyle name="Porcentaje 2 4 2 3 3 3 3" xfId="26358" xr:uid="{00000000-0005-0000-0000-0000DF780000}"/>
    <cellStyle name="Porcentaje 2 4 2 3 3 4" xfId="11572" xr:uid="{00000000-0005-0000-0000-0000E0780000}"/>
    <cellStyle name="Porcentaje 2 4 2 3 3 4 2" xfId="31287" xr:uid="{00000000-0005-0000-0000-0000E1780000}"/>
    <cellStyle name="Porcentaje 2 4 2 3 3 5" xfId="21430" xr:uid="{00000000-0005-0000-0000-0000E2780000}"/>
    <cellStyle name="Porcentaje 2 4 2 3 4" xfId="2940" xr:uid="{00000000-0005-0000-0000-0000E3780000}"/>
    <cellStyle name="Porcentaje 2 4 2 3 4 2" xfId="7872" xr:uid="{00000000-0005-0000-0000-0000E4780000}"/>
    <cellStyle name="Porcentaje 2 4 2 3 4 2 2" xfId="17732" xr:uid="{00000000-0005-0000-0000-0000E5780000}"/>
    <cellStyle name="Porcentaje 2 4 2 3 4 2 2 2" xfId="37447" xr:uid="{00000000-0005-0000-0000-0000E6780000}"/>
    <cellStyle name="Porcentaje 2 4 2 3 4 2 3" xfId="27590" xr:uid="{00000000-0005-0000-0000-0000E7780000}"/>
    <cellStyle name="Porcentaje 2 4 2 3 4 3" xfId="12804" xr:uid="{00000000-0005-0000-0000-0000E8780000}"/>
    <cellStyle name="Porcentaje 2 4 2 3 4 3 2" xfId="32519" xr:uid="{00000000-0005-0000-0000-0000E9780000}"/>
    <cellStyle name="Porcentaje 2 4 2 3 4 4" xfId="22662" xr:uid="{00000000-0005-0000-0000-0000EA780000}"/>
    <cellStyle name="Porcentaje 2 4 2 3 5" xfId="5408" xr:uid="{00000000-0005-0000-0000-0000EB780000}"/>
    <cellStyle name="Porcentaje 2 4 2 3 5 2" xfId="15268" xr:uid="{00000000-0005-0000-0000-0000EC780000}"/>
    <cellStyle name="Porcentaje 2 4 2 3 5 2 2" xfId="34983" xr:uid="{00000000-0005-0000-0000-0000ED780000}"/>
    <cellStyle name="Porcentaje 2 4 2 3 5 3" xfId="25126" xr:uid="{00000000-0005-0000-0000-0000EE780000}"/>
    <cellStyle name="Porcentaje 2 4 2 3 6" xfId="10340" xr:uid="{00000000-0005-0000-0000-0000EF780000}"/>
    <cellStyle name="Porcentaje 2 4 2 3 6 2" xfId="30055" xr:uid="{00000000-0005-0000-0000-0000F0780000}"/>
    <cellStyle name="Porcentaje 2 4 2 3 7" xfId="20198" xr:uid="{00000000-0005-0000-0000-0000F1780000}"/>
    <cellStyle name="Porcentaje 2 4 2 4" xfId="779" xr:uid="{00000000-0005-0000-0000-0000F2780000}"/>
    <cellStyle name="Porcentaje 2 4 2 4 2" xfId="2015" xr:uid="{00000000-0005-0000-0000-0000F3780000}"/>
    <cellStyle name="Porcentaje 2 4 2 4 2 2" xfId="4482" xr:uid="{00000000-0005-0000-0000-0000F4780000}"/>
    <cellStyle name="Porcentaje 2 4 2 4 2 2 2" xfId="9414" xr:uid="{00000000-0005-0000-0000-0000F5780000}"/>
    <cellStyle name="Porcentaje 2 4 2 4 2 2 2 2" xfId="19274" xr:uid="{00000000-0005-0000-0000-0000F6780000}"/>
    <cellStyle name="Porcentaje 2 4 2 4 2 2 2 2 2" xfId="38989" xr:uid="{00000000-0005-0000-0000-0000F7780000}"/>
    <cellStyle name="Porcentaje 2 4 2 4 2 2 2 3" xfId="29132" xr:uid="{00000000-0005-0000-0000-0000F8780000}"/>
    <cellStyle name="Porcentaje 2 4 2 4 2 2 3" xfId="14346" xr:uid="{00000000-0005-0000-0000-0000F9780000}"/>
    <cellStyle name="Porcentaje 2 4 2 4 2 2 3 2" xfId="34061" xr:uid="{00000000-0005-0000-0000-0000FA780000}"/>
    <cellStyle name="Porcentaje 2 4 2 4 2 2 4" xfId="24204" xr:uid="{00000000-0005-0000-0000-0000FB780000}"/>
    <cellStyle name="Porcentaje 2 4 2 4 2 3" xfId="6950" xr:uid="{00000000-0005-0000-0000-0000FC780000}"/>
    <cellStyle name="Porcentaje 2 4 2 4 2 3 2" xfId="16810" xr:uid="{00000000-0005-0000-0000-0000FD780000}"/>
    <cellStyle name="Porcentaje 2 4 2 4 2 3 2 2" xfId="36525" xr:uid="{00000000-0005-0000-0000-0000FE780000}"/>
    <cellStyle name="Porcentaje 2 4 2 4 2 3 3" xfId="26668" xr:uid="{00000000-0005-0000-0000-0000FF780000}"/>
    <cellStyle name="Porcentaje 2 4 2 4 2 4" xfId="11882" xr:uid="{00000000-0005-0000-0000-000000790000}"/>
    <cellStyle name="Porcentaje 2 4 2 4 2 4 2" xfId="31597" xr:uid="{00000000-0005-0000-0000-000001790000}"/>
    <cellStyle name="Porcentaje 2 4 2 4 2 5" xfId="21740" xr:uid="{00000000-0005-0000-0000-000002790000}"/>
    <cellStyle name="Porcentaje 2 4 2 4 3" xfId="3250" xr:uid="{00000000-0005-0000-0000-000003790000}"/>
    <cellStyle name="Porcentaje 2 4 2 4 3 2" xfId="8182" xr:uid="{00000000-0005-0000-0000-000004790000}"/>
    <cellStyle name="Porcentaje 2 4 2 4 3 2 2" xfId="18042" xr:uid="{00000000-0005-0000-0000-000005790000}"/>
    <cellStyle name="Porcentaje 2 4 2 4 3 2 2 2" xfId="37757" xr:uid="{00000000-0005-0000-0000-000006790000}"/>
    <cellStyle name="Porcentaje 2 4 2 4 3 2 3" xfId="27900" xr:uid="{00000000-0005-0000-0000-000007790000}"/>
    <cellStyle name="Porcentaje 2 4 2 4 3 3" xfId="13114" xr:uid="{00000000-0005-0000-0000-000008790000}"/>
    <cellStyle name="Porcentaje 2 4 2 4 3 3 2" xfId="32829" xr:uid="{00000000-0005-0000-0000-000009790000}"/>
    <cellStyle name="Porcentaje 2 4 2 4 3 4" xfId="22972" xr:uid="{00000000-0005-0000-0000-00000A790000}"/>
    <cellStyle name="Porcentaje 2 4 2 4 4" xfId="5718" xr:uid="{00000000-0005-0000-0000-00000B790000}"/>
    <cellStyle name="Porcentaje 2 4 2 4 4 2" xfId="15578" xr:uid="{00000000-0005-0000-0000-00000C790000}"/>
    <cellStyle name="Porcentaje 2 4 2 4 4 2 2" xfId="35293" xr:uid="{00000000-0005-0000-0000-00000D790000}"/>
    <cellStyle name="Porcentaje 2 4 2 4 4 3" xfId="25436" xr:uid="{00000000-0005-0000-0000-00000E790000}"/>
    <cellStyle name="Porcentaje 2 4 2 4 5" xfId="10650" xr:uid="{00000000-0005-0000-0000-00000F790000}"/>
    <cellStyle name="Porcentaje 2 4 2 4 5 2" xfId="30365" xr:uid="{00000000-0005-0000-0000-000010790000}"/>
    <cellStyle name="Porcentaje 2 4 2 4 6" xfId="20508" xr:uid="{00000000-0005-0000-0000-000011790000}"/>
    <cellStyle name="Porcentaje 2 4 2 5" xfId="1399" xr:uid="{00000000-0005-0000-0000-000012790000}"/>
    <cellStyle name="Porcentaje 2 4 2 5 2" xfId="3866" xr:uid="{00000000-0005-0000-0000-000013790000}"/>
    <cellStyle name="Porcentaje 2 4 2 5 2 2" xfId="8798" xr:uid="{00000000-0005-0000-0000-000014790000}"/>
    <cellStyle name="Porcentaje 2 4 2 5 2 2 2" xfId="18658" xr:uid="{00000000-0005-0000-0000-000015790000}"/>
    <cellStyle name="Porcentaje 2 4 2 5 2 2 2 2" xfId="38373" xr:uid="{00000000-0005-0000-0000-000016790000}"/>
    <cellStyle name="Porcentaje 2 4 2 5 2 2 3" xfId="28516" xr:uid="{00000000-0005-0000-0000-000017790000}"/>
    <cellStyle name="Porcentaje 2 4 2 5 2 3" xfId="13730" xr:uid="{00000000-0005-0000-0000-000018790000}"/>
    <cellStyle name="Porcentaje 2 4 2 5 2 3 2" xfId="33445" xr:uid="{00000000-0005-0000-0000-000019790000}"/>
    <cellStyle name="Porcentaje 2 4 2 5 2 4" xfId="23588" xr:uid="{00000000-0005-0000-0000-00001A790000}"/>
    <cellStyle name="Porcentaje 2 4 2 5 3" xfId="6334" xr:uid="{00000000-0005-0000-0000-00001B790000}"/>
    <cellStyle name="Porcentaje 2 4 2 5 3 2" xfId="16194" xr:uid="{00000000-0005-0000-0000-00001C790000}"/>
    <cellStyle name="Porcentaje 2 4 2 5 3 2 2" xfId="35909" xr:uid="{00000000-0005-0000-0000-00001D790000}"/>
    <cellStyle name="Porcentaje 2 4 2 5 3 3" xfId="26052" xr:uid="{00000000-0005-0000-0000-00001E790000}"/>
    <cellStyle name="Porcentaje 2 4 2 5 4" xfId="11266" xr:uid="{00000000-0005-0000-0000-00001F790000}"/>
    <cellStyle name="Porcentaje 2 4 2 5 4 2" xfId="30981" xr:uid="{00000000-0005-0000-0000-000020790000}"/>
    <cellStyle name="Porcentaje 2 4 2 5 5" xfId="21124" xr:uid="{00000000-0005-0000-0000-000021790000}"/>
    <cellStyle name="Porcentaje 2 4 2 6" xfId="2634" xr:uid="{00000000-0005-0000-0000-000022790000}"/>
    <cellStyle name="Porcentaje 2 4 2 6 2" xfId="7566" xr:uid="{00000000-0005-0000-0000-000023790000}"/>
    <cellStyle name="Porcentaje 2 4 2 6 2 2" xfId="17426" xr:uid="{00000000-0005-0000-0000-000024790000}"/>
    <cellStyle name="Porcentaje 2 4 2 6 2 2 2" xfId="37141" xr:uid="{00000000-0005-0000-0000-000025790000}"/>
    <cellStyle name="Porcentaje 2 4 2 6 2 3" xfId="27284" xr:uid="{00000000-0005-0000-0000-000026790000}"/>
    <cellStyle name="Porcentaje 2 4 2 6 3" xfId="12498" xr:uid="{00000000-0005-0000-0000-000027790000}"/>
    <cellStyle name="Porcentaje 2 4 2 6 3 2" xfId="32213" xr:uid="{00000000-0005-0000-0000-000028790000}"/>
    <cellStyle name="Porcentaje 2 4 2 6 4" xfId="22356" xr:uid="{00000000-0005-0000-0000-000029790000}"/>
    <cellStyle name="Porcentaje 2 4 2 7" xfId="5102" xr:uid="{00000000-0005-0000-0000-00002A790000}"/>
    <cellStyle name="Porcentaje 2 4 2 7 2" xfId="14962" xr:uid="{00000000-0005-0000-0000-00002B790000}"/>
    <cellStyle name="Porcentaje 2 4 2 7 2 2" xfId="34677" xr:uid="{00000000-0005-0000-0000-00002C790000}"/>
    <cellStyle name="Porcentaje 2 4 2 7 3" xfId="24820" xr:uid="{00000000-0005-0000-0000-00002D790000}"/>
    <cellStyle name="Porcentaje 2 4 2 8" xfId="10034" xr:uid="{00000000-0005-0000-0000-00002E790000}"/>
    <cellStyle name="Porcentaje 2 4 2 8 2" xfId="29749" xr:uid="{00000000-0005-0000-0000-00002F790000}"/>
    <cellStyle name="Porcentaje 2 4 2 9" xfId="19892" xr:uid="{00000000-0005-0000-0000-000030790000}"/>
    <cellStyle name="Porcentaje 2 4 3" xfId="228" xr:uid="{00000000-0005-0000-0000-000031790000}"/>
    <cellStyle name="Porcentaje 2 4 3 2" xfId="542" xr:uid="{00000000-0005-0000-0000-000032790000}"/>
    <cellStyle name="Porcentaje 2 4 3 2 2" xfId="1162" xr:uid="{00000000-0005-0000-0000-000033790000}"/>
    <cellStyle name="Porcentaje 2 4 3 2 2 2" xfId="2397" xr:uid="{00000000-0005-0000-0000-000034790000}"/>
    <cellStyle name="Porcentaje 2 4 3 2 2 2 2" xfId="4864" xr:uid="{00000000-0005-0000-0000-000035790000}"/>
    <cellStyle name="Porcentaje 2 4 3 2 2 2 2 2" xfId="9796" xr:uid="{00000000-0005-0000-0000-000036790000}"/>
    <cellStyle name="Porcentaje 2 4 3 2 2 2 2 2 2" xfId="19656" xr:uid="{00000000-0005-0000-0000-000037790000}"/>
    <cellStyle name="Porcentaje 2 4 3 2 2 2 2 2 2 2" xfId="39371" xr:uid="{00000000-0005-0000-0000-000038790000}"/>
    <cellStyle name="Porcentaje 2 4 3 2 2 2 2 2 3" xfId="29514" xr:uid="{00000000-0005-0000-0000-000039790000}"/>
    <cellStyle name="Porcentaje 2 4 3 2 2 2 2 3" xfId="14728" xr:uid="{00000000-0005-0000-0000-00003A790000}"/>
    <cellStyle name="Porcentaje 2 4 3 2 2 2 2 3 2" xfId="34443" xr:uid="{00000000-0005-0000-0000-00003B790000}"/>
    <cellStyle name="Porcentaje 2 4 3 2 2 2 2 4" xfId="24586" xr:uid="{00000000-0005-0000-0000-00003C790000}"/>
    <cellStyle name="Porcentaje 2 4 3 2 2 2 3" xfId="7332" xr:uid="{00000000-0005-0000-0000-00003D790000}"/>
    <cellStyle name="Porcentaje 2 4 3 2 2 2 3 2" xfId="17192" xr:uid="{00000000-0005-0000-0000-00003E790000}"/>
    <cellStyle name="Porcentaje 2 4 3 2 2 2 3 2 2" xfId="36907" xr:uid="{00000000-0005-0000-0000-00003F790000}"/>
    <cellStyle name="Porcentaje 2 4 3 2 2 2 3 3" xfId="27050" xr:uid="{00000000-0005-0000-0000-000040790000}"/>
    <cellStyle name="Porcentaje 2 4 3 2 2 2 4" xfId="12264" xr:uid="{00000000-0005-0000-0000-000041790000}"/>
    <cellStyle name="Porcentaje 2 4 3 2 2 2 4 2" xfId="31979" xr:uid="{00000000-0005-0000-0000-000042790000}"/>
    <cellStyle name="Porcentaje 2 4 3 2 2 2 5" xfId="22122" xr:uid="{00000000-0005-0000-0000-000043790000}"/>
    <cellStyle name="Porcentaje 2 4 3 2 2 3" xfId="3632" xr:uid="{00000000-0005-0000-0000-000044790000}"/>
    <cellStyle name="Porcentaje 2 4 3 2 2 3 2" xfId="8564" xr:uid="{00000000-0005-0000-0000-000045790000}"/>
    <cellStyle name="Porcentaje 2 4 3 2 2 3 2 2" xfId="18424" xr:uid="{00000000-0005-0000-0000-000046790000}"/>
    <cellStyle name="Porcentaje 2 4 3 2 2 3 2 2 2" xfId="38139" xr:uid="{00000000-0005-0000-0000-000047790000}"/>
    <cellStyle name="Porcentaje 2 4 3 2 2 3 2 3" xfId="28282" xr:uid="{00000000-0005-0000-0000-000048790000}"/>
    <cellStyle name="Porcentaje 2 4 3 2 2 3 3" xfId="13496" xr:uid="{00000000-0005-0000-0000-000049790000}"/>
    <cellStyle name="Porcentaje 2 4 3 2 2 3 3 2" xfId="33211" xr:uid="{00000000-0005-0000-0000-00004A790000}"/>
    <cellStyle name="Porcentaje 2 4 3 2 2 3 4" xfId="23354" xr:uid="{00000000-0005-0000-0000-00004B790000}"/>
    <cellStyle name="Porcentaje 2 4 3 2 2 4" xfId="6100" xr:uid="{00000000-0005-0000-0000-00004C790000}"/>
    <cellStyle name="Porcentaje 2 4 3 2 2 4 2" xfId="15960" xr:uid="{00000000-0005-0000-0000-00004D790000}"/>
    <cellStyle name="Porcentaje 2 4 3 2 2 4 2 2" xfId="35675" xr:uid="{00000000-0005-0000-0000-00004E790000}"/>
    <cellStyle name="Porcentaje 2 4 3 2 2 4 3" xfId="25818" xr:uid="{00000000-0005-0000-0000-00004F790000}"/>
    <cellStyle name="Porcentaje 2 4 3 2 2 5" xfId="11032" xr:uid="{00000000-0005-0000-0000-000050790000}"/>
    <cellStyle name="Porcentaje 2 4 3 2 2 5 2" xfId="30747" xr:uid="{00000000-0005-0000-0000-000051790000}"/>
    <cellStyle name="Porcentaje 2 4 3 2 2 6" xfId="20890" xr:uid="{00000000-0005-0000-0000-000052790000}"/>
    <cellStyle name="Porcentaje 2 4 3 2 3" xfId="1781" xr:uid="{00000000-0005-0000-0000-000053790000}"/>
    <cellStyle name="Porcentaje 2 4 3 2 3 2" xfId="4248" xr:uid="{00000000-0005-0000-0000-000054790000}"/>
    <cellStyle name="Porcentaje 2 4 3 2 3 2 2" xfId="9180" xr:uid="{00000000-0005-0000-0000-000055790000}"/>
    <cellStyle name="Porcentaje 2 4 3 2 3 2 2 2" xfId="19040" xr:uid="{00000000-0005-0000-0000-000056790000}"/>
    <cellStyle name="Porcentaje 2 4 3 2 3 2 2 2 2" xfId="38755" xr:uid="{00000000-0005-0000-0000-000057790000}"/>
    <cellStyle name="Porcentaje 2 4 3 2 3 2 2 3" xfId="28898" xr:uid="{00000000-0005-0000-0000-000058790000}"/>
    <cellStyle name="Porcentaje 2 4 3 2 3 2 3" xfId="14112" xr:uid="{00000000-0005-0000-0000-000059790000}"/>
    <cellStyle name="Porcentaje 2 4 3 2 3 2 3 2" xfId="33827" xr:uid="{00000000-0005-0000-0000-00005A790000}"/>
    <cellStyle name="Porcentaje 2 4 3 2 3 2 4" xfId="23970" xr:uid="{00000000-0005-0000-0000-00005B790000}"/>
    <cellStyle name="Porcentaje 2 4 3 2 3 3" xfId="6716" xr:uid="{00000000-0005-0000-0000-00005C790000}"/>
    <cellStyle name="Porcentaje 2 4 3 2 3 3 2" xfId="16576" xr:uid="{00000000-0005-0000-0000-00005D790000}"/>
    <cellStyle name="Porcentaje 2 4 3 2 3 3 2 2" xfId="36291" xr:uid="{00000000-0005-0000-0000-00005E790000}"/>
    <cellStyle name="Porcentaje 2 4 3 2 3 3 3" xfId="26434" xr:uid="{00000000-0005-0000-0000-00005F790000}"/>
    <cellStyle name="Porcentaje 2 4 3 2 3 4" xfId="11648" xr:uid="{00000000-0005-0000-0000-000060790000}"/>
    <cellStyle name="Porcentaje 2 4 3 2 3 4 2" xfId="31363" xr:uid="{00000000-0005-0000-0000-000061790000}"/>
    <cellStyle name="Porcentaje 2 4 3 2 3 5" xfId="21506" xr:uid="{00000000-0005-0000-0000-000062790000}"/>
    <cellStyle name="Porcentaje 2 4 3 2 4" xfId="3016" xr:uid="{00000000-0005-0000-0000-000063790000}"/>
    <cellStyle name="Porcentaje 2 4 3 2 4 2" xfId="7948" xr:uid="{00000000-0005-0000-0000-000064790000}"/>
    <cellStyle name="Porcentaje 2 4 3 2 4 2 2" xfId="17808" xr:uid="{00000000-0005-0000-0000-000065790000}"/>
    <cellStyle name="Porcentaje 2 4 3 2 4 2 2 2" xfId="37523" xr:uid="{00000000-0005-0000-0000-000066790000}"/>
    <cellStyle name="Porcentaje 2 4 3 2 4 2 3" xfId="27666" xr:uid="{00000000-0005-0000-0000-000067790000}"/>
    <cellStyle name="Porcentaje 2 4 3 2 4 3" xfId="12880" xr:uid="{00000000-0005-0000-0000-000068790000}"/>
    <cellStyle name="Porcentaje 2 4 3 2 4 3 2" xfId="32595" xr:uid="{00000000-0005-0000-0000-000069790000}"/>
    <cellStyle name="Porcentaje 2 4 3 2 4 4" xfId="22738" xr:uid="{00000000-0005-0000-0000-00006A790000}"/>
    <cellStyle name="Porcentaje 2 4 3 2 5" xfId="5484" xr:uid="{00000000-0005-0000-0000-00006B790000}"/>
    <cellStyle name="Porcentaje 2 4 3 2 5 2" xfId="15344" xr:uid="{00000000-0005-0000-0000-00006C790000}"/>
    <cellStyle name="Porcentaje 2 4 3 2 5 2 2" xfId="35059" xr:uid="{00000000-0005-0000-0000-00006D790000}"/>
    <cellStyle name="Porcentaje 2 4 3 2 5 3" xfId="25202" xr:uid="{00000000-0005-0000-0000-00006E790000}"/>
    <cellStyle name="Porcentaje 2 4 3 2 6" xfId="10416" xr:uid="{00000000-0005-0000-0000-00006F790000}"/>
    <cellStyle name="Porcentaje 2 4 3 2 6 2" xfId="30131" xr:uid="{00000000-0005-0000-0000-000070790000}"/>
    <cellStyle name="Porcentaje 2 4 3 2 7" xfId="20274" xr:uid="{00000000-0005-0000-0000-000071790000}"/>
    <cellStyle name="Porcentaje 2 4 3 3" xfId="855" xr:uid="{00000000-0005-0000-0000-000072790000}"/>
    <cellStyle name="Porcentaje 2 4 3 3 2" xfId="2091" xr:uid="{00000000-0005-0000-0000-000073790000}"/>
    <cellStyle name="Porcentaje 2 4 3 3 2 2" xfId="4558" xr:uid="{00000000-0005-0000-0000-000074790000}"/>
    <cellStyle name="Porcentaje 2 4 3 3 2 2 2" xfId="9490" xr:uid="{00000000-0005-0000-0000-000075790000}"/>
    <cellStyle name="Porcentaje 2 4 3 3 2 2 2 2" xfId="19350" xr:uid="{00000000-0005-0000-0000-000076790000}"/>
    <cellStyle name="Porcentaje 2 4 3 3 2 2 2 2 2" xfId="39065" xr:uid="{00000000-0005-0000-0000-000077790000}"/>
    <cellStyle name="Porcentaje 2 4 3 3 2 2 2 3" xfId="29208" xr:uid="{00000000-0005-0000-0000-000078790000}"/>
    <cellStyle name="Porcentaje 2 4 3 3 2 2 3" xfId="14422" xr:uid="{00000000-0005-0000-0000-000079790000}"/>
    <cellStyle name="Porcentaje 2 4 3 3 2 2 3 2" xfId="34137" xr:uid="{00000000-0005-0000-0000-00007A790000}"/>
    <cellStyle name="Porcentaje 2 4 3 3 2 2 4" xfId="24280" xr:uid="{00000000-0005-0000-0000-00007B790000}"/>
    <cellStyle name="Porcentaje 2 4 3 3 2 3" xfId="7026" xr:uid="{00000000-0005-0000-0000-00007C790000}"/>
    <cellStyle name="Porcentaje 2 4 3 3 2 3 2" xfId="16886" xr:uid="{00000000-0005-0000-0000-00007D790000}"/>
    <cellStyle name="Porcentaje 2 4 3 3 2 3 2 2" xfId="36601" xr:uid="{00000000-0005-0000-0000-00007E790000}"/>
    <cellStyle name="Porcentaje 2 4 3 3 2 3 3" xfId="26744" xr:uid="{00000000-0005-0000-0000-00007F790000}"/>
    <cellStyle name="Porcentaje 2 4 3 3 2 4" xfId="11958" xr:uid="{00000000-0005-0000-0000-000080790000}"/>
    <cellStyle name="Porcentaje 2 4 3 3 2 4 2" xfId="31673" xr:uid="{00000000-0005-0000-0000-000081790000}"/>
    <cellStyle name="Porcentaje 2 4 3 3 2 5" xfId="21816" xr:uid="{00000000-0005-0000-0000-000082790000}"/>
    <cellStyle name="Porcentaje 2 4 3 3 3" xfId="3326" xr:uid="{00000000-0005-0000-0000-000083790000}"/>
    <cellStyle name="Porcentaje 2 4 3 3 3 2" xfId="8258" xr:uid="{00000000-0005-0000-0000-000084790000}"/>
    <cellStyle name="Porcentaje 2 4 3 3 3 2 2" xfId="18118" xr:uid="{00000000-0005-0000-0000-000085790000}"/>
    <cellStyle name="Porcentaje 2 4 3 3 3 2 2 2" xfId="37833" xr:uid="{00000000-0005-0000-0000-000086790000}"/>
    <cellStyle name="Porcentaje 2 4 3 3 3 2 3" xfId="27976" xr:uid="{00000000-0005-0000-0000-000087790000}"/>
    <cellStyle name="Porcentaje 2 4 3 3 3 3" xfId="13190" xr:uid="{00000000-0005-0000-0000-000088790000}"/>
    <cellStyle name="Porcentaje 2 4 3 3 3 3 2" xfId="32905" xr:uid="{00000000-0005-0000-0000-000089790000}"/>
    <cellStyle name="Porcentaje 2 4 3 3 3 4" xfId="23048" xr:uid="{00000000-0005-0000-0000-00008A790000}"/>
    <cellStyle name="Porcentaje 2 4 3 3 4" xfId="5794" xr:uid="{00000000-0005-0000-0000-00008B790000}"/>
    <cellStyle name="Porcentaje 2 4 3 3 4 2" xfId="15654" xr:uid="{00000000-0005-0000-0000-00008C790000}"/>
    <cellStyle name="Porcentaje 2 4 3 3 4 2 2" xfId="35369" xr:uid="{00000000-0005-0000-0000-00008D790000}"/>
    <cellStyle name="Porcentaje 2 4 3 3 4 3" xfId="25512" xr:uid="{00000000-0005-0000-0000-00008E790000}"/>
    <cellStyle name="Porcentaje 2 4 3 3 5" xfId="10726" xr:uid="{00000000-0005-0000-0000-00008F790000}"/>
    <cellStyle name="Porcentaje 2 4 3 3 5 2" xfId="30441" xr:uid="{00000000-0005-0000-0000-000090790000}"/>
    <cellStyle name="Porcentaje 2 4 3 3 6" xfId="20584" xr:uid="{00000000-0005-0000-0000-000091790000}"/>
    <cellStyle name="Porcentaje 2 4 3 4" xfId="1475" xr:uid="{00000000-0005-0000-0000-000092790000}"/>
    <cellStyle name="Porcentaje 2 4 3 4 2" xfId="3942" xr:uid="{00000000-0005-0000-0000-000093790000}"/>
    <cellStyle name="Porcentaje 2 4 3 4 2 2" xfId="8874" xr:uid="{00000000-0005-0000-0000-000094790000}"/>
    <cellStyle name="Porcentaje 2 4 3 4 2 2 2" xfId="18734" xr:uid="{00000000-0005-0000-0000-000095790000}"/>
    <cellStyle name="Porcentaje 2 4 3 4 2 2 2 2" xfId="38449" xr:uid="{00000000-0005-0000-0000-000096790000}"/>
    <cellStyle name="Porcentaje 2 4 3 4 2 2 3" xfId="28592" xr:uid="{00000000-0005-0000-0000-000097790000}"/>
    <cellStyle name="Porcentaje 2 4 3 4 2 3" xfId="13806" xr:uid="{00000000-0005-0000-0000-000098790000}"/>
    <cellStyle name="Porcentaje 2 4 3 4 2 3 2" xfId="33521" xr:uid="{00000000-0005-0000-0000-000099790000}"/>
    <cellStyle name="Porcentaje 2 4 3 4 2 4" xfId="23664" xr:uid="{00000000-0005-0000-0000-00009A790000}"/>
    <cellStyle name="Porcentaje 2 4 3 4 3" xfId="6410" xr:uid="{00000000-0005-0000-0000-00009B790000}"/>
    <cellStyle name="Porcentaje 2 4 3 4 3 2" xfId="16270" xr:uid="{00000000-0005-0000-0000-00009C790000}"/>
    <cellStyle name="Porcentaje 2 4 3 4 3 2 2" xfId="35985" xr:uid="{00000000-0005-0000-0000-00009D790000}"/>
    <cellStyle name="Porcentaje 2 4 3 4 3 3" xfId="26128" xr:uid="{00000000-0005-0000-0000-00009E790000}"/>
    <cellStyle name="Porcentaje 2 4 3 4 4" xfId="11342" xr:uid="{00000000-0005-0000-0000-00009F790000}"/>
    <cellStyle name="Porcentaje 2 4 3 4 4 2" xfId="31057" xr:uid="{00000000-0005-0000-0000-0000A0790000}"/>
    <cellStyle name="Porcentaje 2 4 3 4 5" xfId="21200" xr:uid="{00000000-0005-0000-0000-0000A1790000}"/>
    <cellStyle name="Porcentaje 2 4 3 5" xfId="2710" xr:uid="{00000000-0005-0000-0000-0000A2790000}"/>
    <cellStyle name="Porcentaje 2 4 3 5 2" xfId="7642" xr:uid="{00000000-0005-0000-0000-0000A3790000}"/>
    <cellStyle name="Porcentaje 2 4 3 5 2 2" xfId="17502" xr:uid="{00000000-0005-0000-0000-0000A4790000}"/>
    <cellStyle name="Porcentaje 2 4 3 5 2 2 2" xfId="37217" xr:uid="{00000000-0005-0000-0000-0000A5790000}"/>
    <cellStyle name="Porcentaje 2 4 3 5 2 3" xfId="27360" xr:uid="{00000000-0005-0000-0000-0000A6790000}"/>
    <cellStyle name="Porcentaje 2 4 3 5 3" xfId="12574" xr:uid="{00000000-0005-0000-0000-0000A7790000}"/>
    <cellStyle name="Porcentaje 2 4 3 5 3 2" xfId="32289" xr:uid="{00000000-0005-0000-0000-0000A8790000}"/>
    <cellStyle name="Porcentaje 2 4 3 5 4" xfId="22432" xr:uid="{00000000-0005-0000-0000-0000A9790000}"/>
    <cellStyle name="Porcentaje 2 4 3 6" xfId="5178" xr:uid="{00000000-0005-0000-0000-0000AA790000}"/>
    <cellStyle name="Porcentaje 2 4 3 6 2" xfId="15038" xr:uid="{00000000-0005-0000-0000-0000AB790000}"/>
    <cellStyle name="Porcentaje 2 4 3 6 2 2" xfId="34753" xr:uid="{00000000-0005-0000-0000-0000AC790000}"/>
    <cellStyle name="Porcentaje 2 4 3 6 3" xfId="24896" xr:uid="{00000000-0005-0000-0000-0000AD790000}"/>
    <cellStyle name="Porcentaje 2 4 3 7" xfId="10110" xr:uid="{00000000-0005-0000-0000-0000AE790000}"/>
    <cellStyle name="Porcentaje 2 4 3 7 2" xfId="29825" xr:uid="{00000000-0005-0000-0000-0000AF790000}"/>
    <cellStyle name="Porcentaje 2 4 3 8" xfId="19968" xr:uid="{00000000-0005-0000-0000-0000B0790000}"/>
    <cellStyle name="Porcentaje 2 4 4" xfId="390" xr:uid="{00000000-0005-0000-0000-0000B1790000}"/>
    <cellStyle name="Porcentaje 2 4 4 2" xfId="1010" xr:uid="{00000000-0005-0000-0000-0000B2790000}"/>
    <cellStyle name="Porcentaje 2 4 4 2 2" xfId="2245" xr:uid="{00000000-0005-0000-0000-0000B3790000}"/>
    <cellStyle name="Porcentaje 2 4 4 2 2 2" xfId="4712" xr:uid="{00000000-0005-0000-0000-0000B4790000}"/>
    <cellStyle name="Porcentaje 2 4 4 2 2 2 2" xfId="9644" xr:uid="{00000000-0005-0000-0000-0000B5790000}"/>
    <cellStyle name="Porcentaje 2 4 4 2 2 2 2 2" xfId="19504" xr:uid="{00000000-0005-0000-0000-0000B6790000}"/>
    <cellStyle name="Porcentaje 2 4 4 2 2 2 2 2 2" xfId="39219" xr:uid="{00000000-0005-0000-0000-0000B7790000}"/>
    <cellStyle name="Porcentaje 2 4 4 2 2 2 2 3" xfId="29362" xr:uid="{00000000-0005-0000-0000-0000B8790000}"/>
    <cellStyle name="Porcentaje 2 4 4 2 2 2 3" xfId="14576" xr:uid="{00000000-0005-0000-0000-0000B9790000}"/>
    <cellStyle name="Porcentaje 2 4 4 2 2 2 3 2" xfId="34291" xr:uid="{00000000-0005-0000-0000-0000BA790000}"/>
    <cellStyle name="Porcentaje 2 4 4 2 2 2 4" xfId="24434" xr:uid="{00000000-0005-0000-0000-0000BB790000}"/>
    <cellStyle name="Porcentaje 2 4 4 2 2 3" xfId="7180" xr:uid="{00000000-0005-0000-0000-0000BC790000}"/>
    <cellStyle name="Porcentaje 2 4 4 2 2 3 2" xfId="17040" xr:uid="{00000000-0005-0000-0000-0000BD790000}"/>
    <cellStyle name="Porcentaje 2 4 4 2 2 3 2 2" xfId="36755" xr:uid="{00000000-0005-0000-0000-0000BE790000}"/>
    <cellStyle name="Porcentaje 2 4 4 2 2 3 3" xfId="26898" xr:uid="{00000000-0005-0000-0000-0000BF790000}"/>
    <cellStyle name="Porcentaje 2 4 4 2 2 4" xfId="12112" xr:uid="{00000000-0005-0000-0000-0000C0790000}"/>
    <cellStyle name="Porcentaje 2 4 4 2 2 4 2" xfId="31827" xr:uid="{00000000-0005-0000-0000-0000C1790000}"/>
    <cellStyle name="Porcentaje 2 4 4 2 2 5" xfId="21970" xr:uid="{00000000-0005-0000-0000-0000C2790000}"/>
    <cellStyle name="Porcentaje 2 4 4 2 3" xfId="3480" xr:uid="{00000000-0005-0000-0000-0000C3790000}"/>
    <cellStyle name="Porcentaje 2 4 4 2 3 2" xfId="8412" xr:uid="{00000000-0005-0000-0000-0000C4790000}"/>
    <cellStyle name="Porcentaje 2 4 4 2 3 2 2" xfId="18272" xr:uid="{00000000-0005-0000-0000-0000C5790000}"/>
    <cellStyle name="Porcentaje 2 4 4 2 3 2 2 2" xfId="37987" xr:uid="{00000000-0005-0000-0000-0000C6790000}"/>
    <cellStyle name="Porcentaje 2 4 4 2 3 2 3" xfId="28130" xr:uid="{00000000-0005-0000-0000-0000C7790000}"/>
    <cellStyle name="Porcentaje 2 4 4 2 3 3" xfId="13344" xr:uid="{00000000-0005-0000-0000-0000C8790000}"/>
    <cellStyle name="Porcentaje 2 4 4 2 3 3 2" xfId="33059" xr:uid="{00000000-0005-0000-0000-0000C9790000}"/>
    <cellStyle name="Porcentaje 2 4 4 2 3 4" xfId="23202" xr:uid="{00000000-0005-0000-0000-0000CA790000}"/>
    <cellStyle name="Porcentaje 2 4 4 2 4" xfId="5948" xr:uid="{00000000-0005-0000-0000-0000CB790000}"/>
    <cellStyle name="Porcentaje 2 4 4 2 4 2" xfId="15808" xr:uid="{00000000-0005-0000-0000-0000CC790000}"/>
    <cellStyle name="Porcentaje 2 4 4 2 4 2 2" xfId="35523" xr:uid="{00000000-0005-0000-0000-0000CD790000}"/>
    <cellStyle name="Porcentaje 2 4 4 2 4 3" xfId="25666" xr:uid="{00000000-0005-0000-0000-0000CE790000}"/>
    <cellStyle name="Porcentaje 2 4 4 2 5" xfId="10880" xr:uid="{00000000-0005-0000-0000-0000CF790000}"/>
    <cellStyle name="Porcentaje 2 4 4 2 5 2" xfId="30595" xr:uid="{00000000-0005-0000-0000-0000D0790000}"/>
    <cellStyle name="Porcentaje 2 4 4 2 6" xfId="20738" xr:uid="{00000000-0005-0000-0000-0000D1790000}"/>
    <cellStyle name="Porcentaje 2 4 4 3" xfId="1629" xr:uid="{00000000-0005-0000-0000-0000D2790000}"/>
    <cellStyle name="Porcentaje 2 4 4 3 2" xfId="4096" xr:uid="{00000000-0005-0000-0000-0000D3790000}"/>
    <cellStyle name="Porcentaje 2 4 4 3 2 2" xfId="9028" xr:uid="{00000000-0005-0000-0000-0000D4790000}"/>
    <cellStyle name="Porcentaje 2 4 4 3 2 2 2" xfId="18888" xr:uid="{00000000-0005-0000-0000-0000D5790000}"/>
    <cellStyle name="Porcentaje 2 4 4 3 2 2 2 2" xfId="38603" xr:uid="{00000000-0005-0000-0000-0000D6790000}"/>
    <cellStyle name="Porcentaje 2 4 4 3 2 2 3" xfId="28746" xr:uid="{00000000-0005-0000-0000-0000D7790000}"/>
    <cellStyle name="Porcentaje 2 4 4 3 2 3" xfId="13960" xr:uid="{00000000-0005-0000-0000-0000D8790000}"/>
    <cellStyle name="Porcentaje 2 4 4 3 2 3 2" xfId="33675" xr:uid="{00000000-0005-0000-0000-0000D9790000}"/>
    <cellStyle name="Porcentaje 2 4 4 3 2 4" xfId="23818" xr:uid="{00000000-0005-0000-0000-0000DA790000}"/>
    <cellStyle name="Porcentaje 2 4 4 3 3" xfId="6564" xr:uid="{00000000-0005-0000-0000-0000DB790000}"/>
    <cellStyle name="Porcentaje 2 4 4 3 3 2" xfId="16424" xr:uid="{00000000-0005-0000-0000-0000DC790000}"/>
    <cellStyle name="Porcentaje 2 4 4 3 3 2 2" xfId="36139" xr:uid="{00000000-0005-0000-0000-0000DD790000}"/>
    <cellStyle name="Porcentaje 2 4 4 3 3 3" xfId="26282" xr:uid="{00000000-0005-0000-0000-0000DE790000}"/>
    <cellStyle name="Porcentaje 2 4 4 3 4" xfId="11496" xr:uid="{00000000-0005-0000-0000-0000DF790000}"/>
    <cellStyle name="Porcentaje 2 4 4 3 4 2" xfId="31211" xr:uid="{00000000-0005-0000-0000-0000E0790000}"/>
    <cellStyle name="Porcentaje 2 4 4 3 5" xfId="21354" xr:uid="{00000000-0005-0000-0000-0000E1790000}"/>
    <cellStyle name="Porcentaje 2 4 4 4" xfId="2864" xr:uid="{00000000-0005-0000-0000-0000E2790000}"/>
    <cellStyle name="Porcentaje 2 4 4 4 2" xfId="7796" xr:uid="{00000000-0005-0000-0000-0000E3790000}"/>
    <cellStyle name="Porcentaje 2 4 4 4 2 2" xfId="17656" xr:uid="{00000000-0005-0000-0000-0000E4790000}"/>
    <cellStyle name="Porcentaje 2 4 4 4 2 2 2" xfId="37371" xr:uid="{00000000-0005-0000-0000-0000E5790000}"/>
    <cellStyle name="Porcentaje 2 4 4 4 2 3" xfId="27514" xr:uid="{00000000-0005-0000-0000-0000E6790000}"/>
    <cellStyle name="Porcentaje 2 4 4 4 3" xfId="12728" xr:uid="{00000000-0005-0000-0000-0000E7790000}"/>
    <cellStyle name="Porcentaje 2 4 4 4 3 2" xfId="32443" xr:uid="{00000000-0005-0000-0000-0000E8790000}"/>
    <cellStyle name="Porcentaje 2 4 4 4 4" xfId="22586" xr:uid="{00000000-0005-0000-0000-0000E9790000}"/>
    <cellStyle name="Porcentaje 2 4 4 5" xfId="5332" xr:uid="{00000000-0005-0000-0000-0000EA790000}"/>
    <cellStyle name="Porcentaje 2 4 4 5 2" xfId="15192" xr:uid="{00000000-0005-0000-0000-0000EB790000}"/>
    <cellStyle name="Porcentaje 2 4 4 5 2 2" xfId="34907" xr:uid="{00000000-0005-0000-0000-0000EC790000}"/>
    <cellStyle name="Porcentaje 2 4 4 5 3" xfId="25050" xr:uid="{00000000-0005-0000-0000-0000ED790000}"/>
    <cellStyle name="Porcentaje 2 4 4 6" xfId="10264" xr:uid="{00000000-0005-0000-0000-0000EE790000}"/>
    <cellStyle name="Porcentaje 2 4 4 6 2" xfId="29979" xr:uid="{00000000-0005-0000-0000-0000EF790000}"/>
    <cellStyle name="Porcentaje 2 4 4 7" xfId="20122" xr:uid="{00000000-0005-0000-0000-0000F0790000}"/>
    <cellStyle name="Porcentaje 2 4 5" xfId="703" xr:uid="{00000000-0005-0000-0000-0000F1790000}"/>
    <cellStyle name="Porcentaje 2 4 5 2" xfId="1939" xr:uid="{00000000-0005-0000-0000-0000F2790000}"/>
    <cellStyle name="Porcentaje 2 4 5 2 2" xfId="4406" xr:uid="{00000000-0005-0000-0000-0000F3790000}"/>
    <cellStyle name="Porcentaje 2 4 5 2 2 2" xfId="9338" xr:uid="{00000000-0005-0000-0000-0000F4790000}"/>
    <cellStyle name="Porcentaje 2 4 5 2 2 2 2" xfId="19198" xr:uid="{00000000-0005-0000-0000-0000F5790000}"/>
    <cellStyle name="Porcentaje 2 4 5 2 2 2 2 2" xfId="38913" xr:uid="{00000000-0005-0000-0000-0000F6790000}"/>
    <cellStyle name="Porcentaje 2 4 5 2 2 2 3" xfId="29056" xr:uid="{00000000-0005-0000-0000-0000F7790000}"/>
    <cellStyle name="Porcentaje 2 4 5 2 2 3" xfId="14270" xr:uid="{00000000-0005-0000-0000-0000F8790000}"/>
    <cellStyle name="Porcentaje 2 4 5 2 2 3 2" xfId="33985" xr:uid="{00000000-0005-0000-0000-0000F9790000}"/>
    <cellStyle name="Porcentaje 2 4 5 2 2 4" xfId="24128" xr:uid="{00000000-0005-0000-0000-0000FA790000}"/>
    <cellStyle name="Porcentaje 2 4 5 2 3" xfId="6874" xr:uid="{00000000-0005-0000-0000-0000FB790000}"/>
    <cellStyle name="Porcentaje 2 4 5 2 3 2" xfId="16734" xr:uid="{00000000-0005-0000-0000-0000FC790000}"/>
    <cellStyle name="Porcentaje 2 4 5 2 3 2 2" xfId="36449" xr:uid="{00000000-0005-0000-0000-0000FD790000}"/>
    <cellStyle name="Porcentaje 2 4 5 2 3 3" xfId="26592" xr:uid="{00000000-0005-0000-0000-0000FE790000}"/>
    <cellStyle name="Porcentaje 2 4 5 2 4" xfId="11806" xr:uid="{00000000-0005-0000-0000-0000FF790000}"/>
    <cellStyle name="Porcentaje 2 4 5 2 4 2" xfId="31521" xr:uid="{00000000-0005-0000-0000-0000007A0000}"/>
    <cellStyle name="Porcentaje 2 4 5 2 5" xfId="21664" xr:uid="{00000000-0005-0000-0000-0000017A0000}"/>
    <cellStyle name="Porcentaje 2 4 5 3" xfId="3174" xr:uid="{00000000-0005-0000-0000-0000027A0000}"/>
    <cellStyle name="Porcentaje 2 4 5 3 2" xfId="8106" xr:uid="{00000000-0005-0000-0000-0000037A0000}"/>
    <cellStyle name="Porcentaje 2 4 5 3 2 2" xfId="17966" xr:uid="{00000000-0005-0000-0000-0000047A0000}"/>
    <cellStyle name="Porcentaje 2 4 5 3 2 2 2" xfId="37681" xr:uid="{00000000-0005-0000-0000-0000057A0000}"/>
    <cellStyle name="Porcentaje 2 4 5 3 2 3" xfId="27824" xr:uid="{00000000-0005-0000-0000-0000067A0000}"/>
    <cellStyle name="Porcentaje 2 4 5 3 3" xfId="13038" xr:uid="{00000000-0005-0000-0000-0000077A0000}"/>
    <cellStyle name="Porcentaje 2 4 5 3 3 2" xfId="32753" xr:uid="{00000000-0005-0000-0000-0000087A0000}"/>
    <cellStyle name="Porcentaje 2 4 5 3 4" xfId="22896" xr:uid="{00000000-0005-0000-0000-0000097A0000}"/>
    <cellStyle name="Porcentaje 2 4 5 4" xfId="5642" xr:uid="{00000000-0005-0000-0000-00000A7A0000}"/>
    <cellStyle name="Porcentaje 2 4 5 4 2" xfId="15502" xr:uid="{00000000-0005-0000-0000-00000B7A0000}"/>
    <cellStyle name="Porcentaje 2 4 5 4 2 2" xfId="35217" xr:uid="{00000000-0005-0000-0000-00000C7A0000}"/>
    <cellStyle name="Porcentaje 2 4 5 4 3" xfId="25360" xr:uid="{00000000-0005-0000-0000-00000D7A0000}"/>
    <cellStyle name="Porcentaje 2 4 5 5" xfId="10574" xr:uid="{00000000-0005-0000-0000-00000E7A0000}"/>
    <cellStyle name="Porcentaje 2 4 5 5 2" xfId="30289" xr:uid="{00000000-0005-0000-0000-00000F7A0000}"/>
    <cellStyle name="Porcentaje 2 4 5 6" xfId="20432" xr:uid="{00000000-0005-0000-0000-0000107A0000}"/>
    <cellStyle name="Porcentaje 2 4 6" xfId="1323" xr:uid="{00000000-0005-0000-0000-0000117A0000}"/>
    <cellStyle name="Porcentaje 2 4 6 2" xfId="3790" xr:uid="{00000000-0005-0000-0000-0000127A0000}"/>
    <cellStyle name="Porcentaje 2 4 6 2 2" xfId="8722" xr:uid="{00000000-0005-0000-0000-0000137A0000}"/>
    <cellStyle name="Porcentaje 2 4 6 2 2 2" xfId="18582" xr:uid="{00000000-0005-0000-0000-0000147A0000}"/>
    <cellStyle name="Porcentaje 2 4 6 2 2 2 2" xfId="38297" xr:uid="{00000000-0005-0000-0000-0000157A0000}"/>
    <cellStyle name="Porcentaje 2 4 6 2 2 3" xfId="28440" xr:uid="{00000000-0005-0000-0000-0000167A0000}"/>
    <cellStyle name="Porcentaje 2 4 6 2 3" xfId="13654" xr:uid="{00000000-0005-0000-0000-0000177A0000}"/>
    <cellStyle name="Porcentaje 2 4 6 2 3 2" xfId="33369" xr:uid="{00000000-0005-0000-0000-0000187A0000}"/>
    <cellStyle name="Porcentaje 2 4 6 2 4" xfId="23512" xr:uid="{00000000-0005-0000-0000-0000197A0000}"/>
    <cellStyle name="Porcentaje 2 4 6 3" xfId="6258" xr:uid="{00000000-0005-0000-0000-00001A7A0000}"/>
    <cellStyle name="Porcentaje 2 4 6 3 2" xfId="16118" xr:uid="{00000000-0005-0000-0000-00001B7A0000}"/>
    <cellStyle name="Porcentaje 2 4 6 3 2 2" xfId="35833" xr:uid="{00000000-0005-0000-0000-00001C7A0000}"/>
    <cellStyle name="Porcentaje 2 4 6 3 3" xfId="25976" xr:uid="{00000000-0005-0000-0000-00001D7A0000}"/>
    <cellStyle name="Porcentaje 2 4 6 4" xfId="11190" xr:uid="{00000000-0005-0000-0000-00001E7A0000}"/>
    <cellStyle name="Porcentaje 2 4 6 4 2" xfId="30905" xr:uid="{00000000-0005-0000-0000-00001F7A0000}"/>
    <cellStyle name="Porcentaje 2 4 6 5" xfId="21048" xr:uid="{00000000-0005-0000-0000-0000207A0000}"/>
    <cellStyle name="Porcentaje 2 4 7" xfId="2558" xr:uid="{00000000-0005-0000-0000-0000217A0000}"/>
    <cellStyle name="Porcentaje 2 4 7 2" xfId="7490" xr:uid="{00000000-0005-0000-0000-0000227A0000}"/>
    <cellStyle name="Porcentaje 2 4 7 2 2" xfId="17350" xr:uid="{00000000-0005-0000-0000-0000237A0000}"/>
    <cellStyle name="Porcentaje 2 4 7 2 2 2" xfId="37065" xr:uid="{00000000-0005-0000-0000-0000247A0000}"/>
    <cellStyle name="Porcentaje 2 4 7 2 3" xfId="27208" xr:uid="{00000000-0005-0000-0000-0000257A0000}"/>
    <cellStyle name="Porcentaje 2 4 7 3" xfId="12422" xr:uid="{00000000-0005-0000-0000-0000267A0000}"/>
    <cellStyle name="Porcentaje 2 4 7 3 2" xfId="32137" xr:uid="{00000000-0005-0000-0000-0000277A0000}"/>
    <cellStyle name="Porcentaje 2 4 7 4" xfId="22280" xr:uid="{00000000-0005-0000-0000-0000287A0000}"/>
    <cellStyle name="Porcentaje 2 4 8" xfId="5026" xr:uid="{00000000-0005-0000-0000-0000297A0000}"/>
    <cellStyle name="Porcentaje 2 4 8 2" xfId="14886" xr:uid="{00000000-0005-0000-0000-00002A7A0000}"/>
    <cellStyle name="Porcentaje 2 4 8 2 2" xfId="34601" xr:uid="{00000000-0005-0000-0000-00002B7A0000}"/>
    <cellStyle name="Porcentaje 2 4 8 3" xfId="24744" xr:uid="{00000000-0005-0000-0000-00002C7A0000}"/>
    <cellStyle name="Porcentaje 2 4 9" xfId="9958" xr:uid="{00000000-0005-0000-0000-00002D7A0000}"/>
    <cellStyle name="Porcentaje 2 4 9 2" xfId="29673" xr:uid="{00000000-0005-0000-0000-00002E7A0000}"/>
    <cellStyle name="Porcentaje 2 5" xfId="108" xr:uid="{00000000-0005-0000-0000-00002F7A0000}"/>
    <cellStyle name="Porcentaje 2 5 2" xfId="266" xr:uid="{00000000-0005-0000-0000-0000307A0000}"/>
    <cellStyle name="Porcentaje 2 5 2 2" xfId="580" xr:uid="{00000000-0005-0000-0000-0000317A0000}"/>
    <cellStyle name="Porcentaje 2 5 2 2 2" xfId="1200" xr:uid="{00000000-0005-0000-0000-0000327A0000}"/>
    <cellStyle name="Porcentaje 2 5 2 2 2 2" xfId="2435" xr:uid="{00000000-0005-0000-0000-0000337A0000}"/>
    <cellStyle name="Porcentaje 2 5 2 2 2 2 2" xfId="4902" xr:uid="{00000000-0005-0000-0000-0000347A0000}"/>
    <cellStyle name="Porcentaje 2 5 2 2 2 2 2 2" xfId="9834" xr:uid="{00000000-0005-0000-0000-0000357A0000}"/>
    <cellStyle name="Porcentaje 2 5 2 2 2 2 2 2 2" xfId="19694" xr:uid="{00000000-0005-0000-0000-0000367A0000}"/>
    <cellStyle name="Porcentaje 2 5 2 2 2 2 2 2 2 2" xfId="39409" xr:uid="{00000000-0005-0000-0000-0000377A0000}"/>
    <cellStyle name="Porcentaje 2 5 2 2 2 2 2 2 3" xfId="29552" xr:uid="{00000000-0005-0000-0000-0000387A0000}"/>
    <cellStyle name="Porcentaje 2 5 2 2 2 2 2 3" xfId="14766" xr:uid="{00000000-0005-0000-0000-0000397A0000}"/>
    <cellStyle name="Porcentaje 2 5 2 2 2 2 2 3 2" xfId="34481" xr:uid="{00000000-0005-0000-0000-00003A7A0000}"/>
    <cellStyle name="Porcentaje 2 5 2 2 2 2 2 4" xfId="24624" xr:uid="{00000000-0005-0000-0000-00003B7A0000}"/>
    <cellStyle name="Porcentaje 2 5 2 2 2 2 3" xfId="7370" xr:uid="{00000000-0005-0000-0000-00003C7A0000}"/>
    <cellStyle name="Porcentaje 2 5 2 2 2 2 3 2" xfId="17230" xr:uid="{00000000-0005-0000-0000-00003D7A0000}"/>
    <cellStyle name="Porcentaje 2 5 2 2 2 2 3 2 2" xfId="36945" xr:uid="{00000000-0005-0000-0000-00003E7A0000}"/>
    <cellStyle name="Porcentaje 2 5 2 2 2 2 3 3" xfId="27088" xr:uid="{00000000-0005-0000-0000-00003F7A0000}"/>
    <cellStyle name="Porcentaje 2 5 2 2 2 2 4" xfId="12302" xr:uid="{00000000-0005-0000-0000-0000407A0000}"/>
    <cellStyle name="Porcentaje 2 5 2 2 2 2 4 2" xfId="32017" xr:uid="{00000000-0005-0000-0000-0000417A0000}"/>
    <cellStyle name="Porcentaje 2 5 2 2 2 2 5" xfId="22160" xr:uid="{00000000-0005-0000-0000-0000427A0000}"/>
    <cellStyle name="Porcentaje 2 5 2 2 2 3" xfId="3670" xr:uid="{00000000-0005-0000-0000-0000437A0000}"/>
    <cellStyle name="Porcentaje 2 5 2 2 2 3 2" xfId="8602" xr:uid="{00000000-0005-0000-0000-0000447A0000}"/>
    <cellStyle name="Porcentaje 2 5 2 2 2 3 2 2" xfId="18462" xr:uid="{00000000-0005-0000-0000-0000457A0000}"/>
    <cellStyle name="Porcentaje 2 5 2 2 2 3 2 2 2" xfId="38177" xr:uid="{00000000-0005-0000-0000-0000467A0000}"/>
    <cellStyle name="Porcentaje 2 5 2 2 2 3 2 3" xfId="28320" xr:uid="{00000000-0005-0000-0000-0000477A0000}"/>
    <cellStyle name="Porcentaje 2 5 2 2 2 3 3" xfId="13534" xr:uid="{00000000-0005-0000-0000-0000487A0000}"/>
    <cellStyle name="Porcentaje 2 5 2 2 2 3 3 2" xfId="33249" xr:uid="{00000000-0005-0000-0000-0000497A0000}"/>
    <cellStyle name="Porcentaje 2 5 2 2 2 3 4" xfId="23392" xr:uid="{00000000-0005-0000-0000-00004A7A0000}"/>
    <cellStyle name="Porcentaje 2 5 2 2 2 4" xfId="6138" xr:uid="{00000000-0005-0000-0000-00004B7A0000}"/>
    <cellStyle name="Porcentaje 2 5 2 2 2 4 2" xfId="15998" xr:uid="{00000000-0005-0000-0000-00004C7A0000}"/>
    <cellStyle name="Porcentaje 2 5 2 2 2 4 2 2" xfId="35713" xr:uid="{00000000-0005-0000-0000-00004D7A0000}"/>
    <cellStyle name="Porcentaje 2 5 2 2 2 4 3" xfId="25856" xr:uid="{00000000-0005-0000-0000-00004E7A0000}"/>
    <cellStyle name="Porcentaje 2 5 2 2 2 5" xfId="11070" xr:uid="{00000000-0005-0000-0000-00004F7A0000}"/>
    <cellStyle name="Porcentaje 2 5 2 2 2 5 2" xfId="30785" xr:uid="{00000000-0005-0000-0000-0000507A0000}"/>
    <cellStyle name="Porcentaje 2 5 2 2 2 6" xfId="20928" xr:uid="{00000000-0005-0000-0000-0000517A0000}"/>
    <cellStyle name="Porcentaje 2 5 2 2 3" xfId="1819" xr:uid="{00000000-0005-0000-0000-0000527A0000}"/>
    <cellStyle name="Porcentaje 2 5 2 2 3 2" xfId="4286" xr:uid="{00000000-0005-0000-0000-0000537A0000}"/>
    <cellStyle name="Porcentaje 2 5 2 2 3 2 2" xfId="9218" xr:uid="{00000000-0005-0000-0000-0000547A0000}"/>
    <cellStyle name="Porcentaje 2 5 2 2 3 2 2 2" xfId="19078" xr:uid="{00000000-0005-0000-0000-0000557A0000}"/>
    <cellStyle name="Porcentaje 2 5 2 2 3 2 2 2 2" xfId="38793" xr:uid="{00000000-0005-0000-0000-0000567A0000}"/>
    <cellStyle name="Porcentaje 2 5 2 2 3 2 2 3" xfId="28936" xr:uid="{00000000-0005-0000-0000-0000577A0000}"/>
    <cellStyle name="Porcentaje 2 5 2 2 3 2 3" xfId="14150" xr:uid="{00000000-0005-0000-0000-0000587A0000}"/>
    <cellStyle name="Porcentaje 2 5 2 2 3 2 3 2" xfId="33865" xr:uid="{00000000-0005-0000-0000-0000597A0000}"/>
    <cellStyle name="Porcentaje 2 5 2 2 3 2 4" xfId="24008" xr:uid="{00000000-0005-0000-0000-00005A7A0000}"/>
    <cellStyle name="Porcentaje 2 5 2 2 3 3" xfId="6754" xr:uid="{00000000-0005-0000-0000-00005B7A0000}"/>
    <cellStyle name="Porcentaje 2 5 2 2 3 3 2" xfId="16614" xr:uid="{00000000-0005-0000-0000-00005C7A0000}"/>
    <cellStyle name="Porcentaje 2 5 2 2 3 3 2 2" xfId="36329" xr:uid="{00000000-0005-0000-0000-00005D7A0000}"/>
    <cellStyle name="Porcentaje 2 5 2 2 3 3 3" xfId="26472" xr:uid="{00000000-0005-0000-0000-00005E7A0000}"/>
    <cellStyle name="Porcentaje 2 5 2 2 3 4" xfId="11686" xr:uid="{00000000-0005-0000-0000-00005F7A0000}"/>
    <cellStyle name="Porcentaje 2 5 2 2 3 4 2" xfId="31401" xr:uid="{00000000-0005-0000-0000-0000607A0000}"/>
    <cellStyle name="Porcentaje 2 5 2 2 3 5" xfId="21544" xr:uid="{00000000-0005-0000-0000-0000617A0000}"/>
    <cellStyle name="Porcentaje 2 5 2 2 4" xfId="3054" xr:uid="{00000000-0005-0000-0000-0000627A0000}"/>
    <cellStyle name="Porcentaje 2 5 2 2 4 2" xfId="7986" xr:uid="{00000000-0005-0000-0000-0000637A0000}"/>
    <cellStyle name="Porcentaje 2 5 2 2 4 2 2" xfId="17846" xr:uid="{00000000-0005-0000-0000-0000647A0000}"/>
    <cellStyle name="Porcentaje 2 5 2 2 4 2 2 2" xfId="37561" xr:uid="{00000000-0005-0000-0000-0000657A0000}"/>
    <cellStyle name="Porcentaje 2 5 2 2 4 2 3" xfId="27704" xr:uid="{00000000-0005-0000-0000-0000667A0000}"/>
    <cellStyle name="Porcentaje 2 5 2 2 4 3" xfId="12918" xr:uid="{00000000-0005-0000-0000-0000677A0000}"/>
    <cellStyle name="Porcentaje 2 5 2 2 4 3 2" xfId="32633" xr:uid="{00000000-0005-0000-0000-0000687A0000}"/>
    <cellStyle name="Porcentaje 2 5 2 2 4 4" xfId="22776" xr:uid="{00000000-0005-0000-0000-0000697A0000}"/>
    <cellStyle name="Porcentaje 2 5 2 2 5" xfId="5522" xr:uid="{00000000-0005-0000-0000-00006A7A0000}"/>
    <cellStyle name="Porcentaje 2 5 2 2 5 2" xfId="15382" xr:uid="{00000000-0005-0000-0000-00006B7A0000}"/>
    <cellStyle name="Porcentaje 2 5 2 2 5 2 2" xfId="35097" xr:uid="{00000000-0005-0000-0000-00006C7A0000}"/>
    <cellStyle name="Porcentaje 2 5 2 2 5 3" xfId="25240" xr:uid="{00000000-0005-0000-0000-00006D7A0000}"/>
    <cellStyle name="Porcentaje 2 5 2 2 6" xfId="10454" xr:uid="{00000000-0005-0000-0000-00006E7A0000}"/>
    <cellStyle name="Porcentaje 2 5 2 2 6 2" xfId="30169" xr:uid="{00000000-0005-0000-0000-00006F7A0000}"/>
    <cellStyle name="Porcentaje 2 5 2 2 7" xfId="20312" xr:uid="{00000000-0005-0000-0000-0000707A0000}"/>
    <cellStyle name="Porcentaje 2 5 2 3" xfId="893" xr:uid="{00000000-0005-0000-0000-0000717A0000}"/>
    <cellStyle name="Porcentaje 2 5 2 3 2" xfId="2129" xr:uid="{00000000-0005-0000-0000-0000727A0000}"/>
    <cellStyle name="Porcentaje 2 5 2 3 2 2" xfId="4596" xr:uid="{00000000-0005-0000-0000-0000737A0000}"/>
    <cellStyle name="Porcentaje 2 5 2 3 2 2 2" xfId="9528" xr:uid="{00000000-0005-0000-0000-0000747A0000}"/>
    <cellStyle name="Porcentaje 2 5 2 3 2 2 2 2" xfId="19388" xr:uid="{00000000-0005-0000-0000-0000757A0000}"/>
    <cellStyle name="Porcentaje 2 5 2 3 2 2 2 2 2" xfId="39103" xr:uid="{00000000-0005-0000-0000-0000767A0000}"/>
    <cellStyle name="Porcentaje 2 5 2 3 2 2 2 3" xfId="29246" xr:uid="{00000000-0005-0000-0000-0000777A0000}"/>
    <cellStyle name="Porcentaje 2 5 2 3 2 2 3" xfId="14460" xr:uid="{00000000-0005-0000-0000-0000787A0000}"/>
    <cellStyle name="Porcentaje 2 5 2 3 2 2 3 2" xfId="34175" xr:uid="{00000000-0005-0000-0000-0000797A0000}"/>
    <cellStyle name="Porcentaje 2 5 2 3 2 2 4" xfId="24318" xr:uid="{00000000-0005-0000-0000-00007A7A0000}"/>
    <cellStyle name="Porcentaje 2 5 2 3 2 3" xfId="7064" xr:uid="{00000000-0005-0000-0000-00007B7A0000}"/>
    <cellStyle name="Porcentaje 2 5 2 3 2 3 2" xfId="16924" xr:uid="{00000000-0005-0000-0000-00007C7A0000}"/>
    <cellStyle name="Porcentaje 2 5 2 3 2 3 2 2" xfId="36639" xr:uid="{00000000-0005-0000-0000-00007D7A0000}"/>
    <cellStyle name="Porcentaje 2 5 2 3 2 3 3" xfId="26782" xr:uid="{00000000-0005-0000-0000-00007E7A0000}"/>
    <cellStyle name="Porcentaje 2 5 2 3 2 4" xfId="11996" xr:uid="{00000000-0005-0000-0000-00007F7A0000}"/>
    <cellStyle name="Porcentaje 2 5 2 3 2 4 2" xfId="31711" xr:uid="{00000000-0005-0000-0000-0000807A0000}"/>
    <cellStyle name="Porcentaje 2 5 2 3 2 5" xfId="21854" xr:uid="{00000000-0005-0000-0000-0000817A0000}"/>
    <cellStyle name="Porcentaje 2 5 2 3 3" xfId="3364" xr:uid="{00000000-0005-0000-0000-0000827A0000}"/>
    <cellStyle name="Porcentaje 2 5 2 3 3 2" xfId="8296" xr:uid="{00000000-0005-0000-0000-0000837A0000}"/>
    <cellStyle name="Porcentaje 2 5 2 3 3 2 2" xfId="18156" xr:uid="{00000000-0005-0000-0000-0000847A0000}"/>
    <cellStyle name="Porcentaje 2 5 2 3 3 2 2 2" xfId="37871" xr:uid="{00000000-0005-0000-0000-0000857A0000}"/>
    <cellStyle name="Porcentaje 2 5 2 3 3 2 3" xfId="28014" xr:uid="{00000000-0005-0000-0000-0000867A0000}"/>
    <cellStyle name="Porcentaje 2 5 2 3 3 3" xfId="13228" xr:uid="{00000000-0005-0000-0000-0000877A0000}"/>
    <cellStyle name="Porcentaje 2 5 2 3 3 3 2" xfId="32943" xr:uid="{00000000-0005-0000-0000-0000887A0000}"/>
    <cellStyle name="Porcentaje 2 5 2 3 3 4" xfId="23086" xr:uid="{00000000-0005-0000-0000-0000897A0000}"/>
    <cellStyle name="Porcentaje 2 5 2 3 4" xfId="5832" xr:uid="{00000000-0005-0000-0000-00008A7A0000}"/>
    <cellStyle name="Porcentaje 2 5 2 3 4 2" xfId="15692" xr:uid="{00000000-0005-0000-0000-00008B7A0000}"/>
    <cellStyle name="Porcentaje 2 5 2 3 4 2 2" xfId="35407" xr:uid="{00000000-0005-0000-0000-00008C7A0000}"/>
    <cellStyle name="Porcentaje 2 5 2 3 4 3" xfId="25550" xr:uid="{00000000-0005-0000-0000-00008D7A0000}"/>
    <cellStyle name="Porcentaje 2 5 2 3 5" xfId="10764" xr:uid="{00000000-0005-0000-0000-00008E7A0000}"/>
    <cellStyle name="Porcentaje 2 5 2 3 5 2" xfId="30479" xr:uid="{00000000-0005-0000-0000-00008F7A0000}"/>
    <cellStyle name="Porcentaje 2 5 2 3 6" xfId="20622" xr:uid="{00000000-0005-0000-0000-0000907A0000}"/>
    <cellStyle name="Porcentaje 2 5 2 4" xfId="1513" xr:uid="{00000000-0005-0000-0000-0000917A0000}"/>
    <cellStyle name="Porcentaje 2 5 2 4 2" xfId="3980" xr:uid="{00000000-0005-0000-0000-0000927A0000}"/>
    <cellStyle name="Porcentaje 2 5 2 4 2 2" xfId="8912" xr:uid="{00000000-0005-0000-0000-0000937A0000}"/>
    <cellStyle name="Porcentaje 2 5 2 4 2 2 2" xfId="18772" xr:uid="{00000000-0005-0000-0000-0000947A0000}"/>
    <cellStyle name="Porcentaje 2 5 2 4 2 2 2 2" xfId="38487" xr:uid="{00000000-0005-0000-0000-0000957A0000}"/>
    <cellStyle name="Porcentaje 2 5 2 4 2 2 3" xfId="28630" xr:uid="{00000000-0005-0000-0000-0000967A0000}"/>
    <cellStyle name="Porcentaje 2 5 2 4 2 3" xfId="13844" xr:uid="{00000000-0005-0000-0000-0000977A0000}"/>
    <cellStyle name="Porcentaje 2 5 2 4 2 3 2" xfId="33559" xr:uid="{00000000-0005-0000-0000-0000987A0000}"/>
    <cellStyle name="Porcentaje 2 5 2 4 2 4" xfId="23702" xr:uid="{00000000-0005-0000-0000-0000997A0000}"/>
    <cellStyle name="Porcentaje 2 5 2 4 3" xfId="6448" xr:uid="{00000000-0005-0000-0000-00009A7A0000}"/>
    <cellStyle name="Porcentaje 2 5 2 4 3 2" xfId="16308" xr:uid="{00000000-0005-0000-0000-00009B7A0000}"/>
    <cellStyle name="Porcentaje 2 5 2 4 3 2 2" xfId="36023" xr:uid="{00000000-0005-0000-0000-00009C7A0000}"/>
    <cellStyle name="Porcentaje 2 5 2 4 3 3" xfId="26166" xr:uid="{00000000-0005-0000-0000-00009D7A0000}"/>
    <cellStyle name="Porcentaje 2 5 2 4 4" xfId="11380" xr:uid="{00000000-0005-0000-0000-00009E7A0000}"/>
    <cellStyle name="Porcentaje 2 5 2 4 4 2" xfId="31095" xr:uid="{00000000-0005-0000-0000-00009F7A0000}"/>
    <cellStyle name="Porcentaje 2 5 2 4 5" xfId="21238" xr:uid="{00000000-0005-0000-0000-0000A07A0000}"/>
    <cellStyle name="Porcentaje 2 5 2 5" xfId="2748" xr:uid="{00000000-0005-0000-0000-0000A17A0000}"/>
    <cellStyle name="Porcentaje 2 5 2 5 2" xfId="7680" xr:uid="{00000000-0005-0000-0000-0000A27A0000}"/>
    <cellStyle name="Porcentaje 2 5 2 5 2 2" xfId="17540" xr:uid="{00000000-0005-0000-0000-0000A37A0000}"/>
    <cellStyle name="Porcentaje 2 5 2 5 2 2 2" xfId="37255" xr:uid="{00000000-0005-0000-0000-0000A47A0000}"/>
    <cellStyle name="Porcentaje 2 5 2 5 2 3" xfId="27398" xr:uid="{00000000-0005-0000-0000-0000A57A0000}"/>
    <cellStyle name="Porcentaje 2 5 2 5 3" xfId="12612" xr:uid="{00000000-0005-0000-0000-0000A67A0000}"/>
    <cellStyle name="Porcentaje 2 5 2 5 3 2" xfId="32327" xr:uid="{00000000-0005-0000-0000-0000A77A0000}"/>
    <cellStyle name="Porcentaje 2 5 2 5 4" xfId="22470" xr:uid="{00000000-0005-0000-0000-0000A87A0000}"/>
    <cellStyle name="Porcentaje 2 5 2 6" xfId="5216" xr:uid="{00000000-0005-0000-0000-0000A97A0000}"/>
    <cellStyle name="Porcentaje 2 5 2 6 2" xfId="15076" xr:uid="{00000000-0005-0000-0000-0000AA7A0000}"/>
    <cellStyle name="Porcentaje 2 5 2 6 2 2" xfId="34791" xr:uid="{00000000-0005-0000-0000-0000AB7A0000}"/>
    <cellStyle name="Porcentaje 2 5 2 6 3" xfId="24934" xr:uid="{00000000-0005-0000-0000-0000AC7A0000}"/>
    <cellStyle name="Porcentaje 2 5 2 7" xfId="10148" xr:uid="{00000000-0005-0000-0000-0000AD7A0000}"/>
    <cellStyle name="Porcentaje 2 5 2 7 2" xfId="29863" xr:uid="{00000000-0005-0000-0000-0000AE7A0000}"/>
    <cellStyle name="Porcentaje 2 5 2 8" xfId="20006" xr:uid="{00000000-0005-0000-0000-0000AF7A0000}"/>
    <cellStyle name="Porcentaje 2 5 3" xfId="428" xr:uid="{00000000-0005-0000-0000-0000B07A0000}"/>
    <cellStyle name="Porcentaje 2 5 3 2" xfId="1048" xr:uid="{00000000-0005-0000-0000-0000B17A0000}"/>
    <cellStyle name="Porcentaje 2 5 3 2 2" xfId="2283" xr:uid="{00000000-0005-0000-0000-0000B27A0000}"/>
    <cellStyle name="Porcentaje 2 5 3 2 2 2" xfId="4750" xr:uid="{00000000-0005-0000-0000-0000B37A0000}"/>
    <cellStyle name="Porcentaje 2 5 3 2 2 2 2" xfId="9682" xr:uid="{00000000-0005-0000-0000-0000B47A0000}"/>
    <cellStyle name="Porcentaje 2 5 3 2 2 2 2 2" xfId="19542" xr:uid="{00000000-0005-0000-0000-0000B57A0000}"/>
    <cellStyle name="Porcentaje 2 5 3 2 2 2 2 2 2" xfId="39257" xr:uid="{00000000-0005-0000-0000-0000B67A0000}"/>
    <cellStyle name="Porcentaje 2 5 3 2 2 2 2 3" xfId="29400" xr:uid="{00000000-0005-0000-0000-0000B77A0000}"/>
    <cellStyle name="Porcentaje 2 5 3 2 2 2 3" xfId="14614" xr:uid="{00000000-0005-0000-0000-0000B87A0000}"/>
    <cellStyle name="Porcentaje 2 5 3 2 2 2 3 2" xfId="34329" xr:uid="{00000000-0005-0000-0000-0000B97A0000}"/>
    <cellStyle name="Porcentaje 2 5 3 2 2 2 4" xfId="24472" xr:uid="{00000000-0005-0000-0000-0000BA7A0000}"/>
    <cellStyle name="Porcentaje 2 5 3 2 2 3" xfId="7218" xr:uid="{00000000-0005-0000-0000-0000BB7A0000}"/>
    <cellStyle name="Porcentaje 2 5 3 2 2 3 2" xfId="17078" xr:uid="{00000000-0005-0000-0000-0000BC7A0000}"/>
    <cellStyle name="Porcentaje 2 5 3 2 2 3 2 2" xfId="36793" xr:uid="{00000000-0005-0000-0000-0000BD7A0000}"/>
    <cellStyle name="Porcentaje 2 5 3 2 2 3 3" xfId="26936" xr:uid="{00000000-0005-0000-0000-0000BE7A0000}"/>
    <cellStyle name="Porcentaje 2 5 3 2 2 4" xfId="12150" xr:uid="{00000000-0005-0000-0000-0000BF7A0000}"/>
    <cellStyle name="Porcentaje 2 5 3 2 2 4 2" xfId="31865" xr:uid="{00000000-0005-0000-0000-0000C07A0000}"/>
    <cellStyle name="Porcentaje 2 5 3 2 2 5" xfId="22008" xr:uid="{00000000-0005-0000-0000-0000C17A0000}"/>
    <cellStyle name="Porcentaje 2 5 3 2 3" xfId="3518" xr:uid="{00000000-0005-0000-0000-0000C27A0000}"/>
    <cellStyle name="Porcentaje 2 5 3 2 3 2" xfId="8450" xr:uid="{00000000-0005-0000-0000-0000C37A0000}"/>
    <cellStyle name="Porcentaje 2 5 3 2 3 2 2" xfId="18310" xr:uid="{00000000-0005-0000-0000-0000C47A0000}"/>
    <cellStyle name="Porcentaje 2 5 3 2 3 2 2 2" xfId="38025" xr:uid="{00000000-0005-0000-0000-0000C57A0000}"/>
    <cellStyle name="Porcentaje 2 5 3 2 3 2 3" xfId="28168" xr:uid="{00000000-0005-0000-0000-0000C67A0000}"/>
    <cellStyle name="Porcentaje 2 5 3 2 3 3" xfId="13382" xr:uid="{00000000-0005-0000-0000-0000C77A0000}"/>
    <cellStyle name="Porcentaje 2 5 3 2 3 3 2" xfId="33097" xr:uid="{00000000-0005-0000-0000-0000C87A0000}"/>
    <cellStyle name="Porcentaje 2 5 3 2 3 4" xfId="23240" xr:uid="{00000000-0005-0000-0000-0000C97A0000}"/>
    <cellStyle name="Porcentaje 2 5 3 2 4" xfId="5986" xr:uid="{00000000-0005-0000-0000-0000CA7A0000}"/>
    <cellStyle name="Porcentaje 2 5 3 2 4 2" xfId="15846" xr:uid="{00000000-0005-0000-0000-0000CB7A0000}"/>
    <cellStyle name="Porcentaje 2 5 3 2 4 2 2" xfId="35561" xr:uid="{00000000-0005-0000-0000-0000CC7A0000}"/>
    <cellStyle name="Porcentaje 2 5 3 2 4 3" xfId="25704" xr:uid="{00000000-0005-0000-0000-0000CD7A0000}"/>
    <cellStyle name="Porcentaje 2 5 3 2 5" xfId="10918" xr:uid="{00000000-0005-0000-0000-0000CE7A0000}"/>
    <cellStyle name="Porcentaje 2 5 3 2 5 2" xfId="30633" xr:uid="{00000000-0005-0000-0000-0000CF7A0000}"/>
    <cellStyle name="Porcentaje 2 5 3 2 6" xfId="20776" xr:uid="{00000000-0005-0000-0000-0000D07A0000}"/>
    <cellStyle name="Porcentaje 2 5 3 3" xfId="1667" xr:uid="{00000000-0005-0000-0000-0000D17A0000}"/>
    <cellStyle name="Porcentaje 2 5 3 3 2" xfId="4134" xr:uid="{00000000-0005-0000-0000-0000D27A0000}"/>
    <cellStyle name="Porcentaje 2 5 3 3 2 2" xfId="9066" xr:uid="{00000000-0005-0000-0000-0000D37A0000}"/>
    <cellStyle name="Porcentaje 2 5 3 3 2 2 2" xfId="18926" xr:uid="{00000000-0005-0000-0000-0000D47A0000}"/>
    <cellStyle name="Porcentaje 2 5 3 3 2 2 2 2" xfId="38641" xr:uid="{00000000-0005-0000-0000-0000D57A0000}"/>
    <cellStyle name="Porcentaje 2 5 3 3 2 2 3" xfId="28784" xr:uid="{00000000-0005-0000-0000-0000D67A0000}"/>
    <cellStyle name="Porcentaje 2 5 3 3 2 3" xfId="13998" xr:uid="{00000000-0005-0000-0000-0000D77A0000}"/>
    <cellStyle name="Porcentaje 2 5 3 3 2 3 2" xfId="33713" xr:uid="{00000000-0005-0000-0000-0000D87A0000}"/>
    <cellStyle name="Porcentaje 2 5 3 3 2 4" xfId="23856" xr:uid="{00000000-0005-0000-0000-0000D97A0000}"/>
    <cellStyle name="Porcentaje 2 5 3 3 3" xfId="6602" xr:uid="{00000000-0005-0000-0000-0000DA7A0000}"/>
    <cellStyle name="Porcentaje 2 5 3 3 3 2" xfId="16462" xr:uid="{00000000-0005-0000-0000-0000DB7A0000}"/>
    <cellStyle name="Porcentaje 2 5 3 3 3 2 2" xfId="36177" xr:uid="{00000000-0005-0000-0000-0000DC7A0000}"/>
    <cellStyle name="Porcentaje 2 5 3 3 3 3" xfId="26320" xr:uid="{00000000-0005-0000-0000-0000DD7A0000}"/>
    <cellStyle name="Porcentaje 2 5 3 3 4" xfId="11534" xr:uid="{00000000-0005-0000-0000-0000DE7A0000}"/>
    <cellStyle name="Porcentaje 2 5 3 3 4 2" xfId="31249" xr:uid="{00000000-0005-0000-0000-0000DF7A0000}"/>
    <cellStyle name="Porcentaje 2 5 3 3 5" xfId="21392" xr:uid="{00000000-0005-0000-0000-0000E07A0000}"/>
    <cellStyle name="Porcentaje 2 5 3 4" xfId="2902" xr:uid="{00000000-0005-0000-0000-0000E17A0000}"/>
    <cellStyle name="Porcentaje 2 5 3 4 2" xfId="7834" xr:uid="{00000000-0005-0000-0000-0000E27A0000}"/>
    <cellStyle name="Porcentaje 2 5 3 4 2 2" xfId="17694" xr:uid="{00000000-0005-0000-0000-0000E37A0000}"/>
    <cellStyle name="Porcentaje 2 5 3 4 2 2 2" xfId="37409" xr:uid="{00000000-0005-0000-0000-0000E47A0000}"/>
    <cellStyle name="Porcentaje 2 5 3 4 2 3" xfId="27552" xr:uid="{00000000-0005-0000-0000-0000E57A0000}"/>
    <cellStyle name="Porcentaje 2 5 3 4 3" xfId="12766" xr:uid="{00000000-0005-0000-0000-0000E67A0000}"/>
    <cellStyle name="Porcentaje 2 5 3 4 3 2" xfId="32481" xr:uid="{00000000-0005-0000-0000-0000E77A0000}"/>
    <cellStyle name="Porcentaje 2 5 3 4 4" xfId="22624" xr:uid="{00000000-0005-0000-0000-0000E87A0000}"/>
    <cellStyle name="Porcentaje 2 5 3 5" xfId="5370" xr:uid="{00000000-0005-0000-0000-0000E97A0000}"/>
    <cellStyle name="Porcentaje 2 5 3 5 2" xfId="15230" xr:uid="{00000000-0005-0000-0000-0000EA7A0000}"/>
    <cellStyle name="Porcentaje 2 5 3 5 2 2" xfId="34945" xr:uid="{00000000-0005-0000-0000-0000EB7A0000}"/>
    <cellStyle name="Porcentaje 2 5 3 5 3" xfId="25088" xr:uid="{00000000-0005-0000-0000-0000EC7A0000}"/>
    <cellStyle name="Porcentaje 2 5 3 6" xfId="10302" xr:uid="{00000000-0005-0000-0000-0000ED7A0000}"/>
    <cellStyle name="Porcentaje 2 5 3 6 2" xfId="30017" xr:uid="{00000000-0005-0000-0000-0000EE7A0000}"/>
    <cellStyle name="Porcentaje 2 5 3 7" xfId="20160" xr:uid="{00000000-0005-0000-0000-0000EF7A0000}"/>
    <cellStyle name="Porcentaje 2 5 4" xfId="741" xr:uid="{00000000-0005-0000-0000-0000F07A0000}"/>
    <cellStyle name="Porcentaje 2 5 4 2" xfId="1977" xr:uid="{00000000-0005-0000-0000-0000F17A0000}"/>
    <cellStyle name="Porcentaje 2 5 4 2 2" xfId="4444" xr:uid="{00000000-0005-0000-0000-0000F27A0000}"/>
    <cellStyle name="Porcentaje 2 5 4 2 2 2" xfId="9376" xr:uid="{00000000-0005-0000-0000-0000F37A0000}"/>
    <cellStyle name="Porcentaje 2 5 4 2 2 2 2" xfId="19236" xr:uid="{00000000-0005-0000-0000-0000F47A0000}"/>
    <cellStyle name="Porcentaje 2 5 4 2 2 2 2 2" xfId="38951" xr:uid="{00000000-0005-0000-0000-0000F57A0000}"/>
    <cellStyle name="Porcentaje 2 5 4 2 2 2 3" xfId="29094" xr:uid="{00000000-0005-0000-0000-0000F67A0000}"/>
    <cellStyle name="Porcentaje 2 5 4 2 2 3" xfId="14308" xr:uid="{00000000-0005-0000-0000-0000F77A0000}"/>
    <cellStyle name="Porcentaje 2 5 4 2 2 3 2" xfId="34023" xr:uid="{00000000-0005-0000-0000-0000F87A0000}"/>
    <cellStyle name="Porcentaje 2 5 4 2 2 4" xfId="24166" xr:uid="{00000000-0005-0000-0000-0000F97A0000}"/>
    <cellStyle name="Porcentaje 2 5 4 2 3" xfId="6912" xr:uid="{00000000-0005-0000-0000-0000FA7A0000}"/>
    <cellStyle name="Porcentaje 2 5 4 2 3 2" xfId="16772" xr:uid="{00000000-0005-0000-0000-0000FB7A0000}"/>
    <cellStyle name="Porcentaje 2 5 4 2 3 2 2" xfId="36487" xr:uid="{00000000-0005-0000-0000-0000FC7A0000}"/>
    <cellStyle name="Porcentaje 2 5 4 2 3 3" xfId="26630" xr:uid="{00000000-0005-0000-0000-0000FD7A0000}"/>
    <cellStyle name="Porcentaje 2 5 4 2 4" xfId="11844" xr:uid="{00000000-0005-0000-0000-0000FE7A0000}"/>
    <cellStyle name="Porcentaje 2 5 4 2 4 2" xfId="31559" xr:uid="{00000000-0005-0000-0000-0000FF7A0000}"/>
    <cellStyle name="Porcentaje 2 5 4 2 5" xfId="21702" xr:uid="{00000000-0005-0000-0000-0000007B0000}"/>
    <cellStyle name="Porcentaje 2 5 4 3" xfId="3212" xr:uid="{00000000-0005-0000-0000-0000017B0000}"/>
    <cellStyle name="Porcentaje 2 5 4 3 2" xfId="8144" xr:uid="{00000000-0005-0000-0000-0000027B0000}"/>
    <cellStyle name="Porcentaje 2 5 4 3 2 2" xfId="18004" xr:uid="{00000000-0005-0000-0000-0000037B0000}"/>
    <cellStyle name="Porcentaje 2 5 4 3 2 2 2" xfId="37719" xr:uid="{00000000-0005-0000-0000-0000047B0000}"/>
    <cellStyle name="Porcentaje 2 5 4 3 2 3" xfId="27862" xr:uid="{00000000-0005-0000-0000-0000057B0000}"/>
    <cellStyle name="Porcentaje 2 5 4 3 3" xfId="13076" xr:uid="{00000000-0005-0000-0000-0000067B0000}"/>
    <cellStyle name="Porcentaje 2 5 4 3 3 2" xfId="32791" xr:uid="{00000000-0005-0000-0000-0000077B0000}"/>
    <cellStyle name="Porcentaje 2 5 4 3 4" xfId="22934" xr:uid="{00000000-0005-0000-0000-0000087B0000}"/>
    <cellStyle name="Porcentaje 2 5 4 4" xfId="5680" xr:uid="{00000000-0005-0000-0000-0000097B0000}"/>
    <cellStyle name="Porcentaje 2 5 4 4 2" xfId="15540" xr:uid="{00000000-0005-0000-0000-00000A7B0000}"/>
    <cellStyle name="Porcentaje 2 5 4 4 2 2" xfId="35255" xr:uid="{00000000-0005-0000-0000-00000B7B0000}"/>
    <cellStyle name="Porcentaje 2 5 4 4 3" xfId="25398" xr:uid="{00000000-0005-0000-0000-00000C7B0000}"/>
    <cellStyle name="Porcentaje 2 5 4 5" xfId="10612" xr:uid="{00000000-0005-0000-0000-00000D7B0000}"/>
    <cellStyle name="Porcentaje 2 5 4 5 2" xfId="30327" xr:uid="{00000000-0005-0000-0000-00000E7B0000}"/>
    <cellStyle name="Porcentaje 2 5 4 6" xfId="20470" xr:uid="{00000000-0005-0000-0000-00000F7B0000}"/>
    <cellStyle name="Porcentaje 2 5 5" xfId="1361" xr:uid="{00000000-0005-0000-0000-0000107B0000}"/>
    <cellStyle name="Porcentaje 2 5 5 2" xfId="3828" xr:uid="{00000000-0005-0000-0000-0000117B0000}"/>
    <cellStyle name="Porcentaje 2 5 5 2 2" xfId="8760" xr:uid="{00000000-0005-0000-0000-0000127B0000}"/>
    <cellStyle name="Porcentaje 2 5 5 2 2 2" xfId="18620" xr:uid="{00000000-0005-0000-0000-0000137B0000}"/>
    <cellStyle name="Porcentaje 2 5 5 2 2 2 2" xfId="38335" xr:uid="{00000000-0005-0000-0000-0000147B0000}"/>
    <cellStyle name="Porcentaje 2 5 5 2 2 3" xfId="28478" xr:uid="{00000000-0005-0000-0000-0000157B0000}"/>
    <cellStyle name="Porcentaje 2 5 5 2 3" xfId="13692" xr:uid="{00000000-0005-0000-0000-0000167B0000}"/>
    <cellStyle name="Porcentaje 2 5 5 2 3 2" xfId="33407" xr:uid="{00000000-0005-0000-0000-0000177B0000}"/>
    <cellStyle name="Porcentaje 2 5 5 2 4" xfId="23550" xr:uid="{00000000-0005-0000-0000-0000187B0000}"/>
    <cellStyle name="Porcentaje 2 5 5 3" xfId="6296" xr:uid="{00000000-0005-0000-0000-0000197B0000}"/>
    <cellStyle name="Porcentaje 2 5 5 3 2" xfId="16156" xr:uid="{00000000-0005-0000-0000-00001A7B0000}"/>
    <cellStyle name="Porcentaje 2 5 5 3 2 2" xfId="35871" xr:uid="{00000000-0005-0000-0000-00001B7B0000}"/>
    <cellStyle name="Porcentaje 2 5 5 3 3" xfId="26014" xr:uid="{00000000-0005-0000-0000-00001C7B0000}"/>
    <cellStyle name="Porcentaje 2 5 5 4" xfId="11228" xr:uid="{00000000-0005-0000-0000-00001D7B0000}"/>
    <cellStyle name="Porcentaje 2 5 5 4 2" xfId="30943" xr:uid="{00000000-0005-0000-0000-00001E7B0000}"/>
    <cellStyle name="Porcentaje 2 5 5 5" xfId="21086" xr:uid="{00000000-0005-0000-0000-00001F7B0000}"/>
    <cellStyle name="Porcentaje 2 5 6" xfId="2596" xr:uid="{00000000-0005-0000-0000-0000207B0000}"/>
    <cellStyle name="Porcentaje 2 5 6 2" xfId="7528" xr:uid="{00000000-0005-0000-0000-0000217B0000}"/>
    <cellStyle name="Porcentaje 2 5 6 2 2" xfId="17388" xr:uid="{00000000-0005-0000-0000-0000227B0000}"/>
    <cellStyle name="Porcentaje 2 5 6 2 2 2" xfId="37103" xr:uid="{00000000-0005-0000-0000-0000237B0000}"/>
    <cellStyle name="Porcentaje 2 5 6 2 3" xfId="27246" xr:uid="{00000000-0005-0000-0000-0000247B0000}"/>
    <cellStyle name="Porcentaje 2 5 6 3" xfId="12460" xr:uid="{00000000-0005-0000-0000-0000257B0000}"/>
    <cellStyle name="Porcentaje 2 5 6 3 2" xfId="32175" xr:uid="{00000000-0005-0000-0000-0000267B0000}"/>
    <cellStyle name="Porcentaje 2 5 6 4" xfId="22318" xr:uid="{00000000-0005-0000-0000-0000277B0000}"/>
    <cellStyle name="Porcentaje 2 5 7" xfId="5064" xr:uid="{00000000-0005-0000-0000-0000287B0000}"/>
    <cellStyle name="Porcentaje 2 5 7 2" xfId="14924" xr:uid="{00000000-0005-0000-0000-0000297B0000}"/>
    <cellStyle name="Porcentaje 2 5 7 2 2" xfId="34639" xr:uid="{00000000-0005-0000-0000-00002A7B0000}"/>
    <cellStyle name="Porcentaje 2 5 7 3" xfId="24782" xr:uid="{00000000-0005-0000-0000-00002B7B0000}"/>
    <cellStyle name="Porcentaje 2 5 8" xfId="9996" xr:uid="{00000000-0005-0000-0000-00002C7B0000}"/>
    <cellStyle name="Porcentaje 2 5 8 2" xfId="29711" xr:uid="{00000000-0005-0000-0000-00002D7B0000}"/>
    <cellStyle name="Porcentaje 2 5 9" xfId="19854" xr:uid="{00000000-0005-0000-0000-00002E7B0000}"/>
    <cellStyle name="Porcentaje 2 6" xfId="189" xr:uid="{00000000-0005-0000-0000-00002F7B0000}"/>
    <cellStyle name="Porcentaje 2 6 2" xfId="504" xr:uid="{00000000-0005-0000-0000-0000307B0000}"/>
    <cellStyle name="Porcentaje 2 6 2 2" xfId="1124" xr:uid="{00000000-0005-0000-0000-0000317B0000}"/>
    <cellStyle name="Porcentaje 2 6 2 2 2" xfId="2359" xr:uid="{00000000-0005-0000-0000-0000327B0000}"/>
    <cellStyle name="Porcentaje 2 6 2 2 2 2" xfId="4826" xr:uid="{00000000-0005-0000-0000-0000337B0000}"/>
    <cellStyle name="Porcentaje 2 6 2 2 2 2 2" xfId="9758" xr:uid="{00000000-0005-0000-0000-0000347B0000}"/>
    <cellStyle name="Porcentaje 2 6 2 2 2 2 2 2" xfId="19618" xr:uid="{00000000-0005-0000-0000-0000357B0000}"/>
    <cellStyle name="Porcentaje 2 6 2 2 2 2 2 2 2" xfId="39333" xr:uid="{00000000-0005-0000-0000-0000367B0000}"/>
    <cellStyle name="Porcentaje 2 6 2 2 2 2 2 3" xfId="29476" xr:uid="{00000000-0005-0000-0000-0000377B0000}"/>
    <cellStyle name="Porcentaje 2 6 2 2 2 2 3" xfId="14690" xr:uid="{00000000-0005-0000-0000-0000387B0000}"/>
    <cellStyle name="Porcentaje 2 6 2 2 2 2 3 2" xfId="34405" xr:uid="{00000000-0005-0000-0000-0000397B0000}"/>
    <cellStyle name="Porcentaje 2 6 2 2 2 2 4" xfId="24548" xr:uid="{00000000-0005-0000-0000-00003A7B0000}"/>
    <cellStyle name="Porcentaje 2 6 2 2 2 3" xfId="7294" xr:uid="{00000000-0005-0000-0000-00003B7B0000}"/>
    <cellStyle name="Porcentaje 2 6 2 2 2 3 2" xfId="17154" xr:uid="{00000000-0005-0000-0000-00003C7B0000}"/>
    <cellStyle name="Porcentaje 2 6 2 2 2 3 2 2" xfId="36869" xr:uid="{00000000-0005-0000-0000-00003D7B0000}"/>
    <cellStyle name="Porcentaje 2 6 2 2 2 3 3" xfId="27012" xr:uid="{00000000-0005-0000-0000-00003E7B0000}"/>
    <cellStyle name="Porcentaje 2 6 2 2 2 4" xfId="12226" xr:uid="{00000000-0005-0000-0000-00003F7B0000}"/>
    <cellStyle name="Porcentaje 2 6 2 2 2 4 2" xfId="31941" xr:uid="{00000000-0005-0000-0000-0000407B0000}"/>
    <cellStyle name="Porcentaje 2 6 2 2 2 5" xfId="22084" xr:uid="{00000000-0005-0000-0000-0000417B0000}"/>
    <cellStyle name="Porcentaje 2 6 2 2 3" xfId="3594" xr:uid="{00000000-0005-0000-0000-0000427B0000}"/>
    <cellStyle name="Porcentaje 2 6 2 2 3 2" xfId="8526" xr:uid="{00000000-0005-0000-0000-0000437B0000}"/>
    <cellStyle name="Porcentaje 2 6 2 2 3 2 2" xfId="18386" xr:uid="{00000000-0005-0000-0000-0000447B0000}"/>
    <cellStyle name="Porcentaje 2 6 2 2 3 2 2 2" xfId="38101" xr:uid="{00000000-0005-0000-0000-0000457B0000}"/>
    <cellStyle name="Porcentaje 2 6 2 2 3 2 3" xfId="28244" xr:uid="{00000000-0005-0000-0000-0000467B0000}"/>
    <cellStyle name="Porcentaje 2 6 2 2 3 3" xfId="13458" xr:uid="{00000000-0005-0000-0000-0000477B0000}"/>
    <cellStyle name="Porcentaje 2 6 2 2 3 3 2" xfId="33173" xr:uid="{00000000-0005-0000-0000-0000487B0000}"/>
    <cellStyle name="Porcentaje 2 6 2 2 3 4" xfId="23316" xr:uid="{00000000-0005-0000-0000-0000497B0000}"/>
    <cellStyle name="Porcentaje 2 6 2 2 4" xfId="6062" xr:uid="{00000000-0005-0000-0000-00004A7B0000}"/>
    <cellStyle name="Porcentaje 2 6 2 2 4 2" xfId="15922" xr:uid="{00000000-0005-0000-0000-00004B7B0000}"/>
    <cellStyle name="Porcentaje 2 6 2 2 4 2 2" xfId="35637" xr:uid="{00000000-0005-0000-0000-00004C7B0000}"/>
    <cellStyle name="Porcentaje 2 6 2 2 4 3" xfId="25780" xr:uid="{00000000-0005-0000-0000-00004D7B0000}"/>
    <cellStyle name="Porcentaje 2 6 2 2 5" xfId="10994" xr:uid="{00000000-0005-0000-0000-00004E7B0000}"/>
    <cellStyle name="Porcentaje 2 6 2 2 5 2" xfId="30709" xr:uid="{00000000-0005-0000-0000-00004F7B0000}"/>
    <cellStyle name="Porcentaje 2 6 2 2 6" xfId="20852" xr:uid="{00000000-0005-0000-0000-0000507B0000}"/>
    <cellStyle name="Porcentaje 2 6 2 3" xfId="1743" xr:uid="{00000000-0005-0000-0000-0000517B0000}"/>
    <cellStyle name="Porcentaje 2 6 2 3 2" xfId="4210" xr:uid="{00000000-0005-0000-0000-0000527B0000}"/>
    <cellStyle name="Porcentaje 2 6 2 3 2 2" xfId="9142" xr:uid="{00000000-0005-0000-0000-0000537B0000}"/>
    <cellStyle name="Porcentaje 2 6 2 3 2 2 2" xfId="19002" xr:uid="{00000000-0005-0000-0000-0000547B0000}"/>
    <cellStyle name="Porcentaje 2 6 2 3 2 2 2 2" xfId="38717" xr:uid="{00000000-0005-0000-0000-0000557B0000}"/>
    <cellStyle name="Porcentaje 2 6 2 3 2 2 3" xfId="28860" xr:uid="{00000000-0005-0000-0000-0000567B0000}"/>
    <cellStyle name="Porcentaje 2 6 2 3 2 3" xfId="14074" xr:uid="{00000000-0005-0000-0000-0000577B0000}"/>
    <cellStyle name="Porcentaje 2 6 2 3 2 3 2" xfId="33789" xr:uid="{00000000-0005-0000-0000-0000587B0000}"/>
    <cellStyle name="Porcentaje 2 6 2 3 2 4" xfId="23932" xr:uid="{00000000-0005-0000-0000-0000597B0000}"/>
    <cellStyle name="Porcentaje 2 6 2 3 3" xfId="6678" xr:uid="{00000000-0005-0000-0000-00005A7B0000}"/>
    <cellStyle name="Porcentaje 2 6 2 3 3 2" xfId="16538" xr:uid="{00000000-0005-0000-0000-00005B7B0000}"/>
    <cellStyle name="Porcentaje 2 6 2 3 3 2 2" xfId="36253" xr:uid="{00000000-0005-0000-0000-00005C7B0000}"/>
    <cellStyle name="Porcentaje 2 6 2 3 3 3" xfId="26396" xr:uid="{00000000-0005-0000-0000-00005D7B0000}"/>
    <cellStyle name="Porcentaje 2 6 2 3 4" xfId="11610" xr:uid="{00000000-0005-0000-0000-00005E7B0000}"/>
    <cellStyle name="Porcentaje 2 6 2 3 4 2" xfId="31325" xr:uid="{00000000-0005-0000-0000-00005F7B0000}"/>
    <cellStyle name="Porcentaje 2 6 2 3 5" xfId="21468" xr:uid="{00000000-0005-0000-0000-0000607B0000}"/>
    <cellStyle name="Porcentaje 2 6 2 4" xfId="2978" xr:uid="{00000000-0005-0000-0000-0000617B0000}"/>
    <cellStyle name="Porcentaje 2 6 2 4 2" xfId="7910" xr:uid="{00000000-0005-0000-0000-0000627B0000}"/>
    <cellStyle name="Porcentaje 2 6 2 4 2 2" xfId="17770" xr:uid="{00000000-0005-0000-0000-0000637B0000}"/>
    <cellStyle name="Porcentaje 2 6 2 4 2 2 2" xfId="37485" xr:uid="{00000000-0005-0000-0000-0000647B0000}"/>
    <cellStyle name="Porcentaje 2 6 2 4 2 3" xfId="27628" xr:uid="{00000000-0005-0000-0000-0000657B0000}"/>
    <cellStyle name="Porcentaje 2 6 2 4 3" xfId="12842" xr:uid="{00000000-0005-0000-0000-0000667B0000}"/>
    <cellStyle name="Porcentaje 2 6 2 4 3 2" xfId="32557" xr:uid="{00000000-0005-0000-0000-0000677B0000}"/>
    <cellStyle name="Porcentaje 2 6 2 4 4" xfId="22700" xr:uid="{00000000-0005-0000-0000-0000687B0000}"/>
    <cellStyle name="Porcentaje 2 6 2 5" xfId="5446" xr:uid="{00000000-0005-0000-0000-0000697B0000}"/>
    <cellStyle name="Porcentaje 2 6 2 5 2" xfId="15306" xr:uid="{00000000-0005-0000-0000-00006A7B0000}"/>
    <cellStyle name="Porcentaje 2 6 2 5 2 2" xfId="35021" xr:uid="{00000000-0005-0000-0000-00006B7B0000}"/>
    <cellStyle name="Porcentaje 2 6 2 5 3" xfId="25164" xr:uid="{00000000-0005-0000-0000-00006C7B0000}"/>
    <cellStyle name="Porcentaje 2 6 2 6" xfId="10378" xr:uid="{00000000-0005-0000-0000-00006D7B0000}"/>
    <cellStyle name="Porcentaje 2 6 2 6 2" xfId="30093" xr:uid="{00000000-0005-0000-0000-00006E7B0000}"/>
    <cellStyle name="Porcentaje 2 6 2 7" xfId="20236" xr:uid="{00000000-0005-0000-0000-00006F7B0000}"/>
    <cellStyle name="Porcentaje 2 6 3" xfId="817" xr:uid="{00000000-0005-0000-0000-0000707B0000}"/>
    <cellStyle name="Porcentaje 2 6 3 2" xfId="2053" xr:uid="{00000000-0005-0000-0000-0000717B0000}"/>
    <cellStyle name="Porcentaje 2 6 3 2 2" xfId="4520" xr:uid="{00000000-0005-0000-0000-0000727B0000}"/>
    <cellStyle name="Porcentaje 2 6 3 2 2 2" xfId="9452" xr:uid="{00000000-0005-0000-0000-0000737B0000}"/>
    <cellStyle name="Porcentaje 2 6 3 2 2 2 2" xfId="19312" xr:uid="{00000000-0005-0000-0000-0000747B0000}"/>
    <cellStyle name="Porcentaje 2 6 3 2 2 2 2 2" xfId="39027" xr:uid="{00000000-0005-0000-0000-0000757B0000}"/>
    <cellStyle name="Porcentaje 2 6 3 2 2 2 3" xfId="29170" xr:uid="{00000000-0005-0000-0000-0000767B0000}"/>
    <cellStyle name="Porcentaje 2 6 3 2 2 3" xfId="14384" xr:uid="{00000000-0005-0000-0000-0000777B0000}"/>
    <cellStyle name="Porcentaje 2 6 3 2 2 3 2" xfId="34099" xr:uid="{00000000-0005-0000-0000-0000787B0000}"/>
    <cellStyle name="Porcentaje 2 6 3 2 2 4" xfId="24242" xr:uid="{00000000-0005-0000-0000-0000797B0000}"/>
    <cellStyle name="Porcentaje 2 6 3 2 3" xfId="6988" xr:uid="{00000000-0005-0000-0000-00007A7B0000}"/>
    <cellStyle name="Porcentaje 2 6 3 2 3 2" xfId="16848" xr:uid="{00000000-0005-0000-0000-00007B7B0000}"/>
    <cellStyle name="Porcentaje 2 6 3 2 3 2 2" xfId="36563" xr:uid="{00000000-0005-0000-0000-00007C7B0000}"/>
    <cellStyle name="Porcentaje 2 6 3 2 3 3" xfId="26706" xr:uid="{00000000-0005-0000-0000-00007D7B0000}"/>
    <cellStyle name="Porcentaje 2 6 3 2 4" xfId="11920" xr:uid="{00000000-0005-0000-0000-00007E7B0000}"/>
    <cellStyle name="Porcentaje 2 6 3 2 4 2" xfId="31635" xr:uid="{00000000-0005-0000-0000-00007F7B0000}"/>
    <cellStyle name="Porcentaje 2 6 3 2 5" xfId="21778" xr:uid="{00000000-0005-0000-0000-0000807B0000}"/>
    <cellStyle name="Porcentaje 2 6 3 3" xfId="3288" xr:uid="{00000000-0005-0000-0000-0000817B0000}"/>
    <cellStyle name="Porcentaje 2 6 3 3 2" xfId="8220" xr:uid="{00000000-0005-0000-0000-0000827B0000}"/>
    <cellStyle name="Porcentaje 2 6 3 3 2 2" xfId="18080" xr:uid="{00000000-0005-0000-0000-0000837B0000}"/>
    <cellStyle name="Porcentaje 2 6 3 3 2 2 2" xfId="37795" xr:uid="{00000000-0005-0000-0000-0000847B0000}"/>
    <cellStyle name="Porcentaje 2 6 3 3 2 3" xfId="27938" xr:uid="{00000000-0005-0000-0000-0000857B0000}"/>
    <cellStyle name="Porcentaje 2 6 3 3 3" xfId="13152" xr:uid="{00000000-0005-0000-0000-0000867B0000}"/>
    <cellStyle name="Porcentaje 2 6 3 3 3 2" xfId="32867" xr:uid="{00000000-0005-0000-0000-0000877B0000}"/>
    <cellStyle name="Porcentaje 2 6 3 3 4" xfId="23010" xr:uid="{00000000-0005-0000-0000-0000887B0000}"/>
    <cellStyle name="Porcentaje 2 6 3 4" xfId="5756" xr:uid="{00000000-0005-0000-0000-0000897B0000}"/>
    <cellStyle name="Porcentaje 2 6 3 4 2" xfId="15616" xr:uid="{00000000-0005-0000-0000-00008A7B0000}"/>
    <cellStyle name="Porcentaje 2 6 3 4 2 2" xfId="35331" xr:uid="{00000000-0005-0000-0000-00008B7B0000}"/>
    <cellStyle name="Porcentaje 2 6 3 4 3" xfId="25474" xr:uid="{00000000-0005-0000-0000-00008C7B0000}"/>
    <cellStyle name="Porcentaje 2 6 3 5" xfId="10688" xr:uid="{00000000-0005-0000-0000-00008D7B0000}"/>
    <cellStyle name="Porcentaje 2 6 3 5 2" xfId="30403" xr:uid="{00000000-0005-0000-0000-00008E7B0000}"/>
    <cellStyle name="Porcentaje 2 6 3 6" xfId="20546" xr:uid="{00000000-0005-0000-0000-00008F7B0000}"/>
    <cellStyle name="Porcentaje 2 6 4" xfId="1437" xr:uid="{00000000-0005-0000-0000-0000907B0000}"/>
    <cellStyle name="Porcentaje 2 6 4 2" xfId="3904" xr:uid="{00000000-0005-0000-0000-0000917B0000}"/>
    <cellStyle name="Porcentaje 2 6 4 2 2" xfId="8836" xr:uid="{00000000-0005-0000-0000-0000927B0000}"/>
    <cellStyle name="Porcentaje 2 6 4 2 2 2" xfId="18696" xr:uid="{00000000-0005-0000-0000-0000937B0000}"/>
    <cellStyle name="Porcentaje 2 6 4 2 2 2 2" xfId="38411" xr:uid="{00000000-0005-0000-0000-0000947B0000}"/>
    <cellStyle name="Porcentaje 2 6 4 2 2 3" xfId="28554" xr:uid="{00000000-0005-0000-0000-0000957B0000}"/>
    <cellStyle name="Porcentaje 2 6 4 2 3" xfId="13768" xr:uid="{00000000-0005-0000-0000-0000967B0000}"/>
    <cellStyle name="Porcentaje 2 6 4 2 3 2" xfId="33483" xr:uid="{00000000-0005-0000-0000-0000977B0000}"/>
    <cellStyle name="Porcentaje 2 6 4 2 4" xfId="23626" xr:uid="{00000000-0005-0000-0000-0000987B0000}"/>
    <cellStyle name="Porcentaje 2 6 4 3" xfId="6372" xr:uid="{00000000-0005-0000-0000-0000997B0000}"/>
    <cellStyle name="Porcentaje 2 6 4 3 2" xfId="16232" xr:uid="{00000000-0005-0000-0000-00009A7B0000}"/>
    <cellStyle name="Porcentaje 2 6 4 3 2 2" xfId="35947" xr:uid="{00000000-0005-0000-0000-00009B7B0000}"/>
    <cellStyle name="Porcentaje 2 6 4 3 3" xfId="26090" xr:uid="{00000000-0005-0000-0000-00009C7B0000}"/>
    <cellStyle name="Porcentaje 2 6 4 4" xfId="11304" xr:uid="{00000000-0005-0000-0000-00009D7B0000}"/>
    <cellStyle name="Porcentaje 2 6 4 4 2" xfId="31019" xr:uid="{00000000-0005-0000-0000-00009E7B0000}"/>
    <cellStyle name="Porcentaje 2 6 4 5" xfId="21162" xr:uid="{00000000-0005-0000-0000-00009F7B0000}"/>
    <cellStyle name="Porcentaje 2 6 5" xfId="2672" xr:uid="{00000000-0005-0000-0000-0000A07B0000}"/>
    <cellStyle name="Porcentaje 2 6 5 2" xfId="7604" xr:uid="{00000000-0005-0000-0000-0000A17B0000}"/>
    <cellStyle name="Porcentaje 2 6 5 2 2" xfId="17464" xr:uid="{00000000-0005-0000-0000-0000A27B0000}"/>
    <cellStyle name="Porcentaje 2 6 5 2 2 2" xfId="37179" xr:uid="{00000000-0005-0000-0000-0000A37B0000}"/>
    <cellStyle name="Porcentaje 2 6 5 2 3" xfId="27322" xr:uid="{00000000-0005-0000-0000-0000A47B0000}"/>
    <cellStyle name="Porcentaje 2 6 5 3" xfId="12536" xr:uid="{00000000-0005-0000-0000-0000A57B0000}"/>
    <cellStyle name="Porcentaje 2 6 5 3 2" xfId="32251" xr:uid="{00000000-0005-0000-0000-0000A67B0000}"/>
    <cellStyle name="Porcentaje 2 6 5 4" xfId="22394" xr:uid="{00000000-0005-0000-0000-0000A77B0000}"/>
    <cellStyle name="Porcentaje 2 6 6" xfId="5140" xr:uid="{00000000-0005-0000-0000-0000A87B0000}"/>
    <cellStyle name="Porcentaje 2 6 6 2" xfId="15000" xr:uid="{00000000-0005-0000-0000-0000A97B0000}"/>
    <cellStyle name="Porcentaje 2 6 6 2 2" xfId="34715" xr:uid="{00000000-0005-0000-0000-0000AA7B0000}"/>
    <cellStyle name="Porcentaje 2 6 6 3" xfId="24858" xr:uid="{00000000-0005-0000-0000-0000AB7B0000}"/>
    <cellStyle name="Porcentaje 2 6 7" xfId="10072" xr:uid="{00000000-0005-0000-0000-0000AC7B0000}"/>
    <cellStyle name="Porcentaje 2 6 7 2" xfId="29787" xr:uid="{00000000-0005-0000-0000-0000AD7B0000}"/>
    <cellStyle name="Porcentaje 2 6 8" xfId="19930" xr:uid="{00000000-0005-0000-0000-0000AE7B0000}"/>
    <cellStyle name="Porcentaje 2 7" xfId="351" xr:uid="{00000000-0005-0000-0000-0000AF7B0000}"/>
    <cellStyle name="Porcentaje 2 7 2" xfId="972" xr:uid="{00000000-0005-0000-0000-0000B07B0000}"/>
    <cellStyle name="Porcentaje 2 7 2 2" xfId="2207" xr:uid="{00000000-0005-0000-0000-0000B17B0000}"/>
    <cellStyle name="Porcentaje 2 7 2 2 2" xfId="4674" xr:uid="{00000000-0005-0000-0000-0000B27B0000}"/>
    <cellStyle name="Porcentaje 2 7 2 2 2 2" xfId="9606" xr:uid="{00000000-0005-0000-0000-0000B37B0000}"/>
    <cellStyle name="Porcentaje 2 7 2 2 2 2 2" xfId="19466" xr:uid="{00000000-0005-0000-0000-0000B47B0000}"/>
    <cellStyle name="Porcentaje 2 7 2 2 2 2 2 2" xfId="39181" xr:uid="{00000000-0005-0000-0000-0000B57B0000}"/>
    <cellStyle name="Porcentaje 2 7 2 2 2 2 3" xfId="29324" xr:uid="{00000000-0005-0000-0000-0000B67B0000}"/>
    <cellStyle name="Porcentaje 2 7 2 2 2 3" xfId="14538" xr:uid="{00000000-0005-0000-0000-0000B77B0000}"/>
    <cellStyle name="Porcentaje 2 7 2 2 2 3 2" xfId="34253" xr:uid="{00000000-0005-0000-0000-0000B87B0000}"/>
    <cellStyle name="Porcentaje 2 7 2 2 2 4" xfId="24396" xr:uid="{00000000-0005-0000-0000-0000B97B0000}"/>
    <cellStyle name="Porcentaje 2 7 2 2 3" xfId="7142" xr:uid="{00000000-0005-0000-0000-0000BA7B0000}"/>
    <cellStyle name="Porcentaje 2 7 2 2 3 2" xfId="17002" xr:uid="{00000000-0005-0000-0000-0000BB7B0000}"/>
    <cellStyle name="Porcentaje 2 7 2 2 3 2 2" xfId="36717" xr:uid="{00000000-0005-0000-0000-0000BC7B0000}"/>
    <cellStyle name="Porcentaje 2 7 2 2 3 3" xfId="26860" xr:uid="{00000000-0005-0000-0000-0000BD7B0000}"/>
    <cellStyle name="Porcentaje 2 7 2 2 4" xfId="12074" xr:uid="{00000000-0005-0000-0000-0000BE7B0000}"/>
    <cellStyle name="Porcentaje 2 7 2 2 4 2" xfId="31789" xr:uid="{00000000-0005-0000-0000-0000BF7B0000}"/>
    <cellStyle name="Porcentaje 2 7 2 2 5" xfId="21932" xr:uid="{00000000-0005-0000-0000-0000C07B0000}"/>
    <cellStyle name="Porcentaje 2 7 2 3" xfId="3442" xr:uid="{00000000-0005-0000-0000-0000C17B0000}"/>
    <cellStyle name="Porcentaje 2 7 2 3 2" xfId="8374" xr:uid="{00000000-0005-0000-0000-0000C27B0000}"/>
    <cellStyle name="Porcentaje 2 7 2 3 2 2" xfId="18234" xr:uid="{00000000-0005-0000-0000-0000C37B0000}"/>
    <cellStyle name="Porcentaje 2 7 2 3 2 2 2" xfId="37949" xr:uid="{00000000-0005-0000-0000-0000C47B0000}"/>
    <cellStyle name="Porcentaje 2 7 2 3 2 3" xfId="28092" xr:uid="{00000000-0005-0000-0000-0000C57B0000}"/>
    <cellStyle name="Porcentaje 2 7 2 3 3" xfId="13306" xr:uid="{00000000-0005-0000-0000-0000C67B0000}"/>
    <cellStyle name="Porcentaje 2 7 2 3 3 2" xfId="33021" xr:uid="{00000000-0005-0000-0000-0000C77B0000}"/>
    <cellStyle name="Porcentaje 2 7 2 3 4" xfId="23164" xr:uid="{00000000-0005-0000-0000-0000C87B0000}"/>
    <cellStyle name="Porcentaje 2 7 2 4" xfId="5910" xr:uid="{00000000-0005-0000-0000-0000C97B0000}"/>
    <cellStyle name="Porcentaje 2 7 2 4 2" xfId="15770" xr:uid="{00000000-0005-0000-0000-0000CA7B0000}"/>
    <cellStyle name="Porcentaje 2 7 2 4 2 2" xfId="35485" xr:uid="{00000000-0005-0000-0000-0000CB7B0000}"/>
    <cellStyle name="Porcentaje 2 7 2 4 3" xfId="25628" xr:uid="{00000000-0005-0000-0000-0000CC7B0000}"/>
    <cellStyle name="Porcentaje 2 7 2 5" xfId="10842" xr:uid="{00000000-0005-0000-0000-0000CD7B0000}"/>
    <cellStyle name="Porcentaje 2 7 2 5 2" xfId="30557" xr:uid="{00000000-0005-0000-0000-0000CE7B0000}"/>
    <cellStyle name="Porcentaje 2 7 2 6" xfId="20700" xr:uid="{00000000-0005-0000-0000-0000CF7B0000}"/>
    <cellStyle name="Porcentaje 2 7 3" xfId="1591" xr:uid="{00000000-0005-0000-0000-0000D07B0000}"/>
    <cellStyle name="Porcentaje 2 7 3 2" xfId="4058" xr:uid="{00000000-0005-0000-0000-0000D17B0000}"/>
    <cellStyle name="Porcentaje 2 7 3 2 2" xfId="8990" xr:uid="{00000000-0005-0000-0000-0000D27B0000}"/>
    <cellStyle name="Porcentaje 2 7 3 2 2 2" xfId="18850" xr:uid="{00000000-0005-0000-0000-0000D37B0000}"/>
    <cellStyle name="Porcentaje 2 7 3 2 2 2 2" xfId="38565" xr:uid="{00000000-0005-0000-0000-0000D47B0000}"/>
    <cellStyle name="Porcentaje 2 7 3 2 2 3" xfId="28708" xr:uid="{00000000-0005-0000-0000-0000D57B0000}"/>
    <cellStyle name="Porcentaje 2 7 3 2 3" xfId="13922" xr:uid="{00000000-0005-0000-0000-0000D67B0000}"/>
    <cellStyle name="Porcentaje 2 7 3 2 3 2" xfId="33637" xr:uid="{00000000-0005-0000-0000-0000D77B0000}"/>
    <cellStyle name="Porcentaje 2 7 3 2 4" xfId="23780" xr:uid="{00000000-0005-0000-0000-0000D87B0000}"/>
    <cellStyle name="Porcentaje 2 7 3 3" xfId="6526" xr:uid="{00000000-0005-0000-0000-0000D97B0000}"/>
    <cellStyle name="Porcentaje 2 7 3 3 2" xfId="16386" xr:uid="{00000000-0005-0000-0000-0000DA7B0000}"/>
    <cellStyle name="Porcentaje 2 7 3 3 2 2" xfId="36101" xr:uid="{00000000-0005-0000-0000-0000DB7B0000}"/>
    <cellStyle name="Porcentaje 2 7 3 3 3" xfId="26244" xr:uid="{00000000-0005-0000-0000-0000DC7B0000}"/>
    <cellStyle name="Porcentaje 2 7 3 4" xfId="11458" xr:uid="{00000000-0005-0000-0000-0000DD7B0000}"/>
    <cellStyle name="Porcentaje 2 7 3 4 2" xfId="31173" xr:uid="{00000000-0005-0000-0000-0000DE7B0000}"/>
    <cellStyle name="Porcentaje 2 7 3 5" xfId="21316" xr:uid="{00000000-0005-0000-0000-0000DF7B0000}"/>
    <cellStyle name="Porcentaje 2 7 4" xfId="2826" xr:uid="{00000000-0005-0000-0000-0000E07B0000}"/>
    <cellStyle name="Porcentaje 2 7 4 2" xfId="7758" xr:uid="{00000000-0005-0000-0000-0000E17B0000}"/>
    <cellStyle name="Porcentaje 2 7 4 2 2" xfId="17618" xr:uid="{00000000-0005-0000-0000-0000E27B0000}"/>
    <cellStyle name="Porcentaje 2 7 4 2 2 2" xfId="37333" xr:uid="{00000000-0005-0000-0000-0000E37B0000}"/>
    <cellStyle name="Porcentaje 2 7 4 2 3" xfId="27476" xr:uid="{00000000-0005-0000-0000-0000E47B0000}"/>
    <cellStyle name="Porcentaje 2 7 4 3" xfId="12690" xr:uid="{00000000-0005-0000-0000-0000E57B0000}"/>
    <cellStyle name="Porcentaje 2 7 4 3 2" xfId="32405" xr:uid="{00000000-0005-0000-0000-0000E67B0000}"/>
    <cellStyle name="Porcentaje 2 7 4 4" xfId="22548" xr:uid="{00000000-0005-0000-0000-0000E77B0000}"/>
    <cellStyle name="Porcentaje 2 7 5" xfId="5294" xr:uid="{00000000-0005-0000-0000-0000E87B0000}"/>
    <cellStyle name="Porcentaje 2 7 5 2" xfId="15154" xr:uid="{00000000-0005-0000-0000-0000E97B0000}"/>
    <cellStyle name="Porcentaje 2 7 5 2 2" xfId="34869" xr:uid="{00000000-0005-0000-0000-0000EA7B0000}"/>
    <cellStyle name="Porcentaje 2 7 5 3" xfId="25012" xr:uid="{00000000-0005-0000-0000-0000EB7B0000}"/>
    <cellStyle name="Porcentaje 2 7 6" xfId="10226" xr:uid="{00000000-0005-0000-0000-0000EC7B0000}"/>
    <cellStyle name="Porcentaje 2 7 6 2" xfId="29941" xr:uid="{00000000-0005-0000-0000-0000ED7B0000}"/>
    <cellStyle name="Porcentaje 2 7 7" xfId="20084" xr:uid="{00000000-0005-0000-0000-0000EE7B0000}"/>
    <cellStyle name="Porcentaje 2 8" xfId="664" xr:uid="{00000000-0005-0000-0000-0000EF7B0000}"/>
    <cellStyle name="Porcentaje 2 8 2" xfId="1901" xr:uid="{00000000-0005-0000-0000-0000F07B0000}"/>
    <cellStyle name="Porcentaje 2 8 2 2" xfId="4368" xr:uid="{00000000-0005-0000-0000-0000F17B0000}"/>
    <cellStyle name="Porcentaje 2 8 2 2 2" xfId="9300" xr:uid="{00000000-0005-0000-0000-0000F27B0000}"/>
    <cellStyle name="Porcentaje 2 8 2 2 2 2" xfId="19160" xr:uid="{00000000-0005-0000-0000-0000F37B0000}"/>
    <cellStyle name="Porcentaje 2 8 2 2 2 2 2" xfId="38875" xr:uid="{00000000-0005-0000-0000-0000F47B0000}"/>
    <cellStyle name="Porcentaje 2 8 2 2 2 3" xfId="29018" xr:uid="{00000000-0005-0000-0000-0000F57B0000}"/>
    <cellStyle name="Porcentaje 2 8 2 2 3" xfId="14232" xr:uid="{00000000-0005-0000-0000-0000F67B0000}"/>
    <cellStyle name="Porcentaje 2 8 2 2 3 2" xfId="33947" xr:uid="{00000000-0005-0000-0000-0000F77B0000}"/>
    <cellStyle name="Porcentaje 2 8 2 2 4" xfId="24090" xr:uid="{00000000-0005-0000-0000-0000F87B0000}"/>
    <cellStyle name="Porcentaje 2 8 2 3" xfId="6836" xr:uid="{00000000-0005-0000-0000-0000F97B0000}"/>
    <cellStyle name="Porcentaje 2 8 2 3 2" xfId="16696" xr:uid="{00000000-0005-0000-0000-0000FA7B0000}"/>
    <cellStyle name="Porcentaje 2 8 2 3 2 2" xfId="36411" xr:uid="{00000000-0005-0000-0000-0000FB7B0000}"/>
    <cellStyle name="Porcentaje 2 8 2 3 3" xfId="26554" xr:uid="{00000000-0005-0000-0000-0000FC7B0000}"/>
    <cellStyle name="Porcentaje 2 8 2 4" xfId="11768" xr:uid="{00000000-0005-0000-0000-0000FD7B0000}"/>
    <cellStyle name="Porcentaje 2 8 2 4 2" xfId="31483" xr:uid="{00000000-0005-0000-0000-0000FE7B0000}"/>
    <cellStyle name="Porcentaje 2 8 2 5" xfId="21626" xr:uid="{00000000-0005-0000-0000-0000FF7B0000}"/>
    <cellStyle name="Porcentaje 2 8 3" xfId="3136" xr:uid="{00000000-0005-0000-0000-0000007C0000}"/>
    <cellStyle name="Porcentaje 2 8 3 2" xfId="8068" xr:uid="{00000000-0005-0000-0000-0000017C0000}"/>
    <cellStyle name="Porcentaje 2 8 3 2 2" xfId="17928" xr:uid="{00000000-0005-0000-0000-0000027C0000}"/>
    <cellStyle name="Porcentaje 2 8 3 2 2 2" xfId="37643" xr:uid="{00000000-0005-0000-0000-0000037C0000}"/>
    <cellStyle name="Porcentaje 2 8 3 2 3" xfId="27786" xr:uid="{00000000-0005-0000-0000-0000047C0000}"/>
    <cellStyle name="Porcentaje 2 8 3 3" xfId="13000" xr:uid="{00000000-0005-0000-0000-0000057C0000}"/>
    <cellStyle name="Porcentaje 2 8 3 3 2" xfId="32715" xr:uid="{00000000-0005-0000-0000-0000067C0000}"/>
    <cellStyle name="Porcentaje 2 8 3 4" xfId="22858" xr:uid="{00000000-0005-0000-0000-0000077C0000}"/>
    <cellStyle name="Porcentaje 2 8 4" xfId="5604" xr:uid="{00000000-0005-0000-0000-0000087C0000}"/>
    <cellStyle name="Porcentaje 2 8 4 2" xfId="15464" xr:uid="{00000000-0005-0000-0000-0000097C0000}"/>
    <cellStyle name="Porcentaje 2 8 4 2 2" xfId="35179" xr:uid="{00000000-0005-0000-0000-00000A7C0000}"/>
    <cellStyle name="Porcentaje 2 8 4 3" xfId="25322" xr:uid="{00000000-0005-0000-0000-00000B7C0000}"/>
    <cellStyle name="Porcentaje 2 8 5" xfId="10536" xr:uid="{00000000-0005-0000-0000-00000C7C0000}"/>
    <cellStyle name="Porcentaje 2 8 5 2" xfId="30251" xr:uid="{00000000-0005-0000-0000-00000D7C0000}"/>
    <cellStyle name="Porcentaje 2 8 6" xfId="20394" xr:uid="{00000000-0005-0000-0000-00000E7C0000}"/>
    <cellStyle name="Porcentaje 2 9" xfId="1284" xr:uid="{00000000-0005-0000-0000-00000F7C0000}"/>
    <cellStyle name="Porcentaje 2 9 2" xfId="3752" xr:uid="{00000000-0005-0000-0000-0000107C0000}"/>
    <cellStyle name="Porcentaje 2 9 2 2" xfId="8684" xr:uid="{00000000-0005-0000-0000-0000117C0000}"/>
    <cellStyle name="Porcentaje 2 9 2 2 2" xfId="18544" xr:uid="{00000000-0005-0000-0000-0000127C0000}"/>
    <cellStyle name="Porcentaje 2 9 2 2 2 2" xfId="38259" xr:uid="{00000000-0005-0000-0000-0000137C0000}"/>
    <cellStyle name="Porcentaje 2 9 2 2 3" xfId="28402" xr:uid="{00000000-0005-0000-0000-0000147C0000}"/>
    <cellStyle name="Porcentaje 2 9 2 3" xfId="13616" xr:uid="{00000000-0005-0000-0000-0000157C0000}"/>
    <cellStyle name="Porcentaje 2 9 2 3 2" xfId="33331" xr:uid="{00000000-0005-0000-0000-0000167C0000}"/>
    <cellStyle name="Porcentaje 2 9 2 4" xfId="23474" xr:uid="{00000000-0005-0000-0000-0000177C0000}"/>
    <cellStyle name="Porcentaje 2 9 3" xfId="6220" xr:uid="{00000000-0005-0000-0000-0000187C0000}"/>
    <cellStyle name="Porcentaje 2 9 3 2" xfId="16080" xr:uid="{00000000-0005-0000-0000-0000197C0000}"/>
    <cellStyle name="Porcentaje 2 9 3 2 2" xfId="35795" xr:uid="{00000000-0005-0000-0000-00001A7C0000}"/>
    <cellStyle name="Porcentaje 2 9 3 3" xfId="25938" xr:uid="{00000000-0005-0000-0000-00001B7C0000}"/>
    <cellStyle name="Porcentaje 2 9 4" xfId="11152" xr:uid="{00000000-0005-0000-0000-00001C7C0000}"/>
    <cellStyle name="Porcentaje 2 9 4 2" xfId="30867" xr:uid="{00000000-0005-0000-0000-00001D7C0000}"/>
    <cellStyle name="Porcentaje 2 9 5" xfId="21010" xr:uid="{00000000-0005-0000-0000-00001E7C0000}"/>
    <cellStyle name="Porcentaje 20" xfId="1286" xr:uid="{00000000-0005-0000-0000-00001F7C0000}"/>
    <cellStyle name="Porcentaje 21" xfId="1278" xr:uid="{00000000-0005-0000-0000-0000207C0000}"/>
    <cellStyle name="Porcentaje 21 2" xfId="3748" xr:uid="{00000000-0005-0000-0000-0000217C0000}"/>
    <cellStyle name="Porcentaje 21 2 2" xfId="8680" xr:uid="{00000000-0005-0000-0000-0000227C0000}"/>
    <cellStyle name="Porcentaje 21 2 2 2" xfId="18540" xr:uid="{00000000-0005-0000-0000-0000237C0000}"/>
    <cellStyle name="Porcentaje 21 2 2 2 2" xfId="38255" xr:uid="{00000000-0005-0000-0000-0000247C0000}"/>
    <cellStyle name="Porcentaje 21 2 2 3" xfId="28398" xr:uid="{00000000-0005-0000-0000-0000257C0000}"/>
    <cellStyle name="Porcentaje 21 2 3" xfId="13612" xr:uid="{00000000-0005-0000-0000-0000267C0000}"/>
    <cellStyle name="Porcentaje 21 2 3 2" xfId="33327" xr:uid="{00000000-0005-0000-0000-0000277C0000}"/>
    <cellStyle name="Porcentaje 21 2 4" xfId="23470" xr:uid="{00000000-0005-0000-0000-0000287C0000}"/>
    <cellStyle name="Porcentaje 21 3" xfId="6216" xr:uid="{00000000-0005-0000-0000-0000297C0000}"/>
    <cellStyle name="Porcentaje 21 3 2" xfId="16076" xr:uid="{00000000-0005-0000-0000-00002A7C0000}"/>
    <cellStyle name="Porcentaje 21 3 2 2" xfId="35791" xr:uid="{00000000-0005-0000-0000-00002B7C0000}"/>
    <cellStyle name="Porcentaje 21 3 3" xfId="25934" xr:uid="{00000000-0005-0000-0000-00002C7C0000}"/>
    <cellStyle name="Porcentaje 21 4" xfId="11148" xr:uid="{00000000-0005-0000-0000-00002D7C0000}"/>
    <cellStyle name="Porcentaje 21 4 2" xfId="30863" xr:uid="{00000000-0005-0000-0000-00002E7C0000}"/>
    <cellStyle name="Porcentaje 21 5" xfId="21006" xr:uid="{00000000-0005-0000-0000-00002F7C0000}"/>
    <cellStyle name="Porcentaje 22" xfId="2521" xr:uid="{00000000-0005-0000-0000-0000307C0000}"/>
    <cellStyle name="Porcentaje 23" xfId="2513" xr:uid="{00000000-0005-0000-0000-0000317C0000}"/>
    <cellStyle name="Porcentaje 23 2" xfId="7448" xr:uid="{00000000-0005-0000-0000-0000327C0000}"/>
    <cellStyle name="Porcentaje 23 2 2" xfId="17308" xr:uid="{00000000-0005-0000-0000-0000337C0000}"/>
    <cellStyle name="Porcentaje 23 2 2 2" xfId="37023" xr:uid="{00000000-0005-0000-0000-0000347C0000}"/>
    <cellStyle name="Porcentaje 23 2 3" xfId="27166" xr:uid="{00000000-0005-0000-0000-0000357C0000}"/>
    <cellStyle name="Porcentaje 23 3" xfId="12380" xr:uid="{00000000-0005-0000-0000-0000367C0000}"/>
    <cellStyle name="Porcentaje 23 3 2" xfId="32095" xr:uid="{00000000-0005-0000-0000-0000377C0000}"/>
    <cellStyle name="Porcentaje 23 4" xfId="22238" xr:uid="{00000000-0005-0000-0000-0000387C0000}"/>
    <cellStyle name="Porcentaje 24" xfId="4981" xr:uid="{00000000-0005-0000-0000-0000397C0000}"/>
    <cellStyle name="Porcentaje 24 2" xfId="14844" xr:uid="{00000000-0005-0000-0000-00003A7C0000}"/>
    <cellStyle name="Porcentaje 24 2 2" xfId="34559" xr:uid="{00000000-0005-0000-0000-00003B7C0000}"/>
    <cellStyle name="Porcentaje 24 3" xfId="24702" xr:uid="{00000000-0005-0000-0000-00003C7C0000}"/>
    <cellStyle name="Porcentaje 25" xfId="4989" xr:uid="{00000000-0005-0000-0000-00003D7C0000}"/>
    <cellStyle name="Porcentaje 26" xfId="9921" xr:uid="{00000000-0005-0000-0000-00003E7C0000}"/>
    <cellStyle name="Porcentaje 27" xfId="9913" xr:uid="{00000000-0005-0000-0000-00003F7C0000}"/>
    <cellStyle name="Porcentaje 27 2" xfId="29630" xr:uid="{00000000-0005-0000-0000-0000407C0000}"/>
    <cellStyle name="Porcentaje 28" xfId="19772" xr:uid="{00000000-0005-0000-0000-0000417C0000}"/>
    <cellStyle name="Porcentaje 29" xfId="39488" xr:uid="{00000000-0005-0000-0000-0000427C0000}"/>
    <cellStyle name="Porcentaje 3" xfId="16" xr:uid="{00000000-0005-0000-0000-0000437C0000}"/>
    <cellStyle name="Porcentaje 3 10" xfId="2523" xr:uid="{00000000-0005-0000-0000-0000447C0000}"/>
    <cellStyle name="Porcentaje 3 10 2" xfId="7455" xr:uid="{00000000-0005-0000-0000-0000457C0000}"/>
    <cellStyle name="Porcentaje 3 10 2 2" xfId="17315" xr:uid="{00000000-0005-0000-0000-0000467C0000}"/>
    <cellStyle name="Porcentaje 3 10 2 2 2" xfId="37030" xr:uid="{00000000-0005-0000-0000-0000477C0000}"/>
    <cellStyle name="Porcentaje 3 10 2 3" xfId="27173" xr:uid="{00000000-0005-0000-0000-0000487C0000}"/>
    <cellStyle name="Porcentaje 3 10 3" xfId="12387" xr:uid="{00000000-0005-0000-0000-0000497C0000}"/>
    <cellStyle name="Porcentaje 3 10 3 2" xfId="32102" xr:uid="{00000000-0005-0000-0000-00004A7C0000}"/>
    <cellStyle name="Porcentaje 3 10 4" xfId="22245" xr:uid="{00000000-0005-0000-0000-00004B7C0000}"/>
    <cellStyle name="Porcentaje 3 11" xfId="4991" xr:uid="{00000000-0005-0000-0000-00004C7C0000}"/>
    <cellStyle name="Porcentaje 3 11 2" xfId="14851" xr:uid="{00000000-0005-0000-0000-00004D7C0000}"/>
    <cellStyle name="Porcentaje 3 11 2 2" xfId="34566" xr:uid="{00000000-0005-0000-0000-00004E7C0000}"/>
    <cellStyle name="Porcentaje 3 11 3" xfId="24709" xr:uid="{00000000-0005-0000-0000-00004F7C0000}"/>
    <cellStyle name="Porcentaje 3 12" xfId="9923" xr:uid="{00000000-0005-0000-0000-0000507C0000}"/>
    <cellStyle name="Porcentaje 3 12 2" xfId="29638" xr:uid="{00000000-0005-0000-0000-0000517C0000}"/>
    <cellStyle name="Porcentaje 3 13" xfId="19781" xr:uid="{00000000-0005-0000-0000-0000527C0000}"/>
    <cellStyle name="Porcentaje 3 2" xfId="30" xr:uid="{00000000-0005-0000-0000-0000537C0000}"/>
    <cellStyle name="Porcentaje 3 2 10" xfId="5000" xr:uid="{00000000-0005-0000-0000-0000547C0000}"/>
    <cellStyle name="Porcentaje 3 2 10 2" xfId="14860" xr:uid="{00000000-0005-0000-0000-0000557C0000}"/>
    <cellStyle name="Porcentaje 3 2 10 2 2" xfId="34575" xr:uid="{00000000-0005-0000-0000-0000567C0000}"/>
    <cellStyle name="Porcentaje 3 2 10 3" xfId="24718" xr:uid="{00000000-0005-0000-0000-0000577C0000}"/>
    <cellStyle name="Porcentaje 3 2 11" xfId="9932" xr:uid="{00000000-0005-0000-0000-0000587C0000}"/>
    <cellStyle name="Porcentaje 3 2 11 2" xfId="29647" xr:uid="{00000000-0005-0000-0000-0000597C0000}"/>
    <cellStyle name="Porcentaje 3 2 12" xfId="19790" xr:uid="{00000000-0005-0000-0000-00005A7C0000}"/>
    <cellStyle name="Porcentaje 3 2 2" xfId="54" xr:uid="{00000000-0005-0000-0000-00005B7C0000}"/>
    <cellStyle name="Porcentaje 3 2 2 10" xfId="9951" xr:uid="{00000000-0005-0000-0000-00005C7C0000}"/>
    <cellStyle name="Porcentaje 3 2 2 10 2" xfId="29666" xr:uid="{00000000-0005-0000-0000-00005D7C0000}"/>
    <cellStyle name="Porcentaje 3 2 2 11" xfId="19809" xr:uid="{00000000-0005-0000-0000-00005E7C0000}"/>
    <cellStyle name="Porcentaje 3 2 2 2" xfId="97" xr:uid="{00000000-0005-0000-0000-00005F7C0000}"/>
    <cellStyle name="Porcentaje 3 2 2 2 10" xfId="19847" xr:uid="{00000000-0005-0000-0000-0000607C0000}"/>
    <cellStyle name="Porcentaje 3 2 2 2 2" xfId="178" xr:uid="{00000000-0005-0000-0000-0000617C0000}"/>
    <cellStyle name="Porcentaje 3 2 2 2 2 2" xfId="335" xr:uid="{00000000-0005-0000-0000-0000627C0000}"/>
    <cellStyle name="Porcentaje 3 2 2 2 2 2 2" xfId="649" xr:uid="{00000000-0005-0000-0000-0000637C0000}"/>
    <cellStyle name="Porcentaje 3 2 2 2 2 2 2 2" xfId="1269" xr:uid="{00000000-0005-0000-0000-0000647C0000}"/>
    <cellStyle name="Porcentaje 3 2 2 2 2 2 2 2 2" xfId="2504" xr:uid="{00000000-0005-0000-0000-0000657C0000}"/>
    <cellStyle name="Porcentaje 3 2 2 2 2 2 2 2 2 2" xfId="4971" xr:uid="{00000000-0005-0000-0000-0000667C0000}"/>
    <cellStyle name="Porcentaje 3 2 2 2 2 2 2 2 2 2 2" xfId="9903" xr:uid="{00000000-0005-0000-0000-0000677C0000}"/>
    <cellStyle name="Porcentaje 3 2 2 2 2 2 2 2 2 2 2 2" xfId="19763" xr:uid="{00000000-0005-0000-0000-0000687C0000}"/>
    <cellStyle name="Porcentaje 3 2 2 2 2 2 2 2 2 2 2 2 2" xfId="39478" xr:uid="{00000000-0005-0000-0000-0000697C0000}"/>
    <cellStyle name="Porcentaje 3 2 2 2 2 2 2 2 2 2 2 3" xfId="29621" xr:uid="{00000000-0005-0000-0000-00006A7C0000}"/>
    <cellStyle name="Porcentaje 3 2 2 2 2 2 2 2 2 2 3" xfId="14835" xr:uid="{00000000-0005-0000-0000-00006B7C0000}"/>
    <cellStyle name="Porcentaje 3 2 2 2 2 2 2 2 2 2 3 2" xfId="34550" xr:uid="{00000000-0005-0000-0000-00006C7C0000}"/>
    <cellStyle name="Porcentaje 3 2 2 2 2 2 2 2 2 2 4" xfId="24693" xr:uid="{00000000-0005-0000-0000-00006D7C0000}"/>
    <cellStyle name="Porcentaje 3 2 2 2 2 2 2 2 2 3" xfId="7439" xr:uid="{00000000-0005-0000-0000-00006E7C0000}"/>
    <cellStyle name="Porcentaje 3 2 2 2 2 2 2 2 2 3 2" xfId="17299" xr:uid="{00000000-0005-0000-0000-00006F7C0000}"/>
    <cellStyle name="Porcentaje 3 2 2 2 2 2 2 2 2 3 2 2" xfId="37014" xr:uid="{00000000-0005-0000-0000-0000707C0000}"/>
    <cellStyle name="Porcentaje 3 2 2 2 2 2 2 2 2 3 3" xfId="27157" xr:uid="{00000000-0005-0000-0000-0000717C0000}"/>
    <cellStyle name="Porcentaje 3 2 2 2 2 2 2 2 2 4" xfId="12371" xr:uid="{00000000-0005-0000-0000-0000727C0000}"/>
    <cellStyle name="Porcentaje 3 2 2 2 2 2 2 2 2 4 2" xfId="32086" xr:uid="{00000000-0005-0000-0000-0000737C0000}"/>
    <cellStyle name="Porcentaje 3 2 2 2 2 2 2 2 2 5" xfId="22229" xr:uid="{00000000-0005-0000-0000-0000747C0000}"/>
    <cellStyle name="Porcentaje 3 2 2 2 2 2 2 2 3" xfId="3739" xr:uid="{00000000-0005-0000-0000-0000757C0000}"/>
    <cellStyle name="Porcentaje 3 2 2 2 2 2 2 2 3 2" xfId="8671" xr:uid="{00000000-0005-0000-0000-0000767C0000}"/>
    <cellStyle name="Porcentaje 3 2 2 2 2 2 2 2 3 2 2" xfId="18531" xr:uid="{00000000-0005-0000-0000-0000777C0000}"/>
    <cellStyle name="Porcentaje 3 2 2 2 2 2 2 2 3 2 2 2" xfId="38246" xr:uid="{00000000-0005-0000-0000-0000787C0000}"/>
    <cellStyle name="Porcentaje 3 2 2 2 2 2 2 2 3 2 3" xfId="28389" xr:uid="{00000000-0005-0000-0000-0000797C0000}"/>
    <cellStyle name="Porcentaje 3 2 2 2 2 2 2 2 3 3" xfId="13603" xr:uid="{00000000-0005-0000-0000-00007A7C0000}"/>
    <cellStyle name="Porcentaje 3 2 2 2 2 2 2 2 3 3 2" xfId="33318" xr:uid="{00000000-0005-0000-0000-00007B7C0000}"/>
    <cellStyle name="Porcentaje 3 2 2 2 2 2 2 2 3 4" xfId="23461" xr:uid="{00000000-0005-0000-0000-00007C7C0000}"/>
    <cellStyle name="Porcentaje 3 2 2 2 2 2 2 2 4" xfId="6207" xr:uid="{00000000-0005-0000-0000-00007D7C0000}"/>
    <cellStyle name="Porcentaje 3 2 2 2 2 2 2 2 4 2" xfId="16067" xr:uid="{00000000-0005-0000-0000-00007E7C0000}"/>
    <cellStyle name="Porcentaje 3 2 2 2 2 2 2 2 4 2 2" xfId="35782" xr:uid="{00000000-0005-0000-0000-00007F7C0000}"/>
    <cellStyle name="Porcentaje 3 2 2 2 2 2 2 2 4 3" xfId="25925" xr:uid="{00000000-0005-0000-0000-0000807C0000}"/>
    <cellStyle name="Porcentaje 3 2 2 2 2 2 2 2 5" xfId="11139" xr:uid="{00000000-0005-0000-0000-0000817C0000}"/>
    <cellStyle name="Porcentaje 3 2 2 2 2 2 2 2 5 2" xfId="30854" xr:uid="{00000000-0005-0000-0000-0000827C0000}"/>
    <cellStyle name="Porcentaje 3 2 2 2 2 2 2 2 6" xfId="20997" xr:uid="{00000000-0005-0000-0000-0000837C0000}"/>
    <cellStyle name="Porcentaje 3 2 2 2 2 2 2 3" xfId="1888" xr:uid="{00000000-0005-0000-0000-0000847C0000}"/>
    <cellStyle name="Porcentaje 3 2 2 2 2 2 2 3 2" xfId="4355" xr:uid="{00000000-0005-0000-0000-0000857C0000}"/>
    <cellStyle name="Porcentaje 3 2 2 2 2 2 2 3 2 2" xfId="9287" xr:uid="{00000000-0005-0000-0000-0000867C0000}"/>
    <cellStyle name="Porcentaje 3 2 2 2 2 2 2 3 2 2 2" xfId="19147" xr:uid="{00000000-0005-0000-0000-0000877C0000}"/>
    <cellStyle name="Porcentaje 3 2 2 2 2 2 2 3 2 2 2 2" xfId="38862" xr:uid="{00000000-0005-0000-0000-0000887C0000}"/>
    <cellStyle name="Porcentaje 3 2 2 2 2 2 2 3 2 2 3" xfId="29005" xr:uid="{00000000-0005-0000-0000-0000897C0000}"/>
    <cellStyle name="Porcentaje 3 2 2 2 2 2 2 3 2 3" xfId="14219" xr:uid="{00000000-0005-0000-0000-00008A7C0000}"/>
    <cellStyle name="Porcentaje 3 2 2 2 2 2 2 3 2 3 2" xfId="33934" xr:uid="{00000000-0005-0000-0000-00008B7C0000}"/>
    <cellStyle name="Porcentaje 3 2 2 2 2 2 2 3 2 4" xfId="24077" xr:uid="{00000000-0005-0000-0000-00008C7C0000}"/>
    <cellStyle name="Porcentaje 3 2 2 2 2 2 2 3 3" xfId="6823" xr:uid="{00000000-0005-0000-0000-00008D7C0000}"/>
    <cellStyle name="Porcentaje 3 2 2 2 2 2 2 3 3 2" xfId="16683" xr:uid="{00000000-0005-0000-0000-00008E7C0000}"/>
    <cellStyle name="Porcentaje 3 2 2 2 2 2 2 3 3 2 2" xfId="36398" xr:uid="{00000000-0005-0000-0000-00008F7C0000}"/>
    <cellStyle name="Porcentaje 3 2 2 2 2 2 2 3 3 3" xfId="26541" xr:uid="{00000000-0005-0000-0000-0000907C0000}"/>
    <cellStyle name="Porcentaje 3 2 2 2 2 2 2 3 4" xfId="11755" xr:uid="{00000000-0005-0000-0000-0000917C0000}"/>
    <cellStyle name="Porcentaje 3 2 2 2 2 2 2 3 4 2" xfId="31470" xr:uid="{00000000-0005-0000-0000-0000927C0000}"/>
    <cellStyle name="Porcentaje 3 2 2 2 2 2 2 3 5" xfId="21613" xr:uid="{00000000-0005-0000-0000-0000937C0000}"/>
    <cellStyle name="Porcentaje 3 2 2 2 2 2 2 4" xfId="3123" xr:uid="{00000000-0005-0000-0000-0000947C0000}"/>
    <cellStyle name="Porcentaje 3 2 2 2 2 2 2 4 2" xfId="8055" xr:uid="{00000000-0005-0000-0000-0000957C0000}"/>
    <cellStyle name="Porcentaje 3 2 2 2 2 2 2 4 2 2" xfId="17915" xr:uid="{00000000-0005-0000-0000-0000967C0000}"/>
    <cellStyle name="Porcentaje 3 2 2 2 2 2 2 4 2 2 2" xfId="37630" xr:uid="{00000000-0005-0000-0000-0000977C0000}"/>
    <cellStyle name="Porcentaje 3 2 2 2 2 2 2 4 2 3" xfId="27773" xr:uid="{00000000-0005-0000-0000-0000987C0000}"/>
    <cellStyle name="Porcentaje 3 2 2 2 2 2 2 4 3" xfId="12987" xr:uid="{00000000-0005-0000-0000-0000997C0000}"/>
    <cellStyle name="Porcentaje 3 2 2 2 2 2 2 4 3 2" xfId="32702" xr:uid="{00000000-0005-0000-0000-00009A7C0000}"/>
    <cellStyle name="Porcentaje 3 2 2 2 2 2 2 4 4" xfId="22845" xr:uid="{00000000-0005-0000-0000-00009B7C0000}"/>
    <cellStyle name="Porcentaje 3 2 2 2 2 2 2 5" xfId="5591" xr:uid="{00000000-0005-0000-0000-00009C7C0000}"/>
    <cellStyle name="Porcentaje 3 2 2 2 2 2 2 5 2" xfId="15451" xr:uid="{00000000-0005-0000-0000-00009D7C0000}"/>
    <cellStyle name="Porcentaje 3 2 2 2 2 2 2 5 2 2" xfId="35166" xr:uid="{00000000-0005-0000-0000-00009E7C0000}"/>
    <cellStyle name="Porcentaje 3 2 2 2 2 2 2 5 3" xfId="25309" xr:uid="{00000000-0005-0000-0000-00009F7C0000}"/>
    <cellStyle name="Porcentaje 3 2 2 2 2 2 2 6" xfId="10523" xr:uid="{00000000-0005-0000-0000-0000A07C0000}"/>
    <cellStyle name="Porcentaje 3 2 2 2 2 2 2 6 2" xfId="30238" xr:uid="{00000000-0005-0000-0000-0000A17C0000}"/>
    <cellStyle name="Porcentaje 3 2 2 2 2 2 2 7" xfId="20381" xr:uid="{00000000-0005-0000-0000-0000A27C0000}"/>
    <cellStyle name="Porcentaje 3 2 2 2 2 2 3" xfId="962" xr:uid="{00000000-0005-0000-0000-0000A37C0000}"/>
    <cellStyle name="Porcentaje 3 2 2 2 2 2 3 2" xfId="2198" xr:uid="{00000000-0005-0000-0000-0000A47C0000}"/>
    <cellStyle name="Porcentaje 3 2 2 2 2 2 3 2 2" xfId="4665" xr:uid="{00000000-0005-0000-0000-0000A57C0000}"/>
    <cellStyle name="Porcentaje 3 2 2 2 2 2 3 2 2 2" xfId="9597" xr:uid="{00000000-0005-0000-0000-0000A67C0000}"/>
    <cellStyle name="Porcentaje 3 2 2 2 2 2 3 2 2 2 2" xfId="19457" xr:uid="{00000000-0005-0000-0000-0000A77C0000}"/>
    <cellStyle name="Porcentaje 3 2 2 2 2 2 3 2 2 2 2 2" xfId="39172" xr:uid="{00000000-0005-0000-0000-0000A87C0000}"/>
    <cellStyle name="Porcentaje 3 2 2 2 2 2 3 2 2 2 3" xfId="29315" xr:uid="{00000000-0005-0000-0000-0000A97C0000}"/>
    <cellStyle name="Porcentaje 3 2 2 2 2 2 3 2 2 3" xfId="14529" xr:uid="{00000000-0005-0000-0000-0000AA7C0000}"/>
    <cellStyle name="Porcentaje 3 2 2 2 2 2 3 2 2 3 2" xfId="34244" xr:uid="{00000000-0005-0000-0000-0000AB7C0000}"/>
    <cellStyle name="Porcentaje 3 2 2 2 2 2 3 2 2 4" xfId="24387" xr:uid="{00000000-0005-0000-0000-0000AC7C0000}"/>
    <cellStyle name="Porcentaje 3 2 2 2 2 2 3 2 3" xfId="7133" xr:uid="{00000000-0005-0000-0000-0000AD7C0000}"/>
    <cellStyle name="Porcentaje 3 2 2 2 2 2 3 2 3 2" xfId="16993" xr:uid="{00000000-0005-0000-0000-0000AE7C0000}"/>
    <cellStyle name="Porcentaje 3 2 2 2 2 2 3 2 3 2 2" xfId="36708" xr:uid="{00000000-0005-0000-0000-0000AF7C0000}"/>
    <cellStyle name="Porcentaje 3 2 2 2 2 2 3 2 3 3" xfId="26851" xr:uid="{00000000-0005-0000-0000-0000B07C0000}"/>
    <cellStyle name="Porcentaje 3 2 2 2 2 2 3 2 4" xfId="12065" xr:uid="{00000000-0005-0000-0000-0000B17C0000}"/>
    <cellStyle name="Porcentaje 3 2 2 2 2 2 3 2 4 2" xfId="31780" xr:uid="{00000000-0005-0000-0000-0000B27C0000}"/>
    <cellStyle name="Porcentaje 3 2 2 2 2 2 3 2 5" xfId="21923" xr:uid="{00000000-0005-0000-0000-0000B37C0000}"/>
    <cellStyle name="Porcentaje 3 2 2 2 2 2 3 3" xfId="3433" xr:uid="{00000000-0005-0000-0000-0000B47C0000}"/>
    <cellStyle name="Porcentaje 3 2 2 2 2 2 3 3 2" xfId="8365" xr:uid="{00000000-0005-0000-0000-0000B57C0000}"/>
    <cellStyle name="Porcentaje 3 2 2 2 2 2 3 3 2 2" xfId="18225" xr:uid="{00000000-0005-0000-0000-0000B67C0000}"/>
    <cellStyle name="Porcentaje 3 2 2 2 2 2 3 3 2 2 2" xfId="37940" xr:uid="{00000000-0005-0000-0000-0000B77C0000}"/>
    <cellStyle name="Porcentaje 3 2 2 2 2 2 3 3 2 3" xfId="28083" xr:uid="{00000000-0005-0000-0000-0000B87C0000}"/>
    <cellStyle name="Porcentaje 3 2 2 2 2 2 3 3 3" xfId="13297" xr:uid="{00000000-0005-0000-0000-0000B97C0000}"/>
    <cellStyle name="Porcentaje 3 2 2 2 2 2 3 3 3 2" xfId="33012" xr:uid="{00000000-0005-0000-0000-0000BA7C0000}"/>
    <cellStyle name="Porcentaje 3 2 2 2 2 2 3 3 4" xfId="23155" xr:uid="{00000000-0005-0000-0000-0000BB7C0000}"/>
    <cellStyle name="Porcentaje 3 2 2 2 2 2 3 4" xfId="5901" xr:uid="{00000000-0005-0000-0000-0000BC7C0000}"/>
    <cellStyle name="Porcentaje 3 2 2 2 2 2 3 4 2" xfId="15761" xr:uid="{00000000-0005-0000-0000-0000BD7C0000}"/>
    <cellStyle name="Porcentaje 3 2 2 2 2 2 3 4 2 2" xfId="35476" xr:uid="{00000000-0005-0000-0000-0000BE7C0000}"/>
    <cellStyle name="Porcentaje 3 2 2 2 2 2 3 4 3" xfId="25619" xr:uid="{00000000-0005-0000-0000-0000BF7C0000}"/>
    <cellStyle name="Porcentaje 3 2 2 2 2 2 3 5" xfId="10833" xr:uid="{00000000-0005-0000-0000-0000C07C0000}"/>
    <cellStyle name="Porcentaje 3 2 2 2 2 2 3 5 2" xfId="30548" xr:uid="{00000000-0005-0000-0000-0000C17C0000}"/>
    <cellStyle name="Porcentaje 3 2 2 2 2 2 3 6" xfId="20691" xr:uid="{00000000-0005-0000-0000-0000C27C0000}"/>
    <cellStyle name="Porcentaje 3 2 2 2 2 2 4" xfId="1582" xr:uid="{00000000-0005-0000-0000-0000C37C0000}"/>
    <cellStyle name="Porcentaje 3 2 2 2 2 2 4 2" xfId="4049" xr:uid="{00000000-0005-0000-0000-0000C47C0000}"/>
    <cellStyle name="Porcentaje 3 2 2 2 2 2 4 2 2" xfId="8981" xr:uid="{00000000-0005-0000-0000-0000C57C0000}"/>
    <cellStyle name="Porcentaje 3 2 2 2 2 2 4 2 2 2" xfId="18841" xr:uid="{00000000-0005-0000-0000-0000C67C0000}"/>
    <cellStyle name="Porcentaje 3 2 2 2 2 2 4 2 2 2 2" xfId="38556" xr:uid="{00000000-0005-0000-0000-0000C77C0000}"/>
    <cellStyle name="Porcentaje 3 2 2 2 2 2 4 2 2 3" xfId="28699" xr:uid="{00000000-0005-0000-0000-0000C87C0000}"/>
    <cellStyle name="Porcentaje 3 2 2 2 2 2 4 2 3" xfId="13913" xr:uid="{00000000-0005-0000-0000-0000C97C0000}"/>
    <cellStyle name="Porcentaje 3 2 2 2 2 2 4 2 3 2" xfId="33628" xr:uid="{00000000-0005-0000-0000-0000CA7C0000}"/>
    <cellStyle name="Porcentaje 3 2 2 2 2 2 4 2 4" xfId="23771" xr:uid="{00000000-0005-0000-0000-0000CB7C0000}"/>
    <cellStyle name="Porcentaje 3 2 2 2 2 2 4 3" xfId="6517" xr:uid="{00000000-0005-0000-0000-0000CC7C0000}"/>
    <cellStyle name="Porcentaje 3 2 2 2 2 2 4 3 2" xfId="16377" xr:uid="{00000000-0005-0000-0000-0000CD7C0000}"/>
    <cellStyle name="Porcentaje 3 2 2 2 2 2 4 3 2 2" xfId="36092" xr:uid="{00000000-0005-0000-0000-0000CE7C0000}"/>
    <cellStyle name="Porcentaje 3 2 2 2 2 2 4 3 3" xfId="26235" xr:uid="{00000000-0005-0000-0000-0000CF7C0000}"/>
    <cellStyle name="Porcentaje 3 2 2 2 2 2 4 4" xfId="11449" xr:uid="{00000000-0005-0000-0000-0000D07C0000}"/>
    <cellStyle name="Porcentaje 3 2 2 2 2 2 4 4 2" xfId="31164" xr:uid="{00000000-0005-0000-0000-0000D17C0000}"/>
    <cellStyle name="Porcentaje 3 2 2 2 2 2 4 5" xfId="21307" xr:uid="{00000000-0005-0000-0000-0000D27C0000}"/>
    <cellStyle name="Porcentaje 3 2 2 2 2 2 5" xfId="2817" xr:uid="{00000000-0005-0000-0000-0000D37C0000}"/>
    <cellStyle name="Porcentaje 3 2 2 2 2 2 5 2" xfId="7749" xr:uid="{00000000-0005-0000-0000-0000D47C0000}"/>
    <cellStyle name="Porcentaje 3 2 2 2 2 2 5 2 2" xfId="17609" xr:uid="{00000000-0005-0000-0000-0000D57C0000}"/>
    <cellStyle name="Porcentaje 3 2 2 2 2 2 5 2 2 2" xfId="37324" xr:uid="{00000000-0005-0000-0000-0000D67C0000}"/>
    <cellStyle name="Porcentaje 3 2 2 2 2 2 5 2 3" xfId="27467" xr:uid="{00000000-0005-0000-0000-0000D77C0000}"/>
    <cellStyle name="Porcentaje 3 2 2 2 2 2 5 3" xfId="12681" xr:uid="{00000000-0005-0000-0000-0000D87C0000}"/>
    <cellStyle name="Porcentaje 3 2 2 2 2 2 5 3 2" xfId="32396" xr:uid="{00000000-0005-0000-0000-0000D97C0000}"/>
    <cellStyle name="Porcentaje 3 2 2 2 2 2 5 4" xfId="22539" xr:uid="{00000000-0005-0000-0000-0000DA7C0000}"/>
    <cellStyle name="Porcentaje 3 2 2 2 2 2 6" xfId="5285" xr:uid="{00000000-0005-0000-0000-0000DB7C0000}"/>
    <cellStyle name="Porcentaje 3 2 2 2 2 2 6 2" xfId="15145" xr:uid="{00000000-0005-0000-0000-0000DC7C0000}"/>
    <cellStyle name="Porcentaje 3 2 2 2 2 2 6 2 2" xfId="34860" xr:uid="{00000000-0005-0000-0000-0000DD7C0000}"/>
    <cellStyle name="Porcentaje 3 2 2 2 2 2 6 3" xfId="25003" xr:uid="{00000000-0005-0000-0000-0000DE7C0000}"/>
    <cellStyle name="Porcentaje 3 2 2 2 2 2 7" xfId="10217" xr:uid="{00000000-0005-0000-0000-0000DF7C0000}"/>
    <cellStyle name="Porcentaje 3 2 2 2 2 2 7 2" xfId="29932" xr:uid="{00000000-0005-0000-0000-0000E07C0000}"/>
    <cellStyle name="Porcentaje 3 2 2 2 2 2 8" xfId="20075" xr:uid="{00000000-0005-0000-0000-0000E17C0000}"/>
    <cellStyle name="Porcentaje 3 2 2 2 2 3" xfId="497" xr:uid="{00000000-0005-0000-0000-0000E27C0000}"/>
    <cellStyle name="Porcentaje 3 2 2 2 2 3 2" xfId="1117" xr:uid="{00000000-0005-0000-0000-0000E37C0000}"/>
    <cellStyle name="Porcentaje 3 2 2 2 2 3 2 2" xfId="2352" xr:uid="{00000000-0005-0000-0000-0000E47C0000}"/>
    <cellStyle name="Porcentaje 3 2 2 2 2 3 2 2 2" xfId="4819" xr:uid="{00000000-0005-0000-0000-0000E57C0000}"/>
    <cellStyle name="Porcentaje 3 2 2 2 2 3 2 2 2 2" xfId="9751" xr:uid="{00000000-0005-0000-0000-0000E67C0000}"/>
    <cellStyle name="Porcentaje 3 2 2 2 2 3 2 2 2 2 2" xfId="19611" xr:uid="{00000000-0005-0000-0000-0000E77C0000}"/>
    <cellStyle name="Porcentaje 3 2 2 2 2 3 2 2 2 2 2 2" xfId="39326" xr:uid="{00000000-0005-0000-0000-0000E87C0000}"/>
    <cellStyle name="Porcentaje 3 2 2 2 2 3 2 2 2 2 3" xfId="29469" xr:uid="{00000000-0005-0000-0000-0000E97C0000}"/>
    <cellStyle name="Porcentaje 3 2 2 2 2 3 2 2 2 3" xfId="14683" xr:uid="{00000000-0005-0000-0000-0000EA7C0000}"/>
    <cellStyle name="Porcentaje 3 2 2 2 2 3 2 2 2 3 2" xfId="34398" xr:uid="{00000000-0005-0000-0000-0000EB7C0000}"/>
    <cellStyle name="Porcentaje 3 2 2 2 2 3 2 2 2 4" xfId="24541" xr:uid="{00000000-0005-0000-0000-0000EC7C0000}"/>
    <cellStyle name="Porcentaje 3 2 2 2 2 3 2 2 3" xfId="7287" xr:uid="{00000000-0005-0000-0000-0000ED7C0000}"/>
    <cellStyle name="Porcentaje 3 2 2 2 2 3 2 2 3 2" xfId="17147" xr:uid="{00000000-0005-0000-0000-0000EE7C0000}"/>
    <cellStyle name="Porcentaje 3 2 2 2 2 3 2 2 3 2 2" xfId="36862" xr:uid="{00000000-0005-0000-0000-0000EF7C0000}"/>
    <cellStyle name="Porcentaje 3 2 2 2 2 3 2 2 3 3" xfId="27005" xr:uid="{00000000-0005-0000-0000-0000F07C0000}"/>
    <cellStyle name="Porcentaje 3 2 2 2 2 3 2 2 4" xfId="12219" xr:uid="{00000000-0005-0000-0000-0000F17C0000}"/>
    <cellStyle name="Porcentaje 3 2 2 2 2 3 2 2 4 2" xfId="31934" xr:uid="{00000000-0005-0000-0000-0000F27C0000}"/>
    <cellStyle name="Porcentaje 3 2 2 2 2 3 2 2 5" xfId="22077" xr:uid="{00000000-0005-0000-0000-0000F37C0000}"/>
    <cellStyle name="Porcentaje 3 2 2 2 2 3 2 3" xfId="3587" xr:uid="{00000000-0005-0000-0000-0000F47C0000}"/>
    <cellStyle name="Porcentaje 3 2 2 2 2 3 2 3 2" xfId="8519" xr:uid="{00000000-0005-0000-0000-0000F57C0000}"/>
    <cellStyle name="Porcentaje 3 2 2 2 2 3 2 3 2 2" xfId="18379" xr:uid="{00000000-0005-0000-0000-0000F67C0000}"/>
    <cellStyle name="Porcentaje 3 2 2 2 2 3 2 3 2 2 2" xfId="38094" xr:uid="{00000000-0005-0000-0000-0000F77C0000}"/>
    <cellStyle name="Porcentaje 3 2 2 2 2 3 2 3 2 3" xfId="28237" xr:uid="{00000000-0005-0000-0000-0000F87C0000}"/>
    <cellStyle name="Porcentaje 3 2 2 2 2 3 2 3 3" xfId="13451" xr:uid="{00000000-0005-0000-0000-0000F97C0000}"/>
    <cellStyle name="Porcentaje 3 2 2 2 2 3 2 3 3 2" xfId="33166" xr:uid="{00000000-0005-0000-0000-0000FA7C0000}"/>
    <cellStyle name="Porcentaje 3 2 2 2 2 3 2 3 4" xfId="23309" xr:uid="{00000000-0005-0000-0000-0000FB7C0000}"/>
    <cellStyle name="Porcentaje 3 2 2 2 2 3 2 4" xfId="6055" xr:uid="{00000000-0005-0000-0000-0000FC7C0000}"/>
    <cellStyle name="Porcentaje 3 2 2 2 2 3 2 4 2" xfId="15915" xr:uid="{00000000-0005-0000-0000-0000FD7C0000}"/>
    <cellStyle name="Porcentaje 3 2 2 2 2 3 2 4 2 2" xfId="35630" xr:uid="{00000000-0005-0000-0000-0000FE7C0000}"/>
    <cellStyle name="Porcentaje 3 2 2 2 2 3 2 4 3" xfId="25773" xr:uid="{00000000-0005-0000-0000-0000FF7C0000}"/>
    <cellStyle name="Porcentaje 3 2 2 2 2 3 2 5" xfId="10987" xr:uid="{00000000-0005-0000-0000-0000007D0000}"/>
    <cellStyle name="Porcentaje 3 2 2 2 2 3 2 5 2" xfId="30702" xr:uid="{00000000-0005-0000-0000-0000017D0000}"/>
    <cellStyle name="Porcentaje 3 2 2 2 2 3 2 6" xfId="20845" xr:uid="{00000000-0005-0000-0000-0000027D0000}"/>
    <cellStyle name="Porcentaje 3 2 2 2 2 3 3" xfId="1736" xr:uid="{00000000-0005-0000-0000-0000037D0000}"/>
    <cellStyle name="Porcentaje 3 2 2 2 2 3 3 2" xfId="4203" xr:uid="{00000000-0005-0000-0000-0000047D0000}"/>
    <cellStyle name="Porcentaje 3 2 2 2 2 3 3 2 2" xfId="9135" xr:uid="{00000000-0005-0000-0000-0000057D0000}"/>
    <cellStyle name="Porcentaje 3 2 2 2 2 3 3 2 2 2" xfId="18995" xr:uid="{00000000-0005-0000-0000-0000067D0000}"/>
    <cellStyle name="Porcentaje 3 2 2 2 2 3 3 2 2 2 2" xfId="38710" xr:uid="{00000000-0005-0000-0000-0000077D0000}"/>
    <cellStyle name="Porcentaje 3 2 2 2 2 3 3 2 2 3" xfId="28853" xr:uid="{00000000-0005-0000-0000-0000087D0000}"/>
    <cellStyle name="Porcentaje 3 2 2 2 2 3 3 2 3" xfId="14067" xr:uid="{00000000-0005-0000-0000-0000097D0000}"/>
    <cellStyle name="Porcentaje 3 2 2 2 2 3 3 2 3 2" xfId="33782" xr:uid="{00000000-0005-0000-0000-00000A7D0000}"/>
    <cellStyle name="Porcentaje 3 2 2 2 2 3 3 2 4" xfId="23925" xr:uid="{00000000-0005-0000-0000-00000B7D0000}"/>
    <cellStyle name="Porcentaje 3 2 2 2 2 3 3 3" xfId="6671" xr:uid="{00000000-0005-0000-0000-00000C7D0000}"/>
    <cellStyle name="Porcentaje 3 2 2 2 2 3 3 3 2" xfId="16531" xr:uid="{00000000-0005-0000-0000-00000D7D0000}"/>
    <cellStyle name="Porcentaje 3 2 2 2 2 3 3 3 2 2" xfId="36246" xr:uid="{00000000-0005-0000-0000-00000E7D0000}"/>
    <cellStyle name="Porcentaje 3 2 2 2 2 3 3 3 3" xfId="26389" xr:uid="{00000000-0005-0000-0000-00000F7D0000}"/>
    <cellStyle name="Porcentaje 3 2 2 2 2 3 3 4" xfId="11603" xr:uid="{00000000-0005-0000-0000-0000107D0000}"/>
    <cellStyle name="Porcentaje 3 2 2 2 2 3 3 4 2" xfId="31318" xr:uid="{00000000-0005-0000-0000-0000117D0000}"/>
    <cellStyle name="Porcentaje 3 2 2 2 2 3 3 5" xfId="21461" xr:uid="{00000000-0005-0000-0000-0000127D0000}"/>
    <cellStyle name="Porcentaje 3 2 2 2 2 3 4" xfId="2971" xr:uid="{00000000-0005-0000-0000-0000137D0000}"/>
    <cellStyle name="Porcentaje 3 2 2 2 2 3 4 2" xfId="7903" xr:uid="{00000000-0005-0000-0000-0000147D0000}"/>
    <cellStyle name="Porcentaje 3 2 2 2 2 3 4 2 2" xfId="17763" xr:uid="{00000000-0005-0000-0000-0000157D0000}"/>
    <cellStyle name="Porcentaje 3 2 2 2 2 3 4 2 2 2" xfId="37478" xr:uid="{00000000-0005-0000-0000-0000167D0000}"/>
    <cellStyle name="Porcentaje 3 2 2 2 2 3 4 2 3" xfId="27621" xr:uid="{00000000-0005-0000-0000-0000177D0000}"/>
    <cellStyle name="Porcentaje 3 2 2 2 2 3 4 3" xfId="12835" xr:uid="{00000000-0005-0000-0000-0000187D0000}"/>
    <cellStyle name="Porcentaje 3 2 2 2 2 3 4 3 2" xfId="32550" xr:uid="{00000000-0005-0000-0000-0000197D0000}"/>
    <cellStyle name="Porcentaje 3 2 2 2 2 3 4 4" xfId="22693" xr:uid="{00000000-0005-0000-0000-00001A7D0000}"/>
    <cellStyle name="Porcentaje 3 2 2 2 2 3 5" xfId="5439" xr:uid="{00000000-0005-0000-0000-00001B7D0000}"/>
    <cellStyle name="Porcentaje 3 2 2 2 2 3 5 2" xfId="15299" xr:uid="{00000000-0005-0000-0000-00001C7D0000}"/>
    <cellStyle name="Porcentaje 3 2 2 2 2 3 5 2 2" xfId="35014" xr:uid="{00000000-0005-0000-0000-00001D7D0000}"/>
    <cellStyle name="Porcentaje 3 2 2 2 2 3 5 3" xfId="25157" xr:uid="{00000000-0005-0000-0000-00001E7D0000}"/>
    <cellStyle name="Porcentaje 3 2 2 2 2 3 6" xfId="10371" xr:uid="{00000000-0005-0000-0000-00001F7D0000}"/>
    <cellStyle name="Porcentaje 3 2 2 2 2 3 6 2" xfId="30086" xr:uid="{00000000-0005-0000-0000-0000207D0000}"/>
    <cellStyle name="Porcentaje 3 2 2 2 2 3 7" xfId="20229" xr:uid="{00000000-0005-0000-0000-0000217D0000}"/>
    <cellStyle name="Porcentaje 3 2 2 2 2 4" xfId="810" xr:uid="{00000000-0005-0000-0000-0000227D0000}"/>
    <cellStyle name="Porcentaje 3 2 2 2 2 4 2" xfId="2046" xr:uid="{00000000-0005-0000-0000-0000237D0000}"/>
    <cellStyle name="Porcentaje 3 2 2 2 2 4 2 2" xfId="4513" xr:uid="{00000000-0005-0000-0000-0000247D0000}"/>
    <cellStyle name="Porcentaje 3 2 2 2 2 4 2 2 2" xfId="9445" xr:uid="{00000000-0005-0000-0000-0000257D0000}"/>
    <cellStyle name="Porcentaje 3 2 2 2 2 4 2 2 2 2" xfId="19305" xr:uid="{00000000-0005-0000-0000-0000267D0000}"/>
    <cellStyle name="Porcentaje 3 2 2 2 2 4 2 2 2 2 2" xfId="39020" xr:uid="{00000000-0005-0000-0000-0000277D0000}"/>
    <cellStyle name="Porcentaje 3 2 2 2 2 4 2 2 2 3" xfId="29163" xr:uid="{00000000-0005-0000-0000-0000287D0000}"/>
    <cellStyle name="Porcentaje 3 2 2 2 2 4 2 2 3" xfId="14377" xr:uid="{00000000-0005-0000-0000-0000297D0000}"/>
    <cellStyle name="Porcentaje 3 2 2 2 2 4 2 2 3 2" xfId="34092" xr:uid="{00000000-0005-0000-0000-00002A7D0000}"/>
    <cellStyle name="Porcentaje 3 2 2 2 2 4 2 2 4" xfId="24235" xr:uid="{00000000-0005-0000-0000-00002B7D0000}"/>
    <cellStyle name="Porcentaje 3 2 2 2 2 4 2 3" xfId="6981" xr:uid="{00000000-0005-0000-0000-00002C7D0000}"/>
    <cellStyle name="Porcentaje 3 2 2 2 2 4 2 3 2" xfId="16841" xr:uid="{00000000-0005-0000-0000-00002D7D0000}"/>
    <cellStyle name="Porcentaje 3 2 2 2 2 4 2 3 2 2" xfId="36556" xr:uid="{00000000-0005-0000-0000-00002E7D0000}"/>
    <cellStyle name="Porcentaje 3 2 2 2 2 4 2 3 3" xfId="26699" xr:uid="{00000000-0005-0000-0000-00002F7D0000}"/>
    <cellStyle name="Porcentaje 3 2 2 2 2 4 2 4" xfId="11913" xr:uid="{00000000-0005-0000-0000-0000307D0000}"/>
    <cellStyle name="Porcentaje 3 2 2 2 2 4 2 4 2" xfId="31628" xr:uid="{00000000-0005-0000-0000-0000317D0000}"/>
    <cellStyle name="Porcentaje 3 2 2 2 2 4 2 5" xfId="21771" xr:uid="{00000000-0005-0000-0000-0000327D0000}"/>
    <cellStyle name="Porcentaje 3 2 2 2 2 4 3" xfId="3281" xr:uid="{00000000-0005-0000-0000-0000337D0000}"/>
    <cellStyle name="Porcentaje 3 2 2 2 2 4 3 2" xfId="8213" xr:uid="{00000000-0005-0000-0000-0000347D0000}"/>
    <cellStyle name="Porcentaje 3 2 2 2 2 4 3 2 2" xfId="18073" xr:uid="{00000000-0005-0000-0000-0000357D0000}"/>
    <cellStyle name="Porcentaje 3 2 2 2 2 4 3 2 2 2" xfId="37788" xr:uid="{00000000-0005-0000-0000-0000367D0000}"/>
    <cellStyle name="Porcentaje 3 2 2 2 2 4 3 2 3" xfId="27931" xr:uid="{00000000-0005-0000-0000-0000377D0000}"/>
    <cellStyle name="Porcentaje 3 2 2 2 2 4 3 3" xfId="13145" xr:uid="{00000000-0005-0000-0000-0000387D0000}"/>
    <cellStyle name="Porcentaje 3 2 2 2 2 4 3 3 2" xfId="32860" xr:uid="{00000000-0005-0000-0000-0000397D0000}"/>
    <cellStyle name="Porcentaje 3 2 2 2 2 4 3 4" xfId="23003" xr:uid="{00000000-0005-0000-0000-00003A7D0000}"/>
    <cellStyle name="Porcentaje 3 2 2 2 2 4 4" xfId="5749" xr:uid="{00000000-0005-0000-0000-00003B7D0000}"/>
    <cellStyle name="Porcentaje 3 2 2 2 2 4 4 2" xfId="15609" xr:uid="{00000000-0005-0000-0000-00003C7D0000}"/>
    <cellStyle name="Porcentaje 3 2 2 2 2 4 4 2 2" xfId="35324" xr:uid="{00000000-0005-0000-0000-00003D7D0000}"/>
    <cellStyle name="Porcentaje 3 2 2 2 2 4 4 3" xfId="25467" xr:uid="{00000000-0005-0000-0000-00003E7D0000}"/>
    <cellStyle name="Porcentaje 3 2 2 2 2 4 5" xfId="10681" xr:uid="{00000000-0005-0000-0000-00003F7D0000}"/>
    <cellStyle name="Porcentaje 3 2 2 2 2 4 5 2" xfId="30396" xr:uid="{00000000-0005-0000-0000-0000407D0000}"/>
    <cellStyle name="Porcentaje 3 2 2 2 2 4 6" xfId="20539" xr:uid="{00000000-0005-0000-0000-0000417D0000}"/>
    <cellStyle name="Porcentaje 3 2 2 2 2 5" xfId="1430" xr:uid="{00000000-0005-0000-0000-0000427D0000}"/>
    <cellStyle name="Porcentaje 3 2 2 2 2 5 2" xfId="3897" xr:uid="{00000000-0005-0000-0000-0000437D0000}"/>
    <cellStyle name="Porcentaje 3 2 2 2 2 5 2 2" xfId="8829" xr:uid="{00000000-0005-0000-0000-0000447D0000}"/>
    <cellStyle name="Porcentaje 3 2 2 2 2 5 2 2 2" xfId="18689" xr:uid="{00000000-0005-0000-0000-0000457D0000}"/>
    <cellStyle name="Porcentaje 3 2 2 2 2 5 2 2 2 2" xfId="38404" xr:uid="{00000000-0005-0000-0000-0000467D0000}"/>
    <cellStyle name="Porcentaje 3 2 2 2 2 5 2 2 3" xfId="28547" xr:uid="{00000000-0005-0000-0000-0000477D0000}"/>
    <cellStyle name="Porcentaje 3 2 2 2 2 5 2 3" xfId="13761" xr:uid="{00000000-0005-0000-0000-0000487D0000}"/>
    <cellStyle name="Porcentaje 3 2 2 2 2 5 2 3 2" xfId="33476" xr:uid="{00000000-0005-0000-0000-0000497D0000}"/>
    <cellStyle name="Porcentaje 3 2 2 2 2 5 2 4" xfId="23619" xr:uid="{00000000-0005-0000-0000-00004A7D0000}"/>
    <cellStyle name="Porcentaje 3 2 2 2 2 5 3" xfId="6365" xr:uid="{00000000-0005-0000-0000-00004B7D0000}"/>
    <cellStyle name="Porcentaje 3 2 2 2 2 5 3 2" xfId="16225" xr:uid="{00000000-0005-0000-0000-00004C7D0000}"/>
    <cellStyle name="Porcentaje 3 2 2 2 2 5 3 2 2" xfId="35940" xr:uid="{00000000-0005-0000-0000-00004D7D0000}"/>
    <cellStyle name="Porcentaje 3 2 2 2 2 5 3 3" xfId="26083" xr:uid="{00000000-0005-0000-0000-00004E7D0000}"/>
    <cellStyle name="Porcentaje 3 2 2 2 2 5 4" xfId="11297" xr:uid="{00000000-0005-0000-0000-00004F7D0000}"/>
    <cellStyle name="Porcentaje 3 2 2 2 2 5 4 2" xfId="31012" xr:uid="{00000000-0005-0000-0000-0000507D0000}"/>
    <cellStyle name="Porcentaje 3 2 2 2 2 5 5" xfId="21155" xr:uid="{00000000-0005-0000-0000-0000517D0000}"/>
    <cellStyle name="Porcentaje 3 2 2 2 2 6" xfId="2665" xr:uid="{00000000-0005-0000-0000-0000527D0000}"/>
    <cellStyle name="Porcentaje 3 2 2 2 2 6 2" xfId="7597" xr:uid="{00000000-0005-0000-0000-0000537D0000}"/>
    <cellStyle name="Porcentaje 3 2 2 2 2 6 2 2" xfId="17457" xr:uid="{00000000-0005-0000-0000-0000547D0000}"/>
    <cellStyle name="Porcentaje 3 2 2 2 2 6 2 2 2" xfId="37172" xr:uid="{00000000-0005-0000-0000-0000557D0000}"/>
    <cellStyle name="Porcentaje 3 2 2 2 2 6 2 3" xfId="27315" xr:uid="{00000000-0005-0000-0000-0000567D0000}"/>
    <cellStyle name="Porcentaje 3 2 2 2 2 6 3" xfId="12529" xr:uid="{00000000-0005-0000-0000-0000577D0000}"/>
    <cellStyle name="Porcentaje 3 2 2 2 2 6 3 2" xfId="32244" xr:uid="{00000000-0005-0000-0000-0000587D0000}"/>
    <cellStyle name="Porcentaje 3 2 2 2 2 6 4" xfId="22387" xr:uid="{00000000-0005-0000-0000-0000597D0000}"/>
    <cellStyle name="Porcentaje 3 2 2 2 2 7" xfId="5133" xr:uid="{00000000-0005-0000-0000-00005A7D0000}"/>
    <cellStyle name="Porcentaje 3 2 2 2 2 7 2" xfId="14993" xr:uid="{00000000-0005-0000-0000-00005B7D0000}"/>
    <cellStyle name="Porcentaje 3 2 2 2 2 7 2 2" xfId="34708" xr:uid="{00000000-0005-0000-0000-00005C7D0000}"/>
    <cellStyle name="Porcentaje 3 2 2 2 2 7 3" xfId="24851" xr:uid="{00000000-0005-0000-0000-00005D7D0000}"/>
    <cellStyle name="Porcentaje 3 2 2 2 2 8" xfId="10065" xr:uid="{00000000-0005-0000-0000-00005E7D0000}"/>
    <cellStyle name="Porcentaje 3 2 2 2 2 8 2" xfId="29780" xr:uid="{00000000-0005-0000-0000-00005F7D0000}"/>
    <cellStyle name="Porcentaje 3 2 2 2 2 9" xfId="19923" xr:uid="{00000000-0005-0000-0000-0000607D0000}"/>
    <cellStyle name="Porcentaje 3 2 2 2 3" xfId="259" xr:uid="{00000000-0005-0000-0000-0000617D0000}"/>
    <cellStyle name="Porcentaje 3 2 2 2 3 2" xfId="573" xr:uid="{00000000-0005-0000-0000-0000627D0000}"/>
    <cellStyle name="Porcentaje 3 2 2 2 3 2 2" xfId="1193" xr:uid="{00000000-0005-0000-0000-0000637D0000}"/>
    <cellStyle name="Porcentaje 3 2 2 2 3 2 2 2" xfId="2428" xr:uid="{00000000-0005-0000-0000-0000647D0000}"/>
    <cellStyle name="Porcentaje 3 2 2 2 3 2 2 2 2" xfId="4895" xr:uid="{00000000-0005-0000-0000-0000657D0000}"/>
    <cellStyle name="Porcentaje 3 2 2 2 3 2 2 2 2 2" xfId="9827" xr:uid="{00000000-0005-0000-0000-0000667D0000}"/>
    <cellStyle name="Porcentaje 3 2 2 2 3 2 2 2 2 2 2" xfId="19687" xr:uid="{00000000-0005-0000-0000-0000677D0000}"/>
    <cellStyle name="Porcentaje 3 2 2 2 3 2 2 2 2 2 2 2" xfId="39402" xr:uid="{00000000-0005-0000-0000-0000687D0000}"/>
    <cellStyle name="Porcentaje 3 2 2 2 3 2 2 2 2 2 3" xfId="29545" xr:uid="{00000000-0005-0000-0000-0000697D0000}"/>
    <cellStyle name="Porcentaje 3 2 2 2 3 2 2 2 2 3" xfId="14759" xr:uid="{00000000-0005-0000-0000-00006A7D0000}"/>
    <cellStyle name="Porcentaje 3 2 2 2 3 2 2 2 2 3 2" xfId="34474" xr:uid="{00000000-0005-0000-0000-00006B7D0000}"/>
    <cellStyle name="Porcentaje 3 2 2 2 3 2 2 2 2 4" xfId="24617" xr:uid="{00000000-0005-0000-0000-00006C7D0000}"/>
    <cellStyle name="Porcentaje 3 2 2 2 3 2 2 2 3" xfId="7363" xr:uid="{00000000-0005-0000-0000-00006D7D0000}"/>
    <cellStyle name="Porcentaje 3 2 2 2 3 2 2 2 3 2" xfId="17223" xr:uid="{00000000-0005-0000-0000-00006E7D0000}"/>
    <cellStyle name="Porcentaje 3 2 2 2 3 2 2 2 3 2 2" xfId="36938" xr:uid="{00000000-0005-0000-0000-00006F7D0000}"/>
    <cellStyle name="Porcentaje 3 2 2 2 3 2 2 2 3 3" xfId="27081" xr:uid="{00000000-0005-0000-0000-0000707D0000}"/>
    <cellStyle name="Porcentaje 3 2 2 2 3 2 2 2 4" xfId="12295" xr:uid="{00000000-0005-0000-0000-0000717D0000}"/>
    <cellStyle name="Porcentaje 3 2 2 2 3 2 2 2 4 2" xfId="32010" xr:uid="{00000000-0005-0000-0000-0000727D0000}"/>
    <cellStyle name="Porcentaje 3 2 2 2 3 2 2 2 5" xfId="22153" xr:uid="{00000000-0005-0000-0000-0000737D0000}"/>
    <cellStyle name="Porcentaje 3 2 2 2 3 2 2 3" xfId="3663" xr:uid="{00000000-0005-0000-0000-0000747D0000}"/>
    <cellStyle name="Porcentaje 3 2 2 2 3 2 2 3 2" xfId="8595" xr:uid="{00000000-0005-0000-0000-0000757D0000}"/>
    <cellStyle name="Porcentaje 3 2 2 2 3 2 2 3 2 2" xfId="18455" xr:uid="{00000000-0005-0000-0000-0000767D0000}"/>
    <cellStyle name="Porcentaje 3 2 2 2 3 2 2 3 2 2 2" xfId="38170" xr:uid="{00000000-0005-0000-0000-0000777D0000}"/>
    <cellStyle name="Porcentaje 3 2 2 2 3 2 2 3 2 3" xfId="28313" xr:uid="{00000000-0005-0000-0000-0000787D0000}"/>
    <cellStyle name="Porcentaje 3 2 2 2 3 2 2 3 3" xfId="13527" xr:uid="{00000000-0005-0000-0000-0000797D0000}"/>
    <cellStyle name="Porcentaje 3 2 2 2 3 2 2 3 3 2" xfId="33242" xr:uid="{00000000-0005-0000-0000-00007A7D0000}"/>
    <cellStyle name="Porcentaje 3 2 2 2 3 2 2 3 4" xfId="23385" xr:uid="{00000000-0005-0000-0000-00007B7D0000}"/>
    <cellStyle name="Porcentaje 3 2 2 2 3 2 2 4" xfId="6131" xr:uid="{00000000-0005-0000-0000-00007C7D0000}"/>
    <cellStyle name="Porcentaje 3 2 2 2 3 2 2 4 2" xfId="15991" xr:uid="{00000000-0005-0000-0000-00007D7D0000}"/>
    <cellStyle name="Porcentaje 3 2 2 2 3 2 2 4 2 2" xfId="35706" xr:uid="{00000000-0005-0000-0000-00007E7D0000}"/>
    <cellStyle name="Porcentaje 3 2 2 2 3 2 2 4 3" xfId="25849" xr:uid="{00000000-0005-0000-0000-00007F7D0000}"/>
    <cellStyle name="Porcentaje 3 2 2 2 3 2 2 5" xfId="11063" xr:uid="{00000000-0005-0000-0000-0000807D0000}"/>
    <cellStyle name="Porcentaje 3 2 2 2 3 2 2 5 2" xfId="30778" xr:uid="{00000000-0005-0000-0000-0000817D0000}"/>
    <cellStyle name="Porcentaje 3 2 2 2 3 2 2 6" xfId="20921" xr:uid="{00000000-0005-0000-0000-0000827D0000}"/>
    <cellStyle name="Porcentaje 3 2 2 2 3 2 3" xfId="1812" xr:uid="{00000000-0005-0000-0000-0000837D0000}"/>
    <cellStyle name="Porcentaje 3 2 2 2 3 2 3 2" xfId="4279" xr:uid="{00000000-0005-0000-0000-0000847D0000}"/>
    <cellStyle name="Porcentaje 3 2 2 2 3 2 3 2 2" xfId="9211" xr:uid="{00000000-0005-0000-0000-0000857D0000}"/>
    <cellStyle name="Porcentaje 3 2 2 2 3 2 3 2 2 2" xfId="19071" xr:uid="{00000000-0005-0000-0000-0000867D0000}"/>
    <cellStyle name="Porcentaje 3 2 2 2 3 2 3 2 2 2 2" xfId="38786" xr:uid="{00000000-0005-0000-0000-0000877D0000}"/>
    <cellStyle name="Porcentaje 3 2 2 2 3 2 3 2 2 3" xfId="28929" xr:uid="{00000000-0005-0000-0000-0000887D0000}"/>
    <cellStyle name="Porcentaje 3 2 2 2 3 2 3 2 3" xfId="14143" xr:uid="{00000000-0005-0000-0000-0000897D0000}"/>
    <cellStyle name="Porcentaje 3 2 2 2 3 2 3 2 3 2" xfId="33858" xr:uid="{00000000-0005-0000-0000-00008A7D0000}"/>
    <cellStyle name="Porcentaje 3 2 2 2 3 2 3 2 4" xfId="24001" xr:uid="{00000000-0005-0000-0000-00008B7D0000}"/>
    <cellStyle name="Porcentaje 3 2 2 2 3 2 3 3" xfId="6747" xr:uid="{00000000-0005-0000-0000-00008C7D0000}"/>
    <cellStyle name="Porcentaje 3 2 2 2 3 2 3 3 2" xfId="16607" xr:uid="{00000000-0005-0000-0000-00008D7D0000}"/>
    <cellStyle name="Porcentaje 3 2 2 2 3 2 3 3 2 2" xfId="36322" xr:uid="{00000000-0005-0000-0000-00008E7D0000}"/>
    <cellStyle name="Porcentaje 3 2 2 2 3 2 3 3 3" xfId="26465" xr:uid="{00000000-0005-0000-0000-00008F7D0000}"/>
    <cellStyle name="Porcentaje 3 2 2 2 3 2 3 4" xfId="11679" xr:uid="{00000000-0005-0000-0000-0000907D0000}"/>
    <cellStyle name="Porcentaje 3 2 2 2 3 2 3 4 2" xfId="31394" xr:uid="{00000000-0005-0000-0000-0000917D0000}"/>
    <cellStyle name="Porcentaje 3 2 2 2 3 2 3 5" xfId="21537" xr:uid="{00000000-0005-0000-0000-0000927D0000}"/>
    <cellStyle name="Porcentaje 3 2 2 2 3 2 4" xfId="3047" xr:uid="{00000000-0005-0000-0000-0000937D0000}"/>
    <cellStyle name="Porcentaje 3 2 2 2 3 2 4 2" xfId="7979" xr:uid="{00000000-0005-0000-0000-0000947D0000}"/>
    <cellStyle name="Porcentaje 3 2 2 2 3 2 4 2 2" xfId="17839" xr:uid="{00000000-0005-0000-0000-0000957D0000}"/>
    <cellStyle name="Porcentaje 3 2 2 2 3 2 4 2 2 2" xfId="37554" xr:uid="{00000000-0005-0000-0000-0000967D0000}"/>
    <cellStyle name="Porcentaje 3 2 2 2 3 2 4 2 3" xfId="27697" xr:uid="{00000000-0005-0000-0000-0000977D0000}"/>
    <cellStyle name="Porcentaje 3 2 2 2 3 2 4 3" xfId="12911" xr:uid="{00000000-0005-0000-0000-0000987D0000}"/>
    <cellStyle name="Porcentaje 3 2 2 2 3 2 4 3 2" xfId="32626" xr:uid="{00000000-0005-0000-0000-0000997D0000}"/>
    <cellStyle name="Porcentaje 3 2 2 2 3 2 4 4" xfId="22769" xr:uid="{00000000-0005-0000-0000-00009A7D0000}"/>
    <cellStyle name="Porcentaje 3 2 2 2 3 2 5" xfId="5515" xr:uid="{00000000-0005-0000-0000-00009B7D0000}"/>
    <cellStyle name="Porcentaje 3 2 2 2 3 2 5 2" xfId="15375" xr:uid="{00000000-0005-0000-0000-00009C7D0000}"/>
    <cellStyle name="Porcentaje 3 2 2 2 3 2 5 2 2" xfId="35090" xr:uid="{00000000-0005-0000-0000-00009D7D0000}"/>
    <cellStyle name="Porcentaje 3 2 2 2 3 2 5 3" xfId="25233" xr:uid="{00000000-0005-0000-0000-00009E7D0000}"/>
    <cellStyle name="Porcentaje 3 2 2 2 3 2 6" xfId="10447" xr:uid="{00000000-0005-0000-0000-00009F7D0000}"/>
    <cellStyle name="Porcentaje 3 2 2 2 3 2 6 2" xfId="30162" xr:uid="{00000000-0005-0000-0000-0000A07D0000}"/>
    <cellStyle name="Porcentaje 3 2 2 2 3 2 7" xfId="20305" xr:uid="{00000000-0005-0000-0000-0000A17D0000}"/>
    <cellStyle name="Porcentaje 3 2 2 2 3 3" xfId="886" xr:uid="{00000000-0005-0000-0000-0000A27D0000}"/>
    <cellStyle name="Porcentaje 3 2 2 2 3 3 2" xfId="2122" xr:uid="{00000000-0005-0000-0000-0000A37D0000}"/>
    <cellStyle name="Porcentaje 3 2 2 2 3 3 2 2" xfId="4589" xr:uid="{00000000-0005-0000-0000-0000A47D0000}"/>
    <cellStyle name="Porcentaje 3 2 2 2 3 3 2 2 2" xfId="9521" xr:uid="{00000000-0005-0000-0000-0000A57D0000}"/>
    <cellStyle name="Porcentaje 3 2 2 2 3 3 2 2 2 2" xfId="19381" xr:uid="{00000000-0005-0000-0000-0000A67D0000}"/>
    <cellStyle name="Porcentaje 3 2 2 2 3 3 2 2 2 2 2" xfId="39096" xr:uid="{00000000-0005-0000-0000-0000A77D0000}"/>
    <cellStyle name="Porcentaje 3 2 2 2 3 3 2 2 2 3" xfId="29239" xr:uid="{00000000-0005-0000-0000-0000A87D0000}"/>
    <cellStyle name="Porcentaje 3 2 2 2 3 3 2 2 3" xfId="14453" xr:uid="{00000000-0005-0000-0000-0000A97D0000}"/>
    <cellStyle name="Porcentaje 3 2 2 2 3 3 2 2 3 2" xfId="34168" xr:uid="{00000000-0005-0000-0000-0000AA7D0000}"/>
    <cellStyle name="Porcentaje 3 2 2 2 3 3 2 2 4" xfId="24311" xr:uid="{00000000-0005-0000-0000-0000AB7D0000}"/>
    <cellStyle name="Porcentaje 3 2 2 2 3 3 2 3" xfId="7057" xr:uid="{00000000-0005-0000-0000-0000AC7D0000}"/>
    <cellStyle name="Porcentaje 3 2 2 2 3 3 2 3 2" xfId="16917" xr:uid="{00000000-0005-0000-0000-0000AD7D0000}"/>
    <cellStyle name="Porcentaje 3 2 2 2 3 3 2 3 2 2" xfId="36632" xr:uid="{00000000-0005-0000-0000-0000AE7D0000}"/>
    <cellStyle name="Porcentaje 3 2 2 2 3 3 2 3 3" xfId="26775" xr:uid="{00000000-0005-0000-0000-0000AF7D0000}"/>
    <cellStyle name="Porcentaje 3 2 2 2 3 3 2 4" xfId="11989" xr:uid="{00000000-0005-0000-0000-0000B07D0000}"/>
    <cellStyle name="Porcentaje 3 2 2 2 3 3 2 4 2" xfId="31704" xr:uid="{00000000-0005-0000-0000-0000B17D0000}"/>
    <cellStyle name="Porcentaje 3 2 2 2 3 3 2 5" xfId="21847" xr:uid="{00000000-0005-0000-0000-0000B27D0000}"/>
    <cellStyle name="Porcentaje 3 2 2 2 3 3 3" xfId="3357" xr:uid="{00000000-0005-0000-0000-0000B37D0000}"/>
    <cellStyle name="Porcentaje 3 2 2 2 3 3 3 2" xfId="8289" xr:uid="{00000000-0005-0000-0000-0000B47D0000}"/>
    <cellStyle name="Porcentaje 3 2 2 2 3 3 3 2 2" xfId="18149" xr:uid="{00000000-0005-0000-0000-0000B57D0000}"/>
    <cellStyle name="Porcentaje 3 2 2 2 3 3 3 2 2 2" xfId="37864" xr:uid="{00000000-0005-0000-0000-0000B67D0000}"/>
    <cellStyle name="Porcentaje 3 2 2 2 3 3 3 2 3" xfId="28007" xr:uid="{00000000-0005-0000-0000-0000B77D0000}"/>
    <cellStyle name="Porcentaje 3 2 2 2 3 3 3 3" xfId="13221" xr:uid="{00000000-0005-0000-0000-0000B87D0000}"/>
    <cellStyle name="Porcentaje 3 2 2 2 3 3 3 3 2" xfId="32936" xr:uid="{00000000-0005-0000-0000-0000B97D0000}"/>
    <cellStyle name="Porcentaje 3 2 2 2 3 3 3 4" xfId="23079" xr:uid="{00000000-0005-0000-0000-0000BA7D0000}"/>
    <cellStyle name="Porcentaje 3 2 2 2 3 3 4" xfId="5825" xr:uid="{00000000-0005-0000-0000-0000BB7D0000}"/>
    <cellStyle name="Porcentaje 3 2 2 2 3 3 4 2" xfId="15685" xr:uid="{00000000-0005-0000-0000-0000BC7D0000}"/>
    <cellStyle name="Porcentaje 3 2 2 2 3 3 4 2 2" xfId="35400" xr:uid="{00000000-0005-0000-0000-0000BD7D0000}"/>
    <cellStyle name="Porcentaje 3 2 2 2 3 3 4 3" xfId="25543" xr:uid="{00000000-0005-0000-0000-0000BE7D0000}"/>
    <cellStyle name="Porcentaje 3 2 2 2 3 3 5" xfId="10757" xr:uid="{00000000-0005-0000-0000-0000BF7D0000}"/>
    <cellStyle name="Porcentaje 3 2 2 2 3 3 5 2" xfId="30472" xr:uid="{00000000-0005-0000-0000-0000C07D0000}"/>
    <cellStyle name="Porcentaje 3 2 2 2 3 3 6" xfId="20615" xr:uid="{00000000-0005-0000-0000-0000C17D0000}"/>
    <cellStyle name="Porcentaje 3 2 2 2 3 4" xfId="1506" xr:uid="{00000000-0005-0000-0000-0000C27D0000}"/>
    <cellStyle name="Porcentaje 3 2 2 2 3 4 2" xfId="3973" xr:uid="{00000000-0005-0000-0000-0000C37D0000}"/>
    <cellStyle name="Porcentaje 3 2 2 2 3 4 2 2" xfId="8905" xr:uid="{00000000-0005-0000-0000-0000C47D0000}"/>
    <cellStyle name="Porcentaje 3 2 2 2 3 4 2 2 2" xfId="18765" xr:uid="{00000000-0005-0000-0000-0000C57D0000}"/>
    <cellStyle name="Porcentaje 3 2 2 2 3 4 2 2 2 2" xfId="38480" xr:uid="{00000000-0005-0000-0000-0000C67D0000}"/>
    <cellStyle name="Porcentaje 3 2 2 2 3 4 2 2 3" xfId="28623" xr:uid="{00000000-0005-0000-0000-0000C77D0000}"/>
    <cellStyle name="Porcentaje 3 2 2 2 3 4 2 3" xfId="13837" xr:uid="{00000000-0005-0000-0000-0000C87D0000}"/>
    <cellStyle name="Porcentaje 3 2 2 2 3 4 2 3 2" xfId="33552" xr:uid="{00000000-0005-0000-0000-0000C97D0000}"/>
    <cellStyle name="Porcentaje 3 2 2 2 3 4 2 4" xfId="23695" xr:uid="{00000000-0005-0000-0000-0000CA7D0000}"/>
    <cellStyle name="Porcentaje 3 2 2 2 3 4 3" xfId="6441" xr:uid="{00000000-0005-0000-0000-0000CB7D0000}"/>
    <cellStyle name="Porcentaje 3 2 2 2 3 4 3 2" xfId="16301" xr:uid="{00000000-0005-0000-0000-0000CC7D0000}"/>
    <cellStyle name="Porcentaje 3 2 2 2 3 4 3 2 2" xfId="36016" xr:uid="{00000000-0005-0000-0000-0000CD7D0000}"/>
    <cellStyle name="Porcentaje 3 2 2 2 3 4 3 3" xfId="26159" xr:uid="{00000000-0005-0000-0000-0000CE7D0000}"/>
    <cellStyle name="Porcentaje 3 2 2 2 3 4 4" xfId="11373" xr:uid="{00000000-0005-0000-0000-0000CF7D0000}"/>
    <cellStyle name="Porcentaje 3 2 2 2 3 4 4 2" xfId="31088" xr:uid="{00000000-0005-0000-0000-0000D07D0000}"/>
    <cellStyle name="Porcentaje 3 2 2 2 3 4 5" xfId="21231" xr:uid="{00000000-0005-0000-0000-0000D17D0000}"/>
    <cellStyle name="Porcentaje 3 2 2 2 3 5" xfId="2741" xr:uid="{00000000-0005-0000-0000-0000D27D0000}"/>
    <cellStyle name="Porcentaje 3 2 2 2 3 5 2" xfId="7673" xr:uid="{00000000-0005-0000-0000-0000D37D0000}"/>
    <cellStyle name="Porcentaje 3 2 2 2 3 5 2 2" xfId="17533" xr:uid="{00000000-0005-0000-0000-0000D47D0000}"/>
    <cellStyle name="Porcentaje 3 2 2 2 3 5 2 2 2" xfId="37248" xr:uid="{00000000-0005-0000-0000-0000D57D0000}"/>
    <cellStyle name="Porcentaje 3 2 2 2 3 5 2 3" xfId="27391" xr:uid="{00000000-0005-0000-0000-0000D67D0000}"/>
    <cellStyle name="Porcentaje 3 2 2 2 3 5 3" xfId="12605" xr:uid="{00000000-0005-0000-0000-0000D77D0000}"/>
    <cellStyle name="Porcentaje 3 2 2 2 3 5 3 2" xfId="32320" xr:uid="{00000000-0005-0000-0000-0000D87D0000}"/>
    <cellStyle name="Porcentaje 3 2 2 2 3 5 4" xfId="22463" xr:uid="{00000000-0005-0000-0000-0000D97D0000}"/>
    <cellStyle name="Porcentaje 3 2 2 2 3 6" xfId="5209" xr:uid="{00000000-0005-0000-0000-0000DA7D0000}"/>
    <cellStyle name="Porcentaje 3 2 2 2 3 6 2" xfId="15069" xr:uid="{00000000-0005-0000-0000-0000DB7D0000}"/>
    <cellStyle name="Porcentaje 3 2 2 2 3 6 2 2" xfId="34784" xr:uid="{00000000-0005-0000-0000-0000DC7D0000}"/>
    <cellStyle name="Porcentaje 3 2 2 2 3 6 3" xfId="24927" xr:uid="{00000000-0005-0000-0000-0000DD7D0000}"/>
    <cellStyle name="Porcentaje 3 2 2 2 3 7" xfId="10141" xr:uid="{00000000-0005-0000-0000-0000DE7D0000}"/>
    <cellStyle name="Porcentaje 3 2 2 2 3 7 2" xfId="29856" xr:uid="{00000000-0005-0000-0000-0000DF7D0000}"/>
    <cellStyle name="Porcentaje 3 2 2 2 3 8" xfId="19999" xr:uid="{00000000-0005-0000-0000-0000E07D0000}"/>
    <cellStyle name="Porcentaje 3 2 2 2 4" xfId="421" xr:uid="{00000000-0005-0000-0000-0000E17D0000}"/>
    <cellStyle name="Porcentaje 3 2 2 2 4 2" xfId="1041" xr:uid="{00000000-0005-0000-0000-0000E27D0000}"/>
    <cellStyle name="Porcentaje 3 2 2 2 4 2 2" xfId="2276" xr:uid="{00000000-0005-0000-0000-0000E37D0000}"/>
    <cellStyle name="Porcentaje 3 2 2 2 4 2 2 2" xfId="4743" xr:uid="{00000000-0005-0000-0000-0000E47D0000}"/>
    <cellStyle name="Porcentaje 3 2 2 2 4 2 2 2 2" xfId="9675" xr:uid="{00000000-0005-0000-0000-0000E57D0000}"/>
    <cellStyle name="Porcentaje 3 2 2 2 4 2 2 2 2 2" xfId="19535" xr:uid="{00000000-0005-0000-0000-0000E67D0000}"/>
    <cellStyle name="Porcentaje 3 2 2 2 4 2 2 2 2 2 2" xfId="39250" xr:uid="{00000000-0005-0000-0000-0000E77D0000}"/>
    <cellStyle name="Porcentaje 3 2 2 2 4 2 2 2 2 3" xfId="29393" xr:uid="{00000000-0005-0000-0000-0000E87D0000}"/>
    <cellStyle name="Porcentaje 3 2 2 2 4 2 2 2 3" xfId="14607" xr:uid="{00000000-0005-0000-0000-0000E97D0000}"/>
    <cellStyle name="Porcentaje 3 2 2 2 4 2 2 2 3 2" xfId="34322" xr:uid="{00000000-0005-0000-0000-0000EA7D0000}"/>
    <cellStyle name="Porcentaje 3 2 2 2 4 2 2 2 4" xfId="24465" xr:uid="{00000000-0005-0000-0000-0000EB7D0000}"/>
    <cellStyle name="Porcentaje 3 2 2 2 4 2 2 3" xfId="7211" xr:uid="{00000000-0005-0000-0000-0000EC7D0000}"/>
    <cellStyle name="Porcentaje 3 2 2 2 4 2 2 3 2" xfId="17071" xr:uid="{00000000-0005-0000-0000-0000ED7D0000}"/>
    <cellStyle name="Porcentaje 3 2 2 2 4 2 2 3 2 2" xfId="36786" xr:uid="{00000000-0005-0000-0000-0000EE7D0000}"/>
    <cellStyle name="Porcentaje 3 2 2 2 4 2 2 3 3" xfId="26929" xr:uid="{00000000-0005-0000-0000-0000EF7D0000}"/>
    <cellStyle name="Porcentaje 3 2 2 2 4 2 2 4" xfId="12143" xr:uid="{00000000-0005-0000-0000-0000F07D0000}"/>
    <cellStyle name="Porcentaje 3 2 2 2 4 2 2 4 2" xfId="31858" xr:uid="{00000000-0005-0000-0000-0000F17D0000}"/>
    <cellStyle name="Porcentaje 3 2 2 2 4 2 2 5" xfId="22001" xr:uid="{00000000-0005-0000-0000-0000F27D0000}"/>
    <cellStyle name="Porcentaje 3 2 2 2 4 2 3" xfId="3511" xr:uid="{00000000-0005-0000-0000-0000F37D0000}"/>
    <cellStyle name="Porcentaje 3 2 2 2 4 2 3 2" xfId="8443" xr:uid="{00000000-0005-0000-0000-0000F47D0000}"/>
    <cellStyle name="Porcentaje 3 2 2 2 4 2 3 2 2" xfId="18303" xr:uid="{00000000-0005-0000-0000-0000F57D0000}"/>
    <cellStyle name="Porcentaje 3 2 2 2 4 2 3 2 2 2" xfId="38018" xr:uid="{00000000-0005-0000-0000-0000F67D0000}"/>
    <cellStyle name="Porcentaje 3 2 2 2 4 2 3 2 3" xfId="28161" xr:uid="{00000000-0005-0000-0000-0000F77D0000}"/>
    <cellStyle name="Porcentaje 3 2 2 2 4 2 3 3" xfId="13375" xr:uid="{00000000-0005-0000-0000-0000F87D0000}"/>
    <cellStyle name="Porcentaje 3 2 2 2 4 2 3 3 2" xfId="33090" xr:uid="{00000000-0005-0000-0000-0000F97D0000}"/>
    <cellStyle name="Porcentaje 3 2 2 2 4 2 3 4" xfId="23233" xr:uid="{00000000-0005-0000-0000-0000FA7D0000}"/>
    <cellStyle name="Porcentaje 3 2 2 2 4 2 4" xfId="5979" xr:uid="{00000000-0005-0000-0000-0000FB7D0000}"/>
    <cellStyle name="Porcentaje 3 2 2 2 4 2 4 2" xfId="15839" xr:uid="{00000000-0005-0000-0000-0000FC7D0000}"/>
    <cellStyle name="Porcentaje 3 2 2 2 4 2 4 2 2" xfId="35554" xr:uid="{00000000-0005-0000-0000-0000FD7D0000}"/>
    <cellStyle name="Porcentaje 3 2 2 2 4 2 4 3" xfId="25697" xr:uid="{00000000-0005-0000-0000-0000FE7D0000}"/>
    <cellStyle name="Porcentaje 3 2 2 2 4 2 5" xfId="10911" xr:uid="{00000000-0005-0000-0000-0000FF7D0000}"/>
    <cellStyle name="Porcentaje 3 2 2 2 4 2 5 2" xfId="30626" xr:uid="{00000000-0005-0000-0000-0000007E0000}"/>
    <cellStyle name="Porcentaje 3 2 2 2 4 2 6" xfId="20769" xr:uid="{00000000-0005-0000-0000-0000017E0000}"/>
    <cellStyle name="Porcentaje 3 2 2 2 4 3" xfId="1660" xr:uid="{00000000-0005-0000-0000-0000027E0000}"/>
    <cellStyle name="Porcentaje 3 2 2 2 4 3 2" xfId="4127" xr:uid="{00000000-0005-0000-0000-0000037E0000}"/>
    <cellStyle name="Porcentaje 3 2 2 2 4 3 2 2" xfId="9059" xr:uid="{00000000-0005-0000-0000-0000047E0000}"/>
    <cellStyle name="Porcentaje 3 2 2 2 4 3 2 2 2" xfId="18919" xr:uid="{00000000-0005-0000-0000-0000057E0000}"/>
    <cellStyle name="Porcentaje 3 2 2 2 4 3 2 2 2 2" xfId="38634" xr:uid="{00000000-0005-0000-0000-0000067E0000}"/>
    <cellStyle name="Porcentaje 3 2 2 2 4 3 2 2 3" xfId="28777" xr:uid="{00000000-0005-0000-0000-0000077E0000}"/>
    <cellStyle name="Porcentaje 3 2 2 2 4 3 2 3" xfId="13991" xr:uid="{00000000-0005-0000-0000-0000087E0000}"/>
    <cellStyle name="Porcentaje 3 2 2 2 4 3 2 3 2" xfId="33706" xr:uid="{00000000-0005-0000-0000-0000097E0000}"/>
    <cellStyle name="Porcentaje 3 2 2 2 4 3 2 4" xfId="23849" xr:uid="{00000000-0005-0000-0000-00000A7E0000}"/>
    <cellStyle name="Porcentaje 3 2 2 2 4 3 3" xfId="6595" xr:uid="{00000000-0005-0000-0000-00000B7E0000}"/>
    <cellStyle name="Porcentaje 3 2 2 2 4 3 3 2" xfId="16455" xr:uid="{00000000-0005-0000-0000-00000C7E0000}"/>
    <cellStyle name="Porcentaje 3 2 2 2 4 3 3 2 2" xfId="36170" xr:uid="{00000000-0005-0000-0000-00000D7E0000}"/>
    <cellStyle name="Porcentaje 3 2 2 2 4 3 3 3" xfId="26313" xr:uid="{00000000-0005-0000-0000-00000E7E0000}"/>
    <cellStyle name="Porcentaje 3 2 2 2 4 3 4" xfId="11527" xr:uid="{00000000-0005-0000-0000-00000F7E0000}"/>
    <cellStyle name="Porcentaje 3 2 2 2 4 3 4 2" xfId="31242" xr:uid="{00000000-0005-0000-0000-0000107E0000}"/>
    <cellStyle name="Porcentaje 3 2 2 2 4 3 5" xfId="21385" xr:uid="{00000000-0005-0000-0000-0000117E0000}"/>
    <cellStyle name="Porcentaje 3 2 2 2 4 4" xfId="2895" xr:uid="{00000000-0005-0000-0000-0000127E0000}"/>
    <cellStyle name="Porcentaje 3 2 2 2 4 4 2" xfId="7827" xr:uid="{00000000-0005-0000-0000-0000137E0000}"/>
    <cellStyle name="Porcentaje 3 2 2 2 4 4 2 2" xfId="17687" xr:uid="{00000000-0005-0000-0000-0000147E0000}"/>
    <cellStyle name="Porcentaje 3 2 2 2 4 4 2 2 2" xfId="37402" xr:uid="{00000000-0005-0000-0000-0000157E0000}"/>
    <cellStyle name="Porcentaje 3 2 2 2 4 4 2 3" xfId="27545" xr:uid="{00000000-0005-0000-0000-0000167E0000}"/>
    <cellStyle name="Porcentaje 3 2 2 2 4 4 3" xfId="12759" xr:uid="{00000000-0005-0000-0000-0000177E0000}"/>
    <cellStyle name="Porcentaje 3 2 2 2 4 4 3 2" xfId="32474" xr:uid="{00000000-0005-0000-0000-0000187E0000}"/>
    <cellStyle name="Porcentaje 3 2 2 2 4 4 4" xfId="22617" xr:uid="{00000000-0005-0000-0000-0000197E0000}"/>
    <cellStyle name="Porcentaje 3 2 2 2 4 5" xfId="5363" xr:uid="{00000000-0005-0000-0000-00001A7E0000}"/>
    <cellStyle name="Porcentaje 3 2 2 2 4 5 2" xfId="15223" xr:uid="{00000000-0005-0000-0000-00001B7E0000}"/>
    <cellStyle name="Porcentaje 3 2 2 2 4 5 2 2" xfId="34938" xr:uid="{00000000-0005-0000-0000-00001C7E0000}"/>
    <cellStyle name="Porcentaje 3 2 2 2 4 5 3" xfId="25081" xr:uid="{00000000-0005-0000-0000-00001D7E0000}"/>
    <cellStyle name="Porcentaje 3 2 2 2 4 6" xfId="10295" xr:uid="{00000000-0005-0000-0000-00001E7E0000}"/>
    <cellStyle name="Porcentaje 3 2 2 2 4 6 2" xfId="30010" xr:uid="{00000000-0005-0000-0000-00001F7E0000}"/>
    <cellStyle name="Porcentaje 3 2 2 2 4 7" xfId="20153" xr:uid="{00000000-0005-0000-0000-0000207E0000}"/>
    <cellStyle name="Porcentaje 3 2 2 2 5" xfId="734" xr:uid="{00000000-0005-0000-0000-0000217E0000}"/>
    <cellStyle name="Porcentaje 3 2 2 2 5 2" xfId="1970" xr:uid="{00000000-0005-0000-0000-0000227E0000}"/>
    <cellStyle name="Porcentaje 3 2 2 2 5 2 2" xfId="4437" xr:uid="{00000000-0005-0000-0000-0000237E0000}"/>
    <cellStyle name="Porcentaje 3 2 2 2 5 2 2 2" xfId="9369" xr:uid="{00000000-0005-0000-0000-0000247E0000}"/>
    <cellStyle name="Porcentaje 3 2 2 2 5 2 2 2 2" xfId="19229" xr:uid="{00000000-0005-0000-0000-0000257E0000}"/>
    <cellStyle name="Porcentaje 3 2 2 2 5 2 2 2 2 2" xfId="38944" xr:uid="{00000000-0005-0000-0000-0000267E0000}"/>
    <cellStyle name="Porcentaje 3 2 2 2 5 2 2 2 3" xfId="29087" xr:uid="{00000000-0005-0000-0000-0000277E0000}"/>
    <cellStyle name="Porcentaje 3 2 2 2 5 2 2 3" xfId="14301" xr:uid="{00000000-0005-0000-0000-0000287E0000}"/>
    <cellStyle name="Porcentaje 3 2 2 2 5 2 2 3 2" xfId="34016" xr:uid="{00000000-0005-0000-0000-0000297E0000}"/>
    <cellStyle name="Porcentaje 3 2 2 2 5 2 2 4" xfId="24159" xr:uid="{00000000-0005-0000-0000-00002A7E0000}"/>
    <cellStyle name="Porcentaje 3 2 2 2 5 2 3" xfId="6905" xr:uid="{00000000-0005-0000-0000-00002B7E0000}"/>
    <cellStyle name="Porcentaje 3 2 2 2 5 2 3 2" xfId="16765" xr:uid="{00000000-0005-0000-0000-00002C7E0000}"/>
    <cellStyle name="Porcentaje 3 2 2 2 5 2 3 2 2" xfId="36480" xr:uid="{00000000-0005-0000-0000-00002D7E0000}"/>
    <cellStyle name="Porcentaje 3 2 2 2 5 2 3 3" xfId="26623" xr:uid="{00000000-0005-0000-0000-00002E7E0000}"/>
    <cellStyle name="Porcentaje 3 2 2 2 5 2 4" xfId="11837" xr:uid="{00000000-0005-0000-0000-00002F7E0000}"/>
    <cellStyle name="Porcentaje 3 2 2 2 5 2 4 2" xfId="31552" xr:uid="{00000000-0005-0000-0000-0000307E0000}"/>
    <cellStyle name="Porcentaje 3 2 2 2 5 2 5" xfId="21695" xr:uid="{00000000-0005-0000-0000-0000317E0000}"/>
    <cellStyle name="Porcentaje 3 2 2 2 5 3" xfId="3205" xr:uid="{00000000-0005-0000-0000-0000327E0000}"/>
    <cellStyle name="Porcentaje 3 2 2 2 5 3 2" xfId="8137" xr:uid="{00000000-0005-0000-0000-0000337E0000}"/>
    <cellStyle name="Porcentaje 3 2 2 2 5 3 2 2" xfId="17997" xr:uid="{00000000-0005-0000-0000-0000347E0000}"/>
    <cellStyle name="Porcentaje 3 2 2 2 5 3 2 2 2" xfId="37712" xr:uid="{00000000-0005-0000-0000-0000357E0000}"/>
    <cellStyle name="Porcentaje 3 2 2 2 5 3 2 3" xfId="27855" xr:uid="{00000000-0005-0000-0000-0000367E0000}"/>
    <cellStyle name="Porcentaje 3 2 2 2 5 3 3" xfId="13069" xr:uid="{00000000-0005-0000-0000-0000377E0000}"/>
    <cellStyle name="Porcentaje 3 2 2 2 5 3 3 2" xfId="32784" xr:uid="{00000000-0005-0000-0000-0000387E0000}"/>
    <cellStyle name="Porcentaje 3 2 2 2 5 3 4" xfId="22927" xr:uid="{00000000-0005-0000-0000-0000397E0000}"/>
    <cellStyle name="Porcentaje 3 2 2 2 5 4" xfId="5673" xr:uid="{00000000-0005-0000-0000-00003A7E0000}"/>
    <cellStyle name="Porcentaje 3 2 2 2 5 4 2" xfId="15533" xr:uid="{00000000-0005-0000-0000-00003B7E0000}"/>
    <cellStyle name="Porcentaje 3 2 2 2 5 4 2 2" xfId="35248" xr:uid="{00000000-0005-0000-0000-00003C7E0000}"/>
    <cellStyle name="Porcentaje 3 2 2 2 5 4 3" xfId="25391" xr:uid="{00000000-0005-0000-0000-00003D7E0000}"/>
    <cellStyle name="Porcentaje 3 2 2 2 5 5" xfId="10605" xr:uid="{00000000-0005-0000-0000-00003E7E0000}"/>
    <cellStyle name="Porcentaje 3 2 2 2 5 5 2" xfId="30320" xr:uid="{00000000-0005-0000-0000-00003F7E0000}"/>
    <cellStyle name="Porcentaje 3 2 2 2 5 6" xfId="20463" xr:uid="{00000000-0005-0000-0000-0000407E0000}"/>
    <cellStyle name="Porcentaje 3 2 2 2 6" xfId="1354" xr:uid="{00000000-0005-0000-0000-0000417E0000}"/>
    <cellStyle name="Porcentaje 3 2 2 2 6 2" xfId="3821" xr:uid="{00000000-0005-0000-0000-0000427E0000}"/>
    <cellStyle name="Porcentaje 3 2 2 2 6 2 2" xfId="8753" xr:uid="{00000000-0005-0000-0000-0000437E0000}"/>
    <cellStyle name="Porcentaje 3 2 2 2 6 2 2 2" xfId="18613" xr:uid="{00000000-0005-0000-0000-0000447E0000}"/>
    <cellStyle name="Porcentaje 3 2 2 2 6 2 2 2 2" xfId="38328" xr:uid="{00000000-0005-0000-0000-0000457E0000}"/>
    <cellStyle name="Porcentaje 3 2 2 2 6 2 2 3" xfId="28471" xr:uid="{00000000-0005-0000-0000-0000467E0000}"/>
    <cellStyle name="Porcentaje 3 2 2 2 6 2 3" xfId="13685" xr:uid="{00000000-0005-0000-0000-0000477E0000}"/>
    <cellStyle name="Porcentaje 3 2 2 2 6 2 3 2" xfId="33400" xr:uid="{00000000-0005-0000-0000-0000487E0000}"/>
    <cellStyle name="Porcentaje 3 2 2 2 6 2 4" xfId="23543" xr:uid="{00000000-0005-0000-0000-0000497E0000}"/>
    <cellStyle name="Porcentaje 3 2 2 2 6 3" xfId="6289" xr:uid="{00000000-0005-0000-0000-00004A7E0000}"/>
    <cellStyle name="Porcentaje 3 2 2 2 6 3 2" xfId="16149" xr:uid="{00000000-0005-0000-0000-00004B7E0000}"/>
    <cellStyle name="Porcentaje 3 2 2 2 6 3 2 2" xfId="35864" xr:uid="{00000000-0005-0000-0000-00004C7E0000}"/>
    <cellStyle name="Porcentaje 3 2 2 2 6 3 3" xfId="26007" xr:uid="{00000000-0005-0000-0000-00004D7E0000}"/>
    <cellStyle name="Porcentaje 3 2 2 2 6 4" xfId="11221" xr:uid="{00000000-0005-0000-0000-00004E7E0000}"/>
    <cellStyle name="Porcentaje 3 2 2 2 6 4 2" xfId="30936" xr:uid="{00000000-0005-0000-0000-00004F7E0000}"/>
    <cellStyle name="Porcentaje 3 2 2 2 6 5" xfId="21079" xr:uid="{00000000-0005-0000-0000-0000507E0000}"/>
    <cellStyle name="Porcentaje 3 2 2 2 7" xfId="2589" xr:uid="{00000000-0005-0000-0000-0000517E0000}"/>
    <cellStyle name="Porcentaje 3 2 2 2 7 2" xfId="7521" xr:uid="{00000000-0005-0000-0000-0000527E0000}"/>
    <cellStyle name="Porcentaje 3 2 2 2 7 2 2" xfId="17381" xr:uid="{00000000-0005-0000-0000-0000537E0000}"/>
    <cellStyle name="Porcentaje 3 2 2 2 7 2 2 2" xfId="37096" xr:uid="{00000000-0005-0000-0000-0000547E0000}"/>
    <cellStyle name="Porcentaje 3 2 2 2 7 2 3" xfId="27239" xr:uid="{00000000-0005-0000-0000-0000557E0000}"/>
    <cellStyle name="Porcentaje 3 2 2 2 7 3" xfId="12453" xr:uid="{00000000-0005-0000-0000-0000567E0000}"/>
    <cellStyle name="Porcentaje 3 2 2 2 7 3 2" xfId="32168" xr:uid="{00000000-0005-0000-0000-0000577E0000}"/>
    <cellStyle name="Porcentaje 3 2 2 2 7 4" xfId="22311" xr:uid="{00000000-0005-0000-0000-0000587E0000}"/>
    <cellStyle name="Porcentaje 3 2 2 2 8" xfId="5057" xr:uid="{00000000-0005-0000-0000-0000597E0000}"/>
    <cellStyle name="Porcentaje 3 2 2 2 8 2" xfId="14917" xr:uid="{00000000-0005-0000-0000-00005A7E0000}"/>
    <cellStyle name="Porcentaje 3 2 2 2 8 2 2" xfId="34632" xr:uid="{00000000-0005-0000-0000-00005B7E0000}"/>
    <cellStyle name="Porcentaje 3 2 2 2 8 3" xfId="24775" xr:uid="{00000000-0005-0000-0000-00005C7E0000}"/>
    <cellStyle name="Porcentaje 3 2 2 2 9" xfId="9989" xr:uid="{00000000-0005-0000-0000-00005D7E0000}"/>
    <cellStyle name="Porcentaje 3 2 2 2 9 2" xfId="29704" xr:uid="{00000000-0005-0000-0000-00005E7E0000}"/>
    <cellStyle name="Porcentaje 3 2 2 3" xfId="140" xr:uid="{00000000-0005-0000-0000-00005F7E0000}"/>
    <cellStyle name="Porcentaje 3 2 2 3 2" xfId="297" xr:uid="{00000000-0005-0000-0000-0000607E0000}"/>
    <cellStyle name="Porcentaje 3 2 2 3 2 2" xfId="611" xr:uid="{00000000-0005-0000-0000-0000617E0000}"/>
    <cellStyle name="Porcentaje 3 2 2 3 2 2 2" xfId="1231" xr:uid="{00000000-0005-0000-0000-0000627E0000}"/>
    <cellStyle name="Porcentaje 3 2 2 3 2 2 2 2" xfId="2466" xr:uid="{00000000-0005-0000-0000-0000637E0000}"/>
    <cellStyle name="Porcentaje 3 2 2 3 2 2 2 2 2" xfId="4933" xr:uid="{00000000-0005-0000-0000-0000647E0000}"/>
    <cellStyle name="Porcentaje 3 2 2 3 2 2 2 2 2 2" xfId="9865" xr:uid="{00000000-0005-0000-0000-0000657E0000}"/>
    <cellStyle name="Porcentaje 3 2 2 3 2 2 2 2 2 2 2" xfId="19725" xr:uid="{00000000-0005-0000-0000-0000667E0000}"/>
    <cellStyle name="Porcentaje 3 2 2 3 2 2 2 2 2 2 2 2" xfId="39440" xr:uid="{00000000-0005-0000-0000-0000677E0000}"/>
    <cellStyle name="Porcentaje 3 2 2 3 2 2 2 2 2 2 3" xfId="29583" xr:uid="{00000000-0005-0000-0000-0000687E0000}"/>
    <cellStyle name="Porcentaje 3 2 2 3 2 2 2 2 2 3" xfId="14797" xr:uid="{00000000-0005-0000-0000-0000697E0000}"/>
    <cellStyle name="Porcentaje 3 2 2 3 2 2 2 2 2 3 2" xfId="34512" xr:uid="{00000000-0005-0000-0000-00006A7E0000}"/>
    <cellStyle name="Porcentaje 3 2 2 3 2 2 2 2 2 4" xfId="24655" xr:uid="{00000000-0005-0000-0000-00006B7E0000}"/>
    <cellStyle name="Porcentaje 3 2 2 3 2 2 2 2 3" xfId="7401" xr:uid="{00000000-0005-0000-0000-00006C7E0000}"/>
    <cellStyle name="Porcentaje 3 2 2 3 2 2 2 2 3 2" xfId="17261" xr:uid="{00000000-0005-0000-0000-00006D7E0000}"/>
    <cellStyle name="Porcentaje 3 2 2 3 2 2 2 2 3 2 2" xfId="36976" xr:uid="{00000000-0005-0000-0000-00006E7E0000}"/>
    <cellStyle name="Porcentaje 3 2 2 3 2 2 2 2 3 3" xfId="27119" xr:uid="{00000000-0005-0000-0000-00006F7E0000}"/>
    <cellStyle name="Porcentaje 3 2 2 3 2 2 2 2 4" xfId="12333" xr:uid="{00000000-0005-0000-0000-0000707E0000}"/>
    <cellStyle name="Porcentaje 3 2 2 3 2 2 2 2 4 2" xfId="32048" xr:uid="{00000000-0005-0000-0000-0000717E0000}"/>
    <cellStyle name="Porcentaje 3 2 2 3 2 2 2 2 5" xfId="22191" xr:uid="{00000000-0005-0000-0000-0000727E0000}"/>
    <cellStyle name="Porcentaje 3 2 2 3 2 2 2 3" xfId="3701" xr:uid="{00000000-0005-0000-0000-0000737E0000}"/>
    <cellStyle name="Porcentaje 3 2 2 3 2 2 2 3 2" xfId="8633" xr:uid="{00000000-0005-0000-0000-0000747E0000}"/>
    <cellStyle name="Porcentaje 3 2 2 3 2 2 2 3 2 2" xfId="18493" xr:uid="{00000000-0005-0000-0000-0000757E0000}"/>
    <cellStyle name="Porcentaje 3 2 2 3 2 2 2 3 2 2 2" xfId="38208" xr:uid="{00000000-0005-0000-0000-0000767E0000}"/>
    <cellStyle name="Porcentaje 3 2 2 3 2 2 2 3 2 3" xfId="28351" xr:uid="{00000000-0005-0000-0000-0000777E0000}"/>
    <cellStyle name="Porcentaje 3 2 2 3 2 2 2 3 3" xfId="13565" xr:uid="{00000000-0005-0000-0000-0000787E0000}"/>
    <cellStyle name="Porcentaje 3 2 2 3 2 2 2 3 3 2" xfId="33280" xr:uid="{00000000-0005-0000-0000-0000797E0000}"/>
    <cellStyle name="Porcentaje 3 2 2 3 2 2 2 3 4" xfId="23423" xr:uid="{00000000-0005-0000-0000-00007A7E0000}"/>
    <cellStyle name="Porcentaje 3 2 2 3 2 2 2 4" xfId="6169" xr:uid="{00000000-0005-0000-0000-00007B7E0000}"/>
    <cellStyle name="Porcentaje 3 2 2 3 2 2 2 4 2" xfId="16029" xr:uid="{00000000-0005-0000-0000-00007C7E0000}"/>
    <cellStyle name="Porcentaje 3 2 2 3 2 2 2 4 2 2" xfId="35744" xr:uid="{00000000-0005-0000-0000-00007D7E0000}"/>
    <cellStyle name="Porcentaje 3 2 2 3 2 2 2 4 3" xfId="25887" xr:uid="{00000000-0005-0000-0000-00007E7E0000}"/>
    <cellStyle name="Porcentaje 3 2 2 3 2 2 2 5" xfId="11101" xr:uid="{00000000-0005-0000-0000-00007F7E0000}"/>
    <cellStyle name="Porcentaje 3 2 2 3 2 2 2 5 2" xfId="30816" xr:uid="{00000000-0005-0000-0000-0000807E0000}"/>
    <cellStyle name="Porcentaje 3 2 2 3 2 2 2 6" xfId="20959" xr:uid="{00000000-0005-0000-0000-0000817E0000}"/>
    <cellStyle name="Porcentaje 3 2 2 3 2 2 3" xfId="1850" xr:uid="{00000000-0005-0000-0000-0000827E0000}"/>
    <cellStyle name="Porcentaje 3 2 2 3 2 2 3 2" xfId="4317" xr:uid="{00000000-0005-0000-0000-0000837E0000}"/>
    <cellStyle name="Porcentaje 3 2 2 3 2 2 3 2 2" xfId="9249" xr:uid="{00000000-0005-0000-0000-0000847E0000}"/>
    <cellStyle name="Porcentaje 3 2 2 3 2 2 3 2 2 2" xfId="19109" xr:uid="{00000000-0005-0000-0000-0000857E0000}"/>
    <cellStyle name="Porcentaje 3 2 2 3 2 2 3 2 2 2 2" xfId="38824" xr:uid="{00000000-0005-0000-0000-0000867E0000}"/>
    <cellStyle name="Porcentaje 3 2 2 3 2 2 3 2 2 3" xfId="28967" xr:uid="{00000000-0005-0000-0000-0000877E0000}"/>
    <cellStyle name="Porcentaje 3 2 2 3 2 2 3 2 3" xfId="14181" xr:uid="{00000000-0005-0000-0000-0000887E0000}"/>
    <cellStyle name="Porcentaje 3 2 2 3 2 2 3 2 3 2" xfId="33896" xr:uid="{00000000-0005-0000-0000-0000897E0000}"/>
    <cellStyle name="Porcentaje 3 2 2 3 2 2 3 2 4" xfId="24039" xr:uid="{00000000-0005-0000-0000-00008A7E0000}"/>
    <cellStyle name="Porcentaje 3 2 2 3 2 2 3 3" xfId="6785" xr:uid="{00000000-0005-0000-0000-00008B7E0000}"/>
    <cellStyle name="Porcentaje 3 2 2 3 2 2 3 3 2" xfId="16645" xr:uid="{00000000-0005-0000-0000-00008C7E0000}"/>
    <cellStyle name="Porcentaje 3 2 2 3 2 2 3 3 2 2" xfId="36360" xr:uid="{00000000-0005-0000-0000-00008D7E0000}"/>
    <cellStyle name="Porcentaje 3 2 2 3 2 2 3 3 3" xfId="26503" xr:uid="{00000000-0005-0000-0000-00008E7E0000}"/>
    <cellStyle name="Porcentaje 3 2 2 3 2 2 3 4" xfId="11717" xr:uid="{00000000-0005-0000-0000-00008F7E0000}"/>
    <cellStyle name="Porcentaje 3 2 2 3 2 2 3 4 2" xfId="31432" xr:uid="{00000000-0005-0000-0000-0000907E0000}"/>
    <cellStyle name="Porcentaje 3 2 2 3 2 2 3 5" xfId="21575" xr:uid="{00000000-0005-0000-0000-0000917E0000}"/>
    <cellStyle name="Porcentaje 3 2 2 3 2 2 4" xfId="3085" xr:uid="{00000000-0005-0000-0000-0000927E0000}"/>
    <cellStyle name="Porcentaje 3 2 2 3 2 2 4 2" xfId="8017" xr:uid="{00000000-0005-0000-0000-0000937E0000}"/>
    <cellStyle name="Porcentaje 3 2 2 3 2 2 4 2 2" xfId="17877" xr:uid="{00000000-0005-0000-0000-0000947E0000}"/>
    <cellStyle name="Porcentaje 3 2 2 3 2 2 4 2 2 2" xfId="37592" xr:uid="{00000000-0005-0000-0000-0000957E0000}"/>
    <cellStyle name="Porcentaje 3 2 2 3 2 2 4 2 3" xfId="27735" xr:uid="{00000000-0005-0000-0000-0000967E0000}"/>
    <cellStyle name="Porcentaje 3 2 2 3 2 2 4 3" xfId="12949" xr:uid="{00000000-0005-0000-0000-0000977E0000}"/>
    <cellStyle name="Porcentaje 3 2 2 3 2 2 4 3 2" xfId="32664" xr:uid="{00000000-0005-0000-0000-0000987E0000}"/>
    <cellStyle name="Porcentaje 3 2 2 3 2 2 4 4" xfId="22807" xr:uid="{00000000-0005-0000-0000-0000997E0000}"/>
    <cellStyle name="Porcentaje 3 2 2 3 2 2 5" xfId="5553" xr:uid="{00000000-0005-0000-0000-00009A7E0000}"/>
    <cellStyle name="Porcentaje 3 2 2 3 2 2 5 2" xfId="15413" xr:uid="{00000000-0005-0000-0000-00009B7E0000}"/>
    <cellStyle name="Porcentaje 3 2 2 3 2 2 5 2 2" xfId="35128" xr:uid="{00000000-0005-0000-0000-00009C7E0000}"/>
    <cellStyle name="Porcentaje 3 2 2 3 2 2 5 3" xfId="25271" xr:uid="{00000000-0005-0000-0000-00009D7E0000}"/>
    <cellStyle name="Porcentaje 3 2 2 3 2 2 6" xfId="10485" xr:uid="{00000000-0005-0000-0000-00009E7E0000}"/>
    <cellStyle name="Porcentaje 3 2 2 3 2 2 6 2" xfId="30200" xr:uid="{00000000-0005-0000-0000-00009F7E0000}"/>
    <cellStyle name="Porcentaje 3 2 2 3 2 2 7" xfId="20343" xr:uid="{00000000-0005-0000-0000-0000A07E0000}"/>
    <cellStyle name="Porcentaje 3 2 2 3 2 3" xfId="924" xr:uid="{00000000-0005-0000-0000-0000A17E0000}"/>
    <cellStyle name="Porcentaje 3 2 2 3 2 3 2" xfId="2160" xr:uid="{00000000-0005-0000-0000-0000A27E0000}"/>
    <cellStyle name="Porcentaje 3 2 2 3 2 3 2 2" xfId="4627" xr:uid="{00000000-0005-0000-0000-0000A37E0000}"/>
    <cellStyle name="Porcentaje 3 2 2 3 2 3 2 2 2" xfId="9559" xr:uid="{00000000-0005-0000-0000-0000A47E0000}"/>
    <cellStyle name="Porcentaje 3 2 2 3 2 3 2 2 2 2" xfId="19419" xr:uid="{00000000-0005-0000-0000-0000A57E0000}"/>
    <cellStyle name="Porcentaje 3 2 2 3 2 3 2 2 2 2 2" xfId="39134" xr:uid="{00000000-0005-0000-0000-0000A67E0000}"/>
    <cellStyle name="Porcentaje 3 2 2 3 2 3 2 2 2 3" xfId="29277" xr:uid="{00000000-0005-0000-0000-0000A77E0000}"/>
    <cellStyle name="Porcentaje 3 2 2 3 2 3 2 2 3" xfId="14491" xr:uid="{00000000-0005-0000-0000-0000A87E0000}"/>
    <cellStyle name="Porcentaje 3 2 2 3 2 3 2 2 3 2" xfId="34206" xr:uid="{00000000-0005-0000-0000-0000A97E0000}"/>
    <cellStyle name="Porcentaje 3 2 2 3 2 3 2 2 4" xfId="24349" xr:uid="{00000000-0005-0000-0000-0000AA7E0000}"/>
    <cellStyle name="Porcentaje 3 2 2 3 2 3 2 3" xfId="7095" xr:uid="{00000000-0005-0000-0000-0000AB7E0000}"/>
    <cellStyle name="Porcentaje 3 2 2 3 2 3 2 3 2" xfId="16955" xr:uid="{00000000-0005-0000-0000-0000AC7E0000}"/>
    <cellStyle name="Porcentaje 3 2 2 3 2 3 2 3 2 2" xfId="36670" xr:uid="{00000000-0005-0000-0000-0000AD7E0000}"/>
    <cellStyle name="Porcentaje 3 2 2 3 2 3 2 3 3" xfId="26813" xr:uid="{00000000-0005-0000-0000-0000AE7E0000}"/>
    <cellStyle name="Porcentaje 3 2 2 3 2 3 2 4" xfId="12027" xr:uid="{00000000-0005-0000-0000-0000AF7E0000}"/>
    <cellStyle name="Porcentaje 3 2 2 3 2 3 2 4 2" xfId="31742" xr:uid="{00000000-0005-0000-0000-0000B07E0000}"/>
    <cellStyle name="Porcentaje 3 2 2 3 2 3 2 5" xfId="21885" xr:uid="{00000000-0005-0000-0000-0000B17E0000}"/>
    <cellStyle name="Porcentaje 3 2 2 3 2 3 3" xfId="3395" xr:uid="{00000000-0005-0000-0000-0000B27E0000}"/>
    <cellStyle name="Porcentaje 3 2 2 3 2 3 3 2" xfId="8327" xr:uid="{00000000-0005-0000-0000-0000B37E0000}"/>
    <cellStyle name="Porcentaje 3 2 2 3 2 3 3 2 2" xfId="18187" xr:uid="{00000000-0005-0000-0000-0000B47E0000}"/>
    <cellStyle name="Porcentaje 3 2 2 3 2 3 3 2 2 2" xfId="37902" xr:uid="{00000000-0005-0000-0000-0000B57E0000}"/>
    <cellStyle name="Porcentaje 3 2 2 3 2 3 3 2 3" xfId="28045" xr:uid="{00000000-0005-0000-0000-0000B67E0000}"/>
    <cellStyle name="Porcentaje 3 2 2 3 2 3 3 3" xfId="13259" xr:uid="{00000000-0005-0000-0000-0000B77E0000}"/>
    <cellStyle name="Porcentaje 3 2 2 3 2 3 3 3 2" xfId="32974" xr:uid="{00000000-0005-0000-0000-0000B87E0000}"/>
    <cellStyle name="Porcentaje 3 2 2 3 2 3 3 4" xfId="23117" xr:uid="{00000000-0005-0000-0000-0000B97E0000}"/>
    <cellStyle name="Porcentaje 3 2 2 3 2 3 4" xfId="5863" xr:uid="{00000000-0005-0000-0000-0000BA7E0000}"/>
    <cellStyle name="Porcentaje 3 2 2 3 2 3 4 2" xfId="15723" xr:uid="{00000000-0005-0000-0000-0000BB7E0000}"/>
    <cellStyle name="Porcentaje 3 2 2 3 2 3 4 2 2" xfId="35438" xr:uid="{00000000-0005-0000-0000-0000BC7E0000}"/>
    <cellStyle name="Porcentaje 3 2 2 3 2 3 4 3" xfId="25581" xr:uid="{00000000-0005-0000-0000-0000BD7E0000}"/>
    <cellStyle name="Porcentaje 3 2 2 3 2 3 5" xfId="10795" xr:uid="{00000000-0005-0000-0000-0000BE7E0000}"/>
    <cellStyle name="Porcentaje 3 2 2 3 2 3 5 2" xfId="30510" xr:uid="{00000000-0005-0000-0000-0000BF7E0000}"/>
    <cellStyle name="Porcentaje 3 2 2 3 2 3 6" xfId="20653" xr:uid="{00000000-0005-0000-0000-0000C07E0000}"/>
    <cellStyle name="Porcentaje 3 2 2 3 2 4" xfId="1544" xr:uid="{00000000-0005-0000-0000-0000C17E0000}"/>
    <cellStyle name="Porcentaje 3 2 2 3 2 4 2" xfId="4011" xr:uid="{00000000-0005-0000-0000-0000C27E0000}"/>
    <cellStyle name="Porcentaje 3 2 2 3 2 4 2 2" xfId="8943" xr:uid="{00000000-0005-0000-0000-0000C37E0000}"/>
    <cellStyle name="Porcentaje 3 2 2 3 2 4 2 2 2" xfId="18803" xr:uid="{00000000-0005-0000-0000-0000C47E0000}"/>
    <cellStyle name="Porcentaje 3 2 2 3 2 4 2 2 2 2" xfId="38518" xr:uid="{00000000-0005-0000-0000-0000C57E0000}"/>
    <cellStyle name="Porcentaje 3 2 2 3 2 4 2 2 3" xfId="28661" xr:uid="{00000000-0005-0000-0000-0000C67E0000}"/>
    <cellStyle name="Porcentaje 3 2 2 3 2 4 2 3" xfId="13875" xr:uid="{00000000-0005-0000-0000-0000C77E0000}"/>
    <cellStyle name="Porcentaje 3 2 2 3 2 4 2 3 2" xfId="33590" xr:uid="{00000000-0005-0000-0000-0000C87E0000}"/>
    <cellStyle name="Porcentaje 3 2 2 3 2 4 2 4" xfId="23733" xr:uid="{00000000-0005-0000-0000-0000C97E0000}"/>
    <cellStyle name="Porcentaje 3 2 2 3 2 4 3" xfId="6479" xr:uid="{00000000-0005-0000-0000-0000CA7E0000}"/>
    <cellStyle name="Porcentaje 3 2 2 3 2 4 3 2" xfId="16339" xr:uid="{00000000-0005-0000-0000-0000CB7E0000}"/>
    <cellStyle name="Porcentaje 3 2 2 3 2 4 3 2 2" xfId="36054" xr:uid="{00000000-0005-0000-0000-0000CC7E0000}"/>
    <cellStyle name="Porcentaje 3 2 2 3 2 4 3 3" xfId="26197" xr:uid="{00000000-0005-0000-0000-0000CD7E0000}"/>
    <cellStyle name="Porcentaje 3 2 2 3 2 4 4" xfId="11411" xr:uid="{00000000-0005-0000-0000-0000CE7E0000}"/>
    <cellStyle name="Porcentaje 3 2 2 3 2 4 4 2" xfId="31126" xr:uid="{00000000-0005-0000-0000-0000CF7E0000}"/>
    <cellStyle name="Porcentaje 3 2 2 3 2 4 5" xfId="21269" xr:uid="{00000000-0005-0000-0000-0000D07E0000}"/>
    <cellStyle name="Porcentaje 3 2 2 3 2 5" xfId="2779" xr:uid="{00000000-0005-0000-0000-0000D17E0000}"/>
    <cellStyle name="Porcentaje 3 2 2 3 2 5 2" xfId="7711" xr:uid="{00000000-0005-0000-0000-0000D27E0000}"/>
    <cellStyle name="Porcentaje 3 2 2 3 2 5 2 2" xfId="17571" xr:uid="{00000000-0005-0000-0000-0000D37E0000}"/>
    <cellStyle name="Porcentaje 3 2 2 3 2 5 2 2 2" xfId="37286" xr:uid="{00000000-0005-0000-0000-0000D47E0000}"/>
    <cellStyle name="Porcentaje 3 2 2 3 2 5 2 3" xfId="27429" xr:uid="{00000000-0005-0000-0000-0000D57E0000}"/>
    <cellStyle name="Porcentaje 3 2 2 3 2 5 3" xfId="12643" xr:uid="{00000000-0005-0000-0000-0000D67E0000}"/>
    <cellStyle name="Porcentaje 3 2 2 3 2 5 3 2" xfId="32358" xr:uid="{00000000-0005-0000-0000-0000D77E0000}"/>
    <cellStyle name="Porcentaje 3 2 2 3 2 5 4" xfId="22501" xr:uid="{00000000-0005-0000-0000-0000D87E0000}"/>
    <cellStyle name="Porcentaje 3 2 2 3 2 6" xfId="5247" xr:uid="{00000000-0005-0000-0000-0000D97E0000}"/>
    <cellStyle name="Porcentaje 3 2 2 3 2 6 2" xfId="15107" xr:uid="{00000000-0005-0000-0000-0000DA7E0000}"/>
    <cellStyle name="Porcentaje 3 2 2 3 2 6 2 2" xfId="34822" xr:uid="{00000000-0005-0000-0000-0000DB7E0000}"/>
    <cellStyle name="Porcentaje 3 2 2 3 2 6 3" xfId="24965" xr:uid="{00000000-0005-0000-0000-0000DC7E0000}"/>
    <cellStyle name="Porcentaje 3 2 2 3 2 7" xfId="10179" xr:uid="{00000000-0005-0000-0000-0000DD7E0000}"/>
    <cellStyle name="Porcentaje 3 2 2 3 2 7 2" xfId="29894" xr:uid="{00000000-0005-0000-0000-0000DE7E0000}"/>
    <cellStyle name="Porcentaje 3 2 2 3 2 8" xfId="20037" xr:uid="{00000000-0005-0000-0000-0000DF7E0000}"/>
    <cellStyle name="Porcentaje 3 2 2 3 3" xfId="459" xr:uid="{00000000-0005-0000-0000-0000E07E0000}"/>
    <cellStyle name="Porcentaje 3 2 2 3 3 2" xfId="1079" xr:uid="{00000000-0005-0000-0000-0000E17E0000}"/>
    <cellStyle name="Porcentaje 3 2 2 3 3 2 2" xfId="2314" xr:uid="{00000000-0005-0000-0000-0000E27E0000}"/>
    <cellStyle name="Porcentaje 3 2 2 3 3 2 2 2" xfId="4781" xr:uid="{00000000-0005-0000-0000-0000E37E0000}"/>
    <cellStyle name="Porcentaje 3 2 2 3 3 2 2 2 2" xfId="9713" xr:uid="{00000000-0005-0000-0000-0000E47E0000}"/>
    <cellStyle name="Porcentaje 3 2 2 3 3 2 2 2 2 2" xfId="19573" xr:uid="{00000000-0005-0000-0000-0000E57E0000}"/>
    <cellStyle name="Porcentaje 3 2 2 3 3 2 2 2 2 2 2" xfId="39288" xr:uid="{00000000-0005-0000-0000-0000E67E0000}"/>
    <cellStyle name="Porcentaje 3 2 2 3 3 2 2 2 2 3" xfId="29431" xr:uid="{00000000-0005-0000-0000-0000E77E0000}"/>
    <cellStyle name="Porcentaje 3 2 2 3 3 2 2 2 3" xfId="14645" xr:uid="{00000000-0005-0000-0000-0000E87E0000}"/>
    <cellStyle name="Porcentaje 3 2 2 3 3 2 2 2 3 2" xfId="34360" xr:uid="{00000000-0005-0000-0000-0000E97E0000}"/>
    <cellStyle name="Porcentaje 3 2 2 3 3 2 2 2 4" xfId="24503" xr:uid="{00000000-0005-0000-0000-0000EA7E0000}"/>
    <cellStyle name="Porcentaje 3 2 2 3 3 2 2 3" xfId="7249" xr:uid="{00000000-0005-0000-0000-0000EB7E0000}"/>
    <cellStyle name="Porcentaje 3 2 2 3 3 2 2 3 2" xfId="17109" xr:uid="{00000000-0005-0000-0000-0000EC7E0000}"/>
    <cellStyle name="Porcentaje 3 2 2 3 3 2 2 3 2 2" xfId="36824" xr:uid="{00000000-0005-0000-0000-0000ED7E0000}"/>
    <cellStyle name="Porcentaje 3 2 2 3 3 2 2 3 3" xfId="26967" xr:uid="{00000000-0005-0000-0000-0000EE7E0000}"/>
    <cellStyle name="Porcentaje 3 2 2 3 3 2 2 4" xfId="12181" xr:uid="{00000000-0005-0000-0000-0000EF7E0000}"/>
    <cellStyle name="Porcentaje 3 2 2 3 3 2 2 4 2" xfId="31896" xr:uid="{00000000-0005-0000-0000-0000F07E0000}"/>
    <cellStyle name="Porcentaje 3 2 2 3 3 2 2 5" xfId="22039" xr:uid="{00000000-0005-0000-0000-0000F17E0000}"/>
    <cellStyle name="Porcentaje 3 2 2 3 3 2 3" xfId="3549" xr:uid="{00000000-0005-0000-0000-0000F27E0000}"/>
    <cellStyle name="Porcentaje 3 2 2 3 3 2 3 2" xfId="8481" xr:uid="{00000000-0005-0000-0000-0000F37E0000}"/>
    <cellStyle name="Porcentaje 3 2 2 3 3 2 3 2 2" xfId="18341" xr:uid="{00000000-0005-0000-0000-0000F47E0000}"/>
    <cellStyle name="Porcentaje 3 2 2 3 3 2 3 2 2 2" xfId="38056" xr:uid="{00000000-0005-0000-0000-0000F57E0000}"/>
    <cellStyle name="Porcentaje 3 2 2 3 3 2 3 2 3" xfId="28199" xr:uid="{00000000-0005-0000-0000-0000F67E0000}"/>
    <cellStyle name="Porcentaje 3 2 2 3 3 2 3 3" xfId="13413" xr:uid="{00000000-0005-0000-0000-0000F77E0000}"/>
    <cellStyle name="Porcentaje 3 2 2 3 3 2 3 3 2" xfId="33128" xr:uid="{00000000-0005-0000-0000-0000F87E0000}"/>
    <cellStyle name="Porcentaje 3 2 2 3 3 2 3 4" xfId="23271" xr:uid="{00000000-0005-0000-0000-0000F97E0000}"/>
    <cellStyle name="Porcentaje 3 2 2 3 3 2 4" xfId="6017" xr:uid="{00000000-0005-0000-0000-0000FA7E0000}"/>
    <cellStyle name="Porcentaje 3 2 2 3 3 2 4 2" xfId="15877" xr:uid="{00000000-0005-0000-0000-0000FB7E0000}"/>
    <cellStyle name="Porcentaje 3 2 2 3 3 2 4 2 2" xfId="35592" xr:uid="{00000000-0005-0000-0000-0000FC7E0000}"/>
    <cellStyle name="Porcentaje 3 2 2 3 3 2 4 3" xfId="25735" xr:uid="{00000000-0005-0000-0000-0000FD7E0000}"/>
    <cellStyle name="Porcentaje 3 2 2 3 3 2 5" xfId="10949" xr:uid="{00000000-0005-0000-0000-0000FE7E0000}"/>
    <cellStyle name="Porcentaje 3 2 2 3 3 2 5 2" xfId="30664" xr:uid="{00000000-0005-0000-0000-0000FF7E0000}"/>
    <cellStyle name="Porcentaje 3 2 2 3 3 2 6" xfId="20807" xr:uid="{00000000-0005-0000-0000-0000007F0000}"/>
    <cellStyle name="Porcentaje 3 2 2 3 3 3" xfId="1698" xr:uid="{00000000-0005-0000-0000-0000017F0000}"/>
    <cellStyle name="Porcentaje 3 2 2 3 3 3 2" xfId="4165" xr:uid="{00000000-0005-0000-0000-0000027F0000}"/>
    <cellStyle name="Porcentaje 3 2 2 3 3 3 2 2" xfId="9097" xr:uid="{00000000-0005-0000-0000-0000037F0000}"/>
    <cellStyle name="Porcentaje 3 2 2 3 3 3 2 2 2" xfId="18957" xr:uid="{00000000-0005-0000-0000-0000047F0000}"/>
    <cellStyle name="Porcentaje 3 2 2 3 3 3 2 2 2 2" xfId="38672" xr:uid="{00000000-0005-0000-0000-0000057F0000}"/>
    <cellStyle name="Porcentaje 3 2 2 3 3 3 2 2 3" xfId="28815" xr:uid="{00000000-0005-0000-0000-0000067F0000}"/>
    <cellStyle name="Porcentaje 3 2 2 3 3 3 2 3" xfId="14029" xr:uid="{00000000-0005-0000-0000-0000077F0000}"/>
    <cellStyle name="Porcentaje 3 2 2 3 3 3 2 3 2" xfId="33744" xr:uid="{00000000-0005-0000-0000-0000087F0000}"/>
    <cellStyle name="Porcentaje 3 2 2 3 3 3 2 4" xfId="23887" xr:uid="{00000000-0005-0000-0000-0000097F0000}"/>
    <cellStyle name="Porcentaje 3 2 2 3 3 3 3" xfId="6633" xr:uid="{00000000-0005-0000-0000-00000A7F0000}"/>
    <cellStyle name="Porcentaje 3 2 2 3 3 3 3 2" xfId="16493" xr:uid="{00000000-0005-0000-0000-00000B7F0000}"/>
    <cellStyle name="Porcentaje 3 2 2 3 3 3 3 2 2" xfId="36208" xr:uid="{00000000-0005-0000-0000-00000C7F0000}"/>
    <cellStyle name="Porcentaje 3 2 2 3 3 3 3 3" xfId="26351" xr:uid="{00000000-0005-0000-0000-00000D7F0000}"/>
    <cellStyle name="Porcentaje 3 2 2 3 3 3 4" xfId="11565" xr:uid="{00000000-0005-0000-0000-00000E7F0000}"/>
    <cellStyle name="Porcentaje 3 2 2 3 3 3 4 2" xfId="31280" xr:uid="{00000000-0005-0000-0000-00000F7F0000}"/>
    <cellStyle name="Porcentaje 3 2 2 3 3 3 5" xfId="21423" xr:uid="{00000000-0005-0000-0000-0000107F0000}"/>
    <cellStyle name="Porcentaje 3 2 2 3 3 4" xfId="2933" xr:uid="{00000000-0005-0000-0000-0000117F0000}"/>
    <cellStyle name="Porcentaje 3 2 2 3 3 4 2" xfId="7865" xr:uid="{00000000-0005-0000-0000-0000127F0000}"/>
    <cellStyle name="Porcentaje 3 2 2 3 3 4 2 2" xfId="17725" xr:uid="{00000000-0005-0000-0000-0000137F0000}"/>
    <cellStyle name="Porcentaje 3 2 2 3 3 4 2 2 2" xfId="37440" xr:uid="{00000000-0005-0000-0000-0000147F0000}"/>
    <cellStyle name="Porcentaje 3 2 2 3 3 4 2 3" xfId="27583" xr:uid="{00000000-0005-0000-0000-0000157F0000}"/>
    <cellStyle name="Porcentaje 3 2 2 3 3 4 3" xfId="12797" xr:uid="{00000000-0005-0000-0000-0000167F0000}"/>
    <cellStyle name="Porcentaje 3 2 2 3 3 4 3 2" xfId="32512" xr:uid="{00000000-0005-0000-0000-0000177F0000}"/>
    <cellStyle name="Porcentaje 3 2 2 3 3 4 4" xfId="22655" xr:uid="{00000000-0005-0000-0000-0000187F0000}"/>
    <cellStyle name="Porcentaje 3 2 2 3 3 5" xfId="5401" xr:uid="{00000000-0005-0000-0000-0000197F0000}"/>
    <cellStyle name="Porcentaje 3 2 2 3 3 5 2" xfId="15261" xr:uid="{00000000-0005-0000-0000-00001A7F0000}"/>
    <cellStyle name="Porcentaje 3 2 2 3 3 5 2 2" xfId="34976" xr:uid="{00000000-0005-0000-0000-00001B7F0000}"/>
    <cellStyle name="Porcentaje 3 2 2 3 3 5 3" xfId="25119" xr:uid="{00000000-0005-0000-0000-00001C7F0000}"/>
    <cellStyle name="Porcentaje 3 2 2 3 3 6" xfId="10333" xr:uid="{00000000-0005-0000-0000-00001D7F0000}"/>
    <cellStyle name="Porcentaje 3 2 2 3 3 6 2" xfId="30048" xr:uid="{00000000-0005-0000-0000-00001E7F0000}"/>
    <cellStyle name="Porcentaje 3 2 2 3 3 7" xfId="20191" xr:uid="{00000000-0005-0000-0000-00001F7F0000}"/>
    <cellStyle name="Porcentaje 3 2 2 3 4" xfId="772" xr:uid="{00000000-0005-0000-0000-0000207F0000}"/>
    <cellStyle name="Porcentaje 3 2 2 3 4 2" xfId="2008" xr:uid="{00000000-0005-0000-0000-0000217F0000}"/>
    <cellStyle name="Porcentaje 3 2 2 3 4 2 2" xfId="4475" xr:uid="{00000000-0005-0000-0000-0000227F0000}"/>
    <cellStyle name="Porcentaje 3 2 2 3 4 2 2 2" xfId="9407" xr:uid="{00000000-0005-0000-0000-0000237F0000}"/>
    <cellStyle name="Porcentaje 3 2 2 3 4 2 2 2 2" xfId="19267" xr:uid="{00000000-0005-0000-0000-0000247F0000}"/>
    <cellStyle name="Porcentaje 3 2 2 3 4 2 2 2 2 2" xfId="38982" xr:uid="{00000000-0005-0000-0000-0000257F0000}"/>
    <cellStyle name="Porcentaje 3 2 2 3 4 2 2 2 3" xfId="29125" xr:uid="{00000000-0005-0000-0000-0000267F0000}"/>
    <cellStyle name="Porcentaje 3 2 2 3 4 2 2 3" xfId="14339" xr:uid="{00000000-0005-0000-0000-0000277F0000}"/>
    <cellStyle name="Porcentaje 3 2 2 3 4 2 2 3 2" xfId="34054" xr:uid="{00000000-0005-0000-0000-0000287F0000}"/>
    <cellStyle name="Porcentaje 3 2 2 3 4 2 2 4" xfId="24197" xr:uid="{00000000-0005-0000-0000-0000297F0000}"/>
    <cellStyle name="Porcentaje 3 2 2 3 4 2 3" xfId="6943" xr:uid="{00000000-0005-0000-0000-00002A7F0000}"/>
    <cellStyle name="Porcentaje 3 2 2 3 4 2 3 2" xfId="16803" xr:uid="{00000000-0005-0000-0000-00002B7F0000}"/>
    <cellStyle name="Porcentaje 3 2 2 3 4 2 3 2 2" xfId="36518" xr:uid="{00000000-0005-0000-0000-00002C7F0000}"/>
    <cellStyle name="Porcentaje 3 2 2 3 4 2 3 3" xfId="26661" xr:uid="{00000000-0005-0000-0000-00002D7F0000}"/>
    <cellStyle name="Porcentaje 3 2 2 3 4 2 4" xfId="11875" xr:uid="{00000000-0005-0000-0000-00002E7F0000}"/>
    <cellStyle name="Porcentaje 3 2 2 3 4 2 4 2" xfId="31590" xr:uid="{00000000-0005-0000-0000-00002F7F0000}"/>
    <cellStyle name="Porcentaje 3 2 2 3 4 2 5" xfId="21733" xr:uid="{00000000-0005-0000-0000-0000307F0000}"/>
    <cellStyle name="Porcentaje 3 2 2 3 4 3" xfId="3243" xr:uid="{00000000-0005-0000-0000-0000317F0000}"/>
    <cellStyle name="Porcentaje 3 2 2 3 4 3 2" xfId="8175" xr:uid="{00000000-0005-0000-0000-0000327F0000}"/>
    <cellStyle name="Porcentaje 3 2 2 3 4 3 2 2" xfId="18035" xr:uid="{00000000-0005-0000-0000-0000337F0000}"/>
    <cellStyle name="Porcentaje 3 2 2 3 4 3 2 2 2" xfId="37750" xr:uid="{00000000-0005-0000-0000-0000347F0000}"/>
    <cellStyle name="Porcentaje 3 2 2 3 4 3 2 3" xfId="27893" xr:uid="{00000000-0005-0000-0000-0000357F0000}"/>
    <cellStyle name="Porcentaje 3 2 2 3 4 3 3" xfId="13107" xr:uid="{00000000-0005-0000-0000-0000367F0000}"/>
    <cellStyle name="Porcentaje 3 2 2 3 4 3 3 2" xfId="32822" xr:uid="{00000000-0005-0000-0000-0000377F0000}"/>
    <cellStyle name="Porcentaje 3 2 2 3 4 3 4" xfId="22965" xr:uid="{00000000-0005-0000-0000-0000387F0000}"/>
    <cellStyle name="Porcentaje 3 2 2 3 4 4" xfId="5711" xr:uid="{00000000-0005-0000-0000-0000397F0000}"/>
    <cellStyle name="Porcentaje 3 2 2 3 4 4 2" xfId="15571" xr:uid="{00000000-0005-0000-0000-00003A7F0000}"/>
    <cellStyle name="Porcentaje 3 2 2 3 4 4 2 2" xfId="35286" xr:uid="{00000000-0005-0000-0000-00003B7F0000}"/>
    <cellStyle name="Porcentaje 3 2 2 3 4 4 3" xfId="25429" xr:uid="{00000000-0005-0000-0000-00003C7F0000}"/>
    <cellStyle name="Porcentaje 3 2 2 3 4 5" xfId="10643" xr:uid="{00000000-0005-0000-0000-00003D7F0000}"/>
    <cellStyle name="Porcentaje 3 2 2 3 4 5 2" xfId="30358" xr:uid="{00000000-0005-0000-0000-00003E7F0000}"/>
    <cellStyle name="Porcentaje 3 2 2 3 4 6" xfId="20501" xr:uid="{00000000-0005-0000-0000-00003F7F0000}"/>
    <cellStyle name="Porcentaje 3 2 2 3 5" xfId="1392" xr:uid="{00000000-0005-0000-0000-0000407F0000}"/>
    <cellStyle name="Porcentaje 3 2 2 3 5 2" xfId="3859" xr:uid="{00000000-0005-0000-0000-0000417F0000}"/>
    <cellStyle name="Porcentaje 3 2 2 3 5 2 2" xfId="8791" xr:uid="{00000000-0005-0000-0000-0000427F0000}"/>
    <cellStyle name="Porcentaje 3 2 2 3 5 2 2 2" xfId="18651" xr:uid="{00000000-0005-0000-0000-0000437F0000}"/>
    <cellStyle name="Porcentaje 3 2 2 3 5 2 2 2 2" xfId="38366" xr:uid="{00000000-0005-0000-0000-0000447F0000}"/>
    <cellStyle name="Porcentaje 3 2 2 3 5 2 2 3" xfId="28509" xr:uid="{00000000-0005-0000-0000-0000457F0000}"/>
    <cellStyle name="Porcentaje 3 2 2 3 5 2 3" xfId="13723" xr:uid="{00000000-0005-0000-0000-0000467F0000}"/>
    <cellStyle name="Porcentaje 3 2 2 3 5 2 3 2" xfId="33438" xr:uid="{00000000-0005-0000-0000-0000477F0000}"/>
    <cellStyle name="Porcentaje 3 2 2 3 5 2 4" xfId="23581" xr:uid="{00000000-0005-0000-0000-0000487F0000}"/>
    <cellStyle name="Porcentaje 3 2 2 3 5 3" xfId="6327" xr:uid="{00000000-0005-0000-0000-0000497F0000}"/>
    <cellStyle name="Porcentaje 3 2 2 3 5 3 2" xfId="16187" xr:uid="{00000000-0005-0000-0000-00004A7F0000}"/>
    <cellStyle name="Porcentaje 3 2 2 3 5 3 2 2" xfId="35902" xr:uid="{00000000-0005-0000-0000-00004B7F0000}"/>
    <cellStyle name="Porcentaje 3 2 2 3 5 3 3" xfId="26045" xr:uid="{00000000-0005-0000-0000-00004C7F0000}"/>
    <cellStyle name="Porcentaje 3 2 2 3 5 4" xfId="11259" xr:uid="{00000000-0005-0000-0000-00004D7F0000}"/>
    <cellStyle name="Porcentaje 3 2 2 3 5 4 2" xfId="30974" xr:uid="{00000000-0005-0000-0000-00004E7F0000}"/>
    <cellStyle name="Porcentaje 3 2 2 3 5 5" xfId="21117" xr:uid="{00000000-0005-0000-0000-00004F7F0000}"/>
    <cellStyle name="Porcentaje 3 2 2 3 6" xfId="2627" xr:uid="{00000000-0005-0000-0000-0000507F0000}"/>
    <cellStyle name="Porcentaje 3 2 2 3 6 2" xfId="7559" xr:uid="{00000000-0005-0000-0000-0000517F0000}"/>
    <cellStyle name="Porcentaje 3 2 2 3 6 2 2" xfId="17419" xr:uid="{00000000-0005-0000-0000-0000527F0000}"/>
    <cellStyle name="Porcentaje 3 2 2 3 6 2 2 2" xfId="37134" xr:uid="{00000000-0005-0000-0000-0000537F0000}"/>
    <cellStyle name="Porcentaje 3 2 2 3 6 2 3" xfId="27277" xr:uid="{00000000-0005-0000-0000-0000547F0000}"/>
    <cellStyle name="Porcentaje 3 2 2 3 6 3" xfId="12491" xr:uid="{00000000-0005-0000-0000-0000557F0000}"/>
    <cellStyle name="Porcentaje 3 2 2 3 6 3 2" xfId="32206" xr:uid="{00000000-0005-0000-0000-0000567F0000}"/>
    <cellStyle name="Porcentaje 3 2 2 3 6 4" xfId="22349" xr:uid="{00000000-0005-0000-0000-0000577F0000}"/>
    <cellStyle name="Porcentaje 3 2 2 3 7" xfId="5095" xr:uid="{00000000-0005-0000-0000-0000587F0000}"/>
    <cellStyle name="Porcentaje 3 2 2 3 7 2" xfId="14955" xr:uid="{00000000-0005-0000-0000-0000597F0000}"/>
    <cellStyle name="Porcentaje 3 2 2 3 7 2 2" xfId="34670" xr:uid="{00000000-0005-0000-0000-00005A7F0000}"/>
    <cellStyle name="Porcentaje 3 2 2 3 7 3" xfId="24813" xr:uid="{00000000-0005-0000-0000-00005B7F0000}"/>
    <cellStyle name="Porcentaje 3 2 2 3 8" xfId="10027" xr:uid="{00000000-0005-0000-0000-00005C7F0000}"/>
    <cellStyle name="Porcentaje 3 2 2 3 8 2" xfId="29742" xr:uid="{00000000-0005-0000-0000-00005D7F0000}"/>
    <cellStyle name="Porcentaje 3 2 2 3 9" xfId="19885" xr:uid="{00000000-0005-0000-0000-00005E7F0000}"/>
    <cellStyle name="Porcentaje 3 2 2 4" xfId="221" xr:uid="{00000000-0005-0000-0000-00005F7F0000}"/>
    <cellStyle name="Porcentaje 3 2 2 4 2" xfId="535" xr:uid="{00000000-0005-0000-0000-0000607F0000}"/>
    <cellStyle name="Porcentaje 3 2 2 4 2 2" xfId="1155" xr:uid="{00000000-0005-0000-0000-0000617F0000}"/>
    <cellStyle name="Porcentaje 3 2 2 4 2 2 2" xfId="2390" xr:uid="{00000000-0005-0000-0000-0000627F0000}"/>
    <cellStyle name="Porcentaje 3 2 2 4 2 2 2 2" xfId="4857" xr:uid="{00000000-0005-0000-0000-0000637F0000}"/>
    <cellStyle name="Porcentaje 3 2 2 4 2 2 2 2 2" xfId="9789" xr:uid="{00000000-0005-0000-0000-0000647F0000}"/>
    <cellStyle name="Porcentaje 3 2 2 4 2 2 2 2 2 2" xfId="19649" xr:uid="{00000000-0005-0000-0000-0000657F0000}"/>
    <cellStyle name="Porcentaje 3 2 2 4 2 2 2 2 2 2 2" xfId="39364" xr:uid="{00000000-0005-0000-0000-0000667F0000}"/>
    <cellStyle name="Porcentaje 3 2 2 4 2 2 2 2 2 3" xfId="29507" xr:uid="{00000000-0005-0000-0000-0000677F0000}"/>
    <cellStyle name="Porcentaje 3 2 2 4 2 2 2 2 3" xfId="14721" xr:uid="{00000000-0005-0000-0000-0000687F0000}"/>
    <cellStyle name="Porcentaje 3 2 2 4 2 2 2 2 3 2" xfId="34436" xr:uid="{00000000-0005-0000-0000-0000697F0000}"/>
    <cellStyle name="Porcentaje 3 2 2 4 2 2 2 2 4" xfId="24579" xr:uid="{00000000-0005-0000-0000-00006A7F0000}"/>
    <cellStyle name="Porcentaje 3 2 2 4 2 2 2 3" xfId="7325" xr:uid="{00000000-0005-0000-0000-00006B7F0000}"/>
    <cellStyle name="Porcentaje 3 2 2 4 2 2 2 3 2" xfId="17185" xr:uid="{00000000-0005-0000-0000-00006C7F0000}"/>
    <cellStyle name="Porcentaje 3 2 2 4 2 2 2 3 2 2" xfId="36900" xr:uid="{00000000-0005-0000-0000-00006D7F0000}"/>
    <cellStyle name="Porcentaje 3 2 2 4 2 2 2 3 3" xfId="27043" xr:uid="{00000000-0005-0000-0000-00006E7F0000}"/>
    <cellStyle name="Porcentaje 3 2 2 4 2 2 2 4" xfId="12257" xr:uid="{00000000-0005-0000-0000-00006F7F0000}"/>
    <cellStyle name="Porcentaje 3 2 2 4 2 2 2 4 2" xfId="31972" xr:uid="{00000000-0005-0000-0000-0000707F0000}"/>
    <cellStyle name="Porcentaje 3 2 2 4 2 2 2 5" xfId="22115" xr:uid="{00000000-0005-0000-0000-0000717F0000}"/>
    <cellStyle name="Porcentaje 3 2 2 4 2 2 3" xfId="3625" xr:uid="{00000000-0005-0000-0000-0000727F0000}"/>
    <cellStyle name="Porcentaje 3 2 2 4 2 2 3 2" xfId="8557" xr:uid="{00000000-0005-0000-0000-0000737F0000}"/>
    <cellStyle name="Porcentaje 3 2 2 4 2 2 3 2 2" xfId="18417" xr:uid="{00000000-0005-0000-0000-0000747F0000}"/>
    <cellStyle name="Porcentaje 3 2 2 4 2 2 3 2 2 2" xfId="38132" xr:uid="{00000000-0005-0000-0000-0000757F0000}"/>
    <cellStyle name="Porcentaje 3 2 2 4 2 2 3 2 3" xfId="28275" xr:uid="{00000000-0005-0000-0000-0000767F0000}"/>
    <cellStyle name="Porcentaje 3 2 2 4 2 2 3 3" xfId="13489" xr:uid="{00000000-0005-0000-0000-0000777F0000}"/>
    <cellStyle name="Porcentaje 3 2 2 4 2 2 3 3 2" xfId="33204" xr:uid="{00000000-0005-0000-0000-0000787F0000}"/>
    <cellStyle name="Porcentaje 3 2 2 4 2 2 3 4" xfId="23347" xr:uid="{00000000-0005-0000-0000-0000797F0000}"/>
    <cellStyle name="Porcentaje 3 2 2 4 2 2 4" xfId="6093" xr:uid="{00000000-0005-0000-0000-00007A7F0000}"/>
    <cellStyle name="Porcentaje 3 2 2 4 2 2 4 2" xfId="15953" xr:uid="{00000000-0005-0000-0000-00007B7F0000}"/>
    <cellStyle name="Porcentaje 3 2 2 4 2 2 4 2 2" xfId="35668" xr:uid="{00000000-0005-0000-0000-00007C7F0000}"/>
    <cellStyle name="Porcentaje 3 2 2 4 2 2 4 3" xfId="25811" xr:uid="{00000000-0005-0000-0000-00007D7F0000}"/>
    <cellStyle name="Porcentaje 3 2 2 4 2 2 5" xfId="11025" xr:uid="{00000000-0005-0000-0000-00007E7F0000}"/>
    <cellStyle name="Porcentaje 3 2 2 4 2 2 5 2" xfId="30740" xr:uid="{00000000-0005-0000-0000-00007F7F0000}"/>
    <cellStyle name="Porcentaje 3 2 2 4 2 2 6" xfId="20883" xr:uid="{00000000-0005-0000-0000-0000807F0000}"/>
    <cellStyle name="Porcentaje 3 2 2 4 2 3" xfId="1774" xr:uid="{00000000-0005-0000-0000-0000817F0000}"/>
    <cellStyle name="Porcentaje 3 2 2 4 2 3 2" xfId="4241" xr:uid="{00000000-0005-0000-0000-0000827F0000}"/>
    <cellStyle name="Porcentaje 3 2 2 4 2 3 2 2" xfId="9173" xr:uid="{00000000-0005-0000-0000-0000837F0000}"/>
    <cellStyle name="Porcentaje 3 2 2 4 2 3 2 2 2" xfId="19033" xr:uid="{00000000-0005-0000-0000-0000847F0000}"/>
    <cellStyle name="Porcentaje 3 2 2 4 2 3 2 2 2 2" xfId="38748" xr:uid="{00000000-0005-0000-0000-0000857F0000}"/>
    <cellStyle name="Porcentaje 3 2 2 4 2 3 2 2 3" xfId="28891" xr:uid="{00000000-0005-0000-0000-0000867F0000}"/>
    <cellStyle name="Porcentaje 3 2 2 4 2 3 2 3" xfId="14105" xr:uid="{00000000-0005-0000-0000-0000877F0000}"/>
    <cellStyle name="Porcentaje 3 2 2 4 2 3 2 3 2" xfId="33820" xr:uid="{00000000-0005-0000-0000-0000887F0000}"/>
    <cellStyle name="Porcentaje 3 2 2 4 2 3 2 4" xfId="23963" xr:uid="{00000000-0005-0000-0000-0000897F0000}"/>
    <cellStyle name="Porcentaje 3 2 2 4 2 3 3" xfId="6709" xr:uid="{00000000-0005-0000-0000-00008A7F0000}"/>
    <cellStyle name="Porcentaje 3 2 2 4 2 3 3 2" xfId="16569" xr:uid="{00000000-0005-0000-0000-00008B7F0000}"/>
    <cellStyle name="Porcentaje 3 2 2 4 2 3 3 2 2" xfId="36284" xr:uid="{00000000-0005-0000-0000-00008C7F0000}"/>
    <cellStyle name="Porcentaje 3 2 2 4 2 3 3 3" xfId="26427" xr:uid="{00000000-0005-0000-0000-00008D7F0000}"/>
    <cellStyle name="Porcentaje 3 2 2 4 2 3 4" xfId="11641" xr:uid="{00000000-0005-0000-0000-00008E7F0000}"/>
    <cellStyle name="Porcentaje 3 2 2 4 2 3 4 2" xfId="31356" xr:uid="{00000000-0005-0000-0000-00008F7F0000}"/>
    <cellStyle name="Porcentaje 3 2 2 4 2 3 5" xfId="21499" xr:uid="{00000000-0005-0000-0000-0000907F0000}"/>
    <cellStyle name="Porcentaje 3 2 2 4 2 4" xfId="3009" xr:uid="{00000000-0005-0000-0000-0000917F0000}"/>
    <cellStyle name="Porcentaje 3 2 2 4 2 4 2" xfId="7941" xr:uid="{00000000-0005-0000-0000-0000927F0000}"/>
    <cellStyle name="Porcentaje 3 2 2 4 2 4 2 2" xfId="17801" xr:uid="{00000000-0005-0000-0000-0000937F0000}"/>
    <cellStyle name="Porcentaje 3 2 2 4 2 4 2 2 2" xfId="37516" xr:uid="{00000000-0005-0000-0000-0000947F0000}"/>
    <cellStyle name="Porcentaje 3 2 2 4 2 4 2 3" xfId="27659" xr:uid="{00000000-0005-0000-0000-0000957F0000}"/>
    <cellStyle name="Porcentaje 3 2 2 4 2 4 3" xfId="12873" xr:uid="{00000000-0005-0000-0000-0000967F0000}"/>
    <cellStyle name="Porcentaje 3 2 2 4 2 4 3 2" xfId="32588" xr:uid="{00000000-0005-0000-0000-0000977F0000}"/>
    <cellStyle name="Porcentaje 3 2 2 4 2 4 4" xfId="22731" xr:uid="{00000000-0005-0000-0000-0000987F0000}"/>
    <cellStyle name="Porcentaje 3 2 2 4 2 5" xfId="5477" xr:uid="{00000000-0005-0000-0000-0000997F0000}"/>
    <cellStyle name="Porcentaje 3 2 2 4 2 5 2" xfId="15337" xr:uid="{00000000-0005-0000-0000-00009A7F0000}"/>
    <cellStyle name="Porcentaje 3 2 2 4 2 5 2 2" xfId="35052" xr:uid="{00000000-0005-0000-0000-00009B7F0000}"/>
    <cellStyle name="Porcentaje 3 2 2 4 2 5 3" xfId="25195" xr:uid="{00000000-0005-0000-0000-00009C7F0000}"/>
    <cellStyle name="Porcentaje 3 2 2 4 2 6" xfId="10409" xr:uid="{00000000-0005-0000-0000-00009D7F0000}"/>
    <cellStyle name="Porcentaje 3 2 2 4 2 6 2" xfId="30124" xr:uid="{00000000-0005-0000-0000-00009E7F0000}"/>
    <cellStyle name="Porcentaje 3 2 2 4 2 7" xfId="20267" xr:uid="{00000000-0005-0000-0000-00009F7F0000}"/>
    <cellStyle name="Porcentaje 3 2 2 4 3" xfId="848" xr:uid="{00000000-0005-0000-0000-0000A07F0000}"/>
    <cellStyle name="Porcentaje 3 2 2 4 3 2" xfId="2084" xr:uid="{00000000-0005-0000-0000-0000A17F0000}"/>
    <cellStyle name="Porcentaje 3 2 2 4 3 2 2" xfId="4551" xr:uid="{00000000-0005-0000-0000-0000A27F0000}"/>
    <cellStyle name="Porcentaje 3 2 2 4 3 2 2 2" xfId="9483" xr:uid="{00000000-0005-0000-0000-0000A37F0000}"/>
    <cellStyle name="Porcentaje 3 2 2 4 3 2 2 2 2" xfId="19343" xr:uid="{00000000-0005-0000-0000-0000A47F0000}"/>
    <cellStyle name="Porcentaje 3 2 2 4 3 2 2 2 2 2" xfId="39058" xr:uid="{00000000-0005-0000-0000-0000A57F0000}"/>
    <cellStyle name="Porcentaje 3 2 2 4 3 2 2 2 3" xfId="29201" xr:uid="{00000000-0005-0000-0000-0000A67F0000}"/>
    <cellStyle name="Porcentaje 3 2 2 4 3 2 2 3" xfId="14415" xr:uid="{00000000-0005-0000-0000-0000A77F0000}"/>
    <cellStyle name="Porcentaje 3 2 2 4 3 2 2 3 2" xfId="34130" xr:uid="{00000000-0005-0000-0000-0000A87F0000}"/>
    <cellStyle name="Porcentaje 3 2 2 4 3 2 2 4" xfId="24273" xr:uid="{00000000-0005-0000-0000-0000A97F0000}"/>
    <cellStyle name="Porcentaje 3 2 2 4 3 2 3" xfId="7019" xr:uid="{00000000-0005-0000-0000-0000AA7F0000}"/>
    <cellStyle name="Porcentaje 3 2 2 4 3 2 3 2" xfId="16879" xr:uid="{00000000-0005-0000-0000-0000AB7F0000}"/>
    <cellStyle name="Porcentaje 3 2 2 4 3 2 3 2 2" xfId="36594" xr:uid="{00000000-0005-0000-0000-0000AC7F0000}"/>
    <cellStyle name="Porcentaje 3 2 2 4 3 2 3 3" xfId="26737" xr:uid="{00000000-0005-0000-0000-0000AD7F0000}"/>
    <cellStyle name="Porcentaje 3 2 2 4 3 2 4" xfId="11951" xr:uid="{00000000-0005-0000-0000-0000AE7F0000}"/>
    <cellStyle name="Porcentaje 3 2 2 4 3 2 4 2" xfId="31666" xr:uid="{00000000-0005-0000-0000-0000AF7F0000}"/>
    <cellStyle name="Porcentaje 3 2 2 4 3 2 5" xfId="21809" xr:uid="{00000000-0005-0000-0000-0000B07F0000}"/>
    <cellStyle name="Porcentaje 3 2 2 4 3 3" xfId="3319" xr:uid="{00000000-0005-0000-0000-0000B17F0000}"/>
    <cellStyle name="Porcentaje 3 2 2 4 3 3 2" xfId="8251" xr:uid="{00000000-0005-0000-0000-0000B27F0000}"/>
    <cellStyle name="Porcentaje 3 2 2 4 3 3 2 2" xfId="18111" xr:uid="{00000000-0005-0000-0000-0000B37F0000}"/>
    <cellStyle name="Porcentaje 3 2 2 4 3 3 2 2 2" xfId="37826" xr:uid="{00000000-0005-0000-0000-0000B47F0000}"/>
    <cellStyle name="Porcentaje 3 2 2 4 3 3 2 3" xfId="27969" xr:uid="{00000000-0005-0000-0000-0000B57F0000}"/>
    <cellStyle name="Porcentaje 3 2 2 4 3 3 3" xfId="13183" xr:uid="{00000000-0005-0000-0000-0000B67F0000}"/>
    <cellStyle name="Porcentaje 3 2 2 4 3 3 3 2" xfId="32898" xr:uid="{00000000-0005-0000-0000-0000B77F0000}"/>
    <cellStyle name="Porcentaje 3 2 2 4 3 3 4" xfId="23041" xr:uid="{00000000-0005-0000-0000-0000B87F0000}"/>
    <cellStyle name="Porcentaje 3 2 2 4 3 4" xfId="5787" xr:uid="{00000000-0005-0000-0000-0000B97F0000}"/>
    <cellStyle name="Porcentaje 3 2 2 4 3 4 2" xfId="15647" xr:uid="{00000000-0005-0000-0000-0000BA7F0000}"/>
    <cellStyle name="Porcentaje 3 2 2 4 3 4 2 2" xfId="35362" xr:uid="{00000000-0005-0000-0000-0000BB7F0000}"/>
    <cellStyle name="Porcentaje 3 2 2 4 3 4 3" xfId="25505" xr:uid="{00000000-0005-0000-0000-0000BC7F0000}"/>
    <cellStyle name="Porcentaje 3 2 2 4 3 5" xfId="10719" xr:uid="{00000000-0005-0000-0000-0000BD7F0000}"/>
    <cellStyle name="Porcentaje 3 2 2 4 3 5 2" xfId="30434" xr:uid="{00000000-0005-0000-0000-0000BE7F0000}"/>
    <cellStyle name="Porcentaje 3 2 2 4 3 6" xfId="20577" xr:uid="{00000000-0005-0000-0000-0000BF7F0000}"/>
    <cellStyle name="Porcentaje 3 2 2 4 4" xfId="1468" xr:uid="{00000000-0005-0000-0000-0000C07F0000}"/>
    <cellStyle name="Porcentaje 3 2 2 4 4 2" xfId="3935" xr:uid="{00000000-0005-0000-0000-0000C17F0000}"/>
    <cellStyle name="Porcentaje 3 2 2 4 4 2 2" xfId="8867" xr:uid="{00000000-0005-0000-0000-0000C27F0000}"/>
    <cellStyle name="Porcentaje 3 2 2 4 4 2 2 2" xfId="18727" xr:uid="{00000000-0005-0000-0000-0000C37F0000}"/>
    <cellStyle name="Porcentaje 3 2 2 4 4 2 2 2 2" xfId="38442" xr:uid="{00000000-0005-0000-0000-0000C47F0000}"/>
    <cellStyle name="Porcentaje 3 2 2 4 4 2 2 3" xfId="28585" xr:uid="{00000000-0005-0000-0000-0000C57F0000}"/>
    <cellStyle name="Porcentaje 3 2 2 4 4 2 3" xfId="13799" xr:uid="{00000000-0005-0000-0000-0000C67F0000}"/>
    <cellStyle name="Porcentaje 3 2 2 4 4 2 3 2" xfId="33514" xr:uid="{00000000-0005-0000-0000-0000C77F0000}"/>
    <cellStyle name="Porcentaje 3 2 2 4 4 2 4" xfId="23657" xr:uid="{00000000-0005-0000-0000-0000C87F0000}"/>
    <cellStyle name="Porcentaje 3 2 2 4 4 3" xfId="6403" xr:uid="{00000000-0005-0000-0000-0000C97F0000}"/>
    <cellStyle name="Porcentaje 3 2 2 4 4 3 2" xfId="16263" xr:uid="{00000000-0005-0000-0000-0000CA7F0000}"/>
    <cellStyle name="Porcentaje 3 2 2 4 4 3 2 2" xfId="35978" xr:uid="{00000000-0005-0000-0000-0000CB7F0000}"/>
    <cellStyle name="Porcentaje 3 2 2 4 4 3 3" xfId="26121" xr:uid="{00000000-0005-0000-0000-0000CC7F0000}"/>
    <cellStyle name="Porcentaje 3 2 2 4 4 4" xfId="11335" xr:uid="{00000000-0005-0000-0000-0000CD7F0000}"/>
    <cellStyle name="Porcentaje 3 2 2 4 4 4 2" xfId="31050" xr:uid="{00000000-0005-0000-0000-0000CE7F0000}"/>
    <cellStyle name="Porcentaje 3 2 2 4 4 5" xfId="21193" xr:uid="{00000000-0005-0000-0000-0000CF7F0000}"/>
    <cellStyle name="Porcentaje 3 2 2 4 5" xfId="2703" xr:uid="{00000000-0005-0000-0000-0000D07F0000}"/>
    <cellStyle name="Porcentaje 3 2 2 4 5 2" xfId="7635" xr:uid="{00000000-0005-0000-0000-0000D17F0000}"/>
    <cellStyle name="Porcentaje 3 2 2 4 5 2 2" xfId="17495" xr:uid="{00000000-0005-0000-0000-0000D27F0000}"/>
    <cellStyle name="Porcentaje 3 2 2 4 5 2 2 2" xfId="37210" xr:uid="{00000000-0005-0000-0000-0000D37F0000}"/>
    <cellStyle name="Porcentaje 3 2 2 4 5 2 3" xfId="27353" xr:uid="{00000000-0005-0000-0000-0000D47F0000}"/>
    <cellStyle name="Porcentaje 3 2 2 4 5 3" xfId="12567" xr:uid="{00000000-0005-0000-0000-0000D57F0000}"/>
    <cellStyle name="Porcentaje 3 2 2 4 5 3 2" xfId="32282" xr:uid="{00000000-0005-0000-0000-0000D67F0000}"/>
    <cellStyle name="Porcentaje 3 2 2 4 5 4" xfId="22425" xr:uid="{00000000-0005-0000-0000-0000D77F0000}"/>
    <cellStyle name="Porcentaje 3 2 2 4 6" xfId="5171" xr:uid="{00000000-0005-0000-0000-0000D87F0000}"/>
    <cellStyle name="Porcentaje 3 2 2 4 6 2" xfId="15031" xr:uid="{00000000-0005-0000-0000-0000D97F0000}"/>
    <cellStyle name="Porcentaje 3 2 2 4 6 2 2" xfId="34746" xr:uid="{00000000-0005-0000-0000-0000DA7F0000}"/>
    <cellStyle name="Porcentaje 3 2 2 4 6 3" xfId="24889" xr:uid="{00000000-0005-0000-0000-0000DB7F0000}"/>
    <cellStyle name="Porcentaje 3 2 2 4 7" xfId="10103" xr:uid="{00000000-0005-0000-0000-0000DC7F0000}"/>
    <cellStyle name="Porcentaje 3 2 2 4 7 2" xfId="29818" xr:uid="{00000000-0005-0000-0000-0000DD7F0000}"/>
    <cellStyle name="Porcentaje 3 2 2 4 8" xfId="19961" xr:uid="{00000000-0005-0000-0000-0000DE7F0000}"/>
    <cellStyle name="Porcentaje 3 2 2 5" xfId="383" xr:uid="{00000000-0005-0000-0000-0000DF7F0000}"/>
    <cellStyle name="Porcentaje 3 2 2 5 2" xfId="1003" xr:uid="{00000000-0005-0000-0000-0000E07F0000}"/>
    <cellStyle name="Porcentaje 3 2 2 5 2 2" xfId="2238" xr:uid="{00000000-0005-0000-0000-0000E17F0000}"/>
    <cellStyle name="Porcentaje 3 2 2 5 2 2 2" xfId="4705" xr:uid="{00000000-0005-0000-0000-0000E27F0000}"/>
    <cellStyle name="Porcentaje 3 2 2 5 2 2 2 2" xfId="9637" xr:uid="{00000000-0005-0000-0000-0000E37F0000}"/>
    <cellStyle name="Porcentaje 3 2 2 5 2 2 2 2 2" xfId="19497" xr:uid="{00000000-0005-0000-0000-0000E47F0000}"/>
    <cellStyle name="Porcentaje 3 2 2 5 2 2 2 2 2 2" xfId="39212" xr:uid="{00000000-0005-0000-0000-0000E57F0000}"/>
    <cellStyle name="Porcentaje 3 2 2 5 2 2 2 2 3" xfId="29355" xr:uid="{00000000-0005-0000-0000-0000E67F0000}"/>
    <cellStyle name="Porcentaje 3 2 2 5 2 2 2 3" xfId="14569" xr:uid="{00000000-0005-0000-0000-0000E77F0000}"/>
    <cellStyle name="Porcentaje 3 2 2 5 2 2 2 3 2" xfId="34284" xr:uid="{00000000-0005-0000-0000-0000E87F0000}"/>
    <cellStyle name="Porcentaje 3 2 2 5 2 2 2 4" xfId="24427" xr:uid="{00000000-0005-0000-0000-0000E97F0000}"/>
    <cellStyle name="Porcentaje 3 2 2 5 2 2 3" xfId="7173" xr:uid="{00000000-0005-0000-0000-0000EA7F0000}"/>
    <cellStyle name="Porcentaje 3 2 2 5 2 2 3 2" xfId="17033" xr:uid="{00000000-0005-0000-0000-0000EB7F0000}"/>
    <cellStyle name="Porcentaje 3 2 2 5 2 2 3 2 2" xfId="36748" xr:uid="{00000000-0005-0000-0000-0000EC7F0000}"/>
    <cellStyle name="Porcentaje 3 2 2 5 2 2 3 3" xfId="26891" xr:uid="{00000000-0005-0000-0000-0000ED7F0000}"/>
    <cellStyle name="Porcentaje 3 2 2 5 2 2 4" xfId="12105" xr:uid="{00000000-0005-0000-0000-0000EE7F0000}"/>
    <cellStyle name="Porcentaje 3 2 2 5 2 2 4 2" xfId="31820" xr:uid="{00000000-0005-0000-0000-0000EF7F0000}"/>
    <cellStyle name="Porcentaje 3 2 2 5 2 2 5" xfId="21963" xr:uid="{00000000-0005-0000-0000-0000F07F0000}"/>
    <cellStyle name="Porcentaje 3 2 2 5 2 3" xfId="3473" xr:uid="{00000000-0005-0000-0000-0000F17F0000}"/>
    <cellStyle name="Porcentaje 3 2 2 5 2 3 2" xfId="8405" xr:uid="{00000000-0005-0000-0000-0000F27F0000}"/>
    <cellStyle name="Porcentaje 3 2 2 5 2 3 2 2" xfId="18265" xr:uid="{00000000-0005-0000-0000-0000F37F0000}"/>
    <cellStyle name="Porcentaje 3 2 2 5 2 3 2 2 2" xfId="37980" xr:uid="{00000000-0005-0000-0000-0000F47F0000}"/>
    <cellStyle name="Porcentaje 3 2 2 5 2 3 2 3" xfId="28123" xr:uid="{00000000-0005-0000-0000-0000F57F0000}"/>
    <cellStyle name="Porcentaje 3 2 2 5 2 3 3" xfId="13337" xr:uid="{00000000-0005-0000-0000-0000F67F0000}"/>
    <cellStyle name="Porcentaje 3 2 2 5 2 3 3 2" xfId="33052" xr:uid="{00000000-0005-0000-0000-0000F77F0000}"/>
    <cellStyle name="Porcentaje 3 2 2 5 2 3 4" xfId="23195" xr:uid="{00000000-0005-0000-0000-0000F87F0000}"/>
    <cellStyle name="Porcentaje 3 2 2 5 2 4" xfId="5941" xr:uid="{00000000-0005-0000-0000-0000F97F0000}"/>
    <cellStyle name="Porcentaje 3 2 2 5 2 4 2" xfId="15801" xr:uid="{00000000-0005-0000-0000-0000FA7F0000}"/>
    <cellStyle name="Porcentaje 3 2 2 5 2 4 2 2" xfId="35516" xr:uid="{00000000-0005-0000-0000-0000FB7F0000}"/>
    <cellStyle name="Porcentaje 3 2 2 5 2 4 3" xfId="25659" xr:uid="{00000000-0005-0000-0000-0000FC7F0000}"/>
    <cellStyle name="Porcentaje 3 2 2 5 2 5" xfId="10873" xr:uid="{00000000-0005-0000-0000-0000FD7F0000}"/>
    <cellStyle name="Porcentaje 3 2 2 5 2 5 2" xfId="30588" xr:uid="{00000000-0005-0000-0000-0000FE7F0000}"/>
    <cellStyle name="Porcentaje 3 2 2 5 2 6" xfId="20731" xr:uid="{00000000-0005-0000-0000-0000FF7F0000}"/>
    <cellStyle name="Porcentaje 3 2 2 5 3" xfId="1622" xr:uid="{00000000-0005-0000-0000-000000800000}"/>
    <cellStyle name="Porcentaje 3 2 2 5 3 2" xfId="4089" xr:uid="{00000000-0005-0000-0000-000001800000}"/>
    <cellStyle name="Porcentaje 3 2 2 5 3 2 2" xfId="9021" xr:uid="{00000000-0005-0000-0000-000002800000}"/>
    <cellStyle name="Porcentaje 3 2 2 5 3 2 2 2" xfId="18881" xr:uid="{00000000-0005-0000-0000-000003800000}"/>
    <cellStyle name="Porcentaje 3 2 2 5 3 2 2 2 2" xfId="38596" xr:uid="{00000000-0005-0000-0000-000004800000}"/>
    <cellStyle name="Porcentaje 3 2 2 5 3 2 2 3" xfId="28739" xr:uid="{00000000-0005-0000-0000-000005800000}"/>
    <cellStyle name="Porcentaje 3 2 2 5 3 2 3" xfId="13953" xr:uid="{00000000-0005-0000-0000-000006800000}"/>
    <cellStyle name="Porcentaje 3 2 2 5 3 2 3 2" xfId="33668" xr:uid="{00000000-0005-0000-0000-000007800000}"/>
    <cellStyle name="Porcentaje 3 2 2 5 3 2 4" xfId="23811" xr:uid="{00000000-0005-0000-0000-000008800000}"/>
    <cellStyle name="Porcentaje 3 2 2 5 3 3" xfId="6557" xr:uid="{00000000-0005-0000-0000-000009800000}"/>
    <cellStyle name="Porcentaje 3 2 2 5 3 3 2" xfId="16417" xr:uid="{00000000-0005-0000-0000-00000A800000}"/>
    <cellStyle name="Porcentaje 3 2 2 5 3 3 2 2" xfId="36132" xr:uid="{00000000-0005-0000-0000-00000B800000}"/>
    <cellStyle name="Porcentaje 3 2 2 5 3 3 3" xfId="26275" xr:uid="{00000000-0005-0000-0000-00000C800000}"/>
    <cellStyle name="Porcentaje 3 2 2 5 3 4" xfId="11489" xr:uid="{00000000-0005-0000-0000-00000D800000}"/>
    <cellStyle name="Porcentaje 3 2 2 5 3 4 2" xfId="31204" xr:uid="{00000000-0005-0000-0000-00000E800000}"/>
    <cellStyle name="Porcentaje 3 2 2 5 3 5" xfId="21347" xr:uid="{00000000-0005-0000-0000-00000F800000}"/>
    <cellStyle name="Porcentaje 3 2 2 5 4" xfId="2857" xr:uid="{00000000-0005-0000-0000-000010800000}"/>
    <cellStyle name="Porcentaje 3 2 2 5 4 2" xfId="7789" xr:uid="{00000000-0005-0000-0000-000011800000}"/>
    <cellStyle name="Porcentaje 3 2 2 5 4 2 2" xfId="17649" xr:uid="{00000000-0005-0000-0000-000012800000}"/>
    <cellStyle name="Porcentaje 3 2 2 5 4 2 2 2" xfId="37364" xr:uid="{00000000-0005-0000-0000-000013800000}"/>
    <cellStyle name="Porcentaje 3 2 2 5 4 2 3" xfId="27507" xr:uid="{00000000-0005-0000-0000-000014800000}"/>
    <cellStyle name="Porcentaje 3 2 2 5 4 3" xfId="12721" xr:uid="{00000000-0005-0000-0000-000015800000}"/>
    <cellStyle name="Porcentaje 3 2 2 5 4 3 2" xfId="32436" xr:uid="{00000000-0005-0000-0000-000016800000}"/>
    <cellStyle name="Porcentaje 3 2 2 5 4 4" xfId="22579" xr:uid="{00000000-0005-0000-0000-000017800000}"/>
    <cellStyle name="Porcentaje 3 2 2 5 5" xfId="5325" xr:uid="{00000000-0005-0000-0000-000018800000}"/>
    <cellStyle name="Porcentaje 3 2 2 5 5 2" xfId="15185" xr:uid="{00000000-0005-0000-0000-000019800000}"/>
    <cellStyle name="Porcentaje 3 2 2 5 5 2 2" xfId="34900" xr:uid="{00000000-0005-0000-0000-00001A800000}"/>
    <cellStyle name="Porcentaje 3 2 2 5 5 3" xfId="25043" xr:uid="{00000000-0005-0000-0000-00001B800000}"/>
    <cellStyle name="Porcentaje 3 2 2 5 6" xfId="10257" xr:uid="{00000000-0005-0000-0000-00001C800000}"/>
    <cellStyle name="Porcentaje 3 2 2 5 6 2" xfId="29972" xr:uid="{00000000-0005-0000-0000-00001D800000}"/>
    <cellStyle name="Porcentaje 3 2 2 5 7" xfId="20115" xr:uid="{00000000-0005-0000-0000-00001E800000}"/>
    <cellStyle name="Porcentaje 3 2 2 6" xfId="696" xr:uid="{00000000-0005-0000-0000-00001F800000}"/>
    <cellStyle name="Porcentaje 3 2 2 6 2" xfId="1932" xr:uid="{00000000-0005-0000-0000-000020800000}"/>
    <cellStyle name="Porcentaje 3 2 2 6 2 2" xfId="4399" xr:uid="{00000000-0005-0000-0000-000021800000}"/>
    <cellStyle name="Porcentaje 3 2 2 6 2 2 2" xfId="9331" xr:uid="{00000000-0005-0000-0000-000022800000}"/>
    <cellStyle name="Porcentaje 3 2 2 6 2 2 2 2" xfId="19191" xr:uid="{00000000-0005-0000-0000-000023800000}"/>
    <cellStyle name="Porcentaje 3 2 2 6 2 2 2 2 2" xfId="38906" xr:uid="{00000000-0005-0000-0000-000024800000}"/>
    <cellStyle name="Porcentaje 3 2 2 6 2 2 2 3" xfId="29049" xr:uid="{00000000-0005-0000-0000-000025800000}"/>
    <cellStyle name="Porcentaje 3 2 2 6 2 2 3" xfId="14263" xr:uid="{00000000-0005-0000-0000-000026800000}"/>
    <cellStyle name="Porcentaje 3 2 2 6 2 2 3 2" xfId="33978" xr:uid="{00000000-0005-0000-0000-000027800000}"/>
    <cellStyle name="Porcentaje 3 2 2 6 2 2 4" xfId="24121" xr:uid="{00000000-0005-0000-0000-000028800000}"/>
    <cellStyle name="Porcentaje 3 2 2 6 2 3" xfId="6867" xr:uid="{00000000-0005-0000-0000-000029800000}"/>
    <cellStyle name="Porcentaje 3 2 2 6 2 3 2" xfId="16727" xr:uid="{00000000-0005-0000-0000-00002A800000}"/>
    <cellStyle name="Porcentaje 3 2 2 6 2 3 2 2" xfId="36442" xr:uid="{00000000-0005-0000-0000-00002B800000}"/>
    <cellStyle name="Porcentaje 3 2 2 6 2 3 3" xfId="26585" xr:uid="{00000000-0005-0000-0000-00002C800000}"/>
    <cellStyle name="Porcentaje 3 2 2 6 2 4" xfId="11799" xr:uid="{00000000-0005-0000-0000-00002D800000}"/>
    <cellStyle name="Porcentaje 3 2 2 6 2 4 2" xfId="31514" xr:uid="{00000000-0005-0000-0000-00002E800000}"/>
    <cellStyle name="Porcentaje 3 2 2 6 2 5" xfId="21657" xr:uid="{00000000-0005-0000-0000-00002F800000}"/>
    <cellStyle name="Porcentaje 3 2 2 6 3" xfId="3167" xr:uid="{00000000-0005-0000-0000-000030800000}"/>
    <cellStyle name="Porcentaje 3 2 2 6 3 2" xfId="8099" xr:uid="{00000000-0005-0000-0000-000031800000}"/>
    <cellStyle name="Porcentaje 3 2 2 6 3 2 2" xfId="17959" xr:uid="{00000000-0005-0000-0000-000032800000}"/>
    <cellStyle name="Porcentaje 3 2 2 6 3 2 2 2" xfId="37674" xr:uid="{00000000-0005-0000-0000-000033800000}"/>
    <cellStyle name="Porcentaje 3 2 2 6 3 2 3" xfId="27817" xr:uid="{00000000-0005-0000-0000-000034800000}"/>
    <cellStyle name="Porcentaje 3 2 2 6 3 3" xfId="13031" xr:uid="{00000000-0005-0000-0000-000035800000}"/>
    <cellStyle name="Porcentaje 3 2 2 6 3 3 2" xfId="32746" xr:uid="{00000000-0005-0000-0000-000036800000}"/>
    <cellStyle name="Porcentaje 3 2 2 6 3 4" xfId="22889" xr:uid="{00000000-0005-0000-0000-000037800000}"/>
    <cellStyle name="Porcentaje 3 2 2 6 4" xfId="5635" xr:uid="{00000000-0005-0000-0000-000038800000}"/>
    <cellStyle name="Porcentaje 3 2 2 6 4 2" xfId="15495" xr:uid="{00000000-0005-0000-0000-000039800000}"/>
    <cellStyle name="Porcentaje 3 2 2 6 4 2 2" xfId="35210" xr:uid="{00000000-0005-0000-0000-00003A800000}"/>
    <cellStyle name="Porcentaje 3 2 2 6 4 3" xfId="25353" xr:uid="{00000000-0005-0000-0000-00003B800000}"/>
    <cellStyle name="Porcentaje 3 2 2 6 5" xfId="10567" xr:uid="{00000000-0005-0000-0000-00003C800000}"/>
    <cellStyle name="Porcentaje 3 2 2 6 5 2" xfId="30282" xr:uid="{00000000-0005-0000-0000-00003D800000}"/>
    <cellStyle name="Porcentaje 3 2 2 6 6" xfId="20425" xr:uid="{00000000-0005-0000-0000-00003E800000}"/>
    <cellStyle name="Porcentaje 3 2 2 7" xfId="1316" xr:uid="{00000000-0005-0000-0000-00003F800000}"/>
    <cellStyle name="Porcentaje 3 2 2 7 2" xfId="3783" xr:uid="{00000000-0005-0000-0000-000040800000}"/>
    <cellStyle name="Porcentaje 3 2 2 7 2 2" xfId="8715" xr:uid="{00000000-0005-0000-0000-000041800000}"/>
    <cellStyle name="Porcentaje 3 2 2 7 2 2 2" xfId="18575" xr:uid="{00000000-0005-0000-0000-000042800000}"/>
    <cellStyle name="Porcentaje 3 2 2 7 2 2 2 2" xfId="38290" xr:uid="{00000000-0005-0000-0000-000043800000}"/>
    <cellStyle name="Porcentaje 3 2 2 7 2 2 3" xfId="28433" xr:uid="{00000000-0005-0000-0000-000044800000}"/>
    <cellStyle name="Porcentaje 3 2 2 7 2 3" xfId="13647" xr:uid="{00000000-0005-0000-0000-000045800000}"/>
    <cellStyle name="Porcentaje 3 2 2 7 2 3 2" xfId="33362" xr:uid="{00000000-0005-0000-0000-000046800000}"/>
    <cellStyle name="Porcentaje 3 2 2 7 2 4" xfId="23505" xr:uid="{00000000-0005-0000-0000-000047800000}"/>
    <cellStyle name="Porcentaje 3 2 2 7 3" xfId="6251" xr:uid="{00000000-0005-0000-0000-000048800000}"/>
    <cellStyle name="Porcentaje 3 2 2 7 3 2" xfId="16111" xr:uid="{00000000-0005-0000-0000-000049800000}"/>
    <cellStyle name="Porcentaje 3 2 2 7 3 2 2" xfId="35826" xr:uid="{00000000-0005-0000-0000-00004A800000}"/>
    <cellStyle name="Porcentaje 3 2 2 7 3 3" xfId="25969" xr:uid="{00000000-0005-0000-0000-00004B800000}"/>
    <cellStyle name="Porcentaje 3 2 2 7 4" xfId="11183" xr:uid="{00000000-0005-0000-0000-00004C800000}"/>
    <cellStyle name="Porcentaje 3 2 2 7 4 2" xfId="30898" xr:uid="{00000000-0005-0000-0000-00004D800000}"/>
    <cellStyle name="Porcentaje 3 2 2 7 5" xfId="21041" xr:uid="{00000000-0005-0000-0000-00004E800000}"/>
    <cellStyle name="Porcentaje 3 2 2 8" xfId="2551" xr:uid="{00000000-0005-0000-0000-00004F800000}"/>
    <cellStyle name="Porcentaje 3 2 2 8 2" xfId="7483" xr:uid="{00000000-0005-0000-0000-000050800000}"/>
    <cellStyle name="Porcentaje 3 2 2 8 2 2" xfId="17343" xr:uid="{00000000-0005-0000-0000-000051800000}"/>
    <cellStyle name="Porcentaje 3 2 2 8 2 2 2" xfId="37058" xr:uid="{00000000-0005-0000-0000-000052800000}"/>
    <cellStyle name="Porcentaje 3 2 2 8 2 3" xfId="27201" xr:uid="{00000000-0005-0000-0000-000053800000}"/>
    <cellStyle name="Porcentaje 3 2 2 8 3" xfId="12415" xr:uid="{00000000-0005-0000-0000-000054800000}"/>
    <cellStyle name="Porcentaje 3 2 2 8 3 2" xfId="32130" xr:uid="{00000000-0005-0000-0000-000055800000}"/>
    <cellStyle name="Porcentaje 3 2 2 8 4" xfId="22273" xr:uid="{00000000-0005-0000-0000-000056800000}"/>
    <cellStyle name="Porcentaje 3 2 2 9" xfId="5019" xr:uid="{00000000-0005-0000-0000-000057800000}"/>
    <cellStyle name="Porcentaje 3 2 2 9 2" xfId="14879" xr:uid="{00000000-0005-0000-0000-000058800000}"/>
    <cellStyle name="Porcentaje 3 2 2 9 2 2" xfId="34594" xr:uid="{00000000-0005-0000-0000-000059800000}"/>
    <cellStyle name="Porcentaje 3 2 2 9 3" xfId="24737" xr:uid="{00000000-0005-0000-0000-00005A800000}"/>
    <cellStyle name="Porcentaje 3 2 3" xfId="78" xr:uid="{00000000-0005-0000-0000-00005B800000}"/>
    <cellStyle name="Porcentaje 3 2 3 10" xfId="19828" xr:uid="{00000000-0005-0000-0000-00005C800000}"/>
    <cellStyle name="Porcentaje 3 2 3 2" xfId="159" xr:uid="{00000000-0005-0000-0000-00005D800000}"/>
    <cellStyle name="Porcentaje 3 2 3 2 2" xfId="316" xr:uid="{00000000-0005-0000-0000-00005E800000}"/>
    <cellStyle name="Porcentaje 3 2 3 2 2 2" xfId="630" xr:uid="{00000000-0005-0000-0000-00005F800000}"/>
    <cellStyle name="Porcentaje 3 2 3 2 2 2 2" xfId="1250" xr:uid="{00000000-0005-0000-0000-000060800000}"/>
    <cellStyle name="Porcentaje 3 2 3 2 2 2 2 2" xfId="2485" xr:uid="{00000000-0005-0000-0000-000061800000}"/>
    <cellStyle name="Porcentaje 3 2 3 2 2 2 2 2 2" xfId="4952" xr:uid="{00000000-0005-0000-0000-000062800000}"/>
    <cellStyle name="Porcentaje 3 2 3 2 2 2 2 2 2 2" xfId="9884" xr:uid="{00000000-0005-0000-0000-000063800000}"/>
    <cellStyle name="Porcentaje 3 2 3 2 2 2 2 2 2 2 2" xfId="19744" xr:uid="{00000000-0005-0000-0000-000064800000}"/>
    <cellStyle name="Porcentaje 3 2 3 2 2 2 2 2 2 2 2 2" xfId="39459" xr:uid="{00000000-0005-0000-0000-000065800000}"/>
    <cellStyle name="Porcentaje 3 2 3 2 2 2 2 2 2 2 3" xfId="29602" xr:uid="{00000000-0005-0000-0000-000066800000}"/>
    <cellStyle name="Porcentaje 3 2 3 2 2 2 2 2 2 3" xfId="14816" xr:uid="{00000000-0005-0000-0000-000067800000}"/>
    <cellStyle name="Porcentaje 3 2 3 2 2 2 2 2 2 3 2" xfId="34531" xr:uid="{00000000-0005-0000-0000-000068800000}"/>
    <cellStyle name="Porcentaje 3 2 3 2 2 2 2 2 2 4" xfId="24674" xr:uid="{00000000-0005-0000-0000-000069800000}"/>
    <cellStyle name="Porcentaje 3 2 3 2 2 2 2 2 3" xfId="7420" xr:uid="{00000000-0005-0000-0000-00006A800000}"/>
    <cellStyle name="Porcentaje 3 2 3 2 2 2 2 2 3 2" xfId="17280" xr:uid="{00000000-0005-0000-0000-00006B800000}"/>
    <cellStyle name="Porcentaje 3 2 3 2 2 2 2 2 3 2 2" xfId="36995" xr:uid="{00000000-0005-0000-0000-00006C800000}"/>
    <cellStyle name="Porcentaje 3 2 3 2 2 2 2 2 3 3" xfId="27138" xr:uid="{00000000-0005-0000-0000-00006D800000}"/>
    <cellStyle name="Porcentaje 3 2 3 2 2 2 2 2 4" xfId="12352" xr:uid="{00000000-0005-0000-0000-00006E800000}"/>
    <cellStyle name="Porcentaje 3 2 3 2 2 2 2 2 4 2" xfId="32067" xr:uid="{00000000-0005-0000-0000-00006F800000}"/>
    <cellStyle name="Porcentaje 3 2 3 2 2 2 2 2 5" xfId="22210" xr:uid="{00000000-0005-0000-0000-000070800000}"/>
    <cellStyle name="Porcentaje 3 2 3 2 2 2 2 3" xfId="3720" xr:uid="{00000000-0005-0000-0000-000071800000}"/>
    <cellStyle name="Porcentaje 3 2 3 2 2 2 2 3 2" xfId="8652" xr:uid="{00000000-0005-0000-0000-000072800000}"/>
    <cellStyle name="Porcentaje 3 2 3 2 2 2 2 3 2 2" xfId="18512" xr:uid="{00000000-0005-0000-0000-000073800000}"/>
    <cellStyle name="Porcentaje 3 2 3 2 2 2 2 3 2 2 2" xfId="38227" xr:uid="{00000000-0005-0000-0000-000074800000}"/>
    <cellStyle name="Porcentaje 3 2 3 2 2 2 2 3 2 3" xfId="28370" xr:uid="{00000000-0005-0000-0000-000075800000}"/>
    <cellStyle name="Porcentaje 3 2 3 2 2 2 2 3 3" xfId="13584" xr:uid="{00000000-0005-0000-0000-000076800000}"/>
    <cellStyle name="Porcentaje 3 2 3 2 2 2 2 3 3 2" xfId="33299" xr:uid="{00000000-0005-0000-0000-000077800000}"/>
    <cellStyle name="Porcentaje 3 2 3 2 2 2 2 3 4" xfId="23442" xr:uid="{00000000-0005-0000-0000-000078800000}"/>
    <cellStyle name="Porcentaje 3 2 3 2 2 2 2 4" xfId="6188" xr:uid="{00000000-0005-0000-0000-000079800000}"/>
    <cellStyle name="Porcentaje 3 2 3 2 2 2 2 4 2" xfId="16048" xr:uid="{00000000-0005-0000-0000-00007A800000}"/>
    <cellStyle name="Porcentaje 3 2 3 2 2 2 2 4 2 2" xfId="35763" xr:uid="{00000000-0005-0000-0000-00007B800000}"/>
    <cellStyle name="Porcentaje 3 2 3 2 2 2 2 4 3" xfId="25906" xr:uid="{00000000-0005-0000-0000-00007C800000}"/>
    <cellStyle name="Porcentaje 3 2 3 2 2 2 2 5" xfId="11120" xr:uid="{00000000-0005-0000-0000-00007D800000}"/>
    <cellStyle name="Porcentaje 3 2 3 2 2 2 2 5 2" xfId="30835" xr:uid="{00000000-0005-0000-0000-00007E800000}"/>
    <cellStyle name="Porcentaje 3 2 3 2 2 2 2 6" xfId="20978" xr:uid="{00000000-0005-0000-0000-00007F800000}"/>
    <cellStyle name="Porcentaje 3 2 3 2 2 2 3" xfId="1869" xr:uid="{00000000-0005-0000-0000-000080800000}"/>
    <cellStyle name="Porcentaje 3 2 3 2 2 2 3 2" xfId="4336" xr:uid="{00000000-0005-0000-0000-000081800000}"/>
    <cellStyle name="Porcentaje 3 2 3 2 2 2 3 2 2" xfId="9268" xr:uid="{00000000-0005-0000-0000-000082800000}"/>
    <cellStyle name="Porcentaje 3 2 3 2 2 2 3 2 2 2" xfId="19128" xr:uid="{00000000-0005-0000-0000-000083800000}"/>
    <cellStyle name="Porcentaje 3 2 3 2 2 2 3 2 2 2 2" xfId="38843" xr:uid="{00000000-0005-0000-0000-000084800000}"/>
    <cellStyle name="Porcentaje 3 2 3 2 2 2 3 2 2 3" xfId="28986" xr:uid="{00000000-0005-0000-0000-000085800000}"/>
    <cellStyle name="Porcentaje 3 2 3 2 2 2 3 2 3" xfId="14200" xr:uid="{00000000-0005-0000-0000-000086800000}"/>
    <cellStyle name="Porcentaje 3 2 3 2 2 2 3 2 3 2" xfId="33915" xr:uid="{00000000-0005-0000-0000-000087800000}"/>
    <cellStyle name="Porcentaje 3 2 3 2 2 2 3 2 4" xfId="24058" xr:uid="{00000000-0005-0000-0000-000088800000}"/>
    <cellStyle name="Porcentaje 3 2 3 2 2 2 3 3" xfId="6804" xr:uid="{00000000-0005-0000-0000-000089800000}"/>
    <cellStyle name="Porcentaje 3 2 3 2 2 2 3 3 2" xfId="16664" xr:uid="{00000000-0005-0000-0000-00008A800000}"/>
    <cellStyle name="Porcentaje 3 2 3 2 2 2 3 3 2 2" xfId="36379" xr:uid="{00000000-0005-0000-0000-00008B800000}"/>
    <cellStyle name="Porcentaje 3 2 3 2 2 2 3 3 3" xfId="26522" xr:uid="{00000000-0005-0000-0000-00008C800000}"/>
    <cellStyle name="Porcentaje 3 2 3 2 2 2 3 4" xfId="11736" xr:uid="{00000000-0005-0000-0000-00008D800000}"/>
    <cellStyle name="Porcentaje 3 2 3 2 2 2 3 4 2" xfId="31451" xr:uid="{00000000-0005-0000-0000-00008E800000}"/>
    <cellStyle name="Porcentaje 3 2 3 2 2 2 3 5" xfId="21594" xr:uid="{00000000-0005-0000-0000-00008F800000}"/>
    <cellStyle name="Porcentaje 3 2 3 2 2 2 4" xfId="3104" xr:uid="{00000000-0005-0000-0000-000090800000}"/>
    <cellStyle name="Porcentaje 3 2 3 2 2 2 4 2" xfId="8036" xr:uid="{00000000-0005-0000-0000-000091800000}"/>
    <cellStyle name="Porcentaje 3 2 3 2 2 2 4 2 2" xfId="17896" xr:uid="{00000000-0005-0000-0000-000092800000}"/>
    <cellStyle name="Porcentaje 3 2 3 2 2 2 4 2 2 2" xfId="37611" xr:uid="{00000000-0005-0000-0000-000093800000}"/>
    <cellStyle name="Porcentaje 3 2 3 2 2 2 4 2 3" xfId="27754" xr:uid="{00000000-0005-0000-0000-000094800000}"/>
    <cellStyle name="Porcentaje 3 2 3 2 2 2 4 3" xfId="12968" xr:uid="{00000000-0005-0000-0000-000095800000}"/>
    <cellStyle name="Porcentaje 3 2 3 2 2 2 4 3 2" xfId="32683" xr:uid="{00000000-0005-0000-0000-000096800000}"/>
    <cellStyle name="Porcentaje 3 2 3 2 2 2 4 4" xfId="22826" xr:uid="{00000000-0005-0000-0000-000097800000}"/>
    <cellStyle name="Porcentaje 3 2 3 2 2 2 5" xfId="5572" xr:uid="{00000000-0005-0000-0000-000098800000}"/>
    <cellStyle name="Porcentaje 3 2 3 2 2 2 5 2" xfId="15432" xr:uid="{00000000-0005-0000-0000-000099800000}"/>
    <cellStyle name="Porcentaje 3 2 3 2 2 2 5 2 2" xfId="35147" xr:uid="{00000000-0005-0000-0000-00009A800000}"/>
    <cellStyle name="Porcentaje 3 2 3 2 2 2 5 3" xfId="25290" xr:uid="{00000000-0005-0000-0000-00009B800000}"/>
    <cellStyle name="Porcentaje 3 2 3 2 2 2 6" xfId="10504" xr:uid="{00000000-0005-0000-0000-00009C800000}"/>
    <cellStyle name="Porcentaje 3 2 3 2 2 2 6 2" xfId="30219" xr:uid="{00000000-0005-0000-0000-00009D800000}"/>
    <cellStyle name="Porcentaje 3 2 3 2 2 2 7" xfId="20362" xr:uid="{00000000-0005-0000-0000-00009E800000}"/>
    <cellStyle name="Porcentaje 3 2 3 2 2 3" xfId="943" xr:uid="{00000000-0005-0000-0000-00009F800000}"/>
    <cellStyle name="Porcentaje 3 2 3 2 2 3 2" xfId="2179" xr:uid="{00000000-0005-0000-0000-0000A0800000}"/>
    <cellStyle name="Porcentaje 3 2 3 2 2 3 2 2" xfId="4646" xr:uid="{00000000-0005-0000-0000-0000A1800000}"/>
    <cellStyle name="Porcentaje 3 2 3 2 2 3 2 2 2" xfId="9578" xr:uid="{00000000-0005-0000-0000-0000A2800000}"/>
    <cellStyle name="Porcentaje 3 2 3 2 2 3 2 2 2 2" xfId="19438" xr:uid="{00000000-0005-0000-0000-0000A3800000}"/>
    <cellStyle name="Porcentaje 3 2 3 2 2 3 2 2 2 2 2" xfId="39153" xr:uid="{00000000-0005-0000-0000-0000A4800000}"/>
    <cellStyle name="Porcentaje 3 2 3 2 2 3 2 2 2 3" xfId="29296" xr:uid="{00000000-0005-0000-0000-0000A5800000}"/>
    <cellStyle name="Porcentaje 3 2 3 2 2 3 2 2 3" xfId="14510" xr:uid="{00000000-0005-0000-0000-0000A6800000}"/>
    <cellStyle name="Porcentaje 3 2 3 2 2 3 2 2 3 2" xfId="34225" xr:uid="{00000000-0005-0000-0000-0000A7800000}"/>
    <cellStyle name="Porcentaje 3 2 3 2 2 3 2 2 4" xfId="24368" xr:uid="{00000000-0005-0000-0000-0000A8800000}"/>
    <cellStyle name="Porcentaje 3 2 3 2 2 3 2 3" xfId="7114" xr:uid="{00000000-0005-0000-0000-0000A9800000}"/>
    <cellStyle name="Porcentaje 3 2 3 2 2 3 2 3 2" xfId="16974" xr:uid="{00000000-0005-0000-0000-0000AA800000}"/>
    <cellStyle name="Porcentaje 3 2 3 2 2 3 2 3 2 2" xfId="36689" xr:uid="{00000000-0005-0000-0000-0000AB800000}"/>
    <cellStyle name="Porcentaje 3 2 3 2 2 3 2 3 3" xfId="26832" xr:uid="{00000000-0005-0000-0000-0000AC800000}"/>
    <cellStyle name="Porcentaje 3 2 3 2 2 3 2 4" xfId="12046" xr:uid="{00000000-0005-0000-0000-0000AD800000}"/>
    <cellStyle name="Porcentaje 3 2 3 2 2 3 2 4 2" xfId="31761" xr:uid="{00000000-0005-0000-0000-0000AE800000}"/>
    <cellStyle name="Porcentaje 3 2 3 2 2 3 2 5" xfId="21904" xr:uid="{00000000-0005-0000-0000-0000AF800000}"/>
    <cellStyle name="Porcentaje 3 2 3 2 2 3 3" xfId="3414" xr:uid="{00000000-0005-0000-0000-0000B0800000}"/>
    <cellStyle name="Porcentaje 3 2 3 2 2 3 3 2" xfId="8346" xr:uid="{00000000-0005-0000-0000-0000B1800000}"/>
    <cellStyle name="Porcentaje 3 2 3 2 2 3 3 2 2" xfId="18206" xr:uid="{00000000-0005-0000-0000-0000B2800000}"/>
    <cellStyle name="Porcentaje 3 2 3 2 2 3 3 2 2 2" xfId="37921" xr:uid="{00000000-0005-0000-0000-0000B3800000}"/>
    <cellStyle name="Porcentaje 3 2 3 2 2 3 3 2 3" xfId="28064" xr:uid="{00000000-0005-0000-0000-0000B4800000}"/>
    <cellStyle name="Porcentaje 3 2 3 2 2 3 3 3" xfId="13278" xr:uid="{00000000-0005-0000-0000-0000B5800000}"/>
    <cellStyle name="Porcentaje 3 2 3 2 2 3 3 3 2" xfId="32993" xr:uid="{00000000-0005-0000-0000-0000B6800000}"/>
    <cellStyle name="Porcentaje 3 2 3 2 2 3 3 4" xfId="23136" xr:uid="{00000000-0005-0000-0000-0000B7800000}"/>
    <cellStyle name="Porcentaje 3 2 3 2 2 3 4" xfId="5882" xr:uid="{00000000-0005-0000-0000-0000B8800000}"/>
    <cellStyle name="Porcentaje 3 2 3 2 2 3 4 2" xfId="15742" xr:uid="{00000000-0005-0000-0000-0000B9800000}"/>
    <cellStyle name="Porcentaje 3 2 3 2 2 3 4 2 2" xfId="35457" xr:uid="{00000000-0005-0000-0000-0000BA800000}"/>
    <cellStyle name="Porcentaje 3 2 3 2 2 3 4 3" xfId="25600" xr:uid="{00000000-0005-0000-0000-0000BB800000}"/>
    <cellStyle name="Porcentaje 3 2 3 2 2 3 5" xfId="10814" xr:uid="{00000000-0005-0000-0000-0000BC800000}"/>
    <cellStyle name="Porcentaje 3 2 3 2 2 3 5 2" xfId="30529" xr:uid="{00000000-0005-0000-0000-0000BD800000}"/>
    <cellStyle name="Porcentaje 3 2 3 2 2 3 6" xfId="20672" xr:uid="{00000000-0005-0000-0000-0000BE800000}"/>
    <cellStyle name="Porcentaje 3 2 3 2 2 4" xfId="1563" xr:uid="{00000000-0005-0000-0000-0000BF800000}"/>
    <cellStyle name="Porcentaje 3 2 3 2 2 4 2" xfId="4030" xr:uid="{00000000-0005-0000-0000-0000C0800000}"/>
    <cellStyle name="Porcentaje 3 2 3 2 2 4 2 2" xfId="8962" xr:uid="{00000000-0005-0000-0000-0000C1800000}"/>
    <cellStyle name="Porcentaje 3 2 3 2 2 4 2 2 2" xfId="18822" xr:uid="{00000000-0005-0000-0000-0000C2800000}"/>
    <cellStyle name="Porcentaje 3 2 3 2 2 4 2 2 2 2" xfId="38537" xr:uid="{00000000-0005-0000-0000-0000C3800000}"/>
    <cellStyle name="Porcentaje 3 2 3 2 2 4 2 2 3" xfId="28680" xr:uid="{00000000-0005-0000-0000-0000C4800000}"/>
    <cellStyle name="Porcentaje 3 2 3 2 2 4 2 3" xfId="13894" xr:uid="{00000000-0005-0000-0000-0000C5800000}"/>
    <cellStyle name="Porcentaje 3 2 3 2 2 4 2 3 2" xfId="33609" xr:uid="{00000000-0005-0000-0000-0000C6800000}"/>
    <cellStyle name="Porcentaje 3 2 3 2 2 4 2 4" xfId="23752" xr:uid="{00000000-0005-0000-0000-0000C7800000}"/>
    <cellStyle name="Porcentaje 3 2 3 2 2 4 3" xfId="6498" xr:uid="{00000000-0005-0000-0000-0000C8800000}"/>
    <cellStyle name="Porcentaje 3 2 3 2 2 4 3 2" xfId="16358" xr:uid="{00000000-0005-0000-0000-0000C9800000}"/>
    <cellStyle name="Porcentaje 3 2 3 2 2 4 3 2 2" xfId="36073" xr:uid="{00000000-0005-0000-0000-0000CA800000}"/>
    <cellStyle name="Porcentaje 3 2 3 2 2 4 3 3" xfId="26216" xr:uid="{00000000-0005-0000-0000-0000CB800000}"/>
    <cellStyle name="Porcentaje 3 2 3 2 2 4 4" xfId="11430" xr:uid="{00000000-0005-0000-0000-0000CC800000}"/>
    <cellStyle name="Porcentaje 3 2 3 2 2 4 4 2" xfId="31145" xr:uid="{00000000-0005-0000-0000-0000CD800000}"/>
    <cellStyle name="Porcentaje 3 2 3 2 2 4 5" xfId="21288" xr:uid="{00000000-0005-0000-0000-0000CE800000}"/>
    <cellStyle name="Porcentaje 3 2 3 2 2 5" xfId="2798" xr:uid="{00000000-0005-0000-0000-0000CF800000}"/>
    <cellStyle name="Porcentaje 3 2 3 2 2 5 2" xfId="7730" xr:uid="{00000000-0005-0000-0000-0000D0800000}"/>
    <cellStyle name="Porcentaje 3 2 3 2 2 5 2 2" xfId="17590" xr:uid="{00000000-0005-0000-0000-0000D1800000}"/>
    <cellStyle name="Porcentaje 3 2 3 2 2 5 2 2 2" xfId="37305" xr:uid="{00000000-0005-0000-0000-0000D2800000}"/>
    <cellStyle name="Porcentaje 3 2 3 2 2 5 2 3" xfId="27448" xr:uid="{00000000-0005-0000-0000-0000D3800000}"/>
    <cellStyle name="Porcentaje 3 2 3 2 2 5 3" xfId="12662" xr:uid="{00000000-0005-0000-0000-0000D4800000}"/>
    <cellStyle name="Porcentaje 3 2 3 2 2 5 3 2" xfId="32377" xr:uid="{00000000-0005-0000-0000-0000D5800000}"/>
    <cellStyle name="Porcentaje 3 2 3 2 2 5 4" xfId="22520" xr:uid="{00000000-0005-0000-0000-0000D6800000}"/>
    <cellStyle name="Porcentaje 3 2 3 2 2 6" xfId="5266" xr:uid="{00000000-0005-0000-0000-0000D7800000}"/>
    <cellStyle name="Porcentaje 3 2 3 2 2 6 2" xfId="15126" xr:uid="{00000000-0005-0000-0000-0000D8800000}"/>
    <cellStyle name="Porcentaje 3 2 3 2 2 6 2 2" xfId="34841" xr:uid="{00000000-0005-0000-0000-0000D9800000}"/>
    <cellStyle name="Porcentaje 3 2 3 2 2 6 3" xfId="24984" xr:uid="{00000000-0005-0000-0000-0000DA800000}"/>
    <cellStyle name="Porcentaje 3 2 3 2 2 7" xfId="10198" xr:uid="{00000000-0005-0000-0000-0000DB800000}"/>
    <cellStyle name="Porcentaje 3 2 3 2 2 7 2" xfId="29913" xr:uid="{00000000-0005-0000-0000-0000DC800000}"/>
    <cellStyle name="Porcentaje 3 2 3 2 2 8" xfId="20056" xr:uid="{00000000-0005-0000-0000-0000DD800000}"/>
    <cellStyle name="Porcentaje 3 2 3 2 3" xfId="478" xr:uid="{00000000-0005-0000-0000-0000DE800000}"/>
    <cellStyle name="Porcentaje 3 2 3 2 3 2" xfId="1098" xr:uid="{00000000-0005-0000-0000-0000DF800000}"/>
    <cellStyle name="Porcentaje 3 2 3 2 3 2 2" xfId="2333" xr:uid="{00000000-0005-0000-0000-0000E0800000}"/>
    <cellStyle name="Porcentaje 3 2 3 2 3 2 2 2" xfId="4800" xr:uid="{00000000-0005-0000-0000-0000E1800000}"/>
    <cellStyle name="Porcentaje 3 2 3 2 3 2 2 2 2" xfId="9732" xr:uid="{00000000-0005-0000-0000-0000E2800000}"/>
    <cellStyle name="Porcentaje 3 2 3 2 3 2 2 2 2 2" xfId="19592" xr:uid="{00000000-0005-0000-0000-0000E3800000}"/>
    <cellStyle name="Porcentaje 3 2 3 2 3 2 2 2 2 2 2" xfId="39307" xr:uid="{00000000-0005-0000-0000-0000E4800000}"/>
    <cellStyle name="Porcentaje 3 2 3 2 3 2 2 2 2 3" xfId="29450" xr:uid="{00000000-0005-0000-0000-0000E5800000}"/>
    <cellStyle name="Porcentaje 3 2 3 2 3 2 2 2 3" xfId="14664" xr:uid="{00000000-0005-0000-0000-0000E6800000}"/>
    <cellStyle name="Porcentaje 3 2 3 2 3 2 2 2 3 2" xfId="34379" xr:uid="{00000000-0005-0000-0000-0000E7800000}"/>
    <cellStyle name="Porcentaje 3 2 3 2 3 2 2 2 4" xfId="24522" xr:uid="{00000000-0005-0000-0000-0000E8800000}"/>
    <cellStyle name="Porcentaje 3 2 3 2 3 2 2 3" xfId="7268" xr:uid="{00000000-0005-0000-0000-0000E9800000}"/>
    <cellStyle name="Porcentaje 3 2 3 2 3 2 2 3 2" xfId="17128" xr:uid="{00000000-0005-0000-0000-0000EA800000}"/>
    <cellStyle name="Porcentaje 3 2 3 2 3 2 2 3 2 2" xfId="36843" xr:uid="{00000000-0005-0000-0000-0000EB800000}"/>
    <cellStyle name="Porcentaje 3 2 3 2 3 2 2 3 3" xfId="26986" xr:uid="{00000000-0005-0000-0000-0000EC800000}"/>
    <cellStyle name="Porcentaje 3 2 3 2 3 2 2 4" xfId="12200" xr:uid="{00000000-0005-0000-0000-0000ED800000}"/>
    <cellStyle name="Porcentaje 3 2 3 2 3 2 2 4 2" xfId="31915" xr:uid="{00000000-0005-0000-0000-0000EE800000}"/>
    <cellStyle name="Porcentaje 3 2 3 2 3 2 2 5" xfId="22058" xr:uid="{00000000-0005-0000-0000-0000EF800000}"/>
    <cellStyle name="Porcentaje 3 2 3 2 3 2 3" xfId="3568" xr:uid="{00000000-0005-0000-0000-0000F0800000}"/>
    <cellStyle name="Porcentaje 3 2 3 2 3 2 3 2" xfId="8500" xr:uid="{00000000-0005-0000-0000-0000F1800000}"/>
    <cellStyle name="Porcentaje 3 2 3 2 3 2 3 2 2" xfId="18360" xr:uid="{00000000-0005-0000-0000-0000F2800000}"/>
    <cellStyle name="Porcentaje 3 2 3 2 3 2 3 2 2 2" xfId="38075" xr:uid="{00000000-0005-0000-0000-0000F3800000}"/>
    <cellStyle name="Porcentaje 3 2 3 2 3 2 3 2 3" xfId="28218" xr:uid="{00000000-0005-0000-0000-0000F4800000}"/>
    <cellStyle name="Porcentaje 3 2 3 2 3 2 3 3" xfId="13432" xr:uid="{00000000-0005-0000-0000-0000F5800000}"/>
    <cellStyle name="Porcentaje 3 2 3 2 3 2 3 3 2" xfId="33147" xr:uid="{00000000-0005-0000-0000-0000F6800000}"/>
    <cellStyle name="Porcentaje 3 2 3 2 3 2 3 4" xfId="23290" xr:uid="{00000000-0005-0000-0000-0000F7800000}"/>
    <cellStyle name="Porcentaje 3 2 3 2 3 2 4" xfId="6036" xr:uid="{00000000-0005-0000-0000-0000F8800000}"/>
    <cellStyle name="Porcentaje 3 2 3 2 3 2 4 2" xfId="15896" xr:uid="{00000000-0005-0000-0000-0000F9800000}"/>
    <cellStyle name="Porcentaje 3 2 3 2 3 2 4 2 2" xfId="35611" xr:uid="{00000000-0005-0000-0000-0000FA800000}"/>
    <cellStyle name="Porcentaje 3 2 3 2 3 2 4 3" xfId="25754" xr:uid="{00000000-0005-0000-0000-0000FB800000}"/>
    <cellStyle name="Porcentaje 3 2 3 2 3 2 5" xfId="10968" xr:uid="{00000000-0005-0000-0000-0000FC800000}"/>
    <cellStyle name="Porcentaje 3 2 3 2 3 2 5 2" xfId="30683" xr:uid="{00000000-0005-0000-0000-0000FD800000}"/>
    <cellStyle name="Porcentaje 3 2 3 2 3 2 6" xfId="20826" xr:uid="{00000000-0005-0000-0000-0000FE800000}"/>
    <cellStyle name="Porcentaje 3 2 3 2 3 3" xfId="1717" xr:uid="{00000000-0005-0000-0000-0000FF800000}"/>
    <cellStyle name="Porcentaje 3 2 3 2 3 3 2" xfId="4184" xr:uid="{00000000-0005-0000-0000-000000810000}"/>
    <cellStyle name="Porcentaje 3 2 3 2 3 3 2 2" xfId="9116" xr:uid="{00000000-0005-0000-0000-000001810000}"/>
    <cellStyle name="Porcentaje 3 2 3 2 3 3 2 2 2" xfId="18976" xr:uid="{00000000-0005-0000-0000-000002810000}"/>
    <cellStyle name="Porcentaje 3 2 3 2 3 3 2 2 2 2" xfId="38691" xr:uid="{00000000-0005-0000-0000-000003810000}"/>
    <cellStyle name="Porcentaje 3 2 3 2 3 3 2 2 3" xfId="28834" xr:uid="{00000000-0005-0000-0000-000004810000}"/>
    <cellStyle name="Porcentaje 3 2 3 2 3 3 2 3" xfId="14048" xr:uid="{00000000-0005-0000-0000-000005810000}"/>
    <cellStyle name="Porcentaje 3 2 3 2 3 3 2 3 2" xfId="33763" xr:uid="{00000000-0005-0000-0000-000006810000}"/>
    <cellStyle name="Porcentaje 3 2 3 2 3 3 2 4" xfId="23906" xr:uid="{00000000-0005-0000-0000-000007810000}"/>
    <cellStyle name="Porcentaje 3 2 3 2 3 3 3" xfId="6652" xr:uid="{00000000-0005-0000-0000-000008810000}"/>
    <cellStyle name="Porcentaje 3 2 3 2 3 3 3 2" xfId="16512" xr:uid="{00000000-0005-0000-0000-000009810000}"/>
    <cellStyle name="Porcentaje 3 2 3 2 3 3 3 2 2" xfId="36227" xr:uid="{00000000-0005-0000-0000-00000A810000}"/>
    <cellStyle name="Porcentaje 3 2 3 2 3 3 3 3" xfId="26370" xr:uid="{00000000-0005-0000-0000-00000B810000}"/>
    <cellStyle name="Porcentaje 3 2 3 2 3 3 4" xfId="11584" xr:uid="{00000000-0005-0000-0000-00000C810000}"/>
    <cellStyle name="Porcentaje 3 2 3 2 3 3 4 2" xfId="31299" xr:uid="{00000000-0005-0000-0000-00000D810000}"/>
    <cellStyle name="Porcentaje 3 2 3 2 3 3 5" xfId="21442" xr:uid="{00000000-0005-0000-0000-00000E810000}"/>
    <cellStyle name="Porcentaje 3 2 3 2 3 4" xfId="2952" xr:uid="{00000000-0005-0000-0000-00000F810000}"/>
    <cellStyle name="Porcentaje 3 2 3 2 3 4 2" xfId="7884" xr:uid="{00000000-0005-0000-0000-000010810000}"/>
    <cellStyle name="Porcentaje 3 2 3 2 3 4 2 2" xfId="17744" xr:uid="{00000000-0005-0000-0000-000011810000}"/>
    <cellStyle name="Porcentaje 3 2 3 2 3 4 2 2 2" xfId="37459" xr:uid="{00000000-0005-0000-0000-000012810000}"/>
    <cellStyle name="Porcentaje 3 2 3 2 3 4 2 3" xfId="27602" xr:uid="{00000000-0005-0000-0000-000013810000}"/>
    <cellStyle name="Porcentaje 3 2 3 2 3 4 3" xfId="12816" xr:uid="{00000000-0005-0000-0000-000014810000}"/>
    <cellStyle name="Porcentaje 3 2 3 2 3 4 3 2" xfId="32531" xr:uid="{00000000-0005-0000-0000-000015810000}"/>
    <cellStyle name="Porcentaje 3 2 3 2 3 4 4" xfId="22674" xr:uid="{00000000-0005-0000-0000-000016810000}"/>
    <cellStyle name="Porcentaje 3 2 3 2 3 5" xfId="5420" xr:uid="{00000000-0005-0000-0000-000017810000}"/>
    <cellStyle name="Porcentaje 3 2 3 2 3 5 2" xfId="15280" xr:uid="{00000000-0005-0000-0000-000018810000}"/>
    <cellStyle name="Porcentaje 3 2 3 2 3 5 2 2" xfId="34995" xr:uid="{00000000-0005-0000-0000-000019810000}"/>
    <cellStyle name="Porcentaje 3 2 3 2 3 5 3" xfId="25138" xr:uid="{00000000-0005-0000-0000-00001A810000}"/>
    <cellStyle name="Porcentaje 3 2 3 2 3 6" xfId="10352" xr:uid="{00000000-0005-0000-0000-00001B810000}"/>
    <cellStyle name="Porcentaje 3 2 3 2 3 6 2" xfId="30067" xr:uid="{00000000-0005-0000-0000-00001C810000}"/>
    <cellStyle name="Porcentaje 3 2 3 2 3 7" xfId="20210" xr:uid="{00000000-0005-0000-0000-00001D810000}"/>
    <cellStyle name="Porcentaje 3 2 3 2 4" xfId="791" xr:uid="{00000000-0005-0000-0000-00001E810000}"/>
    <cellStyle name="Porcentaje 3 2 3 2 4 2" xfId="2027" xr:uid="{00000000-0005-0000-0000-00001F810000}"/>
    <cellStyle name="Porcentaje 3 2 3 2 4 2 2" xfId="4494" xr:uid="{00000000-0005-0000-0000-000020810000}"/>
    <cellStyle name="Porcentaje 3 2 3 2 4 2 2 2" xfId="9426" xr:uid="{00000000-0005-0000-0000-000021810000}"/>
    <cellStyle name="Porcentaje 3 2 3 2 4 2 2 2 2" xfId="19286" xr:uid="{00000000-0005-0000-0000-000022810000}"/>
    <cellStyle name="Porcentaje 3 2 3 2 4 2 2 2 2 2" xfId="39001" xr:uid="{00000000-0005-0000-0000-000023810000}"/>
    <cellStyle name="Porcentaje 3 2 3 2 4 2 2 2 3" xfId="29144" xr:uid="{00000000-0005-0000-0000-000024810000}"/>
    <cellStyle name="Porcentaje 3 2 3 2 4 2 2 3" xfId="14358" xr:uid="{00000000-0005-0000-0000-000025810000}"/>
    <cellStyle name="Porcentaje 3 2 3 2 4 2 2 3 2" xfId="34073" xr:uid="{00000000-0005-0000-0000-000026810000}"/>
    <cellStyle name="Porcentaje 3 2 3 2 4 2 2 4" xfId="24216" xr:uid="{00000000-0005-0000-0000-000027810000}"/>
    <cellStyle name="Porcentaje 3 2 3 2 4 2 3" xfId="6962" xr:uid="{00000000-0005-0000-0000-000028810000}"/>
    <cellStyle name="Porcentaje 3 2 3 2 4 2 3 2" xfId="16822" xr:uid="{00000000-0005-0000-0000-000029810000}"/>
    <cellStyle name="Porcentaje 3 2 3 2 4 2 3 2 2" xfId="36537" xr:uid="{00000000-0005-0000-0000-00002A810000}"/>
    <cellStyle name="Porcentaje 3 2 3 2 4 2 3 3" xfId="26680" xr:uid="{00000000-0005-0000-0000-00002B810000}"/>
    <cellStyle name="Porcentaje 3 2 3 2 4 2 4" xfId="11894" xr:uid="{00000000-0005-0000-0000-00002C810000}"/>
    <cellStyle name="Porcentaje 3 2 3 2 4 2 4 2" xfId="31609" xr:uid="{00000000-0005-0000-0000-00002D810000}"/>
    <cellStyle name="Porcentaje 3 2 3 2 4 2 5" xfId="21752" xr:uid="{00000000-0005-0000-0000-00002E810000}"/>
    <cellStyle name="Porcentaje 3 2 3 2 4 3" xfId="3262" xr:uid="{00000000-0005-0000-0000-00002F810000}"/>
    <cellStyle name="Porcentaje 3 2 3 2 4 3 2" xfId="8194" xr:uid="{00000000-0005-0000-0000-000030810000}"/>
    <cellStyle name="Porcentaje 3 2 3 2 4 3 2 2" xfId="18054" xr:uid="{00000000-0005-0000-0000-000031810000}"/>
    <cellStyle name="Porcentaje 3 2 3 2 4 3 2 2 2" xfId="37769" xr:uid="{00000000-0005-0000-0000-000032810000}"/>
    <cellStyle name="Porcentaje 3 2 3 2 4 3 2 3" xfId="27912" xr:uid="{00000000-0005-0000-0000-000033810000}"/>
    <cellStyle name="Porcentaje 3 2 3 2 4 3 3" xfId="13126" xr:uid="{00000000-0005-0000-0000-000034810000}"/>
    <cellStyle name="Porcentaje 3 2 3 2 4 3 3 2" xfId="32841" xr:uid="{00000000-0005-0000-0000-000035810000}"/>
    <cellStyle name="Porcentaje 3 2 3 2 4 3 4" xfId="22984" xr:uid="{00000000-0005-0000-0000-000036810000}"/>
    <cellStyle name="Porcentaje 3 2 3 2 4 4" xfId="5730" xr:uid="{00000000-0005-0000-0000-000037810000}"/>
    <cellStyle name="Porcentaje 3 2 3 2 4 4 2" xfId="15590" xr:uid="{00000000-0005-0000-0000-000038810000}"/>
    <cellStyle name="Porcentaje 3 2 3 2 4 4 2 2" xfId="35305" xr:uid="{00000000-0005-0000-0000-000039810000}"/>
    <cellStyle name="Porcentaje 3 2 3 2 4 4 3" xfId="25448" xr:uid="{00000000-0005-0000-0000-00003A810000}"/>
    <cellStyle name="Porcentaje 3 2 3 2 4 5" xfId="10662" xr:uid="{00000000-0005-0000-0000-00003B810000}"/>
    <cellStyle name="Porcentaje 3 2 3 2 4 5 2" xfId="30377" xr:uid="{00000000-0005-0000-0000-00003C810000}"/>
    <cellStyle name="Porcentaje 3 2 3 2 4 6" xfId="20520" xr:uid="{00000000-0005-0000-0000-00003D810000}"/>
    <cellStyle name="Porcentaje 3 2 3 2 5" xfId="1411" xr:uid="{00000000-0005-0000-0000-00003E810000}"/>
    <cellStyle name="Porcentaje 3 2 3 2 5 2" xfId="3878" xr:uid="{00000000-0005-0000-0000-00003F810000}"/>
    <cellStyle name="Porcentaje 3 2 3 2 5 2 2" xfId="8810" xr:uid="{00000000-0005-0000-0000-000040810000}"/>
    <cellStyle name="Porcentaje 3 2 3 2 5 2 2 2" xfId="18670" xr:uid="{00000000-0005-0000-0000-000041810000}"/>
    <cellStyle name="Porcentaje 3 2 3 2 5 2 2 2 2" xfId="38385" xr:uid="{00000000-0005-0000-0000-000042810000}"/>
    <cellStyle name="Porcentaje 3 2 3 2 5 2 2 3" xfId="28528" xr:uid="{00000000-0005-0000-0000-000043810000}"/>
    <cellStyle name="Porcentaje 3 2 3 2 5 2 3" xfId="13742" xr:uid="{00000000-0005-0000-0000-000044810000}"/>
    <cellStyle name="Porcentaje 3 2 3 2 5 2 3 2" xfId="33457" xr:uid="{00000000-0005-0000-0000-000045810000}"/>
    <cellStyle name="Porcentaje 3 2 3 2 5 2 4" xfId="23600" xr:uid="{00000000-0005-0000-0000-000046810000}"/>
    <cellStyle name="Porcentaje 3 2 3 2 5 3" xfId="6346" xr:uid="{00000000-0005-0000-0000-000047810000}"/>
    <cellStyle name="Porcentaje 3 2 3 2 5 3 2" xfId="16206" xr:uid="{00000000-0005-0000-0000-000048810000}"/>
    <cellStyle name="Porcentaje 3 2 3 2 5 3 2 2" xfId="35921" xr:uid="{00000000-0005-0000-0000-000049810000}"/>
    <cellStyle name="Porcentaje 3 2 3 2 5 3 3" xfId="26064" xr:uid="{00000000-0005-0000-0000-00004A810000}"/>
    <cellStyle name="Porcentaje 3 2 3 2 5 4" xfId="11278" xr:uid="{00000000-0005-0000-0000-00004B810000}"/>
    <cellStyle name="Porcentaje 3 2 3 2 5 4 2" xfId="30993" xr:uid="{00000000-0005-0000-0000-00004C810000}"/>
    <cellStyle name="Porcentaje 3 2 3 2 5 5" xfId="21136" xr:uid="{00000000-0005-0000-0000-00004D810000}"/>
    <cellStyle name="Porcentaje 3 2 3 2 6" xfId="2646" xr:uid="{00000000-0005-0000-0000-00004E810000}"/>
    <cellStyle name="Porcentaje 3 2 3 2 6 2" xfId="7578" xr:uid="{00000000-0005-0000-0000-00004F810000}"/>
    <cellStyle name="Porcentaje 3 2 3 2 6 2 2" xfId="17438" xr:uid="{00000000-0005-0000-0000-000050810000}"/>
    <cellStyle name="Porcentaje 3 2 3 2 6 2 2 2" xfId="37153" xr:uid="{00000000-0005-0000-0000-000051810000}"/>
    <cellStyle name="Porcentaje 3 2 3 2 6 2 3" xfId="27296" xr:uid="{00000000-0005-0000-0000-000052810000}"/>
    <cellStyle name="Porcentaje 3 2 3 2 6 3" xfId="12510" xr:uid="{00000000-0005-0000-0000-000053810000}"/>
    <cellStyle name="Porcentaje 3 2 3 2 6 3 2" xfId="32225" xr:uid="{00000000-0005-0000-0000-000054810000}"/>
    <cellStyle name="Porcentaje 3 2 3 2 6 4" xfId="22368" xr:uid="{00000000-0005-0000-0000-000055810000}"/>
    <cellStyle name="Porcentaje 3 2 3 2 7" xfId="5114" xr:uid="{00000000-0005-0000-0000-000056810000}"/>
    <cellStyle name="Porcentaje 3 2 3 2 7 2" xfId="14974" xr:uid="{00000000-0005-0000-0000-000057810000}"/>
    <cellStyle name="Porcentaje 3 2 3 2 7 2 2" xfId="34689" xr:uid="{00000000-0005-0000-0000-000058810000}"/>
    <cellStyle name="Porcentaje 3 2 3 2 7 3" xfId="24832" xr:uid="{00000000-0005-0000-0000-000059810000}"/>
    <cellStyle name="Porcentaje 3 2 3 2 8" xfId="10046" xr:uid="{00000000-0005-0000-0000-00005A810000}"/>
    <cellStyle name="Porcentaje 3 2 3 2 8 2" xfId="29761" xr:uid="{00000000-0005-0000-0000-00005B810000}"/>
    <cellStyle name="Porcentaje 3 2 3 2 9" xfId="19904" xr:uid="{00000000-0005-0000-0000-00005C810000}"/>
    <cellStyle name="Porcentaje 3 2 3 3" xfId="240" xr:uid="{00000000-0005-0000-0000-00005D810000}"/>
    <cellStyle name="Porcentaje 3 2 3 3 2" xfId="554" xr:uid="{00000000-0005-0000-0000-00005E810000}"/>
    <cellStyle name="Porcentaje 3 2 3 3 2 2" xfId="1174" xr:uid="{00000000-0005-0000-0000-00005F810000}"/>
    <cellStyle name="Porcentaje 3 2 3 3 2 2 2" xfId="2409" xr:uid="{00000000-0005-0000-0000-000060810000}"/>
    <cellStyle name="Porcentaje 3 2 3 3 2 2 2 2" xfId="4876" xr:uid="{00000000-0005-0000-0000-000061810000}"/>
    <cellStyle name="Porcentaje 3 2 3 3 2 2 2 2 2" xfId="9808" xr:uid="{00000000-0005-0000-0000-000062810000}"/>
    <cellStyle name="Porcentaje 3 2 3 3 2 2 2 2 2 2" xfId="19668" xr:uid="{00000000-0005-0000-0000-000063810000}"/>
    <cellStyle name="Porcentaje 3 2 3 3 2 2 2 2 2 2 2" xfId="39383" xr:uid="{00000000-0005-0000-0000-000064810000}"/>
    <cellStyle name="Porcentaje 3 2 3 3 2 2 2 2 2 3" xfId="29526" xr:uid="{00000000-0005-0000-0000-000065810000}"/>
    <cellStyle name="Porcentaje 3 2 3 3 2 2 2 2 3" xfId="14740" xr:uid="{00000000-0005-0000-0000-000066810000}"/>
    <cellStyle name="Porcentaje 3 2 3 3 2 2 2 2 3 2" xfId="34455" xr:uid="{00000000-0005-0000-0000-000067810000}"/>
    <cellStyle name="Porcentaje 3 2 3 3 2 2 2 2 4" xfId="24598" xr:uid="{00000000-0005-0000-0000-000068810000}"/>
    <cellStyle name="Porcentaje 3 2 3 3 2 2 2 3" xfId="7344" xr:uid="{00000000-0005-0000-0000-000069810000}"/>
    <cellStyle name="Porcentaje 3 2 3 3 2 2 2 3 2" xfId="17204" xr:uid="{00000000-0005-0000-0000-00006A810000}"/>
    <cellStyle name="Porcentaje 3 2 3 3 2 2 2 3 2 2" xfId="36919" xr:uid="{00000000-0005-0000-0000-00006B810000}"/>
    <cellStyle name="Porcentaje 3 2 3 3 2 2 2 3 3" xfId="27062" xr:uid="{00000000-0005-0000-0000-00006C810000}"/>
    <cellStyle name="Porcentaje 3 2 3 3 2 2 2 4" xfId="12276" xr:uid="{00000000-0005-0000-0000-00006D810000}"/>
    <cellStyle name="Porcentaje 3 2 3 3 2 2 2 4 2" xfId="31991" xr:uid="{00000000-0005-0000-0000-00006E810000}"/>
    <cellStyle name="Porcentaje 3 2 3 3 2 2 2 5" xfId="22134" xr:uid="{00000000-0005-0000-0000-00006F810000}"/>
    <cellStyle name="Porcentaje 3 2 3 3 2 2 3" xfId="3644" xr:uid="{00000000-0005-0000-0000-000070810000}"/>
    <cellStyle name="Porcentaje 3 2 3 3 2 2 3 2" xfId="8576" xr:uid="{00000000-0005-0000-0000-000071810000}"/>
    <cellStyle name="Porcentaje 3 2 3 3 2 2 3 2 2" xfId="18436" xr:uid="{00000000-0005-0000-0000-000072810000}"/>
    <cellStyle name="Porcentaje 3 2 3 3 2 2 3 2 2 2" xfId="38151" xr:uid="{00000000-0005-0000-0000-000073810000}"/>
    <cellStyle name="Porcentaje 3 2 3 3 2 2 3 2 3" xfId="28294" xr:uid="{00000000-0005-0000-0000-000074810000}"/>
    <cellStyle name="Porcentaje 3 2 3 3 2 2 3 3" xfId="13508" xr:uid="{00000000-0005-0000-0000-000075810000}"/>
    <cellStyle name="Porcentaje 3 2 3 3 2 2 3 3 2" xfId="33223" xr:uid="{00000000-0005-0000-0000-000076810000}"/>
    <cellStyle name="Porcentaje 3 2 3 3 2 2 3 4" xfId="23366" xr:uid="{00000000-0005-0000-0000-000077810000}"/>
    <cellStyle name="Porcentaje 3 2 3 3 2 2 4" xfId="6112" xr:uid="{00000000-0005-0000-0000-000078810000}"/>
    <cellStyle name="Porcentaje 3 2 3 3 2 2 4 2" xfId="15972" xr:uid="{00000000-0005-0000-0000-000079810000}"/>
    <cellStyle name="Porcentaje 3 2 3 3 2 2 4 2 2" xfId="35687" xr:uid="{00000000-0005-0000-0000-00007A810000}"/>
    <cellStyle name="Porcentaje 3 2 3 3 2 2 4 3" xfId="25830" xr:uid="{00000000-0005-0000-0000-00007B810000}"/>
    <cellStyle name="Porcentaje 3 2 3 3 2 2 5" xfId="11044" xr:uid="{00000000-0005-0000-0000-00007C810000}"/>
    <cellStyle name="Porcentaje 3 2 3 3 2 2 5 2" xfId="30759" xr:uid="{00000000-0005-0000-0000-00007D810000}"/>
    <cellStyle name="Porcentaje 3 2 3 3 2 2 6" xfId="20902" xr:uid="{00000000-0005-0000-0000-00007E810000}"/>
    <cellStyle name="Porcentaje 3 2 3 3 2 3" xfId="1793" xr:uid="{00000000-0005-0000-0000-00007F810000}"/>
    <cellStyle name="Porcentaje 3 2 3 3 2 3 2" xfId="4260" xr:uid="{00000000-0005-0000-0000-000080810000}"/>
    <cellStyle name="Porcentaje 3 2 3 3 2 3 2 2" xfId="9192" xr:uid="{00000000-0005-0000-0000-000081810000}"/>
    <cellStyle name="Porcentaje 3 2 3 3 2 3 2 2 2" xfId="19052" xr:uid="{00000000-0005-0000-0000-000082810000}"/>
    <cellStyle name="Porcentaje 3 2 3 3 2 3 2 2 2 2" xfId="38767" xr:uid="{00000000-0005-0000-0000-000083810000}"/>
    <cellStyle name="Porcentaje 3 2 3 3 2 3 2 2 3" xfId="28910" xr:uid="{00000000-0005-0000-0000-000084810000}"/>
    <cellStyle name="Porcentaje 3 2 3 3 2 3 2 3" xfId="14124" xr:uid="{00000000-0005-0000-0000-000085810000}"/>
    <cellStyle name="Porcentaje 3 2 3 3 2 3 2 3 2" xfId="33839" xr:uid="{00000000-0005-0000-0000-000086810000}"/>
    <cellStyle name="Porcentaje 3 2 3 3 2 3 2 4" xfId="23982" xr:uid="{00000000-0005-0000-0000-000087810000}"/>
    <cellStyle name="Porcentaje 3 2 3 3 2 3 3" xfId="6728" xr:uid="{00000000-0005-0000-0000-000088810000}"/>
    <cellStyle name="Porcentaje 3 2 3 3 2 3 3 2" xfId="16588" xr:uid="{00000000-0005-0000-0000-000089810000}"/>
    <cellStyle name="Porcentaje 3 2 3 3 2 3 3 2 2" xfId="36303" xr:uid="{00000000-0005-0000-0000-00008A810000}"/>
    <cellStyle name="Porcentaje 3 2 3 3 2 3 3 3" xfId="26446" xr:uid="{00000000-0005-0000-0000-00008B810000}"/>
    <cellStyle name="Porcentaje 3 2 3 3 2 3 4" xfId="11660" xr:uid="{00000000-0005-0000-0000-00008C810000}"/>
    <cellStyle name="Porcentaje 3 2 3 3 2 3 4 2" xfId="31375" xr:uid="{00000000-0005-0000-0000-00008D810000}"/>
    <cellStyle name="Porcentaje 3 2 3 3 2 3 5" xfId="21518" xr:uid="{00000000-0005-0000-0000-00008E810000}"/>
    <cellStyle name="Porcentaje 3 2 3 3 2 4" xfId="3028" xr:uid="{00000000-0005-0000-0000-00008F810000}"/>
    <cellStyle name="Porcentaje 3 2 3 3 2 4 2" xfId="7960" xr:uid="{00000000-0005-0000-0000-000090810000}"/>
    <cellStyle name="Porcentaje 3 2 3 3 2 4 2 2" xfId="17820" xr:uid="{00000000-0005-0000-0000-000091810000}"/>
    <cellStyle name="Porcentaje 3 2 3 3 2 4 2 2 2" xfId="37535" xr:uid="{00000000-0005-0000-0000-000092810000}"/>
    <cellStyle name="Porcentaje 3 2 3 3 2 4 2 3" xfId="27678" xr:uid="{00000000-0005-0000-0000-000093810000}"/>
    <cellStyle name="Porcentaje 3 2 3 3 2 4 3" xfId="12892" xr:uid="{00000000-0005-0000-0000-000094810000}"/>
    <cellStyle name="Porcentaje 3 2 3 3 2 4 3 2" xfId="32607" xr:uid="{00000000-0005-0000-0000-000095810000}"/>
    <cellStyle name="Porcentaje 3 2 3 3 2 4 4" xfId="22750" xr:uid="{00000000-0005-0000-0000-000096810000}"/>
    <cellStyle name="Porcentaje 3 2 3 3 2 5" xfId="5496" xr:uid="{00000000-0005-0000-0000-000097810000}"/>
    <cellStyle name="Porcentaje 3 2 3 3 2 5 2" xfId="15356" xr:uid="{00000000-0005-0000-0000-000098810000}"/>
    <cellStyle name="Porcentaje 3 2 3 3 2 5 2 2" xfId="35071" xr:uid="{00000000-0005-0000-0000-000099810000}"/>
    <cellStyle name="Porcentaje 3 2 3 3 2 5 3" xfId="25214" xr:uid="{00000000-0005-0000-0000-00009A810000}"/>
    <cellStyle name="Porcentaje 3 2 3 3 2 6" xfId="10428" xr:uid="{00000000-0005-0000-0000-00009B810000}"/>
    <cellStyle name="Porcentaje 3 2 3 3 2 6 2" xfId="30143" xr:uid="{00000000-0005-0000-0000-00009C810000}"/>
    <cellStyle name="Porcentaje 3 2 3 3 2 7" xfId="20286" xr:uid="{00000000-0005-0000-0000-00009D810000}"/>
    <cellStyle name="Porcentaje 3 2 3 3 3" xfId="867" xr:uid="{00000000-0005-0000-0000-00009E810000}"/>
    <cellStyle name="Porcentaje 3 2 3 3 3 2" xfId="2103" xr:uid="{00000000-0005-0000-0000-00009F810000}"/>
    <cellStyle name="Porcentaje 3 2 3 3 3 2 2" xfId="4570" xr:uid="{00000000-0005-0000-0000-0000A0810000}"/>
    <cellStyle name="Porcentaje 3 2 3 3 3 2 2 2" xfId="9502" xr:uid="{00000000-0005-0000-0000-0000A1810000}"/>
    <cellStyle name="Porcentaje 3 2 3 3 3 2 2 2 2" xfId="19362" xr:uid="{00000000-0005-0000-0000-0000A2810000}"/>
    <cellStyle name="Porcentaje 3 2 3 3 3 2 2 2 2 2" xfId="39077" xr:uid="{00000000-0005-0000-0000-0000A3810000}"/>
    <cellStyle name="Porcentaje 3 2 3 3 3 2 2 2 3" xfId="29220" xr:uid="{00000000-0005-0000-0000-0000A4810000}"/>
    <cellStyle name="Porcentaje 3 2 3 3 3 2 2 3" xfId="14434" xr:uid="{00000000-0005-0000-0000-0000A5810000}"/>
    <cellStyle name="Porcentaje 3 2 3 3 3 2 2 3 2" xfId="34149" xr:uid="{00000000-0005-0000-0000-0000A6810000}"/>
    <cellStyle name="Porcentaje 3 2 3 3 3 2 2 4" xfId="24292" xr:uid="{00000000-0005-0000-0000-0000A7810000}"/>
    <cellStyle name="Porcentaje 3 2 3 3 3 2 3" xfId="7038" xr:uid="{00000000-0005-0000-0000-0000A8810000}"/>
    <cellStyle name="Porcentaje 3 2 3 3 3 2 3 2" xfId="16898" xr:uid="{00000000-0005-0000-0000-0000A9810000}"/>
    <cellStyle name="Porcentaje 3 2 3 3 3 2 3 2 2" xfId="36613" xr:uid="{00000000-0005-0000-0000-0000AA810000}"/>
    <cellStyle name="Porcentaje 3 2 3 3 3 2 3 3" xfId="26756" xr:uid="{00000000-0005-0000-0000-0000AB810000}"/>
    <cellStyle name="Porcentaje 3 2 3 3 3 2 4" xfId="11970" xr:uid="{00000000-0005-0000-0000-0000AC810000}"/>
    <cellStyle name="Porcentaje 3 2 3 3 3 2 4 2" xfId="31685" xr:uid="{00000000-0005-0000-0000-0000AD810000}"/>
    <cellStyle name="Porcentaje 3 2 3 3 3 2 5" xfId="21828" xr:uid="{00000000-0005-0000-0000-0000AE810000}"/>
    <cellStyle name="Porcentaje 3 2 3 3 3 3" xfId="3338" xr:uid="{00000000-0005-0000-0000-0000AF810000}"/>
    <cellStyle name="Porcentaje 3 2 3 3 3 3 2" xfId="8270" xr:uid="{00000000-0005-0000-0000-0000B0810000}"/>
    <cellStyle name="Porcentaje 3 2 3 3 3 3 2 2" xfId="18130" xr:uid="{00000000-0005-0000-0000-0000B1810000}"/>
    <cellStyle name="Porcentaje 3 2 3 3 3 3 2 2 2" xfId="37845" xr:uid="{00000000-0005-0000-0000-0000B2810000}"/>
    <cellStyle name="Porcentaje 3 2 3 3 3 3 2 3" xfId="27988" xr:uid="{00000000-0005-0000-0000-0000B3810000}"/>
    <cellStyle name="Porcentaje 3 2 3 3 3 3 3" xfId="13202" xr:uid="{00000000-0005-0000-0000-0000B4810000}"/>
    <cellStyle name="Porcentaje 3 2 3 3 3 3 3 2" xfId="32917" xr:uid="{00000000-0005-0000-0000-0000B5810000}"/>
    <cellStyle name="Porcentaje 3 2 3 3 3 3 4" xfId="23060" xr:uid="{00000000-0005-0000-0000-0000B6810000}"/>
    <cellStyle name="Porcentaje 3 2 3 3 3 4" xfId="5806" xr:uid="{00000000-0005-0000-0000-0000B7810000}"/>
    <cellStyle name="Porcentaje 3 2 3 3 3 4 2" xfId="15666" xr:uid="{00000000-0005-0000-0000-0000B8810000}"/>
    <cellStyle name="Porcentaje 3 2 3 3 3 4 2 2" xfId="35381" xr:uid="{00000000-0005-0000-0000-0000B9810000}"/>
    <cellStyle name="Porcentaje 3 2 3 3 3 4 3" xfId="25524" xr:uid="{00000000-0005-0000-0000-0000BA810000}"/>
    <cellStyle name="Porcentaje 3 2 3 3 3 5" xfId="10738" xr:uid="{00000000-0005-0000-0000-0000BB810000}"/>
    <cellStyle name="Porcentaje 3 2 3 3 3 5 2" xfId="30453" xr:uid="{00000000-0005-0000-0000-0000BC810000}"/>
    <cellStyle name="Porcentaje 3 2 3 3 3 6" xfId="20596" xr:uid="{00000000-0005-0000-0000-0000BD810000}"/>
    <cellStyle name="Porcentaje 3 2 3 3 4" xfId="1487" xr:uid="{00000000-0005-0000-0000-0000BE810000}"/>
    <cellStyle name="Porcentaje 3 2 3 3 4 2" xfId="3954" xr:uid="{00000000-0005-0000-0000-0000BF810000}"/>
    <cellStyle name="Porcentaje 3 2 3 3 4 2 2" xfId="8886" xr:uid="{00000000-0005-0000-0000-0000C0810000}"/>
    <cellStyle name="Porcentaje 3 2 3 3 4 2 2 2" xfId="18746" xr:uid="{00000000-0005-0000-0000-0000C1810000}"/>
    <cellStyle name="Porcentaje 3 2 3 3 4 2 2 2 2" xfId="38461" xr:uid="{00000000-0005-0000-0000-0000C2810000}"/>
    <cellStyle name="Porcentaje 3 2 3 3 4 2 2 3" xfId="28604" xr:uid="{00000000-0005-0000-0000-0000C3810000}"/>
    <cellStyle name="Porcentaje 3 2 3 3 4 2 3" xfId="13818" xr:uid="{00000000-0005-0000-0000-0000C4810000}"/>
    <cellStyle name="Porcentaje 3 2 3 3 4 2 3 2" xfId="33533" xr:uid="{00000000-0005-0000-0000-0000C5810000}"/>
    <cellStyle name="Porcentaje 3 2 3 3 4 2 4" xfId="23676" xr:uid="{00000000-0005-0000-0000-0000C6810000}"/>
    <cellStyle name="Porcentaje 3 2 3 3 4 3" xfId="6422" xr:uid="{00000000-0005-0000-0000-0000C7810000}"/>
    <cellStyle name="Porcentaje 3 2 3 3 4 3 2" xfId="16282" xr:uid="{00000000-0005-0000-0000-0000C8810000}"/>
    <cellStyle name="Porcentaje 3 2 3 3 4 3 2 2" xfId="35997" xr:uid="{00000000-0005-0000-0000-0000C9810000}"/>
    <cellStyle name="Porcentaje 3 2 3 3 4 3 3" xfId="26140" xr:uid="{00000000-0005-0000-0000-0000CA810000}"/>
    <cellStyle name="Porcentaje 3 2 3 3 4 4" xfId="11354" xr:uid="{00000000-0005-0000-0000-0000CB810000}"/>
    <cellStyle name="Porcentaje 3 2 3 3 4 4 2" xfId="31069" xr:uid="{00000000-0005-0000-0000-0000CC810000}"/>
    <cellStyle name="Porcentaje 3 2 3 3 4 5" xfId="21212" xr:uid="{00000000-0005-0000-0000-0000CD810000}"/>
    <cellStyle name="Porcentaje 3 2 3 3 5" xfId="2722" xr:uid="{00000000-0005-0000-0000-0000CE810000}"/>
    <cellStyle name="Porcentaje 3 2 3 3 5 2" xfId="7654" xr:uid="{00000000-0005-0000-0000-0000CF810000}"/>
    <cellStyle name="Porcentaje 3 2 3 3 5 2 2" xfId="17514" xr:uid="{00000000-0005-0000-0000-0000D0810000}"/>
    <cellStyle name="Porcentaje 3 2 3 3 5 2 2 2" xfId="37229" xr:uid="{00000000-0005-0000-0000-0000D1810000}"/>
    <cellStyle name="Porcentaje 3 2 3 3 5 2 3" xfId="27372" xr:uid="{00000000-0005-0000-0000-0000D2810000}"/>
    <cellStyle name="Porcentaje 3 2 3 3 5 3" xfId="12586" xr:uid="{00000000-0005-0000-0000-0000D3810000}"/>
    <cellStyle name="Porcentaje 3 2 3 3 5 3 2" xfId="32301" xr:uid="{00000000-0005-0000-0000-0000D4810000}"/>
    <cellStyle name="Porcentaje 3 2 3 3 5 4" xfId="22444" xr:uid="{00000000-0005-0000-0000-0000D5810000}"/>
    <cellStyle name="Porcentaje 3 2 3 3 6" xfId="5190" xr:uid="{00000000-0005-0000-0000-0000D6810000}"/>
    <cellStyle name="Porcentaje 3 2 3 3 6 2" xfId="15050" xr:uid="{00000000-0005-0000-0000-0000D7810000}"/>
    <cellStyle name="Porcentaje 3 2 3 3 6 2 2" xfId="34765" xr:uid="{00000000-0005-0000-0000-0000D8810000}"/>
    <cellStyle name="Porcentaje 3 2 3 3 6 3" xfId="24908" xr:uid="{00000000-0005-0000-0000-0000D9810000}"/>
    <cellStyle name="Porcentaje 3 2 3 3 7" xfId="10122" xr:uid="{00000000-0005-0000-0000-0000DA810000}"/>
    <cellStyle name="Porcentaje 3 2 3 3 7 2" xfId="29837" xr:uid="{00000000-0005-0000-0000-0000DB810000}"/>
    <cellStyle name="Porcentaje 3 2 3 3 8" xfId="19980" xr:uid="{00000000-0005-0000-0000-0000DC810000}"/>
    <cellStyle name="Porcentaje 3 2 3 4" xfId="402" xr:uid="{00000000-0005-0000-0000-0000DD810000}"/>
    <cellStyle name="Porcentaje 3 2 3 4 2" xfId="1022" xr:uid="{00000000-0005-0000-0000-0000DE810000}"/>
    <cellStyle name="Porcentaje 3 2 3 4 2 2" xfId="2257" xr:uid="{00000000-0005-0000-0000-0000DF810000}"/>
    <cellStyle name="Porcentaje 3 2 3 4 2 2 2" xfId="4724" xr:uid="{00000000-0005-0000-0000-0000E0810000}"/>
    <cellStyle name="Porcentaje 3 2 3 4 2 2 2 2" xfId="9656" xr:uid="{00000000-0005-0000-0000-0000E1810000}"/>
    <cellStyle name="Porcentaje 3 2 3 4 2 2 2 2 2" xfId="19516" xr:uid="{00000000-0005-0000-0000-0000E2810000}"/>
    <cellStyle name="Porcentaje 3 2 3 4 2 2 2 2 2 2" xfId="39231" xr:uid="{00000000-0005-0000-0000-0000E3810000}"/>
    <cellStyle name="Porcentaje 3 2 3 4 2 2 2 2 3" xfId="29374" xr:uid="{00000000-0005-0000-0000-0000E4810000}"/>
    <cellStyle name="Porcentaje 3 2 3 4 2 2 2 3" xfId="14588" xr:uid="{00000000-0005-0000-0000-0000E5810000}"/>
    <cellStyle name="Porcentaje 3 2 3 4 2 2 2 3 2" xfId="34303" xr:uid="{00000000-0005-0000-0000-0000E6810000}"/>
    <cellStyle name="Porcentaje 3 2 3 4 2 2 2 4" xfId="24446" xr:uid="{00000000-0005-0000-0000-0000E7810000}"/>
    <cellStyle name="Porcentaje 3 2 3 4 2 2 3" xfId="7192" xr:uid="{00000000-0005-0000-0000-0000E8810000}"/>
    <cellStyle name="Porcentaje 3 2 3 4 2 2 3 2" xfId="17052" xr:uid="{00000000-0005-0000-0000-0000E9810000}"/>
    <cellStyle name="Porcentaje 3 2 3 4 2 2 3 2 2" xfId="36767" xr:uid="{00000000-0005-0000-0000-0000EA810000}"/>
    <cellStyle name="Porcentaje 3 2 3 4 2 2 3 3" xfId="26910" xr:uid="{00000000-0005-0000-0000-0000EB810000}"/>
    <cellStyle name="Porcentaje 3 2 3 4 2 2 4" xfId="12124" xr:uid="{00000000-0005-0000-0000-0000EC810000}"/>
    <cellStyle name="Porcentaje 3 2 3 4 2 2 4 2" xfId="31839" xr:uid="{00000000-0005-0000-0000-0000ED810000}"/>
    <cellStyle name="Porcentaje 3 2 3 4 2 2 5" xfId="21982" xr:uid="{00000000-0005-0000-0000-0000EE810000}"/>
    <cellStyle name="Porcentaje 3 2 3 4 2 3" xfId="3492" xr:uid="{00000000-0005-0000-0000-0000EF810000}"/>
    <cellStyle name="Porcentaje 3 2 3 4 2 3 2" xfId="8424" xr:uid="{00000000-0005-0000-0000-0000F0810000}"/>
    <cellStyle name="Porcentaje 3 2 3 4 2 3 2 2" xfId="18284" xr:uid="{00000000-0005-0000-0000-0000F1810000}"/>
    <cellStyle name="Porcentaje 3 2 3 4 2 3 2 2 2" xfId="37999" xr:uid="{00000000-0005-0000-0000-0000F2810000}"/>
    <cellStyle name="Porcentaje 3 2 3 4 2 3 2 3" xfId="28142" xr:uid="{00000000-0005-0000-0000-0000F3810000}"/>
    <cellStyle name="Porcentaje 3 2 3 4 2 3 3" xfId="13356" xr:uid="{00000000-0005-0000-0000-0000F4810000}"/>
    <cellStyle name="Porcentaje 3 2 3 4 2 3 3 2" xfId="33071" xr:uid="{00000000-0005-0000-0000-0000F5810000}"/>
    <cellStyle name="Porcentaje 3 2 3 4 2 3 4" xfId="23214" xr:uid="{00000000-0005-0000-0000-0000F6810000}"/>
    <cellStyle name="Porcentaje 3 2 3 4 2 4" xfId="5960" xr:uid="{00000000-0005-0000-0000-0000F7810000}"/>
    <cellStyle name="Porcentaje 3 2 3 4 2 4 2" xfId="15820" xr:uid="{00000000-0005-0000-0000-0000F8810000}"/>
    <cellStyle name="Porcentaje 3 2 3 4 2 4 2 2" xfId="35535" xr:uid="{00000000-0005-0000-0000-0000F9810000}"/>
    <cellStyle name="Porcentaje 3 2 3 4 2 4 3" xfId="25678" xr:uid="{00000000-0005-0000-0000-0000FA810000}"/>
    <cellStyle name="Porcentaje 3 2 3 4 2 5" xfId="10892" xr:uid="{00000000-0005-0000-0000-0000FB810000}"/>
    <cellStyle name="Porcentaje 3 2 3 4 2 5 2" xfId="30607" xr:uid="{00000000-0005-0000-0000-0000FC810000}"/>
    <cellStyle name="Porcentaje 3 2 3 4 2 6" xfId="20750" xr:uid="{00000000-0005-0000-0000-0000FD810000}"/>
    <cellStyle name="Porcentaje 3 2 3 4 3" xfId="1641" xr:uid="{00000000-0005-0000-0000-0000FE810000}"/>
    <cellStyle name="Porcentaje 3 2 3 4 3 2" xfId="4108" xr:uid="{00000000-0005-0000-0000-0000FF810000}"/>
    <cellStyle name="Porcentaje 3 2 3 4 3 2 2" xfId="9040" xr:uid="{00000000-0005-0000-0000-000000820000}"/>
    <cellStyle name="Porcentaje 3 2 3 4 3 2 2 2" xfId="18900" xr:uid="{00000000-0005-0000-0000-000001820000}"/>
    <cellStyle name="Porcentaje 3 2 3 4 3 2 2 2 2" xfId="38615" xr:uid="{00000000-0005-0000-0000-000002820000}"/>
    <cellStyle name="Porcentaje 3 2 3 4 3 2 2 3" xfId="28758" xr:uid="{00000000-0005-0000-0000-000003820000}"/>
    <cellStyle name="Porcentaje 3 2 3 4 3 2 3" xfId="13972" xr:uid="{00000000-0005-0000-0000-000004820000}"/>
    <cellStyle name="Porcentaje 3 2 3 4 3 2 3 2" xfId="33687" xr:uid="{00000000-0005-0000-0000-000005820000}"/>
    <cellStyle name="Porcentaje 3 2 3 4 3 2 4" xfId="23830" xr:uid="{00000000-0005-0000-0000-000006820000}"/>
    <cellStyle name="Porcentaje 3 2 3 4 3 3" xfId="6576" xr:uid="{00000000-0005-0000-0000-000007820000}"/>
    <cellStyle name="Porcentaje 3 2 3 4 3 3 2" xfId="16436" xr:uid="{00000000-0005-0000-0000-000008820000}"/>
    <cellStyle name="Porcentaje 3 2 3 4 3 3 2 2" xfId="36151" xr:uid="{00000000-0005-0000-0000-000009820000}"/>
    <cellStyle name="Porcentaje 3 2 3 4 3 3 3" xfId="26294" xr:uid="{00000000-0005-0000-0000-00000A820000}"/>
    <cellStyle name="Porcentaje 3 2 3 4 3 4" xfId="11508" xr:uid="{00000000-0005-0000-0000-00000B820000}"/>
    <cellStyle name="Porcentaje 3 2 3 4 3 4 2" xfId="31223" xr:uid="{00000000-0005-0000-0000-00000C820000}"/>
    <cellStyle name="Porcentaje 3 2 3 4 3 5" xfId="21366" xr:uid="{00000000-0005-0000-0000-00000D820000}"/>
    <cellStyle name="Porcentaje 3 2 3 4 4" xfId="2876" xr:uid="{00000000-0005-0000-0000-00000E820000}"/>
    <cellStyle name="Porcentaje 3 2 3 4 4 2" xfId="7808" xr:uid="{00000000-0005-0000-0000-00000F820000}"/>
    <cellStyle name="Porcentaje 3 2 3 4 4 2 2" xfId="17668" xr:uid="{00000000-0005-0000-0000-000010820000}"/>
    <cellStyle name="Porcentaje 3 2 3 4 4 2 2 2" xfId="37383" xr:uid="{00000000-0005-0000-0000-000011820000}"/>
    <cellStyle name="Porcentaje 3 2 3 4 4 2 3" xfId="27526" xr:uid="{00000000-0005-0000-0000-000012820000}"/>
    <cellStyle name="Porcentaje 3 2 3 4 4 3" xfId="12740" xr:uid="{00000000-0005-0000-0000-000013820000}"/>
    <cellStyle name="Porcentaje 3 2 3 4 4 3 2" xfId="32455" xr:uid="{00000000-0005-0000-0000-000014820000}"/>
    <cellStyle name="Porcentaje 3 2 3 4 4 4" xfId="22598" xr:uid="{00000000-0005-0000-0000-000015820000}"/>
    <cellStyle name="Porcentaje 3 2 3 4 5" xfId="5344" xr:uid="{00000000-0005-0000-0000-000016820000}"/>
    <cellStyle name="Porcentaje 3 2 3 4 5 2" xfId="15204" xr:uid="{00000000-0005-0000-0000-000017820000}"/>
    <cellStyle name="Porcentaje 3 2 3 4 5 2 2" xfId="34919" xr:uid="{00000000-0005-0000-0000-000018820000}"/>
    <cellStyle name="Porcentaje 3 2 3 4 5 3" xfId="25062" xr:uid="{00000000-0005-0000-0000-000019820000}"/>
    <cellStyle name="Porcentaje 3 2 3 4 6" xfId="10276" xr:uid="{00000000-0005-0000-0000-00001A820000}"/>
    <cellStyle name="Porcentaje 3 2 3 4 6 2" xfId="29991" xr:uid="{00000000-0005-0000-0000-00001B820000}"/>
    <cellStyle name="Porcentaje 3 2 3 4 7" xfId="20134" xr:uid="{00000000-0005-0000-0000-00001C820000}"/>
    <cellStyle name="Porcentaje 3 2 3 5" xfId="715" xr:uid="{00000000-0005-0000-0000-00001D820000}"/>
    <cellStyle name="Porcentaje 3 2 3 5 2" xfId="1951" xr:uid="{00000000-0005-0000-0000-00001E820000}"/>
    <cellStyle name="Porcentaje 3 2 3 5 2 2" xfId="4418" xr:uid="{00000000-0005-0000-0000-00001F820000}"/>
    <cellStyle name="Porcentaje 3 2 3 5 2 2 2" xfId="9350" xr:uid="{00000000-0005-0000-0000-000020820000}"/>
    <cellStyle name="Porcentaje 3 2 3 5 2 2 2 2" xfId="19210" xr:uid="{00000000-0005-0000-0000-000021820000}"/>
    <cellStyle name="Porcentaje 3 2 3 5 2 2 2 2 2" xfId="38925" xr:uid="{00000000-0005-0000-0000-000022820000}"/>
    <cellStyle name="Porcentaje 3 2 3 5 2 2 2 3" xfId="29068" xr:uid="{00000000-0005-0000-0000-000023820000}"/>
    <cellStyle name="Porcentaje 3 2 3 5 2 2 3" xfId="14282" xr:uid="{00000000-0005-0000-0000-000024820000}"/>
    <cellStyle name="Porcentaje 3 2 3 5 2 2 3 2" xfId="33997" xr:uid="{00000000-0005-0000-0000-000025820000}"/>
    <cellStyle name="Porcentaje 3 2 3 5 2 2 4" xfId="24140" xr:uid="{00000000-0005-0000-0000-000026820000}"/>
    <cellStyle name="Porcentaje 3 2 3 5 2 3" xfId="6886" xr:uid="{00000000-0005-0000-0000-000027820000}"/>
    <cellStyle name="Porcentaje 3 2 3 5 2 3 2" xfId="16746" xr:uid="{00000000-0005-0000-0000-000028820000}"/>
    <cellStyle name="Porcentaje 3 2 3 5 2 3 2 2" xfId="36461" xr:uid="{00000000-0005-0000-0000-000029820000}"/>
    <cellStyle name="Porcentaje 3 2 3 5 2 3 3" xfId="26604" xr:uid="{00000000-0005-0000-0000-00002A820000}"/>
    <cellStyle name="Porcentaje 3 2 3 5 2 4" xfId="11818" xr:uid="{00000000-0005-0000-0000-00002B820000}"/>
    <cellStyle name="Porcentaje 3 2 3 5 2 4 2" xfId="31533" xr:uid="{00000000-0005-0000-0000-00002C820000}"/>
    <cellStyle name="Porcentaje 3 2 3 5 2 5" xfId="21676" xr:uid="{00000000-0005-0000-0000-00002D820000}"/>
    <cellStyle name="Porcentaje 3 2 3 5 3" xfId="3186" xr:uid="{00000000-0005-0000-0000-00002E820000}"/>
    <cellStyle name="Porcentaje 3 2 3 5 3 2" xfId="8118" xr:uid="{00000000-0005-0000-0000-00002F820000}"/>
    <cellStyle name="Porcentaje 3 2 3 5 3 2 2" xfId="17978" xr:uid="{00000000-0005-0000-0000-000030820000}"/>
    <cellStyle name="Porcentaje 3 2 3 5 3 2 2 2" xfId="37693" xr:uid="{00000000-0005-0000-0000-000031820000}"/>
    <cellStyle name="Porcentaje 3 2 3 5 3 2 3" xfId="27836" xr:uid="{00000000-0005-0000-0000-000032820000}"/>
    <cellStyle name="Porcentaje 3 2 3 5 3 3" xfId="13050" xr:uid="{00000000-0005-0000-0000-000033820000}"/>
    <cellStyle name="Porcentaje 3 2 3 5 3 3 2" xfId="32765" xr:uid="{00000000-0005-0000-0000-000034820000}"/>
    <cellStyle name="Porcentaje 3 2 3 5 3 4" xfId="22908" xr:uid="{00000000-0005-0000-0000-000035820000}"/>
    <cellStyle name="Porcentaje 3 2 3 5 4" xfId="5654" xr:uid="{00000000-0005-0000-0000-000036820000}"/>
    <cellStyle name="Porcentaje 3 2 3 5 4 2" xfId="15514" xr:uid="{00000000-0005-0000-0000-000037820000}"/>
    <cellStyle name="Porcentaje 3 2 3 5 4 2 2" xfId="35229" xr:uid="{00000000-0005-0000-0000-000038820000}"/>
    <cellStyle name="Porcentaje 3 2 3 5 4 3" xfId="25372" xr:uid="{00000000-0005-0000-0000-000039820000}"/>
    <cellStyle name="Porcentaje 3 2 3 5 5" xfId="10586" xr:uid="{00000000-0005-0000-0000-00003A820000}"/>
    <cellStyle name="Porcentaje 3 2 3 5 5 2" xfId="30301" xr:uid="{00000000-0005-0000-0000-00003B820000}"/>
    <cellStyle name="Porcentaje 3 2 3 5 6" xfId="20444" xr:uid="{00000000-0005-0000-0000-00003C820000}"/>
    <cellStyle name="Porcentaje 3 2 3 6" xfId="1335" xr:uid="{00000000-0005-0000-0000-00003D820000}"/>
    <cellStyle name="Porcentaje 3 2 3 6 2" xfId="3802" xr:uid="{00000000-0005-0000-0000-00003E820000}"/>
    <cellStyle name="Porcentaje 3 2 3 6 2 2" xfId="8734" xr:uid="{00000000-0005-0000-0000-00003F820000}"/>
    <cellStyle name="Porcentaje 3 2 3 6 2 2 2" xfId="18594" xr:uid="{00000000-0005-0000-0000-000040820000}"/>
    <cellStyle name="Porcentaje 3 2 3 6 2 2 2 2" xfId="38309" xr:uid="{00000000-0005-0000-0000-000041820000}"/>
    <cellStyle name="Porcentaje 3 2 3 6 2 2 3" xfId="28452" xr:uid="{00000000-0005-0000-0000-000042820000}"/>
    <cellStyle name="Porcentaje 3 2 3 6 2 3" xfId="13666" xr:uid="{00000000-0005-0000-0000-000043820000}"/>
    <cellStyle name="Porcentaje 3 2 3 6 2 3 2" xfId="33381" xr:uid="{00000000-0005-0000-0000-000044820000}"/>
    <cellStyle name="Porcentaje 3 2 3 6 2 4" xfId="23524" xr:uid="{00000000-0005-0000-0000-000045820000}"/>
    <cellStyle name="Porcentaje 3 2 3 6 3" xfId="6270" xr:uid="{00000000-0005-0000-0000-000046820000}"/>
    <cellStyle name="Porcentaje 3 2 3 6 3 2" xfId="16130" xr:uid="{00000000-0005-0000-0000-000047820000}"/>
    <cellStyle name="Porcentaje 3 2 3 6 3 2 2" xfId="35845" xr:uid="{00000000-0005-0000-0000-000048820000}"/>
    <cellStyle name="Porcentaje 3 2 3 6 3 3" xfId="25988" xr:uid="{00000000-0005-0000-0000-000049820000}"/>
    <cellStyle name="Porcentaje 3 2 3 6 4" xfId="11202" xr:uid="{00000000-0005-0000-0000-00004A820000}"/>
    <cellStyle name="Porcentaje 3 2 3 6 4 2" xfId="30917" xr:uid="{00000000-0005-0000-0000-00004B820000}"/>
    <cellStyle name="Porcentaje 3 2 3 6 5" xfId="21060" xr:uid="{00000000-0005-0000-0000-00004C820000}"/>
    <cellStyle name="Porcentaje 3 2 3 7" xfId="2570" xr:uid="{00000000-0005-0000-0000-00004D820000}"/>
    <cellStyle name="Porcentaje 3 2 3 7 2" xfId="7502" xr:uid="{00000000-0005-0000-0000-00004E820000}"/>
    <cellStyle name="Porcentaje 3 2 3 7 2 2" xfId="17362" xr:uid="{00000000-0005-0000-0000-00004F820000}"/>
    <cellStyle name="Porcentaje 3 2 3 7 2 2 2" xfId="37077" xr:uid="{00000000-0005-0000-0000-000050820000}"/>
    <cellStyle name="Porcentaje 3 2 3 7 2 3" xfId="27220" xr:uid="{00000000-0005-0000-0000-000051820000}"/>
    <cellStyle name="Porcentaje 3 2 3 7 3" xfId="12434" xr:uid="{00000000-0005-0000-0000-000052820000}"/>
    <cellStyle name="Porcentaje 3 2 3 7 3 2" xfId="32149" xr:uid="{00000000-0005-0000-0000-000053820000}"/>
    <cellStyle name="Porcentaje 3 2 3 7 4" xfId="22292" xr:uid="{00000000-0005-0000-0000-000054820000}"/>
    <cellStyle name="Porcentaje 3 2 3 8" xfId="5038" xr:uid="{00000000-0005-0000-0000-000055820000}"/>
    <cellStyle name="Porcentaje 3 2 3 8 2" xfId="14898" xr:uid="{00000000-0005-0000-0000-000056820000}"/>
    <cellStyle name="Porcentaje 3 2 3 8 2 2" xfId="34613" xr:uid="{00000000-0005-0000-0000-000057820000}"/>
    <cellStyle name="Porcentaje 3 2 3 8 3" xfId="24756" xr:uid="{00000000-0005-0000-0000-000058820000}"/>
    <cellStyle name="Porcentaje 3 2 3 9" xfId="9970" xr:uid="{00000000-0005-0000-0000-000059820000}"/>
    <cellStyle name="Porcentaje 3 2 3 9 2" xfId="29685" xr:uid="{00000000-0005-0000-0000-00005A820000}"/>
    <cellStyle name="Porcentaje 3 2 4" xfId="121" xr:uid="{00000000-0005-0000-0000-00005B820000}"/>
    <cellStyle name="Porcentaje 3 2 4 2" xfId="278" xr:uid="{00000000-0005-0000-0000-00005C820000}"/>
    <cellStyle name="Porcentaje 3 2 4 2 2" xfId="592" xr:uid="{00000000-0005-0000-0000-00005D820000}"/>
    <cellStyle name="Porcentaje 3 2 4 2 2 2" xfId="1212" xr:uid="{00000000-0005-0000-0000-00005E820000}"/>
    <cellStyle name="Porcentaje 3 2 4 2 2 2 2" xfId="2447" xr:uid="{00000000-0005-0000-0000-00005F820000}"/>
    <cellStyle name="Porcentaje 3 2 4 2 2 2 2 2" xfId="4914" xr:uid="{00000000-0005-0000-0000-000060820000}"/>
    <cellStyle name="Porcentaje 3 2 4 2 2 2 2 2 2" xfId="9846" xr:uid="{00000000-0005-0000-0000-000061820000}"/>
    <cellStyle name="Porcentaje 3 2 4 2 2 2 2 2 2 2" xfId="19706" xr:uid="{00000000-0005-0000-0000-000062820000}"/>
    <cellStyle name="Porcentaje 3 2 4 2 2 2 2 2 2 2 2" xfId="39421" xr:uid="{00000000-0005-0000-0000-000063820000}"/>
    <cellStyle name="Porcentaje 3 2 4 2 2 2 2 2 2 3" xfId="29564" xr:uid="{00000000-0005-0000-0000-000064820000}"/>
    <cellStyle name="Porcentaje 3 2 4 2 2 2 2 2 3" xfId="14778" xr:uid="{00000000-0005-0000-0000-000065820000}"/>
    <cellStyle name="Porcentaje 3 2 4 2 2 2 2 2 3 2" xfId="34493" xr:uid="{00000000-0005-0000-0000-000066820000}"/>
    <cellStyle name="Porcentaje 3 2 4 2 2 2 2 2 4" xfId="24636" xr:uid="{00000000-0005-0000-0000-000067820000}"/>
    <cellStyle name="Porcentaje 3 2 4 2 2 2 2 3" xfId="7382" xr:uid="{00000000-0005-0000-0000-000068820000}"/>
    <cellStyle name="Porcentaje 3 2 4 2 2 2 2 3 2" xfId="17242" xr:uid="{00000000-0005-0000-0000-000069820000}"/>
    <cellStyle name="Porcentaje 3 2 4 2 2 2 2 3 2 2" xfId="36957" xr:uid="{00000000-0005-0000-0000-00006A820000}"/>
    <cellStyle name="Porcentaje 3 2 4 2 2 2 2 3 3" xfId="27100" xr:uid="{00000000-0005-0000-0000-00006B820000}"/>
    <cellStyle name="Porcentaje 3 2 4 2 2 2 2 4" xfId="12314" xr:uid="{00000000-0005-0000-0000-00006C820000}"/>
    <cellStyle name="Porcentaje 3 2 4 2 2 2 2 4 2" xfId="32029" xr:uid="{00000000-0005-0000-0000-00006D820000}"/>
    <cellStyle name="Porcentaje 3 2 4 2 2 2 2 5" xfId="22172" xr:uid="{00000000-0005-0000-0000-00006E820000}"/>
    <cellStyle name="Porcentaje 3 2 4 2 2 2 3" xfId="3682" xr:uid="{00000000-0005-0000-0000-00006F820000}"/>
    <cellStyle name="Porcentaje 3 2 4 2 2 2 3 2" xfId="8614" xr:uid="{00000000-0005-0000-0000-000070820000}"/>
    <cellStyle name="Porcentaje 3 2 4 2 2 2 3 2 2" xfId="18474" xr:uid="{00000000-0005-0000-0000-000071820000}"/>
    <cellStyle name="Porcentaje 3 2 4 2 2 2 3 2 2 2" xfId="38189" xr:uid="{00000000-0005-0000-0000-000072820000}"/>
    <cellStyle name="Porcentaje 3 2 4 2 2 2 3 2 3" xfId="28332" xr:uid="{00000000-0005-0000-0000-000073820000}"/>
    <cellStyle name="Porcentaje 3 2 4 2 2 2 3 3" xfId="13546" xr:uid="{00000000-0005-0000-0000-000074820000}"/>
    <cellStyle name="Porcentaje 3 2 4 2 2 2 3 3 2" xfId="33261" xr:uid="{00000000-0005-0000-0000-000075820000}"/>
    <cellStyle name="Porcentaje 3 2 4 2 2 2 3 4" xfId="23404" xr:uid="{00000000-0005-0000-0000-000076820000}"/>
    <cellStyle name="Porcentaje 3 2 4 2 2 2 4" xfId="6150" xr:uid="{00000000-0005-0000-0000-000077820000}"/>
    <cellStyle name="Porcentaje 3 2 4 2 2 2 4 2" xfId="16010" xr:uid="{00000000-0005-0000-0000-000078820000}"/>
    <cellStyle name="Porcentaje 3 2 4 2 2 2 4 2 2" xfId="35725" xr:uid="{00000000-0005-0000-0000-000079820000}"/>
    <cellStyle name="Porcentaje 3 2 4 2 2 2 4 3" xfId="25868" xr:uid="{00000000-0005-0000-0000-00007A820000}"/>
    <cellStyle name="Porcentaje 3 2 4 2 2 2 5" xfId="11082" xr:uid="{00000000-0005-0000-0000-00007B820000}"/>
    <cellStyle name="Porcentaje 3 2 4 2 2 2 5 2" xfId="30797" xr:uid="{00000000-0005-0000-0000-00007C820000}"/>
    <cellStyle name="Porcentaje 3 2 4 2 2 2 6" xfId="20940" xr:uid="{00000000-0005-0000-0000-00007D820000}"/>
    <cellStyle name="Porcentaje 3 2 4 2 2 3" xfId="1831" xr:uid="{00000000-0005-0000-0000-00007E820000}"/>
    <cellStyle name="Porcentaje 3 2 4 2 2 3 2" xfId="4298" xr:uid="{00000000-0005-0000-0000-00007F820000}"/>
    <cellStyle name="Porcentaje 3 2 4 2 2 3 2 2" xfId="9230" xr:uid="{00000000-0005-0000-0000-000080820000}"/>
    <cellStyle name="Porcentaje 3 2 4 2 2 3 2 2 2" xfId="19090" xr:uid="{00000000-0005-0000-0000-000081820000}"/>
    <cellStyle name="Porcentaje 3 2 4 2 2 3 2 2 2 2" xfId="38805" xr:uid="{00000000-0005-0000-0000-000082820000}"/>
    <cellStyle name="Porcentaje 3 2 4 2 2 3 2 2 3" xfId="28948" xr:uid="{00000000-0005-0000-0000-000083820000}"/>
    <cellStyle name="Porcentaje 3 2 4 2 2 3 2 3" xfId="14162" xr:uid="{00000000-0005-0000-0000-000084820000}"/>
    <cellStyle name="Porcentaje 3 2 4 2 2 3 2 3 2" xfId="33877" xr:uid="{00000000-0005-0000-0000-000085820000}"/>
    <cellStyle name="Porcentaje 3 2 4 2 2 3 2 4" xfId="24020" xr:uid="{00000000-0005-0000-0000-000086820000}"/>
    <cellStyle name="Porcentaje 3 2 4 2 2 3 3" xfId="6766" xr:uid="{00000000-0005-0000-0000-000087820000}"/>
    <cellStyle name="Porcentaje 3 2 4 2 2 3 3 2" xfId="16626" xr:uid="{00000000-0005-0000-0000-000088820000}"/>
    <cellStyle name="Porcentaje 3 2 4 2 2 3 3 2 2" xfId="36341" xr:uid="{00000000-0005-0000-0000-000089820000}"/>
    <cellStyle name="Porcentaje 3 2 4 2 2 3 3 3" xfId="26484" xr:uid="{00000000-0005-0000-0000-00008A820000}"/>
    <cellStyle name="Porcentaje 3 2 4 2 2 3 4" xfId="11698" xr:uid="{00000000-0005-0000-0000-00008B820000}"/>
    <cellStyle name="Porcentaje 3 2 4 2 2 3 4 2" xfId="31413" xr:uid="{00000000-0005-0000-0000-00008C820000}"/>
    <cellStyle name="Porcentaje 3 2 4 2 2 3 5" xfId="21556" xr:uid="{00000000-0005-0000-0000-00008D820000}"/>
    <cellStyle name="Porcentaje 3 2 4 2 2 4" xfId="3066" xr:uid="{00000000-0005-0000-0000-00008E820000}"/>
    <cellStyle name="Porcentaje 3 2 4 2 2 4 2" xfId="7998" xr:uid="{00000000-0005-0000-0000-00008F820000}"/>
    <cellStyle name="Porcentaje 3 2 4 2 2 4 2 2" xfId="17858" xr:uid="{00000000-0005-0000-0000-000090820000}"/>
    <cellStyle name="Porcentaje 3 2 4 2 2 4 2 2 2" xfId="37573" xr:uid="{00000000-0005-0000-0000-000091820000}"/>
    <cellStyle name="Porcentaje 3 2 4 2 2 4 2 3" xfId="27716" xr:uid="{00000000-0005-0000-0000-000092820000}"/>
    <cellStyle name="Porcentaje 3 2 4 2 2 4 3" xfId="12930" xr:uid="{00000000-0005-0000-0000-000093820000}"/>
    <cellStyle name="Porcentaje 3 2 4 2 2 4 3 2" xfId="32645" xr:uid="{00000000-0005-0000-0000-000094820000}"/>
    <cellStyle name="Porcentaje 3 2 4 2 2 4 4" xfId="22788" xr:uid="{00000000-0005-0000-0000-000095820000}"/>
    <cellStyle name="Porcentaje 3 2 4 2 2 5" xfId="5534" xr:uid="{00000000-0005-0000-0000-000096820000}"/>
    <cellStyle name="Porcentaje 3 2 4 2 2 5 2" xfId="15394" xr:uid="{00000000-0005-0000-0000-000097820000}"/>
    <cellStyle name="Porcentaje 3 2 4 2 2 5 2 2" xfId="35109" xr:uid="{00000000-0005-0000-0000-000098820000}"/>
    <cellStyle name="Porcentaje 3 2 4 2 2 5 3" xfId="25252" xr:uid="{00000000-0005-0000-0000-000099820000}"/>
    <cellStyle name="Porcentaje 3 2 4 2 2 6" xfId="10466" xr:uid="{00000000-0005-0000-0000-00009A820000}"/>
    <cellStyle name="Porcentaje 3 2 4 2 2 6 2" xfId="30181" xr:uid="{00000000-0005-0000-0000-00009B820000}"/>
    <cellStyle name="Porcentaje 3 2 4 2 2 7" xfId="20324" xr:uid="{00000000-0005-0000-0000-00009C820000}"/>
    <cellStyle name="Porcentaje 3 2 4 2 3" xfId="905" xr:uid="{00000000-0005-0000-0000-00009D820000}"/>
    <cellStyle name="Porcentaje 3 2 4 2 3 2" xfId="2141" xr:uid="{00000000-0005-0000-0000-00009E820000}"/>
    <cellStyle name="Porcentaje 3 2 4 2 3 2 2" xfId="4608" xr:uid="{00000000-0005-0000-0000-00009F820000}"/>
    <cellStyle name="Porcentaje 3 2 4 2 3 2 2 2" xfId="9540" xr:uid="{00000000-0005-0000-0000-0000A0820000}"/>
    <cellStyle name="Porcentaje 3 2 4 2 3 2 2 2 2" xfId="19400" xr:uid="{00000000-0005-0000-0000-0000A1820000}"/>
    <cellStyle name="Porcentaje 3 2 4 2 3 2 2 2 2 2" xfId="39115" xr:uid="{00000000-0005-0000-0000-0000A2820000}"/>
    <cellStyle name="Porcentaje 3 2 4 2 3 2 2 2 3" xfId="29258" xr:uid="{00000000-0005-0000-0000-0000A3820000}"/>
    <cellStyle name="Porcentaje 3 2 4 2 3 2 2 3" xfId="14472" xr:uid="{00000000-0005-0000-0000-0000A4820000}"/>
    <cellStyle name="Porcentaje 3 2 4 2 3 2 2 3 2" xfId="34187" xr:uid="{00000000-0005-0000-0000-0000A5820000}"/>
    <cellStyle name="Porcentaje 3 2 4 2 3 2 2 4" xfId="24330" xr:uid="{00000000-0005-0000-0000-0000A6820000}"/>
    <cellStyle name="Porcentaje 3 2 4 2 3 2 3" xfId="7076" xr:uid="{00000000-0005-0000-0000-0000A7820000}"/>
    <cellStyle name="Porcentaje 3 2 4 2 3 2 3 2" xfId="16936" xr:uid="{00000000-0005-0000-0000-0000A8820000}"/>
    <cellStyle name="Porcentaje 3 2 4 2 3 2 3 2 2" xfId="36651" xr:uid="{00000000-0005-0000-0000-0000A9820000}"/>
    <cellStyle name="Porcentaje 3 2 4 2 3 2 3 3" xfId="26794" xr:uid="{00000000-0005-0000-0000-0000AA820000}"/>
    <cellStyle name="Porcentaje 3 2 4 2 3 2 4" xfId="12008" xr:uid="{00000000-0005-0000-0000-0000AB820000}"/>
    <cellStyle name="Porcentaje 3 2 4 2 3 2 4 2" xfId="31723" xr:uid="{00000000-0005-0000-0000-0000AC820000}"/>
    <cellStyle name="Porcentaje 3 2 4 2 3 2 5" xfId="21866" xr:uid="{00000000-0005-0000-0000-0000AD820000}"/>
    <cellStyle name="Porcentaje 3 2 4 2 3 3" xfId="3376" xr:uid="{00000000-0005-0000-0000-0000AE820000}"/>
    <cellStyle name="Porcentaje 3 2 4 2 3 3 2" xfId="8308" xr:uid="{00000000-0005-0000-0000-0000AF820000}"/>
    <cellStyle name="Porcentaje 3 2 4 2 3 3 2 2" xfId="18168" xr:uid="{00000000-0005-0000-0000-0000B0820000}"/>
    <cellStyle name="Porcentaje 3 2 4 2 3 3 2 2 2" xfId="37883" xr:uid="{00000000-0005-0000-0000-0000B1820000}"/>
    <cellStyle name="Porcentaje 3 2 4 2 3 3 2 3" xfId="28026" xr:uid="{00000000-0005-0000-0000-0000B2820000}"/>
    <cellStyle name="Porcentaje 3 2 4 2 3 3 3" xfId="13240" xr:uid="{00000000-0005-0000-0000-0000B3820000}"/>
    <cellStyle name="Porcentaje 3 2 4 2 3 3 3 2" xfId="32955" xr:uid="{00000000-0005-0000-0000-0000B4820000}"/>
    <cellStyle name="Porcentaje 3 2 4 2 3 3 4" xfId="23098" xr:uid="{00000000-0005-0000-0000-0000B5820000}"/>
    <cellStyle name="Porcentaje 3 2 4 2 3 4" xfId="5844" xr:uid="{00000000-0005-0000-0000-0000B6820000}"/>
    <cellStyle name="Porcentaje 3 2 4 2 3 4 2" xfId="15704" xr:uid="{00000000-0005-0000-0000-0000B7820000}"/>
    <cellStyle name="Porcentaje 3 2 4 2 3 4 2 2" xfId="35419" xr:uid="{00000000-0005-0000-0000-0000B8820000}"/>
    <cellStyle name="Porcentaje 3 2 4 2 3 4 3" xfId="25562" xr:uid="{00000000-0005-0000-0000-0000B9820000}"/>
    <cellStyle name="Porcentaje 3 2 4 2 3 5" xfId="10776" xr:uid="{00000000-0005-0000-0000-0000BA820000}"/>
    <cellStyle name="Porcentaje 3 2 4 2 3 5 2" xfId="30491" xr:uid="{00000000-0005-0000-0000-0000BB820000}"/>
    <cellStyle name="Porcentaje 3 2 4 2 3 6" xfId="20634" xr:uid="{00000000-0005-0000-0000-0000BC820000}"/>
    <cellStyle name="Porcentaje 3 2 4 2 4" xfId="1525" xr:uid="{00000000-0005-0000-0000-0000BD820000}"/>
    <cellStyle name="Porcentaje 3 2 4 2 4 2" xfId="3992" xr:uid="{00000000-0005-0000-0000-0000BE820000}"/>
    <cellStyle name="Porcentaje 3 2 4 2 4 2 2" xfId="8924" xr:uid="{00000000-0005-0000-0000-0000BF820000}"/>
    <cellStyle name="Porcentaje 3 2 4 2 4 2 2 2" xfId="18784" xr:uid="{00000000-0005-0000-0000-0000C0820000}"/>
    <cellStyle name="Porcentaje 3 2 4 2 4 2 2 2 2" xfId="38499" xr:uid="{00000000-0005-0000-0000-0000C1820000}"/>
    <cellStyle name="Porcentaje 3 2 4 2 4 2 2 3" xfId="28642" xr:uid="{00000000-0005-0000-0000-0000C2820000}"/>
    <cellStyle name="Porcentaje 3 2 4 2 4 2 3" xfId="13856" xr:uid="{00000000-0005-0000-0000-0000C3820000}"/>
    <cellStyle name="Porcentaje 3 2 4 2 4 2 3 2" xfId="33571" xr:uid="{00000000-0005-0000-0000-0000C4820000}"/>
    <cellStyle name="Porcentaje 3 2 4 2 4 2 4" xfId="23714" xr:uid="{00000000-0005-0000-0000-0000C5820000}"/>
    <cellStyle name="Porcentaje 3 2 4 2 4 3" xfId="6460" xr:uid="{00000000-0005-0000-0000-0000C6820000}"/>
    <cellStyle name="Porcentaje 3 2 4 2 4 3 2" xfId="16320" xr:uid="{00000000-0005-0000-0000-0000C7820000}"/>
    <cellStyle name="Porcentaje 3 2 4 2 4 3 2 2" xfId="36035" xr:uid="{00000000-0005-0000-0000-0000C8820000}"/>
    <cellStyle name="Porcentaje 3 2 4 2 4 3 3" xfId="26178" xr:uid="{00000000-0005-0000-0000-0000C9820000}"/>
    <cellStyle name="Porcentaje 3 2 4 2 4 4" xfId="11392" xr:uid="{00000000-0005-0000-0000-0000CA820000}"/>
    <cellStyle name="Porcentaje 3 2 4 2 4 4 2" xfId="31107" xr:uid="{00000000-0005-0000-0000-0000CB820000}"/>
    <cellStyle name="Porcentaje 3 2 4 2 4 5" xfId="21250" xr:uid="{00000000-0005-0000-0000-0000CC820000}"/>
    <cellStyle name="Porcentaje 3 2 4 2 5" xfId="2760" xr:uid="{00000000-0005-0000-0000-0000CD820000}"/>
    <cellStyle name="Porcentaje 3 2 4 2 5 2" xfId="7692" xr:uid="{00000000-0005-0000-0000-0000CE820000}"/>
    <cellStyle name="Porcentaje 3 2 4 2 5 2 2" xfId="17552" xr:uid="{00000000-0005-0000-0000-0000CF820000}"/>
    <cellStyle name="Porcentaje 3 2 4 2 5 2 2 2" xfId="37267" xr:uid="{00000000-0005-0000-0000-0000D0820000}"/>
    <cellStyle name="Porcentaje 3 2 4 2 5 2 3" xfId="27410" xr:uid="{00000000-0005-0000-0000-0000D1820000}"/>
    <cellStyle name="Porcentaje 3 2 4 2 5 3" xfId="12624" xr:uid="{00000000-0005-0000-0000-0000D2820000}"/>
    <cellStyle name="Porcentaje 3 2 4 2 5 3 2" xfId="32339" xr:uid="{00000000-0005-0000-0000-0000D3820000}"/>
    <cellStyle name="Porcentaje 3 2 4 2 5 4" xfId="22482" xr:uid="{00000000-0005-0000-0000-0000D4820000}"/>
    <cellStyle name="Porcentaje 3 2 4 2 6" xfId="5228" xr:uid="{00000000-0005-0000-0000-0000D5820000}"/>
    <cellStyle name="Porcentaje 3 2 4 2 6 2" xfId="15088" xr:uid="{00000000-0005-0000-0000-0000D6820000}"/>
    <cellStyle name="Porcentaje 3 2 4 2 6 2 2" xfId="34803" xr:uid="{00000000-0005-0000-0000-0000D7820000}"/>
    <cellStyle name="Porcentaje 3 2 4 2 6 3" xfId="24946" xr:uid="{00000000-0005-0000-0000-0000D8820000}"/>
    <cellStyle name="Porcentaje 3 2 4 2 7" xfId="10160" xr:uid="{00000000-0005-0000-0000-0000D9820000}"/>
    <cellStyle name="Porcentaje 3 2 4 2 7 2" xfId="29875" xr:uid="{00000000-0005-0000-0000-0000DA820000}"/>
    <cellStyle name="Porcentaje 3 2 4 2 8" xfId="20018" xr:uid="{00000000-0005-0000-0000-0000DB820000}"/>
    <cellStyle name="Porcentaje 3 2 4 3" xfId="440" xr:uid="{00000000-0005-0000-0000-0000DC820000}"/>
    <cellStyle name="Porcentaje 3 2 4 3 2" xfId="1060" xr:uid="{00000000-0005-0000-0000-0000DD820000}"/>
    <cellStyle name="Porcentaje 3 2 4 3 2 2" xfId="2295" xr:uid="{00000000-0005-0000-0000-0000DE820000}"/>
    <cellStyle name="Porcentaje 3 2 4 3 2 2 2" xfId="4762" xr:uid="{00000000-0005-0000-0000-0000DF820000}"/>
    <cellStyle name="Porcentaje 3 2 4 3 2 2 2 2" xfId="9694" xr:uid="{00000000-0005-0000-0000-0000E0820000}"/>
    <cellStyle name="Porcentaje 3 2 4 3 2 2 2 2 2" xfId="19554" xr:uid="{00000000-0005-0000-0000-0000E1820000}"/>
    <cellStyle name="Porcentaje 3 2 4 3 2 2 2 2 2 2" xfId="39269" xr:uid="{00000000-0005-0000-0000-0000E2820000}"/>
    <cellStyle name="Porcentaje 3 2 4 3 2 2 2 2 3" xfId="29412" xr:uid="{00000000-0005-0000-0000-0000E3820000}"/>
    <cellStyle name="Porcentaje 3 2 4 3 2 2 2 3" xfId="14626" xr:uid="{00000000-0005-0000-0000-0000E4820000}"/>
    <cellStyle name="Porcentaje 3 2 4 3 2 2 2 3 2" xfId="34341" xr:uid="{00000000-0005-0000-0000-0000E5820000}"/>
    <cellStyle name="Porcentaje 3 2 4 3 2 2 2 4" xfId="24484" xr:uid="{00000000-0005-0000-0000-0000E6820000}"/>
    <cellStyle name="Porcentaje 3 2 4 3 2 2 3" xfId="7230" xr:uid="{00000000-0005-0000-0000-0000E7820000}"/>
    <cellStyle name="Porcentaje 3 2 4 3 2 2 3 2" xfId="17090" xr:uid="{00000000-0005-0000-0000-0000E8820000}"/>
    <cellStyle name="Porcentaje 3 2 4 3 2 2 3 2 2" xfId="36805" xr:uid="{00000000-0005-0000-0000-0000E9820000}"/>
    <cellStyle name="Porcentaje 3 2 4 3 2 2 3 3" xfId="26948" xr:uid="{00000000-0005-0000-0000-0000EA820000}"/>
    <cellStyle name="Porcentaje 3 2 4 3 2 2 4" xfId="12162" xr:uid="{00000000-0005-0000-0000-0000EB820000}"/>
    <cellStyle name="Porcentaje 3 2 4 3 2 2 4 2" xfId="31877" xr:uid="{00000000-0005-0000-0000-0000EC820000}"/>
    <cellStyle name="Porcentaje 3 2 4 3 2 2 5" xfId="22020" xr:uid="{00000000-0005-0000-0000-0000ED820000}"/>
    <cellStyle name="Porcentaje 3 2 4 3 2 3" xfId="3530" xr:uid="{00000000-0005-0000-0000-0000EE820000}"/>
    <cellStyle name="Porcentaje 3 2 4 3 2 3 2" xfId="8462" xr:uid="{00000000-0005-0000-0000-0000EF820000}"/>
    <cellStyle name="Porcentaje 3 2 4 3 2 3 2 2" xfId="18322" xr:uid="{00000000-0005-0000-0000-0000F0820000}"/>
    <cellStyle name="Porcentaje 3 2 4 3 2 3 2 2 2" xfId="38037" xr:uid="{00000000-0005-0000-0000-0000F1820000}"/>
    <cellStyle name="Porcentaje 3 2 4 3 2 3 2 3" xfId="28180" xr:uid="{00000000-0005-0000-0000-0000F2820000}"/>
    <cellStyle name="Porcentaje 3 2 4 3 2 3 3" xfId="13394" xr:uid="{00000000-0005-0000-0000-0000F3820000}"/>
    <cellStyle name="Porcentaje 3 2 4 3 2 3 3 2" xfId="33109" xr:uid="{00000000-0005-0000-0000-0000F4820000}"/>
    <cellStyle name="Porcentaje 3 2 4 3 2 3 4" xfId="23252" xr:uid="{00000000-0005-0000-0000-0000F5820000}"/>
    <cellStyle name="Porcentaje 3 2 4 3 2 4" xfId="5998" xr:uid="{00000000-0005-0000-0000-0000F6820000}"/>
    <cellStyle name="Porcentaje 3 2 4 3 2 4 2" xfId="15858" xr:uid="{00000000-0005-0000-0000-0000F7820000}"/>
    <cellStyle name="Porcentaje 3 2 4 3 2 4 2 2" xfId="35573" xr:uid="{00000000-0005-0000-0000-0000F8820000}"/>
    <cellStyle name="Porcentaje 3 2 4 3 2 4 3" xfId="25716" xr:uid="{00000000-0005-0000-0000-0000F9820000}"/>
    <cellStyle name="Porcentaje 3 2 4 3 2 5" xfId="10930" xr:uid="{00000000-0005-0000-0000-0000FA820000}"/>
    <cellStyle name="Porcentaje 3 2 4 3 2 5 2" xfId="30645" xr:uid="{00000000-0005-0000-0000-0000FB820000}"/>
    <cellStyle name="Porcentaje 3 2 4 3 2 6" xfId="20788" xr:uid="{00000000-0005-0000-0000-0000FC820000}"/>
    <cellStyle name="Porcentaje 3 2 4 3 3" xfId="1679" xr:uid="{00000000-0005-0000-0000-0000FD820000}"/>
    <cellStyle name="Porcentaje 3 2 4 3 3 2" xfId="4146" xr:uid="{00000000-0005-0000-0000-0000FE820000}"/>
    <cellStyle name="Porcentaje 3 2 4 3 3 2 2" xfId="9078" xr:uid="{00000000-0005-0000-0000-0000FF820000}"/>
    <cellStyle name="Porcentaje 3 2 4 3 3 2 2 2" xfId="18938" xr:uid="{00000000-0005-0000-0000-000000830000}"/>
    <cellStyle name="Porcentaje 3 2 4 3 3 2 2 2 2" xfId="38653" xr:uid="{00000000-0005-0000-0000-000001830000}"/>
    <cellStyle name="Porcentaje 3 2 4 3 3 2 2 3" xfId="28796" xr:uid="{00000000-0005-0000-0000-000002830000}"/>
    <cellStyle name="Porcentaje 3 2 4 3 3 2 3" xfId="14010" xr:uid="{00000000-0005-0000-0000-000003830000}"/>
    <cellStyle name="Porcentaje 3 2 4 3 3 2 3 2" xfId="33725" xr:uid="{00000000-0005-0000-0000-000004830000}"/>
    <cellStyle name="Porcentaje 3 2 4 3 3 2 4" xfId="23868" xr:uid="{00000000-0005-0000-0000-000005830000}"/>
    <cellStyle name="Porcentaje 3 2 4 3 3 3" xfId="6614" xr:uid="{00000000-0005-0000-0000-000006830000}"/>
    <cellStyle name="Porcentaje 3 2 4 3 3 3 2" xfId="16474" xr:uid="{00000000-0005-0000-0000-000007830000}"/>
    <cellStyle name="Porcentaje 3 2 4 3 3 3 2 2" xfId="36189" xr:uid="{00000000-0005-0000-0000-000008830000}"/>
    <cellStyle name="Porcentaje 3 2 4 3 3 3 3" xfId="26332" xr:uid="{00000000-0005-0000-0000-000009830000}"/>
    <cellStyle name="Porcentaje 3 2 4 3 3 4" xfId="11546" xr:uid="{00000000-0005-0000-0000-00000A830000}"/>
    <cellStyle name="Porcentaje 3 2 4 3 3 4 2" xfId="31261" xr:uid="{00000000-0005-0000-0000-00000B830000}"/>
    <cellStyle name="Porcentaje 3 2 4 3 3 5" xfId="21404" xr:uid="{00000000-0005-0000-0000-00000C830000}"/>
    <cellStyle name="Porcentaje 3 2 4 3 4" xfId="2914" xr:uid="{00000000-0005-0000-0000-00000D830000}"/>
    <cellStyle name="Porcentaje 3 2 4 3 4 2" xfId="7846" xr:uid="{00000000-0005-0000-0000-00000E830000}"/>
    <cellStyle name="Porcentaje 3 2 4 3 4 2 2" xfId="17706" xr:uid="{00000000-0005-0000-0000-00000F830000}"/>
    <cellStyle name="Porcentaje 3 2 4 3 4 2 2 2" xfId="37421" xr:uid="{00000000-0005-0000-0000-000010830000}"/>
    <cellStyle name="Porcentaje 3 2 4 3 4 2 3" xfId="27564" xr:uid="{00000000-0005-0000-0000-000011830000}"/>
    <cellStyle name="Porcentaje 3 2 4 3 4 3" xfId="12778" xr:uid="{00000000-0005-0000-0000-000012830000}"/>
    <cellStyle name="Porcentaje 3 2 4 3 4 3 2" xfId="32493" xr:uid="{00000000-0005-0000-0000-000013830000}"/>
    <cellStyle name="Porcentaje 3 2 4 3 4 4" xfId="22636" xr:uid="{00000000-0005-0000-0000-000014830000}"/>
    <cellStyle name="Porcentaje 3 2 4 3 5" xfId="5382" xr:uid="{00000000-0005-0000-0000-000015830000}"/>
    <cellStyle name="Porcentaje 3 2 4 3 5 2" xfId="15242" xr:uid="{00000000-0005-0000-0000-000016830000}"/>
    <cellStyle name="Porcentaje 3 2 4 3 5 2 2" xfId="34957" xr:uid="{00000000-0005-0000-0000-000017830000}"/>
    <cellStyle name="Porcentaje 3 2 4 3 5 3" xfId="25100" xr:uid="{00000000-0005-0000-0000-000018830000}"/>
    <cellStyle name="Porcentaje 3 2 4 3 6" xfId="10314" xr:uid="{00000000-0005-0000-0000-000019830000}"/>
    <cellStyle name="Porcentaje 3 2 4 3 6 2" xfId="30029" xr:uid="{00000000-0005-0000-0000-00001A830000}"/>
    <cellStyle name="Porcentaje 3 2 4 3 7" xfId="20172" xr:uid="{00000000-0005-0000-0000-00001B830000}"/>
    <cellStyle name="Porcentaje 3 2 4 4" xfId="753" xr:uid="{00000000-0005-0000-0000-00001C830000}"/>
    <cellStyle name="Porcentaje 3 2 4 4 2" xfId="1989" xr:uid="{00000000-0005-0000-0000-00001D830000}"/>
    <cellStyle name="Porcentaje 3 2 4 4 2 2" xfId="4456" xr:uid="{00000000-0005-0000-0000-00001E830000}"/>
    <cellStyle name="Porcentaje 3 2 4 4 2 2 2" xfId="9388" xr:uid="{00000000-0005-0000-0000-00001F830000}"/>
    <cellStyle name="Porcentaje 3 2 4 4 2 2 2 2" xfId="19248" xr:uid="{00000000-0005-0000-0000-000020830000}"/>
    <cellStyle name="Porcentaje 3 2 4 4 2 2 2 2 2" xfId="38963" xr:uid="{00000000-0005-0000-0000-000021830000}"/>
    <cellStyle name="Porcentaje 3 2 4 4 2 2 2 3" xfId="29106" xr:uid="{00000000-0005-0000-0000-000022830000}"/>
    <cellStyle name="Porcentaje 3 2 4 4 2 2 3" xfId="14320" xr:uid="{00000000-0005-0000-0000-000023830000}"/>
    <cellStyle name="Porcentaje 3 2 4 4 2 2 3 2" xfId="34035" xr:uid="{00000000-0005-0000-0000-000024830000}"/>
    <cellStyle name="Porcentaje 3 2 4 4 2 2 4" xfId="24178" xr:uid="{00000000-0005-0000-0000-000025830000}"/>
    <cellStyle name="Porcentaje 3 2 4 4 2 3" xfId="6924" xr:uid="{00000000-0005-0000-0000-000026830000}"/>
    <cellStyle name="Porcentaje 3 2 4 4 2 3 2" xfId="16784" xr:uid="{00000000-0005-0000-0000-000027830000}"/>
    <cellStyle name="Porcentaje 3 2 4 4 2 3 2 2" xfId="36499" xr:uid="{00000000-0005-0000-0000-000028830000}"/>
    <cellStyle name="Porcentaje 3 2 4 4 2 3 3" xfId="26642" xr:uid="{00000000-0005-0000-0000-000029830000}"/>
    <cellStyle name="Porcentaje 3 2 4 4 2 4" xfId="11856" xr:uid="{00000000-0005-0000-0000-00002A830000}"/>
    <cellStyle name="Porcentaje 3 2 4 4 2 4 2" xfId="31571" xr:uid="{00000000-0005-0000-0000-00002B830000}"/>
    <cellStyle name="Porcentaje 3 2 4 4 2 5" xfId="21714" xr:uid="{00000000-0005-0000-0000-00002C830000}"/>
    <cellStyle name="Porcentaje 3 2 4 4 3" xfId="3224" xr:uid="{00000000-0005-0000-0000-00002D830000}"/>
    <cellStyle name="Porcentaje 3 2 4 4 3 2" xfId="8156" xr:uid="{00000000-0005-0000-0000-00002E830000}"/>
    <cellStyle name="Porcentaje 3 2 4 4 3 2 2" xfId="18016" xr:uid="{00000000-0005-0000-0000-00002F830000}"/>
    <cellStyle name="Porcentaje 3 2 4 4 3 2 2 2" xfId="37731" xr:uid="{00000000-0005-0000-0000-000030830000}"/>
    <cellStyle name="Porcentaje 3 2 4 4 3 2 3" xfId="27874" xr:uid="{00000000-0005-0000-0000-000031830000}"/>
    <cellStyle name="Porcentaje 3 2 4 4 3 3" xfId="13088" xr:uid="{00000000-0005-0000-0000-000032830000}"/>
    <cellStyle name="Porcentaje 3 2 4 4 3 3 2" xfId="32803" xr:uid="{00000000-0005-0000-0000-000033830000}"/>
    <cellStyle name="Porcentaje 3 2 4 4 3 4" xfId="22946" xr:uid="{00000000-0005-0000-0000-000034830000}"/>
    <cellStyle name="Porcentaje 3 2 4 4 4" xfId="5692" xr:uid="{00000000-0005-0000-0000-000035830000}"/>
    <cellStyle name="Porcentaje 3 2 4 4 4 2" xfId="15552" xr:uid="{00000000-0005-0000-0000-000036830000}"/>
    <cellStyle name="Porcentaje 3 2 4 4 4 2 2" xfId="35267" xr:uid="{00000000-0005-0000-0000-000037830000}"/>
    <cellStyle name="Porcentaje 3 2 4 4 4 3" xfId="25410" xr:uid="{00000000-0005-0000-0000-000038830000}"/>
    <cellStyle name="Porcentaje 3 2 4 4 5" xfId="10624" xr:uid="{00000000-0005-0000-0000-000039830000}"/>
    <cellStyle name="Porcentaje 3 2 4 4 5 2" xfId="30339" xr:uid="{00000000-0005-0000-0000-00003A830000}"/>
    <cellStyle name="Porcentaje 3 2 4 4 6" xfId="20482" xr:uid="{00000000-0005-0000-0000-00003B830000}"/>
    <cellStyle name="Porcentaje 3 2 4 5" xfId="1373" xr:uid="{00000000-0005-0000-0000-00003C830000}"/>
    <cellStyle name="Porcentaje 3 2 4 5 2" xfId="3840" xr:uid="{00000000-0005-0000-0000-00003D830000}"/>
    <cellStyle name="Porcentaje 3 2 4 5 2 2" xfId="8772" xr:uid="{00000000-0005-0000-0000-00003E830000}"/>
    <cellStyle name="Porcentaje 3 2 4 5 2 2 2" xfId="18632" xr:uid="{00000000-0005-0000-0000-00003F830000}"/>
    <cellStyle name="Porcentaje 3 2 4 5 2 2 2 2" xfId="38347" xr:uid="{00000000-0005-0000-0000-000040830000}"/>
    <cellStyle name="Porcentaje 3 2 4 5 2 2 3" xfId="28490" xr:uid="{00000000-0005-0000-0000-000041830000}"/>
    <cellStyle name="Porcentaje 3 2 4 5 2 3" xfId="13704" xr:uid="{00000000-0005-0000-0000-000042830000}"/>
    <cellStyle name="Porcentaje 3 2 4 5 2 3 2" xfId="33419" xr:uid="{00000000-0005-0000-0000-000043830000}"/>
    <cellStyle name="Porcentaje 3 2 4 5 2 4" xfId="23562" xr:uid="{00000000-0005-0000-0000-000044830000}"/>
    <cellStyle name="Porcentaje 3 2 4 5 3" xfId="6308" xr:uid="{00000000-0005-0000-0000-000045830000}"/>
    <cellStyle name="Porcentaje 3 2 4 5 3 2" xfId="16168" xr:uid="{00000000-0005-0000-0000-000046830000}"/>
    <cellStyle name="Porcentaje 3 2 4 5 3 2 2" xfId="35883" xr:uid="{00000000-0005-0000-0000-000047830000}"/>
    <cellStyle name="Porcentaje 3 2 4 5 3 3" xfId="26026" xr:uid="{00000000-0005-0000-0000-000048830000}"/>
    <cellStyle name="Porcentaje 3 2 4 5 4" xfId="11240" xr:uid="{00000000-0005-0000-0000-000049830000}"/>
    <cellStyle name="Porcentaje 3 2 4 5 4 2" xfId="30955" xr:uid="{00000000-0005-0000-0000-00004A830000}"/>
    <cellStyle name="Porcentaje 3 2 4 5 5" xfId="21098" xr:uid="{00000000-0005-0000-0000-00004B830000}"/>
    <cellStyle name="Porcentaje 3 2 4 6" xfId="2608" xr:uid="{00000000-0005-0000-0000-00004C830000}"/>
    <cellStyle name="Porcentaje 3 2 4 6 2" xfId="7540" xr:uid="{00000000-0005-0000-0000-00004D830000}"/>
    <cellStyle name="Porcentaje 3 2 4 6 2 2" xfId="17400" xr:uid="{00000000-0005-0000-0000-00004E830000}"/>
    <cellStyle name="Porcentaje 3 2 4 6 2 2 2" xfId="37115" xr:uid="{00000000-0005-0000-0000-00004F830000}"/>
    <cellStyle name="Porcentaje 3 2 4 6 2 3" xfId="27258" xr:uid="{00000000-0005-0000-0000-000050830000}"/>
    <cellStyle name="Porcentaje 3 2 4 6 3" xfId="12472" xr:uid="{00000000-0005-0000-0000-000051830000}"/>
    <cellStyle name="Porcentaje 3 2 4 6 3 2" xfId="32187" xr:uid="{00000000-0005-0000-0000-000052830000}"/>
    <cellStyle name="Porcentaje 3 2 4 6 4" xfId="22330" xr:uid="{00000000-0005-0000-0000-000053830000}"/>
    <cellStyle name="Porcentaje 3 2 4 7" xfId="5076" xr:uid="{00000000-0005-0000-0000-000054830000}"/>
    <cellStyle name="Porcentaje 3 2 4 7 2" xfId="14936" xr:uid="{00000000-0005-0000-0000-000055830000}"/>
    <cellStyle name="Porcentaje 3 2 4 7 2 2" xfId="34651" xr:uid="{00000000-0005-0000-0000-000056830000}"/>
    <cellStyle name="Porcentaje 3 2 4 7 3" xfId="24794" xr:uid="{00000000-0005-0000-0000-000057830000}"/>
    <cellStyle name="Porcentaje 3 2 4 8" xfId="10008" xr:uid="{00000000-0005-0000-0000-000058830000}"/>
    <cellStyle name="Porcentaje 3 2 4 8 2" xfId="29723" xr:uid="{00000000-0005-0000-0000-000059830000}"/>
    <cellStyle name="Porcentaje 3 2 4 9" xfId="19866" xr:uid="{00000000-0005-0000-0000-00005A830000}"/>
    <cellStyle name="Porcentaje 3 2 5" xfId="202" xr:uid="{00000000-0005-0000-0000-00005B830000}"/>
    <cellStyle name="Porcentaje 3 2 5 2" xfId="516" xr:uid="{00000000-0005-0000-0000-00005C830000}"/>
    <cellStyle name="Porcentaje 3 2 5 2 2" xfId="1136" xr:uid="{00000000-0005-0000-0000-00005D830000}"/>
    <cellStyle name="Porcentaje 3 2 5 2 2 2" xfId="2371" xr:uid="{00000000-0005-0000-0000-00005E830000}"/>
    <cellStyle name="Porcentaje 3 2 5 2 2 2 2" xfId="4838" xr:uid="{00000000-0005-0000-0000-00005F830000}"/>
    <cellStyle name="Porcentaje 3 2 5 2 2 2 2 2" xfId="9770" xr:uid="{00000000-0005-0000-0000-000060830000}"/>
    <cellStyle name="Porcentaje 3 2 5 2 2 2 2 2 2" xfId="19630" xr:uid="{00000000-0005-0000-0000-000061830000}"/>
    <cellStyle name="Porcentaje 3 2 5 2 2 2 2 2 2 2" xfId="39345" xr:uid="{00000000-0005-0000-0000-000062830000}"/>
    <cellStyle name="Porcentaje 3 2 5 2 2 2 2 2 3" xfId="29488" xr:uid="{00000000-0005-0000-0000-000063830000}"/>
    <cellStyle name="Porcentaje 3 2 5 2 2 2 2 3" xfId="14702" xr:uid="{00000000-0005-0000-0000-000064830000}"/>
    <cellStyle name="Porcentaje 3 2 5 2 2 2 2 3 2" xfId="34417" xr:uid="{00000000-0005-0000-0000-000065830000}"/>
    <cellStyle name="Porcentaje 3 2 5 2 2 2 2 4" xfId="24560" xr:uid="{00000000-0005-0000-0000-000066830000}"/>
    <cellStyle name="Porcentaje 3 2 5 2 2 2 3" xfId="7306" xr:uid="{00000000-0005-0000-0000-000067830000}"/>
    <cellStyle name="Porcentaje 3 2 5 2 2 2 3 2" xfId="17166" xr:uid="{00000000-0005-0000-0000-000068830000}"/>
    <cellStyle name="Porcentaje 3 2 5 2 2 2 3 2 2" xfId="36881" xr:uid="{00000000-0005-0000-0000-000069830000}"/>
    <cellStyle name="Porcentaje 3 2 5 2 2 2 3 3" xfId="27024" xr:uid="{00000000-0005-0000-0000-00006A830000}"/>
    <cellStyle name="Porcentaje 3 2 5 2 2 2 4" xfId="12238" xr:uid="{00000000-0005-0000-0000-00006B830000}"/>
    <cellStyle name="Porcentaje 3 2 5 2 2 2 4 2" xfId="31953" xr:uid="{00000000-0005-0000-0000-00006C830000}"/>
    <cellStyle name="Porcentaje 3 2 5 2 2 2 5" xfId="22096" xr:uid="{00000000-0005-0000-0000-00006D830000}"/>
    <cellStyle name="Porcentaje 3 2 5 2 2 3" xfId="3606" xr:uid="{00000000-0005-0000-0000-00006E830000}"/>
    <cellStyle name="Porcentaje 3 2 5 2 2 3 2" xfId="8538" xr:uid="{00000000-0005-0000-0000-00006F830000}"/>
    <cellStyle name="Porcentaje 3 2 5 2 2 3 2 2" xfId="18398" xr:uid="{00000000-0005-0000-0000-000070830000}"/>
    <cellStyle name="Porcentaje 3 2 5 2 2 3 2 2 2" xfId="38113" xr:uid="{00000000-0005-0000-0000-000071830000}"/>
    <cellStyle name="Porcentaje 3 2 5 2 2 3 2 3" xfId="28256" xr:uid="{00000000-0005-0000-0000-000072830000}"/>
    <cellStyle name="Porcentaje 3 2 5 2 2 3 3" xfId="13470" xr:uid="{00000000-0005-0000-0000-000073830000}"/>
    <cellStyle name="Porcentaje 3 2 5 2 2 3 3 2" xfId="33185" xr:uid="{00000000-0005-0000-0000-000074830000}"/>
    <cellStyle name="Porcentaje 3 2 5 2 2 3 4" xfId="23328" xr:uid="{00000000-0005-0000-0000-000075830000}"/>
    <cellStyle name="Porcentaje 3 2 5 2 2 4" xfId="6074" xr:uid="{00000000-0005-0000-0000-000076830000}"/>
    <cellStyle name="Porcentaje 3 2 5 2 2 4 2" xfId="15934" xr:uid="{00000000-0005-0000-0000-000077830000}"/>
    <cellStyle name="Porcentaje 3 2 5 2 2 4 2 2" xfId="35649" xr:uid="{00000000-0005-0000-0000-000078830000}"/>
    <cellStyle name="Porcentaje 3 2 5 2 2 4 3" xfId="25792" xr:uid="{00000000-0005-0000-0000-000079830000}"/>
    <cellStyle name="Porcentaje 3 2 5 2 2 5" xfId="11006" xr:uid="{00000000-0005-0000-0000-00007A830000}"/>
    <cellStyle name="Porcentaje 3 2 5 2 2 5 2" xfId="30721" xr:uid="{00000000-0005-0000-0000-00007B830000}"/>
    <cellStyle name="Porcentaje 3 2 5 2 2 6" xfId="20864" xr:uid="{00000000-0005-0000-0000-00007C830000}"/>
    <cellStyle name="Porcentaje 3 2 5 2 3" xfId="1755" xr:uid="{00000000-0005-0000-0000-00007D830000}"/>
    <cellStyle name="Porcentaje 3 2 5 2 3 2" xfId="4222" xr:uid="{00000000-0005-0000-0000-00007E830000}"/>
    <cellStyle name="Porcentaje 3 2 5 2 3 2 2" xfId="9154" xr:uid="{00000000-0005-0000-0000-00007F830000}"/>
    <cellStyle name="Porcentaje 3 2 5 2 3 2 2 2" xfId="19014" xr:uid="{00000000-0005-0000-0000-000080830000}"/>
    <cellStyle name="Porcentaje 3 2 5 2 3 2 2 2 2" xfId="38729" xr:uid="{00000000-0005-0000-0000-000081830000}"/>
    <cellStyle name="Porcentaje 3 2 5 2 3 2 2 3" xfId="28872" xr:uid="{00000000-0005-0000-0000-000082830000}"/>
    <cellStyle name="Porcentaje 3 2 5 2 3 2 3" xfId="14086" xr:uid="{00000000-0005-0000-0000-000083830000}"/>
    <cellStyle name="Porcentaje 3 2 5 2 3 2 3 2" xfId="33801" xr:uid="{00000000-0005-0000-0000-000084830000}"/>
    <cellStyle name="Porcentaje 3 2 5 2 3 2 4" xfId="23944" xr:uid="{00000000-0005-0000-0000-000085830000}"/>
    <cellStyle name="Porcentaje 3 2 5 2 3 3" xfId="6690" xr:uid="{00000000-0005-0000-0000-000086830000}"/>
    <cellStyle name="Porcentaje 3 2 5 2 3 3 2" xfId="16550" xr:uid="{00000000-0005-0000-0000-000087830000}"/>
    <cellStyle name="Porcentaje 3 2 5 2 3 3 2 2" xfId="36265" xr:uid="{00000000-0005-0000-0000-000088830000}"/>
    <cellStyle name="Porcentaje 3 2 5 2 3 3 3" xfId="26408" xr:uid="{00000000-0005-0000-0000-000089830000}"/>
    <cellStyle name="Porcentaje 3 2 5 2 3 4" xfId="11622" xr:uid="{00000000-0005-0000-0000-00008A830000}"/>
    <cellStyle name="Porcentaje 3 2 5 2 3 4 2" xfId="31337" xr:uid="{00000000-0005-0000-0000-00008B830000}"/>
    <cellStyle name="Porcentaje 3 2 5 2 3 5" xfId="21480" xr:uid="{00000000-0005-0000-0000-00008C830000}"/>
    <cellStyle name="Porcentaje 3 2 5 2 4" xfId="2990" xr:uid="{00000000-0005-0000-0000-00008D830000}"/>
    <cellStyle name="Porcentaje 3 2 5 2 4 2" xfId="7922" xr:uid="{00000000-0005-0000-0000-00008E830000}"/>
    <cellStyle name="Porcentaje 3 2 5 2 4 2 2" xfId="17782" xr:uid="{00000000-0005-0000-0000-00008F830000}"/>
    <cellStyle name="Porcentaje 3 2 5 2 4 2 2 2" xfId="37497" xr:uid="{00000000-0005-0000-0000-000090830000}"/>
    <cellStyle name="Porcentaje 3 2 5 2 4 2 3" xfId="27640" xr:uid="{00000000-0005-0000-0000-000091830000}"/>
    <cellStyle name="Porcentaje 3 2 5 2 4 3" xfId="12854" xr:uid="{00000000-0005-0000-0000-000092830000}"/>
    <cellStyle name="Porcentaje 3 2 5 2 4 3 2" xfId="32569" xr:uid="{00000000-0005-0000-0000-000093830000}"/>
    <cellStyle name="Porcentaje 3 2 5 2 4 4" xfId="22712" xr:uid="{00000000-0005-0000-0000-000094830000}"/>
    <cellStyle name="Porcentaje 3 2 5 2 5" xfId="5458" xr:uid="{00000000-0005-0000-0000-000095830000}"/>
    <cellStyle name="Porcentaje 3 2 5 2 5 2" xfId="15318" xr:uid="{00000000-0005-0000-0000-000096830000}"/>
    <cellStyle name="Porcentaje 3 2 5 2 5 2 2" xfId="35033" xr:uid="{00000000-0005-0000-0000-000097830000}"/>
    <cellStyle name="Porcentaje 3 2 5 2 5 3" xfId="25176" xr:uid="{00000000-0005-0000-0000-000098830000}"/>
    <cellStyle name="Porcentaje 3 2 5 2 6" xfId="10390" xr:uid="{00000000-0005-0000-0000-000099830000}"/>
    <cellStyle name="Porcentaje 3 2 5 2 6 2" xfId="30105" xr:uid="{00000000-0005-0000-0000-00009A830000}"/>
    <cellStyle name="Porcentaje 3 2 5 2 7" xfId="20248" xr:uid="{00000000-0005-0000-0000-00009B830000}"/>
    <cellStyle name="Porcentaje 3 2 5 3" xfId="829" xr:uid="{00000000-0005-0000-0000-00009C830000}"/>
    <cellStyle name="Porcentaje 3 2 5 3 2" xfId="2065" xr:uid="{00000000-0005-0000-0000-00009D830000}"/>
    <cellStyle name="Porcentaje 3 2 5 3 2 2" xfId="4532" xr:uid="{00000000-0005-0000-0000-00009E830000}"/>
    <cellStyle name="Porcentaje 3 2 5 3 2 2 2" xfId="9464" xr:uid="{00000000-0005-0000-0000-00009F830000}"/>
    <cellStyle name="Porcentaje 3 2 5 3 2 2 2 2" xfId="19324" xr:uid="{00000000-0005-0000-0000-0000A0830000}"/>
    <cellStyle name="Porcentaje 3 2 5 3 2 2 2 2 2" xfId="39039" xr:uid="{00000000-0005-0000-0000-0000A1830000}"/>
    <cellStyle name="Porcentaje 3 2 5 3 2 2 2 3" xfId="29182" xr:uid="{00000000-0005-0000-0000-0000A2830000}"/>
    <cellStyle name="Porcentaje 3 2 5 3 2 2 3" xfId="14396" xr:uid="{00000000-0005-0000-0000-0000A3830000}"/>
    <cellStyle name="Porcentaje 3 2 5 3 2 2 3 2" xfId="34111" xr:uid="{00000000-0005-0000-0000-0000A4830000}"/>
    <cellStyle name="Porcentaje 3 2 5 3 2 2 4" xfId="24254" xr:uid="{00000000-0005-0000-0000-0000A5830000}"/>
    <cellStyle name="Porcentaje 3 2 5 3 2 3" xfId="7000" xr:uid="{00000000-0005-0000-0000-0000A6830000}"/>
    <cellStyle name="Porcentaje 3 2 5 3 2 3 2" xfId="16860" xr:uid="{00000000-0005-0000-0000-0000A7830000}"/>
    <cellStyle name="Porcentaje 3 2 5 3 2 3 2 2" xfId="36575" xr:uid="{00000000-0005-0000-0000-0000A8830000}"/>
    <cellStyle name="Porcentaje 3 2 5 3 2 3 3" xfId="26718" xr:uid="{00000000-0005-0000-0000-0000A9830000}"/>
    <cellStyle name="Porcentaje 3 2 5 3 2 4" xfId="11932" xr:uid="{00000000-0005-0000-0000-0000AA830000}"/>
    <cellStyle name="Porcentaje 3 2 5 3 2 4 2" xfId="31647" xr:uid="{00000000-0005-0000-0000-0000AB830000}"/>
    <cellStyle name="Porcentaje 3 2 5 3 2 5" xfId="21790" xr:uid="{00000000-0005-0000-0000-0000AC830000}"/>
    <cellStyle name="Porcentaje 3 2 5 3 3" xfId="3300" xr:uid="{00000000-0005-0000-0000-0000AD830000}"/>
    <cellStyle name="Porcentaje 3 2 5 3 3 2" xfId="8232" xr:uid="{00000000-0005-0000-0000-0000AE830000}"/>
    <cellStyle name="Porcentaje 3 2 5 3 3 2 2" xfId="18092" xr:uid="{00000000-0005-0000-0000-0000AF830000}"/>
    <cellStyle name="Porcentaje 3 2 5 3 3 2 2 2" xfId="37807" xr:uid="{00000000-0005-0000-0000-0000B0830000}"/>
    <cellStyle name="Porcentaje 3 2 5 3 3 2 3" xfId="27950" xr:uid="{00000000-0005-0000-0000-0000B1830000}"/>
    <cellStyle name="Porcentaje 3 2 5 3 3 3" xfId="13164" xr:uid="{00000000-0005-0000-0000-0000B2830000}"/>
    <cellStyle name="Porcentaje 3 2 5 3 3 3 2" xfId="32879" xr:uid="{00000000-0005-0000-0000-0000B3830000}"/>
    <cellStyle name="Porcentaje 3 2 5 3 3 4" xfId="23022" xr:uid="{00000000-0005-0000-0000-0000B4830000}"/>
    <cellStyle name="Porcentaje 3 2 5 3 4" xfId="5768" xr:uid="{00000000-0005-0000-0000-0000B5830000}"/>
    <cellStyle name="Porcentaje 3 2 5 3 4 2" xfId="15628" xr:uid="{00000000-0005-0000-0000-0000B6830000}"/>
    <cellStyle name="Porcentaje 3 2 5 3 4 2 2" xfId="35343" xr:uid="{00000000-0005-0000-0000-0000B7830000}"/>
    <cellStyle name="Porcentaje 3 2 5 3 4 3" xfId="25486" xr:uid="{00000000-0005-0000-0000-0000B8830000}"/>
    <cellStyle name="Porcentaje 3 2 5 3 5" xfId="10700" xr:uid="{00000000-0005-0000-0000-0000B9830000}"/>
    <cellStyle name="Porcentaje 3 2 5 3 5 2" xfId="30415" xr:uid="{00000000-0005-0000-0000-0000BA830000}"/>
    <cellStyle name="Porcentaje 3 2 5 3 6" xfId="20558" xr:uid="{00000000-0005-0000-0000-0000BB830000}"/>
    <cellStyle name="Porcentaje 3 2 5 4" xfId="1449" xr:uid="{00000000-0005-0000-0000-0000BC830000}"/>
    <cellStyle name="Porcentaje 3 2 5 4 2" xfId="3916" xr:uid="{00000000-0005-0000-0000-0000BD830000}"/>
    <cellStyle name="Porcentaje 3 2 5 4 2 2" xfId="8848" xr:uid="{00000000-0005-0000-0000-0000BE830000}"/>
    <cellStyle name="Porcentaje 3 2 5 4 2 2 2" xfId="18708" xr:uid="{00000000-0005-0000-0000-0000BF830000}"/>
    <cellStyle name="Porcentaje 3 2 5 4 2 2 2 2" xfId="38423" xr:uid="{00000000-0005-0000-0000-0000C0830000}"/>
    <cellStyle name="Porcentaje 3 2 5 4 2 2 3" xfId="28566" xr:uid="{00000000-0005-0000-0000-0000C1830000}"/>
    <cellStyle name="Porcentaje 3 2 5 4 2 3" xfId="13780" xr:uid="{00000000-0005-0000-0000-0000C2830000}"/>
    <cellStyle name="Porcentaje 3 2 5 4 2 3 2" xfId="33495" xr:uid="{00000000-0005-0000-0000-0000C3830000}"/>
    <cellStyle name="Porcentaje 3 2 5 4 2 4" xfId="23638" xr:uid="{00000000-0005-0000-0000-0000C4830000}"/>
    <cellStyle name="Porcentaje 3 2 5 4 3" xfId="6384" xr:uid="{00000000-0005-0000-0000-0000C5830000}"/>
    <cellStyle name="Porcentaje 3 2 5 4 3 2" xfId="16244" xr:uid="{00000000-0005-0000-0000-0000C6830000}"/>
    <cellStyle name="Porcentaje 3 2 5 4 3 2 2" xfId="35959" xr:uid="{00000000-0005-0000-0000-0000C7830000}"/>
    <cellStyle name="Porcentaje 3 2 5 4 3 3" xfId="26102" xr:uid="{00000000-0005-0000-0000-0000C8830000}"/>
    <cellStyle name="Porcentaje 3 2 5 4 4" xfId="11316" xr:uid="{00000000-0005-0000-0000-0000C9830000}"/>
    <cellStyle name="Porcentaje 3 2 5 4 4 2" xfId="31031" xr:uid="{00000000-0005-0000-0000-0000CA830000}"/>
    <cellStyle name="Porcentaje 3 2 5 4 5" xfId="21174" xr:uid="{00000000-0005-0000-0000-0000CB830000}"/>
    <cellStyle name="Porcentaje 3 2 5 5" xfId="2684" xr:uid="{00000000-0005-0000-0000-0000CC830000}"/>
    <cellStyle name="Porcentaje 3 2 5 5 2" xfId="7616" xr:uid="{00000000-0005-0000-0000-0000CD830000}"/>
    <cellStyle name="Porcentaje 3 2 5 5 2 2" xfId="17476" xr:uid="{00000000-0005-0000-0000-0000CE830000}"/>
    <cellStyle name="Porcentaje 3 2 5 5 2 2 2" xfId="37191" xr:uid="{00000000-0005-0000-0000-0000CF830000}"/>
    <cellStyle name="Porcentaje 3 2 5 5 2 3" xfId="27334" xr:uid="{00000000-0005-0000-0000-0000D0830000}"/>
    <cellStyle name="Porcentaje 3 2 5 5 3" xfId="12548" xr:uid="{00000000-0005-0000-0000-0000D1830000}"/>
    <cellStyle name="Porcentaje 3 2 5 5 3 2" xfId="32263" xr:uid="{00000000-0005-0000-0000-0000D2830000}"/>
    <cellStyle name="Porcentaje 3 2 5 5 4" xfId="22406" xr:uid="{00000000-0005-0000-0000-0000D3830000}"/>
    <cellStyle name="Porcentaje 3 2 5 6" xfId="5152" xr:uid="{00000000-0005-0000-0000-0000D4830000}"/>
    <cellStyle name="Porcentaje 3 2 5 6 2" xfId="15012" xr:uid="{00000000-0005-0000-0000-0000D5830000}"/>
    <cellStyle name="Porcentaje 3 2 5 6 2 2" xfId="34727" xr:uid="{00000000-0005-0000-0000-0000D6830000}"/>
    <cellStyle name="Porcentaje 3 2 5 6 3" xfId="24870" xr:uid="{00000000-0005-0000-0000-0000D7830000}"/>
    <cellStyle name="Porcentaje 3 2 5 7" xfId="10084" xr:uid="{00000000-0005-0000-0000-0000D8830000}"/>
    <cellStyle name="Porcentaje 3 2 5 7 2" xfId="29799" xr:uid="{00000000-0005-0000-0000-0000D9830000}"/>
    <cellStyle name="Porcentaje 3 2 5 8" xfId="19942" xr:uid="{00000000-0005-0000-0000-0000DA830000}"/>
    <cellStyle name="Porcentaje 3 2 6" xfId="364" xr:uid="{00000000-0005-0000-0000-0000DB830000}"/>
    <cellStyle name="Porcentaje 3 2 6 2" xfId="984" xr:uid="{00000000-0005-0000-0000-0000DC830000}"/>
    <cellStyle name="Porcentaje 3 2 6 2 2" xfId="2219" xr:uid="{00000000-0005-0000-0000-0000DD830000}"/>
    <cellStyle name="Porcentaje 3 2 6 2 2 2" xfId="4686" xr:uid="{00000000-0005-0000-0000-0000DE830000}"/>
    <cellStyle name="Porcentaje 3 2 6 2 2 2 2" xfId="9618" xr:uid="{00000000-0005-0000-0000-0000DF830000}"/>
    <cellStyle name="Porcentaje 3 2 6 2 2 2 2 2" xfId="19478" xr:uid="{00000000-0005-0000-0000-0000E0830000}"/>
    <cellStyle name="Porcentaje 3 2 6 2 2 2 2 2 2" xfId="39193" xr:uid="{00000000-0005-0000-0000-0000E1830000}"/>
    <cellStyle name="Porcentaje 3 2 6 2 2 2 2 3" xfId="29336" xr:uid="{00000000-0005-0000-0000-0000E2830000}"/>
    <cellStyle name="Porcentaje 3 2 6 2 2 2 3" xfId="14550" xr:uid="{00000000-0005-0000-0000-0000E3830000}"/>
    <cellStyle name="Porcentaje 3 2 6 2 2 2 3 2" xfId="34265" xr:uid="{00000000-0005-0000-0000-0000E4830000}"/>
    <cellStyle name="Porcentaje 3 2 6 2 2 2 4" xfId="24408" xr:uid="{00000000-0005-0000-0000-0000E5830000}"/>
    <cellStyle name="Porcentaje 3 2 6 2 2 3" xfId="7154" xr:uid="{00000000-0005-0000-0000-0000E6830000}"/>
    <cellStyle name="Porcentaje 3 2 6 2 2 3 2" xfId="17014" xr:uid="{00000000-0005-0000-0000-0000E7830000}"/>
    <cellStyle name="Porcentaje 3 2 6 2 2 3 2 2" xfId="36729" xr:uid="{00000000-0005-0000-0000-0000E8830000}"/>
    <cellStyle name="Porcentaje 3 2 6 2 2 3 3" xfId="26872" xr:uid="{00000000-0005-0000-0000-0000E9830000}"/>
    <cellStyle name="Porcentaje 3 2 6 2 2 4" xfId="12086" xr:uid="{00000000-0005-0000-0000-0000EA830000}"/>
    <cellStyle name="Porcentaje 3 2 6 2 2 4 2" xfId="31801" xr:uid="{00000000-0005-0000-0000-0000EB830000}"/>
    <cellStyle name="Porcentaje 3 2 6 2 2 5" xfId="21944" xr:uid="{00000000-0005-0000-0000-0000EC830000}"/>
    <cellStyle name="Porcentaje 3 2 6 2 3" xfId="3454" xr:uid="{00000000-0005-0000-0000-0000ED830000}"/>
    <cellStyle name="Porcentaje 3 2 6 2 3 2" xfId="8386" xr:uid="{00000000-0005-0000-0000-0000EE830000}"/>
    <cellStyle name="Porcentaje 3 2 6 2 3 2 2" xfId="18246" xr:uid="{00000000-0005-0000-0000-0000EF830000}"/>
    <cellStyle name="Porcentaje 3 2 6 2 3 2 2 2" xfId="37961" xr:uid="{00000000-0005-0000-0000-0000F0830000}"/>
    <cellStyle name="Porcentaje 3 2 6 2 3 2 3" xfId="28104" xr:uid="{00000000-0005-0000-0000-0000F1830000}"/>
    <cellStyle name="Porcentaje 3 2 6 2 3 3" xfId="13318" xr:uid="{00000000-0005-0000-0000-0000F2830000}"/>
    <cellStyle name="Porcentaje 3 2 6 2 3 3 2" xfId="33033" xr:uid="{00000000-0005-0000-0000-0000F3830000}"/>
    <cellStyle name="Porcentaje 3 2 6 2 3 4" xfId="23176" xr:uid="{00000000-0005-0000-0000-0000F4830000}"/>
    <cellStyle name="Porcentaje 3 2 6 2 4" xfId="5922" xr:uid="{00000000-0005-0000-0000-0000F5830000}"/>
    <cellStyle name="Porcentaje 3 2 6 2 4 2" xfId="15782" xr:uid="{00000000-0005-0000-0000-0000F6830000}"/>
    <cellStyle name="Porcentaje 3 2 6 2 4 2 2" xfId="35497" xr:uid="{00000000-0005-0000-0000-0000F7830000}"/>
    <cellStyle name="Porcentaje 3 2 6 2 4 3" xfId="25640" xr:uid="{00000000-0005-0000-0000-0000F8830000}"/>
    <cellStyle name="Porcentaje 3 2 6 2 5" xfId="10854" xr:uid="{00000000-0005-0000-0000-0000F9830000}"/>
    <cellStyle name="Porcentaje 3 2 6 2 5 2" xfId="30569" xr:uid="{00000000-0005-0000-0000-0000FA830000}"/>
    <cellStyle name="Porcentaje 3 2 6 2 6" xfId="20712" xr:uid="{00000000-0005-0000-0000-0000FB830000}"/>
    <cellStyle name="Porcentaje 3 2 6 3" xfId="1603" xr:uid="{00000000-0005-0000-0000-0000FC830000}"/>
    <cellStyle name="Porcentaje 3 2 6 3 2" xfId="4070" xr:uid="{00000000-0005-0000-0000-0000FD830000}"/>
    <cellStyle name="Porcentaje 3 2 6 3 2 2" xfId="9002" xr:uid="{00000000-0005-0000-0000-0000FE830000}"/>
    <cellStyle name="Porcentaje 3 2 6 3 2 2 2" xfId="18862" xr:uid="{00000000-0005-0000-0000-0000FF830000}"/>
    <cellStyle name="Porcentaje 3 2 6 3 2 2 2 2" xfId="38577" xr:uid="{00000000-0005-0000-0000-000000840000}"/>
    <cellStyle name="Porcentaje 3 2 6 3 2 2 3" xfId="28720" xr:uid="{00000000-0005-0000-0000-000001840000}"/>
    <cellStyle name="Porcentaje 3 2 6 3 2 3" xfId="13934" xr:uid="{00000000-0005-0000-0000-000002840000}"/>
    <cellStyle name="Porcentaje 3 2 6 3 2 3 2" xfId="33649" xr:uid="{00000000-0005-0000-0000-000003840000}"/>
    <cellStyle name="Porcentaje 3 2 6 3 2 4" xfId="23792" xr:uid="{00000000-0005-0000-0000-000004840000}"/>
    <cellStyle name="Porcentaje 3 2 6 3 3" xfId="6538" xr:uid="{00000000-0005-0000-0000-000005840000}"/>
    <cellStyle name="Porcentaje 3 2 6 3 3 2" xfId="16398" xr:uid="{00000000-0005-0000-0000-000006840000}"/>
    <cellStyle name="Porcentaje 3 2 6 3 3 2 2" xfId="36113" xr:uid="{00000000-0005-0000-0000-000007840000}"/>
    <cellStyle name="Porcentaje 3 2 6 3 3 3" xfId="26256" xr:uid="{00000000-0005-0000-0000-000008840000}"/>
    <cellStyle name="Porcentaje 3 2 6 3 4" xfId="11470" xr:uid="{00000000-0005-0000-0000-000009840000}"/>
    <cellStyle name="Porcentaje 3 2 6 3 4 2" xfId="31185" xr:uid="{00000000-0005-0000-0000-00000A840000}"/>
    <cellStyle name="Porcentaje 3 2 6 3 5" xfId="21328" xr:uid="{00000000-0005-0000-0000-00000B840000}"/>
    <cellStyle name="Porcentaje 3 2 6 4" xfId="2838" xr:uid="{00000000-0005-0000-0000-00000C840000}"/>
    <cellStyle name="Porcentaje 3 2 6 4 2" xfId="7770" xr:uid="{00000000-0005-0000-0000-00000D840000}"/>
    <cellStyle name="Porcentaje 3 2 6 4 2 2" xfId="17630" xr:uid="{00000000-0005-0000-0000-00000E840000}"/>
    <cellStyle name="Porcentaje 3 2 6 4 2 2 2" xfId="37345" xr:uid="{00000000-0005-0000-0000-00000F840000}"/>
    <cellStyle name="Porcentaje 3 2 6 4 2 3" xfId="27488" xr:uid="{00000000-0005-0000-0000-000010840000}"/>
    <cellStyle name="Porcentaje 3 2 6 4 3" xfId="12702" xr:uid="{00000000-0005-0000-0000-000011840000}"/>
    <cellStyle name="Porcentaje 3 2 6 4 3 2" xfId="32417" xr:uid="{00000000-0005-0000-0000-000012840000}"/>
    <cellStyle name="Porcentaje 3 2 6 4 4" xfId="22560" xr:uid="{00000000-0005-0000-0000-000013840000}"/>
    <cellStyle name="Porcentaje 3 2 6 5" xfId="5306" xr:uid="{00000000-0005-0000-0000-000014840000}"/>
    <cellStyle name="Porcentaje 3 2 6 5 2" xfId="15166" xr:uid="{00000000-0005-0000-0000-000015840000}"/>
    <cellStyle name="Porcentaje 3 2 6 5 2 2" xfId="34881" xr:uid="{00000000-0005-0000-0000-000016840000}"/>
    <cellStyle name="Porcentaje 3 2 6 5 3" xfId="25024" xr:uid="{00000000-0005-0000-0000-000017840000}"/>
    <cellStyle name="Porcentaje 3 2 6 6" xfId="10238" xr:uid="{00000000-0005-0000-0000-000018840000}"/>
    <cellStyle name="Porcentaje 3 2 6 6 2" xfId="29953" xr:uid="{00000000-0005-0000-0000-000019840000}"/>
    <cellStyle name="Porcentaje 3 2 6 7" xfId="20096" xr:uid="{00000000-0005-0000-0000-00001A840000}"/>
    <cellStyle name="Porcentaje 3 2 7" xfId="677" xr:uid="{00000000-0005-0000-0000-00001B840000}"/>
    <cellStyle name="Porcentaje 3 2 7 2" xfId="1913" xr:uid="{00000000-0005-0000-0000-00001C840000}"/>
    <cellStyle name="Porcentaje 3 2 7 2 2" xfId="4380" xr:uid="{00000000-0005-0000-0000-00001D840000}"/>
    <cellStyle name="Porcentaje 3 2 7 2 2 2" xfId="9312" xr:uid="{00000000-0005-0000-0000-00001E840000}"/>
    <cellStyle name="Porcentaje 3 2 7 2 2 2 2" xfId="19172" xr:uid="{00000000-0005-0000-0000-00001F840000}"/>
    <cellStyle name="Porcentaje 3 2 7 2 2 2 2 2" xfId="38887" xr:uid="{00000000-0005-0000-0000-000020840000}"/>
    <cellStyle name="Porcentaje 3 2 7 2 2 2 3" xfId="29030" xr:uid="{00000000-0005-0000-0000-000021840000}"/>
    <cellStyle name="Porcentaje 3 2 7 2 2 3" xfId="14244" xr:uid="{00000000-0005-0000-0000-000022840000}"/>
    <cellStyle name="Porcentaje 3 2 7 2 2 3 2" xfId="33959" xr:uid="{00000000-0005-0000-0000-000023840000}"/>
    <cellStyle name="Porcentaje 3 2 7 2 2 4" xfId="24102" xr:uid="{00000000-0005-0000-0000-000024840000}"/>
    <cellStyle name="Porcentaje 3 2 7 2 3" xfId="6848" xr:uid="{00000000-0005-0000-0000-000025840000}"/>
    <cellStyle name="Porcentaje 3 2 7 2 3 2" xfId="16708" xr:uid="{00000000-0005-0000-0000-000026840000}"/>
    <cellStyle name="Porcentaje 3 2 7 2 3 2 2" xfId="36423" xr:uid="{00000000-0005-0000-0000-000027840000}"/>
    <cellStyle name="Porcentaje 3 2 7 2 3 3" xfId="26566" xr:uid="{00000000-0005-0000-0000-000028840000}"/>
    <cellStyle name="Porcentaje 3 2 7 2 4" xfId="11780" xr:uid="{00000000-0005-0000-0000-000029840000}"/>
    <cellStyle name="Porcentaje 3 2 7 2 4 2" xfId="31495" xr:uid="{00000000-0005-0000-0000-00002A840000}"/>
    <cellStyle name="Porcentaje 3 2 7 2 5" xfId="21638" xr:uid="{00000000-0005-0000-0000-00002B840000}"/>
    <cellStyle name="Porcentaje 3 2 7 3" xfId="3148" xr:uid="{00000000-0005-0000-0000-00002C840000}"/>
    <cellStyle name="Porcentaje 3 2 7 3 2" xfId="8080" xr:uid="{00000000-0005-0000-0000-00002D840000}"/>
    <cellStyle name="Porcentaje 3 2 7 3 2 2" xfId="17940" xr:uid="{00000000-0005-0000-0000-00002E840000}"/>
    <cellStyle name="Porcentaje 3 2 7 3 2 2 2" xfId="37655" xr:uid="{00000000-0005-0000-0000-00002F840000}"/>
    <cellStyle name="Porcentaje 3 2 7 3 2 3" xfId="27798" xr:uid="{00000000-0005-0000-0000-000030840000}"/>
    <cellStyle name="Porcentaje 3 2 7 3 3" xfId="13012" xr:uid="{00000000-0005-0000-0000-000031840000}"/>
    <cellStyle name="Porcentaje 3 2 7 3 3 2" xfId="32727" xr:uid="{00000000-0005-0000-0000-000032840000}"/>
    <cellStyle name="Porcentaje 3 2 7 3 4" xfId="22870" xr:uid="{00000000-0005-0000-0000-000033840000}"/>
    <cellStyle name="Porcentaje 3 2 7 4" xfId="5616" xr:uid="{00000000-0005-0000-0000-000034840000}"/>
    <cellStyle name="Porcentaje 3 2 7 4 2" xfId="15476" xr:uid="{00000000-0005-0000-0000-000035840000}"/>
    <cellStyle name="Porcentaje 3 2 7 4 2 2" xfId="35191" xr:uid="{00000000-0005-0000-0000-000036840000}"/>
    <cellStyle name="Porcentaje 3 2 7 4 3" xfId="25334" xr:uid="{00000000-0005-0000-0000-000037840000}"/>
    <cellStyle name="Porcentaje 3 2 7 5" xfId="10548" xr:uid="{00000000-0005-0000-0000-000038840000}"/>
    <cellStyle name="Porcentaje 3 2 7 5 2" xfId="30263" xr:uid="{00000000-0005-0000-0000-000039840000}"/>
    <cellStyle name="Porcentaje 3 2 7 6" xfId="20406" xr:uid="{00000000-0005-0000-0000-00003A840000}"/>
    <cellStyle name="Porcentaje 3 2 8" xfId="1297" xr:uid="{00000000-0005-0000-0000-00003B840000}"/>
    <cellStyle name="Porcentaje 3 2 8 2" xfId="3764" xr:uid="{00000000-0005-0000-0000-00003C840000}"/>
    <cellStyle name="Porcentaje 3 2 8 2 2" xfId="8696" xr:uid="{00000000-0005-0000-0000-00003D840000}"/>
    <cellStyle name="Porcentaje 3 2 8 2 2 2" xfId="18556" xr:uid="{00000000-0005-0000-0000-00003E840000}"/>
    <cellStyle name="Porcentaje 3 2 8 2 2 2 2" xfId="38271" xr:uid="{00000000-0005-0000-0000-00003F840000}"/>
    <cellStyle name="Porcentaje 3 2 8 2 2 3" xfId="28414" xr:uid="{00000000-0005-0000-0000-000040840000}"/>
    <cellStyle name="Porcentaje 3 2 8 2 3" xfId="13628" xr:uid="{00000000-0005-0000-0000-000041840000}"/>
    <cellStyle name="Porcentaje 3 2 8 2 3 2" xfId="33343" xr:uid="{00000000-0005-0000-0000-000042840000}"/>
    <cellStyle name="Porcentaje 3 2 8 2 4" xfId="23486" xr:uid="{00000000-0005-0000-0000-000043840000}"/>
    <cellStyle name="Porcentaje 3 2 8 3" xfId="6232" xr:uid="{00000000-0005-0000-0000-000044840000}"/>
    <cellStyle name="Porcentaje 3 2 8 3 2" xfId="16092" xr:uid="{00000000-0005-0000-0000-000045840000}"/>
    <cellStyle name="Porcentaje 3 2 8 3 2 2" xfId="35807" xr:uid="{00000000-0005-0000-0000-000046840000}"/>
    <cellStyle name="Porcentaje 3 2 8 3 3" xfId="25950" xr:uid="{00000000-0005-0000-0000-000047840000}"/>
    <cellStyle name="Porcentaje 3 2 8 4" xfId="11164" xr:uid="{00000000-0005-0000-0000-000048840000}"/>
    <cellStyle name="Porcentaje 3 2 8 4 2" xfId="30879" xr:uid="{00000000-0005-0000-0000-000049840000}"/>
    <cellStyle name="Porcentaje 3 2 8 5" xfId="21022" xr:uid="{00000000-0005-0000-0000-00004A840000}"/>
    <cellStyle name="Porcentaje 3 2 9" xfId="2532" xr:uid="{00000000-0005-0000-0000-00004B840000}"/>
    <cellStyle name="Porcentaje 3 2 9 2" xfId="7464" xr:uid="{00000000-0005-0000-0000-00004C840000}"/>
    <cellStyle name="Porcentaje 3 2 9 2 2" xfId="17324" xr:uid="{00000000-0005-0000-0000-00004D840000}"/>
    <cellStyle name="Porcentaje 3 2 9 2 2 2" xfId="37039" xr:uid="{00000000-0005-0000-0000-00004E840000}"/>
    <cellStyle name="Porcentaje 3 2 9 2 3" xfId="27182" xr:uid="{00000000-0005-0000-0000-00004F840000}"/>
    <cellStyle name="Porcentaje 3 2 9 3" xfId="12396" xr:uid="{00000000-0005-0000-0000-000050840000}"/>
    <cellStyle name="Porcentaje 3 2 9 3 2" xfId="32111" xr:uid="{00000000-0005-0000-0000-000051840000}"/>
    <cellStyle name="Porcentaje 3 2 9 4" xfId="22254" xr:uid="{00000000-0005-0000-0000-000052840000}"/>
    <cellStyle name="Porcentaje 3 3" xfId="45" xr:uid="{00000000-0005-0000-0000-000053840000}"/>
    <cellStyle name="Porcentaje 3 3 10" xfId="9942" xr:uid="{00000000-0005-0000-0000-000054840000}"/>
    <cellStyle name="Porcentaje 3 3 10 2" xfId="29657" xr:uid="{00000000-0005-0000-0000-000055840000}"/>
    <cellStyle name="Porcentaje 3 3 11" xfId="19800" xr:uid="{00000000-0005-0000-0000-000056840000}"/>
    <cellStyle name="Porcentaje 3 3 2" xfId="88" xr:uid="{00000000-0005-0000-0000-000057840000}"/>
    <cellStyle name="Porcentaje 3 3 2 10" xfId="19838" xr:uid="{00000000-0005-0000-0000-000058840000}"/>
    <cellStyle name="Porcentaje 3 3 2 2" xfId="169" xr:uid="{00000000-0005-0000-0000-000059840000}"/>
    <cellStyle name="Porcentaje 3 3 2 2 2" xfId="326" xr:uid="{00000000-0005-0000-0000-00005A840000}"/>
    <cellStyle name="Porcentaje 3 3 2 2 2 2" xfId="640" xr:uid="{00000000-0005-0000-0000-00005B840000}"/>
    <cellStyle name="Porcentaje 3 3 2 2 2 2 2" xfId="1260" xr:uid="{00000000-0005-0000-0000-00005C840000}"/>
    <cellStyle name="Porcentaje 3 3 2 2 2 2 2 2" xfId="2495" xr:uid="{00000000-0005-0000-0000-00005D840000}"/>
    <cellStyle name="Porcentaje 3 3 2 2 2 2 2 2 2" xfId="4962" xr:uid="{00000000-0005-0000-0000-00005E840000}"/>
    <cellStyle name="Porcentaje 3 3 2 2 2 2 2 2 2 2" xfId="9894" xr:uid="{00000000-0005-0000-0000-00005F840000}"/>
    <cellStyle name="Porcentaje 3 3 2 2 2 2 2 2 2 2 2" xfId="19754" xr:uid="{00000000-0005-0000-0000-000060840000}"/>
    <cellStyle name="Porcentaje 3 3 2 2 2 2 2 2 2 2 2 2" xfId="39469" xr:uid="{00000000-0005-0000-0000-000061840000}"/>
    <cellStyle name="Porcentaje 3 3 2 2 2 2 2 2 2 2 3" xfId="29612" xr:uid="{00000000-0005-0000-0000-000062840000}"/>
    <cellStyle name="Porcentaje 3 3 2 2 2 2 2 2 2 3" xfId="14826" xr:uid="{00000000-0005-0000-0000-000063840000}"/>
    <cellStyle name="Porcentaje 3 3 2 2 2 2 2 2 2 3 2" xfId="34541" xr:uid="{00000000-0005-0000-0000-000064840000}"/>
    <cellStyle name="Porcentaje 3 3 2 2 2 2 2 2 2 4" xfId="24684" xr:uid="{00000000-0005-0000-0000-000065840000}"/>
    <cellStyle name="Porcentaje 3 3 2 2 2 2 2 2 3" xfId="7430" xr:uid="{00000000-0005-0000-0000-000066840000}"/>
    <cellStyle name="Porcentaje 3 3 2 2 2 2 2 2 3 2" xfId="17290" xr:uid="{00000000-0005-0000-0000-000067840000}"/>
    <cellStyle name="Porcentaje 3 3 2 2 2 2 2 2 3 2 2" xfId="37005" xr:uid="{00000000-0005-0000-0000-000068840000}"/>
    <cellStyle name="Porcentaje 3 3 2 2 2 2 2 2 3 3" xfId="27148" xr:uid="{00000000-0005-0000-0000-000069840000}"/>
    <cellStyle name="Porcentaje 3 3 2 2 2 2 2 2 4" xfId="12362" xr:uid="{00000000-0005-0000-0000-00006A840000}"/>
    <cellStyle name="Porcentaje 3 3 2 2 2 2 2 2 4 2" xfId="32077" xr:uid="{00000000-0005-0000-0000-00006B840000}"/>
    <cellStyle name="Porcentaje 3 3 2 2 2 2 2 2 5" xfId="22220" xr:uid="{00000000-0005-0000-0000-00006C840000}"/>
    <cellStyle name="Porcentaje 3 3 2 2 2 2 2 3" xfId="3730" xr:uid="{00000000-0005-0000-0000-00006D840000}"/>
    <cellStyle name="Porcentaje 3 3 2 2 2 2 2 3 2" xfId="8662" xr:uid="{00000000-0005-0000-0000-00006E840000}"/>
    <cellStyle name="Porcentaje 3 3 2 2 2 2 2 3 2 2" xfId="18522" xr:uid="{00000000-0005-0000-0000-00006F840000}"/>
    <cellStyle name="Porcentaje 3 3 2 2 2 2 2 3 2 2 2" xfId="38237" xr:uid="{00000000-0005-0000-0000-000070840000}"/>
    <cellStyle name="Porcentaje 3 3 2 2 2 2 2 3 2 3" xfId="28380" xr:uid="{00000000-0005-0000-0000-000071840000}"/>
    <cellStyle name="Porcentaje 3 3 2 2 2 2 2 3 3" xfId="13594" xr:uid="{00000000-0005-0000-0000-000072840000}"/>
    <cellStyle name="Porcentaje 3 3 2 2 2 2 2 3 3 2" xfId="33309" xr:uid="{00000000-0005-0000-0000-000073840000}"/>
    <cellStyle name="Porcentaje 3 3 2 2 2 2 2 3 4" xfId="23452" xr:uid="{00000000-0005-0000-0000-000074840000}"/>
    <cellStyle name="Porcentaje 3 3 2 2 2 2 2 4" xfId="6198" xr:uid="{00000000-0005-0000-0000-000075840000}"/>
    <cellStyle name="Porcentaje 3 3 2 2 2 2 2 4 2" xfId="16058" xr:uid="{00000000-0005-0000-0000-000076840000}"/>
    <cellStyle name="Porcentaje 3 3 2 2 2 2 2 4 2 2" xfId="35773" xr:uid="{00000000-0005-0000-0000-000077840000}"/>
    <cellStyle name="Porcentaje 3 3 2 2 2 2 2 4 3" xfId="25916" xr:uid="{00000000-0005-0000-0000-000078840000}"/>
    <cellStyle name="Porcentaje 3 3 2 2 2 2 2 5" xfId="11130" xr:uid="{00000000-0005-0000-0000-000079840000}"/>
    <cellStyle name="Porcentaje 3 3 2 2 2 2 2 5 2" xfId="30845" xr:uid="{00000000-0005-0000-0000-00007A840000}"/>
    <cellStyle name="Porcentaje 3 3 2 2 2 2 2 6" xfId="20988" xr:uid="{00000000-0005-0000-0000-00007B840000}"/>
    <cellStyle name="Porcentaje 3 3 2 2 2 2 3" xfId="1879" xr:uid="{00000000-0005-0000-0000-00007C840000}"/>
    <cellStyle name="Porcentaje 3 3 2 2 2 2 3 2" xfId="4346" xr:uid="{00000000-0005-0000-0000-00007D840000}"/>
    <cellStyle name="Porcentaje 3 3 2 2 2 2 3 2 2" xfId="9278" xr:uid="{00000000-0005-0000-0000-00007E840000}"/>
    <cellStyle name="Porcentaje 3 3 2 2 2 2 3 2 2 2" xfId="19138" xr:uid="{00000000-0005-0000-0000-00007F840000}"/>
    <cellStyle name="Porcentaje 3 3 2 2 2 2 3 2 2 2 2" xfId="38853" xr:uid="{00000000-0005-0000-0000-000080840000}"/>
    <cellStyle name="Porcentaje 3 3 2 2 2 2 3 2 2 3" xfId="28996" xr:uid="{00000000-0005-0000-0000-000081840000}"/>
    <cellStyle name="Porcentaje 3 3 2 2 2 2 3 2 3" xfId="14210" xr:uid="{00000000-0005-0000-0000-000082840000}"/>
    <cellStyle name="Porcentaje 3 3 2 2 2 2 3 2 3 2" xfId="33925" xr:uid="{00000000-0005-0000-0000-000083840000}"/>
    <cellStyle name="Porcentaje 3 3 2 2 2 2 3 2 4" xfId="24068" xr:uid="{00000000-0005-0000-0000-000084840000}"/>
    <cellStyle name="Porcentaje 3 3 2 2 2 2 3 3" xfId="6814" xr:uid="{00000000-0005-0000-0000-000085840000}"/>
    <cellStyle name="Porcentaje 3 3 2 2 2 2 3 3 2" xfId="16674" xr:uid="{00000000-0005-0000-0000-000086840000}"/>
    <cellStyle name="Porcentaje 3 3 2 2 2 2 3 3 2 2" xfId="36389" xr:uid="{00000000-0005-0000-0000-000087840000}"/>
    <cellStyle name="Porcentaje 3 3 2 2 2 2 3 3 3" xfId="26532" xr:uid="{00000000-0005-0000-0000-000088840000}"/>
    <cellStyle name="Porcentaje 3 3 2 2 2 2 3 4" xfId="11746" xr:uid="{00000000-0005-0000-0000-000089840000}"/>
    <cellStyle name="Porcentaje 3 3 2 2 2 2 3 4 2" xfId="31461" xr:uid="{00000000-0005-0000-0000-00008A840000}"/>
    <cellStyle name="Porcentaje 3 3 2 2 2 2 3 5" xfId="21604" xr:uid="{00000000-0005-0000-0000-00008B840000}"/>
    <cellStyle name="Porcentaje 3 3 2 2 2 2 4" xfId="3114" xr:uid="{00000000-0005-0000-0000-00008C840000}"/>
    <cellStyle name="Porcentaje 3 3 2 2 2 2 4 2" xfId="8046" xr:uid="{00000000-0005-0000-0000-00008D840000}"/>
    <cellStyle name="Porcentaje 3 3 2 2 2 2 4 2 2" xfId="17906" xr:uid="{00000000-0005-0000-0000-00008E840000}"/>
    <cellStyle name="Porcentaje 3 3 2 2 2 2 4 2 2 2" xfId="37621" xr:uid="{00000000-0005-0000-0000-00008F840000}"/>
    <cellStyle name="Porcentaje 3 3 2 2 2 2 4 2 3" xfId="27764" xr:uid="{00000000-0005-0000-0000-000090840000}"/>
    <cellStyle name="Porcentaje 3 3 2 2 2 2 4 3" xfId="12978" xr:uid="{00000000-0005-0000-0000-000091840000}"/>
    <cellStyle name="Porcentaje 3 3 2 2 2 2 4 3 2" xfId="32693" xr:uid="{00000000-0005-0000-0000-000092840000}"/>
    <cellStyle name="Porcentaje 3 3 2 2 2 2 4 4" xfId="22836" xr:uid="{00000000-0005-0000-0000-000093840000}"/>
    <cellStyle name="Porcentaje 3 3 2 2 2 2 5" xfId="5582" xr:uid="{00000000-0005-0000-0000-000094840000}"/>
    <cellStyle name="Porcentaje 3 3 2 2 2 2 5 2" xfId="15442" xr:uid="{00000000-0005-0000-0000-000095840000}"/>
    <cellStyle name="Porcentaje 3 3 2 2 2 2 5 2 2" xfId="35157" xr:uid="{00000000-0005-0000-0000-000096840000}"/>
    <cellStyle name="Porcentaje 3 3 2 2 2 2 5 3" xfId="25300" xr:uid="{00000000-0005-0000-0000-000097840000}"/>
    <cellStyle name="Porcentaje 3 3 2 2 2 2 6" xfId="10514" xr:uid="{00000000-0005-0000-0000-000098840000}"/>
    <cellStyle name="Porcentaje 3 3 2 2 2 2 6 2" xfId="30229" xr:uid="{00000000-0005-0000-0000-000099840000}"/>
    <cellStyle name="Porcentaje 3 3 2 2 2 2 7" xfId="20372" xr:uid="{00000000-0005-0000-0000-00009A840000}"/>
    <cellStyle name="Porcentaje 3 3 2 2 2 3" xfId="953" xr:uid="{00000000-0005-0000-0000-00009B840000}"/>
    <cellStyle name="Porcentaje 3 3 2 2 2 3 2" xfId="2189" xr:uid="{00000000-0005-0000-0000-00009C840000}"/>
    <cellStyle name="Porcentaje 3 3 2 2 2 3 2 2" xfId="4656" xr:uid="{00000000-0005-0000-0000-00009D840000}"/>
    <cellStyle name="Porcentaje 3 3 2 2 2 3 2 2 2" xfId="9588" xr:uid="{00000000-0005-0000-0000-00009E840000}"/>
    <cellStyle name="Porcentaje 3 3 2 2 2 3 2 2 2 2" xfId="19448" xr:uid="{00000000-0005-0000-0000-00009F840000}"/>
    <cellStyle name="Porcentaje 3 3 2 2 2 3 2 2 2 2 2" xfId="39163" xr:uid="{00000000-0005-0000-0000-0000A0840000}"/>
    <cellStyle name="Porcentaje 3 3 2 2 2 3 2 2 2 3" xfId="29306" xr:uid="{00000000-0005-0000-0000-0000A1840000}"/>
    <cellStyle name="Porcentaje 3 3 2 2 2 3 2 2 3" xfId="14520" xr:uid="{00000000-0005-0000-0000-0000A2840000}"/>
    <cellStyle name="Porcentaje 3 3 2 2 2 3 2 2 3 2" xfId="34235" xr:uid="{00000000-0005-0000-0000-0000A3840000}"/>
    <cellStyle name="Porcentaje 3 3 2 2 2 3 2 2 4" xfId="24378" xr:uid="{00000000-0005-0000-0000-0000A4840000}"/>
    <cellStyle name="Porcentaje 3 3 2 2 2 3 2 3" xfId="7124" xr:uid="{00000000-0005-0000-0000-0000A5840000}"/>
    <cellStyle name="Porcentaje 3 3 2 2 2 3 2 3 2" xfId="16984" xr:uid="{00000000-0005-0000-0000-0000A6840000}"/>
    <cellStyle name="Porcentaje 3 3 2 2 2 3 2 3 2 2" xfId="36699" xr:uid="{00000000-0005-0000-0000-0000A7840000}"/>
    <cellStyle name="Porcentaje 3 3 2 2 2 3 2 3 3" xfId="26842" xr:uid="{00000000-0005-0000-0000-0000A8840000}"/>
    <cellStyle name="Porcentaje 3 3 2 2 2 3 2 4" xfId="12056" xr:uid="{00000000-0005-0000-0000-0000A9840000}"/>
    <cellStyle name="Porcentaje 3 3 2 2 2 3 2 4 2" xfId="31771" xr:uid="{00000000-0005-0000-0000-0000AA840000}"/>
    <cellStyle name="Porcentaje 3 3 2 2 2 3 2 5" xfId="21914" xr:uid="{00000000-0005-0000-0000-0000AB840000}"/>
    <cellStyle name="Porcentaje 3 3 2 2 2 3 3" xfId="3424" xr:uid="{00000000-0005-0000-0000-0000AC840000}"/>
    <cellStyle name="Porcentaje 3 3 2 2 2 3 3 2" xfId="8356" xr:uid="{00000000-0005-0000-0000-0000AD840000}"/>
    <cellStyle name="Porcentaje 3 3 2 2 2 3 3 2 2" xfId="18216" xr:uid="{00000000-0005-0000-0000-0000AE840000}"/>
    <cellStyle name="Porcentaje 3 3 2 2 2 3 3 2 2 2" xfId="37931" xr:uid="{00000000-0005-0000-0000-0000AF840000}"/>
    <cellStyle name="Porcentaje 3 3 2 2 2 3 3 2 3" xfId="28074" xr:uid="{00000000-0005-0000-0000-0000B0840000}"/>
    <cellStyle name="Porcentaje 3 3 2 2 2 3 3 3" xfId="13288" xr:uid="{00000000-0005-0000-0000-0000B1840000}"/>
    <cellStyle name="Porcentaje 3 3 2 2 2 3 3 3 2" xfId="33003" xr:uid="{00000000-0005-0000-0000-0000B2840000}"/>
    <cellStyle name="Porcentaje 3 3 2 2 2 3 3 4" xfId="23146" xr:uid="{00000000-0005-0000-0000-0000B3840000}"/>
    <cellStyle name="Porcentaje 3 3 2 2 2 3 4" xfId="5892" xr:uid="{00000000-0005-0000-0000-0000B4840000}"/>
    <cellStyle name="Porcentaje 3 3 2 2 2 3 4 2" xfId="15752" xr:uid="{00000000-0005-0000-0000-0000B5840000}"/>
    <cellStyle name="Porcentaje 3 3 2 2 2 3 4 2 2" xfId="35467" xr:uid="{00000000-0005-0000-0000-0000B6840000}"/>
    <cellStyle name="Porcentaje 3 3 2 2 2 3 4 3" xfId="25610" xr:uid="{00000000-0005-0000-0000-0000B7840000}"/>
    <cellStyle name="Porcentaje 3 3 2 2 2 3 5" xfId="10824" xr:uid="{00000000-0005-0000-0000-0000B8840000}"/>
    <cellStyle name="Porcentaje 3 3 2 2 2 3 5 2" xfId="30539" xr:uid="{00000000-0005-0000-0000-0000B9840000}"/>
    <cellStyle name="Porcentaje 3 3 2 2 2 3 6" xfId="20682" xr:uid="{00000000-0005-0000-0000-0000BA840000}"/>
    <cellStyle name="Porcentaje 3 3 2 2 2 4" xfId="1573" xr:uid="{00000000-0005-0000-0000-0000BB840000}"/>
    <cellStyle name="Porcentaje 3 3 2 2 2 4 2" xfId="4040" xr:uid="{00000000-0005-0000-0000-0000BC840000}"/>
    <cellStyle name="Porcentaje 3 3 2 2 2 4 2 2" xfId="8972" xr:uid="{00000000-0005-0000-0000-0000BD840000}"/>
    <cellStyle name="Porcentaje 3 3 2 2 2 4 2 2 2" xfId="18832" xr:uid="{00000000-0005-0000-0000-0000BE840000}"/>
    <cellStyle name="Porcentaje 3 3 2 2 2 4 2 2 2 2" xfId="38547" xr:uid="{00000000-0005-0000-0000-0000BF840000}"/>
    <cellStyle name="Porcentaje 3 3 2 2 2 4 2 2 3" xfId="28690" xr:uid="{00000000-0005-0000-0000-0000C0840000}"/>
    <cellStyle name="Porcentaje 3 3 2 2 2 4 2 3" xfId="13904" xr:uid="{00000000-0005-0000-0000-0000C1840000}"/>
    <cellStyle name="Porcentaje 3 3 2 2 2 4 2 3 2" xfId="33619" xr:uid="{00000000-0005-0000-0000-0000C2840000}"/>
    <cellStyle name="Porcentaje 3 3 2 2 2 4 2 4" xfId="23762" xr:uid="{00000000-0005-0000-0000-0000C3840000}"/>
    <cellStyle name="Porcentaje 3 3 2 2 2 4 3" xfId="6508" xr:uid="{00000000-0005-0000-0000-0000C4840000}"/>
    <cellStyle name="Porcentaje 3 3 2 2 2 4 3 2" xfId="16368" xr:uid="{00000000-0005-0000-0000-0000C5840000}"/>
    <cellStyle name="Porcentaje 3 3 2 2 2 4 3 2 2" xfId="36083" xr:uid="{00000000-0005-0000-0000-0000C6840000}"/>
    <cellStyle name="Porcentaje 3 3 2 2 2 4 3 3" xfId="26226" xr:uid="{00000000-0005-0000-0000-0000C7840000}"/>
    <cellStyle name="Porcentaje 3 3 2 2 2 4 4" xfId="11440" xr:uid="{00000000-0005-0000-0000-0000C8840000}"/>
    <cellStyle name="Porcentaje 3 3 2 2 2 4 4 2" xfId="31155" xr:uid="{00000000-0005-0000-0000-0000C9840000}"/>
    <cellStyle name="Porcentaje 3 3 2 2 2 4 5" xfId="21298" xr:uid="{00000000-0005-0000-0000-0000CA840000}"/>
    <cellStyle name="Porcentaje 3 3 2 2 2 5" xfId="2808" xr:uid="{00000000-0005-0000-0000-0000CB840000}"/>
    <cellStyle name="Porcentaje 3 3 2 2 2 5 2" xfId="7740" xr:uid="{00000000-0005-0000-0000-0000CC840000}"/>
    <cellStyle name="Porcentaje 3 3 2 2 2 5 2 2" xfId="17600" xr:uid="{00000000-0005-0000-0000-0000CD840000}"/>
    <cellStyle name="Porcentaje 3 3 2 2 2 5 2 2 2" xfId="37315" xr:uid="{00000000-0005-0000-0000-0000CE840000}"/>
    <cellStyle name="Porcentaje 3 3 2 2 2 5 2 3" xfId="27458" xr:uid="{00000000-0005-0000-0000-0000CF840000}"/>
    <cellStyle name="Porcentaje 3 3 2 2 2 5 3" xfId="12672" xr:uid="{00000000-0005-0000-0000-0000D0840000}"/>
    <cellStyle name="Porcentaje 3 3 2 2 2 5 3 2" xfId="32387" xr:uid="{00000000-0005-0000-0000-0000D1840000}"/>
    <cellStyle name="Porcentaje 3 3 2 2 2 5 4" xfId="22530" xr:uid="{00000000-0005-0000-0000-0000D2840000}"/>
    <cellStyle name="Porcentaje 3 3 2 2 2 6" xfId="5276" xr:uid="{00000000-0005-0000-0000-0000D3840000}"/>
    <cellStyle name="Porcentaje 3 3 2 2 2 6 2" xfId="15136" xr:uid="{00000000-0005-0000-0000-0000D4840000}"/>
    <cellStyle name="Porcentaje 3 3 2 2 2 6 2 2" xfId="34851" xr:uid="{00000000-0005-0000-0000-0000D5840000}"/>
    <cellStyle name="Porcentaje 3 3 2 2 2 6 3" xfId="24994" xr:uid="{00000000-0005-0000-0000-0000D6840000}"/>
    <cellStyle name="Porcentaje 3 3 2 2 2 7" xfId="10208" xr:uid="{00000000-0005-0000-0000-0000D7840000}"/>
    <cellStyle name="Porcentaje 3 3 2 2 2 7 2" xfId="29923" xr:uid="{00000000-0005-0000-0000-0000D8840000}"/>
    <cellStyle name="Porcentaje 3 3 2 2 2 8" xfId="20066" xr:uid="{00000000-0005-0000-0000-0000D9840000}"/>
    <cellStyle name="Porcentaje 3 3 2 2 3" xfId="488" xr:uid="{00000000-0005-0000-0000-0000DA840000}"/>
    <cellStyle name="Porcentaje 3 3 2 2 3 2" xfId="1108" xr:uid="{00000000-0005-0000-0000-0000DB840000}"/>
    <cellStyle name="Porcentaje 3 3 2 2 3 2 2" xfId="2343" xr:uid="{00000000-0005-0000-0000-0000DC840000}"/>
    <cellStyle name="Porcentaje 3 3 2 2 3 2 2 2" xfId="4810" xr:uid="{00000000-0005-0000-0000-0000DD840000}"/>
    <cellStyle name="Porcentaje 3 3 2 2 3 2 2 2 2" xfId="9742" xr:uid="{00000000-0005-0000-0000-0000DE840000}"/>
    <cellStyle name="Porcentaje 3 3 2 2 3 2 2 2 2 2" xfId="19602" xr:uid="{00000000-0005-0000-0000-0000DF840000}"/>
    <cellStyle name="Porcentaje 3 3 2 2 3 2 2 2 2 2 2" xfId="39317" xr:uid="{00000000-0005-0000-0000-0000E0840000}"/>
    <cellStyle name="Porcentaje 3 3 2 2 3 2 2 2 2 3" xfId="29460" xr:uid="{00000000-0005-0000-0000-0000E1840000}"/>
    <cellStyle name="Porcentaje 3 3 2 2 3 2 2 2 3" xfId="14674" xr:uid="{00000000-0005-0000-0000-0000E2840000}"/>
    <cellStyle name="Porcentaje 3 3 2 2 3 2 2 2 3 2" xfId="34389" xr:uid="{00000000-0005-0000-0000-0000E3840000}"/>
    <cellStyle name="Porcentaje 3 3 2 2 3 2 2 2 4" xfId="24532" xr:uid="{00000000-0005-0000-0000-0000E4840000}"/>
    <cellStyle name="Porcentaje 3 3 2 2 3 2 2 3" xfId="7278" xr:uid="{00000000-0005-0000-0000-0000E5840000}"/>
    <cellStyle name="Porcentaje 3 3 2 2 3 2 2 3 2" xfId="17138" xr:uid="{00000000-0005-0000-0000-0000E6840000}"/>
    <cellStyle name="Porcentaje 3 3 2 2 3 2 2 3 2 2" xfId="36853" xr:uid="{00000000-0005-0000-0000-0000E7840000}"/>
    <cellStyle name="Porcentaje 3 3 2 2 3 2 2 3 3" xfId="26996" xr:uid="{00000000-0005-0000-0000-0000E8840000}"/>
    <cellStyle name="Porcentaje 3 3 2 2 3 2 2 4" xfId="12210" xr:uid="{00000000-0005-0000-0000-0000E9840000}"/>
    <cellStyle name="Porcentaje 3 3 2 2 3 2 2 4 2" xfId="31925" xr:uid="{00000000-0005-0000-0000-0000EA840000}"/>
    <cellStyle name="Porcentaje 3 3 2 2 3 2 2 5" xfId="22068" xr:uid="{00000000-0005-0000-0000-0000EB840000}"/>
    <cellStyle name="Porcentaje 3 3 2 2 3 2 3" xfId="3578" xr:uid="{00000000-0005-0000-0000-0000EC840000}"/>
    <cellStyle name="Porcentaje 3 3 2 2 3 2 3 2" xfId="8510" xr:uid="{00000000-0005-0000-0000-0000ED840000}"/>
    <cellStyle name="Porcentaje 3 3 2 2 3 2 3 2 2" xfId="18370" xr:uid="{00000000-0005-0000-0000-0000EE840000}"/>
    <cellStyle name="Porcentaje 3 3 2 2 3 2 3 2 2 2" xfId="38085" xr:uid="{00000000-0005-0000-0000-0000EF840000}"/>
    <cellStyle name="Porcentaje 3 3 2 2 3 2 3 2 3" xfId="28228" xr:uid="{00000000-0005-0000-0000-0000F0840000}"/>
    <cellStyle name="Porcentaje 3 3 2 2 3 2 3 3" xfId="13442" xr:uid="{00000000-0005-0000-0000-0000F1840000}"/>
    <cellStyle name="Porcentaje 3 3 2 2 3 2 3 3 2" xfId="33157" xr:uid="{00000000-0005-0000-0000-0000F2840000}"/>
    <cellStyle name="Porcentaje 3 3 2 2 3 2 3 4" xfId="23300" xr:uid="{00000000-0005-0000-0000-0000F3840000}"/>
    <cellStyle name="Porcentaje 3 3 2 2 3 2 4" xfId="6046" xr:uid="{00000000-0005-0000-0000-0000F4840000}"/>
    <cellStyle name="Porcentaje 3 3 2 2 3 2 4 2" xfId="15906" xr:uid="{00000000-0005-0000-0000-0000F5840000}"/>
    <cellStyle name="Porcentaje 3 3 2 2 3 2 4 2 2" xfId="35621" xr:uid="{00000000-0005-0000-0000-0000F6840000}"/>
    <cellStyle name="Porcentaje 3 3 2 2 3 2 4 3" xfId="25764" xr:uid="{00000000-0005-0000-0000-0000F7840000}"/>
    <cellStyle name="Porcentaje 3 3 2 2 3 2 5" xfId="10978" xr:uid="{00000000-0005-0000-0000-0000F8840000}"/>
    <cellStyle name="Porcentaje 3 3 2 2 3 2 5 2" xfId="30693" xr:uid="{00000000-0005-0000-0000-0000F9840000}"/>
    <cellStyle name="Porcentaje 3 3 2 2 3 2 6" xfId="20836" xr:uid="{00000000-0005-0000-0000-0000FA840000}"/>
    <cellStyle name="Porcentaje 3 3 2 2 3 3" xfId="1727" xr:uid="{00000000-0005-0000-0000-0000FB840000}"/>
    <cellStyle name="Porcentaje 3 3 2 2 3 3 2" xfId="4194" xr:uid="{00000000-0005-0000-0000-0000FC840000}"/>
    <cellStyle name="Porcentaje 3 3 2 2 3 3 2 2" xfId="9126" xr:uid="{00000000-0005-0000-0000-0000FD840000}"/>
    <cellStyle name="Porcentaje 3 3 2 2 3 3 2 2 2" xfId="18986" xr:uid="{00000000-0005-0000-0000-0000FE840000}"/>
    <cellStyle name="Porcentaje 3 3 2 2 3 3 2 2 2 2" xfId="38701" xr:uid="{00000000-0005-0000-0000-0000FF840000}"/>
    <cellStyle name="Porcentaje 3 3 2 2 3 3 2 2 3" xfId="28844" xr:uid="{00000000-0005-0000-0000-000000850000}"/>
    <cellStyle name="Porcentaje 3 3 2 2 3 3 2 3" xfId="14058" xr:uid="{00000000-0005-0000-0000-000001850000}"/>
    <cellStyle name="Porcentaje 3 3 2 2 3 3 2 3 2" xfId="33773" xr:uid="{00000000-0005-0000-0000-000002850000}"/>
    <cellStyle name="Porcentaje 3 3 2 2 3 3 2 4" xfId="23916" xr:uid="{00000000-0005-0000-0000-000003850000}"/>
    <cellStyle name="Porcentaje 3 3 2 2 3 3 3" xfId="6662" xr:uid="{00000000-0005-0000-0000-000004850000}"/>
    <cellStyle name="Porcentaje 3 3 2 2 3 3 3 2" xfId="16522" xr:uid="{00000000-0005-0000-0000-000005850000}"/>
    <cellStyle name="Porcentaje 3 3 2 2 3 3 3 2 2" xfId="36237" xr:uid="{00000000-0005-0000-0000-000006850000}"/>
    <cellStyle name="Porcentaje 3 3 2 2 3 3 3 3" xfId="26380" xr:uid="{00000000-0005-0000-0000-000007850000}"/>
    <cellStyle name="Porcentaje 3 3 2 2 3 3 4" xfId="11594" xr:uid="{00000000-0005-0000-0000-000008850000}"/>
    <cellStyle name="Porcentaje 3 3 2 2 3 3 4 2" xfId="31309" xr:uid="{00000000-0005-0000-0000-000009850000}"/>
    <cellStyle name="Porcentaje 3 3 2 2 3 3 5" xfId="21452" xr:uid="{00000000-0005-0000-0000-00000A850000}"/>
    <cellStyle name="Porcentaje 3 3 2 2 3 4" xfId="2962" xr:uid="{00000000-0005-0000-0000-00000B850000}"/>
    <cellStyle name="Porcentaje 3 3 2 2 3 4 2" xfId="7894" xr:uid="{00000000-0005-0000-0000-00000C850000}"/>
    <cellStyle name="Porcentaje 3 3 2 2 3 4 2 2" xfId="17754" xr:uid="{00000000-0005-0000-0000-00000D850000}"/>
    <cellStyle name="Porcentaje 3 3 2 2 3 4 2 2 2" xfId="37469" xr:uid="{00000000-0005-0000-0000-00000E850000}"/>
    <cellStyle name="Porcentaje 3 3 2 2 3 4 2 3" xfId="27612" xr:uid="{00000000-0005-0000-0000-00000F850000}"/>
    <cellStyle name="Porcentaje 3 3 2 2 3 4 3" xfId="12826" xr:uid="{00000000-0005-0000-0000-000010850000}"/>
    <cellStyle name="Porcentaje 3 3 2 2 3 4 3 2" xfId="32541" xr:uid="{00000000-0005-0000-0000-000011850000}"/>
    <cellStyle name="Porcentaje 3 3 2 2 3 4 4" xfId="22684" xr:uid="{00000000-0005-0000-0000-000012850000}"/>
    <cellStyle name="Porcentaje 3 3 2 2 3 5" xfId="5430" xr:uid="{00000000-0005-0000-0000-000013850000}"/>
    <cellStyle name="Porcentaje 3 3 2 2 3 5 2" xfId="15290" xr:uid="{00000000-0005-0000-0000-000014850000}"/>
    <cellStyle name="Porcentaje 3 3 2 2 3 5 2 2" xfId="35005" xr:uid="{00000000-0005-0000-0000-000015850000}"/>
    <cellStyle name="Porcentaje 3 3 2 2 3 5 3" xfId="25148" xr:uid="{00000000-0005-0000-0000-000016850000}"/>
    <cellStyle name="Porcentaje 3 3 2 2 3 6" xfId="10362" xr:uid="{00000000-0005-0000-0000-000017850000}"/>
    <cellStyle name="Porcentaje 3 3 2 2 3 6 2" xfId="30077" xr:uid="{00000000-0005-0000-0000-000018850000}"/>
    <cellStyle name="Porcentaje 3 3 2 2 3 7" xfId="20220" xr:uid="{00000000-0005-0000-0000-000019850000}"/>
    <cellStyle name="Porcentaje 3 3 2 2 4" xfId="801" xr:uid="{00000000-0005-0000-0000-00001A850000}"/>
    <cellStyle name="Porcentaje 3 3 2 2 4 2" xfId="2037" xr:uid="{00000000-0005-0000-0000-00001B850000}"/>
    <cellStyle name="Porcentaje 3 3 2 2 4 2 2" xfId="4504" xr:uid="{00000000-0005-0000-0000-00001C850000}"/>
    <cellStyle name="Porcentaje 3 3 2 2 4 2 2 2" xfId="9436" xr:uid="{00000000-0005-0000-0000-00001D850000}"/>
    <cellStyle name="Porcentaje 3 3 2 2 4 2 2 2 2" xfId="19296" xr:uid="{00000000-0005-0000-0000-00001E850000}"/>
    <cellStyle name="Porcentaje 3 3 2 2 4 2 2 2 2 2" xfId="39011" xr:uid="{00000000-0005-0000-0000-00001F850000}"/>
    <cellStyle name="Porcentaje 3 3 2 2 4 2 2 2 3" xfId="29154" xr:uid="{00000000-0005-0000-0000-000020850000}"/>
    <cellStyle name="Porcentaje 3 3 2 2 4 2 2 3" xfId="14368" xr:uid="{00000000-0005-0000-0000-000021850000}"/>
    <cellStyle name="Porcentaje 3 3 2 2 4 2 2 3 2" xfId="34083" xr:uid="{00000000-0005-0000-0000-000022850000}"/>
    <cellStyle name="Porcentaje 3 3 2 2 4 2 2 4" xfId="24226" xr:uid="{00000000-0005-0000-0000-000023850000}"/>
    <cellStyle name="Porcentaje 3 3 2 2 4 2 3" xfId="6972" xr:uid="{00000000-0005-0000-0000-000024850000}"/>
    <cellStyle name="Porcentaje 3 3 2 2 4 2 3 2" xfId="16832" xr:uid="{00000000-0005-0000-0000-000025850000}"/>
    <cellStyle name="Porcentaje 3 3 2 2 4 2 3 2 2" xfId="36547" xr:uid="{00000000-0005-0000-0000-000026850000}"/>
    <cellStyle name="Porcentaje 3 3 2 2 4 2 3 3" xfId="26690" xr:uid="{00000000-0005-0000-0000-000027850000}"/>
    <cellStyle name="Porcentaje 3 3 2 2 4 2 4" xfId="11904" xr:uid="{00000000-0005-0000-0000-000028850000}"/>
    <cellStyle name="Porcentaje 3 3 2 2 4 2 4 2" xfId="31619" xr:uid="{00000000-0005-0000-0000-000029850000}"/>
    <cellStyle name="Porcentaje 3 3 2 2 4 2 5" xfId="21762" xr:uid="{00000000-0005-0000-0000-00002A850000}"/>
    <cellStyle name="Porcentaje 3 3 2 2 4 3" xfId="3272" xr:uid="{00000000-0005-0000-0000-00002B850000}"/>
    <cellStyle name="Porcentaje 3 3 2 2 4 3 2" xfId="8204" xr:uid="{00000000-0005-0000-0000-00002C850000}"/>
    <cellStyle name="Porcentaje 3 3 2 2 4 3 2 2" xfId="18064" xr:uid="{00000000-0005-0000-0000-00002D850000}"/>
    <cellStyle name="Porcentaje 3 3 2 2 4 3 2 2 2" xfId="37779" xr:uid="{00000000-0005-0000-0000-00002E850000}"/>
    <cellStyle name="Porcentaje 3 3 2 2 4 3 2 3" xfId="27922" xr:uid="{00000000-0005-0000-0000-00002F850000}"/>
    <cellStyle name="Porcentaje 3 3 2 2 4 3 3" xfId="13136" xr:uid="{00000000-0005-0000-0000-000030850000}"/>
    <cellStyle name="Porcentaje 3 3 2 2 4 3 3 2" xfId="32851" xr:uid="{00000000-0005-0000-0000-000031850000}"/>
    <cellStyle name="Porcentaje 3 3 2 2 4 3 4" xfId="22994" xr:uid="{00000000-0005-0000-0000-000032850000}"/>
    <cellStyle name="Porcentaje 3 3 2 2 4 4" xfId="5740" xr:uid="{00000000-0005-0000-0000-000033850000}"/>
    <cellStyle name="Porcentaje 3 3 2 2 4 4 2" xfId="15600" xr:uid="{00000000-0005-0000-0000-000034850000}"/>
    <cellStyle name="Porcentaje 3 3 2 2 4 4 2 2" xfId="35315" xr:uid="{00000000-0005-0000-0000-000035850000}"/>
    <cellStyle name="Porcentaje 3 3 2 2 4 4 3" xfId="25458" xr:uid="{00000000-0005-0000-0000-000036850000}"/>
    <cellStyle name="Porcentaje 3 3 2 2 4 5" xfId="10672" xr:uid="{00000000-0005-0000-0000-000037850000}"/>
    <cellStyle name="Porcentaje 3 3 2 2 4 5 2" xfId="30387" xr:uid="{00000000-0005-0000-0000-000038850000}"/>
    <cellStyle name="Porcentaje 3 3 2 2 4 6" xfId="20530" xr:uid="{00000000-0005-0000-0000-000039850000}"/>
    <cellStyle name="Porcentaje 3 3 2 2 5" xfId="1421" xr:uid="{00000000-0005-0000-0000-00003A850000}"/>
    <cellStyle name="Porcentaje 3 3 2 2 5 2" xfId="3888" xr:uid="{00000000-0005-0000-0000-00003B850000}"/>
    <cellStyle name="Porcentaje 3 3 2 2 5 2 2" xfId="8820" xr:uid="{00000000-0005-0000-0000-00003C850000}"/>
    <cellStyle name="Porcentaje 3 3 2 2 5 2 2 2" xfId="18680" xr:uid="{00000000-0005-0000-0000-00003D850000}"/>
    <cellStyle name="Porcentaje 3 3 2 2 5 2 2 2 2" xfId="38395" xr:uid="{00000000-0005-0000-0000-00003E850000}"/>
    <cellStyle name="Porcentaje 3 3 2 2 5 2 2 3" xfId="28538" xr:uid="{00000000-0005-0000-0000-00003F850000}"/>
    <cellStyle name="Porcentaje 3 3 2 2 5 2 3" xfId="13752" xr:uid="{00000000-0005-0000-0000-000040850000}"/>
    <cellStyle name="Porcentaje 3 3 2 2 5 2 3 2" xfId="33467" xr:uid="{00000000-0005-0000-0000-000041850000}"/>
    <cellStyle name="Porcentaje 3 3 2 2 5 2 4" xfId="23610" xr:uid="{00000000-0005-0000-0000-000042850000}"/>
    <cellStyle name="Porcentaje 3 3 2 2 5 3" xfId="6356" xr:uid="{00000000-0005-0000-0000-000043850000}"/>
    <cellStyle name="Porcentaje 3 3 2 2 5 3 2" xfId="16216" xr:uid="{00000000-0005-0000-0000-000044850000}"/>
    <cellStyle name="Porcentaje 3 3 2 2 5 3 2 2" xfId="35931" xr:uid="{00000000-0005-0000-0000-000045850000}"/>
    <cellStyle name="Porcentaje 3 3 2 2 5 3 3" xfId="26074" xr:uid="{00000000-0005-0000-0000-000046850000}"/>
    <cellStyle name="Porcentaje 3 3 2 2 5 4" xfId="11288" xr:uid="{00000000-0005-0000-0000-000047850000}"/>
    <cellStyle name="Porcentaje 3 3 2 2 5 4 2" xfId="31003" xr:uid="{00000000-0005-0000-0000-000048850000}"/>
    <cellStyle name="Porcentaje 3 3 2 2 5 5" xfId="21146" xr:uid="{00000000-0005-0000-0000-000049850000}"/>
    <cellStyle name="Porcentaje 3 3 2 2 6" xfId="2656" xr:uid="{00000000-0005-0000-0000-00004A850000}"/>
    <cellStyle name="Porcentaje 3 3 2 2 6 2" xfId="7588" xr:uid="{00000000-0005-0000-0000-00004B850000}"/>
    <cellStyle name="Porcentaje 3 3 2 2 6 2 2" xfId="17448" xr:uid="{00000000-0005-0000-0000-00004C850000}"/>
    <cellStyle name="Porcentaje 3 3 2 2 6 2 2 2" xfId="37163" xr:uid="{00000000-0005-0000-0000-00004D850000}"/>
    <cellStyle name="Porcentaje 3 3 2 2 6 2 3" xfId="27306" xr:uid="{00000000-0005-0000-0000-00004E850000}"/>
    <cellStyle name="Porcentaje 3 3 2 2 6 3" xfId="12520" xr:uid="{00000000-0005-0000-0000-00004F850000}"/>
    <cellStyle name="Porcentaje 3 3 2 2 6 3 2" xfId="32235" xr:uid="{00000000-0005-0000-0000-000050850000}"/>
    <cellStyle name="Porcentaje 3 3 2 2 6 4" xfId="22378" xr:uid="{00000000-0005-0000-0000-000051850000}"/>
    <cellStyle name="Porcentaje 3 3 2 2 7" xfId="5124" xr:uid="{00000000-0005-0000-0000-000052850000}"/>
    <cellStyle name="Porcentaje 3 3 2 2 7 2" xfId="14984" xr:uid="{00000000-0005-0000-0000-000053850000}"/>
    <cellStyle name="Porcentaje 3 3 2 2 7 2 2" xfId="34699" xr:uid="{00000000-0005-0000-0000-000054850000}"/>
    <cellStyle name="Porcentaje 3 3 2 2 7 3" xfId="24842" xr:uid="{00000000-0005-0000-0000-000055850000}"/>
    <cellStyle name="Porcentaje 3 3 2 2 8" xfId="10056" xr:uid="{00000000-0005-0000-0000-000056850000}"/>
    <cellStyle name="Porcentaje 3 3 2 2 8 2" xfId="29771" xr:uid="{00000000-0005-0000-0000-000057850000}"/>
    <cellStyle name="Porcentaje 3 3 2 2 9" xfId="19914" xr:uid="{00000000-0005-0000-0000-000058850000}"/>
    <cellStyle name="Porcentaje 3 3 2 3" xfId="250" xr:uid="{00000000-0005-0000-0000-000059850000}"/>
    <cellStyle name="Porcentaje 3 3 2 3 2" xfId="564" xr:uid="{00000000-0005-0000-0000-00005A850000}"/>
    <cellStyle name="Porcentaje 3 3 2 3 2 2" xfId="1184" xr:uid="{00000000-0005-0000-0000-00005B850000}"/>
    <cellStyle name="Porcentaje 3 3 2 3 2 2 2" xfId="2419" xr:uid="{00000000-0005-0000-0000-00005C850000}"/>
    <cellStyle name="Porcentaje 3 3 2 3 2 2 2 2" xfId="4886" xr:uid="{00000000-0005-0000-0000-00005D850000}"/>
    <cellStyle name="Porcentaje 3 3 2 3 2 2 2 2 2" xfId="9818" xr:uid="{00000000-0005-0000-0000-00005E850000}"/>
    <cellStyle name="Porcentaje 3 3 2 3 2 2 2 2 2 2" xfId="19678" xr:uid="{00000000-0005-0000-0000-00005F850000}"/>
    <cellStyle name="Porcentaje 3 3 2 3 2 2 2 2 2 2 2" xfId="39393" xr:uid="{00000000-0005-0000-0000-000060850000}"/>
    <cellStyle name="Porcentaje 3 3 2 3 2 2 2 2 2 3" xfId="29536" xr:uid="{00000000-0005-0000-0000-000061850000}"/>
    <cellStyle name="Porcentaje 3 3 2 3 2 2 2 2 3" xfId="14750" xr:uid="{00000000-0005-0000-0000-000062850000}"/>
    <cellStyle name="Porcentaje 3 3 2 3 2 2 2 2 3 2" xfId="34465" xr:uid="{00000000-0005-0000-0000-000063850000}"/>
    <cellStyle name="Porcentaje 3 3 2 3 2 2 2 2 4" xfId="24608" xr:uid="{00000000-0005-0000-0000-000064850000}"/>
    <cellStyle name="Porcentaje 3 3 2 3 2 2 2 3" xfId="7354" xr:uid="{00000000-0005-0000-0000-000065850000}"/>
    <cellStyle name="Porcentaje 3 3 2 3 2 2 2 3 2" xfId="17214" xr:uid="{00000000-0005-0000-0000-000066850000}"/>
    <cellStyle name="Porcentaje 3 3 2 3 2 2 2 3 2 2" xfId="36929" xr:uid="{00000000-0005-0000-0000-000067850000}"/>
    <cellStyle name="Porcentaje 3 3 2 3 2 2 2 3 3" xfId="27072" xr:uid="{00000000-0005-0000-0000-000068850000}"/>
    <cellStyle name="Porcentaje 3 3 2 3 2 2 2 4" xfId="12286" xr:uid="{00000000-0005-0000-0000-000069850000}"/>
    <cellStyle name="Porcentaje 3 3 2 3 2 2 2 4 2" xfId="32001" xr:uid="{00000000-0005-0000-0000-00006A850000}"/>
    <cellStyle name="Porcentaje 3 3 2 3 2 2 2 5" xfId="22144" xr:uid="{00000000-0005-0000-0000-00006B850000}"/>
    <cellStyle name="Porcentaje 3 3 2 3 2 2 3" xfId="3654" xr:uid="{00000000-0005-0000-0000-00006C850000}"/>
    <cellStyle name="Porcentaje 3 3 2 3 2 2 3 2" xfId="8586" xr:uid="{00000000-0005-0000-0000-00006D850000}"/>
    <cellStyle name="Porcentaje 3 3 2 3 2 2 3 2 2" xfId="18446" xr:uid="{00000000-0005-0000-0000-00006E850000}"/>
    <cellStyle name="Porcentaje 3 3 2 3 2 2 3 2 2 2" xfId="38161" xr:uid="{00000000-0005-0000-0000-00006F850000}"/>
    <cellStyle name="Porcentaje 3 3 2 3 2 2 3 2 3" xfId="28304" xr:uid="{00000000-0005-0000-0000-000070850000}"/>
    <cellStyle name="Porcentaje 3 3 2 3 2 2 3 3" xfId="13518" xr:uid="{00000000-0005-0000-0000-000071850000}"/>
    <cellStyle name="Porcentaje 3 3 2 3 2 2 3 3 2" xfId="33233" xr:uid="{00000000-0005-0000-0000-000072850000}"/>
    <cellStyle name="Porcentaje 3 3 2 3 2 2 3 4" xfId="23376" xr:uid="{00000000-0005-0000-0000-000073850000}"/>
    <cellStyle name="Porcentaje 3 3 2 3 2 2 4" xfId="6122" xr:uid="{00000000-0005-0000-0000-000074850000}"/>
    <cellStyle name="Porcentaje 3 3 2 3 2 2 4 2" xfId="15982" xr:uid="{00000000-0005-0000-0000-000075850000}"/>
    <cellStyle name="Porcentaje 3 3 2 3 2 2 4 2 2" xfId="35697" xr:uid="{00000000-0005-0000-0000-000076850000}"/>
    <cellStyle name="Porcentaje 3 3 2 3 2 2 4 3" xfId="25840" xr:uid="{00000000-0005-0000-0000-000077850000}"/>
    <cellStyle name="Porcentaje 3 3 2 3 2 2 5" xfId="11054" xr:uid="{00000000-0005-0000-0000-000078850000}"/>
    <cellStyle name="Porcentaje 3 3 2 3 2 2 5 2" xfId="30769" xr:uid="{00000000-0005-0000-0000-000079850000}"/>
    <cellStyle name="Porcentaje 3 3 2 3 2 2 6" xfId="20912" xr:uid="{00000000-0005-0000-0000-00007A850000}"/>
    <cellStyle name="Porcentaje 3 3 2 3 2 3" xfId="1803" xr:uid="{00000000-0005-0000-0000-00007B850000}"/>
    <cellStyle name="Porcentaje 3 3 2 3 2 3 2" xfId="4270" xr:uid="{00000000-0005-0000-0000-00007C850000}"/>
    <cellStyle name="Porcentaje 3 3 2 3 2 3 2 2" xfId="9202" xr:uid="{00000000-0005-0000-0000-00007D850000}"/>
    <cellStyle name="Porcentaje 3 3 2 3 2 3 2 2 2" xfId="19062" xr:uid="{00000000-0005-0000-0000-00007E850000}"/>
    <cellStyle name="Porcentaje 3 3 2 3 2 3 2 2 2 2" xfId="38777" xr:uid="{00000000-0005-0000-0000-00007F850000}"/>
    <cellStyle name="Porcentaje 3 3 2 3 2 3 2 2 3" xfId="28920" xr:uid="{00000000-0005-0000-0000-000080850000}"/>
    <cellStyle name="Porcentaje 3 3 2 3 2 3 2 3" xfId="14134" xr:uid="{00000000-0005-0000-0000-000081850000}"/>
    <cellStyle name="Porcentaje 3 3 2 3 2 3 2 3 2" xfId="33849" xr:uid="{00000000-0005-0000-0000-000082850000}"/>
    <cellStyle name="Porcentaje 3 3 2 3 2 3 2 4" xfId="23992" xr:uid="{00000000-0005-0000-0000-000083850000}"/>
    <cellStyle name="Porcentaje 3 3 2 3 2 3 3" xfId="6738" xr:uid="{00000000-0005-0000-0000-000084850000}"/>
    <cellStyle name="Porcentaje 3 3 2 3 2 3 3 2" xfId="16598" xr:uid="{00000000-0005-0000-0000-000085850000}"/>
    <cellStyle name="Porcentaje 3 3 2 3 2 3 3 2 2" xfId="36313" xr:uid="{00000000-0005-0000-0000-000086850000}"/>
    <cellStyle name="Porcentaje 3 3 2 3 2 3 3 3" xfId="26456" xr:uid="{00000000-0005-0000-0000-000087850000}"/>
    <cellStyle name="Porcentaje 3 3 2 3 2 3 4" xfId="11670" xr:uid="{00000000-0005-0000-0000-000088850000}"/>
    <cellStyle name="Porcentaje 3 3 2 3 2 3 4 2" xfId="31385" xr:uid="{00000000-0005-0000-0000-000089850000}"/>
    <cellStyle name="Porcentaje 3 3 2 3 2 3 5" xfId="21528" xr:uid="{00000000-0005-0000-0000-00008A850000}"/>
    <cellStyle name="Porcentaje 3 3 2 3 2 4" xfId="3038" xr:uid="{00000000-0005-0000-0000-00008B850000}"/>
    <cellStyle name="Porcentaje 3 3 2 3 2 4 2" xfId="7970" xr:uid="{00000000-0005-0000-0000-00008C850000}"/>
    <cellStyle name="Porcentaje 3 3 2 3 2 4 2 2" xfId="17830" xr:uid="{00000000-0005-0000-0000-00008D850000}"/>
    <cellStyle name="Porcentaje 3 3 2 3 2 4 2 2 2" xfId="37545" xr:uid="{00000000-0005-0000-0000-00008E850000}"/>
    <cellStyle name="Porcentaje 3 3 2 3 2 4 2 3" xfId="27688" xr:uid="{00000000-0005-0000-0000-00008F850000}"/>
    <cellStyle name="Porcentaje 3 3 2 3 2 4 3" xfId="12902" xr:uid="{00000000-0005-0000-0000-000090850000}"/>
    <cellStyle name="Porcentaje 3 3 2 3 2 4 3 2" xfId="32617" xr:uid="{00000000-0005-0000-0000-000091850000}"/>
    <cellStyle name="Porcentaje 3 3 2 3 2 4 4" xfId="22760" xr:uid="{00000000-0005-0000-0000-000092850000}"/>
    <cellStyle name="Porcentaje 3 3 2 3 2 5" xfId="5506" xr:uid="{00000000-0005-0000-0000-000093850000}"/>
    <cellStyle name="Porcentaje 3 3 2 3 2 5 2" xfId="15366" xr:uid="{00000000-0005-0000-0000-000094850000}"/>
    <cellStyle name="Porcentaje 3 3 2 3 2 5 2 2" xfId="35081" xr:uid="{00000000-0005-0000-0000-000095850000}"/>
    <cellStyle name="Porcentaje 3 3 2 3 2 5 3" xfId="25224" xr:uid="{00000000-0005-0000-0000-000096850000}"/>
    <cellStyle name="Porcentaje 3 3 2 3 2 6" xfId="10438" xr:uid="{00000000-0005-0000-0000-000097850000}"/>
    <cellStyle name="Porcentaje 3 3 2 3 2 6 2" xfId="30153" xr:uid="{00000000-0005-0000-0000-000098850000}"/>
    <cellStyle name="Porcentaje 3 3 2 3 2 7" xfId="20296" xr:uid="{00000000-0005-0000-0000-000099850000}"/>
    <cellStyle name="Porcentaje 3 3 2 3 3" xfId="877" xr:uid="{00000000-0005-0000-0000-00009A850000}"/>
    <cellStyle name="Porcentaje 3 3 2 3 3 2" xfId="2113" xr:uid="{00000000-0005-0000-0000-00009B850000}"/>
    <cellStyle name="Porcentaje 3 3 2 3 3 2 2" xfId="4580" xr:uid="{00000000-0005-0000-0000-00009C850000}"/>
    <cellStyle name="Porcentaje 3 3 2 3 3 2 2 2" xfId="9512" xr:uid="{00000000-0005-0000-0000-00009D850000}"/>
    <cellStyle name="Porcentaje 3 3 2 3 3 2 2 2 2" xfId="19372" xr:uid="{00000000-0005-0000-0000-00009E850000}"/>
    <cellStyle name="Porcentaje 3 3 2 3 3 2 2 2 2 2" xfId="39087" xr:uid="{00000000-0005-0000-0000-00009F850000}"/>
    <cellStyle name="Porcentaje 3 3 2 3 3 2 2 2 3" xfId="29230" xr:uid="{00000000-0005-0000-0000-0000A0850000}"/>
    <cellStyle name="Porcentaje 3 3 2 3 3 2 2 3" xfId="14444" xr:uid="{00000000-0005-0000-0000-0000A1850000}"/>
    <cellStyle name="Porcentaje 3 3 2 3 3 2 2 3 2" xfId="34159" xr:uid="{00000000-0005-0000-0000-0000A2850000}"/>
    <cellStyle name="Porcentaje 3 3 2 3 3 2 2 4" xfId="24302" xr:uid="{00000000-0005-0000-0000-0000A3850000}"/>
    <cellStyle name="Porcentaje 3 3 2 3 3 2 3" xfId="7048" xr:uid="{00000000-0005-0000-0000-0000A4850000}"/>
    <cellStyle name="Porcentaje 3 3 2 3 3 2 3 2" xfId="16908" xr:uid="{00000000-0005-0000-0000-0000A5850000}"/>
    <cellStyle name="Porcentaje 3 3 2 3 3 2 3 2 2" xfId="36623" xr:uid="{00000000-0005-0000-0000-0000A6850000}"/>
    <cellStyle name="Porcentaje 3 3 2 3 3 2 3 3" xfId="26766" xr:uid="{00000000-0005-0000-0000-0000A7850000}"/>
    <cellStyle name="Porcentaje 3 3 2 3 3 2 4" xfId="11980" xr:uid="{00000000-0005-0000-0000-0000A8850000}"/>
    <cellStyle name="Porcentaje 3 3 2 3 3 2 4 2" xfId="31695" xr:uid="{00000000-0005-0000-0000-0000A9850000}"/>
    <cellStyle name="Porcentaje 3 3 2 3 3 2 5" xfId="21838" xr:uid="{00000000-0005-0000-0000-0000AA850000}"/>
    <cellStyle name="Porcentaje 3 3 2 3 3 3" xfId="3348" xr:uid="{00000000-0005-0000-0000-0000AB850000}"/>
    <cellStyle name="Porcentaje 3 3 2 3 3 3 2" xfId="8280" xr:uid="{00000000-0005-0000-0000-0000AC850000}"/>
    <cellStyle name="Porcentaje 3 3 2 3 3 3 2 2" xfId="18140" xr:uid="{00000000-0005-0000-0000-0000AD850000}"/>
    <cellStyle name="Porcentaje 3 3 2 3 3 3 2 2 2" xfId="37855" xr:uid="{00000000-0005-0000-0000-0000AE850000}"/>
    <cellStyle name="Porcentaje 3 3 2 3 3 3 2 3" xfId="27998" xr:uid="{00000000-0005-0000-0000-0000AF850000}"/>
    <cellStyle name="Porcentaje 3 3 2 3 3 3 3" xfId="13212" xr:uid="{00000000-0005-0000-0000-0000B0850000}"/>
    <cellStyle name="Porcentaje 3 3 2 3 3 3 3 2" xfId="32927" xr:uid="{00000000-0005-0000-0000-0000B1850000}"/>
    <cellStyle name="Porcentaje 3 3 2 3 3 3 4" xfId="23070" xr:uid="{00000000-0005-0000-0000-0000B2850000}"/>
    <cellStyle name="Porcentaje 3 3 2 3 3 4" xfId="5816" xr:uid="{00000000-0005-0000-0000-0000B3850000}"/>
    <cellStyle name="Porcentaje 3 3 2 3 3 4 2" xfId="15676" xr:uid="{00000000-0005-0000-0000-0000B4850000}"/>
    <cellStyle name="Porcentaje 3 3 2 3 3 4 2 2" xfId="35391" xr:uid="{00000000-0005-0000-0000-0000B5850000}"/>
    <cellStyle name="Porcentaje 3 3 2 3 3 4 3" xfId="25534" xr:uid="{00000000-0005-0000-0000-0000B6850000}"/>
    <cellStyle name="Porcentaje 3 3 2 3 3 5" xfId="10748" xr:uid="{00000000-0005-0000-0000-0000B7850000}"/>
    <cellStyle name="Porcentaje 3 3 2 3 3 5 2" xfId="30463" xr:uid="{00000000-0005-0000-0000-0000B8850000}"/>
    <cellStyle name="Porcentaje 3 3 2 3 3 6" xfId="20606" xr:uid="{00000000-0005-0000-0000-0000B9850000}"/>
    <cellStyle name="Porcentaje 3 3 2 3 4" xfId="1497" xr:uid="{00000000-0005-0000-0000-0000BA850000}"/>
    <cellStyle name="Porcentaje 3 3 2 3 4 2" xfId="3964" xr:uid="{00000000-0005-0000-0000-0000BB850000}"/>
    <cellStyle name="Porcentaje 3 3 2 3 4 2 2" xfId="8896" xr:uid="{00000000-0005-0000-0000-0000BC850000}"/>
    <cellStyle name="Porcentaje 3 3 2 3 4 2 2 2" xfId="18756" xr:uid="{00000000-0005-0000-0000-0000BD850000}"/>
    <cellStyle name="Porcentaje 3 3 2 3 4 2 2 2 2" xfId="38471" xr:uid="{00000000-0005-0000-0000-0000BE850000}"/>
    <cellStyle name="Porcentaje 3 3 2 3 4 2 2 3" xfId="28614" xr:uid="{00000000-0005-0000-0000-0000BF850000}"/>
    <cellStyle name="Porcentaje 3 3 2 3 4 2 3" xfId="13828" xr:uid="{00000000-0005-0000-0000-0000C0850000}"/>
    <cellStyle name="Porcentaje 3 3 2 3 4 2 3 2" xfId="33543" xr:uid="{00000000-0005-0000-0000-0000C1850000}"/>
    <cellStyle name="Porcentaje 3 3 2 3 4 2 4" xfId="23686" xr:uid="{00000000-0005-0000-0000-0000C2850000}"/>
    <cellStyle name="Porcentaje 3 3 2 3 4 3" xfId="6432" xr:uid="{00000000-0005-0000-0000-0000C3850000}"/>
    <cellStyle name="Porcentaje 3 3 2 3 4 3 2" xfId="16292" xr:uid="{00000000-0005-0000-0000-0000C4850000}"/>
    <cellStyle name="Porcentaje 3 3 2 3 4 3 2 2" xfId="36007" xr:uid="{00000000-0005-0000-0000-0000C5850000}"/>
    <cellStyle name="Porcentaje 3 3 2 3 4 3 3" xfId="26150" xr:uid="{00000000-0005-0000-0000-0000C6850000}"/>
    <cellStyle name="Porcentaje 3 3 2 3 4 4" xfId="11364" xr:uid="{00000000-0005-0000-0000-0000C7850000}"/>
    <cellStyle name="Porcentaje 3 3 2 3 4 4 2" xfId="31079" xr:uid="{00000000-0005-0000-0000-0000C8850000}"/>
    <cellStyle name="Porcentaje 3 3 2 3 4 5" xfId="21222" xr:uid="{00000000-0005-0000-0000-0000C9850000}"/>
    <cellStyle name="Porcentaje 3 3 2 3 5" xfId="2732" xr:uid="{00000000-0005-0000-0000-0000CA850000}"/>
    <cellStyle name="Porcentaje 3 3 2 3 5 2" xfId="7664" xr:uid="{00000000-0005-0000-0000-0000CB850000}"/>
    <cellStyle name="Porcentaje 3 3 2 3 5 2 2" xfId="17524" xr:uid="{00000000-0005-0000-0000-0000CC850000}"/>
    <cellStyle name="Porcentaje 3 3 2 3 5 2 2 2" xfId="37239" xr:uid="{00000000-0005-0000-0000-0000CD850000}"/>
    <cellStyle name="Porcentaje 3 3 2 3 5 2 3" xfId="27382" xr:uid="{00000000-0005-0000-0000-0000CE850000}"/>
    <cellStyle name="Porcentaje 3 3 2 3 5 3" xfId="12596" xr:uid="{00000000-0005-0000-0000-0000CF850000}"/>
    <cellStyle name="Porcentaje 3 3 2 3 5 3 2" xfId="32311" xr:uid="{00000000-0005-0000-0000-0000D0850000}"/>
    <cellStyle name="Porcentaje 3 3 2 3 5 4" xfId="22454" xr:uid="{00000000-0005-0000-0000-0000D1850000}"/>
    <cellStyle name="Porcentaje 3 3 2 3 6" xfId="5200" xr:uid="{00000000-0005-0000-0000-0000D2850000}"/>
    <cellStyle name="Porcentaje 3 3 2 3 6 2" xfId="15060" xr:uid="{00000000-0005-0000-0000-0000D3850000}"/>
    <cellStyle name="Porcentaje 3 3 2 3 6 2 2" xfId="34775" xr:uid="{00000000-0005-0000-0000-0000D4850000}"/>
    <cellStyle name="Porcentaje 3 3 2 3 6 3" xfId="24918" xr:uid="{00000000-0005-0000-0000-0000D5850000}"/>
    <cellStyle name="Porcentaje 3 3 2 3 7" xfId="10132" xr:uid="{00000000-0005-0000-0000-0000D6850000}"/>
    <cellStyle name="Porcentaje 3 3 2 3 7 2" xfId="29847" xr:uid="{00000000-0005-0000-0000-0000D7850000}"/>
    <cellStyle name="Porcentaje 3 3 2 3 8" xfId="19990" xr:uid="{00000000-0005-0000-0000-0000D8850000}"/>
    <cellStyle name="Porcentaje 3 3 2 4" xfId="412" xr:uid="{00000000-0005-0000-0000-0000D9850000}"/>
    <cellStyle name="Porcentaje 3 3 2 4 2" xfId="1032" xr:uid="{00000000-0005-0000-0000-0000DA850000}"/>
    <cellStyle name="Porcentaje 3 3 2 4 2 2" xfId="2267" xr:uid="{00000000-0005-0000-0000-0000DB850000}"/>
    <cellStyle name="Porcentaje 3 3 2 4 2 2 2" xfId="4734" xr:uid="{00000000-0005-0000-0000-0000DC850000}"/>
    <cellStyle name="Porcentaje 3 3 2 4 2 2 2 2" xfId="9666" xr:uid="{00000000-0005-0000-0000-0000DD850000}"/>
    <cellStyle name="Porcentaje 3 3 2 4 2 2 2 2 2" xfId="19526" xr:uid="{00000000-0005-0000-0000-0000DE850000}"/>
    <cellStyle name="Porcentaje 3 3 2 4 2 2 2 2 2 2" xfId="39241" xr:uid="{00000000-0005-0000-0000-0000DF850000}"/>
    <cellStyle name="Porcentaje 3 3 2 4 2 2 2 2 3" xfId="29384" xr:uid="{00000000-0005-0000-0000-0000E0850000}"/>
    <cellStyle name="Porcentaje 3 3 2 4 2 2 2 3" xfId="14598" xr:uid="{00000000-0005-0000-0000-0000E1850000}"/>
    <cellStyle name="Porcentaje 3 3 2 4 2 2 2 3 2" xfId="34313" xr:uid="{00000000-0005-0000-0000-0000E2850000}"/>
    <cellStyle name="Porcentaje 3 3 2 4 2 2 2 4" xfId="24456" xr:uid="{00000000-0005-0000-0000-0000E3850000}"/>
    <cellStyle name="Porcentaje 3 3 2 4 2 2 3" xfId="7202" xr:uid="{00000000-0005-0000-0000-0000E4850000}"/>
    <cellStyle name="Porcentaje 3 3 2 4 2 2 3 2" xfId="17062" xr:uid="{00000000-0005-0000-0000-0000E5850000}"/>
    <cellStyle name="Porcentaje 3 3 2 4 2 2 3 2 2" xfId="36777" xr:uid="{00000000-0005-0000-0000-0000E6850000}"/>
    <cellStyle name="Porcentaje 3 3 2 4 2 2 3 3" xfId="26920" xr:uid="{00000000-0005-0000-0000-0000E7850000}"/>
    <cellStyle name="Porcentaje 3 3 2 4 2 2 4" xfId="12134" xr:uid="{00000000-0005-0000-0000-0000E8850000}"/>
    <cellStyle name="Porcentaje 3 3 2 4 2 2 4 2" xfId="31849" xr:uid="{00000000-0005-0000-0000-0000E9850000}"/>
    <cellStyle name="Porcentaje 3 3 2 4 2 2 5" xfId="21992" xr:uid="{00000000-0005-0000-0000-0000EA850000}"/>
    <cellStyle name="Porcentaje 3 3 2 4 2 3" xfId="3502" xr:uid="{00000000-0005-0000-0000-0000EB850000}"/>
    <cellStyle name="Porcentaje 3 3 2 4 2 3 2" xfId="8434" xr:uid="{00000000-0005-0000-0000-0000EC850000}"/>
    <cellStyle name="Porcentaje 3 3 2 4 2 3 2 2" xfId="18294" xr:uid="{00000000-0005-0000-0000-0000ED850000}"/>
    <cellStyle name="Porcentaje 3 3 2 4 2 3 2 2 2" xfId="38009" xr:uid="{00000000-0005-0000-0000-0000EE850000}"/>
    <cellStyle name="Porcentaje 3 3 2 4 2 3 2 3" xfId="28152" xr:uid="{00000000-0005-0000-0000-0000EF850000}"/>
    <cellStyle name="Porcentaje 3 3 2 4 2 3 3" xfId="13366" xr:uid="{00000000-0005-0000-0000-0000F0850000}"/>
    <cellStyle name="Porcentaje 3 3 2 4 2 3 3 2" xfId="33081" xr:uid="{00000000-0005-0000-0000-0000F1850000}"/>
    <cellStyle name="Porcentaje 3 3 2 4 2 3 4" xfId="23224" xr:uid="{00000000-0005-0000-0000-0000F2850000}"/>
    <cellStyle name="Porcentaje 3 3 2 4 2 4" xfId="5970" xr:uid="{00000000-0005-0000-0000-0000F3850000}"/>
    <cellStyle name="Porcentaje 3 3 2 4 2 4 2" xfId="15830" xr:uid="{00000000-0005-0000-0000-0000F4850000}"/>
    <cellStyle name="Porcentaje 3 3 2 4 2 4 2 2" xfId="35545" xr:uid="{00000000-0005-0000-0000-0000F5850000}"/>
    <cellStyle name="Porcentaje 3 3 2 4 2 4 3" xfId="25688" xr:uid="{00000000-0005-0000-0000-0000F6850000}"/>
    <cellStyle name="Porcentaje 3 3 2 4 2 5" xfId="10902" xr:uid="{00000000-0005-0000-0000-0000F7850000}"/>
    <cellStyle name="Porcentaje 3 3 2 4 2 5 2" xfId="30617" xr:uid="{00000000-0005-0000-0000-0000F8850000}"/>
    <cellStyle name="Porcentaje 3 3 2 4 2 6" xfId="20760" xr:uid="{00000000-0005-0000-0000-0000F9850000}"/>
    <cellStyle name="Porcentaje 3 3 2 4 3" xfId="1651" xr:uid="{00000000-0005-0000-0000-0000FA850000}"/>
    <cellStyle name="Porcentaje 3 3 2 4 3 2" xfId="4118" xr:uid="{00000000-0005-0000-0000-0000FB850000}"/>
    <cellStyle name="Porcentaje 3 3 2 4 3 2 2" xfId="9050" xr:uid="{00000000-0005-0000-0000-0000FC850000}"/>
    <cellStyle name="Porcentaje 3 3 2 4 3 2 2 2" xfId="18910" xr:uid="{00000000-0005-0000-0000-0000FD850000}"/>
    <cellStyle name="Porcentaje 3 3 2 4 3 2 2 2 2" xfId="38625" xr:uid="{00000000-0005-0000-0000-0000FE850000}"/>
    <cellStyle name="Porcentaje 3 3 2 4 3 2 2 3" xfId="28768" xr:uid="{00000000-0005-0000-0000-0000FF850000}"/>
    <cellStyle name="Porcentaje 3 3 2 4 3 2 3" xfId="13982" xr:uid="{00000000-0005-0000-0000-000000860000}"/>
    <cellStyle name="Porcentaje 3 3 2 4 3 2 3 2" xfId="33697" xr:uid="{00000000-0005-0000-0000-000001860000}"/>
    <cellStyle name="Porcentaje 3 3 2 4 3 2 4" xfId="23840" xr:uid="{00000000-0005-0000-0000-000002860000}"/>
    <cellStyle name="Porcentaje 3 3 2 4 3 3" xfId="6586" xr:uid="{00000000-0005-0000-0000-000003860000}"/>
    <cellStyle name="Porcentaje 3 3 2 4 3 3 2" xfId="16446" xr:uid="{00000000-0005-0000-0000-000004860000}"/>
    <cellStyle name="Porcentaje 3 3 2 4 3 3 2 2" xfId="36161" xr:uid="{00000000-0005-0000-0000-000005860000}"/>
    <cellStyle name="Porcentaje 3 3 2 4 3 3 3" xfId="26304" xr:uid="{00000000-0005-0000-0000-000006860000}"/>
    <cellStyle name="Porcentaje 3 3 2 4 3 4" xfId="11518" xr:uid="{00000000-0005-0000-0000-000007860000}"/>
    <cellStyle name="Porcentaje 3 3 2 4 3 4 2" xfId="31233" xr:uid="{00000000-0005-0000-0000-000008860000}"/>
    <cellStyle name="Porcentaje 3 3 2 4 3 5" xfId="21376" xr:uid="{00000000-0005-0000-0000-000009860000}"/>
    <cellStyle name="Porcentaje 3 3 2 4 4" xfId="2886" xr:uid="{00000000-0005-0000-0000-00000A860000}"/>
    <cellStyle name="Porcentaje 3 3 2 4 4 2" xfId="7818" xr:uid="{00000000-0005-0000-0000-00000B860000}"/>
    <cellStyle name="Porcentaje 3 3 2 4 4 2 2" xfId="17678" xr:uid="{00000000-0005-0000-0000-00000C860000}"/>
    <cellStyle name="Porcentaje 3 3 2 4 4 2 2 2" xfId="37393" xr:uid="{00000000-0005-0000-0000-00000D860000}"/>
    <cellStyle name="Porcentaje 3 3 2 4 4 2 3" xfId="27536" xr:uid="{00000000-0005-0000-0000-00000E860000}"/>
    <cellStyle name="Porcentaje 3 3 2 4 4 3" xfId="12750" xr:uid="{00000000-0005-0000-0000-00000F860000}"/>
    <cellStyle name="Porcentaje 3 3 2 4 4 3 2" xfId="32465" xr:uid="{00000000-0005-0000-0000-000010860000}"/>
    <cellStyle name="Porcentaje 3 3 2 4 4 4" xfId="22608" xr:uid="{00000000-0005-0000-0000-000011860000}"/>
    <cellStyle name="Porcentaje 3 3 2 4 5" xfId="5354" xr:uid="{00000000-0005-0000-0000-000012860000}"/>
    <cellStyle name="Porcentaje 3 3 2 4 5 2" xfId="15214" xr:uid="{00000000-0005-0000-0000-000013860000}"/>
    <cellStyle name="Porcentaje 3 3 2 4 5 2 2" xfId="34929" xr:uid="{00000000-0005-0000-0000-000014860000}"/>
    <cellStyle name="Porcentaje 3 3 2 4 5 3" xfId="25072" xr:uid="{00000000-0005-0000-0000-000015860000}"/>
    <cellStyle name="Porcentaje 3 3 2 4 6" xfId="10286" xr:uid="{00000000-0005-0000-0000-000016860000}"/>
    <cellStyle name="Porcentaje 3 3 2 4 6 2" xfId="30001" xr:uid="{00000000-0005-0000-0000-000017860000}"/>
    <cellStyle name="Porcentaje 3 3 2 4 7" xfId="20144" xr:uid="{00000000-0005-0000-0000-000018860000}"/>
    <cellStyle name="Porcentaje 3 3 2 5" xfId="725" xr:uid="{00000000-0005-0000-0000-000019860000}"/>
    <cellStyle name="Porcentaje 3 3 2 5 2" xfId="1961" xr:uid="{00000000-0005-0000-0000-00001A860000}"/>
    <cellStyle name="Porcentaje 3 3 2 5 2 2" xfId="4428" xr:uid="{00000000-0005-0000-0000-00001B860000}"/>
    <cellStyle name="Porcentaje 3 3 2 5 2 2 2" xfId="9360" xr:uid="{00000000-0005-0000-0000-00001C860000}"/>
    <cellStyle name="Porcentaje 3 3 2 5 2 2 2 2" xfId="19220" xr:uid="{00000000-0005-0000-0000-00001D860000}"/>
    <cellStyle name="Porcentaje 3 3 2 5 2 2 2 2 2" xfId="38935" xr:uid="{00000000-0005-0000-0000-00001E860000}"/>
    <cellStyle name="Porcentaje 3 3 2 5 2 2 2 3" xfId="29078" xr:uid="{00000000-0005-0000-0000-00001F860000}"/>
    <cellStyle name="Porcentaje 3 3 2 5 2 2 3" xfId="14292" xr:uid="{00000000-0005-0000-0000-000020860000}"/>
    <cellStyle name="Porcentaje 3 3 2 5 2 2 3 2" xfId="34007" xr:uid="{00000000-0005-0000-0000-000021860000}"/>
    <cellStyle name="Porcentaje 3 3 2 5 2 2 4" xfId="24150" xr:uid="{00000000-0005-0000-0000-000022860000}"/>
    <cellStyle name="Porcentaje 3 3 2 5 2 3" xfId="6896" xr:uid="{00000000-0005-0000-0000-000023860000}"/>
    <cellStyle name="Porcentaje 3 3 2 5 2 3 2" xfId="16756" xr:uid="{00000000-0005-0000-0000-000024860000}"/>
    <cellStyle name="Porcentaje 3 3 2 5 2 3 2 2" xfId="36471" xr:uid="{00000000-0005-0000-0000-000025860000}"/>
    <cellStyle name="Porcentaje 3 3 2 5 2 3 3" xfId="26614" xr:uid="{00000000-0005-0000-0000-000026860000}"/>
    <cellStyle name="Porcentaje 3 3 2 5 2 4" xfId="11828" xr:uid="{00000000-0005-0000-0000-000027860000}"/>
    <cellStyle name="Porcentaje 3 3 2 5 2 4 2" xfId="31543" xr:uid="{00000000-0005-0000-0000-000028860000}"/>
    <cellStyle name="Porcentaje 3 3 2 5 2 5" xfId="21686" xr:uid="{00000000-0005-0000-0000-000029860000}"/>
    <cellStyle name="Porcentaje 3 3 2 5 3" xfId="3196" xr:uid="{00000000-0005-0000-0000-00002A860000}"/>
    <cellStyle name="Porcentaje 3 3 2 5 3 2" xfId="8128" xr:uid="{00000000-0005-0000-0000-00002B860000}"/>
    <cellStyle name="Porcentaje 3 3 2 5 3 2 2" xfId="17988" xr:uid="{00000000-0005-0000-0000-00002C860000}"/>
    <cellStyle name="Porcentaje 3 3 2 5 3 2 2 2" xfId="37703" xr:uid="{00000000-0005-0000-0000-00002D860000}"/>
    <cellStyle name="Porcentaje 3 3 2 5 3 2 3" xfId="27846" xr:uid="{00000000-0005-0000-0000-00002E860000}"/>
    <cellStyle name="Porcentaje 3 3 2 5 3 3" xfId="13060" xr:uid="{00000000-0005-0000-0000-00002F860000}"/>
    <cellStyle name="Porcentaje 3 3 2 5 3 3 2" xfId="32775" xr:uid="{00000000-0005-0000-0000-000030860000}"/>
    <cellStyle name="Porcentaje 3 3 2 5 3 4" xfId="22918" xr:uid="{00000000-0005-0000-0000-000031860000}"/>
    <cellStyle name="Porcentaje 3 3 2 5 4" xfId="5664" xr:uid="{00000000-0005-0000-0000-000032860000}"/>
    <cellStyle name="Porcentaje 3 3 2 5 4 2" xfId="15524" xr:uid="{00000000-0005-0000-0000-000033860000}"/>
    <cellStyle name="Porcentaje 3 3 2 5 4 2 2" xfId="35239" xr:uid="{00000000-0005-0000-0000-000034860000}"/>
    <cellStyle name="Porcentaje 3 3 2 5 4 3" xfId="25382" xr:uid="{00000000-0005-0000-0000-000035860000}"/>
    <cellStyle name="Porcentaje 3 3 2 5 5" xfId="10596" xr:uid="{00000000-0005-0000-0000-000036860000}"/>
    <cellStyle name="Porcentaje 3 3 2 5 5 2" xfId="30311" xr:uid="{00000000-0005-0000-0000-000037860000}"/>
    <cellStyle name="Porcentaje 3 3 2 5 6" xfId="20454" xr:uid="{00000000-0005-0000-0000-000038860000}"/>
    <cellStyle name="Porcentaje 3 3 2 6" xfId="1345" xr:uid="{00000000-0005-0000-0000-000039860000}"/>
    <cellStyle name="Porcentaje 3 3 2 6 2" xfId="3812" xr:uid="{00000000-0005-0000-0000-00003A860000}"/>
    <cellStyle name="Porcentaje 3 3 2 6 2 2" xfId="8744" xr:uid="{00000000-0005-0000-0000-00003B860000}"/>
    <cellStyle name="Porcentaje 3 3 2 6 2 2 2" xfId="18604" xr:uid="{00000000-0005-0000-0000-00003C860000}"/>
    <cellStyle name="Porcentaje 3 3 2 6 2 2 2 2" xfId="38319" xr:uid="{00000000-0005-0000-0000-00003D860000}"/>
    <cellStyle name="Porcentaje 3 3 2 6 2 2 3" xfId="28462" xr:uid="{00000000-0005-0000-0000-00003E860000}"/>
    <cellStyle name="Porcentaje 3 3 2 6 2 3" xfId="13676" xr:uid="{00000000-0005-0000-0000-00003F860000}"/>
    <cellStyle name="Porcentaje 3 3 2 6 2 3 2" xfId="33391" xr:uid="{00000000-0005-0000-0000-000040860000}"/>
    <cellStyle name="Porcentaje 3 3 2 6 2 4" xfId="23534" xr:uid="{00000000-0005-0000-0000-000041860000}"/>
    <cellStyle name="Porcentaje 3 3 2 6 3" xfId="6280" xr:uid="{00000000-0005-0000-0000-000042860000}"/>
    <cellStyle name="Porcentaje 3 3 2 6 3 2" xfId="16140" xr:uid="{00000000-0005-0000-0000-000043860000}"/>
    <cellStyle name="Porcentaje 3 3 2 6 3 2 2" xfId="35855" xr:uid="{00000000-0005-0000-0000-000044860000}"/>
    <cellStyle name="Porcentaje 3 3 2 6 3 3" xfId="25998" xr:uid="{00000000-0005-0000-0000-000045860000}"/>
    <cellStyle name="Porcentaje 3 3 2 6 4" xfId="11212" xr:uid="{00000000-0005-0000-0000-000046860000}"/>
    <cellStyle name="Porcentaje 3 3 2 6 4 2" xfId="30927" xr:uid="{00000000-0005-0000-0000-000047860000}"/>
    <cellStyle name="Porcentaje 3 3 2 6 5" xfId="21070" xr:uid="{00000000-0005-0000-0000-000048860000}"/>
    <cellStyle name="Porcentaje 3 3 2 7" xfId="2580" xr:uid="{00000000-0005-0000-0000-000049860000}"/>
    <cellStyle name="Porcentaje 3 3 2 7 2" xfId="7512" xr:uid="{00000000-0005-0000-0000-00004A860000}"/>
    <cellStyle name="Porcentaje 3 3 2 7 2 2" xfId="17372" xr:uid="{00000000-0005-0000-0000-00004B860000}"/>
    <cellStyle name="Porcentaje 3 3 2 7 2 2 2" xfId="37087" xr:uid="{00000000-0005-0000-0000-00004C860000}"/>
    <cellStyle name="Porcentaje 3 3 2 7 2 3" xfId="27230" xr:uid="{00000000-0005-0000-0000-00004D860000}"/>
    <cellStyle name="Porcentaje 3 3 2 7 3" xfId="12444" xr:uid="{00000000-0005-0000-0000-00004E860000}"/>
    <cellStyle name="Porcentaje 3 3 2 7 3 2" xfId="32159" xr:uid="{00000000-0005-0000-0000-00004F860000}"/>
    <cellStyle name="Porcentaje 3 3 2 7 4" xfId="22302" xr:uid="{00000000-0005-0000-0000-000050860000}"/>
    <cellStyle name="Porcentaje 3 3 2 8" xfId="5048" xr:uid="{00000000-0005-0000-0000-000051860000}"/>
    <cellStyle name="Porcentaje 3 3 2 8 2" xfId="14908" xr:uid="{00000000-0005-0000-0000-000052860000}"/>
    <cellStyle name="Porcentaje 3 3 2 8 2 2" xfId="34623" xr:uid="{00000000-0005-0000-0000-000053860000}"/>
    <cellStyle name="Porcentaje 3 3 2 8 3" xfId="24766" xr:uid="{00000000-0005-0000-0000-000054860000}"/>
    <cellStyle name="Porcentaje 3 3 2 9" xfId="9980" xr:uid="{00000000-0005-0000-0000-000055860000}"/>
    <cellStyle name="Porcentaje 3 3 2 9 2" xfId="29695" xr:uid="{00000000-0005-0000-0000-000056860000}"/>
    <cellStyle name="Porcentaje 3 3 3" xfId="131" xr:uid="{00000000-0005-0000-0000-000057860000}"/>
    <cellStyle name="Porcentaje 3 3 3 2" xfId="288" xr:uid="{00000000-0005-0000-0000-000058860000}"/>
    <cellStyle name="Porcentaje 3 3 3 2 2" xfId="602" xr:uid="{00000000-0005-0000-0000-000059860000}"/>
    <cellStyle name="Porcentaje 3 3 3 2 2 2" xfId="1222" xr:uid="{00000000-0005-0000-0000-00005A860000}"/>
    <cellStyle name="Porcentaje 3 3 3 2 2 2 2" xfId="2457" xr:uid="{00000000-0005-0000-0000-00005B860000}"/>
    <cellStyle name="Porcentaje 3 3 3 2 2 2 2 2" xfId="4924" xr:uid="{00000000-0005-0000-0000-00005C860000}"/>
    <cellStyle name="Porcentaje 3 3 3 2 2 2 2 2 2" xfId="9856" xr:uid="{00000000-0005-0000-0000-00005D860000}"/>
    <cellStyle name="Porcentaje 3 3 3 2 2 2 2 2 2 2" xfId="19716" xr:uid="{00000000-0005-0000-0000-00005E860000}"/>
    <cellStyle name="Porcentaje 3 3 3 2 2 2 2 2 2 2 2" xfId="39431" xr:uid="{00000000-0005-0000-0000-00005F860000}"/>
    <cellStyle name="Porcentaje 3 3 3 2 2 2 2 2 2 3" xfId="29574" xr:uid="{00000000-0005-0000-0000-000060860000}"/>
    <cellStyle name="Porcentaje 3 3 3 2 2 2 2 2 3" xfId="14788" xr:uid="{00000000-0005-0000-0000-000061860000}"/>
    <cellStyle name="Porcentaje 3 3 3 2 2 2 2 2 3 2" xfId="34503" xr:uid="{00000000-0005-0000-0000-000062860000}"/>
    <cellStyle name="Porcentaje 3 3 3 2 2 2 2 2 4" xfId="24646" xr:uid="{00000000-0005-0000-0000-000063860000}"/>
    <cellStyle name="Porcentaje 3 3 3 2 2 2 2 3" xfId="7392" xr:uid="{00000000-0005-0000-0000-000064860000}"/>
    <cellStyle name="Porcentaje 3 3 3 2 2 2 2 3 2" xfId="17252" xr:uid="{00000000-0005-0000-0000-000065860000}"/>
    <cellStyle name="Porcentaje 3 3 3 2 2 2 2 3 2 2" xfId="36967" xr:uid="{00000000-0005-0000-0000-000066860000}"/>
    <cellStyle name="Porcentaje 3 3 3 2 2 2 2 3 3" xfId="27110" xr:uid="{00000000-0005-0000-0000-000067860000}"/>
    <cellStyle name="Porcentaje 3 3 3 2 2 2 2 4" xfId="12324" xr:uid="{00000000-0005-0000-0000-000068860000}"/>
    <cellStyle name="Porcentaje 3 3 3 2 2 2 2 4 2" xfId="32039" xr:uid="{00000000-0005-0000-0000-000069860000}"/>
    <cellStyle name="Porcentaje 3 3 3 2 2 2 2 5" xfId="22182" xr:uid="{00000000-0005-0000-0000-00006A860000}"/>
    <cellStyle name="Porcentaje 3 3 3 2 2 2 3" xfId="3692" xr:uid="{00000000-0005-0000-0000-00006B860000}"/>
    <cellStyle name="Porcentaje 3 3 3 2 2 2 3 2" xfId="8624" xr:uid="{00000000-0005-0000-0000-00006C860000}"/>
    <cellStyle name="Porcentaje 3 3 3 2 2 2 3 2 2" xfId="18484" xr:uid="{00000000-0005-0000-0000-00006D860000}"/>
    <cellStyle name="Porcentaje 3 3 3 2 2 2 3 2 2 2" xfId="38199" xr:uid="{00000000-0005-0000-0000-00006E860000}"/>
    <cellStyle name="Porcentaje 3 3 3 2 2 2 3 2 3" xfId="28342" xr:uid="{00000000-0005-0000-0000-00006F860000}"/>
    <cellStyle name="Porcentaje 3 3 3 2 2 2 3 3" xfId="13556" xr:uid="{00000000-0005-0000-0000-000070860000}"/>
    <cellStyle name="Porcentaje 3 3 3 2 2 2 3 3 2" xfId="33271" xr:uid="{00000000-0005-0000-0000-000071860000}"/>
    <cellStyle name="Porcentaje 3 3 3 2 2 2 3 4" xfId="23414" xr:uid="{00000000-0005-0000-0000-000072860000}"/>
    <cellStyle name="Porcentaje 3 3 3 2 2 2 4" xfId="6160" xr:uid="{00000000-0005-0000-0000-000073860000}"/>
    <cellStyle name="Porcentaje 3 3 3 2 2 2 4 2" xfId="16020" xr:uid="{00000000-0005-0000-0000-000074860000}"/>
    <cellStyle name="Porcentaje 3 3 3 2 2 2 4 2 2" xfId="35735" xr:uid="{00000000-0005-0000-0000-000075860000}"/>
    <cellStyle name="Porcentaje 3 3 3 2 2 2 4 3" xfId="25878" xr:uid="{00000000-0005-0000-0000-000076860000}"/>
    <cellStyle name="Porcentaje 3 3 3 2 2 2 5" xfId="11092" xr:uid="{00000000-0005-0000-0000-000077860000}"/>
    <cellStyle name="Porcentaje 3 3 3 2 2 2 5 2" xfId="30807" xr:uid="{00000000-0005-0000-0000-000078860000}"/>
    <cellStyle name="Porcentaje 3 3 3 2 2 2 6" xfId="20950" xr:uid="{00000000-0005-0000-0000-000079860000}"/>
    <cellStyle name="Porcentaje 3 3 3 2 2 3" xfId="1841" xr:uid="{00000000-0005-0000-0000-00007A860000}"/>
    <cellStyle name="Porcentaje 3 3 3 2 2 3 2" xfId="4308" xr:uid="{00000000-0005-0000-0000-00007B860000}"/>
    <cellStyle name="Porcentaje 3 3 3 2 2 3 2 2" xfId="9240" xr:uid="{00000000-0005-0000-0000-00007C860000}"/>
    <cellStyle name="Porcentaje 3 3 3 2 2 3 2 2 2" xfId="19100" xr:uid="{00000000-0005-0000-0000-00007D860000}"/>
    <cellStyle name="Porcentaje 3 3 3 2 2 3 2 2 2 2" xfId="38815" xr:uid="{00000000-0005-0000-0000-00007E860000}"/>
    <cellStyle name="Porcentaje 3 3 3 2 2 3 2 2 3" xfId="28958" xr:uid="{00000000-0005-0000-0000-00007F860000}"/>
    <cellStyle name="Porcentaje 3 3 3 2 2 3 2 3" xfId="14172" xr:uid="{00000000-0005-0000-0000-000080860000}"/>
    <cellStyle name="Porcentaje 3 3 3 2 2 3 2 3 2" xfId="33887" xr:uid="{00000000-0005-0000-0000-000081860000}"/>
    <cellStyle name="Porcentaje 3 3 3 2 2 3 2 4" xfId="24030" xr:uid="{00000000-0005-0000-0000-000082860000}"/>
    <cellStyle name="Porcentaje 3 3 3 2 2 3 3" xfId="6776" xr:uid="{00000000-0005-0000-0000-000083860000}"/>
    <cellStyle name="Porcentaje 3 3 3 2 2 3 3 2" xfId="16636" xr:uid="{00000000-0005-0000-0000-000084860000}"/>
    <cellStyle name="Porcentaje 3 3 3 2 2 3 3 2 2" xfId="36351" xr:uid="{00000000-0005-0000-0000-000085860000}"/>
    <cellStyle name="Porcentaje 3 3 3 2 2 3 3 3" xfId="26494" xr:uid="{00000000-0005-0000-0000-000086860000}"/>
    <cellStyle name="Porcentaje 3 3 3 2 2 3 4" xfId="11708" xr:uid="{00000000-0005-0000-0000-000087860000}"/>
    <cellStyle name="Porcentaje 3 3 3 2 2 3 4 2" xfId="31423" xr:uid="{00000000-0005-0000-0000-000088860000}"/>
    <cellStyle name="Porcentaje 3 3 3 2 2 3 5" xfId="21566" xr:uid="{00000000-0005-0000-0000-000089860000}"/>
    <cellStyle name="Porcentaje 3 3 3 2 2 4" xfId="3076" xr:uid="{00000000-0005-0000-0000-00008A860000}"/>
    <cellStyle name="Porcentaje 3 3 3 2 2 4 2" xfId="8008" xr:uid="{00000000-0005-0000-0000-00008B860000}"/>
    <cellStyle name="Porcentaje 3 3 3 2 2 4 2 2" xfId="17868" xr:uid="{00000000-0005-0000-0000-00008C860000}"/>
    <cellStyle name="Porcentaje 3 3 3 2 2 4 2 2 2" xfId="37583" xr:uid="{00000000-0005-0000-0000-00008D860000}"/>
    <cellStyle name="Porcentaje 3 3 3 2 2 4 2 3" xfId="27726" xr:uid="{00000000-0005-0000-0000-00008E860000}"/>
    <cellStyle name="Porcentaje 3 3 3 2 2 4 3" xfId="12940" xr:uid="{00000000-0005-0000-0000-00008F860000}"/>
    <cellStyle name="Porcentaje 3 3 3 2 2 4 3 2" xfId="32655" xr:uid="{00000000-0005-0000-0000-000090860000}"/>
    <cellStyle name="Porcentaje 3 3 3 2 2 4 4" xfId="22798" xr:uid="{00000000-0005-0000-0000-000091860000}"/>
    <cellStyle name="Porcentaje 3 3 3 2 2 5" xfId="5544" xr:uid="{00000000-0005-0000-0000-000092860000}"/>
    <cellStyle name="Porcentaje 3 3 3 2 2 5 2" xfId="15404" xr:uid="{00000000-0005-0000-0000-000093860000}"/>
    <cellStyle name="Porcentaje 3 3 3 2 2 5 2 2" xfId="35119" xr:uid="{00000000-0005-0000-0000-000094860000}"/>
    <cellStyle name="Porcentaje 3 3 3 2 2 5 3" xfId="25262" xr:uid="{00000000-0005-0000-0000-000095860000}"/>
    <cellStyle name="Porcentaje 3 3 3 2 2 6" xfId="10476" xr:uid="{00000000-0005-0000-0000-000096860000}"/>
    <cellStyle name="Porcentaje 3 3 3 2 2 6 2" xfId="30191" xr:uid="{00000000-0005-0000-0000-000097860000}"/>
    <cellStyle name="Porcentaje 3 3 3 2 2 7" xfId="20334" xr:uid="{00000000-0005-0000-0000-000098860000}"/>
    <cellStyle name="Porcentaje 3 3 3 2 3" xfId="915" xr:uid="{00000000-0005-0000-0000-000099860000}"/>
    <cellStyle name="Porcentaje 3 3 3 2 3 2" xfId="2151" xr:uid="{00000000-0005-0000-0000-00009A860000}"/>
    <cellStyle name="Porcentaje 3 3 3 2 3 2 2" xfId="4618" xr:uid="{00000000-0005-0000-0000-00009B860000}"/>
    <cellStyle name="Porcentaje 3 3 3 2 3 2 2 2" xfId="9550" xr:uid="{00000000-0005-0000-0000-00009C860000}"/>
    <cellStyle name="Porcentaje 3 3 3 2 3 2 2 2 2" xfId="19410" xr:uid="{00000000-0005-0000-0000-00009D860000}"/>
    <cellStyle name="Porcentaje 3 3 3 2 3 2 2 2 2 2" xfId="39125" xr:uid="{00000000-0005-0000-0000-00009E860000}"/>
    <cellStyle name="Porcentaje 3 3 3 2 3 2 2 2 3" xfId="29268" xr:uid="{00000000-0005-0000-0000-00009F860000}"/>
    <cellStyle name="Porcentaje 3 3 3 2 3 2 2 3" xfId="14482" xr:uid="{00000000-0005-0000-0000-0000A0860000}"/>
    <cellStyle name="Porcentaje 3 3 3 2 3 2 2 3 2" xfId="34197" xr:uid="{00000000-0005-0000-0000-0000A1860000}"/>
    <cellStyle name="Porcentaje 3 3 3 2 3 2 2 4" xfId="24340" xr:uid="{00000000-0005-0000-0000-0000A2860000}"/>
    <cellStyle name="Porcentaje 3 3 3 2 3 2 3" xfId="7086" xr:uid="{00000000-0005-0000-0000-0000A3860000}"/>
    <cellStyle name="Porcentaje 3 3 3 2 3 2 3 2" xfId="16946" xr:uid="{00000000-0005-0000-0000-0000A4860000}"/>
    <cellStyle name="Porcentaje 3 3 3 2 3 2 3 2 2" xfId="36661" xr:uid="{00000000-0005-0000-0000-0000A5860000}"/>
    <cellStyle name="Porcentaje 3 3 3 2 3 2 3 3" xfId="26804" xr:uid="{00000000-0005-0000-0000-0000A6860000}"/>
    <cellStyle name="Porcentaje 3 3 3 2 3 2 4" xfId="12018" xr:uid="{00000000-0005-0000-0000-0000A7860000}"/>
    <cellStyle name="Porcentaje 3 3 3 2 3 2 4 2" xfId="31733" xr:uid="{00000000-0005-0000-0000-0000A8860000}"/>
    <cellStyle name="Porcentaje 3 3 3 2 3 2 5" xfId="21876" xr:uid="{00000000-0005-0000-0000-0000A9860000}"/>
    <cellStyle name="Porcentaje 3 3 3 2 3 3" xfId="3386" xr:uid="{00000000-0005-0000-0000-0000AA860000}"/>
    <cellStyle name="Porcentaje 3 3 3 2 3 3 2" xfId="8318" xr:uid="{00000000-0005-0000-0000-0000AB860000}"/>
    <cellStyle name="Porcentaje 3 3 3 2 3 3 2 2" xfId="18178" xr:uid="{00000000-0005-0000-0000-0000AC860000}"/>
    <cellStyle name="Porcentaje 3 3 3 2 3 3 2 2 2" xfId="37893" xr:uid="{00000000-0005-0000-0000-0000AD860000}"/>
    <cellStyle name="Porcentaje 3 3 3 2 3 3 2 3" xfId="28036" xr:uid="{00000000-0005-0000-0000-0000AE860000}"/>
    <cellStyle name="Porcentaje 3 3 3 2 3 3 3" xfId="13250" xr:uid="{00000000-0005-0000-0000-0000AF860000}"/>
    <cellStyle name="Porcentaje 3 3 3 2 3 3 3 2" xfId="32965" xr:uid="{00000000-0005-0000-0000-0000B0860000}"/>
    <cellStyle name="Porcentaje 3 3 3 2 3 3 4" xfId="23108" xr:uid="{00000000-0005-0000-0000-0000B1860000}"/>
    <cellStyle name="Porcentaje 3 3 3 2 3 4" xfId="5854" xr:uid="{00000000-0005-0000-0000-0000B2860000}"/>
    <cellStyle name="Porcentaje 3 3 3 2 3 4 2" xfId="15714" xr:uid="{00000000-0005-0000-0000-0000B3860000}"/>
    <cellStyle name="Porcentaje 3 3 3 2 3 4 2 2" xfId="35429" xr:uid="{00000000-0005-0000-0000-0000B4860000}"/>
    <cellStyle name="Porcentaje 3 3 3 2 3 4 3" xfId="25572" xr:uid="{00000000-0005-0000-0000-0000B5860000}"/>
    <cellStyle name="Porcentaje 3 3 3 2 3 5" xfId="10786" xr:uid="{00000000-0005-0000-0000-0000B6860000}"/>
    <cellStyle name="Porcentaje 3 3 3 2 3 5 2" xfId="30501" xr:uid="{00000000-0005-0000-0000-0000B7860000}"/>
    <cellStyle name="Porcentaje 3 3 3 2 3 6" xfId="20644" xr:uid="{00000000-0005-0000-0000-0000B8860000}"/>
    <cellStyle name="Porcentaje 3 3 3 2 4" xfId="1535" xr:uid="{00000000-0005-0000-0000-0000B9860000}"/>
    <cellStyle name="Porcentaje 3 3 3 2 4 2" xfId="4002" xr:uid="{00000000-0005-0000-0000-0000BA860000}"/>
    <cellStyle name="Porcentaje 3 3 3 2 4 2 2" xfId="8934" xr:uid="{00000000-0005-0000-0000-0000BB860000}"/>
    <cellStyle name="Porcentaje 3 3 3 2 4 2 2 2" xfId="18794" xr:uid="{00000000-0005-0000-0000-0000BC860000}"/>
    <cellStyle name="Porcentaje 3 3 3 2 4 2 2 2 2" xfId="38509" xr:uid="{00000000-0005-0000-0000-0000BD860000}"/>
    <cellStyle name="Porcentaje 3 3 3 2 4 2 2 3" xfId="28652" xr:uid="{00000000-0005-0000-0000-0000BE860000}"/>
    <cellStyle name="Porcentaje 3 3 3 2 4 2 3" xfId="13866" xr:uid="{00000000-0005-0000-0000-0000BF860000}"/>
    <cellStyle name="Porcentaje 3 3 3 2 4 2 3 2" xfId="33581" xr:uid="{00000000-0005-0000-0000-0000C0860000}"/>
    <cellStyle name="Porcentaje 3 3 3 2 4 2 4" xfId="23724" xr:uid="{00000000-0005-0000-0000-0000C1860000}"/>
    <cellStyle name="Porcentaje 3 3 3 2 4 3" xfId="6470" xr:uid="{00000000-0005-0000-0000-0000C2860000}"/>
    <cellStyle name="Porcentaje 3 3 3 2 4 3 2" xfId="16330" xr:uid="{00000000-0005-0000-0000-0000C3860000}"/>
    <cellStyle name="Porcentaje 3 3 3 2 4 3 2 2" xfId="36045" xr:uid="{00000000-0005-0000-0000-0000C4860000}"/>
    <cellStyle name="Porcentaje 3 3 3 2 4 3 3" xfId="26188" xr:uid="{00000000-0005-0000-0000-0000C5860000}"/>
    <cellStyle name="Porcentaje 3 3 3 2 4 4" xfId="11402" xr:uid="{00000000-0005-0000-0000-0000C6860000}"/>
    <cellStyle name="Porcentaje 3 3 3 2 4 4 2" xfId="31117" xr:uid="{00000000-0005-0000-0000-0000C7860000}"/>
    <cellStyle name="Porcentaje 3 3 3 2 4 5" xfId="21260" xr:uid="{00000000-0005-0000-0000-0000C8860000}"/>
    <cellStyle name="Porcentaje 3 3 3 2 5" xfId="2770" xr:uid="{00000000-0005-0000-0000-0000C9860000}"/>
    <cellStyle name="Porcentaje 3 3 3 2 5 2" xfId="7702" xr:uid="{00000000-0005-0000-0000-0000CA860000}"/>
    <cellStyle name="Porcentaje 3 3 3 2 5 2 2" xfId="17562" xr:uid="{00000000-0005-0000-0000-0000CB860000}"/>
    <cellStyle name="Porcentaje 3 3 3 2 5 2 2 2" xfId="37277" xr:uid="{00000000-0005-0000-0000-0000CC860000}"/>
    <cellStyle name="Porcentaje 3 3 3 2 5 2 3" xfId="27420" xr:uid="{00000000-0005-0000-0000-0000CD860000}"/>
    <cellStyle name="Porcentaje 3 3 3 2 5 3" xfId="12634" xr:uid="{00000000-0005-0000-0000-0000CE860000}"/>
    <cellStyle name="Porcentaje 3 3 3 2 5 3 2" xfId="32349" xr:uid="{00000000-0005-0000-0000-0000CF860000}"/>
    <cellStyle name="Porcentaje 3 3 3 2 5 4" xfId="22492" xr:uid="{00000000-0005-0000-0000-0000D0860000}"/>
    <cellStyle name="Porcentaje 3 3 3 2 6" xfId="5238" xr:uid="{00000000-0005-0000-0000-0000D1860000}"/>
    <cellStyle name="Porcentaje 3 3 3 2 6 2" xfId="15098" xr:uid="{00000000-0005-0000-0000-0000D2860000}"/>
    <cellStyle name="Porcentaje 3 3 3 2 6 2 2" xfId="34813" xr:uid="{00000000-0005-0000-0000-0000D3860000}"/>
    <cellStyle name="Porcentaje 3 3 3 2 6 3" xfId="24956" xr:uid="{00000000-0005-0000-0000-0000D4860000}"/>
    <cellStyle name="Porcentaje 3 3 3 2 7" xfId="10170" xr:uid="{00000000-0005-0000-0000-0000D5860000}"/>
    <cellStyle name="Porcentaje 3 3 3 2 7 2" xfId="29885" xr:uid="{00000000-0005-0000-0000-0000D6860000}"/>
    <cellStyle name="Porcentaje 3 3 3 2 8" xfId="20028" xr:uid="{00000000-0005-0000-0000-0000D7860000}"/>
    <cellStyle name="Porcentaje 3 3 3 3" xfId="450" xr:uid="{00000000-0005-0000-0000-0000D8860000}"/>
    <cellStyle name="Porcentaje 3 3 3 3 2" xfId="1070" xr:uid="{00000000-0005-0000-0000-0000D9860000}"/>
    <cellStyle name="Porcentaje 3 3 3 3 2 2" xfId="2305" xr:uid="{00000000-0005-0000-0000-0000DA860000}"/>
    <cellStyle name="Porcentaje 3 3 3 3 2 2 2" xfId="4772" xr:uid="{00000000-0005-0000-0000-0000DB860000}"/>
    <cellStyle name="Porcentaje 3 3 3 3 2 2 2 2" xfId="9704" xr:uid="{00000000-0005-0000-0000-0000DC860000}"/>
    <cellStyle name="Porcentaje 3 3 3 3 2 2 2 2 2" xfId="19564" xr:uid="{00000000-0005-0000-0000-0000DD860000}"/>
    <cellStyle name="Porcentaje 3 3 3 3 2 2 2 2 2 2" xfId="39279" xr:uid="{00000000-0005-0000-0000-0000DE860000}"/>
    <cellStyle name="Porcentaje 3 3 3 3 2 2 2 2 3" xfId="29422" xr:uid="{00000000-0005-0000-0000-0000DF860000}"/>
    <cellStyle name="Porcentaje 3 3 3 3 2 2 2 3" xfId="14636" xr:uid="{00000000-0005-0000-0000-0000E0860000}"/>
    <cellStyle name="Porcentaje 3 3 3 3 2 2 2 3 2" xfId="34351" xr:uid="{00000000-0005-0000-0000-0000E1860000}"/>
    <cellStyle name="Porcentaje 3 3 3 3 2 2 2 4" xfId="24494" xr:uid="{00000000-0005-0000-0000-0000E2860000}"/>
    <cellStyle name="Porcentaje 3 3 3 3 2 2 3" xfId="7240" xr:uid="{00000000-0005-0000-0000-0000E3860000}"/>
    <cellStyle name="Porcentaje 3 3 3 3 2 2 3 2" xfId="17100" xr:uid="{00000000-0005-0000-0000-0000E4860000}"/>
    <cellStyle name="Porcentaje 3 3 3 3 2 2 3 2 2" xfId="36815" xr:uid="{00000000-0005-0000-0000-0000E5860000}"/>
    <cellStyle name="Porcentaje 3 3 3 3 2 2 3 3" xfId="26958" xr:uid="{00000000-0005-0000-0000-0000E6860000}"/>
    <cellStyle name="Porcentaje 3 3 3 3 2 2 4" xfId="12172" xr:uid="{00000000-0005-0000-0000-0000E7860000}"/>
    <cellStyle name="Porcentaje 3 3 3 3 2 2 4 2" xfId="31887" xr:uid="{00000000-0005-0000-0000-0000E8860000}"/>
    <cellStyle name="Porcentaje 3 3 3 3 2 2 5" xfId="22030" xr:uid="{00000000-0005-0000-0000-0000E9860000}"/>
    <cellStyle name="Porcentaje 3 3 3 3 2 3" xfId="3540" xr:uid="{00000000-0005-0000-0000-0000EA860000}"/>
    <cellStyle name="Porcentaje 3 3 3 3 2 3 2" xfId="8472" xr:uid="{00000000-0005-0000-0000-0000EB860000}"/>
    <cellStyle name="Porcentaje 3 3 3 3 2 3 2 2" xfId="18332" xr:uid="{00000000-0005-0000-0000-0000EC860000}"/>
    <cellStyle name="Porcentaje 3 3 3 3 2 3 2 2 2" xfId="38047" xr:uid="{00000000-0005-0000-0000-0000ED860000}"/>
    <cellStyle name="Porcentaje 3 3 3 3 2 3 2 3" xfId="28190" xr:uid="{00000000-0005-0000-0000-0000EE860000}"/>
    <cellStyle name="Porcentaje 3 3 3 3 2 3 3" xfId="13404" xr:uid="{00000000-0005-0000-0000-0000EF860000}"/>
    <cellStyle name="Porcentaje 3 3 3 3 2 3 3 2" xfId="33119" xr:uid="{00000000-0005-0000-0000-0000F0860000}"/>
    <cellStyle name="Porcentaje 3 3 3 3 2 3 4" xfId="23262" xr:uid="{00000000-0005-0000-0000-0000F1860000}"/>
    <cellStyle name="Porcentaje 3 3 3 3 2 4" xfId="6008" xr:uid="{00000000-0005-0000-0000-0000F2860000}"/>
    <cellStyle name="Porcentaje 3 3 3 3 2 4 2" xfId="15868" xr:uid="{00000000-0005-0000-0000-0000F3860000}"/>
    <cellStyle name="Porcentaje 3 3 3 3 2 4 2 2" xfId="35583" xr:uid="{00000000-0005-0000-0000-0000F4860000}"/>
    <cellStyle name="Porcentaje 3 3 3 3 2 4 3" xfId="25726" xr:uid="{00000000-0005-0000-0000-0000F5860000}"/>
    <cellStyle name="Porcentaje 3 3 3 3 2 5" xfId="10940" xr:uid="{00000000-0005-0000-0000-0000F6860000}"/>
    <cellStyle name="Porcentaje 3 3 3 3 2 5 2" xfId="30655" xr:uid="{00000000-0005-0000-0000-0000F7860000}"/>
    <cellStyle name="Porcentaje 3 3 3 3 2 6" xfId="20798" xr:uid="{00000000-0005-0000-0000-0000F8860000}"/>
    <cellStyle name="Porcentaje 3 3 3 3 3" xfId="1689" xr:uid="{00000000-0005-0000-0000-0000F9860000}"/>
    <cellStyle name="Porcentaje 3 3 3 3 3 2" xfId="4156" xr:uid="{00000000-0005-0000-0000-0000FA860000}"/>
    <cellStyle name="Porcentaje 3 3 3 3 3 2 2" xfId="9088" xr:uid="{00000000-0005-0000-0000-0000FB860000}"/>
    <cellStyle name="Porcentaje 3 3 3 3 3 2 2 2" xfId="18948" xr:uid="{00000000-0005-0000-0000-0000FC860000}"/>
    <cellStyle name="Porcentaje 3 3 3 3 3 2 2 2 2" xfId="38663" xr:uid="{00000000-0005-0000-0000-0000FD860000}"/>
    <cellStyle name="Porcentaje 3 3 3 3 3 2 2 3" xfId="28806" xr:uid="{00000000-0005-0000-0000-0000FE860000}"/>
    <cellStyle name="Porcentaje 3 3 3 3 3 2 3" xfId="14020" xr:uid="{00000000-0005-0000-0000-0000FF860000}"/>
    <cellStyle name="Porcentaje 3 3 3 3 3 2 3 2" xfId="33735" xr:uid="{00000000-0005-0000-0000-000000870000}"/>
    <cellStyle name="Porcentaje 3 3 3 3 3 2 4" xfId="23878" xr:uid="{00000000-0005-0000-0000-000001870000}"/>
    <cellStyle name="Porcentaje 3 3 3 3 3 3" xfId="6624" xr:uid="{00000000-0005-0000-0000-000002870000}"/>
    <cellStyle name="Porcentaje 3 3 3 3 3 3 2" xfId="16484" xr:uid="{00000000-0005-0000-0000-000003870000}"/>
    <cellStyle name="Porcentaje 3 3 3 3 3 3 2 2" xfId="36199" xr:uid="{00000000-0005-0000-0000-000004870000}"/>
    <cellStyle name="Porcentaje 3 3 3 3 3 3 3" xfId="26342" xr:uid="{00000000-0005-0000-0000-000005870000}"/>
    <cellStyle name="Porcentaje 3 3 3 3 3 4" xfId="11556" xr:uid="{00000000-0005-0000-0000-000006870000}"/>
    <cellStyle name="Porcentaje 3 3 3 3 3 4 2" xfId="31271" xr:uid="{00000000-0005-0000-0000-000007870000}"/>
    <cellStyle name="Porcentaje 3 3 3 3 3 5" xfId="21414" xr:uid="{00000000-0005-0000-0000-000008870000}"/>
    <cellStyle name="Porcentaje 3 3 3 3 4" xfId="2924" xr:uid="{00000000-0005-0000-0000-000009870000}"/>
    <cellStyle name="Porcentaje 3 3 3 3 4 2" xfId="7856" xr:uid="{00000000-0005-0000-0000-00000A870000}"/>
    <cellStyle name="Porcentaje 3 3 3 3 4 2 2" xfId="17716" xr:uid="{00000000-0005-0000-0000-00000B870000}"/>
    <cellStyle name="Porcentaje 3 3 3 3 4 2 2 2" xfId="37431" xr:uid="{00000000-0005-0000-0000-00000C870000}"/>
    <cellStyle name="Porcentaje 3 3 3 3 4 2 3" xfId="27574" xr:uid="{00000000-0005-0000-0000-00000D870000}"/>
    <cellStyle name="Porcentaje 3 3 3 3 4 3" xfId="12788" xr:uid="{00000000-0005-0000-0000-00000E870000}"/>
    <cellStyle name="Porcentaje 3 3 3 3 4 3 2" xfId="32503" xr:uid="{00000000-0005-0000-0000-00000F870000}"/>
    <cellStyle name="Porcentaje 3 3 3 3 4 4" xfId="22646" xr:uid="{00000000-0005-0000-0000-000010870000}"/>
    <cellStyle name="Porcentaje 3 3 3 3 5" xfId="5392" xr:uid="{00000000-0005-0000-0000-000011870000}"/>
    <cellStyle name="Porcentaje 3 3 3 3 5 2" xfId="15252" xr:uid="{00000000-0005-0000-0000-000012870000}"/>
    <cellStyle name="Porcentaje 3 3 3 3 5 2 2" xfId="34967" xr:uid="{00000000-0005-0000-0000-000013870000}"/>
    <cellStyle name="Porcentaje 3 3 3 3 5 3" xfId="25110" xr:uid="{00000000-0005-0000-0000-000014870000}"/>
    <cellStyle name="Porcentaje 3 3 3 3 6" xfId="10324" xr:uid="{00000000-0005-0000-0000-000015870000}"/>
    <cellStyle name="Porcentaje 3 3 3 3 6 2" xfId="30039" xr:uid="{00000000-0005-0000-0000-000016870000}"/>
    <cellStyle name="Porcentaje 3 3 3 3 7" xfId="20182" xr:uid="{00000000-0005-0000-0000-000017870000}"/>
    <cellStyle name="Porcentaje 3 3 3 4" xfId="763" xr:uid="{00000000-0005-0000-0000-000018870000}"/>
    <cellStyle name="Porcentaje 3 3 3 4 2" xfId="1999" xr:uid="{00000000-0005-0000-0000-000019870000}"/>
    <cellStyle name="Porcentaje 3 3 3 4 2 2" xfId="4466" xr:uid="{00000000-0005-0000-0000-00001A870000}"/>
    <cellStyle name="Porcentaje 3 3 3 4 2 2 2" xfId="9398" xr:uid="{00000000-0005-0000-0000-00001B870000}"/>
    <cellStyle name="Porcentaje 3 3 3 4 2 2 2 2" xfId="19258" xr:uid="{00000000-0005-0000-0000-00001C870000}"/>
    <cellStyle name="Porcentaje 3 3 3 4 2 2 2 2 2" xfId="38973" xr:uid="{00000000-0005-0000-0000-00001D870000}"/>
    <cellStyle name="Porcentaje 3 3 3 4 2 2 2 3" xfId="29116" xr:uid="{00000000-0005-0000-0000-00001E870000}"/>
    <cellStyle name="Porcentaje 3 3 3 4 2 2 3" xfId="14330" xr:uid="{00000000-0005-0000-0000-00001F870000}"/>
    <cellStyle name="Porcentaje 3 3 3 4 2 2 3 2" xfId="34045" xr:uid="{00000000-0005-0000-0000-000020870000}"/>
    <cellStyle name="Porcentaje 3 3 3 4 2 2 4" xfId="24188" xr:uid="{00000000-0005-0000-0000-000021870000}"/>
    <cellStyle name="Porcentaje 3 3 3 4 2 3" xfId="6934" xr:uid="{00000000-0005-0000-0000-000022870000}"/>
    <cellStyle name="Porcentaje 3 3 3 4 2 3 2" xfId="16794" xr:uid="{00000000-0005-0000-0000-000023870000}"/>
    <cellStyle name="Porcentaje 3 3 3 4 2 3 2 2" xfId="36509" xr:uid="{00000000-0005-0000-0000-000024870000}"/>
    <cellStyle name="Porcentaje 3 3 3 4 2 3 3" xfId="26652" xr:uid="{00000000-0005-0000-0000-000025870000}"/>
    <cellStyle name="Porcentaje 3 3 3 4 2 4" xfId="11866" xr:uid="{00000000-0005-0000-0000-000026870000}"/>
    <cellStyle name="Porcentaje 3 3 3 4 2 4 2" xfId="31581" xr:uid="{00000000-0005-0000-0000-000027870000}"/>
    <cellStyle name="Porcentaje 3 3 3 4 2 5" xfId="21724" xr:uid="{00000000-0005-0000-0000-000028870000}"/>
    <cellStyle name="Porcentaje 3 3 3 4 3" xfId="3234" xr:uid="{00000000-0005-0000-0000-000029870000}"/>
    <cellStyle name="Porcentaje 3 3 3 4 3 2" xfId="8166" xr:uid="{00000000-0005-0000-0000-00002A870000}"/>
    <cellStyle name="Porcentaje 3 3 3 4 3 2 2" xfId="18026" xr:uid="{00000000-0005-0000-0000-00002B870000}"/>
    <cellStyle name="Porcentaje 3 3 3 4 3 2 2 2" xfId="37741" xr:uid="{00000000-0005-0000-0000-00002C870000}"/>
    <cellStyle name="Porcentaje 3 3 3 4 3 2 3" xfId="27884" xr:uid="{00000000-0005-0000-0000-00002D870000}"/>
    <cellStyle name="Porcentaje 3 3 3 4 3 3" xfId="13098" xr:uid="{00000000-0005-0000-0000-00002E870000}"/>
    <cellStyle name="Porcentaje 3 3 3 4 3 3 2" xfId="32813" xr:uid="{00000000-0005-0000-0000-00002F870000}"/>
    <cellStyle name="Porcentaje 3 3 3 4 3 4" xfId="22956" xr:uid="{00000000-0005-0000-0000-000030870000}"/>
    <cellStyle name="Porcentaje 3 3 3 4 4" xfId="5702" xr:uid="{00000000-0005-0000-0000-000031870000}"/>
    <cellStyle name="Porcentaje 3 3 3 4 4 2" xfId="15562" xr:uid="{00000000-0005-0000-0000-000032870000}"/>
    <cellStyle name="Porcentaje 3 3 3 4 4 2 2" xfId="35277" xr:uid="{00000000-0005-0000-0000-000033870000}"/>
    <cellStyle name="Porcentaje 3 3 3 4 4 3" xfId="25420" xr:uid="{00000000-0005-0000-0000-000034870000}"/>
    <cellStyle name="Porcentaje 3 3 3 4 5" xfId="10634" xr:uid="{00000000-0005-0000-0000-000035870000}"/>
    <cellStyle name="Porcentaje 3 3 3 4 5 2" xfId="30349" xr:uid="{00000000-0005-0000-0000-000036870000}"/>
    <cellStyle name="Porcentaje 3 3 3 4 6" xfId="20492" xr:uid="{00000000-0005-0000-0000-000037870000}"/>
    <cellStyle name="Porcentaje 3 3 3 5" xfId="1383" xr:uid="{00000000-0005-0000-0000-000038870000}"/>
    <cellStyle name="Porcentaje 3 3 3 5 2" xfId="3850" xr:uid="{00000000-0005-0000-0000-000039870000}"/>
    <cellStyle name="Porcentaje 3 3 3 5 2 2" xfId="8782" xr:uid="{00000000-0005-0000-0000-00003A870000}"/>
    <cellStyle name="Porcentaje 3 3 3 5 2 2 2" xfId="18642" xr:uid="{00000000-0005-0000-0000-00003B870000}"/>
    <cellStyle name="Porcentaje 3 3 3 5 2 2 2 2" xfId="38357" xr:uid="{00000000-0005-0000-0000-00003C870000}"/>
    <cellStyle name="Porcentaje 3 3 3 5 2 2 3" xfId="28500" xr:uid="{00000000-0005-0000-0000-00003D870000}"/>
    <cellStyle name="Porcentaje 3 3 3 5 2 3" xfId="13714" xr:uid="{00000000-0005-0000-0000-00003E870000}"/>
    <cellStyle name="Porcentaje 3 3 3 5 2 3 2" xfId="33429" xr:uid="{00000000-0005-0000-0000-00003F870000}"/>
    <cellStyle name="Porcentaje 3 3 3 5 2 4" xfId="23572" xr:uid="{00000000-0005-0000-0000-000040870000}"/>
    <cellStyle name="Porcentaje 3 3 3 5 3" xfId="6318" xr:uid="{00000000-0005-0000-0000-000041870000}"/>
    <cellStyle name="Porcentaje 3 3 3 5 3 2" xfId="16178" xr:uid="{00000000-0005-0000-0000-000042870000}"/>
    <cellStyle name="Porcentaje 3 3 3 5 3 2 2" xfId="35893" xr:uid="{00000000-0005-0000-0000-000043870000}"/>
    <cellStyle name="Porcentaje 3 3 3 5 3 3" xfId="26036" xr:uid="{00000000-0005-0000-0000-000044870000}"/>
    <cellStyle name="Porcentaje 3 3 3 5 4" xfId="11250" xr:uid="{00000000-0005-0000-0000-000045870000}"/>
    <cellStyle name="Porcentaje 3 3 3 5 4 2" xfId="30965" xr:uid="{00000000-0005-0000-0000-000046870000}"/>
    <cellStyle name="Porcentaje 3 3 3 5 5" xfId="21108" xr:uid="{00000000-0005-0000-0000-000047870000}"/>
    <cellStyle name="Porcentaje 3 3 3 6" xfId="2618" xr:uid="{00000000-0005-0000-0000-000048870000}"/>
    <cellStyle name="Porcentaje 3 3 3 6 2" xfId="7550" xr:uid="{00000000-0005-0000-0000-000049870000}"/>
    <cellStyle name="Porcentaje 3 3 3 6 2 2" xfId="17410" xr:uid="{00000000-0005-0000-0000-00004A870000}"/>
    <cellStyle name="Porcentaje 3 3 3 6 2 2 2" xfId="37125" xr:uid="{00000000-0005-0000-0000-00004B870000}"/>
    <cellStyle name="Porcentaje 3 3 3 6 2 3" xfId="27268" xr:uid="{00000000-0005-0000-0000-00004C870000}"/>
    <cellStyle name="Porcentaje 3 3 3 6 3" xfId="12482" xr:uid="{00000000-0005-0000-0000-00004D870000}"/>
    <cellStyle name="Porcentaje 3 3 3 6 3 2" xfId="32197" xr:uid="{00000000-0005-0000-0000-00004E870000}"/>
    <cellStyle name="Porcentaje 3 3 3 6 4" xfId="22340" xr:uid="{00000000-0005-0000-0000-00004F870000}"/>
    <cellStyle name="Porcentaje 3 3 3 7" xfId="5086" xr:uid="{00000000-0005-0000-0000-000050870000}"/>
    <cellStyle name="Porcentaje 3 3 3 7 2" xfId="14946" xr:uid="{00000000-0005-0000-0000-000051870000}"/>
    <cellStyle name="Porcentaje 3 3 3 7 2 2" xfId="34661" xr:uid="{00000000-0005-0000-0000-000052870000}"/>
    <cellStyle name="Porcentaje 3 3 3 7 3" xfId="24804" xr:uid="{00000000-0005-0000-0000-000053870000}"/>
    <cellStyle name="Porcentaje 3 3 3 8" xfId="10018" xr:uid="{00000000-0005-0000-0000-000054870000}"/>
    <cellStyle name="Porcentaje 3 3 3 8 2" xfId="29733" xr:uid="{00000000-0005-0000-0000-000055870000}"/>
    <cellStyle name="Porcentaje 3 3 3 9" xfId="19876" xr:uid="{00000000-0005-0000-0000-000056870000}"/>
    <cellStyle name="Porcentaje 3 3 4" xfId="212" xr:uid="{00000000-0005-0000-0000-000057870000}"/>
    <cellStyle name="Porcentaje 3 3 4 2" xfId="526" xr:uid="{00000000-0005-0000-0000-000058870000}"/>
    <cellStyle name="Porcentaje 3 3 4 2 2" xfId="1146" xr:uid="{00000000-0005-0000-0000-000059870000}"/>
    <cellStyle name="Porcentaje 3 3 4 2 2 2" xfId="2381" xr:uid="{00000000-0005-0000-0000-00005A870000}"/>
    <cellStyle name="Porcentaje 3 3 4 2 2 2 2" xfId="4848" xr:uid="{00000000-0005-0000-0000-00005B870000}"/>
    <cellStyle name="Porcentaje 3 3 4 2 2 2 2 2" xfId="9780" xr:uid="{00000000-0005-0000-0000-00005C870000}"/>
    <cellStyle name="Porcentaje 3 3 4 2 2 2 2 2 2" xfId="19640" xr:uid="{00000000-0005-0000-0000-00005D870000}"/>
    <cellStyle name="Porcentaje 3 3 4 2 2 2 2 2 2 2" xfId="39355" xr:uid="{00000000-0005-0000-0000-00005E870000}"/>
    <cellStyle name="Porcentaje 3 3 4 2 2 2 2 2 3" xfId="29498" xr:uid="{00000000-0005-0000-0000-00005F870000}"/>
    <cellStyle name="Porcentaje 3 3 4 2 2 2 2 3" xfId="14712" xr:uid="{00000000-0005-0000-0000-000060870000}"/>
    <cellStyle name="Porcentaje 3 3 4 2 2 2 2 3 2" xfId="34427" xr:uid="{00000000-0005-0000-0000-000061870000}"/>
    <cellStyle name="Porcentaje 3 3 4 2 2 2 2 4" xfId="24570" xr:uid="{00000000-0005-0000-0000-000062870000}"/>
    <cellStyle name="Porcentaje 3 3 4 2 2 2 3" xfId="7316" xr:uid="{00000000-0005-0000-0000-000063870000}"/>
    <cellStyle name="Porcentaje 3 3 4 2 2 2 3 2" xfId="17176" xr:uid="{00000000-0005-0000-0000-000064870000}"/>
    <cellStyle name="Porcentaje 3 3 4 2 2 2 3 2 2" xfId="36891" xr:uid="{00000000-0005-0000-0000-000065870000}"/>
    <cellStyle name="Porcentaje 3 3 4 2 2 2 3 3" xfId="27034" xr:uid="{00000000-0005-0000-0000-000066870000}"/>
    <cellStyle name="Porcentaje 3 3 4 2 2 2 4" xfId="12248" xr:uid="{00000000-0005-0000-0000-000067870000}"/>
    <cellStyle name="Porcentaje 3 3 4 2 2 2 4 2" xfId="31963" xr:uid="{00000000-0005-0000-0000-000068870000}"/>
    <cellStyle name="Porcentaje 3 3 4 2 2 2 5" xfId="22106" xr:uid="{00000000-0005-0000-0000-000069870000}"/>
    <cellStyle name="Porcentaje 3 3 4 2 2 3" xfId="3616" xr:uid="{00000000-0005-0000-0000-00006A870000}"/>
    <cellStyle name="Porcentaje 3 3 4 2 2 3 2" xfId="8548" xr:uid="{00000000-0005-0000-0000-00006B870000}"/>
    <cellStyle name="Porcentaje 3 3 4 2 2 3 2 2" xfId="18408" xr:uid="{00000000-0005-0000-0000-00006C870000}"/>
    <cellStyle name="Porcentaje 3 3 4 2 2 3 2 2 2" xfId="38123" xr:uid="{00000000-0005-0000-0000-00006D870000}"/>
    <cellStyle name="Porcentaje 3 3 4 2 2 3 2 3" xfId="28266" xr:uid="{00000000-0005-0000-0000-00006E870000}"/>
    <cellStyle name="Porcentaje 3 3 4 2 2 3 3" xfId="13480" xr:uid="{00000000-0005-0000-0000-00006F870000}"/>
    <cellStyle name="Porcentaje 3 3 4 2 2 3 3 2" xfId="33195" xr:uid="{00000000-0005-0000-0000-000070870000}"/>
    <cellStyle name="Porcentaje 3 3 4 2 2 3 4" xfId="23338" xr:uid="{00000000-0005-0000-0000-000071870000}"/>
    <cellStyle name="Porcentaje 3 3 4 2 2 4" xfId="6084" xr:uid="{00000000-0005-0000-0000-000072870000}"/>
    <cellStyle name="Porcentaje 3 3 4 2 2 4 2" xfId="15944" xr:uid="{00000000-0005-0000-0000-000073870000}"/>
    <cellStyle name="Porcentaje 3 3 4 2 2 4 2 2" xfId="35659" xr:uid="{00000000-0005-0000-0000-000074870000}"/>
    <cellStyle name="Porcentaje 3 3 4 2 2 4 3" xfId="25802" xr:uid="{00000000-0005-0000-0000-000075870000}"/>
    <cellStyle name="Porcentaje 3 3 4 2 2 5" xfId="11016" xr:uid="{00000000-0005-0000-0000-000076870000}"/>
    <cellStyle name="Porcentaje 3 3 4 2 2 5 2" xfId="30731" xr:uid="{00000000-0005-0000-0000-000077870000}"/>
    <cellStyle name="Porcentaje 3 3 4 2 2 6" xfId="20874" xr:uid="{00000000-0005-0000-0000-000078870000}"/>
    <cellStyle name="Porcentaje 3 3 4 2 3" xfId="1765" xr:uid="{00000000-0005-0000-0000-000079870000}"/>
    <cellStyle name="Porcentaje 3 3 4 2 3 2" xfId="4232" xr:uid="{00000000-0005-0000-0000-00007A870000}"/>
    <cellStyle name="Porcentaje 3 3 4 2 3 2 2" xfId="9164" xr:uid="{00000000-0005-0000-0000-00007B870000}"/>
    <cellStyle name="Porcentaje 3 3 4 2 3 2 2 2" xfId="19024" xr:uid="{00000000-0005-0000-0000-00007C870000}"/>
    <cellStyle name="Porcentaje 3 3 4 2 3 2 2 2 2" xfId="38739" xr:uid="{00000000-0005-0000-0000-00007D870000}"/>
    <cellStyle name="Porcentaje 3 3 4 2 3 2 2 3" xfId="28882" xr:uid="{00000000-0005-0000-0000-00007E870000}"/>
    <cellStyle name="Porcentaje 3 3 4 2 3 2 3" xfId="14096" xr:uid="{00000000-0005-0000-0000-00007F870000}"/>
    <cellStyle name="Porcentaje 3 3 4 2 3 2 3 2" xfId="33811" xr:uid="{00000000-0005-0000-0000-000080870000}"/>
    <cellStyle name="Porcentaje 3 3 4 2 3 2 4" xfId="23954" xr:uid="{00000000-0005-0000-0000-000081870000}"/>
    <cellStyle name="Porcentaje 3 3 4 2 3 3" xfId="6700" xr:uid="{00000000-0005-0000-0000-000082870000}"/>
    <cellStyle name="Porcentaje 3 3 4 2 3 3 2" xfId="16560" xr:uid="{00000000-0005-0000-0000-000083870000}"/>
    <cellStyle name="Porcentaje 3 3 4 2 3 3 2 2" xfId="36275" xr:uid="{00000000-0005-0000-0000-000084870000}"/>
    <cellStyle name="Porcentaje 3 3 4 2 3 3 3" xfId="26418" xr:uid="{00000000-0005-0000-0000-000085870000}"/>
    <cellStyle name="Porcentaje 3 3 4 2 3 4" xfId="11632" xr:uid="{00000000-0005-0000-0000-000086870000}"/>
    <cellStyle name="Porcentaje 3 3 4 2 3 4 2" xfId="31347" xr:uid="{00000000-0005-0000-0000-000087870000}"/>
    <cellStyle name="Porcentaje 3 3 4 2 3 5" xfId="21490" xr:uid="{00000000-0005-0000-0000-000088870000}"/>
    <cellStyle name="Porcentaje 3 3 4 2 4" xfId="3000" xr:uid="{00000000-0005-0000-0000-000089870000}"/>
    <cellStyle name="Porcentaje 3 3 4 2 4 2" xfId="7932" xr:uid="{00000000-0005-0000-0000-00008A870000}"/>
    <cellStyle name="Porcentaje 3 3 4 2 4 2 2" xfId="17792" xr:uid="{00000000-0005-0000-0000-00008B870000}"/>
    <cellStyle name="Porcentaje 3 3 4 2 4 2 2 2" xfId="37507" xr:uid="{00000000-0005-0000-0000-00008C870000}"/>
    <cellStyle name="Porcentaje 3 3 4 2 4 2 3" xfId="27650" xr:uid="{00000000-0005-0000-0000-00008D870000}"/>
    <cellStyle name="Porcentaje 3 3 4 2 4 3" xfId="12864" xr:uid="{00000000-0005-0000-0000-00008E870000}"/>
    <cellStyle name="Porcentaje 3 3 4 2 4 3 2" xfId="32579" xr:uid="{00000000-0005-0000-0000-00008F870000}"/>
    <cellStyle name="Porcentaje 3 3 4 2 4 4" xfId="22722" xr:uid="{00000000-0005-0000-0000-000090870000}"/>
    <cellStyle name="Porcentaje 3 3 4 2 5" xfId="5468" xr:uid="{00000000-0005-0000-0000-000091870000}"/>
    <cellStyle name="Porcentaje 3 3 4 2 5 2" xfId="15328" xr:uid="{00000000-0005-0000-0000-000092870000}"/>
    <cellStyle name="Porcentaje 3 3 4 2 5 2 2" xfId="35043" xr:uid="{00000000-0005-0000-0000-000093870000}"/>
    <cellStyle name="Porcentaje 3 3 4 2 5 3" xfId="25186" xr:uid="{00000000-0005-0000-0000-000094870000}"/>
    <cellStyle name="Porcentaje 3 3 4 2 6" xfId="10400" xr:uid="{00000000-0005-0000-0000-000095870000}"/>
    <cellStyle name="Porcentaje 3 3 4 2 6 2" xfId="30115" xr:uid="{00000000-0005-0000-0000-000096870000}"/>
    <cellStyle name="Porcentaje 3 3 4 2 7" xfId="20258" xr:uid="{00000000-0005-0000-0000-000097870000}"/>
    <cellStyle name="Porcentaje 3 3 4 3" xfId="839" xr:uid="{00000000-0005-0000-0000-000098870000}"/>
    <cellStyle name="Porcentaje 3 3 4 3 2" xfId="2075" xr:uid="{00000000-0005-0000-0000-000099870000}"/>
    <cellStyle name="Porcentaje 3 3 4 3 2 2" xfId="4542" xr:uid="{00000000-0005-0000-0000-00009A870000}"/>
    <cellStyle name="Porcentaje 3 3 4 3 2 2 2" xfId="9474" xr:uid="{00000000-0005-0000-0000-00009B870000}"/>
    <cellStyle name="Porcentaje 3 3 4 3 2 2 2 2" xfId="19334" xr:uid="{00000000-0005-0000-0000-00009C870000}"/>
    <cellStyle name="Porcentaje 3 3 4 3 2 2 2 2 2" xfId="39049" xr:uid="{00000000-0005-0000-0000-00009D870000}"/>
    <cellStyle name="Porcentaje 3 3 4 3 2 2 2 3" xfId="29192" xr:uid="{00000000-0005-0000-0000-00009E870000}"/>
    <cellStyle name="Porcentaje 3 3 4 3 2 2 3" xfId="14406" xr:uid="{00000000-0005-0000-0000-00009F870000}"/>
    <cellStyle name="Porcentaje 3 3 4 3 2 2 3 2" xfId="34121" xr:uid="{00000000-0005-0000-0000-0000A0870000}"/>
    <cellStyle name="Porcentaje 3 3 4 3 2 2 4" xfId="24264" xr:uid="{00000000-0005-0000-0000-0000A1870000}"/>
    <cellStyle name="Porcentaje 3 3 4 3 2 3" xfId="7010" xr:uid="{00000000-0005-0000-0000-0000A2870000}"/>
    <cellStyle name="Porcentaje 3 3 4 3 2 3 2" xfId="16870" xr:uid="{00000000-0005-0000-0000-0000A3870000}"/>
    <cellStyle name="Porcentaje 3 3 4 3 2 3 2 2" xfId="36585" xr:uid="{00000000-0005-0000-0000-0000A4870000}"/>
    <cellStyle name="Porcentaje 3 3 4 3 2 3 3" xfId="26728" xr:uid="{00000000-0005-0000-0000-0000A5870000}"/>
    <cellStyle name="Porcentaje 3 3 4 3 2 4" xfId="11942" xr:uid="{00000000-0005-0000-0000-0000A6870000}"/>
    <cellStyle name="Porcentaje 3 3 4 3 2 4 2" xfId="31657" xr:uid="{00000000-0005-0000-0000-0000A7870000}"/>
    <cellStyle name="Porcentaje 3 3 4 3 2 5" xfId="21800" xr:uid="{00000000-0005-0000-0000-0000A8870000}"/>
    <cellStyle name="Porcentaje 3 3 4 3 3" xfId="3310" xr:uid="{00000000-0005-0000-0000-0000A9870000}"/>
    <cellStyle name="Porcentaje 3 3 4 3 3 2" xfId="8242" xr:uid="{00000000-0005-0000-0000-0000AA870000}"/>
    <cellStyle name="Porcentaje 3 3 4 3 3 2 2" xfId="18102" xr:uid="{00000000-0005-0000-0000-0000AB870000}"/>
    <cellStyle name="Porcentaje 3 3 4 3 3 2 2 2" xfId="37817" xr:uid="{00000000-0005-0000-0000-0000AC870000}"/>
    <cellStyle name="Porcentaje 3 3 4 3 3 2 3" xfId="27960" xr:uid="{00000000-0005-0000-0000-0000AD870000}"/>
    <cellStyle name="Porcentaje 3 3 4 3 3 3" xfId="13174" xr:uid="{00000000-0005-0000-0000-0000AE870000}"/>
    <cellStyle name="Porcentaje 3 3 4 3 3 3 2" xfId="32889" xr:uid="{00000000-0005-0000-0000-0000AF870000}"/>
    <cellStyle name="Porcentaje 3 3 4 3 3 4" xfId="23032" xr:uid="{00000000-0005-0000-0000-0000B0870000}"/>
    <cellStyle name="Porcentaje 3 3 4 3 4" xfId="5778" xr:uid="{00000000-0005-0000-0000-0000B1870000}"/>
    <cellStyle name="Porcentaje 3 3 4 3 4 2" xfId="15638" xr:uid="{00000000-0005-0000-0000-0000B2870000}"/>
    <cellStyle name="Porcentaje 3 3 4 3 4 2 2" xfId="35353" xr:uid="{00000000-0005-0000-0000-0000B3870000}"/>
    <cellStyle name="Porcentaje 3 3 4 3 4 3" xfId="25496" xr:uid="{00000000-0005-0000-0000-0000B4870000}"/>
    <cellStyle name="Porcentaje 3 3 4 3 5" xfId="10710" xr:uid="{00000000-0005-0000-0000-0000B5870000}"/>
    <cellStyle name="Porcentaje 3 3 4 3 5 2" xfId="30425" xr:uid="{00000000-0005-0000-0000-0000B6870000}"/>
    <cellStyle name="Porcentaje 3 3 4 3 6" xfId="20568" xr:uid="{00000000-0005-0000-0000-0000B7870000}"/>
    <cellStyle name="Porcentaje 3 3 4 4" xfId="1459" xr:uid="{00000000-0005-0000-0000-0000B8870000}"/>
    <cellStyle name="Porcentaje 3 3 4 4 2" xfId="3926" xr:uid="{00000000-0005-0000-0000-0000B9870000}"/>
    <cellStyle name="Porcentaje 3 3 4 4 2 2" xfId="8858" xr:uid="{00000000-0005-0000-0000-0000BA870000}"/>
    <cellStyle name="Porcentaje 3 3 4 4 2 2 2" xfId="18718" xr:uid="{00000000-0005-0000-0000-0000BB870000}"/>
    <cellStyle name="Porcentaje 3 3 4 4 2 2 2 2" xfId="38433" xr:uid="{00000000-0005-0000-0000-0000BC870000}"/>
    <cellStyle name="Porcentaje 3 3 4 4 2 2 3" xfId="28576" xr:uid="{00000000-0005-0000-0000-0000BD870000}"/>
    <cellStyle name="Porcentaje 3 3 4 4 2 3" xfId="13790" xr:uid="{00000000-0005-0000-0000-0000BE870000}"/>
    <cellStyle name="Porcentaje 3 3 4 4 2 3 2" xfId="33505" xr:uid="{00000000-0005-0000-0000-0000BF870000}"/>
    <cellStyle name="Porcentaje 3 3 4 4 2 4" xfId="23648" xr:uid="{00000000-0005-0000-0000-0000C0870000}"/>
    <cellStyle name="Porcentaje 3 3 4 4 3" xfId="6394" xr:uid="{00000000-0005-0000-0000-0000C1870000}"/>
    <cellStyle name="Porcentaje 3 3 4 4 3 2" xfId="16254" xr:uid="{00000000-0005-0000-0000-0000C2870000}"/>
    <cellStyle name="Porcentaje 3 3 4 4 3 2 2" xfId="35969" xr:uid="{00000000-0005-0000-0000-0000C3870000}"/>
    <cellStyle name="Porcentaje 3 3 4 4 3 3" xfId="26112" xr:uid="{00000000-0005-0000-0000-0000C4870000}"/>
    <cellStyle name="Porcentaje 3 3 4 4 4" xfId="11326" xr:uid="{00000000-0005-0000-0000-0000C5870000}"/>
    <cellStyle name="Porcentaje 3 3 4 4 4 2" xfId="31041" xr:uid="{00000000-0005-0000-0000-0000C6870000}"/>
    <cellStyle name="Porcentaje 3 3 4 4 5" xfId="21184" xr:uid="{00000000-0005-0000-0000-0000C7870000}"/>
    <cellStyle name="Porcentaje 3 3 4 5" xfId="2694" xr:uid="{00000000-0005-0000-0000-0000C8870000}"/>
    <cellStyle name="Porcentaje 3 3 4 5 2" xfId="7626" xr:uid="{00000000-0005-0000-0000-0000C9870000}"/>
    <cellStyle name="Porcentaje 3 3 4 5 2 2" xfId="17486" xr:uid="{00000000-0005-0000-0000-0000CA870000}"/>
    <cellStyle name="Porcentaje 3 3 4 5 2 2 2" xfId="37201" xr:uid="{00000000-0005-0000-0000-0000CB870000}"/>
    <cellStyle name="Porcentaje 3 3 4 5 2 3" xfId="27344" xr:uid="{00000000-0005-0000-0000-0000CC870000}"/>
    <cellStyle name="Porcentaje 3 3 4 5 3" xfId="12558" xr:uid="{00000000-0005-0000-0000-0000CD870000}"/>
    <cellStyle name="Porcentaje 3 3 4 5 3 2" xfId="32273" xr:uid="{00000000-0005-0000-0000-0000CE870000}"/>
    <cellStyle name="Porcentaje 3 3 4 5 4" xfId="22416" xr:uid="{00000000-0005-0000-0000-0000CF870000}"/>
    <cellStyle name="Porcentaje 3 3 4 6" xfId="5162" xr:uid="{00000000-0005-0000-0000-0000D0870000}"/>
    <cellStyle name="Porcentaje 3 3 4 6 2" xfId="15022" xr:uid="{00000000-0005-0000-0000-0000D1870000}"/>
    <cellStyle name="Porcentaje 3 3 4 6 2 2" xfId="34737" xr:uid="{00000000-0005-0000-0000-0000D2870000}"/>
    <cellStyle name="Porcentaje 3 3 4 6 3" xfId="24880" xr:uid="{00000000-0005-0000-0000-0000D3870000}"/>
    <cellStyle name="Porcentaje 3 3 4 7" xfId="10094" xr:uid="{00000000-0005-0000-0000-0000D4870000}"/>
    <cellStyle name="Porcentaje 3 3 4 7 2" xfId="29809" xr:uid="{00000000-0005-0000-0000-0000D5870000}"/>
    <cellStyle name="Porcentaje 3 3 4 8" xfId="19952" xr:uid="{00000000-0005-0000-0000-0000D6870000}"/>
    <cellStyle name="Porcentaje 3 3 5" xfId="374" xr:uid="{00000000-0005-0000-0000-0000D7870000}"/>
    <cellStyle name="Porcentaje 3 3 5 2" xfId="994" xr:uid="{00000000-0005-0000-0000-0000D8870000}"/>
    <cellStyle name="Porcentaje 3 3 5 2 2" xfId="2229" xr:uid="{00000000-0005-0000-0000-0000D9870000}"/>
    <cellStyle name="Porcentaje 3 3 5 2 2 2" xfId="4696" xr:uid="{00000000-0005-0000-0000-0000DA870000}"/>
    <cellStyle name="Porcentaje 3 3 5 2 2 2 2" xfId="9628" xr:uid="{00000000-0005-0000-0000-0000DB870000}"/>
    <cellStyle name="Porcentaje 3 3 5 2 2 2 2 2" xfId="19488" xr:uid="{00000000-0005-0000-0000-0000DC870000}"/>
    <cellStyle name="Porcentaje 3 3 5 2 2 2 2 2 2" xfId="39203" xr:uid="{00000000-0005-0000-0000-0000DD870000}"/>
    <cellStyle name="Porcentaje 3 3 5 2 2 2 2 3" xfId="29346" xr:uid="{00000000-0005-0000-0000-0000DE870000}"/>
    <cellStyle name="Porcentaje 3 3 5 2 2 2 3" xfId="14560" xr:uid="{00000000-0005-0000-0000-0000DF870000}"/>
    <cellStyle name="Porcentaje 3 3 5 2 2 2 3 2" xfId="34275" xr:uid="{00000000-0005-0000-0000-0000E0870000}"/>
    <cellStyle name="Porcentaje 3 3 5 2 2 2 4" xfId="24418" xr:uid="{00000000-0005-0000-0000-0000E1870000}"/>
    <cellStyle name="Porcentaje 3 3 5 2 2 3" xfId="7164" xr:uid="{00000000-0005-0000-0000-0000E2870000}"/>
    <cellStyle name="Porcentaje 3 3 5 2 2 3 2" xfId="17024" xr:uid="{00000000-0005-0000-0000-0000E3870000}"/>
    <cellStyle name="Porcentaje 3 3 5 2 2 3 2 2" xfId="36739" xr:uid="{00000000-0005-0000-0000-0000E4870000}"/>
    <cellStyle name="Porcentaje 3 3 5 2 2 3 3" xfId="26882" xr:uid="{00000000-0005-0000-0000-0000E5870000}"/>
    <cellStyle name="Porcentaje 3 3 5 2 2 4" xfId="12096" xr:uid="{00000000-0005-0000-0000-0000E6870000}"/>
    <cellStyle name="Porcentaje 3 3 5 2 2 4 2" xfId="31811" xr:uid="{00000000-0005-0000-0000-0000E7870000}"/>
    <cellStyle name="Porcentaje 3 3 5 2 2 5" xfId="21954" xr:uid="{00000000-0005-0000-0000-0000E8870000}"/>
    <cellStyle name="Porcentaje 3 3 5 2 3" xfId="3464" xr:uid="{00000000-0005-0000-0000-0000E9870000}"/>
    <cellStyle name="Porcentaje 3 3 5 2 3 2" xfId="8396" xr:uid="{00000000-0005-0000-0000-0000EA870000}"/>
    <cellStyle name="Porcentaje 3 3 5 2 3 2 2" xfId="18256" xr:uid="{00000000-0005-0000-0000-0000EB870000}"/>
    <cellStyle name="Porcentaje 3 3 5 2 3 2 2 2" xfId="37971" xr:uid="{00000000-0005-0000-0000-0000EC870000}"/>
    <cellStyle name="Porcentaje 3 3 5 2 3 2 3" xfId="28114" xr:uid="{00000000-0005-0000-0000-0000ED870000}"/>
    <cellStyle name="Porcentaje 3 3 5 2 3 3" xfId="13328" xr:uid="{00000000-0005-0000-0000-0000EE870000}"/>
    <cellStyle name="Porcentaje 3 3 5 2 3 3 2" xfId="33043" xr:uid="{00000000-0005-0000-0000-0000EF870000}"/>
    <cellStyle name="Porcentaje 3 3 5 2 3 4" xfId="23186" xr:uid="{00000000-0005-0000-0000-0000F0870000}"/>
    <cellStyle name="Porcentaje 3 3 5 2 4" xfId="5932" xr:uid="{00000000-0005-0000-0000-0000F1870000}"/>
    <cellStyle name="Porcentaje 3 3 5 2 4 2" xfId="15792" xr:uid="{00000000-0005-0000-0000-0000F2870000}"/>
    <cellStyle name="Porcentaje 3 3 5 2 4 2 2" xfId="35507" xr:uid="{00000000-0005-0000-0000-0000F3870000}"/>
    <cellStyle name="Porcentaje 3 3 5 2 4 3" xfId="25650" xr:uid="{00000000-0005-0000-0000-0000F4870000}"/>
    <cellStyle name="Porcentaje 3 3 5 2 5" xfId="10864" xr:uid="{00000000-0005-0000-0000-0000F5870000}"/>
    <cellStyle name="Porcentaje 3 3 5 2 5 2" xfId="30579" xr:uid="{00000000-0005-0000-0000-0000F6870000}"/>
    <cellStyle name="Porcentaje 3 3 5 2 6" xfId="20722" xr:uid="{00000000-0005-0000-0000-0000F7870000}"/>
    <cellStyle name="Porcentaje 3 3 5 3" xfId="1613" xr:uid="{00000000-0005-0000-0000-0000F8870000}"/>
    <cellStyle name="Porcentaje 3 3 5 3 2" xfId="4080" xr:uid="{00000000-0005-0000-0000-0000F9870000}"/>
    <cellStyle name="Porcentaje 3 3 5 3 2 2" xfId="9012" xr:uid="{00000000-0005-0000-0000-0000FA870000}"/>
    <cellStyle name="Porcentaje 3 3 5 3 2 2 2" xfId="18872" xr:uid="{00000000-0005-0000-0000-0000FB870000}"/>
    <cellStyle name="Porcentaje 3 3 5 3 2 2 2 2" xfId="38587" xr:uid="{00000000-0005-0000-0000-0000FC870000}"/>
    <cellStyle name="Porcentaje 3 3 5 3 2 2 3" xfId="28730" xr:uid="{00000000-0005-0000-0000-0000FD870000}"/>
    <cellStyle name="Porcentaje 3 3 5 3 2 3" xfId="13944" xr:uid="{00000000-0005-0000-0000-0000FE870000}"/>
    <cellStyle name="Porcentaje 3 3 5 3 2 3 2" xfId="33659" xr:uid="{00000000-0005-0000-0000-0000FF870000}"/>
    <cellStyle name="Porcentaje 3 3 5 3 2 4" xfId="23802" xr:uid="{00000000-0005-0000-0000-000000880000}"/>
    <cellStyle name="Porcentaje 3 3 5 3 3" xfId="6548" xr:uid="{00000000-0005-0000-0000-000001880000}"/>
    <cellStyle name="Porcentaje 3 3 5 3 3 2" xfId="16408" xr:uid="{00000000-0005-0000-0000-000002880000}"/>
    <cellStyle name="Porcentaje 3 3 5 3 3 2 2" xfId="36123" xr:uid="{00000000-0005-0000-0000-000003880000}"/>
    <cellStyle name="Porcentaje 3 3 5 3 3 3" xfId="26266" xr:uid="{00000000-0005-0000-0000-000004880000}"/>
    <cellStyle name="Porcentaje 3 3 5 3 4" xfId="11480" xr:uid="{00000000-0005-0000-0000-000005880000}"/>
    <cellStyle name="Porcentaje 3 3 5 3 4 2" xfId="31195" xr:uid="{00000000-0005-0000-0000-000006880000}"/>
    <cellStyle name="Porcentaje 3 3 5 3 5" xfId="21338" xr:uid="{00000000-0005-0000-0000-000007880000}"/>
    <cellStyle name="Porcentaje 3 3 5 4" xfId="2848" xr:uid="{00000000-0005-0000-0000-000008880000}"/>
    <cellStyle name="Porcentaje 3 3 5 4 2" xfId="7780" xr:uid="{00000000-0005-0000-0000-000009880000}"/>
    <cellStyle name="Porcentaje 3 3 5 4 2 2" xfId="17640" xr:uid="{00000000-0005-0000-0000-00000A880000}"/>
    <cellStyle name="Porcentaje 3 3 5 4 2 2 2" xfId="37355" xr:uid="{00000000-0005-0000-0000-00000B880000}"/>
    <cellStyle name="Porcentaje 3 3 5 4 2 3" xfId="27498" xr:uid="{00000000-0005-0000-0000-00000C880000}"/>
    <cellStyle name="Porcentaje 3 3 5 4 3" xfId="12712" xr:uid="{00000000-0005-0000-0000-00000D880000}"/>
    <cellStyle name="Porcentaje 3 3 5 4 3 2" xfId="32427" xr:uid="{00000000-0005-0000-0000-00000E880000}"/>
    <cellStyle name="Porcentaje 3 3 5 4 4" xfId="22570" xr:uid="{00000000-0005-0000-0000-00000F880000}"/>
    <cellStyle name="Porcentaje 3 3 5 5" xfId="5316" xr:uid="{00000000-0005-0000-0000-000010880000}"/>
    <cellStyle name="Porcentaje 3 3 5 5 2" xfId="15176" xr:uid="{00000000-0005-0000-0000-000011880000}"/>
    <cellStyle name="Porcentaje 3 3 5 5 2 2" xfId="34891" xr:uid="{00000000-0005-0000-0000-000012880000}"/>
    <cellStyle name="Porcentaje 3 3 5 5 3" xfId="25034" xr:uid="{00000000-0005-0000-0000-000013880000}"/>
    <cellStyle name="Porcentaje 3 3 5 6" xfId="10248" xr:uid="{00000000-0005-0000-0000-000014880000}"/>
    <cellStyle name="Porcentaje 3 3 5 6 2" xfId="29963" xr:uid="{00000000-0005-0000-0000-000015880000}"/>
    <cellStyle name="Porcentaje 3 3 5 7" xfId="20106" xr:uid="{00000000-0005-0000-0000-000016880000}"/>
    <cellStyle name="Porcentaje 3 3 6" xfId="687" xr:uid="{00000000-0005-0000-0000-000017880000}"/>
    <cellStyle name="Porcentaje 3 3 6 2" xfId="1923" xr:uid="{00000000-0005-0000-0000-000018880000}"/>
    <cellStyle name="Porcentaje 3 3 6 2 2" xfId="4390" xr:uid="{00000000-0005-0000-0000-000019880000}"/>
    <cellStyle name="Porcentaje 3 3 6 2 2 2" xfId="9322" xr:uid="{00000000-0005-0000-0000-00001A880000}"/>
    <cellStyle name="Porcentaje 3 3 6 2 2 2 2" xfId="19182" xr:uid="{00000000-0005-0000-0000-00001B880000}"/>
    <cellStyle name="Porcentaje 3 3 6 2 2 2 2 2" xfId="38897" xr:uid="{00000000-0005-0000-0000-00001C880000}"/>
    <cellStyle name="Porcentaje 3 3 6 2 2 2 3" xfId="29040" xr:uid="{00000000-0005-0000-0000-00001D880000}"/>
    <cellStyle name="Porcentaje 3 3 6 2 2 3" xfId="14254" xr:uid="{00000000-0005-0000-0000-00001E880000}"/>
    <cellStyle name="Porcentaje 3 3 6 2 2 3 2" xfId="33969" xr:uid="{00000000-0005-0000-0000-00001F880000}"/>
    <cellStyle name="Porcentaje 3 3 6 2 2 4" xfId="24112" xr:uid="{00000000-0005-0000-0000-000020880000}"/>
    <cellStyle name="Porcentaje 3 3 6 2 3" xfId="6858" xr:uid="{00000000-0005-0000-0000-000021880000}"/>
    <cellStyle name="Porcentaje 3 3 6 2 3 2" xfId="16718" xr:uid="{00000000-0005-0000-0000-000022880000}"/>
    <cellStyle name="Porcentaje 3 3 6 2 3 2 2" xfId="36433" xr:uid="{00000000-0005-0000-0000-000023880000}"/>
    <cellStyle name="Porcentaje 3 3 6 2 3 3" xfId="26576" xr:uid="{00000000-0005-0000-0000-000024880000}"/>
    <cellStyle name="Porcentaje 3 3 6 2 4" xfId="11790" xr:uid="{00000000-0005-0000-0000-000025880000}"/>
    <cellStyle name="Porcentaje 3 3 6 2 4 2" xfId="31505" xr:uid="{00000000-0005-0000-0000-000026880000}"/>
    <cellStyle name="Porcentaje 3 3 6 2 5" xfId="21648" xr:uid="{00000000-0005-0000-0000-000027880000}"/>
    <cellStyle name="Porcentaje 3 3 6 3" xfId="3158" xr:uid="{00000000-0005-0000-0000-000028880000}"/>
    <cellStyle name="Porcentaje 3 3 6 3 2" xfId="8090" xr:uid="{00000000-0005-0000-0000-000029880000}"/>
    <cellStyle name="Porcentaje 3 3 6 3 2 2" xfId="17950" xr:uid="{00000000-0005-0000-0000-00002A880000}"/>
    <cellStyle name="Porcentaje 3 3 6 3 2 2 2" xfId="37665" xr:uid="{00000000-0005-0000-0000-00002B880000}"/>
    <cellStyle name="Porcentaje 3 3 6 3 2 3" xfId="27808" xr:uid="{00000000-0005-0000-0000-00002C880000}"/>
    <cellStyle name="Porcentaje 3 3 6 3 3" xfId="13022" xr:uid="{00000000-0005-0000-0000-00002D880000}"/>
    <cellStyle name="Porcentaje 3 3 6 3 3 2" xfId="32737" xr:uid="{00000000-0005-0000-0000-00002E880000}"/>
    <cellStyle name="Porcentaje 3 3 6 3 4" xfId="22880" xr:uid="{00000000-0005-0000-0000-00002F880000}"/>
    <cellStyle name="Porcentaje 3 3 6 4" xfId="5626" xr:uid="{00000000-0005-0000-0000-000030880000}"/>
    <cellStyle name="Porcentaje 3 3 6 4 2" xfId="15486" xr:uid="{00000000-0005-0000-0000-000031880000}"/>
    <cellStyle name="Porcentaje 3 3 6 4 2 2" xfId="35201" xr:uid="{00000000-0005-0000-0000-000032880000}"/>
    <cellStyle name="Porcentaje 3 3 6 4 3" xfId="25344" xr:uid="{00000000-0005-0000-0000-000033880000}"/>
    <cellStyle name="Porcentaje 3 3 6 5" xfId="10558" xr:uid="{00000000-0005-0000-0000-000034880000}"/>
    <cellStyle name="Porcentaje 3 3 6 5 2" xfId="30273" xr:uid="{00000000-0005-0000-0000-000035880000}"/>
    <cellStyle name="Porcentaje 3 3 6 6" xfId="20416" xr:uid="{00000000-0005-0000-0000-000036880000}"/>
    <cellStyle name="Porcentaje 3 3 7" xfId="1307" xr:uid="{00000000-0005-0000-0000-000037880000}"/>
    <cellStyle name="Porcentaje 3 3 7 2" xfId="3774" xr:uid="{00000000-0005-0000-0000-000038880000}"/>
    <cellStyle name="Porcentaje 3 3 7 2 2" xfId="8706" xr:uid="{00000000-0005-0000-0000-000039880000}"/>
    <cellStyle name="Porcentaje 3 3 7 2 2 2" xfId="18566" xr:uid="{00000000-0005-0000-0000-00003A880000}"/>
    <cellStyle name="Porcentaje 3 3 7 2 2 2 2" xfId="38281" xr:uid="{00000000-0005-0000-0000-00003B880000}"/>
    <cellStyle name="Porcentaje 3 3 7 2 2 3" xfId="28424" xr:uid="{00000000-0005-0000-0000-00003C880000}"/>
    <cellStyle name="Porcentaje 3 3 7 2 3" xfId="13638" xr:uid="{00000000-0005-0000-0000-00003D880000}"/>
    <cellStyle name="Porcentaje 3 3 7 2 3 2" xfId="33353" xr:uid="{00000000-0005-0000-0000-00003E880000}"/>
    <cellStyle name="Porcentaje 3 3 7 2 4" xfId="23496" xr:uid="{00000000-0005-0000-0000-00003F880000}"/>
    <cellStyle name="Porcentaje 3 3 7 3" xfId="6242" xr:uid="{00000000-0005-0000-0000-000040880000}"/>
    <cellStyle name="Porcentaje 3 3 7 3 2" xfId="16102" xr:uid="{00000000-0005-0000-0000-000041880000}"/>
    <cellStyle name="Porcentaje 3 3 7 3 2 2" xfId="35817" xr:uid="{00000000-0005-0000-0000-000042880000}"/>
    <cellStyle name="Porcentaje 3 3 7 3 3" xfId="25960" xr:uid="{00000000-0005-0000-0000-000043880000}"/>
    <cellStyle name="Porcentaje 3 3 7 4" xfId="11174" xr:uid="{00000000-0005-0000-0000-000044880000}"/>
    <cellStyle name="Porcentaje 3 3 7 4 2" xfId="30889" xr:uid="{00000000-0005-0000-0000-000045880000}"/>
    <cellStyle name="Porcentaje 3 3 7 5" xfId="21032" xr:uid="{00000000-0005-0000-0000-000046880000}"/>
    <cellStyle name="Porcentaje 3 3 8" xfId="2542" xr:uid="{00000000-0005-0000-0000-000047880000}"/>
    <cellStyle name="Porcentaje 3 3 8 2" xfId="7474" xr:uid="{00000000-0005-0000-0000-000048880000}"/>
    <cellStyle name="Porcentaje 3 3 8 2 2" xfId="17334" xr:uid="{00000000-0005-0000-0000-000049880000}"/>
    <cellStyle name="Porcentaje 3 3 8 2 2 2" xfId="37049" xr:uid="{00000000-0005-0000-0000-00004A880000}"/>
    <cellStyle name="Porcentaje 3 3 8 2 3" xfId="27192" xr:uid="{00000000-0005-0000-0000-00004B880000}"/>
    <cellStyle name="Porcentaje 3 3 8 3" xfId="12406" xr:uid="{00000000-0005-0000-0000-00004C880000}"/>
    <cellStyle name="Porcentaje 3 3 8 3 2" xfId="32121" xr:uid="{00000000-0005-0000-0000-00004D880000}"/>
    <cellStyle name="Porcentaje 3 3 8 4" xfId="22264" xr:uid="{00000000-0005-0000-0000-00004E880000}"/>
    <cellStyle name="Porcentaje 3 3 9" xfId="5010" xr:uid="{00000000-0005-0000-0000-00004F880000}"/>
    <cellStyle name="Porcentaje 3 3 9 2" xfId="14870" xr:uid="{00000000-0005-0000-0000-000050880000}"/>
    <cellStyle name="Porcentaje 3 3 9 2 2" xfId="34585" xr:uid="{00000000-0005-0000-0000-000051880000}"/>
    <cellStyle name="Porcentaje 3 3 9 3" xfId="24728" xr:uid="{00000000-0005-0000-0000-000052880000}"/>
    <cellStyle name="Porcentaje 3 4" xfId="69" xr:uid="{00000000-0005-0000-0000-000053880000}"/>
    <cellStyle name="Porcentaje 3 4 10" xfId="19819" xr:uid="{00000000-0005-0000-0000-000054880000}"/>
    <cellStyle name="Porcentaje 3 4 2" xfId="150" xr:uid="{00000000-0005-0000-0000-000055880000}"/>
    <cellStyle name="Porcentaje 3 4 2 2" xfId="307" xr:uid="{00000000-0005-0000-0000-000056880000}"/>
    <cellStyle name="Porcentaje 3 4 2 2 2" xfId="621" xr:uid="{00000000-0005-0000-0000-000057880000}"/>
    <cellStyle name="Porcentaje 3 4 2 2 2 2" xfId="1241" xr:uid="{00000000-0005-0000-0000-000058880000}"/>
    <cellStyle name="Porcentaje 3 4 2 2 2 2 2" xfId="2476" xr:uid="{00000000-0005-0000-0000-000059880000}"/>
    <cellStyle name="Porcentaje 3 4 2 2 2 2 2 2" xfId="4943" xr:uid="{00000000-0005-0000-0000-00005A880000}"/>
    <cellStyle name="Porcentaje 3 4 2 2 2 2 2 2 2" xfId="9875" xr:uid="{00000000-0005-0000-0000-00005B880000}"/>
    <cellStyle name="Porcentaje 3 4 2 2 2 2 2 2 2 2" xfId="19735" xr:uid="{00000000-0005-0000-0000-00005C880000}"/>
    <cellStyle name="Porcentaje 3 4 2 2 2 2 2 2 2 2 2" xfId="39450" xr:uid="{00000000-0005-0000-0000-00005D880000}"/>
    <cellStyle name="Porcentaje 3 4 2 2 2 2 2 2 2 3" xfId="29593" xr:uid="{00000000-0005-0000-0000-00005E880000}"/>
    <cellStyle name="Porcentaje 3 4 2 2 2 2 2 2 3" xfId="14807" xr:uid="{00000000-0005-0000-0000-00005F880000}"/>
    <cellStyle name="Porcentaje 3 4 2 2 2 2 2 2 3 2" xfId="34522" xr:uid="{00000000-0005-0000-0000-000060880000}"/>
    <cellStyle name="Porcentaje 3 4 2 2 2 2 2 2 4" xfId="24665" xr:uid="{00000000-0005-0000-0000-000061880000}"/>
    <cellStyle name="Porcentaje 3 4 2 2 2 2 2 3" xfId="7411" xr:uid="{00000000-0005-0000-0000-000062880000}"/>
    <cellStyle name="Porcentaje 3 4 2 2 2 2 2 3 2" xfId="17271" xr:uid="{00000000-0005-0000-0000-000063880000}"/>
    <cellStyle name="Porcentaje 3 4 2 2 2 2 2 3 2 2" xfId="36986" xr:uid="{00000000-0005-0000-0000-000064880000}"/>
    <cellStyle name="Porcentaje 3 4 2 2 2 2 2 3 3" xfId="27129" xr:uid="{00000000-0005-0000-0000-000065880000}"/>
    <cellStyle name="Porcentaje 3 4 2 2 2 2 2 4" xfId="12343" xr:uid="{00000000-0005-0000-0000-000066880000}"/>
    <cellStyle name="Porcentaje 3 4 2 2 2 2 2 4 2" xfId="32058" xr:uid="{00000000-0005-0000-0000-000067880000}"/>
    <cellStyle name="Porcentaje 3 4 2 2 2 2 2 5" xfId="22201" xr:uid="{00000000-0005-0000-0000-000068880000}"/>
    <cellStyle name="Porcentaje 3 4 2 2 2 2 3" xfId="3711" xr:uid="{00000000-0005-0000-0000-000069880000}"/>
    <cellStyle name="Porcentaje 3 4 2 2 2 2 3 2" xfId="8643" xr:uid="{00000000-0005-0000-0000-00006A880000}"/>
    <cellStyle name="Porcentaje 3 4 2 2 2 2 3 2 2" xfId="18503" xr:uid="{00000000-0005-0000-0000-00006B880000}"/>
    <cellStyle name="Porcentaje 3 4 2 2 2 2 3 2 2 2" xfId="38218" xr:uid="{00000000-0005-0000-0000-00006C880000}"/>
    <cellStyle name="Porcentaje 3 4 2 2 2 2 3 2 3" xfId="28361" xr:uid="{00000000-0005-0000-0000-00006D880000}"/>
    <cellStyle name="Porcentaje 3 4 2 2 2 2 3 3" xfId="13575" xr:uid="{00000000-0005-0000-0000-00006E880000}"/>
    <cellStyle name="Porcentaje 3 4 2 2 2 2 3 3 2" xfId="33290" xr:uid="{00000000-0005-0000-0000-00006F880000}"/>
    <cellStyle name="Porcentaje 3 4 2 2 2 2 3 4" xfId="23433" xr:uid="{00000000-0005-0000-0000-000070880000}"/>
    <cellStyle name="Porcentaje 3 4 2 2 2 2 4" xfId="6179" xr:uid="{00000000-0005-0000-0000-000071880000}"/>
    <cellStyle name="Porcentaje 3 4 2 2 2 2 4 2" xfId="16039" xr:uid="{00000000-0005-0000-0000-000072880000}"/>
    <cellStyle name="Porcentaje 3 4 2 2 2 2 4 2 2" xfId="35754" xr:uid="{00000000-0005-0000-0000-000073880000}"/>
    <cellStyle name="Porcentaje 3 4 2 2 2 2 4 3" xfId="25897" xr:uid="{00000000-0005-0000-0000-000074880000}"/>
    <cellStyle name="Porcentaje 3 4 2 2 2 2 5" xfId="11111" xr:uid="{00000000-0005-0000-0000-000075880000}"/>
    <cellStyle name="Porcentaje 3 4 2 2 2 2 5 2" xfId="30826" xr:uid="{00000000-0005-0000-0000-000076880000}"/>
    <cellStyle name="Porcentaje 3 4 2 2 2 2 6" xfId="20969" xr:uid="{00000000-0005-0000-0000-000077880000}"/>
    <cellStyle name="Porcentaje 3 4 2 2 2 3" xfId="1860" xr:uid="{00000000-0005-0000-0000-000078880000}"/>
    <cellStyle name="Porcentaje 3 4 2 2 2 3 2" xfId="4327" xr:uid="{00000000-0005-0000-0000-000079880000}"/>
    <cellStyle name="Porcentaje 3 4 2 2 2 3 2 2" xfId="9259" xr:uid="{00000000-0005-0000-0000-00007A880000}"/>
    <cellStyle name="Porcentaje 3 4 2 2 2 3 2 2 2" xfId="19119" xr:uid="{00000000-0005-0000-0000-00007B880000}"/>
    <cellStyle name="Porcentaje 3 4 2 2 2 3 2 2 2 2" xfId="38834" xr:uid="{00000000-0005-0000-0000-00007C880000}"/>
    <cellStyle name="Porcentaje 3 4 2 2 2 3 2 2 3" xfId="28977" xr:uid="{00000000-0005-0000-0000-00007D880000}"/>
    <cellStyle name="Porcentaje 3 4 2 2 2 3 2 3" xfId="14191" xr:uid="{00000000-0005-0000-0000-00007E880000}"/>
    <cellStyle name="Porcentaje 3 4 2 2 2 3 2 3 2" xfId="33906" xr:uid="{00000000-0005-0000-0000-00007F880000}"/>
    <cellStyle name="Porcentaje 3 4 2 2 2 3 2 4" xfId="24049" xr:uid="{00000000-0005-0000-0000-000080880000}"/>
    <cellStyle name="Porcentaje 3 4 2 2 2 3 3" xfId="6795" xr:uid="{00000000-0005-0000-0000-000081880000}"/>
    <cellStyle name="Porcentaje 3 4 2 2 2 3 3 2" xfId="16655" xr:uid="{00000000-0005-0000-0000-000082880000}"/>
    <cellStyle name="Porcentaje 3 4 2 2 2 3 3 2 2" xfId="36370" xr:uid="{00000000-0005-0000-0000-000083880000}"/>
    <cellStyle name="Porcentaje 3 4 2 2 2 3 3 3" xfId="26513" xr:uid="{00000000-0005-0000-0000-000084880000}"/>
    <cellStyle name="Porcentaje 3 4 2 2 2 3 4" xfId="11727" xr:uid="{00000000-0005-0000-0000-000085880000}"/>
    <cellStyle name="Porcentaje 3 4 2 2 2 3 4 2" xfId="31442" xr:uid="{00000000-0005-0000-0000-000086880000}"/>
    <cellStyle name="Porcentaje 3 4 2 2 2 3 5" xfId="21585" xr:uid="{00000000-0005-0000-0000-000087880000}"/>
    <cellStyle name="Porcentaje 3 4 2 2 2 4" xfId="3095" xr:uid="{00000000-0005-0000-0000-000088880000}"/>
    <cellStyle name="Porcentaje 3 4 2 2 2 4 2" xfId="8027" xr:uid="{00000000-0005-0000-0000-000089880000}"/>
    <cellStyle name="Porcentaje 3 4 2 2 2 4 2 2" xfId="17887" xr:uid="{00000000-0005-0000-0000-00008A880000}"/>
    <cellStyle name="Porcentaje 3 4 2 2 2 4 2 2 2" xfId="37602" xr:uid="{00000000-0005-0000-0000-00008B880000}"/>
    <cellStyle name="Porcentaje 3 4 2 2 2 4 2 3" xfId="27745" xr:uid="{00000000-0005-0000-0000-00008C880000}"/>
    <cellStyle name="Porcentaje 3 4 2 2 2 4 3" xfId="12959" xr:uid="{00000000-0005-0000-0000-00008D880000}"/>
    <cellStyle name="Porcentaje 3 4 2 2 2 4 3 2" xfId="32674" xr:uid="{00000000-0005-0000-0000-00008E880000}"/>
    <cellStyle name="Porcentaje 3 4 2 2 2 4 4" xfId="22817" xr:uid="{00000000-0005-0000-0000-00008F880000}"/>
    <cellStyle name="Porcentaje 3 4 2 2 2 5" xfId="5563" xr:uid="{00000000-0005-0000-0000-000090880000}"/>
    <cellStyle name="Porcentaje 3 4 2 2 2 5 2" xfId="15423" xr:uid="{00000000-0005-0000-0000-000091880000}"/>
    <cellStyle name="Porcentaje 3 4 2 2 2 5 2 2" xfId="35138" xr:uid="{00000000-0005-0000-0000-000092880000}"/>
    <cellStyle name="Porcentaje 3 4 2 2 2 5 3" xfId="25281" xr:uid="{00000000-0005-0000-0000-000093880000}"/>
    <cellStyle name="Porcentaje 3 4 2 2 2 6" xfId="10495" xr:uid="{00000000-0005-0000-0000-000094880000}"/>
    <cellStyle name="Porcentaje 3 4 2 2 2 6 2" xfId="30210" xr:uid="{00000000-0005-0000-0000-000095880000}"/>
    <cellStyle name="Porcentaje 3 4 2 2 2 7" xfId="20353" xr:uid="{00000000-0005-0000-0000-000096880000}"/>
    <cellStyle name="Porcentaje 3 4 2 2 3" xfId="934" xr:uid="{00000000-0005-0000-0000-000097880000}"/>
    <cellStyle name="Porcentaje 3 4 2 2 3 2" xfId="2170" xr:uid="{00000000-0005-0000-0000-000098880000}"/>
    <cellStyle name="Porcentaje 3 4 2 2 3 2 2" xfId="4637" xr:uid="{00000000-0005-0000-0000-000099880000}"/>
    <cellStyle name="Porcentaje 3 4 2 2 3 2 2 2" xfId="9569" xr:uid="{00000000-0005-0000-0000-00009A880000}"/>
    <cellStyle name="Porcentaje 3 4 2 2 3 2 2 2 2" xfId="19429" xr:uid="{00000000-0005-0000-0000-00009B880000}"/>
    <cellStyle name="Porcentaje 3 4 2 2 3 2 2 2 2 2" xfId="39144" xr:uid="{00000000-0005-0000-0000-00009C880000}"/>
    <cellStyle name="Porcentaje 3 4 2 2 3 2 2 2 3" xfId="29287" xr:uid="{00000000-0005-0000-0000-00009D880000}"/>
    <cellStyle name="Porcentaje 3 4 2 2 3 2 2 3" xfId="14501" xr:uid="{00000000-0005-0000-0000-00009E880000}"/>
    <cellStyle name="Porcentaje 3 4 2 2 3 2 2 3 2" xfId="34216" xr:uid="{00000000-0005-0000-0000-00009F880000}"/>
    <cellStyle name="Porcentaje 3 4 2 2 3 2 2 4" xfId="24359" xr:uid="{00000000-0005-0000-0000-0000A0880000}"/>
    <cellStyle name="Porcentaje 3 4 2 2 3 2 3" xfId="7105" xr:uid="{00000000-0005-0000-0000-0000A1880000}"/>
    <cellStyle name="Porcentaje 3 4 2 2 3 2 3 2" xfId="16965" xr:uid="{00000000-0005-0000-0000-0000A2880000}"/>
    <cellStyle name="Porcentaje 3 4 2 2 3 2 3 2 2" xfId="36680" xr:uid="{00000000-0005-0000-0000-0000A3880000}"/>
    <cellStyle name="Porcentaje 3 4 2 2 3 2 3 3" xfId="26823" xr:uid="{00000000-0005-0000-0000-0000A4880000}"/>
    <cellStyle name="Porcentaje 3 4 2 2 3 2 4" xfId="12037" xr:uid="{00000000-0005-0000-0000-0000A5880000}"/>
    <cellStyle name="Porcentaje 3 4 2 2 3 2 4 2" xfId="31752" xr:uid="{00000000-0005-0000-0000-0000A6880000}"/>
    <cellStyle name="Porcentaje 3 4 2 2 3 2 5" xfId="21895" xr:uid="{00000000-0005-0000-0000-0000A7880000}"/>
    <cellStyle name="Porcentaje 3 4 2 2 3 3" xfId="3405" xr:uid="{00000000-0005-0000-0000-0000A8880000}"/>
    <cellStyle name="Porcentaje 3 4 2 2 3 3 2" xfId="8337" xr:uid="{00000000-0005-0000-0000-0000A9880000}"/>
    <cellStyle name="Porcentaje 3 4 2 2 3 3 2 2" xfId="18197" xr:uid="{00000000-0005-0000-0000-0000AA880000}"/>
    <cellStyle name="Porcentaje 3 4 2 2 3 3 2 2 2" xfId="37912" xr:uid="{00000000-0005-0000-0000-0000AB880000}"/>
    <cellStyle name="Porcentaje 3 4 2 2 3 3 2 3" xfId="28055" xr:uid="{00000000-0005-0000-0000-0000AC880000}"/>
    <cellStyle name="Porcentaje 3 4 2 2 3 3 3" xfId="13269" xr:uid="{00000000-0005-0000-0000-0000AD880000}"/>
    <cellStyle name="Porcentaje 3 4 2 2 3 3 3 2" xfId="32984" xr:uid="{00000000-0005-0000-0000-0000AE880000}"/>
    <cellStyle name="Porcentaje 3 4 2 2 3 3 4" xfId="23127" xr:uid="{00000000-0005-0000-0000-0000AF880000}"/>
    <cellStyle name="Porcentaje 3 4 2 2 3 4" xfId="5873" xr:uid="{00000000-0005-0000-0000-0000B0880000}"/>
    <cellStyle name="Porcentaje 3 4 2 2 3 4 2" xfId="15733" xr:uid="{00000000-0005-0000-0000-0000B1880000}"/>
    <cellStyle name="Porcentaje 3 4 2 2 3 4 2 2" xfId="35448" xr:uid="{00000000-0005-0000-0000-0000B2880000}"/>
    <cellStyle name="Porcentaje 3 4 2 2 3 4 3" xfId="25591" xr:uid="{00000000-0005-0000-0000-0000B3880000}"/>
    <cellStyle name="Porcentaje 3 4 2 2 3 5" xfId="10805" xr:uid="{00000000-0005-0000-0000-0000B4880000}"/>
    <cellStyle name="Porcentaje 3 4 2 2 3 5 2" xfId="30520" xr:uid="{00000000-0005-0000-0000-0000B5880000}"/>
    <cellStyle name="Porcentaje 3 4 2 2 3 6" xfId="20663" xr:uid="{00000000-0005-0000-0000-0000B6880000}"/>
    <cellStyle name="Porcentaje 3 4 2 2 4" xfId="1554" xr:uid="{00000000-0005-0000-0000-0000B7880000}"/>
    <cellStyle name="Porcentaje 3 4 2 2 4 2" xfId="4021" xr:uid="{00000000-0005-0000-0000-0000B8880000}"/>
    <cellStyle name="Porcentaje 3 4 2 2 4 2 2" xfId="8953" xr:uid="{00000000-0005-0000-0000-0000B9880000}"/>
    <cellStyle name="Porcentaje 3 4 2 2 4 2 2 2" xfId="18813" xr:uid="{00000000-0005-0000-0000-0000BA880000}"/>
    <cellStyle name="Porcentaje 3 4 2 2 4 2 2 2 2" xfId="38528" xr:uid="{00000000-0005-0000-0000-0000BB880000}"/>
    <cellStyle name="Porcentaje 3 4 2 2 4 2 2 3" xfId="28671" xr:uid="{00000000-0005-0000-0000-0000BC880000}"/>
    <cellStyle name="Porcentaje 3 4 2 2 4 2 3" xfId="13885" xr:uid="{00000000-0005-0000-0000-0000BD880000}"/>
    <cellStyle name="Porcentaje 3 4 2 2 4 2 3 2" xfId="33600" xr:uid="{00000000-0005-0000-0000-0000BE880000}"/>
    <cellStyle name="Porcentaje 3 4 2 2 4 2 4" xfId="23743" xr:uid="{00000000-0005-0000-0000-0000BF880000}"/>
    <cellStyle name="Porcentaje 3 4 2 2 4 3" xfId="6489" xr:uid="{00000000-0005-0000-0000-0000C0880000}"/>
    <cellStyle name="Porcentaje 3 4 2 2 4 3 2" xfId="16349" xr:uid="{00000000-0005-0000-0000-0000C1880000}"/>
    <cellStyle name="Porcentaje 3 4 2 2 4 3 2 2" xfId="36064" xr:uid="{00000000-0005-0000-0000-0000C2880000}"/>
    <cellStyle name="Porcentaje 3 4 2 2 4 3 3" xfId="26207" xr:uid="{00000000-0005-0000-0000-0000C3880000}"/>
    <cellStyle name="Porcentaje 3 4 2 2 4 4" xfId="11421" xr:uid="{00000000-0005-0000-0000-0000C4880000}"/>
    <cellStyle name="Porcentaje 3 4 2 2 4 4 2" xfId="31136" xr:uid="{00000000-0005-0000-0000-0000C5880000}"/>
    <cellStyle name="Porcentaje 3 4 2 2 4 5" xfId="21279" xr:uid="{00000000-0005-0000-0000-0000C6880000}"/>
    <cellStyle name="Porcentaje 3 4 2 2 5" xfId="2789" xr:uid="{00000000-0005-0000-0000-0000C7880000}"/>
    <cellStyle name="Porcentaje 3 4 2 2 5 2" xfId="7721" xr:uid="{00000000-0005-0000-0000-0000C8880000}"/>
    <cellStyle name="Porcentaje 3 4 2 2 5 2 2" xfId="17581" xr:uid="{00000000-0005-0000-0000-0000C9880000}"/>
    <cellStyle name="Porcentaje 3 4 2 2 5 2 2 2" xfId="37296" xr:uid="{00000000-0005-0000-0000-0000CA880000}"/>
    <cellStyle name="Porcentaje 3 4 2 2 5 2 3" xfId="27439" xr:uid="{00000000-0005-0000-0000-0000CB880000}"/>
    <cellStyle name="Porcentaje 3 4 2 2 5 3" xfId="12653" xr:uid="{00000000-0005-0000-0000-0000CC880000}"/>
    <cellStyle name="Porcentaje 3 4 2 2 5 3 2" xfId="32368" xr:uid="{00000000-0005-0000-0000-0000CD880000}"/>
    <cellStyle name="Porcentaje 3 4 2 2 5 4" xfId="22511" xr:uid="{00000000-0005-0000-0000-0000CE880000}"/>
    <cellStyle name="Porcentaje 3 4 2 2 6" xfId="5257" xr:uid="{00000000-0005-0000-0000-0000CF880000}"/>
    <cellStyle name="Porcentaje 3 4 2 2 6 2" xfId="15117" xr:uid="{00000000-0005-0000-0000-0000D0880000}"/>
    <cellStyle name="Porcentaje 3 4 2 2 6 2 2" xfId="34832" xr:uid="{00000000-0005-0000-0000-0000D1880000}"/>
    <cellStyle name="Porcentaje 3 4 2 2 6 3" xfId="24975" xr:uid="{00000000-0005-0000-0000-0000D2880000}"/>
    <cellStyle name="Porcentaje 3 4 2 2 7" xfId="10189" xr:uid="{00000000-0005-0000-0000-0000D3880000}"/>
    <cellStyle name="Porcentaje 3 4 2 2 7 2" xfId="29904" xr:uid="{00000000-0005-0000-0000-0000D4880000}"/>
    <cellStyle name="Porcentaje 3 4 2 2 8" xfId="20047" xr:uid="{00000000-0005-0000-0000-0000D5880000}"/>
    <cellStyle name="Porcentaje 3 4 2 3" xfId="469" xr:uid="{00000000-0005-0000-0000-0000D6880000}"/>
    <cellStyle name="Porcentaje 3 4 2 3 2" xfId="1089" xr:uid="{00000000-0005-0000-0000-0000D7880000}"/>
    <cellStyle name="Porcentaje 3 4 2 3 2 2" xfId="2324" xr:uid="{00000000-0005-0000-0000-0000D8880000}"/>
    <cellStyle name="Porcentaje 3 4 2 3 2 2 2" xfId="4791" xr:uid="{00000000-0005-0000-0000-0000D9880000}"/>
    <cellStyle name="Porcentaje 3 4 2 3 2 2 2 2" xfId="9723" xr:uid="{00000000-0005-0000-0000-0000DA880000}"/>
    <cellStyle name="Porcentaje 3 4 2 3 2 2 2 2 2" xfId="19583" xr:uid="{00000000-0005-0000-0000-0000DB880000}"/>
    <cellStyle name="Porcentaje 3 4 2 3 2 2 2 2 2 2" xfId="39298" xr:uid="{00000000-0005-0000-0000-0000DC880000}"/>
    <cellStyle name="Porcentaje 3 4 2 3 2 2 2 2 3" xfId="29441" xr:uid="{00000000-0005-0000-0000-0000DD880000}"/>
    <cellStyle name="Porcentaje 3 4 2 3 2 2 2 3" xfId="14655" xr:uid="{00000000-0005-0000-0000-0000DE880000}"/>
    <cellStyle name="Porcentaje 3 4 2 3 2 2 2 3 2" xfId="34370" xr:uid="{00000000-0005-0000-0000-0000DF880000}"/>
    <cellStyle name="Porcentaje 3 4 2 3 2 2 2 4" xfId="24513" xr:uid="{00000000-0005-0000-0000-0000E0880000}"/>
    <cellStyle name="Porcentaje 3 4 2 3 2 2 3" xfId="7259" xr:uid="{00000000-0005-0000-0000-0000E1880000}"/>
    <cellStyle name="Porcentaje 3 4 2 3 2 2 3 2" xfId="17119" xr:uid="{00000000-0005-0000-0000-0000E2880000}"/>
    <cellStyle name="Porcentaje 3 4 2 3 2 2 3 2 2" xfId="36834" xr:uid="{00000000-0005-0000-0000-0000E3880000}"/>
    <cellStyle name="Porcentaje 3 4 2 3 2 2 3 3" xfId="26977" xr:uid="{00000000-0005-0000-0000-0000E4880000}"/>
    <cellStyle name="Porcentaje 3 4 2 3 2 2 4" xfId="12191" xr:uid="{00000000-0005-0000-0000-0000E5880000}"/>
    <cellStyle name="Porcentaje 3 4 2 3 2 2 4 2" xfId="31906" xr:uid="{00000000-0005-0000-0000-0000E6880000}"/>
    <cellStyle name="Porcentaje 3 4 2 3 2 2 5" xfId="22049" xr:uid="{00000000-0005-0000-0000-0000E7880000}"/>
    <cellStyle name="Porcentaje 3 4 2 3 2 3" xfId="3559" xr:uid="{00000000-0005-0000-0000-0000E8880000}"/>
    <cellStyle name="Porcentaje 3 4 2 3 2 3 2" xfId="8491" xr:uid="{00000000-0005-0000-0000-0000E9880000}"/>
    <cellStyle name="Porcentaje 3 4 2 3 2 3 2 2" xfId="18351" xr:uid="{00000000-0005-0000-0000-0000EA880000}"/>
    <cellStyle name="Porcentaje 3 4 2 3 2 3 2 2 2" xfId="38066" xr:uid="{00000000-0005-0000-0000-0000EB880000}"/>
    <cellStyle name="Porcentaje 3 4 2 3 2 3 2 3" xfId="28209" xr:uid="{00000000-0005-0000-0000-0000EC880000}"/>
    <cellStyle name="Porcentaje 3 4 2 3 2 3 3" xfId="13423" xr:uid="{00000000-0005-0000-0000-0000ED880000}"/>
    <cellStyle name="Porcentaje 3 4 2 3 2 3 3 2" xfId="33138" xr:uid="{00000000-0005-0000-0000-0000EE880000}"/>
    <cellStyle name="Porcentaje 3 4 2 3 2 3 4" xfId="23281" xr:uid="{00000000-0005-0000-0000-0000EF880000}"/>
    <cellStyle name="Porcentaje 3 4 2 3 2 4" xfId="6027" xr:uid="{00000000-0005-0000-0000-0000F0880000}"/>
    <cellStyle name="Porcentaje 3 4 2 3 2 4 2" xfId="15887" xr:uid="{00000000-0005-0000-0000-0000F1880000}"/>
    <cellStyle name="Porcentaje 3 4 2 3 2 4 2 2" xfId="35602" xr:uid="{00000000-0005-0000-0000-0000F2880000}"/>
    <cellStyle name="Porcentaje 3 4 2 3 2 4 3" xfId="25745" xr:uid="{00000000-0005-0000-0000-0000F3880000}"/>
    <cellStyle name="Porcentaje 3 4 2 3 2 5" xfId="10959" xr:uid="{00000000-0005-0000-0000-0000F4880000}"/>
    <cellStyle name="Porcentaje 3 4 2 3 2 5 2" xfId="30674" xr:uid="{00000000-0005-0000-0000-0000F5880000}"/>
    <cellStyle name="Porcentaje 3 4 2 3 2 6" xfId="20817" xr:uid="{00000000-0005-0000-0000-0000F6880000}"/>
    <cellStyle name="Porcentaje 3 4 2 3 3" xfId="1708" xr:uid="{00000000-0005-0000-0000-0000F7880000}"/>
    <cellStyle name="Porcentaje 3 4 2 3 3 2" xfId="4175" xr:uid="{00000000-0005-0000-0000-0000F8880000}"/>
    <cellStyle name="Porcentaje 3 4 2 3 3 2 2" xfId="9107" xr:uid="{00000000-0005-0000-0000-0000F9880000}"/>
    <cellStyle name="Porcentaje 3 4 2 3 3 2 2 2" xfId="18967" xr:uid="{00000000-0005-0000-0000-0000FA880000}"/>
    <cellStyle name="Porcentaje 3 4 2 3 3 2 2 2 2" xfId="38682" xr:uid="{00000000-0005-0000-0000-0000FB880000}"/>
    <cellStyle name="Porcentaje 3 4 2 3 3 2 2 3" xfId="28825" xr:uid="{00000000-0005-0000-0000-0000FC880000}"/>
    <cellStyle name="Porcentaje 3 4 2 3 3 2 3" xfId="14039" xr:uid="{00000000-0005-0000-0000-0000FD880000}"/>
    <cellStyle name="Porcentaje 3 4 2 3 3 2 3 2" xfId="33754" xr:uid="{00000000-0005-0000-0000-0000FE880000}"/>
    <cellStyle name="Porcentaje 3 4 2 3 3 2 4" xfId="23897" xr:uid="{00000000-0005-0000-0000-0000FF880000}"/>
    <cellStyle name="Porcentaje 3 4 2 3 3 3" xfId="6643" xr:uid="{00000000-0005-0000-0000-000000890000}"/>
    <cellStyle name="Porcentaje 3 4 2 3 3 3 2" xfId="16503" xr:uid="{00000000-0005-0000-0000-000001890000}"/>
    <cellStyle name="Porcentaje 3 4 2 3 3 3 2 2" xfId="36218" xr:uid="{00000000-0005-0000-0000-000002890000}"/>
    <cellStyle name="Porcentaje 3 4 2 3 3 3 3" xfId="26361" xr:uid="{00000000-0005-0000-0000-000003890000}"/>
    <cellStyle name="Porcentaje 3 4 2 3 3 4" xfId="11575" xr:uid="{00000000-0005-0000-0000-000004890000}"/>
    <cellStyle name="Porcentaje 3 4 2 3 3 4 2" xfId="31290" xr:uid="{00000000-0005-0000-0000-000005890000}"/>
    <cellStyle name="Porcentaje 3 4 2 3 3 5" xfId="21433" xr:uid="{00000000-0005-0000-0000-000006890000}"/>
    <cellStyle name="Porcentaje 3 4 2 3 4" xfId="2943" xr:uid="{00000000-0005-0000-0000-000007890000}"/>
    <cellStyle name="Porcentaje 3 4 2 3 4 2" xfId="7875" xr:uid="{00000000-0005-0000-0000-000008890000}"/>
    <cellStyle name="Porcentaje 3 4 2 3 4 2 2" xfId="17735" xr:uid="{00000000-0005-0000-0000-000009890000}"/>
    <cellStyle name="Porcentaje 3 4 2 3 4 2 2 2" xfId="37450" xr:uid="{00000000-0005-0000-0000-00000A890000}"/>
    <cellStyle name="Porcentaje 3 4 2 3 4 2 3" xfId="27593" xr:uid="{00000000-0005-0000-0000-00000B890000}"/>
    <cellStyle name="Porcentaje 3 4 2 3 4 3" xfId="12807" xr:uid="{00000000-0005-0000-0000-00000C890000}"/>
    <cellStyle name="Porcentaje 3 4 2 3 4 3 2" xfId="32522" xr:uid="{00000000-0005-0000-0000-00000D890000}"/>
    <cellStyle name="Porcentaje 3 4 2 3 4 4" xfId="22665" xr:uid="{00000000-0005-0000-0000-00000E890000}"/>
    <cellStyle name="Porcentaje 3 4 2 3 5" xfId="5411" xr:uid="{00000000-0005-0000-0000-00000F890000}"/>
    <cellStyle name="Porcentaje 3 4 2 3 5 2" xfId="15271" xr:uid="{00000000-0005-0000-0000-000010890000}"/>
    <cellStyle name="Porcentaje 3 4 2 3 5 2 2" xfId="34986" xr:uid="{00000000-0005-0000-0000-000011890000}"/>
    <cellStyle name="Porcentaje 3 4 2 3 5 3" xfId="25129" xr:uid="{00000000-0005-0000-0000-000012890000}"/>
    <cellStyle name="Porcentaje 3 4 2 3 6" xfId="10343" xr:uid="{00000000-0005-0000-0000-000013890000}"/>
    <cellStyle name="Porcentaje 3 4 2 3 6 2" xfId="30058" xr:uid="{00000000-0005-0000-0000-000014890000}"/>
    <cellStyle name="Porcentaje 3 4 2 3 7" xfId="20201" xr:uid="{00000000-0005-0000-0000-000015890000}"/>
    <cellStyle name="Porcentaje 3 4 2 4" xfId="782" xr:uid="{00000000-0005-0000-0000-000016890000}"/>
    <cellStyle name="Porcentaje 3 4 2 4 2" xfId="2018" xr:uid="{00000000-0005-0000-0000-000017890000}"/>
    <cellStyle name="Porcentaje 3 4 2 4 2 2" xfId="4485" xr:uid="{00000000-0005-0000-0000-000018890000}"/>
    <cellStyle name="Porcentaje 3 4 2 4 2 2 2" xfId="9417" xr:uid="{00000000-0005-0000-0000-000019890000}"/>
    <cellStyle name="Porcentaje 3 4 2 4 2 2 2 2" xfId="19277" xr:uid="{00000000-0005-0000-0000-00001A890000}"/>
    <cellStyle name="Porcentaje 3 4 2 4 2 2 2 2 2" xfId="38992" xr:uid="{00000000-0005-0000-0000-00001B890000}"/>
    <cellStyle name="Porcentaje 3 4 2 4 2 2 2 3" xfId="29135" xr:uid="{00000000-0005-0000-0000-00001C890000}"/>
    <cellStyle name="Porcentaje 3 4 2 4 2 2 3" xfId="14349" xr:uid="{00000000-0005-0000-0000-00001D890000}"/>
    <cellStyle name="Porcentaje 3 4 2 4 2 2 3 2" xfId="34064" xr:uid="{00000000-0005-0000-0000-00001E890000}"/>
    <cellStyle name="Porcentaje 3 4 2 4 2 2 4" xfId="24207" xr:uid="{00000000-0005-0000-0000-00001F890000}"/>
    <cellStyle name="Porcentaje 3 4 2 4 2 3" xfId="6953" xr:uid="{00000000-0005-0000-0000-000020890000}"/>
    <cellStyle name="Porcentaje 3 4 2 4 2 3 2" xfId="16813" xr:uid="{00000000-0005-0000-0000-000021890000}"/>
    <cellStyle name="Porcentaje 3 4 2 4 2 3 2 2" xfId="36528" xr:uid="{00000000-0005-0000-0000-000022890000}"/>
    <cellStyle name="Porcentaje 3 4 2 4 2 3 3" xfId="26671" xr:uid="{00000000-0005-0000-0000-000023890000}"/>
    <cellStyle name="Porcentaje 3 4 2 4 2 4" xfId="11885" xr:uid="{00000000-0005-0000-0000-000024890000}"/>
    <cellStyle name="Porcentaje 3 4 2 4 2 4 2" xfId="31600" xr:uid="{00000000-0005-0000-0000-000025890000}"/>
    <cellStyle name="Porcentaje 3 4 2 4 2 5" xfId="21743" xr:uid="{00000000-0005-0000-0000-000026890000}"/>
    <cellStyle name="Porcentaje 3 4 2 4 3" xfId="3253" xr:uid="{00000000-0005-0000-0000-000027890000}"/>
    <cellStyle name="Porcentaje 3 4 2 4 3 2" xfId="8185" xr:uid="{00000000-0005-0000-0000-000028890000}"/>
    <cellStyle name="Porcentaje 3 4 2 4 3 2 2" xfId="18045" xr:uid="{00000000-0005-0000-0000-000029890000}"/>
    <cellStyle name="Porcentaje 3 4 2 4 3 2 2 2" xfId="37760" xr:uid="{00000000-0005-0000-0000-00002A890000}"/>
    <cellStyle name="Porcentaje 3 4 2 4 3 2 3" xfId="27903" xr:uid="{00000000-0005-0000-0000-00002B890000}"/>
    <cellStyle name="Porcentaje 3 4 2 4 3 3" xfId="13117" xr:uid="{00000000-0005-0000-0000-00002C890000}"/>
    <cellStyle name="Porcentaje 3 4 2 4 3 3 2" xfId="32832" xr:uid="{00000000-0005-0000-0000-00002D890000}"/>
    <cellStyle name="Porcentaje 3 4 2 4 3 4" xfId="22975" xr:uid="{00000000-0005-0000-0000-00002E890000}"/>
    <cellStyle name="Porcentaje 3 4 2 4 4" xfId="5721" xr:uid="{00000000-0005-0000-0000-00002F890000}"/>
    <cellStyle name="Porcentaje 3 4 2 4 4 2" xfId="15581" xr:uid="{00000000-0005-0000-0000-000030890000}"/>
    <cellStyle name="Porcentaje 3 4 2 4 4 2 2" xfId="35296" xr:uid="{00000000-0005-0000-0000-000031890000}"/>
    <cellStyle name="Porcentaje 3 4 2 4 4 3" xfId="25439" xr:uid="{00000000-0005-0000-0000-000032890000}"/>
    <cellStyle name="Porcentaje 3 4 2 4 5" xfId="10653" xr:uid="{00000000-0005-0000-0000-000033890000}"/>
    <cellStyle name="Porcentaje 3 4 2 4 5 2" xfId="30368" xr:uid="{00000000-0005-0000-0000-000034890000}"/>
    <cellStyle name="Porcentaje 3 4 2 4 6" xfId="20511" xr:uid="{00000000-0005-0000-0000-000035890000}"/>
    <cellStyle name="Porcentaje 3 4 2 5" xfId="1402" xr:uid="{00000000-0005-0000-0000-000036890000}"/>
    <cellStyle name="Porcentaje 3 4 2 5 2" xfId="3869" xr:uid="{00000000-0005-0000-0000-000037890000}"/>
    <cellStyle name="Porcentaje 3 4 2 5 2 2" xfId="8801" xr:uid="{00000000-0005-0000-0000-000038890000}"/>
    <cellStyle name="Porcentaje 3 4 2 5 2 2 2" xfId="18661" xr:uid="{00000000-0005-0000-0000-000039890000}"/>
    <cellStyle name="Porcentaje 3 4 2 5 2 2 2 2" xfId="38376" xr:uid="{00000000-0005-0000-0000-00003A890000}"/>
    <cellStyle name="Porcentaje 3 4 2 5 2 2 3" xfId="28519" xr:uid="{00000000-0005-0000-0000-00003B890000}"/>
    <cellStyle name="Porcentaje 3 4 2 5 2 3" xfId="13733" xr:uid="{00000000-0005-0000-0000-00003C890000}"/>
    <cellStyle name="Porcentaje 3 4 2 5 2 3 2" xfId="33448" xr:uid="{00000000-0005-0000-0000-00003D890000}"/>
    <cellStyle name="Porcentaje 3 4 2 5 2 4" xfId="23591" xr:uid="{00000000-0005-0000-0000-00003E890000}"/>
    <cellStyle name="Porcentaje 3 4 2 5 3" xfId="6337" xr:uid="{00000000-0005-0000-0000-00003F890000}"/>
    <cellStyle name="Porcentaje 3 4 2 5 3 2" xfId="16197" xr:uid="{00000000-0005-0000-0000-000040890000}"/>
    <cellStyle name="Porcentaje 3 4 2 5 3 2 2" xfId="35912" xr:uid="{00000000-0005-0000-0000-000041890000}"/>
    <cellStyle name="Porcentaje 3 4 2 5 3 3" xfId="26055" xr:uid="{00000000-0005-0000-0000-000042890000}"/>
    <cellStyle name="Porcentaje 3 4 2 5 4" xfId="11269" xr:uid="{00000000-0005-0000-0000-000043890000}"/>
    <cellStyle name="Porcentaje 3 4 2 5 4 2" xfId="30984" xr:uid="{00000000-0005-0000-0000-000044890000}"/>
    <cellStyle name="Porcentaje 3 4 2 5 5" xfId="21127" xr:uid="{00000000-0005-0000-0000-000045890000}"/>
    <cellStyle name="Porcentaje 3 4 2 6" xfId="2637" xr:uid="{00000000-0005-0000-0000-000046890000}"/>
    <cellStyle name="Porcentaje 3 4 2 6 2" xfId="7569" xr:uid="{00000000-0005-0000-0000-000047890000}"/>
    <cellStyle name="Porcentaje 3 4 2 6 2 2" xfId="17429" xr:uid="{00000000-0005-0000-0000-000048890000}"/>
    <cellStyle name="Porcentaje 3 4 2 6 2 2 2" xfId="37144" xr:uid="{00000000-0005-0000-0000-000049890000}"/>
    <cellStyle name="Porcentaje 3 4 2 6 2 3" xfId="27287" xr:uid="{00000000-0005-0000-0000-00004A890000}"/>
    <cellStyle name="Porcentaje 3 4 2 6 3" xfId="12501" xr:uid="{00000000-0005-0000-0000-00004B890000}"/>
    <cellStyle name="Porcentaje 3 4 2 6 3 2" xfId="32216" xr:uid="{00000000-0005-0000-0000-00004C890000}"/>
    <cellStyle name="Porcentaje 3 4 2 6 4" xfId="22359" xr:uid="{00000000-0005-0000-0000-00004D890000}"/>
    <cellStyle name="Porcentaje 3 4 2 7" xfId="5105" xr:uid="{00000000-0005-0000-0000-00004E890000}"/>
    <cellStyle name="Porcentaje 3 4 2 7 2" xfId="14965" xr:uid="{00000000-0005-0000-0000-00004F890000}"/>
    <cellStyle name="Porcentaje 3 4 2 7 2 2" xfId="34680" xr:uid="{00000000-0005-0000-0000-000050890000}"/>
    <cellStyle name="Porcentaje 3 4 2 7 3" xfId="24823" xr:uid="{00000000-0005-0000-0000-000051890000}"/>
    <cellStyle name="Porcentaje 3 4 2 8" xfId="10037" xr:uid="{00000000-0005-0000-0000-000052890000}"/>
    <cellStyle name="Porcentaje 3 4 2 8 2" xfId="29752" xr:uid="{00000000-0005-0000-0000-000053890000}"/>
    <cellStyle name="Porcentaje 3 4 2 9" xfId="19895" xr:uid="{00000000-0005-0000-0000-000054890000}"/>
    <cellStyle name="Porcentaje 3 4 3" xfId="231" xr:uid="{00000000-0005-0000-0000-000055890000}"/>
    <cellStyle name="Porcentaje 3 4 3 2" xfId="545" xr:uid="{00000000-0005-0000-0000-000056890000}"/>
    <cellStyle name="Porcentaje 3 4 3 2 2" xfId="1165" xr:uid="{00000000-0005-0000-0000-000057890000}"/>
    <cellStyle name="Porcentaje 3 4 3 2 2 2" xfId="2400" xr:uid="{00000000-0005-0000-0000-000058890000}"/>
    <cellStyle name="Porcentaje 3 4 3 2 2 2 2" xfId="4867" xr:uid="{00000000-0005-0000-0000-000059890000}"/>
    <cellStyle name="Porcentaje 3 4 3 2 2 2 2 2" xfId="9799" xr:uid="{00000000-0005-0000-0000-00005A890000}"/>
    <cellStyle name="Porcentaje 3 4 3 2 2 2 2 2 2" xfId="19659" xr:uid="{00000000-0005-0000-0000-00005B890000}"/>
    <cellStyle name="Porcentaje 3 4 3 2 2 2 2 2 2 2" xfId="39374" xr:uid="{00000000-0005-0000-0000-00005C890000}"/>
    <cellStyle name="Porcentaje 3 4 3 2 2 2 2 2 3" xfId="29517" xr:uid="{00000000-0005-0000-0000-00005D890000}"/>
    <cellStyle name="Porcentaje 3 4 3 2 2 2 2 3" xfId="14731" xr:uid="{00000000-0005-0000-0000-00005E890000}"/>
    <cellStyle name="Porcentaje 3 4 3 2 2 2 2 3 2" xfId="34446" xr:uid="{00000000-0005-0000-0000-00005F890000}"/>
    <cellStyle name="Porcentaje 3 4 3 2 2 2 2 4" xfId="24589" xr:uid="{00000000-0005-0000-0000-000060890000}"/>
    <cellStyle name="Porcentaje 3 4 3 2 2 2 3" xfId="7335" xr:uid="{00000000-0005-0000-0000-000061890000}"/>
    <cellStyle name="Porcentaje 3 4 3 2 2 2 3 2" xfId="17195" xr:uid="{00000000-0005-0000-0000-000062890000}"/>
    <cellStyle name="Porcentaje 3 4 3 2 2 2 3 2 2" xfId="36910" xr:uid="{00000000-0005-0000-0000-000063890000}"/>
    <cellStyle name="Porcentaje 3 4 3 2 2 2 3 3" xfId="27053" xr:uid="{00000000-0005-0000-0000-000064890000}"/>
    <cellStyle name="Porcentaje 3 4 3 2 2 2 4" xfId="12267" xr:uid="{00000000-0005-0000-0000-000065890000}"/>
    <cellStyle name="Porcentaje 3 4 3 2 2 2 4 2" xfId="31982" xr:uid="{00000000-0005-0000-0000-000066890000}"/>
    <cellStyle name="Porcentaje 3 4 3 2 2 2 5" xfId="22125" xr:uid="{00000000-0005-0000-0000-000067890000}"/>
    <cellStyle name="Porcentaje 3 4 3 2 2 3" xfId="3635" xr:uid="{00000000-0005-0000-0000-000068890000}"/>
    <cellStyle name="Porcentaje 3 4 3 2 2 3 2" xfId="8567" xr:uid="{00000000-0005-0000-0000-000069890000}"/>
    <cellStyle name="Porcentaje 3 4 3 2 2 3 2 2" xfId="18427" xr:uid="{00000000-0005-0000-0000-00006A890000}"/>
    <cellStyle name="Porcentaje 3 4 3 2 2 3 2 2 2" xfId="38142" xr:uid="{00000000-0005-0000-0000-00006B890000}"/>
    <cellStyle name="Porcentaje 3 4 3 2 2 3 2 3" xfId="28285" xr:uid="{00000000-0005-0000-0000-00006C890000}"/>
    <cellStyle name="Porcentaje 3 4 3 2 2 3 3" xfId="13499" xr:uid="{00000000-0005-0000-0000-00006D890000}"/>
    <cellStyle name="Porcentaje 3 4 3 2 2 3 3 2" xfId="33214" xr:uid="{00000000-0005-0000-0000-00006E890000}"/>
    <cellStyle name="Porcentaje 3 4 3 2 2 3 4" xfId="23357" xr:uid="{00000000-0005-0000-0000-00006F890000}"/>
    <cellStyle name="Porcentaje 3 4 3 2 2 4" xfId="6103" xr:uid="{00000000-0005-0000-0000-000070890000}"/>
    <cellStyle name="Porcentaje 3 4 3 2 2 4 2" xfId="15963" xr:uid="{00000000-0005-0000-0000-000071890000}"/>
    <cellStyle name="Porcentaje 3 4 3 2 2 4 2 2" xfId="35678" xr:uid="{00000000-0005-0000-0000-000072890000}"/>
    <cellStyle name="Porcentaje 3 4 3 2 2 4 3" xfId="25821" xr:uid="{00000000-0005-0000-0000-000073890000}"/>
    <cellStyle name="Porcentaje 3 4 3 2 2 5" xfId="11035" xr:uid="{00000000-0005-0000-0000-000074890000}"/>
    <cellStyle name="Porcentaje 3 4 3 2 2 5 2" xfId="30750" xr:uid="{00000000-0005-0000-0000-000075890000}"/>
    <cellStyle name="Porcentaje 3 4 3 2 2 6" xfId="20893" xr:uid="{00000000-0005-0000-0000-000076890000}"/>
    <cellStyle name="Porcentaje 3 4 3 2 3" xfId="1784" xr:uid="{00000000-0005-0000-0000-000077890000}"/>
    <cellStyle name="Porcentaje 3 4 3 2 3 2" xfId="4251" xr:uid="{00000000-0005-0000-0000-000078890000}"/>
    <cellStyle name="Porcentaje 3 4 3 2 3 2 2" xfId="9183" xr:uid="{00000000-0005-0000-0000-000079890000}"/>
    <cellStyle name="Porcentaje 3 4 3 2 3 2 2 2" xfId="19043" xr:uid="{00000000-0005-0000-0000-00007A890000}"/>
    <cellStyle name="Porcentaje 3 4 3 2 3 2 2 2 2" xfId="38758" xr:uid="{00000000-0005-0000-0000-00007B890000}"/>
    <cellStyle name="Porcentaje 3 4 3 2 3 2 2 3" xfId="28901" xr:uid="{00000000-0005-0000-0000-00007C890000}"/>
    <cellStyle name="Porcentaje 3 4 3 2 3 2 3" xfId="14115" xr:uid="{00000000-0005-0000-0000-00007D890000}"/>
    <cellStyle name="Porcentaje 3 4 3 2 3 2 3 2" xfId="33830" xr:uid="{00000000-0005-0000-0000-00007E890000}"/>
    <cellStyle name="Porcentaje 3 4 3 2 3 2 4" xfId="23973" xr:uid="{00000000-0005-0000-0000-00007F890000}"/>
    <cellStyle name="Porcentaje 3 4 3 2 3 3" xfId="6719" xr:uid="{00000000-0005-0000-0000-000080890000}"/>
    <cellStyle name="Porcentaje 3 4 3 2 3 3 2" xfId="16579" xr:uid="{00000000-0005-0000-0000-000081890000}"/>
    <cellStyle name="Porcentaje 3 4 3 2 3 3 2 2" xfId="36294" xr:uid="{00000000-0005-0000-0000-000082890000}"/>
    <cellStyle name="Porcentaje 3 4 3 2 3 3 3" xfId="26437" xr:uid="{00000000-0005-0000-0000-000083890000}"/>
    <cellStyle name="Porcentaje 3 4 3 2 3 4" xfId="11651" xr:uid="{00000000-0005-0000-0000-000084890000}"/>
    <cellStyle name="Porcentaje 3 4 3 2 3 4 2" xfId="31366" xr:uid="{00000000-0005-0000-0000-000085890000}"/>
    <cellStyle name="Porcentaje 3 4 3 2 3 5" xfId="21509" xr:uid="{00000000-0005-0000-0000-000086890000}"/>
    <cellStyle name="Porcentaje 3 4 3 2 4" xfId="3019" xr:uid="{00000000-0005-0000-0000-000087890000}"/>
    <cellStyle name="Porcentaje 3 4 3 2 4 2" xfId="7951" xr:uid="{00000000-0005-0000-0000-000088890000}"/>
    <cellStyle name="Porcentaje 3 4 3 2 4 2 2" xfId="17811" xr:uid="{00000000-0005-0000-0000-000089890000}"/>
    <cellStyle name="Porcentaje 3 4 3 2 4 2 2 2" xfId="37526" xr:uid="{00000000-0005-0000-0000-00008A890000}"/>
    <cellStyle name="Porcentaje 3 4 3 2 4 2 3" xfId="27669" xr:uid="{00000000-0005-0000-0000-00008B890000}"/>
    <cellStyle name="Porcentaje 3 4 3 2 4 3" xfId="12883" xr:uid="{00000000-0005-0000-0000-00008C890000}"/>
    <cellStyle name="Porcentaje 3 4 3 2 4 3 2" xfId="32598" xr:uid="{00000000-0005-0000-0000-00008D890000}"/>
    <cellStyle name="Porcentaje 3 4 3 2 4 4" xfId="22741" xr:uid="{00000000-0005-0000-0000-00008E890000}"/>
    <cellStyle name="Porcentaje 3 4 3 2 5" xfId="5487" xr:uid="{00000000-0005-0000-0000-00008F890000}"/>
    <cellStyle name="Porcentaje 3 4 3 2 5 2" xfId="15347" xr:uid="{00000000-0005-0000-0000-000090890000}"/>
    <cellStyle name="Porcentaje 3 4 3 2 5 2 2" xfId="35062" xr:uid="{00000000-0005-0000-0000-000091890000}"/>
    <cellStyle name="Porcentaje 3 4 3 2 5 3" xfId="25205" xr:uid="{00000000-0005-0000-0000-000092890000}"/>
    <cellStyle name="Porcentaje 3 4 3 2 6" xfId="10419" xr:uid="{00000000-0005-0000-0000-000093890000}"/>
    <cellStyle name="Porcentaje 3 4 3 2 6 2" xfId="30134" xr:uid="{00000000-0005-0000-0000-000094890000}"/>
    <cellStyle name="Porcentaje 3 4 3 2 7" xfId="20277" xr:uid="{00000000-0005-0000-0000-000095890000}"/>
    <cellStyle name="Porcentaje 3 4 3 3" xfId="858" xr:uid="{00000000-0005-0000-0000-000096890000}"/>
    <cellStyle name="Porcentaje 3 4 3 3 2" xfId="2094" xr:uid="{00000000-0005-0000-0000-000097890000}"/>
    <cellStyle name="Porcentaje 3 4 3 3 2 2" xfId="4561" xr:uid="{00000000-0005-0000-0000-000098890000}"/>
    <cellStyle name="Porcentaje 3 4 3 3 2 2 2" xfId="9493" xr:uid="{00000000-0005-0000-0000-000099890000}"/>
    <cellStyle name="Porcentaje 3 4 3 3 2 2 2 2" xfId="19353" xr:uid="{00000000-0005-0000-0000-00009A890000}"/>
    <cellStyle name="Porcentaje 3 4 3 3 2 2 2 2 2" xfId="39068" xr:uid="{00000000-0005-0000-0000-00009B890000}"/>
    <cellStyle name="Porcentaje 3 4 3 3 2 2 2 3" xfId="29211" xr:uid="{00000000-0005-0000-0000-00009C890000}"/>
    <cellStyle name="Porcentaje 3 4 3 3 2 2 3" xfId="14425" xr:uid="{00000000-0005-0000-0000-00009D890000}"/>
    <cellStyle name="Porcentaje 3 4 3 3 2 2 3 2" xfId="34140" xr:uid="{00000000-0005-0000-0000-00009E890000}"/>
    <cellStyle name="Porcentaje 3 4 3 3 2 2 4" xfId="24283" xr:uid="{00000000-0005-0000-0000-00009F890000}"/>
    <cellStyle name="Porcentaje 3 4 3 3 2 3" xfId="7029" xr:uid="{00000000-0005-0000-0000-0000A0890000}"/>
    <cellStyle name="Porcentaje 3 4 3 3 2 3 2" xfId="16889" xr:uid="{00000000-0005-0000-0000-0000A1890000}"/>
    <cellStyle name="Porcentaje 3 4 3 3 2 3 2 2" xfId="36604" xr:uid="{00000000-0005-0000-0000-0000A2890000}"/>
    <cellStyle name="Porcentaje 3 4 3 3 2 3 3" xfId="26747" xr:uid="{00000000-0005-0000-0000-0000A3890000}"/>
    <cellStyle name="Porcentaje 3 4 3 3 2 4" xfId="11961" xr:uid="{00000000-0005-0000-0000-0000A4890000}"/>
    <cellStyle name="Porcentaje 3 4 3 3 2 4 2" xfId="31676" xr:uid="{00000000-0005-0000-0000-0000A5890000}"/>
    <cellStyle name="Porcentaje 3 4 3 3 2 5" xfId="21819" xr:uid="{00000000-0005-0000-0000-0000A6890000}"/>
    <cellStyle name="Porcentaje 3 4 3 3 3" xfId="3329" xr:uid="{00000000-0005-0000-0000-0000A7890000}"/>
    <cellStyle name="Porcentaje 3 4 3 3 3 2" xfId="8261" xr:uid="{00000000-0005-0000-0000-0000A8890000}"/>
    <cellStyle name="Porcentaje 3 4 3 3 3 2 2" xfId="18121" xr:uid="{00000000-0005-0000-0000-0000A9890000}"/>
    <cellStyle name="Porcentaje 3 4 3 3 3 2 2 2" xfId="37836" xr:uid="{00000000-0005-0000-0000-0000AA890000}"/>
    <cellStyle name="Porcentaje 3 4 3 3 3 2 3" xfId="27979" xr:uid="{00000000-0005-0000-0000-0000AB890000}"/>
    <cellStyle name="Porcentaje 3 4 3 3 3 3" xfId="13193" xr:uid="{00000000-0005-0000-0000-0000AC890000}"/>
    <cellStyle name="Porcentaje 3 4 3 3 3 3 2" xfId="32908" xr:uid="{00000000-0005-0000-0000-0000AD890000}"/>
    <cellStyle name="Porcentaje 3 4 3 3 3 4" xfId="23051" xr:uid="{00000000-0005-0000-0000-0000AE890000}"/>
    <cellStyle name="Porcentaje 3 4 3 3 4" xfId="5797" xr:uid="{00000000-0005-0000-0000-0000AF890000}"/>
    <cellStyle name="Porcentaje 3 4 3 3 4 2" xfId="15657" xr:uid="{00000000-0005-0000-0000-0000B0890000}"/>
    <cellStyle name="Porcentaje 3 4 3 3 4 2 2" xfId="35372" xr:uid="{00000000-0005-0000-0000-0000B1890000}"/>
    <cellStyle name="Porcentaje 3 4 3 3 4 3" xfId="25515" xr:uid="{00000000-0005-0000-0000-0000B2890000}"/>
    <cellStyle name="Porcentaje 3 4 3 3 5" xfId="10729" xr:uid="{00000000-0005-0000-0000-0000B3890000}"/>
    <cellStyle name="Porcentaje 3 4 3 3 5 2" xfId="30444" xr:uid="{00000000-0005-0000-0000-0000B4890000}"/>
    <cellStyle name="Porcentaje 3 4 3 3 6" xfId="20587" xr:uid="{00000000-0005-0000-0000-0000B5890000}"/>
    <cellStyle name="Porcentaje 3 4 3 4" xfId="1478" xr:uid="{00000000-0005-0000-0000-0000B6890000}"/>
    <cellStyle name="Porcentaje 3 4 3 4 2" xfId="3945" xr:uid="{00000000-0005-0000-0000-0000B7890000}"/>
    <cellStyle name="Porcentaje 3 4 3 4 2 2" xfId="8877" xr:uid="{00000000-0005-0000-0000-0000B8890000}"/>
    <cellStyle name="Porcentaje 3 4 3 4 2 2 2" xfId="18737" xr:uid="{00000000-0005-0000-0000-0000B9890000}"/>
    <cellStyle name="Porcentaje 3 4 3 4 2 2 2 2" xfId="38452" xr:uid="{00000000-0005-0000-0000-0000BA890000}"/>
    <cellStyle name="Porcentaje 3 4 3 4 2 2 3" xfId="28595" xr:uid="{00000000-0005-0000-0000-0000BB890000}"/>
    <cellStyle name="Porcentaje 3 4 3 4 2 3" xfId="13809" xr:uid="{00000000-0005-0000-0000-0000BC890000}"/>
    <cellStyle name="Porcentaje 3 4 3 4 2 3 2" xfId="33524" xr:uid="{00000000-0005-0000-0000-0000BD890000}"/>
    <cellStyle name="Porcentaje 3 4 3 4 2 4" xfId="23667" xr:uid="{00000000-0005-0000-0000-0000BE890000}"/>
    <cellStyle name="Porcentaje 3 4 3 4 3" xfId="6413" xr:uid="{00000000-0005-0000-0000-0000BF890000}"/>
    <cellStyle name="Porcentaje 3 4 3 4 3 2" xfId="16273" xr:uid="{00000000-0005-0000-0000-0000C0890000}"/>
    <cellStyle name="Porcentaje 3 4 3 4 3 2 2" xfId="35988" xr:uid="{00000000-0005-0000-0000-0000C1890000}"/>
    <cellStyle name="Porcentaje 3 4 3 4 3 3" xfId="26131" xr:uid="{00000000-0005-0000-0000-0000C2890000}"/>
    <cellStyle name="Porcentaje 3 4 3 4 4" xfId="11345" xr:uid="{00000000-0005-0000-0000-0000C3890000}"/>
    <cellStyle name="Porcentaje 3 4 3 4 4 2" xfId="31060" xr:uid="{00000000-0005-0000-0000-0000C4890000}"/>
    <cellStyle name="Porcentaje 3 4 3 4 5" xfId="21203" xr:uid="{00000000-0005-0000-0000-0000C5890000}"/>
    <cellStyle name="Porcentaje 3 4 3 5" xfId="2713" xr:uid="{00000000-0005-0000-0000-0000C6890000}"/>
    <cellStyle name="Porcentaje 3 4 3 5 2" xfId="7645" xr:uid="{00000000-0005-0000-0000-0000C7890000}"/>
    <cellStyle name="Porcentaje 3 4 3 5 2 2" xfId="17505" xr:uid="{00000000-0005-0000-0000-0000C8890000}"/>
    <cellStyle name="Porcentaje 3 4 3 5 2 2 2" xfId="37220" xr:uid="{00000000-0005-0000-0000-0000C9890000}"/>
    <cellStyle name="Porcentaje 3 4 3 5 2 3" xfId="27363" xr:uid="{00000000-0005-0000-0000-0000CA890000}"/>
    <cellStyle name="Porcentaje 3 4 3 5 3" xfId="12577" xr:uid="{00000000-0005-0000-0000-0000CB890000}"/>
    <cellStyle name="Porcentaje 3 4 3 5 3 2" xfId="32292" xr:uid="{00000000-0005-0000-0000-0000CC890000}"/>
    <cellStyle name="Porcentaje 3 4 3 5 4" xfId="22435" xr:uid="{00000000-0005-0000-0000-0000CD890000}"/>
    <cellStyle name="Porcentaje 3 4 3 6" xfId="5181" xr:uid="{00000000-0005-0000-0000-0000CE890000}"/>
    <cellStyle name="Porcentaje 3 4 3 6 2" xfId="15041" xr:uid="{00000000-0005-0000-0000-0000CF890000}"/>
    <cellStyle name="Porcentaje 3 4 3 6 2 2" xfId="34756" xr:uid="{00000000-0005-0000-0000-0000D0890000}"/>
    <cellStyle name="Porcentaje 3 4 3 6 3" xfId="24899" xr:uid="{00000000-0005-0000-0000-0000D1890000}"/>
    <cellStyle name="Porcentaje 3 4 3 7" xfId="10113" xr:uid="{00000000-0005-0000-0000-0000D2890000}"/>
    <cellStyle name="Porcentaje 3 4 3 7 2" xfId="29828" xr:uid="{00000000-0005-0000-0000-0000D3890000}"/>
    <cellStyle name="Porcentaje 3 4 3 8" xfId="19971" xr:uid="{00000000-0005-0000-0000-0000D4890000}"/>
    <cellStyle name="Porcentaje 3 4 4" xfId="393" xr:uid="{00000000-0005-0000-0000-0000D5890000}"/>
    <cellStyle name="Porcentaje 3 4 4 2" xfId="1013" xr:uid="{00000000-0005-0000-0000-0000D6890000}"/>
    <cellStyle name="Porcentaje 3 4 4 2 2" xfId="2248" xr:uid="{00000000-0005-0000-0000-0000D7890000}"/>
    <cellStyle name="Porcentaje 3 4 4 2 2 2" xfId="4715" xr:uid="{00000000-0005-0000-0000-0000D8890000}"/>
    <cellStyle name="Porcentaje 3 4 4 2 2 2 2" xfId="9647" xr:uid="{00000000-0005-0000-0000-0000D9890000}"/>
    <cellStyle name="Porcentaje 3 4 4 2 2 2 2 2" xfId="19507" xr:uid="{00000000-0005-0000-0000-0000DA890000}"/>
    <cellStyle name="Porcentaje 3 4 4 2 2 2 2 2 2" xfId="39222" xr:uid="{00000000-0005-0000-0000-0000DB890000}"/>
    <cellStyle name="Porcentaje 3 4 4 2 2 2 2 3" xfId="29365" xr:uid="{00000000-0005-0000-0000-0000DC890000}"/>
    <cellStyle name="Porcentaje 3 4 4 2 2 2 3" xfId="14579" xr:uid="{00000000-0005-0000-0000-0000DD890000}"/>
    <cellStyle name="Porcentaje 3 4 4 2 2 2 3 2" xfId="34294" xr:uid="{00000000-0005-0000-0000-0000DE890000}"/>
    <cellStyle name="Porcentaje 3 4 4 2 2 2 4" xfId="24437" xr:uid="{00000000-0005-0000-0000-0000DF890000}"/>
    <cellStyle name="Porcentaje 3 4 4 2 2 3" xfId="7183" xr:uid="{00000000-0005-0000-0000-0000E0890000}"/>
    <cellStyle name="Porcentaje 3 4 4 2 2 3 2" xfId="17043" xr:uid="{00000000-0005-0000-0000-0000E1890000}"/>
    <cellStyle name="Porcentaje 3 4 4 2 2 3 2 2" xfId="36758" xr:uid="{00000000-0005-0000-0000-0000E2890000}"/>
    <cellStyle name="Porcentaje 3 4 4 2 2 3 3" xfId="26901" xr:uid="{00000000-0005-0000-0000-0000E3890000}"/>
    <cellStyle name="Porcentaje 3 4 4 2 2 4" xfId="12115" xr:uid="{00000000-0005-0000-0000-0000E4890000}"/>
    <cellStyle name="Porcentaje 3 4 4 2 2 4 2" xfId="31830" xr:uid="{00000000-0005-0000-0000-0000E5890000}"/>
    <cellStyle name="Porcentaje 3 4 4 2 2 5" xfId="21973" xr:uid="{00000000-0005-0000-0000-0000E6890000}"/>
    <cellStyle name="Porcentaje 3 4 4 2 3" xfId="3483" xr:uid="{00000000-0005-0000-0000-0000E7890000}"/>
    <cellStyle name="Porcentaje 3 4 4 2 3 2" xfId="8415" xr:uid="{00000000-0005-0000-0000-0000E8890000}"/>
    <cellStyle name="Porcentaje 3 4 4 2 3 2 2" xfId="18275" xr:uid="{00000000-0005-0000-0000-0000E9890000}"/>
    <cellStyle name="Porcentaje 3 4 4 2 3 2 2 2" xfId="37990" xr:uid="{00000000-0005-0000-0000-0000EA890000}"/>
    <cellStyle name="Porcentaje 3 4 4 2 3 2 3" xfId="28133" xr:uid="{00000000-0005-0000-0000-0000EB890000}"/>
    <cellStyle name="Porcentaje 3 4 4 2 3 3" xfId="13347" xr:uid="{00000000-0005-0000-0000-0000EC890000}"/>
    <cellStyle name="Porcentaje 3 4 4 2 3 3 2" xfId="33062" xr:uid="{00000000-0005-0000-0000-0000ED890000}"/>
    <cellStyle name="Porcentaje 3 4 4 2 3 4" xfId="23205" xr:uid="{00000000-0005-0000-0000-0000EE890000}"/>
    <cellStyle name="Porcentaje 3 4 4 2 4" xfId="5951" xr:uid="{00000000-0005-0000-0000-0000EF890000}"/>
    <cellStyle name="Porcentaje 3 4 4 2 4 2" xfId="15811" xr:uid="{00000000-0005-0000-0000-0000F0890000}"/>
    <cellStyle name="Porcentaje 3 4 4 2 4 2 2" xfId="35526" xr:uid="{00000000-0005-0000-0000-0000F1890000}"/>
    <cellStyle name="Porcentaje 3 4 4 2 4 3" xfId="25669" xr:uid="{00000000-0005-0000-0000-0000F2890000}"/>
    <cellStyle name="Porcentaje 3 4 4 2 5" xfId="10883" xr:uid="{00000000-0005-0000-0000-0000F3890000}"/>
    <cellStyle name="Porcentaje 3 4 4 2 5 2" xfId="30598" xr:uid="{00000000-0005-0000-0000-0000F4890000}"/>
    <cellStyle name="Porcentaje 3 4 4 2 6" xfId="20741" xr:uid="{00000000-0005-0000-0000-0000F5890000}"/>
    <cellStyle name="Porcentaje 3 4 4 3" xfId="1632" xr:uid="{00000000-0005-0000-0000-0000F6890000}"/>
    <cellStyle name="Porcentaje 3 4 4 3 2" xfId="4099" xr:uid="{00000000-0005-0000-0000-0000F7890000}"/>
    <cellStyle name="Porcentaje 3 4 4 3 2 2" xfId="9031" xr:uid="{00000000-0005-0000-0000-0000F8890000}"/>
    <cellStyle name="Porcentaje 3 4 4 3 2 2 2" xfId="18891" xr:uid="{00000000-0005-0000-0000-0000F9890000}"/>
    <cellStyle name="Porcentaje 3 4 4 3 2 2 2 2" xfId="38606" xr:uid="{00000000-0005-0000-0000-0000FA890000}"/>
    <cellStyle name="Porcentaje 3 4 4 3 2 2 3" xfId="28749" xr:uid="{00000000-0005-0000-0000-0000FB890000}"/>
    <cellStyle name="Porcentaje 3 4 4 3 2 3" xfId="13963" xr:uid="{00000000-0005-0000-0000-0000FC890000}"/>
    <cellStyle name="Porcentaje 3 4 4 3 2 3 2" xfId="33678" xr:uid="{00000000-0005-0000-0000-0000FD890000}"/>
    <cellStyle name="Porcentaje 3 4 4 3 2 4" xfId="23821" xr:uid="{00000000-0005-0000-0000-0000FE890000}"/>
    <cellStyle name="Porcentaje 3 4 4 3 3" xfId="6567" xr:uid="{00000000-0005-0000-0000-0000FF890000}"/>
    <cellStyle name="Porcentaje 3 4 4 3 3 2" xfId="16427" xr:uid="{00000000-0005-0000-0000-0000008A0000}"/>
    <cellStyle name="Porcentaje 3 4 4 3 3 2 2" xfId="36142" xr:uid="{00000000-0005-0000-0000-0000018A0000}"/>
    <cellStyle name="Porcentaje 3 4 4 3 3 3" xfId="26285" xr:uid="{00000000-0005-0000-0000-0000028A0000}"/>
    <cellStyle name="Porcentaje 3 4 4 3 4" xfId="11499" xr:uid="{00000000-0005-0000-0000-0000038A0000}"/>
    <cellStyle name="Porcentaje 3 4 4 3 4 2" xfId="31214" xr:uid="{00000000-0005-0000-0000-0000048A0000}"/>
    <cellStyle name="Porcentaje 3 4 4 3 5" xfId="21357" xr:uid="{00000000-0005-0000-0000-0000058A0000}"/>
    <cellStyle name="Porcentaje 3 4 4 4" xfId="2867" xr:uid="{00000000-0005-0000-0000-0000068A0000}"/>
    <cellStyle name="Porcentaje 3 4 4 4 2" xfId="7799" xr:uid="{00000000-0005-0000-0000-0000078A0000}"/>
    <cellStyle name="Porcentaje 3 4 4 4 2 2" xfId="17659" xr:uid="{00000000-0005-0000-0000-0000088A0000}"/>
    <cellStyle name="Porcentaje 3 4 4 4 2 2 2" xfId="37374" xr:uid="{00000000-0005-0000-0000-0000098A0000}"/>
    <cellStyle name="Porcentaje 3 4 4 4 2 3" xfId="27517" xr:uid="{00000000-0005-0000-0000-00000A8A0000}"/>
    <cellStyle name="Porcentaje 3 4 4 4 3" xfId="12731" xr:uid="{00000000-0005-0000-0000-00000B8A0000}"/>
    <cellStyle name="Porcentaje 3 4 4 4 3 2" xfId="32446" xr:uid="{00000000-0005-0000-0000-00000C8A0000}"/>
    <cellStyle name="Porcentaje 3 4 4 4 4" xfId="22589" xr:uid="{00000000-0005-0000-0000-00000D8A0000}"/>
    <cellStyle name="Porcentaje 3 4 4 5" xfId="5335" xr:uid="{00000000-0005-0000-0000-00000E8A0000}"/>
    <cellStyle name="Porcentaje 3 4 4 5 2" xfId="15195" xr:uid="{00000000-0005-0000-0000-00000F8A0000}"/>
    <cellStyle name="Porcentaje 3 4 4 5 2 2" xfId="34910" xr:uid="{00000000-0005-0000-0000-0000108A0000}"/>
    <cellStyle name="Porcentaje 3 4 4 5 3" xfId="25053" xr:uid="{00000000-0005-0000-0000-0000118A0000}"/>
    <cellStyle name="Porcentaje 3 4 4 6" xfId="10267" xr:uid="{00000000-0005-0000-0000-0000128A0000}"/>
    <cellStyle name="Porcentaje 3 4 4 6 2" xfId="29982" xr:uid="{00000000-0005-0000-0000-0000138A0000}"/>
    <cellStyle name="Porcentaje 3 4 4 7" xfId="20125" xr:uid="{00000000-0005-0000-0000-0000148A0000}"/>
    <cellStyle name="Porcentaje 3 4 5" xfId="706" xr:uid="{00000000-0005-0000-0000-0000158A0000}"/>
    <cellStyle name="Porcentaje 3 4 5 2" xfId="1942" xr:uid="{00000000-0005-0000-0000-0000168A0000}"/>
    <cellStyle name="Porcentaje 3 4 5 2 2" xfId="4409" xr:uid="{00000000-0005-0000-0000-0000178A0000}"/>
    <cellStyle name="Porcentaje 3 4 5 2 2 2" xfId="9341" xr:uid="{00000000-0005-0000-0000-0000188A0000}"/>
    <cellStyle name="Porcentaje 3 4 5 2 2 2 2" xfId="19201" xr:uid="{00000000-0005-0000-0000-0000198A0000}"/>
    <cellStyle name="Porcentaje 3 4 5 2 2 2 2 2" xfId="38916" xr:uid="{00000000-0005-0000-0000-00001A8A0000}"/>
    <cellStyle name="Porcentaje 3 4 5 2 2 2 3" xfId="29059" xr:uid="{00000000-0005-0000-0000-00001B8A0000}"/>
    <cellStyle name="Porcentaje 3 4 5 2 2 3" xfId="14273" xr:uid="{00000000-0005-0000-0000-00001C8A0000}"/>
    <cellStyle name="Porcentaje 3 4 5 2 2 3 2" xfId="33988" xr:uid="{00000000-0005-0000-0000-00001D8A0000}"/>
    <cellStyle name="Porcentaje 3 4 5 2 2 4" xfId="24131" xr:uid="{00000000-0005-0000-0000-00001E8A0000}"/>
    <cellStyle name="Porcentaje 3 4 5 2 3" xfId="6877" xr:uid="{00000000-0005-0000-0000-00001F8A0000}"/>
    <cellStyle name="Porcentaje 3 4 5 2 3 2" xfId="16737" xr:uid="{00000000-0005-0000-0000-0000208A0000}"/>
    <cellStyle name="Porcentaje 3 4 5 2 3 2 2" xfId="36452" xr:uid="{00000000-0005-0000-0000-0000218A0000}"/>
    <cellStyle name="Porcentaje 3 4 5 2 3 3" xfId="26595" xr:uid="{00000000-0005-0000-0000-0000228A0000}"/>
    <cellStyle name="Porcentaje 3 4 5 2 4" xfId="11809" xr:uid="{00000000-0005-0000-0000-0000238A0000}"/>
    <cellStyle name="Porcentaje 3 4 5 2 4 2" xfId="31524" xr:uid="{00000000-0005-0000-0000-0000248A0000}"/>
    <cellStyle name="Porcentaje 3 4 5 2 5" xfId="21667" xr:uid="{00000000-0005-0000-0000-0000258A0000}"/>
    <cellStyle name="Porcentaje 3 4 5 3" xfId="3177" xr:uid="{00000000-0005-0000-0000-0000268A0000}"/>
    <cellStyle name="Porcentaje 3 4 5 3 2" xfId="8109" xr:uid="{00000000-0005-0000-0000-0000278A0000}"/>
    <cellStyle name="Porcentaje 3 4 5 3 2 2" xfId="17969" xr:uid="{00000000-0005-0000-0000-0000288A0000}"/>
    <cellStyle name="Porcentaje 3 4 5 3 2 2 2" xfId="37684" xr:uid="{00000000-0005-0000-0000-0000298A0000}"/>
    <cellStyle name="Porcentaje 3 4 5 3 2 3" xfId="27827" xr:uid="{00000000-0005-0000-0000-00002A8A0000}"/>
    <cellStyle name="Porcentaje 3 4 5 3 3" xfId="13041" xr:uid="{00000000-0005-0000-0000-00002B8A0000}"/>
    <cellStyle name="Porcentaje 3 4 5 3 3 2" xfId="32756" xr:uid="{00000000-0005-0000-0000-00002C8A0000}"/>
    <cellStyle name="Porcentaje 3 4 5 3 4" xfId="22899" xr:uid="{00000000-0005-0000-0000-00002D8A0000}"/>
    <cellStyle name="Porcentaje 3 4 5 4" xfId="5645" xr:uid="{00000000-0005-0000-0000-00002E8A0000}"/>
    <cellStyle name="Porcentaje 3 4 5 4 2" xfId="15505" xr:uid="{00000000-0005-0000-0000-00002F8A0000}"/>
    <cellStyle name="Porcentaje 3 4 5 4 2 2" xfId="35220" xr:uid="{00000000-0005-0000-0000-0000308A0000}"/>
    <cellStyle name="Porcentaje 3 4 5 4 3" xfId="25363" xr:uid="{00000000-0005-0000-0000-0000318A0000}"/>
    <cellStyle name="Porcentaje 3 4 5 5" xfId="10577" xr:uid="{00000000-0005-0000-0000-0000328A0000}"/>
    <cellStyle name="Porcentaje 3 4 5 5 2" xfId="30292" xr:uid="{00000000-0005-0000-0000-0000338A0000}"/>
    <cellStyle name="Porcentaje 3 4 5 6" xfId="20435" xr:uid="{00000000-0005-0000-0000-0000348A0000}"/>
    <cellStyle name="Porcentaje 3 4 6" xfId="1326" xr:uid="{00000000-0005-0000-0000-0000358A0000}"/>
    <cellStyle name="Porcentaje 3 4 6 2" xfId="3793" xr:uid="{00000000-0005-0000-0000-0000368A0000}"/>
    <cellStyle name="Porcentaje 3 4 6 2 2" xfId="8725" xr:uid="{00000000-0005-0000-0000-0000378A0000}"/>
    <cellStyle name="Porcentaje 3 4 6 2 2 2" xfId="18585" xr:uid="{00000000-0005-0000-0000-0000388A0000}"/>
    <cellStyle name="Porcentaje 3 4 6 2 2 2 2" xfId="38300" xr:uid="{00000000-0005-0000-0000-0000398A0000}"/>
    <cellStyle name="Porcentaje 3 4 6 2 2 3" xfId="28443" xr:uid="{00000000-0005-0000-0000-00003A8A0000}"/>
    <cellStyle name="Porcentaje 3 4 6 2 3" xfId="13657" xr:uid="{00000000-0005-0000-0000-00003B8A0000}"/>
    <cellStyle name="Porcentaje 3 4 6 2 3 2" xfId="33372" xr:uid="{00000000-0005-0000-0000-00003C8A0000}"/>
    <cellStyle name="Porcentaje 3 4 6 2 4" xfId="23515" xr:uid="{00000000-0005-0000-0000-00003D8A0000}"/>
    <cellStyle name="Porcentaje 3 4 6 3" xfId="6261" xr:uid="{00000000-0005-0000-0000-00003E8A0000}"/>
    <cellStyle name="Porcentaje 3 4 6 3 2" xfId="16121" xr:uid="{00000000-0005-0000-0000-00003F8A0000}"/>
    <cellStyle name="Porcentaje 3 4 6 3 2 2" xfId="35836" xr:uid="{00000000-0005-0000-0000-0000408A0000}"/>
    <cellStyle name="Porcentaje 3 4 6 3 3" xfId="25979" xr:uid="{00000000-0005-0000-0000-0000418A0000}"/>
    <cellStyle name="Porcentaje 3 4 6 4" xfId="11193" xr:uid="{00000000-0005-0000-0000-0000428A0000}"/>
    <cellStyle name="Porcentaje 3 4 6 4 2" xfId="30908" xr:uid="{00000000-0005-0000-0000-0000438A0000}"/>
    <cellStyle name="Porcentaje 3 4 6 5" xfId="21051" xr:uid="{00000000-0005-0000-0000-0000448A0000}"/>
    <cellStyle name="Porcentaje 3 4 7" xfId="2561" xr:uid="{00000000-0005-0000-0000-0000458A0000}"/>
    <cellStyle name="Porcentaje 3 4 7 2" xfId="7493" xr:uid="{00000000-0005-0000-0000-0000468A0000}"/>
    <cellStyle name="Porcentaje 3 4 7 2 2" xfId="17353" xr:uid="{00000000-0005-0000-0000-0000478A0000}"/>
    <cellStyle name="Porcentaje 3 4 7 2 2 2" xfId="37068" xr:uid="{00000000-0005-0000-0000-0000488A0000}"/>
    <cellStyle name="Porcentaje 3 4 7 2 3" xfId="27211" xr:uid="{00000000-0005-0000-0000-0000498A0000}"/>
    <cellStyle name="Porcentaje 3 4 7 3" xfId="12425" xr:uid="{00000000-0005-0000-0000-00004A8A0000}"/>
    <cellStyle name="Porcentaje 3 4 7 3 2" xfId="32140" xr:uid="{00000000-0005-0000-0000-00004B8A0000}"/>
    <cellStyle name="Porcentaje 3 4 7 4" xfId="22283" xr:uid="{00000000-0005-0000-0000-00004C8A0000}"/>
    <cellStyle name="Porcentaje 3 4 8" xfId="5029" xr:uid="{00000000-0005-0000-0000-00004D8A0000}"/>
    <cellStyle name="Porcentaje 3 4 8 2" xfId="14889" xr:uid="{00000000-0005-0000-0000-00004E8A0000}"/>
    <cellStyle name="Porcentaje 3 4 8 2 2" xfId="34604" xr:uid="{00000000-0005-0000-0000-00004F8A0000}"/>
    <cellStyle name="Porcentaje 3 4 8 3" xfId="24747" xr:uid="{00000000-0005-0000-0000-0000508A0000}"/>
    <cellStyle name="Porcentaje 3 4 9" xfId="9961" xr:uid="{00000000-0005-0000-0000-0000518A0000}"/>
    <cellStyle name="Porcentaje 3 4 9 2" xfId="29676" xr:uid="{00000000-0005-0000-0000-0000528A0000}"/>
    <cellStyle name="Porcentaje 3 5" xfId="112" xr:uid="{00000000-0005-0000-0000-0000538A0000}"/>
    <cellStyle name="Porcentaje 3 5 2" xfId="269" xr:uid="{00000000-0005-0000-0000-0000548A0000}"/>
    <cellStyle name="Porcentaje 3 5 2 2" xfId="583" xr:uid="{00000000-0005-0000-0000-0000558A0000}"/>
    <cellStyle name="Porcentaje 3 5 2 2 2" xfId="1203" xr:uid="{00000000-0005-0000-0000-0000568A0000}"/>
    <cellStyle name="Porcentaje 3 5 2 2 2 2" xfId="2438" xr:uid="{00000000-0005-0000-0000-0000578A0000}"/>
    <cellStyle name="Porcentaje 3 5 2 2 2 2 2" xfId="4905" xr:uid="{00000000-0005-0000-0000-0000588A0000}"/>
    <cellStyle name="Porcentaje 3 5 2 2 2 2 2 2" xfId="9837" xr:uid="{00000000-0005-0000-0000-0000598A0000}"/>
    <cellStyle name="Porcentaje 3 5 2 2 2 2 2 2 2" xfId="19697" xr:uid="{00000000-0005-0000-0000-00005A8A0000}"/>
    <cellStyle name="Porcentaje 3 5 2 2 2 2 2 2 2 2" xfId="39412" xr:uid="{00000000-0005-0000-0000-00005B8A0000}"/>
    <cellStyle name="Porcentaje 3 5 2 2 2 2 2 2 3" xfId="29555" xr:uid="{00000000-0005-0000-0000-00005C8A0000}"/>
    <cellStyle name="Porcentaje 3 5 2 2 2 2 2 3" xfId="14769" xr:uid="{00000000-0005-0000-0000-00005D8A0000}"/>
    <cellStyle name="Porcentaje 3 5 2 2 2 2 2 3 2" xfId="34484" xr:uid="{00000000-0005-0000-0000-00005E8A0000}"/>
    <cellStyle name="Porcentaje 3 5 2 2 2 2 2 4" xfId="24627" xr:uid="{00000000-0005-0000-0000-00005F8A0000}"/>
    <cellStyle name="Porcentaje 3 5 2 2 2 2 3" xfId="7373" xr:uid="{00000000-0005-0000-0000-0000608A0000}"/>
    <cellStyle name="Porcentaje 3 5 2 2 2 2 3 2" xfId="17233" xr:uid="{00000000-0005-0000-0000-0000618A0000}"/>
    <cellStyle name="Porcentaje 3 5 2 2 2 2 3 2 2" xfId="36948" xr:uid="{00000000-0005-0000-0000-0000628A0000}"/>
    <cellStyle name="Porcentaje 3 5 2 2 2 2 3 3" xfId="27091" xr:uid="{00000000-0005-0000-0000-0000638A0000}"/>
    <cellStyle name="Porcentaje 3 5 2 2 2 2 4" xfId="12305" xr:uid="{00000000-0005-0000-0000-0000648A0000}"/>
    <cellStyle name="Porcentaje 3 5 2 2 2 2 4 2" xfId="32020" xr:uid="{00000000-0005-0000-0000-0000658A0000}"/>
    <cellStyle name="Porcentaje 3 5 2 2 2 2 5" xfId="22163" xr:uid="{00000000-0005-0000-0000-0000668A0000}"/>
    <cellStyle name="Porcentaje 3 5 2 2 2 3" xfId="3673" xr:uid="{00000000-0005-0000-0000-0000678A0000}"/>
    <cellStyle name="Porcentaje 3 5 2 2 2 3 2" xfId="8605" xr:uid="{00000000-0005-0000-0000-0000688A0000}"/>
    <cellStyle name="Porcentaje 3 5 2 2 2 3 2 2" xfId="18465" xr:uid="{00000000-0005-0000-0000-0000698A0000}"/>
    <cellStyle name="Porcentaje 3 5 2 2 2 3 2 2 2" xfId="38180" xr:uid="{00000000-0005-0000-0000-00006A8A0000}"/>
    <cellStyle name="Porcentaje 3 5 2 2 2 3 2 3" xfId="28323" xr:uid="{00000000-0005-0000-0000-00006B8A0000}"/>
    <cellStyle name="Porcentaje 3 5 2 2 2 3 3" xfId="13537" xr:uid="{00000000-0005-0000-0000-00006C8A0000}"/>
    <cellStyle name="Porcentaje 3 5 2 2 2 3 3 2" xfId="33252" xr:uid="{00000000-0005-0000-0000-00006D8A0000}"/>
    <cellStyle name="Porcentaje 3 5 2 2 2 3 4" xfId="23395" xr:uid="{00000000-0005-0000-0000-00006E8A0000}"/>
    <cellStyle name="Porcentaje 3 5 2 2 2 4" xfId="6141" xr:uid="{00000000-0005-0000-0000-00006F8A0000}"/>
    <cellStyle name="Porcentaje 3 5 2 2 2 4 2" xfId="16001" xr:uid="{00000000-0005-0000-0000-0000708A0000}"/>
    <cellStyle name="Porcentaje 3 5 2 2 2 4 2 2" xfId="35716" xr:uid="{00000000-0005-0000-0000-0000718A0000}"/>
    <cellStyle name="Porcentaje 3 5 2 2 2 4 3" xfId="25859" xr:uid="{00000000-0005-0000-0000-0000728A0000}"/>
    <cellStyle name="Porcentaje 3 5 2 2 2 5" xfId="11073" xr:uid="{00000000-0005-0000-0000-0000738A0000}"/>
    <cellStyle name="Porcentaje 3 5 2 2 2 5 2" xfId="30788" xr:uid="{00000000-0005-0000-0000-0000748A0000}"/>
    <cellStyle name="Porcentaje 3 5 2 2 2 6" xfId="20931" xr:uid="{00000000-0005-0000-0000-0000758A0000}"/>
    <cellStyle name="Porcentaje 3 5 2 2 3" xfId="1822" xr:uid="{00000000-0005-0000-0000-0000768A0000}"/>
    <cellStyle name="Porcentaje 3 5 2 2 3 2" xfId="4289" xr:uid="{00000000-0005-0000-0000-0000778A0000}"/>
    <cellStyle name="Porcentaje 3 5 2 2 3 2 2" xfId="9221" xr:uid="{00000000-0005-0000-0000-0000788A0000}"/>
    <cellStyle name="Porcentaje 3 5 2 2 3 2 2 2" xfId="19081" xr:uid="{00000000-0005-0000-0000-0000798A0000}"/>
    <cellStyle name="Porcentaje 3 5 2 2 3 2 2 2 2" xfId="38796" xr:uid="{00000000-0005-0000-0000-00007A8A0000}"/>
    <cellStyle name="Porcentaje 3 5 2 2 3 2 2 3" xfId="28939" xr:uid="{00000000-0005-0000-0000-00007B8A0000}"/>
    <cellStyle name="Porcentaje 3 5 2 2 3 2 3" xfId="14153" xr:uid="{00000000-0005-0000-0000-00007C8A0000}"/>
    <cellStyle name="Porcentaje 3 5 2 2 3 2 3 2" xfId="33868" xr:uid="{00000000-0005-0000-0000-00007D8A0000}"/>
    <cellStyle name="Porcentaje 3 5 2 2 3 2 4" xfId="24011" xr:uid="{00000000-0005-0000-0000-00007E8A0000}"/>
    <cellStyle name="Porcentaje 3 5 2 2 3 3" xfId="6757" xr:uid="{00000000-0005-0000-0000-00007F8A0000}"/>
    <cellStyle name="Porcentaje 3 5 2 2 3 3 2" xfId="16617" xr:uid="{00000000-0005-0000-0000-0000808A0000}"/>
    <cellStyle name="Porcentaje 3 5 2 2 3 3 2 2" xfId="36332" xr:uid="{00000000-0005-0000-0000-0000818A0000}"/>
    <cellStyle name="Porcentaje 3 5 2 2 3 3 3" xfId="26475" xr:uid="{00000000-0005-0000-0000-0000828A0000}"/>
    <cellStyle name="Porcentaje 3 5 2 2 3 4" xfId="11689" xr:uid="{00000000-0005-0000-0000-0000838A0000}"/>
    <cellStyle name="Porcentaje 3 5 2 2 3 4 2" xfId="31404" xr:uid="{00000000-0005-0000-0000-0000848A0000}"/>
    <cellStyle name="Porcentaje 3 5 2 2 3 5" xfId="21547" xr:uid="{00000000-0005-0000-0000-0000858A0000}"/>
    <cellStyle name="Porcentaje 3 5 2 2 4" xfId="3057" xr:uid="{00000000-0005-0000-0000-0000868A0000}"/>
    <cellStyle name="Porcentaje 3 5 2 2 4 2" xfId="7989" xr:uid="{00000000-0005-0000-0000-0000878A0000}"/>
    <cellStyle name="Porcentaje 3 5 2 2 4 2 2" xfId="17849" xr:uid="{00000000-0005-0000-0000-0000888A0000}"/>
    <cellStyle name="Porcentaje 3 5 2 2 4 2 2 2" xfId="37564" xr:uid="{00000000-0005-0000-0000-0000898A0000}"/>
    <cellStyle name="Porcentaje 3 5 2 2 4 2 3" xfId="27707" xr:uid="{00000000-0005-0000-0000-00008A8A0000}"/>
    <cellStyle name="Porcentaje 3 5 2 2 4 3" xfId="12921" xr:uid="{00000000-0005-0000-0000-00008B8A0000}"/>
    <cellStyle name="Porcentaje 3 5 2 2 4 3 2" xfId="32636" xr:uid="{00000000-0005-0000-0000-00008C8A0000}"/>
    <cellStyle name="Porcentaje 3 5 2 2 4 4" xfId="22779" xr:uid="{00000000-0005-0000-0000-00008D8A0000}"/>
    <cellStyle name="Porcentaje 3 5 2 2 5" xfId="5525" xr:uid="{00000000-0005-0000-0000-00008E8A0000}"/>
    <cellStyle name="Porcentaje 3 5 2 2 5 2" xfId="15385" xr:uid="{00000000-0005-0000-0000-00008F8A0000}"/>
    <cellStyle name="Porcentaje 3 5 2 2 5 2 2" xfId="35100" xr:uid="{00000000-0005-0000-0000-0000908A0000}"/>
    <cellStyle name="Porcentaje 3 5 2 2 5 3" xfId="25243" xr:uid="{00000000-0005-0000-0000-0000918A0000}"/>
    <cellStyle name="Porcentaje 3 5 2 2 6" xfId="10457" xr:uid="{00000000-0005-0000-0000-0000928A0000}"/>
    <cellStyle name="Porcentaje 3 5 2 2 6 2" xfId="30172" xr:uid="{00000000-0005-0000-0000-0000938A0000}"/>
    <cellStyle name="Porcentaje 3 5 2 2 7" xfId="20315" xr:uid="{00000000-0005-0000-0000-0000948A0000}"/>
    <cellStyle name="Porcentaje 3 5 2 3" xfId="896" xr:uid="{00000000-0005-0000-0000-0000958A0000}"/>
    <cellStyle name="Porcentaje 3 5 2 3 2" xfId="2132" xr:uid="{00000000-0005-0000-0000-0000968A0000}"/>
    <cellStyle name="Porcentaje 3 5 2 3 2 2" xfId="4599" xr:uid="{00000000-0005-0000-0000-0000978A0000}"/>
    <cellStyle name="Porcentaje 3 5 2 3 2 2 2" xfId="9531" xr:uid="{00000000-0005-0000-0000-0000988A0000}"/>
    <cellStyle name="Porcentaje 3 5 2 3 2 2 2 2" xfId="19391" xr:uid="{00000000-0005-0000-0000-0000998A0000}"/>
    <cellStyle name="Porcentaje 3 5 2 3 2 2 2 2 2" xfId="39106" xr:uid="{00000000-0005-0000-0000-00009A8A0000}"/>
    <cellStyle name="Porcentaje 3 5 2 3 2 2 2 3" xfId="29249" xr:uid="{00000000-0005-0000-0000-00009B8A0000}"/>
    <cellStyle name="Porcentaje 3 5 2 3 2 2 3" xfId="14463" xr:uid="{00000000-0005-0000-0000-00009C8A0000}"/>
    <cellStyle name="Porcentaje 3 5 2 3 2 2 3 2" xfId="34178" xr:uid="{00000000-0005-0000-0000-00009D8A0000}"/>
    <cellStyle name="Porcentaje 3 5 2 3 2 2 4" xfId="24321" xr:uid="{00000000-0005-0000-0000-00009E8A0000}"/>
    <cellStyle name="Porcentaje 3 5 2 3 2 3" xfId="7067" xr:uid="{00000000-0005-0000-0000-00009F8A0000}"/>
    <cellStyle name="Porcentaje 3 5 2 3 2 3 2" xfId="16927" xr:uid="{00000000-0005-0000-0000-0000A08A0000}"/>
    <cellStyle name="Porcentaje 3 5 2 3 2 3 2 2" xfId="36642" xr:uid="{00000000-0005-0000-0000-0000A18A0000}"/>
    <cellStyle name="Porcentaje 3 5 2 3 2 3 3" xfId="26785" xr:uid="{00000000-0005-0000-0000-0000A28A0000}"/>
    <cellStyle name="Porcentaje 3 5 2 3 2 4" xfId="11999" xr:uid="{00000000-0005-0000-0000-0000A38A0000}"/>
    <cellStyle name="Porcentaje 3 5 2 3 2 4 2" xfId="31714" xr:uid="{00000000-0005-0000-0000-0000A48A0000}"/>
    <cellStyle name="Porcentaje 3 5 2 3 2 5" xfId="21857" xr:uid="{00000000-0005-0000-0000-0000A58A0000}"/>
    <cellStyle name="Porcentaje 3 5 2 3 3" xfId="3367" xr:uid="{00000000-0005-0000-0000-0000A68A0000}"/>
    <cellStyle name="Porcentaje 3 5 2 3 3 2" xfId="8299" xr:uid="{00000000-0005-0000-0000-0000A78A0000}"/>
    <cellStyle name="Porcentaje 3 5 2 3 3 2 2" xfId="18159" xr:uid="{00000000-0005-0000-0000-0000A88A0000}"/>
    <cellStyle name="Porcentaje 3 5 2 3 3 2 2 2" xfId="37874" xr:uid="{00000000-0005-0000-0000-0000A98A0000}"/>
    <cellStyle name="Porcentaje 3 5 2 3 3 2 3" xfId="28017" xr:uid="{00000000-0005-0000-0000-0000AA8A0000}"/>
    <cellStyle name="Porcentaje 3 5 2 3 3 3" xfId="13231" xr:uid="{00000000-0005-0000-0000-0000AB8A0000}"/>
    <cellStyle name="Porcentaje 3 5 2 3 3 3 2" xfId="32946" xr:uid="{00000000-0005-0000-0000-0000AC8A0000}"/>
    <cellStyle name="Porcentaje 3 5 2 3 3 4" xfId="23089" xr:uid="{00000000-0005-0000-0000-0000AD8A0000}"/>
    <cellStyle name="Porcentaje 3 5 2 3 4" xfId="5835" xr:uid="{00000000-0005-0000-0000-0000AE8A0000}"/>
    <cellStyle name="Porcentaje 3 5 2 3 4 2" xfId="15695" xr:uid="{00000000-0005-0000-0000-0000AF8A0000}"/>
    <cellStyle name="Porcentaje 3 5 2 3 4 2 2" xfId="35410" xr:uid="{00000000-0005-0000-0000-0000B08A0000}"/>
    <cellStyle name="Porcentaje 3 5 2 3 4 3" xfId="25553" xr:uid="{00000000-0005-0000-0000-0000B18A0000}"/>
    <cellStyle name="Porcentaje 3 5 2 3 5" xfId="10767" xr:uid="{00000000-0005-0000-0000-0000B28A0000}"/>
    <cellStyle name="Porcentaje 3 5 2 3 5 2" xfId="30482" xr:uid="{00000000-0005-0000-0000-0000B38A0000}"/>
    <cellStyle name="Porcentaje 3 5 2 3 6" xfId="20625" xr:uid="{00000000-0005-0000-0000-0000B48A0000}"/>
    <cellStyle name="Porcentaje 3 5 2 4" xfId="1516" xr:uid="{00000000-0005-0000-0000-0000B58A0000}"/>
    <cellStyle name="Porcentaje 3 5 2 4 2" xfId="3983" xr:uid="{00000000-0005-0000-0000-0000B68A0000}"/>
    <cellStyle name="Porcentaje 3 5 2 4 2 2" xfId="8915" xr:uid="{00000000-0005-0000-0000-0000B78A0000}"/>
    <cellStyle name="Porcentaje 3 5 2 4 2 2 2" xfId="18775" xr:uid="{00000000-0005-0000-0000-0000B88A0000}"/>
    <cellStyle name="Porcentaje 3 5 2 4 2 2 2 2" xfId="38490" xr:uid="{00000000-0005-0000-0000-0000B98A0000}"/>
    <cellStyle name="Porcentaje 3 5 2 4 2 2 3" xfId="28633" xr:uid="{00000000-0005-0000-0000-0000BA8A0000}"/>
    <cellStyle name="Porcentaje 3 5 2 4 2 3" xfId="13847" xr:uid="{00000000-0005-0000-0000-0000BB8A0000}"/>
    <cellStyle name="Porcentaje 3 5 2 4 2 3 2" xfId="33562" xr:uid="{00000000-0005-0000-0000-0000BC8A0000}"/>
    <cellStyle name="Porcentaje 3 5 2 4 2 4" xfId="23705" xr:uid="{00000000-0005-0000-0000-0000BD8A0000}"/>
    <cellStyle name="Porcentaje 3 5 2 4 3" xfId="6451" xr:uid="{00000000-0005-0000-0000-0000BE8A0000}"/>
    <cellStyle name="Porcentaje 3 5 2 4 3 2" xfId="16311" xr:uid="{00000000-0005-0000-0000-0000BF8A0000}"/>
    <cellStyle name="Porcentaje 3 5 2 4 3 2 2" xfId="36026" xr:uid="{00000000-0005-0000-0000-0000C08A0000}"/>
    <cellStyle name="Porcentaje 3 5 2 4 3 3" xfId="26169" xr:uid="{00000000-0005-0000-0000-0000C18A0000}"/>
    <cellStyle name="Porcentaje 3 5 2 4 4" xfId="11383" xr:uid="{00000000-0005-0000-0000-0000C28A0000}"/>
    <cellStyle name="Porcentaje 3 5 2 4 4 2" xfId="31098" xr:uid="{00000000-0005-0000-0000-0000C38A0000}"/>
    <cellStyle name="Porcentaje 3 5 2 4 5" xfId="21241" xr:uid="{00000000-0005-0000-0000-0000C48A0000}"/>
    <cellStyle name="Porcentaje 3 5 2 5" xfId="2751" xr:uid="{00000000-0005-0000-0000-0000C58A0000}"/>
    <cellStyle name="Porcentaje 3 5 2 5 2" xfId="7683" xr:uid="{00000000-0005-0000-0000-0000C68A0000}"/>
    <cellStyle name="Porcentaje 3 5 2 5 2 2" xfId="17543" xr:uid="{00000000-0005-0000-0000-0000C78A0000}"/>
    <cellStyle name="Porcentaje 3 5 2 5 2 2 2" xfId="37258" xr:uid="{00000000-0005-0000-0000-0000C88A0000}"/>
    <cellStyle name="Porcentaje 3 5 2 5 2 3" xfId="27401" xr:uid="{00000000-0005-0000-0000-0000C98A0000}"/>
    <cellStyle name="Porcentaje 3 5 2 5 3" xfId="12615" xr:uid="{00000000-0005-0000-0000-0000CA8A0000}"/>
    <cellStyle name="Porcentaje 3 5 2 5 3 2" xfId="32330" xr:uid="{00000000-0005-0000-0000-0000CB8A0000}"/>
    <cellStyle name="Porcentaje 3 5 2 5 4" xfId="22473" xr:uid="{00000000-0005-0000-0000-0000CC8A0000}"/>
    <cellStyle name="Porcentaje 3 5 2 6" xfId="5219" xr:uid="{00000000-0005-0000-0000-0000CD8A0000}"/>
    <cellStyle name="Porcentaje 3 5 2 6 2" xfId="15079" xr:uid="{00000000-0005-0000-0000-0000CE8A0000}"/>
    <cellStyle name="Porcentaje 3 5 2 6 2 2" xfId="34794" xr:uid="{00000000-0005-0000-0000-0000CF8A0000}"/>
    <cellStyle name="Porcentaje 3 5 2 6 3" xfId="24937" xr:uid="{00000000-0005-0000-0000-0000D08A0000}"/>
    <cellStyle name="Porcentaje 3 5 2 7" xfId="10151" xr:uid="{00000000-0005-0000-0000-0000D18A0000}"/>
    <cellStyle name="Porcentaje 3 5 2 7 2" xfId="29866" xr:uid="{00000000-0005-0000-0000-0000D28A0000}"/>
    <cellStyle name="Porcentaje 3 5 2 8" xfId="20009" xr:uid="{00000000-0005-0000-0000-0000D38A0000}"/>
    <cellStyle name="Porcentaje 3 5 3" xfId="431" xr:uid="{00000000-0005-0000-0000-0000D48A0000}"/>
    <cellStyle name="Porcentaje 3 5 3 2" xfId="1051" xr:uid="{00000000-0005-0000-0000-0000D58A0000}"/>
    <cellStyle name="Porcentaje 3 5 3 2 2" xfId="2286" xr:uid="{00000000-0005-0000-0000-0000D68A0000}"/>
    <cellStyle name="Porcentaje 3 5 3 2 2 2" xfId="4753" xr:uid="{00000000-0005-0000-0000-0000D78A0000}"/>
    <cellStyle name="Porcentaje 3 5 3 2 2 2 2" xfId="9685" xr:uid="{00000000-0005-0000-0000-0000D88A0000}"/>
    <cellStyle name="Porcentaje 3 5 3 2 2 2 2 2" xfId="19545" xr:uid="{00000000-0005-0000-0000-0000D98A0000}"/>
    <cellStyle name="Porcentaje 3 5 3 2 2 2 2 2 2" xfId="39260" xr:uid="{00000000-0005-0000-0000-0000DA8A0000}"/>
    <cellStyle name="Porcentaje 3 5 3 2 2 2 2 3" xfId="29403" xr:uid="{00000000-0005-0000-0000-0000DB8A0000}"/>
    <cellStyle name="Porcentaje 3 5 3 2 2 2 3" xfId="14617" xr:uid="{00000000-0005-0000-0000-0000DC8A0000}"/>
    <cellStyle name="Porcentaje 3 5 3 2 2 2 3 2" xfId="34332" xr:uid="{00000000-0005-0000-0000-0000DD8A0000}"/>
    <cellStyle name="Porcentaje 3 5 3 2 2 2 4" xfId="24475" xr:uid="{00000000-0005-0000-0000-0000DE8A0000}"/>
    <cellStyle name="Porcentaje 3 5 3 2 2 3" xfId="7221" xr:uid="{00000000-0005-0000-0000-0000DF8A0000}"/>
    <cellStyle name="Porcentaje 3 5 3 2 2 3 2" xfId="17081" xr:uid="{00000000-0005-0000-0000-0000E08A0000}"/>
    <cellStyle name="Porcentaje 3 5 3 2 2 3 2 2" xfId="36796" xr:uid="{00000000-0005-0000-0000-0000E18A0000}"/>
    <cellStyle name="Porcentaje 3 5 3 2 2 3 3" xfId="26939" xr:uid="{00000000-0005-0000-0000-0000E28A0000}"/>
    <cellStyle name="Porcentaje 3 5 3 2 2 4" xfId="12153" xr:uid="{00000000-0005-0000-0000-0000E38A0000}"/>
    <cellStyle name="Porcentaje 3 5 3 2 2 4 2" xfId="31868" xr:uid="{00000000-0005-0000-0000-0000E48A0000}"/>
    <cellStyle name="Porcentaje 3 5 3 2 2 5" xfId="22011" xr:uid="{00000000-0005-0000-0000-0000E58A0000}"/>
    <cellStyle name="Porcentaje 3 5 3 2 3" xfId="3521" xr:uid="{00000000-0005-0000-0000-0000E68A0000}"/>
    <cellStyle name="Porcentaje 3 5 3 2 3 2" xfId="8453" xr:uid="{00000000-0005-0000-0000-0000E78A0000}"/>
    <cellStyle name="Porcentaje 3 5 3 2 3 2 2" xfId="18313" xr:uid="{00000000-0005-0000-0000-0000E88A0000}"/>
    <cellStyle name="Porcentaje 3 5 3 2 3 2 2 2" xfId="38028" xr:uid="{00000000-0005-0000-0000-0000E98A0000}"/>
    <cellStyle name="Porcentaje 3 5 3 2 3 2 3" xfId="28171" xr:uid="{00000000-0005-0000-0000-0000EA8A0000}"/>
    <cellStyle name="Porcentaje 3 5 3 2 3 3" xfId="13385" xr:uid="{00000000-0005-0000-0000-0000EB8A0000}"/>
    <cellStyle name="Porcentaje 3 5 3 2 3 3 2" xfId="33100" xr:uid="{00000000-0005-0000-0000-0000EC8A0000}"/>
    <cellStyle name="Porcentaje 3 5 3 2 3 4" xfId="23243" xr:uid="{00000000-0005-0000-0000-0000ED8A0000}"/>
    <cellStyle name="Porcentaje 3 5 3 2 4" xfId="5989" xr:uid="{00000000-0005-0000-0000-0000EE8A0000}"/>
    <cellStyle name="Porcentaje 3 5 3 2 4 2" xfId="15849" xr:uid="{00000000-0005-0000-0000-0000EF8A0000}"/>
    <cellStyle name="Porcentaje 3 5 3 2 4 2 2" xfId="35564" xr:uid="{00000000-0005-0000-0000-0000F08A0000}"/>
    <cellStyle name="Porcentaje 3 5 3 2 4 3" xfId="25707" xr:uid="{00000000-0005-0000-0000-0000F18A0000}"/>
    <cellStyle name="Porcentaje 3 5 3 2 5" xfId="10921" xr:uid="{00000000-0005-0000-0000-0000F28A0000}"/>
    <cellStyle name="Porcentaje 3 5 3 2 5 2" xfId="30636" xr:uid="{00000000-0005-0000-0000-0000F38A0000}"/>
    <cellStyle name="Porcentaje 3 5 3 2 6" xfId="20779" xr:uid="{00000000-0005-0000-0000-0000F48A0000}"/>
    <cellStyle name="Porcentaje 3 5 3 3" xfId="1670" xr:uid="{00000000-0005-0000-0000-0000F58A0000}"/>
    <cellStyle name="Porcentaje 3 5 3 3 2" xfId="4137" xr:uid="{00000000-0005-0000-0000-0000F68A0000}"/>
    <cellStyle name="Porcentaje 3 5 3 3 2 2" xfId="9069" xr:uid="{00000000-0005-0000-0000-0000F78A0000}"/>
    <cellStyle name="Porcentaje 3 5 3 3 2 2 2" xfId="18929" xr:uid="{00000000-0005-0000-0000-0000F88A0000}"/>
    <cellStyle name="Porcentaje 3 5 3 3 2 2 2 2" xfId="38644" xr:uid="{00000000-0005-0000-0000-0000F98A0000}"/>
    <cellStyle name="Porcentaje 3 5 3 3 2 2 3" xfId="28787" xr:uid="{00000000-0005-0000-0000-0000FA8A0000}"/>
    <cellStyle name="Porcentaje 3 5 3 3 2 3" xfId="14001" xr:uid="{00000000-0005-0000-0000-0000FB8A0000}"/>
    <cellStyle name="Porcentaje 3 5 3 3 2 3 2" xfId="33716" xr:uid="{00000000-0005-0000-0000-0000FC8A0000}"/>
    <cellStyle name="Porcentaje 3 5 3 3 2 4" xfId="23859" xr:uid="{00000000-0005-0000-0000-0000FD8A0000}"/>
    <cellStyle name="Porcentaje 3 5 3 3 3" xfId="6605" xr:uid="{00000000-0005-0000-0000-0000FE8A0000}"/>
    <cellStyle name="Porcentaje 3 5 3 3 3 2" xfId="16465" xr:uid="{00000000-0005-0000-0000-0000FF8A0000}"/>
    <cellStyle name="Porcentaje 3 5 3 3 3 2 2" xfId="36180" xr:uid="{00000000-0005-0000-0000-0000008B0000}"/>
    <cellStyle name="Porcentaje 3 5 3 3 3 3" xfId="26323" xr:uid="{00000000-0005-0000-0000-0000018B0000}"/>
    <cellStyle name="Porcentaje 3 5 3 3 4" xfId="11537" xr:uid="{00000000-0005-0000-0000-0000028B0000}"/>
    <cellStyle name="Porcentaje 3 5 3 3 4 2" xfId="31252" xr:uid="{00000000-0005-0000-0000-0000038B0000}"/>
    <cellStyle name="Porcentaje 3 5 3 3 5" xfId="21395" xr:uid="{00000000-0005-0000-0000-0000048B0000}"/>
    <cellStyle name="Porcentaje 3 5 3 4" xfId="2905" xr:uid="{00000000-0005-0000-0000-0000058B0000}"/>
    <cellStyle name="Porcentaje 3 5 3 4 2" xfId="7837" xr:uid="{00000000-0005-0000-0000-0000068B0000}"/>
    <cellStyle name="Porcentaje 3 5 3 4 2 2" xfId="17697" xr:uid="{00000000-0005-0000-0000-0000078B0000}"/>
    <cellStyle name="Porcentaje 3 5 3 4 2 2 2" xfId="37412" xr:uid="{00000000-0005-0000-0000-0000088B0000}"/>
    <cellStyle name="Porcentaje 3 5 3 4 2 3" xfId="27555" xr:uid="{00000000-0005-0000-0000-0000098B0000}"/>
    <cellStyle name="Porcentaje 3 5 3 4 3" xfId="12769" xr:uid="{00000000-0005-0000-0000-00000A8B0000}"/>
    <cellStyle name="Porcentaje 3 5 3 4 3 2" xfId="32484" xr:uid="{00000000-0005-0000-0000-00000B8B0000}"/>
    <cellStyle name="Porcentaje 3 5 3 4 4" xfId="22627" xr:uid="{00000000-0005-0000-0000-00000C8B0000}"/>
    <cellStyle name="Porcentaje 3 5 3 5" xfId="5373" xr:uid="{00000000-0005-0000-0000-00000D8B0000}"/>
    <cellStyle name="Porcentaje 3 5 3 5 2" xfId="15233" xr:uid="{00000000-0005-0000-0000-00000E8B0000}"/>
    <cellStyle name="Porcentaje 3 5 3 5 2 2" xfId="34948" xr:uid="{00000000-0005-0000-0000-00000F8B0000}"/>
    <cellStyle name="Porcentaje 3 5 3 5 3" xfId="25091" xr:uid="{00000000-0005-0000-0000-0000108B0000}"/>
    <cellStyle name="Porcentaje 3 5 3 6" xfId="10305" xr:uid="{00000000-0005-0000-0000-0000118B0000}"/>
    <cellStyle name="Porcentaje 3 5 3 6 2" xfId="30020" xr:uid="{00000000-0005-0000-0000-0000128B0000}"/>
    <cellStyle name="Porcentaje 3 5 3 7" xfId="20163" xr:uid="{00000000-0005-0000-0000-0000138B0000}"/>
    <cellStyle name="Porcentaje 3 5 4" xfId="744" xr:uid="{00000000-0005-0000-0000-0000148B0000}"/>
    <cellStyle name="Porcentaje 3 5 4 2" xfId="1980" xr:uid="{00000000-0005-0000-0000-0000158B0000}"/>
    <cellStyle name="Porcentaje 3 5 4 2 2" xfId="4447" xr:uid="{00000000-0005-0000-0000-0000168B0000}"/>
    <cellStyle name="Porcentaje 3 5 4 2 2 2" xfId="9379" xr:uid="{00000000-0005-0000-0000-0000178B0000}"/>
    <cellStyle name="Porcentaje 3 5 4 2 2 2 2" xfId="19239" xr:uid="{00000000-0005-0000-0000-0000188B0000}"/>
    <cellStyle name="Porcentaje 3 5 4 2 2 2 2 2" xfId="38954" xr:uid="{00000000-0005-0000-0000-0000198B0000}"/>
    <cellStyle name="Porcentaje 3 5 4 2 2 2 3" xfId="29097" xr:uid="{00000000-0005-0000-0000-00001A8B0000}"/>
    <cellStyle name="Porcentaje 3 5 4 2 2 3" xfId="14311" xr:uid="{00000000-0005-0000-0000-00001B8B0000}"/>
    <cellStyle name="Porcentaje 3 5 4 2 2 3 2" xfId="34026" xr:uid="{00000000-0005-0000-0000-00001C8B0000}"/>
    <cellStyle name="Porcentaje 3 5 4 2 2 4" xfId="24169" xr:uid="{00000000-0005-0000-0000-00001D8B0000}"/>
    <cellStyle name="Porcentaje 3 5 4 2 3" xfId="6915" xr:uid="{00000000-0005-0000-0000-00001E8B0000}"/>
    <cellStyle name="Porcentaje 3 5 4 2 3 2" xfId="16775" xr:uid="{00000000-0005-0000-0000-00001F8B0000}"/>
    <cellStyle name="Porcentaje 3 5 4 2 3 2 2" xfId="36490" xr:uid="{00000000-0005-0000-0000-0000208B0000}"/>
    <cellStyle name="Porcentaje 3 5 4 2 3 3" xfId="26633" xr:uid="{00000000-0005-0000-0000-0000218B0000}"/>
    <cellStyle name="Porcentaje 3 5 4 2 4" xfId="11847" xr:uid="{00000000-0005-0000-0000-0000228B0000}"/>
    <cellStyle name="Porcentaje 3 5 4 2 4 2" xfId="31562" xr:uid="{00000000-0005-0000-0000-0000238B0000}"/>
    <cellStyle name="Porcentaje 3 5 4 2 5" xfId="21705" xr:uid="{00000000-0005-0000-0000-0000248B0000}"/>
    <cellStyle name="Porcentaje 3 5 4 3" xfId="3215" xr:uid="{00000000-0005-0000-0000-0000258B0000}"/>
    <cellStyle name="Porcentaje 3 5 4 3 2" xfId="8147" xr:uid="{00000000-0005-0000-0000-0000268B0000}"/>
    <cellStyle name="Porcentaje 3 5 4 3 2 2" xfId="18007" xr:uid="{00000000-0005-0000-0000-0000278B0000}"/>
    <cellStyle name="Porcentaje 3 5 4 3 2 2 2" xfId="37722" xr:uid="{00000000-0005-0000-0000-0000288B0000}"/>
    <cellStyle name="Porcentaje 3 5 4 3 2 3" xfId="27865" xr:uid="{00000000-0005-0000-0000-0000298B0000}"/>
    <cellStyle name="Porcentaje 3 5 4 3 3" xfId="13079" xr:uid="{00000000-0005-0000-0000-00002A8B0000}"/>
    <cellStyle name="Porcentaje 3 5 4 3 3 2" xfId="32794" xr:uid="{00000000-0005-0000-0000-00002B8B0000}"/>
    <cellStyle name="Porcentaje 3 5 4 3 4" xfId="22937" xr:uid="{00000000-0005-0000-0000-00002C8B0000}"/>
    <cellStyle name="Porcentaje 3 5 4 4" xfId="5683" xr:uid="{00000000-0005-0000-0000-00002D8B0000}"/>
    <cellStyle name="Porcentaje 3 5 4 4 2" xfId="15543" xr:uid="{00000000-0005-0000-0000-00002E8B0000}"/>
    <cellStyle name="Porcentaje 3 5 4 4 2 2" xfId="35258" xr:uid="{00000000-0005-0000-0000-00002F8B0000}"/>
    <cellStyle name="Porcentaje 3 5 4 4 3" xfId="25401" xr:uid="{00000000-0005-0000-0000-0000308B0000}"/>
    <cellStyle name="Porcentaje 3 5 4 5" xfId="10615" xr:uid="{00000000-0005-0000-0000-0000318B0000}"/>
    <cellStyle name="Porcentaje 3 5 4 5 2" xfId="30330" xr:uid="{00000000-0005-0000-0000-0000328B0000}"/>
    <cellStyle name="Porcentaje 3 5 4 6" xfId="20473" xr:uid="{00000000-0005-0000-0000-0000338B0000}"/>
    <cellStyle name="Porcentaje 3 5 5" xfId="1364" xr:uid="{00000000-0005-0000-0000-0000348B0000}"/>
    <cellStyle name="Porcentaje 3 5 5 2" xfId="3831" xr:uid="{00000000-0005-0000-0000-0000358B0000}"/>
    <cellStyle name="Porcentaje 3 5 5 2 2" xfId="8763" xr:uid="{00000000-0005-0000-0000-0000368B0000}"/>
    <cellStyle name="Porcentaje 3 5 5 2 2 2" xfId="18623" xr:uid="{00000000-0005-0000-0000-0000378B0000}"/>
    <cellStyle name="Porcentaje 3 5 5 2 2 2 2" xfId="38338" xr:uid="{00000000-0005-0000-0000-0000388B0000}"/>
    <cellStyle name="Porcentaje 3 5 5 2 2 3" xfId="28481" xr:uid="{00000000-0005-0000-0000-0000398B0000}"/>
    <cellStyle name="Porcentaje 3 5 5 2 3" xfId="13695" xr:uid="{00000000-0005-0000-0000-00003A8B0000}"/>
    <cellStyle name="Porcentaje 3 5 5 2 3 2" xfId="33410" xr:uid="{00000000-0005-0000-0000-00003B8B0000}"/>
    <cellStyle name="Porcentaje 3 5 5 2 4" xfId="23553" xr:uid="{00000000-0005-0000-0000-00003C8B0000}"/>
    <cellStyle name="Porcentaje 3 5 5 3" xfId="6299" xr:uid="{00000000-0005-0000-0000-00003D8B0000}"/>
    <cellStyle name="Porcentaje 3 5 5 3 2" xfId="16159" xr:uid="{00000000-0005-0000-0000-00003E8B0000}"/>
    <cellStyle name="Porcentaje 3 5 5 3 2 2" xfId="35874" xr:uid="{00000000-0005-0000-0000-00003F8B0000}"/>
    <cellStyle name="Porcentaje 3 5 5 3 3" xfId="26017" xr:uid="{00000000-0005-0000-0000-0000408B0000}"/>
    <cellStyle name="Porcentaje 3 5 5 4" xfId="11231" xr:uid="{00000000-0005-0000-0000-0000418B0000}"/>
    <cellStyle name="Porcentaje 3 5 5 4 2" xfId="30946" xr:uid="{00000000-0005-0000-0000-0000428B0000}"/>
    <cellStyle name="Porcentaje 3 5 5 5" xfId="21089" xr:uid="{00000000-0005-0000-0000-0000438B0000}"/>
    <cellStyle name="Porcentaje 3 5 6" xfId="2599" xr:uid="{00000000-0005-0000-0000-0000448B0000}"/>
    <cellStyle name="Porcentaje 3 5 6 2" xfId="7531" xr:uid="{00000000-0005-0000-0000-0000458B0000}"/>
    <cellStyle name="Porcentaje 3 5 6 2 2" xfId="17391" xr:uid="{00000000-0005-0000-0000-0000468B0000}"/>
    <cellStyle name="Porcentaje 3 5 6 2 2 2" xfId="37106" xr:uid="{00000000-0005-0000-0000-0000478B0000}"/>
    <cellStyle name="Porcentaje 3 5 6 2 3" xfId="27249" xr:uid="{00000000-0005-0000-0000-0000488B0000}"/>
    <cellStyle name="Porcentaje 3 5 6 3" xfId="12463" xr:uid="{00000000-0005-0000-0000-0000498B0000}"/>
    <cellStyle name="Porcentaje 3 5 6 3 2" xfId="32178" xr:uid="{00000000-0005-0000-0000-00004A8B0000}"/>
    <cellStyle name="Porcentaje 3 5 6 4" xfId="22321" xr:uid="{00000000-0005-0000-0000-00004B8B0000}"/>
    <cellStyle name="Porcentaje 3 5 7" xfId="5067" xr:uid="{00000000-0005-0000-0000-00004C8B0000}"/>
    <cellStyle name="Porcentaje 3 5 7 2" xfId="14927" xr:uid="{00000000-0005-0000-0000-00004D8B0000}"/>
    <cellStyle name="Porcentaje 3 5 7 2 2" xfId="34642" xr:uid="{00000000-0005-0000-0000-00004E8B0000}"/>
    <cellStyle name="Porcentaje 3 5 7 3" xfId="24785" xr:uid="{00000000-0005-0000-0000-00004F8B0000}"/>
    <cellStyle name="Porcentaje 3 5 8" xfId="9999" xr:uid="{00000000-0005-0000-0000-0000508B0000}"/>
    <cellStyle name="Porcentaje 3 5 8 2" xfId="29714" xr:uid="{00000000-0005-0000-0000-0000518B0000}"/>
    <cellStyle name="Porcentaje 3 5 9" xfId="19857" xr:uid="{00000000-0005-0000-0000-0000528B0000}"/>
    <cellStyle name="Porcentaje 3 6" xfId="193" xr:uid="{00000000-0005-0000-0000-0000538B0000}"/>
    <cellStyle name="Porcentaje 3 6 2" xfId="507" xr:uid="{00000000-0005-0000-0000-0000548B0000}"/>
    <cellStyle name="Porcentaje 3 6 2 2" xfId="1127" xr:uid="{00000000-0005-0000-0000-0000558B0000}"/>
    <cellStyle name="Porcentaje 3 6 2 2 2" xfId="2362" xr:uid="{00000000-0005-0000-0000-0000568B0000}"/>
    <cellStyle name="Porcentaje 3 6 2 2 2 2" xfId="4829" xr:uid="{00000000-0005-0000-0000-0000578B0000}"/>
    <cellStyle name="Porcentaje 3 6 2 2 2 2 2" xfId="9761" xr:uid="{00000000-0005-0000-0000-0000588B0000}"/>
    <cellStyle name="Porcentaje 3 6 2 2 2 2 2 2" xfId="19621" xr:uid="{00000000-0005-0000-0000-0000598B0000}"/>
    <cellStyle name="Porcentaje 3 6 2 2 2 2 2 2 2" xfId="39336" xr:uid="{00000000-0005-0000-0000-00005A8B0000}"/>
    <cellStyle name="Porcentaje 3 6 2 2 2 2 2 3" xfId="29479" xr:uid="{00000000-0005-0000-0000-00005B8B0000}"/>
    <cellStyle name="Porcentaje 3 6 2 2 2 2 3" xfId="14693" xr:uid="{00000000-0005-0000-0000-00005C8B0000}"/>
    <cellStyle name="Porcentaje 3 6 2 2 2 2 3 2" xfId="34408" xr:uid="{00000000-0005-0000-0000-00005D8B0000}"/>
    <cellStyle name="Porcentaje 3 6 2 2 2 2 4" xfId="24551" xr:uid="{00000000-0005-0000-0000-00005E8B0000}"/>
    <cellStyle name="Porcentaje 3 6 2 2 2 3" xfId="7297" xr:uid="{00000000-0005-0000-0000-00005F8B0000}"/>
    <cellStyle name="Porcentaje 3 6 2 2 2 3 2" xfId="17157" xr:uid="{00000000-0005-0000-0000-0000608B0000}"/>
    <cellStyle name="Porcentaje 3 6 2 2 2 3 2 2" xfId="36872" xr:uid="{00000000-0005-0000-0000-0000618B0000}"/>
    <cellStyle name="Porcentaje 3 6 2 2 2 3 3" xfId="27015" xr:uid="{00000000-0005-0000-0000-0000628B0000}"/>
    <cellStyle name="Porcentaje 3 6 2 2 2 4" xfId="12229" xr:uid="{00000000-0005-0000-0000-0000638B0000}"/>
    <cellStyle name="Porcentaje 3 6 2 2 2 4 2" xfId="31944" xr:uid="{00000000-0005-0000-0000-0000648B0000}"/>
    <cellStyle name="Porcentaje 3 6 2 2 2 5" xfId="22087" xr:uid="{00000000-0005-0000-0000-0000658B0000}"/>
    <cellStyle name="Porcentaje 3 6 2 2 3" xfId="3597" xr:uid="{00000000-0005-0000-0000-0000668B0000}"/>
    <cellStyle name="Porcentaje 3 6 2 2 3 2" xfId="8529" xr:uid="{00000000-0005-0000-0000-0000678B0000}"/>
    <cellStyle name="Porcentaje 3 6 2 2 3 2 2" xfId="18389" xr:uid="{00000000-0005-0000-0000-0000688B0000}"/>
    <cellStyle name="Porcentaje 3 6 2 2 3 2 2 2" xfId="38104" xr:uid="{00000000-0005-0000-0000-0000698B0000}"/>
    <cellStyle name="Porcentaje 3 6 2 2 3 2 3" xfId="28247" xr:uid="{00000000-0005-0000-0000-00006A8B0000}"/>
    <cellStyle name="Porcentaje 3 6 2 2 3 3" xfId="13461" xr:uid="{00000000-0005-0000-0000-00006B8B0000}"/>
    <cellStyle name="Porcentaje 3 6 2 2 3 3 2" xfId="33176" xr:uid="{00000000-0005-0000-0000-00006C8B0000}"/>
    <cellStyle name="Porcentaje 3 6 2 2 3 4" xfId="23319" xr:uid="{00000000-0005-0000-0000-00006D8B0000}"/>
    <cellStyle name="Porcentaje 3 6 2 2 4" xfId="6065" xr:uid="{00000000-0005-0000-0000-00006E8B0000}"/>
    <cellStyle name="Porcentaje 3 6 2 2 4 2" xfId="15925" xr:uid="{00000000-0005-0000-0000-00006F8B0000}"/>
    <cellStyle name="Porcentaje 3 6 2 2 4 2 2" xfId="35640" xr:uid="{00000000-0005-0000-0000-0000708B0000}"/>
    <cellStyle name="Porcentaje 3 6 2 2 4 3" xfId="25783" xr:uid="{00000000-0005-0000-0000-0000718B0000}"/>
    <cellStyle name="Porcentaje 3 6 2 2 5" xfId="10997" xr:uid="{00000000-0005-0000-0000-0000728B0000}"/>
    <cellStyle name="Porcentaje 3 6 2 2 5 2" xfId="30712" xr:uid="{00000000-0005-0000-0000-0000738B0000}"/>
    <cellStyle name="Porcentaje 3 6 2 2 6" xfId="20855" xr:uid="{00000000-0005-0000-0000-0000748B0000}"/>
    <cellStyle name="Porcentaje 3 6 2 3" xfId="1746" xr:uid="{00000000-0005-0000-0000-0000758B0000}"/>
    <cellStyle name="Porcentaje 3 6 2 3 2" xfId="4213" xr:uid="{00000000-0005-0000-0000-0000768B0000}"/>
    <cellStyle name="Porcentaje 3 6 2 3 2 2" xfId="9145" xr:uid="{00000000-0005-0000-0000-0000778B0000}"/>
    <cellStyle name="Porcentaje 3 6 2 3 2 2 2" xfId="19005" xr:uid="{00000000-0005-0000-0000-0000788B0000}"/>
    <cellStyle name="Porcentaje 3 6 2 3 2 2 2 2" xfId="38720" xr:uid="{00000000-0005-0000-0000-0000798B0000}"/>
    <cellStyle name="Porcentaje 3 6 2 3 2 2 3" xfId="28863" xr:uid="{00000000-0005-0000-0000-00007A8B0000}"/>
    <cellStyle name="Porcentaje 3 6 2 3 2 3" xfId="14077" xr:uid="{00000000-0005-0000-0000-00007B8B0000}"/>
    <cellStyle name="Porcentaje 3 6 2 3 2 3 2" xfId="33792" xr:uid="{00000000-0005-0000-0000-00007C8B0000}"/>
    <cellStyle name="Porcentaje 3 6 2 3 2 4" xfId="23935" xr:uid="{00000000-0005-0000-0000-00007D8B0000}"/>
    <cellStyle name="Porcentaje 3 6 2 3 3" xfId="6681" xr:uid="{00000000-0005-0000-0000-00007E8B0000}"/>
    <cellStyle name="Porcentaje 3 6 2 3 3 2" xfId="16541" xr:uid="{00000000-0005-0000-0000-00007F8B0000}"/>
    <cellStyle name="Porcentaje 3 6 2 3 3 2 2" xfId="36256" xr:uid="{00000000-0005-0000-0000-0000808B0000}"/>
    <cellStyle name="Porcentaje 3 6 2 3 3 3" xfId="26399" xr:uid="{00000000-0005-0000-0000-0000818B0000}"/>
    <cellStyle name="Porcentaje 3 6 2 3 4" xfId="11613" xr:uid="{00000000-0005-0000-0000-0000828B0000}"/>
    <cellStyle name="Porcentaje 3 6 2 3 4 2" xfId="31328" xr:uid="{00000000-0005-0000-0000-0000838B0000}"/>
    <cellStyle name="Porcentaje 3 6 2 3 5" xfId="21471" xr:uid="{00000000-0005-0000-0000-0000848B0000}"/>
    <cellStyle name="Porcentaje 3 6 2 4" xfId="2981" xr:uid="{00000000-0005-0000-0000-0000858B0000}"/>
    <cellStyle name="Porcentaje 3 6 2 4 2" xfId="7913" xr:uid="{00000000-0005-0000-0000-0000868B0000}"/>
    <cellStyle name="Porcentaje 3 6 2 4 2 2" xfId="17773" xr:uid="{00000000-0005-0000-0000-0000878B0000}"/>
    <cellStyle name="Porcentaje 3 6 2 4 2 2 2" xfId="37488" xr:uid="{00000000-0005-0000-0000-0000888B0000}"/>
    <cellStyle name="Porcentaje 3 6 2 4 2 3" xfId="27631" xr:uid="{00000000-0005-0000-0000-0000898B0000}"/>
    <cellStyle name="Porcentaje 3 6 2 4 3" xfId="12845" xr:uid="{00000000-0005-0000-0000-00008A8B0000}"/>
    <cellStyle name="Porcentaje 3 6 2 4 3 2" xfId="32560" xr:uid="{00000000-0005-0000-0000-00008B8B0000}"/>
    <cellStyle name="Porcentaje 3 6 2 4 4" xfId="22703" xr:uid="{00000000-0005-0000-0000-00008C8B0000}"/>
    <cellStyle name="Porcentaje 3 6 2 5" xfId="5449" xr:uid="{00000000-0005-0000-0000-00008D8B0000}"/>
    <cellStyle name="Porcentaje 3 6 2 5 2" xfId="15309" xr:uid="{00000000-0005-0000-0000-00008E8B0000}"/>
    <cellStyle name="Porcentaje 3 6 2 5 2 2" xfId="35024" xr:uid="{00000000-0005-0000-0000-00008F8B0000}"/>
    <cellStyle name="Porcentaje 3 6 2 5 3" xfId="25167" xr:uid="{00000000-0005-0000-0000-0000908B0000}"/>
    <cellStyle name="Porcentaje 3 6 2 6" xfId="10381" xr:uid="{00000000-0005-0000-0000-0000918B0000}"/>
    <cellStyle name="Porcentaje 3 6 2 6 2" xfId="30096" xr:uid="{00000000-0005-0000-0000-0000928B0000}"/>
    <cellStyle name="Porcentaje 3 6 2 7" xfId="20239" xr:uid="{00000000-0005-0000-0000-0000938B0000}"/>
    <cellStyle name="Porcentaje 3 6 3" xfId="820" xr:uid="{00000000-0005-0000-0000-0000948B0000}"/>
    <cellStyle name="Porcentaje 3 6 3 2" xfId="2056" xr:uid="{00000000-0005-0000-0000-0000958B0000}"/>
    <cellStyle name="Porcentaje 3 6 3 2 2" xfId="4523" xr:uid="{00000000-0005-0000-0000-0000968B0000}"/>
    <cellStyle name="Porcentaje 3 6 3 2 2 2" xfId="9455" xr:uid="{00000000-0005-0000-0000-0000978B0000}"/>
    <cellStyle name="Porcentaje 3 6 3 2 2 2 2" xfId="19315" xr:uid="{00000000-0005-0000-0000-0000988B0000}"/>
    <cellStyle name="Porcentaje 3 6 3 2 2 2 2 2" xfId="39030" xr:uid="{00000000-0005-0000-0000-0000998B0000}"/>
    <cellStyle name="Porcentaje 3 6 3 2 2 2 3" xfId="29173" xr:uid="{00000000-0005-0000-0000-00009A8B0000}"/>
    <cellStyle name="Porcentaje 3 6 3 2 2 3" xfId="14387" xr:uid="{00000000-0005-0000-0000-00009B8B0000}"/>
    <cellStyle name="Porcentaje 3 6 3 2 2 3 2" xfId="34102" xr:uid="{00000000-0005-0000-0000-00009C8B0000}"/>
    <cellStyle name="Porcentaje 3 6 3 2 2 4" xfId="24245" xr:uid="{00000000-0005-0000-0000-00009D8B0000}"/>
    <cellStyle name="Porcentaje 3 6 3 2 3" xfId="6991" xr:uid="{00000000-0005-0000-0000-00009E8B0000}"/>
    <cellStyle name="Porcentaje 3 6 3 2 3 2" xfId="16851" xr:uid="{00000000-0005-0000-0000-00009F8B0000}"/>
    <cellStyle name="Porcentaje 3 6 3 2 3 2 2" xfId="36566" xr:uid="{00000000-0005-0000-0000-0000A08B0000}"/>
    <cellStyle name="Porcentaje 3 6 3 2 3 3" xfId="26709" xr:uid="{00000000-0005-0000-0000-0000A18B0000}"/>
    <cellStyle name="Porcentaje 3 6 3 2 4" xfId="11923" xr:uid="{00000000-0005-0000-0000-0000A28B0000}"/>
    <cellStyle name="Porcentaje 3 6 3 2 4 2" xfId="31638" xr:uid="{00000000-0005-0000-0000-0000A38B0000}"/>
    <cellStyle name="Porcentaje 3 6 3 2 5" xfId="21781" xr:uid="{00000000-0005-0000-0000-0000A48B0000}"/>
    <cellStyle name="Porcentaje 3 6 3 3" xfId="3291" xr:uid="{00000000-0005-0000-0000-0000A58B0000}"/>
    <cellStyle name="Porcentaje 3 6 3 3 2" xfId="8223" xr:uid="{00000000-0005-0000-0000-0000A68B0000}"/>
    <cellStyle name="Porcentaje 3 6 3 3 2 2" xfId="18083" xr:uid="{00000000-0005-0000-0000-0000A78B0000}"/>
    <cellStyle name="Porcentaje 3 6 3 3 2 2 2" xfId="37798" xr:uid="{00000000-0005-0000-0000-0000A88B0000}"/>
    <cellStyle name="Porcentaje 3 6 3 3 2 3" xfId="27941" xr:uid="{00000000-0005-0000-0000-0000A98B0000}"/>
    <cellStyle name="Porcentaje 3 6 3 3 3" xfId="13155" xr:uid="{00000000-0005-0000-0000-0000AA8B0000}"/>
    <cellStyle name="Porcentaje 3 6 3 3 3 2" xfId="32870" xr:uid="{00000000-0005-0000-0000-0000AB8B0000}"/>
    <cellStyle name="Porcentaje 3 6 3 3 4" xfId="23013" xr:uid="{00000000-0005-0000-0000-0000AC8B0000}"/>
    <cellStyle name="Porcentaje 3 6 3 4" xfId="5759" xr:uid="{00000000-0005-0000-0000-0000AD8B0000}"/>
    <cellStyle name="Porcentaje 3 6 3 4 2" xfId="15619" xr:uid="{00000000-0005-0000-0000-0000AE8B0000}"/>
    <cellStyle name="Porcentaje 3 6 3 4 2 2" xfId="35334" xr:uid="{00000000-0005-0000-0000-0000AF8B0000}"/>
    <cellStyle name="Porcentaje 3 6 3 4 3" xfId="25477" xr:uid="{00000000-0005-0000-0000-0000B08B0000}"/>
    <cellStyle name="Porcentaje 3 6 3 5" xfId="10691" xr:uid="{00000000-0005-0000-0000-0000B18B0000}"/>
    <cellStyle name="Porcentaje 3 6 3 5 2" xfId="30406" xr:uid="{00000000-0005-0000-0000-0000B28B0000}"/>
    <cellStyle name="Porcentaje 3 6 3 6" xfId="20549" xr:uid="{00000000-0005-0000-0000-0000B38B0000}"/>
    <cellStyle name="Porcentaje 3 6 4" xfId="1440" xr:uid="{00000000-0005-0000-0000-0000B48B0000}"/>
    <cellStyle name="Porcentaje 3 6 4 2" xfId="3907" xr:uid="{00000000-0005-0000-0000-0000B58B0000}"/>
    <cellStyle name="Porcentaje 3 6 4 2 2" xfId="8839" xr:uid="{00000000-0005-0000-0000-0000B68B0000}"/>
    <cellStyle name="Porcentaje 3 6 4 2 2 2" xfId="18699" xr:uid="{00000000-0005-0000-0000-0000B78B0000}"/>
    <cellStyle name="Porcentaje 3 6 4 2 2 2 2" xfId="38414" xr:uid="{00000000-0005-0000-0000-0000B88B0000}"/>
    <cellStyle name="Porcentaje 3 6 4 2 2 3" xfId="28557" xr:uid="{00000000-0005-0000-0000-0000B98B0000}"/>
    <cellStyle name="Porcentaje 3 6 4 2 3" xfId="13771" xr:uid="{00000000-0005-0000-0000-0000BA8B0000}"/>
    <cellStyle name="Porcentaje 3 6 4 2 3 2" xfId="33486" xr:uid="{00000000-0005-0000-0000-0000BB8B0000}"/>
    <cellStyle name="Porcentaje 3 6 4 2 4" xfId="23629" xr:uid="{00000000-0005-0000-0000-0000BC8B0000}"/>
    <cellStyle name="Porcentaje 3 6 4 3" xfId="6375" xr:uid="{00000000-0005-0000-0000-0000BD8B0000}"/>
    <cellStyle name="Porcentaje 3 6 4 3 2" xfId="16235" xr:uid="{00000000-0005-0000-0000-0000BE8B0000}"/>
    <cellStyle name="Porcentaje 3 6 4 3 2 2" xfId="35950" xr:uid="{00000000-0005-0000-0000-0000BF8B0000}"/>
    <cellStyle name="Porcentaje 3 6 4 3 3" xfId="26093" xr:uid="{00000000-0005-0000-0000-0000C08B0000}"/>
    <cellStyle name="Porcentaje 3 6 4 4" xfId="11307" xr:uid="{00000000-0005-0000-0000-0000C18B0000}"/>
    <cellStyle name="Porcentaje 3 6 4 4 2" xfId="31022" xr:uid="{00000000-0005-0000-0000-0000C28B0000}"/>
    <cellStyle name="Porcentaje 3 6 4 5" xfId="21165" xr:uid="{00000000-0005-0000-0000-0000C38B0000}"/>
    <cellStyle name="Porcentaje 3 6 5" xfId="2675" xr:uid="{00000000-0005-0000-0000-0000C48B0000}"/>
    <cellStyle name="Porcentaje 3 6 5 2" xfId="7607" xr:uid="{00000000-0005-0000-0000-0000C58B0000}"/>
    <cellStyle name="Porcentaje 3 6 5 2 2" xfId="17467" xr:uid="{00000000-0005-0000-0000-0000C68B0000}"/>
    <cellStyle name="Porcentaje 3 6 5 2 2 2" xfId="37182" xr:uid="{00000000-0005-0000-0000-0000C78B0000}"/>
    <cellStyle name="Porcentaje 3 6 5 2 3" xfId="27325" xr:uid="{00000000-0005-0000-0000-0000C88B0000}"/>
    <cellStyle name="Porcentaje 3 6 5 3" xfId="12539" xr:uid="{00000000-0005-0000-0000-0000C98B0000}"/>
    <cellStyle name="Porcentaje 3 6 5 3 2" xfId="32254" xr:uid="{00000000-0005-0000-0000-0000CA8B0000}"/>
    <cellStyle name="Porcentaje 3 6 5 4" xfId="22397" xr:uid="{00000000-0005-0000-0000-0000CB8B0000}"/>
    <cellStyle name="Porcentaje 3 6 6" xfId="5143" xr:uid="{00000000-0005-0000-0000-0000CC8B0000}"/>
    <cellStyle name="Porcentaje 3 6 6 2" xfId="15003" xr:uid="{00000000-0005-0000-0000-0000CD8B0000}"/>
    <cellStyle name="Porcentaje 3 6 6 2 2" xfId="34718" xr:uid="{00000000-0005-0000-0000-0000CE8B0000}"/>
    <cellStyle name="Porcentaje 3 6 6 3" xfId="24861" xr:uid="{00000000-0005-0000-0000-0000CF8B0000}"/>
    <cellStyle name="Porcentaje 3 6 7" xfId="10075" xr:uid="{00000000-0005-0000-0000-0000D08B0000}"/>
    <cellStyle name="Porcentaje 3 6 7 2" xfId="29790" xr:uid="{00000000-0005-0000-0000-0000D18B0000}"/>
    <cellStyle name="Porcentaje 3 6 8" xfId="19933" xr:uid="{00000000-0005-0000-0000-0000D28B0000}"/>
    <cellStyle name="Porcentaje 3 7" xfId="355" xr:uid="{00000000-0005-0000-0000-0000D38B0000}"/>
    <cellStyle name="Porcentaje 3 7 2" xfId="975" xr:uid="{00000000-0005-0000-0000-0000D48B0000}"/>
    <cellStyle name="Porcentaje 3 7 2 2" xfId="2210" xr:uid="{00000000-0005-0000-0000-0000D58B0000}"/>
    <cellStyle name="Porcentaje 3 7 2 2 2" xfId="4677" xr:uid="{00000000-0005-0000-0000-0000D68B0000}"/>
    <cellStyle name="Porcentaje 3 7 2 2 2 2" xfId="9609" xr:uid="{00000000-0005-0000-0000-0000D78B0000}"/>
    <cellStyle name="Porcentaje 3 7 2 2 2 2 2" xfId="19469" xr:uid="{00000000-0005-0000-0000-0000D88B0000}"/>
    <cellStyle name="Porcentaje 3 7 2 2 2 2 2 2" xfId="39184" xr:uid="{00000000-0005-0000-0000-0000D98B0000}"/>
    <cellStyle name="Porcentaje 3 7 2 2 2 2 3" xfId="29327" xr:uid="{00000000-0005-0000-0000-0000DA8B0000}"/>
    <cellStyle name="Porcentaje 3 7 2 2 2 3" xfId="14541" xr:uid="{00000000-0005-0000-0000-0000DB8B0000}"/>
    <cellStyle name="Porcentaje 3 7 2 2 2 3 2" xfId="34256" xr:uid="{00000000-0005-0000-0000-0000DC8B0000}"/>
    <cellStyle name="Porcentaje 3 7 2 2 2 4" xfId="24399" xr:uid="{00000000-0005-0000-0000-0000DD8B0000}"/>
    <cellStyle name="Porcentaje 3 7 2 2 3" xfId="7145" xr:uid="{00000000-0005-0000-0000-0000DE8B0000}"/>
    <cellStyle name="Porcentaje 3 7 2 2 3 2" xfId="17005" xr:uid="{00000000-0005-0000-0000-0000DF8B0000}"/>
    <cellStyle name="Porcentaje 3 7 2 2 3 2 2" xfId="36720" xr:uid="{00000000-0005-0000-0000-0000E08B0000}"/>
    <cellStyle name="Porcentaje 3 7 2 2 3 3" xfId="26863" xr:uid="{00000000-0005-0000-0000-0000E18B0000}"/>
    <cellStyle name="Porcentaje 3 7 2 2 4" xfId="12077" xr:uid="{00000000-0005-0000-0000-0000E28B0000}"/>
    <cellStyle name="Porcentaje 3 7 2 2 4 2" xfId="31792" xr:uid="{00000000-0005-0000-0000-0000E38B0000}"/>
    <cellStyle name="Porcentaje 3 7 2 2 5" xfId="21935" xr:uid="{00000000-0005-0000-0000-0000E48B0000}"/>
    <cellStyle name="Porcentaje 3 7 2 3" xfId="3445" xr:uid="{00000000-0005-0000-0000-0000E58B0000}"/>
    <cellStyle name="Porcentaje 3 7 2 3 2" xfId="8377" xr:uid="{00000000-0005-0000-0000-0000E68B0000}"/>
    <cellStyle name="Porcentaje 3 7 2 3 2 2" xfId="18237" xr:uid="{00000000-0005-0000-0000-0000E78B0000}"/>
    <cellStyle name="Porcentaje 3 7 2 3 2 2 2" xfId="37952" xr:uid="{00000000-0005-0000-0000-0000E88B0000}"/>
    <cellStyle name="Porcentaje 3 7 2 3 2 3" xfId="28095" xr:uid="{00000000-0005-0000-0000-0000E98B0000}"/>
    <cellStyle name="Porcentaje 3 7 2 3 3" xfId="13309" xr:uid="{00000000-0005-0000-0000-0000EA8B0000}"/>
    <cellStyle name="Porcentaje 3 7 2 3 3 2" xfId="33024" xr:uid="{00000000-0005-0000-0000-0000EB8B0000}"/>
    <cellStyle name="Porcentaje 3 7 2 3 4" xfId="23167" xr:uid="{00000000-0005-0000-0000-0000EC8B0000}"/>
    <cellStyle name="Porcentaje 3 7 2 4" xfId="5913" xr:uid="{00000000-0005-0000-0000-0000ED8B0000}"/>
    <cellStyle name="Porcentaje 3 7 2 4 2" xfId="15773" xr:uid="{00000000-0005-0000-0000-0000EE8B0000}"/>
    <cellStyle name="Porcentaje 3 7 2 4 2 2" xfId="35488" xr:uid="{00000000-0005-0000-0000-0000EF8B0000}"/>
    <cellStyle name="Porcentaje 3 7 2 4 3" xfId="25631" xr:uid="{00000000-0005-0000-0000-0000F08B0000}"/>
    <cellStyle name="Porcentaje 3 7 2 5" xfId="10845" xr:uid="{00000000-0005-0000-0000-0000F18B0000}"/>
    <cellStyle name="Porcentaje 3 7 2 5 2" xfId="30560" xr:uid="{00000000-0005-0000-0000-0000F28B0000}"/>
    <cellStyle name="Porcentaje 3 7 2 6" xfId="20703" xr:uid="{00000000-0005-0000-0000-0000F38B0000}"/>
    <cellStyle name="Porcentaje 3 7 3" xfId="1594" xr:uid="{00000000-0005-0000-0000-0000F48B0000}"/>
    <cellStyle name="Porcentaje 3 7 3 2" xfId="4061" xr:uid="{00000000-0005-0000-0000-0000F58B0000}"/>
    <cellStyle name="Porcentaje 3 7 3 2 2" xfId="8993" xr:uid="{00000000-0005-0000-0000-0000F68B0000}"/>
    <cellStyle name="Porcentaje 3 7 3 2 2 2" xfId="18853" xr:uid="{00000000-0005-0000-0000-0000F78B0000}"/>
    <cellStyle name="Porcentaje 3 7 3 2 2 2 2" xfId="38568" xr:uid="{00000000-0005-0000-0000-0000F88B0000}"/>
    <cellStyle name="Porcentaje 3 7 3 2 2 3" xfId="28711" xr:uid="{00000000-0005-0000-0000-0000F98B0000}"/>
    <cellStyle name="Porcentaje 3 7 3 2 3" xfId="13925" xr:uid="{00000000-0005-0000-0000-0000FA8B0000}"/>
    <cellStyle name="Porcentaje 3 7 3 2 3 2" xfId="33640" xr:uid="{00000000-0005-0000-0000-0000FB8B0000}"/>
    <cellStyle name="Porcentaje 3 7 3 2 4" xfId="23783" xr:uid="{00000000-0005-0000-0000-0000FC8B0000}"/>
    <cellStyle name="Porcentaje 3 7 3 3" xfId="6529" xr:uid="{00000000-0005-0000-0000-0000FD8B0000}"/>
    <cellStyle name="Porcentaje 3 7 3 3 2" xfId="16389" xr:uid="{00000000-0005-0000-0000-0000FE8B0000}"/>
    <cellStyle name="Porcentaje 3 7 3 3 2 2" xfId="36104" xr:uid="{00000000-0005-0000-0000-0000FF8B0000}"/>
    <cellStyle name="Porcentaje 3 7 3 3 3" xfId="26247" xr:uid="{00000000-0005-0000-0000-0000008C0000}"/>
    <cellStyle name="Porcentaje 3 7 3 4" xfId="11461" xr:uid="{00000000-0005-0000-0000-0000018C0000}"/>
    <cellStyle name="Porcentaje 3 7 3 4 2" xfId="31176" xr:uid="{00000000-0005-0000-0000-0000028C0000}"/>
    <cellStyle name="Porcentaje 3 7 3 5" xfId="21319" xr:uid="{00000000-0005-0000-0000-0000038C0000}"/>
    <cellStyle name="Porcentaje 3 7 4" xfId="2829" xr:uid="{00000000-0005-0000-0000-0000048C0000}"/>
    <cellStyle name="Porcentaje 3 7 4 2" xfId="7761" xr:uid="{00000000-0005-0000-0000-0000058C0000}"/>
    <cellStyle name="Porcentaje 3 7 4 2 2" xfId="17621" xr:uid="{00000000-0005-0000-0000-0000068C0000}"/>
    <cellStyle name="Porcentaje 3 7 4 2 2 2" xfId="37336" xr:uid="{00000000-0005-0000-0000-0000078C0000}"/>
    <cellStyle name="Porcentaje 3 7 4 2 3" xfId="27479" xr:uid="{00000000-0005-0000-0000-0000088C0000}"/>
    <cellStyle name="Porcentaje 3 7 4 3" xfId="12693" xr:uid="{00000000-0005-0000-0000-0000098C0000}"/>
    <cellStyle name="Porcentaje 3 7 4 3 2" xfId="32408" xr:uid="{00000000-0005-0000-0000-00000A8C0000}"/>
    <cellStyle name="Porcentaje 3 7 4 4" xfId="22551" xr:uid="{00000000-0005-0000-0000-00000B8C0000}"/>
    <cellStyle name="Porcentaje 3 7 5" xfId="5297" xr:uid="{00000000-0005-0000-0000-00000C8C0000}"/>
    <cellStyle name="Porcentaje 3 7 5 2" xfId="15157" xr:uid="{00000000-0005-0000-0000-00000D8C0000}"/>
    <cellStyle name="Porcentaje 3 7 5 2 2" xfId="34872" xr:uid="{00000000-0005-0000-0000-00000E8C0000}"/>
    <cellStyle name="Porcentaje 3 7 5 3" xfId="25015" xr:uid="{00000000-0005-0000-0000-00000F8C0000}"/>
    <cellStyle name="Porcentaje 3 7 6" xfId="10229" xr:uid="{00000000-0005-0000-0000-0000108C0000}"/>
    <cellStyle name="Porcentaje 3 7 6 2" xfId="29944" xr:uid="{00000000-0005-0000-0000-0000118C0000}"/>
    <cellStyle name="Porcentaje 3 7 7" xfId="20087" xr:uid="{00000000-0005-0000-0000-0000128C0000}"/>
    <cellStyle name="Porcentaje 3 8" xfId="668" xr:uid="{00000000-0005-0000-0000-0000138C0000}"/>
    <cellStyle name="Porcentaje 3 8 2" xfId="1904" xr:uid="{00000000-0005-0000-0000-0000148C0000}"/>
    <cellStyle name="Porcentaje 3 8 2 2" xfId="4371" xr:uid="{00000000-0005-0000-0000-0000158C0000}"/>
    <cellStyle name="Porcentaje 3 8 2 2 2" xfId="9303" xr:uid="{00000000-0005-0000-0000-0000168C0000}"/>
    <cellStyle name="Porcentaje 3 8 2 2 2 2" xfId="19163" xr:uid="{00000000-0005-0000-0000-0000178C0000}"/>
    <cellStyle name="Porcentaje 3 8 2 2 2 2 2" xfId="38878" xr:uid="{00000000-0005-0000-0000-0000188C0000}"/>
    <cellStyle name="Porcentaje 3 8 2 2 2 3" xfId="29021" xr:uid="{00000000-0005-0000-0000-0000198C0000}"/>
    <cellStyle name="Porcentaje 3 8 2 2 3" xfId="14235" xr:uid="{00000000-0005-0000-0000-00001A8C0000}"/>
    <cellStyle name="Porcentaje 3 8 2 2 3 2" xfId="33950" xr:uid="{00000000-0005-0000-0000-00001B8C0000}"/>
    <cellStyle name="Porcentaje 3 8 2 2 4" xfId="24093" xr:uid="{00000000-0005-0000-0000-00001C8C0000}"/>
    <cellStyle name="Porcentaje 3 8 2 3" xfId="6839" xr:uid="{00000000-0005-0000-0000-00001D8C0000}"/>
    <cellStyle name="Porcentaje 3 8 2 3 2" xfId="16699" xr:uid="{00000000-0005-0000-0000-00001E8C0000}"/>
    <cellStyle name="Porcentaje 3 8 2 3 2 2" xfId="36414" xr:uid="{00000000-0005-0000-0000-00001F8C0000}"/>
    <cellStyle name="Porcentaje 3 8 2 3 3" xfId="26557" xr:uid="{00000000-0005-0000-0000-0000208C0000}"/>
    <cellStyle name="Porcentaje 3 8 2 4" xfId="11771" xr:uid="{00000000-0005-0000-0000-0000218C0000}"/>
    <cellStyle name="Porcentaje 3 8 2 4 2" xfId="31486" xr:uid="{00000000-0005-0000-0000-0000228C0000}"/>
    <cellStyle name="Porcentaje 3 8 2 5" xfId="21629" xr:uid="{00000000-0005-0000-0000-0000238C0000}"/>
    <cellStyle name="Porcentaje 3 8 3" xfId="3139" xr:uid="{00000000-0005-0000-0000-0000248C0000}"/>
    <cellStyle name="Porcentaje 3 8 3 2" xfId="8071" xr:uid="{00000000-0005-0000-0000-0000258C0000}"/>
    <cellStyle name="Porcentaje 3 8 3 2 2" xfId="17931" xr:uid="{00000000-0005-0000-0000-0000268C0000}"/>
    <cellStyle name="Porcentaje 3 8 3 2 2 2" xfId="37646" xr:uid="{00000000-0005-0000-0000-0000278C0000}"/>
    <cellStyle name="Porcentaje 3 8 3 2 3" xfId="27789" xr:uid="{00000000-0005-0000-0000-0000288C0000}"/>
    <cellStyle name="Porcentaje 3 8 3 3" xfId="13003" xr:uid="{00000000-0005-0000-0000-0000298C0000}"/>
    <cellStyle name="Porcentaje 3 8 3 3 2" xfId="32718" xr:uid="{00000000-0005-0000-0000-00002A8C0000}"/>
    <cellStyle name="Porcentaje 3 8 3 4" xfId="22861" xr:uid="{00000000-0005-0000-0000-00002B8C0000}"/>
    <cellStyle name="Porcentaje 3 8 4" xfId="5607" xr:uid="{00000000-0005-0000-0000-00002C8C0000}"/>
    <cellStyle name="Porcentaje 3 8 4 2" xfId="15467" xr:uid="{00000000-0005-0000-0000-00002D8C0000}"/>
    <cellStyle name="Porcentaje 3 8 4 2 2" xfId="35182" xr:uid="{00000000-0005-0000-0000-00002E8C0000}"/>
    <cellStyle name="Porcentaje 3 8 4 3" xfId="25325" xr:uid="{00000000-0005-0000-0000-00002F8C0000}"/>
    <cellStyle name="Porcentaje 3 8 5" xfId="10539" xr:uid="{00000000-0005-0000-0000-0000308C0000}"/>
    <cellStyle name="Porcentaje 3 8 5 2" xfId="30254" xr:uid="{00000000-0005-0000-0000-0000318C0000}"/>
    <cellStyle name="Porcentaje 3 8 6" xfId="20397" xr:uid="{00000000-0005-0000-0000-0000328C0000}"/>
    <cellStyle name="Porcentaje 3 9" xfId="1288" xr:uid="{00000000-0005-0000-0000-0000338C0000}"/>
    <cellStyle name="Porcentaje 3 9 2" xfId="3755" xr:uid="{00000000-0005-0000-0000-0000348C0000}"/>
    <cellStyle name="Porcentaje 3 9 2 2" xfId="8687" xr:uid="{00000000-0005-0000-0000-0000358C0000}"/>
    <cellStyle name="Porcentaje 3 9 2 2 2" xfId="18547" xr:uid="{00000000-0005-0000-0000-0000368C0000}"/>
    <cellStyle name="Porcentaje 3 9 2 2 2 2" xfId="38262" xr:uid="{00000000-0005-0000-0000-0000378C0000}"/>
    <cellStyle name="Porcentaje 3 9 2 2 3" xfId="28405" xr:uid="{00000000-0005-0000-0000-0000388C0000}"/>
    <cellStyle name="Porcentaje 3 9 2 3" xfId="13619" xr:uid="{00000000-0005-0000-0000-0000398C0000}"/>
    <cellStyle name="Porcentaje 3 9 2 3 2" xfId="33334" xr:uid="{00000000-0005-0000-0000-00003A8C0000}"/>
    <cellStyle name="Porcentaje 3 9 2 4" xfId="23477" xr:uid="{00000000-0005-0000-0000-00003B8C0000}"/>
    <cellStyle name="Porcentaje 3 9 3" xfId="6223" xr:uid="{00000000-0005-0000-0000-00003C8C0000}"/>
    <cellStyle name="Porcentaje 3 9 3 2" xfId="16083" xr:uid="{00000000-0005-0000-0000-00003D8C0000}"/>
    <cellStyle name="Porcentaje 3 9 3 2 2" xfId="35798" xr:uid="{00000000-0005-0000-0000-00003E8C0000}"/>
    <cellStyle name="Porcentaje 3 9 3 3" xfId="25941" xr:uid="{00000000-0005-0000-0000-00003F8C0000}"/>
    <cellStyle name="Porcentaje 3 9 4" xfId="11155" xr:uid="{00000000-0005-0000-0000-0000408C0000}"/>
    <cellStyle name="Porcentaje 3 9 4 2" xfId="30870" xr:uid="{00000000-0005-0000-0000-0000418C0000}"/>
    <cellStyle name="Porcentaje 3 9 5" xfId="21013" xr:uid="{00000000-0005-0000-0000-0000428C0000}"/>
    <cellStyle name="Porcentaje 4" xfId="18" xr:uid="{00000000-0005-0000-0000-0000438C0000}"/>
    <cellStyle name="Porcentaje 4 10" xfId="4993" xr:uid="{00000000-0005-0000-0000-0000448C0000}"/>
    <cellStyle name="Porcentaje 4 10 2" xfId="14853" xr:uid="{00000000-0005-0000-0000-0000458C0000}"/>
    <cellStyle name="Porcentaje 4 10 2 2" xfId="34568" xr:uid="{00000000-0005-0000-0000-0000468C0000}"/>
    <cellStyle name="Porcentaje 4 10 3" xfId="24711" xr:uid="{00000000-0005-0000-0000-0000478C0000}"/>
    <cellStyle name="Porcentaje 4 11" xfId="9925" xr:uid="{00000000-0005-0000-0000-0000488C0000}"/>
    <cellStyle name="Porcentaje 4 11 2" xfId="29640" xr:uid="{00000000-0005-0000-0000-0000498C0000}"/>
    <cellStyle name="Porcentaje 4 12" xfId="19783" xr:uid="{00000000-0005-0000-0000-00004A8C0000}"/>
    <cellStyle name="Porcentaje 4 2" xfId="47" xr:uid="{00000000-0005-0000-0000-00004B8C0000}"/>
    <cellStyle name="Porcentaje 4 2 10" xfId="9944" xr:uid="{00000000-0005-0000-0000-00004C8C0000}"/>
    <cellStyle name="Porcentaje 4 2 10 2" xfId="29659" xr:uid="{00000000-0005-0000-0000-00004D8C0000}"/>
    <cellStyle name="Porcentaje 4 2 11" xfId="19802" xr:uid="{00000000-0005-0000-0000-00004E8C0000}"/>
    <cellStyle name="Porcentaje 4 2 2" xfId="90" xr:uid="{00000000-0005-0000-0000-00004F8C0000}"/>
    <cellStyle name="Porcentaje 4 2 2 10" xfId="19840" xr:uid="{00000000-0005-0000-0000-0000508C0000}"/>
    <cellStyle name="Porcentaje 4 2 2 2" xfId="171" xr:uid="{00000000-0005-0000-0000-0000518C0000}"/>
    <cellStyle name="Porcentaje 4 2 2 2 2" xfId="328" xr:uid="{00000000-0005-0000-0000-0000528C0000}"/>
    <cellStyle name="Porcentaje 4 2 2 2 2 2" xfId="642" xr:uid="{00000000-0005-0000-0000-0000538C0000}"/>
    <cellStyle name="Porcentaje 4 2 2 2 2 2 2" xfId="1262" xr:uid="{00000000-0005-0000-0000-0000548C0000}"/>
    <cellStyle name="Porcentaje 4 2 2 2 2 2 2 2" xfId="2497" xr:uid="{00000000-0005-0000-0000-0000558C0000}"/>
    <cellStyle name="Porcentaje 4 2 2 2 2 2 2 2 2" xfId="4964" xr:uid="{00000000-0005-0000-0000-0000568C0000}"/>
    <cellStyle name="Porcentaje 4 2 2 2 2 2 2 2 2 2" xfId="9896" xr:uid="{00000000-0005-0000-0000-0000578C0000}"/>
    <cellStyle name="Porcentaje 4 2 2 2 2 2 2 2 2 2 2" xfId="19756" xr:uid="{00000000-0005-0000-0000-0000588C0000}"/>
    <cellStyle name="Porcentaje 4 2 2 2 2 2 2 2 2 2 2 2" xfId="39471" xr:uid="{00000000-0005-0000-0000-0000598C0000}"/>
    <cellStyle name="Porcentaje 4 2 2 2 2 2 2 2 2 2 3" xfId="29614" xr:uid="{00000000-0005-0000-0000-00005A8C0000}"/>
    <cellStyle name="Porcentaje 4 2 2 2 2 2 2 2 2 3" xfId="14828" xr:uid="{00000000-0005-0000-0000-00005B8C0000}"/>
    <cellStyle name="Porcentaje 4 2 2 2 2 2 2 2 2 3 2" xfId="34543" xr:uid="{00000000-0005-0000-0000-00005C8C0000}"/>
    <cellStyle name="Porcentaje 4 2 2 2 2 2 2 2 2 4" xfId="24686" xr:uid="{00000000-0005-0000-0000-00005D8C0000}"/>
    <cellStyle name="Porcentaje 4 2 2 2 2 2 2 2 3" xfId="7432" xr:uid="{00000000-0005-0000-0000-00005E8C0000}"/>
    <cellStyle name="Porcentaje 4 2 2 2 2 2 2 2 3 2" xfId="17292" xr:uid="{00000000-0005-0000-0000-00005F8C0000}"/>
    <cellStyle name="Porcentaje 4 2 2 2 2 2 2 2 3 2 2" xfId="37007" xr:uid="{00000000-0005-0000-0000-0000608C0000}"/>
    <cellStyle name="Porcentaje 4 2 2 2 2 2 2 2 3 3" xfId="27150" xr:uid="{00000000-0005-0000-0000-0000618C0000}"/>
    <cellStyle name="Porcentaje 4 2 2 2 2 2 2 2 4" xfId="12364" xr:uid="{00000000-0005-0000-0000-0000628C0000}"/>
    <cellStyle name="Porcentaje 4 2 2 2 2 2 2 2 4 2" xfId="32079" xr:uid="{00000000-0005-0000-0000-0000638C0000}"/>
    <cellStyle name="Porcentaje 4 2 2 2 2 2 2 2 5" xfId="22222" xr:uid="{00000000-0005-0000-0000-0000648C0000}"/>
    <cellStyle name="Porcentaje 4 2 2 2 2 2 2 3" xfId="3732" xr:uid="{00000000-0005-0000-0000-0000658C0000}"/>
    <cellStyle name="Porcentaje 4 2 2 2 2 2 2 3 2" xfId="8664" xr:uid="{00000000-0005-0000-0000-0000668C0000}"/>
    <cellStyle name="Porcentaje 4 2 2 2 2 2 2 3 2 2" xfId="18524" xr:uid="{00000000-0005-0000-0000-0000678C0000}"/>
    <cellStyle name="Porcentaje 4 2 2 2 2 2 2 3 2 2 2" xfId="38239" xr:uid="{00000000-0005-0000-0000-0000688C0000}"/>
    <cellStyle name="Porcentaje 4 2 2 2 2 2 2 3 2 3" xfId="28382" xr:uid="{00000000-0005-0000-0000-0000698C0000}"/>
    <cellStyle name="Porcentaje 4 2 2 2 2 2 2 3 3" xfId="13596" xr:uid="{00000000-0005-0000-0000-00006A8C0000}"/>
    <cellStyle name="Porcentaje 4 2 2 2 2 2 2 3 3 2" xfId="33311" xr:uid="{00000000-0005-0000-0000-00006B8C0000}"/>
    <cellStyle name="Porcentaje 4 2 2 2 2 2 2 3 4" xfId="23454" xr:uid="{00000000-0005-0000-0000-00006C8C0000}"/>
    <cellStyle name="Porcentaje 4 2 2 2 2 2 2 4" xfId="6200" xr:uid="{00000000-0005-0000-0000-00006D8C0000}"/>
    <cellStyle name="Porcentaje 4 2 2 2 2 2 2 4 2" xfId="16060" xr:uid="{00000000-0005-0000-0000-00006E8C0000}"/>
    <cellStyle name="Porcentaje 4 2 2 2 2 2 2 4 2 2" xfId="35775" xr:uid="{00000000-0005-0000-0000-00006F8C0000}"/>
    <cellStyle name="Porcentaje 4 2 2 2 2 2 2 4 3" xfId="25918" xr:uid="{00000000-0005-0000-0000-0000708C0000}"/>
    <cellStyle name="Porcentaje 4 2 2 2 2 2 2 5" xfId="11132" xr:uid="{00000000-0005-0000-0000-0000718C0000}"/>
    <cellStyle name="Porcentaje 4 2 2 2 2 2 2 5 2" xfId="30847" xr:uid="{00000000-0005-0000-0000-0000728C0000}"/>
    <cellStyle name="Porcentaje 4 2 2 2 2 2 2 6" xfId="20990" xr:uid="{00000000-0005-0000-0000-0000738C0000}"/>
    <cellStyle name="Porcentaje 4 2 2 2 2 2 3" xfId="1881" xr:uid="{00000000-0005-0000-0000-0000748C0000}"/>
    <cellStyle name="Porcentaje 4 2 2 2 2 2 3 2" xfId="4348" xr:uid="{00000000-0005-0000-0000-0000758C0000}"/>
    <cellStyle name="Porcentaje 4 2 2 2 2 2 3 2 2" xfId="9280" xr:uid="{00000000-0005-0000-0000-0000768C0000}"/>
    <cellStyle name="Porcentaje 4 2 2 2 2 2 3 2 2 2" xfId="19140" xr:uid="{00000000-0005-0000-0000-0000778C0000}"/>
    <cellStyle name="Porcentaje 4 2 2 2 2 2 3 2 2 2 2" xfId="38855" xr:uid="{00000000-0005-0000-0000-0000788C0000}"/>
    <cellStyle name="Porcentaje 4 2 2 2 2 2 3 2 2 3" xfId="28998" xr:uid="{00000000-0005-0000-0000-0000798C0000}"/>
    <cellStyle name="Porcentaje 4 2 2 2 2 2 3 2 3" xfId="14212" xr:uid="{00000000-0005-0000-0000-00007A8C0000}"/>
    <cellStyle name="Porcentaje 4 2 2 2 2 2 3 2 3 2" xfId="33927" xr:uid="{00000000-0005-0000-0000-00007B8C0000}"/>
    <cellStyle name="Porcentaje 4 2 2 2 2 2 3 2 4" xfId="24070" xr:uid="{00000000-0005-0000-0000-00007C8C0000}"/>
    <cellStyle name="Porcentaje 4 2 2 2 2 2 3 3" xfId="6816" xr:uid="{00000000-0005-0000-0000-00007D8C0000}"/>
    <cellStyle name="Porcentaje 4 2 2 2 2 2 3 3 2" xfId="16676" xr:uid="{00000000-0005-0000-0000-00007E8C0000}"/>
    <cellStyle name="Porcentaje 4 2 2 2 2 2 3 3 2 2" xfId="36391" xr:uid="{00000000-0005-0000-0000-00007F8C0000}"/>
    <cellStyle name="Porcentaje 4 2 2 2 2 2 3 3 3" xfId="26534" xr:uid="{00000000-0005-0000-0000-0000808C0000}"/>
    <cellStyle name="Porcentaje 4 2 2 2 2 2 3 4" xfId="11748" xr:uid="{00000000-0005-0000-0000-0000818C0000}"/>
    <cellStyle name="Porcentaje 4 2 2 2 2 2 3 4 2" xfId="31463" xr:uid="{00000000-0005-0000-0000-0000828C0000}"/>
    <cellStyle name="Porcentaje 4 2 2 2 2 2 3 5" xfId="21606" xr:uid="{00000000-0005-0000-0000-0000838C0000}"/>
    <cellStyle name="Porcentaje 4 2 2 2 2 2 4" xfId="3116" xr:uid="{00000000-0005-0000-0000-0000848C0000}"/>
    <cellStyle name="Porcentaje 4 2 2 2 2 2 4 2" xfId="8048" xr:uid="{00000000-0005-0000-0000-0000858C0000}"/>
    <cellStyle name="Porcentaje 4 2 2 2 2 2 4 2 2" xfId="17908" xr:uid="{00000000-0005-0000-0000-0000868C0000}"/>
    <cellStyle name="Porcentaje 4 2 2 2 2 2 4 2 2 2" xfId="37623" xr:uid="{00000000-0005-0000-0000-0000878C0000}"/>
    <cellStyle name="Porcentaje 4 2 2 2 2 2 4 2 3" xfId="27766" xr:uid="{00000000-0005-0000-0000-0000888C0000}"/>
    <cellStyle name="Porcentaje 4 2 2 2 2 2 4 3" xfId="12980" xr:uid="{00000000-0005-0000-0000-0000898C0000}"/>
    <cellStyle name="Porcentaje 4 2 2 2 2 2 4 3 2" xfId="32695" xr:uid="{00000000-0005-0000-0000-00008A8C0000}"/>
    <cellStyle name="Porcentaje 4 2 2 2 2 2 4 4" xfId="22838" xr:uid="{00000000-0005-0000-0000-00008B8C0000}"/>
    <cellStyle name="Porcentaje 4 2 2 2 2 2 5" xfId="5584" xr:uid="{00000000-0005-0000-0000-00008C8C0000}"/>
    <cellStyle name="Porcentaje 4 2 2 2 2 2 5 2" xfId="15444" xr:uid="{00000000-0005-0000-0000-00008D8C0000}"/>
    <cellStyle name="Porcentaje 4 2 2 2 2 2 5 2 2" xfId="35159" xr:uid="{00000000-0005-0000-0000-00008E8C0000}"/>
    <cellStyle name="Porcentaje 4 2 2 2 2 2 5 3" xfId="25302" xr:uid="{00000000-0005-0000-0000-00008F8C0000}"/>
    <cellStyle name="Porcentaje 4 2 2 2 2 2 6" xfId="10516" xr:uid="{00000000-0005-0000-0000-0000908C0000}"/>
    <cellStyle name="Porcentaje 4 2 2 2 2 2 6 2" xfId="30231" xr:uid="{00000000-0005-0000-0000-0000918C0000}"/>
    <cellStyle name="Porcentaje 4 2 2 2 2 2 7" xfId="20374" xr:uid="{00000000-0005-0000-0000-0000928C0000}"/>
    <cellStyle name="Porcentaje 4 2 2 2 2 3" xfId="955" xr:uid="{00000000-0005-0000-0000-0000938C0000}"/>
    <cellStyle name="Porcentaje 4 2 2 2 2 3 2" xfId="2191" xr:uid="{00000000-0005-0000-0000-0000948C0000}"/>
    <cellStyle name="Porcentaje 4 2 2 2 2 3 2 2" xfId="4658" xr:uid="{00000000-0005-0000-0000-0000958C0000}"/>
    <cellStyle name="Porcentaje 4 2 2 2 2 3 2 2 2" xfId="9590" xr:uid="{00000000-0005-0000-0000-0000968C0000}"/>
    <cellStyle name="Porcentaje 4 2 2 2 2 3 2 2 2 2" xfId="19450" xr:uid="{00000000-0005-0000-0000-0000978C0000}"/>
    <cellStyle name="Porcentaje 4 2 2 2 2 3 2 2 2 2 2" xfId="39165" xr:uid="{00000000-0005-0000-0000-0000988C0000}"/>
    <cellStyle name="Porcentaje 4 2 2 2 2 3 2 2 2 3" xfId="29308" xr:uid="{00000000-0005-0000-0000-0000998C0000}"/>
    <cellStyle name="Porcentaje 4 2 2 2 2 3 2 2 3" xfId="14522" xr:uid="{00000000-0005-0000-0000-00009A8C0000}"/>
    <cellStyle name="Porcentaje 4 2 2 2 2 3 2 2 3 2" xfId="34237" xr:uid="{00000000-0005-0000-0000-00009B8C0000}"/>
    <cellStyle name="Porcentaje 4 2 2 2 2 3 2 2 4" xfId="24380" xr:uid="{00000000-0005-0000-0000-00009C8C0000}"/>
    <cellStyle name="Porcentaje 4 2 2 2 2 3 2 3" xfId="7126" xr:uid="{00000000-0005-0000-0000-00009D8C0000}"/>
    <cellStyle name="Porcentaje 4 2 2 2 2 3 2 3 2" xfId="16986" xr:uid="{00000000-0005-0000-0000-00009E8C0000}"/>
    <cellStyle name="Porcentaje 4 2 2 2 2 3 2 3 2 2" xfId="36701" xr:uid="{00000000-0005-0000-0000-00009F8C0000}"/>
    <cellStyle name="Porcentaje 4 2 2 2 2 3 2 3 3" xfId="26844" xr:uid="{00000000-0005-0000-0000-0000A08C0000}"/>
    <cellStyle name="Porcentaje 4 2 2 2 2 3 2 4" xfId="12058" xr:uid="{00000000-0005-0000-0000-0000A18C0000}"/>
    <cellStyle name="Porcentaje 4 2 2 2 2 3 2 4 2" xfId="31773" xr:uid="{00000000-0005-0000-0000-0000A28C0000}"/>
    <cellStyle name="Porcentaje 4 2 2 2 2 3 2 5" xfId="21916" xr:uid="{00000000-0005-0000-0000-0000A38C0000}"/>
    <cellStyle name="Porcentaje 4 2 2 2 2 3 3" xfId="3426" xr:uid="{00000000-0005-0000-0000-0000A48C0000}"/>
    <cellStyle name="Porcentaje 4 2 2 2 2 3 3 2" xfId="8358" xr:uid="{00000000-0005-0000-0000-0000A58C0000}"/>
    <cellStyle name="Porcentaje 4 2 2 2 2 3 3 2 2" xfId="18218" xr:uid="{00000000-0005-0000-0000-0000A68C0000}"/>
    <cellStyle name="Porcentaje 4 2 2 2 2 3 3 2 2 2" xfId="37933" xr:uid="{00000000-0005-0000-0000-0000A78C0000}"/>
    <cellStyle name="Porcentaje 4 2 2 2 2 3 3 2 3" xfId="28076" xr:uid="{00000000-0005-0000-0000-0000A88C0000}"/>
    <cellStyle name="Porcentaje 4 2 2 2 2 3 3 3" xfId="13290" xr:uid="{00000000-0005-0000-0000-0000A98C0000}"/>
    <cellStyle name="Porcentaje 4 2 2 2 2 3 3 3 2" xfId="33005" xr:uid="{00000000-0005-0000-0000-0000AA8C0000}"/>
    <cellStyle name="Porcentaje 4 2 2 2 2 3 3 4" xfId="23148" xr:uid="{00000000-0005-0000-0000-0000AB8C0000}"/>
    <cellStyle name="Porcentaje 4 2 2 2 2 3 4" xfId="5894" xr:uid="{00000000-0005-0000-0000-0000AC8C0000}"/>
    <cellStyle name="Porcentaje 4 2 2 2 2 3 4 2" xfId="15754" xr:uid="{00000000-0005-0000-0000-0000AD8C0000}"/>
    <cellStyle name="Porcentaje 4 2 2 2 2 3 4 2 2" xfId="35469" xr:uid="{00000000-0005-0000-0000-0000AE8C0000}"/>
    <cellStyle name="Porcentaje 4 2 2 2 2 3 4 3" xfId="25612" xr:uid="{00000000-0005-0000-0000-0000AF8C0000}"/>
    <cellStyle name="Porcentaje 4 2 2 2 2 3 5" xfId="10826" xr:uid="{00000000-0005-0000-0000-0000B08C0000}"/>
    <cellStyle name="Porcentaje 4 2 2 2 2 3 5 2" xfId="30541" xr:uid="{00000000-0005-0000-0000-0000B18C0000}"/>
    <cellStyle name="Porcentaje 4 2 2 2 2 3 6" xfId="20684" xr:uid="{00000000-0005-0000-0000-0000B28C0000}"/>
    <cellStyle name="Porcentaje 4 2 2 2 2 4" xfId="1575" xr:uid="{00000000-0005-0000-0000-0000B38C0000}"/>
    <cellStyle name="Porcentaje 4 2 2 2 2 4 2" xfId="4042" xr:uid="{00000000-0005-0000-0000-0000B48C0000}"/>
    <cellStyle name="Porcentaje 4 2 2 2 2 4 2 2" xfId="8974" xr:uid="{00000000-0005-0000-0000-0000B58C0000}"/>
    <cellStyle name="Porcentaje 4 2 2 2 2 4 2 2 2" xfId="18834" xr:uid="{00000000-0005-0000-0000-0000B68C0000}"/>
    <cellStyle name="Porcentaje 4 2 2 2 2 4 2 2 2 2" xfId="38549" xr:uid="{00000000-0005-0000-0000-0000B78C0000}"/>
    <cellStyle name="Porcentaje 4 2 2 2 2 4 2 2 3" xfId="28692" xr:uid="{00000000-0005-0000-0000-0000B88C0000}"/>
    <cellStyle name="Porcentaje 4 2 2 2 2 4 2 3" xfId="13906" xr:uid="{00000000-0005-0000-0000-0000B98C0000}"/>
    <cellStyle name="Porcentaje 4 2 2 2 2 4 2 3 2" xfId="33621" xr:uid="{00000000-0005-0000-0000-0000BA8C0000}"/>
    <cellStyle name="Porcentaje 4 2 2 2 2 4 2 4" xfId="23764" xr:uid="{00000000-0005-0000-0000-0000BB8C0000}"/>
    <cellStyle name="Porcentaje 4 2 2 2 2 4 3" xfId="6510" xr:uid="{00000000-0005-0000-0000-0000BC8C0000}"/>
    <cellStyle name="Porcentaje 4 2 2 2 2 4 3 2" xfId="16370" xr:uid="{00000000-0005-0000-0000-0000BD8C0000}"/>
    <cellStyle name="Porcentaje 4 2 2 2 2 4 3 2 2" xfId="36085" xr:uid="{00000000-0005-0000-0000-0000BE8C0000}"/>
    <cellStyle name="Porcentaje 4 2 2 2 2 4 3 3" xfId="26228" xr:uid="{00000000-0005-0000-0000-0000BF8C0000}"/>
    <cellStyle name="Porcentaje 4 2 2 2 2 4 4" xfId="11442" xr:uid="{00000000-0005-0000-0000-0000C08C0000}"/>
    <cellStyle name="Porcentaje 4 2 2 2 2 4 4 2" xfId="31157" xr:uid="{00000000-0005-0000-0000-0000C18C0000}"/>
    <cellStyle name="Porcentaje 4 2 2 2 2 4 5" xfId="21300" xr:uid="{00000000-0005-0000-0000-0000C28C0000}"/>
    <cellStyle name="Porcentaje 4 2 2 2 2 5" xfId="2810" xr:uid="{00000000-0005-0000-0000-0000C38C0000}"/>
    <cellStyle name="Porcentaje 4 2 2 2 2 5 2" xfId="7742" xr:uid="{00000000-0005-0000-0000-0000C48C0000}"/>
    <cellStyle name="Porcentaje 4 2 2 2 2 5 2 2" xfId="17602" xr:uid="{00000000-0005-0000-0000-0000C58C0000}"/>
    <cellStyle name="Porcentaje 4 2 2 2 2 5 2 2 2" xfId="37317" xr:uid="{00000000-0005-0000-0000-0000C68C0000}"/>
    <cellStyle name="Porcentaje 4 2 2 2 2 5 2 3" xfId="27460" xr:uid="{00000000-0005-0000-0000-0000C78C0000}"/>
    <cellStyle name="Porcentaje 4 2 2 2 2 5 3" xfId="12674" xr:uid="{00000000-0005-0000-0000-0000C88C0000}"/>
    <cellStyle name="Porcentaje 4 2 2 2 2 5 3 2" xfId="32389" xr:uid="{00000000-0005-0000-0000-0000C98C0000}"/>
    <cellStyle name="Porcentaje 4 2 2 2 2 5 4" xfId="22532" xr:uid="{00000000-0005-0000-0000-0000CA8C0000}"/>
    <cellStyle name="Porcentaje 4 2 2 2 2 6" xfId="5278" xr:uid="{00000000-0005-0000-0000-0000CB8C0000}"/>
    <cellStyle name="Porcentaje 4 2 2 2 2 6 2" xfId="15138" xr:uid="{00000000-0005-0000-0000-0000CC8C0000}"/>
    <cellStyle name="Porcentaje 4 2 2 2 2 6 2 2" xfId="34853" xr:uid="{00000000-0005-0000-0000-0000CD8C0000}"/>
    <cellStyle name="Porcentaje 4 2 2 2 2 6 3" xfId="24996" xr:uid="{00000000-0005-0000-0000-0000CE8C0000}"/>
    <cellStyle name="Porcentaje 4 2 2 2 2 7" xfId="10210" xr:uid="{00000000-0005-0000-0000-0000CF8C0000}"/>
    <cellStyle name="Porcentaje 4 2 2 2 2 7 2" xfId="29925" xr:uid="{00000000-0005-0000-0000-0000D08C0000}"/>
    <cellStyle name="Porcentaje 4 2 2 2 2 8" xfId="20068" xr:uid="{00000000-0005-0000-0000-0000D18C0000}"/>
    <cellStyle name="Porcentaje 4 2 2 2 3" xfId="490" xr:uid="{00000000-0005-0000-0000-0000D28C0000}"/>
    <cellStyle name="Porcentaje 4 2 2 2 3 2" xfId="1110" xr:uid="{00000000-0005-0000-0000-0000D38C0000}"/>
    <cellStyle name="Porcentaje 4 2 2 2 3 2 2" xfId="2345" xr:uid="{00000000-0005-0000-0000-0000D48C0000}"/>
    <cellStyle name="Porcentaje 4 2 2 2 3 2 2 2" xfId="4812" xr:uid="{00000000-0005-0000-0000-0000D58C0000}"/>
    <cellStyle name="Porcentaje 4 2 2 2 3 2 2 2 2" xfId="9744" xr:uid="{00000000-0005-0000-0000-0000D68C0000}"/>
    <cellStyle name="Porcentaje 4 2 2 2 3 2 2 2 2 2" xfId="19604" xr:uid="{00000000-0005-0000-0000-0000D78C0000}"/>
    <cellStyle name="Porcentaje 4 2 2 2 3 2 2 2 2 2 2" xfId="39319" xr:uid="{00000000-0005-0000-0000-0000D88C0000}"/>
    <cellStyle name="Porcentaje 4 2 2 2 3 2 2 2 2 3" xfId="29462" xr:uid="{00000000-0005-0000-0000-0000D98C0000}"/>
    <cellStyle name="Porcentaje 4 2 2 2 3 2 2 2 3" xfId="14676" xr:uid="{00000000-0005-0000-0000-0000DA8C0000}"/>
    <cellStyle name="Porcentaje 4 2 2 2 3 2 2 2 3 2" xfId="34391" xr:uid="{00000000-0005-0000-0000-0000DB8C0000}"/>
    <cellStyle name="Porcentaje 4 2 2 2 3 2 2 2 4" xfId="24534" xr:uid="{00000000-0005-0000-0000-0000DC8C0000}"/>
    <cellStyle name="Porcentaje 4 2 2 2 3 2 2 3" xfId="7280" xr:uid="{00000000-0005-0000-0000-0000DD8C0000}"/>
    <cellStyle name="Porcentaje 4 2 2 2 3 2 2 3 2" xfId="17140" xr:uid="{00000000-0005-0000-0000-0000DE8C0000}"/>
    <cellStyle name="Porcentaje 4 2 2 2 3 2 2 3 2 2" xfId="36855" xr:uid="{00000000-0005-0000-0000-0000DF8C0000}"/>
    <cellStyle name="Porcentaje 4 2 2 2 3 2 2 3 3" xfId="26998" xr:uid="{00000000-0005-0000-0000-0000E08C0000}"/>
    <cellStyle name="Porcentaje 4 2 2 2 3 2 2 4" xfId="12212" xr:uid="{00000000-0005-0000-0000-0000E18C0000}"/>
    <cellStyle name="Porcentaje 4 2 2 2 3 2 2 4 2" xfId="31927" xr:uid="{00000000-0005-0000-0000-0000E28C0000}"/>
    <cellStyle name="Porcentaje 4 2 2 2 3 2 2 5" xfId="22070" xr:uid="{00000000-0005-0000-0000-0000E38C0000}"/>
    <cellStyle name="Porcentaje 4 2 2 2 3 2 3" xfId="3580" xr:uid="{00000000-0005-0000-0000-0000E48C0000}"/>
    <cellStyle name="Porcentaje 4 2 2 2 3 2 3 2" xfId="8512" xr:uid="{00000000-0005-0000-0000-0000E58C0000}"/>
    <cellStyle name="Porcentaje 4 2 2 2 3 2 3 2 2" xfId="18372" xr:uid="{00000000-0005-0000-0000-0000E68C0000}"/>
    <cellStyle name="Porcentaje 4 2 2 2 3 2 3 2 2 2" xfId="38087" xr:uid="{00000000-0005-0000-0000-0000E78C0000}"/>
    <cellStyle name="Porcentaje 4 2 2 2 3 2 3 2 3" xfId="28230" xr:uid="{00000000-0005-0000-0000-0000E88C0000}"/>
    <cellStyle name="Porcentaje 4 2 2 2 3 2 3 3" xfId="13444" xr:uid="{00000000-0005-0000-0000-0000E98C0000}"/>
    <cellStyle name="Porcentaje 4 2 2 2 3 2 3 3 2" xfId="33159" xr:uid="{00000000-0005-0000-0000-0000EA8C0000}"/>
    <cellStyle name="Porcentaje 4 2 2 2 3 2 3 4" xfId="23302" xr:uid="{00000000-0005-0000-0000-0000EB8C0000}"/>
    <cellStyle name="Porcentaje 4 2 2 2 3 2 4" xfId="6048" xr:uid="{00000000-0005-0000-0000-0000EC8C0000}"/>
    <cellStyle name="Porcentaje 4 2 2 2 3 2 4 2" xfId="15908" xr:uid="{00000000-0005-0000-0000-0000ED8C0000}"/>
    <cellStyle name="Porcentaje 4 2 2 2 3 2 4 2 2" xfId="35623" xr:uid="{00000000-0005-0000-0000-0000EE8C0000}"/>
    <cellStyle name="Porcentaje 4 2 2 2 3 2 4 3" xfId="25766" xr:uid="{00000000-0005-0000-0000-0000EF8C0000}"/>
    <cellStyle name="Porcentaje 4 2 2 2 3 2 5" xfId="10980" xr:uid="{00000000-0005-0000-0000-0000F08C0000}"/>
    <cellStyle name="Porcentaje 4 2 2 2 3 2 5 2" xfId="30695" xr:uid="{00000000-0005-0000-0000-0000F18C0000}"/>
    <cellStyle name="Porcentaje 4 2 2 2 3 2 6" xfId="20838" xr:uid="{00000000-0005-0000-0000-0000F28C0000}"/>
    <cellStyle name="Porcentaje 4 2 2 2 3 3" xfId="1729" xr:uid="{00000000-0005-0000-0000-0000F38C0000}"/>
    <cellStyle name="Porcentaje 4 2 2 2 3 3 2" xfId="4196" xr:uid="{00000000-0005-0000-0000-0000F48C0000}"/>
    <cellStyle name="Porcentaje 4 2 2 2 3 3 2 2" xfId="9128" xr:uid="{00000000-0005-0000-0000-0000F58C0000}"/>
    <cellStyle name="Porcentaje 4 2 2 2 3 3 2 2 2" xfId="18988" xr:uid="{00000000-0005-0000-0000-0000F68C0000}"/>
    <cellStyle name="Porcentaje 4 2 2 2 3 3 2 2 2 2" xfId="38703" xr:uid="{00000000-0005-0000-0000-0000F78C0000}"/>
    <cellStyle name="Porcentaje 4 2 2 2 3 3 2 2 3" xfId="28846" xr:uid="{00000000-0005-0000-0000-0000F88C0000}"/>
    <cellStyle name="Porcentaje 4 2 2 2 3 3 2 3" xfId="14060" xr:uid="{00000000-0005-0000-0000-0000F98C0000}"/>
    <cellStyle name="Porcentaje 4 2 2 2 3 3 2 3 2" xfId="33775" xr:uid="{00000000-0005-0000-0000-0000FA8C0000}"/>
    <cellStyle name="Porcentaje 4 2 2 2 3 3 2 4" xfId="23918" xr:uid="{00000000-0005-0000-0000-0000FB8C0000}"/>
    <cellStyle name="Porcentaje 4 2 2 2 3 3 3" xfId="6664" xr:uid="{00000000-0005-0000-0000-0000FC8C0000}"/>
    <cellStyle name="Porcentaje 4 2 2 2 3 3 3 2" xfId="16524" xr:uid="{00000000-0005-0000-0000-0000FD8C0000}"/>
    <cellStyle name="Porcentaje 4 2 2 2 3 3 3 2 2" xfId="36239" xr:uid="{00000000-0005-0000-0000-0000FE8C0000}"/>
    <cellStyle name="Porcentaje 4 2 2 2 3 3 3 3" xfId="26382" xr:uid="{00000000-0005-0000-0000-0000FF8C0000}"/>
    <cellStyle name="Porcentaje 4 2 2 2 3 3 4" xfId="11596" xr:uid="{00000000-0005-0000-0000-0000008D0000}"/>
    <cellStyle name="Porcentaje 4 2 2 2 3 3 4 2" xfId="31311" xr:uid="{00000000-0005-0000-0000-0000018D0000}"/>
    <cellStyle name="Porcentaje 4 2 2 2 3 3 5" xfId="21454" xr:uid="{00000000-0005-0000-0000-0000028D0000}"/>
    <cellStyle name="Porcentaje 4 2 2 2 3 4" xfId="2964" xr:uid="{00000000-0005-0000-0000-0000038D0000}"/>
    <cellStyle name="Porcentaje 4 2 2 2 3 4 2" xfId="7896" xr:uid="{00000000-0005-0000-0000-0000048D0000}"/>
    <cellStyle name="Porcentaje 4 2 2 2 3 4 2 2" xfId="17756" xr:uid="{00000000-0005-0000-0000-0000058D0000}"/>
    <cellStyle name="Porcentaje 4 2 2 2 3 4 2 2 2" xfId="37471" xr:uid="{00000000-0005-0000-0000-0000068D0000}"/>
    <cellStyle name="Porcentaje 4 2 2 2 3 4 2 3" xfId="27614" xr:uid="{00000000-0005-0000-0000-0000078D0000}"/>
    <cellStyle name="Porcentaje 4 2 2 2 3 4 3" xfId="12828" xr:uid="{00000000-0005-0000-0000-0000088D0000}"/>
    <cellStyle name="Porcentaje 4 2 2 2 3 4 3 2" xfId="32543" xr:uid="{00000000-0005-0000-0000-0000098D0000}"/>
    <cellStyle name="Porcentaje 4 2 2 2 3 4 4" xfId="22686" xr:uid="{00000000-0005-0000-0000-00000A8D0000}"/>
    <cellStyle name="Porcentaje 4 2 2 2 3 5" xfId="5432" xr:uid="{00000000-0005-0000-0000-00000B8D0000}"/>
    <cellStyle name="Porcentaje 4 2 2 2 3 5 2" xfId="15292" xr:uid="{00000000-0005-0000-0000-00000C8D0000}"/>
    <cellStyle name="Porcentaje 4 2 2 2 3 5 2 2" xfId="35007" xr:uid="{00000000-0005-0000-0000-00000D8D0000}"/>
    <cellStyle name="Porcentaje 4 2 2 2 3 5 3" xfId="25150" xr:uid="{00000000-0005-0000-0000-00000E8D0000}"/>
    <cellStyle name="Porcentaje 4 2 2 2 3 6" xfId="10364" xr:uid="{00000000-0005-0000-0000-00000F8D0000}"/>
    <cellStyle name="Porcentaje 4 2 2 2 3 6 2" xfId="30079" xr:uid="{00000000-0005-0000-0000-0000108D0000}"/>
    <cellStyle name="Porcentaje 4 2 2 2 3 7" xfId="20222" xr:uid="{00000000-0005-0000-0000-0000118D0000}"/>
    <cellStyle name="Porcentaje 4 2 2 2 4" xfId="803" xr:uid="{00000000-0005-0000-0000-0000128D0000}"/>
    <cellStyle name="Porcentaje 4 2 2 2 4 2" xfId="2039" xr:uid="{00000000-0005-0000-0000-0000138D0000}"/>
    <cellStyle name="Porcentaje 4 2 2 2 4 2 2" xfId="4506" xr:uid="{00000000-0005-0000-0000-0000148D0000}"/>
    <cellStyle name="Porcentaje 4 2 2 2 4 2 2 2" xfId="9438" xr:uid="{00000000-0005-0000-0000-0000158D0000}"/>
    <cellStyle name="Porcentaje 4 2 2 2 4 2 2 2 2" xfId="19298" xr:uid="{00000000-0005-0000-0000-0000168D0000}"/>
    <cellStyle name="Porcentaje 4 2 2 2 4 2 2 2 2 2" xfId="39013" xr:uid="{00000000-0005-0000-0000-0000178D0000}"/>
    <cellStyle name="Porcentaje 4 2 2 2 4 2 2 2 3" xfId="29156" xr:uid="{00000000-0005-0000-0000-0000188D0000}"/>
    <cellStyle name="Porcentaje 4 2 2 2 4 2 2 3" xfId="14370" xr:uid="{00000000-0005-0000-0000-0000198D0000}"/>
    <cellStyle name="Porcentaje 4 2 2 2 4 2 2 3 2" xfId="34085" xr:uid="{00000000-0005-0000-0000-00001A8D0000}"/>
    <cellStyle name="Porcentaje 4 2 2 2 4 2 2 4" xfId="24228" xr:uid="{00000000-0005-0000-0000-00001B8D0000}"/>
    <cellStyle name="Porcentaje 4 2 2 2 4 2 3" xfId="6974" xr:uid="{00000000-0005-0000-0000-00001C8D0000}"/>
    <cellStyle name="Porcentaje 4 2 2 2 4 2 3 2" xfId="16834" xr:uid="{00000000-0005-0000-0000-00001D8D0000}"/>
    <cellStyle name="Porcentaje 4 2 2 2 4 2 3 2 2" xfId="36549" xr:uid="{00000000-0005-0000-0000-00001E8D0000}"/>
    <cellStyle name="Porcentaje 4 2 2 2 4 2 3 3" xfId="26692" xr:uid="{00000000-0005-0000-0000-00001F8D0000}"/>
    <cellStyle name="Porcentaje 4 2 2 2 4 2 4" xfId="11906" xr:uid="{00000000-0005-0000-0000-0000208D0000}"/>
    <cellStyle name="Porcentaje 4 2 2 2 4 2 4 2" xfId="31621" xr:uid="{00000000-0005-0000-0000-0000218D0000}"/>
    <cellStyle name="Porcentaje 4 2 2 2 4 2 5" xfId="21764" xr:uid="{00000000-0005-0000-0000-0000228D0000}"/>
    <cellStyle name="Porcentaje 4 2 2 2 4 3" xfId="3274" xr:uid="{00000000-0005-0000-0000-0000238D0000}"/>
    <cellStyle name="Porcentaje 4 2 2 2 4 3 2" xfId="8206" xr:uid="{00000000-0005-0000-0000-0000248D0000}"/>
    <cellStyle name="Porcentaje 4 2 2 2 4 3 2 2" xfId="18066" xr:uid="{00000000-0005-0000-0000-0000258D0000}"/>
    <cellStyle name="Porcentaje 4 2 2 2 4 3 2 2 2" xfId="37781" xr:uid="{00000000-0005-0000-0000-0000268D0000}"/>
    <cellStyle name="Porcentaje 4 2 2 2 4 3 2 3" xfId="27924" xr:uid="{00000000-0005-0000-0000-0000278D0000}"/>
    <cellStyle name="Porcentaje 4 2 2 2 4 3 3" xfId="13138" xr:uid="{00000000-0005-0000-0000-0000288D0000}"/>
    <cellStyle name="Porcentaje 4 2 2 2 4 3 3 2" xfId="32853" xr:uid="{00000000-0005-0000-0000-0000298D0000}"/>
    <cellStyle name="Porcentaje 4 2 2 2 4 3 4" xfId="22996" xr:uid="{00000000-0005-0000-0000-00002A8D0000}"/>
    <cellStyle name="Porcentaje 4 2 2 2 4 4" xfId="5742" xr:uid="{00000000-0005-0000-0000-00002B8D0000}"/>
    <cellStyle name="Porcentaje 4 2 2 2 4 4 2" xfId="15602" xr:uid="{00000000-0005-0000-0000-00002C8D0000}"/>
    <cellStyle name="Porcentaje 4 2 2 2 4 4 2 2" xfId="35317" xr:uid="{00000000-0005-0000-0000-00002D8D0000}"/>
    <cellStyle name="Porcentaje 4 2 2 2 4 4 3" xfId="25460" xr:uid="{00000000-0005-0000-0000-00002E8D0000}"/>
    <cellStyle name="Porcentaje 4 2 2 2 4 5" xfId="10674" xr:uid="{00000000-0005-0000-0000-00002F8D0000}"/>
    <cellStyle name="Porcentaje 4 2 2 2 4 5 2" xfId="30389" xr:uid="{00000000-0005-0000-0000-0000308D0000}"/>
    <cellStyle name="Porcentaje 4 2 2 2 4 6" xfId="20532" xr:uid="{00000000-0005-0000-0000-0000318D0000}"/>
    <cellStyle name="Porcentaje 4 2 2 2 5" xfId="1423" xr:uid="{00000000-0005-0000-0000-0000328D0000}"/>
    <cellStyle name="Porcentaje 4 2 2 2 5 2" xfId="3890" xr:uid="{00000000-0005-0000-0000-0000338D0000}"/>
    <cellStyle name="Porcentaje 4 2 2 2 5 2 2" xfId="8822" xr:uid="{00000000-0005-0000-0000-0000348D0000}"/>
    <cellStyle name="Porcentaje 4 2 2 2 5 2 2 2" xfId="18682" xr:uid="{00000000-0005-0000-0000-0000358D0000}"/>
    <cellStyle name="Porcentaje 4 2 2 2 5 2 2 2 2" xfId="38397" xr:uid="{00000000-0005-0000-0000-0000368D0000}"/>
    <cellStyle name="Porcentaje 4 2 2 2 5 2 2 3" xfId="28540" xr:uid="{00000000-0005-0000-0000-0000378D0000}"/>
    <cellStyle name="Porcentaje 4 2 2 2 5 2 3" xfId="13754" xr:uid="{00000000-0005-0000-0000-0000388D0000}"/>
    <cellStyle name="Porcentaje 4 2 2 2 5 2 3 2" xfId="33469" xr:uid="{00000000-0005-0000-0000-0000398D0000}"/>
    <cellStyle name="Porcentaje 4 2 2 2 5 2 4" xfId="23612" xr:uid="{00000000-0005-0000-0000-00003A8D0000}"/>
    <cellStyle name="Porcentaje 4 2 2 2 5 3" xfId="6358" xr:uid="{00000000-0005-0000-0000-00003B8D0000}"/>
    <cellStyle name="Porcentaje 4 2 2 2 5 3 2" xfId="16218" xr:uid="{00000000-0005-0000-0000-00003C8D0000}"/>
    <cellStyle name="Porcentaje 4 2 2 2 5 3 2 2" xfId="35933" xr:uid="{00000000-0005-0000-0000-00003D8D0000}"/>
    <cellStyle name="Porcentaje 4 2 2 2 5 3 3" xfId="26076" xr:uid="{00000000-0005-0000-0000-00003E8D0000}"/>
    <cellStyle name="Porcentaje 4 2 2 2 5 4" xfId="11290" xr:uid="{00000000-0005-0000-0000-00003F8D0000}"/>
    <cellStyle name="Porcentaje 4 2 2 2 5 4 2" xfId="31005" xr:uid="{00000000-0005-0000-0000-0000408D0000}"/>
    <cellStyle name="Porcentaje 4 2 2 2 5 5" xfId="21148" xr:uid="{00000000-0005-0000-0000-0000418D0000}"/>
    <cellStyle name="Porcentaje 4 2 2 2 6" xfId="2658" xr:uid="{00000000-0005-0000-0000-0000428D0000}"/>
    <cellStyle name="Porcentaje 4 2 2 2 6 2" xfId="7590" xr:uid="{00000000-0005-0000-0000-0000438D0000}"/>
    <cellStyle name="Porcentaje 4 2 2 2 6 2 2" xfId="17450" xr:uid="{00000000-0005-0000-0000-0000448D0000}"/>
    <cellStyle name="Porcentaje 4 2 2 2 6 2 2 2" xfId="37165" xr:uid="{00000000-0005-0000-0000-0000458D0000}"/>
    <cellStyle name="Porcentaje 4 2 2 2 6 2 3" xfId="27308" xr:uid="{00000000-0005-0000-0000-0000468D0000}"/>
    <cellStyle name="Porcentaje 4 2 2 2 6 3" xfId="12522" xr:uid="{00000000-0005-0000-0000-0000478D0000}"/>
    <cellStyle name="Porcentaje 4 2 2 2 6 3 2" xfId="32237" xr:uid="{00000000-0005-0000-0000-0000488D0000}"/>
    <cellStyle name="Porcentaje 4 2 2 2 6 4" xfId="22380" xr:uid="{00000000-0005-0000-0000-0000498D0000}"/>
    <cellStyle name="Porcentaje 4 2 2 2 7" xfId="5126" xr:uid="{00000000-0005-0000-0000-00004A8D0000}"/>
    <cellStyle name="Porcentaje 4 2 2 2 7 2" xfId="14986" xr:uid="{00000000-0005-0000-0000-00004B8D0000}"/>
    <cellStyle name="Porcentaje 4 2 2 2 7 2 2" xfId="34701" xr:uid="{00000000-0005-0000-0000-00004C8D0000}"/>
    <cellStyle name="Porcentaje 4 2 2 2 7 3" xfId="24844" xr:uid="{00000000-0005-0000-0000-00004D8D0000}"/>
    <cellStyle name="Porcentaje 4 2 2 2 8" xfId="10058" xr:uid="{00000000-0005-0000-0000-00004E8D0000}"/>
    <cellStyle name="Porcentaje 4 2 2 2 8 2" xfId="29773" xr:uid="{00000000-0005-0000-0000-00004F8D0000}"/>
    <cellStyle name="Porcentaje 4 2 2 2 9" xfId="19916" xr:uid="{00000000-0005-0000-0000-0000508D0000}"/>
    <cellStyle name="Porcentaje 4 2 2 3" xfId="252" xr:uid="{00000000-0005-0000-0000-0000518D0000}"/>
    <cellStyle name="Porcentaje 4 2 2 3 2" xfId="566" xr:uid="{00000000-0005-0000-0000-0000528D0000}"/>
    <cellStyle name="Porcentaje 4 2 2 3 2 2" xfId="1186" xr:uid="{00000000-0005-0000-0000-0000538D0000}"/>
    <cellStyle name="Porcentaje 4 2 2 3 2 2 2" xfId="2421" xr:uid="{00000000-0005-0000-0000-0000548D0000}"/>
    <cellStyle name="Porcentaje 4 2 2 3 2 2 2 2" xfId="4888" xr:uid="{00000000-0005-0000-0000-0000558D0000}"/>
    <cellStyle name="Porcentaje 4 2 2 3 2 2 2 2 2" xfId="9820" xr:uid="{00000000-0005-0000-0000-0000568D0000}"/>
    <cellStyle name="Porcentaje 4 2 2 3 2 2 2 2 2 2" xfId="19680" xr:uid="{00000000-0005-0000-0000-0000578D0000}"/>
    <cellStyle name="Porcentaje 4 2 2 3 2 2 2 2 2 2 2" xfId="39395" xr:uid="{00000000-0005-0000-0000-0000588D0000}"/>
    <cellStyle name="Porcentaje 4 2 2 3 2 2 2 2 2 3" xfId="29538" xr:uid="{00000000-0005-0000-0000-0000598D0000}"/>
    <cellStyle name="Porcentaje 4 2 2 3 2 2 2 2 3" xfId="14752" xr:uid="{00000000-0005-0000-0000-00005A8D0000}"/>
    <cellStyle name="Porcentaje 4 2 2 3 2 2 2 2 3 2" xfId="34467" xr:uid="{00000000-0005-0000-0000-00005B8D0000}"/>
    <cellStyle name="Porcentaje 4 2 2 3 2 2 2 2 4" xfId="24610" xr:uid="{00000000-0005-0000-0000-00005C8D0000}"/>
    <cellStyle name="Porcentaje 4 2 2 3 2 2 2 3" xfId="7356" xr:uid="{00000000-0005-0000-0000-00005D8D0000}"/>
    <cellStyle name="Porcentaje 4 2 2 3 2 2 2 3 2" xfId="17216" xr:uid="{00000000-0005-0000-0000-00005E8D0000}"/>
    <cellStyle name="Porcentaje 4 2 2 3 2 2 2 3 2 2" xfId="36931" xr:uid="{00000000-0005-0000-0000-00005F8D0000}"/>
    <cellStyle name="Porcentaje 4 2 2 3 2 2 2 3 3" xfId="27074" xr:uid="{00000000-0005-0000-0000-0000608D0000}"/>
    <cellStyle name="Porcentaje 4 2 2 3 2 2 2 4" xfId="12288" xr:uid="{00000000-0005-0000-0000-0000618D0000}"/>
    <cellStyle name="Porcentaje 4 2 2 3 2 2 2 4 2" xfId="32003" xr:uid="{00000000-0005-0000-0000-0000628D0000}"/>
    <cellStyle name="Porcentaje 4 2 2 3 2 2 2 5" xfId="22146" xr:uid="{00000000-0005-0000-0000-0000638D0000}"/>
    <cellStyle name="Porcentaje 4 2 2 3 2 2 3" xfId="3656" xr:uid="{00000000-0005-0000-0000-0000648D0000}"/>
    <cellStyle name="Porcentaje 4 2 2 3 2 2 3 2" xfId="8588" xr:uid="{00000000-0005-0000-0000-0000658D0000}"/>
    <cellStyle name="Porcentaje 4 2 2 3 2 2 3 2 2" xfId="18448" xr:uid="{00000000-0005-0000-0000-0000668D0000}"/>
    <cellStyle name="Porcentaje 4 2 2 3 2 2 3 2 2 2" xfId="38163" xr:uid="{00000000-0005-0000-0000-0000678D0000}"/>
    <cellStyle name="Porcentaje 4 2 2 3 2 2 3 2 3" xfId="28306" xr:uid="{00000000-0005-0000-0000-0000688D0000}"/>
    <cellStyle name="Porcentaje 4 2 2 3 2 2 3 3" xfId="13520" xr:uid="{00000000-0005-0000-0000-0000698D0000}"/>
    <cellStyle name="Porcentaje 4 2 2 3 2 2 3 3 2" xfId="33235" xr:uid="{00000000-0005-0000-0000-00006A8D0000}"/>
    <cellStyle name="Porcentaje 4 2 2 3 2 2 3 4" xfId="23378" xr:uid="{00000000-0005-0000-0000-00006B8D0000}"/>
    <cellStyle name="Porcentaje 4 2 2 3 2 2 4" xfId="6124" xr:uid="{00000000-0005-0000-0000-00006C8D0000}"/>
    <cellStyle name="Porcentaje 4 2 2 3 2 2 4 2" xfId="15984" xr:uid="{00000000-0005-0000-0000-00006D8D0000}"/>
    <cellStyle name="Porcentaje 4 2 2 3 2 2 4 2 2" xfId="35699" xr:uid="{00000000-0005-0000-0000-00006E8D0000}"/>
    <cellStyle name="Porcentaje 4 2 2 3 2 2 4 3" xfId="25842" xr:uid="{00000000-0005-0000-0000-00006F8D0000}"/>
    <cellStyle name="Porcentaje 4 2 2 3 2 2 5" xfId="11056" xr:uid="{00000000-0005-0000-0000-0000708D0000}"/>
    <cellStyle name="Porcentaje 4 2 2 3 2 2 5 2" xfId="30771" xr:uid="{00000000-0005-0000-0000-0000718D0000}"/>
    <cellStyle name="Porcentaje 4 2 2 3 2 2 6" xfId="20914" xr:uid="{00000000-0005-0000-0000-0000728D0000}"/>
    <cellStyle name="Porcentaje 4 2 2 3 2 3" xfId="1805" xr:uid="{00000000-0005-0000-0000-0000738D0000}"/>
    <cellStyle name="Porcentaje 4 2 2 3 2 3 2" xfId="4272" xr:uid="{00000000-0005-0000-0000-0000748D0000}"/>
    <cellStyle name="Porcentaje 4 2 2 3 2 3 2 2" xfId="9204" xr:uid="{00000000-0005-0000-0000-0000758D0000}"/>
    <cellStyle name="Porcentaje 4 2 2 3 2 3 2 2 2" xfId="19064" xr:uid="{00000000-0005-0000-0000-0000768D0000}"/>
    <cellStyle name="Porcentaje 4 2 2 3 2 3 2 2 2 2" xfId="38779" xr:uid="{00000000-0005-0000-0000-0000778D0000}"/>
    <cellStyle name="Porcentaje 4 2 2 3 2 3 2 2 3" xfId="28922" xr:uid="{00000000-0005-0000-0000-0000788D0000}"/>
    <cellStyle name="Porcentaje 4 2 2 3 2 3 2 3" xfId="14136" xr:uid="{00000000-0005-0000-0000-0000798D0000}"/>
    <cellStyle name="Porcentaje 4 2 2 3 2 3 2 3 2" xfId="33851" xr:uid="{00000000-0005-0000-0000-00007A8D0000}"/>
    <cellStyle name="Porcentaje 4 2 2 3 2 3 2 4" xfId="23994" xr:uid="{00000000-0005-0000-0000-00007B8D0000}"/>
    <cellStyle name="Porcentaje 4 2 2 3 2 3 3" xfId="6740" xr:uid="{00000000-0005-0000-0000-00007C8D0000}"/>
    <cellStyle name="Porcentaje 4 2 2 3 2 3 3 2" xfId="16600" xr:uid="{00000000-0005-0000-0000-00007D8D0000}"/>
    <cellStyle name="Porcentaje 4 2 2 3 2 3 3 2 2" xfId="36315" xr:uid="{00000000-0005-0000-0000-00007E8D0000}"/>
    <cellStyle name="Porcentaje 4 2 2 3 2 3 3 3" xfId="26458" xr:uid="{00000000-0005-0000-0000-00007F8D0000}"/>
    <cellStyle name="Porcentaje 4 2 2 3 2 3 4" xfId="11672" xr:uid="{00000000-0005-0000-0000-0000808D0000}"/>
    <cellStyle name="Porcentaje 4 2 2 3 2 3 4 2" xfId="31387" xr:uid="{00000000-0005-0000-0000-0000818D0000}"/>
    <cellStyle name="Porcentaje 4 2 2 3 2 3 5" xfId="21530" xr:uid="{00000000-0005-0000-0000-0000828D0000}"/>
    <cellStyle name="Porcentaje 4 2 2 3 2 4" xfId="3040" xr:uid="{00000000-0005-0000-0000-0000838D0000}"/>
    <cellStyle name="Porcentaje 4 2 2 3 2 4 2" xfId="7972" xr:uid="{00000000-0005-0000-0000-0000848D0000}"/>
    <cellStyle name="Porcentaje 4 2 2 3 2 4 2 2" xfId="17832" xr:uid="{00000000-0005-0000-0000-0000858D0000}"/>
    <cellStyle name="Porcentaje 4 2 2 3 2 4 2 2 2" xfId="37547" xr:uid="{00000000-0005-0000-0000-0000868D0000}"/>
    <cellStyle name="Porcentaje 4 2 2 3 2 4 2 3" xfId="27690" xr:uid="{00000000-0005-0000-0000-0000878D0000}"/>
    <cellStyle name="Porcentaje 4 2 2 3 2 4 3" xfId="12904" xr:uid="{00000000-0005-0000-0000-0000888D0000}"/>
    <cellStyle name="Porcentaje 4 2 2 3 2 4 3 2" xfId="32619" xr:uid="{00000000-0005-0000-0000-0000898D0000}"/>
    <cellStyle name="Porcentaje 4 2 2 3 2 4 4" xfId="22762" xr:uid="{00000000-0005-0000-0000-00008A8D0000}"/>
    <cellStyle name="Porcentaje 4 2 2 3 2 5" xfId="5508" xr:uid="{00000000-0005-0000-0000-00008B8D0000}"/>
    <cellStyle name="Porcentaje 4 2 2 3 2 5 2" xfId="15368" xr:uid="{00000000-0005-0000-0000-00008C8D0000}"/>
    <cellStyle name="Porcentaje 4 2 2 3 2 5 2 2" xfId="35083" xr:uid="{00000000-0005-0000-0000-00008D8D0000}"/>
    <cellStyle name="Porcentaje 4 2 2 3 2 5 3" xfId="25226" xr:uid="{00000000-0005-0000-0000-00008E8D0000}"/>
    <cellStyle name="Porcentaje 4 2 2 3 2 6" xfId="10440" xr:uid="{00000000-0005-0000-0000-00008F8D0000}"/>
    <cellStyle name="Porcentaje 4 2 2 3 2 6 2" xfId="30155" xr:uid="{00000000-0005-0000-0000-0000908D0000}"/>
    <cellStyle name="Porcentaje 4 2 2 3 2 7" xfId="20298" xr:uid="{00000000-0005-0000-0000-0000918D0000}"/>
    <cellStyle name="Porcentaje 4 2 2 3 3" xfId="879" xr:uid="{00000000-0005-0000-0000-0000928D0000}"/>
    <cellStyle name="Porcentaje 4 2 2 3 3 2" xfId="2115" xr:uid="{00000000-0005-0000-0000-0000938D0000}"/>
    <cellStyle name="Porcentaje 4 2 2 3 3 2 2" xfId="4582" xr:uid="{00000000-0005-0000-0000-0000948D0000}"/>
    <cellStyle name="Porcentaje 4 2 2 3 3 2 2 2" xfId="9514" xr:uid="{00000000-0005-0000-0000-0000958D0000}"/>
    <cellStyle name="Porcentaje 4 2 2 3 3 2 2 2 2" xfId="19374" xr:uid="{00000000-0005-0000-0000-0000968D0000}"/>
    <cellStyle name="Porcentaje 4 2 2 3 3 2 2 2 2 2" xfId="39089" xr:uid="{00000000-0005-0000-0000-0000978D0000}"/>
    <cellStyle name="Porcentaje 4 2 2 3 3 2 2 2 3" xfId="29232" xr:uid="{00000000-0005-0000-0000-0000988D0000}"/>
    <cellStyle name="Porcentaje 4 2 2 3 3 2 2 3" xfId="14446" xr:uid="{00000000-0005-0000-0000-0000998D0000}"/>
    <cellStyle name="Porcentaje 4 2 2 3 3 2 2 3 2" xfId="34161" xr:uid="{00000000-0005-0000-0000-00009A8D0000}"/>
    <cellStyle name="Porcentaje 4 2 2 3 3 2 2 4" xfId="24304" xr:uid="{00000000-0005-0000-0000-00009B8D0000}"/>
    <cellStyle name="Porcentaje 4 2 2 3 3 2 3" xfId="7050" xr:uid="{00000000-0005-0000-0000-00009C8D0000}"/>
    <cellStyle name="Porcentaje 4 2 2 3 3 2 3 2" xfId="16910" xr:uid="{00000000-0005-0000-0000-00009D8D0000}"/>
    <cellStyle name="Porcentaje 4 2 2 3 3 2 3 2 2" xfId="36625" xr:uid="{00000000-0005-0000-0000-00009E8D0000}"/>
    <cellStyle name="Porcentaje 4 2 2 3 3 2 3 3" xfId="26768" xr:uid="{00000000-0005-0000-0000-00009F8D0000}"/>
    <cellStyle name="Porcentaje 4 2 2 3 3 2 4" xfId="11982" xr:uid="{00000000-0005-0000-0000-0000A08D0000}"/>
    <cellStyle name="Porcentaje 4 2 2 3 3 2 4 2" xfId="31697" xr:uid="{00000000-0005-0000-0000-0000A18D0000}"/>
    <cellStyle name="Porcentaje 4 2 2 3 3 2 5" xfId="21840" xr:uid="{00000000-0005-0000-0000-0000A28D0000}"/>
    <cellStyle name="Porcentaje 4 2 2 3 3 3" xfId="3350" xr:uid="{00000000-0005-0000-0000-0000A38D0000}"/>
    <cellStyle name="Porcentaje 4 2 2 3 3 3 2" xfId="8282" xr:uid="{00000000-0005-0000-0000-0000A48D0000}"/>
    <cellStyle name="Porcentaje 4 2 2 3 3 3 2 2" xfId="18142" xr:uid="{00000000-0005-0000-0000-0000A58D0000}"/>
    <cellStyle name="Porcentaje 4 2 2 3 3 3 2 2 2" xfId="37857" xr:uid="{00000000-0005-0000-0000-0000A68D0000}"/>
    <cellStyle name="Porcentaje 4 2 2 3 3 3 2 3" xfId="28000" xr:uid="{00000000-0005-0000-0000-0000A78D0000}"/>
    <cellStyle name="Porcentaje 4 2 2 3 3 3 3" xfId="13214" xr:uid="{00000000-0005-0000-0000-0000A88D0000}"/>
    <cellStyle name="Porcentaje 4 2 2 3 3 3 3 2" xfId="32929" xr:uid="{00000000-0005-0000-0000-0000A98D0000}"/>
    <cellStyle name="Porcentaje 4 2 2 3 3 3 4" xfId="23072" xr:uid="{00000000-0005-0000-0000-0000AA8D0000}"/>
    <cellStyle name="Porcentaje 4 2 2 3 3 4" xfId="5818" xr:uid="{00000000-0005-0000-0000-0000AB8D0000}"/>
    <cellStyle name="Porcentaje 4 2 2 3 3 4 2" xfId="15678" xr:uid="{00000000-0005-0000-0000-0000AC8D0000}"/>
    <cellStyle name="Porcentaje 4 2 2 3 3 4 2 2" xfId="35393" xr:uid="{00000000-0005-0000-0000-0000AD8D0000}"/>
    <cellStyle name="Porcentaje 4 2 2 3 3 4 3" xfId="25536" xr:uid="{00000000-0005-0000-0000-0000AE8D0000}"/>
    <cellStyle name="Porcentaje 4 2 2 3 3 5" xfId="10750" xr:uid="{00000000-0005-0000-0000-0000AF8D0000}"/>
    <cellStyle name="Porcentaje 4 2 2 3 3 5 2" xfId="30465" xr:uid="{00000000-0005-0000-0000-0000B08D0000}"/>
    <cellStyle name="Porcentaje 4 2 2 3 3 6" xfId="20608" xr:uid="{00000000-0005-0000-0000-0000B18D0000}"/>
    <cellStyle name="Porcentaje 4 2 2 3 4" xfId="1499" xr:uid="{00000000-0005-0000-0000-0000B28D0000}"/>
    <cellStyle name="Porcentaje 4 2 2 3 4 2" xfId="3966" xr:uid="{00000000-0005-0000-0000-0000B38D0000}"/>
    <cellStyle name="Porcentaje 4 2 2 3 4 2 2" xfId="8898" xr:uid="{00000000-0005-0000-0000-0000B48D0000}"/>
    <cellStyle name="Porcentaje 4 2 2 3 4 2 2 2" xfId="18758" xr:uid="{00000000-0005-0000-0000-0000B58D0000}"/>
    <cellStyle name="Porcentaje 4 2 2 3 4 2 2 2 2" xfId="38473" xr:uid="{00000000-0005-0000-0000-0000B68D0000}"/>
    <cellStyle name="Porcentaje 4 2 2 3 4 2 2 3" xfId="28616" xr:uid="{00000000-0005-0000-0000-0000B78D0000}"/>
    <cellStyle name="Porcentaje 4 2 2 3 4 2 3" xfId="13830" xr:uid="{00000000-0005-0000-0000-0000B88D0000}"/>
    <cellStyle name="Porcentaje 4 2 2 3 4 2 3 2" xfId="33545" xr:uid="{00000000-0005-0000-0000-0000B98D0000}"/>
    <cellStyle name="Porcentaje 4 2 2 3 4 2 4" xfId="23688" xr:uid="{00000000-0005-0000-0000-0000BA8D0000}"/>
    <cellStyle name="Porcentaje 4 2 2 3 4 3" xfId="6434" xr:uid="{00000000-0005-0000-0000-0000BB8D0000}"/>
    <cellStyle name="Porcentaje 4 2 2 3 4 3 2" xfId="16294" xr:uid="{00000000-0005-0000-0000-0000BC8D0000}"/>
    <cellStyle name="Porcentaje 4 2 2 3 4 3 2 2" xfId="36009" xr:uid="{00000000-0005-0000-0000-0000BD8D0000}"/>
    <cellStyle name="Porcentaje 4 2 2 3 4 3 3" xfId="26152" xr:uid="{00000000-0005-0000-0000-0000BE8D0000}"/>
    <cellStyle name="Porcentaje 4 2 2 3 4 4" xfId="11366" xr:uid="{00000000-0005-0000-0000-0000BF8D0000}"/>
    <cellStyle name="Porcentaje 4 2 2 3 4 4 2" xfId="31081" xr:uid="{00000000-0005-0000-0000-0000C08D0000}"/>
    <cellStyle name="Porcentaje 4 2 2 3 4 5" xfId="21224" xr:uid="{00000000-0005-0000-0000-0000C18D0000}"/>
    <cellStyle name="Porcentaje 4 2 2 3 5" xfId="2734" xr:uid="{00000000-0005-0000-0000-0000C28D0000}"/>
    <cellStyle name="Porcentaje 4 2 2 3 5 2" xfId="7666" xr:uid="{00000000-0005-0000-0000-0000C38D0000}"/>
    <cellStyle name="Porcentaje 4 2 2 3 5 2 2" xfId="17526" xr:uid="{00000000-0005-0000-0000-0000C48D0000}"/>
    <cellStyle name="Porcentaje 4 2 2 3 5 2 2 2" xfId="37241" xr:uid="{00000000-0005-0000-0000-0000C58D0000}"/>
    <cellStyle name="Porcentaje 4 2 2 3 5 2 3" xfId="27384" xr:uid="{00000000-0005-0000-0000-0000C68D0000}"/>
    <cellStyle name="Porcentaje 4 2 2 3 5 3" xfId="12598" xr:uid="{00000000-0005-0000-0000-0000C78D0000}"/>
    <cellStyle name="Porcentaje 4 2 2 3 5 3 2" xfId="32313" xr:uid="{00000000-0005-0000-0000-0000C88D0000}"/>
    <cellStyle name="Porcentaje 4 2 2 3 5 4" xfId="22456" xr:uid="{00000000-0005-0000-0000-0000C98D0000}"/>
    <cellStyle name="Porcentaje 4 2 2 3 6" xfId="5202" xr:uid="{00000000-0005-0000-0000-0000CA8D0000}"/>
    <cellStyle name="Porcentaje 4 2 2 3 6 2" xfId="15062" xr:uid="{00000000-0005-0000-0000-0000CB8D0000}"/>
    <cellStyle name="Porcentaje 4 2 2 3 6 2 2" xfId="34777" xr:uid="{00000000-0005-0000-0000-0000CC8D0000}"/>
    <cellStyle name="Porcentaje 4 2 2 3 6 3" xfId="24920" xr:uid="{00000000-0005-0000-0000-0000CD8D0000}"/>
    <cellStyle name="Porcentaje 4 2 2 3 7" xfId="10134" xr:uid="{00000000-0005-0000-0000-0000CE8D0000}"/>
    <cellStyle name="Porcentaje 4 2 2 3 7 2" xfId="29849" xr:uid="{00000000-0005-0000-0000-0000CF8D0000}"/>
    <cellStyle name="Porcentaje 4 2 2 3 8" xfId="19992" xr:uid="{00000000-0005-0000-0000-0000D08D0000}"/>
    <cellStyle name="Porcentaje 4 2 2 4" xfId="414" xr:uid="{00000000-0005-0000-0000-0000D18D0000}"/>
    <cellStyle name="Porcentaje 4 2 2 4 2" xfId="1034" xr:uid="{00000000-0005-0000-0000-0000D28D0000}"/>
    <cellStyle name="Porcentaje 4 2 2 4 2 2" xfId="2269" xr:uid="{00000000-0005-0000-0000-0000D38D0000}"/>
    <cellStyle name="Porcentaje 4 2 2 4 2 2 2" xfId="4736" xr:uid="{00000000-0005-0000-0000-0000D48D0000}"/>
    <cellStyle name="Porcentaje 4 2 2 4 2 2 2 2" xfId="9668" xr:uid="{00000000-0005-0000-0000-0000D58D0000}"/>
    <cellStyle name="Porcentaje 4 2 2 4 2 2 2 2 2" xfId="19528" xr:uid="{00000000-0005-0000-0000-0000D68D0000}"/>
    <cellStyle name="Porcentaje 4 2 2 4 2 2 2 2 2 2" xfId="39243" xr:uid="{00000000-0005-0000-0000-0000D78D0000}"/>
    <cellStyle name="Porcentaje 4 2 2 4 2 2 2 2 3" xfId="29386" xr:uid="{00000000-0005-0000-0000-0000D88D0000}"/>
    <cellStyle name="Porcentaje 4 2 2 4 2 2 2 3" xfId="14600" xr:uid="{00000000-0005-0000-0000-0000D98D0000}"/>
    <cellStyle name="Porcentaje 4 2 2 4 2 2 2 3 2" xfId="34315" xr:uid="{00000000-0005-0000-0000-0000DA8D0000}"/>
    <cellStyle name="Porcentaje 4 2 2 4 2 2 2 4" xfId="24458" xr:uid="{00000000-0005-0000-0000-0000DB8D0000}"/>
    <cellStyle name="Porcentaje 4 2 2 4 2 2 3" xfId="7204" xr:uid="{00000000-0005-0000-0000-0000DC8D0000}"/>
    <cellStyle name="Porcentaje 4 2 2 4 2 2 3 2" xfId="17064" xr:uid="{00000000-0005-0000-0000-0000DD8D0000}"/>
    <cellStyle name="Porcentaje 4 2 2 4 2 2 3 2 2" xfId="36779" xr:uid="{00000000-0005-0000-0000-0000DE8D0000}"/>
    <cellStyle name="Porcentaje 4 2 2 4 2 2 3 3" xfId="26922" xr:uid="{00000000-0005-0000-0000-0000DF8D0000}"/>
    <cellStyle name="Porcentaje 4 2 2 4 2 2 4" xfId="12136" xr:uid="{00000000-0005-0000-0000-0000E08D0000}"/>
    <cellStyle name="Porcentaje 4 2 2 4 2 2 4 2" xfId="31851" xr:uid="{00000000-0005-0000-0000-0000E18D0000}"/>
    <cellStyle name="Porcentaje 4 2 2 4 2 2 5" xfId="21994" xr:uid="{00000000-0005-0000-0000-0000E28D0000}"/>
    <cellStyle name="Porcentaje 4 2 2 4 2 3" xfId="3504" xr:uid="{00000000-0005-0000-0000-0000E38D0000}"/>
    <cellStyle name="Porcentaje 4 2 2 4 2 3 2" xfId="8436" xr:uid="{00000000-0005-0000-0000-0000E48D0000}"/>
    <cellStyle name="Porcentaje 4 2 2 4 2 3 2 2" xfId="18296" xr:uid="{00000000-0005-0000-0000-0000E58D0000}"/>
    <cellStyle name="Porcentaje 4 2 2 4 2 3 2 2 2" xfId="38011" xr:uid="{00000000-0005-0000-0000-0000E68D0000}"/>
    <cellStyle name="Porcentaje 4 2 2 4 2 3 2 3" xfId="28154" xr:uid="{00000000-0005-0000-0000-0000E78D0000}"/>
    <cellStyle name="Porcentaje 4 2 2 4 2 3 3" xfId="13368" xr:uid="{00000000-0005-0000-0000-0000E88D0000}"/>
    <cellStyle name="Porcentaje 4 2 2 4 2 3 3 2" xfId="33083" xr:uid="{00000000-0005-0000-0000-0000E98D0000}"/>
    <cellStyle name="Porcentaje 4 2 2 4 2 3 4" xfId="23226" xr:uid="{00000000-0005-0000-0000-0000EA8D0000}"/>
    <cellStyle name="Porcentaje 4 2 2 4 2 4" xfId="5972" xr:uid="{00000000-0005-0000-0000-0000EB8D0000}"/>
    <cellStyle name="Porcentaje 4 2 2 4 2 4 2" xfId="15832" xr:uid="{00000000-0005-0000-0000-0000EC8D0000}"/>
    <cellStyle name="Porcentaje 4 2 2 4 2 4 2 2" xfId="35547" xr:uid="{00000000-0005-0000-0000-0000ED8D0000}"/>
    <cellStyle name="Porcentaje 4 2 2 4 2 4 3" xfId="25690" xr:uid="{00000000-0005-0000-0000-0000EE8D0000}"/>
    <cellStyle name="Porcentaje 4 2 2 4 2 5" xfId="10904" xr:uid="{00000000-0005-0000-0000-0000EF8D0000}"/>
    <cellStyle name="Porcentaje 4 2 2 4 2 5 2" xfId="30619" xr:uid="{00000000-0005-0000-0000-0000F08D0000}"/>
    <cellStyle name="Porcentaje 4 2 2 4 2 6" xfId="20762" xr:uid="{00000000-0005-0000-0000-0000F18D0000}"/>
    <cellStyle name="Porcentaje 4 2 2 4 3" xfId="1653" xr:uid="{00000000-0005-0000-0000-0000F28D0000}"/>
    <cellStyle name="Porcentaje 4 2 2 4 3 2" xfId="4120" xr:uid="{00000000-0005-0000-0000-0000F38D0000}"/>
    <cellStyle name="Porcentaje 4 2 2 4 3 2 2" xfId="9052" xr:uid="{00000000-0005-0000-0000-0000F48D0000}"/>
    <cellStyle name="Porcentaje 4 2 2 4 3 2 2 2" xfId="18912" xr:uid="{00000000-0005-0000-0000-0000F58D0000}"/>
    <cellStyle name="Porcentaje 4 2 2 4 3 2 2 2 2" xfId="38627" xr:uid="{00000000-0005-0000-0000-0000F68D0000}"/>
    <cellStyle name="Porcentaje 4 2 2 4 3 2 2 3" xfId="28770" xr:uid="{00000000-0005-0000-0000-0000F78D0000}"/>
    <cellStyle name="Porcentaje 4 2 2 4 3 2 3" xfId="13984" xr:uid="{00000000-0005-0000-0000-0000F88D0000}"/>
    <cellStyle name="Porcentaje 4 2 2 4 3 2 3 2" xfId="33699" xr:uid="{00000000-0005-0000-0000-0000F98D0000}"/>
    <cellStyle name="Porcentaje 4 2 2 4 3 2 4" xfId="23842" xr:uid="{00000000-0005-0000-0000-0000FA8D0000}"/>
    <cellStyle name="Porcentaje 4 2 2 4 3 3" xfId="6588" xr:uid="{00000000-0005-0000-0000-0000FB8D0000}"/>
    <cellStyle name="Porcentaje 4 2 2 4 3 3 2" xfId="16448" xr:uid="{00000000-0005-0000-0000-0000FC8D0000}"/>
    <cellStyle name="Porcentaje 4 2 2 4 3 3 2 2" xfId="36163" xr:uid="{00000000-0005-0000-0000-0000FD8D0000}"/>
    <cellStyle name="Porcentaje 4 2 2 4 3 3 3" xfId="26306" xr:uid="{00000000-0005-0000-0000-0000FE8D0000}"/>
    <cellStyle name="Porcentaje 4 2 2 4 3 4" xfId="11520" xr:uid="{00000000-0005-0000-0000-0000FF8D0000}"/>
    <cellStyle name="Porcentaje 4 2 2 4 3 4 2" xfId="31235" xr:uid="{00000000-0005-0000-0000-0000008E0000}"/>
    <cellStyle name="Porcentaje 4 2 2 4 3 5" xfId="21378" xr:uid="{00000000-0005-0000-0000-0000018E0000}"/>
    <cellStyle name="Porcentaje 4 2 2 4 4" xfId="2888" xr:uid="{00000000-0005-0000-0000-0000028E0000}"/>
    <cellStyle name="Porcentaje 4 2 2 4 4 2" xfId="7820" xr:uid="{00000000-0005-0000-0000-0000038E0000}"/>
    <cellStyle name="Porcentaje 4 2 2 4 4 2 2" xfId="17680" xr:uid="{00000000-0005-0000-0000-0000048E0000}"/>
    <cellStyle name="Porcentaje 4 2 2 4 4 2 2 2" xfId="37395" xr:uid="{00000000-0005-0000-0000-0000058E0000}"/>
    <cellStyle name="Porcentaje 4 2 2 4 4 2 3" xfId="27538" xr:uid="{00000000-0005-0000-0000-0000068E0000}"/>
    <cellStyle name="Porcentaje 4 2 2 4 4 3" xfId="12752" xr:uid="{00000000-0005-0000-0000-0000078E0000}"/>
    <cellStyle name="Porcentaje 4 2 2 4 4 3 2" xfId="32467" xr:uid="{00000000-0005-0000-0000-0000088E0000}"/>
    <cellStyle name="Porcentaje 4 2 2 4 4 4" xfId="22610" xr:uid="{00000000-0005-0000-0000-0000098E0000}"/>
    <cellStyle name="Porcentaje 4 2 2 4 5" xfId="5356" xr:uid="{00000000-0005-0000-0000-00000A8E0000}"/>
    <cellStyle name="Porcentaje 4 2 2 4 5 2" xfId="15216" xr:uid="{00000000-0005-0000-0000-00000B8E0000}"/>
    <cellStyle name="Porcentaje 4 2 2 4 5 2 2" xfId="34931" xr:uid="{00000000-0005-0000-0000-00000C8E0000}"/>
    <cellStyle name="Porcentaje 4 2 2 4 5 3" xfId="25074" xr:uid="{00000000-0005-0000-0000-00000D8E0000}"/>
    <cellStyle name="Porcentaje 4 2 2 4 6" xfId="10288" xr:uid="{00000000-0005-0000-0000-00000E8E0000}"/>
    <cellStyle name="Porcentaje 4 2 2 4 6 2" xfId="30003" xr:uid="{00000000-0005-0000-0000-00000F8E0000}"/>
    <cellStyle name="Porcentaje 4 2 2 4 7" xfId="20146" xr:uid="{00000000-0005-0000-0000-0000108E0000}"/>
    <cellStyle name="Porcentaje 4 2 2 5" xfId="727" xr:uid="{00000000-0005-0000-0000-0000118E0000}"/>
    <cellStyle name="Porcentaje 4 2 2 5 2" xfId="1963" xr:uid="{00000000-0005-0000-0000-0000128E0000}"/>
    <cellStyle name="Porcentaje 4 2 2 5 2 2" xfId="4430" xr:uid="{00000000-0005-0000-0000-0000138E0000}"/>
    <cellStyle name="Porcentaje 4 2 2 5 2 2 2" xfId="9362" xr:uid="{00000000-0005-0000-0000-0000148E0000}"/>
    <cellStyle name="Porcentaje 4 2 2 5 2 2 2 2" xfId="19222" xr:uid="{00000000-0005-0000-0000-0000158E0000}"/>
    <cellStyle name="Porcentaje 4 2 2 5 2 2 2 2 2" xfId="38937" xr:uid="{00000000-0005-0000-0000-0000168E0000}"/>
    <cellStyle name="Porcentaje 4 2 2 5 2 2 2 3" xfId="29080" xr:uid="{00000000-0005-0000-0000-0000178E0000}"/>
    <cellStyle name="Porcentaje 4 2 2 5 2 2 3" xfId="14294" xr:uid="{00000000-0005-0000-0000-0000188E0000}"/>
    <cellStyle name="Porcentaje 4 2 2 5 2 2 3 2" xfId="34009" xr:uid="{00000000-0005-0000-0000-0000198E0000}"/>
    <cellStyle name="Porcentaje 4 2 2 5 2 2 4" xfId="24152" xr:uid="{00000000-0005-0000-0000-00001A8E0000}"/>
    <cellStyle name="Porcentaje 4 2 2 5 2 3" xfId="6898" xr:uid="{00000000-0005-0000-0000-00001B8E0000}"/>
    <cellStyle name="Porcentaje 4 2 2 5 2 3 2" xfId="16758" xr:uid="{00000000-0005-0000-0000-00001C8E0000}"/>
    <cellStyle name="Porcentaje 4 2 2 5 2 3 2 2" xfId="36473" xr:uid="{00000000-0005-0000-0000-00001D8E0000}"/>
    <cellStyle name="Porcentaje 4 2 2 5 2 3 3" xfId="26616" xr:uid="{00000000-0005-0000-0000-00001E8E0000}"/>
    <cellStyle name="Porcentaje 4 2 2 5 2 4" xfId="11830" xr:uid="{00000000-0005-0000-0000-00001F8E0000}"/>
    <cellStyle name="Porcentaje 4 2 2 5 2 4 2" xfId="31545" xr:uid="{00000000-0005-0000-0000-0000208E0000}"/>
    <cellStyle name="Porcentaje 4 2 2 5 2 5" xfId="21688" xr:uid="{00000000-0005-0000-0000-0000218E0000}"/>
    <cellStyle name="Porcentaje 4 2 2 5 3" xfId="3198" xr:uid="{00000000-0005-0000-0000-0000228E0000}"/>
    <cellStyle name="Porcentaje 4 2 2 5 3 2" xfId="8130" xr:uid="{00000000-0005-0000-0000-0000238E0000}"/>
    <cellStyle name="Porcentaje 4 2 2 5 3 2 2" xfId="17990" xr:uid="{00000000-0005-0000-0000-0000248E0000}"/>
    <cellStyle name="Porcentaje 4 2 2 5 3 2 2 2" xfId="37705" xr:uid="{00000000-0005-0000-0000-0000258E0000}"/>
    <cellStyle name="Porcentaje 4 2 2 5 3 2 3" xfId="27848" xr:uid="{00000000-0005-0000-0000-0000268E0000}"/>
    <cellStyle name="Porcentaje 4 2 2 5 3 3" xfId="13062" xr:uid="{00000000-0005-0000-0000-0000278E0000}"/>
    <cellStyle name="Porcentaje 4 2 2 5 3 3 2" xfId="32777" xr:uid="{00000000-0005-0000-0000-0000288E0000}"/>
    <cellStyle name="Porcentaje 4 2 2 5 3 4" xfId="22920" xr:uid="{00000000-0005-0000-0000-0000298E0000}"/>
    <cellStyle name="Porcentaje 4 2 2 5 4" xfId="5666" xr:uid="{00000000-0005-0000-0000-00002A8E0000}"/>
    <cellStyle name="Porcentaje 4 2 2 5 4 2" xfId="15526" xr:uid="{00000000-0005-0000-0000-00002B8E0000}"/>
    <cellStyle name="Porcentaje 4 2 2 5 4 2 2" xfId="35241" xr:uid="{00000000-0005-0000-0000-00002C8E0000}"/>
    <cellStyle name="Porcentaje 4 2 2 5 4 3" xfId="25384" xr:uid="{00000000-0005-0000-0000-00002D8E0000}"/>
    <cellStyle name="Porcentaje 4 2 2 5 5" xfId="10598" xr:uid="{00000000-0005-0000-0000-00002E8E0000}"/>
    <cellStyle name="Porcentaje 4 2 2 5 5 2" xfId="30313" xr:uid="{00000000-0005-0000-0000-00002F8E0000}"/>
    <cellStyle name="Porcentaje 4 2 2 5 6" xfId="20456" xr:uid="{00000000-0005-0000-0000-0000308E0000}"/>
    <cellStyle name="Porcentaje 4 2 2 6" xfId="1347" xr:uid="{00000000-0005-0000-0000-0000318E0000}"/>
    <cellStyle name="Porcentaje 4 2 2 6 2" xfId="3814" xr:uid="{00000000-0005-0000-0000-0000328E0000}"/>
    <cellStyle name="Porcentaje 4 2 2 6 2 2" xfId="8746" xr:uid="{00000000-0005-0000-0000-0000338E0000}"/>
    <cellStyle name="Porcentaje 4 2 2 6 2 2 2" xfId="18606" xr:uid="{00000000-0005-0000-0000-0000348E0000}"/>
    <cellStyle name="Porcentaje 4 2 2 6 2 2 2 2" xfId="38321" xr:uid="{00000000-0005-0000-0000-0000358E0000}"/>
    <cellStyle name="Porcentaje 4 2 2 6 2 2 3" xfId="28464" xr:uid="{00000000-0005-0000-0000-0000368E0000}"/>
    <cellStyle name="Porcentaje 4 2 2 6 2 3" xfId="13678" xr:uid="{00000000-0005-0000-0000-0000378E0000}"/>
    <cellStyle name="Porcentaje 4 2 2 6 2 3 2" xfId="33393" xr:uid="{00000000-0005-0000-0000-0000388E0000}"/>
    <cellStyle name="Porcentaje 4 2 2 6 2 4" xfId="23536" xr:uid="{00000000-0005-0000-0000-0000398E0000}"/>
    <cellStyle name="Porcentaje 4 2 2 6 3" xfId="6282" xr:uid="{00000000-0005-0000-0000-00003A8E0000}"/>
    <cellStyle name="Porcentaje 4 2 2 6 3 2" xfId="16142" xr:uid="{00000000-0005-0000-0000-00003B8E0000}"/>
    <cellStyle name="Porcentaje 4 2 2 6 3 2 2" xfId="35857" xr:uid="{00000000-0005-0000-0000-00003C8E0000}"/>
    <cellStyle name="Porcentaje 4 2 2 6 3 3" xfId="26000" xr:uid="{00000000-0005-0000-0000-00003D8E0000}"/>
    <cellStyle name="Porcentaje 4 2 2 6 4" xfId="11214" xr:uid="{00000000-0005-0000-0000-00003E8E0000}"/>
    <cellStyle name="Porcentaje 4 2 2 6 4 2" xfId="30929" xr:uid="{00000000-0005-0000-0000-00003F8E0000}"/>
    <cellStyle name="Porcentaje 4 2 2 6 5" xfId="21072" xr:uid="{00000000-0005-0000-0000-0000408E0000}"/>
    <cellStyle name="Porcentaje 4 2 2 7" xfId="2582" xr:uid="{00000000-0005-0000-0000-0000418E0000}"/>
    <cellStyle name="Porcentaje 4 2 2 7 2" xfId="7514" xr:uid="{00000000-0005-0000-0000-0000428E0000}"/>
    <cellStyle name="Porcentaje 4 2 2 7 2 2" xfId="17374" xr:uid="{00000000-0005-0000-0000-0000438E0000}"/>
    <cellStyle name="Porcentaje 4 2 2 7 2 2 2" xfId="37089" xr:uid="{00000000-0005-0000-0000-0000448E0000}"/>
    <cellStyle name="Porcentaje 4 2 2 7 2 3" xfId="27232" xr:uid="{00000000-0005-0000-0000-0000458E0000}"/>
    <cellStyle name="Porcentaje 4 2 2 7 3" xfId="12446" xr:uid="{00000000-0005-0000-0000-0000468E0000}"/>
    <cellStyle name="Porcentaje 4 2 2 7 3 2" xfId="32161" xr:uid="{00000000-0005-0000-0000-0000478E0000}"/>
    <cellStyle name="Porcentaje 4 2 2 7 4" xfId="22304" xr:uid="{00000000-0005-0000-0000-0000488E0000}"/>
    <cellStyle name="Porcentaje 4 2 2 8" xfId="5050" xr:uid="{00000000-0005-0000-0000-0000498E0000}"/>
    <cellStyle name="Porcentaje 4 2 2 8 2" xfId="14910" xr:uid="{00000000-0005-0000-0000-00004A8E0000}"/>
    <cellStyle name="Porcentaje 4 2 2 8 2 2" xfId="34625" xr:uid="{00000000-0005-0000-0000-00004B8E0000}"/>
    <cellStyle name="Porcentaje 4 2 2 8 3" xfId="24768" xr:uid="{00000000-0005-0000-0000-00004C8E0000}"/>
    <cellStyle name="Porcentaje 4 2 2 9" xfId="9982" xr:uid="{00000000-0005-0000-0000-00004D8E0000}"/>
    <cellStyle name="Porcentaje 4 2 2 9 2" xfId="29697" xr:uid="{00000000-0005-0000-0000-00004E8E0000}"/>
    <cellStyle name="Porcentaje 4 2 3" xfId="133" xr:uid="{00000000-0005-0000-0000-00004F8E0000}"/>
    <cellStyle name="Porcentaje 4 2 3 2" xfId="290" xr:uid="{00000000-0005-0000-0000-0000508E0000}"/>
    <cellStyle name="Porcentaje 4 2 3 2 2" xfId="604" xr:uid="{00000000-0005-0000-0000-0000518E0000}"/>
    <cellStyle name="Porcentaje 4 2 3 2 2 2" xfId="1224" xr:uid="{00000000-0005-0000-0000-0000528E0000}"/>
    <cellStyle name="Porcentaje 4 2 3 2 2 2 2" xfId="2459" xr:uid="{00000000-0005-0000-0000-0000538E0000}"/>
    <cellStyle name="Porcentaje 4 2 3 2 2 2 2 2" xfId="4926" xr:uid="{00000000-0005-0000-0000-0000548E0000}"/>
    <cellStyle name="Porcentaje 4 2 3 2 2 2 2 2 2" xfId="9858" xr:uid="{00000000-0005-0000-0000-0000558E0000}"/>
    <cellStyle name="Porcentaje 4 2 3 2 2 2 2 2 2 2" xfId="19718" xr:uid="{00000000-0005-0000-0000-0000568E0000}"/>
    <cellStyle name="Porcentaje 4 2 3 2 2 2 2 2 2 2 2" xfId="39433" xr:uid="{00000000-0005-0000-0000-0000578E0000}"/>
    <cellStyle name="Porcentaje 4 2 3 2 2 2 2 2 2 3" xfId="29576" xr:uid="{00000000-0005-0000-0000-0000588E0000}"/>
    <cellStyle name="Porcentaje 4 2 3 2 2 2 2 2 3" xfId="14790" xr:uid="{00000000-0005-0000-0000-0000598E0000}"/>
    <cellStyle name="Porcentaje 4 2 3 2 2 2 2 2 3 2" xfId="34505" xr:uid="{00000000-0005-0000-0000-00005A8E0000}"/>
    <cellStyle name="Porcentaje 4 2 3 2 2 2 2 2 4" xfId="24648" xr:uid="{00000000-0005-0000-0000-00005B8E0000}"/>
    <cellStyle name="Porcentaje 4 2 3 2 2 2 2 3" xfId="7394" xr:uid="{00000000-0005-0000-0000-00005C8E0000}"/>
    <cellStyle name="Porcentaje 4 2 3 2 2 2 2 3 2" xfId="17254" xr:uid="{00000000-0005-0000-0000-00005D8E0000}"/>
    <cellStyle name="Porcentaje 4 2 3 2 2 2 2 3 2 2" xfId="36969" xr:uid="{00000000-0005-0000-0000-00005E8E0000}"/>
    <cellStyle name="Porcentaje 4 2 3 2 2 2 2 3 3" xfId="27112" xr:uid="{00000000-0005-0000-0000-00005F8E0000}"/>
    <cellStyle name="Porcentaje 4 2 3 2 2 2 2 4" xfId="12326" xr:uid="{00000000-0005-0000-0000-0000608E0000}"/>
    <cellStyle name="Porcentaje 4 2 3 2 2 2 2 4 2" xfId="32041" xr:uid="{00000000-0005-0000-0000-0000618E0000}"/>
    <cellStyle name="Porcentaje 4 2 3 2 2 2 2 5" xfId="22184" xr:uid="{00000000-0005-0000-0000-0000628E0000}"/>
    <cellStyle name="Porcentaje 4 2 3 2 2 2 3" xfId="3694" xr:uid="{00000000-0005-0000-0000-0000638E0000}"/>
    <cellStyle name="Porcentaje 4 2 3 2 2 2 3 2" xfId="8626" xr:uid="{00000000-0005-0000-0000-0000648E0000}"/>
    <cellStyle name="Porcentaje 4 2 3 2 2 2 3 2 2" xfId="18486" xr:uid="{00000000-0005-0000-0000-0000658E0000}"/>
    <cellStyle name="Porcentaje 4 2 3 2 2 2 3 2 2 2" xfId="38201" xr:uid="{00000000-0005-0000-0000-0000668E0000}"/>
    <cellStyle name="Porcentaje 4 2 3 2 2 2 3 2 3" xfId="28344" xr:uid="{00000000-0005-0000-0000-0000678E0000}"/>
    <cellStyle name="Porcentaje 4 2 3 2 2 2 3 3" xfId="13558" xr:uid="{00000000-0005-0000-0000-0000688E0000}"/>
    <cellStyle name="Porcentaje 4 2 3 2 2 2 3 3 2" xfId="33273" xr:uid="{00000000-0005-0000-0000-0000698E0000}"/>
    <cellStyle name="Porcentaje 4 2 3 2 2 2 3 4" xfId="23416" xr:uid="{00000000-0005-0000-0000-00006A8E0000}"/>
    <cellStyle name="Porcentaje 4 2 3 2 2 2 4" xfId="6162" xr:uid="{00000000-0005-0000-0000-00006B8E0000}"/>
    <cellStyle name="Porcentaje 4 2 3 2 2 2 4 2" xfId="16022" xr:uid="{00000000-0005-0000-0000-00006C8E0000}"/>
    <cellStyle name="Porcentaje 4 2 3 2 2 2 4 2 2" xfId="35737" xr:uid="{00000000-0005-0000-0000-00006D8E0000}"/>
    <cellStyle name="Porcentaje 4 2 3 2 2 2 4 3" xfId="25880" xr:uid="{00000000-0005-0000-0000-00006E8E0000}"/>
    <cellStyle name="Porcentaje 4 2 3 2 2 2 5" xfId="11094" xr:uid="{00000000-0005-0000-0000-00006F8E0000}"/>
    <cellStyle name="Porcentaje 4 2 3 2 2 2 5 2" xfId="30809" xr:uid="{00000000-0005-0000-0000-0000708E0000}"/>
    <cellStyle name="Porcentaje 4 2 3 2 2 2 6" xfId="20952" xr:uid="{00000000-0005-0000-0000-0000718E0000}"/>
    <cellStyle name="Porcentaje 4 2 3 2 2 3" xfId="1843" xr:uid="{00000000-0005-0000-0000-0000728E0000}"/>
    <cellStyle name="Porcentaje 4 2 3 2 2 3 2" xfId="4310" xr:uid="{00000000-0005-0000-0000-0000738E0000}"/>
    <cellStyle name="Porcentaje 4 2 3 2 2 3 2 2" xfId="9242" xr:uid="{00000000-0005-0000-0000-0000748E0000}"/>
    <cellStyle name="Porcentaje 4 2 3 2 2 3 2 2 2" xfId="19102" xr:uid="{00000000-0005-0000-0000-0000758E0000}"/>
    <cellStyle name="Porcentaje 4 2 3 2 2 3 2 2 2 2" xfId="38817" xr:uid="{00000000-0005-0000-0000-0000768E0000}"/>
    <cellStyle name="Porcentaje 4 2 3 2 2 3 2 2 3" xfId="28960" xr:uid="{00000000-0005-0000-0000-0000778E0000}"/>
    <cellStyle name="Porcentaje 4 2 3 2 2 3 2 3" xfId="14174" xr:uid="{00000000-0005-0000-0000-0000788E0000}"/>
    <cellStyle name="Porcentaje 4 2 3 2 2 3 2 3 2" xfId="33889" xr:uid="{00000000-0005-0000-0000-0000798E0000}"/>
    <cellStyle name="Porcentaje 4 2 3 2 2 3 2 4" xfId="24032" xr:uid="{00000000-0005-0000-0000-00007A8E0000}"/>
    <cellStyle name="Porcentaje 4 2 3 2 2 3 3" xfId="6778" xr:uid="{00000000-0005-0000-0000-00007B8E0000}"/>
    <cellStyle name="Porcentaje 4 2 3 2 2 3 3 2" xfId="16638" xr:uid="{00000000-0005-0000-0000-00007C8E0000}"/>
    <cellStyle name="Porcentaje 4 2 3 2 2 3 3 2 2" xfId="36353" xr:uid="{00000000-0005-0000-0000-00007D8E0000}"/>
    <cellStyle name="Porcentaje 4 2 3 2 2 3 3 3" xfId="26496" xr:uid="{00000000-0005-0000-0000-00007E8E0000}"/>
    <cellStyle name="Porcentaje 4 2 3 2 2 3 4" xfId="11710" xr:uid="{00000000-0005-0000-0000-00007F8E0000}"/>
    <cellStyle name="Porcentaje 4 2 3 2 2 3 4 2" xfId="31425" xr:uid="{00000000-0005-0000-0000-0000808E0000}"/>
    <cellStyle name="Porcentaje 4 2 3 2 2 3 5" xfId="21568" xr:uid="{00000000-0005-0000-0000-0000818E0000}"/>
    <cellStyle name="Porcentaje 4 2 3 2 2 4" xfId="3078" xr:uid="{00000000-0005-0000-0000-0000828E0000}"/>
    <cellStyle name="Porcentaje 4 2 3 2 2 4 2" xfId="8010" xr:uid="{00000000-0005-0000-0000-0000838E0000}"/>
    <cellStyle name="Porcentaje 4 2 3 2 2 4 2 2" xfId="17870" xr:uid="{00000000-0005-0000-0000-0000848E0000}"/>
    <cellStyle name="Porcentaje 4 2 3 2 2 4 2 2 2" xfId="37585" xr:uid="{00000000-0005-0000-0000-0000858E0000}"/>
    <cellStyle name="Porcentaje 4 2 3 2 2 4 2 3" xfId="27728" xr:uid="{00000000-0005-0000-0000-0000868E0000}"/>
    <cellStyle name="Porcentaje 4 2 3 2 2 4 3" xfId="12942" xr:uid="{00000000-0005-0000-0000-0000878E0000}"/>
    <cellStyle name="Porcentaje 4 2 3 2 2 4 3 2" xfId="32657" xr:uid="{00000000-0005-0000-0000-0000888E0000}"/>
    <cellStyle name="Porcentaje 4 2 3 2 2 4 4" xfId="22800" xr:uid="{00000000-0005-0000-0000-0000898E0000}"/>
    <cellStyle name="Porcentaje 4 2 3 2 2 5" xfId="5546" xr:uid="{00000000-0005-0000-0000-00008A8E0000}"/>
    <cellStyle name="Porcentaje 4 2 3 2 2 5 2" xfId="15406" xr:uid="{00000000-0005-0000-0000-00008B8E0000}"/>
    <cellStyle name="Porcentaje 4 2 3 2 2 5 2 2" xfId="35121" xr:uid="{00000000-0005-0000-0000-00008C8E0000}"/>
    <cellStyle name="Porcentaje 4 2 3 2 2 5 3" xfId="25264" xr:uid="{00000000-0005-0000-0000-00008D8E0000}"/>
    <cellStyle name="Porcentaje 4 2 3 2 2 6" xfId="10478" xr:uid="{00000000-0005-0000-0000-00008E8E0000}"/>
    <cellStyle name="Porcentaje 4 2 3 2 2 6 2" xfId="30193" xr:uid="{00000000-0005-0000-0000-00008F8E0000}"/>
    <cellStyle name="Porcentaje 4 2 3 2 2 7" xfId="20336" xr:uid="{00000000-0005-0000-0000-0000908E0000}"/>
    <cellStyle name="Porcentaje 4 2 3 2 3" xfId="917" xr:uid="{00000000-0005-0000-0000-0000918E0000}"/>
    <cellStyle name="Porcentaje 4 2 3 2 3 2" xfId="2153" xr:uid="{00000000-0005-0000-0000-0000928E0000}"/>
    <cellStyle name="Porcentaje 4 2 3 2 3 2 2" xfId="4620" xr:uid="{00000000-0005-0000-0000-0000938E0000}"/>
    <cellStyle name="Porcentaje 4 2 3 2 3 2 2 2" xfId="9552" xr:uid="{00000000-0005-0000-0000-0000948E0000}"/>
    <cellStyle name="Porcentaje 4 2 3 2 3 2 2 2 2" xfId="19412" xr:uid="{00000000-0005-0000-0000-0000958E0000}"/>
    <cellStyle name="Porcentaje 4 2 3 2 3 2 2 2 2 2" xfId="39127" xr:uid="{00000000-0005-0000-0000-0000968E0000}"/>
    <cellStyle name="Porcentaje 4 2 3 2 3 2 2 2 3" xfId="29270" xr:uid="{00000000-0005-0000-0000-0000978E0000}"/>
    <cellStyle name="Porcentaje 4 2 3 2 3 2 2 3" xfId="14484" xr:uid="{00000000-0005-0000-0000-0000988E0000}"/>
    <cellStyle name="Porcentaje 4 2 3 2 3 2 2 3 2" xfId="34199" xr:uid="{00000000-0005-0000-0000-0000998E0000}"/>
    <cellStyle name="Porcentaje 4 2 3 2 3 2 2 4" xfId="24342" xr:uid="{00000000-0005-0000-0000-00009A8E0000}"/>
    <cellStyle name="Porcentaje 4 2 3 2 3 2 3" xfId="7088" xr:uid="{00000000-0005-0000-0000-00009B8E0000}"/>
    <cellStyle name="Porcentaje 4 2 3 2 3 2 3 2" xfId="16948" xr:uid="{00000000-0005-0000-0000-00009C8E0000}"/>
    <cellStyle name="Porcentaje 4 2 3 2 3 2 3 2 2" xfId="36663" xr:uid="{00000000-0005-0000-0000-00009D8E0000}"/>
    <cellStyle name="Porcentaje 4 2 3 2 3 2 3 3" xfId="26806" xr:uid="{00000000-0005-0000-0000-00009E8E0000}"/>
    <cellStyle name="Porcentaje 4 2 3 2 3 2 4" xfId="12020" xr:uid="{00000000-0005-0000-0000-00009F8E0000}"/>
    <cellStyle name="Porcentaje 4 2 3 2 3 2 4 2" xfId="31735" xr:uid="{00000000-0005-0000-0000-0000A08E0000}"/>
    <cellStyle name="Porcentaje 4 2 3 2 3 2 5" xfId="21878" xr:uid="{00000000-0005-0000-0000-0000A18E0000}"/>
    <cellStyle name="Porcentaje 4 2 3 2 3 3" xfId="3388" xr:uid="{00000000-0005-0000-0000-0000A28E0000}"/>
    <cellStyle name="Porcentaje 4 2 3 2 3 3 2" xfId="8320" xr:uid="{00000000-0005-0000-0000-0000A38E0000}"/>
    <cellStyle name="Porcentaje 4 2 3 2 3 3 2 2" xfId="18180" xr:uid="{00000000-0005-0000-0000-0000A48E0000}"/>
    <cellStyle name="Porcentaje 4 2 3 2 3 3 2 2 2" xfId="37895" xr:uid="{00000000-0005-0000-0000-0000A58E0000}"/>
    <cellStyle name="Porcentaje 4 2 3 2 3 3 2 3" xfId="28038" xr:uid="{00000000-0005-0000-0000-0000A68E0000}"/>
    <cellStyle name="Porcentaje 4 2 3 2 3 3 3" xfId="13252" xr:uid="{00000000-0005-0000-0000-0000A78E0000}"/>
    <cellStyle name="Porcentaje 4 2 3 2 3 3 3 2" xfId="32967" xr:uid="{00000000-0005-0000-0000-0000A88E0000}"/>
    <cellStyle name="Porcentaje 4 2 3 2 3 3 4" xfId="23110" xr:uid="{00000000-0005-0000-0000-0000A98E0000}"/>
    <cellStyle name="Porcentaje 4 2 3 2 3 4" xfId="5856" xr:uid="{00000000-0005-0000-0000-0000AA8E0000}"/>
    <cellStyle name="Porcentaje 4 2 3 2 3 4 2" xfId="15716" xr:uid="{00000000-0005-0000-0000-0000AB8E0000}"/>
    <cellStyle name="Porcentaje 4 2 3 2 3 4 2 2" xfId="35431" xr:uid="{00000000-0005-0000-0000-0000AC8E0000}"/>
    <cellStyle name="Porcentaje 4 2 3 2 3 4 3" xfId="25574" xr:uid="{00000000-0005-0000-0000-0000AD8E0000}"/>
    <cellStyle name="Porcentaje 4 2 3 2 3 5" xfId="10788" xr:uid="{00000000-0005-0000-0000-0000AE8E0000}"/>
    <cellStyle name="Porcentaje 4 2 3 2 3 5 2" xfId="30503" xr:uid="{00000000-0005-0000-0000-0000AF8E0000}"/>
    <cellStyle name="Porcentaje 4 2 3 2 3 6" xfId="20646" xr:uid="{00000000-0005-0000-0000-0000B08E0000}"/>
    <cellStyle name="Porcentaje 4 2 3 2 4" xfId="1537" xr:uid="{00000000-0005-0000-0000-0000B18E0000}"/>
    <cellStyle name="Porcentaje 4 2 3 2 4 2" xfId="4004" xr:uid="{00000000-0005-0000-0000-0000B28E0000}"/>
    <cellStyle name="Porcentaje 4 2 3 2 4 2 2" xfId="8936" xr:uid="{00000000-0005-0000-0000-0000B38E0000}"/>
    <cellStyle name="Porcentaje 4 2 3 2 4 2 2 2" xfId="18796" xr:uid="{00000000-0005-0000-0000-0000B48E0000}"/>
    <cellStyle name="Porcentaje 4 2 3 2 4 2 2 2 2" xfId="38511" xr:uid="{00000000-0005-0000-0000-0000B58E0000}"/>
    <cellStyle name="Porcentaje 4 2 3 2 4 2 2 3" xfId="28654" xr:uid="{00000000-0005-0000-0000-0000B68E0000}"/>
    <cellStyle name="Porcentaje 4 2 3 2 4 2 3" xfId="13868" xr:uid="{00000000-0005-0000-0000-0000B78E0000}"/>
    <cellStyle name="Porcentaje 4 2 3 2 4 2 3 2" xfId="33583" xr:uid="{00000000-0005-0000-0000-0000B88E0000}"/>
    <cellStyle name="Porcentaje 4 2 3 2 4 2 4" xfId="23726" xr:uid="{00000000-0005-0000-0000-0000B98E0000}"/>
    <cellStyle name="Porcentaje 4 2 3 2 4 3" xfId="6472" xr:uid="{00000000-0005-0000-0000-0000BA8E0000}"/>
    <cellStyle name="Porcentaje 4 2 3 2 4 3 2" xfId="16332" xr:uid="{00000000-0005-0000-0000-0000BB8E0000}"/>
    <cellStyle name="Porcentaje 4 2 3 2 4 3 2 2" xfId="36047" xr:uid="{00000000-0005-0000-0000-0000BC8E0000}"/>
    <cellStyle name="Porcentaje 4 2 3 2 4 3 3" xfId="26190" xr:uid="{00000000-0005-0000-0000-0000BD8E0000}"/>
    <cellStyle name="Porcentaje 4 2 3 2 4 4" xfId="11404" xr:uid="{00000000-0005-0000-0000-0000BE8E0000}"/>
    <cellStyle name="Porcentaje 4 2 3 2 4 4 2" xfId="31119" xr:uid="{00000000-0005-0000-0000-0000BF8E0000}"/>
    <cellStyle name="Porcentaje 4 2 3 2 4 5" xfId="21262" xr:uid="{00000000-0005-0000-0000-0000C08E0000}"/>
    <cellStyle name="Porcentaje 4 2 3 2 5" xfId="2772" xr:uid="{00000000-0005-0000-0000-0000C18E0000}"/>
    <cellStyle name="Porcentaje 4 2 3 2 5 2" xfId="7704" xr:uid="{00000000-0005-0000-0000-0000C28E0000}"/>
    <cellStyle name="Porcentaje 4 2 3 2 5 2 2" xfId="17564" xr:uid="{00000000-0005-0000-0000-0000C38E0000}"/>
    <cellStyle name="Porcentaje 4 2 3 2 5 2 2 2" xfId="37279" xr:uid="{00000000-0005-0000-0000-0000C48E0000}"/>
    <cellStyle name="Porcentaje 4 2 3 2 5 2 3" xfId="27422" xr:uid="{00000000-0005-0000-0000-0000C58E0000}"/>
    <cellStyle name="Porcentaje 4 2 3 2 5 3" xfId="12636" xr:uid="{00000000-0005-0000-0000-0000C68E0000}"/>
    <cellStyle name="Porcentaje 4 2 3 2 5 3 2" xfId="32351" xr:uid="{00000000-0005-0000-0000-0000C78E0000}"/>
    <cellStyle name="Porcentaje 4 2 3 2 5 4" xfId="22494" xr:uid="{00000000-0005-0000-0000-0000C88E0000}"/>
    <cellStyle name="Porcentaje 4 2 3 2 6" xfId="5240" xr:uid="{00000000-0005-0000-0000-0000C98E0000}"/>
    <cellStyle name="Porcentaje 4 2 3 2 6 2" xfId="15100" xr:uid="{00000000-0005-0000-0000-0000CA8E0000}"/>
    <cellStyle name="Porcentaje 4 2 3 2 6 2 2" xfId="34815" xr:uid="{00000000-0005-0000-0000-0000CB8E0000}"/>
    <cellStyle name="Porcentaje 4 2 3 2 6 3" xfId="24958" xr:uid="{00000000-0005-0000-0000-0000CC8E0000}"/>
    <cellStyle name="Porcentaje 4 2 3 2 7" xfId="10172" xr:uid="{00000000-0005-0000-0000-0000CD8E0000}"/>
    <cellStyle name="Porcentaje 4 2 3 2 7 2" xfId="29887" xr:uid="{00000000-0005-0000-0000-0000CE8E0000}"/>
    <cellStyle name="Porcentaje 4 2 3 2 8" xfId="20030" xr:uid="{00000000-0005-0000-0000-0000CF8E0000}"/>
    <cellStyle name="Porcentaje 4 2 3 3" xfId="452" xr:uid="{00000000-0005-0000-0000-0000D08E0000}"/>
    <cellStyle name="Porcentaje 4 2 3 3 2" xfId="1072" xr:uid="{00000000-0005-0000-0000-0000D18E0000}"/>
    <cellStyle name="Porcentaje 4 2 3 3 2 2" xfId="2307" xr:uid="{00000000-0005-0000-0000-0000D28E0000}"/>
    <cellStyle name="Porcentaje 4 2 3 3 2 2 2" xfId="4774" xr:uid="{00000000-0005-0000-0000-0000D38E0000}"/>
    <cellStyle name="Porcentaje 4 2 3 3 2 2 2 2" xfId="9706" xr:uid="{00000000-0005-0000-0000-0000D48E0000}"/>
    <cellStyle name="Porcentaje 4 2 3 3 2 2 2 2 2" xfId="19566" xr:uid="{00000000-0005-0000-0000-0000D58E0000}"/>
    <cellStyle name="Porcentaje 4 2 3 3 2 2 2 2 2 2" xfId="39281" xr:uid="{00000000-0005-0000-0000-0000D68E0000}"/>
    <cellStyle name="Porcentaje 4 2 3 3 2 2 2 2 3" xfId="29424" xr:uid="{00000000-0005-0000-0000-0000D78E0000}"/>
    <cellStyle name="Porcentaje 4 2 3 3 2 2 2 3" xfId="14638" xr:uid="{00000000-0005-0000-0000-0000D88E0000}"/>
    <cellStyle name="Porcentaje 4 2 3 3 2 2 2 3 2" xfId="34353" xr:uid="{00000000-0005-0000-0000-0000D98E0000}"/>
    <cellStyle name="Porcentaje 4 2 3 3 2 2 2 4" xfId="24496" xr:uid="{00000000-0005-0000-0000-0000DA8E0000}"/>
    <cellStyle name="Porcentaje 4 2 3 3 2 2 3" xfId="7242" xr:uid="{00000000-0005-0000-0000-0000DB8E0000}"/>
    <cellStyle name="Porcentaje 4 2 3 3 2 2 3 2" xfId="17102" xr:uid="{00000000-0005-0000-0000-0000DC8E0000}"/>
    <cellStyle name="Porcentaje 4 2 3 3 2 2 3 2 2" xfId="36817" xr:uid="{00000000-0005-0000-0000-0000DD8E0000}"/>
    <cellStyle name="Porcentaje 4 2 3 3 2 2 3 3" xfId="26960" xr:uid="{00000000-0005-0000-0000-0000DE8E0000}"/>
    <cellStyle name="Porcentaje 4 2 3 3 2 2 4" xfId="12174" xr:uid="{00000000-0005-0000-0000-0000DF8E0000}"/>
    <cellStyle name="Porcentaje 4 2 3 3 2 2 4 2" xfId="31889" xr:uid="{00000000-0005-0000-0000-0000E08E0000}"/>
    <cellStyle name="Porcentaje 4 2 3 3 2 2 5" xfId="22032" xr:uid="{00000000-0005-0000-0000-0000E18E0000}"/>
    <cellStyle name="Porcentaje 4 2 3 3 2 3" xfId="3542" xr:uid="{00000000-0005-0000-0000-0000E28E0000}"/>
    <cellStyle name="Porcentaje 4 2 3 3 2 3 2" xfId="8474" xr:uid="{00000000-0005-0000-0000-0000E38E0000}"/>
    <cellStyle name="Porcentaje 4 2 3 3 2 3 2 2" xfId="18334" xr:uid="{00000000-0005-0000-0000-0000E48E0000}"/>
    <cellStyle name="Porcentaje 4 2 3 3 2 3 2 2 2" xfId="38049" xr:uid="{00000000-0005-0000-0000-0000E58E0000}"/>
    <cellStyle name="Porcentaje 4 2 3 3 2 3 2 3" xfId="28192" xr:uid="{00000000-0005-0000-0000-0000E68E0000}"/>
    <cellStyle name="Porcentaje 4 2 3 3 2 3 3" xfId="13406" xr:uid="{00000000-0005-0000-0000-0000E78E0000}"/>
    <cellStyle name="Porcentaje 4 2 3 3 2 3 3 2" xfId="33121" xr:uid="{00000000-0005-0000-0000-0000E88E0000}"/>
    <cellStyle name="Porcentaje 4 2 3 3 2 3 4" xfId="23264" xr:uid="{00000000-0005-0000-0000-0000E98E0000}"/>
    <cellStyle name="Porcentaje 4 2 3 3 2 4" xfId="6010" xr:uid="{00000000-0005-0000-0000-0000EA8E0000}"/>
    <cellStyle name="Porcentaje 4 2 3 3 2 4 2" xfId="15870" xr:uid="{00000000-0005-0000-0000-0000EB8E0000}"/>
    <cellStyle name="Porcentaje 4 2 3 3 2 4 2 2" xfId="35585" xr:uid="{00000000-0005-0000-0000-0000EC8E0000}"/>
    <cellStyle name="Porcentaje 4 2 3 3 2 4 3" xfId="25728" xr:uid="{00000000-0005-0000-0000-0000ED8E0000}"/>
    <cellStyle name="Porcentaje 4 2 3 3 2 5" xfId="10942" xr:uid="{00000000-0005-0000-0000-0000EE8E0000}"/>
    <cellStyle name="Porcentaje 4 2 3 3 2 5 2" xfId="30657" xr:uid="{00000000-0005-0000-0000-0000EF8E0000}"/>
    <cellStyle name="Porcentaje 4 2 3 3 2 6" xfId="20800" xr:uid="{00000000-0005-0000-0000-0000F08E0000}"/>
    <cellStyle name="Porcentaje 4 2 3 3 3" xfId="1691" xr:uid="{00000000-0005-0000-0000-0000F18E0000}"/>
    <cellStyle name="Porcentaje 4 2 3 3 3 2" xfId="4158" xr:uid="{00000000-0005-0000-0000-0000F28E0000}"/>
    <cellStyle name="Porcentaje 4 2 3 3 3 2 2" xfId="9090" xr:uid="{00000000-0005-0000-0000-0000F38E0000}"/>
    <cellStyle name="Porcentaje 4 2 3 3 3 2 2 2" xfId="18950" xr:uid="{00000000-0005-0000-0000-0000F48E0000}"/>
    <cellStyle name="Porcentaje 4 2 3 3 3 2 2 2 2" xfId="38665" xr:uid="{00000000-0005-0000-0000-0000F58E0000}"/>
    <cellStyle name="Porcentaje 4 2 3 3 3 2 2 3" xfId="28808" xr:uid="{00000000-0005-0000-0000-0000F68E0000}"/>
    <cellStyle name="Porcentaje 4 2 3 3 3 2 3" xfId="14022" xr:uid="{00000000-0005-0000-0000-0000F78E0000}"/>
    <cellStyle name="Porcentaje 4 2 3 3 3 2 3 2" xfId="33737" xr:uid="{00000000-0005-0000-0000-0000F88E0000}"/>
    <cellStyle name="Porcentaje 4 2 3 3 3 2 4" xfId="23880" xr:uid="{00000000-0005-0000-0000-0000F98E0000}"/>
    <cellStyle name="Porcentaje 4 2 3 3 3 3" xfId="6626" xr:uid="{00000000-0005-0000-0000-0000FA8E0000}"/>
    <cellStyle name="Porcentaje 4 2 3 3 3 3 2" xfId="16486" xr:uid="{00000000-0005-0000-0000-0000FB8E0000}"/>
    <cellStyle name="Porcentaje 4 2 3 3 3 3 2 2" xfId="36201" xr:uid="{00000000-0005-0000-0000-0000FC8E0000}"/>
    <cellStyle name="Porcentaje 4 2 3 3 3 3 3" xfId="26344" xr:uid="{00000000-0005-0000-0000-0000FD8E0000}"/>
    <cellStyle name="Porcentaje 4 2 3 3 3 4" xfId="11558" xr:uid="{00000000-0005-0000-0000-0000FE8E0000}"/>
    <cellStyle name="Porcentaje 4 2 3 3 3 4 2" xfId="31273" xr:uid="{00000000-0005-0000-0000-0000FF8E0000}"/>
    <cellStyle name="Porcentaje 4 2 3 3 3 5" xfId="21416" xr:uid="{00000000-0005-0000-0000-0000008F0000}"/>
    <cellStyle name="Porcentaje 4 2 3 3 4" xfId="2926" xr:uid="{00000000-0005-0000-0000-0000018F0000}"/>
    <cellStyle name="Porcentaje 4 2 3 3 4 2" xfId="7858" xr:uid="{00000000-0005-0000-0000-0000028F0000}"/>
    <cellStyle name="Porcentaje 4 2 3 3 4 2 2" xfId="17718" xr:uid="{00000000-0005-0000-0000-0000038F0000}"/>
    <cellStyle name="Porcentaje 4 2 3 3 4 2 2 2" xfId="37433" xr:uid="{00000000-0005-0000-0000-0000048F0000}"/>
    <cellStyle name="Porcentaje 4 2 3 3 4 2 3" xfId="27576" xr:uid="{00000000-0005-0000-0000-0000058F0000}"/>
    <cellStyle name="Porcentaje 4 2 3 3 4 3" xfId="12790" xr:uid="{00000000-0005-0000-0000-0000068F0000}"/>
    <cellStyle name="Porcentaje 4 2 3 3 4 3 2" xfId="32505" xr:uid="{00000000-0005-0000-0000-0000078F0000}"/>
    <cellStyle name="Porcentaje 4 2 3 3 4 4" xfId="22648" xr:uid="{00000000-0005-0000-0000-0000088F0000}"/>
    <cellStyle name="Porcentaje 4 2 3 3 5" xfId="5394" xr:uid="{00000000-0005-0000-0000-0000098F0000}"/>
    <cellStyle name="Porcentaje 4 2 3 3 5 2" xfId="15254" xr:uid="{00000000-0005-0000-0000-00000A8F0000}"/>
    <cellStyle name="Porcentaje 4 2 3 3 5 2 2" xfId="34969" xr:uid="{00000000-0005-0000-0000-00000B8F0000}"/>
    <cellStyle name="Porcentaje 4 2 3 3 5 3" xfId="25112" xr:uid="{00000000-0005-0000-0000-00000C8F0000}"/>
    <cellStyle name="Porcentaje 4 2 3 3 6" xfId="10326" xr:uid="{00000000-0005-0000-0000-00000D8F0000}"/>
    <cellStyle name="Porcentaje 4 2 3 3 6 2" xfId="30041" xr:uid="{00000000-0005-0000-0000-00000E8F0000}"/>
    <cellStyle name="Porcentaje 4 2 3 3 7" xfId="20184" xr:uid="{00000000-0005-0000-0000-00000F8F0000}"/>
    <cellStyle name="Porcentaje 4 2 3 4" xfId="765" xr:uid="{00000000-0005-0000-0000-0000108F0000}"/>
    <cellStyle name="Porcentaje 4 2 3 4 2" xfId="2001" xr:uid="{00000000-0005-0000-0000-0000118F0000}"/>
    <cellStyle name="Porcentaje 4 2 3 4 2 2" xfId="4468" xr:uid="{00000000-0005-0000-0000-0000128F0000}"/>
    <cellStyle name="Porcentaje 4 2 3 4 2 2 2" xfId="9400" xr:uid="{00000000-0005-0000-0000-0000138F0000}"/>
    <cellStyle name="Porcentaje 4 2 3 4 2 2 2 2" xfId="19260" xr:uid="{00000000-0005-0000-0000-0000148F0000}"/>
    <cellStyle name="Porcentaje 4 2 3 4 2 2 2 2 2" xfId="38975" xr:uid="{00000000-0005-0000-0000-0000158F0000}"/>
    <cellStyle name="Porcentaje 4 2 3 4 2 2 2 3" xfId="29118" xr:uid="{00000000-0005-0000-0000-0000168F0000}"/>
    <cellStyle name="Porcentaje 4 2 3 4 2 2 3" xfId="14332" xr:uid="{00000000-0005-0000-0000-0000178F0000}"/>
    <cellStyle name="Porcentaje 4 2 3 4 2 2 3 2" xfId="34047" xr:uid="{00000000-0005-0000-0000-0000188F0000}"/>
    <cellStyle name="Porcentaje 4 2 3 4 2 2 4" xfId="24190" xr:uid="{00000000-0005-0000-0000-0000198F0000}"/>
    <cellStyle name="Porcentaje 4 2 3 4 2 3" xfId="6936" xr:uid="{00000000-0005-0000-0000-00001A8F0000}"/>
    <cellStyle name="Porcentaje 4 2 3 4 2 3 2" xfId="16796" xr:uid="{00000000-0005-0000-0000-00001B8F0000}"/>
    <cellStyle name="Porcentaje 4 2 3 4 2 3 2 2" xfId="36511" xr:uid="{00000000-0005-0000-0000-00001C8F0000}"/>
    <cellStyle name="Porcentaje 4 2 3 4 2 3 3" xfId="26654" xr:uid="{00000000-0005-0000-0000-00001D8F0000}"/>
    <cellStyle name="Porcentaje 4 2 3 4 2 4" xfId="11868" xr:uid="{00000000-0005-0000-0000-00001E8F0000}"/>
    <cellStyle name="Porcentaje 4 2 3 4 2 4 2" xfId="31583" xr:uid="{00000000-0005-0000-0000-00001F8F0000}"/>
    <cellStyle name="Porcentaje 4 2 3 4 2 5" xfId="21726" xr:uid="{00000000-0005-0000-0000-0000208F0000}"/>
    <cellStyle name="Porcentaje 4 2 3 4 3" xfId="3236" xr:uid="{00000000-0005-0000-0000-0000218F0000}"/>
    <cellStyle name="Porcentaje 4 2 3 4 3 2" xfId="8168" xr:uid="{00000000-0005-0000-0000-0000228F0000}"/>
    <cellStyle name="Porcentaje 4 2 3 4 3 2 2" xfId="18028" xr:uid="{00000000-0005-0000-0000-0000238F0000}"/>
    <cellStyle name="Porcentaje 4 2 3 4 3 2 2 2" xfId="37743" xr:uid="{00000000-0005-0000-0000-0000248F0000}"/>
    <cellStyle name="Porcentaje 4 2 3 4 3 2 3" xfId="27886" xr:uid="{00000000-0005-0000-0000-0000258F0000}"/>
    <cellStyle name="Porcentaje 4 2 3 4 3 3" xfId="13100" xr:uid="{00000000-0005-0000-0000-0000268F0000}"/>
    <cellStyle name="Porcentaje 4 2 3 4 3 3 2" xfId="32815" xr:uid="{00000000-0005-0000-0000-0000278F0000}"/>
    <cellStyle name="Porcentaje 4 2 3 4 3 4" xfId="22958" xr:uid="{00000000-0005-0000-0000-0000288F0000}"/>
    <cellStyle name="Porcentaje 4 2 3 4 4" xfId="5704" xr:uid="{00000000-0005-0000-0000-0000298F0000}"/>
    <cellStyle name="Porcentaje 4 2 3 4 4 2" xfId="15564" xr:uid="{00000000-0005-0000-0000-00002A8F0000}"/>
    <cellStyle name="Porcentaje 4 2 3 4 4 2 2" xfId="35279" xr:uid="{00000000-0005-0000-0000-00002B8F0000}"/>
    <cellStyle name="Porcentaje 4 2 3 4 4 3" xfId="25422" xr:uid="{00000000-0005-0000-0000-00002C8F0000}"/>
    <cellStyle name="Porcentaje 4 2 3 4 5" xfId="10636" xr:uid="{00000000-0005-0000-0000-00002D8F0000}"/>
    <cellStyle name="Porcentaje 4 2 3 4 5 2" xfId="30351" xr:uid="{00000000-0005-0000-0000-00002E8F0000}"/>
    <cellStyle name="Porcentaje 4 2 3 4 6" xfId="20494" xr:uid="{00000000-0005-0000-0000-00002F8F0000}"/>
    <cellStyle name="Porcentaje 4 2 3 5" xfId="1385" xr:uid="{00000000-0005-0000-0000-0000308F0000}"/>
    <cellStyle name="Porcentaje 4 2 3 5 2" xfId="3852" xr:uid="{00000000-0005-0000-0000-0000318F0000}"/>
    <cellStyle name="Porcentaje 4 2 3 5 2 2" xfId="8784" xr:uid="{00000000-0005-0000-0000-0000328F0000}"/>
    <cellStyle name="Porcentaje 4 2 3 5 2 2 2" xfId="18644" xr:uid="{00000000-0005-0000-0000-0000338F0000}"/>
    <cellStyle name="Porcentaje 4 2 3 5 2 2 2 2" xfId="38359" xr:uid="{00000000-0005-0000-0000-0000348F0000}"/>
    <cellStyle name="Porcentaje 4 2 3 5 2 2 3" xfId="28502" xr:uid="{00000000-0005-0000-0000-0000358F0000}"/>
    <cellStyle name="Porcentaje 4 2 3 5 2 3" xfId="13716" xr:uid="{00000000-0005-0000-0000-0000368F0000}"/>
    <cellStyle name="Porcentaje 4 2 3 5 2 3 2" xfId="33431" xr:uid="{00000000-0005-0000-0000-0000378F0000}"/>
    <cellStyle name="Porcentaje 4 2 3 5 2 4" xfId="23574" xr:uid="{00000000-0005-0000-0000-0000388F0000}"/>
    <cellStyle name="Porcentaje 4 2 3 5 3" xfId="6320" xr:uid="{00000000-0005-0000-0000-0000398F0000}"/>
    <cellStyle name="Porcentaje 4 2 3 5 3 2" xfId="16180" xr:uid="{00000000-0005-0000-0000-00003A8F0000}"/>
    <cellStyle name="Porcentaje 4 2 3 5 3 2 2" xfId="35895" xr:uid="{00000000-0005-0000-0000-00003B8F0000}"/>
    <cellStyle name="Porcentaje 4 2 3 5 3 3" xfId="26038" xr:uid="{00000000-0005-0000-0000-00003C8F0000}"/>
    <cellStyle name="Porcentaje 4 2 3 5 4" xfId="11252" xr:uid="{00000000-0005-0000-0000-00003D8F0000}"/>
    <cellStyle name="Porcentaje 4 2 3 5 4 2" xfId="30967" xr:uid="{00000000-0005-0000-0000-00003E8F0000}"/>
    <cellStyle name="Porcentaje 4 2 3 5 5" xfId="21110" xr:uid="{00000000-0005-0000-0000-00003F8F0000}"/>
    <cellStyle name="Porcentaje 4 2 3 6" xfId="2620" xr:uid="{00000000-0005-0000-0000-0000408F0000}"/>
    <cellStyle name="Porcentaje 4 2 3 6 2" xfId="7552" xr:uid="{00000000-0005-0000-0000-0000418F0000}"/>
    <cellStyle name="Porcentaje 4 2 3 6 2 2" xfId="17412" xr:uid="{00000000-0005-0000-0000-0000428F0000}"/>
    <cellStyle name="Porcentaje 4 2 3 6 2 2 2" xfId="37127" xr:uid="{00000000-0005-0000-0000-0000438F0000}"/>
    <cellStyle name="Porcentaje 4 2 3 6 2 3" xfId="27270" xr:uid="{00000000-0005-0000-0000-0000448F0000}"/>
    <cellStyle name="Porcentaje 4 2 3 6 3" xfId="12484" xr:uid="{00000000-0005-0000-0000-0000458F0000}"/>
    <cellStyle name="Porcentaje 4 2 3 6 3 2" xfId="32199" xr:uid="{00000000-0005-0000-0000-0000468F0000}"/>
    <cellStyle name="Porcentaje 4 2 3 6 4" xfId="22342" xr:uid="{00000000-0005-0000-0000-0000478F0000}"/>
    <cellStyle name="Porcentaje 4 2 3 7" xfId="5088" xr:uid="{00000000-0005-0000-0000-0000488F0000}"/>
    <cellStyle name="Porcentaje 4 2 3 7 2" xfId="14948" xr:uid="{00000000-0005-0000-0000-0000498F0000}"/>
    <cellStyle name="Porcentaje 4 2 3 7 2 2" xfId="34663" xr:uid="{00000000-0005-0000-0000-00004A8F0000}"/>
    <cellStyle name="Porcentaje 4 2 3 7 3" xfId="24806" xr:uid="{00000000-0005-0000-0000-00004B8F0000}"/>
    <cellStyle name="Porcentaje 4 2 3 8" xfId="10020" xr:uid="{00000000-0005-0000-0000-00004C8F0000}"/>
    <cellStyle name="Porcentaje 4 2 3 8 2" xfId="29735" xr:uid="{00000000-0005-0000-0000-00004D8F0000}"/>
    <cellStyle name="Porcentaje 4 2 3 9" xfId="19878" xr:uid="{00000000-0005-0000-0000-00004E8F0000}"/>
    <cellStyle name="Porcentaje 4 2 4" xfId="214" xr:uid="{00000000-0005-0000-0000-00004F8F0000}"/>
    <cellStyle name="Porcentaje 4 2 4 2" xfId="528" xr:uid="{00000000-0005-0000-0000-0000508F0000}"/>
    <cellStyle name="Porcentaje 4 2 4 2 2" xfId="1148" xr:uid="{00000000-0005-0000-0000-0000518F0000}"/>
    <cellStyle name="Porcentaje 4 2 4 2 2 2" xfId="2383" xr:uid="{00000000-0005-0000-0000-0000528F0000}"/>
    <cellStyle name="Porcentaje 4 2 4 2 2 2 2" xfId="4850" xr:uid="{00000000-0005-0000-0000-0000538F0000}"/>
    <cellStyle name="Porcentaje 4 2 4 2 2 2 2 2" xfId="9782" xr:uid="{00000000-0005-0000-0000-0000548F0000}"/>
    <cellStyle name="Porcentaje 4 2 4 2 2 2 2 2 2" xfId="19642" xr:uid="{00000000-0005-0000-0000-0000558F0000}"/>
    <cellStyle name="Porcentaje 4 2 4 2 2 2 2 2 2 2" xfId="39357" xr:uid="{00000000-0005-0000-0000-0000568F0000}"/>
    <cellStyle name="Porcentaje 4 2 4 2 2 2 2 2 3" xfId="29500" xr:uid="{00000000-0005-0000-0000-0000578F0000}"/>
    <cellStyle name="Porcentaje 4 2 4 2 2 2 2 3" xfId="14714" xr:uid="{00000000-0005-0000-0000-0000588F0000}"/>
    <cellStyle name="Porcentaje 4 2 4 2 2 2 2 3 2" xfId="34429" xr:uid="{00000000-0005-0000-0000-0000598F0000}"/>
    <cellStyle name="Porcentaje 4 2 4 2 2 2 2 4" xfId="24572" xr:uid="{00000000-0005-0000-0000-00005A8F0000}"/>
    <cellStyle name="Porcentaje 4 2 4 2 2 2 3" xfId="7318" xr:uid="{00000000-0005-0000-0000-00005B8F0000}"/>
    <cellStyle name="Porcentaje 4 2 4 2 2 2 3 2" xfId="17178" xr:uid="{00000000-0005-0000-0000-00005C8F0000}"/>
    <cellStyle name="Porcentaje 4 2 4 2 2 2 3 2 2" xfId="36893" xr:uid="{00000000-0005-0000-0000-00005D8F0000}"/>
    <cellStyle name="Porcentaje 4 2 4 2 2 2 3 3" xfId="27036" xr:uid="{00000000-0005-0000-0000-00005E8F0000}"/>
    <cellStyle name="Porcentaje 4 2 4 2 2 2 4" xfId="12250" xr:uid="{00000000-0005-0000-0000-00005F8F0000}"/>
    <cellStyle name="Porcentaje 4 2 4 2 2 2 4 2" xfId="31965" xr:uid="{00000000-0005-0000-0000-0000608F0000}"/>
    <cellStyle name="Porcentaje 4 2 4 2 2 2 5" xfId="22108" xr:uid="{00000000-0005-0000-0000-0000618F0000}"/>
    <cellStyle name="Porcentaje 4 2 4 2 2 3" xfId="3618" xr:uid="{00000000-0005-0000-0000-0000628F0000}"/>
    <cellStyle name="Porcentaje 4 2 4 2 2 3 2" xfId="8550" xr:uid="{00000000-0005-0000-0000-0000638F0000}"/>
    <cellStyle name="Porcentaje 4 2 4 2 2 3 2 2" xfId="18410" xr:uid="{00000000-0005-0000-0000-0000648F0000}"/>
    <cellStyle name="Porcentaje 4 2 4 2 2 3 2 2 2" xfId="38125" xr:uid="{00000000-0005-0000-0000-0000658F0000}"/>
    <cellStyle name="Porcentaje 4 2 4 2 2 3 2 3" xfId="28268" xr:uid="{00000000-0005-0000-0000-0000668F0000}"/>
    <cellStyle name="Porcentaje 4 2 4 2 2 3 3" xfId="13482" xr:uid="{00000000-0005-0000-0000-0000678F0000}"/>
    <cellStyle name="Porcentaje 4 2 4 2 2 3 3 2" xfId="33197" xr:uid="{00000000-0005-0000-0000-0000688F0000}"/>
    <cellStyle name="Porcentaje 4 2 4 2 2 3 4" xfId="23340" xr:uid="{00000000-0005-0000-0000-0000698F0000}"/>
    <cellStyle name="Porcentaje 4 2 4 2 2 4" xfId="6086" xr:uid="{00000000-0005-0000-0000-00006A8F0000}"/>
    <cellStyle name="Porcentaje 4 2 4 2 2 4 2" xfId="15946" xr:uid="{00000000-0005-0000-0000-00006B8F0000}"/>
    <cellStyle name="Porcentaje 4 2 4 2 2 4 2 2" xfId="35661" xr:uid="{00000000-0005-0000-0000-00006C8F0000}"/>
    <cellStyle name="Porcentaje 4 2 4 2 2 4 3" xfId="25804" xr:uid="{00000000-0005-0000-0000-00006D8F0000}"/>
    <cellStyle name="Porcentaje 4 2 4 2 2 5" xfId="11018" xr:uid="{00000000-0005-0000-0000-00006E8F0000}"/>
    <cellStyle name="Porcentaje 4 2 4 2 2 5 2" xfId="30733" xr:uid="{00000000-0005-0000-0000-00006F8F0000}"/>
    <cellStyle name="Porcentaje 4 2 4 2 2 6" xfId="20876" xr:uid="{00000000-0005-0000-0000-0000708F0000}"/>
    <cellStyle name="Porcentaje 4 2 4 2 3" xfId="1767" xr:uid="{00000000-0005-0000-0000-0000718F0000}"/>
    <cellStyle name="Porcentaje 4 2 4 2 3 2" xfId="4234" xr:uid="{00000000-0005-0000-0000-0000728F0000}"/>
    <cellStyle name="Porcentaje 4 2 4 2 3 2 2" xfId="9166" xr:uid="{00000000-0005-0000-0000-0000738F0000}"/>
    <cellStyle name="Porcentaje 4 2 4 2 3 2 2 2" xfId="19026" xr:uid="{00000000-0005-0000-0000-0000748F0000}"/>
    <cellStyle name="Porcentaje 4 2 4 2 3 2 2 2 2" xfId="38741" xr:uid="{00000000-0005-0000-0000-0000758F0000}"/>
    <cellStyle name="Porcentaje 4 2 4 2 3 2 2 3" xfId="28884" xr:uid="{00000000-0005-0000-0000-0000768F0000}"/>
    <cellStyle name="Porcentaje 4 2 4 2 3 2 3" xfId="14098" xr:uid="{00000000-0005-0000-0000-0000778F0000}"/>
    <cellStyle name="Porcentaje 4 2 4 2 3 2 3 2" xfId="33813" xr:uid="{00000000-0005-0000-0000-0000788F0000}"/>
    <cellStyle name="Porcentaje 4 2 4 2 3 2 4" xfId="23956" xr:uid="{00000000-0005-0000-0000-0000798F0000}"/>
    <cellStyle name="Porcentaje 4 2 4 2 3 3" xfId="6702" xr:uid="{00000000-0005-0000-0000-00007A8F0000}"/>
    <cellStyle name="Porcentaje 4 2 4 2 3 3 2" xfId="16562" xr:uid="{00000000-0005-0000-0000-00007B8F0000}"/>
    <cellStyle name="Porcentaje 4 2 4 2 3 3 2 2" xfId="36277" xr:uid="{00000000-0005-0000-0000-00007C8F0000}"/>
    <cellStyle name="Porcentaje 4 2 4 2 3 3 3" xfId="26420" xr:uid="{00000000-0005-0000-0000-00007D8F0000}"/>
    <cellStyle name="Porcentaje 4 2 4 2 3 4" xfId="11634" xr:uid="{00000000-0005-0000-0000-00007E8F0000}"/>
    <cellStyle name="Porcentaje 4 2 4 2 3 4 2" xfId="31349" xr:uid="{00000000-0005-0000-0000-00007F8F0000}"/>
    <cellStyle name="Porcentaje 4 2 4 2 3 5" xfId="21492" xr:uid="{00000000-0005-0000-0000-0000808F0000}"/>
    <cellStyle name="Porcentaje 4 2 4 2 4" xfId="3002" xr:uid="{00000000-0005-0000-0000-0000818F0000}"/>
    <cellStyle name="Porcentaje 4 2 4 2 4 2" xfId="7934" xr:uid="{00000000-0005-0000-0000-0000828F0000}"/>
    <cellStyle name="Porcentaje 4 2 4 2 4 2 2" xfId="17794" xr:uid="{00000000-0005-0000-0000-0000838F0000}"/>
    <cellStyle name="Porcentaje 4 2 4 2 4 2 2 2" xfId="37509" xr:uid="{00000000-0005-0000-0000-0000848F0000}"/>
    <cellStyle name="Porcentaje 4 2 4 2 4 2 3" xfId="27652" xr:uid="{00000000-0005-0000-0000-0000858F0000}"/>
    <cellStyle name="Porcentaje 4 2 4 2 4 3" xfId="12866" xr:uid="{00000000-0005-0000-0000-0000868F0000}"/>
    <cellStyle name="Porcentaje 4 2 4 2 4 3 2" xfId="32581" xr:uid="{00000000-0005-0000-0000-0000878F0000}"/>
    <cellStyle name="Porcentaje 4 2 4 2 4 4" xfId="22724" xr:uid="{00000000-0005-0000-0000-0000888F0000}"/>
    <cellStyle name="Porcentaje 4 2 4 2 5" xfId="5470" xr:uid="{00000000-0005-0000-0000-0000898F0000}"/>
    <cellStyle name="Porcentaje 4 2 4 2 5 2" xfId="15330" xr:uid="{00000000-0005-0000-0000-00008A8F0000}"/>
    <cellStyle name="Porcentaje 4 2 4 2 5 2 2" xfId="35045" xr:uid="{00000000-0005-0000-0000-00008B8F0000}"/>
    <cellStyle name="Porcentaje 4 2 4 2 5 3" xfId="25188" xr:uid="{00000000-0005-0000-0000-00008C8F0000}"/>
    <cellStyle name="Porcentaje 4 2 4 2 6" xfId="10402" xr:uid="{00000000-0005-0000-0000-00008D8F0000}"/>
    <cellStyle name="Porcentaje 4 2 4 2 6 2" xfId="30117" xr:uid="{00000000-0005-0000-0000-00008E8F0000}"/>
    <cellStyle name="Porcentaje 4 2 4 2 7" xfId="20260" xr:uid="{00000000-0005-0000-0000-00008F8F0000}"/>
    <cellStyle name="Porcentaje 4 2 4 3" xfId="841" xr:uid="{00000000-0005-0000-0000-0000908F0000}"/>
    <cellStyle name="Porcentaje 4 2 4 3 2" xfId="2077" xr:uid="{00000000-0005-0000-0000-0000918F0000}"/>
    <cellStyle name="Porcentaje 4 2 4 3 2 2" xfId="4544" xr:uid="{00000000-0005-0000-0000-0000928F0000}"/>
    <cellStyle name="Porcentaje 4 2 4 3 2 2 2" xfId="9476" xr:uid="{00000000-0005-0000-0000-0000938F0000}"/>
    <cellStyle name="Porcentaje 4 2 4 3 2 2 2 2" xfId="19336" xr:uid="{00000000-0005-0000-0000-0000948F0000}"/>
    <cellStyle name="Porcentaje 4 2 4 3 2 2 2 2 2" xfId="39051" xr:uid="{00000000-0005-0000-0000-0000958F0000}"/>
    <cellStyle name="Porcentaje 4 2 4 3 2 2 2 3" xfId="29194" xr:uid="{00000000-0005-0000-0000-0000968F0000}"/>
    <cellStyle name="Porcentaje 4 2 4 3 2 2 3" xfId="14408" xr:uid="{00000000-0005-0000-0000-0000978F0000}"/>
    <cellStyle name="Porcentaje 4 2 4 3 2 2 3 2" xfId="34123" xr:uid="{00000000-0005-0000-0000-0000988F0000}"/>
    <cellStyle name="Porcentaje 4 2 4 3 2 2 4" xfId="24266" xr:uid="{00000000-0005-0000-0000-0000998F0000}"/>
    <cellStyle name="Porcentaje 4 2 4 3 2 3" xfId="7012" xr:uid="{00000000-0005-0000-0000-00009A8F0000}"/>
    <cellStyle name="Porcentaje 4 2 4 3 2 3 2" xfId="16872" xr:uid="{00000000-0005-0000-0000-00009B8F0000}"/>
    <cellStyle name="Porcentaje 4 2 4 3 2 3 2 2" xfId="36587" xr:uid="{00000000-0005-0000-0000-00009C8F0000}"/>
    <cellStyle name="Porcentaje 4 2 4 3 2 3 3" xfId="26730" xr:uid="{00000000-0005-0000-0000-00009D8F0000}"/>
    <cellStyle name="Porcentaje 4 2 4 3 2 4" xfId="11944" xr:uid="{00000000-0005-0000-0000-00009E8F0000}"/>
    <cellStyle name="Porcentaje 4 2 4 3 2 4 2" xfId="31659" xr:uid="{00000000-0005-0000-0000-00009F8F0000}"/>
    <cellStyle name="Porcentaje 4 2 4 3 2 5" xfId="21802" xr:uid="{00000000-0005-0000-0000-0000A08F0000}"/>
    <cellStyle name="Porcentaje 4 2 4 3 3" xfId="3312" xr:uid="{00000000-0005-0000-0000-0000A18F0000}"/>
    <cellStyle name="Porcentaje 4 2 4 3 3 2" xfId="8244" xr:uid="{00000000-0005-0000-0000-0000A28F0000}"/>
    <cellStyle name="Porcentaje 4 2 4 3 3 2 2" xfId="18104" xr:uid="{00000000-0005-0000-0000-0000A38F0000}"/>
    <cellStyle name="Porcentaje 4 2 4 3 3 2 2 2" xfId="37819" xr:uid="{00000000-0005-0000-0000-0000A48F0000}"/>
    <cellStyle name="Porcentaje 4 2 4 3 3 2 3" xfId="27962" xr:uid="{00000000-0005-0000-0000-0000A58F0000}"/>
    <cellStyle name="Porcentaje 4 2 4 3 3 3" xfId="13176" xr:uid="{00000000-0005-0000-0000-0000A68F0000}"/>
    <cellStyle name="Porcentaje 4 2 4 3 3 3 2" xfId="32891" xr:uid="{00000000-0005-0000-0000-0000A78F0000}"/>
    <cellStyle name="Porcentaje 4 2 4 3 3 4" xfId="23034" xr:uid="{00000000-0005-0000-0000-0000A88F0000}"/>
    <cellStyle name="Porcentaje 4 2 4 3 4" xfId="5780" xr:uid="{00000000-0005-0000-0000-0000A98F0000}"/>
    <cellStyle name="Porcentaje 4 2 4 3 4 2" xfId="15640" xr:uid="{00000000-0005-0000-0000-0000AA8F0000}"/>
    <cellStyle name="Porcentaje 4 2 4 3 4 2 2" xfId="35355" xr:uid="{00000000-0005-0000-0000-0000AB8F0000}"/>
    <cellStyle name="Porcentaje 4 2 4 3 4 3" xfId="25498" xr:uid="{00000000-0005-0000-0000-0000AC8F0000}"/>
    <cellStyle name="Porcentaje 4 2 4 3 5" xfId="10712" xr:uid="{00000000-0005-0000-0000-0000AD8F0000}"/>
    <cellStyle name="Porcentaje 4 2 4 3 5 2" xfId="30427" xr:uid="{00000000-0005-0000-0000-0000AE8F0000}"/>
    <cellStyle name="Porcentaje 4 2 4 3 6" xfId="20570" xr:uid="{00000000-0005-0000-0000-0000AF8F0000}"/>
    <cellStyle name="Porcentaje 4 2 4 4" xfId="1461" xr:uid="{00000000-0005-0000-0000-0000B08F0000}"/>
    <cellStyle name="Porcentaje 4 2 4 4 2" xfId="3928" xr:uid="{00000000-0005-0000-0000-0000B18F0000}"/>
    <cellStyle name="Porcentaje 4 2 4 4 2 2" xfId="8860" xr:uid="{00000000-0005-0000-0000-0000B28F0000}"/>
    <cellStyle name="Porcentaje 4 2 4 4 2 2 2" xfId="18720" xr:uid="{00000000-0005-0000-0000-0000B38F0000}"/>
    <cellStyle name="Porcentaje 4 2 4 4 2 2 2 2" xfId="38435" xr:uid="{00000000-0005-0000-0000-0000B48F0000}"/>
    <cellStyle name="Porcentaje 4 2 4 4 2 2 3" xfId="28578" xr:uid="{00000000-0005-0000-0000-0000B58F0000}"/>
    <cellStyle name="Porcentaje 4 2 4 4 2 3" xfId="13792" xr:uid="{00000000-0005-0000-0000-0000B68F0000}"/>
    <cellStyle name="Porcentaje 4 2 4 4 2 3 2" xfId="33507" xr:uid="{00000000-0005-0000-0000-0000B78F0000}"/>
    <cellStyle name="Porcentaje 4 2 4 4 2 4" xfId="23650" xr:uid="{00000000-0005-0000-0000-0000B88F0000}"/>
    <cellStyle name="Porcentaje 4 2 4 4 3" xfId="6396" xr:uid="{00000000-0005-0000-0000-0000B98F0000}"/>
    <cellStyle name="Porcentaje 4 2 4 4 3 2" xfId="16256" xr:uid="{00000000-0005-0000-0000-0000BA8F0000}"/>
    <cellStyle name="Porcentaje 4 2 4 4 3 2 2" xfId="35971" xr:uid="{00000000-0005-0000-0000-0000BB8F0000}"/>
    <cellStyle name="Porcentaje 4 2 4 4 3 3" xfId="26114" xr:uid="{00000000-0005-0000-0000-0000BC8F0000}"/>
    <cellStyle name="Porcentaje 4 2 4 4 4" xfId="11328" xr:uid="{00000000-0005-0000-0000-0000BD8F0000}"/>
    <cellStyle name="Porcentaje 4 2 4 4 4 2" xfId="31043" xr:uid="{00000000-0005-0000-0000-0000BE8F0000}"/>
    <cellStyle name="Porcentaje 4 2 4 4 5" xfId="21186" xr:uid="{00000000-0005-0000-0000-0000BF8F0000}"/>
    <cellStyle name="Porcentaje 4 2 4 5" xfId="2696" xr:uid="{00000000-0005-0000-0000-0000C08F0000}"/>
    <cellStyle name="Porcentaje 4 2 4 5 2" xfId="7628" xr:uid="{00000000-0005-0000-0000-0000C18F0000}"/>
    <cellStyle name="Porcentaje 4 2 4 5 2 2" xfId="17488" xr:uid="{00000000-0005-0000-0000-0000C28F0000}"/>
    <cellStyle name="Porcentaje 4 2 4 5 2 2 2" xfId="37203" xr:uid="{00000000-0005-0000-0000-0000C38F0000}"/>
    <cellStyle name="Porcentaje 4 2 4 5 2 3" xfId="27346" xr:uid="{00000000-0005-0000-0000-0000C48F0000}"/>
    <cellStyle name="Porcentaje 4 2 4 5 3" xfId="12560" xr:uid="{00000000-0005-0000-0000-0000C58F0000}"/>
    <cellStyle name="Porcentaje 4 2 4 5 3 2" xfId="32275" xr:uid="{00000000-0005-0000-0000-0000C68F0000}"/>
    <cellStyle name="Porcentaje 4 2 4 5 4" xfId="22418" xr:uid="{00000000-0005-0000-0000-0000C78F0000}"/>
    <cellStyle name="Porcentaje 4 2 4 6" xfId="5164" xr:uid="{00000000-0005-0000-0000-0000C88F0000}"/>
    <cellStyle name="Porcentaje 4 2 4 6 2" xfId="15024" xr:uid="{00000000-0005-0000-0000-0000C98F0000}"/>
    <cellStyle name="Porcentaje 4 2 4 6 2 2" xfId="34739" xr:uid="{00000000-0005-0000-0000-0000CA8F0000}"/>
    <cellStyle name="Porcentaje 4 2 4 6 3" xfId="24882" xr:uid="{00000000-0005-0000-0000-0000CB8F0000}"/>
    <cellStyle name="Porcentaje 4 2 4 7" xfId="10096" xr:uid="{00000000-0005-0000-0000-0000CC8F0000}"/>
    <cellStyle name="Porcentaje 4 2 4 7 2" xfId="29811" xr:uid="{00000000-0005-0000-0000-0000CD8F0000}"/>
    <cellStyle name="Porcentaje 4 2 4 8" xfId="19954" xr:uid="{00000000-0005-0000-0000-0000CE8F0000}"/>
    <cellStyle name="Porcentaje 4 2 5" xfId="376" xr:uid="{00000000-0005-0000-0000-0000CF8F0000}"/>
    <cellStyle name="Porcentaje 4 2 5 2" xfId="996" xr:uid="{00000000-0005-0000-0000-0000D08F0000}"/>
    <cellStyle name="Porcentaje 4 2 5 2 2" xfId="2231" xr:uid="{00000000-0005-0000-0000-0000D18F0000}"/>
    <cellStyle name="Porcentaje 4 2 5 2 2 2" xfId="4698" xr:uid="{00000000-0005-0000-0000-0000D28F0000}"/>
    <cellStyle name="Porcentaje 4 2 5 2 2 2 2" xfId="9630" xr:uid="{00000000-0005-0000-0000-0000D38F0000}"/>
    <cellStyle name="Porcentaje 4 2 5 2 2 2 2 2" xfId="19490" xr:uid="{00000000-0005-0000-0000-0000D48F0000}"/>
    <cellStyle name="Porcentaje 4 2 5 2 2 2 2 2 2" xfId="39205" xr:uid="{00000000-0005-0000-0000-0000D58F0000}"/>
    <cellStyle name="Porcentaje 4 2 5 2 2 2 2 3" xfId="29348" xr:uid="{00000000-0005-0000-0000-0000D68F0000}"/>
    <cellStyle name="Porcentaje 4 2 5 2 2 2 3" xfId="14562" xr:uid="{00000000-0005-0000-0000-0000D78F0000}"/>
    <cellStyle name="Porcentaje 4 2 5 2 2 2 3 2" xfId="34277" xr:uid="{00000000-0005-0000-0000-0000D88F0000}"/>
    <cellStyle name="Porcentaje 4 2 5 2 2 2 4" xfId="24420" xr:uid="{00000000-0005-0000-0000-0000D98F0000}"/>
    <cellStyle name="Porcentaje 4 2 5 2 2 3" xfId="7166" xr:uid="{00000000-0005-0000-0000-0000DA8F0000}"/>
    <cellStyle name="Porcentaje 4 2 5 2 2 3 2" xfId="17026" xr:uid="{00000000-0005-0000-0000-0000DB8F0000}"/>
    <cellStyle name="Porcentaje 4 2 5 2 2 3 2 2" xfId="36741" xr:uid="{00000000-0005-0000-0000-0000DC8F0000}"/>
    <cellStyle name="Porcentaje 4 2 5 2 2 3 3" xfId="26884" xr:uid="{00000000-0005-0000-0000-0000DD8F0000}"/>
    <cellStyle name="Porcentaje 4 2 5 2 2 4" xfId="12098" xr:uid="{00000000-0005-0000-0000-0000DE8F0000}"/>
    <cellStyle name="Porcentaje 4 2 5 2 2 4 2" xfId="31813" xr:uid="{00000000-0005-0000-0000-0000DF8F0000}"/>
    <cellStyle name="Porcentaje 4 2 5 2 2 5" xfId="21956" xr:uid="{00000000-0005-0000-0000-0000E08F0000}"/>
    <cellStyle name="Porcentaje 4 2 5 2 3" xfId="3466" xr:uid="{00000000-0005-0000-0000-0000E18F0000}"/>
    <cellStyle name="Porcentaje 4 2 5 2 3 2" xfId="8398" xr:uid="{00000000-0005-0000-0000-0000E28F0000}"/>
    <cellStyle name="Porcentaje 4 2 5 2 3 2 2" xfId="18258" xr:uid="{00000000-0005-0000-0000-0000E38F0000}"/>
    <cellStyle name="Porcentaje 4 2 5 2 3 2 2 2" xfId="37973" xr:uid="{00000000-0005-0000-0000-0000E48F0000}"/>
    <cellStyle name="Porcentaje 4 2 5 2 3 2 3" xfId="28116" xr:uid="{00000000-0005-0000-0000-0000E58F0000}"/>
    <cellStyle name="Porcentaje 4 2 5 2 3 3" xfId="13330" xr:uid="{00000000-0005-0000-0000-0000E68F0000}"/>
    <cellStyle name="Porcentaje 4 2 5 2 3 3 2" xfId="33045" xr:uid="{00000000-0005-0000-0000-0000E78F0000}"/>
    <cellStyle name="Porcentaje 4 2 5 2 3 4" xfId="23188" xr:uid="{00000000-0005-0000-0000-0000E88F0000}"/>
    <cellStyle name="Porcentaje 4 2 5 2 4" xfId="5934" xr:uid="{00000000-0005-0000-0000-0000E98F0000}"/>
    <cellStyle name="Porcentaje 4 2 5 2 4 2" xfId="15794" xr:uid="{00000000-0005-0000-0000-0000EA8F0000}"/>
    <cellStyle name="Porcentaje 4 2 5 2 4 2 2" xfId="35509" xr:uid="{00000000-0005-0000-0000-0000EB8F0000}"/>
    <cellStyle name="Porcentaje 4 2 5 2 4 3" xfId="25652" xr:uid="{00000000-0005-0000-0000-0000EC8F0000}"/>
    <cellStyle name="Porcentaje 4 2 5 2 5" xfId="10866" xr:uid="{00000000-0005-0000-0000-0000ED8F0000}"/>
    <cellStyle name="Porcentaje 4 2 5 2 5 2" xfId="30581" xr:uid="{00000000-0005-0000-0000-0000EE8F0000}"/>
    <cellStyle name="Porcentaje 4 2 5 2 6" xfId="20724" xr:uid="{00000000-0005-0000-0000-0000EF8F0000}"/>
    <cellStyle name="Porcentaje 4 2 5 3" xfId="1615" xr:uid="{00000000-0005-0000-0000-0000F08F0000}"/>
    <cellStyle name="Porcentaje 4 2 5 3 2" xfId="4082" xr:uid="{00000000-0005-0000-0000-0000F18F0000}"/>
    <cellStyle name="Porcentaje 4 2 5 3 2 2" xfId="9014" xr:uid="{00000000-0005-0000-0000-0000F28F0000}"/>
    <cellStyle name="Porcentaje 4 2 5 3 2 2 2" xfId="18874" xr:uid="{00000000-0005-0000-0000-0000F38F0000}"/>
    <cellStyle name="Porcentaje 4 2 5 3 2 2 2 2" xfId="38589" xr:uid="{00000000-0005-0000-0000-0000F48F0000}"/>
    <cellStyle name="Porcentaje 4 2 5 3 2 2 3" xfId="28732" xr:uid="{00000000-0005-0000-0000-0000F58F0000}"/>
    <cellStyle name="Porcentaje 4 2 5 3 2 3" xfId="13946" xr:uid="{00000000-0005-0000-0000-0000F68F0000}"/>
    <cellStyle name="Porcentaje 4 2 5 3 2 3 2" xfId="33661" xr:uid="{00000000-0005-0000-0000-0000F78F0000}"/>
    <cellStyle name="Porcentaje 4 2 5 3 2 4" xfId="23804" xr:uid="{00000000-0005-0000-0000-0000F88F0000}"/>
    <cellStyle name="Porcentaje 4 2 5 3 3" xfId="6550" xr:uid="{00000000-0005-0000-0000-0000F98F0000}"/>
    <cellStyle name="Porcentaje 4 2 5 3 3 2" xfId="16410" xr:uid="{00000000-0005-0000-0000-0000FA8F0000}"/>
    <cellStyle name="Porcentaje 4 2 5 3 3 2 2" xfId="36125" xr:uid="{00000000-0005-0000-0000-0000FB8F0000}"/>
    <cellStyle name="Porcentaje 4 2 5 3 3 3" xfId="26268" xr:uid="{00000000-0005-0000-0000-0000FC8F0000}"/>
    <cellStyle name="Porcentaje 4 2 5 3 4" xfId="11482" xr:uid="{00000000-0005-0000-0000-0000FD8F0000}"/>
    <cellStyle name="Porcentaje 4 2 5 3 4 2" xfId="31197" xr:uid="{00000000-0005-0000-0000-0000FE8F0000}"/>
    <cellStyle name="Porcentaje 4 2 5 3 5" xfId="21340" xr:uid="{00000000-0005-0000-0000-0000FF8F0000}"/>
    <cellStyle name="Porcentaje 4 2 5 4" xfId="2850" xr:uid="{00000000-0005-0000-0000-000000900000}"/>
    <cellStyle name="Porcentaje 4 2 5 4 2" xfId="7782" xr:uid="{00000000-0005-0000-0000-000001900000}"/>
    <cellStyle name="Porcentaje 4 2 5 4 2 2" xfId="17642" xr:uid="{00000000-0005-0000-0000-000002900000}"/>
    <cellStyle name="Porcentaje 4 2 5 4 2 2 2" xfId="37357" xr:uid="{00000000-0005-0000-0000-000003900000}"/>
    <cellStyle name="Porcentaje 4 2 5 4 2 3" xfId="27500" xr:uid="{00000000-0005-0000-0000-000004900000}"/>
    <cellStyle name="Porcentaje 4 2 5 4 3" xfId="12714" xr:uid="{00000000-0005-0000-0000-000005900000}"/>
    <cellStyle name="Porcentaje 4 2 5 4 3 2" xfId="32429" xr:uid="{00000000-0005-0000-0000-000006900000}"/>
    <cellStyle name="Porcentaje 4 2 5 4 4" xfId="22572" xr:uid="{00000000-0005-0000-0000-000007900000}"/>
    <cellStyle name="Porcentaje 4 2 5 5" xfId="5318" xr:uid="{00000000-0005-0000-0000-000008900000}"/>
    <cellStyle name="Porcentaje 4 2 5 5 2" xfId="15178" xr:uid="{00000000-0005-0000-0000-000009900000}"/>
    <cellStyle name="Porcentaje 4 2 5 5 2 2" xfId="34893" xr:uid="{00000000-0005-0000-0000-00000A900000}"/>
    <cellStyle name="Porcentaje 4 2 5 5 3" xfId="25036" xr:uid="{00000000-0005-0000-0000-00000B900000}"/>
    <cellStyle name="Porcentaje 4 2 5 6" xfId="10250" xr:uid="{00000000-0005-0000-0000-00000C900000}"/>
    <cellStyle name="Porcentaje 4 2 5 6 2" xfId="29965" xr:uid="{00000000-0005-0000-0000-00000D900000}"/>
    <cellStyle name="Porcentaje 4 2 5 7" xfId="20108" xr:uid="{00000000-0005-0000-0000-00000E900000}"/>
    <cellStyle name="Porcentaje 4 2 6" xfId="689" xr:uid="{00000000-0005-0000-0000-00000F900000}"/>
    <cellStyle name="Porcentaje 4 2 6 2" xfId="1925" xr:uid="{00000000-0005-0000-0000-000010900000}"/>
    <cellStyle name="Porcentaje 4 2 6 2 2" xfId="4392" xr:uid="{00000000-0005-0000-0000-000011900000}"/>
    <cellStyle name="Porcentaje 4 2 6 2 2 2" xfId="9324" xr:uid="{00000000-0005-0000-0000-000012900000}"/>
    <cellStyle name="Porcentaje 4 2 6 2 2 2 2" xfId="19184" xr:uid="{00000000-0005-0000-0000-000013900000}"/>
    <cellStyle name="Porcentaje 4 2 6 2 2 2 2 2" xfId="38899" xr:uid="{00000000-0005-0000-0000-000014900000}"/>
    <cellStyle name="Porcentaje 4 2 6 2 2 2 3" xfId="29042" xr:uid="{00000000-0005-0000-0000-000015900000}"/>
    <cellStyle name="Porcentaje 4 2 6 2 2 3" xfId="14256" xr:uid="{00000000-0005-0000-0000-000016900000}"/>
    <cellStyle name="Porcentaje 4 2 6 2 2 3 2" xfId="33971" xr:uid="{00000000-0005-0000-0000-000017900000}"/>
    <cellStyle name="Porcentaje 4 2 6 2 2 4" xfId="24114" xr:uid="{00000000-0005-0000-0000-000018900000}"/>
    <cellStyle name="Porcentaje 4 2 6 2 3" xfId="6860" xr:uid="{00000000-0005-0000-0000-000019900000}"/>
    <cellStyle name="Porcentaje 4 2 6 2 3 2" xfId="16720" xr:uid="{00000000-0005-0000-0000-00001A900000}"/>
    <cellStyle name="Porcentaje 4 2 6 2 3 2 2" xfId="36435" xr:uid="{00000000-0005-0000-0000-00001B900000}"/>
    <cellStyle name="Porcentaje 4 2 6 2 3 3" xfId="26578" xr:uid="{00000000-0005-0000-0000-00001C900000}"/>
    <cellStyle name="Porcentaje 4 2 6 2 4" xfId="11792" xr:uid="{00000000-0005-0000-0000-00001D900000}"/>
    <cellStyle name="Porcentaje 4 2 6 2 4 2" xfId="31507" xr:uid="{00000000-0005-0000-0000-00001E900000}"/>
    <cellStyle name="Porcentaje 4 2 6 2 5" xfId="21650" xr:uid="{00000000-0005-0000-0000-00001F900000}"/>
    <cellStyle name="Porcentaje 4 2 6 3" xfId="3160" xr:uid="{00000000-0005-0000-0000-000020900000}"/>
    <cellStyle name="Porcentaje 4 2 6 3 2" xfId="8092" xr:uid="{00000000-0005-0000-0000-000021900000}"/>
    <cellStyle name="Porcentaje 4 2 6 3 2 2" xfId="17952" xr:uid="{00000000-0005-0000-0000-000022900000}"/>
    <cellStyle name="Porcentaje 4 2 6 3 2 2 2" xfId="37667" xr:uid="{00000000-0005-0000-0000-000023900000}"/>
    <cellStyle name="Porcentaje 4 2 6 3 2 3" xfId="27810" xr:uid="{00000000-0005-0000-0000-000024900000}"/>
    <cellStyle name="Porcentaje 4 2 6 3 3" xfId="13024" xr:uid="{00000000-0005-0000-0000-000025900000}"/>
    <cellStyle name="Porcentaje 4 2 6 3 3 2" xfId="32739" xr:uid="{00000000-0005-0000-0000-000026900000}"/>
    <cellStyle name="Porcentaje 4 2 6 3 4" xfId="22882" xr:uid="{00000000-0005-0000-0000-000027900000}"/>
    <cellStyle name="Porcentaje 4 2 6 4" xfId="5628" xr:uid="{00000000-0005-0000-0000-000028900000}"/>
    <cellStyle name="Porcentaje 4 2 6 4 2" xfId="15488" xr:uid="{00000000-0005-0000-0000-000029900000}"/>
    <cellStyle name="Porcentaje 4 2 6 4 2 2" xfId="35203" xr:uid="{00000000-0005-0000-0000-00002A900000}"/>
    <cellStyle name="Porcentaje 4 2 6 4 3" xfId="25346" xr:uid="{00000000-0005-0000-0000-00002B900000}"/>
    <cellStyle name="Porcentaje 4 2 6 5" xfId="10560" xr:uid="{00000000-0005-0000-0000-00002C900000}"/>
    <cellStyle name="Porcentaje 4 2 6 5 2" xfId="30275" xr:uid="{00000000-0005-0000-0000-00002D900000}"/>
    <cellStyle name="Porcentaje 4 2 6 6" xfId="20418" xr:uid="{00000000-0005-0000-0000-00002E900000}"/>
    <cellStyle name="Porcentaje 4 2 7" xfId="1309" xr:uid="{00000000-0005-0000-0000-00002F900000}"/>
    <cellStyle name="Porcentaje 4 2 7 2" xfId="3776" xr:uid="{00000000-0005-0000-0000-000030900000}"/>
    <cellStyle name="Porcentaje 4 2 7 2 2" xfId="8708" xr:uid="{00000000-0005-0000-0000-000031900000}"/>
    <cellStyle name="Porcentaje 4 2 7 2 2 2" xfId="18568" xr:uid="{00000000-0005-0000-0000-000032900000}"/>
    <cellStyle name="Porcentaje 4 2 7 2 2 2 2" xfId="38283" xr:uid="{00000000-0005-0000-0000-000033900000}"/>
    <cellStyle name="Porcentaje 4 2 7 2 2 3" xfId="28426" xr:uid="{00000000-0005-0000-0000-000034900000}"/>
    <cellStyle name="Porcentaje 4 2 7 2 3" xfId="13640" xr:uid="{00000000-0005-0000-0000-000035900000}"/>
    <cellStyle name="Porcentaje 4 2 7 2 3 2" xfId="33355" xr:uid="{00000000-0005-0000-0000-000036900000}"/>
    <cellStyle name="Porcentaje 4 2 7 2 4" xfId="23498" xr:uid="{00000000-0005-0000-0000-000037900000}"/>
    <cellStyle name="Porcentaje 4 2 7 3" xfId="6244" xr:uid="{00000000-0005-0000-0000-000038900000}"/>
    <cellStyle name="Porcentaje 4 2 7 3 2" xfId="16104" xr:uid="{00000000-0005-0000-0000-000039900000}"/>
    <cellStyle name="Porcentaje 4 2 7 3 2 2" xfId="35819" xr:uid="{00000000-0005-0000-0000-00003A900000}"/>
    <cellStyle name="Porcentaje 4 2 7 3 3" xfId="25962" xr:uid="{00000000-0005-0000-0000-00003B900000}"/>
    <cellStyle name="Porcentaje 4 2 7 4" xfId="11176" xr:uid="{00000000-0005-0000-0000-00003C900000}"/>
    <cellStyle name="Porcentaje 4 2 7 4 2" xfId="30891" xr:uid="{00000000-0005-0000-0000-00003D900000}"/>
    <cellStyle name="Porcentaje 4 2 7 5" xfId="21034" xr:uid="{00000000-0005-0000-0000-00003E900000}"/>
    <cellStyle name="Porcentaje 4 2 8" xfId="2544" xr:uid="{00000000-0005-0000-0000-00003F900000}"/>
    <cellStyle name="Porcentaje 4 2 8 2" xfId="7476" xr:uid="{00000000-0005-0000-0000-000040900000}"/>
    <cellStyle name="Porcentaje 4 2 8 2 2" xfId="17336" xr:uid="{00000000-0005-0000-0000-000041900000}"/>
    <cellStyle name="Porcentaje 4 2 8 2 2 2" xfId="37051" xr:uid="{00000000-0005-0000-0000-000042900000}"/>
    <cellStyle name="Porcentaje 4 2 8 2 3" xfId="27194" xr:uid="{00000000-0005-0000-0000-000043900000}"/>
    <cellStyle name="Porcentaje 4 2 8 3" xfId="12408" xr:uid="{00000000-0005-0000-0000-000044900000}"/>
    <cellStyle name="Porcentaje 4 2 8 3 2" xfId="32123" xr:uid="{00000000-0005-0000-0000-000045900000}"/>
    <cellStyle name="Porcentaje 4 2 8 4" xfId="22266" xr:uid="{00000000-0005-0000-0000-000046900000}"/>
    <cellStyle name="Porcentaje 4 2 9" xfId="5012" xr:uid="{00000000-0005-0000-0000-000047900000}"/>
    <cellStyle name="Porcentaje 4 2 9 2" xfId="14872" xr:uid="{00000000-0005-0000-0000-000048900000}"/>
    <cellStyle name="Porcentaje 4 2 9 2 2" xfId="34587" xr:uid="{00000000-0005-0000-0000-000049900000}"/>
    <cellStyle name="Porcentaje 4 2 9 3" xfId="24730" xr:uid="{00000000-0005-0000-0000-00004A900000}"/>
    <cellStyle name="Porcentaje 4 3" xfId="71" xr:uid="{00000000-0005-0000-0000-00004B900000}"/>
    <cellStyle name="Porcentaje 4 3 10" xfId="19821" xr:uid="{00000000-0005-0000-0000-00004C900000}"/>
    <cellStyle name="Porcentaje 4 3 2" xfId="152" xr:uid="{00000000-0005-0000-0000-00004D900000}"/>
    <cellStyle name="Porcentaje 4 3 2 2" xfId="309" xr:uid="{00000000-0005-0000-0000-00004E900000}"/>
    <cellStyle name="Porcentaje 4 3 2 2 2" xfId="623" xr:uid="{00000000-0005-0000-0000-00004F900000}"/>
    <cellStyle name="Porcentaje 4 3 2 2 2 2" xfId="1243" xr:uid="{00000000-0005-0000-0000-000050900000}"/>
    <cellStyle name="Porcentaje 4 3 2 2 2 2 2" xfId="2478" xr:uid="{00000000-0005-0000-0000-000051900000}"/>
    <cellStyle name="Porcentaje 4 3 2 2 2 2 2 2" xfId="4945" xr:uid="{00000000-0005-0000-0000-000052900000}"/>
    <cellStyle name="Porcentaje 4 3 2 2 2 2 2 2 2" xfId="9877" xr:uid="{00000000-0005-0000-0000-000053900000}"/>
    <cellStyle name="Porcentaje 4 3 2 2 2 2 2 2 2 2" xfId="19737" xr:uid="{00000000-0005-0000-0000-000054900000}"/>
    <cellStyle name="Porcentaje 4 3 2 2 2 2 2 2 2 2 2" xfId="39452" xr:uid="{00000000-0005-0000-0000-000055900000}"/>
    <cellStyle name="Porcentaje 4 3 2 2 2 2 2 2 2 3" xfId="29595" xr:uid="{00000000-0005-0000-0000-000056900000}"/>
    <cellStyle name="Porcentaje 4 3 2 2 2 2 2 2 3" xfId="14809" xr:uid="{00000000-0005-0000-0000-000057900000}"/>
    <cellStyle name="Porcentaje 4 3 2 2 2 2 2 2 3 2" xfId="34524" xr:uid="{00000000-0005-0000-0000-000058900000}"/>
    <cellStyle name="Porcentaje 4 3 2 2 2 2 2 2 4" xfId="24667" xr:uid="{00000000-0005-0000-0000-000059900000}"/>
    <cellStyle name="Porcentaje 4 3 2 2 2 2 2 3" xfId="7413" xr:uid="{00000000-0005-0000-0000-00005A900000}"/>
    <cellStyle name="Porcentaje 4 3 2 2 2 2 2 3 2" xfId="17273" xr:uid="{00000000-0005-0000-0000-00005B900000}"/>
    <cellStyle name="Porcentaje 4 3 2 2 2 2 2 3 2 2" xfId="36988" xr:uid="{00000000-0005-0000-0000-00005C900000}"/>
    <cellStyle name="Porcentaje 4 3 2 2 2 2 2 3 3" xfId="27131" xr:uid="{00000000-0005-0000-0000-00005D900000}"/>
    <cellStyle name="Porcentaje 4 3 2 2 2 2 2 4" xfId="12345" xr:uid="{00000000-0005-0000-0000-00005E900000}"/>
    <cellStyle name="Porcentaje 4 3 2 2 2 2 2 4 2" xfId="32060" xr:uid="{00000000-0005-0000-0000-00005F900000}"/>
    <cellStyle name="Porcentaje 4 3 2 2 2 2 2 5" xfId="22203" xr:uid="{00000000-0005-0000-0000-000060900000}"/>
    <cellStyle name="Porcentaje 4 3 2 2 2 2 3" xfId="3713" xr:uid="{00000000-0005-0000-0000-000061900000}"/>
    <cellStyle name="Porcentaje 4 3 2 2 2 2 3 2" xfId="8645" xr:uid="{00000000-0005-0000-0000-000062900000}"/>
    <cellStyle name="Porcentaje 4 3 2 2 2 2 3 2 2" xfId="18505" xr:uid="{00000000-0005-0000-0000-000063900000}"/>
    <cellStyle name="Porcentaje 4 3 2 2 2 2 3 2 2 2" xfId="38220" xr:uid="{00000000-0005-0000-0000-000064900000}"/>
    <cellStyle name="Porcentaje 4 3 2 2 2 2 3 2 3" xfId="28363" xr:uid="{00000000-0005-0000-0000-000065900000}"/>
    <cellStyle name="Porcentaje 4 3 2 2 2 2 3 3" xfId="13577" xr:uid="{00000000-0005-0000-0000-000066900000}"/>
    <cellStyle name="Porcentaje 4 3 2 2 2 2 3 3 2" xfId="33292" xr:uid="{00000000-0005-0000-0000-000067900000}"/>
    <cellStyle name="Porcentaje 4 3 2 2 2 2 3 4" xfId="23435" xr:uid="{00000000-0005-0000-0000-000068900000}"/>
    <cellStyle name="Porcentaje 4 3 2 2 2 2 4" xfId="6181" xr:uid="{00000000-0005-0000-0000-000069900000}"/>
    <cellStyle name="Porcentaje 4 3 2 2 2 2 4 2" xfId="16041" xr:uid="{00000000-0005-0000-0000-00006A900000}"/>
    <cellStyle name="Porcentaje 4 3 2 2 2 2 4 2 2" xfId="35756" xr:uid="{00000000-0005-0000-0000-00006B900000}"/>
    <cellStyle name="Porcentaje 4 3 2 2 2 2 4 3" xfId="25899" xr:uid="{00000000-0005-0000-0000-00006C900000}"/>
    <cellStyle name="Porcentaje 4 3 2 2 2 2 5" xfId="11113" xr:uid="{00000000-0005-0000-0000-00006D900000}"/>
    <cellStyle name="Porcentaje 4 3 2 2 2 2 5 2" xfId="30828" xr:uid="{00000000-0005-0000-0000-00006E900000}"/>
    <cellStyle name="Porcentaje 4 3 2 2 2 2 6" xfId="20971" xr:uid="{00000000-0005-0000-0000-00006F900000}"/>
    <cellStyle name="Porcentaje 4 3 2 2 2 3" xfId="1862" xr:uid="{00000000-0005-0000-0000-000070900000}"/>
    <cellStyle name="Porcentaje 4 3 2 2 2 3 2" xfId="4329" xr:uid="{00000000-0005-0000-0000-000071900000}"/>
    <cellStyle name="Porcentaje 4 3 2 2 2 3 2 2" xfId="9261" xr:uid="{00000000-0005-0000-0000-000072900000}"/>
    <cellStyle name="Porcentaje 4 3 2 2 2 3 2 2 2" xfId="19121" xr:uid="{00000000-0005-0000-0000-000073900000}"/>
    <cellStyle name="Porcentaje 4 3 2 2 2 3 2 2 2 2" xfId="38836" xr:uid="{00000000-0005-0000-0000-000074900000}"/>
    <cellStyle name="Porcentaje 4 3 2 2 2 3 2 2 3" xfId="28979" xr:uid="{00000000-0005-0000-0000-000075900000}"/>
    <cellStyle name="Porcentaje 4 3 2 2 2 3 2 3" xfId="14193" xr:uid="{00000000-0005-0000-0000-000076900000}"/>
    <cellStyle name="Porcentaje 4 3 2 2 2 3 2 3 2" xfId="33908" xr:uid="{00000000-0005-0000-0000-000077900000}"/>
    <cellStyle name="Porcentaje 4 3 2 2 2 3 2 4" xfId="24051" xr:uid="{00000000-0005-0000-0000-000078900000}"/>
    <cellStyle name="Porcentaje 4 3 2 2 2 3 3" xfId="6797" xr:uid="{00000000-0005-0000-0000-000079900000}"/>
    <cellStyle name="Porcentaje 4 3 2 2 2 3 3 2" xfId="16657" xr:uid="{00000000-0005-0000-0000-00007A900000}"/>
    <cellStyle name="Porcentaje 4 3 2 2 2 3 3 2 2" xfId="36372" xr:uid="{00000000-0005-0000-0000-00007B900000}"/>
    <cellStyle name="Porcentaje 4 3 2 2 2 3 3 3" xfId="26515" xr:uid="{00000000-0005-0000-0000-00007C900000}"/>
    <cellStyle name="Porcentaje 4 3 2 2 2 3 4" xfId="11729" xr:uid="{00000000-0005-0000-0000-00007D900000}"/>
    <cellStyle name="Porcentaje 4 3 2 2 2 3 4 2" xfId="31444" xr:uid="{00000000-0005-0000-0000-00007E900000}"/>
    <cellStyle name="Porcentaje 4 3 2 2 2 3 5" xfId="21587" xr:uid="{00000000-0005-0000-0000-00007F900000}"/>
    <cellStyle name="Porcentaje 4 3 2 2 2 4" xfId="3097" xr:uid="{00000000-0005-0000-0000-000080900000}"/>
    <cellStyle name="Porcentaje 4 3 2 2 2 4 2" xfId="8029" xr:uid="{00000000-0005-0000-0000-000081900000}"/>
    <cellStyle name="Porcentaje 4 3 2 2 2 4 2 2" xfId="17889" xr:uid="{00000000-0005-0000-0000-000082900000}"/>
    <cellStyle name="Porcentaje 4 3 2 2 2 4 2 2 2" xfId="37604" xr:uid="{00000000-0005-0000-0000-000083900000}"/>
    <cellStyle name="Porcentaje 4 3 2 2 2 4 2 3" xfId="27747" xr:uid="{00000000-0005-0000-0000-000084900000}"/>
    <cellStyle name="Porcentaje 4 3 2 2 2 4 3" xfId="12961" xr:uid="{00000000-0005-0000-0000-000085900000}"/>
    <cellStyle name="Porcentaje 4 3 2 2 2 4 3 2" xfId="32676" xr:uid="{00000000-0005-0000-0000-000086900000}"/>
    <cellStyle name="Porcentaje 4 3 2 2 2 4 4" xfId="22819" xr:uid="{00000000-0005-0000-0000-000087900000}"/>
    <cellStyle name="Porcentaje 4 3 2 2 2 5" xfId="5565" xr:uid="{00000000-0005-0000-0000-000088900000}"/>
    <cellStyle name="Porcentaje 4 3 2 2 2 5 2" xfId="15425" xr:uid="{00000000-0005-0000-0000-000089900000}"/>
    <cellStyle name="Porcentaje 4 3 2 2 2 5 2 2" xfId="35140" xr:uid="{00000000-0005-0000-0000-00008A900000}"/>
    <cellStyle name="Porcentaje 4 3 2 2 2 5 3" xfId="25283" xr:uid="{00000000-0005-0000-0000-00008B900000}"/>
    <cellStyle name="Porcentaje 4 3 2 2 2 6" xfId="10497" xr:uid="{00000000-0005-0000-0000-00008C900000}"/>
    <cellStyle name="Porcentaje 4 3 2 2 2 6 2" xfId="30212" xr:uid="{00000000-0005-0000-0000-00008D900000}"/>
    <cellStyle name="Porcentaje 4 3 2 2 2 7" xfId="20355" xr:uid="{00000000-0005-0000-0000-00008E900000}"/>
    <cellStyle name="Porcentaje 4 3 2 2 3" xfId="936" xr:uid="{00000000-0005-0000-0000-00008F900000}"/>
    <cellStyle name="Porcentaje 4 3 2 2 3 2" xfId="2172" xr:uid="{00000000-0005-0000-0000-000090900000}"/>
    <cellStyle name="Porcentaje 4 3 2 2 3 2 2" xfId="4639" xr:uid="{00000000-0005-0000-0000-000091900000}"/>
    <cellStyle name="Porcentaje 4 3 2 2 3 2 2 2" xfId="9571" xr:uid="{00000000-0005-0000-0000-000092900000}"/>
    <cellStyle name="Porcentaje 4 3 2 2 3 2 2 2 2" xfId="19431" xr:uid="{00000000-0005-0000-0000-000093900000}"/>
    <cellStyle name="Porcentaje 4 3 2 2 3 2 2 2 2 2" xfId="39146" xr:uid="{00000000-0005-0000-0000-000094900000}"/>
    <cellStyle name="Porcentaje 4 3 2 2 3 2 2 2 3" xfId="29289" xr:uid="{00000000-0005-0000-0000-000095900000}"/>
    <cellStyle name="Porcentaje 4 3 2 2 3 2 2 3" xfId="14503" xr:uid="{00000000-0005-0000-0000-000096900000}"/>
    <cellStyle name="Porcentaje 4 3 2 2 3 2 2 3 2" xfId="34218" xr:uid="{00000000-0005-0000-0000-000097900000}"/>
    <cellStyle name="Porcentaje 4 3 2 2 3 2 2 4" xfId="24361" xr:uid="{00000000-0005-0000-0000-000098900000}"/>
    <cellStyle name="Porcentaje 4 3 2 2 3 2 3" xfId="7107" xr:uid="{00000000-0005-0000-0000-000099900000}"/>
    <cellStyle name="Porcentaje 4 3 2 2 3 2 3 2" xfId="16967" xr:uid="{00000000-0005-0000-0000-00009A900000}"/>
    <cellStyle name="Porcentaje 4 3 2 2 3 2 3 2 2" xfId="36682" xr:uid="{00000000-0005-0000-0000-00009B900000}"/>
    <cellStyle name="Porcentaje 4 3 2 2 3 2 3 3" xfId="26825" xr:uid="{00000000-0005-0000-0000-00009C900000}"/>
    <cellStyle name="Porcentaje 4 3 2 2 3 2 4" xfId="12039" xr:uid="{00000000-0005-0000-0000-00009D900000}"/>
    <cellStyle name="Porcentaje 4 3 2 2 3 2 4 2" xfId="31754" xr:uid="{00000000-0005-0000-0000-00009E900000}"/>
    <cellStyle name="Porcentaje 4 3 2 2 3 2 5" xfId="21897" xr:uid="{00000000-0005-0000-0000-00009F900000}"/>
    <cellStyle name="Porcentaje 4 3 2 2 3 3" xfId="3407" xr:uid="{00000000-0005-0000-0000-0000A0900000}"/>
    <cellStyle name="Porcentaje 4 3 2 2 3 3 2" xfId="8339" xr:uid="{00000000-0005-0000-0000-0000A1900000}"/>
    <cellStyle name="Porcentaje 4 3 2 2 3 3 2 2" xfId="18199" xr:uid="{00000000-0005-0000-0000-0000A2900000}"/>
    <cellStyle name="Porcentaje 4 3 2 2 3 3 2 2 2" xfId="37914" xr:uid="{00000000-0005-0000-0000-0000A3900000}"/>
    <cellStyle name="Porcentaje 4 3 2 2 3 3 2 3" xfId="28057" xr:uid="{00000000-0005-0000-0000-0000A4900000}"/>
    <cellStyle name="Porcentaje 4 3 2 2 3 3 3" xfId="13271" xr:uid="{00000000-0005-0000-0000-0000A5900000}"/>
    <cellStyle name="Porcentaje 4 3 2 2 3 3 3 2" xfId="32986" xr:uid="{00000000-0005-0000-0000-0000A6900000}"/>
    <cellStyle name="Porcentaje 4 3 2 2 3 3 4" xfId="23129" xr:uid="{00000000-0005-0000-0000-0000A7900000}"/>
    <cellStyle name="Porcentaje 4 3 2 2 3 4" xfId="5875" xr:uid="{00000000-0005-0000-0000-0000A8900000}"/>
    <cellStyle name="Porcentaje 4 3 2 2 3 4 2" xfId="15735" xr:uid="{00000000-0005-0000-0000-0000A9900000}"/>
    <cellStyle name="Porcentaje 4 3 2 2 3 4 2 2" xfId="35450" xr:uid="{00000000-0005-0000-0000-0000AA900000}"/>
    <cellStyle name="Porcentaje 4 3 2 2 3 4 3" xfId="25593" xr:uid="{00000000-0005-0000-0000-0000AB900000}"/>
    <cellStyle name="Porcentaje 4 3 2 2 3 5" xfId="10807" xr:uid="{00000000-0005-0000-0000-0000AC900000}"/>
    <cellStyle name="Porcentaje 4 3 2 2 3 5 2" xfId="30522" xr:uid="{00000000-0005-0000-0000-0000AD900000}"/>
    <cellStyle name="Porcentaje 4 3 2 2 3 6" xfId="20665" xr:uid="{00000000-0005-0000-0000-0000AE900000}"/>
    <cellStyle name="Porcentaje 4 3 2 2 4" xfId="1556" xr:uid="{00000000-0005-0000-0000-0000AF900000}"/>
    <cellStyle name="Porcentaje 4 3 2 2 4 2" xfId="4023" xr:uid="{00000000-0005-0000-0000-0000B0900000}"/>
    <cellStyle name="Porcentaje 4 3 2 2 4 2 2" xfId="8955" xr:uid="{00000000-0005-0000-0000-0000B1900000}"/>
    <cellStyle name="Porcentaje 4 3 2 2 4 2 2 2" xfId="18815" xr:uid="{00000000-0005-0000-0000-0000B2900000}"/>
    <cellStyle name="Porcentaje 4 3 2 2 4 2 2 2 2" xfId="38530" xr:uid="{00000000-0005-0000-0000-0000B3900000}"/>
    <cellStyle name="Porcentaje 4 3 2 2 4 2 2 3" xfId="28673" xr:uid="{00000000-0005-0000-0000-0000B4900000}"/>
    <cellStyle name="Porcentaje 4 3 2 2 4 2 3" xfId="13887" xr:uid="{00000000-0005-0000-0000-0000B5900000}"/>
    <cellStyle name="Porcentaje 4 3 2 2 4 2 3 2" xfId="33602" xr:uid="{00000000-0005-0000-0000-0000B6900000}"/>
    <cellStyle name="Porcentaje 4 3 2 2 4 2 4" xfId="23745" xr:uid="{00000000-0005-0000-0000-0000B7900000}"/>
    <cellStyle name="Porcentaje 4 3 2 2 4 3" xfId="6491" xr:uid="{00000000-0005-0000-0000-0000B8900000}"/>
    <cellStyle name="Porcentaje 4 3 2 2 4 3 2" xfId="16351" xr:uid="{00000000-0005-0000-0000-0000B9900000}"/>
    <cellStyle name="Porcentaje 4 3 2 2 4 3 2 2" xfId="36066" xr:uid="{00000000-0005-0000-0000-0000BA900000}"/>
    <cellStyle name="Porcentaje 4 3 2 2 4 3 3" xfId="26209" xr:uid="{00000000-0005-0000-0000-0000BB900000}"/>
    <cellStyle name="Porcentaje 4 3 2 2 4 4" xfId="11423" xr:uid="{00000000-0005-0000-0000-0000BC900000}"/>
    <cellStyle name="Porcentaje 4 3 2 2 4 4 2" xfId="31138" xr:uid="{00000000-0005-0000-0000-0000BD900000}"/>
    <cellStyle name="Porcentaje 4 3 2 2 4 5" xfId="21281" xr:uid="{00000000-0005-0000-0000-0000BE900000}"/>
    <cellStyle name="Porcentaje 4 3 2 2 5" xfId="2791" xr:uid="{00000000-0005-0000-0000-0000BF900000}"/>
    <cellStyle name="Porcentaje 4 3 2 2 5 2" xfId="7723" xr:uid="{00000000-0005-0000-0000-0000C0900000}"/>
    <cellStyle name="Porcentaje 4 3 2 2 5 2 2" xfId="17583" xr:uid="{00000000-0005-0000-0000-0000C1900000}"/>
    <cellStyle name="Porcentaje 4 3 2 2 5 2 2 2" xfId="37298" xr:uid="{00000000-0005-0000-0000-0000C2900000}"/>
    <cellStyle name="Porcentaje 4 3 2 2 5 2 3" xfId="27441" xr:uid="{00000000-0005-0000-0000-0000C3900000}"/>
    <cellStyle name="Porcentaje 4 3 2 2 5 3" xfId="12655" xr:uid="{00000000-0005-0000-0000-0000C4900000}"/>
    <cellStyle name="Porcentaje 4 3 2 2 5 3 2" xfId="32370" xr:uid="{00000000-0005-0000-0000-0000C5900000}"/>
    <cellStyle name="Porcentaje 4 3 2 2 5 4" xfId="22513" xr:uid="{00000000-0005-0000-0000-0000C6900000}"/>
    <cellStyle name="Porcentaje 4 3 2 2 6" xfId="5259" xr:uid="{00000000-0005-0000-0000-0000C7900000}"/>
    <cellStyle name="Porcentaje 4 3 2 2 6 2" xfId="15119" xr:uid="{00000000-0005-0000-0000-0000C8900000}"/>
    <cellStyle name="Porcentaje 4 3 2 2 6 2 2" xfId="34834" xr:uid="{00000000-0005-0000-0000-0000C9900000}"/>
    <cellStyle name="Porcentaje 4 3 2 2 6 3" xfId="24977" xr:uid="{00000000-0005-0000-0000-0000CA900000}"/>
    <cellStyle name="Porcentaje 4 3 2 2 7" xfId="10191" xr:uid="{00000000-0005-0000-0000-0000CB900000}"/>
    <cellStyle name="Porcentaje 4 3 2 2 7 2" xfId="29906" xr:uid="{00000000-0005-0000-0000-0000CC900000}"/>
    <cellStyle name="Porcentaje 4 3 2 2 8" xfId="20049" xr:uid="{00000000-0005-0000-0000-0000CD900000}"/>
    <cellStyle name="Porcentaje 4 3 2 3" xfId="471" xr:uid="{00000000-0005-0000-0000-0000CE900000}"/>
    <cellStyle name="Porcentaje 4 3 2 3 2" xfId="1091" xr:uid="{00000000-0005-0000-0000-0000CF900000}"/>
    <cellStyle name="Porcentaje 4 3 2 3 2 2" xfId="2326" xr:uid="{00000000-0005-0000-0000-0000D0900000}"/>
    <cellStyle name="Porcentaje 4 3 2 3 2 2 2" xfId="4793" xr:uid="{00000000-0005-0000-0000-0000D1900000}"/>
    <cellStyle name="Porcentaje 4 3 2 3 2 2 2 2" xfId="9725" xr:uid="{00000000-0005-0000-0000-0000D2900000}"/>
    <cellStyle name="Porcentaje 4 3 2 3 2 2 2 2 2" xfId="19585" xr:uid="{00000000-0005-0000-0000-0000D3900000}"/>
    <cellStyle name="Porcentaje 4 3 2 3 2 2 2 2 2 2" xfId="39300" xr:uid="{00000000-0005-0000-0000-0000D4900000}"/>
    <cellStyle name="Porcentaje 4 3 2 3 2 2 2 2 3" xfId="29443" xr:uid="{00000000-0005-0000-0000-0000D5900000}"/>
    <cellStyle name="Porcentaje 4 3 2 3 2 2 2 3" xfId="14657" xr:uid="{00000000-0005-0000-0000-0000D6900000}"/>
    <cellStyle name="Porcentaje 4 3 2 3 2 2 2 3 2" xfId="34372" xr:uid="{00000000-0005-0000-0000-0000D7900000}"/>
    <cellStyle name="Porcentaje 4 3 2 3 2 2 2 4" xfId="24515" xr:uid="{00000000-0005-0000-0000-0000D8900000}"/>
    <cellStyle name="Porcentaje 4 3 2 3 2 2 3" xfId="7261" xr:uid="{00000000-0005-0000-0000-0000D9900000}"/>
    <cellStyle name="Porcentaje 4 3 2 3 2 2 3 2" xfId="17121" xr:uid="{00000000-0005-0000-0000-0000DA900000}"/>
    <cellStyle name="Porcentaje 4 3 2 3 2 2 3 2 2" xfId="36836" xr:uid="{00000000-0005-0000-0000-0000DB900000}"/>
    <cellStyle name="Porcentaje 4 3 2 3 2 2 3 3" xfId="26979" xr:uid="{00000000-0005-0000-0000-0000DC900000}"/>
    <cellStyle name="Porcentaje 4 3 2 3 2 2 4" xfId="12193" xr:uid="{00000000-0005-0000-0000-0000DD900000}"/>
    <cellStyle name="Porcentaje 4 3 2 3 2 2 4 2" xfId="31908" xr:uid="{00000000-0005-0000-0000-0000DE900000}"/>
    <cellStyle name="Porcentaje 4 3 2 3 2 2 5" xfId="22051" xr:uid="{00000000-0005-0000-0000-0000DF900000}"/>
    <cellStyle name="Porcentaje 4 3 2 3 2 3" xfId="3561" xr:uid="{00000000-0005-0000-0000-0000E0900000}"/>
    <cellStyle name="Porcentaje 4 3 2 3 2 3 2" xfId="8493" xr:uid="{00000000-0005-0000-0000-0000E1900000}"/>
    <cellStyle name="Porcentaje 4 3 2 3 2 3 2 2" xfId="18353" xr:uid="{00000000-0005-0000-0000-0000E2900000}"/>
    <cellStyle name="Porcentaje 4 3 2 3 2 3 2 2 2" xfId="38068" xr:uid="{00000000-0005-0000-0000-0000E3900000}"/>
    <cellStyle name="Porcentaje 4 3 2 3 2 3 2 3" xfId="28211" xr:uid="{00000000-0005-0000-0000-0000E4900000}"/>
    <cellStyle name="Porcentaje 4 3 2 3 2 3 3" xfId="13425" xr:uid="{00000000-0005-0000-0000-0000E5900000}"/>
    <cellStyle name="Porcentaje 4 3 2 3 2 3 3 2" xfId="33140" xr:uid="{00000000-0005-0000-0000-0000E6900000}"/>
    <cellStyle name="Porcentaje 4 3 2 3 2 3 4" xfId="23283" xr:uid="{00000000-0005-0000-0000-0000E7900000}"/>
    <cellStyle name="Porcentaje 4 3 2 3 2 4" xfId="6029" xr:uid="{00000000-0005-0000-0000-0000E8900000}"/>
    <cellStyle name="Porcentaje 4 3 2 3 2 4 2" xfId="15889" xr:uid="{00000000-0005-0000-0000-0000E9900000}"/>
    <cellStyle name="Porcentaje 4 3 2 3 2 4 2 2" xfId="35604" xr:uid="{00000000-0005-0000-0000-0000EA900000}"/>
    <cellStyle name="Porcentaje 4 3 2 3 2 4 3" xfId="25747" xr:uid="{00000000-0005-0000-0000-0000EB900000}"/>
    <cellStyle name="Porcentaje 4 3 2 3 2 5" xfId="10961" xr:uid="{00000000-0005-0000-0000-0000EC900000}"/>
    <cellStyle name="Porcentaje 4 3 2 3 2 5 2" xfId="30676" xr:uid="{00000000-0005-0000-0000-0000ED900000}"/>
    <cellStyle name="Porcentaje 4 3 2 3 2 6" xfId="20819" xr:uid="{00000000-0005-0000-0000-0000EE900000}"/>
    <cellStyle name="Porcentaje 4 3 2 3 3" xfId="1710" xr:uid="{00000000-0005-0000-0000-0000EF900000}"/>
    <cellStyle name="Porcentaje 4 3 2 3 3 2" xfId="4177" xr:uid="{00000000-0005-0000-0000-0000F0900000}"/>
    <cellStyle name="Porcentaje 4 3 2 3 3 2 2" xfId="9109" xr:uid="{00000000-0005-0000-0000-0000F1900000}"/>
    <cellStyle name="Porcentaje 4 3 2 3 3 2 2 2" xfId="18969" xr:uid="{00000000-0005-0000-0000-0000F2900000}"/>
    <cellStyle name="Porcentaje 4 3 2 3 3 2 2 2 2" xfId="38684" xr:uid="{00000000-0005-0000-0000-0000F3900000}"/>
    <cellStyle name="Porcentaje 4 3 2 3 3 2 2 3" xfId="28827" xr:uid="{00000000-0005-0000-0000-0000F4900000}"/>
    <cellStyle name="Porcentaje 4 3 2 3 3 2 3" xfId="14041" xr:uid="{00000000-0005-0000-0000-0000F5900000}"/>
    <cellStyle name="Porcentaje 4 3 2 3 3 2 3 2" xfId="33756" xr:uid="{00000000-0005-0000-0000-0000F6900000}"/>
    <cellStyle name="Porcentaje 4 3 2 3 3 2 4" xfId="23899" xr:uid="{00000000-0005-0000-0000-0000F7900000}"/>
    <cellStyle name="Porcentaje 4 3 2 3 3 3" xfId="6645" xr:uid="{00000000-0005-0000-0000-0000F8900000}"/>
    <cellStyle name="Porcentaje 4 3 2 3 3 3 2" xfId="16505" xr:uid="{00000000-0005-0000-0000-0000F9900000}"/>
    <cellStyle name="Porcentaje 4 3 2 3 3 3 2 2" xfId="36220" xr:uid="{00000000-0005-0000-0000-0000FA900000}"/>
    <cellStyle name="Porcentaje 4 3 2 3 3 3 3" xfId="26363" xr:uid="{00000000-0005-0000-0000-0000FB900000}"/>
    <cellStyle name="Porcentaje 4 3 2 3 3 4" xfId="11577" xr:uid="{00000000-0005-0000-0000-0000FC900000}"/>
    <cellStyle name="Porcentaje 4 3 2 3 3 4 2" xfId="31292" xr:uid="{00000000-0005-0000-0000-0000FD900000}"/>
    <cellStyle name="Porcentaje 4 3 2 3 3 5" xfId="21435" xr:uid="{00000000-0005-0000-0000-0000FE900000}"/>
    <cellStyle name="Porcentaje 4 3 2 3 4" xfId="2945" xr:uid="{00000000-0005-0000-0000-0000FF900000}"/>
    <cellStyle name="Porcentaje 4 3 2 3 4 2" xfId="7877" xr:uid="{00000000-0005-0000-0000-000000910000}"/>
    <cellStyle name="Porcentaje 4 3 2 3 4 2 2" xfId="17737" xr:uid="{00000000-0005-0000-0000-000001910000}"/>
    <cellStyle name="Porcentaje 4 3 2 3 4 2 2 2" xfId="37452" xr:uid="{00000000-0005-0000-0000-000002910000}"/>
    <cellStyle name="Porcentaje 4 3 2 3 4 2 3" xfId="27595" xr:uid="{00000000-0005-0000-0000-000003910000}"/>
    <cellStyle name="Porcentaje 4 3 2 3 4 3" xfId="12809" xr:uid="{00000000-0005-0000-0000-000004910000}"/>
    <cellStyle name="Porcentaje 4 3 2 3 4 3 2" xfId="32524" xr:uid="{00000000-0005-0000-0000-000005910000}"/>
    <cellStyle name="Porcentaje 4 3 2 3 4 4" xfId="22667" xr:uid="{00000000-0005-0000-0000-000006910000}"/>
    <cellStyle name="Porcentaje 4 3 2 3 5" xfId="5413" xr:uid="{00000000-0005-0000-0000-000007910000}"/>
    <cellStyle name="Porcentaje 4 3 2 3 5 2" xfId="15273" xr:uid="{00000000-0005-0000-0000-000008910000}"/>
    <cellStyle name="Porcentaje 4 3 2 3 5 2 2" xfId="34988" xr:uid="{00000000-0005-0000-0000-000009910000}"/>
    <cellStyle name="Porcentaje 4 3 2 3 5 3" xfId="25131" xr:uid="{00000000-0005-0000-0000-00000A910000}"/>
    <cellStyle name="Porcentaje 4 3 2 3 6" xfId="10345" xr:uid="{00000000-0005-0000-0000-00000B910000}"/>
    <cellStyle name="Porcentaje 4 3 2 3 6 2" xfId="30060" xr:uid="{00000000-0005-0000-0000-00000C910000}"/>
    <cellStyle name="Porcentaje 4 3 2 3 7" xfId="20203" xr:uid="{00000000-0005-0000-0000-00000D910000}"/>
    <cellStyle name="Porcentaje 4 3 2 4" xfId="784" xr:uid="{00000000-0005-0000-0000-00000E910000}"/>
    <cellStyle name="Porcentaje 4 3 2 4 2" xfId="2020" xr:uid="{00000000-0005-0000-0000-00000F910000}"/>
    <cellStyle name="Porcentaje 4 3 2 4 2 2" xfId="4487" xr:uid="{00000000-0005-0000-0000-000010910000}"/>
    <cellStyle name="Porcentaje 4 3 2 4 2 2 2" xfId="9419" xr:uid="{00000000-0005-0000-0000-000011910000}"/>
    <cellStyle name="Porcentaje 4 3 2 4 2 2 2 2" xfId="19279" xr:uid="{00000000-0005-0000-0000-000012910000}"/>
    <cellStyle name="Porcentaje 4 3 2 4 2 2 2 2 2" xfId="38994" xr:uid="{00000000-0005-0000-0000-000013910000}"/>
    <cellStyle name="Porcentaje 4 3 2 4 2 2 2 3" xfId="29137" xr:uid="{00000000-0005-0000-0000-000014910000}"/>
    <cellStyle name="Porcentaje 4 3 2 4 2 2 3" xfId="14351" xr:uid="{00000000-0005-0000-0000-000015910000}"/>
    <cellStyle name="Porcentaje 4 3 2 4 2 2 3 2" xfId="34066" xr:uid="{00000000-0005-0000-0000-000016910000}"/>
    <cellStyle name="Porcentaje 4 3 2 4 2 2 4" xfId="24209" xr:uid="{00000000-0005-0000-0000-000017910000}"/>
    <cellStyle name="Porcentaje 4 3 2 4 2 3" xfId="6955" xr:uid="{00000000-0005-0000-0000-000018910000}"/>
    <cellStyle name="Porcentaje 4 3 2 4 2 3 2" xfId="16815" xr:uid="{00000000-0005-0000-0000-000019910000}"/>
    <cellStyle name="Porcentaje 4 3 2 4 2 3 2 2" xfId="36530" xr:uid="{00000000-0005-0000-0000-00001A910000}"/>
    <cellStyle name="Porcentaje 4 3 2 4 2 3 3" xfId="26673" xr:uid="{00000000-0005-0000-0000-00001B910000}"/>
    <cellStyle name="Porcentaje 4 3 2 4 2 4" xfId="11887" xr:uid="{00000000-0005-0000-0000-00001C910000}"/>
    <cellStyle name="Porcentaje 4 3 2 4 2 4 2" xfId="31602" xr:uid="{00000000-0005-0000-0000-00001D910000}"/>
    <cellStyle name="Porcentaje 4 3 2 4 2 5" xfId="21745" xr:uid="{00000000-0005-0000-0000-00001E910000}"/>
    <cellStyle name="Porcentaje 4 3 2 4 3" xfId="3255" xr:uid="{00000000-0005-0000-0000-00001F910000}"/>
    <cellStyle name="Porcentaje 4 3 2 4 3 2" xfId="8187" xr:uid="{00000000-0005-0000-0000-000020910000}"/>
    <cellStyle name="Porcentaje 4 3 2 4 3 2 2" xfId="18047" xr:uid="{00000000-0005-0000-0000-000021910000}"/>
    <cellStyle name="Porcentaje 4 3 2 4 3 2 2 2" xfId="37762" xr:uid="{00000000-0005-0000-0000-000022910000}"/>
    <cellStyle name="Porcentaje 4 3 2 4 3 2 3" xfId="27905" xr:uid="{00000000-0005-0000-0000-000023910000}"/>
    <cellStyle name="Porcentaje 4 3 2 4 3 3" xfId="13119" xr:uid="{00000000-0005-0000-0000-000024910000}"/>
    <cellStyle name="Porcentaje 4 3 2 4 3 3 2" xfId="32834" xr:uid="{00000000-0005-0000-0000-000025910000}"/>
    <cellStyle name="Porcentaje 4 3 2 4 3 4" xfId="22977" xr:uid="{00000000-0005-0000-0000-000026910000}"/>
    <cellStyle name="Porcentaje 4 3 2 4 4" xfId="5723" xr:uid="{00000000-0005-0000-0000-000027910000}"/>
    <cellStyle name="Porcentaje 4 3 2 4 4 2" xfId="15583" xr:uid="{00000000-0005-0000-0000-000028910000}"/>
    <cellStyle name="Porcentaje 4 3 2 4 4 2 2" xfId="35298" xr:uid="{00000000-0005-0000-0000-000029910000}"/>
    <cellStyle name="Porcentaje 4 3 2 4 4 3" xfId="25441" xr:uid="{00000000-0005-0000-0000-00002A910000}"/>
    <cellStyle name="Porcentaje 4 3 2 4 5" xfId="10655" xr:uid="{00000000-0005-0000-0000-00002B910000}"/>
    <cellStyle name="Porcentaje 4 3 2 4 5 2" xfId="30370" xr:uid="{00000000-0005-0000-0000-00002C910000}"/>
    <cellStyle name="Porcentaje 4 3 2 4 6" xfId="20513" xr:uid="{00000000-0005-0000-0000-00002D910000}"/>
    <cellStyle name="Porcentaje 4 3 2 5" xfId="1404" xr:uid="{00000000-0005-0000-0000-00002E910000}"/>
    <cellStyle name="Porcentaje 4 3 2 5 2" xfId="3871" xr:uid="{00000000-0005-0000-0000-00002F910000}"/>
    <cellStyle name="Porcentaje 4 3 2 5 2 2" xfId="8803" xr:uid="{00000000-0005-0000-0000-000030910000}"/>
    <cellStyle name="Porcentaje 4 3 2 5 2 2 2" xfId="18663" xr:uid="{00000000-0005-0000-0000-000031910000}"/>
    <cellStyle name="Porcentaje 4 3 2 5 2 2 2 2" xfId="38378" xr:uid="{00000000-0005-0000-0000-000032910000}"/>
    <cellStyle name="Porcentaje 4 3 2 5 2 2 3" xfId="28521" xr:uid="{00000000-0005-0000-0000-000033910000}"/>
    <cellStyle name="Porcentaje 4 3 2 5 2 3" xfId="13735" xr:uid="{00000000-0005-0000-0000-000034910000}"/>
    <cellStyle name="Porcentaje 4 3 2 5 2 3 2" xfId="33450" xr:uid="{00000000-0005-0000-0000-000035910000}"/>
    <cellStyle name="Porcentaje 4 3 2 5 2 4" xfId="23593" xr:uid="{00000000-0005-0000-0000-000036910000}"/>
    <cellStyle name="Porcentaje 4 3 2 5 3" xfId="6339" xr:uid="{00000000-0005-0000-0000-000037910000}"/>
    <cellStyle name="Porcentaje 4 3 2 5 3 2" xfId="16199" xr:uid="{00000000-0005-0000-0000-000038910000}"/>
    <cellStyle name="Porcentaje 4 3 2 5 3 2 2" xfId="35914" xr:uid="{00000000-0005-0000-0000-000039910000}"/>
    <cellStyle name="Porcentaje 4 3 2 5 3 3" xfId="26057" xr:uid="{00000000-0005-0000-0000-00003A910000}"/>
    <cellStyle name="Porcentaje 4 3 2 5 4" xfId="11271" xr:uid="{00000000-0005-0000-0000-00003B910000}"/>
    <cellStyle name="Porcentaje 4 3 2 5 4 2" xfId="30986" xr:uid="{00000000-0005-0000-0000-00003C910000}"/>
    <cellStyle name="Porcentaje 4 3 2 5 5" xfId="21129" xr:uid="{00000000-0005-0000-0000-00003D910000}"/>
    <cellStyle name="Porcentaje 4 3 2 6" xfId="2639" xr:uid="{00000000-0005-0000-0000-00003E910000}"/>
    <cellStyle name="Porcentaje 4 3 2 6 2" xfId="7571" xr:uid="{00000000-0005-0000-0000-00003F910000}"/>
    <cellStyle name="Porcentaje 4 3 2 6 2 2" xfId="17431" xr:uid="{00000000-0005-0000-0000-000040910000}"/>
    <cellStyle name="Porcentaje 4 3 2 6 2 2 2" xfId="37146" xr:uid="{00000000-0005-0000-0000-000041910000}"/>
    <cellStyle name="Porcentaje 4 3 2 6 2 3" xfId="27289" xr:uid="{00000000-0005-0000-0000-000042910000}"/>
    <cellStyle name="Porcentaje 4 3 2 6 3" xfId="12503" xr:uid="{00000000-0005-0000-0000-000043910000}"/>
    <cellStyle name="Porcentaje 4 3 2 6 3 2" xfId="32218" xr:uid="{00000000-0005-0000-0000-000044910000}"/>
    <cellStyle name="Porcentaje 4 3 2 6 4" xfId="22361" xr:uid="{00000000-0005-0000-0000-000045910000}"/>
    <cellStyle name="Porcentaje 4 3 2 7" xfId="5107" xr:uid="{00000000-0005-0000-0000-000046910000}"/>
    <cellStyle name="Porcentaje 4 3 2 7 2" xfId="14967" xr:uid="{00000000-0005-0000-0000-000047910000}"/>
    <cellStyle name="Porcentaje 4 3 2 7 2 2" xfId="34682" xr:uid="{00000000-0005-0000-0000-000048910000}"/>
    <cellStyle name="Porcentaje 4 3 2 7 3" xfId="24825" xr:uid="{00000000-0005-0000-0000-000049910000}"/>
    <cellStyle name="Porcentaje 4 3 2 8" xfId="10039" xr:uid="{00000000-0005-0000-0000-00004A910000}"/>
    <cellStyle name="Porcentaje 4 3 2 8 2" xfId="29754" xr:uid="{00000000-0005-0000-0000-00004B910000}"/>
    <cellStyle name="Porcentaje 4 3 2 9" xfId="19897" xr:uid="{00000000-0005-0000-0000-00004C910000}"/>
    <cellStyle name="Porcentaje 4 3 3" xfId="233" xr:uid="{00000000-0005-0000-0000-00004D910000}"/>
    <cellStyle name="Porcentaje 4 3 3 2" xfId="547" xr:uid="{00000000-0005-0000-0000-00004E910000}"/>
    <cellStyle name="Porcentaje 4 3 3 2 2" xfId="1167" xr:uid="{00000000-0005-0000-0000-00004F910000}"/>
    <cellStyle name="Porcentaje 4 3 3 2 2 2" xfId="2402" xr:uid="{00000000-0005-0000-0000-000050910000}"/>
    <cellStyle name="Porcentaje 4 3 3 2 2 2 2" xfId="4869" xr:uid="{00000000-0005-0000-0000-000051910000}"/>
    <cellStyle name="Porcentaje 4 3 3 2 2 2 2 2" xfId="9801" xr:uid="{00000000-0005-0000-0000-000052910000}"/>
    <cellStyle name="Porcentaje 4 3 3 2 2 2 2 2 2" xfId="19661" xr:uid="{00000000-0005-0000-0000-000053910000}"/>
    <cellStyle name="Porcentaje 4 3 3 2 2 2 2 2 2 2" xfId="39376" xr:uid="{00000000-0005-0000-0000-000054910000}"/>
    <cellStyle name="Porcentaje 4 3 3 2 2 2 2 2 3" xfId="29519" xr:uid="{00000000-0005-0000-0000-000055910000}"/>
    <cellStyle name="Porcentaje 4 3 3 2 2 2 2 3" xfId="14733" xr:uid="{00000000-0005-0000-0000-000056910000}"/>
    <cellStyle name="Porcentaje 4 3 3 2 2 2 2 3 2" xfId="34448" xr:uid="{00000000-0005-0000-0000-000057910000}"/>
    <cellStyle name="Porcentaje 4 3 3 2 2 2 2 4" xfId="24591" xr:uid="{00000000-0005-0000-0000-000058910000}"/>
    <cellStyle name="Porcentaje 4 3 3 2 2 2 3" xfId="7337" xr:uid="{00000000-0005-0000-0000-000059910000}"/>
    <cellStyle name="Porcentaje 4 3 3 2 2 2 3 2" xfId="17197" xr:uid="{00000000-0005-0000-0000-00005A910000}"/>
    <cellStyle name="Porcentaje 4 3 3 2 2 2 3 2 2" xfId="36912" xr:uid="{00000000-0005-0000-0000-00005B910000}"/>
    <cellStyle name="Porcentaje 4 3 3 2 2 2 3 3" xfId="27055" xr:uid="{00000000-0005-0000-0000-00005C910000}"/>
    <cellStyle name="Porcentaje 4 3 3 2 2 2 4" xfId="12269" xr:uid="{00000000-0005-0000-0000-00005D910000}"/>
    <cellStyle name="Porcentaje 4 3 3 2 2 2 4 2" xfId="31984" xr:uid="{00000000-0005-0000-0000-00005E910000}"/>
    <cellStyle name="Porcentaje 4 3 3 2 2 2 5" xfId="22127" xr:uid="{00000000-0005-0000-0000-00005F910000}"/>
    <cellStyle name="Porcentaje 4 3 3 2 2 3" xfId="3637" xr:uid="{00000000-0005-0000-0000-000060910000}"/>
    <cellStyle name="Porcentaje 4 3 3 2 2 3 2" xfId="8569" xr:uid="{00000000-0005-0000-0000-000061910000}"/>
    <cellStyle name="Porcentaje 4 3 3 2 2 3 2 2" xfId="18429" xr:uid="{00000000-0005-0000-0000-000062910000}"/>
    <cellStyle name="Porcentaje 4 3 3 2 2 3 2 2 2" xfId="38144" xr:uid="{00000000-0005-0000-0000-000063910000}"/>
    <cellStyle name="Porcentaje 4 3 3 2 2 3 2 3" xfId="28287" xr:uid="{00000000-0005-0000-0000-000064910000}"/>
    <cellStyle name="Porcentaje 4 3 3 2 2 3 3" xfId="13501" xr:uid="{00000000-0005-0000-0000-000065910000}"/>
    <cellStyle name="Porcentaje 4 3 3 2 2 3 3 2" xfId="33216" xr:uid="{00000000-0005-0000-0000-000066910000}"/>
    <cellStyle name="Porcentaje 4 3 3 2 2 3 4" xfId="23359" xr:uid="{00000000-0005-0000-0000-000067910000}"/>
    <cellStyle name="Porcentaje 4 3 3 2 2 4" xfId="6105" xr:uid="{00000000-0005-0000-0000-000068910000}"/>
    <cellStyle name="Porcentaje 4 3 3 2 2 4 2" xfId="15965" xr:uid="{00000000-0005-0000-0000-000069910000}"/>
    <cellStyle name="Porcentaje 4 3 3 2 2 4 2 2" xfId="35680" xr:uid="{00000000-0005-0000-0000-00006A910000}"/>
    <cellStyle name="Porcentaje 4 3 3 2 2 4 3" xfId="25823" xr:uid="{00000000-0005-0000-0000-00006B910000}"/>
    <cellStyle name="Porcentaje 4 3 3 2 2 5" xfId="11037" xr:uid="{00000000-0005-0000-0000-00006C910000}"/>
    <cellStyle name="Porcentaje 4 3 3 2 2 5 2" xfId="30752" xr:uid="{00000000-0005-0000-0000-00006D910000}"/>
    <cellStyle name="Porcentaje 4 3 3 2 2 6" xfId="20895" xr:uid="{00000000-0005-0000-0000-00006E910000}"/>
    <cellStyle name="Porcentaje 4 3 3 2 3" xfId="1786" xr:uid="{00000000-0005-0000-0000-00006F910000}"/>
    <cellStyle name="Porcentaje 4 3 3 2 3 2" xfId="4253" xr:uid="{00000000-0005-0000-0000-000070910000}"/>
    <cellStyle name="Porcentaje 4 3 3 2 3 2 2" xfId="9185" xr:uid="{00000000-0005-0000-0000-000071910000}"/>
    <cellStyle name="Porcentaje 4 3 3 2 3 2 2 2" xfId="19045" xr:uid="{00000000-0005-0000-0000-000072910000}"/>
    <cellStyle name="Porcentaje 4 3 3 2 3 2 2 2 2" xfId="38760" xr:uid="{00000000-0005-0000-0000-000073910000}"/>
    <cellStyle name="Porcentaje 4 3 3 2 3 2 2 3" xfId="28903" xr:uid="{00000000-0005-0000-0000-000074910000}"/>
    <cellStyle name="Porcentaje 4 3 3 2 3 2 3" xfId="14117" xr:uid="{00000000-0005-0000-0000-000075910000}"/>
    <cellStyle name="Porcentaje 4 3 3 2 3 2 3 2" xfId="33832" xr:uid="{00000000-0005-0000-0000-000076910000}"/>
    <cellStyle name="Porcentaje 4 3 3 2 3 2 4" xfId="23975" xr:uid="{00000000-0005-0000-0000-000077910000}"/>
    <cellStyle name="Porcentaje 4 3 3 2 3 3" xfId="6721" xr:uid="{00000000-0005-0000-0000-000078910000}"/>
    <cellStyle name="Porcentaje 4 3 3 2 3 3 2" xfId="16581" xr:uid="{00000000-0005-0000-0000-000079910000}"/>
    <cellStyle name="Porcentaje 4 3 3 2 3 3 2 2" xfId="36296" xr:uid="{00000000-0005-0000-0000-00007A910000}"/>
    <cellStyle name="Porcentaje 4 3 3 2 3 3 3" xfId="26439" xr:uid="{00000000-0005-0000-0000-00007B910000}"/>
    <cellStyle name="Porcentaje 4 3 3 2 3 4" xfId="11653" xr:uid="{00000000-0005-0000-0000-00007C910000}"/>
    <cellStyle name="Porcentaje 4 3 3 2 3 4 2" xfId="31368" xr:uid="{00000000-0005-0000-0000-00007D910000}"/>
    <cellStyle name="Porcentaje 4 3 3 2 3 5" xfId="21511" xr:uid="{00000000-0005-0000-0000-00007E910000}"/>
    <cellStyle name="Porcentaje 4 3 3 2 4" xfId="3021" xr:uid="{00000000-0005-0000-0000-00007F910000}"/>
    <cellStyle name="Porcentaje 4 3 3 2 4 2" xfId="7953" xr:uid="{00000000-0005-0000-0000-000080910000}"/>
    <cellStyle name="Porcentaje 4 3 3 2 4 2 2" xfId="17813" xr:uid="{00000000-0005-0000-0000-000081910000}"/>
    <cellStyle name="Porcentaje 4 3 3 2 4 2 2 2" xfId="37528" xr:uid="{00000000-0005-0000-0000-000082910000}"/>
    <cellStyle name="Porcentaje 4 3 3 2 4 2 3" xfId="27671" xr:uid="{00000000-0005-0000-0000-000083910000}"/>
    <cellStyle name="Porcentaje 4 3 3 2 4 3" xfId="12885" xr:uid="{00000000-0005-0000-0000-000084910000}"/>
    <cellStyle name="Porcentaje 4 3 3 2 4 3 2" xfId="32600" xr:uid="{00000000-0005-0000-0000-000085910000}"/>
    <cellStyle name="Porcentaje 4 3 3 2 4 4" xfId="22743" xr:uid="{00000000-0005-0000-0000-000086910000}"/>
    <cellStyle name="Porcentaje 4 3 3 2 5" xfId="5489" xr:uid="{00000000-0005-0000-0000-000087910000}"/>
    <cellStyle name="Porcentaje 4 3 3 2 5 2" xfId="15349" xr:uid="{00000000-0005-0000-0000-000088910000}"/>
    <cellStyle name="Porcentaje 4 3 3 2 5 2 2" xfId="35064" xr:uid="{00000000-0005-0000-0000-000089910000}"/>
    <cellStyle name="Porcentaje 4 3 3 2 5 3" xfId="25207" xr:uid="{00000000-0005-0000-0000-00008A910000}"/>
    <cellStyle name="Porcentaje 4 3 3 2 6" xfId="10421" xr:uid="{00000000-0005-0000-0000-00008B910000}"/>
    <cellStyle name="Porcentaje 4 3 3 2 6 2" xfId="30136" xr:uid="{00000000-0005-0000-0000-00008C910000}"/>
    <cellStyle name="Porcentaje 4 3 3 2 7" xfId="20279" xr:uid="{00000000-0005-0000-0000-00008D910000}"/>
    <cellStyle name="Porcentaje 4 3 3 3" xfId="860" xr:uid="{00000000-0005-0000-0000-00008E910000}"/>
    <cellStyle name="Porcentaje 4 3 3 3 2" xfId="2096" xr:uid="{00000000-0005-0000-0000-00008F910000}"/>
    <cellStyle name="Porcentaje 4 3 3 3 2 2" xfId="4563" xr:uid="{00000000-0005-0000-0000-000090910000}"/>
    <cellStyle name="Porcentaje 4 3 3 3 2 2 2" xfId="9495" xr:uid="{00000000-0005-0000-0000-000091910000}"/>
    <cellStyle name="Porcentaje 4 3 3 3 2 2 2 2" xfId="19355" xr:uid="{00000000-0005-0000-0000-000092910000}"/>
    <cellStyle name="Porcentaje 4 3 3 3 2 2 2 2 2" xfId="39070" xr:uid="{00000000-0005-0000-0000-000093910000}"/>
    <cellStyle name="Porcentaje 4 3 3 3 2 2 2 3" xfId="29213" xr:uid="{00000000-0005-0000-0000-000094910000}"/>
    <cellStyle name="Porcentaje 4 3 3 3 2 2 3" xfId="14427" xr:uid="{00000000-0005-0000-0000-000095910000}"/>
    <cellStyle name="Porcentaje 4 3 3 3 2 2 3 2" xfId="34142" xr:uid="{00000000-0005-0000-0000-000096910000}"/>
    <cellStyle name="Porcentaje 4 3 3 3 2 2 4" xfId="24285" xr:uid="{00000000-0005-0000-0000-000097910000}"/>
    <cellStyle name="Porcentaje 4 3 3 3 2 3" xfId="7031" xr:uid="{00000000-0005-0000-0000-000098910000}"/>
    <cellStyle name="Porcentaje 4 3 3 3 2 3 2" xfId="16891" xr:uid="{00000000-0005-0000-0000-000099910000}"/>
    <cellStyle name="Porcentaje 4 3 3 3 2 3 2 2" xfId="36606" xr:uid="{00000000-0005-0000-0000-00009A910000}"/>
    <cellStyle name="Porcentaje 4 3 3 3 2 3 3" xfId="26749" xr:uid="{00000000-0005-0000-0000-00009B910000}"/>
    <cellStyle name="Porcentaje 4 3 3 3 2 4" xfId="11963" xr:uid="{00000000-0005-0000-0000-00009C910000}"/>
    <cellStyle name="Porcentaje 4 3 3 3 2 4 2" xfId="31678" xr:uid="{00000000-0005-0000-0000-00009D910000}"/>
    <cellStyle name="Porcentaje 4 3 3 3 2 5" xfId="21821" xr:uid="{00000000-0005-0000-0000-00009E910000}"/>
    <cellStyle name="Porcentaje 4 3 3 3 3" xfId="3331" xr:uid="{00000000-0005-0000-0000-00009F910000}"/>
    <cellStyle name="Porcentaje 4 3 3 3 3 2" xfId="8263" xr:uid="{00000000-0005-0000-0000-0000A0910000}"/>
    <cellStyle name="Porcentaje 4 3 3 3 3 2 2" xfId="18123" xr:uid="{00000000-0005-0000-0000-0000A1910000}"/>
    <cellStyle name="Porcentaje 4 3 3 3 3 2 2 2" xfId="37838" xr:uid="{00000000-0005-0000-0000-0000A2910000}"/>
    <cellStyle name="Porcentaje 4 3 3 3 3 2 3" xfId="27981" xr:uid="{00000000-0005-0000-0000-0000A3910000}"/>
    <cellStyle name="Porcentaje 4 3 3 3 3 3" xfId="13195" xr:uid="{00000000-0005-0000-0000-0000A4910000}"/>
    <cellStyle name="Porcentaje 4 3 3 3 3 3 2" xfId="32910" xr:uid="{00000000-0005-0000-0000-0000A5910000}"/>
    <cellStyle name="Porcentaje 4 3 3 3 3 4" xfId="23053" xr:uid="{00000000-0005-0000-0000-0000A6910000}"/>
    <cellStyle name="Porcentaje 4 3 3 3 4" xfId="5799" xr:uid="{00000000-0005-0000-0000-0000A7910000}"/>
    <cellStyle name="Porcentaje 4 3 3 3 4 2" xfId="15659" xr:uid="{00000000-0005-0000-0000-0000A8910000}"/>
    <cellStyle name="Porcentaje 4 3 3 3 4 2 2" xfId="35374" xr:uid="{00000000-0005-0000-0000-0000A9910000}"/>
    <cellStyle name="Porcentaje 4 3 3 3 4 3" xfId="25517" xr:uid="{00000000-0005-0000-0000-0000AA910000}"/>
    <cellStyle name="Porcentaje 4 3 3 3 5" xfId="10731" xr:uid="{00000000-0005-0000-0000-0000AB910000}"/>
    <cellStyle name="Porcentaje 4 3 3 3 5 2" xfId="30446" xr:uid="{00000000-0005-0000-0000-0000AC910000}"/>
    <cellStyle name="Porcentaje 4 3 3 3 6" xfId="20589" xr:uid="{00000000-0005-0000-0000-0000AD910000}"/>
    <cellStyle name="Porcentaje 4 3 3 4" xfId="1480" xr:uid="{00000000-0005-0000-0000-0000AE910000}"/>
    <cellStyle name="Porcentaje 4 3 3 4 2" xfId="3947" xr:uid="{00000000-0005-0000-0000-0000AF910000}"/>
    <cellStyle name="Porcentaje 4 3 3 4 2 2" xfId="8879" xr:uid="{00000000-0005-0000-0000-0000B0910000}"/>
    <cellStyle name="Porcentaje 4 3 3 4 2 2 2" xfId="18739" xr:uid="{00000000-0005-0000-0000-0000B1910000}"/>
    <cellStyle name="Porcentaje 4 3 3 4 2 2 2 2" xfId="38454" xr:uid="{00000000-0005-0000-0000-0000B2910000}"/>
    <cellStyle name="Porcentaje 4 3 3 4 2 2 3" xfId="28597" xr:uid="{00000000-0005-0000-0000-0000B3910000}"/>
    <cellStyle name="Porcentaje 4 3 3 4 2 3" xfId="13811" xr:uid="{00000000-0005-0000-0000-0000B4910000}"/>
    <cellStyle name="Porcentaje 4 3 3 4 2 3 2" xfId="33526" xr:uid="{00000000-0005-0000-0000-0000B5910000}"/>
    <cellStyle name="Porcentaje 4 3 3 4 2 4" xfId="23669" xr:uid="{00000000-0005-0000-0000-0000B6910000}"/>
    <cellStyle name="Porcentaje 4 3 3 4 3" xfId="6415" xr:uid="{00000000-0005-0000-0000-0000B7910000}"/>
    <cellStyle name="Porcentaje 4 3 3 4 3 2" xfId="16275" xr:uid="{00000000-0005-0000-0000-0000B8910000}"/>
    <cellStyle name="Porcentaje 4 3 3 4 3 2 2" xfId="35990" xr:uid="{00000000-0005-0000-0000-0000B9910000}"/>
    <cellStyle name="Porcentaje 4 3 3 4 3 3" xfId="26133" xr:uid="{00000000-0005-0000-0000-0000BA910000}"/>
    <cellStyle name="Porcentaje 4 3 3 4 4" xfId="11347" xr:uid="{00000000-0005-0000-0000-0000BB910000}"/>
    <cellStyle name="Porcentaje 4 3 3 4 4 2" xfId="31062" xr:uid="{00000000-0005-0000-0000-0000BC910000}"/>
    <cellStyle name="Porcentaje 4 3 3 4 5" xfId="21205" xr:uid="{00000000-0005-0000-0000-0000BD910000}"/>
    <cellStyle name="Porcentaje 4 3 3 5" xfId="2715" xr:uid="{00000000-0005-0000-0000-0000BE910000}"/>
    <cellStyle name="Porcentaje 4 3 3 5 2" xfId="7647" xr:uid="{00000000-0005-0000-0000-0000BF910000}"/>
    <cellStyle name="Porcentaje 4 3 3 5 2 2" xfId="17507" xr:uid="{00000000-0005-0000-0000-0000C0910000}"/>
    <cellStyle name="Porcentaje 4 3 3 5 2 2 2" xfId="37222" xr:uid="{00000000-0005-0000-0000-0000C1910000}"/>
    <cellStyle name="Porcentaje 4 3 3 5 2 3" xfId="27365" xr:uid="{00000000-0005-0000-0000-0000C2910000}"/>
    <cellStyle name="Porcentaje 4 3 3 5 3" xfId="12579" xr:uid="{00000000-0005-0000-0000-0000C3910000}"/>
    <cellStyle name="Porcentaje 4 3 3 5 3 2" xfId="32294" xr:uid="{00000000-0005-0000-0000-0000C4910000}"/>
    <cellStyle name="Porcentaje 4 3 3 5 4" xfId="22437" xr:uid="{00000000-0005-0000-0000-0000C5910000}"/>
    <cellStyle name="Porcentaje 4 3 3 6" xfId="5183" xr:uid="{00000000-0005-0000-0000-0000C6910000}"/>
    <cellStyle name="Porcentaje 4 3 3 6 2" xfId="15043" xr:uid="{00000000-0005-0000-0000-0000C7910000}"/>
    <cellStyle name="Porcentaje 4 3 3 6 2 2" xfId="34758" xr:uid="{00000000-0005-0000-0000-0000C8910000}"/>
    <cellStyle name="Porcentaje 4 3 3 6 3" xfId="24901" xr:uid="{00000000-0005-0000-0000-0000C9910000}"/>
    <cellStyle name="Porcentaje 4 3 3 7" xfId="10115" xr:uid="{00000000-0005-0000-0000-0000CA910000}"/>
    <cellStyle name="Porcentaje 4 3 3 7 2" xfId="29830" xr:uid="{00000000-0005-0000-0000-0000CB910000}"/>
    <cellStyle name="Porcentaje 4 3 3 8" xfId="19973" xr:uid="{00000000-0005-0000-0000-0000CC910000}"/>
    <cellStyle name="Porcentaje 4 3 4" xfId="395" xr:uid="{00000000-0005-0000-0000-0000CD910000}"/>
    <cellStyle name="Porcentaje 4 3 4 2" xfId="1015" xr:uid="{00000000-0005-0000-0000-0000CE910000}"/>
    <cellStyle name="Porcentaje 4 3 4 2 2" xfId="2250" xr:uid="{00000000-0005-0000-0000-0000CF910000}"/>
    <cellStyle name="Porcentaje 4 3 4 2 2 2" xfId="4717" xr:uid="{00000000-0005-0000-0000-0000D0910000}"/>
    <cellStyle name="Porcentaje 4 3 4 2 2 2 2" xfId="9649" xr:uid="{00000000-0005-0000-0000-0000D1910000}"/>
    <cellStyle name="Porcentaje 4 3 4 2 2 2 2 2" xfId="19509" xr:uid="{00000000-0005-0000-0000-0000D2910000}"/>
    <cellStyle name="Porcentaje 4 3 4 2 2 2 2 2 2" xfId="39224" xr:uid="{00000000-0005-0000-0000-0000D3910000}"/>
    <cellStyle name="Porcentaje 4 3 4 2 2 2 2 3" xfId="29367" xr:uid="{00000000-0005-0000-0000-0000D4910000}"/>
    <cellStyle name="Porcentaje 4 3 4 2 2 2 3" xfId="14581" xr:uid="{00000000-0005-0000-0000-0000D5910000}"/>
    <cellStyle name="Porcentaje 4 3 4 2 2 2 3 2" xfId="34296" xr:uid="{00000000-0005-0000-0000-0000D6910000}"/>
    <cellStyle name="Porcentaje 4 3 4 2 2 2 4" xfId="24439" xr:uid="{00000000-0005-0000-0000-0000D7910000}"/>
    <cellStyle name="Porcentaje 4 3 4 2 2 3" xfId="7185" xr:uid="{00000000-0005-0000-0000-0000D8910000}"/>
    <cellStyle name="Porcentaje 4 3 4 2 2 3 2" xfId="17045" xr:uid="{00000000-0005-0000-0000-0000D9910000}"/>
    <cellStyle name="Porcentaje 4 3 4 2 2 3 2 2" xfId="36760" xr:uid="{00000000-0005-0000-0000-0000DA910000}"/>
    <cellStyle name="Porcentaje 4 3 4 2 2 3 3" xfId="26903" xr:uid="{00000000-0005-0000-0000-0000DB910000}"/>
    <cellStyle name="Porcentaje 4 3 4 2 2 4" xfId="12117" xr:uid="{00000000-0005-0000-0000-0000DC910000}"/>
    <cellStyle name="Porcentaje 4 3 4 2 2 4 2" xfId="31832" xr:uid="{00000000-0005-0000-0000-0000DD910000}"/>
    <cellStyle name="Porcentaje 4 3 4 2 2 5" xfId="21975" xr:uid="{00000000-0005-0000-0000-0000DE910000}"/>
    <cellStyle name="Porcentaje 4 3 4 2 3" xfId="3485" xr:uid="{00000000-0005-0000-0000-0000DF910000}"/>
    <cellStyle name="Porcentaje 4 3 4 2 3 2" xfId="8417" xr:uid="{00000000-0005-0000-0000-0000E0910000}"/>
    <cellStyle name="Porcentaje 4 3 4 2 3 2 2" xfId="18277" xr:uid="{00000000-0005-0000-0000-0000E1910000}"/>
    <cellStyle name="Porcentaje 4 3 4 2 3 2 2 2" xfId="37992" xr:uid="{00000000-0005-0000-0000-0000E2910000}"/>
    <cellStyle name="Porcentaje 4 3 4 2 3 2 3" xfId="28135" xr:uid="{00000000-0005-0000-0000-0000E3910000}"/>
    <cellStyle name="Porcentaje 4 3 4 2 3 3" xfId="13349" xr:uid="{00000000-0005-0000-0000-0000E4910000}"/>
    <cellStyle name="Porcentaje 4 3 4 2 3 3 2" xfId="33064" xr:uid="{00000000-0005-0000-0000-0000E5910000}"/>
    <cellStyle name="Porcentaje 4 3 4 2 3 4" xfId="23207" xr:uid="{00000000-0005-0000-0000-0000E6910000}"/>
    <cellStyle name="Porcentaje 4 3 4 2 4" xfId="5953" xr:uid="{00000000-0005-0000-0000-0000E7910000}"/>
    <cellStyle name="Porcentaje 4 3 4 2 4 2" xfId="15813" xr:uid="{00000000-0005-0000-0000-0000E8910000}"/>
    <cellStyle name="Porcentaje 4 3 4 2 4 2 2" xfId="35528" xr:uid="{00000000-0005-0000-0000-0000E9910000}"/>
    <cellStyle name="Porcentaje 4 3 4 2 4 3" xfId="25671" xr:uid="{00000000-0005-0000-0000-0000EA910000}"/>
    <cellStyle name="Porcentaje 4 3 4 2 5" xfId="10885" xr:uid="{00000000-0005-0000-0000-0000EB910000}"/>
    <cellStyle name="Porcentaje 4 3 4 2 5 2" xfId="30600" xr:uid="{00000000-0005-0000-0000-0000EC910000}"/>
    <cellStyle name="Porcentaje 4 3 4 2 6" xfId="20743" xr:uid="{00000000-0005-0000-0000-0000ED910000}"/>
    <cellStyle name="Porcentaje 4 3 4 3" xfId="1634" xr:uid="{00000000-0005-0000-0000-0000EE910000}"/>
    <cellStyle name="Porcentaje 4 3 4 3 2" xfId="4101" xr:uid="{00000000-0005-0000-0000-0000EF910000}"/>
    <cellStyle name="Porcentaje 4 3 4 3 2 2" xfId="9033" xr:uid="{00000000-0005-0000-0000-0000F0910000}"/>
    <cellStyle name="Porcentaje 4 3 4 3 2 2 2" xfId="18893" xr:uid="{00000000-0005-0000-0000-0000F1910000}"/>
    <cellStyle name="Porcentaje 4 3 4 3 2 2 2 2" xfId="38608" xr:uid="{00000000-0005-0000-0000-0000F2910000}"/>
    <cellStyle name="Porcentaje 4 3 4 3 2 2 3" xfId="28751" xr:uid="{00000000-0005-0000-0000-0000F3910000}"/>
    <cellStyle name="Porcentaje 4 3 4 3 2 3" xfId="13965" xr:uid="{00000000-0005-0000-0000-0000F4910000}"/>
    <cellStyle name="Porcentaje 4 3 4 3 2 3 2" xfId="33680" xr:uid="{00000000-0005-0000-0000-0000F5910000}"/>
    <cellStyle name="Porcentaje 4 3 4 3 2 4" xfId="23823" xr:uid="{00000000-0005-0000-0000-0000F6910000}"/>
    <cellStyle name="Porcentaje 4 3 4 3 3" xfId="6569" xr:uid="{00000000-0005-0000-0000-0000F7910000}"/>
    <cellStyle name="Porcentaje 4 3 4 3 3 2" xfId="16429" xr:uid="{00000000-0005-0000-0000-0000F8910000}"/>
    <cellStyle name="Porcentaje 4 3 4 3 3 2 2" xfId="36144" xr:uid="{00000000-0005-0000-0000-0000F9910000}"/>
    <cellStyle name="Porcentaje 4 3 4 3 3 3" xfId="26287" xr:uid="{00000000-0005-0000-0000-0000FA910000}"/>
    <cellStyle name="Porcentaje 4 3 4 3 4" xfId="11501" xr:uid="{00000000-0005-0000-0000-0000FB910000}"/>
    <cellStyle name="Porcentaje 4 3 4 3 4 2" xfId="31216" xr:uid="{00000000-0005-0000-0000-0000FC910000}"/>
    <cellStyle name="Porcentaje 4 3 4 3 5" xfId="21359" xr:uid="{00000000-0005-0000-0000-0000FD910000}"/>
    <cellStyle name="Porcentaje 4 3 4 4" xfId="2869" xr:uid="{00000000-0005-0000-0000-0000FE910000}"/>
    <cellStyle name="Porcentaje 4 3 4 4 2" xfId="7801" xr:uid="{00000000-0005-0000-0000-0000FF910000}"/>
    <cellStyle name="Porcentaje 4 3 4 4 2 2" xfId="17661" xr:uid="{00000000-0005-0000-0000-000000920000}"/>
    <cellStyle name="Porcentaje 4 3 4 4 2 2 2" xfId="37376" xr:uid="{00000000-0005-0000-0000-000001920000}"/>
    <cellStyle name="Porcentaje 4 3 4 4 2 3" xfId="27519" xr:uid="{00000000-0005-0000-0000-000002920000}"/>
    <cellStyle name="Porcentaje 4 3 4 4 3" xfId="12733" xr:uid="{00000000-0005-0000-0000-000003920000}"/>
    <cellStyle name="Porcentaje 4 3 4 4 3 2" xfId="32448" xr:uid="{00000000-0005-0000-0000-000004920000}"/>
    <cellStyle name="Porcentaje 4 3 4 4 4" xfId="22591" xr:uid="{00000000-0005-0000-0000-000005920000}"/>
    <cellStyle name="Porcentaje 4 3 4 5" xfId="5337" xr:uid="{00000000-0005-0000-0000-000006920000}"/>
    <cellStyle name="Porcentaje 4 3 4 5 2" xfId="15197" xr:uid="{00000000-0005-0000-0000-000007920000}"/>
    <cellStyle name="Porcentaje 4 3 4 5 2 2" xfId="34912" xr:uid="{00000000-0005-0000-0000-000008920000}"/>
    <cellStyle name="Porcentaje 4 3 4 5 3" xfId="25055" xr:uid="{00000000-0005-0000-0000-000009920000}"/>
    <cellStyle name="Porcentaje 4 3 4 6" xfId="10269" xr:uid="{00000000-0005-0000-0000-00000A920000}"/>
    <cellStyle name="Porcentaje 4 3 4 6 2" xfId="29984" xr:uid="{00000000-0005-0000-0000-00000B920000}"/>
    <cellStyle name="Porcentaje 4 3 4 7" xfId="20127" xr:uid="{00000000-0005-0000-0000-00000C920000}"/>
    <cellStyle name="Porcentaje 4 3 5" xfId="708" xr:uid="{00000000-0005-0000-0000-00000D920000}"/>
    <cellStyle name="Porcentaje 4 3 5 2" xfId="1944" xr:uid="{00000000-0005-0000-0000-00000E920000}"/>
    <cellStyle name="Porcentaje 4 3 5 2 2" xfId="4411" xr:uid="{00000000-0005-0000-0000-00000F920000}"/>
    <cellStyle name="Porcentaje 4 3 5 2 2 2" xfId="9343" xr:uid="{00000000-0005-0000-0000-000010920000}"/>
    <cellStyle name="Porcentaje 4 3 5 2 2 2 2" xfId="19203" xr:uid="{00000000-0005-0000-0000-000011920000}"/>
    <cellStyle name="Porcentaje 4 3 5 2 2 2 2 2" xfId="38918" xr:uid="{00000000-0005-0000-0000-000012920000}"/>
    <cellStyle name="Porcentaje 4 3 5 2 2 2 3" xfId="29061" xr:uid="{00000000-0005-0000-0000-000013920000}"/>
    <cellStyle name="Porcentaje 4 3 5 2 2 3" xfId="14275" xr:uid="{00000000-0005-0000-0000-000014920000}"/>
    <cellStyle name="Porcentaje 4 3 5 2 2 3 2" xfId="33990" xr:uid="{00000000-0005-0000-0000-000015920000}"/>
    <cellStyle name="Porcentaje 4 3 5 2 2 4" xfId="24133" xr:uid="{00000000-0005-0000-0000-000016920000}"/>
    <cellStyle name="Porcentaje 4 3 5 2 3" xfId="6879" xr:uid="{00000000-0005-0000-0000-000017920000}"/>
    <cellStyle name="Porcentaje 4 3 5 2 3 2" xfId="16739" xr:uid="{00000000-0005-0000-0000-000018920000}"/>
    <cellStyle name="Porcentaje 4 3 5 2 3 2 2" xfId="36454" xr:uid="{00000000-0005-0000-0000-000019920000}"/>
    <cellStyle name="Porcentaje 4 3 5 2 3 3" xfId="26597" xr:uid="{00000000-0005-0000-0000-00001A920000}"/>
    <cellStyle name="Porcentaje 4 3 5 2 4" xfId="11811" xr:uid="{00000000-0005-0000-0000-00001B920000}"/>
    <cellStyle name="Porcentaje 4 3 5 2 4 2" xfId="31526" xr:uid="{00000000-0005-0000-0000-00001C920000}"/>
    <cellStyle name="Porcentaje 4 3 5 2 5" xfId="21669" xr:uid="{00000000-0005-0000-0000-00001D920000}"/>
    <cellStyle name="Porcentaje 4 3 5 3" xfId="3179" xr:uid="{00000000-0005-0000-0000-00001E920000}"/>
    <cellStyle name="Porcentaje 4 3 5 3 2" xfId="8111" xr:uid="{00000000-0005-0000-0000-00001F920000}"/>
    <cellStyle name="Porcentaje 4 3 5 3 2 2" xfId="17971" xr:uid="{00000000-0005-0000-0000-000020920000}"/>
    <cellStyle name="Porcentaje 4 3 5 3 2 2 2" xfId="37686" xr:uid="{00000000-0005-0000-0000-000021920000}"/>
    <cellStyle name="Porcentaje 4 3 5 3 2 3" xfId="27829" xr:uid="{00000000-0005-0000-0000-000022920000}"/>
    <cellStyle name="Porcentaje 4 3 5 3 3" xfId="13043" xr:uid="{00000000-0005-0000-0000-000023920000}"/>
    <cellStyle name="Porcentaje 4 3 5 3 3 2" xfId="32758" xr:uid="{00000000-0005-0000-0000-000024920000}"/>
    <cellStyle name="Porcentaje 4 3 5 3 4" xfId="22901" xr:uid="{00000000-0005-0000-0000-000025920000}"/>
    <cellStyle name="Porcentaje 4 3 5 4" xfId="5647" xr:uid="{00000000-0005-0000-0000-000026920000}"/>
    <cellStyle name="Porcentaje 4 3 5 4 2" xfId="15507" xr:uid="{00000000-0005-0000-0000-000027920000}"/>
    <cellStyle name="Porcentaje 4 3 5 4 2 2" xfId="35222" xr:uid="{00000000-0005-0000-0000-000028920000}"/>
    <cellStyle name="Porcentaje 4 3 5 4 3" xfId="25365" xr:uid="{00000000-0005-0000-0000-000029920000}"/>
    <cellStyle name="Porcentaje 4 3 5 5" xfId="10579" xr:uid="{00000000-0005-0000-0000-00002A920000}"/>
    <cellStyle name="Porcentaje 4 3 5 5 2" xfId="30294" xr:uid="{00000000-0005-0000-0000-00002B920000}"/>
    <cellStyle name="Porcentaje 4 3 5 6" xfId="20437" xr:uid="{00000000-0005-0000-0000-00002C920000}"/>
    <cellStyle name="Porcentaje 4 3 6" xfId="1328" xr:uid="{00000000-0005-0000-0000-00002D920000}"/>
    <cellStyle name="Porcentaje 4 3 6 2" xfId="3795" xr:uid="{00000000-0005-0000-0000-00002E920000}"/>
    <cellStyle name="Porcentaje 4 3 6 2 2" xfId="8727" xr:uid="{00000000-0005-0000-0000-00002F920000}"/>
    <cellStyle name="Porcentaje 4 3 6 2 2 2" xfId="18587" xr:uid="{00000000-0005-0000-0000-000030920000}"/>
    <cellStyle name="Porcentaje 4 3 6 2 2 2 2" xfId="38302" xr:uid="{00000000-0005-0000-0000-000031920000}"/>
    <cellStyle name="Porcentaje 4 3 6 2 2 3" xfId="28445" xr:uid="{00000000-0005-0000-0000-000032920000}"/>
    <cellStyle name="Porcentaje 4 3 6 2 3" xfId="13659" xr:uid="{00000000-0005-0000-0000-000033920000}"/>
    <cellStyle name="Porcentaje 4 3 6 2 3 2" xfId="33374" xr:uid="{00000000-0005-0000-0000-000034920000}"/>
    <cellStyle name="Porcentaje 4 3 6 2 4" xfId="23517" xr:uid="{00000000-0005-0000-0000-000035920000}"/>
    <cellStyle name="Porcentaje 4 3 6 3" xfId="6263" xr:uid="{00000000-0005-0000-0000-000036920000}"/>
    <cellStyle name="Porcentaje 4 3 6 3 2" xfId="16123" xr:uid="{00000000-0005-0000-0000-000037920000}"/>
    <cellStyle name="Porcentaje 4 3 6 3 2 2" xfId="35838" xr:uid="{00000000-0005-0000-0000-000038920000}"/>
    <cellStyle name="Porcentaje 4 3 6 3 3" xfId="25981" xr:uid="{00000000-0005-0000-0000-000039920000}"/>
    <cellStyle name="Porcentaje 4 3 6 4" xfId="11195" xr:uid="{00000000-0005-0000-0000-00003A920000}"/>
    <cellStyle name="Porcentaje 4 3 6 4 2" xfId="30910" xr:uid="{00000000-0005-0000-0000-00003B920000}"/>
    <cellStyle name="Porcentaje 4 3 6 5" xfId="21053" xr:uid="{00000000-0005-0000-0000-00003C920000}"/>
    <cellStyle name="Porcentaje 4 3 7" xfId="2563" xr:uid="{00000000-0005-0000-0000-00003D920000}"/>
    <cellStyle name="Porcentaje 4 3 7 2" xfId="7495" xr:uid="{00000000-0005-0000-0000-00003E920000}"/>
    <cellStyle name="Porcentaje 4 3 7 2 2" xfId="17355" xr:uid="{00000000-0005-0000-0000-00003F920000}"/>
    <cellStyle name="Porcentaje 4 3 7 2 2 2" xfId="37070" xr:uid="{00000000-0005-0000-0000-000040920000}"/>
    <cellStyle name="Porcentaje 4 3 7 2 3" xfId="27213" xr:uid="{00000000-0005-0000-0000-000041920000}"/>
    <cellStyle name="Porcentaje 4 3 7 3" xfId="12427" xr:uid="{00000000-0005-0000-0000-000042920000}"/>
    <cellStyle name="Porcentaje 4 3 7 3 2" xfId="32142" xr:uid="{00000000-0005-0000-0000-000043920000}"/>
    <cellStyle name="Porcentaje 4 3 7 4" xfId="22285" xr:uid="{00000000-0005-0000-0000-000044920000}"/>
    <cellStyle name="Porcentaje 4 3 8" xfId="5031" xr:uid="{00000000-0005-0000-0000-000045920000}"/>
    <cellStyle name="Porcentaje 4 3 8 2" xfId="14891" xr:uid="{00000000-0005-0000-0000-000046920000}"/>
    <cellStyle name="Porcentaje 4 3 8 2 2" xfId="34606" xr:uid="{00000000-0005-0000-0000-000047920000}"/>
    <cellStyle name="Porcentaje 4 3 8 3" xfId="24749" xr:uid="{00000000-0005-0000-0000-000048920000}"/>
    <cellStyle name="Porcentaje 4 3 9" xfId="9963" xr:uid="{00000000-0005-0000-0000-000049920000}"/>
    <cellStyle name="Porcentaje 4 3 9 2" xfId="29678" xr:uid="{00000000-0005-0000-0000-00004A920000}"/>
    <cellStyle name="Porcentaje 4 4" xfId="114" xr:uid="{00000000-0005-0000-0000-00004B920000}"/>
    <cellStyle name="Porcentaje 4 4 2" xfId="271" xr:uid="{00000000-0005-0000-0000-00004C920000}"/>
    <cellStyle name="Porcentaje 4 4 2 2" xfId="585" xr:uid="{00000000-0005-0000-0000-00004D920000}"/>
    <cellStyle name="Porcentaje 4 4 2 2 2" xfId="1205" xr:uid="{00000000-0005-0000-0000-00004E920000}"/>
    <cellStyle name="Porcentaje 4 4 2 2 2 2" xfId="2440" xr:uid="{00000000-0005-0000-0000-00004F920000}"/>
    <cellStyle name="Porcentaje 4 4 2 2 2 2 2" xfId="4907" xr:uid="{00000000-0005-0000-0000-000050920000}"/>
    <cellStyle name="Porcentaje 4 4 2 2 2 2 2 2" xfId="9839" xr:uid="{00000000-0005-0000-0000-000051920000}"/>
    <cellStyle name="Porcentaje 4 4 2 2 2 2 2 2 2" xfId="19699" xr:uid="{00000000-0005-0000-0000-000052920000}"/>
    <cellStyle name="Porcentaje 4 4 2 2 2 2 2 2 2 2" xfId="39414" xr:uid="{00000000-0005-0000-0000-000053920000}"/>
    <cellStyle name="Porcentaje 4 4 2 2 2 2 2 2 3" xfId="29557" xr:uid="{00000000-0005-0000-0000-000054920000}"/>
    <cellStyle name="Porcentaje 4 4 2 2 2 2 2 3" xfId="14771" xr:uid="{00000000-0005-0000-0000-000055920000}"/>
    <cellStyle name="Porcentaje 4 4 2 2 2 2 2 3 2" xfId="34486" xr:uid="{00000000-0005-0000-0000-000056920000}"/>
    <cellStyle name="Porcentaje 4 4 2 2 2 2 2 4" xfId="24629" xr:uid="{00000000-0005-0000-0000-000057920000}"/>
    <cellStyle name="Porcentaje 4 4 2 2 2 2 3" xfId="7375" xr:uid="{00000000-0005-0000-0000-000058920000}"/>
    <cellStyle name="Porcentaje 4 4 2 2 2 2 3 2" xfId="17235" xr:uid="{00000000-0005-0000-0000-000059920000}"/>
    <cellStyle name="Porcentaje 4 4 2 2 2 2 3 2 2" xfId="36950" xr:uid="{00000000-0005-0000-0000-00005A920000}"/>
    <cellStyle name="Porcentaje 4 4 2 2 2 2 3 3" xfId="27093" xr:uid="{00000000-0005-0000-0000-00005B920000}"/>
    <cellStyle name="Porcentaje 4 4 2 2 2 2 4" xfId="12307" xr:uid="{00000000-0005-0000-0000-00005C920000}"/>
    <cellStyle name="Porcentaje 4 4 2 2 2 2 4 2" xfId="32022" xr:uid="{00000000-0005-0000-0000-00005D920000}"/>
    <cellStyle name="Porcentaje 4 4 2 2 2 2 5" xfId="22165" xr:uid="{00000000-0005-0000-0000-00005E920000}"/>
    <cellStyle name="Porcentaje 4 4 2 2 2 3" xfId="3675" xr:uid="{00000000-0005-0000-0000-00005F920000}"/>
    <cellStyle name="Porcentaje 4 4 2 2 2 3 2" xfId="8607" xr:uid="{00000000-0005-0000-0000-000060920000}"/>
    <cellStyle name="Porcentaje 4 4 2 2 2 3 2 2" xfId="18467" xr:uid="{00000000-0005-0000-0000-000061920000}"/>
    <cellStyle name="Porcentaje 4 4 2 2 2 3 2 2 2" xfId="38182" xr:uid="{00000000-0005-0000-0000-000062920000}"/>
    <cellStyle name="Porcentaje 4 4 2 2 2 3 2 3" xfId="28325" xr:uid="{00000000-0005-0000-0000-000063920000}"/>
    <cellStyle name="Porcentaje 4 4 2 2 2 3 3" xfId="13539" xr:uid="{00000000-0005-0000-0000-000064920000}"/>
    <cellStyle name="Porcentaje 4 4 2 2 2 3 3 2" xfId="33254" xr:uid="{00000000-0005-0000-0000-000065920000}"/>
    <cellStyle name="Porcentaje 4 4 2 2 2 3 4" xfId="23397" xr:uid="{00000000-0005-0000-0000-000066920000}"/>
    <cellStyle name="Porcentaje 4 4 2 2 2 4" xfId="6143" xr:uid="{00000000-0005-0000-0000-000067920000}"/>
    <cellStyle name="Porcentaje 4 4 2 2 2 4 2" xfId="16003" xr:uid="{00000000-0005-0000-0000-000068920000}"/>
    <cellStyle name="Porcentaje 4 4 2 2 2 4 2 2" xfId="35718" xr:uid="{00000000-0005-0000-0000-000069920000}"/>
    <cellStyle name="Porcentaje 4 4 2 2 2 4 3" xfId="25861" xr:uid="{00000000-0005-0000-0000-00006A920000}"/>
    <cellStyle name="Porcentaje 4 4 2 2 2 5" xfId="11075" xr:uid="{00000000-0005-0000-0000-00006B920000}"/>
    <cellStyle name="Porcentaje 4 4 2 2 2 5 2" xfId="30790" xr:uid="{00000000-0005-0000-0000-00006C920000}"/>
    <cellStyle name="Porcentaje 4 4 2 2 2 6" xfId="20933" xr:uid="{00000000-0005-0000-0000-00006D920000}"/>
    <cellStyle name="Porcentaje 4 4 2 2 3" xfId="1824" xr:uid="{00000000-0005-0000-0000-00006E920000}"/>
    <cellStyle name="Porcentaje 4 4 2 2 3 2" xfId="4291" xr:uid="{00000000-0005-0000-0000-00006F920000}"/>
    <cellStyle name="Porcentaje 4 4 2 2 3 2 2" xfId="9223" xr:uid="{00000000-0005-0000-0000-000070920000}"/>
    <cellStyle name="Porcentaje 4 4 2 2 3 2 2 2" xfId="19083" xr:uid="{00000000-0005-0000-0000-000071920000}"/>
    <cellStyle name="Porcentaje 4 4 2 2 3 2 2 2 2" xfId="38798" xr:uid="{00000000-0005-0000-0000-000072920000}"/>
    <cellStyle name="Porcentaje 4 4 2 2 3 2 2 3" xfId="28941" xr:uid="{00000000-0005-0000-0000-000073920000}"/>
    <cellStyle name="Porcentaje 4 4 2 2 3 2 3" xfId="14155" xr:uid="{00000000-0005-0000-0000-000074920000}"/>
    <cellStyle name="Porcentaje 4 4 2 2 3 2 3 2" xfId="33870" xr:uid="{00000000-0005-0000-0000-000075920000}"/>
    <cellStyle name="Porcentaje 4 4 2 2 3 2 4" xfId="24013" xr:uid="{00000000-0005-0000-0000-000076920000}"/>
    <cellStyle name="Porcentaje 4 4 2 2 3 3" xfId="6759" xr:uid="{00000000-0005-0000-0000-000077920000}"/>
    <cellStyle name="Porcentaje 4 4 2 2 3 3 2" xfId="16619" xr:uid="{00000000-0005-0000-0000-000078920000}"/>
    <cellStyle name="Porcentaje 4 4 2 2 3 3 2 2" xfId="36334" xr:uid="{00000000-0005-0000-0000-000079920000}"/>
    <cellStyle name="Porcentaje 4 4 2 2 3 3 3" xfId="26477" xr:uid="{00000000-0005-0000-0000-00007A920000}"/>
    <cellStyle name="Porcentaje 4 4 2 2 3 4" xfId="11691" xr:uid="{00000000-0005-0000-0000-00007B920000}"/>
    <cellStyle name="Porcentaje 4 4 2 2 3 4 2" xfId="31406" xr:uid="{00000000-0005-0000-0000-00007C920000}"/>
    <cellStyle name="Porcentaje 4 4 2 2 3 5" xfId="21549" xr:uid="{00000000-0005-0000-0000-00007D920000}"/>
    <cellStyle name="Porcentaje 4 4 2 2 4" xfId="3059" xr:uid="{00000000-0005-0000-0000-00007E920000}"/>
    <cellStyle name="Porcentaje 4 4 2 2 4 2" xfId="7991" xr:uid="{00000000-0005-0000-0000-00007F920000}"/>
    <cellStyle name="Porcentaje 4 4 2 2 4 2 2" xfId="17851" xr:uid="{00000000-0005-0000-0000-000080920000}"/>
    <cellStyle name="Porcentaje 4 4 2 2 4 2 2 2" xfId="37566" xr:uid="{00000000-0005-0000-0000-000081920000}"/>
    <cellStyle name="Porcentaje 4 4 2 2 4 2 3" xfId="27709" xr:uid="{00000000-0005-0000-0000-000082920000}"/>
    <cellStyle name="Porcentaje 4 4 2 2 4 3" xfId="12923" xr:uid="{00000000-0005-0000-0000-000083920000}"/>
    <cellStyle name="Porcentaje 4 4 2 2 4 3 2" xfId="32638" xr:uid="{00000000-0005-0000-0000-000084920000}"/>
    <cellStyle name="Porcentaje 4 4 2 2 4 4" xfId="22781" xr:uid="{00000000-0005-0000-0000-000085920000}"/>
    <cellStyle name="Porcentaje 4 4 2 2 5" xfId="5527" xr:uid="{00000000-0005-0000-0000-000086920000}"/>
    <cellStyle name="Porcentaje 4 4 2 2 5 2" xfId="15387" xr:uid="{00000000-0005-0000-0000-000087920000}"/>
    <cellStyle name="Porcentaje 4 4 2 2 5 2 2" xfId="35102" xr:uid="{00000000-0005-0000-0000-000088920000}"/>
    <cellStyle name="Porcentaje 4 4 2 2 5 3" xfId="25245" xr:uid="{00000000-0005-0000-0000-000089920000}"/>
    <cellStyle name="Porcentaje 4 4 2 2 6" xfId="10459" xr:uid="{00000000-0005-0000-0000-00008A920000}"/>
    <cellStyle name="Porcentaje 4 4 2 2 6 2" xfId="30174" xr:uid="{00000000-0005-0000-0000-00008B920000}"/>
    <cellStyle name="Porcentaje 4 4 2 2 7" xfId="20317" xr:uid="{00000000-0005-0000-0000-00008C920000}"/>
    <cellStyle name="Porcentaje 4 4 2 3" xfId="898" xr:uid="{00000000-0005-0000-0000-00008D920000}"/>
    <cellStyle name="Porcentaje 4 4 2 3 2" xfId="2134" xr:uid="{00000000-0005-0000-0000-00008E920000}"/>
    <cellStyle name="Porcentaje 4 4 2 3 2 2" xfId="4601" xr:uid="{00000000-0005-0000-0000-00008F920000}"/>
    <cellStyle name="Porcentaje 4 4 2 3 2 2 2" xfId="9533" xr:uid="{00000000-0005-0000-0000-000090920000}"/>
    <cellStyle name="Porcentaje 4 4 2 3 2 2 2 2" xfId="19393" xr:uid="{00000000-0005-0000-0000-000091920000}"/>
    <cellStyle name="Porcentaje 4 4 2 3 2 2 2 2 2" xfId="39108" xr:uid="{00000000-0005-0000-0000-000092920000}"/>
    <cellStyle name="Porcentaje 4 4 2 3 2 2 2 3" xfId="29251" xr:uid="{00000000-0005-0000-0000-000093920000}"/>
    <cellStyle name="Porcentaje 4 4 2 3 2 2 3" xfId="14465" xr:uid="{00000000-0005-0000-0000-000094920000}"/>
    <cellStyle name="Porcentaje 4 4 2 3 2 2 3 2" xfId="34180" xr:uid="{00000000-0005-0000-0000-000095920000}"/>
    <cellStyle name="Porcentaje 4 4 2 3 2 2 4" xfId="24323" xr:uid="{00000000-0005-0000-0000-000096920000}"/>
    <cellStyle name="Porcentaje 4 4 2 3 2 3" xfId="7069" xr:uid="{00000000-0005-0000-0000-000097920000}"/>
    <cellStyle name="Porcentaje 4 4 2 3 2 3 2" xfId="16929" xr:uid="{00000000-0005-0000-0000-000098920000}"/>
    <cellStyle name="Porcentaje 4 4 2 3 2 3 2 2" xfId="36644" xr:uid="{00000000-0005-0000-0000-000099920000}"/>
    <cellStyle name="Porcentaje 4 4 2 3 2 3 3" xfId="26787" xr:uid="{00000000-0005-0000-0000-00009A920000}"/>
    <cellStyle name="Porcentaje 4 4 2 3 2 4" xfId="12001" xr:uid="{00000000-0005-0000-0000-00009B920000}"/>
    <cellStyle name="Porcentaje 4 4 2 3 2 4 2" xfId="31716" xr:uid="{00000000-0005-0000-0000-00009C920000}"/>
    <cellStyle name="Porcentaje 4 4 2 3 2 5" xfId="21859" xr:uid="{00000000-0005-0000-0000-00009D920000}"/>
    <cellStyle name="Porcentaje 4 4 2 3 3" xfId="3369" xr:uid="{00000000-0005-0000-0000-00009E920000}"/>
    <cellStyle name="Porcentaje 4 4 2 3 3 2" xfId="8301" xr:uid="{00000000-0005-0000-0000-00009F920000}"/>
    <cellStyle name="Porcentaje 4 4 2 3 3 2 2" xfId="18161" xr:uid="{00000000-0005-0000-0000-0000A0920000}"/>
    <cellStyle name="Porcentaje 4 4 2 3 3 2 2 2" xfId="37876" xr:uid="{00000000-0005-0000-0000-0000A1920000}"/>
    <cellStyle name="Porcentaje 4 4 2 3 3 2 3" xfId="28019" xr:uid="{00000000-0005-0000-0000-0000A2920000}"/>
    <cellStyle name="Porcentaje 4 4 2 3 3 3" xfId="13233" xr:uid="{00000000-0005-0000-0000-0000A3920000}"/>
    <cellStyle name="Porcentaje 4 4 2 3 3 3 2" xfId="32948" xr:uid="{00000000-0005-0000-0000-0000A4920000}"/>
    <cellStyle name="Porcentaje 4 4 2 3 3 4" xfId="23091" xr:uid="{00000000-0005-0000-0000-0000A5920000}"/>
    <cellStyle name="Porcentaje 4 4 2 3 4" xfId="5837" xr:uid="{00000000-0005-0000-0000-0000A6920000}"/>
    <cellStyle name="Porcentaje 4 4 2 3 4 2" xfId="15697" xr:uid="{00000000-0005-0000-0000-0000A7920000}"/>
    <cellStyle name="Porcentaje 4 4 2 3 4 2 2" xfId="35412" xr:uid="{00000000-0005-0000-0000-0000A8920000}"/>
    <cellStyle name="Porcentaje 4 4 2 3 4 3" xfId="25555" xr:uid="{00000000-0005-0000-0000-0000A9920000}"/>
    <cellStyle name="Porcentaje 4 4 2 3 5" xfId="10769" xr:uid="{00000000-0005-0000-0000-0000AA920000}"/>
    <cellStyle name="Porcentaje 4 4 2 3 5 2" xfId="30484" xr:uid="{00000000-0005-0000-0000-0000AB920000}"/>
    <cellStyle name="Porcentaje 4 4 2 3 6" xfId="20627" xr:uid="{00000000-0005-0000-0000-0000AC920000}"/>
    <cellStyle name="Porcentaje 4 4 2 4" xfId="1518" xr:uid="{00000000-0005-0000-0000-0000AD920000}"/>
    <cellStyle name="Porcentaje 4 4 2 4 2" xfId="3985" xr:uid="{00000000-0005-0000-0000-0000AE920000}"/>
    <cellStyle name="Porcentaje 4 4 2 4 2 2" xfId="8917" xr:uid="{00000000-0005-0000-0000-0000AF920000}"/>
    <cellStyle name="Porcentaje 4 4 2 4 2 2 2" xfId="18777" xr:uid="{00000000-0005-0000-0000-0000B0920000}"/>
    <cellStyle name="Porcentaje 4 4 2 4 2 2 2 2" xfId="38492" xr:uid="{00000000-0005-0000-0000-0000B1920000}"/>
    <cellStyle name="Porcentaje 4 4 2 4 2 2 3" xfId="28635" xr:uid="{00000000-0005-0000-0000-0000B2920000}"/>
    <cellStyle name="Porcentaje 4 4 2 4 2 3" xfId="13849" xr:uid="{00000000-0005-0000-0000-0000B3920000}"/>
    <cellStyle name="Porcentaje 4 4 2 4 2 3 2" xfId="33564" xr:uid="{00000000-0005-0000-0000-0000B4920000}"/>
    <cellStyle name="Porcentaje 4 4 2 4 2 4" xfId="23707" xr:uid="{00000000-0005-0000-0000-0000B5920000}"/>
    <cellStyle name="Porcentaje 4 4 2 4 3" xfId="6453" xr:uid="{00000000-0005-0000-0000-0000B6920000}"/>
    <cellStyle name="Porcentaje 4 4 2 4 3 2" xfId="16313" xr:uid="{00000000-0005-0000-0000-0000B7920000}"/>
    <cellStyle name="Porcentaje 4 4 2 4 3 2 2" xfId="36028" xr:uid="{00000000-0005-0000-0000-0000B8920000}"/>
    <cellStyle name="Porcentaje 4 4 2 4 3 3" xfId="26171" xr:uid="{00000000-0005-0000-0000-0000B9920000}"/>
    <cellStyle name="Porcentaje 4 4 2 4 4" xfId="11385" xr:uid="{00000000-0005-0000-0000-0000BA920000}"/>
    <cellStyle name="Porcentaje 4 4 2 4 4 2" xfId="31100" xr:uid="{00000000-0005-0000-0000-0000BB920000}"/>
    <cellStyle name="Porcentaje 4 4 2 4 5" xfId="21243" xr:uid="{00000000-0005-0000-0000-0000BC920000}"/>
    <cellStyle name="Porcentaje 4 4 2 5" xfId="2753" xr:uid="{00000000-0005-0000-0000-0000BD920000}"/>
    <cellStyle name="Porcentaje 4 4 2 5 2" xfId="7685" xr:uid="{00000000-0005-0000-0000-0000BE920000}"/>
    <cellStyle name="Porcentaje 4 4 2 5 2 2" xfId="17545" xr:uid="{00000000-0005-0000-0000-0000BF920000}"/>
    <cellStyle name="Porcentaje 4 4 2 5 2 2 2" xfId="37260" xr:uid="{00000000-0005-0000-0000-0000C0920000}"/>
    <cellStyle name="Porcentaje 4 4 2 5 2 3" xfId="27403" xr:uid="{00000000-0005-0000-0000-0000C1920000}"/>
    <cellStyle name="Porcentaje 4 4 2 5 3" xfId="12617" xr:uid="{00000000-0005-0000-0000-0000C2920000}"/>
    <cellStyle name="Porcentaje 4 4 2 5 3 2" xfId="32332" xr:uid="{00000000-0005-0000-0000-0000C3920000}"/>
    <cellStyle name="Porcentaje 4 4 2 5 4" xfId="22475" xr:uid="{00000000-0005-0000-0000-0000C4920000}"/>
    <cellStyle name="Porcentaje 4 4 2 6" xfId="5221" xr:uid="{00000000-0005-0000-0000-0000C5920000}"/>
    <cellStyle name="Porcentaje 4 4 2 6 2" xfId="15081" xr:uid="{00000000-0005-0000-0000-0000C6920000}"/>
    <cellStyle name="Porcentaje 4 4 2 6 2 2" xfId="34796" xr:uid="{00000000-0005-0000-0000-0000C7920000}"/>
    <cellStyle name="Porcentaje 4 4 2 6 3" xfId="24939" xr:uid="{00000000-0005-0000-0000-0000C8920000}"/>
    <cellStyle name="Porcentaje 4 4 2 7" xfId="10153" xr:uid="{00000000-0005-0000-0000-0000C9920000}"/>
    <cellStyle name="Porcentaje 4 4 2 7 2" xfId="29868" xr:uid="{00000000-0005-0000-0000-0000CA920000}"/>
    <cellStyle name="Porcentaje 4 4 2 8" xfId="20011" xr:uid="{00000000-0005-0000-0000-0000CB920000}"/>
    <cellStyle name="Porcentaje 4 4 3" xfId="433" xr:uid="{00000000-0005-0000-0000-0000CC920000}"/>
    <cellStyle name="Porcentaje 4 4 3 2" xfId="1053" xr:uid="{00000000-0005-0000-0000-0000CD920000}"/>
    <cellStyle name="Porcentaje 4 4 3 2 2" xfId="2288" xr:uid="{00000000-0005-0000-0000-0000CE920000}"/>
    <cellStyle name="Porcentaje 4 4 3 2 2 2" xfId="4755" xr:uid="{00000000-0005-0000-0000-0000CF920000}"/>
    <cellStyle name="Porcentaje 4 4 3 2 2 2 2" xfId="9687" xr:uid="{00000000-0005-0000-0000-0000D0920000}"/>
    <cellStyle name="Porcentaje 4 4 3 2 2 2 2 2" xfId="19547" xr:uid="{00000000-0005-0000-0000-0000D1920000}"/>
    <cellStyle name="Porcentaje 4 4 3 2 2 2 2 2 2" xfId="39262" xr:uid="{00000000-0005-0000-0000-0000D2920000}"/>
    <cellStyle name="Porcentaje 4 4 3 2 2 2 2 3" xfId="29405" xr:uid="{00000000-0005-0000-0000-0000D3920000}"/>
    <cellStyle name="Porcentaje 4 4 3 2 2 2 3" xfId="14619" xr:uid="{00000000-0005-0000-0000-0000D4920000}"/>
    <cellStyle name="Porcentaje 4 4 3 2 2 2 3 2" xfId="34334" xr:uid="{00000000-0005-0000-0000-0000D5920000}"/>
    <cellStyle name="Porcentaje 4 4 3 2 2 2 4" xfId="24477" xr:uid="{00000000-0005-0000-0000-0000D6920000}"/>
    <cellStyle name="Porcentaje 4 4 3 2 2 3" xfId="7223" xr:uid="{00000000-0005-0000-0000-0000D7920000}"/>
    <cellStyle name="Porcentaje 4 4 3 2 2 3 2" xfId="17083" xr:uid="{00000000-0005-0000-0000-0000D8920000}"/>
    <cellStyle name="Porcentaje 4 4 3 2 2 3 2 2" xfId="36798" xr:uid="{00000000-0005-0000-0000-0000D9920000}"/>
    <cellStyle name="Porcentaje 4 4 3 2 2 3 3" xfId="26941" xr:uid="{00000000-0005-0000-0000-0000DA920000}"/>
    <cellStyle name="Porcentaje 4 4 3 2 2 4" xfId="12155" xr:uid="{00000000-0005-0000-0000-0000DB920000}"/>
    <cellStyle name="Porcentaje 4 4 3 2 2 4 2" xfId="31870" xr:uid="{00000000-0005-0000-0000-0000DC920000}"/>
    <cellStyle name="Porcentaje 4 4 3 2 2 5" xfId="22013" xr:uid="{00000000-0005-0000-0000-0000DD920000}"/>
    <cellStyle name="Porcentaje 4 4 3 2 3" xfId="3523" xr:uid="{00000000-0005-0000-0000-0000DE920000}"/>
    <cellStyle name="Porcentaje 4 4 3 2 3 2" xfId="8455" xr:uid="{00000000-0005-0000-0000-0000DF920000}"/>
    <cellStyle name="Porcentaje 4 4 3 2 3 2 2" xfId="18315" xr:uid="{00000000-0005-0000-0000-0000E0920000}"/>
    <cellStyle name="Porcentaje 4 4 3 2 3 2 2 2" xfId="38030" xr:uid="{00000000-0005-0000-0000-0000E1920000}"/>
    <cellStyle name="Porcentaje 4 4 3 2 3 2 3" xfId="28173" xr:uid="{00000000-0005-0000-0000-0000E2920000}"/>
    <cellStyle name="Porcentaje 4 4 3 2 3 3" xfId="13387" xr:uid="{00000000-0005-0000-0000-0000E3920000}"/>
    <cellStyle name="Porcentaje 4 4 3 2 3 3 2" xfId="33102" xr:uid="{00000000-0005-0000-0000-0000E4920000}"/>
    <cellStyle name="Porcentaje 4 4 3 2 3 4" xfId="23245" xr:uid="{00000000-0005-0000-0000-0000E5920000}"/>
    <cellStyle name="Porcentaje 4 4 3 2 4" xfId="5991" xr:uid="{00000000-0005-0000-0000-0000E6920000}"/>
    <cellStyle name="Porcentaje 4 4 3 2 4 2" xfId="15851" xr:uid="{00000000-0005-0000-0000-0000E7920000}"/>
    <cellStyle name="Porcentaje 4 4 3 2 4 2 2" xfId="35566" xr:uid="{00000000-0005-0000-0000-0000E8920000}"/>
    <cellStyle name="Porcentaje 4 4 3 2 4 3" xfId="25709" xr:uid="{00000000-0005-0000-0000-0000E9920000}"/>
    <cellStyle name="Porcentaje 4 4 3 2 5" xfId="10923" xr:uid="{00000000-0005-0000-0000-0000EA920000}"/>
    <cellStyle name="Porcentaje 4 4 3 2 5 2" xfId="30638" xr:uid="{00000000-0005-0000-0000-0000EB920000}"/>
    <cellStyle name="Porcentaje 4 4 3 2 6" xfId="20781" xr:uid="{00000000-0005-0000-0000-0000EC920000}"/>
    <cellStyle name="Porcentaje 4 4 3 3" xfId="1672" xr:uid="{00000000-0005-0000-0000-0000ED920000}"/>
    <cellStyle name="Porcentaje 4 4 3 3 2" xfId="4139" xr:uid="{00000000-0005-0000-0000-0000EE920000}"/>
    <cellStyle name="Porcentaje 4 4 3 3 2 2" xfId="9071" xr:uid="{00000000-0005-0000-0000-0000EF920000}"/>
    <cellStyle name="Porcentaje 4 4 3 3 2 2 2" xfId="18931" xr:uid="{00000000-0005-0000-0000-0000F0920000}"/>
    <cellStyle name="Porcentaje 4 4 3 3 2 2 2 2" xfId="38646" xr:uid="{00000000-0005-0000-0000-0000F1920000}"/>
    <cellStyle name="Porcentaje 4 4 3 3 2 2 3" xfId="28789" xr:uid="{00000000-0005-0000-0000-0000F2920000}"/>
    <cellStyle name="Porcentaje 4 4 3 3 2 3" xfId="14003" xr:uid="{00000000-0005-0000-0000-0000F3920000}"/>
    <cellStyle name="Porcentaje 4 4 3 3 2 3 2" xfId="33718" xr:uid="{00000000-0005-0000-0000-0000F4920000}"/>
    <cellStyle name="Porcentaje 4 4 3 3 2 4" xfId="23861" xr:uid="{00000000-0005-0000-0000-0000F5920000}"/>
    <cellStyle name="Porcentaje 4 4 3 3 3" xfId="6607" xr:uid="{00000000-0005-0000-0000-0000F6920000}"/>
    <cellStyle name="Porcentaje 4 4 3 3 3 2" xfId="16467" xr:uid="{00000000-0005-0000-0000-0000F7920000}"/>
    <cellStyle name="Porcentaje 4 4 3 3 3 2 2" xfId="36182" xr:uid="{00000000-0005-0000-0000-0000F8920000}"/>
    <cellStyle name="Porcentaje 4 4 3 3 3 3" xfId="26325" xr:uid="{00000000-0005-0000-0000-0000F9920000}"/>
    <cellStyle name="Porcentaje 4 4 3 3 4" xfId="11539" xr:uid="{00000000-0005-0000-0000-0000FA920000}"/>
    <cellStyle name="Porcentaje 4 4 3 3 4 2" xfId="31254" xr:uid="{00000000-0005-0000-0000-0000FB920000}"/>
    <cellStyle name="Porcentaje 4 4 3 3 5" xfId="21397" xr:uid="{00000000-0005-0000-0000-0000FC920000}"/>
    <cellStyle name="Porcentaje 4 4 3 4" xfId="2907" xr:uid="{00000000-0005-0000-0000-0000FD920000}"/>
    <cellStyle name="Porcentaje 4 4 3 4 2" xfId="7839" xr:uid="{00000000-0005-0000-0000-0000FE920000}"/>
    <cellStyle name="Porcentaje 4 4 3 4 2 2" xfId="17699" xr:uid="{00000000-0005-0000-0000-0000FF920000}"/>
    <cellStyle name="Porcentaje 4 4 3 4 2 2 2" xfId="37414" xr:uid="{00000000-0005-0000-0000-000000930000}"/>
    <cellStyle name="Porcentaje 4 4 3 4 2 3" xfId="27557" xr:uid="{00000000-0005-0000-0000-000001930000}"/>
    <cellStyle name="Porcentaje 4 4 3 4 3" xfId="12771" xr:uid="{00000000-0005-0000-0000-000002930000}"/>
    <cellStyle name="Porcentaje 4 4 3 4 3 2" xfId="32486" xr:uid="{00000000-0005-0000-0000-000003930000}"/>
    <cellStyle name="Porcentaje 4 4 3 4 4" xfId="22629" xr:uid="{00000000-0005-0000-0000-000004930000}"/>
    <cellStyle name="Porcentaje 4 4 3 5" xfId="5375" xr:uid="{00000000-0005-0000-0000-000005930000}"/>
    <cellStyle name="Porcentaje 4 4 3 5 2" xfId="15235" xr:uid="{00000000-0005-0000-0000-000006930000}"/>
    <cellStyle name="Porcentaje 4 4 3 5 2 2" xfId="34950" xr:uid="{00000000-0005-0000-0000-000007930000}"/>
    <cellStyle name="Porcentaje 4 4 3 5 3" xfId="25093" xr:uid="{00000000-0005-0000-0000-000008930000}"/>
    <cellStyle name="Porcentaje 4 4 3 6" xfId="10307" xr:uid="{00000000-0005-0000-0000-000009930000}"/>
    <cellStyle name="Porcentaje 4 4 3 6 2" xfId="30022" xr:uid="{00000000-0005-0000-0000-00000A930000}"/>
    <cellStyle name="Porcentaje 4 4 3 7" xfId="20165" xr:uid="{00000000-0005-0000-0000-00000B930000}"/>
    <cellStyle name="Porcentaje 4 4 4" xfId="746" xr:uid="{00000000-0005-0000-0000-00000C930000}"/>
    <cellStyle name="Porcentaje 4 4 4 2" xfId="1982" xr:uid="{00000000-0005-0000-0000-00000D930000}"/>
    <cellStyle name="Porcentaje 4 4 4 2 2" xfId="4449" xr:uid="{00000000-0005-0000-0000-00000E930000}"/>
    <cellStyle name="Porcentaje 4 4 4 2 2 2" xfId="9381" xr:uid="{00000000-0005-0000-0000-00000F930000}"/>
    <cellStyle name="Porcentaje 4 4 4 2 2 2 2" xfId="19241" xr:uid="{00000000-0005-0000-0000-000010930000}"/>
    <cellStyle name="Porcentaje 4 4 4 2 2 2 2 2" xfId="38956" xr:uid="{00000000-0005-0000-0000-000011930000}"/>
    <cellStyle name="Porcentaje 4 4 4 2 2 2 3" xfId="29099" xr:uid="{00000000-0005-0000-0000-000012930000}"/>
    <cellStyle name="Porcentaje 4 4 4 2 2 3" xfId="14313" xr:uid="{00000000-0005-0000-0000-000013930000}"/>
    <cellStyle name="Porcentaje 4 4 4 2 2 3 2" xfId="34028" xr:uid="{00000000-0005-0000-0000-000014930000}"/>
    <cellStyle name="Porcentaje 4 4 4 2 2 4" xfId="24171" xr:uid="{00000000-0005-0000-0000-000015930000}"/>
    <cellStyle name="Porcentaje 4 4 4 2 3" xfId="6917" xr:uid="{00000000-0005-0000-0000-000016930000}"/>
    <cellStyle name="Porcentaje 4 4 4 2 3 2" xfId="16777" xr:uid="{00000000-0005-0000-0000-000017930000}"/>
    <cellStyle name="Porcentaje 4 4 4 2 3 2 2" xfId="36492" xr:uid="{00000000-0005-0000-0000-000018930000}"/>
    <cellStyle name="Porcentaje 4 4 4 2 3 3" xfId="26635" xr:uid="{00000000-0005-0000-0000-000019930000}"/>
    <cellStyle name="Porcentaje 4 4 4 2 4" xfId="11849" xr:uid="{00000000-0005-0000-0000-00001A930000}"/>
    <cellStyle name="Porcentaje 4 4 4 2 4 2" xfId="31564" xr:uid="{00000000-0005-0000-0000-00001B930000}"/>
    <cellStyle name="Porcentaje 4 4 4 2 5" xfId="21707" xr:uid="{00000000-0005-0000-0000-00001C930000}"/>
    <cellStyle name="Porcentaje 4 4 4 3" xfId="3217" xr:uid="{00000000-0005-0000-0000-00001D930000}"/>
    <cellStyle name="Porcentaje 4 4 4 3 2" xfId="8149" xr:uid="{00000000-0005-0000-0000-00001E930000}"/>
    <cellStyle name="Porcentaje 4 4 4 3 2 2" xfId="18009" xr:uid="{00000000-0005-0000-0000-00001F930000}"/>
    <cellStyle name="Porcentaje 4 4 4 3 2 2 2" xfId="37724" xr:uid="{00000000-0005-0000-0000-000020930000}"/>
    <cellStyle name="Porcentaje 4 4 4 3 2 3" xfId="27867" xr:uid="{00000000-0005-0000-0000-000021930000}"/>
    <cellStyle name="Porcentaje 4 4 4 3 3" xfId="13081" xr:uid="{00000000-0005-0000-0000-000022930000}"/>
    <cellStyle name="Porcentaje 4 4 4 3 3 2" xfId="32796" xr:uid="{00000000-0005-0000-0000-000023930000}"/>
    <cellStyle name="Porcentaje 4 4 4 3 4" xfId="22939" xr:uid="{00000000-0005-0000-0000-000024930000}"/>
    <cellStyle name="Porcentaje 4 4 4 4" xfId="5685" xr:uid="{00000000-0005-0000-0000-000025930000}"/>
    <cellStyle name="Porcentaje 4 4 4 4 2" xfId="15545" xr:uid="{00000000-0005-0000-0000-000026930000}"/>
    <cellStyle name="Porcentaje 4 4 4 4 2 2" xfId="35260" xr:uid="{00000000-0005-0000-0000-000027930000}"/>
    <cellStyle name="Porcentaje 4 4 4 4 3" xfId="25403" xr:uid="{00000000-0005-0000-0000-000028930000}"/>
    <cellStyle name="Porcentaje 4 4 4 5" xfId="10617" xr:uid="{00000000-0005-0000-0000-000029930000}"/>
    <cellStyle name="Porcentaje 4 4 4 5 2" xfId="30332" xr:uid="{00000000-0005-0000-0000-00002A930000}"/>
    <cellStyle name="Porcentaje 4 4 4 6" xfId="20475" xr:uid="{00000000-0005-0000-0000-00002B930000}"/>
    <cellStyle name="Porcentaje 4 4 5" xfId="1366" xr:uid="{00000000-0005-0000-0000-00002C930000}"/>
    <cellStyle name="Porcentaje 4 4 5 2" xfId="3833" xr:uid="{00000000-0005-0000-0000-00002D930000}"/>
    <cellStyle name="Porcentaje 4 4 5 2 2" xfId="8765" xr:uid="{00000000-0005-0000-0000-00002E930000}"/>
    <cellStyle name="Porcentaje 4 4 5 2 2 2" xfId="18625" xr:uid="{00000000-0005-0000-0000-00002F930000}"/>
    <cellStyle name="Porcentaje 4 4 5 2 2 2 2" xfId="38340" xr:uid="{00000000-0005-0000-0000-000030930000}"/>
    <cellStyle name="Porcentaje 4 4 5 2 2 3" xfId="28483" xr:uid="{00000000-0005-0000-0000-000031930000}"/>
    <cellStyle name="Porcentaje 4 4 5 2 3" xfId="13697" xr:uid="{00000000-0005-0000-0000-000032930000}"/>
    <cellStyle name="Porcentaje 4 4 5 2 3 2" xfId="33412" xr:uid="{00000000-0005-0000-0000-000033930000}"/>
    <cellStyle name="Porcentaje 4 4 5 2 4" xfId="23555" xr:uid="{00000000-0005-0000-0000-000034930000}"/>
    <cellStyle name="Porcentaje 4 4 5 3" xfId="6301" xr:uid="{00000000-0005-0000-0000-000035930000}"/>
    <cellStyle name="Porcentaje 4 4 5 3 2" xfId="16161" xr:uid="{00000000-0005-0000-0000-000036930000}"/>
    <cellStyle name="Porcentaje 4 4 5 3 2 2" xfId="35876" xr:uid="{00000000-0005-0000-0000-000037930000}"/>
    <cellStyle name="Porcentaje 4 4 5 3 3" xfId="26019" xr:uid="{00000000-0005-0000-0000-000038930000}"/>
    <cellStyle name="Porcentaje 4 4 5 4" xfId="11233" xr:uid="{00000000-0005-0000-0000-000039930000}"/>
    <cellStyle name="Porcentaje 4 4 5 4 2" xfId="30948" xr:uid="{00000000-0005-0000-0000-00003A930000}"/>
    <cellStyle name="Porcentaje 4 4 5 5" xfId="21091" xr:uid="{00000000-0005-0000-0000-00003B930000}"/>
    <cellStyle name="Porcentaje 4 4 6" xfId="2601" xr:uid="{00000000-0005-0000-0000-00003C930000}"/>
    <cellStyle name="Porcentaje 4 4 6 2" xfId="7533" xr:uid="{00000000-0005-0000-0000-00003D930000}"/>
    <cellStyle name="Porcentaje 4 4 6 2 2" xfId="17393" xr:uid="{00000000-0005-0000-0000-00003E930000}"/>
    <cellStyle name="Porcentaje 4 4 6 2 2 2" xfId="37108" xr:uid="{00000000-0005-0000-0000-00003F930000}"/>
    <cellStyle name="Porcentaje 4 4 6 2 3" xfId="27251" xr:uid="{00000000-0005-0000-0000-000040930000}"/>
    <cellStyle name="Porcentaje 4 4 6 3" xfId="12465" xr:uid="{00000000-0005-0000-0000-000041930000}"/>
    <cellStyle name="Porcentaje 4 4 6 3 2" xfId="32180" xr:uid="{00000000-0005-0000-0000-000042930000}"/>
    <cellStyle name="Porcentaje 4 4 6 4" xfId="22323" xr:uid="{00000000-0005-0000-0000-000043930000}"/>
    <cellStyle name="Porcentaje 4 4 7" xfId="5069" xr:uid="{00000000-0005-0000-0000-000044930000}"/>
    <cellStyle name="Porcentaje 4 4 7 2" xfId="14929" xr:uid="{00000000-0005-0000-0000-000045930000}"/>
    <cellStyle name="Porcentaje 4 4 7 2 2" xfId="34644" xr:uid="{00000000-0005-0000-0000-000046930000}"/>
    <cellStyle name="Porcentaje 4 4 7 3" xfId="24787" xr:uid="{00000000-0005-0000-0000-000047930000}"/>
    <cellStyle name="Porcentaje 4 4 8" xfId="10001" xr:uid="{00000000-0005-0000-0000-000048930000}"/>
    <cellStyle name="Porcentaje 4 4 8 2" xfId="29716" xr:uid="{00000000-0005-0000-0000-000049930000}"/>
    <cellStyle name="Porcentaje 4 4 9" xfId="19859" xr:uid="{00000000-0005-0000-0000-00004A930000}"/>
    <cellStyle name="Porcentaje 4 5" xfId="195" xr:uid="{00000000-0005-0000-0000-00004B930000}"/>
    <cellStyle name="Porcentaje 4 5 2" xfId="509" xr:uid="{00000000-0005-0000-0000-00004C930000}"/>
    <cellStyle name="Porcentaje 4 5 2 2" xfId="1129" xr:uid="{00000000-0005-0000-0000-00004D930000}"/>
    <cellStyle name="Porcentaje 4 5 2 2 2" xfId="2364" xr:uid="{00000000-0005-0000-0000-00004E930000}"/>
    <cellStyle name="Porcentaje 4 5 2 2 2 2" xfId="4831" xr:uid="{00000000-0005-0000-0000-00004F930000}"/>
    <cellStyle name="Porcentaje 4 5 2 2 2 2 2" xfId="9763" xr:uid="{00000000-0005-0000-0000-000050930000}"/>
    <cellStyle name="Porcentaje 4 5 2 2 2 2 2 2" xfId="19623" xr:uid="{00000000-0005-0000-0000-000051930000}"/>
    <cellStyle name="Porcentaje 4 5 2 2 2 2 2 2 2" xfId="39338" xr:uid="{00000000-0005-0000-0000-000052930000}"/>
    <cellStyle name="Porcentaje 4 5 2 2 2 2 2 3" xfId="29481" xr:uid="{00000000-0005-0000-0000-000053930000}"/>
    <cellStyle name="Porcentaje 4 5 2 2 2 2 3" xfId="14695" xr:uid="{00000000-0005-0000-0000-000054930000}"/>
    <cellStyle name="Porcentaje 4 5 2 2 2 2 3 2" xfId="34410" xr:uid="{00000000-0005-0000-0000-000055930000}"/>
    <cellStyle name="Porcentaje 4 5 2 2 2 2 4" xfId="24553" xr:uid="{00000000-0005-0000-0000-000056930000}"/>
    <cellStyle name="Porcentaje 4 5 2 2 2 3" xfId="7299" xr:uid="{00000000-0005-0000-0000-000057930000}"/>
    <cellStyle name="Porcentaje 4 5 2 2 2 3 2" xfId="17159" xr:uid="{00000000-0005-0000-0000-000058930000}"/>
    <cellStyle name="Porcentaje 4 5 2 2 2 3 2 2" xfId="36874" xr:uid="{00000000-0005-0000-0000-000059930000}"/>
    <cellStyle name="Porcentaje 4 5 2 2 2 3 3" xfId="27017" xr:uid="{00000000-0005-0000-0000-00005A930000}"/>
    <cellStyle name="Porcentaje 4 5 2 2 2 4" xfId="12231" xr:uid="{00000000-0005-0000-0000-00005B930000}"/>
    <cellStyle name="Porcentaje 4 5 2 2 2 4 2" xfId="31946" xr:uid="{00000000-0005-0000-0000-00005C930000}"/>
    <cellStyle name="Porcentaje 4 5 2 2 2 5" xfId="22089" xr:uid="{00000000-0005-0000-0000-00005D930000}"/>
    <cellStyle name="Porcentaje 4 5 2 2 3" xfId="3599" xr:uid="{00000000-0005-0000-0000-00005E930000}"/>
    <cellStyle name="Porcentaje 4 5 2 2 3 2" xfId="8531" xr:uid="{00000000-0005-0000-0000-00005F930000}"/>
    <cellStyle name="Porcentaje 4 5 2 2 3 2 2" xfId="18391" xr:uid="{00000000-0005-0000-0000-000060930000}"/>
    <cellStyle name="Porcentaje 4 5 2 2 3 2 2 2" xfId="38106" xr:uid="{00000000-0005-0000-0000-000061930000}"/>
    <cellStyle name="Porcentaje 4 5 2 2 3 2 3" xfId="28249" xr:uid="{00000000-0005-0000-0000-000062930000}"/>
    <cellStyle name="Porcentaje 4 5 2 2 3 3" xfId="13463" xr:uid="{00000000-0005-0000-0000-000063930000}"/>
    <cellStyle name="Porcentaje 4 5 2 2 3 3 2" xfId="33178" xr:uid="{00000000-0005-0000-0000-000064930000}"/>
    <cellStyle name="Porcentaje 4 5 2 2 3 4" xfId="23321" xr:uid="{00000000-0005-0000-0000-000065930000}"/>
    <cellStyle name="Porcentaje 4 5 2 2 4" xfId="6067" xr:uid="{00000000-0005-0000-0000-000066930000}"/>
    <cellStyle name="Porcentaje 4 5 2 2 4 2" xfId="15927" xr:uid="{00000000-0005-0000-0000-000067930000}"/>
    <cellStyle name="Porcentaje 4 5 2 2 4 2 2" xfId="35642" xr:uid="{00000000-0005-0000-0000-000068930000}"/>
    <cellStyle name="Porcentaje 4 5 2 2 4 3" xfId="25785" xr:uid="{00000000-0005-0000-0000-000069930000}"/>
    <cellStyle name="Porcentaje 4 5 2 2 5" xfId="10999" xr:uid="{00000000-0005-0000-0000-00006A930000}"/>
    <cellStyle name="Porcentaje 4 5 2 2 5 2" xfId="30714" xr:uid="{00000000-0005-0000-0000-00006B930000}"/>
    <cellStyle name="Porcentaje 4 5 2 2 6" xfId="20857" xr:uid="{00000000-0005-0000-0000-00006C930000}"/>
    <cellStyle name="Porcentaje 4 5 2 3" xfId="1748" xr:uid="{00000000-0005-0000-0000-00006D930000}"/>
    <cellStyle name="Porcentaje 4 5 2 3 2" xfId="4215" xr:uid="{00000000-0005-0000-0000-00006E930000}"/>
    <cellStyle name="Porcentaje 4 5 2 3 2 2" xfId="9147" xr:uid="{00000000-0005-0000-0000-00006F930000}"/>
    <cellStyle name="Porcentaje 4 5 2 3 2 2 2" xfId="19007" xr:uid="{00000000-0005-0000-0000-000070930000}"/>
    <cellStyle name="Porcentaje 4 5 2 3 2 2 2 2" xfId="38722" xr:uid="{00000000-0005-0000-0000-000071930000}"/>
    <cellStyle name="Porcentaje 4 5 2 3 2 2 3" xfId="28865" xr:uid="{00000000-0005-0000-0000-000072930000}"/>
    <cellStyle name="Porcentaje 4 5 2 3 2 3" xfId="14079" xr:uid="{00000000-0005-0000-0000-000073930000}"/>
    <cellStyle name="Porcentaje 4 5 2 3 2 3 2" xfId="33794" xr:uid="{00000000-0005-0000-0000-000074930000}"/>
    <cellStyle name="Porcentaje 4 5 2 3 2 4" xfId="23937" xr:uid="{00000000-0005-0000-0000-000075930000}"/>
    <cellStyle name="Porcentaje 4 5 2 3 3" xfId="6683" xr:uid="{00000000-0005-0000-0000-000076930000}"/>
    <cellStyle name="Porcentaje 4 5 2 3 3 2" xfId="16543" xr:uid="{00000000-0005-0000-0000-000077930000}"/>
    <cellStyle name="Porcentaje 4 5 2 3 3 2 2" xfId="36258" xr:uid="{00000000-0005-0000-0000-000078930000}"/>
    <cellStyle name="Porcentaje 4 5 2 3 3 3" xfId="26401" xr:uid="{00000000-0005-0000-0000-000079930000}"/>
    <cellStyle name="Porcentaje 4 5 2 3 4" xfId="11615" xr:uid="{00000000-0005-0000-0000-00007A930000}"/>
    <cellStyle name="Porcentaje 4 5 2 3 4 2" xfId="31330" xr:uid="{00000000-0005-0000-0000-00007B930000}"/>
    <cellStyle name="Porcentaje 4 5 2 3 5" xfId="21473" xr:uid="{00000000-0005-0000-0000-00007C930000}"/>
    <cellStyle name="Porcentaje 4 5 2 4" xfId="2983" xr:uid="{00000000-0005-0000-0000-00007D930000}"/>
    <cellStyle name="Porcentaje 4 5 2 4 2" xfId="7915" xr:uid="{00000000-0005-0000-0000-00007E930000}"/>
    <cellStyle name="Porcentaje 4 5 2 4 2 2" xfId="17775" xr:uid="{00000000-0005-0000-0000-00007F930000}"/>
    <cellStyle name="Porcentaje 4 5 2 4 2 2 2" xfId="37490" xr:uid="{00000000-0005-0000-0000-000080930000}"/>
    <cellStyle name="Porcentaje 4 5 2 4 2 3" xfId="27633" xr:uid="{00000000-0005-0000-0000-000081930000}"/>
    <cellStyle name="Porcentaje 4 5 2 4 3" xfId="12847" xr:uid="{00000000-0005-0000-0000-000082930000}"/>
    <cellStyle name="Porcentaje 4 5 2 4 3 2" xfId="32562" xr:uid="{00000000-0005-0000-0000-000083930000}"/>
    <cellStyle name="Porcentaje 4 5 2 4 4" xfId="22705" xr:uid="{00000000-0005-0000-0000-000084930000}"/>
    <cellStyle name="Porcentaje 4 5 2 5" xfId="5451" xr:uid="{00000000-0005-0000-0000-000085930000}"/>
    <cellStyle name="Porcentaje 4 5 2 5 2" xfId="15311" xr:uid="{00000000-0005-0000-0000-000086930000}"/>
    <cellStyle name="Porcentaje 4 5 2 5 2 2" xfId="35026" xr:uid="{00000000-0005-0000-0000-000087930000}"/>
    <cellStyle name="Porcentaje 4 5 2 5 3" xfId="25169" xr:uid="{00000000-0005-0000-0000-000088930000}"/>
    <cellStyle name="Porcentaje 4 5 2 6" xfId="10383" xr:uid="{00000000-0005-0000-0000-000089930000}"/>
    <cellStyle name="Porcentaje 4 5 2 6 2" xfId="30098" xr:uid="{00000000-0005-0000-0000-00008A930000}"/>
    <cellStyle name="Porcentaje 4 5 2 7" xfId="20241" xr:uid="{00000000-0005-0000-0000-00008B930000}"/>
    <cellStyle name="Porcentaje 4 5 3" xfId="822" xr:uid="{00000000-0005-0000-0000-00008C930000}"/>
    <cellStyle name="Porcentaje 4 5 3 2" xfId="2058" xr:uid="{00000000-0005-0000-0000-00008D930000}"/>
    <cellStyle name="Porcentaje 4 5 3 2 2" xfId="4525" xr:uid="{00000000-0005-0000-0000-00008E930000}"/>
    <cellStyle name="Porcentaje 4 5 3 2 2 2" xfId="9457" xr:uid="{00000000-0005-0000-0000-00008F930000}"/>
    <cellStyle name="Porcentaje 4 5 3 2 2 2 2" xfId="19317" xr:uid="{00000000-0005-0000-0000-000090930000}"/>
    <cellStyle name="Porcentaje 4 5 3 2 2 2 2 2" xfId="39032" xr:uid="{00000000-0005-0000-0000-000091930000}"/>
    <cellStyle name="Porcentaje 4 5 3 2 2 2 3" xfId="29175" xr:uid="{00000000-0005-0000-0000-000092930000}"/>
    <cellStyle name="Porcentaje 4 5 3 2 2 3" xfId="14389" xr:uid="{00000000-0005-0000-0000-000093930000}"/>
    <cellStyle name="Porcentaje 4 5 3 2 2 3 2" xfId="34104" xr:uid="{00000000-0005-0000-0000-000094930000}"/>
    <cellStyle name="Porcentaje 4 5 3 2 2 4" xfId="24247" xr:uid="{00000000-0005-0000-0000-000095930000}"/>
    <cellStyle name="Porcentaje 4 5 3 2 3" xfId="6993" xr:uid="{00000000-0005-0000-0000-000096930000}"/>
    <cellStyle name="Porcentaje 4 5 3 2 3 2" xfId="16853" xr:uid="{00000000-0005-0000-0000-000097930000}"/>
    <cellStyle name="Porcentaje 4 5 3 2 3 2 2" xfId="36568" xr:uid="{00000000-0005-0000-0000-000098930000}"/>
    <cellStyle name="Porcentaje 4 5 3 2 3 3" xfId="26711" xr:uid="{00000000-0005-0000-0000-000099930000}"/>
    <cellStyle name="Porcentaje 4 5 3 2 4" xfId="11925" xr:uid="{00000000-0005-0000-0000-00009A930000}"/>
    <cellStyle name="Porcentaje 4 5 3 2 4 2" xfId="31640" xr:uid="{00000000-0005-0000-0000-00009B930000}"/>
    <cellStyle name="Porcentaje 4 5 3 2 5" xfId="21783" xr:uid="{00000000-0005-0000-0000-00009C930000}"/>
    <cellStyle name="Porcentaje 4 5 3 3" xfId="3293" xr:uid="{00000000-0005-0000-0000-00009D930000}"/>
    <cellStyle name="Porcentaje 4 5 3 3 2" xfId="8225" xr:uid="{00000000-0005-0000-0000-00009E930000}"/>
    <cellStyle name="Porcentaje 4 5 3 3 2 2" xfId="18085" xr:uid="{00000000-0005-0000-0000-00009F930000}"/>
    <cellStyle name="Porcentaje 4 5 3 3 2 2 2" xfId="37800" xr:uid="{00000000-0005-0000-0000-0000A0930000}"/>
    <cellStyle name="Porcentaje 4 5 3 3 2 3" xfId="27943" xr:uid="{00000000-0005-0000-0000-0000A1930000}"/>
    <cellStyle name="Porcentaje 4 5 3 3 3" xfId="13157" xr:uid="{00000000-0005-0000-0000-0000A2930000}"/>
    <cellStyle name="Porcentaje 4 5 3 3 3 2" xfId="32872" xr:uid="{00000000-0005-0000-0000-0000A3930000}"/>
    <cellStyle name="Porcentaje 4 5 3 3 4" xfId="23015" xr:uid="{00000000-0005-0000-0000-0000A4930000}"/>
    <cellStyle name="Porcentaje 4 5 3 4" xfId="5761" xr:uid="{00000000-0005-0000-0000-0000A5930000}"/>
    <cellStyle name="Porcentaje 4 5 3 4 2" xfId="15621" xr:uid="{00000000-0005-0000-0000-0000A6930000}"/>
    <cellStyle name="Porcentaje 4 5 3 4 2 2" xfId="35336" xr:uid="{00000000-0005-0000-0000-0000A7930000}"/>
    <cellStyle name="Porcentaje 4 5 3 4 3" xfId="25479" xr:uid="{00000000-0005-0000-0000-0000A8930000}"/>
    <cellStyle name="Porcentaje 4 5 3 5" xfId="10693" xr:uid="{00000000-0005-0000-0000-0000A9930000}"/>
    <cellStyle name="Porcentaje 4 5 3 5 2" xfId="30408" xr:uid="{00000000-0005-0000-0000-0000AA930000}"/>
    <cellStyle name="Porcentaje 4 5 3 6" xfId="20551" xr:uid="{00000000-0005-0000-0000-0000AB930000}"/>
    <cellStyle name="Porcentaje 4 5 4" xfId="1442" xr:uid="{00000000-0005-0000-0000-0000AC930000}"/>
    <cellStyle name="Porcentaje 4 5 4 2" xfId="3909" xr:uid="{00000000-0005-0000-0000-0000AD930000}"/>
    <cellStyle name="Porcentaje 4 5 4 2 2" xfId="8841" xr:uid="{00000000-0005-0000-0000-0000AE930000}"/>
    <cellStyle name="Porcentaje 4 5 4 2 2 2" xfId="18701" xr:uid="{00000000-0005-0000-0000-0000AF930000}"/>
    <cellStyle name="Porcentaje 4 5 4 2 2 2 2" xfId="38416" xr:uid="{00000000-0005-0000-0000-0000B0930000}"/>
    <cellStyle name="Porcentaje 4 5 4 2 2 3" xfId="28559" xr:uid="{00000000-0005-0000-0000-0000B1930000}"/>
    <cellStyle name="Porcentaje 4 5 4 2 3" xfId="13773" xr:uid="{00000000-0005-0000-0000-0000B2930000}"/>
    <cellStyle name="Porcentaje 4 5 4 2 3 2" xfId="33488" xr:uid="{00000000-0005-0000-0000-0000B3930000}"/>
    <cellStyle name="Porcentaje 4 5 4 2 4" xfId="23631" xr:uid="{00000000-0005-0000-0000-0000B4930000}"/>
    <cellStyle name="Porcentaje 4 5 4 3" xfId="6377" xr:uid="{00000000-0005-0000-0000-0000B5930000}"/>
    <cellStyle name="Porcentaje 4 5 4 3 2" xfId="16237" xr:uid="{00000000-0005-0000-0000-0000B6930000}"/>
    <cellStyle name="Porcentaje 4 5 4 3 2 2" xfId="35952" xr:uid="{00000000-0005-0000-0000-0000B7930000}"/>
    <cellStyle name="Porcentaje 4 5 4 3 3" xfId="26095" xr:uid="{00000000-0005-0000-0000-0000B8930000}"/>
    <cellStyle name="Porcentaje 4 5 4 4" xfId="11309" xr:uid="{00000000-0005-0000-0000-0000B9930000}"/>
    <cellStyle name="Porcentaje 4 5 4 4 2" xfId="31024" xr:uid="{00000000-0005-0000-0000-0000BA930000}"/>
    <cellStyle name="Porcentaje 4 5 4 5" xfId="21167" xr:uid="{00000000-0005-0000-0000-0000BB930000}"/>
    <cellStyle name="Porcentaje 4 5 5" xfId="2677" xr:uid="{00000000-0005-0000-0000-0000BC930000}"/>
    <cellStyle name="Porcentaje 4 5 5 2" xfId="7609" xr:uid="{00000000-0005-0000-0000-0000BD930000}"/>
    <cellStyle name="Porcentaje 4 5 5 2 2" xfId="17469" xr:uid="{00000000-0005-0000-0000-0000BE930000}"/>
    <cellStyle name="Porcentaje 4 5 5 2 2 2" xfId="37184" xr:uid="{00000000-0005-0000-0000-0000BF930000}"/>
    <cellStyle name="Porcentaje 4 5 5 2 3" xfId="27327" xr:uid="{00000000-0005-0000-0000-0000C0930000}"/>
    <cellStyle name="Porcentaje 4 5 5 3" xfId="12541" xr:uid="{00000000-0005-0000-0000-0000C1930000}"/>
    <cellStyle name="Porcentaje 4 5 5 3 2" xfId="32256" xr:uid="{00000000-0005-0000-0000-0000C2930000}"/>
    <cellStyle name="Porcentaje 4 5 5 4" xfId="22399" xr:uid="{00000000-0005-0000-0000-0000C3930000}"/>
    <cellStyle name="Porcentaje 4 5 6" xfId="5145" xr:uid="{00000000-0005-0000-0000-0000C4930000}"/>
    <cellStyle name="Porcentaje 4 5 6 2" xfId="15005" xr:uid="{00000000-0005-0000-0000-0000C5930000}"/>
    <cellStyle name="Porcentaje 4 5 6 2 2" xfId="34720" xr:uid="{00000000-0005-0000-0000-0000C6930000}"/>
    <cellStyle name="Porcentaje 4 5 6 3" xfId="24863" xr:uid="{00000000-0005-0000-0000-0000C7930000}"/>
    <cellStyle name="Porcentaje 4 5 7" xfId="10077" xr:uid="{00000000-0005-0000-0000-0000C8930000}"/>
    <cellStyle name="Porcentaje 4 5 7 2" xfId="29792" xr:uid="{00000000-0005-0000-0000-0000C9930000}"/>
    <cellStyle name="Porcentaje 4 5 8" xfId="19935" xr:uid="{00000000-0005-0000-0000-0000CA930000}"/>
    <cellStyle name="Porcentaje 4 6" xfId="357" xr:uid="{00000000-0005-0000-0000-0000CB930000}"/>
    <cellStyle name="Porcentaje 4 6 2" xfId="977" xr:uid="{00000000-0005-0000-0000-0000CC930000}"/>
    <cellStyle name="Porcentaje 4 6 2 2" xfId="2212" xr:uid="{00000000-0005-0000-0000-0000CD930000}"/>
    <cellStyle name="Porcentaje 4 6 2 2 2" xfId="4679" xr:uid="{00000000-0005-0000-0000-0000CE930000}"/>
    <cellStyle name="Porcentaje 4 6 2 2 2 2" xfId="9611" xr:uid="{00000000-0005-0000-0000-0000CF930000}"/>
    <cellStyle name="Porcentaje 4 6 2 2 2 2 2" xfId="19471" xr:uid="{00000000-0005-0000-0000-0000D0930000}"/>
    <cellStyle name="Porcentaje 4 6 2 2 2 2 2 2" xfId="39186" xr:uid="{00000000-0005-0000-0000-0000D1930000}"/>
    <cellStyle name="Porcentaje 4 6 2 2 2 2 3" xfId="29329" xr:uid="{00000000-0005-0000-0000-0000D2930000}"/>
    <cellStyle name="Porcentaje 4 6 2 2 2 3" xfId="14543" xr:uid="{00000000-0005-0000-0000-0000D3930000}"/>
    <cellStyle name="Porcentaje 4 6 2 2 2 3 2" xfId="34258" xr:uid="{00000000-0005-0000-0000-0000D4930000}"/>
    <cellStyle name="Porcentaje 4 6 2 2 2 4" xfId="24401" xr:uid="{00000000-0005-0000-0000-0000D5930000}"/>
    <cellStyle name="Porcentaje 4 6 2 2 3" xfId="7147" xr:uid="{00000000-0005-0000-0000-0000D6930000}"/>
    <cellStyle name="Porcentaje 4 6 2 2 3 2" xfId="17007" xr:uid="{00000000-0005-0000-0000-0000D7930000}"/>
    <cellStyle name="Porcentaje 4 6 2 2 3 2 2" xfId="36722" xr:uid="{00000000-0005-0000-0000-0000D8930000}"/>
    <cellStyle name="Porcentaje 4 6 2 2 3 3" xfId="26865" xr:uid="{00000000-0005-0000-0000-0000D9930000}"/>
    <cellStyle name="Porcentaje 4 6 2 2 4" xfId="12079" xr:uid="{00000000-0005-0000-0000-0000DA930000}"/>
    <cellStyle name="Porcentaje 4 6 2 2 4 2" xfId="31794" xr:uid="{00000000-0005-0000-0000-0000DB930000}"/>
    <cellStyle name="Porcentaje 4 6 2 2 5" xfId="21937" xr:uid="{00000000-0005-0000-0000-0000DC930000}"/>
    <cellStyle name="Porcentaje 4 6 2 3" xfId="3447" xr:uid="{00000000-0005-0000-0000-0000DD930000}"/>
    <cellStyle name="Porcentaje 4 6 2 3 2" xfId="8379" xr:uid="{00000000-0005-0000-0000-0000DE930000}"/>
    <cellStyle name="Porcentaje 4 6 2 3 2 2" xfId="18239" xr:uid="{00000000-0005-0000-0000-0000DF930000}"/>
    <cellStyle name="Porcentaje 4 6 2 3 2 2 2" xfId="37954" xr:uid="{00000000-0005-0000-0000-0000E0930000}"/>
    <cellStyle name="Porcentaje 4 6 2 3 2 3" xfId="28097" xr:uid="{00000000-0005-0000-0000-0000E1930000}"/>
    <cellStyle name="Porcentaje 4 6 2 3 3" xfId="13311" xr:uid="{00000000-0005-0000-0000-0000E2930000}"/>
    <cellStyle name="Porcentaje 4 6 2 3 3 2" xfId="33026" xr:uid="{00000000-0005-0000-0000-0000E3930000}"/>
    <cellStyle name="Porcentaje 4 6 2 3 4" xfId="23169" xr:uid="{00000000-0005-0000-0000-0000E4930000}"/>
    <cellStyle name="Porcentaje 4 6 2 4" xfId="5915" xr:uid="{00000000-0005-0000-0000-0000E5930000}"/>
    <cellStyle name="Porcentaje 4 6 2 4 2" xfId="15775" xr:uid="{00000000-0005-0000-0000-0000E6930000}"/>
    <cellStyle name="Porcentaje 4 6 2 4 2 2" xfId="35490" xr:uid="{00000000-0005-0000-0000-0000E7930000}"/>
    <cellStyle name="Porcentaje 4 6 2 4 3" xfId="25633" xr:uid="{00000000-0005-0000-0000-0000E8930000}"/>
    <cellStyle name="Porcentaje 4 6 2 5" xfId="10847" xr:uid="{00000000-0005-0000-0000-0000E9930000}"/>
    <cellStyle name="Porcentaje 4 6 2 5 2" xfId="30562" xr:uid="{00000000-0005-0000-0000-0000EA930000}"/>
    <cellStyle name="Porcentaje 4 6 2 6" xfId="20705" xr:uid="{00000000-0005-0000-0000-0000EB930000}"/>
    <cellStyle name="Porcentaje 4 6 3" xfId="1596" xr:uid="{00000000-0005-0000-0000-0000EC930000}"/>
    <cellStyle name="Porcentaje 4 6 3 2" xfId="4063" xr:uid="{00000000-0005-0000-0000-0000ED930000}"/>
    <cellStyle name="Porcentaje 4 6 3 2 2" xfId="8995" xr:uid="{00000000-0005-0000-0000-0000EE930000}"/>
    <cellStyle name="Porcentaje 4 6 3 2 2 2" xfId="18855" xr:uid="{00000000-0005-0000-0000-0000EF930000}"/>
    <cellStyle name="Porcentaje 4 6 3 2 2 2 2" xfId="38570" xr:uid="{00000000-0005-0000-0000-0000F0930000}"/>
    <cellStyle name="Porcentaje 4 6 3 2 2 3" xfId="28713" xr:uid="{00000000-0005-0000-0000-0000F1930000}"/>
    <cellStyle name="Porcentaje 4 6 3 2 3" xfId="13927" xr:uid="{00000000-0005-0000-0000-0000F2930000}"/>
    <cellStyle name="Porcentaje 4 6 3 2 3 2" xfId="33642" xr:uid="{00000000-0005-0000-0000-0000F3930000}"/>
    <cellStyle name="Porcentaje 4 6 3 2 4" xfId="23785" xr:uid="{00000000-0005-0000-0000-0000F4930000}"/>
    <cellStyle name="Porcentaje 4 6 3 3" xfId="6531" xr:uid="{00000000-0005-0000-0000-0000F5930000}"/>
    <cellStyle name="Porcentaje 4 6 3 3 2" xfId="16391" xr:uid="{00000000-0005-0000-0000-0000F6930000}"/>
    <cellStyle name="Porcentaje 4 6 3 3 2 2" xfId="36106" xr:uid="{00000000-0005-0000-0000-0000F7930000}"/>
    <cellStyle name="Porcentaje 4 6 3 3 3" xfId="26249" xr:uid="{00000000-0005-0000-0000-0000F8930000}"/>
    <cellStyle name="Porcentaje 4 6 3 4" xfId="11463" xr:uid="{00000000-0005-0000-0000-0000F9930000}"/>
    <cellStyle name="Porcentaje 4 6 3 4 2" xfId="31178" xr:uid="{00000000-0005-0000-0000-0000FA930000}"/>
    <cellStyle name="Porcentaje 4 6 3 5" xfId="21321" xr:uid="{00000000-0005-0000-0000-0000FB930000}"/>
    <cellStyle name="Porcentaje 4 6 4" xfId="2831" xr:uid="{00000000-0005-0000-0000-0000FC930000}"/>
    <cellStyle name="Porcentaje 4 6 4 2" xfId="7763" xr:uid="{00000000-0005-0000-0000-0000FD930000}"/>
    <cellStyle name="Porcentaje 4 6 4 2 2" xfId="17623" xr:uid="{00000000-0005-0000-0000-0000FE930000}"/>
    <cellStyle name="Porcentaje 4 6 4 2 2 2" xfId="37338" xr:uid="{00000000-0005-0000-0000-0000FF930000}"/>
    <cellStyle name="Porcentaje 4 6 4 2 3" xfId="27481" xr:uid="{00000000-0005-0000-0000-000000940000}"/>
    <cellStyle name="Porcentaje 4 6 4 3" xfId="12695" xr:uid="{00000000-0005-0000-0000-000001940000}"/>
    <cellStyle name="Porcentaje 4 6 4 3 2" xfId="32410" xr:uid="{00000000-0005-0000-0000-000002940000}"/>
    <cellStyle name="Porcentaje 4 6 4 4" xfId="22553" xr:uid="{00000000-0005-0000-0000-000003940000}"/>
    <cellStyle name="Porcentaje 4 6 5" xfId="5299" xr:uid="{00000000-0005-0000-0000-000004940000}"/>
    <cellStyle name="Porcentaje 4 6 5 2" xfId="15159" xr:uid="{00000000-0005-0000-0000-000005940000}"/>
    <cellStyle name="Porcentaje 4 6 5 2 2" xfId="34874" xr:uid="{00000000-0005-0000-0000-000006940000}"/>
    <cellStyle name="Porcentaje 4 6 5 3" xfId="25017" xr:uid="{00000000-0005-0000-0000-000007940000}"/>
    <cellStyle name="Porcentaje 4 6 6" xfId="10231" xr:uid="{00000000-0005-0000-0000-000008940000}"/>
    <cellStyle name="Porcentaje 4 6 6 2" xfId="29946" xr:uid="{00000000-0005-0000-0000-000009940000}"/>
    <cellStyle name="Porcentaje 4 6 7" xfId="20089" xr:uid="{00000000-0005-0000-0000-00000A940000}"/>
    <cellStyle name="Porcentaje 4 7" xfId="670" xr:uid="{00000000-0005-0000-0000-00000B940000}"/>
    <cellStyle name="Porcentaje 4 7 2" xfId="1906" xr:uid="{00000000-0005-0000-0000-00000C940000}"/>
    <cellStyle name="Porcentaje 4 7 2 2" xfId="4373" xr:uid="{00000000-0005-0000-0000-00000D940000}"/>
    <cellStyle name="Porcentaje 4 7 2 2 2" xfId="9305" xr:uid="{00000000-0005-0000-0000-00000E940000}"/>
    <cellStyle name="Porcentaje 4 7 2 2 2 2" xfId="19165" xr:uid="{00000000-0005-0000-0000-00000F940000}"/>
    <cellStyle name="Porcentaje 4 7 2 2 2 2 2" xfId="38880" xr:uid="{00000000-0005-0000-0000-000010940000}"/>
    <cellStyle name="Porcentaje 4 7 2 2 2 3" xfId="29023" xr:uid="{00000000-0005-0000-0000-000011940000}"/>
    <cellStyle name="Porcentaje 4 7 2 2 3" xfId="14237" xr:uid="{00000000-0005-0000-0000-000012940000}"/>
    <cellStyle name="Porcentaje 4 7 2 2 3 2" xfId="33952" xr:uid="{00000000-0005-0000-0000-000013940000}"/>
    <cellStyle name="Porcentaje 4 7 2 2 4" xfId="24095" xr:uid="{00000000-0005-0000-0000-000014940000}"/>
    <cellStyle name="Porcentaje 4 7 2 3" xfId="6841" xr:uid="{00000000-0005-0000-0000-000015940000}"/>
    <cellStyle name="Porcentaje 4 7 2 3 2" xfId="16701" xr:uid="{00000000-0005-0000-0000-000016940000}"/>
    <cellStyle name="Porcentaje 4 7 2 3 2 2" xfId="36416" xr:uid="{00000000-0005-0000-0000-000017940000}"/>
    <cellStyle name="Porcentaje 4 7 2 3 3" xfId="26559" xr:uid="{00000000-0005-0000-0000-000018940000}"/>
    <cellStyle name="Porcentaje 4 7 2 4" xfId="11773" xr:uid="{00000000-0005-0000-0000-000019940000}"/>
    <cellStyle name="Porcentaje 4 7 2 4 2" xfId="31488" xr:uid="{00000000-0005-0000-0000-00001A940000}"/>
    <cellStyle name="Porcentaje 4 7 2 5" xfId="21631" xr:uid="{00000000-0005-0000-0000-00001B940000}"/>
    <cellStyle name="Porcentaje 4 7 3" xfId="3141" xr:uid="{00000000-0005-0000-0000-00001C940000}"/>
    <cellStyle name="Porcentaje 4 7 3 2" xfId="8073" xr:uid="{00000000-0005-0000-0000-00001D940000}"/>
    <cellStyle name="Porcentaje 4 7 3 2 2" xfId="17933" xr:uid="{00000000-0005-0000-0000-00001E940000}"/>
    <cellStyle name="Porcentaje 4 7 3 2 2 2" xfId="37648" xr:uid="{00000000-0005-0000-0000-00001F940000}"/>
    <cellStyle name="Porcentaje 4 7 3 2 3" xfId="27791" xr:uid="{00000000-0005-0000-0000-000020940000}"/>
    <cellStyle name="Porcentaje 4 7 3 3" xfId="13005" xr:uid="{00000000-0005-0000-0000-000021940000}"/>
    <cellStyle name="Porcentaje 4 7 3 3 2" xfId="32720" xr:uid="{00000000-0005-0000-0000-000022940000}"/>
    <cellStyle name="Porcentaje 4 7 3 4" xfId="22863" xr:uid="{00000000-0005-0000-0000-000023940000}"/>
    <cellStyle name="Porcentaje 4 7 4" xfId="5609" xr:uid="{00000000-0005-0000-0000-000024940000}"/>
    <cellStyle name="Porcentaje 4 7 4 2" xfId="15469" xr:uid="{00000000-0005-0000-0000-000025940000}"/>
    <cellStyle name="Porcentaje 4 7 4 2 2" xfId="35184" xr:uid="{00000000-0005-0000-0000-000026940000}"/>
    <cellStyle name="Porcentaje 4 7 4 3" xfId="25327" xr:uid="{00000000-0005-0000-0000-000027940000}"/>
    <cellStyle name="Porcentaje 4 7 5" xfId="10541" xr:uid="{00000000-0005-0000-0000-000028940000}"/>
    <cellStyle name="Porcentaje 4 7 5 2" xfId="30256" xr:uid="{00000000-0005-0000-0000-000029940000}"/>
    <cellStyle name="Porcentaje 4 7 6" xfId="20399" xr:uid="{00000000-0005-0000-0000-00002A940000}"/>
    <cellStyle name="Porcentaje 4 8" xfId="1290" xr:uid="{00000000-0005-0000-0000-00002B940000}"/>
    <cellStyle name="Porcentaje 4 8 2" xfId="3757" xr:uid="{00000000-0005-0000-0000-00002C940000}"/>
    <cellStyle name="Porcentaje 4 8 2 2" xfId="8689" xr:uid="{00000000-0005-0000-0000-00002D940000}"/>
    <cellStyle name="Porcentaje 4 8 2 2 2" xfId="18549" xr:uid="{00000000-0005-0000-0000-00002E940000}"/>
    <cellStyle name="Porcentaje 4 8 2 2 2 2" xfId="38264" xr:uid="{00000000-0005-0000-0000-00002F940000}"/>
    <cellStyle name="Porcentaje 4 8 2 2 3" xfId="28407" xr:uid="{00000000-0005-0000-0000-000030940000}"/>
    <cellStyle name="Porcentaje 4 8 2 3" xfId="13621" xr:uid="{00000000-0005-0000-0000-000031940000}"/>
    <cellStyle name="Porcentaje 4 8 2 3 2" xfId="33336" xr:uid="{00000000-0005-0000-0000-000032940000}"/>
    <cellStyle name="Porcentaje 4 8 2 4" xfId="23479" xr:uid="{00000000-0005-0000-0000-000033940000}"/>
    <cellStyle name="Porcentaje 4 8 3" xfId="6225" xr:uid="{00000000-0005-0000-0000-000034940000}"/>
    <cellStyle name="Porcentaje 4 8 3 2" xfId="16085" xr:uid="{00000000-0005-0000-0000-000035940000}"/>
    <cellStyle name="Porcentaje 4 8 3 2 2" xfId="35800" xr:uid="{00000000-0005-0000-0000-000036940000}"/>
    <cellStyle name="Porcentaje 4 8 3 3" xfId="25943" xr:uid="{00000000-0005-0000-0000-000037940000}"/>
    <cellStyle name="Porcentaje 4 8 4" xfId="11157" xr:uid="{00000000-0005-0000-0000-000038940000}"/>
    <cellStyle name="Porcentaje 4 8 4 2" xfId="30872" xr:uid="{00000000-0005-0000-0000-000039940000}"/>
    <cellStyle name="Porcentaje 4 8 5" xfId="21015" xr:uid="{00000000-0005-0000-0000-00003A940000}"/>
    <cellStyle name="Porcentaje 4 9" xfId="2525" xr:uid="{00000000-0005-0000-0000-00003B940000}"/>
    <cellStyle name="Porcentaje 4 9 2" xfId="7457" xr:uid="{00000000-0005-0000-0000-00003C940000}"/>
    <cellStyle name="Porcentaje 4 9 2 2" xfId="17317" xr:uid="{00000000-0005-0000-0000-00003D940000}"/>
    <cellStyle name="Porcentaje 4 9 2 2 2" xfId="37032" xr:uid="{00000000-0005-0000-0000-00003E940000}"/>
    <cellStyle name="Porcentaje 4 9 2 3" xfId="27175" xr:uid="{00000000-0005-0000-0000-00003F940000}"/>
    <cellStyle name="Porcentaje 4 9 3" xfId="12389" xr:uid="{00000000-0005-0000-0000-000040940000}"/>
    <cellStyle name="Porcentaje 4 9 3 2" xfId="32104" xr:uid="{00000000-0005-0000-0000-000041940000}"/>
    <cellStyle name="Porcentaje 4 9 4" xfId="22247" xr:uid="{00000000-0005-0000-0000-000042940000}"/>
    <cellStyle name="Porcentaje 5" xfId="28" xr:uid="{00000000-0005-0000-0000-000043940000}"/>
    <cellStyle name="Porcentaje 5 2" xfId="32" xr:uid="{00000000-0005-0000-0000-000044940000}"/>
    <cellStyle name="Porcentaje 6" xfId="43" xr:uid="{00000000-0005-0000-0000-000045940000}"/>
    <cellStyle name="Porcentaje 6 2" xfId="56" xr:uid="{00000000-0005-0000-0000-000046940000}"/>
    <cellStyle name="Porcentaje 7" xfId="35" xr:uid="{00000000-0005-0000-0000-000047940000}"/>
    <cellStyle name="Porcentaje 7 10" xfId="9935" xr:uid="{00000000-0005-0000-0000-000048940000}"/>
    <cellStyle name="Porcentaje 7 10 2" xfId="29650" xr:uid="{00000000-0005-0000-0000-000049940000}"/>
    <cellStyle name="Porcentaje 7 11" xfId="19793" xr:uid="{00000000-0005-0000-0000-00004A940000}"/>
    <cellStyle name="Porcentaje 7 2" xfId="81" xr:uid="{00000000-0005-0000-0000-00004B940000}"/>
    <cellStyle name="Porcentaje 7 2 10" xfId="19831" xr:uid="{00000000-0005-0000-0000-00004C940000}"/>
    <cellStyle name="Porcentaje 7 2 2" xfId="162" xr:uid="{00000000-0005-0000-0000-00004D940000}"/>
    <cellStyle name="Porcentaje 7 2 2 2" xfId="319" xr:uid="{00000000-0005-0000-0000-00004E940000}"/>
    <cellStyle name="Porcentaje 7 2 2 2 2" xfId="633" xr:uid="{00000000-0005-0000-0000-00004F940000}"/>
    <cellStyle name="Porcentaje 7 2 2 2 2 2" xfId="1253" xr:uid="{00000000-0005-0000-0000-000050940000}"/>
    <cellStyle name="Porcentaje 7 2 2 2 2 2 2" xfId="2488" xr:uid="{00000000-0005-0000-0000-000051940000}"/>
    <cellStyle name="Porcentaje 7 2 2 2 2 2 2 2" xfId="4955" xr:uid="{00000000-0005-0000-0000-000052940000}"/>
    <cellStyle name="Porcentaje 7 2 2 2 2 2 2 2 2" xfId="9887" xr:uid="{00000000-0005-0000-0000-000053940000}"/>
    <cellStyle name="Porcentaje 7 2 2 2 2 2 2 2 2 2" xfId="19747" xr:uid="{00000000-0005-0000-0000-000054940000}"/>
    <cellStyle name="Porcentaje 7 2 2 2 2 2 2 2 2 2 2" xfId="39462" xr:uid="{00000000-0005-0000-0000-000055940000}"/>
    <cellStyle name="Porcentaje 7 2 2 2 2 2 2 2 2 3" xfId="29605" xr:uid="{00000000-0005-0000-0000-000056940000}"/>
    <cellStyle name="Porcentaje 7 2 2 2 2 2 2 2 3" xfId="14819" xr:uid="{00000000-0005-0000-0000-000057940000}"/>
    <cellStyle name="Porcentaje 7 2 2 2 2 2 2 2 3 2" xfId="34534" xr:uid="{00000000-0005-0000-0000-000058940000}"/>
    <cellStyle name="Porcentaje 7 2 2 2 2 2 2 2 4" xfId="24677" xr:uid="{00000000-0005-0000-0000-000059940000}"/>
    <cellStyle name="Porcentaje 7 2 2 2 2 2 2 3" xfId="7423" xr:uid="{00000000-0005-0000-0000-00005A940000}"/>
    <cellStyle name="Porcentaje 7 2 2 2 2 2 2 3 2" xfId="17283" xr:uid="{00000000-0005-0000-0000-00005B940000}"/>
    <cellStyle name="Porcentaje 7 2 2 2 2 2 2 3 2 2" xfId="36998" xr:uid="{00000000-0005-0000-0000-00005C940000}"/>
    <cellStyle name="Porcentaje 7 2 2 2 2 2 2 3 3" xfId="27141" xr:uid="{00000000-0005-0000-0000-00005D940000}"/>
    <cellStyle name="Porcentaje 7 2 2 2 2 2 2 4" xfId="12355" xr:uid="{00000000-0005-0000-0000-00005E940000}"/>
    <cellStyle name="Porcentaje 7 2 2 2 2 2 2 4 2" xfId="32070" xr:uid="{00000000-0005-0000-0000-00005F940000}"/>
    <cellStyle name="Porcentaje 7 2 2 2 2 2 2 5" xfId="22213" xr:uid="{00000000-0005-0000-0000-000060940000}"/>
    <cellStyle name="Porcentaje 7 2 2 2 2 2 3" xfId="3723" xr:uid="{00000000-0005-0000-0000-000061940000}"/>
    <cellStyle name="Porcentaje 7 2 2 2 2 2 3 2" xfId="8655" xr:uid="{00000000-0005-0000-0000-000062940000}"/>
    <cellStyle name="Porcentaje 7 2 2 2 2 2 3 2 2" xfId="18515" xr:uid="{00000000-0005-0000-0000-000063940000}"/>
    <cellStyle name="Porcentaje 7 2 2 2 2 2 3 2 2 2" xfId="38230" xr:uid="{00000000-0005-0000-0000-000064940000}"/>
    <cellStyle name="Porcentaje 7 2 2 2 2 2 3 2 3" xfId="28373" xr:uid="{00000000-0005-0000-0000-000065940000}"/>
    <cellStyle name="Porcentaje 7 2 2 2 2 2 3 3" xfId="13587" xr:uid="{00000000-0005-0000-0000-000066940000}"/>
    <cellStyle name="Porcentaje 7 2 2 2 2 2 3 3 2" xfId="33302" xr:uid="{00000000-0005-0000-0000-000067940000}"/>
    <cellStyle name="Porcentaje 7 2 2 2 2 2 3 4" xfId="23445" xr:uid="{00000000-0005-0000-0000-000068940000}"/>
    <cellStyle name="Porcentaje 7 2 2 2 2 2 4" xfId="6191" xr:uid="{00000000-0005-0000-0000-000069940000}"/>
    <cellStyle name="Porcentaje 7 2 2 2 2 2 4 2" xfId="16051" xr:uid="{00000000-0005-0000-0000-00006A940000}"/>
    <cellStyle name="Porcentaje 7 2 2 2 2 2 4 2 2" xfId="35766" xr:uid="{00000000-0005-0000-0000-00006B940000}"/>
    <cellStyle name="Porcentaje 7 2 2 2 2 2 4 3" xfId="25909" xr:uid="{00000000-0005-0000-0000-00006C940000}"/>
    <cellStyle name="Porcentaje 7 2 2 2 2 2 5" xfId="11123" xr:uid="{00000000-0005-0000-0000-00006D940000}"/>
    <cellStyle name="Porcentaje 7 2 2 2 2 2 5 2" xfId="30838" xr:uid="{00000000-0005-0000-0000-00006E940000}"/>
    <cellStyle name="Porcentaje 7 2 2 2 2 2 6" xfId="20981" xr:uid="{00000000-0005-0000-0000-00006F940000}"/>
    <cellStyle name="Porcentaje 7 2 2 2 2 3" xfId="1872" xr:uid="{00000000-0005-0000-0000-000070940000}"/>
    <cellStyle name="Porcentaje 7 2 2 2 2 3 2" xfId="4339" xr:uid="{00000000-0005-0000-0000-000071940000}"/>
    <cellStyle name="Porcentaje 7 2 2 2 2 3 2 2" xfId="9271" xr:uid="{00000000-0005-0000-0000-000072940000}"/>
    <cellStyle name="Porcentaje 7 2 2 2 2 3 2 2 2" xfId="19131" xr:uid="{00000000-0005-0000-0000-000073940000}"/>
    <cellStyle name="Porcentaje 7 2 2 2 2 3 2 2 2 2" xfId="38846" xr:uid="{00000000-0005-0000-0000-000074940000}"/>
    <cellStyle name="Porcentaje 7 2 2 2 2 3 2 2 3" xfId="28989" xr:uid="{00000000-0005-0000-0000-000075940000}"/>
    <cellStyle name="Porcentaje 7 2 2 2 2 3 2 3" xfId="14203" xr:uid="{00000000-0005-0000-0000-000076940000}"/>
    <cellStyle name="Porcentaje 7 2 2 2 2 3 2 3 2" xfId="33918" xr:uid="{00000000-0005-0000-0000-000077940000}"/>
    <cellStyle name="Porcentaje 7 2 2 2 2 3 2 4" xfId="24061" xr:uid="{00000000-0005-0000-0000-000078940000}"/>
    <cellStyle name="Porcentaje 7 2 2 2 2 3 3" xfId="6807" xr:uid="{00000000-0005-0000-0000-000079940000}"/>
    <cellStyle name="Porcentaje 7 2 2 2 2 3 3 2" xfId="16667" xr:uid="{00000000-0005-0000-0000-00007A940000}"/>
    <cellStyle name="Porcentaje 7 2 2 2 2 3 3 2 2" xfId="36382" xr:uid="{00000000-0005-0000-0000-00007B940000}"/>
    <cellStyle name="Porcentaje 7 2 2 2 2 3 3 3" xfId="26525" xr:uid="{00000000-0005-0000-0000-00007C940000}"/>
    <cellStyle name="Porcentaje 7 2 2 2 2 3 4" xfId="11739" xr:uid="{00000000-0005-0000-0000-00007D940000}"/>
    <cellStyle name="Porcentaje 7 2 2 2 2 3 4 2" xfId="31454" xr:uid="{00000000-0005-0000-0000-00007E940000}"/>
    <cellStyle name="Porcentaje 7 2 2 2 2 3 5" xfId="21597" xr:uid="{00000000-0005-0000-0000-00007F940000}"/>
    <cellStyle name="Porcentaje 7 2 2 2 2 4" xfId="3107" xr:uid="{00000000-0005-0000-0000-000080940000}"/>
    <cellStyle name="Porcentaje 7 2 2 2 2 4 2" xfId="8039" xr:uid="{00000000-0005-0000-0000-000081940000}"/>
    <cellStyle name="Porcentaje 7 2 2 2 2 4 2 2" xfId="17899" xr:uid="{00000000-0005-0000-0000-000082940000}"/>
    <cellStyle name="Porcentaje 7 2 2 2 2 4 2 2 2" xfId="37614" xr:uid="{00000000-0005-0000-0000-000083940000}"/>
    <cellStyle name="Porcentaje 7 2 2 2 2 4 2 3" xfId="27757" xr:uid="{00000000-0005-0000-0000-000084940000}"/>
    <cellStyle name="Porcentaje 7 2 2 2 2 4 3" xfId="12971" xr:uid="{00000000-0005-0000-0000-000085940000}"/>
    <cellStyle name="Porcentaje 7 2 2 2 2 4 3 2" xfId="32686" xr:uid="{00000000-0005-0000-0000-000086940000}"/>
    <cellStyle name="Porcentaje 7 2 2 2 2 4 4" xfId="22829" xr:uid="{00000000-0005-0000-0000-000087940000}"/>
    <cellStyle name="Porcentaje 7 2 2 2 2 5" xfId="5575" xr:uid="{00000000-0005-0000-0000-000088940000}"/>
    <cellStyle name="Porcentaje 7 2 2 2 2 5 2" xfId="15435" xr:uid="{00000000-0005-0000-0000-000089940000}"/>
    <cellStyle name="Porcentaje 7 2 2 2 2 5 2 2" xfId="35150" xr:uid="{00000000-0005-0000-0000-00008A940000}"/>
    <cellStyle name="Porcentaje 7 2 2 2 2 5 3" xfId="25293" xr:uid="{00000000-0005-0000-0000-00008B940000}"/>
    <cellStyle name="Porcentaje 7 2 2 2 2 6" xfId="10507" xr:uid="{00000000-0005-0000-0000-00008C940000}"/>
    <cellStyle name="Porcentaje 7 2 2 2 2 6 2" xfId="30222" xr:uid="{00000000-0005-0000-0000-00008D940000}"/>
    <cellStyle name="Porcentaje 7 2 2 2 2 7" xfId="20365" xr:uid="{00000000-0005-0000-0000-00008E940000}"/>
    <cellStyle name="Porcentaje 7 2 2 2 3" xfId="946" xr:uid="{00000000-0005-0000-0000-00008F940000}"/>
    <cellStyle name="Porcentaje 7 2 2 2 3 2" xfId="2182" xr:uid="{00000000-0005-0000-0000-000090940000}"/>
    <cellStyle name="Porcentaje 7 2 2 2 3 2 2" xfId="4649" xr:uid="{00000000-0005-0000-0000-000091940000}"/>
    <cellStyle name="Porcentaje 7 2 2 2 3 2 2 2" xfId="9581" xr:uid="{00000000-0005-0000-0000-000092940000}"/>
    <cellStyle name="Porcentaje 7 2 2 2 3 2 2 2 2" xfId="19441" xr:uid="{00000000-0005-0000-0000-000093940000}"/>
    <cellStyle name="Porcentaje 7 2 2 2 3 2 2 2 2 2" xfId="39156" xr:uid="{00000000-0005-0000-0000-000094940000}"/>
    <cellStyle name="Porcentaje 7 2 2 2 3 2 2 2 3" xfId="29299" xr:uid="{00000000-0005-0000-0000-000095940000}"/>
    <cellStyle name="Porcentaje 7 2 2 2 3 2 2 3" xfId="14513" xr:uid="{00000000-0005-0000-0000-000096940000}"/>
    <cellStyle name="Porcentaje 7 2 2 2 3 2 2 3 2" xfId="34228" xr:uid="{00000000-0005-0000-0000-000097940000}"/>
    <cellStyle name="Porcentaje 7 2 2 2 3 2 2 4" xfId="24371" xr:uid="{00000000-0005-0000-0000-000098940000}"/>
    <cellStyle name="Porcentaje 7 2 2 2 3 2 3" xfId="7117" xr:uid="{00000000-0005-0000-0000-000099940000}"/>
    <cellStyle name="Porcentaje 7 2 2 2 3 2 3 2" xfId="16977" xr:uid="{00000000-0005-0000-0000-00009A940000}"/>
    <cellStyle name="Porcentaje 7 2 2 2 3 2 3 2 2" xfId="36692" xr:uid="{00000000-0005-0000-0000-00009B940000}"/>
    <cellStyle name="Porcentaje 7 2 2 2 3 2 3 3" xfId="26835" xr:uid="{00000000-0005-0000-0000-00009C940000}"/>
    <cellStyle name="Porcentaje 7 2 2 2 3 2 4" xfId="12049" xr:uid="{00000000-0005-0000-0000-00009D940000}"/>
    <cellStyle name="Porcentaje 7 2 2 2 3 2 4 2" xfId="31764" xr:uid="{00000000-0005-0000-0000-00009E940000}"/>
    <cellStyle name="Porcentaje 7 2 2 2 3 2 5" xfId="21907" xr:uid="{00000000-0005-0000-0000-00009F940000}"/>
    <cellStyle name="Porcentaje 7 2 2 2 3 3" xfId="3417" xr:uid="{00000000-0005-0000-0000-0000A0940000}"/>
    <cellStyle name="Porcentaje 7 2 2 2 3 3 2" xfId="8349" xr:uid="{00000000-0005-0000-0000-0000A1940000}"/>
    <cellStyle name="Porcentaje 7 2 2 2 3 3 2 2" xfId="18209" xr:uid="{00000000-0005-0000-0000-0000A2940000}"/>
    <cellStyle name="Porcentaje 7 2 2 2 3 3 2 2 2" xfId="37924" xr:uid="{00000000-0005-0000-0000-0000A3940000}"/>
    <cellStyle name="Porcentaje 7 2 2 2 3 3 2 3" xfId="28067" xr:uid="{00000000-0005-0000-0000-0000A4940000}"/>
    <cellStyle name="Porcentaje 7 2 2 2 3 3 3" xfId="13281" xr:uid="{00000000-0005-0000-0000-0000A5940000}"/>
    <cellStyle name="Porcentaje 7 2 2 2 3 3 3 2" xfId="32996" xr:uid="{00000000-0005-0000-0000-0000A6940000}"/>
    <cellStyle name="Porcentaje 7 2 2 2 3 3 4" xfId="23139" xr:uid="{00000000-0005-0000-0000-0000A7940000}"/>
    <cellStyle name="Porcentaje 7 2 2 2 3 4" xfId="5885" xr:uid="{00000000-0005-0000-0000-0000A8940000}"/>
    <cellStyle name="Porcentaje 7 2 2 2 3 4 2" xfId="15745" xr:uid="{00000000-0005-0000-0000-0000A9940000}"/>
    <cellStyle name="Porcentaje 7 2 2 2 3 4 2 2" xfId="35460" xr:uid="{00000000-0005-0000-0000-0000AA940000}"/>
    <cellStyle name="Porcentaje 7 2 2 2 3 4 3" xfId="25603" xr:uid="{00000000-0005-0000-0000-0000AB940000}"/>
    <cellStyle name="Porcentaje 7 2 2 2 3 5" xfId="10817" xr:uid="{00000000-0005-0000-0000-0000AC940000}"/>
    <cellStyle name="Porcentaje 7 2 2 2 3 5 2" xfId="30532" xr:uid="{00000000-0005-0000-0000-0000AD940000}"/>
    <cellStyle name="Porcentaje 7 2 2 2 3 6" xfId="20675" xr:uid="{00000000-0005-0000-0000-0000AE940000}"/>
    <cellStyle name="Porcentaje 7 2 2 2 4" xfId="1566" xr:uid="{00000000-0005-0000-0000-0000AF940000}"/>
    <cellStyle name="Porcentaje 7 2 2 2 4 2" xfId="4033" xr:uid="{00000000-0005-0000-0000-0000B0940000}"/>
    <cellStyle name="Porcentaje 7 2 2 2 4 2 2" xfId="8965" xr:uid="{00000000-0005-0000-0000-0000B1940000}"/>
    <cellStyle name="Porcentaje 7 2 2 2 4 2 2 2" xfId="18825" xr:uid="{00000000-0005-0000-0000-0000B2940000}"/>
    <cellStyle name="Porcentaje 7 2 2 2 4 2 2 2 2" xfId="38540" xr:uid="{00000000-0005-0000-0000-0000B3940000}"/>
    <cellStyle name="Porcentaje 7 2 2 2 4 2 2 3" xfId="28683" xr:uid="{00000000-0005-0000-0000-0000B4940000}"/>
    <cellStyle name="Porcentaje 7 2 2 2 4 2 3" xfId="13897" xr:uid="{00000000-0005-0000-0000-0000B5940000}"/>
    <cellStyle name="Porcentaje 7 2 2 2 4 2 3 2" xfId="33612" xr:uid="{00000000-0005-0000-0000-0000B6940000}"/>
    <cellStyle name="Porcentaje 7 2 2 2 4 2 4" xfId="23755" xr:uid="{00000000-0005-0000-0000-0000B7940000}"/>
    <cellStyle name="Porcentaje 7 2 2 2 4 3" xfId="6501" xr:uid="{00000000-0005-0000-0000-0000B8940000}"/>
    <cellStyle name="Porcentaje 7 2 2 2 4 3 2" xfId="16361" xr:uid="{00000000-0005-0000-0000-0000B9940000}"/>
    <cellStyle name="Porcentaje 7 2 2 2 4 3 2 2" xfId="36076" xr:uid="{00000000-0005-0000-0000-0000BA940000}"/>
    <cellStyle name="Porcentaje 7 2 2 2 4 3 3" xfId="26219" xr:uid="{00000000-0005-0000-0000-0000BB940000}"/>
    <cellStyle name="Porcentaje 7 2 2 2 4 4" xfId="11433" xr:uid="{00000000-0005-0000-0000-0000BC940000}"/>
    <cellStyle name="Porcentaje 7 2 2 2 4 4 2" xfId="31148" xr:uid="{00000000-0005-0000-0000-0000BD940000}"/>
    <cellStyle name="Porcentaje 7 2 2 2 4 5" xfId="21291" xr:uid="{00000000-0005-0000-0000-0000BE940000}"/>
    <cellStyle name="Porcentaje 7 2 2 2 5" xfId="2801" xr:uid="{00000000-0005-0000-0000-0000BF940000}"/>
    <cellStyle name="Porcentaje 7 2 2 2 5 2" xfId="7733" xr:uid="{00000000-0005-0000-0000-0000C0940000}"/>
    <cellStyle name="Porcentaje 7 2 2 2 5 2 2" xfId="17593" xr:uid="{00000000-0005-0000-0000-0000C1940000}"/>
    <cellStyle name="Porcentaje 7 2 2 2 5 2 2 2" xfId="37308" xr:uid="{00000000-0005-0000-0000-0000C2940000}"/>
    <cellStyle name="Porcentaje 7 2 2 2 5 2 3" xfId="27451" xr:uid="{00000000-0005-0000-0000-0000C3940000}"/>
    <cellStyle name="Porcentaje 7 2 2 2 5 3" xfId="12665" xr:uid="{00000000-0005-0000-0000-0000C4940000}"/>
    <cellStyle name="Porcentaje 7 2 2 2 5 3 2" xfId="32380" xr:uid="{00000000-0005-0000-0000-0000C5940000}"/>
    <cellStyle name="Porcentaje 7 2 2 2 5 4" xfId="22523" xr:uid="{00000000-0005-0000-0000-0000C6940000}"/>
    <cellStyle name="Porcentaje 7 2 2 2 6" xfId="5269" xr:uid="{00000000-0005-0000-0000-0000C7940000}"/>
    <cellStyle name="Porcentaje 7 2 2 2 6 2" xfId="15129" xr:uid="{00000000-0005-0000-0000-0000C8940000}"/>
    <cellStyle name="Porcentaje 7 2 2 2 6 2 2" xfId="34844" xr:uid="{00000000-0005-0000-0000-0000C9940000}"/>
    <cellStyle name="Porcentaje 7 2 2 2 6 3" xfId="24987" xr:uid="{00000000-0005-0000-0000-0000CA940000}"/>
    <cellStyle name="Porcentaje 7 2 2 2 7" xfId="10201" xr:uid="{00000000-0005-0000-0000-0000CB940000}"/>
    <cellStyle name="Porcentaje 7 2 2 2 7 2" xfId="29916" xr:uid="{00000000-0005-0000-0000-0000CC940000}"/>
    <cellStyle name="Porcentaje 7 2 2 2 8" xfId="20059" xr:uid="{00000000-0005-0000-0000-0000CD940000}"/>
    <cellStyle name="Porcentaje 7 2 2 3" xfId="481" xr:uid="{00000000-0005-0000-0000-0000CE940000}"/>
    <cellStyle name="Porcentaje 7 2 2 3 2" xfId="1101" xr:uid="{00000000-0005-0000-0000-0000CF940000}"/>
    <cellStyle name="Porcentaje 7 2 2 3 2 2" xfId="2336" xr:uid="{00000000-0005-0000-0000-0000D0940000}"/>
    <cellStyle name="Porcentaje 7 2 2 3 2 2 2" xfId="4803" xr:uid="{00000000-0005-0000-0000-0000D1940000}"/>
    <cellStyle name="Porcentaje 7 2 2 3 2 2 2 2" xfId="9735" xr:uid="{00000000-0005-0000-0000-0000D2940000}"/>
    <cellStyle name="Porcentaje 7 2 2 3 2 2 2 2 2" xfId="19595" xr:uid="{00000000-0005-0000-0000-0000D3940000}"/>
    <cellStyle name="Porcentaje 7 2 2 3 2 2 2 2 2 2" xfId="39310" xr:uid="{00000000-0005-0000-0000-0000D4940000}"/>
    <cellStyle name="Porcentaje 7 2 2 3 2 2 2 2 3" xfId="29453" xr:uid="{00000000-0005-0000-0000-0000D5940000}"/>
    <cellStyle name="Porcentaje 7 2 2 3 2 2 2 3" xfId="14667" xr:uid="{00000000-0005-0000-0000-0000D6940000}"/>
    <cellStyle name="Porcentaje 7 2 2 3 2 2 2 3 2" xfId="34382" xr:uid="{00000000-0005-0000-0000-0000D7940000}"/>
    <cellStyle name="Porcentaje 7 2 2 3 2 2 2 4" xfId="24525" xr:uid="{00000000-0005-0000-0000-0000D8940000}"/>
    <cellStyle name="Porcentaje 7 2 2 3 2 2 3" xfId="7271" xr:uid="{00000000-0005-0000-0000-0000D9940000}"/>
    <cellStyle name="Porcentaje 7 2 2 3 2 2 3 2" xfId="17131" xr:uid="{00000000-0005-0000-0000-0000DA940000}"/>
    <cellStyle name="Porcentaje 7 2 2 3 2 2 3 2 2" xfId="36846" xr:uid="{00000000-0005-0000-0000-0000DB940000}"/>
    <cellStyle name="Porcentaje 7 2 2 3 2 2 3 3" xfId="26989" xr:uid="{00000000-0005-0000-0000-0000DC940000}"/>
    <cellStyle name="Porcentaje 7 2 2 3 2 2 4" xfId="12203" xr:uid="{00000000-0005-0000-0000-0000DD940000}"/>
    <cellStyle name="Porcentaje 7 2 2 3 2 2 4 2" xfId="31918" xr:uid="{00000000-0005-0000-0000-0000DE940000}"/>
    <cellStyle name="Porcentaje 7 2 2 3 2 2 5" xfId="22061" xr:uid="{00000000-0005-0000-0000-0000DF940000}"/>
    <cellStyle name="Porcentaje 7 2 2 3 2 3" xfId="3571" xr:uid="{00000000-0005-0000-0000-0000E0940000}"/>
    <cellStyle name="Porcentaje 7 2 2 3 2 3 2" xfId="8503" xr:uid="{00000000-0005-0000-0000-0000E1940000}"/>
    <cellStyle name="Porcentaje 7 2 2 3 2 3 2 2" xfId="18363" xr:uid="{00000000-0005-0000-0000-0000E2940000}"/>
    <cellStyle name="Porcentaje 7 2 2 3 2 3 2 2 2" xfId="38078" xr:uid="{00000000-0005-0000-0000-0000E3940000}"/>
    <cellStyle name="Porcentaje 7 2 2 3 2 3 2 3" xfId="28221" xr:uid="{00000000-0005-0000-0000-0000E4940000}"/>
    <cellStyle name="Porcentaje 7 2 2 3 2 3 3" xfId="13435" xr:uid="{00000000-0005-0000-0000-0000E5940000}"/>
    <cellStyle name="Porcentaje 7 2 2 3 2 3 3 2" xfId="33150" xr:uid="{00000000-0005-0000-0000-0000E6940000}"/>
    <cellStyle name="Porcentaje 7 2 2 3 2 3 4" xfId="23293" xr:uid="{00000000-0005-0000-0000-0000E7940000}"/>
    <cellStyle name="Porcentaje 7 2 2 3 2 4" xfId="6039" xr:uid="{00000000-0005-0000-0000-0000E8940000}"/>
    <cellStyle name="Porcentaje 7 2 2 3 2 4 2" xfId="15899" xr:uid="{00000000-0005-0000-0000-0000E9940000}"/>
    <cellStyle name="Porcentaje 7 2 2 3 2 4 2 2" xfId="35614" xr:uid="{00000000-0005-0000-0000-0000EA940000}"/>
    <cellStyle name="Porcentaje 7 2 2 3 2 4 3" xfId="25757" xr:uid="{00000000-0005-0000-0000-0000EB940000}"/>
    <cellStyle name="Porcentaje 7 2 2 3 2 5" xfId="10971" xr:uid="{00000000-0005-0000-0000-0000EC940000}"/>
    <cellStyle name="Porcentaje 7 2 2 3 2 5 2" xfId="30686" xr:uid="{00000000-0005-0000-0000-0000ED940000}"/>
    <cellStyle name="Porcentaje 7 2 2 3 2 6" xfId="20829" xr:uid="{00000000-0005-0000-0000-0000EE940000}"/>
    <cellStyle name="Porcentaje 7 2 2 3 3" xfId="1720" xr:uid="{00000000-0005-0000-0000-0000EF940000}"/>
    <cellStyle name="Porcentaje 7 2 2 3 3 2" xfId="4187" xr:uid="{00000000-0005-0000-0000-0000F0940000}"/>
    <cellStyle name="Porcentaje 7 2 2 3 3 2 2" xfId="9119" xr:uid="{00000000-0005-0000-0000-0000F1940000}"/>
    <cellStyle name="Porcentaje 7 2 2 3 3 2 2 2" xfId="18979" xr:uid="{00000000-0005-0000-0000-0000F2940000}"/>
    <cellStyle name="Porcentaje 7 2 2 3 3 2 2 2 2" xfId="38694" xr:uid="{00000000-0005-0000-0000-0000F3940000}"/>
    <cellStyle name="Porcentaje 7 2 2 3 3 2 2 3" xfId="28837" xr:uid="{00000000-0005-0000-0000-0000F4940000}"/>
    <cellStyle name="Porcentaje 7 2 2 3 3 2 3" xfId="14051" xr:uid="{00000000-0005-0000-0000-0000F5940000}"/>
    <cellStyle name="Porcentaje 7 2 2 3 3 2 3 2" xfId="33766" xr:uid="{00000000-0005-0000-0000-0000F6940000}"/>
    <cellStyle name="Porcentaje 7 2 2 3 3 2 4" xfId="23909" xr:uid="{00000000-0005-0000-0000-0000F7940000}"/>
    <cellStyle name="Porcentaje 7 2 2 3 3 3" xfId="6655" xr:uid="{00000000-0005-0000-0000-0000F8940000}"/>
    <cellStyle name="Porcentaje 7 2 2 3 3 3 2" xfId="16515" xr:uid="{00000000-0005-0000-0000-0000F9940000}"/>
    <cellStyle name="Porcentaje 7 2 2 3 3 3 2 2" xfId="36230" xr:uid="{00000000-0005-0000-0000-0000FA940000}"/>
    <cellStyle name="Porcentaje 7 2 2 3 3 3 3" xfId="26373" xr:uid="{00000000-0005-0000-0000-0000FB940000}"/>
    <cellStyle name="Porcentaje 7 2 2 3 3 4" xfId="11587" xr:uid="{00000000-0005-0000-0000-0000FC940000}"/>
    <cellStyle name="Porcentaje 7 2 2 3 3 4 2" xfId="31302" xr:uid="{00000000-0005-0000-0000-0000FD940000}"/>
    <cellStyle name="Porcentaje 7 2 2 3 3 5" xfId="21445" xr:uid="{00000000-0005-0000-0000-0000FE940000}"/>
    <cellStyle name="Porcentaje 7 2 2 3 4" xfId="2955" xr:uid="{00000000-0005-0000-0000-0000FF940000}"/>
    <cellStyle name="Porcentaje 7 2 2 3 4 2" xfId="7887" xr:uid="{00000000-0005-0000-0000-000000950000}"/>
    <cellStyle name="Porcentaje 7 2 2 3 4 2 2" xfId="17747" xr:uid="{00000000-0005-0000-0000-000001950000}"/>
    <cellStyle name="Porcentaje 7 2 2 3 4 2 2 2" xfId="37462" xr:uid="{00000000-0005-0000-0000-000002950000}"/>
    <cellStyle name="Porcentaje 7 2 2 3 4 2 3" xfId="27605" xr:uid="{00000000-0005-0000-0000-000003950000}"/>
    <cellStyle name="Porcentaje 7 2 2 3 4 3" xfId="12819" xr:uid="{00000000-0005-0000-0000-000004950000}"/>
    <cellStyle name="Porcentaje 7 2 2 3 4 3 2" xfId="32534" xr:uid="{00000000-0005-0000-0000-000005950000}"/>
    <cellStyle name="Porcentaje 7 2 2 3 4 4" xfId="22677" xr:uid="{00000000-0005-0000-0000-000006950000}"/>
    <cellStyle name="Porcentaje 7 2 2 3 5" xfId="5423" xr:uid="{00000000-0005-0000-0000-000007950000}"/>
    <cellStyle name="Porcentaje 7 2 2 3 5 2" xfId="15283" xr:uid="{00000000-0005-0000-0000-000008950000}"/>
    <cellStyle name="Porcentaje 7 2 2 3 5 2 2" xfId="34998" xr:uid="{00000000-0005-0000-0000-000009950000}"/>
    <cellStyle name="Porcentaje 7 2 2 3 5 3" xfId="25141" xr:uid="{00000000-0005-0000-0000-00000A950000}"/>
    <cellStyle name="Porcentaje 7 2 2 3 6" xfId="10355" xr:uid="{00000000-0005-0000-0000-00000B950000}"/>
    <cellStyle name="Porcentaje 7 2 2 3 6 2" xfId="30070" xr:uid="{00000000-0005-0000-0000-00000C950000}"/>
    <cellStyle name="Porcentaje 7 2 2 3 7" xfId="20213" xr:uid="{00000000-0005-0000-0000-00000D950000}"/>
    <cellStyle name="Porcentaje 7 2 2 4" xfId="794" xr:uid="{00000000-0005-0000-0000-00000E950000}"/>
    <cellStyle name="Porcentaje 7 2 2 4 2" xfId="2030" xr:uid="{00000000-0005-0000-0000-00000F950000}"/>
    <cellStyle name="Porcentaje 7 2 2 4 2 2" xfId="4497" xr:uid="{00000000-0005-0000-0000-000010950000}"/>
    <cellStyle name="Porcentaje 7 2 2 4 2 2 2" xfId="9429" xr:uid="{00000000-0005-0000-0000-000011950000}"/>
    <cellStyle name="Porcentaje 7 2 2 4 2 2 2 2" xfId="19289" xr:uid="{00000000-0005-0000-0000-000012950000}"/>
    <cellStyle name="Porcentaje 7 2 2 4 2 2 2 2 2" xfId="39004" xr:uid="{00000000-0005-0000-0000-000013950000}"/>
    <cellStyle name="Porcentaje 7 2 2 4 2 2 2 3" xfId="29147" xr:uid="{00000000-0005-0000-0000-000014950000}"/>
    <cellStyle name="Porcentaje 7 2 2 4 2 2 3" xfId="14361" xr:uid="{00000000-0005-0000-0000-000015950000}"/>
    <cellStyle name="Porcentaje 7 2 2 4 2 2 3 2" xfId="34076" xr:uid="{00000000-0005-0000-0000-000016950000}"/>
    <cellStyle name="Porcentaje 7 2 2 4 2 2 4" xfId="24219" xr:uid="{00000000-0005-0000-0000-000017950000}"/>
    <cellStyle name="Porcentaje 7 2 2 4 2 3" xfId="6965" xr:uid="{00000000-0005-0000-0000-000018950000}"/>
    <cellStyle name="Porcentaje 7 2 2 4 2 3 2" xfId="16825" xr:uid="{00000000-0005-0000-0000-000019950000}"/>
    <cellStyle name="Porcentaje 7 2 2 4 2 3 2 2" xfId="36540" xr:uid="{00000000-0005-0000-0000-00001A950000}"/>
    <cellStyle name="Porcentaje 7 2 2 4 2 3 3" xfId="26683" xr:uid="{00000000-0005-0000-0000-00001B950000}"/>
    <cellStyle name="Porcentaje 7 2 2 4 2 4" xfId="11897" xr:uid="{00000000-0005-0000-0000-00001C950000}"/>
    <cellStyle name="Porcentaje 7 2 2 4 2 4 2" xfId="31612" xr:uid="{00000000-0005-0000-0000-00001D950000}"/>
    <cellStyle name="Porcentaje 7 2 2 4 2 5" xfId="21755" xr:uid="{00000000-0005-0000-0000-00001E950000}"/>
    <cellStyle name="Porcentaje 7 2 2 4 3" xfId="3265" xr:uid="{00000000-0005-0000-0000-00001F950000}"/>
    <cellStyle name="Porcentaje 7 2 2 4 3 2" xfId="8197" xr:uid="{00000000-0005-0000-0000-000020950000}"/>
    <cellStyle name="Porcentaje 7 2 2 4 3 2 2" xfId="18057" xr:uid="{00000000-0005-0000-0000-000021950000}"/>
    <cellStyle name="Porcentaje 7 2 2 4 3 2 2 2" xfId="37772" xr:uid="{00000000-0005-0000-0000-000022950000}"/>
    <cellStyle name="Porcentaje 7 2 2 4 3 2 3" xfId="27915" xr:uid="{00000000-0005-0000-0000-000023950000}"/>
    <cellStyle name="Porcentaje 7 2 2 4 3 3" xfId="13129" xr:uid="{00000000-0005-0000-0000-000024950000}"/>
    <cellStyle name="Porcentaje 7 2 2 4 3 3 2" xfId="32844" xr:uid="{00000000-0005-0000-0000-000025950000}"/>
    <cellStyle name="Porcentaje 7 2 2 4 3 4" xfId="22987" xr:uid="{00000000-0005-0000-0000-000026950000}"/>
    <cellStyle name="Porcentaje 7 2 2 4 4" xfId="5733" xr:uid="{00000000-0005-0000-0000-000027950000}"/>
    <cellStyle name="Porcentaje 7 2 2 4 4 2" xfId="15593" xr:uid="{00000000-0005-0000-0000-000028950000}"/>
    <cellStyle name="Porcentaje 7 2 2 4 4 2 2" xfId="35308" xr:uid="{00000000-0005-0000-0000-000029950000}"/>
    <cellStyle name="Porcentaje 7 2 2 4 4 3" xfId="25451" xr:uid="{00000000-0005-0000-0000-00002A950000}"/>
    <cellStyle name="Porcentaje 7 2 2 4 5" xfId="10665" xr:uid="{00000000-0005-0000-0000-00002B950000}"/>
    <cellStyle name="Porcentaje 7 2 2 4 5 2" xfId="30380" xr:uid="{00000000-0005-0000-0000-00002C950000}"/>
    <cellStyle name="Porcentaje 7 2 2 4 6" xfId="20523" xr:uid="{00000000-0005-0000-0000-00002D950000}"/>
    <cellStyle name="Porcentaje 7 2 2 5" xfId="1414" xr:uid="{00000000-0005-0000-0000-00002E950000}"/>
    <cellStyle name="Porcentaje 7 2 2 5 2" xfId="3881" xr:uid="{00000000-0005-0000-0000-00002F950000}"/>
    <cellStyle name="Porcentaje 7 2 2 5 2 2" xfId="8813" xr:uid="{00000000-0005-0000-0000-000030950000}"/>
    <cellStyle name="Porcentaje 7 2 2 5 2 2 2" xfId="18673" xr:uid="{00000000-0005-0000-0000-000031950000}"/>
    <cellStyle name="Porcentaje 7 2 2 5 2 2 2 2" xfId="38388" xr:uid="{00000000-0005-0000-0000-000032950000}"/>
    <cellStyle name="Porcentaje 7 2 2 5 2 2 3" xfId="28531" xr:uid="{00000000-0005-0000-0000-000033950000}"/>
    <cellStyle name="Porcentaje 7 2 2 5 2 3" xfId="13745" xr:uid="{00000000-0005-0000-0000-000034950000}"/>
    <cellStyle name="Porcentaje 7 2 2 5 2 3 2" xfId="33460" xr:uid="{00000000-0005-0000-0000-000035950000}"/>
    <cellStyle name="Porcentaje 7 2 2 5 2 4" xfId="23603" xr:uid="{00000000-0005-0000-0000-000036950000}"/>
    <cellStyle name="Porcentaje 7 2 2 5 3" xfId="6349" xr:uid="{00000000-0005-0000-0000-000037950000}"/>
    <cellStyle name="Porcentaje 7 2 2 5 3 2" xfId="16209" xr:uid="{00000000-0005-0000-0000-000038950000}"/>
    <cellStyle name="Porcentaje 7 2 2 5 3 2 2" xfId="35924" xr:uid="{00000000-0005-0000-0000-000039950000}"/>
    <cellStyle name="Porcentaje 7 2 2 5 3 3" xfId="26067" xr:uid="{00000000-0005-0000-0000-00003A950000}"/>
    <cellStyle name="Porcentaje 7 2 2 5 4" xfId="11281" xr:uid="{00000000-0005-0000-0000-00003B950000}"/>
    <cellStyle name="Porcentaje 7 2 2 5 4 2" xfId="30996" xr:uid="{00000000-0005-0000-0000-00003C950000}"/>
    <cellStyle name="Porcentaje 7 2 2 5 5" xfId="21139" xr:uid="{00000000-0005-0000-0000-00003D950000}"/>
    <cellStyle name="Porcentaje 7 2 2 6" xfId="2649" xr:uid="{00000000-0005-0000-0000-00003E950000}"/>
    <cellStyle name="Porcentaje 7 2 2 6 2" xfId="7581" xr:uid="{00000000-0005-0000-0000-00003F950000}"/>
    <cellStyle name="Porcentaje 7 2 2 6 2 2" xfId="17441" xr:uid="{00000000-0005-0000-0000-000040950000}"/>
    <cellStyle name="Porcentaje 7 2 2 6 2 2 2" xfId="37156" xr:uid="{00000000-0005-0000-0000-000041950000}"/>
    <cellStyle name="Porcentaje 7 2 2 6 2 3" xfId="27299" xr:uid="{00000000-0005-0000-0000-000042950000}"/>
    <cellStyle name="Porcentaje 7 2 2 6 3" xfId="12513" xr:uid="{00000000-0005-0000-0000-000043950000}"/>
    <cellStyle name="Porcentaje 7 2 2 6 3 2" xfId="32228" xr:uid="{00000000-0005-0000-0000-000044950000}"/>
    <cellStyle name="Porcentaje 7 2 2 6 4" xfId="22371" xr:uid="{00000000-0005-0000-0000-000045950000}"/>
    <cellStyle name="Porcentaje 7 2 2 7" xfId="5117" xr:uid="{00000000-0005-0000-0000-000046950000}"/>
    <cellStyle name="Porcentaje 7 2 2 7 2" xfId="14977" xr:uid="{00000000-0005-0000-0000-000047950000}"/>
    <cellStyle name="Porcentaje 7 2 2 7 2 2" xfId="34692" xr:uid="{00000000-0005-0000-0000-000048950000}"/>
    <cellStyle name="Porcentaje 7 2 2 7 3" xfId="24835" xr:uid="{00000000-0005-0000-0000-000049950000}"/>
    <cellStyle name="Porcentaje 7 2 2 8" xfId="10049" xr:uid="{00000000-0005-0000-0000-00004A950000}"/>
    <cellStyle name="Porcentaje 7 2 2 8 2" xfId="29764" xr:uid="{00000000-0005-0000-0000-00004B950000}"/>
    <cellStyle name="Porcentaje 7 2 2 9" xfId="19907" xr:uid="{00000000-0005-0000-0000-00004C950000}"/>
    <cellStyle name="Porcentaje 7 2 3" xfId="243" xr:uid="{00000000-0005-0000-0000-00004D950000}"/>
    <cellStyle name="Porcentaje 7 2 3 2" xfId="557" xr:uid="{00000000-0005-0000-0000-00004E950000}"/>
    <cellStyle name="Porcentaje 7 2 3 2 2" xfId="1177" xr:uid="{00000000-0005-0000-0000-00004F950000}"/>
    <cellStyle name="Porcentaje 7 2 3 2 2 2" xfId="2412" xr:uid="{00000000-0005-0000-0000-000050950000}"/>
    <cellStyle name="Porcentaje 7 2 3 2 2 2 2" xfId="4879" xr:uid="{00000000-0005-0000-0000-000051950000}"/>
    <cellStyle name="Porcentaje 7 2 3 2 2 2 2 2" xfId="9811" xr:uid="{00000000-0005-0000-0000-000052950000}"/>
    <cellStyle name="Porcentaje 7 2 3 2 2 2 2 2 2" xfId="19671" xr:uid="{00000000-0005-0000-0000-000053950000}"/>
    <cellStyle name="Porcentaje 7 2 3 2 2 2 2 2 2 2" xfId="39386" xr:uid="{00000000-0005-0000-0000-000054950000}"/>
    <cellStyle name="Porcentaje 7 2 3 2 2 2 2 2 3" xfId="29529" xr:uid="{00000000-0005-0000-0000-000055950000}"/>
    <cellStyle name="Porcentaje 7 2 3 2 2 2 2 3" xfId="14743" xr:uid="{00000000-0005-0000-0000-000056950000}"/>
    <cellStyle name="Porcentaje 7 2 3 2 2 2 2 3 2" xfId="34458" xr:uid="{00000000-0005-0000-0000-000057950000}"/>
    <cellStyle name="Porcentaje 7 2 3 2 2 2 2 4" xfId="24601" xr:uid="{00000000-0005-0000-0000-000058950000}"/>
    <cellStyle name="Porcentaje 7 2 3 2 2 2 3" xfId="7347" xr:uid="{00000000-0005-0000-0000-000059950000}"/>
    <cellStyle name="Porcentaje 7 2 3 2 2 2 3 2" xfId="17207" xr:uid="{00000000-0005-0000-0000-00005A950000}"/>
    <cellStyle name="Porcentaje 7 2 3 2 2 2 3 2 2" xfId="36922" xr:uid="{00000000-0005-0000-0000-00005B950000}"/>
    <cellStyle name="Porcentaje 7 2 3 2 2 2 3 3" xfId="27065" xr:uid="{00000000-0005-0000-0000-00005C950000}"/>
    <cellStyle name="Porcentaje 7 2 3 2 2 2 4" xfId="12279" xr:uid="{00000000-0005-0000-0000-00005D950000}"/>
    <cellStyle name="Porcentaje 7 2 3 2 2 2 4 2" xfId="31994" xr:uid="{00000000-0005-0000-0000-00005E950000}"/>
    <cellStyle name="Porcentaje 7 2 3 2 2 2 5" xfId="22137" xr:uid="{00000000-0005-0000-0000-00005F950000}"/>
    <cellStyle name="Porcentaje 7 2 3 2 2 3" xfId="3647" xr:uid="{00000000-0005-0000-0000-000060950000}"/>
    <cellStyle name="Porcentaje 7 2 3 2 2 3 2" xfId="8579" xr:uid="{00000000-0005-0000-0000-000061950000}"/>
    <cellStyle name="Porcentaje 7 2 3 2 2 3 2 2" xfId="18439" xr:uid="{00000000-0005-0000-0000-000062950000}"/>
    <cellStyle name="Porcentaje 7 2 3 2 2 3 2 2 2" xfId="38154" xr:uid="{00000000-0005-0000-0000-000063950000}"/>
    <cellStyle name="Porcentaje 7 2 3 2 2 3 2 3" xfId="28297" xr:uid="{00000000-0005-0000-0000-000064950000}"/>
    <cellStyle name="Porcentaje 7 2 3 2 2 3 3" xfId="13511" xr:uid="{00000000-0005-0000-0000-000065950000}"/>
    <cellStyle name="Porcentaje 7 2 3 2 2 3 3 2" xfId="33226" xr:uid="{00000000-0005-0000-0000-000066950000}"/>
    <cellStyle name="Porcentaje 7 2 3 2 2 3 4" xfId="23369" xr:uid="{00000000-0005-0000-0000-000067950000}"/>
    <cellStyle name="Porcentaje 7 2 3 2 2 4" xfId="6115" xr:uid="{00000000-0005-0000-0000-000068950000}"/>
    <cellStyle name="Porcentaje 7 2 3 2 2 4 2" xfId="15975" xr:uid="{00000000-0005-0000-0000-000069950000}"/>
    <cellStyle name="Porcentaje 7 2 3 2 2 4 2 2" xfId="35690" xr:uid="{00000000-0005-0000-0000-00006A950000}"/>
    <cellStyle name="Porcentaje 7 2 3 2 2 4 3" xfId="25833" xr:uid="{00000000-0005-0000-0000-00006B950000}"/>
    <cellStyle name="Porcentaje 7 2 3 2 2 5" xfId="11047" xr:uid="{00000000-0005-0000-0000-00006C950000}"/>
    <cellStyle name="Porcentaje 7 2 3 2 2 5 2" xfId="30762" xr:uid="{00000000-0005-0000-0000-00006D950000}"/>
    <cellStyle name="Porcentaje 7 2 3 2 2 6" xfId="20905" xr:uid="{00000000-0005-0000-0000-00006E950000}"/>
    <cellStyle name="Porcentaje 7 2 3 2 3" xfId="1796" xr:uid="{00000000-0005-0000-0000-00006F950000}"/>
    <cellStyle name="Porcentaje 7 2 3 2 3 2" xfId="4263" xr:uid="{00000000-0005-0000-0000-000070950000}"/>
    <cellStyle name="Porcentaje 7 2 3 2 3 2 2" xfId="9195" xr:uid="{00000000-0005-0000-0000-000071950000}"/>
    <cellStyle name="Porcentaje 7 2 3 2 3 2 2 2" xfId="19055" xr:uid="{00000000-0005-0000-0000-000072950000}"/>
    <cellStyle name="Porcentaje 7 2 3 2 3 2 2 2 2" xfId="38770" xr:uid="{00000000-0005-0000-0000-000073950000}"/>
    <cellStyle name="Porcentaje 7 2 3 2 3 2 2 3" xfId="28913" xr:uid="{00000000-0005-0000-0000-000074950000}"/>
    <cellStyle name="Porcentaje 7 2 3 2 3 2 3" xfId="14127" xr:uid="{00000000-0005-0000-0000-000075950000}"/>
    <cellStyle name="Porcentaje 7 2 3 2 3 2 3 2" xfId="33842" xr:uid="{00000000-0005-0000-0000-000076950000}"/>
    <cellStyle name="Porcentaje 7 2 3 2 3 2 4" xfId="23985" xr:uid="{00000000-0005-0000-0000-000077950000}"/>
    <cellStyle name="Porcentaje 7 2 3 2 3 3" xfId="6731" xr:uid="{00000000-0005-0000-0000-000078950000}"/>
    <cellStyle name="Porcentaje 7 2 3 2 3 3 2" xfId="16591" xr:uid="{00000000-0005-0000-0000-000079950000}"/>
    <cellStyle name="Porcentaje 7 2 3 2 3 3 2 2" xfId="36306" xr:uid="{00000000-0005-0000-0000-00007A950000}"/>
    <cellStyle name="Porcentaje 7 2 3 2 3 3 3" xfId="26449" xr:uid="{00000000-0005-0000-0000-00007B950000}"/>
    <cellStyle name="Porcentaje 7 2 3 2 3 4" xfId="11663" xr:uid="{00000000-0005-0000-0000-00007C950000}"/>
    <cellStyle name="Porcentaje 7 2 3 2 3 4 2" xfId="31378" xr:uid="{00000000-0005-0000-0000-00007D950000}"/>
    <cellStyle name="Porcentaje 7 2 3 2 3 5" xfId="21521" xr:uid="{00000000-0005-0000-0000-00007E950000}"/>
    <cellStyle name="Porcentaje 7 2 3 2 4" xfId="3031" xr:uid="{00000000-0005-0000-0000-00007F950000}"/>
    <cellStyle name="Porcentaje 7 2 3 2 4 2" xfId="7963" xr:uid="{00000000-0005-0000-0000-000080950000}"/>
    <cellStyle name="Porcentaje 7 2 3 2 4 2 2" xfId="17823" xr:uid="{00000000-0005-0000-0000-000081950000}"/>
    <cellStyle name="Porcentaje 7 2 3 2 4 2 2 2" xfId="37538" xr:uid="{00000000-0005-0000-0000-000082950000}"/>
    <cellStyle name="Porcentaje 7 2 3 2 4 2 3" xfId="27681" xr:uid="{00000000-0005-0000-0000-000083950000}"/>
    <cellStyle name="Porcentaje 7 2 3 2 4 3" xfId="12895" xr:uid="{00000000-0005-0000-0000-000084950000}"/>
    <cellStyle name="Porcentaje 7 2 3 2 4 3 2" xfId="32610" xr:uid="{00000000-0005-0000-0000-000085950000}"/>
    <cellStyle name="Porcentaje 7 2 3 2 4 4" xfId="22753" xr:uid="{00000000-0005-0000-0000-000086950000}"/>
    <cellStyle name="Porcentaje 7 2 3 2 5" xfId="5499" xr:uid="{00000000-0005-0000-0000-000087950000}"/>
    <cellStyle name="Porcentaje 7 2 3 2 5 2" xfId="15359" xr:uid="{00000000-0005-0000-0000-000088950000}"/>
    <cellStyle name="Porcentaje 7 2 3 2 5 2 2" xfId="35074" xr:uid="{00000000-0005-0000-0000-000089950000}"/>
    <cellStyle name="Porcentaje 7 2 3 2 5 3" xfId="25217" xr:uid="{00000000-0005-0000-0000-00008A950000}"/>
    <cellStyle name="Porcentaje 7 2 3 2 6" xfId="10431" xr:uid="{00000000-0005-0000-0000-00008B950000}"/>
    <cellStyle name="Porcentaje 7 2 3 2 6 2" xfId="30146" xr:uid="{00000000-0005-0000-0000-00008C950000}"/>
    <cellStyle name="Porcentaje 7 2 3 2 7" xfId="20289" xr:uid="{00000000-0005-0000-0000-00008D950000}"/>
    <cellStyle name="Porcentaje 7 2 3 3" xfId="870" xr:uid="{00000000-0005-0000-0000-00008E950000}"/>
    <cellStyle name="Porcentaje 7 2 3 3 2" xfId="2106" xr:uid="{00000000-0005-0000-0000-00008F950000}"/>
    <cellStyle name="Porcentaje 7 2 3 3 2 2" xfId="4573" xr:uid="{00000000-0005-0000-0000-000090950000}"/>
    <cellStyle name="Porcentaje 7 2 3 3 2 2 2" xfId="9505" xr:uid="{00000000-0005-0000-0000-000091950000}"/>
    <cellStyle name="Porcentaje 7 2 3 3 2 2 2 2" xfId="19365" xr:uid="{00000000-0005-0000-0000-000092950000}"/>
    <cellStyle name="Porcentaje 7 2 3 3 2 2 2 2 2" xfId="39080" xr:uid="{00000000-0005-0000-0000-000093950000}"/>
    <cellStyle name="Porcentaje 7 2 3 3 2 2 2 3" xfId="29223" xr:uid="{00000000-0005-0000-0000-000094950000}"/>
    <cellStyle name="Porcentaje 7 2 3 3 2 2 3" xfId="14437" xr:uid="{00000000-0005-0000-0000-000095950000}"/>
    <cellStyle name="Porcentaje 7 2 3 3 2 2 3 2" xfId="34152" xr:uid="{00000000-0005-0000-0000-000096950000}"/>
    <cellStyle name="Porcentaje 7 2 3 3 2 2 4" xfId="24295" xr:uid="{00000000-0005-0000-0000-000097950000}"/>
    <cellStyle name="Porcentaje 7 2 3 3 2 3" xfId="7041" xr:uid="{00000000-0005-0000-0000-000098950000}"/>
    <cellStyle name="Porcentaje 7 2 3 3 2 3 2" xfId="16901" xr:uid="{00000000-0005-0000-0000-000099950000}"/>
    <cellStyle name="Porcentaje 7 2 3 3 2 3 2 2" xfId="36616" xr:uid="{00000000-0005-0000-0000-00009A950000}"/>
    <cellStyle name="Porcentaje 7 2 3 3 2 3 3" xfId="26759" xr:uid="{00000000-0005-0000-0000-00009B950000}"/>
    <cellStyle name="Porcentaje 7 2 3 3 2 4" xfId="11973" xr:uid="{00000000-0005-0000-0000-00009C950000}"/>
    <cellStyle name="Porcentaje 7 2 3 3 2 4 2" xfId="31688" xr:uid="{00000000-0005-0000-0000-00009D950000}"/>
    <cellStyle name="Porcentaje 7 2 3 3 2 5" xfId="21831" xr:uid="{00000000-0005-0000-0000-00009E950000}"/>
    <cellStyle name="Porcentaje 7 2 3 3 3" xfId="3341" xr:uid="{00000000-0005-0000-0000-00009F950000}"/>
    <cellStyle name="Porcentaje 7 2 3 3 3 2" xfId="8273" xr:uid="{00000000-0005-0000-0000-0000A0950000}"/>
    <cellStyle name="Porcentaje 7 2 3 3 3 2 2" xfId="18133" xr:uid="{00000000-0005-0000-0000-0000A1950000}"/>
    <cellStyle name="Porcentaje 7 2 3 3 3 2 2 2" xfId="37848" xr:uid="{00000000-0005-0000-0000-0000A2950000}"/>
    <cellStyle name="Porcentaje 7 2 3 3 3 2 3" xfId="27991" xr:uid="{00000000-0005-0000-0000-0000A3950000}"/>
    <cellStyle name="Porcentaje 7 2 3 3 3 3" xfId="13205" xr:uid="{00000000-0005-0000-0000-0000A4950000}"/>
    <cellStyle name="Porcentaje 7 2 3 3 3 3 2" xfId="32920" xr:uid="{00000000-0005-0000-0000-0000A5950000}"/>
    <cellStyle name="Porcentaje 7 2 3 3 3 4" xfId="23063" xr:uid="{00000000-0005-0000-0000-0000A6950000}"/>
    <cellStyle name="Porcentaje 7 2 3 3 4" xfId="5809" xr:uid="{00000000-0005-0000-0000-0000A7950000}"/>
    <cellStyle name="Porcentaje 7 2 3 3 4 2" xfId="15669" xr:uid="{00000000-0005-0000-0000-0000A8950000}"/>
    <cellStyle name="Porcentaje 7 2 3 3 4 2 2" xfId="35384" xr:uid="{00000000-0005-0000-0000-0000A9950000}"/>
    <cellStyle name="Porcentaje 7 2 3 3 4 3" xfId="25527" xr:uid="{00000000-0005-0000-0000-0000AA950000}"/>
    <cellStyle name="Porcentaje 7 2 3 3 5" xfId="10741" xr:uid="{00000000-0005-0000-0000-0000AB950000}"/>
    <cellStyle name="Porcentaje 7 2 3 3 5 2" xfId="30456" xr:uid="{00000000-0005-0000-0000-0000AC950000}"/>
    <cellStyle name="Porcentaje 7 2 3 3 6" xfId="20599" xr:uid="{00000000-0005-0000-0000-0000AD950000}"/>
    <cellStyle name="Porcentaje 7 2 3 4" xfId="1490" xr:uid="{00000000-0005-0000-0000-0000AE950000}"/>
    <cellStyle name="Porcentaje 7 2 3 4 2" xfId="3957" xr:uid="{00000000-0005-0000-0000-0000AF950000}"/>
    <cellStyle name="Porcentaje 7 2 3 4 2 2" xfId="8889" xr:uid="{00000000-0005-0000-0000-0000B0950000}"/>
    <cellStyle name="Porcentaje 7 2 3 4 2 2 2" xfId="18749" xr:uid="{00000000-0005-0000-0000-0000B1950000}"/>
    <cellStyle name="Porcentaje 7 2 3 4 2 2 2 2" xfId="38464" xr:uid="{00000000-0005-0000-0000-0000B2950000}"/>
    <cellStyle name="Porcentaje 7 2 3 4 2 2 3" xfId="28607" xr:uid="{00000000-0005-0000-0000-0000B3950000}"/>
    <cellStyle name="Porcentaje 7 2 3 4 2 3" xfId="13821" xr:uid="{00000000-0005-0000-0000-0000B4950000}"/>
    <cellStyle name="Porcentaje 7 2 3 4 2 3 2" xfId="33536" xr:uid="{00000000-0005-0000-0000-0000B5950000}"/>
    <cellStyle name="Porcentaje 7 2 3 4 2 4" xfId="23679" xr:uid="{00000000-0005-0000-0000-0000B6950000}"/>
    <cellStyle name="Porcentaje 7 2 3 4 3" xfId="6425" xr:uid="{00000000-0005-0000-0000-0000B7950000}"/>
    <cellStyle name="Porcentaje 7 2 3 4 3 2" xfId="16285" xr:uid="{00000000-0005-0000-0000-0000B8950000}"/>
    <cellStyle name="Porcentaje 7 2 3 4 3 2 2" xfId="36000" xr:uid="{00000000-0005-0000-0000-0000B9950000}"/>
    <cellStyle name="Porcentaje 7 2 3 4 3 3" xfId="26143" xr:uid="{00000000-0005-0000-0000-0000BA950000}"/>
    <cellStyle name="Porcentaje 7 2 3 4 4" xfId="11357" xr:uid="{00000000-0005-0000-0000-0000BB950000}"/>
    <cellStyle name="Porcentaje 7 2 3 4 4 2" xfId="31072" xr:uid="{00000000-0005-0000-0000-0000BC950000}"/>
    <cellStyle name="Porcentaje 7 2 3 4 5" xfId="21215" xr:uid="{00000000-0005-0000-0000-0000BD950000}"/>
    <cellStyle name="Porcentaje 7 2 3 5" xfId="2725" xr:uid="{00000000-0005-0000-0000-0000BE950000}"/>
    <cellStyle name="Porcentaje 7 2 3 5 2" xfId="7657" xr:uid="{00000000-0005-0000-0000-0000BF950000}"/>
    <cellStyle name="Porcentaje 7 2 3 5 2 2" xfId="17517" xr:uid="{00000000-0005-0000-0000-0000C0950000}"/>
    <cellStyle name="Porcentaje 7 2 3 5 2 2 2" xfId="37232" xr:uid="{00000000-0005-0000-0000-0000C1950000}"/>
    <cellStyle name="Porcentaje 7 2 3 5 2 3" xfId="27375" xr:uid="{00000000-0005-0000-0000-0000C2950000}"/>
    <cellStyle name="Porcentaje 7 2 3 5 3" xfId="12589" xr:uid="{00000000-0005-0000-0000-0000C3950000}"/>
    <cellStyle name="Porcentaje 7 2 3 5 3 2" xfId="32304" xr:uid="{00000000-0005-0000-0000-0000C4950000}"/>
    <cellStyle name="Porcentaje 7 2 3 5 4" xfId="22447" xr:uid="{00000000-0005-0000-0000-0000C5950000}"/>
    <cellStyle name="Porcentaje 7 2 3 6" xfId="5193" xr:uid="{00000000-0005-0000-0000-0000C6950000}"/>
    <cellStyle name="Porcentaje 7 2 3 6 2" xfId="15053" xr:uid="{00000000-0005-0000-0000-0000C7950000}"/>
    <cellStyle name="Porcentaje 7 2 3 6 2 2" xfId="34768" xr:uid="{00000000-0005-0000-0000-0000C8950000}"/>
    <cellStyle name="Porcentaje 7 2 3 6 3" xfId="24911" xr:uid="{00000000-0005-0000-0000-0000C9950000}"/>
    <cellStyle name="Porcentaje 7 2 3 7" xfId="10125" xr:uid="{00000000-0005-0000-0000-0000CA950000}"/>
    <cellStyle name="Porcentaje 7 2 3 7 2" xfId="29840" xr:uid="{00000000-0005-0000-0000-0000CB950000}"/>
    <cellStyle name="Porcentaje 7 2 3 8" xfId="19983" xr:uid="{00000000-0005-0000-0000-0000CC950000}"/>
    <cellStyle name="Porcentaje 7 2 4" xfId="405" xr:uid="{00000000-0005-0000-0000-0000CD950000}"/>
    <cellStyle name="Porcentaje 7 2 4 2" xfId="1025" xr:uid="{00000000-0005-0000-0000-0000CE950000}"/>
    <cellStyle name="Porcentaje 7 2 4 2 2" xfId="2260" xr:uid="{00000000-0005-0000-0000-0000CF950000}"/>
    <cellStyle name="Porcentaje 7 2 4 2 2 2" xfId="4727" xr:uid="{00000000-0005-0000-0000-0000D0950000}"/>
    <cellStyle name="Porcentaje 7 2 4 2 2 2 2" xfId="9659" xr:uid="{00000000-0005-0000-0000-0000D1950000}"/>
    <cellStyle name="Porcentaje 7 2 4 2 2 2 2 2" xfId="19519" xr:uid="{00000000-0005-0000-0000-0000D2950000}"/>
    <cellStyle name="Porcentaje 7 2 4 2 2 2 2 2 2" xfId="39234" xr:uid="{00000000-0005-0000-0000-0000D3950000}"/>
    <cellStyle name="Porcentaje 7 2 4 2 2 2 2 3" xfId="29377" xr:uid="{00000000-0005-0000-0000-0000D4950000}"/>
    <cellStyle name="Porcentaje 7 2 4 2 2 2 3" xfId="14591" xr:uid="{00000000-0005-0000-0000-0000D5950000}"/>
    <cellStyle name="Porcentaje 7 2 4 2 2 2 3 2" xfId="34306" xr:uid="{00000000-0005-0000-0000-0000D6950000}"/>
    <cellStyle name="Porcentaje 7 2 4 2 2 2 4" xfId="24449" xr:uid="{00000000-0005-0000-0000-0000D7950000}"/>
    <cellStyle name="Porcentaje 7 2 4 2 2 3" xfId="7195" xr:uid="{00000000-0005-0000-0000-0000D8950000}"/>
    <cellStyle name="Porcentaje 7 2 4 2 2 3 2" xfId="17055" xr:uid="{00000000-0005-0000-0000-0000D9950000}"/>
    <cellStyle name="Porcentaje 7 2 4 2 2 3 2 2" xfId="36770" xr:uid="{00000000-0005-0000-0000-0000DA950000}"/>
    <cellStyle name="Porcentaje 7 2 4 2 2 3 3" xfId="26913" xr:uid="{00000000-0005-0000-0000-0000DB950000}"/>
    <cellStyle name="Porcentaje 7 2 4 2 2 4" xfId="12127" xr:uid="{00000000-0005-0000-0000-0000DC950000}"/>
    <cellStyle name="Porcentaje 7 2 4 2 2 4 2" xfId="31842" xr:uid="{00000000-0005-0000-0000-0000DD950000}"/>
    <cellStyle name="Porcentaje 7 2 4 2 2 5" xfId="21985" xr:uid="{00000000-0005-0000-0000-0000DE950000}"/>
    <cellStyle name="Porcentaje 7 2 4 2 3" xfId="3495" xr:uid="{00000000-0005-0000-0000-0000DF950000}"/>
    <cellStyle name="Porcentaje 7 2 4 2 3 2" xfId="8427" xr:uid="{00000000-0005-0000-0000-0000E0950000}"/>
    <cellStyle name="Porcentaje 7 2 4 2 3 2 2" xfId="18287" xr:uid="{00000000-0005-0000-0000-0000E1950000}"/>
    <cellStyle name="Porcentaje 7 2 4 2 3 2 2 2" xfId="38002" xr:uid="{00000000-0005-0000-0000-0000E2950000}"/>
    <cellStyle name="Porcentaje 7 2 4 2 3 2 3" xfId="28145" xr:uid="{00000000-0005-0000-0000-0000E3950000}"/>
    <cellStyle name="Porcentaje 7 2 4 2 3 3" xfId="13359" xr:uid="{00000000-0005-0000-0000-0000E4950000}"/>
    <cellStyle name="Porcentaje 7 2 4 2 3 3 2" xfId="33074" xr:uid="{00000000-0005-0000-0000-0000E5950000}"/>
    <cellStyle name="Porcentaje 7 2 4 2 3 4" xfId="23217" xr:uid="{00000000-0005-0000-0000-0000E6950000}"/>
    <cellStyle name="Porcentaje 7 2 4 2 4" xfId="5963" xr:uid="{00000000-0005-0000-0000-0000E7950000}"/>
    <cellStyle name="Porcentaje 7 2 4 2 4 2" xfId="15823" xr:uid="{00000000-0005-0000-0000-0000E8950000}"/>
    <cellStyle name="Porcentaje 7 2 4 2 4 2 2" xfId="35538" xr:uid="{00000000-0005-0000-0000-0000E9950000}"/>
    <cellStyle name="Porcentaje 7 2 4 2 4 3" xfId="25681" xr:uid="{00000000-0005-0000-0000-0000EA950000}"/>
    <cellStyle name="Porcentaje 7 2 4 2 5" xfId="10895" xr:uid="{00000000-0005-0000-0000-0000EB950000}"/>
    <cellStyle name="Porcentaje 7 2 4 2 5 2" xfId="30610" xr:uid="{00000000-0005-0000-0000-0000EC950000}"/>
    <cellStyle name="Porcentaje 7 2 4 2 6" xfId="20753" xr:uid="{00000000-0005-0000-0000-0000ED950000}"/>
    <cellStyle name="Porcentaje 7 2 4 3" xfId="1644" xr:uid="{00000000-0005-0000-0000-0000EE950000}"/>
    <cellStyle name="Porcentaje 7 2 4 3 2" xfId="4111" xr:uid="{00000000-0005-0000-0000-0000EF950000}"/>
    <cellStyle name="Porcentaje 7 2 4 3 2 2" xfId="9043" xr:uid="{00000000-0005-0000-0000-0000F0950000}"/>
    <cellStyle name="Porcentaje 7 2 4 3 2 2 2" xfId="18903" xr:uid="{00000000-0005-0000-0000-0000F1950000}"/>
    <cellStyle name="Porcentaje 7 2 4 3 2 2 2 2" xfId="38618" xr:uid="{00000000-0005-0000-0000-0000F2950000}"/>
    <cellStyle name="Porcentaje 7 2 4 3 2 2 3" xfId="28761" xr:uid="{00000000-0005-0000-0000-0000F3950000}"/>
    <cellStyle name="Porcentaje 7 2 4 3 2 3" xfId="13975" xr:uid="{00000000-0005-0000-0000-0000F4950000}"/>
    <cellStyle name="Porcentaje 7 2 4 3 2 3 2" xfId="33690" xr:uid="{00000000-0005-0000-0000-0000F5950000}"/>
    <cellStyle name="Porcentaje 7 2 4 3 2 4" xfId="23833" xr:uid="{00000000-0005-0000-0000-0000F6950000}"/>
    <cellStyle name="Porcentaje 7 2 4 3 3" xfId="6579" xr:uid="{00000000-0005-0000-0000-0000F7950000}"/>
    <cellStyle name="Porcentaje 7 2 4 3 3 2" xfId="16439" xr:uid="{00000000-0005-0000-0000-0000F8950000}"/>
    <cellStyle name="Porcentaje 7 2 4 3 3 2 2" xfId="36154" xr:uid="{00000000-0005-0000-0000-0000F9950000}"/>
    <cellStyle name="Porcentaje 7 2 4 3 3 3" xfId="26297" xr:uid="{00000000-0005-0000-0000-0000FA950000}"/>
    <cellStyle name="Porcentaje 7 2 4 3 4" xfId="11511" xr:uid="{00000000-0005-0000-0000-0000FB950000}"/>
    <cellStyle name="Porcentaje 7 2 4 3 4 2" xfId="31226" xr:uid="{00000000-0005-0000-0000-0000FC950000}"/>
    <cellStyle name="Porcentaje 7 2 4 3 5" xfId="21369" xr:uid="{00000000-0005-0000-0000-0000FD950000}"/>
    <cellStyle name="Porcentaje 7 2 4 4" xfId="2879" xr:uid="{00000000-0005-0000-0000-0000FE950000}"/>
    <cellStyle name="Porcentaje 7 2 4 4 2" xfId="7811" xr:uid="{00000000-0005-0000-0000-0000FF950000}"/>
    <cellStyle name="Porcentaje 7 2 4 4 2 2" xfId="17671" xr:uid="{00000000-0005-0000-0000-000000960000}"/>
    <cellStyle name="Porcentaje 7 2 4 4 2 2 2" xfId="37386" xr:uid="{00000000-0005-0000-0000-000001960000}"/>
    <cellStyle name="Porcentaje 7 2 4 4 2 3" xfId="27529" xr:uid="{00000000-0005-0000-0000-000002960000}"/>
    <cellStyle name="Porcentaje 7 2 4 4 3" xfId="12743" xr:uid="{00000000-0005-0000-0000-000003960000}"/>
    <cellStyle name="Porcentaje 7 2 4 4 3 2" xfId="32458" xr:uid="{00000000-0005-0000-0000-000004960000}"/>
    <cellStyle name="Porcentaje 7 2 4 4 4" xfId="22601" xr:uid="{00000000-0005-0000-0000-000005960000}"/>
    <cellStyle name="Porcentaje 7 2 4 5" xfId="5347" xr:uid="{00000000-0005-0000-0000-000006960000}"/>
    <cellStyle name="Porcentaje 7 2 4 5 2" xfId="15207" xr:uid="{00000000-0005-0000-0000-000007960000}"/>
    <cellStyle name="Porcentaje 7 2 4 5 2 2" xfId="34922" xr:uid="{00000000-0005-0000-0000-000008960000}"/>
    <cellStyle name="Porcentaje 7 2 4 5 3" xfId="25065" xr:uid="{00000000-0005-0000-0000-000009960000}"/>
    <cellStyle name="Porcentaje 7 2 4 6" xfId="10279" xr:uid="{00000000-0005-0000-0000-00000A960000}"/>
    <cellStyle name="Porcentaje 7 2 4 6 2" xfId="29994" xr:uid="{00000000-0005-0000-0000-00000B960000}"/>
    <cellStyle name="Porcentaje 7 2 4 7" xfId="20137" xr:uid="{00000000-0005-0000-0000-00000C960000}"/>
    <cellStyle name="Porcentaje 7 2 5" xfId="718" xr:uid="{00000000-0005-0000-0000-00000D960000}"/>
    <cellStyle name="Porcentaje 7 2 5 2" xfId="1954" xr:uid="{00000000-0005-0000-0000-00000E960000}"/>
    <cellStyle name="Porcentaje 7 2 5 2 2" xfId="4421" xr:uid="{00000000-0005-0000-0000-00000F960000}"/>
    <cellStyle name="Porcentaje 7 2 5 2 2 2" xfId="9353" xr:uid="{00000000-0005-0000-0000-000010960000}"/>
    <cellStyle name="Porcentaje 7 2 5 2 2 2 2" xfId="19213" xr:uid="{00000000-0005-0000-0000-000011960000}"/>
    <cellStyle name="Porcentaje 7 2 5 2 2 2 2 2" xfId="38928" xr:uid="{00000000-0005-0000-0000-000012960000}"/>
    <cellStyle name="Porcentaje 7 2 5 2 2 2 3" xfId="29071" xr:uid="{00000000-0005-0000-0000-000013960000}"/>
    <cellStyle name="Porcentaje 7 2 5 2 2 3" xfId="14285" xr:uid="{00000000-0005-0000-0000-000014960000}"/>
    <cellStyle name="Porcentaje 7 2 5 2 2 3 2" xfId="34000" xr:uid="{00000000-0005-0000-0000-000015960000}"/>
    <cellStyle name="Porcentaje 7 2 5 2 2 4" xfId="24143" xr:uid="{00000000-0005-0000-0000-000016960000}"/>
    <cellStyle name="Porcentaje 7 2 5 2 3" xfId="6889" xr:uid="{00000000-0005-0000-0000-000017960000}"/>
    <cellStyle name="Porcentaje 7 2 5 2 3 2" xfId="16749" xr:uid="{00000000-0005-0000-0000-000018960000}"/>
    <cellStyle name="Porcentaje 7 2 5 2 3 2 2" xfId="36464" xr:uid="{00000000-0005-0000-0000-000019960000}"/>
    <cellStyle name="Porcentaje 7 2 5 2 3 3" xfId="26607" xr:uid="{00000000-0005-0000-0000-00001A960000}"/>
    <cellStyle name="Porcentaje 7 2 5 2 4" xfId="11821" xr:uid="{00000000-0005-0000-0000-00001B960000}"/>
    <cellStyle name="Porcentaje 7 2 5 2 4 2" xfId="31536" xr:uid="{00000000-0005-0000-0000-00001C960000}"/>
    <cellStyle name="Porcentaje 7 2 5 2 5" xfId="21679" xr:uid="{00000000-0005-0000-0000-00001D960000}"/>
    <cellStyle name="Porcentaje 7 2 5 3" xfId="3189" xr:uid="{00000000-0005-0000-0000-00001E960000}"/>
    <cellStyle name="Porcentaje 7 2 5 3 2" xfId="8121" xr:uid="{00000000-0005-0000-0000-00001F960000}"/>
    <cellStyle name="Porcentaje 7 2 5 3 2 2" xfId="17981" xr:uid="{00000000-0005-0000-0000-000020960000}"/>
    <cellStyle name="Porcentaje 7 2 5 3 2 2 2" xfId="37696" xr:uid="{00000000-0005-0000-0000-000021960000}"/>
    <cellStyle name="Porcentaje 7 2 5 3 2 3" xfId="27839" xr:uid="{00000000-0005-0000-0000-000022960000}"/>
    <cellStyle name="Porcentaje 7 2 5 3 3" xfId="13053" xr:uid="{00000000-0005-0000-0000-000023960000}"/>
    <cellStyle name="Porcentaje 7 2 5 3 3 2" xfId="32768" xr:uid="{00000000-0005-0000-0000-000024960000}"/>
    <cellStyle name="Porcentaje 7 2 5 3 4" xfId="22911" xr:uid="{00000000-0005-0000-0000-000025960000}"/>
    <cellStyle name="Porcentaje 7 2 5 4" xfId="5657" xr:uid="{00000000-0005-0000-0000-000026960000}"/>
    <cellStyle name="Porcentaje 7 2 5 4 2" xfId="15517" xr:uid="{00000000-0005-0000-0000-000027960000}"/>
    <cellStyle name="Porcentaje 7 2 5 4 2 2" xfId="35232" xr:uid="{00000000-0005-0000-0000-000028960000}"/>
    <cellStyle name="Porcentaje 7 2 5 4 3" xfId="25375" xr:uid="{00000000-0005-0000-0000-000029960000}"/>
    <cellStyle name="Porcentaje 7 2 5 5" xfId="10589" xr:uid="{00000000-0005-0000-0000-00002A960000}"/>
    <cellStyle name="Porcentaje 7 2 5 5 2" xfId="30304" xr:uid="{00000000-0005-0000-0000-00002B960000}"/>
    <cellStyle name="Porcentaje 7 2 5 6" xfId="20447" xr:uid="{00000000-0005-0000-0000-00002C960000}"/>
    <cellStyle name="Porcentaje 7 2 6" xfId="1338" xr:uid="{00000000-0005-0000-0000-00002D960000}"/>
    <cellStyle name="Porcentaje 7 2 6 2" xfId="3805" xr:uid="{00000000-0005-0000-0000-00002E960000}"/>
    <cellStyle name="Porcentaje 7 2 6 2 2" xfId="8737" xr:uid="{00000000-0005-0000-0000-00002F960000}"/>
    <cellStyle name="Porcentaje 7 2 6 2 2 2" xfId="18597" xr:uid="{00000000-0005-0000-0000-000030960000}"/>
    <cellStyle name="Porcentaje 7 2 6 2 2 2 2" xfId="38312" xr:uid="{00000000-0005-0000-0000-000031960000}"/>
    <cellStyle name="Porcentaje 7 2 6 2 2 3" xfId="28455" xr:uid="{00000000-0005-0000-0000-000032960000}"/>
    <cellStyle name="Porcentaje 7 2 6 2 3" xfId="13669" xr:uid="{00000000-0005-0000-0000-000033960000}"/>
    <cellStyle name="Porcentaje 7 2 6 2 3 2" xfId="33384" xr:uid="{00000000-0005-0000-0000-000034960000}"/>
    <cellStyle name="Porcentaje 7 2 6 2 4" xfId="23527" xr:uid="{00000000-0005-0000-0000-000035960000}"/>
    <cellStyle name="Porcentaje 7 2 6 3" xfId="6273" xr:uid="{00000000-0005-0000-0000-000036960000}"/>
    <cellStyle name="Porcentaje 7 2 6 3 2" xfId="16133" xr:uid="{00000000-0005-0000-0000-000037960000}"/>
    <cellStyle name="Porcentaje 7 2 6 3 2 2" xfId="35848" xr:uid="{00000000-0005-0000-0000-000038960000}"/>
    <cellStyle name="Porcentaje 7 2 6 3 3" xfId="25991" xr:uid="{00000000-0005-0000-0000-000039960000}"/>
    <cellStyle name="Porcentaje 7 2 6 4" xfId="11205" xr:uid="{00000000-0005-0000-0000-00003A960000}"/>
    <cellStyle name="Porcentaje 7 2 6 4 2" xfId="30920" xr:uid="{00000000-0005-0000-0000-00003B960000}"/>
    <cellStyle name="Porcentaje 7 2 6 5" xfId="21063" xr:uid="{00000000-0005-0000-0000-00003C960000}"/>
    <cellStyle name="Porcentaje 7 2 7" xfId="2573" xr:uid="{00000000-0005-0000-0000-00003D960000}"/>
    <cellStyle name="Porcentaje 7 2 7 2" xfId="7505" xr:uid="{00000000-0005-0000-0000-00003E960000}"/>
    <cellStyle name="Porcentaje 7 2 7 2 2" xfId="17365" xr:uid="{00000000-0005-0000-0000-00003F960000}"/>
    <cellStyle name="Porcentaje 7 2 7 2 2 2" xfId="37080" xr:uid="{00000000-0005-0000-0000-000040960000}"/>
    <cellStyle name="Porcentaje 7 2 7 2 3" xfId="27223" xr:uid="{00000000-0005-0000-0000-000041960000}"/>
    <cellStyle name="Porcentaje 7 2 7 3" xfId="12437" xr:uid="{00000000-0005-0000-0000-000042960000}"/>
    <cellStyle name="Porcentaje 7 2 7 3 2" xfId="32152" xr:uid="{00000000-0005-0000-0000-000043960000}"/>
    <cellStyle name="Porcentaje 7 2 7 4" xfId="22295" xr:uid="{00000000-0005-0000-0000-000044960000}"/>
    <cellStyle name="Porcentaje 7 2 8" xfId="5041" xr:uid="{00000000-0005-0000-0000-000045960000}"/>
    <cellStyle name="Porcentaje 7 2 8 2" xfId="14901" xr:uid="{00000000-0005-0000-0000-000046960000}"/>
    <cellStyle name="Porcentaje 7 2 8 2 2" xfId="34616" xr:uid="{00000000-0005-0000-0000-000047960000}"/>
    <cellStyle name="Porcentaje 7 2 8 3" xfId="24759" xr:uid="{00000000-0005-0000-0000-000048960000}"/>
    <cellStyle name="Porcentaje 7 2 9" xfId="9973" xr:uid="{00000000-0005-0000-0000-000049960000}"/>
    <cellStyle name="Porcentaje 7 2 9 2" xfId="29688" xr:uid="{00000000-0005-0000-0000-00004A960000}"/>
    <cellStyle name="Porcentaje 7 3" xfId="124" xr:uid="{00000000-0005-0000-0000-00004B960000}"/>
    <cellStyle name="Porcentaje 7 3 2" xfId="281" xr:uid="{00000000-0005-0000-0000-00004C960000}"/>
    <cellStyle name="Porcentaje 7 3 2 2" xfId="595" xr:uid="{00000000-0005-0000-0000-00004D960000}"/>
    <cellStyle name="Porcentaje 7 3 2 2 2" xfId="1215" xr:uid="{00000000-0005-0000-0000-00004E960000}"/>
    <cellStyle name="Porcentaje 7 3 2 2 2 2" xfId="2450" xr:uid="{00000000-0005-0000-0000-00004F960000}"/>
    <cellStyle name="Porcentaje 7 3 2 2 2 2 2" xfId="4917" xr:uid="{00000000-0005-0000-0000-000050960000}"/>
    <cellStyle name="Porcentaje 7 3 2 2 2 2 2 2" xfId="9849" xr:uid="{00000000-0005-0000-0000-000051960000}"/>
    <cellStyle name="Porcentaje 7 3 2 2 2 2 2 2 2" xfId="19709" xr:uid="{00000000-0005-0000-0000-000052960000}"/>
    <cellStyle name="Porcentaje 7 3 2 2 2 2 2 2 2 2" xfId="39424" xr:uid="{00000000-0005-0000-0000-000053960000}"/>
    <cellStyle name="Porcentaje 7 3 2 2 2 2 2 2 3" xfId="29567" xr:uid="{00000000-0005-0000-0000-000054960000}"/>
    <cellStyle name="Porcentaje 7 3 2 2 2 2 2 3" xfId="14781" xr:uid="{00000000-0005-0000-0000-000055960000}"/>
    <cellStyle name="Porcentaje 7 3 2 2 2 2 2 3 2" xfId="34496" xr:uid="{00000000-0005-0000-0000-000056960000}"/>
    <cellStyle name="Porcentaje 7 3 2 2 2 2 2 4" xfId="24639" xr:uid="{00000000-0005-0000-0000-000057960000}"/>
    <cellStyle name="Porcentaje 7 3 2 2 2 2 3" xfId="7385" xr:uid="{00000000-0005-0000-0000-000058960000}"/>
    <cellStyle name="Porcentaje 7 3 2 2 2 2 3 2" xfId="17245" xr:uid="{00000000-0005-0000-0000-000059960000}"/>
    <cellStyle name="Porcentaje 7 3 2 2 2 2 3 2 2" xfId="36960" xr:uid="{00000000-0005-0000-0000-00005A960000}"/>
    <cellStyle name="Porcentaje 7 3 2 2 2 2 3 3" xfId="27103" xr:uid="{00000000-0005-0000-0000-00005B960000}"/>
    <cellStyle name="Porcentaje 7 3 2 2 2 2 4" xfId="12317" xr:uid="{00000000-0005-0000-0000-00005C960000}"/>
    <cellStyle name="Porcentaje 7 3 2 2 2 2 4 2" xfId="32032" xr:uid="{00000000-0005-0000-0000-00005D960000}"/>
    <cellStyle name="Porcentaje 7 3 2 2 2 2 5" xfId="22175" xr:uid="{00000000-0005-0000-0000-00005E960000}"/>
    <cellStyle name="Porcentaje 7 3 2 2 2 3" xfId="3685" xr:uid="{00000000-0005-0000-0000-00005F960000}"/>
    <cellStyle name="Porcentaje 7 3 2 2 2 3 2" xfId="8617" xr:uid="{00000000-0005-0000-0000-000060960000}"/>
    <cellStyle name="Porcentaje 7 3 2 2 2 3 2 2" xfId="18477" xr:uid="{00000000-0005-0000-0000-000061960000}"/>
    <cellStyle name="Porcentaje 7 3 2 2 2 3 2 2 2" xfId="38192" xr:uid="{00000000-0005-0000-0000-000062960000}"/>
    <cellStyle name="Porcentaje 7 3 2 2 2 3 2 3" xfId="28335" xr:uid="{00000000-0005-0000-0000-000063960000}"/>
    <cellStyle name="Porcentaje 7 3 2 2 2 3 3" xfId="13549" xr:uid="{00000000-0005-0000-0000-000064960000}"/>
    <cellStyle name="Porcentaje 7 3 2 2 2 3 3 2" xfId="33264" xr:uid="{00000000-0005-0000-0000-000065960000}"/>
    <cellStyle name="Porcentaje 7 3 2 2 2 3 4" xfId="23407" xr:uid="{00000000-0005-0000-0000-000066960000}"/>
    <cellStyle name="Porcentaje 7 3 2 2 2 4" xfId="6153" xr:uid="{00000000-0005-0000-0000-000067960000}"/>
    <cellStyle name="Porcentaje 7 3 2 2 2 4 2" xfId="16013" xr:uid="{00000000-0005-0000-0000-000068960000}"/>
    <cellStyle name="Porcentaje 7 3 2 2 2 4 2 2" xfId="35728" xr:uid="{00000000-0005-0000-0000-000069960000}"/>
    <cellStyle name="Porcentaje 7 3 2 2 2 4 3" xfId="25871" xr:uid="{00000000-0005-0000-0000-00006A960000}"/>
    <cellStyle name="Porcentaje 7 3 2 2 2 5" xfId="11085" xr:uid="{00000000-0005-0000-0000-00006B960000}"/>
    <cellStyle name="Porcentaje 7 3 2 2 2 5 2" xfId="30800" xr:uid="{00000000-0005-0000-0000-00006C960000}"/>
    <cellStyle name="Porcentaje 7 3 2 2 2 6" xfId="20943" xr:uid="{00000000-0005-0000-0000-00006D960000}"/>
    <cellStyle name="Porcentaje 7 3 2 2 3" xfId="1834" xr:uid="{00000000-0005-0000-0000-00006E960000}"/>
    <cellStyle name="Porcentaje 7 3 2 2 3 2" xfId="4301" xr:uid="{00000000-0005-0000-0000-00006F960000}"/>
    <cellStyle name="Porcentaje 7 3 2 2 3 2 2" xfId="9233" xr:uid="{00000000-0005-0000-0000-000070960000}"/>
    <cellStyle name="Porcentaje 7 3 2 2 3 2 2 2" xfId="19093" xr:uid="{00000000-0005-0000-0000-000071960000}"/>
    <cellStyle name="Porcentaje 7 3 2 2 3 2 2 2 2" xfId="38808" xr:uid="{00000000-0005-0000-0000-000072960000}"/>
    <cellStyle name="Porcentaje 7 3 2 2 3 2 2 3" xfId="28951" xr:uid="{00000000-0005-0000-0000-000073960000}"/>
    <cellStyle name="Porcentaje 7 3 2 2 3 2 3" xfId="14165" xr:uid="{00000000-0005-0000-0000-000074960000}"/>
    <cellStyle name="Porcentaje 7 3 2 2 3 2 3 2" xfId="33880" xr:uid="{00000000-0005-0000-0000-000075960000}"/>
    <cellStyle name="Porcentaje 7 3 2 2 3 2 4" xfId="24023" xr:uid="{00000000-0005-0000-0000-000076960000}"/>
    <cellStyle name="Porcentaje 7 3 2 2 3 3" xfId="6769" xr:uid="{00000000-0005-0000-0000-000077960000}"/>
    <cellStyle name="Porcentaje 7 3 2 2 3 3 2" xfId="16629" xr:uid="{00000000-0005-0000-0000-000078960000}"/>
    <cellStyle name="Porcentaje 7 3 2 2 3 3 2 2" xfId="36344" xr:uid="{00000000-0005-0000-0000-000079960000}"/>
    <cellStyle name="Porcentaje 7 3 2 2 3 3 3" xfId="26487" xr:uid="{00000000-0005-0000-0000-00007A960000}"/>
    <cellStyle name="Porcentaje 7 3 2 2 3 4" xfId="11701" xr:uid="{00000000-0005-0000-0000-00007B960000}"/>
    <cellStyle name="Porcentaje 7 3 2 2 3 4 2" xfId="31416" xr:uid="{00000000-0005-0000-0000-00007C960000}"/>
    <cellStyle name="Porcentaje 7 3 2 2 3 5" xfId="21559" xr:uid="{00000000-0005-0000-0000-00007D960000}"/>
    <cellStyle name="Porcentaje 7 3 2 2 4" xfId="3069" xr:uid="{00000000-0005-0000-0000-00007E960000}"/>
    <cellStyle name="Porcentaje 7 3 2 2 4 2" xfId="8001" xr:uid="{00000000-0005-0000-0000-00007F960000}"/>
    <cellStyle name="Porcentaje 7 3 2 2 4 2 2" xfId="17861" xr:uid="{00000000-0005-0000-0000-000080960000}"/>
    <cellStyle name="Porcentaje 7 3 2 2 4 2 2 2" xfId="37576" xr:uid="{00000000-0005-0000-0000-000081960000}"/>
    <cellStyle name="Porcentaje 7 3 2 2 4 2 3" xfId="27719" xr:uid="{00000000-0005-0000-0000-000082960000}"/>
    <cellStyle name="Porcentaje 7 3 2 2 4 3" xfId="12933" xr:uid="{00000000-0005-0000-0000-000083960000}"/>
    <cellStyle name="Porcentaje 7 3 2 2 4 3 2" xfId="32648" xr:uid="{00000000-0005-0000-0000-000084960000}"/>
    <cellStyle name="Porcentaje 7 3 2 2 4 4" xfId="22791" xr:uid="{00000000-0005-0000-0000-000085960000}"/>
    <cellStyle name="Porcentaje 7 3 2 2 5" xfId="5537" xr:uid="{00000000-0005-0000-0000-000086960000}"/>
    <cellStyle name="Porcentaje 7 3 2 2 5 2" xfId="15397" xr:uid="{00000000-0005-0000-0000-000087960000}"/>
    <cellStyle name="Porcentaje 7 3 2 2 5 2 2" xfId="35112" xr:uid="{00000000-0005-0000-0000-000088960000}"/>
    <cellStyle name="Porcentaje 7 3 2 2 5 3" xfId="25255" xr:uid="{00000000-0005-0000-0000-000089960000}"/>
    <cellStyle name="Porcentaje 7 3 2 2 6" xfId="10469" xr:uid="{00000000-0005-0000-0000-00008A960000}"/>
    <cellStyle name="Porcentaje 7 3 2 2 6 2" xfId="30184" xr:uid="{00000000-0005-0000-0000-00008B960000}"/>
    <cellStyle name="Porcentaje 7 3 2 2 7" xfId="20327" xr:uid="{00000000-0005-0000-0000-00008C960000}"/>
    <cellStyle name="Porcentaje 7 3 2 3" xfId="908" xr:uid="{00000000-0005-0000-0000-00008D960000}"/>
    <cellStyle name="Porcentaje 7 3 2 3 2" xfId="2144" xr:uid="{00000000-0005-0000-0000-00008E960000}"/>
    <cellStyle name="Porcentaje 7 3 2 3 2 2" xfId="4611" xr:uid="{00000000-0005-0000-0000-00008F960000}"/>
    <cellStyle name="Porcentaje 7 3 2 3 2 2 2" xfId="9543" xr:uid="{00000000-0005-0000-0000-000090960000}"/>
    <cellStyle name="Porcentaje 7 3 2 3 2 2 2 2" xfId="19403" xr:uid="{00000000-0005-0000-0000-000091960000}"/>
    <cellStyle name="Porcentaje 7 3 2 3 2 2 2 2 2" xfId="39118" xr:uid="{00000000-0005-0000-0000-000092960000}"/>
    <cellStyle name="Porcentaje 7 3 2 3 2 2 2 3" xfId="29261" xr:uid="{00000000-0005-0000-0000-000093960000}"/>
    <cellStyle name="Porcentaje 7 3 2 3 2 2 3" xfId="14475" xr:uid="{00000000-0005-0000-0000-000094960000}"/>
    <cellStyle name="Porcentaje 7 3 2 3 2 2 3 2" xfId="34190" xr:uid="{00000000-0005-0000-0000-000095960000}"/>
    <cellStyle name="Porcentaje 7 3 2 3 2 2 4" xfId="24333" xr:uid="{00000000-0005-0000-0000-000096960000}"/>
    <cellStyle name="Porcentaje 7 3 2 3 2 3" xfId="7079" xr:uid="{00000000-0005-0000-0000-000097960000}"/>
    <cellStyle name="Porcentaje 7 3 2 3 2 3 2" xfId="16939" xr:uid="{00000000-0005-0000-0000-000098960000}"/>
    <cellStyle name="Porcentaje 7 3 2 3 2 3 2 2" xfId="36654" xr:uid="{00000000-0005-0000-0000-000099960000}"/>
    <cellStyle name="Porcentaje 7 3 2 3 2 3 3" xfId="26797" xr:uid="{00000000-0005-0000-0000-00009A960000}"/>
    <cellStyle name="Porcentaje 7 3 2 3 2 4" xfId="12011" xr:uid="{00000000-0005-0000-0000-00009B960000}"/>
    <cellStyle name="Porcentaje 7 3 2 3 2 4 2" xfId="31726" xr:uid="{00000000-0005-0000-0000-00009C960000}"/>
    <cellStyle name="Porcentaje 7 3 2 3 2 5" xfId="21869" xr:uid="{00000000-0005-0000-0000-00009D960000}"/>
    <cellStyle name="Porcentaje 7 3 2 3 3" xfId="3379" xr:uid="{00000000-0005-0000-0000-00009E960000}"/>
    <cellStyle name="Porcentaje 7 3 2 3 3 2" xfId="8311" xr:uid="{00000000-0005-0000-0000-00009F960000}"/>
    <cellStyle name="Porcentaje 7 3 2 3 3 2 2" xfId="18171" xr:uid="{00000000-0005-0000-0000-0000A0960000}"/>
    <cellStyle name="Porcentaje 7 3 2 3 3 2 2 2" xfId="37886" xr:uid="{00000000-0005-0000-0000-0000A1960000}"/>
    <cellStyle name="Porcentaje 7 3 2 3 3 2 3" xfId="28029" xr:uid="{00000000-0005-0000-0000-0000A2960000}"/>
    <cellStyle name="Porcentaje 7 3 2 3 3 3" xfId="13243" xr:uid="{00000000-0005-0000-0000-0000A3960000}"/>
    <cellStyle name="Porcentaje 7 3 2 3 3 3 2" xfId="32958" xr:uid="{00000000-0005-0000-0000-0000A4960000}"/>
    <cellStyle name="Porcentaje 7 3 2 3 3 4" xfId="23101" xr:uid="{00000000-0005-0000-0000-0000A5960000}"/>
    <cellStyle name="Porcentaje 7 3 2 3 4" xfId="5847" xr:uid="{00000000-0005-0000-0000-0000A6960000}"/>
    <cellStyle name="Porcentaje 7 3 2 3 4 2" xfId="15707" xr:uid="{00000000-0005-0000-0000-0000A7960000}"/>
    <cellStyle name="Porcentaje 7 3 2 3 4 2 2" xfId="35422" xr:uid="{00000000-0005-0000-0000-0000A8960000}"/>
    <cellStyle name="Porcentaje 7 3 2 3 4 3" xfId="25565" xr:uid="{00000000-0005-0000-0000-0000A9960000}"/>
    <cellStyle name="Porcentaje 7 3 2 3 5" xfId="10779" xr:uid="{00000000-0005-0000-0000-0000AA960000}"/>
    <cellStyle name="Porcentaje 7 3 2 3 5 2" xfId="30494" xr:uid="{00000000-0005-0000-0000-0000AB960000}"/>
    <cellStyle name="Porcentaje 7 3 2 3 6" xfId="20637" xr:uid="{00000000-0005-0000-0000-0000AC960000}"/>
    <cellStyle name="Porcentaje 7 3 2 4" xfId="1528" xr:uid="{00000000-0005-0000-0000-0000AD960000}"/>
    <cellStyle name="Porcentaje 7 3 2 4 2" xfId="3995" xr:uid="{00000000-0005-0000-0000-0000AE960000}"/>
    <cellStyle name="Porcentaje 7 3 2 4 2 2" xfId="8927" xr:uid="{00000000-0005-0000-0000-0000AF960000}"/>
    <cellStyle name="Porcentaje 7 3 2 4 2 2 2" xfId="18787" xr:uid="{00000000-0005-0000-0000-0000B0960000}"/>
    <cellStyle name="Porcentaje 7 3 2 4 2 2 2 2" xfId="38502" xr:uid="{00000000-0005-0000-0000-0000B1960000}"/>
    <cellStyle name="Porcentaje 7 3 2 4 2 2 3" xfId="28645" xr:uid="{00000000-0005-0000-0000-0000B2960000}"/>
    <cellStyle name="Porcentaje 7 3 2 4 2 3" xfId="13859" xr:uid="{00000000-0005-0000-0000-0000B3960000}"/>
    <cellStyle name="Porcentaje 7 3 2 4 2 3 2" xfId="33574" xr:uid="{00000000-0005-0000-0000-0000B4960000}"/>
    <cellStyle name="Porcentaje 7 3 2 4 2 4" xfId="23717" xr:uid="{00000000-0005-0000-0000-0000B5960000}"/>
    <cellStyle name="Porcentaje 7 3 2 4 3" xfId="6463" xr:uid="{00000000-0005-0000-0000-0000B6960000}"/>
    <cellStyle name="Porcentaje 7 3 2 4 3 2" xfId="16323" xr:uid="{00000000-0005-0000-0000-0000B7960000}"/>
    <cellStyle name="Porcentaje 7 3 2 4 3 2 2" xfId="36038" xr:uid="{00000000-0005-0000-0000-0000B8960000}"/>
    <cellStyle name="Porcentaje 7 3 2 4 3 3" xfId="26181" xr:uid="{00000000-0005-0000-0000-0000B9960000}"/>
    <cellStyle name="Porcentaje 7 3 2 4 4" xfId="11395" xr:uid="{00000000-0005-0000-0000-0000BA960000}"/>
    <cellStyle name="Porcentaje 7 3 2 4 4 2" xfId="31110" xr:uid="{00000000-0005-0000-0000-0000BB960000}"/>
    <cellStyle name="Porcentaje 7 3 2 4 5" xfId="21253" xr:uid="{00000000-0005-0000-0000-0000BC960000}"/>
    <cellStyle name="Porcentaje 7 3 2 5" xfId="2763" xr:uid="{00000000-0005-0000-0000-0000BD960000}"/>
    <cellStyle name="Porcentaje 7 3 2 5 2" xfId="7695" xr:uid="{00000000-0005-0000-0000-0000BE960000}"/>
    <cellStyle name="Porcentaje 7 3 2 5 2 2" xfId="17555" xr:uid="{00000000-0005-0000-0000-0000BF960000}"/>
    <cellStyle name="Porcentaje 7 3 2 5 2 2 2" xfId="37270" xr:uid="{00000000-0005-0000-0000-0000C0960000}"/>
    <cellStyle name="Porcentaje 7 3 2 5 2 3" xfId="27413" xr:uid="{00000000-0005-0000-0000-0000C1960000}"/>
    <cellStyle name="Porcentaje 7 3 2 5 3" xfId="12627" xr:uid="{00000000-0005-0000-0000-0000C2960000}"/>
    <cellStyle name="Porcentaje 7 3 2 5 3 2" xfId="32342" xr:uid="{00000000-0005-0000-0000-0000C3960000}"/>
    <cellStyle name="Porcentaje 7 3 2 5 4" xfId="22485" xr:uid="{00000000-0005-0000-0000-0000C4960000}"/>
    <cellStyle name="Porcentaje 7 3 2 6" xfId="5231" xr:uid="{00000000-0005-0000-0000-0000C5960000}"/>
    <cellStyle name="Porcentaje 7 3 2 6 2" xfId="15091" xr:uid="{00000000-0005-0000-0000-0000C6960000}"/>
    <cellStyle name="Porcentaje 7 3 2 6 2 2" xfId="34806" xr:uid="{00000000-0005-0000-0000-0000C7960000}"/>
    <cellStyle name="Porcentaje 7 3 2 6 3" xfId="24949" xr:uid="{00000000-0005-0000-0000-0000C8960000}"/>
    <cellStyle name="Porcentaje 7 3 2 7" xfId="10163" xr:uid="{00000000-0005-0000-0000-0000C9960000}"/>
    <cellStyle name="Porcentaje 7 3 2 7 2" xfId="29878" xr:uid="{00000000-0005-0000-0000-0000CA960000}"/>
    <cellStyle name="Porcentaje 7 3 2 8" xfId="20021" xr:uid="{00000000-0005-0000-0000-0000CB960000}"/>
    <cellStyle name="Porcentaje 7 3 3" xfId="443" xr:uid="{00000000-0005-0000-0000-0000CC960000}"/>
    <cellStyle name="Porcentaje 7 3 3 2" xfId="1063" xr:uid="{00000000-0005-0000-0000-0000CD960000}"/>
    <cellStyle name="Porcentaje 7 3 3 2 2" xfId="2298" xr:uid="{00000000-0005-0000-0000-0000CE960000}"/>
    <cellStyle name="Porcentaje 7 3 3 2 2 2" xfId="4765" xr:uid="{00000000-0005-0000-0000-0000CF960000}"/>
    <cellStyle name="Porcentaje 7 3 3 2 2 2 2" xfId="9697" xr:uid="{00000000-0005-0000-0000-0000D0960000}"/>
    <cellStyle name="Porcentaje 7 3 3 2 2 2 2 2" xfId="19557" xr:uid="{00000000-0005-0000-0000-0000D1960000}"/>
    <cellStyle name="Porcentaje 7 3 3 2 2 2 2 2 2" xfId="39272" xr:uid="{00000000-0005-0000-0000-0000D2960000}"/>
    <cellStyle name="Porcentaje 7 3 3 2 2 2 2 3" xfId="29415" xr:uid="{00000000-0005-0000-0000-0000D3960000}"/>
    <cellStyle name="Porcentaje 7 3 3 2 2 2 3" xfId="14629" xr:uid="{00000000-0005-0000-0000-0000D4960000}"/>
    <cellStyle name="Porcentaje 7 3 3 2 2 2 3 2" xfId="34344" xr:uid="{00000000-0005-0000-0000-0000D5960000}"/>
    <cellStyle name="Porcentaje 7 3 3 2 2 2 4" xfId="24487" xr:uid="{00000000-0005-0000-0000-0000D6960000}"/>
    <cellStyle name="Porcentaje 7 3 3 2 2 3" xfId="7233" xr:uid="{00000000-0005-0000-0000-0000D7960000}"/>
    <cellStyle name="Porcentaje 7 3 3 2 2 3 2" xfId="17093" xr:uid="{00000000-0005-0000-0000-0000D8960000}"/>
    <cellStyle name="Porcentaje 7 3 3 2 2 3 2 2" xfId="36808" xr:uid="{00000000-0005-0000-0000-0000D9960000}"/>
    <cellStyle name="Porcentaje 7 3 3 2 2 3 3" xfId="26951" xr:uid="{00000000-0005-0000-0000-0000DA960000}"/>
    <cellStyle name="Porcentaje 7 3 3 2 2 4" xfId="12165" xr:uid="{00000000-0005-0000-0000-0000DB960000}"/>
    <cellStyle name="Porcentaje 7 3 3 2 2 4 2" xfId="31880" xr:uid="{00000000-0005-0000-0000-0000DC960000}"/>
    <cellStyle name="Porcentaje 7 3 3 2 2 5" xfId="22023" xr:uid="{00000000-0005-0000-0000-0000DD960000}"/>
    <cellStyle name="Porcentaje 7 3 3 2 3" xfId="3533" xr:uid="{00000000-0005-0000-0000-0000DE960000}"/>
    <cellStyle name="Porcentaje 7 3 3 2 3 2" xfId="8465" xr:uid="{00000000-0005-0000-0000-0000DF960000}"/>
    <cellStyle name="Porcentaje 7 3 3 2 3 2 2" xfId="18325" xr:uid="{00000000-0005-0000-0000-0000E0960000}"/>
    <cellStyle name="Porcentaje 7 3 3 2 3 2 2 2" xfId="38040" xr:uid="{00000000-0005-0000-0000-0000E1960000}"/>
    <cellStyle name="Porcentaje 7 3 3 2 3 2 3" xfId="28183" xr:uid="{00000000-0005-0000-0000-0000E2960000}"/>
    <cellStyle name="Porcentaje 7 3 3 2 3 3" xfId="13397" xr:uid="{00000000-0005-0000-0000-0000E3960000}"/>
    <cellStyle name="Porcentaje 7 3 3 2 3 3 2" xfId="33112" xr:uid="{00000000-0005-0000-0000-0000E4960000}"/>
    <cellStyle name="Porcentaje 7 3 3 2 3 4" xfId="23255" xr:uid="{00000000-0005-0000-0000-0000E5960000}"/>
    <cellStyle name="Porcentaje 7 3 3 2 4" xfId="6001" xr:uid="{00000000-0005-0000-0000-0000E6960000}"/>
    <cellStyle name="Porcentaje 7 3 3 2 4 2" xfId="15861" xr:uid="{00000000-0005-0000-0000-0000E7960000}"/>
    <cellStyle name="Porcentaje 7 3 3 2 4 2 2" xfId="35576" xr:uid="{00000000-0005-0000-0000-0000E8960000}"/>
    <cellStyle name="Porcentaje 7 3 3 2 4 3" xfId="25719" xr:uid="{00000000-0005-0000-0000-0000E9960000}"/>
    <cellStyle name="Porcentaje 7 3 3 2 5" xfId="10933" xr:uid="{00000000-0005-0000-0000-0000EA960000}"/>
    <cellStyle name="Porcentaje 7 3 3 2 5 2" xfId="30648" xr:uid="{00000000-0005-0000-0000-0000EB960000}"/>
    <cellStyle name="Porcentaje 7 3 3 2 6" xfId="20791" xr:uid="{00000000-0005-0000-0000-0000EC960000}"/>
    <cellStyle name="Porcentaje 7 3 3 3" xfId="1682" xr:uid="{00000000-0005-0000-0000-0000ED960000}"/>
    <cellStyle name="Porcentaje 7 3 3 3 2" xfId="4149" xr:uid="{00000000-0005-0000-0000-0000EE960000}"/>
    <cellStyle name="Porcentaje 7 3 3 3 2 2" xfId="9081" xr:uid="{00000000-0005-0000-0000-0000EF960000}"/>
    <cellStyle name="Porcentaje 7 3 3 3 2 2 2" xfId="18941" xr:uid="{00000000-0005-0000-0000-0000F0960000}"/>
    <cellStyle name="Porcentaje 7 3 3 3 2 2 2 2" xfId="38656" xr:uid="{00000000-0005-0000-0000-0000F1960000}"/>
    <cellStyle name="Porcentaje 7 3 3 3 2 2 3" xfId="28799" xr:uid="{00000000-0005-0000-0000-0000F2960000}"/>
    <cellStyle name="Porcentaje 7 3 3 3 2 3" xfId="14013" xr:uid="{00000000-0005-0000-0000-0000F3960000}"/>
    <cellStyle name="Porcentaje 7 3 3 3 2 3 2" xfId="33728" xr:uid="{00000000-0005-0000-0000-0000F4960000}"/>
    <cellStyle name="Porcentaje 7 3 3 3 2 4" xfId="23871" xr:uid="{00000000-0005-0000-0000-0000F5960000}"/>
    <cellStyle name="Porcentaje 7 3 3 3 3" xfId="6617" xr:uid="{00000000-0005-0000-0000-0000F6960000}"/>
    <cellStyle name="Porcentaje 7 3 3 3 3 2" xfId="16477" xr:uid="{00000000-0005-0000-0000-0000F7960000}"/>
    <cellStyle name="Porcentaje 7 3 3 3 3 2 2" xfId="36192" xr:uid="{00000000-0005-0000-0000-0000F8960000}"/>
    <cellStyle name="Porcentaje 7 3 3 3 3 3" xfId="26335" xr:uid="{00000000-0005-0000-0000-0000F9960000}"/>
    <cellStyle name="Porcentaje 7 3 3 3 4" xfId="11549" xr:uid="{00000000-0005-0000-0000-0000FA960000}"/>
    <cellStyle name="Porcentaje 7 3 3 3 4 2" xfId="31264" xr:uid="{00000000-0005-0000-0000-0000FB960000}"/>
    <cellStyle name="Porcentaje 7 3 3 3 5" xfId="21407" xr:uid="{00000000-0005-0000-0000-0000FC960000}"/>
    <cellStyle name="Porcentaje 7 3 3 4" xfId="2917" xr:uid="{00000000-0005-0000-0000-0000FD960000}"/>
    <cellStyle name="Porcentaje 7 3 3 4 2" xfId="7849" xr:uid="{00000000-0005-0000-0000-0000FE960000}"/>
    <cellStyle name="Porcentaje 7 3 3 4 2 2" xfId="17709" xr:uid="{00000000-0005-0000-0000-0000FF960000}"/>
    <cellStyle name="Porcentaje 7 3 3 4 2 2 2" xfId="37424" xr:uid="{00000000-0005-0000-0000-000000970000}"/>
    <cellStyle name="Porcentaje 7 3 3 4 2 3" xfId="27567" xr:uid="{00000000-0005-0000-0000-000001970000}"/>
    <cellStyle name="Porcentaje 7 3 3 4 3" xfId="12781" xr:uid="{00000000-0005-0000-0000-000002970000}"/>
    <cellStyle name="Porcentaje 7 3 3 4 3 2" xfId="32496" xr:uid="{00000000-0005-0000-0000-000003970000}"/>
    <cellStyle name="Porcentaje 7 3 3 4 4" xfId="22639" xr:uid="{00000000-0005-0000-0000-000004970000}"/>
    <cellStyle name="Porcentaje 7 3 3 5" xfId="5385" xr:uid="{00000000-0005-0000-0000-000005970000}"/>
    <cellStyle name="Porcentaje 7 3 3 5 2" xfId="15245" xr:uid="{00000000-0005-0000-0000-000006970000}"/>
    <cellStyle name="Porcentaje 7 3 3 5 2 2" xfId="34960" xr:uid="{00000000-0005-0000-0000-000007970000}"/>
    <cellStyle name="Porcentaje 7 3 3 5 3" xfId="25103" xr:uid="{00000000-0005-0000-0000-000008970000}"/>
    <cellStyle name="Porcentaje 7 3 3 6" xfId="10317" xr:uid="{00000000-0005-0000-0000-000009970000}"/>
    <cellStyle name="Porcentaje 7 3 3 6 2" xfId="30032" xr:uid="{00000000-0005-0000-0000-00000A970000}"/>
    <cellStyle name="Porcentaje 7 3 3 7" xfId="20175" xr:uid="{00000000-0005-0000-0000-00000B970000}"/>
    <cellStyle name="Porcentaje 7 3 4" xfId="756" xr:uid="{00000000-0005-0000-0000-00000C970000}"/>
    <cellStyle name="Porcentaje 7 3 4 2" xfId="1992" xr:uid="{00000000-0005-0000-0000-00000D970000}"/>
    <cellStyle name="Porcentaje 7 3 4 2 2" xfId="4459" xr:uid="{00000000-0005-0000-0000-00000E970000}"/>
    <cellStyle name="Porcentaje 7 3 4 2 2 2" xfId="9391" xr:uid="{00000000-0005-0000-0000-00000F970000}"/>
    <cellStyle name="Porcentaje 7 3 4 2 2 2 2" xfId="19251" xr:uid="{00000000-0005-0000-0000-000010970000}"/>
    <cellStyle name="Porcentaje 7 3 4 2 2 2 2 2" xfId="38966" xr:uid="{00000000-0005-0000-0000-000011970000}"/>
    <cellStyle name="Porcentaje 7 3 4 2 2 2 3" xfId="29109" xr:uid="{00000000-0005-0000-0000-000012970000}"/>
    <cellStyle name="Porcentaje 7 3 4 2 2 3" xfId="14323" xr:uid="{00000000-0005-0000-0000-000013970000}"/>
    <cellStyle name="Porcentaje 7 3 4 2 2 3 2" xfId="34038" xr:uid="{00000000-0005-0000-0000-000014970000}"/>
    <cellStyle name="Porcentaje 7 3 4 2 2 4" xfId="24181" xr:uid="{00000000-0005-0000-0000-000015970000}"/>
    <cellStyle name="Porcentaje 7 3 4 2 3" xfId="6927" xr:uid="{00000000-0005-0000-0000-000016970000}"/>
    <cellStyle name="Porcentaje 7 3 4 2 3 2" xfId="16787" xr:uid="{00000000-0005-0000-0000-000017970000}"/>
    <cellStyle name="Porcentaje 7 3 4 2 3 2 2" xfId="36502" xr:uid="{00000000-0005-0000-0000-000018970000}"/>
    <cellStyle name="Porcentaje 7 3 4 2 3 3" xfId="26645" xr:uid="{00000000-0005-0000-0000-000019970000}"/>
    <cellStyle name="Porcentaje 7 3 4 2 4" xfId="11859" xr:uid="{00000000-0005-0000-0000-00001A970000}"/>
    <cellStyle name="Porcentaje 7 3 4 2 4 2" xfId="31574" xr:uid="{00000000-0005-0000-0000-00001B970000}"/>
    <cellStyle name="Porcentaje 7 3 4 2 5" xfId="21717" xr:uid="{00000000-0005-0000-0000-00001C970000}"/>
    <cellStyle name="Porcentaje 7 3 4 3" xfId="3227" xr:uid="{00000000-0005-0000-0000-00001D970000}"/>
    <cellStyle name="Porcentaje 7 3 4 3 2" xfId="8159" xr:uid="{00000000-0005-0000-0000-00001E970000}"/>
    <cellStyle name="Porcentaje 7 3 4 3 2 2" xfId="18019" xr:uid="{00000000-0005-0000-0000-00001F970000}"/>
    <cellStyle name="Porcentaje 7 3 4 3 2 2 2" xfId="37734" xr:uid="{00000000-0005-0000-0000-000020970000}"/>
    <cellStyle name="Porcentaje 7 3 4 3 2 3" xfId="27877" xr:uid="{00000000-0005-0000-0000-000021970000}"/>
    <cellStyle name="Porcentaje 7 3 4 3 3" xfId="13091" xr:uid="{00000000-0005-0000-0000-000022970000}"/>
    <cellStyle name="Porcentaje 7 3 4 3 3 2" xfId="32806" xr:uid="{00000000-0005-0000-0000-000023970000}"/>
    <cellStyle name="Porcentaje 7 3 4 3 4" xfId="22949" xr:uid="{00000000-0005-0000-0000-000024970000}"/>
    <cellStyle name="Porcentaje 7 3 4 4" xfId="5695" xr:uid="{00000000-0005-0000-0000-000025970000}"/>
    <cellStyle name="Porcentaje 7 3 4 4 2" xfId="15555" xr:uid="{00000000-0005-0000-0000-000026970000}"/>
    <cellStyle name="Porcentaje 7 3 4 4 2 2" xfId="35270" xr:uid="{00000000-0005-0000-0000-000027970000}"/>
    <cellStyle name="Porcentaje 7 3 4 4 3" xfId="25413" xr:uid="{00000000-0005-0000-0000-000028970000}"/>
    <cellStyle name="Porcentaje 7 3 4 5" xfId="10627" xr:uid="{00000000-0005-0000-0000-000029970000}"/>
    <cellStyle name="Porcentaje 7 3 4 5 2" xfId="30342" xr:uid="{00000000-0005-0000-0000-00002A970000}"/>
    <cellStyle name="Porcentaje 7 3 4 6" xfId="20485" xr:uid="{00000000-0005-0000-0000-00002B970000}"/>
    <cellStyle name="Porcentaje 7 3 5" xfId="1376" xr:uid="{00000000-0005-0000-0000-00002C970000}"/>
    <cellStyle name="Porcentaje 7 3 5 2" xfId="3843" xr:uid="{00000000-0005-0000-0000-00002D970000}"/>
    <cellStyle name="Porcentaje 7 3 5 2 2" xfId="8775" xr:uid="{00000000-0005-0000-0000-00002E970000}"/>
    <cellStyle name="Porcentaje 7 3 5 2 2 2" xfId="18635" xr:uid="{00000000-0005-0000-0000-00002F970000}"/>
    <cellStyle name="Porcentaje 7 3 5 2 2 2 2" xfId="38350" xr:uid="{00000000-0005-0000-0000-000030970000}"/>
    <cellStyle name="Porcentaje 7 3 5 2 2 3" xfId="28493" xr:uid="{00000000-0005-0000-0000-000031970000}"/>
    <cellStyle name="Porcentaje 7 3 5 2 3" xfId="13707" xr:uid="{00000000-0005-0000-0000-000032970000}"/>
    <cellStyle name="Porcentaje 7 3 5 2 3 2" xfId="33422" xr:uid="{00000000-0005-0000-0000-000033970000}"/>
    <cellStyle name="Porcentaje 7 3 5 2 4" xfId="23565" xr:uid="{00000000-0005-0000-0000-000034970000}"/>
    <cellStyle name="Porcentaje 7 3 5 3" xfId="6311" xr:uid="{00000000-0005-0000-0000-000035970000}"/>
    <cellStyle name="Porcentaje 7 3 5 3 2" xfId="16171" xr:uid="{00000000-0005-0000-0000-000036970000}"/>
    <cellStyle name="Porcentaje 7 3 5 3 2 2" xfId="35886" xr:uid="{00000000-0005-0000-0000-000037970000}"/>
    <cellStyle name="Porcentaje 7 3 5 3 3" xfId="26029" xr:uid="{00000000-0005-0000-0000-000038970000}"/>
    <cellStyle name="Porcentaje 7 3 5 4" xfId="11243" xr:uid="{00000000-0005-0000-0000-000039970000}"/>
    <cellStyle name="Porcentaje 7 3 5 4 2" xfId="30958" xr:uid="{00000000-0005-0000-0000-00003A970000}"/>
    <cellStyle name="Porcentaje 7 3 5 5" xfId="21101" xr:uid="{00000000-0005-0000-0000-00003B970000}"/>
    <cellStyle name="Porcentaje 7 3 6" xfId="2611" xr:uid="{00000000-0005-0000-0000-00003C970000}"/>
    <cellStyle name="Porcentaje 7 3 6 2" xfId="7543" xr:uid="{00000000-0005-0000-0000-00003D970000}"/>
    <cellStyle name="Porcentaje 7 3 6 2 2" xfId="17403" xr:uid="{00000000-0005-0000-0000-00003E970000}"/>
    <cellStyle name="Porcentaje 7 3 6 2 2 2" xfId="37118" xr:uid="{00000000-0005-0000-0000-00003F970000}"/>
    <cellStyle name="Porcentaje 7 3 6 2 3" xfId="27261" xr:uid="{00000000-0005-0000-0000-000040970000}"/>
    <cellStyle name="Porcentaje 7 3 6 3" xfId="12475" xr:uid="{00000000-0005-0000-0000-000041970000}"/>
    <cellStyle name="Porcentaje 7 3 6 3 2" xfId="32190" xr:uid="{00000000-0005-0000-0000-000042970000}"/>
    <cellStyle name="Porcentaje 7 3 6 4" xfId="22333" xr:uid="{00000000-0005-0000-0000-000043970000}"/>
    <cellStyle name="Porcentaje 7 3 7" xfId="5079" xr:uid="{00000000-0005-0000-0000-000044970000}"/>
    <cellStyle name="Porcentaje 7 3 7 2" xfId="14939" xr:uid="{00000000-0005-0000-0000-000045970000}"/>
    <cellStyle name="Porcentaje 7 3 7 2 2" xfId="34654" xr:uid="{00000000-0005-0000-0000-000046970000}"/>
    <cellStyle name="Porcentaje 7 3 7 3" xfId="24797" xr:uid="{00000000-0005-0000-0000-000047970000}"/>
    <cellStyle name="Porcentaje 7 3 8" xfId="10011" xr:uid="{00000000-0005-0000-0000-000048970000}"/>
    <cellStyle name="Porcentaje 7 3 8 2" xfId="29726" xr:uid="{00000000-0005-0000-0000-000049970000}"/>
    <cellStyle name="Porcentaje 7 3 9" xfId="19869" xr:uid="{00000000-0005-0000-0000-00004A970000}"/>
    <cellStyle name="Porcentaje 7 4" xfId="205" xr:uid="{00000000-0005-0000-0000-00004B970000}"/>
    <cellStyle name="Porcentaje 7 4 2" xfId="519" xr:uid="{00000000-0005-0000-0000-00004C970000}"/>
    <cellStyle name="Porcentaje 7 4 2 2" xfId="1139" xr:uid="{00000000-0005-0000-0000-00004D970000}"/>
    <cellStyle name="Porcentaje 7 4 2 2 2" xfId="2374" xr:uid="{00000000-0005-0000-0000-00004E970000}"/>
    <cellStyle name="Porcentaje 7 4 2 2 2 2" xfId="4841" xr:uid="{00000000-0005-0000-0000-00004F970000}"/>
    <cellStyle name="Porcentaje 7 4 2 2 2 2 2" xfId="9773" xr:uid="{00000000-0005-0000-0000-000050970000}"/>
    <cellStyle name="Porcentaje 7 4 2 2 2 2 2 2" xfId="19633" xr:uid="{00000000-0005-0000-0000-000051970000}"/>
    <cellStyle name="Porcentaje 7 4 2 2 2 2 2 2 2" xfId="39348" xr:uid="{00000000-0005-0000-0000-000052970000}"/>
    <cellStyle name="Porcentaje 7 4 2 2 2 2 2 3" xfId="29491" xr:uid="{00000000-0005-0000-0000-000053970000}"/>
    <cellStyle name="Porcentaje 7 4 2 2 2 2 3" xfId="14705" xr:uid="{00000000-0005-0000-0000-000054970000}"/>
    <cellStyle name="Porcentaje 7 4 2 2 2 2 3 2" xfId="34420" xr:uid="{00000000-0005-0000-0000-000055970000}"/>
    <cellStyle name="Porcentaje 7 4 2 2 2 2 4" xfId="24563" xr:uid="{00000000-0005-0000-0000-000056970000}"/>
    <cellStyle name="Porcentaje 7 4 2 2 2 3" xfId="7309" xr:uid="{00000000-0005-0000-0000-000057970000}"/>
    <cellStyle name="Porcentaje 7 4 2 2 2 3 2" xfId="17169" xr:uid="{00000000-0005-0000-0000-000058970000}"/>
    <cellStyle name="Porcentaje 7 4 2 2 2 3 2 2" xfId="36884" xr:uid="{00000000-0005-0000-0000-000059970000}"/>
    <cellStyle name="Porcentaje 7 4 2 2 2 3 3" xfId="27027" xr:uid="{00000000-0005-0000-0000-00005A970000}"/>
    <cellStyle name="Porcentaje 7 4 2 2 2 4" xfId="12241" xr:uid="{00000000-0005-0000-0000-00005B970000}"/>
    <cellStyle name="Porcentaje 7 4 2 2 2 4 2" xfId="31956" xr:uid="{00000000-0005-0000-0000-00005C970000}"/>
    <cellStyle name="Porcentaje 7 4 2 2 2 5" xfId="22099" xr:uid="{00000000-0005-0000-0000-00005D970000}"/>
    <cellStyle name="Porcentaje 7 4 2 2 3" xfId="3609" xr:uid="{00000000-0005-0000-0000-00005E970000}"/>
    <cellStyle name="Porcentaje 7 4 2 2 3 2" xfId="8541" xr:uid="{00000000-0005-0000-0000-00005F970000}"/>
    <cellStyle name="Porcentaje 7 4 2 2 3 2 2" xfId="18401" xr:uid="{00000000-0005-0000-0000-000060970000}"/>
    <cellStyle name="Porcentaje 7 4 2 2 3 2 2 2" xfId="38116" xr:uid="{00000000-0005-0000-0000-000061970000}"/>
    <cellStyle name="Porcentaje 7 4 2 2 3 2 3" xfId="28259" xr:uid="{00000000-0005-0000-0000-000062970000}"/>
    <cellStyle name="Porcentaje 7 4 2 2 3 3" xfId="13473" xr:uid="{00000000-0005-0000-0000-000063970000}"/>
    <cellStyle name="Porcentaje 7 4 2 2 3 3 2" xfId="33188" xr:uid="{00000000-0005-0000-0000-000064970000}"/>
    <cellStyle name="Porcentaje 7 4 2 2 3 4" xfId="23331" xr:uid="{00000000-0005-0000-0000-000065970000}"/>
    <cellStyle name="Porcentaje 7 4 2 2 4" xfId="6077" xr:uid="{00000000-0005-0000-0000-000066970000}"/>
    <cellStyle name="Porcentaje 7 4 2 2 4 2" xfId="15937" xr:uid="{00000000-0005-0000-0000-000067970000}"/>
    <cellStyle name="Porcentaje 7 4 2 2 4 2 2" xfId="35652" xr:uid="{00000000-0005-0000-0000-000068970000}"/>
    <cellStyle name="Porcentaje 7 4 2 2 4 3" xfId="25795" xr:uid="{00000000-0005-0000-0000-000069970000}"/>
    <cellStyle name="Porcentaje 7 4 2 2 5" xfId="11009" xr:uid="{00000000-0005-0000-0000-00006A970000}"/>
    <cellStyle name="Porcentaje 7 4 2 2 5 2" xfId="30724" xr:uid="{00000000-0005-0000-0000-00006B970000}"/>
    <cellStyle name="Porcentaje 7 4 2 2 6" xfId="20867" xr:uid="{00000000-0005-0000-0000-00006C970000}"/>
    <cellStyle name="Porcentaje 7 4 2 3" xfId="1758" xr:uid="{00000000-0005-0000-0000-00006D970000}"/>
    <cellStyle name="Porcentaje 7 4 2 3 2" xfId="4225" xr:uid="{00000000-0005-0000-0000-00006E970000}"/>
    <cellStyle name="Porcentaje 7 4 2 3 2 2" xfId="9157" xr:uid="{00000000-0005-0000-0000-00006F970000}"/>
    <cellStyle name="Porcentaje 7 4 2 3 2 2 2" xfId="19017" xr:uid="{00000000-0005-0000-0000-000070970000}"/>
    <cellStyle name="Porcentaje 7 4 2 3 2 2 2 2" xfId="38732" xr:uid="{00000000-0005-0000-0000-000071970000}"/>
    <cellStyle name="Porcentaje 7 4 2 3 2 2 3" xfId="28875" xr:uid="{00000000-0005-0000-0000-000072970000}"/>
    <cellStyle name="Porcentaje 7 4 2 3 2 3" xfId="14089" xr:uid="{00000000-0005-0000-0000-000073970000}"/>
    <cellStyle name="Porcentaje 7 4 2 3 2 3 2" xfId="33804" xr:uid="{00000000-0005-0000-0000-000074970000}"/>
    <cellStyle name="Porcentaje 7 4 2 3 2 4" xfId="23947" xr:uid="{00000000-0005-0000-0000-000075970000}"/>
    <cellStyle name="Porcentaje 7 4 2 3 3" xfId="6693" xr:uid="{00000000-0005-0000-0000-000076970000}"/>
    <cellStyle name="Porcentaje 7 4 2 3 3 2" xfId="16553" xr:uid="{00000000-0005-0000-0000-000077970000}"/>
    <cellStyle name="Porcentaje 7 4 2 3 3 2 2" xfId="36268" xr:uid="{00000000-0005-0000-0000-000078970000}"/>
    <cellStyle name="Porcentaje 7 4 2 3 3 3" xfId="26411" xr:uid="{00000000-0005-0000-0000-000079970000}"/>
    <cellStyle name="Porcentaje 7 4 2 3 4" xfId="11625" xr:uid="{00000000-0005-0000-0000-00007A970000}"/>
    <cellStyle name="Porcentaje 7 4 2 3 4 2" xfId="31340" xr:uid="{00000000-0005-0000-0000-00007B970000}"/>
    <cellStyle name="Porcentaje 7 4 2 3 5" xfId="21483" xr:uid="{00000000-0005-0000-0000-00007C970000}"/>
    <cellStyle name="Porcentaje 7 4 2 4" xfId="2993" xr:uid="{00000000-0005-0000-0000-00007D970000}"/>
    <cellStyle name="Porcentaje 7 4 2 4 2" xfId="7925" xr:uid="{00000000-0005-0000-0000-00007E970000}"/>
    <cellStyle name="Porcentaje 7 4 2 4 2 2" xfId="17785" xr:uid="{00000000-0005-0000-0000-00007F970000}"/>
    <cellStyle name="Porcentaje 7 4 2 4 2 2 2" xfId="37500" xr:uid="{00000000-0005-0000-0000-000080970000}"/>
    <cellStyle name="Porcentaje 7 4 2 4 2 3" xfId="27643" xr:uid="{00000000-0005-0000-0000-000081970000}"/>
    <cellStyle name="Porcentaje 7 4 2 4 3" xfId="12857" xr:uid="{00000000-0005-0000-0000-000082970000}"/>
    <cellStyle name="Porcentaje 7 4 2 4 3 2" xfId="32572" xr:uid="{00000000-0005-0000-0000-000083970000}"/>
    <cellStyle name="Porcentaje 7 4 2 4 4" xfId="22715" xr:uid="{00000000-0005-0000-0000-000084970000}"/>
    <cellStyle name="Porcentaje 7 4 2 5" xfId="5461" xr:uid="{00000000-0005-0000-0000-000085970000}"/>
    <cellStyle name="Porcentaje 7 4 2 5 2" xfId="15321" xr:uid="{00000000-0005-0000-0000-000086970000}"/>
    <cellStyle name="Porcentaje 7 4 2 5 2 2" xfId="35036" xr:uid="{00000000-0005-0000-0000-000087970000}"/>
    <cellStyle name="Porcentaje 7 4 2 5 3" xfId="25179" xr:uid="{00000000-0005-0000-0000-000088970000}"/>
    <cellStyle name="Porcentaje 7 4 2 6" xfId="10393" xr:uid="{00000000-0005-0000-0000-000089970000}"/>
    <cellStyle name="Porcentaje 7 4 2 6 2" xfId="30108" xr:uid="{00000000-0005-0000-0000-00008A970000}"/>
    <cellStyle name="Porcentaje 7 4 2 7" xfId="20251" xr:uid="{00000000-0005-0000-0000-00008B970000}"/>
    <cellStyle name="Porcentaje 7 4 3" xfId="832" xr:uid="{00000000-0005-0000-0000-00008C970000}"/>
    <cellStyle name="Porcentaje 7 4 3 2" xfId="2068" xr:uid="{00000000-0005-0000-0000-00008D970000}"/>
    <cellStyle name="Porcentaje 7 4 3 2 2" xfId="4535" xr:uid="{00000000-0005-0000-0000-00008E970000}"/>
    <cellStyle name="Porcentaje 7 4 3 2 2 2" xfId="9467" xr:uid="{00000000-0005-0000-0000-00008F970000}"/>
    <cellStyle name="Porcentaje 7 4 3 2 2 2 2" xfId="19327" xr:uid="{00000000-0005-0000-0000-000090970000}"/>
    <cellStyle name="Porcentaje 7 4 3 2 2 2 2 2" xfId="39042" xr:uid="{00000000-0005-0000-0000-000091970000}"/>
    <cellStyle name="Porcentaje 7 4 3 2 2 2 3" xfId="29185" xr:uid="{00000000-0005-0000-0000-000092970000}"/>
    <cellStyle name="Porcentaje 7 4 3 2 2 3" xfId="14399" xr:uid="{00000000-0005-0000-0000-000093970000}"/>
    <cellStyle name="Porcentaje 7 4 3 2 2 3 2" xfId="34114" xr:uid="{00000000-0005-0000-0000-000094970000}"/>
    <cellStyle name="Porcentaje 7 4 3 2 2 4" xfId="24257" xr:uid="{00000000-0005-0000-0000-000095970000}"/>
    <cellStyle name="Porcentaje 7 4 3 2 3" xfId="7003" xr:uid="{00000000-0005-0000-0000-000096970000}"/>
    <cellStyle name="Porcentaje 7 4 3 2 3 2" xfId="16863" xr:uid="{00000000-0005-0000-0000-000097970000}"/>
    <cellStyle name="Porcentaje 7 4 3 2 3 2 2" xfId="36578" xr:uid="{00000000-0005-0000-0000-000098970000}"/>
    <cellStyle name="Porcentaje 7 4 3 2 3 3" xfId="26721" xr:uid="{00000000-0005-0000-0000-000099970000}"/>
    <cellStyle name="Porcentaje 7 4 3 2 4" xfId="11935" xr:uid="{00000000-0005-0000-0000-00009A970000}"/>
    <cellStyle name="Porcentaje 7 4 3 2 4 2" xfId="31650" xr:uid="{00000000-0005-0000-0000-00009B970000}"/>
    <cellStyle name="Porcentaje 7 4 3 2 5" xfId="21793" xr:uid="{00000000-0005-0000-0000-00009C970000}"/>
    <cellStyle name="Porcentaje 7 4 3 3" xfId="3303" xr:uid="{00000000-0005-0000-0000-00009D970000}"/>
    <cellStyle name="Porcentaje 7 4 3 3 2" xfId="8235" xr:uid="{00000000-0005-0000-0000-00009E970000}"/>
    <cellStyle name="Porcentaje 7 4 3 3 2 2" xfId="18095" xr:uid="{00000000-0005-0000-0000-00009F970000}"/>
    <cellStyle name="Porcentaje 7 4 3 3 2 2 2" xfId="37810" xr:uid="{00000000-0005-0000-0000-0000A0970000}"/>
    <cellStyle name="Porcentaje 7 4 3 3 2 3" xfId="27953" xr:uid="{00000000-0005-0000-0000-0000A1970000}"/>
    <cellStyle name="Porcentaje 7 4 3 3 3" xfId="13167" xr:uid="{00000000-0005-0000-0000-0000A2970000}"/>
    <cellStyle name="Porcentaje 7 4 3 3 3 2" xfId="32882" xr:uid="{00000000-0005-0000-0000-0000A3970000}"/>
    <cellStyle name="Porcentaje 7 4 3 3 4" xfId="23025" xr:uid="{00000000-0005-0000-0000-0000A4970000}"/>
    <cellStyle name="Porcentaje 7 4 3 4" xfId="5771" xr:uid="{00000000-0005-0000-0000-0000A5970000}"/>
    <cellStyle name="Porcentaje 7 4 3 4 2" xfId="15631" xr:uid="{00000000-0005-0000-0000-0000A6970000}"/>
    <cellStyle name="Porcentaje 7 4 3 4 2 2" xfId="35346" xr:uid="{00000000-0005-0000-0000-0000A7970000}"/>
    <cellStyle name="Porcentaje 7 4 3 4 3" xfId="25489" xr:uid="{00000000-0005-0000-0000-0000A8970000}"/>
    <cellStyle name="Porcentaje 7 4 3 5" xfId="10703" xr:uid="{00000000-0005-0000-0000-0000A9970000}"/>
    <cellStyle name="Porcentaje 7 4 3 5 2" xfId="30418" xr:uid="{00000000-0005-0000-0000-0000AA970000}"/>
    <cellStyle name="Porcentaje 7 4 3 6" xfId="20561" xr:uid="{00000000-0005-0000-0000-0000AB970000}"/>
    <cellStyle name="Porcentaje 7 4 4" xfId="1452" xr:uid="{00000000-0005-0000-0000-0000AC970000}"/>
    <cellStyle name="Porcentaje 7 4 4 2" xfId="3919" xr:uid="{00000000-0005-0000-0000-0000AD970000}"/>
    <cellStyle name="Porcentaje 7 4 4 2 2" xfId="8851" xr:uid="{00000000-0005-0000-0000-0000AE970000}"/>
    <cellStyle name="Porcentaje 7 4 4 2 2 2" xfId="18711" xr:uid="{00000000-0005-0000-0000-0000AF970000}"/>
    <cellStyle name="Porcentaje 7 4 4 2 2 2 2" xfId="38426" xr:uid="{00000000-0005-0000-0000-0000B0970000}"/>
    <cellStyle name="Porcentaje 7 4 4 2 2 3" xfId="28569" xr:uid="{00000000-0005-0000-0000-0000B1970000}"/>
    <cellStyle name="Porcentaje 7 4 4 2 3" xfId="13783" xr:uid="{00000000-0005-0000-0000-0000B2970000}"/>
    <cellStyle name="Porcentaje 7 4 4 2 3 2" xfId="33498" xr:uid="{00000000-0005-0000-0000-0000B3970000}"/>
    <cellStyle name="Porcentaje 7 4 4 2 4" xfId="23641" xr:uid="{00000000-0005-0000-0000-0000B4970000}"/>
    <cellStyle name="Porcentaje 7 4 4 3" xfId="6387" xr:uid="{00000000-0005-0000-0000-0000B5970000}"/>
    <cellStyle name="Porcentaje 7 4 4 3 2" xfId="16247" xr:uid="{00000000-0005-0000-0000-0000B6970000}"/>
    <cellStyle name="Porcentaje 7 4 4 3 2 2" xfId="35962" xr:uid="{00000000-0005-0000-0000-0000B7970000}"/>
    <cellStyle name="Porcentaje 7 4 4 3 3" xfId="26105" xr:uid="{00000000-0005-0000-0000-0000B8970000}"/>
    <cellStyle name="Porcentaje 7 4 4 4" xfId="11319" xr:uid="{00000000-0005-0000-0000-0000B9970000}"/>
    <cellStyle name="Porcentaje 7 4 4 4 2" xfId="31034" xr:uid="{00000000-0005-0000-0000-0000BA970000}"/>
    <cellStyle name="Porcentaje 7 4 4 5" xfId="21177" xr:uid="{00000000-0005-0000-0000-0000BB970000}"/>
    <cellStyle name="Porcentaje 7 4 5" xfId="2687" xr:uid="{00000000-0005-0000-0000-0000BC970000}"/>
    <cellStyle name="Porcentaje 7 4 5 2" xfId="7619" xr:uid="{00000000-0005-0000-0000-0000BD970000}"/>
    <cellStyle name="Porcentaje 7 4 5 2 2" xfId="17479" xr:uid="{00000000-0005-0000-0000-0000BE970000}"/>
    <cellStyle name="Porcentaje 7 4 5 2 2 2" xfId="37194" xr:uid="{00000000-0005-0000-0000-0000BF970000}"/>
    <cellStyle name="Porcentaje 7 4 5 2 3" xfId="27337" xr:uid="{00000000-0005-0000-0000-0000C0970000}"/>
    <cellStyle name="Porcentaje 7 4 5 3" xfId="12551" xr:uid="{00000000-0005-0000-0000-0000C1970000}"/>
    <cellStyle name="Porcentaje 7 4 5 3 2" xfId="32266" xr:uid="{00000000-0005-0000-0000-0000C2970000}"/>
    <cellStyle name="Porcentaje 7 4 5 4" xfId="22409" xr:uid="{00000000-0005-0000-0000-0000C3970000}"/>
    <cellStyle name="Porcentaje 7 4 6" xfId="5155" xr:uid="{00000000-0005-0000-0000-0000C4970000}"/>
    <cellStyle name="Porcentaje 7 4 6 2" xfId="15015" xr:uid="{00000000-0005-0000-0000-0000C5970000}"/>
    <cellStyle name="Porcentaje 7 4 6 2 2" xfId="34730" xr:uid="{00000000-0005-0000-0000-0000C6970000}"/>
    <cellStyle name="Porcentaje 7 4 6 3" xfId="24873" xr:uid="{00000000-0005-0000-0000-0000C7970000}"/>
    <cellStyle name="Porcentaje 7 4 7" xfId="10087" xr:uid="{00000000-0005-0000-0000-0000C8970000}"/>
    <cellStyle name="Porcentaje 7 4 7 2" xfId="29802" xr:uid="{00000000-0005-0000-0000-0000C9970000}"/>
    <cellStyle name="Porcentaje 7 4 8" xfId="19945" xr:uid="{00000000-0005-0000-0000-0000CA970000}"/>
    <cellStyle name="Porcentaje 7 5" xfId="367" xr:uid="{00000000-0005-0000-0000-0000CB970000}"/>
    <cellStyle name="Porcentaje 7 5 2" xfId="987" xr:uid="{00000000-0005-0000-0000-0000CC970000}"/>
    <cellStyle name="Porcentaje 7 5 2 2" xfId="2222" xr:uid="{00000000-0005-0000-0000-0000CD970000}"/>
    <cellStyle name="Porcentaje 7 5 2 2 2" xfId="4689" xr:uid="{00000000-0005-0000-0000-0000CE970000}"/>
    <cellStyle name="Porcentaje 7 5 2 2 2 2" xfId="9621" xr:uid="{00000000-0005-0000-0000-0000CF970000}"/>
    <cellStyle name="Porcentaje 7 5 2 2 2 2 2" xfId="19481" xr:uid="{00000000-0005-0000-0000-0000D0970000}"/>
    <cellStyle name="Porcentaje 7 5 2 2 2 2 2 2" xfId="39196" xr:uid="{00000000-0005-0000-0000-0000D1970000}"/>
    <cellStyle name="Porcentaje 7 5 2 2 2 2 3" xfId="29339" xr:uid="{00000000-0005-0000-0000-0000D2970000}"/>
    <cellStyle name="Porcentaje 7 5 2 2 2 3" xfId="14553" xr:uid="{00000000-0005-0000-0000-0000D3970000}"/>
    <cellStyle name="Porcentaje 7 5 2 2 2 3 2" xfId="34268" xr:uid="{00000000-0005-0000-0000-0000D4970000}"/>
    <cellStyle name="Porcentaje 7 5 2 2 2 4" xfId="24411" xr:uid="{00000000-0005-0000-0000-0000D5970000}"/>
    <cellStyle name="Porcentaje 7 5 2 2 3" xfId="7157" xr:uid="{00000000-0005-0000-0000-0000D6970000}"/>
    <cellStyle name="Porcentaje 7 5 2 2 3 2" xfId="17017" xr:uid="{00000000-0005-0000-0000-0000D7970000}"/>
    <cellStyle name="Porcentaje 7 5 2 2 3 2 2" xfId="36732" xr:uid="{00000000-0005-0000-0000-0000D8970000}"/>
    <cellStyle name="Porcentaje 7 5 2 2 3 3" xfId="26875" xr:uid="{00000000-0005-0000-0000-0000D9970000}"/>
    <cellStyle name="Porcentaje 7 5 2 2 4" xfId="12089" xr:uid="{00000000-0005-0000-0000-0000DA970000}"/>
    <cellStyle name="Porcentaje 7 5 2 2 4 2" xfId="31804" xr:uid="{00000000-0005-0000-0000-0000DB970000}"/>
    <cellStyle name="Porcentaje 7 5 2 2 5" xfId="21947" xr:uid="{00000000-0005-0000-0000-0000DC970000}"/>
    <cellStyle name="Porcentaje 7 5 2 3" xfId="3457" xr:uid="{00000000-0005-0000-0000-0000DD970000}"/>
    <cellStyle name="Porcentaje 7 5 2 3 2" xfId="8389" xr:uid="{00000000-0005-0000-0000-0000DE970000}"/>
    <cellStyle name="Porcentaje 7 5 2 3 2 2" xfId="18249" xr:uid="{00000000-0005-0000-0000-0000DF970000}"/>
    <cellStyle name="Porcentaje 7 5 2 3 2 2 2" xfId="37964" xr:uid="{00000000-0005-0000-0000-0000E0970000}"/>
    <cellStyle name="Porcentaje 7 5 2 3 2 3" xfId="28107" xr:uid="{00000000-0005-0000-0000-0000E1970000}"/>
    <cellStyle name="Porcentaje 7 5 2 3 3" xfId="13321" xr:uid="{00000000-0005-0000-0000-0000E2970000}"/>
    <cellStyle name="Porcentaje 7 5 2 3 3 2" xfId="33036" xr:uid="{00000000-0005-0000-0000-0000E3970000}"/>
    <cellStyle name="Porcentaje 7 5 2 3 4" xfId="23179" xr:uid="{00000000-0005-0000-0000-0000E4970000}"/>
    <cellStyle name="Porcentaje 7 5 2 4" xfId="5925" xr:uid="{00000000-0005-0000-0000-0000E5970000}"/>
    <cellStyle name="Porcentaje 7 5 2 4 2" xfId="15785" xr:uid="{00000000-0005-0000-0000-0000E6970000}"/>
    <cellStyle name="Porcentaje 7 5 2 4 2 2" xfId="35500" xr:uid="{00000000-0005-0000-0000-0000E7970000}"/>
    <cellStyle name="Porcentaje 7 5 2 4 3" xfId="25643" xr:uid="{00000000-0005-0000-0000-0000E8970000}"/>
    <cellStyle name="Porcentaje 7 5 2 5" xfId="10857" xr:uid="{00000000-0005-0000-0000-0000E9970000}"/>
    <cellStyle name="Porcentaje 7 5 2 5 2" xfId="30572" xr:uid="{00000000-0005-0000-0000-0000EA970000}"/>
    <cellStyle name="Porcentaje 7 5 2 6" xfId="20715" xr:uid="{00000000-0005-0000-0000-0000EB970000}"/>
    <cellStyle name="Porcentaje 7 5 3" xfId="1606" xr:uid="{00000000-0005-0000-0000-0000EC970000}"/>
    <cellStyle name="Porcentaje 7 5 3 2" xfId="4073" xr:uid="{00000000-0005-0000-0000-0000ED970000}"/>
    <cellStyle name="Porcentaje 7 5 3 2 2" xfId="9005" xr:uid="{00000000-0005-0000-0000-0000EE970000}"/>
    <cellStyle name="Porcentaje 7 5 3 2 2 2" xfId="18865" xr:uid="{00000000-0005-0000-0000-0000EF970000}"/>
    <cellStyle name="Porcentaje 7 5 3 2 2 2 2" xfId="38580" xr:uid="{00000000-0005-0000-0000-0000F0970000}"/>
    <cellStyle name="Porcentaje 7 5 3 2 2 3" xfId="28723" xr:uid="{00000000-0005-0000-0000-0000F1970000}"/>
    <cellStyle name="Porcentaje 7 5 3 2 3" xfId="13937" xr:uid="{00000000-0005-0000-0000-0000F2970000}"/>
    <cellStyle name="Porcentaje 7 5 3 2 3 2" xfId="33652" xr:uid="{00000000-0005-0000-0000-0000F3970000}"/>
    <cellStyle name="Porcentaje 7 5 3 2 4" xfId="23795" xr:uid="{00000000-0005-0000-0000-0000F4970000}"/>
    <cellStyle name="Porcentaje 7 5 3 3" xfId="6541" xr:uid="{00000000-0005-0000-0000-0000F5970000}"/>
    <cellStyle name="Porcentaje 7 5 3 3 2" xfId="16401" xr:uid="{00000000-0005-0000-0000-0000F6970000}"/>
    <cellStyle name="Porcentaje 7 5 3 3 2 2" xfId="36116" xr:uid="{00000000-0005-0000-0000-0000F7970000}"/>
    <cellStyle name="Porcentaje 7 5 3 3 3" xfId="26259" xr:uid="{00000000-0005-0000-0000-0000F8970000}"/>
    <cellStyle name="Porcentaje 7 5 3 4" xfId="11473" xr:uid="{00000000-0005-0000-0000-0000F9970000}"/>
    <cellStyle name="Porcentaje 7 5 3 4 2" xfId="31188" xr:uid="{00000000-0005-0000-0000-0000FA970000}"/>
    <cellStyle name="Porcentaje 7 5 3 5" xfId="21331" xr:uid="{00000000-0005-0000-0000-0000FB970000}"/>
    <cellStyle name="Porcentaje 7 5 4" xfId="2841" xr:uid="{00000000-0005-0000-0000-0000FC970000}"/>
    <cellStyle name="Porcentaje 7 5 4 2" xfId="7773" xr:uid="{00000000-0005-0000-0000-0000FD970000}"/>
    <cellStyle name="Porcentaje 7 5 4 2 2" xfId="17633" xr:uid="{00000000-0005-0000-0000-0000FE970000}"/>
    <cellStyle name="Porcentaje 7 5 4 2 2 2" xfId="37348" xr:uid="{00000000-0005-0000-0000-0000FF970000}"/>
    <cellStyle name="Porcentaje 7 5 4 2 3" xfId="27491" xr:uid="{00000000-0005-0000-0000-000000980000}"/>
    <cellStyle name="Porcentaje 7 5 4 3" xfId="12705" xr:uid="{00000000-0005-0000-0000-000001980000}"/>
    <cellStyle name="Porcentaje 7 5 4 3 2" xfId="32420" xr:uid="{00000000-0005-0000-0000-000002980000}"/>
    <cellStyle name="Porcentaje 7 5 4 4" xfId="22563" xr:uid="{00000000-0005-0000-0000-000003980000}"/>
    <cellStyle name="Porcentaje 7 5 5" xfId="5309" xr:uid="{00000000-0005-0000-0000-000004980000}"/>
    <cellStyle name="Porcentaje 7 5 5 2" xfId="15169" xr:uid="{00000000-0005-0000-0000-000005980000}"/>
    <cellStyle name="Porcentaje 7 5 5 2 2" xfId="34884" xr:uid="{00000000-0005-0000-0000-000006980000}"/>
    <cellStyle name="Porcentaje 7 5 5 3" xfId="25027" xr:uid="{00000000-0005-0000-0000-000007980000}"/>
    <cellStyle name="Porcentaje 7 5 6" xfId="10241" xr:uid="{00000000-0005-0000-0000-000008980000}"/>
    <cellStyle name="Porcentaje 7 5 6 2" xfId="29956" xr:uid="{00000000-0005-0000-0000-000009980000}"/>
    <cellStyle name="Porcentaje 7 5 7" xfId="20099" xr:uid="{00000000-0005-0000-0000-00000A980000}"/>
    <cellStyle name="Porcentaje 7 6" xfId="680" xr:uid="{00000000-0005-0000-0000-00000B980000}"/>
    <cellStyle name="Porcentaje 7 6 2" xfId="1916" xr:uid="{00000000-0005-0000-0000-00000C980000}"/>
    <cellStyle name="Porcentaje 7 6 2 2" xfId="4383" xr:uid="{00000000-0005-0000-0000-00000D980000}"/>
    <cellStyle name="Porcentaje 7 6 2 2 2" xfId="9315" xr:uid="{00000000-0005-0000-0000-00000E980000}"/>
    <cellStyle name="Porcentaje 7 6 2 2 2 2" xfId="19175" xr:uid="{00000000-0005-0000-0000-00000F980000}"/>
    <cellStyle name="Porcentaje 7 6 2 2 2 2 2" xfId="38890" xr:uid="{00000000-0005-0000-0000-000010980000}"/>
    <cellStyle name="Porcentaje 7 6 2 2 2 3" xfId="29033" xr:uid="{00000000-0005-0000-0000-000011980000}"/>
    <cellStyle name="Porcentaje 7 6 2 2 3" xfId="14247" xr:uid="{00000000-0005-0000-0000-000012980000}"/>
    <cellStyle name="Porcentaje 7 6 2 2 3 2" xfId="33962" xr:uid="{00000000-0005-0000-0000-000013980000}"/>
    <cellStyle name="Porcentaje 7 6 2 2 4" xfId="24105" xr:uid="{00000000-0005-0000-0000-000014980000}"/>
    <cellStyle name="Porcentaje 7 6 2 3" xfId="6851" xr:uid="{00000000-0005-0000-0000-000015980000}"/>
    <cellStyle name="Porcentaje 7 6 2 3 2" xfId="16711" xr:uid="{00000000-0005-0000-0000-000016980000}"/>
    <cellStyle name="Porcentaje 7 6 2 3 2 2" xfId="36426" xr:uid="{00000000-0005-0000-0000-000017980000}"/>
    <cellStyle name="Porcentaje 7 6 2 3 3" xfId="26569" xr:uid="{00000000-0005-0000-0000-000018980000}"/>
    <cellStyle name="Porcentaje 7 6 2 4" xfId="11783" xr:uid="{00000000-0005-0000-0000-000019980000}"/>
    <cellStyle name="Porcentaje 7 6 2 4 2" xfId="31498" xr:uid="{00000000-0005-0000-0000-00001A980000}"/>
    <cellStyle name="Porcentaje 7 6 2 5" xfId="21641" xr:uid="{00000000-0005-0000-0000-00001B980000}"/>
    <cellStyle name="Porcentaje 7 6 3" xfId="3151" xr:uid="{00000000-0005-0000-0000-00001C980000}"/>
    <cellStyle name="Porcentaje 7 6 3 2" xfId="8083" xr:uid="{00000000-0005-0000-0000-00001D980000}"/>
    <cellStyle name="Porcentaje 7 6 3 2 2" xfId="17943" xr:uid="{00000000-0005-0000-0000-00001E980000}"/>
    <cellStyle name="Porcentaje 7 6 3 2 2 2" xfId="37658" xr:uid="{00000000-0005-0000-0000-00001F980000}"/>
    <cellStyle name="Porcentaje 7 6 3 2 3" xfId="27801" xr:uid="{00000000-0005-0000-0000-000020980000}"/>
    <cellStyle name="Porcentaje 7 6 3 3" xfId="13015" xr:uid="{00000000-0005-0000-0000-000021980000}"/>
    <cellStyle name="Porcentaje 7 6 3 3 2" xfId="32730" xr:uid="{00000000-0005-0000-0000-000022980000}"/>
    <cellStyle name="Porcentaje 7 6 3 4" xfId="22873" xr:uid="{00000000-0005-0000-0000-000023980000}"/>
    <cellStyle name="Porcentaje 7 6 4" xfId="5619" xr:uid="{00000000-0005-0000-0000-000024980000}"/>
    <cellStyle name="Porcentaje 7 6 4 2" xfId="15479" xr:uid="{00000000-0005-0000-0000-000025980000}"/>
    <cellStyle name="Porcentaje 7 6 4 2 2" xfId="35194" xr:uid="{00000000-0005-0000-0000-000026980000}"/>
    <cellStyle name="Porcentaje 7 6 4 3" xfId="25337" xr:uid="{00000000-0005-0000-0000-000027980000}"/>
    <cellStyle name="Porcentaje 7 6 5" xfId="10551" xr:uid="{00000000-0005-0000-0000-000028980000}"/>
    <cellStyle name="Porcentaje 7 6 5 2" xfId="30266" xr:uid="{00000000-0005-0000-0000-000029980000}"/>
    <cellStyle name="Porcentaje 7 6 6" xfId="20409" xr:uid="{00000000-0005-0000-0000-00002A980000}"/>
    <cellStyle name="Porcentaje 7 7" xfId="1300" xr:uid="{00000000-0005-0000-0000-00002B980000}"/>
    <cellStyle name="Porcentaje 7 7 2" xfId="3767" xr:uid="{00000000-0005-0000-0000-00002C980000}"/>
    <cellStyle name="Porcentaje 7 7 2 2" xfId="8699" xr:uid="{00000000-0005-0000-0000-00002D980000}"/>
    <cellStyle name="Porcentaje 7 7 2 2 2" xfId="18559" xr:uid="{00000000-0005-0000-0000-00002E980000}"/>
    <cellStyle name="Porcentaje 7 7 2 2 2 2" xfId="38274" xr:uid="{00000000-0005-0000-0000-00002F980000}"/>
    <cellStyle name="Porcentaje 7 7 2 2 3" xfId="28417" xr:uid="{00000000-0005-0000-0000-000030980000}"/>
    <cellStyle name="Porcentaje 7 7 2 3" xfId="13631" xr:uid="{00000000-0005-0000-0000-000031980000}"/>
    <cellStyle name="Porcentaje 7 7 2 3 2" xfId="33346" xr:uid="{00000000-0005-0000-0000-000032980000}"/>
    <cellStyle name="Porcentaje 7 7 2 4" xfId="23489" xr:uid="{00000000-0005-0000-0000-000033980000}"/>
    <cellStyle name="Porcentaje 7 7 3" xfId="6235" xr:uid="{00000000-0005-0000-0000-000034980000}"/>
    <cellStyle name="Porcentaje 7 7 3 2" xfId="16095" xr:uid="{00000000-0005-0000-0000-000035980000}"/>
    <cellStyle name="Porcentaje 7 7 3 2 2" xfId="35810" xr:uid="{00000000-0005-0000-0000-000036980000}"/>
    <cellStyle name="Porcentaje 7 7 3 3" xfId="25953" xr:uid="{00000000-0005-0000-0000-000037980000}"/>
    <cellStyle name="Porcentaje 7 7 4" xfId="11167" xr:uid="{00000000-0005-0000-0000-000038980000}"/>
    <cellStyle name="Porcentaje 7 7 4 2" xfId="30882" xr:uid="{00000000-0005-0000-0000-000039980000}"/>
    <cellStyle name="Porcentaje 7 7 5" xfId="21025" xr:uid="{00000000-0005-0000-0000-00003A980000}"/>
    <cellStyle name="Porcentaje 7 8" xfId="2535" xr:uid="{00000000-0005-0000-0000-00003B980000}"/>
    <cellStyle name="Porcentaje 7 8 2" xfId="7467" xr:uid="{00000000-0005-0000-0000-00003C980000}"/>
    <cellStyle name="Porcentaje 7 8 2 2" xfId="17327" xr:uid="{00000000-0005-0000-0000-00003D980000}"/>
    <cellStyle name="Porcentaje 7 8 2 2 2" xfId="37042" xr:uid="{00000000-0005-0000-0000-00003E980000}"/>
    <cellStyle name="Porcentaje 7 8 2 3" xfId="27185" xr:uid="{00000000-0005-0000-0000-00003F980000}"/>
    <cellStyle name="Porcentaje 7 8 3" xfId="12399" xr:uid="{00000000-0005-0000-0000-000040980000}"/>
    <cellStyle name="Porcentaje 7 8 3 2" xfId="32114" xr:uid="{00000000-0005-0000-0000-000041980000}"/>
    <cellStyle name="Porcentaje 7 8 4" xfId="22257" xr:uid="{00000000-0005-0000-0000-000042980000}"/>
    <cellStyle name="Porcentaje 7 9" xfId="5003" xr:uid="{00000000-0005-0000-0000-000043980000}"/>
    <cellStyle name="Porcentaje 7 9 2" xfId="14863" xr:uid="{00000000-0005-0000-0000-000044980000}"/>
    <cellStyle name="Porcentaje 7 9 2 2" xfId="34578" xr:uid="{00000000-0005-0000-0000-000045980000}"/>
    <cellStyle name="Porcentaje 7 9 3" xfId="24721" xr:uid="{00000000-0005-0000-0000-000046980000}"/>
    <cellStyle name="Porcentaje 8" xfId="67" xr:uid="{00000000-0005-0000-0000-000047980000}"/>
    <cellStyle name="Porcentaje 8 2" xfId="99" xr:uid="{00000000-0005-0000-0000-000048980000}"/>
    <cellStyle name="Porcentaje 9" xfId="59" xr:uid="{00000000-0005-0000-0000-000049980000}"/>
    <cellStyle name="Porcentaje 9 10" xfId="19812" xr:uid="{00000000-0005-0000-0000-00004A980000}"/>
    <cellStyle name="Porcentaje 9 2" xfId="143" xr:uid="{00000000-0005-0000-0000-00004B980000}"/>
    <cellStyle name="Porcentaje 9 2 2" xfId="300" xr:uid="{00000000-0005-0000-0000-00004C980000}"/>
    <cellStyle name="Porcentaje 9 2 2 2" xfId="614" xr:uid="{00000000-0005-0000-0000-00004D980000}"/>
    <cellStyle name="Porcentaje 9 2 2 2 2" xfId="1234" xr:uid="{00000000-0005-0000-0000-00004E980000}"/>
    <cellStyle name="Porcentaje 9 2 2 2 2 2" xfId="2469" xr:uid="{00000000-0005-0000-0000-00004F980000}"/>
    <cellStyle name="Porcentaje 9 2 2 2 2 2 2" xfId="4936" xr:uid="{00000000-0005-0000-0000-000050980000}"/>
    <cellStyle name="Porcentaje 9 2 2 2 2 2 2 2" xfId="9868" xr:uid="{00000000-0005-0000-0000-000051980000}"/>
    <cellStyle name="Porcentaje 9 2 2 2 2 2 2 2 2" xfId="19728" xr:uid="{00000000-0005-0000-0000-000052980000}"/>
    <cellStyle name="Porcentaje 9 2 2 2 2 2 2 2 2 2" xfId="39443" xr:uid="{00000000-0005-0000-0000-000053980000}"/>
    <cellStyle name="Porcentaje 9 2 2 2 2 2 2 2 3" xfId="29586" xr:uid="{00000000-0005-0000-0000-000054980000}"/>
    <cellStyle name="Porcentaje 9 2 2 2 2 2 2 3" xfId="14800" xr:uid="{00000000-0005-0000-0000-000055980000}"/>
    <cellStyle name="Porcentaje 9 2 2 2 2 2 2 3 2" xfId="34515" xr:uid="{00000000-0005-0000-0000-000056980000}"/>
    <cellStyle name="Porcentaje 9 2 2 2 2 2 2 4" xfId="24658" xr:uid="{00000000-0005-0000-0000-000057980000}"/>
    <cellStyle name="Porcentaje 9 2 2 2 2 2 3" xfId="7404" xr:uid="{00000000-0005-0000-0000-000058980000}"/>
    <cellStyle name="Porcentaje 9 2 2 2 2 2 3 2" xfId="17264" xr:uid="{00000000-0005-0000-0000-000059980000}"/>
    <cellStyle name="Porcentaje 9 2 2 2 2 2 3 2 2" xfId="36979" xr:uid="{00000000-0005-0000-0000-00005A980000}"/>
    <cellStyle name="Porcentaje 9 2 2 2 2 2 3 3" xfId="27122" xr:uid="{00000000-0005-0000-0000-00005B980000}"/>
    <cellStyle name="Porcentaje 9 2 2 2 2 2 4" xfId="12336" xr:uid="{00000000-0005-0000-0000-00005C980000}"/>
    <cellStyle name="Porcentaje 9 2 2 2 2 2 4 2" xfId="32051" xr:uid="{00000000-0005-0000-0000-00005D980000}"/>
    <cellStyle name="Porcentaje 9 2 2 2 2 2 5" xfId="22194" xr:uid="{00000000-0005-0000-0000-00005E980000}"/>
    <cellStyle name="Porcentaje 9 2 2 2 2 3" xfId="3704" xr:uid="{00000000-0005-0000-0000-00005F980000}"/>
    <cellStyle name="Porcentaje 9 2 2 2 2 3 2" xfId="8636" xr:uid="{00000000-0005-0000-0000-000060980000}"/>
    <cellStyle name="Porcentaje 9 2 2 2 2 3 2 2" xfId="18496" xr:uid="{00000000-0005-0000-0000-000061980000}"/>
    <cellStyle name="Porcentaje 9 2 2 2 2 3 2 2 2" xfId="38211" xr:uid="{00000000-0005-0000-0000-000062980000}"/>
    <cellStyle name="Porcentaje 9 2 2 2 2 3 2 3" xfId="28354" xr:uid="{00000000-0005-0000-0000-000063980000}"/>
    <cellStyle name="Porcentaje 9 2 2 2 2 3 3" xfId="13568" xr:uid="{00000000-0005-0000-0000-000064980000}"/>
    <cellStyle name="Porcentaje 9 2 2 2 2 3 3 2" xfId="33283" xr:uid="{00000000-0005-0000-0000-000065980000}"/>
    <cellStyle name="Porcentaje 9 2 2 2 2 3 4" xfId="23426" xr:uid="{00000000-0005-0000-0000-000066980000}"/>
    <cellStyle name="Porcentaje 9 2 2 2 2 4" xfId="6172" xr:uid="{00000000-0005-0000-0000-000067980000}"/>
    <cellStyle name="Porcentaje 9 2 2 2 2 4 2" xfId="16032" xr:uid="{00000000-0005-0000-0000-000068980000}"/>
    <cellStyle name="Porcentaje 9 2 2 2 2 4 2 2" xfId="35747" xr:uid="{00000000-0005-0000-0000-000069980000}"/>
    <cellStyle name="Porcentaje 9 2 2 2 2 4 3" xfId="25890" xr:uid="{00000000-0005-0000-0000-00006A980000}"/>
    <cellStyle name="Porcentaje 9 2 2 2 2 5" xfId="11104" xr:uid="{00000000-0005-0000-0000-00006B980000}"/>
    <cellStyle name="Porcentaje 9 2 2 2 2 5 2" xfId="30819" xr:uid="{00000000-0005-0000-0000-00006C980000}"/>
    <cellStyle name="Porcentaje 9 2 2 2 2 6" xfId="20962" xr:uid="{00000000-0005-0000-0000-00006D980000}"/>
    <cellStyle name="Porcentaje 9 2 2 2 3" xfId="1853" xr:uid="{00000000-0005-0000-0000-00006E980000}"/>
    <cellStyle name="Porcentaje 9 2 2 2 3 2" xfId="4320" xr:uid="{00000000-0005-0000-0000-00006F980000}"/>
    <cellStyle name="Porcentaje 9 2 2 2 3 2 2" xfId="9252" xr:uid="{00000000-0005-0000-0000-000070980000}"/>
    <cellStyle name="Porcentaje 9 2 2 2 3 2 2 2" xfId="19112" xr:uid="{00000000-0005-0000-0000-000071980000}"/>
    <cellStyle name="Porcentaje 9 2 2 2 3 2 2 2 2" xfId="38827" xr:uid="{00000000-0005-0000-0000-000072980000}"/>
    <cellStyle name="Porcentaje 9 2 2 2 3 2 2 3" xfId="28970" xr:uid="{00000000-0005-0000-0000-000073980000}"/>
    <cellStyle name="Porcentaje 9 2 2 2 3 2 3" xfId="14184" xr:uid="{00000000-0005-0000-0000-000074980000}"/>
    <cellStyle name="Porcentaje 9 2 2 2 3 2 3 2" xfId="33899" xr:uid="{00000000-0005-0000-0000-000075980000}"/>
    <cellStyle name="Porcentaje 9 2 2 2 3 2 4" xfId="24042" xr:uid="{00000000-0005-0000-0000-000076980000}"/>
    <cellStyle name="Porcentaje 9 2 2 2 3 3" xfId="6788" xr:uid="{00000000-0005-0000-0000-000077980000}"/>
    <cellStyle name="Porcentaje 9 2 2 2 3 3 2" xfId="16648" xr:uid="{00000000-0005-0000-0000-000078980000}"/>
    <cellStyle name="Porcentaje 9 2 2 2 3 3 2 2" xfId="36363" xr:uid="{00000000-0005-0000-0000-000079980000}"/>
    <cellStyle name="Porcentaje 9 2 2 2 3 3 3" xfId="26506" xr:uid="{00000000-0005-0000-0000-00007A980000}"/>
    <cellStyle name="Porcentaje 9 2 2 2 3 4" xfId="11720" xr:uid="{00000000-0005-0000-0000-00007B980000}"/>
    <cellStyle name="Porcentaje 9 2 2 2 3 4 2" xfId="31435" xr:uid="{00000000-0005-0000-0000-00007C980000}"/>
    <cellStyle name="Porcentaje 9 2 2 2 3 5" xfId="21578" xr:uid="{00000000-0005-0000-0000-00007D980000}"/>
    <cellStyle name="Porcentaje 9 2 2 2 4" xfId="3088" xr:uid="{00000000-0005-0000-0000-00007E980000}"/>
    <cellStyle name="Porcentaje 9 2 2 2 4 2" xfId="8020" xr:uid="{00000000-0005-0000-0000-00007F980000}"/>
    <cellStyle name="Porcentaje 9 2 2 2 4 2 2" xfId="17880" xr:uid="{00000000-0005-0000-0000-000080980000}"/>
    <cellStyle name="Porcentaje 9 2 2 2 4 2 2 2" xfId="37595" xr:uid="{00000000-0005-0000-0000-000081980000}"/>
    <cellStyle name="Porcentaje 9 2 2 2 4 2 3" xfId="27738" xr:uid="{00000000-0005-0000-0000-000082980000}"/>
    <cellStyle name="Porcentaje 9 2 2 2 4 3" xfId="12952" xr:uid="{00000000-0005-0000-0000-000083980000}"/>
    <cellStyle name="Porcentaje 9 2 2 2 4 3 2" xfId="32667" xr:uid="{00000000-0005-0000-0000-000084980000}"/>
    <cellStyle name="Porcentaje 9 2 2 2 4 4" xfId="22810" xr:uid="{00000000-0005-0000-0000-000085980000}"/>
    <cellStyle name="Porcentaje 9 2 2 2 5" xfId="5556" xr:uid="{00000000-0005-0000-0000-000086980000}"/>
    <cellStyle name="Porcentaje 9 2 2 2 5 2" xfId="15416" xr:uid="{00000000-0005-0000-0000-000087980000}"/>
    <cellStyle name="Porcentaje 9 2 2 2 5 2 2" xfId="35131" xr:uid="{00000000-0005-0000-0000-000088980000}"/>
    <cellStyle name="Porcentaje 9 2 2 2 5 3" xfId="25274" xr:uid="{00000000-0005-0000-0000-000089980000}"/>
    <cellStyle name="Porcentaje 9 2 2 2 6" xfId="10488" xr:uid="{00000000-0005-0000-0000-00008A980000}"/>
    <cellStyle name="Porcentaje 9 2 2 2 6 2" xfId="30203" xr:uid="{00000000-0005-0000-0000-00008B980000}"/>
    <cellStyle name="Porcentaje 9 2 2 2 7" xfId="20346" xr:uid="{00000000-0005-0000-0000-00008C980000}"/>
    <cellStyle name="Porcentaje 9 2 2 3" xfId="927" xr:uid="{00000000-0005-0000-0000-00008D980000}"/>
    <cellStyle name="Porcentaje 9 2 2 3 2" xfId="2163" xr:uid="{00000000-0005-0000-0000-00008E980000}"/>
    <cellStyle name="Porcentaje 9 2 2 3 2 2" xfId="4630" xr:uid="{00000000-0005-0000-0000-00008F980000}"/>
    <cellStyle name="Porcentaje 9 2 2 3 2 2 2" xfId="9562" xr:uid="{00000000-0005-0000-0000-000090980000}"/>
    <cellStyle name="Porcentaje 9 2 2 3 2 2 2 2" xfId="19422" xr:uid="{00000000-0005-0000-0000-000091980000}"/>
    <cellStyle name="Porcentaje 9 2 2 3 2 2 2 2 2" xfId="39137" xr:uid="{00000000-0005-0000-0000-000092980000}"/>
    <cellStyle name="Porcentaje 9 2 2 3 2 2 2 3" xfId="29280" xr:uid="{00000000-0005-0000-0000-000093980000}"/>
    <cellStyle name="Porcentaje 9 2 2 3 2 2 3" xfId="14494" xr:uid="{00000000-0005-0000-0000-000094980000}"/>
    <cellStyle name="Porcentaje 9 2 2 3 2 2 3 2" xfId="34209" xr:uid="{00000000-0005-0000-0000-000095980000}"/>
    <cellStyle name="Porcentaje 9 2 2 3 2 2 4" xfId="24352" xr:uid="{00000000-0005-0000-0000-000096980000}"/>
    <cellStyle name="Porcentaje 9 2 2 3 2 3" xfId="7098" xr:uid="{00000000-0005-0000-0000-000097980000}"/>
    <cellStyle name="Porcentaje 9 2 2 3 2 3 2" xfId="16958" xr:uid="{00000000-0005-0000-0000-000098980000}"/>
    <cellStyle name="Porcentaje 9 2 2 3 2 3 2 2" xfId="36673" xr:uid="{00000000-0005-0000-0000-000099980000}"/>
    <cellStyle name="Porcentaje 9 2 2 3 2 3 3" xfId="26816" xr:uid="{00000000-0005-0000-0000-00009A980000}"/>
    <cellStyle name="Porcentaje 9 2 2 3 2 4" xfId="12030" xr:uid="{00000000-0005-0000-0000-00009B980000}"/>
    <cellStyle name="Porcentaje 9 2 2 3 2 4 2" xfId="31745" xr:uid="{00000000-0005-0000-0000-00009C980000}"/>
    <cellStyle name="Porcentaje 9 2 2 3 2 5" xfId="21888" xr:uid="{00000000-0005-0000-0000-00009D980000}"/>
    <cellStyle name="Porcentaje 9 2 2 3 3" xfId="3398" xr:uid="{00000000-0005-0000-0000-00009E980000}"/>
    <cellStyle name="Porcentaje 9 2 2 3 3 2" xfId="8330" xr:uid="{00000000-0005-0000-0000-00009F980000}"/>
    <cellStyle name="Porcentaje 9 2 2 3 3 2 2" xfId="18190" xr:uid="{00000000-0005-0000-0000-0000A0980000}"/>
    <cellStyle name="Porcentaje 9 2 2 3 3 2 2 2" xfId="37905" xr:uid="{00000000-0005-0000-0000-0000A1980000}"/>
    <cellStyle name="Porcentaje 9 2 2 3 3 2 3" xfId="28048" xr:uid="{00000000-0005-0000-0000-0000A2980000}"/>
    <cellStyle name="Porcentaje 9 2 2 3 3 3" xfId="13262" xr:uid="{00000000-0005-0000-0000-0000A3980000}"/>
    <cellStyle name="Porcentaje 9 2 2 3 3 3 2" xfId="32977" xr:uid="{00000000-0005-0000-0000-0000A4980000}"/>
    <cellStyle name="Porcentaje 9 2 2 3 3 4" xfId="23120" xr:uid="{00000000-0005-0000-0000-0000A5980000}"/>
    <cellStyle name="Porcentaje 9 2 2 3 4" xfId="5866" xr:uid="{00000000-0005-0000-0000-0000A6980000}"/>
    <cellStyle name="Porcentaje 9 2 2 3 4 2" xfId="15726" xr:uid="{00000000-0005-0000-0000-0000A7980000}"/>
    <cellStyle name="Porcentaje 9 2 2 3 4 2 2" xfId="35441" xr:uid="{00000000-0005-0000-0000-0000A8980000}"/>
    <cellStyle name="Porcentaje 9 2 2 3 4 3" xfId="25584" xr:uid="{00000000-0005-0000-0000-0000A9980000}"/>
    <cellStyle name="Porcentaje 9 2 2 3 5" xfId="10798" xr:uid="{00000000-0005-0000-0000-0000AA980000}"/>
    <cellStyle name="Porcentaje 9 2 2 3 5 2" xfId="30513" xr:uid="{00000000-0005-0000-0000-0000AB980000}"/>
    <cellStyle name="Porcentaje 9 2 2 3 6" xfId="20656" xr:uid="{00000000-0005-0000-0000-0000AC980000}"/>
    <cellStyle name="Porcentaje 9 2 2 4" xfId="1547" xr:uid="{00000000-0005-0000-0000-0000AD980000}"/>
    <cellStyle name="Porcentaje 9 2 2 4 2" xfId="4014" xr:uid="{00000000-0005-0000-0000-0000AE980000}"/>
    <cellStyle name="Porcentaje 9 2 2 4 2 2" xfId="8946" xr:uid="{00000000-0005-0000-0000-0000AF980000}"/>
    <cellStyle name="Porcentaje 9 2 2 4 2 2 2" xfId="18806" xr:uid="{00000000-0005-0000-0000-0000B0980000}"/>
    <cellStyle name="Porcentaje 9 2 2 4 2 2 2 2" xfId="38521" xr:uid="{00000000-0005-0000-0000-0000B1980000}"/>
    <cellStyle name="Porcentaje 9 2 2 4 2 2 3" xfId="28664" xr:uid="{00000000-0005-0000-0000-0000B2980000}"/>
    <cellStyle name="Porcentaje 9 2 2 4 2 3" xfId="13878" xr:uid="{00000000-0005-0000-0000-0000B3980000}"/>
    <cellStyle name="Porcentaje 9 2 2 4 2 3 2" xfId="33593" xr:uid="{00000000-0005-0000-0000-0000B4980000}"/>
    <cellStyle name="Porcentaje 9 2 2 4 2 4" xfId="23736" xr:uid="{00000000-0005-0000-0000-0000B5980000}"/>
    <cellStyle name="Porcentaje 9 2 2 4 3" xfId="6482" xr:uid="{00000000-0005-0000-0000-0000B6980000}"/>
    <cellStyle name="Porcentaje 9 2 2 4 3 2" xfId="16342" xr:uid="{00000000-0005-0000-0000-0000B7980000}"/>
    <cellStyle name="Porcentaje 9 2 2 4 3 2 2" xfId="36057" xr:uid="{00000000-0005-0000-0000-0000B8980000}"/>
    <cellStyle name="Porcentaje 9 2 2 4 3 3" xfId="26200" xr:uid="{00000000-0005-0000-0000-0000B9980000}"/>
    <cellStyle name="Porcentaje 9 2 2 4 4" xfId="11414" xr:uid="{00000000-0005-0000-0000-0000BA980000}"/>
    <cellStyle name="Porcentaje 9 2 2 4 4 2" xfId="31129" xr:uid="{00000000-0005-0000-0000-0000BB980000}"/>
    <cellStyle name="Porcentaje 9 2 2 4 5" xfId="21272" xr:uid="{00000000-0005-0000-0000-0000BC980000}"/>
    <cellStyle name="Porcentaje 9 2 2 5" xfId="2782" xr:uid="{00000000-0005-0000-0000-0000BD980000}"/>
    <cellStyle name="Porcentaje 9 2 2 5 2" xfId="7714" xr:uid="{00000000-0005-0000-0000-0000BE980000}"/>
    <cellStyle name="Porcentaje 9 2 2 5 2 2" xfId="17574" xr:uid="{00000000-0005-0000-0000-0000BF980000}"/>
    <cellStyle name="Porcentaje 9 2 2 5 2 2 2" xfId="37289" xr:uid="{00000000-0005-0000-0000-0000C0980000}"/>
    <cellStyle name="Porcentaje 9 2 2 5 2 3" xfId="27432" xr:uid="{00000000-0005-0000-0000-0000C1980000}"/>
    <cellStyle name="Porcentaje 9 2 2 5 3" xfId="12646" xr:uid="{00000000-0005-0000-0000-0000C2980000}"/>
    <cellStyle name="Porcentaje 9 2 2 5 3 2" xfId="32361" xr:uid="{00000000-0005-0000-0000-0000C3980000}"/>
    <cellStyle name="Porcentaje 9 2 2 5 4" xfId="22504" xr:uid="{00000000-0005-0000-0000-0000C4980000}"/>
    <cellStyle name="Porcentaje 9 2 2 6" xfId="5250" xr:uid="{00000000-0005-0000-0000-0000C5980000}"/>
    <cellStyle name="Porcentaje 9 2 2 6 2" xfId="15110" xr:uid="{00000000-0005-0000-0000-0000C6980000}"/>
    <cellStyle name="Porcentaje 9 2 2 6 2 2" xfId="34825" xr:uid="{00000000-0005-0000-0000-0000C7980000}"/>
    <cellStyle name="Porcentaje 9 2 2 6 3" xfId="24968" xr:uid="{00000000-0005-0000-0000-0000C8980000}"/>
    <cellStyle name="Porcentaje 9 2 2 7" xfId="10182" xr:uid="{00000000-0005-0000-0000-0000C9980000}"/>
    <cellStyle name="Porcentaje 9 2 2 7 2" xfId="29897" xr:uid="{00000000-0005-0000-0000-0000CA980000}"/>
    <cellStyle name="Porcentaje 9 2 2 8" xfId="20040" xr:uid="{00000000-0005-0000-0000-0000CB980000}"/>
    <cellStyle name="Porcentaje 9 2 3" xfId="462" xr:uid="{00000000-0005-0000-0000-0000CC980000}"/>
    <cellStyle name="Porcentaje 9 2 3 2" xfId="1082" xr:uid="{00000000-0005-0000-0000-0000CD980000}"/>
    <cellStyle name="Porcentaje 9 2 3 2 2" xfId="2317" xr:uid="{00000000-0005-0000-0000-0000CE980000}"/>
    <cellStyle name="Porcentaje 9 2 3 2 2 2" xfId="4784" xr:uid="{00000000-0005-0000-0000-0000CF980000}"/>
    <cellStyle name="Porcentaje 9 2 3 2 2 2 2" xfId="9716" xr:uid="{00000000-0005-0000-0000-0000D0980000}"/>
    <cellStyle name="Porcentaje 9 2 3 2 2 2 2 2" xfId="19576" xr:uid="{00000000-0005-0000-0000-0000D1980000}"/>
    <cellStyle name="Porcentaje 9 2 3 2 2 2 2 2 2" xfId="39291" xr:uid="{00000000-0005-0000-0000-0000D2980000}"/>
    <cellStyle name="Porcentaje 9 2 3 2 2 2 2 3" xfId="29434" xr:uid="{00000000-0005-0000-0000-0000D3980000}"/>
    <cellStyle name="Porcentaje 9 2 3 2 2 2 3" xfId="14648" xr:uid="{00000000-0005-0000-0000-0000D4980000}"/>
    <cellStyle name="Porcentaje 9 2 3 2 2 2 3 2" xfId="34363" xr:uid="{00000000-0005-0000-0000-0000D5980000}"/>
    <cellStyle name="Porcentaje 9 2 3 2 2 2 4" xfId="24506" xr:uid="{00000000-0005-0000-0000-0000D6980000}"/>
    <cellStyle name="Porcentaje 9 2 3 2 2 3" xfId="7252" xr:uid="{00000000-0005-0000-0000-0000D7980000}"/>
    <cellStyle name="Porcentaje 9 2 3 2 2 3 2" xfId="17112" xr:uid="{00000000-0005-0000-0000-0000D8980000}"/>
    <cellStyle name="Porcentaje 9 2 3 2 2 3 2 2" xfId="36827" xr:uid="{00000000-0005-0000-0000-0000D9980000}"/>
    <cellStyle name="Porcentaje 9 2 3 2 2 3 3" xfId="26970" xr:uid="{00000000-0005-0000-0000-0000DA980000}"/>
    <cellStyle name="Porcentaje 9 2 3 2 2 4" xfId="12184" xr:uid="{00000000-0005-0000-0000-0000DB980000}"/>
    <cellStyle name="Porcentaje 9 2 3 2 2 4 2" xfId="31899" xr:uid="{00000000-0005-0000-0000-0000DC980000}"/>
    <cellStyle name="Porcentaje 9 2 3 2 2 5" xfId="22042" xr:uid="{00000000-0005-0000-0000-0000DD980000}"/>
    <cellStyle name="Porcentaje 9 2 3 2 3" xfId="3552" xr:uid="{00000000-0005-0000-0000-0000DE980000}"/>
    <cellStyle name="Porcentaje 9 2 3 2 3 2" xfId="8484" xr:uid="{00000000-0005-0000-0000-0000DF980000}"/>
    <cellStyle name="Porcentaje 9 2 3 2 3 2 2" xfId="18344" xr:uid="{00000000-0005-0000-0000-0000E0980000}"/>
    <cellStyle name="Porcentaje 9 2 3 2 3 2 2 2" xfId="38059" xr:uid="{00000000-0005-0000-0000-0000E1980000}"/>
    <cellStyle name="Porcentaje 9 2 3 2 3 2 3" xfId="28202" xr:uid="{00000000-0005-0000-0000-0000E2980000}"/>
    <cellStyle name="Porcentaje 9 2 3 2 3 3" xfId="13416" xr:uid="{00000000-0005-0000-0000-0000E3980000}"/>
    <cellStyle name="Porcentaje 9 2 3 2 3 3 2" xfId="33131" xr:uid="{00000000-0005-0000-0000-0000E4980000}"/>
    <cellStyle name="Porcentaje 9 2 3 2 3 4" xfId="23274" xr:uid="{00000000-0005-0000-0000-0000E5980000}"/>
    <cellStyle name="Porcentaje 9 2 3 2 4" xfId="6020" xr:uid="{00000000-0005-0000-0000-0000E6980000}"/>
    <cellStyle name="Porcentaje 9 2 3 2 4 2" xfId="15880" xr:uid="{00000000-0005-0000-0000-0000E7980000}"/>
    <cellStyle name="Porcentaje 9 2 3 2 4 2 2" xfId="35595" xr:uid="{00000000-0005-0000-0000-0000E8980000}"/>
    <cellStyle name="Porcentaje 9 2 3 2 4 3" xfId="25738" xr:uid="{00000000-0005-0000-0000-0000E9980000}"/>
    <cellStyle name="Porcentaje 9 2 3 2 5" xfId="10952" xr:uid="{00000000-0005-0000-0000-0000EA980000}"/>
    <cellStyle name="Porcentaje 9 2 3 2 5 2" xfId="30667" xr:uid="{00000000-0005-0000-0000-0000EB980000}"/>
    <cellStyle name="Porcentaje 9 2 3 2 6" xfId="20810" xr:uid="{00000000-0005-0000-0000-0000EC980000}"/>
    <cellStyle name="Porcentaje 9 2 3 3" xfId="1701" xr:uid="{00000000-0005-0000-0000-0000ED980000}"/>
    <cellStyle name="Porcentaje 9 2 3 3 2" xfId="4168" xr:uid="{00000000-0005-0000-0000-0000EE980000}"/>
    <cellStyle name="Porcentaje 9 2 3 3 2 2" xfId="9100" xr:uid="{00000000-0005-0000-0000-0000EF980000}"/>
    <cellStyle name="Porcentaje 9 2 3 3 2 2 2" xfId="18960" xr:uid="{00000000-0005-0000-0000-0000F0980000}"/>
    <cellStyle name="Porcentaje 9 2 3 3 2 2 2 2" xfId="38675" xr:uid="{00000000-0005-0000-0000-0000F1980000}"/>
    <cellStyle name="Porcentaje 9 2 3 3 2 2 3" xfId="28818" xr:uid="{00000000-0005-0000-0000-0000F2980000}"/>
    <cellStyle name="Porcentaje 9 2 3 3 2 3" xfId="14032" xr:uid="{00000000-0005-0000-0000-0000F3980000}"/>
    <cellStyle name="Porcentaje 9 2 3 3 2 3 2" xfId="33747" xr:uid="{00000000-0005-0000-0000-0000F4980000}"/>
    <cellStyle name="Porcentaje 9 2 3 3 2 4" xfId="23890" xr:uid="{00000000-0005-0000-0000-0000F5980000}"/>
    <cellStyle name="Porcentaje 9 2 3 3 3" xfId="6636" xr:uid="{00000000-0005-0000-0000-0000F6980000}"/>
    <cellStyle name="Porcentaje 9 2 3 3 3 2" xfId="16496" xr:uid="{00000000-0005-0000-0000-0000F7980000}"/>
    <cellStyle name="Porcentaje 9 2 3 3 3 2 2" xfId="36211" xr:uid="{00000000-0005-0000-0000-0000F8980000}"/>
    <cellStyle name="Porcentaje 9 2 3 3 3 3" xfId="26354" xr:uid="{00000000-0005-0000-0000-0000F9980000}"/>
    <cellStyle name="Porcentaje 9 2 3 3 4" xfId="11568" xr:uid="{00000000-0005-0000-0000-0000FA980000}"/>
    <cellStyle name="Porcentaje 9 2 3 3 4 2" xfId="31283" xr:uid="{00000000-0005-0000-0000-0000FB980000}"/>
    <cellStyle name="Porcentaje 9 2 3 3 5" xfId="21426" xr:uid="{00000000-0005-0000-0000-0000FC980000}"/>
    <cellStyle name="Porcentaje 9 2 3 4" xfId="2936" xr:uid="{00000000-0005-0000-0000-0000FD980000}"/>
    <cellStyle name="Porcentaje 9 2 3 4 2" xfId="7868" xr:uid="{00000000-0005-0000-0000-0000FE980000}"/>
    <cellStyle name="Porcentaje 9 2 3 4 2 2" xfId="17728" xr:uid="{00000000-0005-0000-0000-0000FF980000}"/>
    <cellStyle name="Porcentaje 9 2 3 4 2 2 2" xfId="37443" xr:uid="{00000000-0005-0000-0000-000000990000}"/>
    <cellStyle name="Porcentaje 9 2 3 4 2 3" xfId="27586" xr:uid="{00000000-0005-0000-0000-000001990000}"/>
    <cellStyle name="Porcentaje 9 2 3 4 3" xfId="12800" xr:uid="{00000000-0005-0000-0000-000002990000}"/>
    <cellStyle name="Porcentaje 9 2 3 4 3 2" xfId="32515" xr:uid="{00000000-0005-0000-0000-000003990000}"/>
    <cellStyle name="Porcentaje 9 2 3 4 4" xfId="22658" xr:uid="{00000000-0005-0000-0000-000004990000}"/>
    <cellStyle name="Porcentaje 9 2 3 5" xfId="5404" xr:uid="{00000000-0005-0000-0000-000005990000}"/>
    <cellStyle name="Porcentaje 9 2 3 5 2" xfId="15264" xr:uid="{00000000-0005-0000-0000-000006990000}"/>
    <cellStyle name="Porcentaje 9 2 3 5 2 2" xfId="34979" xr:uid="{00000000-0005-0000-0000-000007990000}"/>
    <cellStyle name="Porcentaje 9 2 3 5 3" xfId="25122" xr:uid="{00000000-0005-0000-0000-000008990000}"/>
    <cellStyle name="Porcentaje 9 2 3 6" xfId="10336" xr:uid="{00000000-0005-0000-0000-000009990000}"/>
    <cellStyle name="Porcentaje 9 2 3 6 2" xfId="30051" xr:uid="{00000000-0005-0000-0000-00000A990000}"/>
    <cellStyle name="Porcentaje 9 2 3 7" xfId="20194" xr:uid="{00000000-0005-0000-0000-00000B990000}"/>
    <cellStyle name="Porcentaje 9 2 4" xfId="775" xr:uid="{00000000-0005-0000-0000-00000C990000}"/>
    <cellStyle name="Porcentaje 9 2 4 2" xfId="2011" xr:uid="{00000000-0005-0000-0000-00000D990000}"/>
    <cellStyle name="Porcentaje 9 2 4 2 2" xfId="4478" xr:uid="{00000000-0005-0000-0000-00000E990000}"/>
    <cellStyle name="Porcentaje 9 2 4 2 2 2" xfId="9410" xr:uid="{00000000-0005-0000-0000-00000F990000}"/>
    <cellStyle name="Porcentaje 9 2 4 2 2 2 2" xfId="19270" xr:uid="{00000000-0005-0000-0000-000010990000}"/>
    <cellStyle name="Porcentaje 9 2 4 2 2 2 2 2" xfId="38985" xr:uid="{00000000-0005-0000-0000-000011990000}"/>
    <cellStyle name="Porcentaje 9 2 4 2 2 2 3" xfId="29128" xr:uid="{00000000-0005-0000-0000-000012990000}"/>
    <cellStyle name="Porcentaje 9 2 4 2 2 3" xfId="14342" xr:uid="{00000000-0005-0000-0000-000013990000}"/>
    <cellStyle name="Porcentaje 9 2 4 2 2 3 2" xfId="34057" xr:uid="{00000000-0005-0000-0000-000014990000}"/>
    <cellStyle name="Porcentaje 9 2 4 2 2 4" xfId="24200" xr:uid="{00000000-0005-0000-0000-000015990000}"/>
    <cellStyle name="Porcentaje 9 2 4 2 3" xfId="6946" xr:uid="{00000000-0005-0000-0000-000016990000}"/>
    <cellStyle name="Porcentaje 9 2 4 2 3 2" xfId="16806" xr:uid="{00000000-0005-0000-0000-000017990000}"/>
    <cellStyle name="Porcentaje 9 2 4 2 3 2 2" xfId="36521" xr:uid="{00000000-0005-0000-0000-000018990000}"/>
    <cellStyle name="Porcentaje 9 2 4 2 3 3" xfId="26664" xr:uid="{00000000-0005-0000-0000-000019990000}"/>
    <cellStyle name="Porcentaje 9 2 4 2 4" xfId="11878" xr:uid="{00000000-0005-0000-0000-00001A990000}"/>
    <cellStyle name="Porcentaje 9 2 4 2 4 2" xfId="31593" xr:uid="{00000000-0005-0000-0000-00001B990000}"/>
    <cellStyle name="Porcentaje 9 2 4 2 5" xfId="21736" xr:uid="{00000000-0005-0000-0000-00001C990000}"/>
    <cellStyle name="Porcentaje 9 2 4 3" xfId="3246" xr:uid="{00000000-0005-0000-0000-00001D990000}"/>
    <cellStyle name="Porcentaje 9 2 4 3 2" xfId="8178" xr:uid="{00000000-0005-0000-0000-00001E990000}"/>
    <cellStyle name="Porcentaje 9 2 4 3 2 2" xfId="18038" xr:uid="{00000000-0005-0000-0000-00001F990000}"/>
    <cellStyle name="Porcentaje 9 2 4 3 2 2 2" xfId="37753" xr:uid="{00000000-0005-0000-0000-000020990000}"/>
    <cellStyle name="Porcentaje 9 2 4 3 2 3" xfId="27896" xr:uid="{00000000-0005-0000-0000-000021990000}"/>
    <cellStyle name="Porcentaje 9 2 4 3 3" xfId="13110" xr:uid="{00000000-0005-0000-0000-000022990000}"/>
    <cellStyle name="Porcentaje 9 2 4 3 3 2" xfId="32825" xr:uid="{00000000-0005-0000-0000-000023990000}"/>
    <cellStyle name="Porcentaje 9 2 4 3 4" xfId="22968" xr:uid="{00000000-0005-0000-0000-000024990000}"/>
    <cellStyle name="Porcentaje 9 2 4 4" xfId="5714" xr:uid="{00000000-0005-0000-0000-000025990000}"/>
    <cellStyle name="Porcentaje 9 2 4 4 2" xfId="15574" xr:uid="{00000000-0005-0000-0000-000026990000}"/>
    <cellStyle name="Porcentaje 9 2 4 4 2 2" xfId="35289" xr:uid="{00000000-0005-0000-0000-000027990000}"/>
    <cellStyle name="Porcentaje 9 2 4 4 3" xfId="25432" xr:uid="{00000000-0005-0000-0000-000028990000}"/>
    <cellStyle name="Porcentaje 9 2 4 5" xfId="10646" xr:uid="{00000000-0005-0000-0000-000029990000}"/>
    <cellStyle name="Porcentaje 9 2 4 5 2" xfId="30361" xr:uid="{00000000-0005-0000-0000-00002A990000}"/>
    <cellStyle name="Porcentaje 9 2 4 6" xfId="20504" xr:uid="{00000000-0005-0000-0000-00002B990000}"/>
    <cellStyle name="Porcentaje 9 2 5" xfId="1395" xr:uid="{00000000-0005-0000-0000-00002C990000}"/>
    <cellStyle name="Porcentaje 9 2 5 2" xfId="3862" xr:uid="{00000000-0005-0000-0000-00002D990000}"/>
    <cellStyle name="Porcentaje 9 2 5 2 2" xfId="8794" xr:uid="{00000000-0005-0000-0000-00002E990000}"/>
    <cellStyle name="Porcentaje 9 2 5 2 2 2" xfId="18654" xr:uid="{00000000-0005-0000-0000-00002F990000}"/>
    <cellStyle name="Porcentaje 9 2 5 2 2 2 2" xfId="38369" xr:uid="{00000000-0005-0000-0000-000030990000}"/>
    <cellStyle name="Porcentaje 9 2 5 2 2 3" xfId="28512" xr:uid="{00000000-0005-0000-0000-000031990000}"/>
    <cellStyle name="Porcentaje 9 2 5 2 3" xfId="13726" xr:uid="{00000000-0005-0000-0000-000032990000}"/>
    <cellStyle name="Porcentaje 9 2 5 2 3 2" xfId="33441" xr:uid="{00000000-0005-0000-0000-000033990000}"/>
    <cellStyle name="Porcentaje 9 2 5 2 4" xfId="23584" xr:uid="{00000000-0005-0000-0000-000034990000}"/>
    <cellStyle name="Porcentaje 9 2 5 3" xfId="6330" xr:uid="{00000000-0005-0000-0000-000035990000}"/>
    <cellStyle name="Porcentaje 9 2 5 3 2" xfId="16190" xr:uid="{00000000-0005-0000-0000-000036990000}"/>
    <cellStyle name="Porcentaje 9 2 5 3 2 2" xfId="35905" xr:uid="{00000000-0005-0000-0000-000037990000}"/>
    <cellStyle name="Porcentaje 9 2 5 3 3" xfId="26048" xr:uid="{00000000-0005-0000-0000-000038990000}"/>
    <cellStyle name="Porcentaje 9 2 5 4" xfId="11262" xr:uid="{00000000-0005-0000-0000-000039990000}"/>
    <cellStyle name="Porcentaje 9 2 5 4 2" xfId="30977" xr:uid="{00000000-0005-0000-0000-00003A990000}"/>
    <cellStyle name="Porcentaje 9 2 5 5" xfId="21120" xr:uid="{00000000-0005-0000-0000-00003B990000}"/>
    <cellStyle name="Porcentaje 9 2 6" xfId="2630" xr:uid="{00000000-0005-0000-0000-00003C990000}"/>
    <cellStyle name="Porcentaje 9 2 6 2" xfId="7562" xr:uid="{00000000-0005-0000-0000-00003D990000}"/>
    <cellStyle name="Porcentaje 9 2 6 2 2" xfId="17422" xr:uid="{00000000-0005-0000-0000-00003E990000}"/>
    <cellStyle name="Porcentaje 9 2 6 2 2 2" xfId="37137" xr:uid="{00000000-0005-0000-0000-00003F990000}"/>
    <cellStyle name="Porcentaje 9 2 6 2 3" xfId="27280" xr:uid="{00000000-0005-0000-0000-000040990000}"/>
    <cellStyle name="Porcentaje 9 2 6 3" xfId="12494" xr:uid="{00000000-0005-0000-0000-000041990000}"/>
    <cellStyle name="Porcentaje 9 2 6 3 2" xfId="32209" xr:uid="{00000000-0005-0000-0000-000042990000}"/>
    <cellStyle name="Porcentaje 9 2 6 4" xfId="22352" xr:uid="{00000000-0005-0000-0000-000043990000}"/>
    <cellStyle name="Porcentaje 9 2 7" xfId="5098" xr:uid="{00000000-0005-0000-0000-000044990000}"/>
    <cellStyle name="Porcentaje 9 2 7 2" xfId="14958" xr:uid="{00000000-0005-0000-0000-000045990000}"/>
    <cellStyle name="Porcentaje 9 2 7 2 2" xfId="34673" xr:uid="{00000000-0005-0000-0000-000046990000}"/>
    <cellStyle name="Porcentaje 9 2 7 3" xfId="24816" xr:uid="{00000000-0005-0000-0000-000047990000}"/>
    <cellStyle name="Porcentaje 9 2 8" xfId="10030" xr:uid="{00000000-0005-0000-0000-000048990000}"/>
    <cellStyle name="Porcentaje 9 2 8 2" xfId="29745" xr:uid="{00000000-0005-0000-0000-000049990000}"/>
    <cellStyle name="Porcentaje 9 2 9" xfId="19888" xr:uid="{00000000-0005-0000-0000-00004A990000}"/>
    <cellStyle name="Porcentaje 9 3" xfId="224" xr:uid="{00000000-0005-0000-0000-00004B990000}"/>
    <cellStyle name="Porcentaje 9 3 2" xfId="538" xr:uid="{00000000-0005-0000-0000-00004C990000}"/>
    <cellStyle name="Porcentaje 9 3 2 2" xfId="1158" xr:uid="{00000000-0005-0000-0000-00004D990000}"/>
    <cellStyle name="Porcentaje 9 3 2 2 2" xfId="2393" xr:uid="{00000000-0005-0000-0000-00004E990000}"/>
    <cellStyle name="Porcentaje 9 3 2 2 2 2" xfId="4860" xr:uid="{00000000-0005-0000-0000-00004F990000}"/>
    <cellStyle name="Porcentaje 9 3 2 2 2 2 2" xfId="9792" xr:uid="{00000000-0005-0000-0000-000050990000}"/>
    <cellStyle name="Porcentaje 9 3 2 2 2 2 2 2" xfId="19652" xr:uid="{00000000-0005-0000-0000-000051990000}"/>
    <cellStyle name="Porcentaje 9 3 2 2 2 2 2 2 2" xfId="39367" xr:uid="{00000000-0005-0000-0000-000052990000}"/>
    <cellStyle name="Porcentaje 9 3 2 2 2 2 2 3" xfId="29510" xr:uid="{00000000-0005-0000-0000-000053990000}"/>
    <cellStyle name="Porcentaje 9 3 2 2 2 2 3" xfId="14724" xr:uid="{00000000-0005-0000-0000-000054990000}"/>
    <cellStyle name="Porcentaje 9 3 2 2 2 2 3 2" xfId="34439" xr:uid="{00000000-0005-0000-0000-000055990000}"/>
    <cellStyle name="Porcentaje 9 3 2 2 2 2 4" xfId="24582" xr:uid="{00000000-0005-0000-0000-000056990000}"/>
    <cellStyle name="Porcentaje 9 3 2 2 2 3" xfId="7328" xr:uid="{00000000-0005-0000-0000-000057990000}"/>
    <cellStyle name="Porcentaje 9 3 2 2 2 3 2" xfId="17188" xr:uid="{00000000-0005-0000-0000-000058990000}"/>
    <cellStyle name="Porcentaje 9 3 2 2 2 3 2 2" xfId="36903" xr:uid="{00000000-0005-0000-0000-000059990000}"/>
    <cellStyle name="Porcentaje 9 3 2 2 2 3 3" xfId="27046" xr:uid="{00000000-0005-0000-0000-00005A990000}"/>
    <cellStyle name="Porcentaje 9 3 2 2 2 4" xfId="12260" xr:uid="{00000000-0005-0000-0000-00005B990000}"/>
    <cellStyle name="Porcentaje 9 3 2 2 2 4 2" xfId="31975" xr:uid="{00000000-0005-0000-0000-00005C990000}"/>
    <cellStyle name="Porcentaje 9 3 2 2 2 5" xfId="22118" xr:uid="{00000000-0005-0000-0000-00005D990000}"/>
    <cellStyle name="Porcentaje 9 3 2 2 3" xfId="3628" xr:uid="{00000000-0005-0000-0000-00005E990000}"/>
    <cellStyle name="Porcentaje 9 3 2 2 3 2" xfId="8560" xr:uid="{00000000-0005-0000-0000-00005F990000}"/>
    <cellStyle name="Porcentaje 9 3 2 2 3 2 2" xfId="18420" xr:uid="{00000000-0005-0000-0000-000060990000}"/>
    <cellStyle name="Porcentaje 9 3 2 2 3 2 2 2" xfId="38135" xr:uid="{00000000-0005-0000-0000-000061990000}"/>
    <cellStyle name="Porcentaje 9 3 2 2 3 2 3" xfId="28278" xr:uid="{00000000-0005-0000-0000-000062990000}"/>
    <cellStyle name="Porcentaje 9 3 2 2 3 3" xfId="13492" xr:uid="{00000000-0005-0000-0000-000063990000}"/>
    <cellStyle name="Porcentaje 9 3 2 2 3 3 2" xfId="33207" xr:uid="{00000000-0005-0000-0000-000064990000}"/>
    <cellStyle name="Porcentaje 9 3 2 2 3 4" xfId="23350" xr:uid="{00000000-0005-0000-0000-000065990000}"/>
    <cellStyle name="Porcentaje 9 3 2 2 4" xfId="6096" xr:uid="{00000000-0005-0000-0000-000066990000}"/>
    <cellStyle name="Porcentaje 9 3 2 2 4 2" xfId="15956" xr:uid="{00000000-0005-0000-0000-000067990000}"/>
    <cellStyle name="Porcentaje 9 3 2 2 4 2 2" xfId="35671" xr:uid="{00000000-0005-0000-0000-000068990000}"/>
    <cellStyle name="Porcentaje 9 3 2 2 4 3" xfId="25814" xr:uid="{00000000-0005-0000-0000-000069990000}"/>
    <cellStyle name="Porcentaje 9 3 2 2 5" xfId="11028" xr:uid="{00000000-0005-0000-0000-00006A990000}"/>
    <cellStyle name="Porcentaje 9 3 2 2 5 2" xfId="30743" xr:uid="{00000000-0005-0000-0000-00006B990000}"/>
    <cellStyle name="Porcentaje 9 3 2 2 6" xfId="20886" xr:uid="{00000000-0005-0000-0000-00006C990000}"/>
    <cellStyle name="Porcentaje 9 3 2 3" xfId="1777" xr:uid="{00000000-0005-0000-0000-00006D990000}"/>
    <cellStyle name="Porcentaje 9 3 2 3 2" xfId="4244" xr:uid="{00000000-0005-0000-0000-00006E990000}"/>
    <cellStyle name="Porcentaje 9 3 2 3 2 2" xfId="9176" xr:uid="{00000000-0005-0000-0000-00006F990000}"/>
    <cellStyle name="Porcentaje 9 3 2 3 2 2 2" xfId="19036" xr:uid="{00000000-0005-0000-0000-000070990000}"/>
    <cellStyle name="Porcentaje 9 3 2 3 2 2 2 2" xfId="38751" xr:uid="{00000000-0005-0000-0000-000071990000}"/>
    <cellStyle name="Porcentaje 9 3 2 3 2 2 3" xfId="28894" xr:uid="{00000000-0005-0000-0000-000072990000}"/>
    <cellStyle name="Porcentaje 9 3 2 3 2 3" xfId="14108" xr:uid="{00000000-0005-0000-0000-000073990000}"/>
    <cellStyle name="Porcentaje 9 3 2 3 2 3 2" xfId="33823" xr:uid="{00000000-0005-0000-0000-000074990000}"/>
    <cellStyle name="Porcentaje 9 3 2 3 2 4" xfId="23966" xr:uid="{00000000-0005-0000-0000-000075990000}"/>
    <cellStyle name="Porcentaje 9 3 2 3 3" xfId="6712" xr:uid="{00000000-0005-0000-0000-000076990000}"/>
    <cellStyle name="Porcentaje 9 3 2 3 3 2" xfId="16572" xr:uid="{00000000-0005-0000-0000-000077990000}"/>
    <cellStyle name="Porcentaje 9 3 2 3 3 2 2" xfId="36287" xr:uid="{00000000-0005-0000-0000-000078990000}"/>
    <cellStyle name="Porcentaje 9 3 2 3 3 3" xfId="26430" xr:uid="{00000000-0005-0000-0000-000079990000}"/>
    <cellStyle name="Porcentaje 9 3 2 3 4" xfId="11644" xr:uid="{00000000-0005-0000-0000-00007A990000}"/>
    <cellStyle name="Porcentaje 9 3 2 3 4 2" xfId="31359" xr:uid="{00000000-0005-0000-0000-00007B990000}"/>
    <cellStyle name="Porcentaje 9 3 2 3 5" xfId="21502" xr:uid="{00000000-0005-0000-0000-00007C990000}"/>
    <cellStyle name="Porcentaje 9 3 2 4" xfId="3012" xr:uid="{00000000-0005-0000-0000-00007D990000}"/>
    <cellStyle name="Porcentaje 9 3 2 4 2" xfId="7944" xr:uid="{00000000-0005-0000-0000-00007E990000}"/>
    <cellStyle name="Porcentaje 9 3 2 4 2 2" xfId="17804" xr:uid="{00000000-0005-0000-0000-00007F990000}"/>
    <cellStyle name="Porcentaje 9 3 2 4 2 2 2" xfId="37519" xr:uid="{00000000-0005-0000-0000-000080990000}"/>
    <cellStyle name="Porcentaje 9 3 2 4 2 3" xfId="27662" xr:uid="{00000000-0005-0000-0000-000081990000}"/>
    <cellStyle name="Porcentaje 9 3 2 4 3" xfId="12876" xr:uid="{00000000-0005-0000-0000-000082990000}"/>
    <cellStyle name="Porcentaje 9 3 2 4 3 2" xfId="32591" xr:uid="{00000000-0005-0000-0000-000083990000}"/>
    <cellStyle name="Porcentaje 9 3 2 4 4" xfId="22734" xr:uid="{00000000-0005-0000-0000-000084990000}"/>
    <cellStyle name="Porcentaje 9 3 2 5" xfId="5480" xr:uid="{00000000-0005-0000-0000-000085990000}"/>
    <cellStyle name="Porcentaje 9 3 2 5 2" xfId="15340" xr:uid="{00000000-0005-0000-0000-000086990000}"/>
    <cellStyle name="Porcentaje 9 3 2 5 2 2" xfId="35055" xr:uid="{00000000-0005-0000-0000-000087990000}"/>
    <cellStyle name="Porcentaje 9 3 2 5 3" xfId="25198" xr:uid="{00000000-0005-0000-0000-000088990000}"/>
    <cellStyle name="Porcentaje 9 3 2 6" xfId="10412" xr:uid="{00000000-0005-0000-0000-000089990000}"/>
    <cellStyle name="Porcentaje 9 3 2 6 2" xfId="30127" xr:uid="{00000000-0005-0000-0000-00008A990000}"/>
    <cellStyle name="Porcentaje 9 3 2 7" xfId="20270" xr:uid="{00000000-0005-0000-0000-00008B990000}"/>
    <cellStyle name="Porcentaje 9 3 3" xfId="851" xr:uid="{00000000-0005-0000-0000-00008C990000}"/>
    <cellStyle name="Porcentaje 9 3 3 2" xfId="2087" xr:uid="{00000000-0005-0000-0000-00008D990000}"/>
    <cellStyle name="Porcentaje 9 3 3 2 2" xfId="4554" xr:uid="{00000000-0005-0000-0000-00008E990000}"/>
    <cellStyle name="Porcentaje 9 3 3 2 2 2" xfId="9486" xr:uid="{00000000-0005-0000-0000-00008F990000}"/>
    <cellStyle name="Porcentaje 9 3 3 2 2 2 2" xfId="19346" xr:uid="{00000000-0005-0000-0000-000090990000}"/>
    <cellStyle name="Porcentaje 9 3 3 2 2 2 2 2" xfId="39061" xr:uid="{00000000-0005-0000-0000-000091990000}"/>
    <cellStyle name="Porcentaje 9 3 3 2 2 2 3" xfId="29204" xr:uid="{00000000-0005-0000-0000-000092990000}"/>
    <cellStyle name="Porcentaje 9 3 3 2 2 3" xfId="14418" xr:uid="{00000000-0005-0000-0000-000093990000}"/>
    <cellStyle name="Porcentaje 9 3 3 2 2 3 2" xfId="34133" xr:uid="{00000000-0005-0000-0000-000094990000}"/>
    <cellStyle name="Porcentaje 9 3 3 2 2 4" xfId="24276" xr:uid="{00000000-0005-0000-0000-000095990000}"/>
    <cellStyle name="Porcentaje 9 3 3 2 3" xfId="7022" xr:uid="{00000000-0005-0000-0000-000096990000}"/>
    <cellStyle name="Porcentaje 9 3 3 2 3 2" xfId="16882" xr:uid="{00000000-0005-0000-0000-000097990000}"/>
    <cellStyle name="Porcentaje 9 3 3 2 3 2 2" xfId="36597" xr:uid="{00000000-0005-0000-0000-000098990000}"/>
    <cellStyle name="Porcentaje 9 3 3 2 3 3" xfId="26740" xr:uid="{00000000-0005-0000-0000-000099990000}"/>
    <cellStyle name="Porcentaje 9 3 3 2 4" xfId="11954" xr:uid="{00000000-0005-0000-0000-00009A990000}"/>
    <cellStyle name="Porcentaje 9 3 3 2 4 2" xfId="31669" xr:uid="{00000000-0005-0000-0000-00009B990000}"/>
    <cellStyle name="Porcentaje 9 3 3 2 5" xfId="21812" xr:uid="{00000000-0005-0000-0000-00009C990000}"/>
    <cellStyle name="Porcentaje 9 3 3 3" xfId="3322" xr:uid="{00000000-0005-0000-0000-00009D990000}"/>
    <cellStyle name="Porcentaje 9 3 3 3 2" xfId="8254" xr:uid="{00000000-0005-0000-0000-00009E990000}"/>
    <cellStyle name="Porcentaje 9 3 3 3 2 2" xfId="18114" xr:uid="{00000000-0005-0000-0000-00009F990000}"/>
    <cellStyle name="Porcentaje 9 3 3 3 2 2 2" xfId="37829" xr:uid="{00000000-0005-0000-0000-0000A0990000}"/>
    <cellStyle name="Porcentaje 9 3 3 3 2 3" xfId="27972" xr:uid="{00000000-0005-0000-0000-0000A1990000}"/>
    <cellStyle name="Porcentaje 9 3 3 3 3" xfId="13186" xr:uid="{00000000-0005-0000-0000-0000A2990000}"/>
    <cellStyle name="Porcentaje 9 3 3 3 3 2" xfId="32901" xr:uid="{00000000-0005-0000-0000-0000A3990000}"/>
    <cellStyle name="Porcentaje 9 3 3 3 4" xfId="23044" xr:uid="{00000000-0005-0000-0000-0000A4990000}"/>
    <cellStyle name="Porcentaje 9 3 3 4" xfId="5790" xr:uid="{00000000-0005-0000-0000-0000A5990000}"/>
    <cellStyle name="Porcentaje 9 3 3 4 2" xfId="15650" xr:uid="{00000000-0005-0000-0000-0000A6990000}"/>
    <cellStyle name="Porcentaje 9 3 3 4 2 2" xfId="35365" xr:uid="{00000000-0005-0000-0000-0000A7990000}"/>
    <cellStyle name="Porcentaje 9 3 3 4 3" xfId="25508" xr:uid="{00000000-0005-0000-0000-0000A8990000}"/>
    <cellStyle name="Porcentaje 9 3 3 5" xfId="10722" xr:uid="{00000000-0005-0000-0000-0000A9990000}"/>
    <cellStyle name="Porcentaje 9 3 3 5 2" xfId="30437" xr:uid="{00000000-0005-0000-0000-0000AA990000}"/>
    <cellStyle name="Porcentaje 9 3 3 6" xfId="20580" xr:uid="{00000000-0005-0000-0000-0000AB990000}"/>
    <cellStyle name="Porcentaje 9 3 4" xfId="1471" xr:uid="{00000000-0005-0000-0000-0000AC990000}"/>
    <cellStyle name="Porcentaje 9 3 4 2" xfId="3938" xr:uid="{00000000-0005-0000-0000-0000AD990000}"/>
    <cellStyle name="Porcentaje 9 3 4 2 2" xfId="8870" xr:uid="{00000000-0005-0000-0000-0000AE990000}"/>
    <cellStyle name="Porcentaje 9 3 4 2 2 2" xfId="18730" xr:uid="{00000000-0005-0000-0000-0000AF990000}"/>
    <cellStyle name="Porcentaje 9 3 4 2 2 2 2" xfId="38445" xr:uid="{00000000-0005-0000-0000-0000B0990000}"/>
    <cellStyle name="Porcentaje 9 3 4 2 2 3" xfId="28588" xr:uid="{00000000-0005-0000-0000-0000B1990000}"/>
    <cellStyle name="Porcentaje 9 3 4 2 3" xfId="13802" xr:uid="{00000000-0005-0000-0000-0000B2990000}"/>
    <cellStyle name="Porcentaje 9 3 4 2 3 2" xfId="33517" xr:uid="{00000000-0005-0000-0000-0000B3990000}"/>
    <cellStyle name="Porcentaje 9 3 4 2 4" xfId="23660" xr:uid="{00000000-0005-0000-0000-0000B4990000}"/>
    <cellStyle name="Porcentaje 9 3 4 3" xfId="6406" xr:uid="{00000000-0005-0000-0000-0000B5990000}"/>
    <cellStyle name="Porcentaje 9 3 4 3 2" xfId="16266" xr:uid="{00000000-0005-0000-0000-0000B6990000}"/>
    <cellStyle name="Porcentaje 9 3 4 3 2 2" xfId="35981" xr:uid="{00000000-0005-0000-0000-0000B7990000}"/>
    <cellStyle name="Porcentaje 9 3 4 3 3" xfId="26124" xr:uid="{00000000-0005-0000-0000-0000B8990000}"/>
    <cellStyle name="Porcentaje 9 3 4 4" xfId="11338" xr:uid="{00000000-0005-0000-0000-0000B9990000}"/>
    <cellStyle name="Porcentaje 9 3 4 4 2" xfId="31053" xr:uid="{00000000-0005-0000-0000-0000BA990000}"/>
    <cellStyle name="Porcentaje 9 3 4 5" xfId="21196" xr:uid="{00000000-0005-0000-0000-0000BB990000}"/>
    <cellStyle name="Porcentaje 9 3 5" xfId="2706" xr:uid="{00000000-0005-0000-0000-0000BC990000}"/>
    <cellStyle name="Porcentaje 9 3 5 2" xfId="7638" xr:uid="{00000000-0005-0000-0000-0000BD990000}"/>
    <cellStyle name="Porcentaje 9 3 5 2 2" xfId="17498" xr:uid="{00000000-0005-0000-0000-0000BE990000}"/>
    <cellStyle name="Porcentaje 9 3 5 2 2 2" xfId="37213" xr:uid="{00000000-0005-0000-0000-0000BF990000}"/>
    <cellStyle name="Porcentaje 9 3 5 2 3" xfId="27356" xr:uid="{00000000-0005-0000-0000-0000C0990000}"/>
    <cellStyle name="Porcentaje 9 3 5 3" xfId="12570" xr:uid="{00000000-0005-0000-0000-0000C1990000}"/>
    <cellStyle name="Porcentaje 9 3 5 3 2" xfId="32285" xr:uid="{00000000-0005-0000-0000-0000C2990000}"/>
    <cellStyle name="Porcentaje 9 3 5 4" xfId="22428" xr:uid="{00000000-0005-0000-0000-0000C3990000}"/>
    <cellStyle name="Porcentaje 9 3 6" xfId="5174" xr:uid="{00000000-0005-0000-0000-0000C4990000}"/>
    <cellStyle name="Porcentaje 9 3 6 2" xfId="15034" xr:uid="{00000000-0005-0000-0000-0000C5990000}"/>
    <cellStyle name="Porcentaje 9 3 6 2 2" xfId="34749" xr:uid="{00000000-0005-0000-0000-0000C6990000}"/>
    <cellStyle name="Porcentaje 9 3 6 3" xfId="24892" xr:uid="{00000000-0005-0000-0000-0000C7990000}"/>
    <cellStyle name="Porcentaje 9 3 7" xfId="10106" xr:uid="{00000000-0005-0000-0000-0000C8990000}"/>
    <cellStyle name="Porcentaje 9 3 7 2" xfId="29821" xr:uid="{00000000-0005-0000-0000-0000C9990000}"/>
    <cellStyle name="Porcentaje 9 3 8" xfId="19964" xr:uid="{00000000-0005-0000-0000-0000CA990000}"/>
    <cellStyle name="Porcentaje 9 4" xfId="386" xr:uid="{00000000-0005-0000-0000-0000CB990000}"/>
    <cellStyle name="Porcentaje 9 4 2" xfId="1006" xr:uid="{00000000-0005-0000-0000-0000CC990000}"/>
    <cellStyle name="Porcentaje 9 4 2 2" xfId="2241" xr:uid="{00000000-0005-0000-0000-0000CD990000}"/>
    <cellStyle name="Porcentaje 9 4 2 2 2" xfId="4708" xr:uid="{00000000-0005-0000-0000-0000CE990000}"/>
    <cellStyle name="Porcentaje 9 4 2 2 2 2" xfId="9640" xr:uid="{00000000-0005-0000-0000-0000CF990000}"/>
    <cellStyle name="Porcentaje 9 4 2 2 2 2 2" xfId="19500" xr:uid="{00000000-0005-0000-0000-0000D0990000}"/>
    <cellStyle name="Porcentaje 9 4 2 2 2 2 2 2" xfId="39215" xr:uid="{00000000-0005-0000-0000-0000D1990000}"/>
    <cellStyle name="Porcentaje 9 4 2 2 2 2 3" xfId="29358" xr:uid="{00000000-0005-0000-0000-0000D2990000}"/>
    <cellStyle name="Porcentaje 9 4 2 2 2 3" xfId="14572" xr:uid="{00000000-0005-0000-0000-0000D3990000}"/>
    <cellStyle name="Porcentaje 9 4 2 2 2 3 2" xfId="34287" xr:uid="{00000000-0005-0000-0000-0000D4990000}"/>
    <cellStyle name="Porcentaje 9 4 2 2 2 4" xfId="24430" xr:uid="{00000000-0005-0000-0000-0000D5990000}"/>
    <cellStyle name="Porcentaje 9 4 2 2 3" xfId="7176" xr:uid="{00000000-0005-0000-0000-0000D6990000}"/>
    <cellStyle name="Porcentaje 9 4 2 2 3 2" xfId="17036" xr:uid="{00000000-0005-0000-0000-0000D7990000}"/>
    <cellStyle name="Porcentaje 9 4 2 2 3 2 2" xfId="36751" xr:uid="{00000000-0005-0000-0000-0000D8990000}"/>
    <cellStyle name="Porcentaje 9 4 2 2 3 3" xfId="26894" xr:uid="{00000000-0005-0000-0000-0000D9990000}"/>
    <cellStyle name="Porcentaje 9 4 2 2 4" xfId="12108" xr:uid="{00000000-0005-0000-0000-0000DA990000}"/>
    <cellStyle name="Porcentaje 9 4 2 2 4 2" xfId="31823" xr:uid="{00000000-0005-0000-0000-0000DB990000}"/>
    <cellStyle name="Porcentaje 9 4 2 2 5" xfId="21966" xr:uid="{00000000-0005-0000-0000-0000DC990000}"/>
    <cellStyle name="Porcentaje 9 4 2 3" xfId="3476" xr:uid="{00000000-0005-0000-0000-0000DD990000}"/>
    <cellStyle name="Porcentaje 9 4 2 3 2" xfId="8408" xr:uid="{00000000-0005-0000-0000-0000DE990000}"/>
    <cellStyle name="Porcentaje 9 4 2 3 2 2" xfId="18268" xr:uid="{00000000-0005-0000-0000-0000DF990000}"/>
    <cellStyle name="Porcentaje 9 4 2 3 2 2 2" xfId="37983" xr:uid="{00000000-0005-0000-0000-0000E0990000}"/>
    <cellStyle name="Porcentaje 9 4 2 3 2 3" xfId="28126" xr:uid="{00000000-0005-0000-0000-0000E1990000}"/>
    <cellStyle name="Porcentaje 9 4 2 3 3" xfId="13340" xr:uid="{00000000-0005-0000-0000-0000E2990000}"/>
    <cellStyle name="Porcentaje 9 4 2 3 3 2" xfId="33055" xr:uid="{00000000-0005-0000-0000-0000E3990000}"/>
    <cellStyle name="Porcentaje 9 4 2 3 4" xfId="23198" xr:uid="{00000000-0005-0000-0000-0000E4990000}"/>
    <cellStyle name="Porcentaje 9 4 2 4" xfId="5944" xr:uid="{00000000-0005-0000-0000-0000E5990000}"/>
    <cellStyle name="Porcentaje 9 4 2 4 2" xfId="15804" xr:uid="{00000000-0005-0000-0000-0000E6990000}"/>
    <cellStyle name="Porcentaje 9 4 2 4 2 2" xfId="35519" xr:uid="{00000000-0005-0000-0000-0000E7990000}"/>
    <cellStyle name="Porcentaje 9 4 2 4 3" xfId="25662" xr:uid="{00000000-0005-0000-0000-0000E8990000}"/>
    <cellStyle name="Porcentaje 9 4 2 5" xfId="10876" xr:uid="{00000000-0005-0000-0000-0000E9990000}"/>
    <cellStyle name="Porcentaje 9 4 2 5 2" xfId="30591" xr:uid="{00000000-0005-0000-0000-0000EA990000}"/>
    <cellStyle name="Porcentaje 9 4 2 6" xfId="20734" xr:uid="{00000000-0005-0000-0000-0000EB990000}"/>
    <cellStyle name="Porcentaje 9 4 3" xfId="1625" xr:uid="{00000000-0005-0000-0000-0000EC990000}"/>
    <cellStyle name="Porcentaje 9 4 3 2" xfId="4092" xr:uid="{00000000-0005-0000-0000-0000ED990000}"/>
    <cellStyle name="Porcentaje 9 4 3 2 2" xfId="9024" xr:uid="{00000000-0005-0000-0000-0000EE990000}"/>
    <cellStyle name="Porcentaje 9 4 3 2 2 2" xfId="18884" xr:uid="{00000000-0005-0000-0000-0000EF990000}"/>
    <cellStyle name="Porcentaje 9 4 3 2 2 2 2" xfId="38599" xr:uid="{00000000-0005-0000-0000-0000F0990000}"/>
    <cellStyle name="Porcentaje 9 4 3 2 2 3" xfId="28742" xr:uid="{00000000-0005-0000-0000-0000F1990000}"/>
    <cellStyle name="Porcentaje 9 4 3 2 3" xfId="13956" xr:uid="{00000000-0005-0000-0000-0000F2990000}"/>
    <cellStyle name="Porcentaje 9 4 3 2 3 2" xfId="33671" xr:uid="{00000000-0005-0000-0000-0000F3990000}"/>
    <cellStyle name="Porcentaje 9 4 3 2 4" xfId="23814" xr:uid="{00000000-0005-0000-0000-0000F4990000}"/>
    <cellStyle name="Porcentaje 9 4 3 3" xfId="6560" xr:uid="{00000000-0005-0000-0000-0000F5990000}"/>
    <cellStyle name="Porcentaje 9 4 3 3 2" xfId="16420" xr:uid="{00000000-0005-0000-0000-0000F6990000}"/>
    <cellStyle name="Porcentaje 9 4 3 3 2 2" xfId="36135" xr:uid="{00000000-0005-0000-0000-0000F7990000}"/>
    <cellStyle name="Porcentaje 9 4 3 3 3" xfId="26278" xr:uid="{00000000-0005-0000-0000-0000F8990000}"/>
    <cellStyle name="Porcentaje 9 4 3 4" xfId="11492" xr:uid="{00000000-0005-0000-0000-0000F9990000}"/>
    <cellStyle name="Porcentaje 9 4 3 4 2" xfId="31207" xr:uid="{00000000-0005-0000-0000-0000FA990000}"/>
    <cellStyle name="Porcentaje 9 4 3 5" xfId="21350" xr:uid="{00000000-0005-0000-0000-0000FB990000}"/>
    <cellStyle name="Porcentaje 9 4 4" xfId="2860" xr:uid="{00000000-0005-0000-0000-0000FC990000}"/>
    <cellStyle name="Porcentaje 9 4 4 2" xfId="7792" xr:uid="{00000000-0005-0000-0000-0000FD990000}"/>
    <cellStyle name="Porcentaje 9 4 4 2 2" xfId="17652" xr:uid="{00000000-0005-0000-0000-0000FE990000}"/>
    <cellStyle name="Porcentaje 9 4 4 2 2 2" xfId="37367" xr:uid="{00000000-0005-0000-0000-0000FF990000}"/>
    <cellStyle name="Porcentaje 9 4 4 2 3" xfId="27510" xr:uid="{00000000-0005-0000-0000-0000009A0000}"/>
    <cellStyle name="Porcentaje 9 4 4 3" xfId="12724" xr:uid="{00000000-0005-0000-0000-0000019A0000}"/>
    <cellStyle name="Porcentaje 9 4 4 3 2" xfId="32439" xr:uid="{00000000-0005-0000-0000-0000029A0000}"/>
    <cellStyle name="Porcentaje 9 4 4 4" xfId="22582" xr:uid="{00000000-0005-0000-0000-0000039A0000}"/>
    <cellStyle name="Porcentaje 9 4 5" xfId="5328" xr:uid="{00000000-0005-0000-0000-0000049A0000}"/>
    <cellStyle name="Porcentaje 9 4 5 2" xfId="15188" xr:uid="{00000000-0005-0000-0000-0000059A0000}"/>
    <cellStyle name="Porcentaje 9 4 5 2 2" xfId="34903" xr:uid="{00000000-0005-0000-0000-0000069A0000}"/>
    <cellStyle name="Porcentaje 9 4 5 3" xfId="25046" xr:uid="{00000000-0005-0000-0000-0000079A0000}"/>
    <cellStyle name="Porcentaje 9 4 6" xfId="10260" xr:uid="{00000000-0005-0000-0000-0000089A0000}"/>
    <cellStyle name="Porcentaje 9 4 6 2" xfId="29975" xr:uid="{00000000-0005-0000-0000-0000099A0000}"/>
    <cellStyle name="Porcentaje 9 4 7" xfId="20118" xr:uid="{00000000-0005-0000-0000-00000A9A0000}"/>
    <cellStyle name="Porcentaje 9 5" xfId="699" xr:uid="{00000000-0005-0000-0000-00000B9A0000}"/>
    <cellStyle name="Porcentaje 9 5 2" xfId="1935" xr:uid="{00000000-0005-0000-0000-00000C9A0000}"/>
    <cellStyle name="Porcentaje 9 5 2 2" xfId="4402" xr:uid="{00000000-0005-0000-0000-00000D9A0000}"/>
    <cellStyle name="Porcentaje 9 5 2 2 2" xfId="9334" xr:uid="{00000000-0005-0000-0000-00000E9A0000}"/>
    <cellStyle name="Porcentaje 9 5 2 2 2 2" xfId="19194" xr:uid="{00000000-0005-0000-0000-00000F9A0000}"/>
    <cellStyle name="Porcentaje 9 5 2 2 2 2 2" xfId="38909" xr:uid="{00000000-0005-0000-0000-0000109A0000}"/>
    <cellStyle name="Porcentaje 9 5 2 2 2 3" xfId="29052" xr:uid="{00000000-0005-0000-0000-0000119A0000}"/>
    <cellStyle name="Porcentaje 9 5 2 2 3" xfId="14266" xr:uid="{00000000-0005-0000-0000-0000129A0000}"/>
    <cellStyle name="Porcentaje 9 5 2 2 3 2" xfId="33981" xr:uid="{00000000-0005-0000-0000-0000139A0000}"/>
    <cellStyle name="Porcentaje 9 5 2 2 4" xfId="24124" xr:uid="{00000000-0005-0000-0000-0000149A0000}"/>
    <cellStyle name="Porcentaje 9 5 2 3" xfId="6870" xr:uid="{00000000-0005-0000-0000-0000159A0000}"/>
    <cellStyle name="Porcentaje 9 5 2 3 2" xfId="16730" xr:uid="{00000000-0005-0000-0000-0000169A0000}"/>
    <cellStyle name="Porcentaje 9 5 2 3 2 2" xfId="36445" xr:uid="{00000000-0005-0000-0000-0000179A0000}"/>
    <cellStyle name="Porcentaje 9 5 2 3 3" xfId="26588" xr:uid="{00000000-0005-0000-0000-0000189A0000}"/>
    <cellStyle name="Porcentaje 9 5 2 4" xfId="11802" xr:uid="{00000000-0005-0000-0000-0000199A0000}"/>
    <cellStyle name="Porcentaje 9 5 2 4 2" xfId="31517" xr:uid="{00000000-0005-0000-0000-00001A9A0000}"/>
    <cellStyle name="Porcentaje 9 5 2 5" xfId="21660" xr:uid="{00000000-0005-0000-0000-00001B9A0000}"/>
    <cellStyle name="Porcentaje 9 5 3" xfId="3170" xr:uid="{00000000-0005-0000-0000-00001C9A0000}"/>
    <cellStyle name="Porcentaje 9 5 3 2" xfId="8102" xr:uid="{00000000-0005-0000-0000-00001D9A0000}"/>
    <cellStyle name="Porcentaje 9 5 3 2 2" xfId="17962" xr:uid="{00000000-0005-0000-0000-00001E9A0000}"/>
    <cellStyle name="Porcentaje 9 5 3 2 2 2" xfId="37677" xr:uid="{00000000-0005-0000-0000-00001F9A0000}"/>
    <cellStyle name="Porcentaje 9 5 3 2 3" xfId="27820" xr:uid="{00000000-0005-0000-0000-0000209A0000}"/>
    <cellStyle name="Porcentaje 9 5 3 3" xfId="13034" xr:uid="{00000000-0005-0000-0000-0000219A0000}"/>
    <cellStyle name="Porcentaje 9 5 3 3 2" xfId="32749" xr:uid="{00000000-0005-0000-0000-0000229A0000}"/>
    <cellStyle name="Porcentaje 9 5 3 4" xfId="22892" xr:uid="{00000000-0005-0000-0000-0000239A0000}"/>
    <cellStyle name="Porcentaje 9 5 4" xfId="5638" xr:uid="{00000000-0005-0000-0000-0000249A0000}"/>
    <cellStyle name="Porcentaje 9 5 4 2" xfId="15498" xr:uid="{00000000-0005-0000-0000-0000259A0000}"/>
    <cellStyle name="Porcentaje 9 5 4 2 2" xfId="35213" xr:uid="{00000000-0005-0000-0000-0000269A0000}"/>
    <cellStyle name="Porcentaje 9 5 4 3" xfId="25356" xr:uid="{00000000-0005-0000-0000-0000279A0000}"/>
    <cellStyle name="Porcentaje 9 5 5" xfId="10570" xr:uid="{00000000-0005-0000-0000-0000289A0000}"/>
    <cellStyle name="Porcentaje 9 5 5 2" xfId="30285" xr:uid="{00000000-0005-0000-0000-0000299A0000}"/>
    <cellStyle name="Porcentaje 9 5 6" xfId="20428" xr:uid="{00000000-0005-0000-0000-00002A9A0000}"/>
    <cellStyle name="Porcentaje 9 6" xfId="1319" xr:uid="{00000000-0005-0000-0000-00002B9A0000}"/>
    <cellStyle name="Porcentaje 9 6 2" xfId="3786" xr:uid="{00000000-0005-0000-0000-00002C9A0000}"/>
    <cellStyle name="Porcentaje 9 6 2 2" xfId="8718" xr:uid="{00000000-0005-0000-0000-00002D9A0000}"/>
    <cellStyle name="Porcentaje 9 6 2 2 2" xfId="18578" xr:uid="{00000000-0005-0000-0000-00002E9A0000}"/>
    <cellStyle name="Porcentaje 9 6 2 2 2 2" xfId="38293" xr:uid="{00000000-0005-0000-0000-00002F9A0000}"/>
    <cellStyle name="Porcentaje 9 6 2 2 3" xfId="28436" xr:uid="{00000000-0005-0000-0000-0000309A0000}"/>
    <cellStyle name="Porcentaje 9 6 2 3" xfId="13650" xr:uid="{00000000-0005-0000-0000-0000319A0000}"/>
    <cellStyle name="Porcentaje 9 6 2 3 2" xfId="33365" xr:uid="{00000000-0005-0000-0000-0000329A0000}"/>
    <cellStyle name="Porcentaje 9 6 2 4" xfId="23508" xr:uid="{00000000-0005-0000-0000-0000339A0000}"/>
    <cellStyle name="Porcentaje 9 6 3" xfId="6254" xr:uid="{00000000-0005-0000-0000-0000349A0000}"/>
    <cellStyle name="Porcentaje 9 6 3 2" xfId="16114" xr:uid="{00000000-0005-0000-0000-0000359A0000}"/>
    <cellStyle name="Porcentaje 9 6 3 2 2" xfId="35829" xr:uid="{00000000-0005-0000-0000-0000369A0000}"/>
    <cellStyle name="Porcentaje 9 6 3 3" xfId="25972" xr:uid="{00000000-0005-0000-0000-0000379A0000}"/>
    <cellStyle name="Porcentaje 9 6 4" xfId="11186" xr:uid="{00000000-0005-0000-0000-0000389A0000}"/>
    <cellStyle name="Porcentaje 9 6 4 2" xfId="30901" xr:uid="{00000000-0005-0000-0000-0000399A0000}"/>
    <cellStyle name="Porcentaje 9 6 5" xfId="21044" xr:uid="{00000000-0005-0000-0000-00003A9A0000}"/>
    <cellStyle name="Porcentaje 9 7" xfId="2554" xr:uid="{00000000-0005-0000-0000-00003B9A0000}"/>
    <cellStyle name="Porcentaje 9 7 2" xfId="7486" xr:uid="{00000000-0005-0000-0000-00003C9A0000}"/>
    <cellStyle name="Porcentaje 9 7 2 2" xfId="17346" xr:uid="{00000000-0005-0000-0000-00003D9A0000}"/>
    <cellStyle name="Porcentaje 9 7 2 2 2" xfId="37061" xr:uid="{00000000-0005-0000-0000-00003E9A0000}"/>
    <cellStyle name="Porcentaje 9 7 2 3" xfId="27204" xr:uid="{00000000-0005-0000-0000-00003F9A0000}"/>
    <cellStyle name="Porcentaje 9 7 3" xfId="12418" xr:uid="{00000000-0005-0000-0000-0000409A0000}"/>
    <cellStyle name="Porcentaje 9 7 3 2" xfId="32133" xr:uid="{00000000-0005-0000-0000-0000419A0000}"/>
    <cellStyle name="Porcentaje 9 7 4" xfId="22276" xr:uid="{00000000-0005-0000-0000-0000429A0000}"/>
    <cellStyle name="Porcentaje 9 8" xfId="5022" xr:uid="{00000000-0005-0000-0000-0000439A0000}"/>
    <cellStyle name="Porcentaje 9 8 2" xfId="14882" xr:uid="{00000000-0005-0000-0000-0000449A0000}"/>
    <cellStyle name="Porcentaje 9 8 2 2" xfId="34597" xr:uid="{00000000-0005-0000-0000-0000459A0000}"/>
    <cellStyle name="Porcentaje 9 8 3" xfId="24740" xr:uid="{00000000-0005-0000-0000-0000469A0000}"/>
    <cellStyle name="Porcentaje 9 9" xfId="9954" xr:uid="{00000000-0005-0000-0000-0000479A0000}"/>
    <cellStyle name="Porcentaje 9 9 2" xfId="29669" xr:uid="{00000000-0005-0000-0000-0000489A0000}"/>
  </cellStyles>
  <dxfs count="154">
    <dxf>
      <alignment horizontal="center" readingOrder="0"/>
    </dxf>
    <dxf>
      <alignment horizontal="center" readingOrder="0"/>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font>
        <color rgb="FF9C0006"/>
      </font>
      <fill>
        <patternFill>
          <bgColor rgb="FFFFC7CE"/>
        </patternFill>
      </fill>
    </dxf>
    <dxf>
      <font>
        <color rgb="FF9C0006"/>
      </font>
      <fill>
        <patternFill>
          <bgColor rgb="FFFFC7CE"/>
        </patternFill>
      </fill>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65" formatCode="_ &quot;S/.&quot;\ * #,##0.00_ ;_ &quot;S/.&quot;\ * \-#,##0.00_ ;_ &quot;S/.&quot;\ * &quot;-&quot;??_ ;_ @_ "/>
    </dxf>
    <dxf>
      <numFmt numFmtId="165" formatCode="_ &quot;S/.&quot;\ * #,##0.00_ ;_ &quot;S/.&quot;\ * \-#,##0.00_ ;_ &quot;S/.&quot;\ * &quot;-&quot;??_ ;_ @_ "/>
    </dxf>
    <dxf>
      <font>
        <color rgb="FF9C0006"/>
      </font>
      <fill>
        <patternFill>
          <bgColor rgb="FFFFC7CE"/>
        </patternFill>
      </fill>
    </dxf>
    <dxf>
      <font>
        <color rgb="FF9C0006"/>
      </font>
      <fill>
        <patternFill>
          <bgColor rgb="FFFFC7CE"/>
        </patternFill>
      </fill>
    </dxf>
    <dxf>
      <numFmt numFmtId="165" formatCode="_ &quot;S/.&quot;\ * #,##0.00_ ;_ &quot;S/.&quot;\ * \-#,##0.00_ ;_ &quot;S/.&quot;\ * &quot;-&quot;??_ ;_ @_ "/>
    </dxf>
    <dxf>
      <font>
        <color rgb="FF9C0006"/>
      </font>
      <fill>
        <patternFill>
          <bgColor rgb="FFFFC7CE"/>
        </patternFill>
      </fill>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numFmt numFmtId="165" formatCode="_ &quot;S/.&quot;\ * #,##0.00_ ;_ &quot;S/.&quot;\ * \-#,##0.00_ ;_ &quot;S/.&quot;\ * &quot;-&quot;??_ ;_ @_ "/>
    </dxf>
    <dxf>
      <font>
        <color rgb="FF9C0006"/>
      </font>
      <fill>
        <patternFill>
          <bgColor rgb="FFFFC7CE"/>
        </patternFill>
      </fill>
    </dxf>
    <dxf>
      <numFmt numFmtId="165" formatCode="_ &quot;S/.&quot;\ * #,##0.00_ ;_ &quot;S/.&quot;\ * \-#,##0.00_ ;_ &quot;S/.&quot;\ * &quot;-&quot;??_ ;_ @_ "/>
    </dxf>
    <dxf>
      <font>
        <color rgb="FFC00000"/>
      </font>
    </dxf>
    <dxf>
      <font>
        <color rgb="FFC00000"/>
      </font>
    </dxf>
    <dxf>
      <font>
        <color rgb="FFC00000"/>
      </font>
    </dxf>
    <dxf>
      <numFmt numFmtId="165" formatCode="_ &quot;S/.&quot;\ * #,##0.00_ ;_ &quot;S/.&quot;\ * \-#,##0.00_ ;_ &quot;S/.&quot;\ * &quot;-&quot;??_ ;_ @_ "/>
    </dxf>
    <dxf>
      <font>
        <color rgb="FFC00000"/>
      </font>
    </dxf>
    <dxf>
      <font>
        <color theme="0"/>
      </font>
    </dxf>
    <dxf>
      <numFmt numFmtId="165" formatCode="_ &quot;S/.&quot;\ * #,##0.00_ ;_ &quot;S/.&quot;\ * \-#,##0.00_ ;_ &quot;S/.&quot;\ * &quot;-&quot;??_ ;_ @_ "/>
    </dxf>
  </dxfs>
  <tableStyles count="0" defaultTableStyle="TableStyleMedium9" defaultPivotStyle="PivotStyleLight16"/>
  <colors>
    <mruColors>
      <color rgb="FFFFFF99"/>
      <color rgb="FF000066"/>
      <color rgb="FF0033CC"/>
      <color rgb="FF32587A"/>
      <color rgb="FF314659"/>
      <color rgb="FFFFCC00"/>
      <color rgb="FFA0ABBC"/>
      <color rgb="FF666699"/>
      <color rgb="FF546B7E"/>
      <color rgb="FF6686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6.png"/></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5.emf"/><Relationship Id="rId3" Type="http://schemas.openxmlformats.org/officeDocument/2006/relationships/image" Target="../media/image21.emf"/><Relationship Id="rId7" Type="http://schemas.openxmlformats.org/officeDocument/2006/relationships/image" Target="../media/image17.emf"/><Relationship Id="rId12" Type="http://schemas.openxmlformats.org/officeDocument/2006/relationships/image" Target="../media/image24.emf"/><Relationship Id="rId2" Type="http://schemas.openxmlformats.org/officeDocument/2006/relationships/image" Target="../media/image22.emf"/><Relationship Id="rId1" Type="http://schemas.openxmlformats.org/officeDocument/2006/relationships/image" Target="../media/image23.emf"/><Relationship Id="rId6" Type="http://schemas.openxmlformats.org/officeDocument/2006/relationships/image" Target="../media/image18.emf"/><Relationship Id="rId11" Type="http://schemas.openxmlformats.org/officeDocument/2006/relationships/image" Target="../media/image13.emf"/><Relationship Id="rId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20.emf"/><Relationship Id="rId9"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xdr:colOff>
          <xdr:row>0</xdr:row>
          <xdr:rowOff>76200</xdr:rowOff>
        </xdr:from>
        <xdr:to>
          <xdr:col>5</xdr:col>
          <xdr:colOff>411480</xdr:colOff>
          <xdr:row>3</xdr:row>
          <xdr:rowOff>167640</xdr:rowOff>
        </xdr:to>
        <xdr:sp macro="" textlink="">
          <xdr:nvSpPr>
            <xdr:cNvPr id="44078" name="RedPre_Button" hidden="1">
              <a:extLst>
                <a:ext uri="{63B3BB69-23CF-44E3-9099-C40C66FF867C}">
                  <a14:compatExt spid="_x0000_s44078"/>
                </a:ext>
                <a:ext uri="{FF2B5EF4-FFF2-40B4-BE49-F238E27FC236}">
                  <a16:creationId xmlns:a16="http://schemas.microsoft.com/office/drawing/2014/main" id="{00000000-0008-0000-0000-00002E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502920</xdr:colOff>
          <xdr:row>0</xdr:row>
          <xdr:rowOff>68580</xdr:rowOff>
        </xdr:from>
        <xdr:to>
          <xdr:col>6</xdr:col>
          <xdr:colOff>723900</xdr:colOff>
          <xdr:row>2</xdr:row>
          <xdr:rowOff>83820</xdr:rowOff>
        </xdr:to>
        <xdr:sp macro="" textlink="">
          <xdr:nvSpPr>
            <xdr:cNvPr id="44755" name="CambMarca_Button" hidden="1">
              <a:extLst>
                <a:ext uri="{63B3BB69-23CF-44E3-9099-C40C66FF867C}">
                  <a14:compatExt spid="_x0000_s44755"/>
                </a:ext>
                <a:ext uri="{FF2B5EF4-FFF2-40B4-BE49-F238E27FC236}">
                  <a16:creationId xmlns:a16="http://schemas.microsoft.com/office/drawing/2014/main" id="{00000000-0008-0000-0000-0000D3A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2</xdr:row>
          <xdr:rowOff>121920</xdr:rowOff>
        </xdr:from>
        <xdr:to>
          <xdr:col>6</xdr:col>
          <xdr:colOff>746760</xdr:colOff>
          <xdr:row>3</xdr:row>
          <xdr:rowOff>121920</xdr:rowOff>
        </xdr:to>
        <xdr:sp macro="" textlink="">
          <xdr:nvSpPr>
            <xdr:cNvPr id="44757" name="Marca_ComboBox" hidden="1">
              <a:extLst>
                <a:ext uri="{63B3BB69-23CF-44E3-9099-C40C66FF867C}">
                  <a14:compatExt spid="_x0000_s44757"/>
                </a:ext>
                <a:ext uri="{FF2B5EF4-FFF2-40B4-BE49-F238E27FC236}">
                  <a16:creationId xmlns:a16="http://schemas.microsoft.com/office/drawing/2014/main" id="{00000000-0008-0000-0000-0000D5A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0</xdr:row>
          <xdr:rowOff>68580</xdr:rowOff>
        </xdr:from>
        <xdr:to>
          <xdr:col>3</xdr:col>
          <xdr:colOff>929640</xdr:colOff>
          <xdr:row>3</xdr:row>
          <xdr:rowOff>167640</xdr:rowOff>
        </xdr:to>
        <xdr:sp macro="" textlink="">
          <xdr:nvSpPr>
            <xdr:cNvPr id="44906" name="ActBase_Button" hidden="1">
              <a:extLst>
                <a:ext uri="{63B3BB69-23CF-44E3-9099-C40C66FF867C}">
                  <a14:compatExt spid="_x0000_s44906"/>
                </a:ext>
                <a:ext uri="{FF2B5EF4-FFF2-40B4-BE49-F238E27FC236}">
                  <a16:creationId xmlns:a16="http://schemas.microsoft.com/office/drawing/2014/main" id="{00000000-0008-0000-0000-00006AA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975360</xdr:colOff>
          <xdr:row>0</xdr:row>
          <xdr:rowOff>76200</xdr:rowOff>
        </xdr:from>
        <xdr:to>
          <xdr:col>3</xdr:col>
          <xdr:colOff>1722120</xdr:colOff>
          <xdr:row>1</xdr:row>
          <xdr:rowOff>160020</xdr:rowOff>
        </xdr:to>
        <xdr:sp macro="" textlink="">
          <xdr:nvSpPr>
            <xdr:cNvPr id="44909" name="Enumerar_Button" hidden="1">
              <a:extLst>
                <a:ext uri="{63B3BB69-23CF-44E3-9099-C40C66FF867C}">
                  <a14:compatExt spid="_x0000_s44909"/>
                </a:ext>
                <a:ext uri="{FF2B5EF4-FFF2-40B4-BE49-F238E27FC236}">
                  <a16:creationId xmlns:a16="http://schemas.microsoft.com/office/drawing/2014/main" id="{00000000-0008-0000-0000-00006DA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960120</xdr:colOff>
          <xdr:row>1</xdr:row>
          <xdr:rowOff>182880</xdr:rowOff>
        </xdr:from>
        <xdr:to>
          <xdr:col>3</xdr:col>
          <xdr:colOff>1722120</xdr:colOff>
          <xdr:row>3</xdr:row>
          <xdr:rowOff>160020</xdr:rowOff>
        </xdr:to>
        <xdr:sp macro="" textlink="">
          <xdr:nvSpPr>
            <xdr:cNvPr id="524484" name="Contabilizar_Button" hidden="1">
              <a:extLst>
                <a:ext uri="{63B3BB69-23CF-44E3-9099-C40C66FF867C}">
                  <a14:compatExt spid="_x0000_s524484"/>
                </a:ext>
                <a:ext uri="{FF2B5EF4-FFF2-40B4-BE49-F238E27FC236}">
                  <a16:creationId xmlns:a16="http://schemas.microsoft.com/office/drawing/2014/main" id="{00000000-0008-0000-0000-0000C40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17</xdr:col>
      <xdr:colOff>0</xdr:colOff>
      <xdr:row>3462</xdr:row>
      <xdr:rowOff>0</xdr:rowOff>
    </xdr:from>
    <xdr:to>
      <xdr:col>20</xdr:col>
      <xdr:colOff>512677</xdr:colOff>
      <xdr:row>3475</xdr:row>
      <xdr:rowOff>219439</xdr:rowOff>
    </xdr:to>
    <xdr:pic>
      <xdr:nvPicPr>
        <xdr:cNvPr id="8" name="7 Imagen">
          <a:extLst>
            <a:ext uri="{FF2B5EF4-FFF2-40B4-BE49-F238E27FC236}">
              <a16:creationId xmlns:a16="http://schemas.microsoft.com/office/drawing/2014/main" id="{00000000-0008-0000-0000-000008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7927300" y="65627250"/>
          <a:ext cx="2798677" cy="24925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3462</xdr:row>
      <xdr:rowOff>0</xdr:rowOff>
    </xdr:from>
    <xdr:to>
      <xdr:col>20</xdr:col>
      <xdr:colOff>512677</xdr:colOff>
      <xdr:row>3475</xdr:row>
      <xdr:rowOff>217759</xdr:rowOff>
    </xdr:to>
    <xdr:pic>
      <xdr:nvPicPr>
        <xdr:cNvPr id="9" name="8 Imagen">
          <a:extLst>
            <a:ext uri="{FF2B5EF4-FFF2-40B4-BE49-F238E27FC236}">
              <a16:creationId xmlns:a16="http://schemas.microsoft.com/office/drawing/2014/main" id="{00000000-0008-0000-0000-000009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7927300" y="65627250"/>
          <a:ext cx="2798677" cy="2481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3462</xdr:row>
      <xdr:rowOff>0</xdr:rowOff>
    </xdr:from>
    <xdr:to>
      <xdr:col>20</xdr:col>
      <xdr:colOff>512677</xdr:colOff>
      <xdr:row>3475</xdr:row>
      <xdr:rowOff>217758</xdr:rowOff>
    </xdr:to>
    <xdr:pic>
      <xdr:nvPicPr>
        <xdr:cNvPr id="10" name="9 Imagen">
          <a:extLst>
            <a:ext uri="{FF2B5EF4-FFF2-40B4-BE49-F238E27FC236}">
              <a16:creationId xmlns:a16="http://schemas.microsoft.com/office/drawing/2014/main" id="{00000000-0008-0000-00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7927300" y="65627250"/>
          <a:ext cx="2798677" cy="248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3462</xdr:row>
      <xdr:rowOff>0</xdr:rowOff>
    </xdr:from>
    <xdr:to>
      <xdr:col>20</xdr:col>
      <xdr:colOff>512677</xdr:colOff>
      <xdr:row>3475</xdr:row>
      <xdr:rowOff>217758</xdr:rowOff>
    </xdr:to>
    <xdr:pic>
      <xdr:nvPicPr>
        <xdr:cNvPr id="11" name="10 Imagen">
          <a:extLst>
            <a:ext uri="{FF2B5EF4-FFF2-40B4-BE49-F238E27FC236}">
              <a16:creationId xmlns:a16="http://schemas.microsoft.com/office/drawing/2014/main" id="{00000000-0008-0000-0000-00000B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7927300" y="65627250"/>
          <a:ext cx="2798677" cy="248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1445558</xdr:colOff>
      <xdr:row>3462</xdr:row>
      <xdr:rowOff>0</xdr:rowOff>
    </xdr:from>
    <xdr:to>
      <xdr:col>2</xdr:col>
      <xdr:colOff>1447231</xdr:colOff>
      <xdr:row>3475</xdr:row>
      <xdr:rowOff>217758</xdr:rowOff>
    </xdr:to>
    <xdr:pic>
      <xdr:nvPicPr>
        <xdr:cNvPr id="12" name="11 Imagen">
          <a:extLst>
            <a:ext uri="{FF2B5EF4-FFF2-40B4-BE49-F238E27FC236}">
              <a16:creationId xmlns:a16="http://schemas.microsoft.com/office/drawing/2014/main" id="{00000000-0008-0000-0000-00000C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678" t="3252" r="10409" b="23043"/>
        <a:stretch/>
      </xdr:blipFill>
      <xdr:spPr bwMode="auto">
        <a:xfrm>
          <a:off x="3207683" y="65627250"/>
          <a:ext cx="1673" cy="248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3462</xdr:row>
      <xdr:rowOff>0</xdr:rowOff>
    </xdr:from>
    <xdr:to>
      <xdr:col>20</xdr:col>
      <xdr:colOff>512677</xdr:colOff>
      <xdr:row>3475</xdr:row>
      <xdr:rowOff>219440</xdr:rowOff>
    </xdr:to>
    <xdr:pic>
      <xdr:nvPicPr>
        <xdr:cNvPr id="13" name="12 Imagen">
          <a:extLst>
            <a:ext uri="{FF2B5EF4-FFF2-40B4-BE49-F238E27FC236}">
              <a16:creationId xmlns:a16="http://schemas.microsoft.com/office/drawing/2014/main" id="{00000000-0008-0000-0000-00000D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7927300" y="65627250"/>
          <a:ext cx="2798677" cy="24925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3462</xdr:row>
      <xdr:rowOff>0</xdr:rowOff>
    </xdr:from>
    <xdr:to>
      <xdr:col>20</xdr:col>
      <xdr:colOff>512677</xdr:colOff>
      <xdr:row>3475</xdr:row>
      <xdr:rowOff>217760</xdr:rowOff>
    </xdr:to>
    <xdr:pic>
      <xdr:nvPicPr>
        <xdr:cNvPr id="14" name="13 Imagen">
          <a:extLst>
            <a:ext uri="{FF2B5EF4-FFF2-40B4-BE49-F238E27FC236}">
              <a16:creationId xmlns:a16="http://schemas.microsoft.com/office/drawing/2014/main" id="{00000000-0008-0000-0000-00000E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7927300" y="65627250"/>
          <a:ext cx="2798677" cy="24813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3462</xdr:row>
      <xdr:rowOff>0</xdr:rowOff>
    </xdr:from>
    <xdr:to>
      <xdr:col>20</xdr:col>
      <xdr:colOff>512677</xdr:colOff>
      <xdr:row>3475</xdr:row>
      <xdr:rowOff>217759</xdr:rowOff>
    </xdr:to>
    <xdr:pic>
      <xdr:nvPicPr>
        <xdr:cNvPr id="15" name="14 Imagen">
          <a:extLst>
            <a:ext uri="{FF2B5EF4-FFF2-40B4-BE49-F238E27FC236}">
              <a16:creationId xmlns:a16="http://schemas.microsoft.com/office/drawing/2014/main" id="{00000000-0008-0000-0000-00000F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7927300" y="65627250"/>
          <a:ext cx="2798677" cy="2481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3462</xdr:row>
      <xdr:rowOff>0</xdr:rowOff>
    </xdr:from>
    <xdr:to>
      <xdr:col>20</xdr:col>
      <xdr:colOff>512677</xdr:colOff>
      <xdr:row>3475</xdr:row>
      <xdr:rowOff>217759</xdr:rowOff>
    </xdr:to>
    <xdr:pic>
      <xdr:nvPicPr>
        <xdr:cNvPr id="16" name="15 Imagen">
          <a:extLst>
            <a:ext uri="{FF2B5EF4-FFF2-40B4-BE49-F238E27FC236}">
              <a16:creationId xmlns:a16="http://schemas.microsoft.com/office/drawing/2014/main" id="{00000000-0008-0000-0000-000010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7927300" y="65627250"/>
          <a:ext cx="2798677" cy="2481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3462</xdr:row>
      <xdr:rowOff>0</xdr:rowOff>
    </xdr:from>
    <xdr:to>
      <xdr:col>20</xdr:col>
      <xdr:colOff>512677</xdr:colOff>
      <xdr:row>3476</xdr:row>
      <xdr:rowOff>1484</xdr:rowOff>
    </xdr:to>
    <xdr:pic>
      <xdr:nvPicPr>
        <xdr:cNvPr id="17" name="16 Imagen">
          <a:extLst>
            <a:ext uri="{FF2B5EF4-FFF2-40B4-BE49-F238E27FC236}">
              <a16:creationId xmlns:a16="http://schemas.microsoft.com/office/drawing/2014/main" id="{00000000-0008-0000-0000-000011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27927300" y="65627250"/>
          <a:ext cx="2798677" cy="24700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1445558</xdr:colOff>
      <xdr:row>3462</xdr:row>
      <xdr:rowOff>0</xdr:rowOff>
    </xdr:from>
    <xdr:to>
      <xdr:col>2</xdr:col>
      <xdr:colOff>1447231</xdr:colOff>
      <xdr:row>3476</xdr:row>
      <xdr:rowOff>1484</xdr:rowOff>
    </xdr:to>
    <xdr:pic>
      <xdr:nvPicPr>
        <xdr:cNvPr id="18" name="17 Imagen">
          <a:extLst>
            <a:ext uri="{FF2B5EF4-FFF2-40B4-BE49-F238E27FC236}">
              <a16:creationId xmlns:a16="http://schemas.microsoft.com/office/drawing/2014/main" id="{00000000-0008-0000-0000-000012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678" t="3252" r="10409" b="23043"/>
        <a:stretch/>
      </xdr:blipFill>
      <xdr:spPr bwMode="auto">
        <a:xfrm>
          <a:off x="3207683" y="65627250"/>
          <a:ext cx="1673" cy="24700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1264920</xdr:colOff>
          <xdr:row>11</xdr:row>
          <xdr:rowOff>137160</xdr:rowOff>
        </xdr:from>
        <xdr:to>
          <xdr:col>6</xdr:col>
          <xdr:colOff>2148840</xdr:colOff>
          <xdr:row>17</xdr:row>
          <xdr:rowOff>0</xdr:rowOff>
        </xdr:to>
        <xdr:sp macro="" textlink="">
          <xdr:nvSpPr>
            <xdr:cNvPr id="332952" name="ActBase2_Button" hidden="1">
              <a:extLst>
                <a:ext uri="{63B3BB69-23CF-44E3-9099-C40C66FF867C}">
                  <a14:compatExt spid="_x0000_s332952"/>
                </a:ext>
                <a:ext uri="{FF2B5EF4-FFF2-40B4-BE49-F238E27FC236}">
                  <a16:creationId xmlns:a16="http://schemas.microsoft.com/office/drawing/2014/main" id="{00000000-0008-0000-0100-0000981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14</xdr:col>
      <xdr:colOff>561975</xdr:colOff>
      <xdr:row>0</xdr:row>
      <xdr:rowOff>47625</xdr:rowOff>
    </xdr:from>
    <xdr:to>
      <xdr:col>16</xdr:col>
      <xdr:colOff>323850</xdr:colOff>
      <xdr:row>3</xdr:row>
      <xdr:rowOff>152400</xdr:rowOff>
    </xdr:to>
    <xdr:sp macro="[0]!calculo02" textlink="">
      <xdr:nvSpPr>
        <xdr:cNvPr id="4" name="3 Flecha derecha">
          <a:extLst>
            <a:ext uri="{FF2B5EF4-FFF2-40B4-BE49-F238E27FC236}">
              <a16:creationId xmlns:a16="http://schemas.microsoft.com/office/drawing/2014/main" id="{00000000-0008-0000-0300-000004000000}"/>
            </a:ext>
          </a:extLst>
        </xdr:cNvPr>
        <xdr:cNvSpPr/>
      </xdr:nvSpPr>
      <xdr:spPr>
        <a:xfrm rot="10800000" flipH="1" flipV="1">
          <a:off x="8429625" y="47625"/>
          <a:ext cx="1285875" cy="752475"/>
        </a:xfrm>
        <a:prstGeom prst="rightArrow">
          <a:avLst>
            <a:gd name="adj1" fmla="val 60851"/>
            <a:gd name="adj2" fmla="val 50000"/>
          </a:avLst>
        </a:prstGeom>
        <a:gradFill>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threePt" dir="t"/>
        </a:scene3d>
        <a:sp3d prstMaterial="flat">
          <a:bevelT prst="relaxedInset"/>
          <a:bevelB w="139700" prst="cross"/>
        </a:sp3d>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200" b="1"/>
            <a:t>CALCULO</a:t>
          </a:r>
        </a:p>
      </xdr:txBody>
    </xdr:sp>
    <xdr:clientData/>
  </xdr:twoCellAnchor>
  <xdr:twoCellAnchor>
    <xdr:from>
      <xdr:col>12</xdr:col>
      <xdr:colOff>323851</xdr:colOff>
      <xdr:row>0</xdr:row>
      <xdr:rowOff>47625</xdr:rowOff>
    </xdr:from>
    <xdr:to>
      <xdr:col>14</xdr:col>
      <xdr:colOff>371475</xdr:colOff>
      <xdr:row>3</xdr:row>
      <xdr:rowOff>152400</xdr:rowOff>
    </xdr:to>
    <xdr:sp macro="[0]!CALCULOBARRAS01" textlink="">
      <xdr:nvSpPr>
        <xdr:cNvPr id="5" name="4 Flecha derecha">
          <a:extLst>
            <a:ext uri="{FF2B5EF4-FFF2-40B4-BE49-F238E27FC236}">
              <a16:creationId xmlns:a16="http://schemas.microsoft.com/office/drawing/2014/main" id="{00000000-0008-0000-0300-000005000000}"/>
            </a:ext>
          </a:extLst>
        </xdr:cNvPr>
        <xdr:cNvSpPr/>
      </xdr:nvSpPr>
      <xdr:spPr>
        <a:xfrm rot="10800000" flipV="1">
          <a:off x="6667501" y="47625"/>
          <a:ext cx="1571624" cy="752475"/>
        </a:xfrm>
        <a:prstGeom prst="rightArrow">
          <a:avLst>
            <a:gd name="adj1" fmla="val 60851"/>
            <a:gd name="adj2" fmla="val 50000"/>
          </a:avLst>
        </a:prstGeom>
        <a:gradFill>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threePt" dir="t"/>
        </a:scene3d>
        <a:sp3d prstMaterial="flat">
          <a:bevelT prst="relaxedInset"/>
          <a:bevelB w="139700" prst="cross"/>
        </a:sp3d>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200" b="1"/>
            <a:t>CAL-BARRAS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1871465</xdr:colOff>
      <xdr:row>0</xdr:row>
      <xdr:rowOff>155043</xdr:rowOff>
    </xdr:from>
    <xdr:to>
      <xdr:col>4</xdr:col>
      <xdr:colOff>3990097</xdr:colOff>
      <xdr:row>4</xdr:row>
      <xdr:rowOff>44824</xdr:rowOff>
    </xdr:to>
    <xdr:pic>
      <xdr:nvPicPr>
        <xdr:cNvPr id="22492" name="Picture 1">
          <a:extLst>
            <a:ext uri="{FF2B5EF4-FFF2-40B4-BE49-F238E27FC236}">
              <a16:creationId xmlns:a16="http://schemas.microsoft.com/office/drawing/2014/main" id="{00000000-0008-0000-0900-0000DC57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49789" y="155043"/>
          <a:ext cx="2118632" cy="5173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2176742</xdr:colOff>
      <xdr:row>7</xdr:row>
      <xdr:rowOff>151840</xdr:rowOff>
    </xdr:from>
    <xdr:to>
      <xdr:col>2</xdr:col>
      <xdr:colOff>4975419</xdr:colOff>
      <xdr:row>20</xdr:row>
      <xdr:rowOff>42022</xdr:rowOff>
    </xdr:to>
    <xdr:pic>
      <xdr:nvPicPr>
        <xdr:cNvPr id="4" name="3 Imagen">
          <a:extLst>
            <a:ext uri="{FF2B5EF4-FFF2-40B4-BE49-F238E27FC236}">
              <a16:creationId xmlns:a16="http://schemas.microsoft.com/office/drawing/2014/main" id="{00000000-0008-0000-0D00-00000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3678" t="3252" r="10409" b="23043"/>
        <a:stretch/>
      </xdr:blipFill>
      <xdr:spPr bwMode="auto">
        <a:xfrm>
          <a:off x="3186392" y="1371040"/>
          <a:ext cx="2798677" cy="21190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1</xdr:col>
          <xdr:colOff>312420</xdr:colOff>
          <xdr:row>14</xdr:row>
          <xdr:rowOff>167640</xdr:rowOff>
        </xdr:to>
        <xdr:sp macro="" textlink="">
          <xdr:nvSpPr>
            <xdr:cNvPr id="251510" name="IPAut_ComboBox" hidden="1">
              <a:extLst>
                <a:ext uri="{63B3BB69-23CF-44E3-9099-C40C66FF867C}">
                  <a14:compatExt spid="_x0000_s251510"/>
                </a:ext>
                <a:ext uri="{FF2B5EF4-FFF2-40B4-BE49-F238E27FC236}">
                  <a16:creationId xmlns:a16="http://schemas.microsoft.com/office/drawing/2014/main" id="{00000000-0008-0000-1300-000076D6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312420</xdr:colOff>
          <xdr:row>18</xdr:row>
          <xdr:rowOff>167640</xdr:rowOff>
        </xdr:to>
        <xdr:sp macro="" textlink="">
          <xdr:nvSpPr>
            <xdr:cNvPr id="251511" name="ColorAut_ComboBox" hidden="1">
              <a:extLst>
                <a:ext uri="{63B3BB69-23CF-44E3-9099-C40C66FF867C}">
                  <a14:compatExt spid="_x0000_s251511"/>
                </a:ext>
                <a:ext uri="{FF2B5EF4-FFF2-40B4-BE49-F238E27FC236}">
                  <a16:creationId xmlns:a16="http://schemas.microsoft.com/office/drawing/2014/main" id="{00000000-0008-0000-1300-000077D6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0</xdr:rowOff>
        </xdr:from>
        <xdr:to>
          <xdr:col>1</xdr:col>
          <xdr:colOff>312420</xdr:colOff>
          <xdr:row>7</xdr:row>
          <xdr:rowOff>167640</xdr:rowOff>
        </xdr:to>
        <xdr:sp macro="" textlink="">
          <xdr:nvSpPr>
            <xdr:cNvPr id="251512" name="MarcaRed_ComboBox" hidden="1">
              <a:extLst>
                <a:ext uri="{63B3BB69-23CF-44E3-9099-C40C66FF867C}">
                  <a14:compatExt spid="_x0000_s251512"/>
                </a:ext>
                <a:ext uri="{FF2B5EF4-FFF2-40B4-BE49-F238E27FC236}">
                  <a16:creationId xmlns:a16="http://schemas.microsoft.com/office/drawing/2014/main" id="{00000000-0008-0000-1300-000078D6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312420</xdr:colOff>
          <xdr:row>22</xdr:row>
          <xdr:rowOff>167640</xdr:rowOff>
        </xdr:to>
        <xdr:sp macro="" textlink="">
          <xdr:nvSpPr>
            <xdr:cNvPr id="251513" name="TenAut_ComboBox" hidden="1">
              <a:extLst>
                <a:ext uri="{63B3BB69-23CF-44E3-9099-C40C66FF867C}">
                  <a14:compatExt spid="_x0000_s251513"/>
                </a:ext>
                <a:ext uri="{FF2B5EF4-FFF2-40B4-BE49-F238E27FC236}">
                  <a16:creationId xmlns:a16="http://schemas.microsoft.com/office/drawing/2014/main" id="{00000000-0008-0000-1300-000079D6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312420</xdr:colOff>
          <xdr:row>3</xdr:row>
          <xdr:rowOff>167640</xdr:rowOff>
        </xdr:to>
        <xdr:sp macro="" textlink="">
          <xdr:nvSpPr>
            <xdr:cNvPr id="251514" name="Vendedor_ComboBox" hidden="1">
              <a:extLst>
                <a:ext uri="{63B3BB69-23CF-44E3-9099-C40C66FF867C}">
                  <a14:compatExt spid="_x0000_s251514"/>
                </a:ext>
                <a:ext uri="{FF2B5EF4-FFF2-40B4-BE49-F238E27FC236}">
                  <a16:creationId xmlns:a16="http://schemas.microsoft.com/office/drawing/2014/main" id="{00000000-0008-0000-1300-00007AD6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2004060</xdr:colOff>
          <xdr:row>8</xdr:row>
          <xdr:rowOff>76200</xdr:rowOff>
        </xdr:from>
        <xdr:to>
          <xdr:col>2</xdr:col>
          <xdr:colOff>3489960</xdr:colOff>
          <xdr:row>12</xdr:row>
          <xdr:rowOff>45720</xdr:rowOff>
        </xdr:to>
        <xdr:sp macro="" textlink="">
          <xdr:nvSpPr>
            <xdr:cNvPr id="251515" name="Redactar_Button" hidden="1">
              <a:extLst>
                <a:ext uri="{63B3BB69-23CF-44E3-9099-C40C66FF867C}">
                  <a14:compatExt spid="_x0000_s251515"/>
                </a:ext>
                <a:ext uri="{FF2B5EF4-FFF2-40B4-BE49-F238E27FC236}">
                  <a16:creationId xmlns:a16="http://schemas.microsoft.com/office/drawing/2014/main" id="{00000000-0008-0000-1300-00007BD60300}"/>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1">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5</xdr:col>
          <xdr:colOff>114300</xdr:colOff>
          <xdr:row>14</xdr:row>
          <xdr:rowOff>167640</xdr:rowOff>
        </xdr:to>
        <xdr:sp macro="" textlink="">
          <xdr:nvSpPr>
            <xdr:cNvPr id="266797" name="IPDist_ComboBox" hidden="1">
              <a:extLst>
                <a:ext uri="{63B3BB69-23CF-44E3-9099-C40C66FF867C}">
                  <a14:compatExt spid="_x0000_s266797"/>
                </a:ext>
                <a:ext uri="{FF2B5EF4-FFF2-40B4-BE49-F238E27FC236}">
                  <a16:creationId xmlns:a16="http://schemas.microsoft.com/office/drawing/2014/main" id="{00000000-0008-0000-1300-00002D12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114300</xdr:colOff>
          <xdr:row>18</xdr:row>
          <xdr:rowOff>167640</xdr:rowOff>
        </xdr:to>
        <xdr:sp macro="" textlink="">
          <xdr:nvSpPr>
            <xdr:cNvPr id="266798" name="ColorDist_ComboBox" hidden="1">
              <a:extLst>
                <a:ext uri="{63B3BB69-23CF-44E3-9099-C40C66FF867C}">
                  <a14:compatExt spid="_x0000_s266798"/>
                </a:ext>
                <a:ext uri="{FF2B5EF4-FFF2-40B4-BE49-F238E27FC236}">
                  <a16:creationId xmlns:a16="http://schemas.microsoft.com/office/drawing/2014/main" id="{00000000-0008-0000-1300-00002E12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5</xdr:col>
          <xdr:colOff>152400</xdr:colOff>
          <xdr:row>22</xdr:row>
          <xdr:rowOff>167640</xdr:rowOff>
        </xdr:to>
        <xdr:sp macro="" textlink="">
          <xdr:nvSpPr>
            <xdr:cNvPr id="266800" name="TenDist_ComboBox" hidden="1">
              <a:extLst>
                <a:ext uri="{63B3BB69-23CF-44E3-9099-C40C66FF867C}">
                  <a14:compatExt spid="_x0000_s266800"/>
                </a:ext>
                <a:ext uri="{FF2B5EF4-FFF2-40B4-BE49-F238E27FC236}">
                  <a16:creationId xmlns:a16="http://schemas.microsoft.com/office/drawing/2014/main" id="{00000000-0008-0000-1300-00003012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312420</xdr:colOff>
          <xdr:row>26</xdr:row>
          <xdr:rowOff>167640</xdr:rowOff>
        </xdr:to>
        <xdr:sp macro="" textlink="">
          <xdr:nvSpPr>
            <xdr:cNvPr id="283399" name="EspAut_ComboBox" hidden="1">
              <a:extLst>
                <a:ext uri="{63B3BB69-23CF-44E3-9099-C40C66FF867C}">
                  <a14:compatExt spid="_x0000_s283399"/>
                </a:ext>
                <a:ext uri="{FF2B5EF4-FFF2-40B4-BE49-F238E27FC236}">
                  <a16:creationId xmlns:a16="http://schemas.microsoft.com/office/drawing/2014/main" id="{00000000-0008-0000-1300-00000753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144780</xdr:colOff>
          <xdr:row>26</xdr:row>
          <xdr:rowOff>167640</xdr:rowOff>
        </xdr:to>
        <xdr:sp macro="" textlink="">
          <xdr:nvSpPr>
            <xdr:cNvPr id="283400" name="EspDist_ComboBox" hidden="1">
              <a:extLst>
                <a:ext uri="{63B3BB69-23CF-44E3-9099-C40C66FF867C}">
                  <a14:compatExt spid="_x0000_s283400"/>
                </a:ext>
                <a:ext uri="{FF2B5EF4-FFF2-40B4-BE49-F238E27FC236}">
                  <a16:creationId xmlns:a16="http://schemas.microsoft.com/office/drawing/2014/main" id="{00000000-0008-0000-1300-00000853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5</xdr:col>
          <xdr:colOff>1203960</xdr:colOff>
          <xdr:row>3</xdr:row>
          <xdr:rowOff>167640</xdr:rowOff>
        </xdr:to>
        <xdr:sp macro="" textlink="">
          <xdr:nvSpPr>
            <xdr:cNvPr id="393808" name="Plazo_ComboBox" hidden="1">
              <a:extLst>
                <a:ext uri="{63B3BB69-23CF-44E3-9099-C40C66FF867C}">
                  <a14:compatExt spid="_x0000_s393808"/>
                </a:ext>
                <a:ext uri="{FF2B5EF4-FFF2-40B4-BE49-F238E27FC236}">
                  <a16:creationId xmlns:a16="http://schemas.microsoft.com/office/drawing/2014/main" id="{00000000-0008-0000-1300-000050020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1203960</xdr:colOff>
          <xdr:row>7</xdr:row>
          <xdr:rowOff>167640</xdr:rowOff>
        </xdr:to>
        <xdr:sp macro="" textlink="">
          <xdr:nvSpPr>
            <xdr:cNvPr id="393809" name="FormaPago_ComboBox" hidden="1">
              <a:extLst>
                <a:ext uri="{63B3BB69-23CF-44E3-9099-C40C66FF867C}">
                  <a14:compatExt spid="_x0000_s393809"/>
                </a:ext>
                <a:ext uri="{FF2B5EF4-FFF2-40B4-BE49-F238E27FC236}">
                  <a16:creationId xmlns:a16="http://schemas.microsoft.com/office/drawing/2014/main" id="{00000000-0008-0000-1300-000051020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89647</xdr:colOff>
      <xdr:row>0</xdr:row>
      <xdr:rowOff>35549</xdr:rowOff>
    </xdr:from>
    <xdr:to>
      <xdr:col>1</xdr:col>
      <xdr:colOff>296564</xdr:colOff>
      <xdr:row>1</xdr:row>
      <xdr:rowOff>259179</xdr:rowOff>
    </xdr:to>
    <xdr:pic>
      <xdr:nvPicPr>
        <xdr:cNvPr id="2" name="Picture 2">
          <a:extLst>
            <a:ext uri="{FF2B5EF4-FFF2-40B4-BE49-F238E27FC236}">
              <a16:creationId xmlns:a16="http://schemas.microsoft.com/office/drawing/2014/main" id="{00000000-0008-0000-1400-000002000000}"/>
            </a:ext>
          </a:extLst>
        </xdr:cNvPr>
        <xdr:cNvPicPr>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7870" b="6866"/>
        <a:stretch/>
      </xdr:blipFill>
      <xdr:spPr bwMode="auto">
        <a:xfrm>
          <a:off x="89647" y="35549"/>
          <a:ext cx="1586400" cy="538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91257</xdr:colOff>
      <xdr:row>0</xdr:row>
      <xdr:rowOff>41413</xdr:rowOff>
    </xdr:from>
    <xdr:to>
      <xdr:col>1</xdr:col>
      <xdr:colOff>298174</xdr:colOff>
      <xdr:row>1</xdr:row>
      <xdr:rowOff>265043</xdr:rowOff>
    </xdr:to>
    <xdr:pic>
      <xdr:nvPicPr>
        <xdr:cNvPr id="2" name="Picture 2">
          <a:extLst>
            <a:ext uri="{FF2B5EF4-FFF2-40B4-BE49-F238E27FC236}">
              <a16:creationId xmlns:a16="http://schemas.microsoft.com/office/drawing/2014/main" id="{00000000-0008-0000-1500-000002000000}"/>
            </a:ext>
          </a:extLst>
        </xdr:cNvPr>
        <xdr:cNvPicPr>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7870" b="6866"/>
        <a:stretch/>
      </xdr:blipFill>
      <xdr:spPr bwMode="auto">
        <a:xfrm>
          <a:off x="91257" y="41413"/>
          <a:ext cx="1607092" cy="5379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an Inga" refreshedDate="43724.426848958334" createdVersion="4" refreshedVersion="4" minRefreshableVersion="3" recordCount="3359" xr:uid="{00000000-000A-0000-FFFF-FFFF00000000}">
  <cacheSource type="worksheet">
    <worksheetSource ref="N8:Q3461" sheet="Cotizacion"/>
  </cacheSource>
  <cacheFields count="4">
    <cacheField name="CANT." numFmtId="0">
      <sharedItems containsBlank="1" containsMixedTypes="1" containsNumber="1" containsInteger="1" minValue="0" maxValue="16"/>
    </cacheField>
    <cacheField name="CÓDIGO" numFmtId="0">
      <sharedItems containsBlank="1" containsMixedTypes="1" containsNumber="1" containsInteger="1" minValue="278" maxValue="1505"/>
    </cacheField>
    <cacheField name="DESCRIPCION" numFmtId="0">
      <sharedItems containsBlank="1"/>
    </cacheField>
    <cacheField name="MODELO" numFmtId="0">
      <sharedItems containsBlank="1" count="352">
        <s v=""/>
        <m/>
        <s v="LAMP_ROJO_220V"/>
        <s v="LAMP_VERDE_220V"/>
        <s v="D2PR4B+D2PA6"/>
        <s v="XT1B160-50A-3P-TMD"/>
        <s v="XT1B160-40A-3P-TMD"/>
        <s v="XT1B160-20A-3P-TMD"/>
        <s v="A1N/P125-16A-2P-TMF"/>
        <s v="S202-C-16A"/>
        <s v="FH202-A-25A-30mA"/>
        <s v="AF09-30-10-13_3p"/>
        <s v="CA4-10"/>
        <s v="Placa lamicoid p/distr."/>
        <s v="EMBAL_ADOS_1600x600x220mm"/>
        <s v="SEL_1-0-2"/>
        <s v="FOTOCELDA"/>
        <s v="BASE_FOTOCELDA"/>
        <s v="OVR-T2_40-440_P-QS_1P"/>
        <s v="F202-A APR-25A-30mA"/>
        <s v="S202-C-20A"/>
        <s v="XT2N160-160A-3P-TMA"/>
        <s v="FC-CuAl_XT2_3t"/>
        <s v="MOE_XT2-XT4"/>
        <s v="2Q+1SY_XT1..XT4"/>
        <s v="PULS_DOBLE"/>
        <s v="DIRIS-A30"/>
        <s v="DIRIS-A30/Com"/>
        <s v="XT2N160-100A-3P-TMA"/>
        <s v="XT2N160-50A-3P-TMA"/>
        <s v="XT2N160-25A-3P-TMD"/>
        <s v="XT2N160-32A-3P-TMD"/>
        <s v="OVRHT3C504803D"/>
        <s v="Placa lamicoid p/autosop."/>
        <s v="EMBAL_AUTOS_2100x800x800mm"/>
        <s v="XT2N160-20A-3P-TMD"/>
        <s v="XT2N160-16A-3P-TMD"/>
        <s v="S203-C-32A"/>
        <s v="S203-C-16A"/>
        <s v="OVR T2 3L 40-275 P QS"/>
        <s v="XT1B160-25A-3P-TMD"/>
        <s v="S203-C-25A"/>
        <s v="A1N/P125-20A-2P-TMF"/>
        <s v="XT2N160-125A-3P-TMA"/>
        <s v="XT2N160-40A-3P-TMA"/>
        <s v="S203-C-20A"/>
        <s v="A1N/P125-40A-2P-TMF"/>
        <s v="S202-C-40A"/>
        <s v="T5H400-400A-3P-PR221DS-LS/I"/>
        <s v="FC-CuAl_T5_4t_400A"/>
        <s v="MOE_T4-T5"/>
        <s v="3Q+1SY_T4-T5-T6"/>
        <s v="XT4S250-200A-3P-TMA"/>
        <s v="FC-Cu_XT4_3t"/>
        <s v="XT2S160-50A-3P-TMA"/>
        <s v="XT2S160-40A-3P-TMA"/>
        <s v="XT2S160-25A-3P-TMD"/>
        <s v="XT2S160-16A-3P-TMD"/>
        <s v="XT2S160-32A-3P-TMD"/>
        <s v="XT2N160-80A-3P-TMA"/>
        <s v="XT4N250-200A-3P-TMA"/>
        <s v="FC-CuAl_XT4_3t"/>
        <s v="XT1B160-80A-3P-TMD"/>
        <s v="XT1B160-63A-3P-TMD"/>
        <s v="XT1B160-32A-3P-TMD"/>
        <s v="S203-C-50A"/>
        <s v="FC-CuAl_XT1_3t"/>
        <s v="FC-Cu_XT1_3t"/>
        <s v="FH204-A-40A-30mA"/>
        <s v="TOMA-I-EMP_3P+T(32A)_IP67"/>
        <s v="ENCH-IND 3P+T(32A)_IP67"/>
        <s v="TOMA-I-EMP_2P+T(16A)_IP67"/>
        <s v="ENCH-IND 2P+T(16A)_IP67"/>
        <s v="S202-C-25A"/>
        <s v="A1N/P125-32A-2P-TMF"/>
        <s v="S202-C-32A"/>
        <s v="FC-Cu_XT2_3t"/>
        <s v="FH204-A-25A-30mA"/>
        <s v="F202-A APR-40A-30mA"/>
        <s v="XT1B160-160A-3P-TMD"/>
        <s v="XT1B160-100A-3P-TMD"/>
        <s v="MIR-H_XT1-XT4"/>
        <s v="MIR-P_XT2-F"/>
        <s v="1Q/1SY_XT1..XT4"/>
        <s v="ATS022"/>
        <s v="S203-C-10A"/>
        <s v="XTRM10A22B"/>
        <s v="XT2N160-63A-3P-TMA"/>
        <s v="RD2"/>
        <s v="TR2"/>
        <s v="UVR-C_A1_A2_240V"/>
        <s v="XT1b160-125A-3P-TMD"/>
        <s v="REACT_40kVAR/380V_p7" u="1"/>
        <s v="REACT_60kVAR/380V_p7" u="1"/>
        <s v="REACT_80kVAR/380V_p7" u="1"/>
        <s v="LZMS1-A80" u="1"/>
        <s v="FC-CuAl_A1_3t" u="1"/>
        <s v="mMC6-C63/3-MW" u="1"/>
        <s v="BASE_FUSIBLE_NH" u="1"/>
        <s v="GJH1211001R8400" u="1"/>
        <s v="XT2S160-20A-3P-TMD" u="1"/>
        <s v="mMC6-C32/3-MW" u="1"/>
        <s v="1SBL137001R1310" u="1"/>
        <s v="1SFA611100P310610" u="1"/>
        <s v="OTM_I-0-II_3p_400A" u="1"/>
        <s v="OVR-T2_3L_40-275_P_3P" u="1"/>
        <s v="mMC6-C16/2-MW" u="1"/>
        <s v="DIRIS-A30/Temp" u="1"/>
        <s v="LAMP_ROJO_120V" u="1"/>
        <s v="VM4" u="1"/>
        <s v="mMCM-C40/3-MW" u="1"/>
        <s v="SEL_1-0-2_mod" u="1"/>
        <s v="FH204-AC-63A-30mA" u="1"/>
        <s v="SWITCH_I-0-II_3p_150A" u="1"/>
        <s v="S201-C-32A" u="1"/>
        <s v="1SDA060539R1" u="1"/>
        <s v="BZME1-A63-BT-AP" u="1"/>
        <s v="1Q_OTM_160-2500A" u="1"/>
        <s v="A1N125-25A-3P-TMF" u="1"/>
        <s v="S203M-C-20A" u="1"/>
        <s v="1Q+1SY_T4-T5-T6" u="1"/>
        <s v="S201M-C-16A" u="1"/>
        <s v="S203M-C-63A" u="1"/>
        <s v="1SDA062127R1" u="1"/>
        <s v="mMCM-C50/3-MW" u="1"/>
        <s v="T4S320-320A-3P-PR222DS/P-LSI" u="1"/>
        <s v="IDM-G5" u="1"/>
        <s v="XT4N160-100A-3P-Ekip LS/I" u="1"/>
        <s v="XT4N250-250A-3P-Ekip LS/I" u="1"/>
        <s v="BZMB3-A250" u="1"/>
        <s v="CMC_80kVAR/400V" u="1"/>
        <s v="T5S400-400A-3P-PR221DS-LS/I" u="1"/>
        <s v="T5L630-630A-3P-PR222DS/P-LSI" u="1"/>
        <s v="S201M-C-32A" u="1"/>
        <s v="mRCM-25/2/003-MW" u="1"/>
        <s v="S203M-C-50A" u="1"/>
        <s v="mRCM-25/2/003-A-MW" u="1"/>
        <s v="LZMS1-A20" u="1"/>
        <s v="N00408242432C" u="1"/>
        <s v="F204-A APR-63A-30mA" u="1"/>
        <s v="mRCM-25/2/003-A-MW_CL" u="1"/>
        <s v="FUSIBLE_NH" u="1"/>
        <s v="LZMS2-A300" u="1"/>
        <s v="1SDA068124R1" u="1"/>
        <s v="BZME1-A50-BT-AP" u="1"/>
        <s v="CMC_40kVAR/380V" u="1"/>
        <s v="REG_SMART_III_12p" u="1"/>
        <s v="T5N630-630A-3P-PR222DS/P-LSI" u="1"/>
        <s v="DILM7-10" u="1"/>
        <s v="LA ST240 3Y2" u="1"/>
        <s v="S201-C-16A" u="1"/>
        <s v="XT2S160-63A-3P-TMA" u="1"/>
        <s v="REACT_40kVAR/380V_p14" u="1"/>
        <s v="1SDA065524R1" u="1"/>
        <s v="SOP_E2.2..E6.2_A" u="1"/>
        <s v="F204-A-25A-30mA" u="1"/>
        <s v="FH204-AC-63A-300mA" u="1"/>
        <s v="A1N/P125-125A-2P-TMF" u="1"/>
        <s v="MOE_T6" u="1"/>
        <s v="NZM4-XKA" u="1"/>
        <s v="1SDA062129R1" u="1"/>
        <s v="mMC6-C20/2-MW" u="1"/>
        <s v="S203-C-40A" u="1"/>
        <s v="S201M-C-20A" u="1"/>
        <s v="mMC6-C25/2-MW" u="1"/>
        <s v="YC_Emax2_220V" u="1"/>
        <s v="A1B125-20A-3P-TMF" u="1"/>
        <s v="A1B125-40A-3P-TMF" u="1"/>
        <s v="A1B125-50A-3P-TMF" u="1"/>
        <s v="A1B125-80A-3P-TMF" u="1"/>
        <s v="E2.2S-2500A-3P-Ekip Touch LSI" u="1"/>
        <s v="1SDA062102R1" u="1"/>
        <s v="mMC6-C10/3-MW" u="1"/>
        <s v="T7L1000-1000A-3P-PR232/P-LSI" u="1"/>
        <s v="T7L1250-1250A-3P-PR232/P-LSI" u="1"/>
        <s v="1SDA066422R1" u="1"/>
        <s v="FPF15KUG-100" u="1"/>
        <s v="ZS50" u="1"/>
        <s v="CVM-C10" u="1"/>
        <s v="S201-C-25A" u="1"/>
        <s v="T5L400-400A-3P-PR222DS/P-LSI" u="1"/>
        <s v="E4.2N-3200A-3P-Ekip Touch LSI" u="1"/>
        <s v="E4.2N-4000A-3P-Ekip Touch LSI" u="1"/>
        <s v="CVM-B100" u="1"/>
        <s v="COND_30kVAR/380V_p7" u="1"/>
        <s v="COND_40kVAR/380V_p7" u="1"/>
        <s v="LZMS1-A32" u="1"/>
        <s v="FC-CuAl_T4_3t" u="1"/>
        <s v="mMC6-C20/3-MW" u="1"/>
        <s v="NZM3-XR208-240AC" u="1"/>
        <s v="A1B125-63A-3P-TMF" u="1"/>
        <s v="XT1C160-125A-3P-TMD" u="1"/>
        <s v="1SFA619402R5231" u="1"/>
        <s v="COND_pris_20kVAR/380V_p14" u="1"/>
        <s v="COND_pris_40kVAR/380V_p14" u="1"/>
        <s v="1S51_T7M" u="1"/>
        <s v="LZMS2-A200" u="1"/>
        <s v="LA ST180 3Y2" u="1"/>
        <s v="OVRHSP802203Y" u="1"/>
        <s v="1SNK516010R0000" u="1"/>
        <s v="BZME1-A40-BT-AP" u="1"/>
        <s v="mMC6-C32/3-MW_CL" u="1"/>
        <s v="T5N400-320A-3P-PR222DS/P-LSI" u="1"/>
        <s v="T5N400-400A-3P-PR222DS/P-LSI" u="1"/>
        <s v="CA4-22E" u="1"/>
        <s v="S203M-C-10A" u="1"/>
        <s v="MEC_E2.2" u="1"/>
        <s v="A1B125-16A-3P-TMF" u="1"/>
        <s v="T7L1000(M)-1000A-3P-PR232/P-LSI" u="1"/>
        <s v="T7L1250(M)-1250A-3P-PR232/P-LSI" u="1"/>
        <s v="FC-CuAl_T5_3t" u="1"/>
        <s v="mMC6-C50/2-MW" u="1"/>
        <s v="CMC_60kVAR/400V" u="1"/>
        <s v="F202-A-25A-30mA" u="1"/>
        <s v="FC-CuAl_T5_3t_400A" u="1"/>
        <s v="XT4N160-160A-3P-TMA" u="1"/>
        <s v="NZM2-XKA" u="1"/>
        <s v="LZMS1-A63" u="1"/>
        <s v="XT2S160-125A-3P-TMA" u="1"/>
        <s v="S203M-C-40A" u="1"/>
        <s v="mMC6-C40/3-MW" u="1"/>
        <s v="1SNK516011R0000" u="1"/>
        <s v="REG_SMART_III" u="1"/>
        <s v="CMC_20kVAR/380V" u="1"/>
        <s v="OVR-T2_1N_40-275_P-QS_1P+N" u="1"/>
        <s v="T7S1600-1600A-3P-PR232/P-LSI" u="1"/>
        <s v="1SDA060398R1" u="1"/>
        <s v="LED_ROJO_220V" u="1"/>
        <s v="F204-A APR-25A-30mA" u="1"/>
        <s v="1SDA062883R1" u="1"/>
        <s v="mMC6-C50/3-MW" u="1"/>
        <s v="BZME1-A100-BT-AP" u="1"/>
        <s v="mRCM-63/4/003-MW" u="1"/>
        <s v="LZMS1-A125" u="1"/>
        <s v="LZMS4-VE800" u="1"/>
        <s v="1SDA051369R1" u="1"/>
        <s v="YO_Emax2_220V" u="1"/>
        <s v="FH202-AC-40A-30mA" u="1"/>
        <s v="FH204-AC-40A-30mA" u="1"/>
        <s v="XT1C160-40A-3P-TMD" u="1"/>
        <s v="XT1C160-50A-3P-TMD" u="1"/>
        <s v="XT1C160-80A-3P-TMD" u="1"/>
        <s v="LZMS3-VE630" u="1"/>
        <s v="REJ+FILT-12K" u="1"/>
        <s v="A1N/P125-40A-1P-TMF" u="1"/>
        <s v="A1N/P125-50A-1P-TMF" u="1"/>
        <s v="A1N/P125-60A-1P-TMF" u="1"/>
        <e v="#N/A" u="1"/>
        <s v="LZMS1-A50" u="1"/>
        <s v="XT2L160-100A-3P-TMA" u="1"/>
        <s v="XT2L160-160A-3P-TMA" u="1"/>
        <s v="1SDA067411R1" u="1"/>
        <s v="DILM25-10_CL" u="1"/>
        <s v="mMCM-C32/3-MW" u="1"/>
        <s v="1SFA619402R5232" u="1"/>
        <s v="BZME1-A80-BT-AP" u="1"/>
        <s v="F202-A-40A-30mA" u="1"/>
        <s v="NZM2-250-XKC" u="1"/>
        <s v="FC-CuAl_T7_3t" u="1"/>
        <s v="mMCM-C16/2-MW" u="1"/>
        <s v="M22-CK11" u="1"/>
        <s v="T7S1250(M)-1250A-3P-PR232/P-LSI" u="1"/>
        <s v="LZMS3-A500" u="1"/>
        <s v="VENT+REJ+FILT-15K" u="1"/>
        <s v="XT1N160-32A-3P-TMD" u="1"/>
        <s v="XT4L250-200A-3P-TMA" u="1"/>
        <s v="XT4L250-250A-3P-TMA" u="1"/>
        <s v="REACT_RX_20kVAR/380V_p14" u="1"/>
        <s v="YO_T7" u="1"/>
        <s v="2CMA170540R1000" u="1"/>
        <s v="XT2L160-40A-3P-TMA" u="1"/>
        <s v="XT2L160-50A-3P-TMA" u="1"/>
        <s v="XT2L160-80A-3P-TMA" u="1"/>
        <s v="YC_T7M" u="1"/>
        <s v="MOD_XT1-XT3" u="1"/>
        <s v="S201M-C-40A" u="1"/>
        <s v="A1B125-32A-3P-TMF" u="1"/>
        <s v="CMC_13.8kVAR/400V" u="1"/>
        <s v="CMC_27.7kVAR/400V" u="1"/>
        <s v="TRT-10A230V-NO" u="1"/>
        <s v="A1B125-125A-3P-TMF" u="1"/>
        <s v="RELE_TENSION_230Vac" u="1"/>
        <s v="2Q_T7" u="1"/>
        <s v="1Q+1SY_T7" u="1"/>
        <s v="PULS_EMERG" u="1"/>
        <s v="mMCM-C16/3-MW" u="1"/>
        <s v="TRT-1NA" u="1"/>
        <s v="DIRIS-A30/Mem" u="1"/>
        <s v="XT1N160-100A-3P-TMD" u="1"/>
        <s v="XT1N160-160A-3P-TMD" u="1"/>
        <s v="T4S320-320A-3P-PR221DS-LS/I" u="1"/>
        <s v="YO_XT1..XT4" u="1"/>
        <s v="mRCM-63/4/03-MW" u="1"/>
        <s v="XT1C160-32A-3P-TMD" u="1"/>
        <s v="KIT-CAB_E1.2-E6.2_A/HB" u="1"/>
        <s v="LZMS1-A100" u="1"/>
        <s v="A1B125-25A-3P-TMF" u="1"/>
        <s v="CMC_40kVAR/400V" u="1"/>
        <s v="XT3N250-200A-3P-TMD" u="1"/>
        <s v="XT3N250-250A-3P-TMD" u="1"/>
        <s v="ZS35" u="1"/>
        <s v="LZMS1-A40" u="1"/>
        <s v="BZME1-A20-BT-AP" u="1"/>
        <s v="NZM3-XKA2" u="1"/>
        <s v="LED_VERDE_220V" u="1"/>
        <s v="A1N/P125-32A-1P-TMF" u="1"/>
        <s v="XT1C160-100A-3P-TMD" u="1"/>
        <s v="XT1C160-160A-3P-TMD" u="1"/>
        <s v="SWITCH_I-0-II_3p_100A" u="1"/>
        <s v="OVRHSP602401P" u="1"/>
        <s v="1SFA611210P1206" u="1"/>
        <s v="OTM_I-0-II_3p_315A" u="1"/>
        <s v="XT1C160-63A-3P-TMD" u="1"/>
        <s v="BZMB2-A125" u="1"/>
        <s v="LZMS3-A400" u="1"/>
        <s v="1SDA063548R1" u="1"/>
        <s v="YM_E2.2-6.2_220V" u="1"/>
        <s v="1SDA063550R1" u="1"/>
        <s v="1SDA067414R1" u="1"/>
        <s v="mMCM-C20/2-MW" u="1"/>
        <s v="AF30-30-10-13_3p" u="1"/>
        <s v="BZME1-A40-BT-AP_CL" u="1"/>
        <s v="mMCM-C25/2-MW" u="1"/>
        <s v="YM_T7M" u="1"/>
        <s v="LZMS1-A160" u="1"/>
        <s v="S201-C-20A" u="1"/>
        <s v="1SDA068090R1" u="1"/>
        <s v="mMCM-C10/3-MW" u="1"/>
        <s v="LAMP_AM_220V_MOD" u="1"/>
        <s v="YO_T4-T5-T6" u="1"/>
        <s v="XT2S160-100A-3P-TMA" u="1"/>
        <s v="XT2S160-160A-3P-TMA" u="1"/>
        <s v="OVR T2 15-150 P U-1P" u="1"/>
        <s v="REJ+FILT-15K" u="1"/>
        <s v="XT2L160-63A-3P-TMA" u="1"/>
        <s v="T4L320-320A-3P-PR222DS/P-LSI" u="1"/>
        <s v="IH_GRASSLIN" u="1"/>
        <s v="1SDA067415R1" u="1"/>
        <s v="mMC6-C32/2-MW" u="1"/>
        <s v="mMCM-C20/3-MW" u="1"/>
        <s v="FPF15KU230BE-110" u="1"/>
        <s v="FH202-AC-25A-30mA" u="1"/>
        <s v="FH204-AC-25A-30mA" u="1"/>
        <s v="EQ_A44-452_100_Oro(Gold)" u="1"/>
        <s v="DILM25-10" u="1"/>
        <s v="S203M-C-32A" u="1"/>
        <s v="mMCM-C25/3-MW" u="1"/>
        <s v="XT4S250-250A-3P-TMA" u="1"/>
        <s v="NZM3-XKC" u="1"/>
        <s v="1S51_E2.2-E6.2" u="1"/>
        <s v="BZME1-A32-BT-AP" u="1"/>
        <s v="XT2S160-80A-3P-TM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359">
  <r>
    <s v=""/>
    <s v=""/>
    <s v=""/>
    <x v="0"/>
  </r>
  <r>
    <s v=""/>
    <s v=""/>
    <s v=""/>
    <x v="0"/>
  </r>
  <r>
    <m/>
    <m/>
    <m/>
    <x v="1"/>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n v="1"/>
    <s v="1SDA066804R1"/>
    <s v="ITM Caja Moldeada 3x50A (reg.[0.7-1.0] In) - XT1B160-50A-3P-TMD - 25kA@230Vac, 18kA@415Vac, 18kA@250Vdc - marca ABB."/>
    <x v="5"/>
  </r>
  <r>
    <s v=""/>
    <s v=""/>
    <s v=""/>
    <x v="0"/>
  </r>
  <r>
    <s v=""/>
    <s v=""/>
    <s v=""/>
    <x v="0"/>
  </r>
  <r>
    <n v="1"/>
    <s v="1SDA066803R1"/>
    <s v="ITM Caja Moldeada 3x40A (reg.[0.7-1.0] In) - XT1B160-40A-3P-TMD - 25kA@230Vac, 18kA@415Vac, 18kA@250Vdc - marca ABB."/>
    <x v="6"/>
  </r>
  <r>
    <n v="1"/>
    <s v="1SDA066800R1"/>
    <s v="ITM Caja Moldeada 3x20A (reg.[0.7-1.0] In) - XT1B160-20A-3P-TMD - 25kA@230Vac, 18kA@415Vac, 18kA@250Vdc - marca ABB."/>
    <x v="7"/>
  </r>
  <r>
    <n v="1"/>
    <s v="1SDA069551R1"/>
    <s v="ITM Caja Moldeada 2x16A - A1N/P125-16A-2P-TMF - 50kA@230Vac, 36kA@400Vac, 10kA@125Vdc - marca ABB."/>
    <x v="8"/>
  </r>
  <r>
    <n v="14"/>
    <s v="2CDS252001R0164"/>
    <s v="ITM Riel-Din 2x16A - S202-C-16A - 10kA@400Vac-IEC60947-2 - marca ABB."/>
    <x v="9"/>
  </r>
  <r>
    <n v="12"/>
    <s v="2CSF202102R1250"/>
    <s v="Interruptor Diferencial 2x25A - 30mA - clase A (inmunizado) - FH202-A-25A-30mA - marca ABB."/>
    <x v="10"/>
  </r>
  <r>
    <s v=""/>
    <s v=""/>
    <s v=""/>
    <x v="0"/>
  </r>
  <r>
    <s v=""/>
    <s v=""/>
    <s v=""/>
    <x v="0"/>
  </r>
  <r>
    <s v=""/>
    <s v=""/>
    <s v=""/>
    <x v="0"/>
  </r>
  <r>
    <n v="1"/>
    <s v="1SBL137001R1310"/>
    <s v="Contactor 3x09A(AC-3) / 3x25A(AC-1) +1NA - AF09-30-10-13 - bobina 100-250Vac/dc - marca ABB."/>
    <x v="11"/>
  </r>
  <r>
    <n v="1"/>
    <s v="1SBN010110R1010"/>
    <s v="Contacto auxiliar frontal 2NA+2NC para contactor AF09..AF16-30-10, frontal - Modelo CA4-22M - marca ABB."/>
    <x v="12"/>
  </r>
  <r>
    <s v=""/>
    <s v=""/>
    <s v=""/>
    <x v="0"/>
  </r>
  <r>
    <s v=""/>
    <s v=""/>
    <s v=""/>
    <x v="0"/>
  </r>
  <r>
    <s v=""/>
    <s v=""/>
    <s v=""/>
    <x v="0"/>
  </r>
  <r>
    <s v=""/>
    <s v=""/>
    <s v=""/>
    <x v="0"/>
  </r>
  <r>
    <s v=""/>
    <s v=""/>
    <s v=""/>
    <x v="0"/>
  </r>
  <r>
    <s v=""/>
    <s v=""/>
    <s v=""/>
    <x v="0"/>
  </r>
  <r>
    <n v="1"/>
    <s v="Placa lamicoid p/distr."/>
    <s v="Placa lamicoid rotulación de 3mm de espesor, fondo negro y letras blancas."/>
    <x v="13"/>
  </r>
  <r>
    <s v=""/>
    <s v=""/>
    <s v=""/>
    <x v="0"/>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m/>
    <m/>
    <m/>
    <x v="0"/>
  </r>
  <r>
    <s v=""/>
    <s v=""/>
    <s v=""/>
    <x v="0"/>
  </r>
  <r>
    <s v=""/>
    <s v=""/>
    <s v=""/>
    <x v="0"/>
  </r>
  <r>
    <n v="1"/>
    <s v="1SFA619210R1026"/>
    <s v="Selector 3 posiciones mantenidos - 1-0-2 / M-0-A - maneta corta, contactos 2NA - C3SS1-10B-20 - compacto - marca ABB."/>
    <x v="15"/>
  </r>
  <r>
    <s v=""/>
    <s v=""/>
    <s v=""/>
    <x v="0"/>
  </r>
  <r>
    <s v=""/>
    <s v=""/>
    <s v=""/>
    <x v="0"/>
  </r>
  <r>
    <s v=""/>
    <s v=""/>
    <s v=""/>
    <x v="0"/>
  </r>
  <r>
    <s v=""/>
    <s v=""/>
    <s v=""/>
    <x v="0"/>
  </r>
  <r>
    <s v=""/>
    <s v=""/>
    <s v=""/>
    <x v="0"/>
  </r>
  <r>
    <n v="1"/>
    <s v="D2PR4B+D2PA6"/>
    <s v="Rele auxiliar enchufable +4NA/NC (D2PR4B + base D2PA6), 220Vac - marca EATON."/>
    <x v="4"/>
  </r>
  <r>
    <s v=""/>
    <s v=""/>
    <s v=""/>
    <x v="0"/>
  </r>
  <r>
    <s v=""/>
    <s v=""/>
    <s v=""/>
    <x v="0"/>
  </r>
  <r>
    <s v=""/>
    <s v=""/>
    <s v=""/>
    <x v="0"/>
  </r>
  <r>
    <s v=""/>
    <s v=""/>
    <s v=""/>
    <x v="0"/>
  </r>
  <r>
    <s v=""/>
    <s v=""/>
    <s v=""/>
    <x v="0"/>
  </r>
  <r>
    <s v=""/>
    <s v=""/>
    <s v=""/>
    <x v="0"/>
  </r>
  <r>
    <s v=""/>
    <s v=""/>
    <s v=""/>
    <x v="0"/>
  </r>
  <r>
    <m/>
    <m/>
    <m/>
    <x v="1"/>
  </r>
  <r>
    <n v="1"/>
    <s v="0400RTF82S"/>
    <s v="FOTOCELDA 1800VA 220V N/C (NF) 10 LUX STIELECTRONICA"/>
    <x v="16"/>
  </r>
  <r>
    <n v="1"/>
    <s v="0400TPLS476"/>
    <s v="BASE C/SOPORTE P/CONTROL FOTOCELDA P/ADOSAR STIELECTRONICA"/>
    <x v="17"/>
  </r>
  <r>
    <m/>
    <m/>
    <m/>
    <x v="1"/>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9551R1"/>
    <s v="ITM Caja Moldeada 2x16A - A1N/P125-16A-2P-TMF - 50kA@230Vac, 36kA@400Vac, 10kA@125Vdc - marca ABB."/>
    <x v="8"/>
  </r>
  <r>
    <s v=""/>
    <s v=""/>
    <s v=""/>
    <x v="0"/>
  </r>
  <r>
    <s v=""/>
    <s v=""/>
    <s v=""/>
    <x v="0"/>
  </r>
  <r>
    <s v=""/>
    <s v=""/>
    <s v=""/>
    <x v="0"/>
  </r>
  <r>
    <s v=""/>
    <s v=""/>
    <s v=""/>
    <x v="0"/>
  </r>
  <r>
    <s v=""/>
    <s v=""/>
    <s v=""/>
    <x v="0"/>
  </r>
  <r>
    <s v=""/>
    <s v=""/>
    <s v=""/>
    <x v="0"/>
  </r>
  <r>
    <n v="2"/>
    <s v="2CDS252001R0164"/>
    <s v="ITM Riel-Din 2x16A - S202-C-16A - 10kA@400Vac-IEC60947-2 - marca ABB."/>
    <x v="9"/>
  </r>
  <r>
    <s v=""/>
    <s v=""/>
    <s v=""/>
    <x v="0"/>
  </r>
  <r>
    <s v=""/>
    <s v=""/>
    <s v=""/>
    <x v="0"/>
  </r>
  <r>
    <s v=""/>
    <s v=""/>
    <s v=""/>
    <x v="0"/>
  </r>
  <r>
    <n v="1"/>
    <s v="2CDS252001R0164"/>
    <s v="ITM Riel-Din 2x16A - S202-C-16A - 10kA@400Vac-IEC60947-2 - marca ABB."/>
    <x v="9"/>
  </r>
  <r>
    <n v="2"/>
    <s v="2CTB803871R1200"/>
    <s v="Protector de sobretensiones (Tipo 2) - OVR-T2_40-440_P-QS_1P - Un=230/400V, Uc=440V, Up=1.8kV - I_descarga=40kA - marca ABB."/>
    <x v="18"/>
  </r>
  <r>
    <s v=""/>
    <s v=""/>
    <s v=""/>
    <x v="0"/>
  </r>
  <r>
    <s v=""/>
    <s v=""/>
    <s v=""/>
    <x v="0"/>
  </r>
  <r>
    <s v=""/>
    <s v=""/>
    <s v=""/>
    <x v="0"/>
  </r>
  <r>
    <s v=""/>
    <s v=""/>
    <s v=""/>
    <x v="0"/>
  </r>
  <r>
    <s v=""/>
    <s v=""/>
    <s v=""/>
    <x v="0"/>
  </r>
  <r>
    <s v=""/>
    <s v=""/>
    <s v=""/>
    <x v="0"/>
  </r>
  <r>
    <s v=""/>
    <s v=""/>
    <s v=""/>
    <x v="0"/>
  </r>
  <r>
    <s v=""/>
    <s v=""/>
    <s v=""/>
    <x v="0"/>
  </r>
  <r>
    <n v="2"/>
    <s v="2CDS252001R0164"/>
    <s v="ITM Riel-Din 2x16A - S202-C-16A - 10kA@400Vac-IEC60947-2 - marca ABB."/>
    <x v="9"/>
  </r>
  <r>
    <s v=""/>
    <s v=""/>
    <s v=""/>
    <x v="0"/>
  </r>
  <r>
    <s v=""/>
    <s v=""/>
    <s v=""/>
    <x v="0"/>
  </r>
  <r>
    <s v=""/>
    <s v=""/>
    <s v=""/>
    <x v="0"/>
  </r>
  <r>
    <n v="3"/>
    <s v="2CDS252001R0164"/>
    <s v="ITM Riel-Din 2x16A - S202-C-16A - 10kA@400Vac-IEC60947-2 - marca ABB."/>
    <x v="9"/>
  </r>
  <r>
    <n v="3"/>
    <s v="2CSF202401R1250"/>
    <s v="Interruptor Diferencial 2x25A - 30mA - clase A-APR (alta inmunización) - F202-A APR-25A-30mA  - marca ABB."/>
    <x v="19"/>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3R1"/>
    <s v="ITM Caja Moldeada 3x40A (reg.[0.7-1.0] In) - XT1B160-40A-3P-TMD - 25kA@230Vac, 18kA@415Vac, 18kA@250Vdc - marca ABB."/>
    <x v="6"/>
  </r>
  <r>
    <s v=""/>
    <s v=""/>
    <s v=""/>
    <x v="0"/>
  </r>
  <r>
    <s v=""/>
    <s v=""/>
    <s v=""/>
    <x v="0"/>
  </r>
  <r>
    <n v="8"/>
    <s v="2CDS252001R0204"/>
    <s v="ITM Riel-Din 2x20A - S202-C-20A - 10kA@400Vac-IEC60947-2 - marca ABB."/>
    <x v="20"/>
  </r>
  <r>
    <n v="3"/>
    <s v="2CDS252001R0164"/>
    <s v="ITM Riel-Din 2x16A - S202-C-16A - 10kA@400Vac-IEC60947-2 - marca ABB."/>
    <x v="9"/>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n v="1"/>
    <s v="1SDA067020R1"/>
    <s v="ITM Caja Moldeada 3x160A (reg.[0.7-1.0] In) - XT2N160-160A-3P-TMA - 65kA@230Vac, 36kA@415Vac - marca ABB."/>
    <x v="21"/>
  </r>
  <r>
    <n v="1"/>
    <s v="1SDA067167R1"/>
    <s v="FC-CuAl_XT2 - Terminales + Cubrebornes - cables de cobre/aluminio hasta 1x185mm2 - 3 terminales (externos)"/>
    <x v="22"/>
  </r>
  <r>
    <s v=""/>
    <s v=""/>
    <s v=""/>
    <x v="0"/>
  </r>
  <r>
    <s v=""/>
    <s v=""/>
    <s v=""/>
    <x v="0"/>
  </r>
  <r>
    <s v=""/>
    <s v=""/>
    <s v=""/>
    <x v="0"/>
  </r>
  <r>
    <s v=""/>
    <s v=""/>
    <s v=""/>
    <x v="0"/>
  </r>
  <r>
    <s v=""/>
    <s v=""/>
    <s v=""/>
    <x v="0"/>
  </r>
  <r>
    <s v=""/>
    <s v=""/>
    <s v=""/>
    <x v="0"/>
  </r>
  <r>
    <s v=""/>
    <s v=""/>
    <s v=""/>
    <x v="0"/>
  </r>
  <r>
    <n v="1"/>
    <s v="1SDA066466R1"/>
    <s v="Mando motor con energía acumulada (MOE) - para XT2/XT4 - 220-250V AC/DC - (YM+YO+YC) - marca ABB."/>
    <x v="23"/>
  </r>
  <r>
    <n v="1"/>
    <s v="1SDA066433R1"/>
    <s v="2(Q) contacto conmutado de estado (NA/NC) + 1(SY) contacto por disparo de interruptor - XT1..XT4 - versión cableada - marca ABB."/>
    <x v="24"/>
  </r>
  <r>
    <n v="1"/>
    <s v="1SFA619403R5231"/>
    <s v="Portalámpara + lampara tipo LED - color Rojo - alimentacion: 220-230Vac, d=22mm. - CL2-523R - línea compacta - marca ABB."/>
    <x v="2"/>
  </r>
  <r>
    <n v="1"/>
    <s v="1SFA619403R5232"/>
    <s v="Portalámpara + lampara tipo LED - color Verde - alimentacion: 220-230Vac, d=22mm. - CL2-523G - línea compacta - marca ABB."/>
    <x v="3"/>
  </r>
  <r>
    <n v="1"/>
    <s v="1SFA611131P1108"/>
    <s v="Pulsador doble Start+Stop - color Verde+Rojo - contactos 1NA+1NC - MPD2-11C-K - línea modular - marca ABB."/>
    <x v="25"/>
  </r>
  <r>
    <n v="1"/>
    <s v="1SFA619210R1026"/>
    <s v="Selector 3 posiciones mantenidos - 1-0-2 / M-0-A - maneta corta, contactos 2NA - C3SS1-10B-20 - compacto - marca ABB."/>
    <x v="15"/>
  </r>
  <r>
    <n v="2"/>
    <s v="D2PR4B+D2PA6"/>
    <s v="Rele auxiliar enchufable +4NA/NC (D2PR4B + base D2PA6), 220Vac - marca EATON."/>
    <x v="4"/>
  </r>
  <r>
    <s v=""/>
    <s v=""/>
    <s v=""/>
    <x v="0"/>
  </r>
  <r>
    <s v=""/>
    <s v=""/>
    <s v=""/>
    <x v="0"/>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1"/>
    <s v="1SDA067018R1"/>
    <s v="ITM Caja Moldeada 3x100A (reg.[0.7-1.0] In) - XT2N160-100A-3P-TMA - 65kA@230Vac, 36kA@415Vac - marca ABB."/>
    <x v="28"/>
  </r>
  <r>
    <n v="2"/>
    <s v="1SDA067015R1"/>
    <s v="ITM Caja Moldeada 3x50A (reg.[0.7-1.0] In) - XT2N160-50A-3P-TMA - 65kA@230Vac, 36kA@415Vac - marca ABB."/>
    <x v="29"/>
  </r>
  <r>
    <n v="2"/>
    <s v="1SDA067012R1"/>
    <s v="ITM Caja Moldeada 3x25A (reg.[0.7-1.0] In) - XT2N160-25A-3P-TMD - 65kA@230Vac, 36kA@415Vac - marca ABB."/>
    <x v="30"/>
  </r>
  <r>
    <s v=""/>
    <s v=""/>
    <s v=""/>
    <x v="0"/>
  </r>
  <r>
    <s v=""/>
    <s v=""/>
    <s v=""/>
    <x v="0"/>
  </r>
  <r>
    <s v=""/>
    <s v=""/>
    <s v=""/>
    <x v="0"/>
  </r>
  <r>
    <n v="1"/>
    <s v="1SDA067013R1"/>
    <s v="ITM Caja Moldeada 3x32A (reg.[0.7-1.0] In) - XT2N160-32A-3P-TMD - 65kA@230Vac, 36kA@415Vac - marca ABB."/>
    <x v="31"/>
  </r>
  <r>
    <n v="1"/>
    <s v="2CJC605480D0000"/>
    <s v="Supresor contra sobretensiones (Tipo 1, UL 1449) - OVRHT3C504803D - I_max=50kA por fase, Un=480V,  MCOV=640V (L-G), VPR=2.5kV (L-G) - marca ABB."/>
    <x v="32"/>
  </r>
  <r>
    <s v=""/>
    <s v=""/>
    <s v=""/>
    <x v="0"/>
  </r>
  <r>
    <s v=""/>
    <s v=""/>
    <s v=""/>
    <x v="0"/>
  </r>
  <r>
    <s v=""/>
    <s v=""/>
    <s v=""/>
    <x v="0"/>
  </r>
  <r>
    <s v=""/>
    <s v=""/>
    <s v=""/>
    <x v="0"/>
  </r>
  <r>
    <s v=""/>
    <s v=""/>
    <s v=""/>
    <x v="0"/>
  </r>
  <r>
    <s v=""/>
    <s v=""/>
    <s v=""/>
    <x v="0"/>
  </r>
  <r>
    <n v="1"/>
    <s v="Placa lamicoid p/autosop."/>
    <s v="Placa lamicoid rotulación de 3mm de espesor, fondo negro y letras blancas."/>
    <x v="33"/>
  </r>
  <r>
    <s v=""/>
    <s v=""/>
    <s v=""/>
    <x v="0"/>
  </r>
  <r>
    <s v=""/>
    <s v=""/>
    <s v=""/>
    <x v="0"/>
  </r>
  <r>
    <n v="1"/>
    <s v="EMBAL_AUTOS_2100x800x800mm"/>
    <s v="Embalaje especial completamente cerrado para tablero autosoportado de 2100x800x800mm"/>
    <x v="3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n v="1"/>
    <s v="1SDA067012R1"/>
    <s v="ITM Caja Moldeada 3x25A (reg.[0.7-1.0] In) - XT2N160-25A-3P-TMD - 65kA@230Vac, 36kA@415Vac - marca ABB."/>
    <x v="30"/>
  </r>
  <r>
    <n v="1"/>
    <s v="1SDA067167R1"/>
    <s v="FC-CuAl_XT2 - Terminales + Cubrebornes - cables de cobre/aluminio hasta 1x185mm2 - 3 terminales (externos)"/>
    <x v="22"/>
  </r>
  <r>
    <s v=""/>
    <s v=""/>
    <s v=""/>
    <x v="0"/>
  </r>
  <r>
    <s v=""/>
    <s v=""/>
    <s v=""/>
    <x v="0"/>
  </r>
  <r>
    <s v=""/>
    <s v=""/>
    <s v=""/>
    <x v="0"/>
  </r>
  <r>
    <s v=""/>
    <s v=""/>
    <s v=""/>
    <x v="0"/>
  </r>
  <r>
    <s v=""/>
    <s v=""/>
    <s v=""/>
    <x v="0"/>
  </r>
  <r>
    <s v=""/>
    <s v=""/>
    <s v=""/>
    <x v="0"/>
  </r>
  <r>
    <s v=""/>
    <s v=""/>
    <s v=""/>
    <x v="0"/>
  </r>
  <r>
    <n v="1"/>
    <s v="1SDA066466R1"/>
    <s v="Mando motor con energía acumulada (MOE) - para XT2/XT4 - 220-250V AC/DC - (YM+YO+YC) - marca ABB."/>
    <x v="23"/>
  </r>
  <r>
    <n v="1"/>
    <s v="1SDA066433R1"/>
    <s v="2(Q) contacto conmutado de estado (NA/NC) + 1(SY) contacto por disparo de interruptor - XT1..XT4 - versión cableada - marca ABB."/>
    <x v="24"/>
  </r>
  <r>
    <n v="1"/>
    <s v="1SFA619403R5231"/>
    <s v="Portalámpara + lampara tipo LED - color Rojo - alimentacion: 220-230Vac, d=22mm. - CL2-523R - línea compacta - marca ABB."/>
    <x v="2"/>
  </r>
  <r>
    <n v="1"/>
    <s v="1SFA619403R5232"/>
    <s v="Portalámpara + lampara tipo LED - color Verde - alimentacion: 220-230Vac, d=22mm. - CL2-523G - línea compacta - marca ABB."/>
    <x v="3"/>
  </r>
  <r>
    <n v="1"/>
    <s v="1SFA611131P1108"/>
    <s v="Pulsador doble Start+Stop - color Verde+Rojo - contactos 1NA+1NC - MPD2-11C-K - línea modular - marca ABB."/>
    <x v="25"/>
  </r>
  <r>
    <n v="1"/>
    <s v="1SFA619210R1026"/>
    <s v="Selector 3 posiciones mantenidos - 1-0-2 / M-0-A - maneta corta, contactos 2NA - C3SS1-10B-20 - compacto - marca ABB."/>
    <x v="15"/>
  </r>
  <r>
    <n v="2"/>
    <s v="D2PR4B+D2PA6"/>
    <s v="Rele auxiliar enchufable +4NA/NC (D2PR4B + base D2PA6), 220Vac - marca EATON."/>
    <x v="4"/>
  </r>
  <r>
    <s v=""/>
    <s v=""/>
    <s v=""/>
    <x v="0"/>
  </r>
  <r>
    <s v=""/>
    <s v=""/>
    <s v=""/>
    <x v="0"/>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1"/>
    <s v="1SDA067012R1"/>
    <s v="ITM Caja Moldeada 3x25A (reg.[0.7-1.0] In) - XT2N160-25A-3P-TMD - 65kA@230Vac, 36kA@415Vac - marca ABB."/>
    <x v="30"/>
  </r>
  <r>
    <s v=""/>
    <s v=""/>
    <s v=""/>
    <x v="0"/>
  </r>
  <r>
    <n v="1"/>
    <s v="1SDA067011R1"/>
    <s v="ITM Caja Moldeada 3x20A (reg.[0.7-1.0] In) - XT2N160-20A-3P-TMD - 65kA@230Vac, 36kA@415Vac - marca ABB."/>
    <x v="35"/>
  </r>
  <r>
    <n v="3"/>
    <s v="1SDA067010R1"/>
    <s v="ITM Caja Moldeada 3x16A (reg.[0.7-1.0] In) - XT2N160-16A-3P-TMD - 65kA@230Vac, 36kA@415Vac - marca ABB."/>
    <x v="36"/>
  </r>
  <r>
    <s v=""/>
    <s v=""/>
    <s v=""/>
    <x v="0"/>
  </r>
  <r>
    <s v=""/>
    <s v=""/>
    <s v=""/>
    <x v="0"/>
  </r>
  <r>
    <s v=""/>
    <s v=""/>
    <s v=""/>
    <x v="0"/>
  </r>
  <r>
    <n v="1"/>
    <s v="1SDA067011R1"/>
    <s v="ITM Caja Moldeada 3x20A (reg.[0.7-1.0] In) - XT2N160-20A-3P-TMD - 65kA@230Vac, 36kA@415Vac - marca ABB."/>
    <x v="35"/>
  </r>
  <r>
    <n v="1"/>
    <s v="2CJC605480D0000"/>
    <s v="Supresor contra sobretensiones (Tipo 1, UL 1449) - OVRHT3C504803D - I_max=50kA por fase, Un=480V,  MCOV=640V (L-G), VPR=2.5kV (L-G) - marca ABB."/>
    <x v="3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4R1"/>
    <s v="ITM Caja Moldeada 3x50A (reg.[0.7-1.0] In) - XT1B160-50A-3P-TMD - 25kA@230Vac, 18kA@415Vac, 18kA@250Vdc - marca ABB."/>
    <x v="5"/>
  </r>
  <r>
    <s v=""/>
    <s v=""/>
    <s v=""/>
    <x v="0"/>
  </r>
  <r>
    <s v=""/>
    <s v=""/>
    <s v=""/>
    <x v="0"/>
  </r>
  <r>
    <n v="1"/>
    <s v="2CDS253001R0324"/>
    <s v="ITM Riel-Din 3x32A - S203-C-32A - 10kA@400Vac-IEC60947-2 - marca ABB."/>
    <x v="37"/>
  </r>
  <r>
    <n v="1"/>
    <s v="2CDS253001R0164"/>
    <s v="ITM Riel-Din 3x16A - S203-C-16A - 10kA@400Vac-IEC60947-2 - marca ABB."/>
    <x v="38"/>
  </r>
  <r>
    <s v=""/>
    <s v=""/>
    <s v=""/>
    <x v="0"/>
  </r>
  <r>
    <s v=""/>
    <s v=""/>
    <s v=""/>
    <x v="0"/>
  </r>
  <r>
    <n v="9"/>
    <s v="2CDS252001R0164"/>
    <s v="ITM Riel-Din 2x16A - S202-C-16A - 10kA@400Vac-IEC60947-2 - marca ABB."/>
    <x v="9"/>
  </r>
  <r>
    <n v="9"/>
    <s v="2CSF202102R1250"/>
    <s v="Interruptor Diferencial 2x25A - 30mA - clase A (inmunizado) - FH202-A-25A-30mA - marca ABB."/>
    <x v="10"/>
  </r>
  <r>
    <s v=""/>
    <s v=""/>
    <s v=""/>
    <x v="0"/>
  </r>
  <r>
    <s v=""/>
    <s v=""/>
    <s v=""/>
    <x v="0"/>
  </r>
  <r>
    <s v=""/>
    <s v=""/>
    <s v=""/>
    <x v="0"/>
  </r>
  <r>
    <s v=""/>
    <s v=""/>
    <s v=""/>
    <x v="0"/>
  </r>
  <r>
    <n v="1"/>
    <s v="2CDS252001R0204"/>
    <s v="ITM Riel-Din 2x20A - S202-C-20A - 10kA@400Vac-IEC60947-2 - marca ABB."/>
    <x v="20"/>
  </r>
  <r>
    <n v="2"/>
    <s v="2CDS252001R0164"/>
    <s v="ITM Riel-Din 2x16A - S202-C-16A - 10kA@400Vac-IEC60947-2 - marca ABB."/>
    <x v="9"/>
  </r>
  <r>
    <n v="2"/>
    <s v="2CSF202102R1250"/>
    <s v="Interruptor Diferencial 2x25A - 30mA - clase A (inmunizado) - FH202-A-25A-30mA - marca ABB."/>
    <x v="10"/>
  </r>
  <r>
    <s v=""/>
    <s v=""/>
    <s v=""/>
    <x v="0"/>
  </r>
  <r>
    <s v=""/>
    <s v=""/>
    <s v=""/>
    <x v="0"/>
  </r>
  <r>
    <s v=""/>
    <s v=""/>
    <s v=""/>
    <x v="0"/>
  </r>
  <r>
    <s v=""/>
    <s v=""/>
    <s v=""/>
    <x v="0"/>
  </r>
  <r>
    <n v="1"/>
    <s v="2CDS253001R0324"/>
    <s v="ITM Riel-Din 3x32A - S203-C-32A - 10kA@400Vac-IEC60947-2 - marca ABB."/>
    <x v="37"/>
  </r>
  <r>
    <n v="1"/>
    <s v="2CTB803873R2400"/>
    <s v="Protector de sobretensiones (Tipo 2) - OVR-T2_3N_40-275_P_3P -  Uc=275V, Up=1.25kV - I_descarga=40kA - marca ABB."/>
    <x v="39"/>
  </r>
  <r>
    <s v=""/>
    <s v=""/>
    <s v=""/>
    <x v="0"/>
  </r>
  <r>
    <s v=""/>
    <s v=""/>
    <s v=""/>
    <x v="0"/>
  </r>
  <r>
    <n v="3"/>
    <s v="1SBL137001R1310"/>
    <s v="Contactor 3x09A(AC-3) / 3x25A(AC-1) +1NA - AF09-30-10-13 - bobina 100-250Vac/dc - marca ABB."/>
    <x v="11"/>
  </r>
  <r>
    <n v="3"/>
    <s v="1SBN010110R1010"/>
    <s v="Contacto auxiliar frontal 2NA+2NC para contactor AF09..AF16-30-10, frontal - Modelo CA4-22M - marca ABB."/>
    <x v="12"/>
  </r>
  <r>
    <s v=""/>
    <s v=""/>
    <s v=""/>
    <x v="0"/>
  </r>
  <r>
    <s v=""/>
    <s v=""/>
    <s v=""/>
    <x v="0"/>
  </r>
  <r>
    <s v=""/>
    <s v=""/>
    <s v=""/>
    <x v="0"/>
  </r>
  <r>
    <s v=""/>
    <s v=""/>
    <s v=""/>
    <x v="0"/>
  </r>
  <r>
    <s v=""/>
    <s v=""/>
    <s v=""/>
    <x v="0"/>
  </r>
  <r>
    <s v=""/>
    <s v=""/>
    <s v=""/>
    <x v="0"/>
  </r>
  <r>
    <n v="4"/>
    <s v="1SBL137001R1310"/>
    <s v="Contactor 3x09A(AC-3) / 3x25A(AC-1) +1NA - AF09-30-10-13 - bobina 100-250Vac/dc - marca ABB."/>
    <x v="11"/>
  </r>
  <r>
    <n v="4"/>
    <s v="1SBN010110R1010"/>
    <s v="Contacto auxiliar frontal 2NA+2NC para contactor AF09..AF16-30-10, frontal - Modelo CA4-22M - marca ABB."/>
    <x v="1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m/>
    <m/>
    <m/>
    <x v="0"/>
  </r>
  <r>
    <s v=""/>
    <s v=""/>
    <s v=""/>
    <x v="0"/>
  </r>
  <r>
    <s v=""/>
    <s v=""/>
    <s v=""/>
    <x v="0"/>
  </r>
  <r>
    <n v="3"/>
    <s v="1SFA619210R1026"/>
    <s v="Selector 3 posiciones mantenidos - 1-0-2 / M-0-A - maneta corta, contactos 2NA - C3SS1-10B-20 - compacto - marca ABB."/>
    <x v="15"/>
  </r>
  <r>
    <s v=""/>
    <s v=""/>
    <s v=""/>
    <x v="0"/>
  </r>
  <r>
    <s v=""/>
    <s v=""/>
    <s v=""/>
    <x v="0"/>
  </r>
  <r>
    <s v=""/>
    <s v=""/>
    <s v=""/>
    <x v="0"/>
  </r>
  <r>
    <s v=""/>
    <s v=""/>
    <s v=""/>
    <x v="0"/>
  </r>
  <r>
    <s v=""/>
    <s v=""/>
    <s v=""/>
    <x v="0"/>
  </r>
  <r>
    <n v="1"/>
    <s v="D2PR4B+D2PA6"/>
    <s v="Rele auxiliar enchufable +4NA/NC (D2PR4B + base D2PA6), 220Vac - marca EATON."/>
    <x v="4"/>
  </r>
  <r>
    <s v=""/>
    <s v=""/>
    <s v=""/>
    <x v="0"/>
  </r>
  <r>
    <s v=""/>
    <s v=""/>
    <s v=""/>
    <x v="0"/>
  </r>
  <r>
    <s v=""/>
    <s v=""/>
    <s v=""/>
    <x v="0"/>
  </r>
  <r>
    <s v=""/>
    <s v=""/>
    <s v=""/>
    <x v="0"/>
  </r>
  <r>
    <s v=""/>
    <s v=""/>
    <s v=""/>
    <x v="0"/>
  </r>
  <r>
    <s v=""/>
    <s v=""/>
    <s v=""/>
    <x v="0"/>
  </r>
  <r>
    <s v=""/>
    <s v=""/>
    <s v=""/>
    <x v="0"/>
  </r>
  <r>
    <m/>
    <m/>
    <m/>
    <x v="1"/>
  </r>
  <r>
    <n v="1"/>
    <s v="0400RTF82S"/>
    <s v="FOTOCELDA 1800VA 220V N/C (NF) 10 LUX STIELECTRONICA"/>
    <x v="16"/>
  </r>
  <r>
    <n v="1"/>
    <s v="0400TPLS476"/>
    <s v="BASE C/SOPORTE P/CONTROL FOTOCELDA P/ADOSAR STIELECTRONICA"/>
    <x v="17"/>
  </r>
  <r>
    <m/>
    <m/>
    <m/>
    <x v="1"/>
  </r>
  <r>
    <m/>
    <m/>
    <m/>
    <x v="0"/>
  </r>
  <r>
    <s v=""/>
    <s v=""/>
    <s v=""/>
    <x v="0"/>
  </r>
  <r>
    <s v=""/>
    <s v=""/>
    <s v=""/>
    <x v="0"/>
  </r>
  <r>
    <n v="3"/>
    <s v="1SFA611131P1108"/>
    <s v="Pulsador doble Start+Stop - color Verde+Rojo - contactos 1NA+1NC - MPD2-11C-K - línea modular - marca ABB."/>
    <x v="25"/>
  </r>
  <r>
    <s v=""/>
    <s v=""/>
    <s v=""/>
    <x v="0"/>
  </r>
  <r>
    <s v=""/>
    <s v=""/>
    <s v=""/>
    <x v="0"/>
  </r>
  <r>
    <s v=""/>
    <s v=""/>
    <s v=""/>
    <x v="0"/>
  </r>
  <r>
    <s v=""/>
    <s v=""/>
    <s v=""/>
    <x v="0"/>
  </r>
  <r>
    <s v=""/>
    <s v=""/>
    <s v=""/>
    <x v="0"/>
  </r>
  <r>
    <s v=""/>
    <s v=""/>
    <s v=""/>
    <x v="0"/>
  </r>
  <r>
    <s v=""/>
    <s v=""/>
    <s v=""/>
    <x v="0"/>
  </r>
  <r>
    <s v=""/>
    <s v=""/>
    <s v=""/>
    <x v="0"/>
  </r>
  <r>
    <s v=""/>
    <s v=""/>
    <s v=""/>
    <x v="0"/>
  </r>
  <r>
    <s v=""/>
    <s v=""/>
    <s v=""/>
    <x v="0"/>
  </r>
  <r>
    <m/>
    <m/>
    <m/>
    <x v="1"/>
  </r>
  <r>
    <m/>
    <m/>
    <m/>
    <x v="0"/>
  </r>
  <r>
    <s v=""/>
    <s v=""/>
    <s v=""/>
    <x v="0"/>
  </r>
  <r>
    <s v=""/>
    <s v=""/>
    <s v=""/>
    <x v="0"/>
  </r>
  <r>
    <n v="2"/>
    <s v="1SFA611131P1108"/>
    <s v="Pulsador doble Start+Stop - color Verde+Rojo - contactos 1NA+1NC - MPD2-11C-K - línea modular - marca ABB."/>
    <x v="25"/>
  </r>
  <r>
    <s v=""/>
    <s v=""/>
    <s v=""/>
    <x v="0"/>
  </r>
  <r>
    <s v=""/>
    <s v=""/>
    <s v=""/>
    <x v="0"/>
  </r>
  <r>
    <s v=""/>
    <s v=""/>
    <s v=""/>
    <x v="0"/>
  </r>
  <r>
    <s v=""/>
    <s v=""/>
    <s v=""/>
    <x v="0"/>
  </r>
  <r>
    <s v=""/>
    <s v=""/>
    <s v=""/>
    <x v="0"/>
  </r>
  <r>
    <s v=""/>
    <s v=""/>
    <s v=""/>
    <x v="0"/>
  </r>
  <r>
    <s v=""/>
    <s v=""/>
    <s v=""/>
    <x v="0"/>
  </r>
  <r>
    <s v=""/>
    <s v=""/>
    <s v=""/>
    <x v="0"/>
  </r>
  <r>
    <s v=""/>
    <s v=""/>
    <s v=""/>
    <x v="0"/>
  </r>
  <r>
    <s v=""/>
    <s v=""/>
    <s v=""/>
    <x v="0"/>
  </r>
  <r>
    <m/>
    <m/>
    <m/>
    <x v="1"/>
  </r>
  <r>
    <m/>
    <m/>
    <m/>
    <x v="0"/>
  </r>
  <r>
    <s v=""/>
    <s v=""/>
    <s v=""/>
    <x v="0"/>
  </r>
  <r>
    <s v=""/>
    <s v=""/>
    <s v=""/>
    <x v="0"/>
  </r>
  <r>
    <n v="2"/>
    <s v="1SFA611131P1108"/>
    <s v="Pulsador doble Start+Stop - color Verde+Rojo - contactos 1NA+1NC - MPD2-11C-K - línea modular - marca ABB."/>
    <x v="25"/>
  </r>
  <r>
    <s v=""/>
    <s v=""/>
    <s v=""/>
    <x v="0"/>
  </r>
  <r>
    <s v=""/>
    <s v=""/>
    <s v=""/>
    <x v="0"/>
  </r>
  <r>
    <s v=""/>
    <s v=""/>
    <s v=""/>
    <x v="0"/>
  </r>
  <r>
    <s v=""/>
    <s v=""/>
    <s v=""/>
    <x v="0"/>
  </r>
  <r>
    <s v=""/>
    <s v=""/>
    <s v=""/>
    <x v="0"/>
  </r>
  <r>
    <s v=""/>
    <s v=""/>
    <s v=""/>
    <x v="0"/>
  </r>
  <r>
    <s v=""/>
    <s v=""/>
    <s v=""/>
    <x v="0"/>
  </r>
  <r>
    <s v=""/>
    <s v=""/>
    <s v=""/>
    <x v="0"/>
  </r>
  <r>
    <s v=""/>
    <s v=""/>
    <s v=""/>
    <x v="0"/>
  </r>
  <r>
    <s v=""/>
    <s v=""/>
    <s v=""/>
    <x v="0"/>
  </r>
  <r>
    <m/>
    <m/>
    <m/>
    <x v="1"/>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1R1"/>
    <s v="ITM Caja Moldeada 3x25A (reg.[0.7-1.0] In)  - XT1B160-25A-3P-TMD - 25kA@230Vac,18kA@415Vac, 18kA@250Vdc - marca ABB."/>
    <x v="40"/>
  </r>
  <r>
    <s v=""/>
    <s v=""/>
    <s v=""/>
    <x v="0"/>
  </r>
  <r>
    <s v=""/>
    <s v=""/>
    <s v=""/>
    <x v="0"/>
  </r>
  <r>
    <n v="2"/>
    <s v="2CDS253001R0164"/>
    <s v="ITM Riel-Din 3x16A - S203-C-16A - 10kA@400Vac-IEC60947-2 - marca ABB."/>
    <x v="38"/>
  </r>
  <r>
    <s v=""/>
    <s v=""/>
    <s v=""/>
    <x v="0"/>
  </r>
  <r>
    <s v=""/>
    <s v=""/>
    <s v=""/>
    <x v="0"/>
  </r>
  <r>
    <s v=""/>
    <s v=""/>
    <s v=""/>
    <x v="0"/>
  </r>
  <r>
    <n v="5"/>
    <s v="2CDS252001R0164"/>
    <s v="ITM Riel-Din 2x16A - S202-C-16A - 10kA@400Vac-IEC60947-2 - marca ABB."/>
    <x v="9"/>
  </r>
  <r>
    <n v="5"/>
    <s v="2CSF202102R1250"/>
    <s v="Interruptor Diferencial 2x25A - 30mA - clase A (inmunizado) - FH202-A-25A-30mA - marca ABB."/>
    <x v="10"/>
  </r>
  <r>
    <s v=""/>
    <s v=""/>
    <s v=""/>
    <x v="0"/>
  </r>
  <r>
    <s v=""/>
    <s v=""/>
    <s v=""/>
    <x v="0"/>
  </r>
  <r>
    <s v=""/>
    <s v=""/>
    <s v=""/>
    <x v="0"/>
  </r>
  <r>
    <s v=""/>
    <s v=""/>
    <s v=""/>
    <x v="0"/>
  </r>
  <r>
    <n v="4"/>
    <s v="2CDS253001R0164"/>
    <s v="ITM Riel-Din 3x16A - S203-C-16A - 10kA@400Vac-IEC60947-2 - marca ABB."/>
    <x v="38"/>
  </r>
  <r>
    <n v="3"/>
    <s v="2CDS252001R0164"/>
    <s v="ITM Riel-Din 2x16A - S202-C-16A - 10kA@400Vac-IEC60947-2 - marca ABB."/>
    <x v="9"/>
  </r>
  <r>
    <n v="3"/>
    <s v="2CSF202102R1250"/>
    <s v="Interruptor Diferencial 2x25A - 30mA - clase A (inmunizado) - FH202-A-25A-30mA - marca ABB."/>
    <x v="10"/>
  </r>
  <r>
    <s v=""/>
    <s v=""/>
    <s v=""/>
    <x v="0"/>
  </r>
  <r>
    <s v=""/>
    <s v=""/>
    <s v=""/>
    <x v="0"/>
  </r>
  <r>
    <s v=""/>
    <s v=""/>
    <s v=""/>
    <x v="0"/>
  </r>
  <r>
    <s v=""/>
    <s v=""/>
    <s v=""/>
    <x v="0"/>
  </r>
  <r>
    <n v="1"/>
    <s v="2CDS253001R0254"/>
    <s v="ITM Riel-Din 3x25A - S203-C-25A - 10kA@400Vac-IEC60947-2 - marca ABB."/>
    <x v="41"/>
  </r>
  <r>
    <n v="1"/>
    <s v="2CTB803873R2400"/>
    <s v="Protector de sobretensiones (Tipo 2) - OVR-T2_3N_40-275_P_3P -  Uc=275V, Up=1.25kV - I_descarga=40kA - marca ABB."/>
    <x v="39"/>
  </r>
  <r>
    <s v=""/>
    <s v=""/>
    <s v=""/>
    <x v="0"/>
  </r>
  <r>
    <s v=""/>
    <s v=""/>
    <s v=""/>
    <x v="0"/>
  </r>
  <r>
    <n v="3"/>
    <s v="1SBL137001R1310"/>
    <s v="Contactor 3x09A(AC-3) / 3x25A(AC-1) +1NA - AF09-30-10-13 - bobina 100-250Vac/dc - marca ABB."/>
    <x v="11"/>
  </r>
  <r>
    <n v="3"/>
    <s v="1SBN010110R1010"/>
    <s v="Contacto auxiliar frontal 2NA+2NC para contactor AF09..AF16-30-10, frontal - Modelo CA4-22M - marca ABB."/>
    <x v="1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69552R1"/>
    <s v="ITM Caja Moldeada 2x20A - A1N/P125-20A-2P-TMF - 50kA@230Vac, 36kA@400Vac, 10kA@125Vdc - marca ABB."/>
    <x v="42"/>
  </r>
  <r>
    <s v=""/>
    <s v=""/>
    <s v=""/>
    <x v="0"/>
  </r>
  <r>
    <s v=""/>
    <s v=""/>
    <s v=""/>
    <x v="0"/>
  </r>
  <r>
    <s v=""/>
    <s v=""/>
    <s v=""/>
    <x v="0"/>
  </r>
  <r>
    <s v=""/>
    <s v=""/>
    <s v=""/>
    <x v="0"/>
  </r>
  <r>
    <s v=""/>
    <s v=""/>
    <s v=""/>
    <x v="0"/>
  </r>
  <r>
    <n v="2"/>
    <s v="2CDS252001R0204"/>
    <s v="ITM Riel-Din 2x20A - S202-C-20A - 10kA@400Vac-IEC60947-2 - marca ABB."/>
    <x v="20"/>
  </r>
  <r>
    <s v=""/>
    <s v=""/>
    <s v=""/>
    <x v="0"/>
  </r>
  <r>
    <s v=""/>
    <s v=""/>
    <s v=""/>
    <x v="0"/>
  </r>
  <r>
    <s v=""/>
    <s v=""/>
    <s v=""/>
    <x v="0"/>
  </r>
  <r>
    <n v="1"/>
    <s v="2CDS252001R0204"/>
    <s v="ITM Riel-Din 2x20A - S202-C-20A - 10kA@400Vac-IEC60947-2 - marca ABB."/>
    <x v="20"/>
  </r>
  <r>
    <n v="2"/>
    <s v="2CTB803871R1200"/>
    <s v="Protector de sobretensiones (Tipo 2) - OVR-T2_40-440_P-QS_1P - Un=230/400V, Uc=440V, Up=1.8kV - I_descarga=40kA - marca ABB."/>
    <x v="18"/>
  </r>
  <r>
    <s v=""/>
    <s v=""/>
    <s v=""/>
    <x v="0"/>
  </r>
  <r>
    <s v=""/>
    <s v=""/>
    <s v=""/>
    <x v="0"/>
  </r>
  <r>
    <s v=""/>
    <s v=""/>
    <s v=""/>
    <x v="0"/>
  </r>
  <r>
    <s v=""/>
    <s v=""/>
    <s v=""/>
    <x v="0"/>
  </r>
  <r>
    <s v=""/>
    <s v=""/>
    <s v=""/>
    <x v="0"/>
  </r>
  <r>
    <s v=""/>
    <s v=""/>
    <s v=""/>
    <x v="0"/>
  </r>
  <r>
    <s v=""/>
    <s v=""/>
    <s v=""/>
    <x v="0"/>
  </r>
  <r>
    <n v="2"/>
    <s v="2CDS252001R0204"/>
    <s v="ITM Riel-Din 2x20A - S202-C-20A - 10kA@400Vac-IEC60947-2 - marca ABB."/>
    <x v="20"/>
  </r>
  <r>
    <s v=""/>
    <s v=""/>
    <s v=""/>
    <x v="0"/>
  </r>
  <r>
    <s v=""/>
    <s v=""/>
    <s v=""/>
    <x v="0"/>
  </r>
  <r>
    <s v=""/>
    <s v=""/>
    <s v=""/>
    <x v="0"/>
  </r>
  <r>
    <n v="5"/>
    <s v="2CDS252001R0164"/>
    <s v="ITM Riel-Din 2x16A - S202-C-16A - 10kA@400Vac-IEC60947-2 - marca ABB."/>
    <x v="9"/>
  </r>
  <r>
    <n v="5"/>
    <s v="2CSF202401R1250"/>
    <s v="Interruptor Diferencial 2x25A - 30mA - clase A-APR (alta inmunización) - F202-A APR-25A-30mA  - marca ABB."/>
    <x v="19"/>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n v="1"/>
    <s v="1SDA067019R1"/>
    <s v="ITM Caja Moldeada 3x125A (reg.[0.7-1.0] In) - XT2N160-125A-3P-TMA - 65kA@230Vac, 36kA@415Vac - marca ABB."/>
    <x v="43"/>
  </r>
  <r>
    <n v="1"/>
    <s v="1SDA067167R1"/>
    <s v="FC-CuAl_XT2 - Terminales + Cubrebornes - cables de cobre/aluminio hasta 1x185mm2 - 3 terminales (externos)"/>
    <x v="22"/>
  </r>
  <r>
    <s v=""/>
    <s v=""/>
    <s v=""/>
    <x v="0"/>
  </r>
  <r>
    <s v=""/>
    <s v=""/>
    <s v=""/>
    <x v="0"/>
  </r>
  <r>
    <s v=""/>
    <s v=""/>
    <s v=""/>
    <x v="0"/>
  </r>
  <r>
    <s v=""/>
    <s v=""/>
    <s v=""/>
    <x v="0"/>
  </r>
  <r>
    <s v=""/>
    <s v=""/>
    <s v=""/>
    <x v="0"/>
  </r>
  <r>
    <s v=""/>
    <s v=""/>
    <s v=""/>
    <x v="0"/>
  </r>
  <r>
    <s v=""/>
    <s v=""/>
    <s v=""/>
    <x v="0"/>
  </r>
  <r>
    <n v="1"/>
    <s v="1SDA066466R1"/>
    <s v="Mando motor con energía acumulada (MOE) - para XT2/XT4 - 220-250V AC/DC - (YM+YO+YC) - marca ABB."/>
    <x v="23"/>
  </r>
  <r>
    <n v="1"/>
    <s v="1SDA066433R1"/>
    <s v="2(Q) contacto conmutado de estado (NA/NC) + 1(SY) contacto por disparo de interruptor - XT1..XT4 - versión cableada - marca ABB."/>
    <x v="24"/>
  </r>
  <r>
    <n v="1"/>
    <s v="1SFA619403R5231"/>
    <s v="Portalámpara + lampara tipo LED - color Rojo - alimentacion: 220-230Vac, d=22mm. - CL2-523R - línea compacta - marca ABB."/>
    <x v="2"/>
  </r>
  <r>
    <n v="1"/>
    <s v="1SFA619403R5232"/>
    <s v="Portalámpara + lampara tipo LED - color Verde - alimentacion: 220-230Vac, d=22mm. - CL2-523G - línea compacta - marca ABB."/>
    <x v="3"/>
  </r>
  <r>
    <n v="1"/>
    <s v="1SFA611131P1108"/>
    <s v="Pulsador doble Start+Stop - color Verde+Rojo - contactos 1NA+1NC - MPD2-11C-K - línea modular - marca ABB."/>
    <x v="25"/>
  </r>
  <r>
    <n v="1"/>
    <s v="1SFA619210R1026"/>
    <s v="Selector 3 posiciones mantenidos - 1-0-2 / M-0-A - maneta corta, contactos 2NA - C3SS1-10B-20 - compacto - marca ABB."/>
    <x v="15"/>
  </r>
  <r>
    <n v="2"/>
    <s v="D2PR4B+D2PA6"/>
    <s v="Rele auxiliar enchufable +4NA/NC (D2PR4B + base D2PA6), 220Vac - marca EATON."/>
    <x v="4"/>
  </r>
  <r>
    <s v=""/>
    <s v=""/>
    <s v=""/>
    <x v="0"/>
  </r>
  <r>
    <s v=""/>
    <s v=""/>
    <s v=""/>
    <x v="0"/>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2"/>
    <s v="1SDA067015R1"/>
    <s v="ITM Caja Moldeada 3x50A (reg.[0.7-1.0] In) - XT2N160-50A-3P-TMA - 65kA@230Vac, 36kA@415Vac - marca ABB."/>
    <x v="29"/>
  </r>
  <r>
    <n v="3"/>
    <s v="1SDA067013R1"/>
    <s v="ITM Caja Moldeada 3x32A (reg.[0.7-1.0] In) - XT2N160-32A-3P-TMD - 65kA@230Vac, 36kA@415Vac - marca ABB."/>
    <x v="31"/>
  </r>
  <r>
    <n v="2"/>
    <s v="1SDA067011R1"/>
    <s v="ITM Caja Moldeada 3x20A (reg.[0.7-1.0] In) - XT2N160-20A-3P-TMD - 65kA@230Vac, 36kA@415Vac - marca ABB."/>
    <x v="35"/>
  </r>
  <r>
    <s v=""/>
    <s v=""/>
    <s v=""/>
    <x v="0"/>
  </r>
  <r>
    <s v=""/>
    <s v=""/>
    <s v=""/>
    <x v="0"/>
  </r>
  <r>
    <s v=""/>
    <s v=""/>
    <s v=""/>
    <x v="0"/>
  </r>
  <r>
    <n v="1"/>
    <s v="1SDA067013R1"/>
    <s v="ITM Caja Moldeada 3x32A (reg.[0.7-1.0] In) - XT2N160-32A-3P-TMD - 65kA@230Vac, 36kA@415Vac - marca ABB."/>
    <x v="31"/>
  </r>
  <r>
    <n v="1"/>
    <s v="2CJC605480D0000"/>
    <s v="Supresor contra sobretensiones (Tipo 1, UL 1449) - OVRHT3C504803D - I_max=50kA por fase, Un=480V,  MCOV=640V (L-G), VPR=2.5kV (L-G) - marca ABB."/>
    <x v="32"/>
  </r>
  <r>
    <s v=""/>
    <s v=""/>
    <s v=""/>
    <x v="0"/>
  </r>
  <r>
    <s v=""/>
    <s v=""/>
    <s v=""/>
    <x v="0"/>
  </r>
  <r>
    <s v=""/>
    <s v=""/>
    <s v=""/>
    <x v="0"/>
  </r>
  <r>
    <s v=""/>
    <s v=""/>
    <s v=""/>
    <x v="0"/>
  </r>
  <r>
    <s v=""/>
    <s v=""/>
    <s v=""/>
    <x v="0"/>
  </r>
  <r>
    <s v=""/>
    <s v=""/>
    <s v=""/>
    <x v="0"/>
  </r>
  <r>
    <n v="1"/>
    <s v="Placa lamicoid p/autosop."/>
    <s v="Placa lamicoid rotulación de 3mm de espesor, fondo negro y letras blancas."/>
    <x v="33"/>
  </r>
  <r>
    <s v=""/>
    <s v=""/>
    <s v=""/>
    <x v="0"/>
  </r>
  <r>
    <s v=""/>
    <s v=""/>
    <s v=""/>
    <x v="0"/>
  </r>
  <r>
    <n v="1"/>
    <s v="EMBAL_AUTOS_2100x800x800mm"/>
    <s v="Embalaje especial completamente cerrado para tablero autosoportado de 2100x800x800mm"/>
    <x v="3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n v="1"/>
    <s v="1SDA067014R1"/>
    <s v="ITM Caja Moldeada 3x40A (reg.[0.7-1.0] In) - XT2N160-40A-3P-TMA - 65kA@230Vac, 36kA@415Vac - marca ABB."/>
    <x v="44"/>
  </r>
  <r>
    <s v=""/>
    <s v=""/>
    <s v=""/>
    <x v="0"/>
  </r>
  <r>
    <s v=""/>
    <s v=""/>
    <s v=""/>
    <x v="0"/>
  </r>
  <r>
    <s v=""/>
    <s v=""/>
    <s v=""/>
    <x v="0"/>
  </r>
  <r>
    <s v=""/>
    <s v=""/>
    <s v=""/>
    <x v="0"/>
  </r>
  <r>
    <s v=""/>
    <s v=""/>
    <s v=""/>
    <x v="0"/>
  </r>
  <r>
    <s v=""/>
    <s v=""/>
    <s v=""/>
    <x v="0"/>
  </r>
  <r>
    <s v=""/>
    <s v=""/>
    <s v=""/>
    <x v="0"/>
  </r>
  <r>
    <n v="1"/>
    <s v="1SDA066466R1"/>
    <s v="Mando motor con energía acumulada (MOE) - para XT2/XT4 - 220-250V AC/DC - (YM+YO+YC) - marca ABB."/>
    <x v="23"/>
  </r>
  <r>
    <n v="1"/>
    <s v="1SDA066433R1"/>
    <s v="2(Q) contacto conmutado de estado (NA/NC) + 1(SY) contacto por disparo de interruptor - XT1..XT4 - versión cableada - marca ABB."/>
    <x v="24"/>
  </r>
  <r>
    <n v="1"/>
    <s v="1SFA619403R5231"/>
    <s v="Portalámpara + lampara tipo LED - color Rojo - alimentacion: 220-230Vac, d=22mm. - CL2-523R - línea compacta - marca ABB."/>
    <x v="2"/>
  </r>
  <r>
    <n v="1"/>
    <s v="1SFA619403R5232"/>
    <s v="Portalámpara + lampara tipo LED - color Verde - alimentacion: 220-230Vac, d=22mm. - CL2-523G - línea compacta - marca ABB."/>
    <x v="3"/>
  </r>
  <r>
    <n v="1"/>
    <s v="1SFA611131P1108"/>
    <s v="Pulsador doble Start+Stop - color Verde+Rojo - contactos 1NA+1NC - MPD2-11C-K - línea modular - marca ABB."/>
    <x v="25"/>
  </r>
  <r>
    <n v="1"/>
    <s v="1SFA619210R1026"/>
    <s v="Selector 3 posiciones mantenidos - 1-0-2 / M-0-A - maneta corta, contactos 2NA - C3SS1-10B-20 - compacto - marca ABB."/>
    <x v="15"/>
  </r>
  <r>
    <n v="2"/>
    <s v="D2PR4B+D2PA6"/>
    <s v="Rele auxiliar enchufable +4NA/NC (D2PR4B + base D2PA6), 220Vac - marca EATON."/>
    <x v="4"/>
  </r>
  <r>
    <s v=""/>
    <s v=""/>
    <s v=""/>
    <x v="0"/>
  </r>
  <r>
    <s v=""/>
    <s v=""/>
    <s v=""/>
    <x v="0"/>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1"/>
    <s v="1SDA067012R1"/>
    <s v="ITM Caja Moldeada 3x25A (reg.[0.7-1.0] In) - XT2N160-25A-3P-TMD - 65kA@230Vac, 36kA@415Vac - marca ABB."/>
    <x v="30"/>
  </r>
  <r>
    <n v="2"/>
    <s v="1SDA067011R1"/>
    <s v="ITM Caja Moldeada 3x20A (reg.[0.7-1.0] In) - XT2N160-20A-3P-TMD - 65kA@230Vac, 36kA@415Vac - marca ABB."/>
    <x v="35"/>
  </r>
  <r>
    <n v="2"/>
    <s v="1SDA067010R1"/>
    <s v="ITM Caja Moldeada 3x16A (reg.[0.7-1.0] In) - XT2N160-16A-3P-TMD - 65kA@230Vac, 36kA@415Vac - marca ABB."/>
    <x v="36"/>
  </r>
  <r>
    <s v=""/>
    <s v=""/>
    <s v=""/>
    <x v="0"/>
  </r>
  <r>
    <s v=""/>
    <s v=""/>
    <s v=""/>
    <x v="0"/>
  </r>
  <r>
    <s v=""/>
    <s v=""/>
    <s v=""/>
    <x v="0"/>
  </r>
  <r>
    <s v=""/>
    <s v=""/>
    <s v=""/>
    <x v="0"/>
  </r>
  <r>
    <n v="1"/>
    <s v="1SDA067013R1"/>
    <s v="ITM Caja Moldeada 3x32A (reg.[0.7-1.0] In) - XT2N160-32A-3P-TMD - 65kA@230Vac, 36kA@415Vac - marca ABB."/>
    <x v="31"/>
  </r>
  <r>
    <n v="1"/>
    <s v="2CJC605480D0000"/>
    <s v="Supresor contra sobretensiones (Tipo 1, UL 1449) - OVRHT3C504803D - I_max=50kA por fase, Un=480V,  MCOV=640V (L-G), VPR=2.5kV (L-G) - marca ABB."/>
    <x v="3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4R1"/>
    <s v="ITM Caja Moldeada 3x50A (reg.[0.7-1.0] In) - XT1B160-50A-3P-TMD - 25kA@230Vac, 18kA@415Vac, 18kA@250Vdc - marca ABB."/>
    <x v="5"/>
  </r>
  <r>
    <s v=""/>
    <s v=""/>
    <s v=""/>
    <x v="0"/>
  </r>
  <r>
    <s v=""/>
    <s v=""/>
    <s v=""/>
    <x v="0"/>
  </r>
  <r>
    <n v="2"/>
    <s v="2CDS253001R0254"/>
    <s v="ITM Riel-Din 3x25A - S203-C-25A - 10kA@400Vac-IEC60947-2 - marca ABB."/>
    <x v="41"/>
  </r>
  <r>
    <s v=""/>
    <s v=""/>
    <s v=""/>
    <x v="0"/>
  </r>
  <r>
    <s v=""/>
    <s v=""/>
    <s v=""/>
    <x v="0"/>
  </r>
  <r>
    <n v="14"/>
    <s v="2CDS252001R0164"/>
    <s v="ITM Riel-Din 2x16A - S202-C-16A - 10kA@400Vac-IEC60947-2 - marca ABB."/>
    <x v="9"/>
  </r>
  <r>
    <n v="14"/>
    <s v="2CSF202102R1250"/>
    <s v="Interruptor Diferencial 2x25A - 30mA - clase A (inmunizado) - FH202-A-25A-30mA - marca ABB."/>
    <x v="10"/>
  </r>
  <r>
    <s v=""/>
    <s v=""/>
    <s v=""/>
    <x v="0"/>
  </r>
  <r>
    <s v=""/>
    <s v=""/>
    <s v=""/>
    <x v="0"/>
  </r>
  <r>
    <s v=""/>
    <s v=""/>
    <s v=""/>
    <x v="0"/>
  </r>
  <r>
    <s v=""/>
    <s v=""/>
    <s v=""/>
    <x v="0"/>
  </r>
  <r>
    <n v="11"/>
    <s v="2CDS252001R0164"/>
    <s v="ITM Riel-Din 2x16A - S202-C-16A - 10kA@400Vac-IEC60947-2 - marca ABB."/>
    <x v="9"/>
  </r>
  <r>
    <n v="8"/>
    <s v="2CSF202102R1250"/>
    <s v="Interruptor Diferencial 2x25A - 30mA - clase A (inmunizado) - FH202-A-25A-30mA - marca ABB."/>
    <x v="10"/>
  </r>
  <r>
    <s v=""/>
    <s v=""/>
    <s v=""/>
    <x v="0"/>
  </r>
  <r>
    <s v=""/>
    <s v=""/>
    <s v=""/>
    <x v="0"/>
  </r>
  <r>
    <s v=""/>
    <s v=""/>
    <s v=""/>
    <x v="0"/>
  </r>
  <r>
    <s v=""/>
    <s v=""/>
    <s v=""/>
    <x v="0"/>
  </r>
  <r>
    <n v="1"/>
    <s v="2CDS253001R0324"/>
    <s v="ITM Riel-Din 3x32A - S203-C-32A - 10kA@400Vac-IEC60947-2 - marca ABB."/>
    <x v="37"/>
  </r>
  <r>
    <n v="1"/>
    <s v="2CTB803873R2400"/>
    <s v="Protector de sobretensiones (Tipo 2) - OVR-T2_3N_40-275_P_3P -  Uc=275V, Up=1.25kV - I_descarga=40kA - marca ABB."/>
    <x v="39"/>
  </r>
  <r>
    <s v=""/>
    <s v=""/>
    <s v=""/>
    <x v="0"/>
  </r>
  <r>
    <s v=""/>
    <s v=""/>
    <s v=""/>
    <x v="0"/>
  </r>
  <r>
    <n v="1"/>
    <s v="1SBL137001R1310"/>
    <s v="Contactor 3x09A(AC-3) / 3x25A(AC-1) +1NA - AF09-30-10-13 - bobina 100-250Vac/dc - marca ABB."/>
    <x v="11"/>
  </r>
  <r>
    <n v="1"/>
    <s v="1SBN010110R1010"/>
    <s v="Contacto auxiliar frontal 2NA+2NC para contactor AF09..AF16-30-10, frontal - Modelo CA4-22M - marca ABB."/>
    <x v="1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m/>
    <m/>
    <m/>
    <x v="0"/>
  </r>
  <r>
    <s v=""/>
    <s v=""/>
    <s v=""/>
    <x v="0"/>
  </r>
  <r>
    <s v=""/>
    <s v=""/>
    <s v=""/>
    <x v="0"/>
  </r>
  <r>
    <n v="1"/>
    <s v="1SFA619210R1026"/>
    <s v="Selector 3 posiciones mantenidos - 1-0-2 / M-0-A - maneta corta, contactos 2NA - C3SS1-10B-20 - compacto - marca ABB."/>
    <x v="15"/>
  </r>
  <r>
    <s v=""/>
    <s v=""/>
    <s v=""/>
    <x v="0"/>
  </r>
  <r>
    <s v=""/>
    <s v=""/>
    <s v=""/>
    <x v="0"/>
  </r>
  <r>
    <s v=""/>
    <s v=""/>
    <s v=""/>
    <x v="0"/>
  </r>
  <r>
    <s v=""/>
    <s v=""/>
    <s v=""/>
    <x v="0"/>
  </r>
  <r>
    <s v=""/>
    <s v=""/>
    <s v=""/>
    <x v="0"/>
  </r>
  <r>
    <n v="1"/>
    <s v="D2PR4B+D2PA6"/>
    <s v="Rele auxiliar enchufable +4NA/NC (D2PR4B + base D2PA6), 220Vac - marca EATON."/>
    <x v="4"/>
  </r>
  <r>
    <s v=""/>
    <s v=""/>
    <s v=""/>
    <x v="0"/>
  </r>
  <r>
    <s v=""/>
    <s v=""/>
    <s v=""/>
    <x v="0"/>
  </r>
  <r>
    <s v=""/>
    <s v=""/>
    <s v=""/>
    <x v="0"/>
  </r>
  <r>
    <s v=""/>
    <s v=""/>
    <s v=""/>
    <x v="0"/>
  </r>
  <r>
    <s v=""/>
    <s v=""/>
    <s v=""/>
    <x v="0"/>
  </r>
  <r>
    <s v=""/>
    <s v=""/>
    <s v=""/>
    <x v="0"/>
  </r>
  <r>
    <s v=""/>
    <s v=""/>
    <s v=""/>
    <x v="0"/>
  </r>
  <r>
    <s v=""/>
    <s v=""/>
    <s v=""/>
    <x v="0"/>
  </r>
  <r>
    <m/>
    <m/>
    <m/>
    <x v="1"/>
  </r>
  <r>
    <n v="1"/>
    <s v="0400RTF82S"/>
    <s v="FOTOCELDA 1800VA 220V N/C (NF) 10 LUX STIELECTRONICA"/>
    <x v="16"/>
  </r>
  <r>
    <n v="1"/>
    <s v="0400TPLS476"/>
    <s v="BASE C/SOPORTE P/CONTROL FOTOCELDA P/ADOSAR STIELECTRONICA"/>
    <x v="17"/>
  </r>
  <r>
    <m/>
    <m/>
    <m/>
    <x v="1"/>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1R1"/>
    <s v="ITM Caja Moldeada 3x25A (reg.[0.7-1.0] In)  - XT1B160-25A-3P-TMD - 25kA@230Vac,18kA@415Vac, 18kA@250Vdc - marca ABB."/>
    <x v="40"/>
  </r>
  <r>
    <s v=""/>
    <s v=""/>
    <s v=""/>
    <x v="0"/>
  </r>
  <r>
    <s v=""/>
    <s v=""/>
    <s v=""/>
    <x v="0"/>
  </r>
  <r>
    <n v="2"/>
    <s v="2CDS253001R0164"/>
    <s v="ITM Riel-Din 3x16A - S203-C-16A - 10kA@400Vac-IEC60947-2 - marca ABB."/>
    <x v="38"/>
  </r>
  <r>
    <s v=""/>
    <s v=""/>
    <s v=""/>
    <x v="0"/>
  </r>
  <r>
    <s v=""/>
    <s v=""/>
    <s v=""/>
    <x v="0"/>
  </r>
  <r>
    <n v="7"/>
    <s v="2CDS252001R0164"/>
    <s v="ITM Riel-Din 2x16A - S202-C-16A - 10kA@400Vac-IEC60947-2 - marca ABB."/>
    <x v="9"/>
  </r>
  <r>
    <n v="7"/>
    <s v="2CSF202102R1250"/>
    <s v="Interruptor Diferencial 2x25A - 30mA - clase A (inmunizado) - FH202-A-25A-30mA - marca ABB."/>
    <x v="10"/>
  </r>
  <r>
    <s v=""/>
    <s v=""/>
    <s v=""/>
    <x v="0"/>
  </r>
  <r>
    <s v=""/>
    <s v=""/>
    <s v=""/>
    <x v="0"/>
  </r>
  <r>
    <s v=""/>
    <s v=""/>
    <s v=""/>
    <x v="0"/>
  </r>
  <r>
    <s v=""/>
    <s v=""/>
    <s v=""/>
    <x v="0"/>
  </r>
  <r>
    <n v="4"/>
    <s v="2CDS253001R0164"/>
    <s v="ITM Riel-Din 3x16A - S203-C-16A - 10kA@400Vac-IEC60947-2 - marca ABB."/>
    <x v="38"/>
  </r>
  <r>
    <s v=""/>
    <s v=""/>
    <s v=""/>
    <x v="0"/>
  </r>
  <r>
    <s v=""/>
    <s v=""/>
    <s v=""/>
    <x v="0"/>
  </r>
  <r>
    <s v=""/>
    <s v=""/>
    <s v=""/>
    <x v="0"/>
  </r>
  <r>
    <s v=""/>
    <s v=""/>
    <s v=""/>
    <x v="0"/>
  </r>
  <r>
    <n v="1"/>
    <s v="2CDS253001R0204"/>
    <s v="ITM Riel-Din 3x20A - S203-C-20A - 10kA@400Vac-IEC60947-2 - marca ABB."/>
    <x v="45"/>
  </r>
  <r>
    <n v="1"/>
    <s v="2CTB803873R2400"/>
    <s v="Protector de sobretensiones (Tipo 2) - OVR-T2_3N_40-275_P_3P -  Uc=275V, Up=1.25kV - I_descarga=40kA - marca ABB."/>
    <x v="39"/>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69556R1"/>
    <s v="ITM Caja Moldeada 2x40A - A1N/P125-40A-2P-TMF - 50kA@230Vac, 36kA@400Vac, 10kA@125Vdc - marca ABB."/>
    <x v="46"/>
  </r>
  <r>
    <s v=""/>
    <s v=""/>
    <s v=""/>
    <x v="0"/>
  </r>
  <r>
    <s v=""/>
    <s v=""/>
    <s v=""/>
    <x v="0"/>
  </r>
  <r>
    <s v=""/>
    <s v=""/>
    <s v=""/>
    <x v="0"/>
  </r>
  <r>
    <s v=""/>
    <s v=""/>
    <s v=""/>
    <x v="0"/>
  </r>
  <r>
    <s v=""/>
    <s v=""/>
    <s v=""/>
    <x v="0"/>
  </r>
  <r>
    <s v=""/>
    <s v=""/>
    <s v=""/>
    <x v="0"/>
  </r>
  <r>
    <n v="2"/>
    <s v="2CDS252001R0404"/>
    <s v="ITM Riel-Din 2x40A - S202-C-40A - 10kA@400Vac-IEC60947-2 - marca ABB."/>
    <x v="47"/>
  </r>
  <r>
    <s v=""/>
    <s v=""/>
    <s v=""/>
    <x v="0"/>
  </r>
  <r>
    <s v=""/>
    <s v=""/>
    <s v=""/>
    <x v="0"/>
  </r>
  <r>
    <s v=""/>
    <s v=""/>
    <s v=""/>
    <x v="0"/>
  </r>
  <r>
    <n v="1"/>
    <s v="2CDS252001R0404"/>
    <s v="ITM Riel-Din 2x40A - S202-C-40A - 10kA@400Vac-IEC60947-2 - marca ABB."/>
    <x v="47"/>
  </r>
  <r>
    <n v="2"/>
    <s v="2CTB803871R1200"/>
    <s v="Protector de sobretensiones (Tipo 2) - OVR-T2_40-440_P-QS_1P - Un=230/400V, Uc=440V, Up=1.8kV - I_descarga=40kA - marca ABB."/>
    <x v="18"/>
  </r>
  <r>
    <s v=""/>
    <s v=""/>
    <s v=""/>
    <x v="0"/>
  </r>
  <r>
    <s v=""/>
    <s v=""/>
    <s v=""/>
    <x v="0"/>
  </r>
  <r>
    <s v=""/>
    <s v=""/>
    <s v=""/>
    <x v="0"/>
  </r>
  <r>
    <s v=""/>
    <s v=""/>
    <s v=""/>
    <x v="0"/>
  </r>
  <r>
    <s v=""/>
    <s v=""/>
    <s v=""/>
    <x v="0"/>
  </r>
  <r>
    <s v=""/>
    <s v=""/>
    <s v=""/>
    <x v="0"/>
  </r>
  <r>
    <s v=""/>
    <s v=""/>
    <s v=""/>
    <x v="0"/>
  </r>
  <r>
    <s v=""/>
    <s v=""/>
    <s v=""/>
    <x v="0"/>
  </r>
  <r>
    <n v="2"/>
    <s v="2CDS252001R0404"/>
    <s v="ITM Riel-Din 2x40A - S202-C-40A - 10kA@400Vac-IEC60947-2 - marca ABB."/>
    <x v="47"/>
  </r>
  <r>
    <s v=""/>
    <s v=""/>
    <s v=""/>
    <x v="0"/>
  </r>
  <r>
    <s v=""/>
    <s v=""/>
    <s v=""/>
    <x v="0"/>
  </r>
  <r>
    <s v=""/>
    <s v=""/>
    <s v=""/>
    <x v="0"/>
  </r>
  <r>
    <n v="1"/>
    <s v="2CDS252001R0204"/>
    <s v="ITM Riel-Din 2x20A - S202-C-20A - 10kA@400Vac-IEC60947-2 - marca ABB."/>
    <x v="20"/>
  </r>
  <r>
    <n v="5"/>
    <s v="2CDS252001R0164"/>
    <s v="ITM Riel-Din 2x16A - S202-C-16A - 10kA@400Vac-IEC60947-2 - marca ABB."/>
    <x v="9"/>
  </r>
  <r>
    <n v="6"/>
    <s v="2CSF202401R1250"/>
    <s v="Interruptor Diferencial 2x25A - 30mA - clase A-APR (alta inmunización) - F202-A APR-25A-30mA  - marca ABB."/>
    <x v="19"/>
  </r>
  <r>
    <s v=""/>
    <s v=""/>
    <s v=""/>
    <x v="0"/>
  </r>
  <r>
    <s v=""/>
    <s v=""/>
    <s v=""/>
    <x v="0"/>
  </r>
  <r>
    <s v=""/>
    <s v=""/>
    <s v=""/>
    <x v="0"/>
  </r>
  <r>
    <n v="1"/>
    <s v="EMBAL_ADOS_1600x600x220mm"/>
    <s v="Embalaje especial completamente cerrado para tablero adosado de 1600x600x220mm"/>
    <x v="14"/>
  </r>
  <r>
    <s v=""/>
    <s v=""/>
    <s v=""/>
    <x v="0"/>
  </r>
  <r>
    <s v=""/>
    <s v=""/>
    <s v=""/>
    <x v="0"/>
  </r>
  <r>
    <n v="1"/>
    <s v="Placa lamicoid p/distr."/>
    <s v="Placa lamicoid rotulación de 3mm de espesor, fondo negro y letras blancas."/>
    <x v="13"/>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54349R1"/>
    <s v="ITM Caja Moldeada 3x400A (electrónico [0.4-1.0] In) - T5H400-400A-3P-PR221DS-LS/I - 100kA@230Vac, 70kA@415Vac - marca ABB."/>
    <x v="48"/>
  </r>
  <r>
    <n v="1"/>
    <s v="1SDA055025R1"/>
    <s v="FC-CuAl_T5-400A - Terminales - cables de cobre/aluminio hasta 1x300mm2 - 4 terminales (internos)."/>
    <x v="49"/>
  </r>
  <r>
    <s v=""/>
    <s v=""/>
    <s v=""/>
    <x v="0"/>
  </r>
  <r>
    <s v=""/>
    <s v=""/>
    <s v=""/>
    <x v="0"/>
  </r>
  <r>
    <s v=""/>
    <s v=""/>
    <s v=""/>
    <x v="0"/>
  </r>
  <r>
    <s v=""/>
    <s v=""/>
    <s v=""/>
    <x v="0"/>
  </r>
  <r>
    <s v=""/>
    <s v=""/>
    <s v=""/>
    <x v="0"/>
  </r>
  <r>
    <s v=""/>
    <s v=""/>
    <s v=""/>
    <x v="0"/>
  </r>
  <r>
    <s v=""/>
    <s v=""/>
    <s v=""/>
    <x v="0"/>
  </r>
  <r>
    <n v="1"/>
    <s v="1SDA054897R1"/>
    <s v="Mando motor (MOE) - T4-T5 - 220-250V AC/DC - (YM+YO+YC) - marca ABB."/>
    <x v="50"/>
  </r>
  <r>
    <n v="1"/>
    <s v="1SDA051369R1"/>
    <s v="3(Q) contactos conmutado NA/NC + 1(SY) contacto por disparo de interruptor - T4-T5-T6 - version no cableada - marca ABB."/>
    <x v="51"/>
  </r>
  <r>
    <n v="1"/>
    <s v="1SFA619403R5231"/>
    <s v="Portalámpara + lampara tipo LED - color Rojo - alimentacion: 220-230Vac, d=22mm. - CL2-523R - línea compacta - marca ABB."/>
    <x v="2"/>
  </r>
  <r>
    <n v="1"/>
    <s v="1SFA619403R5232"/>
    <s v="Portalámpara + lampara tipo LED - color Verde - alimentacion: 220-230Vac, d=22mm. - CL2-523G - línea compacta - marca ABB."/>
    <x v="3"/>
  </r>
  <r>
    <n v="1"/>
    <s v="1SFA611131P1108"/>
    <s v="Pulsador doble Start+Stop - color Verde+Rojo - contactos 1NA+1NC - MPD2-11C-K - línea modular - marca ABB."/>
    <x v="25"/>
  </r>
  <r>
    <n v="1"/>
    <s v="1SFA619210R1026"/>
    <s v="Selector 3 posiciones mantenidos - 1-0-2 / M-0-A - maneta corta, contactos 2NA - C3SS1-10B-20 - compacto - marca ABB."/>
    <x v="15"/>
  </r>
  <r>
    <n v="2"/>
    <s v="D2PR4B+D2PA6"/>
    <s v="Rele auxiliar enchufable +4NA/NC (D2PR4B + base D2PA6), 220Vac - marca EATON."/>
    <x v="4"/>
  </r>
  <r>
    <s v=""/>
    <s v=""/>
    <s v=""/>
    <x v="0"/>
  </r>
  <r>
    <s v=""/>
    <s v=""/>
    <s v=""/>
    <x v="0"/>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1"/>
    <s v="1SDA054349R1"/>
    <s v="ITM Caja Moldeada 3x400A (electrónico [0.4-1.0] In) - T5H400-400A-3P-PR221DS-LS/I - 100kA@230Vac, 70kA@415Vac - marca ABB."/>
    <x v="48"/>
  </r>
  <r>
    <n v="1"/>
    <s v="1SDA055025R1"/>
    <s v="FC-CuAl_T5-400A - Terminales - cables de cobre/aluminio hasta 1x300mm2 - 4 terminales (internos)."/>
    <x v="49"/>
  </r>
  <r>
    <n v="1"/>
    <s v="1SDA068310R1"/>
    <s v="ITM Caja Moldeada 3x200A (reg.[0.7-1.0] In) - XT4S250-200A-3P-TMA - 85kA@230Vac, 50kA@415Vac - marca ABB."/>
    <x v="52"/>
  </r>
  <r>
    <n v="1"/>
    <s v="1SDA066917R1"/>
    <s v="FC-Cu_XT4 - Terminales - cables de cobre hasta 1x150mm2 - 3 terminales (internos)"/>
    <x v="53"/>
  </r>
  <r>
    <n v="1"/>
    <s v="1SDA067555R1"/>
    <s v="ITM Caja Moldeada 3x50A (reg.[0.7-1.0] In) - XT2S160-50A-3P-TMA - 85kA@230Vac, 50kA@415Vac - marca ABB."/>
    <x v="54"/>
  </r>
  <r>
    <n v="4"/>
    <s v="1SDA067554R1"/>
    <s v="ITM Caja Moldeada 3x40A (reg.[0.7-1.0] In) - XT2S160-40A-3P-TMA - 85kA@230Vac, 50kA@415Vac - marca ABB."/>
    <x v="55"/>
  </r>
  <r>
    <n v="3"/>
    <s v="1SDA067552R1"/>
    <s v="ITM Caja Moldeada 3x25A (reg.[0.7-1.0] In) - XT2S160-25A-3P-TMD - 85kA@230Vac, 50kA@415Vac - marca ABB"/>
    <x v="56"/>
  </r>
  <r>
    <n v="2"/>
    <s v="1SDA067550R1"/>
    <s v="ITM Caja Moldeada 3x16A (reg.[0.7-1.0] In) - XT2S160-16A-3P-TMD - 85kA@230Vac, 50kA@415Vac - marca ABB"/>
    <x v="57"/>
  </r>
  <r>
    <s v=""/>
    <s v=""/>
    <s v=""/>
    <x v="0"/>
  </r>
  <r>
    <s v=""/>
    <s v=""/>
    <s v=""/>
    <x v="0"/>
  </r>
  <r>
    <s v=""/>
    <s v=""/>
    <s v=""/>
    <x v="0"/>
  </r>
  <r>
    <n v="1"/>
    <s v="1SDA067553R1"/>
    <s v="ITM Caja Moldeada 3x32A (reg.[0.7-1.0] In) - XT2S160-32A-3P-TMD - 85kA@230Vac, 50kA@415Vac - marca ABB"/>
    <x v="58"/>
  </r>
  <r>
    <n v="1"/>
    <s v="2CJC605480D0000"/>
    <s v="Supresor contra sobretensiones (Tipo 1, UL 1449) - OVRHT3C504803D - I_max=50kA por fase, Un=480V,  MCOV=640V (L-G), VPR=2.5kV (L-G) - marca ABB."/>
    <x v="32"/>
  </r>
  <r>
    <s v=""/>
    <s v=""/>
    <s v=""/>
    <x v="0"/>
  </r>
  <r>
    <s v=""/>
    <s v=""/>
    <s v=""/>
    <x v="0"/>
  </r>
  <r>
    <s v=""/>
    <s v=""/>
    <s v=""/>
    <x v="0"/>
  </r>
  <r>
    <s v=""/>
    <s v=""/>
    <s v=""/>
    <x v="0"/>
  </r>
  <r>
    <s v=""/>
    <s v=""/>
    <s v=""/>
    <x v="0"/>
  </r>
  <r>
    <s v=""/>
    <s v=""/>
    <s v=""/>
    <x v="0"/>
  </r>
  <r>
    <n v="1"/>
    <s v="Placa lamicoid p/autosop."/>
    <s v="Placa lamicoid rotulación de 3mm de espesor, fondo negro y letras blancas."/>
    <x v="33"/>
  </r>
  <r>
    <s v=""/>
    <s v=""/>
    <s v=""/>
    <x v="0"/>
  </r>
  <r>
    <s v=""/>
    <s v=""/>
    <s v=""/>
    <x v="0"/>
  </r>
  <r>
    <n v="1"/>
    <s v="EMBAL_AUTOS_2100x800x800mm"/>
    <s v="Embalaje especial completamente cerrado para tablero autosoportado de 2100x800x800mm"/>
    <x v="3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67017R1"/>
    <s v="ITM Caja Moldeada 3x80A (reg.[0.7-1.0] In) - XT2N160-80A-3P-TMA - 65kA@230Vac, 36kA@415Vac - marca ABB."/>
    <x v="59"/>
  </r>
  <r>
    <n v="1"/>
    <s v="1SDA067167R1"/>
    <s v="FC-CuAl_XT2 - Terminales + Cubrebornes - cables de cobre/aluminio hasta 1x185mm2 - 3 terminales (externos)"/>
    <x v="22"/>
  </r>
  <r>
    <s v=""/>
    <s v=""/>
    <s v=""/>
    <x v="0"/>
  </r>
  <r>
    <s v=""/>
    <s v=""/>
    <s v=""/>
    <x v="0"/>
  </r>
  <r>
    <s v=""/>
    <s v=""/>
    <s v=""/>
    <x v="0"/>
  </r>
  <r>
    <s v=""/>
    <s v=""/>
    <s v=""/>
    <x v="0"/>
  </r>
  <r>
    <s v=""/>
    <s v=""/>
    <s v=""/>
    <x v="0"/>
  </r>
  <r>
    <s v=""/>
    <s v=""/>
    <s v=""/>
    <x v="0"/>
  </r>
  <r>
    <s v=""/>
    <s v=""/>
    <s v=""/>
    <x v="0"/>
  </r>
  <r>
    <n v="1"/>
    <s v="1SDA066466R1"/>
    <s v="Mando motor con energía acumulada (MOE) - para XT2/XT4 - 220-250V AC/DC - (YM+YO+YC) - marca ABB."/>
    <x v="23"/>
  </r>
  <r>
    <n v="1"/>
    <s v="1SDA066433R1"/>
    <s v="2(Q) contacto conmutado de estado (NA/NC) + 1(SY) contacto por disparo de interruptor - XT1..XT4 - versión cableada - marca ABB."/>
    <x v="24"/>
  </r>
  <r>
    <n v="1"/>
    <s v="1SFA619403R5231"/>
    <s v="Portalámpara + lampara tipo LED - color Rojo - alimentacion: 220-230Vac, d=22mm. - CL2-523R - línea compacta - marca ABB."/>
    <x v="2"/>
  </r>
  <r>
    <n v="1"/>
    <s v="1SFA619403R5232"/>
    <s v="Portalámpara + lampara tipo LED - color Verde - alimentacion: 220-230Vac, d=22mm. - CL2-523G - línea compacta - marca ABB."/>
    <x v="3"/>
  </r>
  <r>
    <n v="1"/>
    <s v="1SFA611131P1108"/>
    <s v="Pulsador doble Start+Stop - color Verde+Rojo - contactos 1NA+1NC - MPD2-11C-K - línea modular - marca ABB."/>
    <x v="25"/>
  </r>
  <r>
    <n v="1"/>
    <s v="1SFA619210R1026"/>
    <s v="Selector 3 posiciones mantenidos - 1-0-2 / M-0-A - maneta corta, contactos 2NA - C3SS1-10B-20 - compacto - marca ABB."/>
    <x v="15"/>
  </r>
  <r>
    <n v="2"/>
    <s v="D2PR4B+D2PA6"/>
    <s v="Rele auxiliar enchufable +4NA/NC (D2PR4B + base D2PA6), 220Vac - marca EATON."/>
    <x v="4"/>
  </r>
  <r>
    <s v=""/>
    <s v=""/>
    <s v=""/>
    <x v="0"/>
  </r>
  <r>
    <s v=""/>
    <s v=""/>
    <s v=""/>
    <x v="0"/>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1"/>
    <s v="1SDA067017R1"/>
    <s v="ITM Caja Moldeada 3x80A (reg.[0.7-1.0] In) - XT2N160-80A-3P-TMA - 65kA@230Vac, 36kA@415Vac - marca ABB."/>
    <x v="59"/>
  </r>
  <r>
    <n v="2"/>
    <s v="1SDA067011R1"/>
    <s v="ITM Caja Moldeada 3x20A (reg.[0.7-1.0] In) - XT2N160-20A-3P-TMD - 65kA@230Vac, 36kA@415Vac - marca ABB."/>
    <x v="35"/>
  </r>
  <r>
    <s v=""/>
    <s v=""/>
    <s v=""/>
    <x v="0"/>
  </r>
  <r>
    <s v=""/>
    <s v=""/>
    <s v=""/>
    <x v="0"/>
  </r>
  <r>
    <s v=""/>
    <s v=""/>
    <s v=""/>
    <x v="0"/>
  </r>
  <r>
    <s v=""/>
    <s v=""/>
    <s v=""/>
    <x v="0"/>
  </r>
  <r>
    <s v=""/>
    <s v=""/>
    <s v=""/>
    <x v="0"/>
  </r>
  <r>
    <n v="1"/>
    <s v="1SDA067013R1"/>
    <s v="ITM Caja Moldeada 3x32A (reg.[0.7-1.0] In) - XT2N160-32A-3P-TMD - 65kA@230Vac, 36kA@415Vac - marca ABB."/>
    <x v="31"/>
  </r>
  <r>
    <n v="1"/>
    <s v="2CJC605480D0000"/>
    <s v="Supresor contra sobretensiones (Tipo 1, UL 1449) - OVRHT3C504803D - I_max=50kA por fase, Un=480V,  MCOV=640V (L-G), VPR=2.5kV (L-G) - marca ABB."/>
    <x v="3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8090R1"/>
    <s v="ITM Caja Moldeada 3x200A (reg.[0.7-1.0] In) - XT4N250-200A-3P-TMA - 65kA@230Vac, 36kA@415Vac - marca ABB."/>
    <x v="60"/>
  </r>
  <r>
    <n v="1"/>
    <s v="1SDA067195R1"/>
    <s v="FC-CuAl_XT4 - Terminales + Adaptador - cables de cobre/aluminio hasta 1x240mm2 - 3 terminales (externos)"/>
    <x v="61"/>
  </r>
  <r>
    <s v=""/>
    <s v=""/>
    <s v=""/>
    <x v="0"/>
  </r>
  <r>
    <s v=""/>
    <s v=""/>
    <s v=""/>
    <x v="0"/>
  </r>
  <r>
    <n v="1"/>
    <s v="1SDA066806R1"/>
    <s v="ITM Caja Moldeada 3x80A (reg.[0.7-1.0] In) - XT1B160-80A-3P-TMD - 25kA@230Vac, 18kA@415Vac, 18kA@250Vdc - marca ABB."/>
    <x v="62"/>
  </r>
  <r>
    <n v="1"/>
    <s v="1SDA066805R1"/>
    <s v="ITM Caja Moldeada 3x63A (reg.[0.7-1.0] In) - XT1B160-63A-3P-TMD - 25kA@230Vac, 18kA@415Vac, 18kA@250Vdc - marca ABB."/>
    <x v="63"/>
  </r>
  <r>
    <n v="2"/>
    <s v="1SDA066804R1"/>
    <s v="ITM Caja Moldeada 3x50A (reg.[0.7-1.0] In) - XT1B160-50A-3P-TMD - 25kA@230Vac, 18kA@415Vac, 18kA@250Vdc - marca ABB."/>
    <x v="5"/>
  </r>
  <r>
    <n v="2"/>
    <s v="1SDA066801R1"/>
    <s v="ITM Caja Moldeada 3x25A (reg.[0.7-1.0] In)  - XT1B160-25A-3P-TMD - 25kA@230Vac,18kA@415Vac, 18kA@250Vdc - marca ABB."/>
    <x v="40"/>
  </r>
  <r>
    <n v="1"/>
    <s v="1SDA069551R1"/>
    <s v="ITM Caja Moldeada 2x16A - A1N/P125-16A-2P-TMF - 50kA@230Vac, 36kA@400Vac, 10kA@125Vdc - marca ABB."/>
    <x v="8"/>
  </r>
  <r>
    <s v=""/>
    <s v=""/>
    <s v=""/>
    <x v="0"/>
  </r>
  <r>
    <s v=""/>
    <s v=""/>
    <s v=""/>
    <x v="0"/>
  </r>
  <r>
    <s v=""/>
    <s v=""/>
    <s v=""/>
    <x v="0"/>
  </r>
  <r>
    <n v="1"/>
    <s v="1SDA066802R1"/>
    <s v="ITM Caja Moldeada 3x32A (reg.[0.7-1.0] In) - XT1B160-32A-3P-TMD - 25kA@230Vac, 18kA@415Vac, 18kA@250Vdc - marca ABB."/>
    <x v="64"/>
  </r>
  <r>
    <n v="1"/>
    <s v="2CTB803873R2400"/>
    <s v="Protector de sobretensiones (Tipo 2) - OVR-T2_3N_40-275_P_3P -  Uc=275V, Up=1.25kV - I_descarga=40kA - marca ABB."/>
    <x v="39"/>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6R1"/>
    <s v="ITM Caja Moldeada 3x80A (reg.[0.7-1.0] In) - XT1B160-80A-3P-TMD - 25kA@230Vac, 18kA@415Vac, 18kA@250Vdc - marca ABB."/>
    <x v="62"/>
  </r>
  <r>
    <s v=""/>
    <s v=""/>
    <s v=""/>
    <x v="0"/>
  </r>
  <r>
    <s v=""/>
    <s v=""/>
    <s v=""/>
    <x v="0"/>
  </r>
  <r>
    <n v="3"/>
    <s v="1SDA066800R1"/>
    <s v="ITM Caja Moldeada 3x20A (reg.[0.7-1.0] In) - XT1B160-20A-3P-TMD - 25kA@230Vac, 18kA@415Vac, 18kA@250Vdc - marca ABB."/>
    <x v="7"/>
  </r>
  <r>
    <n v="9"/>
    <s v="2CDS252001R0164"/>
    <s v="ITM Riel-Din 2x16A - S202-C-16A - 10kA@400Vac-IEC60947-2 - marca ABB."/>
    <x v="9"/>
  </r>
  <r>
    <s v=""/>
    <s v=""/>
    <s v=""/>
    <x v="0"/>
  </r>
  <r>
    <s v=""/>
    <s v=""/>
    <s v=""/>
    <x v="0"/>
  </r>
  <r>
    <s v=""/>
    <s v=""/>
    <s v=""/>
    <x v="0"/>
  </r>
  <r>
    <n v="1"/>
    <s v="2CDS253001R0324"/>
    <s v="ITM Riel-Din 3x32A - S203-C-32A - 10kA@400Vac-IEC60947-2 - marca ABB."/>
    <x v="37"/>
  </r>
  <r>
    <n v="1"/>
    <s v="2CTB803873R2400"/>
    <s v="Protector de sobretensiones (Tipo 2) - OVR-T2_3N_40-275_P_3P -  Uc=275V, Up=1.25kV - I_descarga=40kA - marca ABB."/>
    <x v="39"/>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5R1"/>
    <s v="ITM Caja Moldeada 3x63A (reg.[0.7-1.0] In) - XT1B160-63A-3P-TMD - 25kA@230Vac, 18kA@415Vac, 18kA@250Vdc - marca ABB."/>
    <x v="63"/>
  </r>
  <r>
    <s v=""/>
    <s v=""/>
    <s v=""/>
    <x v="0"/>
  </r>
  <r>
    <s v=""/>
    <s v=""/>
    <s v=""/>
    <x v="0"/>
  </r>
  <r>
    <n v="1"/>
    <s v="2CDS253001R0504"/>
    <s v="ITM Riel-Din 3x50A - S203-C-50A - 10kA@400Vac-IEC60947-2 - marca ABB."/>
    <x v="65"/>
  </r>
  <r>
    <n v="1"/>
    <s v="2CDS253001R0164"/>
    <s v="ITM Riel-Din 3x16A - S203-C-16A - 10kA@400Vac-IEC60947-2 - marca ABB."/>
    <x v="38"/>
  </r>
  <r>
    <s v=""/>
    <s v=""/>
    <s v=""/>
    <x v="0"/>
  </r>
  <r>
    <s v=""/>
    <s v=""/>
    <s v=""/>
    <x v="0"/>
  </r>
  <r>
    <n v="9"/>
    <s v="2CDS252001R0164"/>
    <s v="ITM Riel-Din 2x16A - S202-C-16A - 10kA@400Vac-IEC60947-2 - marca ABB."/>
    <x v="9"/>
  </r>
  <r>
    <n v="9"/>
    <s v="2CSF202102R1250"/>
    <s v="Interruptor Diferencial 2x25A - 30mA - clase A (inmunizado) - FH202-A-25A-30mA - marca ABB."/>
    <x v="10"/>
  </r>
  <r>
    <s v=""/>
    <s v=""/>
    <s v=""/>
    <x v="0"/>
  </r>
  <r>
    <s v=""/>
    <s v=""/>
    <s v=""/>
    <x v="0"/>
  </r>
  <r>
    <s v=""/>
    <s v=""/>
    <s v=""/>
    <x v="0"/>
  </r>
  <r>
    <s v=""/>
    <s v=""/>
    <s v=""/>
    <x v="0"/>
  </r>
  <r>
    <n v="16"/>
    <s v="2CDS252001R0164"/>
    <s v="ITM Riel-Din 2x16A - S202-C-16A - 10kA@400Vac-IEC60947-2 - marca ABB."/>
    <x v="9"/>
  </r>
  <r>
    <n v="15"/>
    <s v="2CSF202102R1250"/>
    <s v="Interruptor Diferencial 2x25A - 30mA - clase A (inmunizado) - FH202-A-25A-30mA - marca ABB."/>
    <x v="10"/>
  </r>
  <r>
    <s v=""/>
    <s v=""/>
    <s v=""/>
    <x v="0"/>
  </r>
  <r>
    <s v=""/>
    <s v=""/>
    <s v=""/>
    <x v="0"/>
  </r>
  <r>
    <s v=""/>
    <s v=""/>
    <s v=""/>
    <x v="0"/>
  </r>
  <r>
    <s v=""/>
    <s v=""/>
    <s v=""/>
    <x v="0"/>
  </r>
  <r>
    <n v="1"/>
    <s v="2CDS253001R0324"/>
    <s v="ITM Riel-Din 3x32A - S203-C-32A - 10kA@400Vac-IEC60947-2 - marca ABB."/>
    <x v="37"/>
  </r>
  <r>
    <n v="1"/>
    <s v="2CTB803873R2400"/>
    <s v="Protector de sobretensiones (Tipo 2) - OVR-T2_3N_40-275_P_3P -  Uc=275V, Up=1.25kV - I_descarga=40kA - marca ABB."/>
    <x v="39"/>
  </r>
  <r>
    <s v=""/>
    <s v=""/>
    <s v=""/>
    <x v="0"/>
  </r>
  <r>
    <s v=""/>
    <s v=""/>
    <s v=""/>
    <x v="0"/>
  </r>
  <r>
    <n v="1"/>
    <s v="1SBL137001R1310"/>
    <s v="Contactor 3x09A(AC-3) / 3x25A(AC-1) +1NA - AF09-30-10-13 - bobina 100-250Vac/dc - marca ABB."/>
    <x v="11"/>
  </r>
  <r>
    <n v="1"/>
    <s v="1SBN010110R1010"/>
    <s v="Contacto auxiliar frontal 2NA+2NC para contactor AF09..AF16-30-10, frontal - Modelo CA4-22M - marca ABB."/>
    <x v="1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m/>
    <m/>
    <m/>
    <x v="0"/>
  </r>
  <r>
    <s v=""/>
    <s v=""/>
    <s v=""/>
    <x v="0"/>
  </r>
  <r>
    <s v=""/>
    <s v=""/>
    <s v=""/>
    <x v="0"/>
  </r>
  <r>
    <n v="2"/>
    <s v="1SFA619210R1026"/>
    <s v="Selector 3 posiciones mantenidos - 1-0-2 / M-0-A - maneta corta, contactos 2NA - C3SS1-10B-20 - compacto - marca ABB."/>
    <x v="15"/>
  </r>
  <r>
    <s v=""/>
    <s v=""/>
    <s v=""/>
    <x v="0"/>
  </r>
  <r>
    <s v=""/>
    <s v=""/>
    <s v=""/>
    <x v="0"/>
  </r>
  <r>
    <s v=""/>
    <s v=""/>
    <s v=""/>
    <x v="0"/>
  </r>
  <r>
    <s v=""/>
    <s v=""/>
    <s v=""/>
    <x v="0"/>
  </r>
  <r>
    <s v=""/>
    <s v=""/>
    <s v=""/>
    <x v="0"/>
  </r>
  <r>
    <n v="1"/>
    <s v="D2PR4B+D2PA6"/>
    <s v="Rele auxiliar enchufable +4NA/NC (D2PR4B + base D2PA6), 220Vac - marca EATON."/>
    <x v="4"/>
  </r>
  <r>
    <s v=""/>
    <s v=""/>
    <s v=""/>
    <x v="0"/>
  </r>
  <r>
    <s v=""/>
    <s v=""/>
    <s v=""/>
    <x v="0"/>
  </r>
  <r>
    <s v=""/>
    <s v=""/>
    <s v=""/>
    <x v="0"/>
  </r>
  <r>
    <s v=""/>
    <s v=""/>
    <s v=""/>
    <x v="0"/>
  </r>
  <r>
    <s v=""/>
    <s v=""/>
    <s v=""/>
    <x v="0"/>
  </r>
  <r>
    <s v=""/>
    <s v=""/>
    <s v=""/>
    <x v="0"/>
  </r>
  <r>
    <s v=""/>
    <s v=""/>
    <s v=""/>
    <x v="0"/>
  </r>
  <r>
    <s v=""/>
    <s v=""/>
    <s v=""/>
    <x v="0"/>
  </r>
  <r>
    <m/>
    <m/>
    <m/>
    <x v="1"/>
  </r>
  <r>
    <n v="1"/>
    <s v="0400RTF82S"/>
    <s v="FOTOCELDA 1800VA 220V N/C (NF) 10 LUX STIELECTRONICA"/>
    <x v="16"/>
  </r>
  <r>
    <n v="1"/>
    <s v="0400TPLS476"/>
    <s v="BASE C/SOPORTE P/CONTROL FOTOCELDA P/ADOSAR STIELECTRONICA"/>
    <x v="17"/>
  </r>
  <r>
    <m/>
    <m/>
    <m/>
    <x v="1"/>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4R1"/>
    <s v="ITM Caja Moldeada 3x50A (reg.[0.7-1.0] In) - XT1B160-50A-3P-TMD - 25kA@230Vac, 18kA@415Vac, 18kA@250Vdc - marca ABB."/>
    <x v="5"/>
  </r>
  <r>
    <n v="1"/>
    <s v="1SDA067155R1"/>
    <s v="FC-CuAl_XT1 - Terminales + Cubrebornes - cables de cobre/aluminio hasta 1x95mm2 - 3 terminales (externos)"/>
    <x v="66"/>
  </r>
  <r>
    <s v=""/>
    <s v=""/>
    <s v=""/>
    <x v="0"/>
  </r>
  <r>
    <s v=""/>
    <s v=""/>
    <s v=""/>
    <x v="0"/>
  </r>
  <r>
    <n v="1"/>
    <s v="2CDS253001R0324"/>
    <s v="ITM Riel-Din 3x32A - S203-C-32A - 10kA@400Vac-IEC60947-2 - marca ABB."/>
    <x v="37"/>
  </r>
  <r>
    <n v="1"/>
    <s v="2CDS253001R0164"/>
    <s v="ITM Riel-Din 3x16A - S203-C-16A - 10kA@400Vac-IEC60947-2 - marca ABB."/>
    <x v="38"/>
  </r>
  <r>
    <s v=""/>
    <s v=""/>
    <s v=""/>
    <x v="0"/>
  </r>
  <r>
    <s v=""/>
    <s v=""/>
    <s v=""/>
    <x v="0"/>
  </r>
  <r>
    <n v="9"/>
    <s v="2CDS252001R0164"/>
    <s v="ITM Riel-Din 2x16A - S202-C-16A - 10kA@400Vac-IEC60947-2 - marca ABB."/>
    <x v="9"/>
  </r>
  <r>
    <n v="9"/>
    <s v="2CSF202102R1250"/>
    <s v="Interruptor Diferencial 2x25A - 30mA - clase A (inmunizado) - FH202-A-25A-30mA - marca ABB."/>
    <x v="10"/>
  </r>
  <r>
    <s v=""/>
    <s v=""/>
    <s v=""/>
    <x v="0"/>
  </r>
  <r>
    <s v=""/>
    <s v=""/>
    <s v=""/>
    <x v="0"/>
  </r>
  <r>
    <s v=""/>
    <s v=""/>
    <s v=""/>
    <x v="0"/>
  </r>
  <r>
    <s v=""/>
    <s v=""/>
    <s v=""/>
    <x v="0"/>
  </r>
  <r>
    <n v="11"/>
    <s v="2CDS252001R0164"/>
    <s v="ITM Riel-Din 2x16A - S202-C-16A - 10kA@400Vac-IEC60947-2 - marca ABB."/>
    <x v="9"/>
  </r>
  <r>
    <n v="10"/>
    <s v="2CSF202102R1250"/>
    <s v="Interruptor Diferencial 2x25A - 30mA - clase A (inmunizado) - FH202-A-25A-30mA - marca ABB."/>
    <x v="10"/>
  </r>
  <r>
    <s v=""/>
    <s v=""/>
    <s v=""/>
    <x v="0"/>
  </r>
  <r>
    <s v=""/>
    <s v=""/>
    <s v=""/>
    <x v="0"/>
  </r>
  <r>
    <s v=""/>
    <s v=""/>
    <s v=""/>
    <x v="0"/>
  </r>
  <r>
    <s v=""/>
    <s v=""/>
    <s v=""/>
    <x v="0"/>
  </r>
  <r>
    <n v="1"/>
    <s v="2CDS253001R0324"/>
    <s v="ITM Riel-Din 3x32A - S203-C-32A - 10kA@400Vac-IEC60947-2 - marca ABB."/>
    <x v="37"/>
  </r>
  <r>
    <n v="1"/>
    <s v="2CTB803873R2400"/>
    <s v="Protector de sobretensiones (Tipo 2) - OVR-T2_3N_40-275_P_3P -  Uc=275V, Up=1.25kV - I_descarga=40kA - marca ABB."/>
    <x v="39"/>
  </r>
  <r>
    <s v=""/>
    <s v=""/>
    <s v=""/>
    <x v="0"/>
  </r>
  <r>
    <s v=""/>
    <s v=""/>
    <s v=""/>
    <x v="0"/>
  </r>
  <r>
    <n v="1"/>
    <s v="1SBL137001R1310"/>
    <s v="Contactor 3x09A(AC-3) / 3x25A(AC-1) +1NA - AF09-30-10-13 - bobina 100-250Vac/dc - marca ABB."/>
    <x v="11"/>
  </r>
  <r>
    <n v="1"/>
    <s v="1SBN010110R1010"/>
    <s v="Contacto auxiliar frontal 2NA+2NC para contactor AF09..AF16-30-10, frontal - Modelo CA4-22M - marca ABB."/>
    <x v="12"/>
  </r>
  <r>
    <s v=""/>
    <s v=""/>
    <s v=""/>
    <x v="0"/>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m/>
    <m/>
    <m/>
    <x v="0"/>
  </r>
  <r>
    <s v=""/>
    <s v=""/>
    <s v=""/>
    <x v="0"/>
  </r>
  <r>
    <s v=""/>
    <s v=""/>
    <s v=""/>
    <x v="0"/>
  </r>
  <r>
    <n v="2"/>
    <s v="1SFA619210R1026"/>
    <s v="Selector 3 posiciones mantenidos - 1-0-2 / M-0-A - maneta corta, contactos 2NA - C3SS1-10B-20 - compacto - marca ABB."/>
    <x v="15"/>
  </r>
  <r>
    <s v=""/>
    <s v=""/>
    <s v=""/>
    <x v="0"/>
  </r>
  <r>
    <s v=""/>
    <s v=""/>
    <s v=""/>
    <x v="0"/>
  </r>
  <r>
    <s v=""/>
    <s v=""/>
    <s v=""/>
    <x v="0"/>
  </r>
  <r>
    <s v=""/>
    <s v=""/>
    <s v=""/>
    <x v="0"/>
  </r>
  <r>
    <s v=""/>
    <s v=""/>
    <s v=""/>
    <x v="0"/>
  </r>
  <r>
    <n v="1"/>
    <s v="D2PR4B+D2PA6"/>
    <s v="Rele auxiliar enchufable +4NA/NC (D2PR4B + base D2PA6), 220Vac - marca EATON."/>
    <x v="4"/>
  </r>
  <r>
    <s v=""/>
    <s v=""/>
    <s v=""/>
    <x v="0"/>
  </r>
  <r>
    <s v=""/>
    <s v=""/>
    <s v=""/>
    <x v="0"/>
  </r>
  <r>
    <s v=""/>
    <s v=""/>
    <s v=""/>
    <x v="0"/>
  </r>
  <r>
    <s v=""/>
    <s v=""/>
    <s v=""/>
    <x v="0"/>
  </r>
  <r>
    <s v=""/>
    <s v=""/>
    <s v=""/>
    <x v="0"/>
  </r>
  <r>
    <s v=""/>
    <s v=""/>
    <s v=""/>
    <x v="0"/>
  </r>
  <r>
    <s v=""/>
    <s v=""/>
    <s v=""/>
    <x v="0"/>
  </r>
  <r>
    <s v=""/>
    <s v=""/>
    <s v=""/>
    <x v="0"/>
  </r>
  <r>
    <m/>
    <m/>
    <m/>
    <x v="1"/>
  </r>
  <r>
    <n v="1"/>
    <s v="0400RTF82S"/>
    <s v="FOTOCELDA 1800VA 220V N/C (NF) 10 LUX STIELECTRONICA"/>
    <x v="16"/>
  </r>
  <r>
    <n v="1"/>
    <s v="0400TPLS476"/>
    <s v="BASE C/SOPORTE P/CONTROL FOTOCELDA P/ADOSAR STIELECTRONICA"/>
    <x v="17"/>
  </r>
  <r>
    <m/>
    <m/>
    <m/>
    <x v="1"/>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6R1"/>
    <s v="ITM Caja Moldeada 3x80A (reg.[0.7-1.0] In) - XT1B160-80A-3P-TMD - 25kA@230Vac, 18kA@415Vac, 18kA@250Vdc - marca ABB."/>
    <x v="62"/>
  </r>
  <r>
    <n v="1"/>
    <s v="1SDA066905R1"/>
    <s v="FC-Cu_XT1 - Terminales - cables de cobre hasta 1x50mm2 - 3 terminales (internos)"/>
    <x v="67"/>
  </r>
  <r>
    <s v=""/>
    <s v=""/>
    <s v=""/>
    <x v="0"/>
  </r>
  <r>
    <s v=""/>
    <s v=""/>
    <s v=""/>
    <x v="0"/>
  </r>
  <r>
    <n v="1"/>
    <s v="2CDS253001R0504"/>
    <s v="ITM Riel-Din 3x50A - S203-C-50A - 10kA@400Vac-IEC60947-2 - marca ABB."/>
    <x v="65"/>
  </r>
  <r>
    <n v="1"/>
    <s v="2CDS253001R0254"/>
    <s v="ITM Riel-Din 3x25A - S203-C-25A - 10kA@400Vac-IEC60947-2 - marca ABB."/>
    <x v="41"/>
  </r>
  <r>
    <s v=""/>
    <s v=""/>
    <s v=""/>
    <x v="0"/>
  </r>
  <r>
    <s v=""/>
    <s v=""/>
    <s v=""/>
    <x v="0"/>
  </r>
  <r>
    <n v="6"/>
    <s v="2CDS252001R0164"/>
    <s v="ITM Riel-Din 2x16A - S202-C-16A - 10kA@400Vac-IEC60947-2 - marca ABB."/>
    <x v="9"/>
  </r>
  <r>
    <n v="6"/>
    <s v="2CSF202102R1250"/>
    <s v="Interruptor Diferencial 2x25A - 30mA - clase A (inmunizado) - FH202-A-25A-30mA - marca ABB."/>
    <x v="10"/>
  </r>
  <r>
    <s v=""/>
    <s v=""/>
    <s v=""/>
    <x v="0"/>
  </r>
  <r>
    <s v=""/>
    <s v=""/>
    <s v=""/>
    <x v="0"/>
  </r>
  <r>
    <s v=""/>
    <s v=""/>
    <s v=""/>
    <x v="0"/>
  </r>
  <r>
    <s v=""/>
    <s v=""/>
    <s v=""/>
    <x v="0"/>
  </r>
  <r>
    <n v="1"/>
    <s v="2CDS253001R0324"/>
    <s v="ITM Riel-Din 3x32A - S203-C-32A - 10kA@400Vac-IEC60947-2 - marca ABB."/>
    <x v="37"/>
  </r>
  <r>
    <n v="11"/>
    <s v="2CDS252001R0164"/>
    <s v="ITM Riel-Din 2x16A - S202-C-16A - 10kA@400Vac-IEC60947-2 - marca ABB."/>
    <x v="9"/>
  </r>
  <r>
    <n v="10"/>
    <s v="2CSF202102R1250"/>
    <s v="Interruptor Diferencial 2x25A - 30mA - clase A (inmunizado) - FH202-A-25A-30mA - marca ABB."/>
    <x v="10"/>
  </r>
  <r>
    <s v=""/>
    <s v=""/>
    <s v=""/>
    <x v="0"/>
  </r>
  <r>
    <s v=""/>
    <s v=""/>
    <s v=""/>
    <x v="0"/>
  </r>
  <r>
    <s v=""/>
    <s v=""/>
    <s v=""/>
    <x v="0"/>
  </r>
  <r>
    <s v=""/>
    <s v=""/>
    <s v=""/>
    <x v="0"/>
  </r>
  <r>
    <n v="3"/>
    <s v="2CDS253001R0324"/>
    <s v="ITM Riel-Din 3x32A - S203-C-32A - 10kA@400Vac-IEC60947-2 - marca ABB."/>
    <x v="37"/>
  </r>
  <r>
    <s v=""/>
    <s v=""/>
    <s v=""/>
    <x v="0"/>
  </r>
  <r>
    <s v=""/>
    <s v=""/>
    <s v=""/>
    <x v="0"/>
  </r>
  <r>
    <s v=""/>
    <s v=""/>
    <s v=""/>
    <x v="0"/>
  </r>
  <r>
    <s v=""/>
    <s v=""/>
    <s v=""/>
    <x v="0"/>
  </r>
  <r>
    <n v="1"/>
    <s v="2CDS253001R0324"/>
    <s v="ITM Riel-Din 3x32A - S203-C-32A - 10kA@400Vac-IEC60947-2 - marca ABB."/>
    <x v="37"/>
  </r>
  <r>
    <n v="1"/>
    <s v="2CTB803873R2400"/>
    <s v="Protector de sobretensiones (Tipo 2) - OVR-T2_3N_40-275_P_3P -  Uc=275V, Up=1.25kV - I_descarga=40kA - marca ABB."/>
    <x v="39"/>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n v="1"/>
    <s v="2CSF204102R1400"/>
    <s v="Interruptor Diferencial 4x40A - 30mA - clase A (inmunizado) - FH204-A-40A-30mA - marca ABB."/>
    <x v="68"/>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2CDS253001R0324"/>
    <s v="ITM Riel-Din 3x32A - S203-C-32A - 10kA@400Vac-IEC60947-2 - marca ABB."/>
    <x v="37"/>
  </r>
  <r>
    <n v="1"/>
    <n v="1505"/>
    <s v="Tomacorriente industrial, 3P+T, 32A / 250V, Azul, 9H, empotrable, IP67 - (Ref: 1505) - marca MENNEKES."/>
    <x v="69"/>
  </r>
  <r>
    <n v="1"/>
    <n v="293"/>
    <s v="Enchufe industrial, 3P+T, 32A / 250V, Azul, 9H, IP67 - (Ref: 293) - marca MENNEKES."/>
    <x v="70"/>
  </r>
  <r>
    <n v="1"/>
    <s v="2CDS252001R0164"/>
    <s v="ITM Riel-Din 2x16A - S202-C-16A - 10kA@400Vac-IEC60947-2 - marca ABB."/>
    <x v="9"/>
  </r>
  <r>
    <n v="0"/>
    <n v="1475"/>
    <s v="Tomacorriente industrial, 2P+T, 16A / 250V, Azul, 6H, empotrable, IP67 - (Ref: 1475) - marca MENNEKES."/>
    <x v="71"/>
  </r>
  <r>
    <n v="0"/>
    <n v="278"/>
    <s v="Enchufe industrial, 2P+T, 16A / 250V, Azul, 6H, IP67 - (Ref: 278) - marca MENNEKES."/>
    <x v="72"/>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n v="1"/>
    <s v="2CSF204102R1400"/>
    <s v="Interruptor Diferencial 4x40A - 30mA - clase A (inmunizado) - FH204-A-40A-30mA - marca ABB."/>
    <x v="68"/>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n v="1"/>
    <s v="2CDS253001R0324"/>
    <s v="ITM Riel-Din 3x32A - S203-C-32A - 10kA@400Vac-IEC60947-2 - marca ABB."/>
    <x v="37"/>
  </r>
  <r>
    <n v="1"/>
    <n v="1505"/>
    <s v="Tomacorriente industrial, 3P+T, 32A / 250V, Azul, 9H, empotrable, IP67 - (Ref: 1505) - marca MENNEKES."/>
    <x v="69"/>
  </r>
  <r>
    <n v="1"/>
    <n v="293"/>
    <s v="Enchufe industrial, 3P+T, 32A / 250V, Azul, 9H, IP67 - (Ref: 293) - marca MENNEKES."/>
    <x v="70"/>
  </r>
  <r>
    <n v="1"/>
    <s v="2CDS252001R0164"/>
    <s v="ITM Riel-Din 2x16A - S202-C-16A - 10kA@400Vac-IEC60947-2 - marca ABB."/>
    <x v="9"/>
  </r>
  <r>
    <n v="0"/>
    <n v="1475"/>
    <s v="Tomacorriente industrial, 2P+T, 16A / 250V, Azul, 6H, empotrable, IP67 - (Ref: 1475) - marca MENNEKES."/>
    <x v="71"/>
  </r>
  <r>
    <n v="0"/>
    <n v="278"/>
    <s v="Enchufe industrial, 2P+T, 16A / 250V, Azul, 6H, IP67 - (Ref: 278) - marca MENNEKES."/>
    <x v="72"/>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n v="1"/>
    <s v="2CSF204102R1400"/>
    <s v="Interruptor Diferencial 4x40A - 30mA - clase A (inmunizado) - FH204-A-40A-30mA - marca ABB."/>
    <x v="68"/>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2CDS253001R0324"/>
    <s v="ITM Riel-Din 3x32A - S203-C-32A - 10kA@400Vac-IEC60947-2 - marca ABB."/>
    <x v="37"/>
  </r>
  <r>
    <n v="1"/>
    <n v="1505"/>
    <s v="Tomacorriente industrial, 3P+T, 32A / 250V, Azul, 9H, empotrable, IP67 - (Ref: 1505) - marca MENNEKES."/>
    <x v="69"/>
  </r>
  <r>
    <n v="1"/>
    <n v="293"/>
    <s v="Enchufe industrial, 3P+T, 32A / 250V, Azul, 9H, IP67 - (Ref: 293) - marca MENNEKES."/>
    <x v="70"/>
  </r>
  <r>
    <n v="1"/>
    <s v="2CDS252001R0164"/>
    <s v="ITM Riel-Din 2x16A - S202-C-16A - 10kA@400Vac-IEC60947-2 - marca ABB."/>
    <x v="9"/>
  </r>
  <r>
    <n v="0"/>
    <n v="1475"/>
    <s v="Tomacorriente industrial, 2P+T, 16A / 250V, Azul, 6H, empotrable, IP67 - (Ref: 1475) - marca MENNEKES."/>
    <x v="71"/>
  </r>
  <r>
    <n v="0"/>
    <n v="278"/>
    <s v="Enchufe industrial, 2P+T, 16A / 250V, Azul, 6H, IP67 - (Ref: 278) - marca MENNEKES."/>
    <x v="72"/>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4R1"/>
    <s v="ITM Caja Moldeada 3x50A (reg.[0.7-1.0] In) - XT1B160-50A-3P-TMD - 25kA@230Vac, 18kA@415Vac, 18kA@250Vdc - marca ABB."/>
    <x v="5"/>
  </r>
  <r>
    <n v="1"/>
    <s v="1SDA067155R1"/>
    <s v="FC-CuAl_XT1 - Terminales + Cubrebornes - cables de cobre/aluminio hasta 1x95mm2 - 3 terminales (externos)"/>
    <x v="66"/>
  </r>
  <r>
    <s v=""/>
    <s v=""/>
    <s v=""/>
    <x v="0"/>
  </r>
  <r>
    <s v=""/>
    <s v=""/>
    <s v=""/>
    <x v="0"/>
  </r>
  <r>
    <n v="1"/>
    <s v="2CDS253001R0324"/>
    <s v="ITM Riel-Din 3x32A - S203-C-32A - 10kA@400Vac-IEC60947-2 - marca ABB."/>
    <x v="37"/>
  </r>
  <r>
    <n v="1"/>
    <s v="2CDS253001R0164"/>
    <s v="ITM Riel-Din 3x16A - S203-C-16A - 10kA@400Vac-IEC60947-2 - marca ABB."/>
    <x v="38"/>
  </r>
  <r>
    <s v=""/>
    <s v=""/>
    <s v=""/>
    <x v="0"/>
  </r>
  <r>
    <s v=""/>
    <s v=""/>
    <s v=""/>
    <x v="0"/>
  </r>
  <r>
    <n v="5"/>
    <s v="2CDS252001R0164"/>
    <s v="ITM Riel-Din 2x16A - S202-C-16A - 10kA@400Vac-IEC60947-2 - marca ABB."/>
    <x v="9"/>
  </r>
  <r>
    <n v="5"/>
    <s v="2CSF202102R1250"/>
    <s v="Interruptor Diferencial 2x25A - 30mA - clase A (inmunizado) - FH202-A-25A-30mA - marca ABB."/>
    <x v="10"/>
  </r>
  <r>
    <s v=""/>
    <s v=""/>
    <s v=""/>
    <x v="0"/>
  </r>
  <r>
    <s v=""/>
    <s v=""/>
    <s v=""/>
    <x v="0"/>
  </r>
  <r>
    <s v=""/>
    <s v=""/>
    <s v=""/>
    <x v="0"/>
  </r>
  <r>
    <s v=""/>
    <s v=""/>
    <s v=""/>
    <x v="0"/>
  </r>
  <r>
    <n v="10"/>
    <s v="2CDS252001R0164"/>
    <s v="ITM Riel-Din 2x16A - S202-C-16A - 10kA@400Vac-IEC60947-2 - marca ABB."/>
    <x v="9"/>
  </r>
  <r>
    <n v="9"/>
    <s v="2CSF202102R1250"/>
    <s v="Interruptor Diferencial 2x25A - 30mA - clase A (inmunizado) - FH202-A-25A-30mA - marca ABB."/>
    <x v="10"/>
  </r>
  <r>
    <s v=""/>
    <s v=""/>
    <s v=""/>
    <x v="0"/>
  </r>
  <r>
    <s v=""/>
    <s v=""/>
    <s v=""/>
    <x v="0"/>
  </r>
  <r>
    <s v=""/>
    <s v=""/>
    <s v=""/>
    <x v="0"/>
  </r>
  <r>
    <s v=""/>
    <s v=""/>
    <s v=""/>
    <x v="0"/>
  </r>
  <r>
    <n v="1"/>
    <s v="2CDS253001R0324"/>
    <s v="ITM Riel-Din 3x32A - S203-C-32A - 10kA@400Vac-IEC60947-2 - marca ABB."/>
    <x v="37"/>
  </r>
  <r>
    <n v="1"/>
    <s v="2CTB803873R2400"/>
    <s v="Protector de sobretensiones (Tipo 2) - OVR-T2_3N_40-275_P_3P -  Uc=275V, Up=1.25kV - I_descarga=40kA - marca ABB."/>
    <x v="39"/>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0R1"/>
    <s v="ITM Caja Moldeada 3x20A (reg.[0.7-1.0] In) - XT1B160-20A-3P-TMD - 25kA@230Vac, 18kA@415Vac, 18kA@250Vdc - marca ABB."/>
    <x v="7"/>
  </r>
  <r>
    <s v=""/>
    <s v=""/>
    <s v=""/>
    <x v="0"/>
  </r>
  <r>
    <s v=""/>
    <s v=""/>
    <s v=""/>
    <x v="0"/>
  </r>
  <r>
    <s v=""/>
    <s v=""/>
    <s v=""/>
    <x v="0"/>
  </r>
  <r>
    <n v="9"/>
    <s v="2CDS252001R0164"/>
    <s v="ITM Riel-Din 2x16A - S202-C-16A - 10kA@400Vac-IEC60947-2 - marca ABB."/>
    <x v="9"/>
  </r>
  <r>
    <n v="9"/>
    <s v="2CSF202102R1250"/>
    <s v="Interruptor Diferencial 2x25A - 30mA - clase A (inmunizado) - FH202-A-25A-30mA - marca ABB."/>
    <x v="10"/>
  </r>
  <r>
    <s v=""/>
    <s v=""/>
    <s v=""/>
    <x v="0"/>
  </r>
  <r>
    <s v=""/>
    <s v=""/>
    <s v=""/>
    <x v="0"/>
  </r>
  <r>
    <s v=""/>
    <s v=""/>
    <s v=""/>
    <x v="0"/>
  </r>
  <r>
    <n v="1"/>
    <s v="2CDS253001R0204"/>
    <s v="ITM Riel-Din 3x20A - S203-C-20A - 10kA@400Vac-IEC60947-2 - marca ABB."/>
    <x v="45"/>
  </r>
  <r>
    <n v="1"/>
    <s v="2CTB803873R2400"/>
    <s v="Protector de sobretensiones (Tipo 2) - OVR-T2_3N_40-275_P_3P -  Uc=275V, Up=1.25kV - I_descarga=40kA - marca ABB."/>
    <x v="39"/>
  </r>
  <r>
    <s v=""/>
    <s v=""/>
    <s v=""/>
    <x v="0"/>
  </r>
  <r>
    <s v=""/>
    <s v=""/>
    <s v=""/>
    <x v="0"/>
  </r>
  <r>
    <n v="1"/>
    <s v="1SBL137001R1310"/>
    <s v="Contactor 3x09A(AC-3) / 3x25A(AC-1) +1NA - AF09-30-10-13 - bobina 100-250Vac/dc - marca ABB."/>
    <x v="11"/>
  </r>
  <r>
    <n v="1"/>
    <s v="1SBN010110R1010"/>
    <s v="Contacto auxiliar frontal 2NA+2NC para contactor AF09..AF16-30-10, frontal - Modelo CA4-22M - marca ABB."/>
    <x v="1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0R1"/>
    <s v="ITM Caja Moldeada 3x20A (reg.[0.7-1.0] In) - XT1B160-20A-3P-TMD - 25kA@230Vac, 18kA@415Vac, 18kA@250Vdc - marca ABB."/>
    <x v="7"/>
  </r>
  <r>
    <s v=""/>
    <s v=""/>
    <s v=""/>
    <x v="0"/>
  </r>
  <r>
    <s v=""/>
    <s v=""/>
    <s v=""/>
    <x v="0"/>
  </r>
  <r>
    <s v=""/>
    <s v=""/>
    <s v=""/>
    <x v="0"/>
  </r>
  <r>
    <n v="7"/>
    <s v="2CDS252001R0164"/>
    <s v="ITM Riel-Din 2x16A - S202-C-16A - 10kA@400Vac-IEC60947-2 - marca ABB."/>
    <x v="9"/>
  </r>
  <r>
    <n v="7"/>
    <s v="2CSF202102R1250"/>
    <s v="Interruptor Diferencial 2x25A - 30mA - clase A (inmunizado) - FH202-A-25A-30mA - marca ABB."/>
    <x v="10"/>
  </r>
  <r>
    <s v=""/>
    <s v=""/>
    <s v=""/>
    <x v="0"/>
  </r>
  <r>
    <s v=""/>
    <s v=""/>
    <s v=""/>
    <x v="0"/>
  </r>
  <r>
    <s v=""/>
    <s v=""/>
    <s v=""/>
    <x v="0"/>
  </r>
  <r>
    <n v="1"/>
    <s v="2CDS253001R0204"/>
    <s v="ITM Riel-Din 3x20A - S203-C-20A - 10kA@400Vac-IEC60947-2 - marca ABB."/>
    <x v="45"/>
  </r>
  <r>
    <n v="1"/>
    <s v="2CTB803873R2400"/>
    <s v="Protector de sobretensiones (Tipo 2) - OVR-T2_3N_40-275_P_3P -  Uc=275V, Up=1.25kV - I_descarga=40kA - marca ABB."/>
    <x v="39"/>
  </r>
  <r>
    <s v=""/>
    <s v=""/>
    <s v=""/>
    <x v="0"/>
  </r>
  <r>
    <s v=""/>
    <s v=""/>
    <s v=""/>
    <x v="0"/>
  </r>
  <r>
    <n v="1"/>
    <s v="1SBL137001R1310"/>
    <s v="Contactor 3x09A(AC-3) / 3x25A(AC-1) +1NA - AF09-30-10-13 - bobina 100-250Vac/dc - marca ABB."/>
    <x v="11"/>
  </r>
  <r>
    <n v="1"/>
    <s v="1SBN010110R1010"/>
    <s v="Contacto auxiliar frontal 2NA+2NC para contactor AF09..AF16-30-10, frontal - Modelo CA4-22M - marca ABB."/>
    <x v="12"/>
  </r>
  <r>
    <s v=""/>
    <s v=""/>
    <s v=""/>
    <x v="0"/>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69556R1"/>
    <s v="ITM Caja Moldeada 2x40A - A1N/P125-40A-2P-TMF - 50kA@230Vac, 36kA@400Vac, 10kA@125Vdc - marca ABB."/>
    <x v="46"/>
  </r>
  <r>
    <s v=""/>
    <s v=""/>
    <s v=""/>
    <x v="0"/>
  </r>
  <r>
    <s v=""/>
    <s v=""/>
    <s v=""/>
    <x v="0"/>
  </r>
  <r>
    <n v="2"/>
    <s v="2CDS252001R0404"/>
    <s v="ITM Riel-Din 2x40A - S202-C-40A - 10kA@400Vac-IEC60947-2 - marca ABB."/>
    <x v="47"/>
  </r>
  <r>
    <s v=""/>
    <s v=""/>
    <s v=""/>
    <x v="0"/>
  </r>
  <r>
    <s v=""/>
    <s v=""/>
    <s v=""/>
    <x v="0"/>
  </r>
  <r>
    <s v=""/>
    <s v=""/>
    <s v=""/>
    <x v="0"/>
  </r>
  <r>
    <s v=""/>
    <s v=""/>
    <s v=""/>
    <x v="0"/>
  </r>
  <r>
    <n v="1"/>
    <s v="2CDS252001R0404"/>
    <s v="ITM Riel-Din 2x40A - S202-C-40A - 10kA@400Vac-IEC60947-2 - marca ABB."/>
    <x v="47"/>
  </r>
  <r>
    <n v="2"/>
    <s v="2CTB803871R1200"/>
    <s v="Protector de sobretensiones (Tipo 2) - OVR-T2_40-440_P-QS_1P - Un=230/400V, Uc=440V, Up=1.8kV - I_descarga=40kA - marca ABB."/>
    <x v="18"/>
  </r>
  <r>
    <s v=""/>
    <s v=""/>
    <s v=""/>
    <x v="0"/>
  </r>
  <r>
    <s v=""/>
    <s v=""/>
    <s v=""/>
    <x v="0"/>
  </r>
  <r>
    <n v="2"/>
    <s v="2CDS252001R0404"/>
    <s v="ITM Riel-Din 2x40A - S202-C-40A - 10kA@400Vac-IEC60947-2 - marca ABB."/>
    <x v="47"/>
  </r>
  <r>
    <s v=""/>
    <s v=""/>
    <s v=""/>
    <x v="0"/>
  </r>
  <r>
    <s v=""/>
    <s v=""/>
    <s v=""/>
    <x v="0"/>
  </r>
  <r>
    <s v=""/>
    <s v=""/>
    <s v=""/>
    <x v="0"/>
  </r>
  <r>
    <n v="1"/>
    <s v="2CDS252001R0254"/>
    <s v="ITM Riel-Din 2x25A - S202-C-25A - 10kA@400Vac-IEC60947-2 - marca ABB."/>
    <x v="73"/>
  </r>
  <r>
    <n v="5"/>
    <s v="2CDS252001R0164"/>
    <s v="ITM Riel-Din 2x16A - S202-C-16A - 10kA@400Vac-IEC60947-2 - marca ABB."/>
    <x v="9"/>
  </r>
  <r>
    <n v="6"/>
    <s v="2CSF202401R1250"/>
    <s v="Interruptor Diferencial 2x25A - 30mA - clase A-APR (alta inmunización) - F202-A APR-25A-30mA  - marca ABB."/>
    <x v="19"/>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m/>
    <m/>
    <m/>
    <x v="1"/>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69555R1"/>
    <s v="ITM Caja Moldeada 2x32A - A1N/P125-32A-2P-TMF - 50kA@230Vac, 36kA@400Vac, 10kA@125Vdc - marca ABB."/>
    <x v="74"/>
  </r>
  <r>
    <s v=""/>
    <s v=""/>
    <s v=""/>
    <x v="0"/>
  </r>
  <r>
    <s v=""/>
    <s v=""/>
    <s v=""/>
    <x v="0"/>
  </r>
  <r>
    <n v="2"/>
    <s v="2CDS252001R0324"/>
    <s v="ITM Riel-Din 2x32A - S202-C-32A - 10kA@400Vac-IEC60947-2 - marca ABB."/>
    <x v="75"/>
  </r>
  <r>
    <s v=""/>
    <s v=""/>
    <s v=""/>
    <x v="0"/>
  </r>
  <r>
    <s v=""/>
    <s v=""/>
    <s v=""/>
    <x v="0"/>
  </r>
  <r>
    <s v=""/>
    <s v=""/>
    <s v=""/>
    <x v="0"/>
  </r>
  <r>
    <s v=""/>
    <s v=""/>
    <s v=""/>
    <x v="0"/>
  </r>
  <r>
    <n v="1"/>
    <s v="2CDS252001R0324"/>
    <s v="ITM Riel-Din 2x32A - S202-C-32A - 10kA@400Vac-IEC60947-2 - marca ABB."/>
    <x v="75"/>
  </r>
  <r>
    <n v="2"/>
    <s v="2CTB803871R1200"/>
    <s v="Protector de sobretensiones (Tipo 2) - OVR-T2_40-440_P-QS_1P - Un=230/400V, Uc=440V, Up=1.8kV - I_descarga=40kA - marca ABB."/>
    <x v="18"/>
  </r>
  <r>
    <s v=""/>
    <s v=""/>
    <s v=""/>
    <x v="0"/>
  </r>
  <r>
    <s v=""/>
    <s v=""/>
    <s v=""/>
    <x v="0"/>
  </r>
  <r>
    <n v="2"/>
    <s v="2CDS252001R0324"/>
    <s v="ITM Riel-Din 2x32A - S202-C-32A - 10kA@400Vac-IEC60947-2 - marca ABB."/>
    <x v="75"/>
  </r>
  <r>
    <s v=""/>
    <s v=""/>
    <s v=""/>
    <x v="0"/>
  </r>
  <r>
    <s v=""/>
    <s v=""/>
    <s v=""/>
    <x v="0"/>
  </r>
  <r>
    <n v="1"/>
    <s v="2CDS252001R0204"/>
    <s v="ITM Riel-Din 2x20A - S202-C-20A - 10kA@400Vac-IEC60947-2 - marca ABB."/>
    <x v="20"/>
  </r>
  <r>
    <n v="3"/>
    <s v="2CDS252001R0164"/>
    <s v="ITM Riel-Din 2x16A - S202-C-16A - 10kA@400Vac-IEC60947-2 - marca ABB."/>
    <x v="9"/>
  </r>
  <r>
    <n v="4"/>
    <s v="2CSF202401R1250"/>
    <s v="Interruptor Diferencial 2x25A - 30mA - clase A-APR (alta inmunización) - F202-A APR-25A-30mA  - marca ABB."/>
    <x v="19"/>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67014R1"/>
    <s v="ITM Caja Moldeada 3x40A (reg.[0.7-1.0] In) - XT2N160-40A-3P-TMA - 65kA@230Vac, 36kA@415Vac - marca ABB."/>
    <x v="44"/>
  </r>
  <r>
    <n v="1"/>
    <s v="1SDA066909R1"/>
    <s v="FC-Cu_XT2 - Terminales - cables de cobre hasta 1x70mm2 - 3 terminales (internos)"/>
    <x v="76"/>
  </r>
  <r>
    <s v=""/>
    <s v=""/>
    <s v=""/>
    <x v="0"/>
  </r>
  <r>
    <s v=""/>
    <s v=""/>
    <s v=""/>
    <x v="0"/>
  </r>
  <r>
    <s v=""/>
    <s v=""/>
    <s v=""/>
    <x v="0"/>
  </r>
  <r>
    <s v=""/>
    <s v=""/>
    <s v=""/>
    <x v="0"/>
  </r>
  <r>
    <s v=""/>
    <s v=""/>
    <s v=""/>
    <x v="0"/>
  </r>
  <r>
    <s v=""/>
    <s v=""/>
    <s v=""/>
    <x v="0"/>
  </r>
  <r>
    <s v=""/>
    <s v=""/>
    <s v=""/>
    <x v="0"/>
  </r>
  <r>
    <n v="1"/>
    <s v="1SDA066466R1"/>
    <s v="Mando motor con energía acumulada (MOE) - para XT2/XT4 - 220-250V AC/DC - (YM+YO+YC) - marca ABB."/>
    <x v="23"/>
  </r>
  <r>
    <n v="1"/>
    <s v="1SDA066433R1"/>
    <s v="2(Q) contacto conmutado de estado (NA/NC) + 1(SY) contacto por disparo de interruptor - XT1..XT4 - versión cableada - marca ABB."/>
    <x v="24"/>
  </r>
  <r>
    <n v="1"/>
    <s v="1SFA619403R5231"/>
    <s v="Portalámpara + lampara tipo LED - color Rojo - alimentacion: 220-230Vac, d=22mm. - CL2-523R - línea compacta - marca ABB."/>
    <x v="2"/>
  </r>
  <r>
    <n v="1"/>
    <s v="1SFA619403R5232"/>
    <s v="Portalámpara + lampara tipo LED - color Verde - alimentacion: 220-230Vac, d=22mm. - CL2-523G - línea compacta - marca ABB."/>
    <x v="3"/>
  </r>
  <r>
    <n v="1"/>
    <s v="1SFA611131P1108"/>
    <s v="Pulsador doble Start+Stop - color Verde+Rojo - contactos 1NA+1NC - MPD2-11C-K - línea modular - marca ABB."/>
    <x v="25"/>
  </r>
  <r>
    <n v="1"/>
    <s v="1SFA619210R1026"/>
    <s v="Selector 3 posiciones mantenidos - 1-0-2 / M-0-A - maneta corta, contactos 2NA - C3SS1-10B-20 - compacto - marca ABB."/>
    <x v="15"/>
  </r>
  <r>
    <n v="2"/>
    <s v="D2PR4B+D2PA6"/>
    <s v="Rele auxiliar enchufable +4NA/NC (D2PR4B + base D2PA6), 220Vac - marca EATON."/>
    <x v="4"/>
  </r>
  <r>
    <s v=""/>
    <s v=""/>
    <s v=""/>
    <x v="0"/>
  </r>
  <r>
    <s v=""/>
    <s v=""/>
    <s v=""/>
    <x v="0"/>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1"/>
    <s v="1SDA067014R1"/>
    <s v="ITM Caja Moldeada 3x40A (reg.[0.7-1.0] In) - XT2N160-40A-3P-TMA - 65kA@230Vac, 36kA@415Vac - marca ABB."/>
    <x v="44"/>
  </r>
  <r>
    <n v="1"/>
    <s v="1SDA067011R1"/>
    <s v="ITM Caja Moldeada 3x20A (reg.[0.7-1.0] In) - XT2N160-20A-3P-TMD - 65kA@230Vac, 36kA@415Vac - marca ABB."/>
    <x v="35"/>
  </r>
  <r>
    <s v=""/>
    <s v=""/>
    <s v=""/>
    <x v="0"/>
  </r>
  <r>
    <s v=""/>
    <s v=""/>
    <s v=""/>
    <x v="0"/>
  </r>
  <r>
    <s v=""/>
    <s v=""/>
    <s v=""/>
    <x v="0"/>
  </r>
  <r>
    <n v="1"/>
    <s v="1SDA067013R1"/>
    <s v="ITM Caja Moldeada 3x32A (reg.[0.7-1.0] In) - XT2N160-32A-3P-TMD - 65kA@230Vac, 36kA@415Vac - marca ABB."/>
    <x v="31"/>
  </r>
  <r>
    <n v="1"/>
    <s v="2CJC605480D0000"/>
    <s v="Supresor contra sobretensiones (Tipo 1, UL 1449) - OVRHT3C504803D - I_max=50kA por fase, Un=480V,  MCOV=640V (L-G), VPR=2.5kV (L-G) - marca ABB."/>
    <x v="32"/>
  </r>
  <r>
    <s v=""/>
    <s v=""/>
    <s v=""/>
    <x v="0"/>
  </r>
  <r>
    <s v=""/>
    <s v=""/>
    <s v=""/>
    <x v="0"/>
  </r>
  <r>
    <s v=""/>
    <s v=""/>
    <s v=""/>
    <x v="0"/>
  </r>
  <r>
    <s v=""/>
    <s v=""/>
    <s v=""/>
    <x v="0"/>
  </r>
  <r>
    <s v=""/>
    <s v=""/>
    <s v=""/>
    <x v="0"/>
  </r>
  <r>
    <n v="1"/>
    <s v="Placa lamicoid p/autosop."/>
    <s v="Placa lamicoid rotulación de 3mm de espesor, fondo negro y letras blancas."/>
    <x v="33"/>
  </r>
  <r>
    <s v=""/>
    <s v=""/>
    <s v=""/>
    <x v="0"/>
  </r>
  <r>
    <s v=""/>
    <s v=""/>
    <s v=""/>
    <x v="0"/>
  </r>
  <r>
    <n v="1"/>
    <s v="EMBAL_AUTOS_2100x800x800mm"/>
    <s v="Embalaje especial completamente cerrado para tablero autosoportado de 2100x800x800mm"/>
    <x v="3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67013R1"/>
    <s v="ITM Caja Moldeada 3x32A (reg.[0.7-1.0] In) - XT2N160-32A-3P-TMD - 65kA@230Vac, 36kA@415Vac - marca ABB."/>
    <x v="31"/>
  </r>
  <r>
    <s v=""/>
    <s v=""/>
    <s v=""/>
    <x v="0"/>
  </r>
  <r>
    <s v=""/>
    <s v=""/>
    <s v=""/>
    <x v="0"/>
  </r>
  <r>
    <s v=""/>
    <s v=""/>
    <s v=""/>
    <x v="0"/>
  </r>
  <r>
    <s v=""/>
    <s v=""/>
    <s v=""/>
    <x v="0"/>
  </r>
  <r>
    <s v=""/>
    <s v=""/>
    <s v=""/>
    <x v="0"/>
  </r>
  <r>
    <s v=""/>
    <s v=""/>
    <s v=""/>
    <x v="0"/>
  </r>
  <r>
    <s v=""/>
    <s v=""/>
    <s v=""/>
    <x v="0"/>
  </r>
  <r>
    <n v="1"/>
    <s v="1SDA066466R1"/>
    <s v="Mando motor con energía acumulada (MOE) - para XT2/XT4 - 220-250V AC/DC - (YM+YO+YC) - marca ABB."/>
    <x v="23"/>
  </r>
  <r>
    <n v="1"/>
    <s v="1SDA066433R1"/>
    <s v="2(Q) contacto conmutado de estado (NA/NC) + 1(SY) contacto por disparo de interruptor - XT1..XT4 - versión cableada - marca ABB."/>
    <x v="24"/>
  </r>
  <r>
    <n v="1"/>
    <s v="1SFA619403R5231"/>
    <s v="Portalámpara + lampara tipo LED - color Rojo - alimentacion: 220-230Vac, d=22mm. - CL2-523R - línea compacta - marca ABB."/>
    <x v="2"/>
  </r>
  <r>
    <n v="1"/>
    <s v="1SFA619403R5232"/>
    <s v="Portalámpara + lampara tipo LED - color Verde - alimentacion: 220-230Vac, d=22mm. - CL2-523G - línea compacta - marca ABB."/>
    <x v="3"/>
  </r>
  <r>
    <n v="1"/>
    <s v="1SFA611131P1108"/>
    <s v="Pulsador doble Start+Stop - color Verde+Rojo - contactos 1NA+1NC - MPD2-11C-K - línea modular - marca ABB."/>
    <x v="25"/>
  </r>
  <r>
    <n v="1"/>
    <s v="1SFA619210R1026"/>
    <s v="Selector 3 posiciones mantenidos - 1-0-2 / M-0-A - maneta corta, contactos 2NA - C3SS1-10B-20 - compacto - marca ABB."/>
    <x v="15"/>
  </r>
  <r>
    <n v="2"/>
    <s v="D2PR4B+D2PA6"/>
    <s v="Rele auxiliar enchufable +4NA/NC (D2PR4B + base D2PA6), 220Vac - marca EATON."/>
    <x v="4"/>
  </r>
  <r>
    <s v=""/>
    <s v=""/>
    <s v=""/>
    <x v="0"/>
  </r>
  <r>
    <s v=""/>
    <s v=""/>
    <s v=""/>
    <x v="0"/>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2"/>
    <s v="1SDA067011R1"/>
    <s v="ITM Caja Moldeada 3x20A (reg.[0.7-1.0] In) - XT2N160-20A-3P-TMD - 65kA@230Vac, 36kA@415Vac - marca ABB."/>
    <x v="35"/>
  </r>
  <r>
    <n v="3"/>
    <s v="1SDA067010R1"/>
    <s v="ITM Caja Moldeada 3x16A (reg.[0.7-1.0] In) - XT2N160-16A-3P-TMD - 65kA@230Vac, 36kA@415Vac - marca ABB."/>
    <x v="36"/>
  </r>
  <r>
    <s v=""/>
    <s v=""/>
    <s v=""/>
    <x v="0"/>
  </r>
  <r>
    <s v=""/>
    <s v=""/>
    <s v=""/>
    <x v="0"/>
  </r>
  <r>
    <s v=""/>
    <s v=""/>
    <s v=""/>
    <x v="0"/>
  </r>
  <r>
    <s v=""/>
    <s v=""/>
    <s v=""/>
    <x v="0"/>
  </r>
  <r>
    <n v="1"/>
    <s v="1SDA067013R1"/>
    <s v="ITM Caja Moldeada 3x32A (reg.[0.7-1.0] In) - XT2N160-32A-3P-TMD - 65kA@230Vac, 36kA@415Vac - marca ABB."/>
    <x v="31"/>
  </r>
  <r>
    <n v="1"/>
    <s v="2CJC605480D0000"/>
    <s v="Supresor contra sobretensiones (Tipo 1, UL 1449) - OVRHT3C504803D - I_max=50kA por fase, Un=480V,  MCOV=640V (L-G), VPR=2.5kV (L-G) - marca ABB."/>
    <x v="32"/>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3R1"/>
    <s v="ITM Caja Moldeada 3x40A (reg.[0.7-1.0] In) - XT1B160-40A-3P-TMD - 25kA@230Vac, 18kA@415Vac, 18kA@250Vdc - marca ABB."/>
    <x v="6"/>
  </r>
  <r>
    <s v=""/>
    <s v=""/>
    <s v=""/>
    <x v="0"/>
  </r>
  <r>
    <s v=""/>
    <s v=""/>
    <s v=""/>
    <x v="0"/>
  </r>
  <r>
    <n v="2"/>
    <s v="2CDS253001R0204"/>
    <s v="ITM Riel-Din 3x20A - S203-C-20A - 10kA@400Vac-IEC60947-2 - marca ABB."/>
    <x v="45"/>
  </r>
  <r>
    <s v=""/>
    <s v=""/>
    <s v=""/>
    <x v="0"/>
  </r>
  <r>
    <s v=""/>
    <s v=""/>
    <s v=""/>
    <x v="0"/>
  </r>
  <r>
    <n v="1"/>
    <s v="2CDS253001R0164"/>
    <s v="ITM Riel-Din 3x16A - S203-C-16A - 10kA@400Vac-IEC60947-2 - marca ABB."/>
    <x v="38"/>
  </r>
  <r>
    <n v="1"/>
    <s v="2CSF204102R1250"/>
    <s v="Interruptor Diferencial 4x25A - 30mA - clase A (inmunizado) - FH204-A-25A-30mA - marca ABB."/>
    <x v="77"/>
  </r>
  <r>
    <n v="6"/>
    <s v="2CDS252001R0164"/>
    <s v="ITM Riel-Din 2x16A - S202-C-16A - 10kA@400Vac-IEC60947-2 - marca ABB."/>
    <x v="9"/>
  </r>
  <r>
    <n v="6"/>
    <s v="2CSF202102R1250"/>
    <s v="Interruptor Diferencial 2x25A - 30mA - clase A (inmunizado) - FH202-A-25A-30mA - marca ABB."/>
    <x v="10"/>
  </r>
  <r>
    <s v=""/>
    <s v=""/>
    <s v=""/>
    <x v="0"/>
  </r>
  <r>
    <s v=""/>
    <s v=""/>
    <s v=""/>
    <x v="0"/>
  </r>
  <r>
    <s v=""/>
    <s v=""/>
    <s v=""/>
    <x v="0"/>
  </r>
  <r>
    <s v=""/>
    <s v=""/>
    <s v=""/>
    <x v="0"/>
  </r>
  <r>
    <n v="2"/>
    <s v="2CDS252001R0204"/>
    <s v="ITM Riel-Din 2x20A - S202-C-20A - 10kA@400Vac-IEC60947-2 - marca ABB."/>
    <x v="20"/>
  </r>
  <r>
    <n v="5"/>
    <s v="2CDS252001R0164"/>
    <s v="ITM Riel-Din 2x16A - S202-C-16A - 10kA@400Vac-IEC60947-2 - marca ABB."/>
    <x v="9"/>
  </r>
  <r>
    <n v="4"/>
    <s v="2CSF202102R1250"/>
    <s v="Interruptor Diferencial 2x25A - 30mA - clase A (inmunizado) - FH202-A-25A-30mA - marca ABB."/>
    <x v="10"/>
  </r>
  <r>
    <s v=""/>
    <s v=""/>
    <s v=""/>
    <x v="0"/>
  </r>
  <r>
    <s v=""/>
    <s v=""/>
    <s v=""/>
    <x v="0"/>
  </r>
  <r>
    <s v=""/>
    <s v=""/>
    <s v=""/>
    <x v="0"/>
  </r>
  <r>
    <s v=""/>
    <s v=""/>
    <s v=""/>
    <x v="0"/>
  </r>
  <r>
    <n v="1"/>
    <s v="2CDS253001R0324"/>
    <s v="ITM Riel-Din 3x32A - S203-C-32A - 10kA@400Vac-IEC60947-2 - marca ABB."/>
    <x v="37"/>
  </r>
  <r>
    <n v="1"/>
    <s v="2CTB803873R2400"/>
    <s v="Protector de sobretensiones (Tipo 2) - OVR-T2_3N_40-275_P_3P -  Uc=275V, Up=1.25kV - I_descarga=40kA - marca ABB."/>
    <x v="39"/>
  </r>
  <r>
    <s v=""/>
    <s v=""/>
    <s v=""/>
    <x v="0"/>
  </r>
  <r>
    <s v=""/>
    <s v=""/>
    <s v=""/>
    <x v="0"/>
  </r>
  <r>
    <n v="2"/>
    <s v="1SBL137001R1310"/>
    <s v="Contactor 3x09A(AC-3) / 3x25A(AC-1) +1NA - AF09-30-10-13 - bobina 100-250Vac/dc - marca ABB."/>
    <x v="11"/>
  </r>
  <r>
    <n v="2"/>
    <s v="1SBN010110R1010"/>
    <s v="Contacto auxiliar frontal 2NA+2NC para contactor AF09..AF16-30-10, frontal - Modelo CA4-22M - marca ABB."/>
    <x v="12"/>
  </r>
  <r>
    <s v=""/>
    <s v=""/>
    <s v=""/>
    <x v="0"/>
  </r>
  <r>
    <s v=""/>
    <s v=""/>
    <s v=""/>
    <x v="0"/>
  </r>
  <r>
    <s v=""/>
    <s v=""/>
    <s v=""/>
    <x v="0"/>
  </r>
  <r>
    <s v=""/>
    <s v=""/>
    <s v=""/>
    <x v="0"/>
  </r>
  <r>
    <s v=""/>
    <s v=""/>
    <s v=""/>
    <x v="0"/>
  </r>
  <r>
    <s v=""/>
    <s v=""/>
    <s v=""/>
    <x v="0"/>
  </r>
  <r>
    <n v="2"/>
    <s v="1SBL137001R1310"/>
    <s v="Contactor 3x09A(AC-3) / 3x25A(AC-1) +1NA - AF09-30-10-13 - bobina 100-250Vac/dc - marca ABB."/>
    <x v="11"/>
  </r>
  <r>
    <n v="2"/>
    <s v="1SBN010110R1010"/>
    <s v="Contacto auxiliar frontal 2NA+2NC para contactor AF09..AF16-30-10, frontal - Modelo CA4-22M - marca ABB."/>
    <x v="12"/>
  </r>
  <r>
    <s v=""/>
    <s v=""/>
    <s v=""/>
    <x v="0"/>
  </r>
  <r>
    <s v=""/>
    <s v=""/>
    <s v=""/>
    <x v="0"/>
  </r>
  <r>
    <s v=""/>
    <s v=""/>
    <s v=""/>
    <x v="0"/>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m/>
    <m/>
    <m/>
    <x v="0"/>
  </r>
  <r>
    <s v=""/>
    <s v=""/>
    <s v=""/>
    <x v="0"/>
  </r>
  <r>
    <s v=""/>
    <s v=""/>
    <s v=""/>
    <x v="0"/>
  </r>
  <r>
    <n v="2"/>
    <s v="1SFA619210R1026"/>
    <s v="Selector 3 posiciones mantenidos - 1-0-2 / M-0-A - maneta corta, contactos 2NA - C3SS1-10B-20 - compacto - marca ABB."/>
    <x v="15"/>
  </r>
  <r>
    <s v=""/>
    <s v=""/>
    <s v=""/>
    <x v="0"/>
  </r>
  <r>
    <s v=""/>
    <s v=""/>
    <s v=""/>
    <x v="0"/>
  </r>
  <r>
    <s v=""/>
    <s v=""/>
    <s v=""/>
    <x v="0"/>
  </r>
  <r>
    <s v=""/>
    <s v=""/>
    <s v=""/>
    <x v="0"/>
  </r>
  <r>
    <s v=""/>
    <s v=""/>
    <s v=""/>
    <x v="0"/>
  </r>
  <r>
    <n v="1"/>
    <s v="D2PR4B+D2PA6"/>
    <s v="Rele auxiliar enchufable +4NA/NC (D2PR4B + base D2PA6), 220Vac - marca EATON."/>
    <x v="4"/>
  </r>
  <r>
    <s v=""/>
    <s v=""/>
    <s v=""/>
    <x v="0"/>
  </r>
  <r>
    <s v=""/>
    <s v=""/>
    <s v=""/>
    <x v="0"/>
  </r>
  <r>
    <s v=""/>
    <s v=""/>
    <s v=""/>
    <x v="0"/>
  </r>
  <r>
    <s v=""/>
    <s v=""/>
    <s v=""/>
    <x v="0"/>
  </r>
  <r>
    <s v=""/>
    <s v=""/>
    <s v=""/>
    <x v="0"/>
  </r>
  <r>
    <s v=""/>
    <s v=""/>
    <s v=""/>
    <x v="0"/>
  </r>
  <r>
    <s v=""/>
    <s v=""/>
    <s v=""/>
    <x v="0"/>
  </r>
  <r>
    <s v=""/>
    <s v=""/>
    <s v=""/>
    <x v="0"/>
  </r>
  <r>
    <m/>
    <m/>
    <m/>
    <x v="1"/>
  </r>
  <r>
    <n v="1"/>
    <s v="0400RTF82S"/>
    <s v="FOTOCELDA 1800VA 220V N/C (NF) 10 LUX STIELECTRONICA"/>
    <x v="16"/>
  </r>
  <r>
    <n v="1"/>
    <s v="0400TPLS476"/>
    <s v="BASE C/SOPORTE P/CONTROL FOTOCELDA P/ADOSAR STIELECTRONICA"/>
    <x v="17"/>
  </r>
  <r>
    <m/>
    <m/>
    <m/>
    <x v="1"/>
  </r>
  <r>
    <m/>
    <m/>
    <m/>
    <x v="0"/>
  </r>
  <r>
    <s v=""/>
    <s v=""/>
    <s v=""/>
    <x v="0"/>
  </r>
  <r>
    <s v=""/>
    <s v=""/>
    <s v=""/>
    <x v="0"/>
  </r>
  <r>
    <n v="3"/>
    <s v="1SFA611131P1108"/>
    <s v="Pulsador doble Start+Stop - color Verde+Rojo - contactos 1NA+1NC - MPD2-11C-K - línea modular - marca ABB."/>
    <x v="25"/>
  </r>
  <r>
    <s v=""/>
    <s v=""/>
    <s v=""/>
    <x v="0"/>
  </r>
  <r>
    <s v=""/>
    <s v=""/>
    <s v=""/>
    <x v="0"/>
  </r>
  <r>
    <s v=""/>
    <s v=""/>
    <s v=""/>
    <x v="0"/>
  </r>
  <r>
    <s v=""/>
    <s v=""/>
    <s v=""/>
    <x v="0"/>
  </r>
  <r>
    <s v=""/>
    <s v=""/>
    <s v=""/>
    <x v="0"/>
  </r>
  <r>
    <s v=""/>
    <s v=""/>
    <s v=""/>
    <x v="0"/>
  </r>
  <r>
    <s v=""/>
    <s v=""/>
    <s v=""/>
    <x v="0"/>
  </r>
  <r>
    <s v=""/>
    <s v=""/>
    <s v=""/>
    <x v="0"/>
  </r>
  <r>
    <s v=""/>
    <s v=""/>
    <s v=""/>
    <x v="0"/>
  </r>
  <r>
    <s v=""/>
    <s v=""/>
    <s v=""/>
    <x v="0"/>
  </r>
  <r>
    <m/>
    <m/>
    <m/>
    <x v="1"/>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0R1"/>
    <s v="ITM Caja Moldeada 3x20A (reg.[0.7-1.0] In) - XT1B160-20A-3P-TMD - 25kA@230Vac, 18kA@415Vac, 18kA@250Vdc - marca ABB."/>
    <x v="7"/>
  </r>
  <r>
    <s v=""/>
    <s v=""/>
    <s v=""/>
    <x v="0"/>
  </r>
  <r>
    <s v=""/>
    <s v=""/>
    <s v=""/>
    <x v="0"/>
  </r>
  <r>
    <n v="2"/>
    <s v="2CDS253001R0204"/>
    <s v="ITM Riel-Din 3x20A - S203-C-20A - 10kA@400Vac-IEC60947-2 - marca ABB."/>
    <x v="45"/>
  </r>
  <r>
    <s v=""/>
    <s v=""/>
    <s v=""/>
    <x v="0"/>
  </r>
  <r>
    <s v=""/>
    <s v=""/>
    <s v=""/>
    <x v="0"/>
  </r>
  <r>
    <n v="3"/>
    <s v="2CDS252001R0164"/>
    <s v="ITM Riel-Din 2x16A - S202-C-16A - 10kA@400Vac-IEC60947-2 - marca ABB."/>
    <x v="9"/>
  </r>
  <r>
    <n v="3"/>
    <s v="2CSF202102R1250"/>
    <s v="Interruptor Diferencial 2x25A - 30mA - clase A (inmunizado) - FH202-A-25A-30mA - marca ABB."/>
    <x v="10"/>
  </r>
  <r>
    <s v=""/>
    <s v=""/>
    <s v=""/>
    <x v="0"/>
  </r>
  <r>
    <s v=""/>
    <s v=""/>
    <s v=""/>
    <x v="0"/>
  </r>
  <r>
    <s v=""/>
    <s v=""/>
    <s v=""/>
    <x v="0"/>
  </r>
  <r>
    <s v=""/>
    <s v=""/>
    <s v=""/>
    <x v="0"/>
  </r>
  <r>
    <n v="3"/>
    <s v="2CDS253001R0164"/>
    <s v="ITM Riel-Din 3x16A - S203-C-16A - 10kA@400Vac-IEC60947-2 - marca ABB."/>
    <x v="38"/>
  </r>
  <r>
    <n v="3"/>
    <s v="2CSF204102R1250"/>
    <s v="Interruptor Diferencial 4x25A - 30mA - clase A (inmunizado) - FH204-A-25A-30mA - marca ABB."/>
    <x v="77"/>
  </r>
  <r>
    <s v=""/>
    <s v=""/>
    <s v=""/>
    <x v="0"/>
  </r>
  <r>
    <s v=""/>
    <s v=""/>
    <s v=""/>
    <x v="0"/>
  </r>
  <r>
    <s v=""/>
    <s v=""/>
    <s v=""/>
    <x v="0"/>
  </r>
  <r>
    <s v=""/>
    <s v=""/>
    <s v=""/>
    <x v="0"/>
  </r>
  <r>
    <n v="1"/>
    <s v="2CDS253001R0204"/>
    <s v="ITM Riel-Din 3x20A - S203-C-20A - 10kA@400Vac-IEC60947-2 - marca ABB."/>
    <x v="45"/>
  </r>
  <r>
    <n v="1"/>
    <s v="2CTB803873R2400"/>
    <s v="Protector de sobretensiones (Tipo 2) - OVR-T2_3N_40-275_P_3P -  Uc=275V, Up=1.25kV - I_descarga=40kA - marca ABB."/>
    <x v="39"/>
  </r>
  <r>
    <s v=""/>
    <s v=""/>
    <s v=""/>
    <x v="0"/>
  </r>
  <r>
    <s v=""/>
    <s v=""/>
    <s v=""/>
    <x v="0"/>
  </r>
  <r>
    <n v="1"/>
    <s v="1SBL137001R1310"/>
    <s v="Contactor 3x09A(AC-3) / 3x25A(AC-1) +1NA - AF09-30-10-13 - bobina 100-250Vac/dc - marca ABB."/>
    <x v="11"/>
  </r>
  <r>
    <n v="1"/>
    <s v="1SBN010110R1010"/>
    <s v="Contacto auxiliar frontal 2NA+2NC para contactor AF09..AF16-30-10, frontal - Modelo CA4-22M - marca ABB."/>
    <x v="1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69552R1"/>
    <s v="ITM Caja Moldeada 2x20A - A1N/P125-20A-2P-TMF - 50kA@230Vac, 36kA@400Vac, 10kA@125Vdc - marca ABB."/>
    <x v="42"/>
  </r>
  <r>
    <s v=""/>
    <s v=""/>
    <s v=""/>
    <x v="0"/>
  </r>
  <r>
    <s v=""/>
    <s v=""/>
    <s v=""/>
    <x v="0"/>
  </r>
  <r>
    <s v=""/>
    <s v=""/>
    <s v=""/>
    <x v="0"/>
  </r>
  <r>
    <s v=""/>
    <s v=""/>
    <s v=""/>
    <x v="0"/>
  </r>
  <r>
    <s v=""/>
    <s v=""/>
    <s v=""/>
    <x v="0"/>
  </r>
  <r>
    <s v=""/>
    <s v=""/>
    <s v=""/>
    <x v="0"/>
  </r>
  <r>
    <n v="2"/>
    <s v="2CDS252001R0204"/>
    <s v="ITM Riel-Din 2x20A - S202-C-20A - 10kA@400Vac-IEC60947-2 - marca ABB."/>
    <x v="20"/>
  </r>
  <r>
    <s v=""/>
    <s v=""/>
    <s v=""/>
    <x v="0"/>
  </r>
  <r>
    <s v=""/>
    <s v=""/>
    <s v=""/>
    <x v="0"/>
  </r>
  <r>
    <s v=""/>
    <s v=""/>
    <s v=""/>
    <x v="0"/>
  </r>
  <r>
    <n v="1"/>
    <s v="2CDS252001R0204"/>
    <s v="ITM Riel-Din 2x20A - S202-C-20A - 10kA@400Vac-IEC60947-2 - marca ABB."/>
    <x v="20"/>
  </r>
  <r>
    <n v="2"/>
    <s v="2CTB803871R1200"/>
    <s v="Protector de sobretensiones (Tipo 2) - OVR-T2_40-440_P-QS_1P - Un=230/400V, Uc=440V, Up=1.8kV - I_descarga=40kA - marca ABB."/>
    <x v="18"/>
  </r>
  <r>
    <s v=""/>
    <s v=""/>
    <s v=""/>
    <x v="0"/>
  </r>
  <r>
    <s v=""/>
    <s v=""/>
    <s v=""/>
    <x v="0"/>
  </r>
  <r>
    <s v=""/>
    <s v=""/>
    <s v=""/>
    <x v="0"/>
  </r>
  <r>
    <s v=""/>
    <s v=""/>
    <s v=""/>
    <x v="0"/>
  </r>
  <r>
    <s v=""/>
    <s v=""/>
    <s v=""/>
    <x v="0"/>
  </r>
  <r>
    <s v=""/>
    <s v=""/>
    <s v=""/>
    <x v="0"/>
  </r>
  <r>
    <s v=""/>
    <s v=""/>
    <s v=""/>
    <x v="0"/>
  </r>
  <r>
    <s v=""/>
    <s v=""/>
    <s v=""/>
    <x v="0"/>
  </r>
  <r>
    <n v="2"/>
    <s v="2CDS252001R0204"/>
    <s v="ITM Riel-Din 2x20A - S202-C-20A - 10kA@400Vac-IEC60947-2 - marca ABB."/>
    <x v="20"/>
  </r>
  <r>
    <s v=""/>
    <s v=""/>
    <s v=""/>
    <x v="0"/>
  </r>
  <r>
    <s v=""/>
    <s v=""/>
    <s v=""/>
    <x v="0"/>
  </r>
  <r>
    <s v=""/>
    <s v=""/>
    <s v=""/>
    <x v="0"/>
  </r>
  <r>
    <n v="5"/>
    <s v="2CDS252001R0164"/>
    <s v="ITM Riel-Din 2x16A - S202-C-16A - 10kA@400Vac-IEC60947-2 - marca ABB."/>
    <x v="9"/>
  </r>
  <r>
    <n v="5"/>
    <s v="2CSF202401R1250"/>
    <s v="Interruptor Diferencial 2x25A - 30mA - clase A-APR (alta inmunización) - F202-A APR-25A-30mA  - marca ABB."/>
    <x v="19"/>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67014R1"/>
    <s v="ITM Caja Moldeada 3x40A (reg.[0.7-1.0] In) - XT2N160-40A-3P-TMA - 65kA@230Vac, 36kA@415Vac - marca ABB."/>
    <x v="44"/>
  </r>
  <r>
    <n v="1"/>
    <s v="1SDA067167R1"/>
    <s v="FC-CuAl_XT2 - Terminales + Cubrebornes - cables de cobre/aluminio hasta 1x185mm2 - 3 terminales (externos)"/>
    <x v="22"/>
  </r>
  <r>
    <s v=""/>
    <s v=""/>
    <s v=""/>
    <x v="0"/>
  </r>
  <r>
    <s v=""/>
    <s v=""/>
    <s v=""/>
    <x v="0"/>
  </r>
  <r>
    <s v=""/>
    <s v=""/>
    <s v=""/>
    <x v="0"/>
  </r>
  <r>
    <s v=""/>
    <s v=""/>
    <s v=""/>
    <x v="0"/>
  </r>
  <r>
    <s v=""/>
    <s v=""/>
    <s v=""/>
    <x v="0"/>
  </r>
  <r>
    <s v=""/>
    <s v=""/>
    <s v=""/>
    <x v="0"/>
  </r>
  <r>
    <s v=""/>
    <s v=""/>
    <s v=""/>
    <x v="0"/>
  </r>
  <r>
    <n v="1"/>
    <s v="1SDA066466R1"/>
    <s v="Mando motor con energía acumulada (MOE) - para XT2/XT4 - 220-250V AC/DC - (YM+YO+YC) - marca ABB."/>
    <x v="23"/>
  </r>
  <r>
    <n v="1"/>
    <s v="1SDA066433R1"/>
    <s v="2(Q) contacto conmutado de estado (NA/NC) + 1(SY) contacto por disparo de interruptor - XT1..XT4 - versión cableada - marca ABB."/>
    <x v="24"/>
  </r>
  <r>
    <n v="1"/>
    <s v="1SFA619403R5231"/>
    <s v="Portalámpara + lampara tipo LED - color Rojo - alimentacion: 220-230Vac, d=22mm. - CL2-523R - línea compacta - marca ABB."/>
    <x v="2"/>
  </r>
  <r>
    <n v="1"/>
    <s v="1SFA619403R5232"/>
    <s v="Portalámpara + lampara tipo LED - color Verde - alimentacion: 220-230Vac, d=22mm. - CL2-523G - línea compacta - marca ABB."/>
    <x v="3"/>
  </r>
  <r>
    <n v="1"/>
    <s v="1SFA611131P1108"/>
    <s v="Pulsador doble Start+Stop - color Verde+Rojo - contactos 1NA+1NC - MPD2-11C-K - línea modular - marca ABB."/>
    <x v="25"/>
  </r>
  <r>
    <n v="1"/>
    <s v="1SFA619210R1026"/>
    <s v="Selector 3 posiciones mantenidos - 1-0-2 / M-0-A - maneta corta, contactos 2NA - C3SS1-10B-20 - compacto - marca ABB."/>
    <x v="15"/>
  </r>
  <r>
    <n v="2"/>
    <s v="D2PR4B+D2PA6"/>
    <s v="Rele auxiliar enchufable +4NA/NC (D2PR4B + base D2PA6), 220Vac - marca EATON."/>
    <x v="4"/>
  </r>
  <r>
    <s v=""/>
    <s v=""/>
    <s v=""/>
    <x v="0"/>
  </r>
  <r>
    <s v=""/>
    <s v=""/>
    <s v=""/>
    <x v="0"/>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1"/>
    <s v="1SDA067014R1"/>
    <s v="ITM Caja Moldeada 3x40A (reg.[0.7-1.0] In) - XT2N160-40A-3P-TMA - 65kA@230Vac, 36kA@415Vac - marca ABB."/>
    <x v="44"/>
  </r>
  <r>
    <n v="1"/>
    <s v="1SDA067011R1"/>
    <s v="ITM Caja Moldeada 3x20A (reg.[0.7-1.0] In) - XT2N160-20A-3P-TMD - 65kA@230Vac, 36kA@415Vac - marca ABB."/>
    <x v="35"/>
  </r>
  <r>
    <s v=""/>
    <s v=""/>
    <s v=""/>
    <x v="0"/>
  </r>
  <r>
    <s v=""/>
    <s v=""/>
    <s v=""/>
    <x v="0"/>
  </r>
  <r>
    <s v=""/>
    <s v=""/>
    <s v=""/>
    <x v="0"/>
  </r>
  <r>
    <n v="1"/>
    <s v="1SDA067013R1"/>
    <s v="ITM Caja Moldeada 3x32A (reg.[0.7-1.0] In) - XT2N160-32A-3P-TMD - 65kA@230Vac, 36kA@415Vac - marca ABB."/>
    <x v="31"/>
  </r>
  <r>
    <n v="1"/>
    <s v="2CJC605480D0000"/>
    <s v="Supresor contra sobretensiones (Tipo 1, UL 1449) - OVRHT3C504803D - I_max=50kA por fase, Un=480V,  MCOV=640V (L-G), VPR=2.5kV (L-G) - marca ABB."/>
    <x v="3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67014R1"/>
    <s v="ITM Caja Moldeada 3x40A (reg.[0.7-1.0] In) - XT2N160-40A-3P-TMA - 65kA@230Vac, 36kA@415Vac - marca ABB."/>
    <x v="44"/>
  </r>
  <r>
    <n v="1"/>
    <s v="1SDA067167R1"/>
    <s v="FC-CuAl_XT2 - Terminales + Cubrebornes - cables de cobre/aluminio hasta 1x185mm2 - 3 terminales (externos)"/>
    <x v="22"/>
  </r>
  <r>
    <s v=""/>
    <s v=""/>
    <s v=""/>
    <x v="0"/>
  </r>
  <r>
    <s v=""/>
    <s v=""/>
    <s v=""/>
    <x v="0"/>
  </r>
  <r>
    <s v=""/>
    <s v=""/>
    <s v=""/>
    <x v="0"/>
  </r>
  <r>
    <s v=""/>
    <s v=""/>
    <s v=""/>
    <x v="0"/>
  </r>
  <r>
    <s v=""/>
    <s v=""/>
    <s v=""/>
    <x v="0"/>
  </r>
  <r>
    <s v=""/>
    <s v=""/>
    <s v=""/>
    <x v="0"/>
  </r>
  <r>
    <s v=""/>
    <s v=""/>
    <s v=""/>
    <x v="0"/>
  </r>
  <r>
    <n v="1"/>
    <s v="1SDA066466R1"/>
    <s v="Mando motor con energía acumulada (MOE) - para XT2/XT4 - 220-250V AC/DC - (YM+YO+YC) - marca ABB."/>
    <x v="23"/>
  </r>
  <r>
    <n v="1"/>
    <s v="1SDA066433R1"/>
    <s v="2(Q) contacto conmutado de estado (NA/NC) + 1(SY) contacto por disparo de interruptor - XT1..XT4 - versión cableada - marca ABB."/>
    <x v="24"/>
  </r>
  <r>
    <n v="1"/>
    <s v="1SFA619403R5231"/>
    <s v="Portalámpara + lampara tipo LED - color Rojo - alimentacion: 220-230Vac, d=22mm. - CL2-523R - línea compacta - marca ABB."/>
    <x v="2"/>
  </r>
  <r>
    <n v="1"/>
    <s v="1SFA619403R5232"/>
    <s v="Portalámpara + lampara tipo LED - color Verde - alimentacion: 220-230Vac, d=22mm. - CL2-523G - línea compacta - marca ABB."/>
    <x v="3"/>
  </r>
  <r>
    <n v="1"/>
    <s v="1SFA611131P1108"/>
    <s v="Pulsador doble Start+Stop - color Verde+Rojo - contactos 1NA+1NC - MPD2-11C-K - línea modular - marca ABB."/>
    <x v="25"/>
  </r>
  <r>
    <n v="1"/>
    <s v="1SFA619210R1026"/>
    <s v="Selector 3 posiciones mantenidos - 1-0-2 / M-0-A - maneta corta, contactos 2NA - C3SS1-10B-20 - compacto - marca ABB."/>
    <x v="15"/>
  </r>
  <r>
    <n v="2"/>
    <s v="D2PR4B+D2PA6"/>
    <s v="Rele auxiliar enchufable +4NA/NC (D2PR4B + base D2PA6), 220Vac - marca EATON."/>
    <x v="4"/>
  </r>
  <r>
    <s v=""/>
    <s v=""/>
    <s v=""/>
    <x v="0"/>
  </r>
  <r>
    <s v=""/>
    <s v=""/>
    <s v=""/>
    <x v="0"/>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1"/>
    <s v="1SDA067012R1"/>
    <s v="ITM Caja Moldeada 3x25A (reg.[0.7-1.0] In) - XT2N160-25A-3P-TMD - 65kA@230Vac, 36kA@415Vac - marca ABB."/>
    <x v="30"/>
  </r>
  <r>
    <n v="1"/>
    <s v="1SDA067011R1"/>
    <s v="ITM Caja Moldeada 3x20A (reg.[0.7-1.0] In) - XT2N160-20A-3P-TMD - 65kA@230Vac, 36kA@415Vac - marca ABB."/>
    <x v="35"/>
  </r>
  <r>
    <n v="3"/>
    <s v="1SDA067010R1"/>
    <s v="ITM Caja Moldeada 3x16A (reg.[0.7-1.0] In) - XT2N160-16A-3P-TMD - 65kA@230Vac, 36kA@415Vac - marca ABB."/>
    <x v="36"/>
  </r>
  <r>
    <s v=""/>
    <s v=""/>
    <s v=""/>
    <x v="0"/>
  </r>
  <r>
    <s v=""/>
    <s v=""/>
    <s v=""/>
    <x v="0"/>
  </r>
  <r>
    <s v=""/>
    <s v=""/>
    <s v=""/>
    <x v="0"/>
  </r>
  <r>
    <s v=""/>
    <s v=""/>
    <s v=""/>
    <x v="0"/>
  </r>
  <r>
    <n v="1"/>
    <s v="1SDA067013R1"/>
    <s v="ITM Caja Moldeada 3x32A (reg.[0.7-1.0] In) - XT2N160-32A-3P-TMD - 65kA@230Vac, 36kA@415Vac - marca ABB."/>
    <x v="31"/>
  </r>
  <r>
    <n v="1"/>
    <s v="2CJC605480D0000"/>
    <s v="Supresor contra sobretensiones (Tipo 1, UL 1449) - OVRHT3C504803D - I_max=50kA por fase, Un=480V,  MCOV=640V (L-G), VPR=2.5kV (L-G) - marca ABB."/>
    <x v="3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3R1"/>
    <s v="ITM Caja Moldeada 3x40A (reg.[0.7-1.0] In) - XT1B160-40A-3P-TMD - 25kA@230Vac, 18kA@415Vac, 18kA@250Vdc - marca ABB."/>
    <x v="6"/>
  </r>
  <r>
    <s v=""/>
    <s v=""/>
    <s v=""/>
    <x v="0"/>
  </r>
  <r>
    <s v=""/>
    <s v=""/>
    <s v=""/>
    <x v="0"/>
  </r>
  <r>
    <n v="2"/>
    <s v="2CDS253001R0204"/>
    <s v="ITM Riel-Din 3x20A - S203-C-20A - 10kA@400Vac-IEC60947-2 - marca ABB."/>
    <x v="45"/>
  </r>
  <r>
    <s v=""/>
    <s v=""/>
    <s v=""/>
    <x v="0"/>
  </r>
  <r>
    <s v=""/>
    <s v=""/>
    <s v=""/>
    <x v="0"/>
  </r>
  <r>
    <n v="6"/>
    <s v="2CDS253001R0164"/>
    <s v="ITM Riel-Din 3x16A - S203-C-16A - 10kA@400Vac-IEC60947-2 - marca ABB."/>
    <x v="38"/>
  </r>
  <r>
    <n v="6"/>
    <s v="2CSF204102R1250"/>
    <s v="Interruptor Diferencial 4x25A - 30mA - clase A (inmunizado) - FH204-A-25A-30mA - marca ABB."/>
    <x v="77"/>
  </r>
  <r>
    <n v="5"/>
    <s v="2CDS252001R0164"/>
    <s v="ITM Riel-Din 2x16A - S202-C-16A - 10kA@400Vac-IEC60947-2 - marca ABB."/>
    <x v="9"/>
  </r>
  <r>
    <n v="5"/>
    <s v="2CSF202102R1250"/>
    <s v="Interruptor Diferencial 2x25A - 30mA - clase A (inmunizado) - FH202-A-25A-30mA - marca ABB."/>
    <x v="10"/>
  </r>
  <r>
    <s v=""/>
    <s v=""/>
    <s v=""/>
    <x v="0"/>
  </r>
  <r>
    <s v=""/>
    <s v=""/>
    <s v=""/>
    <x v="0"/>
  </r>
  <r>
    <s v=""/>
    <s v=""/>
    <s v=""/>
    <x v="0"/>
  </r>
  <r>
    <s v=""/>
    <s v=""/>
    <s v=""/>
    <x v="0"/>
  </r>
  <r>
    <n v="1"/>
    <s v="2CDS252001R0204"/>
    <s v="ITM Riel-Din 2x20A - S202-C-20A - 10kA@400Vac-IEC60947-2 - marca ABB."/>
    <x v="20"/>
  </r>
  <r>
    <n v="2"/>
    <s v="2CDS252001R0164"/>
    <s v="ITM Riel-Din 2x16A - S202-C-16A - 10kA@400Vac-IEC60947-2 - marca ABB."/>
    <x v="9"/>
  </r>
  <r>
    <n v="3"/>
    <s v="2CSF202102R1250"/>
    <s v="Interruptor Diferencial 2x25A - 30mA - clase A (inmunizado) - FH202-A-25A-30mA - marca ABB."/>
    <x v="10"/>
  </r>
  <r>
    <s v=""/>
    <s v=""/>
    <s v=""/>
    <x v="0"/>
  </r>
  <r>
    <s v=""/>
    <s v=""/>
    <s v=""/>
    <x v="0"/>
  </r>
  <r>
    <s v=""/>
    <s v=""/>
    <s v=""/>
    <x v="0"/>
  </r>
  <r>
    <s v=""/>
    <s v=""/>
    <s v=""/>
    <x v="0"/>
  </r>
  <r>
    <n v="1"/>
    <s v="2CDS253001R0324"/>
    <s v="ITM Riel-Din 3x32A - S203-C-32A - 10kA@400Vac-IEC60947-2 - marca ABB."/>
    <x v="37"/>
  </r>
  <r>
    <n v="1"/>
    <s v="2CTB803873R2400"/>
    <s v="Protector de sobretensiones (Tipo 2) - OVR-T2_3N_40-275_P_3P -  Uc=275V, Up=1.25kV - I_descarga=40kA - marca ABB."/>
    <x v="39"/>
  </r>
  <r>
    <s v=""/>
    <s v=""/>
    <s v=""/>
    <x v="0"/>
  </r>
  <r>
    <s v=""/>
    <s v=""/>
    <s v=""/>
    <x v="0"/>
  </r>
  <r>
    <n v="2"/>
    <s v="1SBL137001R1310"/>
    <s v="Contactor 3x09A(AC-3) / 3x25A(AC-1) +1NA - AF09-30-10-13 - bobina 100-250Vac/dc - marca ABB."/>
    <x v="11"/>
  </r>
  <r>
    <n v="2"/>
    <s v="1SBN010110R1010"/>
    <s v="Contacto auxiliar frontal 2NA+2NC para contactor AF09..AF16-30-10, frontal - Modelo CA4-22M - marca ABB."/>
    <x v="12"/>
  </r>
  <r>
    <s v=""/>
    <s v=""/>
    <s v=""/>
    <x v="0"/>
  </r>
  <r>
    <s v=""/>
    <s v=""/>
    <s v=""/>
    <x v="0"/>
  </r>
  <r>
    <s v=""/>
    <s v=""/>
    <s v=""/>
    <x v="0"/>
  </r>
  <r>
    <s v=""/>
    <s v=""/>
    <s v=""/>
    <x v="0"/>
  </r>
  <r>
    <s v=""/>
    <s v=""/>
    <s v=""/>
    <x v="0"/>
  </r>
  <r>
    <s v=""/>
    <s v=""/>
    <s v=""/>
    <x v="0"/>
  </r>
  <r>
    <n v="6"/>
    <s v="1SBL137001R1310"/>
    <s v="Contactor 3x09A(AC-3) / 3x25A(AC-1) +1NA - AF09-30-10-13 - bobina 100-250Vac/dc - marca ABB."/>
    <x v="11"/>
  </r>
  <r>
    <n v="6"/>
    <s v="1SBN010110R1010"/>
    <s v="Contacto auxiliar frontal 2NA+2NC para contactor AF09..AF16-30-10, frontal - Modelo CA4-22M - marca ABB."/>
    <x v="1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m/>
    <m/>
    <m/>
    <x v="0"/>
  </r>
  <r>
    <s v=""/>
    <s v=""/>
    <s v=""/>
    <x v="0"/>
  </r>
  <r>
    <s v=""/>
    <s v=""/>
    <s v=""/>
    <x v="0"/>
  </r>
  <r>
    <n v="2"/>
    <s v="1SFA619210R1026"/>
    <s v="Selector 3 posiciones mantenidos - 1-0-2 / M-0-A - maneta corta, contactos 2NA - C3SS1-10B-20 - compacto - marca ABB."/>
    <x v="15"/>
  </r>
  <r>
    <s v=""/>
    <s v=""/>
    <s v=""/>
    <x v="0"/>
  </r>
  <r>
    <s v=""/>
    <s v=""/>
    <s v=""/>
    <x v="0"/>
  </r>
  <r>
    <s v=""/>
    <s v=""/>
    <s v=""/>
    <x v="0"/>
  </r>
  <r>
    <s v=""/>
    <s v=""/>
    <s v=""/>
    <x v="0"/>
  </r>
  <r>
    <s v=""/>
    <s v=""/>
    <s v=""/>
    <x v="0"/>
  </r>
  <r>
    <n v="1"/>
    <s v="D2PR4B+D2PA6"/>
    <s v="Rele auxiliar enchufable +4NA/NC (D2PR4B + base D2PA6), 220Vac - marca EATON."/>
    <x v="4"/>
  </r>
  <r>
    <s v=""/>
    <s v=""/>
    <s v=""/>
    <x v="0"/>
  </r>
  <r>
    <s v=""/>
    <s v=""/>
    <s v=""/>
    <x v="0"/>
  </r>
  <r>
    <s v=""/>
    <s v=""/>
    <s v=""/>
    <x v="0"/>
  </r>
  <r>
    <s v=""/>
    <s v=""/>
    <s v=""/>
    <x v="0"/>
  </r>
  <r>
    <s v=""/>
    <s v=""/>
    <s v=""/>
    <x v="0"/>
  </r>
  <r>
    <s v=""/>
    <s v=""/>
    <s v=""/>
    <x v="0"/>
  </r>
  <r>
    <s v=""/>
    <s v=""/>
    <s v=""/>
    <x v="0"/>
  </r>
  <r>
    <s v=""/>
    <s v=""/>
    <s v=""/>
    <x v="0"/>
  </r>
  <r>
    <m/>
    <m/>
    <m/>
    <x v="1"/>
  </r>
  <r>
    <n v="1"/>
    <s v="0400RTF82S"/>
    <s v="FOTOCELDA 1800VA 220V N/C (NF) 10 LUX STIELECTRONICA"/>
    <x v="16"/>
  </r>
  <r>
    <n v="1"/>
    <s v="0400TPLS476"/>
    <s v="BASE C/SOPORTE P/CONTROL FOTOCELDA P/ADOSAR STIELECTRONICA"/>
    <x v="17"/>
  </r>
  <r>
    <m/>
    <m/>
    <m/>
    <x v="1"/>
  </r>
  <r>
    <m/>
    <m/>
    <m/>
    <x v="0"/>
  </r>
  <r>
    <s v=""/>
    <s v=""/>
    <s v=""/>
    <x v="0"/>
  </r>
  <r>
    <s v=""/>
    <s v=""/>
    <s v=""/>
    <x v="0"/>
  </r>
  <r>
    <n v="8"/>
    <s v="1SFA611131P1108"/>
    <s v="Pulsador doble Start+Stop - color Verde+Rojo - contactos 1NA+1NC - MPD2-11C-K - línea modular - marca ABB."/>
    <x v="25"/>
  </r>
  <r>
    <s v=""/>
    <s v=""/>
    <s v=""/>
    <x v="0"/>
  </r>
  <r>
    <s v=""/>
    <s v=""/>
    <s v=""/>
    <x v="0"/>
  </r>
  <r>
    <s v=""/>
    <s v=""/>
    <s v=""/>
    <x v="0"/>
  </r>
  <r>
    <s v=""/>
    <s v=""/>
    <s v=""/>
    <x v="0"/>
  </r>
  <r>
    <s v=""/>
    <s v=""/>
    <s v=""/>
    <x v="0"/>
  </r>
  <r>
    <s v=""/>
    <s v=""/>
    <s v=""/>
    <x v="0"/>
  </r>
  <r>
    <s v=""/>
    <s v=""/>
    <s v=""/>
    <x v="0"/>
  </r>
  <r>
    <s v=""/>
    <s v=""/>
    <s v=""/>
    <x v="0"/>
  </r>
  <r>
    <s v=""/>
    <s v=""/>
    <s v=""/>
    <x v="0"/>
  </r>
  <r>
    <s v=""/>
    <s v=""/>
    <s v=""/>
    <x v="0"/>
  </r>
  <r>
    <m/>
    <m/>
    <m/>
    <x v="1"/>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1R1"/>
    <s v="ITM Caja Moldeada 3x25A (reg.[0.7-1.0] In)  - XT1B160-25A-3P-TMD - 25kA@230Vac,18kA@415Vac, 18kA@250Vdc - marca ABB."/>
    <x v="40"/>
  </r>
  <r>
    <s v=""/>
    <s v=""/>
    <s v=""/>
    <x v="0"/>
  </r>
  <r>
    <s v=""/>
    <s v=""/>
    <s v=""/>
    <x v="0"/>
  </r>
  <r>
    <n v="2"/>
    <s v="2CDS253001R0164"/>
    <s v="ITM Riel-Din 3x16A - S203-C-16A - 10kA@400Vac-IEC60947-2 - marca ABB."/>
    <x v="38"/>
  </r>
  <r>
    <s v=""/>
    <s v=""/>
    <s v=""/>
    <x v="0"/>
  </r>
  <r>
    <s v=""/>
    <s v=""/>
    <s v=""/>
    <x v="0"/>
  </r>
  <r>
    <n v="2"/>
    <s v="2CDS253001R0164"/>
    <s v="ITM Riel-Din 3x16A - S203-C-16A - 10kA@400Vac-IEC60947-2 - marca ABB."/>
    <x v="38"/>
  </r>
  <r>
    <n v="2"/>
    <s v="2CSF204102R1250"/>
    <s v="Interruptor Diferencial 4x25A - 30mA - clase A (inmunizado) - FH204-A-25A-30mA - marca ABB."/>
    <x v="77"/>
  </r>
  <r>
    <n v="3"/>
    <s v="2CDS252001R0164"/>
    <s v="ITM Riel-Din 2x16A - S202-C-16A - 10kA@400Vac-IEC60947-2 - marca ABB."/>
    <x v="9"/>
  </r>
  <r>
    <n v="3"/>
    <s v="2CSF202102R1250"/>
    <s v="Interruptor Diferencial 2x25A - 30mA - clase A (inmunizado) - FH202-A-25A-30mA - marca ABB."/>
    <x v="10"/>
  </r>
  <r>
    <s v=""/>
    <s v=""/>
    <s v=""/>
    <x v="0"/>
  </r>
  <r>
    <s v=""/>
    <s v=""/>
    <s v=""/>
    <x v="0"/>
  </r>
  <r>
    <s v=""/>
    <s v=""/>
    <s v=""/>
    <x v="0"/>
  </r>
  <r>
    <s v=""/>
    <s v=""/>
    <s v=""/>
    <x v="0"/>
  </r>
  <r>
    <n v="7"/>
    <s v="2CDS253001R0164"/>
    <s v="ITM Riel-Din 3x16A - S203-C-16A - 10kA@400Vac-IEC60947-2 - marca ABB."/>
    <x v="38"/>
  </r>
  <r>
    <n v="2"/>
    <s v="2CDS252001R0164"/>
    <s v="ITM Riel-Din 2x16A - S202-C-16A - 10kA@400Vac-IEC60947-2 - marca ABB."/>
    <x v="9"/>
  </r>
  <r>
    <n v="2"/>
    <s v="2CSF202102R1250"/>
    <s v="Interruptor Diferencial 2x25A - 30mA - clase A (inmunizado) - FH202-A-25A-30mA - marca ABB."/>
    <x v="10"/>
  </r>
  <r>
    <s v=""/>
    <s v=""/>
    <s v=""/>
    <x v="0"/>
  </r>
  <r>
    <s v=""/>
    <s v=""/>
    <s v=""/>
    <x v="0"/>
  </r>
  <r>
    <s v=""/>
    <s v=""/>
    <s v=""/>
    <x v="0"/>
  </r>
  <r>
    <s v=""/>
    <s v=""/>
    <s v=""/>
    <x v="0"/>
  </r>
  <r>
    <n v="1"/>
    <s v="2CDS253001R0204"/>
    <s v="ITM Riel-Din 3x20A - S203-C-20A - 10kA@400Vac-IEC60947-2 - marca ABB."/>
    <x v="45"/>
  </r>
  <r>
    <n v="1"/>
    <s v="2CTB803873R2400"/>
    <s v="Protector de sobretensiones (Tipo 2) - OVR-T2_3N_40-275_P_3P -  Uc=275V, Up=1.25kV - I_descarga=40kA - marca ABB."/>
    <x v="39"/>
  </r>
  <r>
    <s v=""/>
    <s v=""/>
    <s v=""/>
    <x v="0"/>
  </r>
  <r>
    <s v=""/>
    <s v=""/>
    <s v=""/>
    <x v="0"/>
  </r>
  <r>
    <n v="2"/>
    <s v="1SBL137001R1310"/>
    <s v="Contactor 3x09A(AC-3) / 3x25A(AC-1) +1NA - AF09-30-10-13 - bobina 100-250Vac/dc - marca ABB."/>
    <x v="11"/>
  </r>
  <r>
    <n v="2"/>
    <s v="1SBN010110R1010"/>
    <s v="Contacto auxiliar frontal 2NA+2NC para contactor AF09..AF16-30-10, frontal - Modelo CA4-22M - marca ABB."/>
    <x v="1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n v="1"/>
    <s v="1SDA067155R1"/>
    <s v="FC-CuAl_XT1 - Terminales + Cubrebornes - cables de cobre/aluminio hasta 1x95mm2 - 3 terminales (externos)"/>
    <x v="66"/>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69556R1"/>
    <s v="ITM Caja Moldeada 2x40A - A1N/P125-40A-2P-TMF - 50kA@230Vac, 36kA@400Vac, 10kA@125Vdc - marca ABB."/>
    <x v="46"/>
  </r>
  <r>
    <s v=""/>
    <s v=""/>
    <s v=""/>
    <x v="0"/>
  </r>
  <r>
    <s v=""/>
    <s v=""/>
    <s v=""/>
    <x v="0"/>
  </r>
  <r>
    <s v=""/>
    <s v=""/>
    <s v=""/>
    <x v="0"/>
  </r>
  <r>
    <s v=""/>
    <s v=""/>
    <s v=""/>
    <x v="0"/>
  </r>
  <r>
    <s v=""/>
    <s v=""/>
    <s v=""/>
    <x v="0"/>
  </r>
  <r>
    <s v=""/>
    <s v=""/>
    <s v=""/>
    <x v="0"/>
  </r>
  <r>
    <n v="2"/>
    <s v="2CDS252001R0404"/>
    <s v="ITM Riel-Din 2x40A - S202-C-40A - 10kA@400Vac-IEC60947-2 - marca ABB."/>
    <x v="47"/>
  </r>
  <r>
    <s v=""/>
    <s v=""/>
    <s v=""/>
    <x v="0"/>
  </r>
  <r>
    <s v=""/>
    <s v=""/>
    <s v=""/>
    <x v="0"/>
  </r>
  <r>
    <s v=""/>
    <s v=""/>
    <s v=""/>
    <x v="0"/>
  </r>
  <r>
    <n v="1"/>
    <s v="2CDS252001R0404"/>
    <s v="ITM Riel-Din 2x40A - S202-C-40A - 10kA@400Vac-IEC60947-2 - marca ABB."/>
    <x v="47"/>
  </r>
  <r>
    <n v="2"/>
    <s v="2CTB803871R1200"/>
    <s v="Protector de sobretensiones (Tipo 2) - OVR-T2_40-440_P-QS_1P - Un=230/400V, Uc=440V, Up=1.8kV - I_descarga=40kA - marca ABB."/>
    <x v="18"/>
  </r>
  <r>
    <s v=""/>
    <s v=""/>
    <s v=""/>
    <x v="0"/>
  </r>
  <r>
    <s v=""/>
    <s v=""/>
    <s v=""/>
    <x v="0"/>
  </r>
  <r>
    <s v=""/>
    <s v=""/>
    <s v=""/>
    <x v="0"/>
  </r>
  <r>
    <s v=""/>
    <s v=""/>
    <s v=""/>
    <x v="0"/>
  </r>
  <r>
    <s v=""/>
    <s v=""/>
    <s v=""/>
    <x v="0"/>
  </r>
  <r>
    <s v=""/>
    <s v=""/>
    <s v=""/>
    <x v="0"/>
  </r>
  <r>
    <s v=""/>
    <s v=""/>
    <s v=""/>
    <x v="0"/>
  </r>
  <r>
    <s v=""/>
    <s v=""/>
    <s v=""/>
    <x v="0"/>
  </r>
  <r>
    <n v="2"/>
    <s v="2CDS252001R0404"/>
    <s v="ITM Riel-Din 2x40A - S202-C-40A - 10kA@400Vac-IEC60947-2 - marca ABB."/>
    <x v="47"/>
  </r>
  <r>
    <s v=""/>
    <s v=""/>
    <s v=""/>
    <x v="0"/>
  </r>
  <r>
    <s v=""/>
    <s v=""/>
    <s v=""/>
    <x v="0"/>
  </r>
  <r>
    <s v=""/>
    <s v=""/>
    <s v=""/>
    <x v="0"/>
  </r>
  <r>
    <n v="1"/>
    <s v="2CDS252001R0324"/>
    <s v="ITM Riel-Din 2x32A - S202-C-32A - 10kA@400Vac-IEC60947-2 - marca ABB."/>
    <x v="75"/>
  </r>
  <r>
    <n v="1"/>
    <s v="2CSF202401R1400"/>
    <s v="Interruptor Diferencial 2x40A - 30mA - clase A-APR (alta inmunización) - F202-A APR-40A-30mA  - marca ABB."/>
    <x v="78"/>
  </r>
  <r>
    <n v="4"/>
    <s v="2CDS252001R0164"/>
    <s v="ITM Riel-Din 2x16A - S202-C-16A - 10kA@400Vac-IEC60947-2 - marca ABB."/>
    <x v="9"/>
  </r>
  <r>
    <n v="4"/>
    <s v="2CSF202401R1250"/>
    <s v="Interruptor Diferencial 2x25A - 30mA - clase A-APR (alta inmunización) - F202-A APR-25A-30mA  - marca ABB."/>
    <x v="19"/>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67020R1"/>
    <s v="ITM Caja Moldeada 3x160A (reg.[0.7-1.0] In) - XT2N160-160A-3P-TMA - 65kA@230Vac, 36kA@415Vac - marca ABB."/>
    <x v="21"/>
  </r>
  <r>
    <n v="1"/>
    <s v="1SDA067167R1"/>
    <s v="FC-CuAl_XT2 - Terminales + Cubrebornes - cables de cobre/aluminio hasta 1x185mm2 - 3 terminales (externos)"/>
    <x v="22"/>
  </r>
  <r>
    <s v=""/>
    <s v=""/>
    <s v=""/>
    <x v="0"/>
  </r>
  <r>
    <s v=""/>
    <s v=""/>
    <s v=""/>
    <x v="0"/>
  </r>
  <r>
    <s v=""/>
    <s v=""/>
    <s v=""/>
    <x v="0"/>
  </r>
  <r>
    <s v=""/>
    <s v=""/>
    <s v=""/>
    <x v="0"/>
  </r>
  <r>
    <s v=""/>
    <s v=""/>
    <s v=""/>
    <x v="0"/>
  </r>
  <r>
    <s v=""/>
    <s v=""/>
    <s v=""/>
    <x v="0"/>
  </r>
  <r>
    <s v=""/>
    <s v=""/>
    <s v=""/>
    <x v="0"/>
  </r>
  <r>
    <n v="1"/>
    <s v="1SDA066466R1"/>
    <s v="Mando motor con energía acumulada (MOE) - para XT2/XT4 - 220-250V AC/DC - (YM+YO+YC) - marca ABB."/>
    <x v="23"/>
  </r>
  <r>
    <n v="1"/>
    <s v="1SDA066433R1"/>
    <s v="2(Q) contacto conmutado de estado (NA/NC) + 1(SY) contacto por disparo de interruptor - XT1..XT4 - versión cableada - marca ABB."/>
    <x v="24"/>
  </r>
  <r>
    <n v="1"/>
    <s v="1SFA619403R5231"/>
    <s v="Portalámpara + lampara tipo LED - color Rojo - alimentacion: 220-230Vac, d=22mm. - CL2-523R - línea compacta - marca ABB."/>
    <x v="2"/>
  </r>
  <r>
    <n v="1"/>
    <s v="1SFA619403R5232"/>
    <s v="Portalámpara + lampara tipo LED - color Verde - alimentacion: 220-230Vac, d=22mm. - CL2-523G - línea compacta - marca ABB."/>
    <x v="3"/>
  </r>
  <r>
    <n v="1"/>
    <s v="1SFA611131P1108"/>
    <s v="Pulsador doble Start+Stop - color Verde+Rojo - contactos 1NA+1NC - MPD2-11C-K - línea modular - marca ABB."/>
    <x v="25"/>
  </r>
  <r>
    <n v="1"/>
    <s v="1SFA619210R1026"/>
    <s v="Selector 3 posiciones mantenidos - 1-0-2 / M-0-A - maneta corta, contactos 2NA - C3SS1-10B-20 - compacto - marca ABB."/>
    <x v="15"/>
  </r>
  <r>
    <n v="2"/>
    <s v="D2PR4B+D2PA6"/>
    <s v="Rele auxiliar enchufable +4NA/NC (D2PR4B + base D2PA6), 220Vac - marca EATON."/>
    <x v="4"/>
  </r>
  <r>
    <s v=""/>
    <s v=""/>
    <s v=""/>
    <x v="0"/>
  </r>
  <r>
    <s v=""/>
    <s v=""/>
    <s v=""/>
    <x v="0"/>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1"/>
    <s v="1SDA067020R1"/>
    <s v="ITM Caja Moldeada 3x160A (reg.[0.7-1.0] In) - XT2N160-160A-3P-TMA - 65kA@230Vac, 36kA@415Vac - marca ABB."/>
    <x v="21"/>
  </r>
  <r>
    <n v="1"/>
    <s v="1SDA067167R1"/>
    <s v="FC-CuAl_XT2 - Terminales + Cubrebornes - cables de cobre/aluminio hasta 1x185mm2 - 3 terminales (externos)"/>
    <x v="22"/>
  </r>
  <r>
    <n v="1"/>
    <s v="1SDA067014R1"/>
    <s v="ITM Caja Moldeada 3x40A (reg.[0.7-1.0] In) - XT2N160-40A-3P-TMA - 65kA@230Vac, 36kA@415Vac - marca ABB."/>
    <x v="44"/>
  </r>
  <r>
    <n v="2"/>
    <s v="1SDA067010R1"/>
    <s v="ITM Caja Moldeada 3x16A (reg.[0.7-1.0] In) - XT2N160-16A-3P-TMD - 65kA@230Vac, 36kA@415Vac - marca ABB."/>
    <x v="36"/>
  </r>
  <r>
    <s v=""/>
    <s v=""/>
    <s v=""/>
    <x v="0"/>
  </r>
  <r>
    <s v=""/>
    <s v=""/>
    <s v=""/>
    <x v="0"/>
  </r>
  <r>
    <s v=""/>
    <s v=""/>
    <s v=""/>
    <x v="0"/>
  </r>
  <r>
    <n v="1"/>
    <s v="1SDA067013R1"/>
    <s v="ITM Caja Moldeada 3x32A (reg.[0.7-1.0] In) - XT2N160-32A-3P-TMD - 65kA@230Vac, 36kA@415Vac - marca ABB."/>
    <x v="31"/>
  </r>
  <r>
    <n v="1"/>
    <s v="2CJC605480D0000"/>
    <s v="Supresor contra sobretensiones (Tipo 1, UL 1449) - OVRHT3C504803D - I_max=50kA por fase, Un=480V,  MCOV=640V (L-G), VPR=2.5kV (L-G) - marca ABB."/>
    <x v="32"/>
  </r>
  <r>
    <s v=""/>
    <s v=""/>
    <s v=""/>
    <x v="0"/>
  </r>
  <r>
    <s v=""/>
    <s v=""/>
    <s v=""/>
    <x v="0"/>
  </r>
  <r>
    <s v=""/>
    <s v=""/>
    <s v=""/>
    <x v="0"/>
  </r>
  <r>
    <s v=""/>
    <s v=""/>
    <s v=""/>
    <x v="0"/>
  </r>
  <r>
    <s v=""/>
    <s v=""/>
    <s v=""/>
    <x v="0"/>
  </r>
  <r>
    <s v=""/>
    <s v=""/>
    <s v=""/>
    <x v="0"/>
  </r>
  <r>
    <n v="1"/>
    <s v="Placa lamicoid p/autosop."/>
    <s v="Placa lamicoid rotulación de 3mm de espesor, fondo negro y letras blancas."/>
    <x v="33"/>
  </r>
  <r>
    <s v=""/>
    <s v=""/>
    <s v=""/>
    <x v="0"/>
  </r>
  <r>
    <s v=""/>
    <s v=""/>
    <s v=""/>
    <x v="0"/>
  </r>
  <r>
    <n v="1"/>
    <s v="EMBAL_AUTOS_2100x800x800mm"/>
    <s v="Embalaje especial completamente cerrado para tablero autosoportado de 2100x800x800mm"/>
    <x v="3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67014R1"/>
    <s v="ITM Caja Moldeada 3x40A (reg.[0.7-1.0] In) - XT2N160-40A-3P-TMA - 65kA@230Vac, 36kA@415Vac - marca ABB."/>
    <x v="44"/>
  </r>
  <r>
    <n v="1"/>
    <s v="1SDA067167R1"/>
    <s v="FC-CuAl_XT2 - Terminales + Cubrebornes - cables de cobre/aluminio hasta 1x185mm2 - 3 terminales (externos)"/>
    <x v="22"/>
  </r>
  <r>
    <s v=""/>
    <s v=""/>
    <s v=""/>
    <x v="0"/>
  </r>
  <r>
    <s v=""/>
    <s v=""/>
    <s v=""/>
    <x v="0"/>
  </r>
  <r>
    <s v=""/>
    <s v=""/>
    <s v=""/>
    <x v="0"/>
  </r>
  <r>
    <s v=""/>
    <s v=""/>
    <s v=""/>
    <x v="0"/>
  </r>
  <r>
    <s v=""/>
    <s v=""/>
    <s v=""/>
    <x v="0"/>
  </r>
  <r>
    <s v=""/>
    <s v=""/>
    <s v=""/>
    <x v="0"/>
  </r>
  <r>
    <s v=""/>
    <s v=""/>
    <s v=""/>
    <x v="0"/>
  </r>
  <r>
    <n v="1"/>
    <s v="1SDA066466R1"/>
    <s v="Mando motor con energía acumulada (MOE) - para XT2/XT4 - 220-250V AC/DC - (YM+YO+YC) - marca ABB."/>
    <x v="23"/>
  </r>
  <r>
    <n v="1"/>
    <s v="1SDA066433R1"/>
    <s v="2(Q) contacto conmutado de estado (NA/NC) + 1(SY) contacto por disparo de interruptor - XT1..XT4 - versión cableada - marca ABB."/>
    <x v="24"/>
  </r>
  <r>
    <n v="1"/>
    <s v="1SFA619403R5231"/>
    <s v="Portalámpara + lampara tipo LED - color Rojo - alimentacion: 220-230Vac, d=22mm. - CL2-523R - línea compacta - marca ABB."/>
    <x v="2"/>
  </r>
  <r>
    <n v="1"/>
    <s v="1SFA619403R5232"/>
    <s v="Portalámpara + lampara tipo LED - color Verde - alimentacion: 220-230Vac, d=22mm. - CL2-523G - línea compacta - marca ABB."/>
    <x v="3"/>
  </r>
  <r>
    <n v="1"/>
    <s v="1SFA611131P1108"/>
    <s v="Pulsador doble Start+Stop - color Verde+Rojo - contactos 1NA+1NC - MPD2-11C-K - línea modular - marca ABB."/>
    <x v="25"/>
  </r>
  <r>
    <n v="1"/>
    <s v="1SFA619210R1026"/>
    <s v="Selector 3 posiciones mantenidos - 1-0-2 / M-0-A - maneta corta, contactos 2NA - C3SS1-10B-20 - compacto - marca ABB."/>
    <x v="15"/>
  </r>
  <r>
    <n v="2"/>
    <s v="D2PR4B+D2PA6"/>
    <s v="Rele auxiliar enchufable +4NA/NC (D2PR4B + base D2PA6), 220Vac - marca EATON."/>
    <x v="4"/>
  </r>
  <r>
    <s v=""/>
    <s v=""/>
    <s v=""/>
    <x v="0"/>
  </r>
  <r>
    <s v=""/>
    <s v=""/>
    <s v=""/>
    <x v="0"/>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1"/>
    <s v="1SDA067014R1"/>
    <s v="ITM Caja Moldeada 3x40A (reg.[0.7-1.0] In) - XT2N160-40A-3P-TMA - 65kA@230Vac, 36kA@415Vac - marca ABB."/>
    <x v="44"/>
  </r>
  <r>
    <n v="1"/>
    <s v="1SDA067011R1"/>
    <s v="ITM Caja Moldeada 3x20A (reg.[0.7-1.0] In) - XT2N160-20A-3P-TMD - 65kA@230Vac, 36kA@415Vac - marca ABB."/>
    <x v="35"/>
  </r>
  <r>
    <n v="1"/>
    <s v="1SDA067010R1"/>
    <s v="ITM Caja Moldeada 3x16A (reg.[0.7-1.0] In) - XT2N160-16A-3P-TMD - 65kA@230Vac, 36kA@415Vac - marca ABB."/>
    <x v="36"/>
  </r>
  <r>
    <s v=""/>
    <s v=""/>
    <s v=""/>
    <x v="0"/>
  </r>
  <r>
    <s v=""/>
    <s v=""/>
    <s v=""/>
    <x v="0"/>
  </r>
  <r>
    <s v=""/>
    <s v=""/>
    <s v=""/>
    <x v="0"/>
  </r>
  <r>
    <s v=""/>
    <s v=""/>
    <s v=""/>
    <x v="0"/>
  </r>
  <r>
    <n v="1"/>
    <s v="1SDA067013R1"/>
    <s v="ITM Caja Moldeada 3x32A (reg.[0.7-1.0] In) - XT2N160-32A-3P-TMD - 65kA@230Vac, 36kA@415Vac - marca ABB."/>
    <x v="31"/>
  </r>
  <r>
    <n v="1"/>
    <s v="2CJC605480D0000"/>
    <s v="Supresor contra sobretensiones (Tipo 1, UL 1449) - OVRHT3C504803D - I_max=50kA por fase, Un=480V,  MCOV=640V (L-G), VPR=2.5kV (L-G) - marca ABB."/>
    <x v="3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9R1"/>
    <s v="ITM Caja Moldeada 3x160A (reg.[0.7-1.0] In) - XT1B160-160A-3P-TMD - 25kA@230Vac, 18kA@415Vac, 18kA@250Vdc - marca ABB."/>
    <x v="79"/>
  </r>
  <r>
    <n v="1"/>
    <s v="1SDA067155R1"/>
    <s v="FC-CuAl_XT1 - Terminales + Cubrebornes - cables de cobre/aluminio hasta 1x95mm2 - 3 terminales (externos)"/>
    <x v="66"/>
  </r>
  <r>
    <s v=""/>
    <s v=""/>
    <s v=""/>
    <x v="0"/>
  </r>
  <r>
    <s v=""/>
    <s v=""/>
    <s v=""/>
    <x v="0"/>
  </r>
  <r>
    <n v="1"/>
    <s v="1SDA066807R1"/>
    <s v="ITM Caja Moldeada 3x100A (reg.[0.7-1.0] In) - XT1B160-100A-3P-TMD - 25kA@230Vac, 18kA@415Vac, 18kA@250Vdc - marca ABB."/>
    <x v="80"/>
  </r>
  <r>
    <n v="1"/>
    <s v="1SDA066802R1"/>
    <s v="ITM Caja Moldeada 3x32A (reg.[0.7-1.0] In) - XT1B160-32A-3P-TMD - 25kA@230Vac, 18kA@415Vac, 18kA@250Vdc - marca ABB."/>
    <x v="64"/>
  </r>
  <r>
    <n v="3"/>
    <s v="2CDS252001R0324"/>
    <s v="ITM Riel-Din 2x32A - S202-C-32A - 10kA@400Vac-IEC60947-2 - marca ABB."/>
    <x v="75"/>
  </r>
  <r>
    <n v="3"/>
    <s v="2CDS252001R0204"/>
    <s v="ITM Riel-Din 2x20A - S202-C-20A - 10kA@400Vac-IEC60947-2 - marca ABB."/>
    <x v="20"/>
  </r>
  <r>
    <n v="3"/>
    <s v="2CDS252001R0164"/>
    <s v="ITM Riel-Din 2x16A - S202-C-16A - 10kA@400Vac-IEC60947-2 - marca ABB."/>
    <x v="9"/>
  </r>
  <r>
    <s v=""/>
    <s v=""/>
    <s v=""/>
    <x v="0"/>
  </r>
  <r>
    <s v=""/>
    <s v=""/>
    <s v=""/>
    <x v="0"/>
  </r>
  <r>
    <s v=""/>
    <s v=""/>
    <s v=""/>
    <x v="0"/>
  </r>
  <r>
    <n v="1"/>
    <s v="2CDS253001R0324"/>
    <s v="ITM Riel-Din 3x32A - S203-C-32A - 10kA@400Vac-IEC60947-2 - marca ABB."/>
    <x v="37"/>
  </r>
  <r>
    <n v="1"/>
    <s v="2CTB803873R2400"/>
    <s v="Protector de sobretensiones (Tipo 2) - OVR-T2_3N_40-275_P_3P -  Uc=275V, Up=1.25kV - I_descarga=40kA - marca ABB."/>
    <x v="39"/>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3R1"/>
    <s v="ITM Caja Moldeada 3x40A (reg.[0.7-1.0] In) - XT1B160-40A-3P-TMD - 25kA@230Vac, 18kA@415Vac, 18kA@250Vdc - marca ABB."/>
    <x v="6"/>
  </r>
  <r>
    <s v=""/>
    <s v=""/>
    <s v=""/>
    <x v="0"/>
  </r>
  <r>
    <s v=""/>
    <s v=""/>
    <s v=""/>
    <x v="0"/>
  </r>
  <r>
    <n v="2"/>
    <s v="1SDA066800R1"/>
    <s v="ITM Caja Moldeada 3x20A (reg.[0.7-1.0] In) - XT1B160-20A-3P-TMD - 25kA@230Vac, 18kA@415Vac, 18kA@250Vdc - marca ABB."/>
    <x v="7"/>
  </r>
  <r>
    <n v="3"/>
    <s v="2CDS252001R0204"/>
    <s v="ITM Riel-Din 2x20A - S202-C-20A - 10kA@400Vac-IEC60947-2 - marca ABB."/>
    <x v="20"/>
  </r>
  <r>
    <s v=""/>
    <s v=""/>
    <s v=""/>
    <x v="0"/>
  </r>
  <r>
    <s v=""/>
    <s v=""/>
    <s v=""/>
    <x v="0"/>
  </r>
  <r>
    <s v=""/>
    <s v=""/>
    <s v=""/>
    <x v="0"/>
  </r>
  <r>
    <n v="1"/>
    <s v="2CDS253001R0324"/>
    <s v="ITM Riel-Din 3x32A - S203-C-32A - 10kA@400Vac-IEC60947-2 - marca ABB."/>
    <x v="37"/>
  </r>
  <r>
    <n v="1"/>
    <s v="2CTB803873R2400"/>
    <s v="Protector de sobretensiones (Tipo 2) - OVR-T2_3N_40-275_P_3P -  Uc=275V, Up=1.25kV - I_descarga=40kA - marca ABB."/>
    <x v="39"/>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7R1"/>
    <s v="ITM Caja Moldeada 3x100A (reg.[0.7-1.0] In) - XT1B160-100A-3P-TMD - 25kA@230Vac, 18kA@415Vac, 18kA@250Vdc - marca ABB."/>
    <x v="80"/>
  </r>
  <r>
    <n v="1"/>
    <s v="1SDA067155R1"/>
    <s v="FC-CuAl_XT1 - Terminales + Cubrebornes - cables de cobre/aluminio hasta 1x95mm2 - 3 terminales (externos)"/>
    <x v="66"/>
  </r>
  <r>
    <s v=""/>
    <s v=""/>
    <s v=""/>
    <x v="0"/>
  </r>
  <r>
    <s v=""/>
    <s v=""/>
    <s v=""/>
    <x v="0"/>
  </r>
  <r>
    <n v="2"/>
    <s v="2CDS253001R0504"/>
    <s v="ITM Riel-Din 3x50A - S203-C-50A - 10kA@400Vac-IEC60947-2 - marca ABB."/>
    <x v="65"/>
  </r>
  <r>
    <s v=""/>
    <s v=""/>
    <s v=""/>
    <x v="0"/>
  </r>
  <r>
    <s v=""/>
    <s v=""/>
    <s v=""/>
    <x v="0"/>
  </r>
  <r>
    <n v="5"/>
    <s v="2CDS253001R0164"/>
    <s v="ITM Riel-Din 3x16A - S203-C-16A - 10kA@400Vac-IEC60947-2 - marca ABB."/>
    <x v="38"/>
  </r>
  <r>
    <n v="5"/>
    <s v="2CSF204102R1250"/>
    <s v="Interruptor Diferencial 4x25A - 30mA - clase A (inmunizado) - FH204-A-25A-30mA - marca ABB."/>
    <x v="77"/>
  </r>
  <r>
    <n v="10"/>
    <s v="2CDS252001R0164"/>
    <s v="ITM Riel-Din 2x16A - S202-C-16A - 10kA@400Vac-IEC60947-2 - marca ABB."/>
    <x v="9"/>
  </r>
  <r>
    <n v="10"/>
    <s v="2CSF202102R1250"/>
    <s v="Interruptor Diferencial 2x25A - 30mA - clase A (inmunizado) - FH202-A-25A-30mA - marca ABB."/>
    <x v="10"/>
  </r>
  <r>
    <s v=""/>
    <s v=""/>
    <s v=""/>
    <x v="0"/>
  </r>
  <r>
    <s v=""/>
    <s v=""/>
    <s v=""/>
    <x v="0"/>
  </r>
  <r>
    <s v=""/>
    <s v=""/>
    <s v=""/>
    <x v="0"/>
  </r>
  <r>
    <s v=""/>
    <s v=""/>
    <s v=""/>
    <x v="0"/>
  </r>
  <r>
    <n v="16"/>
    <s v="2CDS252001R0164"/>
    <s v="ITM Riel-Din 2x16A - S202-C-16A - 10kA@400Vac-IEC60947-2 - marca ABB."/>
    <x v="9"/>
  </r>
  <r>
    <n v="16"/>
    <s v="2CSF202102R1250"/>
    <s v="Interruptor Diferencial 2x25A - 30mA - clase A (inmunizado) - FH202-A-25A-30mA - marca ABB."/>
    <x v="10"/>
  </r>
  <r>
    <s v=""/>
    <s v=""/>
    <s v=""/>
    <x v="0"/>
  </r>
  <r>
    <s v=""/>
    <s v=""/>
    <s v=""/>
    <x v="0"/>
  </r>
  <r>
    <s v=""/>
    <s v=""/>
    <s v=""/>
    <x v="0"/>
  </r>
  <r>
    <s v=""/>
    <s v=""/>
    <s v=""/>
    <x v="0"/>
  </r>
  <r>
    <n v="1"/>
    <s v="2CDS253001R0324"/>
    <s v="ITM Riel-Din 3x32A - S203-C-32A - 10kA@400Vac-IEC60947-2 - marca ABB."/>
    <x v="37"/>
  </r>
  <r>
    <n v="1"/>
    <s v="2CTB803873R2400"/>
    <s v="Protector de sobretensiones (Tipo 2) - OVR-T2_3N_40-275_P_3P -  Uc=275V, Up=1.25kV - I_descarga=40kA - marca ABB."/>
    <x v="39"/>
  </r>
  <r>
    <s v=""/>
    <s v=""/>
    <s v=""/>
    <x v="0"/>
  </r>
  <r>
    <s v=""/>
    <s v=""/>
    <s v=""/>
    <x v="0"/>
  </r>
  <r>
    <n v="2"/>
    <s v="1SBL137001R1310"/>
    <s v="Contactor 3x09A(AC-3) / 3x25A(AC-1) +1NA - AF09-30-10-13 - bobina 100-250Vac/dc - marca ABB."/>
    <x v="11"/>
  </r>
  <r>
    <n v="2"/>
    <s v="1SBN010110R1010"/>
    <s v="Contacto auxiliar frontal 2NA+2NC para contactor AF09..AF16-30-10, frontal - Modelo CA4-22M - marca ABB."/>
    <x v="12"/>
  </r>
  <r>
    <s v=""/>
    <s v=""/>
    <s v=""/>
    <x v="0"/>
  </r>
  <r>
    <s v=""/>
    <s v=""/>
    <s v=""/>
    <x v="0"/>
  </r>
  <r>
    <s v=""/>
    <s v=""/>
    <s v=""/>
    <x v="0"/>
  </r>
  <r>
    <s v=""/>
    <s v=""/>
    <s v=""/>
    <x v="0"/>
  </r>
  <r>
    <s v=""/>
    <s v=""/>
    <s v=""/>
    <x v="0"/>
  </r>
  <r>
    <s v=""/>
    <s v=""/>
    <s v=""/>
    <x v="0"/>
  </r>
  <r>
    <n v="5"/>
    <s v="1SBL137001R1310"/>
    <s v="Contactor 3x09A(AC-3) / 3x25A(AC-1) +1NA - AF09-30-10-13 - bobina 100-250Vac/dc - marca ABB."/>
    <x v="11"/>
  </r>
  <r>
    <n v="5"/>
    <s v="1SBN010110R1010"/>
    <s v="Contacto auxiliar frontal 2NA+2NC para contactor AF09..AF16-30-10, frontal - Modelo CA4-22M - marca ABB."/>
    <x v="1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m/>
    <m/>
    <m/>
    <x v="0"/>
  </r>
  <r>
    <s v=""/>
    <s v=""/>
    <s v=""/>
    <x v="0"/>
  </r>
  <r>
    <s v=""/>
    <s v=""/>
    <s v=""/>
    <x v="0"/>
  </r>
  <r>
    <n v="2"/>
    <s v="1SFA619210R1026"/>
    <s v="Selector 3 posiciones mantenidos - 1-0-2 / M-0-A - maneta corta, contactos 2NA - C3SS1-10B-20 - compacto - marca ABB."/>
    <x v="15"/>
  </r>
  <r>
    <s v=""/>
    <s v=""/>
    <s v=""/>
    <x v="0"/>
  </r>
  <r>
    <s v=""/>
    <s v=""/>
    <s v=""/>
    <x v="0"/>
  </r>
  <r>
    <s v=""/>
    <s v=""/>
    <s v=""/>
    <x v="0"/>
  </r>
  <r>
    <s v=""/>
    <s v=""/>
    <s v=""/>
    <x v="0"/>
  </r>
  <r>
    <s v=""/>
    <s v=""/>
    <s v=""/>
    <x v="0"/>
  </r>
  <r>
    <n v="1"/>
    <s v="D2PR4B+D2PA6"/>
    <s v="Rele auxiliar enchufable +4NA/NC (D2PR4B + base D2PA6), 220Vac - marca EATON."/>
    <x v="4"/>
  </r>
  <r>
    <s v=""/>
    <s v=""/>
    <s v=""/>
    <x v="0"/>
  </r>
  <r>
    <s v=""/>
    <s v=""/>
    <s v=""/>
    <x v="0"/>
  </r>
  <r>
    <s v=""/>
    <s v=""/>
    <s v=""/>
    <x v="0"/>
  </r>
  <r>
    <s v=""/>
    <s v=""/>
    <s v=""/>
    <x v="0"/>
  </r>
  <r>
    <s v=""/>
    <s v=""/>
    <s v=""/>
    <x v="0"/>
  </r>
  <r>
    <s v=""/>
    <s v=""/>
    <s v=""/>
    <x v="0"/>
  </r>
  <r>
    <s v=""/>
    <s v=""/>
    <s v=""/>
    <x v="0"/>
  </r>
  <r>
    <m/>
    <m/>
    <m/>
    <x v="1"/>
  </r>
  <r>
    <n v="1"/>
    <s v="0400RTF82S"/>
    <s v="FOTOCELDA 1800VA 220V N/C (NF) 10 LUX STIELECTRONICA"/>
    <x v="16"/>
  </r>
  <r>
    <n v="1"/>
    <s v="0400TPLS476"/>
    <s v="BASE C/SOPORTE P/CONTROL FOTOCELDA P/ADOSAR STIELECTRONICA"/>
    <x v="17"/>
  </r>
  <r>
    <m/>
    <m/>
    <m/>
    <x v="1"/>
  </r>
  <r>
    <m/>
    <m/>
    <m/>
    <x v="0"/>
  </r>
  <r>
    <s v=""/>
    <s v=""/>
    <s v=""/>
    <x v="0"/>
  </r>
  <r>
    <s v=""/>
    <s v=""/>
    <s v=""/>
    <x v="0"/>
  </r>
  <r>
    <n v="7"/>
    <s v="1SFA611131P1108"/>
    <s v="Pulsador doble Start+Stop - color Verde+Rojo - contactos 1NA+1NC - MPD2-11C-K - línea modular - marca ABB."/>
    <x v="25"/>
  </r>
  <r>
    <s v=""/>
    <s v=""/>
    <s v=""/>
    <x v="0"/>
  </r>
  <r>
    <s v=""/>
    <s v=""/>
    <s v=""/>
    <x v="0"/>
  </r>
  <r>
    <s v=""/>
    <s v=""/>
    <s v=""/>
    <x v="0"/>
  </r>
  <r>
    <s v=""/>
    <s v=""/>
    <s v=""/>
    <x v="0"/>
  </r>
  <r>
    <s v=""/>
    <s v=""/>
    <s v=""/>
    <x v="0"/>
  </r>
  <r>
    <s v=""/>
    <s v=""/>
    <s v=""/>
    <x v="0"/>
  </r>
  <r>
    <s v=""/>
    <s v=""/>
    <s v=""/>
    <x v="0"/>
  </r>
  <r>
    <s v=""/>
    <s v=""/>
    <s v=""/>
    <x v="0"/>
  </r>
  <r>
    <s v=""/>
    <s v=""/>
    <s v=""/>
    <x v="0"/>
  </r>
  <r>
    <s v=""/>
    <s v=""/>
    <s v=""/>
    <x v="0"/>
  </r>
  <r>
    <m/>
    <m/>
    <m/>
    <x v="1"/>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0R1"/>
    <s v="ITM Caja Moldeada 3x20A (reg.[0.7-1.0] In) - XT1B160-20A-3P-TMD - 25kA@230Vac, 18kA@415Vac, 18kA@250Vdc - marca ABB."/>
    <x v="7"/>
  </r>
  <r>
    <s v=""/>
    <s v=""/>
    <s v=""/>
    <x v="0"/>
  </r>
  <r>
    <s v=""/>
    <s v=""/>
    <s v=""/>
    <x v="0"/>
  </r>
  <r>
    <n v="2"/>
    <s v="2CDS253001R0164"/>
    <s v="ITM Riel-Din 3x16A - S203-C-16A - 10kA@400Vac-IEC60947-2 - marca ABB."/>
    <x v="38"/>
  </r>
  <r>
    <s v=""/>
    <s v=""/>
    <s v=""/>
    <x v="0"/>
  </r>
  <r>
    <s v=""/>
    <s v=""/>
    <s v=""/>
    <x v="0"/>
  </r>
  <r>
    <n v="2"/>
    <s v="2CDS253001R0164"/>
    <s v="ITM Riel-Din 3x16A - S203-C-16A - 10kA@400Vac-IEC60947-2 - marca ABB."/>
    <x v="38"/>
  </r>
  <r>
    <n v="2"/>
    <s v="2CSF204102R1250"/>
    <s v="Interruptor Diferencial 4x25A - 30mA - clase A (inmunizado) - FH204-A-25A-30mA - marca ABB."/>
    <x v="77"/>
  </r>
  <r>
    <n v="5"/>
    <s v="2CDS252001R0164"/>
    <s v="ITM Riel-Din 2x16A - S202-C-16A - 10kA@400Vac-IEC60947-2 - marca ABB."/>
    <x v="9"/>
  </r>
  <r>
    <n v="5"/>
    <s v="2CSF202102R1250"/>
    <s v="Interruptor Diferencial 2x25A - 30mA - clase A (inmunizado) - FH202-A-25A-30mA - marca ABB."/>
    <x v="10"/>
  </r>
  <r>
    <s v=""/>
    <s v=""/>
    <s v=""/>
    <x v="0"/>
  </r>
  <r>
    <s v=""/>
    <s v=""/>
    <s v=""/>
    <x v="0"/>
  </r>
  <r>
    <s v=""/>
    <s v=""/>
    <s v=""/>
    <x v="0"/>
  </r>
  <r>
    <s v=""/>
    <s v=""/>
    <s v=""/>
    <x v="0"/>
  </r>
  <r>
    <n v="4"/>
    <s v="2CDS253001R0164"/>
    <s v="ITM Riel-Din 3x16A - S203-C-16A - 10kA@400Vac-IEC60947-2 - marca ABB."/>
    <x v="38"/>
  </r>
  <r>
    <n v="1"/>
    <s v="2CDS252001R0164"/>
    <s v="ITM Riel-Din 2x16A - S202-C-16A - 10kA@400Vac-IEC60947-2 - marca ABB."/>
    <x v="9"/>
  </r>
  <r>
    <n v="1"/>
    <s v="2CSF202102R1250"/>
    <s v="Interruptor Diferencial 2x25A - 30mA - clase A (inmunizado) - FH202-A-25A-30mA - marca ABB."/>
    <x v="10"/>
  </r>
  <r>
    <s v=""/>
    <s v=""/>
    <s v=""/>
    <x v="0"/>
  </r>
  <r>
    <s v=""/>
    <s v=""/>
    <s v=""/>
    <x v="0"/>
  </r>
  <r>
    <s v=""/>
    <s v=""/>
    <s v=""/>
    <x v="0"/>
  </r>
  <r>
    <s v=""/>
    <s v=""/>
    <s v=""/>
    <x v="0"/>
  </r>
  <r>
    <n v="1"/>
    <s v="2CDS253001R0204"/>
    <s v="ITM Riel-Din 3x20A - S203-C-20A - 10kA@400Vac-IEC60947-2 - marca ABB."/>
    <x v="45"/>
  </r>
  <r>
    <n v="1"/>
    <s v="2CTB803873R2400"/>
    <s v="Protector de sobretensiones (Tipo 2) - OVR-T2_3N_40-275_P_3P -  Uc=275V, Up=1.25kV - I_descarga=40kA - marca ABB."/>
    <x v="39"/>
  </r>
  <r>
    <s v=""/>
    <s v=""/>
    <s v=""/>
    <x v="0"/>
  </r>
  <r>
    <s v=""/>
    <s v=""/>
    <s v=""/>
    <x v="0"/>
  </r>
  <r>
    <n v="2"/>
    <s v="1SBL137001R1310"/>
    <s v="Contactor 3x09A(AC-3) / 3x25A(AC-1) +1NA - AF09-30-10-13 - bobina 100-250Vac/dc - marca ABB."/>
    <x v="11"/>
  </r>
  <r>
    <n v="2"/>
    <s v="1SBN010110R1010"/>
    <s v="Contacto auxiliar frontal 2NA+2NC para contactor AF09..AF16-30-10, frontal - Modelo CA4-22M - marca ABB."/>
    <x v="1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n v="1"/>
    <s v="1SDA069555R1"/>
    <s v="ITM Caja Moldeada 2x32A - A1N/P125-32A-2P-TMF - 50kA@230Vac, 36kA@400Vac, 10kA@125Vdc - marca ABB."/>
    <x v="74"/>
  </r>
  <r>
    <s v=""/>
    <s v=""/>
    <s v=""/>
    <x v="0"/>
  </r>
  <r>
    <s v=""/>
    <s v=""/>
    <s v=""/>
    <x v="0"/>
  </r>
  <r>
    <s v=""/>
    <s v=""/>
    <s v=""/>
    <x v="0"/>
  </r>
  <r>
    <s v=""/>
    <s v=""/>
    <s v=""/>
    <x v="0"/>
  </r>
  <r>
    <s v=""/>
    <s v=""/>
    <s v=""/>
    <x v="0"/>
  </r>
  <r>
    <s v=""/>
    <s v=""/>
    <s v=""/>
    <x v="0"/>
  </r>
  <r>
    <n v="2"/>
    <s v="2CDS252001R0324"/>
    <s v="ITM Riel-Din 2x32A - S202-C-32A - 10kA@400Vac-IEC60947-2 - marca ABB."/>
    <x v="75"/>
  </r>
  <r>
    <s v=""/>
    <s v=""/>
    <s v=""/>
    <x v="0"/>
  </r>
  <r>
    <s v=""/>
    <s v=""/>
    <s v=""/>
    <x v="0"/>
  </r>
  <r>
    <s v=""/>
    <s v=""/>
    <s v=""/>
    <x v="0"/>
  </r>
  <r>
    <s v=""/>
    <s v=""/>
    <s v=""/>
    <x v="0"/>
  </r>
  <r>
    <s v=""/>
    <s v=""/>
    <s v=""/>
    <x v="0"/>
  </r>
  <r>
    <s v=""/>
    <s v=""/>
    <s v=""/>
    <x v="0"/>
  </r>
  <r>
    <s v=""/>
    <s v=""/>
    <s v=""/>
    <x v="0"/>
  </r>
  <r>
    <s v=""/>
    <s v=""/>
    <s v=""/>
    <x v="0"/>
  </r>
  <r>
    <n v="2"/>
    <s v="2CDS252001R0324"/>
    <s v="ITM Riel-Din 2x32A - S202-C-32A - 10kA@400Vac-IEC60947-2 - marca ABB."/>
    <x v="75"/>
  </r>
  <r>
    <s v=""/>
    <s v=""/>
    <s v=""/>
    <x v="0"/>
  </r>
  <r>
    <s v=""/>
    <s v=""/>
    <s v=""/>
    <x v="0"/>
  </r>
  <r>
    <s v=""/>
    <s v=""/>
    <s v=""/>
    <x v="0"/>
  </r>
  <r>
    <n v="1"/>
    <s v="2CDS252001R0204"/>
    <s v="ITM Riel-Din 2x20A - S202-C-20A - 10kA@400Vac-IEC60947-2 - marca ABB."/>
    <x v="20"/>
  </r>
  <r>
    <n v="4"/>
    <s v="2CDS252001R0164"/>
    <s v="ITM Riel-Din 2x16A - S202-C-16A - 10kA@400Vac-IEC60947-2 - marca ABB."/>
    <x v="9"/>
  </r>
  <r>
    <n v="5"/>
    <s v="2CSF202401R1250"/>
    <s v="Interruptor Diferencial 2x25A - 30mA - clase A-APR (alta inmunización) - F202-A APR-25A-30mA  - marca ABB."/>
    <x v="19"/>
  </r>
  <r>
    <s v=""/>
    <s v=""/>
    <s v=""/>
    <x v="0"/>
  </r>
  <r>
    <s v=""/>
    <s v=""/>
    <s v=""/>
    <x v="0"/>
  </r>
  <r>
    <s v=""/>
    <s v=""/>
    <s v=""/>
    <x v="0"/>
  </r>
  <r>
    <s v=""/>
    <s v=""/>
    <s v=""/>
    <x v="0"/>
  </r>
  <r>
    <n v="1"/>
    <s v="2CDS252001R0324"/>
    <s v="ITM Riel-Din 2x32A - S202-C-32A - 10kA@400Vac-IEC60947-2 - marca ABB."/>
    <x v="75"/>
  </r>
  <r>
    <n v="2"/>
    <s v="2CTB803871R1200"/>
    <s v="Protector de sobretensiones (Tipo 2) - OVR-T2_40-440_P-QS_1P - Un=230/400V, Uc=440V, Up=1.8kV - I_descarga=40kA - marca ABB."/>
    <x v="18"/>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s v=""/>
    <s v=""/>
    <s v=""/>
    <x v="0"/>
  </r>
  <r>
    <s v=""/>
    <s v=""/>
    <s v=""/>
    <x v="0"/>
  </r>
  <r>
    <s v=""/>
    <s v=""/>
    <s v=""/>
    <x v="0"/>
  </r>
  <r>
    <m/>
    <m/>
    <m/>
    <x v="0"/>
  </r>
  <r>
    <m/>
    <s v=""/>
    <s v=""/>
    <x v="0"/>
  </r>
  <r>
    <m/>
    <s v=""/>
    <s v=""/>
    <x v="0"/>
  </r>
  <r>
    <m/>
    <s v=""/>
    <s v=""/>
    <x v="0"/>
  </r>
  <r>
    <s v=""/>
    <s v=""/>
    <s v=""/>
    <x v="0"/>
  </r>
  <r>
    <s v=""/>
    <s v=""/>
    <s v=""/>
    <x v="0"/>
  </r>
  <r>
    <s v=""/>
    <s v=""/>
    <s v=""/>
    <x v="0"/>
  </r>
  <r>
    <s v=""/>
    <s v=""/>
    <s v=""/>
    <x v="0"/>
  </r>
  <r>
    <s v=""/>
    <s v=""/>
    <s v=""/>
    <x v="0"/>
  </r>
  <r>
    <s v=""/>
    <s v=""/>
    <s v=""/>
    <x v="0"/>
  </r>
  <r>
    <s v=""/>
    <s v=""/>
    <s v=""/>
    <x v="0"/>
  </r>
  <r>
    <s v=""/>
    <s v=""/>
    <s v=""/>
    <x v="0"/>
  </r>
  <r>
    <s v=""/>
    <s v=""/>
    <s v=""/>
    <x v="0"/>
  </r>
  <r>
    <s v=""/>
    <s v=""/>
    <s v=""/>
    <x v="0"/>
  </r>
  <r>
    <s v=""/>
    <s v=""/>
    <s v=""/>
    <x v="0"/>
  </r>
  <r>
    <s v=""/>
    <s v=""/>
    <s v=""/>
    <x v="0"/>
  </r>
  <r>
    <s v=""/>
    <s v=""/>
    <s v=""/>
    <x v="0"/>
  </r>
  <r>
    <s v=""/>
    <s v=""/>
    <s v=""/>
    <x v="0"/>
  </r>
  <r>
    <s v=""/>
    <s v=""/>
    <s v=""/>
    <x v="0"/>
  </r>
  <r>
    <s v=""/>
    <s v=""/>
    <s v=""/>
    <x v="0"/>
  </r>
  <r>
    <m/>
    <m/>
    <m/>
    <x v="1"/>
  </r>
  <r>
    <s v=""/>
    <s v=""/>
    <s v=""/>
    <x v="0"/>
  </r>
  <r>
    <s v=""/>
    <s v=""/>
    <s v=""/>
    <x v="0"/>
  </r>
  <r>
    <s v=""/>
    <s v=""/>
    <s v=""/>
    <x v="0"/>
  </r>
  <r>
    <s v=""/>
    <s v=""/>
    <s v=""/>
    <x v="0"/>
  </r>
  <r>
    <s v=""/>
    <s v=""/>
    <s v=""/>
    <x v="0"/>
  </r>
  <r>
    <s v=""/>
    <s v=""/>
    <s v=""/>
    <x v="0"/>
  </r>
  <r>
    <s v=""/>
    <s v=""/>
    <s v=""/>
    <x v="0"/>
  </r>
  <r>
    <s v=""/>
    <s v=""/>
    <s v=""/>
    <x v="0"/>
  </r>
  <r>
    <s v=""/>
    <s v=""/>
    <s v=""/>
    <x v="0"/>
  </r>
  <r>
    <s v=""/>
    <s v=""/>
    <s v=""/>
    <x v="0"/>
  </r>
  <r>
    <s v=""/>
    <s v=""/>
    <s v=""/>
    <x v="0"/>
  </r>
  <r>
    <m/>
    <m/>
    <m/>
    <x v="0"/>
  </r>
  <r>
    <s v=""/>
    <s v=""/>
    <s v=""/>
    <x v="0"/>
  </r>
  <r>
    <s v=""/>
    <s v=""/>
    <s v=""/>
    <x v="0"/>
  </r>
  <r>
    <m/>
    <s v=""/>
    <s v=""/>
    <x v="0"/>
  </r>
  <r>
    <s v=""/>
    <s v=""/>
    <s v=""/>
    <x v="0"/>
  </r>
  <r>
    <s v=""/>
    <s v=""/>
    <s v=""/>
    <x v="0"/>
  </r>
  <r>
    <s v=""/>
    <s v=""/>
    <s v=""/>
    <x v="0"/>
  </r>
  <r>
    <s v=""/>
    <s v=""/>
    <s v=""/>
    <x v="0"/>
  </r>
  <r>
    <s v=""/>
    <s v=""/>
    <s v=""/>
    <x v="0"/>
  </r>
  <r>
    <s v=""/>
    <s v=""/>
    <s v=""/>
    <x v="0"/>
  </r>
  <r>
    <s v=""/>
    <s v=""/>
    <s v=""/>
    <x v="0"/>
  </r>
  <r>
    <s v=""/>
    <s v=""/>
    <s v=""/>
    <x v="0"/>
  </r>
  <r>
    <s v=""/>
    <s v=""/>
    <s v=""/>
    <x v="0"/>
  </r>
  <r>
    <s v=""/>
    <s v=""/>
    <s v=""/>
    <x v="0"/>
  </r>
  <r>
    <n v="1"/>
    <s v="1SDA067018R1"/>
    <s v="ITM Caja Moldeada 3x100A (reg.[0.7-1.0] In) - XT2N160-100A-3P-TMA - 65kA@230Vac, 36kA@415Vac - marca ABB."/>
    <x v="28"/>
  </r>
  <r>
    <n v="1"/>
    <s v="1SDA067014R1"/>
    <s v="ITM Caja Moldeada 3x40A (reg.[0.7-1.0] In) - XT2N160-40A-3P-TMA - 65kA@230Vac, 36kA@415Vac - marca ABB."/>
    <x v="44"/>
  </r>
  <r>
    <s v=""/>
    <s v=""/>
    <s v=""/>
    <x v="0"/>
  </r>
  <r>
    <n v="1"/>
    <s v="1SDA066637R1"/>
    <s v="MIR-H - XT1, XT2, XT3, XT4 - Grupo armazón para enclavamiento horizontal - marca ABB."/>
    <x v="81"/>
  </r>
  <r>
    <n v="1"/>
    <s v="1SDA066641R1"/>
    <s v="Placa para enclavamiento XT2 (F) - marca ABB."/>
    <x v="82"/>
  </r>
  <r>
    <n v="1"/>
    <s v="1SDA066641R1"/>
    <s v="Placa para enclavamiento XT2 (F) - marca ABB."/>
    <x v="82"/>
  </r>
  <r>
    <s v=""/>
    <s v=""/>
    <s v=""/>
    <x v="0"/>
  </r>
  <r>
    <n v="2"/>
    <s v="1SDA066466R1"/>
    <s v="Mando motor con energía acumulada (MOE) - para XT2/XT4 - 220-250V AC/DC - (YM+YO+YC) - marca ABB."/>
    <x v="23"/>
  </r>
  <r>
    <n v="4"/>
    <s v="1SDA066422R1"/>
    <s v="1(Q) contacto conmutado de estado (NA/NC) / 1(SY) contacto por disparo de interruptor - XT1..XT4 - versión no cableada - marca ABB."/>
    <x v="83"/>
  </r>
  <r>
    <s v=""/>
    <s v=""/>
    <s v=""/>
    <x v="0"/>
  </r>
  <r>
    <n v="1"/>
    <s v="1SDA065524R1"/>
    <s v="Controlador de Conmutación Automática ATS022 - pantalla digital, con módulo de com. Modbus-RS485 para monitoreo - marca ABB."/>
    <x v="84"/>
  </r>
  <r>
    <n v="2"/>
    <s v="2CDS253001R0104"/>
    <s v="ITM Riel-Din 3x10A - S203-C-10A - 10kA@400Vac-IEC60947-2 - marca ABB."/>
    <x v="85"/>
  </r>
  <r>
    <n v="1"/>
    <s v="XTRM10A22B"/>
    <s v="Minicontactor de control DILER-22 / XTRM10A22B, 10A, 2NA+2NC, bobina 220Vac, marca EATON."/>
    <x v="86"/>
  </r>
  <r>
    <s v=""/>
    <s v=""/>
    <s v=""/>
    <x v="0"/>
  </r>
  <r>
    <n v="4"/>
    <s v="D2PR4B+D2PA6"/>
    <s v="Rele auxiliar enchufable +4NA/NC (D2PR4B + base D2PA6), 220Vac - marca EATON."/>
    <x v="4"/>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1"/>
    <s v="1SDA067019R1"/>
    <s v="ITM Caja Moldeada 3x125A (reg.[0.7-1.0] In) - XT2N160-125A-3P-TMA - 65kA@230Vac, 36kA@415Vac - marca ABB."/>
    <x v="43"/>
  </r>
  <r>
    <s v=""/>
    <s v=""/>
    <s v=""/>
    <x v="0"/>
  </r>
  <r>
    <s v=""/>
    <s v=""/>
    <s v=""/>
    <x v="0"/>
  </r>
  <r>
    <n v="1"/>
    <s v="1SDA067016R1"/>
    <s v="ITM Caja Moldeada 3x63A (reg.[0.7-1.0] In) - XT2N160-63A-3P-TMA - 65kA@230Vac, 36kA@415Vac - marca ABB."/>
    <x v="87"/>
  </r>
  <r>
    <n v="1"/>
    <s v="1SDA067014R1"/>
    <s v="ITM Caja Moldeada 3x40A (reg.[0.7-1.0] In) - XT2N160-40A-3P-TMA - 65kA@230Vac, 36kA@415Vac - marca ABB."/>
    <x v="44"/>
  </r>
  <r>
    <n v="1"/>
    <s v="1SDA067013R1"/>
    <s v="ITM Caja Moldeada 3x32A (reg.[0.7-1.0] In) - XT2N160-32A-3P-TMD - 65kA@230Vac, 36kA@415Vac - marca ABB."/>
    <x v="31"/>
  </r>
  <r>
    <n v="1"/>
    <s v="1SDA067011R1"/>
    <s v="ITM Caja Moldeada 3x20A (reg.[0.7-1.0] In) - XT2N160-20A-3P-TMD - 65kA@230Vac, 36kA@415Vac - marca ABB."/>
    <x v="35"/>
  </r>
  <r>
    <s v=""/>
    <s v=""/>
    <s v=""/>
    <x v="0"/>
  </r>
  <r>
    <s v=""/>
    <s v=""/>
    <s v=""/>
    <x v="0"/>
  </r>
  <r>
    <s v=""/>
    <s v=""/>
    <s v=""/>
    <x v="0"/>
  </r>
  <r>
    <n v="1"/>
    <s v="2CSM142120R1201"/>
    <s v="Relé de protección diferencial RD2 - Reg.: 0.03 - 0.1 - 0.3 - 0.5 - 1 - 2A - Ue=230-400 Vac - marca ABB."/>
    <x v="88"/>
  </r>
  <r>
    <n v="1"/>
    <s v="2CSG060100R1211"/>
    <s v="Toroide diferencial TR2 (nucleo cerrado) - d=60mm, In_max=85A@IEC60947-2(anexo M) - marca ABB."/>
    <x v="89"/>
  </r>
  <r>
    <s v=""/>
    <s v=""/>
    <s v=""/>
    <x v="0"/>
  </r>
  <r>
    <s v=""/>
    <s v=""/>
    <s v=""/>
    <x v="0"/>
  </r>
  <r>
    <s v=""/>
    <s v=""/>
    <s v=""/>
    <x v="0"/>
  </r>
  <r>
    <s v=""/>
    <s v=""/>
    <s v=""/>
    <x v="0"/>
  </r>
  <r>
    <n v="1"/>
    <s v="1SDA067013R1"/>
    <s v="ITM Caja Moldeada 3x32A (reg.[0.7-1.0] In) - XT2N160-32A-3P-TMD - 65kA@230Vac, 36kA@415Vac - marca ABB."/>
    <x v="31"/>
  </r>
  <r>
    <n v="1"/>
    <s v="2CJC605480D0000"/>
    <s v="Supresor contra sobretensiones (Tipo 1, UL 1449) - OVRHT3C504803D - I_max=50kA por fase, Un=480V,  MCOV=640V (L-G), VPR=2.5kV (L-G) - marca ABB."/>
    <x v="32"/>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3R1"/>
    <s v="ITM Caja Moldeada 3x40A (reg.[0.7-1.0] In) - XT1B160-40A-3P-TMD - 25kA@230Vac, 18kA@415Vac, 18kA@250Vdc - marca ABB."/>
    <x v="6"/>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1"/>
    <s v="1SDA066802R1"/>
    <s v="ITM Caja Moldeada 3x32A (reg.[0.7-1.0] In) - XT1B160-32A-3P-TMD - 25kA@230Vac, 18kA@415Vac, 18kA@250Vdc - marca ABB."/>
    <x v="64"/>
  </r>
  <r>
    <n v="1"/>
    <s v="1SDA066801R1"/>
    <s v="ITM Caja Moldeada 3x25A (reg.[0.7-1.0] In)  - XT1B160-25A-3P-TMD - 25kA@230Vac,18kA@415Vac, 18kA@250Vdc - marca ABB."/>
    <x v="40"/>
  </r>
  <r>
    <n v="1"/>
    <s v="1SDA066800R1"/>
    <s v="ITM Caja Moldeada 3x20A (reg.[0.7-1.0] In) - XT1B160-20A-3P-TMD - 25kA@230Vac, 18kA@415Vac, 18kA@250Vdc - marca ABB."/>
    <x v="7"/>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2R1"/>
    <s v="ITM Caja Moldeada 3x32A (reg.[0.7-1.0] In) - XT1B160-32A-3P-TMD - 25kA@230Vac, 18kA@415Vac, 18kA@250Vdc - marca ABB."/>
    <x v="64"/>
  </r>
  <r>
    <s v=""/>
    <s v=""/>
    <s v=""/>
    <x v="0"/>
  </r>
  <r>
    <s v=""/>
    <s v=""/>
    <s v=""/>
    <x v="0"/>
  </r>
  <r>
    <n v="1"/>
    <s v="4825 0403"/>
    <s v="Analizador de Redes DIRIS-A30 - precisión (V, I) 0.2%, precisión de energía activa / reactiva: clase 0,5S / clase 2 - marca SOCOMEC."/>
    <x v="26"/>
  </r>
  <r>
    <n v="1"/>
    <s v="4825 0092"/>
    <s v="Módulo de comunicación RS 485 MODBUS, para Analizador de Red, DIRIS-A30, marca SOCOMEC."/>
    <x v="27"/>
  </r>
  <r>
    <s v=""/>
    <s v=""/>
    <s v=""/>
    <x v="0"/>
  </r>
  <r>
    <s v=""/>
    <s v=""/>
    <s v=""/>
    <x v="0"/>
  </r>
  <r>
    <s v=""/>
    <s v=""/>
    <s v=""/>
    <x v="0"/>
  </r>
  <r>
    <s v=""/>
    <s v=""/>
    <s v=""/>
    <x v="0"/>
  </r>
  <r>
    <s v=""/>
    <s v=""/>
    <s v=""/>
    <x v="0"/>
  </r>
  <r>
    <n v="1"/>
    <s v="1SDA066801R1"/>
    <s v="ITM Caja Moldeada 3x25A (reg.[0.7-1.0] In)  - XT1B160-25A-3P-TMD - 25kA@230Vac,18kA@415Vac, 18kA@250Vdc - marca ABB."/>
    <x v="40"/>
  </r>
  <r>
    <n v="2"/>
    <s v="1SDA066800R1"/>
    <s v="ITM Caja Moldeada 3x20A (reg.[0.7-1.0] In) - XT1B160-20A-3P-TMD - 25kA@230Vac, 18kA@415Vac, 18kA@250Vdc - marca ABB."/>
    <x v="7"/>
  </r>
  <r>
    <n v="1"/>
    <s v="1SDA066146R1"/>
    <s v="Bobina de minima tension UVR-C 220...240 VAC - 220...250 VDC - A1..A2 - marca ABB."/>
    <x v="9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8R1"/>
    <s v="ITM Caja Moldeada 3x125A (reg.[0.7-1.0] In) - XT1B160-125A-3P-TMD - 25kA@230Vac, 18kA@415Vac, 18kA@250Vdc - marca ABB."/>
    <x v="91"/>
  </r>
  <r>
    <s v=""/>
    <s v=""/>
    <s v=""/>
    <x v="0"/>
  </r>
  <r>
    <s v=""/>
    <s v=""/>
    <s v=""/>
    <x v="0"/>
  </r>
  <r>
    <n v="1"/>
    <s v="1SDA066807R1"/>
    <s v="ITM Caja Moldeada 3x100A (reg.[0.7-1.0] In) - XT1B160-100A-3P-TMD - 25kA@230Vac, 18kA@415Vac, 18kA@250Vdc - marca ABB."/>
    <x v="80"/>
  </r>
  <r>
    <n v="1"/>
    <s v="1SDA066801R1"/>
    <s v="ITM Caja Moldeada 3x25A (reg.[0.7-1.0] In)  - XT1B160-25A-3P-TMD - 25kA@230Vac,18kA@415Vac, 18kA@250Vdc - marca ABB."/>
    <x v="40"/>
  </r>
  <r>
    <s v=""/>
    <s v=""/>
    <s v=""/>
    <x v="0"/>
  </r>
  <r>
    <s v=""/>
    <s v=""/>
    <s v=""/>
    <x v="0"/>
  </r>
  <r>
    <n v="11"/>
    <s v="2CDS252001R0164"/>
    <s v="ITM Riel-Din 2x16A - S202-C-16A - 10kA@400Vac-IEC60947-2 - marca ABB."/>
    <x v="9"/>
  </r>
  <r>
    <n v="11"/>
    <s v="2CSF202102R1250"/>
    <s v="Interruptor Diferencial 2x25A - 30mA - clase A (inmunizado) - FH202-A-25A-30mA - marca ABB."/>
    <x v="10"/>
  </r>
  <r>
    <s v=""/>
    <s v=""/>
    <s v=""/>
    <x v="0"/>
  </r>
  <r>
    <s v=""/>
    <s v=""/>
    <s v=""/>
    <x v="0"/>
  </r>
  <r>
    <s v=""/>
    <s v=""/>
    <s v=""/>
    <x v="0"/>
  </r>
  <r>
    <s v=""/>
    <s v=""/>
    <s v=""/>
    <x v="0"/>
  </r>
  <r>
    <n v="1"/>
    <s v="1SDA066806R1"/>
    <s v="ITM Caja Moldeada 3x80A (reg.[0.7-1.0] In) - XT1B160-80A-3P-TMD - 25kA@230Vac, 18kA@415Vac, 18kA@250Vdc - marca ABB."/>
    <x v="62"/>
  </r>
  <r>
    <n v="14"/>
    <s v="2CDS252001R0164"/>
    <s v="ITM Riel-Din 2x16A - S202-C-16A - 10kA@400Vac-IEC60947-2 - marca ABB."/>
    <x v="9"/>
  </r>
  <r>
    <n v="14"/>
    <s v="2CSF202102R1250"/>
    <s v="Interruptor Diferencial 2x25A - 30mA - clase A (inmunizado) - FH202-A-25A-30mA - marca ABB."/>
    <x v="10"/>
  </r>
  <r>
    <s v=""/>
    <s v=""/>
    <s v=""/>
    <x v="0"/>
  </r>
  <r>
    <s v=""/>
    <s v=""/>
    <s v=""/>
    <x v="0"/>
  </r>
  <r>
    <s v=""/>
    <s v=""/>
    <s v=""/>
    <x v="0"/>
  </r>
  <r>
    <s v=""/>
    <s v=""/>
    <s v=""/>
    <x v="0"/>
  </r>
  <r>
    <n v="1"/>
    <s v="1SBL137001R1310"/>
    <s v="Contactor 3x09A(AC-3) / 3x25A(AC-1) +1NA - AF09-30-10-13 - bobina 100-250Vac/dc - marca ABB."/>
    <x v="11"/>
  </r>
  <r>
    <n v="1"/>
    <s v="1SBN010110R1010"/>
    <s v="Contacto auxiliar frontal 2NA+2NC para contactor AF09..AF16-30-10, frontal - Modelo CA4-22M - marca ABB."/>
    <x v="12"/>
  </r>
  <r>
    <s v=""/>
    <s v=""/>
    <s v=""/>
    <x v="0"/>
  </r>
  <r>
    <s v=""/>
    <s v=""/>
    <s v=""/>
    <x v="0"/>
  </r>
  <r>
    <s v=""/>
    <s v=""/>
    <s v=""/>
    <x v="0"/>
  </r>
  <r>
    <s v=""/>
    <s v=""/>
    <s v=""/>
    <x v="0"/>
  </r>
  <r>
    <s v=""/>
    <s v=""/>
    <s v=""/>
    <x v="0"/>
  </r>
  <r>
    <s v=""/>
    <s v=""/>
    <s v=""/>
    <x v="0"/>
  </r>
  <r>
    <n v="3"/>
    <s v="1SBL137001R1310"/>
    <s v="Contactor 3x09A(AC-3) / 3x25A(AC-1) +1NA - AF09-30-10-13 - bobina 100-250Vac/dc - marca ABB."/>
    <x v="11"/>
  </r>
  <r>
    <n v="3"/>
    <s v="1SBN010110R1010"/>
    <s v="Contacto auxiliar frontal 2NA+2NC para contactor AF09..AF16-30-10, frontal - Modelo CA4-22M - marca ABB."/>
    <x v="12"/>
  </r>
  <r>
    <s v=""/>
    <s v=""/>
    <s v=""/>
    <x v="0"/>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m/>
    <m/>
    <m/>
    <x v="0"/>
  </r>
  <r>
    <s v=""/>
    <s v=""/>
    <s v=""/>
    <x v="0"/>
  </r>
  <r>
    <s v=""/>
    <s v=""/>
    <s v=""/>
    <x v="0"/>
  </r>
  <r>
    <n v="2"/>
    <s v="1SFA619210R1026"/>
    <s v="Selector 3 posiciones mantenidos - 1-0-2 / M-0-A - maneta corta, contactos 2NA - C3SS1-10B-20 - compacto - marca ABB."/>
    <x v="15"/>
  </r>
  <r>
    <s v=""/>
    <s v=""/>
    <s v=""/>
    <x v="0"/>
  </r>
  <r>
    <s v=""/>
    <s v=""/>
    <s v=""/>
    <x v="0"/>
  </r>
  <r>
    <s v=""/>
    <s v=""/>
    <s v=""/>
    <x v="0"/>
  </r>
  <r>
    <s v=""/>
    <s v=""/>
    <s v=""/>
    <x v="0"/>
  </r>
  <r>
    <s v=""/>
    <s v=""/>
    <s v=""/>
    <x v="0"/>
  </r>
  <r>
    <n v="1"/>
    <s v="D2PR4B+D2PA6"/>
    <s v="Rele auxiliar enchufable +4NA/NC (D2PR4B + base D2PA6), 220Vac - marca EATON."/>
    <x v="4"/>
  </r>
  <r>
    <s v=""/>
    <s v=""/>
    <s v=""/>
    <x v="0"/>
  </r>
  <r>
    <s v=""/>
    <s v=""/>
    <s v=""/>
    <x v="0"/>
  </r>
  <r>
    <s v=""/>
    <s v=""/>
    <s v=""/>
    <x v="0"/>
  </r>
  <r>
    <s v=""/>
    <s v=""/>
    <s v=""/>
    <x v="0"/>
  </r>
  <r>
    <s v=""/>
    <s v=""/>
    <s v=""/>
    <x v="0"/>
  </r>
  <r>
    <s v=""/>
    <s v=""/>
    <s v=""/>
    <x v="0"/>
  </r>
  <r>
    <s v=""/>
    <s v=""/>
    <s v=""/>
    <x v="0"/>
  </r>
  <r>
    <s v=""/>
    <s v=""/>
    <s v=""/>
    <x v="0"/>
  </r>
  <r>
    <m/>
    <m/>
    <m/>
    <x v="1"/>
  </r>
  <r>
    <n v="1"/>
    <s v="0400RTF82S"/>
    <s v="FOTOCELDA 1800VA 220V N/C (NF) 10 LUX STIELECTRONICA"/>
    <x v="16"/>
  </r>
  <r>
    <n v="1"/>
    <s v="0400TPLS476"/>
    <s v="BASE C/SOPORTE P/CONTROL FOTOCELDA P/ADOSAR STIELECTRONICA"/>
    <x v="17"/>
  </r>
  <r>
    <m/>
    <m/>
    <m/>
    <x v="1"/>
  </r>
  <r>
    <m/>
    <m/>
    <m/>
    <x v="0"/>
  </r>
  <r>
    <s v=""/>
    <s v=""/>
    <s v=""/>
    <x v="0"/>
  </r>
  <r>
    <s v=""/>
    <s v=""/>
    <s v=""/>
    <x v="0"/>
  </r>
  <r>
    <n v="1"/>
    <s v="1SFA611131P1108"/>
    <s v="Pulsador doble Start+Stop - color Verde+Rojo - contactos 1NA+1NC - MPD2-11C-K - línea modular - marca ABB."/>
    <x v="25"/>
  </r>
  <r>
    <s v=""/>
    <s v=""/>
    <s v=""/>
    <x v="0"/>
  </r>
  <r>
    <s v=""/>
    <s v=""/>
    <s v=""/>
    <x v="0"/>
  </r>
  <r>
    <s v=""/>
    <s v=""/>
    <s v=""/>
    <x v="0"/>
  </r>
  <r>
    <s v=""/>
    <s v=""/>
    <s v=""/>
    <x v="0"/>
  </r>
  <r>
    <s v=""/>
    <s v=""/>
    <s v=""/>
    <x v="0"/>
  </r>
  <r>
    <s v=""/>
    <s v=""/>
    <s v=""/>
    <x v="0"/>
  </r>
  <r>
    <s v=""/>
    <s v=""/>
    <s v=""/>
    <x v="0"/>
  </r>
  <r>
    <s v=""/>
    <s v=""/>
    <s v=""/>
    <x v="0"/>
  </r>
  <r>
    <s v=""/>
    <s v=""/>
    <s v=""/>
    <x v="0"/>
  </r>
  <r>
    <s v=""/>
    <s v=""/>
    <s v=""/>
    <x v="0"/>
  </r>
  <r>
    <m/>
    <m/>
    <m/>
    <x v="1"/>
  </r>
  <r>
    <m/>
    <m/>
    <m/>
    <x v="0"/>
  </r>
  <r>
    <s v=""/>
    <s v=""/>
    <s v=""/>
    <x v="0"/>
  </r>
  <r>
    <s v=""/>
    <s v=""/>
    <s v=""/>
    <x v="0"/>
  </r>
  <r>
    <n v="3"/>
    <s v="1SFA611131P1108"/>
    <s v="Pulsador doble Start+Stop - color Verde+Rojo - contactos 1NA+1NC - MPD2-11C-K - línea modular - marca ABB."/>
    <x v="25"/>
  </r>
  <r>
    <s v=""/>
    <s v=""/>
    <s v=""/>
    <x v="0"/>
  </r>
  <r>
    <s v=""/>
    <s v=""/>
    <s v=""/>
    <x v="0"/>
  </r>
  <r>
    <s v=""/>
    <s v=""/>
    <s v=""/>
    <x v="0"/>
  </r>
  <r>
    <s v=""/>
    <s v=""/>
    <s v=""/>
    <x v="0"/>
  </r>
  <r>
    <s v=""/>
    <s v=""/>
    <s v=""/>
    <x v="0"/>
  </r>
  <r>
    <s v=""/>
    <s v=""/>
    <s v=""/>
    <x v="0"/>
  </r>
  <r>
    <s v=""/>
    <s v=""/>
    <s v=""/>
    <x v="0"/>
  </r>
  <r>
    <s v=""/>
    <s v=""/>
    <s v=""/>
    <x v="0"/>
  </r>
  <r>
    <s v=""/>
    <s v=""/>
    <s v=""/>
    <x v="0"/>
  </r>
  <r>
    <s v=""/>
    <s v=""/>
    <s v=""/>
    <x v="0"/>
  </r>
  <r>
    <m/>
    <m/>
    <m/>
    <x v="1"/>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1R1"/>
    <s v="ITM Caja Moldeada 3x25A (reg.[0.7-1.0] In)  - XT1B160-25A-3P-TMD - 25kA@230Vac,18kA@415Vac, 18kA@250Vdc - marca ABB."/>
    <x v="40"/>
  </r>
  <r>
    <s v=""/>
    <s v=""/>
    <s v=""/>
    <x v="0"/>
  </r>
  <r>
    <s v=""/>
    <s v=""/>
    <s v=""/>
    <x v="0"/>
  </r>
  <r>
    <n v="2"/>
    <s v="2CDS253001R0204"/>
    <s v="ITM Riel-Din 3x20A - S203-C-20A - 10kA@400Vac-IEC60947-2 - marca ABB."/>
    <x v="45"/>
  </r>
  <r>
    <s v=""/>
    <s v=""/>
    <s v=""/>
    <x v="0"/>
  </r>
  <r>
    <s v=""/>
    <s v=""/>
    <s v=""/>
    <x v="0"/>
  </r>
  <r>
    <n v="1"/>
    <s v="2CDS253001R0164"/>
    <s v="ITM Riel-Din 3x16A - S203-C-16A - 10kA@400Vac-IEC60947-2 - marca ABB."/>
    <x v="38"/>
  </r>
  <r>
    <n v="1"/>
    <s v="2CSF204102R1250"/>
    <s v="Interruptor Diferencial 4x25A - 30mA - clase A (inmunizado) - FH204-A-25A-30mA - marca ABB."/>
    <x v="77"/>
  </r>
  <r>
    <n v="3"/>
    <s v="2CDS252001R0164"/>
    <s v="ITM Riel-Din 2x16A - S202-C-16A - 10kA@400Vac-IEC60947-2 - marca ABB."/>
    <x v="9"/>
  </r>
  <r>
    <n v="11"/>
    <s v="2CSF202102R1250"/>
    <s v="Interruptor Diferencial 2x25A - 30mA - clase A (inmunizado) - FH202-A-25A-30mA - marca ABB."/>
    <x v="10"/>
  </r>
  <r>
    <s v=""/>
    <s v=""/>
    <s v=""/>
    <x v="0"/>
  </r>
  <r>
    <s v=""/>
    <s v=""/>
    <s v=""/>
    <x v="0"/>
  </r>
  <r>
    <s v=""/>
    <s v=""/>
    <s v=""/>
    <x v="0"/>
  </r>
  <r>
    <s v=""/>
    <s v=""/>
    <s v=""/>
    <x v="0"/>
  </r>
  <r>
    <n v="3"/>
    <s v="2CDS252001R0164"/>
    <s v="ITM Riel-Din 2x16A - S202-C-16A - 10kA@400Vac-IEC60947-2 - marca ABB."/>
    <x v="9"/>
  </r>
  <r>
    <n v="3"/>
    <s v="2CSF202102R1250"/>
    <s v="Interruptor Diferencial 2x25A - 30mA - clase A (inmunizado) - FH202-A-25A-30mA - marca ABB."/>
    <x v="10"/>
  </r>
  <r>
    <s v=""/>
    <s v=""/>
    <s v=""/>
    <x v="0"/>
  </r>
  <r>
    <s v=""/>
    <s v=""/>
    <s v=""/>
    <x v="0"/>
  </r>
  <r>
    <s v=""/>
    <s v=""/>
    <s v=""/>
    <x v="0"/>
  </r>
  <r>
    <s v=""/>
    <s v=""/>
    <s v=""/>
    <x v="0"/>
  </r>
  <r>
    <n v="1"/>
    <s v="1SBL137001R1310"/>
    <s v="Contactor 3x09A(AC-3) / 3x25A(AC-1) +1NA - AF09-30-10-13 - bobina 100-250Vac/dc - marca ABB."/>
    <x v="11"/>
  </r>
  <r>
    <n v="1"/>
    <s v="1SBN010110R1010"/>
    <s v="Contacto auxiliar frontal 2NA+2NC para contactor AF09..AF16-30-10, frontal - Modelo CA4-22M - marca ABB."/>
    <x v="1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m/>
    <m/>
    <m/>
    <x v="0"/>
  </r>
  <r>
    <s v=""/>
    <s v=""/>
    <s v=""/>
    <x v="0"/>
  </r>
  <r>
    <s v=""/>
    <s v=""/>
    <s v=""/>
    <x v="0"/>
  </r>
  <r>
    <n v="1"/>
    <s v="1SFA619210R1026"/>
    <s v="Selector 3 posiciones mantenidos - 1-0-2 / M-0-A - maneta corta, contactos 2NA - C3SS1-10B-20 - compacto - marca ABB."/>
    <x v="15"/>
  </r>
  <r>
    <s v=""/>
    <s v=""/>
    <s v=""/>
    <x v="0"/>
  </r>
  <r>
    <s v=""/>
    <s v=""/>
    <s v=""/>
    <x v="0"/>
  </r>
  <r>
    <s v=""/>
    <s v=""/>
    <s v=""/>
    <x v="0"/>
  </r>
  <r>
    <s v=""/>
    <s v=""/>
    <s v=""/>
    <x v="0"/>
  </r>
  <r>
    <s v=""/>
    <s v=""/>
    <s v=""/>
    <x v="0"/>
  </r>
  <r>
    <n v="1"/>
    <s v="D2PR4B+D2PA6"/>
    <s v="Rele auxiliar enchufable +4NA/NC (D2PR4B + base D2PA6), 220Vac - marca EATON."/>
    <x v="4"/>
  </r>
  <r>
    <s v=""/>
    <s v=""/>
    <s v=""/>
    <x v="0"/>
  </r>
  <r>
    <s v=""/>
    <s v=""/>
    <s v=""/>
    <x v="0"/>
  </r>
  <r>
    <s v=""/>
    <s v=""/>
    <s v=""/>
    <x v="0"/>
  </r>
  <r>
    <s v=""/>
    <s v=""/>
    <s v=""/>
    <x v="0"/>
  </r>
  <r>
    <s v=""/>
    <s v=""/>
    <s v=""/>
    <x v="0"/>
  </r>
  <r>
    <s v=""/>
    <s v=""/>
    <s v=""/>
    <x v="0"/>
  </r>
  <r>
    <s v=""/>
    <s v=""/>
    <s v=""/>
    <x v="0"/>
  </r>
  <r>
    <m/>
    <m/>
    <m/>
    <x v="1"/>
  </r>
  <r>
    <n v="1"/>
    <s v="0400RTF82S"/>
    <s v="FOTOCELDA 1800VA 220V N/C (NF) 10 LUX STIELECTRONICA"/>
    <x v="16"/>
  </r>
  <r>
    <n v="1"/>
    <s v="0400TPLS476"/>
    <s v="BASE C/SOPORTE P/CONTROL FOTOCELDA P/ADOSAR STIELECTRONICA"/>
    <x v="17"/>
  </r>
  <r>
    <m/>
    <m/>
    <m/>
    <x v="1"/>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7R1"/>
    <s v="ITM Caja Moldeada 3x100A (reg.[0.7-1.0] In) - XT1B160-100A-3P-TMD - 25kA@230Vac, 18kA@415Vac, 18kA@250Vdc - marca ABB."/>
    <x v="80"/>
  </r>
  <r>
    <n v="1"/>
    <s v="1SDA067155R1"/>
    <s v="FC-CuAl_XT1 - Terminales + Cubrebornes - cables de cobre/aluminio hasta 1x95mm2 - 3 terminales (externos)"/>
    <x v="66"/>
  </r>
  <r>
    <s v=""/>
    <s v=""/>
    <s v=""/>
    <x v="0"/>
  </r>
  <r>
    <s v=""/>
    <s v=""/>
    <s v=""/>
    <x v="0"/>
  </r>
  <r>
    <n v="2"/>
    <s v="1SDA069551R1"/>
    <s v="ITM Caja Moldeada 2x16A - A1N/P125-16A-2P-TMF - 50kA@230Vac, 36kA@400Vac, 10kA@125Vdc - marca ABB."/>
    <x v="8"/>
  </r>
  <r>
    <n v="5"/>
    <s v="2CDS252001R0254"/>
    <s v="ITM Riel-Din 2x25A - S202-C-25A - 10kA@400Vac-IEC60947-2 - marca ABB."/>
    <x v="73"/>
  </r>
  <r>
    <n v="3"/>
    <s v="2CDS252001R0204"/>
    <s v="ITM Riel-Din 2x20A - S202-C-20A - 10kA@400Vac-IEC60947-2 - marca ABB."/>
    <x v="20"/>
  </r>
  <r>
    <n v="5"/>
    <s v="2CDS252001R0164"/>
    <s v="ITM Riel-Din 2x16A - S202-C-16A - 10kA@400Vac-IEC60947-2 - marca ABB."/>
    <x v="9"/>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2R1"/>
    <s v="ITM Caja Moldeada 3x32A (reg.[0.7-1.0] In) - XT1B160-32A-3P-TMD - 25kA@230Vac, 18kA@415Vac, 18kA@250Vdc - marca ABB."/>
    <x v="64"/>
  </r>
  <r>
    <s v=""/>
    <s v=""/>
    <s v=""/>
    <x v="0"/>
  </r>
  <r>
    <s v=""/>
    <s v=""/>
    <s v=""/>
    <x v="0"/>
  </r>
  <r>
    <n v="1"/>
    <s v="2CDS253001R0204"/>
    <s v="ITM Riel-Din 3x20A - S203-C-20A - 10kA@400Vac-IEC60947-2 - marca ABB."/>
    <x v="45"/>
  </r>
  <r>
    <n v="1"/>
    <s v="2CDS253001R0164"/>
    <s v="ITM Riel-Din 3x16A - S203-C-16A - 10kA@400Vac-IEC60947-2 - marca ABB."/>
    <x v="38"/>
  </r>
  <r>
    <s v=""/>
    <s v=""/>
    <s v=""/>
    <x v="0"/>
  </r>
  <r>
    <s v=""/>
    <s v=""/>
    <s v=""/>
    <x v="0"/>
  </r>
  <r>
    <n v="5"/>
    <s v="2CDS252001R0164"/>
    <s v="ITM Riel-Din 2x16A - S202-C-16A - 10kA@400Vac-IEC60947-2 - marca ABB."/>
    <x v="9"/>
  </r>
  <r>
    <n v="5"/>
    <s v="2CSF202102R1250"/>
    <s v="Interruptor Diferencial 2x25A - 30mA - clase A (inmunizado) - FH202-A-25A-30mA - marca ABB."/>
    <x v="10"/>
  </r>
  <r>
    <s v=""/>
    <s v=""/>
    <s v=""/>
    <x v="0"/>
  </r>
  <r>
    <s v=""/>
    <s v=""/>
    <s v=""/>
    <x v="0"/>
  </r>
  <r>
    <s v=""/>
    <s v=""/>
    <s v=""/>
    <x v="0"/>
  </r>
  <r>
    <s v=""/>
    <s v=""/>
    <s v=""/>
    <x v="0"/>
  </r>
  <r>
    <n v="1"/>
    <s v="2CDS253001R0164"/>
    <s v="ITM Riel-Din 3x16A - S203-C-16A - 10kA@400Vac-IEC60947-2 - marca ABB."/>
    <x v="38"/>
  </r>
  <r>
    <n v="4"/>
    <s v="2CDS252001R0164"/>
    <s v="ITM Riel-Din 2x16A - S202-C-16A - 10kA@400Vac-IEC60947-2 - marca ABB."/>
    <x v="9"/>
  </r>
  <r>
    <s v=""/>
    <s v=""/>
    <s v=""/>
    <x v="0"/>
  </r>
  <r>
    <s v=""/>
    <s v=""/>
    <s v=""/>
    <x v="0"/>
  </r>
  <r>
    <s v=""/>
    <s v=""/>
    <s v=""/>
    <x v="0"/>
  </r>
  <r>
    <s v=""/>
    <s v=""/>
    <s v=""/>
    <x v="0"/>
  </r>
  <r>
    <n v="1"/>
    <s v="2CDS253001R0254"/>
    <s v="ITM Riel-Din 3x25A - S203-C-25A - 10kA@400Vac-IEC60947-2 - marca ABB."/>
    <x v="41"/>
  </r>
  <r>
    <n v="1"/>
    <s v="2CTB803873R2400"/>
    <s v="Protector de sobretensiones (Tipo 2) - OVR-T2_3N_40-275_P_3P -  Uc=275V, Up=1.25kV - I_descarga=40kA - marca ABB."/>
    <x v="39"/>
  </r>
  <r>
    <s v=""/>
    <s v=""/>
    <s v=""/>
    <x v="0"/>
  </r>
  <r>
    <s v=""/>
    <s v=""/>
    <s v=""/>
    <x v="0"/>
  </r>
  <r>
    <n v="1"/>
    <s v="1SBL137001R1310"/>
    <s v="Contactor 3x09A(AC-3) / 3x25A(AC-1) +1NA - AF09-30-10-13 - bobina 100-250Vac/dc - marca ABB."/>
    <x v="11"/>
  </r>
  <r>
    <n v="1"/>
    <s v="1SBN010110R1010"/>
    <s v="Contacto auxiliar frontal 2NA+2NC para contactor AF09..AF16-30-10, frontal - Modelo CA4-22M - marca ABB."/>
    <x v="12"/>
  </r>
  <r>
    <s v=""/>
    <s v=""/>
    <s v=""/>
    <x v="0"/>
  </r>
  <r>
    <s v=""/>
    <s v=""/>
    <s v=""/>
    <x v="0"/>
  </r>
  <r>
    <s v=""/>
    <s v=""/>
    <s v=""/>
    <x v="0"/>
  </r>
  <r>
    <s v=""/>
    <s v=""/>
    <s v=""/>
    <x v="0"/>
  </r>
  <r>
    <s v=""/>
    <s v=""/>
    <s v=""/>
    <x v="0"/>
  </r>
  <r>
    <s v=""/>
    <s v=""/>
    <s v=""/>
    <x v="0"/>
  </r>
  <r>
    <n v="1"/>
    <s v="1SBL137001R1310"/>
    <s v="Contactor 3x09A(AC-3) / 3x25A(AC-1) +1NA - AF09-30-10-13 - bobina 100-250Vac/dc - marca ABB."/>
    <x v="11"/>
  </r>
  <r>
    <n v="1"/>
    <s v="1SBN010110R1010"/>
    <s v="Contacto auxiliar frontal 2NA+2NC para contactor AF09..AF16-30-10, frontal - Modelo CA4-22M - marca ABB."/>
    <x v="12"/>
  </r>
  <r>
    <s v=""/>
    <s v=""/>
    <s v=""/>
    <x v="0"/>
  </r>
  <r>
    <s v=""/>
    <s v=""/>
    <s v=""/>
    <x v="0"/>
  </r>
  <r>
    <s v=""/>
    <s v=""/>
    <s v=""/>
    <x v="0"/>
  </r>
  <r>
    <s v=""/>
    <s v=""/>
    <s v=""/>
    <x v="0"/>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0R1"/>
    <s v="ITM Caja Moldeada 3x20A (reg.[0.7-1.0] In) - XT1B160-20A-3P-TMD - 25kA@230Vac, 18kA@415Vac, 18kA@250Vdc - marca ABB."/>
    <x v="7"/>
  </r>
  <r>
    <s v=""/>
    <s v=""/>
    <s v=""/>
    <x v="0"/>
  </r>
  <r>
    <s v=""/>
    <s v=""/>
    <s v=""/>
    <x v="0"/>
  </r>
  <r>
    <n v="2"/>
    <s v="2CDS253001R0164"/>
    <s v="ITM Riel-Din 3x16A - S203-C-16A - 10kA@400Vac-IEC60947-2 - marca ABB."/>
    <x v="38"/>
  </r>
  <r>
    <s v=""/>
    <s v=""/>
    <s v=""/>
    <x v="0"/>
  </r>
  <r>
    <s v=""/>
    <s v=""/>
    <s v=""/>
    <x v="0"/>
  </r>
  <r>
    <n v="3"/>
    <s v="2CDS252001R0164"/>
    <s v="ITM Riel-Din 2x16A - S202-C-16A - 10kA@400Vac-IEC60947-2 - marca ABB."/>
    <x v="9"/>
  </r>
  <r>
    <n v="3"/>
    <s v="2CSF202102R1250"/>
    <s v="Interruptor Diferencial 2x25A - 30mA - clase A (inmunizado) - FH202-A-25A-30mA - marca ABB."/>
    <x v="10"/>
  </r>
  <r>
    <s v=""/>
    <s v=""/>
    <s v=""/>
    <x v="0"/>
  </r>
  <r>
    <s v=""/>
    <s v=""/>
    <s v=""/>
    <x v="0"/>
  </r>
  <r>
    <s v=""/>
    <s v=""/>
    <s v=""/>
    <x v="0"/>
  </r>
  <r>
    <s v=""/>
    <s v=""/>
    <s v=""/>
    <x v="0"/>
  </r>
  <r>
    <n v="2"/>
    <s v="2CDS252001R0164"/>
    <s v="ITM Riel-Din 2x16A - S202-C-16A - 10kA@400Vac-IEC60947-2 - marca ABB."/>
    <x v="9"/>
  </r>
  <r>
    <s v=""/>
    <s v=""/>
    <s v=""/>
    <x v="0"/>
  </r>
  <r>
    <s v=""/>
    <s v=""/>
    <s v=""/>
    <x v="0"/>
  </r>
  <r>
    <s v=""/>
    <s v=""/>
    <s v=""/>
    <x v="0"/>
  </r>
  <r>
    <s v=""/>
    <s v=""/>
    <s v=""/>
    <x v="0"/>
  </r>
  <r>
    <n v="1"/>
    <s v="2CDS253001R0204"/>
    <s v="ITM Riel-Din 3x20A - S203-C-20A - 10kA@400Vac-IEC60947-2 - marca ABB."/>
    <x v="45"/>
  </r>
  <r>
    <n v="1"/>
    <s v="2CTB803873R2400"/>
    <s v="Protector de sobretensiones (Tipo 2) - OVR-T2_3N_40-275_P_3P -  Uc=275V, Up=1.25kV - I_descarga=40kA - marca ABB."/>
    <x v="39"/>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r>
    <n v="3"/>
    <s v="1SFA619403R5231"/>
    <s v="Portalámpara + lampara tipo LED - color Rojo - alimentacion: 220-230Vac, d=22mm. - CL2-523R - línea compacta - marca ABB."/>
    <x v="2"/>
  </r>
  <r>
    <n v="3"/>
    <s v="1SFA619403R5232"/>
    <s v="Portalámpara + lampara tipo LED - color Verde - alimentacion: 220-230Vac, d=22mm. - CL2-523G - línea compacta - marca ABB."/>
    <x v="3"/>
  </r>
  <r>
    <s v=""/>
    <s v=""/>
    <s v=""/>
    <x v="0"/>
  </r>
  <r>
    <n v="1"/>
    <s v="D2PR4B+D2PA6"/>
    <s v="Rele auxiliar enchufable +4NA/NC (D2PR4B + base D2PA6), 220Vac - marca EATON."/>
    <x v="4"/>
  </r>
  <r>
    <s v=""/>
    <s v=""/>
    <s v=""/>
    <x v="0"/>
  </r>
  <r>
    <s v=""/>
    <s v=""/>
    <s v=""/>
    <x v="0"/>
  </r>
  <r>
    <s v=""/>
    <s v=""/>
    <s v=""/>
    <x v="0"/>
  </r>
  <r>
    <s v=""/>
    <s v=""/>
    <s v=""/>
    <x v="0"/>
  </r>
  <r>
    <s v=""/>
    <s v=""/>
    <s v=""/>
    <x v="0"/>
  </r>
  <r>
    <n v="1"/>
    <s v="1SDA066803R1"/>
    <s v="ITM Caja Moldeada 3x40A (reg.[0.7-1.0] In) - XT1B160-40A-3P-TMD - 25kA@230Vac, 18kA@415Vac, 18kA@250Vdc - marca ABB."/>
    <x v="6"/>
  </r>
  <r>
    <s v=""/>
    <s v=""/>
    <s v=""/>
    <x v="0"/>
  </r>
  <r>
    <s v=""/>
    <s v=""/>
    <s v=""/>
    <x v="0"/>
  </r>
  <r>
    <s v=""/>
    <s v=""/>
    <s v=""/>
    <x v="0"/>
  </r>
  <r>
    <s v=""/>
    <s v=""/>
    <s v=""/>
    <x v="0"/>
  </r>
  <r>
    <s v=""/>
    <s v=""/>
    <s v=""/>
    <x v="0"/>
  </r>
  <r>
    <s v=""/>
    <s v=""/>
    <s v=""/>
    <x v="0"/>
  </r>
  <r>
    <n v="2"/>
    <s v="2CDS253001R0324"/>
    <s v="ITM Riel-Din 3x32A - S203-C-32A - 10kA@400Vac-IEC60947-2 - marca ABB."/>
    <x v="37"/>
  </r>
  <r>
    <s v=""/>
    <s v=""/>
    <s v=""/>
    <x v="0"/>
  </r>
  <r>
    <s v=""/>
    <s v=""/>
    <s v=""/>
    <x v="0"/>
  </r>
  <r>
    <s v=""/>
    <s v=""/>
    <s v=""/>
    <x v="0"/>
  </r>
  <r>
    <s v=""/>
    <s v=""/>
    <s v=""/>
    <x v="0"/>
  </r>
  <r>
    <s v=""/>
    <s v=""/>
    <s v=""/>
    <x v="0"/>
  </r>
  <r>
    <s v=""/>
    <s v=""/>
    <s v=""/>
    <x v="0"/>
  </r>
  <r>
    <s v=""/>
    <s v=""/>
    <s v=""/>
    <x v="0"/>
  </r>
  <r>
    <s v=""/>
    <s v=""/>
    <s v=""/>
    <x v="0"/>
  </r>
  <r>
    <n v="2"/>
    <s v="2CDS253001R0324"/>
    <s v="ITM Riel-Din 3x32A - S203-C-32A - 10kA@400Vac-IEC60947-2 - marca ABB."/>
    <x v="37"/>
  </r>
  <r>
    <s v=""/>
    <s v=""/>
    <s v=""/>
    <x v="0"/>
  </r>
  <r>
    <s v=""/>
    <s v=""/>
    <s v=""/>
    <x v="0"/>
  </r>
  <r>
    <s v=""/>
    <s v=""/>
    <s v=""/>
    <x v="0"/>
  </r>
  <r>
    <n v="1"/>
    <s v="2CDS252001R0404"/>
    <s v="ITM Riel-Din 2x40A - S202-C-40A - 10kA@400Vac-IEC60947-2 - marca ABB."/>
    <x v="47"/>
  </r>
  <r>
    <n v="6"/>
    <s v="2CDS252001R0164"/>
    <s v="ITM Riel-Din 2x16A - S202-C-16A - 10kA@400Vac-IEC60947-2 - marca ABB."/>
    <x v="9"/>
  </r>
  <r>
    <n v="6"/>
    <s v="2CSF202401R1250"/>
    <s v="Interruptor Diferencial 2x25A - 30mA - clase A-APR (alta inmunización) - F202-A APR-25A-30mA  - marca ABB."/>
    <x v="19"/>
  </r>
  <r>
    <s v=""/>
    <s v=""/>
    <s v=""/>
    <x v="0"/>
  </r>
  <r>
    <s v=""/>
    <s v=""/>
    <s v=""/>
    <x v="0"/>
  </r>
  <r>
    <s v=""/>
    <s v=""/>
    <s v=""/>
    <x v="0"/>
  </r>
  <r>
    <s v=""/>
    <s v=""/>
    <s v=""/>
    <x v="0"/>
  </r>
  <r>
    <n v="1"/>
    <s v="2CDS253001R0324"/>
    <s v="ITM Riel-Din 3x32A - S203-C-32A - 10kA@400Vac-IEC60947-2 - marca ABB."/>
    <x v="37"/>
  </r>
  <r>
    <n v="1"/>
    <s v="2CTB803873R2400"/>
    <s v="Protector de sobretensiones (Tipo 2) - OVR-T2_3N_40-275_P_3P -  Uc=275V, Up=1.25kV - I_descarga=40kA - marca ABB."/>
    <x v="39"/>
  </r>
  <r>
    <s v=""/>
    <s v=""/>
    <s v=""/>
    <x v="0"/>
  </r>
  <r>
    <s v=""/>
    <s v=""/>
    <s v=""/>
    <x v="0"/>
  </r>
  <r>
    <n v="1"/>
    <s v="Placa lamicoid p/distr."/>
    <s v="Placa lamicoid rotulación de 3mm de espesor, fondo negro y letras blancas."/>
    <x v="13"/>
  </r>
  <r>
    <s v=""/>
    <s v=""/>
    <s v=""/>
    <x v="0"/>
  </r>
  <r>
    <n v="1"/>
    <s v="EMBAL_ADOS_1600x600x220mm"/>
    <s v="Embalaje especial completamente cerrado para tablero adosado de 1600x600x220mm"/>
    <x v="14"/>
  </r>
  <r>
    <s v=""/>
    <s v=""/>
    <s v=""/>
    <x v="0"/>
  </r>
  <r>
    <s v=""/>
    <s v=""/>
    <s v=""/>
    <x v="0"/>
  </r>
  <r>
    <s v=""/>
    <s v=""/>
    <s v=""/>
    <x v="0"/>
  </r>
  <r>
    <s v=""/>
    <s v=""/>
    <s v=""/>
    <x v="0"/>
  </r>
  <r>
    <s v=""/>
    <s v=""/>
    <s v=""/>
    <x v="0"/>
  </r>
  <r>
    <s v=""/>
    <s v=""/>
    <s v=""/>
    <x v="0"/>
  </r>
  <r>
    <s v=""/>
    <s v=""/>
    <s v=""/>
    <x v="0"/>
  </r>
  <r>
    <s v=""/>
    <s v=""/>
    <s v=""/>
    <x v="0"/>
  </r>
  <r>
    <s v=""/>
    <s v=""/>
    <s v=""/>
    <x v="0"/>
  </r>
  <r>
    <s v=""/>
    <s v=""/>
    <s v=""/>
    <x v="0"/>
  </r>
  <r>
    <s v=""/>
    <s v=""/>
    <s v=""/>
    <x v="0"/>
  </r>
  <r>
    <s v=""/>
    <s v=""/>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Tabla dinámica1"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location ref="A2:B95" firstHeaderRow="1" firstDataRow="1" firstDataCol="1"/>
  <pivotFields count="4">
    <pivotField dataField="1" showAll="0"/>
    <pivotField showAll="0"/>
    <pivotField showAll="0"/>
    <pivotField axis="axisRow" showAll="0">
      <items count="353">
        <item x="0"/>
        <item x="11"/>
        <item m="1" x="213"/>
        <item x="45"/>
        <item x="37"/>
        <item x="1"/>
        <item m="1" x="293"/>
        <item m="1" x="327"/>
        <item x="86"/>
        <item m="1" x="236"/>
        <item m="1" x="165"/>
        <item m="1" x="316"/>
        <item m="1" x="323"/>
        <item m="1" x="268"/>
        <item m="1" x="273"/>
        <item x="50"/>
        <item m="1" x="120"/>
        <item m="1" x="341"/>
        <item m="1" x="238"/>
        <item m="1" x="342"/>
        <item x="21"/>
        <item x="60"/>
        <item m="1" x="312"/>
        <item m="1" x="240"/>
        <item x="59"/>
        <item x="15"/>
        <item x="4"/>
        <item m="1" x="184"/>
        <item m="1" x="222"/>
        <item x="29"/>
        <item x="31"/>
        <item x="2"/>
        <item m="1" x="263"/>
        <item m="1" x="333"/>
        <item m="1" x="286"/>
        <item x="44"/>
        <item m="1" x="147"/>
        <item x="28"/>
        <item x="87"/>
        <item m="1" x="325"/>
        <item m="1" x="114"/>
        <item m="1" x="237"/>
        <item m="1" x="308"/>
        <item m="1" x="225"/>
        <item m="1" x="288"/>
        <item m="1" x="92"/>
        <item m="1" x="185"/>
        <item m="1" x="297"/>
        <item m="1" x="289"/>
        <item m="1" x="93"/>
        <item m="1" x="212"/>
        <item m="1" x="98"/>
        <item m="1" x="141"/>
        <item m="1" x="298"/>
        <item m="1" x="94"/>
        <item m="1" x="130"/>
        <item m="1" x="182"/>
        <item m="1" x="203"/>
        <item m="1" x="181"/>
        <item x="43"/>
        <item m="1" x="149"/>
        <item m="1" x="343"/>
        <item m="1" x="126"/>
        <item m="1" x="177"/>
        <item m="1" x="300"/>
        <item x="51"/>
        <item x="3"/>
        <item x="83"/>
        <item m="1" x="261"/>
        <item m="1" x="282"/>
        <item m="1" x="195"/>
        <item m="1" x="127"/>
        <item m="1" x="239"/>
        <item m="1" x="197"/>
        <item m="1" x="299"/>
        <item m="1" x="306"/>
        <item m="1" x="241"/>
        <item m="1" x="307"/>
        <item m="1" x="191"/>
        <item m="1" x="243"/>
        <item m="1" x="128"/>
        <item m="1" x="215"/>
        <item m="1" x="155"/>
        <item m="1" x="229"/>
        <item m="1" x="160"/>
        <item m="1" x="123"/>
        <item m="1" x="315"/>
        <item m="1" x="317"/>
        <item m="1" x="171"/>
        <item m="1" x="153"/>
        <item m="1" x="115"/>
        <item m="1" x="326"/>
        <item m="1" x="143"/>
        <item m="1" x="337"/>
        <item m="1" x="318"/>
        <item m="1" x="251"/>
        <item m="1" x="221"/>
        <item m="1" x="199"/>
        <item m="1" x="226"/>
        <item m="1" x="235"/>
        <item m="1" x="254"/>
        <item m="1" x="310"/>
        <item m="1" x="175"/>
        <item m="1" x="138"/>
        <item m="1" x="269"/>
        <item m="1" x="192"/>
        <item m="1" x="99"/>
        <item m="1" x="103"/>
        <item m="1" x="340"/>
        <item m="1" x="176"/>
        <item m="1" x="279"/>
        <item m="1" x="102"/>
        <item m="1" x="262"/>
        <item m="1" x="189"/>
        <item m="1" x="260"/>
        <item m="1" x="227"/>
        <item m="1" x="304"/>
        <item x="25"/>
        <item m="1" x="111"/>
        <item m="1" x="178"/>
        <item m="1" x="95"/>
        <item m="1" x="217"/>
        <item m="1" x="186"/>
        <item m="1" x="314"/>
        <item m="1" x="104"/>
        <item m="1" x="117"/>
        <item x="84"/>
        <item m="1" x="172"/>
        <item m="1" x="137"/>
        <item m="1" x="233"/>
        <item m="1" x="301"/>
        <item m="1" x="303"/>
        <item m="1" x="142"/>
        <item m="1" x="311"/>
        <item m="1" x="129"/>
        <item m="1" x="350"/>
        <item m="1" x="216"/>
        <item m="1" x="257"/>
        <item m="1" x="101"/>
        <item m="1" x="188"/>
        <item m="1" x="161"/>
        <item m="1" x="313"/>
        <item m="1" x="231"/>
        <item m="1" x="134"/>
        <item m="1" x="344"/>
        <item m="1" x="336"/>
        <item m="1" x="255"/>
        <item m="1" x="220"/>
        <item m="1" x="338"/>
        <item m="1" x="148"/>
        <item m="1" x="97"/>
        <item m="1" x="230"/>
        <item m="1" x="211"/>
        <item m="1" x="164"/>
        <item m="1" x="200"/>
        <item m="1" x="105"/>
        <item m="1" x="136"/>
        <item m="1" x="124"/>
        <item m="1" x="110"/>
        <item m="1" x="253"/>
        <item m="1" x="259"/>
        <item m="1" x="234"/>
        <item m="1" x="196"/>
        <item m="1" x="324"/>
        <item m="1" x="248"/>
        <item m="1" x="159"/>
        <item m="1" x="319"/>
        <item m="1" x="252"/>
        <item m="1" x="201"/>
        <item m="1" x="321"/>
        <item m="1" x="140"/>
        <item m="1" x="106"/>
        <item m="1" x="339"/>
        <item m="1" x="346"/>
        <item m="1" x="285"/>
        <item m="1" x="242"/>
        <item m="1" x="322"/>
        <item m="1" x="232"/>
        <item m="1" x="295"/>
        <item m="1" x="292"/>
        <item m="1" x="348"/>
        <item m="1" x="144"/>
        <item m="1" x="116"/>
        <item m="1" x="302"/>
        <item m="1" x="170"/>
        <item m="1" x="349"/>
        <item x="26"/>
        <item x="27"/>
        <item m="1" x="107"/>
        <item m="1" x="287"/>
        <item x="33"/>
        <item m="1" x="173"/>
        <item m="1" x="283"/>
        <item m="1" x="180"/>
        <item m="1" x="270"/>
        <item m="1" x="335"/>
        <item m="1" x="265"/>
        <item m="1" x="272"/>
        <item m="1" x="334"/>
        <item m="1" x="258"/>
        <item m="1" x="210"/>
        <item x="61"/>
        <item x="22"/>
        <item m="1" x="294"/>
        <item m="1" x="206"/>
        <item m="1" x="154"/>
        <item m="1" x="205"/>
        <item m="1" x="250"/>
        <item m="1" x="266"/>
        <item m="1" x="291"/>
        <item x="23"/>
        <item x="24"/>
        <item m="1" x="249"/>
        <item m="1" x="271"/>
        <item m="1" x="132"/>
        <item m="1" x="329"/>
        <item m="1" x="158"/>
        <item m="1" x="174"/>
        <item m="1" x="146"/>
        <item m="1" x="247"/>
        <item m="1" x="278"/>
        <item m="1" x="277"/>
        <item x="55"/>
        <item m="1" x="100"/>
        <item m="1" x="163"/>
        <item m="1" x="119"/>
        <item m="1" x="198"/>
        <item m="1" x="121"/>
        <item x="19"/>
        <item m="1" x="330"/>
        <item m="1" x="244"/>
        <item m="1" x="96"/>
        <item m="1" x="309"/>
        <item m="1" x="151"/>
        <item m="1" x="351"/>
        <item m="1" x="133"/>
        <item m="1" x="305"/>
        <item m="1" x="275"/>
        <item x="54"/>
        <item m="1" x="150"/>
        <item x="35"/>
        <item m="1" x="290"/>
        <item m="1" x="219"/>
        <item m="1" x="345"/>
        <item m="1" x="187"/>
        <item x="52"/>
        <item m="1" x="246"/>
        <item x="78"/>
        <item m="1" x="331"/>
        <item m="1" x="218"/>
        <item x="58"/>
        <item m="1" x="131"/>
        <item m="1" x="113"/>
        <item m="1" x="162"/>
        <item m="1" x="245"/>
        <item m="1" x="135"/>
        <item m="1" x="256"/>
        <item x="38"/>
        <item m="1" x="347"/>
        <item m="1" x="214"/>
        <item m="1" x="125"/>
        <item m="1" x="179"/>
        <item x="65"/>
        <item m="1" x="112"/>
        <item m="1" x="139"/>
        <item m="1" x="202"/>
        <item m="1" x="122"/>
        <item m="1" x="320"/>
        <item m="1" x="204"/>
        <item m="1" x="109"/>
        <item m="1" x="281"/>
        <item m="1" x="208"/>
        <item m="1" x="209"/>
        <item m="1" x="284"/>
        <item m="1" x="328"/>
        <item m="1" x="152"/>
        <item m="1" x="194"/>
        <item m="1" x="145"/>
        <item m="1" x="267"/>
        <item m="1" x="193"/>
        <item m="1" x="223"/>
        <item x="6"/>
        <item m="1" x="276"/>
        <item m="1" x="166"/>
        <item x="8"/>
        <item x="9"/>
        <item x="12"/>
        <item x="13"/>
        <item x="14"/>
        <item x="66"/>
        <item x="16"/>
        <item x="17"/>
        <item m="1" x="224"/>
        <item m="1" x="274"/>
        <item m="1" x="183"/>
        <item x="32"/>
        <item x="34"/>
        <item x="76"/>
        <item x="30"/>
        <item x="36"/>
        <item x="67"/>
        <item m="1" x="167"/>
        <item x="20"/>
        <item x="39"/>
        <item m="1" x="108"/>
        <item x="18"/>
        <item m="1" x="168"/>
        <item m="1" x="296"/>
        <item x="48"/>
        <item x="57"/>
        <item x="42"/>
        <item m="1" x="264"/>
        <item m="1" x="169"/>
        <item x="10"/>
        <item x="68"/>
        <item x="69"/>
        <item x="70"/>
        <item x="71"/>
        <item x="72"/>
        <item x="46"/>
        <item x="47"/>
        <item m="1" x="332"/>
        <item x="74"/>
        <item x="75"/>
        <item x="79"/>
        <item m="1" x="190"/>
        <item m="1" x="207"/>
        <item m="1" x="228"/>
        <item m="1" x="280"/>
        <item x="77"/>
        <item x="73"/>
        <item x="40"/>
        <item m="1" x="118"/>
        <item m="1" x="157"/>
        <item m="1" x="156"/>
        <item x="90"/>
        <item x="41"/>
        <item x="5"/>
        <item x="7"/>
        <item x="49"/>
        <item x="53"/>
        <item x="56"/>
        <item x="62"/>
        <item x="63"/>
        <item x="64"/>
        <item x="80"/>
        <item x="81"/>
        <item x="82"/>
        <item x="85"/>
        <item x="88"/>
        <item x="89"/>
        <item x="91"/>
        <item t="default"/>
      </items>
    </pivotField>
  </pivotFields>
  <rowFields count="1">
    <field x="3"/>
  </rowFields>
  <rowItems count="93">
    <i>
      <x/>
    </i>
    <i>
      <x v="1"/>
    </i>
    <i>
      <x v="3"/>
    </i>
    <i>
      <x v="4"/>
    </i>
    <i>
      <x v="5"/>
    </i>
    <i>
      <x v="8"/>
    </i>
    <i>
      <x v="15"/>
    </i>
    <i>
      <x v="20"/>
    </i>
    <i>
      <x v="21"/>
    </i>
    <i>
      <x v="24"/>
    </i>
    <i>
      <x v="25"/>
    </i>
    <i>
      <x v="26"/>
    </i>
    <i>
      <x v="29"/>
    </i>
    <i>
      <x v="30"/>
    </i>
    <i>
      <x v="31"/>
    </i>
    <i>
      <x v="35"/>
    </i>
    <i>
      <x v="37"/>
    </i>
    <i>
      <x v="38"/>
    </i>
    <i>
      <x v="59"/>
    </i>
    <i>
      <x v="65"/>
    </i>
    <i>
      <x v="66"/>
    </i>
    <i>
      <x v="67"/>
    </i>
    <i>
      <x v="117"/>
    </i>
    <i>
      <x v="126"/>
    </i>
    <i>
      <x v="186"/>
    </i>
    <i>
      <x v="187"/>
    </i>
    <i>
      <x v="190"/>
    </i>
    <i>
      <x v="201"/>
    </i>
    <i>
      <x v="202"/>
    </i>
    <i>
      <x v="210"/>
    </i>
    <i>
      <x v="211"/>
    </i>
    <i>
      <x v="222"/>
    </i>
    <i>
      <x v="228"/>
    </i>
    <i>
      <x v="238"/>
    </i>
    <i>
      <x v="240"/>
    </i>
    <i>
      <x v="245"/>
    </i>
    <i>
      <x v="247"/>
    </i>
    <i>
      <x v="250"/>
    </i>
    <i>
      <x v="257"/>
    </i>
    <i>
      <x v="262"/>
    </i>
    <i>
      <x v="281"/>
    </i>
    <i>
      <x v="284"/>
    </i>
    <i>
      <x v="285"/>
    </i>
    <i>
      <x v="286"/>
    </i>
    <i>
      <x v="287"/>
    </i>
    <i>
      <x v="288"/>
    </i>
    <i>
      <x v="289"/>
    </i>
    <i>
      <x v="290"/>
    </i>
    <i>
      <x v="291"/>
    </i>
    <i>
      <x v="295"/>
    </i>
    <i>
      <x v="296"/>
    </i>
    <i>
      <x v="297"/>
    </i>
    <i>
      <x v="298"/>
    </i>
    <i>
      <x v="299"/>
    </i>
    <i>
      <x v="300"/>
    </i>
    <i>
      <x v="302"/>
    </i>
    <i>
      <x v="303"/>
    </i>
    <i>
      <x v="305"/>
    </i>
    <i>
      <x v="308"/>
    </i>
    <i>
      <x v="309"/>
    </i>
    <i>
      <x v="310"/>
    </i>
    <i>
      <x v="313"/>
    </i>
    <i>
      <x v="314"/>
    </i>
    <i>
      <x v="315"/>
    </i>
    <i>
      <x v="316"/>
    </i>
    <i>
      <x v="317"/>
    </i>
    <i>
      <x v="318"/>
    </i>
    <i>
      <x v="319"/>
    </i>
    <i>
      <x v="320"/>
    </i>
    <i>
      <x v="322"/>
    </i>
    <i>
      <x v="323"/>
    </i>
    <i>
      <x v="324"/>
    </i>
    <i>
      <x v="329"/>
    </i>
    <i>
      <x v="330"/>
    </i>
    <i>
      <x v="331"/>
    </i>
    <i>
      <x v="335"/>
    </i>
    <i>
      <x v="336"/>
    </i>
    <i>
      <x v="337"/>
    </i>
    <i>
      <x v="338"/>
    </i>
    <i>
      <x v="339"/>
    </i>
    <i>
      <x v="340"/>
    </i>
    <i>
      <x v="341"/>
    </i>
    <i>
      <x v="342"/>
    </i>
    <i>
      <x v="343"/>
    </i>
    <i>
      <x v="344"/>
    </i>
    <i>
      <x v="345"/>
    </i>
    <i>
      <x v="346"/>
    </i>
    <i>
      <x v="347"/>
    </i>
    <i>
      <x v="348"/>
    </i>
    <i>
      <x v="349"/>
    </i>
    <i>
      <x v="350"/>
    </i>
    <i>
      <x v="351"/>
    </i>
    <i t="grand">
      <x/>
    </i>
  </rowItems>
  <colItems count="1">
    <i/>
  </colItems>
  <dataFields count="1">
    <dataField name="Suma de CANT." fld="0" baseField="3" baseItem="6"/>
  </dataFields>
  <formats count="2">
    <format dxfId="1">
      <pivotArea outline="0" collapsedLevelsAreSubtotals="1"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image" Target="../media/image6.emf"/><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7.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7.emf"/><Relationship Id="rId18" Type="http://schemas.openxmlformats.org/officeDocument/2006/relationships/control" Target="../activeX/activeX15.xml"/><Relationship Id="rId26" Type="http://schemas.openxmlformats.org/officeDocument/2006/relationships/control" Target="../activeX/activeX19.xml"/><Relationship Id="rId3" Type="http://schemas.openxmlformats.org/officeDocument/2006/relationships/vmlDrawing" Target="../drawings/vmlDrawing7.vml"/><Relationship Id="rId21" Type="http://schemas.openxmlformats.org/officeDocument/2006/relationships/image" Target="../media/image21.emf"/><Relationship Id="rId7" Type="http://schemas.openxmlformats.org/officeDocument/2006/relationships/image" Target="../media/image14.emf"/><Relationship Id="rId12" Type="http://schemas.openxmlformats.org/officeDocument/2006/relationships/control" Target="../activeX/activeX12.xml"/><Relationship Id="rId17" Type="http://schemas.openxmlformats.org/officeDocument/2006/relationships/image" Target="../media/image19.emf"/><Relationship Id="rId25" Type="http://schemas.openxmlformats.org/officeDocument/2006/relationships/image" Target="../media/image23.emf"/><Relationship Id="rId2" Type="http://schemas.openxmlformats.org/officeDocument/2006/relationships/drawing" Target="../drawings/drawing6.xml"/><Relationship Id="rId16" Type="http://schemas.openxmlformats.org/officeDocument/2006/relationships/control" Target="../activeX/activeX14.xml"/><Relationship Id="rId20" Type="http://schemas.openxmlformats.org/officeDocument/2006/relationships/control" Target="../activeX/activeX16.xml"/><Relationship Id="rId29" Type="http://schemas.openxmlformats.org/officeDocument/2006/relationships/image" Target="../media/image25.emf"/><Relationship Id="rId1" Type="http://schemas.openxmlformats.org/officeDocument/2006/relationships/printerSettings" Target="../printerSettings/printerSettings11.bin"/><Relationship Id="rId6" Type="http://schemas.openxmlformats.org/officeDocument/2006/relationships/control" Target="../activeX/activeX9.xml"/><Relationship Id="rId11" Type="http://schemas.openxmlformats.org/officeDocument/2006/relationships/image" Target="../media/image16.emf"/><Relationship Id="rId24" Type="http://schemas.openxmlformats.org/officeDocument/2006/relationships/control" Target="../activeX/activeX18.xml"/><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2.emf"/><Relationship Id="rId28" Type="http://schemas.openxmlformats.org/officeDocument/2006/relationships/control" Target="../activeX/activeX20.xml"/><Relationship Id="rId10" Type="http://schemas.openxmlformats.org/officeDocument/2006/relationships/control" Target="../activeX/activeX11.xml"/><Relationship Id="rId19" Type="http://schemas.openxmlformats.org/officeDocument/2006/relationships/image" Target="../media/image20.emf"/><Relationship Id="rId4" Type="http://schemas.openxmlformats.org/officeDocument/2006/relationships/control" Target="../activeX/activeX8.xml"/><Relationship Id="rId9" Type="http://schemas.openxmlformats.org/officeDocument/2006/relationships/image" Target="../media/image15.emf"/><Relationship Id="rId14" Type="http://schemas.openxmlformats.org/officeDocument/2006/relationships/control" Target="../activeX/activeX13.xml"/><Relationship Id="rId22" Type="http://schemas.openxmlformats.org/officeDocument/2006/relationships/control" Target="../activeX/activeX17.xml"/><Relationship Id="rId27" Type="http://schemas.openxmlformats.org/officeDocument/2006/relationships/image" Target="../media/image24.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
  <dimension ref="A1:ATO3595"/>
  <sheetViews>
    <sheetView showGridLines="0" tabSelected="1" topLeftCell="A2" zoomScaleNormal="100" zoomScaleSheetLayoutView="10" workbookViewId="0">
      <selection activeCell="C15" sqref="C15"/>
    </sheetView>
  </sheetViews>
  <sheetFormatPr baseColWidth="10" defaultColWidth="11.44140625" defaultRowHeight="13.2"/>
  <cols>
    <col min="1" max="1" width="25.5546875" style="213" customWidth="1"/>
    <col min="2" max="2" width="5.88671875" style="213" customWidth="1"/>
    <col min="3" max="3" width="115.33203125" style="706" customWidth="1"/>
    <col min="4" max="4" width="29.109375" style="213" customWidth="1"/>
    <col min="5" max="5" width="9.6640625" style="707" customWidth="1"/>
    <col min="6" max="6" width="10.44140625" style="2001" customWidth="1"/>
    <col min="7" max="7" width="14.5546875" style="705" customWidth="1"/>
    <col min="8" max="8" width="10" style="705" customWidth="1"/>
    <col min="9" max="9" width="11.6640625" style="705" customWidth="1"/>
    <col min="10" max="10" width="20.88671875" style="707" customWidth="1"/>
    <col min="11" max="11" width="3.88671875" style="112" customWidth="1"/>
    <col min="12" max="12" width="3" style="363" customWidth="1"/>
    <col min="13" max="13" width="3" style="112" customWidth="1"/>
    <col min="14" max="14" width="5.88671875" style="362" customWidth="1"/>
    <col min="15" max="15" width="19.88671875" style="573" bestFit="1" customWidth="1"/>
    <col min="16" max="16" width="104.5546875" style="120" customWidth="1"/>
    <col min="17" max="17" width="26.109375" style="120" customWidth="1"/>
    <col min="18" max="21" width="11.44140625" style="120"/>
    <col min="22" max="23" width="11.44140625" style="120" customWidth="1"/>
    <col min="24" max="1211" width="11.44140625" style="120"/>
    <col min="1212" max="16384" width="11.44140625" style="20"/>
  </cols>
  <sheetData>
    <row r="1" spans="1:1211" s="1732" customFormat="1" ht="21.75" customHeight="1" thickBot="1">
      <c r="A1" s="1753" t="s">
        <v>4015</v>
      </c>
      <c r="B1" s="2518"/>
      <c r="C1" s="2519"/>
      <c r="D1" s="1882"/>
      <c r="E1" s="1993"/>
      <c r="F1" s="1993"/>
      <c r="G1" s="1727"/>
      <c r="H1" s="1728"/>
      <c r="I1" s="2528" t="s">
        <v>13368</v>
      </c>
      <c r="J1" s="2529"/>
      <c r="K1" s="2534">
        <v>6</v>
      </c>
      <c r="L1" s="2535"/>
      <c r="M1" s="1352" t="s">
        <v>4748</v>
      </c>
      <c r="N1" s="1352"/>
      <c r="O1" s="1351"/>
      <c r="P1" s="1729"/>
      <c r="Q1" s="1729"/>
      <c r="R1" s="1729"/>
      <c r="S1" s="1729"/>
      <c r="T1" s="1729"/>
      <c r="U1" s="1729"/>
      <c r="V1" s="1730" t="s">
        <v>11658</v>
      </c>
      <c r="W1" s="1731">
        <v>1</v>
      </c>
      <c r="X1" s="1729"/>
      <c r="Y1" s="1729"/>
      <c r="Z1" s="1729"/>
      <c r="AA1" s="1729"/>
      <c r="AB1" s="1729"/>
      <c r="AC1" s="1729"/>
      <c r="AD1" s="1729"/>
      <c r="AE1" s="1729"/>
      <c r="AF1" s="1729"/>
      <c r="AG1" s="1729"/>
      <c r="AH1" s="1729"/>
      <c r="AI1" s="1729"/>
      <c r="AJ1" s="1729"/>
      <c r="AK1" s="1729"/>
      <c r="AL1" s="1729"/>
      <c r="AM1" s="1729"/>
      <c r="AN1" s="1729"/>
      <c r="AO1" s="1729"/>
      <c r="AP1" s="1729"/>
      <c r="AQ1" s="1729"/>
      <c r="AR1" s="1729"/>
      <c r="AS1" s="1729"/>
      <c r="AT1" s="1729"/>
      <c r="AU1" s="1729"/>
      <c r="AV1" s="1729"/>
      <c r="AW1" s="1729"/>
      <c r="AX1" s="1729"/>
      <c r="AY1" s="1729"/>
      <c r="AZ1" s="1729"/>
      <c r="BA1" s="1729"/>
      <c r="BB1" s="1729"/>
      <c r="BC1" s="1729"/>
      <c r="BD1" s="1729"/>
      <c r="BE1" s="1729"/>
      <c r="BF1" s="1729"/>
      <c r="BG1" s="1729"/>
      <c r="BH1" s="1729"/>
      <c r="BI1" s="1729"/>
      <c r="BJ1" s="1729"/>
      <c r="BK1" s="1729"/>
      <c r="BL1" s="1729"/>
      <c r="BM1" s="1729"/>
      <c r="BN1" s="1729"/>
      <c r="BO1" s="1729"/>
      <c r="BP1" s="1729"/>
      <c r="BQ1" s="1729"/>
      <c r="BR1" s="1729"/>
      <c r="BS1" s="1729"/>
      <c r="BT1" s="1729"/>
      <c r="BU1" s="1729"/>
      <c r="BV1" s="1729"/>
      <c r="BW1" s="1729"/>
      <c r="BX1" s="1729"/>
      <c r="BY1" s="1729"/>
      <c r="BZ1" s="1729"/>
      <c r="CA1" s="1729"/>
      <c r="CB1" s="1729"/>
      <c r="CC1" s="1729"/>
      <c r="CD1" s="1729"/>
      <c r="CE1" s="1729"/>
      <c r="CF1" s="1729"/>
      <c r="CG1" s="1729"/>
      <c r="CH1" s="1729"/>
      <c r="CI1" s="1729"/>
      <c r="CJ1" s="1729"/>
      <c r="CK1" s="1729"/>
      <c r="CL1" s="1729"/>
      <c r="CM1" s="1729"/>
      <c r="CN1" s="1729"/>
      <c r="CO1" s="1729"/>
      <c r="CP1" s="1729"/>
      <c r="CQ1" s="1729"/>
      <c r="CR1" s="1729"/>
      <c r="CS1" s="1729"/>
      <c r="CT1" s="1729"/>
      <c r="CU1" s="1729"/>
      <c r="CV1" s="1729"/>
      <c r="CW1" s="1729"/>
      <c r="CX1" s="1729"/>
      <c r="CY1" s="1729"/>
      <c r="CZ1" s="1729"/>
      <c r="DA1" s="1729"/>
      <c r="DB1" s="1729"/>
      <c r="DC1" s="1729"/>
      <c r="DD1" s="1729"/>
      <c r="DE1" s="1729"/>
      <c r="DF1" s="1729"/>
      <c r="DG1" s="1729"/>
      <c r="DH1" s="1729"/>
      <c r="DI1" s="1729"/>
      <c r="DJ1" s="1729"/>
      <c r="DK1" s="1729"/>
      <c r="DL1" s="1729"/>
      <c r="DM1" s="1729"/>
      <c r="DN1" s="1729"/>
      <c r="DO1" s="1729"/>
      <c r="DP1" s="1729"/>
      <c r="DQ1" s="1729"/>
      <c r="DR1" s="1729"/>
      <c r="DS1" s="1729"/>
      <c r="DT1" s="1729"/>
      <c r="DU1" s="1729"/>
      <c r="DV1" s="1729"/>
      <c r="DW1" s="1729"/>
      <c r="DX1" s="1729"/>
      <c r="DY1" s="1729"/>
      <c r="DZ1" s="1729"/>
      <c r="EA1" s="1729"/>
      <c r="EB1" s="1729"/>
      <c r="EC1" s="1729"/>
      <c r="ED1" s="1729"/>
      <c r="EE1" s="1729"/>
      <c r="EF1" s="1729"/>
      <c r="EG1" s="1729"/>
      <c r="EH1" s="1729"/>
      <c r="EI1" s="1729"/>
      <c r="EJ1" s="1729"/>
      <c r="EK1" s="1729"/>
      <c r="EL1" s="1729"/>
      <c r="EM1" s="1729"/>
      <c r="EN1" s="1729"/>
      <c r="EO1" s="1729"/>
      <c r="EP1" s="1729"/>
      <c r="EQ1" s="1729"/>
      <c r="ER1" s="1729"/>
      <c r="ES1" s="1729"/>
      <c r="ET1" s="1729"/>
      <c r="EU1" s="1729"/>
      <c r="EV1" s="1729"/>
      <c r="EW1" s="1729"/>
      <c r="EX1" s="1729"/>
      <c r="EY1" s="1729"/>
      <c r="EZ1" s="1729"/>
      <c r="FA1" s="1729"/>
      <c r="FB1" s="1729"/>
      <c r="FC1" s="1729"/>
      <c r="FD1" s="1729"/>
      <c r="FE1" s="1729"/>
      <c r="FF1" s="1729"/>
      <c r="FG1" s="1729"/>
      <c r="FH1" s="1729"/>
      <c r="FI1" s="1729"/>
      <c r="FJ1" s="1729"/>
      <c r="FK1" s="1729"/>
      <c r="FL1" s="1729"/>
      <c r="FM1" s="1729"/>
      <c r="FN1" s="1729"/>
      <c r="FO1" s="1729"/>
      <c r="FP1" s="1729"/>
      <c r="FQ1" s="1729"/>
      <c r="FR1" s="1729"/>
      <c r="FS1" s="1729"/>
      <c r="FT1" s="1729"/>
      <c r="FU1" s="1729"/>
      <c r="FV1" s="1729"/>
      <c r="FW1" s="1729"/>
      <c r="FX1" s="1729"/>
      <c r="FY1" s="1729"/>
      <c r="FZ1" s="1729"/>
      <c r="GA1" s="1729"/>
      <c r="GB1" s="1729"/>
      <c r="GC1" s="1729"/>
      <c r="GD1" s="1729"/>
      <c r="GE1" s="1729"/>
      <c r="GF1" s="1729"/>
      <c r="GG1" s="1729"/>
      <c r="GH1" s="1729"/>
      <c r="GI1" s="1729"/>
      <c r="GJ1" s="1729"/>
      <c r="GK1" s="1729"/>
      <c r="GL1" s="1729"/>
      <c r="GM1" s="1729"/>
      <c r="GN1" s="1729"/>
      <c r="GO1" s="1729"/>
      <c r="GP1" s="1729"/>
      <c r="GQ1" s="1729"/>
      <c r="GR1" s="1729"/>
      <c r="GS1" s="1729"/>
      <c r="GT1" s="1729"/>
      <c r="GU1" s="1729"/>
      <c r="GV1" s="1729"/>
      <c r="GW1" s="1729"/>
      <c r="GX1" s="1729"/>
      <c r="GY1" s="1729"/>
      <c r="GZ1" s="1729"/>
      <c r="HA1" s="1729"/>
      <c r="HB1" s="1729"/>
      <c r="HC1" s="1729"/>
      <c r="HD1" s="1729"/>
      <c r="HE1" s="1729"/>
      <c r="HF1" s="1729"/>
      <c r="HG1" s="1729"/>
      <c r="HH1" s="1729"/>
      <c r="HI1" s="1729"/>
      <c r="HJ1" s="1729"/>
      <c r="HK1" s="1729"/>
      <c r="HL1" s="1729"/>
      <c r="HM1" s="1729"/>
      <c r="HN1" s="1729"/>
      <c r="HO1" s="1729"/>
      <c r="HP1" s="1729"/>
      <c r="HQ1" s="1729"/>
      <c r="HR1" s="1729"/>
      <c r="HS1" s="1729"/>
      <c r="HT1" s="1729"/>
      <c r="HU1" s="1729"/>
      <c r="HV1" s="1729"/>
      <c r="HW1" s="1729"/>
      <c r="HX1" s="1729"/>
      <c r="HY1" s="1729"/>
      <c r="HZ1" s="1729"/>
      <c r="IA1" s="1729"/>
      <c r="IB1" s="1729"/>
      <c r="IC1" s="1729"/>
      <c r="ID1" s="1729"/>
      <c r="IE1" s="1729"/>
      <c r="IF1" s="1729"/>
      <c r="IG1" s="1729"/>
      <c r="IH1" s="1729"/>
      <c r="II1" s="1729"/>
      <c r="IJ1" s="1729"/>
      <c r="IK1" s="1729"/>
      <c r="IL1" s="1729"/>
      <c r="IM1" s="1729"/>
      <c r="IN1" s="1729"/>
      <c r="IO1" s="1729"/>
      <c r="IP1" s="1729"/>
      <c r="IQ1" s="1729"/>
      <c r="IR1" s="1729"/>
      <c r="IS1" s="1729"/>
      <c r="IT1" s="1729"/>
      <c r="IU1" s="1729"/>
      <c r="IV1" s="1729"/>
      <c r="IW1" s="1729"/>
      <c r="IX1" s="1729"/>
      <c r="IY1" s="1729"/>
      <c r="IZ1" s="1729"/>
      <c r="JA1" s="1729"/>
      <c r="JB1" s="1729"/>
      <c r="JC1" s="1729"/>
      <c r="JD1" s="1729"/>
      <c r="JE1" s="1729"/>
      <c r="JF1" s="1729"/>
      <c r="JG1" s="1729"/>
      <c r="JH1" s="1729"/>
      <c r="JI1" s="1729"/>
      <c r="JJ1" s="1729"/>
      <c r="JK1" s="1729"/>
      <c r="JL1" s="1729"/>
      <c r="JM1" s="1729"/>
      <c r="JN1" s="1729"/>
      <c r="JO1" s="1729"/>
      <c r="JP1" s="1729"/>
      <c r="JQ1" s="1729"/>
      <c r="JR1" s="1729"/>
      <c r="JS1" s="1729"/>
      <c r="JT1" s="1729"/>
      <c r="JU1" s="1729"/>
      <c r="JV1" s="1729"/>
      <c r="JW1" s="1729"/>
      <c r="JX1" s="1729"/>
      <c r="JY1" s="1729"/>
      <c r="JZ1" s="1729"/>
      <c r="KA1" s="1729"/>
      <c r="KB1" s="1729"/>
      <c r="KC1" s="1729"/>
      <c r="KD1" s="1729"/>
      <c r="KE1" s="1729"/>
      <c r="KF1" s="1729"/>
      <c r="KG1" s="1729"/>
      <c r="KH1" s="1729"/>
      <c r="KI1" s="1729"/>
      <c r="KJ1" s="1729"/>
      <c r="KK1" s="1729"/>
      <c r="KL1" s="1729"/>
      <c r="KM1" s="1729"/>
      <c r="KN1" s="1729"/>
      <c r="KO1" s="1729"/>
      <c r="KP1" s="1729"/>
      <c r="KQ1" s="1729"/>
      <c r="KR1" s="1729"/>
      <c r="KS1" s="1729"/>
      <c r="KT1" s="1729"/>
      <c r="KU1" s="1729"/>
      <c r="KV1" s="1729"/>
      <c r="KW1" s="1729"/>
      <c r="KX1" s="1729"/>
      <c r="KY1" s="1729"/>
      <c r="KZ1" s="1729"/>
      <c r="LA1" s="1729"/>
      <c r="LB1" s="1729"/>
      <c r="LC1" s="1729"/>
      <c r="LD1" s="1729"/>
      <c r="LE1" s="1729"/>
      <c r="LF1" s="1729"/>
      <c r="LG1" s="1729"/>
      <c r="LH1" s="1729"/>
      <c r="LI1" s="1729"/>
      <c r="LJ1" s="1729"/>
      <c r="LK1" s="1729"/>
      <c r="LL1" s="1729"/>
      <c r="LM1" s="1729"/>
      <c r="LN1" s="1729"/>
      <c r="LO1" s="1729"/>
      <c r="LP1" s="1729"/>
      <c r="LQ1" s="1729"/>
      <c r="LR1" s="1729"/>
      <c r="LS1" s="1729"/>
      <c r="LT1" s="1729"/>
      <c r="LU1" s="1729"/>
      <c r="LV1" s="1729"/>
      <c r="LW1" s="1729"/>
      <c r="LX1" s="1729"/>
      <c r="LY1" s="1729"/>
      <c r="LZ1" s="1729"/>
      <c r="MA1" s="1729"/>
      <c r="MB1" s="1729"/>
      <c r="MC1" s="1729"/>
      <c r="MD1" s="1729"/>
      <c r="ME1" s="1729"/>
      <c r="MF1" s="1729"/>
      <c r="MG1" s="1729"/>
      <c r="MH1" s="1729"/>
      <c r="MI1" s="1729"/>
      <c r="MJ1" s="1729"/>
      <c r="MK1" s="1729"/>
      <c r="ML1" s="1729"/>
      <c r="MM1" s="1729"/>
      <c r="MN1" s="1729"/>
      <c r="MO1" s="1729"/>
      <c r="MP1" s="1729"/>
      <c r="MQ1" s="1729"/>
      <c r="MR1" s="1729"/>
      <c r="MS1" s="1729"/>
      <c r="MT1" s="1729"/>
      <c r="MU1" s="1729"/>
      <c r="MV1" s="1729"/>
      <c r="MW1" s="1729"/>
      <c r="MX1" s="1729"/>
      <c r="MY1" s="1729"/>
      <c r="MZ1" s="1729"/>
      <c r="NA1" s="1729"/>
      <c r="NB1" s="1729"/>
      <c r="NC1" s="1729"/>
      <c r="ND1" s="1729"/>
      <c r="NE1" s="1729"/>
      <c r="NF1" s="1729"/>
      <c r="NG1" s="1729"/>
      <c r="NH1" s="1729"/>
      <c r="NI1" s="1729"/>
      <c r="NJ1" s="1729"/>
      <c r="NK1" s="1729"/>
      <c r="NL1" s="1729"/>
      <c r="NM1" s="1729"/>
      <c r="NN1" s="1729"/>
      <c r="NO1" s="1729"/>
      <c r="NP1" s="1729"/>
      <c r="NQ1" s="1729"/>
      <c r="NR1" s="1729"/>
      <c r="NS1" s="1729"/>
      <c r="NT1" s="1729"/>
      <c r="NU1" s="1729"/>
      <c r="NV1" s="1729"/>
      <c r="NW1" s="1729"/>
      <c r="NX1" s="1729"/>
      <c r="NY1" s="1729"/>
      <c r="NZ1" s="1729"/>
      <c r="OA1" s="1729"/>
      <c r="OB1" s="1729"/>
      <c r="OC1" s="1729"/>
      <c r="OD1" s="1729"/>
      <c r="OE1" s="1729"/>
      <c r="OF1" s="1729"/>
      <c r="OG1" s="1729"/>
      <c r="OH1" s="1729"/>
      <c r="OI1" s="1729"/>
      <c r="OJ1" s="1729"/>
      <c r="OK1" s="1729"/>
      <c r="OL1" s="1729"/>
      <c r="OM1" s="1729"/>
      <c r="ON1" s="1729"/>
      <c r="OO1" s="1729"/>
      <c r="OP1" s="1729"/>
      <c r="OQ1" s="1729"/>
      <c r="OR1" s="1729"/>
      <c r="OS1" s="1729"/>
      <c r="OT1" s="1729"/>
      <c r="OU1" s="1729"/>
      <c r="OV1" s="1729"/>
      <c r="OW1" s="1729"/>
      <c r="OX1" s="1729"/>
      <c r="OY1" s="1729"/>
      <c r="OZ1" s="1729"/>
      <c r="PA1" s="1729"/>
      <c r="PB1" s="1729"/>
      <c r="PC1" s="1729"/>
      <c r="PD1" s="1729"/>
      <c r="PE1" s="1729"/>
      <c r="PF1" s="1729"/>
      <c r="PG1" s="1729"/>
      <c r="PH1" s="1729"/>
      <c r="PI1" s="1729"/>
      <c r="PJ1" s="1729"/>
      <c r="PK1" s="1729"/>
      <c r="PL1" s="1729"/>
      <c r="PM1" s="1729"/>
      <c r="PN1" s="1729"/>
      <c r="PO1" s="1729"/>
      <c r="PP1" s="1729"/>
      <c r="PQ1" s="1729"/>
      <c r="PR1" s="1729"/>
      <c r="PS1" s="1729"/>
      <c r="PT1" s="1729"/>
      <c r="PU1" s="1729"/>
      <c r="PV1" s="1729"/>
      <c r="PW1" s="1729"/>
      <c r="PX1" s="1729"/>
      <c r="PY1" s="1729"/>
      <c r="PZ1" s="1729"/>
      <c r="QA1" s="1729"/>
      <c r="QB1" s="1729"/>
      <c r="QC1" s="1729"/>
      <c r="QD1" s="1729"/>
      <c r="QE1" s="1729"/>
      <c r="QF1" s="1729"/>
      <c r="QG1" s="1729"/>
      <c r="QH1" s="1729"/>
      <c r="QI1" s="1729"/>
      <c r="QJ1" s="1729"/>
      <c r="QK1" s="1729"/>
      <c r="QL1" s="1729"/>
      <c r="QM1" s="1729"/>
      <c r="QN1" s="1729"/>
      <c r="QO1" s="1729"/>
      <c r="QP1" s="1729"/>
      <c r="QQ1" s="1729"/>
      <c r="QR1" s="1729"/>
      <c r="QS1" s="1729"/>
      <c r="QT1" s="1729"/>
      <c r="QU1" s="1729"/>
      <c r="QV1" s="1729"/>
      <c r="QW1" s="1729"/>
      <c r="QX1" s="1729"/>
      <c r="QY1" s="1729"/>
      <c r="QZ1" s="1729"/>
      <c r="RA1" s="1729"/>
      <c r="RB1" s="1729"/>
      <c r="RC1" s="1729"/>
      <c r="RD1" s="1729"/>
      <c r="RE1" s="1729"/>
      <c r="RF1" s="1729"/>
      <c r="RG1" s="1729"/>
      <c r="RH1" s="1729"/>
      <c r="RI1" s="1729"/>
      <c r="RJ1" s="1729"/>
      <c r="RK1" s="1729"/>
      <c r="RL1" s="1729"/>
      <c r="RM1" s="1729"/>
      <c r="RN1" s="1729"/>
      <c r="RO1" s="1729"/>
      <c r="RP1" s="1729"/>
      <c r="RQ1" s="1729"/>
      <c r="RR1" s="1729"/>
      <c r="RS1" s="1729"/>
      <c r="RT1" s="1729"/>
      <c r="RU1" s="1729"/>
      <c r="RV1" s="1729"/>
      <c r="RW1" s="1729"/>
      <c r="RX1" s="1729"/>
      <c r="RY1" s="1729"/>
      <c r="RZ1" s="1729"/>
      <c r="SA1" s="1729"/>
      <c r="SB1" s="1729"/>
      <c r="SC1" s="1729"/>
      <c r="SD1" s="1729"/>
      <c r="SE1" s="1729"/>
      <c r="SF1" s="1729"/>
      <c r="SG1" s="1729"/>
      <c r="SH1" s="1729"/>
      <c r="SI1" s="1729"/>
      <c r="SJ1" s="1729"/>
      <c r="SK1" s="1729"/>
      <c r="SL1" s="1729"/>
      <c r="SM1" s="1729"/>
      <c r="SN1" s="1729"/>
      <c r="SO1" s="1729"/>
      <c r="SP1" s="1729"/>
      <c r="SQ1" s="1729"/>
      <c r="SR1" s="1729"/>
      <c r="SS1" s="1729"/>
      <c r="ST1" s="1729"/>
      <c r="SU1" s="1729"/>
      <c r="SV1" s="1729"/>
      <c r="SW1" s="1729"/>
      <c r="SX1" s="1729"/>
      <c r="SY1" s="1729"/>
      <c r="SZ1" s="1729"/>
      <c r="TA1" s="1729"/>
      <c r="TB1" s="1729"/>
      <c r="TC1" s="1729"/>
      <c r="TD1" s="1729"/>
      <c r="TE1" s="1729"/>
      <c r="TF1" s="1729"/>
      <c r="TG1" s="1729"/>
      <c r="TH1" s="1729"/>
      <c r="TI1" s="1729"/>
      <c r="TJ1" s="1729"/>
      <c r="TK1" s="1729"/>
      <c r="TL1" s="1729"/>
      <c r="TM1" s="1729"/>
      <c r="TN1" s="1729"/>
      <c r="TO1" s="1729"/>
      <c r="TP1" s="1729"/>
      <c r="TQ1" s="1729"/>
      <c r="TR1" s="1729"/>
      <c r="TS1" s="1729"/>
      <c r="TT1" s="1729"/>
      <c r="TU1" s="1729"/>
      <c r="TV1" s="1729"/>
      <c r="TW1" s="1729"/>
      <c r="TX1" s="1729"/>
      <c r="TY1" s="1729"/>
      <c r="TZ1" s="1729"/>
      <c r="UA1" s="1729"/>
      <c r="UB1" s="1729"/>
      <c r="UC1" s="1729"/>
      <c r="UD1" s="1729"/>
      <c r="UE1" s="1729"/>
      <c r="UF1" s="1729"/>
      <c r="UG1" s="1729"/>
      <c r="UH1" s="1729"/>
      <c r="UI1" s="1729"/>
      <c r="UJ1" s="1729"/>
      <c r="UK1" s="1729"/>
      <c r="UL1" s="1729"/>
      <c r="UM1" s="1729"/>
      <c r="UN1" s="1729"/>
      <c r="UO1" s="1729"/>
      <c r="UP1" s="1729"/>
      <c r="UQ1" s="1729"/>
      <c r="UR1" s="1729"/>
      <c r="US1" s="1729"/>
      <c r="UT1" s="1729"/>
      <c r="UU1" s="1729"/>
      <c r="UV1" s="1729"/>
      <c r="UW1" s="1729"/>
      <c r="UX1" s="1729"/>
      <c r="UY1" s="1729"/>
      <c r="UZ1" s="1729"/>
      <c r="VA1" s="1729"/>
      <c r="VB1" s="1729"/>
      <c r="VC1" s="1729"/>
      <c r="VD1" s="1729"/>
      <c r="VE1" s="1729"/>
      <c r="VF1" s="1729"/>
      <c r="VG1" s="1729"/>
      <c r="VH1" s="1729"/>
      <c r="VI1" s="1729"/>
      <c r="VJ1" s="1729"/>
      <c r="VK1" s="1729"/>
      <c r="VL1" s="1729"/>
      <c r="VM1" s="1729"/>
      <c r="VN1" s="1729"/>
      <c r="VO1" s="1729"/>
      <c r="VP1" s="1729"/>
      <c r="VQ1" s="1729"/>
      <c r="VR1" s="1729"/>
      <c r="VS1" s="1729"/>
      <c r="VT1" s="1729"/>
      <c r="VU1" s="1729"/>
      <c r="VV1" s="1729"/>
      <c r="VW1" s="1729"/>
      <c r="VX1" s="1729"/>
      <c r="VY1" s="1729"/>
      <c r="VZ1" s="1729"/>
      <c r="WA1" s="1729"/>
      <c r="WB1" s="1729"/>
      <c r="WC1" s="1729"/>
      <c r="WD1" s="1729"/>
      <c r="WE1" s="1729"/>
      <c r="WF1" s="1729"/>
      <c r="WG1" s="1729"/>
      <c r="WH1" s="1729"/>
      <c r="WI1" s="1729"/>
      <c r="WJ1" s="1729"/>
      <c r="WK1" s="1729"/>
      <c r="WL1" s="1729"/>
      <c r="WM1" s="1729"/>
      <c r="WN1" s="1729"/>
      <c r="WO1" s="1729"/>
      <c r="WP1" s="1729"/>
      <c r="WQ1" s="1729"/>
      <c r="WR1" s="1729"/>
      <c r="WS1" s="1729"/>
      <c r="WT1" s="1729"/>
      <c r="WU1" s="1729"/>
      <c r="WV1" s="1729"/>
      <c r="WW1" s="1729"/>
      <c r="WX1" s="1729"/>
      <c r="WY1" s="1729"/>
      <c r="WZ1" s="1729"/>
      <c r="XA1" s="1729"/>
      <c r="XB1" s="1729"/>
      <c r="XC1" s="1729"/>
      <c r="XD1" s="1729"/>
      <c r="XE1" s="1729"/>
      <c r="XF1" s="1729"/>
      <c r="XG1" s="1729"/>
      <c r="XH1" s="1729"/>
      <c r="XI1" s="1729"/>
      <c r="XJ1" s="1729"/>
      <c r="XK1" s="1729"/>
      <c r="XL1" s="1729"/>
      <c r="XM1" s="1729"/>
      <c r="XN1" s="1729"/>
      <c r="XO1" s="1729"/>
      <c r="XP1" s="1729"/>
      <c r="XQ1" s="1729"/>
      <c r="XR1" s="1729"/>
      <c r="XS1" s="1729"/>
      <c r="XT1" s="1729"/>
      <c r="XU1" s="1729"/>
      <c r="XV1" s="1729"/>
      <c r="XW1" s="1729"/>
      <c r="XX1" s="1729"/>
      <c r="XY1" s="1729"/>
      <c r="XZ1" s="1729"/>
      <c r="YA1" s="1729"/>
      <c r="YB1" s="1729"/>
      <c r="YC1" s="1729"/>
      <c r="YD1" s="1729"/>
      <c r="YE1" s="1729"/>
      <c r="YF1" s="1729"/>
      <c r="YG1" s="1729"/>
      <c r="YH1" s="1729"/>
      <c r="YI1" s="1729"/>
      <c r="YJ1" s="1729"/>
      <c r="YK1" s="1729"/>
      <c r="YL1" s="1729"/>
      <c r="YM1" s="1729"/>
      <c r="YN1" s="1729"/>
      <c r="YO1" s="1729"/>
      <c r="YP1" s="1729"/>
      <c r="YQ1" s="1729"/>
      <c r="YR1" s="1729"/>
      <c r="YS1" s="1729"/>
      <c r="YT1" s="1729"/>
      <c r="YU1" s="1729"/>
      <c r="YV1" s="1729"/>
      <c r="YW1" s="1729"/>
      <c r="YX1" s="1729"/>
      <c r="YY1" s="1729"/>
      <c r="YZ1" s="1729"/>
      <c r="ZA1" s="1729"/>
      <c r="ZB1" s="1729"/>
      <c r="ZC1" s="1729"/>
      <c r="ZD1" s="1729"/>
      <c r="ZE1" s="1729"/>
      <c r="ZF1" s="1729"/>
      <c r="ZG1" s="1729"/>
      <c r="ZH1" s="1729"/>
      <c r="ZI1" s="1729"/>
      <c r="ZJ1" s="1729"/>
      <c r="ZK1" s="1729"/>
      <c r="ZL1" s="1729"/>
      <c r="ZM1" s="1729"/>
      <c r="ZN1" s="1729"/>
      <c r="ZO1" s="1729"/>
      <c r="ZP1" s="1729"/>
      <c r="ZQ1" s="1729"/>
      <c r="ZR1" s="1729"/>
      <c r="ZS1" s="1729"/>
      <c r="ZT1" s="1729"/>
      <c r="ZU1" s="1729"/>
      <c r="ZV1" s="1729"/>
      <c r="ZW1" s="1729"/>
      <c r="ZX1" s="1729"/>
      <c r="ZY1" s="1729"/>
      <c r="ZZ1" s="1729"/>
      <c r="AAA1" s="1729"/>
      <c r="AAB1" s="1729"/>
      <c r="AAC1" s="1729"/>
      <c r="AAD1" s="1729"/>
      <c r="AAE1" s="1729"/>
      <c r="AAF1" s="1729"/>
      <c r="AAG1" s="1729"/>
      <c r="AAH1" s="1729"/>
      <c r="AAI1" s="1729"/>
      <c r="AAJ1" s="1729"/>
      <c r="AAK1" s="1729"/>
      <c r="AAL1" s="1729"/>
      <c r="AAM1" s="1729"/>
      <c r="AAN1" s="1729"/>
      <c r="AAO1" s="1729"/>
      <c r="AAP1" s="1729"/>
      <c r="AAQ1" s="1729"/>
      <c r="AAR1" s="1729"/>
      <c r="AAS1" s="1729"/>
      <c r="AAT1" s="1729"/>
      <c r="AAU1" s="1729"/>
      <c r="AAV1" s="1729"/>
      <c r="AAW1" s="1729"/>
      <c r="AAX1" s="1729"/>
      <c r="AAY1" s="1729"/>
      <c r="AAZ1" s="1729"/>
      <c r="ABA1" s="1729"/>
      <c r="ABB1" s="1729"/>
      <c r="ABC1" s="1729"/>
      <c r="ABD1" s="1729"/>
      <c r="ABE1" s="1729"/>
      <c r="ABF1" s="1729"/>
      <c r="ABG1" s="1729"/>
      <c r="ABH1" s="1729"/>
      <c r="ABI1" s="1729"/>
      <c r="ABJ1" s="1729"/>
      <c r="ABK1" s="1729"/>
      <c r="ABL1" s="1729"/>
      <c r="ABM1" s="1729"/>
      <c r="ABN1" s="1729"/>
      <c r="ABO1" s="1729"/>
      <c r="ABP1" s="1729"/>
      <c r="ABQ1" s="1729"/>
      <c r="ABR1" s="1729"/>
      <c r="ABS1" s="1729"/>
      <c r="ABT1" s="1729"/>
      <c r="ABU1" s="1729"/>
      <c r="ABV1" s="1729"/>
      <c r="ABW1" s="1729"/>
      <c r="ABX1" s="1729"/>
      <c r="ABY1" s="1729"/>
      <c r="ABZ1" s="1729"/>
      <c r="ACA1" s="1729"/>
      <c r="ACB1" s="1729"/>
      <c r="ACC1" s="1729"/>
      <c r="ACD1" s="1729"/>
      <c r="ACE1" s="1729"/>
      <c r="ACF1" s="1729"/>
      <c r="ACG1" s="1729"/>
      <c r="ACH1" s="1729"/>
      <c r="ACI1" s="1729"/>
      <c r="ACJ1" s="1729"/>
      <c r="ACK1" s="1729"/>
      <c r="ACL1" s="1729"/>
      <c r="ACM1" s="1729"/>
      <c r="ACN1" s="1729"/>
      <c r="ACO1" s="1729"/>
      <c r="ACP1" s="1729"/>
      <c r="ACQ1" s="1729"/>
      <c r="ACR1" s="1729"/>
      <c r="ACS1" s="1729"/>
      <c r="ACT1" s="1729"/>
      <c r="ACU1" s="1729"/>
      <c r="ACV1" s="1729"/>
      <c r="ACW1" s="1729"/>
      <c r="ACX1" s="1729"/>
      <c r="ACY1" s="1729"/>
      <c r="ACZ1" s="1729"/>
      <c r="ADA1" s="1729"/>
      <c r="ADB1" s="1729"/>
      <c r="ADC1" s="1729"/>
      <c r="ADD1" s="1729"/>
      <c r="ADE1" s="1729"/>
      <c r="ADF1" s="1729"/>
      <c r="ADG1" s="1729"/>
      <c r="ADH1" s="1729"/>
      <c r="ADI1" s="1729"/>
      <c r="ADJ1" s="1729"/>
      <c r="ADK1" s="1729"/>
      <c r="ADL1" s="1729"/>
      <c r="ADM1" s="1729"/>
      <c r="ADN1" s="1729"/>
      <c r="ADO1" s="1729"/>
      <c r="ADP1" s="1729"/>
      <c r="ADQ1" s="1729"/>
      <c r="ADR1" s="1729"/>
      <c r="ADS1" s="1729"/>
      <c r="ADT1" s="1729"/>
      <c r="ADU1" s="1729"/>
      <c r="ADV1" s="1729"/>
      <c r="ADW1" s="1729"/>
      <c r="ADX1" s="1729"/>
      <c r="ADY1" s="1729"/>
      <c r="ADZ1" s="1729"/>
      <c r="AEA1" s="1729"/>
      <c r="AEB1" s="1729"/>
      <c r="AEC1" s="1729"/>
      <c r="AED1" s="1729"/>
      <c r="AEE1" s="1729"/>
      <c r="AEF1" s="1729"/>
      <c r="AEG1" s="1729"/>
      <c r="AEH1" s="1729"/>
      <c r="AEI1" s="1729"/>
      <c r="AEJ1" s="1729"/>
      <c r="AEK1" s="1729"/>
      <c r="AEL1" s="1729"/>
      <c r="AEM1" s="1729"/>
      <c r="AEN1" s="1729"/>
      <c r="AEO1" s="1729"/>
      <c r="AEP1" s="1729"/>
      <c r="AEQ1" s="1729"/>
      <c r="AER1" s="1729"/>
      <c r="AES1" s="1729"/>
      <c r="AET1" s="1729"/>
      <c r="AEU1" s="1729"/>
      <c r="AEV1" s="1729"/>
      <c r="AEW1" s="1729"/>
      <c r="AEX1" s="1729"/>
      <c r="AEY1" s="1729"/>
      <c r="AEZ1" s="1729"/>
      <c r="AFA1" s="1729"/>
      <c r="AFB1" s="1729"/>
      <c r="AFC1" s="1729"/>
      <c r="AFD1" s="1729"/>
      <c r="AFE1" s="1729"/>
      <c r="AFF1" s="1729"/>
      <c r="AFG1" s="1729"/>
      <c r="AFH1" s="1729"/>
      <c r="AFI1" s="1729"/>
      <c r="AFJ1" s="1729"/>
      <c r="AFK1" s="1729"/>
      <c r="AFL1" s="1729"/>
      <c r="AFM1" s="1729"/>
      <c r="AFN1" s="1729"/>
      <c r="AFO1" s="1729"/>
      <c r="AFP1" s="1729"/>
      <c r="AFQ1" s="1729"/>
      <c r="AFR1" s="1729"/>
      <c r="AFS1" s="1729"/>
      <c r="AFT1" s="1729"/>
      <c r="AFU1" s="1729"/>
      <c r="AFV1" s="1729"/>
      <c r="AFW1" s="1729"/>
      <c r="AFX1" s="1729"/>
      <c r="AFY1" s="1729"/>
      <c r="AFZ1" s="1729"/>
      <c r="AGA1" s="1729"/>
      <c r="AGB1" s="1729"/>
      <c r="AGC1" s="1729"/>
      <c r="AGD1" s="1729"/>
      <c r="AGE1" s="1729"/>
      <c r="AGF1" s="1729"/>
      <c r="AGG1" s="1729"/>
      <c r="AGH1" s="1729"/>
      <c r="AGI1" s="1729"/>
      <c r="AGJ1" s="1729"/>
      <c r="AGK1" s="1729"/>
      <c r="AGL1" s="1729"/>
      <c r="AGM1" s="1729"/>
      <c r="AGN1" s="1729"/>
      <c r="AGO1" s="1729"/>
      <c r="AGP1" s="1729"/>
      <c r="AGQ1" s="1729"/>
      <c r="AGR1" s="1729"/>
      <c r="AGS1" s="1729"/>
      <c r="AGT1" s="1729"/>
      <c r="AGU1" s="1729"/>
      <c r="AGV1" s="1729"/>
      <c r="AGW1" s="1729"/>
      <c r="AGX1" s="1729"/>
      <c r="AGY1" s="1729"/>
      <c r="AGZ1" s="1729"/>
      <c r="AHA1" s="1729"/>
      <c r="AHB1" s="1729"/>
      <c r="AHC1" s="1729"/>
      <c r="AHD1" s="1729"/>
      <c r="AHE1" s="1729"/>
      <c r="AHF1" s="1729"/>
      <c r="AHG1" s="1729"/>
      <c r="AHH1" s="1729"/>
      <c r="AHI1" s="1729"/>
      <c r="AHJ1" s="1729"/>
      <c r="AHK1" s="1729"/>
      <c r="AHL1" s="1729"/>
      <c r="AHM1" s="1729"/>
      <c r="AHN1" s="1729"/>
      <c r="AHO1" s="1729"/>
      <c r="AHP1" s="1729"/>
      <c r="AHQ1" s="1729"/>
      <c r="AHR1" s="1729"/>
      <c r="AHS1" s="1729"/>
      <c r="AHT1" s="1729"/>
      <c r="AHU1" s="1729"/>
      <c r="AHV1" s="1729"/>
      <c r="AHW1" s="1729"/>
      <c r="AHX1" s="1729"/>
      <c r="AHY1" s="1729"/>
      <c r="AHZ1" s="1729"/>
      <c r="AIA1" s="1729"/>
      <c r="AIB1" s="1729"/>
      <c r="AIC1" s="1729"/>
      <c r="AID1" s="1729"/>
      <c r="AIE1" s="1729"/>
      <c r="AIF1" s="1729"/>
      <c r="AIG1" s="1729"/>
      <c r="AIH1" s="1729"/>
      <c r="AII1" s="1729"/>
      <c r="AIJ1" s="1729"/>
      <c r="AIK1" s="1729"/>
      <c r="AIL1" s="1729"/>
      <c r="AIM1" s="1729"/>
      <c r="AIN1" s="1729"/>
      <c r="AIO1" s="1729"/>
      <c r="AIP1" s="1729"/>
      <c r="AIQ1" s="1729"/>
      <c r="AIR1" s="1729"/>
      <c r="AIS1" s="1729"/>
      <c r="AIT1" s="1729"/>
      <c r="AIU1" s="1729"/>
      <c r="AIV1" s="1729"/>
      <c r="AIW1" s="1729"/>
      <c r="AIX1" s="1729"/>
      <c r="AIY1" s="1729"/>
      <c r="AIZ1" s="1729"/>
      <c r="AJA1" s="1729"/>
      <c r="AJB1" s="1729"/>
      <c r="AJC1" s="1729"/>
      <c r="AJD1" s="1729"/>
      <c r="AJE1" s="1729"/>
      <c r="AJF1" s="1729"/>
      <c r="AJG1" s="1729"/>
      <c r="AJH1" s="1729"/>
      <c r="AJI1" s="1729"/>
      <c r="AJJ1" s="1729"/>
      <c r="AJK1" s="1729"/>
      <c r="AJL1" s="1729"/>
      <c r="AJM1" s="1729"/>
      <c r="AJN1" s="1729"/>
      <c r="AJO1" s="1729"/>
      <c r="AJP1" s="1729"/>
      <c r="AJQ1" s="1729"/>
      <c r="AJR1" s="1729"/>
      <c r="AJS1" s="1729"/>
      <c r="AJT1" s="1729"/>
      <c r="AJU1" s="1729"/>
      <c r="AJV1" s="1729"/>
      <c r="AJW1" s="1729"/>
      <c r="AJX1" s="1729"/>
      <c r="AJY1" s="1729"/>
      <c r="AJZ1" s="1729"/>
      <c r="AKA1" s="1729"/>
      <c r="AKB1" s="1729"/>
      <c r="AKC1" s="1729"/>
      <c r="AKD1" s="1729"/>
      <c r="AKE1" s="1729"/>
      <c r="AKF1" s="1729"/>
      <c r="AKG1" s="1729"/>
      <c r="AKH1" s="1729"/>
      <c r="AKI1" s="1729"/>
      <c r="AKJ1" s="1729"/>
      <c r="AKK1" s="1729"/>
      <c r="AKL1" s="1729"/>
      <c r="AKM1" s="1729"/>
      <c r="AKN1" s="1729"/>
      <c r="AKO1" s="1729"/>
      <c r="AKP1" s="1729"/>
      <c r="AKQ1" s="1729"/>
      <c r="AKR1" s="1729"/>
      <c r="AKS1" s="1729"/>
      <c r="AKT1" s="1729"/>
      <c r="AKU1" s="1729"/>
      <c r="AKV1" s="1729"/>
      <c r="AKW1" s="1729"/>
      <c r="AKX1" s="1729"/>
      <c r="AKY1" s="1729"/>
      <c r="AKZ1" s="1729"/>
      <c r="ALA1" s="1729"/>
      <c r="ALB1" s="1729"/>
      <c r="ALC1" s="1729"/>
      <c r="ALD1" s="1729"/>
      <c r="ALE1" s="1729"/>
      <c r="ALF1" s="1729"/>
      <c r="ALG1" s="1729"/>
      <c r="ALH1" s="1729"/>
      <c r="ALI1" s="1729"/>
      <c r="ALJ1" s="1729"/>
      <c r="ALK1" s="1729"/>
      <c r="ALL1" s="1729"/>
      <c r="ALM1" s="1729"/>
      <c r="ALN1" s="1729"/>
      <c r="ALO1" s="1729"/>
      <c r="ALP1" s="1729"/>
      <c r="ALQ1" s="1729"/>
      <c r="ALR1" s="1729"/>
      <c r="ALS1" s="1729"/>
      <c r="ALT1" s="1729"/>
      <c r="ALU1" s="1729"/>
      <c r="ALV1" s="1729"/>
      <c r="ALW1" s="1729"/>
      <c r="ALX1" s="1729"/>
      <c r="ALY1" s="1729"/>
      <c r="ALZ1" s="1729"/>
      <c r="AMA1" s="1729"/>
      <c r="AMB1" s="1729"/>
      <c r="AMC1" s="1729"/>
      <c r="AMD1" s="1729"/>
      <c r="AME1" s="1729"/>
      <c r="AMF1" s="1729"/>
      <c r="AMG1" s="1729"/>
      <c r="AMH1" s="1729"/>
      <c r="AMI1" s="1729"/>
      <c r="AMJ1" s="1729"/>
      <c r="AMK1" s="1729"/>
      <c r="AML1" s="1729"/>
      <c r="AMM1" s="1729"/>
      <c r="AMN1" s="1729"/>
      <c r="AMO1" s="1729"/>
      <c r="AMP1" s="1729"/>
      <c r="AMQ1" s="1729"/>
      <c r="AMR1" s="1729"/>
      <c r="AMS1" s="1729"/>
      <c r="AMT1" s="1729"/>
      <c r="AMU1" s="1729"/>
      <c r="AMV1" s="1729"/>
      <c r="AMW1" s="1729"/>
      <c r="AMX1" s="1729"/>
      <c r="AMY1" s="1729"/>
      <c r="AMZ1" s="1729"/>
      <c r="ANA1" s="1729"/>
      <c r="ANB1" s="1729"/>
      <c r="ANC1" s="1729"/>
      <c r="AND1" s="1729"/>
      <c r="ANE1" s="1729"/>
      <c r="ANF1" s="1729"/>
      <c r="ANG1" s="1729"/>
      <c r="ANH1" s="1729"/>
      <c r="ANI1" s="1729"/>
      <c r="ANJ1" s="1729"/>
      <c r="ANK1" s="1729"/>
      <c r="ANL1" s="1729"/>
      <c r="ANM1" s="1729"/>
      <c r="ANN1" s="1729"/>
      <c r="ANO1" s="1729"/>
      <c r="ANP1" s="1729"/>
      <c r="ANQ1" s="1729"/>
      <c r="ANR1" s="1729"/>
      <c r="ANS1" s="1729"/>
      <c r="ANT1" s="1729"/>
      <c r="ANU1" s="1729"/>
      <c r="ANV1" s="1729"/>
      <c r="ANW1" s="1729"/>
      <c r="ANX1" s="1729"/>
      <c r="ANY1" s="1729"/>
      <c r="ANZ1" s="1729"/>
      <c r="AOA1" s="1729"/>
      <c r="AOB1" s="1729"/>
      <c r="AOC1" s="1729"/>
      <c r="AOD1" s="1729"/>
      <c r="AOE1" s="1729"/>
      <c r="AOF1" s="1729"/>
      <c r="AOG1" s="1729"/>
      <c r="AOH1" s="1729"/>
      <c r="AOI1" s="1729"/>
      <c r="AOJ1" s="1729"/>
      <c r="AOK1" s="1729"/>
      <c r="AOL1" s="1729"/>
      <c r="AOM1" s="1729"/>
      <c r="AON1" s="1729"/>
      <c r="AOO1" s="1729"/>
      <c r="AOP1" s="1729"/>
      <c r="AOQ1" s="1729"/>
      <c r="AOR1" s="1729"/>
      <c r="AOS1" s="1729"/>
      <c r="AOT1" s="1729"/>
      <c r="AOU1" s="1729"/>
      <c r="AOV1" s="1729"/>
      <c r="AOW1" s="1729"/>
      <c r="AOX1" s="1729"/>
      <c r="AOY1" s="1729"/>
      <c r="AOZ1" s="1729"/>
      <c r="APA1" s="1729"/>
      <c r="APB1" s="1729"/>
      <c r="APC1" s="1729"/>
      <c r="APD1" s="1729"/>
      <c r="APE1" s="1729"/>
      <c r="APF1" s="1729"/>
      <c r="APG1" s="1729"/>
      <c r="APH1" s="1729"/>
      <c r="API1" s="1729"/>
      <c r="APJ1" s="1729"/>
      <c r="APK1" s="1729"/>
      <c r="APL1" s="1729"/>
      <c r="APM1" s="1729"/>
      <c r="APN1" s="1729"/>
      <c r="APO1" s="1729"/>
      <c r="APP1" s="1729"/>
      <c r="APQ1" s="1729"/>
      <c r="APR1" s="1729"/>
      <c r="APS1" s="1729"/>
      <c r="APT1" s="1729"/>
      <c r="APU1" s="1729"/>
      <c r="APV1" s="1729"/>
      <c r="APW1" s="1729"/>
      <c r="APX1" s="1729"/>
      <c r="APY1" s="1729"/>
      <c r="APZ1" s="1729"/>
      <c r="AQA1" s="1729"/>
      <c r="AQB1" s="1729"/>
      <c r="AQC1" s="1729"/>
      <c r="AQD1" s="1729"/>
      <c r="AQE1" s="1729"/>
      <c r="AQF1" s="1729"/>
      <c r="AQG1" s="1729"/>
      <c r="AQH1" s="1729"/>
      <c r="AQI1" s="1729"/>
      <c r="AQJ1" s="1729"/>
      <c r="AQK1" s="1729"/>
      <c r="AQL1" s="1729"/>
      <c r="AQM1" s="1729"/>
      <c r="AQN1" s="1729"/>
      <c r="AQO1" s="1729"/>
      <c r="AQP1" s="1729"/>
      <c r="AQQ1" s="1729"/>
      <c r="AQR1" s="1729"/>
      <c r="AQS1" s="1729"/>
      <c r="AQT1" s="1729"/>
      <c r="AQU1" s="1729"/>
      <c r="AQV1" s="1729"/>
      <c r="AQW1" s="1729"/>
      <c r="AQX1" s="1729"/>
      <c r="AQY1" s="1729"/>
      <c r="AQZ1" s="1729"/>
      <c r="ARA1" s="1729"/>
      <c r="ARB1" s="1729"/>
      <c r="ARC1" s="1729"/>
      <c r="ARD1" s="1729"/>
      <c r="ARE1" s="1729"/>
      <c r="ARF1" s="1729"/>
      <c r="ARG1" s="1729"/>
      <c r="ARH1" s="1729"/>
      <c r="ARI1" s="1729"/>
      <c r="ARJ1" s="1729"/>
      <c r="ARK1" s="1729"/>
      <c r="ARL1" s="1729"/>
      <c r="ARM1" s="1729"/>
      <c r="ARN1" s="1729"/>
      <c r="ARO1" s="1729"/>
      <c r="ARP1" s="1729"/>
      <c r="ARQ1" s="1729"/>
      <c r="ARR1" s="1729"/>
      <c r="ARS1" s="1729"/>
      <c r="ART1" s="1729"/>
      <c r="ARU1" s="1729"/>
      <c r="ARV1" s="1729"/>
      <c r="ARW1" s="1729"/>
      <c r="ARX1" s="1729"/>
      <c r="ARY1" s="1729"/>
      <c r="ARZ1" s="1729"/>
      <c r="ASA1" s="1729"/>
      <c r="ASB1" s="1729"/>
      <c r="ASC1" s="1729"/>
      <c r="ASD1" s="1729"/>
      <c r="ASE1" s="1729"/>
      <c r="ASF1" s="1729"/>
      <c r="ASG1" s="1729"/>
      <c r="ASH1" s="1729"/>
      <c r="ASI1" s="1729"/>
      <c r="ASJ1" s="1729"/>
      <c r="ASK1" s="1729"/>
      <c r="ASL1" s="1729"/>
      <c r="ASM1" s="1729"/>
      <c r="ASN1" s="1729"/>
      <c r="ASO1" s="1729"/>
      <c r="ASP1" s="1729"/>
      <c r="ASQ1" s="1729"/>
      <c r="ASR1" s="1729"/>
      <c r="ASS1" s="1729"/>
      <c r="AST1" s="1729"/>
      <c r="ASU1" s="1729"/>
      <c r="ASV1" s="1729"/>
      <c r="ASW1" s="1729"/>
      <c r="ASX1" s="1729"/>
      <c r="ASY1" s="1729"/>
      <c r="ASZ1" s="1729"/>
      <c r="ATA1" s="1729"/>
      <c r="ATB1" s="1729"/>
      <c r="ATC1" s="1729"/>
      <c r="ATD1" s="1729"/>
      <c r="ATE1" s="1729"/>
      <c r="ATF1" s="1729"/>
      <c r="ATG1" s="1729"/>
      <c r="ATH1" s="1729"/>
      <c r="ATI1" s="1729"/>
      <c r="ATJ1" s="1729"/>
      <c r="ATK1" s="1729"/>
      <c r="ATL1" s="1729"/>
      <c r="ATM1" s="1729"/>
      <c r="ATN1" s="1729"/>
      <c r="ATO1" s="1729"/>
    </row>
    <row r="2" spans="1:1211" s="1732" customFormat="1" ht="18.75" customHeight="1" thickBot="1">
      <c r="A2" s="1754" t="s">
        <v>4016</v>
      </c>
      <c r="B2" s="2518"/>
      <c r="C2" s="2519"/>
      <c r="D2" s="1883"/>
      <c r="E2" s="118"/>
      <c r="F2" s="118"/>
      <c r="G2" s="185"/>
      <c r="H2" s="1733"/>
      <c r="I2" s="2530"/>
      <c r="J2" s="2531"/>
      <c r="K2" s="2534">
        <v>66</v>
      </c>
      <c r="L2" s="2535"/>
      <c r="M2" s="1352" t="s">
        <v>4749</v>
      </c>
      <c r="N2" s="1352"/>
      <c r="O2" s="1351"/>
      <c r="P2" s="1729"/>
      <c r="Q2" s="1729"/>
      <c r="R2" s="1729"/>
      <c r="S2" s="1729"/>
      <c r="T2" s="1729"/>
      <c r="U2" s="1729"/>
      <c r="V2" s="1730" t="s">
        <v>11659</v>
      </c>
      <c r="W2" s="1734">
        <v>1</v>
      </c>
      <c r="X2" s="1729"/>
      <c r="Y2" s="1729"/>
      <c r="Z2" s="1729"/>
      <c r="AA2" s="1729"/>
      <c r="AB2" s="1729"/>
      <c r="AC2" s="1729"/>
      <c r="AD2" s="1729"/>
      <c r="AE2" s="1729"/>
      <c r="AF2" s="1729"/>
      <c r="AG2" s="1729"/>
      <c r="AH2" s="1729"/>
      <c r="AI2" s="1729"/>
      <c r="AJ2" s="1729"/>
      <c r="AK2" s="1729"/>
      <c r="AL2" s="1729"/>
      <c r="AM2" s="1729"/>
      <c r="AN2" s="1729"/>
      <c r="AO2" s="1729"/>
      <c r="AP2" s="1729"/>
      <c r="AQ2" s="1729"/>
      <c r="AR2" s="1729"/>
      <c r="AS2" s="1729"/>
      <c r="AT2" s="1729"/>
      <c r="AU2" s="1729"/>
      <c r="AV2" s="1729"/>
      <c r="AW2" s="1729"/>
      <c r="AX2" s="1729"/>
      <c r="AY2" s="1729"/>
      <c r="AZ2" s="1729"/>
      <c r="BA2" s="1729"/>
      <c r="BB2" s="1729"/>
      <c r="BC2" s="1729"/>
      <c r="BD2" s="1729"/>
      <c r="BE2" s="1729"/>
      <c r="BF2" s="1729"/>
      <c r="BG2" s="1729"/>
      <c r="BH2" s="1729"/>
      <c r="BI2" s="1729"/>
      <c r="BJ2" s="1729"/>
      <c r="BK2" s="1729"/>
      <c r="BL2" s="1729"/>
      <c r="BM2" s="1729"/>
      <c r="BN2" s="1729"/>
      <c r="BO2" s="1729"/>
      <c r="BP2" s="1729"/>
      <c r="BQ2" s="1729"/>
      <c r="BR2" s="1729"/>
      <c r="BS2" s="1729"/>
      <c r="BT2" s="1729"/>
      <c r="BU2" s="1729"/>
      <c r="BV2" s="1729"/>
      <c r="BW2" s="1729"/>
      <c r="BX2" s="1729"/>
      <c r="BY2" s="1729"/>
      <c r="BZ2" s="1729"/>
      <c r="CA2" s="1729"/>
      <c r="CB2" s="1729"/>
      <c r="CC2" s="1729"/>
      <c r="CD2" s="1729"/>
      <c r="CE2" s="1729"/>
      <c r="CF2" s="1729"/>
      <c r="CG2" s="1729"/>
      <c r="CH2" s="1729"/>
      <c r="CI2" s="1729"/>
      <c r="CJ2" s="1729"/>
      <c r="CK2" s="1729"/>
      <c r="CL2" s="1729"/>
      <c r="CM2" s="1729"/>
      <c r="CN2" s="1729"/>
      <c r="CO2" s="1729"/>
      <c r="CP2" s="1729"/>
      <c r="CQ2" s="1729"/>
      <c r="CR2" s="1729"/>
      <c r="CS2" s="1729"/>
      <c r="CT2" s="1729"/>
      <c r="CU2" s="1729"/>
      <c r="CV2" s="1729"/>
      <c r="CW2" s="1729"/>
      <c r="CX2" s="1729"/>
      <c r="CY2" s="1729"/>
      <c r="CZ2" s="1729"/>
      <c r="DA2" s="1729"/>
      <c r="DB2" s="1729"/>
      <c r="DC2" s="1729"/>
      <c r="DD2" s="1729"/>
      <c r="DE2" s="1729"/>
      <c r="DF2" s="1729"/>
      <c r="DG2" s="1729"/>
      <c r="DH2" s="1729"/>
      <c r="DI2" s="1729"/>
      <c r="DJ2" s="1729"/>
      <c r="DK2" s="1729"/>
      <c r="DL2" s="1729"/>
      <c r="DM2" s="1729"/>
      <c r="DN2" s="1729"/>
      <c r="DO2" s="1729"/>
      <c r="DP2" s="1729"/>
      <c r="DQ2" s="1729"/>
      <c r="DR2" s="1729"/>
      <c r="DS2" s="1729"/>
      <c r="DT2" s="1729"/>
      <c r="DU2" s="1729"/>
      <c r="DV2" s="1729"/>
      <c r="DW2" s="1729"/>
      <c r="DX2" s="1729"/>
      <c r="DY2" s="1729"/>
      <c r="DZ2" s="1729"/>
      <c r="EA2" s="1729"/>
      <c r="EB2" s="1729"/>
      <c r="EC2" s="1729"/>
      <c r="ED2" s="1729"/>
      <c r="EE2" s="1729"/>
      <c r="EF2" s="1729"/>
      <c r="EG2" s="1729"/>
      <c r="EH2" s="1729"/>
      <c r="EI2" s="1729"/>
      <c r="EJ2" s="1729"/>
      <c r="EK2" s="1729"/>
      <c r="EL2" s="1729"/>
      <c r="EM2" s="1729"/>
      <c r="EN2" s="1729"/>
      <c r="EO2" s="1729"/>
      <c r="EP2" s="1729"/>
      <c r="EQ2" s="1729"/>
      <c r="ER2" s="1729"/>
      <c r="ES2" s="1729"/>
      <c r="ET2" s="1729"/>
      <c r="EU2" s="1729"/>
      <c r="EV2" s="1729"/>
      <c r="EW2" s="1729"/>
      <c r="EX2" s="1729"/>
      <c r="EY2" s="1729"/>
      <c r="EZ2" s="1729"/>
      <c r="FA2" s="1729"/>
      <c r="FB2" s="1729"/>
      <c r="FC2" s="1729"/>
      <c r="FD2" s="1729"/>
      <c r="FE2" s="1729"/>
      <c r="FF2" s="1729"/>
      <c r="FG2" s="1729"/>
      <c r="FH2" s="1729"/>
      <c r="FI2" s="1729"/>
      <c r="FJ2" s="1729"/>
      <c r="FK2" s="1729"/>
      <c r="FL2" s="1729"/>
      <c r="FM2" s="1729"/>
      <c r="FN2" s="1729"/>
      <c r="FO2" s="1729"/>
      <c r="FP2" s="1729"/>
      <c r="FQ2" s="1729"/>
      <c r="FR2" s="1729"/>
      <c r="FS2" s="1729"/>
      <c r="FT2" s="1729"/>
      <c r="FU2" s="1729"/>
      <c r="FV2" s="1729"/>
      <c r="FW2" s="1729"/>
      <c r="FX2" s="1729"/>
      <c r="FY2" s="1729"/>
      <c r="FZ2" s="1729"/>
      <c r="GA2" s="1729"/>
      <c r="GB2" s="1729"/>
      <c r="GC2" s="1729"/>
      <c r="GD2" s="1729"/>
      <c r="GE2" s="1729"/>
      <c r="GF2" s="1729"/>
      <c r="GG2" s="1729"/>
      <c r="GH2" s="1729"/>
      <c r="GI2" s="1729"/>
      <c r="GJ2" s="1729"/>
      <c r="GK2" s="1729"/>
      <c r="GL2" s="1729"/>
      <c r="GM2" s="1729"/>
      <c r="GN2" s="1729"/>
      <c r="GO2" s="1729"/>
      <c r="GP2" s="1729"/>
      <c r="GQ2" s="1729"/>
      <c r="GR2" s="1729"/>
      <c r="GS2" s="1729"/>
      <c r="GT2" s="1729"/>
      <c r="GU2" s="1729"/>
      <c r="GV2" s="1729"/>
      <c r="GW2" s="1729"/>
      <c r="GX2" s="1729"/>
      <c r="GY2" s="1729"/>
      <c r="GZ2" s="1729"/>
      <c r="HA2" s="1729"/>
      <c r="HB2" s="1729"/>
      <c r="HC2" s="1729"/>
      <c r="HD2" s="1729"/>
      <c r="HE2" s="1729"/>
      <c r="HF2" s="1729"/>
      <c r="HG2" s="1729"/>
      <c r="HH2" s="1729"/>
      <c r="HI2" s="1729"/>
      <c r="HJ2" s="1729"/>
      <c r="HK2" s="1729"/>
      <c r="HL2" s="1729"/>
      <c r="HM2" s="1729"/>
      <c r="HN2" s="1729"/>
      <c r="HO2" s="1729"/>
      <c r="HP2" s="1729"/>
      <c r="HQ2" s="1729"/>
      <c r="HR2" s="1729"/>
      <c r="HS2" s="1729"/>
      <c r="HT2" s="1729"/>
      <c r="HU2" s="1729"/>
      <c r="HV2" s="1729"/>
      <c r="HW2" s="1729"/>
      <c r="HX2" s="1729"/>
      <c r="HY2" s="1729"/>
      <c r="HZ2" s="1729"/>
      <c r="IA2" s="1729"/>
      <c r="IB2" s="1729"/>
      <c r="IC2" s="1729"/>
      <c r="ID2" s="1729"/>
      <c r="IE2" s="1729"/>
      <c r="IF2" s="1729"/>
      <c r="IG2" s="1729"/>
      <c r="IH2" s="1729"/>
      <c r="II2" s="1729"/>
      <c r="IJ2" s="1729"/>
      <c r="IK2" s="1729"/>
      <c r="IL2" s="1729"/>
      <c r="IM2" s="1729"/>
      <c r="IN2" s="1729"/>
      <c r="IO2" s="1729"/>
      <c r="IP2" s="1729"/>
      <c r="IQ2" s="1729"/>
      <c r="IR2" s="1729"/>
      <c r="IS2" s="1729"/>
      <c r="IT2" s="1729"/>
      <c r="IU2" s="1729"/>
      <c r="IV2" s="1729"/>
      <c r="IW2" s="1729"/>
      <c r="IX2" s="1729"/>
      <c r="IY2" s="1729"/>
      <c r="IZ2" s="1729"/>
      <c r="JA2" s="1729"/>
      <c r="JB2" s="1729"/>
      <c r="JC2" s="1729"/>
      <c r="JD2" s="1729"/>
      <c r="JE2" s="1729"/>
      <c r="JF2" s="1729"/>
      <c r="JG2" s="1729"/>
      <c r="JH2" s="1729"/>
      <c r="JI2" s="1729"/>
      <c r="JJ2" s="1729"/>
      <c r="JK2" s="1729"/>
      <c r="JL2" s="1729"/>
      <c r="JM2" s="1729"/>
      <c r="JN2" s="1729"/>
      <c r="JO2" s="1729"/>
      <c r="JP2" s="1729"/>
      <c r="JQ2" s="1729"/>
      <c r="JR2" s="1729"/>
      <c r="JS2" s="1729"/>
      <c r="JT2" s="1729"/>
      <c r="JU2" s="1729"/>
      <c r="JV2" s="1729"/>
      <c r="JW2" s="1729"/>
      <c r="JX2" s="1729"/>
      <c r="JY2" s="1729"/>
      <c r="JZ2" s="1729"/>
      <c r="KA2" s="1729"/>
      <c r="KB2" s="1729"/>
      <c r="KC2" s="1729"/>
      <c r="KD2" s="1729"/>
      <c r="KE2" s="1729"/>
      <c r="KF2" s="1729"/>
      <c r="KG2" s="1729"/>
      <c r="KH2" s="1729"/>
      <c r="KI2" s="1729"/>
      <c r="KJ2" s="1729"/>
      <c r="KK2" s="1729"/>
      <c r="KL2" s="1729"/>
      <c r="KM2" s="1729"/>
      <c r="KN2" s="1729"/>
      <c r="KO2" s="1729"/>
      <c r="KP2" s="1729"/>
      <c r="KQ2" s="1729"/>
      <c r="KR2" s="1729"/>
      <c r="KS2" s="1729"/>
      <c r="KT2" s="1729"/>
      <c r="KU2" s="1729"/>
      <c r="KV2" s="1729"/>
      <c r="KW2" s="1729"/>
      <c r="KX2" s="1729"/>
      <c r="KY2" s="1729"/>
      <c r="KZ2" s="1729"/>
      <c r="LA2" s="1729"/>
      <c r="LB2" s="1729"/>
      <c r="LC2" s="1729"/>
      <c r="LD2" s="1729"/>
      <c r="LE2" s="1729"/>
      <c r="LF2" s="1729"/>
      <c r="LG2" s="1729"/>
      <c r="LH2" s="1729"/>
      <c r="LI2" s="1729"/>
      <c r="LJ2" s="1729"/>
      <c r="LK2" s="1729"/>
      <c r="LL2" s="1729"/>
      <c r="LM2" s="1729"/>
      <c r="LN2" s="1729"/>
      <c r="LO2" s="1729"/>
      <c r="LP2" s="1729"/>
      <c r="LQ2" s="1729"/>
      <c r="LR2" s="1729"/>
      <c r="LS2" s="1729"/>
      <c r="LT2" s="1729"/>
      <c r="LU2" s="1729"/>
      <c r="LV2" s="1729"/>
      <c r="LW2" s="1729"/>
      <c r="LX2" s="1729"/>
      <c r="LY2" s="1729"/>
      <c r="LZ2" s="1729"/>
      <c r="MA2" s="1729"/>
      <c r="MB2" s="1729"/>
      <c r="MC2" s="1729"/>
      <c r="MD2" s="1729"/>
      <c r="ME2" s="1729"/>
      <c r="MF2" s="1729"/>
      <c r="MG2" s="1729"/>
      <c r="MH2" s="1729"/>
      <c r="MI2" s="1729"/>
      <c r="MJ2" s="1729"/>
      <c r="MK2" s="1729"/>
      <c r="ML2" s="1729"/>
      <c r="MM2" s="1729"/>
      <c r="MN2" s="1729"/>
      <c r="MO2" s="1729"/>
      <c r="MP2" s="1729"/>
      <c r="MQ2" s="1729"/>
      <c r="MR2" s="1729"/>
      <c r="MS2" s="1729"/>
      <c r="MT2" s="1729"/>
      <c r="MU2" s="1729"/>
      <c r="MV2" s="1729"/>
      <c r="MW2" s="1729"/>
      <c r="MX2" s="1729"/>
      <c r="MY2" s="1729"/>
      <c r="MZ2" s="1729"/>
      <c r="NA2" s="1729"/>
      <c r="NB2" s="1729"/>
      <c r="NC2" s="1729"/>
      <c r="ND2" s="1729"/>
      <c r="NE2" s="1729"/>
      <c r="NF2" s="1729"/>
      <c r="NG2" s="1729"/>
      <c r="NH2" s="1729"/>
      <c r="NI2" s="1729"/>
      <c r="NJ2" s="1729"/>
      <c r="NK2" s="1729"/>
      <c r="NL2" s="1729"/>
      <c r="NM2" s="1729"/>
      <c r="NN2" s="1729"/>
      <c r="NO2" s="1729"/>
      <c r="NP2" s="1729"/>
      <c r="NQ2" s="1729"/>
      <c r="NR2" s="1729"/>
      <c r="NS2" s="1729"/>
      <c r="NT2" s="1729"/>
      <c r="NU2" s="1729"/>
      <c r="NV2" s="1729"/>
      <c r="NW2" s="1729"/>
      <c r="NX2" s="1729"/>
      <c r="NY2" s="1729"/>
      <c r="NZ2" s="1729"/>
      <c r="OA2" s="1729"/>
      <c r="OB2" s="1729"/>
      <c r="OC2" s="1729"/>
      <c r="OD2" s="1729"/>
      <c r="OE2" s="1729"/>
      <c r="OF2" s="1729"/>
      <c r="OG2" s="1729"/>
      <c r="OH2" s="1729"/>
      <c r="OI2" s="1729"/>
      <c r="OJ2" s="1729"/>
      <c r="OK2" s="1729"/>
      <c r="OL2" s="1729"/>
      <c r="OM2" s="1729"/>
      <c r="ON2" s="1729"/>
      <c r="OO2" s="1729"/>
      <c r="OP2" s="1729"/>
      <c r="OQ2" s="1729"/>
      <c r="OR2" s="1729"/>
      <c r="OS2" s="1729"/>
      <c r="OT2" s="1729"/>
      <c r="OU2" s="1729"/>
      <c r="OV2" s="1729"/>
      <c r="OW2" s="1729"/>
      <c r="OX2" s="1729"/>
      <c r="OY2" s="1729"/>
      <c r="OZ2" s="1729"/>
      <c r="PA2" s="1729"/>
      <c r="PB2" s="1729"/>
      <c r="PC2" s="1729"/>
      <c r="PD2" s="1729"/>
      <c r="PE2" s="1729"/>
      <c r="PF2" s="1729"/>
      <c r="PG2" s="1729"/>
      <c r="PH2" s="1729"/>
      <c r="PI2" s="1729"/>
      <c r="PJ2" s="1729"/>
      <c r="PK2" s="1729"/>
      <c r="PL2" s="1729"/>
      <c r="PM2" s="1729"/>
      <c r="PN2" s="1729"/>
      <c r="PO2" s="1729"/>
      <c r="PP2" s="1729"/>
      <c r="PQ2" s="1729"/>
      <c r="PR2" s="1729"/>
      <c r="PS2" s="1729"/>
      <c r="PT2" s="1729"/>
      <c r="PU2" s="1729"/>
      <c r="PV2" s="1729"/>
      <c r="PW2" s="1729"/>
      <c r="PX2" s="1729"/>
      <c r="PY2" s="1729"/>
      <c r="PZ2" s="1729"/>
      <c r="QA2" s="1729"/>
      <c r="QB2" s="1729"/>
      <c r="QC2" s="1729"/>
      <c r="QD2" s="1729"/>
      <c r="QE2" s="1729"/>
      <c r="QF2" s="1729"/>
      <c r="QG2" s="1729"/>
      <c r="QH2" s="1729"/>
      <c r="QI2" s="1729"/>
      <c r="QJ2" s="1729"/>
      <c r="QK2" s="1729"/>
      <c r="QL2" s="1729"/>
      <c r="QM2" s="1729"/>
      <c r="QN2" s="1729"/>
      <c r="QO2" s="1729"/>
      <c r="QP2" s="1729"/>
      <c r="QQ2" s="1729"/>
      <c r="QR2" s="1729"/>
      <c r="QS2" s="1729"/>
      <c r="QT2" s="1729"/>
      <c r="QU2" s="1729"/>
      <c r="QV2" s="1729"/>
      <c r="QW2" s="1729"/>
      <c r="QX2" s="1729"/>
      <c r="QY2" s="1729"/>
      <c r="QZ2" s="1729"/>
      <c r="RA2" s="1729"/>
      <c r="RB2" s="1729"/>
      <c r="RC2" s="1729"/>
      <c r="RD2" s="1729"/>
      <c r="RE2" s="1729"/>
      <c r="RF2" s="1729"/>
      <c r="RG2" s="1729"/>
      <c r="RH2" s="1729"/>
      <c r="RI2" s="1729"/>
      <c r="RJ2" s="1729"/>
      <c r="RK2" s="1729"/>
      <c r="RL2" s="1729"/>
      <c r="RM2" s="1729"/>
      <c r="RN2" s="1729"/>
      <c r="RO2" s="1729"/>
      <c r="RP2" s="1729"/>
      <c r="RQ2" s="1729"/>
      <c r="RR2" s="1729"/>
      <c r="RS2" s="1729"/>
      <c r="RT2" s="1729"/>
      <c r="RU2" s="1729"/>
      <c r="RV2" s="1729"/>
      <c r="RW2" s="1729"/>
      <c r="RX2" s="1729"/>
      <c r="RY2" s="1729"/>
      <c r="RZ2" s="1729"/>
      <c r="SA2" s="1729"/>
      <c r="SB2" s="1729"/>
      <c r="SC2" s="1729"/>
      <c r="SD2" s="1729"/>
      <c r="SE2" s="1729"/>
      <c r="SF2" s="1729"/>
      <c r="SG2" s="1729"/>
      <c r="SH2" s="1729"/>
      <c r="SI2" s="1729"/>
      <c r="SJ2" s="1729"/>
      <c r="SK2" s="1729"/>
      <c r="SL2" s="1729"/>
      <c r="SM2" s="1729"/>
      <c r="SN2" s="1729"/>
      <c r="SO2" s="1729"/>
      <c r="SP2" s="1729"/>
      <c r="SQ2" s="1729"/>
      <c r="SR2" s="1729"/>
      <c r="SS2" s="1729"/>
      <c r="ST2" s="1729"/>
      <c r="SU2" s="1729"/>
      <c r="SV2" s="1729"/>
      <c r="SW2" s="1729"/>
      <c r="SX2" s="1729"/>
      <c r="SY2" s="1729"/>
      <c r="SZ2" s="1729"/>
      <c r="TA2" s="1729"/>
      <c r="TB2" s="1729"/>
      <c r="TC2" s="1729"/>
      <c r="TD2" s="1729"/>
      <c r="TE2" s="1729"/>
      <c r="TF2" s="1729"/>
      <c r="TG2" s="1729"/>
      <c r="TH2" s="1729"/>
      <c r="TI2" s="1729"/>
      <c r="TJ2" s="1729"/>
      <c r="TK2" s="1729"/>
      <c r="TL2" s="1729"/>
      <c r="TM2" s="1729"/>
      <c r="TN2" s="1729"/>
      <c r="TO2" s="1729"/>
      <c r="TP2" s="1729"/>
      <c r="TQ2" s="1729"/>
      <c r="TR2" s="1729"/>
      <c r="TS2" s="1729"/>
      <c r="TT2" s="1729"/>
      <c r="TU2" s="1729"/>
      <c r="TV2" s="1729"/>
      <c r="TW2" s="1729"/>
      <c r="TX2" s="1729"/>
      <c r="TY2" s="1729"/>
      <c r="TZ2" s="1729"/>
      <c r="UA2" s="1729"/>
      <c r="UB2" s="1729"/>
      <c r="UC2" s="1729"/>
      <c r="UD2" s="1729"/>
      <c r="UE2" s="1729"/>
      <c r="UF2" s="1729"/>
      <c r="UG2" s="1729"/>
      <c r="UH2" s="1729"/>
      <c r="UI2" s="1729"/>
      <c r="UJ2" s="1729"/>
      <c r="UK2" s="1729"/>
      <c r="UL2" s="1729"/>
      <c r="UM2" s="1729"/>
      <c r="UN2" s="1729"/>
      <c r="UO2" s="1729"/>
      <c r="UP2" s="1729"/>
      <c r="UQ2" s="1729"/>
      <c r="UR2" s="1729"/>
      <c r="US2" s="1729"/>
      <c r="UT2" s="1729"/>
      <c r="UU2" s="1729"/>
      <c r="UV2" s="1729"/>
      <c r="UW2" s="1729"/>
      <c r="UX2" s="1729"/>
      <c r="UY2" s="1729"/>
      <c r="UZ2" s="1729"/>
      <c r="VA2" s="1729"/>
      <c r="VB2" s="1729"/>
      <c r="VC2" s="1729"/>
      <c r="VD2" s="1729"/>
      <c r="VE2" s="1729"/>
      <c r="VF2" s="1729"/>
      <c r="VG2" s="1729"/>
      <c r="VH2" s="1729"/>
      <c r="VI2" s="1729"/>
      <c r="VJ2" s="1729"/>
      <c r="VK2" s="1729"/>
      <c r="VL2" s="1729"/>
      <c r="VM2" s="1729"/>
      <c r="VN2" s="1729"/>
      <c r="VO2" s="1729"/>
      <c r="VP2" s="1729"/>
      <c r="VQ2" s="1729"/>
      <c r="VR2" s="1729"/>
      <c r="VS2" s="1729"/>
      <c r="VT2" s="1729"/>
      <c r="VU2" s="1729"/>
      <c r="VV2" s="1729"/>
      <c r="VW2" s="1729"/>
      <c r="VX2" s="1729"/>
      <c r="VY2" s="1729"/>
      <c r="VZ2" s="1729"/>
      <c r="WA2" s="1729"/>
      <c r="WB2" s="1729"/>
      <c r="WC2" s="1729"/>
      <c r="WD2" s="1729"/>
      <c r="WE2" s="1729"/>
      <c r="WF2" s="1729"/>
      <c r="WG2" s="1729"/>
      <c r="WH2" s="1729"/>
      <c r="WI2" s="1729"/>
      <c r="WJ2" s="1729"/>
      <c r="WK2" s="1729"/>
      <c r="WL2" s="1729"/>
      <c r="WM2" s="1729"/>
      <c r="WN2" s="1729"/>
      <c r="WO2" s="1729"/>
      <c r="WP2" s="1729"/>
      <c r="WQ2" s="1729"/>
      <c r="WR2" s="1729"/>
      <c r="WS2" s="1729"/>
      <c r="WT2" s="1729"/>
      <c r="WU2" s="1729"/>
      <c r="WV2" s="1729"/>
      <c r="WW2" s="1729"/>
      <c r="WX2" s="1729"/>
      <c r="WY2" s="1729"/>
      <c r="WZ2" s="1729"/>
      <c r="XA2" s="1729"/>
      <c r="XB2" s="1729"/>
      <c r="XC2" s="1729"/>
      <c r="XD2" s="1729"/>
      <c r="XE2" s="1729"/>
      <c r="XF2" s="1729"/>
      <c r="XG2" s="1729"/>
      <c r="XH2" s="1729"/>
      <c r="XI2" s="1729"/>
      <c r="XJ2" s="1729"/>
      <c r="XK2" s="1729"/>
      <c r="XL2" s="1729"/>
      <c r="XM2" s="1729"/>
      <c r="XN2" s="1729"/>
      <c r="XO2" s="1729"/>
      <c r="XP2" s="1729"/>
      <c r="XQ2" s="1729"/>
      <c r="XR2" s="1729"/>
      <c r="XS2" s="1729"/>
      <c r="XT2" s="1729"/>
      <c r="XU2" s="1729"/>
      <c r="XV2" s="1729"/>
      <c r="XW2" s="1729"/>
      <c r="XX2" s="1729"/>
      <c r="XY2" s="1729"/>
      <c r="XZ2" s="1729"/>
      <c r="YA2" s="1729"/>
      <c r="YB2" s="1729"/>
      <c r="YC2" s="1729"/>
      <c r="YD2" s="1729"/>
      <c r="YE2" s="1729"/>
      <c r="YF2" s="1729"/>
      <c r="YG2" s="1729"/>
      <c r="YH2" s="1729"/>
      <c r="YI2" s="1729"/>
      <c r="YJ2" s="1729"/>
      <c r="YK2" s="1729"/>
      <c r="YL2" s="1729"/>
      <c r="YM2" s="1729"/>
      <c r="YN2" s="1729"/>
      <c r="YO2" s="1729"/>
      <c r="YP2" s="1729"/>
      <c r="YQ2" s="1729"/>
      <c r="YR2" s="1729"/>
      <c r="YS2" s="1729"/>
      <c r="YT2" s="1729"/>
      <c r="YU2" s="1729"/>
      <c r="YV2" s="1729"/>
      <c r="YW2" s="1729"/>
      <c r="YX2" s="1729"/>
      <c r="YY2" s="1729"/>
      <c r="YZ2" s="1729"/>
      <c r="ZA2" s="1729"/>
      <c r="ZB2" s="1729"/>
      <c r="ZC2" s="1729"/>
      <c r="ZD2" s="1729"/>
      <c r="ZE2" s="1729"/>
      <c r="ZF2" s="1729"/>
      <c r="ZG2" s="1729"/>
      <c r="ZH2" s="1729"/>
      <c r="ZI2" s="1729"/>
      <c r="ZJ2" s="1729"/>
      <c r="ZK2" s="1729"/>
      <c r="ZL2" s="1729"/>
      <c r="ZM2" s="1729"/>
      <c r="ZN2" s="1729"/>
      <c r="ZO2" s="1729"/>
      <c r="ZP2" s="1729"/>
      <c r="ZQ2" s="1729"/>
      <c r="ZR2" s="1729"/>
      <c r="ZS2" s="1729"/>
      <c r="ZT2" s="1729"/>
      <c r="ZU2" s="1729"/>
      <c r="ZV2" s="1729"/>
      <c r="ZW2" s="1729"/>
      <c r="ZX2" s="1729"/>
      <c r="ZY2" s="1729"/>
      <c r="ZZ2" s="1729"/>
      <c r="AAA2" s="1729"/>
      <c r="AAB2" s="1729"/>
      <c r="AAC2" s="1729"/>
      <c r="AAD2" s="1729"/>
      <c r="AAE2" s="1729"/>
      <c r="AAF2" s="1729"/>
      <c r="AAG2" s="1729"/>
      <c r="AAH2" s="1729"/>
      <c r="AAI2" s="1729"/>
      <c r="AAJ2" s="1729"/>
      <c r="AAK2" s="1729"/>
      <c r="AAL2" s="1729"/>
      <c r="AAM2" s="1729"/>
      <c r="AAN2" s="1729"/>
      <c r="AAO2" s="1729"/>
      <c r="AAP2" s="1729"/>
      <c r="AAQ2" s="1729"/>
      <c r="AAR2" s="1729"/>
      <c r="AAS2" s="1729"/>
      <c r="AAT2" s="1729"/>
      <c r="AAU2" s="1729"/>
      <c r="AAV2" s="1729"/>
      <c r="AAW2" s="1729"/>
      <c r="AAX2" s="1729"/>
      <c r="AAY2" s="1729"/>
      <c r="AAZ2" s="1729"/>
      <c r="ABA2" s="1729"/>
      <c r="ABB2" s="1729"/>
      <c r="ABC2" s="1729"/>
      <c r="ABD2" s="1729"/>
      <c r="ABE2" s="1729"/>
      <c r="ABF2" s="1729"/>
      <c r="ABG2" s="1729"/>
      <c r="ABH2" s="1729"/>
      <c r="ABI2" s="1729"/>
      <c r="ABJ2" s="1729"/>
      <c r="ABK2" s="1729"/>
      <c r="ABL2" s="1729"/>
      <c r="ABM2" s="1729"/>
      <c r="ABN2" s="1729"/>
      <c r="ABO2" s="1729"/>
      <c r="ABP2" s="1729"/>
      <c r="ABQ2" s="1729"/>
      <c r="ABR2" s="1729"/>
      <c r="ABS2" s="1729"/>
      <c r="ABT2" s="1729"/>
      <c r="ABU2" s="1729"/>
      <c r="ABV2" s="1729"/>
      <c r="ABW2" s="1729"/>
      <c r="ABX2" s="1729"/>
      <c r="ABY2" s="1729"/>
      <c r="ABZ2" s="1729"/>
      <c r="ACA2" s="1729"/>
      <c r="ACB2" s="1729"/>
      <c r="ACC2" s="1729"/>
      <c r="ACD2" s="1729"/>
      <c r="ACE2" s="1729"/>
      <c r="ACF2" s="1729"/>
      <c r="ACG2" s="1729"/>
      <c r="ACH2" s="1729"/>
      <c r="ACI2" s="1729"/>
      <c r="ACJ2" s="1729"/>
      <c r="ACK2" s="1729"/>
      <c r="ACL2" s="1729"/>
      <c r="ACM2" s="1729"/>
      <c r="ACN2" s="1729"/>
      <c r="ACO2" s="1729"/>
      <c r="ACP2" s="1729"/>
      <c r="ACQ2" s="1729"/>
      <c r="ACR2" s="1729"/>
      <c r="ACS2" s="1729"/>
      <c r="ACT2" s="1729"/>
      <c r="ACU2" s="1729"/>
      <c r="ACV2" s="1729"/>
      <c r="ACW2" s="1729"/>
      <c r="ACX2" s="1729"/>
      <c r="ACY2" s="1729"/>
      <c r="ACZ2" s="1729"/>
      <c r="ADA2" s="1729"/>
      <c r="ADB2" s="1729"/>
      <c r="ADC2" s="1729"/>
      <c r="ADD2" s="1729"/>
      <c r="ADE2" s="1729"/>
      <c r="ADF2" s="1729"/>
      <c r="ADG2" s="1729"/>
      <c r="ADH2" s="1729"/>
      <c r="ADI2" s="1729"/>
      <c r="ADJ2" s="1729"/>
      <c r="ADK2" s="1729"/>
      <c r="ADL2" s="1729"/>
      <c r="ADM2" s="1729"/>
      <c r="ADN2" s="1729"/>
      <c r="ADO2" s="1729"/>
      <c r="ADP2" s="1729"/>
      <c r="ADQ2" s="1729"/>
      <c r="ADR2" s="1729"/>
      <c r="ADS2" s="1729"/>
      <c r="ADT2" s="1729"/>
      <c r="ADU2" s="1729"/>
      <c r="ADV2" s="1729"/>
      <c r="ADW2" s="1729"/>
      <c r="ADX2" s="1729"/>
      <c r="ADY2" s="1729"/>
      <c r="ADZ2" s="1729"/>
      <c r="AEA2" s="1729"/>
      <c r="AEB2" s="1729"/>
      <c r="AEC2" s="1729"/>
      <c r="AED2" s="1729"/>
      <c r="AEE2" s="1729"/>
      <c r="AEF2" s="1729"/>
      <c r="AEG2" s="1729"/>
      <c r="AEH2" s="1729"/>
      <c r="AEI2" s="1729"/>
      <c r="AEJ2" s="1729"/>
      <c r="AEK2" s="1729"/>
      <c r="AEL2" s="1729"/>
      <c r="AEM2" s="1729"/>
      <c r="AEN2" s="1729"/>
      <c r="AEO2" s="1729"/>
      <c r="AEP2" s="1729"/>
      <c r="AEQ2" s="1729"/>
      <c r="AER2" s="1729"/>
      <c r="AES2" s="1729"/>
      <c r="AET2" s="1729"/>
      <c r="AEU2" s="1729"/>
      <c r="AEV2" s="1729"/>
      <c r="AEW2" s="1729"/>
      <c r="AEX2" s="1729"/>
      <c r="AEY2" s="1729"/>
      <c r="AEZ2" s="1729"/>
      <c r="AFA2" s="1729"/>
      <c r="AFB2" s="1729"/>
      <c r="AFC2" s="1729"/>
      <c r="AFD2" s="1729"/>
      <c r="AFE2" s="1729"/>
      <c r="AFF2" s="1729"/>
      <c r="AFG2" s="1729"/>
      <c r="AFH2" s="1729"/>
      <c r="AFI2" s="1729"/>
      <c r="AFJ2" s="1729"/>
      <c r="AFK2" s="1729"/>
      <c r="AFL2" s="1729"/>
      <c r="AFM2" s="1729"/>
      <c r="AFN2" s="1729"/>
      <c r="AFO2" s="1729"/>
      <c r="AFP2" s="1729"/>
      <c r="AFQ2" s="1729"/>
      <c r="AFR2" s="1729"/>
      <c r="AFS2" s="1729"/>
      <c r="AFT2" s="1729"/>
      <c r="AFU2" s="1729"/>
      <c r="AFV2" s="1729"/>
      <c r="AFW2" s="1729"/>
      <c r="AFX2" s="1729"/>
      <c r="AFY2" s="1729"/>
      <c r="AFZ2" s="1729"/>
      <c r="AGA2" s="1729"/>
      <c r="AGB2" s="1729"/>
      <c r="AGC2" s="1729"/>
      <c r="AGD2" s="1729"/>
      <c r="AGE2" s="1729"/>
      <c r="AGF2" s="1729"/>
      <c r="AGG2" s="1729"/>
      <c r="AGH2" s="1729"/>
      <c r="AGI2" s="1729"/>
      <c r="AGJ2" s="1729"/>
      <c r="AGK2" s="1729"/>
      <c r="AGL2" s="1729"/>
      <c r="AGM2" s="1729"/>
      <c r="AGN2" s="1729"/>
      <c r="AGO2" s="1729"/>
      <c r="AGP2" s="1729"/>
      <c r="AGQ2" s="1729"/>
      <c r="AGR2" s="1729"/>
      <c r="AGS2" s="1729"/>
      <c r="AGT2" s="1729"/>
      <c r="AGU2" s="1729"/>
      <c r="AGV2" s="1729"/>
      <c r="AGW2" s="1729"/>
      <c r="AGX2" s="1729"/>
      <c r="AGY2" s="1729"/>
      <c r="AGZ2" s="1729"/>
      <c r="AHA2" s="1729"/>
      <c r="AHB2" s="1729"/>
      <c r="AHC2" s="1729"/>
      <c r="AHD2" s="1729"/>
      <c r="AHE2" s="1729"/>
      <c r="AHF2" s="1729"/>
      <c r="AHG2" s="1729"/>
      <c r="AHH2" s="1729"/>
      <c r="AHI2" s="1729"/>
      <c r="AHJ2" s="1729"/>
      <c r="AHK2" s="1729"/>
      <c r="AHL2" s="1729"/>
      <c r="AHM2" s="1729"/>
      <c r="AHN2" s="1729"/>
      <c r="AHO2" s="1729"/>
      <c r="AHP2" s="1729"/>
      <c r="AHQ2" s="1729"/>
      <c r="AHR2" s="1729"/>
      <c r="AHS2" s="1729"/>
      <c r="AHT2" s="1729"/>
      <c r="AHU2" s="1729"/>
      <c r="AHV2" s="1729"/>
      <c r="AHW2" s="1729"/>
      <c r="AHX2" s="1729"/>
      <c r="AHY2" s="1729"/>
      <c r="AHZ2" s="1729"/>
      <c r="AIA2" s="1729"/>
      <c r="AIB2" s="1729"/>
      <c r="AIC2" s="1729"/>
      <c r="AID2" s="1729"/>
      <c r="AIE2" s="1729"/>
      <c r="AIF2" s="1729"/>
      <c r="AIG2" s="1729"/>
      <c r="AIH2" s="1729"/>
      <c r="AII2" s="1729"/>
      <c r="AIJ2" s="1729"/>
      <c r="AIK2" s="1729"/>
      <c r="AIL2" s="1729"/>
      <c r="AIM2" s="1729"/>
      <c r="AIN2" s="1729"/>
      <c r="AIO2" s="1729"/>
      <c r="AIP2" s="1729"/>
      <c r="AIQ2" s="1729"/>
      <c r="AIR2" s="1729"/>
      <c r="AIS2" s="1729"/>
      <c r="AIT2" s="1729"/>
      <c r="AIU2" s="1729"/>
      <c r="AIV2" s="1729"/>
      <c r="AIW2" s="1729"/>
      <c r="AIX2" s="1729"/>
      <c r="AIY2" s="1729"/>
      <c r="AIZ2" s="1729"/>
      <c r="AJA2" s="1729"/>
      <c r="AJB2" s="1729"/>
      <c r="AJC2" s="1729"/>
      <c r="AJD2" s="1729"/>
      <c r="AJE2" s="1729"/>
      <c r="AJF2" s="1729"/>
      <c r="AJG2" s="1729"/>
      <c r="AJH2" s="1729"/>
      <c r="AJI2" s="1729"/>
      <c r="AJJ2" s="1729"/>
      <c r="AJK2" s="1729"/>
      <c r="AJL2" s="1729"/>
      <c r="AJM2" s="1729"/>
      <c r="AJN2" s="1729"/>
      <c r="AJO2" s="1729"/>
      <c r="AJP2" s="1729"/>
      <c r="AJQ2" s="1729"/>
      <c r="AJR2" s="1729"/>
      <c r="AJS2" s="1729"/>
      <c r="AJT2" s="1729"/>
      <c r="AJU2" s="1729"/>
      <c r="AJV2" s="1729"/>
      <c r="AJW2" s="1729"/>
      <c r="AJX2" s="1729"/>
      <c r="AJY2" s="1729"/>
      <c r="AJZ2" s="1729"/>
      <c r="AKA2" s="1729"/>
      <c r="AKB2" s="1729"/>
      <c r="AKC2" s="1729"/>
      <c r="AKD2" s="1729"/>
      <c r="AKE2" s="1729"/>
      <c r="AKF2" s="1729"/>
      <c r="AKG2" s="1729"/>
      <c r="AKH2" s="1729"/>
      <c r="AKI2" s="1729"/>
      <c r="AKJ2" s="1729"/>
      <c r="AKK2" s="1729"/>
      <c r="AKL2" s="1729"/>
      <c r="AKM2" s="1729"/>
      <c r="AKN2" s="1729"/>
      <c r="AKO2" s="1729"/>
      <c r="AKP2" s="1729"/>
      <c r="AKQ2" s="1729"/>
      <c r="AKR2" s="1729"/>
      <c r="AKS2" s="1729"/>
      <c r="AKT2" s="1729"/>
      <c r="AKU2" s="1729"/>
      <c r="AKV2" s="1729"/>
      <c r="AKW2" s="1729"/>
      <c r="AKX2" s="1729"/>
      <c r="AKY2" s="1729"/>
      <c r="AKZ2" s="1729"/>
      <c r="ALA2" s="1729"/>
      <c r="ALB2" s="1729"/>
      <c r="ALC2" s="1729"/>
      <c r="ALD2" s="1729"/>
      <c r="ALE2" s="1729"/>
      <c r="ALF2" s="1729"/>
      <c r="ALG2" s="1729"/>
      <c r="ALH2" s="1729"/>
      <c r="ALI2" s="1729"/>
      <c r="ALJ2" s="1729"/>
      <c r="ALK2" s="1729"/>
      <c r="ALL2" s="1729"/>
      <c r="ALM2" s="1729"/>
      <c r="ALN2" s="1729"/>
      <c r="ALO2" s="1729"/>
      <c r="ALP2" s="1729"/>
      <c r="ALQ2" s="1729"/>
      <c r="ALR2" s="1729"/>
      <c r="ALS2" s="1729"/>
      <c r="ALT2" s="1729"/>
      <c r="ALU2" s="1729"/>
      <c r="ALV2" s="1729"/>
      <c r="ALW2" s="1729"/>
      <c r="ALX2" s="1729"/>
      <c r="ALY2" s="1729"/>
      <c r="ALZ2" s="1729"/>
      <c r="AMA2" s="1729"/>
      <c r="AMB2" s="1729"/>
      <c r="AMC2" s="1729"/>
      <c r="AMD2" s="1729"/>
      <c r="AME2" s="1729"/>
      <c r="AMF2" s="1729"/>
      <c r="AMG2" s="1729"/>
      <c r="AMH2" s="1729"/>
      <c r="AMI2" s="1729"/>
      <c r="AMJ2" s="1729"/>
      <c r="AMK2" s="1729"/>
      <c r="AML2" s="1729"/>
      <c r="AMM2" s="1729"/>
      <c r="AMN2" s="1729"/>
      <c r="AMO2" s="1729"/>
      <c r="AMP2" s="1729"/>
      <c r="AMQ2" s="1729"/>
      <c r="AMR2" s="1729"/>
      <c r="AMS2" s="1729"/>
      <c r="AMT2" s="1729"/>
      <c r="AMU2" s="1729"/>
      <c r="AMV2" s="1729"/>
      <c r="AMW2" s="1729"/>
      <c r="AMX2" s="1729"/>
      <c r="AMY2" s="1729"/>
      <c r="AMZ2" s="1729"/>
      <c r="ANA2" s="1729"/>
      <c r="ANB2" s="1729"/>
      <c r="ANC2" s="1729"/>
      <c r="AND2" s="1729"/>
      <c r="ANE2" s="1729"/>
      <c r="ANF2" s="1729"/>
      <c r="ANG2" s="1729"/>
      <c r="ANH2" s="1729"/>
      <c r="ANI2" s="1729"/>
      <c r="ANJ2" s="1729"/>
      <c r="ANK2" s="1729"/>
      <c r="ANL2" s="1729"/>
      <c r="ANM2" s="1729"/>
      <c r="ANN2" s="1729"/>
      <c r="ANO2" s="1729"/>
      <c r="ANP2" s="1729"/>
      <c r="ANQ2" s="1729"/>
      <c r="ANR2" s="1729"/>
      <c r="ANS2" s="1729"/>
      <c r="ANT2" s="1729"/>
      <c r="ANU2" s="1729"/>
      <c r="ANV2" s="1729"/>
      <c r="ANW2" s="1729"/>
      <c r="ANX2" s="1729"/>
      <c r="ANY2" s="1729"/>
      <c r="ANZ2" s="1729"/>
      <c r="AOA2" s="1729"/>
      <c r="AOB2" s="1729"/>
      <c r="AOC2" s="1729"/>
      <c r="AOD2" s="1729"/>
      <c r="AOE2" s="1729"/>
      <c r="AOF2" s="1729"/>
      <c r="AOG2" s="1729"/>
      <c r="AOH2" s="1729"/>
      <c r="AOI2" s="1729"/>
      <c r="AOJ2" s="1729"/>
      <c r="AOK2" s="1729"/>
      <c r="AOL2" s="1729"/>
      <c r="AOM2" s="1729"/>
      <c r="AON2" s="1729"/>
      <c r="AOO2" s="1729"/>
      <c r="AOP2" s="1729"/>
      <c r="AOQ2" s="1729"/>
      <c r="AOR2" s="1729"/>
      <c r="AOS2" s="1729"/>
      <c r="AOT2" s="1729"/>
      <c r="AOU2" s="1729"/>
      <c r="AOV2" s="1729"/>
      <c r="AOW2" s="1729"/>
      <c r="AOX2" s="1729"/>
      <c r="AOY2" s="1729"/>
      <c r="AOZ2" s="1729"/>
      <c r="APA2" s="1729"/>
      <c r="APB2" s="1729"/>
      <c r="APC2" s="1729"/>
      <c r="APD2" s="1729"/>
      <c r="APE2" s="1729"/>
      <c r="APF2" s="1729"/>
      <c r="APG2" s="1729"/>
      <c r="APH2" s="1729"/>
      <c r="API2" s="1729"/>
      <c r="APJ2" s="1729"/>
      <c r="APK2" s="1729"/>
      <c r="APL2" s="1729"/>
      <c r="APM2" s="1729"/>
      <c r="APN2" s="1729"/>
      <c r="APO2" s="1729"/>
      <c r="APP2" s="1729"/>
      <c r="APQ2" s="1729"/>
      <c r="APR2" s="1729"/>
      <c r="APS2" s="1729"/>
      <c r="APT2" s="1729"/>
      <c r="APU2" s="1729"/>
      <c r="APV2" s="1729"/>
      <c r="APW2" s="1729"/>
      <c r="APX2" s="1729"/>
      <c r="APY2" s="1729"/>
      <c r="APZ2" s="1729"/>
      <c r="AQA2" s="1729"/>
      <c r="AQB2" s="1729"/>
      <c r="AQC2" s="1729"/>
      <c r="AQD2" s="1729"/>
      <c r="AQE2" s="1729"/>
      <c r="AQF2" s="1729"/>
      <c r="AQG2" s="1729"/>
      <c r="AQH2" s="1729"/>
      <c r="AQI2" s="1729"/>
      <c r="AQJ2" s="1729"/>
      <c r="AQK2" s="1729"/>
      <c r="AQL2" s="1729"/>
      <c r="AQM2" s="1729"/>
      <c r="AQN2" s="1729"/>
      <c r="AQO2" s="1729"/>
      <c r="AQP2" s="1729"/>
      <c r="AQQ2" s="1729"/>
      <c r="AQR2" s="1729"/>
      <c r="AQS2" s="1729"/>
      <c r="AQT2" s="1729"/>
      <c r="AQU2" s="1729"/>
      <c r="AQV2" s="1729"/>
      <c r="AQW2" s="1729"/>
      <c r="AQX2" s="1729"/>
      <c r="AQY2" s="1729"/>
      <c r="AQZ2" s="1729"/>
      <c r="ARA2" s="1729"/>
      <c r="ARB2" s="1729"/>
      <c r="ARC2" s="1729"/>
      <c r="ARD2" s="1729"/>
      <c r="ARE2" s="1729"/>
      <c r="ARF2" s="1729"/>
      <c r="ARG2" s="1729"/>
      <c r="ARH2" s="1729"/>
      <c r="ARI2" s="1729"/>
      <c r="ARJ2" s="1729"/>
      <c r="ARK2" s="1729"/>
      <c r="ARL2" s="1729"/>
      <c r="ARM2" s="1729"/>
      <c r="ARN2" s="1729"/>
      <c r="ARO2" s="1729"/>
      <c r="ARP2" s="1729"/>
      <c r="ARQ2" s="1729"/>
      <c r="ARR2" s="1729"/>
      <c r="ARS2" s="1729"/>
      <c r="ART2" s="1729"/>
      <c r="ARU2" s="1729"/>
      <c r="ARV2" s="1729"/>
      <c r="ARW2" s="1729"/>
      <c r="ARX2" s="1729"/>
      <c r="ARY2" s="1729"/>
      <c r="ARZ2" s="1729"/>
      <c r="ASA2" s="1729"/>
      <c r="ASB2" s="1729"/>
      <c r="ASC2" s="1729"/>
      <c r="ASD2" s="1729"/>
      <c r="ASE2" s="1729"/>
      <c r="ASF2" s="1729"/>
      <c r="ASG2" s="1729"/>
      <c r="ASH2" s="1729"/>
      <c r="ASI2" s="1729"/>
      <c r="ASJ2" s="1729"/>
      <c r="ASK2" s="1729"/>
      <c r="ASL2" s="1729"/>
      <c r="ASM2" s="1729"/>
      <c r="ASN2" s="1729"/>
      <c r="ASO2" s="1729"/>
      <c r="ASP2" s="1729"/>
      <c r="ASQ2" s="1729"/>
      <c r="ASR2" s="1729"/>
      <c r="ASS2" s="1729"/>
      <c r="AST2" s="1729"/>
      <c r="ASU2" s="1729"/>
      <c r="ASV2" s="1729"/>
      <c r="ASW2" s="1729"/>
      <c r="ASX2" s="1729"/>
      <c r="ASY2" s="1729"/>
      <c r="ASZ2" s="1729"/>
      <c r="ATA2" s="1729"/>
      <c r="ATB2" s="1729"/>
      <c r="ATC2" s="1729"/>
      <c r="ATD2" s="1729"/>
      <c r="ATE2" s="1729"/>
      <c r="ATF2" s="1729"/>
      <c r="ATG2" s="1729"/>
      <c r="ATH2" s="1729"/>
      <c r="ATI2" s="1729"/>
      <c r="ATJ2" s="1729"/>
      <c r="ATK2" s="1729"/>
      <c r="ATL2" s="1729"/>
      <c r="ATM2" s="1729"/>
      <c r="ATN2" s="1729"/>
      <c r="ATO2" s="1729"/>
    </row>
    <row r="3" spans="1:1211" s="1732" customFormat="1" ht="18.75" customHeight="1" thickBot="1">
      <c r="A3" s="1755" t="s">
        <v>4017</v>
      </c>
      <c r="B3" s="2518"/>
      <c r="C3" s="2519"/>
      <c r="D3" s="1883"/>
      <c r="E3" s="118"/>
      <c r="F3" s="118"/>
      <c r="G3" s="185"/>
      <c r="H3" s="1733"/>
      <c r="I3" s="2530"/>
      <c r="J3" s="2531"/>
      <c r="K3" s="2534">
        <v>0</v>
      </c>
      <c r="L3" s="2535"/>
      <c r="M3" s="1352" t="s">
        <v>4750</v>
      </c>
      <c r="N3" s="1352"/>
      <c r="O3" s="1351"/>
      <c r="P3" s="1729"/>
      <c r="Q3" s="1729"/>
      <c r="R3" s="1729"/>
      <c r="S3" s="1729"/>
      <c r="T3" s="1729"/>
      <c r="U3" s="1729"/>
      <c r="V3" s="1730" t="s">
        <v>11660</v>
      </c>
      <c r="W3" s="1735">
        <v>1.1000000000000001</v>
      </c>
      <c r="X3" s="1729"/>
      <c r="Y3" s="1729"/>
      <c r="Z3" s="1729"/>
      <c r="AA3" s="1729"/>
      <c r="AB3" s="1729"/>
      <c r="AC3" s="1729"/>
      <c r="AD3" s="1729"/>
      <c r="AE3" s="1729"/>
      <c r="AF3" s="1729"/>
      <c r="AG3" s="1729"/>
      <c r="AH3" s="1729"/>
      <c r="AI3" s="1729"/>
      <c r="AJ3" s="1729"/>
      <c r="AK3" s="1729"/>
      <c r="AL3" s="1729"/>
      <c r="AM3" s="1729"/>
      <c r="AN3" s="1729"/>
      <c r="AO3" s="1729"/>
      <c r="AP3" s="1729"/>
      <c r="AQ3" s="1729"/>
      <c r="AR3" s="1729"/>
      <c r="AS3" s="1729"/>
      <c r="AT3" s="1729"/>
      <c r="AU3" s="1729"/>
      <c r="AV3" s="1729"/>
      <c r="AW3" s="1729"/>
      <c r="AX3" s="1729"/>
      <c r="AY3" s="1729"/>
      <c r="AZ3" s="1729"/>
      <c r="BA3" s="1729"/>
      <c r="BB3" s="1729"/>
      <c r="BC3" s="1729"/>
      <c r="BD3" s="1729"/>
      <c r="BE3" s="1729"/>
      <c r="BF3" s="1729"/>
      <c r="BG3" s="1729"/>
      <c r="BH3" s="1729"/>
      <c r="BI3" s="1729"/>
      <c r="BJ3" s="1729"/>
      <c r="BK3" s="1729"/>
      <c r="BL3" s="1729"/>
      <c r="BM3" s="1729"/>
      <c r="BN3" s="1729"/>
      <c r="BO3" s="1729"/>
      <c r="BP3" s="1729"/>
      <c r="BQ3" s="1729"/>
      <c r="BR3" s="1729"/>
      <c r="BS3" s="1729"/>
      <c r="BT3" s="1729"/>
      <c r="BU3" s="1729"/>
      <c r="BV3" s="1729"/>
      <c r="BW3" s="1729"/>
      <c r="BX3" s="1729"/>
      <c r="BY3" s="1729"/>
      <c r="BZ3" s="1729"/>
      <c r="CA3" s="1729"/>
      <c r="CB3" s="1729"/>
      <c r="CC3" s="1729"/>
      <c r="CD3" s="1729"/>
      <c r="CE3" s="1729"/>
      <c r="CF3" s="1729"/>
      <c r="CG3" s="1729"/>
      <c r="CH3" s="1729"/>
      <c r="CI3" s="1729"/>
      <c r="CJ3" s="1729"/>
      <c r="CK3" s="1729"/>
      <c r="CL3" s="1729"/>
      <c r="CM3" s="1729"/>
      <c r="CN3" s="1729"/>
      <c r="CO3" s="1729"/>
      <c r="CP3" s="1729"/>
      <c r="CQ3" s="1729"/>
      <c r="CR3" s="1729"/>
      <c r="CS3" s="1729"/>
      <c r="CT3" s="1729"/>
      <c r="CU3" s="1729"/>
      <c r="CV3" s="1729"/>
      <c r="CW3" s="1729"/>
      <c r="CX3" s="1729"/>
      <c r="CY3" s="1729"/>
      <c r="CZ3" s="1729"/>
      <c r="DA3" s="1729"/>
      <c r="DB3" s="1729"/>
      <c r="DC3" s="1729"/>
      <c r="DD3" s="1729"/>
      <c r="DE3" s="1729"/>
      <c r="DF3" s="1729"/>
      <c r="DG3" s="1729"/>
      <c r="DH3" s="1729"/>
      <c r="DI3" s="1729"/>
      <c r="DJ3" s="1729"/>
      <c r="DK3" s="1729"/>
      <c r="DL3" s="1729"/>
      <c r="DM3" s="1729"/>
      <c r="DN3" s="1729"/>
      <c r="DO3" s="1729"/>
      <c r="DP3" s="1729"/>
      <c r="DQ3" s="1729"/>
      <c r="DR3" s="1729"/>
      <c r="DS3" s="1729"/>
      <c r="DT3" s="1729"/>
      <c r="DU3" s="1729"/>
      <c r="DV3" s="1729"/>
      <c r="DW3" s="1729"/>
      <c r="DX3" s="1729"/>
      <c r="DY3" s="1729"/>
      <c r="DZ3" s="1729"/>
      <c r="EA3" s="1729"/>
      <c r="EB3" s="1729"/>
      <c r="EC3" s="1729"/>
      <c r="ED3" s="1729"/>
      <c r="EE3" s="1729"/>
      <c r="EF3" s="1729"/>
      <c r="EG3" s="1729"/>
      <c r="EH3" s="1729"/>
      <c r="EI3" s="1729"/>
      <c r="EJ3" s="1729"/>
      <c r="EK3" s="1729"/>
      <c r="EL3" s="1729"/>
      <c r="EM3" s="1729"/>
      <c r="EN3" s="1729"/>
      <c r="EO3" s="1729"/>
      <c r="EP3" s="1729"/>
      <c r="EQ3" s="1729"/>
      <c r="ER3" s="1729"/>
      <c r="ES3" s="1729"/>
      <c r="ET3" s="1729"/>
      <c r="EU3" s="1729"/>
      <c r="EV3" s="1729"/>
      <c r="EW3" s="1729"/>
      <c r="EX3" s="1729"/>
      <c r="EY3" s="1729"/>
      <c r="EZ3" s="1729"/>
      <c r="FA3" s="1729"/>
      <c r="FB3" s="1729"/>
      <c r="FC3" s="1729"/>
      <c r="FD3" s="1729"/>
      <c r="FE3" s="1729"/>
      <c r="FF3" s="1729"/>
      <c r="FG3" s="1729"/>
      <c r="FH3" s="1729"/>
      <c r="FI3" s="1729"/>
      <c r="FJ3" s="1729"/>
      <c r="FK3" s="1729"/>
      <c r="FL3" s="1729"/>
      <c r="FM3" s="1729"/>
      <c r="FN3" s="1729"/>
      <c r="FO3" s="1729"/>
      <c r="FP3" s="1729"/>
      <c r="FQ3" s="1729"/>
      <c r="FR3" s="1729"/>
      <c r="FS3" s="1729"/>
      <c r="FT3" s="1729"/>
      <c r="FU3" s="1729"/>
      <c r="FV3" s="1729"/>
      <c r="FW3" s="1729"/>
      <c r="FX3" s="1729"/>
      <c r="FY3" s="1729"/>
      <c r="FZ3" s="1729"/>
      <c r="GA3" s="1729"/>
      <c r="GB3" s="1729"/>
      <c r="GC3" s="1729"/>
      <c r="GD3" s="1729"/>
      <c r="GE3" s="1729"/>
      <c r="GF3" s="1729"/>
      <c r="GG3" s="1729"/>
      <c r="GH3" s="1729"/>
      <c r="GI3" s="1729"/>
      <c r="GJ3" s="1729"/>
      <c r="GK3" s="1729"/>
      <c r="GL3" s="1729"/>
      <c r="GM3" s="1729"/>
      <c r="GN3" s="1729"/>
      <c r="GO3" s="1729"/>
      <c r="GP3" s="1729"/>
      <c r="GQ3" s="1729"/>
      <c r="GR3" s="1729"/>
      <c r="GS3" s="1729"/>
      <c r="GT3" s="1729"/>
      <c r="GU3" s="1729"/>
      <c r="GV3" s="1729"/>
      <c r="GW3" s="1729"/>
      <c r="GX3" s="1729"/>
      <c r="GY3" s="1729"/>
      <c r="GZ3" s="1729"/>
      <c r="HA3" s="1729"/>
      <c r="HB3" s="1729"/>
      <c r="HC3" s="1729"/>
      <c r="HD3" s="1729"/>
      <c r="HE3" s="1729"/>
      <c r="HF3" s="1729"/>
      <c r="HG3" s="1729"/>
      <c r="HH3" s="1729"/>
      <c r="HI3" s="1729"/>
      <c r="HJ3" s="1729"/>
      <c r="HK3" s="1729"/>
      <c r="HL3" s="1729"/>
      <c r="HM3" s="1729"/>
      <c r="HN3" s="1729"/>
      <c r="HO3" s="1729"/>
      <c r="HP3" s="1729"/>
      <c r="HQ3" s="1729"/>
      <c r="HR3" s="1729"/>
      <c r="HS3" s="1729"/>
      <c r="HT3" s="1729"/>
      <c r="HU3" s="1729"/>
      <c r="HV3" s="1729"/>
      <c r="HW3" s="1729"/>
      <c r="HX3" s="1729"/>
      <c r="HY3" s="1729"/>
      <c r="HZ3" s="1729"/>
      <c r="IA3" s="1729"/>
      <c r="IB3" s="1729"/>
      <c r="IC3" s="1729"/>
      <c r="ID3" s="1729"/>
      <c r="IE3" s="1729"/>
      <c r="IF3" s="1729"/>
      <c r="IG3" s="1729"/>
      <c r="IH3" s="1729"/>
      <c r="II3" s="1729"/>
      <c r="IJ3" s="1729"/>
      <c r="IK3" s="1729"/>
      <c r="IL3" s="1729"/>
      <c r="IM3" s="1729"/>
      <c r="IN3" s="1729"/>
      <c r="IO3" s="1729"/>
      <c r="IP3" s="1729"/>
      <c r="IQ3" s="1729"/>
      <c r="IR3" s="1729"/>
      <c r="IS3" s="1729"/>
      <c r="IT3" s="1729"/>
      <c r="IU3" s="1729"/>
      <c r="IV3" s="1729"/>
      <c r="IW3" s="1729"/>
      <c r="IX3" s="1729"/>
      <c r="IY3" s="1729"/>
      <c r="IZ3" s="1729"/>
      <c r="JA3" s="1729"/>
      <c r="JB3" s="1729"/>
      <c r="JC3" s="1729"/>
      <c r="JD3" s="1729"/>
      <c r="JE3" s="1729"/>
      <c r="JF3" s="1729"/>
      <c r="JG3" s="1729"/>
      <c r="JH3" s="1729"/>
      <c r="JI3" s="1729"/>
      <c r="JJ3" s="1729"/>
      <c r="JK3" s="1729"/>
      <c r="JL3" s="1729"/>
      <c r="JM3" s="1729"/>
      <c r="JN3" s="1729"/>
      <c r="JO3" s="1729"/>
      <c r="JP3" s="1729"/>
      <c r="JQ3" s="1729"/>
      <c r="JR3" s="1729"/>
      <c r="JS3" s="1729"/>
      <c r="JT3" s="1729"/>
      <c r="JU3" s="1729"/>
      <c r="JV3" s="1729"/>
      <c r="JW3" s="1729"/>
      <c r="JX3" s="1729"/>
      <c r="JY3" s="1729"/>
      <c r="JZ3" s="1729"/>
      <c r="KA3" s="1729"/>
      <c r="KB3" s="1729"/>
      <c r="KC3" s="1729"/>
      <c r="KD3" s="1729"/>
      <c r="KE3" s="1729"/>
      <c r="KF3" s="1729"/>
      <c r="KG3" s="1729"/>
      <c r="KH3" s="1729"/>
      <c r="KI3" s="1729"/>
      <c r="KJ3" s="1729"/>
      <c r="KK3" s="1729"/>
      <c r="KL3" s="1729"/>
      <c r="KM3" s="1729"/>
      <c r="KN3" s="1729"/>
      <c r="KO3" s="1729"/>
      <c r="KP3" s="1729"/>
      <c r="KQ3" s="1729"/>
      <c r="KR3" s="1729"/>
      <c r="KS3" s="1729"/>
      <c r="KT3" s="1729"/>
      <c r="KU3" s="1729"/>
      <c r="KV3" s="1729"/>
      <c r="KW3" s="1729"/>
      <c r="KX3" s="1729"/>
      <c r="KY3" s="1729"/>
      <c r="KZ3" s="1729"/>
      <c r="LA3" s="1729"/>
      <c r="LB3" s="1729"/>
      <c r="LC3" s="1729"/>
      <c r="LD3" s="1729"/>
      <c r="LE3" s="1729"/>
      <c r="LF3" s="1729"/>
      <c r="LG3" s="1729"/>
      <c r="LH3" s="1729"/>
      <c r="LI3" s="1729"/>
      <c r="LJ3" s="1729"/>
      <c r="LK3" s="1729"/>
      <c r="LL3" s="1729"/>
      <c r="LM3" s="1729"/>
      <c r="LN3" s="1729"/>
      <c r="LO3" s="1729"/>
      <c r="LP3" s="1729"/>
      <c r="LQ3" s="1729"/>
      <c r="LR3" s="1729"/>
      <c r="LS3" s="1729"/>
      <c r="LT3" s="1729"/>
      <c r="LU3" s="1729"/>
      <c r="LV3" s="1729"/>
      <c r="LW3" s="1729"/>
      <c r="LX3" s="1729"/>
      <c r="LY3" s="1729"/>
      <c r="LZ3" s="1729"/>
      <c r="MA3" s="1729"/>
      <c r="MB3" s="1729"/>
      <c r="MC3" s="1729"/>
      <c r="MD3" s="1729"/>
      <c r="ME3" s="1729"/>
      <c r="MF3" s="1729"/>
      <c r="MG3" s="1729"/>
      <c r="MH3" s="1729"/>
      <c r="MI3" s="1729"/>
      <c r="MJ3" s="1729"/>
      <c r="MK3" s="1729"/>
      <c r="ML3" s="1729"/>
      <c r="MM3" s="1729"/>
      <c r="MN3" s="1729"/>
      <c r="MO3" s="1729"/>
      <c r="MP3" s="1729"/>
      <c r="MQ3" s="1729"/>
      <c r="MR3" s="1729"/>
      <c r="MS3" s="1729"/>
      <c r="MT3" s="1729"/>
      <c r="MU3" s="1729"/>
      <c r="MV3" s="1729"/>
      <c r="MW3" s="1729"/>
      <c r="MX3" s="1729"/>
      <c r="MY3" s="1729"/>
      <c r="MZ3" s="1729"/>
      <c r="NA3" s="1729"/>
      <c r="NB3" s="1729"/>
      <c r="NC3" s="1729"/>
      <c r="ND3" s="1729"/>
      <c r="NE3" s="1729"/>
      <c r="NF3" s="1729"/>
      <c r="NG3" s="1729"/>
      <c r="NH3" s="1729"/>
      <c r="NI3" s="1729"/>
      <c r="NJ3" s="1729"/>
      <c r="NK3" s="1729"/>
      <c r="NL3" s="1729"/>
      <c r="NM3" s="1729"/>
      <c r="NN3" s="1729"/>
      <c r="NO3" s="1729"/>
      <c r="NP3" s="1729"/>
      <c r="NQ3" s="1729"/>
      <c r="NR3" s="1729"/>
      <c r="NS3" s="1729"/>
      <c r="NT3" s="1729"/>
      <c r="NU3" s="1729"/>
      <c r="NV3" s="1729"/>
      <c r="NW3" s="1729"/>
      <c r="NX3" s="1729"/>
      <c r="NY3" s="1729"/>
      <c r="NZ3" s="1729"/>
      <c r="OA3" s="1729"/>
      <c r="OB3" s="1729"/>
      <c r="OC3" s="1729"/>
      <c r="OD3" s="1729"/>
      <c r="OE3" s="1729"/>
      <c r="OF3" s="1729"/>
      <c r="OG3" s="1729"/>
      <c r="OH3" s="1729"/>
      <c r="OI3" s="1729"/>
      <c r="OJ3" s="1729"/>
      <c r="OK3" s="1729"/>
      <c r="OL3" s="1729"/>
      <c r="OM3" s="1729"/>
      <c r="ON3" s="1729"/>
      <c r="OO3" s="1729"/>
      <c r="OP3" s="1729"/>
      <c r="OQ3" s="1729"/>
      <c r="OR3" s="1729"/>
      <c r="OS3" s="1729"/>
      <c r="OT3" s="1729"/>
      <c r="OU3" s="1729"/>
      <c r="OV3" s="1729"/>
      <c r="OW3" s="1729"/>
      <c r="OX3" s="1729"/>
      <c r="OY3" s="1729"/>
      <c r="OZ3" s="1729"/>
      <c r="PA3" s="1729"/>
      <c r="PB3" s="1729"/>
      <c r="PC3" s="1729"/>
      <c r="PD3" s="1729"/>
      <c r="PE3" s="1729"/>
      <c r="PF3" s="1729"/>
      <c r="PG3" s="1729"/>
      <c r="PH3" s="1729"/>
      <c r="PI3" s="1729"/>
      <c r="PJ3" s="1729"/>
      <c r="PK3" s="1729"/>
      <c r="PL3" s="1729"/>
      <c r="PM3" s="1729"/>
      <c r="PN3" s="1729"/>
      <c r="PO3" s="1729"/>
      <c r="PP3" s="1729"/>
      <c r="PQ3" s="1729"/>
      <c r="PR3" s="1729"/>
      <c r="PS3" s="1729"/>
      <c r="PT3" s="1729"/>
      <c r="PU3" s="1729"/>
      <c r="PV3" s="1729"/>
      <c r="PW3" s="1729"/>
      <c r="PX3" s="1729"/>
      <c r="PY3" s="1729"/>
      <c r="PZ3" s="1729"/>
      <c r="QA3" s="1729"/>
      <c r="QB3" s="1729"/>
      <c r="QC3" s="1729"/>
      <c r="QD3" s="1729"/>
      <c r="QE3" s="1729"/>
      <c r="QF3" s="1729"/>
      <c r="QG3" s="1729"/>
      <c r="QH3" s="1729"/>
      <c r="QI3" s="1729"/>
      <c r="QJ3" s="1729"/>
      <c r="QK3" s="1729"/>
      <c r="QL3" s="1729"/>
      <c r="QM3" s="1729"/>
      <c r="QN3" s="1729"/>
      <c r="QO3" s="1729"/>
      <c r="QP3" s="1729"/>
      <c r="QQ3" s="1729"/>
      <c r="QR3" s="1729"/>
      <c r="QS3" s="1729"/>
      <c r="QT3" s="1729"/>
      <c r="QU3" s="1729"/>
      <c r="QV3" s="1729"/>
      <c r="QW3" s="1729"/>
      <c r="QX3" s="1729"/>
      <c r="QY3" s="1729"/>
      <c r="QZ3" s="1729"/>
      <c r="RA3" s="1729"/>
      <c r="RB3" s="1729"/>
      <c r="RC3" s="1729"/>
      <c r="RD3" s="1729"/>
      <c r="RE3" s="1729"/>
      <c r="RF3" s="1729"/>
      <c r="RG3" s="1729"/>
      <c r="RH3" s="1729"/>
      <c r="RI3" s="1729"/>
      <c r="RJ3" s="1729"/>
      <c r="RK3" s="1729"/>
      <c r="RL3" s="1729"/>
      <c r="RM3" s="1729"/>
      <c r="RN3" s="1729"/>
      <c r="RO3" s="1729"/>
      <c r="RP3" s="1729"/>
      <c r="RQ3" s="1729"/>
      <c r="RR3" s="1729"/>
      <c r="RS3" s="1729"/>
      <c r="RT3" s="1729"/>
      <c r="RU3" s="1729"/>
      <c r="RV3" s="1729"/>
      <c r="RW3" s="1729"/>
      <c r="RX3" s="1729"/>
      <c r="RY3" s="1729"/>
      <c r="RZ3" s="1729"/>
      <c r="SA3" s="1729"/>
      <c r="SB3" s="1729"/>
      <c r="SC3" s="1729"/>
      <c r="SD3" s="1729"/>
      <c r="SE3" s="1729"/>
      <c r="SF3" s="1729"/>
      <c r="SG3" s="1729"/>
      <c r="SH3" s="1729"/>
      <c r="SI3" s="1729"/>
      <c r="SJ3" s="1729"/>
      <c r="SK3" s="1729"/>
      <c r="SL3" s="1729"/>
      <c r="SM3" s="1729"/>
      <c r="SN3" s="1729"/>
      <c r="SO3" s="1729"/>
      <c r="SP3" s="1729"/>
      <c r="SQ3" s="1729"/>
      <c r="SR3" s="1729"/>
      <c r="SS3" s="1729"/>
      <c r="ST3" s="1729"/>
      <c r="SU3" s="1729"/>
      <c r="SV3" s="1729"/>
      <c r="SW3" s="1729"/>
      <c r="SX3" s="1729"/>
      <c r="SY3" s="1729"/>
      <c r="SZ3" s="1729"/>
      <c r="TA3" s="1729"/>
      <c r="TB3" s="1729"/>
      <c r="TC3" s="1729"/>
      <c r="TD3" s="1729"/>
      <c r="TE3" s="1729"/>
      <c r="TF3" s="1729"/>
      <c r="TG3" s="1729"/>
      <c r="TH3" s="1729"/>
      <c r="TI3" s="1729"/>
      <c r="TJ3" s="1729"/>
      <c r="TK3" s="1729"/>
      <c r="TL3" s="1729"/>
      <c r="TM3" s="1729"/>
      <c r="TN3" s="1729"/>
      <c r="TO3" s="1729"/>
      <c r="TP3" s="1729"/>
      <c r="TQ3" s="1729"/>
      <c r="TR3" s="1729"/>
      <c r="TS3" s="1729"/>
      <c r="TT3" s="1729"/>
      <c r="TU3" s="1729"/>
      <c r="TV3" s="1729"/>
      <c r="TW3" s="1729"/>
      <c r="TX3" s="1729"/>
      <c r="TY3" s="1729"/>
      <c r="TZ3" s="1729"/>
      <c r="UA3" s="1729"/>
      <c r="UB3" s="1729"/>
      <c r="UC3" s="1729"/>
      <c r="UD3" s="1729"/>
      <c r="UE3" s="1729"/>
      <c r="UF3" s="1729"/>
      <c r="UG3" s="1729"/>
      <c r="UH3" s="1729"/>
      <c r="UI3" s="1729"/>
      <c r="UJ3" s="1729"/>
      <c r="UK3" s="1729"/>
      <c r="UL3" s="1729"/>
      <c r="UM3" s="1729"/>
      <c r="UN3" s="1729"/>
      <c r="UO3" s="1729"/>
      <c r="UP3" s="1729"/>
      <c r="UQ3" s="1729"/>
      <c r="UR3" s="1729"/>
      <c r="US3" s="1729"/>
      <c r="UT3" s="1729"/>
      <c r="UU3" s="1729"/>
      <c r="UV3" s="1729"/>
      <c r="UW3" s="1729"/>
      <c r="UX3" s="1729"/>
      <c r="UY3" s="1729"/>
      <c r="UZ3" s="1729"/>
      <c r="VA3" s="1729"/>
      <c r="VB3" s="1729"/>
      <c r="VC3" s="1729"/>
      <c r="VD3" s="1729"/>
      <c r="VE3" s="1729"/>
      <c r="VF3" s="1729"/>
      <c r="VG3" s="1729"/>
      <c r="VH3" s="1729"/>
      <c r="VI3" s="1729"/>
      <c r="VJ3" s="1729"/>
      <c r="VK3" s="1729"/>
      <c r="VL3" s="1729"/>
      <c r="VM3" s="1729"/>
      <c r="VN3" s="1729"/>
      <c r="VO3" s="1729"/>
      <c r="VP3" s="1729"/>
      <c r="VQ3" s="1729"/>
      <c r="VR3" s="1729"/>
      <c r="VS3" s="1729"/>
      <c r="VT3" s="1729"/>
      <c r="VU3" s="1729"/>
      <c r="VV3" s="1729"/>
      <c r="VW3" s="1729"/>
      <c r="VX3" s="1729"/>
      <c r="VY3" s="1729"/>
      <c r="VZ3" s="1729"/>
      <c r="WA3" s="1729"/>
      <c r="WB3" s="1729"/>
      <c r="WC3" s="1729"/>
      <c r="WD3" s="1729"/>
      <c r="WE3" s="1729"/>
      <c r="WF3" s="1729"/>
      <c r="WG3" s="1729"/>
      <c r="WH3" s="1729"/>
      <c r="WI3" s="1729"/>
      <c r="WJ3" s="1729"/>
      <c r="WK3" s="1729"/>
      <c r="WL3" s="1729"/>
      <c r="WM3" s="1729"/>
      <c r="WN3" s="1729"/>
      <c r="WO3" s="1729"/>
      <c r="WP3" s="1729"/>
      <c r="WQ3" s="1729"/>
      <c r="WR3" s="1729"/>
      <c r="WS3" s="1729"/>
      <c r="WT3" s="1729"/>
      <c r="WU3" s="1729"/>
      <c r="WV3" s="1729"/>
      <c r="WW3" s="1729"/>
      <c r="WX3" s="1729"/>
      <c r="WY3" s="1729"/>
      <c r="WZ3" s="1729"/>
      <c r="XA3" s="1729"/>
      <c r="XB3" s="1729"/>
      <c r="XC3" s="1729"/>
      <c r="XD3" s="1729"/>
      <c r="XE3" s="1729"/>
      <c r="XF3" s="1729"/>
      <c r="XG3" s="1729"/>
      <c r="XH3" s="1729"/>
      <c r="XI3" s="1729"/>
      <c r="XJ3" s="1729"/>
      <c r="XK3" s="1729"/>
      <c r="XL3" s="1729"/>
      <c r="XM3" s="1729"/>
      <c r="XN3" s="1729"/>
      <c r="XO3" s="1729"/>
      <c r="XP3" s="1729"/>
      <c r="XQ3" s="1729"/>
      <c r="XR3" s="1729"/>
      <c r="XS3" s="1729"/>
      <c r="XT3" s="1729"/>
      <c r="XU3" s="1729"/>
      <c r="XV3" s="1729"/>
      <c r="XW3" s="1729"/>
      <c r="XX3" s="1729"/>
      <c r="XY3" s="1729"/>
      <c r="XZ3" s="1729"/>
      <c r="YA3" s="1729"/>
      <c r="YB3" s="1729"/>
      <c r="YC3" s="1729"/>
      <c r="YD3" s="1729"/>
      <c r="YE3" s="1729"/>
      <c r="YF3" s="1729"/>
      <c r="YG3" s="1729"/>
      <c r="YH3" s="1729"/>
      <c r="YI3" s="1729"/>
      <c r="YJ3" s="1729"/>
      <c r="YK3" s="1729"/>
      <c r="YL3" s="1729"/>
      <c r="YM3" s="1729"/>
      <c r="YN3" s="1729"/>
      <c r="YO3" s="1729"/>
      <c r="YP3" s="1729"/>
      <c r="YQ3" s="1729"/>
      <c r="YR3" s="1729"/>
      <c r="YS3" s="1729"/>
      <c r="YT3" s="1729"/>
      <c r="YU3" s="1729"/>
      <c r="YV3" s="1729"/>
      <c r="YW3" s="1729"/>
      <c r="YX3" s="1729"/>
      <c r="YY3" s="1729"/>
      <c r="YZ3" s="1729"/>
      <c r="ZA3" s="1729"/>
      <c r="ZB3" s="1729"/>
      <c r="ZC3" s="1729"/>
      <c r="ZD3" s="1729"/>
      <c r="ZE3" s="1729"/>
      <c r="ZF3" s="1729"/>
      <c r="ZG3" s="1729"/>
      <c r="ZH3" s="1729"/>
      <c r="ZI3" s="1729"/>
      <c r="ZJ3" s="1729"/>
      <c r="ZK3" s="1729"/>
      <c r="ZL3" s="1729"/>
      <c r="ZM3" s="1729"/>
      <c r="ZN3" s="1729"/>
      <c r="ZO3" s="1729"/>
      <c r="ZP3" s="1729"/>
      <c r="ZQ3" s="1729"/>
      <c r="ZR3" s="1729"/>
      <c r="ZS3" s="1729"/>
      <c r="ZT3" s="1729"/>
      <c r="ZU3" s="1729"/>
      <c r="ZV3" s="1729"/>
      <c r="ZW3" s="1729"/>
      <c r="ZX3" s="1729"/>
      <c r="ZY3" s="1729"/>
      <c r="ZZ3" s="1729"/>
      <c r="AAA3" s="1729"/>
      <c r="AAB3" s="1729"/>
      <c r="AAC3" s="1729"/>
      <c r="AAD3" s="1729"/>
      <c r="AAE3" s="1729"/>
      <c r="AAF3" s="1729"/>
      <c r="AAG3" s="1729"/>
      <c r="AAH3" s="1729"/>
      <c r="AAI3" s="1729"/>
      <c r="AAJ3" s="1729"/>
      <c r="AAK3" s="1729"/>
      <c r="AAL3" s="1729"/>
      <c r="AAM3" s="1729"/>
      <c r="AAN3" s="1729"/>
      <c r="AAO3" s="1729"/>
      <c r="AAP3" s="1729"/>
      <c r="AAQ3" s="1729"/>
      <c r="AAR3" s="1729"/>
      <c r="AAS3" s="1729"/>
      <c r="AAT3" s="1729"/>
      <c r="AAU3" s="1729"/>
      <c r="AAV3" s="1729"/>
      <c r="AAW3" s="1729"/>
      <c r="AAX3" s="1729"/>
      <c r="AAY3" s="1729"/>
      <c r="AAZ3" s="1729"/>
      <c r="ABA3" s="1729"/>
      <c r="ABB3" s="1729"/>
      <c r="ABC3" s="1729"/>
      <c r="ABD3" s="1729"/>
      <c r="ABE3" s="1729"/>
      <c r="ABF3" s="1729"/>
      <c r="ABG3" s="1729"/>
      <c r="ABH3" s="1729"/>
      <c r="ABI3" s="1729"/>
      <c r="ABJ3" s="1729"/>
      <c r="ABK3" s="1729"/>
      <c r="ABL3" s="1729"/>
      <c r="ABM3" s="1729"/>
      <c r="ABN3" s="1729"/>
      <c r="ABO3" s="1729"/>
      <c r="ABP3" s="1729"/>
      <c r="ABQ3" s="1729"/>
      <c r="ABR3" s="1729"/>
      <c r="ABS3" s="1729"/>
      <c r="ABT3" s="1729"/>
      <c r="ABU3" s="1729"/>
      <c r="ABV3" s="1729"/>
      <c r="ABW3" s="1729"/>
      <c r="ABX3" s="1729"/>
      <c r="ABY3" s="1729"/>
      <c r="ABZ3" s="1729"/>
      <c r="ACA3" s="1729"/>
      <c r="ACB3" s="1729"/>
      <c r="ACC3" s="1729"/>
      <c r="ACD3" s="1729"/>
      <c r="ACE3" s="1729"/>
      <c r="ACF3" s="1729"/>
      <c r="ACG3" s="1729"/>
      <c r="ACH3" s="1729"/>
      <c r="ACI3" s="1729"/>
      <c r="ACJ3" s="1729"/>
      <c r="ACK3" s="1729"/>
      <c r="ACL3" s="1729"/>
      <c r="ACM3" s="1729"/>
      <c r="ACN3" s="1729"/>
      <c r="ACO3" s="1729"/>
      <c r="ACP3" s="1729"/>
      <c r="ACQ3" s="1729"/>
      <c r="ACR3" s="1729"/>
      <c r="ACS3" s="1729"/>
      <c r="ACT3" s="1729"/>
      <c r="ACU3" s="1729"/>
      <c r="ACV3" s="1729"/>
      <c r="ACW3" s="1729"/>
      <c r="ACX3" s="1729"/>
      <c r="ACY3" s="1729"/>
      <c r="ACZ3" s="1729"/>
      <c r="ADA3" s="1729"/>
      <c r="ADB3" s="1729"/>
      <c r="ADC3" s="1729"/>
      <c r="ADD3" s="1729"/>
      <c r="ADE3" s="1729"/>
      <c r="ADF3" s="1729"/>
      <c r="ADG3" s="1729"/>
      <c r="ADH3" s="1729"/>
      <c r="ADI3" s="1729"/>
      <c r="ADJ3" s="1729"/>
      <c r="ADK3" s="1729"/>
      <c r="ADL3" s="1729"/>
      <c r="ADM3" s="1729"/>
      <c r="ADN3" s="1729"/>
      <c r="ADO3" s="1729"/>
      <c r="ADP3" s="1729"/>
      <c r="ADQ3" s="1729"/>
      <c r="ADR3" s="1729"/>
      <c r="ADS3" s="1729"/>
      <c r="ADT3" s="1729"/>
      <c r="ADU3" s="1729"/>
      <c r="ADV3" s="1729"/>
      <c r="ADW3" s="1729"/>
      <c r="ADX3" s="1729"/>
      <c r="ADY3" s="1729"/>
      <c r="ADZ3" s="1729"/>
      <c r="AEA3" s="1729"/>
      <c r="AEB3" s="1729"/>
      <c r="AEC3" s="1729"/>
      <c r="AED3" s="1729"/>
      <c r="AEE3" s="1729"/>
      <c r="AEF3" s="1729"/>
      <c r="AEG3" s="1729"/>
      <c r="AEH3" s="1729"/>
      <c r="AEI3" s="1729"/>
      <c r="AEJ3" s="1729"/>
      <c r="AEK3" s="1729"/>
      <c r="AEL3" s="1729"/>
      <c r="AEM3" s="1729"/>
      <c r="AEN3" s="1729"/>
      <c r="AEO3" s="1729"/>
      <c r="AEP3" s="1729"/>
      <c r="AEQ3" s="1729"/>
      <c r="AER3" s="1729"/>
      <c r="AES3" s="1729"/>
      <c r="AET3" s="1729"/>
      <c r="AEU3" s="1729"/>
      <c r="AEV3" s="1729"/>
      <c r="AEW3" s="1729"/>
      <c r="AEX3" s="1729"/>
      <c r="AEY3" s="1729"/>
      <c r="AEZ3" s="1729"/>
      <c r="AFA3" s="1729"/>
      <c r="AFB3" s="1729"/>
      <c r="AFC3" s="1729"/>
      <c r="AFD3" s="1729"/>
      <c r="AFE3" s="1729"/>
      <c r="AFF3" s="1729"/>
      <c r="AFG3" s="1729"/>
      <c r="AFH3" s="1729"/>
      <c r="AFI3" s="1729"/>
      <c r="AFJ3" s="1729"/>
      <c r="AFK3" s="1729"/>
      <c r="AFL3" s="1729"/>
      <c r="AFM3" s="1729"/>
      <c r="AFN3" s="1729"/>
      <c r="AFO3" s="1729"/>
      <c r="AFP3" s="1729"/>
      <c r="AFQ3" s="1729"/>
      <c r="AFR3" s="1729"/>
      <c r="AFS3" s="1729"/>
      <c r="AFT3" s="1729"/>
      <c r="AFU3" s="1729"/>
      <c r="AFV3" s="1729"/>
      <c r="AFW3" s="1729"/>
      <c r="AFX3" s="1729"/>
      <c r="AFY3" s="1729"/>
      <c r="AFZ3" s="1729"/>
      <c r="AGA3" s="1729"/>
      <c r="AGB3" s="1729"/>
      <c r="AGC3" s="1729"/>
      <c r="AGD3" s="1729"/>
      <c r="AGE3" s="1729"/>
      <c r="AGF3" s="1729"/>
      <c r="AGG3" s="1729"/>
      <c r="AGH3" s="1729"/>
      <c r="AGI3" s="1729"/>
      <c r="AGJ3" s="1729"/>
      <c r="AGK3" s="1729"/>
      <c r="AGL3" s="1729"/>
      <c r="AGM3" s="1729"/>
      <c r="AGN3" s="1729"/>
      <c r="AGO3" s="1729"/>
      <c r="AGP3" s="1729"/>
      <c r="AGQ3" s="1729"/>
      <c r="AGR3" s="1729"/>
      <c r="AGS3" s="1729"/>
      <c r="AGT3" s="1729"/>
      <c r="AGU3" s="1729"/>
      <c r="AGV3" s="1729"/>
      <c r="AGW3" s="1729"/>
      <c r="AGX3" s="1729"/>
      <c r="AGY3" s="1729"/>
      <c r="AGZ3" s="1729"/>
      <c r="AHA3" s="1729"/>
      <c r="AHB3" s="1729"/>
      <c r="AHC3" s="1729"/>
      <c r="AHD3" s="1729"/>
      <c r="AHE3" s="1729"/>
      <c r="AHF3" s="1729"/>
      <c r="AHG3" s="1729"/>
      <c r="AHH3" s="1729"/>
      <c r="AHI3" s="1729"/>
      <c r="AHJ3" s="1729"/>
      <c r="AHK3" s="1729"/>
      <c r="AHL3" s="1729"/>
      <c r="AHM3" s="1729"/>
      <c r="AHN3" s="1729"/>
      <c r="AHO3" s="1729"/>
      <c r="AHP3" s="1729"/>
      <c r="AHQ3" s="1729"/>
      <c r="AHR3" s="1729"/>
      <c r="AHS3" s="1729"/>
      <c r="AHT3" s="1729"/>
      <c r="AHU3" s="1729"/>
      <c r="AHV3" s="1729"/>
      <c r="AHW3" s="1729"/>
      <c r="AHX3" s="1729"/>
      <c r="AHY3" s="1729"/>
      <c r="AHZ3" s="1729"/>
      <c r="AIA3" s="1729"/>
      <c r="AIB3" s="1729"/>
      <c r="AIC3" s="1729"/>
      <c r="AID3" s="1729"/>
      <c r="AIE3" s="1729"/>
      <c r="AIF3" s="1729"/>
      <c r="AIG3" s="1729"/>
      <c r="AIH3" s="1729"/>
      <c r="AII3" s="1729"/>
      <c r="AIJ3" s="1729"/>
      <c r="AIK3" s="1729"/>
      <c r="AIL3" s="1729"/>
      <c r="AIM3" s="1729"/>
      <c r="AIN3" s="1729"/>
      <c r="AIO3" s="1729"/>
      <c r="AIP3" s="1729"/>
      <c r="AIQ3" s="1729"/>
      <c r="AIR3" s="1729"/>
      <c r="AIS3" s="1729"/>
      <c r="AIT3" s="1729"/>
      <c r="AIU3" s="1729"/>
      <c r="AIV3" s="1729"/>
      <c r="AIW3" s="1729"/>
      <c r="AIX3" s="1729"/>
      <c r="AIY3" s="1729"/>
      <c r="AIZ3" s="1729"/>
      <c r="AJA3" s="1729"/>
      <c r="AJB3" s="1729"/>
      <c r="AJC3" s="1729"/>
      <c r="AJD3" s="1729"/>
      <c r="AJE3" s="1729"/>
      <c r="AJF3" s="1729"/>
      <c r="AJG3" s="1729"/>
      <c r="AJH3" s="1729"/>
      <c r="AJI3" s="1729"/>
      <c r="AJJ3" s="1729"/>
      <c r="AJK3" s="1729"/>
      <c r="AJL3" s="1729"/>
      <c r="AJM3" s="1729"/>
      <c r="AJN3" s="1729"/>
      <c r="AJO3" s="1729"/>
      <c r="AJP3" s="1729"/>
      <c r="AJQ3" s="1729"/>
      <c r="AJR3" s="1729"/>
      <c r="AJS3" s="1729"/>
      <c r="AJT3" s="1729"/>
      <c r="AJU3" s="1729"/>
      <c r="AJV3" s="1729"/>
      <c r="AJW3" s="1729"/>
      <c r="AJX3" s="1729"/>
      <c r="AJY3" s="1729"/>
      <c r="AJZ3" s="1729"/>
      <c r="AKA3" s="1729"/>
      <c r="AKB3" s="1729"/>
      <c r="AKC3" s="1729"/>
      <c r="AKD3" s="1729"/>
      <c r="AKE3" s="1729"/>
      <c r="AKF3" s="1729"/>
      <c r="AKG3" s="1729"/>
      <c r="AKH3" s="1729"/>
      <c r="AKI3" s="1729"/>
      <c r="AKJ3" s="1729"/>
      <c r="AKK3" s="1729"/>
      <c r="AKL3" s="1729"/>
      <c r="AKM3" s="1729"/>
      <c r="AKN3" s="1729"/>
      <c r="AKO3" s="1729"/>
      <c r="AKP3" s="1729"/>
      <c r="AKQ3" s="1729"/>
      <c r="AKR3" s="1729"/>
      <c r="AKS3" s="1729"/>
      <c r="AKT3" s="1729"/>
      <c r="AKU3" s="1729"/>
      <c r="AKV3" s="1729"/>
      <c r="AKW3" s="1729"/>
      <c r="AKX3" s="1729"/>
      <c r="AKY3" s="1729"/>
      <c r="AKZ3" s="1729"/>
      <c r="ALA3" s="1729"/>
      <c r="ALB3" s="1729"/>
      <c r="ALC3" s="1729"/>
      <c r="ALD3" s="1729"/>
      <c r="ALE3" s="1729"/>
      <c r="ALF3" s="1729"/>
      <c r="ALG3" s="1729"/>
      <c r="ALH3" s="1729"/>
      <c r="ALI3" s="1729"/>
      <c r="ALJ3" s="1729"/>
      <c r="ALK3" s="1729"/>
      <c r="ALL3" s="1729"/>
      <c r="ALM3" s="1729"/>
      <c r="ALN3" s="1729"/>
      <c r="ALO3" s="1729"/>
      <c r="ALP3" s="1729"/>
      <c r="ALQ3" s="1729"/>
      <c r="ALR3" s="1729"/>
      <c r="ALS3" s="1729"/>
      <c r="ALT3" s="1729"/>
      <c r="ALU3" s="1729"/>
      <c r="ALV3" s="1729"/>
      <c r="ALW3" s="1729"/>
      <c r="ALX3" s="1729"/>
      <c r="ALY3" s="1729"/>
      <c r="ALZ3" s="1729"/>
      <c r="AMA3" s="1729"/>
      <c r="AMB3" s="1729"/>
      <c r="AMC3" s="1729"/>
      <c r="AMD3" s="1729"/>
      <c r="AME3" s="1729"/>
      <c r="AMF3" s="1729"/>
      <c r="AMG3" s="1729"/>
      <c r="AMH3" s="1729"/>
      <c r="AMI3" s="1729"/>
      <c r="AMJ3" s="1729"/>
      <c r="AMK3" s="1729"/>
      <c r="AML3" s="1729"/>
      <c r="AMM3" s="1729"/>
      <c r="AMN3" s="1729"/>
      <c r="AMO3" s="1729"/>
      <c r="AMP3" s="1729"/>
      <c r="AMQ3" s="1729"/>
      <c r="AMR3" s="1729"/>
      <c r="AMS3" s="1729"/>
      <c r="AMT3" s="1729"/>
      <c r="AMU3" s="1729"/>
      <c r="AMV3" s="1729"/>
      <c r="AMW3" s="1729"/>
      <c r="AMX3" s="1729"/>
      <c r="AMY3" s="1729"/>
      <c r="AMZ3" s="1729"/>
      <c r="ANA3" s="1729"/>
      <c r="ANB3" s="1729"/>
      <c r="ANC3" s="1729"/>
      <c r="AND3" s="1729"/>
      <c r="ANE3" s="1729"/>
      <c r="ANF3" s="1729"/>
      <c r="ANG3" s="1729"/>
      <c r="ANH3" s="1729"/>
      <c r="ANI3" s="1729"/>
      <c r="ANJ3" s="1729"/>
      <c r="ANK3" s="1729"/>
      <c r="ANL3" s="1729"/>
      <c r="ANM3" s="1729"/>
      <c r="ANN3" s="1729"/>
      <c r="ANO3" s="1729"/>
      <c r="ANP3" s="1729"/>
      <c r="ANQ3" s="1729"/>
      <c r="ANR3" s="1729"/>
      <c r="ANS3" s="1729"/>
      <c r="ANT3" s="1729"/>
      <c r="ANU3" s="1729"/>
      <c r="ANV3" s="1729"/>
      <c r="ANW3" s="1729"/>
      <c r="ANX3" s="1729"/>
      <c r="ANY3" s="1729"/>
      <c r="ANZ3" s="1729"/>
      <c r="AOA3" s="1729"/>
      <c r="AOB3" s="1729"/>
      <c r="AOC3" s="1729"/>
      <c r="AOD3" s="1729"/>
      <c r="AOE3" s="1729"/>
      <c r="AOF3" s="1729"/>
      <c r="AOG3" s="1729"/>
      <c r="AOH3" s="1729"/>
      <c r="AOI3" s="1729"/>
      <c r="AOJ3" s="1729"/>
      <c r="AOK3" s="1729"/>
      <c r="AOL3" s="1729"/>
      <c r="AOM3" s="1729"/>
      <c r="AON3" s="1729"/>
      <c r="AOO3" s="1729"/>
      <c r="AOP3" s="1729"/>
      <c r="AOQ3" s="1729"/>
      <c r="AOR3" s="1729"/>
      <c r="AOS3" s="1729"/>
      <c r="AOT3" s="1729"/>
      <c r="AOU3" s="1729"/>
      <c r="AOV3" s="1729"/>
      <c r="AOW3" s="1729"/>
      <c r="AOX3" s="1729"/>
      <c r="AOY3" s="1729"/>
      <c r="AOZ3" s="1729"/>
      <c r="APA3" s="1729"/>
      <c r="APB3" s="1729"/>
      <c r="APC3" s="1729"/>
      <c r="APD3" s="1729"/>
      <c r="APE3" s="1729"/>
      <c r="APF3" s="1729"/>
      <c r="APG3" s="1729"/>
      <c r="APH3" s="1729"/>
      <c r="API3" s="1729"/>
      <c r="APJ3" s="1729"/>
      <c r="APK3" s="1729"/>
      <c r="APL3" s="1729"/>
      <c r="APM3" s="1729"/>
      <c r="APN3" s="1729"/>
      <c r="APO3" s="1729"/>
      <c r="APP3" s="1729"/>
      <c r="APQ3" s="1729"/>
      <c r="APR3" s="1729"/>
      <c r="APS3" s="1729"/>
      <c r="APT3" s="1729"/>
      <c r="APU3" s="1729"/>
      <c r="APV3" s="1729"/>
      <c r="APW3" s="1729"/>
      <c r="APX3" s="1729"/>
      <c r="APY3" s="1729"/>
      <c r="APZ3" s="1729"/>
      <c r="AQA3" s="1729"/>
      <c r="AQB3" s="1729"/>
      <c r="AQC3" s="1729"/>
      <c r="AQD3" s="1729"/>
      <c r="AQE3" s="1729"/>
      <c r="AQF3" s="1729"/>
      <c r="AQG3" s="1729"/>
      <c r="AQH3" s="1729"/>
      <c r="AQI3" s="1729"/>
      <c r="AQJ3" s="1729"/>
      <c r="AQK3" s="1729"/>
      <c r="AQL3" s="1729"/>
      <c r="AQM3" s="1729"/>
      <c r="AQN3" s="1729"/>
      <c r="AQO3" s="1729"/>
      <c r="AQP3" s="1729"/>
      <c r="AQQ3" s="1729"/>
      <c r="AQR3" s="1729"/>
      <c r="AQS3" s="1729"/>
      <c r="AQT3" s="1729"/>
      <c r="AQU3" s="1729"/>
      <c r="AQV3" s="1729"/>
      <c r="AQW3" s="1729"/>
      <c r="AQX3" s="1729"/>
      <c r="AQY3" s="1729"/>
      <c r="AQZ3" s="1729"/>
      <c r="ARA3" s="1729"/>
      <c r="ARB3" s="1729"/>
      <c r="ARC3" s="1729"/>
      <c r="ARD3" s="1729"/>
      <c r="ARE3" s="1729"/>
      <c r="ARF3" s="1729"/>
      <c r="ARG3" s="1729"/>
      <c r="ARH3" s="1729"/>
      <c r="ARI3" s="1729"/>
      <c r="ARJ3" s="1729"/>
      <c r="ARK3" s="1729"/>
      <c r="ARL3" s="1729"/>
      <c r="ARM3" s="1729"/>
      <c r="ARN3" s="1729"/>
      <c r="ARO3" s="1729"/>
      <c r="ARP3" s="1729"/>
      <c r="ARQ3" s="1729"/>
      <c r="ARR3" s="1729"/>
      <c r="ARS3" s="1729"/>
      <c r="ART3" s="1729"/>
      <c r="ARU3" s="1729"/>
      <c r="ARV3" s="1729"/>
      <c r="ARW3" s="1729"/>
      <c r="ARX3" s="1729"/>
      <c r="ARY3" s="1729"/>
      <c r="ARZ3" s="1729"/>
      <c r="ASA3" s="1729"/>
      <c r="ASB3" s="1729"/>
      <c r="ASC3" s="1729"/>
      <c r="ASD3" s="1729"/>
      <c r="ASE3" s="1729"/>
      <c r="ASF3" s="1729"/>
      <c r="ASG3" s="1729"/>
      <c r="ASH3" s="1729"/>
      <c r="ASI3" s="1729"/>
      <c r="ASJ3" s="1729"/>
      <c r="ASK3" s="1729"/>
      <c r="ASL3" s="1729"/>
      <c r="ASM3" s="1729"/>
      <c r="ASN3" s="1729"/>
      <c r="ASO3" s="1729"/>
      <c r="ASP3" s="1729"/>
      <c r="ASQ3" s="1729"/>
      <c r="ASR3" s="1729"/>
      <c r="ASS3" s="1729"/>
      <c r="AST3" s="1729"/>
      <c r="ASU3" s="1729"/>
      <c r="ASV3" s="1729"/>
      <c r="ASW3" s="1729"/>
      <c r="ASX3" s="1729"/>
      <c r="ASY3" s="1729"/>
      <c r="ASZ3" s="1729"/>
      <c r="ATA3" s="1729"/>
      <c r="ATB3" s="1729"/>
      <c r="ATC3" s="1729"/>
      <c r="ATD3" s="1729"/>
      <c r="ATE3" s="1729"/>
      <c r="ATF3" s="1729"/>
      <c r="ATG3" s="1729"/>
      <c r="ATH3" s="1729"/>
      <c r="ATI3" s="1729"/>
      <c r="ATJ3" s="1729"/>
      <c r="ATK3" s="1729"/>
      <c r="ATL3" s="1729"/>
      <c r="ATM3" s="1729"/>
      <c r="ATN3" s="1729"/>
      <c r="ATO3" s="1729"/>
    </row>
    <row r="4" spans="1:1211" s="1732" customFormat="1" ht="18.75" customHeight="1" thickBot="1">
      <c r="A4" s="1755" t="s">
        <v>4018</v>
      </c>
      <c r="B4" s="2518"/>
      <c r="C4" s="2519"/>
      <c r="D4" s="1884"/>
      <c r="E4" s="1994"/>
      <c r="F4" s="1994"/>
      <c r="G4" s="1736"/>
      <c r="H4" s="1737"/>
      <c r="I4" s="2532"/>
      <c r="J4" s="2533"/>
      <c r="K4" s="2534">
        <v>0</v>
      </c>
      <c r="L4" s="2535"/>
      <c r="M4" s="1352" t="s">
        <v>4751</v>
      </c>
      <c r="N4" s="1352"/>
      <c r="O4" s="1351"/>
      <c r="P4" s="1729"/>
      <c r="Q4" s="1729"/>
      <c r="R4" s="1729"/>
      <c r="S4" s="1729"/>
      <c r="T4" s="1729"/>
      <c r="U4" s="1729"/>
      <c r="V4" s="1738" t="s">
        <v>11661</v>
      </c>
      <c r="W4" s="1739">
        <v>1</v>
      </c>
      <c r="X4" s="1729"/>
      <c r="Y4" s="1729"/>
      <c r="Z4" s="1729"/>
      <c r="AA4" s="1729"/>
      <c r="AB4" s="1729"/>
      <c r="AC4" s="1729"/>
      <c r="AD4" s="1729"/>
      <c r="AE4" s="1729"/>
      <c r="AF4" s="1729"/>
      <c r="AG4" s="1729"/>
      <c r="AH4" s="1729"/>
      <c r="AI4" s="1729"/>
      <c r="AJ4" s="1729"/>
      <c r="AK4" s="1729"/>
      <c r="AL4" s="1729"/>
      <c r="AM4" s="1729"/>
      <c r="AN4" s="1729"/>
      <c r="AO4" s="1729"/>
      <c r="AP4" s="1729"/>
      <c r="AQ4" s="1729"/>
      <c r="AR4" s="1729"/>
      <c r="AS4" s="1729"/>
      <c r="AT4" s="1729"/>
      <c r="AU4" s="1729"/>
      <c r="AV4" s="1729"/>
      <c r="AW4" s="1729"/>
      <c r="AX4" s="1729"/>
      <c r="AY4" s="1729"/>
      <c r="AZ4" s="1729"/>
      <c r="BA4" s="1729"/>
      <c r="BB4" s="1729"/>
      <c r="BC4" s="1729"/>
      <c r="BD4" s="1729"/>
      <c r="BE4" s="1729"/>
      <c r="BF4" s="1729"/>
      <c r="BG4" s="1729"/>
      <c r="BH4" s="1729"/>
      <c r="BI4" s="1729"/>
      <c r="BJ4" s="1729"/>
      <c r="BK4" s="1729"/>
      <c r="BL4" s="1729"/>
      <c r="BM4" s="1729"/>
      <c r="BN4" s="1729"/>
      <c r="BO4" s="1729"/>
      <c r="BP4" s="1729"/>
      <c r="BQ4" s="1729"/>
      <c r="BR4" s="1729"/>
      <c r="BS4" s="1729"/>
      <c r="BT4" s="1729"/>
      <c r="BU4" s="1729"/>
      <c r="BV4" s="1729"/>
      <c r="BW4" s="1729"/>
      <c r="BX4" s="1729"/>
      <c r="BY4" s="1729"/>
      <c r="BZ4" s="1729"/>
      <c r="CA4" s="1729"/>
      <c r="CB4" s="1729"/>
      <c r="CC4" s="1729"/>
      <c r="CD4" s="1729"/>
      <c r="CE4" s="1729"/>
      <c r="CF4" s="1729"/>
      <c r="CG4" s="1729"/>
      <c r="CH4" s="1729"/>
      <c r="CI4" s="1729"/>
      <c r="CJ4" s="1729"/>
      <c r="CK4" s="1729"/>
      <c r="CL4" s="1729"/>
      <c r="CM4" s="1729"/>
      <c r="CN4" s="1729"/>
      <c r="CO4" s="1729"/>
      <c r="CP4" s="1729"/>
      <c r="CQ4" s="1729"/>
      <c r="CR4" s="1729"/>
      <c r="CS4" s="1729"/>
      <c r="CT4" s="1729"/>
      <c r="CU4" s="1729"/>
      <c r="CV4" s="1729"/>
      <c r="CW4" s="1729"/>
      <c r="CX4" s="1729"/>
      <c r="CY4" s="1729"/>
      <c r="CZ4" s="1729"/>
      <c r="DA4" s="1729"/>
      <c r="DB4" s="1729"/>
      <c r="DC4" s="1729"/>
      <c r="DD4" s="1729"/>
      <c r="DE4" s="1729"/>
      <c r="DF4" s="1729"/>
      <c r="DG4" s="1729"/>
      <c r="DH4" s="1729"/>
      <c r="DI4" s="1729"/>
      <c r="DJ4" s="1729"/>
      <c r="DK4" s="1729"/>
      <c r="DL4" s="1729"/>
      <c r="DM4" s="1729"/>
      <c r="DN4" s="1729"/>
      <c r="DO4" s="1729"/>
      <c r="DP4" s="1729"/>
      <c r="DQ4" s="1729"/>
      <c r="DR4" s="1729"/>
      <c r="DS4" s="1729"/>
      <c r="DT4" s="1729"/>
      <c r="DU4" s="1729"/>
      <c r="DV4" s="1729"/>
      <c r="DW4" s="1729"/>
      <c r="DX4" s="1729"/>
      <c r="DY4" s="1729"/>
      <c r="DZ4" s="1729"/>
      <c r="EA4" s="1729"/>
      <c r="EB4" s="1729"/>
      <c r="EC4" s="1729"/>
      <c r="ED4" s="1729"/>
      <c r="EE4" s="1729"/>
      <c r="EF4" s="1729"/>
      <c r="EG4" s="1729"/>
      <c r="EH4" s="1729"/>
      <c r="EI4" s="1729"/>
      <c r="EJ4" s="1729"/>
      <c r="EK4" s="1729"/>
      <c r="EL4" s="1729"/>
      <c r="EM4" s="1729"/>
      <c r="EN4" s="1729"/>
      <c r="EO4" s="1729"/>
      <c r="EP4" s="1729"/>
      <c r="EQ4" s="1729"/>
      <c r="ER4" s="1729"/>
      <c r="ES4" s="1729"/>
      <c r="ET4" s="1729"/>
      <c r="EU4" s="1729"/>
      <c r="EV4" s="1729"/>
      <c r="EW4" s="1729"/>
      <c r="EX4" s="1729"/>
      <c r="EY4" s="1729"/>
      <c r="EZ4" s="1729"/>
      <c r="FA4" s="1729"/>
      <c r="FB4" s="1729"/>
      <c r="FC4" s="1729"/>
      <c r="FD4" s="1729"/>
      <c r="FE4" s="1729"/>
      <c r="FF4" s="1729"/>
      <c r="FG4" s="1729"/>
      <c r="FH4" s="1729"/>
      <c r="FI4" s="1729"/>
      <c r="FJ4" s="1729"/>
      <c r="FK4" s="1729"/>
      <c r="FL4" s="1729"/>
      <c r="FM4" s="1729"/>
      <c r="FN4" s="1729"/>
      <c r="FO4" s="1729"/>
      <c r="FP4" s="1729"/>
      <c r="FQ4" s="1729"/>
      <c r="FR4" s="1729"/>
      <c r="FS4" s="1729"/>
      <c r="FT4" s="1729"/>
      <c r="FU4" s="1729"/>
      <c r="FV4" s="1729"/>
      <c r="FW4" s="1729"/>
      <c r="FX4" s="1729"/>
      <c r="FY4" s="1729"/>
      <c r="FZ4" s="1729"/>
      <c r="GA4" s="1729"/>
      <c r="GB4" s="1729"/>
      <c r="GC4" s="1729"/>
      <c r="GD4" s="1729"/>
      <c r="GE4" s="1729"/>
      <c r="GF4" s="1729"/>
      <c r="GG4" s="1729"/>
      <c r="GH4" s="1729"/>
      <c r="GI4" s="1729"/>
      <c r="GJ4" s="1729"/>
      <c r="GK4" s="1729"/>
      <c r="GL4" s="1729"/>
      <c r="GM4" s="1729"/>
      <c r="GN4" s="1729"/>
      <c r="GO4" s="1729"/>
      <c r="GP4" s="1729"/>
      <c r="GQ4" s="1729"/>
      <c r="GR4" s="1729"/>
      <c r="GS4" s="1729"/>
      <c r="GT4" s="1729"/>
      <c r="GU4" s="1729"/>
      <c r="GV4" s="1729"/>
      <c r="GW4" s="1729"/>
      <c r="GX4" s="1729"/>
      <c r="GY4" s="1729"/>
      <c r="GZ4" s="1729"/>
      <c r="HA4" s="1729"/>
      <c r="HB4" s="1729"/>
      <c r="HC4" s="1729"/>
      <c r="HD4" s="1729"/>
      <c r="HE4" s="1729"/>
      <c r="HF4" s="1729"/>
      <c r="HG4" s="1729"/>
      <c r="HH4" s="1729"/>
      <c r="HI4" s="1729"/>
      <c r="HJ4" s="1729"/>
      <c r="HK4" s="1729"/>
      <c r="HL4" s="1729"/>
      <c r="HM4" s="1729"/>
      <c r="HN4" s="1729"/>
      <c r="HO4" s="1729"/>
      <c r="HP4" s="1729"/>
      <c r="HQ4" s="1729"/>
      <c r="HR4" s="1729"/>
      <c r="HS4" s="1729"/>
      <c r="HT4" s="1729"/>
      <c r="HU4" s="1729"/>
      <c r="HV4" s="1729"/>
      <c r="HW4" s="1729"/>
      <c r="HX4" s="1729"/>
      <c r="HY4" s="1729"/>
      <c r="HZ4" s="1729"/>
      <c r="IA4" s="1729"/>
      <c r="IB4" s="1729"/>
      <c r="IC4" s="1729"/>
      <c r="ID4" s="1729"/>
      <c r="IE4" s="1729"/>
      <c r="IF4" s="1729"/>
      <c r="IG4" s="1729"/>
      <c r="IH4" s="1729"/>
      <c r="II4" s="1729"/>
      <c r="IJ4" s="1729"/>
      <c r="IK4" s="1729"/>
      <c r="IL4" s="1729"/>
      <c r="IM4" s="1729"/>
      <c r="IN4" s="1729"/>
      <c r="IO4" s="1729"/>
      <c r="IP4" s="1729"/>
      <c r="IQ4" s="1729"/>
      <c r="IR4" s="1729"/>
      <c r="IS4" s="1729"/>
      <c r="IT4" s="1729"/>
      <c r="IU4" s="1729"/>
      <c r="IV4" s="1729"/>
      <c r="IW4" s="1729"/>
      <c r="IX4" s="1729"/>
      <c r="IY4" s="1729"/>
      <c r="IZ4" s="1729"/>
      <c r="JA4" s="1729"/>
      <c r="JB4" s="1729"/>
      <c r="JC4" s="1729"/>
      <c r="JD4" s="1729"/>
      <c r="JE4" s="1729"/>
      <c r="JF4" s="1729"/>
      <c r="JG4" s="1729"/>
      <c r="JH4" s="1729"/>
      <c r="JI4" s="1729"/>
      <c r="JJ4" s="1729"/>
      <c r="JK4" s="1729"/>
      <c r="JL4" s="1729"/>
      <c r="JM4" s="1729"/>
      <c r="JN4" s="1729"/>
      <c r="JO4" s="1729"/>
      <c r="JP4" s="1729"/>
      <c r="JQ4" s="1729"/>
      <c r="JR4" s="1729"/>
      <c r="JS4" s="1729"/>
      <c r="JT4" s="1729"/>
      <c r="JU4" s="1729"/>
      <c r="JV4" s="1729"/>
      <c r="JW4" s="1729"/>
      <c r="JX4" s="1729"/>
      <c r="JY4" s="1729"/>
      <c r="JZ4" s="1729"/>
      <c r="KA4" s="1729"/>
      <c r="KB4" s="1729"/>
      <c r="KC4" s="1729"/>
      <c r="KD4" s="1729"/>
      <c r="KE4" s="1729"/>
      <c r="KF4" s="1729"/>
      <c r="KG4" s="1729"/>
      <c r="KH4" s="1729"/>
      <c r="KI4" s="1729"/>
      <c r="KJ4" s="1729"/>
      <c r="KK4" s="1729"/>
      <c r="KL4" s="1729"/>
      <c r="KM4" s="1729"/>
      <c r="KN4" s="1729"/>
      <c r="KO4" s="1729"/>
      <c r="KP4" s="1729"/>
      <c r="KQ4" s="1729"/>
      <c r="KR4" s="1729"/>
      <c r="KS4" s="1729"/>
      <c r="KT4" s="1729"/>
      <c r="KU4" s="1729"/>
      <c r="KV4" s="1729"/>
      <c r="KW4" s="1729"/>
      <c r="KX4" s="1729"/>
      <c r="KY4" s="1729"/>
      <c r="KZ4" s="1729"/>
      <c r="LA4" s="1729"/>
      <c r="LB4" s="1729"/>
      <c r="LC4" s="1729"/>
      <c r="LD4" s="1729"/>
      <c r="LE4" s="1729"/>
      <c r="LF4" s="1729"/>
      <c r="LG4" s="1729"/>
      <c r="LH4" s="1729"/>
      <c r="LI4" s="1729"/>
      <c r="LJ4" s="1729"/>
      <c r="LK4" s="1729"/>
      <c r="LL4" s="1729"/>
      <c r="LM4" s="1729"/>
      <c r="LN4" s="1729"/>
      <c r="LO4" s="1729"/>
      <c r="LP4" s="1729"/>
      <c r="LQ4" s="1729"/>
      <c r="LR4" s="1729"/>
      <c r="LS4" s="1729"/>
      <c r="LT4" s="1729"/>
      <c r="LU4" s="1729"/>
      <c r="LV4" s="1729"/>
      <c r="LW4" s="1729"/>
      <c r="LX4" s="1729"/>
      <c r="LY4" s="1729"/>
      <c r="LZ4" s="1729"/>
      <c r="MA4" s="1729"/>
      <c r="MB4" s="1729"/>
      <c r="MC4" s="1729"/>
      <c r="MD4" s="1729"/>
      <c r="ME4" s="1729"/>
      <c r="MF4" s="1729"/>
      <c r="MG4" s="1729"/>
      <c r="MH4" s="1729"/>
      <c r="MI4" s="1729"/>
      <c r="MJ4" s="1729"/>
      <c r="MK4" s="1729"/>
      <c r="ML4" s="1729"/>
      <c r="MM4" s="1729"/>
      <c r="MN4" s="1729"/>
      <c r="MO4" s="1729"/>
      <c r="MP4" s="1729"/>
      <c r="MQ4" s="1729"/>
      <c r="MR4" s="1729"/>
      <c r="MS4" s="1729"/>
      <c r="MT4" s="1729"/>
      <c r="MU4" s="1729"/>
      <c r="MV4" s="1729"/>
      <c r="MW4" s="1729"/>
      <c r="MX4" s="1729"/>
      <c r="MY4" s="1729"/>
      <c r="MZ4" s="1729"/>
      <c r="NA4" s="1729"/>
      <c r="NB4" s="1729"/>
      <c r="NC4" s="1729"/>
      <c r="ND4" s="1729"/>
      <c r="NE4" s="1729"/>
      <c r="NF4" s="1729"/>
      <c r="NG4" s="1729"/>
      <c r="NH4" s="1729"/>
      <c r="NI4" s="1729"/>
      <c r="NJ4" s="1729"/>
      <c r="NK4" s="1729"/>
      <c r="NL4" s="1729"/>
      <c r="NM4" s="1729"/>
      <c r="NN4" s="1729"/>
      <c r="NO4" s="1729"/>
      <c r="NP4" s="1729"/>
      <c r="NQ4" s="1729"/>
      <c r="NR4" s="1729"/>
      <c r="NS4" s="1729"/>
      <c r="NT4" s="1729"/>
      <c r="NU4" s="1729"/>
      <c r="NV4" s="1729"/>
      <c r="NW4" s="1729"/>
      <c r="NX4" s="1729"/>
      <c r="NY4" s="1729"/>
      <c r="NZ4" s="1729"/>
      <c r="OA4" s="1729"/>
      <c r="OB4" s="1729"/>
      <c r="OC4" s="1729"/>
      <c r="OD4" s="1729"/>
      <c r="OE4" s="1729"/>
      <c r="OF4" s="1729"/>
      <c r="OG4" s="1729"/>
      <c r="OH4" s="1729"/>
      <c r="OI4" s="1729"/>
      <c r="OJ4" s="1729"/>
      <c r="OK4" s="1729"/>
      <c r="OL4" s="1729"/>
      <c r="OM4" s="1729"/>
      <c r="ON4" s="1729"/>
      <c r="OO4" s="1729"/>
      <c r="OP4" s="1729"/>
      <c r="OQ4" s="1729"/>
      <c r="OR4" s="1729"/>
      <c r="OS4" s="1729"/>
      <c r="OT4" s="1729"/>
      <c r="OU4" s="1729"/>
      <c r="OV4" s="1729"/>
      <c r="OW4" s="1729"/>
      <c r="OX4" s="1729"/>
      <c r="OY4" s="1729"/>
      <c r="OZ4" s="1729"/>
      <c r="PA4" s="1729"/>
      <c r="PB4" s="1729"/>
      <c r="PC4" s="1729"/>
      <c r="PD4" s="1729"/>
      <c r="PE4" s="1729"/>
      <c r="PF4" s="1729"/>
      <c r="PG4" s="1729"/>
      <c r="PH4" s="1729"/>
      <c r="PI4" s="1729"/>
      <c r="PJ4" s="1729"/>
      <c r="PK4" s="1729"/>
      <c r="PL4" s="1729"/>
      <c r="PM4" s="1729"/>
      <c r="PN4" s="1729"/>
      <c r="PO4" s="1729"/>
      <c r="PP4" s="1729"/>
      <c r="PQ4" s="1729"/>
      <c r="PR4" s="1729"/>
      <c r="PS4" s="1729"/>
      <c r="PT4" s="1729"/>
      <c r="PU4" s="1729"/>
      <c r="PV4" s="1729"/>
      <c r="PW4" s="1729"/>
      <c r="PX4" s="1729"/>
      <c r="PY4" s="1729"/>
      <c r="PZ4" s="1729"/>
      <c r="QA4" s="1729"/>
      <c r="QB4" s="1729"/>
      <c r="QC4" s="1729"/>
      <c r="QD4" s="1729"/>
      <c r="QE4" s="1729"/>
      <c r="QF4" s="1729"/>
      <c r="QG4" s="1729"/>
      <c r="QH4" s="1729"/>
      <c r="QI4" s="1729"/>
      <c r="QJ4" s="1729"/>
      <c r="QK4" s="1729"/>
      <c r="QL4" s="1729"/>
      <c r="QM4" s="1729"/>
      <c r="QN4" s="1729"/>
      <c r="QO4" s="1729"/>
      <c r="QP4" s="1729"/>
      <c r="QQ4" s="1729"/>
      <c r="QR4" s="1729"/>
      <c r="QS4" s="1729"/>
      <c r="QT4" s="1729"/>
      <c r="QU4" s="1729"/>
      <c r="QV4" s="1729"/>
      <c r="QW4" s="1729"/>
      <c r="QX4" s="1729"/>
      <c r="QY4" s="1729"/>
      <c r="QZ4" s="1729"/>
      <c r="RA4" s="1729"/>
      <c r="RB4" s="1729"/>
      <c r="RC4" s="1729"/>
      <c r="RD4" s="1729"/>
      <c r="RE4" s="1729"/>
      <c r="RF4" s="1729"/>
      <c r="RG4" s="1729"/>
      <c r="RH4" s="1729"/>
      <c r="RI4" s="1729"/>
      <c r="RJ4" s="1729"/>
      <c r="RK4" s="1729"/>
      <c r="RL4" s="1729"/>
      <c r="RM4" s="1729"/>
      <c r="RN4" s="1729"/>
      <c r="RO4" s="1729"/>
      <c r="RP4" s="1729"/>
      <c r="RQ4" s="1729"/>
      <c r="RR4" s="1729"/>
      <c r="RS4" s="1729"/>
      <c r="RT4" s="1729"/>
      <c r="RU4" s="1729"/>
      <c r="RV4" s="1729"/>
      <c r="RW4" s="1729"/>
      <c r="RX4" s="1729"/>
      <c r="RY4" s="1729"/>
      <c r="RZ4" s="1729"/>
      <c r="SA4" s="1729"/>
      <c r="SB4" s="1729"/>
      <c r="SC4" s="1729"/>
      <c r="SD4" s="1729"/>
      <c r="SE4" s="1729"/>
      <c r="SF4" s="1729"/>
      <c r="SG4" s="1729"/>
      <c r="SH4" s="1729"/>
      <c r="SI4" s="1729"/>
      <c r="SJ4" s="1729"/>
      <c r="SK4" s="1729"/>
      <c r="SL4" s="1729"/>
      <c r="SM4" s="1729"/>
      <c r="SN4" s="1729"/>
      <c r="SO4" s="1729"/>
      <c r="SP4" s="1729"/>
      <c r="SQ4" s="1729"/>
      <c r="SR4" s="1729"/>
      <c r="SS4" s="1729"/>
      <c r="ST4" s="1729"/>
      <c r="SU4" s="1729"/>
      <c r="SV4" s="1729"/>
      <c r="SW4" s="1729"/>
      <c r="SX4" s="1729"/>
      <c r="SY4" s="1729"/>
      <c r="SZ4" s="1729"/>
      <c r="TA4" s="1729"/>
      <c r="TB4" s="1729"/>
      <c r="TC4" s="1729"/>
      <c r="TD4" s="1729"/>
      <c r="TE4" s="1729"/>
      <c r="TF4" s="1729"/>
      <c r="TG4" s="1729"/>
      <c r="TH4" s="1729"/>
      <c r="TI4" s="1729"/>
      <c r="TJ4" s="1729"/>
      <c r="TK4" s="1729"/>
      <c r="TL4" s="1729"/>
      <c r="TM4" s="1729"/>
      <c r="TN4" s="1729"/>
      <c r="TO4" s="1729"/>
      <c r="TP4" s="1729"/>
      <c r="TQ4" s="1729"/>
      <c r="TR4" s="1729"/>
      <c r="TS4" s="1729"/>
      <c r="TT4" s="1729"/>
      <c r="TU4" s="1729"/>
      <c r="TV4" s="1729"/>
      <c r="TW4" s="1729"/>
      <c r="TX4" s="1729"/>
      <c r="TY4" s="1729"/>
      <c r="TZ4" s="1729"/>
      <c r="UA4" s="1729"/>
      <c r="UB4" s="1729"/>
      <c r="UC4" s="1729"/>
      <c r="UD4" s="1729"/>
      <c r="UE4" s="1729"/>
      <c r="UF4" s="1729"/>
      <c r="UG4" s="1729"/>
      <c r="UH4" s="1729"/>
      <c r="UI4" s="1729"/>
      <c r="UJ4" s="1729"/>
      <c r="UK4" s="1729"/>
      <c r="UL4" s="1729"/>
      <c r="UM4" s="1729"/>
      <c r="UN4" s="1729"/>
      <c r="UO4" s="1729"/>
      <c r="UP4" s="1729"/>
      <c r="UQ4" s="1729"/>
      <c r="UR4" s="1729"/>
      <c r="US4" s="1729"/>
      <c r="UT4" s="1729"/>
      <c r="UU4" s="1729"/>
      <c r="UV4" s="1729"/>
      <c r="UW4" s="1729"/>
      <c r="UX4" s="1729"/>
      <c r="UY4" s="1729"/>
      <c r="UZ4" s="1729"/>
      <c r="VA4" s="1729"/>
      <c r="VB4" s="1729"/>
      <c r="VC4" s="1729"/>
      <c r="VD4" s="1729"/>
      <c r="VE4" s="1729"/>
      <c r="VF4" s="1729"/>
      <c r="VG4" s="1729"/>
      <c r="VH4" s="1729"/>
      <c r="VI4" s="1729"/>
      <c r="VJ4" s="1729"/>
      <c r="VK4" s="1729"/>
      <c r="VL4" s="1729"/>
      <c r="VM4" s="1729"/>
      <c r="VN4" s="1729"/>
      <c r="VO4" s="1729"/>
      <c r="VP4" s="1729"/>
      <c r="VQ4" s="1729"/>
      <c r="VR4" s="1729"/>
      <c r="VS4" s="1729"/>
      <c r="VT4" s="1729"/>
      <c r="VU4" s="1729"/>
      <c r="VV4" s="1729"/>
      <c r="VW4" s="1729"/>
      <c r="VX4" s="1729"/>
      <c r="VY4" s="1729"/>
      <c r="VZ4" s="1729"/>
      <c r="WA4" s="1729"/>
      <c r="WB4" s="1729"/>
      <c r="WC4" s="1729"/>
      <c r="WD4" s="1729"/>
      <c r="WE4" s="1729"/>
      <c r="WF4" s="1729"/>
      <c r="WG4" s="1729"/>
      <c r="WH4" s="1729"/>
      <c r="WI4" s="1729"/>
      <c r="WJ4" s="1729"/>
      <c r="WK4" s="1729"/>
      <c r="WL4" s="1729"/>
      <c r="WM4" s="1729"/>
      <c r="WN4" s="1729"/>
      <c r="WO4" s="1729"/>
      <c r="WP4" s="1729"/>
      <c r="WQ4" s="1729"/>
      <c r="WR4" s="1729"/>
      <c r="WS4" s="1729"/>
      <c r="WT4" s="1729"/>
      <c r="WU4" s="1729"/>
      <c r="WV4" s="1729"/>
      <c r="WW4" s="1729"/>
      <c r="WX4" s="1729"/>
      <c r="WY4" s="1729"/>
      <c r="WZ4" s="1729"/>
      <c r="XA4" s="1729"/>
      <c r="XB4" s="1729"/>
      <c r="XC4" s="1729"/>
      <c r="XD4" s="1729"/>
      <c r="XE4" s="1729"/>
      <c r="XF4" s="1729"/>
      <c r="XG4" s="1729"/>
      <c r="XH4" s="1729"/>
      <c r="XI4" s="1729"/>
      <c r="XJ4" s="1729"/>
      <c r="XK4" s="1729"/>
      <c r="XL4" s="1729"/>
      <c r="XM4" s="1729"/>
      <c r="XN4" s="1729"/>
      <c r="XO4" s="1729"/>
      <c r="XP4" s="1729"/>
      <c r="XQ4" s="1729"/>
      <c r="XR4" s="1729"/>
      <c r="XS4" s="1729"/>
      <c r="XT4" s="1729"/>
      <c r="XU4" s="1729"/>
      <c r="XV4" s="1729"/>
      <c r="XW4" s="1729"/>
      <c r="XX4" s="1729"/>
      <c r="XY4" s="1729"/>
      <c r="XZ4" s="1729"/>
      <c r="YA4" s="1729"/>
      <c r="YB4" s="1729"/>
      <c r="YC4" s="1729"/>
      <c r="YD4" s="1729"/>
      <c r="YE4" s="1729"/>
      <c r="YF4" s="1729"/>
      <c r="YG4" s="1729"/>
      <c r="YH4" s="1729"/>
      <c r="YI4" s="1729"/>
      <c r="YJ4" s="1729"/>
      <c r="YK4" s="1729"/>
      <c r="YL4" s="1729"/>
      <c r="YM4" s="1729"/>
      <c r="YN4" s="1729"/>
      <c r="YO4" s="1729"/>
      <c r="YP4" s="1729"/>
      <c r="YQ4" s="1729"/>
      <c r="YR4" s="1729"/>
      <c r="YS4" s="1729"/>
      <c r="YT4" s="1729"/>
      <c r="YU4" s="1729"/>
      <c r="YV4" s="1729"/>
      <c r="YW4" s="1729"/>
      <c r="YX4" s="1729"/>
      <c r="YY4" s="1729"/>
      <c r="YZ4" s="1729"/>
      <c r="ZA4" s="1729"/>
      <c r="ZB4" s="1729"/>
      <c r="ZC4" s="1729"/>
      <c r="ZD4" s="1729"/>
      <c r="ZE4" s="1729"/>
      <c r="ZF4" s="1729"/>
      <c r="ZG4" s="1729"/>
      <c r="ZH4" s="1729"/>
      <c r="ZI4" s="1729"/>
      <c r="ZJ4" s="1729"/>
      <c r="ZK4" s="1729"/>
      <c r="ZL4" s="1729"/>
      <c r="ZM4" s="1729"/>
      <c r="ZN4" s="1729"/>
      <c r="ZO4" s="1729"/>
      <c r="ZP4" s="1729"/>
      <c r="ZQ4" s="1729"/>
      <c r="ZR4" s="1729"/>
      <c r="ZS4" s="1729"/>
      <c r="ZT4" s="1729"/>
      <c r="ZU4" s="1729"/>
      <c r="ZV4" s="1729"/>
      <c r="ZW4" s="1729"/>
      <c r="ZX4" s="1729"/>
      <c r="ZY4" s="1729"/>
      <c r="ZZ4" s="1729"/>
      <c r="AAA4" s="1729"/>
      <c r="AAB4" s="1729"/>
      <c r="AAC4" s="1729"/>
      <c r="AAD4" s="1729"/>
      <c r="AAE4" s="1729"/>
      <c r="AAF4" s="1729"/>
      <c r="AAG4" s="1729"/>
      <c r="AAH4" s="1729"/>
      <c r="AAI4" s="1729"/>
      <c r="AAJ4" s="1729"/>
      <c r="AAK4" s="1729"/>
      <c r="AAL4" s="1729"/>
      <c r="AAM4" s="1729"/>
      <c r="AAN4" s="1729"/>
      <c r="AAO4" s="1729"/>
      <c r="AAP4" s="1729"/>
      <c r="AAQ4" s="1729"/>
      <c r="AAR4" s="1729"/>
      <c r="AAS4" s="1729"/>
      <c r="AAT4" s="1729"/>
      <c r="AAU4" s="1729"/>
      <c r="AAV4" s="1729"/>
      <c r="AAW4" s="1729"/>
      <c r="AAX4" s="1729"/>
      <c r="AAY4" s="1729"/>
      <c r="AAZ4" s="1729"/>
      <c r="ABA4" s="1729"/>
      <c r="ABB4" s="1729"/>
      <c r="ABC4" s="1729"/>
      <c r="ABD4" s="1729"/>
      <c r="ABE4" s="1729"/>
      <c r="ABF4" s="1729"/>
      <c r="ABG4" s="1729"/>
      <c r="ABH4" s="1729"/>
      <c r="ABI4" s="1729"/>
      <c r="ABJ4" s="1729"/>
      <c r="ABK4" s="1729"/>
      <c r="ABL4" s="1729"/>
      <c r="ABM4" s="1729"/>
      <c r="ABN4" s="1729"/>
      <c r="ABO4" s="1729"/>
      <c r="ABP4" s="1729"/>
      <c r="ABQ4" s="1729"/>
      <c r="ABR4" s="1729"/>
      <c r="ABS4" s="1729"/>
      <c r="ABT4" s="1729"/>
      <c r="ABU4" s="1729"/>
      <c r="ABV4" s="1729"/>
      <c r="ABW4" s="1729"/>
      <c r="ABX4" s="1729"/>
      <c r="ABY4" s="1729"/>
      <c r="ABZ4" s="1729"/>
      <c r="ACA4" s="1729"/>
      <c r="ACB4" s="1729"/>
      <c r="ACC4" s="1729"/>
      <c r="ACD4" s="1729"/>
      <c r="ACE4" s="1729"/>
      <c r="ACF4" s="1729"/>
      <c r="ACG4" s="1729"/>
      <c r="ACH4" s="1729"/>
      <c r="ACI4" s="1729"/>
      <c r="ACJ4" s="1729"/>
      <c r="ACK4" s="1729"/>
      <c r="ACL4" s="1729"/>
      <c r="ACM4" s="1729"/>
      <c r="ACN4" s="1729"/>
      <c r="ACO4" s="1729"/>
      <c r="ACP4" s="1729"/>
      <c r="ACQ4" s="1729"/>
      <c r="ACR4" s="1729"/>
      <c r="ACS4" s="1729"/>
      <c r="ACT4" s="1729"/>
      <c r="ACU4" s="1729"/>
      <c r="ACV4" s="1729"/>
      <c r="ACW4" s="1729"/>
      <c r="ACX4" s="1729"/>
      <c r="ACY4" s="1729"/>
      <c r="ACZ4" s="1729"/>
      <c r="ADA4" s="1729"/>
      <c r="ADB4" s="1729"/>
      <c r="ADC4" s="1729"/>
      <c r="ADD4" s="1729"/>
      <c r="ADE4" s="1729"/>
      <c r="ADF4" s="1729"/>
      <c r="ADG4" s="1729"/>
      <c r="ADH4" s="1729"/>
      <c r="ADI4" s="1729"/>
      <c r="ADJ4" s="1729"/>
      <c r="ADK4" s="1729"/>
      <c r="ADL4" s="1729"/>
      <c r="ADM4" s="1729"/>
      <c r="ADN4" s="1729"/>
      <c r="ADO4" s="1729"/>
      <c r="ADP4" s="1729"/>
      <c r="ADQ4" s="1729"/>
      <c r="ADR4" s="1729"/>
      <c r="ADS4" s="1729"/>
      <c r="ADT4" s="1729"/>
      <c r="ADU4" s="1729"/>
      <c r="ADV4" s="1729"/>
      <c r="ADW4" s="1729"/>
      <c r="ADX4" s="1729"/>
      <c r="ADY4" s="1729"/>
      <c r="ADZ4" s="1729"/>
      <c r="AEA4" s="1729"/>
      <c r="AEB4" s="1729"/>
      <c r="AEC4" s="1729"/>
      <c r="AED4" s="1729"/>
      <c r="AEE4" s="1729"/>
      <c r="AEF4" s="1729"/>
      <c r="AEG4" s="1729"/>
      <c r="AEH4" s="1729"/>
      <c r="AEI4" s="1729"/>
      <c r="AEJ4" s="1729"/>
      <c r="AEK4" s="1729"/>
      <c r="AEL4" s="1729"/>
      <c r="AEM4" s="1729"/>
      <c r="AEN4" s="1729"/>
      <c r="AEO4" s="1729"/>
      <c r="AEP4" s="1729"/>
      <c r="AEQ4" s="1729"/>
      <c r="AER4" s="1729"/>
      <c r="AES4" s="1729"/>
      <c r="AET4" s="1729"/>
      <c r="AEU4" s="1729"/>
      <c r="AEV4" s="1729"/>
      <c r="AEW4" s="1729"/>
      <c r="AEX4" s="1729"/>
      <c r="AEY4" s="1729"/>
      <c r="AEZ4" s="1729"/>
      <c r="AFA4" s="1729"/>
      <c r="AFB4" s="1729"/>
      <c r="AFC4" s="1729"/>
      <c r="AFD4" s="1729"/>
      <c r="AFE4" s="1729"/>
      <c r="AFF4" s="1729"/>
      <c r="AFG4" s="1729"/>
      <c r="AFH4" s="1729"/>
      <c r="AFI4" s="1729"/>
      <c r="AFJ4" s="1729"/>
      <c r="AFK4" s="1729"/>
      <c r="AFL4" s="1729"/>
      <c r="AFM4" s="1729"/>
      <c r="AFN4" s="1729"/>
      <c r="AFO4" s="1729"/>
      <c r="AFP4" s="1729"/>
      <c r="AFQ4" s="1729"/>
      <c r="AFR4" s="1729"/>
      <c r="AFS4" s="1729"/>
      <c r="AFT4" s="1729"/>
      <c r="AFU4" s="1729"/>
      <c r="AFV4" s="1729"/>
      <c r="AFW4" s="1729"/>
      <c r="AFX4" s="1729"/>
      <c r="AFY4" s="1729"/>
      <c r="AFZ4" s="1729"/>
      <c r="AGA4" s="1729"/>
      <c r="AGB4" s="1729"/>
      <c r="AGC4" s="1729"/>
      <c r="AGD4" s="1729"/>
      <c r="AGE4" s="1729"/>
      <c r="AGF4" s="1729"/>
      <c r="AGG4" s="1729"/>
      <c r="AGH4" s="1729"/>
      <c r="AGI4" s="1729"/>
      <c r="AGJ4" s="1729"/>
      <c r="AGK4" s="1729"/>
      <c r="AGL4" s="1729"/>
      <c r="AGM4" s="1729"/>
      <c r="AGN4" s="1729"/>
      <c r="AGO4" s="1729"/>
      <c r="AGP4" s="1729"/>
      <c r="AGQ4" s="1729"/>
      <c r="AGR4" s="1729"/>
      <c r="AGS4" s="1729"/>
      <c r="AGT4" s="1729"/>
      <c r="AGU4" s="1729"/>
      <c r="AGV4" s="1729"/>
      <c r="AGW4" s="1729"/>
      <c r="AGX4" s="1729"/>
      <c r="AGY4" s="1729"/>
      <c r="AGZ4" s="1729"/>
      <c r="AHA4" s="1729"/>
      <c r="AHB4" s="1729"/>
      <c r="AHC4" s="1729"/>
      <c r="AHD4" s="1729"/>
      <c r="AHE4" s="1729"/>
      <c r="AHF4" s="1729"/>
      <c r="AHG4" s="1729"/>
      <c r="AHH4" s="1729"/>
      <c r="AHI4" s="1729"/>
      <c r="AHJ4" s="1729"/>
      <c r="AHK4" s="1729"/>
      <c r="AHL4" s="1729"/>
      <c r="AHM4" s="1729"/>
      <c r="AHN4" s="1729"/>
      <c r="AHO4" s="1729"/>
      <c r="AHP4" s="1729"/>
      <c r="AHQ4" s="1729"/>
      <c r="AHR4" s="1729"/>
      <c r="AHS4" s="1729"/>
      <c r="AHT4" s="1729"/>
      <c r="AHU4" s="1729"/>
      <c r="AHV4" s="1729"/>
      <c r="AHW4" s="1729"/>
      <c r="AHX4" s="1729"/>
      <c r="AHY4" s="1729"/>
      <c r="AHZ4" s="1729"/>
      <c r="AIA4" s="1729"/>
      <c r="AIB4" s="1729"/>
      <c r="AIC4" s="1729"/>
      <c r="AID4" s="1729"/>
      <c r="AIE4" s="1729"/>
      <c r="AIF4" s="1729"/>
      <c r="AIG4" s="1729"/>
      <c r="AIH4" s="1729"/>
      <c r="AII4" s="1729"/>
      <c r="AIJ4" s="1729"/>
      <c r="AIK4" s="1729"/>
      <c r="AIL4" s="1729"/>
      <c r="AIM4" s="1729"/>
      <c r="AIN4" s="1729"/>
      <c r="AIO4" s="1729"/>
      <c r="AIP4" s="1729"/>
      <c r="AIQ4" s="1729"/>
      <c r="AIR4" s="1729"/>
      <c r="AIS4" s="1729"/>
      <c r="AIT4" s="1729"/>
      <c r="AIU4" s="1729"/>
      <c r="AIV4" s="1729"/>
      <c r="AIW4" s="1729"/>
      <c r="AIX4" s="1729"/>
      <c r="AIY4" s="1729"/>
      <c r="AIZ4" s="1729"/>
      <c r="AJA4" s="1729"/>
      <c r="AJB4" s="1729"/>
      <c r="AJC4" s="1729"/>
      <c r="AJD4" s="1729"/>
      <c r="AJE4" s="1729"/>
      <c r="AJF4" s="1729"/>
      <c r="AJG4" s="1729"/>
      <c r="AJH4" s="1729"/>
      <c r="AJI4" s="1729"/>
      <c r="AJJ4" s="1729"/>
      <c r="AJK4" s="1729"/>
      <c r="AJL4" s="1729"/>
      <c r="AJM4" s="1729"/>
      <c r="AJN4" s="1729"/>
      <c r="AJO4" s="1729"/>
      <c r="AJP4" s="1729"/>
      <c r="AJQ4" s="1729"/>
      <c r="AJR4" s="1729"/>
      <c r="AJS4" s="1729"/>
      <c r="AJT4" s="1729"/>
      <c r="AJU4" s="1729"/>
      <c r="AJV4" s="1729"/>
      <c r="AJW4" s="1729"/>
      <c r="AJX4" s="1729"/>
      <c r="AJY4" s="1729"/>
      <c r="AJZ4" s="1729"/>
      <c r="AKA4" s="1729"/>
      <c r="AKB4" s="1729"/>
      <c r="AKC4" s="1729"/>
      <c r="AKD4" s="1729"/>
      <c r="AKE4" s="1729"/>
      <c r="AKF4" s="1729"/>
      <c r="AKG4" s="1729"/>
      <c r="AKH4" s="1729"/>
      <c r="AKI4" s="1729"/>
      <c r="AKJ4" s="1729"/>
      <c r="AKK4" s="1729"/>
      <c r="AKL4" s="1729"/>
      <c r="AKM4" s="1729"/>
      <c r="AKN4" s="1729"/>
      <c r="AKO4" s="1729"/>
      <c r="AKP4" s="1729"/>
      <c r="AKQ4" s="1729"/>
      <c r="AKR4" s="1729"/>
      <c r="AKS4" s="1729"/>
      <c r="AKT4" s="1729"/>
      <c r="AKU4" s="1729"/>
      <c r="AKV4" s="1729"/>
      <c r="AKW4" s="1729"/>
      <c r="AKX4" s="1729"/>
      <c r="AKY4" s="1729"/>
      <c r="AKZ4" s="1729"/>
      <c r="ALA4" s="1729"/>
      <c r="ALB4" s="1729"/>
      <c r="ALC4" s="1729"/>
      <c r="ALD4" s="1729"/>
      <c r="ALE4" s="1729"/>
      <c r="ALF4" s="1729"/>
      <c r="ALG4" s="1729"/>
      <c r="ALH4" s="1729"/>
      <c r="ALI4" s="1729"/>
      <c r="ALJ4" s="1729"/>
      <c r="ALK4" s="1729"/>
      <c r="ALL4" s="1729"/>
      <c r="ALM4" s="1729"/>
      <c r="ALN4" s="1729"/>
      <c r="ALO4" s="1729"/>
      <c r="ALP4" s="1729"/>
      <c r="ALQ4" s="1729"/>
      <c r="ALR4" s="1729"/>
      <c r="ALS4" s="1729"/>
      <c r="ALT4" s="1729"/>
      <c r="ALU4" s="1729"/>
      <c r="ALV4" s="1729"/>
      <c r="ALW4" s="1729"/>
      <c r="ALX4" s="1729"/>
      <c r="ALY4" s="1729"/>
      <c r="ALZ4" s="1729"/>
      <c r="AMA4" s="1729"/>
      <c r="AMB4" s="1729"/>
      <c r="AMC4" s="1729"/>
      <c r="AMD4" s="1729"/>
      <c r="AME4" s="1729"/>
      <c r="AMF4" s="1729"/>
      <c r="AMG4" s="1729"/>
      <c r="AMH4" s="1729"/>
      <c r="AMI4" s="1729"/>
      <c r="AMJ4" s="1729"/>
      <c r="AMK4" s="1729"/>
      <c r="AML4" s="1729"/>
      <c r="AMM4" s="1729"/>
      <c r="AMN4" s="1729"/>
      <c r="AMO4" s="1729"/>
      <c r="AMP4" s="1729"/>
      <c r="AMQ4" s="1729"/>
      <c r="AMR4" s="1729"/>
      <c r="AMS4" s="1729"/>
      <c r="AMT4" s="1729"/>
      <c r="AMU4" s="1729"/>
      <c r="AMV4" s="1729"/>
      <c r="AMW4" s="1729"/>
      <c r="AMX4" s="1729"/>
      <c r="AMY4" s="1729"/>
      <c r="AMZ4" s="1729"/>
      <c r="ANA4" s="1729"/>
      <c r="ANB4" s="1729"/>
      <c r="ANC4" s="1729"/>
      <c r="AND4" s="1729"/>
      <c r="ANE4" s="1729"/>
      <c r="ANF4" s="1729"/>
      <c r="ANG4" s="1729"/>
      <c r="ANH4" s="1729"/>
      <c r="ANI4" s="1729"/>
      <c r="ANJ4" s="1729"/>
      <c r="ANK4" s="1729"/>
      <c r="ANL4" s="1729"/>
      <c r="ANM4" s="1729"/>
      <c r="ANN4" s="1729"/>
      <c r="ANO4" s="1729"/>
      <c r="ANP4" s="1729"/>
      <c r="ANQ4" s="1729"/>
      <c r="ANR4" s="1729"/>
      <c r="ANS4" s="1729"/>
      <c r="ANT4" s="1729"/>
      <c r="ANU4" s="1729"/>
      <c r="ANV4" s="1729"/>
      <c r="ANW4" s="1729"/>
      <c r="ANX4" s="1729"/>
      <c r="ANY4" s="1729"/>
      <c r="ANZ4" s="1729"/>
      <c r="AOA4" s="1729"/>
      <c r="AOB4" s="1729"/>
      <c r="AOC4" s="1729"/>
      <c r="AOD4" s="1729"/>
      <c r="AOE4" s="1729"/>
      <c r="AOF4" s="1729"/>
      <c r="AOG4" s="1729"/>
      <c r="AOH4" s="1729"/>
      <c r="AOI4" s="1729"/>
      <c r="AOJ4" s="1729"/>
      <c r="AOK4" s="1729"/>
      <c r="AOL4" s="1729"/>
      <c r="AOM4" s="1729"/>
      <c r="AON4" s="1729"/>
      <c r="AOO4" s="1729"/>
      <c r="AOP4" s="1729"/>
      <c r="AOQ4" s="1729"/>
      <c r="AOR4" s="1729"/>
      <c r="AOS4" s="1729"/>
      <c r="AOT4" s="1729"/>
      <c r="AOU4" s="1729"/>
      <c r="AOV4" s="1729"/>
      <c r="AOW4" s="1729"/>
      <c r="AOX4" s="1729"/>
      <c r="AOY4" s="1729"/>
      <c r="AOZ4" s="1729"/>
      <c r="APA4" s="1729"/>
      <c r="APB4" s="1729"/>
      <c r="APC4" s="1729"/>
      <c r="APD4" s="1729"/>
      <c r="APE4" s="1729"/>
      <c r="APF4" s="1729"/>
      <c r="APG4" s="1729"/>
      <c r="APH4" s="1729"/>
      <c r="API4" s="1729"/>
      <c r="APJ4" s="1729"/>
      <c r="APK4" s="1729"/>
      <c r="APL4" s="1729"/>
      <c r="APM4" s="1729"/>
      <c r="APN4" s="1729"/>
      <c r="APO4" s="1729"/>
      <c r="APP4" s="1729"/>
      <c r="APQ4" s="1729"/>
      <c r="APR4" s="1729"/>
      <c r="APS4" s="1729"/>
      <c r="APT4" s="1729"/>
      <c r="APU4" s="1729"/>
      <c r="APV4" s="1729"/>
      <c r="APW4" s="1729"/>
      <c r="APX4" s="1729"/>
      <c r="APY4" s="1729"/>
      <c r="APZ4" s="1729"/>
      <c r="AQA4" s="1729"/>
      <c r="AQB4" s="1729"/>
      <c r="AQC4" s="1729"/>
      <c r="AQD4" s="1729"/>
      <c r="AQE4" s="1729"/>
      <c r="AQF4" s="1729"/>
      <c r="AQG4" s="1729"/>
      <c r="AQH4" s="1729"/>
      <c r="AQI4" s="1729"/>
      <c r="AQJ4" s="1729"/>
      <c r="AQK4" s="1729"/>
      <c r="AQL4" s="1729"/>
      <c r="AQM4" s="1729"/>
      <c r="AQN4" s="1729"/>
      <c r="AQO4" s="1729"/>
      <c r="AQP4" s="1729"/>
      <c r="AQQ4" s="1729"/>
      <c r="AQR4" s="1729"/>
      <c r="AQS4" s="1729"/>
      <c r="AQT4" s="1729"/>
      <c r="AQU4" s="1729"/>
      <c r="AQV4" s="1729"/>
      <c r="AQW4" s="1729"/>
      <c r="AQX4" s="1729"/>
      <c r="AQY4" s="1729"/>
      <c r="AQZ4" s="1729"/>
      <c r="ARA4" s="1729"/>
      <c r="ARB4" s="1729"/>
      <c r="ARC4" s="1729"/>
      <c r="ARD4" s="1729"/>
      <c r="ARE4" s="1729"/>
      <c r="ARF4" s="1729"/>
      <c r="ARG4" s="1729"/>
      <c r="ARH4" s="1729"/>
      <c r="ARI4" s="1729"/>
      <c r="ARJ4" s="1729"/>
      <c r="ARK4" s="1729"/>
      <c r="ARL4" s="1729"/>
      <c r="ARM4" s="1729"/>
      <c r="ARN4" s="1729"/>
      <c r="ARO4" s="1729"/>
      <c r="ARP4" s="1729"/>
      <c r="ARQ4" s="1729"/>
      <c r="ARR4" s="1729"/>
      <c r="ARS4" s="1729"/>
      <c r="ART4" s="1729"/>
      <c r="ARU4" s="1729"/>
      <c r="ARV4" s="1729"/>
      <c r="ARW4" s="1729"/>
      <c r="ARX4" s="1729"/>
      <c r="ARY4" s="1729"/>
      <c r="ARZ4" s="1729"/>
      <c r="ASA4" s="1729"/>
      <c r="ASB4" s="1729"/>
      <c r="ASC4" s="1729"/>
      <c r="ASD4" s="1729"/>
      <c r="ASE4" s="1729"/>
      <c r="ASF4" s="1729"/>
      <c r="ASG4" s="1729"/>
      <c r="ASH4" s="1729"/>
      <c r="ASI4" s="1729"/>
      <c r="ASJ4" s="1729"/>
      <c r="ASK4" s="1729"/>
      <c r="ASL4" s="1729"/>
      <c r="ASM4" s="1729"/>
      <c r="ASN4" s="1729"/>
      <c r="ASO4" s="1729"/>
      <c r="ASP4" s="1729"/>
      <c r="ASQ4" s="1729"/>
      <c r="ASR4" s="1729"/>
      <c r="ASS4" s="1729"/>
      <c r="AST4" s="1729"/>
      <c r="ASU4" s="1729"/>
      <c r="ASV4" s="1729"/>
      <c r="ASW4" s="1729"/>
      <c r="ASX4" s="1729"/>
      <c r="ASY4" s="1729"/>
      <c r="ASZ4" s="1729"/>
      <c r="ATA4" s="1729"/>
      <c r="ATB4" s="1729"/>
      <c r="ATC4" s="1729"/>
      <c r="ATD4" s="1729"/>
      <c r="ATE4" s="1729"/>
      <c r="ATF4" s="1729"/>
      <c r="ATG4" s="1729"/>
      <c r="ATH4" s="1729"/>
      <c r="ATI4" s="1729"/>
      <c r="ATJ4" s="1729"/>
      <c r="ATK4" s="1729"/>
      <c r="ATL4" s="1729"/>
      <c r="ATM4" s="1729"/>
      <c r="ATN4" s="1729"/>
      <c r="ATO4" s="1729"/>
    </row>
    <row r="5" spans="1:1211" ht="18" customHeight="1">
      <c r="A5" s="2508" t="s">
        <v>4752</v>
      </c>
      <c r="B5" s="1740"/>
      <c r="C5" s="1741" t="s">
        <v>549</v>
      </c>
      <c r="D5" s="1240">
        <v>3.4</v>
      </c>
      <c r="E5" s="2514">
        <f ca="1">TODAY()</f>
        <v>45489</v>
      </c>
      <c r="F5" s="2515"/>
      <c r="G5" s="2520" t="s">
        <v>40</v>
      </c>
      <c r="H5" s="2521"/>
      <c r="I5" s="2510" t="str">
        <f>IF(D5=1,"DOLARES","SOLES")</f>
        <v>SOLES</v>
      </c>
      <c r="J5" s="2511"/>
      <c r="K5" s="2524" t="s">
        <v>3254</v>
      </c>
      <c r="L5" s="2525"/>
      <c r="M5" s="2525"/>
      <c r="N5" s="2525"/>
      <c r="O5" s="1742">
        <v>952565</v>
      </c>
    </row>
    <row r="6" spans="1:1211" ht="24.9" customHeight="1" thickBot="1">
      <c r="A6" s="2509"/>
      <c r="B6" s="1743"/>
      <c r="C6" s="1744" t="s">
        <v>447</v>
      </c>
      <c r="D6" s="1745">
        <v>0</v>
      </c>
      <c r="E6" s="2516"/>
      <c r="F6" s="2517"/>
      <c r="G6" s="2522"/>
      <c r="H6" s="2523"/>
      <c r="I6" s="1746" t="str">
        <f>IF(D5=1,"$","S/.")</f>
        <v>S/.</v>
      </c>
      <c r="J6" s="1747">
        <f>SUM(J10:J3459)</f>
        <v>613501</v>
      </c>
      <c r="K6" s="2526" t="s">
        <v>3255</v>
      </c>
      <c r="L6" s="2527"/>
      <c r="M6" s="2527"/>
      <c r="N6" s="2527"/>
      <c r="O6" s="1353">
        <f>(J6-O5)/O5</f>
        <v>-0.35594841296919372</v>
      </c>
    </row>
    <row r="7" spans="1:1211" s="993" customFormat="1" ht="18" customHeight="1">
      <c r="A7" s="2512" t="s">
        <v>317</v>
      </c>
      <c r="B7" s="2512" t="s">
        <v>41</v>
      </c>
      <c r="C7" s="2512" t="s">
        <v>47</v>
      </c>
      <c r="D7" s="2512" t="s">
        <v>318</v>
      </c>
      <c r="E7" s="1995"/>
      <c r="F7" s="1996"/>
      <c r="G7" s="1279" t="s">
        <v>37</v>
      </c>
      <c r="H7" s="1280" t="s">
        <v>39</v>
      </c>
      <c r="I7" s="1279" t="s">
        <v>39</v>
      </c>
      <c r="J7" s="1280" t="s">
        <v>38</v>
      </c>
      <c r="K7" s="989"/>
      <c r="L7" s="1256"/>
      <c r="M7" s="989"/>
      <c r="N7" s="1257"/>
      <c r="O7" s="1258"/>
      <c r="P7" s="1238"/>
      <c r="Q7" s="1238"/>
      <c r="R7" s="983"/>
      <c r="S7" s="983"/>
      <c r="T7" s="983"/>
      <c r="U7" s="983"/>
      <c r="V7" s="983"/>
      <c r="W7" s="983"/>
      <c r="X7" s="983"/>
      <c r="Y7" s="983"/>
      <c r="Z7" s="983"/>
      <c r="AA7" s="983"/>
      <c r="AB7" s="983"/>
      <c r="AC7" s="983"/>
      <c r="AD7" s="983"/>
      <c r="AE7" s="983"/>
      <c r="AF7" s="983"/>
      <c r="AG7" s="983"/>
      <c r="AH7" s="983"/>
      <c r="AI7" s="983"/>
      <c r="AJ7" s="983"/>
      <c r="AK7" s="983"/>
      <c r="AL7" s="983"/>
      <c r="AM7" s="983"/>
      <c r="AN7" s="983"/>
      <c r="AO7" s="983"/>
      <c r="AP7" s="983"/>
      <c r="AQ7" s="983"/>
      <c r="AR7" s="983"/>
      <c r="AS7" s="983"/>
      <c r="AT7" s="983"/>
      <c r="AU7" s="983"/>
      <c r="AV7" s="983"/>
      <c r="AW7" s="983"/>
      <c r="AX7" s="983"/>
      <c r="AY7" s="983"/>
      <c r="AZ7" s="983"/>
      <c r="BA7" s="983"/>
      <c r="BB7" s="983"/>
      <c r="BC7" s="983"/>
      <c r="BD7" s="983"/>
      <c r="BE7" s="983"/>
      <c r="BF7" s="983"/>
      <c r="BG7" s="983"/>
      <c r="BH7" s="983"/>
      <c r="BI7" s="983"/>
      <c r="BJ7" s="983"/>
      <c r="BK7" s="983"/>
      <c r="BL7" s="983"/>
      <c r="BM7" s="983"/>
      <c r="BN7" s="983"/>
      <c r="BO7" s="983"/>
      <c r="BP7" s="983"/>
      <c r="BQ7" s="983"/>
      <c r="BR7" s="983"/>
      <c r="BS7" s="983"/>
      <c r="BT7" s="983"/>
      <c r="BU7" s="983"/>
      <c r="BV7" s="983"/>
      <c r="BW7" s="983"/>
      <c r="BX7" s="983"/>
      <c r="BY7" s="983"/>
      <c r="BZ7" s="983"/>
      <c r="CA7" s="983"/>
      <c r="CB7" s="983"/>
      <c r="CC7" s="983"/>
      <c r="CD7" s="983"/>
      <c r="CE7" s="983"/>
      <c r="CF7" s="983"/>
      <c r="CG7" s="983"/>
      <c r="CH7" s="983"/>
      <c r="CI7" s="983"/>
      <c r="CJ7" s="983"/>
      <c r="CK7" s="983"/>
      <c r="CL7" s="983"/>
      <c r="CM7" s="983"/>
      <c r="CN7" s="983"/>
      <c r="CO7" s="983"/>
      <c r="CP7" s="983"/>
      <c r="CQ7" s="983"/>
      <c r="CR7" s="983"/>
      <c r="CS7" s="983"/>
      <c r="CT7" s="983"/>
      <c r="CU7" s="983"/>
      <c r="CV7" s="983"/>
      <c r="CW7" s="983"/>
      <c r="CX7" s="983"/>
      <c r="CY7" s="983"/>
      <c r="CZ7" s="983"/>
      <c r="DA7" s="983"/>
      <c r="DB7" s="983"/>
      <c r="DC7" s="983"/>
      <c r="DD7" s="983"/>
      <c r="DE7" s="983"/>
      <c r="DF7" s="983"/>
      <c r="DG7" s="983"/>
      <c r="DH7" s="983"/>
      <c r="DI7" s="983"/>
      <c r="DJ7" s="983"/>
      <c r="DK7" s="983"/>
      <c r="DL7" s="983"/>
      <c r="DM7" s="983"/>
      <c r="DN7" s="983"/>
      <c r="DO7" s="983"/>
      <c r="DP7" s="983"/>
      <c r="DQ7" s="983"/>
      <c r="DR7" s="983"/>
      <c r="DS7" s="983"/>
      <c r="DT7" s="983"/>
      <c r="DU7" s="983"/>
      <c r="DV7" s="983"/>
      <c r="DW7" s="983"/>
      <c r="DX7" s="983"/>
      <c r="DY7" s="983"/>
      <c r="DZ7" s="983"/>
      <c r="EA7" s="983"/>
      <c r="EB7" s="983"/>
      <c r="EC7" s="983"/>
      <c r="ED7" s="983"/>
      <c r="EE7" s="983"/>
      <c r="EF7" s="983"/>
      <c r="EG7" s="983"/>
      <c r="EH7" s="983"/>
      <c r="EI7" s="983"/>
      <c r="EJ7" s="983"/>
      <c r="EK7" s="983"/>
      <c r="EL7" s="983"/>
      <c r="EM7" s="983"/>
      <c r="EN7" s="983"/>
      <c r="EO7" s="983"/>
      <c r="EP7" s="983"/>
      <c r="EQ7" s="983"/>
      <c r="ER7" s="983"/>
      <c r="ES7" s="983"/>
      <c r="ET7" s="983"/>
      <c r="EU7" s="983"/>
      <c r="EV7" s="983"/>
      <c r="EW7" s="983"/>
      <c r="EX7" s="983"/>
      <c r="EY7" s="983"/>
      <c r="EZ7" s="983"/>
      <c r="FA7" s="983"/>
      <c r="FB7" s="983"/>
      <c r="FC7" s="983"/>
      <c r="FD7" s="983"/>
      <c r="FE7" s="983"/>
      <c r="FF7" s="983"/>
      <c r="FG7" s="983"/>
      <c r="FH7" s="983"/>
      <c r="FI7" s="983"/>
      <c r="FJ7" s="983"/>
      <c r="FK7" s="983"/>
      <c r="FL7" s="983"/>
      <c r="FM7" s="983"/>
      <c r="FN7" s="983"/>
      <c r="FO7" s="983"/>
      <c r="FP7" s="983"/>
      <c r="FQ7" s="983"/>
      <c r="FR7" s="983"/>
      <c r="FS7" s="983"/>
      <c r="FT7" s="983"/>
      <c r="FU7" s="983"/>
      <c r="FV7" s="983"/>
      <c r="FW7" s="983"/>
      <c r="FX7" s="983"/>
      <c r="FY7" s="983"/>
      <c r="FZ7" s="983"/>
      <c r="GA7" s="983"/>
      <c r="GB7" s="983"/>
      <c r="GC7" s="983"/>
      <c r="GD7" s="983"/>
      <c r="GE7" s="983"/>
      <c r="GF7" s="983"/>
      <c r="GG7" s="983"/>
      <c r="GH7" s="983"/>
      <c r="GI7" s="983"/>
      <c r="GJ7" s="983"/>
      <c r="GK7" s="983"/>
      <c r="GL7" s="983"/>
      <c r="GM7" s="983"/>
      <c r="GN7" s="983"/>
      <c r="GO7" s="983"/>
      <c r="GP7" s="983"/>
      <c r="GQ7" s="983"/>
      <c r="GR7" s="983"/>
      <c r="GS7" s="983"/>
      <c r="GT7" s="983"/>
      <c r="GU7" s="983"/>
      <c r="GV7" s="983"/>
      <c r="GW7" s="983"/>
      <c r="GX7" s="983"/>
      <c r="GY7" s="983"/>
      <c r="GZ7" s="983"/>
      <c r="HA7" s="983"/>
      <c r="HB7" s="983"/>
      <c r="HC7" s="983"/>
      <c r="HD7" s="983"/>
      <c r="HE7" s="983"/>
      <c r="HF7" s="983"/>
      <c r="HG7" s="983"/>
      <c r="HH7" s="983"/>
      <c r="HI7" s="983"/>
      <c r="HJ7" s="983"/>
      <c r="HK7" s="983"/>
      <c r="HL7" s="983"/>
      <c r="HM7" s="983"/>
      <c r="HN7" s="983"/>
      <c r="HO7" s="983"/>
      <c r="HP7" s="983"/>
      <c r="HQ7" s="983"/>
      <c r="HR7" s="983"/>
      <c r="HS7" s="983"/>
      <c r="HT7" s="983"/>
      <c r="HU7" s="983"/>
      <c r="HV7" s="983"/>
      <c r="HW7" s="983"/>
      <c r="HX7" s="983"/>
      <c r="HY7" s="983"/>
      <c r="HZ7" s="983"/>
      <c r="IA7" s="983"/>
      <c r="IB7" s="983"/>
      <c r="IC7" s="983"/>
      <c r="ID7" s="983"/>
      <c r="IE7" s="983"/>
      <c r="IF7" s="983"/>
      <c r="IG7" s="983"/>
      <c r="IH7" s="983"/>
      <c r="II7" s="983"/>
      <c r="IJ7" s="983"/>
      <c r="IK7" s="983"/>
      <c r="IL7" s="983"/>
      <c r="IM7" s="983"/>
      <c r="IN7" s="983"/>
      <c r="IO7" s="983"/>
      <c r="IP7" s="983"/>
      <c r="IQ7" s="983"/>
      <c r="IR7" s="983"/>
      <c r="IS7" s="983"/>
      <c r="IT7" s="983"/>
      <c r="IU7" s="983"/>
      <c r="IV7" s="983"/>
      <c r="IW7" s="983"/>
      <c r="IX7" s="983"/>
      <c r="IY7" s="983"/>
      <c r="IZ7" s="983"/>
      <c r="JA7" s="983"/>
      <c r="JB7" s="983"/>
      <c r="JC7" s="983"/>
      <c r="JD7" s="983"/>
      <c r="JE7" s="983"/>
      <c r="JF7" s="983"/>
      <c r="JG7" s="983"/>
      <c r="JH7" s="983"/>
      <c r="JI7" s="983"/>
      <c r="JJ7" s="983"/>
      <c r="JK7" s="983"/>
      <c r="JL7" s="983"/>
      <c r="JM7" s="983"/>
      <c r="JN7" s="983"/>
      <c r="JO7" s="983"/>
      <c r="JP7" s="983"/>
      <c r="JQ7" s="983"/>
      <c r="JR7" s="983"/>
      <c r="JS7" s="983"/>
      <c r="JT7" s="983"/>
      <c r="JU7" s="983"/>
      <c r="JV7" s="983"/>
      <c r="JW7" s="983"/>
      <c r="JX7" s="983"/>
      <c r="JY7" s="983"/>
      <c r="JZ7" s="983"/>
      <c r="KA7" s="983"/>
      <c r="KB7" s="983"/>
      <c r="KC7" s="983"/>
      <c r="KD7" s="983"/>
      <c r="KE7" s="983"/>
      <c r="KF7" s="983"/>
      <c r="KG7" s="983"/>
      <c r="KH7" s="983"/>
      <c r="KI7" s="983"/>
      <c r="KJ7" s="983"/>
      <c r="KK7" s="983"/>
      <c r="KL7" s="983"/>
      <c r="KM7" s="983"/>
      <c r="KN7" s="983"/>
      <c r="KO7" s="983"/>
      <c r="KP7" s="983"/>
      <c r="KQ7" s="983"/>
      <c r="KR7" s="983"/>
      <c r="KS7" s="983"/>
      <c r="KT7" s="983"/>
      <c r="KU7" s="983"/>
      <c r="KV7" s="983"/>
      <c r="KW7" s="983"/>
      <c r="KX7" s="983"/>
      <c r="KY7" s="983"/>
      <c r="KZ7" s="983"/>
      <c r="LA7" s="983"/>
      <c r="LB7" s="983"/>
      <c r="LC7" s="983"/>
      <c r="LD7" s="983"/>
      <c r="LE7" s="983"/>
      <c r="LF7" s="983"/>
      <c r="LG7" s="983"/>
      <c r="LH7" s="983"/>
      <c r="LI7" s="983"/>
      <c r="LJ7" s="983"/>
      <c r="LK7" s="983"/>
      <c r="LL7" s="983"/>
      <c r="LM7" s="983"/>
      <c r="LN7" s="983"/>
      <c r="LO7" s="983"/>
      <c r="LP7" s="983"/>
      <c r="LQ7" s="983"/>
      <c r="LR7" s="983"/>
      <c r="LS7" s="983"/>
      <c r="LT7" s="983"/>
      <c r="LU7" s="983"/>
      <c r="LV7" s="983"/>
      <c r="LW7" s="983"/>
      <c r="LX7" s="983"/>
      <c r="LY7" s="983"/>
      <c r="LZ7" s="983"/>
      <c r="MA7" s="983"/>
      <c r="MB7" s="983"/>
      <c r="MC7" s="983"/>
      <c r="MD7" s="983"/>
      <c r="ME7" s="983"/>
      <c r="MF7" s="983"/>
      <c r="MG7" s="983"/>
      <c r="MH7" s="983"/>
      <c r="MI7" s="983"/>
      <c r="MJ7" s="983"/>
      <c r="MK7" s="983"/>
      <c r="ML7" s="983"/>
      <c r="MM7" s="983"/>
      <c r="MN7" s="983"/>
      <c r="MO7" s="983"/>
      <c r="MP7" s="983"/>
      <c r="MQ7" s="983"/>
      <c r="MR7" s="983"/>
      <c r="MS7" s="983"/>
      <c r="MT7" s="983"/>
      <c r="MU7" s="983"/>
      <c r="MV7" s="983"/>
      <c r="MW7" s="983"/>
      <c r="MX7" s="983"/>
      <c r="MY7" s="983"/>
      <c r="MZ7" s="983"/>
      <c r="NA7" s="983"/>
      <c r="NB7" s="983"/>
      <c r="NC7" s="983"/>
      <c r="ND7" s="983"/>
      <c r="NE7" s="983"/>
      <c r="NF7" s="983"/>
      <c r="NG7" s="983"/>
      <c r="NH7" s="983"/>
      <c r="NI7" s="983"/>
      <c r="NJ7" s="983"/>
      <c r="NK7" s="983"/>
      <c r="NL7" s="983"/>
      <c r="NM7" s="983"/>
      <c r="NN7" s="983"/>
      <c r="NO7" s="983"/>
      <c r="NP7" s="983"/>
      <c r="NQ7" s="983"/>
      <c r="NR7" s="983"/>
      <c r="NS7" s="983"/>
      <c r="NT7" s="983"/>
      <c r="NU7" s="983"/>
      <c r="NV7" s="983"/>
      <c r="NW7" s="983"/>
      <c r="NX7" s="983"/>
      <c r="NY7" s="983"/>
      <c r="NZ7" s="983"/>
      <c r="OA7" s="983"/>
      <c r="OB7" s="983"/>
      <c r="OC7" s="983"/>
      <c r="OD7" s="983"/>
      <c r="OE7" s="983"/>
      <c r="OF7" s="983"/>
      <c r="OG7" s="983"/>
      <c r="OH7" s="983"/>
      <c r="OI7" s="983"/>
      <c r="OJ7" s="983"/>
      <c r="OK7" s="983"/>
      <c r="OL7" s="983"/>
      <c r="OM7" s="983"/>
      <c r="ON7" s="983"/>
      <c r="OO7" s="983"/>
      <c r="OP7" s="983"/>
      <c r="OQ7" s="983"/>
      <c r="OR7" s="983"/>
      <c r="OS7" s="983"/>
      <c r="OT7" s="983"/>
      <c r="OU7" s="983"/>
      <c r="OV7" s="983"/>
      <c r="OW7" s="983"/>
      <c r="OX7" s="983"/>
      <c r="OY7" s="983"/>
      <c r="OZ7" s="983"/>
      <c r="PA7" s="983"/>
      <c r="PB7" s="983"/>
      <c r="PC7" s="983"/>
      <c r="PD7" s="983"/>
      <c r="PE7" s="983"/>
      <c r="PF7" s="983"/>
      <c r="PG7" s="983"/>
      <c r="PH7" s="983"/>
      <c r="PI7" s="983"/>
      <c r="PJ7" s="983"/>
      <c r="PK7" s="983"/>
      <c r="PL7" s="983"/>
      <c r="PM7" s="983"/>
      <c r="PN7" s="983"/>
      <c r="PO7" s="983"/>
      <c r="PP7" s="983"/>
      <c r="PQ7" s="983"/>
      <c r="PR7" s="983"/>
      <c r="PS7" s="983"/>
      <c r="PT7" s="983"/>
      <c r="PU7" s="983"/>
      <c r="PV7" s="983"/>
      <c r="PW7" s="983"/>
      <c r="PX7" s="983"/>
      <c r="PY7" s="983"/>
      <c r="PZ7" s="983"/>
      <c r="QA7" s="983"/>
      <c r="QB7" s="983"/>
      <c r="QC7" s="983"/>
      <c r="QD7" s="983"/>
      <c r="QE7" s="983"/>
      <c r="QF7" s="983"/>
      <c r="QG7" s="983"/>
      <c r="QH7" s="983"/>
      <c r="QI7" s="983"/>
      <c r="QJ7" s="983"/>
      <c r="QK7" s="983"/>
      <c r="QL7" s="983"/>
      <c r="QM7" s="983"/>
      <c r="QN7" s="983"/>
      <c r="QO7" s="983"/>
      <c r="QP7" s="983"/>
      <c r="QQ7" s="983"/>
      <c r="QR7" s="983"/>
      <c r="QS7" s="983"/>
      <c r="QT7" s="983"/>
      <c r="QU7" s="983"/>
      <c r="QV7" s="983"/>
      <c r="QW7" s="983"/>
      <c r="QX7" s="983"/>
      <c r="QY7" s="983"/>
      <c r="QZ7" s="983"/>
      <c r="RA7" s="983"/>
      <c r="RB7" s="983"/>
      <c r="RC7" s="983"/>
      <c r="RD7" s="983"/>
      <c r="RE7" s="983"/>
      <c r="RF7" s="983"/>
      <c r="RG7" s="983"/>
      <c r="RH7" s="983"/>
      <c r="RI7" s="983"/>
      <c r="RJ7" s="983"/>
      <c r="RK7" s="983"/>
      <c r="RL7" s="983"/>
      <c r="RM7" s="983"/>
      <c r="RN7" s="983"/>
      <c r="RO7" s="983"/>
      <c r="RP7" s="983"/>
      <c r="RQ7" s="983"/>
      <c r="RR7" s="983"/>
      <c r="RS7" s="983"/>
      <c r="RT7" s="983"/>
      <c r="RU7" s="983"/>
      <c r="RV7" s="983"/>
      <c r="RW7" s="983"/>
      <c r="RX7" s="983"/>
      <c r="RY7" s="983"/>
      <c r="RZ7" s="983"/>
      <c r="SA7" s="983"/>
      <c r="SB7" s="983"/>
      <c r="SC7" s="983"/>
      <c r="SD7" s="983"/>
      <c r="SE7" s="983"/>
      <c r="SF7" s="983"/>
      <c r="SG7" s="983"/>
      <c r="SH7" s="983"/>
      <c r="SI7" s="983"/>
      <c r="SJ7" s="983"/>
      <c r="SK7" s="983"/>
      <c r="SL7" s="983"/>
      <c r="SM7" s="983"/>
      <c r="SN7" s="983"/>
      <c r="SO7" s="983"/>
      <c r="SP7" s="983"/>
      <c r="SQ7" s="983"/>
      <c r="SR7" s="983"/>
      <c r="SS7" s="983"/>
      <c r="ST7" s="983"/>
      <c r="SU7" s="983"/>
      <c r="SV7" s="983"/>
      <c r="SW7" s="983"/>
      <c r="SX7" s="983"/>
      <c r="SY7" s="983"/>
      <c r="SZ7" s="983"/>
      <c r="TA7" s="983"/>
      <c r="TB7" s="983"/>
      <c r="TC7" s="983"/>
      <c r="TD7" s="983"/>
      <c r="TE7" s="983"/>
      <c r="TF7" s="983"/>
      <c r="TG7" s="983"/>
      <c r="TH7" s="983"/>
      <c r="TI7" s="983"/>
      <c r="TJ7" s="983"/>
      <c r="TK7" s="983"/>
      <c r="TL7" s="983"/>
      <c r="TM7" s="983"/>
      <c r="TN7" s="983"/>
      <c r="TO7" s="983"/>
      <c r="TP7" s="983"/>
      <c r="TQ7" s="983"/>
      <c r="TR7" s="983"/>
      <c r="TS7" s="983"/>
      <c r="TT7" s="983"/>
      <c r="TU7" s="983"/>
      <c r="TV7" s="983"/>
      <c r="TW7" s="983"/>
      <c r="TX7" s="983"/>
      <c r="TY7" s="983"/>
      <c r="TZ7" s="983"/>
      <c r="UA7" s="983"/>
      <c r="UB7" s="983"/>
      <c r="UC7" s="983"/>
      <c r="UD7" s="983"/>
      <c r="UE7" s="983"/>
      <c r="UF7" s="983"/>
      <c r="UG7" s="983"/>
      <c r="UH7" s="983"/>
      <c r="UI7" s="983"/>
      <c r="UJ7" s="983"/>
      <c r="UK7" s="983"/>
      <c r="UL7" s="983"/>
      <c r="UM7" s="983"/>
      <c r="UN7" s="983"/>
      <c r="UO7" s="983"/>
      <c r="UP7" s="983"/>
      <c r="UQ7" s="983"/>
      <c r="UR7" s="983"/>
      <c r="US7" s="983"/>
      <c r="UT7" s="983"/>
      <c r="UU7" s="983"/>
      <c r="UV7" s="983"/>
      <c r="UW7" s="983"/>
      <c r="UX7" s="983"/>
      <c r="UY7" s="983"/>
      <c r="UZ7" s="983"/>
      <c r="VA7" s="983"/>
      <c r="VB7" s="983"/>
      <c r="VC7" s="983"/>
      <c r="VD7" s="983"/>
      <c r="VE7" s="983"/>
      <c r="VF7" s="983"/>
      <c r="VG7" s="983"/>
      <c r="VH7" s="983"/>
      <c r="VI7" s="983"/>
      <c r="VJ7" s="983"/>
      <c r="VK7" s="983"/>
      <c r="VL7" s="983"/>
      <c r="VM7" s="983"/>
      <c r="VN7" s="983"/>
      <c r="VO7" s="983"/>
      <c r="VP7" s="983"/>
      <c r="VQ7" s="983"/>
      <c r="VR7" s="983"/>
      <c r="VS7" s="983"/>
      <c r="VT7" s="983"/>
      <c r="VU7" s="983"/>
      <c r="VV7" s="983"/>
      <c r="VW7" s="983"/>
      <c r="VX7" s="983"/>
      <c r="VY7" s="983"/>
      <c r="VZ7" s="983"/>
      <c r="WA7" s="983"/>
      <c r="WB7" s="983"/>
      <c r="WC7" s="983"/>
      <c r="WD7" s="983"/>
      <c r="WE7" s="983"/>
      <c r="WF7" s="983"/>
      <c r="WG7" s="983"/>
      <c r="WH7" s="983"/>
      <c r="WI7" s="983"/>
      <c r="WJ7" s="983"/>
      <c r="WK7" s="983"/>
      <c r="WL7" s="983"/>
      <c r="WM7" s="983"/>
      <c r="WN7" s="983"/>
      <c r="WO7" s="983"/>
      <c r="WP7" s="983"/>
      <c r="WQ7" s="983"/>
      <c r="WR7" s="983"/>
      <c r="WS7" s="983"/>
      <c r="WT7" s="983"/>
      <c r="WU7" s="983"/>
      <c r="WV7" s="983"/>
      <c r="WW7" s="983"/>
      <c r="WX7" s="983"/>
      <c r="WY7" s="983"/>
      <c r="WZ7" s="983"/>
      <c r="XA7" s="983"/>
      <c r="XB7" s="983"/>
      <c r="XC7" s="983"/>
      <c r="XD7" s="983"/>
      <c r="XE7" s="983"/>
      <c r="XF7" s="983"/>
      <c r="XG7" s="983"/>
      <c r="XH7" s="983"/>
      <c r="XI7" s="983"/>
      <c r="XJ7" s="983"/>
      <c r="XK7" s="983"/>
      <c r="XL7" s="983"/>
      <c r="XM7" s="983"/>
      <c r="XN7" s="983"/>
      <c r="XO7" s="983"/>
      <c r="XP7" s="983"/>
      <c r="XQ7" s="983"/>
      <c r="XR7" s="983"/>
      <c r="XS7" s="983"/>
      <c r="XT7" s="983"/>
      <c r="XU7" s="983"/>
      <c r="XV7" s="983"/>
      <c r="XW7" s="983"/>
      <c r="XX7" s="983"/>
      <c r="XY7" s="983"/>
      <c r="XZ7" s="983"/>
      <c r="YA7" s="983"/>
      <c r="YB7" s="983"/>
      <c r="YC7" s="983"/>
      <c r="YD7" s="983"/>
      <c r="YE7" s="983"/>
      <c r="YF7" s="983"/>
      <c r="YG7" s="983"/>
      <c r="YH7" s="983"/>
      <c r="YI7" s="983"/>
      <c r="YJ7" s="983"/>
      <c r="YK7" s="983"/>
      <c r="YL7" s="983"/>
      <c r="YM7" s="983"/>
      <c r="YN7" s="983"/>
      <c r="YO7" s="983"/>
      <c r="YP7" s="983"/>
      <c r="YQ7" s="983"/>
      <c r="YR7" s="983"/>
      <c r="YS7" s="983"/>
      <c r="YT7" s="983"/>
      <c r="YU7" s="983"/>
      <c r="YV7" s="983"/>
      <c r="YW7" s="983"/>
      <c r="YX7" s="983"/>
      <c r="YY7" s="983"/>
      <c r="YZ7" s="983"/>
      <c r="ZA7" s="983"/>
      <c r="ZB7" s="983"/>
      <c r="ZC7" s="983"/>
      <c r="ZD7" s="983"/>
      <c r="ZE7" s="983"/>
      <c r="ZF7" s="983"/>
      <c r="ZG7" s="983"/>
      <c r="ZH7" s="983"/>
      <c r="ZI7" s="983"/>
      <c r="ZJ7" s="983"/>
      <c r="ZK7" s="983"/>
      <c r="ZL7" s="983"/>
      <c r="ZM7" s="983"/>
      <c r="ZN7" s="983"/>
      <c r="ZO7" s="983"/>
      <c r="ZP7" s="983"/>
      <c r="ZQ7" s="983"/>
      <c r="ZR7" s="983"/>
      <c r="ZS7" s="983"/>
      <c r="ZT7" s="983"/>
      <c r="ZU7" s="983"/>
      <c r="ZV7" s="983"/>
      <c r="ZW7" s="983"/>
      <c r="ZX7" s="983"/>
      <c r="ZY7" s="983"/>
      <c r="ZZ7" s="983"/>
      <c r="AAA7" s="983"/>
      <c r="AAB7" s="983"/>
      <c r="AAC7" s="983"/>
      <c r="AAD7" s="983"/>
      <c r="AAE7" s="983"/>
      <c r="AAF7" s="983"/>
      <c r="AAG7" s="983"/>
      <c r="AAH7" s="983"/>
      <c r="AAI7" s="983"/>
      <c r="AAJ7" s="983"/>
      <c r="AAK7" s="983"/>
      <c r="AAL7" s="983"/>
      <c r="AAM7" s="983"/>
      <c r="AAN7" s="983"/>
      <c r="AAO7" s="983"/>
      <c r="AAP7" s="983"/>
      <c r="AAQ7" s="983"/>
      <c r="AAR7" s="983"/>
      <c r="AAS7" s="983"/>
      <c r="AAT7" s="983"/>
      <c r="AAU7" s="983"/>
      <c r="AAV7" s="983"/>
      <c r="AAW7" s="983"/>
      <c r="AAX7" s="983"/>
      <c r="AAY7" s="983"/>
      <c r="AAZ7" s="983"/>
      <c r="ABA7" s="983"/>
      <c r="ABB7" s="983"/>
      <c r="ABC7" s="983"/>
      <c r="ABD7" s="983"/>
      <c r="ABE7" s="983"/>
      <c r="ABF7" s="983"/>
      <c r="ABG7" s="983"/>
      <c r="ABH7" s="983"/>
      <c r="ABI7" s="983"/>
      <c r="ABJ7" s="983"/>
      <c r="ABK7" s="983"/>
      <c r="ABL7" s="983"/>
      <c r="ABM7" s="983"/>
      <c r="ABN7" s="983"/>
      <c r="ABO7" s="983"/>
      <c r="ABP7" s="983"/>
      <c r="ABQ7" s="983"/>
      <c r="ABR7" s="983"/>
      <c r="ABS7" s="983"/>
      <c r="ABT7" s="983"/>
      <c r="ABU7" s="983"/>
      <c r="ABV7" s="983"/>
      <c r="ABW7" s="983"/>
      <c r="ABX7" s="983"/>
      <c r="ABY7" s="983"/>
      <c r="ABZ7" s="983"/>
      <c r="ACA7" s="983"/>
      <c r="ACB7" s="983"/>
      <c r="ACC7" s="983"/>
      <c r="ACD7" s="983"/>
      <c r="ACE7" s="983"/>
      <c r="ACF7" s="983"/>
      <c r="ACG7" s="983"/>
      <c r="ACH7" s="983"/>
      <c r="ACI7" s="983"/>
      <c r="ACJ7" s="983"/>
      <c r="ACK7" s="983"/>
      <c r="ACL7" s="983"/>
      <c r="ACM7" s="983"/>
      <c r="ACN7" s="983"/>
      <c r="ACO7" s="983"/>
      <c r="ACP7" s="983"/>
      <c r="ACQ7" s="983"/>
      <c r="ACR7" s="983"/>
      <c r="ACS7" s="983"/>
      <c r="ACT7" s="983"/>
      <c r="ACU7" s="983"/>
      <c r="ACV7" s="983"/>
      <c r="ACW7" s="983"/>
      <c r="ACX7" s="983"/>
      <c r="ACY7" s="983"/>
      <c r="ACZ7" s="983"/>
      <c r="ADA7" s="983"/>
      <c r="ADB7" s="983"/>
      <c r="ADC7" s="983"/>
      <c r="ADD7" s="983"/>
      <c r="ADE7" s="983"/>
      <c r="ADF7" s="983"/>
      <c r="ADG7" s="983"/>
      <c r="ADH7" s="983"/>
      <c r="ADI7" s="983"/>
      <c r="ADJ7" s="983"/>
      <c r="ADK7" s="983"/>
      <c r="ADL7" s="983"/>
      <c r="ADM7" s="983"/>
      <c r="ADN7" s="983"/>
      <c r="ADO7" s="983"/>
      <c r="ADP7" s="983"/>
      <c r="ADQ7" s="983"/>
      <c r="ADR7" s="983"/>
      <c r="ADS7" s="983"/>
      <c r="ADT7" s="983"/>
      <c r="ADU7" s="983"/>
      <c r="ADV7" s="983"/>
      <c r="ADW7" s="983"/>
      <c r="ADX7" s="983"/>
      <c r="ADY7" s="983"/>
      <c r="ADZ7" s="983"/>
      <c r="AEA7" s="983"/>
      <c r="AEB7" s="983"/>
      <c r="AEC7" s="983"/>
      <c r="AED7" s="983"/>
      <c r="AEE7" s="983"/>
      <c r="AEF7" s="983"/>
      <c r="AEG7" s="983"/>
      <c r="AEH7" s="983"/>
      <c r="AEI7" s="983"/>
      <c r="AEJ7" s="983"/>
      <c r="AEK7" s="983"/>
      <c r="AEL7" s="983"/>
      <c r="AEM7" s="983"/>
      <c r="AEN7" s="983"/>
      <c r="AEO7" s="983"/>
      <c r="AEP7" s="983"/>
      <c r="AEQ7" s="983"/>
      <c r="AER7" s="983"/>
      <c r="AES7" s="983"/>
      <c r="AET7" s="983"/>
      <c r="AEU7" s="983"/>
      <c r="AEV7" s="983"/>
      <c r="AEW7" s="983"/>
      <c r="AEX7" s="983"/>
      <c r="AEY7" s="983"/>
      <c r="AEZ7" s="983"/>
      <c r="AFA7" s="983"/>
      <c r="AFB7" s="983"/>
      <c r="AFC7" s="983"/>
      <c r="AFD7" s="983"/>
      <c r="AFE7" s="983"/>
      <c r="AFF7" s="983"/>
      <c r="AFG7" s="983"/>
      <c r="AFH7" s="983"/>
      <c r="AFI7" s="983"/>
      <c r="AFJ7" s="983"/>
      <c r="AFK7" s="983"/>
      <c r="AFL7" s="983"/>
      <c r="AFM7" s="983"/>
      <c r="AFN7" s="983"/>
      <c r="AFO7" s="983"/>
      <c r="AFP7" s="983"/>
      <c r="AFQ7" s="983"/>
      <c r="AFR7" s="983"/>
      <c r="AFS7" s="983"/>
      <c r="AFT7" s="983"/>
      <c r="AFU7" s="983"/>
      <c r="AFV7" s="983"/>
      <c r="AFW7" s="983"/>
      <c r="AFX7" s="983"/>
      <c r="AFY7" s="983"/>
      <c r="AFZ7" s="983"/>
      <c r="AGA7" s="983"/>
      <c r="AGB7" s="983"/>
      <c r="AGC7" s="983"/>
      <c r="AGD7" s="983"/>
      <c r="AGE7" s="983"/>
      <c r="AGF7" s="983"/>
      <c r="AGG7" s="983"/>
      <c r="AGH7" s="983"/>
      <c r="AGI7" s="983"/>
      <c r="AGJ7" s="983"/>
      <c r="AGK7" s="983"/>
      <c r="AGL7" s="983"/>
      <c r="AGM7" s="983"/>
      <c r="AGN7" s="983"/>
      <c r="AGO7" s="983"/>
      <c r="AGP7" s="983"/>
      <c r="AGQ7" s="983"/>
      <c r="AGR7" s="983"/>
      <c r="AGS7" s="983"/>
      <c r="AGT7" s="983"/>
      <c r="AGU7" s="983"/>
      <c r="AGV7" s="983"/>
      <c r="AGW7" s="983"/>
      <c r="AGX7" s="983"/>
      <c r="AGY7" s="983"/>
      <c r="AGZ7" s="983"/>
      <c r="AHA7" s="983"/>
      <c r="AHB7" s="983"/>
      <c r="AHC7" s="983"/>
      <c r="AHD7" s="983"/>
      <c r="AHE7" s="983"/>
      <c r="AHF7" s="983"/>
      <c r="AHG7" s="983"/>
      <c r="AHH7" s="983"/>
      <c r="AHI7" s="983"/>
      <c r="AHJ7" s="983"/>
      <c r="AHK7" s="983"/>
      <c r="AHL7" s="983"/>
      <c r="AHM7" s="983"/>
      <c r="AHN7" s="983"/>
      <c r="AHO7" s="983"/>
      <c r="AHP7" s="983"/>
      <c r="AHQ7" s="983"/>
      <c r="AHR7" s="983"/>
      <c r="AHS7" s="983"/>
      <c r="AHT7" s="983"/>
      <c r="AHU7" s="983"/>
      <c r="AHV7" s="983"/>
      <c r="AHW7" s="983"/>
      <c r="AHX7" s="983"/>
      <c r="AHY7" s="983"/>
      <c r="AHZ7" s="983"/>
      <c r="AIA7" s="983"/>
      <c r="AIB7" s="983"/>
      <c r="AIC7" s="983"/>
      <c r="AID7" s="983"/>
      <c r="AIE7" s="983"/>
      <c r="AIF7" s="983"/>
      <c r="AIG7" s="983"/>
      <c r="AIH7" s="983"/>
      <c r="AII7" s="983"/>
      <c r="AIJ7" s="983"/>
      <c r="AIK7" s="983"/>
      <c r="AIL7" s="983"/>
      <c r="AIM7" s="983"/>
      <c r="AIN7" s="983"/>
      <c r="AIO7" s="983"/>
      <c r="AIP7" s="983"/>
      <c r="AIQ7" s="983"/>
      <c r="AIR7" s="983"/>
      <c r="AIS7" s="983"/>
      <c r="AIT7" s="983"/>
      <c r="AIU7" s="983"/>
      <c r="AIV7" s="983"/>
      <c r="AIW7" s="983"/>
      <c r="AIX7" s="983"/>
      <c r="AIY7" s="983"/>
      <c r="AIZ7" s="983"/>
      <c r="AJA7" s="983"/>
      <c r="AJB7" s="983"/>
      <c r="AJC7" s="983"/>
      <c r="AJD7" s="983"/>
      <c r="AJE7" s="983"/>
      <c r="AJF7" s="983"/>
      <c r="AJG7" s="983"/>
      <c r="AJH7" s="983"/>
      <c r="AJI7" s="983"/>
      <c r="AJJ7" s="983"/>
      <c r="AJK7" s="983"/>
      <c r="AJL7" s="983"/>
      <c r="AJM7" s="983"/>
      <c r="AJN7" s="983"/>
      <c r="AJO7" s="983"/>
      <c r="AJP7" s="983"/>
      <c r="AJQ7" s="983"/>
      <c r="AJR7" s="983"/>
      <c r="AJS7" s="983"/>
      <c r="AJT7" s="983"/>
      <c r="AJU7" s="983"/>
      <c r="AJV7" s="983"/>
      <c r="AJW7" s="983"/>
      <c r="AJX7" s="983"/>
      <c r="AJY7" s="983"/>
      <c r="AJZ7" s="983"/>
      <c r="AKA7" s="983"/>
      <c r="AKB7" s="983"/>
      <c r="AKC7" s="983"/>
      <c r="AKD7" s="983"/>
      <c r="AKE7" s="983"/>
      <c r="AKF7" s="983"/>
      <c r="AKG7" s="983"/>
      <c r="AKH7" s="983"/>
      <c r="AKI7" s="983"/>
      <c r="AKJ7" s="983"/>
      <c r="AKK7" s="983"/>
      <c r="AKL7" s="983"/>
      <c r="AKM7" s="983"/>
      <c r="AKN7" s="983"/>
      <c r="AKO7" s="983"/>
      <c r="AKP7" s="983"/>
      <c r="AKQ7" s="983"/>
      <c r="AKR7" s="983"/>
      <c r="AKS7" s="983"/>
      <c r="AKT7" s="983"/>
      <c r="AKU7" s="983"/>
      <c r="AKV7" s="983"/>
      <c r="AKW7" s="983"/>
      <c r="AKX7" s="983"/>
      <c r="AKY7" s="983"/>
      <c r="AKZ7" s="983"/>
      <c r="ALA7" s="983"/>
      <c r="ALB7" s="983"/>
      <c r="ALC7" s="983"/>
      <c r="ALD7" s="983"/>
      <c r="ALE7" s="983"/>
      <c r="ALF7" s="983"/>
      <c r="ALG7" s="983"/>
      <c r="ALH7" s="983"/>
      <c r="ALI7" s="983"/>
      <c r="ALJ7" s="983"/>
      <c r="ALK7" s="983"/>
      <c r="ALL7" s="983"/>
      <c r="ALM7" s="983"/>
      <c r="ALN7" s="983"/>
      <c r="ALO7" s="983"/>
      <c r="ALP7" s="983"/>
      <c r="ALQ7" s="983"/>
      <c r="ALR7" s="983"/>
      <c r="ALS7" s="983"/>
      <c r="ALT7" s="983"/>
      <c r="ALU7" s="983"/>
      <c r="ALV7" s="983"/>
      <c r="ALW7" s="983"/>
      <c r="ALX7" s="983"/>
      <c r="ALY7" s="983"/>
      <c r="ALZ7" s="983"/>
      <c r="AMA7" s="983"/>
      <c r="AMB7" s="983"/>
      <c r="AMC7" s="983"/>
      <c r="AMD7" s="983"/>
      <c r="AME7" s="983"/>
      <c r="AMF7" s="983"/>
      <c r="AMG7" s="983"/>
      <c r="AMH7" s="983"/>
      <c r="AMI7" s="983"/>
      <c r="AMJ7" s="983"/>
      <c r="AMK7" s="983"/>
      <c r="AML7" s="983"/>
      <c r="AMM7" s="983"/>
      <c r="AMN7" s="983"/>
      <c r="AMO7" s="983"/>
      <c r="AMP7" s="983"/>
      <c r="AMQ7" s="983"/>
      <c r="AMR7" s="983"/>
      <c r="AMS7" s="983"/>
      <c r="AMT7" s="983"/>
      <c r="AMU7" s="983"/>
      <c r="AMV7" s="983"/>
      <c r="AMW7" s="983"/>
      <c r="AMX7" s="983"/>
      <c r="AMY7" s="983"/>
      <c r="AMZ7" s="983"/>
      <c r="ANA7" s="983"/>
      <c r="ANB7" s="983"/>
      <c r="ANC7" s="983"/>
      <c r="AND7" s="983"/>
      <c r="ANE7" s="983"/>
      <c r="ANF7" s="983"/>
      <c r="ANG7" s="983"/>
      <c r="ANH7" s="983"/>
      <c r="ANI7" s="983"/>
      <c r="ANJ7" s="983"/>
      <c r="ANK7" s="983"/>
      <c r="ANL7" s="983"/>
      <c r="ANM7" s="983"/>
      <c r="ANN7" s="983"/>
      <c r="ANO7" s="983"/>
      <c r="ANP7" s="983"/>
      <c r="ANQ7" s="983"/>
      <c r="ANR7" s="983"/>
      <c r="ANS7" s="983"/>
      <c r="ANT7" s="983"/>
      <c r="ANU7" s="983"/>
      <c r="ANV7" s="983"/>
      <c r="ANW7" s="983"/>
      <c r="ANX7" s="983"/>
      <c r="ANY7" s="983"/>
      <c r="ANZ7" s="983"/>
      <c r="AOA7" s="983"/>
      <c r="AOB7" s="983"/>
      <c r="AOC7" s="983"/>
      <c r="AOD7" s="983"/>
      <c r="AOE7" s="983"/>
      <c r="AOF7" s="983"/>
      <c r="AOG7" s="983"/>
      <c r="AOH7" s="983"/>
      <c r="AOI7" s="983"/>
      <c r="AOJ7" s="983"/>
      <c r="AOK7" s="983"/>
      <c r="AOL7" s="983"/>
      <c r="AOM7" s="983"/>
      <c r="AON7" s="983"/>
      <c r="AOO7" s="983"/>
      <c r="AOP7" s="983"/>
      <c r="AOQ7" s="983"/>
      <c r="AOR7" s="983"/>
      <c r="AOS7" s="983"/>
      <c r="AOT7" s="983"/>
      <c r="AOU7" s="983"/>
      <c r="AOV7" s="983"/>
      <c r="AOW7" s="983"/>
      <c r="AOX7" s="983"/>
      <c r="AOY7" s="983"/>
      <c r="AOZ7" s="983"/>
      <c r="APA7" s="983"/>
      <c r="APB7" s="983"/>
      <c r="APC7" s="983"/>
      <c r="APD7" s="983"/>
      <c r="APE7" s="983"/>
      <c r="APF7" s="983"/>
      <c r="APG7" s="983"/>
      <c r="APH7" s="983"/>
      <c r="API7" s="983"/>
      <c r="APJ7" s="983"/>
      <c r="APK7" s="983"/>
      <c r="APL7" s="983"/>
      <c r="APM7" s="983"/>
      <c r="APN7" s="983"/>
      <c r="APO7" s="983"/>
      <c r="APP7" s="983"/>
      <c r="APQ7" s="983"/>
      <c r="APR7" s="983"/>
      <c r="APS7" s="983"/>
      <c r="APT7" s="983"/>
      <c r="APU7" s="983"/>
      <c r="APV7" s="983"/>
      <c r="APW7" s="983"/>
      <c r="APX7" s="983"/>
      <c r="APY7" s="983"/>
      <c r="APZ7" s="983"/>
      <c r="AQA7" s="983"/>
      <c r="AQB7" s="983"/>
      <c r="AQC7" s="983"/>
      <c r="AQD7" s="983"/>
      <c r="AQE7" s="983"/>
      <c r="AQF7" s="983"/>
      <c r="AQG7" s="983"/>
      <c r="AQH7" s="983"/>
      <c r="AQI7" s="983"/>
      <c r="AQJ7" s="983"/>
      <c r="AQK7" s="983"/>
      <c r="AQL7" s="983"/>
      <c r="AQM7" s="983"/>
      <c r="AQN7" s="983"/>
      <c r="AQO7" s="983"/>
      <c r="AQP7" s="983"/>
      <c r="AQQ7" s="983"/>
      <c r="AQR7" s="983"/>
      <c r="AQS7" s="983"/>
      <c r="AQT7" s="983"/>
      <c r="AQU7" s="983"/>
      <c r="AQV7" s="983"/>
      <c r="AQW7" s="983"/>
      <c r="AQX7" s="983"/>
      <c r="AQY7" s="983"/>
      <c r="AQZ7" s="983"/>
      <c r="ARA7" s="983"/>
      <c r="ARB7" s="983"/>
      <c r="ARC7" s="983"/>
      <c r="ARD7" s="983"/>
      <c r="ARE7" s="983"/>
      <c r="ARF7" s="983"/>
      <c r="ARG7" s="983"/>
      <c r="ARH7" s="983"/>
      <c r="ARI7" s="983"/>
      <c r="ARJ7" s="983"/>
      <c r="ARK7" s="983"/>
      <c r="ARL7" s="983"/>
      <c r="ARM7" s="983"/>
      <c r="ARN7" s="983"/>
      <c r="ARO7" s="983"/>
      <c r="ARP7" s="983"/>
      <c r="ARQ7" s="983"/>
      <c r="ARR7" s="983"/>
      <c r="ARS7" s="983"/>
      <c r="ART7" s="983"/>
      <c r="ARU7" s="983"/>
      <c r="ARV7" s="983"/>
      <c r="ARW7" s="983"/>
      <c r="ARX7" s="983"/>
      <c r="ARY7" s="983"/>
      <c r="ARZ7" s="983"/>
      <c r="ASA7" s="983"/>
      <c r="ASB7" s="983"/>
      <c r="ASC7" s="983"/>
      <c r="ASD7" s="983"/>
      <c r="ASE7" s="983"/>
      <c r="ASF7" s="983"/>
      <c r="ASG7" s="983"/>
      <c r="ASH7" s="983"/>
      <c r="ASI7" s="983"/>
      <c r="ASJ7" s="983"/>
      <c r="ASK7" s="983"/>
      <c r="ASL7" s="983"/>
      <c r="ASM7" s="983"/>
      <c r="ASN7" s="983"/>
      <c r="ASO7" s="983"/>
      <c r="ASP7" s="983"/>
      <c r="ASQ7" s="983"/>
      <c r="ASR7" s="983"/>
      <c r="ASS7" s="983"/>
      <c r="AST7" s="983"/>
      <c r="ASU7" s="983"/>
      <c r="ASV7" s="983"/>
      <c r="ASW7" s="983"/>
      <c r="ASX7" s="983"/>
      <c r="ASY7" s="983"/>
      <c r="ASZ7" s="983"/>
      <c r="ATA7" s="983"/>
      <c r="ATB7" s="983"/>
      <c r="ATC7" s="983"/>
      <c r="ATD7" s="983"/>
      <c r="ATE7" s="983"/>
      <c r="ATF7" s="983"/>
      <c r="ATG7" s="983"/>
      <c r="ATH7" s="983"/>
      <c r="ATI7" s="983"/>
      <c r="ATJ7" s="983"/>
      <c r="ATK7" s="983"/>
      <c r="ATL7" s="983"/>
      <c r="ATM7" s="983"/>
      <c r="ATN7" s="983"/>
      <c r="ATO7" s="983"/>
    </row>
    <row r="8" spans="1:1211" s="682" customFormat="1" ht="15" customHeight="1" thickBot="1">
      <c r="A8" s="2513"/>
      <c r="B8" s="2513"/>
      <c r="C8" s="2513"/>
      <c r="D8" s="2513"/>
      <c r="E8" s="1997"/>
      <c r="F8" s="1998"/>
      <c r="G8" s="1281" t="s">
        <v>42</v>
      </c>
      <c r="H8" s="1282" t="s">
        <v>42</v>
      </c>
      <c r="I8" s="1281" t="str">
        <f>IF(D5=1,"$","S/.")</f>
        <v>S/.</v>
      </c>
      <c r="J8" s="1282" t="str">
        <f>IF(D5=1,"$","S/.")</f>
        <v>S/.</v>
      </c>
      <c r="K8" s="1259" t="s">
        <v>1504</v>
      </c>
      <c r="L8" s="1260" t="s">
        <v>1505</v>
      </c>
      <c r="M8" s="1261" t="s">
        <v>1513</v>
      </c>
      <c r="N8" s="1748" t="s">
        <v>41</v>
      </c>
      <c r="O8" s="1749" t="s">
        <v>1165</v>
      </c>
      <c r="P8" s="1750" t="s">
        <v>47</v>
      </c>
      <c r="Q8" s="1750" t="s">
        <v>318</v>
      </c>
      <c r="R8" s="681"/>
      <c r="S8" s="681"/>
      <c r="T8" s="681"/>
      <c r="U8" s="681"/>
      <c r="V8" s="681"/>
      <c r="W8" s="681"/>
      <c r="X8" s="681"/>
      <c r="Y8" s="681"/>
      <c r="Z8" s="681"/>
      <c r="AA8" s="681"/>
      <c r="AB8" s="681"/>
      <c r="AC8" s="681"/>
      <c r="AD8" s="681"/>
      <c r="AE8" s="681"/>
      <c r="AF8" s="681"/>
      <c r="AG8" s="681"/>
      <c r="AH8" s="681"/>
      <c r="AI8" s="681"/>
      <c r="AJ8" s="681"/>
      <c r="AK8" s="681"/>
      <c r="AL8" s="681"/>
      <c r="AM8" s="681"/>
      <c r="AN8" s="681"/>
      <c r="AO8" s="681"/>
      <c r="AP8" s="681"/>
      <c r="AQ8" s="681"/>
      <c r="AR8" s="681"/>
      <c r="AS8" s="681"/>
      <c r="AT8" s="681"/>
      <c r="AU8" s="681"/>
      <c r="AV8" s="681"/>
      <c r="AW8" s="681"/>
      <c r="AX8" s="681"/>
      <c r="AY8" s="681"/>
      <c r="AZ8" s="681"/>
      <c r="BA8" s="681"/>
      <c r="BB8" s="681"/>
      <c r="BC8" s="681"/>
      <c r="BD8" s="681"/>
      <c r="BE8" s="681"/>
      <c r="BF8" s="681"/>
      <c r="BG8" s="681"/>
      <c r="BH8" s="681"/>
      <c r="BI8" s="681"/>
      <c r="BJ8" s="681"/>
      <c r="BK8" s="681"/>
      <c r="BL8" s="681"/>
      <c r="BM8" s="681"/>
      <c r="BN8" s="681"/>
      <c r="BO8" s="681"/>
      <c r="BP8" s="681"/>
      <c r="BQ8" s="681"/>
      <c r="BR8" s="681"/>
      <c r="BS8" s="681"/>
      <c r="BT8" s="681"/>
      <c r="BU8" s="681"/>
      <c r="BV8" s="681"/>
      <c r="BW8" s="681"/>
      <c r="BX8" s="681"/>
      <c r="BY8" s="681"/>
      <c r="BZ8" s="681"/>
      <c r="CA8" s="681"/>
      <c r="CB8" s="681"/>
      <c r="CC8" s="681"/>
      <c r="CD8" s="681"/>
      <c r="CE8" s="681"/>
      <c r="CF8" s="681"/>
      <c r="CG8" s="681"/>
      <c r="CH8" s="681"/>
      <c r="CI8" s="681"/>
      <c r="CJ8" s="681"/>
      <c r="CK8" s="681"/>
      <c r="CL8" s="681"/>
      <c r="CM8" s="681"/>
      <c r="CN8" s="681"/>
      <c r="CO8" s="681"/>
      <c r="CP8" s="681"/>
      <c r="CQ8" s="681"/>
      <c r="CR8" s="681"/>
      <c r="CS8" s="681"/>
      <c r="CT8" s="681"/>
      <c r="CU8" s="681"/>
      <c r="CV8" s="681"/>
      <c r="CW8" s="681"/>
      <c r="CX8" s="681"/>
      <c r="CY8" s="681"/>
      <c r="CZ8" s="681"/>
      <c r="DA8" s="681"/>
      <c r="DB8" s="681"/>
      <c r="DC8" s="681"/>
      <c r="DD8" s="681"/>
      <c r="DE8" s="681"/>
      <c r="DF8" s="681"/>
      <c r="DG8" s="681"/>
      <c r="DH8" s="681"/>
      <c r="DI8" s="681"/>
      <c r="DJ8" s="681"/>
      <c r="DK8" s="681"/>
      <c r="DL8" s="681"/>
      <c r="DM8" s="681"/>
      <c r="DN8" s="681"/>
      <c r="DO8" s="681"/>
      <c r="DP8" s="681"/>
      <c r="DQ8" s="681"/>
      <c r="DR8" s="681"/>
      <c r="DS8" s="681"/>
      <c r="DT8" s="681"/>
      <c r="DU8" s="681"/>
      <c r="DV8" s="681"/>
      <c r="DW8" s="681"/>
      <c r="DX8" s="681"/>
      <c r="DY8" s="681"/>
      <c r="DZ8" s="681"/>
      <c r="EA8" s="681"/>
      <c r="EB8" s="681"/>
      <c r="EC8" s="681"/>
      <c r="ED8" s="681"/>
      <c r="EE8" s="681"/>
      <c r="EF8" s="681"/>
      <c r="EG8" s="681"/>
      <c r="EH8" s="681"/>
      <c r="EI8" s="681"/>
      <c r="EJ8" s="681"/>
      <c r="EK8" s="681"/>
      <c r="EL8" s="681"/>
      <c r="EM8" s="681"/>
      <c r="EN8" s="681"/>
      <c r="EO8" s="681"/>
      <c r="EP8" s="681"/>
      <c r="EQ8" s="681"/>
      <c r="ER8" s="681"/>
      <c r="ES8" s="681"/>
      <c r="ET8" s="681"/>
      <c r="EU8" s="681"/>
      <c r="EV8" s="681"/>
      <c r="EW8" s="681"/>
      <c r="EX8" s="681"/>
      <c r="EY8" s="681"/>
      <c r="EZ8" s="681"/>
      <c r="FA8" s="681"/>
      <c r="FB8" s="681"/>
      <c r="FC8" s="681"/>
      <c r="FD8" s="681"/>
      <c r="FE8" s="681"/>
      <c r="FF8" s="681"/>
      <c r="FG8" s="681"/>
      <c r="FH8" s="681"/>
      <c r="FI8" s="681"/>
      <c r="FJ8" s="681"/>
      <c r="FK8" s="681"/>
      <c r="FL8" s="681"/>
      <c r="FM8" s="681"/>
      <c r="FN8" s="681"/>
      <c r="FO8" s="681"/>
      <c r="FP8" s="681"/>
      <c r="FQ8" s="681"/>
      <c r="FR8" s="681"/>
      <c r="FS8" s="681"/>
      <c r="FT8" s="681"/>
      <c r="FU8" s="681"/>
      <c r="FV8" s="681"/>
      <c r="FW8" s="681"/>
      <c r="FX8" s="681"/>
      <c r="FY8" s="681"/>
      <c r="FZ8" s="681"/>
      <c r="GA8" s="681"/>
      <c r="GB8" s="681"/>
      <c r="GC8" s="681"/>
      <c r="GD8" s="681"/>
      <c r="GE8" s="681"/>
      <c r="GF8" s="681"/>
      <c r="GG8" s="681"/>
      <c r="GH8" s="681"/>
      <c r="GI8" s="681"/>
      <c r="GJ8" s="681"/>
      <c r="GK8" s="681"/>
      <c r="GL8" s="681"/>
      <c r="GM8" s="681"/>
      <c r="GN8" s="681"/>
      <c r="GO8" s="681"/>
      <c r="GP8" s="681"/>
      <c r="GQ8" s="681"/>
      <c r="GR8" s="681"/>
      <c r="GS8" s="681"/>
      <c r="GT8" s="681"/>
      <c r="GU8" s="681"/>
      <c r="GV8" s="681"/>
      <c r="GW8" s="681"/>
      <c r="GX8" s="681"/>
      <c r="GY8" s="681"/>
      <c r="GZ8" s="681"/>
      <c r="HA8" s="681"/>
      <c r="HB8" s="681"/>
      <c r="HC8" s="681"/>
      <c r="HD8" s="681"/>
      <c r="HE8" s="681"/>
      <c r="HF8" s="681"/>
      <c r="HG8" s="681"/>
      <c r="HH8" s="681"/>
      <c r="HI8" s="681"/>
      <c r="HJ8" s="681"/>
      <c r="HK8" s="681"/>
      <c r="HL8" s="681"/>
      <c r="HM8" s="681"/>
      <c r="HN8" s="681"/>
      <c r="HO8" s="681"/>
      <c r="HP8" s="681"/>
      <c r="HQ8" s="681"/>
      <c r="HR8" s="681"/>
      <c r="HS8" s="681"/>
      <c r="HT8" s="681"/>
      <c r="HU8" s="681"/>
      <c r="HV8" s="681"/>
      <c r="HW8" s="681"/>
      <c r="HX8" s="681"/>
      <c r="HY8" s="681"/>
      <c r="HZ8" s="681"/>
      <c r="IA8" s="681"/>
      <c r="IB8" s="681"/>
      <c r="IC8" s="681"/>
      <c r="ID8" s="681"/>
      <c r="IE8" s="681"/>
      <c r="IF8" s="681"/>
      <c r="IG8" s="681"/>
      <c r="IH8" s="681"/>
      <c r="II8" s="681"/>
      <c r="IJ8" s="681"/>
      <c r="IK8" s="681"/>
      <c r="IL8" s="681"/>
      <c r="IM8" s="681"/>
      <c r="IN8" s="681"/>
      <c r="IO8" s="681"/>
      <c r="IP8" s="681"/>
      <c r="IQ8" s="681"/>
      <c r="IR8" s="681"/>
      <c r="IS8" s="681"/>
      <c r="IT8" s="681"/>
      <c r="IU8" s="681"/>
      <c r="IV8" s="681"/>
      <c r="IW8" s="681"/>
      <c r="IX8" s="681"/>
      <c r="IY8" s="681"/>
      <c r="IZ8" s="681"/>
      <c r="JA8" s="681"/>
      <c r="JB8" s="681"/>
      <c r="JC8" s="681"/>
      <c r="JD8" s="681"/>
      <c r="JE8" s="681"/>
      <c r="JF8" s="681"/>
      <c r="JG8" s="681"/>
      <c r="JH8" s="681"/>
      <c r="JI8" s="681"/>
      <c r="JJ8" s="681"/>
      <c r="JK8" s="681"/>
      <c r="JL8" s="681"/>
      <c r="JM8" s="681"/>
      <c r="JN8" s="681"/>
      <c r="JO8" s="681"/>
      <c r="JP8" s="681"/>
      <c r="JQ8" s="681"/>
      <c r="JR8" s="681"/>
      <c r="JS8" s="681"/>
      <c r="JT8" s="681"/>
      <c r="JU8" s="681"/>
      <c r="JV8" s="681"/>
      <c r="JW8" s="681"/>
      <c r="JX8" s="681"/>
      <c r="JY8" s="681"/>
      <c r="JZ8" s="681"/>
      <c r="KA8" s="681"/>
      <c r="KB8" s="681"/>
      <c r="KC8" s="681"/>
      <c r="KD8" s="681"/>
      <c r="KE8" s="681"/>
      <c r="KF8" s="681"/>
      <c r="KG8" s="681"/>
      <c r="KH8" s="681"/>
      <c r="KI8" s="681"/>
      <c r="KJ8" s="681"/>
      <c r="KK8" s="681"/>
      <c r="KL8" s="681"/>
      <c r="KM8" s="681"/>
      <c r="KN8" s="681"/>
      <c r="KO8" s="681"/>
      <c r="KP8" s="681"/>
      <c r="KQ8" s="681"/>
      <c r="KR8" s="681"/>
      <c r="KS8" s="681"/>
      <c r="KT8" s="681"/>
      <c r="KU8" s="681"/>
      <c r="KV8" s="681"/>
      <c r="KW8" s="681"/>
      <c r="KX8" s="681"/>
      <c r="KY8" s="681"/>
      <c r="KZ8" s="681"/>
      <c r="LA8" s="681"/>
      <c r="LB8" s="681"/>
      <c r="LC8" s="681"/>
      <c r="LD8" s="681"/>
      <c r="LE8" s="681"/>
      <c r="LF8" s="681"/>
      <c r="LG8" s="681"/>
      <c r="LH8" s="681"/>
      <c r="LI8" s="681"/>
      <c r="LJ8" s="681"/>
      <c r="LK8" s="681"/>
      <c r="LL8" s="681"/>
      <c r="LM8" s="681"/>
      <c r="LN8" s="681"/>
      <c r="LO8" s="681"/>
      <c r="LP8" s="681"/>
      <c r="LQ8" s="681"/>
      <c r="LR8" s="681"/>
      <c r="LS8" s="681"/>
      <c r="LT8" s="681"/>
      <c r="LU8" s="681"/>
      <c r="LV8" s="681"/>
      <c r="LW8" s="681"/>
      <c r="LX8" s="681"/>
      <c r="LY8" s="681"/>
      <c r="LZ8" s="681"/>
      <c r="MA8" s="681"/>
      <c r="MB8" s="681"/>
      <c r="MC8" s="681"/>
      <c r="MD8" s="681"/>
      <c r="ME8" s="681"/>
      <c r="MF8" s="681"/>
      <c r="MG8" s="681"/>
      <c r="MH8" s="681"/>
      <c r="MI8" s="681"/>
      <c r="MJ8" s="681"/>
      <c r="MK8" s="681"/>
      <c r="ML8" s="681"/>
      <c r="MM8" s="681"/>
      <c r="MN8" s="681"/>
      <c r="MO8" s="681"/>
      <c r="MP8" s="681"/>
      <c r="MQ8" s="681"/>
      <c r="MR8" s="681"/>
      <c r="MS8" s="681"/>
      <c r="MT8" s="681"/>
      <c r="MU8" s="681"/>
      <c r="MV8" s="681"/>
      <c r="MW8" s="681"/>
      <c r="MX8" s="681"/>
      <c r="MY8" s="681"/>
      <c r="MZ8" s="681"/>
      <c r="NA8" s="681"/>
      <c r="NB8" s="681"/>
      <c r="NC8" s="681"/>
      <c r="ND8" s="681"/>
      <c r="NE8" s="681"/>
      <c r="NF8" s="681"/>
      <c r="NG8" s="681"/>
      <c r="NH8" s="681"/>
      <c r="NI8" s="681"/>
      <c r="NJ8" s="681"/>
      <c r="NK8" s="681"/>
      <c r="NL8" s="681"/>
      <c r="NM8" s="681"/>
      <c r="NN8" s="681"/>
      <c r="NO8" s="681"/>
      <c r="NP8" s="681"/>
      <c r="NQ8" s="681"/>
      <c r="NR8" s="681"/>
      <c r="NS8" s="681"/>
      <c r="NT8" s="681"/>
      <c r="NU8" s="681"/>
      <c r="NV8" s="681"/>
      <c r="NW8" s="681"/>
      <c r="NX8" s="681"/>
      <c r="NY8" s="681"/>
      <c r="NZ8" s="681"/>
      <c r="OA8" s="681"/>
      <c r="OB8" s="681"/>
      <c r="OC8" s="681"/>
      <c r="OD8" s="681"/>
      <c r="OE8" s="681"/>
      <c r="OF8" s="681"/>
      <c r="OG8" s="681"/>
      <c r="OH8" s="681"/>
      <c r="OI8" s="681"/>
      <c r="OJ8" s="681"/>
      <c r="OK8" s="681"/>
      <c r="OL8" s="681"/>
      <c r="OM8" s="681"/>
      <c r="ON8" s="681"/>
      <c r="OO8" s="681"/>
      <c r="OP8" s="681"/>
      <c r="OQ8" s="681"/>
      <c r="OR8" s="681"/>
      <c r="OS8" s="681"/>
      <c r="OT8" s="681"/>
      <c r="OU8" s="681"/>
      <c r="OV8" s="681"/>
      <c r="OW8" s="681"/>
      <c r="OX8" s="681"/>
      <c r="OY8" s="681"/>
      <c r="OZ8" s="681"/>
      <c r="PA8" s="681"/>
      <c r="PB8" s="681"/>
      <c r="PC8" s="681"/>
      <c r="PD8" s="681"/>
      <c r="PE8" s="681"/>
      <c r="PF8" s="681"/>
      <c r="PG8" s="681"/>
      <c r="PH8" s="681"/>
      <c r="PI8" s="681"/>
      <c r="PJ8" s="681"/>
      <c r="PK8" s="681"/>
      <c r="PL8" s="681"/>
      <c r="PM8" s="681"/>
      <c r="PN8" s="681"/>
      <c r="PO8" s="681"/>
      <c r="PP8" s="681"/>
      <c r="PQ8" s="681"/>
      <c r="PR8" s="681"/>
      <c r="PS8" s="681"/>
      <c r="PT8" s="681"/>
      <c r="PU8" s="681"/>
      <c r="PV8" s="681"/>
      <c r="PW8" s="681"/>
      <c r="PX8" s="681"/>
      <c r="PY8" s="681"/>
      <c r="PZ8" s="681"/>
      <c r="QA8" s="681"/>
      <c r="QB8" s="681"/>
      <c r="QC8" s="681"/>
      <c r="QD8" s="681"/>
      <c r="QE8" s="681"/>
      <c r="QF8" s="681"/>
      <c r="QG8" s="681"/>
      <c r="QH8" s="681"/>
      <c r="QI8" s="681"/>
      <c r="QJ8" s="681"/>
      <c r="QK8" s="681"/>
      <c r="QL8" s="681"/>
      <c r="QM8" s="681"/>
      <c r="QN8" s="681"/>
      <c r="QO8" s="681"/>
      <c r="QP8" s="681"/>
      <c r="QQ8" s="681"/>
      <c r="QR8" s="681"/>
      <c r="QS8" s="681"/>
      <c r="QT8" s="681"/>
      <c r="QU8" s="681"/>
      <c r="QV8" s="681"/>
      <c r="QW8" s="681"/>
      <c r="QX8" s="681"/>
      <c r="QY8" s="681"/>
      <c r="QZ8" s="681"/>
      <c r="RA8" s="681"/>
      <c r="RB8" s="681"/>
      <c r="RC8" s="681"/>
      <c r="RD8" s="681"/>
      <c r="RE8" s="681"/>
      <c r="RF8" s="681"/>
      <c r="RG8" s="681"/>
      <c r="RH8" s="681"/>
      <c r="RI8" s="681"/>
      <c r="RJ8" s="681"/>
      <c r="RK8" s="681"/>
      <c r="RL8" s="681"/>
      <c r="RM8" s="681"/>
      <c r="RN8" s="681"/>
      <c r="RO8" s="681"/>
      <c r="RP8" s="681"/>
      <c r="RQ8" s="681"/>
      <c r="RR8" s="681"/>
      <c r="RS8" s="681"/>
      <c r="RT8" s="681"/>
      <c r="RU8" s="681"/>
      <c r="RV8" s="681"/>
      <c r="RW8" s="681"/>
      <c r="RX8" s="681"/>
      <c r="RY8" s="681"/>
      <c r="RZ8" s="681"/>
      <c r="SA8" s="681"/>
      <c r="SB8" s="681"/>
      <c r="SC8" s="681"/>
      <c r="SD8" s="681"/>
      <c r="SE8" s="681"/>
      <c r="SF8" s="681"/>
      <c r="SG8" s="681"/>
      <c r="SH8" s="681"/>
      <c r="SI8" s="681"/>
      <c r="SJ8" s="681"/>
      <c r="SK8" s="681"/>
      <c r="SL8" s="681"/>
      <c r="SM8" s="681"/>
      <c r="SN8" s="681"/>
      <c r="SO8" s="681"/>
      <c r="SP8" s="681"/>
      <c r="SQ8" s="681"/>
      <c r="SR8" s="681"/>
      <c r="SS8" s="681"/>
      <c r="ST8" s="681"/>
      <c r="SU8" s="681"/>
      <c r="SV8" s="681"/>
      <c r="SW8" s="681"/>
      <c r="SX8" s="681"/>
      <c r="SY8" s="681"/>
      <c r="SZ8" s="681"/>
      <c r="TA8" s="681"/>
      <c r="TB8" s="681"/>
      <c r="TC8" s="681"/>
      <c r="TD8" s="681"/>
      <c r="TE8" s="681"/>
      <c r="TF8" s="681"/>
      <c r="TG8" s="681"/>
      <c r="TH8" s="681"/>
      <c r="TI8" s="681"/>
      <c r="TJ8" s="681"/>
      <c r="TK8" s="681"/>
      <c r="TL8" s="681"/>
      <c r="TM8" s="681"/>
      <c r="TN8" s="681"/>
      <c r="TO8" s="681"/>
      <c r="TP8" s="681"/>
      <c r="TQ8" s="681"/>
      <c r="TR8" s="681"/>
      <c r="TS8" s="681"/>
      <c r="TT8" s="681"/>
      <c r="TU8" s="681"/>
      <c r="TV8" s="681"/>
      <c r="TW8" s="681"/>
      <c r="TX8" s="681"/>
      <c r="TY8" s="681"/>
      <c r="TZ8" s="681"/>
      <c r="UA8" s="681"/>
      <c r="UB8" s="681"/>
      <c r="UC8" s="681"/>
      <c r="UD8" s="681"/>
      <c r="UE8" s="681"/>
      <c r="UF8" s="681"/>
      <c r="UG8" s="681"/>
      <c r="UH8" s="681"/>
      <c r="UI8" s="681"/>
      <c r="UJ8" s="681"/>
      <c r="UK8" s="681"/>
      <c r="UL8" s="681"/>
      <c r="UM8" s="681"/>
      <c r="UN8" s="681"/>
      <c r="UO8" s="681"/>
      <c r="UP8" s="681"/>
      <c r="UQ8" s="681"/>
      <c r="UR8" s="681"/>
      <c r="US8" s="681"/>
      <c r="UT8" s="681"/>
      <c r="UU8" s="681"/>
      <c r="UV8" s="681"/>
      <c r="UW8" s="681"/>
      <c r="UX8" s="681"/>
      <c r="UY8" s="681"/>
      <c r="UZ8" s="681"/>
      <c r="VA8" s="681"/>
      <c r="VB8" s="681"/>
      <c r="VC8" s="681"/>
      <c r="VD8" s="681"/>
      <c r="VE8" s="681"/>
      <c r="VF8" s="681"/>
      <c r="VG8" s="681"/>
      <c r="VH8" s="681"/>
      <c r="VI8" s="681"/>
      <c r="VJ8" s="681"/>
      <c r="VK8" s="681"/>
      <c r="VL8" s="681"/>
      <c r="VM8" s="681"/>
      <c r="VN8" s="681"/>
      <c r="VO8" s="681"/>
      <c r="VP8" s="681"/>
      <c r="VQ8" s="681"/>
      <c r="VR8" s="681"/>
      <c r="VS8" s="681"/>
      <c r="VT8" s="681"/>
      <c r="VU8" s="681"/>
      <c r="VV8" s="681"/>
      <c r="VW8" s="681"/>
      <c r="VX8" s="681"/>
      <c r="VY8" s="681"/>
      <c r="VZ8" s="681"/>
      <c r="WA8" s="681"/>
      <c r="WB8" s="681"/>
      <c r="WC8" s="681"/>
      <c r="WD8" s="681"/>
      <c r="WE8" s="681"/>
      <c r="WF8" s="681"/>
      <c r="WG8" s="681"/>
      <c r="WH8" s="681"/>
      <c r="WI8" s="681"/>
      <c r="WJ8" s="681"/>
      <c r="WK8" s="681"/>
      <c r="WL8" s="681"/>
      <c r="WM8" s="681"/>
      <c r="WN8" s="681"/>
      <c r="WO8" s="681"/>
      <c r="WP8" s="681"/>
      <c r="WQ8" s="681"/>
      <c r="WR8" s="681"/>
      <c r="WS8" s="681"/>
      <c r="WT8" s="681"/>
      <c r="WU8" s="681"/>
      <c r="WV8" s="681"/>
      <c r="WW8" s="681"/>
      <c r="WX8" s="681"/>
      <c r="WY8" s="681"/>
      <c r="WZ8" s="681"/>
      <c r="XA8" s="681"/>
      <c r="XB8" s="681"/>
      <c r="XC8" s="681"/>
      <c r="XD8" s="681"/>
      <c r="XE8" s="681"/>
      <c r="XF8" s="681"/>
      <c r="XG8" s="681"/>
      <c r="XH8" s="681"/>
      <c r="XI8" s="681"/>
      <c r="XJ8" s="681"/>
      <c r="XK8" s="681"/>
      <c r="XL8" s="681"/>
      <c r="XM8" s="681"/>
      <c r="XN8" s="681"/>
      <c r="XO8" s="681"/>
      <c r="XP8" s="681"/>
      <c r="XQ8" s="681"/>
      <c r="XR8" s="681"/>
      <c r="XS8" s="681"/>
      <c r="XT8" s="681"/>
      <c r="XU8" s="681"/>
      <c r="XV8" s="681"/>
      <c r="XW8" s="681"/>
      <c r="XX8" s="681"/>
      <c r="XY8" s="681"/>
      <c r="XZ8" s="681"/>
      <c r="YA8" s="681"/>
      <c r="YB8" s="681"/>
      <c r="YC8" s="681"/>
      <c r="YD8" s="681"/>
      <c r="YE8" s="681"/>
      <c r="YF8" s="681"/>
      <c r="YG8" s="681"/>
      <c r="YH8" s="681"/>
      <c r="YI8" s="681"/>
      <c r="YJ8" s="681"/>
      <c r="YK8" s="681"/>
      <c r="YL8" s="681"/>
      <c r="YM8" s="681"/>
      <c r="YN8" s="681"/>
      <c r="YO8" s="681"/>
      <c r="YP8" s="681"/>
      <c r="YQ8" s="681"/>
      <c r="YR8" s="681"/>
      <c r="YS8" s="681"/>
      <c r="YT8" s="681"/>
      <c r="YU8" s="681"/>
      <c r="YV8" s="681"/>
      <c r="YW8" s="681"/>
      <c r="YX8" s="681"/>
      <c r="YY8" s="681"/>
      <c r="YZ8" s="681"/>
      <c r="ZA8" s="681"/>
      <c r="ZB8" s="681"/>
      <c r="ZC8" s="681"/>
      <c r="ZD8" s="681"/>
      <c r="ZE8" s="681"/>
      <c r="ZF8" s="681"/>
      <c r="ZG8" s="681"/>
      <c r="ZH8" s="681"/>
      <c r="ZI8" s="681"/>
      <c r="ZJ8" s="681"/>
      <c r="ZK8" s="681"/>
      <c r="ZL8" s="681"/>
      <c r="ZM8" s="681"/>
      <c r="ZN8" s="681"/>
      <c r="ZO8" s="681"/>
      <c r="ZP8" s="681"/>
      <c r="ZQ8" s="681"/>
      <c r="ZR8" s="681"/>
      <c r="ZS8" s="681"/>
      <c r="ZT8" s="681"/>
      <c r="ZU8" s="681"/>
      <c r="ZV8" s="681"/>
      <c r="ZW8" s="681"/>
      <c r="ZX8" s="681"/>
      <c r="ZY8" s="681"/>
      <c r="ZZ8" s="681"/>
      <c r="AAA8" s="681"/>
      <c r="AAB8" s="681"/>
      <c r="AAC8" s="681"/>
      <c r="AAD8" s="681"/>
      <c r="AAE8" s="681"/>
      <c r="AAF8" s="681"/>
      <c r="AAG8" s="681"/>
      <c r="AAH8" s="681"/>
      <c r="AAI8" s="681"/>
      <c r="AAJ8" s="681"/>
      <c r="AAK8" s="681"/>
      <c r="AAL8" s="681"/>
      <c r="AAM8" s="681"/>
      <c r="AAN8" s="681"/>
      <c r="AAO8" s="681"/>
      <c r="AAP8" s="681"/>
      <c r="AAQ8" s="681"/>
      <c r="AAR8" s="681"/>
      <c r="AAS8" s="681"/>
      <c r="AAT8" s="681"/>
      <c r="AAU8" s="681"/>
      <c r="AAV8" s="681"/>
      <c r="AAW8" s="681"/>
      <c r="AAX8" s="681"/>
      <c r="AAY8" s="681"/>
      <c r="AAZ8" s="681"/>
      <c r="ABA8" s="681"/>
      <c r="ABB8" s="681"/>
      <c r="ABC8" s="681"/>
      <c r="ABD8" s="681"/>
      <c r="ABE8" s="681"/>
      <c r="ABF8" s="681"/>
      <c r="ABG8" s="681"/>
      <c r="ABH8" s="681"/>
      <c r="ABI8" s="681"/>
      <c r="ABJ8" s="681"/>
      <c r="ABK8" s="681"/>
      <c r="ABL8" s="681"/>
      <c r="ABM8" s="681"/>
      <c r="ABN8" s="681"/>
      <c r="ABO8" s="681"/>
      <c r="ABP8" s="681"/>
      <c r="ABQ8" s="681"/>
      <c r="ABR8" s="681"/>
      <c r="ABS8" s="681"/>
      <c r="ABT8" s="681"/>
      <c r="ABU8" s="681"/>
      <c r="ABV8" s="681"/>
      <c r="ABW8" s="681"/>
      <c r="ABX8" s="681"/>
      <c r="ABY8" s="681"/>
      <c r="ABZ8" s="681"/>
      <c r="ACA8" s="681"/>
      <c r="ACB8" s="681"/>
      <c r="ACC8" s="681"/>
      <c r="ACD8" s="681"/>
      <c r="ACE8" s="681"/>
      <c r="ACF8" s="681"/>
      <c r="ACG8" s="681"/>
      <c r="ACH8" s="681"/>
      <c r="ACI8" s="681"/>
      <c r="ACJ8" s="681"/>
      <c r="ACK8" s="681"/>
      <c r="ACL8" s="681"/>
      <c r="ACM8" s="681"/>
      <c r="ACN8" s="681"/>
      <c r="ACO8" s="681"/>
      <c r="ACP8" s="681"/>
      <c r="ACQ8" s="681"/>
      <c r="ACR8" s="681"/>
      <c r="ACS8" s="681"/>
      <c r="ACT8" s="681"/>
      <c r="ACU8" s="681"/>
      <c r="ACV8" s="681"/>
      <c r="ACW8" s="681"/>
      <c r="ACX8" s="681"/>
      <c r="ACY8" s="681"/>
      <c r="ACZ8" s="681"/>
      <c r="ADA8" s="681"/>
      <c r="ADB8" s="681"/>
      <c r="ADC8" s="681"/>
      <c r="ADD8" s="681"/>
      <c r="ADE8" s="681"/>
      <c r="ADF8" s="681"/>
      <c r="ADG8" s="681"/>
      <c r="ADH8" s="681"/>
      <c r="ADI8" s="681"/>
      <c r="ADJ8" s="681"/>
      <c r="ADK8" s="681"/>
      <c r="ADL8" s="681"/>
      <c r="ADM8" s="681"/>
      <c r="ADN8" s="681"/>
      <c r="ADO8" s="681"/>
      <c r="ADP8" s="681"/>
      <c r="ADQ8" s="681"/>
      <c r="ADR8" s="681"/>
      <c r="ADS8" s="681"/>
      <c r="ADT8" s="681"/>
      <c r="ADU8" s="681"/>
      <c r="ADV8" s="681"/>
      <c r="ADW8" s="681"/>
      <c r="ADX8" s="681"/>
      <c r="ADY8" s="681"/>
      <c r="ADZ8" s="681"/>
      <c r="AEA8" s="681"/>
      <c r="AEB8" s="681"/>
      <c r="AEC8" s="681"/>
      <c r="AED8" s="681"/>
      <c r="AEE8" s="681"/>
      <c r="AEF8" s="681"/>
      <c r="AEG8" s="681"/>
      <c r="AEH8" s="681"/>
      <c r="AEI8" s="681"/>
      <c r="AEJ8" s="681"/>
      <c r="AEK8" s="681"/>
      <c r="AEL8" s="681"/>
      <c r="AEM8" s="681"/>
      <c r="AEN8" s="681"/>
      <c r="AEO8" s="681"/>
      <c r="AEP8" s="681"/>
      <c r="AEQ8" s="681"/>
      <c r="AER8" s="681"/>
      <c r="AES8" s="681"/>
      <c r="AET8" s="681"/>
      <c r="AEU8" s="681"/>
      <c r="AEV8" s="681"/>
      <c r="AEW8" s="681"/>
      <c r="AEX8" s="681"/>
      <c r="AEY8" s="681"/>
      <c r="AEZ8" s="681"/>
      <c r="AFA8" s="681"/>
      <c r="AFB8" s="681"/>
      <c r="AFC8" s="681"/>
      <c r="AFD8" s="681"/>
      <c r="AFE8" s="681"/>
      <c r="AFF8" s="681"/>
      <c r="AFG8" s="681"/>
      <c r="AFH8" s="681"/>
      <c r="AFI8" s="681"/>
      <c r="AFJ8" s="681"/>
      <c r="AFK8" s="681"/>
      <c r="AFL8" s="681"/>
      <c r="AFM8" s="681"/>
      <c r="AFN8" s="681"/>
      <c r="AFO8" s="681"/>
      <c r="AFP8" s="681"/>
      <c r="AFQ8" s="681"/>
      <c r="AFR8" s="681"/>
      <c r="AFS8" s="681"/>
      <c r="AFT8" s="681"/>
      <c r="AFU8" s="681"/>
      <c r="AFV8" s="681"/>
      <c r="AFW8" s="681"/>
      <c r="AFX8" s="681"/>
      <c r="AFY8" s="681"/>
      <c r="AFZ8" s="681"/>
      <c r="AGA8" s="681"/>
      <c r="AGB8" s="681"/>
      <c r="AGC8" s="681"/>
      <c r="AGD8" s="681"/>
      <c r="AGE8" s="681"/>
      <c r="AGF8" s="681"/>
      <c r="AGG8" s="681"/>
      <c r="AGH8" s="681"/>
      <c r="AGI8" s="681"/>
      <c r="AGJ8" s="681"/>
      <c r="AGK8" s="681"/>
      <c r="AGL8" s="681"/>
      <c r="AGM8" s="681"/>
      <c r="AGN8" s="681"/>
      <c r="AGO8" s="681"/>
      <c r="AGP8" s="681"/>
      <c r="AGQ8" s="681"/>
      <c r="AGR8" s="681"/>
      <c r="AGS8" s="681"/>
      <c r="AGT8" s="681"/>
      <c r="AGU8" s="681"/>
      <c r="AGV8" s="681"/>
      <c r="AGW8" s="681"/>
      <c r="AGX8" s="681"/>
      <c r="AGY8" s="681"/>
      <c r="AGZ8" s="681"/>
      <c r="AHA8" s="681"/>
      <c r="AHB8" s="681"/>
      <c r="AHC8" s="681"/>
      <c r="AHD8" s="681"/>
      <c r="AHE8" s="681"/>
      <c r="AHF8" s="681"/>
      <c r="AHG8" s="681"/>
      <c r="AHH8" s="681"/>
      <c r="AHI8" s="681"/>
      <c r="AHJ8" s="681"/>
      <c r="AHK8" s="681"/>
      <c r="AHL8" s="681"/>
      <c r="AHM8" s="681"/>
      <c r="AHN8" s="681"/>
      <c r="AHO8" s="681"/>
      <c r="AHP8" s="681"/>
      <c r="AHQ8" s="681"/>
      <c r="AHR8" s="681"/>
      <c r="AHS8" s="681"/>
      <c r="AHT8" s="681"/>
      <c r="AHU8" s="681"/>
      <c r="AHV8" s="681"/>
      <c r="AHW8" s="681"/>
      <c r="AHX8" s="681"/>
      <c r="AHY8" s="681"/>
      <c r="AHZ8" s="681"/>
      <c r="AIA8" s="681"/>
      <c r="AIB8" s="681"/>
      <c r="AIC8" s="681"/>
      <c r="AID8" s="681"/>
      <c r="AIE8" s="681"/>
      <c r="AIF8" s="681"/>
      <c r="AIG8" s="681"/>
      <c r="AIH8" s="681"/>
      <c r="AII8" s="681"/>
      <c r="AIJ8" s="681"/>
      <c r="AIK8" s="681"/>
      <c r="AIL8" s="681"/>
      <c r="AIM8" s="681"/>
      <c r="AIN8" s="681"/>
      <c r="AIO8" s="681"/>
      <c r="AIP8" s="681"/>
      <c r="AIQ8" s="681"/>
      <c r="AIR8" s="681"/>
      <c r="AIS8" s="681"/>
      <c r="AIT8" s="681"/>
      <c r="AIU8" s="681"/>
      <c r="AIV8" s="681"/>
      <c r="AIW8" s="681"/>
      <c r="AIX8" s="681"/>
      <c r="AIY8" s="681"/>
      <c r="AIZ8" s="681"/>
      <c r="AJA8" s="681"/>
      <c r="AJB8" s="681"/>
      <c r="AJC8" s="681"/>
      <c r="AJD8" s="681"/>
      <c r="AJE8" s="681"/>
      <c r="AJF8" s="681"/>
      <c r="AJG8" s="681"/>
      <c r="AJH8" s="681"/>
      <c r="AJI8" s="681"/>
      <c r="AJJ8" s="681"/>
      <c r="AJK8" s="681"/>
      <c r="AJL8" s="681"/>
      <c r="AJM8" s="681"/>
      <c r="AJN8" s="681"/>
      <c r="AJO8" s="681"/>
      <c r="AJP8" s="681"/>
      <c r="AJQ8" s="681"/>
      <c r="AJR8" s="681"/>
      <c r="AJS8" s="681"/>
      <c r="AJT8" s="681"/>
      <c r="AJU8" s="681"/>
      <c r="AJV8" s="681"/>
      <c r="AJW8" s="681"/>
      <c r="AJX8" s="681"/>
      <c r="AJY8" s="681"/>
      <c r="AJZ8" s="681"/>
      <c r="AKA8" s="681"/>
      <c r="AKB8" s="681"/>
      <c r="AKC8" s="681"/>
      <c r="AKD8" s="681"/>
      <c r="AKE8" s="681"/>
      <c r="AKF8" s="681"/>
      <c r="AKG8" s="681"/>
      <c r="AKH8" s="681"/>
      <c r="AKI8" s="681"/>
      <c r="AKJ8" s="681"/>
      <c r="AKK8" s="681"/>
      <c r="AKL8" s="681"/>
      <c r="AKM8" s="681"/>
      <c r="AKN8" s="681"/>
      <c r="AKO8" s="681"/>
      <c r="AKP8" s="681"/>
      <c r="AKQ8" s="681"/>
      <c r="AKR8" s="681"/>
      <c r="AKS8" s="681"/>
      <c r="AKT8" s="681"/>
      <c r="AKU8" s="681"/>
      <c r="AKV8" s="681"/>
      <c r="AKW8" s="681"/>
      <c r="AKX8" s="681"/>
      <c r="AKY8" s="681"/>
      <c r="AKZ8" s="681"/>
      <c r="ALA8" s="681"/>
      <c r="ALB8" s="681"/>
      <c r="ALC8" s="681"/>
      <c r="ALD8" s="681"/>
      <c r="ALE8" s="681"/>
      <c r="ALF8" s="681"/>
      <c r="ALG8" s="681"/>
      <c r="ALH8" s="681"/>
      <c r="ALI8" s="681"/>
      <c r="ALJ8" s="681"/>
      <c r="ALK8" s="681"/>
      <c r="ALL8" s="681"/>
      <c r="ALM8" s="681"/>
      <c r="ALN8" s="681"/>
      <c r="ALO8" s="681"/>
      <c r="ALP8" s="681"/>
      <c r="ALQ8" s="681"/>
      <c r="ALR8" s="681"/>
      <c r="ALS8" s="681"/>
      <c r="ALT8" s="681"/>
      <c r="ALU8" s="681"/>
      <c r="ALV8" s="681"/>
      <c r="ALW8" s="681"/>
      <c r="ALX8" s="681"/>
      <c r="ALY8" s="681"/>
      <c r="ALZ8" s="681"/>
      <c r="AMA8" s="681"/>
      <c r="AMB8" s="681"/>
      <c r="AMC8" s="681"/>
      <c r="AMD8" s="681"/>
      <c r="AME8" s="681"/>
      <c r="AMF8" s="681"/>
      <c r="AMG8" s="681"/>
      <c r="AMH8" s="681"/>
      <c r="AMI8" s="681"/>
      <c r="AMJ8" s="681"/>
      <c r="AMK8" s="681"/>
      <c r="AML8" s="681"/>
      <c r="AMM8" s="681"/>
      <c r="AMN8" s="681"/>
      <c r="AMO8" s="681"/>
      <c r="AMP8" s="681"/>
      <c r="AMQ8" s="681"/>
      <c r="AMR8" s="681"/>
      <c r="AMS8" s="681"/>
      <c r="AMT8" s="681"/>
      <c r="AMU8" s="681"/>
      <c r="AMV8" s="681"/>
      <c r="AMW8" s="681"/>
      <c r="AMX8" s="681"/>
      <c r="AMY8" s="681"/>
      <c r="AMZ8" s="681"/>
      <c r="ANA8" s="681"/>
      <c r="ANB8" s="681"/>
      <c r="ANC8" s="681"/>
      <c r="AND8" s="681"/>
      <c r="ANE8" s="681"/>
      <c r="ANF8" s="681"/>
      <c r="ANG8" s="681"/>
      <c r="ANH8" s="681"/>
      <c r="ANI8" s="681"/>
      <c r="ANJ8" s="681"/>
      <c r="ANK8" s="681"/>
      <c r="ANL8" s="681"/>
      <c r="ANM8" s="681"/>
      <c r="ANN8" s="681"/>
      <c r="ANO8" s="681"/>
      <c r="ANP8" s="681"/>
      <c r="ANQ8" s="681"/>
      <c r="ANR8" s="681"/>
      <c r="ANS8" s="681"/>
      <c r="ANT8" s="681"/>
      <c r="ANU8" s="681"/>
      <c r="ANV8" s="681"/>
      <c r="ANW8" s="681"/>
      <c r="ANX8" s="681"/>
      <c r="ANY8" s="681"/>
      <c r="ANZ8" s="681"/>
      <c r="AOA8" s="681"/>
      <c r="AOB8" s="681"/>
      <c r="AOC8" s="681"/>
      <c r="AOD8" s="681"/>
      <c r="AOE8" s="681"/>
      <c r="AOF8" s="681"/>
      <c r="AOG8" s="681"/>
      <c r="AOH8" s="681"/>
      <c r="AOI8" s="681"/>
      <c r="AOJ8" s="681"/>
      <c r="AOK8" s="681"/>
      <c r="AOL8" s="681"/>
      <c r="AOM8" s="681"/>
      <c r="AON8" s="681"/>
      <c r="AOO8" s="681"/>
      <c r="AOP8" s="681"/>
      <c r="AOQ8" s="681"/>
      <c r="AOR8" s="681"/>
      <c r="AOS8" s="681"/>
      <c r="AOT8" s="681"/>
      <c r="AOU8" s="681"/>
      <c r="AOV8" s="681"/>
      <c r="AOW8" s="681"/>
      <c r="AOX8" s="681"/>
      <c r="AOY8" s="681"/>
      <c r="AOZ8" s="681"/>
      <c r="APA8" s="681"/>
      <c r="APB8" s="681"/>
      <c r="APC8" s="681"/>
      <c r="APD8" s="681"/>
      <c r="APE8" s="681"/>
      <c r="APF8" s="681"/>
      <c r="APG8" s="681"/>
      <c r="APH8" s="681"/>
      <c r="API8" s="681"/>
      <c r="APJ8" s="681"/>
      <c r="APK8" s="681"/>
      <c r="APL8" s="681"/>
      <c r="APM8" s="681"/>
      <c r="APN8" s="681"/>
      <c r="APO8" s="681"/>
      <c r="APP8" s="681"/>
      <c r="APQ8" s="681"/>
      <c r="APR8" s="681"/>
      <c r="APS8" s="681"/>
      <c r="APT8" s="681"/>
      <c r="APU8" s="681"/>
      <c r="APV8" s="681"/>
      <c r="APW8" s="681"/>
      <c r="APX8" s="681"/>
      <c r="APY8" s="681"/>
      <c r="APZ8" s="681"/>
      <c r="AQA8" s="681"/>
      <c r="AQB8" s="681"/>
      <c r="AQC8" s="681"/>
      <c r="AQD8" s="681"/>
      <c r="AQE8" s="681"/>
      <c r="AQF8" s="681"/>
      <c r="AQG8" s="681"/>
      <c r="AQH8" s="681"/>
      <c r="AQI8" s="681"/>
      <c r="AQJ8" s="681"/>
      <c r="AQK8" s="681"/>
      <c r="AQL8" s="681"/>
      <c r="AQM8" s="681"/>
      <c r="AQN8" s="681"/>
      <c r="AQO8" s="681"/>
      <c r="AQP8" s="681"/>
      <c r="AQQ8" s="681"/>
      <c r="AQR8" s="681"/>
      <c r="AQS8" s="681"/>
      <c r="AQT8" s="681"/>
      <c r="AQU8" s="681"/>
      <c r="AQV8" s="681"/>
      <c r="AQW8" s="681"/>
      <c r="AQX8" s="681"/>
      <c r="AQY8" s="681"/>
      <c r="AQZ8" s="681"/>
      <c r="ARA8" s="681"/>
      <c r="ARB8" s="681"/>
      <c r="ARC8" s="681"/>
      <c r="ARD8" s="681"/>
      <c r="ARE8" s="681"/>
      <c r="ARF8" s="681"/>
      <c r="ARG8" s="681"/>
      <c r="ARH8" s="681"/>
      <c r="ARI8" s="681"/>
      <c r="ARJ8" s="681"/>
      <c r="ARK8" s="681"/>
      <c r="ARL8" s="681"/>
      <c r="ARM8" s="681"/>
      <c r="ARN8" s="681"/>
      <c r="ARO8" s="681"/>
      <c r="ARP8" s="681"/>
      <c r="ARQ8" s="681"/>
      <c r="ARR8" s="681"/>
      <c r="ARS8" s="681"/>
      <c r="ART8" s="681"/>
      <c r="ARU8" s="681"/>
      <c r="ARV8" s="681"/>
      <c r="ARW8" s="681"/>
      <c r="ARX8" s="681"/>
      <c r="ARY8" s="681"/>
      <c r="ARZ8" s="681"/>
      <c r="ASA8" s="681"/>
      <c r="ASB8" s="681"/>
      <c r="ASC8" s="681"/>
      <c r="ASD8" s="681"/>
      <c r="ASE8" s="681"/>
      <c r="ASF8" s="681"/>
      <c r="ASG8" s="681"/>
      <c r="ASH8" s="681"/>
      <c r="ASI8" s="681"/>
      <c r="ASJ8" s="681"/>
      <c r="ASK8" s="681"/>
      <c r="ASL8" s="681"/>
      <c r="ASM8" s="681"/>
      <c r="ASN8" s="681"/>
      <c r="ASO8" s="681"/>
      <c r="ASP8" s="681"/>
      <c r="ASQ8" s="681"/>
      <c r="ASR8" s="681"/>
      <c r="ASS8" s="681"/>
      <c r="AST8" s="681"/>
      <c r="ASU8" s="681"/>
      <c r="ASV8" s="681"/>
      <c r="ASW8" s="681"/>
      <c r="ASX8" s="681"/>
      <c r="ASY8" s="681"/>
      <c r="ASZ8" s="681"/>
      <c r="ATA8" s="681"/>
      <c r="ATB8" s="681"/>
      <c r="ATC8" s="681"/>
      <c r="ATD8" s="681"/>
      <c r="ATE8" s="681"/>
      <c r="ATF8" s="681"/>
      <c r="ATG8" s="681"/>
      <c r="ATH8" s="681"/>
      <c r="ATI8" s="681"/>
      <c r="ATJ8" s="681"/>
      <c r="ATK8" s="681"/>
      <c r="ATL8" s="681"/>
      <c r="ATM8" s="681"/>
      <c r="ATN8" s="681"/>
      <c r="ATO8" s="681"/>
    </row>
    <row r="9" spans="1:1211" ht="18" customHeight="1" thickBot="1">
      <c r="A9" s="699"/>
      <c r="B9" s="1775"/>
      <c r="C9" s="1776"/>
      <c r="D9" s="1885"/>
      <c r="E9" s="1981"/>
      <c r="F9" s="1981"/>
      <c r="G9" s="1777"/>
      <c r="H9" s="1777"/>
      <c r="I9" s="1777"/>
      <c r="J9" s="1778"/>
      <c r="K9" s="684"/>
      <c r="M9" s="709"/>
      <c r="N9" s="362" t="str">
        <f t="shared" ref="N9:N10" si="0">IF(O9&lt;&gt;"",K9*L9*M9,"")</f>
        <v/>
      </c>
      <c r="O9" s="1763" t="str">
        <f t="shared" ref="O9:O10" si="1">IF(D9&lt;&gt;"",IF(VLOOKUP(D9,base_datos,7,FALSE)&lt;&gt;"",VLOOKUP(D9,base_datos,7,FALSE),""),"")</f>
        <v/>
      </c>
      <c r="P9" s="1764" t="str">
        <f t="shared" ref="P9:P10" si="2">IF(O9&lt;&gt;"",VLOOKUP(D9,base_datos,6,FALSE),"")</f>
        <v/>
      </c>
      <c r="Q9" s="120" t="str">
        <f t="shared" ref="Q9:Q10" si="3">IF(O9&lt;&gt;"",D9,"")</f>
        <v/>
      </c>
      <c r="R9" s="1765"/>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c r="EC9" s="20"/>
      <c r="ED9" s="20"/>
      <c r="EE9" s="20"/>
      <c r="EF9" s="20"/>
      <c r="EG9" s="20"/>
      <c r="EH9" s="20"/>
      <c r="EI9" s="20"/>
      <c r="EJ9" s="20"/>
      <c r="EK9" s="20"/>
      <c r="EL9" s="20"/>
      <c r="EM9" s="20"/>
      <c r="EN9" s="20"/>
      <c r="EO9" s="20"/>
      <c r="EP9" s="20"/>
      <c r="EQ9" s="20"/>
      <c r="ER9" s="20"/>
      <c r="ES9" s="20"/>
      <c r="ET9" s="20"/>
      <c r="EU9" s="20"/>
      <c r="EV9" s="20"/>
      <c r="EW9" s="20"/>
      <c r="EX9" s="20"/>
      <c r="EY9" s="20"/>
      <c r="EZ9" s="20"/>
      <c r="FA9" s="20"/>
      <c r="FB9" s="20"/>
      <c r="FC9" s="20"/>
      <c r="FD9" s="20"/>
      <c r="FE9" s="20"/>
      <c r="FF9" s="20"/>
      <c r="FG9" s="20"/>
      <c r="FH9" s="20"/>
      <c r="FI9" s="20"/>
      <c r="FJ9" s="20"/>
      <c r="FK9" s="20"/>
      <c r="FL9" s="20"/>
      <c r="FM9" s="20"/>
      <c r="FN9" s="20"/>
      <c r="FO9" s="20"/>
      <c r="FP9" s="20"/>
      <c r="FQ9" s="20"/>
      <c r="FR9" s="20"/>
      <c r="FS9" s="20"/>
      <c r="FT9" s="20"/>
      <c r="FU9" s="20"/>
      <c r="FV9" s="20"/>
      <c r="FW9" s="20"/>
      <c r="FX9" s="20"/>
      <c r="FY9" s="20"/>
      <c r="FZ9" s="20"/>
      <c r="GA9" s="20"/>
      <c r="GB9" s="20"/>
      <c r="GC9" s="20"/>
      <c r="GD9" s="20"/>
      <c r="GE9" s="20"/>
      <c r="GF9" s="20"/>
      <c r="GG9" s="20"/>
      <c r="GH9" s="20"/>
      <c r="GI9" s="20"/>
      <c r="GJ9" s="20"/>
      <c r="GK9" s="20"/>
      <c r="GL9" s="20"/>
      <c r="GM9" s="20"/>
      <c r="GN9" s="20"/>
      <c r="GO9" s="20"/>
      <c r="GP9" s="20"/>
      <c r="GQ9" s="20"/>
      <c r="GR9" s="20"/>
      <c r="GS9" s="20"/>
      <c r="GT9" s="20"/>
      <c r="GU9" s="20"/>
      <c r="GV9" s="20"/>
      <c r="GW9" s="20"/>
      <c r="GX9" s="20"/>
      <c r="GY9" s="20"/>
      <c r="GZ9" s="20"/>
      <c r="HA9" s="20"/>
      <c r="HB9" s="20"/>
      <c r="HC9" s="20"/>
      <c r="HD9" s="20"/>
      <c r="HE9" s="20"/>
      <c r="HF9" s="20"/>
      <c r="HG9" s="20"/>
      <c r="HH9" s="20"/>
      <c r="HI9" s="20"/>
      <c r="HJ9" s="20"/>
      <c r="HK9" s="20"/>
      <c r="HL9" s="20"/>
      <c r="HM9" s="20"/>
      <c r="HN9" s="20"/>
      <c r="HO9" s="20"/>
      <c r="HP9" s="20"/>
      <c r="HQ9" s="20"/>
      <c r="HR9" s="20"/>
      <c r="HS9" s="20"/>
      <c r="HT9" s="20"/>
      <c r="HU9" s="20"/>
      <c r="HV9" s="20"/>
      <c r="HW9" s="20"/>
      <c r="HX9" s="20"/>
      <c r="HY9" s="20"/>
      <c r="HZ9" s="20"/>
      <c r="IA9" s="20"/>
      <c r="IB9" s="20"/>
      <c r="IC9" s="20"/>
      <c r="ID9" s="20"/>
      <c r="IE9" s="20"/>
      <c r="IF9" s="20"/>
      <c r="IG9" s="20"/>
      <c r="IH9" s="20"/>
      <c r="II9" s="20"/>
      <c r="IJ9" s="20"/>
      <c r="IK9" s="20"/>
      <c r="IL9" s="20"/>
      <c r="IM9" s="20"/>
      <c r="IN9" s="20"/>
      <c r="IO9" s="20"/>
      <c r="IP9" s="20"/>
      <c r="IQ9" s="20"/>
      <c r="IR9" s="20"/>
      <c r="IS9" s="20"/>
      <c r="IT9" s="20"/>
      <c r="IU9" s="20"/>
      <c r="IV9" s="20"/>
      <c r="IW9" s="20"/>
      <c r="IX9" s="20"/>
      <c r="IY9" s="20"/>
      <c r="IZ9" s="20"/>
      <c r="JA9" s="20"/>
      <c r="JB9" s="20"/>
      <c r="JC9" s="20"/>
      <c r="JD9" s="20"/>
      <c r="JE9" s="20"/>
      <c r="JF9" s="20"/>
      <c r="JG9" s="20"/>
      <c r="JH9" s="20"/>
      <c r="JI9" s="20"/>
      <c r="JJ9" s="20"/>
      <c r="JK9" s="20"/>
      <c r="JL9" s="20"/>
      <c r="JM9" s="20"/>
      <c r="JN9" s="20"/>
      <c r="JO9" s="20"/>
      <c r="JP9" s="20"/>
      <c r="JQ9" s="20"/>
      <c r="JR9" s="20"/>
      <c r="JS9" s="20"/>
      <c r="JT9" s="20"/>
      <c r="JU9" s="20"/>
      <c r="JV9" s="20"/>
      <c r="JW9" s="20"/>
      <c r="JX9" s="20"/>
      <c r="JY9" s="20"/>
      <c r="JZ9" s="20"/>
      <c r="KA9" s="20"/>
      <c r="KB9" s="20"/>
      <c r="KC9" s="20"/>
      <c r="KD9" s="20"/>
      <c r="KE9" s="20"/>
      <c r="KF9" s="20"/>
      <c r="KG9" s="20"/>
      <c r="KH9" s="20"/>
      <c r="KI9" s="20"/>
      <c r="KJ9" s="20"/>
      <c r="KK9" s="20"/>
      <c r="KL9" s="20"/>
      <c r="KM9" s="20"/>
      <c r="KN9" s="20"/>
      <c r="KO9" s="20"/>
      <c r="KP9" s="20"/>
      <c r="KQ9" s="20"/>
      <c r="KR9" s="20"/>
      <c r="KS9" s="20"/>
      <c r="KT9" s="20"/>
      <c r="KU9" s="20"/>
      <c r="KV9" s="20"/>
      <c r="KW9" s="20"/>
      <c r="KX9" s="20"/>
      <c r="KY9" s="20"/>
      <c r="KZ9" s="20"/>
      <c r="LA9" s="20"/>
      <c r="LB9" s="20"/>
      <c r="LC9" s="20"/>
      <c r="LD9" s="20"/>
      <c r="LE9" s="20"/>
      <c r="LF9" s="20"/>
      <c r="LG9" s="20"/>
      <c r="LH9" s="20"/>
      <c r="LI9" s="20"/>
      <c r="LJ9" s="20"/>
      <c r="LK9" s="20"/>
      <c r="LL9" s="20"/>
      <c r="LM9" s="20"/>
      <c r="LN9" s="20"/>
      <c r="LO9" s="20"/>
      <c r="LP9" s="20"/>
      <c r="LQ9" s="20"/>
      <c r="LR9" s="20"/>
      <c r="LS9" s="20"/>
      <c r="LT9" s="20"/>
      <c r="LU9" s="20"/>
      <c r="LV9" s="20"/>
      <c r="LW9" s="20"/>
      <c r="LX9" s="20"/>
      <c r="LY9" s="20"/>
      <c r="LZ9" s="20"/>
      <c r="MA9" s="20"/>
      <c r="MB9" s="20"/>
      <c r="MC9" s="20"/>
      <c r="MD9" s="20"/>
      <c r="ME9" s="20"/>
      <c r="MF9" s="20"/>
      <c r="MG9" s="20"/>
      <c r="MH9" s="20"/>
      <c r="MI9" s="20"/>
      <c r="MJ9" s="20"/>
      <c r="MK9" s="20"/>
      <c r="ML9" s="20"/>
      <c r="MM9" s="20"/>
      <c r="MN9" s="20"/>
      <c r="MO9" s="20"/>
      <c r="MP9" s="20"/>
      <c r="MQ9" s="20"/>
      <c r="MR9" s="20"/>
      <c r="MS9" s="20"/>
      <c r="MT9" s="20"/>
      <c r="MU9" s="20"/>
      <c r="MV9" s="20"/>
      <c r="MW9" s="20"/>
      <c r="MX9" s="20"/>
      <c r="MY9" s="20"/>
      <c r="MZ9" s="20"/>
      <c r="NA9" s="20"/>
      <c r="NB9" s="20"/>
      <c r="NC9" s="20"/>
      <c r="ND9" s="20"/>
      <c r="NE9" s="20"/>
      <c r="NF9" s="20"/>
      <c r="NG9" s="20"/>
      <c r="NH9" s="20"/>
      <c r="NI9" s="20"/>
      <c r="NJ9" s="20"/>
      <c r="NK9" s="20"/>
      <c r="NL9" s="20"/>
      <c r="NM9" s="20"/>
      <c r="NN9" s="20"/>
      <c r="NO9" s="20"/>
      <c r="NP9" s="20"/>
      <c r="NQ9" s="20"/>
      <c r="NR9" s="20"/>
      <c r="NS9" s="20"/>
      <c r="NT9" s="20"/>
      <c r="NU9" s="20"/>
      <c r="NV9" s="20"/>
      <c r="NW9" s="20"/>
      <c r="NX9" s="20"/>
      <c r="NY9" s="20"/>
      <c r="NZ9" s="20"/>
      <c r="OA9" s="20"/>
      <c r="OB9" s="20"/>
      <c r="OC9" s="20"/>
      <c r="OD9" s="20"/>
      <c r="OE9" s="20"/>
      <c r="OF9" s="20"/>
      <c r="OG9" s="20"/>
      <c r="OH9" s="20"/>
      <c r="OI9" s="20"/>
      <c r="OJ9" s="20"/>
      <c r="OK9" s="20"/>
      <c r="OL9" s="20"/>
      <c r="OM9" s="20"/>
      <c r="ON9" s="20"/>
      <c r="OO9" s="20"/>
      <c r="OP9" s="20"/>
      <c r="OQ9" s="20"/>
      <c r="OR9" s="20"/>
      <c r="OS9" s="20"/>
      <c r="OT9" s="20"/>
      <c r="OU9" s="20"/>
      <c r="OV9" s="20"/>
      <c r="OW9" s="20"/>
      <c r="OX9" s="20"/>
      <c r="OY9" s="20"/>
      <c r="OZ9" s="20"/>
      <c r="PA9" s="20"/>
      <c r="PB9" s="20"/>
      <c r="PC9" s="20"/>
      <c r="PD9" s="20"/>
      <c r="PE9" s="20"/>
      <c r="PF9" s="20"/>
      <c r="PG9" s="20"/>
      <c r="PH9" s="20"/>
      <c r="PI9" s="20"/>
      <c r="PJ9" s="20"/>
      <c r="PK9" s="20"/>
      <c r="PL9" s="20"/>
      <c r="PM9" s="20"/>
      <c r="PN9" s="20"/>
      <c r="PO9" s="20"/>
      <c r="PP9" s="20"/>
      <c r="PQ9" s="20"/>
      <c r="PR9" s="20"/>
      <c r="PS9" s="20"/>
      <c r="PT9" s="20"/>
      <c r="PU9" s="20"/>
      <c r="PV9" s="20"/>
      <c r="PW9" s="20"/>
      <c r="PX9" s="20"/>
      <c r="PY9" s="20"/>
      <c r="PZ9" s="20"/>
      <c r="QA9" s="20"/>
      <c r="QB9" s="20"/>
      <c r="QC9" s="20"/>
      <c r="QD9" s="20"/>
      <c r="QE9" s="20"/>
      <c r="QF9" s="20"/>
      <c r="QG9" s="20"/>
      <c r="QH9" s="20"/>
      <c r="QI9" s="20"/>
      <c r="QJ9" s="20"/>
      <c r="QK9" s="20"/>
      <c r="QL9" s="20"/>
      <c r="QM9" s="20"/>
      <c r="QN9" s="20"/>
      <c r="QO9" s="20"/>
      <c r="QP9" s="20"/>
      <c r="QQ9" s="20"/>
      <c r="QR9" s="20"/>
      <c r="QS9" s="20"/>
      <c r="QT9" s="20"/>
      <c r="QU9" s="20"/>
      <c r="QV9" s="20"/>
      <c r="QW9" s="20"/>
      <c r="QX9" s="20"/>
      <c r="QY9" s="20"/>
      <c r="QZ9" s="20"/>
      <c r="RA9" s="20"/>
      <c r="RB9" s="20"/>
      <c r="RC9" s="20"/>
      <c r="RD9" s="20"/>
      <c r="RE9" s="20"/>
      <c r="RF9" s="20"/>
      <c r="RG9" s="20"/>
      <c r="RH9" s="20"/>
      <c r="RI9" s="20"/>
      <c r="RJ9" s="20"/>
      <c r="RK9" s="20"/>
      <c r="RL9" s="20"/>
      <c r="RM9" s="20"/>
      <c r="RN9" s="20"/>
      <c r="RO9" s="20"/>
      <c r="RP9" s="20"/>
      <c r="RQ9" s="20"/>
      <c r="RR9" s="20"/>
      <c r="RS9" s="20"/>
      <c r="RT9" s="20"/>
      <c r="RU9" s="20"/>
      <c r="RV9" s="20"/>
      <c r="RW9" s="20"/>
      <c r="RX9" s="20"/>
      <c r="RY9" s="20"/>
      <c r="RZ9" s="20"/>
      <c r="SA9" s="20"/>
      <c r="SB9" s="20"/>
      <c r="SC9" s="20"/>
      <c r="SD9" s="20"/>
      <c r="SE9" s="20"/>
      <c r="SF9" s="20"/>
      <c r="SG9" s="20"/>
      <c r="SH9" s="20"/>
      <c r="SI9" s="20"/>
      <c r="SJ9" s="20"/>
      <c r="SK9" s="20"/>
      <c r="SL9" s="20"/>
      <c r="SM9" s="20"/>
      <c r="SN9" s="20"/>
      <c r="SO9" s="20"/>
      <c r="SP9" s="20"/>
      <c r="SQ9" s="20"/>
      <c r="SR9" s="20"/>
      <c r="SS9" s="20"/>
      <c r="ST9" s="20"/>
      <c r="SU9" s="20"/>
      <c r="SV9" s="20"/>
      <c r="SW9" s="20"/>
      <c r="SX9" s="20"/>
      <c r="SY9" s="20"/>
      <c r="SZ9" s="20"/>
      <c r="TA9" s="20"/>
      <c r="TB9" s="20"/>
      <c r="TC9" s="20"/>
      <c r="TD9" s="20"/>
      <c r="TE9" s="20"/>
      <c r="TF9" s="20"/>
      <c r="TG9" s="20"/>
      <c r="TH9" s="20"/>
      <c r="TI9" s="20"/>
      <c r="TJ9" s="20"/>
      <c r="TK9" s="20"/>
      <c r="TL9" s="20"/>
      <c r="TM9" s="20"/>
      <c r="TN9" s="20"/>
      <c r="TO9" s="20"/>
      <c r="TP9" s="20"/>
      <c r="TQ9" s="20"/>
      <c r="TR9" s="20"/>
      <c r="TS9" s="20"/>
      <c r="TT9" s="20"/>
      <c r="TU9" s="20"/>
      <c r="TV9" s="20"/>
      <c r="TW9" s="20"/>
      <c r="TX9" s="20"/>
      <c r="TY9" s="20"/>
      <c r="TZ9" s="20"/>
      <c r="UA9" s="20"/>
      <c r="UB9" s="20"/>
      <c r="UC9" s="20"/>
      <c r="UD9" s="20"/>
      <c r="UE9" s="20"/>
      <c r="UF9" s="20"/>
      <c r="UG9" s="20"/>
      <c r="UH9" s="20"/>
      <c r="UI9" s="20"/>
      <c r="UJ9" s="20"/>
      <c r="UK9" s="20"/>
      <c r="UL9" s="20"/>
      <c r="UM9" s="20"/>
      <c r="UN9" s="20"/>
      <c r="UO9" s="20"/>
      <c r="UP9" s="20"/>
      <c r="UQ9" s="20"/>
      <c r="UR9" s="20"/>
      <c r="US9" s="20"/>
      <c r="UT9" s="20"/>
      <c r="UU9" s="20"/>
      <c r="UV9" s="20"/>
      <c r="UW9" s="20"/>
      <c r="UX9" s="20"/>
      <c r="UY9" s="20"/>
      <c r="UZ9" s="20"/>
      <c r="VA9" s="20"/>
      <c r="VB9" s="20"/>
      <c r="VC9" s="20"/>
      <c r="VD9" s="20"/>
      <c r="VE9" s="20"/>
      <c r="VF9" s="20"/>
      <c r="VG9" s="20"/>
      <c r="VH9" s="20"/>
      <c r="VI9" s="20"/>
      <c r="VJ9" s="20"/>
      <c r="VK9" s="20"/>
      <c r="VL9" s="20"/>
      <c r="VM9" s="20"/>
      <c r="VN9" s="20"/>
      <c r="VO9" s="20"/>
      <c r="VP9" s="20"/>
      <c r="VQ9" s="20"/>
      <c r="VR9" s="20"/>
      <c r="VS9" s="20"/>
      <c r="VT9" s="20"/>
      <c r="VU9" s="20"/>
      <c r="VV9" s="20"/>
      <c r="VW9" s="20"/>
      <c r="VX9" s="20"/>
      <c r="VY9" s="20"/>
      <c r="VZ9" s="20"/>
      <c r="WA9" s="20"/>
      <c r="WB9" s="20"/>
      <c r="WC9" s="20"/>
      <c r="WD9" s="20"/>
      <c r="WE9" s="20"/>
      <c r="WF9" s="20"/>
      <c r="WG9" s="20"/>
      <c r="WH9" s="20"/>
      <c r="WI9" s="20"/>
      <c r="WJ9" s="20"/>
      <c r="WK9" s="20"/>
      <c r="WL9" s="20"/>
      <c r="WM9" s="20"/>
      <c r="WN9" s="20"/>
      <c r="WO9" s="20"/>
      <c r="WP9" s="20"/>
      <c r="WQ9" s="20"/>
      <c r="WR9" s="20"/>
      <c r="WS9" s="20"/>
      <c r="WT9" s="20"/>
      <c r="WU9" s="20"/>
      <c r="WV9" s="20"/>
      <c r="WW9" s="20"/>
      <c r="WX9" s="20"/>
      <c r="WY9" s="20"/>
      <c r="WZ9" s="20"/>
      <c r="XA9" s="20"/>
      <c r="XB9" s="20"/>
      <c r="XC9" s="20"/>
      <c r="XD9" s="20"/>
      <c r="XE9" s="20"/>
      <c r="XF9" s="20"/>
      <c r="XG9" s="20"/>
      <c r="XH9" s="20"/>
      <c r="XI9" s="20"/>
      <c r="XJ9" s="20"/>
      <c r="XK9" s="20"/>
      <c r="XL9" s="20"/>
      <c r="XM9" s="20"/>
      <c r="XN9" s="20"/>
      <c r="XO9" s="20"/>
      <c r="XP9" s="20"/>
      <c r="XQ9" s="20"/>
      <c r="XR9" s="20"/>
      <c r="XS9" s="20"/>
      <c r="XT9" s="20"/>
      <c r="XU9" s="20"/>
      <c r="XV9" s="20"/>
      <c r="XW9" s="20"/>
      <c r="XX9" s="20"/>
      <c r="XY9" s="20"/>
      <c r="XZ9" s="20"/>
      <c r="YA9" s="20"/>
      <c r="YB9" s="20"/>
      <c r="YC9" s="20"/>
      <c r="YD9" s="20"/>
      <c r="YE9" s="20"/>
      <c r="YF9" s="20"/>
      <c r="YG9" s="20"/>
      <c r="YH9" s="20"/>
      <c r="YI9" s="20"/>
      <c r="YJ9" s="20"/>
      <c r="YK9" s="20"/>
      <c r="YL9" s="20"/>
      <c r="YM9" s="20"/>
      <c r="YN9" s="20"/>
      <c r="YO9" s="20"/>
      <c r="YP9" s="20"/>
      <c r="YQ9" s="20"/>
      <c r="YR9" s="20"/>
      <c r="YS9" s="20"/>
      <c r="YT9" s="20"/>
      <c r="YU9" s="20"/>
      <c r="YV9" s="20"/>
      <c r="YW9" s="20"/>
      <c r="YX9" s="20"/>
      <c r="YY9" s="20"/>
      <c r="YZ9" s="20"/>
      <c r="ZA9" s="20"/>
      <c r="ZB9" s="20"/>
      <c r="ZC9" s="20"/>
      <c r="ZD9" s="20"/>
      <c r="ZE9" s="20"/>
      <c r="ZF9" s="20"/>
      <c r="ZG9" s="20"/>
      <c r="ZH9" s="20"/>
      <c r="ZI9" s="20"/>
      <c r="ZJ9" s="20"/>
      <c r="ZK9" s="20"/>
      <c r="ZL9" s="20"/>
      <c r="ZM9" s="20"/>
      <c r="ZN9" s="20"/>
      <c r="ZO9" s="20"/>
      <c r="ZP9" s="20"/>
      <c r="ZQ9" s="20"/>
      <c r="ZR9" s="20"/>
      <c r="ZS9" s="20"/>
      <c r="ZT9" s="20"/>
      <c r="ZU9" s="20"/>
      <c r="ZV9" s="20"/>
      <c r="ZW9" s="20"/>
      <c r="ZX9" s="20"/>
      <c r="ZY9" s="20"/>
      <c r="ZZ9" s="20"/>
      <c r="AAA9" s="20"/>
      <c r="AAB9" s="20"/>
      <c r="AAC9" s="20"/>
      <c r="AAD9" s="20"/>
      <c r="AAE9" s="20"/>
      <c r="AAF9" s="20"/>
      <c r="AAG9" s="20"/>
      <c r="AAH9" s="20"/>
      <c r="AAI9" s="20"/>
      <c r="AAJ9" s="20"/>
      <c r="AAK9" s="20"/>
      <c r="AAL9" s="20"/>
      <c r="AAM9" s="20"/>
      <c r="AAN9" s="20"/>
      <c r="AAO9" s="20"/>
      <c r="AAP9" s="20"/>
      <c r="AAQ9" s="20"/>
      <c r="AAR9" s="20"/>
      <c r="AAS9" s="20"/>
      <c r="AAT9" s="20"/>
      <c r="AAU9" s="20"/>
      <c r="AAV9" s="20"/>
      <c r="AAW9" s="20"/>
      <c r="AAX9" s="20"/>
      <c r="AAY9" s="20"/>
      <c r="AAZ9" s="20"/>
      <c r="ABA9" s="20"/>
      <c r="ABB9" s="20"/>
      <c r="ABC9" s="20"/>
      <c r="ABD9" s="20"/>
      <c r="ABE9" s="20"/>
      <c r="ABF9" s="20"/>
      <c r="ABG9" s="20"/>
      <c r="ABH9" s="20"/>
      <c r="ABI9" s="20"/>
      <c r="ABJ9" s="20"/>
      <c r="ABK9" s="20"/>
      <c r="ABL9" s="20"/>
      <c r="ABM9" s="20"/>
      <c r="ABN9" s="20"/>
      <c r="ABO9" s="20"/>
      <c r="ABP9" s="20"/>
      <c r="ABQ9" s="20"/>
      <c r="ABR9" s="20"/>
      <c r="ABS9" s="20"/>
      <c r="ABT9" s="20"/>
      <c r="ABU9" s="20"/>
      <c r="ABV9" s="20"/>
      <c r="ABW9" s="20"/>
      <c r="ABX9" s="20"/>
      <c r="ABY9" s="20"/>
      <c r="ABZ9" s="20"/>
      <c r="ACA9" s="20"/>
      <c r="ACB9" s="20"/>
      <c r="ACC9" s="20"/>
      <c r="ACD9" s="20"/>
      <c r="ACE9" s="20"/>
      <c r="ACF9" s="20"/>
      <c r="ACG9" s="20"/>
      <c r="ACH9" s="20"/>
      <c r="ACI9" s="20"/>
      <c r="ACJ9" s="20"/>
      <c r="ACK9" s="20"/>
      <c r="ACL9" s="20"/>
      <c r="ACM9" s="20"/>
      <c r="ACN9" s="20"/>
      <c r="ACO9" s="20"/>
      <c r="ACP9" s="20"/>
      <c r="ACQ9" s="20"/>
      <c r="ACR9" s="20"/>
      <c r="ACS9" s="20"/>
      <c r="ACT9" s="20"/>
      <c r="ACU9" s="20"/>
      <c r="ACV9" s="20"/>
      <c r="ACW9" s="20"/>
      <c r="ACX9" s="20"/>
      <c r="ACY9" s="20"/>
      <c r="ACZ9" s="20"/>
      <c r="ADA9" s="20"/>
      <c r="ADB9" s="20"/>
      <c r="ADC9" s="20"/>
      <c r="ADD9" s="20"/>
      <c r="ADE9" s="20"/>
      <c r="ADF9" s="20"/>
      <c r="ADG9" s="20"/>
      <c r="ADH9" s="20"/>
      <c r="ADI9" s="20"/>
      <c r="ADJ9" s="20"/>
      <c r="ADK9" s="20"/>
      <c r="ADL9" s="20"/>
      <c r="ADM9" s="20"/>
      <c r="ADN9" s="20"/>
      <c r="ADO9" s="20"/>
      <c r="ADP9" s="20"/>
      <c r="ADQ9" s="20"/>
      <c r="ADR9" s="20"/>
      <c r="ADS9" s="20"/>
      <c r="ADT9" s="20"/>
      <c r="ADU9" s="20"/>
      <c r="ADV9" s="20"/>
      <c r="ADW9" s="20"/>
      <c r="ADX9" s="20"/>
      <c r="ADY9" s="20"/>
      <c r="ADZ9" s="20"/>
      <c r="AEA9" s="20"/>
      <c r="AEB9" s="20"/>
      <c r="AEC9" s="20"/>
      <c r="AED9" s="20"/>
      <c r="AEE9" s="20"/>
      <c r="AEF9" s="20"/>
      <c r="AEG9" s="20"/>
      <c r="AEH9" s="20"/>
      <c r="AEI9" s="20"/>
      <c r="AEJ9" s="20"/>
      <c r="AEK9" s="20"/>
      <c r="AEL9" s="20"/>
      <c r="AEM9" s="20"/>
      <c r="AEN9" s="20"/>
      <c r="AEO9" s="20"/>
      <c r="AEP9" s="20"/>
      <c r="AEQ9" s="20"/>
      <c r="AER9" s="20"/>
      <c r="AES9" s="20"/>
      <c r="AET9" s="20"/>
      <c r="AEU9" s="20"/>
      <c r="AEV9" s="20"/>
      <c r="AEW9" s="20"/>
      <c r="AEX9" s="20"/>
      <c r="AEY9" s="20"/>
      <c r="AEZ9" s="20"/>
      <c r="AFA9" s="20"/>
      <c r="AFB9" s="20"/>
      <c r="AFC9" s="20"/>
      <c r="AFD9" s="20"/>
      <c r="AFE9" s="20"/>
      <c r="AFF9" s="20"/>
      <c r="AFG9" s="20"/>
      <c r="AFH9" s="20"/>
      <c r="AFI9" s="20"/>
      <c r="AFJ9" s="20"/>
      <c r="AFK9" s="20"/>
      <c r="AFL9" s="20"/>
      <c r="AFM9" s="20"/>
      <c r="AFN9" s="20"/>
      <c r="AFO9" s="20"/>
      <c r="AFP9" s="20"/>
      <c r="AFQ9" s="20"/>
      <c r="AFR9" s="20"/>
      <c r="AFS9" s="20"/>
      <c r="AFT9" s="20"/>
      <c r="AFU9" s="20"/>
      <c r="AFV9" s="20"/>
      <c r="AFW9" s="20"/>
      <c r="AFX9" s="20"/>
      <c r="AFY9" s="20"/>
      <c r="AFZ9" s="20"/>
      <c r="AGA9" s="20"/>
      <c r="AGB9" s="20"/>
      <c r="AGC9" s="20"/>
      <c r="AGD9" s="20"/>
      <c r="AGE9" s="20"/>
      <c r="AGF9" s="20"/>
      <c r="AGG9" s="20"/>
      <c r="AGH9" s="20"/>
      <c r="AGI9" s="20"/>
      <c r="AGJ9" s="20"/>
      <c r="AGK9" s="20"/>
      <c r="AGL9" s="20"/>
      <c r="AGM9" s="20"/>
      <c r="AGN9" s="20"/>
      <c r="AGO9" s="20"/>
      <c r="AGP9" s="20"/>
      <c r="AGQ9" s="20"/>
      <c r="AGR9" s="20"/>
      <c r="AGS9" s="20"/>
      <c r="AGT9" s="20"/>
      <c r="AGU9" s="20"/>
      <c r="AGV9" s="20"/>
      <c r="AGW9" s="20"/>
      <c r="AGX9" s="20"/>
      <c r="AGY9" s="20"/>
      <c r="AGZ9" s="20"/>
      <c r="AHA9" s="20"/>
      <c r="AHB9" s="20"/>
      <c r="AHC9" s="20"/>
      <c r="AHD9" s="20"/>
      <c r="AHE9" s="20"/>
      <c r="AHF9" s="20"/>
      <c r="AHG9" s="20"/>
      <c r="AHH9" s="20"/>
      <c r="AHI9" s="20"/>
      <c r="AHJ9" s="20"/>
      <c r="AHK9" s="20"/>
      <c r="AHL9" s="20"/>
      <c r="AHM9" s="20"/>
      <c r="AHN9" s="20"/>
      <c r="AHO9" s="20"/>
      <c r="AHP9" s="20"/>
      <c r="AHQ9" s="20"/>
      <c r="AHR9" s="20"/>
      <c r="AHS9" s="20"/>
      <c r="AHT9" s="20"/>
      <c r="AHU9" s="20"/>
      <c r="AHV9" s="20"/>
      <c r="AHW9" s="20"/>
      <c r="AHX9" s="20"/>
      <c r="AHY9" s="20"/>
      <c r="AHZ9" s="20"/>
      <c r="AIA9" s="20"/>
      <c r="AIB9" s="20"/>
      <c r="AIC9" s="20"/>
      <c r="AID9" s="20"/>
      <c r="AIE9" s="20"/>
      <c r="AIF9" s="20"/>
      <c r="AIG9" s="20"/>
      <c r="AIH9" s="20"/>
      <c r="AII9" s="20"/>
      <c r="AIJ9" s="20"/>
      <c r="AIK9" s="20"/>
      <c r="AIL9" s="20"/>
      <c r="AIM9" s="20"/>
      <c r="AIN9" s="20"/>
      <c r="AIO9" s="20"/>
      <c r="AIP9" s="20"/>
      <c r="AIQ9" s="20"/>
      <c r="AIR9" s="20"/>
      <c r="AIS9" s="20"/>
      <c r="AIT9" s="20"/>
      <c r="AIU9" s="20"/>
      <c r="AIV9" s="20"/>
      <c r="AIW9" s="20"/>
      <c r="AIX9" s="20"/>
      <c r="AIY9" s="20"/>
      <c r="AIZ9" s="20"/>
      <c r="AJA9" s="20"/>
      <c r="AJB9" s="20"/>
      <c r="AJC9" s="20"/>
      <c r="AJD9" s="20"/>
      <c r="AJE9" s="20"/>
      <c r="AJF9" s="20"/>
      <c r="AJG9" s="20"/>
      <c r="AJH9" s="20"/>
      <c r="AJI9" s="20"/>
      <c r="AJJ9" s="20"/>
      <c r="AJK9" s="20"/>
      <c r="AJL9" s="20"/>
      <c r="AJM9" s="20"/>
      <c r="AJN9" s="20"/>
      <c r="AJO9" s="20"/>
      <c r="AJP9" s="20"/>
      <c r="AJQ9" s="20"/>
      <c r="AJR9" s="20"/>
      <c r="AJS9" s="20"/>
      <c r="AJT9" s="20"/>
      <c r="AJU9" s="20"/>
      <c r="AJV9" s="20"/>
      <c r="AJW9" s="20"/>
      <c r="AJX9" s="20"/>
      <c r="AJY9" s="20"/>
      <c r="AJZ9" s="20"/>
      <c r="AKA9" s="20"/>
      <c r="AKB9" s="20"/>
      <c r="AKC9" s="20"/>
      <c r="AKD9" s="20"/>
      <c r="AKE9" s="20"/>
      <c r="AKF9" s="20"/>
      <c r="AKG9" s="20"/>
      <c r="AKH9" s="20"/>
      <c r="AKI9" s="20"/>
      <c r="AKJ9" s="20"/>
      <c r="AKK9" s="20"/>
      <c r="AKL9" s="20"/>
      <c r="AKM9" s="20"/>
      <c r="AKN9" s="20"/>
      <c r="AKO9" s="20"/>
      <c r="AKP9" s="20"/>
      <c r="AKQ9" s="20"/>
      <c r="AKR9" s="20"/>
      <c r="AKS9" s="20"/>
      <c r="AKT9" s="20"/>
      <c r="AKU9" s="20"/>
      <c r="AKV9" s="20"/>
      <c r="AKW9" s="20"/>
      <c r="AKX9" s="20"/>
      <c r="AKY9" s="20"/>
      <c r="AKZ9" s="20"/>
      <c r="ALA9" s="20"/>
      <c r="ALB9" s="20"/>
      <c r="ALC9" s="20"/>
      <c r="ALD9" s="20"/>
      <c r="ALE9" s="20"/>
      <c r="ALF9" s="20"/>
      <c r="ALG9" s="20"/>
      <c r="ALH9" s="20"/>
      <c r="ALI9" s="20"/>
      <c r="ALJ9" s="20"/>
      <c r="ALK9" s="20"/>
      <c r="ALL9" s="20"/>
      <c r="ALM9" s="20"/>
      <c r="ALN9" s="20"/>
      <c r="ALO9" s="20"/>
      <c r="ALP9" s="20"/>
      <c r="ALQ9" s="20"/>
      <c r="ALR9" s="20"/>
      <c r="ALS9" s="20"/>
      <c r="ALT9" s="20"/>
      <c r="ALU9" s="20"/>
      <c r="ALV9" s="20"/>
      <c r="ALW9" s="20"/>
      <c r="ALX9" s="20"/>
      <c r="ALY9" s="20"/>
      <c r="ALZ9" s="20"/>
      <c r="AMA9" s="20"/>
      <c r="AMB9" s="20"/>
      <c r="AMC9" s="20"/>
      <c r="AMD9" s="20"/>
      <c r="AME9" s="20"/>
      <c r="AMF9" s="20"/>
      <c r="AMG9" s="20"/>
      <c r="AMH9" s="20"/>
      <c r="AMI9" s="20"/>
      <c r="AMJ9" s="20"/>
      <c r="AMK9" s="20"/>
      <c r="AML9" s="20"/>
      <c r="AMM9" s="20"/>
      <c r="AMN9" s="20"/>
      <c r="AMO9" s="20"/>
      <c r="AMP9" s="20"/>
      <c r="AMQ9" s="20"/>
      <c r="AMR9" s="20"/>
      <c r="AMS9" s="20"/>
      <c r="AMT9" s="20"/>
      <c r="AMU9" s="20"/>
      <c r="AMV9" s="20"/>
      <c r="AMW9" s="20"/>
      <c r="AMX9" s="20"/>
      <c r="AMY9" s="20"/>
      <c r="AMZ9" s="20"/>
      <c r="ANA9" s="20"/>
      <c r="ANB9" s="20"/>
      <c r="ANC9" s="20"/>
      <c r="AND9" s="20"/>
      <c r="ANE9" s="20"/>
      <c r="ANF9" s="20"/>
      <c r="ANG9" s="20"/>
      <c r="ANH9" s="20"/>
      <c r="ANI9" s="20"/>
      <c r="ANJ9" s="20"/>
      <c r="ANK9" s="20"/>
      <c r="ANL9" s="20"/>
      <c r="ANM9" s="20"/>
      <c r="ANN9" s="20"/>
      <c r="ANO9" s="20"/>
      <c r="ANP9" s="20"/>
      <c r="ANQ9" s="20"/>
      <c r="ANR9" s="20"/>
      <c r="ANS9" s="20"/>
      <c r="ANT9" s="20"/>
      <c r="ANU9" s="20"/>
      <c r="ANV9" s="20"/>
      <c r="ANW9" s="20"/>
      <c r="ANX9" s="20"/>
      <c r="ANY9" s="20"/>
      <c r="ANZ9" s="20"/>
      <c r="AOA9" s="20"/>
      <c r="AOB9" s="20"/>
      <c r="AOC9" s="20"/>
      <c r="AOD9" s="20"/>
      <c r="AOE9" s="20"/>
      <c r="AOF9" s="20"/>
      <c r="AOG9" s="20"/>
      <c r="AOH9" s="20"/>
      <c r="AOI9" s="20"/>
      <c r="AOJ9" s="20"/>
      <c r="AOK9" s="20"/>
      <c r="AOL9" s="20"/>
      <c r="AOM9" s="20"/>
      <c r="AON9" s="20"/>
      <c r="AOO9" s="20"/>
      <c r="AOP9" s="20"/>
      <c r="AOQ9" s="20"/>
      <c r="AOR9" s="20"/>
      <c r="AOS9" s="20"/>
      <c r="AOT9" s="20"/>
      <c r="AOU9" s="20"/>
      <c r="AOV9" s="20"/>
      <c r="AOW9" s="20"/>
      <c r="AOX9" s="20"/>
      <c r="AOY9" s="20"/>
      <c r="AOZ9" s="20"/>
      <c r="APA9" s="20"/>
      <c r="APB9" s="20"/>
      <c r="APC9" s="20"/>
      <c r="APD9" s="20"/>
      <c r="APE9" s="20"/>
      <c r="APF9" s="20"/>
      <c r="APG9" s="20"/>
      <c r="APH9" s="20"/>
      <c r="API9" s="20"/>
      <c r="APJ9" s="20"/>
      <c r="APK9" s="20"/>
      <c r="APL9" s="20"/>
      <c r="APM9" s="20"/>
      <c r="APN9" s="20"/>
      <c r="APO9" s="20"/>
      <c r="APP9" s="20"/>
      <c r="APQ9" s="20"/>
      <c r="APR9" s="20"/>
      <c r="APS9" s="20"/>
      <c r="APT9" s="20"/>
      <c r="APU9" s="20"/>
      <c r="APV9" s="20"/>
      <c r="APW9" s="20"/>
      <c r="APX9" s="20"/>
      <c r="APY9" s="20"/>
      <c r="APZ9" s="20"/>
      <c r="AQA9" s="20"/>
      <c r="AQB9" s="20"/>
      <c r="AQC9" s="20"/>
      <c r="AQD9" s="20"/>
      <c r="AQE9" s="20"/>
      <c r="AQF9" s="20"/>
      <c r="AQG9" s="20"/>
      <c r="AQH9" s="20"/>
      <c r="AQI9" s="20"/>
      <c r="AQJ9" s="20"/>
      <c r="AQK9" s="20"/>
      <c r="AQL9" s="20"/>
      <c r="AQM9" s="20"/>
      <c r="AQN9" s="20"/>
      <c r="AQO9" s="20"/>
      <c r="AQP9" s="20"/>
      <c r="AQQ9" s="20"/>
      <c r="AQR9" s="20"/>
      <c r="AQS9" s="20"/>
      <c r="AQT9" s="20"/>
      <c r="AQU9" s="20"/>
      <c r="AQV9" s="20"/>
      <c r="AQW9" s="20"/>
      <c r="AQX9" s="20"/>
      <c r="AQY9" s="20"/>
      <c r="AQZ9" s="20"/>
      <c r="ARA9" s="20"/>
      <c r="ARB9" s="20"/>
      <c r="ARC9" s="20"/>
      <c r="ARD9" s="20"/>
      <c r="ARE9" s="20"/>
      <c r="ARF9" s="20"/>
      <c r="ARG9" s="20"/>
      <c r="ARH9" s="20"/>
      <c r="ARI9" s="20"/>
      <c r="ARJ9" s="20"/>
      <c r="ARK9" s="20"/>
      <c r="ARL9" s="20"/>
      <c r="ARM9" s="20"/>
      <c r="ARN9" s="20"/>
      <c r="ARO9" s="20"/>
      <c r="ARP9" s="20"/>
      <c r="ARQ9" s="20"/>
      <c r="ARR9" s="20"/>
      <c r="ARS9" s="20"/>
      <c r="ART9" s="20"/>
      <c r="ARU9" s="20"/>
      <c r="ARV9" s="20"/>
      <c r="ARW9" s="20"/>
      <c r="ARX9" s="20"/>
      <c r="ARY9" s="20"/>
      <c r="ARZ9" s="20"/>
      <c r="ASA9" s="20"/>
      <c r="ASB9" s="20"/>
      <c r="ASC9" s="20"/>
      <c r="ASD9" s="20"/>
      <c r="ASE9" s="20"/>
      <c r="ASF9" s="20"/>
      <c r="ASG9" s="20"/>
      <c r="ASH9" s="20"/>
      <c r="ASI9" s="20"/>
      <c r="ASJ9" s="20"/>
      <c r="ASK9" s="20"/>
      <c r="ASL9" s="20"/>
      <c r="ASM9" s="20"/>
      <c r="ASN9" s="20"/>
      <c r="ASO9" s="20"/>
      <c r="ASP9" s="20"/>
      <c r="ASQ9" s="20"/>
      <c r="ASR9" s="20"/>
      <c r="ASS9" s="20"/>
      <c r="AST9" s="20"/>
      <c r="ASU9" s="20"/>
      <c r="ASV9" s="20"/>
      <c r="ASW9" s="20"/>
      <c r="ASX9" s="20"/>
      <c r="ASY9" s="20"/>
      <c r="ASZ9" s="20"/>
      <c r="ATA9" s="20"/>
      <c r="ATB9" s="20"/>
      <c r="ATC9" s="20"/>
      <c r="ATD9" s="20"/>
      <c r="ATE9" s="20"/>
      <c r="ATF9" s="20"/>
      <c r="ATG9" s="20"/>
      <c r="ATH9" s="20"/>
      <c r="ATI9" s="20"/>
      <c r="ATJ9" s="20"/>
      <c r="ATK9" s="20"/>
      <c r="ATL9" s="20"/>
      <c r="ATM9" s="20"/>
      <c r="ATN9" s="20"/>
      <c r="ATO9" s="20"/>
    </row>
    <row r="10" spans="1:1211" s="120" customFormat="1" ht="18" customHeight="1" thickBot="1">
      <c r="A10" s="1989">
        <v>1</v>
      </c>
      <c r="B10" s="1852">
        <v>1</v>
      </c>
      <c r="C10" s="1756" t="s">
        <v>12432</v>
      </c>
      <c r="D10" s="1588"/>
      <c r="E10" s="1589"/>
      <c r="F10" s="1589"/>
      <c r="G10" s="1757">
        <f>SUM(F11:F70)</f>
        <v>2471.1800000000003</v>
      </c>
      <c r="H10" s="1758">
        <f>G10*(1-$D$6)</f>
        <v>2471.1800000000003</v>
      </c>
      <c r="I10" s="1757">
        <f>ROUNDUP(H10*$D$5,0)</f>
        <v>8403</v>
      </c>
      <c r="J10" s="1759">
        <f>+I10*B10</f>
        <v>8403</v>
      </c>
      <c r="K10" s="1788">
        <f>B10</f>
        <v>1</v>
      </c>
      <c r="L10" s="363"/>
      <c r="M10" s="684"/>
      <c r="N10" s="362" t="str">
        <f t="shared" si="0"/>
        <v/>
      </c>
      <c r="O10" s="1763" t="str">
        <f t="shared" si="1"/>
        <v/>
      </c>
      <c r="P10" s="1764" t="str">
        <f t="shared" si="2"/>
        <v/>
      </c>
      <c r="Q10" s="120" t="str">
        <f t="shared" si="3"/>
        <v/>
      </c>
      <c r="R10" s="185"/>
    </row>
    <row r="11" spans="1:1211" s="120" customFormat="1" ht="18" customHeight="1">
      <c r="A11" s="685" t="s">
        <v>3064</v>
      </c>
      <c r="B11" s="1903"/>
      <c r="C11" s="1890"/>
      <c r="D11" s="1927"/>
      <c r="E11" s="1780"/>
      <c r="F11" s="1780"/>
      <c r="G11" s="686"/>
      <c r="H11" s="710"/>
      <c r="I11" s="686"/>
      <c r="J11" s="1768"/>
      <c r="K11" s="684">
        <f t="shared" ref="K11:K65" si="4">+K10</f>
        <v>1</v>
      </c>
      <c r="L11" s="363">
        <v>1</v>
      </c>
      <c r="M11" s="709">
        <f t="shared" ref="M11:M25" si="5">IF(B11="",1,B11)</f>
        <v>1</v>
      </c>
      <c r="N11" s="1905"/>
      <c r="O11" s="320"/>
      <c r="P11" s="320"/>
      <c r="Q11" s="185"/>
    </row>
    <row r="12" spans="1:1211" s="315" customFormat="1">
      <c r="A12" s="687" t="s">
        <v>4021</v>
      </c>
      <c r="B12" s="2096">
        <v>1</v>
      </c>
      <c r="C12" s="1907" t="s">
        <v>5103</v>
      </c>
      <c r="D12" s="1935"/>
      <c r="E12" s="1786"/>
      <c r="F12" s="1908">
        <f>SUM(F14:F18)*(B12-1)</f>
        <v>0</v>
      </c>
      <c r="G12" s="712"/>
      <c r="H12" s="712"/>
      <c r="I12" s="712"/>
      <c r="J12" s="713"/>
      <c r="K12" s="684">
        <f t="shared" si="4"/>
        <v>1</v>
      </c>
      <c r="L12" s="1909">
        <f>B12</f>
        <v>1</v>
      </c>
      <c r="M12" s="684">
        <f t="shared" si="5"/>
        <v>1</v>
      </c>
      <c r="N12" s="362" t="str">
        <f t="shared" ref="N12:N14" si="6">IF(O12&lt;&gt;"",K12*L12*M12,"")</f>
        <v/>
      </c>
      <c r="O12" s="1763" t="str">
        <f t="shared" ref="O12:O14" si="7">IF(D12&lt;&gt;"",IF(VLOOKUP(D12,base_datos,7,FALSE)&lt;&gt;"",VLOOKUP(D12,base_datos,7,FALSE),""),"")</f>
        <v/>
      </c>
      <c r="P12" s="1764" t="str">
        <f t="shared" ref="P12:P14" si="8">IF(O12&lt;&gt;"",VLOOKUP(D12,base_datos,6,FALSE),"")</f>
        <v/>
      </c>
      <c r="Q12" s="120" t="str">
        <f t="shared" ref="Q12:Q14" si="9">IF(O12&lt;&gt;"",D12,"")</f>
        <v/>
      </c>
    </row>
    <row r="13" spans="1:1211" s="185" customFormat="1">
      <c r="A13" s="687" t="s">
        <v>4136</v>
      </c>
      <c r="B13" s="1910">
        <v>3</v>
      </c>
      <c r="C13" s="1911" t="str">
        <f>VLOOKUP(D13,base_datos,6,FALSE)</f>
        <v>Portalámpara + lampara tipo LED - color Rojo - alimentacion: 220-230Vac, d=22mm. - CL2-523R - línea compacta - marca ABB.</v>
      </c>
      <c r="D13" s="1790" t="s">
        <v>2439</v>
      </c>
      <c r="E13" s="1939">
        <f>VLOOKUP(D13,base_datos,5,FALSE)</f>
        <v>12.299999999999999</v>
      </c>
      <c r="F13" s="1912">
        <f>+E13*B13</f>
        <v>36.9</v>
      </c>
      <c r="G13" s="710"/>
      <c r="H13" s="710"/>
      <c r="I13" s="710"/>
      <c r="J13" s="711"/>
      <c r="K13" s="684">
        <f t="shared" si="4"/>
        <v>1</v>
      </c>
      <c r="L13" s="1913">
        <f>L11</f>
        <v>1</v>
      </c>
      <c r="M13" s="684">
        <f t="shared" ref="M13" si="10">IF(B13="",1,B13)</f>
        <v>3</v>
      </c>
      <c r="N13" s="362">
        <f t="shared" ref="N13" si="11">IF(O13&lt;&gt;"",K13*L13*M13,"")</f>
        <v>3</v>
      </c>
      <c r="O13" s="1763" t="str">
        <f t="shared" ref="O13" si="12">IF(D13&lt;&gt;"",IF(VLOOKUP(D13,base_datos,7,FALSE)&lt;&gt;"",VLOOKUP(D13,base_datos,7,FALSE),""),"")</f>
        <v>1SFA619403R5231</v>
      </c>
      <c r="P13" s="1764" t="str">
        <f t="shared" ref="P13" si="13">IF(O13&lt;&gt;"",VLOOKUP(D13,base_datos,6,FALSE),"")</f>
        <v>Portalámpara + lampara tipo LED - color Rojo - alimentacion: 220-230Vac, d=22mm. - CL2-523R - línea compacta - marca ABB.</v>
      </c>
      <c r="Q13" s="120" t="str">
        <f t="shared" ref="Q13" si="14">IF(O13&lt;&gt;"",D13,"")</f>
        <v>LAMP_ROJO_220V</v>
      </c>
    </row>
    <row r="14" spans="1:1211" s="185" customFormat="1">
      <c r="A14" s="687"/>
      <c r="B14" s="1910">
        <v>3</v>
      </c>
      <c r="C14" s="1911" t="str">
        <f>VLOOKUP(D14,base_datos,6,FALSE)</f>
        <v>Portalámpara + lampara tipo LED - color Verde - alimentacion: 220-230Vac, d=22mm. - CL2-523G - línea compacta - marca ABB.</v>
      </c>
      <c r="D14" s="1790" t="s">
        <v>2440</v>
      </c>
      <c r="E14" s="1939">
        <f>VLOOKUP(D14,base_datos,5,FALSE)</f>
        <v>12.299999999999999</v>
      </c>
      <c r="F14" s="1912">
        <f>+E14*B14</f>
        <v>36.9</v>
      </c>
      <c r="G14" s="710"/>
      <c r="H14" s="710"/>
      <c r="I14" s="710"/>
      <c r="J14" s="711"/>
      <c r="K14" s="684">
        <f t="shared" si="4"/>
        <v>1</v>
      </c>
      <c r="L14" s="1913">
        <f>L12</f>
        <v>1</v>
      </c>
      <c r="M14" s="684">
        <f t="shared" si="5"/>
        <v>3</v>
      </c>
      <c r="N14" s="362">
        <f t="shared" si="6"/>
        <v>3</v>
      </c>
      <c r="O14" s="1763" t="str">
        <f t="shared" si="7"/>
        <v>1SFA619403R5232</v>
      </c>
      <c r="P14" s="1764" t="str">
        <f t="shared" si="8"/>
        <v>Portalámpara + lampara tipo LED - color Verde - alimentacion: 220-230Vac, d=22mm. - CL2-523G - línea compacta - marca ABB.</v>
      </c>
      <c r="Q14" s="120" t="str">
        <f t="shared" si="9"/>
        <v>LAMP_VERDE_220V</v>
      </c>
    </row>
    <row r="15" spans="1:1211" s="1921" customFormat="1">
      <c r="A15" s="687" t="s">
        <v>12356</v>
      </c>
      <c r="B15" s="1914">
        <v>1</v>
      </c>
      <c r="C15" s="1915" t="s">
        <v>3366</v>
      </c>
      <c r="D15" s="1916"/>
      <c r="E15" s="1917"/>
      <c r="F15" s="1918"/>
      <c r="G15" s="1919"/>
      <c r="H15" s="1919"/>
      <c r="I15" s="1919"/>
      <c r="J15" s="1920"/>
      <c r="K15" s="684">
        <f t="shared" si="4"/>
        <v>1</v>
      </c>
      <c r="L15" s="1913">
        <f>L14</f>
        <v>1</v>
      </c>
      <c r="M15" s="684">
        <f t="shared" si="5"/>
        <v>1</v>
      </c>
      <c r="N15" s="362" t="str">
        <f t="shared" ref="N15:N93" si="15">IF(O15&lt;&gt;"",K15*L15*M15,"")</f>
        <v/>
      </c>
      <c r="O15" s="1763" t="str">
        <f t="shared" ref="O15:O93" si="16">IF(D15&lt;&gt;"",IF(VLOOKUP(D15,base_datos,7,FALSE)&lt;&gt;"",VLOOKUP(D15,base_datos,7,FALSE),""),"")</f>
        <v/>
      </c>
      <c r="P15" s="1764" t="str">
        <f t="shared" ref="P15:P93" si="17">IF(O15&lt;&gt;"",VLOOKUP(D15,base_datos,6,FALSE),"")</f>
        <v/>
      </c>
      <c r="Q15" s="120" t="str">
        <f t="shared" ref="Q15:Q93" si="18">IF(O15&lt;&gt;"",D15,"")</f>
        <v/>
      </c>
    </row>
    <row r="16" spans="1:1211" s="320" customFormat="1">
      <c r="A16" s="687" t="s">
        <v>12425</v>
      </c>
      <c r="B16" s="1922">
        <v>1</v>
      </c>
      <c r="C16" s="721" t="str">
        <f>VLOOKUP(D16,base_datos,6,FALSE)</f>
        <v>Rele auxiliar enchufable +4NA/NC (D2PR4B + base D2PA6), 220Vac - marca EATON.</v>
      </c>
      <c r="D16" s="1579" t="s">
        <v>772</v>
      </c>
      <c r="E16" s="1581">
        <f>VLOOKUP(D16,base_datos,5,FALSE)</f>
        <v>27</v>
      </c>
      <c r="F16" s="1923">
        <f>+E16*B16</f>
        <v>27</v>
      </c>
      <c r="G16" s="1924"/>
      <c r="H16" s="1924"/>
      <c r="I16" s="1924"/>
      <c r="J16" s="722"/>
      <c r="K16" s="684">
        <f t="shared" si="4"/>
        <v>1</v>
      </c>
      <c r="L16" s="1913">
        <f>L13</f>
        <v>1</v>
      </c>
      <c r="M16" s="684">
        <f t="shared" si="5"/>
        <v>1</v>
      </c>
      <c r="N16" s="362">
        <f t="shared" si="15"/>
        <v>1</v>
      </c>
      <c r="O16" s="1763" t="str">
        <f t="shared" si="16"/>
        <v>D2PR4B+D2PA6</v>
      </c>
      <c r="P16" s="1764" t="str">
        <f t="shared" si="17"/>
        <v>Rele auxiliar enchufable +4NA/NC (D2PR4B + base D2PA6), 220Vac - marca EATON.</v>
      </c>
      <c r="Q16" s="120" t="str">
        <f t="shared" si="18"/>
        <v>D2PR4B+D2PA6</v>
      </c>
    </row>
    <row r="17" spans="1:18" s="320" customFormat="1">
      <c r="A17" s="687"/>
      <c r="B17" s="1922">
        <v>1</v>
      </c>
      <c r="C17" s="721" t="s">
        <v>12558</v>
      </c>
      <c r="D17" s="1579"/>
      <c r="E17" s="1581">
        <v>32</v>
      </c>
      <c r="F17" s="1581">
        <f>+E17*B17</f>
        <v>32</v>
      </c>
      <c r="G17" s="1924"/>
      <c r="H17" s="1924"/>
      <c r="I17" s="1924"/>
      <c r="J17" s="722"/>
      <c r="K17" s="684">
        <f t="shared" si="4"/>
        <v>1</v>
      </c>
      <c r="L17" s="1913">
        <f>L14</f>
        <v>1</v>
      </c>
      <c r="M17" s="684">
        <f t="shared" ref="M17" si="19">IF(B17="",1,B17)</f>
        <v>1</v>
      </c>
      <c r="N17" s="362" t="str">
        <f t="shared" ref="N17" si="20">IF(O17&lt;&gt;"",K17*L17*M17,"")</f>
        <v/>
      </c>
      <c r="O17" s="1763" t="str">
        <f t="shared" ref="O17" si="21">IF(D17&lt;&gt;"",IF(VLOOKUP(D17,base_datos,7,FALSE)&lt;&gt;"",VLOOKUP(D17,base_datos,7,FALSE),""),"")</f>
        <v/>
      </c>
      <c r="P17" s="1764" t="str">
        <f t="shared" ref="P17" si="22">IF(O17&lt;&gt;"",VLOOKUP(D17,base_datos,6,FALSE),"")</f>
        <v/>
      </c>
      <c r="Q17" s="120" t="str">
        <f t="shared" ref="Q17" si="23">IF(O17&lt;&gt;"",D17,"")</f>
        <v/>
      </c>
    </row>
    <row r="18" spans="1:18" s="320" customFormat="1">
      <c r="A18" s="687" t="s">
        <v>12551</v>
      </c>
      <c r="B18" s="1922">
        <v>3</v>
      </c>
      <c r="C18" s="721" t="str">
        <f>VLOOKUP(D18,base_datos,6,FALSE)</f>
        <v>Base portafusibles + Fusibles de protección para control.</v>
      </c>
      <c r="D18" s="1579" t="s">
        <v>453</v>
      </c>
      <c r="E18" s="1581">
        <f>VLOOKUP(D18,base_datos,5,FALSE)</f>
        <v>8.1750000000000007</v>
      </c>
      <c r="F18" s="1923">
        <f>+E18*B18</f>
        <v>24.525000000000002</v>
      </c>
      <c r="G18" s="1924"/>
      <c r="H18" s="1924"/>
      <c r="I18" s="1924"/>
      <c r="J18" s="722"/>
      <c r="K18" s="684">
        <f t="shared" si="4"/>
        <v>1</v>
      </c>
      <c r="L18" s="1913">
        <f>L15</f>
        <v>1</v>
      </c>
      <c r="M18" s="684">
        <f t="shared" si="5"/>
        <v>3</v>
      </c>
      <c r="N18" s="362" t="str">
        <f t="shared" si="15"/>
        <v/>
      </c>
      <c r="O18" s="1763" t="str">
        <f t="shared" si="16"/>
        <v/>
      </c>
      <c r="P18" s="1764" t="str">
        <f t="shared" si="17"/>
        <v/>
      </c>
      <c r="Q18" s="120" t="str">
        <f t="shared" si="18"/>
        <v/>
      </c>
    </row>
    <row r="19" spans="1:18" s="120" customFormat="1" ht="18" customHeight="1">
      <c r="A19" s="687" t="s">
        <v>3542</v>
      </c>
      <c r="B19" s="1925"/>
      <c r="C19" s="1926" t="s">
        <v>729</v>
      </c>
      <c r="D19" s="1927"/>
      <c r="E19" s="1891"/>
      <c r="F19" s="1789"/>
      <c r="G19" s="686"/>
      <c r="H19" s="686"/>
      <c r="I19" s="686"/>
      <c r="J19" s="1768"/>
      <c r="K19" s="684">
        <f t="shared" si="4"/>
        <v>1</v>
      </c>
      <c r="L19" s="363">
        <v>1</v>
      </c>
      <c r="M19" s="684">
        <f t="shared" si="5"/>
        <v>1</v>
      </c>
      <c r="N19" s="362" t="str">
        <f t="shared" si="15"/>
        <v/>
      </c>
      <c r="O19" s="1763" t="str">
        <f t="shared" si="16"/>
        <v/>
      </c>
      <c r="P19" s="1764" t="str">
        <f t="shared" si="17"/>
        <v/>
      </c>
      <c r="Q19" s="120" t="str">
        <f t="shared" si="18"/>
        <v/>
      </c>
    </row>
    <row r="20" spans="1:18" s="120" customFormat="1" ht="18" customHeight="1">
      <c r="A20" s="687"/>
      <c r="B20" s="1781"/>
      <c r="C20" s="1959" t="s">
        <v>3158</v>
      </c>
      <c r="D20" s="2005"/>
      <c r="E20" s="1791"/>
      <c r="F20" s="1782"/>
      <c r="G20" s="686"/>
      <c r="H20" s="686" t="s">
        <v>12424</v>
      </c>
      <c r="I20" s="686"/>
      <c r="J20" s="688"/>
      <c r="K20" s="684">
        <f t="shared" si="4"/>
        <v>1</v>
      </c>
      <c r="L20" s="708">
        <v>1</v>
      </c>
      <c r="M20" s="684">
        <f t="shared" si="5"/>
        <v>1</v>
      </c>
      <c r="N20" s="362" t="str">
        <f t="shared" si="15"/>
        <v/>
      </c>
      <c r="O20" s="1763" t="str">
        <f t="shared" si="16"/>
        <v/>
      </c>
      <c r="P20" s="1764" t="str">
        <f t="shared" si="17"/>
        <v/>
      </c>
      <c r="Q20" s="120" t="str">
        <f t="shared" si="18"/>
        <v/>
      </c>
      <c r="R20" s="185"/>
    </row>
    <row r="21" spans="1:18" s="690" customFormat="1" ht="18" customHeight="1">
      <c r="A21" s="687"/>
      <c r="B21" s="1906">
        <v>1</v>
      </c>
      <c r="C21" s="1960" t="str">
        <f>VLOOKUP(D21,base_datos,6,FALSE)</f>
        <v>ITM Caja Moldeada 3x50A (reg.[0.7-1.0] In) - XT1B160-50A-3P-TMD - 25kA@230Vac, 18kA@415Vac, 18kA@250Vdc - marca ABB.</v>
      </c>
      <c r="D21" s="2006" t="s">
        <v>4368</v>
      </c>
      <c r="E21" s="1791">
        <f>VLOOKUP(D21,base_datos,5,FALSE)</f>
        <v>120.37</v>
      </c>
      <c r="F21" s="1782">
        <f>+E21*B21</f>
        <v>120.37</v>
      </c>
      <c r="G21" s="1761"/>
      <c r="H21" s="1761"/>
      <c r="I21" s="910"/>
      <c r="J21" s="689"/>
      <c r="K21" s="684">
        <f t="shared" si="4"/>
        <v>1</v>
      </c>
      <c r="L21" s="708">
        <v>1</v>
      </c>
      <c r="M21" s="684">
        <f t="shared" si="5"/>
        <v>1</v>
      </c>
      <c r="N21" s="362">
        <f t="shared" si="15"/>
        <v>1</v>
      </c>
      <c r="O21" s="1763" t="str">
        <f t="shared" si="16"/>
        <v>1SDA066804R1</v>
      </c>
      <c r="P21" s="1764" t="str">
        <f t="shared" si="17"/>
        <v>ITM Caja Moldeada 3x50A (reg.[0.7-1.0] In) - XT1B160-50A-3P-TMD - 25kA@230Vac, 18kA@415Vac, 18kA@250Vdc - marca ABB.</v>
      </c>
      <c r="Q21" s="120" t="str">
        <f t="shared" si="18"/>
        <v>XT1B160-50A-3P-TMD</v>
      </c>
      <c r="R21" s="185"/>
    </row>
    <row r="22" spans="1:18" s="185" customFormat="1" ht="18" customHeight="1">
      <c r="A22" s="687"/>
      <c r="B22" s="714"/>
      <c r="C22" s="313" t="s">
        <v>729</v>
      </c>
      <c r="D22" s="173"/>
      <c r="E22" s="1786"/>
      <c r="F22" s="1787"/>
      <c r="G22" s="710"/>
      <c r="H22" s="710"/>
      <c r="I22" s="710"/>
      <c r="J22" s="711"/>
      <c r="K22" s="684">
        <f t="shared" si="4"/>
        <v>1</v>
      </c>
      <c r="L22" s="708">
        <v>1</v>
      </c>
      <c r="M22" s="684">
        <f t="shared" si="5"/>
        <v>1</v>
      </c>
      <c r="N22" s="362" t="str">
        <f t="shared" si="15"/>
        <v/>
      </c>
      <c r="O22" s="1763" t="str">
        <f t="shared" si="16"/>
        <v/>
      </c>
      <c r="P22" s="1764" t="str">
        <f t="shared" si="17"/>
        <v/>
      </c>
      <c r="Q22" s="120" t="str">
        <f t="shared" si="18"/>
        <v/>
      </c>
    </row>
    <row r="23" spans="1:18" s="690" customFormat="1" ht="18" customHeight="1">
      <c r="A23" s="687"/>
      <c r="B23" s="1851"/>
      <c r="C23" s="1966" t="s">
        <v>3377</v>
      </c>
      <c r="D23" s="1582"/>
      <c r="E23" s="1780"/>
      <c r="F23" s="1782"/>
      <c r="G23" s="1761"/>
      <c r="H23" s="1761"/>
      <c r="I23" s="1761"/>
      <c r="J23" s="689"/>
      <c r="K23" s="684">
        <f t="shared" si="4"/>
        <v>1</v>
      </c>
      <c r="L23" s="708">
        <v>1</v>
      </c>
      <c r="M23" s="684">
        <f t="shared" si="5"/>
        <v>1</v>
      </c>
      <c r="N23" s="362" t="str">
        <f t="shared" si="15"/>
        <v/>
      </c>
      <c r="O23" s="1763" t="str">
        <f t="shared" si="16"/>
        <v/>
      </c>
      <c r="P23" s="1764" t="str">
        <f t="shared" si="17"/>
        <v/>
      </c>
      <c r="Q23" s="120" t="str">
        <f t="shared" si="18"/>
        <v/>
      </c>
      <c r="R23" s="185"/>
    </row>
    <row r="24" spans="1:18" s="2507" customFormat="1" ht="18" customHeight="1">
      <c r="A24" s="2495"/>
      <c r="B24" s="2496">
        <v>1</v>
      </c>
      <c r="C24" s="2497" t="str">
        <f t="shared" ref="C24:C29" si="24">VLOOKUP(D24,base_datos,6,FALSE)</f>
        <v>ITM Caja Moldeada 3x40A (reg.[0.7-1.0] In) - XT1B160-40A-3P-TMD - 25kA@230Vac, 18kA@415Vac, 18kA@250Vdc - marca ABB.</v>
      </c>
      <c r="D24" s="2498" t="s">
        <v>4366</v>
      </c>
      <c r="E24" s="2499">
        <f t="shared" ref="E24:E29" si="25">VLOOKUP(D24,base_datos,5,FALSE)</f>
        <v>120.37</v>
      </c>
      <c r="F24" s="2500">
        <f t="shared" ref="F24:F29" si="26">+E24*B24</f>
        <v>120.37</v>
      </c>
      <c r="G24" s="2493"/>
      <c r="H24" s="2493"/>
      <c r="I24" s="2493"/>
      <c r="J24" s="2501"/>
      <c r="K24" s="2502">
        <f t="shared" si="4"/>
        <v>1</v>
      </c>
      <c r="L24" s="2503">
        <v>1</v>
      </c>
      <c r="M24" s="2502">
        <f t="shared" si="5"/>
        <v>1</v>
      </c>
      <c r="N24" s="2504">
        <f t="shared" si="15"/>
        <v>1</v>
      </c>
      <c r="O24" s="2505" t="str">
        <f t="shared" si="16"/>
        <v>1SDA066803R1</v>
      </c>
      <c r="P24" s="2506" t="str">
        <f t="shared" si="17"/>
        <v>ITM Caja Moldeada 3x40A (reg.[0.7-1.0] In) - XT1B160-40A-3P-TMD - 25kA@230Vac, 18kA@415Vac, 18kA@250Vdc - marca ABB.</v>
      </c>
      <c r="Q24" s="1391" t="str">
        <f t="shared" si="18"/>
        <v>XT1B160-40A-3P-TMD</v>
      </c>
      <c r="R24" s="1397"/>
    </row>
    <row r="25" spans="1:18" s="690" customFormat="1" ht="18" customHeight="1">
      <c r="A25" s="1767"/>
      <c r="B25" s="1781">
        <v>1</v>
      </c>
      <c r="C25" s="1960" t="str">
        <f t="shared" si="24"/>
        <v>ITM Caja Moldeada 3x20A (reg.[0.7-1.0] In) - XT1B160-20A-3P-TMD - 25kA@230Vac, 18kA@415Vac, 18kA@250Vdc - marca ABB.</v>
      </c>
      <c r="D25" s="2006" t="s">
        <v>4360</v>
      </c>
      <c r="E25" s="1791">
        <f t="shared" si="25"/>
        <v>120.37</v>
      </c>
      <c r="F25" s="1782">
        <f t="shared" si="26"/>
        <v>120.37</v>
      </c>
      <c r="G25" s="1761"/>
      <c r="H25" s="1761"/>
      <c r="I25" s="1761"/>
      <c r="J25" s="1783"/>
      <c r="K25" s="684">
        <f t="shared" si="4"/>
        <v>1</v>
      </c>
      <c r="L25" s="708">
        <v>1</v>
      </c>
      <c r="M25" s="684">
        <f t="shared" si="5"/>
        <v>1</v>
      </c>
      <c r="N25" s="362">
        <f t="shared" si="15"/>
        <v>1</v>
      </c>
      <c r="O25" s="1763" t="str">
        <f t="shared" si="16"/>
        <v>1SDA066800R1</v>
      </c>
      <c r="P25" s="1764" t="str">
        <f t="shared" si="17"/>
        <v>ITM Caja Moldeada 3x20A (reg.[0.7-1.0] In) - XT1B160-20A-3P-TMD - 25kA@230Vac, 18kA@415Vac, 18kA@250Vdc - marca ABB.</v>
      </c>
      <c r="Q25" s="120" t="str">
        <f t="shared" si="18"/>
        <v>XT1B160-20A-3P-TMD</v>
      </c>
      <c r="R25" s="185"/>
    </row>
    <row r="26" spans="1:18" s="2434" customFormat="1" ht="18" customHeight="1">
      <c r="A26" s="2464"/>
      <c r="B26" s="2435">
        <v>3</v>
      </c>
      <c r="C26" s="2436" t="str">
        <f t="shared" si="24"/>
        <v>ITM Caja Moldeada 2x16A - A1N/P125-16A-2P-TMF - 50kA@230Vac, 36kA@400Vac, 10kA@125Vdc - marca ABB.</v>
      </c>
      <c r="D26" s="2481" t="s">
        <v>1172</v>
      </c>
      <c r="E26" s="2482">
        <f t="shared" si="25"/>
        <v>59.769999999999996</v>
      </c>
      <c r="F26" s="2422">
        <f t="shared" si="26"/>
        <v>179.31</v>
      </c>
      <c r="G26" s="2424"/>
      <c r="H26" s="2424"/>
      <c r="I26" s="2424"/>
      <c r="J26" s="2425"/>
      <c r="K26" s="2426">
        <f t="shared" si="4"/>
        <v>1</v>
      </c>
      <c r="L26" s="2463">
        <v>1</v>
      </c>
      <c r="M26" s="2428">
        <f t="shared" ref="M26:M65" si="27">IF(B26="",1,B26)</f>
        <v>3</v>
      </c>
      <c r="N26" s="2429">
        <f t="shared" si="15"/>
        <v>3</v>
      </c>
      <c r="O26" s="2430" t="str">
        <f t="shared" si="16"/>
        <v>1SDA069551R1</v>
      </c>
      <c r="P26" s="2431" t="str">
        <f t="shared" si="17"/>
        <v>ITM Caja Moldeada 2x16A - A1N/P125-16A-2P-TMF - 50kA@230Vac, 36kA@400Vac, 10kA@125Vdc - marca ABB.</v>
      </c>
      <c r="Q26" s="2432" t="str">
        <f t="shared" si="18"/>
        <v>A1N/P125-16A-2P-TMF</v>
      </c>
      <c r="R26" s="2433"/>
    </row>
    <row r="27" spans="1:18" s="690" customFormat="1" ht="18" customHeight="1">
      <c r="A27" s="1767"/>
      <c r="B27" s="1781">
        <v>12</v>
      </c>
      <c r="C27" s="1960" t="str">
        <f t="shared" si="24"/>
        <v>ITM Riel-Din 2x16A - S202-C-16A - 10kA@400Vac-IEC60947-2 - marca ABB.</v>
      </c>
      <c r="D27" s="2007" t="s">
        <v>970</v>
      </c>
      <c r="E27" s="1791">
        <f t="shared" si="25"/>
        <v>17.96</v>
      </c>
      <c r="F27" s="1782">
        <f t="shared" si="26"/>
        <v>215.52</v>
      </c>
      <c r="G27" s="1761"/>
      <c r="H27" s="1761"/>
      <c r="I27" s="1761"/>
      <c r="J27" s="1783"/>
      <c r="K27" s="684">
        <f t="shared" si="4"/>
        <v>1</v>
      </c>
      <c r="L27" s="708">
        <v>1</v>
      </c>
      <c r="M27" s="709">
        <f t="shared" si="27"/>
        <v>12</v>
      </c>
      <c r="N27" s="362">
        <f t="shared" si="15"/>
        <v>12</v>
      </c>
      <c r="O27" s="1763" t="str">
        <f t="shared" si="16"/>
        <v>2CDS252001R0164</v>
      </c>
      <c r="P27" s="1764" t="str">
        <f t="shared" si="17"/>
        <v>ITM Riel-Din 2x16A - S202-C-16A - 10kA@400Vac-IEC60947-2 - marca ABB.</v>
      </c>
      <c r="Q27" s="120" t="str">
        <f t="shared" si="18"/>
        <v>S202-C-16A</v>
      </c>
      <c r="R27" s="185"/>
    </row>
    <row r="28" spans="1:18" s="690" customFormat="1" ht="18" customHeight="1">
      <c r="A28" s="1767"/>
      <c r="B28" s="1781">
        <v>12</v>
      </c>
      <c r="C28" s="1960" t="str">
        <f t="shared" si="24"/>
        <v>Interruptor Diferencial 2x25A - 30mA - clase A (inmunizado) - FH202-A-25A-30mA - marca ABB.</v>
      </c>
      <c r="D28" s="2006" t="s">
        <v>5318</v>
      </c>
      <c r="E28" s="1791">
        <f t="shared" si="25"/>
        <v>50</v>
      </c>
      <c r="F28" s="1782">
        <f t="shared" si="26"/>
        <v>600</v>
      </c>
      <c r="G28" s="1761"/>
      <c r="H28" s="1761"/>
      <c r="I28" s="1761"/>
      <c r="J28" s="1783"/>
      <c r="K28" s="684">
        <f t="shared" si="4"/>
        <v>1</v>
      </c>
      <c r="L28" s="708">
        <v>1</v>
      </c>
      <c r="M28" s="709">
        <f t="shared" si="27"/>
        <v>12</v>
      </c>
      <c r="N28" s="362">
        <f t="shared" si="15"/>
        <v>12</v>
      </c>
      <c r="O28" s="1763" t="str">
        <f t="shared" si="16"/>
        <v>2CSF202102R1250</v>
      </c>
      <c r="P28" s="1764" t="str">
        <f t="shared" si="17"/>
        <v>Interruptor Diferencial 2x25A - 30mA - clase A (inmunizado) - FH202-A-25A-30mA - marca ABB.</v>
      </c>
      <c r="Q28" s="120" t="str">
        <f t="shared" si="18"/>
        <v>FH202-A-25A-30mA</v>
      </c>
      <c r="R28" s="185"/>
    </row>
    <row r="29" spans="1:18" s="690" customFormat="1" ht="18" customHeight="1">
      <c r="A29" s="1767"/>
      <c r="B29" s="1781">
        <v>3</v>
      </c>
      <c r="C29" s="1960" t="str">
        <f t="shared" si="24"/>
        <v>Espacio de reserva monofasica + interruptor diferencial - Riel-Din.</v>
      </c>
      <c r="D29" s="2006" t="s">
        <v>2926</v>
      </c>
      <c r="E29" s="1791">
        <f t="shared" si="25"/>
        <v>2.5</v>
      </c>
      <c r="F29" s="1782">
        <f t="shared" si="26"/>
        <v>7.5</v>
      </c>
      <c r="G29" s="1761"/>
      <c r="H29" s="1761"/>
      <c r="I29" s="1761"/>
      <c r="J29" s="1783"/>
      <c r="K29" s="684">
        <f t="shared" si="4"/>
        <v>1</v>
      </c>
      <c r="L29" s="708">
        <v>1</v>
      </c>
      <c r="M29" s="709">
        <f t="shared" si="27"/>
        <v>3</v>
      </c>
      <c r="N29" s="362" t="str">
        <f t="shared" si="15"/>
        <v/>
      </c>
      <c r="O29" s="1763" t="str">
        <f t="shared" si="16"/>
        <v/>
      </c>
      <c r="P29" s="1764" t="str">
        <f t="shared" si="17"/>
        <v/>
      </c>
      <c r="Q29" s="120" t="str">
        <f t="shared" si="18"/>
        <v/>
      </c>
      <c r="R29" s="185"/>
    </row>
    <row r="30" spans="1:18" s="185" customFormat="1">
      <c r="A30" s="692"/>
      <c r="B30" s="714"/>
      <c r="C30" s="1893" t="s">
        <v>729</v>
      </c>
      <c r="D30" s="1941"/>
      <c r="E30" s="1786"/>
      <c r="F30" s="1787"/>
      <c r="G30" s="710"/>
      <c r="H30" s="710"/>
      <c r="I30" s="710"/>
      <c r="J30" s="711"/>
      <c r="K30" s="684">
        <f t="shared" si="4"/>
        <v>1</v>
      </c>
      <c r="L30" s="363">
        <v>1</v>
      </c>
      <c r="M30" s="709">
        <f>IF(B30="",1,B30)</f>
        <v>1</v>
      </c>
      <c r="N30" s="362" t="str">
        <f t="shared" si="15"/>
        <v/>
      </c>
      <c r="O30" s="1763" t="str">
        <f t="shared" si="16"/>
        <v/>
      </c>
      <c r="P30" s="1764" t="str">
        <f t="shared" si="17"/>
        <v/>
      </c>
      <c r="Q30" s="120" t="str">
        <f t="shared" si="18"/>
        <v/>
      </c>
    </row>
    <row r="31" spans="1:18" s="315" customFormat="1">
      <c r="A31" s="1785"/>
      <c r="B31" s="355">
        <v>1</v>
      </c>
      <c r="C31" s="1944" t="s">
        <v>13060</v>
      </c>
      <c r="D31" s="1941"/>
      <c r="E31" s="1786"/>
      <c r="F31" s="1908">
        <f>SUM(F32:F70)*(B31-1)</f>
        <v>0</v>
      </c>
      <c r="G31" s="712"/>
      <c r="H31" s="712"/>
      <c r="I31" s="712"/>
      <c r="J31" s="713"/>
      <c r="K31" s="684">
        <f t="shared" si="4"/>
        <v>1</v>
      </c>
      <c r="L31" s="1909">
        <f>B31</f>
        <v>1</v>
      </c>
      <c r="M31" s="709">
        <f>IF(B31="",1,B31)</f>
        <v>1</v>
      </c>
      <c r="N31" s="362" t="str">
        <f t="shared" si="15"/>
        <v/>
      </c>
      <c r="O31" s="1763" t="str">
        <f t="shared" si="16"/>
        <v/>
      </c>
      <c r="P31" s="1764" t="str">
        <f t="shared" si="17"/>
        <v/>
      </c>
      <c r="Q31" s="120" t="str">
        <f t="shared" si="18"/>
        <v/>
      </c>
    </row>
    <row r="32" spans="1:18" s="690" customFormat="1" ht="18" customHeight="1">
      <c r="A32" s="691"/>
      <c r="B32" s="1781">
        <v>1</v>
      </c>
      <c r="C32" s="1420" t="str">
        <f>VLOOKUP(D32,base_datos,6,FALSE)</f>
        <v>Contactor 3x09A(AC-3) / 3x25A(AC-1) +1NA - AF09-30-10-13 - bobina 100-250Vac/dc - marca ABB.</v>
      </c>
      <c r="D32" s="1901" t="s">
        <v>1447</v>
      </c>
      <c r="E32" s="1791">
        <f>VLOOKUP(D32,base_datos,5,FALSE)</f>
        <v>29.89</v>
      </c>
      <c r="F32" s="1912">
        <f>+E32*B32</f>
        <v>29.89</v>
      </c>
      <c r="G32" s="1761"/>
      <c r="H32" s="1761"/>
      <c r="I32" s="1761"/>
      <c r="J32" s="1783"/>
      <c r="K32" s="684">
        <f t="shared" si="4"/>
        <v>1</v>
      </c>
      <c r="L32" s="1913">
        <f>L31</f>
        <v>1</v>
      </c>
      <c r="M32" s="709">
        <f t="shared" ref="M32:M41" si="28">IF(B32="",1,B32)</f>
        <v>1</v>
      </c>
      <c r="N32" s="362">
        <f t="shared" si="15"/>
        <v>1</v>
      </c>
      <c r="O32" s="1763" t="str">
        <f t="shared" si="16"/>
        <v>1SBL137001R1310</v>
      </c>
      <c r="P32" s="1764" t="str">
        <f t="shared" si="17"/>
        <v>Contactor 3x09A(AC-3) / 3x25A(AC-1) +1NA - AF09-30-10-13 - bobina 100-250Vac/dc - marca ABB.</v>
      </c>
      <c r="Q32" s="120" t="str">
        <f t="shared" si="18"/>
        <v>AF09-30-10-13_3p</v>
      </c>
      <c r="R32" s="185"/>
    </row>
    <row r="33" spans="1:18" s="690" customFormat="1" ht="18" customHeight="1">
      <c r="A33" s="691"/>
      <c r="B33" s="1922">
        <v>1</v>
      </c>
      <c r="C33" s="1848" t="str">
        <f>VLOOKUP(D33,base_datos,6,FALSE)</f>
        <v>Contacto auxiliar frontal 1NA para contactor AF09..AF16-30-10, frontal - Modelo CA4-10 - marca ABB.</v>
      </c>
      <c r="D33" s="1901" t="s">
        <v>2718</v>
      </c>
      <c r="E33" s="1791">
        <f>VLOOKUP(D33,base_datos,5,FALSE)</f>
        <v>5.92</v>
      </c>
      <c r="F33" s="1912">
        <f>+E33*B33</f>
        <v>5.92</v>
      </c>
      <c r="G33" s="1761"/>
      <c r="H33" s="1761"/>
      <c r="I33" s="1761"/>
      <c r="J33" s="1783"/>
      <c r="K33" s="684">
        <f t="shared" si="4"/>
        <v>1</v>
      </c>
      <c r="L33" s="1913">
        <f>L32</f>
        <v>1</v>
      </c>
      <c r="M33" s="709">
        <f t="shared" si="28"/>
        <v>1</v>
      </c>
      <c r="N33" s="362">
        <f t="shared" si="15"/>
        <v>1</v>
      </c>
      <c r="O33" s="1763" t="str">
        <f t="shared" si="16"/>
        <v>1SBN010110R1010</v>
      </c>
      <c r="P33" s="1764" t="str">
        <f t="shared" si="17"/>
        <v>Contacto auxiliar frontal 1NA para contactor AF09..AF16-30-10, frontal - Modelo CA4-10 - marca ABB.</v>
      </c>
      <c r="Q33" s="120" t="str">
        <f t="shared" si="18"/>
        <v>CA4-10</v>
      </c>
      <c r="R33" s="185"/>
    </row>
    <row r="34" spans="1:18" s="1921" customFormat="1">
      <c r="A34" s="687"/>
      <c r="B34" s="1914">
        <v>1</v>
      </c>
      <c r="C34" s="1915" t="s">
        <v>3366</v>
      </c>
      <c r="D34" s="1916"/>
      <c r="E34" s="1917"/>
      <c r="F34" s="1918"/>
      <c r="G34" s="1919"/>
      <c r="H34" s="1919"/>
      <c r="I34" s="1919"/>
      <c r="J34" s="1920"/>
      <c r="K34" s="684">
        <f t="shared" si="4"/>
        <v>1</v>
      </c>
      <c r="L34" s="1913">
        <f>L33</f>
        <v>1</v>
      </c>
      <c r="M34" s="684">
        <f t="shared" si="28"/>
        <v>1</v>
      </c>
      <c r="N34" s="362" t="str">
        <f t="shared" ref="N34" si="29">IF(O34&lt;&gt;"",K34*L34*M34,"")</f>
        <v/>
      </c>
      <c r="O34" s="1763" t="str">
        <f t="shared" ref="O34" si="30">IF(D34&lt;&gt;"",IF(VLOOKUP(D34,base_datos,7,FALSE)&lt;&gt;"",VLOOKUP(D34,base_datos,7,FALSE),""),"")</f>
        <v/>
      </c>
      <c r="P34" s="1764" t="str">
        <f t="shared" ref="P34" si="31">IF(O34&lt;&gt;"",VLOOKUP(D34,base_datos,6,FALSE),"")</f>
        <v/>
      </c>
      <c r="Q34" s="120" t="str">
        <f t="shared" ref="Q34" si="32">IF(O34&lt;&gt;"",D34,"")</f>
        <v/>
      </c>
    </row>
    <row r="35" spans="1:18" s="695" customFormat="1" ht="18" customHeight="1">
      <c r="A35" s="693"/>
      <c r="B35" s="1922">
        <v>1</v>
      </c>
      <c r="C35" s="1848" t="str">
        <f t="shared" ref="C35:C37" si="33">VLOOKUP(D35,base_datos,6,FALSE)</f>
        <v>Base portafusibles + Fusibles de protección para control.</v>
      </c>
      <c r="D35" s="1886" t="s">
        <v>453</v>
      </c>
      <c r="E35" s="1795">
        <f t="shared" ref="E35:E37" si="34">VLOOKUP(D35,base_datos,5,FALSE)</f>
        <v>8.1750000000000007</v>
      </c>
      <c r="F35" s="1923">
        <f t="shared" ref="F35:F37" si="35">+E35*B35</f>
        <v>8.1750000000000007</v>
      </c>
      <c r="G35" s="696"/>
      <c r="H35" s="696"/>
      <c r="I35" s="696"/>
      <c r="J35" s="697"/>
      <c r="K35" s="684">
        <f>+K33</f>
        <v>1</v>
      </c>
      <c r="L35" s="1913">
        <f>L33</f>
        <v>1</v>
      </c>
      <c r="M35" s="709">
        <f t="shared" si="28"/>
        <v>1</v>
      </c>
      <c r="N35" s="362" t="str">
        <f t="shared" si="15"/>
        <v/>
      </c>
      <c r="O35" s="1763" t="str">
        <f t="shared" si="16"/>
        <v/>
      </c>
      <c r="P35" s="1764" t="str">
        <f t="shared" si="17"/>
        <v/>
      </c>
      <c r="Q35" s="120" t="str">
        <f t="shared" si="18"/>
        <v/>
      </c>
      <c r="R35" s="185"/>
    </row>
    <row r="36" spans="1:18" s="695" customFormat="1" ht="18" customHeight="1">
      <c r="A36" s="693"/>
      <c r="B36" s="1922">
        <v>1</v>
      </c>
      <c r="C36" s="1848" t="str">
        <f t="shared" ref="C36" si="36">VLOOKUP(D36,base_datos,6,FALSE)</f>
        <v>Borne para neutro.</v>
      </c>
      <c r="D36" s="1886" t="s">
        <v>13049</v>
      </c>
      <c r="E36" s="1795">
        <f t="shared" ref="E36" si="37">VLOOKUP(D36,base_datos,5,FALSE)</f>
        <v>4</v>
      </c>
      <c r="F36" s="1923">
        <f t="shared" ref="F36" si="38">+E36*B36</f>
        <v>4</v>
      </c>
      <c r="G36" s="696"/>
      <c r="H36" s="696"/>
      <c r="I36" s="696"/>
      <c r="J36" s="697"/>
      <c r="K36" s="684">
        <f>+K34</f>
        <v>1</v>
      </c>
      <c r="L36" s="1913">
        <f t="shared" ref="L36:L37" si="39">L34</f>
        <v>1</v>
      </c>
      <c r="M36" s="709">
        <f t="shared" ref="M36" si="40">IF(B36="",1,B36)</f>
        <v>1</v>
      </c>
      <c r="N36" s="362" t="str">
        <f t="shared" ref="N36" si="41">IF(O36&lt;&gt;"",K36*L36*M36,"")</f>
        <v/>
      </c>
      <c r="O36" s="1763" t="str">
        <f t="shared" ref="O36" si="42">IF(D36&lt;&gt;"",IF(VLOOKUP(D36,base_datos,7,FALSE)&lt;&gt;"",VLOOKUP(D36,base_datos,7,FALSE),""),"")</f>
        <v/>
      </c>
      <c r="P36" s="1764" t="str">
        <f t="shared" ref="P36" si="43">IF(O36&lt;&gt;"",VLOOKUP(D36,base_datos,6,FALSE),"")</f>
        <v/>
      </c>
      <c r="Q36" s="120" t="str">
        <f t="shared" ref="Q36" si="44">IF(O36&lt;&gt;"",D36,"")</f>
        <v/>
      </c>
      <c r="R36" s="185"/>
    </row>
    <row r="37" spans="1:18" s="695" customFormat="1" ht="18" customHeight="1">
      <c r="A37" s="693"/>
      <c r="B37" s="1922">
        <v>2</v>
      </c>
      <c r="C37" s="1848" t="str">
        <f t="shared" si="33"/>
        <v>Borne 4mm2.</v>
      </c>
      <c r="D37" s="1886" t="s">
        <v>437</v>
      </c>
      <c r="E37" s="1795">
        <f t="shared" si="34"/>
        <v>2.5</v>
      </c>
      <c r="F37" s="1923">
        <f t="shared" si="35"/>
        <v>5</v>
      </c>
      <c r="G37" s="696"/>
      <c r="H37" s="696"/>
      <c r="I37" s="696"/>
      <c r="J37" s="697"/>
      <c r="K37" s="684">
        <f>+K35</f>
        <v>1</v>
      </c>
      <c r="L37" s="1913">
        <f t="shared" si="39"/>
        <v>1</v>
      </c>
      <c r="M37" s="709">
        <f t="shared" si="28"/>
        <v>2</v>
      </c>
      <c r="N37" s="362" t="str">
        <f t="shared" si="15"/>
        <v/>
      </c>
      <c r="O37" s="1763" t="str">
        <f t="shared" si="16"/>
        <v/>
      </c>
      <c r="P37" s="1764" t="str">
        <f t="shared" si="17"/>
        <v/>
      </c>
      <c r="Q37" s="120" t="str">
        <f t="shared" si="18"/>
        <v/>
      </c>
      <c r="R37" s="185"/>
    </row>
    <row r="38" spans="1:18" s="185" customFormat="1">
      <c r="A38" s="687"/>
      <c r="B38" s="714"/>
      <c r="C38" s="313" t="s">
        <v>729</v>
      </c>
      <c r="D38" s="36"/>
      <c r="E38" s="1971"/>
      <c r="F38" s="1787"/>
      <c r="G38" s="710"/>
      <c r="H38" s="710"/>
      <c r="I38" s="710"/>
      <c r="J38" s="711"/>
      <c r="K38" s="684">
        <f t="shared" ref="K38" si="45">K36</f>
        <v>1</v>
      </c>
      <c r="L38" s="363">
        <v>1</v>
      </c>
      <c r="M38" s="684">
        <f t="shared" si="28"/>
        <v>1</v>
      </c>
      <c r="N38" s="1905" t="str">
        <f>IF(O38&lt;&gt;"",K38*L38*M38,"")</f>
        <v/>
      </c>
      <c r="O38" s="1571" t="str">
        <f>IF(D38&lt;&gt;"",IF(VLOOKUP(D38,base_datos,7,FALSE)&lt;&gt;"",VLOOKUP(D38,base_datos,7,FALSE),""),"")</f>
        <v/>
      </c>
      <c r="P38" s="320" t="str">
        <f>IF(O38&lt;&gt;"",VLOOKUP(D38,base_datos,6,FALSE),"")</f>
        <v/>
      </c>
      <c r="Q38" s="185" t="str">
        <f>IF(O38&lt;&gt;"",D38,"")</f>
        <v/>
      </c>
    </row>
    <row r="39" spans="1:18" s="2434" customFormat="1" ht="18" customHeight="1">
      <c r="A39" s="2418"/>
      <c r="B39" s="2419">
        <v>1</v>
      </c>
      <c r="C39" s="2420" t="s">
        <v>12423</v>
      </c>
      <c r="D39" s="2421"/>
      <c r="E39" s="2422"/>
      <c r="F39" s="2423">
        <f>SUM(F40:F44)*(B39-1)</f>
        <v>0</v>
      </c>
      <c r="G39" s="2424"/>
      <c r="H39" s="2424"/>
      <c r="I39" s="2424"/>
      <c r="J39" s="2425"/>
      <c r="K39" s="2426">
        <f>K36</f>
        <v>1</v>
      </c>
      <c r="L39" s="2427">
        <f>B39</f>
        <v>1</v>
      </c>
      <c r="M39" s="2428">
        <f t="shared" si="28"/>
        <v>1</v>
      </c>
      <c r="N39" s="2429" t="str">
        <f>IF(O39&lt;&gt;"",K39*L39*M39,"")</f>
        <v/>
      </c>
      <c r="O39" s="2430" t="str">
        <f>IF(D39&lt;&gt;"",IF(VLOOKUP(D39,base_datos,7,FALSE)&lt;&gt;"",VLOOKUP(D39,base_datos,7,FALSE),""),"")</f>
        <v/>
      </c>
      <c r="P39" s="2431" t="str">
        <f>IF(O39&lt;&gt;"",VLOOKUP(D39,base_datos,6,FALSE),"")</f>
        <v/>
      </c>
      <c r="Q39" s="2432" t="str">
        <f>IF(O39&lt;&gt;"",D39,"")</f>
        <v/>
      </c>
      <c r="R39" s="2433"/>
    </row>
    <row r="40" spans="1:18" s="2434" customFormat="1" ht="18" customHeight="1">
      <c r="A40" s="2418"/>
      <c r="B40" s="2435">
        <v>1</v>
      </c>
      <c r="C40" s="2436" t="str">
        <f>VLOOKUP(D40,base_datos,6,FALSE)</f>
        <v>Selector 3 posiciones mantenidos - 1-0-2 / M-0-A - maneta corta, contactos 2NA - C3SS1-10B-20 - compacto - marca ABB.</v>
      </c>
      <c r="D40" s="2437" t="s">
        <v>1223</v>
      </c>
      <c r="E40" s="2422">
        <f>VLOOKUP(D40,base_datos,5,FALSE)</f>
        <v>16.680000000000003</v>
      </c>
      <c r="F40" s="2438">
        <f t="shared" ref="F40" si="46">+E40*B40</f>
        <v>16.680000000000003</v>
      </c>
      <c r="G40" s="2424"/>
      <c r="H40" s="2424"/>
      <c r="I40" s="2424"/>
      <c r="J40" s="2425"/>
      <c r="K40" s="2426">
        <f>K37</f>
        <v>1</v>
      </c>
      <c r="L40" s="2427">
        <f>L39</f>
        <v>1</v>
      </c>
      <c r="M40" s="2428">
        <f t="shared" si="28"/>
        <v>1</v>
      </c>
      <c r="N40" s="2429">
        <f>IF(O40&lt;&gt;"",K40*L40*M40,"")</f>
        <v>1</v>
      </c>
      <c r="O40" s="2430" t="str">
        <f>IF(D40&lt;&gt;"",IF(VLOOKUP(D40,base_datos,7,FALSE)&lt;&gt;"",VLOOKUP(D40,base_datos,7,FALSE),""),"")</f>
        <v>1SFA619210R1026</v>
      </c>
      <c r="P40" s="2431" t="str">
        <f>IF(O40&lt;&gt;"",VLOOKUP(D40,base_datos,6,FALSE),"")</f>
        <v>Selector 3 posiciones mantenidos - 1-0-2 / M-0-A - maneta corta, contactos 2NA - C3SS1-10B-20 - compacto - marca ABB.</v>
      </c>
      <c r="Q40" s="2432" t="str">
        <f>IF(O40&lt;&gt;"",D40,"")</f>
        <v>SEL_1-0-2</v>
      </c>
      <c r="R40" s="2433"/>
    </row>
    <row r="41" spans="1:18" s="2432" customFormat="1">
      <c r="A41" s="2418"/>
      <c r="B41" s="2435">
        <v>1</v>
      </c>
      <c r="C41" s="2439" t="s">
        <v>3366</v>
      </c>
      <c r="D41" s="2440"/>
      <c r="E41" s="2422"/>
      <c r="F41" s="2438"/>
      <c r="G41" s="2441"/>
      <c r="H41" s="2441"/>
      <c r="I41" s="2441"/>
      <c r="J41" s="2442"/>
      <c r="K41" s="2426">
        <f t="shared" ref="K41:K49" si="47">K39</f>
        <v>1</v>
      </c>
      <c r="L41" s="2427">
        <f>L42</f>
        <v>1</v>
      </c>
      <c r="M41" s="2426">
        <f t="shared" si="28"/>
        <v>1</v>
      </c>
      <c r="N41" s="2429" t="str">
        <f t="shared" ref="N41" si="48">IF(O41&lt;&gt;"",K41*L41*M41,"")</f>
        <v/>
      </c>
      <c r="O41" s="2430" t="str">
        <f t="shared" ref="O41" si="49">IF(D41&lt;&gt;"",IF(VLOOKUP(D41,base_datos,7,FALSE)&lt;&gt;"",VLOOKUP(D41,base_datos,7,FALSE),""),"")</f>
        <v/>
      </c>
      <c r="P41" s="2431" t="str">
        <f t="shared" ref="P41" si="50">IF(O41&lt;&gt;"",VLOOKUP(D41,base_datos,6,FALSE),"")</f>
        <v/>
      </c>
      <c r="Q41" s="2432" t="str">
        <f t="shared" ref="Q41" si="51">IF(O41&lt;&gt;"",D41,"")</f>
        <v/>
      </c>
    </row>
    <row r="42" spans="1:18" s="2450" customFormat="1" ht="18" customHeight="1">
      <c r="A42" s="2443"/>
      <c r="B42" s="2444">
        <v>1</v>
      </c>
      <c r="C42" s="2445" t="str">
        <f t="shared" ref="C42:C44" si="52">VLOOKUP(D42,base_datos,6,FALSE)</f>
        <v>Base portafusibles + Fusibles de protección para control.</v>
      </c>
      <c r="D42" s="2446" t="s">
        <v>453</v>
      </c>
      <c r="E42" s="2447">
        <f t="shared" ref="E42:E44" si="53">VLOOKUP(D42,base_datos,5,FALSE)</f>
        <v>8.1750000000000007</v>
      </c>
      <c r="F42" s="2438">
        <f>+E42*B42</f>
        <v>8.1750000000000007</v>
      </c>
      <c r="G42" s="2448"/>
      <c r="H42" s="2448"/>
      <c r="I42" s="2448"/>
      <c r="J42" s="2449"/>
      <c r="K42" s="2426">
        <f t="shared" si="47"/>
        <v>1</v>
      </c>
      <c r="L42" s="2427">
        <f>L40</f>
        <v>1</v>
      </c>
      <c r="M42" s="2428">
        <f>IF(B42="",1,B42)</f>
        <v>1</v>
      </c>
      <c r="N42" s="2429" t="str">
        <f>IF(O42&lt;&gt;"",K42*L42*M42,"")</f>
        <v/>
      </c>
      <c r="O42" s="2430" t="str">
        <f>IF(D42&lt;&gt;"",IF(VLOOKUP(D42,base_datos,7,FALSE)&lt;&gt;"",VLOOKUP(D42,base_datos,7,FALSE),""),"")</f>
        <v/>
      </c>
      <c r="P42" s="2431" t="str">
        <f>IF(O42&lt;&gt;"",VLOOKUP(D42,base_datos,6,FALSE),"")</f>
        <v/>
      </c>
      <c r="Q42" s="2432" t="str">
        <f>IF(O42&lt;&gt;"",D42,"")</f>
        <v/>
      </c>
      <c r="R42" s="2433"/>
    </row>
    <row r="43" spans="1:18" s="2450" customFormat="1" ht="18" customHeight="1">
      <c r="A43" s="2443"/>
      <c r="B43" s="2444">
        <v>1</v>
      </c>
      <c r="C43" s="2445" t="str">
        <f t="shared" si="52"/>
        <v>Borne para neutro.</v>
      </c>
      <c r="D43" s="2451" t="s">
        <v>436</v>
      </c>
      <c r="E43" s="2447">
        <f t="shared" si="53"/>
        <v>4</v>
      </c>
      <c r="F43" s="2438">
        <f t="shared" ref="F43:F44" si="54">+E43*B43</f>
        <v>4</v>
      </c>
      <c r="G43" s="2448"/>
      <c r="H43" s="2448"/>
      <c r="I43" s="2448"/>
      <c r="J43" s="2449"/>
      <c r="K43" s="2426">
        <f t="shared" si="47"/>
        <v>1</v>
      </c>
      <c r="L43" s="2427">
        <f>L41</f>
        <v>1</v>
      </c>
      <c r="M43" s="2428">
        <f t="shared" ref="M43:M45" si="55">IF(B43="",1,B43)</f>
        <v>1</v>
      </c>
      <c r="N43" s="2429" t="str">
        <f t="shared" ref="N43:N44" si="56">IF(O43&lt;&gt;"",K43*L43*M43,"")</f>
        <v/>
      </c>
      <c r="O43" s="2430" t="str">
        <f t="shared" ref="O43:O44" si="57">IF(D43&lt;&gt;"",IF(VLOOKUP(D43,base_datos,7,FALSE)&lt;&gt;"",VLOOKUP(D43,base_datos,7,FALSE),""),"")</f>
        <v/>
      </c>
      <c r="P43" s="2431" t="str">
        <f t="shared" ref="P43:P44" si="58">IF(O43&lt;&gt;"",VLOOKUP(D43,base_datos,6,FALSE),"")</f>
        <v/>
      </c>
      <c r="Q43" s="2432" t="str">
        <f t="shared" ref="Q43:Q44" si="59">IF(O43&lt;&gt;"",D43,"")</f>
        <v/>
      </c>
      <c r="R43" s="2433"/>
    </row>
    <row r="44" spans="1:18" s="2450" customFormat="1" ht="18" customHeight="1">
      <c r="A44" s="2443"/>
      <c r="B44" s="2444">
        <v>2</v>
      </c>
      <c r="C44" s="2445" t="str">
        <f t="shared" si="52"/>
        <v>Bornes seccionables de corriente.</v>
      </c>
      <c r="D44" s="2446" t="s">
        <v>435</v>
      </c>
      <c r="E44" s="2447">
        <f t="shared" si="53"/>
        <v>12</v>
      </c>
      <c r="F44" s="2438">
        <f t="shared" si="54"/>
        <v>24</v>
      </c>
      <c r="G44" s="2448"/>
      <c r="H44" s="2448"/>
      <c r="I44" s="2448"/>
      <c r="J44" s="2449"/>
      <c r="K44" s="2426">
        <f t="shared" si="47"/>
        <v>1</v>
      </c>
      <c r="L44" s="2427">
        <f t="shared" ref="L44" si="60">L43</f>
        <v>1</v>
      </c>
      <c r="M44" s="2428">
        <f t="shared" si="55"/>
        <v>2</v>
      </c>
      <c r="N44" s="2429" t="str">
        <f t="shared" si="56"/>
        <v/>
      </c>
      <c r="O44" s="2430" t="str">
        <f t="shared" si="57"/>
        <v/>
      </c>
      <c r="P44" s="2431" t="str">
        <f t="shared" si="58"/>
        <v/>
      </c>
      <c r="Q44" s="2432" t="str">
        <f t="shared" si="59"/>
        <v/>
      </c>
      <c r="R44" s="2433"/>
    </row>
    <row r="45" spans="1:18" s="2433" customFormat="1">
      <c r="A45" s="2418"/>
      <c r="B45" s="2452"/>
      <c r="C45" s="2453" t="s">
        <v>729</v>
      </c>
      <c r="D45" s="2451"/>
      <c r="E45" s="2454"/>
      <c r="F45" s="2455"/>
      <c r="G45" s="2456"/>
      <c r="H45" s="2456"/>
      <c r="I45" s="2456"/>
      <c r="J45" s="2457"/>
      <c r="K45" s="2426">
        <f t="shared" si="47"/>
        <v>1</v>
      </c>
      <c r="L45" s="2458">
        <v>1</v>
      </c>
      <c r="M45" s="2426">
        <f t="shared" si="55"/>
        <v>1</v>
      </c>
      <c r="N45" s="2459" t="str">
        <f>IF(O45&lt;&gt;"",K45*L45*M45,"")</f>
        <v/>
      </c>
      <c r="O45" s="2460" t="str">
        <f>IF(D45&lt;&gt;"",IF(VLOOKUP(D45,base_datos,7,FALSE)&lt;&gt;"",VLOOKUP(D45,base_datos,7,FALSE),""),"")</f>
        <v/>
      </c>
      <c r="P45" s="2461" t="str">
        <f>IF(O45&lt;&gt;"",VLOOKUP(D45,base_datos,6,FALSE),"")</f>
        <v/>
      </c>
      <c r="Q45" s="2433" t="str">
        <f>IF(O45&lt;&gt;"",D45,"")</f>
        <v/>
      </c>
    </row>
    <row r="46" spans="1:18" s="2450" customFormat="1" ht="18" customHeight="1">
      <c r="A46" s="2462"/>
      <c r="B46" s="2444">
        <v>1</v>
      </c>
      <c r="C46" s="2445" t="str">
        <f>VLOOKUP(D46,base_datos,6,FALSE)</f>
        <v>Rele auxiliar enchufable +4NA/NC (D2PR4B + base D2PA6), 220Vac - marca EATON.</v>
      </c>
      <c r="D46" s="2446" t="s">
        <v>772</v>
      </c>
      <c r="E46" s="2447">
        <f>VLOOKUP(D46,base_datos,5,FALSE)</f>
        <v>27</v>
      </c>
      <c r="F46" s="2438">
        <f>+E46*B46</f>
        <v>27</v>
      </c>
      <c r="G46" s="2448"/>
      <c r="H46" s="2448"/>
      <c r="I46" s="2448"/>
      <c r="J46" s="2449"/>
      <c r="K46" s="2426">
        <f t="shared" si="47"/>
        <v>1</v>
      </c>
      <c r="L46" s="2463">
        <v>1</v>
      </c>
      <c r="M46" s="2428">
        <f>IF(B46="",1,B46)</f>
        <v>1</v>
      </c>
      <c r="N46" s="2429">
        <f>IF(O46&lt;&gt;"",K46*L46*M46,"")</f>
        <v>1</v>
      </c>
      <c r="O46" s="2430" t="str">
        <f>IF(D46&lt;&gt;"",IF(VLOOKUP(D46,base_datos,7,FALSE)&lt;&gt;"",VLOOKUP(D46,base_datos,7,FALSE),""),"")</f>
        <v>D2PR4B+D2PA6</v>
      </c>
      <c r="P46" s="2431" t="str">
        <f>IF(O46&lt;&gt;"",VLOOKUP(D46,base_datos,6,FALSE),"")</f>
        <v>Rele auxiliar enchufable +4NA/NC (D2PR4B + base D2PA6), 220Vac - marca EATON.</v>
      </c>
      <c r="Q46" s="2432" t="str">
        <f>IF(O46&lt;&gt;"",D46,"")</f>
        <v>D2PR4B+D2PA6</v>
      </c>
      <c r="R46" s="2433"/>
    </row>
    <row r="47" spans="1:18" s="2450" customFormat="1" ht="18" customHeight="1">
      <c r="A47" s="2443"/>
      <c r="B47" s="2444">
        <v>4</v>
      </c>
      <c r="C47" s="2445" t="str">
        <f t="shared" ref="C47:C49" si="61">VLOOKUP(D47,base_datos,6,FALSE)</f>
        <v>Borne 4mm2.</v>
      </c>
      <c r="D47" s="2446" t="s">
        <v>437</v>
      </c>
      <c r="E47" s="2447">
        <f t="shared" ref="E47:E49" si="62">VLOOKUP(D47,base_datos,5,FALSE)</f>
        <v>2.5</v>
      </c>
      <c r="F47" s="2438">
        <f t="shared" ref="F47:F49" si="63">+E47*B47</f>
        <v>10</v>
      </c>
      <c r="G47" s="2448"/>
      <c r="H47" s="2448"/>
      <c r="I47" s="2448"/>
      <c r="J47" s="2449"/>
      <c r="K47" s="2426">
        <f t="shared" si="47"/>
        <v>1</v>
      </c>
      <c r="L47" s="2463">
        <v>1</v>
      </c>
      <c r="M47" s="2428">
        <f t="shared" ref="M47:M49" si="64">IF(B47="",1,B47)</f>
        <v>4</v>
      </c>
      <c r="N47" s="2429" t="str">
        <f t="shared" ref="N47:N49" si="65">IF(O47&lt;&gt;"",K47*L47*M47,"")</f>
        <v/>
      </c>
      <c r="O47" s="2430" t="str">
        <f t="shared" ref="O47:O49" si="66">IF(D47&lt;&gt;"",IF(VLOOKUP(D47,base_datos,7,FALSE)&lt;&gt;"",VLOOKUP(D47,base_datos,7,FALSE),""),"")</f>
        <v/>
      </c>
      <c r="P47" s="2431" t="str">
        <f t="shared" ref="P47:P49" si="67">IF(O47&lt;&gt;"",VLOOKUP(D47,base_datos,6,FALSE),"")</f>
        <v/>
      </c>
      <c r="Q47" s="2432" t="str">
        <f t="shared" ref="Q47:Q49" si="68">IF(O47&lt;&gt;"",D47,"")</f>
        <v/>
      </c>
      <c r="R47" s="2433"/>
    </row>
    <row r="48" spans="1:18" s="2450" customFormat="1" ht="18" customHeight="1">
      <c r="A48" s="2443"/>
      <c r="B48" s="2444">
        <v>1</v>
      </c>
      <c r="C48" s="2445" t="str">
        <f t="shared" si="61"/>
        <v>Base portafusibles + Fusibles de protección para control.</v>
      </c>
      <c r="D48" s="2446" t="s">
        <v>453</v>
      </c>
      <c r="E48" s="2447">
        <f t="shared" si="62"/>
        <v>8.1750000000000007</v>
      </c>
      <c r="F48" s="2438">
        <f t="shared" si="63"/>
        <v>8.1750000000000007</v>
      </c>
      <c r="G48" s="2448"/>
      <c r="H48" s="2448"/>
      <c r="I48" s="2448"/>
      <c r="J48" s="2449"/>
      <c r="K48" s="2426">
        <f t="shared" si="47"/>
        <v>1</v>
      </c>
      <c r="L48" s="2463">
        <v>1</v>
      </c>
      <c r="M48" s="2428">
        <f t="shared" si="64"/>
        <v>1</v>
      </c>
      <c r="N48" s="2429" t="str">
        <f t="shared" si="65"/>
        <v/>
      </c>
      <c r="O48" s="2430" t="str">
        <f t="shared" si="66"/>
        <v/>
      </c>
      <c r="P48" s="2431" t="str">
        <f t="shared" si="67"/>
        <v/>
      </c>
      <c r="Q48" s="2432" t="str">
        <f t="shared" si="68"/>
        <v/>
      </c>
      <c r="R48" s="2433"/>
    </row>
    <row r="49" spans="1:18" s="2450" customFormat="1" ht="18" customHeight="1">
      <c r="A49" s="2443"/>
      <c r="B49" s="2444">
        <v>1</v>
      </c>
      <c r="C49" s="2445" t="str">
        <f t="shared" si="61"/>
        <v>Borne para neutro.</v>
      </c>
      <c r="D49" s="2451" t="s">
        <v>436</v>
      </c>
      <c r="E49" s="2447">
        <f t="shared" si="62"/>
        <v>4</v>
      </c>
      <c r="F49" s="2438">
        <f t="shared" si="63"/>
        <v>4</v>
      </c>
      <c r="G49" s="2448"/>
      <c r="H49" s="2448"/>
      <c r="I49" s="2448"/>
      <c r="J49" s="2449"/>
      <c r="K49" s="2426">
        <f t="shared" si="47"/>
        <v>1</v>
      </c>
      <c r="L49" s="2427">
        <f t="shared" ref="L49" si="69">L48</f>
        <v>1</v>
      </c>
      <c r="M49" s="2428">
        <f t="shared" si="64"/>
        <v>1</v>
      </c>
      <c r="N49" s="2429" t="str">
        <f t="shared" si="65"/>
        <v/>
      </c>
      <c r="O49" s="2430" t="str">
        <f t="shared" si="66"/>
        <v/>
      </c>
      <c r="P49" s="2431" t="str">
        <f t="shared" si="67"/>
        <v/>
      </c>
      <c r="Q49" s="2432" t="str">
        <f t="shared" si="68"/>
        <v/>
      </c>
      <c r="R49" s="2433"/>
    </row>
    <row r="50" spans="1:18" s="185" customFormat="1" ht="18" customHeight="1">
      <c r="A50" s="1785"/>
      <c r="B50" s="714"/>
      <c r="C50" s="1893" t="s">
        <v>729</v>
      </c>
      <c r="D50" s="173"/>
      <c r="E50" s="1786"/>
      <c r="F50" s="1787"/>
      <c r="G50" s="710"/>
      <c r="H50" s="710"/>
      <c r="I50" s="710"/>
      <c r="J50" s="711"/>
      <c r="K50" s="684">
        <f>+K37</f>
        <v>1</v>
      </c>
      <c r="L50" s="708">
        <v>1</v>
      </c>
      <c r="M50" s="709">
        <f t="shared" ref="M50" si="70">IF(B50="",1,B50)</f>
        <v>1</v>
      </c>
      <c r="N50" s="362" t="str">
        <f t="shared" si="15"/>
        <v/>
      </c>
      <c r="O50" s="1763" t="str">
        <f t="shared" si="16"/>
        <v/>
      </c>
      <c r="P50" s="1764" t="str">
        <f t="shared" si="17"/>
        <v/>
      </c>
      <c r="Q50" s="120" t="str">
        <f t="shared" si="18"/>
        <v/>
      </c>
    </row>
    <row r="51" spans="1:18" s="1236" customFormat="1" ht="18" customHeight="1">
      <c r="A51" s="1767"/>
      <c r="B51" s="1853">
        <v>1</v>
      </c>
      <c r="C51" s="1895" t="s">
        <v>12364</v>
      </c>
      <c r="D51" s="1902"/>
      <c r="E51" s="1792"/>
      <c r="F51" s="1793"/>
      <c r="G51" s="1784"/>
      <c r="H51" s="1784"/>
      <c r="I51" s="1784"/>
      <c r="J51" s="1182"/>
      <c r="K51" s="684">
        <f t="shared" si="4"/>
        <v>1</v>
      </c>
      <c r="L51" s="708">
        <v>1</v>
      </c>
      <c r="M51" s="709">
        <f t="shared" ref="M51:M55" si="71">IF(B51="",1,B51)</f>
        <v>1</v>
      </c>
      <c r="N51" s="362" t="str">
        <f t="shared" ref="N51:N55" si="72">IF(O51&lt;&gt;"",K51*L51*M51,"")</f>
        <v/>
      </c>
      <c r="O51" s="1763" t="str">
        <f t="shared" ref="O51:O55" si="73">IF(D51&lt;&gt;"",IF(VLOOKUP(D51,base_datos,7,FALSE)&lt;&gt;"",VLOOKUP(D51,base_datos,7,FALSE),""),"")</f>
        <v/>
      </c>
      <c r="P51" s="1764" t="str">
        <f t="shared" ref="P51:P55" si="74">IF(O51&lt;&gt;"",VLOOKUP(D51,base_datos,6,FALSE),"")</f>
        <v/>
      </c>
      <c r="Q51" s="120" t="str">
        <f t="shared" ref="Q51:Q55" si="75">IF(O51&lt;&gt;"",D51,"")</f>
        <v/>
      </c>
      <c r="R51" s="185"/>
    </row>
    <row r="52" spans="1:18" s="695" customFormat="1" ht="18" customHeight="1">
      <c r="A52" s="693"/>
      <c r="B52" s="1922">
        <v>1</v>
      </c>
      <c r="C52" s="1848" t="str">
        <f t="shared" ref="C52" si="76">VLOOKUP(D52,base_datos,6,FALSE)</f>
        <v>Placa lamicoid rotulación de 3mm de espesor, fondo negro y letras blancas.</v>
      </c>
      <c r="D52" s="1886" t="s">
        <v>8570</v>
      </c>
      <c r="E52" s="1795">
        <f t="shared" ref="E52" si="77">VLOOKUP(D52,base_datos,5,FALSE)</f>
        <v>2.2000000000000002</v>
      </c>
      <c r="F52" s="1796">
        <f t="shared" ref="F52" si="78">+E52*B52</f>
        <v>2.2000000000000002</v>
      </c>
      <c r="G52" s="696"/>
      <c r="H52" s="696"/>
      <c r="I52" s="696"/>
      <c r="J52" s="697"/>
      <c r="K52" s="684">
        <f t="shared" si="4"/>
        <v>1</v>
      </c>
      <c r="L52" s="708">
        <v>1</v>
      </c>
      <c r="M52" s="709">
        <f t="shared" si="71"/>
        <v>1</v>
      </c>
      <c r="N52" s="362">
        <f t="shared" si="72"/>
        <v>1</v>
      </c>
      <c r="O52" s="1763" t="str">
        <f t="shared" si="73"/>
        <v>Placa lamicoid p/distr.</v>
      </c>
      <c r="P52" s="1764" t="str">
        <f t="shared" si="74"/>
        <v>Placa lamicoid rotulación de 3mm de espesor, fondo negro y letras blancas.</v>
      </c>
      <c r="Q52" s="120" t="str">
        <f t="shared" si="75"/>
        <v>Placa lamicoid p/distr.</v>
      </c>
      <c r="R52" s="185"/>
    </row>
    <row r="53" spans="1:18" s="1236" customFormat="1" ht="18" customHeight="1">
      <c r="A53" s="1767"/>
      <c r="B53" s="1853">
        <v>1</v>
      </c>
      <c r="C53" s="1895" t="s">
        <v>12444</v>
      </c>
      <c r="D53" s="1902"/>
      <c r="E53" s="1792"/>
      <c r="F53" s="1793"/>
      <c r="G53" s="1784"/>
      <c r="H53" s="1784"/>
      <c r="I53" s="1784"/>
      <c r="J53" s="1182"/>
      <c r="K53" s="684">
        <f t="shared" si="4"/>
        <v>1</v>
      </c>
      <c r="L53" s="708">
        <v>1</v>
      </c>
      <c r="M53" s="709">
        <f t="shared" si="71"/>
        <v>1</v>
      </c>
      <c r="N53" s="362" t="str">
        <f t="shared" si="72"/>
        <v/>
      </c>
      <c r="O53" s="1763" t="str">
        <f t="shared" si="73"/>
        <v/>
      </c>
      <c r="P53" s="1764" t="str">
        <f t="shared" si="74"/>
        <v/>
      </c>
      <c r="Q53" s="120" t="str">
        <f t="shared" si="75"/>
        <v/>
      </c>
      <c r="R53" s="185"/>
    </row>
    <row r="54" spans="1:18" s="1236" customFormat="1" ht="18" customHeight="1">
      <c r="A54" s="1767"/>
      <c r="B54" s="1853">
        <v>1</v>
      </c>
      <c r="C54" s="1895" t="s">
        <v>12474</v>
      </c>
      <c r="D54" s="1902"/>
      <c r="E54" s="1792"/>
      <c r="F54" s="1793"/>
      <c r="G54" s="1784"/>
      <c r="H54" s="1784"/>
      <c r="I54" s="1784"/>
      <c r="J54" s="1182"/>
      <c r="K54" s="684">
        <f t="shared" si="4"/>
        <v>1</v>
      </c>
      <c r="L54" s="708">
        <v>1</v>
      </c>
      <c r="M54" s="709">
        <f t="shared" si="71"/>
        <v>1</v>
      </c>
      <c r="N54" s="362" t="str">
        <f t="shared" si="72"/>
        <v/>
      </c>
      <c r="O54" s="1763" t="str">
        <f t="shared" si="73"/>
        <v/>
      </c>
      <c r="P54" s="1764" t="str">
        <f t="shared" si="74"/>
        <v/>
      </c>
      <c r="Q54" s="120" t="str">
        <f t="shared" si="75"/>
        <v/>
      </c>
      <c r="R54" s="185"/>
    </row>
    <row r="55" spans="1:18" s="1236" customFormat="1" ht="18" customHeight="1">
      <c r="A55" s="1767"/>
      <c r="B55" s="1853">
        <v>1</v>
      </c>
      <c r="C55" s="1848" t="str">
        <f>VLOOKUP(D55,base_datos,6,FALSE)</f>
        <v>Embalaje especial completamente cerrado para tablero adosado de 1600x600x220mm</v>
      </c>
      <c r="D55" s="1902" t="s">
        <v>12453</v>
      </c>
      <c r="E55" s="1795">
        <f t="shared" ref="E55" si="79">VLOOKUP(D55,base_datos,5,FALSE)</f>
        <v>271.40000000000003</v>
      </c>
      <c r="F55" s="1796">
        <f t="shared" ref="F55" si="80">+E55*B55</f>
        <v>271.40000000000003</v>
      </c>
      <c r="G55" s="1784"/>
      <c r="H55" s="1784"/>
      <c r="I55" s="1784"/>
      <c r="J55" s="1182"/>
      <c r="K55" s="684">
        <f t="shared" si="4"/>
        <v>1</v>
      </c>
      <c r="L55" s="708">
        <v>1</v>
      </c>
      <c r="M55" s="709">
        <f t="shared" si="71"/>
        <v>1</v>
      </c>
      <c r="N55" s="362">
        <f t="shared" si="72"/>
        <v>1</v>
      </c>
      <c r="O55" s="1763" t="str">
        <f t="shared" si="73"/>
        <v>EMBAL_ADOS_1600x600x220mm</v>
      </c>
      <c r="P55" s="1764" t="str">
        <f t="shared" si="74"/>
        <v>Embalaje especial completamente cerrado para tablero adosado de 1600x600x220mm</v>
      </c>
      <c r="Q55" s="120" t="str">
        <f t="shared" si="75"/>
        <v>EMBAL_ADOS_1600x600x220mm</v>
      </c>
      <c r="R55" s="185"/>
    </row>
    <row r="56" spans="1:18" s="185" customFormat="1" ht="18" customHeight="1">
      <c r="A56" s="1785"/>
      <c r="B56" s="714"/>
      <c r="C56" s="313" t="s">
        <v>729</v>
      </c>
      <c r="D56" s="173"/>
      <c r="E56" s="1786"/>
      <c r="F56" s="1787"/>
      <c r="G56" s="710"/>
      <c r="H56" s="710"/>
      <c r="I56" s="710"/>
      <c r="J56" s="711"/>
      <c r="K56" s="684">
        <f t="shared" si="4"/>
        <v>1</v>
      </c>
      <c r="L56" s="708">
        <v>1</v>
      </c>
      <c r="M56" s="709">
        <f t="shared" si="27"/>
        <v>1</v>
      </c>
      <c r="N56" s="362" t="str">
        <f t="shared" si="15"/>
        <v/>
      </c>
      <c r="O56" s="1763" t="str">
        <f t="shared" si="16"/>
        <v/>
      </c>
      <c r="P56" s="1764" t="str">
        <f t="shared" si="17"/>
        <v/>
      </c>
      <c r="Q56" s="120" t="str">
        <f t="shared" si="18"/>
        <v/>
      </c>
    </row>
    <row r="57" spans="1:18" s="695" customFormat="1" ht="18" customHeight="1">
      <c r="A57" s="693"/>
      <c r="B57" s="1794">
        <v>1</v>
      </c>
      <c r="C57" s="1420" t="str">
        <f>VLOOKUP(D57,base_datos,6,FALSE)</f>
        <v>Barra a neutro.</v>
      </c>
      <c r="D57" s="1790" t="s">
        <v>2907</v>
      </c>
      <c r="E57" s="1795">
        <f t="shared" ref="E57:E58" si="81">VLOOKUP(D57,base_datos,5,FALSE)</f>
        <v>15</v>
      </c>
      <c r="F57" s="1796">
        <f t="shared" ref="F57:F58" si="82">+E57*B57</f>
        <v>15</v>
      </c>
      <c r="G57" s="696"/>
      <c r="H57" s="696"/>
      <c r="I57" s="696"/>
      <c r="J57" s="697"/>
      <c r="K57" s="684">
        <f t="shared" si="4"/>
        <v>1</v>
      </c>
      <c r="L57" s="708">
        <v>1</v>
      </c>
      <c r="M57" s="709">
        <f t="shared" si="27"/>
        <v>1</v>
      </c>
      <c r="N57" s="362" t="str">
        <f t="shared" si="15"/>
        <v/>
      </c>
      <c r="O57" s="1763" t="str">
        <f t="shared" si="16"/>
        <v/>
      </c>
      <c r="P57" s="1764" t="str">
        <f t="shared" si="17"/>
        <v/>
      </c>
      <c r="Q57" s="120" t="str">
        <f t="shared" si="18"/>
        <v/>
      </c>
      <c r="R57" s="185"/>
    </row>
    <row r="58" spans="1:18" s="695" customFormat="1" ht="18" customHeight="1">
      <c r="A58" s="693"/>
      <c r="B58" s="1794">
        <v>1</v>
      </c>
      <c r="C58" s="1420" t="str">
        <f>VLOOKUP(D58,base_datos,6,FALSE)</f>
        <v>Barra a tierra.</v>
      </c>
      <c r="D58" s="1790" t="s">
        <v>8299</v>
      </c>
      <c r="E58" s="1795">
        <f t="shared" si="81"/>
        <v>10</v>
      </c>
      <c r="F58" s="1796">
        <f t="shared" si="82"/>
        <v>10</v>
      </c>
      <c r="G58" s="696"/>
      <c r="H58" s="696"/>
      <c r="I58" s="696"/>
      <c r="J58" s="697"/>
      <c r="K58" s="684">
        <f t="shared" si="4"/>
        <v>1</v>
      </c>
      <c r="L58" s="708">
        <v>1</v>
      </c>
      <c r="M58" s="709">
        <f t="shared" si="27"/>
        <v>1</v>
      </c>
      <c r="N58" s="362" t="str">
        <f t="shared" si="15"/>
        <v/>
      </c>
      <c r="O58" s="1763" t="str">
        <f t="shared" si="16"/>
        <v/>
      </c>
      <c r="P58" s="1764" t="str">
        <f t="shared" si="17"/>
        <v/>
      </c>
      <c r="Q58" s="120" t="str">
        <f t="shared" si="18"/>
        <v/>
      </c>
      <c r="R58" s="185"/>
    </row>
    <row r="59" spans="1:18" s="185" customFormat="1" ht="18" customHeight="1">
      <c r="A59" s="1785"/>
      <c r="B59" s="714"/>
      <c r="C59" s="313" t="s">
        <v>729</v>
      </c>
      <c r="D59" s="173"/>
      <c r="E59" s="1780"/>
      <c r="F59" s="1787"/>
      <c r="G59" s="710"/>
      <c r="H59" s="710"/>
      <c r="I59" s="710"/>
      <c r="J59" s="711"/>
      <c r="K59" s="684">
        <f t="shared" si="4"/>
        <v>1</v>
      </c>
      <c r="L59" s="708">
        <v>1</v>
      </c>
      <c r="M59" s="709">
        <f t="shared" ref="M59" si="83">IF(B59="",1,B59)</f>
        <v>1</v>
      </c>
      <c r="N59" s="362" t="str">
        <f t="shared" ref="N59" si="84">IF(O59&lt;&gt;"",K59*L59*M59,"")</f>
        <v/>
      </c>
      <c r="O59" s="1763" t="str">
        <f t="shared" ref="O59" si="85">IF(D59&lt;&gt;"",IF(VLOOKUP(D59,base_datos,7,FALSE)&lt;&gt;"",VLOOKUP(D59,base_datos,7,FALSE),""),"")</f>
        <v/>
      </c>
      <c r="P59" s="1764" t="str">
        <f t="shared" ref="P59" si="86">IF(O59&lt;&gt;"",VLOOKUP(D59,base_datos,6,FALSE),"")</f>
        <v/>
      </c>
      <c r="Q59" s="120" t="str">
        <f t="shared" ref="Q59" si="87">IF(O59&lt;&gt;"",D59,"")</f>
        <v/>
      </c>
    </row>
    <row r="60" spans="1:18" s="897" customFormat="1" ht="18" customHeight="1">
      <c r="A60" s="693"/>
      <c r="B60" s="895">
        <v>17</v>
      </c>
      <c r="C60" s="721" t="str">
        <f>VLOOKUP(D60,base_datos,6,FALSE)</f>
        <v>Rotulado por circuito.</v>
      </c>
      <c r="D60" s="1579" t="s">
        <v>3067</v>
      </c>
      <c r="E60" s="2219">
        <f>VLOOKUP(D60,base_datos,5,FALSE)</f>
        <v>0.7</v>
      </c>
      <c r="F60" s="1581">
        <f t="shared" ref="F60:F65" si="88">+E60*B60</f>
        <v>11.899999999999999</v>
      </c>
      <c r="G60" s="1772"/>
      <c r="H60" s="1772"/>
      <c r="I60" s="1772"/>
      <c r="J60" s="896"/>
      <c r="K60" s="684">
        <f t="shared" si="4"/>
        <v>1</v>
      </c>
      <c r="L60" s="708">
        <v>1</v>
      </c>
      <c r="M60" s="709">
        <f t="shared" si="27"/>
        <v>17</v>
      </c>
      <c r="N60" s="362" t="str">
        <f t="shared" si="15"/>
        <v/>
      </c>
      <c r="O60" s="1763" t="str">
        <f t="shared" si="16"/>
        <v/>
      </c>
      <c r="P60" s="1764" t="str">
        <f t="shared" si="17"/>
        <v/>
      </c>
      <c r="Q60" s="120" t="str">
        <f t="shared" si="18"/>
        <v/>
      </c>
    </row>
    <row r="61" spans="1:18" s="897" customFormat="1" ht="18" customHeight="1">
      <c r="A61" s="693"/>
      <c r="B61" s="895">
        <v>1</v>
      </c>
      <c r="C61" s="721" t="str">
        <f>VLOOKUP(D61,base_datos,6,FALSE)</f>
        <v>Rotulado para TAG - tablero de distribución.</v>
      </c>
      <c r="D61" s="1579" t="s">
        <v>3066</v>
      </c>
      <c r="E61" s="2219">
        <f>VLOOKUP(D61,base_datos,5,FALSE)</f>
        <v>1.5</v>
      </c>
      <c r="F61" s="1581">
        <f t="shared" si="88"/>
        <v>1.5</v>
      </c>
      <c r="G61" s="1772"/>
      <c r="H61" s="1772"/>
      <c r="I61" s="1772"/>
      <c r="J61" s="896"/>
      <c r="K61" s="684">
        <f t="shared" si="4"/>
        <v>1</v>
      </c>
      <c r="L61" s="708">
        <v>1</v>
      </c>
      <c r="M61" s="709">
        <f t="shared" si="27"/>
        <v>1</v>
      </c>
      <c r="N61" s="362" t="str">
        <f t="shared" si="15"/>
        <v/>
      </c>
      <c r="O61" s="1763" t="str">
        <f t="shared" si="16"/>
        <v/>
      </c>
      <c r="P61" s="1764" t="str">
        <f t="shared" si="17"/>
        <v/>
      </c>
      <c r="Q61" s="120" t="str">
        <f t="shared" si="18"/>
        <v/>
      </c>
    </row>
    <row r="62" spans="1:18" s="1237" customFormat="1" ht="18" customHeight="1">
      <c r="A62" s="1767"/>
      <c r="B62" s="2093">
        <v>1</v>
      </c>
      <c r="C62" s="1992" t="s">
        <v>11664</v>
      </c>
      <c r="D62" s="1887"/>
      <c r="E62" s="2108">
        <v>150.80000000000001</v>
      </c>
      <c r="F62" s="1581">
        <f t="shared" ref="F62:F64" si="89">+E62*B62</f>
        <v>150.80000000000001</v>
      </c>
      <c r="G62" s="1774"/>
      <c r="H62" s="1774"/>
      <c r="I62" s="1774"/>
      <c r="J62" s="1181"/>
      <c r="K62" s="684">
        <f t="shared" si="4"/>
        <v>1</v>
      </c>
      <c r="L62" s="708">
        <v>1</v>
      </c>
      <c r="M62" s="709">
        <f t="shared" ref="M62:M64" si="90">IF(B62="",1,B62)</f>
        <v>1</v>
      </c>
      <c r="N62" s="362" t="str">
        <f t="shared" ref="N62:N64" si="91">IF(O62&lt;&gt;"",K62*L62*M62,"")</f>
        <v/>
      </c>
      <c r="O62" s="1763" t="str">
        <f t="shared" ref="O62:O64" si="92">IF(D62&lt;&gt;"",IF(VLOOKUP(D62,base_datos,7,FALSE)&lt;&gt;"",VLOOKUP(D62,base_datos,7,FALSE),""),"")</f>
        <v/>
      </c>
      <c r="P62" s="1764" t="str">
        <f t="shared" ref="P62:P64" si="93">IF(O62&lt;&gt;"",VLOOKUP(D62,base_datos,6,FALSE),"")</f>
        <v/>
      </c>
      <c r="Q62" s="120" t="str">
        <f t="shared" ref="Q62:Q64" si="94">IF(O62&lt;&gt;"",D62,"")</f>
        <v/>
      </c>
      <c r="R62" s="1765"/>
    </row>
    <row r="63" spans="1:18" s="1237" customFormat="1" ht="18" customHeight="1">
      <c r="A63" s="1767"/>
      <c r="B63" s="2093">
        <v>1</v>
      </c>
      <c r="C63" s="694" t="s">
        <v>12552</v>
      </c>
      <c r="D63" s="1888"/>
      <c r="E63" s="2220">
        <f>E65*15%</f>
        <v>32.4</v>
      </c>
      <c r="F63" s="1581">
        <f t="shared" si="89"/>
        <v>32.4</v>
      </c>
      <c r="G63" s="1774"/>
      <c r="H63" s="1774"/>
      <c r="I63" s="1774"/>
      <c r="J63" s="1181"/>
      <c r="K63" s="684">
        <f t="shared" si="4"/>
        <v>1</v>
      </c>
      <c r="L63" s="708">
        <v>1</v>
      </c>
      <c r="M63" s="709">
        <f t="shared" si="90"/>
        <v>1</v>
      </c>
      <c r="N63" s="362" t="str">
        <f t="shared" si="91"/>
        <v/>
      </c>
      <c r="O63" s="1763" t="str">
        <f t="shared" si="92"/>
        <v/>
      </c>
      <c r="P63" s="1764" t="str">
        <f t="shared" si="93"/>
        <v/>
      </c>
      <c r="Q63" s="120" t="str">
        <f t="shared" si="94"/>
        <v/>
      </c>
      <c r="R63" s="1765"/>
    </row>
    <row r="64" spans="1:18" s="1237" customFormat="1" ht="18" customHeight="1">
      <c r="A64" s="1767"/>
      <c r="B64" s="1773">
        <v>1</v>
      </c>
      <c r="C64" s="694" t="s">
        <v>12559</v>
      </c>
      <c r="D64" s="1888"/>
      <c r="E64" s="2221">
        <f>E65*20%</f>
        <v>43.2</v>
      </c>
      <c r="F64" s="1581">
        <f t="shared" si="89"/>
        <v>43.2</v>
      </c>
      <c r="G64" s="1774"/>
      <c r="H64" s="1774"/>
      <c r="I64" s="1774"/>
      <c r="J64" s="1181"/>
      <c r="K64" s="684">
        <f t="shared" si="4"/>
        <v>1</v>
      </c>
      <c r="L64" s="708">
        <v>1</v>
      </c>
      <c r="M64" s="709">
        <f t="shared" si="90"/>
        <v>1</v>
      </c>
      <c r="N64" s="362" t="str">
        <f t="shared" si="91"/>
        <v/>
      </c>
      <c r="O64" s="1763" t="str">
        <f t="shared" si="92"/>
        <v/>
      </c>
      <c r="P64" s="1764" t="str">
        <f t="shared" si="93"/>
        <v/>
      </c>
      <c r="Q64" s="120" t="str">
        <f t="shared" si="94"/>
        <v/>
      </c>
      <c r="R64" s="1765"/>
    </row>
    <row r="65" spans="1:18" s="1237" customFormat="1" ht="18" customHeight="1">
      <c r="A65" s="1767"/>
      <c r="B65" s="1773">
        <v>1</v>
      </c>
      <c r="C65" s="694" t="s">
        <v>12437</v>
      </c>
      <c r="D65" s="1888"/>
      <c r="E65" s="2221">
        <v>216</v>
      </c>
      <c r="F65" s="1581">
        <f t="shared" si="88"/>
        <v>216</v>
      </c>
      <c r="G65" s="1774"/>
      <c r="H65" s="1774"/>
      <c r="I65" s="1774"/>
      <c r="J65" s="1181"/>
      <c r="K65" s="684">
        <f t="shared" si="4"/>
        <v>1</v>
      </c>
      <c r="L65" s="708">
        <v>1</v>
      </c>
      <c r="M65" s="709">
        <f t="shared" si="27"/>
        <v>1</v>
      </c>
      <c r="N65" s="362" t="str">
        <f t="shared" si="15"/>
        <v/>
      </c>
      <c r="O65" s="1763" t="str">
        <f t="shared" si="16"/>
        <v/>
      </c>
      <c r="P65" s="1764" t="str">
        <f t="shared" si="17"/>
        <v/>
      </c>
      <c r="Q65" s="120" t="str">
        <f t="shared" si="18"/>
        <v/>
      </c>
      <c r="R65" s="1765"/>
    </row>
    <row r="66" spans="1:18" s="2472" customFormat="1" ht="18" customHeight="1">
      <c r="A66" s="2464"/>
      <c r="B66" s="2465"/>
      <c r="C66" s="2466" t="s">
        <v>13061</v>
      </c>
      <c r="D66" s="2467"/>
      <c r="E66" s="2468"/>
      <c r="F66" s="2469"/>
      <c r="G66" s="2470"/>
      <c r="H66" s="2470"/>
      <c r="I66" s="2470"/>
      <c r="J66" s="2471"/>
      <c r="K66" s="2426">
        <f t="shared" ref="K66:K69" si="95">K64</f>
        <v>1</v>
      </c>
      <c r="L66" s="2463">
        <v>1</v>
      </c>
      <c r="M66" s="2428">
        <f>IF(B66="",1,B66)</f>
        <v>1</v>
      </c>
      <c r="N66" s="2429" t="str">
        <f>IF(O66&lt;&gt;"",K66*L66*M66,"")</f>
        <v/>
      </c>
      <c r="O66" s="2430" t="str">
        <f>IF(D66&lt;&gt;"",IF(VLOOKUP(D66,base_datos,7,FALSE)&lt;&gt;"",VLOOKUP(D66,base_datos,7,FALSE),""),"")</f>
        <v/>
      </c>
      <c r="P66" s="2431" t="str">
        <f>IF(O66&lt;&gt;"",VLOOKUP(D66,base_datos,6,FALSE),"")</f>
        <v/>
      </c>
      <c r="Q66" s="2432" t="str">
        <f>IF(O66&lt;&gt;"",D66,"")</f>
        <v/>
      </c>
      <c r="R66" s="2433"/>
    </row>
    <row r="67" spans="1:18" s="2472" customFormat="1" ht="18" customHeight="1">
      <c r="A67" s="2464"/>
      <c r="B67" s="2465"/>
      <c r="C67" s="2466"/>
      <c r="D67" s="2467"/>
      <c r="E67" s="2468"/>
      <c r="F67" s="2469"/>
      <c r="G67" s="2470"/>
      <c r="H67" s="2470"/>
      <c r="I67" s="2470"/>
      <c r="J67" s="2471"/>
      <c r="K67" s="2426">
        <f t="shared" si="95"/>
        <v>1</v>
      </c>
      <c r="L67" s="2463">
        <v>1</v>
      </c>
      <c r="M67" s="2428">
        <f>IF(B67="",1,B67)</f>
        <v>1</v>
      </c>
      <c r="N67" s="2429"/>
      <c r="O67" s="2430"/>
      <c r="P67" s="2431"/>
      <c r="Q67" s="2432"/>
      <c r="R67" s="2433"/>
    </row>
    <row r="68" spans="1:18" s="2480" customFormat="1">
      <c r="A68" s="2473"/>
      <c r="B68" s="2474">
        <v>1</v>
      </c>
      <c r="C68" s="2475" t="str">
        <f>VLOOKUP(D68,base_datos,6,FALSE)</f>
        <v>FOTOCELDA 1800VA 220V N/C (NF) 10 LUX STIELECTRONICA</v>
      </c>
      <c r="D68" s="2476" t="s">
        <v>3410</v>
      </c>
      <c r="E68" s="2477">
        <f t="shared" ref="E68:E69" si="96">VLOOKUP(D68,base_datos,5,FALSE)</f>
        <v>27.6</v>
      </c>
      <c r="F68" s="2455">
        <f t="shared" ref="F68:F69" si="97">+E68*B68</f>
        <v>27.6</v>
      </c>
      <c r="G68" s="2478"/>
      <c r="H68" s="2478"/>
      <c r="I68" s="2478"/>
      <c r="J68" s="2479"/>
      <c r="K68" s="2426">
        <f t="shared" si="95"/>
        <v>1</v>
      </c>
      <c r="L68" s="2463">
        <v>1</v>
      </c>
      <c r="M68" s="2428">
        <f>IF(B68="",1,B68)</f>
        <v>1</v>
      </c>
      <c r="N68" s="2429">
        <f>IF(O68&lt;&gt;"",K68*L68*M68,"")</f>
        <v>1</v>
      </c>
      <c r="O68" s="2430" t="str">
        <f>IF(D68&lt;&gt;"",IF(VLOOKUP(D68,base_datos,7,FALSE)&lt;&gt;"",VLOOKUP(D68,base_datos,7,FALSE),""),"")</f>
        <v>0400RTF82S</v>
      </c>
      <c r="P68" s="2431" t="str">
        <f>IF(O68&lt;&gt;"",VLOOKUP(D68,base_datos,6,FALSE),"")</f>
        <v>FOTOCELDA 1800VA 220V N/C (NF) 10 LUX STIELECTRONICA</v>
      </c>
      <c r="Q68" s="2432" t="str">
        <f>IF(O68&lt;&gt;"",D68,"")</f>
        <v>FOTOCELDA</v>
      </c>
    </row>
    <row r="69" spans="1:18" s="2480" customFormat="1">
      <c r="A69" s="2473"/>
      <c r="B69" s="2474">
        <v>1</v>
      </c>
      <c r="C69" s="2475" t="str">
        <f t="shared" ref="C69" si="98">VLOOKUP(D69,base_datos,6,FALSE)</f>
        <v>BASE C/SOPORTE P/CONTROL FOTOCELDA P/ADOSAR STIELECTRONICA</v>
      </c>
      <c r="D69" s="2476" t="s">
        <v>3411</v>
      </c>
      <c r="E69" s="2477">
        <f t="shared" si="96"/>
        <v>13.4</v>
      </c>
      <c r="F69" s="2455">
        <f t="shared" si="97"/>
        <v>13.4</v>
      </c>
      <c r="G69" s="2478"/>
      <c r="H69" s="2478"/>
      <c r="I69" s="2478"/>
      <c r="J69" s="2479"/>
      <c r="K69" s="2426">
        <f t="shared" si="95"/>
        <v>1</v>
      </c>
      <c r="L69" s="2463">
        <v>1</v>
      </c>
      <c r="M69" s="2428">
        <f>IF(B69="",1,B69)</f>
        <v>1</v>
      </c>
      <c r="N69" s="2429">
        <f>IF(O69&lt;&gt;"",K69*L69*M69,"")</f>
        <v>1</v>
      </c>
      <c r="O69" s="2430" t="str">
        <f>IF(D69&lt;&gt;"",IF(VLOOKUP(D69,base_datos,7,FALSE)&lt;&gt;"",VLOOKUP(D69,base_datos,7,FALSE),""),"")</f>
        <v>0400TPLS476</v>
      </c>
      <c r="P69" s="2431" t="str">
        <f>IF(O69&lt;&gt;"",VLOOKUP(D69,base_datos,6,FALSE),"")</f>
        <v>BASE C/SOPORTE P/CONTROL FOTOCELDA P/ADOSAR STIELECTRONICA</v>
      </c>
      <c r="Q69" s="2432" t="str">
        <f>IF(O69&lt;&gt;"",D69,"")</f>
        <v>BASE_FOTOCELDA</v>
      </c>
    </row>
    <row r="70" spans="1:18" s="120" customFormat="1" ht="13.8" thickBot="1">
      <c r="A70" s="910"/>
      <c r="B70" s="1953"/>
      <c r="C70" s="1797"/>
      <c r="D70" s="1889"/>
      <c r="E70" s="1981"/>
      <c r="F70" s="1981"/>
      <c r="G70" s="710"/>
      <c r="H70" s="1798"/>
      <c r="I70" s="1798"/>
      <c r="J70" s="1799"/>
      <c r="K70" s="1788"/>
      <c r="L70" s="363"/>
      <c r="M70" s="684"/>
      <c r="N70" s="362" t="str">
        <f t="shared" si="15"/>
        <v/>
      </c>
      <c r="O70" s="1763" t="str">
        <f t="shared" si="16"/>
        <v/>
      </c>
      <c r="P70" s="1764" t="str">
        <f t="shared" si="17"/>
        <v/>
      </c>
      <c r="Q70" s="120" t="str">
        <f t="shared" si="18"/>
        <v/>
      </c>
      <c r="R70" s="185"/>
    </row>
    <row r="71" spans="1:18" s="120" customFormat="1" ht="18" customHeight="1" thickBot="1">
      <c r="A71" s="1989">
        <v>2</v>
      </c>
      <c r="B71" s="1852">
        <v>1</v>
      </c>
      <c r="C71" s="1756" t="s">
        <v>12438</v>
      </c>
      <c r="D71" s="1588"/>
      <c r="E71" s="1589"/>
      <c r="F71" s="1589"/>
      <c r="G71" s="1757">
        <f>SUM(F72:F125)</f>
        <v>1527.6000000000001</v>
      </c>
      <c r="H71" s="1758">
        <f>G71*(1-$D$6)</f>
        <v>1527.6000000000001</v>
      </c>
      <c r="I71" s="1757">
        <f>ROUNDUP(H71*$D$5,0)</f>
        <v>5194</v>
      </c>
      <c r="J71" s="1759">
        <f>+I71*B71</f>
        <v>5194</v>
      </c>
      <c r="K71" s="1788">
        <f>B71</f>
        <v>1</v>
      </c>
      <c r="L71" s="363"/>
      <c r="M71" s="684"/>
      <c r="N71" s="362" t="str">
        <f t="shared" si="15"/>
        <v/>
      </c>
      <c r="O71" s="1763" t="str">
        <f t="shared" si="16"/>
        <v/>
      </c>
      <c r="P71" s="1764" t="str">
        <f t="shared" si="17"/>
        <v/>
      </c>
      <c r="Q71" s="120" t="str">
        <f t="shared" si="18"/>
        <v/>
      </c>
      <c r="R71" s="185"/>
    </row>
    <row r="72" spans="1:18" s="120" customFormat="1" ht="15" customHeight="1">
      <c r="A72" s="685" t="s">
        <v>3064</v>
      </c>
      <c r="B72" s="1779"/>
      <c r="C72" s="1954"/>
      <c r="D72" s="1955"/>
      <c r="E72" s="1789"/>
      <c r="F72" s="1789"/>
      <c r="G72" s="686"/>
      <c r="H72" s="686"/>
      <c r="I72" s="686"/>
      <c r="J72" s="1768"/>
      <c r="K72" s="684">
        <f>K71</f>
        <v>1</v>
      </c>
      <c r="L72" s="363">
        <v>1</v>
      </c>
      <c r="M72" s="684">
        <f>IF(B72="",1,B72)</f>
        <v>1</v>
      </c>
      <c r="N72" s="362" t="str">
        <f t="shared" si="15"/>
        <v/>
      </c>
      <c r="O72" s="1763" t="str">
        <f t="shared" si="16"/>
        <v/>
      </c>
      <c r="P72" s="1764" t="str">
        <f t="shared" si="17"/>
        <v/>
      </c>
      <c r="Q72" s="120" t="str">
        <f t="shared" si="18"/>
        <v/>
      </c>
    </row>
    <row r="73" spans="1:18" s="315" customFormat="1">
      <c r="A73" s="687" t="s">
        <v>4021</v>
      </c>
      <c r="B73" s="2096">
        <v>1</v>
      </c>
      <c r="C73" s="1907" t="s">
        <v>5103</v>
      </c>
      <c r="D73" s="1935"/>
      <c r="E73" s="1786"/>
      <c r="F73" s="1908">
        <f>SUM(F75:F79)*(B73-1)</f>
        <v>0</v>
      </c>
      <c r="G73" s="712"/>
      <c r="H73" s="712"/>
      <c r="I73" s="712"/>
      <c r="J73" s="713"/>
      <c r="K73" s="684">
        <f t="shared" ref="K73:K125" si="99">+K72</f>
        <v>1</v>
      </c>
      <c r="L73" s="1909">
        <f>B73</f>
        <v>1</v>
      </c>
      <c r="M73" s="684">
        <f t="shared" ref="M73:M79" si="100">IF(B73="",1,B73)</f>
        <v>1</v>
      </c>
      <c r="N73" s="362" t="str">
        <f t="shared" si="15"/>
        <v/>
      </c>
      <c r="O73" s="1763" t="str">
        <f t="shared" si="16"/>
        <v/>
      </c>
      <c r="P73" s="1764" t="str">
        <f t="shared" si="17"/>
        <v/>
      </c>
      <c r="Q73" s="120" t="str">
        <f t="shared" si="18"/>
        <v/>
      </c>
    </row>
    <row r="74" spans="1:18" s="185" customFormat="1">
      <c r="A74" s="687" t="s">
        <v>4136</v>
      </c>
      <c r="B74" s="1910">
        <v>3</v>
      </c>
      <c r="C74" s="1911" t="str">
        <f>VLOOKUP(D74,base_datos,6,FALSE)</f>
        <v>Portalámpara + lampara tipo LED - color Rojo - alimentacion: 220-230Vac, d=22mm. - CL2-523R - línea compacta - marca ABB.</v>
      </c>
      <c r="D74" s="1790" t="s">
        <v>2439</v>
      </c>
      <c r="E74" s="1939">
        <f>VLOOKUP(D74,base_datos,5,FALSE)</f>
        <v>12.299999999999999</v>
      </c>
      <c r="F74" s="1912">
        <f>+E74*B74</f>
        <v>36.9</v>
      </c>
      <c r="G74" s="710"/>
      <c r="H74" s="710"/>
      <c r="I74" s="710"/>
      <c r="J74" s="711"/>
      <c r="K74" s="684">
        <f t="shared" si="99"/>
        <v>1</v>
      </c>
      <c r="L74" s="1913">
        <f>L72</f>
        <v>1</v>
      </c>
      <c r="M74" s="684">
        <f t="shared" si="100"/>
        <v>3</v>
      </c>
      <c r="N74" s="362">
        <f t="shared" si="15"/>
        <v>3</v>
      </c>
      <c r="O74" s="1763" t="str">
        <f t="shared" si="16"/>
        <v>1SFA619403R5231</v>
      </c>
      <c r="P74" s="1764" t="str">
        <f t="shared" si="17"/>
        <v>Portalámpara + lampara tipo LED - color Rojo - alimentacion: 220-230Vac, d=22mm. - CL2-523R - línea compacta - marca ABB.</v>
      </c>
      <c r="Q74" s="120" t="str">
        <f t="shared" si="18"/>
        <v>LAMP_ROJO_220V</v>
      </c>
    </row>
    <row r="75" spans="1:18" s="185" customFormat="1">
      <c r="A75" s="687"/>
      <c r="B75" s="1910">
        <v>3</v>
      </c>
      <c r="C75" s="1911" t="str">
        <f>VLOOKUP(D75,base_datos,6,FALSE)</f>
        <v>Portalámpara + lampara tipo LED - color Verde - alimentacion: 220-230Vac, d=22mm. - CL2-523G - línea compacta - marca ABB.</v>
      </c>
      <c r="D75" s="1790" t="s">
        <v>2440</v>
      </c>
      <c r="E75" s="1939">
        <f>VLOOKUP(D75,base_datos,5,FALSE)</f>
        <v>12.299999999999999</v>
      </c>
      <c r="F75" s="1912">
        <f>+E75*B75</f>
        <v>36.9</v>
      </c>
      <c r="G75" s="710"/>
      <c r="H75" s="710"/>
      <c r="I75" s="710"/>
      <c r="J75" s="711"/>
      <c r="K75" s="684">
        <f t="shared" si="99"/>
        <v>1</v>
      </c>
      <c r="L75" s="1913">
        <f>L73</f>
        <v>1</v>
      </c>
      <c r="M75" s="684">
        <f t="shared" si="100"/>
        <v>3</v>
      </c>
      <c r="N75" s="362">
        <f t="shared" si="15"/>
        <v>3</v>
      </c>
      <c r="O75" s="1763" t="str">
        <f t="shared" si="16"/>
        <v>1SFA619403R5232</v>
      </c>
      <c r="P75" s="1764" t="str">
        <f t="shared" si="17"/>
        <v>Portalámpara + lampara tipo LED - color Verde - alimentacion: 220-230Vac, d=22mm. - CL2-523G - línea compacta - marca ABB.</v>
      </c>
      <c r="Q75" s="120" t="str">
        <f t="shared" si="18"/>
        <v>LAMP_VERDE_220V</v>
      </c>
    </row>
    <row r="76" spans="1:18" s="1921" customFormat="1">
      <c r="A76" s="687" t="s">
        <v>12356</v>
      </c>
      <c r="B76" s="1914">
        <v>1</v>
      </c>
      <c r="C76" s="1915" t="s">
        <v>3366</v>
      </c>
      <c r="D76" s="1916"/>
      <c r="E76" s="1917"/>
      <c r="F76" s="1918"/>
      <c r="G76" s="1919"/>
      <c r="H76" s="1919"/>
      <c r="I76" s="1919"/>
      <c r="J76" s="1920"/>
      <c r="K76" s="684">
        <f t="shared" si="99"/>
        <v>1</v>
      </c>
      <c r="L76" s="1913">
        <f>L75</f>
        <v>1</v>
      </c>
      <c r="M76" s="684">
        <f t="shared" si="100"/>
        <v>1</v>
      </c>
      <c r="N76" s="362" t="str">
        <f t="shared" ref="N76:N79" si="101">IF(O76&lt;&gt;"",K76*L76*M76,"")</f>
        <v/>
      </c>
      <c r="O76" s="1763" t="str">
        <f t="shared" ref="O76:O79" si="102">IF(D76&lt;&gt;"",IF(VLOOKUP(D76,base_datos,7,FALSE)&lt;&gt;"",VLOOKUP(D76,base_datos,7,FALSE),""),"")</f>
        <v/>
      </c>
      <c r="P76" s="1764" t="str">
        <f t="shared" ref="P76:P79" si="103">IF(O76&lt;&gt;"",VLOOKUP(D76,base_datos,6,FALSE),"")</f>
        <v/>
      </c>
      <c r="Q76" s="120" t="str">
        <f t="shared" ref="Q76:Q79" si="104">IF(O76&lt;&gt;"",D76,"")</f>
        <v/>
      </c>
    </row>
    <row r="77" spans="1:18" s="320" customFormat="1">
      <c r="A77" s="687" t="s">
        <v>12425</v>
      </c>
      <c r="B77" s="1922">
        <v>1</v>
      </c>
      <c r="C77" s="721" t="str">
        <f>VLOOKUP(D77,base_datos,6,FALSE)</f>
        <v>Rele auxiliar enchufable +4NA/NC (D2PR4B + base D2PA6), 220Vac - marca EATON.</v>
      </c>
      <c r="D77" s="1579" t="s">
        <v>772</v>
      </c>
      <c r="E77" s="1581">
        <f>VLOOKUP(D77,base_datos,5,FALSE)</f>
        <v>27</v>
      </c>
      <c r="F77" s="1923">
        <f>+E77*B77</f>
        <v>27</v>
      </c>
      <c r="G77" s="1924"/>
      <c r="H77" s="1924"/>
      <c r="I77" s="1924"/>
      <c r="J77" s="722"/>
      <c r="K77" s="684">
        <f t="shared" si="99"/>
        <v>1</v>
      </c>
      <c r="L77" s="1913">
        <f>L74</f>
        <v>1</v>
      </c>
      <c r="M77" s="684">
        <f t="shared" si="100"/>
        <v>1</v>
      </c>
      <c r="N77" s="362">
        <f t="shared" si="101"/>
        <v>1</v>
      </c>
      <c r="O77" s="1763" t="str">
        <f t="shared" si="102"/>
        <v>D2PR4B+D2PA6</v>
      </c>
      <c r="P77" s="1764" t="str">
        <f t="shared" si="103"/>
        <v>Rele auxiliar enchufable +4NA/NC (D2PR4B + base D2PA6), 220Vac - marca EATON.</v>
      </c>
      <c r="Q77" s="120" t="str">
        <f t="shared" si="104"/>
        <v>D2PR4B+D2PA6</v>
      </c>
    </row>
    <row r="78" spans="1:18" s="320" customFormat="1">
      <c r="A78" s="687"/>
      <c r="B78" s="1922">
        <v>1</v>
      </c>
      <c r="C78" s="721" t="s">
        <v>12558</v>
      </c>
      <c r="D78" s="1579"/>
      <c r="E78" s="1581">
        <v>32</v>
      </c>
      <c r="F78" s="1581">
        <f>+E78*B78</f>
        <v>32</v>
      </c>
      <c r="G78" s="1924"/>
      <c r="H78" s="1924"/>
      <c r="I78" s="1924"/>
      <c r="J78" s="722"/>
      <c r="K78" s="684">
        <f t="shared" si="99"/>
        <v>1</v>
      </c>
      <c r="L78" s="1913">
        <f>L75</f>
        <v>1</v>
      </c>
      <c r="M78" s="684">
        <f t="shared" si="100"/>
        <v>1</v>
      </c>
      <c r="N78" s="362" t="str">
        <f t="shared" si="101"/>
        <v/>
      </c>
      <c r="O78" s="1763" t="str">
        <f t="shared" si="102"/>
        <v/>
      </c>
      <c r="P78" s="1764" t="str">
        <f t="shared" si="103"/>
        <v/>
      </c>
      <c r="Q78" s="120" t="str">
        <f t="shared" si="104"/>
        <v/>
      </c>
    </row>
    <row r="79" spans="1:18" s="320" customFormat="1">
      <c r="A79" s="687" t="s">
        <v>12551</v>
      </c>
      <c r="B79" s="1922">
        <v>4</v>
      </c>
      <c r="C79" s="721" t="str">
        <f>VLOOKUP(D79,base_datos,6,FALSE)</f>
        <v>Base portafusibles + Fusibles de protección para control.</v>
      </c>
      <c r="D79" s="1579" t="s">
        <v>453</v>
      </c>
      <c r="E79" s="1581">
        <f>VLOOKUP(D79,base_datos,5,FALSE)</f>
        <v>8.1750000000000007</v>
      </c>
      <c r="F79" s="1923">
        <f>+E79*B79</f>
        <v>32.700000000000003</v>
      </c>
      <c r="G79" s="1924"/>
      <c r="H79" s="1924"/>
      <c r="I79" s="1924"/>
      <c r="J79" s="722"/>
      <c r="K79" s="684">
        <f t="shared" si="99"/>
        <v>1</v>
      </c>
      <c r="L79" s="1913">
        <f>L76</f>
        <v>1</v>
      </c>
      <c r="M79" s="684">
        <f t="shared" si="100"/>
        <v>4</v>
      </c>
      <c r="N79" s="362" t="str">
        <f t="shared" si="101"/>
        <v/>
      </c>
      <c r="O79" s="1763" t="str">
        <f t="shared" si="102"/>
        <v/>
      </c>
      <c r="P79" s="1764" t="str">
        <f t="shared" si="103"/>
        <v/>
      </c>
      <c r="Q79" s="120" t="str">
        <f t="shared" si="104"/>
        <v/>
      </c>
    </row>
    <row r="80" spans="1:18" s="315" customFormat="1">
      <c r="A80" s="687" t="s">
        <v>3542</v>
      </c>
      <c r="B80" s="1906"/>
      <c r="C80" s="1907"/>
      <c r="D80" s="1935"/>
      <c r="E80" s="1786"/>
      <c r="F80" s="1958"/>
      <c r="G80" s="712"/>
      <c r="H80" s="712"/>
      <c r="I80" s="712"/>
      <c r="J80" s="713"/>
      <c r="K80" s="684">
        <f t="shared" si="99"/>
        <v>1</v>
      </c>
      <c r="L80" s="1909">
        <f>B80</f>
        <v>0</v>
      </c>
      <c r="M80" s="684">
        <f t="shared" ref="M80:M98" si="105">IF(B80="",1,B80)</f>
        <v>1</v>
      </c>
      <c r="N80" s="362" t="str">
        <f t="shared" si="15"/>
        <v/>
      </c>
      <c r="O80" s="1763" t="str">
        <f t="shared" si="16"/>
        <v/>
      </c>
      <c r="P80" s="1764" t="str">
        <f t="shared" si="17"/>
        <v/>
      </c>
      <c r="Q80" s="120" t="str">
        <f t="shared" si="18"/>
        <v/>
      </c>
    </row>
    <row r="81" spans="1:19" s="185" customFormat="1">
      <c r="A81" s="687"/>
      <c r="B81" s="1922"/>
      <c r="C81" s="1956" t="s">
        <v>12368</v>
      </c>
      <c r="D81" s="1579"/>
      <c r="E81" s="1957"/>
      <c r="F81" s="1958"/>
      <c r="G81" s="710"/>
      <c r="H81" s="710"/>
      <c r="I81" s="710"/>
      <c r="J81" s="711"/>
      <c r="K81" s="684">
        <f t="shared" si="99"/>
        <v>1</v>
      </c>
      <c r="L81" s="708">
        <v>1</v>
      </c>
      <c r="M81" s="684">
        <f t="shared" si="105"/>
        <v>1</v>
      </c>
      <c r="N81" s="362" t="str">
        <f t="shared" si="15"/>
        <v/>
      </c>
      <c r="O81" s="1763" t="str">
        <f t="shared" si="16"/>
        <v/>
      </c>
      <c r="P81" s="1764" t="str">
        <f t="shared" si="17"/>
        <v/>
      </c>
      <c r="Q81" s="120" t="str">
        <f t="shared" si="18"/>
        <v/>
      </c>
    </row>
    <row r="82" spans="1:19" s="120" customFormat="1">
      <c r="A82" s="687"/>
      <c r="B82" s="1781"/>
      <c r="C82" s="1959" t="s">
        <v>12371</v>
      </c>
      <c r="D82" s="173"/>
      <c r="E82" s="1791"/>
      <c r="F82" s="1782"/>
      <c r="G82" s="686"/>
      <c r="H82" s="686"/>
      <c r="I82" s="686"/>
      <c r="J82" s="688"/>
      <c r="K82" s="684">
        <f t="shared" si="99"/>
        <v>1</v>
      </c>
      <c r="L82" s="363">
        <v>1</v>
      </c>
      <c r="M82" s="684">
        <f t="shared" si="105"/>
        <v>1</v>
      </c>
      <c r="N82" s="362" t="str">
        <f t="shared" si="15"/>
        <v/>
      </c>
      <c r="O82" s="1763" t="str">
        <f t="shared" si="16"/>
        <v/>
      </c>
      <c r="P82" s="1764" t="str">
        <f t="shared" si="17"/>
        <v/>
      </c>
      <c r="Q82" s="120" t="str">
        <f t="shared" si="18"/>
        <v/>
      </c>
      <c r="R82" s="185"/>
    </row>
    <row r="83" spans="1:19" s="690" customFormat="1">
      <c r="A83" s="687"/>
      <c r="B83" s="1781">
        <v>1</v>
      </c>
      <c r="C83" s="1960" t="str">
        <f>VLOOKUP(D83,base_datos,6,FALSE)</f>
        <v>ITM Caja Moldeada 2x16A - A1N/P125-16A-2P-TMF - 50kA@230Vac, 36kA@400Vac, 10kA@125Vdc - marca ABB.</v>
      </c>
      <c r="D83" s="2006" t="s">
        <v>1172</v>
      </c>
      <c r="E83" s="1791">
        <f>VLOOKUP(D83,base_datos,5,FALSE)</f>
        <v>59.769999999999996</v>
      </c>
      <c r="F83" s="1782">
        <f>+E83*B83</f>
        <v>59.769999999999996</v>
      </c>
      <c r="G83" s="1761"/>
      <c r="H83" s="1761"/>
      <c r="I83" s="1761"/>
      <c r="J83" s="689"/>
      <c r="K83" s="684">
        <f t="shared" si="99"/>
        <v>1</v>
      </c>
      <c r="L83" s="363">
        <v>1</v>
      </c>
      <c r="M83" s="684">
        <f t="shared" si="105"/>
        <v>1</v>
      </c>
      <c r="N83" s="362">
        <f t="shared" si="15"/>
        <v>1</v>
      </c>
      <c r="O83" s="1763" t="str">
        <f t="shared" si="16"/>
        <v>1SDA069551R1</v>
      </c>
      <c r="P83" s="1764" t="str">
        <f t="shared" si="17"/>
        <v>ITM Caja Moldeada 2x16A - A1N/P125-16A-2P-TMF - 50kA@230Vac, 36kA@400Vac, 10kA@125Vdc - marca ABB.</v>
      </c>
      <c r="Q83" s="120" t="str">
        <f t="shared" si="18"/>
        <v>A1N/P125-16A-2P-TMF</v>
      </c>
      <c r="R83" s="185"/>
    </row>
    <row r="84" spans="1:19" s="185" customFormat="1">
      <c r="A84" s="687"/>
      <c r="B84" s="714"/>
      <c r="C84" s="1956" t="s">
        <v>12368</v>
      </c>
      <c r="D84" s="1941"/>
      <c r="E84" s="1786"/>
      <c r="F84" s="1787"/>
      <c r="G84" s="710"/>
      <c r="H84" s="710"/>
      <c r="I84" s="710"/>
      <c r="J84" s="711"/>
      <c r="K84" s="684">
        <f t="shared" si="99"/>
        <v>1</v>
      </c>
      <c r="L84" s="363">
        <v>1</v>
      </c>
      <c r="M84" s="684">
        <f t="shared" si="105"/>
        <v>1</v>
      </c>
      <c r="N84" s="362" t="str">
        <f t="shared" si="15"/>
        <v/>
      </c>
      <c r="O84" s="1763" t="str">
        <f t="shared" si="16"/>
        <v/>
      </c>
      <c r="P84" s="1764" t="str">
        <f t="shared" si="17"/>
        <v/>
      </c>
      <c r="Q84" s="120" t="str">
        <f t="shared" si="18"/>
        <v/>
      </c>
    </row>
    <row r="85" spans="1:19" s="315" customFormat="1">
      <c r="A85" s="687"/>
      <c r="B85" s="355"/>
      <c r="C85" s="1944" t="s">
        <v>3063</v>
      </c>
      <c r="D85" s="1941"/>
      <c r="E85" s="1786"/>
      <c r="F85" s="1787"/>
      <c r="G85" s="712"/>
      <c r="H85" s="712"/>
      <c r="I85" s="712"/>
      <c r="J85" s="713"/>
      <c r="K85" s="684">
        <f t="shared" si="99"/>
        <v>1</v>
      </c>
      <c r="L85" s="708">
        <v>1</v>
      </c>
      <c r="M85" s="684">
        <f t="shared" si="105"/>
        <v>1</v>
      </c>
      <c r="N85" s="362" t="str">
        <f t="shared" si="15"/>
        <v/>
      </c>
      <c r="O85" s="1763" t="str">
        <f t="shared" si="16"/>
        <v/>
      </c>
      <c r="P85" s="1764" t="str">
        <f t="shared" si="17"/>
        <v/>
      </c>
      <c r="Q85" s="120" t="str">
        <f t="shared" si="18"/>
        <v/>
      </c>
    </row>
    <row r="86" spans="1:19" s="1921" customFormat="1">
      <c r="A86" s="1961"/>
      <c r="B86" s="1962">
        <v>1</v>
      </c>
      <c r="C86" s="1963" t="s">
        <v>12370</v>
      </c>
      <c r="D86" s="1941"/>
      <c r="E86" s="1917"/>
      <c r="F86" s="1937"/>
      <c r="G86" s="1919"/>
      <c r="H86" s="1919"/>
      <c r="I86" s="1919"/>
      <c r="J86" s="1920"/>
      <c r="K86" s="684">
        <f t="shared" si="99"/>
        <v>1</v>
      </c>
      <c r="L86" s="708">
        <v>1</v>
      </c>
      <c r="M86" s="684">
        <f t="shared" si="105"/>
        <v>1</v>
      </c>
      <c r="N86" s="362" t="str">
        <f t="shared" si="15"/>
        <v/>
      </c>
      <c r="O86" s="1763" t="str">
        <f t="shared" si="16"/>
        <v/>
      </c>
      <c r="P86" s="1764" t="str">
        <f t="shared" si="17"/>
        <v/>
      </c>
      <c r="Q86" s="120" t="str">
        <f t="shared" si="18"/>
        <v/>
      </c>
    </row>
    <row r="87" spans="1:19" s="897" customFormat="1" ht="18" customHeight="1">
      <c r="A87" s="1771"/>
      <c r="B87" s="1922">
        <v>6</v>
      </c>
      <c r="C87" s="1964" t="str">
        <f t="shared" ref="C87" si="106">VLOOKUP(D87,base_datos,6,FALSE)</f>
        <v>Borne 6mm2.</v>
      </c>
      <c r="D87" s="1579" t="s">
        <v>455</v>
      </c>
      <c r="E87" s="1952">
        <f t="shared" ref="E87" si="107">VLOOKUP(D87,base_datos,5,FALSE)</f>
        <v>4</v>
      </c>
      <c r="F87" s="1580">
        <f>+E87*B87</f>
        <v>24</v>
      </c>
      <c r="G87" s="1772"/>
      <c r="H87" s="1772"/>
      <c r="I87" s="1772"/>
      <c r="J87" s="896"/>
      <c r="K87" s="684">
        <f t="shared" si="99"/>
        <v>1</v>
      </c>
      <c r="L87" s="363">
        <v>1</v>
      </c>
      <c r="M87" s="684">
        <f t="shared" si="105"/>
        <v>6</v>
      </c>
      <c r="N87" s="362" t="str">
        <f t="shared" si="15"/>
        <v/>
      </c>
      <c r="O87" s="1763" t="str">
        <f t="shared" si="16"/>
        <v/>
      </c>
      <c r="P87" s="1764" t="str">
        <f t="shared" si="17"/>
        <v/>
      </c>
      <c r="Q87" s="120" t="str">
        <f t="shared" si="18"/>
        <v/>
      </c>
      <c r="R87" s="690"/>
      <c r="S87" s="690"/>
    </row>
    <row r="88" spans="1:19" s="185" customFormat="1">
      <c r="A88" s="1771"/>
      <c r="B88" s="1922"/>
      <c r="C88" s="1956" t="s">
        <v>12368</v>
      </c>
      <c r="D88" s="1579"/>
      <c r="E88" s="1957"/>
      <c r="F88" s="1958"/>
      <c r="G88" s="710"/>
      <c r="H88" s="710"/>
      <c r="I88" s="710"/>
      <c r="J88" s="711"/>
      <c r="K88" s="684">
        <f t="shared" si="99"/>
        <v>1</v>
      </c>
      <c r="L88" s="708">
        <v>1</v>
      </c>
      <c r="M88" s="684">
        <f t="shared" si="105"/>
        <v>1</v>
      </c>
      <c r="N88" s="362" t="str">
        <f t="shared" si="15"/>
        <v/>
      </c>
      <c r="O88" s="1763" t="str">
        <f t="shared" si="16"/>
        <v/>
      </c>
      <c r="P88" s="1764" t="str">
        <f t="shared" si="17"/>
        <v/>
      </c>
      <c r="Q88" s="120" t="str">
        <f t="shared" si="18"/>
        <v/>
      </c>
    </row>
    <row r="89" spans="1:19" s="690" customFormat="1" ht="18" customHeight="1">
      <c r="A89" s="1767"/>
      <c r="B89" s="1851"/>
      <c r="C89" s="1894" t="s">
        <v>3377</v>
      </c>
      <c r="D89" s="1582"/>
      <c r="E89" s="1780"/>
      <c r="F89" s="1782"/>
      <c r="G89" s="1761"/>
      <c r="H89" s="1761"/>
      <c r="I89" s="1761"/>
      <c r="J89" s="689"/>
      <c r="K89" s="684">
        <f t="shared" si="99"/>
        <v>1</v>
      </c>
      <c r="L89" s="708">
        <v>1</v>
      </c>
      <c r="M89" s="684">
        <f t="shared" si="105"/>
        <v>1</v>
      </c>
      <c r="N89" s="362" t="str">
        <f t="shared" si="15"/>
        <v/>
      </c>
      <c r="O89" s="1763" t="str">
        <f t="shared" si="16"/>
        <v/>
      </c>
      <c r="P89" s="1764" t="str">
        <f t="shared" si="17"/>
        <v/>
      </c>
      <c r="Q89" s="120" t="str">
        <f t="shared" si="18"/>
        <v/>
      </c>
      <c r="R89" s="185"/>
    </row>
    <row r="90" spans="1:19" s="690" customFormat="1">
      <c r="A90" s="687"/>
      <c r="B90" s="1781">
        <v>2</v>
      </c>
      <c r="C90" s="1420" t="str">
        <f>VLOOKUP(D90,base_datos,6,FALSE)</f>
        <v>ITM Riel-Din 2x16A - S202-C-16A - 10kA@400Vac-IEC60947-2 - marca ABB.</v>
      </c>
      <c r="D90" s="1790" t="s">
        <v>970</v>
      </c>
      <c r="E90" s="1791">
        <f>VLOOKUP(D90,base_datos,5,FALSE)</f>
        <v>17.96</v>
      </c>
      <c r="F90" s="1782">
        <f>+E90*B90</f>
        <v>35.92</v>
      </c>
      <c r="G90" s="1761"/>
      <c r="H90" s="1761"/>
      <c r="I90" s="1761"/>
      <c r="J90" s="689"/>
      <c r="K90" s="684">
        <f t="shared" si="99"/>
        <v>1</v>
      </c>
      <c r="L90" s="363">
        <v>1</v>
      </c>
      <c r="M90" s="684">
        <f t="shared" si="105"/>
        <v>2</v>
      </c>
      <c r="N90" s="362">
        <f t="shared" si="15"/>
        <v>2</v>
      </c>
      <c r="O90" s="1763" t="str">
        <f t="shared" si="16"/>
        <v>2CDS252001R0164</v>
      </c>
      <c r="P90" s="1764" t="str">
        <f t="shared" si="17"/>
        <v>ITM Riel-Din 2x16A - S202-C-16A - 10kA@400Vac-IEC60947-2 - marca ABB.</v>
      </c>
      <c r="Q90" s="120" t="str">
        <f t="shared" si="18"/>
        <v>S202-C-16A</v>
      </c>
      <c r="R90" s="185"/>
    </row>
    <row r="91" spans="1:19" s="695" customFormat="1">
      <c r="A91" s="687"/>
      <c r="B91" s="1967">
        <v>1</v>
      </c>
      <c r="C91" s="1946">
        <v>8</v>
      </c>
      <c r="D91" s="1582"/>
      <c r="E91" s="2000">
        <v>32</v>
      </c>
      <c r="F91" s="1968">
        <f t="shared" ref="F91" si="108">+E91*B91</f>
        <v>32</v>
      </c>
      <c r="G91" s="1969"/>
      <c r="H91" s="1969"/>
      <c r="I91" s="1969"/>
      <c r="J91" s="1970"/>
      <c r="K91" s="684">
        <f t="shared" si="99"/>
        <v>1</v>
      </c>
      <c r="L91" s="363">
        <v>1</v>
      </c>
      <c r="M91" s="684">
        <f t="shared" si="105"/>
        <v>1</v>
      </c>
      <c r="N91" s="362" t="str">
        <f t="shared" si="15"/>
        <v/>
      </c>
      <c r="O91" s="1763" t="str">
        <f t="shared" si="16"/>
        <v/>
      </c>
      <c r="P91" s="1764" t="str">
        <f t="shared" si="17"/>
        <v/>
      </c>
      <c r="Q91" s="120" t="str">
        <f t="shared" si="18"/>
        <v/>
      </c>
    </row>
    <row r="92" spans="1:19" s="185" customFormat="1">
      <c r="A92" s="692"/>
      <c r="B92" s="714"/>
      <c r="C92" s="1893" t="s">
        <v>729</v>
      </c>
      <c r="D92" s="1941"/>
      <c r="E92" s="1786"/>
      <c r="F92" s="1787"/>
      <c r="G92" s="710"/>
      <c r="H92" s="710"/>
      <c r="I92" s="710"/>
      <c r="J92" s="711"/>
      <c r="K92" s="684">
        <f t="shared" si="99"/>
        <v>1</v>
      </c>
      <c r="L92" s="363">
        <v>1</v>
      </c>
      <c r="M92" s="684">
        <f t="shared" si="105"/>
        <v>1</v>
      </c>
      <c r="N92" s="362" t="str">
        <f t="shared" si="15"/>
        <v/>
      </c>
      <c r="O92" s="1763" t="str">
        <f t="shared" si="16"/>
        <v/>
      </c>
      <c r="P92" s="1764" t="str">
        <f t="shared" si="17"/>
        <v/>
      </c>
      <c r="Q92" s="120" t="str">
        <f t="shared" si="18"/>
        <v/>
      </c>
    </row>
    <row r="93" spans="1:19" s="315" customFormat="1">
      <c r="A93" s="1785"/>
      <c r="B93" s="355"/>
      <c r="C93" s="1944" t="s">
        <v>3063</v>
      </c>
      <c r="D93" s="1941"/>
      <c r="E93" s="1786"/>
      <c r="F93" s="1787"/>
      <c r="G93" s="712"/>
      <c r="H93" s="712"/>
      <c r="I93" s="712"/>
      <c r="J93" s="713"/>
      <c r="K93" s="684">
        <f t="shared" si="99"/>
        <v>1</v>
      </c>
      <c r="L93" s="708">
        <v>1</v>
      </c>
      <c r="M93" s="684">
        <f t="shared" si="105"/>
        <v>1</v>
      </c>
      <c r="N93" s="362" t="str">
        <f t="shared" si="15"/>
        <v/>
      </c>
      <c r="O93" s="1763" t="str">
        <f t="shared" si="16"/>
        <v/>
      </c>
      <c r="P93" s="1764" t="str">
        <f t="shared" si="17"/>
        <v/>
      </c>
      <c r="Q93" s="120" t="str">
        <f t="shared" si="18"/>
        <v/>
      </c>
    </row>
    <row r="94" spans="1:19" s="690" customFormat="1" ht="18" customHeight="1">
      <c r="A94" s="691"/>
      <c r="B94" s="1781">
        <v>1</v>
      </c>
      <c r="C94" s="1420" t="str">
        <f>VLOOKUP(D94,base_datos,6,FALSE)</f>
        <v>ITM Riel-Din 2x16A - S202-C-16A - 10kA@400Vac-IEC60947-2 - marca ABB.</v>
      </c>
      <c r="D94" s="1790" t="s">
        <v>970</v>
      </c>
      <c r="E94" s="1791">
        <f>VLOOKUP(D94,base_datos,5,FALSE)</f>
        <v>17.96</v>
      </c>
      <c r="F94" s="1782">
        <f>+E94*B94</f>
        <v>17.96</v>
      </c>
      <c r="G94" s="1761"/>
      <c r="H94" s="1761"/>
      <c r="I94" s="1761"/>
      <c r="J94" s="1783"/>
      <c r="K94" s="684">
        <f t="shared" si="99"/>
        <v>1</v>
      </c>
      <c r="L94" s="708">
        <v>1</v>
      </c>
      <c r="M94" s="684">
        <f t="shared" si="105"/>
        <v>1</v>
      </c>
      <c r="N94" s="362">
        <f t="shared" ref="N94:N161" si="109">IF(O94&lt;&gt;"",K94*L94*M94,"")</f>
        <v>1</v>
      </c>
      <c r="O94" s="1763" t="str">
        <f t="shared" ref="O94:O161" si="110">IF(D94&lt;&gt;"",IF(VLOOKUP(D94,base_datos,7,FALSE)&lt;&gt;"",VLOOKUP(D94,base_datos,7,FALSE),""),"")</f>
        <v>2CDS252001R0164</v>
      </c>
      <c r="P94" s="1764" t="str">
        <f t="shared" ref="P94:P161" si="111">IF(O94&lt;&gt;"",VLOOKUP(D94,base_datos,6,FALSE),"")</f>
        <v>ITM Riel-Din 2x16A - S202-C-16A - 10kA@400Vac-IEC60947-2 - marca ABB.</v>
      </c>
      <c r="Q94" s="120" t="str">
        <f t="shared" ref="Q94:Q161" si="112">IF(O94&lt;&gt;"",D94,"")</f>
        <v>S202-C-16A</v>
      </c>
      <c r="R94" s="185"/>
    </row>
    <row r="95" spans="1:19" s="690" customFormat="1" ht="18" customHeight="1">
      <c r="A95" s="691"/>
      <c r="B95" s="1781">
        <v>2</v>
      </c>
      <c r="C95" s="1420" t="str">
        <f>VLOOKUP(D95,base_datos,6,FALSE)</f>
        <v>Protector de sobretensiones (Tipo 2) - OVR-T2_40-440_P-QS_1P - Un=230/400V, Uc=440V, Up=1.8kV - I_descarga=40kA - marca ABB.</v>
      </c>
      <c r="D95" s="1947" t="s">
        <v>6448</v>
      </c>
      <c r="E95" s="1948">
        <f>VLOOKUP(D95,base_datos,5,FALSE)</f>
        <v>75.59</v>
      </c>
      <c r="F95" s="1949">
        <f>+E95*B95</f>
        <v>151.18</v>
      </c>
      <c r="G95" s="1950"/>
      <c r="H95" s="1761"/>
      <c r="I95" s="1761"/>
      <c r="J95" s="1783"/>
      <c r="K95" s="684">
        <f t="shared" si="99"/>
        <v>1</v>
      </c>
      <c r="L95" s="708">
        <v>1</v>
      </c>
      <c r="M95" s="684">
        <f t="shared" si="105"/>
        <v>2</v>
      </c>
      <c r="N95" s="362">
        <f t="shared" si="109"/>
        <v>2</v>
      </c>
      <c r="O95" s="1763" t="str">
        <f t="shared" si="110"/>
        <v>2CTB803871R1200</v>
      </c>
      <c r="P95" s="1764" t="str">
        <f t="shared" si="111"/>
        <v>Protector de sobretensiones (Tipo 2) - OVR-T2_40-440_P-QS_1P - Un=230/400V, Uc=440V, Up=1.8kV - I_descarga=40kA - marca ABB.</v>
      </c>
      <c r="Q95" s="120" t="str">
        <f t="shared" si="112"/>
        <v>OVR-T2_40-440_P-QS_1P</v>
      </c>
      <c r="R95" s="185"/>
    </row>
    <row r="96" spans="1:19" s="185" customFormat="1">
      <c r="A96" s="692"/>
      <c r="B96" s="714"/>
      <c r="C96" s="1956" t="s">
        <v>12368</v>
      </c>
      <c r="D96" s="1941"/>
      <c r="E96" s="1786"/>
      <c r="F96" s="1787"/>
      <c r="G96" s="710"/>
      <c r="H96" s="710"/>
      <c r="I96" s="710"/>
      <c r="J96" s="711"/>
      <c r="K96" s="684">
        <f t="shared" si="99"/>
        <v>1</v>
      </c>
      <c r="L96" s="363">
        <v>1</v>
      </c>
      <c r="M96" s="684">
        <f t="shared" si="105"/>
        <v>1</v>
      </c>
      <c r="N96" s="362" t="str">
        <f t="shared" si="109"/>
        <v/>
      </c>
      <c r="O96" s="1763" t="str">
        <f t="shared" si="110"/>
        <v/>
      </c>
      <c r="P96" s="1764" t="str">
        <f t="shared" si="111"/>
        <v/>
      </c>
      <c r="Q96" s="120" t="str">
        <f t="shared" si="112"/>
        <v/>
      </c>
    </row>
    <row r="97" spans="1:20" s="315" customFormat="1">
      <c r="A97" s="1785"/>
      <c r="B97" s="355"/>
      <c r="C97" s="1944" t="s">
        <v>3063</v>
      </c>
      <c r="D97" s="1941"/>
      <c r="E97" s="1786"/>
      <c r="F97" s="1787"/>
      <c r="G97" s="712"/>
      <c r="H97" s="712"/>
      <c r="I97" s="712"/>
      <c r="J97" s="713"/>
      <c r="K97" s="684">
        <f t="shared" si="99"/>
        <v>1</v>
      </c>
      <c r="L97" s="708">
        <v>1</v>
      </c>
      <c r="M97" s="684">
        <f t="shared" si="105"/>
        <v>1</v>
      </c>
      <c r="N97" s="362" t="str">
        <f t="shared" si="109"/>
        <v/>
      </c>
      <c r="O97" s="1763" t="str">
        <f t="shared" si="110"/>
        <v/>
      </c>
      <c r="P97" s="1764" t="str">
        <f t="shared" si="111"/>
        <v/>
      </c>
      <c r="Q97" s="120" t="str">
        <f t="shared" si="112"/>
        <v/>
      </c>
    </row>
    <row r="98" spans="1:20" s="1921" customFormat="1">
      <c r="A98" s="1961"/>
      <c r="B98" s="1962">
        <v>1</v>
      </c>
      <c r="C98" s="1963" t="s">
        <v>12372</v>
      </c>
      <c r="D98" s="1941"/>
      <c r="E98" s="1917"/>
      <c r="F98" s="1937"/>
      <c r="G98" s="1919"/>
      <c r="H98" s="1919"/>
      <c r="I98" s="1919"/>
      <c r="J98" s="1920"/>
      <c r="K98" s="684">
        <f t="shared" si="99"/>
        <v>1</v>
      </c>
      <c r="L98" s="708">
        <v>1</v>
      </c>
      <c r="M98" s="684">
        <f t="shared" si="105"/>
        <v>1</v>
      </c>
      <c r="N98" s="362" t="str">
        <f t="shared" si="109"/>
        <v/>
      </c>
      <c r="O98" s="1763" t="str">
        <f t="shared" si="110"/>
        <v/>
      </c>
      <c r="P98" s="1764" t="str">
        <f t="shared" si="111"/>
        <v/>
      </c>
      <c r="Q98" s="120" t="str">
        <f t="shared" si="112"/>
        <v/>
      </c>
    </row>
    <row r="99" spans="1:20" s="185" customFormat="1">
      <c r="A99" s="1976"/>
      <c r="B99" s="1977">
        <v>4</v>
      </c>
      <c r="C99" s="721" t="str">
        <f>VLOOKUP(D99,base_datos,6,FALSE)</f>
        <v>Borne 6mm2.</v>
      </c>
      <c r="D99" s="1579" t="s">
        <v>455</v>
      </c>
      <c r="E99" s="1978">
        <f t="shared" ref="E99" si="113">VLOOKUP(D99,base_datos,5,FALSE)</f>
        <v>4</v>
      </c>
      <c r="F99" s="1971">
        <f t="shared" ref="F99" si="114">+E99*B99</f>
        <v>16</v>
      </c>
      <c r="G99" s="1965"/>
      <c r="H99" s="1965"/>
      <c r="I99" s="1965"/>
      <c r="J99" s="711"/>
      <c r="K99" s="684">
        <f t="shared" si="99"/>
        <v>1</v>
      </c>
      <c r="L99" s="363">
        <v>1</v>
      </c>
      <c r="M99" s="684">
        <f t="shared" ref="M99:M121" si="115">IF(B99="",1,B99)</f>
        <v>4</v>
      </c>
      <c r="N99" s="362" t="str">
        <f t="shared" si="109"/>
        <v/>
      </c>
      <c r="O99" s="1763" t="str">
        <f t="shared" si="110"/>
        <v/>
      </c>
      <c r="P99" s="1764" t="str">
        <f t="shared" si="111"/>
        <v/>
      </c>
      <c r="Q99" s="120" t="str">
        <f t="shared" si="112"/>
        <v/>
      </c>
      <c r="R99" s="690"/>
      <c r="S99" s="1979"/>
      <c r="T99" s="1979"/>
    </row>
    <row r="100" spans="1:20" s="185" customFormat="1">
      <c r="A100" s="1771"/>
      <c r="B100" s="1922"/>
      <c r="C100" s="1956" t="s">
        <v>12368</v>
      </c>
      <c r="D100" s="1579"/>
      <c r="E100" s="1957"/>
      <c r="F100" s="1958"/>
      <c r="G100" s="710"/>
      <c r="H100" s="710"/>
      <c r="I100" s="710"/>
      <c r="J100" s="711"/>
      <c r="K100" s="684">
        <f t="shared" si="99"/>
        <v>1</v>
      </c>
      <c r="L100" s="708">
        <v>1</v>
      </c>
      <c r="M100" s="684">
        <f t="shared" si="115"/>
        <v>1</v>
      </c>
      <c r="N100" s="362" t="str">
        <f t="shared" si="109"/>
        <v/>
      </c>
      <c r="O100" s="1763" t="str">
        <f t="shared" si="110"/>
        <v/>
      </c>
      <c r="P100" s="1764" t="str">
        <f t="shared" si="111"/>
        <v/>
      </c>
      <c r="Q100" s="120" t="str">
        <f t="shared" si="112"/>
        <v/>
      </c>
    </row>
    <row r="101" spans="1:20" s="120" customFormat="1">
      <c r="A101" s="687"/>
      <c r="B101" s="1781"/>
      <c r="C101" s="1959" t="s">
        <v>12373</v>
      </c>
      <c r="D101" s="173"/>
      <c r="E101" s="1791"/>
      <c r="F101" s="1782"/>
      <c r="G101" s="686"/>
      <c r="H101" s="686"/>
      <c r="I101" s="686"/>
      <c r="J101" s="688"/>
      <c r="K101" s="684">
        <f t="shared" si="99"/>
        <v>1</v>
      </c>
      <c r="L101" s="363">
        <v>1</v>
      </c>
      <c r="M101" s="684">
        <f t="shared" si="115"/>
        <v>1</v>
      </c>
      <c r="N101" s="362" t="str">
        <f t="shared" si="109"/>
        <v/>
      </c>
      <c r="O101" s="1763" t="str">
        <f t="shared" si="110"/>
        <v/>
      </c>
      <c r="P101" s="1764" t="str">
        <f t="shared" si="111"/>
        <v/>
      </c>
      <c r="Q101" s="120" t="str">
        <f t="shared" si="112"/>
        <v/>
      </c>
      <c r="R101" s="185"/>
    </row>
    <row r="102" spans="1:20" s="185" customFormat="1">
      <c r="A102" s="687"/>
      <c r="B102" s="714"/>
      <c r="C102" s="1956" t="s">
        <v>12368</v>
      </c>
      <c r="D102" s="173"/>
      <c r="E102" s="1786"/>
      <c r="F102" s="1787"/>
      <c r="G102" s="710"/>
      <c r="H102" s="710"/>
      <c r="I102" s="710"/>
      <c r="J102" s="711"/>
      <c r="K102" s="684">
        <f t="shared" si="99"/>
        <v>1</v>
      </c>
      <c r="L102" s="708">
        <v>1</v>
      </c>
      <c r="M102" s="684">
        <f t="shared" si="115"/>
        <v>1</v>
      </c>
      <c r="N102" s="362" t="str">
        <f t="shared" si="109"/>
        <v/>
      </c>
      <c r="O102" s="1763" t="str">
        <f t="shared" si="110"/>
        <v/>
      </c>
      <c r="P102" s="1764" t="str">
        <f t="shared" si="111"/>
        <v/>
      </c>
      <c r="Q102" s="120" t="str">
        <f t="shared" si="112"/>
        <v/>
      </c>
    </row>
    <row r="103" spans="1:20" s="315" customFormat="1">
      <c r="A103" s="687"/>
      <c r="B103" s="1906">
        <v>1</v>
      </c>
      <c r="C103" s="1907" t="s">
        <v>12369</v>
      </c>
      <c r="D103" s="1935"/>
      <c r="E103" s="1786"/>
      <c r="F103" s="1936">
        <f>SUM(F104:F105)*(B103-1)</f>
        <v>0</v>
      </c>
      <c r="G103" s="712"/>
      <c r="H103" s="712"/>
      <c r="I103" s="712"/>
      <c r="J103" s="713"/>
      <c r="K103" s="684">
        <f t="shared" si="99"/>
        <v>1</v>
      </c>
      <c r="L103" s="1909">
        <f>B103</f>
        <v>1</v>
      </c>
      <c r="M103" s="684">
        <f t="shared" si="115"/>
        <v>1</v>
      </c>
      <c r="N103" s="362" t="str">
        <f t="shared" si="109"/>
        <v/>
      </c>
      <c r="O103" s="1763" t="str">
        <f t="shared" si="110"/>
        <v/>
      </c>
      <c r="P103" s="1764" t="str">
        <f t="shared" si="111"/>
        <v/>
      </c>
      <c r="Q103" s="120" t="str">
        <f t="shared" si="112"/>
        <v/>
      </c>
    </row>
    <row r="104" spans="1:20" s="185" customFormat="1">
      <c r="A104" s="1961"/>
      <c r="B104" s="1910">
        <v>2</v>
      </c>
      <c r="C104" s="1911" t="str">
        <f>VLOOKUP(D104,base_datos,6,FALSE)</f>
        <v>ITM Riel-Din 2x16A - S202-C-16A - 10kA@400Vac-IEC60947-2 - marca ABB.</v>
      </c>
      <c r="D104" s="1790" t="s">
        <v>970</v>
      </c>
      <c r="E104" s="1787">
        <f>VLOOKUP(D104,base_datos,5,FALSE)</f>
        <v>17.96</v>
      </c>
      <c r="F104" s="1912">
        <f>+E104*B104</f>
        <v>35.92</v>
      </c>
      <c r="G104" s="710"/>
      <c r="H104" s="710"/>
      <c r="I104" s="710"/>
      <c r="J104" s="711"/>
      <c r="K104" s="684">
        <f t="shared" si="99"/>
        <v>1</v>
      </c>
      <c r="L104" s="1913">
        <f>L103</f>
        <v>1</v>
      </c>
      <c r="M104" s="684">
        <f t="shared" si="115"/>
        <v>2</v>
      </c>
      <c r="N104" s="362">
        <f t="shared" si="109"/>
        <v>2</v>
      </c>
      <c r="O104" s="1763" t="str">
        <f t="shared" si="110"/>
        <v>2CDS252001R0164</v>
      </c>
      <c r="P104" s="1764" t="str">
        <f t="shared" si="111"/>
        <v>ITM Riel-Din 2x16A - S202-C-16A - 10kA@400Vac-IEC60947-2 - marca ABB.</v>
      </c>
      <c r="Q104" s="120" t="str">
        <f t="shared" si="112"/>
        <v>S202-C-16A</v>
      </c>
    </row>
    <row r="105" spans="1:20" s="1921" customFormat="1">
      <c r="A105" s="1771"/>
      <c r="B105" s="1914">
        <v>1</v>
      </c>
      <c r="C105" s="1911" t="str">
        <f>VLOOKUP(D105,base_datos,6,FALSE)</f>
        <v>Bloqueo mecánico para enclavamiento manual entre dos interruptores - Riel-Din.</v>
      </c>
      <c r="D105" s="1790" t="s">
        <v>5954</v>
      </c>
      <c r="E105" s="1787">
        <f>VLOOKUP(D105,base_datos,5,FALSE)</f>
        <v>50</v>
      </c>
      <c r="F105" s="1912">
        <f>+E105*B105</f>
        <v>50</v>
      </c>
      <c r="G105" s="1919"/>
      <c r="H105" s="1919"/>
      <c r="I105" s="1919"/>
      <c r="J105" s="1920"/>
      <c r="K105" s="684">
        <f t="shared" si="99"/>
        <v>1</v>
      </c>
      <c r="L105" s="1913">
        <f>L104</f>
        <v>1</v>
      </c>
      <c r="M105" s="684">
        <f t="shared" si="115"/>
        <v>1</v>
      </c>
      <c r="N105" s="362" t="str">
        <f t="shared" si="109"/>
        <v/>
      </c>
      <c r="O105" s="1763" t="str">
        <f t="shared" si="110"/>
        <v/>
      </c>
      <c r="P105" s="1764" t="str">
        <f t="shared" si="111"/>
        <v/>
      </c>
      <c r="Q105" s="120" t="str">
        <f t="shared" si="112"/>
        <v/>
      </c>
    </row>
    <row r="106" spans="1:20" s="185" customFormat="1">
      <c r="A106" s="687"/>
      <c r="B106" s="714"/>
      <c r="C106" s="1956" t="s">
        <v>12368</v>
      </c>
      <c r="D106" s="173"/>
      <c r="E106" s="1786"/>
      <c r="F106" s="1787"/>
      <c r="G106" s="710"/>
      <c r="H106" s="710"/>
      <c r="I106" s="710"/>
      <c r="J106" s="711"/>
      <c r="K106" s="684">
        <f t="shared" si="99"/>
        <v>1</v>
      </c>
      <c r="L106" s="363">
        <v>1</v>
      </c>
      <c r="M106" s="684">
        <f t="shared" si="115"/>
        <v>1</v>
      </c>
      <c r="N106" s="362" t="str">
        <f t="shared" si="109"/>
        <v/>
      </c>
      <c r="O106" s="1763" t="str">
        <f t="shared" si="110"/>
        <v/>
      </c>
      <c r="P106" s="1764" t="str">
        <f t="shared" si="111"/>
        <v/>
      </c>
      <c r="Q106" s="120" t="str">
        <f t="shared" si="112"/>
        <v/>
      </c>
    </row>
    <row r="107" spans="1:20" s="690" customFormat="1">
      <c r="A107" s="687"/>
      <c r="B107" s="1851"/>
      <c r="C107" s="1966" t="s">
        <v>2654</v>
      </c>
      <c r="D107" s="1582"/>
      <c r="E107" s="1780"/>
      <c r="F107" s="1782"/>
      <c r="G107" s="1761"/>
      <c r="H107" s="1761"/>
      <c r="I107" s="1761"/>
      <c r="J107" s="689"/>
      <c r="K107" s="684">
        <f t="shared" si="99"/>
        <v>1</v>
      </c>
      <c r="L107" s="363">
        <v>1</v>
      </c>
      <c r="M107" s="684">
        <f t="shared" si="115"/>
        <v>1</v>
      </c>
      <c r="N107" s="362" t="str">
        <f t="shared" si="109"/>
        <v/>
      </c>
      <c r="O107" s="1763" t="str">
        <f t="shared" si="110"/>
        <v/>
      </c>
      <c r="P107" s="1764" t="str">
        <f t="shared" si="111"/>
        <v/>
      </c>
      <c r="Q107" s="120" t="str">
        <f t="shared" si="112"/>
        <v/>
      </c>
      <c r="R107" s="185"/>
    </row>
    <row r="108" spans="1:20" s="690" customFormat="1">
      <c r="A108" s="687"/>
      <c r="B108" s="1781">
        <v>3</v>
      </c>
      <c r="C108" s="1960" t="str">
        <f>VLOOKUP(D108,base_datos,6,FALSE)</f>
        <v>ITM Riel-Din 2x16A - S202-C-16A - 10kA@400Vac-IEC60947-2 - marca ABB.</v>
      </c>
      <c r="D108" s="1901" t="s">
        <v>970</v>
      </c>
      <c r="E108" s="1791">
        <f>VLOOKUP(D108,base_datos,5,FALSE)</f>
        <v>17.96</v>
      </c>
      <c r="F108" s="1782">
        <f>+E108*B108</f>
        <v>53.88</v>
      </c>
      <c r="G108" s="1761"/>
      <c r="H108" s="1761"/>
      <c r="I108" s="1761"/>
      <c r="J108" s="689"/>
      <c r="K108" s="684">
        <f t="shared" si="99"/>
        <v>1</v>
      </c>
      <c r="L108" s="363">
        <v>1</v>
      </c>
      <c r="M108" s="684">
        <f t="shared" si="115"/>
        <v>3</v>
      </c>
      <c r="N108" s="362">
        <f t="shared" si="109"/>
        <v>3</v>
      </c>
      <c r="O108" s="1763" t="str">
        <f t="shared" si="110"/>
        <v>2CDS252001R0164</v>
      </c>
      <c r="P108" s="1764" t="str">
        <f t="shared" si="111"/>
        <v>ITM Riel-Din 2x16A - S202-C-16A - 10kA@400Vac-IEC60947-2 - marca ABB.</v>
      </c>
      <c r="Q108" s="120" t="str">
        <f t="shared" si="112"/>
        <v>S202-C-16A</v>
      </c>
      <c r="R108" s="185"/>
    </row>
    <row r="109" spans="1:20" s="690" customFormat="1">
      <c r="A109" s="687"/>
      <c r="B109" s="1781">
        <v>3</v>
      </c>
      <c r="C109" s="1960" t="str">
        <f>VLOOKUP(D109,base_datos,6,FALSE)</f>
        <v>Interruptor Diferencial 2x25A - 30mA - clase A-APR (alta inmunización) - F202-A APR-25A-30mA  - marca ABB.</v>
      </c>
      <c r="D109" s="1901" t="s">
        <v>1135</v>
      </c>
      <c r="E109" s="1791">
        <f>VLOOKUP(D109,base_datos,5,FALSE)</f>
        <v>86.79</v>
      </c>
      <c r="F109" s="1782">
        <f>+E109*B109</f>
        <v>260.37</v>
      </c>
      <c r="G109" s="1761"/>
      <c r="H109" s="1761"/>
      <c r="I109" s="1761"/>
      <c r="J109" s="689"/>
      <c r="K109" s="684">
        <f t="shared" si="99"/>
        <v>1</v>
      </c>
      <c r="L109" s="363">
        <v>1</v>
      </c>
      <c r="M109" s="684">
        <f t="shared" si="115"/>
        <v>3</v>
      </c>
      <c r="N109" s="362">
        <f t="shared" si="109"/>
        <v>3</v>
      </c>
      <c r="O109" s="1763" t="str">
        <f t="shared" si="110"/>
        <v>2CSF202401R1250</v>
      </c>
      <c r="P109" s="1764" t="str">
        <f t="shared" si="111"/>
        <v>Interruptor Diferencial 2x25A - 30mA - clase A-APR (alta inmunización) - F202-A APR-25A-30mA  - marca ABB.</v>
      </c>
      <c r="Q109" s="120" t="str">
        <f t="shared" si="112"/>
        <v>F202-A APR-25A-30mA</v>
      </c>
      <c r="R109" s="185"/>
    </row>
    <row r="110" spans="1:20" s="690" customFormat="1">
      <c r="A110" s="687"/>
      <c r="B110" s="1781">
        <v>1</v>
      </c>
      <c r="C110" s="1960" t="str">
        <f>VLOOKUP(D110,base_datos,6,FALSE)</f>
        <v>Espacio de reserva monofasica + interruptor diferencial - Riel-Din.</v>
      </c>
      <c r="D110" s="1901" t="s">
        <v>2926</v>
      </c>
      <c r="E110" s="1791">
        <f>VLOOKUP(D110,base_datos,5,FALSE)</f>
        <v>2.5</v>
      </c>
      <c r="F110" s="1782">
        <f>+E110*B110</f>
        <v>2.5</v>
      </c>
      <c r="G110" s="1761"/>
      <c r="H110" s="1761"/>
      <c r="I110" s="1761"/>
      <c r="J110" s="689"/>
      <c r="K110" s="684">
        <f t="shared" si="99"/>
        <v>1</v>
      </c>
      <c r="L110" s="363">
        <v>1</v>
      </c>
      <c r="M110" s="684">
        <f t="shared" si="115"/>
        <v>1</v>
      </c>
      <c r="N110" s="362" t="str">
        <f t="shared" si="109"/>
        <v/>
      </c>
      <c r="O110" s="1763" t="str">
        <f t="shared" si="110"/>
        <v/>
      </c>
      <c r="P110" s="1764" t="str">
        <f t="shared" si="111"/>
        <v/>
      </c>
      <c r="Q110" s="120" t="str">
        <f t="shared" si="112"/>
        <v/>
      </c>
      <c r="R110" s="185"/>
    </row>
    <row r="111" spans="1:20" s="695" customFormat="1">
      <c r="A111" s="687"/>
      <c r="B111" s="1967">
        <v>1</v>
      </c>
      <c r="C111" s="1946">
        <v>8</v>
      </c>
      <c r="D111" s="1582"/>
      <c r="E111" s="2000">
        <v>32</v>
      </c>
      <c r="F111" s="1968">
        <f t="shared" ref="F111" si="116">+E111*B111</f>
        <v>32</v>
      </c>
      <c r="G111" s="1969"/>
      <c r="H111" s="1969"/>
      <c r="I111" s="1969"/>
      <c r="J111" s="1970"/>
      <c r="K111" s="684">
        <f t="shared" si="99"/>
        <v>1</v>
      </c>
      <c r="L111" s="363">
        <v>1</v>
      </c>
      <c r="M111" s="684">
        <f t="shared" si="115"/>
        <v>1</v>
      </c>
      <c r="N111" s="362" t="str">
        <f t="shared" si="109"/>
        <v/>
      </c>
      <c r="O111" s="1763" t="str">
        <f t="shared" si="110"/>
        <v/>
      </c>
      <c r="P111" s="1764" t="str">
        <f t="shared" si="111"/>
        <v/>
      </c>
      <c r="Q111" s="120" t="str">
        <f t="shared" si="112"/>
        <v/>
      </c>
    </row>
    <row r="112" spans="1:20" s="185" customFormat="1" ht="18" customHeight="1">
      <c r="A112" s="1785"/>
      <c r="B112" s="714"/>
      <c r="C112" s="1893" t="s">
        <v>729</v>
      </c>
      <c r="D112" s="173"/>
      <c r="E112" s="1786"/>
      <c r="F112" s="1787"/>
      <c r="G112" s="710"/>
      <c r="H112" s="710"/>
      <c r="I112" s="710"/>
      <c r="J112" s="711"/>
      <c r="K112" s="684">
        <f t="shared" si="99"/>
        <v>1</v>
      </c>
      <c r="L112" s="708">
        <v>1</v>
      </c>
      <c r="M112" s="684">
        <f t="shared" si="115"/>
        <v>1</v>
      </c>
      <c r="N112" s="362" t="str">
        <f t="shared" si="109"/>
        <v/>
      </c>
      <c r="O112" s="1763" t="str">
        <f t="shared" si="110"/>
        <v/>
      </c>
      <c r="P112" s="1764" t="str">
        <f t="shared" si="111"/>
        <v/>
      </c>
      <c r="Q112" s="120" t="str">
        <f t="shared" si="112"/>
        <v/>
      </c>
    </row>
    <row r="113" spans="1:20" s="1236" customFormat="1" ht="18" customHeight="1">
      <c r="A113" s="1767"/>
      <c r="B113" s="1853">
        <v>1</v>
      </c>
      <c r="C113" s="1895" t="s">
        <v>12364</v>
      </c>
      <c r="D113" s="1902"/>
      <c r="E113" s="1792"/>
      <c r="F113" s="1793"/>
      <c r="G113" s="1784"/>
      <c r="H113" s="1784"/>
      <c r="I113" s="1784"/>
      <c r="J113" s="1182"/>
      <c r="K113" s="684">
        <f t="shared" si="99"/>
        <v>1</v>
      </c>
      <c r="L113" s="708">
        <v>1</v>
      </c>
      <c r="M113" s="684">
        <f t="shared" si="115"/>
        <v>1</v>
      </c>
      <c r="N113" s="362" t="str">
        <f t="shared" si="109"/>
        <v/>
      </c>
      <c r="O113" s="1763" t="str">
        <f t="shared" si="110"/>
        <v/>
      </c>
      <c r="P113" s="1764" t="str">
        <f t="shared" si="111"/>
        <v/>
      </c>
      <c r="Q113" s="120" t="str">
        <f t="shared" si="112"/>
        <v/>
      </c>
      <c r="R113" s="185"/>
    </row>
    <row r="114" spans="1:20" s="695" customFormat="1" ht="18" customHeight="1">
      <c r="A114" s="693"/>
      <c r="B114" s="1922">
        <v>1</v>
      </c>
      <c r="C114" s="1848" t="str">
        <f t="shared" ref="C114" si="117">VLOOKUP(D114,base_datos,6,FALSE)</f>
        <v>Placa lamicoid rotulación de 3mm de espesor, fondo negro y letras blancas.</v>
      </c>
      <c r="D114" s="1886" t="s">
        <v>8570</v>
      </c>
      <c r="E114" s="1795">
        <f t="shared" ref="E114" si="118">VLOOKUP(D114,base_datos,5,FALSE)</f>
        <v>2.2000000000000002</v>
      </c>
      <c r="F114" s="1796">
        <f t="shared" ref="F114" si="119">+E114*B114</f>
        <v>2.2000000000000002</v>
      </c>
      <c r="G114" s="696"/>
      <c r="H114" s="696"/>
      <c r="I114" s="696"/>
      <c r="J114" s="697"/>
      <c r="K114" s="684">
        <f t="shared" si="99"/>
        <v>1</v>
      </c>
      <c r="L114" s="708">
        <v>1</v>
      </c>
      <c r="M114" s="684">
        <f t="shared" si="115"/>
        <v>1</v>
      </c>
      <c r="N114" s="362">
        <f t="shared" si="109"/>
        <v>1</v>
      </c>
      <c r="O114" s="1763" t="str">
        <f t="shared" si="110"/>
        <v>Placa lamicoid p/distr.</v>
      </c>
      <c r="P114" s="1764" t="str">
        <f t="shared" si="111"/>
        <v>Placa lamicoid rotulación de 3mm de espesor, fondo negro y letras blancas.</v>
      </c>
      <c r="Q114" s="120" t="str">
        <f t="shared" si="112"/>
        <v>Placa lamicoid p/distr.</v>
      </c>
      <c r="R114" s="185"/>
    </row>
    <row r="115" spans="1:20" s="1236" customFormat="1" ht="18" customHeight="1">
      <c r="A115" s="1767"/>
      <c r="B115" s="1853">
        <v>1</v>
      </c>
      <c r="C115" s="1895" t="s">
        <v>12474</v>
      </c>
      <c r="D115" s="1902"/>
      <c r="E115" s="1792"/>
      <c r="F115" s="1793"/>
      <c r="G115" s="1784"/>
      <c r="H115" s="1784"/>
      <c r="I115" s="1784"/>
      <c r="J115" s="1182"/>
      <c r="K115" s="684">
        <f t="shared" si="99"/>
        <v>1</v>
      </c>
      <c r="L115" s="708">
        <v>1</v>
      </c>
      <c r="M115" s="684">
        <f t="shared" si="115"/>
        <v>1</v>
      </c>
      <c r="N115" s="362" t="str">
        <f t="shared" si="109"/>
        <v/>
      </c>
      <c r="O115" s="1763" t="str">
        <f t="shared" si="110"/>
        <v/>
      </c>
      <c r="P115" s="1764" t="str">
        <f t="shared" si="111"/>
        <v/>
      </c>
      <c r="Q115" s="120" t="str">
        <f t="shared" si="112"/>
        <v/>
      </c>
      <c r="R115" s="185"/>
    </row>
    <row r="116" spans="1:20" s="1236" customFormat="1" ht="18" customHeight="1">
      <c r="A116" s="1767"/>
      <c r="B116" s="1853">
        <v>1</v>
      </c>
      <c r="C116" s="1848" t="str">
        <f>VLOOKUP(D116,base_datos,6,FALSE)</f>
        <v>Embalaje especial completamente cerrado para tablero adosado de 1600x600x220mm</v>
      </c>
      <c r="D116" s="1902" t="s">
        <v>12453</v>
      </c>
      <c r="E116" s="1795">
        <f t="shared" ref="E116" si="120">VLOOKUP(D116,base_datos,5,FALSE)</f>
        <v>271.40000000000003</v>
      </c>
      <c r="F116" s="1796">
        <f t="shared" ref="F116" si="121">+E116*B116</f>
        <v>271.40000000000003</v>
      </c>
      <c r="G116" s="1784"/>
      <c r="H116" s="1784"/>
      <c r="I116" s="1784"/>
      <c r="J116" s="1182"/>
      <c r="K116" s="684">
        <f t="shared" si="99"/>
        <v>1</v>
      </c>
      <c r="L116" s="708">
        <v>1</v>
      </c>
      <c r="M116" s="684">
        <f t="shared" si="115"/>
        <v>1</v>
      </c>
      <c r="N116" s="362">
        <f t="shared" si="109"/>
        <v>1</v>
      </c>
      <c r="O116" s="1763" t="str">
        <f t="shared" si="110"/>
        <v>EMBAL_ADOS_1600x600x220mm</v>
      </c>
      <c r="P116" s="1764" t="str">
        <f t="shared" si="111"/>
        <v>Embalaje especial completamente cerrado para tablero adosado de 1600x600x220mm</v>
      </c>
      <c r="Q116" s="120" t="str">
        <f t="shared" si="112"/>
        <v>EMBAL_ADOS_1600x600x220mm</v>
      </c>
      <c r="R116" s="185"/>
    </row>
    <row r="117" spans="1:20" s="185" customFormat="1" ht="18" customHeight="1">
      <c r="A117" s="1785"/>
      <c r="B117" s="714"/>
      <c r="C117" s="1893" t="s">
        <v>729</v>
      </c>
      <c r="D117" s="173"/>
      <c r="E117" s="1786"/>
      <c r="F117" s="1787"/>
      <c r="G117" s="710"/>
      <c r="H117" s="710"/>
      <c r="I117" s="710"/>
      <c r="J117" s="711"/>
      <c r="K117" s="684">
        <f t="shared" si="99"/>
        <v>1</v>
      </c>
      <c r="L117" s="708">
        <v>1</v>
      </c>
      <c r="M117" s="684">
        <f t="shared" si="115"/>
        <v>1</v>
      </c>
      <c r="N117" s="362" t="str">
        <f t="shared" si="109"/>
        <v/>
      </c>
      <c r="O117" s="1763" t="str">
        <f t="shared" si="110"/>
        <v/>
      </c>
      <c r="P117" s="1764" t="str">
        <f t="shared" si="111"/>
        <v/>
      </c>
      <c r="Q117" s="120" t="str">
        <f t="shared" si="112"/>
        <v/>
      </c>
    </row>
    <row r="118" spans="1:20" s="1521" customFormat="1">
      <c r="A118" s="1972"/>
      <c r="B118" s="714">
        <v>1</v>
      </c>
      <c r="C118" s="1960" t="s">
        <v>2910</v>
      </c>
      <c r="D118" s="1973"/>
      <c r="E118" s="1580">
        <v>25</v>
      </c>
      <c r="F118" s="1581">
        <f t="shared" ref="F118:F125" si="122">+E118*B118</f>
        <v>25</v>
      </c>
      <c r="G118" s="1974"/>
      <c r="H118" s="1974"/>
      <c r="I118" s="1974"/>
      <c r="J118" s="1975"/>
      <c r="K118" s="684">
        <f t="shared" si="99"/>
        <v>1</v>
      </c>
      <c r="L118" s="363">
        <v>1</v>
      </c>
      <c r="M118" s="684">
        <f t="shared" si="115"/>
        <v>1</v>
      </c>
      <c r="N118" s="362" t="str">
        <f t="shared" si="109"/>
        <v/>
      </c>
      <c r="O118" s="1763" t="str">
        <f t="shared" si="110"/>
        <v/>
      </c>
      <c r="P118" s="1764" t="str">
        <f t="shared" si="111"/>
        <v/>
      </c>
      <c r="Q118" s="120" t="str">
        <f t="shared" si="112"/>
        <v/>
      </c>
      <c r="R118" s="690"/>
      <c r="S118" s="1237"/>
      <c r="T118" s="1237"/>
    </row>
    <row r="119" spans="1:20" s="695" customFormat="1" ht="18" customHeight="1">
      <c r="A119" s="693"/>
      <c r="B119" s="1794">
        <v>1</v>
      </c>
      <c r="C119" s="1420" t="s">
        <v>316</v>
      </c>
      <c r="D119" s="1790"/>
      <c r="E119" s="1795"/>
      <c r="F119" s="1796"/>
      <c r="G119" s="696"/>
      <c r="H119" s="696"/>
      <c r="I119" s="696"/>
      <c r="J119" s="697"/>
      <c r="K119" s="684">
        <f t="shared" si="99"/>
        <v>1</v>
      </c>
      <c r="L119" s="708">
        <v>1</v>
      </c>
      <c r="M119" s="684">
        <f t="shared" si="115"/>
        <v>1</v>
      </c>
      <c r="N119" s="362" t="str">
        <f t="shared" si="109"/>
        <v/>
      </c>
      <c r="O119" s="1763" t="str">
        <f t="shared" si="110"/>
        <v/>
      </c>
      <c r="P119" s="1764" t="str">
        <f t="shared" si="111"/>
        <v/>
      </c>
      <c r="Q119" s="120" t="str">
        <f t="shared" si="112"/>
        <v/>
      </c>
      <c r="R119" s="185"/>
    </row>
    <row r="120" spans="1:20" s="185" customFormat="1" ht="18" customHeight="1">
      <c r="A120" s="1785"/>
      <c r="B120" s="714"/>
      <c r="C120" s="1893" t="s">
        <v>729</v>
      </c>
      <c r="D120" s="173"/>
      <c r="E120" s="1786"/>
      <c r="F120" s="1787"/>
      <c r="G120" s="710"/>
      <c r="H120" s="710"/>
      <c r="I120" s="710"/>
      <c r="J120" s="711"/>
      <c r="K120" s="684">
        <f t="shared" si="99"/>
        <v>1</v>
      </c>
      <c r="L120" s="708">
        <v>1</v>
      </c>
      <c r="M120" s="684">
        <f t="shared" ref="M120" si="123">IF(B120="",1,B120)</f>
        <v>1</v>
      </c>
      <c r="N120" s="362" t="str">
        <f t="shared" ref="N120" si="124">IF(O120&lt;&gt;"",K120*L120*M120,"")</f>
        <v/>
      </c>
      <c r="O120" s="1763" t="str">
        <f t="shared" ref="O120" si="125">IF(D120&lt;&gt;"",IF(VLOOKUP(D120,base_datos,7,FALSE)&lt;&gt;"",VLOOKUP(D120,base_datos,7,FALSE),""),"")</f>
        <v/>
      </c>
      <c r="P120" s="1764" t="str">
        <f t="shared" ref="P120" si="126">IF(O120&lt;&gt;"",VLOOKUP(D120,base_datos,6,FALSE),"")</f>
        <v/>
      </c>
      <c r="Q120" s="120" t="str">
        <f t="shared" ref="Q120" si="127">IF(O120&lt;&gt;"",D120,"")</f>
        <v/>
      </c>
    </row>
    <row r="121" spans="1:20" s="897" customFormat="1" ht="18" customHeight="1">
      <c r="A121" s="693"/>
      <c r="B121" s="895">
        <v>10</v>
      </c>
      <c r="C121" s="721" t="str">
        <f>VLOOKUP(D121,base_datos,6,FALSE)</f>
        <v>Rotulado por circuito.</v>
      </c>
      <c r="D121" s="1579" t="s">
        <v>3067</v>
      </c>
      <c r="E121" s="1580">
        <f>VLOOKUP(D121,base_datos,5,FALSE)</f>
        <v>0.7</v>
      </c>
      <c r="F121" s="1581">
        <f t="shared" si="122"/>
        <v>7</v>
      </c>
      <c r="G121" s="1772"/>
      <c r="H121" s="1772"/>
      <c r="I121" s="1772"/>
      <c r="J121" s="896"/>
      <c r="K121" s="684">
        <f t="shared" si="99"/>
        <v>1</v>
      </c>
      <c r="L121" s="708">
        <v>1</v>
      </c>
      <c r="M121" s="684">
        <f t="shared" si="115"/>
        <v>10</v>
      </c>
      <c r="N121" s="362" t="str">
        <f t="shared" si="109"/>
        <v/>
      </c>
      <c r="O121" s="1763" t="str">
        <f t="shared" si="110"/>
        <v/>
      </c>
      <c r="P121" s="1764" t="str">
        <f t="shared" si="111"/>
        <v/>
      </c>
      <c r="Q121" s="120" t="str">
        <f t="shared" si="112"/>
        <v/>
      </c>
    </row>
    <row r="122" spans="1:20" s="897" customFormat="1" ht="18" customHeight="1">
      <c r="A122" s="693"/>
      <c r="B122" s="895">
        <v>1</v>
      </c>
      <c r="C122" s="721" t="str">
        <f>VLOOKUP(D122,base_datos,6,FALSE)</f>
        <v>Rotulado para TAG - tablero de distribución.</v>
      </c>
      <c r="D122" s="1579" t="s">
        <v>3066</v>
      </c>
      <c r="E122" s="1580">
        <f>VLOOKUP(D122,base_datos,5,FALSE)</f>
        <v>1.5</v>
      </c>
      <c r="F122" s="1581">
        <f t="shared" si="122"/>
        <v>1.5</v>
      </c>
      <c r="G122" s="1772"/>
      <c r="H122" s="1772"/>
      <c r="I122" s="1772"/>
      <c r="J122" s="896"/>
      <c r="K122" s="684">
        <f t="shared" si="99"/>
        <v>1</v>
      </c>
      <c r="L122" s="708">
        <v>1</v>
      </c>
      <c r="M122" s="709">
        <f t="shared" ref="M122:M125" si="128">IF(B122="",1,B122)</f>
        <v>1</v>
      </c>
      <c r="N122" s="362" t="str">
        <f t="shared" si="109"/>
        <v/>
      </c>
      <c r="O122" s="1763" t="str">
        <f t="shared" si="110"/>
        <v/>
      </c>
      <c r="P122" s="1764" t="str">
        <f t="shared" si="111"/>
        <v/>
      </c>
      <c r="Q122" s="120" t="str">
        <f t="shared" si="112"/>
        <v/>
      </c>
    </row>
    <row r="123" spans="1:20" s="1237" customFormat="1" ht="18" customHeight="1">
      <c r="A123" s="1767"/>
      <c r="B123" s="2093">
        <v>1</v>
      </c>
      <c r="C123" s="694" t="s">
        <v>12552</v>
      </c>
      <c r="D123" s="1888"/>
      <c r="E123" s="1580">
        <f>E125*15%</f>
        <v>31.5</v>
      </c>
      <c r="F123" s="1581">
        <f t="shared" si="122"/>
        <v>31.5</v>
      </c>
      <c r="G123" s="1774"/>
      <c r="H123" s="1774"/>
      <c r="I123" s="1774"/>
      <c r="J123" s="1181"/>
      <c r="K123" s="684">
        <f t="shared" si="99"/>
        <v>1</v>
      </c>
      <c r="L123" s="708">
        <v>1</v>
      </c>
      <c r="M123" s="709">
        <f t="shared" si="128"/>
        <v>1</v>
      </c>
      <c r="N123" s="362" t="str">
        <f t="shared" ref="N123:N124" si="129">IF(O123&lt;&gt;"",K123*L123*M123,"")</f>
        <v/>
      </c>
      <c r="O123" s="1763" t="str">
        <f t="shared" ref="O123:O124" si="130">IF(D123&lt;&gt;"",IF(VLOOKUP(D123,base_datos,7,FALSE)&lt;&gt;"",VLOOKUP(D123,base_datos,7,FALSE),""),"")</f>
        <v/>
      </c>
      <c r="P123" s="1764" t="str">
        <f t="shared" ref="P123:P124" si="131">IF(O123&lt;&gt;"",VLOOKUP(D123,base_datos,6,FALSE),"")</f>
        <v/>
      </c>
      <c r="Q123" s="120" t="str">
        <f t="shared" ref="Q123:Q124" si="132">IF(O123&lt;&gt;"",D123,"")</f>
        <v/>
      </c>
      <c r="R123" s="1765"/>
    </row>
    <row r="124" spans="1:20" s="1237" customFormat="1" ht="18" customHeight="1">
      <c r="A124" s="1767"/>
      <c r="B124" s="1773">
        <v>1</v>
      </c>
      <c r="C124" s="694" t="s">
        <v>12559</v>
      </c>
      <c r="D124" s="1888"/>
      <c r="E124" s="1999">
        <f>E125*20%</f>
        <v>42</v>
      </c>
      <c r="F124" s="1581">
        <f t="shared" si="122"/>
        <v>42</v>
      </c>
      <c r="G124" s="1774"/>
      <c r="H124" s="1774"/>
      <c r="I124" s="1774"/>
      <c r="J124" s="1181"/>
      <c r="K124" s="684">
        <f t="shared" si="99"/>
        <v>1</v>
      </c>
      <c r="L124" s="708">
        <v>1</v>
      </c>
      <c r="M124" s="709">
        <f t="shared" si="128"/>
        <v>1</v>
      </c>
      <c r="N124" s="362" t="str">
        <f t="shared" si="129"/>
        <v/>
      </c>
      <c r="O124" s="1763" t="str">
        <f t="shared" si="130"/>
        <v/>
      </c>
      <c r="P124" s="1764" t="str">
        <f t="shared" si="131"/>
        <v/>
      </c>
      <c r="Q124" s="120" t="str">
        <f t="shared" si="132"/>
        <v/>
      </c>
      <c r="R124" s="1765"/>
    </row>
    <row r="125" spans="1:20" s="1237" customFormat="1" ht="18" customHeight="1">
      <c r="A125" s="1767"/>
      <c r="B125" s="1773">
        <v>1</v>
      </c>
      <c r="C125" s="694" t="s">
        <v>12436</v>
      </c>
      <c r="D125" s="1888"/>
      <c r="E125" s="1999">
        <v>210</v>
      </c>
      <c r="F125" s="1581">
        <f t="shared" si="122"/>
        <v>210</v>
      </c>
      <c r="G125" s="1774"/>
      <c r="H125" s="1774"/>
      <c r="I125" s="1774"/>
      <c r="J125" s="1181"/>
      <c r="K125" s="684">
        <f t="shared" si="99"/>
        <v>1</v>
      </c>
      <c r="L125" s="708">
        <v>1</v>
      </c>
      <c r="M125" s="709">
        <f t="shared" si="128"/>
        <v>1</v>
      </c>
      <c r="N125" s="362" t="str">
        <f t="shared" si="109"/>
        <v/>
      </c>
      <c r="O125" s="1763" t="str">
        <f t="shared" si="110"/>
        <v/>
      </c>
      <c r="P125" s="1764" t="str">
        <f t="shared" si="111"/>
        <v/>
      </c>
      <c r="Q125" s="120" t="str">
        <f t="shared" si="112"/>
        <v/>
      </c>
      <c r="R125" s="1765"/>
    </row>
    <row r="126" spans="1:20" s="120" customFormat="1" ht="18" customHeight="1" thickBot="1">
      <c r="A126" s="2013"/>
      <c r="B126" s="1854"/>
      <c r="C126" s="1797"/>
      <c r="D126" s="2009"/>
      <c r="E126" s="1981"/>
      <c r="F126" s="1981"/>
      <c r="G126" s="1798"/>
      <c r="H126" s="1798"/>
      <c r="I126" s="1798"/>
      <c r="J126" s="1799"/>
      <c r="K126" s="1788"/>
      <c r="L126" s="363"/>
      <c r="M126" s="684"/>
      <c r="N126" s="362" t="str">
        <f t="shared" si="109"/>
        <v/>
      </c>
      <c r="O126" s="1763" t="str">
        <f t="shared" si="110"/>
        <v/>
      </c>
      <c r="P126" s="1764" t="str">
        <f t="shared" si="111"/>
        <v/>
      </c>
      <c r="Q126" s="120" t="str">
        <f t="shared" si="112"/>
        <v/>
      </c>
      <c r="R126" s="185"/>
    </row>
    <row r="127" spans="1:20" s="120" customFormat="1" ht="18" customHeight="1" thickBot="1">
      <c r="A127" s="1989">
        <v>3</v>
      </c>
      <c r="B127" s="1852">
        <v>1</v>
      </c>
      <c r="C127" s="1756" t="s">
        <v>12431</v>
      </c>
      <c r="D127" s="1588"/>
      <c r="E127" s="1589"/>
      <c r="F127" s="1589"/>
      <c r="G127" s="1757">
        <f>SUM(F128:F158)</f>
        <v>1514.14</v>
      </c>
      <c r="H127" s="1758">
        <f>G127*(1-$D$6)</f>
        <v>1514.14</v>
      </c>
      <c r="I127" s="1757">
        <f>ROUNDUP(H127*$D$5,0)</f>
        <v>5149</v>
      </c>
      <c r="J127" s="1759">
        <f>+I127*B127</f>
        <v>5149</v>
      </c>
      <c r="K127" s="1788">
        <f>B127</f>
        <v>1</v>
      </c>
      <c r="L127" s="363"/>
      <c r="M127" s="684"/>
      <c r="N127" s="362" t="str">
        <f t="shared" si="109"/>
        <v/>
      </c>
      <c r="O127" s="1763" t="str">
        <f t="shared" si="110"/>
        <v/>
      </c>
      <c r="P127" s="1764" t="str">
        <f t="shared" si="111"/>
        <v/>
      </c>
      <c r="Q127" s="120" t="str">
        <f t="shared" si="112"/>
        <v/>
      </c>
      <c r="R127" s="185"/>
    </row>
    <row r="128" spans="1:20" s="120" customFormat="1" ht="18" customHeight="1">
      <c r="A128" s="685" t="s">
        <v>3064</v>
      </c>
      <c r="B128" s="1903"/>
      <c r="C128" s="1890"/>
      <c r="D128" s="1927"/>
      <c r="E128" s="1780"/>
      <c r="F128" s="1780"/>
      <c r="G128" s="686"/>
      <c r="H128" s="710"/>
      <c r="I128" s="686"/>
      <c r="J128" s="1768"/>
      <c r="K128" s="684">
        <f t="shared" ref="K128:K156" si="133">+K127</f>
        <v>1</v>
      </c>
      <c r="L128" s="363">
        <v>1</v>
      </c>
      <c r="M128" s="709">
        <f t="shared" ref="M128:M150" si="134">IF(B128="",1,B128)</f>
        <v>1</v>
      </c>
      <c r="N128" s="362" t="str">
        <f t="shared" si="109"/>
        <v/>
      </c>
      <c r="O128" s="1763" t="str">
        <f t="shared" si="110"/>
        <v/>
      </c>
      <c r="P128" s="1764" t="str">
        <f t="shared" si="111"/>
        <v/>
      </c>
      <c r="Q128" s="120" t="str">
        <f t="shared" si="112"/>
        <v/>
      </c>
    </row>
    <row r="129" spans="1:18" s="315" customFormat="1">
      <c r="A129" s="687" t="s">
        <v>4021</v>
      </c>
      <c r="B129" s="2096">
        <v>1</v>
      </c>
      <c r="C129" s="1907" t="s">
        <v>5103</v>
      </c>
      <c r="D129" s="1935"/>
      <c r="E129" s="1786"/>
      <c r="F129" s="1908">
        <f>SUM(F131:F135)*(B129-1)</f>
        <v>0</v>
      </c>
      <c r="G129" s="712"/>
      <c r="H129" s="712"/>
      <c r="I129" s="712"/>
      <c r="J129" s="713"/>
      <c r="K129" s="684">
        <f t="shared" si="133"/>
        <v>1</v>
      </c>
      <c r="L129" s="1909">
        <f>B129</f>
        <v>1</v>
      </c>
      <c r="M129" s="684">
        <f t="shared" si="134"/>
        <v>1</v>
      </c>
      <c r="N129" s="362" t="str">
        <f t="shared" si="109"/>
        <v/>
      </c>
      <c r="O129" s="1763" t="str">
        <f t="shared" si="110"/>
        <v/>
      </c>
      <c r="P129" s="1764" t="str">
        <f t="shared" si="111"/>
        <v/>
      </c>
      <c r="Q129" s="120" t="str">
        <f t="shared" si="112"/>
        <v/>
      </c>
    </row>
    <row r="130" spans="1:18" s="185" customFormat="1">
      <c r="A130" s="687" t="s">
        <v>4136</v>
      </c>
      <c r="B130" s="1910">
        <v>3</v>
      </c>
      <c r="C130" s="1911" t="str">
        <f>VLOOKUP(D130,base_datos,6,FALSE)</f>
        <v>Portalámpara + lampara tipo LED - color Rojo - alimentacion: 220-230Vac, d=22mm. - CL2-523R - línea compacta - marca ABB.</v>
      </c>
      <c r="D130" s="1790" t="s">
        <v>2439</v>
      </c>
      <c r="E130" s="1939">
        <f>VLOOKUP(D130,base_datos,5,FALSE)</f>
        <v>12.299999999999999</v>
      </c>
      <c r="F130" s="1912">
        <f>+E130*B130</f>
        <v>36.9</v>
      </c>
      <c r="G130" s="710"/>
      <c r="H130" s="710"/>
      <c r="I130" s="710"/>
      <c r="J130" s="711"/>
      <c r="K130" s="684">
        <f>+K128</f>
        <v>1</v>
      </c>
      <c r="L130" s="1913">
        <f>L128</f>
        <v>1</v>
      </c>
      <c r="M130" s="684">
        <f t="shared" si="134"/>
        <v>3</v>
      </c>
      <c r="N130" s="362">
        <f t="shared" si="109"/>
        <v>3</v>
      </c>
      <c r="O130" s="1763" t="str">
        <f t="shared" si="110"/>
        <v>1SFA619403R5231</v>
      </c>
      <c r="P130" s="1764" t="str">
        <f t="shared" si="111"/>
        <v>Portalámpara + lampara tipo LED - color Rojo - alimentacion: 220-230Vac, d=22mm. - CL2-523R - línea compacta - marca ABB.</v>
      </c>
      <c r="Q130" s="120" t="str">
        <f t="shared" si="112"/>
        <v>LAMP_ROJO_220V</v>
      </c>
    </row>
    <row r="131" spans="1:18" s="185" customFormat="1">
      <c r="A131" s="687"/>
      <c r="B131" s="1910">
        <v>3</v>
      </c>
      <c r="C131" s="1911" t="str">
        <f>VLOOKUP(D131,base_datos,6,FALSE)</f>
        <v>Portalámpara + lampara tipo LED - color Verde - alimentacion: 220-230Vac, d=22mm. - CL2-523G - línea compacta - marca ABB.</v>
      </c>
      <c r="D131" s="1790" t="s">
        <v>2440</v>
      </c>
      <c r="E131" s="1939">
        <f>VLOOKUP(D131,base_datos,5,FALSE)</f>
        <v>12.299999999999999</v>
      </c>
      <c r="F131" s="1912">
        <f>+E131*B131</f>
        <v>36.9</v>
      </c>
      <c r="G131" s="710"/>
      <c r="H131" s="710"/>
      <c r="I131" s="710"/>
      <c r="J131" s="711"/>
      <c r="K131" s="684">
        <f>+K129</f>
        <v>1</v>
      </c>
      <c r="L131" s="1913">
        <f>L129</f>
        <v>1</v>
      </c>
      <c r="M131" s="684">
        <f t="shared" si="134"/>
        <v>3</v>
      </c>
      <c r="N131" s="362">
        <f t="shared" si="109"/>
        <v>3</v>
      </c>
      <c r="O131" s="1763" t="str">
        <f t="shared" si="110"/>
        <v>1SFA619403R5232</v>
      </c>
      <c r="P131" s="1764" t="str">
        <f t="shared" si="111"/>
        <v>Portalámpara + lampara tipo LED - color Verde - alimentacion: 220-230Vac, d=22mm. - CL2-523G - línea compacta - marca ABB.</v>
      </c>
      <c r="Q131" s="120" t="str">
        <f t="shared" si="112"/>
        <v>LAMP_VERDE_220V</v>
      </c>
    </row>
    <row r="132" spans="1:18" s="1921" customFormat="1">
      <c r="A132" s="687" t="s">
        <v>12356</v>
      </c>
      <c r="B132" s="1914">
        <v>1</v>
      </c>
      <c r="C132" s="1915" t="s">
        <v>3366</v>
      </c>
      <c r="D132" s="1916"/>
      <c r="E132" s="1917"/>
      <c r="F132" s="1918"/>
      <c r="G132" s="1919"/>
      <c r="H132" s="1919"/>
      <c r="I132" s="1919"/>
      <c r="J132" s="1920"/>
      <c r="K132" s="684">
        <f t="shared" si="133"/>
        <v>1</v>
      </c>
      <c r="L132" s="1913">
        <f>L131</f>
        <v>1</v>
      </c>
      <c r="M132" s="684">
        <f t="shared" si="134"/>
        <v>1</v>
      </c>
      <c r="N132" s="362" t="str">
        <f t="shared" si="109"/>
        <v/>
      </c>
      <c r="O132" s="1763" t="str">
        <f t="shared" si="110"/>
        <v/>
      </c>
      <c r="P132" s="1764" t="str">
        <f t="shared" si="111"/>
        <v/>
      </c>
      <c r="Q132" s="120" t="str">
        <f t="shared" si="112"/>
        <v/>
      </c>
    </row>
    <row r="133" spans="1:18" s="320" customFormat="1">
      <c r="A133" s="687" t="s">
        <v>12426</v>
      </c>
      <c r="B133" s="1922">
        <v>1</v>
      </c>
      <c r="C133" s="721" t="str">
        <f>VLOOKUP(D133,base_datos,6,FALSE)</f>
        <v>Rele auxiliar enchufable +4NA/NC (D2PR4B + base D2PA6), 220Vac - marca EATON.</v>
      </c>
      <c r="D133" s="1579" t="s">
        <v>772</v>
      </c>
      <c r="E133" s="1581">
        <f>VLOOKUP(D133,base_datos,5,FALSE)</f>
        <v>27</v>
      </c>
      <c r="F133" s="1923">
        <f>+E133*B133</f>
        <v>27</v>
      </c>
      <c r="G133" s="1924"/>
      <c r="H133" s="1924"/>
      <c r="I133" s="1924"/>
      <c r="J133" s="722"/>
      <c r="K133" s="684">
        <f t="shared" si="133"/>
        <v>1</v>
      </c>
      <c r="L133" s="1913">
        <f>L130</f>
        <v>1</v>
      </c>
      <c r="M133" s="684">
        <f t="shared" si="134"/>
        <v>1</v>
      </c>
      <c r="N133" s="362">
        <f t="shared" si="109"/>
        <v>1</v>
      </c>
      <c r="O133" s="1763" t="str">
        <f t="shared" si="110"/>
        <v>D2PR4B+D2PA6</v>
      </c>
      <c r="P133" s="1764" t="str">
        <f t="shared" si="111"/>
        <v>Rele auxiliar enchufable +4NA/NC (D2PR4B + base D2PA6), 220Vac - marca EATON.</v>
      </c>
      <c r="Q133" s="120" t="str">
        <f t="shared" si="112"/>
        <v>D2PR4B+D2PA6</v>
      </c>
    </row>
    <row r="134" spans="1:18" s="320" customFormat="1">
      <c r="A134" s="1767"/>
      <c r="B134" s="2131">
        <v>1</v>
      </c>
      <c r="C134" s="2132" t="s">
        <v>12558</v>
      </c>
      <c r="D134" s="2133"/>
      <c r="E134" s="2134">
        <v>32</v>
      </c>
      <c r="F134" s="2134">
        <f>+E134*B134</f>
        <v>32</v>
      </c>
      <c r="G134" s="1924"/>
      <c r="H134" s="1924"/>
      <c r="I134" s="1924"/>
      <c r="J134" s="722"/>
      <c r="K134" s="684">
        <f t="shared" si="133"/>
        <v>1</v>
      </c>
      <c r="L134" s="1913">
        <f>L131</f>
        <v>1</v>
      </c>
      <c r="M134" s="684">
        <f t="shared" si="134"/>
        <v>1</v>
      </c>
      <c r="N134" s="362" t="str">
        <f t="shared" si="109"/>
        <v/>
      </c>
      <c r="O134" s="1763" t="str">
        <f t="shared" si="110"/>
        <v/>
      </c>
      <c r="P134" s="1764" t="str">
        <f t="shared" si="111"/>
        <v/>
      </c>
      <c r="Q134" s="120" t="str">
        <f t="shared" si="112"/>
        <v/>
      </c>
    </row>
    <row r="135" spans="1:18" s="320" customFormat="1">
      <c r="A135" s="687" t="s">
        <v>12551</v>
      </c>
      <c r="B135" s="1922">
        <v>4</v>
      </c>
      <c r="C135" s="721" t="str">
        <f>VLOOKUP(D135,base_datos,6,FALSE)</f>
        <v>Base portafusibles + Fusibles de protección para control.</v>
      </c>
      <c r="D135" s="1579" t="s">
        <v>453</v>
      </c>
      <c r="E135" s="1581">
        <f>VLOOKUP(D135,base_datos,5,FALSE)</f>
        <v>8.1750000000000007</v>
      </c>
      <c r="F135" s="1923">
        <f>+E135*B135</f>
        <v>32.700000000000003</v>
      </c>
      <c r="G135" s="1924"/>
      <c r="H135" s="1924"/>
      <c r="I135" s="1924"/>
      <c r="J135" s="722"/>
      <c r="K135" s="684">
        <f t="shared" si="133"/>
        <v>1</v>
      </c>
      <c r="L135" s="1913">
        <f>L132</f>
        <v>1</v>
      </c>
      <c r="M135" s="684">
        <f t="shared" si="134"/>
        <v>4</v>
      </c>
      <c r="N135" s="362" t="str">
        <f t="shared" si="109"/>
        <v/>
      </c>
      <c r="O135" s="1763" t="str">
        <f t="shared" si="110"/>
        <v/>
      </c>
      <c r="P135" s="1764" t="str">
        <f t="shared" si="111"/>
        <v/>
      </c>
      <c r="Q135" s="120" t="str">
        <f t="shared" si="112"/>
        <v/>
      </c>
    </row>
    <row r="136" spans="1:18" s="315" customFormat="1">
      <c r="A136" s="687" t="s">
        <v>3542</v>
      </c>
      <c r="B136" s="1906"/>
      <c r="C136" s="1907"/>
      <c r="D136" s="1935"/>
      <c r="E136" s="1786"/>
      <c r="F136" s="1936"/>
      <c r="G136" s="712"/>
      <c r="H136" s="712"/>
      <c r="I136" s="712"/>
      <c r="J136" s="713"/>
      <c r="K136" s="684">
        <f t="shared" si="133"/>
        <v>1</v>
      </c>
      <c r="L136" s="1909">
        <f>B136</f>
        <v>0</v>
      </c>
      <c r="M136" s="684">
        <f t="shared" si="134"/>
        <v>1</v>
      </c>
      <c r="N136" s="362" t="str">
        <f t="shared" si="109"/>
        <v/>
      </c>
      <c r="O136" s="1763" t="str">
        <f t="shared" si="110"/>
        <v/>
      </c>
      <c r="P136" s="1764" t="str">
        <f t="shared" si="111"/>
        <v/>
      </c>
      <c r="Q136" s="120" t="str">
        <f t="shared" si="112"/>
        <v/>
      </c>
    </row>
    <row r="137" spans="1:18" s="185" customFormat="1">
      <c r="A137" s="687"/>
      <c r="B137" s="1922"/>
      <c r="C137" s="1956" t="s">
        <v>12368</v>
      </c>
      <c r="D137" s="1579"/>
      <c r="E137" s="1957"/>
      <c r="F137" s="1958"/>
      <c r="G137" s="710"/>
      <c r="H137" s="710"/>
      <c r="I137" s="710"/>
      <c r="J137" s="711"/>
      <c r="K137" s="684">
        <f t="shared" si="133"/>
        <v>1</v>
      </c>
      <c r="L137" s="708">
        <v>1</v>
      </c>
      <c r="M137" s="684">
        <f t="shared" si="134"/>
        <v>1</v>
      </c>
      <c r="N137" s="362" t="str">
        <f t="shared" si="109"/>
        <v/>
      </c>
      <c r="O137" s="1763" t="str">
        <f t="shared" si="110"/>
        <v/>
      </c>
      <c r="P137" s="1764" t="str">
        <f t="shared" si="111"/>
        <v/>
      </c>
      <c r="Q137" s="120" t="str">
        <f t="shared" si="112"/>
        <v/>
      </c>
    </row>
    <row r="138" spans="1:18" s="120" customFormat="1" ht="18" customHeight="1">
      <c r="A138" s="1767"/>
      <c r="B138" s="1781"/>
      <c r="C138" s="1959" t="s">
        <v>3158</v>
      </c>
      <c r="D138" s="2005"/>
      <c r="E138" s="1791"/>
      <c r="F138" s="1782"/>
      <c r="G138" s="686"/>
      <c r="H138" s="686"/>
      <c r="I138" s="686"/>
      <c r="J138" s="688"/>
      <c r="K138" s="684">
        <f t="shared" si="133"/>
        <v>1</v>
      </c>
      <c r="L138" s="708">
        <v>1</v>
      </c>
      <c r="M138" s="684">
        <f t="shared" si="134"/>
        <v>1</v>
      </c>
      <c r="N138" s="362" t="str">
        <f t="shared" si="109"/>
        <v/>
      </c>
      <c r="O138" s="1763" t="str">
        <f t="shared" si="110"/>
        <v/>
      </c>
      <c r="P138" s="1764" t="str">
        <f t="shared" si="111"/>
        <v/>
      </c>
      <c r="Q138" s="120" t="str">
        <f t="shared" si="112"/>
        <v/>
      </c>
      <c r="R138" s="185"/>
    </row>
    <row r="139" spans="1:18" s="690" customFormat="1" ht="18" customHeight="1">
      <c r="A139" s="687"/>
      <c r="B139" s="1781">
        <v>1</v>
      </c>
      <c r="C139" s="1960" t="str">
        <f>VLOOKUP(D139,base_datos,6,FALSE)</f>
        <v>ITM Caja Moldeada 3x40A (reg.[0.7-1.0] In) - XT1B160-40A-3P-TMD - 25kA@230Vac, 18kA@415Vac, 18kA@250Vdc - marca ABB.</v>
      </c>
      <c r="D139" s="2006" t="s">
        <v>4366</v>
      </c>
      <c r="E139" s="1791">
        <f>VLOOKUP(D139,base_datos,5,FALSE)</f>
        <v>120.37</v>
      </c>
      <c r="F139" s="1782">
        <f>+E139*B139</f>
        <v>120.37</v>
      </c>
      <c r="G139" s="1761"/>
      <c r="H139" s="1761"/>
      <c r="I139" s="1761"/>
      <c r="J139" s="689"/>
      <c r="K139" s="684">
        <f t="shared" si="133"/>
        <v>1</v>
      </c>
      <c r="L139" s="708">
        <v>1</v>
      </c>
      <c r="M139" s="684">
        <f t="shared" si="134"/>
        <v>1</v>
      </c>
      <c r="N139" s="362">
        <f t="shared" si="109"/>
        <v>1</v>
      </c>
      <c r="O139" s="1763" t="str">
        <f t="shared" si="110"/>
        <v>1SDA066803R1</v>
      </c>
      <c r="P139" s="1764" t="str">
        <f t="shared" si="111"/>
        <v>ITM Caja Moldeada 3x40A (reg.[0.7-1.0] In) - XT1B160-40A-3P-TMD - 25kA@230Vac, 18kA@415Vac, 18kA@250Vdc - marca ABB.</v>
      </c>
      <c r="Q139" s="120" t="str">
        <f t="shared" si="112"/>
        <v>XT1B160-40A-3P-TMD</v>
      </c>
      <c r="R139" s="185"/>
    </row>
    <row r="140" spans="1:18" s="185" customFormat="1" ht="18" customHeight="1">
      <c r="A140" s="687"/>
      <c r="B140" s="714"/>
      <c r="C140" s="313" t="s">
        <v>729</v>
      </c>
      <c r="D140" s="173"/>
      <c r="E140" s="1786"/>
      <c r="F140" s="1787"/>
      <c r="G140" s="710"/>
      <c r="H140" s="710"/>
      <c r="I140" s="710"/>
      <c r="J140" s="711"/>
      <c r="K140" s="684">
        <f t="shared" si="133"/>
        <v>1</v>
      </c>
      <c r="L140" s="708">
        <v>1</v>
      </c>
      <c r="M140" s="684">
        <f t="shared" si="134"/>
        <v>1</v>
      </c>
      <c r="N140" s="362" t="str">
        <f t="shared" si="109"/>
        <v/>
      </c>
      <c r="O140" s="1763" t="str">
        <f t="shared" si="110"/>
        <v/>
      </c>
      <c r="P140" s="1764" t="str">
        <f t="shared" si="111"/>
        <v/>
      </c>
      <c r="Q140" s="120" t="str">
        <f t="shared" si="112"/>
        <v/>
      </c>
    </row>
    <row r="141" spans="1:18" s="690" customFormat="1" ht="18" customHeight="1">
      <c r="A141" s="687"/>
      <c r="B141" s="1851"/>
      <c r="C141" s="1966" t="s">
        <v>3377</v>
      </c>
      <c r="D141" s="1582"/>
      <c r="E141" s="1780"/>
      <c r="F141" s="1782"/>
      <c r="G141" s="1761"/>
      <c r="H141" s="1761"/>
      <c r="I141" s="1761"/>
      <c r="J141" s="689"/>
      <c r="K141" s="684">
        <f t="shared" si="133"/>
        <v>1</v>
      </c>
      <c r="L141" s="708">
        <v>1</v>
      </c>
      <c r="M141" s="684">
        <f t="shared" si="134"/>
        <v>1</v>
      </c>
      <c r="N141" s="362" t="str">
        <f t="shared" si="109"/>
        <v/>
      </c>
      <c r="O141" s="1763" t="str">
        <f t="shared" si="110"/>
        <v/>
      </c>
      <c r="P141" s="1764" t="str">
        <f t="shared" si="111"/>
        <v/>
      </c>
      <c r="Q141" s="120" t="str">
        <f t="shared" si="112"/>
        <v/>
      </c>
      <c r="R141" s="185"/>
    </row>
    <row r="142" spans="1:18" s="2434" customFormat="1" ht="18" customHeight="1">
      <c r="A142" s="2464"/>
      <c r="B142" s="2435">
        <v>8</v>
      </c>
      <c r="C142" s="2436" t="str">
        <f t="shared" ref="C142" si="135">VLOOKUP(D142,base_datos,6,FALSE)</f>
        <v>ITM Caja Moldeada 2x20A - A1N/P125-20A-2P-TMF - 50kA@230Vac, 36kA@400Vac, 10kA@125Vdc - marca ABB.</v>
      </c>
      <c r="D142" s="2483" t="s">
        <v>1173</v>
      </c>
      <c r="E142" s="2482">
        <f>VLOOKUP(D142,base_datos,5,FALSE)</f>
        <v>59.769999999999996</v>
      </c>
      <c r="F142" s="2422">
        <f t="shared" ref="F142" si="136">+E142*B142</f>
        <v>478.15999999999997</v>
      </c>
      <c r="G142" s="2424"/>
      <c r="H142" s="2424"/>
      <c r="I142" s="2424"/>
      <c r="J142" s="2425"/>
      <c r="K142" s="2426">
        <f t="shared" si="133"/>
        <v>1</v>
      </c>
      <c r="L142" s="2463">
        <v>1</v>
      </c>
      <c r="M142" s="2426">
        <f t="shared" si="134"/>
        <v>8</v>
      </c>
      <c r="N142" s="2429">
        <f t="shared" ref="N142" si="137">IF(O142&lt;&gt;"",K142*L142*M142,"")</f>
        <v>8</v>
      </c>
      <c r="O142" s="2430" t="str">
        <f t="shared" ref="O142" si="138">IF(D142&lt;&gt;"",IF(VLOOKUP(D142,base_datos,7,FALSE)&lt;&gt;"",VLOOKUP(D142,base_datos,7,FALSE),""),"")</f>
        <v>1SDA069552R1</v>
      </c>
      <c r="P142" s="2431" t="str">
        <f t="shared" ref="P142" si="139">IF(O142&lt;&gt;"",VLOOKUP(D142,base_datos,6,FALSE),"")</f>
        <v>ITM Caja Moldeada 2x20A - A1N/P125-20A-2P-TMF - 50kA@230Vac, 36kA@400Vac, 10kA@125Vdc - marca ABB.</v>
      </c>
      <c r="Q142" s="2432" t="str">
        <f t="shared" ref="Q142" si="140">IF(O142&lt;&gt;"",D142,"")</f>
        <v>A1N/P125-20A-2P-TMF</v>
      </c>
      <c r="R142" s="2433"/>
    </row>
    <row r="143" spans="1:18" s="2434" customFormat="1" ht="18" customHeight="1">
      <c r="A143" s="2464"/>
      <c r="B143" s="2435">
        <v>3</v>
      </c>
      <c r="C143" s="2436" t="str">
        <f t="shared" ref="C143:C144" si="141">VLOOKUP(D143,base_datos,6,FALSE)</f>
        <v>ITM Caja Moldeada 2x16A - A1N/P125-16A-2P-TMF - 50kA@230Vac, 36kA@400Vac, 10kA@125Vdc - marca ABB.</v>
      </c>
      <c r="D143" s="2483" t="s">
        <v>1172</v>
      </c>
      <c r="E143" s="2482">
        <f>VLOOKUP(D143,base_datos,5,FALSE)</f>
        <v>59.769999999999996</v>
      </c>
      <c r="F143" s="2422">
        <f t="shared" ref="F143:F144" si="142">+E143*B143</f>
        <v>179.31</v>
      </c>
      <c r="G143" s="2424"/>
      <c r="H143" s="2424"/>
      <c r="I143" s="2424"/>
      <c r="J143" s="2425"/>
      <c r="K143" s="2426">
        <f t="shared" si="133"/>
        <v>1</v>
      </c>
      <c r="L143" s="2463">
        <v>1</v>
      </c>
      <c r="M143" s="2426">
        <f t="shared" si="134"/>
        <v>3</v>
      </c>
      <c r="N143" s="2429">
        <f t="shared" si="109"/>
        <v>3</v>
      </c>
      <c r="O143" s="2430" t="str">
        <f t="shared" si="110"/>
        <v>1SDA069551R1</v>
      </c>
      <c r="P143" s="2431" t="str">
        <f t="shared" si="111"/>
        <v>ITM Caja Moldeada 2x16A - A1N/P125-16A-2P-TMF - 50kA@230Vac, 36kA@400Vac, 10kA@125Vdc - marca ABB.</v>
      </c>
      <c r="Q143" s="2432" t="str">
        <f t="shared" si="112"/>
        <v>A1N/P125-16A-2P-TMF</v>
      </c>
      <c r="R143" s="2433"/>
    </row>
    <row r="144" spans="1:18" s="1236" customFormat="1" ht="18" customHeight="1">
      <c r="A144" s="1767"/>
      <c r="B144" s="1781">
        <v>1</v>
      </c>
      <c r="C144" s="1991" t="str">
        <f t="shared" si="141"/>
        <v>Espacio de reserva monofásica - Caja moldeada.</v>
      </c>
      <c r="D144" s="2008" t="s">
        <v>2930</v>
      </c>
      <c r="E144" s="1792">
        <f t="shared" ref="E144" si="143">VLOOKUP(D144,base_datos,5,FALSE)</f>
        <v>10</v>
      </c>
      <c r="F144" s="1793">
        <f t="shared" si="142"/>
        <v>10</v>
      </c>
      <c r="G144" s="1784"/>
      <c r="H144" s="1784"/>
      <c r="I144" s="1784"/>
      <c r="J144" s="1182"/>
      <c r="K144" s="684">
        <f t="shared" si="133"/>
        <v>1</v>
      </c>
      <c r="L144" s="708">
        <v>1</v>
      </c>
      <c r="M144" s="684">
        <f t="shared" si="134"/>
        <v>1</v>
      </c>
      <c r="N144" s="362" t="str">
        <f t="shared" si="109"/>
        <v/>
      </c>
      <c r="O144" s="1763" t="str">
        <f t="shared" si="110"/>
        <v/>
      </c>
      <c r="P144" s="1764" t="str">
        <f t="shared" si="111"/>
        <v/>
      </c>
      <c r="Q144" s="120" t="str">
        <f t="shared" si="112"/>
        <v/>
      </c>
      <c r="R144" s="185"/>
    </row>
    <row r="145" spans="1:18" s="185" customFormat="1" ht="18" customHeight="1">
      <c r="A145" s="1785"/>
      <c r="B145" s="714"/>
      <c r="C145" s="1893" t="s">
        <v>729</v>
      </c>
      <c r="D145" s="173"/>
      <c r="E145" s="1786"/>
      <c r="F145" s="1787"/>
      <c r="G145" s="710"/>
      <c r="H145" s="710"/>
      <c r="I145" s="710"/>
      <c r="J145" s="711"/>
      <c r="K145" s="684">
        <f t="shared" si="133"/>
        <v>1</v>
      </c>
      <c r="L145" s="708">
        <v>1</v>
      </c>
      <c r="M145" s="684">
        <f t="shared" si="134"/>
        <v>1</v>
      </c>
      <c r="N145" s="362" t="str">
        <f t="shared" si="109"/>
        <v/>
      </c>
      <c r="O145" s="1763" t="str">
        <f t="shared" si="110"/>
        <v/>
      </c>
      <c r="P145" s="1764" t="str">
        <f t="shared" si="111"/>
        <v/>
      </c>
      <c r="Q145" s="120" t="str">
        <f t="shared" si="112"/>
        <v/>
      </c>
    </row>
    <row r="146" spans="1:18" s="1236" customFormat="1" ht="18" customHeight="1">
      <c r="A146" s="1767"/>
      <c r="B146" s="1853">
        <v>1</v>
      </c>
      <c r="C146" s="1895" t="s">
        <v>12364</v>
      </c>
      <c r="D146" s="1902"/>
      <c r="E146" s="1792"/>
      <c r="F146" s="1793"/>
      <c r="G146" s="1784"/>
      <c r="H146" s="1784"/>
      <c r="I146" s="1784"/>
      <c r="J146" s="1182"/>
      <c r="K146" s="684">
        <f t="shared" si="133"/>
        <v>1</v>
      </c>
      <c r="L146" s="708">
        <v>1</v>
      </c>
      <c r="M146" s="684">
        <f t="shared" si="134"/>
        <v>1</v>
      </c>
      <c r="N146" s="362" t="str">
        <f t="shared" si="109"/>
        <v/>
      </c>
      <c r="O146" s="1763" t="str">
        <f t="shared" si="110"/>
        <v/>
      </c>
      <c r="P146" s="1764" t="str">
        <f t="shared" si="111"/>
        <v/>
      </c>
      <c r="Q146" s="120" t="str">
        <f t="shared" si="112"/>
        <v/>
      </c>
      <c r="R146" s="185"/>
    </row>
    <row r="147" spans="1:18" s="695" customFormat="1" ht="18" customHeight="1">
      <c r="A147" s="693"/>
      <c r="B147" s="1922">
        <v>1</v>
      </c>
      <c r="C147" s="1848" t="str">
        <f t="shared" ref="C147" si="144">VLOOKUP(D147,base_datos,6,FALSE)</f>
        <v>Placa lamicoid rotulación de 3mm de espesor, fondo negro y letras blancas.</v>
      </c>
      <c r="D147" s="1886" t="s">
        <v>8570</v>
      </c>
      <c r="E147" s="1795">
        <f t="shared" ref="E147" si="145">VLOOKUP(D147,base_datos,5,FALSE)</f>
        <v>2.2000000000000002</v>
      </c>
      <c r="F147" s="1796">
        <f t="shared" ref="F147" si="146">+E147*B147</f>
        <v>2.2000000000000002</v>
      </c>
      <c r="G147" s="696"/>
      <c r="H147" s="696"/>
      <c r="I147" s="696"/>
      <c r="J147" s="697"/>
      <c r="K147" s="684">
        <f t="shared" si="133"/>
        <v>1</v>
      </c>
      <c r="L147" s="708">
        <v>1</v>
      </c>
      <c r="M147" s="684">
        <f t="shared" si="134"/>
        <v>1</v>
      </c>
      <c r="N147" s="362">
        <f t="shared" si="109"/>
        <v>1</v>
      </c>
      <c r="O147" s="1763" t="str">
        <f t="shared" si="110"/>
        <v>Placa lamicoid p/distr.</v>
      </c>
      <c r="P147" s="1764" t="str">
        <f t="shared" si="111"/>
        <v>Placa lamicoid rotulación de 3mm de espesor, fondo negro y letras blancas.</v>
      </c>
      <c r="Q147" s="120" t="str">
        <f t="shared" si="112"/>
        <v>Placa lamicoid p/distr.</v>
      </c>
      <c r="R147" s="185"/>
    </row>
    <row r="148" spans="1:18" s="1236" customFormat="1" ht="18" customHeight="1">
      <c r="A148" s="1767"/>
      <c r="B148" s="1853">
        <v>1</v>
      </c>
      <c r="C148" s="1895" t="s">
        <v>12474</v>
      </c>
      <c r="D148" s="1902"/>
      <c r="E148" s="1792"/>
      <c r="F148" s="1793"/>
      <c r="G148" s="1784"/>
      <c r="H148" s="1784"/>
      <c r="I148" s="1784"/>
      <c r="J148" s="1182"/>
      <c r="K148" s="684">
        <f t="shared" si="133"/>
        <v>1</v>
      </c>
      <c r="L148" s="708">
        <v>1</v>
      </c>
      <c r="M148" s="684">
        <f t="shared" si="134"/>
        <v>1</v>
      </c>
      <c r="N148" s="362" t="str">
        <f t="shared" si="109"/>
        <v/>
      </c>
      <c r="O148" s="1763" t="str">
        <f t="shared" si="110"/>
        <v/>
      </c>
      <c r="P148" s="1764" t="str">
        <f t="shared" si="111"/>
        <v/>
      </c>
      <c r="Q148" s="120" t="str">
        <f t="shared" si="112"/>
        <v/>
      </c>
      <c r="R148" s="185"/>
    </row>
    <row r="149" spans="1:18" s="1236" customFormat="1" ht="18" customHeight="1">
      <c r="A149" s="1767"/>
      <c r="B149" s="1853">
        <v>1</v>
      </c>
      <c r="C149" s="1848" t="str">
        <f>VLOOKUP(D149,base_datos,6,FALSE)</f>
        <v>Embalaje especial completamente cerrado para tablero adosado de 1600x600x220mm</v>
      </c>
      <c r="D149" s="1902" t="s">
        <v>12453</v>
      </c>
      <c r="E149" s="1795">
        <f t="shared" ref="E149" si="147">VLOOKUP(D149,base_datos,5,FALSE)</f>
        <v>271.40000000000003</v>
      </c>
      <c r="F149" s="1796">
        <f t="shared" ref="F149" si="148">+E149*B149</f>
        <v>271.40000000000003</v>
      </c>
      <c r="G149" s="1784"/>
      <c r="H149" s="1784"/>
      <c r="I149" s="1784"/>
      <c r="J149" s="1182"/>
      <c r="K149" s="684">
        <f t="shared" si="133"/>
        <v>1</v>
      </c>
      <c r="L149" s="708">
        <v>1</v>
      </c>
      <c r="M149" s="684">
        <f t="shared" si="134"/>
        <v>1</v>
      </c>
      <c r="N149" s="362">
        <f t="shared" si="109"/>
        <v>1</v>
      </c>
      <c r="O149" s="1763" t="str">
        <f t="shared" si="110"/>
        <v>EMBAL_ADOS_1600x600x220mm</v>
      </c>
      <c r="P149" s="1764" t="str">
        <f t="shared" si="111"/>
        <v>Embalaje especial completamente cerrado para tablero adosado de 1600x600x220mm</v>
      </c>
      <c r="Q149" s="120" t="str">
        <f t="shared" si="112"/>
        <v>EMBAL_ADOS_1600x600x220mm</v>
      </c>
      <c r="R149" s="185"/>
    </row>
    <row r="150" spans="1:18" s="185" customFormat="1" ht="18" customHeight="1">
      <c r="A150" s="1785"/>
      <c r="B150" s="714"/>
      <c r="C150" s="313" t="s">
        <v>729</v>
      </c>
      <c r="D150" s="173"/>
      <c r="E150" s="1786"/>
      <c r="F150" s="1787"/>
      <c r="G150" s="710"/>
      <c r="H150" s="710"/>
      <c r="I150" s="710"/>
      <c r="J150" s="711"/>
      <c r="K150" s="684">
        <f t="shared" si="133"/>
        <v>1</v>
      </c>
      <c r="L150" s="708">
        <v>1</v>
      </c>
      <c r="M150" s="684">
        <f t="shared" si="134"/>
        <v>1</v>
      </c>
      <c r="N150" s="362" t="str">
        <f t="shared" si="109"/>
        <v/>
      </c>
      <c r="O150" s="1763" t="str">
        <f t="shared" si="110"/>
        <v/>
      </c>
      <c r="P150" s="1764" t="str">
        <f t="shared" si="111"/>
        <v/>
      </c>
      <c r="Q150" s="120" t="str">
        <f t="shared" si="112"/>
        <v/>
      </c>
    </row>
    <row r="151" spans="1:18" s="695" customFormat="1" ht="18" customHeight="1">
      <c r="A151" s="693"/>
      <c r="B151" s="1794">
        <v>1</v>
      </c>
      <c r="C151" s="1420" t="str">
        <f>VLOOKUP(D151,base_datos,6,FALSE)</f>
        <v>Barra a neutro.</v>
      </c>
      <c r="D151" s="1790" t="s">
        <v>2907</v>
      </c>
      <c r="E151" s="1795">
        <f t="shared" ref="E151:E152" si="149">VLOOKUP(D151,base_datos,5,FALSE)</f>
        <v>15</v>
      </c>
      <c r="F151" s="1796">
        <f t="shared" ref="F151:F152" si="150">+E151*B151</f>
        <v>15</v>
      </c>
      <c r="G151" s="696"/>
      <c r="H151" s="696"/>
      <c r="I151" s="696"/>
      <c r="J151" s="697"/>
      <c r="K151" s="684">
        <f t="shared" si="133"/>
        <v>1</v>
      </c>
      <c r="L151" s="708">
        <v>1</v>
      </c>
      <c r="M151" s="709">
        <f t="shared" ref="M151:M158" si="151">IF(B151="",1,B151)</f>
        <v>1</v>
      </c>
      <c r="N151" s="362" t="str">
        <f t="shared" si="109"/>
        <v/>
      </c>
      <c r="O151" s="1763" t="str">
        <f t="shared" si="110"/>
        <v/>
      </c>
      <c r="P151" s="1764" t="str">
        <f t="shared" si="111"/>
        <v/>
      </c>
      <c r="Q151" s="120" t="str">
        <f t="shared" si="112"/>
        <v/>
      </c>
      <c r="R151" s="185"/>
    </row>
    <row r="152" spans="1:18" s="695" customFormat="1" ht="18" customHeight="1">
      <c r="A152" s="693"/>
      <c r="B152" s="1794">
        <v>1</v>
      </c>
      <c r="C152" s="1420" t="str">
        <f>VLOOKUP(D152,base_datos,6,FALSE)</f>
        <v>Barra a tierra.</v>
      </c>
      <c r="D152" s="1790" t="s">
        <v>8299</v>
      </c>
      <c r="E152" s="1795">
        <f t="shared" si="149"/>
        <v>10</v>
      </c>
      <c r="F152" s="1796">
        <f t="shared" si="150"/>
        <v>10</v>
      </c>
      <c r="G152" s="696"/>
      <c r="H152" s="696"/>
      <c r="I152" s="696"/>
      <c r="J152" s="697"/>
      <c r="K152" s="684">
        <f t="shared" si="133"/>
        <v>1</v>
      </c>
      <c r="L152" s="708">
        <v>1</v>
      </c>
      <c r="M152" s="709">
        <f t="shared" si="151"/>
        <v>1</v>
      </c>
      <c r="N152" s="362" t="str">
        <f t="shared" si="109"/>
        <v/>
      </c>
      <c r="O152" s="1763" t="str">
        <f t="shared" si="110"/>
        <v/>
      </c>
      <c r="P152" s="1764" t="str">
        <f t="shared" si="111"/>
        <v/>
      </c>
      <c r="Q152" s="120" t="str">
        <f t="shared" si="112"/>
        <v/>
      </c>
      <c r="R152" s="185"/>
    </row>
    <row r="153" spans="1:18" s="897" customFormat="1" ht="18" customHeight="1">
      <c r="A153" s="693"/>
      <c r="B153" s="895">
        <v>11</v>
      </c>
      <c r="C153" s="721" t="str">
        <f>VLOOKUP(D153,base_datos,6,FALSE)</f>
        <v>Rotulado por circuito.</v>
      </c>
      <c r="D153" s="1579" t="s">
        <v>3067</v>
      </c>
      <c r="E153" s="1581">
        <f>VLOOKUP(D153,base_datos,5,FALSE)</f>
        <v>0.7</v>
      </c>
      <c r="F153" s="1581">
        <f t="shared" ref="F153:F158" si="152">+E153*B153</f>
        <v>7.6999999999999993</v>
      </c>
      <c r="G153" s="1772"/>
      <c r="H153" s="1772"/>
      <c r="I153" s="1772"/>
      <c r="J153" s="896"/>
      <c r="K153" s="684">
        <f t="shared" si="133"/>
        <v>1</v>
      </c>
      <c r="L153" s="708">
        <v>1</v>
      </c>
      <c r="M153" s="709">
        <f t="shared" si="151"/>
        <v>11</v>
      </c>
      <c r="N153" s="362" t="str">
        <f t="shared" si="109"/>
        <v/>
      </c>
      <c r="O153" s="1763" t="str">
        <f t="shared" si="110"/>
        <v/>
      </c>
      <c r="P153" s="1764" t="str">
        <f t="shared" si="111"/>
        <v/>
      </c>
      <c r="Q153" s="120" t="str">
        <f t="shared" si="112"/>
        <v/>
      </c>
    </row>
    <row r="154" spans="1:18" s="897" customFormat="1" ht="18" customHeight="1">
      <c r="A154" s="693"/>
      <c r="B154" s="895">
        <v>1</v>
      </c>
      <c r="C154" s="721" t="str">
        <f>VLOOKUP(D154,base_datos,6,FALSE)</f>
        <v>Rotulado para TAG - tablero de distribución.</v>
      </c>
      <c r="D154" s="1579" t="s">
        <v>3066</v>
      </c>
      <c r="E154" s="1581">
        <f>VLOOKUP(D154,base_datos,5,FALSE)</f>
        <v>1.5</v>
      </c>
      <c r="F154" s="1581">
        <f t="shared" si="152"/>
        <v>1.5</v>
      </c>
      <c r="G154" s="1772"/>
      <c r="H154" s="1772"/>
      <c r="I154" s="1772"/>
      <c r="J154" s="896"/>
      <c r="K154" s="684">
        <f t="shared" si="133"/>
        <v>1</v>
      </c>
      <c r="L154" s="708">
        <v>1</v>
      </c>
      <c r="M154" s="709">
        <f t="shared" si="151"/>
        <v>1</v>
      </c>
      <c r="N154" s="362" t="str">
        <f t="shared" si="109"/>
        <v/>
      </c>
      <c r="O154" s="1763" t="str">
        <f t="shared" si="110"/>
        <v/>
      </c>
      <c r="P154" s="1764" t="str">
        <f t="shared" si="111"/>
        <v/>
      </c>
      <c r="Q154" s="120" t="str">
        <f t="shared" si="112"/>
        <v/>
      </c>
    </row>
    <row r="155" spans="1:18" s="1237" customFormat="1" ht="18" customHeight="1">
      <c r="A155" s="1767"/>
      <c r="B155" s="1773">
        <v>1</v>
      </c>
      <c r="C155" s="1992" t="s">
        <v>11664</v>
      </c>
      <c r="D155" s="1887"/>
      <c r="E155" s="2000">
        <v>91</v>
      </c>
      <c r="F155" s="1581">
        <f t="shared" si="152"/>
        <v>91</v>
      </c>
      <c r="G155" s="1774"/>
      <c r="H155" s="1774"/>
      <c r="I155" s="1774"/>
      <c r="J155" s="1181"/>
      <c r="K155" s="684">
        <f t="shared" si="133"/>
        <v>1</v>
      </c>
      <c r="L155" s="708">
        <v>1</v>
      </c>
      <c r="M155" s="709">
        <f t="shared" si="151"/>
        <v>1</v>
      </c>
      <c r="N155" s="362" t="str">
        <f t="shared" si="109"/>
        <v/>
      </c>
      <c r="O155" s="1763" t="str">
        <f t="shared" si="110"/>
        <v/>
      </c>
      <c r="P155" s="1764" t="str">
        <f t="shared" si="111"/>
        <v/>
      </c>
      <c r="Q155" s="120" t="str">
        <f t="shared" si="112"/>
        <v/>
      </c>
      <c r="R155" s="1765"/>
    </row>
    <row r="156" spans="1:18" s="1237" customFormat="1" ht="18" customHeight="1">
      <c r="A156" s="1767"/>
      <c r="B156" s="2093">
        <v>1</v>
      </c>
      <c r="C156" s="694" t="s">
        <v>12552</v>
      </c>
      <c r="D156" s="1888"/>
      <c r="E156" s="1580">
        <f>E158*15%</f>
        <v>18</v>
      </c>
      <c r="F156" s="1581">
        <f t="shared" si="152"/>
        <v>18</v>
      </c>
      <c r="G156" s="1774"/>
      <c r="H156" s="1774"/>
      <c r="I156" s="1774"/>
      <c r="J156" s="1181"/>
      <c r="K156" s="684">
        <f t="shared" si="133"/>
        <v>1</v>
      </c>
      <c r="L156" s="708">
        <v>1</v>
      </c>
      <c r="M156" s="709">
        <f t="shared" si="151"/>
        <v>1</v>
      </c>
      <c r="N156" s="362" t="str">
        <f t="shared" si="109"/>
        <v/>
      </c>
      <c r="O156" s="1763" t="str">
        <f t="shared" si="110"/>
        <v/>
      </c>
      <c r="P156" s="1764" t="str">
        <f t="shared" si="111"/>
        <v/>
      </c>
      <c r="Q156" s="120" t="str">
        <f t="shared" si="112"/>
        <v/>
      </c>
      <c r="R156" s="1765"/>
    </row>
    <row r="157" spans="1:18" s="1237" customFormat="1" ht="18" customHeight="1">
      <c r="A157" s="1767"/>
      <c r="B157" s="1773">
        <v>1</v>
      </c>
      <c r="C157" s="694" t="s">
        <v>12559</v>
      </c>
      <c r="D157" s="1888"/>
      <c r="E157" s="1999">
        <f>E158*20%</f>
        <v>24</v>
      </c>
      <c r="F157" s="1581">
        <f t="shared" si="152"/>
        <v>24</v>
      </c>
      <c r="G157" s="1774"/>
      <c r="H157" s="1774"/>
      <c r="I157" s="1774"/>
      <c r="J157" s="1181"/>
      <c r="K157" s="684">
        <f>+K155</f>
        <v>1</v>
      </c>
      <c r="L157" s="708">
        <v>1</v>
      </c>
      <c r="M157" s="709">
        <f t="shared" si="151"/>
        <v>1</v>
      </c>
      <c r="N157" s="362" t="str">
        <f t="shared" si="109"/>
        <v/>
      </c>
      <c r="O157" s="1763" t="str">
        <f t="shared" si="110"/>
        <v/>
      </c>
      <c r="P157" s="1764" t="str">
        <f t="shared" si="111"/>
        <v/>
      </c>
      <c r="Q157" s="120" t="str">
        <f t="shared" si="112"/>
        <v/>
      </c>
      <c r="R157" s="1765"/>
    </row>
    <row r="158" spans="1:18" s="1237" customFormat="1" ht="18" customHeight="1">
      <c r="A158" s="1767"/>
      <c r="B158" s="1773">
        <v>1</v>
      </c>
      <c r="C158" s="694" t="s">
        <v>12439</v>
      </c>
      <c r="D158" s="1888"/>
      <c r="E158" s="1999">
        <v>120</v>
      </c>
      <c r="F158" s="1581">
        <f t="shared" si="152"/>
        <v>120</v>
      </c>
      <c r="G158" s="1774"/>
      <c r="H158" s="1774"/>
      <c r="I158" s="1774"/>
      <c r="J158" s="1181"/>
      <c r="K158" s="684">
        <f>+K156</f>
        <v>1</v>
      </c>
      <c r="L158" s="708">
        <v>1</v>
      </c>
      <c r="M158" s="709">
        <f t="shared" si="151"/>
        <v>1</v>
      </c>
      <c r="N158" s="362" t="str">
        <f t="shared" si="109"/>
        <v/>
      </c>
      <c r="O158" s="1763" t="str">
        <f t="shared" si="110"/>
        <v/>
      </c>
      <c r="P158" s="1764" t="str">
        <f t="shared" si="111"/>
        <v/>
      </c>
      <c r="Q158" s="120" t="str">
        <f t="shared" si="112"/>
        <v/>
      </c>
      <c r="R158" s="1765"/>
    </row>
    <row r="159" spans="1:18" s="120" customFormat="1" ht="18" customHeight="1" thickBot="1">
      <c r="A159" s="1855"/>
      <c r="B159" s="1854"/>
      <c r="C159" s="1797"/>
      <c r="D159" s="2009"/>
      <c r="E159" s="1981"/>
      <c r="F159" s="1981"/>
      <c r="G159" s="1798"/>
      <c r="H159" s="1798"/>
      <c r="I159" s="1798"/>
      <c r="J159" s="1799"/>
      <c r="K159" s="1788"/>
      <c r="L159" s="363"/>
      <c r="M159" s="684"/>
      <c r="N159" s="362" t="str">
        <f t="shared" si="109"/>
        <v/>
      </c>
      <c r="O159" s="1763" t="str">
        <f t="shared" si="110"/>
        <v/>
      </c>
      <c r="P159" s="1764" t="str">
        <f t="shared" si="111"/>
        <v/>
      </c>
      <c r="Q159" s="120" t="str">
        <f t="shared" si="112"/>
        <v/>
      </c>
      <c r="R159" s="185"/>
    </row>
    <row r="160" spans="1:18" s="120" customFormat="1" ht="18" customHeight="1" thickBot="1">
      <c r="A160" s="1989">
        <v>4</v>
      </c>
      <c r="B160" s="1852">
        <v>1</v>
      </c>
      <c r="C160" s="1756" t="s">
        <v>12569</v>
      </c>
      <c r="D160" s="1588"/>
      <c r="E160" s="1589"/>
      <c r="F160" s="1589"/>
      <c r="G160" s="1757">
        <f>SUM(F161:F229)</f>
        <v>6785.8537381275446</v>
      </c>
      <c r="H160" s="1758">
        <f>G160*(1-$D$6)</f>
        <v>6785.8537381275446</v>
      </c>
      <c r="I160" s="1757">
        <f>ROUNDUP(H160*$D$5,0)</f>
        <v>23072</v>
      </c>
      <c r="J160" s="1759">
        <f>+I160*B160</f>
        <v>23072</v>
      </c>
      <c r="K160" s="1788">
        <f>B160</f>
        <v>1</v>
      </c>
      <c r="L160" s="363"/>
      <c r="M160" s="684"/>
      <c r="N160" s="362" t="str">
        <f t="shared" si="109"/>
        <v/>
      </c>
      <c r="O160" s="1763" t="str">
        <f t="shared" si="110"/>
        <v/>
      </c>
      <c r="P160" s="1764" t="str">
        <f t="shared" si="111"/>
        <v/>
      </c>
      <c r="Q160" s="120" t="str">
        <f t="shared" si="112"/>
        <v/>
      </c>
      <c r="R160" s="185"/>
    </row>
    <row r="161" spans="1:18" s="120" customFormat="1" ht="18" customHeight="1">
      <c r="A161" s="685" t="s">
        <v>3162</v>
      </c>
      <c r="B161" s="1903"/>
      <c r="C161" s="1890"/>
      <c r="D161" s="1927"/>
      <c r="E161" s="1780"/>
      <c r="F161" s="1780"/>
      <c r="G161" s="686"/>
      <c r="H161" s="710"/>
      <c r="I161" s="686"/>
      <c r="J161" s="1768"/>
      <c r="K161" s="684">
        <f t="shared" ref="K161:K229" si="153">+K160</f>
        <v>1</v>
      </c>
      <c r="L161" s="363">
        <v>1</v>
      </c>
      <c r="M161" s="709">
        <f t="shared" ref="M161:M183" si="154">IF(B161="",1,B161)</f>
        <v>1</v>
      </c>
      <c r="N161" s="362" t="str">
        <f t="shared" si="109"/>
        <v/>
      </c>
      <c r="O161" s="1763" t="str">
        <f t="shared" si="110"/>
        <v/>
      </c>
      <c r="P161" s="1764" t="str">
        <f t="shared" si="111"/>
        <v/>
      </c>
      <c r="Q161" s="120" t="str">
        <f t="shared" si="112"/>
        <v/>
      </c>
    </row>
    <row r="162" spans="1:18" s="315" customFormat="1">
      <c r="A162" s="687" t="s">
        <v>4021</v>
      </c>
      <c r="B162" s="2096">
        <v>1</v>
      </c>
      <c r="C162" s="1907" t="s">
        <v>5103</v>
      </c>
      <c r="D162" s="1935"/>
      <c r="E162" s="1786"/>
      <c r="F162" s="1908">
        <f>SUM(F164:F168)*(B162-1)</f>
        <v>0</v>
      </c>
      <c r="G162" s="712"/>
      <c r="H162" s="712"/>
      <c r="I162" s="712"/>
      <c r="J162" s="713"/>
      <c r="K162" s="684">
        <f t="shared" si="153"/>
        <v>1</v>
      </c>
      <c r="L162" s="1909">
        <f>B162</f>
        <v>1</v>
      </c>
      <c r="M162" s="684">
        <f t="shared" si="154"/>
        <v>1</v>
      </c>
      <c r="N162" s="362" t="str">
        <f t="shared" ref="N162:N170" si="155">IF(O162&lt;&gt;"",K162*L162*M162,"")</f>
        <v/>
      </c>
      <c r="O162" s="1763" t="str">
        <f t="shared" ref="O162:O170" si="156">IF(D162&lt;&gt;"",IF(VLOOKUP(D162,base_datos,7,FALSE)&lt;&gt;"",VLOOKUP(D162,base_datos,7,FALSE),""),"")</f>
        <v/>
      </c>
      <c r="P162" s="1764" t="str">
        <f t="shared" ref="P162:P170" si="157">IF(O162&lt;&gt;"",VLOOKUP(D162,base_datos,6,FALSE),"")</f>
        <v/>
      </c>
      <c r="Q162" s="120" t="str">
        <f t="shared" ref="Q162:Q170" si="158">IF(O162&lt;&gt;"",D162,"")</f>
        <v/>
      </c>
    </row>
    <row r="163" spans="1:18" s="185" customFormat="1">
      <c r="A163" s="687" t="s">
        <v>4136</v>
      </c>
      <c r="B163" s="1910">
        <v>3</v>
      </c>
      <c r="C163" s="1911" t="str">
        <f>VLOOKUP(D163,base_datos,6,FALSE)</f>
        <v>Portalámpara + lampara tipo LED - color Rojo - alimentacion: 220-230Vac, d=22mm. - CL2-523R - línea compacta - marca ABB.</v>
      </c>
      <c r="D163" s="1790" t="s">
        <v>2439</v>
      </c>
      <c r="E163" s="1939">
        <f>VLOOKUP(D163,base_datos,5,FALSE)</f>
        <v>12.299999999999999</v>
      </c>
      <c r="F163" s="1912">
        <f>+E163*B163</f>
        <v>36.9</v>
      </c>
      <c r="G163" s="710"/>
      <c r="H163" s="710"/>
      <c r="I163" s="710"/>
      <c r="J163" s="711"/>
      <c r="K163" s="684">
        <f t="shared" si="153"/>
        <v>1</v>
      </c>
      <c r="L163" s="1913">
        <f>L161</f>
        <v>1</v>
      </c>
      <c r="M163" s="684">
        <f t="shared" si="154"/>
        <v>3</v>
      </c>
      <c r="N163" s="362">
        <f t="shared" si="155"/>
        <v>3</v>
      </c>
      <c r="O163" s="1763" t="str">
        <f t="shared" si="156"/>
        <v>1SFA619403R5231</v>
      </c>
      <c r="P163" s="1764" t="str">
        <f t="shared" si="157"/>
        <v>Portalámpara + lampara tipo LED - color Rojo - alimentacion: 220-230Vac, d=22mm. - CL2-523R - línea compacta - marca ABB.</v>
      </c>
      <c r="Q163" s="120" t="str">
        <f t="shared" si="158"/>
        <v>LAMP_ROJO_220V</v>
      </c>
    </row>
    <row r="164" spans="1:18" s="185" customFormat="1">
      <c r="A164" s="687"/>
      <c r="B164" s="1910">
        <v>3</v>
      </c>
      <c r="C164" s="1911" t="str">
        <f>VLOOKUP(D164,base_datos,6,FALSE)</f>
        <v>Portalámpara + lampara tipo LED - color Verde - alimentacion: 220-230Vac, d=22mm. - CL2-523G - línea compacta - marca ABB.</v>
      </c>
      <c r="D164" s="1790" t="s">
        <v>2440</v>
      </c>
      <c r="E164" s="1939">
        <f>VLOOKUP(D164,base_datos,5,FALSE)</f>
        <v>12.299999999999999</v>
      </c>
      <c r="F164" s="1912">
        <f>+E164*B164</f>
        <v>36.9</v>
      </c>
      <c r="G164" s="710"/>
      <c r="H164" s="710"/>
      <c r="I164" s="710"/>
      <c r="J164" s="711"/>
      <c r="K164" s="684">
        <f t="shared" si="153"/>
        <v>1</v>
      </c>
      <c r="L164" s="1913">
        <f>L162</f>
        <v>1</v>
      </c>
      <c r="M164" s="684">
        <f t="shared" si="154"/>
        <v>3</v>
      </c>
      <c r="N164" s="362">
        <f t="shared" si="155"/>
        <v>3</v>
      </c>
      <c r="O164" s="1763" t="str">
        <f t="shared" si="156"/>
        <v>1SFA619403R5232</v>
      </c>
      <c r="P164" s="1764" t="str">
        <f t="shared" si="157"/>
        <v>Portalámpara + lampara tipo LED - color Verde - alimentacion: 220-230Vac, d=22mm. - CL2-523G - línea compacta - marca ABB.</v>
      </c>
      <c r="Q164" s="120" t="str">
        <f t="shared" si="158"/>
        <v>LAMP_VERDE_220V</v>
      </c>
    </row>
    <row r="165" spans="1:18" s="1921" customFormat="1">
      <c r="A165" s="687" t="s">
        <v>12356</v>
      </c>
      <c r="B165" s="1914">
        <v>1</v>
      </c>
      <c r="C165" s="1915" t="s">
        <v>3366</v>
      </c>
      <c r="D165" s="1916"/>
      <c r="E165" s="1917"/>
      <c r="F165" s="1918"/>
      <c r="G165" s="1919"/>
      <c r="H165" s="1919"/>
      <c r="I165" s="1919"/>
      <c r="J165" s="1920"/>
      <c r="K165" s="684">
        <f t="shared" si="153"/>
        <v>1</v>
      </c>
      <c r="L165" s="1913">
        <f>L164</f>
        <v>1</v>
      </c>
      <c r="M165" s="684">
        <f t="shared" si="154"/>
        <v>1</v>
      </c>
      <c r="N165" s="362" t="str">
        <f t="shared" si="155"/>
        <v/>
      </c>
      <c r="O165" s="1763" t="str">
        <f t="shared" si="156"/>
        <v/>
      </c>
      <c r="P165" s="1764" t="str">
        <f t="shared" si="157"/>
        <v/>
      </c>
      <c r="Q165" s="120" t="str">
        <f t="shared" si="158"/>
        <v/>
      </c>
    </row>
    <row r="166" spans="1:18" s="320" customFormat="1">
      <c r="A166" s="687" t="s">
        <v>13066</v>
      </c>
      <c r="B166" s="1922">
        <v>1</v>
      </c>
      <c r="C166" s="721" t="str">
        <f>VLOOKUP(D166,base_datos,6,FALSE)</f>
        <v>Rele auxiliar enchufable +4NA/NC (D2PR4B + base D2PA6), 220Vac - marca EATON.</v>
      </c>
      <c r="D166" s="1579" t="s">
        <v>772</v>
      </c>
      <c r="E166" s="1581">
        <f>VLOOKUP(D166,base_datos,5,FALSE)</f>
        <v>27</v>
      </c>
      <c r="F166" s="1923">
        <f>+E166*B166</f>
        <v>27</v>
      </c>
      <c r="G166" s="1924"/>
      <c r="H166" s="1924"/>
      <c r="I166" s="1924"/>
      <c r="J166" s="722"/>
      <c r="K166" s="684">
        <f t="shared" si="153"/>
        <v>1</v>
      </c>
      <c r="L166" s="1913">
        <f>L163</f>
        <v>1</v>
      </c>
      <c r="M166" s="684">
        <f t="shared" si="154"/>
        <v>1</v>
      </c>
      <c r="N166" s="362">
        <f t="shared" si="155"/>
        <v>1</v>
      </c>
      <c r="O166" s="1763" t="str">
        <f t="shared" si="156"/>
        <v>D2PR4B+D2PA6</v>
      </c>
      <c r="P166" s="1764" t="str">
        <f t="shared" si="157"/>
        <v>Rele auxiliar enchufable +4NA/NC (D2PR4B + base D2PA6), 220Vac - marca EATON.</v>
      </c>
      <c r="Q166" s="120" t="str">
        <f t="shared" si="158"/>
        <v>D2PR4B+D2PA6</v>
      </c>
    </row>
    <row r="167" spans="1:18" s="320" customFormat="1">
      <c r="A167" s="1767"/>
      <c r="B167" s="2131">
        <v>1</v>
      </c>
      <c r="C167" s="2132" t="s">
        <v>12558</v>
      </c>
      <c r="D167" s="2133"/>
      <c r="E167" s="2134">
        <v>32</v>
      </c>
      <c r="F167" s="2134">
        <f>+E167*B167</f>
        <v>32</v>
      </c>
      <c r="G167" s="1924"/>
      <c r="H167" s="1924"/>
      <c r="I167" s="1924"/>
      <c r="J167" s="722"/>
      <c r="K167" s="684">
        <f t="shared" si="153"/>
        <v>1</v>
      </c>
      <c r="L167" s="1913">
        <f>L164</f>
        <v>1</v>
      </c>
      <c r="M167" s="684">
        <f t="shared" si="154"/>
        <v>1</v>
      </c>
      <c r="N167" s="362" t="str">
        <f t="shared" si="155"/>
        <v/>
      </c>
      <c r="O167" s="1763" t="str">
        <f t="shared" si="156"/>
        <v/>
      </c>
      <c r="P167" s="1764" t="str">
        <f t="shared" si="157"/>
        <v/>
      </c>
      <c r="Q167" s="120" t="str">
        <f t="shared" si="158"/>
        <v/>
      </c>
    </row>
    <row r="168" spans="1:18" s="320" customFormat="1">
      <c r="A168" s="687" t="s">
        <v>12551</v>
      </c>
      <c r="B168" s="1922">
        <v>4</v>
      </c>
      <c r="C168" s="721" t="str">
        <f>VLOOKUP(D168,base_datos,6,FALSE)</f>
        <v>Base portafusibles + Fusibles de protección para control.</v>
      </c>
      <c r="D168" s="1579" t="s">
        <v>453</v>
      </c>
      <c r="E168" s="1581">
        <f>VLOOKUP(D168,base_datos,5,FALSE)</f>
        <v>8.1750000000000007</v>
      </c>
      <c r="F168" s="1923">
        <f>+E168*B168</f>
        <v>32.700000000000003</v>
      </c>
      <c r="G168" s="1924"/>
      <c r="H168" s="1924"/>
      <c r="I168" s="1924"/>
      <c r="J168" s="722"/>
      <c r="K168" s="684">
        <f t="shared" si="153"/>
        <v>1</v>
      </c>
      <c r="L168" s="1913">
        <f>L165</f>
        <v>1</v>
      </c>
      <c r="M168" s="684">
        <f t="shared" si="154"/>
        <v>4</v>
      </c>
      <c r="N168" s="362" t="str">
        <f t="shared" si="155"/>
        <v/>
      </c>
      <c r="O168" s="1763" t="str">
        <f t="shared" si="156"/>
        <v/>
      </c>
      <c r="P168" s="1764" t="str">
        <f t="shared" si="157"/>
        <v/>
      </c>
      <c r="Q168" s="120" t="str">
        <f t="shared" si="158"/>
        <v/>
      </c>
    </row>
    <row r="169" spans="1:18" s="315" customFormat="1">
      <c r="A169" s="687" t="s">
        <v>3542</v>
      </c>
      <c r="B169" s="1906"/>
      <c r="C169" s="1907"/>
      <c r="D169" s="1935"/>
      <c r="E169" s="1786"/>
      <c r="F169" s="1936"/>
      <c r="G169" s="712"/>
      <c r="H169" s="712"/>
      <c r="I169" s="712"/>
      <c r="J169" s="713"/>
      <c r="K169" s="684">
        <f t="shared" si="153"/>
        <v>1</v>
      </c>
      <c r="L169" s="1909">
        <f>B169</f>
        <v>0</v>
      </c>
      <c r="M169" s="684">
        <f t="shared" si="154"/>
        <v>1</v>
      </c>
      <c r="N169" s="362" t="str">
        <f t="shared" si="155"/>
        <v/>
      </c>
      <c r="O169" s="1763" t="str">
        <f t="shared" si="156"/>
        <v/>
      </c>
      <c r="P169" s="1764" t="str">
        <f t="shared" si="157"/>
        <v/>
      </c>
      <c r="Q169" s="120" t="str">
        <f t="shared" si="158"/>
        <v/>
      </c>
    </row>
    <row r="170" spans="1:18" s="185" customFormat="1">
      <c r="A170" s="687"/>
      <c r="B170" s="1922"/>
      <c r="C170" s="1956" t="s">
        <v>12368</v>
      </c>
      <c r="D170" s="1579"/>
      <c r="E170" s="1957"/>
      <c r="F170" s="1958"/>
      <c r="G170" s="710"/>
      <c r="H170" s="710"/>
      <c r="I170" s="710"/>
      <c r="J170" s="711"/>
      <c r="K170" s="684">
        <f t="shared" si="153"/>
        <v>1</v>
      </c>
      <c r="L170" s="708">
        <v>1</v>
      </c>
      <c r="M170" s="684">
        <f t="shared" si="154"/>
        <v>1</v>
      </c>
      <c r="N170" s="362" t="str">
        <f t="shared" si="155"/>
        <v/>
      </c>
      <c r="O170" s="1763" t="str">
        <f t="shared" si="156"/>
        <v/>
      </c>
      <c r="P170" s="1764" t="str">
        <f t="shared" si="157"/>
        <v/>
      </c>
      <c r="Q170" s="120" t="str">
        <f t="shared" si="158"/>
        <v/>
      </c>
    </row>
    <row r="171" spans="1:18" s="120" customFormat="1" ht="18" customHeight="1">
      <c r="A171" s="687"/>
      <c r="B171" s="1779">
        <v>6</v>
      </c>
      <c r="C171" s="1892" t="str">
        <f>VLOOKUP(D171,base_datos,6,FALSE)</f>
        <v>Transformador de tensión monofásico 480 / 240 Vac - 50VA.</v>
      </c>
      <c r="D171" s="1898" t="s">
        <v>8587</v>
      </c>
      <c r="E171" s="1581">
        <f>VLOOKUP(D171,base_datos,5,FALSE)</f>
        <v>76.8</v>
      </c>
      <c r="F171" s="1581">
        <f>+E171*B171</f>
        <v>460.79999999999995</v>
      </c>
      <c r="G171" s="686"/>
      <c r="H171" s="686"/>
      <c r="I171" s="686"/>
      <c r="J171" s="1768"/>
      <c r="K171" s="684">
        <f t="shared" si="153"/>
        <v>1</v>
      </c>
      <c r="L171" s="708">
        <v>1</v>
      </c>
      <c r="M171" s="684">
        <f t="shared" si="154"/>
        <v>6</v>
      </c>
      <c r="N171" s="362" t="str">
        <f t="shared" ref="N171:N246" si="159">IF(O171&lt;&gt;"",K171*L171*M171,"")</f>
        <v/>
      </c>
      <c r="O171" s="1763" t="str">
        <f t="shared" ref="O171:O246" si="160">IF(D171&lt;&gt;"",IF(VLOOKUP(D171,base_datos,7,FALSE)&lt;&gt;"",VLOOKUP(D171,base_datos,7,FALSE),""),"")</f>
        <v/>
      </c>
      <c r="P171" s="1764" t="str">
        <f t="shared" ref="P171:P246" si="161">IF(O171&lt;&gt;"",VLOOKUP(D171,base_datos,6,FALSE),"")</f>
        <v/>
      </c>
      <c r="Q171" s="120" t="str">
        <f t="shared" ref="Q171:Q246" si="162">IF(O171&lt;&gt;"",D171,"")</f>
        <v/>
      </c>
      <c r="R171" s="185"/>
    </row>
    <row r="172" spans="1:18" s="120" customFormat="1" ht="18" customHeight="1">
      <c r="A172" s="1767"/>
      <c r="B172" s="1781"/>
      <c r="C172" s="1959" t="s">
        <v>3158</v>
      </c>
      <c r="D172" s="2005"/>
      <c r="E172" s="1791"/>
      <c r="F172" s="1782"/>
      <c r="G172" s="686"/>
      <c r="H172" s="686"/>
      <c r="I172" s="686"/>
      <c r="J172" s="688"/>
      <c r="K172" s="684">
        <f t="shared" si="153"/>
        <v>1</v>
      </c>
      <c r="L172" s="708">
        <v>1</v>
      </c>
      <c r="M172" s="684">
        <f t="shared" si="154"/>
        <v>1</v>
      </c>
      <c r="N172" s="362" t="str">
        <f t="shared" si="159"/>
        <v/>
      </c>
      <c r="O172" s="1763" t="str">
        <f t="shared" si="160"/>
        <v/>
      </c>
      <c r="P172" s="1764" t="str">
        <f t="shared" si="161"/>
        <v/>
      </c>
      <c r="Q172" s="120" t="str">
        <f t="shared" si="162"/>
        <v/>
      </c>
      <c r="R172" s="185"/>
    </row>
    <row r="173" spans="1:18" s="690" customFormat="1" ht="18" customHeight="1">
      <c r="A173" s="687"/>
      <c r="B173" s="1781">
        <v>1</v>
      </c>
      <c r="C173" s="1960" t="str">
        <f>VLOOKUP(D173,base_datos,6,FALSE)</f>
        <v>ITM Caja Moldeada 3x160A (reg.[0.7-1.0] In) - XT2N160-160A-3P-TMA - 65kA@230Vac, 36kA@415Vac - marca ABB.</v>
      </c>
      <c r="D173" s="2006" t="s">
        <v>852</v>
      </c>
      <c r="E173" s="1791">
        <f>VLOOKUP(D173,base_datos,5,FALSE)</f>
        <v>229.10999999999999</v>
      </c>
      <c r="F173" s="1782">
        <f>+E173*B173</f>
        <v>229.10999999999999</v>
      </c>
      <c r="G173" s="1761"/>
      <c r="H173" s="1761"/>
      <c r="I173" s="1761"/>
      <c r="J173" s="689"/>
      <c r="K173" s="684">
        <f t="shared" si="153"/>
        <v>1</v>
      </c>
      <c r="L173" s="708">
        <v>1</v>
      </c>
      <c r="M173" s="684">
        <f t="shared" si="154"/>
        <v>1</v>
      </c>
      <c r="N173" s="362">
        <f t="shared" si="159"/>
        <v>1</v>
      </c>
      <c r="O173" s="1763" t="str">
        <f t="shared" si="160"/>
        <v>1SDA067020R1</v>
      </c>
      <c r="P173" s="1764" t="str">
        <f t="shared" si="161"/>
        <v>ITM Caja Moldeada 3x160A (reg.[0.7-1.0] In) - XT2N160-160A-3P-TMA - 65kA@230Vac, 36kA@415Vac - marca ABB.</v>
      </c>
      <c r="Q173" s="120" t="str">
        <f t="shared" si="162"/>
        <v>XT2N160-160A-3P-TMA</v>
      </c>
      <c r="R173" s="185"/>
    </row>
    <row r="174" spans="1:18" s="695" customFormat="1" ht="18" customHeight="1">
      <c r="A174" s="687"/>
      <c r="B174" s="895">
        <v>1</v>
      </c>
      <c r="C174" s="1848" t="str">
        <f>VLOOKUP(D174,base_datos,6,FALSE)</f>
        <v>FC-CuAl_XT2 - Terminales + Cubrebornes - cables de cobre/aluminio hasta 1x185mm2 - 3 terminales (externos)</v>
      </c>
      <c r="D174" s="1886" t="s">
        <v>957</v>
      </c>
      <c r="E174" s="1795">
        <f>VLOOKUP(D174,base_datos,5,FALSE)</f>
        <v>69.36</v>
      </c>
      <c r="F174" s="1796">
        <f>+E174*B174</f>
        <v>69.36</v>
      </c>
      <c r="G174" s="696"/>
      <c r="H174" s="696"/>
      <c r="I174" s="696"/>
      <c r="J174" s="697"/>
      <c r="K174" s="684">
        <f t="shared" si="153"/>
        <v>1</v>
      </c>
      <c r="L174" s="708">
        <v>1</v>
      </c>
      <c r="M174" s="684">
        <f t="shared" si="154"/>
        <v>1</v>
      </c>
      <c r="N174" s="362">
        <f>IF(O174&lt;&gt;"",K174*L174*M174,"")</f>
        <v>1</v>
      </c>
      <c r="O174" s="1763" t="str">
        <f>IF(D174&lt;&gt;"",IF(VLOOKUP(D174,base_datos,7,FALSE)&lt;&gt;"",VLOOKUP(D174,base_datos,7,FALSE),""),"")</f>
        <v>1SDA067167R1</v>
      </c>
      <c r="P174" s="1764" t="str">
        <f>IF(O174&lt;&gt;"",VLOOKUP(D174,base_datos,6,FALSE),"")</f>
        <v>FC-CuAl_XT2 - Terminales + Cubrebornes - cables de cobre/aluminio hasta 1x185mm2 - 3 terminales (externos)</v>
      </c>
      <c r="Q174" s="120" t="str">
        <f>IF(O174&lt;&gt;"",D174,"")</f>
        <v>FC-CuAl_XT2_3t</v>
      </c>
      <c r="R174" s="185"/>
    </row>
    <row r="175" spans="1:18" s="185" customFormat="1">
      <c r="A175" s="687"/>
      <c r="B175" s="714"/>
      <c r="C175" s="313" t="s">
        <v>729</v>
      </c>
      <c r="D175" s="173"/>
      <c r="E175" s="1786"/>
      <c r="F175" s="1787"/>
      <c r="G175" s="710"/>
      <c r="H175" s="710"/>
      <c r="I175" s="710"/>
      <c r="J175" s="711"/>
      <c r="K175" s="684">
        <f t="shared" si="153"/>
        <v>1</v>
      </c>
      <c r="L175" s="708">
        <v>1</v>
      </c>
      <c r="M175" s="684">
        <f t="shared" si="154"/>
        <v>1</v>
      </c>
      <c r="N175" s="362" t="str">
        <f t="shared" si="159"/>
        <v/>
      </c>
      <c r="O175" s="1763" t="str">
        <f t="shared" si="160"/>
        <v/>
      </c>
      <c r="P175" s="1764" t="str">
        <f t="shared" si="161"/>
        <v/>
      </c>
      <c r="Q175" s="120" t="str">
        <f t="shared" si="162"/>
        <v/>
      </c>
    </row>
    <row r="176" spans="1:18" s="315" customFormat="1">
      <c r="A176" s="687"/>
      <c r="B176" s="1932">
        <v>2</v>
      </c>
      <c r="C176" s="1933" t="str">
        <f t="shared" ref="C176" si="163">VLOOKUP(D176,base_datos,6,FALSE)</f>
        <v>2(Q) contacto conmutado de estado (NA/NC) + 1(SY) contacto por disparo de interruptor - XT1..XT4 - versión cableada - marca ABB.</v>
      </c>
      <c r="D176" s="1790" t="s">
        <v>3244</v>
      </c>
      <c r="E176" s="1939">
        <f t="shared" ref="E176" si="164">VLOOKUP(D176,base_datos,5,FALSE)</f>
        <v>132.1</v>
      </c>
      <c r="F176" s="1940">
        <f t="shared" ref="F176" si="165">+E176*B176</f>
        <v>264.2</v>
      </c>
      <c r="G176" s="712"/>
      <c r="H176" s="712"/>
      <c r="I176" s="712"/>
      <c r="J176" s="713"/>
      <c r="K176" s="684">
        <f t="shared" si="153"/>
        <v>1</v>
      </c>
      <c r="L176" s="708">
        <v>1</v>
      </c>
      <c r="M176" s="684">
        <f t="shared" si="154"/>
        <v>2</v>
      </c>
      <c r="N176" s="362">
        <f t="shared" si="159"/>
        <v>2</v>
      </c>
      <c r="O176" s="1763" t="str">
        <f t="shared" si="160"/>
        <v>1SDA066433R1</v>
      </c>
      <c r="P176" s="1764" t="str">
        <f t="shared" si="161"/>
        <v>2(Q) contacto conmutado de estado (NA/NC) + 1(SY) contacto por disparo de interruptor - XT1..XT4 - versión cableada - marca ABB.</v>
      </c>
      <c r="Q176" s="120" t="str">
        <f t="shared" si="162"/>
        <v>2Q+1SY_XT1..XT4</v>
      </c>
    </row>
    <row r="177" spans="1:18" s="185" customFormat="1" ht="18" customHeight="1">
      <c r="A177" s="1767"/>
      <c r="B177" s="714"/>
      <c r="C177" s="313" t="s">
        <v>729</v>
      </c>
      <c r="D177" s="173"/>
      <c r="E177" s="1786"/>
      <c r="F177" s="1787"/>
      <c r="G177" s="710"/>
      <c r="H177" s="710"/>
      <c r="I177" s="710"/>
      <c r="J177" s="711"/>
      <c r="K177" s="684">
        <f t="shared" si="153"/>
        <v>1</v>
      </c>
      <c r="L177" s="708">
        <v>1</v>
      </c>
      <c r="M177" s="684">
        <f t="shared" si="154"/>
        <v>1</v>
      </c>
      <c r="N177" s="362" t="str">
        <f t="shared" si="159"/>
        <v/>
      </c>
      <c r="O177" s="1763" t="str">
        <f t="shared" si="160"/>
        <v/>
      </c>
      <c r="P177" s="1764" t="str">
        <f t="shared" si="161"/>
        <v/>
      </c>
      <c r="Q177" s="120" t="str">
        <f t="shared" si="162"/>
        <v/>
      </c>
    </row>
    <row r="178" spans="1:18" s="1766" customFormat="1" ht="18" customHeight="1">
      <c r="A178" s="687"/>
      <c r="B178" s="1769"/>
      <c r="C178" s="1770" t="s">
        <v>11663</v>
      </c>
      <c r="D178" s="2006"/>
      <c r="E178" s="1581"/>
      <c r="F178" s="1581"/>
      <c r="G178" s="1761"/>
      <c r="H178" s="1761"/>
      <c r="I178" s="1761"/>
      <c r="J178" s="1762"/>
      <c r="K178" s="684">
        <f t="shared" si="153"/>
        <v>1</v>
      </c>
      <c r="L178" s="708">
        <v>1</v>
      </c>
      <c r="M178" s="684">
        <f t="shared" si="154"/>
        <v>1</v>
      </c>
      <c r="N178" s="362" t="str">
        <f t="shared" si="159"/>
        <v/>
      </c>
      <c r="O178" s="1763" t="str">
        <f t="shared" si="160"/>
        <v/>
      </c>
      <c r="P178" s="1764" t="str">
        <f t="shared" si="161"/>
        <v/>
      </c>
      <c r="Q178" s="120" t="str">
        <f t="shared" si="162"/>
        <v/>
      </c>
      <c r="R178" s="1765"/>
    </row>
    <row r="179" spans="1:18" s="1766" customFormat="1" ht="18" customHeight="1">
      <c r="A179" s="687"/>
      <c r="B179" s="1760">
        <v>1</v>
      </c>
      <c r="C179" s="1990" t="str">
        <f t="shared" ref="C179:C183" si="166">VLOOKUP(D179,base_datos,6,FALSE)</f>
        <v>Analizador de Redes DIRIS-A30 - precisión (V, I) 0.2%, precisión de energía activa / reactiva: clase 0,5S / clase 2 - marca SOCOMEC.</v>
      </c>
      <c r="D179" s="2007" t="s">
        <v>12164</v>
      </c>
      <c r="E179" s="1581">
        <f t="shared" ref="E179:E183" si="167">VLOOKUP(D179,base_datos,5,FALSE)</f>
        <v>633.64</v>
      </c>
      <c r="F179" s="1581">
        <f t="shared" ref="F179:F183" si="168">+E179*B179</f>
        <v>633.64</v>
      </c>
      <c r="G179" s="1761"/>
      <c r="H179" s="1761"/>
      <c r="I179" s="1761"/>
      <c r="J179" s="1762"/>
      <c r="K179" s="684">
        <f t="shared" si="153"/>
        <v>1</v>
      </c>
      <c r="L179" s="708">
        <v>1</v>
      </c>
      <c r="M179" s="684">
        <f t="shared" si="154"/>
        <v>1</v>
      </c>
      <c r="N179" s="362">
        <f t="shared" si="159"/>
        <v>1</v>
      </c>
      <c r="O179" s="1763" t="str">
        <f t="shared" si="160"/>
        <v>4825 0403</v>
      </c>
      <c r="P179" s="1764" t="str">
        <f t="shared" si="161"/>
        <v>Analizador de Redes DIRIS-A30 - precisión (V, I) 0.2%, precisión de energía activa / reactiva: clase 0,5S / clase 2 - marca SOCOMEC.</v>
      </c>
      <c r="Q179" s="120" t="str">
        <f t="shared" si="162"/>
        <v>DIRIS-A30</v>
      </c>
      <c r="R179" s="1765"/>
    </row>
    <row r="180" spans="1:18" s="1766" customFormat="1" ht="18" customHeight="1">
      <c r="A180" s="687"/>
      <c r="B180" s="1760">
        <v>1</v>
      </c>
      <c r="C180" s="1990" t="str">
        <f t="shared" si="166"/>
        <v>Módulo de comunicación RS 485 MODBUS, para Analizador de Red, DIRIS-A30, marca SOCOMEC.</v>
      </c>
      <c r="D180" s="144" t="s">
        <v>12166</v>
      </c>
      <c r="E180" s="1581">
        <f t="shared" si="167"/>
        <v>115.64</v>
      </c>
      <c r="F180" s="1581">
        <f t="shared" si="168"/>
        <v>115.64</v>
      </c>
      <c r="G180" s="1761"/>
      <c r="H180" s="1761"/>
      <c r="I180" s="1761"/>
      <c r="J180" s="1762"/>
      <c r="K180" s="684">
        <f t="shared" si="153"/>
        <v>1</v>
      </c>
      <c r="L180" s="708">
        <v>1</v>
      </c>
      <c r="M180" s="709">
        <f t="shared" si="154"/>
        <v>1</v>
      </c>
      <c r="N180" s="362">
        <f t="shared" si="159"/>
        <v>1</v>
      </c>
      <c r="O180" s="1763" t="str">
        <f t="shared" si="160"/>
        <v>4825 0092</v>
      </c>
      <c r="P180" s="1764" t="str">
        <f t="shared" si="161"/>
        <v>Módulo de comunicación RS 485 MODBUS, para Analizador de Red, DIRIS-A30, marca SOCOMEC.</v>
      </c>
      <c r="Q180" s="120" t="str">
        <f t="shared" si="162"/>
        <v>DIRIS-A30/Com</v>
      </c>
      <c r="R180" s="1765"/>
    </row>
    <row r="181" spans="1:18" s="1766" customFormat="1" ht="18" customHeight="1">
      <c r="A181" s="687"/>
      <c r="B181" s="1760">
        <f>3*B179</f>
        <v>3</v>
      </c>
      <c r="C181" s="1990" t="str">
        <f t="shared" si="166"/>
        <v>Transformador de corriente de 160/5A</v>
      </c>
      <c r="D181" s="2011" t="s">
        <v>1821</v>
      </c>
      <c r="E181" s="1581">
        <f t="shared" si="167"/>
        <v>75</v>
      </c>
      <c r="F181" s="1581">
        <f t="shared" si="168"/>
        <v>225</v>
      </c>
      <c r="G181" s="1761"/>
      <c r="H181" s="1761"/>
      <c r="I181" s="1761"/>
      <c r="J181" s="1762"/>
      <c r="K181" s="684">
        <f t="shared" si="153"/>
        <v>1</v>
      </c>
      <c r="L181" s="708">
        <v>1</v>
      </c>
      <c r="M181" s="684">
        <f t="shared" si="154"/>
        <v>3</v>
      </c>
      <c r="N181" s="362" t="str">
        <f t="shared" si="159"/>
        <v/>
      </c>
      <c r="O181" s="1763" t="str">
        <f t="shared" si="160"/>
        <v/>
      </c>
      <c r="P181" s="1764" t="str">
        <f t="shared" si="161"/>
        <v/>
      </c>
      <c r="Q181" s="120" t="str">
        <f t="shared" si="162"/>
        <v/>
      </c>
      <c r="R181" s="1765"/>
    </row>
    <row r="182" spans="1:18" s="1766" customFormat="1" ht="18" customHeight="1">
      <c r="A182" s="687"/>
      <c r="B182" s="1760">
        <f>5*B179</f>
        <v>5</v>
      </c>
      <c r="C182" s="1990" t="str">
        <f t="shared" si="166"/>
        <v>Base portafusibles + Fusibles de protección para control.</v>
      </c>
      <c r="D182" s="2011" t="s">
        <v>453</v>
      </c>
      <c r="E182" s="1581">
        <f t="shared" si="167"/>
        <v>8.1750000000000007</v>
      </c>
      <c r="F182" s="1581">
        <f t="shared" si="168"/>
        <v>40.875</v>
      </c>
      <c r="G182" s="1761"/>
      <c r="H182" s="1761"/>
      <c r="I182" s="1761"/>
      <c r="J182" s="1762"/>
      <c r="K182" s="684">
        <f t="shared" si="153"/>
        <v>1</v>
      </c>
      <c r="L182" s="708">
        <v>1</v>
      </c>
      <c r="M182" s="684">
        <f t="shared" si="154"/>
        <v>5</v>
      </c>
      <c r="N182" s="362" t="str">
        <f t="shared" si="159"/>
        <v/>
      </c>
      <c r="O182" s="1763" t="str">
        <f t="shared" si="160"/>
        <v/>
      </c>
      <c r="P182" s="1764" t="str">
        <f t="shared" si="161"/>
        <v/>
      </c>
      <c r="Q182" s="120" t="str">
        <f t="shared" si="162"/>
        <v/>
      </c>
      <c r="R182" s="1765"/>
    </row>
    <row r="183" spans="1:18" s="1766" customFormat="1" ht="18" customHeight="1">
      <c r="A183" s="1771"/>
      <c r="B183" s="1760">
        <f>6*B179</f>
        <v>6</v>
      </c>
      <c r="C183" s="1990" t="str">
        <f t="shared" si="166"/>
        <v>Bornes seccionables de corriente.</v>
      </c>
      <c r="D183" s="2011" t="s">
        <v>435</v>
      </c>
      <c r="E183" s="1581">
        <f t="shared" si="167"/>
        <v>12</v>
      </c>
      <c r="F183" s="1581">
        <f t="shared" si="168"/>
        <v>72</v>
      </c>
      <c r="G183" s="1761"/>
      <c r="H183" s="1761"/>
      <c r="I183" s="1761"/>
      <c r="J183" s="1762"/>
      <c r="K183" s="684">
        <f t="shared" si="153"/>
        <v>1</v>
      </c>
      <c r="L183" s="708">
        <v>1</v>
      </c>
      <c r="M183" s="684">
        <f t="shared" si="154"/>
        <v>6</v>
      </c>
      <c r="N183" s="362" t="str">
        <f t="shared" si="159"/>
        <v/>
      </c>
      <c r="O183" s="1763" t="str">
        <f t="shared" si="160"/>
        <v/>
      </c>
      <c r="P183" s="1764" t="str">
        <f t="shared" si="161"/>
        <v/>
      </c>
      <c r="Q183" s="120" t="str">
        <f t="shared" si="162"/>
        <v/>
      </c>
      <c r="R183" s="1765"/>
    </row>
    <row r="184" spans="1:18" s="185" customFormat="1" ht="18" customHeight="1">
      <c r="A184" s="693"/>
      <c r="B184" s="714"/>
      <c r="C184" s="313" t="s">
        <v>729</v>
      </c>
      <c r="D184" s="173"/>
      <c r="E184" s="1581"/>
      <c r="F184" s="1581"/>
      <c r="G184" s="710"/>
      <c r="H184" s="710"/>
      <c r="I184" s="710"/>
      <c r="J184" s="711"/>
      <c r="K184" s="684">
        <f t="shared" si="153"/>
        <v>1</v>
      </c>
      <c r="L184" s="708">
        <v>1</v>
      </c>
      <c r="M184" s="709">
        <f t="shared" ref="M184:M229" si="169">IF(B184="",1,B184)</f>
        <v>1</v>
      </c>
      <c r="N184" s="362" t="str">
        <f t="shared" si="159"/>
        <v/>
      </c>
      <c r="O184" s="1763" t="str">
        <f t="shared" si="160"/>
        <v/>
      </c>
      <c r="P184" s="1764" t="str">
        <f t="shared" si="161"/>
        <v/>
      </c>
      <c r="Q184" s="120" t="str">
        <f t="shared" si="162"/>
        <v/>
      </c>
      <c r="R184" s="1765"/>
    </row>
    <row r="185" spans="1:18" s="690" customFormat="1" ht="18" customHeight="1">
      <c r="A185" s="1767"/>
      <c r="B185" s="1851"/>
      <c r="C185" s="1966" t="s">
        <v>3377</v>
      </c>
      <c r="D185" s="1582"/>
      <c r="E185" s="1780"/>
      <c r="F185" s="1782"/>
      <c r="G185" s="1761"/>
      <c r="H185" s="1761"/>
      <c r="I185" s="1761"/>
      <c r="J185" s="689"/>
      <c r="K185" s="684">
        <f t="shared" si="153"/>
        <v>1</v>
      </c>
      <c r="L185" s="708">
        <v>1</v>
      </c>
      <c r="M185" s="709">
        <f t="shared" si="169"/>
        <v>1</v>
      </c>
      <c r="N185" s="362" t="str">
        <f t="shared" si="159"/>
        <v/>
      </c>
      <c r="O185" s="1763" t="str">
        <f t="shared" si="160"/>
        <v/>
      </c>
      <c r="P185" s="1764" t="str">
        <f t="shared" si="161"/>
        <v/>
      </c>
      <c r="Q185" s="120" t="str">
        <f t="shared" si="162"/>
        <v/>
      </c>
      <c r="R185" s="185"/>
    </row>
    <row r="186" spans="1:18" s="690" customFormat="1" ht="18" customHeight="1">
      <c r="A186" s="1767"/>
      <c r="B186" s="1781">
        <v>1</v>
      </c>
      <c r="C186" s="1960" t="str">
        <f t="shared" ref="C186:C187" si="170">VLOOKUP(D186,base_datos,6,FALSE)</f>
        <v>ITM Caja Moldeada 3x100A (reg.[0.7-1.0] In) - XT2N160-100A-3P-TMA - 65kA@230Vac, 36kA@415Vac - marca ABB.</v>
      </c>
      <c r="D186" s="2006" t="s">
        <v>848</v>
      </c>
      <c r="E186" s="1791">
        <f>VLOOKUP(D186,base_datos,5,FALSE)</f>
        <v>213.75</v>
      </c>
      <c r="F186" s="1782">
        <f t="shared" ref="F186:F189" si="171">+E186*B186</f>
        <v>213.75</v>
      </c>
      <c r="G186" s="1761"/>
      <c r="H186" s="1761"/>
      <c r="I186" s="1761"/>
      <c r="J186" s="1783"/>
      <c r="K186" s="684">
        <f t="shared" si="153"/>
        <v>1</v>
      </c>
      <c r="L186" s="708">
        <v>1</v>
      </c>
      <c r="M186" s="709">
        <f t="shared" si="169"/>
        <v>1</v>
      </c>
      <c r="N186" s="362">
        <f t="shared" si="159"/>
        <v>1</v>
      </c>
      <c r="O186" s="1763" t="str">
        <f t="shared" si="160"/>
        <v>1SDA067018R1</v>
      </c>
      <c r="P186" s="1764" t="str">
        <f t="shared" si="161"/>
        <v>ITM Caja Moldeada 3x100A (reg.[0.7-1.0] In) - XT2N160-100A-3P-TMA - 65kA@230Vac, 36kA@415Vac - marca ABB.</v>
      </c>
      <c r="Q186" s="120" t="str">
        <f t="shared" si="162"/>
        <v>XT2N160-100A-3P-TMA</v>
      </c>
      <c r="R186" s="185"/>
    </row>
    <row r="187" spans="1:18" s="690" customFormat="1" ht="18" customHeight="1">
      <c r="A187" s="1767"/>
      <c r="B187" s="1781">
        <v>2</v>
      </c>
      <c r="C187" s="1960" t="str">
        <f t="shared" si="170"/>
        <v>ITM Caja Moldeada 3x50A (reg.[0.7-1.0] In) - XT2N160-50A-3P-TMA - 65kA@230Vac, 36kA@415Vac - marca ABB.</v>
      </c>
      <c r="D187" s="2006" t="s">
        <v>847</v>
      </c>
      <c r="E187" s="1791">
        <f>VLOOKUP(D187,base_datos,5,FALSE)</f>
        <v>207</v>
      </c>
      <c r="F187" s="1782">
        <f t="shared" si="171"/>
        <v>414</v>
      </c>
      <c r="G187" s="1761"/>
      <c r="H187" s="1761"/>
      <c r="I187" s="1761"/>
      <c r="J187" s="1783"/>
      <c r="K187" s="684">
        <f t="shared" si="153"/>
        <v>1</v>
      </c>
      <c r="L187" s="708">
        <v>1</v>
      </c>
      <c r="M187" s="709">
        <f t="shared" si="169"/>
        <v>2</v>
      </c>
      <c r="N187" s="362">
        <f t="shared" si="159"/>
        <v>2</v>
      </c>
      <c r="O187" s="1763" t="str">
        <f t="shared" si="160"/>
        <v>1SDA067015R1</v>
      </c>
      <c r="P187" s="1764" t="str">
        <f t="shared" si="161"/>
        <v>ITM Caja Moldeada 3x50A (reg.[0.7-1.0] In) - XT2N160-50A-3P-TMA - 65kA@230Vac, 36kA@415Vac - marca ABB.</v>
      </c>
      <c r="Q187" s="120" t="str">
        <f t="shared" si="162"/>
        <v>XT2N160-50A-3P-TMA</v>
      </c>
      <c r="R187" s="185"/>
    </row>
    <row r="188" spans="1:18" s="690" customFormat="1" ht="18" customHeight="1">
      <c r="A188" s="1767"/>
      <c r="B188" s="1781">
        <v>2</v>
      </c>
      <c r="C188" s="1960" t="str">
        <f t="shared" ref="C188:C189" si="172">VLOOKUP(D188,base_datos,6,FALSE)</f>
        <v>ITM Caja Moldeada 3x25A (reg.[0.7-1.0] In) - XT2N160-25A-3P-TMD - 65kA@230Vac, 36kA@415Vac - marca ABB.</v>
      </c>
      <c r="D188" s="2006" t="s">
        <v>851</v>
      </c>
      <c r="E188" s="1791">
        <f>VLOOKUP(D188,base_datos,5,FALSE)</f>
        <v>201.76999999999998</v>
      </c>
      <c r="F188" s="1782">
        <f t="shared" si="171"/>
        <v>403.53999999999996</v>
      </c>
      <c r="G188" s="1761"/>
      <c r="H188" s="1761"/>
      <c r="I188" s="1761"/>
      <c r="J188" s="1783"/>
      <c r="K188" s="684">
        <f t="shared" si="153"/>
        <v>1</v>
      </c>
      <c r="L188" s="708">
        <v>1</v>
      </c>
      <c r="M188" s="709">
        <f t="shared" si="169"/>
        <v>2</v>
      </c>
      <c r="N188" s="362">
        <f t="shared" si="159"/>
        <v>2</v>
      </c>
      <c r="O188" s="1763" t="str">
        <f t="shared" si="160"/>
        <v>1SDA067012R1</v>
      </c>
      <c r="P188" s="1764" t="str">
        <f t="shared" si="161"/>
        <v>ITM Caja Moldeada 3x25A (reg.[0.7-1.0] In) - XT2N160-25A-3P-TMD - 65kA@230Vac, 36kA@415Vac - marca ABB.</v>
      </c>
      <c r="Q188" s="120" t="str">
        <f t="shared" si="162"/>
        <v>XT2N160-25A-3P-TMD</v>
      </c>
      <c r="R188" s="185"/>
    </row>
    <row r="189" spans="1:18" s="690" customFormat="1" ht="18" customHeight="1">
      <c r="A189" s="1767"/>
      <c r="B189" s="2090">
        <v>3</v>
      </c>
      <c r="C189" s="1895" t="str">
        <f t="shared" si="172"/>
        <v>Espacio de reserva trifásica - Caja moldeada.</v>
      </c>
      <c r="D189" s="1895" t="s">
        <v>2932</v>
      </c>
      <c r="E189" s="2232">
        <f>VLOOKUP(D189,base_datos,5,FALSE)</f>
        <v>15</v>
      </c>
      <c r="F189" s="1793">
        <f t="shared" si="171"/>
        <v>45</v>
      </c>
      <c r="G189" s="1761"/>
      <c r="H189" s="1761"/>
      <c r="I189" s="1761"/>
      <c r="J189" s="1783"/>
      <c r="K189" s="684">
        <f t="shared" si="153"/>
        <v>1</v>
      </c>
      <c r="L189" s="708">
        <v>1</v>
      </c>
      <c r="M189" s="709">
        <f t="shared" si="169"/>
        <v>3</v>
      </c>
      <c r="N189" s="362" t="str">
        <f t="shared" si="159"/>
        <v/>
      </c>
      <c r="O189" s="1763" t="str">
        <f t="shared" si="160"/>
        <v/>
      </c>
      <c r="P189" s="1764" t="str">
        <f t="shared" si="161"/>
        <v/>
      </c>
      <c r="Q189" s="120" t="str">
        <f t="shared" si="162"/>
        <v/>
      </c>
      <c r="R189" s="185"/>
    </row>
    <row r="190" spans="1:18" s="185" customFormat="1" ht="18" customHeight="1">
      <c r="A190" s="1785"/>
      <c r="B190" s="714"/>
      <c r="C190" s="313" t="s">
        <v>729</v>
      </c>
      <c r="D190" s="173"/>
      <c r="E190" s="1786"/>
      <c r="F190" s="1787"/>
      <c r="G190" s="710"/>
      <c r="H190" s="710"/>
      <c r="I190" s="710"/>
      <c r="J190" s="711"/>
      <c r="K190" s="684">
        <f t="shared" si="153"/>
        <v>1</v>
      </c>
      <c r="L190" s="708">
        <v>1</v>
      </c>
      <c r="M190" s="709">
        <f t="shared" si="169"/>
        <v>1</v>
      </c>
      <c r="N190" s="362" t="str">
        <f t="shared" si="159"/>
        <v/>
      </c>
      <c r="O190" s="1763" t="str">
        <f t="shared" si="160"/>
        <v/>
      </c>
      <c r="P190" s="1764" t="str">
        <f t="shared" si="161"/>
        <v/>
      </c>
      <c r="Q190" s="120" t="str">
        <f t="shared" si="162"/>
        <v/>
      </c>
    </row>
    <row r="191" spans="1:18" s="315" customFormat="1">
      <c r="A191" s="1785"/>
      <c r="B191" s="355"/>
      <c r="C191" s="1944" t="s">
        <v>3063</v>
      </c>
      <c r="D191" s="1941"/>
      <c r="E191" s="1786"/>
      <c r="F191" s="1787"/>
      <c r="G191" s="712"/>
      <c r="H191" s="712"/>
      <c r="I191" s="712"/>
      <c r="J191" s="713"/>
      <c r="K191" s="684">
        <f t="shared" si="153"/>
        <v>1</v>
      </c>
      <c r="L191" s="708">
        <v>1</v>
      </c>
      <c r="M191" s="709">
        <f>IF(B191="",1,B191)</f>
        <v>1</v>
      </c>
      <c r="N191" s="362" t="str">
        <f t="shared" si="159"/>
        <v/>
      </c>
      <c r="O191" s="1763" t="str">
        <f t="shared" si="160"/>
        <v/>
      </c>
      <c r="P191" s="1764" t="str">
        <f t="shared" si="161"/>
        <v/>
      </c>
      <c r="Q191" s="120" t="str">
        <f t="shared" si="162"/>
        <v/>
      </c>
    </row>
    <row r="192" spans="1:18" s="690" customFormat="1" ht="18" customHeight="1">
      <c r="A192" s="691"/>
      <c r="B192" s="1781">
        <v>1</v>
      </c>
      <c r="C192" s="1420" t="str">
        <f>VLOOKUP(D192,base_datos,6,FALSE)</f>
        <v>ITM Caja Moldeada 3x32A (reg.[0.7-1.0] In) - XT2N160-32A-3P-TMD - 65kA@230Vac, 36kA@415Vac - marca ABB.</v>
      </c>
      <c r="D192" s="1901" t="s">
        <v>850</v>
      </c>
      <c r="E192" s="1791">
        <f>VLOOKUP(D192,base_datos,5,FALSE)</f>
        <v>207</v>
      </c>
      <c r="F192" s="1782">
        <f t="shared" ref="F192:F193" si="173">+E192*B192</f>
        <v>207</v>
      </c>
      <c r="G192" s="1761"/>
      <c r="H192" s="1761"/>
      <c r="I192" s="1761"/>
      <c r="J192" s="1783"/>
      <c r="K192" s="684">
        <f t="shared" si="153"/>
        <v>1</v>
      </c>
      <c r="L192" s="708">
        <v>1</v>
      </c>
      <c r="M192" s="709">
        <f t="shared" si="169"/>
        <v>1</v>
      </c>
      <c r="N192" s="362">
        <f t="shared" si="159"/>
        <v>1</v>
      </c>
      <c r="O192" s="1763" t="str">
        <f t="shared" si="160"/>
        <v>1SDA067013R1</v>
      </c>
      <c r="P192" s="1764" t="str">
        <f t="shared" si="161"/>
        <v>ITM Caja Moldeada 3x32A (reg.[0.7-1.0] In) - XT2N160-32A-3P-TMD - 65kA@230Vac, 36kA@415Vac - marca ABB.</v>
      </c>
      <c r="Q192" s="120" t="str">
        <f t="shared" si="162"/>
        <v>XT2N160-32A-3P-TMD</v>
      </c>
      <c r="R192" s="185"/>
    </row>
    <row r="193" spans="1:20" s="690" customFormat="1" ht="18" customHeight="1">
      <c r="A193" s="691"/>
      <c r="B193" s="1781">
        <v>1</v>
      </c>
      <c r="C193" s="1420" t="str">
        <f>VLOOKUP(D193,base_datos,6,FALSE)</f>
        <v>Supresor contra sobretensiones (Tipo 1, UL 1449) - OVRHT3C504803D - I_max=50kA por fase, Un=480V,  MCOV=640V (L-G), VPR=2.5kV (L-G) - marca ABB.</v>
      </c>
      <c r="D193" s="1901" t="s">
        <v>12357</v>
      </c>
      <c r="E193" s="1791">
        <f>VLOOKUP(D193,base_datos,5,FALSE)</f>
        <v>386.44</v>
      </c>
      <c r="F193" s="1782">
        <f t="shared" si="173"/>
        <v>386.44</v>
      </c>
      <c r="G193" s="1761"/>
      <c r="H193" s="1761"/>
      <c r="I193" s="1761"/>
      <c r="J193" s="1783"/>
      <c r="K193" s="684">
        <f t="shared" si="153"/>
        <v>1</v>
      </c>
      <c r="L193" s="708">
        <v>1</v>
      </c>
      <c r="M193" s="709">
        <f t="shared" si="169"/>
        <v>1</v>
      </c>
      <c r="N193" s="362">
        <f t="shared" si="159"/>
        <v>1</v>
      </c>
      <c r="O193" s="1763" t="str">
        <f t="shared" si="160"/>
        <v>2CJC605480D0000</v>
      </c>
      <c r="P193" s="1764" t="str">
        <f t="shared" si="161"/>
        <v>Supresor contra sobretensiones (Tipo 1, UL 1449) - OVRHT3C504803D - I_max=50kA por fase, Un=480V,  MCOV=640V (L-G), VPR=2.5kV (L-G) - marca ABB.</v>
      </c>
      <c r="Q193" s="120" t="str">
        <f t="shared" si="162"/>
        <v>OVRHT3C504803D</v>
      </c>
      <c r="R193" s="185"/>
    </row>
    <row r="194" spans="1:20" s="185" customFormat="1" ht="18" customHeight="1">
      <c r="A194" s="1785"/>
      <c r="B194" s="714"/>
      <c r="C194" s="1893" t="s">
        <v>729</v>
      </c>
      <c r="D194" s="173"/>
      <c r="E194" s="1786"/>
      <c r="F194" s="1787"/>
      <c r="G194" s="710"/>
      <c r="H194" s="710"/>
      <c r="I194" s="710"/>
      <c r="J194" s="711"/>
      <c r="K194" s="684">
        <f t="shared" si="153"/>
        <v>1</v>
      </c>
      <c r="L194" s="708">
        <v>1</v>
      </c>
      <c r="M194" s="709">
        <f t="shared" si="169"/>
        <v>1</v>
      </c>
      <c r="N194" s="362" t="str">
        <f t="shared" si="159"/>
        <v/>
      </c>
      <c r="O194" s="1763" t="str">
        <f t="shared" si="160"/>
        <v/>
      </c>
      <c r="P194" s="1764" t="str">
        <f t="shared" si="161"/>
        <v/>
      </c>
      <c r="Q194" s="120" t="str">
        <f t="shared" si="162"/>
        <v/>
      </c>
    </row>
    <row r="195" spans="1:20" s="315" customFormat="1" ht="12.75" customHeight="1">
      <c r="A195" s="2253"/>
      <c r="B195" s="2254">
        <v>1</v>
      </c>
      <c r="C195" s="82" t="s">
        <v>13364</v>
      </c>
      <c r="D195" s="2255"/>
      <c r="E195" s="2256"/>
      <c r="F195" s="2257">
        <f>+SUM(F196:F204)*(B195-1)</f>
        <v>0</v>
      </c>
      <c r="G195" s="712"/>
      <c r="H195" s="712"/>
      <c r="I195" s="712"/>
      <c r="J195" s="713"/>
      <c r="K195" s="684">
        <v>1</v>
      </c>
      <c r="L195" s="2258">
        <v>1</v>
      </c>
      <c r="M195" s="120">
        <f t="shared" si="169"/>
        <v>1</v>
      </c>
      <c r="N195" s="112" t="str">
        <f t="shared" si="159"/>
        <v/>
      </c>
      <c r="O195" s="112" t="str">
        <f t="shared" ref="O195:O208" si="174">IF(D195&lt;&gt;"",IF(VLOOKUP(D195,base_datos,7,FALSE)&lt;&gt;"",VLOOKUP(D195,base_datos,7,FALSE),""),"")</f>
        <v/>
      </c>
      <c r="P195" s="120" t="str">
        <f t="shared" ref="P195:P208" si="175">IF(O195&lt;&gt;"",VLOOKUP(D195,base_datos,6,FALSE),"")</f>
        <v/>
      </c>
      <c r="Q195" s="120" t="str">
        <f t="shared" si="162"/>
        <v/>
      </c>
      <c r="R195" s="2128"/>
      <c r="S195" s="112" t="str">
        <f t="shared" ref="S195:S208" si="176">IF(O195&lt;&gt;"",VLOOKUP(D195,base_datos,9,FALSE),"")</f>
        <v/>
      </c>
      <c r="T195" s="2128"/>
    </row>
    <row r="196" spans="1:20" s="1921" customFormat="1" ht="12.75" customHeight="1">
      <c r="A196" s="2253"/>
      <c r="B196" s="2259">
        <f>B197</f>
        <v>1</v>
      </c>
      <c r="C196" s="81" t="str">
        <f>VLOOKUP(D196,base_datos,6,FALSE)</f>
        <v>Lámpara fluorescente - 230V, 60Hz 13W - modelo CLG, marca FANDIS.</v>
      </c>
      <c r="D196" s="144" t="s">
        <v>3406</v>
      </c>
      <c r="E196" s="2283">
        <f>VLOOKUP(D196,base_datos,5,FALSE)</f>
        <v>66.399999999999991</v>
      </c>
      <c r="F196" s="2260">
        <f>+E196*B196</f>
        <v>66.399999999999991</v>
      </c>
      <c r="G196" s="1919"/>
      <c r="H196" s="1919"/>
      <c r="I196" s="1919"/>
      <c r="J196" s="1920"/>
      <c r="K196" s="684">
        <v>1</v>
      </c>
      <c r="L196" s="2258">
        <v>1</v>
      </c>
      <c r="M196" s="120">
        <f t="shared" si="169"/>
        <v>1</v>
      </c>
      <c r="N196" s="112">
        <f t="shared" si="159"/>
        <v>1</v>
      </c>
      <c r="O196" s="112" t="str">
        <f t="shared" si="174"/>
        <v>LAMP_FLUOR_FAND</v>
      </c>
      <c r="P196" s="120" t="str">
        <f t="shared" si="175"/>
        <v>Lámpara fluorescente - 230V, 60Hz 13W - modelo CLG, marca FANDIS.</v>
      </c>
      <c r="Q196" s="120" t="str">
        <f t="shared" si="162"/>
        <v>LAMP_FLUOR_FAND</v>
      </c>
      <c r="R196" s="2261"/>
      <c r="S196" s="112" t="str">
        <f t="shared" si="176"/>
        <v>FANDIS</v>
      </c>
      <c r="T196" s="2261"/>
    </row>
    <row r="197" spans="1:20" s="185" customFormat="1" ht="12.75" customHeight="1">
      <c r="A197" s="2262"/>
      <c r="B197" s="2263">
        <v>1</v>
      </c>
      <c r="C197" s="2279"/>
      <c r="D197" s="2284"/>
      <c r="E197" s="2260"/>
      <c r="F197" s="2260"/>
      <c r="G197" s="710"/>
      <c r="H197" s="710"/>
      <c r="I197" s="710"/>
      <c r="J197" s="711"/>
      <c r="K197" s="684">
        <v>1</v>
      </c>
      <c r="L197" s="2258">
        <v>1</v>
      </c>
      <c r="M197" s="120">
        <f t="shared" si="169"/>
        <v>1</v>
      </c>
      <c r="N197" s="112" t="str">
        <f t="shared" si="159"/>
        <v/>
      </c>
      <c r="O197" s="112" t="str">
        <f t="shared" si="174"/>
        <v/>
      </c>
      <c r="P197" s="120" t="str">
        <f t="shared" si="175"/>
        <v/>
      </c>
      <c r="Q197" s="120" t="str">
        <f t="shared" si="162"/>
        <v/>
      </c>
      <c r="R197" s="118"/>
      <c r="S197" s="112" t="str">
        <f t="shared" si="176"/>
        <v/>
      </c>
      <c r="T197" s="118"/>
    </row>
    <row r="198" spans="1:20" s="1921" customFormat="1" ht="12.75" customHeight="1">
      <c r="A198" s="2262"/>
      <c r="B198" s="2259">
        <f>B199</f>
        <v>1</v>
      </c>
      <c r="C198" s="81" t="str">
        <f>VLOOKUP(D198,base_datos,6,FALSE)</f>
        <v>Switch de puerta - FC-001.</v>
      </c>
      <c r="D198" s="2296" t="s">
        <v>3408</v>
      </c>
      <c r="E198" s="2283">
        <f>VLOOKUP(D198,base_datos,5,FALSE)</f>
        <v>47.6</v>
      </c>
      <c r="F198" s="2260">
        <f>+E198*B198</f>
        <v>47.6</v>
      </c>
      <c r="G198" s="1919"/>
      <c r="H198" s="1919"/>
      <c r="I198" s="1919"/>
      <c r="J198" s="1920"/>
      <c r="K198" s="684">
        <v>1</v>
      </c>
      <c r="L198" s="2258">
        <v>1</v>
      </c>
      <c r="M198" s="120">
        <f t="shared" si="169"/>
        <v>1</v>
      </c>
      <c r="N198" s="112">
        <f t="shared" si="159"/>
        <v>1</v>
      </c>
      <c r="O198" s="112" t="str">
        <f t="shared" si="174"/>
        <v>LIMIT_SWITCH_FAND</v>
      </c>
      <c r="P198" s="120" t="str">
        <f t="shared" si="175"/>
        <v>Switch de puerta - FC-001.</v>
      </c>
      <c r="Q198" s="120" t="str">
        <f t="shared" si="162"/>
        <v>LIMIT_SWITCH_FAND</v>
      </c>
      <c r="R198" s="2261"/>
      <c r="S198" s="112" t="str">
        <f t="shared" si="176"/>
        <v>FANDIS</v>
      </c>
      <c r="T198" s="2261"/>
    </row>
    <row r="199" spans="1:20" s="185" customFormat="1" ht="12.75" customHeight="1">
      <c r="A199" s="2262"/>
      <c r="B199" s="2263">
        <v>1</v>
      </c>
      <c r="C199" s="2279"/>
      <c r="D199" s="2284"/>
      <c r="E199" s="2260"/>
      <c r="F199" s="2260"/>
      <c r="G199" s="710"/>
      <c r="H199" s="710"/>
      <c r="I199" s="710"/>
      <c r="J199" s="711"/>
      <c r="K199" s="684">
        <v>1</v>
      </c>
      <c r="L199" s="2258">
        <v>1</v>
      </c>
      <c r="M199" s="120">
        <f t="shared" si="169"/>
        <v>1</v>
      </c>
      <c r="N199" s="112" t="str">
        <f t="shared" si="159"/>
        <v/>
      </c>
      <c r="O199" s="112" t="str">
        <f t="shared" si="174"/>
        <v/>
      </c>
      <c r="P199" s="120" t="str">
        <f t="shared" si="175"/>
        <v/>
      </c>
      <c r="Q199" s="120" t="str">
        <f t="shared" si="162"/>
        <v/>
      </c>
      <c r="R199" s="118"/>
      <c r="S199" s="112" t="str">
        <f t="shared" si="176"/>
        <v/>
      </c>
      <c r="T199" s="118"/>
    </row>
    <row r="200" spans="1:20" s="185" customFormat="1" ht="12.75" customHeight="1">
      <c r="A200" s="2262"/>
      <c r="B200" s="2263">
        <v>1</v>
      </c>
      <c r="C200" s="2279" t="str">
        <f>VLOOKUP(D200,base_datos,6,FALSE)</f>
        <v>Contactor 3x09A(AC-3) 1NO+1NC - CTX3-9A - bobina 230Vac - marca Legrand.</v>
      </c>
      <c r="D200" s="2284" t="s">
        <v>10823</v>
      </c>
      <c r="E200" s="2283">
        <f>VLOOKUP(D200,base_datos,5,FALSE)</f>
        <v>40.888738127544087</v>
      </c>
      <c r="F200" s="2260">
        <f>+E200*B200</f>
        <v>40.888738127544087</v>
      </c>
      <c r="G200" s="710"/>
      <c r="H200" s="710"/>
      <c r="I200" s="710"/>
      <c r="J200" s="711"/>
      <c r="K200" s="684">
        <v>1</v>
      </c>
      <c r="L200" s="2258">
        <v>1</v>
      </c>
      <c r="M200" s="120">
        <f t="shared" si="169"/>
        <v>1</v>
      </c>
      <c r="N200" s="112">
        <f t="shared" si="159"/>
        <v>1</v>
      </c>
      <c r="O200" s="112">
        <f t="shared" si="174"/>
        <v>416086</v>
      </c>
      <c r="P200" s="120" t="str">
        <f t="shared" si="175"/>
        <v>Contactor 3x09A(AC-3) 1NO+1NC - CTX3-9A - bobina 230Vac - marca Legrand.</v>
      </c>
      <c r="Q200" s="120" t="str">
        <f t="shared" si="162"/>
        <v>CTX3-9A</v>
      </c>
      <c r="R200" s="118"/>
      <c r="S200" s="112" t="str">
        <f t="shared" si="176"/>
        <v>Legrand</v>
      </c>
      <c r="T200" s="118"/>
    </row>
    <row r="201" spans="1:20" s="1921" customFormat="1" ht="12.75" customHeight="1">
      <c r="A201" s="2262"/>
      <c r="B201" s="2259">
        <v>1</v>
      </c>
      <c r="C201" t="s">
        <v>3361</v>
      </c>
      <c r="D201" s="2265"/>
      <c r="E201" s="2285"/>
      <c r="F201" s="2266"/>
      <c r="G201" s="1919"/>
      <c r="H201" s="1919"/>
      <c r="I201" s="1919"/>
      <c r="J201" s="1920"/>
      <c r="K201" s="684">
        <v>1</v>
      </c>
      <c r="L201" s="2258">
        <v>1</v>
      </c>
      <c r="M201" s="120">
        <f t="shared" si="169"/>
        <v>1</v>
      </c>
      <c r="N201" s="112" t="str">
        <f t="shared" si="159"/>
        <v/>
      </c>
      <c r="O201" s="112" t="str">
        <f t="shared" si="174"/>
        <v/>
      </c>
      <c r="P201" s="120" t="str">
        <f t="shared" si="175"/>
        <v/>
      </c>
      <c r="Q201" s="120" t="str">
        <f t="shared" si="162"/>
        <v/>
      </c>
      <c r="R201" s="2261"/>
      <c r="S201" s="112" t="str">
        <f t="shared" si="176"/>
        <v/>
      </c>
      <c r="T201" s="2261"/>
    </row>
    <row r="202" spans="1:20" s="185" customFormat="1" ht="12.75" customHeight="1">
      <c r="A202" s="2262"/>
      <c r="B202" s="2263">
        <v>1</v>
      </c>
      <c r="C202" s="2279" t="str">
        <f>VLOOKUP(D202,base_datos,6,FALSE)</f>
        <v>Base portafusibles + Fusibles de protección para control.</v>
      </c>
      <c r="D202" s="2267" t="s">
        <v>453</v>
      </c>
      <c r="E202" s="2286">
        <f>VLOOKUP(D202,base_datos,5,FALSE)</f>
        <v>8.1750000000000007</v>
      </c>
      <c r="F202" s="2264">
        <f>+E202*B202</f>
        <v>8.1750000000000007</v>
      </c>
      <c r="G202" s="710"/>
      <c r="H202" s="710"/>
      <c r="I202" s="710"/>
      <c r="J202" s="711"/>
      <c r="K202" s="684">
        <v>1</v>
      </c>
      <c r="L202" s="2258">
        <v>1</v>
      </c>
      <c r="M202" s="120">
        <f t="shared" si="169"/>
        <v>1</v>
      </c>
      <c r="N202" s="112" t="str">
        <f t="shared" si="159"/>
        <v/>
      </c>
      <c r="O202" s="112" t="str">
        <f t="shared" si="174"/>
        <v/>
      </c>
      <c r="P202" s="120" t="str">
        <f t="shared" si="175"/>
        <v/>
      </c>
      <c r="Q202" s="120" t="str">
        <f t="shared" si="162"/>
        <v/>
      </c>
      <c r="R202" s="118"/>
      <c r="S202" s="112" t="str">
        <f t="shared" si="176"/>
        <v/>
      </c>
      <c r="T202" s="118"/>
    </row>
    <row r="203" spans="1:20" s="320" customFormat="1" ht="12.75" customHeight="1">
      <c r="A203" s="2262"/>
      <c r="B203" s="2263">
        <v>1</v>
      </c>
      <c r="C203" s="2279" t="str">
        <f>VLOOKUP(D203,base_datos,6,FALSE)</f>
        <v>Borne 4mm2.</v>
      </c>
      <c r="D203" s="2267" t="s">
        <v>437</v>
      </c>
      <c r="E203" s="2286">
        <f>VLOOKUP(D203,base_datos,5,FALSE)</f>
        <v>2.5</v>
      </c>
      <c r="F203" s="2264">
        <f>+E203*B203</f>
        <v>2.5</v>
      </c>
      <c r="G203" s="1924"/>
      <c r="H203" s="1924"/>
      <c r="I203" s="1924"/>
      <c r="J203" s="722"/>
      <c r="K203" s="684">
        <v>1</v>
      </c>
      <c r="L203" s="2258">
        <v>1</v>
      </c>
      <c r="M203" s="120">
        <f t="shared" ref="M203" si="177">IF(B203="",1,B203)</f>
        <v>1</v>
      </c>
      <c r="N203" s="112" t="str">
        <f t="shared" ref="N203" si="178">IF(O203&lt;&gt;"",K203*L203*M203,"")</f>
        <v/>
      </c>
      <c r="O203" s="112" t="str">
        <f t="shared" ref="O203" si="179">IF(D203&lt;&gt;"",IF(VLOOKUP(D203,base_datos,7,FALSE)&lt;&gt;"",VLOOKUP(D203,base_datos,7,FALSE),""),"")</f>
        <v/>
      </c>
      <c r="P203" s="120" t="str">
        <f t="shared" ref="P203" si="180">IF(O203&lt;&gt;"",VLOOKUP(D203,base_datos,6,FALSE),"")</f>
        <v/>
      </c>
      <c r="Q203" s="120" t="str">
        <f t="shared" ref="Q203" si="181">IF(O203&lt;&gt;"",D203,"")</f>
        <v/>
      </c>
      <c r="R203" s="709"/>
      <c r="S203" s="112" t="str">
        <f t="shared" ref="S203" si="182">IF(O203&lt;&gt;"",VLOOKUP(D203,base_datos,9,FALSE),"")</f>
        <v/>
      </c>
      <c r="T203" s="709"/>
    </row>
    <row r="204" spans="1:20" s="320" customFormat="1" ht="12.75" customHeight="1">
      <c r="A204" s="2262"/>
      <c r="B204" s="2263">
        <v>1</v>
      </c>
      <c r="C204" s="2279" t="str">
        <f>VLOOKUP(D204,base_datos,6,FALSE)</f>
        <v>Borne para neutro.</v>
      </c>
      <c r="D204" s="2267" t="s">
        <v>436</v>
      </c>
      <c r="E204" s="2286">
        <f>VLOOKUP(D204,base_datos,5,FALSE)</f>
        <v>4</v>
      </c>
      <c r="F204" s="2264">
        <f>+E204*B204</f>
        <v>4</v>
      </c>
      <c r="G204" s="1924"/>
      <c r="H204" s="1924"/>
      <c r="I204" s="1924"/>
      <c r="J204" s="722"/>
      <c r="K204" s="684">
        <v>1</v>
      </c>
      <c r="L204" s="2258">
        <v>1</v>
      </c>
      <c r="M204" s="120">
        <f t="shared" si="169"/>
        <v>1</v>
      </c>
      <c r="N204" s="112" t="str">
        <f t="shared" si="159"/>
        <v/>
      </c>
      <c r="O204" s="112" t="str">
        <f t="shared" si="174"/>
        <v/>
      </c>
      <c r="P204" s="120" t="str">
        <f t="shared" si="175"/>
        <v/>
      </c>
      <c r="Q204" s="120" t="str">
        <f t="shared" si="162"/>
        <v/>
      </c>
      <c r="R204" s="709"/>
      <c r="S204" s="112" t="str">
        <f t="shared" si="176"/>
        <v/>
      </c>
      <c r="T204" s="709"/>
    </row>
    <row r="205" spans="1:20" s="19" customFormat="1" ht="21.9" customHeight="1">
      <c r="A205" s="2262"/>
      <c r="B205" s="2268"/>
      <c r="C205" s="2280" t="s">
        <v>13365</v>
      </c>
      <c r="D205" s="169"/>
      <c r="E205" s="2269"/>
      <c r="F205" s="2290"/>
      <c r="I205" s="137"/>
      <c r="J205" s="2270"/>
      <c r="K205" s="684">
        <v>1</v>
      </c>
      <c r="L205" s="2258">
        <v>1</v>
      </c>
      <c r="M205" s="120">
        <f t="shared" si="169"/>
        <v>1</v>
      </c>
      <c r="N205" s="112" t="str">
        <f t="shared" si="159"/>
        <v/>
      </c>
      <c r="O205" s="112" t="str">
        <f t="shared" si="174"/>
        <v/>
      </c>
      <c r="P205" s="120" t="str">
        <f t="shared" si="175"/>
        <v/>
      </c>
      <c r="Q205" s="120" t="str">
        <f t="shared" si="162"/>
        <v/>
      </c>
      <c r="R205" s="161"/>
      <c r="S205" s="112" t="str">
        <f t="shared" si="176"/>
        <v/>
      </c>
      <c r="T205" s="161"/>
    </row>
    <row r="206" spans="1:20" s="315" customFormat="1" ht="12.75" customHeight="1">
      <c r="A206" s="2271"/>
      <c r="B206" s="2272">
        <v>1</v>
      </c>
      <c r="C206" s="2281" t="s">
        <v>13366</v>
      </c>
      <c r="D206" s="1935"/>
      <c r="E206" s="2287"/>
      <c r="F206" s="2257">
        <f>+SUM(F207:F210)*(B206-1)</f>
        <v>0</v>
      </c>
      <c r="G206" s="712"/>
      <c r="H206" s="712"/>
      <c r="I206" s="712"/>
      <c r="J206" s="713"/>
      <c r="K206" s="684">
        <v>1</v>
      </c>
      <c r="L206" s="2258">
        <v>1</v>
      </c>
      <c r="M206" s="120">
        <f t="shared" si="169"/>
        <v>1</v>
      </c>
      <c r="N206" s="112" t="str">
        <f t="shared" si="159"/>
        <v/>
      </c>
      <c r="O206" s="112" t="str">
        <f t="shared" si="174"/>
        <v/>
      </c>
      <c r="P206" s="120" t="str">
        <f t="shared" si="175"/>
        <v/>
      </c>
      <c r="Q206" s="120" t="str">
        <f t="shared" si="162"/>
        <v/>
      </c>
      <c r="S206" s="112" t="str">
        <f t="shared" si="176"/>
        <v/>
      </c>
      <c r="T206" s="2128"/>
    </row>
    <row r="207" spans="1:20" s="690" customFormat="1" ht="18" customHeight="1">
      <c r="A207" s="2273"/>
      <c r="B207" s="1781">
        <v>1</v>
      </c>
      <c r="C207" s="1420" t="str">
        <f t="shared" ref="C207:C208" si="183">VLOOKUP(D207,base_datos,6,FALSE)</f>
        <v>Calefactor resistivo 60W, modelo RACM - marca FANDIS.</v>
      </c>
      <c r="D207" s="1899" t="s">
        <v>3298</v>
      </c>
      <c r="E207" s="2288">
        <f t="shared" ref="E207" si="184">VLOOKUP(D207,base_datos,5,FALSE)</f>
        <v>127.1</v>
      </c>
      <c r="F207" s="1782">
        <f>+E207*B207</f>
        <v>127.1</v>
      </c>
      <c r="G207" s="1761"/>
      <c r="H207" s="1761"/>
      <c r="I207" s="1761"/>
      <c r="J207" s="689"/>
      <c r="K207" s="684">
        <v>1</v>
      </c>
      <c r="L207" s="2258">
        <v>1</v>
      </c>
      <c r="M207" s="120">
        <f t="shared" si="169"/>
        <v>1</v>
      </c>
      <c r="N207" s="112">
        <f t="shared" si="159"/>
        <v>1</v>
      </c>
      <c r="O207" s="112" t="str">
        <f t="shared" si="174"/>
        <v>RACM-60</v>
      </c>
      <c r="P207" s="120" t="str">
        <f t="shared" si="175"/>
        <v>Calefactor resistivo 60W, modelo RACM - marca FANDIS.</v>
      </c>
      <c r="Q207" s="120" t="str">
        <f t="shared" si="162"/>
        <v>CALEFACT-60W_FAND</v>
      </c>
      <c r="S207" s="112" t="str">
        <f t="shared" si="176"/>
        <v>FANDIS</v>
      </c>
      <c r="T207" s="1765"/>
    </row>
    <row r="208" spans="1:20" s="690" customFormat="1" ht="18" customHeight="1">
      <c r="A208" s="2273"/>
      <c r="B208" s="1781">
        <v>1</v>
      </c>
      <c r="C208" s="1420" t="str">
        <f t="shared" si="183"/>
        <v>Termostato para ventilación - 1NA - 230V - marca FANDIS.</v>
      </c>
      <c r="D208" s="1899" t="s">
        <v>3294</v>
      </c>
      <c r="E208" s="2288">
        <f t="shared" ref="E208" si="185">VLOOKUP(D208,base_datos,5,FALSE)</f>
        <v>41.58</v>
      </c>
      <c r="F208" s="1782">
        <f>+E208*B208</f>
        <v>41.58</v>
      </c>
      <c r="G208" s="1761"/>
      <c r="H208" s="1761"/>
      <c r="I208" s="1761"/>
      <c r="J208" s="689"/>
      <c r="K208" s="684">
        <v>1</v>
      </c>
      <c r="L208" s="2258">
        <v>1</v>
      </c>
      <c r="M208" s="120">
        <f t="shared" si="169"/>
        <v>1</v>
      </c>
      <c r="N208" s="112">
        <f t="shared" si="159"/>
        <v>1</v>
      </c>
      <c r="O208" s="112" t="str">
        <f t="shared" si="174"/>
        <v>TRT-10A230V-NO</v>
      </c>
      <c r="P208" s="120" t="str">
        <f t="shared" si="175"/>
        <v>Termostato para ventilación - 1NA - 230V - marca FANDIS.</v>
      </c>
      <c r="Q208" s="120" t="str">
        <f t="shared" si="162"/>
        <v>TRT-1NA</v>
      </c>
      <c r="S208" s="112" t="str">
        <f t="shared" si="176"/>
        <v>FANDIS</v>
      </c>
      <c r="T208" s="1765"/>
    </row>
    <row r="209" spans="1:20" s="320" customFormat="1" ht="12.75" customHeight="1">
      <c r="A209" s="2274"/>
      <c r="B209" s="2275">
        <v>1</v>
      </c>
      <c r="C209" s="2282" t="str">
        <f t="shared" ref="C209:C210" si="186">VLOOKUP(D209,base_datos,6,FALSE)</f>
        <v>Base portafusibles + Fusibles de protección para control.</v>
      </c>
      <c r="D209" s="1579" t="s">
        <v>453</v>
      </c>
      <c r="E209" s="2289">
        <f t="shared" ref="E209:E210" si="187">VLOOKUP(D209,base_datos,5,FALSE)</f>
        <v>8.1750000000000007</v>
      </c>
      <c r="F209" s="2264">
        <f>+E209*B209</f>
        <v>8.1750000000000007</v>
      </c>
      <c r="G209" s="2276"/>
      <c r="H209" s="2276"/>
      <c r="I209" s="2276"/>
      <c r="J209" s="722"/>
      <c r="K209" s="684">
        <v>1</v>
      </c>
      <c r="L209" s="2258">
        <v>1</v>
      </c>
      <c r="M209" s="120">
        <f t="shared" si="169"/>
        <v>1</v>
      </c>
      <c r="N209" s="112" t="str">
        <f t="shared" si="159"/>
        <v/>
      </c>
      <c r="O209" s="112" t="str">
        <f t="shared" ref="O209:O211" si="188">IF(D209&lt;&gt;"",IF(VLOOKUP(D209,base_datos,7,FALSE)&lt;&gt;"",VLOOKUP(D209,base_datos,7,FALSE),""),"")</f>
        <v/>
      </c>
      <c r="P209" s="120" t="str">
        <f t="shared" ref="P209:P211" si="189">IF(O209&lt;&gt;"",VLOOKUP(D209,base_datos,6,FALSE),"")</f>
        <v/>
      </c>
      <c r="Q209" s="120" t="str">
        <f t="shared" si="162"/>
        <v/>
      </c>
      <c r="R209" s="185"/>
      <c r="S209" s="112" t="str">
        <f t="shared" ref="S209:S211" si="190">IF(O209&lt;&gt;"",VLOOKUP(D209,base_datos,9,FALSE),"")</f>
        <v/>
      </c>
      <c r="T209" s="709"/>
    </row>
    <row r="210" spans="1:20" s="320" customFormat="1" ht="12.75" customHeight="1">
      <c r="A210" s="2274"/>
      <c r="B210" s="2277">
        <v>1</v>
      </c>
      <c r="C210" s="2282" t="str">
        <f t="shared" si="186"/>
        <v>Borne 4mm2.</v>
      </c>
      <c r="D210" s="1579" t="s">
        <v>437</v>
      </c>
      <c r="E210" s="2260">
        <f t="shared" si="187"/>
        <v>2.5</v>
      </c>
      <c r="F210" s="2260">
        <f>+E210*B210</f>
        <v>2.5</v>
      </c>
      <c r="G210" s="2276"/>
      <c r="H210" s="2276"/>
      <c r="I210" s="2276"/>
      <c r="J210" s="722"/>
      <c r="K210" s="684">
        <v>1</v>
      </c>
      <c r="L210" s="2258">
        <v>1</v>
      </c>
      <c r="M210" s="120">
        <f t="shared" si="169"/>
        <v>1</v>
      </c>
      <c r="N210" s="112" t="str">
        <f t="shared" si="159"/>
        <v/>
      </c>
      <c r="O210" s="112" t="str">
        <f t="shared" si="188"/>
        <v/>
      </c>
      <c r="P210" s="120" t="str">
        <f t="shared" si="189"/>
        <v/>
      </c>
      <c r="Q210" s="120" t="str">
        <f t="shared" si="162"/>
        <v/>
      </c>
      <c r="R210" s="185"/>
      <c r="S210" s="112" t="str">
        <f t="shared" si="190"/>
        <v/>
      </c>
      <c r="T210" s="709"/>
    </row>
    <row r="211" spans="1:20" s="185" customFormat="1" ht="12.75" customHeight="1">
      <c r="A211" s="2262"/>
      <c r="B211" s="1760"/>
      <c r="C211" s="2280" t="s">
        <v>13365</v>
      </c>
      <c r="D211" s="169"/>
      <c r="E211" s="2256"/>
      <c r="F211" s="2278"/>
      <c r="G211" s="710"/>
      <c r="H211" s="710"/>
      <c r="I211" s="710"/>
      <c r="J211" s="711"/>
      <c r="K211" s="684">
        <v>1</v>
      </c>
      <c r="L211" s="2258">
        <v>1</v>
      </c>
      <c r="M211" s="120">
        <f t="shared" si="169"/>
        <v>1</v>
      </c>
      <c r="N211" s="112" t="str">
        <f t="shared" si="159"/>
        <v/>
      </c>
      <c r="O211" s="112" t="str">
        <f t="shared" si="188"/>
        <v/>
      </c>
      <c r="P211" s="120" t="str">
        <f t="shared" si="189"/>
        <v/>
      </c>
      <c r="Q211" s="120" t="str">
        <f t="shared" si="162"/>
        <v/>
      </c>
      <c r="S211" s="112" t="str">
        <f t="shared" si="190"/>
        <v/>
      </c>
      <c r="T211" s="118"/>
    </row>
    <row r="212" spans="1:20" s="1236" customFormat="1" ht="18" customHeight="1">
      <c r="A212" s="1767"/>
      <c r="B212" s="1853">
        <v>1</v>
      </c>
      <c r="C212" s="1895" t="s">
        <v>12366</v>
      </c>
      <c r="D212" s="1902"/>
      <c r="E212" s="1792"/>
      <c r="F212" s="1793"/>
      <c r="G212" s="1784"/>
      <c r="H212" s="1784"/>
      <c r="I212" s="1784"/>
      <c r="J212" s="1182"/>
      <c r="K212" s="684">
        <f>+K194</f>
        <v>1</v>
      </c>
      <c r="L212" s="708">
        <v>1</v>
      </c>
      <c r="M212" s="709">
        <f t="shared" si="169"/>
        <v>1</v>
      </c>
      <c r="N212" s="362" t="str">
        <f t="shared" si="159"/>
        <v/>
      </c>
      <c r="O212" s="1763" t="str">
        <f t="shared" si="160"/>
        <v/>
      </c>
      <c r="P212" s="1764" t="str">
        <f t="shared" si="161"/>
        <v/>
      </c>
      <c r="Q212" s="120" t="str">
        <f t="shared" si="162"/>
        <v/>
      </c>
      <c r="R212" s="185"/>
    </row>
    <row r="213" spans="1:20" s="120" customFormat="1" ht="18" customHeight="1">
      <c r="A213" s="687"/>
      <c r="B213" s="1945">
        <v>2</v>
      </c>
      <c r="C213" s="1848" t="str">
        <f>VLOOKUP(D213,base_datos,6,FALSE)</f>
        <v>Transformador de tensión monofásico 480 / 240 Vac - 50VA.</v>
      </c>
      <c r="D213" s="1898" t="s">
        <v>8587</v>
      </c>
      <c r="E213" s="1581">
        <f>VLOOKUP(D213,base_datos,5,FALSE)</f>
        <v>76.8</v>
      </c>
      <c r="F213" s="1581">
        <f>+E213*B213</f>
        <v>153.6</v>
      </c>
      <c r="G213" s="686"/>
      <c r="H213" s="686"/>
      <c r="I213" s="686"/>
      <c r="J213" s="1768"/>
      <c r="K213" s="684">
        <f t="shared" si="153"/>
        <v>1</v>
      </c>
      <c r="L213" s="708">
        <v>1</v>
      </c>
      <c r="M213" s="709">
        <f t="shared" si="169"/>
        <v>2</v>
      </c>
      <c r="N213" s="362" t="str">
        <f t="shared" si="159"/>
        <v/>
      </c>
      <c r="O213" s="1763" t="str">
        <f t="shared" si="160"/>
        <v/>
      </c>
      <c r="P213" s="1764" t="str">
        <f t="shared" si="161"/>
        <v/>
      </c>
      <c r="Q213" s="120" t="str">
        <f t="shared" si="162"/>
        <v/>
      </c>
      <c r="R213" s="185"/>
    </row>
    <row r="214" spans="1:20" s="120" customFormat="1" ht="18" customHeight="1">
      <c r="A214" s="687"/>
      <c r="B214" s="1945">
        <v>1</v>
      </c>
      <c r="C214" s="1848" t="str">
        <f>VLOOKUP(D214,base_datos,6,FALSE)</f>
        <v>Transformador de tensión monofásico 480 / 240 Vac - 200VA.</v>
      </c>
      <c r="D214" s="1898" t="s">
        <v>5173</v>
      </c>
      <c r="E214" s="1581">
        <f>VLOOKUP(D214,base_datos,5,FALSE)</f>
        <v>89.5</v>
      </c>
      <c r="F214" s="1581">
        <f>+E214*B214</f>
        <v>89.5</v>
      </c>
      <c r="G214" s="686"/>
      <c r="H214" s="686"/>
      <c r="I214" s="686"/>
      <c r="J214" s="1768"/>
      <c r="K214" s="684">
        <f t="shared" si="153"/>
        <v>1</v>
      </c>
      <c r="L214" s="708">
        <v>1</v>
      </c>
      <c r="M214" s="709">
        <f t="shared" si="169"/>
        <v>1</v>
      </c>
      <c r="N214" s="362" t="str">
        <f t="shared" si="159"/>
        <v/>
      </c>
      <c r="O214" s="1763" t="str">
        <f t="shared" si="160"/>
        <v/>
      </c>
      <c r="P214" s="1764" t="str">
        <f t="shared" si="161"/>
        <v/>
      </c>
      <c r="Q214" s="120" t="str">
        <f t="shared" si="162"/>
        <v/>
      </c>
      <c r="R214" s="185"/>
    </row>
    <row r="215" spans="1:20" s="185" customFormat="1" ht="18" customHeight="1">
      <c r="A215" s="1785"/>
      <c r="B215" s="714"/>
      <c r="C215" s="1893" t="s">
        <v>729</v>
      </c>
      <c r="D215" s="173"/>
      <c r="E215" s="1786"/>
      <c r="F215" s="1787"/>
      <c r="G215" s="710"/>
      <c r="H215" s="710"/>
      <c r="I215" s="710"/>
      <c r="J215" s="711"/>
      <c r="K215" s="684">
        <f t="shared" si="153"/>
        <v>1</v>
      </c>
      <c r="L215" s="708">
        <v>1</v>
      </c>
      <c r="M215" s="709">
        <f t="shared" si="169"/>
        <v>1</v>
      </c>
      <c r="N215" s="362" t="str">
        <f t="shared" si="159"/>
        <v/>
      </c>
      <c r="O215" s="1763" t="str">
        <f t="shared" si="160"/>
        <v/>
      </c>
      <c r="P215" s="1764" t="str">
        <f t="shared" si="161"/>
        <v/>
      </c>
      <c r="Q215" s="120" t="str">
        <f t="shared" si="162"/>
        <v/>
      </c>
    </row>
    <row r="216" spans="1:20" s="1236" customFormat="1" ht="18" customHeight="1">
      <c r="A216" s="1767"/>
      <c r="B216" s="1853">
        <v>1</v>
      </c>
      <c r="C216" s="1895" t="s">
        <v>12364</v>
      </c>
      <c r="D216" s="1902"/>
      <c r="E216" s="1792"/>
      <c r="F216" s="1793"/>
      <c r="G216" s="1784"/>
      <c r="H216" s="1784"/>
      <c r="I216" s="1784"/>
      <c r="J216" s="1182"/>
      <c r="K216" s="684">
        <f t="shared" si="153"/>
        <v>1</v>
      </c>
      <c r="L216" s="708">
        <v>1</v>
      </c>
      <c r="M216" s="709">
        <f t="shared" si="169"/>
        <v>1</v>
      </c>
      <c r="N216" s="362" t="str">
        <f t="shared" si="159"/>
        <v/>
      </c>
      <c r="O216" s="1763" t="str">
        <f t="shared" si="160"/>
        <v/>
      </c>
      <c r="P216" s="1764" t="str">
        <f t="shared" si="161"/>
        <v/>
      </c>
      <c r="Q216" s="120" t="str">
        <f t="shared" si="162"/>
        <v/>
      </c>
      <c r="R216" s="185"/>
    </row>
    <row r="217" spans="1:20" s="695" customFormat="1" ht="18" customHeight="1">
      <c r="A217" s="693"/>
      <c r="B217" s="1922">
        <v>1</v>
      </c>
      <c r="C217" s="1848" t="str">
        <f t="shared" ref="C217" si="191">VLOOKUP(D217,base_datos,6,FALSE)</f>
        <v>Placa lamicoid rotulación de 3mm de espesor, fondo negro y letras blancas.</v>
      </c>
      <c r="D217" s="1886" t="s">
        <v>8567</v>
      </c>
      <c r="E217" s="1795">
        <f t="shared" ref="E217" si="192">VLOOKUP(D217,base_datos,5,FALSE)</f>
        <v>8.6999999999999993</v>
      </c>
      <c r="F217" s="1796">
        <f t="shared" ref="F217" si="193">+E217*B217</f>
        <v>8.6999999999999993</v>
      </c>
      <c r="G217" s="696"/>
      <c r="H217" s="696"/>
      <c r="I217" s="696"/>
      <c r="J217" s="697"/>
      <c r="K217" s="684">
        <f t="shared" si="153"/>
        <v>1</v>
      </c>
      <c r="L217" s="708">
        <v>1</v>
      </c>
      <c r="M217" s="709">
        <f t="shared" si="169"/>
        <v>1</v>
      </c>
      <c r="N217" s="362">
        <f t="shared" si="159"/>
        <v>1</v>
      </c>
      <c r="O217" s="1763" t="str">
        <f t="shared" si="160"/>
        <v>Placa lamicoid p/autosop.</v>
      </c>
      <c r="P217" s="1764" t="str">
        <f t="shared" si="161"/>
        <v>Placa lamicoid rotulación de 3mm de espesor, fondo negro y letras blancas.</v>
      </c>
      <c r="Q217" s="120" t="str">
        <f t="shared" si="162"/>
        <v>Placa lamicoid p/autosop.</v>
      </c>
      <c r="R217" s="185"/>
    </row>
    <row r="218" spans="1:20" s="1236" customFormat="1" ht="18" customHeight="1">
      <c r="A218" s="1767"/>
      <c r="B218" s="1853">
        <v>1</v>
      </c>
      <c r="C218" s="1895" t="s">
        <v>12363</v>
      </c>
      <c r="D218" s="1902"/>
      <c r="E218" s="1792">
        <v>15</v>
      </c>
      <c r="F218" s="1793">
        <v>15</v>
      </c>
      <c r="G218" s="1784"/>
      <c r="H218" s="1784"/>
      <c r="I218" s="1784"/>
      <c r="J218" s="1182"/>
      <c r="K218" s="684">
        <f t="shared" si="153"/>
        <v>1</v>
      </c>
      <c r="L218" s="708">
        <v>1</v>
      </c>
      <c r="M218" s="709">
        <f t="shared" si="169"/>
        <v>1</v>
      </c>
      <c r="N218" s="362" t="str">
        <f t="shared" si="159"/>
        <v/>
      </c>
      <c r="O218" s="1763" t="str">
        <f t="shared" si="160"/>
        <v/>
      </c>
      <c r="P218" s="1764" t="str">
        <f t="shared" si="161"/>
        <v/>
      </c>
      <c r="Q218" s="120" t="str">
        <f t="shared" si="162"/>
        <v/>
      </c>
      <c r="R218" s="185"/>
    </row>
    <row r="219" spans="1:20" s="1236" customFormat="1" ht="18" customHeight="1">
      <c r="A219" s="1767"/>
      <c r="B219" s="1853">
        <v>1</v>
      </c>
      <c r="C219" s="1895" t="s">
        <v>12475</v>
      </c>
      <c r="D219" s="1902"/>
      <c r="E219" s="1795"/>
      <c r="F219" s="1796"/>
      <c r="G219" s="1784"/>
      <c r="H219" s="1784"/>
      <c r="I219" s="1784"/>
      <c r="J219" s="1182"/>
      <c r="K219" s="684">
        <f t="shared" si="153"/>
        <v>1</v>
      </c>
      <c r="L219" s="708">
        <v>1</v>
      </c>
      <c r="M219" s="709">
        <f t="shared" si="169"/>
        <v>1</v>
      </c>
      <c r="N219" s="362" t="str">
        <f t="shared" si="159"/>
        <v/>
      </c>
      <c r="O219" s="1763" t="str">
        <f t="shared" si="160"/>
        <v/>
      </c>
      <c r="P219" s="1764" t="str">
        <f t="shared" si="161"/>
        <v/>
      </c>
      <c r="Q219" s="120" t="str">
        <f t="shared" si="162"/>
        <v/>
      </c>
      <c r="R219" s="185"/>
    </row>
    <row r="220" spans="1:20" s="1236" customFormat="1" ht="18" customHeight="1">
      <c r="A220" s="1767"/>
      <c r="B220" s="1853">
        <v>1</v>
      </c>
      <c r="C220" s="1848" t="str">
        <f>VLOOKUP(D220,base_datos,6,FALSE)</f>
        <v>Embalaje especial completamente cerrado para tablero autosoportado de 2100x800x800mm</v>
      </c>
      <c r="D220" s="1902" t="s">
        <v>12450</v>
      </c>
      <c r="E220" s="1795">
        <f t="shared" ref="E220" si="194">VLOOKUP(D220,base_datos,5,FALSE)</f>
        <v>312.08</v>
      </c>
      <c r="F220" s="1796">
        <f t="shared" ref="F220" si="195">+E220*B220</f>
        <v>312.08</v>
      </c>
      <c r="G220" s="1784"/>
      <c r="H220" s="1784"/>
      <c r="I220" s="1784"/>
      <c r="J220" s="1182"/>
      <c r="K220" s="684">
        <f t="shared" si="153"/>
        <v>1</v>
      </c>
      <c r="L220" s="708">
        <v>1</v>
      </c>
      <c r="M220" s="709">
        <f t="shared" si="169"/>
        <v>1</v>
      </c>
      <c r="N220" s="362">
        <f t="shared" si="159"/>
        <v>1</v>
      </c>
      <c r="O220" s="1763" t="str">
        <f t="shared" si="160"/>
        <v>EMBAL_AUTOS_2100x800x800mm</v>
      </c>
      <c r="P220" s="1764" t="str">
        <f t="shared" si="161"/>
        <v>Embalaje especial completamente cerrado para tablero autosoportado de 2100x800x800mm</v>
      </c>
      <c r="Q220" s="120" t="str">
        <f t="shared" si="162"/>
        <v>EMBAL_AUTOS_2100x800x800mm</v>
      </c>
      <c r="R220" s="185"/>
    </row>
    <row r="221" spans="1:20" s="185" customFormat="1" ht="18" customHeight="1">
      <c r="A221" s="1785"/>
      <c r="B221" s="714"/>
      <c r="C221" s="1893" t="s">
        <v>729</v>
      </c>
      <c r="D221" s="173"/>
      <c r="E221" s="1786"/>
      <c r="F221" s="1787"/>
      <c r="G221" s="710"/>
      <c r="H221" s="710"/>
      <c r="I221" s="710"/>
      <c r="J221" s="711"/>
      <c r="K221" s="684">
        <f t="shared" si="153"/>
        <v>1</v>
      </c>
      <c r="L221" s="708">
        <v>1</v>
      </c>
      <c r="M221" s="709">
        <f t="shared" si="169"/>
        <v>1</v>
      </c>
      <c r="N221" s="362" t="str">
        <f t="shared" si="159"/>
        <v/>
      </c>
      <c r="O221" s="1763" t="str">
        <f t="shared" si="160"/>
        <v/>
      </c>
      <c r="P221" s="1764" t="str">
        <f t="shared" si="161"/>
        <v/>
      </c>
      <c r="Q221" s="120" t="str">
        <f t="shared" si="162"/>
        <v/>
      </c>
    </row>
    <row r="222" spans="1:20" s="695" customFormat="1" ht="18" customHeight="1">
      <c r="A222" s="693"/>
      <c r="B222" s="1794">
        <v>1</v>
      </c>
      <c r="C222" s="1420" t="str">
        <f t="shared" ref="C222" si="196">VLOOKUP(D222,base_datos,6,FALSE)</f>
        <v>Barra a tierra.</v>
      </c>
      <c r="D222" s="1790" t="s">
        <v>3272</v>
      </c>
      <c r="E222" s="1795">
        <f t="shared" ref="E222" si="197">VLOOKUP(D222,base_datos,5,FALSE)</f>
        <v>30</v>
      </c>
      <c r="F222" s="1796">
        <f t="shared" ref="F222:F229" si="198">+E222*B222</f>
        <v>30</v>
      </c>
      <c r="G222" s="696"/>
      <c r="H222" s="696"/>
      <c r="I222" s="696"/>
      <c r="J222" s="697"/>
      <c r="K222" s="684">
        <f t="shared" si="153"/>
        <v>1</v>
      </c>
      <c r="L222" s="708">
        <v>1</v>
      </c>
      <c r="M222" s="709">
        <f t="shared" si="169"/>
        <v>1</v>
      </c>
      <c r="N222" s="362" t="str">
        <f t="shared" si="159"/>
        <v/>
      </c>
      <c r="O222" s="1763" t="str">
        <f t="shared" si="160"/>
        <v/>
      </c>
      <c r="P222" s="1764" t="str">
        <f t="shared" si="161"/>
        <v/>
      </c>
      <c r="Q222" s="120" t="str">
        <f t="shared" si="162"/>
        <v/>
      </c>
      <c r="R222" s="185"/>
    </row>
    <row r="223" spans="1:20" s="185" customFormat="1" ht="18" customHeight="1">
      <c r="A223" s="1785"/>
      <c r="B223" s="714"/>
      <c r="C223" s="1893" t="s">
        <v>729</v>
      </c>
      <c r="D223" s="173"/>
      <c r="E223" s="1786"/>
      <c r="F223" s="1787"/>
      <c r="G223" s="710"/>
      <c r="H223" s="710"/>
      <c r="I223" s="710"/>
      <c r="J223" s="711"/>
      <c r="K223" s="684">
        <f t="shared" si="153"/>
        <v>1</v>
      </c>
      <c r="L223" s="708">
        <v>1</v>
      </c>
      <c r="M223" s="709">
        <f t="shared" si="169"/>
        <v>1</v>
      </c>
      <c r="N223" s="362" t="str">
        <f t="shared" ref="N223" si="199">IF(O223&lt;&gt;"",K223*L223*M223,"")</f>
        <v/>
      </c>
      <c r="O223" s="1763" t="str">
        <f t="shared" ref="O223" si="200">IF(D223&lt;&gt;"",IF(VLOOKUP(D223,base_datos,7,FALSE)&lt;&gt;"",VLOOKUP(D223,base_datos,7,FALSE),""),"")</f>
        <v/>
      </c>
      <c r="P223" s="1764" t="str">
        <f t="shared" ref="P223" si="201">IF(O223&lt;&gt;"",VLOOKUP(D223,base_datos,6,FALSE),"")</f>
        <v/>
      </c>
      <c r="Q223" s="120" t="str">
        <f t="shared" ref="Q223" si="202">IF(O223&lt;&gt;"",D223,"")</f>
        <v/>
      </c>
    </row>
    <row r="224" spans="1:20" s="897" customFormat="1" ht="18" customHeight="1">
      <c r="A224" s="693"/>
      <c r="B224" s="895">
        <v>6</v>
      </c>
      <c r="C224" s="1848" t="str">
        <f>VLOOKUP(D224,base_datos,6,FALSE)</f>
        <v>Rotulado por circuito.</v>
      </c>
      <c r="D224" s="1579" t="s">
        <v>3067</v>
      </c>
      <c r="E224" s="1581">
        <f>VLOOKUP(D224,base_datos,5,FALSE)</f>
        <v>0.7</v>
      </c>
      <c r="F224" s="1581">
        <f t="shared" si="198"/>
        <v>4.1999999999999993</v>
      </c>
      <c r="G224" s="1772"/>
      <c r="H224" s="1772"/>
      <c r="I224" s="1772"/>
      <c r="J224" s="896"/>
      <c r="K224" s="684">
        <f t="shared" si="153"/>
        <v>1</v>
      </c>
      <c r="L224" s="708">
        <v>1</v>
      </c>
      <c r="M224" s="709">
        <f t="shared" si="169"/>
        <v>6</v>
      </c>
      <c r="N224" s="362" t="str">
        <f t="shared" si="159"/>
        <v/>
      </c>
      <c r="O224" s="1763" t="str">
        <f t="shared" si="160"/>
        <v/>
      </c>
      <c r="P224" s="1764" t="str">
        <f t="shared" si="161"/>
        <v/>
      </c>
      <c r="Q224" s="120" t="str">
        <f t="shared" si="162"/>
        <v/>
      </c>
    </row>
    <row r="225" spans="1:18" s="897" customFormat="1" ht="18" customHeight="1">
      <c r="A225" s="693"/>
      <c r="B225" s="895">
        <v>1</v>
      </c>
      <c r="C225" s="1848" t="str">
        <f>VLOOKUP(D225,base_datos,6,FALSE)</f>
        <v>Rotulado para TAG - Gabinete autosoportado.</v>
      </c>
      <c r="D225" s="1579" t="s">
        <v>3065</v>
      </c>
      <c r="E225" s="1581">
        <f>VLOOKUP(D225,base_datos,5,FALSE)</f>
        <v>3</v>
      </c>
      <c r="F225" s="1581">
        <f t="shared" si="198"/>
        <v>3</v>
      </c>
      <c r="G225" s="1772"/>
      <c r="H225" s="1772"/>
      <c r="I225" s="1772"/>
      <c r="J225" s="896"/>
      <c r="K225" s="684">
        <f t="shared" si="153"/>
        <v>1</v>
      </c>
      <c r="L225" s="708">
        <v>1</v>
      </c>
      <c r="M225" s="709">
        <f t="shared" si="169"/>
        <v>1</v>
      </c>
      <c r="N225" s="362" t="str">
        <f t="shared" si="159"/>
        <v/>
      </c>
      <c r="O225" s="1763" t="str">
        <f t="shared" si="160"/>
        <v/>
      </c>
      <c r="P225" s="1764" t="str">
        <f t="shared" si="161"/>
        <v/>
      </c>
      <c r="Q225" s="120" t="str">
        <f t="shared" si="162"/>
        <v/>
      </c>
    </row>
    <row r="226" spans="1:18" s="1237" customFormat="1" ht="18" customHeight="1">
      <c r="A226" s="1767"/>
      <c r="B226" s="1773">
        <v>1</v>
      </c>
      <c r="C226" s="1896" t="s">
        <v>11664</v>
      </c>
      <c r="D226" s="1887"/>
      <c r="E226" s="2000">
        <v>120</v>
      </c>
      <c r="F226" s="1581">
        <f t="shared" si="198"/>
        <v>120</v>
      </c>
      <c r="G226" s="1774"/>
      <c r="H226" s="1774"/>
      <c r="I226" s="1774"/>
      <c r="J226" s="1181"/>
      <c r="K226" s="684">
        <f t="shared" si="153"/>
        <v>1</v>
      </c>
      <c r="L226" s="708">
        <v>1</v>
      </c>
      <c r="M226" s="709">
        <f t="shared" si="169"/>
        <v>1</v>
      </c>
      <c r="N226" s="362" t="str">
        <f t="shared" si="159"/>
        <v/>
      </c>
      <c r="O226" s="1763" t="str">
        <f t="shared" si="160"/>
        <v/>
      </c>
      <c r="P226" s="1764" t="str">
        <f t="shared" si="161"/>
        <v/>
      </c>
      <c r="Q226" s="120" t="str">
        <f t="shared" si="162"/>
        <v/>
      </c>
      <c r="R226" s="1765"/>
    </row>
    <row r="227" spans="1:18" s="1237" customFormat="1" ht="18" customHeight="1">
      <c r="A227" s="1767"/>
      <c r="B227" s="1773">
        <v>1</v>
      </c>
      <c r="C227" s="1943" t="s">
        <v>13032</v>
      </c>
      <c r="D227" s="1897"/>
      <c r="E227" s="1581">
        <f>E229*15%</f>
        <v>195</v>
      </c>
      <c r="F227" s="1581">
        <f t="shared" si="198"/>
        <v>195</v>
      </c>
      <c r="G227" s="1774"/>
      <c r="H227" s="1774"/>
      <c r="I227" s="1774"/>
      <c r="J227" s="1181"/>
      <c r="K227" s="684">
        <f t="shared" ref="K227" si="203">+K224</f>
        <v>1</v>
      </c>
      <c r="L227" s="708">
        <v>1</v>
      </c>
      <c r="M227" s="709">
        <f t="shared" si="169"/>
        <v>1</v>
      </c>
      <c r="N227" s="362" t="str">
        <f t="shared" si="159"/>
        <v/>
      </c>
      <c r="O227" s="1763" t="str">
        <f t="shared" si="160"/>
        <v/>
      </c>
      <c r="P227" s="1764" t="str">
        <f t="shared" si="161"/>
        <v/>
      </c>
      <c r="Q227" s="120" t="str">
        <f t="shared" si="162"/>
        <v/>
      </c>
      <c r="R227" s="1765"/>
    </row>
    <row r="228" spans="1:18" s="1237" customFormat="1" ht="18" customHeight="1">
      <c r="A228" s="1767"/>
      <c r="B228" s="1773">
        <v>1</v>
      </c>
      <c r="C228" s="694" t="s">
        <v>12559</v>
      </c>
      <c r="D228" s="1888"/>
      <c r="E228" s="1999">
        <f>E229*20%</f>
        <v>260</v>
      </c>
      <c r="F228" s="1581">
        <f t="shared" si="198"/>
        <v>260</v>
      </c>
      <c r="G228" s="1774"/>
      <c r="H228" s="1774"/>
      <c r="I228" s="1774"/>
      <c r="J228" s="1181"/>
      <c r="K228" s="684">
        <f>+K226</f>
        <v>1</v>
      </c>
      <c r="L228" s="708">
        <v>1</v>
      </c>
      <c r="M228" s="709">
        <f t="shared" si="169"/>
        <v>1</v>
      </c>
      <c r="N228" s="362" t="str">
        <f t="shared" si="159"/>
        <v/>
      </c>
      <c r="O228" s="1763" t="str">
        <f t="shared" si="160"/>
        <v/>
      </c>
      <c r="P228" s="1764" t="str">
        <f t="shared" si="161"/>
        <v/>
      </c>
      <c r="Q228" s="120" t="str">
        <f t="shared" si="162"/>
        <v/>
      </c>
      <c r="R228" s="1765"/>
    </row>
    <row r="229" spans="1:18" s="1237" customFormat="1" ht="17.25" customHeight="1">
      <c r="A229" s="1767"/>
      <c r="B229" s="1773">
        <v>1</v>
      </c>
      <c r="C229" s="1943" t="s">
        <v>12385</v>
      </c>
      <c r="D229" s="1897"/>
      <c r="E229" s="1581">
        <v>1300</v>
      </c>
      <c r="F229" s="1581">
        <f t="shared" si="198"/>
        <v>1300</v>
      </c>
      <c r="G229" s="1774"/>
      <c r="H229" s="1774"/>
      <c r="I229" s="1774"/>
      <c r="J229" s="1181"/>
      <c r="K229" s="684">
        <f t="shared" si="153"/>
        <v>1</v>
      </c>
      <c r="L229" s="708">
        <v>1</v>
      </c>
      <c r="M229" s="709">
        <f t="shared" si="169"/>
        <v>1</v>
      </c>
      <c r="N229" s="362" t="str">
        <f t="shared" si="159"/>
        <v/>
      </c>
      <c r="O229" s="1763" t="str">
        <f t="shared" si="160"/>
        <v/>
      </c>
      <c r="P229" s="1764" t="str">
        <f t="shared" si="161"/>
        <v/>
      </c>
      <c r="Q229" s="120" t="str">
        <f t="shared" si="162"/>
        <v/>
      </c>
      <c r="R229" s="1765"/>
    </row>
    <row r="230" spans="1:18" s="20" customFormat="1" ht="18" customHeight="1" thickBot="1">
      <c r="A230" s="699"/>
      <c r="B230" s="1775"/>
      <c r="C230" s="1776"/>
      <c r="D230" s="2012"/>
      <c r="E230" s="1981"/>
      <c r="F230" s="1981"/>
      <c r="G230" s="1777"/>
      <c r="H230" s="1777"/>
      <c r="I230" s="1777"/>
      <c r="J230" s="1778"/>
      <c r="K230" s="684"/>
      <c r="L230" s="363"/>
      <c r="M230" s="709"/>
      <c r="N230" s="362" t="str">
        <f t="shared" si="159"/>
        <v/>
      </c>
      <c r="O230" s="1763" t="str">
        <f t="shared" si="160"/>
        <v/>
      </c>
      <c r="P230" s="1764" t="str">
        <f t="shared" si="161"/>
        <v/>
      </c>
      <c r="Q230" s="120" t="str">
        <f t="shared" si="162"/>
        <v/>
      </c>
      <c r="R230" s="1765"/>
    </row>
    <row r="231" spans="1:18" s="120" customFormat="1" ht="18" customHeight="1" thickBot="1">
      <c r="A231" s="1989">
        <v>5</v>
      </c>
      <c r="B231" s="1852">
        <v>1</v>
      </c>
      <c r="C231" s="1756" t="s">
        <v>12570</v>
      </c>
      <c r="D231" s="1588"/>
      <c r="E231" s="1589"/>
      <c r="F231" s="1589"/>
      <c r="G231" s="1757">
        <f>SUM(F232:F289)</f>
        <v>5075.5000000000009</v>
      </c>
      <c r="H231" s="1758">
        <f>G231*(1-$D$6)</f>
        <v>5075.5000000000009</v>
      </c>
      <c r="I231" s="1757">
        <f>ROUNDUP(H231*$D$5,0)</f>
        <v>17257</v>
      </c>
      <c r="J231" s="1759">
        <f>+I231*B231</f>
        <v>17257</v>
      </c>
      <c r="K231" s="1788">
        <f>B231</f>
        <v>1</v>
      </c>
      <c r="L231" s="363"/>
      <c r="M231" s="684"/>
      <c r="N231" s="362" t="str">
        <f t="shared" si="159"/>
        <v/>
      </c>
      <c r="O231" s="1763" t="str">
        <f t="shared" si="160"/>
        <v/>
      </c>
      <c r="P231" s="1764" t="str">
        <f t="shared" si="161"/>
        <v/>
      </c>
      <c r="Q231" s="120" t="str">
        <f t="shared" si="162"/>
        <v/>
      </c>
      <c r="R231" s="185"/>
    </row>
    <row r="232" spans="1:18" s="120" customFormat="1" ht="19.5" customHeight="1">
      <c r="A232" s="685" t="s">
        <v>3064</v>
      </c>
      <c r="B232" s="1903"/>
      <c r="C232" s="1890"/>
      <c r="D232" s="1927"/>
      <c r="E232" s="1780"/>
      <c r="F232" s="1780"/>
      <c r="G232" s="686"/>
      <c r="H232" s="710"/>
      <c r="I232" s="686"/>
      <c r="J232" s="1768"/>
      <c r="K232" s="684">
        <f t="shared" ref="K232:K233" si="204">+K231</f>
        <v>1</v>
      </c>
      <c r="L232" s="363">
        <v>1</v>
      </c>
      <c r="M232" s="709">
        <f t="shared" ref="M232:M289" si="205">IF(B232="",1,B232)</f>
        <v>1</v>
      </c>
      <c r="N232" s="362" t="str">
        <f t="shared" si="159"/>
        <v/>
      </c>
      <c r="O232" s="1763" t="str">
        <f t="shared" si="160"/>
        <v/>
      </c>
      <c r="P232" s="1764" t="str">
        <f t="shared" si="161"/>
        <v/>
      </c>
      <c r="Q232" s="120" t="str">
        <f t="shared" si="162"/>
        <v/>
      </c>
    </row>
    <row r="233" spans="1:18" s="315" customFormat="1">
      <c r="A233" s="687" t="s">
        <v>4021</v>
      </c>
      <c r="B233" s="2096">
        <v>1</v>
      </c>
      <c r="C233" s="1907" t="s">
        <v>5103</v>
      </c>
      <c r="D233" s="1935"/>
      <c r="E233" s="1786"/>
      <c r="F233" s="1908">
        <f>SUM(F235:F239)*(B233-1)</f>
        <v>0</v>
      </c>
      <c r="G233" s="712"/>
      <c r="H233" s="712"/>
      <c r="I233" s="712"/>
      <c r="J233" s="713"/>
      <c r="K233" s="684">
        <f t="shared" si="204"/>
        <v>1</v>
      </c>
      <c r="L233" s="1909">
        <f>B233</f>
        <v>1</v>
      </c>
      <c r="M233" s="684">
        <f t="shared" si="205"/>
        <v>1</v>
      </c>
      <c r="N233" s="362" t="str">
        <f t="shared" si="159"/>
        <v/>
      </c>
      <c r="O233" s="1763" t="str">
        <f t="shared" si="160"/>
        <v/>
      </c>
      <c r="P233" s="1764" t="str">
        <f t="shared" si="161"/>
        <v/>
      </c>
      <c r="Q233" s="120" t="str">
        <f t="shared" si="162"/>
        <v/>
      </c>
    </row>
    <row r="234" spans="1:18" s="185" customFormat="1">
      <c r="A234" s="687" t="s">
        <v>4136</v>
      </c>
      <c r="B234" s="1910">
        <v>3</v>
      </c>
      <c r="C234" s="1911" t="str">
        <f>VLOOKUP(D234,base_datos,6,FALSE)</f>
        <v>Portalámpara + lampara tipo LED - color Rojo - alimentacion: 220-230Vac, d=22mm. - CL2-523R - línea compacta - marca ABB.</v>
      </c>
      <c r="D234" s="1790" t="s">
        <v>2439</v>
      </c>
      <c r="E234" s="1939">
        <f>VLOOKUP(D234,base_datos,5,FALSE)</f>
        <v>12.299999999999999</v>
      </c>
      <c r="F234" s="1912">
        <f>+E234*B234</f>
        <v>36.9</v>
      </c>
      <c r="G234" s="710"/>
      <c r="H234" s="710"/>
      <c r="I234" s="710"/>
      <c r="J234" s="711"/>
      <c r="K234" s="684">
        <f>+K232</f>
        <v>1</v>
      </c>
      <c r="L234" s="1913">
        <f>L232</f>
        <v>1</v>
      </c>
      <c r="M234" s="684">
        <f t="shared" si="205"/>
        <v>3</v>
      </c>
      <c r="N234" s="362">
        <f t="shared" si="159"/>
        <v>3</v>
      </c>
      <c r="O234" s="1763" t="str">
        <f t="shared" si="160"/>
        <v>1SFA619403R5231</v>
      </c>
      <c r="P234" s="1764" t="str">
        <f t="shared" si="161"/>
        <v>Portalámpara + lampara tipo LED - color Rojo - alimentacion: 220-230Vac, d=22mm. - CL2-523R - línea compacta - marca ABB.</v>
      </c>
      <c r="Q234" s="120" t="str">
        <f t="shared" si="162"/>
        <v>LAMP_ROJO_220V</v>
      </c>
    </row>
    <row r="235" spans="1:18" s="185" customFormat="1">
      <c r="A235" s="687"/>
      <c r="B235" s="1910">
        <v>3</v>
      </c>
      <c r="C235" s="1911" t="str">
        <f>VLOOKUP(D235,base_datos,6,FALSE)</f>
        <v>Portalámpara + lampara tipo LED - color Verde - alimentacion: 220-230Vac, d=22mm. - CL2-523G - línea compacta - marca ABB.</v>
      </c>
      <c r="D235" s="1790" t="s">
        <v>2440</v>
      </c>
      <c r="E235" s="1939">
        <f>VLOOKUP(D235,base_datos,5,FALSE)</f>
        <v>12.299999999999999</v>
      </c>
      <c r="F235" s="1912">
        <f>+E235*B235</f>
        <v>36.9</v>
      </c>
      <c r="G235" s="710"/>
      <c r="H235" s="710"/>
      <c r="I235" s="710"/>
      <c r="J235" s="711"/>
      <c r="K235" s="684">
        <f t="shared" ref="K235:K289" si="206">+K233</f>
        <v>1</v>
      </c>
      <c r="L235" s="1913">
        <f>L233</f>
        <v>1</v>
      </c>
      <c r="M235" s="684">
        <f t="shared" si="205"/>
        <v>3</v>
      </c>
      <c r="N235" s="362">
        <f t="shared" si="159"/>
        <v>3</v>
      </c>
      <c r="O235" s="1763" t="str">
        <f t="shared" si="160"/>
        <v>1SFA619403R5232</v>
      </c>
      <c r="P235" s="1764" t="str">
        <f t="shared" si="161"/>
        <v>Portalámpara + lampara tipo LED - color Verde - alimentacion: 220-230Vac, d=22mm. - CL2-523G - línea compacta - marca ABB.</v>
      </c>
      <c r="Q235" s="120" t="str">
        <f t="shared" si="162"/>
        <v>LAMP_VERDE_220V</v>
      </c>
    </row>
    <row r="236" spans="1:18" s="1921" customFormat="1">
      <c r="A236" s="687" t="s">
        <v>12356</v>
      </c>
      <c r="B236" s="1914">
        <v>1</v>
      </c>
      <c r="C236" s="1915" t="s">
        <v>3366</v>
      </c>
      <c r="D236" s="1916"/>
      <c r="E236" s="1917"/>
      <c r="F236" s="1918"/>
      <c r="G236" s="1919"/>
      <c r="H236" s="1919"/>
      <c r="I236" s="1919"/>
      <c r="J236" s="1920"/>
      <c r="K236" s="684">
        <f t="shared" si="206"/>
        <v>1</v>
      </c>
      <c r="L236" s="1913">
        <f>L235</f>
        <v>1</v>
      </c>
      <c r="M236" s="684">
        <f t="shared" si="205"/>
        <v>1</v>
      </c>
      <c r="N236" s="362" t="str">
        <f t="shared" si="159"/>
        <v/>
      </c>
      <c r="O236" s="1763" t="str">
        <f t="shared" si="160"/>
        <v/>
      </c>
      <c r="P236" s="1764" t="str">
        <f t="shared" si="161"/>
        <v/>
      </c>
      <c r="Q236" s="120" t="str">
        <f t="shared" si="162"/>
        <v/>
      </c>
    </row>
    <row r="237" spans="1:18" s="320" customFormat="1">
      <c r="A237" s="687" t="s">
        <v>13066</v>
      </c>
      <c r="B237" s="1922">
        <v>1</v>
      </c>
      <c r="C237" s="721" t="str">
        <f>VLOOKUP(D237,base_datos,6,FALSE)</f>
        <v>Rele auxiliar enchufable +4NA/NC (D2PR4B + base D2PA6), 220Vac - marca EATON.</v>
      </c>
      <c r="D237" s="1579" t="s">
        <v>772</v>
      </c>
      <c r="E237" s="1581">
        <f>VLOOKUP(D237,base_datos,5,FALSE)</f>
        <v>27</v>
      </c>
      <c r="F237" s="1923">
        <f>+E237*B237</f>
        <v>27</v>
      </c>
      <c r="G237" s="1924"/>
      <c r="H237" s="1924"/>
      <c r="I237" s="1924"/>
      <c r="J237" s="722"/>
      <c r="K237" s="684">
        <f t="shared" si="206"/>
        <v>1</v>
      </c>
      <c r="L237" s="1913">
        <f>L234</f>
        <v>1</v>
      </c>
      <c r="M237" s="684">
        <f t="shared" si="205"/>
        <v>1</v>
      </c>
      <c r="N237" s="362">
        <f t="shared" si="159"/>
        <v>1</v>
      </c>
      <c r="O237" s="1763" t="str">
        <f t="shared" si="160"/>
        <v>D2PR4B+D2PA6</v>
      </c>
      <c r="P237" s="1764" t="str">
        <f t="shared" si="161"/>
        <v>Rele auxiliar enchufable +4NA/NC (D2PR4B + base D2PA6), 220Vac - marca EATON.</v>
      </c>
      <c r="Q237" s="120" t="str">
        <f t="shared" si="162"/>
        <v>D2PR4B+D2PA6</v>
      </c>
    </row>
    <row r="238" spans="1:18" s="320" customFormat="1">
      <c r="A238" s="1767"/>
      <c r="B238" s="2131">
        <v>1</v>
      </c>
      <c r="C238" s="2132" t="s">
        <v>12558</v>
      </c>
      <c r="D238" s="2133"/>
      <c r="E238" s="2134">
        <v>32</v>
      </c>
      <c r="F238" s="2134">
        <f>+E238*B238</f>
        <v>32</v>
      </c>
      <c r="G238" s="1924"/>
      <c r="H238" s="1924"/>
      <c r="I238" s="1924"/>
      <c r="J238" s="722"/>
      <c r="K238" s="684">
        <f t="shared" si="206"/>
        <v>1</v>
      </c>
      <c r="L238" s="1913">
        <f>L235</f>
        <v>1</v>
      </c>
      <c r="M238" s="684">
        <f t="shared" si="205"/>
        <v>1</v>
      </c>
      <c r="N238" s="362" t="str">
        <f t="shared" si="159"/>
        <v/>
      </c>
      <c r="O238" s="1763" t="str">
        <f t="shared" si="160"/>
        <v/>
      </c>
      <c r="P238" s="1764" t="str">
        <f t="shared" si="161"/>
        <v/>
      </c>
      <c r="Q238" s="120" t="str">
        <f t="shared" si="162"/>
        <v/>
      </c>
    </row>
    <row r="239" spans="1:18" s="320" customFormat="1">
      <c r="A239" s="687" t="s">
        <v>12551</v>
      </c>
      <c r="B239" s="1922">
        <v>4</v>
      </c>
      <c r="C239" s="721" t="str">
        <f>VLOOKUP(D239,base_datos,6,FALSE)</f>
        <v>Base portafusibles + Fusibles de protección para control.</v>
      </c>
      <c r="D239" s="1579" t="s">
        <v>453</v>
      </c>
      <c r="E239" s="1581">
        <f>VLOOKUP(D239,base_datos,5,FALSE)</f>
        <v>8.1750000000000007</v>
      </c>
      <c r="F239" s="1923">
        <f>+E239*B239</f>
        <v>32.700000000000003</v>
      </c>
      <c r="G239" s="1924"/>
      <c r="H239" s="1924"/>
      <c r="I239" s="1924"/>
      <c r="J239" s="722"/>
      <c r="K239" s="684">
        <f t="shared" si="206"/>
        <v>1</v>
      </c>
      <c r="L239" s="1913">
        <f>L236</f>
        <v>1</v>
      </c>
      <c r="M239" s="684">
        <f t="shared" si="205"/>
        <v>4</v>
      </c>
      <c r="N239" s="362" t="str">
        <f t="shared" si="159"/>
        <v/>
      </c>
      <c r="O239" s="1763" t="str">
        <f t="shared" si="160"/>
        <v/>
      </c>
      <c r="P239" s="1764" t="str">
        <f t="shared" si="161"/>
        <v/>
      </c>
      <c r="Q239" s="120" t="str">
        <f t="shared" si="162"/>
        <v/>
      </c>
    </row>
    <row r="240" spans="1:18" s="315" customFormat="1">
      <c r="A240" s="687" t="s">
        <v>3542</v>
      </c>
      <c r="B240" s="1906"/>
      <c r="C240" s="1907"/>
      <c r="D240" s="1935"/>
      <c r="E240" s="1786"/>
      <c r="F240" s="1936"/>
      <c r="G240" s="712"/>
      <c r="H240" s="712"/>
      <c r="I240" s="712"/>
      <c r="J240" s="713"/>
      <c r="K240" s="684">
        <f t="shared" si="206"/>
        <v>1</v>
      </c>
      <c r="L240" s="1909">
        <f>B240</f>
        <v>0</v>
      </c>
      <c r="M240" s="684">
        <f t="shared" si="205"/>
        <v>1</v>
      </c>
      <c r="N240" s="362" t="str">
        <f t="shared" si="159"/>
        <v/>
      </c>
      <c r="O240" s="1763" t="str">
        <f t="shared" si="160"/>
        <v/>
      </c>
      <c r="P240" s="1764" t="str">
        <f t="shared" si="161"/>
        <v/>
      </c>
      <c r="Q240" s="120" t="str">
        <f t="shared" si="162"/>
        <v/>
      </c>
    </row>
    <row r="241" spans="1:18" s="185" customFormat="1">
      <c r="A241" s="687"/>
      <c r="B241" s="1922"/>
      <c r="C241" s="1956" t="s">
        <v>12368</v>
      </c>
      <c r="D241" s="1579"/>
      <c r="E241" s="1957"/>
      <c r="F241" s="1958"/>
      <c r="G241" s="710"/>
      <c r="H241" s="710"/>
      <c r="I241" s="710"/>
      <c r="J241" s="711"/>
      <c r="K241" s="684">
        <f t="shared" si="206"/>
        <v>1</v>
      </c>
      <c r="L241" s="708">
        <v>1</v>
      </c>
      <c r="M241" s="684">
        <f t="shared" si="205"/>
        <v>1</v>
      </c>
      <c r="N241" s="362" t="str">
        <f t="shared" si="159"/>
        <v/>
      </c>
      <c r="O241" s="1763" t="str">
        <f t="shared" si="160"/>
        <v/>
      </c>
      <c r="P241" s="1764" t="str">
        <f t="shared" si="161"/>
        <v/>
      </c>
      <c r="Q241" s="120" t="str">
        <f t="shared" si="162"/>
        <v/>
      </c>
    </row>
    <row r="242" spans="1:18" s="120" customFormat="1" ht="18" customHeight="1">
      <c r="A242" s="687"/>
      <c r="B242" s="1779">
        <v>6</v>
      </c>
      <c r="C242" s="1990" t="str">
        <f>VLOOKUP(D242,base_datos,6,FALSE)</f>
        <v>Transformador de tensión monofásico 480 / 240 Vac - 50VA.</v>
      </c>
      <c r="D242" s="2007" t="s">
        <v>8587</v>
      </c>
      <c r="E242" s="1581">
        <f>VLOOKUP(D242,base_datos,5,FALSE)</f>
        <v>76.8</v>
      </c>
      <c r="F242" s="1581">
        <f>+E242*B242</f>
        <v>460.79999999999995</v>
      </c>
      <c r="G242" s="686"/>
      <c r="H242" s="686"/>
      <c r="I242" s="686"/>
      <c r="J242" s="1768"/>
      <c r="K242" s="684">
        <f t="shared" si="206"/>
        <v>1</v>
      </c>
      <c r="L242" s="708">
        <v>1</v>
      </c>
      <c r="M242" s="684">
        <f t="shared" si="205"/>
        <v>6</v>
      </c>
      <c r="N242" s="362" t="str">
        <f t="shared" si="159"/>
        <v/>
      </c>
      <c r="O242" s="1763" t="str">
        <f t="shared" si="160"/>
        <v/>
      </c>
      <c r="P242" s="1764" t="str">
        <f t="shared" si="161"/>
        <v/>
      </c>
      <c r="Q242" s="120" t="str">
        <f t="shared" si="162"/>
        <v/>
      </c>
      <c r="R242" s="185"/>
    </row>
    <row r="243" spans="1:18" s="120" customFormat="1" ht="18" customHeight="1">
      <c r="A243" s="1767"/>
      <c r="B243" s="1781"/>
      <c r="C243" s="1959" t="s">
        <v>3158</v>
      </c>
      <c r="D243" s="2005"/>
      <c r="E243" s="1791"/>
      <c r="F243" s="1782"/>
      <c r="G243" s="686"/>
      <c r="H243" s="686"/>
      <c r="I243" s="686"/>
      <c r="J243" s="688"/>
      <c r="K243" s="684">
        <f t="shared" si="206"/>
        <v>1</v>
      </c>
      <c r="L243" s="708">
        <v>1</v>
      </c>
      <c r="M243" s="684">
        <f t="shared" si="205"/>
        <v>1</v>
      </c>
      <c r="N243" s="362" t="str">
        <f t="shared" si="159"/>
        <v/>
      </c>
      <c r="O243" s="1763" t="str">
        <f t="shared" si="160"/>
        <v/>
      </c>
      <c r="P243" s="1764" t="str">
        <f t="shared" si="161"/>
        <v/>
      </c>
      <c r="Q243" s="120" t="str">
        <f t="shared" si="162"/>
        <v/>
      </c>
      <c r="R243" s="185"/>
    </row>
    <row r="244" spans="1:18" s="690" customFormat="1" ht="18" customHeight="1">
      <c r="A244" s="687"/>
      <c r="B244" s="1781">
        <v>1</v>
      </c>
      <c r="C244" s="1960" t="str">
        <f>VLOOKUP(D244,base_datos,6,FALSE)</f>
        <v>ITM Caja Moldeada 3x25A (reg.[0.7-1.0] In) - XT2N160-25A-3P-TMD - 65kA@230Vac, 36kA@415Vac - marca ABB.</v>
      </c>
      <c r="D244" s="2006" t="s">
        <v>851</v>
      </c>
      <c r="E244" s="1791">
        <f>VLOOKUP(D244,base_datos,5,FALSE)</f>
        <v>201.76999999999998</v>
      </c>
      <c r="F244" s="1782">
        <f>+E244*B244</f>
        <v>201.76999999999998</v>
      </c>
      <c r="G244" s="1761"/>
      <c r="H244" s="1761"/>
      <c r="I244" s="1761"/>
      <c r="J244" s="689"/>
      <c r="K244" s="684">
        <f t="shared" si="206"/>
        <v>1</v>
      </c>
      <c r="L244" s="708">
        <v>1</v>
      </c>
      <c r="M244" s="684">
        <f t="shared" si="205"/>
        <v>1</v>
      </c>
      <c r="N244" s="362">
        <f t="shared" si="159"/>
        <v>1</v>
      </c>
      <c r="O244" s="1763" t="str">
        <f t="shared" si="160"/>
        <v>1SDA067012R1</v>
      </c>
      <c r="P244" s="1764" t="str">
        <f t="shared" si="161"/>
        <v>ITM Caja Moldeada 3x25A (reg.[0.7-1.0] In) - XT2N160-25A-3P-TMD - 65kA@230Vac, 36kA@415Vac - marca ABB.</v>
      </c>
      <c r="Q244" s="120" t="str">
        <f t="shared" si="162"/>
        <v>XT2N160-25A-3P-TMD</v>
      </c>
      <c r="R244" s="185"/>
    </row>
    <row r="245" spans="1:18" s="695" customFormat="1" ht="18" customHeight="1">
      <c r="A245" s="687"/>
      <c r="B245" s="895">
        <v>1</v>
      </c>
      <c r="C245" s="1848" t="str">
        <f>VLOOKUP(D245,base_datos,6,FALSE)</f>
        <v>FC-CuAl_XT2 - Terminales + Cubrebornes - cables de cobre/aluminio hasta 1x185mm2 - 3 terminales (externos)</v>
      </c>
      <c r="D245" s="1886" t="s">
        <v>957</v>
      </c>
      <c r="E245" s="1795">
        <f>VLOOKUP(D245,base_datos,5,FALSE)</f>
        <v>69.36</v>
      </c>
      <c r="F245" s="1796">
        <f>+E245*B245</f>
        <v>69.36</v>
      </c>
      <c r="G245" s="696"/>
      <c r="H245" s="696"/>
      <c r="I245" s="696"/>
      <c r="J245" s="697"/>
      <c r="K245" s="684">
        <f t="shared" si="206"/>
        <v>1</v>
      </c>
      <c r="L245" s="708">
        <v>1</v>
      </c>
      <c r="M245" s="684">
        <f t="shared" si="205"/>
        <v>1</v>
      </c>
      <c r="N245" s="362">
        <f>IF(O245&lt;&gt;"",K245*L245*M245,"")</f>
        <v>1</v>
      </c>
      <c r="O245" s="1763" t="str">
        <f>IF(D245&lt;&gt;"",IF(VLOOKUP(D245,base_datos,7,FALSE)&lt;&gt;"",VLOOKUP(D245,base_datos,7,FALSE),""),"")</f>
        <v>1SDA067167R1</v>
      </c>
      <c r="P245" s="1764" t="str">
        <f>IF(O245&lt;&gt;"",VLOOKUP(D245,base_datos,6,FALSE),"")</f>
        <v>FC-CuAl_XT2 - Terminales + Cubrebornes - cables de cobre/aluminio hasta 1x185mm2 - 3 terminales (externos)</v>
      </c>
      <c r="Q245" s="120" t="str">
        <f>IF(O245&lt;&gt;"",D245,"")</f>
        <v>FC-CuAl_XT2_3t</v>
      </c>
      <c r="R245" s="185"/>
    </row>
    <row r="246" spans="1:18" s="185" customFormat="1">
      <c r="A246" s="687"/>
      <c r="B246" s="714"/>
      <c r="C246" s="313" t="s">
        <v>729</v>
      </c>
      <c r="D246" s="173"/>
      <c r="E246" s="1786"/>
      <c r="F246" s="1787"/>
      <c r="G246" s="710"/>
      <c r="H246" s="710"/>
      <c r="I246" s="710"/>
      <c r="J246" s="711"/>
      <c r="K246" s="684">
        <f t="shared" si="206"/>
        <v>1</v>
      </c>
      <c r="L246" s="708">
        <v>1</v>
      </c>
      <c r="M246" s="684">
        <f t="shared" si="205"/>
        <v>1</v>
      </c>
      <c r="N246" s="362" t="str">
        <f t="shared" si="159"/>
        <v/>
      </c>
      <c r="O246" s="1763" t="str">
        <f t="shared" si="160"/>
        <v/>
      </c>
      <c r="P246" s="1764" t="str">
        <f t="shared" si="161"/>
        <v/>
      </c>
      <c r="Q246" s="120" t="str">
        <f t="shared" si="162"/>
        <v/>
      </c>
    </row>
    <row r="247" spans="1:18" s="315" customFormat="1">
      <c r="A247" s="687"/>
      <c r="B247" s="1932">
        <v>2</v>
      </c>
      <c r="C247" s="1933" t="str">
        <f t="shared" ref="C247" si="207">VLOOKUP(D247,base_datos,6,FALSE)</f>
        <v>2(Q) contacto conmutado de estado (NA/NC) + 1(SY) contacto por disparo de interruptor - XT1..XT4 - versión cableada - marca ABB.</v>
      </c>
      <c r="D247" s="1790" t="s">
        <v>3244</v>
      </c>
      <c r="E247" s="1939">
        <f t="shared" ref="E247" si="208">VLOOKUP(D247,base_datos,5,FALSE)</f>
        <v>132.1</v>
      </c>
      <c r="F247" s="1940">
        <f>+E247*B247</f>
        <v>264.2</v>
      </c>
      <c r="G247" s="712"/>
      <c r="H247" s="712"/>
      <c r="I247" s="712"/>
      <c r="J247" s="713"/>
      <c r="K247" s="684">
        <f t="shared" si="206"/>
        <v>1</v>
      </c>
      <c r="L247" s="708">
        <v>1</v>
      </c>
      <c r="M247" s="684">
        <f t="shared" si="205"/>
        <v>2</v>
      </c>
      <c r="N247" s="362">
        <f t="shared" ref="N247:N314" si="209">IF(O247&lt;&gt;"",K247*L247*M247,"")</f>
        <v>2</v>
      </c>
      <c r="O247" s="1763" t="str">
        <f t="shared" ref="O247:O314" si="210">IF(D247&lt;&gt;"",IF(VLOOKUP(D247,base_datos,7,FALSE)&lt;&gt;"",VLOOKUP(D247,base_datos,7,FALSE),""),"")</f>
        <v>1SDA066433R1</v>
      </c>
      <c r="P247" s="1764" t="str">
        <f t="shared" ref="P247:P314" si="211">IF(O247&lt;&gt;"",VLOOKUP(D247,base_datos,6,FALSE),"")</f>
        <v>2(Q) contacto conmutado de estado (NA/NC) + 1(SY) contacto por disparo de interruptor - XT1..XT4 - versión cableada - marca ABB.</v>
      </c>
      <c r="Q247" s="120" t="str">
        <f t="shared" ref="Q247:Q314" si="212">IF(O247&lt;&gt;"",D247,"")</f>
        <v>2Q+1SY_XT1..XT4</v>
      </c>
    </row>
    <row r="248" spans="1:18" s="185" customFormat="1" ht="18" customHeight="1">
      <c r="A248" s="1767"/>
      <c r="B248" s="714"/>
      <c r="C248" s="313" t="s">
        <v>729</v>
      </c>
      <c r="D248" s="173"/>
      <c r="E248" s="1786"/>
      <c r="F248" s="1787"/>
      <c r="G248" s="710"/>
      <c r="H248" s="710"/>
      <c r="I248" s="710"/>
      <c r="J248" s="711"/>
      <c r="K248" s="684">
        <f t="shared" si="206"/>
        <v>1</v>
      </c>
      <c r="L248" s="708">
        <v>1</v>
      </c>
      <c r="M248" s="709">
        <f t="shared" si="205"/>
        <v>1</v>
      </c>
      <c r="N248" s="362" t="str">
        <f t="shared" si="209"/>
        <v/>
      </c>
      <c r="O248" s="1763" t="str">
        <f t="shared" si="210"/>
        <v/>
      </c>
      <c r="P248" s="1764" t="str">
        <f t="shared" si="211"/>
        <v/>
      </c>
      <c r="Q248" s="120" t="str">
        <f t="shared" si="212"/>
        <v/>
      </c>
    </row>
    <row r="249" spans="1:18" s="1766" customFormat="1" ht="18" customHeight="1">
      <c r="A249" s="144"/>
      <c r="B249" s="2205"/>
      <c r="C249" s="1770" t="s">
        <v>11663</v>
      </c>
      <c r="D249" s="2006"/>
      <c r="E249" s="1581"/>
      <c r="F249" s="1581"/>
      <c r="G249" s="1761"/>
      <c r="H249" s="1761"/>
      <c r="I249" s="1761"/>
      <c r="J249" s="1762"/>
      <c r="K249" s="684">
        <f t="shared" si="206"/>
        <v>1</v>
      </c>
      <c r="L249" s="708">
        <v>1</v>
      </c>
      <c r="M249" s="709">
        <f t="shared" si="205"/>
        <v>1</v>
      </c>
      <c r="N249" s="362" t="str">
        <f t="shared" si="209"/>
        <v/>
      </c>
      <c r="O249" s="1763" t="str">
        <f t="shared" si="210"/>
        <v/>
      </c>
      <c r="P249" s="1764" t="str">
        <f t="shared" si="211"/>
        <v/>
      </c>
      <c r="Q249" s="120" t="str">
        <f t="shared" si="212"/>
        <v/>
      </c>
      <c r="R249" s="1765"/>
    </row>
    <row r="250" spans="1:18" s="1766" customFormat="1" ht="18" customHeight="1">
      <c r="A250" s="687"/>
      <c r="B250" s="1760">
        <v>1</v>
      </c>
      <c r="C250" s="1990" t="str">
        <f t="shared" ref="C250" si="213">VLOOKUP(D250,base_datos,6,FALSE)</f>
        <v>Analizador de Redes DIRIS-A30 - precisión (V, I) 0.2%, precisión de energía activa / reactiva: clase 0,5S / clase 2 - marca SOCOMEC.</v>
      </c>
      <c r="D250" s="2007" t="s">
        <v>12164</v>
      </c>
      <c r="E250" s="1581">
        <f t="shared" ref="E250" si="214">VLOOKUP(D250,base_datos,5,FALSE)</f>
        <v>633.64</v>
      </c>
      <c r="F250" s="1581">
        <f t="shared" ref="F250" si="215">+E250*B250</f>
        <v>633.64</v>
      </c>
      <c r="G250" s="1761"/>
      <c r="H250" s="1761"/>
      <c r="I250" s="1761"/>
      <c r="J250" s="1762"/>
      <c r="K250" s="684">
        <f t="shared" si="206"/>
        <v>1</v>
      </c>
      <c r="L250" s="708">
        <v>1</v>
      </c>
      <c r="M250" s="709">
        <f t="shared" ref="M250" si="216">IF(B250="",1,B250)</f>
        <v>1</v>
      </c>
      <c r="N250" s="362">
        <f t="shared" ref="N250" si="217">IF(O250&lt;&gt;"",K250*L250*M250,"")</f>
        <v>1</v>
      </c>
      <c r="O250" s="1763" t="str">
        <f t="shared" ref="O250" si="218">IF(D250&lt;&gt;"",IF(VLOOKUP(D250,base_datos,7,FALSE)&lt;&gt;"",VLOOKUP(D250,base_datos,7,FALSE),""),"")</f>
        <v>4825 0403</v>
      </c>
      <c r="P250" s="1764" t="str">
        <f t="shared" ref="P250" si="219">IF(O250&lt;&gt;"",VLOOKUP(D250,base_datos,6,FALSE),"")</f>
        <v>Analizador de Redes DIRIS-A30 - precisión (V, I) 0.2%, precisión de energía activa / reactiva: clase 0,5S / clase 2 - marca SOCOMEC.</v>
      </c>
      <c r="Q250" s="120" t="str">
        <f t="shared" ref="Q250" si="220">IF(O250&lt;&gt;"",D250,"")</f>
        <v>DIRIS-A30</v>
      </c>
      <c r="R250" s="1765"/>
    </row>
    <row r="251" spans="1:18" s="1766" customFormat="1" ht="18" customHeight="1">
      <c r="A251" s="687"/>
      <c r="B251" s="1760">
        <v>1</v>
      </c>
      <c r="C251" s="1990" t="str">
        <f t="shared" ref="C251:C254" si="221">VLOOKUP(D251,base_datos,6,FALSE)</f>
        <v>Módulo de comunicación RS 485 MODBUS, para Analizador de Red, DIRIS-A30, marca SOCOMEC.</v>
      </c>
      <c r="D251" s="144" t="s">
        <v>12166</v>
      </c>
      <c r="E251" s="1581">
        <f t="shared" ref="E251:E254" si="222">VLOOKUP(D251,base_datos,5,FALSE)</f>
        <v>115.64</v>
      </c>
      <c r="F251" s="1581">
        <f t="shared" ref="F251:F254" si="223">+E251*B251</f>
        <v>115.64</v>
      </c>
      <c r="G251" s="1761"/>
      <c r="H251" s="1761"/>
      <c r="I251" s="1761"/>
      <c r="J251" s="1762"/>
      <c r="K251" s="684">
        <f t="shared" si="206"/>
        <v>1</v>
      </c>
      <c r="L251" s="708">
        <v>1</v>
      </c>
      <c r="M251" s="709">
        <f t="shared" si="205"/>
        <v>1</v>
      </c>
      <c r="N251" s="362">
        <f t="shared" si="209"/>
        <v>1</v>
      </c>
      <c r="O251" s="1763" t="str">
        <f t="shared" si="210"/>
        <v>4825 0092</v>
      </c>
      <c r="P251" s="1764" t="str">
        <f t="shared" si="211"/>
        <v>Módulo de comunicación RS 485 MODBUS, para Analizador de Red, DIRIS-A30, marca SOCOMEC.</v>
      </c>
      <c r="Q251" s="120" t="str">
        <f t="shared" si="212"/>
        <v>DIRIS-A30/Com</v>
      </c>
      <c r="R251" s="1765"/>
    </row>
    <row r="252" spans="1:18" s="1766" customFormat="1" ht="18" customHeight="1">
      <c r="A252" s="687"/>
      <c r="B252" s="1760">
        <f>3*B251</f>
        <v>3</v>
      </c>
      <c r="C252" s="1990" t="str">
        <f t="shared" si="221"/>
        <v>Transformador de corriente de 50/5A</v>
      </c>
      <c r="D252" s="2011" t="s">
        <v>8260</v>
      </c>
      <c r="E252" s="1581">
        <f t="shared" si="222"/>
        <v>65</v>
      </c>
      <c r="F252" s="1581">
        <f t="shared" si="223"/>
        <v>195</v>
      </c>
      <c r="G252" s="1761"/>
      <c r="H252" s="1761"/>
      <c r="I252" s="1761"/>
      <c r="J252" s="1762"/>
      <c r="K252" s="684">
        <f t="shared" si="206"/>
        <v>1</v>
      </c>
      <c r="L252" s="708">
        <v>1</v>
      </c>
      <c r="M252" s="709">
        <f t="shared" si="205"/>
        <v>3</v>
      </c>
      <c r="N252" s="362" t="str">
        <f t="shared" si="209"/>
        <v/>
      </c>
      <c r="O252" s="1763" t="str">
        <f t="shared" si="210"/>
        <v/>
      </c>
      <c r="P252" s="1764" t="str">
        <f t="shared" si="211"/>
        <v/>
      </c>
      <c r="Q252" s="120" t="str">
        <f t="shared" si="212"/>
        <v/>
      </c>
      <c r="R252" s="1765"/>
    </row>
    <row r="253" spans="1:18" s="1766" customFormat="1" ht="18" customHeight="1">
      <c r="A253" s="687"/>
      <c r="B253" s="1760">
        <f>5*B251</f>
        <v>5</v>
      </c>
      <c r="C253" s="1990" t="str">
        <f t="shared" si="221"/>
        <v>Base portafusibles + Fusibles de protección para control.</v>
      </c>
      <c r="D253" s="2011" t="s">
        <v>453</v>
      </c>
      <c r="E253" s="1581">
        <f t="shared" si="222"/>
        <v>8.1750000000000007</v>
      </c>
      <c r="F253" s="1581">
        <f t="shared" si="223"/>
        <v>40.875</v>
      </c>
      <c r="G253" s="1761"/>
      <c r="H253" s="1761"/>
      <c r="I253" s="1761"/>
      <c r="J253" s="1762"/>
      <c r="K253" s="684">
        <f t="shared" si="206"/>
        <v>1</v>
      </c>
      <c r="L253" s="708">
        <v>1</v>
      </c>
      <c r="M253" s="709">
        <f t="shared" si="205"/>
        <v>5</v>
      </c>
      <c r="N253" s="362" t="str">
        <f t="shared" si="209"/>
        <v/>
      </c>
      <c r="O253" s="1763" t="str">
        <f t="shared" si="210"/>
        <v/>
      </c>
      <c r="P253" s="1764" t="str">
        <f t="shared" si="211"/>
        <v/>
      </c>
      <c r="Q253" s="120" t="str">
        <f t="shared" si="212"/>
        <v/>
      </c>
      <c r="R253" s="1765"/>
    </row>
    <row r="254" spans="1:18" s="1766" customFormat="1" ht="18" customHeight="1">
      <c r="A254" s="1771"/>
      <c r="B254" s="1760">
        <f>6*B251</f>
        <v>6</v>
      </c>
      <c r="C254" s="1990" t="str">
        <f t="shared" si="221"/>
        <v>Bornes seccionables de corriente.</v>
      </c>
      <c r="D254" s="2011" t="s">
        <v>435</v>
      </c>
      <c r="E254" s="1581">
        <f t="shared" si="222"/>
        <v>12</v>
      </c>
      <c r="F254" s="1581">
        <f t="shared" si="223"/>
        <v>72</v>
      </c>
      <c r="G254" s="1761"/>
      <c r="H254" s="1761"/>
      <c r="I254" s="1761"/>
      <c r="J254" s="1762"/>
      <c r="K254" s="684">
        <f t="shared" si="206"/>
        <v>1</v>
      </c>
      <c r="L254" s="708">
        <v>1</v>
      </c>
      <c r="M254" s="709">
        <f t="shared" si="205"/>
        <v>6</v>
      </c>
      <c r="N254" s="362" t="str">
        <f t="shared" si="209"/>
        <v/>
      </c>
      <c r="O254" s="1763" t="str">
        <f t="shared" si="210"/>
        <v/>
      </c>
      <c r="P254" s="1764" t="str">
        <f t="shared" si="211"/>
        <v/>
      </c>
      <c r="Q254" s="120" t="str">
        <f t="shared" si="212"/>
        <v/>
      </c>
      <c r="R254" s="1765"/>
    </row>
    <row r="255" spans="1:18" s="185" customFormat="1" ht="18" customHeight="1">
      <c r="A255" s="693"/>
      <c r="B255" s="714"/>
      <c r="C255" s="313" t="s">
        <v>729</v>
      </c>
      <c r="D255" s="173"/>
      <c r="E255" s="1581"/>
      <c r="F255" s="1581"/>
      <c r="G255" s="710"/>
      <c r="H255" s="710"/>
      <c r="I255" s="710"/>
      <c r="J255" s="711"/>
      <c r="K255" s="684">
        <f t="shared" si="206"/>
        <v>1</v>
      </c>
      <c r="L255" s="708">
        <v>1</v>
      </c>
      <c r="M255" s="709">
        <f t="shared" si="205"/>
        <v>1</v>
      </c>
      <c r="N255" s="362" t="str">
        <f t="shared" si="209"/>
        <v/>
      </c>
      <c r="O255" s="1763" t="str">
        <f t="shared" si="210"/>
        <v/>
      </c>
      <c r="P255" s="1764" t="str">
        <f t="shared" si="211"/>
        <v/>
      </c>
      <c r="Q255" s="120" t="str">
        <f t="shared" si="212"/>
        <v/>
      </c>
      <c r="R255" s="1765"/>
    </row>
    <row r="256" spans="1:18" s="690" customFormat="1" ht="18" customHeight="1">
      <c r="A256" s="1767"/>
      <c r="B256" s="1851"/>
      <c r="C256" s="1966" t="s">
        <v>3377</v>
      </c>
      <c r="D256" s="1582"/>
      <c r="E256" s="1780"/>
      <c r="F256" s="1782"/>
      <c r="G256" s="1761"/>
      <c r="H256" s="1761"/>
      <c r="I256" s="1761"/>
      <c r="J256" s="689"/>
      <c r="K256" s="684">
        <f t="shared" si="206"/>
        <v>1</v>
      </c>
      <c r="L256" s="708">
        <v>1</v>
      </c>
      <c r="M256" s="709">
        <f t="shared" si="205"/>
        <v>1</v>
      </c>
      <c r="N256" s="362" t="str">
        <f t="shared" si="209"/>
        <v/>
      </c>
      <c r="O256" s="1763" t="str">
        <f t="shared" si="210"/>
        <v/>
      </c>
      <c r="P256" s="1764" t="str">
        <f t="shared" si="211"/>
        <v/>
      </c>
      <c r="Q256" s="120" t="str">
        <f t="shared" si="212"/>
        <v/>
      </c>
      <c r="R256" s="185"/>
    </row>
    <row r="257" spans="1:20" s="690" customFormat="1" ht="18" customHeight="1">
      <c r="A257" s="1767"/>
      <c r="B257" s="1781">
        <v>1</v>
      </c>
      <c r="C257" s="1960" t="str">
        <f t="shared" ref="C257" si="224">VLOOKUP(D257,base_datos,6,FALSE)</f>
        <v>ITM Caja Moldeada 3x25A (reg.[0.7-1.0] In) - XT2N160-25A-3P-TMD - 65kA@230Vac, 36kA@415Vac - marca ABB.</v>
      </c>
      <c r="D257" s="2006" t="s">
        <v>851</v>
      </c>
      <c r="E257" s="1791">
        <f>VLOOKUP(D257,base_datos,5,FALSE)</f>
        <v>201.76999999999998</v>
      </c>
      <c r="F257" s="1782">
        <f t="shared" ref="F257:F258" si="225">+E257*B257</f>
        <v>201.76999999999998</v>
      </c>
      <c r="G257" s="1761"/>
      <c r="H257" s="1761"/>
      <c r="I257" s="1761"/>
      <c r="J257" s="1783"/>
      <c r="K257" s="684">
        <f t="shared" si="206"/>
        <v>1</v>
      </c>
      <c r="L257" s="708">
        <v>1</v>
      </c>
      <c r="M257" s="709">
        <f t="shared" ref="M257:M258" si="226">IF(B257="",1,B257)</f>
        <v>1</v>
      </c>
      <c r="N257" s="362">
        <f t="shared" ref="N257:N258" si="227">IF(O257&lt;&gt;"",K257*L257*M257,"")</f>
        <v>1</v>
      </c>
      <c r="O257" s="1763" t="str">
        <f t="shared" ref="O257:O258" si="228">IF(D257&lt;&gt;"",IF(VLOOKUP(D257,base_datos,7,FALSE)&lt;&gt;"",VLOOKUP(D257,base_datos,7,FALSE),""),"")</f>
        <v>1SDA067012R1</v>
      </c>
      <c r="P257" s="1764" t="str">
        <f t="shared" ref="P257:P258" si="229">IF(O257&lt;&gt;"",VLOOKUP(D257,base_datos,6,FALSE),"")</f>
        <v>ITM Caja Moldeada 3x25A (reg.[0.7-1.0] In) - XT2N160-25A-3P-TMD - 65kA@230Vac, 36kA@415Vac - marca ABB.</v>
      </c>
      <c r="Q257" s="120" t="str">
        <f t="shared" ref="Q257:Q258" si="230">IF(O257&lt;&gt;"",D257,"")</f>
        <v>XT2N160-25A-3P-TMD</v>
      </c>
      <c r="R257" s="185"/>
    </row>
    <row r="258" spans="1:20" s="690" customFormat="1" ht="18" customHeight="1">
      <c r="A258" s="1767"/>
      <c r="B258" s="2206">
        <v>1</v>
      </c>
      <c r="C258" s="2207" t="s">
        <v>13026</v>
      </c>
      <c r="D258" s="2208"/>
      <c r="E258" s="2209">
        <v>212.15</v>
      </c>
      <c r="F258" s="2210">
        <f t="shared" si="225"/>
        <v>212.15</v>
      </c>
      <c r="G258" s="1761"/>
      <c r="H258" s="1761"/>
      <c r="I258" s="1761"/>
      <c r="J258" s="1783"/>
      <c r="K258" s="684">
        <f t="shared" si="206"/>
        <v>1</v>
      </c>
      <c r="L258" s="708">
        <v>1</v>
      </c>
      <c r="M258" s="709">
        <f t="shared" si="226"/>
        <v>1</v>
      </c>
      <c r="N258" s="362" t="str">
        <f t="shared" si="227"/>
        <v/>
      </c>
      <c r="O258" s="1763" t="str">
        <f t="shared" si="228"/>
        <v/>
      </c>
      <c r="P258" s="1764" t="str">
        <f t="shared" si="229"/>
        <v/>
      </c>
      <c r="Q258" s="120" t="str">
        <f t="shared" si="230"/>
        <v/>
      </c>
      <c r="R258" s="185"/>
    </row>
    <row r="259" spans="1:20" s="690" customFormat="1" ht="18" customHeight="1">
      <c r="A259" s="1767"/>
      <c r="B259" s="1781">
        <v>1</v>
      </c>
      <c r="C259" s="1960" t="str">
        <f t="shared" ref="C259:C261" si="231">VLOOKUP(D259,base_datos,6,FALSE)</f>
        <v>ITM Caja Moldeada 3x20A (reg.[0.7-1.0] In) - XT2N160-20A-3P-TMD - 65kA@230Vac, 36kA@415Vac - marca ABB.</v>
      </c>
      <c r="D259" s="2006" t="s">
        <v>1331</v>
      </c>
      <c r="E259" s="1791">
        <f>VLOOKUP(D259,base_datos,5,FALSE)</f>
        <v>201.76999999999998</v>
      </c>
      <c r="F259" s="1782">
        <f t="shared" ref="F259:F261" si="232">+E259*B259</f>
        <v>201.76999999999998</v>
      </c>
      <c r="G259" s="1761"/>
      <c r="H259" s="1761"/>
      <c r="I259" s="1761"/>
      <c r="J259" s="1783"/>
      <c r="K259" s="684">
        <f t="shared" si="206"/>
        <v>1</v>
      </c>
      <c r="L259" s="708">
        <v>1</v>
      </c>
      <c r="M259" s="709">
        <f t="shared" si="205"/>
        <v>1</v>
      </c>
      <c r="N259" s="362">
        <f t="shared" si="209"/>
        <v>1</v>
      </c>
      <c r="O259" s="1763" t="str">
        <f t="shared" si="210"/>
        <v>1SDA067011R1</v>
      </c>
      <c r="P259" s="1764" t="str">
        <f t="shared" si="211"/>
        <v>ITM Caja Moldeada 3x20A (reg.[0.7-1.0] In) - XT2N160-20A-3P-TMD - 65kA@230Vac, 36kA@415Vac - marca ABB.</v>
      </c>
      <c r="Q259" s="120" t="str">
        <f t="shared" si="212"/>
        <v>XT2N160-20A-3P-TMD</v>
      </c>
      <c r="R259" s="185"/>
    </row>
    <row r="260" spans="1:20" s="690" customFormat="1" ht="18" customHeight="1">
      <c r="A260" s="1767"/>
      <c r="B260" s="1781">
        <v>3</v>
      </c>
      <c r="C260" s="1960" t="str">
        <f t="shared" ref="C260" si="233">VLOOKUP(D260,base_datos,6,FALSE)</f>
        <v>ITM Caja Moldeada 3x16A (reg.[0.7-1.0] In) - XT2N160-16A-3P-TMD - 65kA@230Vac, 36kA@415Vac - marca ABB.</v>
      </c>
      <c r="D260" s="2006" t="s">
        <v>844</v>
      </c>
      <c r="E260" s="1791">
        <f>VLOOKUP(D260,base_datos,5,FALSE)</f>
        <v>201.76999999999998</v>
      </c>
      <c r="F260" s="1782">
        <f t="shared" ref="F260" si="234">+E260*B260</f>
        <v>605.30999999999995</v>
      </c>
      <c r="G260" s="1761"/>
      <c r="H260" s="1761"/>
      <c r="I260" s="1761"/>
      <c r="J260" s="1783"/>
      <c r="K260" s="684">
        <f t="shared" si="206"/>
        <v>1</v>
      </c>
      <c r="L260" s="708">
        <v>1</v>
      </c>
      <c r="M260" s="709">
        <f t="shared" ref="M260" si="235">IF(B260="",1,B260)</f>
        <v>3</v>
      </c>
      <c r="N260" s="362">
        <f t="shared" ref="N260" si="236">IF(O260&lt;&gt;"",K260*L260*M260,"")</f>
        <v>3</v>
      </c>
      <c r="O260" s="1763" t="str">
        <f t="shared" ref="O260" si="237">IF(D260&lt;&gt;"",IF(VLOOKUP(D260,base_datos,7,FALSE)&lt;&gt;"",VLOOKUP(D260,base_datos,7,FALSE),""),"")</f>
        <v>1SDA067010R1</v>
      </c>
      <c r="P260" s="1764" t="str">
        <f t="shared" ref="P260" si="238">IF(O260&lt;&gt;"",VLOOKUP(D260,base_datos,6,FALSE),"")</f>
        <v>ITM Caja Moldeada 3x16A (reg.[0.7-1.0] In) - XT2N160-16A-3P-TMD - 65kA@230Vac, 36kA@415Vac - marca ABB.</v>
      </c>
      <c r="Q260" s="120" t="str">
        <f t="shared" ref="Q260" si="239">IF(O260&lt;&gt;"",D260,"")</f>
        <v>XT2N160-16A-3P-TMD</v>
      </c>
      <c r="R260" s="185"/>
    </row>
    <row r="261" spans="1:20" s="690" customFormat="1" ht="18" customHeight="1">
      <c r="A261" s="1767"/>
      <c r="B261" s="1781">
        <v>2</v>
      </c>
      <c r="C261" s="1960" t="str">
        <f t="shared" si="231"/>
        <v>Espacio de reserva trifásica - Caja moldeada.</v>
      </c>
      <c r="D261" s="2008" t="s">
        <v>2932</v>
      </c>
      <c r="E261" s="1791">
        <f>VLOOKUP(D261,base_datos,5,FALSE)</f>
        <v>15</v>
      </c>
      <c r="F261" s="1782">
        <f t="shared" si="232"/>
        <v>30</v>
      </c>
      <c r="G261" s="1761"/>
      <c r="H261" s="1761"/>
      <c r="I261" s="1761"/>
      <c r="J261" s="1783"/>
      <c r="K261" s="684">
        <f t="shared" si="206"/>
        <v>1</v>
      </c>
      <c r="L261" s="708">
        <v>1</v>
      </c>
      <c r="M261" s="709">
        <f t="shared" si="205"/>
        <v>2</v>
      </c>
      <c r="N261" s="362" t="str">
        <f t="shared" si="209"/>
        <v/>
      </c>
      <c r="O261" s="1763" t="str">
        <f t="shared" si="210"/>
        <v/>
      </c>
      <c r="P261" s="1764" t="str">
        <f t="shared" si="211"/>
        <v/>
      </c>
      <c r="Q261" s="120" t="str">
        <f t="shared" si="212"/>
        <v/>
      </c>
      <c r="R261" s="185"/>
    </row>
    <row r="262" spans="1:20" s="185" customFormat="1" ht="18" customHeight="1">
      <c r="A262" s="1785"/>
      <c r="B262" s="714"/>
      <c r="C262" s="313" t="s">
        <v>729</v>
      </c>
      <c r="D262" s="173"/>
      <c r="E262" s="1786"/>
      <c r="F262" s="1787"/>
      <c r="G262" s="710"/>
      <c r="H262" s="710"/>
      <c r="I262" s="710"/>
      <c r="J262" s="711"/>
      <c r="K262" s="684">
        <f t="shared" si="206"/>
        <v>1</v>
      </c>
      <c r="L262" s="708">
        <v>1</v>
      </c>
      <c r="M262" s="709">
        <f t="shared" si="205"/>
        <v>1</v>
      </c>
      <c r="N262" s="362" t="str">
        <f t="shared" si="209"/>
        <v/>
      </c>
      <c r="O262" s="1763" t="str">
        <f t="shared" si="210"/>
        <v/>
      </c>
      <c r="P262" s="1764" t="str">
        <f t="shared" si="211"/>
        <v/>
      </c>
      <c r="Q262" s="120" t="str">
        <f t="shared" si="212"/>
        <v/>
      </c>
    </row>
    <row r="263" spans="1:20" s="315" customFormat="1">
      <c r="A263" s="1785"/>
      <c r="B263" s="355"/>
      <c r="C263" s="1944" t="s">
        <v>3063</v>
      </c>
      <c r="D263" s="1941"/>
      <c r="E263" s="1786"/>
      <c r="F263" s="1787"/>
      <c r="G263" s="712"/>
      <c r="H263" s="712"/>
      <c r="I263" s="712"/>
      <c r="J263" s="713"/>
      <c r="K263" s="684">
        <f t="shared" si="206"/>
        <v>1</v>
      </c>
      <c r="L263" s="708">
        <v>1</v>
      </c>
      <c r="M263" s="709">
        <f t="shared" si="205"/>
        <v>1</v>
      </c>
      <c r="N263" s="362" t="str">
        <f t="shared" si="209"/>
        <v/>
      </c>
      <c r="O263" s="1763" t="str">
        <f t="shared" si="210"/>
        <v/>
      </c>
      <c r="P263" s="1764" t="str">
        <f t="shared" si="211"/>
        <v/>
      </c>
      <c r="Q263" s="120" t="str">
        <f t="shared" si="212"/>
        <v/>
      </c>
    </row>
    <row r="264" spans="1:20" s="690" customFormat="1" ht="18" customHeight="1">
      <c r="A264" s="691"/>
      <c r="B264" s="1781">
        <v>1</v>
      </c>
      <c r="C264" s="1960" t="str">
        <f>VLOOKUP(D264,base_datos,6,FALSE)</f>
        <v>ITM Caja Moldeada 3x20A (reg.[0.7-1.0] In) - XT2N160-20A-3P-TMD - 65kA@230Vac, 36kA@415Vac - marca ABB.</v>
      </c>
      <c r="D264" s="2006" t="s">
        <v>1331</v>
      </c>
      <c r="E264" s="1791">
        <f>VLOOKUP(D264,base_datos,5,FALSE)</f>
        <v>201.76999999999998</v>
      </c>
      <c r="F264" s="1782">
        <f t="shared" ref="F264:F265" si="240">+E264*B264</f>
        <v>201.76999999999998</v>
      </c>
      <c r="G264" s="1761"/>
      <c r="H264" s="1761"/>
      <c r="I264" s="1761"/>
      <c r="J264" s="1783"/>
      <c r="K264" s="684">
        <f t="shared" si="206"/>
        <v>1</v>
      </c>
      <c r="L264" s="708">
        <v>1</v>
      </c>
      <c r="M264" s="709">
        <f t="shared" si="205"/>
        <v>1</v>
      </c>
      <c r="N264" s="362">
        <f t="shared" si="209"/>
        <v>1</v>
      </c>
      <c r="O264" s="1763" t="str">
        <f t="shared" si="210"/>
        <v>1SDA067011R1</v>
      </c>
      <c r="P264" s="1764" t="str">
        <f t="shared" si="211"/>
        <v>ITM Caja Moldeada 3x20A (reg.[0.7-1.0] In) - XT2N160-20A-3P-TMD - 65kA@230Vac, 36kA@415Vac - marca ABB.</v>
      </c>
      <c r="Q264" s="120" t="str">
        <f t="shared" si="212"/>
        <v>XT2N160-20A-3P-TMD</v>
      </c>
      <c r="R264" s="185"/>
    </row>
    <row r="265" spans="1:20" s="690" customFormat="1" ht="18" customHeight="1">
      <c r="A265" s="691"/>
      <c r="B265" s="1781">
        <v>1</v>
      </c>
      <c r="C265" s="1960" t="str">
        <f>VLOOKUP(D265,base_datos,6,FALSE)</f>
        <v>Supresor contra sobretensiones (Tipo 1, UL 1449) - OVRHT3C504803D - I_max=50kA por fase, Un=480V,  MCOV=640V (L-G), VPR=2.5kV (L-G) - marca ABB.</v>
      </c>
      <c r="D265" s="2006" t="s">
        <v>12357</v>
      </c>
      <c r="E265" s="1791">
        <f>VLOOKUP(D265,base_datos,5,FALSE)</f>
        <v>386.44</v>
      </c>
      <c r="F265" s="1782">
        <f t="shared" si="240"/>
        <v>386.44</v>
      </c>
      <c r="G265" s="1761"/>
      <c r="H265" s="1761"/>
      <c r="I265" s="1761"/>
      <c r="J265" s="1783"/>
      <c r="K265" s="684">
        <f t="shared" si="206"/>
        <v>1</v>
      </c>
      <c r="L265" s="708">
        <v>1</v>
      </c>
      <c r="M265" s="709">
        <f t="shared" si="205"/>
        <v>1</v>
      </c>
      <c r="N265" s="362">
        <f t="shared" si="209"/>
        <v>1</v>
      </c>
      <c r="O265" s="1763" t="str">
        <f t="shared" si="210"/>
        <v>2CJC605480D0000</v>
      </c>
      <c r="P265" s="1764" t="str">
        <f t="shared" si="211"/>
        <v>Supresor contra sobretensiones (Tipo 1, UL 1449) - OVRHT3C504803D - I_max=50kA por fase, Un=480V,  MCOV=640V (L-G), VPR=2.5kV (L-G) - marca ABB.</v>
      </c>
      <c r="Q265" s="120" t="str">
        <f t="shared" si="212"/>
        <v>OVRHT3C504803D</v>
      </c>
      <c r="R265" s="185"/>
    </row>
    <row r="266" spans="1:20" s="185" customFormat="1" ht="18" customHeight="1">
      <c r="A266" s="1785"/>
      <c r="B266" s="714"/>
      <c r="C266" s="1893" t="s">
        <v>729</v>
      </c>
      <c r="D266" s="173"/>
      <c r="E266" s="1786"/>
      <c r="F266" s="1787"/>
      <c r="G266" s="710"/>
      <c r="H266" s="710"/>
      <c r="I266" s="710"/>
      <c r="J266" s="711"/>
      <c r="K266" s="684">
        <f t="shared" si="206"/>
        <v>1</v>
      </c>
      <c r="L266" s="708">
        <v>1</v>
      </c>
      <c r="M266" s="709">
        <f t="shared" si="205"/>
        <v>1</v>
      </c>
      <c r="N266" s="362" t="str">
        <f t="shared" si="209"/>
        <v/>
      </c>
      <c r="O266" s="1763" t="str">
        <f t="shared" si="210"/>
        <v/>
      </c>
      <c r="P266" s="1764" t="str">
        <f t="shared" si="211"/>
        <v/>
      </c>
      <c r="Q266" s="120" t="str">
        <f t="shared" si="212"/>
        <v/>
      </c>
    </row>
    <row r="267" spans="1:20" s="315" customFormat="1" ht="12.75" customHeight="1">
      <c r="A267" s="2271"/>
      <c r="B267" s="2272">
        <v>1</v>
      </c>
      <c r="C267" s="2281" t="s">
        <v>13366</v>
      </c>
      <c r="D267" s="1935"/>
      <c r="E267" s="2287"/>
      <c r="F267" s="2257">
        <f>+SUM(F268:F271)*(B267-1)</f>
        <v>0</v>
      </c>
      <c r="G267" s="712"/>
      <c r="H267" s="712"/>
      <c r="I267" s="712"/>
      <c r="J267" s="713"/>
      <c r="K267" s="684">
        <v>1</v>
      </c>
      <c r="L267" s="2258">
        <v>1</v>
      </c>
      <c r="M267" s="120">
        <f t="shared" si="205"/>
        <v>1</v>
      </c>
      <c r="N267" s="112" t="str">
        <f t="shared" si="209"/>
        <v/>
      </c>
      <c r="O267" s="112" t="str">
        <f t="shared" si="210"/>
        <v/>
      </c>
      <c r="P267" s="120" t="str">
        <f t="shared" si="211"/>
        <v/>
      </c>
      <c r="Q267" s="120" t="str">
        <f t="shared" si="212"/>
        <v/>
      </c>
      <c r="S267" s="112" t="str">
        <f t="shared" ref="S267:S272" si="241">IF(O267&lt;&gt;"",VLOOKUP(D267,base_datos,9,FALSE),"")</f>
        <v/>
      </c>
      <c r="T267" s="2128"/>
    </row>
    <row r="268" spans="1:20" s="690" customFormat="1" ht="18" customHeight="1">
      <c r="A268" s="2273"/>
      <c r="B268" s="1781">
        <v>1</v>
      </c>
      <c r="C268" s="1420" t="str">
        <f t="shared" ref="C268:C271" si="242">VLOOKUP(D268,base_datos,6,FALSE)</f>
        <v>Calefactor resistivo 60W, modelo RACM - marca FANDIS.</v>
      </c>
      <c r="D268" s="1899" t="s">
        <v>3298</v>
      </c>
      <c r="E268" s="2288">
        <f t="shared" ref="E268" si="243">VLOOKUP(D268,base_datos,5,FALSE)</f>
        <v>127.1</v>
      </c>
      <c r="F268" s="1782">
        <f>+E268*B268</f>
        <v>127.1</v>
      </c>
      <c r="G268" s="1761"/>
      <c r="H268" s="1761"/>
      <c r="I268" s="1761"/>
      <c r="J268" s="689"/>
      <c r="K268" s="684">
        <v>1</v>
      </c>
      <c r="L268" s="2258">
        <v>1</v>
      </c>
      <c r="M268" s="120">
        <f t="shared" si="205"/>
        <v>1</v>
      </c>
      <c r="N268" s="112">
        <f t="shared" si="209"/>
        <v>1</v>
      </c>
      <c r="O268" s="112" t="str">
        <f t="shared" si="210"/>
        <v>RACM-60</v>
      </c>
      <c r="P268" s="120" t="str">
        <f t="shared" si="211"/>
        <v>Calefactor resistivo 60W, modelo RACM - marca FANDIS.</v>
      </c>
      <c r="Q268" s="120" t="str">
        <f t="shared" si="212"/>
        <v>CALEFACT-60W_FAND</v>
      </c>
      <c r="S268" s="112" t="str">
        <f t="shared" si="241"/>
        <v>FANDIS</v>
      </c>
      <c r="T268" s="1765"/>
    </row>
    <row r="269" spans="1:20" s="690" customFormat="1" ht="18" customHeight="1">
      <c r="A269" s="2273"/>
      <c r="B269" s="1781">
        <v>1</v>
      </c>
      <c r="C269" s="1420" t="str">
        <f t="shared" si="242"/>
        <v>Termostato para ventilación - 1NA - 230V - marca FANDIS.</v>
      </c>
      <c r="D269" s="1899" t="s">
        <v>3294</v>
      </c>
      <c r="E269" s="2288">
        <f t="shared" ref="E269:E271" si="244">VLOOKUP(D269,base_datos,5,FALSE)</f>
        <v>41.58</v>
      </c>
      <c r="F269" s="1782">
        <f>+E269*B269</f>
        <v>41.58</v>
      </c>
      <c r="G269" s="1761"/>
      <c r="H269" s="1761"/>
      <c r="I269" s="1761"/>
      <c r="J269" s="689"/>
      <c r="K269" s="684">
        <v>1</v>
      </c>
      <c r="L269" s="2258">
        <v>1</v>
      </c>
      <c r="M269" s="120">
        <f t="shared" si="205"/>
        <v>1</v>
      </c>
      <c r="N269" s="112">
        <f t="shared" si="209"/>
        <v>1</v>
      </c>
      <c r="O269" s="112" t="str">
        <f t="shared" si="210"/>
        <v>TRT-10A230V-NO</v>
      </c>
      <c r="P269" s="120" t="str">
        <f t="shared" si="211"/>
        <v>Termostato para ventilación - 1NA - 230V - marca FANDIS.</v>
      </c>
      <c r="Q269" s="120" t="str">
        <f t="shared" si="212"/>
        <v>TRT-1NA</v>
      </c>
      <c r="S269" s="112" t="str">
        <f t="shared" si="241"/>
        <v>FANDIS</v>
      </c>
      <c r="T269" s="1765"/>
    </row>
    <row r="270" spans="1:20" s="320" customFormat="1" ht="12.75" customHeight="1">
      <c r="A270" s="2274"/>
      <c r="B270" s="2275">
        <v>1</v>
      </c>
      <c r="C270" s="2282" t="str">
        <f t="shared" si="242"/>
        <v>Base portafusibles + Fusibles de protección para control.</v>
      </c>
      <c r="D270" s="1579" t="s">
        <v>453</v>
      </c>
      <c r="E270" s="2289">
        <f t="shared" si="244"/>
        <v>8.1750000000000007</v>
      </c>
      <c r="F270" s="2264">
        <f>+E270*B270</f>
        <v>8.1750000000000007</v>
      </c>
      <c r="G270" s="2276"/>
      <c r="H270" s="2276"/>
      <c r="I270" s="2276"/>
      <c r="J270" s="722"/>
      <c r="K270" s="684">
        <v>1</v>
      </c>
      <c r="L270" s="2258">
        <v>1</v>
      </c>
      <c r="M270" s="120">
        <f t="shared" si="205"/>
        <v>1</v>
      </c>
      <c r="N270" s="112" t="str">
        <f t="shared" si="209"/>
        <v/>
      </c>
      <c r="O270" s="112" t="str">
        <f t="shared" si="210"/>
        <v/>
      </c>
      <c r="P270" s="120" t="str">
        <f t="shared" si="211"/>
        <v/>
      </c>
      <c r="Q270" s="120" t="str">
        <f t="shared" si="212"/>
        <v/>
      </c>
      <c r="R270" s="185"/>
      <c r="S270" s="112" t="str">
        <f t="shared" si="241"/>
        <v/>
      </c>
      <c r="T270" s="709"/>
    </row>
    <row r="271" spans="1:20" s="320" customFormat="1" ht="12.75" customHeight="1">
      <c r="A271" s="2274"/>
      <c r="B271" s="2277">
        <v>1</v>
      </c>
      <c r="C271" s="2282" t="str">
        <f t="shared" si="242"/>
        <v>Borne 4mm2.</v>
      </c>
      <c r="D271" s="1579" t="s">
        <v>437</v>
      </c>
      <c r="E271" s="2260">
        <f t="shared" si="244"/>
        <v>2.5</v>
      </c>
      <c r="F271" s="2260">
        <f>+E271*B271</f>
        <v>2.5</v>
      </c>
      <c r="G271" s="2276"/>
      <c r="H271" s="2276"/>
      <c r="I271" s="2276"/>
      <c r="J271" s="722"/>
      <c r="K271" s="684">
        <v>1</v>
      </c>
      <c r="L271" s="2258">
        <v>1</v>
      </c>
      <c r="M271" s="120">
        <f t="shared" si="205"/>
        <v>1</v>
      </c>
      <c r="N271" s="112" t="str">
        <f t="shared" si="209"/>
        <v/>
      </c>
      <c r="O271" s="112" t="str">
        <f t="shared" si="210"/>
        <v/>
      </c>
      <c r="P271" s="120" t="str">
        <f t="shared" si="211"/>
        <v/>
      </c>
      <c r="Q271" s="120" t="str">
        <f t="shared" si="212"/>
        <v/>
      </c>
      <c r="R271" s="185"/>
      <c r="S271" s="112" t="str">
        <f t="shared" si="241"/>
        <v/>
      </c>
      <c r="T271" s="709"/>
    </row>
    <row r="272" spans="1:20" s="185" customFormat="1" ht="12.75" customHeight="1">
      <c r="A272" s="2262"/>
      <c r="B272" s="1760"/>
      <c r="C272" s="1893" t="s">
        <v>729</v>
      </c>
      <c r="D272" s="169"/>
      <c r="E272" s="2256"/>
      <c r="F272" s="2278"/>
      <c r="G272" s="710"/>
      <c r="H272" s="710"/>
      <c r="I272" s="710"/>
      <c r="J272" s="711"/>
      <c r="K272" s="684">
        <v>1</v>
      </c>
      <c r="L272" s="2258">
        <v>1</v>
      </c>
      <c r="M272" s="120">
        <f t="shared" si="205"/>
        <v>1</v>
      </c>
      <c r="N272" s="112" t="str">
        <f t="shared" si="209"/>
        <v/>
      </c>
      <c r="O272" s="112" t="str">
        <f t="shared" si="210"/>
        <v/>
      </c>
      <c r="P272" s="120" t="str">
        <f t="shared" si="211"/>
        <v/>
      </c>
      <c r="Q272" s="120" t="str">
        <f t="shared" si="212"/>
        <v/>
      </c>
      <c r="S272" s="112" t="str">
        <f t="shared" si="241"/>
        <v/>
      </c>
      <c r="T272" s="118"/>
    </row>
    <row r="273" spans="1:18" s="1236" customFormat="1" ht="18" customHeight="1">
      <c r="A273" s="1767"/>
      <c r="B273" s="1853">
        <v>1</v>
      </c>
      <c r="C273" s="1895" t="s">
        <v>12366</v>
      </c>
      <c r="D273" s="1902"/>
      <c r="E273" s="1792"/>
      <c r="F273" s="1793"/>
      <c r="G273" s="1784"/>
      <c r="H273" s="1784"/>
      <c r="I273" s="1784"/>
      <c r="J273" s="1182"/>
      <c r="K273" s="684">
        <f>+K265</f>
        <v>1</v>
      </c>
      <c r="L273" s="708">
        <v>1</v>
      </c>
      <c r="M273" s="709">
        <f t="shared" si="205"/>
        <v>1</v>
      </c>
      <c r="N273" s="362" t="str">
        <f t="shared" si="209"/>
        <v/>
      </c>
      <c r="O273" s="1763" t="str">
        <f t="shared" si="210"/>
        <v/>
      </c>
      <c r="P273" s="1764" t="str">
        <f t="shared" si="211"/>
        <v/>
      </c>
      <c r="Q273" s="120" t="str">
        <f t="shared" si="212"/>
        <v/>
      </c>
      <c r="R273" s="185"/>
    </row>
    <row r="274" spans="1:18" s="120" customFormat="1" ht="18" customHeight="1">
      <c r="A274" s="687"/>
      <c r="B274" s="1945">
        <v>2</v>
      </c>
      <c r="C274" s="1848" t="str">
        <f>VLOOKUP(D274,base_datos,6,FALSE)</f>
        <v>Transformador de tensión monofásico 480 / 240 Vac - 50VA.</v>
      </c>
      <c r="D274" s="1898" t="s">
        <v>8587</v>
      </c>
      <c r="E274" s="1581">
        <f>VLOOKUP(D274,base_datos,5,FALSE)</f>
        <v>76.8</v>
      </c>
      <c r="F274" s="1581">
        <f>+E274*B274</f>
        <v>153.6</v>
      </c>
      <c r="G274" s="686"/>
      <c r="H274" s="686"/>
      <c r="I274" s="686"/>
      <c r="J274" s="1768"/>
      <c r="K274" s="684">
        <f>+K266</f>
        <v>1</v>
      </c>
      <c r="L274" s="708">
        <v>1</v>
      </c>
      <c r="M274" s="709">
        <f t="shared" si="205"/>
        <v>2</v>
      </c>
      <c r="N274" s="362" t="str">
        <f t="shared" si="209"/>
        <v/>
      </c>
      <c r="O274" s="1763" t="str">
        <f t="shared" si="210"/>
        <v/>
      </c>
      <c r="P274" s="1764" t="str">
        <f t="shared" si="211"/>
        <v/>
      </c>
      <c r="Q274" s="120" t="str">
        <f t="shared" si="212"/>
        <v/>
      </c>
      <c r="R274" s="185"/>
    </row>
    <row r="275" spans="1:18" s="120" customFormat="1" ht="18" customHeight="1">
      <c r="A275" s="687"/>
      <c r="B275" s="1945">
        <v>1</v>
      </c>
      <c r="C275" s="1848" t="str">
        <f>VLOOKUP(D275,base_datos,6,FALSE)</f>
        <v>Transformador de tensión monofásico 480 / 240 Vac - 200VA.</v>
      </c>
      <c r="D275" s="1898" t="s">
        <v>5173</v>
      </c>
      <c r="E275" s="1581">
        <f>VLOOKUP(D275,base_datos,5,FALSE)</f>
        <v>89.5</v>
      </c>
      <c r="F275" s="1581">
        <f>+E275*B275</f>
        <v>89.5</v>
      </c>
      <c r="G275" s="686"/>
      <c r="H275" s="686"/>
      <c r="I275" s="686"/>
      <c r="J275" s="1768"/>
      <c r="K275" s="684">
        <f t="shared" si="206"/>
        <v>1</v>
      </c>
      <c r="L275" s="708">
        <v>1</v>
      </c>
      <c r="M275" s="709">
        <f t="shared" si="205"/>
        <v>1</v>
      </c>
      <c r="N275" s="362" t="str">
        <f t="shared" si="209"/>
        <v/>
      </c>
      <c r="O275" s="1763" t="str">
        <f t="shared" si="210"/>
        <v/>
      </c>
      <c r="P275" s="1764" t="str">
        <f t="shared" si="211"/>
        <v/>
      </c>
      <c r="Q275" s="120" t="str">
        <f t="shared" si="212"/>
        <v/>
      </c>
      <c r="R275" s="185"/>
    </row>
    <row r="276" spans="1:18" s="185" customFormat="1" ht="18" customHeight="1">
      <c r="A276" s="1785"/>
      <c r="B276" s="714"/>
      <c r="C276" s="1893" t="s">
        <v>729</v>
      </c>
      <c r="D276" s="173"/>
      <c r="E276" s="1786"/>
      <c r="F276" s="1787"/>
      <c r="G276" s="710"/>
      <c r="H276" s="710"/>
      <c r="I276" s="710"/>
      <c r="J276" s="711"/>
      <c r="K276" s="684">
        <f t="shared" si="206"/>
        <v>1</v>
      </c>
      <c r="L276" s="708">
        <v>1</v>
      </c>
      <c r="M276" s="709">
        <f t="shared" si="205"/>
        <v>1</v>
      </c>
      <c r="N276" s="362" t="str">
        <f t="shared" si="209"/>
        <v/>
      </c>
      <c r="O276" s="1763" t="str">
        <f t="shared" si="210"/>
        <v/>
      </c>
      <c r="P276" s="1764" t="str">
        <f t="shared" si="211"/>
        <v/>
      </c>
      <c r="Q276" s="120" t="str">
        <f t="shared" si="212"/>
        <v/>
      </c>
    </row>
    <row r="277" spans="1:18" s="1236" customFormat="1" ht="18" customHeight="1">
      <c r="A277" s="1767"/>
      <c r="B277" s="1853">
        <v>1</v>
      </c>
      <c r="C277" s="1895" t="s">
        <v>12364</v>
      </c>
      <c r="D277" s="1902"/>
      <c r="E277" s="1792"/>
      <c r="F277" s="1793"/>
      <c r="G277" s="1784"/>
      <c r="H277" s="1784"/>
      <c r="I277" s="1784"/>
      <c r="J277" s="1182"/>
      <c r="K277" s="684">
        <f t="shared" si="206"/>
        <v>1</v>
      </c>
      <c r="L277" s="708">
        <v>1</v>
      </c>
      <c r="M277" s="709">
        <f t="shared" si="205"/>
        <v>1</v>
      </c>
      <c r="N277" s="362" t="str">
        <f t="shared" si="209"/>
        <v/>
      </c>
      <c r="O277" s="1763" t="str">
        <f t="shared" si="210"/>
        <v/>
      </c>
      <c r="P277" s="1764" t="str">
        <f t="shared" si="211"/>
        <v/>
      </c>
      <c r="Q277" s="120" t="str">
        <f t="shared" si="212"/>
        <v/>
      </c>
      <c r="R277" s="185"/>
    </row>
    <row r="278" spans="1:18" s="695" customFormat="1" ht="18" customHeight="1">
      <c r="A278" s="693"/>
      <c r="B278" s="1922">
        <v>1</v>
      </c>
      <c r="C278" s="1848" t="str">
        <f t="shared" ref="C278" si="245">VLOOKUP(D278,base_datos,6,FALSE)</f>
        <v>Placa lamicoid rotulación de 3mm de espesor, fondo negro y letras blancas.</v>
      </c>
      <c r="D278" s="1886" t="s">
        <v>8570</v>
      </c>
      <c r="E278" s="1795">
        <f t="shared" ref="E278" si="246">VLOOKUP(D278,base_datos,5,FALSE)</f>
        <v>2.2000000000000002</v>
      </c>
      <c r="F278" s="1796">
        <f t="shared" ref="F278" si="247">+E278*B278</f>
        <v>2.2000000000000002</v>
      </c>
      <c r="G278" s="696"/>
      <c r="H278" s="696"/>
      <c r="I278" s="696"/>
      <c r="J278" s="697"/>
      <c r="K278" s="684">
        <f t="shared" si="206"/>
        <v>1</v>
      </c>
      <c r="L278" s="708">
        <v>1</v>
      </c>
      <c r="M278" s="709">
        <f t="shared" si="205"/>
        <v>1</v>
      </c>
      <c r="N278" s="362">
        <f t="shared" si="209"/>
        <v>1</v>
      </c>
      <c r="O278" s="1763" t="str">
        <f t="shared" si="210"/>
        <v>Placa lamicoid p/distr.</v>
      </c>
      <c r="P278" s="1764" t="str">
        <f t="shared" si="211"/>
        <v>Placa lamicoid rotulación de 3mm de espesor, fondo negro y letras blancas.</v>
      </c>
      <c r="Q278" s="120" t="str">
        <f t="shared" si="212"/>
        <v>Placa lamicoid p/distr.</v>
      </c>
      <c r="R278" s="185"/>
    </row>
    <row r="279" spans="1:18" s="1236" customFormat="1" ht="18" customHeight="1">
      <c r="A279" s="1767"/>
      <c r="B279" s="1853">
        <v>1</v>
      </c>
      <c r="C279" s="1895" t="s">
        <v>12474</v>
      </c>
      <c r="D279" s="1902"/>
      <c r="E279" s="1792"/>
      <c r="F279" s="1793"/>
      <c r="G279" s="1784"/>
      <c r="H279" s="1784"/>
      <c r="I279" s="1784"/>
      <c r="J279" s="1182"/>
      <c r="K279" s="684">
        <f t="shared" si="206"/>
        <v>1</v>
      </c>
      <c r="L279" s="708">
        <v>1</v>
      </c>
      <c r="M279" s="709">
        <f t="shared" si="205"/>
        <v>1</v>
      </c>
      <c r="N279" s="362" t="str">
        <f t="shared" si="209"/>
        <v/>
      </c>
      <c r="O279" s="1763" t="str">
        <f t="shared" si="210"/>
        <v/>
      </c>
      <c r="P279" s="1764" t="str">
        <f t="shared" si="211"/>
        <v/>
      </c>
      <c r="Q279" s="120" t="str">
        <f t="shared" si="212"/>
        <v/>
      </c>
      <c r="R279" s="185"/>
    </row>
    <row r="280" spans="1:18" s="1236" customFormat="1" ht="18" customHeight="1">
      <c r="A280" s="1767"/>
      <c r="B280" s="1853">
        <v>1</v>
      </c>
      <c r="C280" s="1848" t="str">
        <f>VLOOKUP(D280,base_datos,6,FALSE)</f>
        <v>Embalaje especial completamente cerrado para tablero adosado de 1600x600x220mm</v>
      </c>
      <c r="D280" s="1902" t="s">
        <v>12453</v>
      </c>
      <c r="E280" s="1795">
        <f t="shared" ref="E280" si="248">VLOOKUP(D280,base_datos,5,FALSE)</f>
        <v>271.40000000000003</v>
      </c>
      <c r="F280" s="1796">
        <f t="shared" ref="F280" si="249">+E280*B280</f>
        <v>271.40000000000003</v>
      </c>
      <c r="G280" s="1784"/>
      <c r="H280" s="1784"/>
      <c r="I280" s="1784"/>
      <c r="J280" s="1182"/>
      <c r="K280" s="684">
        <f t="shared" si="206"/>
        <v>1</v>
      </c>
      <c r="L280" s="708">
        <v>1</v>
      </c>
      <c r="M280" s="709">
        <f t="shared" si="205"/>
        <v>1</v>
      </c>
      <c r="N280" s="362">
        <f t="shared" si="209"/>
        <v>1</v>
      </c>
      <c r="O280" s="1763" t="str">
        <f t="shared" si="210"/>
        <v>EMBAL_ADOS_1600x600x220mm</v>
      </c>
      <c r="P280" s="1764" t="str">
        <f t="shared" si="211"/>
        <v>Embalaje especial completamente cerrado para tablero adosado de 1600x600x220mm</v>
      </c>
      <c r="Q280" s="120" t="str">
        <f t="shared" si="212"/>
        <v>EMBAL_ADOS_1600x600x220mm</v>
      </c>
      <c r="R280" s="185"/>
    </row>
    <row r="281" spans="1:18" s="185" customFormat="1" ht="18" customHeight="1">
      <c r="A281" s="1785"/>
      <c r="B281" s="714"/>
      <c r="C281" s="313" t="s">
        <v>729</v>
      </c>
      <c r="D281" s="173"/>
      <c r="E281" s="1786"/>
      <c r="F281" s="1787"/>
      <c r="G281" s="710"/>
      <c r="H281" s="710"/>
      <c r="I281" s="710"/>
      <c r="J281" s="711"/>
      <c r="K281" s="684">
        <f t="shared" si="206"/>
        <v>1</v>
      </c>
      <c r="L281" s="708">
        <v>1</v>
      </c>
      <c r="M281" s="709">
        <f t="shared" si="205"/>
        <v>1</v>
      </c>
      <c r="N281" s="362" t="str">
        <f t="shared" si="209"/>
        <v/>
      </c>
      <c r="O281" s="1763" t="str">
        <f t="shared" si="210"/>
        <v/>
      </c>
      <c r="P281" s="1764" t="str">
        <f t="shared" si="211"/>
        <v/>
      </c>
      <c r="Q281" s="120" t="str">
        <f t="shared" si="212"/>
        <v/>
      </c>
    </row>
    <row r="282" spans="1:18" s="695" customFormat="1" ht="18" customHeight="1">
      <c r="A282" s="693"/>
      <c r="B282" s="1794">
        <v>1</v>
      </c>
      <c r="C282" s="1420" t="str">
        <f>VLOOKUP(D282,base_datos,6,FALSE)</f>
        <v>Barra a tierra.</v>
      </c>
      <c r="D282" s="1790" t="s">
        <v>8299</v>
      </c>
      <c r="E282" s="1795">
        <f t="shared" ref="E282" si="250">VLOOKUP(D282,base_datos,5,FALSE)</f>
        <v>10</v>
      </c>
      <c r="F282" s="1796">
        <f t="shared" ref="F282" si="251">+E282*B282</f>
        <v>10</v>
      </c>
      <c r="G282" s="696"/>
      <c r="H282" s="696"/>
      <c r="I282" s="696"/>
      <c r="J282" s="697"/>
      <c r="K282" s="684">
        <f t="shared" si="206"/>
        <v>1</v>
      </c>
      <c r="L282" s="708">
        <v>1</v>
      </c>
      <c r="M282" s="709">
        <f t="shared" si="205"/>
        <v>1</v>
      </c>
      <c r="N282" s="362" t="str">
        <f t="shared" si="209"/>
        <v/>
      </c>
      <c r="O282" s="1763" t="str">
        <f t="shared" si="210"/>
        <v/>
      </c>
      <c r="P282" s="1764" t="str">
        <f t="shared" si="211"/>
        <v/>
      </c>
      <c r="Q282" s="120" t="str">
        <f t="shared" si="212"/>
        <v/>
      </c>
      <c r="R282" s="185"/>
    </row>
    <row r="283" spans="1:18" s="185" customFormat="1" ht="18" customHeight="1">
      <c r="A283" s="1785"/>
      <c r="B283" s="714"/>
      <c r="C283" s="313" t="s">
        <v>729</v>
      </c>
      <c r="D283" s="173"/>
      <c r="E283" s="1786"/>
      <c r="F283" s="1787"/>
      <c r="G283" s="710"/>
      <c r="H283" s="710"/>
      <c r="I283" s="710"/>
      <c r="J283" s="711"/>
      <c r="K283" s="684">
        <f t="shared" si="206"/>
        <v>1</v>
      </c>
      <c r="L283" s="708">
        <v>1</v>
      </c>
      <c r="M283" s="709">
        <f t="shared" ref="M283" si="252">IF(B283="",1,B283)</f>
        <v>1</v>
      </c>
      <c r="N283" s="362" t="str">
        <f t="shared" ref="N283" si="253">IF(O283&lt;&gt;"",K283*L283*M283,"")</f>
        <v/>
      </c>
      <c r="O283" s="1763" t="str">
        <f t="shared" ref="O283" si="254">IF(D283&lt;&gt;"",IF(VLOOKUP(D283,base_datos,7,FALSE)&lt;&gt;"",VLOOKUP(D283,base_datos,7,FALSE),""),"")</f>
        <v/>
      </c>
      <c r="P283" s="1764" t="str">
        <f t="shared" ref="P283" si="255">IF(O283&lt;&gt;"",VLOOKUP(D283,base_datos,6,FALSE),"")</f>
        <v/>
      </c>
      <c r="Q283" s="120" t="str">
        <f t="shared" ref="Q283" si="256">IF(O283&lt;&gt;"",D283,"")</f>
        <v/>
      </c>
    </row>
    <row r="284" spans="1:18" s="897" customFormat="1" ht="18" customHeight="1">
      <c r="A284" s="693"/>
      <c r="B284" s="895">
        <v>5</v>
      </c>
      <c r="C284" s="721" t="str">
        <f>VLOOKUP(D284,base_datos,6,FALSE)</f>
        <v>Rotulado por circuito.</v>
      </c>
      <c r="D284" s="1579" t="s">
        <v>3067</v>
      </c>
      <c r="E284" s="1581">
        <f>VLOOKUP(D284,base_datos,5,FALSE)</f>
        <v>0.7</v>
      </c>
      <c r="F284" s="1581">
        <f t="shared" ref="F284:F289" si="257">+E284*B284</f>
        <v>3.5</v>
      </c>
      <c r="G284" s="1772"/>
      <c r="H284" s="1772"/>
      <c r="I284" s="1772"/>
      <c r="J284" s="896"/>
      <c r="K284" s="684">
        <f t="shared" si="206"/>
        <v>1</v>
      </c>
      <c r="L284" s="708">
        <v>1</v>
      </c>
      <c r="M284" s="709">
        <f t="shared" si="205"/>
        <v>5</v>
      </c>
      <c r="N284" s="362" t="str">
        <f t="shared" si="209"/>
        <v/>
      </c>
      <c r="O284" s="1763" t="str">
        <f t="shared" si="210"/>
        <v/>
      </c>
      <c r="P284" s="1764" t="str">
        <f t="shared" si="211"/>
        <v/>
      </c>
      <c r="Q284" s="120" t="str">
        <f t="shared" si="212"/>
        <v/>
      </c>
    </row>
    <row r="285" spans="1:18" s="897" customFormat="1" ht="18" customHeight="1">
      <c r="A285" s="693"/>
      <c r="B285" s="895">
        <v>1</v>
      </c>
      <c r="C285" s="721" t="str">
        <f>VLOOKUP(D285,base_datos,6,FALSE)</f>
        <v>Rotulado para TAG - tablero de distribución.</v>
      </c>
      <c r="D285" s="1579" t="s">
        <v>3066</v>
      </c>
      <c r="E285" s="1581">
        <f>VLOOKUP(D285,base_datos,5,FALSE)</f>
        <v>1.5</v>
      </c>
      <c r="F285" s="1581">
        <f t="shared" si="257"/>
        <v>1.5</v>
      </c>
      <c r="G285" s="1772"/>
      <c r="H285" s="1772"/>
      <c r="I285" s="1772"/>
      <c r="J285" s="896"/>
      <c r="K285" s="684">
        <f t="shared" si="206"/>
        <v>1</v>
      </c>
      <c r="L285" s="708">
        <v>1</v>
      </c>
      <c r="M285" s="709">
        <f t="shared" si="205"/>
        <v>1</v>
      </c>
      <c r="N285" s="362" t="str">
        <f t="shared" si="209"/>
        <v/>
      </c>
      <c r="O285" s="1763" t="str">
        <f t="shared" si="210"/>
        <v/>
      </c>
      <c r="P285" s="1764" t="str">
        <f t="shared" si="211"/>
        <v/>
      </c>
      <c r="Q285" s="120" t="str">
        <f t="shared" si="212"/>
        <v/>
      </c>
    </row>
    <row r="286" spans="1:18" s="1237" customFormat="1" ht="18" customHeight="1">
      <c r="A286" s="1767"/>
      <c r="B286" s="1773">
        <v>1</v>
      </c>
      <c r="C286" s="1992" t="s">
        <v>11664</v>
      </c>
      <c r="D286" s="1887"/>
      <c r="E286" s="2000">
        <v>105.3</v>
      </c>
      <c r="F286" s="1581">
        <f t="shared" si="257"/>
        <v>105.3</v>
      </c>
      <c r="G286" s="1774"/>
      <c r="H286" s="1774"/>
      <c r="I286" s="1774"/>
      <c r="J286" s="1181"/>
      <c r="K286" s="684">
        <f t="shared" si="206"/>
        <v>1</v>
      </c>
      <c r="L286" s="708">
        <v>1</v>
      </c>
      <c r="M286" s="709">
        <f t="shared" si="205"/>
        <v>1</v>
      </c>
      <c r="N286" s="362" t="str">
        <f t="shared" si="209"/>
        <v/>
      </c>
      <c r="O286" s="1763" t="str">
        <f t="shared" si="210"/>
        <v/>
      </c>
      <c r="P286" s="1764" t="str">
        <f t="shared" si="211"/>
        <v/>
      </c>
      <c r="Q286" s="120" t="str">
        <f t="shared" si="212"/>
        <v/>
      </c>
      <c r="R286" s="1765"/>
    </row>
    <row r="287" spans="1:18" s="1237" customFormat="1" ht="18" customHeight="1">
      <c r="A287" s="1767"/>
      <c r="B287" s="2093">
        <v>1</v>
      </c>
      <c r="C287" s="694" t="s">
        <v>12552</v>
      </c>
      <c r="D287" s="1888"/>
      <c r="E287" s="1580">
        <f>E289*15%</f>
        <v>22.349999999999998</v>
      </c>
      <c r="F287" s="1581">
        <f t="shared" si="257"/>
        <v>22.349999999999998</v>
      </c>
      <c r="G287" s="1774"/>
      <c r="H287" s="1774"/>
      <c r="I287" s="1774"/>
      <c r="J287" s="1181"/>
      <c r="K287" s="684">
        <f t="shared" si="206"/>
        <v>1</v>
      </c>
      <c r="L287" s="708">
        <v>1</v>
      </c>
      <c r="M287" s="709">
        <f t="shared" si="205"/>
        <v>1</v>
      </c>
      <c r="N287" s="362" t="str">
        <f t="shared" si="209"/>
        <v/>
      </c>
      <c r="O287" s="1763" t="str">
        <f t="shared" si="210"/>
        <v/>
      </c>
      <c r="P287" s="1764" t="str">
        <f t="shared" si="211"/>
        <v/>
      </c>
      <c r="Q287" s="120" t="str">
        <f t="shared" si="212"/>
        <v/>
      </c>
      <c r="R287" s="1765"/>
    </row>
    <row r="288" spans="1:18" s="1237" customFormat="1" ht="18" customHeight="1">
      <c r="A288" s="1767"/>
      <c r="B288" s="1773">
        <v>1</v>
      </c>
      <c r="C288" s="694" t="s">
        <v>12559</v>
      </c>
      <c r="D288" s="1888"/>
      <c r="E288" s="1999">
        <f>E289*20%</f>
        <v>29.8</v>
      </c>
      <c r="F288" s="1581">
        <f t="shared" si="257"/>
        <v>29.8</v>
      </c>
      <c r="G288" s="1774"/>
      <c r="H288" s="1774"/>
      <c r="I288" s="1774"/>
      <c r="J288" s="1181"/>
      <c r="K288" s="684">
        <f t="shared" si="206"/>
        <v>1</v>
      </c>
      <c r="L288" s="708">
        <v>1</v>
      </c>
      <c r="M288" s="709">
        <f t="shared" si="205"/>
        <v>1</v>
      </c>
      <c r="N288" s="362" t="str">
        <f t="shared" si="209"/>
        <v/>
      </c>
      <c r="O288" s="1763" t="str">
        <f t="shared" si="210"/>
        <v/>
      </c>
      <c r="P288" s="1764" t="str">
        <f t="shared" si="211"/>
        <v/>
      </c>
      <c r="Q288" s="120" t="str">
        <f t="shared" si="212"/>
        <v/>
      </c>
      <c r="R288" s="1765"/>
    </row>
    <row r="289" spans="1:18" s="1237" customFormat="1" ht="18" customHeight="1">
      <c r="A289" s="1767"/>
      <c r="B289" s="1773">
        <v>1</v>
      </c>
      <c r="C289" s="694" t="s">
        <v>12386</v>
      </c>
      <c r="D289" s="1888"/>
      <c r="E289" s="1999">
        <v>149</v>
      </c>
      <c r="F289" s="1581">
        <f t="shared" si="257"/>
        <v>149</v>
      </c>
      <c r="G289" s="1774"/>
      <c r="H289" s="1774"/>
      <c r="I289" s="1774"/>
      <c r="J289" s="1181"/>
      <c r="K289" s="684">
        <f t="shared" si="206"/>
        <v>1</v>
      </c>
      <c r="L289" s="708">
        <v>1</v>
      </c>
      <c r="M289" s="709">
        <f t="shared" si="205"/>
        <v>1</v>
      </c>
      <c r="N289" s="362" t="str">
        <f t="shared" si="209"/>
        <v/>
      </c>
      <c r="O289" s="1763" t="str">
        <f t="shared" si="210"/>
        <v/>
      </c>
      <c r="P289" s="1764" t="str">
        <f t="shared" si="211"/>
        <v/>
      </c>
      <c r="Q289" s="120" t="str">
        <f t="shared" si="212"/>
        <v/>
      </c>
      <c r="R289" s="1765"/>
    </row>
    <row r="290" spans="1:18" s="20" customFormat="1" ht="18" customHeight="1" thickBot="1">
      <c r="A290" s="699"/>
      <c r="B290" s="1775"/>
      <c r="C290" s="1776"/>
      <c r="D290" s="2012"/>
      <c r="E290" s="1981"/>
      <c r="F290" s="1981"/>
      <c r="G290" s="1777"/>
      <c r="H290" s="1777"/>
      <c r="I290" s="1777"/>
      <c r="J290" s="1778"/>
      <c r="K290" s="684"/>
      <c r="L290" s="363"/>
      <c r="M290" s="709"/>
      <c r="N290" s="362" t="str">
        <f t="shared" si="209"/>
        <v/>
      </c>
      <c r="O290" s="1763" t="str">
        <f t="shared" si="210"/>
        <v/>
      </c>
      <c r="P290" s="1764" t="str">
        <f t="shared" si="211"/>
        <v/>
      </c>
      <c r="Q290" s="120" t="str">
        <f t="shared" si="212"/>
        <v/>
      </c>
      <c r="R290" s="1765"/>
    </row>
    <row r="291" spans="1:18" s="120" customFormat="1" ht="18" customHeight="1" thickBot="1">
      <c r="A291" s="1989">
        <v>6</v>
      </c>
      <c r="B291" s="1852">
        <v>1</v>
      </c>
      <c r="C291" s="1756" t="s">
        <v>12571</v>
      </c>
      <c r="D291" s="1588"/>
      <c r="E291" s="1589"/>
      <c r="F291" s="1589"/>
      <c r="G291" s="1757">
        <f>SUM(F292:F371)</f>
        <v>2816.03</v>
      </c>
      <c r="H291" s="1758">
        <f>G291*(1-$D$6)</f>
        <v>2816.03</v>
      </c>
      <c r="I291" s="1757">
        <f>ROUNDUP(H291*$D$5,0)</f>
        <v>9575</v>
      </c>
      <c r="J291" s="1759">
        <f>+I291*B291</f>
        <v>9575</v>
      </c>
      <c r="K291" s="1788">
        <f>B291</f>
        <v>1</v>
      </c>
      <c r="L291" s="363"/>
      <c r="M291" s="684"/>
      <c r="N291" s="362" t="str">
        <f t="shared" si="209"/>
        <v/>
      </c>
      <c r="O291" s="1763" t="str">
        <f t="shared" si="210"/>
        <v/>
      </c>
      <c r="P291" s="1764" t="str">
        <f t="shared" si="211"/>
        <v/>
      </c>
      <c r="Q291" s="120" t="str">
        <f t="shared" si="212"/>
        <v/>
      </c>
      <c r="R291" s="185"/>
    </row>
    <row r="292" spans="1:18" s="120" customFormat="1" ht="18" customHeight="1">
      <c r="A292" s="685" t="s">
        <v>3064</v>
      </c>
      <c r="B292" s="1903"/>
      <c r="C292" s="1890"/>
      <c r="D292" s="1927"/>
      <c r="E292" s="1780"/>
      <c r="F292" s="1780"/>
      <c r="G292" s="686"/>
      <c r="H292" s="710"/>
      <c r="I292" s="686"/>
      <c r="J292" s="1768"/>
      <c r="K292" s="684">
        <f t="shared" ref="K292:K293" si="258">+K291</f>
        <v>1</v>
      </c>
      <c r="L292" s="363">
        <v>1</v>
      </c>
      <c r="M292" s="709">
        <f t="shared" ref="M292:M321" si="259">IF(B292="",1,B292)</f>
        <v>1</v>
      </c>
      <c r="N292" s="362" t="str">
        <f t="shared" si="209"/>
        <v/>
      </c>
      <c r="O292" s="1763" t="str">
        <f t="shared" si="210"/>
        <v/>
      </c>
      <c r="P292" s="1764" t="str">
        <f t="shared" si="211"/>
        <v/>
      </c>
      <c r="Q292" s="120" t="str">
        <f t="shared" si="212"/>
        <v/>
      </c>
    </row>
    <row r="293" spans="1:18" s="315" customFormat="1">
      <c r="A293" s="687" t="s">
        <v>4021</v>
      </c>
      <c r="B293" s="2096">
        <v>1</v>
      </c>
      <c r="C293" s="1907" t="s">
        <v>5103</v>
      </c>
      <c r="D293" s="1935"/>
      <c r="E293" s="1786"/>
      <c r="F293" s="1908">
        <f>SUM(F295:F299)*(B293-1)</f>
        <v>0</v>
      </c>
      <c r="G293" s="712"/>
      <c r="H293" s="712"/>
      <c r="I293" s="712"/>
      <c r="J293" s="713"/>
      <c r="K293" s="684">
        <f t="shared" si="258"/>
        <v>1</v>
      </c>
      <c r="L293" s="1909">
        <f>B293</f>
        <v>1</v>
      </c>
      <c r="M293" s="684">
        <f t="shared" si="259"/>
        <v>1</v>
      </c>
      <c r="N293" s="362" t="str">
        <f t="shared" si="209"/>
        <v/>
      </c>
      <c r="O293" s="1763" t="str">
        <f t="shared" si="210"/>
        <v/>
      </c>
      <c r="P293" s="1764" t="str">
        <f t="shared" si="211"/>
        <v/>
      </c>
      <c r="Q293" s="120" t="str">
        <f t="shared" si="212"/>
        <v/>
      </c>
    </row>
    <row r="294" spans="1:18" s="185" customFormat="1">
      <c r="A294" s="687" t="s">
        <v>4136</v>
      </c>
      <c r="B294" s="1910">
        <v>3</v>
      </c>
      <c r="C294" s="1911" t="str">
        <f>VLOOKUP(D294,base_datos,6,FALSE)</f>
        <v>Portalámpara + lampara tipo LED - color Rojo - alimentacion: 220-230Vac, d=22mm. - CL2-523R - línea compacta - marca ABB.</v>
      </c>
      <c r="D294" s="1790" t="s">
        <v>2439</v>
      </c>
      <c r="E294" s="1939">
        <f>VLOOKUP(D294,base_datos,5,FALSE)</f>
        <v>12.299999999999999</v>
      </c>
      <c r="F294" s="1912">
        <f>+E294*B294</f>
        <v>36.9</v>
      </c>
      <c r="G294" s="710"/>
      <c r="H294" s="710"/>
      <c r="I294" s="710"/>
      <c r="J294" s="711"/>
      <c r="K294" s="684">
        <f>+K292</f>
        <v>1</v>
      </c>
      <c r="L294" s="1913">
        <f>L292</f>
        <v>1</v>
      </c>
      <c r="M294" s="684">
        <f t="shared" si="259"/>
        <v>3</v>
      </c>
      <c r="N294" s="362">
        <f t="shared" si="209"/>
        <v>3</v>
      </c>
      <c r="O294" s="1763" t="str">
        <f t="shared" si="210"/>
        <v>1SFA619403R5231</v>
      </c>
      <c r="P294" s="1764" t="str">
        <f t="shared" si="211"/>
        <v>Portalámpara + lampara tipo LED - color Rojo - alimentacion: 220-230Vac, d=22mm. - CL2-523R - línea compacta - marca ABB.</v>
      </c>
      <c r="Q294" s="120" t="str">
        <f t="shared" si="212"/>
        <v>LAMP_ROJO_220V</v>
      </c>
    </row>
    <row r="295" spans="1:18" s="185" customFormat="1">
      <c r="A295" s="687"/>
      <c r="B295" s="1910">
        <v>3</v>
      </c>
      <c r="C295" s="1911" t="str">
        <f>VLOOKUP(D295,base_datos,6,FALSE)</f>
        <v>Portalámpara + lampara tipo LED - color Verde - alimentacion: 220-230Vac, d=22mm. - CL2-523G - línea compacta - marca ABB.</v>
      </c>
      <c r="D295" s="1790" t="s">
        <v>2440</v>
      </c>
      <c r="E295" s="1939">
        <f>VLOOKUP(D295,base_datos,5,FALSE)</f>
        <v>12.299999999999999</v>
      </c>
      <c r="F295" s="1912">
        <f>+E295*B295</f>
        <v>36.9</v>
      </c>
      <c r="G295" s="710"/>
      <c r="H295" s="710"/>
      <c r="I295" s="710"/>
      <c r="J295" s="711"/>
      <c r="K295" s="684">
        <f t="shared" ref="K295:K370" si="260">+K293</f>
        <v>1</v>
      </c>
      <c r="L295" s="1913">
        <f>L293</f>
        <v>1</v>
      </c>
      <c r="M295" s="684">
        <f t="shared" si="259"/>
        <v>3</v>
      </c>
      <c r="N295" s="362">
        <f t="shared" si="209"/>
        <v>3</v>
      </c>
      <c r="O295" s="1763" t="str">
        <f t="shared" si="210"/>
        <v>1SFA619403R5232</v>
      </c>
      <c r="P295" s="1764" t="str">
        <f t="shared" si="211"/>
        <v>Portalámpara + lampara tipo LED - color Verde - alimentacion: 220-230Vac, d=22mm. - CL2-523G - línea compacta - marca ABB.</v>
      </c>
      <c r="Q295" s="120" t="str">
        <f t="shared" si="212"/>
        <v>LAMP_VERDE_220V</v>
      </c>
    </row>
    <row r="296" spans="1:18" s="1921" customFormat="1">
      <c r="A296" s="687" t="s">
        <v>12356</v>
      </c>
      <c r="B296" s="1914">
        <v>1</v>
      </c>
      <c r="C296" s="1915" t="s">
        <v>3366</v>
      </c>
      <c r="D296" s="1916"/>
      <c r="E296" s="1917"/>
      <c r="F296" s="1918"/>
      <c r="G296" s="1919"/>
      <c r="H296" s="1919"/>
      <c r="I296" s="1919"/>
      <c r="J296" s="1920"/>
      <c r="K296" s="684">
        <f t="shared" si="260"/>
        <v>1</v>
      </c>
      <c r="L296" s="1913">
        <f>L295</f>
        <v>1</v>
      </c>
      <c r="M296" s="684">
        <f t="shared" si="259"/>
        <v>1</v>
      </c>
      <c r="N296" s="362" t="str">
        <f t="shared" si="209"/>
        <v/>
      </c>
      <c r="O296" s="1763" t="str">
        <f t="shared" si="210"/>
        <v/>
      </c>
      <c r="P296" s="1764" t="str">
        <f t="shared" si="211"/>
        <v/>
      </c>
      <c r="Q296" s="120" t="str">
        <f t="shared" si="212"/>
        <v/>
      </c>
    </row>
    <row r="297" spans="1:18" s="320" customFormat="1">
      <c r="A297" s="687" t="s">
        <v>12427</v>
      </c>
      <c r="B297" s="1922">
        <v>1</v>
      </c>
      <c r="C297" s="721" t="str">
        <f>VLOOKUP(D297,base_datos,6,FALSE)</f>
        <v>Rele auxiliar enchufable +4NA/NC (D2PR4B + base D2PA6), 220Vac - marca EATON.</v>
      </c>
      <c r="D297" s="1579" t="s">
        <v>772</v>
      </c>
      <c r="E297" s="1581">
        <f>VLOOKUP(D297,base_datos,5,FALSE)</f>
        <v>27</v>
      </c>
      <c r="F297" s="1923">
        <f>+E297*B297</f>
        <v>27</v>
      </c>
      <c r="G297" s="1924"/>
      <c r="H297" s="1924"/>
      <c r="I297" s="1924"/>
      <c r="J297" s="722"/>
      <c r="K297" s="684">
        <f t="shared" si="260"/>
        <v>1</v>
      </c>
      <c r="L297" s="1913">
        <f>L294</f>
        <v>1</v>
      </c>
      <c r="M297" s="684">
        <f t="shared" si="259"/>
        <v>1</v>
      </c>
      <c r="N297" s="362">
        <f t="shared" si="209"/>
        <v>1</v>
      </c>
      <c r="O297" s="1763" t="str">
        <f t="shared" si="210"/>
        <v>D2PR4B+D2PA6</v>
      </c>
      <c r="P297" s="1764" t="str">
        <f t="shared" si="211"/>
        <v>Rele auxiliar enchufable +4NA/NC (D2PR4B + base D2PA6), 220Vac - marca EATON.</v>
      </c>
      <c r="Q297" s="120" t="str">
        <f t="shared" si="212"/>
        <v>D2PR4B+D2PA6</v>
      </c>
    </row>
    <row r="298" spans="1:18" s="320" customFormat="1">
      <c r="A298" s="1767"/>
      <c r="B298" s="2131">
        <v>1</v>
      </c>
      <c r="C298" s="2132" t="s">
        <v>12558</v>
      </c>
      <c r="D298" s="2133"/>
      <c r="E298" s="2134">
        <v>32</v>
      </c>
      <c r="F298" s="2134">
        <f>+E298*B298</f>
        <v>32</v>
      </c>
      <c r="G298" s="1924"/>
      <c r="H298" s="1924"/>
      <c r="I298" s="1924"/>
      <c r="J298" s="722"/>
      <c r="K298" s="684">
        <f t="shared" si="260"/>
        <v>1</v>
      </c>
      <c r="L298" s="1913">
        <f>L295</f>
        <v>1</v>
      </c>
      <c r="M298" s="684">
        <f t="shared" si="259"/>
        <v>1</v>
      </c>
      <c r="N298" s="362" t="str">
        <f t="shared" si="209"/>
        <v/>
      </c>
      <c r="O298" s="1763" t="str">
        <f t="shared" si="210"/>
        <v/>
      </c>
      <c r="P298" s="1764" t="str">
        <f t="shared" si="211"/>
        <v/>
      </c>
      <c r="Q298" s="120" t="str">
        <f t="shared" si="212"/>
        <v/>
      </c>
    </row>
    <row r="299" spans="1:18" s="320" customFormat="1">
      <c r="A299" s="687" t="s">
        <v>12551</v>
      </c>
      <c r="B299" s="1922">
        <v>4</v>
      </c>
      <c r="C299" s="721" t="str">
        <f>VLOOKUP(D299,base_datos,6,FALSE)</f>
        <v>Base portafusibles + Fusibles de protección para control.</v>
      </c>
      <c r="D299" s="1579" t="s">
        <v>453</v>
      </c>
      <c r="E299" s="1581">
        <f>VLOOKUP(D299,base_datos,5,FALSE)</f>
        <v>8.1750000000000007</v>
      </c>
      <c r="F299" s="1923">
        <f>+E299*B299</f>
        <v>32.700000000000003</v>
      </c>
      <c r="G299" s="1924"/>
      <c r="H299" s="1924"/>
      <c r="I299" s="1924"/>
      <c r="J299" s="722"/>
      <c r="K299" s="684">
        <f t="shared" si="260"/>
        <v>1</v>
      </c>
      <c r="L299" s="1913">
        <f>L296</f>
        <v>1</v>
      </c>
      <c r="M299" s="684">
        <f t="shared" si="259"/>
        <v>4</v>
      </c>
      <c r="N299" s="362" t="str">
        <f t="shared" si="209"/>
        <v/>
      </c>
      <c r="O299" s="1763" t="str">
        <f t="shared" si="210"/>
        <v/>
      </c>
      <c r="P299" s="1764" t="str">
        <f t="shared" si="211"/>
        <v/>
      </c>
      <c r="Q299" s="120" t="str">
        <f t="shared" si="212"/>
        <v/>
      </c>
    </row>
    <row r="300" spans="1:18" s="315" customFormat="1">
      <c r="A300" s="687" t="s">
        <v>3542</v>
      </c>
      <c r="B300" s="1906"/>
      <c r="C300" s="1907"/>
      <c r="D300" s="1935"/>
      <c r="E300" s="1786"/>
      <c r="F300" s="1936"/>
      <c r="G300" s="712"/>
      <c r="H300" s="712"/>
      <c r="I300" s="712"/>
      <c r="J300" s="713"/>
      <c r="K300" s="684">
        <f t="shared" si="260"/>
        <v>1</v>
      </c>
      <c r="L300" s="1909">
        <f>B300</f>
        <v>0</v>
      </c>
      <c r="M300" s="684">
        <f t="shared" si="259"/>
        <v>1</v>
      </c>
      <c r="N300" s="362" t="str">
        <f t="shared" si="209"/>
        <v/>
      </c>
      <c r="O300" s="1763" t="str">
        <f t="shared" si="210"/>
        <v/>
      </c>
      <c r="P300" s="1764" t="str">
        <f t="shared" si="211"/>
        <v/>
      </c>
      <c r="Q300" s="120" t="str">
        <f t="shared" si="212"/>
        <v/>
      </c>
    </row>
    <row r="301" spans="1:18" s="185" customFormat="1">
      <c r="A301" s="687"/>
      <c r="B301" s="1922"/>
      <c r="C301" s="1956" t="s">
        <v>12368</v>
      </c>
      <c r="D301" s="1579"/>
      <c r="E301" s="1957"/>
      <c r="F301" s="1958"/>
      <c r="G301" s="710"/>
      <c r="H301" s="710"/>
      <c r="I301" s="710"/>
      <c r="J301" s="711"/>
      <c r="K301" s="684">
        <f t="shared" si="260"/>
        <v>1</v>
      </c>
      <c r="L301" s="708">
        <v>1</v>
      </c>
      <c r="M301" s="684">
        <f t="shared" si="259"/>
        <v>1</v>
      </c>
      <c r="N301" s="362" t="str">
        <f t="shared" si="209"/>
        <v/>
      </c>
      <c r="O301" s="1763" t="str">
        <f t="shared" si="210"/>
        <v/>
      </c>
      <c r="P301" s="1764" t="str">
        <f t="shared" si="211"/>
        <v/>
      </c>
      <c r="Q301" s="120" t="str">
        <f t="shared" si="212"/>
        <v/>
      </c>
    </row>
    <row r="302" spans="1:18" s="120" customFormat="1" ht="18" customHeight="1">
      <c r="A302" s="1767"/>
      <c r="B302" s="1781"/>
      <c r="C302" s="1959" t="s">
        <v>3158</v>
      </c>
      <c r="D302" s="2005"/>
      <c r="E302" s="1791"/>
      <c r="F302" s="1782"/>
      <c r="G302" s="686"/>
      <c r="H302" s="686"/>
      <c r="I302" s="686"/>
      <c r="J302" s="688"/>
      <c r="K302" s="684">
        <f t="shared" si="260"/>
        <v>1</v>
      </c>
      <c r="L302" s="708">
        <v>1</v>
      </c>
      <c r="M302" s="709">
        <f t="shared" si="259"/>
        <v>1</v>
      </c>
      <c r="N302" s="362" t="str">
        <f t="shared" si="209"/>
        <v/>
      </c>
      <c r="O302" s="1763" t="str">
        <f t="shared" si="210"/>
        <v/>
      </c>
      <c r="P302" s="1764" t="str">
        <f t="shared" si="211"/>
        <v/>
      </c>
      <c r="Q302" s="120" t="str">
        <f t="shared" si="212"/>
        <v/>
      </c>
      <c r="R302" s="185"/>
    </row>
    <row r="303" spans="1:18" s="690" customFormat="1" ht="18" customHeight="1">
      <c r="A303" s="687"/>
      <c r="B303" s="2096">
        <v>1</v>
      </c>
      <c r="C303" s="1960" t="str">
        <f>VLOOKUP(D303,base_datos,6,FALSE)</f>
        <v>ITM Caja Moldeada 3x50A (reg.[0.7-1.0] In) - XT1B160-50A-3P-TMD - 25kA@230Vac, 18kA@415Vac, 18kA@250Vdc - marca ABB.</v>
      </c>
      <c r="D303" s="2006" t="s">
        <v>4368</v>
      </c>
      <c r="E303" s="1791">
        <f>VLOOKUP(D303,base_datos,5,FALSE)</f>
        <v>120.37</v>
      </c>
      <c r="F303" s="1782">
        <f>+E303*B303</f>
        <v>120.37</v>
      </c>
      <c r="G303" s="1761"/>
      <c r="H303" s="1761"/>
      <c r="I303" s="1761"/>
      <c r="J303" s="689"/>
      <c r="K303" s="684">
        <f t="shared" si="260"/>
        <v>1</v>
      </c>
      <c r="L303" s="708">
        <v>1</v>
      </c>
      <c r="M303" s="709">
        <f t="shared" si="259"/>
        <v>1</v>
      </c>
      <c r="N303" s="362">
        <f t="shared" si="209"/>
        <v>1</v>
      </c>
      <c r="O303" s="1763" t="str">
        <f t="shared" si="210"/>
        <v>1SDA066804R1</v>
      </c>
      <c r="P303" s="1764" t="str">
        <f t="shared" si="211"/>
        <v>ITM Caja Moldeada 3x50A (reg.[0.7-1.0] In) - XT1B160-50A-3P-TMD - 25kA@230Vac, 18kA@415Vac, 18kA@250Vdc - marca ABB.</v>
      </c>
      <c r="Q303" s="120" t="str">
        <f t="shared" si="212"/>
        <v>XT1B160-50A-3P-TMD</v>
      </c>
      <c r="R303" s="185"/>
    </row>
    <row r="304" spans="1:18" s="185" customFormat="1" ht="18" customHeight="1">
      <c r="A304" s="687"/>
      <c r="B304" s="714"/>
      <c r="C304" s="313" t="s">
        <v>729</v>
      </c>
      <c r="D304" s="173"/>
      <c r="E304" s="1786"/>
      <c r="F304" s="1787"/>
      <c r="G304" s="710"/>
      <c r="H304" s="710"/>
      <c r="I304" s="710"/>
      <c r="J304" s="711"/>
      <c r="K304" s="684">
        <f t="shared" si="260"/>
        <v>1</v>
      </c>
      <c r="L304" s="708">
        <v>1</v>
      </c>
      <c r="M304" s="709">
        <f t="shared" si="259"/>
        <v>1</v>
      </c>
      <c r="N304" s="362" t="str">
        <f t="shared" si="209"/>
        <v/>
      </c>
      <c r="O304" s="1763" t="str">
        <f t="shared" si="210"/>
        <v/>
      </c>
      <c r="P304" s="1764" t="str">
        <f t="shared" si="211"/>
        <v/>
      </c>
      <c r="Q304" s="120" t="str">
        <f t="shared" si="212"/>
        <v/>
      </c>
    </row>
    <row r="305" spans="1:18" s="690" customFormat="1" ht="18" customHeight="1">
      <c r="A305" s="687"/>
      <c r="B305" s="1851"/>
      <c r="C305" s="1966" t="s">
        <v>9431</v>
      </c>
      <c r="D305" s="1582"/>
      <c r="E305" s="1780"/>
      <c r="F305" s="1782"/>
      <c r="G305" s="1761"/>
      <c r="H305" s="1761"/>
      <c r="I305" s="1761"/>
      <c r="J305" s="689"/>
      <c r="K305" s="684">
        <f t="shared" si="260"/>
        <v>1</v>
      </c>
      <c r="L305" s="708">
        <v>1</v>
      </c>
      <c r="M305" s="709">
        <f t="shared" si="259"/>
        <v>1</v>
      </c>
      <c r="N305" s="362" t="str">
        <f t="shared" ref="N305:N308" si="261">IF(O305&lt;&gt;"",K305*L305*M305,"")</f>
        <v/>
      </c>
      <c r="O305" s="1763" t="str">
        <f t="shared" ref="O305:O308" si="262">IF(D305&lt;&gt;"",IF(VLOOKUP(D305,base_datos,7,FALSE)&lt;&gt;"",VLOOKUP(D305,base_datos,7,FALSE),""),"")</f>
        <v/>
      </c>
      <c r="P305" s="1764" t="str">
        <f t="shared" ref="P305:P308" si="263">IF(O305&lt;&gt;"",VLOOKUP(D305,base_datos,6,FALSE),"")</f>
        <v/>
      </c>
      <c r="Q305" s="120" t="str">
        <f t="shared" ref="Q305:Q308" si="264">IF(O305&lt;&gt;"",D305,"")</f>
        <v/>
      </c>
      <c r="R305" s="185"/>
    </row>
    <row r="306" spans="1:18" s="690" customFormat="1" ht="18" customHeight="1">
      <c r="A306" s="1785"/>
      <c r="B306" s="1781">
        <v>1</v>
      </c>
      <c r="C306" s="1960" t="str">
        <f t="shared" ref="C306" si="265">VLOOKUP(D306,base_datos,6,FALSE)</f>
        <v>ITM Caja Moldeada 3x32A (reg.[0.7-1.0] In) - XT1B160-32A-3P-TMD - 25kA@230Vac, 18kA@415Vac, 18kA@250Vdc - marca ABB.</v>
      </c>
      <c r="D306" s="2006" t="s">
        <v>4364</v>
      </c>
      <c r="E306" s="1791">
        <f t="shared" ref="E306" si="266">VLOOKUP(D306,base_datos,5,FALSE)</f>
        <v>120.37</v>
      </c>
      <c r="F306" s="1782">
        <f t="shared" ref="F306" si="267">+E306*B306</f>
        <v>120.37</v>
      </c>
      <c r="G306" s="1761"/>
      <c r="H306" s="1761"/>
      <c r="I306" s="1761"/>
      <c r="J306" s="1783"/>
      <c r="K306" s="684">
        <f t="shared" si="260"/>
        <v>1</v>
      </c>
      <c r="L306" s="708">
        <v>1</v>
      </c>
      <c r="M306" s="709">
        <f t="shared" si="259"/>
        <v>1</v>
      </c>
      <c r="N306" s="362">
        <f t="shared" ref="N306" si="268">IF(O306&lt;&gt;"",K306*L306*M306,"")</f>
        <v>1</v>
      </c>
      <c r="O306" s="1763" t="str">
        <f t="shared" ref="O306" si="269">IF(D306&lt;&gt;"",IF(VLOOKUP(D306,base_datos,7,FALSE)&lt;&gt;"",VLOOKUP(D306,base_datos,7,FALSE),""),"")</f>
        <v>1SDA066802R1</v>
      </c>
      <c r="P306" s="1764" t="str">
        <f t="shared" ref="P306" si="270">IF(O306&lt;&gt;"",VLOOKUP(D306,base_datos,6,FALSE),"")</f>
        <v>ITM Caja Moldeada 3x32A (reg.[0.7-1.0] In) - XT1B160-32A-3P-TMD - 25kA@230Vac, 18kA@415Vac, 18kA@250Vdc - marca ABB.</v>
      </c>
      <c r="Q306" s="120" t="str">
        <f t="shared" ref="Q306" si="271">IF(O306&lt;&gt;"",D306,"")</f>
        <v>XT1B160-32A-3P-TMD</v>
      </c>
      <c r="R306" s="185"/>
    </row>
    <row r="307" spans="1:18" s="690" customFormat="1" ht="18" customHeight="1">
      <c r="A307" s="1785"/>
      <c r="B307" s="1781">
        <v>1</v>
      </c>
      <c r="C307" s="1960" t="str">
        <f t="shared" ref="C307" si="272">VLOOKUP(D307,base_datos,6,FALSE)</f>
        <v>ITM Caja Moldeada 3x16A (reg.[0.7-1.0] In) - XT1B160-16A-3P-TMD - 25kA@230Vac, 18kA@415Vac, 18kA@250Vdc - marca ABB.</v>
      </c>
      <c r="D307" s="2006" t="s">
        <v>4358</v>
      </c>
      <c r="E307" s="1791">
        <f t="shared" ref="E307" si="273">VLOOKUP(D307,base_datos,5,FALSE)</f>
        <v>120.37</v>
      </c>
      <c r="F307" s="1782">
        <f t="shared" ref="F307:F308" si="274">+E307*B307</f>
        <v>120.37</v>
      </c>
      <c r="G307" s="1761"/>
      <c r="H307" s="1761"/>
      <c r="I307" s="1761"/>
      <c r="J307" s="1783"/>
      <c r="K307" s="684">
        <f t="shared" si="260"/>
        <v>1</v>
      </c>
      <c r="L307" s="708">
        <v>1</v>
      </c>
      <c r="M307" s="709">
        <f t="shared" si="259"/>
        <v>1</v>
      </c>
      <c r="N307" s="362">
        <f t="shared" si="261"/>
        <v>1</v>
      </c>
      <c r="O307" s="1763" t="str">
        <f t="shared" si="262"/>
        <v>1SDA066799R1</v>
      </c>
      <c r="P307" s="1764" t="str">
        <f t="shared" si="263"/>
        <v>ITM Caja Moldeada 3x16A (reg.[0.7-1.0] In) - XT1B160-16A-3P-TMD - 25kA@230Vac, 18kA@415Vac, 18kA@250Vdc - marca ABB.</v>
      </c>
      <c r="Q307" s="120" t="str">
        <f t="shared" si="264"/>
        <v>XT1B160-16A-3P-TMD</v>
      </c>
      <c r="R307" s="185"/>
    </row>
    <row r="308" spans="1:18" s="695" customFormat="1">
      <c r="A308" s="687"/>
      <c r="B308" s="1967">
        <v>1</v>
      </c>
      <c r="C308" s="1946">
        <v>6</v>
      </c>
      <c r="D308" s="1582"/>
      <c r="E308" s="2000">
        <v>30</v>
      </c>
      <c r="F308" s="1968">
        <f t="shared" si="274"/>
        <v>30</v>
      </c>
      <c r="G308" s="1969"/>
      <c r="H308" s="1969"/>
      <c r="I308" s="1969"/>
      <c r="J308" s="1970"/>
      <c r="K308" s="684">
        <f t="shared" si="260"/>
        <v>1</v>
      </c>
      <c r="L308" s="363">
        <v>1</v>
      </c>
      <c r="M308" s="709">
        <f t="shared" si="259"/>
        <v>1</v>
      </c>
      <c r="N308" s="362" t="str">
        <f t="shared" si="261"/>
        <v/>
      </c>
      <c r="O308" s="1763" t="str">
        <f t="shared" si="262"/>
        <v/>
      </c>
      <c r="P308" s="1764" t="str">
        <f t="shared" si="263"/>
        <v/>
      </c>
      <c r="Q308" s="120" t="str">
        <f t="shared" si="264"/>
        <v/>
      </c>
    </row>
    <row r="309" spans="1:18" s="690" customFormat="1" ht="18" customHeight="1">
      <c r="A309" s="1785"/>
      <c r="B309" s="1851"/>
      <c r="C309" s="1966" t="s">
        <v>12546</v>
      </c>
      <c r="D309" s="1582"/>
      <c r="E309" s="1780"/>
      <c r="F309" s="1782"/>
      <c r="G309" s="1761"/>
      <c r="H309" s="1761"/>
      <c r="I309" s="1761"/>
      <c r="J309" s="689"/>
      <c r="K309" s="684">
        <f t="shared" si="260"/>
        <v>1</v>
      </c>
      <c r="L309" s="708">
        <v>1</v>
      </c>
      <c r="M309" s="709">
        <f t="shared" si="259"/>
        <v>1</v>
      </c>
      <c r="N309" s="362" t="str">
        <f t="shared" si="209"/>
        <v/>
      </c>
      <c r="O309" s="1763" t="str">
        <f t="shared" si="210"/>
        <v/>
      </c>
      <c r="P309" s="1764" t="str">
        <f t="shared" si="211"/>
        <v/>
      </c>
      <c r="Q309" s="120" t="str">
        <f t="shared" si="212"/>
        <v/>
      </c>
      <c r="R309" s="185"/>
    </row>
    <row r="310" spans="1:18" s="690" customFormat="1" ht="18" customHeight="1">
      <c r="A310" s="1785"/>
      <c r="B310" s="1781">
        <v>9</v>
      </c>
      <c r="C310" s="1960" t="str">
        <f t="shared" ref="C310:C312" si="275">VLOOKUP(D310,base_datos,6,FALSE)</f>
        <v>ITM Riel-Din 2x16A - S202-C-16A - 10kA@400Vac-IEC60947-2 - marca ABB.</v>
      </c>
      <c r="D310" s="2007" t="s">
        <v>970</v>
      </c>
      <c r="E310" s="1791">
        <f t="shared" ref="E310:E312" si="276">VLOOKUP(D310,base_datos,5,FALSE)</f>
        <v>17.96</v>
      </c>
      <c r="F310" s="1782">
        <f t="shared" ref="F310:F313" si="277">+E310*B310</f>
        <v>161.64000000000001</v>
      </c>
      <c r="G310" s="1761"/>
      <c r="H310" s="1761"/>
      <c r="I310" s="1761"/>
      <c r="J310" s="1783"/>
      <c r="K310" s="684">
        <f t="shared" si="260"/>
        <v>1</v>
      </c>
      <c r="L310" s="708">
        <v>1</v>
      </c>
      <c r="M310" s="709">
        <f t="shared" si="259"/>
        <v>9</v>
      </c>
      <c r="N310" s="362">
        <f t="shared" si="209"/>
        <v>9</v>
      </c>
      <c r="O310" s="1763" t="str">
        <f t="shared" si="210"/>
        <v>2CDS252001R0164</v>
      </c>
      <c r="P310" s="1764" t="str">
        <f t="shared" si="211"/>
        <v>ITM Riel-Din 2x16A - S202-C-16A - 10kA@400Vac-IEC60947-2 - marca ABB.</v>
      </c>
      <c r="Q310" s="120" t="str">
        <f t="shared" si="212"/>
        <v>S202-C-16A</v>
      </c>
      <c r="R310" s="185"/>
    </row>
    <row r="311" spans="1:18" s="690" customFormat="1" ht="18" customHeight="1">
      <c r="A311" s="1785"/>
      <c r="B311" s="2023">
        <v>9</v>
      </c>
      <c r="C311" s="2041" t="str">
        <f t="shared" ref="C311" si="278">VLOOKUP(D311,base_datos,6,FALSE)</f>
        <v>Interruptor Diferencial 2x25A - 30mA - clase A (inmunizado) - FH202-A-25A-30mA - marca ABB.</v>
      </c>
      <c r="D311" s="2006" t="s">
        <v>5318</v>
      </c>
      <c r="E311" s="2025">
        <f t="shared" ref="E311" si="279">VLOOKUP(D311,base_datos,5,FALSE)</f>
        <v>50</v>
      </c>
      <c r="F311" s="2026">
        <f t="shared" ref="F311" si="280">+E311*B311</f>
        <v>450</v>
      </c>
      <c r="G311" s="1761"/>
      <c r="H311" s="1761"/>
      <c r="I311" s="1761"/>
      <c r="J311" s="1783"/>
      <c r="K311" s="684">
        <f t="shared" si="260"/>
        <v>1</v>
      </c>
      <c r="L311" s="708">
        <v>1</v>
      </c>
      <c r="M311" s="709">
        <f t="shared" si="259"/>
        <v>9</v>
      </c>
      <c r="N311" s="362">
        <f t="shared" si="209"/>
        <v>9</v>
      </c>
      <c r="O311" s="1763" t="str">
        <f t="shared" si="210"/>
        <v>2CSF202102R1250</v>
      </c>
      <c r="P311" s="1764" t="str">
        <f t="shared" si="211"/>
        <v>Interruptor Diferencial 2x25A - 30mA - clase A (inmunizado) - FH202-A-25A-30mA - marca ABB.</v>
      </c>
      <c r="Q311" s="120" t="str">
        <f t="shared" si="212"/>
        <v>FH202-A-25A-30mA</v>
      </c>
      <c r="R311" s="185"/>
    </row>
    <row r="312" spans="1:18" s="690" customFormat="1" ht="18" customHeight="1">
      <c r="A312" s="1785"/>
      <c r="B312" s="1781">
        <v>1</v>
      </c>
      <c r="C312" s="1960" t="str">
        <f t="shared" si="275"/>
        <v>Espacio de reserva monofasica + interruptor diferencial - Riel-Din.</v>
      </c>
      <c r="D312" s="2006" t="s">
        <v>2926</v>
      </c>
      <c r="E312" s="1791">
        <f t="shared" si="276"/>
        <v>2.5</v>
      </c>
      <c r="F312" s="1782">
        <f t="shared" si="277"/>
        <v>2.5</v>
      </c>
      <c r="G312" s="1761"/>
      <c r="H312" s="1761"/>
      <c r="I312" s="1761"/>
      <c r="J312" s="1783"/>
      <c r="K312" s="684">
        <f t="shared" si="260"/>
        <v>1</v>
      </c>
      <c r="L312" s="708">
        <v>1</v>
      </c>
      <c r="M312" s="709">
        <f t="shared" si="259"/>
        <v>1</v>
      </c>
      <c r="N312" s="362" t="str">
        <f t="shared" si="209"/>
        <v/>
      </c>
      <c r="O312" s="1763" t="str">
        <f t="shared" si="210"/>
        <v/>
      </c>
      <c r="P312" s="1764" t="str">
        <f t="shared" si="211"/>
        <v/>
      </c>
      <c r="Q312" s="120" t="str">
        <f t="shared" si="212"/>
        <v/>
      </c>
      <c r="R312" s="185"/>
    </row>
    <row r="313" spans="1:18" s="695" customFormat="1">
      <c r="A313" s="687"/>
      <c r="B313" s="1967">
        <v>1</v>
      </c>
      <c r="C313" s="1946">
        <v>24</v>
      </c>
      <c r="D313" s="1582"/>
      <c r="E313" s="2000">
        <v>70</v>
      </c>
      <c r="F313" s="1968">
        <f t="shared" si="277"/>
        <v>70</v>
      </c>
      <c r="G313" s="1969"/>
      <c r="H313" s="1969"/>
      <c r="I313" s="1969"/>
      <c r="J313" s="1970"/>
      <c r="K313" s="684">
        <f t="shared" si="260"/>
        <v>1</v>
      </c>
      <c r="L313" s="363">
        <v>1</v>
      </c>
      <c r="M313" s="709">
        <f t="shared" si="259"/>
        <v>1</v>
      </c>
      <c r="N313" s="362" t="str">
        <f t="shared" si="209"/>
        <v/>
      </c>
      <c r="O313" s="1763" t="str">
        <f t="shared" si="210"/>
        <v/>
      </c>
      <c r="P313" s="1764" t="str">
        <f t="shared" si="211"/>
        <v/>
      </c>
      <c r="Q313" s="120" t="str">
        <f t="shared" si="212"/>
        <v/>
      </c>
    </row>
    <row r="314" spans="1:18" s="185" customFormat="1">
      <c r="A314" s="1785"/>
      <c r="B314" s="714"/>
      <c r="C314" s="1893" t="s">
        <v>729</v>
      </c>
      <c r="D314" s="1941"/>
      <c r="E314" s="1786"/>
      <c r="F314" s="1787"/>
      <c r="G314" s="710"/>
      <c r="H314" s="710"/>
      <c r="I314" s="710"/>
      <c r="J314" s="711"/>
      <c r="K314" s="684">
        <f t="shared" si="260"/>
        <v>1</v>
      </c>
      <c r="L314" s="363">
        <v>1</v>
      </c>
      <c r="M314" s="709">
        <f t="shared" si="259"/>
        <v>1</v>
      </c>
      <c r="N314" s="362" t="str">
        <f t="shared" si="209"/>
        <v/>
      </c>
      <c r="O314" s="1763" t="str">
        <f t="shared" si="210"/>
        <v/>
      </c>
      <c r="P314" s="1764" t="str">
        <f t="shared" si="211"/>
        <v/>
      </c>
      <c r="Q314" s="120" t="str">
        <f t="shared" si="212"/>
        <v/>
      </c>
    </row>
    <row r="315" spans="1:18" s="690" customFormat="1" ht="18" customHeight="1">
      <c r="A315" s="1785"/>
      <c r="B315" s="1851"/>
      <c r="C315" s="1966" t="s">
        <v>12547</v>
      </c>
      <c r="D315" s="1582"/>
      <c r="E315" s="1780"/>
      <c r="F315" s="1782"/>
      <c r="G315" s="1761"/>
      <c r="H315" s="1761"/>
      <c r="I315" s="1761"/>
      <c r="J315" s="689"/>
      <c r="K315" s="684">
        <f t="shared" si="260"/>
        <v>1</v>
      </c>
      <c r="L315" s="708">
        <v>1</v>
      </c>
      <c r="M315" s="709">
        <f t="shared" si="259"/>
        <v>1</v>
      </c>
      <c r="N315" s="362" t="str">
        <f t="shared" ref="N315:N321" si="281">IF(O315&lt;&gt;"",K315*L315*M315,"")</f>
        <v/>
      </c>
      <c r="O315" s="1763" t="str">
        <f t="shared" ref="O315:O321" si="282">IF(D315&lt;&gt;"",IF(VLOOKUP(D315,base_datos,7,FALSE)&lt;&gt;"",VLOOKUP(D315,base_datos,7,FALSE),""),"")</f>
        <v/>
      </c>
      <c r="P315" s="1764" t="str">
        <f t="shared" ref="P315:P321" si="283">IF(O315&lt;&gt;"",VLOOKUP(D315,base_datos,6,FALSE),"")</f>
        <v/>
      </c>
      <c r="Q315" s="120" t="str">
        <f t="shared" ref="Q315:Q321" si="284">IF(O315&lt;&gt;"",D315,"")</f>
        <v/>
      </c>
      <c r="R315" s="185"/>
    </row>
    <row r="316" spans="1:18" s="2434" customFormat="1" ht="18" customHeight="1">
      <c r="A316" s="2462"/>
      <c r="B316" s="2435">
        <v>1</v>
      </c>
      <c r="C316" s="2436" t="str">
        <f t="shared" ref="C316:C319" si="285">VLOOKUP(D316,base_datos,6,FALSE)</f>
        <v>ITM Caja Moldeada 2x20A - A1N/P125-20A-2P-TMF - 50kA@230Vac, 36kA@400Vac, 10kA@125Vdc - marca ABB.</v>
      </c>
      <c r="D316" s="2483" t="s">
        <v>1173</v>
      </c>
      <c r="E316" s="2482">
        <f t="shared" ref="E316:E319" si="286">VLOOKUP(D316,base_datos,5,FALSE)</f>
        <v>59.769999999999996</v>
      </c>
      <c r="F316" s="2422">
        <f t="shared" ref="F316:F320" si="287">+E316*B316</f>
        <v>59.769999999999996</v>
      </c>
      <c r="G316" s="2424"/>
      <c r="H316" s="2424"/>
      <c r="I316" s="2424"/>
      <c r="J316" s="2425"/>
      <c r="K316" s="2426">
        <f t="shared" si="260"/>
        <v>1</v>
      </c>
      <c r="L316" s="2463">
        <v>1</v>
      </c>
      <c r="M316" s="2428">
        <f t="shared" si="259"/>
        <v>1</v>
      </c>
      <c r="N316" s="2429">
        <f t="shared" si="281"/>
        <v>1</v>
      </c>
      <c r="O316" s="2430" t="str">
        <f t="shared" si="282"/>
        <v>1SDA069552R1</v>
      </c>
      <c r="P316" s="2431" t="str">
        <f t="shared" si="283"/>
        <v>ITM Caja Moldeada 2x20A - A1N/P125-20A-2P-TMF - 50kA@230Vac, 36kA@400Vac, 10kA@125Vdc - marca ABB.</v>
      </c>
      <c r="Q316" s="2432" t="str">
        <f t="shared" si="284"/>
        <v>A1N/P125-20A-2P-TMF</v>
      </c>
      <c r="R316" s="2433"/>
    </row>
    <row r="317" spans="1:18" s="690" customFormat="1" ht="18" customHeight="1">
      <c r="A317" s="1785"/>
      <c r="B317" s="1781">
        <v>2</v>
      </c>
      <c r="C317" s="1960" t="str">
        <f t="shared" si="285"/>
        <v>ITM Riel-Din 2x16A - S202-C-16A - 10kA@400Vac-IEC60947-2 - marca ABB.</v>
      </c>
      <c r="D317" s="2007" t="s">
        <v>970</v>
      </c>
      <c r="E317" s="1791">
        <f t="shared" si="286"/>
        <v>17.96</v>
      </c>
      <c r="F317" s="1782">
        <f t="shared" si="287"/>
        <v>35.92</v>
      </c>
      <c r="G317" s="1761"/>
      <c r="H317" s="1761"/>
      <c r="I317" s="1761"/>
      <c r="J317" s="1783"/>
      <c r="K317" s="684">
        <f t="shared" si="260"/>
        <v>1</v>
      </c>
      <c r="L317" s="708">
        <v>1</v>
      </c>
      <c r="M317" s="709">
        <f t="shared" si="259"/>
        <v>2</v>
      </c>
      <c r="N317" s="362">
        <f t="shared" si="281"/>
        <v>2</v>
      </c>
      <c r="O317" s="1763" t="str">
        <f t="shared" si="282"/>
        <v>2CDS252001R0164</v>
      </c>
      <c r="P317" s="1764" t="str">
        <f t="shared" si="283"/>
        <v>ITM Riel-Din 2x16A - S202-C-16A - 10kA@400Vac-IEC60947-2 - marca ABB.</v>
      </c>
      <c r="Q317" s="120" t="str">
        <f t="shared" si="284"/>
        <v>S202-C-16A</v>
      </c>
      <c r="R317" s="185"/>
    </row>
    <row r="318" spans="1:18" s="690" customFormat="1" ht="18" customHeight="1">
      <c r="A318" s="1785"/>
      <c r="B318" s="2023">
        <v>2</v>
      </c>
      <c r="C318" s="2041" t="str">
        <f t="shared" si="285"/>
        <v>Interruptor Diferencial 2x25A - 30mA - clase A (inmunizado) - FH202-A-25A-30mA - marca ABB.</v>
      </c>
      <c r="D318" s="2007" t="s">
        <v>5318</v>
      </c>
      <c r="E318" s="2025">
        <f t="shared" si="286"/>
        <v>50</v>
      </c>
      <c r="F318" s="2026">
        <f t="shared" si="287"/>
        <v>100</v>
      </c>
      <c r="G318" s="1761"/>
      <c r="H318" s="1761"/>
      <c r="I318" s="1761"/>
      <c r="J318" s="1783"/>
      <c r="K318" s="684">
        <f t="shared" si="260"/>
        <v>1</v>
      </c>
      <c r="L318" s="708">
        <v>1</v>
      </c>
      <c r="M318" s="709">
        <f t="shared" si="259"/>
        <v>2</v>
      </c>
      <c r="N318" s="362">
        <f t="shared" si="281"/>
        <v>2</v>
      </c>
      <c r="O318" s="1763" t="str">
        <f t="shared" si="282"/>
        <v>2CSF202102R1250</v>
      </c>
      <c r="P318" s="1764" t="str">
        <f t="shared" si="283"/>
        <v>Interruptor Diferencial 2x25A - 30mA - clase A (inmunizado) - FH202-A-25A-30mA - marca ABB.</v>
      </c>
      <c r="Q318" s="120" t="str">
        <f t="shared" si="284"/>
        <v>FH202-A-25A-30mA</v>
      </c>
      <c r="R318" s="185"/>
    </row>
    <row r="319" spans="1:18" s="690" customFormat="1" ht="18" customHeight="1">
      <c r="A319" s="1785"/>
      <c r="B319" s="1781">
        <v>1</v>
      </c>
      <c r="C319" s="1960" t="str">
        <f t="shared" si="285"/>
        <v>Espacio de reserva monofasica + interruptor diferencial - Riel-Din.</v>
      </c>
      <c r="D319" s="2006" t="s">
        <v>2926</v>
      </c>
      <c r="E319" s="1791">
        <f t="shared" si="286"/>
        <v>2.5</v>
      </c>
      <c r="F319" s="1782">
        <f t="shared" si="287"/>
        <v>2.5</v>
      </c>
      <c r="G319" s="1761"/>
      <c r="H319" s="1761"/>
      <c r="I319" s="1761"/>
      <c r="J319" s="1783"/>
      <c r="K319" s="684">
        <f t="shared" si="260"/>
        <v>1</v>
      </c>
      <c r="L319" s="708">
        <v>1</v>
      </c>
      <c r="M319" s="709">
        <f t="shared" si="259"/>
        <v>1</v>
      </c>
      <c r="N319" s="362" t="str">
        <f t="shared" si="281"/>
        <v/>
      </c>
      <c r="O319" s="1763" t="str">
        <f t="shared" si="282"/>
        <v/>
      </c>
      <c r="P319" s="1764" t="str">
        <f t="shared" si="283"/>
        <v/>
      </c>
      <c r="Q319" s="120" t="str">
        <f t="shared" si="284"/>
        <v/>
      </c>
      <c r="R319" s="185"/>
    </row>
    <row r="320" spans="1:18" s="695" customFormat="1">
      <c r="A320" s="687"/>
      <c r="B320" s="1967">
        <v>1</v>
      </c>
      <c r="C320" s="1946">
        <v>8</v>
      </c>
      <c r="D320" s="1582"/>
      <c r="E320" s="2000">
        <v>32</v>
      </c>
      <c r="F320" s="1968">
        <f t="shared" si="287"/>
        <v>32</v>
      </c>
      <c r="G320" s="1969"/>
      <c r="H320" s="1969"/>
      <c r="I320" s="1969"/>
      <c r="J320" s="1970"/>
      <c r="K320" s="684">
        <f t="shared" si="260"/>
        <v>1</v>
      </c>
      <c r="L320" s="363">
        <v>1</v>
      </c>
      <c r="M320" s="709">
        <f t="shared" si="259"/>
        <v>1</v>
      </c>
      <c r="N320" s="362" t="str">
        <f t="shared" si="281"/>
        <v/>
      </c>
      <c r="O320" s="1763" t="str">
        <f t="shared" si="282"/>
        <v/>
      </c>
      <c r="P320" s="1764" t="str">
        <f t="shared" si="283"/>
        <v/>
      </c>
      <c r="Q320" s="120" t="str">
        <f t="shared" si="284"/>
        <v/>
      </c>
    </row>
    <row r="321" spans="1:18" s="185" customFormat="1">
      <c r="A321" s="1785"/>
      <c r="B321" s="714"/>
      <c r="C321" s="1893" t="s">
        <v>729</v>
      </c>
      <c r="D321" s="1941"/>
      <c r="E321" s="1786"/>
      <c r="F321" s="1787"/>
      <c r="G321" s="710"/>
      <c r="H321" s="710"/>
      <c r="I321" s="710"/>
      <c r="J321" s="711"/>
      <c r="K321" s="684">
        <f t="shared" si="260"/>
        <v>1</v>
      </c>
      <c r="L321" s="363">
        <v>1</v>
      </c>
      <c r="M321" s="709">
        <f t="shared" si="259"/>
        <v>1</v>
      </c>
      <c r="N321" s="362" t="str">
        <f t="shared" si="281"/>
        <v/>
      </c>
      <c r="O321" s="1763" t="str">
        <f t="shared" si="282"/>
        <v/>
      </c>
      <c r="P321" s="1764" t="str">
        <f t="shared" si="283"/>
        <v/>
      </c>
      <c r="Q321" s="120" t="str">
        <f t="shared" si="284"/>
        <v/>
      </c>
    </row>
    <row r="322" spans="1:18" s="315" customFormat="1">
      <c r="A322" s="1785"/>
      <c r="B322" s="1906">
        <v>3</v>
      </c>
      <c r="C322" s="1944" t="s">
        <v>13040</v>
      </c>
      <c r="D322" s="1941"/>
      <c r="E322" s="1786"/>
      <c r="F322" s="1908">
        <f>SUM(F323:F328)*(B322-1)</f>
        <v>105.97</v>
      </c>
      <c r="G322" s="712"/>
      <c r="H322" s="712"/>
      <c r="I322" s="712"/>
      <c r="J322" s="713"/>
      <c r="K322" s="684">
        <f t="shared" si="260"/>
        <v>1</v>
      </c>
      <c r="L322" s="2224">
        <f>B322</f>
        <v>3</v>
      </c>
      <c r="M322" s="709">
        <f>IF(B322="",1,B322)</f>
        <v>3</v>
      </c>
      <c r="N322" s="362" t="str">
        <f t="shared" ref="N322:N447" si="288">IF(O322&lt;&gt;"",K322*L322*M322,"")</f>
        <v/>
      </c>
      <c r="O322" s="1763" t="str">
        <f t="shared" ref="O322:O447" si="289">IF(D322&lt;&gt;"",IF(VLOOKUP(D322,base_datos,7,FALSE)&lt;&gt;"",VLOOKUP(D322,base_datos,7,FALSE),""),"")</f>
        <v/>
      </c>
      <c r="P322" s="1764" t="str">
        <f t="shared" ref="P322:P447" si="290">IF(O322&lt;&gt;"",VLOOKUP(D322,base_datos,6,FALSE),"")</f>
        <v/>
      </c>
      <c r="Q322" s="120" t="str">
        <f t="shared" ref="Q322:Q447" si="291">IF(O322&lt;&gt;"",D322,"")</f>
        <v/>
      </c>
    </row>
    <row r="323" spans="1:18" s="690" customFormat="1" ht="18" customHeight="1">
      <c r="A323" s="691"/>
      <c r="B323" s="1781">
        <v>1</v>
      </c>
      <c r="C323" s="1420" t="str">
        <f>VLOOKUP(D323,base_datos,6,FALSE)</f>
        <v>Contactor 3x09A(AC-3) / 3x25A(AC-1) +1NA - AF09-30-10-13 - bobina 100-250Vac/dc - marca ABB.</v>
      </c>
      <c r="D323" s="1901" t="s">
        <v>1447</v>
      </c>
      <c r="E323" s="1791">
        <f>VLOOKUP(D323,base_datos,5,FALSE)</f>
        <v>29.89</v>
      </c>
      <c r="F323" s="1912">
        <f>+E323*B323</f>
        <v>29.89</v>
      </c>
      <c r="G323" s="1761"/>
      <c r="H323" s="1761"/>
      <c r="I323" s="1761"/>
      <c r="J323" s="1783"/>
      <c r="K323" s="684">
        <f t="shared" si="260"/>
        <v>1</v>
      </c>
      <c r="L323" s="1913">
        <f>L322</f>
        <v>3</v>
      </c>
      <c r="M323" s="709">
        <f t="shared" ref="M323:M328" si="292">IF(B323="",1,B323)</f>
        <v>1</v>
      </c>
      <c r="N323" s="362">
        <f t="shared" si="288"/>
        <v>3</v>
      </c>
      <c r="O323" s="1763" t="str">
        <f t="shared" si="289"/>
        <v>1SBL137001R1310</v>
      </c>
      <c r="P323" s="1764" t="str">
        <f t="shared" si="290"/>
        <v>Contactor 3x09A(AC-3) / 3x25A(AC-1) +1NA - AF09-30-10-13 - bobina 100-250Vac/dc - marca ABB.</v>
      </c>
      <c r="Q323" s="120" t="str">
        <f t="shared" si="291"/>
        <v>AF09-30-10-13_3p</v>
      </c>
      <c r="R323" s="185"/>
    </row>
    <row r="324" spans="1:18" s="690" customFormat="1" ht="18" customHeight="1">
      <c r="A324" s="691"/>
      <c r="B324" s="1922">
        <v>1</v>
      </c>
      <c r="C324" s="1848" t="str">
        <f>VLOOKUP(D324,base_datos,6,FALSE)</f>
        <v>Contacto auxiliar frontal 1NA para contactor AF09..AF16-30-10, frontal - Modelo CA4-10 - marca ABB.</v>
      </c>
      <c r="D324" s="1901" t="s">
        <v>2718</v>
      </c>
      <c r="E324" s="1791">
        <f>VLOOKUP(D324,base_datos,5,FALSE)</f>
        <v>5.92</v>
      </c>
      <c r="F324" s="1912">
        <f>+E324*B324</f>
        <v>5.92</v>
      </c>
      <c r="G324" s="1761"/>
      <c r="H324" s="1761"/>
      <c r="I324" s="1761"/>
      <c r="J324" s="1783"/>
      <c r="K324" s="684">
        <f t="shared" si="260"/>
        <v>1</v>
      </c>
      <c r="L324" s="1913">
        <f t="shared" ref="L324" si="293">L323</f>
        <v>3</v>
      </c>
      <c r="M324" s="709">
        <f t="shared" si="292"/>
        <v>1</v>
      </c>
      <c r="N324" s="362">
        <f t="shared" si="288"/>
        <v>3</v>
      </c>
      <c r="O324" s="1763" t="str">
        <f t="shared" si="289"/>
        <v>1SBN010110R1010</v>
      </c>
      <c r="P324" s="1764" t="str">
        <f t="shared" si="290"/>
        <v>Contacto auxiliar frontal 1NA para contactor AF09..AF16-30-10, frontal - Modelo CA4-10 - marca ABB.</v>
      </c>
      <c r="Q324" s="120" t="str">
        <f t="shared" si="291"/>
        <v>CA4-10</v>
      </c>
      <c r="R324" s="185"/>
    </row>
    <row r="325" spans="1:18" s="1921" customFormat="1" ht="23.25" customHeight="1">
      <c r="A325" s="687"/>
      <c r="B325" s="1914">
        <v>1</v>
      </c>
      <c r="C325" s="1915" t="s">
        <v>3366</v>
      </c>
      <c r="D325" s="1916"/>
      <c r="E325" s="1917"/>
      <c r="F325" s="1918"/>
      <c r="G325" s="1919"/>
      <c r="H325" s="1919"/>
      <c r="I325" s="1919"/>
      <c r="J325" s="1920"/>
      <c r="K325" s="684">
        <f t="shared" si="260"/>
        <v>1</v>
      </c>
      <c r="L325" s="1913">
        <f>L324</f>
        <v>3</v>
      </c>
      <c r="M325" s="684">
        <f t="shared" si="292"/>
        <v>1</v>
      </c>
      <c r="N325" s="362" t="str">
        <f t="shared" si="288"/>
        <v/>
      </c>
      <c r="O325" s="1763" t="str">
        <f t="shared" si="289"/>
        <v/>
      </c>
      <c r="P325" s="1764" t="str">
        <f t="shared" si="290"/>
        <v/>
      </c>
      <c r="Q325" s="120" t="str">
        <f t="shared" si="291"/>
        <v/>
      </c>
    </row>
    <row r="326" spans="1:18" s="695" customFormat="1" ht="18" customHeight="1">
      <c r="A326" s="693"/>
      <c r="B326" s="1922">
        <v>1</v>
      </c>
      <c r="C326" s="1848" t="str">
        <f t="shared" ref="C326:C328" si="294">VLOOKUP(D326,base_datos,6,FALSE)</f>
        <v>Base portafusibles + Fusibles de protección para control.</v>
      </c>
      <c r="D326" s="1886" t="s">
        <v>453</v>
      </c>
      <c r="E326" s="1795">
        <f t="shared" ref="E326:E328" si="295">VLOOKUP(D326,base_datos,5,FALSE)</f>
        <v>8.1750000000000007</v>
      </c>
      <c r="F326" s="1923">
        <f t="shared" ref="F326:F328" si="296">+E326*B326</f>
        <v>8.1750000000000007</v>
      </c>
      <c r="G326" s="696"/>
      <c r="H326" s="696"/>
      <c r="I326" s="696"/>
      <c r="J326" s="697"/>
      <c r="K326" s="684">
        <f t="shared" si="260"/>
        <v>1</v>
      </c>
      <c r="L326" s="1913">
        <f>L324</f>
        <v>3</v>
      </c>
      <c r="M326" s="709">
        <f t="shared" si="292"/>
        <v>1</v>
      </c>
      <c r="N326" s="362" t="str">
        <f t="shared" si="288"/>
        <v/>
      </c>
      <c r="O326" s="1763" t="str">
        <f t="shared" si="289"/>
        <v/>
      </c>
      <c r="P326" s="1764" t="str">
        <f t="shared" si="290"/>
        <v/>
      </c>
      <c r="Q326" s="120" t="str">
        <f t="shared" si="291"/>
        <v/>
      </c>
      <c r="R326" s="185"/>
    </row>
    <row r="327" spans="1:18" s="695" customFormat="1" ht="18" customHeight="1">
      <c r="A327" s="693"/>
      <c r="B327" s="1922">
        <v>1</v>
      </c>
      <c r="C327" s="1848" t="str">
        <f t="shared" ref="C327" si="297">VLOOKUP(D327,base_datos,6,FALSE)</f>
        <v>Borne para neutro.</v>
      </c>
      <c r="D327" s="1886" t="s">
        <v>13049</v>
      </c>
      <c r="E327" s="1795">
        <f t="shared" si="295"/>
        <v>4</v>
      </c>
      <c r="F327" s="1923">
        <f t="shared" ref="F327" si="298">+E327*B327</f>
        <v>4</v>
      </c>
      <c r="G327" s="696"/>
      <c r="H327" s="696"/>
      <c r="I327" s="696"/>
      <c r="J327" s="697"/>
      <c r="K327" s="684">
        <f t="shared" si="260"/>
        <v>1</v>
      </c>
      <c r="L327" s="1913">
        <f>L325</f>
        <v>3</v>
      </c>
      <c r="M327" s="709">
        <f t="shared" ref="M327" si="299">IF(B327="",1,B327)</f>
        <v>1</v>
      </c>
      <c r="N327" s="362" t="str">
        <f t="shared" ref="N327" si="300">IF(O327&lt;&gt;"",K327*L327*M327,"")</f>
        <v/>
      </c>
      <c r="O327" s="1763" t="str">
        <f t="shared" ref="O327" si="301">IF(D327&lt;&gt;"",IF(VLOOKUP(D327,base_datos,7,FALSE)&lt;&gt;"",VLOOKUP(D327,base_datos,7,FALSE),""),"")</f>
        <v/>
      </c>
      <c r="P327" s="1764" t="str">
        <f t="shared" ref="P327" si="302">IF(O327&lt;&gt;"",VLOOKUP(D327,base_datos,6,FALSE),"")</f>
        <v/>
      </c>
      <c r="Q327" s="120" t="str">
        <f t="shared" ref="Q327" si="303">IF(O327&lt;&gt;"",D327,"")</f>
        <v/>
      </c>
      <c r="R327" s="185"/>
    </row>
    <row r="328" spans="1:18" s="695" customFormat="1" ht="18" customHeight="1">
      <c r="A328" s="693"/>
      <c r="B328" s="1922">
        <v>2</v>
      </c>
      <c r="C328" s="1848" t="str">
        <f t="shared" si="294"/>
        <v>Borne 4mm2.</v>
      </c>
      <c r="D328" s="1886" t="s">
        <v>437</v>
      </c>
      <c r="E328" s="1795">
        <f t="shared" si="295"/>
        <v>2.5</v>
      </c>
      <c r="F328" s="1923">
        <f t="shared" si="296"/>
        <v>5</v>
      </c>
      <c r="G328" s="696"/>
      <c r="H328" s="696"/>
      <c r="I328" s="696"/>
      <c r="J328" s="697"/>
      <c r="K328" s="684">
        <f t="shared" si="260"/>
        <v>1</v>
      </c>
      <c r="L328" s="1913">
        <f>L326</f>
        <v>3</v>
      </c>
      <c r="M328" s="709">
        <f t="shared" si="292"/>
        <v>2</v>
      </c>
      <c r="N328" s="362" t="str">
        <f t="shared" si="288"/>
        <v/>
      </c>
      <c r="O328" s="1763" t="str">
        <f t="shared" si="289"/>
        <v/>
      </c>
      <c r="P328" s="1764" t="str">
        <f t="shared" si="290"/>
        <v/>
      </c>
      <c r="Q328" s="120" t="str">
        <f t="shared" si="291"/>
        <v/>
      </c>
      <c r="R328" s="185"/>
    </row>
    <row r="329" spans="1:18" s="185" customFormat="1">
      <c r="A329" s="692"/>
      <c r="B329" s="714"/>
      <c r="C329" s="1893" t="s">
        <v>729</v>
      </c>
      <c r="D329" s="1941"/>
      <c r="E329" s="1786"/>
      <c r="F329" s="1787"/>
      <c r="G329" s="710"/>
      <c r="H329" s="710"/>
      <c r="I329" s="710"/>
      <c r="J329" s="711"/>
      <c r="K329" s="684">
        <f t="shared" si="260"/>
        <v>1</v>
      </c>
      <c r="L329" s="363">
        <v>1</v>
      </c>
      <c r="M329" s="709">
        <f>IF(B329="",1,B329)</f>
        <v>1</v>
      </c>
      <c r="N329" s="362" t="str">
        <f t="shared" si="288"/>
        <v/>
      </c>
      <c r="O329" s="1763" t="str">
        <f t="shared" si="289"/>
        <v/>
      </c>
      <c r="P329" s="1764" t="str">
        <f t="shared" si="290"/>
        <v/>
      </c>
      <c r="Q329" s="120" t="str">
        <f t="shared" si="291"/>
        <v/>
      </c>
    </row>
    <row r="330" spans="1:18" s="2434" customFormat="1" ht="18" customHeight="1">
      <c r="A330" s="2418"/>
      <c r="B330" s="2419">
        <v>3</v>
      </c>
      <c r="C330" s="2420" t="s">
        <v>13045</v>
      </c>
      <c r="D330" s="2421"/>
      <c r="E330" s="2422"/>
      <c r="F330" s="2423">
        <f>SUM(F331:F335)*(B330-1)</f>
        <v>67.710000000000008</v>
      </c>
      <c r="G330" s="2424"/>
      <c r="H330" s="2424"/>
      <c r="I330" s="2424"/>
      <c r="J330" s="2425"/>
      <c r="K330" s="2426">
        <f t="shared" si="260"/>
        <v>1</v>
      </c>
      <c r="L330" s="2427">
        <f>B330</f>
        <v>3</v>
      </c>
      <c r="M330" s="2428">
        <f t="shared" ref="M330:M332" si="304">IF(B330="",1,B330)</f>
        <v>3</v>
      </c>
      <c r="N330" s="2429" t="str">
        <f>IF(O330&lt;&gt;"",K330*L330*M330,"")</f>
        <v/>
      </c>
      <c r="O330" s="2430" t="str">
        <f>IF(D330&lt;&gt;"",IF(VLOOKUP(D330,base_datos,7,FALSE)&lt;&gt;"",VLOOKUP(D330,base_datos,7,FALSE),""),"")</f>
        <v/>
      </c>
      <c r="P330" s="2431" t="str">
        <f>IF(O330&lt;&gt;"",VLOOKUP(D330,base_datos,6,FALSE),"")</f>
        <v/>
      </c>
      <c r="Q330" s="2432" t="str">
        <f>IF(O330&lt;&gt;"",D330,"")</f>
        <v/>
      </c>
      <c r="R330" s="2433"/>
    </row>
    <row r="331" spans="1:18" s="2434" customFormat="1" ht="18" customHeight="1">
      <c r="A331" s="2418"/>
      <c r="B331" s="2435">
        <v>1</v>
      </c>
      <c r="C331" s="2436" t="str">
        <f>VLOOKUP(D331,base_datos,6,FALSE)</f>
        <v>Selector 3 posiciones mantenidos - 1-0-2 / M-0-A - maneta corta, contactos 2NA - C3SS1-10B-20 - compacto - marca ABB.</v>
      </c>
      <c r="D331" s="2437" t="s">
        <v>1223</v>
      </c>
      <c r="E331" s="2422">
        <f>VLOOKUP(D331,base_datos,5,FALSE)</f>
        <v>16.680000000000003</v>
      </c>
      <c r="F331" s="2438">
        <f t="shared" ref="F331" si="305">+E331*B331</f>
        <v>16.680000000000003</v>
      </c>
      <c r="G331" s="2424"/>
      <c r="H331" s="2424"/>
      <c r="I331" s="2424"/>
      <c r="J331" s="2425"/>
      <c r="K331" s="2426">
        <f t="shared" si="260"/>
        <v>1</v>
      </c>
      <c r="L331" s="2427">
        <f>L330</f>
        <v>3</v>
      </c>
      <c r="M331" s="2428">
        <f t="shared" si="304"/>
        <v>1</v>
      </c>
      <c r="N331" s="2429">
        <f>IF(O331&lt;&gt;"",K331*L331*M331,"")</f>
        <v>3</v>
      </c>
      <c r="O331" s="2430" t="str">
        <f>IF(D331&lt;&gt;"",IF(VLOOKUP(D331,base_datos,7,FALSE)&lt;&gt;"",VLOOKUP(D331,base_datos,7,FALSE),""),"")</f>
        <v>1SFA619210R1026</v>
      </c>
      <c r="P331" s="2431" t="str">
        <f>IF(O331&lt;&gt;"",VLOOKUP(D331,base_datos,6,FALSE),"")</f>
        <v>Selector 3 posiciones mantenidos - 1-0-2 / M-0-A - maneta corta, contactos 2NA - C3SS1-10B-20 - compacto - marca ABB.</v>
      </c>
      <c r="Q331" s="2432" t="str">
        <f>IF(O331&lt;&gt;"",D331,"")</f>
        <v>SEL_1-0-2</v>
      </c>
      <c r="R331" s="2433"/>
    </row>
    <row r="332" spans="1:18" s="2432" customFormat="1">
      <c r="A332" s="2418"/>
      <c r="B332" s="2435">
        <v>1</v>
      </c>
      <c r="C332" s="2439" t="s">
        <v>3366</v>
      </c>
      <c r="D332" s="2440"/>
      <c r="E332" s="2422"/>
      <c r="F332" s="2438"/>
      <c r="G332" s="2441"/>
      <c r="H332" s="2441"/>
      <c r="I332" s="2441"/>
      <c r="J332" s="2442"/>
      <c r="K332" s="2426">
        <f t="shared" si="260"/>
        <v>1</v>
      </c>
      <c r="L332" s="2427">
        <f>L333</f>
        <v>3</v>
      </c>
      <c r="M332" s="2426">
        <f t="shared" si="304"/>
        <v>1</v>
      </c>
      <c r="N332" s="2429" t="str">
        <f t="shared" ref="N332" si="306">IF(O332&lt;&gt;"",K332*L332*M332,"")</f>
        <v/>
      </c>
      <c r="O332" s="2430" t="str">
        <f t="shared" ref="O332" si="307">IF(D332&lt;&gt;"",IF(VLOOKUP(D332,base_datos,7,FALSE)&lt;&gt;"",VLOOKUP(D332,base_datos,7,FALSE),""),"")</f>
        <v/>
      </c>
      <c r="P332" s="2431" t="str">
        <f t="shared" ref="P332" si="308">IF(O332&lt;&gt;"",VLOOKUP(D332,base_datos,6,FALSE),"")</f>
        <v/>
      </c>
      <c r="Q332" s="2432" t="str">
        <f t="shared" ref="Q332" si="309">IF(O332&lt;&gt;"",D332,"")</f>
        <v/>
      </c>
    </row>
    <row r="333" spans="1:18" s="2450" customFormat="1" ht="18" customHeight="1">
      <c r="A333" s="2443"/>
      <c r="B333" s="2444">
        <v>1</v>
      </c>
      <c r="C333" s="2445" t="str">
        <f t="shared" ref="C333:C335" si="310">VLOOKUP(D333,base_datos,6,FALSE)</f>
        <v>Base portafusibles + Fusibles de protección para control.</v>
      </c>
      <c r="D333" s="2446" t="s">
        <v>453</v>
      </c>
      <c r="E333" s="2447">
        <f t="shared" ref="E333:E335" si="311">VLOOKUP(D333,base_datos,5,FALSE)</f>
        <v>8.1750000000000007</v>
      </c>
      <c r="F333" s="2438">
        <f>+E333*B333</f>
        <v>8.1750000000000007</v>
      </c>
      <c r="G333" s="2448"/>
      <c r="H333" s="2448"/>
      <c r="I333" s="2448"/>
      <c r="J333" s="2449"/>
      <c r="K333" s="2426">
        <f t="shared" si="260"/>
        <v>1</v>
      </c>
      <c r="L333" s="2427">
        <f>L331</f>
        <v>3</v>
      </c>
      <c r="M333" s="2428">
        <f>IF(B333="",1,B333)</f>
        <v>1</v>
      </c>
      <c r="N333" s="2429" t="str">
        <f>IF(O333&lt;&gt;"",K333*L333*M333,"")</f>
        <v/>
      </c>
      <c r="O333" s="2430" t="str">
        <f>IF(D333&lt;&gt;"",IF(VLOOKUP(D333,base_datos,7,FALSE)&lt;&gt;"",VLOOKUP(D333,base_datos,7,FALSE),""),"")</f>
        <v/>
      </c>
      <c r="P333" s="2431" t="str">
        <f>IF(O333&lt;&gt;"",VLOOKUP(D333,base_datos,6,FALSE),"")</f>
        <v/>
      </c>
      <c r="Q333" s="2432" t="str">
        <f>IF(O333&lt;&gt;"",D333,"")</f>
        <v/>
      </c>
      <c r="R333" s="2433"/>
    </row>
    <row r="334" spans="1:18" s="2450" customFormat="1" ht="18" customHeight="1">
      <c r="A334" s="2443"/>
      <c r="B334" s="2444">
        <v>1</v>
      </c>
      <c r="C334" s="2445" t="str">
        <f t="shared" si="310"/>
        <v>Borne para neutro.</v>
      </c>
      <c r="D334" s="2451" t="s">
        <v>436</v>
      </c>
      <c r="E334" s="2447">
        <f t="shared" si="311"/>
        <v>4</v>
      </c>
      <c r="F334" s="2438">
        <f t="shared" ref="F334:F335" si="312">+E334*B334</f>
        <v>4</v>
      </c>
      <c r="G334" s="2448"/>
      <c r="H334" s="2448"/>
      <c r="I334" s="2448"/>
      <c r="J334" s="2449"/>
      <c r="K334" s="2426">
        <f t="shared" si="260"/>
        <v>1</v>
      </c>
      <c r="L334" s="2427">
        <f>L332</f>
        <v>3</v>
      </c>
      <c r="M334" s="2428">
        <f t="shared" ref="M334:M336" si="313">IF(B334="",1,B334)</f>
        <v>1</v>
      </c>
      <c r="N334" s="2429" t="str">
        <f t="shared" ref="N334:N335" si="314">IF(O334&lt;&gt;"",K334*L334*M334,"")</f>
        <v/>
      </c>
      <c r="O334" s="2430" t="str">
        <f t="shared" ref="O334:O335" si="315">IF(D334&lt;&gt;"",IF(VLOOKUP(D334,base_datos,7,FALSE)&lt;&gt;"",VLOOKUP(D334,base_datos,7,FALSE),""),"")</f>
        <v/>
      </c>
      <c r="P334" s="2431" t="str">
        <f t="shared" ref="P334:P335" si="316">IF(O334&lt;&gt;"",VLOOKUP(D334,base_datos,6,FALSE),"")</f>
        <v/>
      </c>
      <c r="Q334" s="2432" t="str">
        <f t="shared" ref="Q334:Q335" si="317">IF(O334&lt;&gt;"",D334,"")</f>
        <v/>
      </c>
      <c r="R334" s="2433"/>
    </row>
    <row r="335" spans="1:18" s="2450" customFormat="1" ht="18" customHeight="1">
      <c r="A335" s="2443"/>
      <c r="B335" s="2444">
        <v>2</v>
      </c>
      <c r="C335" s="2445" t="str">
        <f t="shared" si="310"/>
        <v>Borne 4mm2.</v>
      </c>
      <c r="D335" s="2446" t="s">
        <v>13038</v>
      </c>
      <c r="E335" s="2447">
        <f t="shared" si="311"/>
        <v>2.5</v>
      </c>
      <c r="F335" s="2438">
        <f t="shared" si="312"/>
        <v>5</v>
      </c>
      <c r="G335" s="2448"/>
      <c r="H335" s="2448"/>
      <c r="I335" s="2448"/>
      <c r="J335" s="2449"/>
      <c r="K335" s="2426">
        <f t="shared" si="260"/>
        <v>1</v>
      </c>
      <c r="L335" s="2427">
        <f t="shared" ref="L335" si="318">L334</f>
        <v>3</v>
      </c>
      <c r="M335" s="2428">
        <f t="shared" si="313"/>
        <v>2</v>
      </c>
      <c r="N335" s="2429" t="str">
        <f t="shared" si="314"/>
        <v/>
      </c>
      <c r="O335" s="2430" t="str">
        <f t="shared" si="315"/>
        <v/>
      </c>
      <c r="P335" s="2431" t="str">
        <f t="shared" si="316"/>
        <v/>
      </c>
      <c r="Q335" s="2432" t="str">
        <f t="shared" si="317"/>
        <v/>
      </c>
      <c r="R335" s="2433"/>
    </row>
    <row r="336" spans="1:18" s="2433" customFormat="1">
      <c r="A336" s="2418"/>
      <c r="B336" s="2452"/>
      <c r="C336" s="2453" t="s">
        <v>729</v>
      </c>
      <c r="D336" s="2451"/>
      <c r="E336" s="2454"/>
      <c r="F336" s="2455"/>
      <c r="G336" s="2456"/>
      <c r="H336" s="2456"/>
      <c r="I336" s="2456"/>
      <c r="J336" s="2457"/>
      <c r="K336" s="2426">
        <f t="shared" si="260"/>
        <v>1</v>
      </c>
      <c r="L336" s="2458">
        <v>1</v>
      </c>
      <c r="M336" s="2426">
        <f t="shared" si="313"/>
        <v>1</v>
      </c>
      <c r="N336" s="2459" t="str">
        <f>IF(O336&lt;&gt;"",K336*L336*M336,"")</f>
        <v/>
      </c>
      <c r="O336" s="2460" t="str">
        <f>IF(D336&lt;&gt;"",IF(VLOOKUP(D336,base_datos,7,FALSE)&lt;&gt;"",VLOOKUP(D336,base_datos,7,FALSE),""),"")</f>
        <v/>
      </c>
      <c r="P336" s="2461" t="str">
        <f>IF(O336&lt;&gt;"",VLOOKUP(D336,base_datos,6,FALSE),"")</f>
        <v/>
      </c>
      <c r="Q336" s="2433" t="str">
        <f>IF(O336&lt;&gt;"",D336,"")</f>
        <v/>
      </c>
    </row>
    <row r="337" spans="1:20" s="2450" customFormat="1" ht="18" customHeight="1">
      <c r="A337" s="2462"/>
      <c r="B337" s="2444">
        <v>1</v>
      </c>
      <c r="C337" s="2445" t="str">
        <f>VLOOKUP(D337,base_datos,6,FALSE)</f>
        <v>Rele auxiliar enchufable +4NA/NC (D2PR4B + base D2PA6), 220Vac - marca EATON.</v>
      </c>
      <c r="D337" s="2446" t="s">
        <v>772</v>
      </c>
      <c r="E337" s="2447">
        <f>VLOOKUP(D337,base_datos,5,FALSE)</f>
        <v>27</v>
      </c>
      <c r="F337" s="2438">
        <f>+E337*B337</f>
        <v>27</v>
      </c>
      <c r="G337" s="2448"/>
      <c r="H337" s="2448"/>
      <c r="I337" s="2448"/>
      <c r="J337" s="2449"/>
      <c r="K337" s="2426">
        <f t="shared" si="260"/>
        <v>1</v>
      </c>
      <c r="L337" s="2463">
        <v>1</v>
      </c>
      <c r="M337" s="2428">
        <f>IF(B337="",1,B337)</f>
        <v>1</v>
      </c>
      <c r="N337" s="2429">
        <f>IF(O337&lt;&gt;"",K337*L337*M337,"")</f>
        <v>1</v>
      </c>
      <c r="O337" s="2430" t="str">
        <f>IF(D337&lt;&gt;"",IF(VLOOKUP(D337,base_datos,7,FALSE)&lt;&gt;"",VLOOKUP(D337,base_datos,7,FALSE),""),"")</f>
        <v>D2PR4B+D2PA6</v>
      </c>
      <c r="P337" s="2431" t="str">
        <f>IF(O337&lt;&gt;"",VLOOKUP(D337,base_datos,6,FALSE),"")</f>
        <v>Rele auxiliar enchufable +4NA/NC (D2PR4B + base D2PA6), 220Vac - marca EATON.</v>
      </c>
      <c r="Q337" s="2432" t="str">
        <f>IF(O337&lt;&gt;"",D337,"")</f>
        <v>D2PR4B+D2PA6</v>
      </c>
      <c r="R337" s="2433"/>
    </row>
    <row r="338" spans="1:20" s="2450" customFormat="1" ht="18" customHeight="1">
      <c r="A338" s="2443"/>
      <c r="B338" s="2444">
        <v>4</v>
      </c>
      <c r="C338" s="2445" t="str">
        <f t="shared" ref="C338:C340" si="319">VLOOKUP(D338,base_datos,6,FALSE)</f>
        <v>Borne 4mm2.</v>
      </c>
      <c r="D338" s="2446" t="s">
        <v>437</v>
      </c>
      <c r="E338" s="2447">
        <f t="shared" ref="E338:E340" si="320">VLOOKUP(D338,base_datos,5,FALSE)</f>
        <v>2.5</v>
      </c>
      <c r="F338" s="2438">
        <f t="shared" ref="F338:F340" si="321">+E338*B338</f>
        <v>10</v>
      </c>
      <c r="G338" s="2448"/>
      <c r="H338" s="2448"/>
      <c r="I338" s="2448"/>
      <c r="J338" s="2449"/>
      <c r="K338" s="2426">
        <f t="shared" si="260"/>
        <v>1</v>
      </c>
      <c r="L338" s="2463">
        <v>1</v>
      </c>
      <c r="M338" s="2428">
        <f t="shared" ref="M338:M341" si="322">IF(B338="",1,B338)</f>
        <v>4</v>
      </c>
      <c r="N338" s="2429" t="str">
        <f t="shared" ref="N338:N340" si="323">IF(O338&lt;&gt;"",K338*L338*M338,"")</f>
        <v/>
      </c>
      <c r="O338" s="2430" t="str">
        <f t="shared" ref="O338:O340" si="324">IF(D338&lt;&gt;"",IF(VLOOKUP(D338,base_datos,7,FALSE)&lt;&gt;"",VLOOKUP(D338,base_datos,7,FALSE),""),"")</f>
        <v/>
      </c>
      <c r="P338" s="2431" t="str">
        <f t="shared" ref="P338:P340" si="325">IF(O338&lt;&gt;"",VLOOKUP(D338,base_datos,6,FALSE),"")</f>
        <v/>
      </c>
      <c r="Q338" s="2432" t="str">
        <f t="shared" ref="Q338:Q340" si="326">IF(O338&lt;&gt;"",D338,"")</f>
        <v/>
      </c>
      <c r="R338" s="2433"/>
    </row>
    <row r="339" spans="1:20" s="2450" customFormat="1" ht="18" customHeight="1">
      <c r="A339" s="2443"/>
      <c r="B339" s="2444">
        <v>1</v>
      </c>
      <c r="C339" s="2445" t="str">
        <f t="shared" si="319"/>
        <v>Base portafusibles + Fusibles de protección para control.</v>
      </c>
      <c r="D339" s="2446" t="s">
        <v>453</v>
      </c>
      <c r="E339" s="2447">
        <f t="shared" si="320"/>
        <v>8.1750000000000007</v>
      </c>
      <c r="F339" s="2438">
        <f t="shared" si="321"/>
        <v>8.1750000000000007</v>
      </c>
      <c r="G339" s="2448"/>
      <c r="H339" s="2448"/>
      <c r="I339" s="2448"/>
      <c r="J339" s="2449"/>
      <c r="K339" s="2426">
        <f t="shared" si="260"/>
        <v>1</v>
      </c>
      <c r="L339" s="2463">
        <v>1</v>
      </c>
      <c r="M339" s="2428">
        <f t="shared" si="322"/>
        <v>1</v>
      </c>
      <c r="N339" s="2429" t="str">
        <f t="shared" si="323"/>
        <v/>
      </c>
      <c r="O339" s="2430" t="str">
        <f t="shared" si="324"/>
        <v/>
      </c>
      <c r="P339" s="2431" t="str">
        <f t="shared" si="325"/>
        <v/>
      </c>
      <c r="Q339" s="2432" t="str">
        <f t="shared" si="326"/>
        <v/>
      </c>
      <c r="R339" s="2433"/>
    </row>
    <row r="340" spans="1:20" s="2450" customFormat="1" ht="18" customHeight="1">
      <c r="A340" s="2443"/>
      <c r="B340" s="2444">
        <v>1</v>
      </c>
      <c r="C340" s="2445" t="str">
        <f t="shared" si="319"/>
        <v>Borne para neutro.</v>
      </c>
      <c r="D340" s="2451" t="s">
        <v>436</v>
      </c>
      <c r="E340" s="2447">
        <f t="shared" si="320"/>
        <v>4</v>
      </c>
      <c r="F340" s="2438">
        <f t="shared" si="321"/>
        <v>4</v>
      </c>
      <c r="G340" s="2448"/>
      <c r="H340" s="2448"/>
      <c r="I340" s="2448"/>
      <c r="J340" s="2449"/>
      <c r="K340" s="2426">
        <f t="shared" si="260"/>
        <v>1</v>
      </c>
      <c r="L340" s="2427">
        <f t="shared" ref="L340" si="327">L339</f>
        <v>1</v>
      </c>
      <c r="M340" s="2428">
        <f t="shared" si="322"/>
        <v>1</v>
      </c>
      <c r="N340" s="2429" t="str">
        <f t="shared" si="323"/>
        <v/>
      </c>
      <c r="O340" s="2430" t="str">
        <f t="shared" si="324"/>
        <v/>
      </c>
      <c r="P340" s="2431" t="str">
        <f t="shared" si="325"/>
        <v/>
      </c>
      <c r="Q340" s="2432" t="str">
        <f t="shared" si="326"/>
        <v/>
      </c>
      <c r="R340" s="2433"/>
    </row>
    <row r="341" spans="1:20" s="2433" customFormat="1">
      <c r="A341" s="2418"/>
      <c r="B341" s="2452"/>
      <c r="C341" s="2453" t="s">
        <v>729</v>
      </c>
      <c r="D341" s="2451"/>
      <c r="E341" s="2454"/>
      <c r="F341" s="2455"/>
      <c r="G341" s="2456"/>
      <c r="H341" s="2456"/>
      <c r="I341" s="2456"/>
      <c r="J341" s="2457"/>
      <c r="K341" s="2426">
        <f t="shared" si="260"/>
        <v>1</v>
      </c>
      <c r="L341" s="2463">
        <v>1</v>
      </c>
      <c r="M341" s="2426">
        <f t="shared" si="322"/>
        <v>1</v>
      </c>
      <c r="N341" s="2459" t="str">
        <f>IF(O341&lt;&gt;"",K341*L341*M341,"")</f>
        <v/>
      </c>
      <c r="O341" s="2460" t="str">
        <f>IF(D341&lt;&gt;"",IF(VLOOKUP(D341,base_datos,7,FALSE)&lt;&gt;"",VLOOKUP(D341,base_datos,7,FALSE),""),"")</f>
        <v/>
      </c>
      <c r="P341" s="2461" t="str">
        <f>IF(O341&lt;&gt;"",VLOOKUP(D341,base_datos,6,FALSE),"")</f>
        <v/>
      </c>
      <c r="Q341" s="2433" t="str">
        <f>IF(O341&lt;&gt;"",D341,"")</f>
        <v/>
      </c>
    </row>
    <row r="342" spans="1:20" s="315" customFormat="1">
      <c r="A342" s="1785"/>
      <c r="B342" s="355">
        <v>4</v>
      </c>
      <c r="C342" s="1944" t="s">
        <v>13041</v>
      </c>
      <c r="D342" s="1941"/>
      <c r="E342" s="1786"/>
      <c r="F342" s="1908">
        <f>SUM(F343:F348)*(B342-1)</f>
        <v>158.95499999999998</v>
      </c>
      <c r="G342" s="712"/>
      <c r="H342" s="712"/>
      <c r="I342" s="712"/>
      <c r="J342" s="713"/>
      <c r="K342" s="684">
        <f>+K328</f>
        <v>1</v>
      </c>
      <c r="L342" s="2224">
        <f>B342</f>
        <v>4</v>
      </c>
      <c r="M342" s="709">
        <f>IF(B342="",1,B342)</f>
        <v>4</v>
      </c>
      <c r="N342" s="362" t="str">
        <f t="shared" si="288"/>
        <v/>
      </c>
      <c r="O342" s="1763" t="str">
        <f t="shared" si="289"/>
        <v/>
      </c>
      <c r="P342" s="1764" t="str">
        <f t="shared" si="290"/>
        <v/>
      </c>
      <c r="Q342" s="120" t="str">
        <f t="shared" si="291"/>
        <v/>
      </c>
    </row>
    <row r="343" spans="1:20" s="690" customFormat="1" ht="18" customHeight="1">
      <c r="A343" s="691"/>
      <c r="B343" s="1781">
        <v>1</v>
      </c>
      <c r="C343" s="1420" t="str">
        <f>VLOOKUP(D343,base_datos,6,FALSE)</f>
        <v>Contactor 3x09A(AC-3) / 3x25A(AC-1) +1NA - AF09-30-10-13 - bobina 100-250Vac/dc - marca ABB.</v>
      </c>
      <c r="D343" s="1901" t="s">
        <v>1447</v>
      </c>
      <c r="E343" s="1791">
        <f>VLOOKUP(D343,base_datos,5,FALSE)</f>
        <v>29.89</v>
      </c>
      <c r="F343" s="1912">
        <f>+E343*B343</f>
        <v>29.89</v>
      </c>
      <c r="G343" s="1761"/>
      <c r="H343" s="1761"/>
      <c r="I343" s="1761"/>
      <c r="J343" s="1783"/>
      <c r="K343" s="684">
        <f>+K329</f>
        <v>1</v>
      </c>
      <c r="L343" s="1913">
        <f>L342</f>
        <v>4</v>
      </c>
      <c r="M343" s="709">
        <f t="shared" ref="M343:M371" si="328">IF(B343="",1,B343)</f>
        <v>1</v>
      </c>
      <c r="N343" s="362">
        <f t="shared" si="288"/>
        <v>4</v>
      </c>
      <c r="O343" s="1763" t="str">
        <f t="shared" si="289"/>
        <v>1SBL137001R1310</v>
      </c>
      <c r="P343" s="1764" t="str">
        <f t="shared" si="290"/>
        <v>Contactor 3x09A(AC-3) / 3x25A(AC-1) +1NA - AF09-30-10-13 - bobina 100-250Vac/dc - marca ABB.</v>
      </c>
      <c r="Q343" s="120" t="str">
        <f t="shared" si="291"/>
        <v>AF09-30-10-13_3p</v>
      </c>
      <c r="R343" s="185"/>
    </row>
    <row r="344" spans="1:20" s="690" customFormat="1" ht="18" customHeight="1">
      <c r="A344" s="1785"/>
      <c r="B344" s="1922">
        <v>1</v>
      </c>
      <c r="C344" s="1848" t="str">
        <f>VLOOKUP(D344,base_datos,6,FALSE)</f>
        <v>Contacto auxiliar frontal 1NA para contactor AF09..AF16-30-10, frontal - Modelo CA4-10 - marca ABB.</v>
      </c>
      <c r="D344" s="1901" t="s">
        <v>2718</v>
      </c>
      <c r="E344" s="1791">
        <f>VLOOKUP(D344,base_datos,5,FALSE)</f>
        <v>5.92</v>
      </c>
      <c r="F344" s="1912">
        <f>+E344*B344</f>
        <v>5.92</v>
      </c>
      <c r="G344" s="1761"/>
      <c r="H344" s="1761"/>
      <c r="I344" s="1761"/>
      <c r="J344" s="1783"/>
      <c r="K344" s="684">
        <f t="shared" si="260"/>
        <v>1</v>
      </c>
      <c r="L344" s="1913">
        <f t="shared" ref="L344:L348" si="329">L343</f>
        <v>4</v>
      </c>
      <c r="M344" s="709">
        <f t="shared" ref="M344:M346" si="330">IF(B344="",1,B344)</f>
        <v>1</v>
      </c>
      <c r="N344" s="362">
        <f t="shared" si="288"/>
        <v>4</v>
      </c>
      <c r="O344" s="1763" t="str">
        <f t="shared" si="289"/>
        <v>1SBN010110R1010</v>
      </c>
      <c r="P344" s="1764" t="str">
        <f t="shared" si="290"/>
        <v>Contacto auxiliar frontal 1NA para contactor AF09..AF16-30-10, frontal - Modelo CA4-10 - marca ABB.</v>
      </c>
      <c r="Q344" s="120" t="str">
        <f t="shared" si="291"/>
        <v>CA4-10</v>
      </c>
      <c r="R344" s="185"/>
    </row>
    <row r="345" spans="1:20" s="1921" customFormat="1" ht="18.75" customHeight="1">
      <c r="A345" s="687"/>
      <c r="B345" s="1914">
        <v>1</v>
      </c>
      <c r="C345" s="1915" t="s">
        <v>3366</v>
      </c>
      <c r="D345" s="1916"/>
      <c r="E345" s="1917"/>
      <c r="F345" s="1918"/>
      <c r="G345" s="1919"/>
      <c r="H345" s="1919"/>
      <c r="I345" s="1919"/>
      <c r="J345" s="1920"/>
      <c r="K345" s="684">
        <f t="shared" si="260"/>
        <v>1</v>
      </c>
      <c r="L345" s="1913">
        <f>L344</f>
        <v>4</v>
      </c>
      <c r="M345" s="684">
        <f t="shared" si="330"/>
        <v>1</v>
      </c>
      <c r="N345" s="362" t="str">
        <f t="shared" ref="N345" si="331">IF(O345&lt;&gt;"",K345*L345*M345,"")</f>
        <v/>
      </c>
      <c r="O345" s="1763" t="str">
        <f t="shared" ref="O345" si="332">IF(D345&lt;&gt;"",IF(VLOOKUP(D345,base_datos,7,FALSE)&lt;&gt;"",VLOOKUP(D345,base_datos,7,FALSE),""),"")</f>
        <v/>
      </c>
      <c r="P345" s="1764" t="str">
        <f t="shared" ref="P345" si="333">IF(O345&lt;&gt;"",VLOOKUP(D345,base_datos,6,FALSE),"")</f>
        <v/>
      </c>
      <c r="Q345" s="120" t="str">
        <f t="shared" ref="Q345" si="334">IF(O345&lt;&gt;"",D345,"")</f>
        <v/>
      </c>
    </row>
    <row r="346" spans="1:20" s="695" customFormat="1" ht="18" customHeight="1">
      <c r="A346" s="1785"/>
      <c r="B346" s="1922">
        <v>1</v>
      </c>
      <c r="C346" s="1848" t="str">
        <f t="shared" ref="C346" si="335">VLOOKUP(D346,base_datos,6,FALSE)</f>
        <v>Base portafusibles + Fusibles de protección para control.</v>
      </c>
      <c r="D346" s="1886" t="s">
        <v>453</v>
      </c>
      <c r="E346" s="1795">
        <f t="shared" ref="E346" si="336">VLOOKUP(D346,base_datos,5,FALSE)</f>
        <v>8.1750000000000007</v>
      </c>
      <c r="F346" s="1923">
        <f t="shared" ref="F346" si="337">+E346*B346</f>
        <v>8.1750000000000007</v>
      </c>
      <c r="G346" s="696"/>
      <c r="H346" s="696"/>
      <c r="I346" s="696"/>
      <c r="J346" s="697"/>
      <c r="K346" s="684">
        <f t="shared" si="260"/>
        <v>1</v>
      </c>
      <c r="L346" s="1913">
        <f>L343</f>
        <v>4</v>
      </c>
      <c r="M346" s="709">
        <f t="shared" si="330"/>
        <v>1</v>
      </c>
      <c r="N346" s="362" t="str">
        <f t="shared" ref="N346" si="338">IF(O346&lt;&gt;"",K346*L346*M346,"")</f>
        <v/>
      </c>
      <c r="O346" s="1763" t="str">
        <f t="shared" ref="O346" si="339">IF(D346&lt;&gt;"",IF(VLOOKUP(D346,base_datos,7,FALSE)&lt;&gt;"",VLOOKUP(D346,base_datos,7,FALSE),""),"")</f>
        <v/>
      </c>
      <c r="P346" s="1764" t="str">
        <f t="shared" ref="P346" si="340">IF(O346&lt;&gt;"",VLOOKUP(D346,base_datos,6,FALSE),"")</f>
        <v/>
      </c>
      <c r="Q346" s="120" t="str">
        <f t="shared" ref="Q346" si="341">IF(O346&lt;&gt;"",D346,"")</f>
        <v/>
      </c>
      <c r="R346" s="185"/>
    </row>
    <row r="347" spans="1:20" s="695" customFormat="1" ht="18" customHeight="1">
      <c r="A347" s="1785"/>
      <c r="B347" s="1922">
        <v>1</v>
      </c>
      <c r="C347" s="1848" t="str">
        <f t="shared" ref="C347:C348" si="342">VLOOKUP(D347,base_datos,6,FALSE)</f>
        <v>Borne para neutro.</v>
      </c>
      <c r="D347" s="1886" t="s">
        <v>436</v>
      </c>
      <c r="E347" s="1795">
        <f t="shared" ref="E347:E348" si="343">VLOOKUP(D347,base_datos,5,FALSE)</f>
        <v>4</v>
      </c>
      <c r="F347" s="1923">
        <f t="shared" ref="F347:F348" si="344">+E347*B347</f>
        <v>4</v>
      </c>
      <c r="G347" s="696"/>
      <c r="H347" s="696"/>
      <c r="I347" s="696"/>
      <c r="J347" s="697"/>
      <c r="K347" s="684">
        <f t="shared" si="260"/>
        <v>1</v>
      </c>
      <c r="L347" s="1913">
        <f>L344</f>
        <v>4</v>
      </c>
      <c r="M347" s="709">
        <f t="shared" si="328"/>
        <v>1</v>
      </c>
      <c r="N347" s="362" t="str">
        <f t="shared" si="288"/>
        <v/>
      </c>
      <c r="O347" s="1763" t="str">
        <f t="shared" si="289"/>
        <v/>
      </c>
      <c r="P347" s="1764" t="str">
        <f t="shared" si="290"/>
        <v/>
      </c>
      <c r="Q347" s="120" t="str">
        <f t="shared" si="291"/>
        <v/>
      </c>
      <c r="R347" s="185"/>
    </row>
    <row r="348" spans="1:20" s="695" customFormat="1" ht="18" customHeight="1">
      <c r="A348" s="1785"/>
      <c r="B348" s="1922">
        <v>2</v>
      </c>
      <c r="C348" s="1848" t="str">
        <f t="shared" si="342"/>
        <v>Borne 4mm2.</v>
      </c>
      <c r="D348" s="1886" t="s">
        <v>437</v>
      </c>
      <c r="E348" s="1795">
        <f t="shared" si="343"/>
        <v>2.5</v>
      </c>
      <c r="F348" s="1923">
        <f t="shared" si="344"/>
        <v>5</v>
      </c>
      <c r="G348" s="696"/>
      <c r="H348" s="696"/>
      <c r="I348" s="696"/>
      <c r="J348" s="697"/>
      <c r="K348" s="684">
        <f t="shared" si="260"/>
        <v>1</v>
      </c>
      <c r="L348" s="1913">
        <f t="shared" si="329"/>
        <v>4</v>
      </c>
      <c r="M348" s="709">
        <f t="shared" si="328"/>
        <v>2</v>
      </c>
      <c r="N348" s="362" t="str">
        <f t="shared" si="288"/>
        <v/>
      </c>
      <c r="O348" s="1763" t="str">
        <f t="shared" si="289"/>
        <v/>
      </c>
      <c r="P348" s="1764" t="str">
        <f t="shared" si="290"/>
        <v/>
      </c>
      <c r="Q348" s="120" t="str">
        <f t="shared" si="291"/>
        <v/>
      </c>
      <c r="R348" s="185"/>
    </row>
    <row r="349" spans="1:20" s="185" customFormat="1" ht="18" customHeight="1">
      <c r="A349" s="1785"/>
      <c r="B349" s="714"/>
      <c r="C349" s="1893" t="s">
        <v>729</v>
      </c>
      <c r="D349" s="173"/>
      <c r="E349" s="1786"/>
      <c r="F349" s="1787"/>
      <c r="G349" s="710"/>
      <c r="H349" s="710"/>
      <c r="I349" s="710"/>
      <c r="J349" s="711"/>
      <c r="K349" s="684">
        <f t="shared" si="260"/>
        <v>1</v>
      </c>
      <c r="L349" s="708">
        <v>1</v>
      </c>
      <c r="M349" s="709">
        <f t="shared" si="328"/>
        <v>1</v>
      </c>
      <c r="N349" s="362" t="str">
        <f t="shared" si="288"/>
        <v/>
      </c>
      <c r="O349" s="1763" t="str">
        <f t="shared" si="289"/>
        <v/>
      </c>
      <c r="P349" s="1764" t="str">
        <f t="shared" si="290"/>
        <v/>
      </c>
      <c r="Q349" s="120" t="str">
        <f t="shared" si="291"/>
        <v/>
      </c>
    </row>
    <row r="350" spans="1:20" s="315" customFormat="1" ht="12.75" customHeight="1">
      <c r="A350" s="2271"/>
      <c r="B350" s="2272">
        <v>1</v>
      </c>
      <c r="C350" s="2281" t="s">
        <v>13366</v>
      </c>
      <c r="D350" s="1935"/>
      <c r="E350" s="2287"/>
      <c r="F350" s="2257">
        <f>+SUM(F351:F354)*(B350-1)</f>
        <v>0</v>
      </c>
      <c r="G350" s="712"/>
      <c r="H350" s="712"/>
      <c r="I350" s="712"/>
      <c r="J350" s="713"/>
      <c r="K350" s="684">
        <v>1</v>
      </c>
      <c r="L350" s="2258">
        <v>1</v>
      </c>
      <c r="M350" s="120">
        <f t="shared" si="328"/>
        <v>1</v>
      </c>
      <c r="N350" s="112" t="str">
        <f t="shared" si="288"/>
        <v/>
      </c>
      <c r="O350" s="112" t="str">
        <f t="shared" si="289"/>
        <v/>
      </c>
      <c r="P350" s="120" t="str">
        <f t="shared" si="290"/>
        <v/>
      </c>
      <c r="Q350" s="120" t="str">
        <f t="shared" si="291"/>
        <v/>
      </c>
      <c r="S350" s="112" t="str">
        <f t="shared" ref="S350:S355" si="345">IF(O350&lt;&gt;"",VLOOKUP(D350,base_datos,9,FALSE),"")</f>
        <v/>
      </c>
      <c r="T350" s="2128"/>
    </row>
    <row r="351" spans="1:20" s="690" customFormat="1" ht="18" customHeight="1">
      <c r="A351" s="2273"/>
      <c r="B351" s="1781">
        <v>1</v>
      </c>
      <c r="C351" s="1420" t="str">
        <f t="shared" ref="C351:C354" si="346">VLOOKUP(D351,base_datos,6,FALSE)</f>
        <v>Calefactor resistivo 60W, modelo RACM - marca FANDIS.</v>
      </c>
      <c r="D351" s="1899" t="s">
        <v>3298</v>
      </c>
      <c r="E351" s="2288">
        <f t="shared" ref="E351" si="347">VLOOKUP(D351,base_datos,5,FALSE)</f>
        <v>127.1</v>
      </c>
      <c r="F351" s="1782">
        <f>+E351*B351</f>
        <v>127.1</v>
      </c>
      <c r="G351" s="1761"/>
      <c r="H351" s="1761"/>
      <c r="I351" s="1761"/>
      <c r="J351" s="689"/>
      <c r="K351" s="684">
        <v>1</v>
      </c>
      <c r="L351" s="2258">
        <v>1</v>
      </c>
      <c r="M351" s="120">
        <f t="shared" si="328"/>
        <v>1</v>
      </c>
      <c r="N351" s="112">
        <f t="shared" si="288"/>
        <v>1</v>
      </c>
      <c r="O351" s="112" t="str">
        <f t="shared" si="289"/>
        <v>RACM-60</v>
      </c>
      <c r="P351" s="120" t="str">
        <f t="shared" si="290"/>
        <v>Calefactor resistivo 60W, modelo RACM - marca FANDIS.</v>
      </c>
      <c r="Q351" s="120" t="str">
        <f t="shared" si="291"/>
        <v>CALEFACT-60W_FAND</v>
      </c>
      <c r="S351" s="112" t="str">
        <f t="shared" si="345"/>
        <v>FANDIS</v>
      </c>
      <c r="T351" s="1765"/>
    </row>
    <row r="352" spans="1:20" s="690" customFormat="1" ht="18" customHeight="1">
      <c r="A352" s="2273"/>
      <c r="B352" s="1781">
        <v>1</v>
      </c>
      <c r="C352" s="1420" t="str">
        <f t="shared" si="346"/>
        <v>Termostato para ventilación - 1NA - 230V - marca FANDIS.</v>
      </c>
      <c r="D352" s="1899" t="s">
        <v>3294</v>
      </c>
      <c r="E352" s="2288">
        <f t="shared" ref="E352:E354" si="348">VLOOKUP(D352,base_datos,5,FALSE)</f>
        <v>41.58</v>
      </c>
      <c r="F352" s="1782">
        <f>+E352*B352</f>
        <v>41.58</v>
      </c>
      <c r="G352" s="1761"/>
      <c r="H352" s="1761"/>
      <c r="I352" s="1761"/>
      <c r="J352" s="689"/>
      <c r="K352" s="684">
        <v>1</v>
      </c>
      <c r="L352" s="2258">
        <v>1</v>
      </c>
      <c r="M352" s="120">
        <f t="shared" si="328"/>
        <v>1</v>
      </c>
      <c r="N352" s="112">
        <f t="shared" si="288"/>
        <v>1</v>
      </c>
      <c r="O352" s="112" t="str">
        <f t="shared" si="289"/>
        <v>TRT-10A230V-NO</v>
      </c>
      <c r="P352" s="120" t="str">
        <f t="shared" si="290"/>
        <v>Termostato para ventilación - 1NA - 230V - marca FANDIS.</v>
      </c>
      <c r="Q352" s="120" t="str">
        <f t="shared" si="291"/>
        <v>TRT-1NA</v>
      </c>
      <c r="S352" s="112" t="str">
        <f t="shared" si="345"/>
        <v>FANDIS</v>
      </c>
      <c r="T352" s="1765"/>
    </row>
    <row r="353" spans="1:20" s="320" customFormat="1" ht="12.75" customHeight="1">
      <c r="A353" s="2274"/>
      <c r="B353" s="2275">
        <v>1</v>
      </c>
      <c r="C353" s="2282" t="str">
        <f t="shared" si="346"/>
        <v>Base portafusibles + Fusibles de protección para control.</v>
      </c>
      <c r="D353" s="1579" t="s">
        <v>453</v>
      </c>
      <c r="E353" s="2289">
        <f t="shared" si="348"/>
        <v>8.1750000000000007</v>
      </c>
      <c r="F353" s="2264">
        <f>+E353*B353</f>
        <v>8.1750000000000007</v>
      </c>
      <c r="G353" s="2276"/>
      <c r="H353" s="2276"/>
      <c r="I353" s="2276"/>
      <c r="J353" s="722"/>
      <c r="K353" s="684">
        <v>1</v>
      </c>
      <c r="L353" s="2258">
        <v>1</v>
      </c>
      <c r="M353" s="120">
        <f t="shared" si="328"/>
        <v>1</v>
      </c>
      <c r="N353" s="112" t="str">
        <f t="shared" si="288"/>
        <v/>
      </c>
      <c r="O353" s="112" t="str">
        <f t="shared" si="289"/>
        <v/>
      </c>
      <c r="P353" s="120" t="str">
        <f t="shared" si="290"/>
        <v/>
      </c>
      <c r="Q353" s="120" t="str">
        <f t="shared" si="291"/>
        <v/>
      </c>
      <c r="R353" s="185"/>
      <c r="S353" s="112" t="str">
        <f t="shared" si="345"/>
        <v/>
      </c>
      <c r="T353" s="709"/>
    </row>
    <row r="354" spans="1:20" s="320" customFormat="1" ht="12.75" customHeight="1">
      <c r="A354" s="2274"/>
      <c r="B354" s="2277">
        <v>1</v>
      </c>
      <c r="C354" s="2282" t="str">
        <f t="shared" si="346"/>
        <v>Borne 4mm2.</v>
      </c>
      <c r="D354" s="1579" t="s">
        <v>437</v>
      </c>
      <c r="E354" s="2260">
        <f t="shared" si="348"/>
        <v>2.5</v>
      </c>
      <c r="F354" s="2260">
        <f>+E354*B354</f>
        <v>2.5</v>
      </c>
      <c r="G354" s="2276"/>
      <c r="H354" s="2276"/>
      <c r="I354" s="2276"/>
      <c r="J354" s="722"/>
      <c r="K354" s="684">
        <v>1</v>
      </c>
      <c r="L354" s="2258">
        <v>1</v>
      </c>
      <c r="M354" s="120">
        <f t="shared" si="328"/>
        <v>1</v>
      </c>
      <c r="N354" s="112" t="str">
        <f t="shared" si="288"/>
        <v/>
      </c>
      <c r="O354" s="112" t="str">
        <f t="shared" si="289"/>
        <v/>
      </c>
      <c r="P354" s="120" t="str">
        <f t="shared" si="290"/>
        <v/>
      </c>
      <c r="Q354" s="120" t="str">
        <f t="shared" si="291"/>
        <v/>
      </c>
      <c r="R354" s="185"/>
      <c r="S354" s="112" t="str">
        <f t="shared" si="345"/>
        <v/>
      </c>
      <c r="T354" s="709"/>
    </row>
    <row r="355" spans="1:20" s="185" customFormat="1" ht="12.75" customHeight="1">
      <c r="A355" s="2262"/>
      <c r="B355" s="1760"/>
      <c r="C355" s="1893" t="s">
        <v>729</v>
      </c>
      <c r="D355" s="169"/>
      <c r="E355" s="2256"/>
      <c r="F355" s="2278"/>
      <c r="G355" s="710"/>
      <c r="H355" s="710"/>
      <c r="I355" s="710"/>
      <c r="J355" s="711"/>
      <c r="K355" s="684">
        <v>1</v>
      </c>
      <c r="L355" s="2258">
        <v>1</v>
      </c>
      <c r="M355" s="120">
        <f t="shared" si="328"/>
        <v>1</v>
      </c>
      <c r="N355" s="112" t="str">
        <f t="shared" si="288"/>
        <v/>
      </c>
      <c r="O355" s="112" t="str">
        <f t="shared" si="289"/>
        <v/>
      </c>
      <c r="P355" s="120" t="str">
        <f t="shared" si="290"/>
        <v/>
      </c>
      <c r="Q355" s="120" t="str">
        <f t="shared" si="291"/>
        <v/>
      </c>
      <c r="S355" s="112" t="str">
        <f t="shared" si="345"/>
        <v/>
      </c>
      <c r="T355" s="118"/>
    </row>
    <row r="356" spans="1:20" s="1236" customFormat="1" ht="18" customHeight="1">
      <c r="A356" s="1767"/>
      <c r="B356" s="1853">
        <v>1</v>
      </c>
      <c r="C356" s="1895" t="s">
        <v>12364</v>
      </c>
      <c r="D356" s="1902"/>
      <c r="E356" s="1792"/>
      <c r="F356" s="1793"/>
      <c r="G356" s="1784"/>
      <c r="H356" s="1784"/>
      <c r="I356" s="1784"/>
      <c r="J356" s="1182"/>
      <c r="K356" s="684">
        <f>+K348</f>
        <v>1</v>
      </c>
      <c r="L356" s="708">
        <v>1</v>
      </c>
      <c r="M356" s="709">
        <f t="shared" si="328"/>
        <v>1</v>
      </c>
      <c r="N356" s="362" t="str">
        <f t="shared" si="288"/>
        <v/>
      </c>
      <c r="O356" s="1763" t="str">
        <f t="shared" si="289"/>
        <v/>
      </c>
      <c r="P356" s="1764" t="str">
        <f t="shared" si="290"/>
        <v/>
      </c>
      <c r="Q356" s="120" t="str">
        <f t="shared" si="291"/>
        <v/>
      </c>
      <c r="R356" s="185"/>
    </row>
    <row r="357" spans="1:20" s="695" customFormat="1" ht="18" customHeight="1">
      <c r="A357" s="693"/>
      <c r="B357" s="1922">
        <v>1</v>
      </c>
      <c r="C357" s="1848" t="str">
        <f t="shared" ref="C357" si="349">VLOOKUP(D357,base_datos,6,FALSE)</f>
        <v>Placa lamicoid rotulación de 3mm de espesor, fondo negro y letras blancas.</v>
      </c>
      <c r="D357" s="1886" t="s">
        <v>8570</v>
      </c>
      <c r="E357" s="1795">
        <f t="shared" ref="E357" si="350">VLOOKUP(D357,base_datos,5,FALSE)</f>
        <v>2.2000000000000002</v>
      </c>
      <c r="F357" s="1796">
        <f t="shared" ref="F357" si="351">+E357*B357</f>
        <v>2.2000000000000002</v>
      </c>
      <c r="G357" s="696"/>
      <c r="H357" s="696"/>
      <c r="I357" s="696"/>
      <c r="J357" s="697"/>
      <c r="K357" s="684">
        <f>+K349</f>
        <v>1</v>
      </c>
      <c r="L357" s="708">
        <v>1</v>
      </c>
      <c r="M357" s="709">
        <f t="shared" si="328"/>
        <v>1</v>
      </c>
      <c r="N357" s="362">
        <f t="shared" si="288"/>
        <v>1</v>
      </c>
      <c r="O357" s="1763" t="str">
        <f t="shared" si="289"/>
        <v>Placa lamicoid p/distr.</v>
      </c>
      <c r="P357" s="1764" t="str">
        <f t="shared" si="290"/>
        <v>Placa lamicoid rotulación de 3mm de espesor, fondo negro y letras blancas.</v>
      </c>
      <c r="Q357" s="120" t="str">
        <f t="shared" si="291"/>
        <v>Placa lamicoid p/distr.</v>
      </c>
      <c r="R357" s="185"/>
    </row>
    <row r="358" spans="1:20" s="1236" customFormat="1" ht="18" customHeight="1">
      <c r="A358" s="1767"/>
      <c r="B358" s="1853">
        <v>1</v>
      </c>
      <c r="C358" s="1895" t="s">
        <v>12474</v>
      </c>
      <c r="D358" s="1902"/>
      <c r="E358" s="1792"/>
      <c r="F358" s="1793"/>
      <c r="G358" s="1784"/>
      <c r="H358" s="1784"/>
      <c r="I358" s="1784"/>
      <c r="J358" s="1182"/>
      <c r="K358" s="684">
        <f t="shared" si="260"/>
        <v>1</v>
      </c>
      <c r="L358" s="708">
        <v>1</v>
      </c>
      <c r="M358" s="709">
        <f t="shared" si="328"/>
        <v>1</v>
      </c>
      <c r="N358" s="362" t="str">
        <f t="shared" si="288"/>
        <v/>
      </c>
      <c r="O358" s="1763" t="str">
        <f t="shared" si="289"/>
        <v/>
      </c>
      <c r="P358" s="1764" t="str">
        <f t="shared" si="290"/>
        <v/>
      </c>
      <c r="Q358" s="120" t="str">
        <f t="shared" si="291"/>
        <v/>
      </c>
      <c r="R358" s="185"/>
    </row>
    <row r="359" spans="1:20" s="1236" customFormat="1" ht="18" customHeight="1">
      <c r="A359" s="1767"/>
      <c r="B359" s="1853">
        <v>1</v>
      </c>
      <c r="C359" s="1848" t="str">
        <f>VLOOKUP(D359,base_datos,6,FALSE)</f>
        <v>Embalaje especial completamente cerrado para tablero adosado de 1600x600x220mm</v>
      </c>
      <c r="D359" s="1902" t="s">
        <v>12453</v>
      </c>
      <c r="E359" s="1795">
        <f t="shared" ref="E359" si="352">VLOOKUP(D359,base_datos,5,FALSE)</f>
        <v>271.40000000000003</v>
      </c>
      <c r="F359" s="1796">
        <f t="shared" ref="F359" si="353">+E359*B359</f>
        <v>271.40000000000003</v>
      </c>
      <c r="G359" s="1784"/>
      <c r="H359" s="1784"/>
      <c r="I359" s="1784"/>
      <c r="J359" s="1182"/>
      <c r="K359" s="684">
        <f t="shared" si="260"/>
        <v>1</v>
      </c>
      <c r="L359" s="708">
        <v>1</v>
      </c>
      <c r="M359" s="709">
        <f t="shared" si="328"/>
        <v>1</v>
      </c>
      <c r="N359" s="362">
        <f t="shared" si="288"/>
        <v>1</v>
      </c>
      <c r="O359" s="1763" t="str">
        <f t="shared" si="289"/>
        <v>EMBAL_ADOS_1600x600x220mm</v>
      </c>
      <c r="P359" s="1764" t="str">
        <f t="shared" si="290"/>
        <v>Embalaje especial completamente cerrado para tablero adosado de 1600x600x220mm</v>
      </c>
      <c r="Q359" s="120" t="str">
        <f t="shared" si="291"/>
        <v>EMBAL_ADOS_1600x600x220mm</v>
      </c>
      <c r="R359" s="185"/>
    </row>
    <row r="360" spans="1:20" s="185" customFormat="1" ht="18" customHeight="1">
      <c r="A360" s="1785"/>
      <c r="B360" s="714"/>
      <c r="C360" s="313" t="s">
        <v>729</v>
      </c>
      <c r="D360" s="173"/>
      <c r="E360" s="1786"/>
      <c r="F360" s="1787"/>
      <c r="G360" s="710"/>
      <c r="H360" s="710"/>
      <c r="I360" s="710"/>
      <c r="J360" s="711"/>
      <c r="K360" s="684">
        <f t="shared" si="260"/>
        <v>1</v>
      </c>
      <c r="L360" s="708">
        <v>1</v>
      </c>
      <c r="M360" s="709">
        <f t="shared" si="328"/>
        <v>1</v>
      </c>
      <c r="N360" s="362" t="str">
        <f t="shared" si="288"/>
        <v/>
      </c>
      <c r="O360" s="1763" t="str">
        <f t="shared" si="289"/>
        <v/>
      </c>
      <c r="P360" s="1764" t="str">
        <f t="shared" si="290"/>
        <v/>
      </c>
      <c r="Q360" s="120" t="str">
        <f t="shared" si="291"/>
        <v/>
      </c>
    </row>
    <row r="361" spans="1:20" s="695" customFormat="1" ht="18" customHeight="1">
      <c r="A361" s="693"/>
      <c r="B361" s="1794">
        <v>1</v>
      </c>
      <c r="C361" s="1420" t="str">
        <f>VLOOKUP(D361,base_datos,6,FALSE)</f>
        <v>Barra a tierra.</v>
      </c>
      <c r="D361" s="1790" t="s">
        <v>8299</v>
      </c>
      <c r="E361" s="1795">
        <f t="shared" ref="E361" si="354">VLOOKUP(D361,base_datos,5,FALSE)</f>
        <v>10</v>
      </c>
      <c r="F361" s="1796">
        <f t="shared" ref="F361" si="355">+E361*B361</f>
        <v>10</v>
      </c>
      <c r="G361" s="696"/>
      <c r="H361" s="696"/>
      <c r="I361" s="696"/>
      <c r="J361" s="697"/>
      <c r="K361" s="684">
        <f t="shared" si="260"/>
        <v>1</v>
      </c>
      <c r="L361" s="708">
        <v>1</v>
      </c>
      <c r="M361" s="709">
        <f t="shared" si="328"/>
        <v>1</v>
      </c>
      <c r="N361" s="362" t="str">
        <f t="shared" si="288"/>
        <v/>
      </c>
      <c r="O361" s="1763" t="str">
        <f t="shared" si="289"/>
        <v/>
      </c>
      <c r="P361" s="1764" t="str">
        <f t="shared" si="290"/>
        <v/>
      </c>
      <c r="Q361" s="120" t="str">
        <f t="shared" si="291"/>
        <v/>
      </c>
      <c r="R361" s="185"/>
    </row>
    <row r="362" spans="1:20" s="897" customFormat="1" ht="18" customHeight="1">
      <c r="A362" s="693"/>
      <c r="B362" s="895">
        <v>30</v>
      </c>
      <c r="C362" s="721" t="str">
        <f>VLOOKUP(D362,base_datos,6,FALSE)</f>
        <v>Rotulado por circuito.</v>
      </c>
      <c r="D362" s="1579" t="s">
        <v>3067</v>
      </c>
      <c r="E362" s="1581">
        <f>VLOOKUP(D362,base_datos,5,FALSE)</f>
        <v>0.7</v>
      </c>
      <c r="F362" s="1581">
        <f t="shared" ref="F362:F366" si="356">+E362*B362</f>
        <v>21</v>
      </c>
      <c r="G362" s="1772"/>
      <c r="H362" s="1772"/>
      <c r="I362" s="1772"/>
      <c r="J362" s="896"/>
      <c r="K362" s="684">
        <f t="shared" si="260"/>
        <v>1</v>
      </c>
      <c r="L362" s="708">
        <v>1</v>
      </c>
      <c r="M362" s="709">
        <f t="shared" si="328"/>
        <v>30</v>
      </c>
      <c r="N362" s="362" t="str">
        <f t="shared" si="288"/>
        <v/>
      </c>
      <c r="O362" s="1763" t="str">
        <f t="shared" si="289"/>
        <v/>
      </c>
      <c r="P362" s="1764" t="str">
        <f t="shared" si="290"/>
        <v/>
      </c>
      <c r="Q362" s="120" t="str">
        <f t="shared" si="291"/>
        <v/>
      </c>
    </row>
    <row r="363" spans="1:20" s="897" customFormat="1" ht="18" customHeight="1">
      <c r="A363" s="693"/>
      <c r="B363" s="895">
        <v>1</v>
      </c>
      <c r="C363" s="721" t="str">
        <f>VLOOKUP(D363,base_datos,6,FALSE)</f>
        <v>Rotulado para TAG - tablero de distribución.</v>
      </c>
      <c r="D363" s="1579" t="s">
        <v>3066</v>
      </c>
      <c r="E363" s="1581">
        <f>VLOOKUP(D363,base_datos,5,FALSE)</f>
        <v>1.5</v>
      </c>
      <c r="F363" s="1581">
        <f t="shared" si="356"/>
        <v>1.5</v>
      </c>
      <c r="G363" s="1772"/>
      <c r="H363" s="1772"/>
      <c r="I363" s="1772"/>
      <c r="J363" s="896"/>
      <c r="K363" s="684">
        <f t="shared" si="260"/>
        <v>1</v>
      </c>
      <c r="L363" s="708">
        <v>1</v>
      </c>
      <c r="M363" s="709">
        <f t="shared" si="328"/>
        <v>1</v>
      </c>
      <c r="N363" s="362" t="str">
        <f t="shared" si="288"/>
        <v/>
      </c>
      <c r="O363" s="1763" t="str">
        <f t="shared" si="289"/>
        <v/>
      </c>
      <c r="P363" s="1764" t="str">
        <f t="shared" si="290"/>
        <v/>
      </c>
      <c r="Q363" s="120" t="str">
        <f t="shared" si="291"/>
        <v/>
      </c>
    </row>
    <row r="364" spans="1:20" s="1237" customFormat="1" ht="18" customHeight="1">
      <c r="A364" s="1767"/>
      <c r="B364" s="2093">
        <v>1</v>
      </c>
      <c r="C364" s="694" t="s">
        <v>12552</v>
      </c>
      <c r="D364" s="1888"/>
      <c r="E364" s="1580">
        <f>E366*15%</f>
        <v>33</v>
      </c>
      <c r="F364" s="1581">
        <f t="shared" si="356"/>
        <v>33</v>
      </c>
      <c r="G364" s="1774"/>
      <c r="H364" s="1774"/>
      <c r="I364" s="1774"/>
      <c r="J364" s="1181"/>
      <c r="K364" s="684">
        <f t="shared" si="260"/>
        <v>1</v>
      </c>
      <c r="L364" s="708">
        <v>1</v>
      </c>
      <c r="M364" s="709">
        <f t="shared" si="328"/>
        <v>1</v>
      </c>
      <c r="N364" s="362" t="str">
        <f t="shared" si="288"/>
        <v/>
      </c>
      <c r="O364" s="1763" t="str">
        <f t="shared" si="289"/>
        <v/>
      </c>
      <c r="P364" s="1764" t="str">
        <f t="shared" si="290"/>
        <v/>
      </c>
      <c r="Q364" s="120" t="str">
        <f t="shared" si="291"/>
        <v/>
      </c>
      <c r="R364" s="1765"/>
    </row>
    <row r="365" spans="1:20" s="1237" customFormat="1" ht="18" customHeight="1">
      <c r="A365" s="1767"/>
      <c r="B365" s="1773">
        <v>1</v>
      </c>
      <c r="C365" s="694" t="s">
        <v>12559</v>
      </c>
      <c r="D365" s="1888"/>
      <c r="E365" s="1999">
        <f>E366*20%</f>
        <v>44</v>
      </c>
      <c r="F365" s="1581">
        <f t="shared" si="356"/>
        <v>44</v>
      </c>
      <c r="G365" s="1774"/>
      <c r="H365" s="1774"/>
      <c r="I365" s="1774"/>
      <c r="J365" s="1181"/>
      <c r="K365" s="684">
        <f t="shared" si="260"/>
        <v>1</v>
      </c>
      <c r="L365" s="708">
        <v>1</v>
      </c>
      <c r="M365" s="709">
        <f t="shared" si="328"/>
        <v>1</v>
      </c>
      <c r="N365" s="362" t="str">
        <f t="shared" si="288"/>
        <v/>
      </c>
      <c r="O365" s="1763" t="str">
        <f t="shared" si="289"/>
        <v/>
      </c>
      <c r="P365" s="1764" t="str">
        <f t="shared" si="290"/>
        <v/>
      </c>
      <c r="Q365" s="120" t="str">
        <f t="shared" si="291"/>
        <v/>
      </c>
      <c r="R365" s="1765"/>
    </row>
    <row r="366" spans="1:20" s="1237" customFormat="1" ht="18" customHeight="1">
      <c r="A366" s="1767"/>
      <c r="B366" s="1773">
        <v>1</v>
      </c>
      <c r="C366" s="694" t="s">
        <v>12523</v>
      </c>
      <c r="D366" s="1888"/>
      <c r="E366" s="1999">
        <v>220</v>
      </c>
      <c r="F366" s="1581">
        <f t="shared" si="356"/>
        <v>220</v>
      </c>
      <c r="G366" s="1774"/>
      <c r="H366" s="1774"/>
      <c r="I366" s="1774"/>
      <c r="J366" s="1181"/>
      <c r="K366" s="684">
        <f t="shared" si="260"/>
        <v>1</v>
      </c>
      <c r="L366" s="708">
        <v>1</v>
      </c>
      <c r="M366" s="709">
        <f t="shared" si="328"/>
        <v>1</v>
      </c>
      <c r="N366" s="362" t="str">
        <f t="shared" si="288"/>
        <v/>
      </c>
      <c r="O366" s="1763" t="str">
        <f t="shared" si="289"/>
        <v/>
      </c>
      <c r="P366" s="1764" t="str">
        <f t="shared" si="290"/>
        <v/>
      </c>
      <c r="Q366" s="120" t="str">
        <f t="shared" si="291"/>
        <v/>
      </c>
      <c r="R366" s="1765"/>
    </row>
    <row r="367" spans="1:20" s="2472" customFormat="1" ht="18" customHeight="1">
      <c r="A367" s="2464"/>
      <c r="B367" s="2465"/>
      <c r="C367" s="2466" t="s">
        <v>13062</v>
      </c>
      <c r="D367" s="2467"/>
      <c r="E367" s="2468"/>
      <c r="F367" s="2469"/>
      <c r="G367" s="2470"/>
      <c r="H367" s="2470"/>
      <c r="I367" s="2470"/>
      <c r="J367" s="2471"/>
      <c r="K367" s="2426">
        <f t="shared" si="260"/>
        <v>1</v>
      </c>
      <c r="L367" s="2463">
        <v>1</v>
      </c>
      <c r="M367" s="2428">
        <f>IF(B367="",1,B367)</f>
        <v>1</v>
      </c>
      <c r="N367" s="2429" t="str">
        <f>IF(O367&lt;&gt;"",K367*L367*M367,"")</f>
        <v/>
      </c>
      <c r="O367" s="2430" t="str">
        <f>IF(D367&lt;&gt;"",IF(VLOOKUP(D367,base_datos,7,FALSE)&lt;&gt;"",VLOOKUP(D367,base_datos,7,FALSE),""),"")</f>
        <v/>
      </c>
      <c r="P367" s="2431" t="str">
        <f>IF(O367&lt;&gt;"",VLOOKUP(D367,base_datos,6,FALSE),"")</f>
        <v/>
      </c>
      <c r="Q367" s="2432" t="str">
        <f>IF(O367&lt;&gt;"",D367,"")</f>
        <v/>
      </c>
      <c r="R367" s="2433"/>
    </row>
    <row r="368" spans="1:20" s="2472" customFormat="1" ht="18" customHeight="1">
      <c r="A368" s="2464"/>
      <c r="B368" s="2465"/>
      <c r="C368" s="2466"/>
      <c r="D368" s="2467"/>
      <c r="E368" s="2468"/>
      <c r="F368" s="2469"/>
      <c r="G368" s="2470"/>
      <c r="H368" s="2470"/>
      <c r="I368" s="2470"/>
      <c r="J368" s="2471"/>
      <c r="K368" s="2426">
        <f t="shared" si="260"/>
        <v>1</v>
      </c>
      <c r="L368" s="2463">
        <v>1</v>
      </c>
      <c r="M368" s="2428">
        <f>IF(B368="",1,B368)</f>
        <v>1</v>
      </c>
      <c r="N368" s="2429"/>
      <c r="O368" s="2430"/>
      <c r="P368" s="2431"/>
      <c r="Q368" s="2432"/>
      <c r="R368" s="2433"/>
    </row>
    <row r="369" spans="1:18" s="2480" customFormat="1">
      <c r="A369" s="2473"/>
      <c r="B369" s="2474">
        <v>1</v>
      </c>
      <c r="C369" s="2475" t="str">
        <f t="shared" ref="C369:C370" si="357">VLOOKUP(D369,base_datos,6,FALSE)</f>
        <v>FOTOCELDA 1800VA 220V N/C (NF) 10 LUX STIELECTRONICA</v>
      </c>
      <c r="D369" s="2476" t="s">
        <v>3410</v>
      </c>
      <c r="E369" s="2477">
        <f t="shared" ref="E369:E370" si="358">VLOOKUP(D369,base_datos,5,FALSE)</f>
        <v>27.6</v>
      </c>
      <c r="F369" s="2455">
        <f t="shared" ref="F369:F370" si="359">+E369*B369</f>
        <v>27.6</v>
      </c>
      <c r="G369" s="2478"/>
      <c r="H369" s="2478"/>
      <c r="I369" s="2478"/>
      <c r="J369" s="2479"/>
      <c r="K369" s="2426">
        <f t="shared" si="260"/>
        <v>1</v>
      </c>
      <c r="L369" s="2463">
        <v>1</v>
      </c>
      <c r="M369" s="2428">
        <f>IF(B369="",1,B369)</f>
        <v>1</v>
      </c>
      <c r="N369" s="2429">
        <f>IF(O369&lt;&gt;"",K369*L369*M369,"")</f>
        <v>1</v>
      </c>
      <c r="O369" s="2430" t="str">
        <f>IF(D369&lt;&gt;"",IF(VLOOKUP(D369,base_datos,7,FALSE)&lt;&gt;"",VLOOKUP(D369,base_datos,7,FALSE),""),"")</f>
        <v>0400RTF82S</v>
      </c>
      <c r="P369" s="2431" t="str">
        <f>IF(O369&lt;&gt;"",VLOOKUP(D369,base_datos,6,FALSE),"")</f>
        <v>FOTOCELDA 1800VA 220V N/C (NF) 10 LUX STIELECTRONICA</v>
      </c>
      <c r="Q369" s="2432" t="str">
        <f>IF(O369&lt;&gt;"",D369,"")</f>
        <v>FOTOCELDA</v>
      </c>
    </row>
    <row r="370" spans="1:18" s="2480" customFormat="1">
      <c r="A370" s="2473"/>
      <c r="B370" s="2474">
        <v>1</v>
      </c>
      <c r="C370" s="2475" t="str">
        <f t="shared" si="357"/>
        <v>BASE C/SOPORTE P/CONTROL FOTOCELDA P/ADOSAR STIELECTRONICA</v>
      </c>
      <c r="D370" s="2476" t="s">
        <v>3411</v>
      </c>
      <c r="E370" s="2477">
        <f t="shared" si="358"/>
        <v>13.4</v>
      </c>
      <c r="F370" s="2455">
        <f t="shared" si="359"/>
        <v>13.4</v>
      </c>
      <c r="G370" s="2478"/>
      <c r="H370" s="2478"/>
      <c r="I370" s="2478"/>
      <c r="J370" s="2479"/>
      <c r="K370" s="2426">
        <f t="shared" si="260"/>
        <v>1</v>
      </c>
      <c r="L370" s="2463">
        <v>1</v>
      </c>
      <c r="M370" s="2428">
        <f>IF(B370="",1,B370)</f>
        <v>1</v>
      </c>
      <c r="N370" s="2429">
        <f>IF(O370&lt;&gt;"",K370*L370*M370,"")</f>
        <v>1</v>
      </c>
      <c r="O370" s="2430" t="str">
        <f>IF(D370&lt;&gt;"",IF(VLOOKUP(D370,base_datos,7,FALSE)&lt;&gt;"",VLOOKUP(D370,base_datos,7,FALSE),""),"")</f>
        <v>0400TPLS476</v>
      </c>
      <c r="P370" s="2431" t="str">
        <f>IF(O370&lt;&gt;"",VLOOKUP(D370,base_datos,6,FALSE),"")</f>
        <v>BASE C/SOPORTE P/CONTROL FOTOCELDA P/ADOSAR STIELECTRONICA</v>
      </c>
      <c r="Q370" s="2432" t="str">
        <f>IF(O370&lt;&gt;"",D370,"")</f>
        <v>BASE_FOTOCELDA</v>
      </c>
    </row>
    <row r="371" spans="1:18" s="185" customFormat="1" ht="18" customHeight="1" thickBot="1">
      <c r="A371" s="1785"/>
      <c r="B371" s="714"/>
      <c r="C371" s="1893"/>
      <c r="D371" s="173"/>
      <c r="E371" s="1786"/>
      <c r="F371" s="1787"/>
      <c r="G371" s="710"/>
      <c r="H371" s="710"/>
      <c r="I371" s="710"/>
      <c r="J371" s="711"/>
      <c r="K371" s="684">
        <f>+K365</f>
        <v>1</v>
      </c>
      <c r="L371" s="708">
        <v>1</v>
      </c>
      <c r="M371" s="709">
        <f t="shared" si="328"/>
        <v>1</v>
      </c>
      <c r="N371" s="362" t="str">
        <f t="shared" si="288"/>
        <v/>
      </c>
      <c r="O371" s="1763" t="str">
        <f t="shared" si="289"/>
        <v/>
      </c>
      <c r="P371" s="1764" t="str">
        <f t="shared" si="290"/>
        <v/>
      </c>
      <c r="Q371" s="120" t="str">
        <f t="shared" si="291"/>
        <v/>
      </c>
    </row>
    <row r="372" spans="1:18" s="120" customFormat="1" ht="18" customHeight="1" thickBot="1">
      <c r="A372" s="2233">
        <v>6.1</v>
      </c>
      <c r="B372" s="1852">
        <v>1</v>
      </c>
      <c r="C372" s="1756" t="s">
        <v>13044</v>
      </c>
      <c r="D372" s="1588"/>
      <c r="E372" s="1589"/>
      <c r="F372" s="1589"/>
      <c r="G372" s="1757">
        <f>SUM(F373:F386)</f>
        <v>179.2</v>
      </c>
      <c r="H372" s="1758">
        <f>ROUNDUP(G372*(1-$D$6),0)</f>
        <v>180</v>
      </c>
      <c r="I372" s="1757">
        <f>ROUNDUP(H372*$D$5,0)</f>
        <v>612</v>
      </c>
      <c r="J372" s="1759">
        <f>+I372*B372</f>
        <v>612</v>
      </c>
      <c r="K372" s="1788">
        <f>B372</f>
        <v>1</v>
      </c>
      <c r="L372" s="363"/>
      <c r="M372" s="684"/>
      <c r="N372" s="362"/>
      <c r="O372" s="1763"/>
      <c r="P372" s="1764"/>
      <c r="Q372" s="120" t="str">
        <f t="shared" si="291"/>
        <v/>
      </c>
      <c r="R372" s="185"/>
    </row>
    <row r="373" spans="1:18" s="120" customFormat="1">
      <c r="A373" s="685" t="s">
        <v>3064</v>
      </c>
      <c r="B373" s="1779"/>
      <c r="C373" s="1954"/>
      <c r="D373" s="2213"/>
      <c r="E373" s="1789"/>
      <c r="F373" s="1789"/>
      <c r="G373" s="686"/>
      <c r="H373" s="686"/>
      <c r="I373" s="686"/>
      <c r="J373" s="1768"/>
      <c r="K373" s="684">
        <f t="shared" ref="K373:K385" si="360">K372</f>
        <v>1</v>
      </c>
      <c r="L373" s="363">
        <v>1</v>
      </c>
      <c r="M373" s="684">
        <f>IF(B373="",1,B373)</f>
        <v>1</v>
      </c>
      <c r="N373" s="362" t="str">
        <f t="shared" ref="N373" si="361">IF(O373&lt;&gt;"",K373*L373*M373,"")</f>
        <v/>
      </c>
      <c r="O373" s="1763" t="str">
        <f t="shared" ref="O373" si="362">IF(D373&lt;&gt;"",IF(VLOOKUP(D373,base_datos,7,FALSE)&lt;&gt;"",VLOOKUP(D373,base_datos,7,FALSE),""),"")</f>
        <v/>
      </c>
      <c r="P373" s="1764" t="str">
        <f t="shared" ref="P373" si="363">IF(O373&lt;&gt;"",VLOOKUP(D373,base_datos,6,FALSE),"")</f>
        <v/>
      </c>
      <c r="Q373" s="120" t="str">
        <f t="shared" si="291"/>
        <v/>
      </c>
    </row>
    <row r="374" spans="1:18" s="690" customFormat="1" ht="18" customHeight="1">
      <c r="A374" s="687" t="s">
        <v>4021</v>
      </c>
      <c r="B374" s="2226">
        <v>3</v>
      </c>
      <c r="C374" s="1954" t="s">
        <v>13042</v>
      </c>
      <c r="D374" s="2110"/>
      <c r="E374" s="1782"/>
      <c r="F374" s="1908">
        <f>SUM(F375:F379)*(B374-1)</f>
        <v>71.349999999999994</v>
      </c>
      <c r="G374" s="1761"/>
      <c r="H374" s="1761"/>
      <c r="I374" s="1761"/>
      <c r="J374" s="1783"/>
      <c r="K374" s="684">
        <f t="shared" si="360"/>
        <v>1</v>
      </c>
      <c r="L374" s="2225">
        <f>B374</f>
        <v>3</v>
      </c>
      <c r="M374" s="709">
        <f t="shared" ref="M374:M384" si="364">IF(B374="",1,B374)</f>
        <v>3</v>
      </c>
      <c r="N374" s="362" t="str">
        <f>IF(O374&lt;&gt;"",K374*L374*M374,"")</f>
        <v/>
      </c>
      <c r="O374" s="1763" t="str">
        <f>IF(D374&lt;&gt;"",IF(VLOOKUP(D374,base_datos,7,FALSE)&lt;&gt;"",VLOOKUP(D374,base_datos,7,FALSE),""),"")</f>
        <v/>
      </c>
      <c r="P374" s="1764" t="str">
        <f>IF(O374&lt;&gt;"",VLOOKUP(D374,base_datos,6,FALSE),"")</f>
        <v/>
      </c>
      <c r="Q374" s="120" t="str">
        <f>IF(O374&lt;&gt;"",D374,"")</f>
        <v/>
      </c>
      <c r="R374" s="185"/>
    </row>
    <row r="375" spans="1:18" s="2434" customFormat="1" ht="18" customHeight="1">
      <c r="A375" s="2418" t="s">
        <v>4136</v>
      </c>
      <c r="B375" s="2435">
        <v>1</v>
      </c>
      <c r="C375" s="2436" t="str">
        <f>VLOOKUP(D375,base_datos,6,FALSE)</f>
        <v>Dado Interruptor unipolar de 16A,  250V, linea Magic 5001, marca BTICINO.</v>
      </c>
      <c r="D375" s="2437" t="s">
        <v>13868</v>
      </c>
      <c r="E375" s="2422">
        <f>VLOOKUP(D375,base_datos,5,FALSE)</f>
        <v>8.5</v>
      </c>
      <c r="F375" s="2438">
        <f t="shared" ref="F375:F379" si="365">+E375*B375</f>
        <v>8.5</v>
      </c>
      <c r="G375" s="2424"/>
      <c r="H375" s="2424"/>
      <c r="I375" s="2424"/>
      <c r="J375" s="2425"/>
      <c r="K375" s="2426">
        <f t="shared" si="360"/>
        <v>1</v>
      </c>
      <c r="L375" s="2427">
        <f>L374</f>
        <v>3</v>
      </c>
      <c r="M375" s="2428">
        <f t="shared" si="364"/>
        <v>1</v>
      </c>
      <c r="N375" s="2429" t="str">
        <f>IF(O375&lt;&gt;"",K375*L375*M375,"")</f>
        <v/>
      </c>
      <c r="O375" s="2430" t="str">
        <f>IF(D375&lt;&gt;"",IF(VLOOKUP(D375,base_datos,7,FALSE)&lt;&gt;"",VLOOKUP(D375,base_datos,7,FALSE),""),"")</f>
        <v/>
      </c>
      <c r="P375" s="2431" t="str">
        <f>IF(O375&lt;&gt;"",VLOOKUP(D375,base_datos,6,FALSE),"")</f>
        <v/>
      </c>
      <c r="Q375" s="2432" t="str">
        <f>IF(O375&lt;&gt;"",D375,"")</f>
        <v/>
      </c>
      <c r="R375" s="2433"/>
    </row>
    <row r="376" spans="1:18" s="120" customFormat="1">
      <c r="A376" s="687"/>
      <c r="B376" s="1781">
        <v>1</v>
      </c>
      <c r="C376" s="1915" t="s">
        <v>3366</v>
      </c>
      <c r="D376" s="314"/>
      <c r="E376" s="1782"/>
      <c r="F376" s="1923"/>
      <c r="G376" s="686"/>
      <c r="H376" s="686"/>
      <c r="I376" s="686"/>
      <c r="J376" s="688"/>
      <c r="K376" s="684">
        <f>K377</f>
        <v>1</v>
      </c>
      <c r="L376" s="2225">
        <f>L377</f>
        <v>3</v>
      </c>
      <c r="M376" s="709">
        <f t="shared" si="364"/>
        <v>1</v>
      </c>
      <c r="N376" s="362" t="str">
        <f t="shared" ref="N376:N379" si="366">IF(O376&lt;&gt;"",K376*L376*M376,"")</f>
        <v/>
      </c>
      <c r="O376" s="1763" t="str">
        <f t="shared" ref="O376:O379" si="367">IF(D376&lt;&gt;"",IF(VLOOKUP(D376,base_datos,7,FALSE)&lt;&gt;"",VLOOKUP(D376,base_datos,7,FALSE),""),"")</f>
        <v/>
      </c>
      <c r="P376" s="1764" t="str">
        <f t="shared" ref="P376:P379" si="368">IF(O376&lt;&gt;"",VLOOKUP(D376,base_datos,6,FALSE),"")</f>
        <v/>
      </c>
      <c r="Q376" s="120" t="str">
        <f t="shared" ref="Q376:Q379" si="369">IF(O376&lt;&gt;"",D376,"")</f>
        <v/>
      </c>
    </row>
    <row r="377" spans="1:18" s="695" customFormat="1" ht="18" customHeight="1">
      <c r="A377" s="693"/>
      <c r="B377" s="1922">
        <v>1</v>
      </c>
      <c r="C377" s="721" t="str">
        <f t="shared" ref="C377" si="370">VLOOKUP(D377,base_datos,6,FALSE)</f>
        <v>Base portafusibles + Fusibles de protección para control.</v>
      </c>
      <c r="D377" s="2222" t="s">
        <v>453</v>
      </c>
      <c r="E377" s="1796">
        <f t="shared" ref="E377" si="371">VLOOKUP(D377,base_datos,5,FALSE)</f>
        <v>8.1750000000000007</v>
      </c>
      <c r="F377" s="1923">
        <f>+E377*B377</f>
        <v>8.1750000000000007</v>
      </c>
      <c r="G377" s="696"/>
      <c r="H377" s="696"/>
      <c r="I377" s="696"/>
      <c r="J377" s="697"/>
      <c r="K377" s="684">
        <f>K375</f>
        <v>1</v>
      </c>
      <c r="L377" s="2225">
        <f>L375</f>
        <v>3</v>
      </c>
      <c r="M377" s="709">
        <f>IF(B377="",1,B377)</f>
        <v>1</v>
      </c>
      <c r="N377" s="362" t="str">
        <f>IF(O377&lt;&gt;"",K377*L377*M377,"")</f>
        <v/>
      </c>
      <c r="O377" s="1763" t="str">
        <f>IF(D377&lt;&gt;"",IF(VLOOKUP(D377,base_datos,7,FALSE)&lt;&gt;"",VLOOKUP(D377,base_datos,7,FALSE),""),"")</f>
        <v/>
      </c>
      <c r="P377" s="1764" t="str">
        <f>IF(O377&lt;&gt;"",VLOOKUP(D377,base_datos,6,FALSE),"")</f>
        <v/>
      </c>
      <c r="Q377" s="120" t="str">
        <f>IF(O377&lt;&gt;"",D377,"")</f>
        <v/>
      </c>
      <c r="R377" s="185"/>
    </row>
    <row r="378" spans="1:18" s="695" customFormat="1" ht="18" customHeight="1">
      <c r="A378" s="693"/>
      <c r="B378" s="1922">
        <v>6</v>
      </c>
      <c r="C378" s="721" t="str">
        <f>VLOOKUP(D378,base_datos,6,FALSE)</f>
        <v>Borne 4mm2.</v>
      </c>
      <c r="D378" s="2222" t="s">
        <v>437</v>
      </c>
      <c r="E378" s="1796">
        <f>VLOOKUP(D378,base_datos,5,FALSE)</f>
        <v>2.5</v>
      </c>
      <c r="F378" s="1923">
        <f t="shared" si="365"/>
        <v>15</v>
      </c>
      <c r="G378" s="696"/>
      <c r="H378" s="696"/>
      <c r="I378" s="696"/>
      <c r="J378" s="697"/>
      <c r="K378" s="684">
        <f>K376</f>
        <v>1</v>
      </c>
      <c r="L378" s="708">
        <v>1</v>
      </c>
      <c r="M378" s="709">
        <f>IF(B378="",1,B378)</f>
        <v>6</v>
      </c>
      <c r="N378" s="362" t="str">
        <f>IF(O378&lt;&gt;"",K378*L378*M378,"")</f>
        <v/>
      </c>
      <c r="O378" s="1763" t="str">
        <f>IF(D378&lt;&gt;"",IF(VLOOKUP(D378,base_datos,7,FALSE)&lt;&gt;"",VLOOKUP(D378,base_datos,7,FALSE),""),"")</f>
        <v/>
      </c>
      <c r="P378" s="1764" t="str">
        <f>IF(O378&lt;&gt;"",VLOOKUP(D378,base_datos,6,FALSE),"")</f>
        <v/>
      </c>
      <c r="Q378" s="120" t="str">
        <f>IF(O378&lt;&gt;"",D378,"")</f>
        <v/>
      </c>
      <c r="R378" s="185"/>
    </row>
    <row r="379" spans="1:18" s="695" customFormat="1" ht="18" customHeight="1">
      <c r="A379" s="693"/>
      <c r="B379" s="1922">
        <v>1</v>
      </c>
      <c r="C379" s="721" t="str">
        <f t="shared" ref="C379" si="372">VLOOKUP(D379,base_datos,6,FALSE)</f>
        <v>Borne para neutro.</v>
      </c>
      <c r="D379" s="36" t="s">
        <v>436</v>
      </c>
      <c r="E379" s="1796">
        <f t="shared" ref="E379" si="373">VLOOKUP(D379,base_datos,5,FALSE)</f>
        <v>4</v>
      </c>
      <c r="F379" s="1923">
        <f t="shared" si="365"/>
        <v>4</v>
      </c>
      <c r="G379" s="696"/>
      <c r="H379" s="696"/>
      <c r="I379" s="696"/>
      <c r="J379" s="697"/>
      <c r="K379" s="684">
        <f t="shared" si="360"/>
        <v>1</v>
      </c>
      <c r="L379" s="2225">
        <f>L376</f>
        <v>3</v>
      </c>
      <c r="M379" s="709">
        <f t="shared" si="364"/>
        <v>1</v>
      </c>
      <c r="N379" s="362" t="str">
        <f t="shared" si="366"/>
        <v/>
      </c>
      <c r="O379" s="1763" t="str">
        <f t="shared" si="367"/>
        <v/>
      </c>
      <c r="P379" s="1764" t="str">
        <f t="shared" si="368"/>
        <v/>
      </c>
      <c r="Q379" s="120" t="str">
        <f t="shared" si="369"/>
        <v/>
      </c>
      <c r="R379" s="185"/>
    </row>
    <row r="380" spans="1:18" s="185" customFormat="1">
      <c r="A380" s="687"/>
      <c r="B380" s="714"/>
      <c r="C380" s="313" t="s">
        <v>729</v>
      </c>
      <c r="D380" s="36"/>
      <c r="E380" s="1971"/>
      <c r="F380" s="1787"/>
      <c r="G380" s="710"/>
      <c r="H380" s="710"/>
      <c r="I380" s="710"/>
      <c r="J380" s="711"/>
      <c r="K380" s="684">
        <f t="shared" si="360"/>
        <v>1</v>
      </c>
      <c r="L380" s="363">
        <v>1</v>
      </c>
      <c r="M380" s="709">
        <f t="shared" si="364"/>
        <v>1</v>
      </c>
      <c r="N380" s="1905" t="str">
        <f>IF(O380&lt;&gt;"",K380*L380*M380,"")</f>
        <v/>
      </c>
      <c r="O380" s="1571" t="str">
        <f>IF(D380&lt;&gt;"",IF(VLOOKUP(D380,base_datos,7,FALSE)&lt;&gt;"",VLOOKUP(D380,base_datos,7,FALSE),""),"")</f>
        <v/>
      </c>
      <c r="P380" s="320" t="str">
        <f>IF(O380&lt;&gt;"",VLOOKUP(D380,base_datos,6,FALSE),"")</f>
        <v/>
      </c>
      <c r="Q380" s="185" t="str">
        <f>IF(O380&lt;&gt;"",D380,"")</f>
        <v/>
      </c>
    </row>
    <row r="381" spans="1:18" s="695" customFormat="1" ht="18" customHeight="1">
      <c r="A381" s="693"/>
      <c r="B381" s="1922">
        <v>1</v>
      </c>
      <c r="C381" s="721" t="str">
        <f t="shared" ref="C381:C382" si="374">VLOOKUP(D381,base_datos,6,FALSE)</f>
        <v>Base portafusibles + Fusibles de protección para control.</v>
      </c>
      <c r="D381" s="2222" t="s">
        <v>453</v>
      </c>
      <c r="E381" s="1796">
        <f t="shared" ref="E381:E382" si="375">VLOOKUP(D381,base_datos,5,FALSE)</f>
        <v>8.1750000000000007</v>
      </c>
      <c r="F381" s="1581">
        <f t="shared" ref="F381:F382" si="376">+E381*B381</f>
        <v>8.1750000000000007</v>
      </c>
      <c r="G381" s="696"/>
      <c r="H381" s="696"/>
      <c r="I381" s="696"/>
      <c r="J381" s="697"/>
      <c r="K381" s="684">
        <f t="shared" si="360"/>
        <v>1</v>
      </c>
      <c r="L381" s="708">
        <v>1</v>
      </c>
      <c r="M381" s="709">
        <f t="shared" si="364"/>
        <v>1</v>
      </c>
      <c r="N381" s="362" t="str">
        <f t="shared" ref="N381:N382" si="377">IF(O381&lt;&gt;"",K381*L381*M381,"")</f>
        <v/>
      </c>
      <c r="O381" s="1763" t="str">
        <f t="shared" ref="O381:O382" si="378">IF(D381&lt;&gt;"",IF(VLOOKUP(D381,base_datos,7,FALSE)&lt;&gt;"",VLOOKUP(D381,base_datos,7,FALSE),""),"")</f>
        <v/>
      </c>
      <c r="P381" s="1764" t="str">
        <f t="shared" ref="P381:P382" si="379">IF(O381&lt;&gt;"",VLOOKUP(D381,base_datos,6,FALSE),"")</f>
        <v/>
      </c>
      <c r="Q381" s="120" t="str">
        <f t="shared" ref="Q381:Q382" si="380">IF(O381&lt;&gt;"",D381,"")</f>
        <v/>
      </c>
      <c r="R381" s="185"/>
    </row>
    <row r="382" spans="1:18" s="695" customFormat="1" ht="18" customHeight="1">
      <c r="A382" s="693"/>
      <c r="B382" s="1922">
        <v>1</v>
      </c>
      <c r="C382" s="721" t="str">
        <f t="shared" si="374"/>
        <v>Borne para neutro.</v>
      </c>
      <c r="D382" s="36" t="s">
        <v>436</v>
      </c>
      <c r="E382" s="1796">
        <f t="shared" si="375"/>
        <v>4</v>
      </c>
      <c r="F382" s="1923">
        <f t="shared" si="376"/>
        <v>4</v>
      </c>
      <c r="G382" s="696"/>
      <c r="H382" s="696"/>
      <c r="I382" s="696"/>
      <c r="J382" s="697"/>
      <c r="K382" s="684">
        <f t="shared" si="360"/>
        <v>1</v>
      </c>
      <c r="L382" s="2225">
        <f t="shared" ref="L382" si="381">L381</f>
        <v>1</v>
      </c>
      <c r="M382" s="709">
        <f t="shared" si="364"/>
        <v>1</v>
      </c>
      <c r="N382" s="362" t="str">
        <f t="shared" si="377"/>
        <v/>
      </c>
      <c r="O382" s="1763" t="str">
        <f t="shared" si="378"/>
        <v/>
      </c>
      <c r="P382" s="1764" t="str">
        <f t="shared" si="379"/>
        <v/>
      </c>
      <c r="Q382" s="120" t="str">
        <f t="shared" si="380"/>
        <v/>
      </c>
      <c r="R382" s="185"/>
    </row>
    <row r="383" spans="1:18" s="185" customFormat="1">
      <c r="A383" s="687"/>
      <c r="B383" s="714"/>
      <c r="C383" s="313" t="s">
        <v>729</v>
      </c>
      <c r="D383" s="36"/>
      <c r="E383" s="1971"/>
      <c r="F383" s="1787"/>
      <c r="G383" s="710"/>
      <c r="H383" s="710"/>
      <c r="I383" s="710"/>
      <c r="J383" s="711"/>
      <c r="K383" s="684">
        <f t="shared" si="360"/>
        <v>1</v>
      </c>
      <c r="L383" s="708">
        <v>1</v>
      </c>
      <c r="M383" s="709">
        <f t="shared" si="364"/>
        <v>1</v>
      </c>
      <c r="N383" s="1905" t="str">
        <f>IF(O383&lt;&gt;"",K383*L383*M383,"")</f>
        <v/>
      </c>
      <c r="O383" s="1571" t="str">
        <f>IF(D383&lt;&gt;"",IF(VLOOKUP(D383,base_datos,7,FALSE)&lt;&gt;"",VLOOKUP(D383,base_datos,7,FALSE),""),"")</f>
        <v/>
      </c>
      <c r="P383" s="320" t="str">
        <f>IF(O383&lt;&gt;"",VLOOKUP(D383,base_datos,6,FALSE),"")</f>
        <v/>
      </c>
      <c r="Q383" s="185" t="str">
        <f>IF(O383&lt;&gt;"",D383,"")</f>
        <v/>
      </c>
    </row>
    <row r="384" spans="1:18" s="695" customFormat="1">
      <c r="A384" s="691"/>
      <c r="B384" s="2214">
        <v>1</v>
      </c>
      <c r="C384" s="2215" t="s">
        <v>316</v>
      </c>
      <c r="D384" s="2223"/>
      <c r="E384" s="2227"/>
      <c r="F384" s="2227"/>
      <c r="G384" s="696"/>
      <c r="H384" s="696"/>
      <c r="I384" s="696"/>
      <c r="J384" s="697"/>
      <c r="K384" s="684">
        <f t="shared" si="360"/>
        <v>1</v>
      </c>
      <c r="L384" s="708">
        <v>1</v>
      </c>
      <c r="M384" s="709">
        <f t="shared" si="364"/>
        <v>1</v>
      </c>
      <c r="N384" s="362" t="str">
        <f t="shared" ref="N384:N385" si="382">IF(O384&lt;&gt;"",K384*L384*M384,"")</f>
        <v/>
      </c>
      <c r="O384" s="1763" t="str">
        <f t="shared" ref="O384:O385" si="383">IF(D384&lt;&gt;"",IF(VLOOKUP(D384,base_datos,7,FALSE)&lt;&gt;"",VLOOKUP(D384,base_datos,7,FALSE),""),"")</f>
        <v/>
      </c>
      <c r="P384" s="1764" t="str">
        <f t="shared" ref="P384:P385" si="384">IF(O384&lt;&gt;"",VLOOKUP(D384,base_datos,6,FALSE),"")</f>
        <v/>
      </c>
      <c r="Q384" s="120" t="str">
        <f t="shared" ref="Q384:Q385" si="385">IF(O384&lt;&gt;"",D384,"")</f>
        <v/>
      </c>
    </row>
    <row r="385" spans="1:18" s="1979" customFormat="1">
      <c r="A385" s="698"/>
      <c r="B385" s="1967">
        <v>1</v>
      </c>
      <c r="C385" s="694" t="s">
        <v>13039</v>
      </c>
      <c r="D385" s="2218"/>
      <c r="E385" s="1968">
        <v>60</v>
      </c>
      <c r="F385" s="1968">
        <f>+E385*B385</f>
        <v>60</v>
      </c>
      <c r="G385" s="2216"/>
      <c r="H385" s="2216"/>
      <c r="I385" s="2216"/>
      <c r="J385" s="2217"/>
      <c r="K385" s="684">
        <f t="shared" si="360"/>
        <v>1</v>
      </c>
      <c r="L385" s="363">
        <v>1</v>
      </c>
      <c r="M385" s="684">
        <f t="shared" ref="M385" si="386">IF(B385="",1,B385)</f>
        <v>1</v>
      </c>
      <c r="N385" s="362" t="str">
        <f t="shared" si="382"/>
        <v/>
      </c>
      <c r="O385" s="1763" t="str">
        <f t="shared" si="383"/>
        <v/>
      </c>
      <c r="P385" s="1764" t="str">
        <f t="shared" si="384"/>
        <v/>
      </c>
      <c r="Q385" s="120" t="str">
        <f t="shared" si="385"/>
        <v/>
      </c>
    </row>
    <row r="386" spans="1:18" s="120" customFormat="1" ht="13.8" thickBot="1">
      <c r="A386" s="699"/>
      <c r="B386" s="1775"/>
      <c r="C386" s="1776"/>
      <c r="D386" s="1885"/>
      <c r="E386" s="1981"/>
      <c r="F386" s="1981"/>
      <c r="G386" s="1777"/>
      <c r="H386" s="1777"/>
      <c r="I386" s="1777"/>
      <c r="J386" s="1778"/>
      <c r="K386" s="684"/>
      <c r="L386" s="363"/>
      <c r="M386" s="684"/>
      <c r="N386" s="362"/>
      <c r="O386" s="1763"/>
      <c r="P386" s="1764"/>
    </row>
    <row r="387" spans="1:18" s="120" customFormat="1" ht="18" customHeight="1" thickBot="1">
      <c r="A387" s="2233">
        <v>6.2</v>
      </c>
      <c r="B387" s="1852">
        <v>1</v>
      </c>
      <c r="C387" s="1756" t="s">
        <v>13043</v>
      </c>
      <c r="D387" s="1588"/>
      <c r="E387" s="1589"/>
      <c r="F387" s="1589"/>
      <c r="G387" s="1757">
        <f>SUM(F388:F401)</f>
        <v>133.52499999999998</v>
      </c>
      <c r="H387" s="1758">
        <f>ROUNDUP(G387*(1-$D$6),0)</f>
        <v>134</v>
      </c>
      <c r="I387" s="1757">
        <f>ROUNDUP(H387*$D$5,0)</f>
        <v>456</v>
      </c>
      <c r="J387" s="1759">
        <f>+I387*B387</f>
        <v>456</v>
      </c>
      <c r="K387" s="1788">
        <f>B387</f>
        <v>1</v>
      </c>
      <c r="L387" s="363"/>
      <c r="M387" s="684"/>
      <c r="N387" s="362"/>
      <c r="O387" s="1763"/>
      <c r="P387" s="1764"/>
      <c r="Q387" s="120" t="str">
        <f t="shared" ref="Q387:Q388" si="387">IF(O387&lt;&gt;"",D387,"")</f>
        <v/>
      </c>
      <c r="R387" s="185"/>
    </row>
    <row r="388" spans="1:18" s="120" customFormat="1">
      <c r="A388" s="685" t="s">
        <v>3064</v>
      </c>
      <c r="B388" s="1779"/>
      <c r="C388" s="1954"/>
      <c r="D388" s="2213"/>
      <c r="E388" s="1789"/>
      <c r="F388" s="1789"/>
      <c r="G388" s="686"/>
      <c r="H388" s="686"/>
      <c r="I388" s="686"/>
      <c r="J388" s="1768"/>
      <c r="K388" s="684">
        <f t="shared" ref="K388:K400" si="388">K387</f>
        <v>1</v>
      </c>
      <c r="L388" s="363">
        <v>1</v>
      </c>
      <c r="M388" s="684">
        <f>IF(B388="",1,B388)</f>
        <v>1</v>
      </c>
      <c r="N388" s="362" t="str">
        <f t="shared" ref="N388" si="389">IF(O388&lt;&gt;"",K388*L388*M388,"")</f>
        <v/>
      </c>
      <c r="O388" s="1763" t="str">
        <f t="shared" ref="O388" si="390">IF(D388&lt;&gt;"",IF(VLOOKUP(D388,base_datos,7,FALSE)&lt;&gt;"",VLOOKUP(D388,base_datos,7,FALSE),""),"")</f>
        <v/>
      </c>
      <c r="P388" s="1764" t="str">
        <f t="shared" ref="P388" si="391">IF(O388&lt;&gt;"",VLOOKUP(D388,base_datos,6,FALSE),"")</f>
        <v/>
      </c>
      <c r="Q388" s="120" t="str">
        <f t="shared" si="387"/>
        <v/>
      </c>
    </row>
    <row r="389" spans="1:18" s="690" customFormat="1" ht="18" customHeight="1">
      <c r="A389" s="687" t="s">
        <v>4021</v>
      </c>
      <c r="B389" s="2226">
        <v>2</v>
      </c>
      <c r="C389" s="1954" t="s">
        <v>13046</v>
      </c>
      <c r="D389" s="2110"/>
      <c r="E389" s="1782"/>
      <c r="F389" s="1908">
        <f>SUM(F390:F394)*(B389-1)</f>
        <v>35.674999999999997</v>
      </c>
      <c r="G389" s="1761"/>
      <c r="H389" s="1761"/>
      <c r="I389" s="1761"/>
      <c r="J389" s="1783"/>
      <c r="K389" s="684">
        <f t="shared" si="388"/>
        <v>1</v>
      </c>
      <c r="L389" s="2225">
        <f>B389</f>
        <v>2</v>
      </c>
      <c r="M389" s="709">
        <f t="shared" ref="M389:M400" si="392">IF(B389="",1,B389)</f>
        <v>2</v>
      </c>
      <c r="N389" s="362" t="str">
        <f>IF(O389&lt;&gt;"",K389*L389*M389,"")</f>
        <v/>
      </c>
      <c r="O389" s="1763" t="str">
        <f>IF(D389&lt;&gt;"",IF(VLOOKUP(D389,base_datos,7,FALSE)&lt;&gt;"",VLOOKUP(D389,base_datos,7,FALSE),""),"")</f>
        <v/>
      </c>
      <c r="P389" s="1764" t="str">
        <f>IF(O389&lt;&gt;"",VLOOKUP(D389,base_datos,6,FALSE),"")</f>
        <v/>
      </c>
      <c r="Q389" s="120" t="str">
        <f>IF(O389&lt;&gt;"",D389,"")</f>
        <v/>
      </c>
      <c r="R389" s="185"/>
    </row>
    <row r="390" spans="1:18" s="2434" customFormat="1" ht="18" customHeight="1">
      <c r="A390" s="2418" t="s">
        <v>4136</v>
      </c>
      <c r="B390" s="2435">
        <v>1</v>
      </c>
      <c r="C390" s="2436" t="str">
        <f>VLOOKUP(D390,base_datos,6,FALSE)</f>
        <v>Dado Interruptor unipolar de 16A,  250V, linea Magic 5001, marca BTICINO.</v>
      </c>
      <c r="D390" s="2437" t="s">
        <v>13868</v>
      </c>
      <c r="E390" s="2422">
        <f>VLOOKUP(D390,base_datos,5,FALSE)</f>
        <v>8.5</v>
      </c>
      <c r="F390" s="2438">
        <f t="shared" ref="F390" si="393">+E390*B390</f>
        <v>8.5</v>
      </c>
      <c r="G390" s="2424"/>
      <c r="H390" s="2424"/>
      <c r="I390" s="2424"/>
      <c r="J390" s="2425"/>
      <c r="K390" s="2426">
        <f t="shared" si="388"/>
        <v>1</v>
      </c>
      <c r="L390" s="2427">
        <f>L389</f>
        <v>2</v>
      </c>
      <c r="M390" s="2428">
        <f t="shared" si="392"/>
        <v>1</v>
      </c>
      <c r="N390" s="2429" t="str">
        <f>IF(O390&lt;&gt;"",K390*L390*M390,"")</f>
        <v/>
      </c>
      <c r="O390" s="2430" t="str">
        <f>IF(D390&lt;&gt;"",IF(VLOOKUP(D390,base_datos,7,FALSE)&lt;&gt;"",VLOOKUP(D390,base_datos,7,FALSE),""),"")</f>
        <v/>
      </c>
      <c r="P390" s="2431" t="str">
        <f>IF(O390&lt;&gt;"",VLOOKUP(D390,base_datos,6,FALSE),"")</f>
        <v/>
      </c>
      <c r="Q390" s="2432" t="str">
        <f>IF(O390&lt;&gt;"",D390,"")</f>
        <v/>
      </c>
      <c r="R390" s="2433"/>
    </row>
    <row r="391" spans="1:18" s="120" customFormat="1">
      <c r="A391" s="687"/>
      <c r="B391" s="1781">
        <v>1</v>
      </c>
      <c r="C391" s="1915" t="s">
        <v>3366</v>
      </c>
      <c r="D391" s="314"/>
      <c r="E391" s="1782"/>
      <c r="F391" s="1923"/>
      <c r="G391" s="686"/>
      <c r="H391" s="686"/>
      <c r="I391" s="686"/>
      <c r="J391" s="688"/>
      <c r="K391" s="684">
        <f t="shared" si="388"/>
        <v>1</v>
      </c>
      <c r="L391" s="2225">
        <f>L393</f>
        <v>2</v>
      </c>
      <c r="M391" s="709">
        <f t="shared" si="392"/>
        <v>1</v>
      </c>
      <c r="N391" s="362" t="str">
        <f t="shared" ref="N391" si="394">IF(O391&lt;&gt;"",K391*L391*M391,"")</f>
        <v/>
      </c>
      <c r="O391" s="1763" t="str">
        <f t="shared" ref="O391" si="395">IF(D391&lt;&gt;"",IF(VLOOKUP(D391,base_datos,7,FALSE)&lt;&gt;"",VLOOKUP(D391,base_datos,7,FALSE),""),"")</f>
        <v/>
      </c>
      <c r="P391" s="1764" t="str">
        <f t="shared" ref="P391" si="396">IF(O391&lt;&gt;"",VLOOKUP(D391,base_datos,6,FALSE),"")</f>
        <v/>
      </c>
      <c r="Q391" s="120" t="str">
        <f t="shared" ref="Q391" si="397">IF(O391&lt;&gt;"",D391,"")</f>
        <v/>
      </c>
    </row>
    <row r="392" spans="1:18" s="695" customFormat="1" ht="18" customHeight="1">
      <c r="A392" s="693"/>
      <c r="B392" s="1922">
        <v>6</v>
      </c>
      <c r="C392" s="721" t="str">
        <f>VLOOKUP(D392,base_datos,6,FALSE)</f>
        <v>Borne 4mm2.</v>
      </c>
      <c r="D392" s="2222" t="s">
        <v>437</v>
      </c>
      <c r="E392" s="1796">
        <f>VLOOKUP(D392,base_datos,5,FALSE)</f>
        <v>2.5</v>
      </c>
      <c r="F392" s="1923">
        <f>+E392*B392</f>
        <v>15</v>
      </c>
      <c r="G392" s="696"/>
      <c r="H392" s="696"/>
      <c r="I392" s="696"/>
      <c r="J392" s="697"/>
      <c r="K392" s="684">
        <f>K393</f>
        <v>1</v>
      </c>
      <c r="L392" s="708">
        <v>1</v>
      </c>
      <c r="M392" s="709">
        <f>IF(B392="",1,B392)</f>
        <v>6</v>
      </c>
      <c r="N392" s="362" t="str">
        <f>IF(O392&lt;&gt;"",K392*L392*M392,"")</f>
        <v/>
      </c>
      <c r="O392" s="1763" t="str">
        <f>IF(D392&lt;&gt;"",IF(VLOOKUP(D392,base_datos,7,FALSE)&lt;&gt;"",VLOOKUP(D392,base_datos,7,FALSE),""),"")</f>
        <v/>
      </c>
      <c r="P392" s="1764" t="str">
        <f>IF(O392&lt;&gt;"",VLOOKUP(D392,base_datos,6,FALSE),"")</f>
        <v/>
      </c>
      <c r="Q392" s="120" t="str">
        <f>IF(O392&lt;&gt;"",D392,"")</f>
        <v/>
      </c>
      <c r="R392" s="185"/>
    </row>
    <row r="393" spans="1:18" s="695" customFormat="1" ht="18" customHeight="1">
      <c r="A393" s="693"/>
      <c r="B393" s="1922">
        <v>1</v>
      </c>
      <c r="C393" s="721" t="str">
        <f t="shared" ref="C393" si="398">VLOOKUP(D393,base_datos,6,FALSE)</f>
        <v>Base portafusibles + Fusibles de protección para control.</v>
      </c>
      <c r="D393" s="2222" t="s">
        <v>453</v>
      </c>
      <c r="E393" s="1796">
        <f t="shared" ref="E393" si="399">VLOOKUP(D393,base_datos,5,FALSE)</f>
        <v>8.1750000000000007</v>
      </c>
      <c r="F393" s="1923">
        <f>+E393*B393</f>
        <v>8.1750000000000007</v>
      </c>
      <c r="G393" s="696"/>
      <c r="H393" s="696"/>
      <c r="I393" s="696"/>
      <c r="J393" s="697"/>
      <c r="K393" s="684">
        <f>K391</f>
        <v>1</v>
      </c>
      <c r="L393" s="2225">
        <f>L390</f>
        <v>2</v>
      </c>
      <c r="M393" s="709">
        <f t="shared" si="392"/>
        <v>1</v>
      </c>
      <c r="N393" s="362" t="str">
        <f>IF(O393&lt;&gt;"",K393*L393*M393,"")</f>
        <v/>
      </c>
      <c r="O393" s="1763" t="str">
        <f>IF(D393&lt;&gt;"",IF(VLOOKUP(D393,base_datos,7,FALSE)&lt;&gt;"",VLOOKUP(D393,base_datos,7,FALSE),""),"")</f>
        <v/>
      </c>
      <c r="P393" s="1764" t="str">
        <f>IF(O393&lt;&gt;"",VLOOKUP(D393,base_datos,6,FALSE),"")</f>
        <v/>
      </c>
      <c r="Q393" s="120" t="str">
        <f>IF(O393&lt;&gt;"",D393,"")</f>
        <v/>
      </c>
      <c r="R393" s="185"/>
    </row>
    <row r="394" spans="1:18" s="695" customFormat="1" ht="18" customHeight="1">
      <c r="A394" s="693"/>
      <c r="B394" s="1922">
        <v>1</v>
      </c>
      <c r="C394" s="721" t="str">
        <f t="shared" ref="C394" si="400">VLOOKUP(D394,base_datos,6,FALSE)</f>
        <v>Borne para neutro.</v>
      </c>
      <c r="D394" s="36" t="s">
        <v>436</v>
      </c>
      <c r="E394" s="1796">
        <f t="shared" ref="E394" si="401">VLOOKUP(D394,base_datos,5,FALSE)</f>
        <v>4</v>
      </c>
      <c r="F394" s="1923">
        <f t="shared" ref="F394" si="402">+E394*B394</f>
        <v>4</v>
      </c>
      <c r="G394" s="696"/>
      <c r="H394" s="696"/>
      <c r="I394" s="696"/>
      <c r="J394" s="697"/>
      <c r="K394" s="684">
        <f>K392</f>
        <v>1</v>
      </c>
      <c r="L394" s="2228">
        <f>L391</f>
        <v>2</v>
      </c>
      <c r="M394" s="709">
        <f t="shared" si="392"/>
        <v>1</v>
      </c>
      <c r="N394" s="362" t="str">
        <f t="shared" ref="N394" si="403">IF(O394&lt;&gt;"",K394*L394*M394,"")</f>
        <v/>
      </c>
      <c r="O394" s="1763" t="str">
        <f t="shared" ref="O394" si="404">IF(D394&lt;&gt;"",IF(VLOOKUP(D394,base_datos,7,FALSE)&lt;&gt;"",VLOOKUP(D394,base_datos,7,FALSE),""),"")</f>
        <v/>
      </c>
      <c r="P394" s="1764" t="str">
        <f t="shared" ref="P394" si="405">IF(O394&lt;&gt;"",VLOOKUP(D394,base_datos,6,FALSE),"")</f>
        <v/>
      </c>
      <c r="Q394" s="120" t="str">
        <f t="shared" ref="Q394" si="406">IF(O394&lt;&gt;"",D394,"")</f>
        <v/>
      </c>
      <c r="R394" s="185"/>
    </row>
    <row r="395" spans="1:18" s="185" customFormat="1">
      <c r="A395" s="687"/>
      <c r="B395" s="714"/>
      <c r="C395" s="313" t="s">
        <v>729</v>
      </c>
      <c r="D395" s="36"/>
      <c r="E395" s="1971"/>
      <c r="F395" s="1787"/>
      <c r="G395" s="710"/>
      <c r="H395" s="710"/>
      <c r="I395" s="710"/>
      <c r="J395" s="711"/>
      <c r="K395" s="684">
        <f t="shared" si="388"/>
        <v>1</v>
      </c>
      <c r="L395" s="363">
        <v>1</v>
      </c>
      <c r="M395" s="709">
        <f t="shared" si="392"/>
        <v>1</v>
      </c>
      <c r="N395" s="1905" t="str">
        <f>IF(O395&lt;&gt;"",K395*L395*M395,"")</f>
        <v/>
      </c>
      <c r="O395" s="1571" t="str">
        <f>IF(D395&lt;&gt;"",IF(VLOOKUP(D395,base_datos,7,FALSE)&lt;&gt;"",VLOOKUP(D395,base_datos,7,FALSE),""),"")</f>
        <v/>
      </c>
      <c r="P395" s="320" t="str">
        <f>IF(O395&lt;&gt;"",VLOOKUP(D395,base_datos,6,FALSE),"")</f>
        <v/>
      </c>
      <c r="Q395" s="185" t="str">
        <f>IF(O395&lt;&gt;"",D395,"")</f>
        <v/>
      </c>
    </row>
    <row r="396" spans="1:18" s="695" customFormat="1" ht="18" customHeight="1">
      <c r="A396" s="693"/>
      <c r="B396" s="1922">
        <v>1</v>
      </c>
      <c r="C396" s="721" t="str">
        <f t="shared" ref="C396:C397" si="407">VLOOKUP(D396,base_datos,6,FALSE)</f>
        <v>Base portafusibles + Fusibles de protección para control.</v>
      </c>
      <c r="D396" s="2222" t="s">
        <v>453</v>
      </c>
      <c r="E396" s="1796">
        <f t="shared" ref="E396:E397" si="408">VLOOKUP(D396,base_datos,5,FALSE)</f>
        <v>8.1750000000000007</v>
      </c>
      <c r="F396" s="1581">
        <f t="shared" ref="F396:F397" si="409">+E396*B396</f>
        <v>8.1750000000000007</v>
      </c>
      <c r="G396" s="696"/>
      <c r="H396" s="696"/>
      <c r="I396" s="696"/>
      <c r="J396" s="697"/>
      <c r="K396" s="684">
        <f t="shared" si="388"/>
        <v>1</v>
      </c>
      <c r="L396" s="708">
        <v>1</v>
      </c>
      <c r="M396" s="709">
        <f t="shared" si="392"/>
        <v>1</v>
      </c>
      <c r="N396" s="362" t="str">
        <f t="shared" ref="N396:N397" si="410">IF(O396&lt;&gt;"",K396*L396*M396,"")</f>
        <v/>
      </c>
      <c r="O396" s="1763" t="str">
        <f t="shared" ref="O396:O397" si="411">IF(D396&lt;&gt;"",IF(VLOOKUP(D396,base_datos,7,FALSE)&lt;&gt;"",VLOOKUP(D396,base_datos,7,FALSE),""),"")</f>
        <v/>
      </c>
      <c r="P396" s="1764" t="str">
        <f t="shared" ref="P396:P397" si="412">IF(O396&lt;&gt;"",VLOOKUP(D396,base_datos,6,FALSE),"")</f>
        <v/>
      </c>
      <c r="Q396" s="120" t="str">
        <f t="shared" ref="Q396:Q397" si="413">IF(O396&lt;&gt;"",D396,"")</f>
        <v/>
      </c>
      <c r="R396" s="185"/>
    </row>
    <row r="397" spans="1:18" s="695" customFormat="1" ht="18" customHeight="1">
      <c r="A397" s="693"/>
      <c r="B397" s="1922">
        <v>1</v>
      </c>
      <c r="C397" s="721" t="str">
        <f t="shared" si="407"/>
        <v>Borne para neutro.</v>
      </c>
      <c r="D397" s="36" t="s">
        <v>436</v>
      </c>
      <c r="E397" s="1796">
        <f t="shared" si="408"/>
        <v>4</v>
      </c>
      <c r="F397" s="1923">
        <f t="shared" si="409"/>
        <v>4</v>
      </c>
      <c r="G397" s="696"/>
      <c r="H397" s="696"/>
      <c r="I397" s="696"/>
      <c r="J397" s="697"/>
      <c r="K397" s="684">
        <f t="shared" si="388"/>
        <v>1</v>
      </c>
      <c r="L397" s="2228">
        <f t="shared" ref="L397" si="414">L396</f>
        <v>1</v>
      </c>
      <c r="M397" s="709">
        <f t="shared" si="392"/>
        <v>1</v>
      </c>
      <c r="N397" s="362" t="str">
        <f t="shared" si="410"/>
        <v/>
      </c>
      <c r="O397" s="1763" t="str">
        <f t="shared" si="411"/>
        <v/>
      </c>
      <c r="P397" s="1764" t="str">
        <f t="shared" si="412"/>
        <v/>
      </c>
      <c r="Q397" s="120" t="str">
        <f t="shared" si="413"/>
        <v/>
      </c>
      <c r="R397" s="185"/>
    </row>
    <row r="398" spans="1:18" s="185" customFormat="1">
      <c r="A398" s="687"/>
      <c r="B398" s="714"/>
      <c r="C398" s="313" t="s">
        <v>729</v>
      </c>
      <c r="D398" s="36"/>
      <c r="E398" s="1971"/>
      <c r="F398" s="1787"/>
      <c r="G398" s="710"/>
      <c r="H398" s="710"/>
      <c r="I398" s="710"/>
      <c r="J398" s="711"/>
      <c r="K398" s="684">
        <f t="shared" si="388"/>
        <v>1</v>
      </c>
      <c r="L398" s="708">
        <v>1</v>
      </c>
      <c r="M398" s="709">
        <f t="shared" si="392"/>
        <v>1</v>
      </c>
      <c r="N398" s="1905" t="str">
        <f>IF(O398&lt;&gt;"",K398*L398*M398,"")</f>
        <v/>
      </c>
      <c r="O398" s="1571" t="str">
        <f>IF(D398&lt;&gt;"",IF(VLOOKUP(D398,base_datos,7,FALSE)&lt;&gt;"",VLOOKUP(D398,base_datos,7,FALSE),""),"")</f>
        <v/>
      </c>
      <c r="P398" s="320" t="str">
        <f>IF(O398&lt;&gt;"",VLOOKUP(D398,base_datos,6,FALSE),"")</f>
        <v/>
      </c>
      <c r="Q398" s="185" t="str">
        <f>IF(O398&lt;&gt;"",D398,"")</f>
        <v/>
      </c>
    </row>
    <row r="399" spans="1:18" s="695" customFormat="1">
      <c r="A399" s="691"/>
      <c r="B399" s="2214">
        <v>1</v>
      </c>
      <c r="C399" s="2215" t="s">
        <v>316</v>
      </c>
      <c r="D399" s="2223"/>
      <c r="E399" s="2227"/>
      <c r="F399" s="2227"/>
      <c r="G399" s="696"/>
      <c r="H399" s="696"/>
      <c r="I399" s="696"/>
      <c r="J399" s="697"/>
      <c r="K399" s="684">
        <f t="shared" si="388"/>
        <v>1</v>
      </c>
      <c r="L399" s="708">
        <v>1</v>
      </c>
      <c r="M399" s="709">
        <f t="shared" si="392"/>
        <v>1</v>
      </c>
      <c r="N399" s="362" t="str">
        <f t="shared" ref="N399:N400" si="415">IF(O399&lt;&gt;"",K399*L399*M399,"")</f>
        <v/>
      </c>
      <c r="O399" s="1763" t="str">
        <f t="shared" ref="O399:O400" si="416">IF(D399&lt;&gt;"",IF(VLOOKUP(D399,base_datos,7,FALSE)&lt;&gt;"",VLOOKUP(D399,base_datos,7,FALSE),""),"")</f>
        <v/>
      </c>
      <c r="P399" s="1764" t="str">
        <f t="shared" ref="P399:P400" si="417">IF(O399&lt;&gt;"",VLOOKUP(D399,base_datos,6,FALSE),"")</f>
        <v/>
      </c>
      <c r="Q399" s="120" t="str">
        <f t="shared" ref="Q399:Q400" si="418">IF(O399&lt;&gt;"",D399,"")</f>
        <v/>
      </c>
    </row>
    <row r="400" spans="1:18" s="1979" customFormat="1">
      <c r="A400" s="698"/>
      <c r="B400" s="1967">
        <v>1</v>
      </c>
      <c r="C400" s="694" t="s">
        <v>13039</v>
      </c>
      <c r="D400" s="2218"/>
      <c r="E400" s="1968">
        <v>50</v>
      </c>
      <c r="F400" s="1968">
        <f>+E400*B400</f>
        <v>50</v>
      </c>
      <c r="G400" s="2216"/>
      <c r="H400" s="2216"/>
      <c r="I400" s="2216"/>
      <c r="J400" s="2217"/>
      <c r="K400" s="684">
        <f t="shared" si="388"/>
        <v>1</v>
      </c>
      <c r="L400" s="363">
        <v>1</v>
      </c>
      <c r="M400" s="709">
        <f t="shared" si="392"/>
        <v>1</v>
      </c>
      <c r="N400" s="362" t="str">
        <f t="shared" si="415"/>
        <v/>
      </c>
      <c r="O400" s="1763" t="str">
        <f t="shared" si="416"/>
        <v/>
      </c>
      <c r="P400" s="1764" t="str">
        <f t="shared" si="417"/>
        <v/>
      </c>
      <c r="Q400" s="120" t="str">
        <f t="shared" si="418"/>
        <v/>
      </c>
    </row>
    <row r="401" spans="1:18" s="120" customFormat="1" ht="13.8" thickBot="1">
      <c r="A401" s="699"/>
      <c r="B401" s="1775"/>
      <c r="C401" s="1776"/>
      <c r="D401" s="1885"/>
      <c r="E401" s="1981"/>
      <c r="F401" s="1981"/>
      <c r="G401" s="1777"/>
      <c r="H401" s="1777"/>
      <c r="I401" s="1777"/>
      <c r="J401" s="1778"/>
      <c r="K401" s="684"/>
      <c r="L401" s="363"/>
      <c r="M401" s="684"/>
      <c r="N401" s="362"/>
      <c r="O401" s="1763"/>
      <c r="P401" s="1764"/>
    </row>
    <row r="402" spans="1:18" s="120" customFormat="1" ht="18" customHeight="1" thickBot="1">
      <c r="A402" s="2233">
        <v>6.3</v>
      </c>
      <c r="B402" s="1852">
        <v>1</v>
      </c>
      <c r="C402" s="1756" t="s">
        <v>13047</v>
      </c>
      <c r="D402" s="1588"/>
      <c r="E402" s="1589"/>
      <c r="F402" s="1589"/>
      <c r="G402" s="1757">
        <f>SUM(F403:F416)</f>
        <v>133.52499999999998</v>
      </c>
      <c r="H402" s="1758">
        <f>ROUNDUP(G402*(1-$D$6),0)</f>
        <v>134</v>
      </c>
      <c r="I402" s="1757">
        <f>ROUNDUP(H402*$D$5,0)</f>
        <v>456</v>
      </c>
      <c r="J402" s="1759">
        <f>+I402*B402</f>
        <v>456</v>
      </c>
      <c r="K402" s="1788">
        <f>B402</f>
        <v>1</v>
      </c>
      <c r="L402" s="363"/>
      <c r="M402" s="684"/>
      <c r="N402" s="362"/>
      <c r="O402" s="1763"/>
      <c r="P402" s="1764"/>
      <c r="Q402" s="120" t="str">
        <f t="shared" ref="Q402:Q403" si="419">IF(O402&lt;&gt;"",D402,"")</f>
        <v/>
      </c>
      <c r="R402" s="185"/>
    </row>
    <row r="403" spans="1:18" s="120" customFormat="1">
      <c r="A403" s="685" t="s">
        <v>3064</v>
      </c>
      <c r="B403" s="1779"/>
      <c r="C403" s="1954"/>
      <c r="D403" s="2213"/>
      <c r="E403" s="1789"/>
      <c r="F403" s="1789"/>
      <c r="G403" s="686"/>
      <c r="H403" s="686"/>
      <c r="I403" s="686"/>
      <c r="J403" s="1768"/>
      <c r="K403" s="684">
        <f t="shared" ref="K403:K415" si="420">K402</f>
        <v>1</v>
      </c>
      <c r="L403" s="363">
        <v>1</v>
      </c>
      <c r="M403" s="684">
        <f>IF(B403="",1,B403)</f>
        <v>1</v>
      </c>
      <c r="N403" s="362" t="str">
        <f t="shared" ref="N403" si="421">IF(O403&lt;&gt;"",K403*L403*M403,"")</f>
        <v/>
      </c>
      <c r="O403" s="1763" t="str">
        <f t="shared" ref="O403" si="422">IF(D403&lt;&gt;"",IF(VLOOKUP(D403,base_datos,7,FALSE)&lt;&gt;"",VLOOKUP(D403,base_datos,7,FALSE),""),"")</f>
        <v/>
      </c>
      <c r="P403" s="1764" t="str">
        <f t="shared" ref="P403" si="423">IF(O403&lt;&gt;"",VLOOKUP(D403,base_datos,6,FALSE),"")</f>
        <v/>
      </c>
      <c r="Q403" s="120" t="str">
        <f t="shared" si="419"/>
        <v/>
      </c>
    </row>
    <row r="404" spans="1:18" s="690" customFormat="1" ht="18" customHeight="1">
      <c r="A404" s="687" t="s">
        <v>4021</v>
      </c>
      <c r="B404" s="2226">
        <v>2</v>
      </c>
      <c r="C404" s="1954" t="s">
        <v>13048</v>
      </c>
      <c r="D404" s="2110"/>
      <c r="E404" s="1782"/>
      <c r="F404" s="1908">
        <f>SUM(F405:F409)*(B404-1)</f>
        <v>35.674999999999997</v>
      </c>
      <c r="G404" s="1761"/>
      <c r="H404" s="1761"/>
      <c r="I404" s="1761"/>
      <c r="J404" s="1783"/>
      <c r="K404" s="684">
        <f t="shared" si="420"/>
        <v>1</v>
      </c>
      <c r="L404" s="2225">
        <f>B404</f>
        <v>2</v>
      </c>
      <c r="M404" s="709">
        <f t="shared" ref="M404:M415" si="424">IF(B404="",1,B404)</f>
        <v>2</v>
      </c>
      <c r="N404" s="362" t="str">
        <f>IF(O404&lt;&gt;"",K404*L404*M404,"")</f>
        <v/>
      </c>
      <c r="O404" s="1763" t="str">
        <f>IF(D404&lt;&gt;"",IF(VLOOKUP(D404,base_datos,7,FALSE)&lt;&gt;"",VLOOKUP(D404,base_datos,7,FALSE),""),"")</f>
        <v/>
      </c>
      <c r="P404" s="1764" t="str">
        <f>IF(O404&lt;&gt;"",VLOOKUP(D404,base_datos,6,FALSE),"")</f>
        <v/>
      </c>
      <c r="Q404" s="120" t="str">
        <f>IF(O404&lt;&gt;"",D404,"")</f>
        <v/>
      </c>
      <c r="R404" s="185"/>
    </row>
    <row r="405" spans="1:18" s="2434" customFormat="1" ht="18" customHeight="1">
      <c r="A405" s="2418" t="s">
        <v>4136</v>
      </c>
      <c r="B405" s="2435">
        <v>1</v>
      </c>
      <c r="C405" s="2436" t="str">
        <f>VLOOKUP(D405,base_datos,6,FALSE)</f>
        <v>Dado Interruptor unipolar de 16A,  250V, linea Magic 5001, marca BTICINO.</v>
      </c>
      <c r="D405" s="2437" t="s">
        <v>13868</v>
      </c>
      <c r="E405" s="2422">
        <f>VLOOKUP(D405,base_datos,5,FALSE)</f>
        <v>8.5</v>
      </c>
      <c r="F405" s="2438">
        <f t="shared" ref="F405" si="425">+E405*B405</f>
        <v>8.5</v>
      </c>
      <c r="G405" s="2424"/>
      <c r="H405" s="2424"/>
      <c r="I405" s="2424"/>
      <c r="J405" s="2425"/>
      <c r="K405" s="2426">
        <f t="shared" si="420"/>
        <v>1</v>
      </c>
      <c r="L405" s="2427">
        <f>L404</f>
        <v>2</v>
      </c>
      <c r="M405" s="2428">
        <f t="shared" si="424"/>
        <v>1</v>
      </c>
      <c r="N405" s="2429" t="str">
        <f>IF(O405&lt;&gt;"",K405*L405*M405,"")</f>
        <v/>
      </c>
      <c r="O405" s="2430" t="str">
        <f>IF(D405&lt;&gt;"",IF(VLOOKUP(D405,base_datos,7,FALSE)&lt;&gt;"",VLOOKUP(D405,base_datos,7,FALSE),""),"")</f>
        <v/>
      </c>
      <c r="P405" s="2431" t="str">
        <f>IF(O405&lt;&gt;"",VLOOKUP(D405,base_datos,6,FALSE),"")</f>
        <v/>
      </c>
      <c r="Q405" s="2432" t="str">
        <f>IF(O405&lt;&gt;"",D405,"")</f>
        <v/>
      </c>
      <c r="R405" s="2433"/>
    </row>
    <row r="406" spans="1:18" s="120" customFormat="1">
      <c r="A406" s="687"/>
      <c r="B406" s="1781">
        <v>1</v>
      </c>
      <c r="C406" s="1915" t="s">
        <v>3366</v>
      </c>
      <c r="D406" s="314"/>
      <c r="E406" s="1782"/>
      <c r="F406" s="1923"/>
      <c r="G406" s="686"/>
      <c r="H406" s="686"/>
      <c r="I406" s="686"/>
      <c r="J406" s="688"/>
      <c r="K406" s="684">
        <f t="shared" si="420"/>
        <v>1</v>
      </c>
      <c r="L406" s="2225">
        <f>L407</f>
        <v>2</v>
      </c>
      <c r="M406" s="709">
        <f t="shared" si="424"/>
        <v>1</v>
      </c>
      <c r="N406" s="362" t="str">
        <f t="shared" ref="N406" si="426">IF(O406&lt;&gt;"",K406*L406*M406,"")</f>
        <v/>
      </c>
      <c r="O406" s="1763" t="str">
        <f t="shared" ref="O406" si="427">IF(D406&lt;&gt;"",IF(VLOOKUP(D406,base_datos,7,FALSE)&lt;&gt;"",VLOOKUP(D406,base_datos,7,FALSE),""),"")</f>
        <v/>
      </c>
      <c r="P406" s="1764" t="str">
        <f t="shared" ref="P406" si="428">IF(O406&lt;&gt;"",VLOOKUP(D406,base_datos,6,FALSE),"")</f>
        <v/>
      </c>
      <c r="Q406" s="120" t="str">
        <f t="shared" ref="Q406" si="429">IF(O406&lt;&gt;"",D406,"")</f>
        <v/>
      </c>
    </row>
    <row r="407" spans="1:18" s="695" customFormat="1" ht="18" customHeight="1">
      <c r="A407" s="693"/>
      <c r="B407" s="1922">
        <v>1</v>
      </c>
      <c r="C407" s="721" t="str">
        <f t="shared" ref="C407" si="430">VLOOKUP(D407,base_datos,6,FALSE)</f>
        <v>Base portafusibles + Fusibles de protección para control.</v>
      </c>
      <c r="D407" s="2222" t="s">
        <v>453</v>
      </c>
      <c r="E407" s="1796">
        <f t="shared" ref="E407" si="431">VLOOKUP(D407,base_datos,5,FALSE)</f>
        <v>8.1750000000000007</v>
      </c>
      <c r="F407" s="1923">
        <f>+E407*B407</f>
        <v>8.1750000000000007</v>
      </c>
      <c r="G407" s="696"/>
      <c r="H407" s="696"/>
      <c r="I407" s="696"/>
      <c r="J407" s="697"/>
      <c r="K407" s="684">
        <f t="shared" si="420"/>
        <v>1</v>
      </c>
      <c r="L407" s="2225">
        <f>L405</f>
        <v>2</v>
      </c>
      <c r="M407" s="709">
        <f t="shared" si="424"/>
        <v>1</v>
      </c>
      <c r="N407" s="362" t="str">
        <f>IF(O407&lt;&gt;"",K407*L407*M407,"")</f>
        <v/>
      </c>
      <c r="O407" s="1763" t="str">
        <f>IF(D407&lt;&gt;"",IF(VLOOKUP(D407,base_datos,7,FALSE)&lt;&gt;"",VLOOKUP(D407,base_datos,7,FALSE),""),"")</f>
        <v/>
      </c>
      <c r="P407" s="1764" t="str">
        <f>IF(O407&lt;&gt;"",VLOOKUP(D407,base_datos,6,FALSE),"")</f>
        <v/>
      </c>
      <c r="Q407" s="120" t="str">
        <f>IF(O407&lt;&gt;"",D407,"")</f>
        <v/>
      </c>
      <c r="R407" s="185"/>
    </row>
    <row r="408" spans="1:18" s="695" customFormat="1" ht="18" customHeight="1">
      <c r="A408" s="693"/>
      <c r="B408" s="1922">
        <v>6</v>
      </c>
      <c r="C408" s="721" t="str">
        <f>VLOOKUP(D408,base_datos,6,FALSE)</f>
        <v>Borne 4mm2.</v>
      </c>
      <c r="D408" s="2222" t="s">
        <v>437</v>
      </c>
      <c r="E408" s="1796">
        <f>VLOOKUP(D408,base_datos,5,FALSE)</f>
        <v>2.5</v>
      </c>
      <c r="F408" s="1923">
        <f t="shared" ref="F408:F409" si="432">+E408*B408</f>
        <v>15</v>
      </c>
      <c r="G408" s="696"/>
      <c r="H408" s="696"/>
      <c r="I408" s="696"/>
      <c r="J408" s="697"/>
      <c r="K408" s="684">
        <f t="shared" si="420"/>
        <v>1</v>
      </c>
      <c r="L408" s="708">
        <v>1</v>
      </c>
      <c r="M408" s="709">
        <f t="shared" si="424"/>
        <v>6</v>
      </c>
      <c r="N408" s="362" t="str">
        <f>IF(O408&lt;&gt;"",K408*L408*M408,"")</f>
        <v/>
      </c>
      <c r="O408" s="1763" t="str">
        <f>IF(D408&lt;&gt;"",IF(VLOOKUP(D408,base_datos,7,FALSE)&lt;&gt;"",VLOOKUP(D408,base_datos,7,FALSE),""),"")</f>
        <v/>
      </c>
      <c r="P408" s="1764" t="str">
        <f>IF(O408&lt;&gt;"",VLOOKUP(D408,base_datos,6,FALSE),"")</f>
        <v/>
      </c>
      <c r="Q408" s="120" t="str">
        <f>IF(O408&lt;&gt;"",D408,"")</f>
        <v/>
      </c>
      <c r="R408" s="185"/>
    </row>
    <row r="409" spans="1:18" s="695" customFormat="1" ht="18" customHeight="1">
      <c r="A409" s="693"/>
      <c r="B409" s="1922">
        <v>1</v>
      </c>
      <c r="C409" s="721" t="str">
        <f t="shared" ref="C409" si="433">VLOOKUP(D409,base_datos,6,FALSE)</f>
        <v>Borne para neutro.</v>
      </c>
      <c r="D409" s="36" t="s">
        <v>436</v>
      </c>
      <c r="E409" s="1796">
        <f t="shared" ref="E409" si="434">VLOOKUP(D409,base_datos,5,FALSE)</f>
        <v>4</v>
      </c>
      <c r="F409" s="1923">
        <f t="shared" si="432"/>
        <v>4</v>
      </c>
      <c r="G409" s="696"/>
      <c r="H409" s="696"/>
      <c r="I409" s="696"/>
      <c r="J409" s="697"/>
      <c r="K409" s="684">
        <f t="shared" si="420"/>
        <v>1</v>
      </c>
      <c r="L409" s="2228">
        <f>L406</f>
        <v>2</v>
      </c>
      <c r="M409" s="709">
        <f t="shared" si="424"/>
        <v>1</v>
      </c>
      <c r="N409" s="362" t="str">
        <f t="shared" ref="N409" si="435">IF(O409&lt;&gt;"",K409*L409*M409,"")</f>
        <v/>
      </c>
      <c r="O409" s="1763" t="str">
        <f t="shared" ref="O409" si="436">IF(D409&lt;&gt;"",IF(VLOOKUP(D409,base_datos,7,FALSE)&lt;&gt;"",VLOOKUP(D409,base_datos,7,FALSE),""),"")</f>
        <v/>
      </c>
      <c r="P409" s="1764" t="str">
        <f t="shared" ref="P409" si="437">IF(O409&lt;&gt;"",VLOOKUP(D409,base_datos,6,FALSE),"")</f>
        <v/>
      </c>
      <c r="Q409" s="120" t="str">
        <f t="shared" ref="Q409" si="438">IF(O409&lt;&gt;"",D409,"")</f>
        <v/>
      </c>
      <c r="R409" s="185"/>
    </row>
    <row r="410" spans="1:18" s="185" customFormat="1">
      <c r="A410" s="687"/>
      <c r="B410" s="714"/>
      <c r="C410" s="313" t="s">
        <v>729</v>
      </c>
      <c r="D410" s="36"/>
      <c r="E410" s="1971"/>
      <c r="F410" s="1787"/>
      <c r="G410" s="710"/>
      <c r="H410" s="710"/>
      <c r="I410" s="710"/>
      <c r="J410" s="711"/>
      <c r="K410" s="684">
        <f t="shared" si="420"/>
        <v>1</v>
      </c>
      <c r="L410" s="363">
        <v>1</v>
      </c>
      <c r="M410" s="709">
        <f t="shared" si="424"/>
        <v>1</v>
      </c>
      <c r="N410" s="1905" t="str">
        <f>IF(O410&lt;&gt;"",K410*L410*M410,"")</f>
        <v/>
      </c>
      <c r="O410" s="1571" t="str">
        <f>IF(D410&lt;&gt;"",IF(VLOOKUP(D410,base_datos,7,FALSE)&lt;&gt;"",VLOOKUP(D410,base_datos,7,FALSE),""),"")</f>
        <v/>
      </c>
      <c r="P410" s="320" t="str">
        <f>IF(O410&lt;&gt;"",VLOOKUP(D410,base_datos,6,FALSE),"")</f>
        <v/>
      </c>
      <c r="Q410" s="185" t="str">
        <f>IF(O410&lt;&gt;"",D410,"")</f>
        <v/>
      </c>
    </row>
    <row r="411" spans="1:18" s="695" customFormat="1" ht="18" customHeight="1">
      <c r="A411" s="693"/>
      <c r="B411" s="1922">
        <v>1</v>
      </c>
      <c r="C411" s="721" t="str">
        <f t="shared" ref="C411:C412" si="439">VLOOKUP(D411,base_datos,6,FALSE)</f>
        <v>Base portafusibles + Fusibles de protección para control.</v>
      </c>
      <c r="D411" s="2222" t="s">
        <v>453</v>
      </c>
      <c r="E411" s="1796">
        <f t="shared" ref="E411:E412" si="440">VLOOKUP(D411,base_datos,5,FALSE)</f>
        <v>8.1750000000000007</v>
      </c>
      <c r="F411" s="1581">
        <f t="shared" ref="F411:F412" si="441">+E411*B411</f>
        <v>8.1750000000000007</v>
      </c>
      <c r="G411" s="696"/>
      <c r="H411" s="696"/>
      <c r="I411" s="696"/>
      <c r="J411" s="697"/>
      <c r="K411" s="684">
        <f t="shared" si="420"/>
        <v>1</v>
      </c>
      <c r="L411" s="708">
        <v>1</v>
      </c>
      <c r="M411" s="709">
        <f t="shared" si="424"/>
        <v>1</v>
      </c>
      <c r="N411" s="362" t="str">
        <f t="shared" ref="N411:N412" si="442">IF(O411&lt;&gt;"",K411*L411*M411,"")</f>
        <v/>
      </c>
      <c r="O411" s="1763" t="str">
        <f t="shared" ref="O411:O412" si="443">IF(D411&lt;&gt;"",IF(VLOOKUP(D411,base_datos,7,FALSE)&lt;&gt;"",VLOOKUP(D411,base_datos,7,FALSE),""),"")</f>
        <v/>
      </c>
      <c r="P411" s="1764" t="str">
        <f t="shared" ref="P411:P412" si="444">IF(O411&lt;&gt;"",VLOOKUP(D411,base_datos,6,FALSE),"")</f>
        <v/>
      </c>
      <c r="Q411" s="120" t="str">
        <f t="shared" ref="Q411:Q412" si="445">IF(O411&lt;&gt;"",D411,"")</f>
        <v/>
      </c>
      <c r="R411" s="185"/>
    </row>
    <row r="412" spans="1:18" s="695" customFormat="1" ht="18" customHeight="1">
      <c r="A412" s="693"/>
      <c r="B412" s="1922">
        <v>1</v>
      </c>
      <c r="C412" s="721" t="str">
        <f t="shared" si="439"/>
        <v>Borne para neutro.</v>
      </c>
      <c r="D412" s="36" t="s">
        <v>436</v>
      </c>
      <c r="E412" s="1796">
        <f t="shared" si="440"/>
        <v>4</v>
      </c>
      <c r="F412" s="1923">
        <f t="shared" si="441"/>
        <v>4</v>
      </c>
      <c r="G412" s="696"/>
      <c r="H412" s="696"/>
      <c r="I412" s="696"/>
      <c r="J412" s="697"/>
      <c r="K412" s="684">
        <f t="shared" si="420"/>
        <v>1</v>
      </c>
      <c r="L412" s="2228">
        <f t="shared" ref="L412" si="446">L411</f>
        <v>1</v>
      </c>
      <c r="M412" s="709">
        <f t="shared" si="424"/>
        <v>1</v>
      </c>
      <c r="N412" s="362" t="str">
        <f t="shared" si="442"/>
        <v/>
      </c>
      <c r="O412" s="1763" t="str">
        <f t="shared" si="443"/>
        <v/>
      </c>
      <c r="P412" s="1764" t="str">
        <f t="shared" si="444"/>
        <v/>
      </c>
      <c r="Q412" s="120" t="str">
        <f t="shared" si="445"/>
        <v/>
      </c>
      <c r="R412" s="185"/>
    </row>
    <row r="413" spans="1:18" s="185" customFormat="1">
      <c r="A413" s="687"/>
      <c r="B413" s="714"/>
      <c r="C413" s="313" t="s">
        <v>729</v>
      </c>
      <c r="D413" s="36"/>
      <c r="E413" s="1971"/>
      <c r="F413" s="1787"/>
      <c r="G413" s="710"/>
      <c r="H413" s="710"/>
      <c r="I413" s="710"/>
      <c r="J413" s="711"/>
      <c r="K413" s="684">
        <f t="shared" si="420"/>
        <v>1</v>
      </c>
      <c r="L413" s="708">
        <v>1</v>
      </c>
      <c r="M413" s="709">
        <f t="shared" si="424"/>
        <v>1</v>
      </c>
      <c r="N413" s="1905" t="str">
        <f>IF(O413&lt;&gt;"",K413*L413*M413,"")</f>
        <v/>
      </c>
      <c r="O413" s="1571" t="str">
        <f>IF(D413&lt;&gt;"",IF(VLOOKUP(D413,base_datos,7,FALSE)&lt;&gt;"",VLOOKUP(D413,base_datos,7,FALSE),""),"")</f>
        <v/>
      </c>
      <c r="P413" s="320" t="str">
        <f>IF(O413&lt;&gt;"",VLOOKUP(D413,base_datos,6,FALSE),"")</f>
        <v/>
      </c>
      <c r="Q413" s="185" t="str">
        <f>IF(O413&lt;&gt;"",D413,"")</f>
        <v/>
      </c>
    </row>
    <row r="414" spans="1:18" s="695" customFormat="1">
      <c r="A414" s="691"/>
      <c r="B414" s="2214">
        <v>1</v>
      </c>
      <c r="C414" s="2215" t="s">
        <v>316</v>
      </c>
      <c r="D414" s="2223"/>
      <c r="E414" s="2227"/>
      <c r="F414" s="2227"/>
      <c r="G414" s="696"/>
      <c r="H414" s="696"/>
      <c r="I414" s="696"/>
      <c r="J414" s="697"/>
      <c r="K414" s="684">
        <f t="shared" si="420"/>
        <v>1</v>
      </c>
      <c r="L414" s="708">
        <v>1</v>
      </c>
      <c r="M414" s="709">
        <f t="shared" si="424"/>
        <v>1</v>
      </c>
      <c r="N414" s="362" t="str">
        <f t="shared" ref="N414:N415" si="447">IF(O414&lt;&gt;"",K414*L414*M414,"")</f>
        <v/>
      </c>
      <c r="O414" s="1763" t="str">
        <f t="shared" ref="O414:O415" si="448">IF(D414&lt;&gt;"",IF(VLOOKUP(D414,base_datos,7,FALSE)&lt;&gt;"",VLOOKUP(D414,base_datos,7,FALSE),""),"")</f>
        <v/>
      </c>
      <c r="P414" s="1764" t="str">
        <f t="shared" ref="P414:P415" si="449">IF(O414&lt;&gt;"",VLOOKUP(D414,base_datos,6,FALSE),"")</f>
        <v/>
      </c>
      <c r="Q414" s="120" t="str">
        <f t="shared" ref="Q414:Q415" si="450">IF(O414&lt;&gt;"",D414,"")</f>
        <v/>
      </c>
    </row>
    <row r="415" spans="1:18" s="1979" customFormat="1">
      <c r="A415" s="698"/>
      <c r="B415" s="1967">
        <v>1</v>
      </c>
      <c r="C415" s="694" t="s">
        <v>13039</v>
      </c>
      <c r="D415" s="2218"/>
      <c r="E415" s="1968">
        <v>50</v>
      </c>
      <c r="F415" s="1968">
        <f>+E415*B415</f>
        <v>50</v>
      </c>
      <c r="G415" s="2216"/>
      <c r="H415" s="2216"/>
      <c r="I415" s="2216"/>
      <c r="J415" s="2217"/>
      <c r="K415" s="684">
        <f t="shared" si="420"/>
        <v>1</v>
      </c>
      <c r="L415" s="363">
        <v>1</v>
      </c>
      <c r="M415" s="709">
        <f t="shared" si="424"/>
        <v>1</v>
      </c>
      <c r="N415" s="362" t="str">
        <f t="shared" si="447"/>
        <v/>
      </c>
      <c r="O415" s="1763" t="str">
        <f t="shared" si="448"/>
        <v/>
      </c>
      <c r="P415" s="1764" t="str">
        <f t="shared" si="449"/>
        <v/>
      </c>
      <c r="Q415" s="120" t="str">
        <f t="shared" si="450"/>
        <v/>
      </c>
    </row>
    <row r="416" spans="1:18" s="120" customFormat="1" ht="13.8" thickBot="1">
      <c r="A416" s="699"/>
      <c r="B416" s="1775"/>
      <c r="C416" s="1776"/>
      <c r="D416" s="1885"/>
      <c r="E416" s="1981"/>
      <c r="F416" s="1981"/>
      <c r="G416" s="1777"/>
      <c r="H416" s="1777"/>
      <c r="I416" s="1777"/>
      <c r="J416" s="1778"/>
      <c r="K416" s="684"/>
      <c r="L416" s="363"/>
      <c r="M416" s="684"/>
      <c r="N416" s="362"/>
      <c r="O416" s="1763"/>
      <c r="P416" s="1764"/>
    </row>
    <row r="417" spans="1:18" s="120" customFormat="1" ht="18" customHeight="1" thickBot="1">
      <c r="A417" s="1587">
        <v>7</v>
      </c>
      <c r="B417" s="1852">
        <v>1</v>
      </c>
      <c r="C417" s="1756" t="s">
        <v>12572</v>
      </c>
      <c r="D417" s="2010"/>
      <c r="E417" s="1589"/>
      <c r="F417" s="1589"/>
      <c r="G417" s="1757">
        <f>SUM(F418:F473)</f>
        <v>2651.6800000000003</v>
      </c>
      <c r="H417" s="1758">
        <f>G417*(1-$D$6)</f>
        <v>2651.6800000000003</v>
      </c>
      <c r="I417" s="1757">
        <f>ROUNDUP(H417*$D$5,0)</f>
        <v>9016</v>
      </c>
      <c r="J417" s="1759">
        <f>+I417*B417</f>
        <v>9016</v>
      </c>
      <c r="K417" s="1788">
        <f>B417</f>
        <v>1</v>
      </c>
      <c r="L417" s="363"/>
      <c r="M417" s="684"/>
      <c r="N417" s="362" t="str">
        <f t="shared" si="288"/>
        <v/>
      </c>
      <c r="O417" s="1763" t="str">
        <f t="shared" si="289"/>
        <v/>
      </c>
      <c r="P417" s="1764" t="str">
        <f t="shared" si="290"/>
        <v/>
      </c>
      <c r="Q417" s="120" t="str">
        <f t="shared" si="291"/>
        <v/>
      </c>
      <c r="R417" s="185"/>
    </row>
    <row r="418" spans="1:18" s="120" customFormat="1" ht="18" customHeight="1">
      <c r="A418" s="685" t="s">
        <v>3064</v>
      </c>
      <c r="B418" s="1903"/>
      <c r="C418" s="1890"/>
      <c r="D418" s="1927"/>
      <c r="E418" s="1780"/>
      <c r="F418" s="1780"/>
      <c r="G418" s="686"/>
      <c r="H418" s="710"/>
      <c r="I418" s="686"/>
      <c r="J418" s="1768"/>
      <c r="K418" s="684">
        <f t="shared" ref="K418:K422" si="451">+K417</f>
        <v>1</v>
      </c>
      <c r="L418" s="363">
        <v>1</v>
      </c>
      <c r="M418" s="709">
        <f t="shared" ref="M418:M446" si="452">IF(B418="",1,B418)</f>
        <v>1</v>
      </c>
      <c r="N418" s="362" t="str">
        <f t="shared" si="288"/>
        <v/>
      </c>
      <c r="O418" s="1763" t="str">
        <f t="shared" si="289"/>
        <v/>
      </c>
      <c r="P418" s="1764" t="str">
        <f t="shared" si="290"/>
        <v/>
      </c>
      <c r="Q418" s="120" t="str">
        <f t="shared" si="291"/>
        <v/>
      </c>
    </row>
    <row r="419" spans="1:18" s="315" customFormat="1">
      <c r="A419" s="687" t="s">
        <v>4021</v>
      </c>
      <c r="B419" s="2096">
        <v>1</v>
      </c>
      <c r="C419" s="1907" t="s">
        <v>5103</v>
      </c>
      <c r="D419" s="1935"/>
      <c r="E419" s="1786"/>
      <c r="F419" s="1908">
        <f>SUM(F421:F425)*(B419-1)</f>
        <v>0</v>
      </c>
      <c r="G419" s="712"/>
      <c r="H419" s="712"/>
      <c r="I419" s="712"/>
      <c r="J419" s="713"/>
      <c r="K419" s="684">
        <f t="shared" si="451"/>
        <v>1</v>
      </c>
      <c r="L419" s="1909">
        <f>B419</f>
        <v>1</v>
      </c>
      <c r="M419" s="684">
        <f t="shared" si="452"/>
        <v>1</v>
      </c>
      <c r="N419" s="362" t="str">
        <f t="shared" si="288"/>
        <v/>
      </c>
      <c r="O419" s="1763" t="str">
        <f t="shared" si="289"/>
        <v/>
      </c>
      <c r="P419" s="1764" t="str">
        <f t="shared" si="290"/>
        <v/>
      </c>
      <c r="Q419" s="120" t="str">
        <f t="shared" si="291"/>
        <v/>
      </c>
    </row>
    <row r="420" spans="1:18" s="185" customFormat="1">
      <c r="A420" s="687" t="s">
        <v>4136</v>
      </c>
      <c r="B420" s="1910">
        <v>3</v>
      </c>
      <c r="C420" s="1911" t="str">
        <f>VLOOKUP(D420,base_datos,6,FALSE)</f>
        <v>Portalámpara + lampara tipo LED - color Rojo - alimentacion: 220-230Vac, d=22mm. - CL2-523R - línea compacta - marca ABB.</v>
      </c>
      <c r="D420" s="1790" t="s">
        <v>2439</v>
      </c>
      <c r="E420" s="1939">
        <f>VLOOKUP(D420,base_datos,5,FALSE)</f>
        <v>12.299999999999999</v>
      </c>
      <c r="F420" s="1912">
        <f>+E420*B420</f>
        <v>36.9</v>
      </c>
      <c r="G420" s="710"/>
      <c r="H420" s="710"/>
      <c r="I420" s="710"/>
      <c r="J420" s="711"/>
      <c r="K420" s="684">
        <f>+K418</f>
        <v>1</v>
      </c>
      <c r="L420" s="1913">
        <f>L418</f>
        <v>1</v>
      </c>
      <c r="M420" s="684">
        <f t="shared" si="452"/>
        <v>3</v>
      </c>
      <c r="N420" s="362">
        <f t="shared" si="288"/>
        <v>3</v>
      </c>
      <c r="O420" s="1763" t="str">
        <f t="shared" si="289"/>
        <v>1SFA619403R5231</v>
      </c>
      <c r="P420" s="1764" t="str">
        <f t="shared" si="290"/>
        <v>Portalámpara + lampara tipo LED - color Rojo - alimentacion: 220-230Vac, d=22mm. - CL2-523R - línea compacta - marca ABB.</v>
      </c>
      <c r="Q420" s="120" t="str">
        <f t="shared" si="291"/>
        <v>LAMP_ROJO_220V</v>
      </c>
    </row>
    <row r="421" spans="1:18" s="185" customFormat="1">
      <c r="A421" s="687"/>
      <c r="B421" s="1910">
        <v>3</v>
      </c>
      <c r="C421" s="1911" t="str">
        <f>VLOOKUP(D421,base_datos,6,FALSE)</f>
        <v>Portalámpara + lampara tipo LED - color Verde - alimentacion: 220-230Vac, d=22mm. - CL2-523G - línea compacta - marca ABB.</v>
      </c>
      <c r="D421" s="1790" t="s">
        <v>2440</v>
      </c>
      <c r="E421" s="1939">
        <f>VLOOKUP(D421,base_datos,5,FALSE)</f>
        <v>12.299999999999999</v>
      </c>
      <c r="F421" s="1912">
        <f>+E421*B421</f>
        <v>36.9</v>
      </c>
      <c r="G421" s="710"/>
      <c r="H421" s="710"/>
      <c r="I421" s="710"/>
      <c r="J421" s="711"/>
      <c r="K421" s="684">
        <f>+K419</f>
        <v>1</v>
      </c>
      <c r="L421" s="1913">
        <f>L419</f>
        <v>1</v>
      </c>
      <c r="M421" s="684">
        <f t="shared" si="452"/>
        <v>3</v>
      </c>
      <c r="N421" s="362">
        <f t="shared" si="288"/>
        <v>3</v>
      </c>
      <c r="O421" s="1763" t="str">
        <f t="shared" si="289"/>
        <v>1SFA619403R5232</v>
      </c>
      <c r="P421" s="1764" t="str">
        <f t="shared" si="290"/>
        <v>Portalámpara + lampara tipo LED - color Verde - alimentacion: 220-230Vac, d=22mm. - CL2-523G - línea compacta - marca ABB.</v>
      </c>
      <c r="Q421" s="120" t="str">
        <f t="shared" si="291"/>
        <v>LAMP_VERDE_220V</v>
      </c>
    </row>
    <row r="422" spans="1:18" s="1921" customFormat="1">
      <c r="A422" s="687" t="s">
        <v>12356</v>
      </c>
      <c r="B422" s="1914">
        <v>1</v>
      </c>
      <c r="C422" s="1915" t="s">
        <v>3366</v>
      </c>
      <c r="D422" s="1916"/>
      <c r="E422" s="1917"/>
      <c r="F422" s="1918"/>
      <c r="G422" s="1919"/>
      <c r="H422" s="1919"/>
      <c r="I422" s="1919"/>
      <c r="J422" s="1920"/>
      <c r="K422" s="684">
        <f t="shared" si="451"/>
        <v>1</v>
      </c>
      <c r="L422" s="1913">
        <f>L421</f>
        <v>1</v>
      </c>
      <c r="M422" s="684">
        <f t="shared" si="452"/>
        <v>1</v>
      </c>
      <c r="N422" s="362" t="str">
        <f t="shared" si="288"/>
        <v/>
      </c>
      <c r="O422" s="1763" t="str">
        <f t="shared" si="289"/>
        <v/>
      </c>
      <c r="P422" s="1764" t="str">
        <f t="shared" si="290"/>
        <v/>
      </c>
      <c r="Q422" s="120" t="str">
        <f t="shared" si="291"/>
        <v/>
      </c>
    </row>
    <row r="423" spans="1:18" s="320" customFormat="1">
      <c r="A423" s="687" t="s">
        <v>12427</v>
      </c>
      <c r="B423" s="1922">
        <v>1</v>
      </c>
      <c r="C423" s="721" t="str">
        <f>VLOOKUP(D423,base_datos,6,FALSE)</f>
        <v>Rele auxiliar enchufable +4NA/NC (D2PR4B + base D2PA6), 220Vac - marca EATON.</v>
      </c>
      <c r="D423" s="1579" t="s">
        <v>772</v>
      </c>
      <c r="E423" s="1581">
        <f>VLOOKUP(D423,base_datos,5,FALSE)</f>
        <v>27</v>
      </c>
      <c r="F423" s="1923">
        <f>+E423*B423</f>
        <v>27</v>
      </c>
      <c r="G423" s="1924"/>
      <c r="H423" s="1924"/>
      <c r="I423" s="1924"/>
      <c r="J423" s="722"/>
      <c r="K423" s="684">
        <f>+K420</f>
        <v>1</v>
      </c>
      <c r="L423" s="1913">
        <f>L420</f>
        <v>1</v>
      </c>
      <c r="M423" s="684">
        <f t="shared" si="452"/>
        <v>1</v>
      </c>
      <c r="N423" s="362">
        <f t="shared" si="288"/>
        <v>1</v>
      </c>
      <c r="O423" s="1763" t="str">
        <f t="shared" si="289"/>
        <v>D2PR4B+D2PA6</v>
      </c>
      <c r="P423" s="1764" t="str">
        <f t="shared" si="290"/>
        <v>Rele auxiliar enchufable +4NA/NC (D2PR4B + base D2PA6), 220Vac - marca EATON.</v>
      </c>
      <c r="Q423" s="120" t="str">
        <f t="shared" si="291"/>
        <v>D2PR4B+D2PA6</v>
      </c>
    </row>
    <row r="424" spans="1:18" s="320" customFormat="1">
      <c r="A424" s="1767"/>
      <c r="B424" s="2131">
        <v>1</v>
      </c>
      <c r="C424" s="2132" t="s">
        <v>12558</v>
      </c>
      <c r="D424" s="2133"/>
      <c r="E424" s="2134">
        <v>32</v>
      </c>
      <c r="F424" s="2134">
        <f>+E424*B424</f>
        <v>32</v>
      </c>
      <c r="G424" s="1924"/>
      <c r="H424" s="1924"/>
      <c r="I424" s="1924"/>
      <c r="J424" s="722"/>
      <c r="K424" s="684">
        <f t="shared" ref="K424:K473" si="453">+K421</f>
        <v>1</v>
      </c>
      <c r="L424" s="1913">
        <f>L421</f>
        <v>1</v>
      </c>
      <c r="M424" s="684">
        <f t="shared" si="452"/>
        <v>1</v>
      </c>
      <c r="N424" s="362" t="str">
        <f t="shared" si="288"/>
        <v/>
      </c>
      <c r="O424" s="1763" t="str">
        <f t="shared" si="289"/>
        <v/>
      </c>
      <c r="P424" s="1764" t="str">
        <f t="shared" si="290"/>
        <v/>
      </c>
      <c r="Q424" s="120" t="str">
        <f t="shared" si="291"/>
        <v/>
      </c>
    </row>
    <row r="425" spans="1:18" s="320" customFormat="1">
      <c r="A425" s="687" t="s">
        <v>12551</v>
      </c>
      <c r="B425" s="1922">
        <v>4</v>
      </c>
      <c r="C425" s="721" t="str">
        <f>VLOOKUP(D425,base_datos,6,FALSE)</f>
        <v>Base portafusibles + Fusibles de protección para control.</v>
      </c>
      <c r="D425" s="1579" t="s">
        <v>453</v>
      </c>
      <c r="E425" s="1581">
        <f>VLOOKUP(D425,base_datos,5,FALSE)</f>
        <v>8.1750000000000007</v>
      </c>
      <c r="F425" s="1923">
        <f>+E425*B425</f>
        <v>32.700000000000003</v>
      </c>
      <c r="G425" s="1924"/>
      <c r="H425" s="1924"/>
      <c r="I425" s="1924"/>
      <c r="J425" s="722"/>
      <c r="K425" s="684">
        <f t="shared" si="453"/>
        <v>1</v>
      </c>
      <c r="L425" s="1913">
        <f>L422</f>
        <v>1</v>
      </c>
      <c r="M425" s="684">
        <f t="shared" si="452"/>
        <v>4</v>
      </c>
      <c r="N425" s="362" t="str">
        <f t="shared" si="288"/>
        <v/>
      </c>
      <c r="O425" s="1763" t="str">
        <f t="shared" si="289"/>
        <v/>
      </c>
      <c r="P425" s="1764" t="str">
        <f t="shared" si="290"/>
        <v/>
      </c>
      <c r="Q425" s="120" t="str">
        <f t="shared" si="291"/>
        <v/>
      </c>
    </row>
    <row r="426" spans="1:18" s="315" customFormat="1">
      <c r="A426" s="687" t="s">
        <v>3542</v>
      </c>
      <c r="B426" s="1906"/>
      <c r="C426" s="1907"/>
      <c r="D426" s="1935"/>
      <c r="E426" s="1786"/>
      <c r="F426" s="1936"/>
      <c r="G426" s="712"/>
      <c r="H426" s="712"/>
      <c r="I426" s="712"/>
      <c r="J426" s="713"/>
      <c r="K426" s="684">
        <f t="shared" si="453"/>
        <v>1</v>
      </c>
      <c r="L426" s="1909">
        <f>B426</f>
        <v>0</v>
      </c>
      <c r="M426" s="684">
        <f t="shared" si="452"/>
        <v>1</v>
      </c>
      <c r="N426" s="362" t="str">
        <f t="shared" si="288"/>
        <v/>
      </c>
      <c r="O426" s="1763" t="str">
        <f t="shared" si="289"/>
        <v/>
      </c>
      <c r="P426" s="1764" t="str">
        <f t="shared" si="290"/>
        <v/>
      </c>
      <c r="Q426" s="120" t="str">
        <f t="shared" si="291"/>
        <v/>
      </c>
    </row>
    <row r="427" spans="1:18" s="185" customFormat="1">
      <c r="A427" s="687"/>
      <c r="B427" s="1922"/>
      <c r="C427" s="1956" t="s">
        <v>12368</v>
      </c>
      <c r="D427" s="1579"/>
      <c r="E427" s="1957"/>
      <c r="F427" s="1958"/>
      <c r="G427" s="710"/>
      <c r="H427" s="710"/>
      <c r="I427" s="710"/>
      <c r="J427" s="711"/>
      <c r="K427" s="684">
        <f t="shared" si="453"/>
        <v>1</v>
      </c>
      <c r="L427" s="708">
        <v>1</v>
      </c>
      <c r="M427" s="684">
        <f t="shared" si="452"/>
        <v>1</v>
      </c>
      <c r="N427" s="362" t="str">
        <f t="shared" si="288"/>
        <v/>
      </c>
      <c r="O427" s="1763" t="str">
        <f t="shared" si="289"/>
        <v/>
      </c>
      <c r="P427" s="1764" t="str">
        <f t="shared" si="290"/>
        <v/>
      </c>
      <c r="Q427" s="120" t="str">
        <f t="shared" si="291"/>
        <v/>
      </c>
    </row>
    <row r="428" spans="1:18" s="120" customFormat="1" ht="18" customHeight="1">
      <c r="A428" s="1785"/>
      <c r="B428" s="1781"/>
      <c r="C428" s="1959" t="s">
        <v>3158</v>
      </c>
      <c r="D428" s="2005"/>
      <c r="E428" s="1791"/>
      <c r="F428" s="1782"/>
      <c r="G428" s="686"/>
      <c r="H428" s="686"/>
      <c r="I428" s="686"/>
      <c r="J428" s="688"/>
      <c r="K428" s="684">
        <f t="shared" si="453"/>
        <v>1</v>
      </c>
      <c r="L428" s="708">
        <v>1</v>
      </c>
      <c r="M428" s="709">
        <f t="shared" si="452"/>
        <v>1</v>
      </c>
      <c r="N428" s="362" t="str">
        <f t="shared" si="288"/>
        <v/>
      </c>
      <c r="O428" s="1763" t="str">
        <f t="shared" si="289"/>
        <v/>
      </c>
      <c r="P428" s="1764" t="str">
        <f t="shared" si="290"/>
        <v/>
      </c>
      <c r="Q428" s="120" t="str">
        <f t="shared" si="291"/>
        <v/>
      </c>
      <c r="R428" s="185"/>
    </row>
    <row r="429" spans="1:18" s="690" customFormat="1" ht="18" customHeight="1">
      <c r="A429" s="1785"/>
      <c r="B429" s="2096">
        <v>1</v>
      </c>
      <c r="C429" s="1960" t="str">
        <f>VLOOKUP(D429,base_datos,6,FALSE)</f>
        <v>ITM Caja Moldeada 3x25A (reg.[0.7-1.0] In)  - XT1B160-25A-3P-TMD - 25kA@230Vac,18kA@415Vac, 18kA@250Vdc - marca ABB.</v>
      </c>
      <c r="D429" s="2006" t="s">
        <v>4362</v>
      </c>
      <c r="E429" s="1791">
        <f>VLOOKUP(D429,base_datos,5,FALSE)</f>
        <v>120.37</v>
      </c>
      <c r="F429" s="1782">
        <f>+E429*B429</f>
        <v>120.37</v>
      </c>
      <c r="G429" s="1761"/>
      <c r="H429" s="1761"/>
      <c r="I429" s="1761"/>
      <c r="J429" s="689"/>
      <c r="K429" s="684">
        <f t="shared" si="453"/>
        <v>1</v>
      </c>
      <c r="L429" s="708">
        <v>1</v>
      </c>
      <c r="M429" s="709">
        <f t="shared" si="452"/>
        <v>1</v>
      </c>
      <c r="N429" s="362">
        <f t="shared" si="288"/>
        <v>1</v>
      </c>
      <c r="O429" s="1763" t="str">
        <f t="shared" si="289"/>
        <v>1SDA066801R1</v>
      </c>
      <c r="P429" s="1764" t="str">
        <f t="shared" si="290"/>
        <v>ITM Caja Moldeada 3x25A (reg.[0.7-1.0] In)  - XT1B160-25A-3P-TMD - 25kA@230Vac,18kA@415Vac, 18kA@250Vdc - marca ABB.</v>
      </c>
      <c r="Q429" s="120" t="str">
        <f t="shared" si="291"/>
        <v>XT1B160-25A-3P-TMD</v>
      </c>
      <c r="R429" s="185"/>
    </row>
    <row r="430" spans="1:18" s="185" customFormat="1" ht="17.25" customHeight="1">
      <c r="A430" s="687"/>
      <c r="B430" s="714"/>
      <c r="C430" s="313" t="s">
        <v>729</v>
      </c>
      <c r="D430" s="173"/>
      <c r="E430" s="1786"/>
      <c r="F430" s="1787"/>
      <c r="G430" s="710"/>
      <c r="H430" s="710"/>
      <c r="I430" s="710"/>
      <c r="J430" s="711"/>
      <c r="K430" s="684">
        <f t="shared" si="453"/>
        <v>1</v>
      </c>
      <c r="L430" s="708">
        <v>1</v>
      </c>
      <c r="M430" s="709">
        <f t="shared" si="452"/>
        <v>1</v>
      </c>
      <c r="N430" s="362" t="str">
        <f t="shared" si="288"/>
        <v/>
      </c>
      <c r="O430" s="1763" t="str">
        <f t="shared" si="289"/>
        <v/>
      </c>
      <c r="P430" s="1764" t="str">
        <f t="shared" si="290"/>
        <v/>
      </c>
      <c r="Q430" s="120" t="str">
        <f t="shared" si="291"/>
        <v/>
      </c>
    </row>
    <row r="431" spans="1:18" s="690" customFormat="1" ht="18" customHeight="1">
      <c r="A431" s="1785"/>
      <c r="B431" s="1851"/>
      <c r="C431" s="1966" t="s">
        <v>9431</v>
      </c>
      <c r="D431" s="1582"/>
      <c r="E431" s="1780"/>
      <c r="F431" s="1782"/>
      <c r="G431" s="1761"/>
      <c r="H431" s="1761"/>
      <c r="I431" s="1761"/>
      <c r="J431" s="689"/>
      <c r="K431" s="684">
        <f t="shared" si="453"/>
        <v>1</v>
      </c>
      <c r="L431" s="708">
        <v>1</v>
      </c>
      <c r="M431" s="709">
        <f t="shared" si="452"/>
        <v>1</v>
      </c>
      <c r="N431" s="362" t="str">
        <f t="shared" si="288"/>
        <v/>
      </c>
      <c r="O431" s="1763" t="str">
        <f t="shared" si="289"/>
        <v/>
      </c>
      <c r="P431" s="1764" t="str">
        <f t="shared" si="290"/>
        <v/>
      </c>
      <c r="Q431" s="120" t="str">
        <f t="shared" si="291"/>
        <v/>
      </c>
      <c r="R431" s="185"/>
    </row>
    <row r="432" spans="1:18" s="690" customFormat="1" ht="18" customHeight="1">
      <c r="A432" s="1785"/>
      <c r="B432" s="1781">
        <v>2</v>
      </c>
      <c r="C432" s="1960" t="str">
        <f t="shared" ref="C432" si="454">VLOOKUP(D432,base_datos,6,FALSE)</f>
        <v>ITM Caja Moldeada 3x16A (reg.[0.7-1.0] In) - XT1B160-16A-3P-TMD - 25kA@230Vac, 18kA@415Vac, 18kA@250Vdc - marca ABB.</v>
      </c>
      <c r="D432" s="2006" t="s">
        <v>4358</v>
      </c>
      <c r="E432" s="1791">
        <f t="shared" ref="E432" si="455">VLOOKUP(D432,base_datos,5,FALSE)</f>
        <v>120.37</v>
      </c>
      <c r="F432" s="1782">
        <f t="shared" ref="F432:F433" si="456">+E432*B432</f>
        <v>240.74</v>
      </c>
      <c r="G432" s="1761"/>
      <c r="H432" s="1761"/>
      <c r="I432" s="1761"/>
      <c r="J432" s="1783"/>
      <c r="K432" s="684">
        <f t="shared" si="453"/>
        <v>1</v>
      </c>
      <c r="L432" s="708">
        <v>1</v>
      </c>
      <c r="M432" s="709">
        <f t="shared" si="452"/>
        <v>2</v>
      </c>
      <c r="N432" s="362">
        <f t="shared" si="288"/>
        <v>2</v>
      </c>
      <c r="O432" s="1763" t="str">
        <f t="shared" si="289"/>
        <v>1SDA066799R1</v>
      </c>
      <c r="P432" s="1764" t="str">
        <f t="shared" si="290"/>
        <v>ITM Caja Moldeada 3x16A (reg.[0.7-1.0] In) - XT1B160-16A-3P-TMD - 25kA@230Vac, 18kA@415Vac, 18kA@250Vdc - marca ABB.</v>
      </c>
      <c r="Q432" s="120" t="str">
        <f t="shared" si="291"/>
        <v>XT1B160-16A-3P-TMD</v>
      </c>
      <c r="R432" s="185"/>
    </row>
    <row r="433" spans="1:18" s="695" customFormat="1">
      <c r="A433" s="1785"/>
      <c r="B433" s="1967">
        <v>1</v>
      </c>
      <c r="C433" s="1946">
        <v>6</v>
      </c>
      <c r="D433" s="1582"/>
      <c r="E433" s="2000">
        <v>30</v>
      </c>
      <c r="F433" s="1968">
        <f t="shared" si="456"/>
        <v>30</v>
      </c>
      <c r="G433" s="1969"/>
      <c r="H433" s="1969"/>
      <c r="I433" s="1969"/>
      <c r="J433" s="1970"/>
      <c r="K433" s="684">
        <f t="shared" si="453"/>
        <v>1</v>
      </c>
      <c r="L433" s="363">
        <v>1</v>
      </c>
      <c r="M433" s="709">
        <f t="shared" si="452"/>
        <v>1</v>
      </c>
      <c r="N433" s="362" t="str">
        <f t="shared" si="288"/>
        <v/>
      </c>
      <c r="O433" s="1763" t="str">
        <f t="shared" si="289"/>
        <v/>
      </c>
      <c r="P433" s="1764" t="str">
        <f t="shared" si="290"/>
        <v/>
      </c>
      <c r="Q433" s="120" t="str">
        <f t="shared" si="291"/>
        <v/>
      </c>
    </row>
    <row r="434" spans="1:18" s="185" customFormat="1" ht="17.25" customHeight="1">
      <c r="A434" s="1785"/>
      <c r="B434" s="714"/>
      <c r="C434" s="313" t="s">
        <v>729</v>
      </c>
      <c r="D434" s="173"/>
      <c r="E434" s="1786"/>
      <c r="F434" s="1787"/>
      <c r="G434" s="710"/>
      <c r="H434" s="710"/>
      <c r="I434" s="710"/>
      <c r="J434" s="711"/>
      <c r="K434" s="684">
        <f t="shared" si="453"/>
        <v>1</v>
      </c>
      <c r="L434" s="708">
        <v>1</v>
      </c>
      <c r="M434" s="709">
        <f t="shared" si="452"/>
        <v>1</v>
      </c>
      <c r="N434" s="362" t="str">
        <f t="shared" ref="N434" si="457">IF(O434&lt;&gt;"",K434*L434*M434,"")</f>
        <v/>
      </c>
      <c r="O434" s="1763" t="str">
        <f t="shared" ref="O434" si="458">IF(D434&lt;&gt;"",IF(VLOOKUP(D434,base_datos,7,FALSE)&lt;&gt;"",VLOOKUP(D434,base_datos,7,FALSE),""),"")</f>
        <v/>
      </c>
      <c r="P434" s="1764" t="str">
        <f t="shared" ref="P434" si="459">IF(O434&lt;&gt;"",VLOOKUP(D434,base_datos,6,FALSE),"")</f>
        <v/>
      </c>
      <c r="Q434" s="120" t="str">
        <f t="shared" ref="Q434" si="460">IF(O434&lt;&gt;"",D434,"")</f>
        <v/>
      </c>
    </row>
    <row r="435" spans="1:18" s="690" customFormat="1" ht="18" customHeight="1">
      <c r="A435" s="1785"/>
      <c r="B435" s="1851"/>
      <c r="C435" s="1966" t="s">
        <v>12546</v>
      </c>
      <c r="D435" s="1582"/>
      <c r="E435" s="1780"/>
      <c r="F435" s="1782"/>
      <c r="G435" s="1761"/>
      <c r="H435" s="1761"/>
      <c r="I435" s="1761"/>
      <c r="J435" s="689"/>
      <c r="K435" s="684">
        <f t="shared" si="453"/>
        <v>1</v>
      </c>
      <c r="L435" s="708">
        <v>1</v>
      </c>
      <c r="M435" s="709">
        <f t="shared" si="452"/>
        <v>1</v>
      </c>
      <c r="N435" s="362" t="str">
        <f t="shared" si="288"/>
        <v/>
      </c>
      <c r="O435" s="1763" t="str">
        <f t="shared" si="289"/>
        <v/>
      </c>
      <c r="P435" s="1764" t="str">
        <f t="shared" si="290"/>
        <v/>
      </c>
      <c r="Q435" s="120" t="str">
        <f t="shared" si="291"/>
        <v/>
      </c>
      <c r="R435" s="185"/>
    </row>
    <row r="436" spans="1:18" s="690" customFormat="1" ht="18" customHeight="1">
      <c r="A436" s="1785"/>
      <c r="B436" s="1781">
        <v>5</v>
      </c>
      <c r="C436" s="1960" t="str">
        <f t="shared" ref="C436:C438" si="461">VLOOKUP(D436,base_datos,6,FALSE)</f>
        <v>ITM Riel-Din 2x16A - S202-C-16A - 10kA@400Vac-IEC60947-2 - marca ABB.</v>
      </c>
      <c r="D436" s="2007" t="s">
        <v>970</v>
      </c>
      <c r="E436" s="1791">
        <f t="shared" ref="E436:E438" si="462">VLOOKUP(D436,base_datos,5,FALSE)</f>
        <v>17.96</v>
      </c>
      <c r="F436" s="1782">
        <f t="shared" ref="F436:F439" si="463">+E436*B436</f>
        <v>89.800000000000011</v>
      </c>
      <c r="G436" s="1761"/>
      <c r="H436" s="1761"/>
      <c r="I436" s="1761"/>
      <c r="J436" s="1783"/>
      <c r="K436" s="684">
        <f t="shared" si="453"/>
        <v>1</v>
      </c>
      <c r="L436" s="708">
        <v>1</v>
      </c>
      <c r="M436" s="709">
        <f t="shared" si="452"/>
        <v>5</v>
      </c>
      <c r="N436" s="362">
        <f t="shared" si="288"/>
        <v>5</v>
      </c>
      <c r="O436" s="1763" t="str">
        <f t="shared" si="289"/>
        <v>2CDS252001R0164</v>
      </c>
      <c r="P436" s="1764" t="str">
        <f t="shared" si="290"/>
        <v>ITM Riel-Din 2x16A - S202-C-16A - 10kA@400Vac-IEC60947-2 - marca ABB.</v>
      </c>
      <c r="Q436" s="120" t="str">
        <f t="shared" si="291"/>
        <v>S202-C-16A</v>
      </c>
      <c r="R436" s="185"/>
    </row>
    <row r="437" spans="1:18" s="690" customFormat="1" ht="18" customHeight="1">
      <c r="A437" s="1785"/>
      <c r="B437" s="2023">
        <v>5</v>
      </c>
      <c r="C437" s="2041" t="str">
        <f t="shared" si="461"/>
        <v>Interruptor Diferencial 2x25A - 30mA - clase A (inmunizado) - FH202-A-25A-30mA - marca ABB.</v>
      </c>
      <c r="D437" s="2006" t="s">
        <v>5318</v>
      </c>
      <c r="E437" s="2025">
        <f t="shared" si="462"/>
        <v>50</v>
      </c>
      <c r="F437" s="2026">
        <f t="shared" si="463"/>
        <v>250</v>
      </c>
      <c r="G437" s="1761"/>
      <c r="H437" s="1761"/>
      <c r="I437" s="1761"/>
      <c r="J437" s="1783"/>
      <c r="K437" s="684">
        <f t="shared" si="453"/>
        <v>1</v>
      </c>
      <c r="L437" s="708">
        <v>1</v>
      </c>
      <c r="M437" s="709">
        <f t="shared" si="452"/>
        <v>5</v>
      </c>
      <c r="N437" s="362">
        <f t="shared" si="288"/>
        <v>5</v>
      </c>
      <c r="O437" s="1763" t="str">
        <f t="shared" si="289"/>
        <v>2CSF202102R1250</v>
      </c>
      <c r="P437" s="1764" t="str">
        <f t="shared" si="290"/>
        <v>Interruptor Diferencial 2x25A - 30mA - clase A (inmunizado) - FH202-A-25A-30mA - marca ABB.</v>
      </c>
      <c r="Q437" s="120" t="str">
        <f t="shared" si="291"/>
        <v>FH202-A-25A-30mA</v>
      </c>
      <c r="R437" s="185"/>
    </row>
    <row r="438" spans="1:18" s="690" customFormat="1" ht="18" customHeight="1">
      <c r="A438" s="1785"/>
      <c r="B438" s="2090">
        <v>1</v>
      </c>
      <c r="C438" s="1895" t="str">
        <f t="shared" si="461"/>
        <v>Espacio de reserva monofasica + interruptor diferencial - Riel-Din.</v>
      </c>
      <c r="D438" s="1895" t="s">
        <v>2926</v>
      </c>
      <c r="E438" s="2232">
        <f t="shared" si="462"/>
        <v>2.5</v>
      </c>
      <c r="F438" s="1793">
        <f t="shared" si="463"/>
        <v>2.5</v>
      </c>
      <c r="G438" s="1761"/>
      <c r="H438" s="1761"/>
      <c r="I438" s="1761"/>
      <c r="J438" s="1783"/>
      <c r="K438" s="684">
        <f t="shared" si="453"/>
        <v>1</v>
      </c>
      <c r="L438" s="708">
        <v>1</v>
      </c>
      <c r="M438" s="709">
        <f t="shared" si="452"/>
        <v>1</v>
      </c>
      <c r="N438" s="362" t="str">
        <f t="shared" si="288"/>
        <v/>
      </c>
      <c r="O438" s="1763" t="str">
        <f t="shared" si="289"/>
        <v/>
      </c>
      <c r="P438" s="1764" t="str">
        <f t="shared" si="290"/>
        <v/>
      </c>
      <c r="Q438" s="120" t="str">
        <f t="shared" si="291"/>
        <v/>
      </c>
      <c r="R438" s="185"/>
    </row>
    <row r="439" spans="1:18" s="695" customFormat="1">
      <c r="A439" s="687"/>
      <c r="B439" s="1967">
        <v>1</v>
      </c>
      <c r="C439" s="1946">
        <v>12</v>
      </c>
      <c r="D439" s="1582"/>
      <c r="E439" s="2000">
        <v>48</v>
      </c>
      <c r="F439" s="1968">
        <f t="shared" si="463"/>
        <v>48</v>
      </c>
      <c r="G439" s="1969"/>
      <c r="H439" s="1969"/>
      <c r="I439" s="1969"/>
      <c r="J439" s="1970"/>
      <c r="K439" s="684">
        <f t="shared" si="453"/>
        <v>1</v>
      </c>
      <c r="L439" s="363">
        <v>1</v>
      </c>
      <c r="M439" s="709">
        <f t="shared" si="452"/>
        <v>1</v>
      </c>
      <c r="N439" s="362" t="str">
        <f t="shared" si="288"/>
        <v/>
      </c>
      <c r="O439" s="1763" t="str">
        <f t="shared" si="289"/>
        <v/>
      </c>
      <c r="P439" s="1764" t="str">
        <f t="shared" si="290"/>
        <v/>
      </c>
      <c r="Q439" s="120" t="str">
        <f t="shared" si="291"/>
        <v/>
      </c>
    </row>
    <row r="440" spans="1:18" s="185" customFormat="1">
      <c r="A440" s="1785"/>
      <c r="B440" s="714"/>
      <c r="C440" s="1893" t="s">
        <v>729</v>
      </c>
      <c r="D440" s="1941"/>
      <c r="E440" s="1786"/>
      <c r="F440" s="1787"/>
      <c r="G440" s="710"/>
      <c r="H440" s="710"/>
      <c r="I440" s="710"/>
      <c r="J440" s="711"/>
      <c r="K440" s="684">
        <f t="shared" si="453"/>
        <v>1</v>
      </c>
      <c r="L440" s="363">
        <v>1</v>
      </c>
      <c r="M440" s="709">
        <f t="shared" si="452"/>
        <v>1</v>
      </c>
      <c r="N440" s="362" t="str">
        <f t="shared" si="288"/>
        <v/>
      </c>
      <c r="O440" s="1763" t="str">
        <f t="shared" si="289"/>
        <v/>
      </c>
      <c r="P440" s="1764" t="str">
        <f t="shared" si="290"/>
        <v/>
      </c>
      <c r="Q440" s="120" t="str">
        <f t="shared" si="291"/>
        <v/>
      </c>
    </row>
    <row r="441" spans="1:18" s="690" customFormat="1" ht="18" customHeight="1">
      <c r="A441" s="1785"/>
      <c r="B441" s="1851"/>
      <c r="C441" s="1966" t="s">
        <v>12547</v>
      </c>
      <c r="D441" s="1582"/>
      <c r="E441" s="1780"/>
      <c r="F441" s="1782"/>
      <c r="G441" s="1761"/>
      <c r="H441" s="1761"/>
      <c r="I441" s="1761"/>
      <c r="J441" s="689"/>
      <c r="K441" s="684">
        <f t="shared" si="453"/>
        <v>1</v>
      </c>
      <c r="L441" s="708">
        <v>1</v>
      </c>
      <c r="M441" s="709">
        <f t="shared" si="452"/>
        <v>1</v>
      </c>
      <c r="N441" s="362" t="str">
        <f t="shared" si="288"/>
        <v/>
      </c>
      <c r="O441" s="1763" t="str">
        <f t="shared" si="289"/>
        <v/>
      </c>
      <c r="P441" s="1764" t="str">
        <f t="shared" si="290"/>
        <v/>
      </c>
      <c r="Q441" s="120" t="str">
        <f t="shared" si="291"/>
        <v/>
      </c>
      <c r="R441" s="185"/>
    </row>
    <row r="442" spans="1:18" s="2434" customFormat="1" ht="18" customHeight="1">
      <c r="A442" s="2462"/>
      <c r="B442" s="2435">
        <v>4</v>
      </c>
      <c r="C442" s="2436" t="str">
        <f t="shared" ref="C442:C445" si="464">VLOOKUP(D442,base_datos,6,FALSE)</f>
        <v>ITM Caja Moldeada 3x16A (reg.[0.7-1.0] In) - XT1B160-16A-3P-TMD - 25kA@230Vac, 18kA@415Vac, 18kA@250Vdc - marca ABB.</v>
      </c>
      <c r="D442" s="2483" t="s">
        <v>4358</v>
      </c>
      <c r="E442" s="2482">
        <f t="shared" ref="E442:E445" si="465">VLOOKUP(D442,base_datos,5,FALSE)</f>
        <v>120.37</v>
      </c>
      <c r="F442" s="2422">
        <f t="shared" ref="F442:F446" si="466">+E442*B442</f>
        <v>481.48</v>
      </c>
      <c r="G442" s="2424"/>
      <c r="H442" s="2424"/>
      <c r="I442" s="2424"/>
      <c r="J442" s="2425"/>
      <c r="K442" s="2426">
        <f t="shared" si="453"/>
        <v>1</v>
      </c>
      <c r="L442" s="2463">
        <v>1</v>
      </c>
      <c r="M442" s="2428">
        <f t="shared" si="452"/>
        <v>4</v>
      </c>
      <c r="N442" s="2429">
        <f t="shared" si="288"/>
        <v>4</v>
      </c>
      <c r="O442" s="2430" t="str">
        <f t="shared" si="289"/>
        <v>1SDA066799R1</v>
      </c>
      <c r="P442" s="2431" t="str">
        <f t="shared" si="290"/>
        <v>ITM Caja Moldeada 3x16A (reg.[0.7-1.0] In) - XT1B160-16A-3P-TMD - 25kA@230Vac, 18kA@415Vac, 18kA@250Vdc - marca ABB.</v>
      </c>
      <c r="Q442" s="2432" t="str">
        <f t="shared" si="291"/>
        <v>XT1B160-16A-3P-TMD</v>
      </c>
      <c r="R442" s="2433"/>
    </row>
    <row r="443" spans="1:18" s="690" customFormat="1" ht="18" customHeight="1">
      <c r="A443" s="1785"/>
      <c r="B443" s="1781">
        <v>3</v>
      </c>
      <c r="C443" s="1960" t="str">
        <f t="shared" si="464"/>
        <v>ITM Riel-Din 2x16A - S202-C-16A - 10kA@400Vac-IEC60947-2 - marca ABB.</v>
      </c>
      <c r="D443" s="2007" t="s">
        <v>970</v>
      </c>
      <c r="E443" s="1791">
        <f t="shared" si="465"/>
        <v>17.96</v>
      </c>
      <c r="F443" s="1782">
        <f t="shared" si="466"/>
        <v>53.88</v>
      </c>
      <c r="G443" s="1761"/>
      <c r="H443" s="1761"/>
      <c r="I443" s="1761"/>
      <c r="J443" s="1783"/>
      <c r="K443" s="684">
        <f t="shared" si="453"/>
        <v>1</v>
      </c>
      <c r="L443" s="708">
        <v>1</v>
      </c>
      <c r="M443" s="709">
        <f t="shared" si="452"/>
        <v>3</v>
      </c>
      <c r="N443" s="362">
        <f t="shared" si="288"/>
        <v>3</v>
      </c>
      <c r="O443" s="1763" t="str">
        <f t="shared" si="289"/>
        <v>2CDS252001R0164</v>
      </c>
      <c r="P443" s="1764" t="str">
        <f t="shared" si="290"/>
        <v>ITM Riel-Din 2x16A - S202-C-16A - 10kA@400Vac-IEC60947-2 - marca ABB.</v>
      </c>
      <c r="Q443" s="120" t="str">
        <f t="shared" si="291"/>
        <v>S202-C-16A</v>
      </c>
      <c r="R443" s="185"/>
    </row>
    <row r="444" spans="1:18" s="690" customFormat="1" ht="18" customHeight="1">
      <c r="A444" s="1785"/>
      <c r="B444" s="2023">
        <v>3</v>
      </c>
      <c r="C444" s="2041" t="str">
        <f t="shared" si="464"/>
        <v>Interruptor Diferencial 2x25A - 30mA - clase A (inmunizado) - FH202-A-25A-30mA - marca ABB.</v>
      </c>
      <c r="D444" s="2006" t="s">
        <v>5318</v>
      </c>
      <c r="E444" s="2025">
        <f t="shared" si="465"/>
        <v>50</v>
      </c>
      <c r="F444" s="2026">
        <f t="shared" si="466"/>
        <v>150</v>
      </c>
      <c r="G444" s="1761"/>
      <c r="H444" s="1761"/>
      <c r="I444" s="1761"/>
      <c r="J444" s="1783"/>
      <c r="K444" s="684">
        <f t="shared" si="453"/>
        <v>1</v>
      </c>
      <c r="L444" s="708">
        <v>1</v>
      </c>
      <c r="M444" s="709">
        <f t="shared" si="452"/>
        <v>3</v>
      </c>
      <c r="N444" s="362">
        <f t="shared" si="288"/>
        <v>3</v>
      </c>
      <c r="O444" s="1763" t="str">
        <f t="shared" si="289"/>
        <v>2CSF202102R1250</v>
      </c>
      <c r="P444" s="1764" t="str">
        <f t="shared" si="290"/>
        <v>Interruptor Diferencial 2x25A - 30mA - clase A (inmunizado) - FH202-A-25A-30mA - marca ABB.</v>
      </c>
      <c r="Q444" s="120" t="str">
        <f t="shared" si="291"/>
        <v>FH202-A-25A-30mA</v>
      </c>
      <c r="R444" s="185"/>
    </row>
    <row r="445" spans="1:18" s="690" customFormat="1" ht="18" customHeight="1">
      <c r="A445" s="1785"/>
      <c r="B445" s="2090">
        <v>1</v>
      </c>
      <c r="C445" s="1895" t="str">
        <f t="shared" si="464"/>
        <v>Espacio de reserva trifásica - Caja moldeada.</v>
      </c>
      <c r="D445" s="1895" t="s">
        <v>2932</v>
      </c>
      <c r="E445" s="2232">
        <f t="shared" si="465"/>
        <v>15</v>
      </c>
      <c r="F445" s="1793">
        <f t="shared" si="466"/>
        <v>15</v>
      </c>
      <c r="G445" s="1761"/>
      <c r="H445" s="1761"/>
      <c r="I445" s="1761"/>
      <c r="J445" s="1783"/>
      <c r="K445" s="684">
        <f t="shared" si="453"/>
        <v>1</v>
      </c>
      <c r="L445" s="708">
        <v>1</v>
      </c>
      <c r="M445" s="709">
        <f t="shared" si="452"/>
        <v>1</v>
      </c>
      <c r="N445" s="362" t="str">
        <f t="shared" si="288"/>
        <v/>
      </c>
      <c r="O445" s="1763" t="str">
        <f t="shared" si="289"/>
        <v/>
      </c>
      <c r="P445" s="1764" t="str">
        <f t="shared" si="290"/>
        <v/>
      </c>
      <c r="Q445" s="120" t="str">
        <f t="shared" si="291"/>
        <v/>
      </c>
      <c r="R445" s="185"/>
    </row>
    <row r="446" spans="1:18" s="695" customFormat="1">
      <c r="A446" s="687"/>
      <c r="B446" s="1967">
        <v>1</v>
      </c>
      <c r="C446" s="1946">
        <v>24</v>
      </c>
      <c r="D446" s="1582"/>
      <c r="E446" s="2000">
        <v>70</v>
      </c>
      <c r="F446" s="1968">
        <f t="shared" si="466"/>
        <v>70</v>
      </c>
      <c r="G446" s="1969"/>
      <c r="H446" s="1969"/>
      <c r="I446" s="1969"/>
      <c r="J446" s="1970"/>
      <c r="K446" s="684">
        <f t="shared" si="453"/>
        <v>1</v>
      </c>
      <c r="L446" s="363">
        <v>1</v>
      </c>
      <c r="M446" s="709">
        <f t="shared" si="452"/>
        <v>1</v>
      </c>
      <c r="N446" s="362" t="str">
        <f t="shared" si="288"/>
        <v/>
      </c>
      <c r="O446" s="1763" t="str">
        <f t="shared" si="289"/>
        <v/>
      </c>
      <c r="P446" s="1764" t="str">
        <f t="shared" si="290"/>
        <v/>
      </c>
      <c r="Q446" s="120" t="str">
        <f t="shared" si="291"/>
        <v/>
      </c>
    </row>
    <row r="447" spans="1:18" s="185" customFormat="1">
      <c r="A447" s="1785"/>
      <c r="B447" s="714"/>
      <c r="C447" s="1893" t="s">
        <v>729</v>
      </c>
      <c r="D447" s="1941"/>
      <c r="E447" s="1786"/>
      <c r="F447" s="1787"/>
      <c r="G447" s="710"/>
      <c r="H447" s="710"/>
      <c r="I447" s="710"/>
      <c r="J447" s="711"/>
      <c r="K447" s="684">
        <f t="shared" si="453"/>
        <v>1</v>
      </c>
      <c r="L447" s="363">
        <v>1</v>
      </c>
      <c r="M447" s="709">
        <f t="shared" ref="M447:M473" si="467">IF(B447="",1,B447)</f>
        <v>1</v>
      </c>
      <c r="N447" s="362" t="str">
        <f t="shared" si="288"/>
        <v/>
      </c>
      <c r="O447" s="1763" t="str">
        <f t="shared" si="289"/>
        <v/>
      </c>
      <c r="P447" s="1764" t="str">
        <f t="shared" si="290"/>
        <v/>
      </c>
      <c r="Q447" s="120" t="str">
        <f t="shared" si="291"/>
        <v/>
      </c>
    </row>
    <row r="448" spans="1:18" s="315" customFormat="1">
      <c r="A448" s="1785"/>
      <c r="B448" s="355">
        <v>3</v>
      </c>
      <c r="C448" s="1944" t="s">
        <v>13041</v>
      </c>
      <c r="D448" s="1941"/>
      <c r="E448" s="1786"/>
      <c r="F448" s="1908">
        <f>SUM(F449:F454)*(B448-1)</f>
        <v>105.97</v>
      </c>
      <c r="G448" s="712"/>
      <c r="H448" s="712"/>
      <c r="I448" s="712"/>
      <c r="J448" s="713"/>
      <c r="K448" s="684">
        <f t="shared" si="453"/>
        <v>1</v>
      </c>
      <c r="L448" s="2224">
        <f>B448</f>
        <v>3</v>
      </c>
      <c r="M448" s="709">
        <f>IF(B448="",1,B448)</f>
        <v>3</v>
      </c>
      <c r="N448" s="362" t="str">
        <f t="shared" ref="N448:N461" si="468">IF(O448&lt;&gt;"",K448*L448*M448,"")</f>
        <v/>
      </c>
      <c r="O448" s="1763" t="str">
        <f t="shared" ref="O448:O461" si="469">IF(D448&lt;&gt;"",IF(VLOOKUP(D448,base_datos,7,FALSE)&lt;&gt;"",VLOOKUP(D448,base_datos,7,FALSE),""),"")</f>
        <v/>
      </c>
      <c r="P448" s="1764" t="str">
        <f t="shared" ref="P448:P461" si="470">IF(O448&lt;&gt;"",VLOOKUP(D448,base_datos,6,FALSE),"")</f>
        <v/>
      </c>
      <c r="Q448" s="120" t="str">
        <f t="shared" ref="Q448:Q461" si="471">IF(O448&lt;&gt;"",D448,"")</f>
        <v/>
      </c>
    </row>
    <row r="449" spans="1:20" s="690" customFormat="1" ht="18" customHeight="1">
      <c r="A449" s="691"/>
      <c r="B449" s="1781">
        <v>1</v>
      </c>
      <c r="C449" s="1420" t="str">
        <f>VLOOKUP(D449,base_datos,6,FALSE)</f>
        <v>Contactor 3x09A(AC-3) / 3x25A(AC-1) +1NA - AF09-30-10-13 - bobina 100-250Vac/dc - marca ABB.</v>
      </c>
      <c r="D449" s="1901" t="s">
        <v>1447</v>
      </c>
      <c r="E449" s="1791">
        <f>VLOOKUP(D449,base_datos,5,FALSE)</f>
        <v>29.89</v>
      </c>
      <c r="F449" s="1912">
        <f>+E449*B449</f>
        <v>29.89</v>
      </c>
      <c r="G449" s="1761"/>
      <c r="H449" s="1761"/>
      <c r="I449" s="1761"/>
      <c r="J449" s="1783"/>
      <c r="K449" s="684">
        <f t="shared" si="453"/>
        <v>1</v>
      </c>
      <c r="L449" s="1913">
        <f>L448</f>
        <v>3</v>
      </c>
      <c r="M449" s="709">
        <f t="shared" ref="M449:M461" si="472">IF(B449="",1,B449)</f>
        <v>1</v>
      </c>
      <c r="N449" s="362">
        <f t="shared" si="468"/>
        <v>3</v>
      </c>
      <c r="O449" s="1763" t="str">
        <f t="shared" si="469"/>
        <v>1SBL137001R1310</v>
      </c>
      <c r="P449" s="1764" t="str">
        <f t="shared" si="470"/>
        <v>Contactor 3x09A(AC-3) / 3x25A(AC-1) +1NA - AF09-30-10-13 - bobina 100-250Vac/dc - marca ABB.</v>
      </c>
      <c r="Q449" s="120" t="str">
        <f t="shared" si="471"/>
        <v>AF09-30-10-13_3p</v>
      </c>
      <c r="R449" s="185"/>
    </row>
    <row r="450" spans="1:20" s="690" customFormat="1" ht="18" customHeight="1">
      <c r="A450" s="1785"/>
      <c r="B450" s="1922">
        <v>1</v>
      </c>
      <c r="C450" s="1848" t="str">
        <f>VLOOKUP(D450,base_datos,6,FALSE)</f>
        <v>Contacto auxiliar frontal 1NA para contactor AF09..AF16-30-10, frontal - Modelo CA4-10 - marca ABB.</v>
      </c>
      <c r="D450" s="1901" t="s">
        <v>2718</v>
      </c>
      <c r="E450" s="1791">
        <f>VLOOKUP(D450,base_datos,5,FALSE)</f>
        <v>5.92</v>
      </c>
      <c r="F450" s="1912">
        <f>+E450*B450</f>
        <v>5.92</v>
      </c>
      <c r="G450" s="1761"/>
      <c r="H450" s="1761"/>
      <c r="I450" s="1761"/>
      <c r="J450" s="1783"/>
      <c r="K450" s="684">
        <f t="shared" si="453"/>
        <v>1</v>
      </c>
      <c r="L450" s="1913">
        <f t="shared" ref="L450" si="473">L449</f>
        <v>3</v>
      </c>
      <c r="M450" s="709">
        <f t="shared" si="472"/>
        <v>1</v>
      </c>
      <c r="N450" s="362">
        <f t="shared" si="468"/>
        <v>3</v>
      </c>
      <c r="O450" s="1763" t="str">
        <f t="shared" si="469"/>
        <v>1SBN010110R1010</v>
      </c>
      <c r="P450" s="1764" t="str">
        <f t="shared" si="470"/>
        <v>Contacto auxiliar frontal 1NA para contactor AF09..AF16-30-10, frontal - Modelo CA4-10 - marca ABB.</v>
      </c>
      <c r="Q450" s="120" t="str">
        <f t="shared" si="471"/>
        <v>CA4-10</v>
      </c>
      <c r="R450" s="185"/>
    </row>
    <row r="451" spans="1:20" s="1921" customFormat="1">
      <c r="A451" s="687"/>
      <c r="B451" s="1914">
        <v>1</v>
      </c>
      <c r="C451" s="1915" t="s">
        <v>3366</v>
      </c>
      <c r="D451" s="1916"/>
      <c r="E451" s="1917"/>
      <c r="F451" s="1918"/>
      <c r="G451" s="1919"/>
      <c r="H451" s="1919"/>
      <c r="I451" s="1919"/>
      <c r="J451" s="1920"/>
      <c r="K451" s="684">
        <f t="shared" si="453"/>
        <v>1</v>
      </c>
      <c r="L451" s="1913">
        <f>L450</f>
        <v>3</v>
      </c>
      <c r="M451" s="684">
        <f t="shared" si="472"/>
        <v>1</v>
      </c>
      <c r="N451" s="362" t="str">
        <f t="shared" si="468"/>
        <v/>
      </c>
      <c r="O451" s="1763" t="str">
        <f t="shared" si="469"/>
        <v/>
      </c>
      <c r="P451" s="1764" t="str">
        <f t="shared" si="470"/>
        <v/>
      </c>
      <c r="Q451" s="120" t="str">
        <f t="shared" si="471"/>
        <v/>
      </c>
    </row>
    <row r="452" spans="1:20" s="695" customFormat="1" ht="18" customHeight="1">
      <c r="A452" s="1785"/>
      <c r="B452" s="1922">
        <v>1</v>
      </c>
      <c r="C452" s="1848" t="str">
        <f t="shared" ref="C452:C454" si="474">VLOOKUP(D452,base_datos,6,FALSE)</f>
        <v>Base portafusibles + Fusibles de protección para control.</v>
      </c>
      <c r="D452" s="1886" t="s">
        <v>453</v>
      </c>
      <c r="E452" s="1795">
        <f t="shared" ref="E452:E454" si="475">VLOOKUP(D452,base_datos,5,FALSE)</f>
        <v>8.1750000000000007</v>
      </c>
      <c r="F452" s="1923">
        <f t="shared" ref="F452:F454" si="476">+E452*B452</f>
        <v>8.1750000000000007</v>
      </c>
      <c r="G452" s="696"/>
      <c r="H452" s="696"/>
      <c r="I452" s="696"/>
      <c r="J452" s="697"/>
      <c r="K452" s="684">
        <f t="shared" si="453"/>
        <v>1</v>
      </c>
      <c r="L452" s="1913">
        <f>L449</f>
        <v>3</v>
      </c>
      <c r="M452" s="709">
        <f t="shared" si="472"/>
        <v>1</v>
      </c>
      <c r="N452" s="362" t="str">
        <f t="shared" si="468"/>
        <v/>
      </c>
      <c r="O452" s="1763" t="str">
        <f t="shared" si="469"/>
        <v/>
      </c>
      <c r="P452" s="1764" t="str">
        <f t="shared" si="470"/>
        <v/>
      </c>
      <c r="Q452" s="120" t="str">
        <f t="shared" si="471"/>
        <v/>
      </c>
      <c r="R452" s="185"/>
    </row>
    <row r="453" spans="1:20" s="695" customFormat="1" ht="18" customHeight="1">
      <c r="A453" s="1785"/>
      <c r="B453" s="1922">
        <v>1</v>
      </c>
      <c r="C453" s="1848" t="str">
        <f t="shared" si="474"/>
        <v>Borne para neutro.</v>
      </c>
      <c r="D453" s="1886" t="s">
        <v>436</v>
      </c>
      <c r="E453" s="1795">
        <f t="shared" si="475"/>
        <v>4</v>
      </c>
      <c r="F453" s="1923">
        <f t="shared" si="476"/>
        <v>4</v>
      </c>
      <c r="G453" s="696"/>
      <c r="H453" s="696"/>
      <c r="I453" s="696"/>
      <c r="J453" s="697"/>
      <c r="K453" s="684">
        <f t="shared" si="453"/>
        <v>1</v>
      </c>
      <c r="L453" s="1913">
        <f>L450</f>
        <v>3</v>
      </c>
      <c r="M453" s="709">
        <f t="shared" si="472"/>
        <v>1</v>
      </c>
      <c r="N453" s="362" t="str">
        <f t="shared" si="468"/>
        <v/>
      </c>
      <c r="O453" s="1763" t="str">
        <f t="shared" si="469"/>
        <v/>
      </c>
      <c r="P453" s="1764" t="str">
        <f t="shared" si="470"/>
        <v/>
      </c>
      <c r="Q453" s="120" t="str">
        <f t="shared" si="471"/>
        <v/>
      </c>
      <c r="R453" s="185"/>
    </row>
    <row r="454" spans="1:20" s="695" customFormat="1" ht="18" customHeight="1">
      <c r="A454" s="1785"/>
      <c r="B454" s="1922">
        <v>2</v>
      </c>
      <c r="C454" s="1848" t="str">
        <f t="shared" si="474"/>
        <v>Borne 4mm2.</v>
      </c>
      <c r="D454" s="1886" t="s">
        <v>437</v>
      </c>
      <c r="E454" s="1795">
        <f t="shared" si="475"/>
        <v>2.5</v>
      </c>
      <c r="F454" s="1923">
        <f t="shared" si="476"/>
        <v>5</v>
      </c>
      <c r="G454" s="696"/>
      <c r="H454" s="696"/>
      <c r="I454" s="696"/>
      <c r="J454" s="697"/>
      <c r="K454" s="684">
        <f t="shared" si="453"/>
        <v>1</v>
      </c>
      <c r="L454" s="1913">
        <f t="shared" ref="L454" si="477">L453</f>
        <v>3</v>
      </c>
      <c r="M454" s="709">
        <f t="shared" si="472"/>
        <v>2</v>
      </c>
      <c r="N454" s="362" t="str">
        <f t="shared" si="468"/>
        <v/>
      </c>
      <c r="O454" s="1763" t="str">
        <f t="shared" si="469"/>
        <v/>
      </c>
      <c r="P454" s="1764" t="str">
        <f t="shared" si="470"/>
        <v/>
      </c>
      <c r="Q454" s="120" t="str">
        <f t="shared" si="471"/>
        <v/>
      </c>
      <c r="R454" s="185"/>
    </row>
    <row r="455" spans="1:20" s="185" customFormat="1" ht="18" customHeight="1">
      <c r="A455" s="1785"/>
      <c r="B455" s="714"/>
      <c r="C455" s="1893" t="s">
        <v>729</v>
      </c>
      <c r="D455" s="173"/>
      <c r="E455" s="1786"/>
      <c r="F455" s="1787"/>
      <c r="G455" s="710"/>
      <c r="H455" s="710"/>
      <c r="I455" s="710"/>
      <c r="J455" s="711"/>
      <c r="K455" s="684">
        <f t="shared" si="453"/>
        <v>1</v>
      </c>
      <c r="L455" s="708">
        <v>1</v>
      </c>
      <c r="M455" s="709">
        <f t="shared" si="472"/>
        <v>1</v>
      </c>
      <c r="N455" s="362" t="str">
        <f t="shared" si="468"/>
        <v/>
      </c>
      <c r="O455" s="1763" t="str">
        <f t="shared" si="469"/>
        <v/>
      </c>
      <c r="P455" s="1764" t="str">
        <f t="shared" si="470"/>
        <v/>
      </c>
      <c r="Q455" s="120" t="str">
        <f t="shared" si="471"/>
        <v/>
      </c>
    </row>
    <row r="456" spans="1:20" s="315" customFormat="1" ht="12.75" customHeight="1">
      <c r="A456" s="2271"/>
      <c r="B456" s="2272">
        <v>1</v>
      </c>
      <c r="C456" s="2281" t="s">
        <v>13366</v>
      </c>
      <c r="D456" s="1935"/>
      <c r="E456" s="2287"/>
      <c r="F456" s="2257">
        <f>+SUM(F457:F460)*(B456-1)</f>
        <v>0</v>
      </c>
      <c r="G456" s="712"/>
      <c r="H456" s="712"/>
      <c r="I456" s="712"/>
      <c r="J456" s="713"/>
      <c r="K456" s="684">
        <v>1</v>
      </c>
      <c r="L456" s="2258">
        <v>1</v>
      </c>
      <c r="M456" s="120">
        <f t="shared" si="472"/>
        <v>1</v>
      </c>
      <c r="N456" s="112" t="str">
        <f t="shared" si="468"/>
        <v/>
      </c>
      <c r="O456" s="112" t="str">
        <f t="shared" si="469"/>
        <v/>
      </c>
      <c r="P456" s="120" t="str">
        <f t="shared" si="470"/>
        <v/>
      </c>
      <c r="Q456" s="120" t="str">
        <f t="shared" si="471"/>
        <v/>
      </c>
      <c r="S456" s="112" t="str">
        <f t="shared" ref="S456:S461" si="478">IF(O456&lt;&gt;"",VLOOKUP(D456,base_datos,9,FALSE),"")</f>
        <v/>
      </c>
      <c r="T456" s="2128"/>
    </row>
    <row r="457" spans="1:20" s="690" customFormat="1" ht="18" customHeight="1">
      <c r="A457" s="2273"/>
      <c r="B457" s="1781">
        <v>1</v>
      </c>
      <c r="C457" s="1420" t="str">
        <f t="shared" ref="C457:C460" si="479">VLOOKUP(D457,base_datos,6,FALSE)</f>
        <v>Calefactor resistivo 60W, modelo RACM - marca FANDIS.</v>
      </c>
      <c r="D457" s="1899" t="s">
        <v>3298</v>
      </c>
      <c r="E457" s="2288">
        <f t="shared" ref="E457" si="480">VLOOKUP(D457,base_datos,5,FALSE)</f>
        <v>127.1</v>
      </c>
      <c r="F457" s="1782">
        <f>+E457*B457</f>
        <v>127.1</v>
      </c>
      <c r="G457" s="1761"/>
      <c r="H457" s="1761"/>
      <c r="I457" s="1761"/>
      <c r="J457" s="689"/>
      <c r="K457" s="684">
        <v>1</v>
      </c>
      <c r="L457" s="2258">
        <v>1</v>
      </c>
      <c r="M457" s="120">
        <f t="shared" si="472"/>
        <v>1</v>
      </c>
      <c r="N457" s="112">
        <f t="shared" si="468"/>
        <v>1</v>
      </c>
      <c r="O457" s="112" t="str">
        <f t="shared" si="469"/>
        <v>RACM-60</v>
      </c>
      <c r="P457" s="120" t="str">
        <f t="shared" si="470"/>
        <v>Calefactor resistivo 60W, modelo RACM - marca FANDIS.</v>
      </c>
      <c r="Q457" s="120" t="str">
        <f t="shared" si="471"/>
        <v>CALEFACT-60W_FAND</v>
      </c>
      <c r="S457" s="112" t="str">
        <f t="shared" si="478"/>
        <v>FANDIS</v>
      </c>
      <c r="T457" s="1765"/>
    </row>
    <row r="458" spans="1:20" s="690" customFormat="1" ht="18" customHeight="1">
      <c r="A458" s="2273"/>
      <c r="B458" s="1781">
        <v>1</v>
      </c>
      <c r="C458" s="1420" t="str">
        <f t="shared" si="479"/>
        <v>Termostato para ventilación - 1NA - 230V - marca FANDIS.</v>
      </c>
      <c r="D458" s="1899" t="s">
        <v>3294</v>
      </c>
      <c r="E458" s="2288">
        <f t="shared" ref="E458:E460" si="481">VLOOKUP(D458,base_datos,5,FALSE)</f>
        <v>41.58</v>
      </c>
      <c r="F458" s="1782">
        <f>+E458*B458</f>
        <v>41.58</v>
      </c>
      <c r="G458" s="1761"/>
      <c r="H458" s="1761"/>
      <c r="I458" s="1761"/>
      <c r="J458" s="689"/>
      <c r="K458" s="684">
        <v>1</v>
      </c>
      <c r="L458" s="2258">
        <v>1</v>
      </c>
      <c r="M458" s="120">
        <f t="shared" si="472"/>
        <v>1</v>
      </c>
      <c r="N458" s="112">
        <f t="shared" si="468"/>
        <v>1</v>
      </c>
      <c r="O458" s="112" t="str">
        <f t="shared" si="469"/>
        <v>TRT-10A230V-NO</v>
      </c>
      <c r="P458" s="120" t="str">
        <f t="shared" si="470"/>
        <v>Termostato para ventilación - 1NA - 230V - marca FANDIS.</v>
      </c>
      <c r="Q458" s="120" t="str">
        <f t="shared" si="471"/>
        <v>TRT-1NA</v>
      </c>
      <c r="S458" s="112" t="str">
        <f t="shared" si="478"/>
        <v>FANDIS</v>
      </c>
      <c r="T458" s="1765"/>
    </row>
    <row r="459" spans="1:20" s="320" customFormat="1" ht="12.75" customHeight="1">
      <c r="A459" s="2274"/>
      <c r="B459" s="2275">
        <v>1</v>
      </c>
      <c r="C459" s="2282" t="str">
        <f t="shared" si="479"/>
        <v>Base portafusibles + Fusibles de protección para control.</v>
      </c>
      <c r="D459" s="1579" t="s">
        <v>453</v>
      </c>
      <c r="E459" s="2289">
        <f t="shared" si="481"/>
        <v>8.1750000000000007</v>
      </c>
      <c r="F459" s="2264">
        <f>+E459*B459</f>
        <v>8.1750000000000007</v>
      </c>
      <c r="G459" s="2276"/>
      <c r="H459" s="2276"/>
      <c r="I459" s="2276"/>
      <c r="J459" s="722"/>
      <c r="K459" s="684">
        <v>1</v>
      </c>
      <c r="L459" s="2258">
        <v>1</v>
      </c>
      <c r="M459" s="120">
        <f t="shared" si="472"/>
        <v>1</v>
      </c>
      <c r="N459" s="112" t="str">
        <f t="shared" si="468"/>
        <v/>
      </c>
      <c r="O459" s="112" t="str">
        <f t="shared" si="469"/>
        <v/>
      </c>
      <c r="P459" s="120" t="str">
        <f t="shared" si="470"/>
        <v/>
      </c>
      <c r="Q459" s="120" t="str">
        <f t="shared" si="471"/>
        <v/>
      </c>
      <c r="R459" s="185"/>
      <c r="S459" s="112" t="str">
        <f t="shared" si="478"/>
        <v/>
      </c>
      <c r="T459" s="709"/>
    </row>
    <row r="460" spans="1:20" s="320" customFormat="1" ht="12.75" customHeight="1">
      <c r="A460" s="2274"/>
      <c r="B460" s="2277">
        <v>1</v>
      </c>
      <c r="C460" s="2282" t="str">
        <f t="shared" si="479"/>
        <v>Borne 4mm2.</v>
      </c>
      <c r="D460" s="1579" t="s">
        <v>437</v>
      </c>
      <c r="E460" s="2260">
        <f t="shared" si="481"/>
        <v>2.5</v>
      </c>
      <c r="F460" s="2260">
        <f>+E460*B460</f>
        <v>2.5</v>
      </c>
      <c r="G460" s="2276"/>
      <c r="H460" s="2276"/>
      <c r="I460" s="2276"/>
      <c r="J460" s="722"/>
      <c r="K460" s="684">
        <v>1</v>
      </c>
      <c r="L460" s="2258">
        <v>1</v>
      </c>
      <c r="M460" s="120">
        <f t="shared" si="472"/>
        <v>1</v>
      </c>
      <c r="N460" s="112" t="str">
        <f t="shared" si="468"/>
        <v/>
      </c>
      <c r="O460" s="112" t="str">
        <f t="shared" si="469"/>
        <v/>
      </c>
      <c r="P460" s="120" t="str">
        <f t="shared" si="470"/>
        <v/>
      </c>
      <c r="Q460" s="120" t="str">
        <f t="shared" si="471"/>
        <v/>
      </c>
      <c r="R460" s="185"/>
      <c r="S460" s="112" t="str">
        <f t="shared" si="478"/>
        <v/>
      </c>
      <c r="T460" s="709"/>
    </row>
    <row r="461" spans="1:20" s="185" customFormat="1" ht="12.75" customHeight="1">
      <c r="A461" s="2262"/>
      <c r="B461" s="1760"/>
      <c r="C461" s="1893" t="s">
        <v>729</v>
      </c>
      <c r="D461" s="169"/>
      <c r="E461" s="2256"/>
      <c r="F461" s="2278"/>
      <c r="G461" s="710"/>
      <c r="H461" s="710"/>
      <c r="I461" s="710"/>
      <c r="J461" s="711"/>
      <c r="K461" s="684">
        <v>1</v>
      </c>
      <c r="L461" s="2258">
        <v>1</v>
      </c>
      <c r="M461" s="120">
        <f t="shared" si="472"/>
        <v>1</v>
      </c>
      <c r="N461" s="112" t="str">
        <f t="shared" si="468"/>
        <v/>
      </c>
      <c r="O461" s="112" t="str">
        <f t="shared" si="469"/>
        <v/>
      </c>
      <c r="P461" s="120" t="str">
        <f t="shared" si="470"/>
        <v/>
      </c>
      <c r="Q461" s="120" t="str">
        <f t="shared" si="471"/>
        <v/>
      </c>
      <c r="S461" s="112" t="str">
        <f t="shared" si="478"/>
        <v/>
      </c>
      <c r="T461" s="118"/>
    </row>
    <row r="462" spans="1:20" s="1236" customFormat="1" ht="18" customHeight="1">
      <c r="A462" s="1767"/>
      <c r="B462" s="1853">
        <v>1</v>
      </c>
      <c r="C462" s="1895" t="s">
        <v>12364</v>
      </c>
      <c r="D462" s="1902"/>
      <c r="E462" s="1792"/>
      <c r="F462" s="1793"/>
      <c r="G462" s="1784"/>
      <c r="H462" s="1784"/>
      <c r="I462" s="1784"/>
      <c r="J462" s="1182"/>
      <c r="K462" s="684">
        <f>+K453</f>
        <v>1</v>
      </c>
      <c r="L462" s="708">
        <v>1</v>
      </c>
      <c r="M462" s="709">
        <f t="shared" ref="M462:M465" si="482">IF(B462="",1,B462)</f>
        <v>1</v>
      </c>
      <c r="N462" s="362" t="str">
        <f t="shared" ref="N462:N528" si="483">IF(O462&lt;&gt;"",K462*L462*M462,"")</f>
        <v/>
      </c>
      <c r="O462" s="1763" t="str">
        <f t="shared" ref="O462:O528" si="484">IF(D462&lt;&gt;"",IF(VLOOKUP(D462,base_datos,7,FALSE)&lt;&gt;"",VLOOKUP(D462,base_datos,7,FALSE),""),"")</f>
        <v/>
      </c>
      <c r="P462" s="1764" t="str">
        <f t="shared" ref="P462:P528" si="485">IF(O462&lt;&gt;"",VLOOKUP(D462,base_datos,6,FALSE),"")</f>
        <v/>
      </c>
      <c r="Q462" s="120" t="str">
        <f t="shared" ref="Q462:Q528" si="486">IF(O462&lt;&gt;"",D462,"")</f>
        <v/>
      </c>
      <c r="R462" s="185"/>
    </row>
    <row r="463" spans="1:20" s="695" customFormat="1" ht="18" customHeight="1">
      <c r="A463" s="693"/>
      <c r="B463" s="1922">
        <v>1</v>
      </c>
      <c r="C463" s="1848" t="str">
        <f t="shared" ref="C463" si="487">VLOOKUP(D463,base_datos,6,FALSE)</f>
        <v>Placa lamicoid rotulación de 3mm de espesor, fondo negro y letras blancas.</v>
      </c>
      <c r="D463" s="1886" t="s">
        <v>8570</v>
      </c>
      <c r="E463" s="1795">
        <f t="shared" ref="E463" si="488">VLOOKUP(D463,base_datos,5,FALSE)</f>
        <v>2.2000000000000002</v>
      </c>
      <c r="F463" s="1796">
        <f t="shared" ref="F463" si="489">+E463*B463</f>
        <v>2.2000000000000002</v>
      </c>
      <c r="G463" s="696"/>
      <c r="H463" s="696"/>
      <c r="I463" s="696"/>
      <c r="J463" s="697"/>
      <c r="K463" s="684">
        <f>+K454</f>
        <v>1</v>
      </c>
      <c r="L463" s="708">
        <v>1</v>
      </c>
      <c r="M463" s="709">
        <f t="shared" si="482"/>
        <v>1</v>
      </c>
      <c r="N463" s="362">
        <f t="shared" si="483"/>
        <v>1</v>
      </c>
      <c r="O463" s="1763" t="str">
        <f t="shared" si="484"/>
        <v>Placa lamicoid p/distr.</v>
      </c>
      <c r="P463" s="1764" t="str">
        <f t="shared" si="485"/>
        <v>Placa lamicoid rotulación de 3mm de espesor, fondo negro y letras blancas.</v>
      </c>
      <c r="Q463" s="120" t="str">
        <f t="shared" si="486"/>
        <v>Placa lamicoid p/distr.</v>
      </c>
      <c r="R463" s="185"/>
    </row>
    <row r="464" spans="1:20" s="1236" customFormat="1" ht="18" customHeight="1">
      <c r="A464" s="1767"/>
      <c r="B464" s="1853">
        <v>1</v>
      </c>
      <c r="C464" s="1895" t="s">
        <v>12474</v>
      </c>
      <c r="D464" s="1902"/>
      <c r="E464" s="1792"/>
      <c r="F464" s="1793"/>
      <c r="G464" s="1784"/>
      <c r="H464" s="1784"/>
      <c r="I464" s="1784"/>
      <c r="J464" s="1182"/>
      <c r="K464" s="684">
        <f>+K455</f>
        <v>1</v>
      </c>
      <c r="L464" s="708">
        <v>1</v>
      </c>
      <c r="M464" s="709">
        <f t="shared" si="482"/>
        <v>1</v>
      </c>
      <c r="N464" s="362" t="str">
        <f t="shared" si="483"/>
        <v/>
      </c>
      <c r="O464" s="1763" t="str">
        <f t="shared" si="484"/>
        <v/>
      </c>
      <c r="P464" s="1764" t="str">
        <f t="shared" si="485"/>
        <v/>
      </c>
      <c r="Q464" s="120" t="str">
        <f t="shared" si="486"/>
        <v/>
      </c>
      <c r="R464" s="185"/>
    </row>
    <row r="465" spans="1:18" s="1236" customFormat="1" ht="18" customHeight="1">
      <c r="A465" s="1767"/>
      <c r="B465" s="1853">
        <v>1</v>
      </c>
      <c r="C465" s="1848" t="str">
        <f>VLOOKUP(D465,base_datos,6,FALSE)</f>
        <v>Embalaje especial completamente cerrado para tablero adosado de 1600x600x220mm</v>
      </c>
      <c r="D465" s="1902" t="s">
        <v>12453</v>
      </c>
      <c r="E465" s="1795">
        <f t="shared" ref="E465" si="490">VLOOKUP(D465,base_datos,5,FALSE)</f>
        <v>271.40000000000003</v>
      </c>
      <c r="F465" s="1796">
        <f t="shared" ref="F465" si="491">+E465*B465</f>
        <v>271.40000000000003</v>
      </c>
      <c r="G465" s="1784"/>
      <c r="H465" s="1784"/>
      <c r="I465" s="1784"/>
      <c r="J465" s="1182"/>
      <c r="K465" s="684">
        <f t="shared" si="453"/>
        <v>1</v>
      </c>
      <c r="L465" s="708">
        <v>1</v>
      </c>
      <c r="M465" s="709">
        <f t="shared" si="482"/>
        <v>1</v>
      </c>
      <c r="N465" s="362">
        <f t="shared" si="483"/>
        <v>1</v>
      </c>
      <c r="O465" s="1763" t="str">
        <f t="shared" si="484"/>
        <v>EMBAL_ADOS_1600x600x220mm</v>
      </c>
      <c r="P465" s="1764" t="str">
        <f t="shared" si="485"/>
        <v>Embalaje especial completamente cerrado para tablero adosado de 1600x600x220mm</v>
      </c>
      <c r="Q465" s="120" t="str">
        <f t="shared" si="486"/>
        <v>EMBAL_ADOS_1600x600x220mm</v>
      </c>
      <c r="R465" s="185"/>
    </row>
    <row r="466" spans="1:18" s="185" customFormat="1" ht="18" customHeight="1">
      <c r="A466" s="1785"/>
      <c r="B466" s="714"/>
      <c r="C466" s="313" t="s">
        <v>729</v>
      </c>
      <c r="D466" s="173"/>
      <c r="E466" s="1786"/>
      <c r="F466" s="1787"/>
      <c r="G466" s="710"/>
      <c r="H466" s="710"/>
      <c r="I466" s="710"/>
      <c r="J466" s="711"/>
      <c r="K466" s="684">
        <f t="shared" si="453"/>
        <v>1</v>
      </c>
      <c r="L466" s="708">
        <v>1</v>
      </c>
      <c r="M466" s="709">
        <f t="shared" si="467"/>
        <v>1</v>
      </c>
      <c r="N466" s="362" t="str">
        <f t="shared" si="483"/>
        <v/>
      </c>
      <c r="O466" s="1763" t="str">
        <f t="shared" si="484"/>
        <v/>
      </c>
      <c r="P466" s="1764" t="str">
        <f t="shared" si="485"/>
        <v/>
      </c>
      <c r="Q466" s="120" t="str">
        <f t="shared" si="486"/>
        <v/>
      </c>
    </row>
    <row r="467" spans="1:18" s="695" customFormat="1" ht="18" customHeight="1">
      <c r="A467" s="693"/>
      <c r="B467" s="1794">
        <v>1</v>
      </c>
      <c r="C467" s="1420" t="str">
        <f>VLOOKUP(D467,base_datos,6,FALSE)</f>
        <v>Barra a tierra.</v>
      </c>
      <c r="D467" s="1790" t="s">
        <v>8299</v>
      </c>
      <c r="E467" s="1795">
        <f t="shared" ref="E467" si="492">VLOOKUP(D467,base_datos,5,FALSE)</f>
        <v>10</v>
      </c>
      <c r="F467" s="1796">
        <f t="shared" ref="F467" si="493">+E467*B467</f>
        <v>10</v>
      </c>
      <c r="G467" s="696"/>
      <c r="H467" s="696"/>
      <c r="I467" s="696"/>
      <c r="J467" s="697"/>
      <c r="K467" s="684">
        <f t="shared" si="453"/>
        <v>1</v>
      </c>
      <c r="L467" s="708">
        <v>1</v>
      </c>
      <c r="M467" s="709">
        <f t="shared" si="467"/>
        <v>1</v>
      </c>
      <c r="N467" s="362" t="str">
        <f t="shared" si="483"/>
        <v/>
      </c>
      <c r="O467" s="1763" t="str">
        <f t="shared" si="484"/>
        <v/>
      </c>
      <c r="P467" s="1764" t="str">
        <f t="shared" si="485"/>
        <v/>
      </c>
      <c r="Q467" s="120" t="str">
        <f t="shared" si="486"/>
        <v/>
      </c>
      <c r="R467" s="185"/>
    </row>
    <row r="468" spans="1:18" s="185" customFormat="1" ht="18" customHeight="1">
      <c r="A468" s="1785"/>
      <c r="B468" s="714"/>
      <c r="C468" s="313" t="s">
        <v>729</v>
      </c>
      <c r="D468" s="173"/>
      <c r="E468" s="1786"/>
      <c r="F468" s="1787"/>
      <c r="G468" s="710"/>
      <c r="H468" s="710"/>
      <c r="I468" s="710"/>
      <c r="J468" s="711"/>
      <c r="K468" s="684">
        <f t="shared" si="453"/>
        <v>1</v>
      </c>
      <c r="L468" s="708">
        <v>1</v>
      </c>
      <c r="M468" s="709">
        <f t="shared" ref="M468" si="494">IF(B468="",1,B468)</f>
        <v>1</v>
      </c>
      <c r="N468" s="362" t="str">
        <f t="shared" ref="N468" si="495">IF(O468&lt;&gt;"",K468*L468*M468,"")</f>
        <v/>
      </c>
      <c r="O468" s="1763" t="str">
        <f t="shared" ref="O468" si="496">IF(D468&lt;&gt;"",IF(VLOOKUP(D468,base_datos,7,FALSE)&lt;&gt;"",VLOOKUP(D468,base_datos,7,FALSE),""),"")</f>
        <v/>
      </c>
      <c r="P468" s="1764" t="str">
        <f t="shared" ref="P468" si="497">IF(O468&lt;&gt;"",VLOOKUP(D468,base_datos,6,FALSE),"")</f>
        <v/>
      </c>
      <c r="Q468" s="120" t="str">
        <f t="shared" ref="Q468" si="498">IF(O468&lt;&gt;"",D468,"")</f>
        <v/>
      </c>
    </row>
    <row r="469" spans="1:18" s="897" customFormat="1" ht="18" customHeight="1">
      <c r="A469" s="693"/>
      <c r="B469" s="895">
        <v>20</v>
      </c>
      <c r="C469" s="721" t="str">
        <f>VLOOKUP(D469,base_datos,6,FALSE)</f>
        <v>Rotulado por circuito.</v>
      </c>
      <c r="D469" s="1579" t="s">
        <v>3067</v>
      </c>
      <c r="E469" s="1581">
        <f>VLOOKUP(D469,base_datos,5,FALSE)</f>
        <v>0.7</v>
      </c>
      <c r="F469" s="1581">
        <f t="shared" ref="F469:F473" si="499">+E469*B469</f>
        <v>14</v>
      </c>
      <c r="G469" s="1772"/>
      <c r="H469" s="1772"/>
      <c r="I469" s="1772"/>
      <c r="J469" s="896"/>
      <c r="K469" s="684">
        <f t="shared" si="453"/>
        <v>1</v>
      </c>
      <c r="L469" s="708">
        <v>1</v>
      </c>
      <c r="M469" s="709">
        <f t="shared" si="467"/>
        <v>20</v>
      </c>
      <c r="N469" s="362" t="str">
        <f t="shared" si="483"/>
        <v/>
      </c>
      <c r="O469" s="1763" t="str">
        <f t="shared" si="484"/>
        <v/>
      </c>
      <c r="P469" s="1764" t="str">
        <f t="shared" si="485"/>
        <v/>
      </c>
      <c r="Q469" s="120" t="str">
        <f t="shared" si="486"/>
        <v/>
      </c>
    </row>
    <row r="470" spans="1:18" s="897" customFormat="1" ht="18" customHeight="1">
      <c r="A470" s="693"/>
      <c r="B470" s="895">
        <v>1</v>
      </c>
      <c r="C470" s="721" t="str">
        <f>VLOOKUP(D470,base_datos,6,FALSE)</f>
        <v>Rotulado para TAG - tablero de distribución.</v>
      </c>
      <c r="D470" s="1579" t="s">
        <v>3066</v>
      </c>
      <c r="E470" s="1581">
        <f>VLOOKUP(D470,base_datos,5,FALSE)</f>
        <v>1.5</v>
      </c>
      <c r="F470" s="1581">
        <f t="shared" si="499"/>
        <v>1.5</v>
      </c>
      <c r="G470" s="1772"/>
      <c r="H470" s="1772"/>
      <c r="I470" s="1772"/>
      <c r="J470" s="896"/>
      <c r="K470" s="684">
        <f t="shared" si="453"/>
        <v>1</v>
      </c>
      <c r="L470" s="708">
        <v>1</v>
      </c>
      <c r="M470" s="709">
        <f t="shared" si="467"/>
        <v>1</v>
      </c>
      <c r="N470" s="362" t="str">
        <f t="shared" si="483"/>
        <v/>
      </c>
      <c r="O470" s="1763" t="str">
        <f t="shared" si="484"/>
        <v/>
      </c>
      <c r="P470" s="1764" t="str">
        <f t="shared" si="485"/>
        <v/>
      </c>
      <c r="Q470" s="120" t="str">
        <f t="shared" si="486"/>
        <v/>
      </c>
    </row>
    <row r="471" spans="1:18" s="1237" customFormat="1" ht="18" customHeight="1">
      <c r="A471" s="1767"/>
      <c r="B471" s="2093">
        <v>1</v>
      </c>
      <c r="C471" s="694" t="s">
        <v>12552</v>
      </c>
      <c r="D471" s="1888"/>
      <c r="E471" s="1580">
        <f>E473*15%</f>
        <v>33</v>
      </c>
      <c r="F471" s="1581">
        <f t="shared" si="499"/>
        <v>33</v>
      </c>
      <c r="G471" s="1774"/>
      <c r="H471" s="1774"/>
      <c r="I471" s="1774"/>
      <c r="J471" s="1181"/>
      <c r="K471" s="684">
        <f t="shared" si="453"/>
        <v>1</v>
      </c>
      <c r="L471" s="708">
        <v>1</v>
      </c>
      <c r="M471" s="709">
        <f t="shared" si="467"/>
        <v>1</v>
      </c>
      <c r="N471" s="362" t="str">
        <f t="shared" si="483"/>
        <v/>
      </c>
      <c r="O471" s="1763" t="str">
        <f t="shared" si="484"/>
        <v/>
      </c>
      <c r="P471" s="1764" t="str">
        <f t="shared" si="485"/>
        <v/>
      </c>
      <c r="Q471" s="120" t="str">
        <f t="shared" si="486"/>
        <v/>
      </c>
      <c r="R471" s="1765"/>
    </row>
    <row r="472" spans="1:18" s="1237" customFormat="1" ht="18" customHeight="1">
      <c r="A472" s="1767"/>
      <c r="B472" s="1773">
        <v>1</v>
      </c>
      <c r="C472" s="694" t="s">
        <v>12559</v>
      </c>
      <c r="D472" s="1888"/>
      <c r="E472" s="1999">
        <f>E473*20%</f>
        <v>44</v>
      </c>
      <c r="F472" s="1581">
        <f t="shared" si="499"/>
        <v>44</v>
      </c>
      <c r="G472" s="1774"/>
      <c r="H472" s="1774"/>
      <c r="I472" s="1774"/>
      <c r="J472" s="1181"/>
      <c r="K472" s="684">
        <f t="shared" si="453"/>
        <v>1</v>
      </c>
      <c r="L472" s="708">
        <v>1</v>
      </c>
      <c r="M472" s="709">
        <f t="shared" si="467"/>
        <v>1</v>
      </c>
      <c r="N472" s="362" t="str">
        <f t="shared" si="483"/>
        <v/>
      </c>
      <c r="O472" s="1763" t="str">
        <f t="shared" si="484"/>
        <v/>
      </c>
      <c r="P472" s="1764" t="str">
        <f t="shared" si="485"/>
        <v/>
      </c>
      <c r="Q472" s="120" t="str">
        <f t="shared" si="486"/>
        <v/>
      </c>
      <c r="R472" s="1765"/>
    </row>
    <row r="473" spans="1:18" s="1237" customFormat="1" ht="18" customHeight="1">
      <c r="A473" s="1767"/>
      <c r="B473" s="1773">
        <v>1</v>
      </c>
      <c r="C473" s="694" t="s">
        <v>12523</v>
      </c>
      <c r="D473" s="1888"/>
      <c r="E473" s="1999">
        <v>220</v>
      </c>
      <c r="F473" s="1581">
        <f t="shared" si="499"/>
        <v>220</v>
      </c>
      <c r="G473" s="1774"/>
      <c r="H473" s="1774"/>
      <c r="I473" s="1774"/>
      <c r="J473" s="1181"/>
      <c r="K473" s="684">
        <f t="shared" si="453"/>
        <v>1</v>
      </c>
      <c r="L473" s="708">
        <v>1</v>
      </c>
      <c r="M473" s="709">
        <f t="shared" si="467"/>
        <v>1</v>
      </c>
      <c r="N473" s="362" t="str">
        <f t="shared" si="483"/>
        <v/>
      </c>
      <c r="O473" s="1763" t="str">
        <f t="shared" si="484"/>
        <v/>
      </c>
      <c r="P473" s="1764" t="str">
        <f t="shared" si="485"/>
        <v/>
      </c>
      <c r="Q473" s="120" t="str">
        <f t="shared" si="486"/>
        <v/>
      </c>
      <c r="R473" s="1765"/>
    </row>
    <row r="474" spans="1:18" s="120" customFormat="1" ht="13.8" thickBot="1">
      <c r="A474" s="910"/>
      <c r="B474" s="1953"/>
      <c r="C474" s="1797"/>
      <c r="D474" s="1889"/>
      <c r="E474" s="1981"/>
      <c r="F474" s="1981"/>
      <c r="G474" s="710"/>
      <c r="H474" s="1798"/>
      <c r="I474" s="1798"/>
      <c r="J474" s="1799"/>
      <c r="K474" s="1788"/>
      <c r="L474" s="363"/>
      <c r="M474" s="684"/>
      <c r="N474" s="362" t="str">
        <f t="shared" si="483"/>
        <v/>
      </c>
      <c r="O474" s="1763" t="str">
        <f t="shared" si="484"/>
        <v/>
      </c>
      <c r="P474" s="1764" t="str">
        <f t="shared" si="485"/>
        <v/>
      </c>
      <c r="Q474" s="120" t="str">
        <f t="shared" si="486"/>
        <v/>
      </c>
      <c r="R474" s="185"/>
    </row>
    <row r="475" spans="1:18" s="120" customFormat="1" ht="18" customHeight="1" thickBot="1">
      <c r="A475" s="1989">
        <v>8</v>
      </c>
      <c r="B475" s="1852">
        <v>1</v>
      </c>
      <c r="C475" s="1756" t="s">
        <v>12573</v>
      </c>
      <c r="D475" s="1588"/>
      <c r="E475" s="1589"/>
      <c r="F475" s="1589"/>
      <c r="G475" s="1757">
        <f>SUM(F476:F535)</f>
        <v>2293.3850000000002</v>
      </c>
      <c r="H475" s="1758">
        <f>G475*(1-$D$6)</f>
        <v>2293.3850000000002</v>
      </c>
      <c r="I475" s="1757">
        <f>ROUNDUP(H475*$D$5,0)</f>
        <v>7798</v>
      </c>
      <c r="J475" s="1759">
        <f>+I475*B475</f>
        <v>7798</v>
      </c>
      <c r="K475" s="1788">
        <f>B475</f>
        <v>1</v>
      </c>
      <c r="L475" s="363"/>
      <c r="M475" s="684"/>
      <c r="N475" s="362" t="str">
        <f t="shared" si="483"/>
        <v/>
      </c>
      <c r="O475" s="1763" t="str">
        <f t="shared" si="484"/>
        <v/>
      </c>
      <c r="P475" s="1764" t="str">
        <f t="shared" si="485"/>
        <v/>
      </c>
      <c r="Q475" s="120" t="str">
        <f t="shared" si="486"/>
        <v/>
      </c>
      <c r="R475" s="185"/>
    </row>
    <row r="476" spans="1:18" s="120" customFormat="1" ht="15" customHeight="1">
      <c r="A476" s="685" t="s">
        <v>3064</v>
      </c>
      <c r="B476" s="1779"/>
      <c r="C476" s="1954"/>
      <c r="D476" s="1955"/>
      <c r="E476" s="1789"/>
      <c r="F476" s="1789"/>
      <c r="G476" s="686"/>
      <c r="H476" s="686"/>
      <c r="I476" s="686"/>
      <c r="J476" s="1768"/>
      <c r="K476" s="684">
        <f>K475</f>
        <v>1</v>
      </c>
      <c r="L476" s="363">
        <v>1</v>
      </c>
      <c r="M476" s="684">
        <f>IF(B476="",1,B476)</f>
        <v>1</v>
      </c>
      <c r="N476" s="362" t="str">
        <f t="shared" si="483"/>
        <v/>
      </c>
      <c r="O476" s="1763" t="str">
        <f t="shared" si="484"/>
        <v/>
      </c>
      <c r="P476" s="1764" t="str">
        <f t="shared" si="485"/>
        <v/>
      </c>
      <c r="Q476" s="120" t="str">
        <f t="shared" si="486"/>
        <v/>
      </c>
    </row>
    <row r="477" spans="1:18" s="315" customFormat="1">
      <c r="A477" s="687" t="s">
        <v>4021</v>
      </c>
      <c r="B477" s="2096">
        <v>1</v>
      </c>
      <c r="C477" s="1907" t="s">
        <v>5103</v>
      </c>
      <c r="D477" s="1935"/>
      <c r="E477" s="1786"/>
      <c r="F477" s="1908">
        <f>SUM(F479:F483)*(B477-1)</f>
        <v>0</v>
      </c>
      <c r="G477" s="712"/>
      <c r="H477" s="712"/>
      <c r="I477" s="712"/>
      <c r="J477" s="713"/>
      <c r="K477" s="684">
        <f t="shared" ref="K477:K480" si="500">+K476</f>
        <v>1</v>
      </c>
      <c r="L477" s="1909">
        <f>B477</f>
        <v>1</v>
      </c>
      <c r="M477" s="684">
        <f t="shared" ref="M477:M485" si="501">IF(B477="",1,B477)</f>
        <v>1</v>
      </c>
      <c r="N477" s="362" t="str">
        <f t="shared" si="483"/>
        <v/>
      </c>
      <c r="O477" s="1763" t="str">
        <f t="shared" si="484"/>
        <v/>
      </c>
      <c r="P477" s="1764" t="str">
        <f t="shared" si="485"/>
        <v/>
      </c>
      <c r="Q477" s="120" t="str">
        <f t="shared" si="486"/>
        <v/>
      </c>
    </row>
    <row r="478" spans="1:18" s="185" customFormat="1">
      <c r="A478" s="687" t="s">
        <v>4136</v>
      </c>
      <c r="B478" s="1910">
        <v>3</v>
      </c>
      <c r="C478" s="1911" t="str">
        <f>VLOOKUP(D478,base_datos,6,FALSE)</f>
        <v>Portalámpara + lampara tipo LED - color Rojo - alimentacion: 220-230Vac, d=22mm. - CL2-523R - línea compacta - marca ABB.</v>
      </c>
      <c r="D478" s="1790" t="s">
        <v>2439</v>
      </c>
      <c r="E478" s="1939">
        <f>VLOOKUP(D478,base_datos,5,FALSE)</f>
        <v>12.299999999999999</v>
      </c>
      <c r="F478" s="1912">
        <f>+E478*B478</f>
        <v>36.9</v>
      </c>
      <c r="G478" s="710"/>
      <c r="H478" s="710"/>
      <c r="I478" s="710"/>
      <c r="J478" s="711"/>
      <c r="K478" s="684">
        <f>+K476</f>
        <v>1</v>
      </c>
      <c r="L478" s="1913">
        <f>L476</f>
        <v>1</v>
      </c>
      <c r="M478" s="684">
        <f t="shared" si="501"/>
        <v>3</v>
      </c>
      <c r="N478" s="362">
        <f t="shared" si="483"/>
        <v>3</v>
      </c>
      <c r="O478" s="1763" t="str">
        <f t="shared" si="484"/>
        <v>1SFA619403R5231</v>
      </c>
      <c r="P478" s="1764" t="str">
        <f t="shared" si="485"/>
        <v>Portalámpara + lampara tipo LED - color Rojo - alimentacion: 220-230Vac, d=22mm. - CL2-523R - línea compacta - marca ABB.</v>
      </c>
      <c r="Q478" s="120" t="str">
        <f t="shared" si="486"/>
        <v>LAMP_ROJO_220V</v>
      </c>
    </row>
    <row r="479" spans="1:18" s="185" customFormat="1">
      <c r="A479" s="687"/>
      <c r="B479" s="1910">
        <v>3</v>
      </c>
      <c r="C479" s="1911" t="str">
        <f>VLOOKUP(D479,base_datos,6,FALSE)</f>
        <v>Portalámpara + lampara tipo LED - color Verde - alimentacion: 220-230Vac, d=22mm. - CL2-523G - línea compacta - marca ABB.</v>
      </c>
      <c r="D479" s="1790" t="s">
        <v>2440</v>
      </c>
      <c r="E479" s="1939">
        <f>VLOOKUP(D479,base_datos,5,FALSE)</f>
        <v>12.299999999999999</v>
      </c>
      <c r="F479" s="1912">
        <f>+E479*B479</f>
        <v>36.9</v>
      </c>
      <c r="G479" s="710"/>
      <c r="H479" s="710"/>
      <c r="I479" s="710"/>
      <c r="J479" s="711"/>
      <c r="K479" s="684">
        <f>+K477</f>
        <v>1</v>
      </c>
      <c r="L479" s="1913">
        <f>L477</f>
        <v>1</v>
      </c>
      <c r="M479" s="684">
        <f t="shared" si="501"/>
        <v>3</v>
      </c>
      <c r="N479" s="362">
        <f t="shared" si="483"/>
        <v>3</v>
      </c>
      <c r="O479" s="1763" t="str">
        <f t="shared" si="484"/>
        <v>1SFA619403R5232</v>
      </c>
      <c r="P479" s="1764" t="str">
        <f t="shared" si="485"/>
        <v>Portalámpara + lampara tipo LED - color Verde - alimentacion: 220-230Vac, d=22mm. - CL2-523G - línea compacta - marca ABB.</v>
      </c>
      <c r="Q479" s="120" t="str">
        <f t="shared" si="486"/>
        <v>LAMP_VERDE_220V</v>
      </c>
    </row>
    <row r="480" spans="1:18" s="1921" customFormat="1">
      <c r="A480" s="687" t="s">
        <v>12356</v>
      </c>
      <c r="B480" s="1914">
        <v>1</v>
      </c>
      <c r="C480" s="1915" t="s">
        <v>3366</v>
      </c>
      <c r="D480" s="1916"/>
      <c r="E480" s="1917"/>
      <c r="F480" s="1918"/>
      <c r="G480" s="1919"/>
      <c r="H480" s="1919"/>
      <c r="I480" s="1919"/>
      <c r="J480" s="1920"/>
      <c r="K480" s="684">
        <f t="shared" si="500"/>
        <v>1</v>
      </c>
      <c r="L480" s="1913">
        <f>L479</f>
        <v>1</v>
      </c>
      <c r="M480" s="684">
        <f t="shared" si="501"/>
        <v>1</v>
      </c>
      <c r="N480" s="362" t="str">
        <f t="shared" si="483"/>
        <v/>
      </c>
      <c r="O480" s="1763" t="str">
        <f t="shared" si="484"/>
        <v/>
      </c>
      <c r="P480" s="1764" t="str">
        <f t="shared" si="485"/>
        <v/>
      </c>
      <c r="Q480" s="120" t="str">
        <f t="shared" si="486"/>
        <v/>
      </c>
    </row>
    <row r="481" spans="1:19" s="320" customFormat="1">
      <c r="A481" s="687" t="s">
        <v>13033</v>
      </c>
      <c r="B481" s="1922">
        <v>1</v>
      </c>
      <c r="C481" s="721" t="str">
        <f>VLOOKUP(D481,base_datos,6,FALSE)</f>
        <v>Rele auxiliar enchufable +4NA/NC (D2PR4B + base D2PA6), 220Vac - marca EATON.</v>
      </c>
      <c r="D481" s="1579" t="s">
        <v>772</v>
      </c>
      <c r="E481" s="1581">
        <f>VLOOKUP(D481,base_datos,5,FALSE)</f>
        <v>27</v>
      </c>
      <c r="F481" s="1923">
        <f>+E481*B481</f>
        <v>27</v>
      </c>
      <c r="G481" s="1924"/>
      <c r="H481" s="1924"/>
      <c r="I481" s="1924"/>
      <c r="J481" s="722"/>
      <c r="K481" s="684">
        <f>+K478</f>
        <v>1</v>
      </c>
      <c r="L481" s="1913">
        <f>L478</f>
        <v>1</v>
      </c>
      <c r="M481" s="684">
        <f t="shared" si="501"/>
        <v>1</v>
      </c>
      <c r="N481" s="362">
        <f t="shared" si="483"/>
        <v>1</v>
      </c>
      <c r="O481" s="1763" t="str">
        <f t="shared" si="484"/>
        <v>D2PR4B+D2PA6</v>
      </c>
      <c r="P481" s="1764" t="str">
        <f t="shared" si="485"/>
        <v>Rele auxiliar enchufable +4NA/NC (D2PR4B + base D2PA6), 220Vac - marca EATON.</v>
      </c>
      <c r="Q481" s="120" t="str">
        <f t="shared" si="486"/>
        <v>D2PR4B+D2PA6</v>
      </c>
    </row>
    <row r="482" spans="1:19" s="320" customFormat="1">
      <c r="A482" s="1767"/>
      <c r="B482" s="2131">
        <v>1</v>
      </c>
      <c r="C482" s="2132" t="s">
        <v>12558</v>
      </c>
      <c r="D482" s="2133"/>
      <c r="E482" s="2134">
        <v>32</v>
      </c>
      <c r="F482" s="2134">
        <f>+E482*B482</f>
        <v>32</v>
      </c>
      <c r="G482" s="1924"/>
      <c r="H482" s="1924"/>
      <c r="I482" s="1924"/>
      <c r="J482" s="722"/>
      <c r="K482" s="684">
        <f>+K479</f>
        <v>1</v>
      </c>
      <c r="L482" s="1913">
        <f>L479</f>
        <v>1</v>
      </c>
      <c r="M482" s="684">
        <f t="shared" si="501"/>
        <v>1</v>
      </c>
      <c r="N482" s="362" t="str">
        <f t="shared" si="483"/>
        <v/>
      </c>
      <c r="O482" s="1763" t="str">
        <f t="shared" si="484"/>
        <v/>
      </c>
      <c r="P482" s="1764" t="str">
        <f t="shared" si="485"/>
        <v/>
      </c>
      <c r="Q482" s="120" t="str">
        <f t="shared" si="486"/>
        <v/>
      </c>
    </row>
    <row r="483" spans="1:19" s="320" customFormat="1">
      <c r="A483" s="687" t="s">
        <v>12551</v>
      </c>
      <c r="B483" s="1922">
        <v>4</v>
      </c>
      <c r="C483" s="721" t="str">
        <f>VLOOKUP(D483,base_datos,6,FALSE)</f>
        <v>Base portafusibles + Fusibles de protección para control.</v>
      </c>
      <c r="D483" s="1579" t="s">
        <v>453</v>
      </c>
      <c r="E483" s="1581">
        <f>VLOOKUP(D483,base_datos,5,FALSE)</f>
        <v>8.1750000000000007</v>
      </c>
      <c r="F483" s="1923">
        <f>+E483*B483</f>
        <v>32.700000000000003</v>
      </c>
      <c r="G483" s="1924"/>
      <c r="H483" s="1924"/>
      <c r="I483" s="1924"/>
      <c r="J483" s="722"/>
      <c r="K483" s="684">
        <f t="shared" ref="K483:K533" si="502">+K480</f>
        <v>1</v>
      </c>
      <c r="L483" s="1913">
        <f>L480</f>
        <v>1</v>
      </c>
      <c r="M483" s="684">
        <f t="shared" si="501"/>
        <v>4</v>
      </c>
      <c r="N483" s="362" t="str">
        <f t="shared" si="483"/>
        <v/>
      </c>
      <c r="O483" s="1763" t="str">
        <f t="shared" si="484"/>
        <v/>
      </c>
      <c r="P483" s="1764" t="str">
        <f t="shared" si="485"/>
        <v/>
      </c>
      <c r="Q483" s="120" t="str">
        <f t="shared" si="486"/>
        <v/>
      </c>
    </row>
    <row r="484" spans="1:19" s="315" customFormat="1">
      <c r="A484" s="687" t="s">
        <v>3542</v>
      </c>
      <c r="B484" s="1906"/>
      <c r="C484" s="1907"/>
      <c r="D484" s="1935"/>
      <c r="E484" s="1786"/>
      <c r="F484" s="1936"/>
      <c r="G484" s="712"/>
      <c r="H484" s="712"/>
      <c r="I484" s="712"/>
      <c r="J484" s="713"/>
      <c r="K484" s="684">
        <f t="shared" si="502"/>
        <v>1</v>
      </c>
      <c r="L484" s="1909">
        <f>B484</f>
        <v>0</v>
      </c>
      <c r="M484" s="684">
        <f t="shared" si="501"/>
        <v>1</v>
      </c>
      <c r="N484" s="362" t="str">
        <f t="shared" si="483"/>
        <v/>
      </c>
      <c r="O484" s="1763" t="str">
        <f t="shared" si="484"/>
        <v/>
      </c>
      <c r="P484" s="1764" t="str">
        <f t="shared" si="485"/>
        <v/>
      </c>
      <c r="Q484" s="120" t="str">
        <f t="shared" si="486"/>
        <v/>
      </c>
    </row>
    <row r="485" spans="1:19" s="185" customFormat="1">
      <c r="A485" s="687"/>
      <c r="B485" s="1922"/>
      <c r="C485" s="1956" t="s">
        <v>12368</v>
      </c>
      <c r="D485" s="1579"/>
      <c r="E485" s="1957"/>
      <c r="F485" s="1958"/>
      <c r="G485" s="710"/>
      <c r="H485" s="710"/>
      <c r="I485" s="710"/>
      <c r="J485" s="711"/>
      <c r="K485" s="684">
        <f t="shared" si="502"/>
        <v>1</v>
      </c>
      <c r="L485" s="708">
        <v>1</v>
      </c>
      <c r="M485" s="684">
        <f t="shared" si="501"/>
        <v>1</v>
      </c>
      <c r="N485" s="362" t="str">
        <f t="shared" si="483"/>
        <v/>
      </c>
      <c r="O485" s="1763" t="str">
        <f t="shared" si="484"/>
        <v/>
      </c>
      <c r="P485" s="1764" t="str">
        <f t="shared" si="485"/>
        <v/>
      </c>
      <c r="Q485" s="120" t="str">
        <f t="shared" si="486"/>
        <v/>
      </c>
    </row>
    <row r="486" spans="1:19" s="120" customFormat="1" ht="18" customHeight="1">
      <c r="A486" s="1785"/>
      <c r="B486" s="1779">
        <v>6</v>
      </c>
      <c r="C486" s="1420" t="str">
        <f>VLOOKUP(D486,base_datos,6,FALSE)</f>
        <v>Transformador de tensión monofásico 480 / 120 Vac - 20VA.</v>
      </c>
      <c r="D486" s="1898" t="s">
        <v>12391</v>
      </c>
      <c r="E486" s="1581">
        <f>VLOOKUP(D486,base_datos,5,FALSE)</f>
        <v>38.200000000000003</v>
      </c>
      <c r="F486" s="1581">
        <f>+E486*B486</f>
        <v>229.20000000000002</v>
      </c>
      <c r="G486" s="686"/>
      <c r="H486" s="686"/>
      <c r="I486" s="686"/>
      <c r="J486" s="1768"/>
      <c r="K486" s="684">
        <f t="shared" si="502"/>
        <v>1</v>
      </c>
      <c r="L486" s="708">
        <v>1</v>
      </c>
      <c r="M486" s="684">
        <f t="shared" ref="M486:M515" si="503">IF(B486="",1,B486)</f>
        <v>6</v>
      </c>
      <c r="N486" s="362" t="str">
        <f t="shared" si="483"/>
        <v/>
      </c>
      <c r="O486" s="1763" t="str">
        <f t="shared" si="484"/>
        <v/>
      </c>
      <c r="P486" s="1764" t="str">
        <f t="shared" si="485"/>
        <v/>
      </c>
      <c r="Q486" s="120" t="str">
        <f t="shared" si="486"/>
        <v/>
      </c>
      <c r="R486" s="185"/>
    </row>
    <row r="487" spans="1:19" s="185" customFormat="1">
      <c r="A487" s="1785"/>
      <c r="B487" s="1922"/>
      <c r="C487" s="1956" t="s">
        <v>12368</v>
      </c>
      <c r="D487" s="1579"/>
      <c r="E487" s="1957"/>
      <c r="F487" s="1958"/>
      <c r="G487" s="710"/>
      <c r="H487" s="710"/>
      <c r="I487" s="710"/>
      <c r="J487" s="711"/>
      <c r="K487" s="684">
        <f t="shared" si="502"/>
        <v>1</v>
      </c>
      <c r="L487" s="708">
        <v>1</v>
      </c>
      <c r="M487" s="684">
        <f t="shared" si="503"/>
        <v>1</v>
      </c>
      <c r="N487" s="362" t="str">
        <f t="shared" si="483"/>
        <v/>
      </c>
      <c r="O487" s="1763" t="str">
        <f t="shared" si="484"/>
        <v/>
      </c>
      <c r="P487" s="1764" t="str">
        <f t="shared" si="485"/>
        <v/>
      </c>
      <c r="Q487" s="120" t="str">
        <f t="shared" si="486"/>
        <v/>
      </c>
    </row>
    <row r="488" spans="1:19" s="120" customFormat="1">
      <c r="A488" s="687"/>
      <c r="B488" s="1781"/>
      <c r="C488" s="1959" t="s">
        <v>12371</v>
      </c>
      <c r="D488" s="173"/>
      <c r="E488" s="1791"/>
      <c r="F488" s="1782"/>
      <c r="G488" s="686"/>
      <c r="H488" s="686"/>
      <c r="I488" s="686"/>
      <c r="J488" s="688"/>
      <c r="K488" s="684">
        <f t="shared" si="502"/>
        <v>1</v>
      </c>
      <c r="L488" s="363">
        <v>1</v>
      </c>
      <c r="M488" s="684">
        <f t="shared" si="503"/>
        <v>1</v>
      </c>
      <c r="N488" s="362" t="str">
        <f t="shared" si="483"/>
        <v/>
      </c>
      <c r="O488" s="1763" t="str">
        <f t="shared" si="484"/>
        <v/>
      </c>
      <c r="P488" s="1764" t="str">
        <f t="shared" si="485"/>
        <v/>
      </c>
      <c r="Q488" s="120" t="str">
        <f t="shared" si="486"/>
        <v/>
      </c>
      <c r="R488" s="185"/>
    </row>
    <row r="489" spans="1:19" s="690" customFormat="1" ht="18" customHeight="1">
      <c r="A489" s="1767"/>
      <c r="B489" s="2206">
        <v>1</v>
      </c>
      <c r="C489" s="2207" t="s">
        <v>13026</v>
      </c>
      <c r="D489" s="2208"/>
      <c r="E489" s="2209">
        <v>212.15</v>
      </c>
      <c r="F489" s="2210">
        <f t="shared" ref="F489" si="504">+E489*B489</f>
        <v>212.15</v>
      </c>
      <c r="G489" s="1761"/>
      <c r="H489" s="1761"/>
      <c r="I489" s="1761"/>
      <c r="J489" s="1783"/>
      <c r="K489" s="684">
        <f t="shared" ref="K489" si="505">+K487</f>
        <v>1</v>
      </c>
      <c r="L489" s="708">
        <v>1</v>
      </c>
      <c r="M489" s="709">
        <f t="shared" si="503"/>
        <v>1</v>
      </c>
      <c r="N489" s="362" t="str">
        <f t="shared" si="483"/>
        <v/>
      </c>
      <c r="O489" s="1763" t="str">
        <f t="shared" si="484"/>
        <v/>
      </c>
      <c r="P489" s="1764" t="str">
        <f t="shared" si="485"/>
        <v/>
      </c>
      <c r="Q489" s="120" t="str">
        <f t="shared" si="486"/>
        <v/>
      </c>
      <c r="R489" s="185"/>
    </row>
    <row r="490" spans="1:19" s="185" customFormat="1">
      <c r="A490" s="687"/>
      <c r="B490" s="714"/>
      <c r="C490" s="1956" t="s">
        <v>12368</v>
      </c>
      <c r="D490" s="1941"/>
      <c r="E490" s="1786"/>
      <c r="F490" s="1787"/>
      <c r="G490" s="710"/>
      <c r="H490" s="710"/>
      <c r="I490" s="710"/>
      <c r="J490" s="711"/>
      <c r="K490" s="684">
        <f t="shared" si="502"/>
        <v>1</v>
      </c>
      <c r="L490" s="363">
        <v>1</v>
      </c>
      <c r="M490" s="684">
        <f t="shared" si="503"/>
        <v>1</v>
      </c>
      <c r="N490" s="362" t="str">
        <f t="shared" si="483"/>
        <v/>
      </c>
      <c r="O490" s="1763" t="str">
        <f t="shared" si="484"/>
        <v/>
      </c>
      <c r="P490" s="1764" t="str">
        <f t="shared" si="485"/>
        <v/>
      </c>
      <c r="Q490" s="120" t="str">
        <f t="shared" si="486"/>
        <v/>
      </c>
    </row>
    <row r="491" spans="1:19" s="1921" customFormat="1">
      <c r="A491" s="687"/>
      <c r="B491" s="1962">
        <v>1</v>
      </c>
      <c r="C491" s="1963" t="s">
        <v>12370</v>
      </c>
      <c r="D491" s="1941"/>
      <c r="E491" s="1917"/>
      <c r="F491" s="1937"/>
      <c r="G491" s="1919"/>
      <c r="H491" s="1919"/>
      <c r="I491" s="1919"/>
      <c r="J491" s="1920"/>
      <c r="K491" s="684">
        <f t="shared" si="502"/>
        <v>1</v>
      </c>
      <c r="L491" s="708">
        <v>1</v>
      </c>
      <c r="M491" s="684">
        <f t="shared" si="503"/>
        <v>1</v>
      </c>
      <c r="N491" s="362" t="str">
        <f t="shared" si="483"/>
        <v/>
      </c>
      <c r="O491" s="1763" t="str">
        <f t="shared" si="484"/>
        <v/>
      </c>
      <c r="P491" s="1764" t="str">
        <f t="shared" si="485"/>
        <v/>
      </c>
      <c r="Q491" s="120" t="str">
        <f t="shared" si="486"/>
        <v/>
      </c>
    </row>
    <row r="492" spans="1:19" s="897" customFormat="1" ht="18" customHeight="1">
      <c r="A492" s="1767"/>
      <c r="B492" s="1922">
        <v>6</v>
      </c>
      <c r="C492" s="1964" t="str">
        <f t="shared" ref="C492" si="506">VLOOKUP(D492,base_datos,6,FALSE)</f>
        <v>Borne 10mm2.</v>
      </c>
      <c r="D492" s="173" t="s">
        <v>8281</v>
      </c>
      <c r="E492" s="1952">
        <f t="shared" ref="E492" si="507">VLOOKUP(D492,base_datos,5,FALSE)</f>
        <v>5</v>
      </c>
      <c r="F492" s="1580">
        <f>+E492*B492</f>
        <v>30</v>
      </c>
      <c r="G492" s="1772"/>
      <c r="H492" s="1772"/>
      <c r="I492" s="1772"/>
      <c r="J492" s="896"/>
      <c r="K492" s="684">
        <f t="shared" si="502"/>
        <v>1</v>
      </c>
      <c r="L492" s="363">
        <v>1</v>
      </c>
      <c r="M492" s="684">
        <f t="shared" si="503"/>
        <v>6</v>
      </c>
      <c r="N492" s="362" t="str">
        <f t="shared" si="483"/>
        <v/>
      </c>
      <c r="O492" s="1763" t="str">
        <f t="shared" si="484"/>
        <v/>
      </c>
      <c r="P492" s="1764" t="str">
        <f t="shared" si="485"/>
        <v/>
      </c>
      <c r="Q492" s="120" t="str">
        <f t="shared" si="486"/>
        <v/>
      </c>
      <c r="R492" s="690"/>
      <c r="S492" s="690"/>
    </row>
    <row r="493" spans="1:19" s="185" customFormat="1">
      <c r="A493" s="687"/>
      <c r="B493" s="1922"/>
      <c r="C493" s="1956" t="s">
        <v>12368</v>
      </c>
      <c r="D493" s="1579"/>
      <c r="E493" s="1957"/>
      <c r="F493" s="1958"/>
      <c r="G493" s="710"/>
      <c r="H493" s="710"/>
      <c r="I493" s="710"/>
      <c r="J493" s="711"/>
      <c r="K493" s="684">
        <f t="shared" si="502"/>
        <v>1</v>
      </c>
      <c r="L493" s="708">
        <v>1</v>
      </c>
      <c r="M493" s="684">
        <f t="shared" si="503"/>
        <v>1</v>
      </c>
      <c r="N493" s="362" t="str">
        <f t="shared" si="483"/>
        <v/>
      </c>
      <c r="O493" s="1763" t="str">
        <f t="shared" si="484"/>
        <v/>
      </c>
      <c r="P493" s="1764" t="str">
        <f t="shared" si="485"/>
        <v/>
      </c>
      <c r="Q493" s="120" t="str">
        <f t="shared" si="486"/>
        <v/>
      </c>
    </row>
    <row r="494" spans="1:19" s="690" customFormat="1" ht="18" customHeight="1">
      <c r="A494" s="687"/>
      <c r="B494" s="1851"/>
      <c r="C494" s="1894" t="s">
        <v>3377</v>
      </c>
      <c r="D494" s="1582"/>
      <c r="E494" s="1780"/>
      <c r="F494" s="1782"/>
      <c r="G494" s="1761"/>
      <c r="H494" s="1761"/>
      <c r="I494" s="1761"/>
      <c r="J494" s="689"/>
      <c r="K494" s="684">
        <f t="shared" si="502"/>
        <v>1</v>
      </c>
      <c r="L494" s="708">
        <v>1</v>
      </c>
      <c r="M494" s="684">
        <f t="shared" si="503"/>
        <v>1</v>
      </c>
      <c r="N494" s="362" t="str">
        <f t="shared" si="483"/>
        <v/>
      </c>
      <c r="O494" s="1763" t="str">
        <f t="shared" si="484"/>
        <v/>
      </c>
      <c r="P494" s="1764" t="str">
        <f t="shared" si="485"/>
        <v/>
      </c>
      <c r="Q494" s="120" t="str">
        <f t="shared" si="486"/>
        <v/>
      </c>
      <c r="R494" s="185"/>
    </row>
    <row r="495" spans="1:19" s="690" customFormat="1">
      <c r="A495" s="687"/>
      <c r="B495" s="1781">
        <v>2</v>
      </c>
      <c r="C495" s="1420" t="str">
        <f>VLOOKUP(D495,base_datos,6,FALSE)</f>
        <v>ITM Riel-Din 2x20A - S202-C-20A - 10kA@400Vac-IEC60947-2 - marca ABB.</v>
      </c>
      <c r="D495" s="1790" t="s">
        <v>969</v>
      </c>
      <c r="E495" s="1791">
        <f>VLOOKUP(D495,base_datos,5,FALSE)</f>
        <v>17.930000000000003</v>
      </c>
      <c r="F495" s="1782">
        <f>+E495*B495</f>
        <v>35.860000000000007</v>
      </c>
      <c r="G495" s="1761"/>
      <c r="H495" s="1761"/>
      <c r="I495" s="1761"/>
      <c r="J495" s="689"/>
      <c r="K495" s="684">
        <f t="shared" si="502"/>
        <v>1</v>
      </c>
      <c r="L495" s="363">
        <v>1</v>
      </c>
      <c r="M495" s="684">
        <f t="shared" si="503"/>
        <v>2</v>
      </c>
      <c r="N495" s="362">
        <f t="shared" si="483"/>
        <v>2</v>
      </c>
      <c r="O495" s="1763" t="str">
        <f t="shared" si="484"/>
        <v>2CDS252001R0204</v>
      </c>
      <c r="P495" s="1764" t="str">
        <f t="shared" si="485"/>
        <v>ITM Riel-Din 2x20A - S202-C-20A - 10kA@400Vac-IEC60947-2 - marca ABB.</v>
      </c>
      <c r="Q495" s="120" t="str">
        <f t="shared" si="486"/>
        <v>S202-C-20A</v>
      </c>
      <c r="R495" s="185"/>
    </row>
    <row r="496" spans="1:19" s="695" customFormat="1">
      <c r="A496" s="1785"/>
      <c r="B496" s="1967">
        <v>1</v>
      </c>
      <c r="C496" s="1946">
        <v>8</v>
      </c>
      <c r="D496" s="1582"/>
      <c r="E496" s="2000">
        <v>32</v>
      </c>
      <c r="F496" s="1968">
        <f t="shared" ref="F496" si="508">+E496*B496</f>
        <v>32</v>
      </c>
      <c r="G496" s="1969"/>
      <c r="H496" s="1969"/>
      <c r="I496" s="1969"/>
      <c r="J496" s="1970"/>
      <c r="K496" s="684">
        <f t="shared" si="502"/>
        <v>1</v>
      </c>
      <c r="L496" s="363">
        <v>1</v>
      </c>
      <c r="M496" s="684">
        <f t="shared" si="503"/>
        <v>1</v>
      </c>
      <c r="N496" s="362" t="str">
        <f t="shared" si="483"/>
        <v/>
      </c>
      <c r="O496" s="1763" t="str">
        <f t="shared" si="484"/>
        <v/>
      </c>
      <c r="P496" s="1764" t="str">
        <f t="shared" si="485"/>
        <v/>
      </c>
      <c r="Q496" s="120" t="str">
        <f t="shared" si="486"/>
        <v/>
      </c>
    </row>
    <row r="497" spans="1:20" s="185" customFormat="1">
      <c r="A497" s="1785"/>
      <c r="B497" s="714"/>
      <c r="C497" s="1893" t="s">
        <v>729</v>
      </c>
      <c r="D497" s="1941"/>
      <c r="E497" s="1786"/>
      <c r="F497" s="1787"/>
      <c r="G497" s="710"/>
      <c r="H497" s="710"/>
      <c r="I497" s="710"/>
      <c r="J497" s="711"/>
      <c r="K497" s="684">
        <f t="shared" si="502"/>
        <v>1</v>
      </c>
      <c r="L497" s="363">
        <v>1</v>
      </c>
      <c r="M497" s="684">
        <f t="shared" si="503"/>
        <v>1</v>
      </c>
      <c r="N497" s="362" t="str">
        <f t="shared" si="483"/>
        <v/>
      </c>
      <c r="O497" s="1763" t="str">
        <f t="shared" si="484"/>
        <v/>
      </c>
      <c r="P497" s="1764" t="str">
        <f t="shared" si="485"/>
        <v/>
      </c>
      <c r="Q497" s="120" t="str">
        <f t="shared" si="486"/>
        <v/>
      </c>
    </row>
    <row r="498" spans="1:20" s="315" customFormat="1">
      <c r="A498" s="687"/>
      <c r="B498" s="355"/>
      <c r="C498" s="1944" t="s">
        <v>3063</v>
      </c>
      <c r="D498" s="1941"/>
      <c r="E498" s="1786"/>
      <c r="F498" s="1787"/>
      <c r="G498" s="712"/>
      <c r="H498" s="712"/>
      <c r="I498" s="712"/>
      <c r="J498" s="713"/>
      <c r="K498" s="684">
        <f t="shared" si="502"/>
        <v>1</v>
      </c>
      <c r="L498" s="708">
        <v>1</v>
      </c>
      <c r="M498" s="684">
        <f t="shared" si="503"/>
        <v>1</v>
      </c>
      <c r="N498" s="362" t="str">
        <f t="shared" si="483"/>
        <v/>
      </c>
      <c r="O498" s="1763" t="str">
        <f t="shared" si="484"/>
        <v/>
      </c>
      <c r="P498" s="1764" t="str">
        <f t="shared" si="485"/>
        <v/>
      </c>
      <c r="Q498" s="120" t="str">
        <f t="shared" si="486"/>
        <v/>
      </c>
    </row>
    <row r="499" spans="1:20" s="690" customFormat="1" ht="18" customHeight="1">
      <c r="A499" s="1785"/>
      <c r="B499" s="1781">
        <v>1</v>
      </c>
      <c r="C499" s="1420" t="str">
        <f>VLOOKUP(D499,base_datos,6,FALSE)</f>
        <v>ITM Riel-Din 2x20A - S202-C-20A - 10kA@400Vac-IEC60947-2 - marca ABB.</v>
      </c>
      <c r="D499" s="1790" t="s">
        <v>969</v>
      </c>
      <c r="E499" s="1791">
        <f>VLOOKUP(D499,base_datos,5,FALSE)</f>
        <v>17.930000000000003</v>
      </c>
      <c r="F499" s="1782">
        <f>+E499*B499</f>
        <v>17.930000000000003</v>
      </c>
      <c r="G499" s="1761"/>
      <c r="H499" s="1761"/>
      <c r="I499" s="1761"/>
      <c r="J499" s="1783"/>
      <c r="K499" s="684">
        <f t="shared" si="502"/>
        <v>1</v>
      </c>
      <c r="L499" s="708">
        <v>1</v>
      </c>
      <c r="M499" s="684">
        <f t="shared" si="503"/>
        <v>1</v>
      </c>
      <c r="N499" s="362">
        <f t="shared" si="483"/>
        <v>1</v>
      </c>
      <c r="O499" s="1763" t="str">
        <f t="shared" si="484"/>
        <v>2CDS252001R0204</v>
      </c>
      <c r="P499" s="1764" t="str">
        <f t="shared" si="485"/>
        <v>ITM Riel-Din 2x20A - S202-C-20A - 10kA@400Vac-IEC60947-2 - marca ABB.</v>
      </c>
      <c r="Q499" s="120" t="str">
        <f t="shared" si="486"/>
        <v>S202-C-20A</v>
      </c>
      <c r="R499" s="185"/>
    </row>
    <row r="500" spans="1:20" s="690" customFormat="1" ht="18" customHeight="1">
      <c r="A500" s="691"/>
      <c r="B500" s="1781">
        <v>2</v>
      </c>
      <c r="C500" s="1420" t="str">
        <f>VLOOKUP(D500,base_datos,6,FALSE)</f>
        <v>Protector de sobretensiones (Tipo 2) - OVR-T2_40-440_P-QS_1P - Un=230/400V, Uc=440V, Up=1.8kV - I_descarga=40kA - marca ABB.</v>
      </c>
      <c r="D500" s="1901" t="s">
        <v>6448</v>
      </c>
      <c r="E500" s="1791">
        <f>VLOOKUP(D500,base_datos,5,FALSE)</f>
        <v>75.59</v>
      </c>
      <c r="F500" s="1782">
        <f>+E500*B500</f>
        <v>151.18</v>
      </c>
      <c r="G500" s="1761"/>
      <c r="H500" s="1761"/>
      <c r="I500" s="1761"/>
      <c r="J500" s="1783"/>
      <c r="K500" s="684">
        <f t="shared" si="502"/>
        <v>1</v>
      </c>
      <c r="L500" s="708">
        <v>1</v>
      </c>
      <c r="M500" s="684">
        <f t="shared" si="503"/>
        <v>2</v>
      </c>
      <c r="N500" s="362">
        <f t="shared" si="483"/>
        <v>2</v>
      </c>
      <c r="O500" s="1763" t="str">
        <f t="shared" si="484"/>
        <v>2CTB803871R1200</v>
      </c>
      <c r="P500" s="1764" t="str">
        <f t="shared" si="485"/>
        <v>Protector de sobretensiones (Tipo 2) - OVR-T2_40-440_P-QS_1P - Un=230/400V, Uc=440V, Up=1.8kV - I_descarga=40kA - marca ABB.</v>
      </c>
      <c r="Q500" s="120" t="str">
        <f t="shared" si="486"/>
        <v>OVR-T2_40-440_P-QS_1P</v>
      </c>
      <c r="R500" s="185"/>
    </row>
    <row r="501" spans="1:20" s="185" customFormat="1">
      <c r="A501" s="692"/>
      <c r="B501" s="714"/>
      <c r="C501" s="1956" t="s">
        <v>12368</v>
      </c>
      <c r="D501" s="1941"/>
      <c r="E501" s="1786"/>
      <c r="F501" s="1787"/>
      <c r="G501" s="710"/>
      <c r="H501" s="710"/>
      <c r="I501" s="710"/>
      <c r="J501" s="711"/>
      <c r="K501" s="684">
        <f t="shared" si="502"/>
        <v>1</v>
      </c>
      <c r="L501" s="363">
        <v>1</v>
      </c>
      <c r="M501" s="684">
        <f t="shared" si="503"/>
        <v>1</v>
      </c>
      <c r="N501" s="362" t="str">
        <f t="shared" si="483"/>
        <v/>
      </c>
      <c r="O501" s="1763" t="str">
        <f t="shared" si="484"/>
        <v/>
      </c>
      <c r="P501" s="1764" t="str">
        <f t="shared" si="485"/>
        <v/>
      </c>
      <c r="Q501" s="120" t="str">
        <f t="shared" si="486"/>
        <v/>
      </c>
    </row>
    <row r="502" spans="1:20" s="1921" customFormat="1">
      <c r="A502" s="1961"/>
      <c r="B502" s="1962">
        <v>1</v>
      </c>
      <c r="C502" s="1963" t="s">
        <v>12372</v>
      </c>
      <c r="D502" s="1941"/>
      <c r="E502" s="1917"/>
      <c r="F502" s="1937"/>
      <c r="G502" s="1919"/>
      <c r="H502" s="1919"/>
      <c r="I502" s="1919"/>
      <c r="J502" s="1920"/>
      <c r="K502" s="684">
        <f t="shared" si="502"/>
        <v>1</v>
      </c>
      <c r="L502" s="708">
        <v>1</v>
      </c>
      <c r="M502" s="684">
        <f t="shared" si="503"/>
        <v>1</v>
      </c>
      <c r="N502" s="362" t="str">
        <f t="shared" si="483"/>
        <v/>
      </c>
      <c r="O502" s="1763" t="str">
        <f t="shared" si="484"/>
        <v/>
      </c>
      <c r="P502" s="1764" t="str">
        <f t="shared" si="485"/>
        <v/>
      </c>
      <c r="Q502" s="120" t="str">
        <f t="shared" si="486"/>
        <v/>
      </c>
    </row>
    <row r="503" spans="1:20" s="185" customFormat="1">
      <c r="A503" s="1976"/>
      <c r="B503" s="1977">
        <v>4</v>
      </c>
      <c r="C503" s="721" t="str">
        <f>VLOOKUP(D503,base_datos,6,FALSE)</f>
        <v>Borne 10mm2.</v>
      </c>
      <c r="D503" s="173" t="s">
        <v>8281</v>
      </c>
      <c r="E503" s="1978">
        <f t="shared" ref="E503" si="509">VLOOKUP(D503,base_datos,5,FALSE)</f>
        <v>5</v>
      </c>
      <c r="F503" s="1971">
        <f t="shared" ref="F503" si="510">+E503*B503</f>
        <v>20</v>
      </c>
      <c r="G503" s="1965"/>
      <c r="H503" s="1965"/>
      <c r="I503" s="1965"/>
      <c r="J503" s="711"/>
      <c r="K503" s="684">
        <f t="shared" si="502"/>
        <v>1</v>
      </c>
      <c r="L503" s="363">
        <v>1</v>
      </c>
      <c r="M503" s="684">
        <f t="shared" si="503"/>
        <v>4</v>
      </c>
      <c r="N503" s="362" t="str">
        <f t="shared" si="483"/>
        <v/>
      </c>
      <c r="O503" s="1763" t="str">
        <f t="shared" si="484"/>
        <v/>
      </c>
      <c r="P503" s="1764" t="str">
        <f t="shared" si="485"/>
        <v/>
      </c>
      <c r="Q503" s="120" t="str">
        <f t="shared" si="486"/>
        <v/>
      </c>
      <c r="R503" s="690"/>
      <c r="S503" s="1979"/>
      <c r="T503" s="1979"/>
    </row>
    <row r="504" spans="1:20" s="185" customFormat="1">
      <c r="A504" s="1771"/>
      <c r="B504" s="1922"/>
      <c r="C504" s="1956" t="s">
        <v>12368</v>
      </c>
      <c r="D504" s="1579"/>
      <c r="E504" s="1957"/>
      <c r="F504" s="1958"/>
      <c r="G504" s="710"/>
      <c r="H504" s="710"/>
      <c r="I504" s="710"/>
      <c r="J504" s="711"/>
      <c r="K504" s="684">
        <f t="shared" si="502"/>
        <v>1</v>
      </c>
      <c r="L504" s="708">
        <v>1</v>
      </c>
      <c r="M504" s="684">
        <f t="shared" si="503"/>
        <v>1</v>
      </c>
      <c r="N504" s="362" t="str">
        <f t="shared" si="483"/>
        <v/>
      </c>
      <c r="O504" s="1763" t="str">
        <f t="shared" si="484"/>
        <v/>
      </c>
      <c r="P504" s="1764" t="str">
        <f t="shared" si="485"/>
        <v/>
      </c>
      <c r="Q504" s="120" t="str">
        <f t="shared" si="486"/>
        <v/>
      </c>
    </row>
    <row r="505" spans="1:20" s="120" customFormat="1">
      <c r="A505" s="687"/>
      <c r="B505" s="1781"/>
      <c r="C505" s="1959" t="s">
        <v>12373</v>
      </c>
      <c r="D505" s="173"/>
      <c r="E505" s="1791"/>
      <c r="F505" s="1782"/>
      <c r="G505" s="686"/>
      <c r="H505" s="686"/>
      <c r="I505" s="686"/>
      <c r="J505" s="688"/>
      <c r="K505" s="684">
        <f t="shared" si="502"/>
        <v>1</v>
      </c>
      <c r="L505" s="363">
        <v>1</v>
      </c>
      <c r="M505" s="684">
        <f t="shared" si="503"/>
        <v>1</v>
      </c>
      <c r="N505" s="362" t="str">
        <f t="shared" si="483"/>
        <v/>
      </c>
      <c r="O505" s="1763" t="str">
        <f t="shared" si="484"/>
        <v/>
      </c>
      <c r="P505" s="1764" t="str">
        <f t="shared" si="485"/>
        <v/>
      </c>
      <c r="Q505" s="120" t="str">
        <f t="shared" si="486"/>
        <v/>
      </c>
      <c r="R505" s="185"/>
    </row>
    <row r="506" spans="1:20" s="185" customFormat="1">
      <c r="A506" s="687"/>
      <c r="B506" s="714"/>
      <c r="C506" s="1956" t="s">
        <v>12368</v>
      </c>
      <c r="D506" s="173"/>
      <c r="E506" s="1786"/>
      <c r="F506" s="1787"/>
      <c r="G506" s="710"/>
      <c r="H506" s="710"/>
      <c r="I506" s="710"/>
      <c r="J506" s="711"/>
      <c r="K506" s="684">
        <f t="shared" si="502"/>
        <v>1</v>
      </c>
      <c r="L506" s="708">
        <v>1</v>
      </c>
      <c r="M506" s="684">
        <f t="shared" si="503"/>
        <v>1</v>
      </c>
      <c r="N506" s="362" t="str">
        <f t="shared" si="483"/>
        <v/>
      </c>
      <c r="O506" s="1763" t="str">
        <f t="shared" si="484"/>
        <v/>
      </c>
      <c r="P506" s="1764" t="str">
        <f t="shared" si="485"/>
        <v/>
      </c>
      <c r="Q506" s="120" t="str">
        <f t="shared" si="486"/>
        <v/>
      </c>
    </row>
    <row r="507" spans="1:20" s="315" customFormat="1">
      <c r="A507" s="687"/>
      <c r="B507" s="1906">
        <v>1</v>
      </c>
      <c r="C507" s="1907" t="s">
        <v>12369</v>
      </c>
      <c r="D507" s="1935"/>
      <c r="E507" s="1786"/>
      <c r="F507" s="1936">
        <f>SUM(F508:F509)*(B507-1)</f>
        <v>0</v>
      </c>
      <c r="G507" s="712"/>
      <c r="H507" s="712"/>
      <c r="I507" s="712"/>
      <c r="J507" s="713"/>
      <c r="K507" s="684">
        <f t="shared" si="502"/>
        <v>1</v>
      </c>
      <c r="L507" s="1909">
        <f>B507</f>
        <v>1</v>
      </c>
      <c r="M507" s="684">
        <f t="shared" si="503"/>
        <v>1</v>
      </c>
      <c r="N507" s="362" t="str">
        <f t="shared" si="483"/>
        <v/>
      </c>
      <c r="O507" s="1763" t="str">
        <f t="shared" si="484"/>
        <v/>
      </c>
      <c r="P507" s="1764" t="str">
        <f t="shared" si="485"/>
        <v/>
      </c>
      <c r="Q507" s="120" t="str">
        <f t="shared" si="486"/>
        <v/>
      </c>
    </row>
    <row r="508" spans="1:20" s="185" customFormat="1">
      <c r="A508" s="1961"/>
      <c r="B508" s="1910">
        <v>2</v>
      </c>
      <c r="C508" s="1911" t="str">
        <f>VLOOKUP(D508,base_datos,6,FALSE)</f>
        <v>ITM Riel-Din 2x20A - S202-C-20A - 10kA@400Vac-IEC60947-2 - marca ABB.</v>
      </c>
      <c r="D508" s="1790" t="s">
        <v>969</v>
      </c>
      <c r="E508" s="1787">
        <f>VLOOKUP(D508,base_datos,5,FALSE)</f>
        <v>17.930000000000003</v>
      </c>
      <c r="F508" s="1912">
        <f>+E508*B508</f>
        <v>35.860000000000007</v>
      </c>
      <c r="G508" s="710"/>
      <c r="H508" s="710"/>
      <c r="I508" s="710"/>
      <c r="J508" s="711"/>
      <c r="K508" s="684">
        <f t="shared" si="502"/>
        <v>1</v>
      </c>
      <c r="L508" s="1913">
        <f>L507</f>
        <v>1</v>
      </c>
      <c r="M508" s="684">
        <f t="shared" si="503"/>
        <v>2</v>
      </c>
      <c r="N508" s="362">
        <f t="shared" si="483"/>
        <v>2</v>
      </c>
      <c r="O508" s="1763" t="str">
        <f t="shared" si="484"/>
        <v>2CDS252001R0204</v>
      </c>
      <c r="P508" s="1764" t="str">
        <f t="shared" si="485"/>
        <v>ITM Riel-Din 2x20A - S202-C-20A - 10kA@400Vac-IEC60947-2 - marca ABB.</v>
      </c>
      <c r="Q508" s="120" t="str">
        <f t="shared" si="486"/>
        <v>S202-C-20A</v>
      </c>
    </row>
    <row r="509" spans="1:20" s="1921" customFormat="1">
      <c r="A509" s="1771"/>
      <c r="B509" s="1914">
        <v>1</v>
      </c>
      <c r="C509" s="1911" t="str">
        <f>VLOOKUP(D509,base_datos,6,FALSE)</f>
        <v>Bloqueo mecánico para enclavamiento manual entre dos interruptores - Riel-Din.</v>
      </c>
      <c r="D509" s="1790" t="s">
        <v>5954</v>
      </c>
      <c r="E509" s="1787">
        <f>VLOOKUP(D509,base_datos,5,FALSE)</f>
        <v>50</v>
      </c>
      <c r="F509" s="1912">
        <f>+E509*B509</f>
        <v>50</v>
      </c>
      <c r="G509" s="1919"/>
      <c r="H509" s="1919"/>
      <c r="I509" s="1919"/>
      <c r="J509" s="1920"/>
      <c r="K509" s="684">
        <f t="shared" si="502"/>
        <v>1</v>
      </c>
      <c r="L509" s="1913">
        <f>L508</f>
        <v>1</v>
      </c>
      <c r="M509" s="684">
        <f t="shared" si="503"/>
        <v>1</v>
      </c>
      <c r="N509" s="362" t="str">
        <f t="shared" si="483"/>
        <v/>
      </c>
      <c r="O509" s="1763" t="str">
        <f t="shared" si="484"/>
        <v/>
      </c>
      <c r="P509" s="1764" t="str">
        <f t="shared" si="485"/>
        <v/>
      </c>
      <c r="Q509" s="120" t="str">
        <f t="shared" si="486"/>
        <v/>
      </c>
    </row>
    <row r="510" spans="1:20" s="185" customFormat="1">
      <c r="A510" s="687"/>
      <c r="B510" s="714"/>
      <c r="C510" s="1956" t="s">
        <v>12368</v>
      </c>
      <c r="D510" s="173"/>
      <c r="E510" s="1786"/>
      <c r="F510" s="1787"/>
      <c r="G510" s="710"/>
      <c r="H510" s="710"/>
      <c r="I510" s="710"/>
      <c r="J510" s="711"/>
      <c r="K510" s="684">
        <f t="shared" si="502"/>
        <v>1</v>
      </c>
      <c r="L510" s="363">
        <v>1</v>
      </c>
      <c r="M510" s="684">
        <f t="shared" si="503"/>
        <v>1</v>
      </c>
      <c r="N510" s="362" t="str">
        <f t="shared" si="483"/>
        <v/>
      </c>
      <c r="O510" s="1763" t="str">
        <f t="shared" si="484"/>
        <v/>
      </c>
      <c r="P510" s="1764" t="str">
        <f t="shared" si="485"/>
        <v/>
      </c>
      <c r="Q510" s="120" t="str">
        <f t="shared" si="486"/>
        <v/>
      </c>
    </row>
    <row r="511" spans="1:20" s="690" customFormat="1">
      <c r="A511" s="687"/>
      <c r="B511" s="1851"/>
      <c r="C511" s="1966" t="s">
        <v>2654</v>
      </c>
      <c r="D511" s="1582"/>
      <c r="E511" s="1780"/>
      <c r="F511" s="1782"/>
      <c r="G511" s="1761"/>
      <c r="H511" s="1761"/>
      <c r="I511" s="1761"/>
      <c r="J511" s="689"/>
      <c r="K511" s="684">
        <f t="shared" si="502"/>
        <v>1</v>
      </c>
      <c r="L511" s="363">
        <v>1</v>
      </c>
      <c r="M511" s="684">
        <f t="shared" si="503"/>
        <v>1</v>
      </c>
      <c r="N511" s="362" t="str">
        <f t="shared" si="483"/>
        <v/>
      </c>
      <c r="O511" s="1763" t="str">
        <f t="shared" si="484"/>
        <v/>
      </c>
      <c r="P511" s="1764" t="str">
        <f t="shared" si="485"/>
        <v/>
      </c>
      <c r="Q511" s="120" t="str">
        <f t="shared" si="486"/>
        <v/>
      </c>
      <c r="R511" s="185"/>
    </row>
    <row r="512" spans="1:20" s="690" customFormat="1">
      <c r="A512" s="687"/>
      <c r="B512" s="1781">
        <v>5</v>
      </c>
      <c r="C512" s="1960" t="str">
        <f>VLOOKUP(D512,base_datos,6,FALSE)</f>
        <v>ITM Riel-Din 2x16A - S202-C-16A - 10kA@400Vac-IEC60947-2 - marca ABB.</v>
      </c>
      <c r="D512" s="1901" t="s">
        <v>970</v>
      </c>
      <c r="E512" s="1791">
        <f>VLOOKUP(D512,base_datos,5,FALSE)</f>
        <v>17.96</v>
      </c>
      <c r="F512" s="1782">
        <f>+E512*B512</f>
        <v>89.800000000000011</v>
      </c>
      <c r="G512" s="1761"/>
      <c r="H512" s="1761"/>
      <c r="I512" s="1761"/>
      <c r="J512" s="689"/>
      <c r="K512" s="684">
        <f t="shared" si="502"/>
        <v>1</v>
      </c>
      <c r="L512" s="363">
        <v>1</v>
      </c>
      <c r="M512" s="684">
        <f t="shared" si="503"/>
        <v>5</v>
      </c>
      <c r="N512" s="362">
        <f t="shared" si="483"/>
        <v>5</v>
      </c>
      <c r="O512" s="1763" t="str">
        <f t="shared" si="484"/>
        <v>2CDS252001R0164</v>
      </c>
      <c r="P512" s="1764" t="str">
        <f t="shared" si="485"/>
        <v>ITM Riel-Din 2x16A - S202-C-16A - 10kA@400Vac-IEC60947-2 - marca ABB.</v>
      </c>
      <c r="Q512" s="120" t="str">
        <f t="shared" si="486"/>
        <v>S202-C-16A</v>
      </c>
      <c r="R512" s="185"/>
    </row>
    <row r="513" spans="1:20" s="690" customFormat="1">
      <c r="A513" s="687"/>
      <c r="B513" s="1781">
        <v>5</v>
      </c>
      <c r="C513" s="1960" t="str">
        <f>VLOOKUP(D513,base_datos,6,FALSE)</f>
        <v>Interruptor Diferencial 2x25A - 30mA - clase A-APR (alta inmunización) - F202-A APR-25A-30mA  - marca ABB.</v>
      </c>
      <c r="D513" s="1901" t="s">
        <v>1135</v>
      </c>
      <c r="E513" s="1791">
        <f>VLOOKUP(D513,base_datos,5,FALSE)</f>
        <v>86.79</v>
      </c>
      <c r="F513" s="1782">
        <f>+E513*B513</f>
        <v>433.95000000000005</v>
      </c>
      <c r="G513" s="1761"/>
      <c r="H513" s="1761"/>
      <c r="I513" s="1761"/>
      <c r="J513" s="689"/>
      <c r="K513" s="684">
        <f t="shared" si="502"/>
        <v>1</v>
      </c>
      <c r="L513" s="363">
        <v>1</v>
      </c>
      <c r="M513" s="684">
        <f t="shared" si="503"/>
        <v>5</v>
      </c>
      <c r="N513" s="362">
        <f t="shared" si="483"/>
        <v>5</v>
      </c>
      <c r="O513" s="1763" t="str">
        <f t="shared" si="484"/>
        <v>2CSF202401R1250</v>
      </c>
      <c r="P513" s="1764" t="str">
        <f t="shared" si="485"/>
        <v>Interruptor Diferencial 2x25A - 30mA - clase A-APR (alta inmunización) - F202-A APR-25A-30mA  - marca ABB.</v>
      </c>
      <c r="Q513" s="120" t="str">
        <f t="shared" si="486"/>
        <v>F202-A APR-25A-30mA</v>
      </c>
      <c r="R513" s="185"/>
    </row>
    <row r="514" spans="1:20" s="690" customFormat="1">
      <c r="A514" s="687"/>
      <c r="B514" s="1781">
        <v>1</v>
      </c>
      <c r="C514" s="1960" t="str">
        <f>VLOOKUP(D514,base_datos,6,FALSE)</f>
        <v>Espacio de reserva monofasica + interruptor diferencial - Riel-Din.</v>
      </c>
      <c r="D514" s="1901" t="s">
        <v>2926</v>
      </c>
      <c r="E514" s="1791">
        <f>VLOOKUP(D514,base_datos,5,FALSE)</f>
        <v>2.5</v>
      </c>
      <c r="F514" s="1782">
        <f>+E514*B514</f>
        <v>2.5</v>
      </c>
      <c r="G514" s="1761"/>
      <c r="H514" s="1761"/>
      <c r="I514" s="1761"/>
      <c r="J514" s="689"/>
      <c r="K514" s="684">
        <f t="shared" si="502"/>
        <v>1</v>
      </c>
      <c r="L514" s="363">
        <v>1</v>
      </c>
      <c r="M514" s="684">
        <f t="shared" si="503"/>
        <v>1</v>
      </c>
      <c r="N514" s="362" t="str">
        <f t="shared" si="483"/>
        <v/>
      </c>
      <c r="O514" s="1763" t="str">
        <f t="shared" si="484"/>
        <v/>
      </c>
      <c r="P514" s="1764" t="str">
        <f t="shared" si="485"/>
        <v/>
      </c>
      <c r="Q514" s="120" t="str">
        <f t="shared" si="486"/>
        <v/>
      </c>
      <c r="R514" s="185"/>
    </row>
    <row r="515" spans="1:20" s="695" customFormat="1">
      <c r="A515" s="687"/>
      <c r="B515" s="1967">
        <v>1</v>
      </c>
      <c r="C515" s="1946">
        <v>12</v>
      </c>
      <c r="D515" s="1582"/>
      <c r="E515" s="2000">
        <v>48</v>
      </c>
      <c r="F515" s="1968">
        <f t="shared" ref="F515" si="511">+E515*B515</f>
        <v>48</v>
      </c>
      <c r="G515" s="1969"/>
      <c r="H515" s="1969"/>
      <c r="I515" s="1969"/>
      <c r="J515" s="1970"/>
      <c r="K515" s="684">
        <f t="shared" si="502"/>
        <v>1</v>
      </c>
      <c r="L515" s="363">
        <v>1</v>
      </c>
      <c r="M515" s="684">
        <f t="shared" si="503"/>
        <v>1</v>
      </c>
      <c r="N515" s="362" t="str">
        <f t="shared" si="483"/>
        <v/>
      </c>
      <c r="O515" s="1763" t="str">
        <f t="shared" si="484"/>
        <v/>
      </c>
      <c r="P515" s="1764" t="str">
        <f t="shared" si="485"/>
        <v/>
      </c>
      <c r="Q515" s="120" t="str">
        <f t="shared" si="486"/>
        <v/>
      </c>
    </row>
    <row r="516" spans="1:20" s="185" customFormat="1" ht="18" customHeight="1">
      <c r="A516" s="1785"/>
      <c r="B516" s="714"/>
      <c r="C516" s="1893" t="s">
        <v>729</v>
      </c>
      <c r="D516" s="173"/>
      <c r="E516" s="1786"/>
      <c r="F516" s="1787"/>
      <c r="G516" s="710"/>
      <c r="H516" s="710"/>
      <c r="I516" s="710"/>
      <c r="J516" s="711"/>
      <c r="K516" s="684">
        <f t="shared" si="502"/>
        <v>1</v>
      </c>
      <c r="L516" s="708">
        <v>1</v>
      </c>
      <c r="M516" s="709">
        <f t="shared" ref="M516:M535" si="512">IF(B516="",1,B516)</f>
        <v>1</v>
      </c>
      <c r="N516" s="362" t="str">
        <f t="shared" si="483"/>
        <v/>
      </c>
      <c r="O516" s="1763" t="str">
        <f t="shared" si="484"/>
        <v/>
      </c>
      <c r="P516" s="1764" t="str">
        <f t="shared" si="485"/>
        <v/>
      </c>
      <c r="Q516" s="120" t="str">
        <f t="shared" si="486"/>
        <v/>
      </c>
    </row>
    <row r="517" spans="1:20" s="315" customFormat="1" ht="12.75" customHeight="1">
      <c r="A517" s="2271"/>
      <c r="B517" s="2272">
        <v>1</v>
      </c>
      <c r="C517" s="2281" t="s">
        <v>13366</v>
      </c>
      <c r="D517" s="1935"/>
      <c r="E517" s="2287"/>
      <c r="F517" s="2257">
        <f>+SUM(F518:F521)*(B517-1)</f>
        <v>0</v>
      </c>
      <c r="G517" s="712"/>
      <c r="H517" s="712"/>
      <c r="I517" s="712"/>
      <c r="J517" s="713"/>
      <c r="K517" s="684">
        <v>1</v>
      </c>
      <c r="L517" s="2258">
        <v>1</v>
      </c>
      <c r="M517" s="120">
        <f t="shared" si="512"/>
        <v>1</v>
      </c>
      <c r="N517" s="112" t="str">
        <f t="shared" si="483"/>
        <v/>
      </c>
      <c r="O517" s="112" t="str">
        <f t="shared" si="484"/>
        <v/>
      </c>
      <c r="P517" s="120" t="str">
        <f t="shared" si="485"/>
        <v/>
      </c>
      <c r="Q517" s="120" t="str">
        <f t="shared" si="486"/>
        <v/>
      </c>
      <c r="S517" s="112" t="str">
        <f t="shared" ref="S517:S522" si="513">IF(O517&lt;&gt;"",VLOOKUP(D517,base_datos,9,FALSE),"")</f>
        <v/>
      </c>
      <c r="T517" s="2128"/>
    </row>
    <row r="518" spans="1:20" s="690" customFormat="1" ht="18" customHeight="1">
      <c r="A518" s="2273"/>
      <c r="B518" s="1781">
        <v>1</v>
      </c>
      <c r="C518" s="1420" t="str">
        <f t="shared" ref="C518:C521" si="514">VLOOKUP(D518,base_datos,6,FALSE)</f>
        <v>Calefactor resistivo 60W, modelo RACM - marca FANDIS.</v>
      </c>
      <c r="D518" s="1899" t="s">
        <v>3298</v>
      </c>
      <c r="E518" s="2288">
        <f t="shared" ref="E518" si="515">VLOOKUP(D518,base_datos,5,FALSE)</f>
        <v>127.1</v>
      </c>
      <c r="F518" s="1782">
        <f>+E518*B518</f>
        <v>127.1</v>
      </c>
      <c r="G518" s="1761"/>
      <c r="H518" s="1761"/>
      <c r="I518" s="1761"/>
      <c r="J518" s="689"/>
      <c r="K518" s="684">
        <v>1</v>
      </c>
      <c r="L518" s="2258">
        <v>1</v>
      </c>
      <c r="M518" s="120">
        <f t="shared" si="512"/>
        <v>1</v>
      </c>
      <c r="N518" s="112">
        <f t="shared" si="483"/>
        <v>1</v>
      </c>
      <c r="O518" s="112" t="str">
        <f t="shared" si="484"/>
        <v>RACM-60</v>
      </c>
      <c r="P518" s="120" t="str">
        <f t="shared" si="485"/>
        <v>Calefactor resistivo 60W, modelo RACM - marca FANDIS.</v>
      </c>
      <c r="Q518" s="120" t="str">
        <f t="shared" si="486"/>
        <v>CALEFACT-60W_FAND</v>
      </c>
      <c r="S518" s="112" t="str">
        <f t="shared" si="513"/>
        <v>FANDIS</v>
      </c>
      <c r="T518" s="1765"/>
    </row>
    <row r="519" spans="1:20" s="690" customFormat="1" ht="18" customHeight="1">
      <c r="A519" s="2273"/>
      <c r="B519" s="1781">
        <v>1</v>
      </c>
      <c r="C519" s="1420" t="str">
        <f t="shared" si="514"/>
        <v>Termostato para ventilación - 1NA - 230V - marca FANDIS.</v>
      </c>
      <c r="D519" s="1899" t="s">
        <v>3294</v>
      </c>
      <c r="E519" s="2288">
        <f t="shared" ref="E519:E521" si="516">VLOOKUP(D519,base_datos,5,FALSE)</f>
        <v>41.58</v>
      </c>
      <c r="F519" s="1782">
        <f>+E519*B519</f>
        <v>41.58</v>
      </c>
      <c r="G519" s="1761"/>
      <c r="H519" s="1761"/>
      <c r="I519" s="1761"/>
      <c r="J519" s="689"/>
      <c r="K519" s="684">
        <v>1</v>
      </c>
      <c r="L519" s="2258">
        <v>1</v>
      </c>
      <c r="M519" s="120">
        <f t="shared" si="512"/>
        <v>1</v>
      </c>
      <c r="N519" s="112">
        <f t="shared" si="483"/>
        <v>1</v>
      </c>
      <c r="O519" s="112" t="str">
        <f t="shared" si="484"/>
        <v>TRT-10A230V-NO</v>
      </c>
      <c r="P519" s="120" t="str">
        <f t="shared" si="485"/>
        <v>Termostato para ventilación - 1NA - 230V - marca FANDIS.</v>
      </c>
      <c r="Q519" s="120" t="str">
        <f t="shared" si="486"/>
        <v>TRT-1NA</v>
      </c>
      <c r="S519" s="112" t="str">
        <f t="shared" si="513"/>
        <v>FANDIS</v>
      </c>
      <c r="T519" s="1765"/>
    </row>
    <row r="520" spans="1:20" s="320" customFormat="1" ht="12.75" customHeight="1">
      <c r="A520" s="2274"/>
      <c r="B520" s="2275">
        <v>1</v>
      </c>
      <c r="C520" s="2282" t="str">
        <f t="shared" si="514"/>
        <v>Base portafusibles + Fusibles de protección para control.</v>
      </c>
      <c r="D520" s="1579" t="s">
        <v>453</v>
      </c>
      <c r="E520" s="2289">
        <f t="shared" si="516"/>
        <v>8.1750000000000007</v>
      </c>
      <c r="F520" s="2264">
        <f>+E520*B520</f>
        <v>8.1750000000000007</v>
      </c>
      <c r="G520" s="2276"/>
      <c r="H520" s="2276"/>
      <c r="I520" s="2276"/>
      <c r="J520" s="722"/>
      <c r="K520" s="684">
        <v>1</v>
      </c>
      <c r="L520" s="2258">
        <v>1</v>
      </c>
      <c r="M520" s="120">
        <f t="shared" si="512"/>
        <v>1</v>
      </c>
      <c r="N520" s="112" t="str">
        <f t="shared" si="483"/>
        <v/>
      </c>
      <c r="O520" s="112" t="str">
        <f t="shared" si="484"/>
        <v/>
      </c>
      <c r="P520" s="120" t="str">
        <f t="shared" si="485"/>
        <v/>
      </c>
      <c r="Q520" s="120" t="str">
        <f t="shared" si="486"/>
        <v/>
      </c>
      <c r="R520" s="185"/>
      <c r="S520" s="112" t="str">
        <f t="shared" si="513"/>
        <v/>
      </c>
      <c r="T520" s="709"/>
    </row>
    <row r="521" spans="1:20" s="320" customFormat="1" ht="12.75" customHeight="1">
      <c r="A521" s="2274"/>
      <c r="B521" s="2277">
        <v>1</v>
      </c>
      <c r="C521" s="2282" t="str">
        <f t="shared" si="514"/>
        <v>Borne 4mm2.</v>
      </c>
      <c r="D521" s="1579" t="s">
        <v>437</v>
      </c>
      <c r="E521" s="2260">
        <f t="shared" si="516"/>
        <v>2.5</v>
      </c>
      <c r="F521" s="2260">
        <f>+E521*B521</f>
        <v>2.5</v>
      </c>
      <c r="G521" s="2276"/>
      <c r="H521" s="2276"/>
      <c r="I521" s="2276"/>
      <c r="J521" s="722"/>
      <c r="K521" s="684">
        <v>1</v>
      </c>
      <c r="L521" s="2258">
        <v>1</v>
      </c>
      <c r="M521" s="120">
        <f t="shared" si="512"/>
        <v>1</v>
      </c>
      <c r="N521" s="112" t="str">
        <f t="shared" si="483"/>
        <v/>
      </c>
      <c r="O521" s="112" t="str">
        <f t="shared" si="484"/>
        <v/>
      </c>
      <c r="P521" s="120" t="str">
        <f t="shared" si="485"/>
        <v/>
      </c>
      <c r="Q521" s="120" t="str">
        <f t="shared" si="486"/>
        <v/>
      </c>
      <c r="R521" s="185"/>
      <c r="S521" s="112" t="str">
        <f t="shared" si="513"/>
        <v/>
      </c>
      <c r="T521" s="709"/>
    </row>
    <row r="522" spans="1:20" s="185" customFormat="1" ht="12.75" customHeight="1">
      <c r="A522" s="2262"/>
      <c r="B522" s="1760"/>
      <c r="C522" s="1893" t="s">
        <v>729</v>
      </c>
      <c r="D522" s="169"/>
      <c r="E522" s="2256"/>
      <c r="F522" s="2278"/>
      <c r="G522" s="710"/>
      <c r="H522" s="710"/>
      <c r="I522" s="710"/>
      <c r="J522" s="711"/>
      <c r="K522" s="684">
        <v>1</v>
      </c>
      <c r="L522" s="2258">
        <v>1</v>
      </c>
      <c r="M522" s="120">
        <f t="shared" si="512"/>
        <v>1</v>
      </c>
      <c r="N522" s="112" t="str">
        <f t="shared" si="483"/>
        <v/>
      </c>
      <c r="O522" s="112" t="str">
        <f t="shared" si="484"/>
        <v/>
      </c>
      <c r="P522" s="120" t="str">
        <f t="shared" si="485"/>
        <v/>
      </c>
      <c r="Q522" s="120" t="str">
        <f t="shared" si="486"/>
        <v/>
      </c>
      <c r="S522" s="112" t="str">
        <f t="shared" si="513"/>
        <v/>
      </c>
      <c r="T522" s="118"/>
    </row>
    <row r="523" spans="1:20" s="1236" customFormat="1" ht="18" customHeight="1">
      <c r="A523" s="1767"/>
      <c r="B523" s="1853">
        <v>1</v>
      </c>
      <c r="C523" s="1895" t="s">
        <v>12364</v>
      </c>
      <c r="D523" s="1902"/>
      <c r="E523" s="1792"/>
      <c r="F523" s="1793"/>
      <c r="G523" s="1784"/>
      <c r="H523" s="1784"/>
      <c r="I523" s="1784"/>
      <c r="J523" s="1182"/>
      <c r="K523" s="684">
        <f>+K514</f>
        <v>1</v>
      </c>
      <c r="L523" s="708">
        <v>1</v>
      </c>
      <c r="M523" s="709">
        <f t="shared" si="512"/>
        <v>1</v>
      </c>
      <c r="N523" s="362" t="str">
        <f t="shared" si="483"/>
        <v/>
      </c>
      <c r="O523" s="1763" t="str">
        <f t="shared" si="484"/>
        <v/>
      </c>
      <c r="P523" s="1764" t="str">
        <f t="shared" si="485"/>
        <v/>
      </c>
      <c r="Q523" s="120" t="str">
        <f t="shared" si="486"/>
        <v/>
      </c>
      <c r="R523" s="185"/>
    </row>
    <row r="524" spans="1:20" s="695" customFormat="1" ht="18" customHeight="1">
      <c r="A524" s="693"/>
      <c r="B524" s="1922">
        <v>1</v>
      </c>
      <c r="C524" s="1848" t="str">
        <f t="shared" ref="C524" si="517">VLOOKUP(D524,base_datos,6,FALSE)</f>
        <v>Placa lamicoid rotulación de 3mm de espesor, fondo negro y letras blancas.</v>
      </c>
      <c r="D524" s="1886" t="s">
        <v>8570</v>
      </c>
      <c r="E524" s="1795">
        <f t="shared" ref="E524" si="518">VLOOKUP(D524,base_datos,5,FALSE)</f>
        <v>2.2000000000000002</v>
      </c>
      <c r="F524" s="1796">
        <f t="shared" ref="F524" si="519">+E524*B524</f>
        <v>2.2000000000000002</v>
      </c>
      <c r="G524" s="696"/>
      <c r="H524" s="696"/>
      <c r="I524" s="696"/>
      <c r="J524" s="697"/>
      <c r="K524" s="684">
        <f>+K515</f>
        <v>1</v>
      </c>
      <c r="L524" s="708">
        <v>1</v>
      </c>
      <c r="M524" s="709">
        <f t="shared" si="512"/>
        <v>1</v>
      </c>
      <c r="N524" s="362">
        <f t="shared" si="483"/>
        <v>1</v>
      </c>
      <c r="O524" s="1763" t="str">
        <f t="shared" si="484"/>
        <v>Placa lamicoid p/distr.</v>
      </c>
      <c r="P524" s="1764" t="str">
        <f t="shared" si="485"/>
        <v>Placa lamicoid rotulación de 3mm de espesor, fondo negro y letras blancas.</v>
      </c>
      <c r="Q524" s="120" t="str">
        <f t="shared" si="486"/>
        <v>Placa lamicoid p/distr.</v>
      </c>
      <c r="R524" s="185"/>
    </row>
    <row r="525" spans="1:20" s="1236" customFormat="1" ht="18" customHeight="1">
      <c r="A525" s="1767"/>
      <c r="B525" s="1853">
        <v>1</v>
      </c>
      <c r="C525" s="1895" t="s">
        <v>12474</v>
      </c>
      <c r="D525" s="1902"/>
      <c r="E525" s="1792"/>
      <c r="F525" s="1793"/>
      <c r="G525" s="1784"/>
      <c r="H525" s="1784"/>
      <c r="I525" s="1784"/>
      <c r="J525" s="1182"/>
      <c r="K525" s="684">
        <f>+K516</f>
        <v>1</v>
      </c>
      <c r="L525" s="708">
        <v>1</v>
      </c>
      <c r="M525" s="709">
        <f t="shared" si="512"/>
        <v>1</v>
      </c>
      <c r="N525" s="362" t="str">
        <f t="shared" si="483"/>
        <v/>
      </c>
      <c r="O525" s="1763" t="str">
        <f t="shared" si="484"/>
        <v/>
      </c>
      <c r="P525" s="1764" t="str">
        <f t="shared" si="485"/>
        <v/>
      </c>
      <c r="Q525" s="120" t="str">
        <f t="shared" si="486"/>
        <v/>
      </c>
      <c r="R525" s="185"/>
    </row>
    <row r="526" spans="1:20" s="1236" customFormat="1" ht="18" customHeight="1">
      <c r="A526" s="1767"/>
      <c r="B526" s="1853">
        <v>1</v>
      </c>
      <c r="C526" s="1848" t="str">
        <f>VLOOKUP(D526,base_datos,6,FALSE)</f>
        <v>Embalaje especial completamente cerrado para tablero adosado de 1600x600x220mm</v>
      </c>
      <c r="D526" s="1902" t="s">
        <v>12453</v>
      </c>
      <c r="E526" s="1795">
        <f t="shared" ref="E526" si="520">VLOOKUP(D526,base_datos,5,FALSE)</f>
        <v>271.40000000000003</v>
      </c>
      <c r="F526" s="1796">
        <f t="shared" ref="F526" si="521">+E526*B526</f>
        <v>271.40000000000003</v>
      </c>
      <c r="G526" s="1784"/>
      <c r="H526" s="1784"/>
      <c r="I526" s="1784"/>
      <c r="J526" s="1182"/>
      <c r="K526" s="684">
        <f t="shared" si="502"/>
        <v>1</v>
      </c>
      <c r="L526" s="708">
        <v>1</v>
      </c>
      <c r="M526" s="709">
        <f t="shared" si="512"/>
        <v>1</v>
      </c>
      <c r="N526" s="362">
        <f t="shared" si="483"/>
        <v>1</v>
      </c>
      <c r="O526" s="1763" t="str">
        <f t="shared" si="484"/>
        <v>EMBAL_ADOS_1600x600x220mm</v>
      </c>
      <c r="P526" s="1764" t="str">
        <f t="shared" si="485"/>
        <v>Embalaje especial completamente cerrado para tablero adosado de 1600x600x220mm</v>
      </c>
      <c r="Q526" s="120" t="str">
        <f t="shared" si="486"/>
        <v>EMBAL_ADOS_1600x600x220mm</v>
      </c>
      <c r="R526" s="185"/>
    </row>
    <row r="527" spans="1:20" s="185" customFormat="1" ht="18" customHeight="1">
      <c r="A527" s="1785"/>
      <c r="B527" s="714"/>
      <c r="C527" s="1893" t="s">
        <v>729</v>
      </c>
      <c r="D527" s="173"/>
      <c r="E527" s="1786"/>
      <c r="F527" s="1787"/>
      <c r="G527" s="710"/>
      <c r="H527" s="710"/>
      <c r="I527" s="710"/>
      <c r="J527" s="711"/>
      <c r="K527" s="684">
        <f t="shared" si="502"/>
        <v>1</v>
      </c>
      <c r="L527" s="708">
        <v>1</v>
      </c>
      <c r="M527" s="709">
        <f t="shared" si="512"/>
        <v>1</v>
      </c>
      <c r="N527" s="362" t="str">
        <f t="shared" si="483"/>
        <v/>
      </c>
      <c r="O527" s="1763" t="str">
        <f t="shared" si="484"/>
        <v/>
      </c>
      <c r="P527" s="1764" t="str">
        <f t="shared" si="485"/>
        <v/>
      </c>
      <c r="Q527" s="120" t="str">
        <f t="shared" si="486"/>
        <v/>
      </c>
    </row>
    <row r="528" spans="1:20" s="1521" customFormat="1">
      <c r="A528" s="1972"/>
      <c r="B528" s="714">
        <v>1</v>
      </c>
      <c r="C528" s="1960" t="str">
        <f>VLOOKUP(D528,base_datos,6,FALSE)</f>
        <v>Barra a tierra aislada.</v>
      </c>
      <c r="D528" s="1973" t="s">
        <v>2911</v>
      </c>
      <c r="E528" s="1580">
        <f t="shared" ref="E528:E529" si="522">VLOOKUP(D528,base_datos,5,FALSE)</f>
        <v>25</v>
      </c>
      <c r="F528" s="1581">
        <f t="shared" ref="F528:F535" si="523">+E528*B528</f>
        <v>25</v>
      </c>
      <c r="G528" s="1974"/>
      <c r="H528" s="1974"/>
      <c r="I528" s="1974"/>
      <c r="J528" s="1975"/>
      <c r="K528" s="684">
        <f t="shared" si="502"/>
        <v>1</v>
      </c>
      <c r="L528" s="363">
        <v>1</v>
      </c>
      <c r="M528" s="684">
        <f t="shared" si="512"/>
        <v>1</v>
      </c>
      <c r="N528" s="362" t="str">
        <f t="shared" si="483"/>
        <v/>
      </c>
      <c r="O528" s="1763" t="str">
        <f t="shared" si="484"/>
        <v/>
      </c>
      <c r="P528" s="1764" t="str">
        <f t="shared" si="485"/>
        <v/>
      </c>
      <c r="Q528" s="120" t="str">
        <f t="shared" si="486"/>
        <v/>
      </c>
      <c r="R528" s="690"/>
      <c r="S528" s="1237"/>
      <c r="T528" s="1237"/>
    </row>
    <row r="529" spans="1:18" s="695" customFormat="1" ht="18" customHeight="1">
      <c r="A529" s="693"/>
      <c r="B529" s="1794">
        <v>1</v>
      </c>
      <c r="C529" s="1420" t="str">
        <f t="shared" ref="C529" si="524">VLOOKUP(D529,base_datos,6,FALSE)</f>
        <v>Barra a tierra.</v>
      </c>
      <c r="D529" s="1790" t="s">
        <v>8299</v>
      </c>
      <c r="E529" s="1795">
        <f t="shared" si="522"/>
        <v>10</v>
      </c>
      <c r="F529" s="1796">
        <f t="shared" si="523"/>
        <v>10</v>
      </c>
      <c r="G529" s="696"/>
      <c r="H529" s="696"/>
      <c r="I529" s="696"/>
      <c r="J529" s="697"/>
      <c r="K529" s="684">
        <f t="shared" si="502"/>
        <v>1</v>
      </c>
      <c r="L529" s="708">
        <v>1</v>
      </c>
      <c r="M529" s="709">
        <f t="shared" si="512"/>
        <v>1</v>
      </c>
      <c r="N529" s="362" t="str">
        <f t="shared" ref="N529:N603" si="525">IF(O529&lt;&gt;"",K529*L529*M529,"")</f>
        <v/>
      </c>
      <c r="O529" s="1763" t="str">
        <f t="shared" ref="O529:O603" si="526">IF(D529&lt;&gt;"",IF(VLOOKUP(D529,base_datos,7,FALSE)&lt;&gt;"",VLOOKUP(D529,base_datos,7,FALSE),""),"")</f>
        <v/>
      </c>
      <c r="P529" s="1764" t="str">
        <f t="shared" ref="P529:P603" si="527">IF(O529&lt;&gt;"",VLOOKUP(D529,base_datos,6,FALSE),"")</f>
        <v/>
      </c>
      <c r="Q529" s="120" t="str">
        <f t="shared" ref="Q529:Q603" si="528">IF(O529&lt;&gt;"",D529,"")</f>
        <v/>
      </c>
      <c r="R529" s="185"/>
    </row>
    <row r="530" spans="1:18" s="185" customFormat="1" ht="18" customHeight="1">
      <c r="A530" s="1785"/>
      <c r="B530" s="714"/>
      <c r="C530" s="1893" t="s">
        <v>729</v>
      </c>
      <c r="D530" s="173"/>
      <c r="E530" s="1786"/>
      <c r="F530" s="1787"/>
      <c r="G530" s="710"/>
      <c r="H530" s="710"/>
      <c r="I530" s="710"/>
      <c r="J530" s="711"/>
      <c r="K530" s="684">
        <f t="shared" si="502"/>
        <v>1</v>
      </c>
      <c r="L530" s="708">
        <v>1</v>
      </c>
      <c r="M530" s="709">
        <f t="shared" ref="M530" si="529">IF(B530="",1,B530)</f>
        <v>1</v>
      </c>
      <c r="N530" s="362" t="str">
        <f t="shared" si="525"/>
        <v/>
      </c>
      <c r="O530" s="1763" t="str">
        <f t="shared" si="526"/>
        <v/>
      </c>
      <c r="P530" s="1764" t="str">
        <f t="shared" si="527"/>
        <v/>
      </c>
      <c r="Q530" s="120" t="str">
        <f t="shared" si="528"/>
        <v/>
      </c>
    </row>
    <row r="531" spans="1:18" s="897" customFormat="1" ht="18" customHeight="1">
      <c r="A531" s="693"/>
      <c r="B531" s="895">
        <v>10</v>
      </c>
      <c r="C531" s="721" t="str">
        <f>VLOOKUP(D531,base_datos,6,FALSE)</f>
        <v>Rotulado por circuito.</v>
      </c>
      <c r="D531" s="1579" t="s">
        <v>3067</v>
      </c>
      <c r="E531" s="1580">
        <f>VLOOKUP(D531,base_datos,5,FALSE)</f>
        <v>0.7</v>
      </c>
      <c r="F531" s="1581">
        <f t="shared" si="523"/>
        <v>7</v>
      </c>
      <c r="G531" s="1772"/>
      <c r="H531" s="1772"/>
      <c r="I531" s="1772"/>
      <c r="J531" s="896"/>
      <c r="K531" s="684">
        <f t="shared" si="502"/>
        <v>1</v>
      </c>
      <c r="L531" s="708">
        <v>1</v>
      </c>
      <c r="M531" s="709">
        <f t="shared" si="512"/>
        <v>10</v>
      </c>
      <c r="N531" s="362" t="str">
        <f t="shared" si="525"/>
        <v/>
      </c>
      <c r="O531" s="1763" t="str">
        <f t="shared" si="526"/>
        <v/>
      </c>
      <c r="P531" s="1764" t="str">
        <f t="shared" si="527"/>
        <v/>
      </c>
      <c r="Q531" s="120" t="str">
        <f t="shared" si="528"/>
        <v/>
      </c>
    </row>
    <row r="532" spans="1:18" s="897" customFormat="1" ht="18" customHeight="1">
      <c r="A532" s="693"/>
      <c r="B532" s="895">
        <v>1</v>
      </c>
      <c r="C532" s="721" t="str">
        <f>VLOOKUP(D532,base_datos,6,FALSE)</f>
        <v>Rotulado para TAG - tablero de distribución.</v>
      </c>
      <c r="D532" s="1579" t="s">
        <v>3066</v>
      </c>
      <c r="E532" s="1580">
        <f>VLOOKUP(D532,base_datos,5,FALSE)</f>
        <v>1.5</v>
      </c>
      <c r="F532" s="1581">
        <f t="shared" si="523"/>
        <v>1.5</v>
      </c>
      <c r="G532" s="1772"/>
      <c r="H532" s="1772"/>
      <c r="I532" s="1772"/>
      <c r="J532" s="896"/>
      <c r="K532" s="684">
        <f t="shared" si="502"/>
        <v>1</v>
      </c>
      <c r="L532" s="708">
        <v>1</v>
      </c>
      <c r="M532" s="709">
        <f t="shared" si="512"/>
        <v>1</v>
      </c>
      <c r="N532" s="362" t="str">
        <f t="shared" si="525"/>
        <v/>
      </c>
      <c r="O532" s="1763" t="str">
        <f t="shared" si="526"/>
        <v/>
      </c>
      <c r="P532" s="1764" t="str">
        <f t="shared" si="527"/>
        <v/>
      </c>
      <c r="Q532" s="120" t="str">
        <f t="shared" si="528"/>
        <v/>
      </c>
    </row>
    <row r="533" spans="1:18" s="1237" customFormat="1" ht="18" customHeight="1">
      <c r="A533" s="1767"/>
      <c r="B533" s="2093">
        <v>1</v>
      </c>
      <c r="C533" s="694" t="s">
        <v>12552</v>
      </c>
      <c r="D533" s="1888"/>
      <c r="E533" s="1580">
        <f>E535*15%</f>
        <v>27</v>
      </c>
      <c r="F533" s="1581">
        <f t="shared" si="523"/>
        <v>27</v>
      </c>
      <c r="G533" s="1774"/>
      <c r="H533" s="1774"/>
      <c r="I533" s="1774"/>
      <c r="J533" s="1181"/>
      <c r="K533" s="684">
        <f t="shared" si="502"/>
        <v>1</v>
      </c>
      <c r="L533" s="708">
        <v>1</v>
      </c>
      <c r="M533" s="709">
        <f t="shared" si="512"/>
        <v>1</v>
      </c>
      <c r="N533" s="362" t="str">
        <f t="shared" si="525"/>
        <v/>
      </c>
      <c r="O533" s="1763" t="str">
        <f t="shared" si="526"/>
        <v/>
      </c>
      <c r="P533" s="1764" t="str">
        <f t="shared" si="527"/>
        <v/>
      </c>
      <c r="Q533" s="120" t="str">
        <f t="shared" si="528"/>
        <v/>
      </c>
      <c r="R533" s="1765"/>
    </row>
    <row r="534" spans="1:18" s="1237" customFormat="1" ht="18" customHeight="1">
      <c r="A534" s="1767"/>
      <c r="B534" s="1773">
        <v>1</v>
      </c>
      <c r="C534" s="694" t="s">
        <v>12559</v>
      </c>
      <c r="D534" s="1888"/>
      <c r="E534" s="1999">
        <f>E535*20%</f>
        <v>36</v>
      </c>
      <c r="F534" s="1581">
        <f t="shared" si="523"/>
        <v>36</v>
      </c>
      <c r="G534" s="1774"/>
      <c r="H534" s="1774"/>
      <c r="I534" s="1774"/>
      <c r="J534" s="1181"/>
      <c r="K534" s="684">
        <f>+K532</f>
        <v>1</v>
      </c>
      <c r="L534" s="708">
        <v>1</v>
      </c>
      <c r="M534" s="709">
        <f t="shared" si="512"/>
        <v>1</v>
      </c>
      <c r="N534" s="362" t="str">
        <f t="shared" si="525"/>
        <v/>
      </c>
      <c r="O534" s="1763" t="str">
        <f t="shared" si="526"/>
        <v/>
      </c>
      <c r="P534" s="1764" t="str">
        <f t="shared" si="527"/>
        <v/>
      </c>
      <c r="Q534" s="120" t="str">
        <f t="shared" si="528"/>
        <v/>
      </c>
      <c r="R534" s="1765"/>
    </row>
    <row r="535" spans="1:18" s="1237" customFormat="1" ht="18" customHeight="1">
      <c r="A535" s="1767"/>
      <c r="B535" s="1773">
        <v>1</v>
      </c>
      <c r="C535" s="694" t="s">
        <v>12493</v>
      </c>
      <c r="D535" s="2071"/>
      <c r="E535" s="1581">
        <v>180</v>
      </c>
      <c r="F535" s="1581">
        <f t="shared" si="523"/>
        <v>180</v>
      </c>
      <c r="G535" s="1774"/>
      <c r="H535" s="1774"/>
      <c r="I535" s="1774"/>
      <c r="J535" s="1181"/>
      <c r="K535" s="684">
        <f>+K531</f>
        <v>1</v>
      </c>
      <c r="L535" s="708">
        <v>1</v>
      </c>
      <c r="M535" s="709">
        <f t="shared" si="512"/>
        <v>1</v>
      </c>
      <c r="N535" s="362" t="str">
        <f t="shared" si="525"/>
        <v/>
      </c>
      <c r="O535" s="1763" t="str">
        <f t="shared" si="526"/>
        <v/>
      </c>
      <c r="P535" s="1764" t="str">
        <f t="shared" si="527"/>
        <v/>
      </c>
      <c r="Q535" s="120" t="str">
        <f t="shared" si="528"/>
        <v/>
      </c>
      <c r="R535" s="1765"/>
    </row>
    <row r="536" spans="1:18" s="120" customFormat="1" ht="18" customHeight="1" thickBot="1">
      <c r="A536" s="1855"/>
      <c r="B536" s="1854"/>
      <c r="C536" s="1797"/>
      <c r="D536" s="2009"/>
      <c r="E536" s="1981"/>
      <c r="F536" s="1981"/>
      <c r="G536" s="1798"/>
      <c r="H536" s="1798"/>
      <c r="I536" s="1798"/>
      <c r="J536" s="1799"/>
      <c r="K536" s="1788"/>
      <c r="L536" s="363"/>
      <c r="M536" s="684"/>
      <c r="N536" s="362" t="str">
        <f t="shared" si="525"/>
        <v/>
      </c>
      <c r="O536" s="1763" t="str">
        <f t="shared" si="526"/>
        <v/>
      </c>
      <c r="P536" s="1764" t="str">
        <f t="shared" si="527"/>
        <v/>
      </c>
      <c r="Q536" s="120" t="str">
        <f t="shared" si="528"/>
        <v/>
      </c>
      <c r="R536" s="185"/>
    </row>
    <row r="537" spans="1:18" s="120" customFormat="1" ht="18" customHeight="1" thickBot="1">
      <c r="A537" s="1587">
        <v>9</v>
      </c>
      <c r="B537" s="1852">
        <v>1</v>
      </c>
      <c r="C537" s="1756" t="s">
        <v>12574</v>
      </c>
      <c r="D537" s="2010"/>
      <c r="E537" s="1589"/>
      <c r="F537" s="1589"/>
      <c r="G537" s="1757">
        <f>SUM(F538:F606)</f>
        <v>7073.4937381275449</v>
      </c>
      <c r="H537" s="1758">
        <f>G537*(1-$D$6)</f>
        <v>7073.4937381275449</v>
      </c>
      <c r="I537" s="1757">
        <f>ROUNDUP(H537*$D$5,0)</f>
        <v>24050</v>
      </c>
      <c r="J537" s="1759">
        <f>+I537*B537</f>
        <v>24050</v>
      </c>
      <c r="K537" s="1788">
        <f>B537</f>
        <v>1</v>
      </c>
      <c r="L537" s="363"/>
      <c r="M537" s="684"/>
      <c r="N537" s="362" t="str">
        <f t="shared" si="525"/>
        <v/>
      </c>
      <c r="O537" s="1763" t="str">
        <f t="shared" si="526"/>
        <v/>
      </c>
      <c r="P537" s="1764" t="str">
        <f t="shared" si="527"/>
        <v/>
      </c>
      <c r="Q537" s="120" t="str">
        <f t="shared" si="528"/>
        <v/>
      </c>
      <c r="R537" s="185"/>
    </row>
    <row r="538" spans="1:18" s="120" customFormat="1" ht="18" customHeight="1">
      <c r="A538" s="685" t="s">
        <v>3162</v>
      </c>
      <c r="B538" s="1903"/>
      <c r="C538" s="1890"/>
      <c r="D538" s="1927"/>
      <c r="E538" s="1780"/>
      <c r="F538" s="1780"/>
      <c r="G538" s="686"/>
      <c r="H538" s="710"/>
      <c r="I538" s="686"/>
      <c r="J538" s="1768"/>
      <c r="K538" s="684">
        <f t="shared" ref="K538:K542" si="530">+K537</f>
        <v>1</v>
      </c>
      <c r="L538" s="363">
        <v>1</v>
      </c>
      <c r="M538" s="709">
        <f t="shared" ref="M538:M547" si="531">IF(B538="",1,B538)</f>
        <v>1</v>
      </c>
      <c r="N538" s="362" t="str">
        <f t="shared" si="525"/>
        <v/>
      </c>
      <c r="O538" s="1763" t="str">
        <f t="shared" si="526"/>
        <v/>
      </c>
      <c r="P538" s="1764" t="str">
        <f t="shared" si="527"/>
        <v/>
      </c>
      <c r="Q538" s="120" t="str">
        <f t="shared" si="528"/>
        <v/>
      </c>
    </row>
    <row r="539" spans="1:18" s="315" customFormat="1">
      <c r="A539" s="687" t="s">
        <v>4021</v>
      </c>
      <c r="B539" s="2096">
        <v>1</v>
      </c>
      <c r="C539" s="1907" t="s">
        <v>5103</v>
      </c>
      <c r="D539" s="1935"/>
      <c r="E539" s="1786"/>
      <c r="F539" s="1908">
        <f>SUM(F541:F545)*(B539-1)</f>
        <v>0</v>
      </c>
      <c r="G539" s="712"/>
      <c r="H539" s="712"/>
      <c r="I539" s="712"/>
      <c r="J539" s="713"/>
      <c r="K539" s="684">
        <f t="shared" si="530"/>
        <v>1</v>
      </c>
      <c r="L539" s="1909">
        <f>B539</f>
        <v>1</v>
      </c>
      <c r="M539" s="684">
        <f t="shared" si="531"/>
        <v>1</v>
      </c>
      <c r="N539" s="362" t="str">
        <f t="shared" si="525"/>
        <v/>
      </c>
      <c r="O539" s="1763" t="str">
        <f t="shared" si="526"/>
        <v/>
      </c>
      <c r="P539" s="1764" t="str">
        <f t="shared" si="527"/>
        <v/>
      </c>
      <c r="Q539" s="120" t="str">
        <f t="shared" si="528"/>
        <v/>
      </c>
    </row>
    <row r="540" spans="1:18" s="185" customFormat="1">
      <c r="A540" s="687" t="s">
        <v>4136</v>
      </c>
      <c r="B540" s="1910">
        <v>3</v>
      </c>
      <c r="C540" s="1911" t="str">
        <f>VLOOKUP(D540,base_datos,6,FALSE)</f>
        <v>Portalámpara + lampara tipo LED - color Rojo - alimentacion: 220-230Vac, d=22mm. - CL2-523R - línea compacta - marca ABB.</v>
      </c>
      <c r="D540" s="1790" t="s">
        <v>2439</v>
      </c>
      <c r="E540" s="1939">
        <f>VLOOKUP(D540,base_datos,5,FALSE)</f>
        <v>12.299999999999999</v>
      </c>
      <c r="F540" s="1912">
        <f>+E540*B540</f>
        <v>36.9</v>
      </c>
      <c r="G540" s="710"/>
      <c r="H540" s="710"/>
      <c r="I540" s="710"/>
      <c r="J540" s="711"/>
      <c r="K540" s="684">
        <f>+K538</f>
        <v>1</v>
      </c>
      <c r="L540" s="1913">
        <f>L538</f>
        <v>1</v>
      </c>
      <c r="M540" s="684">
        <f t="shared" si="531"/>
        <v>3</v>
      </c>
      <c r="N540" s="362">
        <f t="shared" si="525"/>
        <v>3</v>
      </c>
      <c r="O540" s="1763" t="str">
        <f t="shared" si="526"/>
        <v>1SFA619403R5231</v>
      </c>
      <c r="P540" s="1764" t="str">
        <f t="shared" si="527"/>
        <v>Portalámpara + lampara tipo LED - color Rojo - alimentacion: 220-230Vac, d=22mm. - CL2-523R - línea compacta - marca ABB.</v>
      </c>
      <c r="Q540" s="120" t="str">
        <f t="shared" si="528"/>
        <v>LAMP_ROJO_220V</v>
      </c>
    </row>
    <row r="541" spans="1:18" s="185" customFormat="1">
      <c r="A541" s="687"/>
      <c r="B541" s="1910">
        <v>3</v>
      </c>
      <c r="C541" s="1911" t="str">
        <f>VLOOKUP(D541,base_datos,6,FALSE)</f>
        <v>Portalámpara + lampara tipo LED - color Verde - alimentacion: 220-230Vac, d=22mm. - CL2-523G - línea compacta - marca ABB.</v>
      </c>
      <c r="D541" s="1790" t="s">
        <v>2440</v>
      </c>
      <c r="E541" s="1939">
        <f>VLOOKUP(D541,base_datos,5,FALSE)</f>
        <v>12.299999999999999</v>
      </c>
      <c r="F541" s="1912">
        <f>+E541*B541</f>
        <v>36.9</v>
      </c>
      <c r="G541" s="710"/>
      <c r="H541" s="710"/>
      <c r="I541" s="710"/>
      <c r="J541" s="711"/>
      <c r="K541" s="684">
        <f>+K539</f>
        <v>1</v>
      </c>
      <c r="L541" s="1913">
        <f>L539</f>
        <v>1</v>
      </c>
      <c r="M541" s="684">
        <f t="shared" si="531"/>
        <v>3</v>
      </c>
      <c r="N541" s="362">
        <f t="shared" si="525"/>
        <v>3</v>
      </c>
      <c r="O541" s="1763" t="str">
        <f t="shared" si="526"/>
        <v>1SFA619403R5232</v>
      </c>
      <c r="P541" s="1764" t="str">
        <f t="shared" si="527"/>
        <v>Portalámpara + lampara tipo LED - color Verde - alimentacion: 220-230Vac, d=22mm. - CL2-523G - línea compacta - marca ABB.</v>
      </c>
      <c r="Q541" s="120" t="str">
        <f t="shared" si="528"/>
        <v>LAMP_VERDE_220V</v>
      </c>
    </row>
    <row r="542" spans="1:18" s="1921" customFormat="1">
      <c r="A542" s="687" t="s">
        <v>12356</v>
      </c>
      <c r="B542" s="1914">
        <v>1</v>
      </c>
      <c r="C542" s="1915" t="s">
        <v>3366</v>
      </c>
      <c r="D542" s="1916"/>
      <c r="E542" s="1917"/>
      <c r="F542" s="1918"/>
      <c r="G542" s="1919"/>
      <c r="H542" s="1919"/>
      <c r="I542" s="1919"/>
      <c r="J542" s="1920"/>
      <c r="K542" s="684">
        <f t="shared" si="530"/>
        <v>1</v>
      </c>
      <c r="L542" s="1913">
        <f>L541</f>
        <v>1</v>
      </c>
      <c r="M542" s="684">
        <f t="shared" si="531"/>
        <v>1</v>
      </c>
      <c r="N542" s="362" t="str">
        <f t="shared" si="525"/>
        <v/>
      </c>
      <c r="O542" s="1763" t="str">
        <f t="shared" si="526"/>
        <v/>
      </c>
      <c r="P542" s="1764" t="str">
        <f t="shared" si="527"/>
        <v/>
      </c>
      <c r="Q542" s="120" t="str">
        <f t="shared" si="528"/>
        <v/>
      </c>
    </row>
    <row r="543" spans="1:18" s="320" customFormat="1">
      <c r="A543" s="687" t="s">
        <v>12428</v>
      </c>
      <c r="B543" s="1922">
        <v>1</v>
      </c>
      <c r="C543" s="721" t="str">
        <f>VLOOKUP(D543,base_datos,6,FALSE)</f>
        <v>Rele auxiliar enchufable +4NA/NC (D2PR4B + base D2PA6), 220Vac - marca EATON.</v>
      </c>
      <c r="D543" s="1579" t="s">
        <v>772</v>
      </c>
      <c r="E543" s="1581">
        <f>VLOOKUP(D543,base_datos,5,FALSE)</f>
        <v>27</v>
      </c>
      <c r="F543" s="1923">
        <f>+E543*B543</f>
        <v>27</v>
      </c>
      <c r="G543" s="1924"/>
      <c r="H543" s="1924"/>
      <c r="I543" s="1924"/>
      <c r="J543" s="722"/>
      <c r="K543" s="684">
        <f>+K540</f>
        <v>1</v>
      </c>
      <c r="L543" s="1913">
        <f>L540</f>
        <v>1</v>
      </c>
      <c r="M543" s="684">
        <f t="shared" si="531"/>
        <v>1</v>
      </c>
      <c r="N543" s="362">
        <f t="shared" si="525"/>
        <v>1</v>
      </c>
      <c r="O543" s="1763" t="str">
        <f t="shared" si="526"/>
        <v>D2PR4B+D2PA6</v>
      </c>
      <c r="P543" s="1764" t="str">
        <f t="shared" si="527"/>
        <v>Rele auxiliar enchufable +4NA/NC (D2PR4B + base D2PA6), 220Vac - marca EATON.</v>
      </c>
      <c r="Q543" s="120" t="str">
        <f t="shared" si="528"/>
        <v>D2PR4B+D2PA6</v>
      </c>
    </row>
    <row r="544" spans="1:18" s="320" customFormat="1">
      <c r="A544" s="1767"/>
      <c r="B544" s="2131">
        <v>1</v>
      </c>
      <c r="C544" s="2132" t="s">
        <v>12558</v>
      </c>
      <c r="D544" s="2133"/>
      <c r="E544" s="2134">
        <v>32</v>
      </c>
      <c r="F544" s="2134">
        <f>+E544*B544</f>
        <v>32</v>
      </c>
      <c r="G544" s="1924"/>
      <c r="H544" s="1924"/>
      <c r="I544" s="1924"/>
      <c r="J544" s="722"/>
      <c r="K544" s="684">
        <f>+K541</f>
        <v>1</v>
      </c>
      <c r="L544" s="1913">
        <f>L541</f>
        <v>1</v>
      </c>
      <c r="M544" s="684">
        <f t="shared" si="531"/>
        <v>1</v>
      </c>
      <c r="N544" s="362" t="str">
        <f t="shared" si="525"/>
        <v/>
      </c>
      <c r="O544" s="1763" t="str">
        <f t="shared" si="526"/>
        <v/>
      </c>
      <c r="P544" s="1764" t="str">
        <f t="shared" si="527"/>
        <v/>
      </c>
      <c r="Q544" s="120" t="str">
        <f t="shared" si="528"/>
        <v/>
      </c>
    </row>
    <row r="545" spans="1:18" s="320" customFormat="1">
      <c r="A545" s="687" t="s">
        <v>12551</v>
      </c>
      <c r="B545" s="1922">
        <v>4</v>
      </c>
      <c r="C545" s="721" t="str">
        <f>VLOOKUP(D545,base_datos,6,FALSE)</f>
        <v>Base portafusibles + Fusibles de protección para control.</v>
      </c>
      <c r="D545" s="1579" t="s">
        <v>453</v>
      </c>
      <c r="E545" s="1581">
        <f>VLOOKUP(D545,base_datos,5,FALSE)</f>
        <v>8.1750000000000007</v>
      </c>
      <c r="F545" s="1923">
        <f>+E545*B545</f>
        <v>32.700000000000003</v>
      </c>
      <c r="G545" s="1924"/>
      <c r="H545" s="1924"/>
      <c r="I545" s="1924"/>
      <c r="J545" s="722"/>
      <c r="K545" s="684">
        <f>+K542</f>
        <v>1</v>
      </c>
      <c r="L545" s="1913">
        <f>L542</f>
        <v>1</v>
      </c>
      <c r="M545" s="684">
        <f t="shared" si="531"/>
        <v>4</v>
      </c>
      <c r="N545" s="362" t="str">
        <f t="shared" si="525"/>
        <v/>
      </c>
      <c r="O545" s="1763" t="str">
        <f t="shared" si="526"/>
        <v/>
      </c>
      <c r="P545" s="1764" t="str">
        <f t="shared" si="527"/>
        <v/>
      </c>
      <c r="Q545" s="120" t="str">
        <f t="shared" si="528"/>
        <v/>
      </c>
    </row>
    <row r="546" spans="1:18" s="315" customFormat="1">
      <c r="A546" s="687" t="s">
        <v>3542</v>
      </c>
      <c r="B546" s="1906"/>
      <c r="C546" s="1907"/>
      <c r="D546" s="1935"/>
      <c r="E546" s="1786"/>
      <c r="F546" s="1936"/>
      <c r="G546" s="712"/>
      <c r="H546" s="712"/>
      <c r="I546" s="712"/>
      <c r="J546" s="713"/>
      <c r="K546" s="684">
        <f t="shared" ref="K546:K604" si="532">+K543</f>
        <v>1</v>
      </c>
      <c r="L546" s="1909">
        <f>B546</f>
        <v>0</v>
      </c>
      <c r="M546" s="684">
        <f t="shared" si="531"/>
        <v>1</v>
      </c>
      <c r="N546" s="362" t="str">
        <f t="shared" si="525"/>
        <v/>
      </c>
      <c r="O546" s="1763" t="str">
        <f t="shared" si="526"/>
        <v/>
      </c>
      <c r="P546" s="1764" t="str">
        <f t="shared" si="527"/>
        <v/>
      </c>
      <c r="Q546" s="120" t="str">
        <f t="shared" si="528"/>
        <v/>
      </c>
    </row>
    <row r="547" spans="1:18" s="185" customFormat="1">
      <c r="A547" s="687"/>
      <c r="B547" s="1922"/>
      <c r="C547" s="1956" t="s">
        <v>12368</v>
      </c>
      <c r="D547" s="1579"/>
      <c r="E547" s="1957"/>
      <c r="F547" s="1958"/>
      <c r="G547" s="710"/>
      <c r="H547" s="710"/>
      <c r="I547" s="710"/>
      <c r="J547" s="711"/>
      <c r="K547" s="684">
        <f t="shared" si="532"/>
        <v>1</v>
      </c>
      <c r="L547" s="708">
        <v>1</v>
      </c>
      <c r="M547" s="684">
        <f t="shared" si="531"/>
        <v>1</v>
      </c>
      <c r="N547" s="362" t="str">
        <f t="shared" si="525"/>
        <v/>
      </c>
      <c r="O547" s="1763" t="str">
        <f t="shared" si="526"/>
        <v/>
      </c>
      <c r="P547" s="1764" t="str">
        <f t="shared" si="527"/>
        <v/>
      </c>
      <c r="Q547" s="120" t="str">
        <f t="shared" si="528"/>
        <v/>
      </c>
    </row>
    <row r="548" spans="1:18" s="120" customFormat="1" ht="18" customHeight="1">
      <c r="A548" s="1931"/>
      <c r="B548" s="1779">
        <v>6</v>
      </c>
      <c r="C548" s="1990" t="str">
        <f>VLOOKUP(D548,base_datos,6,FALSE)</f>
        <v>Transformador de tensión monofásico 480 / 240 Vac - 50VA.</v>
      </c>
      <c r="D548" s="2007" t="s">
        <v>8587</v>
      </c>
      <c r="E548" s="1581">
        <f>VLOOKUP(D548,base_datos,5,FALSE)</f>
        <v>76.8</v>
      </c>
      <c r="F548" s="1581">
        <f>+E548*B548</f>
        <v>460.79999999999995</v>
      </c>
      <c r="G548" s="686"/>
      <c r="H548" s="686"/>
      <c r="I548" s="686"/>
      <c r="J548" s="1768"/>
      <c r="K548" s="684">
        <f t="shared" si="532"/>
        <v>1</v>
      </c>
      <c r="L548" s="708">
        <v>1</v>
      </c>
      <c r="M548" s="709">
        <f t="shared" ref="M548:M606" si="533">IF(B548="",1,B548)</f>
        <v>6</v>
      </c>
      <c r="N548" s="362" t="str">
        <f t="shared" si="525"/>
        <v/>
      </c>
      <c r="O548" s="1763" t="str">
        <f t="shared" si="526"/>
        <v/>
      </c>
      <c r="P548" s="1764" t="str">
        <f t="shared" si="527"/>
        <v/>
      </c>
      <c r="Q548" s="120" t="str">
        <f t="shared" si="528"/>
        <v/>
      </c>
      <c r="R548" s="185"/>
    </row>
    <row r="549" spans="1:18" s="120" customFormat="1" ht="18" customHeight="1">
      <c r="A549" s="691"/>
      <c r="B549" s="1781"/>
      <c r="C549" s="1959" t="s">
        <v>3158</v>
      </c>
      <c r="D549" s="2005"/>
      <c r="E549" s="1791"/>
      <c r="F549" s="1782"/>
      <c r="G549" s="686"/>
      <c r="H549" s="686"/>
      <c r="I549" s="686"/>
      <c r="J549" s="688"/>
      <c r="K549" s="684">
        <f t="shared" si="532"/>
        <v>1</v>
      </c>
      <c r="L549" s="708">
        <v>1</v>
      </c>
      <c r="M549" s="709">
        <f t="shared" si="533"/>
        <v>1</v>
      </c>
      <c r="N549" s="362" t="str">
        <f t="shared" si="525"/>
        <v/>
      </c>
      <c r="O549" s="1763" t="str">
        <f t="shared" si="526"/>
        <v/>
      </c>
      <c r="P549" s="1764" t="str">
        <f t="shared" si="527"/>
        <v/>
      </c>
      <c r="Q549" s="120" t="str">
        <f t="shared" si="528"/>
        <v/>
      </c>
      <c r="R549" s="185"/>
    </row>
    <row r="550" spans="1:18" s="690" customFormat="1" ht="18" customHeight="1">
      <c r="A550" s="687"/>
      <c r="B550" s="1781">
        <v>1</v>
      </c>
      <c r="C550" s="1960" t="str">
        <f>VLOOKUP(D550,base_datos,6,FALSE)</f>
        <v>ITM Caja Moldeada 3x125A (reg.[0.7-1.0] In) - XT2N160-125A-3P-TMA - 65kA@230Vac, 36kA@415Vac - marca ABB.</v>
      </c>
      <c r="D550" s="2006" t="s">
        <v>1325</v>
      </c>
      <c r="E550" s="1791">
        <f>VLOOKUP(D550,base_datos,5,FALSE)</f>
        <v>220.2</v>
      </c>
      <c r="F550" s="1782">
        <f>+E550*B550</f>
        <v>220.2</v>
      </c>
      <c r="G550" s="1761"/>
      <c r="H550" s="1761"/>
      <c r="I550" s="1761"/>
      <c r="J550" s="689"/>
      <c r="K550" s="684">
        <f t="shared" si="532"/>
        <v>1</v>
      </c>
      <c r="L550" s="708">
        <v>1</v>
      </c>
      <c r="M550" s="709">
        <f t="shared" si="533"/>
        <v>1</v>
      </c>
      <c r="N550" s="362">
        <f t="shared" si="525"/>
        <v>1</v>
      </c>
      <c r="O550" s="1763" t="str">
        <f t="shared" si="526"/>
        <v>1SDA067019R1</v>
      </c>
      <c r="P550" s="1764" t="str">
        <f t="shared" si="527"/>
        <v>ITM Caja Moldeada 3x125A (reg.[0.7-1.0] In) - XT2N160-125A-3P-TMA - 65kA@230Vac, 36kA@415Vac - marca ABB.</v>
      </c>
      <c r="Q550" s="120" t="str">
        <f t="shared" si="528"/>
        <v>XT2N160-125A-3P-TMA</v>
      </c>
      <c r="R550" s="185"/>
    </row>
    <row r="551" spans="1:18" s="695" customFormat="1" ht="18" customHeight="1">
      <c r="A551" s="687"/>
      <c r="B551" s="895">
        <v>1</v>
      </c>
      <c r="C551" s="1848" t="str">
        <f>VLOOKUP(D551,base_datos,6,FALSE)</f>
        <v>FC-CuAl_XT2 - Terminales + Cubrebornes - cables de cobre/aluminio hasta 1x185mm2 - 3 terminales (externos)</v>
      </c>
      <c r="D551" s="1886" t="s">
        <v>957</v>
      </c>
      <c r="E551" s="1795">
        <f>VLOOKUP(D551,base_datos,5,FALSE)</f>
        <v>69.36</v>
      </c>
      <c r="F551" s="1796">
        <f>+E551*B551</f>
        <v>69.36</v>
      </c>
      <c r="G551" s="696"/>
      <c r="H551" s="696"/>
      <c r="I551" s="696"/>
      <c r="J551" s="697"/>
      <c r="K551" s="684">
        <f t="shared" si="532"/>
        <v>1</v>
      </c>
      <c r="L551" s="708">
        <v>1</v>
      </c>
      <c r="M551" s="684">
        <f t="shared" si="533"/>
        <v>1</v>
      </c>
      <c r="N551" s="362">
        <f>IF(O551&lt;&gt;"",K551*L551*M551,"")</f>
        <v>1</v>
      </c>
      <c r="O551" s="1763" t="str">
        <f>IF(D551&lt;&gt;"",IF(VLOOKUP(D551,base_datos,7,FALSE)&lt;&gt;"",VLOOKUP(D551,base_datos,7,FALSE),""),"")</f>
        <v>1SDA067167R1</v>
      </c>
      <c r="P551" s="1764" t="str">
        <f>IF(O551&lt;&gt;"",VLOOKUP(D551,base_datos,6,FALSE),"")</f>
        <v>FC-CuAl_XT2 - Terminales + Cubrebornes - cables de cobre/aluminio hasta 1x185mm2 - 3 terminales (externos)</v>
      </c>
      <c r="Q551" s="120" t="str">
        <f>IF(O551&lt;&gt;"",D551,"")</f>
        <v>FC-CuAl_XT2_3t</v>
      </c>
      <c r="R551" s="185"/>
    </row>
    <row r="552" spans="1:18" s="185" customFormat="1">
      <c r="A552" s="687"/>
      <c r="B552" s="714"/>
      <c r="C552" s="313" t="s">
        <v>729</v>
      </c>
      <c r="D552" s="173"/>
      <c r="E552" s="1786"/>
      <c r="F552" s="1787"/>
      <c r="G552" s="710"/>
      <c r="H552" s="710"/>
      <c r="I552" s="710"/>
      <c r="J552" s="711"/>
      <c r="K552" s="684">
        <f t="shared" si="532"/>
        <v>1</v>
      </c>
      <c r="L552" s="708">
        <v>1</v>
      </c>
      <c r="M552" s="709">
        <f>IF(B552="",1,B552)</f>
        <v>1</v>
      </c>
      <c r="N552" s="362" t="str">
        <f t="shared" si="525"/>
        <v/>
      </c>
      <c r="O552" s="1763" t="str">
        <f t="shared" si="526"/>
        <v/>
      </c>
      <c r="P552" s="1764" t="str">
        <f t="shared" si="527"/>
        <v/>
      </c>
      <c r="Q552" s="120" t="str">
        <f t="shared" si="528"/>
        <v/>
      </c>
    </row>
    <row r="553" spans="1:18" s="315" customFormat="1">
      <c r="A553" s="687"/>
      <c r="B553" s="1932">
        <v>2</v>
      </c>
      <c r="C553" s="1933" t="str">
        <f t="shared" ref="C553" si="534">VLOOKUP(D553,base_datos,6,FALSE)</f>
        <v>2(Q) contacto conmutado de estado (NA/NC) + 1(SY) contacto por disparo de interruptor - XT1..XT4 - versión cableada - marca ABB.</v>
      </c>
      <c r="D553" s="1790" t="s">
        <v>3244</v>
      </c>
      <c r="E553" s="1939">
        <f t="shared" ref="E553" si="535">VLOOKUP(D553,base_datos,5,FALSE)</f>
        <v>132.1</v>
      </c>
      <c r="F553" s="1940">
        <f t="shared" ref="F553" si="536">+E553*B553</f>
        <v>264.2</v>
      </c>
      <c r="G553" s="712"/>
      <c r="H553" s="712"/>
      <c r="I553" s="712"/>
      <c r="J553" s="713"/>
      <c r="K553" s="684">
        <f t="shared" si="532"/>
        <v>1</v>
      </c>
      <c r="L553" s="708">
        <v>1</v>
      </c>
      <c r="M553" s="709">
        <f t="shared" ref="M553" si="537">IF(B553="",1,B553)</f>
        <v>2</v>
      </c>
      <c r="N553" s="362">
        <f t="shared" si="525"/>
        <v>2</v>
      </c>
      <c r="O553" s="1763" t="str">
        <f t="shared" si="526"/>
        <v>1SDA066433R1</v>
      </c>
      <c r="P553" s="1764" t="str">
        <f t="shared" si="527"/>
        <v>2(Q) contacto conmutado de estado (NA/NC) + 1(SY) contacto por disparo de interruptor - XT1..XT4 - versión cableada - marca ABB.</v>
      </c>
      <c r="Q553" s="120" t="str">
        <f t="shared" si="528"/>
        <v>2Q+1SY_XT1..XT4</v>
      </c>
    </row>
    <row r="554" spans="1:18" s="185" customFormat="1" ht="18" customHeight="1">
      <c r="A554" s="1767"/>
      <c r="B554" s="714"/>
      <c r="C554" s="313" t="s">
        <v>729</v>
      </c>
      <c r="D554" s="173"/>
      <c r="E554" s="1786"/>
      <c r="F554" s="1787"/>
      <c r="G554" s="710"/>
      <c r="H554" s="710"/>
      <c r="I554" s="710"/>
      <c r="J554" s="711"/>
      <c r="K554" s="684">
        <f t="shared" si="532"/>
        <v>1</v>
      </c>
      <c r="L554" s="708">
        <v>1</v>
      </c>
      <c r="M554" s="709">
        <f t="shared" si="533"/>
        <v>1</v>
      </c>
      <c r="N554" s="362" t="str">
        <f t="shared" si="525"/>
        <v/>
      </c>
      <c r="O554" s="1763" t="str">
        <f t="shared" si="526"/>
        <v/>
      </c>
      <c r="P554" s="1764" t="str">
        <f t="shared" si="527"/>
        <v/>
      </c>
      <c r="Q554" s="120" t="str">
        <f t="shared" si="528"/>
        <v/>
      </c>
    </row>
    <row r="555" spans="1:18" s="1766" customFormat="1" ht="18" customHeight="1">
      <c r="A555" s="687"/>
      <c r="B555" s="1769"/>
      <c r="C555" s="1770" t="s">
        <v>11663</v>
      </c>
      <c r="D555" s="2006"/>
      <c r="E555" s="1581"/>
      <c r="F555" s="1581"/>
      <c r="G555" s="1761"/>
      <c r="H555" s="1761"/>
      <c r="I555" s="1761"/>
      <c r="J555" s="1762"/>
      <c r="K555" s="684">
        <f t="shared" si="532"/>
        <v>1</v>
      </c>
      <c r="L555" s="708">
        <v>1</v>
      </c>
      <c r="M555" s="709">
        <f t="shared" si="533"/>
        <v>1</v>
      </c>
      <c r="N555" s="362" t="str">
        <f t="shared" si="525"/>
        <v/>
      </c>
      <c r="O555" s="1763" t="str">
        <f t="shared" si="526"/>
        <v/>
      </c>
      <c r="P555" s="1764" t="str">
        <f t="shared" si="527"/>
        <v/>
      </c>
      <c r="Q555" s="120" t="str">
        <f t="shared" si="528"/>
        <v/>
      </c>
      <c r="R555" s="1765"/>
    </row>
    <row r="556" spans="1:18" s="1766" customFormat="1" ht="18" customHeight="1">
      <c r="A556" s="687"/>
      <c r="B556" s="1760">
        <v>1</v>
      </c>
      <c r="C556" s="1990" t="str">
        <f t="shared" ref="C556:C557" si="538">VLOOKUP(D556,base_datos,6,FALSE)</f>
        <v>Analizador de Redes DIRIS-A30 - precisión (V, I) 0.2%, precisión de energía activa / reactiva: clase 0,5S / clase 2 - marca SOCOMEC.</v>
      </c>
      <c r="D556" s="2007" t="s">
        <v>12164</v>
      </c>
      <c r="E556" s="1581">
        <f t="shared" ref="E556:E557" si="539">VLOOKUP(D556,base_datos,5,FALSE)</f>
        <v>633.64</v>
      </c>
      <c r="F556" s="1581">
        <f t="shared" ref="F556:F557" si="540">+E556*B556</f>
        <v>633.64</v>
      </c>
      <c r="G556" s="1761"/>
      <c r="H556" s="1761"/>
      <c r="I556" s="1761"/>
      <c r="J556" s="1762"/>
      <c r="K556" s="684">
        <f t="shared" si="532"/>
        <v>1</v>
      </c>
      <c r="L556" s="708">
        <v>1</v>
      </c>
      <c r="M556" s="709">
        <f t="shared" si="533"/>
        <v>1</v>
      </c>
      <c r="N556" s="362">
        <f t="shared" si="525"/>
        <v>1</v>
      </c>
      <c r="O556" s="1763" t="str">
        <f t="shared" si="526"/>
        <v>4825 0403</v>
      </c>
      <c r="P556" s="1764" t="str">
        <f t="shared" si="527"/>
        <v>Analizador de Redes DIRIS-A30 - precisión (V, I) 0.2%, precisión de energía activa / reactiva: clase 0,5S / clase 2 - marca SOCOMEC.</v>
      </c>
      <c r="Q556" s="120" t="str">
        <f t="shared" si="528"/>
        <v>DIRIS-A30</v>
      </c>
      <c r="R556" s="1765"/>
    </row>
    <row r="557" spans="1:18" s="1766" customFormat="1" ht="18" customHeight="1">
      <c r="A557" s="687"/>
      <c r="B557" s="1760">
        <v>1</v>
      </c>
      <c r="C557" s="1990" t="str">
        <f t="shared" si="538"/>
        <v>Módulo de comunicación RS 485 MODBUS, para Analizador de Red, DIRIS-A30, marca SOCOMEC.</v>
      </c>
      <c r="D557" s="144" t="s">
        <v>12166</v>
      </c>
      <c r="E557" s="1581">
        <f t="shared" si="539"/>
        <v>115.64</v>
      </c>
      <c r="F557" s="1581">
        <f t="shared" si="540"/>
        <v>115.64</v>
      </c>
      <c r="G557" s="1761"/>
      <c r="H557" s="1761"/>
      <c r="I557" s="1761"/>
      <c r="J557" s="1762"/>
      <c r="K557" s="684">
        <f t="shared" si="532"/>
        <v>1</v>
      </c>
      <c r="L557" s="708">
        <v>1</v>
      </c>
      <c r="M557" s="709">
        <f t="shared" si="533"/>
        <v>1</v>
      </c>
      <c r="N557" s="362">
        <f t="shared" si="525"/>
        <v>1</v>
      </c>
      <c r="O557" s="1763" t="str">
        <f t="shared" si="526"/>
        <v>4825 0092</v>
      </c>
      <c r="P557" s="1764" t="str">
        <f t="shared" si="527"/>
        <v>Módulo de comunicación RS 485 MODBUS, para Analizador de Red, DIRIS-A30, marca SOCOMEC.</v>
      </c>
      <c r="Q557" s="120" t="str">
        <f t="shared" si="528"/>
        <v>DIRIS-A30/Com</v>
      </c>
      <c r="R557" s="1765"/>
    </row>
    <row r="558" spans="1:18" s="1766" customFormat="1" ht="18" customHeight="1">
      <c r="A558" s="687"/>
      <c r="B558" s="1760">
        <f>3*B556</f>
        <v>3</v>
      </c>
      <c r="C558" s="1990" t="str">
        <f t="shared" ref="C558:C560" si="541">VLOOKUP(D558,base_datos,6,FALSE)</f>
        <v>Transformador de corriente de 100/5A</v>
      </c>
      <c r="D558" s="2011" t="s">
        <v>143</v>
      </c>
      <c r="E558" s="1581">
        <f t="shared" ref="E558:E560" si="542">VLOOKUP(D558,base_datos,5,FALSE)</f>
        <v>65</v>
      </c>
      <c r="F558" s="1581">
        <f t="shared" ref="F558:F560" si="543">+E558*B558</f>
        <v>195</v>
      </c>
      <c r="G558" s="1761"/>
      <c r="H558" s="1761"/>
      <c r="I558" s="1761"/>
      <c r="J558" s="1762"/>
      <c r="K558" s="684">
        <f t="shared" si="532"/>
        <v>1</v>
      </c>
      <c r="L558" s="708">
        <v>1</v>
      </c>
      <c r="M558" s="709">
        <f t="shared" si="533"/>
        <v>3</v>
      </c>
      <c r="N558" s="362" t="str">
        <f t="shared" si="525"/>
        <v/>
      </c>
      <c r="O558" s="1763" t="str">
        <f t="shared" si="526"/>
        <v/>
      </c>
      <c r="P558" s="1764" t="str">
        <f t="shared" si="527"/>
        <v/>
      </c>
      <c r="Q558" s="120" t="str">
        <f t="shared" si="528"/>
        <v/>
      </c>
      <c r="R558" s="1765"/>
    </row>
    <row r="559" spans="1:18" s="1766" customFormat="1" ht="18" customHeight="1">
      <c r="A559" s="687"/>
      <c r="B559" s="1760">
        <f>5*B556</f>
        <v>5</v>
      </c>
      <c r="C559" s="1990" t="str">
        <f t="shared" si="541"/>
        <v>Base portafusibles + Fusibles de protección para control.</v>
      </c>
      <c r="D559" s="2011" t="s">
        <v>453</v>
      </c>
      <c r="E559" s="1581">
        <f t="shared" si="542"/>
        <v>8.1750000000000007</v>
      </c>
      <c r="F559" s="1581">
        <f t="shared" si="543"/>
        <v>40.875</v>
      </c>
      <c r="G559" s="1761"/>
      <c r="H559" s="1761"/>
      <c r="I559" s="1761"/>
      <c r="J559" s="1762"/>
      <c r="K559" s="684">
        <f t="shared" si="532"/>
        <v>1</v>
      </c>
      <c r="L559" s="708">
        <v>1</v>
      </c>
      <c r="M559" s="709">
        <f t="shared" si="533"/>
        <v>5</v>
      </c>
      <c r="N559" s="362" t="str">
        <f t="shared" si="525"/>
        <v/>
      </c>
      <c r="O559" s="1763" t="str">
        <f t="shared" si="526"/>
        <v/>
      </c>
      <c r="P559" s="1764" t="str">
        <f t="shared" si="527"/>
        <v/>
      </c>
      <c r="Q559" s="120" t="str">
        <f t="shared" si="528"/>
        <v/>
      </c>
      <c r="R559" s="1765"/>
    </row>
    <row r="560" spans="1:18" s="1766" customFormat="1" ht="18" customHeight="1">
      <c r="A560" s="1771"/>
      <c r="B560" s="1760">
        <f>6*B556</f>
        <v>6</v>
      </c>
      <c r="C560" s="1990" t="str">
        <f t="shared" si="541"/>
        <v>Bornes seccionables de corriente.</v>
      </c>
      <c r="D560" s="2011" t="s">
        <v>435</v>
      </c>
      <c r="E560" s="1581">
        <f t="shared" si="542"/>
        <v>12</v>
      </c>
      <c r="F560" s="1581">
        <f t="shared" si="543"/>
        <v>72</v>
      </c>
      <c r="G560" s="1761"/>
      <c r="H560" s="1761"/>
      <c r="I560" s="1761"/>
      <c r="J560" s="1762"/>
      <c r="K560" s="684">
        <f t="shared" si="532"/>
        <v>1</v>
      </c>
      <c r="L560" s="708">
        <v>1</v>
      </c>
      <c r="M560" s="709">
        <f t="shared" si="533"/>
        <v>6</v>
      </c>
      <c r="N560" s="362" t="str">
        <f t="shared" si="525"/>
        <v/>
      </c>
      <c r="O560" s="1763" t="str">
        <f t="shared" si="526"/>
        <v/>
      </c>
      <c r="P560" s="1764" t="str">
        <f t="shared" si="527"/>
        <v/>
      </c>
      <c r="Q560" s="120" t="str">
        <f t="shared" si="528"/>
        <v/>
      </c>
      <c r="R560" s="1765"/>
    </row>
    <row r="561" spans="1:20" s="185" customFormat="1" ht="18" customHeight="1">
      <c r="A561" s="693"/>
      <c r="B561" s="714"/>
      <c r="C561" s="313" t="s">
        <v>729</v>
      </c>
      <c r="D561" s="173"/>
      <c r="E561" s="1581"/>
      <c r="F561" s="1581"/>
      <c r="G561" s="710"/>
      <c r="H561" s="710"/>
      <c r="I561" s="710"/>
      <c r="J561" s="711"/>
      <c r="K561" s="684">
        <f t="shared" si="532"/>
        <v>1</v>
      </c>
      <c r="L561" s="708">
        <v>1</v>
      </c>
      <c r="M561" s="709">
        <f t="shared" si="533"/>
        <v>1</v>
      </c>
      <c r="N561" s="362" t="str">
        <f t="shared" si="525"/>
        <v/>
      </c>
      <c r="O561" s="1763" t="str">
        <f t="shared" si="526"/>
        <v/>
      </c>
      <c r="P561" s="1764" t="str">
        <f t="shared" si="527"/>
        <v/>
      </c>
      <c r="Q561" s="120" t="str">
        <f t="shared" si="528"/>
        <v/>
      </c>
      <c r="R561" s="1765"/>
    </row>
    <row r="562" spans="1:20" s="690" customFormat="1" ht="18" customHeight="1">
      <c r="A562" s="1767"/>
      <c r="B562" s="1851"/>
      <c r="C562" s="1966" t="s">
        <v>3377</v>
      </c>
      <c r="D562" s="1582"/>
      <c r="E562" s="1780"/>
      <c r="F562" s="1782"/>
      <c r="G562" s="1761"/>
      <c r="H562" s="1761"/>
      <c r="I562" s="1761"/>
      <c r="J562" s="689"/>
      <c r="K562" s="684">
        <f t="shared" si="532"/>
        <v>1</v>
      </c>
      <c r="L562" s="708">
        <v>1</v>
      </c>
      <c r="M562" s="709">
        <f t="shared" si="533"/>
        <v>1</v>
      </c>
      <c r="N562" s="362" t="str">
        <f t="shared" si="525"/>
        <v/>
      </c>
      <c r="O562" s="1763" t="str">
        <f t="shared" si="526"/>
        <v/>
      </c>
      <c r="P562" s="1764" t="str">
        <f t="shared" si="527"/>
        <v/>
      </c>
      <c r="Q562" s="120" t="str">
        <f t="shared" si="528"/>
        <v/>
      </c>
      <c r="R562" s="185"/>
    </row>
    <row r="563" spans="1:20" s="690" customFormat="1" ht="18" customHeight="1">
      <c r="A563" s="1767"/>
      <c r="B563" s="1781">
        <v>2</v>
      </c>
      <c r="C563" s="1960" t="str">
        <f t="shared" ref="C563:C564" si="544">VLOOKUP(D563,base_datos,6,FALSE)</f>
        <v>ITM Caja Moldeada 3x50A (reg.[0.7-1.0] In) - XT2N160-50A-3P-TMA - 65kA@230Vac, 36kA@415Vac - marca ABB.</v>
      </c>
      <c r="D563" s="2006" t="s">
        <v>847</v>
      </c>
      <c r="E563" s="1791">
        <f t="shared" ref="E563:E566" si="545">VLOOKUP(D563,base_datos,5,FALSE)</f>
        <v>207</v>
      </c>
      <c r="F563" s="1782">
        <f t="shared" ref="F563:F566" si="546">+E563*B563</f>
        <v>414</v>
      </c>
      <c r="G563" s="1761"/>
      <c r="H563" s="1761"/>
      <c r="I563" s="1761"/>
      <c r="J563" s="1783"/>
      <c r="K563" s="684">
        <f t="shared" si="532"/>
        <v>1</v>
      </c>
      <c r="L563" s="708">
        <v>1</v>
      </c>
      <c r="M563" s="709">
        <f t="shared" si="533"/>
        <v>2</v>
      </c>
      <c r="N563" s="362">
        <f t="shared" si="525"/>
        <v>2</v>
      </c>
      <c r="O563" s="1763" t="str">
        <f t="shared" si="526"/>
        <v>1SDA067015R1</v>
      </c>
      <c r="P563" s="1764" t="str">
        <f t="shared" si="527"/>
        <v>ITM Caja Moldeada 3x50A (reg.[0.7-1.0] In) - XT2N160-50A-3P-TMA - 65kA@230Vac, 36kA@415Vac - marca ABB.</v>
      </c>
      <c r="Q563" s="120" t="str">
        <f t="shared" si="528"/>
        <v>XT2N160-50A-3P-TMA</v>
      </c>
      <c r="R563" s="185"/>
    </row>
    <row r="564" spans="1:20" s="690" customFormat="1" ht="18" customHeight="1">
      <c r="A564" s="1767"/>
      <c r="B564" s="1781">
        <v>3</v>
      </c>
      <c r="C564" s="1960" t="str">
        <f t="shared" si="544"/>
        <v>ITM Caja Moldeada 3x32A (reg.[0.7-1.0] In) - XT2N160-32A-3P-TMD - 65kA@230Vac, 36kA@415Vac - marca ABB.</v>
      </c>
      <c r="D564" s="2006" t="s">
        <v>850</v>
      </c>
      <c r="E564" s="1791">
        <f t="shared" si="545"/>
        <v>207</v>
      </c>
      <c r="F564" s="1782">
        <f t="shared" si="546"/>
        <v>621</v>
      </c>
      <c r="G564" s="1761"/>
      <c r="H564" s="1761"/>
      <c r="I564" s="1761"/>
      <c r="J564" s="1783"/>
      <c r="K564" s="684">
        <f t="shared" si="532"/>
        <v>1</v>
      </c>
      <c r="L564" s="708">
        <v>1</v>
      </c>
      <c r="M564" s="709">
        <f t="shared" si="533"/>
        <v>3</v>
      </c>
      <c r="N564" s="362">
        <f t="shared" si="525"/>
        <v>3</v>
      </c>
      <c r="O564" s="1763" t="str">
        <f t="shared" si="526"/>
        <v>1SDA067013R1</v>
      </c>
      <c r="P564" s="1764" t="str">
        <f t="shared" si="527"/>
        <v>ITM Caja Moldeada 3x32A (reg.[0.7-1.0] In) - XT2N160-32A-3P-TMD - 65kA@230Vac, 36kA@415Vac - marca ABB.</v>
      </c>
      <c r="Q564" s="120" t="str">
        <f t="shared" si="528"/>
        <v>XT2N160-32A-3P-TMD</v>
      </c>
      <c r="R564" s="185"/>
    </row>
    <row r="565" spans="1:20" s="690" customFormat="1" ht="18" customHeight="1">
      <c r="A565" s="1767"/>
      <c r="B565" s="1781">
        <v>2</v>
      </c>
      <c r="C565" s="1960" t="str">
        <f t="shared" ref="C565:C566" si="547">VLOOKUP(D565,base_datos,6,FALSE)</f>
        <v>ITM Caja Moldeada 3x20A (reg.[0.7-1.0] In) - XT2N160-20A-3P-TMD - 65kA@230Vac, 36kA@415Vac - marca ABB.</v>
      </c>
      <c r="D565" s="2006" t="s">
        <v>1331</v>
      </c>
      <c r="E565" s="1791">
        <f t="shared" si="545"/>
        <v>201.76999999999998</v>
      </c>
      <c r="F565" s="1782">
        <f t="shared" si="546"/>
        <v>403.53999999999996</v>
      </c>
      <c r="G565" s="1761"/>
      <c r="H565" s="1761"/>
      <c r="I565" s="1761"/>
      <c r="J565" s="1783"/>
      <c r="K565" s="684">
        <f t="shared" si="532"/>
        <v>1</v>
      </c>
      <c r="L565" s="708">
        <v>1</v>
      </c>
      <c r="M565" s="709">
        <f t="shared" si="533"/>
        <v>2</v>
      </c>
      <c r="N565" s="362">
        <f t="shared" si="525"/>
        <v>2</v>
      </c>
      <c r="O565" s="1763" t="str">
        <f t="shared" si="526"/>
        <v>1SDA067011R1</v>
      </c>
      <c r="P565" s="1764" t="str">
        <f t="shared" si="527"/>
        <v>ITM Caja Moldeada 3x20A (reg.[0.7-1.0] In) - XT2N160-20A-3P-TMD - 65kA@230Vac, 36kA@415Vac - marca ABB.</v>
      </c>
      <c r="Q565" s="120" t="str">
        <f t="shared" si="528"/>
        <v>XT2N160-20A-3P-TMD</v>
      </c>
      <c r="R565" s="185"/>
    </row>
    <row r="566" spans="1:20" s="690" customFormat="1" ht="18" customHeight="1">
      <c r="A566" s="1767"/>
      <c r="B566" s="1781">
        <v>1</v>
      </c>
      <c r="C566" s="1960" t="str">
        <f t="shared" si="547"/>
        <v>Espacio de reserva trifásica - Caja moldeada.</v>
      </c>
      <c r="D566" s="2008" t="s">
        <v>2932</v>
      </c>
      <c r="E566" s="1791">
        <f t="shared" si="545"/>
        <v>15</v>
      </c>
      <c r="F566" s="1782">
        <f t="shared" si="546"/>
        <v>15</v>
      </c>
      <c r="G566" s="1761"/>
      <c r="H566" s="1761"/>
      <c r="I566" s="1761"/>
      <c r="J566" s="1783"/>
      <c r="K566" s="684">
        <f t="shared" si="532"/>
        <v>1</v>
      </c>
      <c r="L566" s="708">
        <v>1</v>
      </c>
      <c r="M566" s="709">
        <f t="shared" si="533"/>
        <v>1</v>
      </c>
      <c r="N566" s="362" t="str">
        <f t="shared" si="525"/>
        <v/>
      </c>
      <c r="O566" s="1763" t="str">
        <f t="shared" si="526"/>
        <v/>
      </c>
      <c r="P566" s="1764" t="str">
        <f t="shared" si="527"/>
        <v/>
      </c>
      <c r="Q566" s="120" t="str">
        <f t="shared" si="528"/>
        <v/>
      </c>
      <c r="R566" s="185"/>
    </row>
    <row r="567" spans="1:20" s="185" customFormat="1" ht="18" customHeight="1">
      <c r="A567" s="1785"/>
      <c r="B567" s="714"/>
      <c r="C567" s="313" t="s">
        <v>729</v>
      </c>
      <c r="D567" s="173"/>
      <c r="E567" s="1786"/>
      <c r="F567" s="1787"/>
      <c r="G567" s="710"/>
      <c r="H567" s="710"/>
      <c r="I567" s="710"/>
      <c r="J567" s="711"/>
      <c r="K567" s="684">
        <f t="shared" si="532"/>
        <v>1</v>
      </c>
      <c r="L567" s="708">
        <v>1</v>
      </c>
      <c r="M567" s="709">
        <f t="shared" si="533"/>
        <v>1</v>
      </c>
      <c r="N567" s="362" t="str">
        <f t="shared" si="525"/>
        <v/>
      </c>
      <c r="O567" s="1763" t="str">
        <f t="shared" si="526"/>
        <v/>
      </c>
      <c r="P567" s="1764" t="str">
        <f t="shared" si="527"/>
        <v/>
      </c>
      <c r="Q567" s="120" t="str">
        <f t="shared" si="528"/>
        <v/>
      </c>
    </row>
    <row r="568" spans="1:20" s="315" customFormat="1">
      <c r="A568" s="1785"/>
      <c r="B568" s="355"/>
      <c r="C568" s="1944" t="s">
        <v>3063</v>
      </c>
      <c r="D568" s="1941"/>
      <c r="E568" s="1786"/>
      <c r="F568" s="1787"/>
      <c r="G568" s="712"/>
      <c r="H568" s="712"/>
      <c r="I568" s="712"/>
      <c r="J568" s="713"/>
      <c r="K568" s="684">
        <f t="shared" si="532"/>
        <v>1</v>
      </c>
      <c r="L568" s="708">
        <v>1</v>
      </c>
      <c r="M568" s="709">
        <f t="shared" si="533"/>
        <v>1</v>
      </c>
      <c r="N568" s="362" t="str">
        <f t="shared" si="525"/>
        <v/>
      </c>
      <c r="O568" s="1763" t="str">
        <f t="shared" si="526"/>
        <v/>
      </c>
      <c r="P568" s="1764" t="str">
        <f t="shared" si="527"/>
        <v/>
      </c>
      <c r="Q568" s="120" t="str">
        <f t="shared" si="528"/>
        <v/>
      </c>
    </row>
    <row r="569" spans="1:20" s="690" customFormat="1" ht="18" customHeight="1">
      <c r="A569" s="691"/>
      <c r="B569" s="1781">
        <v>1</v>
      </c>
      <c r="C569" s="1960" t="str">
        <f>VLOOKUP(D569,base_datos,6,FALSE)</f>
        <v>ITM Caja Moldeada 3x32A (reg.[0.7-1.0] In) - XT2N160-32A-3P-TMD - 65kA@230Vac, 36kA@415Vac - marca ABB.</v>
      </c>
      <c r="D569" s="2006" t="s">
        <v>850</v>
      </c>
      <c r="E569" s="1791">
        <f>VLOOKUP(D569,base_datos,5,FALSE)</f>
        <v>207</v>
      </c>
      <c r="F569" s="1782">
        <f t="shared" ref="F569:F570" si="548">+E569*B569</f>
        <v>207</v>
      </c>
      <c r="G569" s="1761"/>
      <c r="H569" s="1761"/>
      <c r="I569" s="1761"/>
      <c r="J569" s="1783"/>
      <c r="K569" s="684">
        <f t="shared" si="532"/>
        <v>1</v>
      </c>
      <c r="L569" s="708">
        <v>1</v>
      </c>
      <c r="M569" s="709">
        <f t="shared" si="533"/>
        <v>1</v>
      </c>
      <c r="N569" s="362">
        <f t="shared" si="525"/>
        <v>1</v>
      </c>
      <c r="O569" s="1763" t="str">
        <f t="shared" si="526"/>
        <v>1SDA067013R1</v>
      </c>
      <c r="P569" s="1764" t="str">
        <f t="shared" si="527"/>
        <v>ITM Caja Moldeada 3x32A (reg.[0.7-1.0] In) - XT2N160-32A-3P-TMD - 65kA@230Vac, 36kA@415Vac - marca ABB.</v>
      </c>
      <c r="Q569" s="120" t="str">
        <f t="shared" si="528"/>
        <v>XT2N160-32A-3P-TMD</v>
      </c>
      <c r="R569" s="185"/>
    </row>
    <row r="570" spans="1:20" s="690" customFormat="1" ht="18" customHeight="1">
      <c r="A570" s="691"/>
      <c r="B570" s="1781">
        <v>1</v>
      </c>
      <c r="C570" s="1960" t="str">
        <f>VLOOKUP(D570,base_datos,6,FALSE)</f>
        <v>Supresor contra sobretensiones (Tipo 1, UL 1449) - OVRHT3C504803D - I_max=50kA por fase, Un=480V,  MCOV=640V (L-G), VPR=2.5kV (L-G) - marca ABB.</v>
      </c>
      <c r="D570" s="2006" t="s">
        <v>12357</v>
      </c>
      <c r="E570" s="1791">
        <f>VLOOKUP(D570,base_datos,5,FALSE)</f>
        <v>386.44</v>
      </c>
      <c r="F570" s="1782">
        <f t="shared" si="548"/>
        <v>386.44</v>
      </c>
      <c r="G570" s="1761"/>
      <c r="H570" s="1761"/>
      <c r="I570" s="1761"/>
      <c r="J570" s="1783"/>
      <c r="K570" s="684">
        <f t="shared" si="532"/>
        <v>1</v>
      </c>
      <c r="L570" s="708">
        <v>1</v>
      </c>
      <c r="M570" s="709">
        <f t="shared" si="533"/>
        <v>1</v>
      </c>
      <c r="N570" s="362">
        <f t="shared" si="525"/>
        <v>1</v>
      </c>
      <c r="O570" s="1763" t="str">
        <f t="shared" si="526"/>
        <v>2CJC605480D0000</v>
      </c>
      <c r="P570" s="1764" t="str">
        <f t="shared" si="527"/>
        <v>Supresor contra sobretensiones (Tipo 1, UL 1449) - OVRHT3C504803D - I_max=50kA por fase, Un=480V,  MCOV=640V (L-G), VPR=2.5kV (L-G) - marca ABB.</v>
      </c>
      <c r="Q570" s="120" t="str">
        <f t="shared" si="528"/>
        <v>OVRHT3C504803D</v>
      </c>
      <c r="R570" s="185"/>
    </row>
    <row r="571" spans="1:20" s="185" customFormat="1" ht="18" customHeight="1">
      <c r="A571" s="1785"/>
      <c r="B571" s="714"/>
      <c r="C571" s="1893" t="s">
        <v>729</v>
      </c>
      <c r="D571" s="173"/>
      <c r="E571" s="1786"/>
      <c r="F571" s="1787"/>
      <c r="G571" s="710"/>
      <c r="H571" s="710"/>
      <c r="I571" s="710"/>
      <c r="J571" s="711"/>
      <c r="K571" s="684">
        <f t="shared" si="532"/>
        <v>1</v>
      </c>
      <c r="L571" s="708">
        <v>1</v>
      </c>
      <c r="M571" s="709">
        <f t="shared" si="533"/>
        <v>1</v>
      </c>
      <c r="N571" s="362" t="str">
        <f t="shared" si="525"/>
        <v/>
      </c>
      <c r="O571" s="1763" t="str">
        <f t="shared" si="526"/>
        <v/>
      </c>
      <c r="P571" s="1764" t="str">
        <f t="shared" si="527"/>
        <v/>
      </c>
      <c r="Q571" s="120" t="str">
        <f t="shared" si="528"/>
        <v/>
      </c>
    </row>
    <row r="572" spans="1:20" s="315" customFormat="1" ht="12.75" customHeight="1">
      <c r="A572" s="2253"/>
      <c r="B572" s="2254">
        <v>1</v>
      </c>
      <c r="C572" s="82" t="s">
        <v>13364</v>
      </c>
      <c r="D572" s="2255"/>
      <c r="E572" s="2256"/>
      <c r="F572" s="2257">
        <f>+SUM(F573:F581)*(B572-1)</f>
        <v>0</v>
      </c>
      <c r="G572" s="712"/>
      <c r="H572" s="712"/>
      <c r="I572" s="712"/>
      <c r="J572" s="713"/>
      <c r="K572" s="684">
        <v>1</v>
      </c>
      <c r="L572" s="2258">
        <v>1</v>
      </c>
      <c r="M572" s="120">
        <f t="shared" si="533"/>
        <v>1</v>
      </c>
      <c r="N572" s="112" t="str">
        <f t="shared" si="525"/>
        <v/>
      </c>
      <c r="O572" s="112" t="str">
        <f t="shared" si="526"/>
        <v/>
      </c>
      <c r="P572" s="120" t="str">
        <f t="shared" si="527"/>
        <v/>
      </c>
      <c r="Q572" s="120" t="str">
        <f t="shared" si="528"/>
        <v/>
      </c>
      <c r="R572" s="2128"/>
      <c r="S572" s="112" t="str">
        <f t="shared" ref="S572:S588" si="549">IF(O572&lt;&gt;"",VLOOKUP(D572,base_datos,9,FALSE),"")</f>
        <v/>
      </c>
      <c r="T572" s="2128"/>
    </row>
    <row r="573" spans="1:20" s="1921" customFormat="1" ht="12.75" customHeight="1">
      <c r="A573" s="2253"/>
      <c r="B573" s="2259">
        <f>B574</f>
        <v>1</v>
      </c>
      <c r="C573" s="81" t="str">
        <f>VLOOKUP(D573,base_datos,6,FALSE)</f>
        <v>Lámpara fluorescente - 230V, 60Hz 13W - modelo CLG, marca FANDIS.</v>
      </c>
      <c r="D573" s="144" t="s">
        <v>3406</v>
      </c>
      <c r="E573" s="2283">
        <f>VLOOKUP(D573,base_datos,5,FALSE)</f>
        <v>66.399999999999991</v>
      </c>
      <c r="F573" s="2260">
        <f>+E573*B573</f>
        <v>66.399999999999991</v>
      </c>
      <c r="G573" s="1919"/>
      <c r="H573" s="1919"/>
      <c r="I573" s="1919"/>
      <c r="J573" s="1920"/>
      <c r="K573" s="684">
        <v>1</v>
      </c>
      <c r="L573" s="2258">
        <v>1</v>
      </c>
      <c r="M573" s="120">
        <f t="shared" si="533"/>
        <v>1</v>
      </c>
      <c r="N573" s="112">
        <f t="shared" si="525"/>
        <v>1</v>
      </c>
      <c r="O573" s="112" t="str">
        <f t="shared" si="526"/>
        <v>LAMP_FLUOR_FAND</v>
      </c>
      <c r="P573" s="120" t="str">
        <f t="shared" si="527"/>
        <v>Lámpara fluorescente - 230V, 60Hz 13W - modelo CLG, marca FANDIS.</v>
      </c>
      <c r="Q573" s="120" t="str">
        <f t="shared" si="528"/>
        <v>LAMP_FLUOR_FAND</v>
      </c>
      <c r="R573" s="2261"/>
      <c r="S573" s="112" t="str">
        <f t="shared" si="549"/>
        <v>FANDIS</v>
      </c>
      <c r="T573" s="2261"/>
    </row>
    <row r="574" spans="1:20" s="185" customFormat="1" ht="12.75" customHeight="1">
      <c r="A574" s="2262"/>
      <c r="B574" s="2263">
        <v>1</v>
      </c>
      <c r="C574" s="2279"/>
      <c r="D574" s="2284"/>
      <c r="E574" s="2260"/>
      <c r="F574" s="2260"/>
      <c r="G574" s="710"/>
      <c r="H574" s="710"/>
      <c r="I574" s="710"/>
      <c r="J574" s="711"/>
      <c r="K574" s="684">
        <v>1</v>
      </c>
      <c r="L574" s="2258">
        <v>1</v>
      </c>
      <c r="M574" s="120">
        <f t="shared" si="533"/>
        <v>1</v>
      </c>
      <c r="N574" s="112" t="str">
        <f t="shared" si="525"/>
        <v/>
      </c>
      <c r="O574" s="112" t="str">
        <f t="shared" si="526"/>
        <v/>
      </c>
      <c r="P574" s="120" t="str">
        <f t="shared" si="527"/>
        <v/>
      </c>
      <c r="Q574" s="120" t="str">
        <f t="shared" si="528"/>
        <v/>
      </c>
      <c r="R574" s="118"/>
      <c r="S574" s="112" t="str">
        <f t="shared" si="549"/>
        <v/>
      </c>
      <c r="T574" s="118"/>
    </row>
    <row r="575" spans="1:20" s="1921" customFormat="1" ht="12.75" customHeight="1">
      <c r="A575" s="2262"/>
      <c r="B575" s="2259">
        <f>B576</f>
        <v>1</v>
      </c>
      <c r="C575" s="81" t="str">
        <f>VLOOKUP(D575,base_datos,6,FALSE)</f>
        <v>Switch de puerta - FC-001.</v>
      </c>
      <c r="D575" s="2296" t="s">
        <v>3408</v>
      </c>
      <c r="E575" s="2283">
        <f>VLOOKUP(D575,base_datos,5,FALSE)</f>
        <v>47.6</v>
      </c>
      <c r="F575" s="2260">
        <f>+E575*B575</f>
        <v>47.6</v>
      </c>
      <c r="G575" s="1919"/>
      <c r="H575" s="1919"/>
      <c r="I575" s="1919"/>
      <c r="J575" s="1920"/>
      <c r="K575" s="684">
        <v>1</v>
      </c>
      <c r="L575" s="2258">
        <v>1</v>
      </c>
      <c r="M575" s="120">
        <f t="shared" si="533"/>
        <v>1</v>
      </c>
      <c r="N575" s="112">
        <f t="shared" si="525"/>
        <v>1</v>
      </c>
      <c r="O575" s="112" t="str">
        <f t="shared" si="526"/>
        <v>LIMIT_SWITCH_FAND</v>
      </c>
      <c r="P575" s="120" t="str">
        <f t="shared" si="527"/>
        <v>Switch de puerta - FC-001.</v>
      </c>
      <c r="Q575" s="120" t="str">
        <f t="shared" si="528"/>
        <v>LIMIT_SWITCH_FAND</v>
      </c>
      <c r="R575" s="2261"/>
      <c r="S575" s="112" t="str">
        <f t="shared" si="549"/>
        <v>FANDIS</v>
      </c>
      <c r="T575" s="2261"/>
    </row>
    <row r="576" spans="1:20" s="185" customFormat="1" ht="12.75" customHeight="1">
      <c r="A576" s="2262"/>
      <c r="B576" s="2263">
        <v>1</v>
      </c>
      <c r="C576" s="2279"/>
      <c r="D576" s="2284"/>
      <c r="E576" s="2260"/>
      <c r="F576" s="2260"/>
      <c r="G576" s="710"/>
      <c r="H576" s="710"/>
      <c r="I576" s="710"/>
      <c r="J576" s="711"/>
      <c r="K576" s="684">
        <v>1</v>
      </c>
      <c r="L576" s="2258">
        <v>1</v>
      </c>
      <c r="M576" s="120">
        <f t="shared" si="533"/>
        <v>1</v>
      </c>
      <c r="N576" s="112" t="str">
        <f t="shared" si="525"/>
        <v/>
      </c>
      <c r="O576" s="112" t="str">
        <f t="shared" si="526"/>
        <v/>
      </c>
      <c r="P576" s="120" t="str">
        <f t="shared" si="527"/>
        <v/>
      </c>
      <c r="Q576" s="120" t="str">
        <f t="shared" si="528"/>
        <v/>
      </c>
      <c r="R576" s="118"/>
      <c r="S576" s="112" t="str">
        <f t="shared" si="549"/>
        <v/>
      </c>
      <c r="T576" s="118"/>
    </row>
    <row r="577" spans="1:20" s="185" customFormat="1" ht="12.75" customHeight="1">
      <c r="A577" s="2262"/>
      <c r="B577" s="2263">
        <v>1</v>
      </c>
      <c r="C577" s="2279" t="str">
        <f>VLOOKUP(D577,base_datos,6,FALSE)</f>
        <v>Contactor 3x09A(AC-3) 1NO+1NC - CTX3-9A - bobina 230Vac - marca Legrand.</v>
      </c>
      <c r="D577" s="2284" t="s">
        <v>10823</v>
      </c>
      <c r="E577" s="2283">
        <f>VLOOKUP(D577,base_datos,5,FALSE)</f>
        <v>40.888738127544087</v>
      </c>
      <c r="F577" s="2260">
        <f>+E577*B577</f>
        <v>40.888738127544087</v>
      </c>
      <c r="G577" s="710"/>
      <c r="H577" s="710"/>
      <c r="I577" s="710"/>
      <c r="J577" s="711"/>
      <c r="K577" s="684">
        <v>1</v>
      </c>
      <c r="L577" s="2258">
        <v>1</v>
      </c>
      <c r="M577" s="120">
        <f t="shared" si="533"/>
        <v>1</v>
      </c>
      <c r="N577" s="112">
        <f t="shared" si="525"/>
        <v>1</v>
      </c>
      <c r="O577" s="112">
        <f t="shared" si="526"/>
        <v>416086</v>
      </c>
      <c r="P577" s="120" t="str">
        <f t="shared" si="527"/>
        <v>Contactor 3x09A(AC-3) 1NO+1NC - CTX3-9A - bobina 230Vac - marca Legrand.</v>
      </c>
      <c r="Q577" s="120" t="str">
        <f t="shared" si="528"/>
        <v>CTX3-9A</v>
      </c>
      <c r="R577" s="118"/>
      <c r="S577" s="112" t="str">
        <f t="shared" si="549"/>
        <v>Legrand</v>
      </c>
      <c r="T577" s="118"/>
    </row>
    <row r="578" spans="1:20" s="1921" customFormat="1" ht="12.75" customHeight="1">
      <c r="A578" s="2262"/>
      <c r="B578" s="2259">
        <v>1</v>
      </c>
      <c r="C578" t="s">
        <v>3361</v>
      </c>
      <c r="D578" s="2265"/>
      <c r="E578" s="2285"/>
      <c r="F578" s="2266"/>
      <c r="G578" s="1919"/>
      <c r="H578" s="1919"/>
      <c r="I578" s="1919"/>
      <c r="J578" s="1920"/>
      <c r="K578" s="684">
        <v>1</v>
      </c>
      <c r="L578" s="2258">
        <v>1</v>
      </c>
      <c r="M578" s="120">
        <f t="shared" si="533"/>
        <v>1</v>
      </c>
      <c r="N578" s="112" t="str">
        <f t="shared" si="525"/>
        <v/>
      </c>
      <c r="O578" s="112" t="str">
        <f t="shared" si="526"/>
        <v/>
      </c>
      <c r="P578" s="120" t="str">
        <f t="shared" si="527"/>
        <v/>
      </c>
      <c r="Q578" s="120" t="str">
        <f t="shared" si="528"/>
        <v/>
      </c>
      <c r="R578" s="2261"/>
      <c r="S578" s="112" t="str">
        <f t="shared" si="549"/>
        <v/>
      </c>
      <c r="T578" s="2261"/>
    </row>
    <row r="579" spans="1:20" s="185" customFormat="1" ht="12.75" customHeight="1">
      <c r="A579" s="2262"/>
      <c r="B579" s="2263">
        <v>1</v>
      </c>
      <c r="C579" s="2279" t="str">
        <f>VLOOKUP(D579,base_datos,6,FALSE)</f>
        <v>Base portafusibles + Fusibles de protección para control.</v>
      </c>
      <c r="D579" s="2267" t="s">
        <v>453</v>
      </c>
      <c r="E579" s="2286">
        <f>VLOOKUP(D579,base_datos,5,FALSE)</f>
        <v>8.1750000000000007</v>
      </c>
      <c r="F579" s="2264">
        <f>+E579*B579</f>
        <v>8.1750000000000007</v>
      </c>
      <c r="G579" s="710"/>
      <c r="H579" s="710"/>
      <c r="I579" s="710"/>
      <c r="J579" s="711"/>
      <c r="K579" s="684">
        <v>1</v>
      </c>
      <c r="L579" s="2258">
        <v>1</v>
      </c>
      <c r="M579" s="120">
        <f t="shared" si="533"/>
        <v>1</v>
      </c>
      <c r="N579" s="112" t="str">
        <f t="shared" si="525"/>
        <v/>
      </c>
      <c r="O579" s="112" t="str">
        <f t="shared" si="526"/>
        <v/>
      </c>
      <c r="P579" s="120" t="str">
        <f t="shared" si="527"/>
        <v/>
      </c>
      <c r="Q579" s="120" t="str">
        <f t="shared" si="528"/>
        <v/>
      </c>
      <c r="R579" s="118"/>
      <c r="S579" s="112" t="str">
        <f t="shared" si="549"/>
        <v/>
      </c>
      <c r="T579" s="118"/>
    </row>
    <row r="580" spans="1:20" s="320" customFormat="1" ht="12.75" customHeight="1">
      <c r="A580" s="2262"/>
      <c r="B580" s="2263">
        <v>1</v>
      </c>
      <c r="C580" s="2279" t="str">
        <f>VLOOKUP(D580,base_datos,6,FALSE)</f>
        <v>Borne 4mm2.</v>
      </c>
      <c r="D580" s="2267" t="s">
        <v>437</v>
      </c>
      <c r="E580" s="2286">
        <f>VLOOKUP(D580,base_datos,5,FALSE)</f>
        <v>2.5</v>
      </c>
      <c r="F580" s="2264">
        <f>+E580*B580</f>
        <v>2.5</v>
      </c>
      <c r="G580" s="1924"/>
      <c r="H580" s="1924"/>
      <c r="I580" s="1924"/>
      <c r="J580" s="722"/>
      <c r="K580" s="684">
        <v>1</v>
      </c>
      <c r="L580" s="2258">
        <v>1</v>
      </c>
      <c r="M580" s="120">
        <f t="shared" si="533"/>
        <v>1</v>
      </c>
      <c r="N580" s="112" t="str">
        <f t="shared" si="525"/>
        <v/>
      </c>
      <c r="O580" s="112" t="str">
        <f t="shared" si="526"/>
        <v/>
      </c>
      <c r="P580" s="120" t="str">
        <f t="shared" si="527"/>
        <v/>
      </c>
      <c r="Q580" s="120" t="str">
        <f t="shared" si="528"/>
        <v/>
      </c>
      <c r="R580" s="709"/>
      <c r="S580" s="112" t="str">
        <f t="shared" si="549"/>
        <v/>
      </c>
      <c r="T580" s="709"/>
    </row>
    <row r="581" spans="1:20" s="320" customFormat="1" ht="12.75" customHeight="1">
      <c r="A581" s="2262"/>
      <c r="B581" s="2263">
        <v>1</v>
      </c>
      <c r="C581" s="2279" t="str">
        <f>VLOOKUP(D581,base_datos,6,FALSE)</f>
        <v>Borne para neutro.</v>
      </c>
      <c r="D581" s="2267" t="s">
        <v>436</v>
      </c>
      <c r="E581" s="2286">
        <f>VLOOKUP(D581,base_datos,5,FALSE)</f>
        <v>4</v>
      </c>
      <c r="F581" s="2264">
        <f>+E581*B581</f>
        <v>4</v>
      </c>
      <c r="G581" s="1924"/>
      <c r="H581" s="1924"/>
      <c r="I581" s="1924"/>
      <c r="J581" s="722"/>
      <c r="K581" s="684">
        <v>1</v>
      </c>
      <c r="L581" s="2258">
        <v>1</v>
      </c>
      <c r="M581" s="120">
        <f t="shared" si="533"/>
        <v>1</v>
      </c>
      <c r="N581" s="112" t="str">
        <f t="shared" si="525"/>
        <v/>
      </c>
      <c r="O581" s="112" t="str">
        <f t="shared" si="526"/>
        <v/>
      </c>
      <c r="P581" s="120" t="str">
        <f t="shared" si="527"/>
        <v/>
      </c>
      <c r="Q581" s="120" t="str">
        <f t="shared" si="528"/>
        <v/>
      </c>
      <c r="R581" s="709"/>
      <c r="S581" s="112" t="str">
        <f t="shared" si="549"/>
        <v/>
      </c>
      <c r="T581" s="709"/>
    </row>
    <row r="582" spans="1:20" s="19" customFormat="1" ht="21.9" customHeight="1">
      <c r="A582" s="2262"/>
      <c r="B582" s="2268"/>
      <c r="C582" s="1893" t="s">
        <v>729</v>
      </c>
      <c r="D582" s="169"/>
      <c r="E582" s="2269"/>
      <c r="F582" s="2290"/>
      <c r="I582" s="137"/>
      <c r="J582" s="2270"/>
      <c r="K582" s="684">
        <v>1</v>
      </c>
      <c r="L582" s="2258">
        <v>1</v>
      </c>
      <c r="M582" s="120">
        <f t="shared" si="533"/>
        <v>1</v>
      </c>
      <c r="N582" s="112" t="str">
        <f t="shared" si="525"/>
        <v/>
      </c>
      <c r="O582" s="112" t="str">
        <f t="shared" si="526"/>
        <v/>
      </c>
      <c r="P582" s="120" t="str">
        <f t="shared" si="527"/>
        <v/>
      </c>
      <c r="Q582" s="120" t="str">
        <f t="shared" si="528"/>
        <v/>
      </c>
      <c r="R582" s="161"/>
      <c r="S582" s="112" t="str">
        <f t="shared" si="549"/>
        <v/>
      </c>
      <c r="T582" s="161"/>
    </row>
    <row r="583" spans="1:20" s="315" customFormat="1" ht="12.75" customHeight="1">
      <c r="A583" s="2271"/>
      <c r="B583" s="2272">
        <v>1</v>
      </c>
      <c r="C583" s="2281" t="s">
        <v>13366</v>
      </c>
      <c r="D583" s="1935"/>
      <c r="E583" s="2287"/>
      <c r="F583" s="2257">
        <f>+SUM(F584:F587)*(B583-1)</f>
        <v>0</v>
      </c>
      <c r="G583" s="712"/>
      <c r="H583" s="712"/>
      <c r="I583" s="712"/>
      <c r="J583" s="713"/>
      <c r="K583" s="684">
        <v>1</v>
      </c>
      <c r="L583" s="2258">
        <v>1</v>
      </c>
      <c r="M583" s="120">
        <f t="shared" si="533"/>
        <v>1</v>
      </c>
      <c r="N583" s="112" t="str">
        <f t="shared" si="525"/>
        <v/>
      </c>
      <c r="O583" s="112" t="str">
        <f t="shared" si="526"/>
        <v/>
      </c>
      <c r="P583" s="120" t="str">
        <f t="shared" si="527"/>
        <v/>
      </c>
      <c r="Q583" s="120" t="str">
        <f t="shared" si="528"/>
        <v/>
      </c>
      <c r="S583" s="112" t="str">
        <f t="shared" si="549"/>
        <v/>
      </c>
      <c r="T583" s="2128"/>
    </row>
    <row r="584" spans="1:20" s="690" customFormat="1" ht="18" customHeight="1">
      <c r="A584" s="2273"/>
      <c r="B584" s="1781">
        <v>1</v>
      </c>
      <c r="C584" s="1420" t="str">
        <f t="shared" ref="C584:C587" si="550">VLOOKUP(D584,base_datos,6,FALSE)</f>
        <v>Calefactor resistivo 60W, modelo RACM - marca FANDIS.</v>
      </c>
      <c r="D584" s="1899" t="s">
        <v>3298</v>
      </c>
      <c r="E584" s="2288">
        <f t="shared" ref="E584" si="551">VLOOKUP(D584,base_datos,5,FALSE)</f>
        <v>127.1</v>
      </c>
      <c r="F584" s="1782">
        <f>+E584*B584</f>
        <v>127.1</v>
      </c>
      <c r="G584" s="1761"/>
      <c r="H584" s="1761"/>
      <c r="I584" s="1761"/>
      <c r="J584" s="689"/>
      <c r="K584" s="684">
        <v>1</v>
      </c>
      <c r="L584" s="2258">
        <v>1</v>
      </c>
      <c r="M584" s="120">
        <f t="shared" si="533"/>
        <v>1</v>
      </c>
      <c r="N584" s="112">
        <f t="shared" si="525"/>
        <v>1</v>
      </c>
      <c r="O584" s="112" t="str">
        <f t="shared" si="526"/>
        <v>RACM-60</v>
      </c>
      <c r="P584" s="120" t="str">
        <f t="shared" si="527"/>
        <v>Calefactor resistivo 60W, modelo RACM - marca FANDIS.</v>
      </c>
      <c r="Q584" s="120" t="str">
        <f t="shared" si="528"/>
        <v>CALEFACT-60W_FAND</v>
      </c>
      <c r="S584" s="112" t="str">
        <f t="shared" si="549"/>
        <v>FANDIS</v>
      </c>
      <c r="T584" s="1765"/>
    </row>
    <row r="585" spans="1:20" s="690" customFormat="1" ht="18" customHeight="1">
      <c r="A585" s="2273"/>
      <c r="B585" s="1781">
        <v>1</v>
      </c>
      <c r="C585" s="1420" t="str">
        <f t="shared" si="550"/>
        <v>Termostato para ventilación - 1NA - 230V - marca FANDIS.</v>
      </c>
      <c r="D585" s="1899" t="s">
        <v>3294</v>
      </c>
      <c r="E585" s="2288">
        <f t="shared" ref="E585:E587" si="552">VLOOKUP(D585,base_datos,5,FALSE)</f>
        <v>41.58</v>
      </c>
      <c r="F585" s="1782">
        <f>+E585*B585</f>
        <v>41.58</v>
      </c>
      <c r="G585" s="1761"/>
      <c r="H585" s="1761"/>
      <c r="I585" s="1761"/>
      <c r="J585" s="689"/>
      <c r="K585" s="684">
        <v>1</v>
      </c>
      <c r="L585" s="2258">
        <v>1</v>
      </c>
      <c r="M585" s="120">
        <f t="shared" si="533"/>
        <v>1</v>
      </c>
      <c r="N585" s="112">
        <f t="shared" si="525"/>
        <v>1</v>
      </c>
      <c r="O585" s="112" t="str">
        <f t="shared" si="526"/>
        <v>TRT-10A230V-NO</v>
      </c>
      <c r="P585" s="120" t="str">
        <f t="shared" si="527"/>
        <v>Termostato para ventilación - 1NA - 230V - marca FANDIS.</v>
      </c>
      <c r="Q585" s="120" t="str">
        <f t="shared" si="528"/>
        <v>TRT-1NA</v>
      </c>
      <c r="S585" s="112" t="str">
        <f t="shared" si="549"/>
        <v>FANDIS</v>
      </c>
      <c r="T585" s="1765"/>
    </row>
    <row r="586" spans="1:20" s="320" customFormat="1" ht="12.75" customHeight="1">
      <c r="A586" s="2274"/>
      <c r="B586" s="2275">
        <v>1</v>
      </c>
      <c r="C586" s="2282" t="str">
        <f t="shared" si="550"/>
        <v>Base portafusibles + Fusibles de protección para control.</v>
      </c>
      <c r="D586" s="1579" t="s">
        <v>453</v>
      </c>
      <c r="E586" s="2289">
        <f t="shared" si="552"/>
        <v>8.1750000000000007</v>
      </c>
      <c r="F586" s="2264">
        <f>+E586*B586</f>
        <v>8.1750000000000007</v>
      </c>
      <c r="G586" s="2276"/>
      <c r="H586" s="2276"/>
      <c r="I586" s="2276"/>
      <c r="J586" s="722"/>
      <c r="K586" s="684">
        <v>1</v>
      </c>
      <c r="L586" s="2258">
        <v>1</v>
      </c>
      <c r="M586" s="120">
        <f t="shared" si="533"/>
        <v>1</v>
      </c>
      <c r="N586" s="112" t="str">
        <f t="shared" si="525"/>
        <v/>
      </c>
      <c r="O586" s="112" t="str">
        <f t="shared" si="526"/>
        <v/>
      </c>
      <c r="P586" s="120" t="str">
        <f t="shared" si="527"/>
        <v/>
      </c>
      <c r="Q586" s="120" t="str">
        <f t="shared" si="528"/>
        <v/>
      </c>
      <c r="R586" s="185"/>
      <c r="S586" s="112" t="str">
        <f t="shared" si="549"/>
        <v/>
      </c>
      <c r="T586" s="709"/>
    </row>
    <row r="587" spans="1:20" s="320" customFormat="1" ht="12.75" customHeight="1">
      <c r="A587" s="2274"/>
      <c r="B587" s="2277">
        <v>1</v>
      </c>
      <c r="C587" s="2282" t="str">
        <f t="shared" si="550"/>
        <v>Borne 4mm2.</v>
      </c>
      <c r="D587" s="1579" t="s">
        <v>437</v>
      </c>
      <c r="E587" s="2260">
        <f t="shared" si="552"/>
        <v>2.5</v>
      </c>
      <c r="F587" s="2260">
        <f>+E587*B587</f>
        <v>2.5</v>
      </c>
      <c r="G587" s="2276"/>
      <c r="H587" s="2276"/>
      <c r="I587" s="2276"/>
      <c r="J587" s="722"/>
      <c r="K587" s="684">
        <v>1</v>
      </c>
      <c r="L587" s="2258">
        <v>1</v>
      </c>
      <c r="M587" s="120">
        <f t="shared" si="533"/>
        <v>1</v>
      </c>
      <c r="N587" s="112" t="str">
        <f t="shared" si="525"/>
        <v/>
      </c>
      <c r="O587" s="112" t="str">
        <f t="shared" si="526"/>
        <v/>
      </c>
      <c r="P587" s="120" t="str">
        <f t="shared" si="527"/>
        <v/>
      </c>
      <c r="Q587" s="120" t="str">
        <f t="shared" si="528"/>
        <v/>
      </c>
      <c r="R587" s="185"/>
      <c r="S587" s="112" t="str">
        <f t="shared" si="549"/>
        <v/>
      </c>
      <c r="T587" s="709"/>
    </row>
    <row r="588" spans="1:20" s="185" customFormat="1" ht="12.75" customHeight="1">
      <c r="A588" s="2262"/>
      <c r="B588" s="1760"/>
      <c r="C588" s="1893" t="s">
        <v>729</v>
      </c>
      <c r="D588" s="169"/>
      <c r="E588" s="2256"/>
      <c r="F588" s="2278"/>
      <c r="G588" s="710"/>
      <c r="H588" s="710"/>
      <c r="I588" s="710"/>
      <c r="J588" s="711"/>
      <c r="K588" s="684">
        <v>1</v>
      </c>
      <c r="L588" s="2258">
        <v>1</v>
      </c>
      <c r="M588" s="120">
        <f t="shared" si="533"/>
        <v>1</v>
      </c>
      <c r="N588" s="112" t="str">
        <f t="shared" si="525"/>
        <v/>
      </c>
      <c r="O588" s="112" t="str">
        <f t="shared" si="526"/>
        <v/>
      </c>
      <c r="P588" s="120" t="str">
        <f t="shared" si="527"/>
        <v/>
      </c>
      <c r="Q588" s="120" t="str">
        <f t="shared" si="528"/>
        <v/>
      </c>
      <c r="S588" s="112" t="str">
        <f t="shared" si="549"/>
        <v/>
      </c>
      <c r="T588" s="118"/>
    </row>
    <row r="589" spans="1:20" s="1236" customFormat="1" ht="18" customHeight="1">
      <c r="A589" s="1767"/>
      <c r="B589" s="1853">
        <v>1</v>
      </c>
      <c r="C589" s="1895" t="s">
        <v>12366</v>
      </c>
      <c r="D589" s="1902"/>
      <c r="E589" s="1792"/>
      <c r="F589" s="1793"/>
      <c r="G589" s="1784"/>
      <c r="H589" s="1784"/>
      <c r="I589" s="1784"/>
      <c r="J589" s="1182"/>
      <c r="K589" s="684">
        <f>+K569</f>
        <v>1</v>
      </c>
      <c r="L589" s="708">
        <v>1</v>
      </c>
      <c r="M589" s="709">
        <f t="shared" si="533"/>
        <v>1</v>
      </c>
      <c r="N589" s="362" t="str">
        <f t="shared" si="525"/>
        <v/>
      </c>
      <c r="O589" s="1763" t="str">
        <f t="shared" si="526"/>
        <v/>
      </c>
      <c r="P589" s="1764" t="str">
        <f t="shared" si="527"/>
        <v/>
      </c>
      <c r="Q589" s="120" t="str">
        <f t="shared" si="528"/>
        <v/>
      </c>
      <c r="R589" s="185"/>
    </row>
    <row r="590" spans="1:20" s="120" customFormat="1" ht="18" customHeight="1">
      <c r="A590" s="687"/>
      <c r="B590" s="1945">
        <v>2</v>
      </c>
      <c r="C590" s="1848" t="str">
        <f>VLOOKUP(D590,base_datos,6,FALSE)</f>
        <v>Transformador de tensión monofásico 480 / 240 Vac - 50VA.</v>
      </c>
      <c r="D590" s="1898" t="s">
        <v>8587</v>
      </c>
      <c r="E590" s="1581">
        <f>VLOOKUP(D590,base_datos,5,FALSE)</f>
        <v>76.8</v>
      </c>
      <c r="F590" s="1581">
        <f>+E590*B590</f>
        <v>153.6</v>
      </c>
      <c r="G590" s="686"/>
      <c r="H590" s="686"/>
      <c r="I590" s="686"/>
      <c r="J590" s="1768"/>
      <c r="K590" s="684">
        <f>+K570</f>
        <v>1</v>
      </c>
      <c r="L590" s="708">
        <v>1</v>
      </c>
      <c r="M590" s="709">
        <f t="shared" si="533"/>
        <v>2</v>
      </c>
      <c r="N590" s="362" t="str">
        <f t="shared" si="525"/>
        <v/>
      </c>
      <c r="O590" s="1763" t="str">
        <f t="shared" si="526"/>
        <v/>
      </c>
      <c r="P590" s="1764" t="str">
        <f t="shared" si="527"/>
        <v/>
      </c>
      <c r="Q590" s="120" t="str">
        <f t="shared" si="528"/>
        <v/>
      </c>
      <c r="R590" s="185"/>
    </row>
    <row r="591" spans="1:20" s="120" customFormat="1" ht="18" customHeight="1">
      <c r="A591" s="687"/>
      <c r="B591" s="1945">
        <v>1</v>
      </c>
      <c r="C591" s="1848" t="str">
        <f>VLOOKUP(D591,base_datos,6,FALSE)</f>
        <v>Transformador de tensión monofásico 480 / 240 Vac - 200VA.</v>
      </c>
      <c r="D591" s="1898" t="s">
        <v>5173</v>
      </c>
      <c r="E591" s="1581">
        <f>VLOOKUP(D591,base_datos,5,FALSE)</f>
        <v>89.5</v>
      </c>
      <c r="F591" s="1581">
        <f>+E591*B591</f>
        <v>89.5</v>
      </c>
      <c r="G591" s="686"/>
      <c r="H591" s="686"/>
      <c r="I591" s="686"/>
      <c r="J591" s="1768"/>
      <c r="K591" s="684">
        <f>+K571</f>
        <v>1</v>
      </c>
      <c r="L591" s="708">
        <v>1</v>
      </c>
      <c r="M591" s="709">
        <f t="shared" si="533"/>
        <v>1</v>
      </c>
      <c r="N591" s="362" t="str">
        <f t="shared" si="525"/>
        <v/>
      </c>
      <c r="O591" s="1763" t="str">
        <f t="shared" si="526"/>
        <v/>
      </c>
      <c r="P591" s="1764" t="str">
        <f t="shared" si="527"/>
        <v/>
      </c>
      <c r="Q591" s="120" t="str">
        <f t="shared" si="528"/>
        <v/>
      </c>
      <c r="R591" s="185"/>
    </row>
    <row r="592" spans="1:20" s="185" customFormat="1" ht="18" customHeight="1">
      <c r="A592" s="1785"/>
      <c r="B592" s="714"/>
      <c r="C592" s="1893" t="s">
        <v>729</v>
      </c>
      <c r="D592" s="173"/>
      <c r="E592" s="1786"/>
      <c r="F592" s="1787"/>
      <c r="G592" s="710"/>
      <c r="H592" s="710"/>
      <c r="I592" s="710"/>
      <c r="J592" s="711"/>
      <c r="K592" s="684">
        <f t="shared" si="532"/>
        <v>1</v>
      </c>
      <c r="L592" s="708">
        <v>1</v>
      </c>
      <c r="M592" s="709">
        <f t="shared" si="533"/>
        <v>1</v>
      </c>
      <c r="N592" s="362" t="str">
        <f t="shared" si="525"/>
        <v/>
      </c>
      <c r="O592" s="1763" t="str">
        <f t="shared" si="526"/>
        <v/>
      </c>
      <c r="P592" s="1764" t="str">
        <f t="shared" si="527"/>
        <v/>
      </c>
      <c r="Q592" s="120" t="str">
        <f t="shared" si="528"/>
        <v/>
      </c>
    </row>
    <row r="593" spans="1:18" s="1236" customFormat="1" ht="18" customHeight="1">
      <c r="A593" s="1767"/>
      <c r="B593" s="1853">
        <v>1</v>
      </c>
      <c r="C593" s="1895" t="s">
        <v>12364</v>
      </c>
      <c r="D593" s="1902"/>
      <c r="E593" s="1792"/>
      <c r="F593" s="1793"/>
      <c r="G593" s="1784"/>
      <c r="H593" s="1784"/>
      <c r="I593" s="1784"/>
      <c r="J593" s="1182"/>
      <c r="K593" s="684">
        <f t="shared" si="532"/>
        <v>1</v>
      </c>
      <c r="L593" s="708">
        <v>1</v>
      </c>
      <c r="M593" s="709">
        <f t="shared" si="533"/>
        <v>1</v>
      </c>
      <c r="N593" s="362" t="str">
        <f t="shared" si="525"/>
        <v/>
      </c>
      <c r="O593" s="1763" t="str">
        <f t="shared" si="526"/>
        <v/>
      </c>
      <c r="P593" s="1764" t="str">
        <f t="shared" si="527"/>
        <v/>
      </c>
      <c r="Q593" s="120" t="str">
        <f t="shared" si="528"/>
        <v/>
      </c>
      <c r="R593" s="185"/>
    </row>
    <row r="594" spans="1:18" s="695" customFormat="1" ht="18" customHeight="1">
      <c r="A594" s="693"/>
      <c r="B594" s="1922">
        <v>1</v>
      </c>
      <c r="C594" s="1848" t="str">
        <f t="shared" ref="C594" si="553">VLOOKUP(D594,base_datos,6,FALSE)</f>
        <v>Placa lamicoid rotulación de 3mm de espesor, fondo negro y letras blancas.</v>
      </c>
      <c r="D594" s="1886" t="s">
        <v>8567</v>
      </c>
      <c r="E594" s="1795">
        <f t="shared" ref="E594" si="554">VLOOKUP(D594,base_datos,5,FALSE)</f>
        <v>8.6999999999999993</v>
      </c>
      <c r="F594" s="1796">
        <f t="shared" ref="F594" si="555">+E594*B594</f>
        <v>8.6999999999999993</v>
      </c>
      <c r="G594" s="696"/>
      <c r="H594" s="696"/>
      <c r="I594" s="696"/>
      <c r="J594" s="697"/>
      <c r="K594" s="684">
        <f t="shared" si="532"/>
        <v>1</v>
      </c>
      <c r="L594" s="708">
        <v>1</v>
      </c>
      <c r="M594" s="709">
        <f t="shared" si="533"/>
        <v>1</v>
      </c>
      <c r="N594" s="362">
        <f t="shared" si="525"/>
        <v>1</v>
      </c>
      <c r="O594" s="1763" t="str">
        <f t="shared" si="526"/>
        <v>Placa lamicoid p/autosop.</v>
      </c>
      <c r="P594" s="1764" t="str">
        <f t="shared" si="527"/>
        <v>Placa lamicoid rotulación de 3mm de espesor, fondo negro y letras blancas.</v>
      </c>
      <c r="Q594" s="120" t="str">
        <f t="shared" si="528"/>
        <v>Placa lamicoid p/autosop.</v>
      </c>
      <c r="R594" s="185"/>
    </row>
    <row r="595" spans="1:18" s="1236" customFormat="1" ht="18" customHeight="1">
      <c r="A595" s="1767"/>
      <c r="B595" s="1853">
        <v>1</v>
      </c>
      <c r="C595" s="1895" t="s">
        <v>12363</v>
      </c>
      <c r="D595" s="1902"/>
      <c r="E595" s="1792">
        <v>15</v>
      </c>
      <c r="F595" s="1793">
        <v>15</v>
      </c>
      <c r="G595" s="1784"/>
      <c r="H595" s="1784"/>
      <c r="I595" s="1784"/>
      <c r="J595" s="1182"/>
      <c r="K595" s="684">
        <f t="shared" si="532"/>
        <v>1</v>
      </c>
      <c r="L595" s="708">
        <v>1</v>
      </c>
      <c r="M595" s="709">
        <f t="shared" si="533"/>
        <v>1</v>
      </c>
      <c r="N595" s="362" t="str">
        <f t="shared" si="525"/>
        <v/>
      </c>
      <c r="O595" s="1763" t="str">
        <f t="shared" si="526"/>
        <v/>
      </c>
      <c r="P595" s="1764" t="str">
        <f t="shared" si="527"/>
        <v/>
      </c>
      <c r="Q595" s="120" t="str">
        <f t="shared" si="528"/>
        <v/>
      </c>
      <c r="R595" s="185"/>
    </row>
    <row r="596" spans="1:18" s="1236" customFormat="1" ht="18" customHeight="1">
      <c r="A596" s="1767"/>
      <c r="B596" s="1853">
        <v>1</v>
      </c>
      <c r="C596" s="1895" t="s">
        <v>12475</v>
      </c>
      <c r="D596" s="1902"/>
      <c r="E596" s="1795"/>
      <c r="F596" s="1796"/>
      <c r="G596" s="1784"/>
      <c r="H596" s="1784"/>
      <c r="I596" s="1784"/>
      <c r="J596" s="1182"/>
      <c r="K596" s="684">
        <f t="shared" si="532"/>
        <v>1</v>
      </c>
      <c r="L596" s="708">
        <v>1</v>
      </c>
      <c r="M596" s="709">
        <f t="shared" si="533"/>
        <v>1</v>
      </c>
      <c r="N596" s="362" t="str">
        <f t="shared" si="525"/>
        <v/>
      </c>
      <c r="O596" s="1763" t="str">
        <f t="shared" si="526"/>
        <v/>
      </c>
      <c r="P596" s="1764" t="str">
        <f t="shared" si="527"/>
        <v/>
      </c>
      <c r="Q596" s="120" t="str">
        <f t="shared" si="528"/>
        <v/>
      </c>
      <c r="R596" s="185"/>
    </row>
    <row r="597" spans="1:18" s="1236" customFormat="1" ht="18" customHeight="1">
      <c r="A597" s="1767"/>
      <c r="B597" s="1853">
        <v>1</v>
      </c>
      <c r="C597" s="1848" t="str">
        <f>VLOOKUP(D597,base_datos,6,FALSE)</f>
        <v>Embalaje especial completamente cerrado para tablero autosoportado de 2100x800x800mm</v>
      </c>
      <c r="D597" s="1902" t="s">
        <v>12450</v>
      </c>
      <c r="E597" s="1795">
        <f t="shared" ref="E597" si="556">VLOOKUP(D597,base_datos,5,FALSE)</f>
        <v>312.08</v>
      </c>
      <c r="F597" s="1796">
        <f t="shared" ref="F597" si="557">+E597*B597</f>
        <v>312.08</v>
      </c>
      <c r="G597" s="1784"/>
      <c r="H597" s="1784"/>
      <c r="I597" s="1784"/>
      <c r="J597" s="1182"/>
      <c r="K597" s="684">
        <f t="shared" si="532"/>
        <v>1</v>
      </c>
      <c r="L597" s="708">
        <v>1</v>
      </c>
      <c r="M597" s="709">
        <f t="shared" si="533"/>
        <v>1</v>
      </c>
      <c r="N597" s="362">
        <f t="shared" si="525"/>
        <v>1</v>
      </c>
      <c r="O597" s="1763" t="str">
        <f t="shared" si="526"/>
        <v>EMBAL_AUTOS_2100x800x800mm</v>
      </c>
      <c r="P597" s="1764" t="str">
        <f t="shared" si="527"/>
        <v>Embalaje especial completamente cerrado para tablero autosoportado de 2100x800x800mm</v>
      </c>
      <c r="Q597" s="120" t="str">
        <f t="shared" si="528"/>
        <v>EMBAL_AUTOS_2100x800x800mm</v>
      </c>
      <c r="R597" s="185"/>
    </row>
    <row r="598" spans="1:18" s="185" customFormat="1" ht="18" customHeight="1">
      <c r="A598" s="1785"/>
      <c r="B598" s="714"/>
      <c r="C598" s="313" t="s">
        <v>729</v>
      </c>
      <c r="D598" s="173"/>
      <c r="E598" s="1786"/>
      <c r="F598" s="1787"/>
      <c r="G598" s="710"/>
      <c r="H598" s="710"/>
      <c r="I598" s="710"/>
      <c r="J598" s="711"/>
      <c r="K598" s="684">
        <f t="shared" si="532"/>
        <v>1</v>
      </c>
      <c r="L598" s="708">
        <v>1</v>
      </c>
      <c r="M598" s="709">
        <f t="shared" si="533"/>
        <v>1</v>
      </c>
      <c r="N598" s="362" t="str">
        <f t="shared" si="525"/>
        <v/>
      </c>
      <c r="O598" s="1763" t="str">
        <f t="shared" si="526"/>
        <v/>
      </c>
      <c r="P598" s="1764" t="str">
        <f t="shared" si="527"/>
        <v/>
      </c>
      <c r="Q598" s="120" t="str">
        <f t="shared" si="528"/>
        <v/>
      </c>
    </row>
    <row r="599" spans="1:18" s="695" customFormat="1" ht="18" customHeight="1">
      <c r="A599" s="693"/>
      <c r="B599" s="1794">
        <v>1</v>
      </c>
      <c r="C599" s="1420" t="str">
        <f>VLOOKUP(D599,base_datos,6,FALSE)</f>
        <v>Barra a tierra.</v>
      </c>
      <c r="D599" s="1790" t="s">
        <v>3272</v>
      </c>
      <c r="E599" s="1795">
        <f t="shared" ref="E599" si="558">VLOOKUP(D599,base_datos,5,FALSE)</f>
        <v>30</v>
      </c>
      <c r="F599" s="1796">
        <f t="shared" ref="F599" si="559">+E599*B599</f>
        <v>30</v>
      </c>
      <c r="G599" s="696"/>
      <c r="H599" s="696"/>
      <c r="I599" s="696"/>
      <c r="J599" s="697"/>
      <c r="K599" s="684">
        <f t="shared" si="532"/>
        <v>1</v>
      </c>
      <c r="L599" s="708">
        <v>1</v>
      </c>
      <c r="M599" s="709">
        <f t="shared" si="533"/>
        <v>1</v>
      </c>
      <c r="N599" s="362" t="str">
        <f t="shared" si="525"/>
        <v/>
      </c>
      <c r="O599" s="1763" t="str">
        <f t="shared" si="526"/>
        <v/>
      </c>
      <c r="P599" s="1764" t="str">
        <f t="shared" si="527"/>
        <v/>
      </c>
      <c r="Q599" s="120" t="str">
        <f t="shared" si="528"/>
        <v/>
      </c>
      <c r="R599" s="185"/>
    </row>
    <row r="600" spans="1:18" s="185" customFormat="1" ht="18" customHeight="1">
      <c r="A600" s="1785"/>
      <c r="B600" s="714"/>
      <c r="C600" s="313" t="s">
        <v>729</v>
      </c>
      <c r="D600" s="173"/>
      <c r="E600" s="1786"/>
      <c r="F600" s="1787"/>
      <c r="G600" s="710"/>
      <c r="H600" s="710"/>
      <c r="I600" s="710"/>
      <c r="J600" s="711"/>
      <c r="K600" s="684">
        <f t="shared" si="532"/>
        <v>1</v>
      </c>
      <c r="L600" s="708">
        <v>1</v>
      </c>
      <c r="M600" s="709">
        <f t="shared" ref="M600" si="560">IF(B600="",1,B600)</f>
        <v>1</v>
      </c>
      <c r="N600" s="362" t="str">
        <f t="shared" ref="N600" si="561">IF(O600&lt;&gt;"",K600*L600*M600,"")</f>
        <v/>
      </c>
      <c r="O600" s="1763" t="str">
        <f t="shared" ref="O600" si="562">IF(D600&lt;&gt;"",IF(VLOOKUP(D600,base_datos,7,FALSE)&lt;&gt;"",VLOOKUP(D600,base_datos,7,FALSE),""),"")</f>
        <v/>
      </c>
      <c r="P600" s="1764" t="str">
        <f t="shared" ref="P600" si="563">IF(O600&lt;&gt;"",VLOOKUP(D600,base_datos,6,FALSE),"")</f>
        <v/>
      </c>
      <c r="Q600" s="120" t="str">
        <f t="shared" ref="Q600" si="564">IF(O600&lt;&gt;"",D600,"")</f>
        <v/>
      </c>
    </row>
    <row r="601" spans="1:18" s="897" customFormat="1" ht="18" customHeight="1">
      <c r="A601" s="693"/>
      <c r="B601" s="895">
        <v>5</v>
      </c>
      <c r="C601" s="721" t="str">
        <f>VLOOKUP(D601,base_datos,6,FALSE)</f>
        <v>Rotulado por circuito.</v>
      </c>
      <c r="D601" s="1579" t="s">
        <v>3067</v>
      </c>
      <c r="E601" s="1581">
        <f>VLOOKUP(D601,base_datos,5,FALSE)</f>
        <v>0.7</v>
      </c>
      <c r="F601" s="1581">
        <f t="shared" ref="F601:F606" si="565">+E601*B601</f>
        <v>3.5</v>
      </c>
      <c r="G601" s="1772"/>
      <c r="H601" s="1772"/>
      <c r="I601" s="1772"/>
      <c r="J601" s="896"/>
      <c r="K601" s="684">
        <f t="shared" si="532"/>
        <v>1</v>
      </c>
      <c r="L601" s="708">
        <v>1</v>
      </c>
      <c r="M601" s="709">
        <f t="shared" si="533"/>
        <v>5</v>
      </c>
      <c r="N601" s="362" t="str">
        <f t="shared" si="525"/>
        <v/>
      </c>
      <c r="O601" s="1763" t="str">
        <f t="shared" si="526"/>
        <v/>
      </c>
      <c r="P601" s="1764" t="str">
        <f t="shared" si="527"/>
        <v/>
      </c>
      <c r="Q601" s="120" t="str">
        <f t="shared" si="528"/>
        <v/>
      </c>
    </row>
    <row r="602" spans="1:18" s="897" customFormat="1" ht="18" customHeight="1">
      <c r="A602" s="693"/>
      <c r="B602" s="895">
        <v>1</v>
      </c>
      <c r="C602" s="721" t="str">
        <f>VLOOKUP(D602,base_datos,6,FALSE)</f>
        <v>Rotulado para TAG - Gabinete autosoportado.</v>
      </c>
      <c r="D602" s="1579" t="s">
        <v>3065</v>
      </c>
      <c r="E602" s="1581">
        <f>VLOOKUP(D602,base_datos,5,FALSE)</f>
        <v>3</v>
      </c>
      <c r="F602" s="1581">
        <f t="shared" si="565"/>
        <v>3</v>
      </c>
      <c r="G602" s="1772"/>
      <c r="H602" s="1772"/>
      <c r="I602" s="1772"/>
      <c r="J602" s="896"/>
      <c r="K602" s="684">
        <f t="shared" si="532"/>
        <v>1</v>
      </c>
      <c r="L602" s="708">
        <v>1</v>
      </c>
      <c r="M602" s="709">
        <f t="shared" si="533"/>
        <v>1</v>
      </c>
      <c r="N602" s="362" t="str">
        <f t="shared" si="525"/>
        <v/>
      </c>
      <c r="O602" s="1763" t="str">
        <f t="shared" si="526"/>
        <v/>
      </c>
      <c r="P602" s="1764" t="str">
        <f t="shared" si="527"/>
        <v/>
      </c>
      <c r="Q602" s="120" t="str">
        <f t="shared" si="528"/>
        <v/>
      </c>
    </row>
    <row r="603" spans="1:18" s="1237" customFormat="1" ht="18" customHeight="1">
      <c r="A603" s="1767"/>
      <c r="B603" s="1773">
        <v>1</v>
      </c>
      <c r="C603" s="1992" t="s">
        <v>11664</v>
      </c>
      <c r="D603" s="1887"/>
      <c r="E603" s="1581">
        <v>70</v>
      </c>
      <c r="F603" s="1581">
        <f t="shared" si="565"/>
        <v>70</v>
      </c>
      <c r="G603" s="1774"/>
      <c r="H603" s="1774"/>
      <c r="I603" s="1774"/>
      <c r="J603" s="1181"/>
      <c r="K603" s="684">
        <f t="shared" si="532"/>
        <v>1</v>
      </c>
      <c r="L603" s="708">
        <v>1</v>
      </c>
      <c r="M603" s="709">
        <f t="shared" si="533"/>
        <v>1</v>
      </c>
      <c r="N603" s="362" t="str">
        <f t="shared" si="525"/>
        <v/>
      </c>
      <c r="O603" s="1763" t="str">
        <f t="shared" si="526"/>
        <v/>
      </c>
      <c r="P603" s="1764" t="str">
        <f t="shared" si="527"/>
        <v/>
      </c>
      <c r="Q603" s="120" t="str">
        <f t="shared" si="528"/>
        <v/>
      </c>
      <c r="R603" s="1765"/>
    </row>
    <row r="604" spans="1:18" s="1237" customFormat="1" ht="18" customHeight="1">
      <c r="A604" s="1767"/>
      <c r="B604" s="1773">
        <v>1</v>
      </c>
      <c r="C604" s="1943" t="s">
        <v>13032</v>
      </c>
      <c r="D604" s="1897"/>
      <c r="E604" s="1581">
        <f>E606*15%</f>
        <v>195</v>
      </c>
      <c r="F604" s="1581">
        <f t="shared" si="565"/>
        <v>195</v>
      </c>
      <c r="G604" s="1774"/>
      <c r="H604" s="1774"/>
      <c r="I604" s="1774"/>
      <c r="J604" s="1181"/>
      <c r="K604" s="684">
        <f t="shared" si="532"/>
        <v>1</v>
      </c>
      <c r="L604" s="708">
        <v>1</v>
      </c>
      <c r="M604" s="709">
        <f t="shared" si="533"/>
        <v>1</v>
      </c>
      <c r="N604" s="362" t="str">
        <f t="shared" ref="N604:N605" si="566">IF(O604&lt;&gt;"",K604*L604*M604,"")</f>
        <v/>
      </c>
      <c r="O604" s="1763" t="str">
        <f t="shared" ref="O604:O605" si="567">IF(D604&lt;&gt;"",IF(VLOOKUP(D604,base_datos,7,FALSE)&lt;&gt;"",VLOOKUP(D604,base_datos,7,FALSE),""),"")</f>
        <v/>
      </c>
      <c r="P604" s="1764" t="str">
        <f t="shared" ref="P604:P605" si="568">IF(O604&lt;&gt;"",VLOOKUP(D604,base_datos,6,FALSE),"")</f>
        <v/>
      </c>
      <c r="Q604" s="120" t="str">
        <f t="shared" ref="Q604:Q605" si="569">IF(O604&lt;&gt;"",D604,"")</f>
        <v/>
      </c>
      <c r="R604" s="1765"/>
    </row>
    <row r="605" spans="1:18" s="1237" customFormat="1" ht="18" customHeight="1">
      <c r="A605" s="1767"/>
      <c r="B605" s="1773">
        <v>1</v>
      </c>
      <c r="C605" s="694" t="s">
        <v>12559</v>
      </c>
      <c r="D605" s="1888"/>
      <c r="E605" s="1999">
        <f>E606*20%</f>
        <v>260</v>
      </c>
      <c r="F605" s="1581">
        <f t="shared" si="565"/>
        <v>260</v>
      </c>
      <c r="G605" s="1774"/>
      <c r="H605" s="1774"/>
      <c r="I605" s="1774"/>
      <c r="J605" s="1181"/>
      <c r="K605" s="684">
        <f>+K602</f>
        <v>1</v>
      </c>
      <c r="L605" s="708">
        <v>1</v>
      </c>
      <c r="M605" s="709">
        <f t="shared" si="533"/>
        <v>1</v>
      </c>
      <c r="N605" s="362" t="str">
        <f t="shared" si="566"/>
        <v/>
      </c>
      <c r="O605" s="1763" t="str">
        <f t="shared" si="567"/>
        <v/>
      </c>
      <c r="P605" s="1764" t="str">
        <f t="shared" si="568"/>
        <v/>
      </c>
      <c r="Q605" s="120" t="str">
        <f t="shared" si="569"/>
        <v/>
      </c>
      <c r="R605" s="1765"/>
    </row>
    <row r="606" spans="1:18" s="1237" customFormat="1" ht="17.25" customHeight="1">
      <c r="A606" s="1767"/>
      <c r="B606" s="1773">
        <v>1</v>
      </c>
      <c r="C606" s="1943" t="s">
        <v>12385</v>
      </c>
      <c r="D606" s="1897"/>
      <c r="E606" s="1581">
        <v>1300</v>
      </c>
      <c r="F606" s="1581">
        <f t="shared" si="565"/>
        <v>1300</v>
      </c>
      <c r="G606" s="1774"/>
      <c r="H606" s="1774"/>
      <c r="I606" s="1774"/>
      <c r="J606" s="1181"/>
      <c r="K606" s="684">
        <f>+K603</f>
        <v>1</v>
      </c>
      <c r="L606" s="708">
        <v>1</v>
      </c>
      <c r="M606" s="709">
        <f t="shared" si="533"/>
        <v>1</v>
      </c>
      <c r="N606" s="362" t="str">
        <f t="shared" ref="N606:N667" si="570">IF(O606&lt;&gt;"",K606*L606*M606,"")</f>
        <v/>
      </c>
      <c r="O606" s="1763" t="str">
        <f t="shared" ref="O606:O667" si="571">IF(D606&lt;&gt;"",IF(VLOOKUP(D606,base_datos,7,FALSE)&lt;&gt;"",VLOOKUP(D606,base_datos,7,FALSE),""),"")</f>
        <v/>
      </c>
      <c r="P606" s="1764" t="str">
        <f t="shared" ref="P606:P667" si="572">IF(O606&lt;&gt;"",VLOOKUP(D606,base_datos,6,FALSE),"")</f>
        <v/>
      </c>
      <c r="Q606" s="120" t="str">
        <f t="shared" ref="Q606:Q667" si="573">IF(O606&lt;&gt;"",D606,"")</f>
        <v/>
      </c>
      <c r="R606" s="1765"/>
    </row>
    <row r="607" spans="1:18" s="20" customFormat="1" ht="18" customHeight="1" thickBot="1">
      <c r="A607" s="699"/>
      <c r="B607" s="1775"/>
      <c r="C607" s="1776"/>
      <c r="D607" s="2012"/>
      <c r="E607" s="1981"/>
      <c r="F607" s="1981"/>
      <c r="G607" s="1777"/>
      <c r="H607" s="1777"/>
      <c r="I607" s="1777"/>
      <c r="J607" s="1778"/>
      <c r="K607" s="684"/>
      <c r="L607" s="363"/>
      <c r="M607" s="709"/>
      <c r="N607" s="362" t="str">
        <f t="shared" si="570"/>
        <v/>
      </c>
      <c r="O607" s="1763" t="str">
        <f t="shared" si="571"/>
        <v/>
      </c>
      <c r="P607" s="1764" t="str">
        <f t="shared" si="572"/>
        <v/>
      </c>
      <c r="Q607" s="120" t="str">
        <f t="shared" si="573"/>
        <v/>
      </c>
      <c r="R607" s="1765"/>
    </row>
    <row r="608" spans="1:18" s="120" customFormat="1" ht="18" customHeight="1" thickBot="1">
      <c r="A608" s="1587">
        <v>10</v>
      </c>
      <c r="B608" s="1852">
        <v>1</v>
      </c>
      <c r="C608" s="1756" t="s">
        <v>12575</v>
      </c>
      <c r="D608" s="2010"/>
      <c r="E608" s="1589"/>
      <c r="F608" s="1589"/>
      <c r="G608" s="1757">
        <f>SUM(F609:F664)</f>
        <v>5064.9999999999991</v>
      </c>
      <c r="H608" s="1758">
        <f>G608*(1-$D$6)</f>
        <v>5064.9999999999991</v>
      </c>
      <c r="I608" s="1757">
        <f>ROUNDUP(H608*$D$5,0)</f>
        <v>17221</v>
      </c>
      <c r="J608" s="1759">
        <f>+I608*B608</f>
        <v>17221</v>
      </c>
      <c r="K608" s="1788">
        <f>B608</f>
        <v>1</v>
      </c>
      <c r="L608" s="363"/>
      <c r="M608" s="684"/>
      <c r="N608" s="362" t="str">
        <f t="shared" si="570"/>
        <v/>
      </c>
      <c r="O608" s="1763" t="str">
        <f t="shared" si="571"/>
        <v/>
      </c>
      <c r="P608" s="1764" t="str">
        <f t="shared" si="572"/>
        <v/>
      </c>
      <c r="Q608" s="120" t="str">
        <f t="shared" si="573"/>
        <v/>
      </c>
      <c r="R608" s="185"/>
    </row>
    <row r="609" spans="1:18" s="120" customFormat="1" ht="18" customHeight="1">
      <c r="A609" s="685" t="s">
        <v>3064</v>
      </c>
      <c r="B609" s="1903"/>
      <c r="C609" s="1890"/>
      <c r="D609" s="1927"/>
      <c r="E609" s="1780"/>
      <c r="F609" s="1780"/>
      <c r="G609" s="686"/>
      <c r="H609" s="710"/>
      <c r="I609" s="686"/>
      <c r="J609" s="1768"/>
      <c r="K609" s="684">
        <f t="shared" ref="K609:K613" si="574">+K608</f>
        <v>1</v>
      </c>
      <c r="L609" s="363">
        <v>1</v>
      </c>
      <c r="M609" s="709">
        <f t="shared" ref="M609:M618" si="575">IF(B609="",1,B609)</f>
        <v>1</v>
      </c>
      <c r="N609" s="362" t="str">
        <f t="shared" si="570"/>
        <v/>
      </c>
      <c r="O609" s="1763" t="str">
        <f t="shared" si="571"/>
        <v/>
      </c>
      <c r="P609" s="1764" t="str">
        <f t="shared" si="572"/>
        <v/>
      </c>
      <c r="Q609" s="120" t="str">
        <f t="shared" si="573"/>
        <v/>
      </c>
    </row>
    <row r="610" spans="1:18" s="315" customFormat="1">
      <c r="A610" s="687" t="s">
        <v>4021</v>
      </c>
      <c r="B610" s="2096">
        <v>1</v>
      </c>
      <c r="C610" s="1907" t="s">
        <v>5103</v>
      </c>
      <c r="D610" s="1935"/>
      <c r="E610" s="1786"/>
      <c r="F610" s="1908">
        <f>SUM(F612:F616)*(B610-1)</f>
        <v>0</v>
      </c>
      <c r="G610" s="712"/>
      <c r="H610" s="712"/>
      <c r="I610" s="712"/>
      <c r="J610" s="713"/>
      <c r="K610" s="684">
        <f t="shared" si="574"/>
        <v>1</v>
      </c>
      <c r="L610" s="1909">
        <f>B610</f>
        <v>1</v>
      </c>
      <c r="M610" s="684">
        <f t="shared" si="575"/>
        <v>1</v>
      </c>
      <c r="N610" s="362" t="str">
        <f t="shared" si="570"/>
        <v/>
      </c>
      <c r="O610" s="1763" t="str">
        <f t="shared" si="571"/>
        <v/>
      </c>
      <c r="P610" s="1764" t="str">
        <f t="shared" si="572"/>
        <v/>
      </c>
      <c r="Q610" s="120" t="str">
        <f t="shared" si="573"/>
        <v/>
      </c>
    </row>
    <row r="611" spans="1:18" s="185" customFormat="1">
      <c r="A611" s="687" t="s">
        <v>4136</v>
      </c>
      <c r="B611" s="1910">
        <v>3</v>
      </c>
      <c r="C611" s="1911" t="str">
        <f>VLOOKUP(D611,base_datos,6,FALSE)</f>
        <v>Portalámpara + lampara tipo LED - color Rojo - alimentacion: 220-230Vac, d=22mm. - CL2-523R - línea compacta - marca ABB.</v>
      </c>
      <c r="D611" s="1790" t="s">
        <v>2439</v>
      </c>
      <c r="E611" s="1939">
        <f>VLOOKUP(D611,base_datos,5,FALSE)</f>
        <v>12.299999999999999</v>
      </c>
      <c r="F611" s="1912">
        <f>+E611*B611</f>
        <v>36.9</v>
      </c>
      <c r="G611" s="710"/>
      <c r="H611" s="710"/>
      <c r="I611" s="710"/>
      <c r="J611" s="711"/>
      <c r="K611" s="684">
        <f>+K609</f>
        <v>1</v>
      </c>
      <c r="L611" s="1913">
        <f>L609</f>
        <v>1</v>
      </c>
      <c r="M611" s="684">
        <f t="shared" si="575"/>
        <v>3</v>
      </c>
      <c r="N611" s="362">
        <f t="shared" si="570"/>
        <v>3</v>
      </c>
      <c r="O611" s="1763" t="str">
        <f t="shared" si="571"/>
        <v>1SFA619403R5231</v>
      </c>
      <c r="P611" s="1764" t="str">
        <f t="shared" si="572"/>
        <v>Portalámpara + lampara tipo LED - color Rojo - alimentacion: 220-230Vac, d=22mm. - CL2-523R - línea compacta - marca ABB.</v>
      </c>
      <c r="Q611" s="120" t="str">
        <f t="shared" si="573"/>
        <v>LAMP_ROJO_220V</v>
      </c>
    </row>
    <row r="612" spans="1:18" s="185" customFormat="1">
      <c r="A612" s="687"/>
      <c r="B612" s="1910">
        <v>3</v>
      </c>
      <c r="C612" s="1911" t="str">
        <f>VLOOKUP(D612,base_datos,6,FALSE)</f>
        <v>Portalámpara + lampara tipo LED - color Verde - alimentacion: 220-230Vac, d=22mm. - CL2-523G - línea compacta - marca ABB.</v>
      </c>
      <c r="D612" s="1790" t="s">
        <v>2440</v>
      </c>
      <c r="E612" s="1939">
        <f>VLOOKUP(D612,base_datos,5,FALSE)</f>
        <v>12.299999999999999</v>
      </c>
      <c r="F612" s="1912">
        <f>+E612*B612</f>
        <v>36.9</v>
      </c>
      <c r="G612" s="710"/>
      <c r="H612" s="710"/>
      <c r="I612" s="710"/>
      <c r="J612" s="711"/>
      <c r="K612" s="684">
        <f>+K610</f>
        <v>1</v>
      </c>
      <c r="L612" s="1913">
        <f>L610</f>
        <v>1</v>
      </c>
      <c r="M612" s="684">
        <f t="shared" si="575"/>
        <v>3</v>
      </c>
      <c r="N612" s="362">
        <f t="shared" si="570"/>
        <v>3</v>
      </c>
      <c r="O612" s="1763" t="str">
        <f t="shared" si="571"/>
        <v>1SFA619403R5232</v>
      </c>
      <c r="P612" s="1764" t="str">
        <f t="shared" si="572"/>
        <v>Portalámpara + lampara tipo LED - color Verde - alimentacion: 220-230Vac, d=22mm. - CL2-523G - línea compacta - marca ABB.</v>
      </c>
      <c r="Q612" s="120" t="str">
        <f t="shared" si="573"/>
        <v>LAMP_VERDE_220V</v>
      </c>
    </row>
    <row r="613" spans="1:18" s="1921" customFormat="1">
      <c r="A613" s="687" t="s">
        <v>12356</v>
      </c>
      <c r="B613" s="1914">
        <v>1</v>
      </c>
      <c r="C613" s="1915" t="s">
        <v>3366</v>
      </c>
      <c r="D613" s="1916"/>
      <c r="E613" s="1917"/>
      <c r="F613" s="1918"/>
      <c r="G613" s="1919"/>
      <c r="H613" s="1919"/>
      <c r="I613" s="1919"/>
      <c r="J613" s="1920"/>
      <c r="K613" s="684">
        <f t="shared" si="574"/>
        <v>1</v>
      </c>
      <c r="L613" s="1913">
        <f>L612</f>
        <v>1</v>
      </c>
      <c r="M613" s="684">
        <f t="shared" si="575"/>
        <v>1</v>
      </c>
      <c r="N613" s="362" t="str">
        <f t="shared" si="570"/>
        <v/>
      </c>
      <c r="O613" s="1763" t="str">
        <f t="shared" si="571"/>
        <v/>
      </c>
      <c r="P613" s="1764" t="str">
        <f t="shared" si="572"/>
        <v/>
      </c>
      <c r="Q613" s="120" t="str">
        <f t="shared" si="573"/>
        <v/>
      </c>
    </row>
    <row r="614" spans="1:18" s="320" customFormat="1">
      <c r="A614" s="687" t="s">
        <v>12428</v>
      </c>
      <c r="B614" s="1922">
        <v>1</v>
      </c>
      <c r="C614" s="721" t="str">
        <f>VLOOKUP(D614,base_datos,6,FALSE)</f>
        <v>Rele auxiliar enchufable +4NA/NC (D2PR4B + base D2PA6), 220Vac - marca EATON.</v>
      </c>
      <c r="D614" s="1579" t="s">
        <v>772</v>
      </c>
      <c r="E614" s="1581">
        <f>VLOOKUP(D614,base_datos,5,FALSE)</f>
        <v>27</v>
      </c>
      <c r="F614" s="1923">
        <f>+E614*B614</f>
        <v>27</v>
      </c>
      <c r="G614" s="1924"/>
      <c r="H614" s="1924"/>
      <c r="I614" s="1924"/>
      <c r="J614" s="722"/>
      <c r="K614" s="684">
        <f>+K611</f>
        <v>1</v>
      </c>
      <c r="L614" s="1913">
        <f>L611</f>
        <v>1</v>
      </c>
      <c r="M614" s="684">
        <f t="shared" si="575"/>
        <v>1</v>
      </c>
      <c r="N614" s="362">
        <f t="shared" si="570"/>
        <v>1</v>
      </c>
      <c r="O614" s="1763" t="str">
        <f t="shared" si="571"/>
        <v>D2PR4B+D2PA6</v>
      </c>
      <c r="P614" s="1764" t="str">
        <f t="shared" si="572"/>
        <v>Rele auxiliar enchufable +4NA/NC (D2PR4B + base D2PA6), 220Vac - marca EATON.</v>
      </c>
      <c r="Q614" s="120" t="str">
        <f t="shared" si="573"/>
        <v>D2PR4B+D2PA6</v>
      </c>
    </row>
    <row r="615" spans="1:18" s="320" customFormat="1">
      <c r="A615" s="1767"/>
      <c r="B615" s="2131">
        <v>1</v>
      </c>
      <c r="C615" s="2132" t="s">
        <v>12558</v>
      </c>
      <c r="D615" s="2133"/>
      <c r="E615" s="2134">
        <v>32</v>
      </c>
      <c r="F615" s="2134">
        <f>+E615*B615</f>
        <v>32</v>
      </c>
      <c r="G615" s="1924"/>
      <c r="H615" s="1924"/>
      <c r="I615" s="1924"/>
      <c r="J615" s="722"/>
      <c r="K615" s="684">
        <f>+K612</f>
        <v>1</v>
      </c>
      <c r="L615" s="1913">
        <f>L612</f>
        <v>1</v>
      </c>
      <c r="M615" s="684">
        <f t="shared" si="575"/>
        <v>1</v>
      </c>
      <c r="N615" s="362" t="str">
        <f t="shared" si="570"/>
        <v/>
      </c>
      <c r="O615" s="1763" t="str">
        <f t="shared" si="571"/>
        <v/>
      </c>
      <c r="P615" s="1764" t="str">
        <f t="shared" si="572"/>
        <v/>
      </c>
      <c r="Q615" s="120" t="str">
        <f t="shared" si="573"/>
        <v/>
      </c>
    </row>
    <row r="616" spans="1:18" s="320" customFormat="1">
      <c r="A616" s="687" t="s">
        <v>12551</v>
      </c>
      <c r="B616" s="1922">
        <v>4</v>
      </c>
      <c r="C616" s="721" t="str">
        <f>VLOOKUP(D616,base_datos,6,FALSE)</f>
        <v>Base portafusibles + Fusibles de protección para control.</v>
      </c>
      <c r="D616" s="1579" t="s">
        <v>453</v>
      </c>
      <c r="E616" s="1581">
        <f>VLOOKUP(D616,base_datos,5,FALSE)</f>
        <v>8.1750000000000007</v>
      </c>
      <c r="F616" s="1923">
        <f>+E616*B616</f>
        <v>32.700000000000003</v>
      </c>
      <c r="G616" s="1924"/>
      <c r="H616" s="1924"/>
      <c r="I616" s="1924"/>
      <c r="J616" s="722"/>
      <c r="K616" s="684">
        <f>+K613</f>
        <v>1</v>
      </c>
      <c r="L616" s="1913">
        <f>L613</f>
        <v>1</v>
      </c>
      <c r="M616" s="684">
        <f t="shared" si="575"/>
        <v>4</v>
      </c>
      <c r="N616" s="362" t="str">
        <f t="shared" si="570"/>
        <v/>
      </c>
      <c r="O616" s="1763" t="str">
        <f t="shared" si="571"/>
        <v/>
      </c>
      <c r="P616" s="1764" t="str">
        <f t="shared" si="572"/>
        <v/>
      </c>
      <c r="Q616" s="120" t="str">
        <f t="shared" si="573"/>
        <v/>
      </c>
    </row>
    <row r="617" spans="1:18" s="315" customFormat="1">
      <c r="A617" s="687" t="s">
        <v>3542</v>
      </c>
      <c r="B617" s="1906"/>
      <c r="C617" s="1907"/>
      <c r="D617" s="1935"/>
      <c r="E617" s="1786"/>
      <c r="F617" s="1936"/>
      <c r="G617" s="712"/>
      <c r="H617" s="712"/>
      <c r="I617" s="712"/>
      <c r="J617" s="713"/>
      <c r="K617" s="684">
        <f t="shared" ref="K617:K664" si="576">+K614</f>
        <v>1</v>
      </c>
      <c r="L617" s="1909">
        <f>B617</f>
        <v>0</v>
      </c>
      <c r="M617" s="684">
        <f t="shared" si="575"/>
        <v>1</v>
      </c>
      <c r="N617" s="362" t="str">
        <f t="shared" si="570"/>
        <v/>
      </c>
      <c r="O617" s="1763" t="str">
        <f t="shared" si="571"/>
        <v/>
      </c>
      <c r="P617" s="1764" t="str">
        <f t="shared" si="572"/>
        <v/>
      </c>
      <c r="Q617" s="120" t="str">
        <f t="shared" si="573"/>
        <v/>
      </c>
    </row>
    <row r="618" spans="1:18" s="185" customFormat="1">
      <c r="A618" s="687"/>
      <c r="B618" s="1922"/>
      <c r="C618" s="1956" t="s">
        <v>12368</v>
      </c>
      <c r="D618" s="1579"/>
      <c r="E618" s="1957"/>
      <c r="F618" s="1958"/>
      <c r="G618" s="710"/>
      <c r="H618" s="710"/>
      <c r="I618" s="710"/>
      <c r="J618" s="711"/>
      <c r="K618" s="684">
        <f t="shared" si="576"/>
        <v>1</v>
      </c>
      <c r="L618" s="708">
        <v>1</v>
      </c>
      <c r="M618" s="684">
        <f t="shared" si="575"/>
        <v>1</v>
      </c>
      <c r="N618" s="362" t="str">
        <f t="shared" si="570"/>
        <v/>
      </c>
      <c r="O618" s="1763" t="str">
        <f t="shared" si="571"/>
        <v/>
      </c>
      <c r="P618" s="1764" t="str">
        <f t="shared" si="572"/>
        <v/>
      </c>
      <c r="Q618" s="120" t="str">
        <f t="shared" si="573"/>
        <v/>
      </c>
    </row>
    <row r="619" spans="1:18" s="120" customFormat="1" ht="18" customHeight="1">
      <c r="A619" s="691"/>
      <c r="B619" s="1779">
        <v>6</v>
      </c>
      <c r="C619" s="1990" t="str">
        <f>VLOOKUP(D619,base_datos,6,FALSE)</f>
        <v>Transformador de tensión monofásico 480 / 240 Vac - 50VA.</v>
      </c>
      <c r="D619" s="2007" t="s">
        <v>8587</v>
      </c>
      <c r="E619" s="1581">
        <f>VLOOKUP(D619,base_datos,5,FALSE)</f>
        <v>76.8</v>
      </c>
      <c r="F619" s="1581">
        <f>+E619*B619</f>
        <v>460.79999999999995</v>
      </c>
      <c r="G619" s="686"/>
      <c r="H619" s="686"/>
      <c r="I619" s="686"/>
      <c r="J619" s="1768"/>
      <c r="K619" s="684">
        <f t="shared" si="576"/>
        <v>1</v>
      </c>
      <c r="L619" s="708">
        <v>1</v>
      </c>
      <c r="M619" s="709">
        <f t="shared" ref="M619:M664" si="577">IF(B619="",1,B619)</f>
        <v>6</v>
      </c>
      <c r="N619" s="362" t="str">
        <f t="shared" si="570"/>
        <v/>
      </c>
      <c r="O619" s="1763" t="str">
        <f t="shared" si="571"/>
        <v/>
      </c>
      <c r="P619" s="1764" t="str">
        <f t="shared" si="572"/>
        <v/>
      </c>
      <c r="Q619" s="120" t="str">
        <f t="shared" si="573"/>
        <v/>
      </c>
      <c r="R619" s="185"/>
    </row>
    <row r="620" spans="1:18" s="120" customFormat="1" ht="18" customHeight="1">
      <c r="A620" s="687"/>
      <c r="B620" s="1781"/>
      <c r="C620" s="1959" t="s">
        <v>3158</v>
      </c>
      <c r="D620" s="2005"/>
      <c r="E620" s="1791"/>
      <c r="F620" s="1782"/>
      <c r="G620" s="686"/>
      <c r="H620" s="686"/>
      <c r="I620" s="686"/>
      <c r="J620" s="688"/>
      <c r="K620" s="684">
        <f t="shared" si="576"/>
        <v>1</v>
      </c>
      <c r="L620" s="708">
        <v>1</v>
      </c>
      <c r="M620" s="709">
        <f t="shared" si="577"/>
        <v>1</v>
      </c>
      <c r="N620" s="362" t="str">
        <f t="shared" si="570"/>
        <v/>
      </c>
      <c r="O620" s="1763" t="str">
        <f t="shared" si="571"/>
        <v/>
      </c>
      <c r="P620" s="1764" t="str">
        <f t="shared" si="572"/>
        <v/>
      </c>
      <c r="Q620" s="120" t="str">
        <f t="shared" si="573"/>
        <v/>
      </c>
      <c r="R620" s="185"/>
    </row>
    <row r="621" spans="1:18" s="690" customFormat="1" ht="18" customHeight="1">
      <c r="A621" s="687"/>
      <c r="B621" s="1781">
        <v>1</v>
      </c>
      <c r="C621" s="1960" t="str">
        <f>VLOOKUP(D621,base_datos,6,FALSE)</f>
        <v>ITM Caja Moldeada 3x40A (reg.[0.7-1.0] In) - XT2N160-40A-3P-TMA - 65kA@230Vac, 36kA@415Vac - marca ABB.</v>
      </c>
      <c r="D621" s="2006" t="s">
        <v>863</v>
      </c>
      <c r="E621" s="1791">
        <f>VLOOKUP(D621,base_datos,5,FALSE)</f>
        <v>207</v>
      </c>
      <c r="F621" s="1782">
        <f>+E621*B621</f>
        <v>207</v>
      </c>
      <c r="G621" s="1761"/>
      <c r="H621" s="1761"/>
      <c r="I621" s="1761"/>
      <c r="J621" s="689"/>
      <c r="K621" s="684">
        <f t="shared" si="576"/>
        <v>1</v>
      </c>
      <c r="L621" s="708">
        <v>1</v>
      </c>
      <c r="M621" s="709">
        <f t="shared" si="577"/>
        <v>1</v>
      </c>
      <c r="N621" s="362">
        <f t="shared" si="570"/>
        <v>1</v>
      </c>
      <c r="O621" s="1763" t="str">
        <f t="shared" si="571"/>
        <v>1SDA067014R1</v>
      </c>
      <c r="P621" s="1764" t="str">
        <f t="shared" si="572"/>
        <v>ITM Caja Moldeada 3x40A (reg.[0.7-1.0] In) - XT2N160-40A-3P-TMA - 65kA@230Vac, 36kA@415Vac - marca ABB.</v>
      </c>
      <c r="Q621" s="120" t="str">
        <f t="shared" si="573"/>
        <v>XT2N160-40A-3P-TMA</v>
      </c>
      <c r="R621" s="185"/>
    </row>
    <row r="622" spans="1:18" s="185" customFormat="1">
      <c r="A622" s="687"/>
      <c r="B622" s="714"/>
      <c r="C622" s="313" t="s">
        <v>729</v>
      </c>
      <c r="D622" s="173"/>
      <c r="E622" s="1786"/>
      <c r="F622" s="1787"/>
      <c r="G622" s="710"/>
      <c r="H622" s="710"/>
      <c r="I622" s="710"/>
      <c r="J622" s="711"/>
      <c r="K622" s="684">
        <f t="shared" si="576"/>
        <v>1</v>
      </c>
      <c r="L622" s="708">
        <v>1</v>
      </c>
      <c r="M622" s="709">
        <f>IF(B622="",1,B622)</f>
        <v>1</v>
      </c>
      <c r="N622" s="362" t="str">
        <f t="shared" si="570"/>
        <v/>
      </c>
      <c r="O622" s="1763" t="str">
        <f t="shared" si="571"/>
        <v/>
      </c>
      <c r="P622" s="1764" t="str">
        <f t="shared" si="572"/>
        <v/>
      </c>
      <c r="Q622" s="120" t="str">
        <f t="shared" si="573"/>
        <v/>
      </c>
    </row>
    <row r="623" spans="1:18" s="315" customFormat="1">
      <c r="A623" s="687"/>
      <c r="B623" s="1932">
        <v>2</v>
      </c>
      <c r="C623" s="1933" t="str">
        <f t="shared" ref="C623" si="578">VLOOKUP(D623,base_datos,6,FALSE)</f>
        <v>2(Q) contacto conmutado de estado (NA/NC) + 1(SY) contacto por disparo de interruptor - XT1..XT4 - versión cableada - marca ABB.</v>
      </c>
      <c r="D623" s="1790" t="s">
        <v>3244</v>
      </c>
      <c r="E623" s="1939">
        <f t="shared" ref="E623" si="579">VLOOKUP(D623,base_datos,5,FALSE)</f>
        <v>132.1</v>
      </c>
      <c r="F623" s="1940">
        <f t="shared" ref="F623" si="580">+E623*B623</f>
        <v>264.2</v>
      </c>
      <c r="G623" s="712"/>
      <c r="H623" s="712"/>
      <c r="I623" s="712"/>
      <c r="J623" s="713"/>
      <c r="K623" s="684">
        <f t="shared" si="576"/>
        <v>1</v>
      </c>
      <c r="L623" s="708">
        <v>1</v>
      </c>
      <c r="M623" s="709">
        <f t="shared" ref="M623:M624" si="581">IF(B623="",1,B623)</f>
        <v>2</v>
      </c>
      <c r="N623" s="362">
        <f t="shared" si="570"/>
        <v>2</v>
      </c>
      <c r="O623" s="1763" t="str">
        <f t="shared" si="571"/>
        <v>1SDA066433R1</v>
      </c>
      <c r="P623" s="1764" t="str">
        <f t="shared" si="572"/>
        <v>2(Q) contacto conmutado de estado (NA/NC) + 1(SY) contacto por disparo de interruptor - XT1..XT4 - versión cableada - marca ABB.</v>
      </c>
      <c r="Q623" s="120" t="str">
        <f t="shared" si="573"/>
        <v>2Q+1SY_XT1..XT4</v>
      </c>
    </row>
    <row r="624" spans="1:18" s="185" customFormat="1" ht="18" customHeight="1">
      <c r="A624" s="1767"/>
      <c r="B624" s="714"/>
      <c r="C624" s="313" t="s">
        <v>729</v>
      </c>
      <c r="D624" s="173"/>
      <c r="E624" s="1786"/>
      <c r="F624" s="1787"/>
      <c r="G624" s="710"/>
      <c r="H624" s="710"/>
      <c r="I624" s="710"/>
      <c r="J624" s="711"/>
      <c r="K624" s="684">
        <f t="shared" si="576"/>
        <v>1</v>
      </c>
      <c r="L624" s="708">
        <v>1</v>
      </c>
      <c r="M624" s="709">
        <f t="shared" si="581"/>
        <v>1</v>
      </c>
      <c r="N624" s="362" t="str">
        <f t="shared" si="570"/>
        <v/>
      </c>
      <c r="O624" s="1763" t="str">
        <f t="shared" si="571"/>
        <v/>
      </c>
      <c r="P624" s="1764" t="str">
        <f t="shared" si="572"/>
        <v/>
      </c>
      <c r="Q624" s="120" t="str">
        <f t="shared" si="573"/>
        <v/>
      </c>
    </row>
    <row r="625" spans="1:18" s="1766" customFormat="1" ht="18" customHeight="1">
      <c r="A625" s="687"/>
      <c r="B625" s="1769"/>
      <c r="C625" s="2130" t="s">
        <v>11663</v>
      </c>
      <c r="D625" s="2006"/>
      <c r="E625" s="1581"/>
      <c r="F625" s="1581"/>
      <c r="G625" s="1761"/>
      <c r="H625" s="1761"/>
      <c r="I625" s="1761"/>
      <c r="J625" s="1762"/>
      <c r="K625" s="684">
        <f t="shared" si="576"/>
        <v>1</v>
      </c>
      <c r="L625" s="708">
        <v>1</v>
      </c>
      <c r="M625" s="709">
        <f t="shared" si="577"/>
        <v>1</v>
      </c>
      <c r="N625" s="362" t="str">
        <f t="shared" si="570"/>
        <v/>
      </c>
      <c r="O625" s="1763" t="str">
        <f t="shared" si="571"/>
        <v/>
      </c>
      <c r="P625" s="1764" t="str">
        <f t="shared" si="572"/>
        <v/>
      </c>
      <c r="Q625" s="120" t="str">
        <f t="shared" si="573"/>
        <v/>
      </c>
      <c r="R625" s="1765"/>
    </row>
    <row r="626" spans="1:18" s="1766" customFormat="1" ht="18" customHeight="1">
      <c r="A626" s="687"/>
      <c r="B626" s="1760">
        <v>1</v>
      </c>
      <c r="C626" s="1990" t="str">
        <f t="shared" ref="C626:C630" si="582">VLOOKUP(D626,base_datos,6,FALSE)</f>
        <v>Analizador de Redes DIRIS-A30 - precisión (V, I) 0.2%, precisión de energía activa / reactiva: clase 0,5S / clase 2 - marca SOCOMEC.</v>
      </c>
      <c r="D626" s="2007" t="s">
        <v>12164</v>
      </c>
      <c r="E626" s="1581">
        <f t="shared" ref="E626:E630" si="583">VLOOKUP(D626,base_datos,5,FALSE)</f>
        <v>633.64</v>
      </c>
      <c r="F626" s="1581">
        <f t="shared" ref="F626:F630" si="584">+E626*B626</f>
        <v>633.64</v>
      </c>
      <c r="G626" s="1761"/>
      <c r="H626" s="1761"/>
      <c r="I626" s="1761"/>
      <c r="J626" s="1762"/>
      <c r="K626" s="684">
        <f t="shared" si="576"/>
        <v>1</v>
      </c>
      <c r="L626" s="708">
        <v>1</v>
      </c>
      <c r="M626" s="709">
        <f t="shared" si="577"/>
        <v>1</v>
      </c>
      <c r="N626" s="362">
        <f t="shared" si="570"/>
        <v>1</v>
      </c>
      <c r="O626" s="1763" t="str">
        <f t="shared" si="571"/>
        <v>4825 0403</v>
      </c>
      <c r="P626" s="1764" t="str">
        <f t="shared" si="572"/>
        <v>Analizador de Redes DIRIS-A30 - precisión (V, I) 0.2%, precisión de energía activa / reactiva: clase 0,5S / clase 2 - marca SOCOMEC.</v>
      </c>
      <c r="Q626" s="120" t="str">
        <f t="shared" si="573"/>
        <v>DIRIS-A30</v>
      </c>
      <c r="R626" s="1765"/>
    </row>
    <row r="627" spans="1:18" s="1766" customFormat="1" ht="18" customHeight="1">
      <c r="A627" s="687"/>
      <c r="B627" s="1760">
        <v>1</v>
      </c>
      <c r="C627" s="1990" t="str">
        <f t="shared" si="582"/>
        <v>Módulo de comunicación RS 485 MODBUS, para Analizador de Red, DIRIS-A30, marca SOCOMEC.</v>
      </c>
      <c r="D627" s="144" t="s">
        <v>12166</v>
      </c>
      <c r="E627" s="1581">
        <f t="shared" si="583"/>
        <v>115.64</v>
      </c>
      <c r="F627" s="1581">
        <f t="shared" si="584"/>
        <v>115.64</v>
      </c>
      <c r="G627" s="1761"/>
      <c r="H627" s="1761"/>
      <c r="I627" s="1761"/>
      <c r="J627" s="1762"/>
      <c r="K627" s="684">
        <f t="shared" si="576"/>
        <v>1</v>
      </c>
      <c r="L627" s="708">
        <v>1</v>
      </c>
      <c r="M627" s="709">
        <f t="shared" si="577"/>
        <v>1</v>
      </c>
      <c r="N627" s="362">
        <f t="shared" si="570"/>
        <v>1</v>
      </c>
      <c r="O627" s="1763" t="str">
        <f t="shared" si="571"/>
        <v>4825 0092</v>
      </c>
      <c r="P627" s="1764" t="str">
        <f t="shared" si="572"/>
        <v>Módulo de comunicación RS 485 MODBUS, para Analizador de Red, DIRIS-A30, marca SOCOMEC.</v>
      </c>
      <c r="Q627" s="120" t="str">
        <f t="shared" si="573"/>
        <v>DIRIS-A30/Com</v>
      </c>
      <c r="R627" s="1765"/>
    </row>
    <row r="628" spans="1:18" s="1766" customFormat="1" ht="18" customHeight="1">
      <c r="A628" s="687"/>
      <c r="B628" s="1760">
        <f>3*B626</f>
        <v>3</v>
      </c>
      <c r="C628" s="1990" t="str">
        <f t="shared" si="582"/>
        <v>Transformador de corriente de 50/5A</v>
      </c>
      <c r="D628" s="2011" t="s">
        <v>8260</v>
      </c>
      <c r="E628" s="1581">
        <f t="shared" si="583"/>
        <v>65</v>
      </c>
      <c r="F628" s="1581">
        <f t="shared" si="584"/>
        <v>195</v>
      </c>
      <c r="G628" s="1761"/>
      <c r="H628" s="1761"/>
      <c r="I628" s="1761"/>
      <c r="J628" s="1762"/>
      <c r="K628" s="684">
        <f t="shared" si="576"/>
        <v>1</v>
      </c>
      <c r="L628" s="708">
        <v>1</v>
      </c>
      <c r="M628" s="709">
        <f t="shared" si="577"/>
        <v>3</v>
      </c>
      <c r="N628" s="362" t="str">
        <f t="shared" si="570"/>
        <v/>
      </c>
      <c r="O628" s="1763" t="str">
        <f t="shared" si="571"/>
        <v/>
      </c>
      <c r="P628" s="1764" t="str">
        <f t="shared" si="572"/>
        <v/>
      </c>
      <c r="Q628" s="120" t="str">
        <f t="shared" si="573"/>
        <v/>
      </c>
      <c r="R628" s="1765"/>
    </row>
    <row r="629" spans="1:18" s="1766" customFormat="1" ht="18" customHeight="1">
      <c r="A629" s="687"/>
      <c r="B629" s="1760">
        <f>5*B626</f>
        <v>5</v>
      </c>
      <c r="C629" s="1990" t="str">
        <f t="shared" si="582"/>
        <v>Base portafusibles + Fusibles de protección para control.</v>
      </c>
      <c r="D629" s="2011" t="s">
        <v>453</v>
      </c>
      <c r="E629" s="1581">
        <f t="shared" si="583"/>
        <v>8.1750000000000007</v>
      </c>
      <c r="F629" s="1581">
        <f t="shared" si="584"/>
        <v>40.875</v>
      </c>
      <c r="G629" s="1761"/>
      <c r="H629" s="1761"/>
      <c r="I629" s="1761"/>
      <c r="J629" s="1762"/>
      <c r="K629" s="684">
        <f t="shared" si="576"/>
        <v>1</v>
      </c>
      <c r="L629" s="708">
        <v>1</v>
      </c>
      <c r="M629" s="709">
        <f t="shared" si="577"/>
        <v>5</v>
      </c>
      <c r="N629" s="362" t="str">
        <f t="shared" si="570"/>
        <v/>
      </c>
      <c r="O629" s="1763" t="str">
        <f t="shared" si="571"/>
        <v/>
      </c>
      <c r="P629" s="1764" t="str">
        <f t="shared" si="572"/>
        <v/>
      </c>
      <c r="Q629" s="120" t="str">
        <f t="shared" si="573"/>
        <v/>
      </c>
      <c r="R629" s="1765"/>
    </row>
    <row r="630" spans="1:18" s="1766" customFormat="1" ht="18" customHeight="1">
      <c r="A630" s="1771"/>
      <c r="B630" s="1760">
        <f>6*B626</f>
        <v>6</v>
      </c>
      <c r="C630" s="1990" t="str">
        <f t="shared" si="582"/>
        <v>Bornes seccionables de corriente.</v>
      </c>
      <c r="D630" s="2011" t="s">
        <v>435</v>
      </c>
      <c r="E630" s="1581">
        <f t="shared" si="583"/>
        <v>12</v>
      </c>
      <c r="F630" s="1581">
        <f t="shared" si="584"/>
        <v>72</v>
      </c>
      <c r="G630" s="1761"/>
      <c r="H630" s="1761"/>
      <c r="I630" s="1761"/>
      <c r="J630" s="1762"/>
      <c r="K630" s="684">
        <f t="shared" si="576"/>
        <v>1</v>
      </c>
      <c r="L630" s="708">
        <v>1</v>
      </c>
      <c r="M630" s="709">
        <f t="shared" si="577"/>
        <v>6</v>
      </c>
      <c r="N630" s="362" t="str">
        <f t="shared" si="570"/>
        <v/>
      </c>
      <c r="O630" s="1763" t="str">
        <f t="shared" si="571"/>
        <v/>
      </c>
      <c r="P630" s="1764" t="str">
        <f t="shared" si="572"/>
        <v/>
      </c>
      <c r="Q630" s="120" t="str">
        <f t="shared" si="573"/>
        <v/>
      </c>
      <c r="R630" s="1765"/>
    </row>
    <row r="631" spans="1:18" s="185" customFormat="1" ht="18" customHeight="1">
      <c r="A631" s="693"/>
      <c r="B631" s="714"/>
      <c r="C631" s="313" t="s">
        <v>729</v>
      </c>
      <c r="D631" s="173"/>
      <c r="E631" s="1581"/>
      <c r="F631" s="1581"/>
      <c r="G631" s="710"/>
      <c r="H631" s="710"/>
      <c r="I631" s="710"/>
      <c r="J631" s="711"/>
      <c r="K631" s="684">
        <f t="shared" si="576"/>
        <v>1</v>
      </c>
      <c r="L631" s="708">
        <v>1</v>
      </c>
      <c r="M631" s="709">
        <f t="shared" si="577"/>
        <v>1</v>
      </c>
      <c r="N631" s="362" t="str">
        <f t="shared" si="570"/>
        <v/>
      </c>
      <c r="O631" s="1763" t="str">
        <f t="shared" si="571"/>
        <v/>
      </c>
      <c r="P631" s="1764" t="str">
        <f t="shared" si="572"/>
        <v/>
      </c>
      <c r="Q631" s="120" t="str">
        <f t="shared" si="573"/>
        <v/>
      </c>
      <c r="R631" s="1765"/>
    </row>
    <row r="632" spans="1:18" s="690" customFormat="1" ht="18" customHeight="1">
      <c r="A632" s="1767"/>
      <c r="B632" s="1851"/>
      <c r="C632" s="1966" t="s">
        <v>3377</v>
      </c>
      <c r="D632" s="1582"/>
      <c r="E632" s="1780"/>
      <c r="F632" s="1782"/>
      <c r="G632" s="1761"/>
      <c r="H632" s="1761"/>
      <c r="I632" s="1761"/>
      <c r="J632" s="689"/>
      <c r="K632" s="684">
        <f t="shared" si="576"/>
        <v>1</v>
      </c>
      <c r="L632" s="708">
        <v>1</v>
      </c>
      <c r="M632" s="709">
        <f t="shared" si="577"/>
        <v>1</v>
      </c>
      <c r="N632" s="362" t="str">
        <f t="shared" si="570"/>
        <v/>
      </c>
      <c r="O632" s="1763" t="str">
        <f t="shared" si="571"/>
        <v/>
      </c>
      <c r="P632" s="1764" t="str">
        <f t="shared" si="572"/>
        <v/>
      </c>
      <c r="Q632" s="120" t="str">
        <f t="shared" si="573"/>
        <v/>
      </c>
      <c r="R632" s="185"/>
    </row>
    <row r="633" spans="1:18" s="690" customFormat="1" ht="18" customHeight="1">
      <c r="A633" s="1767"/>
      <c r="B633" s="1781">
        <v>1</v>
      </c>
      <c r="C633" s="1960" t="str">
        <f t="shared" ref="C633" si="585">VLOOKUP(D633,base_datos,6,FALSE)</f>
        <v>ITM Caja Moldeada 3x25A (reg.[0.7-1.0] In) - XT2N160-25A-3P-TMD - 65kA@230Vac, 36kA@415Vac - marca ABB.</v>
      </c>
      <c r="D633" s="2006" t="s">
        <v>851</v>
      </c>
      <c r="E633" s="1791">
        <f>VLOOKUP(D633,base_datos,5,FALSE)</f>
        <v>201.76999999999998</v>
      </c>
      <c r="F633" s="1782">
        <f t="shared" ref="F633" si="586">+E633*B633</f>
        <v>201.76999999999998</v>
      </c>
      <c r="G633" s="1761"/>
      <c r="H633" s="1761"/>
      <c r="I633" s="1761"/>
      <c r="J633" s="1783"/>
      <c r="K633" s="684">
        <f t="shared" si="576"/>
        <v>1</v>
      </c>
      <c r="L633" s="708">
        <v>1</v>
      </c>
      <c r="M633" s="709">
        <f t="shared" ref="M633" si="587">IF(B633="",1,B633)</f>
        <v>1</v>
      </c>
      <c r="N633" s="362">
        <f t="shared" ref="N633" si="588">IF(O633&lt;&gt;"",K633*L633*M633,"")</f>
        <v>1</v>
      </c>
      <c r="O633" s="1763" t="str">
        <f t="shared" ref="O633" si="589">IF(D633&lt;&gt;"",IF(VLOOKUP(D633,base_datos,7,FALSE)&lt;&gt;"",VLOOKUP(D633,base_datos,7,FALSE),""),"")</f>
        <v>1SDA067012R1</v>
      </c>
      <c r="P633" s="1764" t="str">
        <f t="shared" ref="P633" si="590">IF(O633&lt;&gt;"",VLOOKUP(D633,base_datos,6,FALSE),"")</f>
        <v>ITM Caja Moldeada 3x25A (reg.[0.7-1.0] In) - XT2N160-25A-3P-TMD - 65kA@230Vac, 36kA@415Vac - marca ABB.</v>
      </c>
      <c r="Q633" s="120" t="str">
        <f t="shared" ref="Q633" si="591">IF(O633&lt;&gt;"",D633,"")</f>
        <v>XT2N160-25A-3P-TMD</v>
      </c>
      <c r="R633" s="185"/>
    </row>
    <row r="634" spans="1:18" s="690" customFormat="1" ht="18" customHeight="1">
      <c r="A634" s="1767"/>
      <c r="B634" s="1781">
        <v>2</v>
      </c>
      <c r="C634" s="1960" t="str">
        <f t="shared" ref="C634:C637" si="592">VLOOKUP(D634,base_datos,6,FALSE)</f>
        <v>ITM Caja Moldeada 3x20A (reg.[0.7-1.0] In) - XT2N160-20A-3P-TMD - 65kA@230Vac, 36kA@415Vac - marca ABB.</v>
      </c>
      <c r="D634" s="2006" t="s">
        <v>1331</v>
      </c>
      <c r="E634" s="1791">
        <f>VLOOKUP(D634,base_datos,5,FALSE)</f>
        <v>201.76999999999998</v>
      </c>
      <c r="F634" s="1782">
        <f t="shared" ref="F634:F637" si="593">+E634*B634</f>
        <v>403.53999999999996</v>
      </c>
      <c r="G634" s="1761"/>
      <c r="H634" s="1761"/>
      <c r="I634" s="1761"/>
      <c r="J634" s="1783"/>
      <c r="K634" s="684">
        <f t="shared" si="576"/>
        <v>1</v>
      </c>
      <c r="L634" s="708">
        <v>1</v>
      </c>
      <c r="M634" s="709">
        <f t="shared" si="577"/>
        <v>2</v>
      </c>
      <c r="N634" s="362">
        <f t="shared" si="570"/>
        <v>2</v>
      </c>
      <c r="O634" s="1763" t="str">
        <f t="shared" si="571"/>
        <v>1SDA067011R1</v>
      </c>
      <c r="P634" s="1764" t="str">
        <f t="shared" si="572"/>
        <v>ITM Caja Moldeada 3x20A (reg.[0.7-1.0] In) - XT2N160-20A-3P-TMD - 65kA@230Vac, 36kA@415Vac - marca ABB.</v>
      </c>
      <c r="Q634" s="120" t="str">
        <f t="shared" si="573"/>
        <v>XT2N160-20A-3P-TMD</v>
      </c>
      <c r="R634" s="185"/>
    </row>
    <row r="635" spans="1:18" s="690" customFormat="1" ht="18" customHeight="1">
      <c r="A635" s="1767"/>
      <c r="B635" s="1781">
        <v>2</v>
      </c>
      <c r="C635" s="1960" t="str">
        <f t="shared" si="592"/>
        <v>ITM Caja Moldeada 3x16A (reg.[0.7-1.0] In) - XT2N160-16A-3P-TMD - 65kA@230Vac, 36kA@415Vac - marca ABB.</v>
      </c>
      <c r="D635" s="2006" t="s">
        <v>844</v>
      </c>
      <c r="E635" s="1791">
        <f>VLOOKUP(D635,base_datos,5,FALSE)</f>
        <v>201.76999999999998</v>
      </c>
      <c r="F635" s="1782">
        <f t="shared" si="593"/>
        <v>403.53999999999996</v>
      </c>
      <c r="G635" s="1761"/>
      <c r="H635" s="1761"/>
      <c r="I635" s="1761"/>
      <c r="J635" s="1783"/>
      <c r="K635" s="684">
        <f t="shared" si="576"/>
        <v>1</v>
      </c>
      <c r="L635" s="708">
        <v>1</v>
      </c>
      <c r="M635" s="709">
        <f t="shared" si="577"/>
        <v>2</v>
      </c>
      <c r="N635" s="362">
        <f t="shared" si="570"/>
        <v>2</v>
      </c>
      <c r="O635" s="1763" t="str">
        <f t="shared" si="571"/>
        <v>1SDA067010R1</v>
      </c>
      <c r="P635" s="1764" t="str">
        <f t="shared" si="572"/>
        <v>ITM Caja Moldeada 3x16A (reg.[0.7-1.0] In) - XT2N160-16A-3P-TMD - 65kA@230Vac, 36kA@415Vac - marca ABB.</v>
      </c>
      <c r="Q635" s="120" t="str">
        <f t="shared" si="573"/>
        <v>XT2N160-16A-3P-TMD</v>
      </c>
      <c r="R635" s="185"/>
    </row>
    <row r="636" spans="1:18" s="690" customFormat="1" ht="18" customHeight="1">
      <c r="A636" s="1767"/>
      <c r="B636" s="2206">
        <v>1</v>
      </c>
      <c r="C636" s="2207" t="s">
        <v>13027</v>
      </c>
      <c r="D636" s="2208"/>
      <c r="E636" s="2209">
        <v>212.15</v>
      </c>
      <c r="F636" s="2210">
        <f t="shared" si="593"/>
        <v>212.15</v>
      </c>
      <c r="G636" s="1761"/>
      <c r="H636" s="1761"/>
      <c r="I636" s="1761"/>
      <c r="J636" s="1783"/>
      <c r="K636" s="684">
        <f t="shared" si="576"/>
        <v>1</v>
      </c>
      <c r="L636" s="708">
        <v>1</v>
      </c>
      <c r="M636" s="709">
        <f t="shared" si="577"/>
        <v>1</v>
      </c>
      <c r="N636" s="362" t="str">
        <f t="shared" si="570"/>
        <v/>
      </c>
      <c r="O636" s="1763" t="str">
        <f t="shared" si="571"/>
        <v/>
      </c>
      <c r="P636" s="1764" t="str">
        <f t="shared" si="572"/>
        <v/>
      </c>
      <c r="Q636" s="120" t="str">
        <f t="shared" si="573"/>
        <v/>
      </c>
      <c r="R636" s="185"/>
    </row>
    <row r="637" spans="1:18" s="690" customFormat="1" ht="18" customHeight="1">
      <c r="A637" s="1767"/>
      <c r="B637" s="1781">
        <v>2</v>
      </c>
      <c r="C637" s="1960" t="str">
        <f t="shared" si="592"/>
        <v>Espacio de reserva trifásica - Caja moldeada.</v>
      </c>
      <c r="D637" s="2008" t="s">
        <v>2932</v>
      </c>
      <c r="E637" s="1791">
        <f>VLOOKUP(D637,base_datos,5,FALSE)</f>
        <v>15</v>
      </c>
      <c r="F637" s="1782">
        <f t="shared" si="593"/>
        <v>30</v>
      </c>
      <c r="G637" s="1761"/>
      <c r="H637" s="1761"/>
      <c r="I637" s="1761"/>
      <c r="J637" s="1783"/>
      <c r="K637" s="684">
        <f t="shared" si="576"/>
        <v>1</v>
      </c>
      <c r="L637" s="708">
        <v>1</v>
      </c>
      <c r="M637" s="709">
        <f t="shared" si="577"/>
        <v>2</v>
      </c>
      <c r="N637" s="362" t="str">
        <f t="shared" si="570"/>
        <v/>
      </c>
      <c r="O637" s="1763" t="str">
        <f t="shared" si="571"/>
        <v/>
      </c>
      <c r="P637" s="1764" t="str">
        <f t="shared" si="572"/>
        <v/>
      </c>
      <c r="Q637" s="120" t="str">
        <f t="shared" si="573"/>
        <v/>
      </c>
      <c r="R637" s="185"/>
    </row>
    <row r="638" spans="1:18" s="185" customFormat="1" ht="18" customHeight="1">
      <c r="A638" s="1785"/>
      <c r="B638" s="714"/>
      <c r="C638" s="313" t="s">
        <v>729</v>
      </c>
      <c r="D638" s="173"/>
      <c r="E638" s="1786"/>
      <c r="F638" s="1787"/>
      <c r="G638" s="710"/>
      <c r="H638" s="710"/>
      <c r="I638" s="710"/>
      <c r="J638" s="711"/>
      <c r="K638" s="684">
        <f t="shared" si="576"/>
        <v>1</v>
      </c>
      <c r="L638" s="708">
        <v>1</v>
      </c>
      <c r="M638" s="709">
        <f t="shared" si="577"/>
        <v>1</v>
      </c>
      <c r="N638" s="362" t="str">
        <f t="shared" si="570"/>
        <v/>
      </c>
      <c r="O638" s="1763" t="str">
        <f t="shared" si="571"/>
        <v/>
      </c>
      <c r="P638" s="1764" t="str">
        <f t="shared" si="572"/>
        <v/>
      </c>
      <c r="Q638" s="120" t="str">
        <f t="shared" si="573"/>
        <v/>
      </c>
    </row>
    <row r="639" spans="1:18" s="315" customFormat="1">
      <c r="A639" s="1785"/>
      <c r="B639" s="355"/>
      <c r="C639" s="1944" t="s">
        <v>3063</v>
      </c>
      <c r="D639" s="1941"/>
      <c r="E639" s="1786"/>
      <c r="F639" s="1787"/>
      <c r="G639" s="712"/>
      <c r="H639" s="712"/>
      <c r="I639" s="712"/>
      <c r="J639" s="713"/>
      <c r="K639" s="684">
        <f t="shared" si="576"/>
        <v>1</v>
      </c>
      <c r="L639" s="708">
        <v>1</v>
      </c>
      <c r="M639" s="709">
        <f t="shared" si="577"/>
        <v>1</v>
      </c>
      <c r="N639" s="362" t="str">
        <f t="shared" si="570"/>
        <v/>
      </c>
      <c r="O639" s="1763" t="str">
        <f t="shared" si="571"/>
        <v/>
      </c>
      <c r="P639" s="1764" t="str">
        <f t="shared" si="572"/>
        <v/>
      </c>
      <c r="Q639" s="120" t="str">
        <f t="shared" si="573"/>
        <v/>
      </c>
    </row>
    <row r="640" spans="1:18" s="690" customFormat="1" ht="18" customHeight="1">
      <c r="A640" s="691"/>
      <c r="B640" s="1781">
        <v>1</v>
      </c>
      <c r="C640" s="1960" t="str">
        <f>VLOOKUP(D640,base_datos,6,FALSE)</f>
        <v>ITM Caja Moldeada 3x32A (reg.[0.7-1.0] In) - XT2N160-32A-3P-TMD - 65kA@230Vac, 36kA@415Vac - marca ABB.</v>
      </c>
      <c r="D640" s="2006" t="s">
        <v>850</v>
      </c>
      <c r="E640" s="1791">
        <f>VLOOKUP(D640,base_datos,5,FALSE)</f>
        <v>207</v>
      </c>
      <c r="F640" s="1782">
        <f t="shared" ref="F640:F641" si="594">+E640*B640</f>
        <v>207</v>
      </c>
      <c r="G640" s="1761"/>
      <c r="H640" s="1761"/>
      <c r="I640" s="1761"/>
      <c r="J640" s="1783"/>
      <c r="K640" s="684">
        <f t="shared" si="576"/>
        <v>1</v>
      </c>
      <c r="L640" s="708">
        <v>1</v>
      </c>
      <c r="M640" s="709">
        <f t="shared" si="577"/>
        <v>1</v>
      </c>
      <c r="N640" s="362">
        <f t="shared" si="570"/>
        <v>1</v>
      </c>
      <c r="O640" s="1763" t="str">
        <f t="shared" si="571"/>
        <v>1SDA067013R1</v>
      </c>
      <c r="P640" s="1764" t="str">
        <f t="shared" si="572"/>
        <v>ITM Caja Moldeada 3x32A (reg.[0.7-1.0] In) - XT2N160-32A-3P-TMD - 65kA@230Vac, 36kA@415Vac - marca ABB.</v>
      </c>
      <c r="Q640" s="120" t="str">
        <f t="shared" si="573"/>
        <v>XT2N160-32A-3P-TMD</v>
      </c>
      <c r="R640" s="185"/>
    </row>
    <row r="641" spans="1:20" s="690" customFormat="1" ht="18" customHeight="1">
      <c r="A641" s="691"/>
      <c r="B641" s="1781">
        <v>1</v>
      </c>
      <c r="C641" s="1960" t="str">
        <f>VLOOKUP(D641,base_datos,6,FALSE)</f>
        <v>Supresor contra sobretensiones (Tipo 1, UL 1449) - OVRHT3C504803D - I_max=50kA por fase, Un=480V,  MCOV=640V (L-G), VPR=2.5kV (L-G) - marca ABB.</v>
      </c>
      <c r="D641" s="2006" t="s">
        <v>12357</v>
      </c>
      <c r="E641" s="1791">
        <f>VLOOKUP(D641,base_datos,5,FALSE)</f>
        <v>386.44</v>
      </c>
      <c r="F641" s="1782">
        <f t="shared" si="594"/>
        <v>386.44</v>
      </c>
      <c r="G641" s="1761"/>
      <c r="H641" s="1761"/>
      <c r="I641" s="1761"/>
      <c r="J641" s="1783"/>
      <c r="K641" s="684">
        <f t="shared" si="576"/>
        <v>1</v>
      </c>
      <c r="L641" s="708">
        <v>1</v>
      </c>
      <c r="M641" s="709">
        <f t="shared" si="577"/>
        <v>1</v>
      </c>
      <c r="N641" s="362">
        <f t="shared" si="570"/>
        <v>1</v>
      </c>
      <c r="O641" s="1763" t="str">
        <f t="shared" si="571"/>
        <v>2CJC605480D0000</v>
      </c>
      <c r="P641" s="1764" t="str">
        <f t="shared" si="572"/>
        <v>Supresor contra sobretensiones (Tipo 1, UL 1449) - OVRHT3C504803D - I_max=50kA por fase, Un=480V,  MCOV=640V (L-G), VPR=2.5kV (L-G) - marca ABB.</v>
      </c>
      <c r="Q641" s="120" t="str">
        <f t="shared" si="573"/>
        <v>OVRHT3C504803D</v>
      </c>
      <c r="R641" s="185"/>
    </row>
    <row r="642" spans="1:20" s="185" customFormat="1" ht="18" customHeight="1">
      <c r="A642" s="1785"/>
      <c r="B642" s="714"/>
      <c r="C642" s="1893" t="s">
        <v>729</v>
      </c>
      <c r="D642" s="173"/>
      <c r="E642" s="1786"/>
      <c r="F642" s="1787"/>
      <c r="G642" s="710"/>
      <c r="H642" s="710"/>
      <c r="I642" s="710"/>
      <c r="J642" s="711"/>
      <c r="K642" s="684">
        <f t="shared" si="576"/>
        <v>1</v>
      </c>
      <c r="L642" s="708">
        <v>1</v>
      </c>
      <c r="M642" s="709">
        <f t="shared" si="577"/>
        <v>1</v>
      </c>
      <c r="N642" s="362" t="str">
        <f t="shared" si="570"/>
        <v/>
      </c>
      <c r="O642" s="1763" t="str">
        <f t="shared" si="571"/>
        <v/>
      </c>
      <c r="P642" s="1764" t="str">
        <f t="shared" si="572"/>
        <v/>
      </c>
      <c r="Q642" s="120" t="str">
        <f t="shared" si="573"/>
        <v/>
      </c>
    </row>
    <row r="643" spans="1:20" s="315" customFormat="1" ht="12.75" customHeight="1">
      <c r="A643" s="2271"/>
      <c r="B643" s="2272">
        <v>1</v>
      </c>
      <c r="C643" s="2281" t="s">
        <v>13366</v>
      </c>
      <c r="D643" s="1935"/>
      <c r="E643" s="2287"/>
      <c r="F643" s="2257">
        <f>+SUM(F644:F647)*(B643-1)</f>
        <v>0</v>
      </c>
      <c r="G643" s="712"/>
      <c r="H643" s="712"/>
      <c r="I643" s="712"/>
      <c r="J643" s="713"/>
      <c r="K643" s="684">
        <f t="shared" si="576"/>
        <v>1</v>
      </c>
      <c r="L643" s="2258">
        <v>1</v>
      </c>
      <c r="M643" s="120">
        <f t="shared" si="577"/>
        <v>1</v>
      </c>
      <c r="N643" s="112" t="str">
        <f t="shared" si="570"/>
        <v/>
      </c>
      <c r="O643" s="112" t="str">
        <f t="shared" si="571"/>
        <v/>
      </c>
      <c r="P643" s="120" t="str">
        <f t="shared" si="572"/>
        <v/>
      </c>
      <c r="Q643" s="120" t="str">
        <f t="shared" si="573"/>
        <v/>
      </c>
      <c r="S643" s="112" t="str">
        <f t="shared" ref="S643:S648" si="595">IF(O643&lt;&gt;"",VLOOKUP(D643,base_datos,9,FALSE),"")</f>
        <v/>
      </c>
      <c r="T643" s="2128"/>
    </row>
    <row r="644" spans="1:20" s="690" customFormat="1" ht="18" customHeight="1">
      <c r="A644" s="2273"/>
      <c r="B644" s="1781">
        <v>1</v>
      </c>
      <c r="C644" s="1420" t="str">
        <f t="shared" ref="C644:C647" si="596">VLOOKUP(D644,base_datos,6,FALSE)</f>
        <v>Calefactor resistivo 60W, modelo RACM - marca FANDIS.</v>
      </c>
      <c r="D644" s="1899" t="s">
        <v>3298</v>
      </c>
      <c r="E644" s="2288">
        <f t="shared" ref="E644" si="597">VLOOKUP(D644,base_datos,5,FALSE)</f>
        <v>127.1</v>
      </c>
      <c r="F644" s="1782">
        <f>+E644*B644</f>
        <v>127.1</v>
      </c>
      <c r="G644" s="1761"/>
      <c r="H644" s="1761"/>
      <c r="I644" s="1761"/>
      <c r="J644" s="689"/>
      <c r="K644" s="684">
        <f t="shared" si="576"/>
        <v>1</v>
      </c>
      <c r="L644" s="2258">
        <v>1</v>
      </c>
      <c r="M644" s="120">
        <f t="shared" si="577"/>
        <v>1</v>
      </c>
      <c r="N644" s="112">
        <f t="shared" si="570"/>
        <v>1</v>
      </c>
      <c r="O644" s="112" t="str">
        <f t="shared" si="571"/>
        <v>RACM-60</v>
      </c>
      <c r="P644" s="120" t="str">
        <f t="shared" si="572"/>
        <v>Calefactor resistivo 60W, modelo RACM - marca FANDIS.</v>
      </c>
      <c r="Q644" s="120" t="str">
        <f t="shared" si="573"/>
        <v>CALEFACT-60W_FAND</v>
      </c>
      <c r="S644" s="112" t="str">
        <f t="shared" si="595"/>
        <v>FANDIS</v>
      </c>
      <c r="T644" s="1765"/>
    </row>
    <row r="645" spans="1:20" s="690" customFormat="1" ht="18" customHeight="1">
      <c r="A645" s="2273"/>
      <c r="B645" s="1781">
        <v>1</v>
      </c>
      <c r="C645" s="1420" t="str">
        <f t="shared" si="596"/>
        <v>Termostato para ventilación - 1NA - 230V - marca FANDIS.</v>
      </c>
      <c r="D645" s="1899" t="s">
        <v>3294</v>
      </c>
      <c r="E645" s="2288">
        <f t="shared" ref="E645:E647" si="598">VLOOKUP(D645,base_datos,5,FALSE)</f>
        <v>41.58</v>
      </c>
      <c r="F645" s="1782">
        <f>+E645*B645</f>
        <v>41.58</v>
      </c>
      <c r="G645" s="1761"/>
      <c r="H645" s="1761"/>
      <c r="I645" s="1761"/>
      <c r="J645" s="689"/>
      <c r="K645" s="684">
        <f t="shared" si="576"/>
        <v>1</v>
      </c>
      <c r="L645" s="2258">
        <v>1</v>
      </c>
      <c r="M645" s="120">
        <f t="shared" si="577"/>
        <v>1</v>
      </c>
      <c r="N645" s="112">
        <f t="shared" si="570"/>
        <v>1</v>
      </c>
      <c r="O645" s="112" t="str">
        <f t="shared" si="571"/>
        <v>TRT-10A230V-NO</v>
      </c>
      <c r="P645" s="120" t="str">
        <f t="shared" si="572"/>
        <v>Termostato para ventilación - 1NA - 230V - marca FANDIS.</v>
      </c>
      <c r="Q645" s="120" t="str">
        <f t="shared" si="573"/>
        <v>TRT-1NA</v>
      </c>
      <c r="S645" s="112" t="str">
        <f t="shared" si="595"/>
        <v>FANDIS</v>
      </c>
      <c r="T645" s="1765"/>
    </row>
    <row r="646" spans="1:20" s="320" customFormat="1" ht="12.75" customHeight="1">
      <c r="A646" s="2274"/>
      <c r="B646" s="2275">
        <v>1</v>
      </c>
      <c r="C646" s="2282" t="str">
        <f t="shared" si="596"/>
        <v>Base portafusibles + Fusibles de protección para control.</v>
      </c>
      <c r="D646" s="1579" t="s">
        <v>453</v>
      </c>
      <c r="E646" s="2289">
        <f t="shared" si="598"/>
        <v>8.1750000000000007</v>
      </c>
      <c r="F646" s="2264">
        <f>+E646*B646</f>
        <v>8.1750000000000007</v>
      </c>
      <c r="G646" s="2276"/>
      <c r="H646" s="2276"/>
      <c r="I646" s="2276"/>
      <c r="J646" s="722"/>
      <c r="K646" s="684">
        <f t="shared" si="576"/>
        <v>1</v>
      </c>
      <c r="L646" s="2258">
        <v>1</v>
      </c>
      <c r="M646" s="120">
        <f t="shared" si="577"/>
        <v>1</v>
      </c>
      <c r="N646" s="112" t="str">
        <f t="shared" si="570"/>
        <v/>
      </c>
      <c r="O646" s="112" t="str">
        <f t="shared" si="571"/>
        <v/>
      </c>
      <c r="P646" s="120" t="str">
        <f t="shared" si="572"/>
        <v/>
      </c>
      <c r="Q646" s="120" t="str">
        <f t="shared" si="573"/>
        <v/>
      </c>
      <c r="R646" s="185"/>
      <c r="S646" s="112" t="str">
        <f t="shared" si="595"/>
        <v/>
      </c>
      <c r="T646" s="709"/>
    </row>
    <row r="647" spans="1:20" s="320" customFormat="1" ht="12.75" customHeight="1">
      <c r="A647" s="2274"/>
      <c r="B647" s="2277">
        <v>1</v>
      </c>
      <c r="C647" s="2282" t="str">
        <f t="shared" si="596"/>
        <v>Borne 4mm2.</v>
      </c>
      <c r="D647" s="1579" t="s">
        <v>437</v>
      </c>
      <c r="E647" s="2260">
        <f t="shared" si="598"/>
        <v>2.5</v>
      </c>
      <c r="F647" s="2260">
        <f>+E647*B647</f>
        <v>2.5</v>
      </c>
      <c r="G647" s="2276"/>
      <c r="H647" s="2276"/>
      <c r="I647" s="2276"/>
      <c r="J647" s="722"/>
      <c r="K647" s="684">
        <f t="shared" si="576"/>
        <v>1</v>
      </c>
      <c r="L647" s="2258">
        <v>1</v>
      </c>
      <c r="M647" s="120">
        <f t="shared" si="577"/>
        <v>1</v>
      </c>
      <c r="N647" s="112" t="str">
        <f t="shared" si="570"/>
        <v/>
      </c>
      <c r="O647" s="112" t="str">
        <f t="shared" si="571"/>
        <v/>
      </c>
      <c r="P647" s="120" t="str">
        <f t="shared" si="572"/>
        <v/>
      </c>
      <c r="Q647" s="120" t="str">
        <f t="shared" si="573"/>
        <v/>
      </c>
      <c r="R647" s="185"/>
      <c r="S647" s="112" t="str">
        <f t="shared" si="595"/>
        <v/>
      </c>
      <c r="T647" s="709"/>
    </row>
    <row r="648" spans="1:20" s="185" customFormat="1" ht="12.75" customHeight="1">
      <c r="A648" s="2262"/>
      <c r="B648" s="1760"/>
      <c r="C648" s="1893" t="s">
        <v>729</v>
      </c>
      <c r="D648" s="169"/>
      <c r="E648" s="2256"/>
      <c r="F648" s="2278"/>
      <c r="G648" s="710"/>
      <c r="H648" s="710"/>
      <c r="I648" s="710"/>
      <c r="J648" s="711"/>
      <c r="K648" s="684">
        <f t="shared" si="576"/>
        <v>1</v>
      </c>
      <c r="L648" s="2258">
        <v>1</v>
      </c>
      <c r="M648" s="120">
        <f t="shared" si="577"/>
        <v>1</v>
      </c>
      <c r="N648" s="112" t="str">
        <f t="shared" si="570"/>
        <v/>
      </c>
      <c r="O648" s="112" t="str">
        <f t="shared" si="571"/>
        <v/>
      </c>
      <c r="P648" s="120" t="str">
        <f t="shared" si="572"/>
        <v/>
      </c>
      <c r="Q648" s="120" t="str">
        <f t="shared" si="573"/>
        <v/>
      </c>
      <c r="S648" s="112" t="str">
        <f t="shared" si="595"/>
        <v/>
      </c>
      <c r="T648" s="118"/>
    </row>
    <row r="649" spans="1:20" s="1236" customFormat="1" ht="18" customHeight="1">
      <c r="A649" s="1767"/>
      <c r="B649" s="1853">
        <v>1</v>
      </c>
      <c r="C649" s="1895" t="s">
        <v>12366</v>
      </c>
      <c r="D649" s="1902"/>
      <c r="E649" s="1792"/>
      <c r="F649" s="1793"/>
      <c r="G649" s="1784"/>
      <c r="H649" s="1784"/>
      <c r="I649" s="1784"/>
      <c r="J649" s="1182"/>
      <c r="K649" s="684">
        <f t="shared" si="576"/>
        <v>1</v>
      </c>
      <c r="L649" s="708">
        <v>1</v>
      </c>
      <c r="M649" s="709">
        <f t="shared" si="577"/>
        <v>1</v>
      </c>
      <c r="N649" s="362" t="str">
        <f t="shared" si="570"/>
        <v/>
      </c>
      <c r="O649" s="1763" t="str">
        <f t="shared" si="571"/>
        <v/>
      </c>
      <c r="P649" s="1764" t="str">
        <f t="shared" si="572"/>
        <v/>
      </c>
      <c r="Q649" s="120" t="str">
        <f t="shared" si="573"/>
        <v/>
      </c>
      <c r="R649" s="185"/>
    </row>
    <row r="650" spans="1:20" s="120" customFormat="1" ht="18" customHeight="1">
      <c r="A650" s="687"/>
      <c r="B650" s="1945">
        <v>2</v>
      </c>
      <c r="C650" s="1848" t="str">
        <f>VLOOKUP(D650,base_datos,6,FALSE)</f>
        <v>Transformador de tensión monofásico 480 / 240 Vac - 50VA.</v>
      </c>
      <c r="D650" s="1898" t="s">
        <v>8587</v>
      </c>
      <c r="E650" s="1581">
        <f>VLOOKUP(D650,base_datos,5,FALSE)</f>
        <v>76.8</v>
      </c>
      <c r="F650" s="1581">
        <f>+E650*B650</f>
        <v>153.6</v>
      </c>
      <c r="G650" s="686"/>
      <c r="H650" s="686"/>
      <c r="I650" s="686"/>
      <c r="J650" s="1768"/>
      <c r="K650" s="684">
        <f t="shared" si="576"/>
        <v>1</v>
      </c>
      <c r="L650" s="708">
        <v>1</v>
      </c>
      <c r="M650" s="709">
        <f t="shared" si="577"/>
        <v>2</v>
      </c>
      <c r="N650" s="362" t="str">
        <f t="shared" si="570"/>
        <v/>
      </c>
      <c r="O650" s="1763" t="str">
        <f t="shared" si="571"/>
        <v/>
      </c>
      <c r="P650" s="1764" t="str">
        <f t="shared" si="572"/>
        <v/>
      </c>
      <c r="Q650" s="120" t="str">
        <f t="shared" si="573"/>
        <v/>
      </c>
      <c r="R650" s="185"/>
    </row>
    <row r="651" spans="1:20" s="120" customFormat="1" ht="18" customHeight="1">
      <c r="A651" s="687"/>
      <c r="B651" s="1945">
        <v>1</v>
      </c>
      <c r="C651" s="1848" t="str">
        <f>VLOOKUP(D651,base_datos,6,FALSE)</f>
        <v>Transformador de tensión monofásico 480 / 240 Vac - 200VA.</v>
      </c>
      <c r="D651" s="1898" t="s">
        <v>5173</v>
      </c>
      <c r="E651" s="1581">
        <f>VLOOKUP(D651,base_datos,5,FALSE)</f>
        <v>89.5</v>
      </c>
      <c r="F651" s="1581">
        <f>+E651*B651</f>
        <v>89.5</v>
      </c>
      <c r="G651" s="686"/>
      <c r="H651" s="686"/>
      <c r="I651" s="686"/>
      <c r="J651" s="1768"/>
      <c r="K651" s="684">
        <f t="shared" si="576"/>
        <v>1</v>
      </c>
      <c r="L651" s="708">
        <v>1</v>
      </c>
      <c r="M651" s="709">
        <f t="shared" si="577"/>
        <v>1</v>
      </c>
      <c r="N651" s="362" t="str">
        <f t="shared" si="570"/>
        <v/>
      </c>
      <c r="O651" s="1763" t="str">
        <f t="shared" si="571"/>
        <v/>
      </c>
      <c r="P651" s="1764" t="str">
        <f t="shared" si="572"/>
        <v/>
      </c>
      <c r="Q651" s="120" t="str">
        <f t="shared" si="573"/>
        <v/>
      </c>
      <c r="R651" s="185"/>
    </row>
    <row r="652" spans="1:20" s="185" customFormat="1" ht="18" customHeight="1">
      <c r="A652" s="1785"/>
      <c r="B652" s="714"/>
      <c r="C652" s="1893" t="s">
        <v>729</v>
      </c>
      <c r="D652" s="173"/>
      <c r="E652" s="1786"/>
      <c r="F652" s="1787"/>
      <c r="G652" s="710"/>
      <c r="H652" s="710"/>
      <c r="I652" s="710"/>
      <c r="J652" s="711"/>
      <c r="K652" s="684">
        <f t="shared" si="576"/>
        <v>1</v>
      </c>
      <c r="L652" s="708">
        <v>1</v>
      </c>
      <c r="M652" s="709">
        <f t="shared" si="577"/>
        <v>1</v>
      </c>
      <c r="N652" s="362" t="str">
        <f t="shared" si="570"/>
        <v/>
      </c>
      <c r="O652" s="1763" t="str">
        <f t="shared" si="571"/>
        <v/>
      </c>
      <c r="P652" s="1764" t="str">
        <f t="shared" si="572"/>
        <v/>
      </c>
      <c r="Q652" s="120" t="str">
        <f t="shared" si="573"/>
        <v/>
      </c>
    </row>
    <row r="653" spans="1:20" s="1236" customFormat="1" ht="18" customHeight="1">
      <c r="A653" s="1767"/>
      <c r="B653" s="1853">
        <v>1</v>
      </c>
      <c r="C653" s="1895" t="s">
        <v>12364</v>
      </c>
      <c r="D653" s="1902"/>
      <c r="E653" s="1792"/>
      <c r="F653" s="1793"/>
      <c r="G653" s="1784"/>
      <c r="H653" s="1784"/>
      <c r="I653" s="1784"/>
      <c r="J653" s="1182"/>
      <c r="K653" s="684">
        <f t="shared" si="576"/>
        <v>1</v>
      </c>
      <c r="L653" s="708">
        <v>1</v>
      </c>
      <c r="M653" s="709">
        <f t="shared" si="577"/>
        <v>1</v>
      </c>
      <c r="N653" s="362" t="str">
        <f t="shared" si="570"/>
        <v/>
      </c>
      <c r="O653" s="1763" t="str">
        <f t="shared" si="571"/>
        <v/>
      </c>
      <c r="P653" s="1764" t="str">
        <f t="shared" si="572"/>
        <v/>
      </c>
      <c r="Q653" s="120" t="str">
        <f t="shared" si="573"/>
        <v/>
      </c>
      <c r="R653" s="185"/>
    </row>
    <row r="654" spans="1:20" s="695" customFormat="1" ht="18" customHeight="1">
      <c r="A654" s="693"/>
      <c r="B654" s="1922">
        <v>1</v>
      </c>
      <c r="C654" s="1848" t="str">
        <f t="shared" ref="C654" si="599">VLOOKUP(D654,base_datos,6,FALSE)</f>
        <v>Placa lamicoid rotulación de 3mm de espesor, fondo negro y letras blancas.</v>
      </c>
      <c r="D654" s="1886" t="s">
        <v>8570</v>
      </c>
      <c r="E654" s="1795">
        <f t="shared" ref="E654" si="600">VLOOKUP(D654,base_datos,5,FALSE)</f>
        <v>2.2000000000000002</v>
      </c>
      <c r="F654" s="1796">
        <f t="shared" ref="F654" si="601">+E654*B654</f>
        <v>2.2000000000000002</v>
      </c>
      <c r="G654" s="696"/>
      <c r="H654" s="696"/>
      <c r="I654" s="696"/>
      <c r="J654" s="697"/>
      <c r="K654" s="684">
        <f t="shared" si="576"/>
        <v>1</v>
      </c>
      <c r="L654" s="708">
        <v>1</v>
      </c>
      <c r="M654" s="709">
        <f t="shared" si="577"/>
        <v>1</v>
      </c>
      <c r="N654" s="362">
        <f t="shared" si="570"/>
        <v>1</v>
      </c>
      <c r="O654" s="1763" t="str">
        <f t="shared" si="571"/>
        <v>Placa lamicoid p/distr.</v>
      </c>
      <c r="P654" s="1764" t="str">
        <f t="shared" si="572"/>
        <v>Placa lamicoid rotulación de 3mm de espesor, fondo negro y letras blancas.</v>
      </c>
      <c r="Q654" s="120" t="str">
        <f t="shared" si="573"/>
        <v>Placa lamicoid p/distr.</v>
      </c>
      <c r="R654" s="185"/>
    </row>
    <row r="655" spans="1:20" s="1236" customFormat="1" ht="18" customHeight="1">
      <c r="A655" s="1767"/>
      <c r="B655" s="1853">
        <v>1</v>
      </c>
      <c r="C655" s="1895" t="s">
        <v>12474</v>
      </c>
      <c r="D655" s="1902"/>
      <c r="E655" s="1792"/>
      <c r="F655" s="1793"/>
      <c r="G655" s="1784"/>
      <c r="H655" s="1784"/>
      <c r="I655" s="1784"/>
      <c r="J655" s="1182"/>
      <c r="K655" s="684">
        <f t="shared" si="576"/>
        <v>1</v>
      </c>
      <c r="L655" s="708">
        <v>1</v>
      </c>
      <c r="M655" s="709">
        <f t="shared" si="577"/>
        <v>1</v>
      </c>
      <c r="N655" s="362" t="str">
        <f t="shared" si="570"/>
        <v/>
      </c>
      <c r="O655" s="1763" t="str">
        <f t="shared" si="571"/>
        <v/>
      </c>
      <c r="P655" s="1764" t="str">
        <f t="shared" si="572"/>
        <v/>
      </c>
      <c r="Q655" s="120" t="str">
        <f t="shared" si="573"/>
        <v/>
      </c>
      <c r="R655" s="185"/>
    </row>
    <row r="656" spans="1:20" s="1236" customFormat="1" ht="18" customHeight="1">
      <c r="A656" s="1767"/>
      <c r="B656" s="1853">
        <v>1</v>
      </c>
      <c r="C656" s="1848" t="str">
        <f>VLOOKUP(D656,base_datos,6,FALSE)</f>
        <v>Embalaje especial completamente cerrado para tablero adosado de 1600x600x220mm</v>
      </c>
      <c r="D656" s="1902" t="s">
        <v>12453</v>
      </c>
      <c r="E656" s="1795">
        <f t="shared" ref="E656" si="602">VLOOKUP(D656,base_datos,5,FALSE)</f>
        <v>271.40000000000003</v>
      </c>
      <c r="F656" s="1796">
        <f t="shared" ref="F656" si="603">+E656*B656</f>
        <v>271.40000000000003</v>
      </c>
      <c r="G656" s="1784"/>
      <c r="H656" s="1784"/>
      <c r="I656" s="1784"/>
      <c r="J656" s="1182"/>
      <c r="K656" s="684">
        <f t="shared" si="576"/>
        <v>1</v>
      </c>
      <c r="L656" s="708">
        <v>1</v>
      </c>
      <c r="M656" s="709">
        <f t="shared" si="577"/>
        <v>1</v>
      </c>
      <c r="N656" s="362">
        <f t="shared" si="570"/>
        <v>1</v>
      </c>
      <c r="O656" s="1763" t="str">
        <f t="shared" si="571"/>
        <v>EMBAL_ADOS_1600x600x220mm</v>
      </c>
      <c r="P656" s="1764" t="str">
        <f t="shared" si="572"/>
        <v>Embalaje especial completamente cerrado para tablero adosado de 1600x600x220mm</v>
      </c>
      <c r="Q656" s="120" t="str">
        <f t="shared" si="573"/>
        <v>EMBAL_ADOS_1600x600x220mm</v>
      </c>
      <c r="R656" s="185"/>
    </row>
    <row r="657" spans="1:18" s="185" customFormat="1" ht="18" customHeight="1">
      <c r="A657" s="1785"/>
      <c r="B657" s="714"/>
      <c r="C657" s="313" t="s">
        <v>729</v>
      </c>
      <c r="D657" s="173"/>
      <c r="E657" s="1786"/>
      <c r="F657" s="1787"/>
      <c r="G657" s="710"/>
      <c r="H657" s="710"/>
      <c r="I657" s="710"/>
      <c r="J657" s="711"/>
      <c r="K657" s="684">
        <f t="shared" si="576"/>
        <v>1</v>
      </c>
      <c r="L657" s="708">
        <v>1</v>
      </c>
      <c r="M657" s="709">
        <f t="shared" si="577"/>
        <v>1</v>
      </c>
      <c r="N657" s="362" t="str">
        <f t="shared" si="570"/>
        <v/>
      </c>
      <c r="O657" s="1763" t="str">
        <f t="shared" si="571"/>
        <v/>
      </c>
      <c r="P657" s="1764" t="str">
        <f t="shared" si="572"/>
        <v/>
      </c>
      <c r="Q657" s="120" t="str">
        <f t="shared" si="573"/>
        <v/>
      </c>
    </row>
    <row r="658" spans="1:18" s="695" customFormat="1" ht="18" customHeight="1">
      <c r="A658" s="693"/>
      <c r="B658" s="1794">
        <v>1</v>
      </c>
      <c r="C658" s="1420" t="str">
        <f>VLOOKUP(D658,base_datos,6,FALSE)</f>
        <v>Barra a tierra.</v>
      </c>
      <c r="D658" s="1790" t="s">
        <v>8299</v>
      </c>
      <c r="E658" s="1795">
        <f t="shared" ref="E658" si="604">VLOOKUP(D658,base_datos,5,FALSE)</f>
        <v>10</v>
      </c>
      <c r="F658" s="1796">
        <f t="shared" ref="F658" si="605">+E658*B658</f>
        <v>10</v>
      </c>
      <c r="G658" s="696"/>
      <c r="H658" s="696"/>
      <c r="I658" s="696"/>
      <c r="J658" s="697"/>
      <c r="K658" s="684">
        <f t="shared" si="576"/>
        <v>1</v>
      </c>
      <c r="L658" s="708">
        <v>1</v>
      </c>
      <c r="M658" s="709">
        <f t="shared" si="577"/>
        <v>1</v>
      </c>
      <c r="N658" s="362" t="str">
        <f t="shared" si="570"/>
        <v/>
      </c>
      <c r="O658" s="1763" t="str">
        <f t="shared" si="571"/>
        <v/>
      </c>
      <c r="P658" s="1764" t="str">
        <f t="shared" si="572"/>
        <v/>
      </c>
      <c r="Q658" s="120" t="str">
        <f t="shared" si="573"/>
        <v/>
      </c>
      <c r="R658" s="185"/>
    </row>
    <row r="659" spans="1:18" s="897" customFormat="1" ht="18" customHeight="1">
      <c r="A659" s="693"/>
      <c r="B659" s="895">
        <v>5</v>
      </c>
      <c r="C659" s="721" t="str">
        <f>VLOOKUP(D659,base_datos,6,FALSE)</f>
        <v>Rotulado por circuito.</v>
      </c>
      <c r="D659" s="1579" t="s">
        <v>3067</v>
      </c>
      <c r="E659" s="1581">
        <f>VLOOKUP(D659,base_datos,5,FALSE)</f>
        <v>0.7</v>
      </c>
      <c r="F659" s="1581">
        <f t="shared" ref="F659:F664" si="606">+E659*B659</f>
        <v>3.5</v>
      </c>
      <c r="G659" s="1772"/>
      <c r="H659" s="1772"/>
      <c r="I659" s="1772"/>
      <c r="J659" s="896"/>
      <c r="K659" s="684">
        <f t="shared" si="576"/>
        <v>1</v>
      </c>
      <c r="L659" s="708">
        <v>1</v>
      </c>
      <c r="M659" s="709">
        <f t="shared" si="577"/>
        <v>5</v>
      </c>
      <c r="N659" s="362" t="str">
        <f t="shared" si="570"/>
        <v/>
      </c>
      <c r="O659" s="1763" t="str">
        <f t="shared" si="571"/>
        <v/>
      </c>
      <c r="P659" s="1764" t="str">
        <f t="shared" si="572"/>
        <v/>
      </c>
      <c r="Q659" s="120" t="str">
        <f t="shared" si="573"/>
        <v/>
      </c>
    </row>
    <row r="660" spans="1:18" s="897" customFormat="1" ht="18" customHeight="1">
      <c r="A660" s="693"/>
      <c r="B660" s="895">
        <v>1</v>
      </c>
      <c r="C660" s="721" t="str">
        <f>VLOOKUP(D660,base_datos,6,FALSE)</f>
        <v>Rotulado para TAG - tablero de distribución.</v>
      </c>
      <c r="D660" s="1579" t="s">
        <v>3066</v>
      </c>
      <c r="E660" s="1581">
        <f>VLOOKUP(D660,base_datos,5,FALSE)</f>
        <v>1.5</v>
      </c>
      <c r="F660" s="1581">
        <f t="shared" si="606"/>
        <v>1.5</v>
      </c>
      <c r="G660" s="1772"/>
      <c r="H660" s="1772"/>
      <c r="I660" s="1772"/>
      <c r="J660" s="896"/>
      <c r="K660" s="684">
        <f t="shared" si="576"/>
        <v>1</v>
      </c>
      <c r="L660" s="708">
        <v>1</v>
      </c>
      <c r="M660" s="709">
        <f t="shared" si="577"/>
        <v>1</v>
      </c>
      <c r="N660" s="362" t="str">
        <f t="shared" si="570"/>
        <v/>
      </c>
      <c r="O660" s="1763" t="str">
        <f t="shared" si="571"/>
        <v/>
      </c>
      <c r="P660" s="1764" t="str">
        <f t="shared" si="572"/>
        <v/>
      </c>
      <c r="Q660" s="120" t="str">
        <f t="shared" si="573"/>
        <v/>
      </c>
    </row>
    <row r="661" spans="1:18" s="1237" customFormat="1" ht="18" customHeight="1">
      <c r="A661" s="1767"/>
      <c r="B661" s="1773">
        <v>1</v>
      </c>
      <c r="C661" s="1992" t="s">
        <v>11664</v>
      </c>
      <c r="D661" s="1887"/>
      <c r="E661" s="1581">
        <v>97</v>
      </c>
      <c r="F661" s="1581">
        <f t="shared" si="606"/>
        <v>97</v>
      </c>
      <c r="G661" s="1774"/>
      <c r="H661" s="1774"/>
      <c r="I661" s="1774"/>
      <c r="J661" s="1181"/>
      <c r="K661" s="684">
        <f t="shared" si="576"/>
        <v>1</v>
      </c>
      <c r="L661" s="708">
        <v>1</v>
      </c>
      <c r="M661" s="709">
        <f t="shared" si="577"/>
        <v>1</v>
      </c>
      <c r="N661" s="362" t="str">
        <f t="shared" si="570"/>
        <v/>
      </c>
      <c r="O661" s="1763" t="str">
        <f t="shared" si="571"/>
        <v/>
      </c>
      <c r="P661" s="1764" t="str">
        <f t="shared" si="572"/>
        <v/>
      </c>
      <c r="Q661" s="120" t="str">
        <f t="shared" si="573"/>
        <v/>
      </c>
      <c r="R661" s="1765"/>
    </row>
    <row r="662" spans="1:18" s="1237" customFormat="1" ht="18" customHeight="1">
      <c r="A662" s="1767"/>
      <c r="B662" s="2093">
        <v>1</v>
      </c>
      <c r="C662" s="694" t="s">
        <v>12552</v>
      </c>
      <c r="D662" s="1888"/>
      <c r="E662" s="1580">
        <f>E664*15%</f>
        <v>28.65</v>
      </c>
      <c r="F662" s="1581">
        <f t="shared" si="606"/>
        <v>28.65</v>
      </c>
      <c r="G662" s="1774"/>
      <c r="H662" s="1774"/>
      <c r="I662" s="1774"/>
      <c r="J662" s="1181"/>
      <c r="K662" s="684">
        <f t="shared" si="576"/>
        <v>1</v>
      </c>
      <c r="L662" s="708">
        <v>1</v>
      </c>
      <c r="M662" s="709">
        <f t="shared" si="577"/>
        <v>1</v>
      </c>
      <c r="N662" s="362" t="str">
        <f t="shared" si="570"/>
        <v/>
      </c>
      <c r="O662" s="1763" t="str">
        <f t="shared" si="571"/>
        <v/>
      </c>
      <c r="P662" s="1764" t="str">
        <f t="shared" si="572"/>
        <v/>
      </c>
      <c r="Q662" s="120" t="str">
        <f t="shared" si="573"/>
        <v/>
      </c>
      <c r="R662" s="1765"/>
    </row>
    <row r="663" spans="1:18" s="1237" customFormat="1" ht="18" customHeight="1">
      <c r="A663" s="1767"/>
      <c r="B663" s="1773">
        <v>1</v>
      </c>
      <c r="C663" s="694" t="s">
        <v>12559</v>
      </c>
      <c r="D663" s="1888"/>
      <c r="E663" s="1999">
        <f>E664*20%</f>
        <v>38.200000000000003</v>
      </c>
      <c r="F663" s="1581">
        <f t="shared" si="606"/>
        <v>38.200000000000003</v>
      </c>
      <c r="G663" s="1774"/>
      <c r="H663" s="1774"/>
      <c r="I663" s="1774"/>
      <c r="J663" s="1181"/>
      <c r="K663" s="684">
        <f t="shared" si="576"/>
        <v>1</v>
      </c>
      <c r="L663" s="708">
        <v>1</v>
      </c>
      <c r="M663" s="709">
        <f t="shared" si="577"/>
        <v>1</v>
      </c>
      <c r="N663" s="362" t="str">
        <f t="shared" si="570"/>
        <v/>
      </c>
      <c r="O663" s="1763" t="str">
        <f t="shared" si="571"/>
        <v/>
      </c>
      <c r="P663" s="1764" t="str">
        <f t="shared" si="572"/>
        <v/>
      </c>
      <c r="Q663" s="120" t="str">
        <f t="shared" si="573"/>
        <v/>
      </c>
      <c r="R663" s="1765"/>
    </row>
    <row r="664" spans="1:18" s="1237" customFormat="1" ht="18" customHeight="1">
      <c r="A664" s="1767"/>
      <c r="B664" s="1773">
        <v>1</v>
      </c>
      <c r="C664" s="694" t="s">
        <v>12442</v>
      </c>
      <c r="D664" s="1888"/>
      <c r="E664" s="1999">
        <v>191</v>
      </c>
      <c r="F664" s="1581">
        <f t="shared" si="606"/>
        <v>191</v>
      </c>
      <c r="G664" s="1774"/>
      <c r="H664" s="1774"/>
      <c r="I664" s="1774"/>
      <c r="J664" s="1181"/>
      <c r="K664" s="684">
        <f t="shared" si="576"/>
        <v>1</v>
      </c>
      <c r="L664" s="708">
        <v>1</v>
      </c>
      <c r="M664" s="709">
        <f t="shared" si="577"/>
        <v>1</v>
      </c>
      <c r="N664" s="362" t="str">
        <f t="shared" si="570"/>
        <v/>
      </c>
      <c r="O664" s="1763" t="str">
        <f t="shared" si="571"/>
        <v/>
      </c>
      <c r="P664" s="1764" t="str">
        <f t="shared" si="572"/>
        <v/>
      </c>
      <c r="Q664" s="120" t="str">
        <f t="shared" si="573"/>
        <v/>
      </c>
      <c r="R664" s="1765"/>
    </row>
    <row r="665" spans="1:18" s="20" customFormat="1" ht="18" customHeight="1" thickBot="1">
      <c r="A665" s="699"/>
      <c r="B665" s="1775"/>
      <c r="C665" s="1776"/>
      <c r="D665" s="2012"/>
      <c r="E665" s="1981"/>
      <c r="F665" s="1981"/>
      <c r="G665" s="1777"/>
      <c r="H665" s="1777"/>
      <c r="I665" s="1777"/>
      <c r="J665" s="1778"/>
      <c r="K665" s="684"/>
      <c r="L665" s="363"/>
      <c r="M665" s="709"/>
      <c r="N665" s="362" t="str">
        <f t="shared" si="570"/>
        <v/>
      </c>
      <c r="O665" s="1763" t="str">
        <f t="shared" si="571"/>
        <v/>
      </c>
      <c r="P665" s="1764" t="str">
        <f t="shared" si="572"/>
        <v/>
      </c>
      <c r="Q665" s="120" t="str">
        <f t="shared" si="573"/>
        <v/>
      </c>
      <c r="R665" s="1765"/>
    </row>
    <row r="666" spans="1:18" s="120" customFormat="1" ht="18" customHeight="1" thickBot="1">
      <c r="A666" s="1587">
        <v>11</v>
      </c>
      <c r="B666" s="1852">
        <v>1</v>
      </c>
      <c r="C666" s="1756" t="s">
        <v>13050</v>
      </c>
      <c r="D666" s="2010"/>
      <c r="E666" s="1589"/>
      <c r="F666" s="1589"/>
      <c r="G666" s="1757">
        <f>SUM(F667:F738)</f>
        <v>3466.6000000000004</v>
      </c>
      <c r="H666" s="1758">
        <f>G666*(1-$D$6)</f>
        <v>3466.6000000000004</v>
      </c>
      <c r="I666" s="1757">
        <f>ROUNDUP(H666*$D$5,0)</f>
        <v>11787</v>
      </c>
      <c r="J666" s="1759">
        <f>+I666*B666</f>
        <v>11787</v>
      </c>
      <c r="K666" s="1788">
        <f>B666</f>
        <v>1</v>
      </c>
      <c r="L666" s="363"/>
      <c r="M666" s="684"/>
      <c r="N666" s="362" t="str">
        <f t="shared" si="570"/>
        <v/>
      </c>
      <c r="O666" s="1763" t="str">
        <f t="shared" si="571"/>
        <v/>
      </c>
      <c r="P666" s="1764" t="str">
        <f t="shared" si="572"/>
        <v/>
      </c>
      <c r="Q666" s="120" t="str">
        <f t="shared" si="573"/>
        <v/>
      </c>
      <c r="R666" s="185"/>
    </row>
    <row r="667" spans="1:18" s="120" customFormat="1" ht="18" customHeight="1">
      <c r="A667" s="685" t="s">
        <v>3064</v>
      </c>
      <c r="B667" s="1903"/>
      <c r="C667" s="1890"/>
      <c r="D667" s="1927"/>
      <c r="E667" s="1780"/>
      <c r="F667" s="1780"/>
      <c r="G667" s="686"/>
      <c r="H667" s="710"/>
      <c r="I667" s="686"/>
      <c r="J667" s="1768"/>
      <c r="K667" s="684">
        <f t="shared" ref="K667:K671" si="607">+K666</f>
        <v>1</v>
      </c>
      <c r="L667" s="363">
        <v>1</v>
      </c>
      <c r="M667" s="709">
        <f t="shared" ref="M667:M734" si="608">IF(B667="",1,B667)</f>
        <v>1</v>
      </c>
      <c r="N667" s="362" t="str">
        <f t="shared" si="570"/>
        <v/>
      </c>
      <c r="O667" s="1763" t="str">
        <f t="shared" si="571"/>
        <v/>
      </c>
      <c r="P667" s="1764" t="str">
        <f t="shared" si="572"/>
        <v/>
      </c>
      <c r="Q667" s="120" t="str">
        <f t="shared" si="573"/>
        <v/>
      </c>
    </row>
    <row r="668" spans="1:18" s="315" customFormat="1">
      <c r="A668" s="687" t="s">
        <v>4021</v>
      </c>
      <c r="B668" s="2096">
        <v>1</v>
      </c>
      <c r="C668" s="1907" t="s">
        <v>5103</v>
      </c>
      <c r="D668" s="1935"/>
      <c r="E668" s="1786"/>
      <c r="F668" s="1908">
        <f>SUM(F670:F674)*(B668-1)</f>
        <v>0</v>
      </c>
      <c r="G668" s="712"/>
      <c r="H668" s="712"/>
      <c r="I668" s="712"/>
      <c r="J668" s="713"/>
      <c r="K668" s="684">
        <f t="shared" si="607"/>
        <v>1</v>
      </c>
      <c r="L668" s="1909">
        <f>B668</f>
        <v>1</v>
      </c>
      <c r="M668" s="684">
        <f t="shared" si="608"/>
        <v>1</v>
      </c>
      <c r="N668" s="362" t="str">
        <f t="shared" ref="N668:N676" si="609">IF(O668&lt;&gt;"",K668*L668*M668,"")</f>
        <v/>
      </c>
      <c r="O668" s="1763" t="str">
        <f t="shared" ref="O668:O676" si="610">IF(D668&lt;&gt;"",IF(VLOOKUP(D668,base_datos,7,FALSE)&lt;&gt;"",VLOOKUP(D668,base_datos,7,FALSE),""),"")</f>
        <v/>
      </c>
      <c r="P668" s="1764" t="str">
        <f t="shared" ref="P668:P676" si="611">IF(O668&lt;&gt;"",VLOOKUP(D668,base_datos,6,FALSE),"")</f>
        <v/>
      </c>
      <c r="Q668" s="120" t="str">
        <f t="shared" ref="Q668:Q676" si="612">IF(O668&lt;&gt;"",D668,"")</f>
        <v/>
      </c>
    </row>
    <row r="669" spans="1:18" s="185" customFormat="1">
      <c r="A669" s="687" t="s">
        <v>4136</v>
      </c>
      <c r="B669" s="1910">
        <v>3</v>
      </c>
      <c r="C669" s="1911" t="str">
        <f>VLOOKUP(D669,base_datos,6,FALSE)</f>
        <v>Portalámpara + lampara tipo LED - color Rojo - alimentacion: 220-230Vac, d=22mm. - CL2-523R - línea compacta - marca ABB.</v>
      </c>
      <c r="D669" s="1790" t="s">
        <v>2439</v>
      </c>
      <c r="E669" s="1939">
        <f>VLOOKUP(D669,base_datos,5,FALSE)</f>
        <v>12.299999999999999</v>
      </c>
      <c r="F669" s="1912">
        <f>+E669*B669</f>
        <v>36.9</v>
      </c>
      <c r="G669" s="710"/>
      <c r="H669" s="710"/>
      <c r="I669" s="710"/>
      <c r="J669" s="711"/>
      <c r="K669" s="684">
        <f>+K667</f>
        <v>1</v>
      </c>
      <c r="L669" s="1913">
        <f>L667</f>
        <v>1</v>
      </c>
      <c r="M669" s="684">
        <f t="shared" si="608"/>
        <v>3</v>
      </c>
      <c r="N669" s="362">
        <f t="shared" si="609"/>
        <v>3</v>
      </c>
      <c r="O669" s="1763" t="str">
        <f t="shared" si="610"/>
        <v>1SFA619403R5231</v>
      </c>
      <c r="P669" s="1764" t="str">
        <f t="shared" si="611"/>
        <v>Portalámpara + lampara tipo LED - color Rojo - alimentacion: 220-230Vac, d=22mm. - CL2-523R - línea compacta - marca ABB.</v>
      </c>
      <c r="Q669" s="120" t="str">
        <f t="shared" si="612"/>
        <v>LAMP_ROJO_220V</v>
      </c>
    </row>
    <row r="670" spans="1:18" s="185" customFormat="1">
      <c r="A670" s="687"/>
      <c r="B670" s="1910">
        <v>3</v>
      </c>
      <c r="C670" s="1911" t="str">
        <f>VLOOKUP(D670,base_datos,6,FALSE)</f>
        <v>Portalámpara + lampara tipo LED - color Verde - alimentacion: 220-230Vac, d=22mm. - CL2-523G - línea compacta - marca ABB.</v>
      </c>
      <c r="D670" s="1790" t="s">
        <v>2440</v>
      </c>
      <c r="E670" s="1939">
        <f>VLOOKUP(D670,base_datos,5,FALSE)</f>
        <v>12.299999999999999</v>
      </c>
      <c r="F670" s="1912">
        <f>+E670*B670</f>
        <v>36.9</v>
      </c>
      <c r="G670" s="710"/>
      <c r="H670" s="710"/>
      <c r="I670" s="710"/>
      <c r="J670" s="711"/>
      <c r="K670" s="684">
        <f>+K668</f>
        <v>1</v>
      </c>
      <c r="L670" s="1913">
        <f>L668</f>
        <v>1</v>
      </c>
      <c r="M670" s="684">
        <f t="shared" si="608"/>
        <v>3</v>
      </c>
      <c r="N670" s="362">
        <f t="shared" si="609"/>
        <v>3</v>
      </c>
      <c r="O670" s="1763" t="str">
        <f t="shared" si="610"/>
        <v>1SFA619403R5232</v>
      </c>
      <c r="P670" s="1764" t="str">
        <f t="shared" si="611"/>
        <v>Portalámpara + lampara tipo LED - color Verde - alimentacion: 220-230Vac, d=22mm. - CL2-523G - línea compacta - marca ABB.</v>
      </c>
      <c r="Q670" s="120" t="str">
        <f t="shared" si="612"/>
        <v>LAMP_VERDE_220V</v>
      </c>
    </row>
    <row r="671" spans="1:18" s="1921" customFormat="1">
      <c r="A671" s="687" t="s">
        <v>12356</v>
      </c>
      <c r="B671" s="1914">
        <v>1</v>
      </c>
      <c r="C671" s="1915" t="s">
        <v>3366</v>
      </c>
      <c r="D671" s="1916"/>
      <c r="E671" s="1917"/>
      <c r="F671" s="1918"/>
      <c r="G671" s="1919"/>
      <c r="H671" s="1919"/>
      <c r="I671" s="1919"/>
      <c r="J671" s="1920"/>
      <c r="K671" s="684">
        <f t="shared" si="607"/>
        <v>1</v>
      </c>
      <c r="L671" s="1913">
        <f>L670</f>
        <v>1</v>
      </c>
      <c r="M671" s="684">
        <f t="shared" si="608"/>
        <v>1</v>
      </c>
      <c r="N671" s="362" t="str">
        <f t="shared" si="609"/>
        <v/>
      </c>
      <c r="O671" s="1763" t="str">
        <f t="shared" si="610"/>
        <v/>
      </c>
      <c r="P671" s="1764" t="str">
        <f t="shared" si="611"/>
        <v/>
      </c>
      <c r="Q671" s="120" t="str">
        <f t="shared" si="612"/>
        <v/>
      </c>
    </row>
    <row r="672" spans="1:18" s="320" customFormat="1">
      <c r="A672" s="687" t="s">
        <v>12429</v>
      </c>
      <c r="B672" s="1922">
        <v>1</v>
      </c>
      <c r="C672" s="721" t="str">
        <f>VLOOKUP(D672,base_datos,6,FALSE)</f>
        <v>Rele auxiliar enchufable +4NA/NC (D2PR4B + base D2PA6), 220Vac - marca EATON.</v>
      </c>
      <c r="D672" s="1579" t="s">
        <v>772</v>
      </c>
      <c r="E672" s="1581">
        <f>VLOOKUP(D672,base_datos,5,FALSE)</f>
        <v>27</v>
      </c>
      <c r="F672" s="1923">
        <f>+E672*B672</f>
        <v>27</v>
      </c>
      <c r="G672" s="1924"/>
      <c r="H672" s="1924"/>
      <c r="I672" s="1924"/>
      <c r="J672" s="722"/>
      <c r="K672" s="684">
        <f>+K669</f>
        <v>1</v>
      </c>
      <c r="L672" s="1913">
        <f>L669</f>
        <v>1</v>
      </c>
      <c r="M672" s="684">
        <f t="shared" si="608"/>
        <v>1</v>
      </c>
      <c r="N672" s="362">
        <f t="shared" si="609"/>
        <v>1</v>
      </c>
      <c r="O672" s="1763" t="str">
        <f t="shared" si="610"/>
        <v>D2PR4B+D2PA6</v>
      </c>
      <c r="P672" s="1764" t="str">
        <f t="shared" si="611"/>
        <v>Rele auxiliar enchufable +4NA/NC (D2PR4B + base D2PA6), 220Vac - marca EATON.</v>
      </c>
      <c r="Q672" s="120" t="str">
        <f t="shared" si="612"/>
        <v>D2PR4B+D2PA6</v>
      </c>
    </row>
    <row r="673" spans="1:18" s="320" customFormat="1">
      <c r="A673" s="1767"/>
      <c r="B673" s="2131">
        <v>1</v>
      </c>
      <c r="C673" s="2132" t="s">
        <v>12558</v>
      </c>
      <c r="D673" s="2133"/>
      <c r="E673" s="2134">
        <v>32</v>
      </c>
      <c r="F673" s="2134">
        <f>+E673*B673</f>
        <v>32</v>
      </c>
      <c r="G673" s="1924"/>
      <c r="H673" s="1924"/>
      <c r="I673" s="1924"/>
      <c r="J673" s="722"/>
      <c r="K673" s="684">
        <f>+K670</f>
        <v>1</v>
      </c>
      <c r="L673" s="1913">
        <f>L670</f>
        <v>1</v>
      </c>
      <c r="M673" s="684">
        <f t="shared" si="608"/>
        <v>1</v>
      </c>
      <c r="N673" s="362" t="str">
        <f t="shared" si="609"/>
        <v/>
      </c>
      <c r="O673" s="1763" t="str">
        <f t="shared" si="610"/>
        <v/>
      </c>
      <c r="P673" s="1764" t="str">
        <f t="shared" si="611"/>
        <v/>
      </c>
      <c r="Q673" s="120" t="str">
        <f t="shared" si="612"/>
        <v/>
      </c>
    </row>
    <row r="674" spans="1:18" s="320" customFormat="1">
      <c r="A674" s="687" t="s">
        <v>12551</v>
      </c>
      <c r="B674" s="1922">
        <v>4</v>
      </c>
      <c r="C674" s="721" t="str">
        <f>VLOOKUP(D674,base_datos,6,FALSE)</f>
        <v>Base portafusibles + Fusibles de protección para control.</v>
      </c>
      <c r="D674" s="1579" t="s">
        <v>453</v>
      </c>
      <c r="E674" s="1581">
        <f>VLOOKUP(D674,base_datos,5,FALSE)</f>
        <v>8.1750000000000007</v>
      </c>
      <c r="F674" s="1923">
        <f>+E674*B674</f>
        <v>32.700000000000003</v>
      </c>
      <c r="G674" s="1924"/>
      <c r="H674" s="1924"/>
      <c r="I674" s="1924"/>
      <c r="J674" s="722"/>
      <c r="K674" s="684">
        <f t="shared" ref="K674:K734" si="613">+K671</f>
        <v>1</v>
      </c>
      <c r="L674" s="1913">
        <f>L671</f>
        <v>1</v>
      </c>
      <c r="M674" s="684">
        <f t="shared" si="608"/>
        <v>4</v>
      </c>
      <c r="N674" s="362" t="str">
        <f t="shared" si="609"/>
        <v/>
      </c>
      <c r="O674" s="1763" t="str">
        <f t="shared" si="610"/>
        <v/>
      </c>
      <c r="P674" s="1764" t="str">
        <f t="shared" si="611"/>
        <v/>
      </c>
      <c r="Q674" s="120" t="str">
        <f t="shared" si="612"/>
        <v/>
      </c>
    </row>
    <row r="675" spans="1:18" s="315" customFormat="1">
      <c r="A675" s="687" t="s">
        <v>3542</v>
      </c>
      <c r="B675" s="1906"/>
      <c r="C675" s="1907"/>
      <c r="D675" s="1935"/>
      <c r="E675" s="1786"/>
      <c r="F675" s="1936"/>
      <c r="G675" s="712"/>
      <c r="H675" s="712"/>
      <c r="I675" s="712"/>
      <c r="J675" s="713"/>
      <c r="K675" s="684">
        <f t="shared" si="613"/>
        <v>1</v>
      </c>
      <c r="L675" s="1909">
        <f>B675</f>
        <v>0</v>
      </c>
      <c r="M675" s="684">
        <f t="shared" si="608"/>
        <v>1</v>
      </c>
      <c r="N675" s="362" t="str">
        <f t="shared" si="609"/>
        <v/>
      </c>
      <c r="O675" s="1763" t="str">
        <f t="shared" si="610"/>
        <v/>
      </c>
      <c r="P675" s="1764" t="str">
        <f t="shared" si="611"/>
        <v/>
      </c>
      <c r="Q675" s="120" t="str">
        <f t="shared" si="612"/>
        <v/>
      </c>
    </row>
    <row r="676" spans="1:18" s="185" customFormat="1">
      <c r="A676" s="687"/>
      <c r="B676" s="1922"/>
      <c r="C676" s="1956" t="s">
        <v>12368</v>
      </c>
      <c r="D676" s="1579"/>
      <c r="E676" s="1957"/>
      <c r="F676" s="1958"/>
      <c r="G676" s="710"/>
      <c r="H676" s="710"/>
      <c r="I676" s="710"/>
      <c r="J676" s="711"/>
      <c r="K676" s="684">
        <f t="shared" si="613"/>
        <v>1</v>
      </c>
      <c r="L676" s="708">
        <v>1</v>
      </c>
      <c r="M676" s="684">
        <f t="shared" si="608"/>
        <v>1</v>
      </c>
      <c r="N676" s="362" t="str">
        <f t="shared" si="609"/>
        <v/>
      </c>
      <c r="O676" s="1763" t="str">
        <f t="shared" si="610"/>
        <v/>
      </c>
      <c r="P676" s="1764" t="str">
        <f t="shared" si="611"/>
        <v/>
      </c>
      <c r="Q676" s="120" t="str">
        <f t="shared" si="612"/>
        <v/>
      </c>
    </row>
    <row r="677" spans="1:18" s="120" customFormat="1" ht="18" customHeight="1">
      <c r="A677" s="1785"/>
      <c r="B677" s="1781"/>
      <c r="C677" s="1959" t="s">
        <v>3158</v>
      </c>
      <c r="D677" s="2005"/>
      <c r="E677" s="1791"/>
      <c r="F677" s="1782"/>
      <c r="G677" s="686"/>
      <c r="H677" s="686"/>
      <c r="I677" s="686"/>
      <c r="J677" s="688"/>
      <c r="K677" s="684">
        <f t="shared" si="613"/>
        <v>1</v>
      </c>
      <c r="L677" s="708">
        <v>1</v>
      </c>
      <c r="M677" s="684">
        <f t="shared" si="608"/>
        <v>1</v>
      </c>
      <c r="N677" s="362" t="str">
        <f t="shared" ref="N677:N753" si="614">IF(O677&lt;&gt;"",K677*L677*M677,"")</f>
        <v/>
      </c>
      <c r="O677" s="1763" t="str">
        <f t="shared" ref="O677:O753" si="615">IF(D677&lt;&gt;"",IF(VLOOKUP(D677,base_datos,7,FALSE)&lt;&gt;"",VLOOKUP(D677,base_datos,7,FALSE),""),"")</f>
        <v/>
      </c>
      <c r="P677" s="1764" t="str">
        <f t="shared" ref="P677:P753" si="616">IF(O677&lt;&gt;"",VLOOKUP(D677,base_datos,6,FALSE),"")</f>
        <v/>
      </c>
      <c r="Q677" s="120" t="str">
        <f t="shared" ref="Q677:Q753" si="617">IF(O677&lt;&gt;"",D677,"")</f>
        <v/>
      </c>
      <c r="R677" s="185"/>
    </row>
    <row r="678" spans="1:18" s="690" customFormat="1" ht="18" customHeight="1">
      <c r="A678" s="687"/>
      <c r="B678" s="2096">
        <v>1</v>
      </c>
      <c r="C678" s="1960" t="str">
        <f>VLOOKUP(D678,base_datos,6,FALSE)</f>
        <v>ITM Caja Moldeada 3x50A (reg.[0.7-1.0] In) - XT1B160-50A-3P-TMD - 25kA@230Vac, 18kA@415Vac, 18kA@250Vdc - marca ABB.</v>
      </c>
      <c r="D678" s="2006" t="s">
        <v>4368</v>
      </c>
      <c r="E678" s="1791">
        <f>VLOOKUP(D678,base_datos,5,FALSE)</f>
        <v>120.37</v>
      </c>
      <c r="F678" s="1782">
        <f>+E678*B678</f>
        <v>120.37</v>
      </c>
      <c r="G678" s="1761"/>
      <c r="H678" s="1761"/>
      <c r="I678" s="1761"/>
      <c r="J678" s="689"/>
      <c r="K678" s="684">
        <f t="shared" si="613"/>
        <v>1</v>
      </c>
      <c r="L678" s="708">
        <v>1</v>
      </c>
      <c r="M678" s="684">
        <f t="shared" si="608"/>
        <v>1</v>
      </c>
      <c r="N678" s="362">
        <f t="shared" si="614"/>
        <v>1</v>
      </c>
      <c r="O678" s="1763" t="str">
        <f t="shared" si="615"/>
        <v>1SDA066804R1</v>
      </c>
      <c r="P678" s="1764" t="str">
        <f t="shared" si="616"/>
        <v>ITM Caja Moldeada 3x50A (reg.[0.7-1.0] In) - XT1B160-50A-3P-TMD - 25kA@230Vac, 18kA@415Vac, 18kA@250Vdc - marca ABB.</v>
      </c>
      <c r="Q678" s="120" t="str">
        <f t="shared" si="617"/>
        <v>XT1B160-50A-3P-TMD</v>
      </c>
      <c r="R678" s="185"/>
    </row>
    <row r="679" spans="1:18" s="185" customFormat="1" ht="18" customHeight="1">
      <c r="A679" s="1785"/>
      <c r="B679" s="714"/>
      <c r="C679" s="313" t="s">
        <v>729</v>
      </c>
      <c r="D679" s="173"/>
      <c r="E679" s="1786"/>
      <c r="F679" s="1787"/>
      <c r="G679" s="710"/>
      <c r="H679" s="710"/>
      <c r="I679" s="710"/>
      <c r="J679" s="711"/>
      <c r="K679" s="684">
        <f t="shared" si="613"/>
        <v>1</v>
      </c>
      <c r="L679" s="708">
        <v>1</v>
      </c>
      <c r="M679" s="684">
        <f t="shared" si="608"/>
        <v>1</v>
      </c>
      <c r="N679" s="362" t="str">
        <f t="shared" si="614"/>
        <v/>
      </c>
      <c r="O679" s="1763" t="str">
        <f t="shared" si="615"/>
        <v/>
      </c>
      <c r="P679" s="1764" t="str">
        <f t="shared" si="616"/>
        <v/>
      </c>
      <c r="Q679" s="120" t="str">
        <f t="shared" si="617"/>
        <v/>
      </c>
    </row>
    <row r="680" spans="1:18" s="690" customFormat="1" ht="18" customHeight="1">
      <c r="A680" s="1785"/>
      <c r="B680" s="1851"/>
      <c r="C680" s="1966" t="s">
        <v>9431</v>
      </c>
      <c r="D680" s="1582"/>
      <c r="E680" s="1780"/>
      <c r="F680" s="1782"/>
      <c r="G680" s="1761"/>
      <c r="H680" s="1761"/>
      <c r="I680" s="1761"/>
      <c r="J680" s="689"/>
      <c r="K680" s="684">
        <f t="shared" si="613"/>
        <v>1</v>
      </c>
      <c r="L680" s="708">
        <v>1</v>
      </c>
      <c r="M680" s="684">
        <f t="shared" si="608"/>
        <v>1</v>
      </c>
      <c r="N680" s="362" t="str">
        <f t="shared" si="614"/>
        <v/>
      </c>
      <c r="O680" s="1763" t="str">
        <f t="shared" si="615"/>
        <v/>
      </c>
      <c r="P680" s="1764" t="str">
        <f t="shared" si="616"/>
        <v/>
      </c>
      <c r="Q680" s="120" t="str">
        <f t="shared" si="617"/>
        <v/>
      </c>
      <c r="R680" s="185"/>
    </row>
    <row r="681" spans="1:18" s="690" customFormat="1" ht="18" customHeight="1">
      <c r="A681" s="1785"/>
      <c r="B681" s="1781">
        <v>2</v>
      </c>
      <c r="C681" s="1960" t="str">
        <f t="shared" ref="C681" si="618">VLOOKUP(D681,base_datos,6,FALSE)</f>
        <v>ITM Caja Moldeada 3x25A (reg.[0.7-1.0] In)  - XT1B160-25A-3P-TMD - 25kA@230Vac,18kA@415Vac, 18kA@250Vdc - marca ABB.</v>
      </c>
      <c r="D681" s="2006" t="s">
        <v>4362</v>
      </c>
      <c r="E681" s="1791">
        <f t="shared" ref="E681" si="619">VLOOKUP(D681,base_datos,5,FALSE)</f>
        <v>120.37</v>
      </c>
      <c r="F681" s="1782">
        <f t="shared" ref="F681:F682" si="620">+E681*B681</f>
        <v>240.74</v>
      </c>
      <c r="G681" s="1761"/>
      <c r="H681" s="1761"/>
      <c r="I681" s="1761"/>
      <c r="J681" s="1783"/>
      <c r="K681" s="684">
        <f t="shared" si="613"/>
        <v>1</v>
      </c>
      <c r="L681" s="708">
        <v>1</v>
      </c>
      <c r="M681" s="684">
        <f t="shared" si="608"/>
        <v>2</v>
      </c>
      <c r="N681" s="362">
        <f t="shared" si="614"/>
        <v>2</v>
      </c>
      <c r="O681" s="1763" t="str">
        <f t="shared" si="615"/>
        <v>1SDA066801R1</v>
      </c>
      <c r="P681" s="1764" t="str">
        <f t="shared" si="616"/>
        <v>ITM Caja Moldeada 3x25A (reg.[0.7-1.0] In)  - XT1B160-25A-3P-TMD - 25kA@230Vac,18kA@415Vac, 18kA@250Vdc - marca ABB.</v>
      </c>
      <c r="Q681" s="120" t="str">
        <f t="shared" si="617"/>
        <v>XT1B160-25A-3P-TMD</v>
      </c>
      <c r="R681" s="185"/>
    </row>
    <row r="682" spans="1:18" s="695" customFormat="1">
      <c r="A682" s="1785"/>
      <c r="B682" s="1967">
        <v>1</v>
      </c>
      <c r="C682" s="1946">
        <v>6</v>
      </c>
      <c r="D682" s="1582"/>
      <c r="E682" s="2000">
        <v>24</v>
      </c>
      <c r="F682" s="1968">
        <f t="shared" si="620"/>
        <v>24</v>
      </c>
      <c r="G682" s="1969"/>
      <c r="H682" s="1969"/>
      <c r="I682" s="1969"/>
      <c r="J682" s="1970"/>
      <c r="K682" s="684">
        <f t="shared" si="613"/>
        <v>1</v>
      </c>
      <c r="L682" s="363">
        <v>1</v>
      </c>
      <c r="M682" s="684">
        <f t="shared" si="608"/>
        <v>1</v>
      </c>
      <c r="N682" s="362" t="str">
        <f t="shared" si="614"/>
        <v/>
      </c>
      <c r="O682" s="1763" t="str">
        <f t="shared" si="615"/>
        <v/>
      </c>
      <c r="P682" s="1764" t="str">
        <f t="shared" si="616"/>
        <v/>
      </c>
      <c r="Q682" s="120" t="str">
        <f t="shared" si="617"/>
        <v/>
      </c>
    </row>
    <row r="683" spans="1:18" s="185" customFormat="1" ht="18" customHeight="1">
      <c r="A683" s="1785"/>
      <c r="B683" s="714"/>
      <c r="C683" s="313" t="s">
        <v>729</v>
      </c>
      <c r="D683" s="173"/>
      <c r="E683" s="1786"/>
      <c r="F683" s="1787"/>
      <c r="G683" s="710"/>
      <c r="H683" s="710"/>
      <c r="I683" s="710"/>
      <c r="J683" s="711"/>
      <c r="K683" s="684">
        <f t="shared" si="613"/>
        <v>1</v>
      </c>
      <c r="L683" s="708">
        <v>1</v>
      </c>
      <c r="M683" s="684">
        <f t="shared" ref="M683" si="621">IF(B683="",1,B683)</f>
        <v>1</v>
      </c>
      <c r="N683" s="362" t="str">
        <f t="shared" ref="N683" si="622">IF(O683&lt;&gt;"",K683*L683*M683,"")</f>
        <v/>
      </c>
      <c r="O683" s="1763" t="str">
        <f t="shared" ref="O683" si="623">IF(D683&lt;&gt;"",IF(VLOOKUP(D683,base_datos,7,FALSE)&lt;&gt;"",VLOOKUP(D683,base_datos,7,FALSE),""),"")</f>
        <v/>
      </c>
      <c r="P683" s="1764" t="str">
        <f t="shared" ref="P683" si="624">IF(O683&lt;&gt;"",VLOOKUP(D683,base_datos,6,FALSE),"")</f>
        <v/>
      </c>
      <c r="Q683" s="120" t="str">
        <f t="shared" ref="Q683" si="625">IF(O683&lt;&gt;"",D683,"")</f>
        <v/>
      </c>
    </row>
    <row r="684" spans="1:18" s="690" customFormat="1" ht="18" customHeight="1">
      <c r="A684" s="1785"/>
      <c r="B684" s="1851"/>
      <c r="C684" s="1966" t="s">
        <v>12546</v>
      </c>
      <c r="D684" s="1582"/>
      <c r="E684" s="1780"/>
      <c r="F684" s="1782"/>
      <c r="G684" s="1761"/>
      <c r="H684" s="1761"/>
      <c r="I684" s="1761"/>
      <c r="J684" s="689"/>
      <c r="K684" s="684">
        <f>+K680</f>
        <v>1</v>
      </c>
      <c r="L684" s="708">
        <v>1</v>
      </c>
      <c r="M684" s="684">
        <f t="shared" si="608"/>
        <v>1</v>
      </c>
      <c r="N684" s="362" t="str">
        <f t="shared" si="614"/>
        <v/>
      </c>
      <c r="O684" s="1763" t="str">
        <f t="shared" si="615"/>
        <v/>
      </c>
      <c r="P684" s="1764" t="str">
        <f t="shared" si="616"/>
        <v/>
      </c>
      <c r="Q684" s="120" t="str">
        <f t="shared" si="617"/>
        <v/>
      </c>
      <c r="R684" s="185"/>
    </row>
    <row r="685" spans="1:18" s="690" customFormat="1" ht="18" customHeight="1">
      <c r="A685" s="1785"/>
      <c r="B685" s="1781">
        <v>14</v>
      </c>
      <c r="C685" s="1960" t="str">
        <f t="shared" ref="C685:C687" si="626">VLOOKUP(D685,base_datos,6,FALSE)</f>
        <v>ITM Riel-Din 2x16A - S202-C-16A - 10kA@400Vac-IEC60947-2 - marca ABB.</v>
      </c>
      <c r="D685" s="2007" t="s">
        <v>970</v>
      </c>
      <c r="E685" s="1791">
        <f t="shared" ref="E685:E687" si="627">VLOOKUP(D685,base_datos,5,FALSE)</f>
        <v>17.96</v>
      </c>
      <c r="F685" s="1782">
        <f t="shared" ref="F685:F688" si="628">+E685*B685</f>
        <v>251.44</v>
      </c>
      <c r="G685" s="1761"/>
      <c r="H685" s="1761"/>
      <c r="I685" s="1761"/>
      <c r="J685" s="1783"/>
      <c r="K685" s="684">
        <f>+K681</f>
        <v>1</v>
      </c>
      <c r="L685" s="708">
        <v>1</v>
      </c>
      <c r="M685" s="684">
        <f t="shared" si="608"/>
        <v>14</v>
      </c>
      <c r="N685" s="362">
        <f t="shared" si="614"/>
        <v>14</v>
      </c>
      <c r="O685" s="1763" t="str">
        <f t="shared" si="615"/>
        <v>2CDS252001R0164</v>
      </c>
      <c r="P685" s="1764" t="str">
        <f t="shared" si="616"/>
        <v>ITM Riel-Din 2x16A - S202-C-16A - 10kA@400Vac-IEC60947-2 - marca ABB.</v>
      </c>
      <c r="Q685" s="120" t="str">
        <f t="shared" si="617"/>
        <v>S202-C-16A</v>
      </c>
      <c r="R685" s="185"/>
    </row>
    <row r="686" spans="1:18" s="690" customFormat="1" ht="18" customHeight="1">
      <c r="A686" s="1785"/>
      <c r="B686" s="2023">
        <v>14</v>
      </c>
      <c r="C686" s="2041" t="str">
        <f t="shared" si="626"/>
        <v>Interruptor Diferencial 2x25A - 30mA - clase A (inmunizado) - FH202-A-25A-30mA - marca ABB.</v>
      </c>
      <c r="D686" s="2006" t="s">
        <v>5318</v>
      </c>
      <c r="E686" s="2025">
        <f t="shared" si="627"/>
        <v>50</v>
      </c>
      <c r="F686" s="2026">
        <f t="shared" si="628"/>
        <v>700</v>
      </c>
      <c r="G686" s="1761"/>
      <c r="H686" s="1761"/>
      <c r="I686" s="1761"/>
      <c r="J686" s="1783"/>
      <c r="K686" s="684">
        <f>+K682</f>
        <v>1</v>
      </c>
      <c r="L686" s="708">
        <v>1</v>
      </c>
      <c r="M686" s="684">
        <f t="shared" si="608"/>
        <v>14</v>
      </c>
      <c r="N686" s="362">
        <f t="shared" si="614"/>
        <v>14</v>
      </c>
      <c r="O686" s="1763" t="str">
        <f t="shared" si="615"/>
        <v>2CSF202102R1250</v>
      </c>
      <c r="P686" s="1764" t="str">
        <f t="shared" si="616"/>
        <v>Interruptor Diferencial 2x25A - 30mA - clase A (inmunizado) - FH202-A-25A-30mA - marca ABB.</v>
      </c>
      <c r="Q686" s="120" t="str">
        <f t="shared" si="617"/>
        <v>FH202-A-25A-30mA</v>
      </c>
      <c r="R686" s="185"/>
    </row>
    <row r="687" spans="1:18" s="690" customFormat="1" ht="18" customHeight="1">
      <c r="A687" s="1785"/>
      <c r="B687" s="1781">
        <v>1</v>
      </c>
      <c r="C687" s="1960" t="str">
        <f t="shared" si="626"/>
        <v>Espacio de reserva monofasica + interruptor diferencial - Riel-Din.</v>
      </c>
      <c r="D687" s="2006" t="s">
        <v>2926</v>
      </c>
      <c r="E687" s="1791">
        <f t="shared" si="627"/>
        <v>2.5</v>
      </c>
      <c r="F687" s="1782">
        <f t="shared" si="628"/>
        <v>2.5</v>
      </c>
      <c r="G687" s="1761"/>
      <c r="H687" s="1761"/>
      <c r="I687" s="1761"/>
      <c r="J687" s="1783"/>
      <c r="K687" s="684">
        <f t="shared" si="613"/>
        <v>1</v>
      </c>
      <c r="L687" s="708">
        <v>1</v>
      </c>
      <c r="M687" s="684">
        <f t="shared" si="608"/>
        <v>1</v>
      </c>
      <c r="N687" s="362" t="str">
        <f t="shared" si="614"/>
        <v/>
      </c>
      <c r="O687" s="1763" t="str">
        <f t="shared" si="615"/>
        <v/>
      </c>
      <c r="P687" s="1764" t="str">
        <f t="shared" si="616"/>
        <v/>
      </c>
      <c r="Q687" s="120" t="str">
        <f t="shared" si="617"/>
        <v/>
      </c>
      <c r="R687" s="185"/>
    </row>
    <row r="688" spans="1:18" s="695" customFormat="1">
      <c r="A688" s="687"/>
      <c r="B688" s="1967">
        <v>1</v>
      </c>
      <c r="C688" s="1946">
        <v>30</v>
      </c>
      <c r="D688" s="1582"/>
      <c r="E688" s="2000">
        <v>81</v>
      </c>
      <c r="F688" s="1968">
        <f t="shared" si="628"/>
        <v>81</v>
      </c>
      <c r="G688" s="1969"/>
      <c r="H688" s="1969"/>
      <c r="I688" s="1969"/>
      <c r="J688" s="1970"/>
      <c r="K688" s="684">
        <f t="shared" si="613"/>
        <v>1</v>
      </c>
      <c r="L688" s="363">
        <v>1</v>
      </c>
      <c r="M688" s="684">
        <f t="shared" si="608"/>
        <v>1</v>
      </c>
      <c r="N688" s="362" t="str">
        <f t="shared" si="614"/>
        <v/>
      </c>
      <c r="O688" s="1763" t="str">
        <f t="shared" si="615"/>
        <v/>
      </c>
      <c r="P688" s="1764" t="str">
        <f t="shared" si="616"/>
        <v/>
      </c>
      <c r="Q688" s="120" t="str">
        <f t="shared" si="617"/>
        <v/>
      </c>
    </row>
    <row r="689" spans="1:18" s="185" customFormat="1">
      <c r="A689" s="1785"/>
      <c r="B689" s="714"/>
      <c r="C689" s="1893" t="s">
        <v>729</v>
      </c>
      <c r="D689" s="1941"/>
      <c r="E689" s="1786"/>
      <c r="F689" s="1787"/>
      <c r="G689" s="710"/>
      <c r="H689" s="710"/>
      <c r="I689" s="710"/>
      <c r="J689" s="711"/>
      <c r="K689" s="684">
        <f t="shared" si="613"/>
        <v>1</v>
      </c>
      <c r="L689" s="363">
        <v>1</v>
      </c>
      <c r="M689" s="684">
        <f t="shared" si="608"/>
        <v>1</v>
      </c>
      <c r="N689" s="362" t="str">
        <f t="shared" si="614"/>
        <v/>
      </c>
      <c r="O689" s="1763" t="str">
        <f t="shared" si="615"/>
        <v/>
      </c>
      <c r="P689" s="1764" t="str">
        <f t="shared" si="616"/>
        <v/>
      </c>
      <c r="Q689" s="120" t="str">
        <f t="shared" si="617"/>
        <v/>
      </c>
    </row>
    <row r="690" spans="1:18" s="690" customFormat="1" ht="18" customHeight="1">
      <c r="A690" s="1785"/>
      <c r="B690" s="1851"/>
      <c r="C690" s="1966" t="s">
        <v>12547</v>
      </c>
      <c r="D690" s="1582"/>
      <c r="E690" s="1780"/>
      <c r="F690" s="1782"/>
      <c r="G690" s="1761"/>
      <c r="H690" s="1761"/>
      <c r="I690" s="1761"/>
      <c r="J690" s="689"/>
      <c r="K690" s="684">
        <f t="shared" si="613"/>
        <v>1</v>
      </c>
      <c r="L690" s="708">
        <v>1</v>
      </c>
      <c r="M690" s="684">
        <f t="shared" si="608"/>
        <v>1</v>
      </c>
      <c r="N690" s="362" t="str">
        <f t="shared" si="614"/>
        <v/>
      </c>
      <c r="O690" s="1763" t="str">
        <f t="shared" si="615"/>
        <v/>
      </c>
      <c r="P690" s="1764" t="str">
        <f t="shared" si="616"/>
        <v/>
      </c>
      <c r="Q690" s="120" t="str">
        <f t="shared" si="617"/>
        <v/>
      </c>
      <c r="R690" s="185"/>
    </row>
    <row r="691" spans="1:18" s="2434" customFormat="1" ht="18" customHeight="1">
      <c r="A691" s="2462"/>
      <c r="B691" s="2435">
        <v>2</v>
      </c>
      <c r="C691" s="2436" t="str">
        <f t="shared" ref="C691" si="629">VLOOKUP(D691,base_datos,6,FALSE)</f>
        <v>ITM Caja Moldeada 2x16A - A1N/P125-16A-2P-TMF - 50kA@230Vac, 36kA@400Vac, 10kA@125Vdc - marca ABB.</v>
      </c>
      <c r="D691" s="2483" t="s">
        <v>1172</v>
      </c>
      <c r="E691" s="2482">
        <f t="shared" ref="E691" si="630">VLOOKUP(D691,base_datos,5,FALSE)</f>
        <v>59.769999999999996</v>
      </c>
      <c r="F691" s="2422">
        <f t="shared" ref="F691" si="631">+E691*B691</f>
        <v>119.53999999999999</v>
      </c>
      <c r="G691" s="2424"/>
      <c r="H691" s="2424"/>
      <c r="I691" s="2424"/>
      <c r="J691" s="2425"/>
      <c r="K691" s="2426">
        <f>+K687</f>
        <v>1</v>
      </c>
      <c r="L691" s="2463">
        <v>1</v>
      </c>
      <c r="M691" s="2426">
        <f t="shared" ref="M691" si="632">IF(B691="",1,B691)</f>
        <v>2</v>
      </c>
      <c r="N691" s="2429">
        <f t="shared" ref="N691" si="633">IF(O691&lt;&gt;"",K691*L691*M691,"")</f>
        <v>2</v>
      </c>
      <c r="O691" s="2430" t="str">
        <f t="shared" ref="O691" si="634">IF(D691&lt;&gt;"",IF(VLOOKUP(D691,base_datos,7,FALSE)&lt;&gt;"",VLOOKUP(D691,base_datos,7,FALSE),""),"")</f>
        <v>1SDA069551R1</v>
      </c>
      <c r="P691" s="2431" t="str">
        <f t="shared" ref="P691" si="635">IF(O691&lt;&gt;"",VLOOKUP(D691,base_datos,6,FALSE),"")</f>
        <v>ITM Caja Moldeada 2x16A - A1N/P125-16A-2P-TMF - 50kA@230Vac, 36kA@400Vac, 10kA@125Vdc - marca ABB.</v>
      </c>
      <c r="Q691" s="2432" t="str">
        <f t="shared" ref="Q691" si="636">IF(O691&lt;&gt;"",D691,"")</f>
        <v>A1N/P125-16A-2P-TMF</v>
      </c>
      <c r="R691" s="2433"/>
    </row>
    <row r="692" spans="1:18" s="690" customFormat="1" ht="18" customHeight="1">
      <c r="A692" s="1785"/>
      <c r="B692" s="1781">
        <v>9</v>
      </c>
      <c r="C692" s="1960" t="str">
        <f t="shared" ref="C692:C694" si="637">VLOOKUP(D692,base_datos,6,FALSE)</f>
        <v>ITM Riel-Din 2x16A - S202-C-16A - 10kA@400Vac-IEC60947-2 - marca ABB.</v>
      </c>
      <c r="D692" s="2007" t="s">
        <v>970</v>
      </c>
      <c r="E692" s="1791">
        <f t="shared" ref="E692:E694" si="638">VLOOKUP(D692,base_datos,5,FALSE)</f>
        <v>17.96</v>
      </c>
      <c r="F692" s="1782">
        <f t="shared" ref="F692:F695" si="639">+E692*B692</f>
        <v>161.64000000000001</v>
      </c>
      <c r="G692" s="1761"/>
      <c r="H692" s="1761"/>
      <c r="I692" s="1761"/>
      <c r="J692" s="1783"/>
      <c r="K692" s="684">
        <f>+K688</f>
        <v>1</v>
      </c>
      <c r="L692" s="708">
        <v>1</v>
      </c>
      <c r="M692" s="684">
        <f t="shared" si="608"/>
        <v>9</v>
      </c>
      <c r="N692" s="362">
        <f t="shared" si="614"/>
        <v>9</v>
      </c>
      <c r="O692" s="1763" t="str">
        <f t="shared" si="615"/>
        <v>2CDS252001R0164</v>
      </c>
      <c r="P692" s="1764" t="str">
        <f t="shared" si="616"/>
        <v>ITM Riel-Din 2x16A - S202-C-16A - 10kA@400Vac-IEC60947-2 - marca ABB.</v>
      </c>
      <c r="Q692" s="120" t="str">
        <f t="shared" si="617"/>
        <v>S202-C-16A</v>
      </c>
      <c r="R692" s="185"/>
    </row>
    <row r="693" spans="1:18" s="690" customFormat="1" ht="18" customHeight="1">
      <c r="A693" s="1785"/>
      <c r="B693" s="2023">
        <v>8</v>
      </c>
      <c r="C693" s="2041" t="str">
        <f t="shared" si="637"/>
        <v>Interruptor Diferencial 2x25A - 30mA - clase A (inmunizado) - FH202-A-25A-30mA - marca ABB.</v>
      </c>
      <c r="D693" s="2006" t="s">
        <v>5318</v>
      </c>
      <c r="E693" s="2025">
        <f t="shared" si="638"/>
        <v>50</v>
      </c>
      <c r="F693" s="2212">
        <f>+E693*11</f>
        <v>550</v>
      </c>
      <c r="G693" s="1761"/>
      <c r="H693" s="1761"/>
      <c r="I693" s="1761"/>
      <c r="J693" s="1783"/>
      <c r="K693" s="684">
        <f>+K689</f>
        <v>1</v>
      </c>
      <c r="L693" s="708">
        <v>1</v>
      </c>
      <c r="M693" s="684">
        <f t="shared" si="608"/>
        <v>8</v>
      </c>
      <c r="N693" s="362">
        <f t="shared" si="614"/>
        <v>8</v>
      </c>
      <c r="O693" s="1763" t="str">
        <f t="shared" si="615"/>
        <v>2CSF202102R1250</v>
      </c>
      <c r="P693" s="1764" t="str">
        <f t="shared" si="616"/>
        <v>Interruptor Diferencial 2x25A - 30mA - clase A (inmunizado) - FH202-A-25A-30mA - marca ABB.</v>
      </c>
      <c r="Q693" s="120" t="str">
        <f t="shared" si="617"/>
        <v>FH202-A-25A-30mA</v>
      </c>
      <c r="R693" s="185"/>
    </row>
    <row r="694" spans="1:18" s="690" customFormat="1" ht="18" customHeight="1">
      <c r="A694" s="1785"/>
      <c r="B694" s="1781">
        <v>1</v>
      </c>
      <c r="C694" s="1960" t="str">
        <f t="shared" si="637"/>
        <v>Espacio de reserva monofasica + interruptor diferencial - Riel-Din.</v>
      </c>
      <c r="D694" s="2006" t="s">
        <v>2926</v>
      </c>
      <c r="E694" s="1791">
        <f t="shared" si="638"/>
        <v>2.5</v>
      </c>
      <c r="F694" s="1782">
        <f t="shared" si="639"/>
        <v>2.5</v>
      </c>
      <c r="G694" s="1761"/>
      <c r="H694" s="1761"/>
      <c r="I694" s="1761"/>
      <c r="J694" s="1783"/>
      <c r="K694" s="684">
        <f>+K690</f>
        <v>1</v>
      </c>
      <c r="L694" s="708">
        <v>1</v>
      </c>
      <c r="M694" s="684">
        <f t="shared" si="608"/>
        <v>1</v>
      </c>
      <c r="N694" s="362" t="str">
        <f t="shared" si="614"/>
        <v/>
      </c>
      <c r="O694" s="1763" t="str">
        <f t="shared" si="615"/>
        <v/>
      </c>
      <c r="P694" s="1764" t="str">
        <f t="shared" si="616"/>
        <v/>
      </c>
      <c r="Q694" s="120" t="str">
        <f t="shared" si="617"/>
        <v/>
      </c>
      <c r="R694" s="185"/>
    </row>
    <row r="695" spans="1:18" s="695" customFormat="1">
      <c r="A695" s="687"/>
      <c r="B695" s="1967">
        <v>1</v>
      </c>
      <c r="C695" s="1946">
        <v>24</v>
      </c>
      <c r="D695" s="1582"/>
      <c r="E695" s="2000">
        <v>70</v>
      </c>
      <c r="F695" s="1968">
        <f t="shared" si="639"/>
        <v>70</v>
      </c>
      <c r="G695" s="1969"/>
      <c r="H695" s="1969"/>
      <c r="I695" s="1969"/>
      <c r="J695" s="1970"/>
      <c r="K695" s="684">
        <f t="shared" si="613"/>
        <v>1</v>
      </c>
      <c r="L695" s="363">
        <v>1</v>
      </c>
      <c r="M695" s="684">
        <f t="shared" si="608"/>
        <v>1</v>
      </c>
      <c r="N695" s="362" t="str">
        <f t="shared" si="614"/>
        <v/>
      </c>
      <c r="O695" s="1763" t="str">
        <f t="shared" si="615"/>
        <v/>
      </c>
      <c r="P695" s="1764" t="str">
        <f t="shared" si="616"/>
        <v/>
      </c>
      <c r="Q695" s="120" t="str">
        <f t="shared" si="617"/>
        <v/>
      </c>
    </row>
    <row r="696" spans="1:18" s="185" customFormat="1">
      <c r="A696" s="1785"/>
      <c r="B696" s="714"/>
      <c r="C696" s="1893" t="s">
        <v>729</v>
      </c>
      <c r="D696" s="1941"/>
      <c r="E696" s="1786"/>
      <c r="F696" s="1787"/>
      <c r="G696" s="710"/>
      <c r="H696" s="710"/>
      <c r="I696" s="710"/>
      <c r="J696" s="711"/>
      <c r="K696" s="684">
        <f t="shared" si="613"/>
        <v>1</v>
      </c>
      <c r="L696" s="363">
        <v>1</v>
      </c>
      <c r="M696" s="684">
        <f t="shared" si="608"/>
        <v>1</v>
      </c>
      <c r="N696" s="362" t="str">
        <f t="shared" si="614"/>
        <v/>
      </c>
      <c r="O696" s="1763" t="str">
        <f t="shared" si="615"/>
        <v/>
      </c>
      <c r="P696" s="1764" t="str">
        <f t="shared" si="616"/>
        <v/>
      </c>
      <c r="Q696" s="120" t="str">
        <f t="shared" si="617"/>
        <v/>
      </c>
    </row>
    <row r="697" spans="1:18" s="315" customFormat="1">
      <c r="A697" s="1785"/>
      <c r="B697" s="355">
        <v>1</v>
      </c>
      <c r="C697" s="1944" t="s">
        <v>13040</v>
      </c>
      <c r="D697" s="1941"/>
      <c r="E697" s="1786"/>
      <c r="F697" s="1908">
        <f>SUM(F698:F703)*(B697-1)</f>
        <v>0</v>
      </c>
      <c r="G697" s="712"/>
      <c r="H697" s="712"/>
      <c r="I697" s="712"/>
      <c r="J697" s="713"/>
      <c r="K697" s="684">
        <f t="shared" si="613"/>
        <v>1</v>
      </c>
      <c r="L697" s="1909">
        <f>B697</f>
        <v>1</v>
      </c>
      <c r="M697" s="684">
        <f t="shared" si="608"/>
        <v>1</v>
      </c>
      <c r="N697" s="362" t="str">
        <f t="shared" si="614"/>
        <v/>
      </c>
      <c r="O697" s="1763" t="str">
        <f t="shared" si="615"/>
        <v/>
      </c>
      <c r="P697" s="1764" t="str">
        <f t="shared" si="616"/>
        <v/>
      </c>
      <c r="Q697" s="120" t="str">
        <f t="shared" si="617"/>
        <v/>
      </c>
    </row>
    <row r="698" spans="1:18" s="690" customFormat="1" ht="18" customHeight="1">
      <c r="A698" s="691"/>
      <c r="B698" s="1781">
        <v>1</v>
      </c>
      <c r="C698" s="1420" t="str">
        <f>VLOOKUP(D698,base_datos,6,FALSE)</f>
        <v>Contactor 3x09A(AC-3) / 3x25A(AC-1) +1NA - AF09-30-10-13 - bobina 100-250Vac/dc - marca ABB.</v>
      </c>
      <c r="D698" s="1901" t="s">
        <v>1447</v>
      </c>
      <c r="E698" s="1791">
        <f>VLOOKUP(D698,base_datos,5,FALSE)</f>
        <v>29.89</v>
      </c>
      <c r="F698" s="1912">
        <f>+E698*B698</f>
        <v>29.89</v>
      </c>
      <c r="G698" s="1761"/>
      <c r="H698" s="1761"/>
      <c r="I698" s="1761"/>
      <c r="J698" s="1783"/>
      <c r="K698" s="684">
        <f t="shared" si="613"/>
        <v>1</v>
      </c>
      <c r="L698" s="1913">
        <f>L697</f>
        <v>1</v>
      </c>
      <c r="M698" s="684">
        <f t="shared" si="608"/>
        <v>1</v>
      </c>
      <c r="N698" s="362">
        <f t="shared" si="614"/>
        <v>1</v>
      </c>
      <c r="O698" s="1763" t="str">
        <f t="shared" si="615"/>
        <v>1SBL137001R1310</v>
      </c>
      <c r="P698" s="1764" t="str">
        <f t="shared" si="616"/>
        <v>Contactor 3x09A(AC-3) / 3x25A(AC-1) +1NA - AF09-30-10-13 - bobina 100-250Vac/dc - marca ABB.</v>
      </c>
      <c r="Q698" s="120" t="str">
        <f t="shared" si="617"/>
        <v>AF09-30-10-13_3p</v>
      </c>
      <c r="R698" s="185"/>
    </row>
    <row r="699" spans="1:18" s="690" customFormat="1" ht="18" customHeight="1">
      <c r="A699" s="691"/>
      <c r="B699" s="1922">
        <v>1</v>
      </c>
      <c r="C699" s="1848" t="str">
        <f>VLOOKUP(D699,base_datos,6,FALSE)</f>
        <v>Contacto auxiliar frontal 1NA para contactor AF09..AF16-30-10, frontal - Modelo CA4-10 - marca ABB.</v>
      </c>
      <c r="D699" s="1901" t="s">
        <v>2718</v>
      </c>
      <c r="E699" s="1791">
        <f>VLOOKUP(D699,base_datos,5,FALSE)</f>
        <v>5.92</v>
      </c>
      <c r="F699" s="1912">
        <f>+E699*B699</f>
        <v>5.92</v>
      </c>
      <c r="G699" s="1761"/>
      <c r="H699" s="1761"/>
      <c r="I699" s="1761"/>
      <c r="J699" s="1783"/>
      <c r="K699" s="684">
        <f t="shared" si="613"/>
        <v>1</v>
      </c>
      <c r="L699" s="1913">
        <f>L698</f>
        <v>1</v>
      </c>
      <c r="M699" s="684">
        <f t="shared" si="608"/>
        <v>1</v>
      </c>
      <c r="N699" s="362">
        <f t="shared" si="614"/>
        <v>1</v>
      </c>
      <c r="O699" s="1763" t="str">
        <f t="shared" si="615"/>
        <v>1SBN010110R1010</v>
      </c>
      <c r="P699" s="1764" t="str">
        <f t="shared" si="616"/>
        <v>Contacto auxiliar frontal 1NA para contactor AF09..AF16-30-10, frontal - Modelo CA4-10 - marca ABB.</v>
      </c>
      <c r="Q699" s="120" t="str">
        <f t="shared" si="617"/>
        <v>CA4-10</v>
      </c>
      <c r="R699" s="185"/>
    </row>
    <row r="700" spans="1:18" s="1921" customFormat="1">
      <c r="A700" s="687"/>
      <c r="B700" s="1914">
        <v>1</v>
      </c>
      <c r="C700" s="1915" t="s">
        <v>3366</v>
      </c>
      <c r="D700" s="1916"/>
      <c r="E700" s="1917"/>
      <c r="F700" s="1918"/>
      <c r="G700" s="1919"/>
      <c r="H700" s="1919"/>
      <c r="I700" s="1919"/>
      <c r="J700" s="1920"/>
      <c r="K700" s="684">
        <f t="shared" si="613"/>
        <v>1</v>
      </c>
      <c r="L700" s="1913">
        <f>L699</f>
        <v>1</v>
      </c>
      <c r="M700" s="684">
        <f t="shared" ref="M700" si="640">IF(B700="",1,B700)</f>
        <v>1</v>
      </c>
      <c r="N700" s="362" t="str">
        <f t="shared" si="614"/>
        <v/>
      </c>
      <c r="O700" s="1763" t="str">
        <f t="shared" si="615"/>
        <v/>
      </c>
      <c r="P700" s="1764" t="str">
        <f t="shared" si="616"/>
        <v/>
      </c>
      <c r="Q700" s="120" t="str">
        <f t="shared" si="617"/>
        <v/>
      </c>
    </row>
    <row r="701" spans="1:18" s="695" customFormat="1" ht="18" customHeight="1">
      <c r="A701" s="693"/>
      <c r="B701" s="1922">
        <v>1</v>
      </c>
      <c r="C701" s="1848" t="str">
        <f t="shared" ref="C701:C703" si="641">VLOOKUP(D701,base_datos,6,FALSE)</f>
        <v>Base portafusibles + Fusibles de protección para control.</v>
      </c>
      <c r="D701" s="1886" t="s">
        <v>453</v>
      </c>
      <c r="E701" s="1795">
        <f t="shared" ref="E701:E703" si="642">VLOOKUP(D701,base_datos,5,FALSE)</f>
        <v>8.1750000000000007</v>
      </c>
      <c r="F701" s="1923">
        <f t="shared" ref="F701:F703" si="643">+E701*B701</f>
        <v>8.1750000000000007</v>
      </c>
      <c r="G701" s="696"/>
      <c r="H701" s="696"/>
      <c r="I701" s="696"/>
      <c r="J701" s="697"/>
      <c r="K701" s="684">
        <f t="shared" si="613"/>
        <v>1</v>
      </c>
      <c r="L701" s="1913">
        <f t="shared" ref="L701" si="644">L699</f>
        <v>1</v>
      </c>
      <c r="M701" s="684">
        <f t="shared" si="608"/>
        <v>1</v>
      </c>
      <c r="N701" s="362" t="str">
        <f t="shared" si="614"/>
        <v/>
      </c>
      <c r="O701" s="1763" t="str">
        <f t="shared" si="615"/>
        <v/>
      </c>
      <c r="P701" s="1764" t="str">
        <f t="shared" si="616"/>
        <v/>
      </c>
      <c r="Q701" s="120" t="str">
        <f t="shared" si="617"/>
        <v/>
      </c>
      <c r="R701" s="185"/>
    </row>
    <row r="702" spans="1:18" s="695" customFormat="1" ht="18" customHeight="1">
      <c r="A702" s="693"/>
      <c r="B702" s="1922">
        <v>1</v>
      </c>
      <c r="C702" s="1848" t="str">
        <f t="shared" ref="C702" si="645">VLOOKUP(D702,base_datos,6,FALSE)</f>
        <v>Borne para neutro.</v>
      </c>
      <c r="D702" s="1886" t="s">
        <v>13049</v>
      </c>
      <c r="E702" s="1795">
        <f t="shared" ref="E702" si="646">VLOOKUP(D702,base_datos,5,FALSE)</f>
        <v>4</v>
      </c>
      <c r="F702" s="1923">
        <f t="shared" ref="F702" si="647">+E702*B702</f>
        <v>4</v>
      </c>
      <c r="G702" s="696"/>
      <c r="H702" s="696"/>
      <c r="I702" s="696"/>
      <c r="J702" s="697"/>
      <c r="K702" s="684">
        <f t="shared" si="613"/>
        <v>1</v>
      </c>
      <c r="L702" s="1913">
        <f>L699</f>
        <v>1</v>
      </c>
      <c r="M702" s="684">
        <f t="shared" si="608"/>
        <v>1</v>
      </c>
      <c r="N702" s="362" t="str">
        <f t="shared" ref="N702" si="648">IF(O702&lt;&gt;"",K702*L702*M702,"")</f>
        <v/>
      </c>
      <c r="O702" s="1763" t="str">
        <f t="shared" ref="O702" si="649">IF(D702&lt;&gt;"",IF(VLOOKUP(D702,base_datos,7,FALSE)&lt;&gt;"",VLOOKUP(D702,base_datos,7,FALSE),""),"")</f>
        <v/>
      </c>
      <c r="P702" s="1764" t="str">
        <f t="shared" ref="P702" si="650">IF(O702&lt;&gt;"",VLOOKUP(D702,base_datos,6,FALSE),"")</f>
        <v/>
      </c>
      <c r="Q702" s="120" t="str">
        <f t="shared" ref="Q702" si="651">IF(O702&lt;&gt;"",D702,"")</f>
        <v/>
      </c>
      <c r="R702" s="185"/>
    </row>
    <row r="703" spans="1:18" s="695" customFormat="1" ht="18" customHeight="1">
      <c r="A703" s="693"/>
      <c r="B703" s="1922">
        <v>2</v>
      </c>
      <c r="C703" s="1848" t="str">
        <f t="shared" si="641"/>
        <v>Borne 4mm2.</v>
      </c>
      <c r="D703" s="1886" t="s">
        <v>437</v>
      </c>
      <c r="E703" s="1795">
        <f t="shared" si="642"/>
        <v>2.5</v>
      </c>
      <c r="F703" s="1923">
        <f t="shared" si="643"/>
        <v>5</v>
      </c>
      <c r="G703" s="696"/>
      <c r="H703" s="696"/>
      <c r="I703" s="696"/>
      <c r="J703" s="697"/>
      <c r="K703" s="684">
        <f t="shared" si="613"/>
        <v>1</v>
      </c>
      <c r="L703" s="1913">
        <f>L701</f>
        <v>1</v>
      </c>
      <c r="M703" s="684">
        <f t="shared" si="608"/>
        <v>2</v>
      </c>
      <c r="N703" s="362" t="str">
        <f t="shared" si="614"/>
        <v/>
      </c>
      <c r="O703" s="1763" t="str">
        <f t="shared" si="615"/>
        <v/>
      </c>
      <c r="P703" s="1764" t="str">
        <f t="shared" si="616"/>
        <v/>
      </c>
      <c r="Q703" s="120" t="str">
        <f t="shared" si="617"/>
        <v/>
      </c>
      <c r="R703" s="185"/>
    </row>
    <row r="704" spans="1:18" s="185" customFormat="1" ht="18" customHeight="1">
      <c r="A704" s="1785"/>
      <c r="B704" s="714"/>
      <c r="C704" s="1893" t="s">
        <v>729</v>
      </c>
      <c r="D704" s="173"/>
      <c r="E704" s="1786"/>
      <c r="F704" s="1787"/>
      <c r="G704" s="710"/>
      <c r="H704" s="710"/>
      <c r="I704" s="710"/>
      <c r="J704" s="711"/>
      <c r="K704" s="684">
        <f>+K689</f>
        <v>1</v>
      </c>
      <c r="L704" s="708">
        <v>1</v>
      </c>
      <c r="M704" s="684">
        <f t="shared" ref="M704" si="652">IF(B704="",1,B704)</f>
        <v>1</v>
      </c>
      <c r="N704" s="362" t="str">
        <f t="shared" ref="N704" si="653">IF(O704&lt;&gt;"",K704*L704*M704,"")</f>
        <v/>
      </c>
      <c r="O704" s="1763" t="str">
        <f t="shared" ref="O704" si="654">IF(D704&lt;&gt;"",IF(VLOOKUP(D704,base_datos,7,FALSE)&lt;&gt;"",VLOOKUP(D704,base_datos,7,FALSE),""),"")</f>
        <v/>
      </c>
      <c r="P704" s="1764" t="str">
        <f t="shared" ref="P704" si="655">IF(O704&lt;&gt;"",VLOOKUP(D704,base_datos,6,FALSE),"")</f>
        <v/>
      </c>
      <c r="Q704" s="120" t="str">
        <f t="shared" ref="Q704" si="656">IF(O704&lt;&gt;"",D704,"")</f>
        <v/>
      </c>
    </row>
    <row r="705" spans="1:20" s="2434" customFormat="1" ht="18" customHeight="1">
      <c r="A705" s="2418"/>
      <c r="B705" s="2419">
        <v>1</v>
      </c>
      <c r="C705" s="2420" t="s">
        <v>13045</v>
      </c>
      <c r="D705" s="2421"/>
      <c r="E705" s="2422"/>
      <c r="F705" s="2423">
        <f>SUM(F706:F710)*(B705-1)</f>
        <v>0</v>
      </c>
      <c r="G705" s="2424"/>
      <c r="H705" s="2424"/>
      <c r="I705" s="2424"/>
      <c r="J705" s="2425"/>
      <c r="K705" s="2426">
        <f>K702</f>
        <v>1</v>
      </c>
      <c r="L705" s="2427">
        <f>B705</f>
        <v>1</v>
      </c>
      <c r="M705" s="2428">
        <f t="shared" si="608"/>
        <v>1</v>
      </c>
      <c r="N705" s="2429" t="str">
        <f>IF(O705&lt;&gt;"",K705*L705*M705,"")</f>
        <v/>
      </c>
      <c r="O705" s="2430" t="str">
        <f>IF(D705&lt;&gt;"",IF(VLOOKUP(D705,base_datos,7,FALSE)&lt;&gt;"",VLOOKUP(D705,base_datos,7,FALSE),""),"")</f>
        <v/>
      </c>
      <c r="P705" s="2431" t="str">
        <f>IF(O705&lt;&gt;"",VLOOKUP(D705,base_datos,6,FALSE),"")</f>
        <v/>
      </c>
      <c r="Q705" s="2432" t="str">
        <f>IF(O705&lt;&gt;"",D705,"")</f>
        <v/>
      </c>
      <c r="R705" s="2433"/>
    </row>
    <row r="706" spans="1:20" s="2434" customFormat="1" ht="18" customHeight="1">
      <c r="A706" s="2418"/>
      <c r="B706" s="2435">
        <v>1</v>
      </c>
      <c r="C706" s="2436" t="str">
        <f>VLOOKUP(D706,base_datos,6,FALSE)</f>
        <v>Selector 3 posiciones mantenidos - 1-0-2 / M-0-A - maneta corta, contactos 2NA - C3SS1-10B-20 - compacto - marca ABB.</v>
      </c>
      <c r="D706" s="2437" t="s">
        <v>1223</v>
      </c>
      <c r="E706" s="2422">
        <f>VLOOKUP(D706,base_datos,5,FALSE)</f>
        <v>16.680000000000003</v>
      </c>
      <c r="F706" s="2438">
        <f t="shared" ref="F706" si="657">+E706*B706</f>
        <v>16.680000000000003</v>
      </c>
      <c r="G706" s="2424"/>
      <c r="H706" s="2424"/>
      <c r="I706" s="2424"/>
      <c r="J706" s="2425"/>
      <c r="K706" s="2426">
        <f>K703</f>
        <v>1</v>
      </c>
      <c r="L706" s="2427">
        <f>L705</f>
        <v>1</v>
      </c>
      <c r="M706" s="2428">
        <f t="shared" si="608"/>
        <v>1</v>
      </c>
      <c r="N706" s="2429">
        <f>IF(O706&lt;&gt;"",K706*L706*M706,"")</f>
        <v>1</v>
      </c>
      <c r="O706" s="2430" t="str">
        <f>IF(D706&lt;&gt;"",IF(VLOOKUP(D706,base_datos,7,FALSE)&lt;&gt;"",VLOOKUP(D706,base_datos,7,FALSE),""),"")</f>
        <v>1SFA619210R1026</v>
      </c>
      <c r="P706" s="2431" t="str">
        <f>IF(O706&lt;&gt;"",VLOOKUP(D706,base_datos,6,FALSE),"")</f>
        <v>Selector 3 posiciones mantenidos - 1-0-2 / M-0-A - maneta corta, contactos 2NA - C3SS1-10B-20 - compacto - marca ABB.</v>
      </c>
      <c r="Q706" s="2432" t="str">
        <f>IF(O706&lt;&gt;"",D706,"")</f>
        <v>SEL_1-0-2</v>
      </c>
      <c r="R706" s="2433"/>
    </row>
    <row r="707" spans="1:20" s="2432" customFormat="1">
      <c r="A707" s="2418"/>
      <c r="B707" s="2435">
        <v>1</v>
      </c>
      <c r="C707" s="2439" t="s">
        <v>3366</v>
      </c>
      <c r="D707" s="2440"/>
      <c r="E707" s="2422"/>
      <c r="F707" s="2438"/>
      <c r="G707" s="2441"/>
      <c r="H707" s="2441"/>
      <c r="I707" s="2441"/>
      <c r="J707" s="2442"/>
      <c r="K707" s="2426">
        <f t="shared" ref="K707:K715" si="658">K705</f>
        <v>1</v>
      </c>
      <c r="L707" s="2427">
        <f>L708</f>
        <v>1</v>
      </c>
      <c r="M707" s="2426">
        <f t="shared" si="608"/>
        <v>1</v>
      </c>
      <c r="N707" s="2429" t="str">
        <f t="shared" ref="N707" si="659">IF(O707&lt;&gt;"",K707*L707*M707,"")</f>
        <v/>
      </c>
      <c r="O707" s="2430" t="str">
        <f t="shared" ref="O707" si="660">IF(D707&lt;&gt;"",IF(VLOOKUP(D707,base_datos,7,FALSE)&lt;&gt;"",VLOOKUP(D707,base_datos,7,FALSE),""),"")</f>
        <v/>
      </c>
      <c r="P707" s="2431" t="str">
        <f t="shared" ref="P707" si="661">IF(O707&lt;&gt;"",VLOOKUP(D707,base_datos,6,FALSE),"")</f>
        <v/>
      </c>
      <c r="Q707" s="2432" t="str">
        <f t="shared" ref="Q707" si="662">IF(O707&lt;&gt;"",D707,"")</f>
        <v/>
      </c>
    </row>
    <row r="708" spans="1:20" s="2450" customFormat="1" ht="18" customHeight="1">
      <c r="A708" s="2443"/>
      <c r="B708" s="2444">
        <v>1</v>
      </c>
      <c r="C708" s="2445" t="str">
        <f t="shared" ref="C708:C710" si="663">VLOOKUP(D708,base_datos,6,FALSE)</f>
        <v>Base portafusibles + Fusibles de protección para control.</v>
      </c>
      <c r="D708" s="2446" t="s">
        <v>453</v>
      </c>
      <c r="E708" s="2447">
        <f t="shared" ref="E708:E710" si="664">VLOOKUP(D708,base_datos,5,FALSE)</f>
        <v>8.1750000000000007</v>
      </c>
      <c r="F708" s="2438">
        <f>+E708*B708</f>
        <v>8.1750000000000007</v>
      </c>
      <c r="G708" s="2448"/>
      <c r="H708" s="2448"/>
      <c r="I708" s="2448"/>
      <c r="J708" s="2449"/>
      <c r="K708" s="2426">
        <f t="shared" si="658"/>
        <v>1</v>
      </c>
      <c r="L708" s="2427">
        <f>L706</f>
        <v>1</v>
      </c>
      <c r="M708" s="2428">
        <f>IF(B708="",1,B708)</f>
        <v>1</v>
      </c>
      <c r="N708" s="2429" t="str">
        <f>IF(O708&lt;&gt;"",K708*L708*M708,"")</f>
        <v/>
      </c>
      <c r="O708" s="2430" t="str">
        <f>IF(D708&lt;&gt;"",IF(VLOOKUP(D708,base_datos,7,FALSE)&lt;&gt;"",VLOOKUP(D708,base_datos,7,FALSE),""),"")</f>
        <v/>
      </c>
      <c r="P708" s="2431" t="str">
        <f>IF(O708&lt;&gt;"",VLOOKUP(D708,base_datos,6,FALSE),"")</f>
        <v/>
      </c>
      <c r="Q708" s="2432" t="str">
        <f>IF(O708&lt;&gt;"",D708,"")</f>
        <v/>
      </c>
      <c r="R708" s="2433"/>
    </row>
    <row r="709" spans="1:20" s="2450" customFormat="1" ht="18" customHeight="1">
      <c r="A709" s="2443"/>
      <c r="B709" s="2444">
        <v>1</v>
      </c>
      <c r="C709" s="2445" t="str">
        <f t="shared" si="663"/>
        <v>Borne para neutro.</v>
      </c>
      <c r="D709" s="2451" t="s">
        <v>436</v>
      </c>
      <c r="E709" s="2447">
        <f t="shared" si="664"/>
        <v>4</v>
      </c>
      <c r="F709" s="2438">
        <f t="shared" ref="F709:F710" si="665">+E709*B709</f>
        <v>4</v>
      </c>
      <c r="G709" s="2448"/>
      <c r="H709" s="2448"/>
      <c r="I709" s="2448"/>
      <c r="J709" s="2449"/>
      <c r="K709" s="2426">
        <f t="shared" si="658"/>
        <v>1</v>
      </c>
      <c r="L709" s="2427">
        <f>L707</f>
        <v>1</v>
      </c>
      <c r="M709" s="2428">
        <f t="shared" ref="M709:M711" si="666">IF(B709="",1,B709)</f>
        <v>1</v>
      </c>
      <c r="N709" s="2429" t="str">
        <f t="shared" ref="N709:N710" si="667">IF(O709&lt;&gt;"",K709*L709*M709,"")</f>
        <v/>
      </c>
      <c r="O709" s="2430" t="str">
        <f t="shared" ref="O709:O710" si="668">IF(D709&lt;&gt;"",IF(VLOOKUP(D709,base_datos,7,FALSE)&lt;&gt;"",VLOOKUP(D709,base_datos,7,FALSE),""),"")</f>
        <v/>
      </c>
      <c r="P709" s="2431" t="str">
        <f t="shared" ref="P709:P710" si="669">IF(O709&lt;&gt;"",VLOOKUP(D709,base_datos,6,FALSE),"")</f>
        <v/>
      </c>
      <c r="Q709" s="2432" t="str">
        <f t="shared" ref="Q709:Q710" si="670">IF(O709&lt;&gt;"",D709,"")</f>
        <v/>
      </c>
      <c r="R709" s="2433"/>
    </row>
    <row r="710" spans="1:20" s="2450" customFormat="1" ht="18" customHeight="1">
      <c r="A710" s="2443"/>
      <c r="B710" s="2444">
        <v>2</v>
      </c>
      <c r="C710" s="2445" t="str">
        <f t="shared" si="663"/>
        <v>Borne 4mm2.</v>
      </c>
      <c r="D710" s="2446" t="s">
        <v>437</v>
      </c>
      <c r="E710" s="2447">
        <f t="shared" si="664"/>
        <v>2.5</v>
      </c>
      <c r="F710" s="2438">
        <f t="shared" si="665"/>
        <v>5</v>
      </c>
      <c r="G710" s="2448"/>
      <c r="H710" s="2448"/>
      <c r="I710" s="2448"/>
      <c r="J710" s="2449"/>
      <c r="K710" s="2426">
        <f t="shared" si="658"/>
        <v>1</v>
      </c>
      <c r="L710" s="2427">
        <f t="shared" ref="L710" si="671">L709</f>
        <v>1</v>
      </c>
      <c r="M710" s="2428">
        <f t="shared" si="666"/>
        <v>2</v>
      </c>
      <c r="N710" s="2429" t="str">
        <f t="shared" si="667"/>
        <v/>
      </c>
      <c r="O710" s="2430" t="str">
        <f t="shared" si="668"/>
        <v/>
      </c>
      <c r="P710" s="2431" t="str">
        <f t="shared" si="669"/>
        <v/>
      </c>
      <c r="Q710" s="2432" t="str">
        <f t="shared" si="670"/>
        <v/>
      </c>
      <c r="R710" s="2433"/>
    </row>
    <row r="711" spans="1:20" s="2433" customFormat="1">
      <c r="A711" s="2418"/>
      <c r="B711" s="2452"/>
      <c r="C711" s="2453" t="s">
        <v>729</v>
      </c>
      <c r="D711" s="2451"/>
      <c r="E711" s="2454"/>
      <c r="F711" s="2455"/>
      <c r="G711" s="2456"/>
      <c r="H711" s="2456"/>
      <c r="I711" s="2456"/>
      <c r="J711" s="2457"/>
      <c r="K711" s="2426">
        <f t="shared" si="658"/>
        <v>1</v>
      </c>
      <c r="L711" s="2458">
        <v>1</v>
      </c>
      <c r="M711" s="2426">
        <f t="shared" si="666"/>
        <v>1</v>
      </c>
      <c r="N711" s="2459" t="str">
        <f>IF(O711&lt;&gt;"",K711*L711*M711,"")</f>
        <v/>
      </c>
      <c r="O711" s="2460" t="str">
        <f>IF(D711&lt;&gt;"",IF(VLOOKUP(D711,base_datos,7,FALSE)&lt;&gt;"",VLOOKUP(D711,base_datos,7,FALSE),""),"")</f>
        <v/>
      </c>
      <c r="P711" s="2461" t="str">
        <f>IF(O711&lt;&gt;"",VLOOKUP(D711,base_datos,6,FALSE),"")</f>
        <v/>
      </c>
      <c r="Q711" s="2433" t="str">
        <f>IF(O711&lt;&gt;"",D711,"")</f>
        <v/>
      </c>
    </row>
    <row r="712" spans="1:20" s="2450" customFormat="1" ht="18" customHeight="1">
      <c r="A712" s="2462"/>
      <c r="B712" s="2444">
        <v>1</v>
      </c>
      <c r="C712" s="2445" t="str">
        <f>VLOOKUP(D712,base_datos,6,FALSE)</f>
        <v>Rele auxiliar enchufable +4NA/NC (D2PR4B + base D2PA6), 220Vac - marca EATON.</v>
      </c>
      <c r="D712" s="2446" t="s">
        <v>772</v>
      </c>
      <c r="E712" s="2447">
        <f>VLOOKUP(D712,base_datos,5,FALSE)</f>
        <v>27</v>
      </c>
      <c r="F712" s="2438">
        <f>+E712*B712</f>
        <v>27</v>
      </c>
      <c r="G712" s="2448"/>
      <c r="H712" s="2448"/>
      <c r="I712" s="2448"/>
      <c r="J712" s="2449"/>
      <c r="K712" s="2426">
        <f t="shared" si="658"/>
        <v>1</v>
      </c>
      <c r="L712" s="2463">
        <v>1</v>
      </c>
      <c r="M712" s="2428">
        <f>IF(B712="",1,B712)</f>
        <v>1</v>
      </c>
      <c r="N712" s="2429">
        <f>IF(O712&lt;&gt;"",K712*L712*M712,"")</f>
        <v>1</v>
      </c>
      <c r="O712" s="2430" t="str">
        <f>IF(D712&lt;&gt;"",IF(VLOOKUP(D712,base_datos,7,FALSE)&lt;&gt;"",VLOOKUP(D712,base_datos,7,FALSE),""),"")</f>
        <v>D2PR4B+D2PA6</v>
      </c>
      <c r="P712" s="2431" t="str">
        <f>IF(O712&lt;&gt;"",VLOOKUP(D712,base_datos,6,FALSE),"")</f>
        <v>Rele auxiliar enchufable +4NA/NC (D2PR4B + base D2PA6), 220Vac - marca EATON.</v>
      </c>
      <c r="Q712" s="2432" t="str">
        <f>IF(O712&lt;&gt;"",D712,"")</f>
        <v>D2PR4B+D2PA6</v>
      </c>
      <c r="R712" s="2433"/>
    </row>
    <row r="713" spans="1:20" s="2450" customFormat="1" ht="18" customHeight="1">
      <c r="A713" s="2443"/>
      <c r="B713" s="2444">
        <v>4</v>
      </c>
      <c r="C713" s="2445" t="str">
        <f t="shared" ref="C713:C715" si="672">VLOOKUP(D713,base_datos,6,FALSE)</f>
        <v>Borne 4mm2.</v>
      </c>
      <c r="D713" s="2446" t="s">
        <v>437</v>
      </c>
      <c r="E713" s="2447">
        <f t="shared" ref="E713:E715" si="673">VLOOKUP(D713,base_datos,5,FALSE)</f>
        <v>2.5</v>
      </c>
      <c r="F713" s="2438">
        <f t="shared" ref="F713:F715" si="674">+E713*B713</f>
        <v>10</v>
      </c>
      <c r="G713" s="2448"/>
      <c r="H713" s="2448"/>
      <c r="I713" s="2448"/>
      <c r="J713" s="2449"/>
      <c r="K713" s="2426">
        <f t="shared" si="658"/>
        <v>1</v>
      </c>
      <c r="L713" s="2463">
        <v>1</v>
      </c>
      <c r="M713" s="2428">
        <f t="shared" ref="M713:M715" si="675">IF(B713="",1,B713)</f>
        <v>4</v>
      </c>
      <c r="N713" s="2429" t="str">
        <f t="shared" ref="N713:N715" si="676">IF(O713&lt;&gt;"",K713*L713*M713,"")</f>
        <v/>
      </c>
      <c r="O713" s="2430" t="str">
        <f t="shared" ref="O713:O715" si="677">IF(D713&lt;&gt;"",IF(VLOOKUP(D713,base_datos,7,FALSE)&lt;&gt;"",VLOOKUP(D713,base_datos,7,FALSE),""),"")</f>
        <v/>
      </c>
      <c r="P713" s="2431" t="str">
        <f t="shared" ref="P713:P715" si="678">IF(O713&lt;&gt;"",VLOOKUP(D713,base_datos,6,FALSE),"")</f>
        <v/>
      </c>
      <c r="Q713" s="2432" t="str">
        <f t="shared" ref="Q713:Q715" si="679">IF(O713&lt;&gt;"",D713,"")</f>
        <v/>
      </c>
      <c r="R713" s="2433"/>
    </row>
    <row r="714" spans="1:20" s="2450" customFormat="1" ht="18" customHeight="1">
      <c r="A714" s="2443"/>
      <c r="B714" s="2444">
        <v>1</v>
      </c>
      <c r="C714" s="2445" t="str">
        <f t="shared" si="672"/>
        <v>Base portafusibles + Fusibles de protección para control.</v>
      </c>
      <c r="D714" s="2446" t="s">
        <v>453</v>
      </c>
      <c r="E714" s="2447">
        <f t="shared" si="673"/>
        <v>8.1750000000000007</v>
      </c>
      <c r="F714" s="2438">
        <f t="shared" si="674"/>
        <v>8.1750000000000007</v>
      </c>
      <c r="G714" s="2448"/>
      <c r="H714" s="2448"/>
      <c r="I714" s="2448"/>
      <c r="J714" s="2449"/>
      <c r="K714" s="2426">
        <f t="shared" si="658"/>
        <v>1</v>
      </c>
      <c r="L714" s="2463">
        <v>1</v>
      </c>
      <c r="M714" s="2428">
        <f t="shared" si="675"/>
        <v>1</v>
      </c>
      <c r="N714" s="2429" t="str">
        <f t="shared" si="676"/>
        <v/>
      </c>
      <c r="O714" s="2430" t="str">
        <f t="shared" si="677"/>
        <v/>
      </c>
      <c r="P714" s="2431" t="str">
        <f t="shared" si="678"/>
        <v/>
      </c>
      <c r="Q714" s="2432" t="str">
        <f t="shared" si="679"/>
        <v/>
      </c>
      <c r="R714" s="2433"/>
    </row>
    <row r="715" spans="1:20" s="2450" customFormat="1" ht="18" customHeight="1">
      <c r="A715" s="2443"/>
      <c r="B715" s="2444">
        <v>1</v>
      </c>
      <c r="C715" s="2445" t="str">
        <f t="shared" si="672"/>
        <v>Borne para neutro.</v>
      </c>
      <c r="D715" s="2451" t="s">
        <v>436</v>
      </c>
      <c r="E715" s="2447">
        <f t="shared" si="673"/>
        <v>4</v>
      </c>
      <c r="F715" s="2438">
        <f t="shared" si="674"/>
        <v>4</v>
      </c>
      <c r="G715" s="2448"/>
      <c r="H715" s="2448"/>
      <c r="I715" s="2448"/>
      <c r="J715" s="2449"/>
      <c r="K715" s="2426">
        <f t="shared" si="658"/>
        <v>1</v>
      </c>
      <c r="L715" s="2427">
        <f t="shared" ref="L715" si="680">L714</f>
        <v>1</v>
      </c>
      <c r="M715" s="2428">
        <f t="shared" si="675"/>
        <v>1</v>
      </c>
      <c r="N715" s="2429" t="str">
        <f t="shared" si="676"/>
        <v/>
      </c>
      <c r="O715" s="2430" t="str">
        <f t="shared" si="677"/>
        <v/>
      </c>
      <c r="P715" s="2431" t="str">
        <f t="shared" si="678"/>
        <v/>
      </c>
      <c r="Q715" s="2432" t="str">
        <f t="shared" si="679"/>
        <v/>
      </c>
      <c r="R715" s="2433"/>
    </row>
    <row r="716" spans="1:20" s="185" customFormat="1" ht="18" customHeight="1">
      <c r="A716" s="1785"/>
      <c r="B716" s="714"/>
      <c r="C716" s="1893" t="s">
        <v>729</v>
      </c>
      <c r="D716" s="173"/>
      <c r="E716" s="1786"/>
      <c r="F716" s="1787"/>
      <c r="G716" s="710"/>
      <c r="H716" s="710"/>
      <c r="I716" s="710"/>
      <c r="J716" s="711"/>
      <c r="K716" s="684">
        <f>+K701</f>
        <v>1</v>
      </c>
      <c r="L716" s="708">
        <v>1</v>
      </c>
      <c r="M716" s="684">
        <f t="shared" si="608"/>
        <v>1</v>
      </c>
      <c r="N716" s="362" t="str">
        <f t="shared" si="614"/>
        <v/>
      </c>
      <c r="O716" s="1763" t="str">
        <f t="shared" si="615"/>
        <v/>
      </c>
      <c r="P716" s="1764" t="str">
        <f t="shared" si="616"/>
        <v/>
      </c>
      <c r="Q716" s="120" t="str">
        <f t="shared" si="617"/>
        <v/>
      </c>
    </row>
    <row r="717" spans="1:20" s="315" customFormat="1" ht="12.75" customHeight="1">
      <c r="A717" s="2271"/>
      <c r="B717" s="2272">
        <v>1</v>
      </c>
      <c r="C717" s="2281" t="s">
        <v>13366</v>
      </c>
      <c r="D717" s="1935"/>
      <c r="E717" s="2287"/>
      <c r="F717" s="2257">
        <f>+SUM(F718:F721)*(B717-1)</f>
        <v>0</v>
      </c>
      <c r="G717" s="712"/>
      <c r="H717" s="712"/>
      <c r="I717" s="712"/>
      <c r="J717" s="713"/>
      <c r="K717" s="684">
        <f>+K702</f>
        <v>1</v>
      </c>
      <c r="L717" s="2258">
        <v>1</v>
      </c>
      <c r="M717" s="120">
        <f t="shared" si="608"/>
        <v>1</v>
      </c>
      <c r="N717" s="112" t="str">
        <f t="shared" si="614"/>
        <v/>
      </c>
      <c r="O717" s="112" t="str">
        <f t="shared" si="615"/>
        <v/>
      </c>
      <c r="P717" s="120" t="str">
        <f t="shared" si="616"/>
        <v/>
      </c>
      <c r="Q717" s="120" t="str">
        <f t="shared" si="617"/>
        <v/>
      </c>
      <c r="S717" s="112" t="str">
        <f t="shared" ref="S717:S722" si="681">IF(O717&lt;&gt;"",VLOOKUP(D717,base_datos,9,FALSE),"")</f>
        <v/>
      </c>
      <c r="T717" s="2128"/>
    </row>
    <row r="718" spans="1:20" s="690" customFormat="1" ht="18" customHeight="1">
      <c r="A718" s="2273"/>
      <c r="B718" s="1781">
        <v>1</v>
      </c>
      <c r="C718" s="1420" t="str">
        <f t="shared" ref="C718:C721" si="682">VLOOKUP(D718,base_datos,6,FALSE)</f>
        <v>Calefactor resistivo 60W, modelo RACM - marca FANDIS.</v>
      </c>
      <c r="D718" s="1899" t="s">
        <v>3298</v>
      </c>
      <c r="E718" s="2288">
        <f t="shared" ref="E718" si="683">VLOOKUP(D718,base_datos,5,FALSE)</f>
        <v>127.1</v>
      </c>
      <c r="F718" s="1782">
        <f>+E718*B718</f>
        <v>127.1</v>
      </c>
      <c r="G718" s="1761"/>
      <c r="H718" s="1761"/>
      <c r="I718" s="1761"/>
      <c r="J718" s="689"/>
      <c r="K718" s="684">
        <f>+K703</f>
        <v>1</v>
      </c>
      <c r="L718" s="2258">
        <v>1</v>
      </c>
      <c r="M718" s="120">
        <f t="shared" si="608"/>
        <v>1</v>
      </c>
      <c r="N718" s="112">
        <f t="shared" si="614"/>
        <v>1</v>
      </c>
      <c r="O718" s="112" t="str">
        <f t="shared" si="615"/>
        <v>RACM-60</v>
      </c>
      <c r="P718" s="120" t="str">
        <f t="shared" si="616"/>
        <v>Calefactor resistivo 60W, modelo RACM - marca FANDIS.</v>
      </c>
      <c r="Q718" s="120" t="str">
        <f t="shared" si="617"/>
        <v>CALEFACT-60W_FAND</v>
      </c>
      <c r="S718" s="112" t="str">
        <f t="shared" si="681"/>
        <v>FANDIS</v>
      </c>
      <c r="T718" s="1765"/>
    </row>
    <row r="719" spans="1:20" s="690" customFormat="1" ht="18" customHeight="1">
      <c r="A719" s="2273"/>
      <c r="B719" s="1781">
        <v>1</v>
      </c>
      <c r="C719" s="1420" t="str">
        <f t="shared" si="682"/>
        <v>Termostato para ventilación - 1NA - 230V - marca FANDIS.</v>
      </c>
      <c r="D719" s="1899" t="s">
        <v>3294</v>
      </c>
      <c r="E719" s="2288">
        <f t="shared" ref="E719:E721" si="684">VLOOKUP(D719,base_datos,5,FALSE)</f>
        <v>41.58</v>
      </c>
      <c r="F719" s="1782">
        <f>+E719*B719</f>
        <v>41.58</v>
      </c>
      <c r="G719" s="1761"/>
      <c r="H719" s="1761"/>
      <c r="I719" s="1761"/>
      <c r="J719" s="689"/>
      <c r="K719" s="684">
        <f t="shared" si="613"/>
        <v>1</v>
      </c>
      <c r="L719" s="2258">
        <v>1</v>
      </c>
      <c r="M719" s="120">
        <f t="shared" si="608"/>
        <v>1</v>
      </c>
      <c r="N719" s="112">
        <f t="shared" si="614"/>
        <v>1</v>
      </c>
      <c r="O719" s="112" t="str">
        <f t="shared" si="615"/>
        <v>TRT-10A230V-NO</v>
      </c>
      <c r="P719" s="120" t="str">
        <f t="shared" si="616"/>
        <v>Termostato para ventilación - 1NA - 230V - marca FANDIS.</v>
      </c>
      <c r="Q719" s="120" t="str">
        <f t="shared" si="617"/>
        <v>TRT-1NA</v>
      </c>
      <c r="S719" s="112" t="str">
        <f t="shared" si="681"/>
        <v>FANDIS</v>
      </c>
      <c r="T719" s="1765"/>
    </row>
    <row r="720" spans="1:20" s="320" customFormat="1" ht="12.75" customHeight="1">
      <c r="A720" s="2274"/>
      <c r="B720" s="2275">
        <v>1</v>
      </c>
      <c r="C720" s="2282" t="str">
        <f t="shared" si="682"/>
        <v>Base portafusibles + Fusibles de protección para control.</v>
      </c>
      <c r="D720" s="1579" t="s">
        <v>453</v>
      </c>
      <c r="E720" s="2289">
        <f t="shared" si="684"/>
        <v>8.1750000000000007</v>
      </c>
      <c r="F720" s="2264">
        <f>+E720*B720</f>
        <v>8.1750000000000007</v>
      </c>
      <c r="G720" s="2276"/>
      <c r="H720" s="2276"/>
      <c r="I720" s="2276"/>
      <c r="J720" s="722"/>
      <c r="K720" s="684">
        <f t="shared" si="613"/>
        <v>1</v>
      </c>
      <c r="L720" s="2258">
        <v>1</v>
      </c>
      <c r="M720" s="120">
        <f t="shared" si="608"/>
        <v>1</v>
      </c>
      <c r="N720" s="112" t="str">
        <f t="shared" si="614"/>
        <v/>
      </c>
      <c r="O720" s="112" t="str">
        <f t="shared" si="615"/>
        <v/>
      </c>
      <c r="P720" s="120" t="str">
        <f t="shared" si="616"/>
        <v/>
      </c>
      <c r="Q720" s="120" t="str">
        <f t="shared" si="617"/>
        <v/>
      </c>
      <c r="R720" s="185"/>
      <c r="S720" s="112" t="str">
        <f t="shared" si="681"/>
        <v/>
      </c>
      <c r="T720" s="709"/>
    </row>
    <row r="721" spans="1:20" s="320" customFormat="1" ht="12.75" customHeight="1">
      <c r="A721" s="2274"/>
      <c r="B721" s="2277">
        <v>1</v>
      </c>
      <c r="C721" s="2282" t="str">
        <f t="shared" si="682"/>
        <v>Borne 4mm2.</v>
      </c>
      <c r="D721" s="1579" t="s">
        <v>437</v>
      </c>
      <c r="E721" s="2260">
        <f t="shared" si="684"/>
        <v>2.5</v>
      </c>
      <c r="F721" s="2260">
        <f>+E721*B721</f>
        <v>2.5</v>
      </c>
      <c r="G721" s="2276"/>
      <c r="H721" s="2276"/>
      <c r="I721" s="2276"/>
      <c r="J721" s="722"/>
      <c r="K721" s="684">
        <f t="shared" si="613"/>
        <v>1</v>
      </c>
      <c r="L721" s="2258">
        <v>1</v>
      </c>
      <c r="M721" s="120">
        <f t="shared" si="608"/>
        <v>1</v>
      </c>
      <c r="N721" s="112" t="str">
        <f t="shared" si="614"/>
        <v/>
      </c>
      <c r="O721" s="112" t="str">
        <f t="shared" si="615"/>
        <v/>
      </c>
      <c r="P721" s="120" t="str">
        <f t="shared" si="616"/>
        <v/>
      </c>
      <c r="Q721" s="120" t="str">
        <f t="shared" si="617"/>
        <v/>
      </c>
      <c r="R721" s="185"/>
      <c r="S721" s="112" t="str">
        <f t="shared" si="681"/>
        <v/>
      </c>
      <c r="T721" s="709"/>
    </row>
    <row r="722" spans="1:20" s="185" customFormat="1" ht="12.75" customHeight="1">
      <c r="A722" s="2262"/>
      <c r="B722" s="1760"/>
      <c r="C722" s="1893" t="s">
        <v>729</v>
      </c>
      <c r="D722" s="169"/>
      <c r="E722" s="2256"/>
      <c r="F722" s="2278"/>
      <c r="G722" s="710"/>
      <c r="H722" s="710"/>
      <c r="I722" s="710"/>
      <c r="J722" s="711"/>
      <c r="K722" s="684">
        <f t="shared" si="613"/>
        <v>1</v>
      </c>
      <c r="L722" s="2258">
        <v>1</v>
      </c>
      <c r="M722" s="120">
        <f t="shared" si="608"/>
        <v>1</v>
      </c>
      <c r="N722" s="112" t="str">
        <f t="shared" si="614"/>
        <v/>
      </c>
      <c r="O722" s="112" t="str">
        <f t="shared" si="615"/>
        <v/>
      </c>
      <c r="P722" s="120" t="str">
        <f t="shared" si="616"/>
        <v/>
      </c>
      <c r="Q722" s="120" t="str">
        <f t="shared" si="617"/>
        <v/>
      </c>
      <c r="S722" s="112" t="str">
        <f t="shared" si="681"/>
        <v/>
      </c>
      <c r="T722" s="118"/>
    </row>
    <row r="723" spans="1:20" s="1236" customFormat="1" ht="18" customHeight="1">
      <c r="A723" s="1767"/>
      <c r="B723" s="1853">
        <v>1</v>
      </c>
      <c r="C723" s="1895" t="s">
        <v>12364</v>
      </c>
      <c r="D723" s="1902"/>
      <c r="E723" s="1792"/>
      <c r="F723" s="1793"/>
      <c r="G723" s="1784"/>
      <c r="H723" s="1784"/>
      <c r="I723" s="1784"/>
      <c r="J723" s="1182"/>
      <c r="K723" s="684">
        <f t="shared" si="613"/>
        <v>1</v>
      </c>
      <c r="L723" s="708">
        <v>1</v>
      </c>
      <c r="M723" s="684">
        <f t="shared" si="608"/>
        <v>1</v>
      </c>
      <c r="N723" s="362" t="str">
        <f t="shared" si="614"/>
        <v/>
      </c>
      <c r="O723" s="1763" t="str">
        <f t="shared" si="615"/>
        <v/>
      </c>
      <c r="P723" s="1764" t="str">
        <f t="shared" si="616"/>
        <v/>
      </c>
      <c r="Q723" s="120" t="str">
        <f t="shared" si="617"/>
        <v/>
      </c>
      <c r="R723" s="185"/>
    </row>
    <row r="724" spans="1:20" s="695" customFormat="1" ht="18" customHeight="1">
      <c r="A724" s="693"/>
      <c r="B724" s="1922">
        <v>1</v>
      </c>
      <c r="C724" s="1848" t="str">
        <f t="shared" ref="C724" si="685">VLOOKUP(D724,base_datos,6,FALSE)</f>
        <v>Placa lamicoid rotulación de 3mm de espesor, fondo negro y letras blancas.</v>
      </c>
      <c r="D724" s="1886" t="s">
        <v>8570</v>
      </c>
      <c r="E724" s="1795">
        <f t="shared" ref="E724" si="686">VLOOKUP(D724,base_datos,5,FALSE)</f>
        <v>2.2000000000000002</v>
      </c>
      <c r="F724" s="1796">
        <f t="shared" ref="F724" si="687">+E724*B724</f>
        <v>2.2000000000000002</v>
      </c>
      <c r="G724" s="696"/>
      <c r="H724" s="696"/>
      <c r="I724" s="696"/>
      <c r="J724" s="697"/>
      <c r="K724" s="684">
        <f t="shared" si="613"/>
        <v>1</v>
      </c>
      <c r="L724" s="708">
        <v>1</v>
      </c>
      <c r="M724" s="684">
        <f t="shared" si="608"/>
        <v>1</v>
      </c>
      <c r="N724" s="362">
        <f t="shared" si="614"/>
        <v>1</v>
      </c>
      <c r="O724" s="1763" t="str">
        <f t="shared" si="615"/>
        <v>Placa lamicoid p/distr.</v>
      </c>
      <c r="P724" s="1764" t="str">
        <f t="shared" si="616"/>
        <v>Placa lamicoid rotulación de 3mm de espesor, fondo negro y letras blancas.</v>
      </c>
      <c r="Q724" s="120" t="str">
        <f t="shared" si="617"/>
        <v>Placa lamicoid p/distr.</v>
      </c>
      <c r="R724" s="185"/>
    </row>
    <row r="725" spans="1:20" s="1236" customFormat="1" ht="18" customHeight="1">
      <c r="A725" s="1767"/>
      <c r="B725" s="1853">
        <v>1</v>
      </c>
      <c r="C725" s="1895" t="s">
        <v>12474</v>
      </c>
      <c r="D725" s="1902"/>
      <c r="E725" s="1792"/>
      <c r="F725" s="1793"/>
      <c r="G725" s="1784"/>
      <c r="H725" s="1784"/>
      <c r="I725" s="1784"/>
      <c r="J725" s="1182"/>
      <c r="K725" s="684">
        <f t="shared" si="613"/>
        <v>1</v>
      </c>
      <c r="L725" s="708">
        <v>1</v>
      </c>
      <c r="M725" s="684">
        <f t="shared" si="608"/>
        <v>1</v>
      </c>
      <c r="N725" s="362" t="str">
        <f t="shared" si="614"/>
        <v/>
      </c>
      <c r="O725" s="1763" t="str">
        <f t="shared" si="615"/>
        <v/>
      </c>
      <c r="P725" s="1764" t="str">
        <f t="shared" si="616"/>
        <v/>
      </c>
      <c r="Q725" s="120" t="str">
        <f t="shared" si="617"/>
        <v/>
      </c>
      <c r="R725" s="185"/>
    </row>
    <row r="726" spans="1:20" s="1236" customFormat="1" ht="18" customHeight="1">
      <c r="A726" s="1767"/>
      <c r="B726" s="1853">
        <v>1</v>
      </c>
      <c r="C726" s="1848" t="str">
        <f>VLOOKUP(D726,base_datos,6,FALSE)</f>
        <v>Embalaje especial completamente cerrado para tablero adosado de 1600x600x220mm</v>
      </c>
      <c r="D726" s="1902" t="s">
        <v>12453</v>
      </c>
      <c r="E726" s="1795">
        <f t="shared" ref="E726" si="688">VLOOKUP(D726,base_datos,5,FALSE)</f>
        <v>271.40000000000003</v>
      </c>
      <c r="F726" s="1796">
        <f t="shared" ref="F726" si="689">+E726*B726</f>
        <v>271.40000000000003</v>
      </c>
      <c r="G726" s="1784"/>
      <c r="H726" s="1784"/>
      <c r="I726" s="1784"/>
      <c r="J726" s="1182"/>
      <c r="K726" s="684">
        <f t="shared" si="613"/>
        <v>1</v>
      </c>
      <c r="L726" s="708">
        <v>1</v>
      </c>
      <c r="M726" s="684">
        <f t="shared" si="608"/>
        <v>1</v>
      </c>
      <c r="N726" s="362">
        <f t="shared" si="614"/>
        <v>1</v>
      </c>
      <c r="O726" s="1763" t="str">
        <f t="shared" si="615"/>
        <v>EMBAL_ADOS_1600x600x220mm</v>
      </c>
      <c r="P726" s="1764" t="str">
        <f t="shared" si="616"/>
        <v>Embalaje especial completamente cerrado para tablero adosado de 1600x600x220mm</v>
      </c>
      <c r="Q726" s="120" t="str">
        <f t="shared" si="617"/>
        <v>EMBAL_ADOS_1600x600x220mm</v>
      </c>
      <c r="R726" s="185"/>
    </row>
    <row r="727" spans="1:20" s="185" customFormat="1" ht="18" customHeight="1">
      <c r="A727" s="1785"/>
      <c r="B727" s="714"/>
      <c r="C727" s="313" t="s">
        <v>729</v>
      </c>
      <c r="D727" s="173"/>
      <c r="E727" s="1786"/>
      <c r="F727" s="1787"/>
      <c r="G727" s="710"/>
      <c r="H727" s="710"/>
      <c r="I727" s="710"/>
      <c r="J727" s="711"/>
      <c r="K727" s="684">
        <f t="shared" si="613"/>
        <v>1</v>
      </c>
      <c r="L727" s="708">
        <v>1</v>
      </c>
      <c r="M727" s="684">
        <f t="shared" si="608"/>
        <v>1</v>
      </c>
      <c r="N727" s="362" t="str">
        <f t="shared" si="614"/>
        <v/>
      </c>
      <c r="O727" s="1763" t="str">
        <f t="shared" si="615"/>
        <v/>
      </c>
      <c r="P727" s="1764" t="str">
        <f t="shared" si="616"/>
        <v/>
      </c>
      <c r="Q727" s="120" t="str">
        <f t="shared" si="617"/>
        <v/>
      </c>
    </row>
    <row r="728" spans="1:20" s="695" customFormat="1" ht="18" customHeight="1">
      <c r="A728" s="693"/>
      <c r="B728" s="1794">
        <v>1</v>
      </c>
      <c r="C728" s="1420" t="str">
        <f>VLOOKUP(D728,base_datos,6,FALSE)</f>
        <v>Barra a tierra.</v>
      </c>
      <c r="D728" s="1790" t="s">
        <v>8299</v>
      </c>
      <c r="E728" s="1795">
        <f t="shared" ref="E728" si="690">VLOOKUP(D728,base_datos,5,FALSE)</f>
        <v>10</v>
      </c>
      <c r="F728" s="1796">
        <f t="shared" ref="F728" si="691">+E728*B728</f>
        <v>10</v>
      </c>
      <c r="G728" s="696"/>
      <c r="H728" s="696"/>
      <c r="I728" s="696"/>
      <c r="J728" s="697"/>
      <c r="K728" s="684">
        <f t="shared" si="613"/>
        <v>1</v>
      </c>
      <c r="L728" s="708">
        <v>1</v>
      </c>
      <c r="M728" s="684">
        <f t="shared" si="608"/>
        <v>1</v>
      </c>
      <c r="N728" s="362" t="str">
        <f t="shared" si="614"/>
        <v/>
      </c>
      <c r="O728" s="1763" t="str">
        <f t="shared" si="615"/>
        <v/>
      </c>
      <c r="P728" s="1764" t="str">
        <f t="shared" si="616"/>
        <v/>
      </c>
      <c r="Q728" s="120" t="str">
        <f t="shared" si="617"/>
        <v/>
      </c>
      <c r="R728" s="185"/>
    </row>
    <row r="729" spans="1:20" s="185" customFormat="1" ht="18" customHeight="1">
      <c r="A729" s="1785"/>
      <c r="B729" s="714"/>
      <c r="C729" s="313" t="s">
        <v>729</v>
      </c>
      <c r="D729" s="173"/>
      <c r="E729" s="1786"/>
      <c r="F729" s="1787"/>
      <c r="G729" s="710"/>
      <c r="H729" s="710"/>
      <c r="I729" s="710"/>
      <c r="J729" s="711"/>
      <c r="K729" s="684">
        <f t="shared" si="613"/>
        <v>1</v>
      </c>
      <c r="L729" s="708">
        <v>1</v>
      </c>
      <c r="M729" s="684">
        <f t="shared" si="608"/>
        <v>1</v>
      </c>
      <c r="N729" s="362" t="str">
        <f t="shared" ref="N729" si="692">IF(O729&lt;&gt;"",K729*L729*M729,"")</f>
        <v/>
      </c>
      <c r="O729" s="1763" t="str">
        <f t="shared" ref="O729" si="693">IF(D729&lt;&gt;"",IF(VLOOKUP(D729,base_datos,7,FALSE)&lt;&gt;"",VLOOKUP(D729,base_datos,7,FALSE),""),"")</f>
        <v/>
      </c>
      <c r="P729" s="1764" t="str">
        <f t="shared" ref="P729" si="694">IF(O729&lt;&gt;"",VLOOKUP(D729,base_datos,6,FALSE),"")</f>
        <v/>
      </c>
      <c r="Q729" s="120" t="str">
        <f t="shared" ref="Q729" si="695">IF(O729&lt;&gt;"",D729,"")</f>
        <v/>
      </c>
    </row>
    <row r="730" spans="1:20" s="897" customFormat="1" ht="18" customHeight="1">
      <c r="A730" s="693"/>
      <c r="B730" s="895">
        <v>17</v>
      </c>
      <c r="C730" s="721" t="str">
        <f>VLOOKUP(D730,base_datos,6,FALSE)</f>
        <v>Rotulado por circuito.</v>
      </c>
      <c r="D730" s="1579" t="s">
        <v>3067</v>
      </c>
      <c r="E730" s="1581">
        <f>VLOOKUP(D730,base_datos,5,FALSE)</f>
        <v>0.7</v>
      </c>
      <c r="F730" s="1581">
        <f t="shared" ref="F730:F734" si="696">+E730*B730</f>
        <v>11.899999999999999</v>
      </c>
      <c r="G730" s="1772"/>
      <c r="H730" s="1772"/>
      <c r="I730" s="1772"/>
      <c r="J730" s="896"/>
      <c r="K730" s="684">
        <f t="shared" si="613"/>
        <v>1</v>
      </c>
      <c r="L730" s="708">
        <v>1</v>
      </c>
      <c r="M730" s="684">
        <f t="shared" si="608"/>
        <v>17</v>
      </c>
      <c r="N730" s="362" t="str">
        <f t="shared" si="614"/>
        <v/>
      </c>
      <c r="O730" s="1763" t="str">
        <f t="shared" si="615"/>
        <v/>
      </c>
      <c r="P730" s="1764" t="str">
        <f t="shared" si="616"/>
        <v/>
      </c>
      <c r="Q730" s="120" t="str">
        <f t="shared" si="617"/>
        <v/>
      </c>
    </row>
    <row r="731" spans="1:20" s="897" customFormat="1" ht="18" customHeight="1">
      <c r="A731" s="693"/>
      <c r="B731" s="895">
        <v>1</v>
      </c>
      <c r="C731" s="721" t="str">
        <f>VLOOKUP(D731,base_datos,6,FALSE)</f>
        <v>Rotulado para TAG - tablero de distribución.</v>
      </c>
      <c r="D731" s="1579" t="s">
        <v>3066</v>
      </c>
      <c r="E731" s="1581">
        <f>VLOOKUP(D731,base_datos,5,FALSE)</f>
        <v>1.5</v>
      </c>
      <c r="F731" s="1581">
        <f t="shared" si="696"/>
        <v>1.5</v>
      </c>
      <c r="G731" s="1772"/>
      <c r="H731" s="1772"/>
      <c r="I731" s="1772"/>
      <c r="J731" s="896"/>
      <c r="K731" s="684">
        <f t="shared" si="613"/>
        <v>1</v>
      </c>
      <c r="L731" s="708">
        <v>1</v>
      </c>
      <c r="M731" s="684">
        <f t="shared" si="608"/>
        <v>1</v>
      </c>
      <c r="N731" s="362" t="str">
        <f t="shared" si="614"/>
        <v/>
      </c>
      <c r="O731" s="1763" t="str">
        <f t="shared" si="615"/>
        <v/>
      </c>
      <c r="P731" s="1764" t="str">
        <f t="shared" si="616"/>
        <v/>
      </c>
      <c r="Q731" s="120" t="str">
        <f t="shared" si="617"/>
        <v/>
      </c>
    </row>
    <row r="732" spans="1:20" s="1237" customFormat="1" ht="18" customHeight="1">
      <c r="A732" s="1767"/>
      <c r="B732" s="2093">
        <v>1</v>
      </c>
      <c r="C732" s="694" t="s">
        <v>12552</v>
      </c>
      <c r="D732" s="1888"/>
      <c r="E732" s="1580">
        <f>E734*15%</f>
        <v>36</v>
      </c>
      <c r="F732" s="1581">
        <f t="shared" si="696"/>
        <v>36</v>
      </c>
      <c r="G732" s="1774"/>
      <c r="H732" s="1774"/>
      <c r="I732" s="1774"/>
      <c r="J732" s="1181"/>
      <c r="K732" s="684">
        <f t="shared" si="613"/>
        <v>1</v>
      </c>
      <c r="L732" s="708">
        <v>1</v>
      </c>
      <c r="M732" s="684">
        <f t="shared" si="608"/>
        <v>1</v>
      </c>
      <c r="N732" s="362" t="str">
        <f t="shared" si="614"/>
        <v/>
      </c>
      <c r="O732" s="1763" t="str">
        <f t="shared" si="615"/>
        <v/>
      </c>
      <c r="P732" s="1764" t="str">
        <f t="shared" si="616"/>
        <v/>
      </c>
      <c r="Q732" s="120" t="str">
        <f t="shared" si="617"/>
        <v/>
      </c>
      <c r="R732" s="1765"/>
    </row>
    <row r="733" spans="1:20" s="1237" customFormat="1" ht="18" customHeight="1">
      <c r="A733" s="1767"/>
      <c r="B733" s="1773">
        <v>1</v>
      </c>
      <c r="C733" s="694" t="s">
        <v>12559</v>
      </c>
      <c r="D733" s="1888"/>
      <c r="E733" s="1999">
        <f>E734*20%</f>
        <v>48</v>
      </c>
      <c r="F733" s="1581">
        <f t="shared" si="696"/>
        <v>48</v>
      </c>
      <c r="G733" s="1774"/>
      <c r="H733" s="1774"/>
      <c r="I733" s="1774"/>
      <c r="J733" s="1181"/>
      <c r="K733" s="684">
        <f t="shared" si="613"/>
        <v>1</v>
      </c>
      <c r="L733" s="708">
        <v>1</v>
      </c>
      <c r="M733" s="684">
        <f t="shared" si="608"/>
        <v>1</v>
      </c>
      <c r="N733" s="362" t="str">
        <f t="shared" si="614"/>
        <v/>
      </c>
      <c r="O733" s="1763" t="str">
        <f t="shared" si="615"/>
        <v/>
      </c>
      <c r="P733" s="1764" t="str">
        <f t="shared" si="616"/>
        <v/>
      </c>
      <c r="Q733" s="120" t="str">
        <f t="shared" si="617"/>
        <v/>
      </c>
      <c r="R733" s="1765"/>
    </row>
    <row r="734" spans="1:20" s="1237" customFormat="1" ht="18" customHeight="1">
      <c r="A734" s="1767"/>
      <c r="B734" s="1773">
        <v>1</v>
      </c>
      <c r="C734" s="694" t="s">
        <v>12525</v>
      </c>
      <c r="D734" s="1888"/>
      <c r="E734" s="1999">
        <v>240</v>
      </c>
      <c r="F734" s="1581">
        <f t="shared" si="696"/>
        <v>240</v>
      </c>
      <c r="G734" s="1774"/>
      <c r="H734" s="1774"/>
      <c r="I734" s="1774"/>
      <c r="J734" s="1181"/>
      <c r="K734" s="684">
        <f t="shared" si="613"/>
        <v>1</v>
      </c>
      <c r="L734" s="708">
        <v>1</v>
      </c>
      <c r="M734" s="684">
        <f t="shared" si="608"/>
        <v>1</v>
      </c>
      <c r="N734" s="362" t="str">
        <f t="shared" si="614"/>
        <v/>
      </c>
      <c r="O734" s="1763" t="str">
        <f t="shared" si="615"/>
        <v/>
      </c>
      <c r="P734" s="1764" t="str">
        <f t="shared" si="616"/>
        <v/>
      </c>
      <c r="Q734" s="120" t="str">
        <f t="shared" si="617"/>
        <v/>
      </c>
      <c r="R734" s="1765"/>
    </row>
    <row r="735" spans="1:20" s="2472" customFormat="1" ht="18" customHeight="1">
      <c r="A735" s="2464"/>
      <c r="B735" s="2465"/>
      <c r="C735" s="2466" t="s">
        <v>13063</v>
      </c>
      <c r="D735" s="2467"/>
      <c r="E735" s="2468"/>
      <c r="F735" s="2469"/>
      <c r="G735" s="2470"/>
      <c r="H735" s="2470"/>
      <c r="I735" s="2470"/>
      <c r="J735" s="2471"/>
      <c r="K735" s="2426">
        <f>K732</f>
        <v>1</v>
      </c>
      <c r="L735" s="2463">
        <v>1</v>
      </c>
      <c r="M735" s="2428">
        <f>IF(B735="",1,B735)</f>
        <v>1</v>
      </c>
      <c r="N735" s="2429" t="str">
        <f>IF(O735&lt;&gt;"",K735*L735*M735,"")</f>
        <v/>
      </c>
      <c r="O735" s="2430" t="str">
        <f>IF(D735&lt;&gt;"",IF(VLOOKUP(D735,base_datos,7,FALSE)&lt;&gt;"",VLOOKUP(D735,base_datos,7,FALSE),""),"")</f>
        <v/>
      </c>
      <c r="P735" s="2431" t="str">
        <f>IF(O735&lt;&gt;"",VLOOKUP(D735,base_datos,6,FALSE),"")</f>
        <v/>
      </c>
      <c r="Q735" s="2432" t="str">
        <f>IF(O735&lt;&gt;"",D735,"")</f>
        <v/>
      </c>
      <c r="R735" s="2433"/>
    </row>
    <row r="736" spans="1:20" s="2472" customFormat="1" ht="18" customHeight="1">
      <c r="A736" s="2464"/>
      <c r="B736" s="2465"/>
      <c r="C736" s="2466"/>
      <c r="D736" s="2467"/>
      <c r="E736" s="2468"/>
      <c r="F736" s="2469"/>
      <c r="G736" s="2470"/>
      <c r="H736" s="2470"/>
      <c r="I736" s="2470"/>
      <c r="J736" s="2471"/>
      <c r="K736" s="2426">
        <f>K733</f>
        <v>1</v>
      </c>
      <c r="L736" s="2463">
        <v>1</v>
      </c>
      <c r="M736" s="2428">
        <f>IF(B736="",1,B736)</f>
        <v>1</v>
      </c>
      <c r="N736" s="2429"/>
      <c r="O736" s="2430"/>
      <c r="P736" s="2431"/>
      <c r="Q736" s="2432"/>
      <c r="R736" s="2433"/>
    </row>
    <row r="737" spans="1:18" s="2480" customFormat="1">
      <c r="A737" s="2473"/>
      <c r="B737" s="2474">
        <v>1</v>
      </c>
      <c r="C737" s="2475" t="str">
        <f t="shared" ref="C737:C738" si="697">VLOOKUP(D737,base_datos,6,FALSE)</f>
        <v>FOTOCELDA 1800VA 220V N/C (NF) 10 LUX STIELECTRONICA</v>
      </c>
      <c r="D737" s="2476" t="s">
        <v>3410</v>
      </c>
      <c r="E737" s="2477">
        <f t="shared" ref="E737:E738" si="698">VLOOKUP(D737,base_datos,5,FALSE)</f>
        <v>27.6</v>
      </c>
      <c r="F737" s="2455">
        <f t="shared" ref="F737:F738" si="699">+E737*B737</f>
        <v>27.6</v>
      </c>
      <c r="G737" s="2478"/>
      <c r="H737" s="2478"/>
      <c r="I737" s="2478"/>
      <c r="J737" s="2479"/>
      <c r="K737" s="2426">
        <f t="shared" ref="K737:K738" si="700">K735</f>
        <v>1</v>
      </c>
      <c r="L737" s="2463">
        <v>1</v>
      </c>
      <c r="M737" s="2428">
        <f>IF(B737="",1,B737)</f>
        <v>1</v>
      </c>
      <c r="N737" s="2429">
        <f>IF(O737&lt;&gt;"",K737*L737*M737,"")</f>
        <v>1</v>
      </c>
      <c r="O737" s="2430" t="str">
        <f>IF(D737&lt;&gt;"",IF(VLOOKUP(D737,base_datos,7,FALSE)&lt;&gt;"",VLOOKUP(D737,base_datos,7,FALSE),""),"")</f>
        <v>0400RTF82S</v>
      </c>
      <c r="P737" s="2431" t="str">
        <f>IF(O737&lt;&gt;"",VLOOKUP(D737,base_datos,6,FALSE),"")</f>
        <v>FOTOCELDA 1800VA 220V N/C (NF) 10 LUX STIELECTRONICA</v>
      </c>
      <c r="Q737" s="2432" t="str">
        <f>IF(O737&lt;&gt;"",D737,"")</f>
        <v>FOTOCELDA</v>
      </c>
    </row>
    <row r="738" spans="1:18" s="2480" customFormat="1">
      <c r="A738" s="2473"/>
      <c r="B738" s="2474">
        <v>1</v>
      </c>
      <c r="C738" s="2475" t="str">
        <f t="shared" si="697"/>
        <v>BASE C/SOPORTE P/CONTROL FOTOCELDA P/ADOSAR STIELECTRONICA</v>
      </c>
      <c r="D738" s="2476" t="s">
        <v>3411</v>
      </c>
      <c r="E738" s="2477">
        <f t="shared" si="698"/>
        <v>13.4</v>
      </c>
      <c r="F738" s="2455">
        <f t="shared" si="699"/>
        <v>13.4</v>
      </c>
      <c r="G738" s="2478"/>
      <c r="H738" s="2478"/>
      <c r="I738" s="2478"/>
      <c r="J738" s="2479"/>
      <c r="K738" s="2426">
        <f t="shared" si="700"/>
        <v>1</v>
      </c>
      <c r="L738" s="2463">
        <v>1</v>
      </c>
      <c r="M738" s="2428">
        <f>IF(B738="",1,B738)</f>
        <v>1</v>
      </c>
      <c r="N738" s="2429">
        <f>IF(O738&lt;&gt;"",K738*L738*M738,"")</f>
        <v>1</v>
      </c>
      <c r="O738" s="2430" t="str">
        <f>IF(D738&lt;&gt;"",IF(VLOOKUP(D738,base_datos,7,FALSE)&lt;&gt;"",VLOOKUP(D738,base_datos,7,FALSE),""),"")</f>
        <v>0400TPLS476</v>
      </c>
      <c r="P738" s="2431" t="str">
        <f>IF(O738&lt;&gt;"",VLOOKUP(D738,base_datos,6,FALSE),"")</f>
        <v>BASE C/SOPORTE P/CONTROL FOTOCELDA P/ADOSAR STIELECTRONICA</v>
      </c>
      <c r="Q738" s="2432" t="str">
        <f>IF(O738&lt;&gt;"",D738,"")</f>
        <v>BASE_FOTOCELDA</v>
      </c>
    </row>
    <row r="739" spans="1:18" s="120" customFormat="1" ht="18" customHeight="1" thickBot="1">
      <c r="A739" s="2013"/>
      <c r="B739" s="1854"/>
      <c r="C739" s="1797"/>
      <c r="D739" s="2009"/>
      <c r="E739" s="1981"/>
      <c r="F739" s="1981"/>
      <c r="G739" s="1798"/>
      <c r="H739" s="1798"/>
      <c r="I739" s="1798"/>
      <c r="J739" s="1799"/>
      <c r="K739" s="1788"/>
      <c r="L739" s="363"/>
      <c r="M739" s="684"/>
      <c r="N739" s="362" t="str">
        <f t="shared" si="614"/>
        <v/>
      </c>
      <c r="O739" s="1763" t="str">
        <f t="shared" si="615"/>
        <v/>
      </c>
      <c r="P739" s="1764" t="str">
        <f t="shared" si="616"/>
        <v/>
      </c>
      <c r="Q739" s="120" t="str">
        <f t="shared" si="617"/>
        <v/>
      </c>
      <c r="R739" s="185"/>
    </row>
    <row r="740" spans="1:18" s="120" customFormat="1" ht="18" customHeight="1" thickBot="1">
      <c r="A740" s="1587">
        <v>12</v>
      </c>
      <c r="B740" s="1852">
        <v>1</v>
      </c>
      <c r="C740" s="1756" t="s">
        <v>12577</v>
      </c>
      <c r="D740" s="2010"/>
      <c r="E740" s="1589"/>
      <c r="F740" s="1589"/>
      <c r="G740" s="1757">
        <f>SUM(F741:F786)</f>
        <v>2411.5650000000001</v>
      </c>
      <c r="H740" s="1758">
        <f>G740*(1-$D$6)</f>
        <v>2411.5650000000001</v>
      </c>
      <c r="I740" s="1757">
        <f>ROUNDUP(H740*$D$5,0)</f>
        <v>8200</v>
      </c>
      <c r="J740" s="1759">
        <f>+I740*B740</f>
        <v>8200</v>
      </c>
      <c r="K740" s="1788">
        <f>B740</f>
        <v>1</v>
      </c>
      <c r="L740" s="363"/>
      <c r="M740" s="684"/>
      <c r="N740" s="362" t="str">
        <f t="shared" si="614"/>
        <v/>
      </c>
      <c r="O740" s="1763" t="str">
        <f t="shared" si="615"/>
        <v/>
      </c>
      <c r="P740" s="1764" t="str">
        <f t="shared" si="616"/>
        <v/>
      </c>
      <c r="Q740" s="120" t="str">
        <f t="shared" si="617"/>
        <v/>
      </c>
      <c r="R740" s="185"/>
    </row>
    <row r="741" spans="1:18" s="120" customFormat="1" ht="18" customHeight="1">
      <c r="A741" s="685" t="s">
        <v>3064</v>
      </c>
      <c r="B741" s="1903"/>
      <c r="C741" s="1890"/>
      <c r="D741" s="1927"/>
      <c r="E741" s="1780"/>
      <c r="F741" s="1780"/>
      <c r="G741" s="686"/>
      <c r="H741" s="710"/>
      <c r="I741" s="686"/>
      <c r="J741" s="1768"/>
      <c r="K741" s="684">
        <f t="shared" ref="K741:K786" si="701">+K740</f>
        <v>1</v>
      </c>
      <c r="L741" s="363">
        <v>1</v>
      </c>
      <c r="M741" s="709">
        <f t="shared" ref="M741:M786" si="702">IF(B741="",1,B741)</f>
        <v>1</v>
      </c>
      <c r="N741" s="362" t="str">
        <f t="shared" si="614"/>
        <v/>
      </c>
      <c r="O741" s="1763" t="str">
        <f t="shared" si="615"/>
        <v/>
      </c>
      <c r="P741" s="1764" t="str">
        <f t="shared" si="616"/>
        <v/>
      </c>
      <c r="Q741" s="120" t="str">
        <f t="shared" si="617"/>
        <v/>
      </c>
    </row>
    <row r="742" spans="1:18" s="315" customFormat="1">
      <c r="A742" s="687" t="s">
        <v>4021</v>
      </c>
      <c r="B742" s="2096">
        <v>1</v>
      </c>
      <c r="C742" s="1907" t="s">
        <v>5103</v>
      </c>
      <c r="D742" s="1935"/>
      <c r="E742" s="1786"/>
      <c r="F742" s="1908">
        <f>SUM(F744:F748)*(B742-1)</f>
        <v>0</v>
      </c>
      <c r="G742" s="712"/>
      <c r="H742" s="712"/>
      <c r="I742" s="712"/>
      <c r="J742" s="713"/>
      <c r="K742" s="684">
        <f t="shared" si="701"/>
        <v>1</v>
      </c>
      <c r="L742" s="1909">
        <f>B742</f>
        <v>1</v>
      </c>
      <c r="M742" s="684">
        <f t="shared" si="702"/>
        <v>1</v>
      </c>
      <c r="N742" s="362" t="str">
        <f t="shared" si="614"/>
        <v/>
      </c>
      <c r="O742" s="1763" t="str">
        <f t="shared" si="615"/>
        <v/>
      </c>
      <c r="P742" s="1764" t="str">
        <f t="shared" si="616"/>
        <v/>
      </c>
      <c r="Q742" s="120" t="str">
        <f t="shared" si="617"/>
        <v/>
      </c>
    </row>
    <row r="743" spans="1:18" s="185" customFormat="1">
      <c r="A743" s="687" t="s">
        <v>4136</v>
      </c>
      <c r="B743" s="1910">
        <v>3</v>
      </c>
      <c r="C743" s="1911" t="str">
        <f>VLOOKUP(D743,base_datos,6,FALSE)</f>
        <v>Portalámpara + lampara tipo LED - color Rojo - alimentacion: 220-230Vac, d=22mm. - CL2-523R - línea compacta - marca ABB.</v>
      </c>
      <c r="D743" s="1790" t="s">
        <v>2439</v>
      </c>
      <c r="E743" s="1939">
        <f>VLOOKUP(D743,base_datos,5,FALSE)</f>
        <v>12.299999999999999</v>
      </c>
      <c r="F743" s="1912">
        <f>+E743*B743</f>
        <v>36.9</v>
      </c>
      <c r="G743" s="710"/>
      <c r="H743" s="710"/>
      <c r="I743" s="710"/>
      <c r="J743" s="711"/>
      <c r="K743" s="684">
        <f t="shared" si="701"/>
        <v>1</v>
      </c>
      <c r="L743" s="1913">
        <f>L741</f>
        <v>1</v>
      </c>
      <c r="M743" s="684">
        <f t="shared" si="702"/>
        <v>3</v>
      </c>
      <c r="N743" s="362">
        <f t="shared" si="614"/>
        <v>3</v>
      </c>
      <c r="O743" s="1763" t="str">
        <f t="shared" si="615"/>
        <v>1SFA619403R5231</v>
      </c>
      <c r="P743" s="1764" t="str">
        <f t="shared" si="616"/>
        <v>Portalámpara + lampara tipo LED - color Rojo - alimentacion: 220-230Vac, d=22mm. - CL2-523R - línea compacta - marca ABB.</v>
      </c>
      <c r="Q743" s="120" t="str">
        <f t="shared" si="617"/>
        <v>LAMP_ROJO_220V</v>
      </c>
    </row>
    <row r="744" spans="1:18" s="185" customFormat="1">
      <c r="A744" s="687"/>
      <c r="B744" s="1910">
        <v>3</v>
      </c>
      <c r="C744" s="1911" t="str">
        <f>VLOOKUP(D744,base_datos,6,FALSE)</f>
        <v>Portalámpara + lampara tipo LED - color Verde - alimentacion: 220-230Vac, d=22mm. - CL2-523G - línea compacta - marca ABB.</v>
      </c>
      <c r="D744" s="1790" t="s">
        <v>2440</v>
      </c>
      <c r="E744" s="1939">
        <f>VLOOKUP(D744,base_datos,5,FALSE)</f>
        <v>12.299999999999999</v>
      </c>
      <c r="F744" s="1912">
        <f>+E744*B744</f>
        <v>36.9</v>
      </c>
      <c r="G744" s="710"/>
      <c r="H744" s="710"/>
      <c r="I744" s="710"/>
      <c r="J744" s="711"/>
      <c r="K744" s="684">
        <f t="shared" si="701"/>
        <v>1</v>
      </c>
      <c r="L744" s="1913">
        <f>L742</f>
        <v>1</v>
      </c>
      <c r="M744" s="684">
        <f t="shared" si="702"/>
        <v>3</v>
      </c>
      <c r="N744" s="362">
        <f t="shared" si="614"/>
        <v>3</v>
      </c>
      <c r="O744" s="1763" t="str">
        <f t="shared" si="615"/>
        <v>1SFA619403R5232</v>
      </c>
      <c r="P744" s="1764" t="str">
        <f t="shared" si="616"/>
        <v>Portalámpara + lampara tipo LED - color Verde - alimentacion: 220-230Vac, d=22mm. - CL2-523G - línea compacta - marca ABB.</v>
      </c>
      <c r="Q744" s="120" t="str">
        <f t="shared" si="617"/>
        <v>LAMP_VERDE_220V</v>
      </c>
    </row>
    <row r="745" spans="1:18" s="1921" customFormat="1">
      <c r="A745" s="687" t="s">
        <v>12356</v>
      </c>
      <c r="B745" s="1914">
        <v>1</v>
      </c>
      <c r="C745" s="1915" t="s">
        <v>3366</v>
      </c>
      <c r="D745" s="1916"/>
      <c r="E745" s="1917"/>
      <c r="F745" s="1918"/>
      <c r="G745" s="1919"/>
      <c r="H745" s="1919"/>
      <c r="I745" s="1919"/>
      <c r="J745" s="1920"/>
      <c r="K745" s="684">
        <f t="shared" si="701"/>
        <v>1</v>
      </c>
      <c r="L745" s="1913">
        <f>L744</f>
        <v>1</v>
      </c>
      <c r="M745" s="684">
        <f t="shared" si="702"/>
        <v>1</v>
      </c>
      <c r="N745" s="362" t="str">
        <f t="shared" si="614"/>
        <v/>
      </c>
      <c r="O745" s="1763" t="str">
        <f t="shared" si="615"/>
        <v/>
      </c>
      <c r="P745" s="1764" t="str">
        <f t="shared" si="616"/>
        <v/>
      </c>
      <c r="Q745" s="120" t="str">
        <f t="shared" si="617"/>
        <v/>
      </c>
    </row>
    <row r="746" spans="1:18" s="320" customFormat="1">
      <c r="A746" s="687" t="s">
        <v>13034</v>
      </c>
      <c r="B746" s="1922">
        <v>1</v>
      </c>
      <c r="C746" s="721" t="str">
        <f>VLOOKUP(D746,base_datos,6,FALSE)</f>
        <v>Rele auxiliar enchufable +4NA/NC (D2PR4B + base D2PA6), 220Vac - marca EATON.</v>
      </c>
      <c r="D746" s="1579" t="s">
        <v>772</v>
      </c>
      <c r="E746" s="1581">
        <f>VLOOKUP(D746,base_datos,5,FALSE)</f>
        <v>27</v>
      </c>
      <c r="F746" s="1923">
        <f>+E746*B746</f>
        <v>27</v>
      </c>
      <c r="G746" s="1924"/>
      <c r="H746" s="1924"/>
      <c r="I746" s="1924"/>
      <c r="J746" s="722"/>
      <c r="K746" s="684">
        <f t="shared" si="701"/>
        <v>1</v>
      </c>
      <c r="L746" s="1913">
        <f>L743</f>
        <v>1</v>
      </c>
      <c r="M746" s="684">
        <f t="shared" si="702"/>
        <v>1</v>
      </c>
      <c r="N746" s="362">
        <f t="shared" si="614"/>
        <v>1</v>
      </c>
      <c r="O746" s="1763" t="str">
        <f t="shared" si="615"/>
        <v>D2PR4B+D2PA6</v>
      </c>
      <c r="P746" s="1764" t="str">
        <f t="shared" si="616"/>
        <v>Rele auxiliar enchufable +4NA/NC (D2PR4B + base D2PA6), 220Vac - marca EATON.</v>
      </c>
      <c r="Q746" s="120" t="str">
        <f t="shared" si="617"/>
        <v>D2PR4B+D2PA6</v>
      </c>
    </row>
    <row r="747" spans="1:18" s="320" customFormat="1">
      <c r="A747" s="1767"/>
      <c r="B747" s="2131">
        <v>1</v>
      </c>
      <c r="C747" s="2132" t="s">
        <v>12558</v>
      </c>
      <c r="D747" s="2133"/>
      <c r="E747" s="2134">
        <v>32</v>
      </c>
      <c r="F747" s="2134">
        <f>+E747*B747</f>
        <v>32</v>
      </c>
      <c r="G747" s="1924"/>
      <c r="H747" s="1924"/>
      <c r="I747" s="1924"/>
      <c r="J747" s="722"/>
      <c r="K747" s="684">
        <f t="shared" si="701"/>
        <v>1</v>
      </c>
      <c r="L747" s="1913">
        <f>L744</f>
        <v>1</v>
      </c>
      <c r="M747" s="684">
        <f t="shared" si="702"/>
        <v>1</v>
      </c>
      <c r="N747" s="362" t="str">
        <f t="shared" si="614"/>
        <v/>
      </c>
      <c r="O747" s="1763" t="str">
        <f t="shared" si="615"/>
        <v/>
      </c>
      <c r="P747" s="1764" t="str">
        <f t="shared" si="616"/>
        <v/>
      </c>
      <c r="Q747" s="120" t="str">
        <f t="shared" si="617"/>
        <v/>
      </c>
    </row>
    <row r="748" spans="1:18" s="320" customFormat="1">
      <c r="A748" s="687" t="s">
        <v>12551</v>
      </c>
      <c r="B748" s="1922">
        <v>4</v>
      </c>
      <c r="C748" s="721" t="str">
        <f>VLOOKUP(D748,base_datos,6,FALSE)</f>
        <v>Base portafusibles + Fusibles de protección para control.</v>
      </c>
      <c r="D748" s="1579" t="s">
        <v>453</v>
      </c>
      <c r="E748" s="1581">
        <f>VLOOKUP(D748,base_datos,5,FALSE)</f>
        <v>8.1750000000000007</v>
      </c>
      <c r="F748" s="1923">
        <f>+E748*B748</f>
        <v>32.700000000000003</v>
      </c>
      <c r="G748" s="1924"/>
      <c r="H748" s="1924"/>
      <c r="I748" s="1924"/>
      <c r="J748" s="722"/>
      <c r="K748" s="684">
        <f t="shared" si="701"/>
        <v>1</v>
      </c>
      <c r="L748" s="1913">
        <f>L745</f>
        <v>1</v>
      </c>
      <c r="M748" s="684">
        <f t="shared" si="702"/>
        <v>4</v>
      </c>
      <c r="N748" s="362" t="str">
        <f t="shared" si="614"/>
        <v/>
      </c>
      <c r="O748" s="1763" t="str">
        <f t="shared" si="615"/>
        <v/>
      </c>
      <c r="P748" s="1764" t="str">
        <f t="shared" si="616"/>
        <v/>
      </c>
      <c r="Q748" s="120" t="str">
        <f t="shared" si="617"/>
        <v/>
      </c>
    </row>
    <row r="749" spans="1:18" s="315" customFormat="1">
      <c r="A749" s="687" t="s">
        <v>3542</v>
      </c>
      <c r="B749" s="1906"/>
      <c r="C749" s="1907"/>
      <c r="D749" s="1935"/>
      <c r="E749" s="1786"/>
      <c r="F749" s="1936"/>
      <c r="G749" s="712"/>
      <c r="H749" s="712"/>
      <c r="I749" s="712"/>
      <c r="J749" s="713"/>
      <c r="K749" s="684">
        <f t="shared" si="701"/>
        <v>1</v>
      </c>
      <c r="L749" s="1909">
        <f>B749</f>
        <v>0</v>
      </c>
      <c r="M749" s="684">
        <f t="shared" si="702"/>
        <v>1</v>
      </c>
      <c r="N749" s="362" t="str">
        <f t="shared" si="614"/>
        <v/>
      </c>
      <c r="O749" s="1763" t="str">
        <f t="shared" si="615"/>
        <v/>
      </c>
      <c r="P749" s="1764" t="str">
        <f t="shared" si="616"/>
        <v/>
      </c>
      <c r="Q749" s="120" t="str">
        <f t="shared" si="617"/>
        <v/>
      </c>
    </row>
    <row r="750" spans="1:18" s="185" customFormat="1">
      <c r="A750" s="687"/>
      <c r="B750" s="1922"/>
      <c r="C750" s="1956" t="s">
        <v>12368</v>
      </c>
      <c r="D750" s="1579"/>
      <c r="E750" s="1957"/>
      <c r="F750" s="1958"/>
      <c r="G750" s="710"/>
      <c r="H750" s="710"/>
      <c r="I750" s="710"/>
      <c r="J750" s="711"/>
      <c r="K750" s="684">
        <f t="shared" si="701"/>
        <v>1</v>
      </c>
      <c r="L750" s="708">
        <v>1</v>
      </c>
      <c r="M750" s="684">
        <f t="shared" si="702"/>
        <v>1</v>
      </c>
      <c r="N750" s="362" t="str">
        <f t="shared" si="614"/>
        <v/>
      </c>
      <c r="O750" s="1763" t="str">
        <f t="shared" si="615"/>
        <v/>
      </c>
      <c r="P750" s="1764" t="str">
        <f t="shared" si="616"/>
        <v/>
      </c>
      <c r="Q750" s="120" t="str">
        <f t="shared" si="617"/>
        <v/>
      </c>
    </row>
    <row r="751" spans="1:18" s="120" customFormat="1" ht="18" customHeight="1">
      <c r="A751" s="1785"/>
      <c r="B751" s="1781"/>
      <c r="C751" s="1959" t="s">
        <v>3158</v>
      </c>
      <c r="D751" s="2005"/>
      <c r="E751" s="1791"/>
      <c r="F751" s="1782"/>
      <c r="G751" s="686"/>
      <c r="H751" s="686"/>
      <c r="I751" s="686"/>
      <c r="J751" s="688"/>
      <c r="K751" s="684">
        <f t="shared" si="701"/>
        <v>1</v>
      </c>
      <c r="L751" s="708">
        <v>1</v>
      </c>
      <c r="M751" s="684">
        <f t="shared" si="702"/>
        <v>1</v>
      </c>
      <c r="N751" s="362" t="str">
        <f t="shared" si="614"/>
        <v/>
      </c>
      <c r="O751" s="1763" t="str">
        <f t="shared" si="615"/>
        <v/>
      </c>
      <c r="P751" s="1764" t="str">
        <f t="shared" si="616"/>
        <v/>
      </c>
      <c r="Q751" s="120" t="str">
        <f t="shared" si="617"/>
        <v/>
      </c>
      <c r="R751" s="185"/>
    </row>
    <row r="752" spans="1:18" s="690" customFormat="1" ht="18" customHeight="1">
      <c r="A752" s="687"/>
      <c r="B752" s="2096">
        <v>1</v>
      </c>
      <c r="C752" s="1960" t="str">
        <f>VLOOKUP(D752,base_datos,6,FALSE)</f>
        <v>ITM Caja Moldeada 3x25A (reg.[0.7-1.0] In)  - XT1B160-25A-3P-TMD - 25kA@230Vac,18kA@415Vac, 18kA@250Vdc - marca ABB.</v>
      </c>
      <c r="D752" s="2006" t="s">
        <v>4362</v>
      </c>
      <c r="E752" s="1791">
        <f>VLOOKUP(D752,base_datos,5,FALSE)</f>
        <v>120.37</v>
      </c>
      <c r="F752" s="1782">
        <f>+E752*B752</f>
        <v>120.37</v>
      </c>
      <c r="G752" s="1761"/>
      <c r="H752" s="1761"/>
      <c r="I752" s="1761"/>
      <c r="J752" s="689"/>
      <c r="K752" s="684">
        <f t="shared" si="701"/>
        <v>1</v>
      </c>
      <c r="L752" s="708">
        <v>1</v>
      </c>
      <c r="M752" s="684">
        <f t="shared" si="702"/>
        <v>1</v>
      </c>
      <c r="N752" s="362">
        <f t="shared" si="614"/>
        <v>1</v>
      </c>
      <c r="O752" s="1763" t="str">
        <f t="shared" si="615"/>
        <v>1SDA066801R1</v>
      </c>
      <c r="P752" s="1764" t="str">
        <f t="shared" si="616"/>
        <v>ITM Caja Moldeada 3x25A (reg.[0.7-1.0] In)  - XT1B160-25A-3P-TMD - 25kA@230Vac,18kA@415Vac, 18kA@250Vdc - marca ABB.</v>
      </c>
      <c r="Q752" s="120" t="str">
        <f t="shared" si="617"/>
        <v>XT1B160-25A-3P-TMD</v>
      </c>
      <c r="R752" s="185"/>
    </row>
    <row r="753" spans="1:18" s="185" customFormat="1" ht="18" customHeight="1">
      <c r="A753" s="1785"/>
      <c r="B753" s="714"/>
      <c r="C753" s="313" t="s">
        <v>729</v>
      </c>
      <c r="D753" s="173"/>
      <c r="E753" s="1786"/>
      <c r="F753" s="1787"/>
      <c r="G753" s="710"/>
      <c r="H753" s="710"/>
      <c r="I753" s="710"/>
      <c r="J753" s="711"/>
      <c r="K753" s="684">
        <f t="shared" si="701"/>
        <v>1</v>
      </c>
      <c r="L753" s="708">
        <v>1</v>
      </c>
      <c r="M753" s="684">
        <f t="shared" si="702"/>
        <v>1</v>
      </c>
      <c r="N753" s="362" t="str">
        <f t="shared" si="614"/>
        <v/>
      </c>
      <c r="O753" s="1763" t="str">
        <f t="shared" si="615"/>
        <v/>
      </c>
      <c r="P753" s="1764" t="str">
        <f t="shared" si="616"/>
        <v/>
      </c>
      <c r="Q753" s="120" t="str">
        <f t="shared" si="617"/>
        <v/>
      </c>
    </row>
    <row r="754" spans="1:18" s="690" customFormat="1" ht="18" customHeight="1">
      <c r="A754" s="1785"/>
      <c r="B754" s="1851"/>
      <c r="C754" s="1966" t="s">
        <v>9431</v>
      </c>
      <c r="D754" s="1582"/>
      <c r="E754" s="1780"/>
      <c r="F754" s="1782"/>
      <c r="G754" s="1761"/>
      <c r="H754" s="1761"/>
      <c r="I754" s="1761"/>
      <c r="J754" s="689"/>
      <c r="K754" s="684">
        <f t="shared" si="701"/>
        <v>1</v>
      </c>
      <c r="L754" s="708">
        <v>1</v>
      </c>
      <c r="M754" s="684">
        <f t="shared" si="702"/>
        <v>1</v>
      </c>
      <c r="N754" s="362" t="str">
        <f t="shared" ref="N754:N768" si="703">IF(O754&lt;&gt;"",K754*L754*M754,"")</f>
        <v/>
      </c>
      <c r="O754" s="1763" t="str">
        <f t="shared" ref="O754:O768" si="704">IF(D754&lt;&gt;"",IF(VLOOKUP(D754,base_datos,7,FALSE)&lt;&gt;"",VLOOKUP(D754,base_datos,7,FALSE),""),"")</f>
        <v/>
      </c>
      <c r="P754" s="1764" t="str">
        <f t="shared" ref="P754:P768" si="705">IF(O754&lt;&gt;"",VLOOKUP(D754,base_datos,6,FALSE),"")</f>
        <v/>
      </c>
      <c r="Q754" s="120" t="str">
        <f t="shared" ref="Q754:Q768" si="706">IF(O754&lt;&gt;"",D754,"")</f>
        <v/>
      </c>
      <c r="R754" s="185"/>
    </row>
    <row r="755" spans="1:18" s="690" customFormat="1" ht="18" customHeight="1">
      <c r="A755" s="1785"/>
      <c r="B755" s="1781">
        <v>2</v>
      </c>
      <c r="C755" s="1960" t="str">
        <f t="shared" ref="C755" si="707">VLOOKUP(D755,base_datos,6,FALSE)</f>
        <v>ITM Caja Moldeada 3x16A (reg.[0.7-1.0] In) - XT1B160-16A-3P-TMD - 25kA@230Vac, 18kA@415Vac, 18kA@250Vdc - marca ABB.</v>
      </c>
      <c r="D755" s="2006" t="s">
        <v>4358</v>
      </c>
      <c r="E755" s="1791">
        <f t="shared" ref="E755" si="708">VLOOKUP(D755,base_datos,5,FALSE)</f>
        <v>120.37</v>
      </c>
      <c r="F755" s="1782">
        <f t="shared" ref="F755:F756" si="709">+E755*B755</f>
        <v>240.74</v>
      </c>
      <c r="G755" s="1761"/>
      <c r="H755" s="1761"/>
      <c r="I755" s="1761"/>
      <c r="J755" s="1783"/>
      <c r="K755" s="684">
        <f t="shared" si="701"/>
        <v>1</v>
      </c>
      <c r="L755" s="708">
        <v>1</v>
      </c>
      <c r="M755" s="684">
        <f t="shared" si="702"/>
        <v>2</v>
      </c>
      <c r="N755" s="362">
        <f t="shared" si="703"/>
        <v>2</v>
      </c>
      <c r="O755" s="1763" t="str">
        <f t="shared" si="704"/>
        <v>1SDA066799R1</v>
      </c>
      <c r="P755" s="1764" t="str">
        <f t="shared" si="705"/>
        <v>ITM Caja Moldeada 3x16A (reg.[0.7-1.0] In) - XT1B160-16A-3P-TMD - 25kA@230Vac, 18kA@415Vac, 18kA@250Vdc - marca ABB.</v>
      </c>
      <c r="Q755" s="120" t="str">
        <f t="shared" si="706"/>
        <v>XT1B160-16A-3P-TMD</v>
      </c>
      <c r="R755" s="185"/>
    </row>
    <row r="756" spans="1:18" s="695" customFormat="1">
      <c r="A756" s="687"/>
      <c r="B756" s="1967">
        <v>1</v>
      </c>
      <c r="C756" s="1946">
        <v>6</v>
      </c>
      <c r="D756" s="1582"/>
      <c r="E756" s="2000">
        <v>24</v>
      </c>
      <c r="F756" s="1968">
        <f t="shared" si="709"/>
        <v>24</v>
      </c>
      <c r="G756" s="1969"/>
      <c r="H756" s="1969"/>
      <c r="I756" s="1969"/>
      <c r="J756" s="1970"/>
      <c r="K756" s="684">
        <f t="shared" si="701"/>
        <v>1</v>
      </c>
      <c r="L756" s="363">
        <v>1</v>
      </c>
      <c r="M756" s="684">
        <f t="shared" si="702"/>
        <v>1</v>
      </c>
      <c r="N756" s="362" t="str">
        <f t="shared" si="703"/>
        <v/>
      </c>
      <c r="O756" s="1763" t="str">
        <f t="shared" si="704"/>
        <v/>
      </c>
      <c r="P756" s="1764" t="str">
        <f t="shared" si="705"/>
        <v/>
      </c>
      <c r="Q756" s="120" t="str">
        <f t="shared" si="706"/>
        <v/>
      </c>
    </row>
    <row r="757" spans="1:18" s="185" customFormat="1" ht="18" customHeight="1">
      <c r="A757" s="1785"/>
      <c r="B757" s="714"/>
      <c r="C757" s="313" t="s">
        <v>729</v>
      </c>
      <c r="D757" s="173"/>
      <c r="E757" s="1786"/>
      <c r="F757" s="1787"/>
      <c r="G757" s="710"/>
      <c r="H757" s="710"/>
      <c r="I757" s="710"/>
      <c r="J757" s="711"/>
      <c r="K757" s="684">
        <f t="shared" si="701"/>
        <v>1</v>
      </c>
      <c r="L757" s="708">
        <v>1</v>
      </c>
      <c r="M757" s="684">
        <f t="shared" si="702"/>
        <v>1</v>
      </c>
      <c r="N757" s="362" t="str">
        <f t="shared" si="703"/>
        <v/>
      </c>
      <c r="O757" s="1763" t="str">
        <f t="shared" si="704"/>
        <v/>
      </c>
      <c r="P757" s="1764" t="str">
        <f t="shared" si="705"/>
        <v/>
      </c>
      <c r="Q757" s="120" t="str">
        <f t="shared" si="706"/>
        <v/>
      </c>
    </row>
    <row r="758" spans="1:18" s="690" customFormat="1" ht="18" customHeight="1">
      <c r="A758" s="1785"/>
      <c r="B758" s="1851"/>
      <c r="C758" s="1966" t="s">
        <v>12546</v>
      </c>
      <c r="D758" s="1582"/>
      <c r="E758" s="1780"/>
      <c r="F758" s="1782"/>
      <c r="G758" s="1761"/>
      <c r="H758" s="1761"/>
      <c r="I758" s="1761"/>
      <c r="J758" s="689"/>
      <c r="K758" s="684">
        <f t="shared" si="701"/>
        <v>1</v>
      </c>
      <c r="L758" s="708">
        <v>1</v>
      </c>
      <c r="M758" s="684">
        <f t="shared" si="702"/>
        <v>1</v>
      </c>
      <c r="N758" s="362" t="str">
        <f t="shared" si="703"/>
        <v/>
      </c>
      <c r="O758" s="1763" t="str">
        <f t="shared" si="704"/>
        <v/>
      </c>
      <c r="P758" s="1764" t="str">
        <f t="shared" si="705"/>
        <v/>
      </c>
      <c r="Q758" s="120" t="str">
        <f t="shared" si="706"/>
        <v/>
      </c>
      <c r="R758" s="185"/>
    </row>
    <row r="759" spans="1:18" s="690" customFormat="1" ht="18" customHeight="1">
      <c r="A759" s="1785"/>
      <c r="B759" s="1781">
        <v>7</v>
      </c>
      <c r="C759" s="1960" t="str">
        <f t="shared" ref="C759:C761" si="710">VLOOKUP(D759,base_datos,6,FALSE)</f>
        <v>ITM Riel-Din 2x16A - S202-C-16A - 10kA@400Vac-IEC60947-2 - marca ABB.</v>
      </c>
      <c r="D759" s="2007" t="s">
        <v>970</v>
      </c>
      <c r="E759" s="1791">
        <f t="shared" ref="E759:E761" si="711">VLOOKUP(D759,base_datos,5,FALSE)</f>
        <v>17.96</v>
      </c>
      <c r="F759" s="1782">
        <f t="shared" ref="F759:F762" si="712">+E759*B759</f>
        <v>125.72</v>
      </c>
      <c r="G759" s="1761"/>
      <c r="H759" s="1761"/>
      <c r="I759" s="1761"/>
      <c r="J759" s="1783"/>
      <c r="K759" s="684">
        <f t="shared" si="701"/>
        <v>1</v>
      </c>
      <c r="L759" s="708">
        <v>1</v>
      </c>
      <c r="M759" s="684">
        <f t="shared" si="702"/>
        <v>7</v>
      </c>
      <c r="N759" s="362">
        <f t="shared" si="703"/>
        <v>7</v>
      </c>
      <c r="O759" s="1763" t="str">
        <f t="shared" si="704"/>
        <v>2CDS252001R0164</v>
      </c>
      <c r="P759" s="1764" t="str">
        <f t="shared" si="705"/>
        <v>ITM Riel-Din 2x16A - S202-C-16A - 10kA@400Vac-IEC60947-2 - marca ABB.</v>
      </c>
      <c r="Q759" s="120" t="str">
        <f t="shared" si="706"/>
        <v>S202-C-16A</v>
      </c>
      <c r="R759" s="185"/>
    </row>
    <row r="760" spans="1:18" s="690" customFormat="1" ht="18" customHeight="1">
      <c r="A760" s="1785"/>
      <c r="B760" s="2023">
        <v>7</v>
      </c>
      <c r="C760" s="2041" t="str">
        <f t="shared" si="710"/>
        <v>Interruptor Diferencial 2x25A - 30mA - clase A (inmunizado) - FH202-A-25A-30mA - marca ABB.</v>
      </c>
      <c r="D760" s="2006" t="s">
        <v>5318</v>
      </c>
      <c r="E760" s="2025">
        <f t="shared" si="711"/>
        <v>50</v>
      </c>
      <c r="F760" s="2026">
        <f t="shared" si="712"/>
        <v>350</v>
      </c>
      <c r="G760" s="1761"/>
      <c r="H760" s="1761"/>
      <c r="I760" s="1761"/>
      <c r="J760" s="1783"/>
      <c r="K760" s="684">
        <f t="shared" si="701"/>
        <v>1</v>
      </c>
      <c r="L760" s="708">
        <v>1</v>
      </c>
      <c r="M760" s="684">
        <f t="shared" si="702"/>
        <v>7</v>
      </c>
      <c r="N760" s="362">
        <f t="shared" si="703"/>
        <v>7</v>
      </c>
      <c r="O760" s="1763" t="str">
        <f t="shared" si="704"/>
        <v>2CSF202102R1250</v>
      </c>
      <c r="P760" s="1764" t="str">
        <f t="shared" si="705"/>
        <v>Interruptor Diferencial 2x25A - 30mA - clase A (inmunizado) - FH202-A-25A-30mA - marca ABB.</v>
      </c>
      <c r="Q760" s="120" t="str">
        <f t="shared" si="706"/>
        <v>FH202-A-25A-30mA</v>
      </c>
      <c r="R760" s="185"/>
    </row>
    <row r="761" spans="1:18" s="690" customFormat="1" ht="18" customHeight="1">
      <c r="A761" s="1785"/>
      <c r="B761" s="1781">
        <v>1</v>
      </c>
      <c r="C761" s="1960" t="str">
        <f t="shared" si="710"/>
        <v>Espacio de reserva monofasica + interruptor diferencial - Riel-Din.</v>
      </c>
      <c r="D761" s="2006" t="s">
        <v>2926</v>
      </c>
      <c r="E761" s="1791">
        <f t="shared" si="711"/>
        <v>2.5</v>
      </c>
      <c r="F761" s="1782">
        <f t="shared" si="712"/>
        <v>2.5</v>
      </c>
      <c r="G761" s="1761"/>
      <c r="H761" s="1761"/>
      <c r="I761" s="1761"/>
      <c r="J761" s="1783"/>
      <c r="K761" s="684">
        <f t="shared" si="701"/>
        <v>1</v>
      </c>
      <c r="L761" s="708">
        <v>1</v>
      </c>
      <c r="M761" s="684">
        <f t="shared" si="702"/>
        <v>1</v>
      </c>
      <c r="N761" s="362" t="str">
        <f t="shared" si="703"/>
        <v/>
      </c>
      <c r="O761" s="1763" t="str">
        <f t="shared" si="704"/>
        <v/>
      </c>
      <c r="P761" s="1764" t="str">
        <f t="shared" si="705"/>
        <v/>
      </c>
      <c r="Q761" s="120" t="str">
        <f t="shared" si="706"/>
        <v/>
      </c>
      <c r="R761" s="185"/>
    </row>
    <row r="762" spans="1:18" s="695" customFormat="1">
      <c r="A762" s="687"/>
      <c r="B762" s="1967">
        <v>1</v>
      </c>
      <c r="C762" s="1946">
        <v>18</v>
      </c>
      <c r="D762" s="1582"/>
      <c r="E762" s="2000">
        <v>60</v>
      </c>
      <c r="F762" s="1968">
        <f t="shared" si="712"/>
        <v>60</v>
      </c>
      <c r="G762" s="1969"/>
      <c r="H762" s="1969"/>
      <c r="I762" s="1969"/>
      <c r="J762" s="1970"/>
      <c r="K762" s="684">
        <f t="shared" si="701"/>
        <v>1</v>
      </c>
      <c r="L762" s="363">
        <v>1</v>
      </c>
      <c r="M762" s="684">
        <f t="shared" si="702"/>
        <v>1</v>
      </c>
      <c r="N762" s="362" t="str">
        <f t="shared" si="703"/>
        <v/>
      </c>
      <c r="O762" s="1763" t="str">
        <f t="shared" si="704"/>
        <v/>
      </c>
      <c r="P762" s="1764" t="str">
        <f t="shared" si="705"/>
        <v/>
      </c>
      <c r="Q762" s="120" t="str">
        <f t="shared" si="706"/>
        <v/>
      </c>
    </row>
    <row r="763" spans="1:18" s="185" customFormat="1">
      <c r="A763" s="1785"/>
      <c r="B763" s="714"/>
      <c r="C763" s="1893" t="s">
        <v>729</v>
      </c>
      <c r="D763" s="1941"/>
      <c r="E763" s="1786"/>
      <c r="F763" s="1787"/>
      <c r="G763" s="710"/>
      <c r="H763" s="710"/>
      <c r="I763" s="710"/>
      <c r="J763" s="711"/>
      <c r="K763" s="684">
        <f t="shared" si="701"/>
        <v>1</v>
      </c>
      <c r="L763" s="363">
        <v>1</v>
      </c>
      <c r="M763" s="684">
        <f t="shared" si="702"/>
        <v>1</v>
      </c>
      <c r="N763" s="362" t="str">
        <f t="shared" si="703"/>
        <v/>
      </c>
      <c r="O763" s="1763" t="str">
        <f t="shared" si="704"/>
        <v/>
      </c>
      <c r="P763" s="1764" t="str">
        <f t="shared" si="705"/>
        <v/>
      </c>
      <c r="Q763" s="120" t="str">
        <f t="shared" si="706"/>
        <v/>
      </c>
    </row>
    <row r="764" spans="1:18" s="690" customFormat="1" ht="18" customHeight="1">
      <c r="A764" s="1785"/>
      <c r="B764" s="1851"/>
      <c r="C764" s="1966" t="s">
        <v>12547</v>
      </c>
      <c r="D764" s="1582"/>
      <c r="E764" s="1780"/>
      <c r="F764" s="1782"/>
      <c r="G764" s="1761"/>
      <c r="H764" s="1761"/>
      <c r="I764" s="1761"/>
      <c r="J764" s="689"/>
      <c r="K764" s="684">
        <f t="shared" si="701"/>
        <v>1</v>
      </c>
      <c r="L764" s="708">
        <v>1</v>
      </c>
      <c r="M764" s="684">
        <f t="shared" si="702"/>
        <v>1</v>
      </c>
      <c r="N764" s="362" t="str">
        <f t="shared" si="703"/>
        <v/>
      </c>
      <c r="O764" s="1763" t="str">
        <f t="shared" si="704"/>
        <v/>
      </c>
      <c r="P764" s="1764" t="str">
        <f t="shared" si="705"/>
        <v/>
      </c>
      <c r="Q764" s="120" t="str">
        <f t="shared" si="706"/>
        <v/>
      </c>
      <c r="R764" s="185"/>
    </row>
    <row r="765" spans="1:18" s="2434" customFormat="1" ht="18" customHeight="1">
      <c r="A765" s="2462"/>
      <c r="B765" s="2435">
        <v>4</v>
      </c>
      <c r="C765" s="2436" t="str">
        <f t="shared" ref="C765:C766" si="713">VLOOKUP(D765,base_datos,6,FALSE)</f>
        <v>ITM Caja Moldeada 3x16A (reg.[0.7-1.0] In) - XT1B160-16A-3P-TMD - 25kA@230Vac, 18kA@415Vac, 18kA@250Vdc - marca ABB.</v>
      </c>
      <c r="D765" s="2483" t="s">
        <v>4358</v>
      </c>
      <c r="E765" s="2482">
        <f t="shared" ref="E765:E766" si="714">VLOOKUP(D765,base_datos,5,FALSE)</f>
        <v>120.37</v>
      </c>
      <c r="F765" s="2422">
        <f t="shared" ref="F765:F767" si="715">+E765*B765</f>
        <v>481.48</v>
      </c>
      <c r="G765" s="2424"/>
      <c r="H765" s="2424"/>
      <c r="I765" s="2424"/>
      <c r="J765" s="2425"/>
      <c r="K765" s="2426">
        <f t="shared" si="701"/>
        <v>1</v>
      </c>
      <c r="L765" s="2463">
        <v>1</v>
      </c>
      <c r="M765" s="2426">
        <f t="shared" si="702"/>
        <v>4</v>
      </c>
      <c r="N765" s="2429">
        <f t="shared" si="703"/>
        <v>4</v>
      </c>
      <c r="O765" s="2430" t="str">
        <f t="shared" si="704"/>
        <v>1SDA066799R1</v>
      </c>
      <c r="P765" s="2431" t="str">
        <f t="shared" si="705"/>
        <v>ITM Caja Moldeada 3x16A (reg.[0.7-1.0] In) - XT1B160-16A-3P-TMD - 25kA@230Vac, 18kA@415Vac, 18kA@250Vdc - marca ABB.</v>
      </c>
      <c r="Q765" s="2432" t="str">
        <f t="shared" si="706"/>
        <v>XT1B160-16A-3P-TMD</v>
      </c>
      <c r="R765" s="2433"/>
    </row>
    <row r="766" spans="1:18" s="690" customFormat="1" ht="18" customHeight="1">
      <c r="A766" s="1785"/>
      <c r="B766" s="1781">
        <v>2</v>
      </c>
      <c r="C766" s="1960" t="str">
        <f t="shared" si="713"/>
        <v>Espacio de reserva trifásica - Caja moldeada.</v>
      </c>
      <c r="D766" s="2006" t="s">
        <v>2932</v>
      </c>
      <c r="E766" s="1791">
        <f t="shared" si="714"/>
        <v>15</v>
      </c>
      <c r="F766" s="1782">
        <f t="shared" si="715"/>
        <v>30</v>
      </c>
      <c r="G766" s="1761"/>
      <c r="H766" s="1761"/>
      <c r="I766" s="1761"/>
      <c r="J766" s="1783"/>
      <c r="K766" s="684">
        <f t="shared" si="701"/>
        <v>1</v>
      </c>
      <c r="L766" s="708">
        <v>1</v>
      </c>
      <c r="M766" s="684">
        <f t="shared" si="702"/>
        <v>2</v>
      </c>
      <c r="N766" s="362" t="str">
        <f t="shared" si="703"/>
        <v/>
      </c>
      <c r="O766" s="1763" t="str">
        <f t="shared" si="704"/>
        <v/>
      </c>
      <c r="P766" s="1764" t="str">
        <f t="shared" si="705"/>
        <v/>
      </c>
      <c r="Q766" s="120" t="str">
        <f t="shared" si="706"/>
        <v/>
      </c>
      <c r="R766" s="185"/>
    </row>
    <row r="767" spans="1:18" s="695" customFormat="1">
      <c r="A767" s="687"/>
      <c r="B767" s="1967">
        <v>1</v>
      </c>
      <c r="C767" s="1946">
        <v>18</v>
      </c>
      <c r="D767" s="1582"/>
      <c r="E767" s="2000">
        <v>60</v>
      </c>
      <c r="F767" s="1968">
        <f t="shared" si="715"/>
        <v>60</v>
      </c>
      <c r="G767" s="1969"/>
      <c r="H767" s="1969"/>
      <c r="I767" s="1969"/>
      <c r="J767" s="1970"/>
      <c r="K767" s="684">
        <f t="shared" si="701"/>
        <v>1</v>
      </c>
      <c r="L767" s="363">
        <v>1</v>
      </c>
      <c r="M767" s="684">
        <f t="shared" si="702"/>
        <v>1</v>
      </c>
      <c r="N767" s="362" t="str">
        <f t="shared" si="703"/>
        <v/>
      </c>
      <c r="O767" s="1763" t="str">
        <f t="shared" si="704"/>
        <v/>
      </c>
      <c r="P767" s="1764" t="str">
        <f t="shared" si="705"/>
        <v/>
      </c>
      <c r="Q767" s="120" t="str">
        <f t="shared" si="706"/>
        <v/>
      </c>
    </row>
    <row r="768" spans="1:18" s="185" customFormat="1">
      <c r="A768" s="1785"/>
      <c r="B768" s="714"/>
      <c r="C768" s="1893" t="s">
        <v>729</v>
      </c>
      <c r="D768" s="1941"/>
      <c r="E768" s="1786"/>
      <c r="F768" s="1787"/>
      <c r="G768" s="710"/>
      <c r="H768" s="710"/>
      <c r="I768" s="710"/>
      <c r="J768" s="711"/>
      <c r="K768" s="684">
        <f t="shared" si="701"/>
        <v>1</v>
      </c>
      <c r="L768" s="363">
        <v>1</v>
      </c>
      <c r="M768" s="684">
        <f t="shared" si="702"/>
        <v>1</v>
      </c>
      <c r="N768" s="362" t="str">
        <f t="shared" si="703"/>
        <v/>
      </c>
      <c r="O768" s="1763" t="str">
        <f t="shared" si="704"/>
        <v/>
      </c>
      <c r="P768" s="1764" t="str">
        <f t="shared" si="705"/>
        <v/>
      </c>
      <c r="Q768" s="120" t="str">
        <f t="shared" si="706"/>
        <v/>
      </c>
    </row>
    <row r="769" spans="1:20" s="315" customFormat="1" ht="12.75" customHeight="1">
      <c r="A769" s="2271"/>
      <c r="B769" s="2272">
        <v>1</v>
      </c>
      <c r="C769" s="2281" t="s">
        <v>13366</v>
      </c>
      <c r="D769" s="1935"/>
      <c r="E769" s="2287"/>
      <c r="F769" s="2257">
        <f>+SUM(F770:F773)*(B769-1)</f>
        <v>0</v>
      </c>
      <c r="G769" s="712"/>
      <c r="H769" s="712"/>
      <c r="I769" s="712"/>
      <c r="J769" s="713"/>
      <c r="K769" s="684">
        <f t="shared" si="701"/>
        <v>1</v>
      </c>
      <c r="L769" s="2258">
        <v>1</v>
      </c>
      <c r="M769" s="684">
        <f t="shared" si="702"/>
        <v>1</v>
      </c>
      <c r="N769" s="112" t="str">
        <f t="shared" ref="N769:N774" si="716">IF(O769&lt;&gt;"",K769*L769*M769,"")</f>
        <v/>
      </c>
      <c r="O769" s="112" t="str">
        <f t="shared" ref="O769:O774" si="717">IF(D769&lt;&gt;"",IF(VLOOKUP(D769,base_datos,7,FALSE)&lt;&gt;"",VLOOKUP(D769,base_datos,7,FALSE),""),"")</f>
        <v/>
      </c>
      <c r="P769" s="120" t="str">
        <f t="shared" ref="P769:P774" si="718">IF(O769&lt;&gt;"",VLOOKUP(D769,base_datos,6,FALSE),"")</f>
        <v/>
      </c>
      <c r="Q769" s="120" t="str">
        <f t="shared" ref="Q769:Q774" si="719">IF(O769&lt;&gt;"",D769,"")</f>
        <v/>
      </c>
      <c r="S769" s="112" t="str">
        <f t="shared" ref="S769:S774" si="720">IF(O769&lt;&gt;"",VLOOKUP(D769,base_datos,9,FALSE),"")</f>
        <v/>
      </c>
      <c r="T769" s="2128"/>
    </row>
    <row r="770" spans="1:20" s="690" customFormat="1" ht="18" customHeight="1">
      <c r="A770" s="2273"/>
      <c r="B770" s="1781">
        <v>1</v>
      </c>
      <c r="C770" s="1420" t="str">
        <f t="shared" ref="C770:C773" si="721">VLOOKUP(D770,base_datos,6,FALSE)</f>
        <v>Calefactor resistivo 60W, modelo RACM - marca FANDIS.</v>
      </c>
      <c r="D770" s="1899" t="s">
        <v>3298</v>
      </c>
      <c r="E770" s="2288">
        <f t="shared" ref="E770" si="722">VLOOKUP(D770,base_datos,5,FALSE)</f>
        <v>127.1</v>
      </c>
      <c r="F770" s="1782">
        <f>+E770*B770</f>
        <v>127.1</v>
      </c>
      <c r="G770" s="1761"/>
      <c r="H770" s="1761"/>
      <c r="I770" s="1761"/>
      <c r="J770" s="689"/>
      <c r="K770" s="684">
        <f t="shared" si="701"/>
        <v>1</v>
      </c>
      <c r="L770" s="2258">
        <v>1</v>
      </c>
      <c r="M770" s="684">
        <f t="shared" si="702"/>
        <v>1</v>
      </c>
      <c r="N770" s="112">
        <f t="shared" si="716"/>
        <v>1</v>
      </c>
      <c r="O770" s="112" t="str">
        <f t="shared" si="717"/>
        <v>RACM-60</v>
      </c>
      <c r="P770" s="120" t="str">
        <f t="shared" si="718"/>
        <v>Calefactor resistivo 60W, modelo RACM - marca FANDIS.</v>
      </c>
      <c r="Q770" s="120" t="str">
        <f t="shared" si="719"/>
        <v>CALEFACT-60W_FAND</v>
      </c>
      <c r="S770" s="112" t="str">
        <f t="shared" si="720"/>
        <v>FANDIS</v>
      </c>
      <c r="T770" s="1765"/>
    </row>
    <row r="771" spans="1:20" s="690" customFormat="1" ht="18" customHeight="1">
      <c r="A771" s="2273"/>
      <c r="B771" s="1781">
        <v>1</v>
      </c>
      <c r="C771" s="1420" t="str">
        <f t="shared" si="721"/>
        <v>Termostato para ventilación - 1NA - 230V - marca FANDIS.</v>
      </c>
      <c r="D771" s="1899" t="s">
        <v>3294</v>
      </c>
      <c r="E771" s="2288">
        <f t="shared" ref="E771:E773" si="723">VLOOKUP(D771,base_datos,5,FALSE)</f>
        <v>41.58</v>
      </c>
      <c r="F771" s="1782">
        <f>+E771*B771</f>
        <v>41.58</v>
      </c>
      <c r="G771" s="1761"/>
      <c r="H771" s="1761"/>
      <c r="I771" s="1761"/>
      <c r="J771" s="689"/>
      <c r="K771" s="684">
        <f t="shared" si="701"/>
        <v>1</v>
      </c>
      <c r="L771" s="2258">
        <v>1</v>
      </c>
      <c r="M771" s="684">
        <f t="shared" si="702"/>
        <v>1</v>
      </c>
      <c r="N771" s="112">
        <f t="shared" si="716"/>
        <v>1</v>
      </c>
      <c r="O771" s="112" t="str">
        <f t="shared" si="717"/>
        <v>TRT-10A230V-NO</v>
      </c>
      <c r="P771" s="120" t="str">
        <f t="shared" si="718"/>
        <v>Termostato para ventilación - 1NA - 230V - marca FANDIS.</v>
      </c>
      <c r="Q771" s="120" t="str">
        <f t="shared" si="719"/>
        <v>TRT-1NA</v>
      </c>
      <c r="S771" s="112" t="str">
        <f t="shared" si="720"/>
        <v>FANDIS</v>
      </c>
      <c r="T771" s="1765"/>
    </row>
    <row r="772" spans="1:20" s="320" customFormat="1" ht="12.75" customHeight="1">
      <c r="A772" s="2274"/>
      <c r="B772" s="2275">
        <v>1</v>
      </c>
      <c r="C772" s="2282" t="str">
        <f t="shared" si="721"/>
        <v>Base portafusibles + Fusibles de protección para control.</v>
      </c>
      <c r="D772" s="1579" t="s">
        <v>453</v>
      </c>
      <c r="E772" s="2289">
        <f t="shared" si="723"/>
        <v>8.1750000000000007</v>
      </c>
      <c r="F772" s="2264">
        <f>+E772*B772</f>
        <v>8.1750000000000007</v>
      </c>
      <c r="G772" s="2276"/>
      <c r="H772" s="2276"/>
      <c r="I772" s="2276"/>
      <c r="J772" s="722"/>
      <c r="K772" s="684">
        <f t="shared" si="701"/>
        <v>1</v>
      </c>
      <c r="L772" s="2258">
        <v>1</v>
      </c>
      <c r="M772" s="684">
        <f t="shared" si="702"/>
        <v>1</v>
      </c>
      <c r="N772" s="112" t="str">
        <f t="shared" si="716"/>
        <v/>
      </c>
      <c r="O772" s="112" t="str">
        <f t="shared" si="717"/>
        <v/>
      </c>
      <c r="P772" s="120" t="str">
        <f t="shared" si="718"/>
        <v/>
      </c>
      <c r="Q772" s="120" t="str">
        <f t="shared" si="719"/>
        <v/>
      </c>
      <c r="R772" s="185"/>
      <c r="S772" s="112" t="str">
        <f t="shared" si="720"/>
        <v/>
      </c>
      <c r="T772" s="709"/>
    </row>
    <row r="773" spans="1:20" s="320" customFormat="1" ht="12.75" customHeight="1">
      <c r="A773" s="2274"/>
      <c r="B773" s="2277">
        <v>1</v>
      </c>
      <c r="C773" s="2282" t="str">
        <f t="shared" si="721"/>
        <v>Borne 4mm2.</v>
      </c>
      <c r="D773" s="1579" t="s">
        <v>437</v>
      </c>
      <c r="E773" s="2260">
        <f t="shared" si="723"/>
        <v>2.5</v>
      </c>
      <c r="F773" s="2260">
        <f>+E773*B773</f>
        <v>2.5</v>
      </c>
      <c r="G773" s="2276"/>
      <c r="H773" s="2276"/>
      <c r="I773" s="2276"/>
      <c r="J773" s="722"/>
      <c r="K773" s="684">
        <f t="shared" si="701"/>
        <v>1</v>
      </c>
      <c r="L773" s="2258">
        <v>1</v>
      </c>
      <c r="M773" s="684">
        <f t="shared" si="702"/>
        <v>1</v>
      </c>
      <c r="N773" s="112" t="str">
        <f t="shared" si="716"/>
        <v/>
      </c>
      <c r="O773" s="112" t="str">
        <f t="shared" si="717"/>
        <v/>
      </c>
      <c r="P773" s="120" t="str">
        <f t="shared" si="718"/>
        <v/>
      </c>
      <c r="Q773" s="120" t="str">
        <f t="shared" si="719"/>
        <v/>
      </c>
      <c r="R773" s="185"/>
      <c r="S773" s="112" t="str">
        <f t="shared" si="720"/>
        <v/>
      </c>
      <c r="T773" s="709"/>
    </row>
    <row r="774" spans="1:20" s="185" customFormat="1" ht="12.75" customHeight="1">
      <c r="A774" s="2262"/>
      <c r="B774" s="1760"/>
      <c r="C774" s="1893" t="s">
        <v>729</v>
      </c>
      <c r="D774" s="169"/>
      <c r="E774" s="2256"/>
      <c r="F774" s="2278"/>
      <c r="G774" s="710"/>
      <c r="H774" s="710"/>
      <c r="I774" s="710"/>
      <c r="J774" s="711"/>
      <c r="K774" s="684">
        <f t="shared" si="701"/>
        <v>1</v>
      </c>
      <c r="L774" s="2258">
        <v>1</v>
      </c>
      <c r="M774" s="684">
        <f t="shared" si="702"/>
        <v>1</v>
      </c>
      <c r="N774" s="112" t="str">
        <f t="shared" si="716"/>
        <v/>
      </c>
      <c r="O774" s="112" t="str">
        <f t="shared" si="717"/>
        <v/>
      </c>
      <c r="P774" s="120" t="str">
        <f t="shared" si="718"/>
        <v/>
      </c>
      <c r="Q774" s="120" t="str">
        <f t="shared" si="719"/>
        <v/>
      </c>
      <c r="S774" s="112" t="str">
        <f t="shared" si="720"/>
        <v/>
      </c>
      <c r="T774" s="118"/>
    </row>
    <row r="775" spans="1:20" s="1236" customFormat="1" ht="18" customHeight="1">
      <c r="A775" s="1767"/>
      <c r="B775" s="1853">
        <v>1</v>
      </c>
      <c r="C775" s="1895" t="s">
        <v>12364</v>
      </c>
      <c r="D775" s="1902"/>
      <c r="E775" s="1792"/>
      <c r="F775" s="1793"/>
      <c r="G775" s="1784"/>
      <c r="H775" s="1784"/>
      <c r="I775" s="1784"/>
      <c r="J775" s="1182"/>
      <c r="K775" s="684">
        <f t="shared" si="701"/>
        <v>1</v>
      </c>
      <c r="L775" s="708">
        <v>1</v>
      </c>
      <c r="M775" s="684">
        <f t="shared" si="702"/>
        <v>1</v>
      </c>
      <c r="N775" s="362" t="str">
        <f t="shared" ref="N775:N847" si="724">IF(O775&lt;&gt;"",K775*L775*M775,"")</f>
        <v/>
      </c>
      <c r="O775" s="1763" t="str">
        <f t="shared" ref="O775:O847" si="725">IF(D775&lt;&gt;"",IF(VLOOKUP(D775,base_datos,7,FALSE)&lt;&gt;"",VLOOKUP(D775,base_datos,7,FALSE),""),"")</f>
        <v/>
      </c>
      <c r="P775" s="1764" t="str">
        <f t="shared" ref="P775:P847" si="726">IF(O775&lt;&gt;"",VLOOKUP(D775,base_datos,6,FALSE),"")</f>
        <v/>
      </c>
      <c r="Q775" s="120" t="str">
        <f t="shared" ref="Q775:Q847" si="727">IF(O775&lt;&gt;"",D775,"")</f>
        <v/>
      </c>
      <c r="R775" s="185"/>
    </row>
    <row r="776" spans="1:20" s="695" customFormat="1" ht="18" customHeight="1">
      <c r="A776" s="693"/>
      <c r="B776" s="1922">
        <v>1</v>
      </c>
      <c r="C776" s="1848" t="str">
        <f t="shared" ref="C776" si="728">VLOOKUP(D776,base_datos,6,FALSE)</f>
        <v>Placa lamicoid rotulación de 3mm de espesor, fondo negro y letras blancas.</v>
      </c>
      <c r="D776" s="1886" t="s">
        <v>8570</v>
      </c>
      <c r="E776" s="1795">
        <f t="shared" ref="E776" si="729">VLOOKUP(D776,base_datos,5,FALSE)</f>
        <v>2.2000000000000002</v>
      </c>
      <c r="F776" s="1796">
        <f t="shared" ref="F776" si="730">+E776*B776</f>
        <v>2.2000000000000002</v>
      </c>
      <c r="G776" s="696"/>
      <c r="H776" s="696"/>
      <c r="I776" s="696"/>
      <c r="J776" s="697"/>
      <c r="K776" s="684">
        <f t="shared" si="701"/>
        <v>1</v>
      </c>
      <c r="L776" s="708">
        <v>1</v>
      </c>
      <c r="M776" s="684">
        <f t="shared" si="702"/>
        <v>1</v>
      </c>
      <c r="N776" s="362">
        <f t="shared" si="724"/>
        <v>1</v>
      </c>
      <c r="O776" s="1763" t="str">
        <f t="shared" si="725"/>
        <v>Placa lamicoid p/distr.</v>
      </c>
      <c r="P776" s="1764" t="str">
        <f t="shared" si="726"/>
        <v>Placa lamicoid rotulación de 3mm de espesor, fondo negro y letras blancas.</v>
      </c>
      <c r="Q776" s="120" t="str">
        <f t="shared" si="727"/>
        <v>Placa lamicoid p/distr.</v>
      </c>
      <c r="R776" s="185"/>
    </row>
    <row r="777" spans="1:20" s="1236" customFormat="1" ht="18" customHeight="1">
      <c r="A777" s="1767"/>
      <c r="B777" s="1853">
        <v>1</v>
      </c>
      <c r="C777" s="1895" t="s">
        <v>12474</v>
      </c>
      <c r="D777" s="1902"/>
      <c r="E777" s="1792"/>
      <c r="F777" s="1793"/>
      <c r="G777" s="1784"/>
      <c r="H777" s="1784"/>
      <c r="I777" s="1784"/>
      <c r="J777" s="1182"/>
      <c r="K777" s="684">
        <f t="shared" si="701"/>
        <v>1</v>
      </c>
      <c r="L777" s="708">
        <v>1</v>
      </c>
      <c r="M777" s="684">
        <f t="shared" si="702"/>
        <v>1</v>
      </c>
      <c r="N777" s="362" t="str">
        <f t="shared" si="724"/>
        <v/>
      </c>
      <c r="O777" s="1763" t="str">
        <f t="shared" si="725"/>
        <v/>
      </c>
      <c r="P777" s="1764" t="str">
        <f t="shared" si="726"/>
        <v/>
      </c>
      <c r="Q777" s="120" t="str">
        <f t="shared" si="727"/>
        <v/>
      </c>
      <c r="R777" s="185"/>
    </row>
    <row r="778" spans="1:20" s="1236" customFormat="1" ht="18" customHeight="1">
      <c r="A778" s="1767"/>
      <c r="B778" s="1853">
        <v>1</v>
      </c>
      <c r="C778" s="1848" t="str">
        <f>VLOOKUP(D778,base_datos,6,FALSE)</f>
        <v>Embalaje especial completamente cerrado para tablero adosado de 1600x600x220mm</v>
      </c>
      <c r="D778" s="1902" t="s">
        <v>12453</v>
      </c>
      <c r="E778" s="1795">
        <f t="shared" ref="E778" si="731">VLOOKUP(D778,base_datos,5,FALSE)</f>
        <v>271.40000000000003</v>
      </c>
      <c r="F778" s="1796">
        <f t="shared" ref="F778" si="732">+E778*B778</f>
        <v>271.40000000000003</v>
      </c>
      <c r="G778" s="1784"/>
      <c r="H778" s="1784"/>
      <c r="I778" s="1784"/>
      <c r="J778" s="1182"/>
      <c r="K778" s="684">
        <f t="shared" si="701"/>
        <v>1</v>
      </c>
      <c r="L778" s="708">
        <v>1</v>
      </c>
      <c r="M778" s="684">
        <f t="shared" si="702"/>
        <v>1</v>
      </c>
      <c r="N778" s="362">
        <f t="shared" si="724"/>
        <v>1</v>
      </c>
      <c r="O778" s="1763" t="str">
        <f t="shared" si="725"/>
        <v>EMBAL_ADOS_1600x600x220mm</v>
      </c>
      <c r="P778" s="1764" t="str">
        <f t="shared" si="726"/>
        <v>Embalaje especial completamente cerrado para tablero adosado de 1600x600x220mm</v>
      </c>
      <c r="Q778" s="120" t="str">
        <f t="shared" si="727"/>
        <v>EMBAL_ADOS_1600x600x220mm</v>
      </c>
      <c r="R778" s="185"/>
    </row>
    <row r="779" spans="1:20" s="185" customFormat="1" ht="18" customHeight="1">
      <c r="A779" s="1785"/>
      <c r="B779" s="714"/>
      <c r="C779" s="313" t="s">
        <v>729</v>
      </c>
      <c r="D779" s="173"/>
      <c r="E779" s="1786"/>
      <c r="F779" s="1787"/>
      <c r="G779" s="710"/>
      <c r="H779" s="710"/>
      <c r="I779" s="710"/>
      <c r="J779" s="711"/>
      <c r="K779" s="684">
        <f t="shared" si="701"/>
        <v>1</v>
      </c>
      <c r="L779" s="708">
        <v>1</v>
      </c>
      <c r="M779" s="684">
        <f t="shared" si="702"/>
        <v>1</v>
      </c>
      <c r="N779" s="362" t="str">
        <f t="shared" si="724"/>
        <v/>
      </c>
      <c r="O779" s="1763" t="str">
        <f t="shared" si="725"/>
        <v/>
      </c>
      <c r="P779" s="1764" t="str">
        <f t="shared" si="726"/>
        <v/>
      </c>
      <c r="Q779" s="120" t="str">
        <f t="shared" si="727"/>
        <v/>
      </c>
    </row>
    <row r="780" spans="1:20" s="695" customFormat="1" ht="18" customHeight="1">
      <c r="A780" s="693"/>
      <c r="B780" s="1794">
        <v>1</v>
      </c>
      <c r="C780" s="1420" t="str">
        <f>VLOOKUP(D780,base_datos,6,FALSE)</f>
        <v>Barra a tierra.</v>
      </c>
      <c r="D780" s="1790" t="s">
        <v>8299</v>
      </c>
      <c r="E780" s="1795">
        <f t="shared" ref="E780" si="733">VLOOKUP(D780,base_datos,5,FALSE)</f>
        <v>10</v>
      </c>
      <c r="F780" s="1796">
        <f t="shared" ref="F780" si="734">+E780*B780</f>
        <v>10</v>
      </c>
      <c r="G780" s="696"/>
      <c r="H780" s="696"/>
      <c r="I780" s="696"/>
      <c r="J780" s="697"/>
      <c r="K780" s="684">
        <f t="shared" si="701"/>
        <v>1</v>
      </c>
      <c r="L780" s="708">
        <v>1</v>
      </c>
      <c r="M780" s="684">
        <f t="shared" si="702"/>
        <v>1</v>
      </c>
      <c r="N780" s="362" t="str">
        <f t="shared" si="724"/>
        <v/>
      </c>
      <c r="O780" s="1763" t="str">
        <f t="shared" si="725"/>
        <v/>
      </c>
      <c r="P780" s="1764" t="str">
        <f t="shared" si="726"/>
        <v/>
      </c>
      <c r="Q780" s="120" t="str">
        <f t="shared" si="727"/>
        <v/>
      </c>
      <c r="R780" s="185"/>
    </row>
    <row r="781" spans="1:20" s="185" customFormat="1" ht="18" customHeight="1">
      <c r="A781" s="1785"/>
      <c r="B781" s="714"/>
      <c r="C781" s="313" t="s">
        <v>729</v>
      </c>
      <c r="D781" s="173"/>
      <c r="E781" s="1786"/>
      <c r="F781" s="1787"/>
      <c r="G781" s="710"/>
      <c r="H781" s="710"/>
      <c r="I781" s="710"/>
      <c r="J781" s="711"/>
      <c r="K781" s="684">
        <f t="shared" si="701"/>
        <v>1</v>
      </c>
      <c r="L781" s="708">
        <v>1</v>
      </c>
      <c r="M781" s="684">
        <f t="shared" si="702"/>
        <v>1</v>
      </c>
      <c r="N781" s="362" t="str">
        <f t="shared" ref="N781" si="735">IF(O781&lt;&gt;"",K781*L781*M781,"")</f>
        <v/>
      </c>
      <c r="O781" s="1763" t="str">
        <f t="shared" ref="O781" si="736">IF(D781&lt;&gt;"",IF(VLOOKUP(D781,base_datos,7,FALSE)&lt;&gt;"",VLOOKUP(D781,base_datos,7,FALSE),""),"")</f>
        <v/>
      </c>
      <c r="P781" s="1764" t="str">
        <f t="shared" ref="P781" si="737">IF(O781&lt;&gt;"",VLOOKUP(D781,base_datos,6,FALSE),"")</f>
        <v/>
      </c>
      <c r="Q781" s="120" t="str">
        <f t="shared" ref="Q781" si="738">IF(O781&lt;&gt;"",D781,"")</f>
        <v/>
      </c>
    </row>
    <row r="782" spans="1:20" s="897" customFormat="1" ht="18" customHeight="1">
      <c r="A782" s="693"/>
      <c r="B782" s="895">
        <v>24</v>
      </c>
      <c r="C782" s="721" t="str">
        <f>VLOOKUP(D782,base_datos,6,FALSE)</f>
        <v>Rotulado por circuito.</v>
      </c>
      <c r="D782" s="1579" t="s">
        <v>3067</v>
      </c>
      <c r="E782" s="1581">
        <f>VLOOKUP(D782,base_datos,5,FALSE)</f>
        <v>0.7</v>
      </c>
      <c r="F782" s="1581">
        <f t="shared" ref="F782:F786" si="739">+E782*B782</f>
        <v>16.799999999999997</v>
      </c>
      <c r="G782" s="1772"/>
      <c r="H782" s="1772"/>
      <c r="I782" s="1772"/>
      <c r="J782" s="896"/>
      <c r="K782" s="684">
        <f t="shared" si="701"/>
        <v>1</v>
      </c>
      <c r="L782" s="708">
        <v>1</v>
      </c>
      <c r="M782" s="684">
        <f t="shared" si="702"/>
        <v>24</v>
      </c>
      <c r="N782" s="362" t="str">
        <f t="shared" si="724"/>
        <v/>
      </c>
      <c r="O782" s="1763" t="str">
        <f t="shared" si="725"/>
        <v/>
      </c>
      <c r="P782" s="1764" t="str">
        <f t="shared" si="726"/>
        <v/>
      </c>
      <c r="Q782" s="120" t="str">
        <f t="shared" si="727"/>
        <v/>
      </c>
    </row>
    <row r="783" spans="1:20" s="897" customFormat="1" ht="18" customHeight="1">
      <c r="A783" s="693"/>
      <c r="B783" s="895">
        <v>1</v>
      </c>
      <c r="C783" s="721" t="str">
        <f>VLOOKUP(D783,base_datos,6,FALSE)</f>
        <v>Rotulado para TAG - tablero de distribución.</v>
      </c>
      <c r="D783" s="1579" t="s">
        <v>3066</v>
      </c>
      <c r="E783" s="1581">
        <f>VLOOKUP(D783,base_datos,5,FALSE)</f>
        <v>1.5</v>
      </c>
      <c r="F783" s="1581">
        <f t="shared" si="739"/>
        <v>1.5</v>
      </c>
      <c r="G783" s="1772"/>
      <c r="H783" s="1772"/>
      <c r="I783" s="1772"/>
      <c r="J783" s="896"/>
      <c r="K783" s="684">
        <f t="shared" si="701"/>
        <v>1</v>
      </c>
      <c r="L783" s="708">
        <v>1</v>
      </c>
      <c r="M783" s="684">
        <f t="shared" si="702"/>
        <v>1</v>
      </c>
      <c r="N783" s="362" t="str">
        <f t="shared" si="724"/>
        <v/>
      </c>
      <c r="O783" s="1763" t="str">
        <f t="shared" si="725"/>
        <v/>
      </c>
      <c r="P783" s="1764" t="str">
        <f t="shared" si="726"/>
        <v/>
      </c>
      <c r="Q783" s="120" t="str">
        <f t="shared" si="727"/>
        <v/>
      </c>
    </row>
    <row r="784" spans="1:20" s="1237" customFormat="1" ht="18" customHeight="1">
      <c r="A784" s="1767"/>
      <c r="B784" s="2093">
        <v>1</v>
      </c>
      <c r="C784" s="694" t="s">
        <v>12552</v>
      </c>
      <c r="D784" s="1888"/>
      <c r="E784" s="1580">
        <f>E786*15%</f>
        <v>30</v>
      </c>
      <c r="F784" s="1581">
        <f t="shared" si="739"/>
        <v>30</v>
      </c>
      <c r="G784" s="1774"/>
      <c r="H784" s="1774"/>
      <c r="I784" s="1774"/>
      <c r="J784" s="1181"/>
      <c r="K784" s="684">
        <f t="shared" si="701"/>
        <v>1</v>
      </c>
      <c r="L784" s="708">
        <v>1</v>
      </c>
      <c r="M784" s="684">
        <f t="shared" si="702"/>
        <v>1</v>
      </c>
      <c r="N784" s="362" t="str">
        <f t="shared" si="724"/>
        <v/>
      </c>
      <c r="O784" s="1763" t="str">
        <f t="shared" si="725"/>
        <v/>
      </c>
      <c r="P784" s="1764" t="str">
        <f t="shared" si="726"/>
        <v/>
      </c>
      <c r="Q784" s="120" t="str">
        <f t="shared" si="727"/>
        <v/>
      </c>
      <c r="R784" s="1765"/>
    </row>
    <row r="785" spans="1:18" s="1237" customFormat="1" ht="18" customHeight="1">
      <c r="A785" s="1767"/>
      <c r="B785" s="1773">
        <v>1</v>
      </c>
      <c r="C785" s="694" t="s">
        <v>12559</v>
      </c>
      <c r="D785" s="1888"/>
      <c r="E785" s="1999">
        <f>E786*20%</f>
        <v>40</v>
      </c>
      <c r="F785" s="1581">
        <f t="shared" si="739"/>
        <v>40</v>
      </c>
      <c r="G785" s="1774"/>
      <c r="H785" s="1774"/>
      <c r="I785" s="1774"/>
      <c r="J785" s="1181"/>
      <c r="K785" s="684">
        <f t="shared" si="701"/>
        <v>1</v>
      </c>
      <c r="L785" s="708">
        <v>1</v>
      </c>
      <c r="M785" s="684">
        <f t="shared" si="702"/>
        <v>1</v>
      </c>
      <c r="N785" s="362" t="str">
        <f t="shared" si="724"/>
        <v/>
      </c>
      <c r="O785" s="1763" t="str">
        <f t="shared" si="725"/>
        <v/>
      </c>
      <c r="P785" s="1764" t="str">
        <f t="shared" si="726"/>
        <v/>
      </c>
      <c r="Q785" s="120" t="str">
        <f t="shared" si="727"/>
        <v/>
      </c>
      <c r="R785" s="1765"/>
    </row>
    <row r="786" spans="1:18" s="1237" customFormat="1" ht="18" customHeight="1">
      <c r="A786" s="1767"/>
      <c r="B786" s="1773">
        <v>1</v>
      </c>
      <c r="C786" s="694" t="s">
        <v>12443</v>
      </c>
      <c r="D786" s="1888"/>
      <c r="E786" s="1581">
        <v>200</v>
      </c>
      <c r="F786" s="1581">
        <f t="shared" si="739"/>
        <v>200</v>
      </c>
      <c r="G786" s="1774"/>
      <c r="H786" s="1774"/>
      <c r="I786" s="1774"/>
      <c r="J786" s="1181"/>
      <c r="K786" s="684">
        <f t="shared" si="701"/>
        <v>1</v>
      </c>
      <c r="L786" s="708">
        <v>1</v>
      </c>
      <c r="M786" s="684">
        <f t="shared" si="702"/>
        <v>1</v>
      </c>
      <c r="N786" s="362" t="str">
        <f t="shared" si="724"/>
        <v/>
      </c>
      <c r="O786" s="1763" t="str">
        <f t="shared" si="725"/>
        <v/>
      </c>
      <c r="P786" s="1764" t="str">
        <f t="shared" si="726"/>
        <v/>
      </c>
      <c r="Q786" s="120" t="str">
        <f t="shared" si="727"/>
        <v/>
      </c>
      <c r="R786" s="1765"/>
    </row>
    <row r="787" spans="1:18" s="120" customFormat="1" ht="13.8" thickBot="1">
      <c r="A787" s="910"/>
      <c r="B787" s="1953"/>
      <c r="C787" s="1797"/>
      <c r="D787" s="1889"/>
      <c r="E787" s="1981"/>
      <c r="F787" s="1981"/>
      <c r="G787" s="710"/>
      <c r="H787" s="1798"/>
      <c r="I787" s="1798"/>
      <c r="J787" s="1799"/>
      <c r="K787" s="1788"/>
      <c r="L787" s="363"/>
      <c r="M787" s="684"/>
      <c r="N787" s="362" t="str">
        <f t="shared" si="724"/>
        <v/>
      </c>
      <c r="O787" s="1763" t="str">
        <f t="shared" si="725"/>
        <v/>
      </c>
      <c r="P787" s="1764" t="str">
        <f t="shared" si="726"/>
        <v/>
      </c>
      <c r="Q787" s="120" t="str">
        <f t="shared" si="727"/>
        <v/>
      </c>
      <c r="R787" s="185"/>
    </row>
    <row r="788" spans="1:18" s="120" customFormat="1" ht="18" customHeight="1" thickBot="1">
      <c r="A788" s="1989">
        <v>13</v>
      </c>
      <c r="B788" s="1852">
        <v>1</v>
      </c>
      <c r="C788" s="1756" t="s">
        <v>12578</v>
      </c>
      <c r="D788" s="1588"/>
      <c r="E788" s="1589"/>
      <c r="F788" s="1589"/>
      <c r="G788" s="1757">
        <f>SUM(F789:F851)</f>
        <v>2436.9049999999993</v>
      </c>
      <c r="H788" s="1758">
        <f>G788*(1-$D$6)</f>
        <v>2436.9049999999993</v>
      </c>
      <c r="I788" s="1757">
        <f>ROUNDUP(H788*$D$5,0)</f>
        <v>8286</v>
      </c>
      <c r="J788" s="1759">
        <f>+I788*B788</f>
        <v>8286</v>
      </c>
      <c r="K788" s="1788">
        <f>B788</f>
        <v>1</v>
      </c>
      <c r="L788" s="363"/>
      <c r="M788" s="684"/>
      <c r="N788" s="362" t="str">
        <f t="shared" si="724"/>
        <v/>
      </c>
      <c r="O788" s="1763" t="str">
        <f t="shared" si="725"/>
        <v/>
      </c>
      <c r="P788" s="1764" t="str">
        <f t="shared" si="726"/>
        <v/>
      </c>
      <c r="Q788" s="120" t="str">
        <f t="shared" si="727"/>
        <v/>
      </c>
      <c r="R788" s="185"/>
    </row>
    <row r="789" spans="1:18" s="120" customFormat="1" ht="15" customHeight="1">
      <c r="A789" s="685" t="s">
        <v>3064</v>
      </c>
      <c r="B789" s="1779"/>
      <c r="C789" s="1954"/>
      <c r="D789" s="1955"/>
      <c r="E789" s="1789"/>
      <c r="F789" s="1789"/>
      <c r="G789" s="686"/>
      <c r="H789" s="686"/>
      <c r="I789" s="686"/>
      <c r="J789" s="1768"/>
      <c r="K789" s="684">
        <f>K788</f>
        <v>1</v>
      </c>
      <c r="L789" s="363">
        <v>1</v>
      </c>
      <c r="M789" s="684">
        <f>IF(B789="",1,B789)</f>
        <v>1</v>
      </c>
      <c r="N789" s="362" t="str">
        <f t="shared" si="724"/>
        <v/>
      </c>
      <c r="O789" s="1763" t="str">
        <f t="shared" si="725"/>
        <v/>
      </c>
      <c r="P789" s="1764" t="str">
        <f t="shared" si="726"/>
        <v/>
      </c>
      <c r="Q789" s="120" t="str">
        <f t="shared" si="727"/>
        <v/>
      </c>
    </row>
    <row r="790" spans="1:18" s="315" customFormat="1">
      <c r="A790" s="687" t="s">
        <v>4021</v>
      </c>
      <c r="B790" s="2096">
        <v>1</v>
      </c>
      <c r="C790" s="1907" t="s">
        <v>5103</v>
      </c>
      <c r="D790" s="1935"/>
      <c r="E790" s="1786"/>
      <c r="F790" s="1908">
        <f>SUM(F792:F796)*(B790-1)</f>
        <v>0</v>
      </c>
      <c r="G790" s="712"/>
      <c r="H790" s="712"/>
      <c r="I790" s="712"/>
      <c r="J790" s="713"/>
      <c r="K790" s="684">
        <f t="shared" ref="K790:K793" si="740">+K789</f>
        <v>1</v>
      </c>
      <c r="L790" s="1909">
        <f>B790</f>
        <v>1</v>
      </c>
      <c r="M790" s="684">
        <f t="shared" ref="M790:M798" si="741">IF(B790="",1,B790)</f>
        <v>1</v>
      </c>
      <c r="N790" s="362" t="str">
        <f t="shared" si="724"/>
        <v/>
      </c>
      <c r="O790" s="1763" t="str">
        <f t="shared" si="725"/>
        <v/>
      </c>
      <c r="P790" s="1764" t="str">
        <f t="shared" si="726"/>
        <v/>
      </c>
      <c r="Q790" s="120" t="str">
        <f t="shared" si="727"/>
        <v/>
      </c>
    </row>
    <row r="791" spans="1:18" s="185" customFormat="1">
      <c r="A791" s="687" t="s">
        <v>4136</v>
      </c>
      <c r="B791" s="1910">
        <v>3</v>
      </c>
      <c r="C791" s="1911" t="str">
        <f>VLOOKUP(D791,base_datos,6,FALSE)</f>
        <v>Portalámpara + lampara tipo LED - color Rojo - alimentacion: 220-230Vac, d=22mm. - CL2-523R - línea compacta - marca ABB.</v>
      </c>
      <c r="D791" s="1790" t="s">
        <v>2439</v>
      </c>
      <c r="E791" s="1939">
        <f>VLOOKUP(D791,base_datos,5,FALSE)</f>
        <v>12.299999999999999</v>
      </c>
      <c r="F791" s="1912">
        <f>+E791*B791</f>
        <v>36.9</v>
      </c>
      <c r="G791" s="710"/>
      <c r="H791" s="710"/>
      <c r="I791" s="710"/>
      <c r="J791" s="711"/>
      <c r="K791" s="684">
        <f>+K789</f>
        <v>1</v>
      </c>
      <c r="L791" s="1913">
        <f>L789</f>
        <v>1</v>
      </c>
      <c r="M791" s="684">
        <f t="shared" si="741"/>
        <v>3</v>
      </c>
      <c r="N791" s="362">
        <f t="shared" si="724"/>
        <v>3</v>
      </c>
      <c r="O791" s="1763" t="str">
        <f t="shared" si="725"/>
        <v>1SFA619403R5231</v>
      </c>
      <c r="P791" s="1764" t="str">
        <f t="shared" si="726"/>
        <v>Portalámpara + lampara tipo LED - color Rojo - alimentacion: 220-230Vac, d=22mm. - CL2-523R - línea compacta - marca ABB.</v>
      </c>
      <c r="Q791" s="120" t="str">
        <f t="shared" si="727"/>
        <v>LAMP_ROJO_220V</v>
      </c>
    </row>
    <row r="792" spans="1:18" s="185" customFormat="1">
      <c r="A792" s="687"/>
      <c r="B792" s="1910">
        <v>3</v>
      </c>
      <c r="C792" s="1911" t="str">
        <f>VLOOKUP(D792,base_datos,6,FALSE)</f>
        <v>Portalámpara + lampara tipo LED - color Verde - alimentacion: 220-230Vac, d=22mm. - CL2-523G - línea compacta - marca ABB.</v>
      </c>
      <c r="D792" s="1790" t="s">
        <v>2440</v>
      </c>
      <c r="E792" s="1939">
        <f>VLOOKUP(D792,base_datos,5,FALSE)</f>
        <v>12.299999999999999</v>
      </c>
      <c r="F792" s="1912">
        <f>+E792*B792</f>
        <v>36.9</v>
      </c>
      <c r="G792" s="710"/>
      <c r="H792" s="710"/>
      <c r="I792" s="710"/>
      <c r="J792" s="711"/>
      <c r="K792" s="684">
        <f>+K790</f>
        <v>1</v>
      </c>
      <c r="L792" s="1913">
        <f>L790</f>
        <v>1</v>
      </c>
      <c r="M792" s="684">
        <f t="shared" si="741"/>
        <v>3</v>
      </c>
      <c r="N792" s="362">
        <f t="shared" si="724"/>
        <v>3</v>
      </c>
      <c r="O792" s="1763" t="str">
        <f t="shared" si="725"/>
        <v>1SFA619403R5232</v>
      </c>
      <c r="P792" s="1764" t="str">
        <f t="shared" si="726"/>
        <v>Portalámpara + lampara tipo LED - color Verde - alimentacion: 220-230Vac, d=22mm. - CL2-523G - línea compacta - marca ABB.</v>
      </c>
      <c r="Q792" s="120" t="str">
        <f t="shared" si="727"/>
        <v>LAMP_VERDE_220V</v>
      </c>
    </row>
    <row r="793" spans="1:18" s="1921" customFormat="1">
      <c r="A793" s="687" t="s">
        <v>12356</v>
      </c>
      <c r="B793" s="1914">
        <v>1</v>
      </c>
      <c r="C793" s="1915" t="s">
        <v>3366</v>
      </c>
      <c r="D793" s="1916"/>
      <c r="E793" s="1917"/>
      <c r="F793" s="1918"/>
      <c r="G793" s="1919"/>
      <c r="H793" s="1919"/>
      <c r="I793" s="1919"/>
      <c r="J793" s="1920"/>
      <c r="K793" s="684">
        <f t="shared" si="740"/>
        <v>1</v>
      </c>
      <c r="L793" s="1913">
        <f>L792</f>
        <v>1</v>
      </c>
      <c r="M793" s="684">
        <f t="shared" si="741"/>
        <v>1</v>
      </c>
      <c r="N793" s="362" t="str">
        <f t="shared" si="724"/>
        <v/>
      </c>
      <c r="O793" s="1763" t="str">
        <f t="shared" si="725"/>
        <v/>
      </c>
      <c r="P793" s="1764" t="str">
        <f t="shared" si="726"/>
        <v/>
      </c>
      <c r="Q793" s="120" t="str">
        <f t="shared" si="727"/>
        <v/>
      </c>
    </row>
    <row r="794" spans="1:18" s="320" customFormat="1">
      <c r="A794" s="687" t="s">
        <v>12430</v>
      </c>
      <c r="B794" s="1922">
        <v>1</v>
      </c>
      <c r="C794" s="721" t="str">
        <f>VLOOKUP(D794,base_datos,6,FALSE)</f>
        <v>Rele auxiliar enchufable +4NA/NC (D2PR4B + base D2PA6), 220Vac - marca EATON.</v>
      </c>
      <c r="D794" s="1579" t="s">
        <v>772</v>
      </c>
      <c r="E794" s="1581">
        <f>VLOOKUP(D794,base_datos,5,FALSE)</f>
        <v>27</v>
      </c>
      <c r="F794" s="1923">
        <f>+E794*B794</f>
        <v>27</v>
      </c>
      <c r="G794" s="1924"/>
      <c r="H794" s="1924"/>
      <c r="I794" s="1924"/>
      <c r="J794" s="722"/>
      <c r="K794" s="684">
        <f>+K791</f>
        <v>1</v>
      </c>
      <c r="L794" s="1913">
        <f>L791</f>
        <v>1</v>
      </c>
      <c r="M794" s="684">
        <f t="shared" si="741"/>
        <v>1</v>
      </c>
      <c r="N794" s="362">
        <f t="shared" si="724"/>
        <v>1</v>
      </c>
      <c r="O794" s="1763" t="str">
        <f t="shared" si="725"/>
        <v>D2PR4B+D2PA6</v>
      </c>
      <c r="P794" s="1764" t="str">
        <f t="shared" si="726"/>
        <v>Rele auxiliar enchufable +4NA/NC (D2PR4B + base D2PA6), 220Vac - marca EATON.</v>
      </c>
      <c r="Q794" s="120" t="str">
        <f t="shared" si="727"/>
        <v>D2PR4B+D2PA6</v>
      </c>
    </row>
    <row r="795" spans="1:18" s="320" customFormat="1">
      <c r="A795" s="1771"/>
      <c r="B795" s="2131">
        <v>1</v>
      </c>
      <c r="C795" s="2132" t="s">
        <v>12558</v>
      </c>
      <c r="D795" s="2133"/>
      <c r="E795" s="2134">
        <v>32</v>
      </c>
      <c r="F795" s="2134">
        <f>+E795*B795</f>
        <v>32</v>
      </c>
      <c r="G795" s="1924"/>
      <c r="H795" s="1924"/>
      <c r="I795" s="1924"/>
      <c r="J795" s="722"/>
      <c r="K795" s="684">
        <f>+K792</f>
        <v>1</v>
      </c>
      <c r="L795" s="1913">
        <f>L792</f>
        <v>1</v>
      </c>
      <c r="M795" s="684">
        <f t="shared" si="741"/>
        <v>1</v>
      </c>
      <c r="N795" s="362" t="str">
        <f t="shared" si="724"/>
        <v/>
      </c>
      <c r="O795" s="1763" t="str">
        <f t="shared" si="725"/>
        <v/>
      </c>
      <c r="P795" s="1764" t="str">
        <f t="shared" si="726"/>
        <v/>
      </c>
      <c r="Q795" s="120" t="str">
        <f t="shared" si="727"/>
        <v/>
      </c>
    </row>
    <row r="796" spans="1:18" s="320" customFormat="1">
      <c r="A796" s="687" t="s">
        <v>12551</v>
      </c>
      <c r="B796" s="1922">
        <v>4</v>
      </c>
      <c r="C796" s="721" t="str">
        <f>VLOOKUP(D796,base_datos,6,FALSE)</f>
        <v>Base portafusibles + Fusibles de protección para control.</v>
      </c>
      <c r="D796" s="1579" t="s">
        <v>453</v>
      </c>
      <c r="E796" s="1581">
        <f>VLOOKUP(D796,base_datos,5,FALSE)</f>
        <v>8.1750000000000007</v>
      </c>
      <c r="F796" s="1923">
        <f>+E796*B796</f>
        <v>32.700000000000003</v>
      </c>
      <c r="G796" s="1924"/>
      <c r="H796" s="1924"/>
      <c r="I796" s="1924"/>
      <c r="J796" s="722"/>
      <c r="K796" s="684">
        <f>+K793</f>
        <v>1</v>
      </c>
      <c r="L796" s="1913">
        <f>L793</f>
        <v>1</v>
      </c>
      <c r="M796" s="684">
        <f t="shared" si="741"/>
        <v>4</v>
      </c>
      <c r="N796" s="362" t="str">
        <f t="shared" si="724"/>
        <v/>
      </c>
      <c r="O796" s="1763" t="str">
        <f t="shared" si="725"/>
        <v/>
      </c>
      <c r="P796" s="1764" t="str">
        <f t="shared" si="726"/>
        <v/>
      </c>
      <c r="Q796" s="120" t="str">
        <f t="shared" si="727"/>
        <v/>
      </c>
    </row>
    <row r="797" spans="1:18" s="315" customFormat="1">
      <c r="A797" s="687" t="s">
        <v>3542</v>
      </c>
      <c r="B797" s="1906"/>
      <c r="C797" s="1907"/>
      <c r="D797" s="1935"/>
      <c r="E797" s="1786"/>
      <c r="F797" s="1936"/>
      <c r="G797" s="712"/>
      <c r="H797" s="712"/>
      <c r="I797" s="712"/>
      <c r="J797" s="713"/>
      <c r="K797" s="684">
        <f t="shared" ref="K797:K849" si="742">+K794</f>
        <v>1</v>
      </c>
      <c r="L797" s="1909">
        <f>B797</f>
        <v>0</v>
      </c>
      <c r="M797" s="684">
        <f t="shared" si="741"/>
        <v>1</v>
      </c>
      <c r="N797" s="362" t="str">
        <f t="shared" si="724"/>
        <v/>
      </c>
      <c r="O797" s="1763" t="str">
        <f t="shared" si="725"/>
        <v/>
      </c>
      <c r="P797" s="1764" t="str">
        <f t="shared" si="726"/>
        <v/>
      </c>
      <c r="Q797" s="120" t="str">
        <f t="shared" si="727"/>
        <v/>
      </c>
    </row>
    <row r="798" spans="1:18" s="185" customFormat="1" ht="13.5" customHeight="1">
      <c r="A798" s="687"/>
      <c r="B798" s="1922"/>
      <c r="C798" s="1956" t="s">
        <v>12368</v>
      </c>
      <c r="D798" s="1579"/>
      <c r="E798" s="1957"/>
      <c r="F798" s="1958"/>
      <c r="G798" s="710"/>
      <c r="H798" s="710"/>
      <c r="I798" s="710"/>
      <c r="J798" s="711"/>
      <c r="K798" s="684">
        <f t="shared" si="742"/>
        <v>1</v>
      </c>
      <c r="L798" s="708">
        <v>1</v>
      </c>
      <c r="M798" s="684">
        <f t="shared" si="741"/>
        <v>1</v>
      </c>
      <c r="N798" s="362" t="str">
        <f t="shared" si="724"/>
        <v/>
      </c>
      <c r="O798" s="1763" t="str">
        <f t="shared" si="725"/>
        <v/>
      </c>
      <c r="P798" s="1764" t="str">
        <f t="shared" si="726"/>
        <v/>
      </c>
      <c r="Q798" s="120" t="str">
        <f t="shared" si="727"/>
        <v/>
      </c>
    </row>
    <row r="799" spans="1:18" s="120" customFormat="1" ht="18" customHeight="1">
      <c r="A799" s="1767"/>
      <c r="B799" s="1779">
        <v>6</v>
      </c>
      <c r="C799" s="1420" t="str">
        <f>VLOOKUP(D799,base_datos,6,FALSE)</f>
        <v>Transformador de tensión monofásico 480 / 120 Vac - 20VA.</v>
      </c>
      <c r="D799" s="1898" t="s">
        <v>12391</v>
      </c>
      <c r="E799" s="1581">
        <f>VLOOKUP(D799,base_datos,5,FALSE)</f>
        <v>38.200000000000003</v>
      </c>
      <c r="F799" s="1581">
        <f>+E799*B799</f>
        <v>229.20000000000002</v>
      </c>
      <c r="G799" s="686"/>
      <c r="H799" s="686"/>
      <c r="I799" s="686"/>
      <c r="J799" s="1768"/>
      <c r="K799" s="684">
        <f t="shared" si="742"/>
        <v>1</v>
      </c>
      <c r="L799" s="708">
        <v>1</v>
      </c>
      <c r="M799" s="709">
        <f t="shared" ref="M799:M810" si="743">IF(B799="",1,B799)</f>
        <v>6</v>
      </c>
      <c r="N799" s="362" t="str">
        <f t="shared" si="724"/>
        <v/>
      </c>
      <c r="O799" s="1763" t="str">
        <f t="shared" si="725"/>
        <v/>
      </c>
      <c r="P799" s="1764" t="str">
        <f t="shared" si="726"/>
        <v/>
      </c>
      <c r="Q799" s="120" t="str">
        <f t="shared" si="727"/>
        <v/>
      </c>
      <c r="R799" s="185"/>
    </row>
    <row r="800" spans="1:18" s="185" customFormat="1">
      <c r="A800" s="687"/>
      <c r="B800" s="1922"/>
      <c r="C800" s="1956" t="s">
        <v>12368</v>
      </c>
      <c r="D800" s="1579"/>
      <c r="E800" s="1957"/>
      <c r="F800" s="1958"/>
      <c r="G800" s="710"/>
      <c r="H800" s="710"/>
      <c r="I800" s="710"/>
      <c r="J800" s="711"/>
      <c r="K800" s="684">
        <f t="shared" si="742"/>
        <v>1</v>
      </c>
      <c r="L800" s="708">
        <v>1</v>
      </c>
      <c r="M800" s="709">
        <f t="shared" si="743"/>
        <v>1</v>
      </c>
      <c r="N800" s="362" t="str">
        <f t="shared" si="724"/>
        <v/>
      </c>
      <c r="O800" s="1763" t="str">
        <f t="shared" si="725"/>
        <v/>
      </c>
      <c r="P800" s="1764" t="str">
        <f t="shared" si="726"/>
        <v/>
      </c>
      <c r="Q800" s="120" t="str">
        <f t="shared" si="727"/>
        <v/>
      </c>
    </row>
    <row r="801" spans="1:19" s="120" customFormat="1">
      <c r="A801" s="687"/>
      <c r="B801" s="1781"/>
      <c r="C801" s="1959" t="s">
        <v>12371</v>
      </c>
      <c r="D801" s="173"/>
      <c r="E801" s="1791"/>
      <c r="F801" s="1782"/>
      <c r="G801" s="686"/>
      <c r="H801" s="686"/>
      <c r="I801" s="686"/>
      <c r="J801" s="688"/>
      <c r="K801" s="684">
        <f t="shared" si="742"/>
        <v>1</v>
      </c>
      <c r="L801" s="363">
        <v>1</v>
      </c>
      <c r="M801" s="709">
        <f t="shared" si="743"/>
        <v>1</v>
      </c>
      <c r="N801" s="362" t="str">
        <f t="shared" si="724"/>
        <v/>
      </c>
      <c r="O801" s="1763" t="str">
        <f t="shared" si="725"/>
        <v/>
      </c>
      <c r="P801" s="1764" t="str">
        <f t="shared" si="726"/>
        <v/>
      </c>
      <c r="Q801" s="120" t="str">
        <f t="shared" si="727"/>
        <v/>
      </c>
      <c r="R801" s="185"/>
    </row>
    <row r="802" spans="1:19" s="690" customFormat="1" ht="18" customHeight="1">
      <c r="A802" s="1767"/>
      <c r="B802" s="2206">
        <v>1</v>
      </c>
      <c r="C802" s="2207" t="s">
        <v>13027</v>
      </c>
      <c r="D802" s="2208"/>
      <c r="E802" s="2209">
        <v>212.15</v>
      </c>
      <c r="F802" s="2210">
        <f t="shared" ref="F802" si="744">+E802*B802</f>
        <v>212.15</v>
      </c>
      <c r="G802" s="1761"/>
      <c r="H802" s="1761"/>
      <c r="I802" s="1761"/>
      <c r="J802" s="1783"/>
      <c r="K802" s="684">
        <f t="shared" ref="K802" si="745">+K800</f>
        <v>1</v>
      </c>
      <c r="L802" s="708">
        <v>1</v>
      </c>
      <c r="M802" s="709">
        <f t="shared" si="743"/>
        <v>1</v>
      </c>
      <c r="N802" s="362" t="str">
        <f t="shared" si="724"/>
        <v/>
      </c>
      <c r="O802" s="1763" t="str">
        <f t="shared" si="725"/>
        <v/>
      </c>
      <c r="P802" s="1764" t="str">
        <f t="shared" si="726"/>
        <v/>
      </c>
      <c r="Q802" s="120" t="str">
        <f t="shared" si="727"/>
        <v/>
      </c>
      <c r="R802" s="185"/>
    </row>
    <row r="803" spans="1:19" s="185" customFormat="1">
      <c r="A803" s="1785"/>
      <c r="B803" s="714"/>
      <c r="C803" s="1956" t="s">
        <v>12368</v>
      </c>
      <c r="D803" s="1941"/>
      <c r="E803" s="1786"/>
      <c r="F803" s="1787"/>
      <c r="G803" s="710"/>
      <c r="H803" s="710"/>
      <c r="I803" s="710"/>
      <c r="J803" s="711"/>
      <c r="K803" s="684">
        <f t="shared" si="742"/>
        <v>1</v>
      </c>
      <c r="L803" s="363">
        <v>1</v>
      </c>
      <c r="M803" s="709">
        <f t="shared" si="743"/>
        <v>1</v>
      </c>
      <c r="N803" s="362" t="str">
        <f t="shared" si="724"/>
        <v/>
      </c>
      <c r="O803" s="1763" t="str">
        <f t="shared" si="725"/>
        <v/>
      </c>
      <c r="P803" s="1764" t="str">
        <f t="shared" si="726"/>
        <v/>
      </c>
      <c r="Q803" s="120" t="str">
        <f t="shared" si="727"/>
        <v/>
      </c>
    </row>
    <row r="804" spans="1:19" s="315" customFormat="1">
      <c r="A804" s="691"/>
      <c r="B804" s="355"/>
      <c r="C804" s="1944" t="s">
        <v>3063</v>
      </c>
      <c r="D804" s="1941"/>
      <c r="E804" s="1786"/>
      <c r="F804" s="1787"/>
      <c r="G804" s="712"/>
      <c r="H804" s="712"/>
      <c r="I804" s="712"/>
      <c r="J804" s="713"/>
      <c r="K804" s="684">
        <f t="shared" si="742"/>
        <v>1</v>
      </c>
      <c r="L804" s="708">
        <v>1</v>
      </c>
      <c r="M804" s="709">
        <f t="shared" si="743"/>
        <v>1</v>
      </c>
      <c r="N804" s="362" t="str">
        <f t="shared" si="724"/>
        <v/>
      </c>
      <c r="O804" s="1763" t="str">
        <f t="shared" si="725"/>
        <v/>
      </c>
      <c r="P804" s="1764" t="str">
        <f t="shared" si="726"/>
        <v/>
      </c>
      <c r="Q804" s="120" t="str">
        <f t="shared" si="727"/>
        <v/>
      </c>
    </row>
    <row r="805" spans="1:19" s="1921" customFormat="1">
      <c r="A805" s="1961"/>
      <c r="B805" s="1962">
        <v>1</v>
      </c>
      <c r="C805" s="1963" t="s">
        <v>12370</v>
      </c>
      <c r="D805" s="1941"/>
      <c r="E805" s="1917"/>
      <c r="F805" s="1937"/>
      <c r="G805" s="1919"/>
      <c r="H805" s="1919"/>
      <c r="I805" s="1919"/>
      <c r="J805" s="1920"/>
      <c r="K805" s="684">
        <f t="shared" si="742"/>
        <v>1</v>
      </c>
      <c r="L805" s="708">
        <v>1</v>
      </c>
      <c r="M805" s="709">
        <f t="shared" si="743"/>
        <v>1</v>
      </c>
      <c r="N805" s="362" t="str">
        <f t="shared" si="724"/>
        <v/>
      </c>
      <c r="O805" s="1763" t="str">
        <f t="shared" si="725"/>
        <v/>
      </c>
      <c r="P805" s="1764" t="str">
        <f t="shared" si="726"/>
        <v/>
      </c>
      <c r="Q805" s="120" t="str">
        <f t="shared" si="727"/>
        <v/>
      </c>
    </row>
    <row r="806" spans="1:19" s="897" customFormat="1" ht="18" customHeight="1">
      <c r="A806" s="1771"/>
      <c r="B806" s="1922">
        <v>6</v>
      </c>
      <c r="C806" s="1964" t="str">
        <f t="shared" ref="C806" si="746">VLOOKUP(D806,base_datos,6,FALSE)</f>
        <v>Borne 6mm2.</v>
      </c>
      <c r="D806" s="173" t="s">
        <v>455</v>
      </c>
      <c r="E806" s="1952">
        <f t="shared" ref="E806" si="747">VLOOKUP(D806,base_datos,5,FALSE)</f>
        <v>4</v>
      </c>
      <c r="F806" s="1580">
        <f>+E806*B806</f>
        <v>24</v>
      </c>
      <c r="G806" s="1772"/>
      <c r="H806" s="1772"/>
      <c r="I806" s="1772"/>
      <c r="J806" s="896"/>
      <c r="K806" s="684">
        <f t="shared" si="742"/>
        <v>1</v>
      </c>
      <c r="L806" s="363">
        <v>1</v>
      </c>
      <c r="M806" s="709">
        <f t="shared" si="743"/>
        <v>6</v>
      </c>
      <c r="N806" s="362" t="str">
        <f t="shared" si="724"/>
        <v/>
      </c>
      <c r="O806" s="1763" t="str">
        <f t="shared" si="725"/>
        <v/>
      </c>
      <c r="P806" s="1764" t="str">
        <f t="shared" si="726"/>
        <v/>
      </c>
      <c r="Q806" s="120" t="str">
        <f t="shared" si="727"/>
        <v/>
      </c>
      <c r="R806" s="690"/>
      <c r="S806" s="690"/>
    </row>
    <row r="807" spans="1:19" s="185" customFormat="1">
      <c r="A807" s="1771"/>
      <c r="B807" s="1922"/>
      <c r="C807" s="1956" t="s">
        <v>12368</v>
      </c>
      <c r="D807" s="1579"/>
      <c r="E807" s="1957"/>
      <c r="F807" s="1958"/>
      <c r="G807" s="710"/>
      <c r="H807" s="710"/>
      <c r="I807" s="710"/>
      <c r="J807" s="711"/>
      <c r="K807" s="684">
        <f t="shared" si="742"/>
        <v>1</v>
      </c>
      <c r="L807" s="708">
        <v>1</v>
      </c>
      <c r="M807" s="709">
        <f t="shared" si="743"/>
        <v>1</v>
      </c>
      <c r="N807" s="362" t="str">
        <f t="shared" si="724"/>
        <v/>
      </c>
      <c r="O807" s="1763" t="str">
        <f t="shared" si="725"/>
        <v/>
      </c>
      <c r="P807" s="1764" t="str">
        <f t="shared" si="726"/>
        <v/>
      </c>
      <c r="Q807" s="120" t="str">
        <f t="shared" si="727"/>
        <v/>
      </c>
    </row>
    <row r="808" spans="1:19" s="690" customFormat="1" ht="18" customHeight="1">
      <c r="A808" s="1767"/>
      <c r="B808" s="1851"/>
      <c r="C808" s="1894" t="s">
        <v>3377</v>
      </c>
      <c r="D808" s="1582"/>
      <c r="E808" s="1780"/>
      <c r="F808" s="1782"/>
      <c r="G808" s="1761"/>
      <c r="H808" s="1761"/>
      <c r="I808" s="1761"/>
      <c r="J808" s="689"/>
      <c r="K808" s="684">
        <f t="shared" si="742"/>
        <v>1</v>
      </c>
      <c r="L808" s="708">
        <v>1</v>
      </c>
      <c r="M808" s="709">
        <f t="shared" si="743"/>
        <v>1</v>
      </c>
      <c r="N808" s="362" t="str">
        <f t="shared" si="724"/>
        <v/>
      </c>
      <c r="O808" s="1763" t="str">
        <f t="shared" si="725"/>
        <v/>
      </c>
      <c r="P808" s="1764" t="str">
        <f t="shared" si="726"/>
        <v/>
      </c>
      <c r="Q808" s="120" t="str">
        <f t="shared" si="727"/>
        <v/>
      </c>
      <c r="R808" s="185"/>
    </row>
    <row r="809" spans="1:19" s="690" customFormat="1">
      <c r="A809" s="687"/>
      <c r="B809" s="1781">
        <v>2</v>
      </c>
      <c r="C809" s="1420" t="str">
        <f>VLOOKUP(D809,base_datos,6,FALSE)</f>
        <v>ITM Riel-Din 2x40A - S202-C-40A - 10kA@400Vac-IEC60947-2 - marca ABB.</v>
      </c>
      <c r="D809" s="1790" t="s">
        <v>1009</v>
      </c>
      <c r="E809" s="1791">
        <f>VLOOKUP(D809,base_datos,5,FALSE)</f>
        <v>23.59</v>
      </c>
      <c r="F809" s="1782">
        <f>+E809*B809</f>
        <v>47.18</v>
      </c>
      <c r="G809" s="1761"/>
      <c r="H809" s="1761"/>
      <c r="I809" s="1761"/>
      <c r="J809" s="689"/>
      <c r="K809" s="684">
        <f t="shared" si="742"/>
        <v>1</v>
      </c>
      <c r="L809" s="363">
        <v>1</v>
      </c>
      <c r="M809" s="684">
        <f t="shared" si="743"/>
        <v>2</v>
      </c>
      <c r="N809" s="362">
        <f t="shared" si="724"/>
        <v>2</v>
      </c>
      <c r="O809" s="1763" t="str">
        <f t="shared" si="725"/>
        <v>2CDS252001R0404</v>
      </c>
      <c r="P809" s="1764" t="str">
        <f t="shared" si="726"/>
        <v>ITM Riel-Din 2x40A - S202-C-40A - 10kA@400Vac-IEC60947-2 - marca ABB.</v>
      </c>
      <c r="Q809" s="120" t="str">
        <f t="shared" si="727"/>
        <v>S202-C-40A</v>
      </c>
      <c r="R809" s="185"/>
    </row>
    <row r="810" spans="1:19" s="695" customFormat="1">
      <c r="A810" s="687"/>
      <c r="B810" s="1967">
        <v>1</v>
      </c>
      <c r="C810" s="1946">
        <v>8</v>
      </c>
      <c r="D810" s="1582"/>
      <c r="E810" s="2000">
        <v>32</v>
      </c>
      <c r="F810" s="1968">
        <f t="shared" ref="F810" si="748">+E810*B810</f>
        <v>32</v>
      </c>
      <c r="G810" s="1969"/>
      <c r="H810" s="1969"/>
      <c r="I810" s="1969"/>
      <c r="J810" s="1970"/>
      <c r="K810" s="684">
        <f t="shared" si="742"/>
        <v>1</v>
      </c>
      <c r="L810" s="363">
        <v>1</v>
      </c>
      <c r="M810" s="684">
        <f t="shared" si="743"/>
        <v>1</v>
      </c>
      <c r="N810" s="362" t="str">
        <f t="shared" si="724"/>
        <v/>
      </c>
      <c r="O810" s="1763" t="str">
        <f t="shared" si="725"/>
        <v/>
      </c>
      <c r="P810" s="1764" t="str">
        <f t="shared" si="726"/>
        <v/>
      </c>
      <c r="Q810" s="120" t="str">
        <f t="shared" si="727"/>
        <v/>
      </c>
    </row>
    <row r="811" spans="1:19" s="185" customFormat="1">
      <c r="A811" s="692"/>
      <c r="B811" s="714"/>
      <c r="C811" s="1893" t="s">
        <v>729</v>
      </c>
      <c r="D811" s="1941"/>
      <c r="E811" s="1786"/>
      <c r="F811" s="1787"/>
      <c r="G811" s="710"/>
      <c r="H811" s="710"/>
      <c r="I811" s="710"/>
      <c r="J811" s="711"/>
      <c r="K811" s="684">
        <f t="shared" si="742"/>
        <v>1</v>
      </c>
      <c r="L811" s="363">
        <v>1</v>
      </c>
      <c r="M811" s="709">
        <f>IF(B811="",1,B811)</f>
        <v>1</v>
      </c>
      <c r="N811" s="362" t="str">
        <f t="shared" si="724"/>
        <v/>
      </c>
      <c r="O811" s="1763" t="str">
        <f t="shared" si="725"/>
        <v/>
      </c>
      <c r="P811" s="1764" t="str">
        <f t="shared" si="726"/>
        <v/>
      </c>
      <c r="Q811" s="120" t="str">
        <f t="shared" si="727"/>
        <v/>
      </c>
    </row>
    <row r="812" spans="1:19" s="315" customFormat="1">
      <c r="A812" s="1785"/>
      <c r="B812" s="355"/>
      <c r="C812" s="1944" t="s">
        <v>3063</v>
      </c>
      <c r="D812" s="1941"/>
      <c r="E812" s="1786"/>
      <c r="F812" s="1787"/>
      <c r="G812" s="712"/>
      <c r="H812" s="712"/>
      <c r="I812" s="712"/>
      <c r="J812" s="713"/>
      <c r="K812" s="684">
        <f t="shared" si="742"/>
        <v>1</v>
      </c>
      <c r="L812" s="708">
        <v>1</v>
      </c>
      <c r="M812" s="709">
        <f>IF(B812="",1,B812)</f>
        <v>1</v>
      </c>
      <c r="N812" s="362" t="str">
        <f t="shared" si="724"/>
        <v/>
      </c>
      <c r="O812" s="1763" t="str">
        <f t="shared" si="725"/>
        <v/>
      </c>
      <c r="P812" s="1764" t="str">
        <f t="shared" si="726"/>
        <v/>
      </c>
      <c r="Q812" s="120" t="str">
        <f t="shared" si="727"/>
        <v/>
      </c>
    </row>
    <row r="813" spans="1:19" s="690" customFormat="1" ht="18" customHeight="1">
      <c r="A813" s="691"/>
      <c r="B813" s="1781">
        <v>1</v>
      </c>
      <c r="C813" s="1420" t="str">
        <f>VLOOKUP(D813,base_datos,6,FALSE)</f>
        <v>ITM Riel-Din 2x40A - S202-C-40A - 10kA@400Vac-IEC60947-2 - marca ABB.</v>
      </c>
      <c r="D813" s="1790" t="s">
        <v>1009</v>
      </c>
      <c r="E813" s="1791">
        <f>VLOOKUP(D813,base_datos,5,FALSE)</f>
        <v>23.59</v>
      </c>
      <c r="F813" s="1782">
        <f>+E813*B813</f>
        <v>23.59</v>
      </c>
      <c r="G813" s="1761"/>
      <c r="H813" s="1761"/>
      <c r="I813" s="1761"/>
      <c r="J813" s="1783"/>
      <c r="K813" s="684">
        <f t="shared" si="742"/>
        <v>1</v>
      </c>
      <c r="L813" s="708">
        <v>1</v>
      </c>
      <c r="M813" s="709">
        <f>IF(B813="",1,B813)</f>
        <v>1</v>
      </c>
      <c r="N813" s="362">
        <f t="shared" si="724"/>
        <v>1</v>
      </c>
      <c r="O813" s="1763" t="str">
        <f t="shared" si="725"/>
        <v>2CDS252001R0404</v>
      </c>
      <c r="P813" s="1764" t="str">
        <f t="shared" si="726"/>
        <v>ITM Riel-Din 2x40A - S202-C-40A - 10kA@400Vac-IEC60947-2 - marca ABB.</v>
      </c>
      <c r="Q813" s="120" t="str">
        <f t="shared" si="727"/>
        <v>S202-C-40A</v>
      </c>
      <c r="R813" s="185"/>
    </row>
    <row r="814" spans="1:19" s="690" customFormat="1" ht="18" customHeight="1">
      <c r="A814" s="691"/>
      <c r="B814" s="1781">
        <v>2</v>
      </c>
      <c r="C814" s="1420" t="str">
        <f>VLOOKUP(D814,base_datos,6,FALSE)</f>
        <v>Protector de sobretensiones (Tipo 2) - OVR-T2_40-440_P-QS_1P - Un=230/400V, Uc=440V, Up=1.8kV - I_descarga=40kA - marca ABB.</v>
      </c>
      <c r="D814" s="1901" t="s">
        <v>6448</v>
      </c>
      <c r="E814" s="1791">
        <f>VLOOKUP(D814,base_datos,5,FALSE)</f>
        <v>75.59</v>
      </c>
      <c r="F814" s="1782">
        <f>+E814*B814</f>
        <v>151.18</v>
      </c>
      <c r="G814" s="1761"/>
      <c r="H814" s="1761"/>
      <c r="I814" s="1761"/>
      <c r="J814" s="1783"/>
      <c r="K814" s="684">
        <f t="shared" si="742"/>
        <v>1</v>
      </c>
      <c r="L814" s="708">
        <v>1</v>
      </c>
      <c r="M814" s="709">
        <f>IF(B814="",1,B814)</f>
        <v>2</v>
      </c>
      <c r="N814" s="362">
        <f t="shared" si="724"/>
        <v>2</v>
      </c>
      <c r="O814" s="1763" t="str">
        <f t="shared" si="725"/>
        <v>2CTB803871R1200</v>
      </c>
      <c r="P814" s="1764" t="str">
        <f t="shared" si="726"/>
        <v>Protector de sobretensiones (Tipo 2) - OVR-T2_40-440_P-QS_1P - Un=230/400V, Uc=440V, Up=1.8kV - I_descarga=40kA - marca ABB.</v>
      </c>
      <c r="Q814" s="120" t="str">
        <f t="shared" si="727"/>
        <v>OVR-T2_40-440_P-QS_1P</v>
      </c>
      <c r="R814" s="185"/>
    </row>
    <row r="815" spans="1:19" s="185" customFormat="1">
      <c r="A815" s="692"/>
      <c r="B815" s="714"/>
      <c r="C815" s="1956" t="s">
        <v>12368</v>
      </c>
      <c r="D815" s="1941"/>
      <c r="E815" s="1786"/>
      <c r="F815" s="1787"/>
      <c r="G815" s="710"/>
      <c r="H815" s="710"/>
      <c r="I815" s="710"/>
      <c r="J815" s="711"/>
      <c r="K815" s="684">
        <f t="shared" si="742"/>
        <v>1</v>
      </c>
      <c r="L815" s="363">
        <v>1</v>
      </c>
      <c r="M815" s="709">
        <f t="shared" ref="M815:M820" si="749">IF(B815="",1,B815)</f>
        <v>1</v>
      </c>
      <c r="N815" s="362" t="str">
        <f t="shared" si="724"/>
        <v/>
      </c>
      <c r="O815" s="1763" t="str">
        <f t="shared" si="725"/>
        <v/>
      </c>
      <c r="P815" s="1764" t="str">
        <f t="shared" si="726"/>
        <v/>
      </c>
      <c r="Q815" s="120" t="str">
        <f t="shared" si="727"/>
        <v/>
      </c>
    </row>
    <row r="816" spans="1:19" s="315" customFormat="1">
      <c r="A816" s="1785"/>
      <c r="B816" s="355"/>
      <c r="C816" s="1944" t="s">
        <v>3063</v>
      </c>
      <c r="D816" s="1941"/>
      <c r="E816" s="1786"/>
      <c r="F816" s="1787"/>
      <c r="G816" s="712"/>
      <c r="H816" s="712"/>
      <c r="I816" s="712"/>
      <c r="J816" s="713"/>
      <c r="K816" s="684">
        <f t="shared" si="742"/>
        <v>1</v>
      </c>
      <c r="L816" s="708">
        <v>1</v>
      </c>
      <c r="M816" s="709">
        <f t="shared" si="749"/>
        <v>1</v>
      </c>
      <c r="N816" s="362" t="str">
        <f t="shared" si="724"/>
        <v/>
      </c>
      <c r="O816" s="1763" t="str">
        <f t="shared" si="725"/>
        <v/>
      </c>
      <c r="P816" s="1764" t="str">
        <f t="shared" si="726"/>
        <v/>
      </c>
      <c r="Q816" s="120" t="str">
        <f t="shared" si="727"/>
        <v/>
      </c>
    </row>
    <row r="817" spans="1:20" s="1921" customFormat="1">
      <c r="A817" s="1961"/>
      <c r="B817" s="1962">
        <v>1</v>
      </c>
      <c r="C817" s="1963" t="s">
        <v>12372</v>
      </c>
      <c r="D817" s="1941"/>
      <c r="E817" s="1917"/>
      <c r="F817" s="1937"/>
      <c r="G817" s="1919"/>
      <c r="H817" s="1919"/>
      <c r="I817" s="1919"/>
      <c r="J817" s="1920"/>
      <c r="K817" s="684">
        <f t="shared" si="742"/>
        <v>1</v>
      </c>
      <c r="L817" s="708">
        <v>1</v>
      </c>
      <c r="M817" s="709">
        <f t="shared" si="749"/>
        <v>1</v>
      </c>
      <c r="N817" s="362" t="str">
        <f t="shared" si="724"/>
        <v/>
      </c>
      <c r="O817" s="1763" t="str">
        <f t="shared" si="725"/>
        <v/>
      </c>
      <c r="P817" s="1764" t="str">
        <f t="shared" si="726"/>
        <v/>
      </c>
      <c r="Q817" s="120" t="str">
        <f t="shared" si="727"/>
        <v/>
      </c>
    </row>
    <row r="818" spans="1:20" s="185" customFormat="1">
      <c r="A818" s="1976"/>
      <c r="B818" s="1977">
        <v>4</v>
      </c>
      <c r="C818" s="721" t="str">
        <f>VLOOKUP(D818,base_datos,6,FALSE)</f>
        <v>Borne 6mm2.</v>
      </c>
      <c r="D818" s="173" t="s">
        <v>455</v>
      </c>
      <c r="E818" s="1978">
        <f t="shared" ref="E818" si="750">VLOOKUP(D818,base_datos,5,FALSE)</f>
        <v>4</v>
      </c>
      <c r="F818" s="1971">
        <f t="shared" ref="F818" si="751">+E818*B818</f>
        <v>16</v>
      </c>
      <c r="G818" s="1965"/>
      <c r="H818" s="1965"/>
      <c r="I818" s="1965"/>
      <c r="J818" s="711"/>
      <c r="K818" s="684">
        <f t="shared" si="742"/>
        <v>1</v>
      </c>
      <c r="L818" s="363">
        <v>1</v>
      </c>
      <c r="M818" s="684">
        <f t="shared" si="749"/>
        <v>4</v>
      </c>
      <c r="N818" s="362" t="str">
        <f t="shared" si="724"/>
        <v/>
      </c>
      <c r="O818" s="1763" t="str">
        <f t="shared" si="725"/>
        <v/>
      </c>
      <c r="P818" s="1764" t="str">
        <f t="shared" si="726"/>
        <v/>
      </c>
      <c r="Q818" s="120" t="str">
        <f t="shared" si="727"/>
        <v/>
      </c>
      <c r="R818" s="690"/>
      <c r="S818" s="1979"/>
      <c r="T818" s="1979"/>
    </row>
    <row r="819" spans="1:20" s="185" customFormat="1">
      <c r="A819" s="1771"/>
      <c r="B819" s="1922"/>
      <c r="C819" s="1956" t="s">
        <v>12368</v>
      </c>
      <c r="D819" s="1579"/>
      <c r="E819" s="1957"/>
      <c r="F819" s="1958"/>
      <c r="G819" s="710"/>
      <c r="H819" s="710"/>
      <c r="I819" s="710"/>
      <c r="J819" s="711"/>
      <c r="K819" s="684">
        <f t="shared" si="742"/>
        <v>1</v>
      </c>
      <c r="L819" s="708">
        <v>1</v>
      </c>
      <c r="M819" s="684">
        <f t="shared" si="749"/>
        <v>1</v>
      </c>
      <c r="N819" s="362" t="str">
        <f t="shared" si="724"/>
        <v/>
      </c>
      <c r="O819" s="1763" t="str">
        <f t="shared" si="725"/>
        <v/>
      </c>
      <c r="P819" s="1764" t="str">
        <f t="shared" si="726"/>
        <v/>
      </c>
      <c r="Q819" s="120" t="str">
        <f t="shared" si="727"/>
        <v/>
      </c>
    </row>
    <row r="820" spans="1:20" s="120" customFormat="1">
      <c r="A820" s="687"/>
      <c r="B820" s="1781"/>
      <c r="C820" s="1959" t="s">
        <v>12373</v>
      </c>
      <c r="D820" s="173"/>
      <c r="E820" s="1791"/>
      <c r="F820" s="1782"/>
      <c r="G820" s="686"/>
      <c r="H820" s="686"/>
      <c r="I820" s="686"/>
      <c r="J820" s="688"/>
      <c r="K820" s="684">
        <f t="shared" si="742"/>
        <v>1</v>
      </c>
      <c r="L820" s="363">
        <v>1</v>
      </c>
      <c r="M820" s="684">
        <f t="shared" si="749"/>
        <v>1</v>
      </c>
      <c r="N820" s="362" t="str">
        <f t="shared" si="724"/>
        <v/>
      </c>
      <c r="O820" s="1763" t="str">
        <f t="shared" si="725"/>
        <v/>
      </c>
      <c r="P820" s="1764" t="str">
        <f t="shared" si="726"/>
        <v/>
      </c>
      <c r="Q820" s="120" t="str">
        <f t="shared" si="727"/>
        <v/>
      </c>
      <c r="R820" s="185"/>
    </row>
    <row r="821" spans="1:20" s="185" customFormat="1">
      <c r="A821" s="687"/>
      <c r="B821" s="714"/>
      <c r="C821" s="1956" t="s">
        <v>12368</v>
      </c>
      <c r="D821" s="173"/>
      <c r="E821" s="1786"/>
      <c r="F821" s="1787"/>
      <c r="G821" s="710"/>
      <c r="H821" s="710"/>
      <c r="I821" s="710"/>
      <c r="J821" s="711"/>
      <c r="K821" s="684">
        <f t="shared" si="742"/>
        <v>1</v>
      </c>
      <c r="L821" s="708">
        <v>1</v>
      </c>
      <c r="M821" s="709">
        <f>IF(B821="",1,B821)</f>
        <v>1</v>
      </c>
      <c r="N821" s="362" t="str">
        <f t="shared" si="724"/>
        <v/>
      </c>
      <c r="O821" s="1763" t="str">
        <f t="shared" si="725"/>
        <v/>
      </c>
      <c r="P821" s="1764" t="str">
        <f t="shared" si="726"/>
        <v/>
      </c>
      <c r="Q821" s="120" t="str">
        <f t="shared" si="727"/>
        <v/>
      </c>
    </row>
    <row r="822" spans="1:20" s="315" customFormat="1">
      <c r="A822" s="687"/>
      <c r="B822" s="1906">
        <v>1</v>
      </c>
      <c r="C822" s="1907" t="s">
        <v>12369</v>
      </c>
      <c r="D822" s="1935"/>
      <c r="E822" s="1786"/>
      <c r="F822" s="1936">
        <f>SUM(F823:F824)*(B822-1)</f>
        <v>0</v>
      </c>
      <c r="G822" s="712"/>
      <c r="H822" s="712"/>
      <c r="I822" s="712"/>
      <c r="J822" s="713"/>
      <c r="K822" s="684">
        <f t="shared" si="742"/>
        <v>1</v>
      </c>
      <c r="L822" s="1909">
        <f>B822</f>
        <v>1</v>
      </c>
      <c r="M822" s="684">
        <f t="shared" ref="M822:M851" si="752">IF(B822="",1,B822)</f>
        <v>1</v>
      </c>
      <c r="N822" s="362" t="str">
        <f t="shared" si="724"/>
        <v/>
      </c>
      <c r="O822" s="1763" t="str">
        <f t="shared" si="725"/>
        <v/>
      </c>
      <c r="P822" s="1764" t="str">
        <f t="shared" si="726"/>
        <v/>
      </c>
      <c r="Q822" s="120" t="str">
        <f t="shared" si="727"/>
        <v/>
      </c>
    </row>
    <row r="823" spans="1:20" s="185" customFormat="1">
      <c r="A823" s="1961"/>
      <c r="B823" s="1910">
        <v>2</v>
      </c>
      <c r="C823" s="1911" t="str">
        <f>VLOOKUP(D823,base_datos,6,FALSE)</f>
        <v>ITM Riel-Din 2x40A - S202-C-40A - 10kA@400Vac-IEC60947-2 - marca ABB.</v>
      </c>
      <c r="D823" s="1790" t="s">
        <v>1009</v>
      </c>
      <c r="E823" s="1787">
        <f>VLOOKUP(D823,base_datos,5,FALSE)</f>
        <v>23.59</v>
      </c>
      <c r="F823" s="1912">
        <f>+E823*B823</f>
        <v>47.18</v>
      </c>
      <c r="G823" s="710"/>
      <c r="H823" s="710"/>
      <c r="I823" s="710"/>
      <c r="J823" s="711"/>
      <c r="K823" s="684">
        <f t="shared" si="742"/>
        <v>1</v>
      </c>
      <c r="L823" s="1913">
        <f>L822</f>
        <v>1</v>
      </c>
      <c r="M823" s="709">
        <f t="shared" si="752"/>
        <v>2</v>
      </c>
      <c r="N823" s="362">
        <f t="shared" si="724"/>
        <v>2</v>
      </c>
      <c r="O823" s="1763" t="str">
        <f t="shared" si="725"/>
        <v>2CDS252001R0404</v>
      </c>
      <c r="P823" s="1764" t="str">
        <f t="shared" si="726"/>
        <v>ITM Riel-Din 2x40A - S202-C-40A - 10kA@400Vac-IEC60947-2 - marca ABB.</v>
      </c>
      <c r="Q823" s="120" t="str">
        <f t="shared" si="727"/>
        <v>S202-C-40A</v>
      </c>
    </row>
    <row r="824" spans="1:20" s="1921" customFormat="1">
      <c r="A824" s="1771"/>
      <c r="B824" s="1914">
        <v>1</v>
      </c>
      <c r="C824" s="1911" t="str">
        <f>VLOOKUP(D824,base_datos,6,FALSE)</f>
        <v>Bloqueo mecánico para enclavamiento manual entre dos interruptores - Riel-Din.</v>
      </c>
      <c r="D824" s="1790" t="s">
        <v>5954</v>
      </c>
      <c r="E824" s="1787">
        <f>VLOOKUP(D824,base_datos,5,FALSE)</f>
        <v>50</v>
      </c>
      <c r="F824" s="1912">
        <f>+E824*B824</f>
        <v>50</v>
      </c>
      <c r="G824" s="1919"/>
      <c r="H824" s="1919"/>
      <c r="I824" s="1919"/>
      <c r="J824" s="1920"/>
      <c r="K824" s="684">
        <f t="shared" si="742"/>
        <v>1</v>
      </c>
      <c r="L824" s="1913">
        <f>L823</f>
        <v>1</v>
      </c>
      <c r="M824" s="709">
        <f t="shared" si="752"/>
        <v>1</v>
      </c>
      <c r="N824" s="362" t="str">
        <f t="shared" si="724"/>
        <v/>
      </c>
      <c r="O824" s="1763" t="str">
        <f t="shared" si="725"/>
        <v/>
      </c>
      <c r="P824" s="1764" t="str">
        <f t="shared" si="726"/>
        <v/>
      </c>
      <c r="Q824" s="120" t="str">
        <f t="shared" si="727"/>
        <v/>
      </c>
    </row>
    <row r="825" spans="1:20" s="185" customFormat="1">
      <c r="A825" s="687"/>
      <c r="B825" s="714"/>
      <c r="C825" s="1956" t="s">
        <v>12368</v>
      </c>
      <c r="D825" s="173"/>
      <c r="E825" s="1786"/>
      <c r="F825" s="1787"/>
      <c r="G825" s="710"/>
      <c r="H825" s="710"/>
      <c r="I825" s="710"/>
      <c r="J825" s="711"/>
      <c r="K825" s="684">
        <f t="shared" si="742"/>
        <v>1</v>
      </c>
      <c r="L825" s="363">
        <v>1</v>
      </c>
      <c r="M825" s="709">
        <f t="shared" si="752"/>
        <v>1</v>
      </c>
      <c r="N825" s="362" t="str">
        <f t="shared" si="724"/>
        <v/>
      </c>
      <c r="O825" s="1763" t="str">
        <f t="shared" si="725"/>
        <v/>
      </c>
      <c r="P825" s="1764" t="str">
        <f t="shared" si="726"/>
        <v/>
      </c>
      <c r="Q825" s="120" t="str">
        <f t="shared" si="727"/>
        <v/>
      </c>
    </row>
    <row r="826" spans="1:20" s="690" customFormat="1">
      <c r="A826" s="687"/>
      <c r="B826" s="1851"/>
      <c r="C826" s="1966" t="s">
        <v>2654</v>
      </c>
      <c r="D826" s="1582"/>
      <c r="E826" s="1780"/>
      <c r="F826" s="1782"/>
      <c r="G826" s="1761"/>
      <c r="H826" s="1761"/>
      <c r="I826" s="1761"/>
      <c r="J826" s="689"/>
      <c r="K826" s="684">
        <f t="shared" si="742"/>
        <v>1</v>
      </c>
      <c r="L826" s="363">
        <v>1</v>
      </c>
      <c r="M826" s="684">
        <f t="shared" si="752"/>
        <v>1</v>
      </c>
      <c r="N826" s="362" t="str">
        <f t="shared" si="724"/>
        <v/>
      </c>
      <c r="O826" s="1763" t="str">
        <f t="shared" si="725"/>
        <v/>
      </c>
      <c r="P826" s="1764" t="str">
        <f t="shared" si="726"/>
        <v/>
      </c>
      <c r="Q826" s="120" t="str">
        <f t="shared" si="727"/>
        <v/>
      </c>
      <c r="R826" s="185"/>
    </row>
    <row r="827" spans="1:20" s="690" customFormat="1">
      <c r="A827" s="687"/>
      <c r="B827" s="1781">
        <v>1</v>
      </c>
      <c r="C827" s="1960" t="str">
        <f>VLOOKUP(D827,base_datos,6,FALSE)</f>
        <v>ITM Riel-Din 2x20A - S202-C-20A - 10kA@400Vac-IEC60947-2 - marca ABB.</v>
      </c>
      <c r="D827" s="1901" t="s">
        <v>969</v>
      </c>
      <c r="E827" s="1791">
        <f>VLOOKUP(D827,base_datos,5,FALSE)</f>
        <v>17.930000000000003</v>
      </c>
      <c r="F827" s="1782">
        <f>+E827*B827</f>
        <v>17.930000000000003</v>
      </c>
      <c r="G827" s="1761"/>
      <c r="H827" s="1761"/>
      <c r="I827" s="1761"/>
      <c r="J827" s="689"/>
      <c r="K827" s="684">
        <f t="shared" si="742"/>
        <v>1</v>
      </c>
      <c r="L827" s="363">
        <v>1</v>
      </c>
      <c r="M827" s="684">
        <f t="shared" ref="M827" si="753">IF(B827="",1,B827)</f>
        <v>1</v>
      </c>
      <c r="N827" s="362">
        <f t="shared" si="724"/>
        <v>1</v>
      </c>
      <c r="O827" s="1763" t="str">
        <f t="shared" si="725"/>
        <v>2CDS252001R0204</v>
      </c>
      <c r="P827" s="1764" t="str">
        <f t="shared" si="726"/>
        <v>ITM Riel-Din 2x20A - S202-C-20A - 10kA@400Vac-IEC60947-2 - marca ABB.</v>
      </c>
      <c r="Q827" s="120" t="str">
        <f t="shared" si="727"/>
        <v>S202-C-20A</v>
      </c>
      <c r="R827" s="185"/>
    </row>
    <row r="828" spans="1:20" s="690" customFormat="1">
      <c r="A828" s="687"/>
      <c r="B828" s="1781">
        <v>5</v>
      </c>
      <c r="C828" s="1960" t="str">
        <f>VLOOKUP(D828,base_datos,6,FALSE)</f>
        <v>ITM Riel-Din 2x16A - S202-C-16A - 10kA@400Vac-IEC60947-2 - marca ABB.</v>
      </c>
      <c r="D828" s="1901" t="s">
        <v>970</v>
      </c>
      <c r="E828" s="1791">
        <f>VLOOKUP(D828,base_datos,5,FALSE)</f>
        <v>17.96</v>
      </c>
      <c r="F828" s="1782">
        <f>+E828*B828</f>
        <v>89.800000000000011</v>
      </c>
      <c r="G828" s="1761"/>
      <c r="H828" s="1761"/>
      <c r="I828" s="1761"/>
      <c r="J828" s="689"/>
      <c r="K828" s="684">
        <f t="shared" si="742"/>
        <v>1</v>
      </c>
      <c r="L828" s="363">
        <v>1</v>
      </c>
      <c r="M828" s="684">
        <f t="shared" si="752"/>
        <v>5</v>
      </c>
      <c r="N828" s="362">
        <f t="shared" si="724"/>
        <v>5</v>
      </c>
      <c r="O828" s="1763" t="str">
        <f t="shared" si="725"/>
        <v>2CDS252001R0164</v>
      </c>
      <c r="P828" s="1764" t="str">
        <f t="shared" si="726"/>
        <v>ITM Riel-Din 2x16A - S202-C-16A - 10kA@400Vac-IEC60947-2 - marca ABB.</v>
      </c>
      <c r="Q828" s="120" t="str">
        <f t="shared" si="727"/>
        <v>S202-C-16A</v>
      </c>
      <c r="R828" s="185"/>
    </row>
    <row r="829" spans="1:20" s="690" customFormat="1">
      <c r="A829" s="687"/>
      <c r="B829" s="1781">
        <v>6</v>
      </c>
      <c r="C829" s="1960" t="str">
        <f>VLOOKUP(D829,base_datos,6,FALSE)</f>
        <v>Interruptor Diferencial 2x25A - 30mA - clase A-APR (alta inmunización) - F202-A APR-25A-30mA  - marca ABB.</v>
      </c>
      <c r="D829" s="1901" t="s">
        <v>1135</v>
      </c>
      <c r="E829" s="1791">
        <f>VLOOKUP(D829,base_datos,5,FALSE)</f>
        <v>86.79</v>
      </c>
      <c r="F829" s="1782">
        <f>+E829*B829</f>
        <v>520.74</v>
      </c>
      <c r="G829" s="1761"/>
      <c r="H829" s="1761"/>
      <c r="I829" s="1761"/>
      <c r="J829" s="689"/>
      <c r="K829" s="684">
        <f t="shared" si="742"/>
        <v>1</v>
      </c>
      <c r="L829" s="363">
        <v>1</v>
      </c>
      <c r="M829" s="684">
        <f t="shared" si="752"/>
        <v>6</v>
      </c>
      <c r="N829" s="362">
        <f t="shared" si="724"/>
        <v>6</v>
      </c>
      <c r="O829" s="1763" t="str">
        <f t="shared" si="725"/>
        <v>2CSF202401R1250</v>
      </c>
      <c r="P829" s="1764" t="str">
        <f t="shared" si="726"/>
        <v>Interruptor Diferencial 2x25A - 30mA - clase A-APR (alta inmunización) - F202-A APR-25A-30mA  - marca ABB.</v>
      </c>
      <c r="Q829" s="120" t="str">
        <f t="shared" si="727"/>
        <v>F202-A APR-25A-30mA</v>
      </c>
      <c r="R829" s="185"/>
    </row>
    <row r="830" spans="1:20" s="690" customFormat="1">
      <c r="A830" s="687"/>
      <c r="B830" s="1781">
        <v>2</v>
      </c>
      <c r="C830" s="1960" t="str">
        <f>VLOOKUP(D830,base_datos,6,FALSE)</f>
        <v>Espacio de reserva monofasica + interruptor diferencial - Riel-Din.</v>
      </c>
      <c r="D830" s="1901" t="s">
        <v>2926</v>
      </c>
      <c r="E830" s="1791">
        <f>VLOOKUP(D830,base_datos,5,FALSE)</f>
        <v>2.5</v>
      </c>
      <c r="F830" s="1782">
        <f>+E830*B830</f>
        <v>5</v>
      </c>
      <c r="G830" s="1761"/>
      <c r="H830" s="1761"/>
      <c r="I830" s="1761"/>
      <c r="J830" s="689"/>
      <c r="K830" s="684">
        <f t="shared" si="742"/>
        <v>1</v>
      </c>
      <c r="L830" s="363">
        <v>1</v>
      </c>
      <c r="M830" s="684">
        <f t="shared" si="752"/>
        <v>2</v>
      </c>
      <c r="N830" s="362" t="str">
        <f t="shared" si="724"/>
        <v/>
      </c>
      <c r="O830" s="1763" t="str">
        <f t="shared" si="725"/>
        <v/>
      </c>
      <c r="P830" s="1764" t="str">
        <f t="shared" si="726"/>
        <v/>
      </c>
      <c r="Q830" s="120" t="str">
        <f t="shared" si="727"/>
        <v/>
      </c>
      <c r="R830" s="185"/>
    </row>
    <row r="831" spans="1:20" s="695" customFormat="1">
      <c r="A831" s="687"/>
      <c r="B831" s="1967">
        <v>1</v>
      </c>
      <c r="C831" s="1946">
        <v>18</v>
      </c>
      <c r="D831" s="1582"/>
      <c r="E831" s="2000">
        <v>59</v>
      </c>
      <c r="F831" s="1968">
        <f t="shared" ref="F831" si="754">+E831*B831</f>
        <v>59</v>
      </c>
      <c r="G831" s="1969"/>
      <c r="H831" s="1969"/>
      <c r="I831" s="1969"/>
      <c r="J831" s="1970"/>
      <c r="K831" s="684">
        <f t="shared" si="742"/>
        <v>1</v>
      </c>
      <c r="L831" s="363">
        <v>1</v>
      </c>
      <c r="M831" s="684">
        <f t="shared" si="752"/>
        <v>1</v>
      </c>
      <c r="N831" s="362" t="str">
        <f t="shared" si="724"/>
        <v/>
      </c>
      <c r="O831" s="1763" t="str">
        <f t="shared" si="725"/>
        <v/>
      </c>
      <c r="P831" s="1764" t="str">
        <f t="shared" si="726"/>
        <v/>
      </c>
      <c r="Q831" s="120" t="str">
        <f t="shared" si="727"/>
        <v/>
      </c>
    </row>
    <row r="832" spans="1:20" s="185" customFormat="1" ht="18" customHeight="1">
      <c r="A832" s="1785"/>
      <c r="B832" s="714"/>
      <c r="C832" s="1893" t="s">
        <v>729</v>
      </c>
      <c r="D832" s="173"/>
      <c r="E832" s="1786"/>
      <c r="F832" s="1787"/>
      <c r="G832" s="710"/>
      <c r="H832" s="710"/>
      <c r="I832" s="710"/>
      <c r="J832" s="711"/>
      <c r="K832" s="684">
        <f>+K822</f>
        <v>1</v>
      </c>
      <c r="L832" s="708">
        <v>1</v>
      </c>
      <c r="M832" s="709">
        <f t="shared" ref="M832" si="755">IF(B832="",1,B832)</f>
        <v>1</v>
      </c>
      <c r="N832" s="362" t="str">
        <f t="shared" ref="N832" si="756">IF(O832&lt;&gt;"",K832*L832*M832,"")</f>
        <v/>
      </c>
      <c r="O832" s="1763" t="str">
        <f t="shared" ref="O832" si="757">IF(D832&lt;&gt;"",IF(VLOOKUP(D832,base_datos,7,FALSE)&lt;&gt;"",VLOOKUP(D832,base_datos,7,FALSE),""),"")</f>
        <v/>
      </c>
      <c r="P832" s="1764" t="str">
        <f t="shared" ref="P832" si="758">IF(O832&lt;&gt;"",VLOOKUP(D832,base_datos,6,FALSE),"")</f>
        <v/>
      </c>
      <c r="Q832" s="120" t="str">
        <f t="shared" ref="Q832" si="759">IF(O832&lt;&gt;"",D832,"")</f>
        <v/>
      </c>
    </row>
    <row r="833" spans="1:20" s="315" customFormat="1" ht="12.75" customHeight="1">
      <c r="A833" s="2271"/>
      <c r="B833" s="2272">
        <v>1</v>
      </c>
      <c r="C833" s="2281" t="s">
        <v>13366</v>
      </c>
      <c r="D833" s="1935"/>
      <c r="E833" s="2287"/>
      <c r="F833" s="2257">
        <f>+SUM(F834:F837)*(B833-1)</f>
        <v>0</v>
      </c>
      <c r="G833" s="712"/>
      <c r="H833" s="712"/>
      <c r="I833" s="712"/>
      <c r="J833" s="713"/>
      <c r="K833" s="684">
        <f>+K829</f>
        <v>1</v>
      </c>
      <c r="L833" s="2258">
        <v>1</v>
      </c>
      <c r="M833" s="120">
        <f t="shared" si="752"/>
        <v>1</v>
      </c>
      <c r="N833" s="112" t="str">
        <f t="shared" si="724"/>
        <v/>
      </c>
      <c r="O833" s="112" t="str">
        <f t="shared" si="725"/>
        <v/>
      </c>
      <c r="P833" s="120" t="str">
        <f t="shared" si="726"/>
        <v/>
      </c>
      <c r="Q833" s="120" t="str">
        <f t="shared" si="727"/>
        <v/>
      </c>
      <c r="S833" s="112" t="str">
        <f t="shared" ref="S833:S838" si="760">IF(O833&lt;&gt;"",VLOOKUP(D833,base_datos,9,FALSE),"")</f>
        <v/>
      </c>
      <c r="T833" s="2128"/>
    </row>
    <row r="834" spans="1:20" s="690" customFormat="1" ht="18" customHeight="1">
      <c r="A834" s="2273"/>
      <c r="B834" s="1781">
        <v>1</v>
      </c>
      <c r="C834" s="1420" t="str">
        <f t="shared" ref="C834:C837" si="761">VLOOKUP(D834,base_datos,6,FALSE)</f>
        <v>Calefactor resistivo 60W, modelo RACM - marca FANDIS.</v>
      </c>
      <c r="D834" s="1899" t="s">
        <v>3298</v>
      </c>
      <c r="E834" s="2288">
        <f t="shared" ref="E834" si="762">VLOOKUP(D834,base_datos,5,FALSE)</f>
        <v>127.1</v>
      </c>
      <c r="F834" s="1782">
        <f>+E834*B834</f>
        <v>127.1</v>
      </c>
      <c r="G834" s="1761"/>
      <c r="H834" s="1761"/>
      <c r="I834" s="1761"/>
      <c r="J834" s="689"/>
      <c r="K834" s="684">
        <f>+K830</f>
        <v>1</v>
      </c>
      <c r="L834" s="2258">
        <v>1</v>
      </c>
      <c r="M834" s="120">
        <f t="shared" si="752"/>
        <v>1</v>
      </c>
      <c r="N834" s="112">
        <f t="shared" si="724"/>
        <v>1</v>
      </c>
      <c r="O834" s="112" t="str">
        <f t="shared" si="725"/>
        <v>RACM-60</v>
      </c>
      <c r="P834" s="120" t="str">
        <f t="shared" si="726"/>
        <v>Calefactor resistivo 60W, modelo RACM - marca FANDIS.</v>
      </c>
      <c r="Q834" s="120" t="str">
        <f t="shared" si="727"/>
        <v>CALEFACT-60W_FAND</v>
      </c>
      <c r="S834" s="112" t="str">
        <f t="shared" si="760"/>
        <v>FANDIS</v>
      </c>
      <c r="T834" s="1765"/>
    </row>
    <row r="835" spans="1:20" s="690" customFormat="1" ht="18" customHeight="1">
      <c r="A835" s="2273"/>
      <c r="B835" s="1781">
        <v>1</v>
      </c>
      <c r="C835" s="1420" t="str">
        <f t="shared" si="761"/>
        <v>Termostato para ventilación - 1NA - 230V - marca FANDIS.</v>
      </c>
      <c r="D835" s="1899" t="s">
        <v>3294</v>
      </c>
      <c r="E835" s="2288">
        <f t="shared" ref="E835:E837" si="763">VLOOKUP(D835,base_datos,5,FALSE)</f>
        <v>41.58</v>
      </c>
      <c r="F835" s="1782">
        <f>+E835*B835</f>
        <v>41.58</v>
      </c>
      <c r="G835" s="1761"/>
      <c r="H835" s="1761"/>
      <c r="I835" s="1761"/>
      <c r="J835" s="689"/>
      <c r="K835" s="684">
        <f>+K831</f>
        <v>1</v>
      </c>
      <c r="L835" s="2258">
        <v>1</v>
      </c>
      <c r="M835" s="120">
        <f t="shared" si="752"/>
        <v>1</v>
      </c>
      <c r="N835" s="112">
        <f t="shared" si="724"/>
        <v>1</v>
      </c>
      <c r="O835" s="112" t="str">
        <f t="shared" si="725"/>
        <v>TRT-10A230V-NO</v>
      </c>
      <c r="P835" s="120" t="str">
        <f t="shared" si="726"/>
        <v>Termostato para ventilación - 1NA - 230V - marca FANDIS.</v>
      </c>
      <c r="Q835" s="120" t="str">
        <f t="shared" si="727"/>
        <v>TRT-1NA</v>
      </c>
      <c r="S835" s="112" t="str">
        <f t="shared" si="760"/>
        <v>FANDIS</v>
      </c>
      <c r="T835" s="1765"/>
    </row>
    <row r="836" spans="1:20" s="320" customFormat="1" ht="12.75" customHeight="1">
      <c r="A836" s="2274"/>
      <c r="B836" s="2275">
        <v>1</v>
      </c>
      <c r="C836" s="2282" t="str">
        <f t="shared" si="761"/>
        <v>Base portafusibles + Fusibles de protección para control.</v>
      </c>
      <c r="D836" s="1579" t="s">
        <v>453</v>
      </c>
      <c r="E836" s="2289">
        <f t="shared" si="763"/>
        <v>8.1750000000000007</v>
      </c>
      <c r="F836" s="2264">
        <f>+E836*B836</f>
        <v>8.1750000000000007</v>
      </c>
      <c r="G836" s="2276"/>
      <c r="H836" s="2276"/>
      <c r="I836" s="2276"/>
      <c r="J836" s="722"/>
      <c r="K836" s="684">
        <f t="shared" si="742"/>
        <v>1</v>
      </c>
      <c r="L836" s="2258">
        <v>1</v>
      </c>
      <c r="M836" s="120">
        <f t="shared" si="752"/>
        <v>1</v>
      </c>
      <c r="N836" s="112" t="str">
        <f t="shared" si="724"/>
        <v/>
      </c>
      <c r="O836" s="112" t="str">
        <f t="shared" si="725"/>
        <v/>
      </c>
      <c r="P836" s="120" t="str">
        <f t="shared" si="726"/>
        <v/>
      </c>
      <c r="Q836" s="120" t="str">
        <f t="shared" si="727"/>
        <v/>
      </c>
      <c r="R836" s="185"/>
      <c r="S836" s="112" t="str">
        <f t="shared" si="760"/>
        <v/>
      </c>
      <c r="T836" s="709"/>
    </row>
    <row r="837" spans="1:20" s="320" customFormat="1" ht="12.75" customHeight="1">
      <c r="A837" s="2274"/>
      <c r="B837" s="2277">
        <v>1</v>
      </c>
      <c r="C837" s="2282" t="str">
        <f t="shared" si="761"/>
        <v>Borne 4mm2.</v>
      </c>
      <c r="D837" s="1579" t="s">
        <v>437</v>
      </c>
      <c r="E837" s="2260">
        <f t="shared" si="763"/>
        <v>2.5</v>
      </c>
      <c r="F837" s="2260">
        <f>+E837*B837</f>
        <v>2.5</v>
      </c>
      <c r="G837" s="2276"/>
      <c r="H837" s="2276"/>
      <c r="I837" s="2276"/>
      <c r="J837" s="722"/>
      <c r="K837" s="684">
        <f t="shared" si="742"/>
        <v>1</v>
      </c>
      <c r="L837" s="2258">
        <v>1</v>
      </c>
      <c r="M837" s="120">
        <f t="shared" si="752"/>
        <v>1</v>
      </c>
      <c r="N837" s="112" t="str">
        <f t="shared" si="724"/>
        <v/>
      </c>
      <c r="O837" s="112" t="str">
        <f t="shared" si="725"/>
        <v/>
      </c>
      <c r="P837" s="120" t="str">
        <f t="shared" si="726"/>
        <v/>
      </c>
      <c r="Q837" s="120" t="str">
        <f t="shared" si="727"/>
        <v/>
      </c>
      <c r="R837" s="185"/>
      <c r="S837" s="112" t="str">
        <f t="shared" si="760"/>
        <v/>
      </c>
      <c r="T837" s="709"/>
    </row>
    <row r="838" spans="1:20" s="185" customFormat="1" ht="12.75" customHeight="1">
      <c r="A838" s="2262"/>
      <c r="B838" s="1760"/>
      <c r="C838" s="1893" t="s">
        <v>729</v>
      </c>
      <c r="D838" s="169"/>
      <c r="E838" s="2256"/>
      <c r="F838" s="2278"/>
      <c r="G838" s="710"/>
      <c r="H838" s="710"/>
      <c r="I838" s="710"/>
      <c r="J838" s="711"/>
      <c r="K838" s="684">
        <f t="shared" si="742"/>
        <v>1</v>
      </c>
      <c r="L838" s="2258">
        <v>1</v>
      </c>
      <c r="M838" s="120">
        <f t="shared" si="752"/>
        <v>1</v>
      </c>
      <c r="N838" s="112" t="str">
        <f t="shared" si="724"/>
        <v/>
      </c>
      <c r="O838" s="112" t="str">
        <f t="shared" si="725"/>
        <v/>
      </c>
      <c r="P838" s="120" t="str">
        <f t="shared" si="726"/>
        <v/>
      </c>
      <c r="Q838" s="120" t="str">
        <f t="shared" si="727"/>
        <v/>
      </c>
      <c r="S838" s="112" t="str">
        <f t="shared" si="760"/>
        <v/>
      </c>
      <c r="T838" s="118"/>
    </row>
    <row r="839" spans="1:20" s="1236" customFormat="1" ht="18" customHeight="1">
      <c r="A839" s="1767"/>
      <c r="B839" s="1853">
        <v>1</v>
      </c>
      <c r="C839" s="1895" t="s">
        <v>12474</v>
      </c>
      <c r="D839" s="1902"/>
      <c r="E839" s="1792"/>
      <c r="F839" s="1793"/>
      <c r="G839" s="1784"/>
      <c r="H839" s="1784"/>
      <c r="I839" s="1784"/>
      <c r="J839" s="1182"/>
      <c r="K839" s="684">
        <f>+K829</f>
        <v>1</v>
      </c>
      <c r="L839" s="708">
        <v>1</v>
      </c>
      <c r="M839" s="709">
        <f t="shared" si="752"/>
        <v>1</v>
      </c>
      <c r="N839" s="362" t="str">
        <f t="shared" si="724"/>
        <v/>
      </c>
      <c r="O839" s="1763" t="str">
        <f t="shared" si="725"/>
        <v/>
      </c>
      <c r="P839" s="1764" t="str">
        <f t="shared" si="726"/>
        <v/>
      </c>
      <c r="Q839" s="120" t="str">
        <f t="shared" si="727"/>
        <v/>
      </c>
      <c r="R839" s="185"/>
    </row>
    <row r="840" spans="1:20" s="1236" customFormat="1" ht="18" customHeight="1">
      <c r="A840" s="1767"/>
      <c r="B840" s="1853">
        <v>1</v>
      </c>
      <c r="C840" s="1848" t="str">
        <f>VLOOKUP(D840,base_datos,6,FALSE)</f>
        <v>Embalaje especial completamente cerrado para tablero adosado de 1600x600x220mm</v>
      </c>
      <c r="D840" s="1902" t="s">
        <v>12453</v>
      </c>
      <c r="E840" s="1795">
        <f t="shared" ref="E840" si="764">VLOOKUP(D840,base_datos,5,FALSE)</f>
        <v>271.40000000000003</v>
      </c>
      <c r="F840" s="1796">
        <f t="shared" ref="F840" si="765">+E840*B840</f>
        <v>271.40000000000003</v>
      </c>
      <c r="G840" s="1784"/>
      <c r="H840" s="1784"/>
      <c r="I840" s="1784"/>
      <c r="J840" s="1182"/>
      <c r="K840" s="684">
        <f>+K830</f>
        <v>1</v>
      </c>
      <c r="L840" s="708">
        <v>1</v>
      </c>
      <c r="M840" s="709">
        <f t="shared" si="752"/>
        <v>1</v>
      </c>
      <c r="N840" s="362">
        <f t="shared" si="724"/>
        <v>1</v>
      </c>
      <c r="O840" s="1763" t="str">
        <f t="shared" si="725"/>
        <v>EMBAL_ADOS_1600x600x220mm</v>
      </c>
      <c r="P840" s="1764" t="str">
        <f t="shared" si="726"/>
        <v>Embalaje especial completamente cerrado para tablero adosado de 1600x600x220mm</v>
      </c>
      <c r="Q840" s="120" t="str">
        <f t="shared" si="727"/>
        <v>EMBAL_ADOS_1600x600x220mm</v>
      </c>
      <c r="R840" s="185"/>
    </row>
    <row r="841" spans="1:20" s="185" customFormat="1" ht="18" customHeight="1">
      <c r="A841" s="1785"/>
      <c r="B841" s="714"/>
      <c r="C841" s="1893" t="s">
        <v>729</v>
      </c>
      <c r="D841" s="173"/>
      <c r="E841" s="1786"/>
      <c r="F841" s="1787"/>
      <c r="G841" s="710"/>
      <c r="H841" s="710"/>
      <c r="I841" s="710"/>
      <c r="J841" s="711"/>
      <c r="K841" s="684">
        <f>+K831</f>
        <v>1</v>
      </c>
      <c r="L841" s="708">
        <v>1</v>
      </c>
      <c r="M841" s="709">
        <f t="shared" si="752"/>
        <v>1</v>
      </c>
      <c r="N841" s="362" t="str">
        <f t="shared" si="724"/>
        <v/>
      </c>
      <c r="O841" s="1763" t="str">
        <f t="shared" si="725"/>
        <v/>
      </c>
      <c r="P841" s="1764" t="str">
        <f t="shared" si="726"/>
        <v/>
      </c>
      <c r="Q841" s="120" t="str">
        <f t="shared" si="727"/>
        <v/>
      </c>
    </row>
    <row r="842" spans="1:20" s="1236" customFormat="1" ht="18" customHeight="1">
      <c r="A842" s="1767"/>
      <c r="B842" s="1853">
        <v>1</v>
      </c>
      <c r="C842" s="1895" t="s">
        <v>12364</v>
      </c>
      <c r="D842" s="1902"/>
      <c r="E842" s="1792"/>
      <c r="F842" s="1793"/>
      <c r="G842" s="1784"/>
      <c r="H842" s="1784"/>
      <c r="I842" s="1784"/>
      <c r="J842" s="1182"/>
      <c r="K842" s="684">
        <f t="shared" si="742"/>
        <v>1</v>
      </c>
      <c r="L842" s="708">
        <v>1</v>
      </c>
      <c r="M842" s="709">
        <f t="shared" si="752"/>
        <v>1</v>
      </c>
      <c r="N842" s="362" t="str">
        <f t="shared" si="724"/>
        <v/>
      </c>
      <c r="O842" s="1763" t="str">
        <f t="shared" si="725"/>
        <v/>
      </c>
      <c r="P842" s="1764" t="str">
        <f t="shared" si="726"/>
        <v/>
      </c>
      <c r="Q842" s="120" t="str">
        <f t="shared" si="727"/>
        <v/>
      </c>
      <c r="R842" s="185"/>
    </row>
    <row r="843" spans="1:20" s="695" customFormat="1" ht="18" customHeight="1">
      <c r="A843" s="693"/>
      <c r="B843" s="1922">
        <v>1</v>
      </c>
      <c r="C843" s="1848" t="str">
        <f t="shared" ref="C843" si="766">VLOOKUP(D843,base_datos,6,FALSE)</f>
        <v>Placa lamicoid rotulación de 3mm de espesor, fondo negro y letras blancas.</v>
      </c>
      <c r="D843" s="1886" t="s">
        <v>8570</v>
      </c>
      <c r="E843" s="1795">
        <f t="shared" ref="E843" si="767">VLOOKUP(D843,base_datos,5,FALSE)</f>
        <v>2.2000000000000002</v>
      </c>
      <c r="F843" s="1796">
        <f t="shared" ref="F843" si="768">+E843*B843</f>
        <v>2.2000000000000002</v>
      </c>
      <c r="G843" s="696"/>
      <c r="H843" s="696"/>
      <c r="I843" s="696"/>
      <c r="J843" s="697"/>
      <c r="K843" s="684">
        <f t="shared" si="742"/>
        <v>1</v>
      </c>
      <c r="L843" s="708">
        <v>1</v>
      </c>
      <c r="M843" s="709">
        <f t="shared" si="752"/>
        <v>1</v>
      </c>
      <c r="N843" s="362">
        <f t="shared" si="724"/>
        <v>1</v>
      </c>
      <c r="O843" s="1763" t="str">
        <f t="shared" si="725"/>
        <v>Placa lamicoid p/distr.</v>
      </c>
      <c r="P843" s="1764" t="str">
        <f t="shared" si="726"/>
        <v>Placa lamicoid rotulación de 3mm de espesor, fondo negro y letras blancas.</v>
      </c>
      <c r="Q843" s="120" t="str">
        <f t="shared" si="727"/>
        <v>Placa lamicoid p/distr.</v>
      </c>
      <c r="R843" s="185"/>
    </row>
    <row r="844" spans="1:20" s="185" customFormat="1" ht="18" customHeight="1">
      <c r="A844" s="1785"/>
      <c r="B844" s="714"/>
      <c r="C844" s="1893" t="s">
        <v>729</v>
      </c>
      <c r="D844" s="173"/>
      <c r="E844" s="1786"/>
      <c r="F844" s="1787"/>
      <c r="G844" s="710"/>
      <c r="H844" s="710"/>
      <c r="I844" s="710"/>
      <c r="J844" s="711"/>
      <c r="K844" s="684">
        <f t="shared" si="742"/>
        <v>1</v>
      </c>
      <c r="L844" s="708">
        <v>1</v>
      </c>
      <c r="M844" s="709">
        <f t="shared" si="752"/>
        <v>1</v>
      </c>
      <c r="N844" s="362" t="str">
        <f t="shared" si="724"/>
        <v/>
      </c>
      <c r="O844" s="1763" t="str">
        <f t="shared" si="725"/>
        <v/>
      </c>
      <c r="P844" s="1764" t="str">
        <f t="shared" si="726"/>
        <v/>
      </c>
      <c r="Q844" s="120" t="str">
        <f t="shared" si="727"/>
        <v/>
      </c>
    </row>
    <row r="845" spans="1:20" s="1521" customFormat="1">
      <c r="A845" s="1972"/>
      <c r="B845" s="714">
        <v>1</v>
      </c>
      <c r="C845" s="1960" t="str">
        <f>VLOOKUP(D845,base_datos,6,FALSE)</f>
        <v>Barra a tierra aislada.</v>
      </c>
      <c r="D845" s="1973" t="s">
        <v>2911</v>
      </c>
      <c r="E845" s="1580">
        <f t="shared" ref="E845:E846" si="769">VLOOKUP(D845,base_datos,5,FALSE)</f>
        <v>25</v>
      </c>
      <c r="F845" s="1581">
        <f t="shared" ref="F845:F851" si="770">+E845*B845</f>
        <v>25</v>
      </c>
      <c r="G845" s="1974"/>
      <c r="H845" s="1974"/>
      <c r="I845" s="1974"/>
      <c r="J845" s="1975"/>
      <c r="K845" s="684">
        <f t="shared" si="742"/>
        <v>1</v>
      </c>
      <c r="L845" s="363">
        <v>1</v>
      </c>
      <c r="M845" s="684">
        <f t="shared" si="752"/>
        <v>1</v>
      </c>
      <c r="N845" s="362" t="str">
        <f t="shared" si="724"/>
        <v/>
      </c>
      <c r="O845" s="1763" t="str">
        <f t="shared" si="725"/>
        <v/>
      </c>
      <c r="P845" s="1764" t="str">
        <f t="shared" si="726"/>
        <v/>
      </c>
      <c r="Q845" s="120" t="str">
        <f t="shared" si="727"/>
        <v/>
      </c>
      <c r="R845" s="690"/>
      <c r="S845" s="1237"/>
      <c r="T845" s="1237"/>
    </row>
    <row r="846" spans="1:20" s="695" customFormat="1" ht="18" customHeight="1">
      <c r="A846" s="693"/>
      <c r="B846" s="1794">
        <v>1</v>
      </c>
      <c r="C846" s="1420" t="str">
        <f t="shared" ref="C846" si="771">VLOOKUP(D846,base_datos,6,FALSE)</f>
        <v>Barra a tierra.</v>
      </c>
      <c r="D846" s="1790" t="s">
        <v>8299</v>
      </c>
      <c r="E846" s="1795">
        <f t="shared" si="769"/>
        <v>10</v>
      </c>
      <c r="F846" s="1796">
        <f t="shared" si="770"/>
        <v>10</v>
      </c>
      <c r="G846" s="696"/>
      <c r="H846" s="696"/>
      <c r="I846" s="696"/>
      <c r="J846" s="697"/>
      <c r="K846" s="684">
        <f t="shared" si="742"/>
        <v>1</v>
      </c>
      <c r="L846" s="708">
        <v>1</v>
      </c>
      <c r="M846" s="709">
        <f t="shared" si="752"/>
        <v>1</v>
      </c>
      <c r="N846" s="362" t="str">
        <f t="shared" si="724"/>
        <v/>
      </c>
      <c r="O846" s="1763" t="str">
        <f t="shared" si="725"/>
        <v/>
      </c>
      <c r="P846" s="1764" t="str">
        <f t="shared" si="726"/>
        <v/>
      </c>
      <c r="Q846" s="120" t="str">
        <f t="shared" si="727"/>
        <v/>
      </c>
      <c r="R846" s="185"/>
    </row>
    <row r="847" spans="1:20" s="897" customFormat="1" ht="18" customHeight="1">
      <c r="A847" s="693"/>
      <c r="B847" s="895">
        <v>20</v>
      </c>
      <c r="C847" s="721" t="str">
        <f>VLOOKUP(D847,base_datos,6,FALSE)</f>
        <v>Rotulado por circuito.</v>
      </c>
      <c r="D847" s="1579" t="s">
        <v>3067</v>
      </c>
      <c r="E847" s="1580">
        <f>VLOOKUP(D847,base_datos,5,FALSE)</f>
        <v>0.7</v>
      </c>
      <c r="F847" s="1581">
        <f t="shared" si="770"/>
        <v>14</v>
      </c>
      <c r="G847" s="1772"/>
      <c r="H847" s="1772"/>
      <c r="I847" s="1772"/>
      <c r="J847" s="896"/>
      <c r="K847" s="684">
        <f t="shared" si="742"/>
        <v>1</v>
      </c>
      <c r="L847" s="708">
        <v>1</v>
      </c>
      <c r="M847" s="709">
        <f t="shared" si="752"/>
        <v>20</v>
      </c>
      <c r="N847" s="362" t="str">
        <f t="shared" si="724"/>
        <v/>
      </c>
      <c r="O847" s="1763" t="str">
        <f t="shared" si="725"/>
        <v/>
      </c>
      <c r="P847" s="1764" t="str">
        <f t="shared" si="726"/>
        <v/>
      </c>
      <c r="Q847" s="120" t="str">
        <f t="shared" si="727"/>
        <v/>
      </c>
    </row>
    <row r="848" spans="1:20" s="897" customFormat="1" ht="18" customHeight="1">
      <c r="A848" s="693"/>
      <c r="B848" s="895">
        <v>1</v>
      </c>
      <c r="C848" s="721" t="str">
        <f>VLOOKUP(D848,base_datos,6,FALSE)</f>
        <v>Rotulado para TAG - tablero de distribución.</v>
      </c>
      <c r="D848" s="1579" t="s">
        <v>3066</v>
      </c>
      <c r="E848" s="1580">
        <f>VLOOKUP(D848,base_datos,5,FALSE)</f>
        <v>1.5</v>
      </c>
      <c r="F848" s="1581">
        <f t="shared" si="770"/>
        <v>1.5</v>
      </c>
      <c r="G848" s="1772"/>
      <c r="H848" s="1772"/>
      <c r="I848" s="1772"/>
      <c r="J848" s="896"/>
      <c r="K848" s="684">
        <f t="shared" si="742"/>
        <v>1</v>
      </c>
      <c r="L848" s="708">
        <v>1</v>
      </c>
      <c r="M848" s="709">
        <f t="shared" si="752"/>
        <v>1</v>
      </c>
      <c r="N848" s="362" t="str">
        <f t="shared" ref="N848:N926" si="772">IF(O848&lt;&gt;"",K848*L848*M848,"")</f>
        <v/>
      </c>
      <c r="O848" s="1763" t="str">
        <f t="shared" ref="O848:O926" si="773">IF(D848&lt;&gt;"",IF(VLOOKUP(D848,base_datos,7,FALSE)&lt;&gt;"",VLOOKUP(D848,base_datos,7,FALSE),""),"")</f>
        <v/>
      </c>
      <c r="P848" s="1764" t="str">
        <f t="shared" ref="P848:P926" si="774">IF(O848&lt;&gt;"",VLOOKUP(D848,base_datos,6,FALSE),"")</f>
        <v/>
      </c>
      <c r="Q848" s="120" t="str">
        <f t="shared" ref="Q848:Q926" si="775">IF(O848&lt;&gt;"",D848,"")</f>
        <v/>
      </c>
    </row>
    <row r="849" spans="1:18" s="1237" customFormat="1" ht="18" customHeight="1">
      <c r="A849" s="1767"/>
      <c r="B849" s="2093">
        <v>1</v>
      </c>
      <c r="C849" s="694" t="s">
        <v>12552</v>
      </c>
      <c r="D849" s="1888"/>
      <c r="E849" s="1580">
        <f>E851*15%</f>
        <v>27</v>
      </c>
      <c r="F849" s="1581">
        <f t="shared" si="770"/>
        <v>27</v>
      </c>
      <c r="G849" s="1774"/>
      <c r="H849" s="1774"/>
      <c r="I849" s="1774"/>
      <c r="J849" s="1181"/>
      <c r="K849" s="684">
        <f t="shared" si="742"/>
        <v>1</v>
      </c>
      <c r="L849" s="708">
        <v>1</v>
      </c>
      <c r="M849" s="709">
        <f t="shared" si="752"/>
        <v>1</v>
      </c>
      <c r="N849" s="362" t="str">
        <f t="shared" si="772"/>
        <v/>
      </c>
      <c r="O849" s="1763" t="str">
        <f t="shared" si="773"/>
        <v/>
      </c>
      <c r="P849" s="1764" t="str">
        <f t="shared" si="774"/>
        <v/>
      </c>
      <c r="Q849" s="120" t="str">
        <f t="shared" si="775"/>
        <v/>
      </c>
      <c r="R849" s="1765"/>
    </row>
    <row r="850" spans="1:18" s="1237" customFormat="1" ht="18" customHeight="1">
      <c r="A850" s="1767"/>
      <c r="B850" s="1773">
        <v>1</v>
      </c>
      <c r="C850" s="694" t="s">
        <v>12559</v>
      </c>
      <c r="D850" s="1888"/>
      <c r="E850" s="1999">
        <f>E851*20%</f>
        <v>36</v>
      </c>
      <c r="F850" s="1581">
        <f t="shared" si="770"/>
        <v>36</v>
      </c>
      <c r="G850" s="1774"/>
      <c r="H850" s="1774"/>
      <c r="I850" s="1774"/>
      <c r="J850" s="1181"/>
      <c r="K850" s="684">
        <f>+K848</f>
        <v>1</v>
      </c>
      <c r="L850" s="708">
        <v>1</v>
      </c>
      <c r="M850" s="709">
        <f t="shared" si="752"/>
        <v>1</v>
      </c>
      <c r="N850" s="362" t="str">
        <f t="shared" si="772"/>
        <v/>
      </c>
      <c r="O850" s="1763" t="str">
        <f t="shared" si="773"/>
        <v/>
      </c>
      <c r="P850" s="1764" t="str">
        <f t="shared" si="774"/>
        <v/>
      </c>
      <c r="Q850" s="120" t="str">
        <f t="shared" si="775"/>
        <v/>
      </c>
      <c r="R850" s="1765"/>
    </row>
    <row r="851" spans="1:18" s="1237" customFormat="1" ht="18" customHeight="1">
      <c r="A851" s="1767"/>
      <c r="B851" s="1773">
        <v>1</v>
      </c>
      <c r="C851" s="694" t="s">
        <v>12493</v>
      </c>
      <c r="D851" s="2071"/>
      <c r="E851" s="1581">
        <v>180</v>
      </c>
      <c r="F851" s="1581">
        <f t="shared" si="770"/>
        <v>180</v>
      </c>
      <c r="G851" s="1774"/>
      <c r="H851" s="1774"/>
      <c r="I851" s="1774"/>
      <c r="J851" s="1181"/>
      <c r="K851" s="684">
        <f>+K847</f>
        <v>1</v>
      </c>
      <c r="L851" s="708">
        <v>1</v>
      </c>
      <c r="M851" s="709">
        <f t="shared" si="752"/>
        <v>1</v>
      </c>
      <c r="N851" s="362" t="str">
        <f t="shared" si="772"/>
        <v/>
      </c>
      <c r="O851" s="1763" t="str">
        <f t="shared" si="773"/>
        <v/>
      </c>
      <c r="P851" s="1764" t="str">
        <f t="shared" si="774"/>
        <v/>
      </c>
      <c r="Q851" s="120" t="str">
        <f t="shared" si="775"/>
        <v/>
      </c>
      <c r="R851" s="1765"/>
    </row>
    <row r="852" spans="1:18" s="20" customFormat="1" ht="18" customHeight="1" thickBot="1">
      <c r="A852" s="699"/>
      <c r="B852" s="1775"/>
      <c r="C852" s="1776"/>
      <c r="D852" s="2016"/>
      <c r="E852" s="1981"/>
      <c r="F852" s="1981"/>
      <c r="G852" s="1777"/>
      <c r="H852" s="1777"/>
      <c r="I852" s="1777"/>
      <c r="J852" s="1778"/>
      <c r="K852" s="684"/>
      <c r="L852" s="363"/>
      <c r="M852" s="709"/>
      <c r="N852" s="362" t="str">
        <f t="shared" si="772"/>
        <v/>
      </c>
      <c r="O852" s="1763" t="str">
        <f t="shared" si="773"/>
        <v/>
      </c>
      <c r="P852" s="1764" t="str">
        <f t="shared" si="774"/>
        <v/>
      </c>
      <c r="Q852" s="120" t="str">
        <f t="shared" si="775"/>
        <v/>
      </c>
      <c r="R852" s="1765"/>
    </row>
    <row r="853" spans="1:18" s="120" customFormat="1" ht="18" customHeight="1" thickBot="1">
      <c r="A853" s="1989">
        <v>14</v>
      </c>
      <c r="B853" s="1852">
        <v>1</v>
      </c>
      <c r="C853" s="1756" t="s">
        <v>12579</v>
      </c>
      <c r="D853" s="1588"/>
      <c r="E853" s="1589"/>
      <c r="F853" s="1589"/>
      <c r="G853" s="1757">
        <f>SUM(F854:F928)</f>
        <v>10491.593738127545</v>
      </c>
      <c r="H853" s="1758">
        <f>G853*(1-$D$6)</f>
        <v>10491.593738127545</v>
      </c>
      <c r="I853" s="1757">
        <f>ROUNDUP(H853*$D$5,0)</f>
        <v>35672</v>
      </c>
      <c r="J853" s="1759">
        <f>+I853*B853</f>
        <v>35672</v>
      </c>
      <c r="K853" s="1788">
        <f>B853</f>
        <v>1</v>
      </c>
      <c r="L853" s="363"/>
      <c r="M853" s="684"/>
      <c r="N853" s="362" t="str">
        <f t="shared" si="772"/>
        <v/>
      </c>
      <c r="O853" s="1763" t="str">
        <f t="shared" si="773"/>
        <v/>
      </c>
      <c r="P853" s="1764" t="str">
        <f t="shared" si="774"/>
        <v/>
      </c>
      <c r="Q853" s="120" t="str">
        <f t="shared" si="775"/>
        <v/>
      </c>
      <c r="R853" s="185"/>
    </row>
    <row r="854" spans="1:18" s="120" customFormat="1" ht="18" customHeight="1">
      <c r="A854" s="685" t="s">
        <v>3162</v>
      </c>
      <c r="B854" s="1903"/>
      <c r="C854" s="1890"/>
      <c r="D854" s="1904"/>
      <c r="E854" s="1789"/>
      <c r="F854" s="1780"/>
      <c r="G854" s="686"/>
      <c r="H854" s="710"/>
      <c r="I854" s="686"/>
      <c r="J854" s="1768"/>
      <c r="K854" s="684">
        <f t="shared" ref="K854:K858" si="776">+K853</f>
        <v>1</v>
      </c>
      <c r="L854" s="363">
        <v>1</v>
      </c>
      <c r="M854" s="709">
        <f t="shared" ref="M854:M868" si="777">IF(B854="",1,B854)</f>
        <v>1</v>
      </c>
      <c r="N854" s="362" t="str">
        <f t="shared" si="772"/>
        <v/>
      </c>
      <c r="O854" s="1763" t="str">
        <f t="shared" si="773"/>
        <v/>
      </c>
      <c r="P854" s="1764" t="str">
        <f t="shared" si="774"/>
        <v/>
      </c>
      <c r="Q854" s="120" t="str">
        <f t="shared" si="775"/>
        <v/>
      </c>
    </row>
    <row r="855" spans="1:18" s="315" customFormat="1">
      <c r="A855" s="687" t="s">
        <v>4021</v>
      </c>
      <c r="B855" s="2096">
        <v>1</v>
      </c>
      <c r="C855" s="1907" t="s">
        <v>5103</v>
      </c>
      <c r="D855" s="1935"/>
      <c r="E855" s="1786"/>
      <c r="F855" s="1908">
        <f>SUM(F857:F861)*(B855-1)</f>
        <v>0</v>
      </c>
      <c r="G855" s="712"/>
      <c r="H855" s="712"/>
      <c r="I855" s="712"/>
      <c r="J855" s="713"/>
      <c r="K855" s="684">
        <f t="shared" si="776"/>
        <v>1</v>
      </c>
      <c r="L855" s="1909">
        <f>B855</f>
        <v>1</v>
      </c>
      <c r="M855" s="684">
        <f t="shared" si="777"/>
        <v>1</v>
      </c>
      <c r="N855" s="362" t="str">
        <f t="shared" si="772"/>
        <v/>
      </c>
      <c r="O855" s="1763" t="str">
        <f t="shared" si="773"/>
        <v/>
      </c>
      <c r="P855" s="1764" t="str">
        <f t="shared" si="774"/>
        <v/>
      </c>
      <c r="Q855" s="120" t="str">
        <f t="shared" si="775"/>
        <v/>
      </c>
    </row>
    <row r="856" spans="1:18" s="185" customFormat="1">
      <c r="A856" s="687" t="s">
        <v>4136</v>
      </c>
      <c r="B856" s="1910">
        <v>3</v>
      </c>
      <c r="C856" s="1911" t="str">
        <f>VLOOKUP(D856,base_datos,6,FALSE)</f>
        <v>Portalámpara + lampara tipo LED - color Rojo - alimentacion: 220-230Vac, d=22mm. - CL2-523R - línea compacta - marca ABB.</v>
      </c>
      <c r="D856" s="1790" t="s">
        <v>2439</v>
      </c>
      <c r="E856" s="1939">
        <f>VLOOKUP(D856,base_datos,5,FALSE)</f>
        <v>12.299999999999999</v>
      </c>
      <c r="F856" s="1912">
        <f>+E856*B856</f>
        <v>36.9</v>
      </c>
      <c r="G856" s="710"/>
      <c r="H856" s="710"/>
      <c r="I856" s="710"/>
      <c r="J856" s="711"/>
      <c r="K856" s="684">
        <f>+K854</f>
        <v>1</v>
      </c>
      <c r="L856" s="1913">
        <f>L854</f>
        <v>1</v>
      </c>
      <c r="M856" s="684">
        <f t="shared" si="777"/>
        <v>3</v>
      </c>
      <c r="N856" s="362">
        <f t="shared" si="772"/>
        <v>3</v>
      </c>
      <c r="O856" s="1763" t="str">
        <f t="shared" si="773"/>
        <v>1SFA619403R5231</v>
      </c>
      <c r="P856" s="1764" t="str">
        <f t="shared" si="774"/>
        <v>Portalámpara + lampara tipo LED - color Rojo - alimentacion: 220-230Vac, d=22mm. - CL2-523R - línea compacta - marca ABB.</v>
      </c>
      <c r="Q856" s="120" t="str">
        <f t="shared" si="775"/>
        <v>LAMP_ROJO_220V</v>
      </c>
    </row>
    <row r="857" spans="1:18" s="185" customFormat="1">
      <c r="A857" s="687"/>
      <c r="B857" s="1910">
        <v>3</v>
      </c>
      <c r="C857" s="1911" t="str">
        <f>VLOOKUP(D857,base_datos,6,FALSE)</f>
        <v>Portalámpara + lampara tipo LED - color Verde - alimentacion: 220-230Vac, d=22mm. - CL2-523G - línea compacta - marca ABB.</v>
      </c>
      <c r="D857" s="1790" t="s">
        <v>2440</v>
      </c>
      <c r="E857" s="1939">
        <f>VLOOKUP(D857,base_datos,5,FALSE)</f>
        <v>12.299999999999999</v>
      </c>
      <c r="F857" s="1912">
        <f>+E857*B857</f>
        <v>36.9</v>
      </c>
      <c r="G857" s="710"/>
      <c r="H857" s="710"/>
      <c r="I857" s="710"/>
      <c r="J857" s="711"/>
      <c r="K857" s="684">
        <f>+K855</f>
        <v>1</v>
      </c>
      <c r="L857" s="1913">
        <f>L855</f>
        <v>1</v>
      </c>
      <c r="M857" s="684">
        <f t="shared" si="777"/>
        <v>3</v>
      </c>
      <c r="N857" s="362">
        <f t="shared" si="772"/>
        <v>3</v>
      </c>
      <c r="O857" s="1763" t="str">
        <f t="shared" si="773"/>
        <v>1SFA619403R5232</v>
      </c>
      <c r="P857" s="1764" t="str">
        <f t="shared" si="774"/>
        <v>Portalámpara + lampara tipo LED - color Verde - alimentacion: 220-230Vac, d=22mm. - CL2-523G - línea compacta - marca ABB.</v>
      </c>
      <c r="Q857" s="120" t="str">
        <f t="shared" si="775"/>
        <v>LAMP_VERDE_220V</v>
      </c>
    </row>
    <row r="858" spans="1:18" s="1921" customFormat="1">
      <c r="A858" s="687" t="s">
        <v>12356</v>
      </c>
      <c r="B858" s="1914">
        <v>1</v>
      </c>
      <c r="C858" s="1915" t="s">
        <v>3366</v>
      </c>
      <c r="D858" s="1916"/>
      <c r="E858" s="1917"/>
      <c r="F858" s="1918"/>
      <c r="G858" s="1919"/>
      <c r="H858" s="1919"/>
      <c r="I858" s="1919"/>
      <c r="J858" s="1920"/>
      <c r="K858" s="684">
        <f t="shared" si="776"/>
        <v>1</v>
      </c>
      <c r="L858" s="1913">
        <f>L857</f>
        <v>1</v>
      </c>
      <c r="M858" s="684">
        <f t="shared" si="777"/>
        <v>1</v>
      </c>
      <c r="N858" s="362" t="str">
        <f t="shared" si="772"/>
        <v/>
      </c>
      <c r="O858" s="1763" t="str">
        <f t="shared" si="773"/>
        <v/>
      </c>
      <c r="P858" s="1764" t="str">
        <f t="shared" si="774"/>
        <v/>
      </c>
      <c r="Q858" s="120" t="str">
        <f t="shared" si="775"/>
        <v/>
      </c>
    </row>
    <row r="859" spans="1:18" s="320" customFormat="1">
      <c r="A859" s="687" t="s">
        <v>12476</v>
      </c>
      <c r="B859" s="1922">
        <v>1</v>
      </c>
      <c r="C859" s="721" t="str">
        <f>VLOOKUP(D859,base_datos,6,FALSE)</f>
        <v>Rele auxiliar enchufable +4NA/NC (D2PR4B + base D2PA6), 220Vac - marca EATON.</v>
      </c>
      <c r="D859" s="1579" t="s">
        <v>772</v>
      </c>
      <c r="E859" s="1581">
        <f>VLOOKUP(D859,base_datos,5,FALSE)</f>
        <v>27</v>
      </c>
      <c r="F859" s="1923">
        <f>+E859*B859</f>
        <v>27</v>
      </c>
      <c r="G859" s="1924"/>
      <c r="H859" s="1924"/>
      <c r="I859" s="1924"/>
      <c r="J859" s="722"/>
      <c r="K859" s="684">
        <f>+K856</f>
        <v>1</v>
      </c>
      <c r="L859" s="1913">
        <f>L856</f>
        <v>1</v>
      </c>
      <c r="M859" s="684">
        <f t="shared" si="777"/>
        <v>1</v>
      </c>
      <c r="N859" s="362">
        <f t="shared" si="772"/>
        <v>1</v>
      </c>
      <c r="O859" s="1763" t="str">
        <f t="shared" si="773"/>
        <v>D2PR4B+D2PA6</v>
      </c>
      <c r="P859" s="1764" t="str">
        <f t="shared" si="774"/>
        <v>Rele auxiliar enchufable +4NA/NC (D2PR4B + base D2PA6), 220Vac - marca EATON.</v>
      </c>
      <c r="Q859" s="120" t="str">
        <f t="shared" si="775"/>
        <v>D2PR4B+D2PA6</v>
      </c>
    </row>
    <row r="860" spans="1:18" s="320" customFormat="1">
      <c r="A860" s="1767"/>
      <c r="B860" s="2131">
        <v>1</v>
      </c>
      <c r="C860" s="2132" t="s">
        <v>12558</v>
      </c>
      <c r="D860" s="2133"/>
      <c r="E860" s="2134">
        <v>32</v>
      </c>
      <c r="F860" s="2134">
        <f>+E860*B860</f>
        <v>32</v>
      </c>
      <c r="G860" s="1924"/>
      <c r="H860" s="1924"/>
      <c r="I860" s="1924"/>
      <c r="J860" s="722"/>
      <c r="K860" s="684">
        <f>+K857</f>
        <v>1</v>
      </c>
      <c r="L860" s="1913">
        <f>L857</f>
        <v>1</v>
      </c>
      <c r="M860" s="684">
        <f t="shared" si="777"/>
        <v>1</v>
      </c>
      <c r="N860" s="362" t="str">
        <f t="shared" si="772"/>
        <v/>
      </c>
      <c r="O860" s="1763" t="str">
        <f t="shared" si="773"/>
        <v/>
      </c>
      <c r="P860" s="1764" t="str">
        <f t="shared" si="774"/>
        <v/>
      </c>
      <c r="Q860" s="120" t="str">
        <f t="shared" si="775"/>
        <v/>
      </c>
    </row>
    <row r="861" spans="1:18" s="320" customFormat="1">
      <c r="A861" s="687" t="s">
        <v>12551</v>
      </c>
      <c r="B861" s="1922">
        <v>4</v>
      </c>
      <c r="C861" s="721" t="str">
        <f>VLOOKUP(D861,base_datos,6,FALSE)</f>
        <v>Base portafusibles + Fusibles de protección para control.</v>
      </c>
      <c r="D861" s="1579" t="s">
        <v>453</v>
      </c>
      <c r="E861" s="1581">
        <f>VLOOKUP(D861,base_datos,5,FALSE)</f>
        <v>8.1750000000000007</v>
      </c>
      <c r="F861" s="1923">
        <f>+E861*B861</f>
        <v>32.700000000000003</v>
      </c>
      <c r="G861" s="1924"/>
      <c r="H861" s="1924"/>
      <c r="I861" s="1924"/>
      <c r="J861" s="722"/>
      <c r="K861" s="684">
        <f t="shared" ref="K861:K928" si="778">+K858</f>
        <v>1</v>
      </c>
      <c r="L861" s="1913">
        <f>L858</f>
        <v>1</v>
      </c>
      <c r="M861" s="684">
        <f t="shared" si="777"/>
        <v>4</v>
      </c>
      <c r="N861" s="362" t="str">
        <f t="shared" si="772"/>
        <v/>
      </c>
      <c r="O861" s="1763" t="str">
        <f t="shared" si="773"/>
        <v/>
      </c>
      <c r="P861" s="1764" t="str">
        <f t="shared" si="774"/>
        <v/>
      </c>
      <c r="Q861" s="120" t="str">
        <f t="shared" si="775"/>
        <v/>
      </c>
    </row>
    <row r="862" spans="1:18" s="315" customFormat="1">
      <c r="A862" s="687" t="s">
        <v>3542</v>
      </c>
      <c r="B862" s="1906"/>
      <c r="C862" s="1907"/>
      <c r="D862" s="1935"/>
      <c r="E862" s="1786"/>
      <c r="F862" s="1936"/>
      <c r="G862" s="712"/>
      <c r="H862" s="712"/>
      <c r="I862" s="712"/>
      <c r="J862" s="713"/>
      <c r="K862" s="684">
        <f t="shared" si="778"/>
        <v>1</v>
      </c>
      <c r="L862" s="1909">
        <f>B862</f>
        <v>0</v>
      </c>
      <c r="M862" s="684">
        <f t="shared" si="777"/>
        <v>1</v>
      </c>
      <c r="N862" s="362" t="str">
        <f t="shared" si="772"/>
        <v/>
      </c>
      <c r="O862" s="1763" t="str">
        <f t="shared" si="773"/>
        <v/>
      </c>
      <c r="P862" s="1764" t="str">
        <f t="shared" si="774"/>
        <v/>
      </c>
      <c r="Q862" s="120" t="str">
        <f t="shared" si="775"/>
        <v/>
      </c>
    </row>
    <row r="863" spans="1:18" s="185" customFormat="1" ht="13.5" customHeight="1">
      <c r="A863" s="687"/>
      <c r="B863" s="1922"/>
      <c r="C863" s="1956" t="s">
        <v>12368</v>
      </c>
      <c r="D863" s="1579"/>
      <c r="E863" s="1957"/>
      <c r="F863" s="1958"/>
      <c r="G863" s="710"/>
      <c r="H863" s="710"/>
      <c r="I863" s="710"/>
      <c r="J863" s="711"/>
      <c r="K863" s="684">
        <f t="shared" si="778"/>
        <v>1</v>
      </c>
      <c r="L863" s="708">
        <v>1</v>
      </c>
      <c r="M863" s="684">
        <f t="shared" si="777"/>
        <v>1</v>
      </c>
      <c r="N863" s="362" t="str">
        <f t="shared" si="772"/>
        <v/>
      </c>
      <c r="O863" s="1763" t="str">
        <f t="shared" si="773"/>
        <v/>
      </c>
      <c r="P863" s="1764" t="str">
        <f t="shared" si="774"/>
        <v/>
      </c>
      <c r="Q863" s="120" t="str">
        <f t="shared" si="775"/>
        <v/>
      </c>
    </row>
    <row r="864" spans="1:18" s="120" customFormat="1" ht="18" customHeight="1">
      <c r="A864" s="693"/>
      <c r="B864" s="1779">
        <v>6</v>
      </c>
      <c r="C864" s="1892" t="str">
        <f>VLOOKUP(D864,base_datos,6,FALSE)</f>
        <v>Transformador de tensión monofásico 480 / 240 Vac - 50VA.</v>
      </c>
      <c r="D864" s="1898" t="s">
        <v>8587</v>
      </c>
      <c r="E864" s="1581">
        <f>VLOOKUP(D864,base_datos,5,FALSE)</f>
        <v>76.8</v>
      </c>
      <c r="F864" s="1581">
        <f>+E864*B864</f>
        <v>460.79999999999995</v>
      </c>
      <c r="G864" s="686"/>
      <c r="H864" s="686"/>
      <c r="I864" s="686"/>
      <c r="J864" s="1768"/>
      <c r="K864" s="684">
        <f t="shared" si="778"/>
        <v>1</v>
      </c>
      <c r="L864" s="708">
        <v>1</v>
      </c>
      <c r="M864" s="709">
        <f t="shared" si="777"/>
        <v>6</v>
      </c>
      <c r="N864" s="362" t="str">
        <f t="shared" si="772"/>
        <v/>
      </c>
      <c r="O864" s="1763" t="str">
        <f t="shared" si="773"/>
        <v/>
      </c>
      <c r="P864" s="1764" t="str">
        <f t="shared" si="774"/>
        <v/>
      </c>
      <c r="Q864" s="120" t="str">
        <f t="shared" si="775"/>
        <v/>
      </c>
      <c r="R864" s="185"/>
    </row>
    <row r="865" spans="1:18" s="120" customFormat="1" ht="12" customHeight="1">
      <c r="A865" s="1931"/>
      <c r="B865" s="1925"/>
      <c r="C865" s="1926" t="s">
        <v>729</v>
      </c>
      <c r="D865" s="1927"/>
      <c r="E865" s="1891"/>
      <c r="F865" s="1789"/>
      <c r="G865" s="686"/>
      <c r="H865" s="686"/>
      <c r="I865" s="686"/>
      <c r="J865" s="1768"/>
      <c r="K865" s="684">
        <f t="shared" si="778"/>
        <v>1</v>
      </c>
      <c r="L865" s="363">
        <v>1</v>
      </c>
      <c r="M865" s="709">
        <f t="shared" si="777"/>
        <v>1</v>
      </c>
      <c r="N865" s="362" t="str">
        <f t="shared" si="772"/>
        <v/>
      </c>
      <c r="O865" s="1763" t="str">
        <f t="shared" si="773"/>
        <v/>
      </c>
      <c r="P865" s="1764" t="str">
        <f t="shared" si="774"/>
        <v/>
      </c>
      <c r="Q865" s="120" t="str">
        <f t="shared" si="775"/>
        <v/>
      </c>
    </row>
    <row r="866" spans="1:18" s="120" customFormat="1" ht="18.75" customHeight="1">
      <c r="A866" s="691"/>
      <c r="B866" s="1781"/>
      <c r="C866" s="1218" t="s">
        <v>3158</v>
      </c>
      <c r="D866" s="1900"/>
      <c r="E866" s="1791"/>
      <c r="F866" s="1782"/>
      <c r="G866" s="686"/>
      <c r="H866" s="686"/>
      <c r="I866" s="686"/>
      <c r="J866" s="688"/>
      <c r="K866" s="684">
        <f t="shared" si="778"/>
        <v>1</v>
      </c>
      <c r="L866" s="708">
        <v>1</v>
      </c>
      <c r="M866" s="709">
        <f t="shared" si="777"/>
        <v>1</v>
      </c>
      <c r="N866" s="362" t="str">
        <f t="shared" si="772"/>
        <v/>
      </c>
      <c r="O866" s="1763" t="str">
        <f t="shared" si="773"/>
        <v/>
      </c>
      <c r="P866" s="1764" t="str">
        <f t="shared" si="774"/>
        <v/>
      </c>
      <c r="Q866" s="120" t="str">
        <f t="shared" si="775"/>
        <v/>
      </c>
      <c r="R866" s="185"/>
    </row>
    <row r="867" spans="1:18" s="690" customFormat="1" ht="18" customHeight="1">
      <c r="A867" s="687"/>
      <c r="B867" s="1781">
        <v>1</v>
      </c>
      <c r="C867" s="1420" t="str">
        <f>VLOOKUP(D867,base_datos,6,FALSE)</f>
        <v>ITM Caja Moldeada 3x400A (electrónico [0.4-1.0] In) - T5H400-400A-3P-PR221DS-LS/I - 100kA@230Vac, 70kA@415Vac - marca ABB.</v>
      </c>
      <c r="D867" s="1901" t="s">
        <v>1359</v>
      </c>
      <c r="E867" s="1791">
        <f>VLOOKUP(D867,base_datos,5,FALSE)</f>
        <v>869.49</v>
      </c>
      <c r="F867" s="1782">
        <f>+E867*B867</f>
        <v>869.49</v>
      </c>
      <c r="G867" s="1761"/>
      <c r="H867" s="1761"/>
      <c r="I867" s="1761"/>
      <c r="J867" s="689"/>
      <c r="K867" s="684">
        <f t="shared" si="778"/>
        <v>1</v>
      </c>
      <c r="L867" s="708">
        <v>1</v>
      </c>
      <c r="M867" s="709">
        <f t="shared" si="777"/>
        <v>1</v>
      </c>
      <c r="N867" s="362">
        <f t="shared" si="772"/>
        <v>1</v>
      </c>
      <c r="O867" s="1763" t="str">
        <f t="shared" si="773"/>
        <v>1SDA054349R1</v>
      </c>
      <c r="P867" s="1764" t="str">
        <f t="shared" si="774"/>
        <v>ITM Caja Moldeada 3x400A (electrónico [0.4-1.0] In) - T5H400-400A-3P-PR221DS-LS/I - 100kA@230Vac, 70kA@415Vac - marca ABB.</v>
      </c>
      <c r="Q867" s="120" t="str">
        <f t="shared" si="775"/>
        <v>T5H400-400A-3P-PR221DS-LS/I</v>
      </c>
      <c r="R867" s="185"/>
    </row>
    <row r="868" spans="1:18" s="320" customFormat="1">
      <c r="A868" s="687"/>
      <c r="B868" s="1929">
        <v>1</v>
      </c>
      <c r="C868" s="1930" t="str">
        <f t="shared" ref="C868" si="779">VLOOKUP(D868,base_datos,6,FALSE)</f>
        <v>FC-CuAl_T5-400A - Terminales - cables de cobre/aluminio hasta 1x300mm2 - 4 terminales (internos).</v>
      </c>
      <c r="D868" s="1938" t="s">
        <v>4949</v>
      </c>
      <c r="E868" s="1580">
        <f t="shared" ref="E868" si="780">VLOOKUP(D868,base_datos,5,FALSE)</f>
        <v>101.09</v>
      </c>
      <c r="F868" s="1581">
        <f t="shared" ref="F868" si="781">+E868*B868</f>
        <v>101.09</v>
      </c>
      <c r="G868" s="1924"/>
      <c r="H868" s="1924"/>
      <c r="I868" s="1924"/>
      <c r="J868" s="722"/>
      <c r="K868" s="684">
        <f t="shared" si="778"/>
        <v>1</v>
      </c>
      <c r="L868" s="1913">
        <f>L867</f>
        <v>1</v>
      </c>
      <c r="M868" s="709">
        <f t="shared" si="777"/>
        <v>1</v>
      </c>
      <c r="N868" s="362">
        <f t="shared" ref="N868" si="782">IF(O868&lt;&gt;"",K868*L868*M868,"")</f>
        <v>1</v>
      </c>
      <c r="O868" s="1763" t="str">
        <f t="shared" ref="O868" si="783">IF(D868&lt;&gt;"",IF(VLOOKUP(D868,base_datos,7,FALSE)&lt;&gt;"",VLOOKUP(D868,base_datos,7,FALSE),""),"")</f>
        <v>1SDA055025R1</v>
      </c>
      <c r="P868" s="1764" t="str">
        <f t="shared" ref="P868" si="784">IF(O868&lt;&gt;"",VLOOKUP(D868,base_datos,6,FALSE),"")</f>
        <v>FC-CuAl_T5-400A - Terminales - cables de cobre/aluminio hasta 1x300mm2 - 4 terminales (internos).</v>
      </c>
      <c r="Q868" s="120" t="str">
        <f t="shared" ref="Q868" si="785">IF(O868&lt;&gt;"",D868,"")</f>
        <v>FC-CuAl_T5_4t_400A</v>
      </c>
    </row>
    <row r="869" spans="1:18" s="185" customFormat="1">
      <c r="A869" s="1771"/>
      <c r="B869" s="714"/>
      <c r="C869" s="313" t="s">
        <v>729</v>
      </c>
      <c r="D869" s="173"/>
      <c r="E869" s="1786"/>
      <c r="F869" s="1787"/>
      <c r="G869" s="710"/>
      <c r="H869" s="710"/>
      <c r="I869" s="710"/>
      <c r="J869" s="711"/>
      <c r="K869" s="684">
        <f t="shared" si="778"/>
        <v>1</v>
      </c>
      <c r="L869" s="708">
        <v>1</v>
      </c>
      <c r="M869" s="709">
        <f>IF(B869="",1,B869)</f>
        <v>1</v>
      </c>
      <c r="N869" s="362" t="str">
        <f t="shared" si="772"/>
        <v/>
      </c>
      <c r="O869" s="1763" t="str">
        <f t="shared" si="773"/>
        <v/>
      </c>
      <c r="P869" s="1764" t="str">
        <f t="shared" si="774"/>
        <v/>
      </c>
      <c r="Q869" s="120" t="str">
        <f t="shared" si="775"/>
        <v/>
      </c>
    </row>
    <row r="870" spans="1:18" s="315" customFormat="1" ht="17.25" customHeight="1">
      <c r="A870" s="687"/>
      <c r="B870" s="1932">
        <v>2</v>
      </c>
      <c r="C870" s="1933" t="str">
        <f t="shared" ref="C870" si="786">VLOOKUP(D870,base_datos,6,FALSE)</f>
        <v>3(Q) contactos conmutado NA/NC + 1(SY) contacto por disparo de interruptor - T4-T5-T6 - version no cableada - marca ABB.</v>
      </c>
      <c r="D870" s="1790" t="s">
        <v>1282</v>
      </c>
      <c r="E870" s="1939">
        <f t="shared" ref="E870" si="787">VLOOKUP(D870,base_datos,5,FALSE)</f>
        <v>155.14999999999998</v>
      </c>
      <c r="F870" s="1940">
        <f t="shared" ref="F870" si="788">+E870*B870</f>
        <v>310.29999999999995</v>
      </c>
      <c r="G870" s="712"/>
      <c r="H870" s="712"/>
      <c r="I870" s="712"/>
      <c r="J870" s="713"/>
      <c r="K870" s="684">
        <f t="shared" si="778"/>
        <v>1</v>
      </c>
      <c r="L870" s="708">
        <v>1</v>
      </c>
      <c r="M870" s="709">
        <f t="shared" ref="M870" si="789">IF(B870="",1,B870)</f>
        <v>2</v>
      </c>
      <c r="N870" s="362">
        <f t="shared" si="772"/>
        <v>2</v>
      </c>
      <c r="O870" s="1763" t="str">
        <f t="shared" si="773"/>
        <v>1SDA051369R1</v>
      </c>
      <c r="P870" s="1764" t="str">
        <f t="shared" si="774"/>
        <v>3(Q) contactos conmutado NA/NC + 1(SY) contacto por disparo de interruptor - T4-T5-T6 - version no cableada - marca ABB.</v>
      </c>
      <c r="Q870" s="120" t="str">
        <f t="shared" si="775"/>
        <v>3Q+1SY_T4-T5-T6</v>
      </c>
    </row>
    <row r="871" spans="1:18" s="185" customFormat="1">
      <c r="A871" s="1771"/>
      <c r="B871" s="714"/>
      <c r="C871" s="313" t="s">
        <v>729</v>
      </c>
      <c r="D871" s="2018"/>
      <c r="E871" s="1786"/>
      <c r="F871" s="1787"/>
      <c r="G871" s="710"/>
      <c r="H871" s="710"/>
      <c r="I871" s="710"/>
      <c r="J871" s="711"/>
      <c r="K871" s="684">
        <f t="shared" si="778"/>
        <v>1</v>
      </c>
      <c r="L871" s="708">
        <v>1</v>
      </c>
      <c r="M871" s="709">
        <f>IF(B871="",1,B871)</f>
        <v>1</v>
      </c>
      <c r="N871" s="362" t="str">
        <f t="shared" si="772"/>
        <v/>
      </c>
      <c r="O871" s="1763" t="str">
        <f t="shared" si="773"/>
        <v/>
      </c>
      <c r="P871" s="1764" t="str">
        <f t="shared" si="774"/>
        <v/>
      </c>
      <c r="Q871" s="120" t="str">
        <f t="shared" si="775"/>
        <v/>
      </c>
    </row>
    <row r="872" spans="1:18" s="1766" customFormat="1" ht="18" customHeight="1">
      <c r="A872" s="687"/>
      <c r="B872" s="1769"/>
      <c r="C872" s="1770" t="s">
        <v>11663</v>
      </c>
      <c r="D872" s="1901"/>
      <c r="E872" s="1581"/>
      <c r="F872" s="1581"/>
      <c r="G872" s="1761"/>
      <c r="H872" s="1761"/>
      <c r="I872" s="1761"/>
      <c r="J872" s="1762"/>
      <c r="K872" s="684">
        <f t="shared" si="778"/>
        <v>1</v>
      </c>
      <c r="L872" s="708">
        <v>1</v>
      </c>
      <c r="M872" s="709">
        <f t="shared" ref="M872:M888" si="790">IF(B872="",1,B872)</f>
        <v>1</v>
      </c>
      <c r="N872" s="362" t="str">
        <f t="shared" si="772"/>
        <v/>
      </c>
      <c r="O872" s="1763" t="str">
        <f t="shared" si="773"/>
        <v/>
      </c>
      <c r="P872" s="1764" t="str">
        <f t="shared" si="774"/>
        <v/>
      </c>
      <c r="Q872" s="120" t="str">
        <f t="shared" si="775"/>
        <v/>
      </c>
      <c r="R872" s="1765"/>
    </row>
    <row r="873" spans="1:18" s="1766" customFormat="1" ht="18" customHeight="1">
      <c r="A873" s="687"/>
      <c r="B873" s="1760">
        <v>1</v>
      </c>
      <c r="C873" s="1892" t="str">
        <f t="shared" ref="C873:C877" si="791">VLOOKUP(D873,base_datos,6,FALSE)</f>
        <v>Analizador de Redes DIRIS-A30 - precisión (V, I) 0.2%, precisión de energía activa / reactiva: clase 0,5S / clase 2 - marca SOCOMEC.</v>
      </c>
      <c r="D873" s="1898" t="s">
        <v>12164</v>
      </c>
      <c r="E873" s="1581">
        <f t="shared" ref="E873:E877" si="792">VLOOKUP(D873,base_datos,5,FALSE)</f>
        <v>633.64</v>
      </c>
      <c r="F873" s="1581">
        <f t="shared" ref="F873:F877" si="793">+E873*B873</f>
        <v>633.64</v>
      </c>
      <c r="G873" s="1761"/>
      <c r="H873" s="1761"/>
      <c r="I873" s="1761"/>
      <c r="J873" s="1762"/>
      <c r="K873" s="684">
        <f t="shared" si="778"/>
        <v>1</v>
      </c>
      <c r="L873" s="708">
        <v>1</v>
      </c>
      <c r="M873" s="709">
        <f t="shared" si="790"/>
        <v>1</v>
      </c>
      <c r="N873" s="362">
        <f t="shared" si="772"/>
        <v>1</v>
      </c>
      <c r="O873" s="1763" t="str">
        <f t="shared" si="773"/>
        <v>4825 0403</v>
      </c>
      <c r="P873" s="1764" t="str">
        <f t="shared" si="774"/>
        <v>Analizador de Redes DIRIS-A30 - precisión (V, I) 0.2%, precisión de energía activa / reactiva: clase 0,5S / clase 2 - marca SOCOMEC.</v>
      </c>
      <c r="Q873" s="120" t="str">
        <f t="shared" si="775"/>
        <v>DIRIS-A30</v>
      </c>
      <c r="R873" s="1765"/>
    </row>
    <row r="874" spans="1:18" s="1766" customFormat="1" ht="18" customHeight="1">
      <c r="A874" s="687"/>
      <c r="B874" s="1760">
        <v>1</v>
      </c>
      <c r="C874" s="1990" t="str">
        <f t="shared" si="791"/>
        <v>Módulo de comunicación RS 485 MODBUS, para Analizador de Red, DIRIS-A30, marca SOCOMEC.</v>
      </c>
      <c r="D874" s="144" t="s">
        <v>12166</v>
      </c>
      <c r="E874" s="1581">
        <f t="shared" si="792"/>
        <v>115.64</v>
      </c>
      <c r="F874" s="1581">
        <f t="shared" si="793"/>
        <v>115.64</v>
      </c>
      <c r="G874" s="1761"/>
      <c r="H874" s="1761"/>
      <c r="I874" s="1761"/>
      <c r="J874" s="1762"/>
      <c r="K874" s="684">
        <f t="shared" si="778"/>
        <v>1</v>
      </c>
      <c r="L874" s="708">
        <v>1</v>
      </c>
      <c r="M874" s="709">
        <f t="shared" si="790"/>
        <v>1</v>
      </c>
      <c r="N874" s="362">
        <f t="shared" si="772"/>
        <v>1</v>
      </c>
      <c r="O874" s="1763" t="str">
        <f t="shared" si="773"/>
        <v>4825 0092</v>
      </c>
      <c r="P874" s="1764" t="str">
        <f t="shared" si="774"/>
        <v>Módulo de comunicación RS 485 MODBUS, para Analizador de Red, DIRIS-A30, marca SOCOMEC.</v>
      </c>
      <c r="Q874" s="120" t="str">
        <f t="shared" si="775"/>
        <v>DIRIS-A30/Com</v>
      </c>
      <c r="R874" s="1765"/>
    </row>
    <row r="875" spans="1:18" s="1766" customFormat="1" ht="18" customHeight="1">
      <c r="A875" s="687"/>
      <c r="B875" s="1760">
        <f>3*B873</f>
        <v>3</v>
      </c>
      <c r="C875" s="1892" t="str">
        <f>VLOOKUP(D875,base_datos,6,FALSE)</f>
        <v>Transformador de corriente de 400/5A</v>
      </c>
      <c r="D875" s="1899" t="s">
        <v>1819</v>
      </c>
      <c r="E875" s="1581">
        <f t="shared" si="792"/>
        <v>110</v>
      </c>
      <c r="F875" s="1581">
        <f t="shared" si="793"/>
        <v>330</v>
      </c>
      <c r="G875" s="1761"/>
      <c r="H875" s="1761"/>
      <c r="I875" s="1761"/>
      <c r="J875" s="1762"/>
      <c r="K875" s="684">
        <f t="shared" si="778"/>
        <v>1</v>
      </c>
      <c r="L875" s="708">
        <v>1</v>
      </c>
      <c r="M875" s="709">
        <f t="shared" si="790"/>
        <v>3</v>
      </c>
      <c r="N875" s="362" t="str">
        <f t="shared" si="772"/>
        <v/>
      </c>
      <c r="O875" s="1763" t="str">
        <f t="shared" si="773"/>
        <v/>
      </c>
      <c r="P875" s="1764" t="str">
        <f t="shared" si="774"/>
        <v/>
      </c>
      <c r="Q875" s="120" t="str">
        <f t="shared" si="775"/>
        <v/>
      </c>
      <c r="R875" s="1765"/>
    </row>
    <row r="876" spans="1:18" s="1766" customFormat="1" ht="18" customHeight="1">
      <c r="A876" s="687"/>
      <c r="B876" s="1760">
        <f>5*B873</f>
        <v>5</v>
      </c>
      <c r="C876" s="1892" t="str">
        <f t="shared" si="791"/>
        <v>Base portafusibles + Fusibles de protección para control.</v>
      </c>
      <c r="D876" s="1899" t="s">
        <v>453</v>
      </c>
      <c r="E876" s="1581">
        <f t="shared" si="792"/>
        <v>8.1750000000000007</v>
      </c>
      <c r="F876" s="1581">
        <f t="shared" si="793"/>
        <v>40.875</v>
      </c>
      <c r="G876" s="1761"/>
      <c r="H876" s="1761"/>
      <c r="I876" s="1761"/>
      <c r="J876" s="1762"/>
      <c r="K876" s="684">
        <f t="shared" si="778"/>
        <v>1</v>
      </c>
      <c r="L876" s="708">
        <v>1</v>
      </c>
      <c r="M876" s="709">
        <f t="shared" si="790"/>
        <v>5</v>
      </c>
      <c r="N876" s="362" t="str">
        <f t="shared" si="772"/>
        <v/>
      </c>
      <c r="O876" s="1763" t="str">
        <f t="shared" si="773"/>
        <v/>
      </c>
      <c r="P876" s="1764" t="str">
        <f t="shared" si="774"/>
        <v/>
      </c>
      <c r="Q876" s="120" t="str">
        <f t="shared" si="775"/>
        <v/>
      </c>
      <c r="R876" s="1765"/>
    </row>
    <row r="877" spans="1:18" s="1766" customFormat="1" ht="18" customHeight="1">
      <c r="A877" s="1771"/>
      <c r="B877" s="1760">
        <f>6*B873</f>
        <v>6</v>
      </c>
      <c r="C877" s="1892" t="str">
        <f t="shared" si="791"/>
        <v>Bornes seccionables de corriente.</v>
      </c>
      <c r="D877" s="1899" t="s">
        <v>435</v>
      </c>
      <c r="E877" s="1581">
        <f t="shared" si="792"/>
        <v>12</v>
      </c>
      <c r="F877" s="1581">
        <f t="shared" si="793"/>
        <v>72</v>
      </c>
      <c r="G877" s="1761"/>
      <c r="H877" s="1761"/>
      <c r="I877" s="1761"/>
      <c r="J877" s="1762"/>
      <c r="K877" s="684">
        <f t="shared" si="778"/>
        <v>1</v>
      </c>
      <c r="L877" s="708">
        <v>1</v>
      </c>
      <c r="M877" s="709">
        <f t="shared" si="790"/>
        <v>6</v>
      </c>
      <c r="N877" s="362" t="str">
        <f t="shared" si="772"/>
        <v/>
      </c>
      <c r="O877" s="1763" t="str">
        <f t="shared" si="773"/>
        <v/>
      </c>
      <c r="P877" s="1764" t="str">
        <f t="shared" si="774"/>
        <v/>
      </c>
      <c r="Q877" s="120" t="str">
        <f t="shared" si="775"/>
        <v/>
      </c>
      <c r="R877" s="1765"/>
    </row>
    <row r="878" spans="1:18" s="185" customFormat="1" ht="18" customHeight="1">
      <c r="A878" s="693"/>
      <c r="B878" s="714"/>
      <c r="C878" s="1893" t="s">
        <v>729</v>
      </c>
      <c r="D878" s="2019"/>
      <c r="E878" s="1580"/>
      <c r="F878" s="1581"/>
      <c r="G878" s="710"/>
      <c r="H878" s="710"/>
      <c r="I878" s="710"/>
      <c r="J878" s="711"/>
      <c r="K878" s="684">
        <f t="shared" si="778"/>
        <v>1</v>
      </c>
      <c r="L878" s="708">
        <v>1</v>
      </c>
      <c r="M878" s="709">
        <f t="shared" si="790"/>
        <v>1</v>
      </c>
      <c r="N878" s="362" t="str">
        <f t="shared" si="772"/>
        <v/>
      </c>
      <c r="O878" s="1763" t="str">
        <f t="shared" si="773"/>
        <v/>
      </c>
      <c r="P878" s="1764" t="str">
        <f t="shared" si="774"/>
        <v/>
      </c>
      <c r="Q878" s="120" t="str">
        <f t="shared" si="775"/>
        <v/>
      </c>
      <c r="R878" s="1765"/>
    </row>
    <row r="879" spans="1:18" s="690" customFormat="1" ht="18" customHeight="1">
      <c r="A879" s="1767"/>
      <c r="B879" s="1851"/>
      <c r="C879" s="1966" t="s">
        <v>3377</v>
      </c>
      <c r="D879" s="2020"/>
      <c r="E879" s="1789"/>
      <c r="F879" s="1782"/>
      <c r="G879" s="1761"/>
      <c r="H879" s="1761"/>
      <c r="I879" s="1761"/>
      <c r="J879" s="689"/>
      <c r="K879" s="684">
        <f t="shared" si="778"/>
        <v>1</v>
      </c>
      <c r="L879" s="708">
        <v>1</v>
      </c>
      <c r="M879" s="709">
        <f t="shared" si="790"/>
        <v>1</v>
      </c>
      <c r="N879" s="362" t="str">
        <f t="shared" si="772"/>
        <v/>
      </c>
      <c r="O879" s="1763" t="str">
        <f t="shared" si="773"/>
        <v/>
      </c>
      <c r="P879" s="1764" t="str">
        <f t="shared" si="774"/>
        <v/>
      </c>
      <c r="Q879" s="120" t="str">
        <f t="shared" si="775"/>
        <v/>
      </c>
      <c r="R879" s="185"/>
    </row>
    <row r="880" spans="1:18" s="690" customFormat="1" ht="18" customHeight="1">
      <c r="A880" s="1767"/>
      <c r="B880" s="1781">
        <v>1</v>
      </c>
      <c r="C880" s="1960" t="str">
        <f t="shared" ref="C880:C884" si="794">VLOOKUP(D880,base_datos,6,FALSE)</f>
        <v>ITM Caja Moldeada 3x400A (electrónico [0.4-1.0] In) - T5H400-400A-3P-PR221DS-LS/I - 100kA@230Vac, 70kA@415Vac - marca ABB.</v>
      </c>
      <c r="D880" s="314" t="s">
        <v>1359</v>
      </c>
      <c r="E880" s="1782">
        <f t="shared" ref="E880:E888" si="795">VLOOKUP(D880,base_datos,5,FALSE)</f>
        <v>869.49</v>
      </c>
      <c r="F880" s="1782">
        <f t="shared" ref="F880:F888" si="796">+E880*B880</f>
        <v>869.49</v>
      </c>
      <c r="G880" s="1761"/>
      <c r="H880" s="1761"/>
      <c r="I880" s="1761"/>
      <c r="J880" s="1783"/>
      <c r="K880" s="684">
        <f t="shared" si="778"/>
        <v>1</v>
      </c>
      <c r="L880" s="708">
        <v>1</v>
      </c>
      <c r="M880" s="709">
        <f t="shared" si="790"/>
        <v>1</v>
      </c>
      <c r="N880" s="362">
        <f t="shared" si="772"/>
        <v>1</v>
      </c>
      <c r="O880" s="1763" t="str">
        <f t="shared" si="773"/>
        <v>1SDA054349R1</v>
      </c>
      <c r="P880" s="1764" t="str">
        <f t="shared" si="774"/>
        <v>ITM Caja Moldeada 3x400A (electrónico [0.4-1.0] In) - T5H400-400A-3P-PR221DS-LS/I - 100kA@230Vac, 70kA@415Vac - marca ABB.</v>
      </c>
      <c r="Q880" s="120" t="str">
        <f t="shared" si="775"/>
        <v>T5H400-400A-3P-PR221DS-LS/I</v>
      </c>
      <c r="R880" s="185"/>
    </row>
    <row r="881" spans="1:20" s="320" customFormat="1">
      <c r="A881" s="1785"/>
      <c r="B881" s="1929">
        <v>1</v>
      </c>
      <c r="C881" s="1930" t="str">
        <f t="shared" si="794"/>
        <v>FC-CuAl_T5-400A - Terminales - cables de cobre/aluminio hasta 1x300mm2 - 4 terminales (internos).</v>
      </c>
      <c r="D881" s="1938" t="s">
        <v>4949</v>
      </c>
      <c r="E881" s="1580">
        <f t="shared" si="795"/>
        <v>101.09</v>
      </c>
      <c r="F881" s="1581">
        <f t="shared" si="796"/>
        <v>101.09</v>
      </c>
      <c r="G881" s="1924"/>
      <c r="H881" s="1924"/>
      <c r="I881" s="1924"/>
      <c r="J881" s="722"/>
      <c r="K881" s="684">
        <f t="shared" si="778"/>
        <v>1</v>
      </c>
      <c r="L881" s="1913">
        <f>L880</f>
        <v>1</v>
      </c>
      <c r="M881" s="709">
        <f t="shared" si="790"/>
        <v>1</v>
      </c>
      <c r="N881" s="362">
        <f t="shared" si="772"/>
        <v>1</v>
      </c>
      <c r="O881" s="1763" t="str">
        <f t="shared" si="773"/>
        <v>1SDA055025R1</v>
      </c>
      <c r="P881" s="1764" t="str">
        <f t="shared" si="774"/>
        <v>FC-CuAl_T5-400A - Terminales - cables de cobre/aluminio hasta 1x300mm2 - 4 terminales (internos).</v>
      </c>
      <c r="Q881" s="120" t="str">
        <f t="shared" si="775"/>
        <v>FC-CuAl_T5_4t_400A</v>
      </c>
    </row>
    <row r="882" spans="1:20" s="690" customFormat="1" ht="18" customHeight="1">
      <c r="A882" s="1767"/>
      <c r="B882" s="1781">
        <v>1</v>
      </c>
      <c r="C882" s="1960" t="str">
        <f t="shared" si="794"/>
        <v>ITM Caja Moldeada 3x200A (reg.[0.7-1.0] In) - XT4S250-200A-3P-TMA - 85kA@230Vac, 50kA@415Vac - marca ABB.</v>
      </c>
      <c r="D882" s="314" t="s">
        <v>882</v>
      </c>
      <c r="E882" s="1782">
        <f t="shared" si="795"/>
        <v>386.71</v>
      </c>
      <c r="F882" s="1782">
        <f t="shared" si="796"/>
        <v>386.71</v>
      </c>
      <c r="G882" s="1761"/>
      <c r="H882" s="1761"/>
      <c r="I882" s="1761"/>
      <c r="J882" s="1783"/>
      <c r="K882" s="684">
        <f t="shared" si="778"/>
        <v>1</v>
      </c>
      <c r="L882" s="708">
        <v>1</v>
      </c>
      <c r="M882" s="709">
        <f t="shared" si="790"/>
        <v>1</v>
      </c>
      <c r="N882" s="362">
        <f t="shared" si="772"/>
        <v>1</v>
      </c>
      <c r="O882" s="1763" t="str">
        <f t="shared" si="773"/>
        <v>1SDA068310R1</v>
      </c>
      <c r="P882" s="1764" t="str">
        <f t="shared" si="774"/>
        <v>ITM Caja Moldeada 3x200A (reg.[0.7-1.0] In) - XT4S250-200A-3P-TMA - 85kA@230Vac, 50kA@415Vac - marca ABB.</v>
      </c>
      <c r="Q882" s="120" t="str">
        <f t="shared" si="775"/>
        <v>XT4S250-200A-3P-TMA</v>
      </c>
      <c r="R882" s="185"/>
    </row>
    <row r="883" spans="1:20" s="320" customFormat="1">
      <c r="A883" s="1785"/>
      <c r="B883" s="1929">
        <v>1</v>
      </c>
      <c r="C883" s="1930" t="str">
        <f t="shared" ref="C883" si="797">VLOOKUP(D883,base_datos,6,FALSE)</f>
        <v>FC-Cu_XT4 - Terminales - cables de cobre hasta 1x150mm2 - 3 terminales (internos)</v>
      </c>
      <c r="D883" s="1938" t="s">
        <v>831</v>
      </c>
      <c r="E883" s="1580">
        <f t="shared" ref="E883" si="798">VLOOKUP(D883,base_datos,5,FALSE)</f>
        <v>74.430000000000007</v>
      </c>
      <c r="F883" s="1581">
        <f t="shared" ref="F883" si="799">+E883*B883</f>
        <v>74.430000000000007</v>
      </c>
      <c r="G883" s="1924"/>
      <c r="H883" s="1924"/>
      <c r="I883" s="1924"/>
      <c r="J883" s="722"/>
      <c r="K883" s="684">
        <f t="shared" si="778"/>
        <v>1</v>
      </c>
      <c r="L883" s="1913">
        <f>L882</f>
        <v>1</v>
      </c>
      <c r="M883" s="709">
        <f t="shared" ref="M883" si="800">IF(B883="",1,B883)</f>
        <v>1</v>
      </c>
      <c r="N883" s="362">
        <f t="shared" ref="N883" si="801">IF(O883&lt;&gt;"",K883*L883*M883,"")</f>
        <v>1</v>
      </c>
      <c r="O883" s="1763" t="str">
        <f t="shared" ref="O883" si="802">IF(D883&lt;&gt;"",IF(VLOOKUP(D883,base_datos,7,FALSE)&lt;&gt;"",VLOOKUP(D883,base_datos,7,FALSE),""),"")</f>
        <v>1SDA066917R1</v>
      </c>
      <c r="P883" s="1764" t="str">
        <f t="shared" ref="P883" si="803">IF(O883&lt;&gt;"",VLOOKUP(D883,base_datos,6,FALSE),"")</f>
        <v>FC-Cu_XT4 - Terminales - cables de cobre hasta 1x150mm2 - 3 terminales (internos)</v>
      </c>
      <c r="Q883" s="120" t="str">
        <f t="shared" ref="Q883" si="804">IF(O883&lt;&gt;"",D883,"")</f>
        <v>FC-Cu_XT4_3t</v>
      </c>
    </row>
    <row r="884" spans="1:20" s="690" customFormat="1" ht="18" customHeight="1">
      <c r="A884" s="1767"/>
      <c r="B884" s="1781">
        <v>1</v>
      </c>
      <c r="C884" s="1960" t="str">
        <f t="shared" si="794"/>
        <v>ITM Caja Moldeada 3x50A (reg.[0.7-1.0] In) - XT2S160-50A-3P-TMA - 85kA@230Vac, 50kA@415Vac - marca ABB.</v>
      </c>
      <c r="D884" s="314" t="s">
        <v>1335</v>
      </c>
      <c r="E884" s="1782">
        <f t="shared" si="795"/>
        <v>211.29999999999998</v>
      </c>
      <c r="F884" s="1782">
        <f t="shared" si="796"/>
        <v>211.29999999999998</v>
      </c>
      <c r="G884" s="1761"/>
      <c r="H884" s="1761"/>
      <c r="I884" s="1761"/>
      <c r="J884" s="1783"/>
      <c r="K884" s="684">
        <f t="shared" si="778"/>
        <v>1</v>
      </c>
      <c r="L884" s="708">
        <v>1</v>
      </c>
      <c r="M884" s="709">
        <f t="shared" si="790"/>
        <v>1</v>
      </c>
      <c r="N884" s="362">
        <f t="shared" si="772"/>
        <v>1</v>
      </c>
      <c r="O884" s="1763" t="str">
        <f t="shared" si="773"/>
        <v>1SDA067555R1</v>
      </c>
      <c r="P884" s="1764" t="str">
        <f t="shared" si="774"/>
        <v>ITM Caja Moldeada 3x50A (reg.[0.7-1.0] In) - XT2S160-50A-3P-TMA - 85kA@230Vac, 50kA@415Vac - marca ABB.</v>
      </c>
      <c r="Q884" s="120" t="str">
        <f t="shared" si="775"/>
        <v>XT2S160-50A-3P-TMA</v>
      </c>
      <c r="R884" s="185"/>
    </row>
    <row r="885" spans="1:20" s="690" customFormat="1" ht="18" customHeight="1">
      <c r="A885" s="1767"/>
      <c r="B885" s="1781">
        <v>4</v>
      </c>
      <c r="C885" s="1960" t="str">
        <f t="shared" ref="C885:C888" si="805">VLOOKUP(D885,base_datos,6,FALSE)</f>
        <v>ITM Caja Moldeada 3x40A (reg.[0.7-1.0] In) - XT2S160-40A-3P-TMA - 85kA@230Vac, 50kA@415Vac - marca ABB.</v>
      </c>
      <c r="D885" s="314" t="s">
        <v>1334</v>
      </c>
      <c r="E885" s="1782">
        <f t="shared" si="795"/>
        <v>211.29999999999998</v>
      </c>
      <c r="F885" s="1782">
        <f t="shared" si="796"/>
        <v>845.19999999999993</v>
      </c>
      <c r="G885" s="1761"/>
      <c r="H885" s="1761"/>
      <c r="I885" s="1761"/>
      <c r="J885" s="1783"/>
      <c r="K885" s="684">
        <f t="shared" si="778"/>
        <v>1</v>
      </c>
      <c r="L885" s="708">
        <v>1</v>
      </c>
      <c r="M885" s="709">
        <f t="shared" si="790"/>
        <v>4</v>
      </c>
      <c r="N885" s="362">
        <f t="shared" si="772"/>
        <v>4</v>
      </c>
      <c r="O885" s="1763" t="str">
        <f t="shared" si="773"/>
        <v>1SDA067554R1</v>
      </c>
      <c r="P885" s="1764" t="str">
        <f t="shared" si="774"/>
        <v>ITM Caja Moldeada 3x40A (reg.[0.7-1.0] In) - XT2S160-40A-3P-TMA - 85kA@230Vac, 50kA@415Vac - marca ABB.</v>
      </c>
      <c r="Q885" s="120" t="str">
        <f t="shared" si="775"/>
        <v>XT2S160-40A-3P-TMA</v>
      </c>
      <c r="R885" s="185"/>
    </row>
    <row r="886" spans="1:20" s="690" customFormat="1" ht="18" customHeight="1">
      <c r="A886" s="1767"/>
      <c r="B886" s="1781">
        <v>3</v>
      </c>
      <c r="C886" s="1960" t="str">
        <f t="shared" ref="C886" si="806">VLOOKUP(D886,base_datos,6,FALSE)</f>
        <v>ITM Caja Moldeada 3x25A (reg.[0.7-1.0] In) - XT2S160-25A-3P-TMD - 85kA@230Vac, 50kA@415Vac - marca ABB</v>
      </c>
      <c r="D886" s="314" t="s">
        <v>1333</v>
      </c>
      <c r="E886" s="1782">
        <f t="shared" ref="E886" si="807">VLOOKUP(D886,base_datos,5,FALSE)</f>
        <v>211.29999999999998</v>
      </c>
      <c r="F886" s="1782">
        <f t="shared" ref="F886" si="808">+E886*B886</f>
        <v>633.9</v>
      </c>
      <c r="G886" s="1761"/>
      <c r="H886" s="1761"/>
      <c r="I886" s="1761"/>
      <c r="J886" s="1783"/>
      <c r="K886" s="684">
        <f t="shared" si="778"/>
        <v>1</v>
      </c>
      <c r="L886" s="708">
        <v>1</v>
      </c>
      <c r="M886" s="709">
        <f t="shared" ref="M886" si="809">IF(B886="",1,B886)</f>
        <v>3</v>
      </c>
      <c r="N886" s="362">
        <f t="shared" ref="N886" si="810">IF(O886&lt;&gt;"",K886*L886*M886,"")</f>
        <v>3</v>
      </c>
      <c r="O886" s="1763" t="str">
        <f t="shared" ref="O886" si="811">IF(D886&lt;&gt;"",IF(VLOOKUP(D886,base_datos,7,FALSE)&lt;&gt;"",VLOOKUP(D886,base_datos,7,FALSE),""),"")</f>
        <v>1SDA067552R1</v>
      </c>
      <c r="P886" s="1764" t="str">
        <f t="shared" ref="P886" si="812">IF(O886&lt;&gt;"",VLOOKUP(D886,base_datos,6,FALSE),"")</f>
        <v>ITM Caja Moldeada 3x25A (reg.[0.7-1.0] In) - XT2S160-25A-3P-TMD - 85kA@230Vac, 50kA@415Vac - marca ABB</v>
      </c>
      <c r="Q886" s="120" t="str">
        <f t="shared" ref="Q886" si="813">IF(O886&lt;&gt;"",D886,"")</f>
        <v>XT2S160-25A-3P-TMD</v>
      </c>
      <c r="R886" s="185"/>
    </row>
    <row r="887" spans="1:20" s="690" customFormat="1" ht="18" customHeight="1">
      <c r="A887" s="1767"/>
      <c r="B887" s="1781">
        <v>2</v>
      </c>
      <c r="C887" s="1960" t="str">
        <f t="shared" si="805"/>
        <v>ITM Caja Moldeada 3x16A (reg.[0.7-1.0] In) - XT2S160-16A-3P-TMD - 85kA@230Vac, 50kA@415Vac - marca ABB</v>
      </c>
      <c r="D887" s="314" t="s">
        <v>1328</v>
      </c>
      <c r="E887" s="1782">
        <f t="shared" si="795"/>
        <v>211.29999999999998</v>
      </c>
      <c r="F887" s="1782">
        <f t="shared" si="796"/>
        <v>422.59999999999997</v>
      </c>
      <c r="G887" s="1761"/>
      <c r="H887" s="1761"/>
      <c r="I887" s="1761"/>
      <c r="J887" s="1783"/>
      <c r="K887" s="684">
        <f t="shared" si="778"/>
        <v>1</v>
      </c>
      <c r="L887" s="708">
        <v>1</v>
      </c>
      <c r="M887" s="709">
        <f t="shared" si="790"/>
        <v>2</v>
      </c>
      <c r="N887" s="362">
        <f t="shared" si="772"/>
        <v>2</v>
      </c>
      <c r="O887" s="1763" t="str">
        <f t="shared" si="773"/>
        <v>1SDA067550R1</v>
      </c>
      <c r="P887" s="1764" t="str">
        <f t="shared" si="774"/>
        <v>ITM Caja Moldeada 3x16A (reg.[0.7-1.0] In) - XT2S160-16A-3P-TMD - 85kA@230Vac, 50kA@415Vac - marca ABB</v>
      </c>
      <c r="Q887" s="120" t="str">
        <f t="shared" si="775"/>
        <v>XT2S160-16A-3P-TMD</v>
      </c>
      <c r="R887" s="185"/>
    </row>
    <row r="888" spans="1:20" s="690" customFormat="1" ht="18" customHeight="1">
      <c r="A888" s="1767"/>
      <c r="B888" s="1781">
        <v>2</v>
      </c>
      <c r="C888" s="1960" t="str">
        <f t="shared" si="805"/>
        <v>Espacio de reserva trifásica - Caja moldeada.</v>
      </c>
      <c r="D888" s="182" t="s">
        <v>2932</v>
      </c>
      <c r="E888" s="1782">
        <f t="shared" si="795"/>
        <v>15</v>
      </c>
      <c r="F888" s="1782">
        <f t="shared" si="796"/>
        <v>30</v>
      </c>
      <c r="G888" s="1761"/>
      <c r="H888" s="1761"/>
      <c r="I888" s="1761"/>
      <c r="J888" s="1783"/>
      <c r="K888" s="684">
        <f t="shared" si="778"/>
        <v>1</v>
      </c>
      <c r="L888" s="708">
        <v>1</v>
      </c>
      <c r="M888" s="709">
        <f t="shared" si="790"/>
        <v>2</v>
      </c>
      <c r="N888" s="362" t="str">
        <f t="shared" si="772"/>
        <v/>
      </c>
      <c r="O888" s="1763" t="str">
        <f t="shared" si="773"/>
        <v/>
      </c>
      <c r="P888" s="1764" t="str">
        <f t="shared" si="774"/>
        <v/>
      </c>
      <c r="Q888" s="120" t="str">
        <f t="shared" si="775"/>
        <v/>
      </c>
      <c r="R888" s="185"/>
    </row>
    <row r="889" spans="1:20" s="185" customFormat="1">
      <c r="A889" s="692"/>
      <c r="B889" s="714"/>
      <c r="C889" s="1893" t="s">
        <v>729</v>
      </c>
      <c r="D889" s="2021"/>
      <c r="E889" s="1786"/>
      <c r="F889" s="1787"/>
      <c r="G889" s="710"/>
      <c r="H889" s="710"/>
      <c r="I889" s="710"/>
      <c r="J889" s="711"/>
      <c r="K889" s="684">
        <f t="shared" si="778"/>
        <v>1</v>
      </c>
      <c r="L889" s="363">
        <v>1</v>
      </c>
      <c r="M889" s="709">
        <f>IF(B889="",1,B889)</f>
        <v>1</v>
      </c>
      <c r="N889" s="362" t="str">
        <f t="shared" si="772"/>
        <v/>
      </c>
      <c r="O889" s="1763" t="str">
        <f t="shared" si="773"/>
        <v/>
      </c>
      <c r="P889" s="1764" t="str">
        <f t="shared" si="774"/>
        <v/>
      </c>
      <c r="Q889" s="120" t="str">
        <f t="shared" si="775"/>
        <v/>
      </c>
    </row>
    <row r="890" spans="1:20" s="315" customFormat="1">
      <c r="A890" s="1785"/>
      <c r="B890" s="355"/>
      <c r="C890" s="1944" t="s">
        <v>3063</v>
      </c>
      <c r="D890" s="2022"/>
      <c r="E890" s="1786"/>
      <c r="F890" s="1787"/>
      <c r="G890" s="712"/>
      <c r="H890" s="712"/>
      <c r="I890" s="712"/>
      <c r="J890" s="713"/>
      <c r="K890" s="684">
        <f t="shared" si="778"/>
        <v>1</v>
      </c>
      <c r="L890" s="708">
        <v>1</v>
      </c>
      <c r="M890" s="709">
        <f>IF(B890="",1,B890)</f>
        <v>1</v>
      </c>
      <c r="N890" s="362" t="str">
        <f t="shared" si="772"/>
        <v/>
      </c>
      <c r="O890" s="1763" t="str">
        <f t="shared" si="773"/>
        <v/>
      </c>
      <c r="P890" s="1764" t="str">
        <f t="shared" si="774"/>
        <v/>
      </c>
      <c r="Q890" s="120" t="str">
        <f t="shared" si="775"/>
        <v/>
      </c>
    </row>
    <row r="891" spans="1:20" s="690" customFormat="1" ht="18" customHeight="1">
      <c r="A891" s="691"/>
      <c r="B891" s="1781">
        <v>1</v>
      </c>
      <c r="C891" s="1420" t="str">
        <f>VLOOKUP(D891,base_datos,6,FALSE)</f>
        <v>ITM Caja Moldeada 3x32A (reg.[0.7-1.0] In) - XT2S160-32A-3P-TMD - 85kA@230Vac, 50kA@415Vac - marca ABB</v>
      </c>
      <c r="D891" s="1901" t="s">
        <v>821</v>
      </c>
      <c r="E891" s="1791">
        <f>VLOOKUP(D891,base_datos,5,FALSE)</f>
        <v>211.29999999999998</v>
      </c>
      <c r="F891" s="1782">
        <f t="shared" ref="F891:F892" si="814">+E891*B891</f>
        <v>211.29999999999998</v>
      </c>
      <c r="G891" s="1761"/>
      <c r="H891" s="1761"/>
      <c r="I891" s="1761"/>
      <c r="J891" s="1783"/>
      <c r="K891" s="684">
        <f t="shared" si="778"/>
        <v>1</v>
      </c>
      <c r="L891" s="708">
        <v>1</v>
      </c>
      <c r="M891" s="709">
        <f t="shared" ref="M891:M892" si="815">IF(B891="",1,B891)</f>
        <v>1</v>
      </c>
      <c r="N891" s="362">
        <f t="shared" si="772"/>
        <v>1</v>
      </c>
      <c r="O891" s="1763" t="str">
        <f t="shared" si="773"/>
        <v>1SDA067553R1</v>
      </c>
      <c r="P891" s="1764" t="str">
        <f t="shared" si="774"/>
        <v>ITM Caja Moldeada 3x32A (reg.[0.7-1.0] In) - XT2S160-32A-3P-TMD - 85kA@230Vac, 50kA@415Vac - marca ABB</v>
      </c>
      <c r="Q891" s="120" t="str">
        <f t="shared" si="775"/>
        <v>XT2S160-32A-3P-TMD</v>
      </c>
      <c r="R891" s="185"/>
    </row>
    <row r="892" spans="1:20" s="690" customFormat="1" ht="18" customHeight="1">
      <c r="A892" s="691"/>
      <c r="B892" s="1781">
        <v>1</v>
      </c>
      <c r="C892" s="1420" t="str">
        <f>VLOOKUP(D892,base_datos,6,FALSE)</f>
        <v>Supresor contra sobretensiones (Tipo 1, UL 1449) - OVRHT3C504803D - I_max=50kA por fase, Un=480V,  MCOV=640V (L-G), VPR=2.5kV (L-G) - marca ABB.</v>
      </c>
      <c r="D892" s="1901" t="s">
        <v>12357</v>
      </c>
      <c r="E892" s="1791">
        <f>VLOOKUP(D892,base_datos,5,FALSE)</f>
        <v>386.44</v>
      </c>
      <c r="F892" s="1782">
        <f t="shared" si="814"/>
        <v>386.44</v>
      </c>
      <c r="G892" s="1761"/>
      <c r="H892" s="1761"/>
      <c r="I892" s="1761"/>
      <c r="J892" s="1783"/>
      <c r="K892" s="684">
        <f t="shared" si="778"/>
        <v>1</v>
      </c>
      <c r="L892" s="708">
        <v>1</v>
      </c>
      <c r="M892" s="709">
        <f t="shared" si="815"/>
        <v>1</v>
      </c>
      <c r="N892" s="362">
        <f t="shared" si="772"/>
        <v>1</v>
      </c>
      <c r="O892" s="1763" t="str">
        <f t="shared" si="773"/>
        <v>2CJC605480D0000</v>
      </c>
      <c r="P892" s="1764" t="str">
        <f t="shared" si="774"/>
        <v>Supresor contra sobretensiones (Tipo 1, UL 1449) - OVRHT3C504803D - I_max=50kA por fase, Un=480V,  MCOV=640V (L-G), VPR=2.5kV (L-G) - marca ABB.</v>
      </c>
      <c r="Q892" s="120" t="str">
        <f t="shared" si="775"/>
        <v>OVRHT3C504803D</v>
      </c>
      <c r="R892" s="185"/>
    </row>
    <row r="893" spans="1:20" s="185" customFormat="1">
      <c r="A893" s="692"/>
      <c r="B893" s="714"/>
      <c r="C893" s="1893" t="s">
        <v>729</v>
      </c>
      <c r="D893" s="2021"/>
      <c r="E893" s="1786"/>
      <c r="F893" s="1787"/>
      <c r="G893" s="710"/>
      <c r="H893" s="710"/>
      <c r="I893" s="710"/>
      <c r="J893" s="711"/>
      <c r="K893" s="684">
        <f t="shared" si="778"/>
        <v>1</v>
      </c>
      <c r="L893" s="363">
        <v>1</v>
      </c>
      <c r="M893" s="709">
        <f>IF(B893="",1,B893)</f>
        <v>1</v>
      </c>
      <c r="N893" s="362" t="str">
        <f t="shared" si="772"/>
        <v/>
      </c>
      <c r="O893" s="1763" t="str">
        <f t="shared" si="773"/>
        <v/>
      </c>
      <c r="P893" s="1764" t="str">
        <f t="shared" si="774"/>
        <v/>
      </c>
      <c r="Q893" s="120" t="str">
        <f t="shared" si="775"/>
        <v/>
      </c>
    </row>
    <row r="894" spans="1:20" s="315" customFormat="1" ht="12.75" customHeight="1">
      <c r="A894" s="2253"/>
      <c r="B894" s="2254">
        <v>1</v>
      </c>
      <c r="C894" s="82" t="s">
        <v>13364</v>
      </c>
      <c r="D894" s="2255"/>
      <c r="E894" s="2256"/>
      <c r="F894" s="2257">
        <f>+SUM(F895:F903)*(B894-1)</f>
        <v>0</v>
      </c>
      <c r="G894" s="712"/>
      <c r="H894" s="712"/>
      <c r="I894" s="712"/>
      <c r="J894" s="713"/>
      <c r="K894" s="684">
        <v>1</v>
      </c>
      <c r="L894" s="2258">
        <v>1</v>
      </c>
      <c r="M894" s="120">
        <f t="shared" ref="M894:M910" si="816">IF(B894="",1,B894)</f>
        <v>1</v>
      </c>
      <c r="N894" s="112" t="str">
        <f t="shared" si="772"/>
        <v/>
      </c>
      <c r="O894" s="112" t="str">
        <f t="shared" si="773"/>
        <v/>
      </c>
      <c r="P894" s="120" t="str">
        <f t="shared" si="774"/>
        <v/>
      </c>
      <c r="Q894" s="120" t="str">
        <f t="shared" si="775"/>
        <v/>
      </c>
      <c r="R894" s="2128"/>
      <c r="S894" s="112" t="str">
        <f t="shared" ref="S894:S910" si="817">IF(O894&lt;&gt;"",VLOOKUP(D894,base_datos,9,FALSE),"")</f>
        <v/>
      </c>
      <c r="T894" s="2128"/>
    </row>
    <row r="895" spans="1:20" s="1921" customFormat="1" ht="12.75" customHeight="1">
      <c r="A895" s="2253"/>
      <c r="B895" s="2259">
        <f>B896</f>
        <v>1</v>
      </c>
      <c r="C895" s="81" t="str">
        <f>VLOOKUP(D895,base_datos,6,FALSE)</f>
        <v>Lámpara fluorescente - 230V, 60Hz 13W - modelo CLG, marca FANDIS.</v>
      </c>
      <c r="D895" s="144" t="s">
        <v>3406</v>
      </c>
      <c r="E895" s="2283">
        <f>VLOOKUP(D895,base_datos,5,FALSE)</f>
        <v>66.399999999999991</v>
      </c>
      <c r="F895" s="2260">
        <f>+E895*B895</f>
        <v>66.399999999999991</v>
      </c>
      <c r="G895" s="1919"/>
      <c r="H895" s="1919"/>
      <c r="I895" s="1919"/>
      <c r="J895" s="1920"/>
      <c r="K895" s="684">
        <v>1</v>
      </c>
      <c r="L895" s="2258">
        <v>1</v>
      </c>
      <c r="M895" s="120">
        <f t="shared" si="816"/>
        <v>1</v>
      </c>
      <c r="N895" s="112">
        <f t="shared" si="772"/>
        <v>1</v>
      </c>
      <c r="O895" s="112" t="str">
        <f t="shared" si="773"/>
        <v>LAMP_FLUOR_FAND</v>
      </c>
      <c r="P895" s="120" t="str">
        <f t="shared" si="774"/>
        <v>Lámpara fluorescente - 230V, 60Hz 13W - modelo CLG, marca FANDIS.</v>
      </c>
      <c r="Q895" s="120" t="str">
        <f t="shared" si="775"/>
        <v>LAMP_FLUOR_FAND</v>
      </c>
      <c r="R895" s="2261"/>
      <c r="S895" s="112" t="str">
        <f t="shared" si="817"/>
        <v>FANDIS</v>
      </c>
      <c r="T895" s="2261"/>
    </row>
    <row r="896" spans="1:20" s="185" customFormat="1" ht="12.75" customHeight="1">
      <c r="A896" s="2262"/>
      <c r="B896" s="2263">
        <v>1</v>
      </c>
      <c r="C896" s="2279"/>
      <c r="D896" s="2284"/>
      <c r="E896" s="2260"/>
      <c r="F896" s="2260"/>
      <c r="G896" s="710"/>
      <c r="H896" s="710"/>
      <c r="I896" s="710"/>
      <c r="J896" s="711"/>
      <c r="K896" s="684">
        <v>1</v>
      </c>
      <c r="L896" s="2258">
        <v>1</v>
      </c>
      <c r="M896" s="120">
        <f t="shared" si="816"/>
        <v>1</v>
      </c>
      <c r="N896" s="112" t="str">
        <f t="shared" si="772"/>
        <v/>
      </c>
      <c r="O896" s="112" t="str">
        <f t="shared" si="773"/>
        <v/>
      </c>
      <c r="P896" s="120" t="str">
        <f t="shared" si="774"/>
        <v/>
      </c>
      <c r="Q896" s="120" t="str">
        <f t="shared" si="775"/>
        <v/>
      </c>
      <c r="R896" s="118"/>
      <c r="S896" s="112" t="str">
        <f t="shared" si="817"/>
        <v/>
      </c>
      <c r="T896" s="118"/>
    </row>
    <row r="897" spans="1:20" s="1921" customFormat="1" ht="12.75" customHeight="1">
      <c r="A897" s="2262"/>
      <c r="B897" s="2259">
        <f>B898</f>
        <v>1</v>
      </c>
      <c r="C897" s="81" t="str">
        <f>VLOOKUP(D897,base_datos,6,FALSE)</f>
        <v>Switch de puerta - FC-001.</v>
      </c>
      <c r="D897" s="2296" t="s">
        <v>3408</v>
      </c>
      <c r="E897" s="2283">
        <f>VLOOKUP(D897,base_datos,5,FALSE)</f>
        <v>47.6</v>
      </c>
      <c r="F897" s="2260">
        <f>+E897*B897</f>
        <v>47.6</v>
      </c>
      <c r="G897" s="1919"/>
      <c r="H897" s="1919"/>
      <c r="I897" s="1919"/>
      <c r="J897" s="1920"/>
      <c r="K897" s="684">
        <v>1</v>
      </c>
      <c r="L897" s="2258">
        <v>1</v>
      </c>
      <c r="M897" s="120">
        <f t="shared" si="816"/>
        <v>1</v>
      </c>
      <c r="N897" s="112">
        <f t="shared" si="772"/>
        <v>1</v>
      </c>
      <c r="O897" s="112" t="str">
        <f t="shared" si="773"/>
        <v>LIMIT_SWITCH_FAND</v>
      </c>
      <c r="P897" s="120" t="str">
        <f t="shared" si="774"/>
        <v>Switch de puerta - FC-001.</v>
      </c>
      <c r="Q897" s="120" t="str">
        <f t="shared" si="775"/>
        <v>LIMIT_SWITCH_FAND</v>
      </c>
      <c r="R897" s="2261"/>
      <c r="S897" s="112" t="str">
        <f t="shared" si="817"/>
        <v>FANDIS</v>
      </c>
      <c r="T897" s="2261"/>
    </row>
    <row r="898" spans="1:20" s="185" customFormat="1" ht="12.75" customHeight="1">
      <c r="A898" s="2262"/>
      <c r="B898" s="2263">
        <v>1</v>
      </c>
      <c r="C898" s="2279"/>
      <c r="D898" s="2284"/>
      <c r="E898" s="2260"/>
      <c r="F898" s="2260"/>
      <c r="G898" s="710"/>
      <c r="H898" s="710"/>
      <c r="I898" s="710"/>
      <c r="J898" s="711"/>
      <c r="K898" s="684">
        <v>1</v>
      </c>
      <c r="L898" s="2258">
        <v>1</v>
      </c>
      <c r="M898" s="120">
        <f t="shared" si="816"/>
        <v>1</v>
      </c>
      <c r="N898" s="112" t="str">
        <f t="shared" si="772"/>
        <v/>
      </c>
      <c r="O898" s="112" t="str">
        <f t="shared" si="773"/>
        <v/>
      </c>
      <c r="P898" s="120" t="str">
        <f t="shared" si="774"/>
        <v/>
      </c>
      <c r="Q898" s="120" t="str">
        <f t="shared" si="775"/>
        <v/>
      </c>
      <c r="R898" s="118"/>
      <c r="S898" s="112" t="str">
        <f t="shared" si="817"/>
        <v/>
      </c>
      <c r="T898" s="118"/>
    </row>
    <row r="899" spans="1:20" s="185" customFormat="1" ht="12.75" customHeight="1">
      <c r="A899" s="2262"/>
      <c r="B899" s="2263">
        <v>1</v>
      </c>
      <c r="C899" s="2279" t="str">
        <f>VLOOKUP(D899,base_datos,6,FALSE)</f>
        <v>Contactor 3x09A(AC-3) 1NO+1NC - CTX3-9A - bobina 230Vac - marca Legrand.</v>
      </c>
      <c r="D899" s="2284" t="s">
        <v>10823</v>
      </c>
      <c r="E899" s="2283">
        <f>VLOOKUP(D899,base_datos,5,FALSE)</f>
        <v>40.888738127544087</v>
      </c>
      <c r="F899" s="2260">
        <f>+E899*B899</f>
        <v>40.888738127544087</v>
      </c>
      <c r="G899" s="710"/>
      <c r="H899" s="710"/>
      <c r="I899" s="710"/>
      <c r="J899" s="711"/>
      <c r="K899" s="684">
        <v>1</v>
      </c>
      <c r="L899" s="2258">
        <v>1</v>
      </c>
      <c r="M899" s="120">
        <f t="shared" si="816"/>
        <v>1</v>
      </c>
      <c r="N899" s="112">
        <f t="shared" si="772"/>
        <v>1</v>
      </c>
      <c r="O899" s="112">
        <f t="shared" si="773"/>
        <v>416086</v>
      </c>
      <c r="P899" s="120" t="str">
        <f t="shared" si="774"/>
        <v>Contactor 3x09A(AC-3) 1NO+1NC - CTX3-9A - bobina 230Vac - marca Legrand.</v>
      </c>
      <c r="Q899" s="120" t="str">
        <f t="shared" si="775"/>
        <v>CTX3-9A</v>
      </c>
      <c r="R899" s="118"/>
      <c r="S899" s="112" t="str">
        <f t="shared" si="817"/>
        <v>Legrand</v>
      </c>
      <c r="T899" s="118"/>
    </row>
    <row r="900" spans="1:20" s="1921" customFormat="1" ht="12.75" customHeight="1">
      <c r="A900" s="2262"/>
      <c r="B900" s="2259">
        <v>1</v>
      </c>
      <c r="C900" t="s">
        <v>3361</v>
      </c>
      <c r="D900" s="2265"/>
      <c r="E900" s="2285"/>
      <c r="F900" s="2266"/>
      <c r="G900" s="1919"/>
      <c r="H900" s="1919"/>
      <c r="I900" s="1919"/>
      <c r="J900" s="1920"/>
      <c r="K900" s="684">
        <v>1</v>
      </c>
      <c r="L900" s="2258">
        <v>1</v>
      </c>
      <c r="M900" s="120">
        <f t="shared" si="816"/>
        <v>1</v>
      </c>
      <c r="N900" s="112" t="str">
        <f t="shared" si="772"/>
        <v/>
      </c>
      <c r="O900" s="112" t="str">
        <f t="shared" si="773"/>
        <v/>
      </c>
      <c r="P900" s="120" t="str">
        <f t="shared" si="774"/>
        <v/>
      </c>
      <c r="Q900" s="120" t="str">
        <f t="shared" si="775"/>
        <v/>
      </c>
      <c r="R900" s="2261"/>
      <c r="S900" s="112" t="str">
        <f t="shared" si="817"/>
        <v/>
      </c>
      <c r="T900" s="2261"/>
    </row>
    <row r="901" spans="1:20" s="185" customFormat="1" ht="12.75" customHeight="1">
      <c r="A901" s="2262"/>
      <c r="B901" s="2263">
        <v>1</v>
      </c>
      <c r="C901" s="2279" t="str">
        <f>VLOOKUP(D901,base_datos,6,FALSE)</f>
        <v>Base portafusibles + Fusibles de protección para control.</v>
      </c>
      <c r="D901" s="2267" t="s">
        <v>453</v>
      </c>
      <c r="E901" s="2286">
        <f>VLOOKUP(D901,base_datos,5,FALSE)</f>
        <v>8.1750000000000007</v>
      </c>
      <c r="F901" s="2264">
        <f>+E901*B901</f>
        <v>8.1750000000000007</v>
      </c>
      <c r="G901" s="710"/>
      <c r="H901" s="710"/>
      <c r="I901" s="710"/>
      <c r="J901" s="711"/>
      <c r="K901" s="684">
        <v>1</v>
      </c>
      <c r="L901" s="2258">
        <v>1</v>
      </c>
      <c r="M901" s="120">
        <f t="shared" si="816"/>
        <v>1</v>
      </c>
      <c r="N901" s="112" t="str">
        <f t="shared" si="772"/>
        <v/>
      </c>
      <c r="O901" s="112" t="str">
        <f t="shared" si="773"/>
        <v/>
      </c>
      <c r="P901" s="120" t="str">
        <f t="shared" si="774"/>
        <v/>
      </c>
      <c r="Q901" s="120" t="str">
        <f t="shared" si="775"/>
        <v/>
      </c>
      <c r="R901" s="118"/>
      <c r="S901" s="112" t="str">
        <f t="shared" si="817"/>
        <v/>
      </c>
      <c r="T901" s="118"/>
    </row>
    <row r="902" spans="1:20" s="320" customFormat="1" ht="12.75" customHeight="1">
      <c r="A902" s="2262"/>
      <c r="B902" s="2263">
        <v>1</v>
      </c>
      <c r="C902" s="2279" t="str">
        <f>VLOOKUP(D902,base_datos,6,FALSE)</f>
        <v>Borne 4mm2.</v>
      </c>
      <c r="D902" s="2267" t="s">
        <v>437</v>
      </c>
      <c r="E902" s="2286">
        <f>VLOOKUP(D902,base_datos,5,FALSE)</f>
        <v>2.5</v>
      </c>
      <c r="F902" s="2264">
        <f>+E902*B902</f>
        <v>2.5</v>
      </c>
      <c r="G902" s="1924"/>
      <c r="H902" s="1924"/>
      <c r="I902" s="1924"/>
      <c r="J902" s="722"/>
      <c r="K902" s="684">
        <v>1</v>
      </c>
      <c r="L902" s="2258">
        <v>1</v>
      </c>
      <c r="M902" s="120">
        <f t="shared" si="816"/>
        <v>1</v>
      </c>
      <c r="N902" s="112" t="str">
        <f t="shared" si="772"/>
        <v/>
      </c>
      <c r="O902" s="112" t="str">
        <f t="shared" si="773"/>
        <v/>
      </c>
      <c r="P902" s="120" t="str">
        <f t="shared" si="774"/>
        <v/>
      </c>
      <c r="Q902" s="120" t="str">
        <f t="shared" si="775"/>
        <v/>
      </c>
      <c r="R902" s="709"/>
      <c r="S902" s="112" t="str">
        <f t="shared" si="817"/>
        <v/>
      </c>
      <c r="T902" s="709"/>
    </row>
    <row r="903" spans="1:20" s="320" customFormat="1" ht="12.75" customHeight="1">
      <c r="A903" s="2262"/>
      <c r="B903" s="2263">
        <v>1</v>
      </c>
      <c r="C903" s="2279" t="str">
        <f>VLOOKUP(D903,base_datos,6,FALSE)</f>
        <v>Borne para neutro.</v>
      </c>
      <c r="D903" s="2267" t="s">
        <v>436</v>
      </c>
      <c r="E903" s="2286">
        <f>VLOOKUP(D903,base_datos,5,FALSE)</f>
        <v>4</v>
      </c>
      <c r="F903" s="2264">
        <f>+E903*B903</f>
        <v>4</v>
      </c>
      <c r="G903" s="1924"/>
      <c r="H903" s="1924"/>
      <c r="I903" s="1924"/>
      <c r="J903" s="722"/>
      <c r="K903" s="684">
        <v>1</v>
      </c>
      <c r="L903" s="2258">
        <v>1</v>
      </c>
      <c r="M903" s="120">
        <f t="shared" si="816"/>
        <v>1</v>
      </c>
      <c r="N903" s="112" t="str">
        <f t="shared" si="772"/>
        <v/>
      </c>
      <c r="O903" s="112" t="str">
        <f t="shared" si="773"/>
        <v/>
      </c>
      <c r="P903" s="120" t="str">
        <f t="shared" si="774"/>
        <v/>
      </c>
      <c r="Q903" s="120" t="str">
        <f t="shared" si="775"/>
        <v/>
      </c>
      <c r="R903" s="709"/>
      <c r="S903" s="112" t="str">
        <f t="shared" si="817"/>
        <v/>
      </c>
      <c r="T903" s="709"/>
    </row>
    <row r="904" spans="1:20" s="19" customFormat="1" ht="21.9" customHeight="1">
      <c r="A904" s="2262"/>
      <c r="B904" s="2268"/>
      <c r="C904" s="1893" t="s">
        <v>729</v>
      </c>
      <c r="D904" s="169"/>
      <c r="E904" s="2269"/>
      <c r="F904" s="2290"/>
      <c r="I904" s="137"/>
      <c r="J904" s="2270"/>
      <c r="K904" s="684">
        <v>1</v>
      </c>
      <c r="L904" s="2258">
        <v>1</v>
      </c>
      <c r="M904" s="120">
        <f t="shared" si="816"/>
        <v>1</v>
      </c>
      <c r="N904" s="112" t="str">
        <f t="shared" si="772"/>
        <v/>
      </c>
      <c r="O904" s="112" t="str">
        <f t="shared" si="773"/>
        <v/>
      </c>
      <c r="P904" s="120" t="str">
        <f t="shared" si="774"/>
        <v/>
      </c>
      <c r="Q904" s="120" t="str">
        <f t="shared" si="775"/>
        <v/>
      </c>
      <c r="R904" s="161"/>
      <c r="S904" s="112" t="str">
        <f t="shared" si="817"/>
        <v/>
      </c>
      <c r="T904" s="161"/>
    </row>
    <row r="905" spans="1:20" s="315" customFormat="1" ht="12.75" customHeight="1">
      <c r="A905" s="2271"/>
      <c r="B905" s="2272">
        <v>1</v>
      </c>
      <c r="C905" s="2281" t="s">
        <v>13366</v>
      </c>
      <c r="D905" s="1935"/>
      <c r="E905" s="2287"/>
      <c r="F905" s="2257">
        <f>+SUM(F906:F909)*(B905-1)</f>
        <v>0</v>
      </c>
      <c r="G905" s="712"/>
      <c r="H905" s="712"/>
      <c r="I905" s="712"/>
      <c r="J905" s="713"/>
      <c r="K905" s="684">
        <v>1</v>
      </c>
      <c r="L905" s="2258">
        <v>1</v>
      </c>
      <c r="M905" s="120">
        <f t="shared" si="816"/>
        <v>1</v>
      </c>
      <c r="N905" s="112" t="str">
        <f t="shared" si="772"/>
        <v/>
      </c>
      <c r="O905" s="112" t="str">
        <f t="shared" si="773"/>
        <v/>
      </c>
      <c r="P905" s="120" t="str">
        <f t="shared" si="774"/>
        <v/>
      </c>
      <c r="Q905" s="120" t="str">
        <f t="shared" si="775"/>
        <v/>
      </c>
      <c r="S905" s="112" t="str">
        <f t="shared" si="817"/>
        <v/>
      </c>
      <c r="T905" s="2128"/>
    </row>
    <row r="906" spans="1:20" s="690" customFormat="1" ht="18" customHeight="1">
      <c r="A906" s="2273"/>
      <c r="B906" s="1781">
        <v>1</v>
      </c>
      <c r="C906" s="1420" t="str">
        <f t="shared" ref="C906:C909" si="818">VLOOKUP(D906,base_datos,6,FALSE)</f>
        <v>Calefactor resistivo 60W, modelo RACM - marca FANDIS.</v>
      </c>
      <c r="D906" s="1899" t="s">
        <v>3298</v>
      </c>
      <c r="E906" s="2288">
        <f t="shared" ref="E906" si="819">VLOOKUP(D906,base_datos,5,FALSE)</f>
        <v>127.1</v>
      </c>
      <c r="F906" s="1782">
        <f>+E906*B906</f>
        <v>127.1</v>
      </c>
      <c r="G906" s="1761"/>
      <c r="H906" s="1761"/>
      <c r="I906" s="1761"/>
      <c r="J906" s="689"/>
      <c r="K906" s="684">
        <v>1</v>
      </c>
      <c r="L906" s="2258">
        <v>1</v>
      </c>
      <c r="M906" s="120">
        <f t="shared" si="816"/>
        <v>1</v>
      </c>
      <c r="N906" s="112">
        <f t="shared" si="772"/>
        <v>1</v>
      </c>
      <c r="O906" s="112" t="str">
        <f t="shared" si="773"/>
        <v>RACM-60</v>
      </c>
      <c r="P906" s="120" t="str">
        <f t="shared" si="774"/>
        <v>Calefactor resistivo 60W, modelo RACM - marca FANDIS.</v>
      </c>
      <c r="Q906" s="120" t="str">
        <f t="shared" si="775"/>
        <v>CALEFACT-60W_FAND</v>
      </c>
      <c r="S906" s="112" t="str">
        <f t="shared" si="817"/>
        <v>FANDIS</v>
      </c>
      <c r="T906" s="1765"/>
    </row>
    <row r="907" spans="1:20" s="690" customFormat="1" ht="18" customHeight="1">
      <c r="A907" s="2273"/>
      <c r="B907" s="1781">
        <v>1</v>
      </c>
      <c r="C907" s="1420" t="str">
        <f t="shared" si="818"/>
        <v>Termostato para ventilación - 1NA - 230V - marca FANDIS.</v>
      </c>
      <c r="D907" s="1899" t="s">
        <v>3294</v>
      </c>
      <c r="E907" s="2288">
        <f t="shared" ref="E907:E909" si="820">VLOOKUP(D907,base_datos,5,FALSE)</f>
        <v>41.58</v>
      </c>
      <c r="F907" s="1782">
        <f>+E907*B907</f>
        <v>41.58</v>
      </c>
      <c r="G907" s="1761"/>
      <c r="H907" s="1761"/>
      <c r="I907" s="1761"/>
      <c r="J907" s="689"/>
      <c r="K907" s="684">
        <v>1</v>
      </c>
      <c r="L907" s="2258">
        <v>1</v>
      </c>
      <c r="M907" s="120">
        <f t="shared" si="816"/>
        <v>1</v>
      </c>
      <c r="N907" s="112">
        <f t="shared" si="772"/>
        <v>1</v>
      </c>
      <c r="O907" s="112" t="str">
        <f t="shared" si="773"/>
        <v>TRT-10A230V-NO</v>
      </c>
      <c r="P907" s="120" t="str">
        <f t="shared" si="774"/>
        <v>Termostato para ventilación - 1NA - 230V - marca FANDIS.</v>
      </c>
      <c r="Q907" s="120" t="str">
        <f t="shared" si="775"/>
        <v>TRT-1NA</v>
      </c>
      <c r="S907" s="112" t="str">
        <f t="shared" si="817"/>
        <v>FANDIS</v>
      </c>
      <c r="T907" s="1765"/>
    </row>
    <row r="908" spans="1:20" s="320" customFormat="1" ht="12.75" customHeight="1">
      <c r="A908" s="2274"/>
      <c r="B908" s="2275">
        <v>1</v>
      </c>
      <c r="C908" s="2282" t="str">
        <f t="shared" si="818"/>
        <v>Base portafusibles + Fusibles de protección para control.</v>
      </c>
      <c r="D908" s="1579" t="s">
        <v>453</v>
      </c>
      <c r="E908" s="2289">
        <f t="shared" si="820"/>
        <v>8.1750000000000007</v>
      </c>
      <c r="F908" s="2264">
        <f>+E908*B908</f>
        <v>8.1750000000000007</v>
      </c>
      <c r="G908" s="2276"/>
      <c r="H908" s="2276"/>
      <c r="I908" s="2276"/>
      <c r="J908" s="722"/>
      <c r="K908" s="684">
        <v>1</v>
      </c>
      <c r="L908" s="2258">
        <v>1</v>
      </c>
      <c r="M908" s="120">
        <f t="shared" si="816"/>
        <v>1</v>
      </c>
      <c r="N908" s="112" t="str">
        <f t="shared" si="772"/>
        <v/>
      </c>
      <c r="O908" s="112" t="str">
        <f t="shared" si="773"/>
        <v/>
      </c>
      <c r="P908" s="120" t="str">
        <f t="shared" si="774"/>
        <v/>
      </c>
      <c r="Q908" s="120" t="str">
        <f t="shared" si="775"/>
        <v/>
      </c>
      <c r="R908" s="185"/>
      <c r="S908" s="112" t="str">
        <f t="shared" si="817"/>
        <v/>
      </c>
      <c r="T908" s="709"/>
    </row>
    <row r="909" spans="1:20" s="320" customFormat="1" ht="12.75" customHeight="1">
      <c r="A909" s="2274"/>
      <c r="B909" s="2277">
        <v>1</v>
      </c>
      <c r="C909" s="2282" t="str">
        <f t="shared" si="818"/>
        <v>Borne 4mm2.</v>
      </c>
      <c r="D909" s="1579" t="s">
        <v>437</v>
      </c>
      <c r="E909" s="2260">
        <f t="shared" si="820"/>
        <v>2.5</v>
      </c>
      <c r="F909" s="2260">
        <f>+E909*B909</f>
        <v>2.5</v>
      </c>
      <c r="G909" s="2276"/>
      <c r="H909" s="2276"/>
      <c r="I909" s="2276"/>
      <c r="J909" s="722"/>
      <c r="K909" s="684">
        <v>1</v>
      </c>
      <c r="L909" s="2258">
        <v>1</v>
      </c>
      <c r="M909" s="120">
        <f t="shared" si="816"/>
        <v>1</v>
      </c>
      <c r="N909" s="112" t="str">
        <f t="shared" si="772"/>
        <v/>
      </c>
      <c r="O909" s="112" t="str">
        <f t="shared" si="773"/>
        <v/>
      </c>
      <c r="P909" s="120" t="str">
        <f t="shared" si="774"/>
        <v/>
      </c>
      <c r="Q909" s="120" t="str">
        <f t="shared" si="775"/>
        <v/>
      </c>
      <c r="R909" s="185"/>
      <c r="S909" s="112" t="str">
        <f t="shared" si="817"/>
        <v/>
      </c>
      <c r="T909" s="709"/>
    </row>
    <row r="910" spans="1:20" s="185" customFormat="1" ht="12.75" customHeight="1">
      <c r="A910" s="2262"/>
      <c r="B910" s="1760"/>
      <c r="C910" s="1893" t="s">
        <v>729</v>
      </c>
      <c r="D910" s="169"/>
      <c r="E910" s="2256"/>
      <c r="F910" s="2278"/>
      <c r="G910" s="710"/>
      <c r="H910" s="710"/>
      <c r="I910" s="710"/>
      <c r="J910" s="711"/>
      <c r="K910" s="684">
        <v>1</v>
      </c>
      <c r="L910" s="2258">
        <v>1</v>
      </c>
      <c r="M910" s="120">
        <f t="shared" si="816"/>
        <v>1</v>
      </c>
      <c r="N910" s="112" t="str">
        <f t="shared" si="772"/>
        <v/>
      </c>
      <c r="O910" s="112" t="str">
        <f t="shared" si="773"/>
        <v/>
      </c>
      <c r="P910" s="120" t="str">
        <f t="shared" si="774"/>
        <v/>
      </c>
      <c r="Q910" s="120" t="str">
        <f t="shared" si="775"/>
        <v/>
      </c>
      <c r="S910" s="112" t="str">
        <f t="shared" si="817"/>
        <v/>
      </c>
      <c r="T910" s="118"/>
    </row>
    <row r="911" spans="1:20" s="1236" customFormat="1" ht="18" customHeight="1">
      <c r="A911" s="1767"/>
      <c r="B911" s="1853">
        <v>1</v>
      </c>
      <c r="C911" s="1895" t="s">
        <v>12366</v>
      </c>
      <c r="D911" s="1902"/>
      <c r="E911" s="1792"/>
      <c r="F911" s="1793"/>
      <c r="G911" s="1784"/>
      <c r="H911" s="1784"/>
      <c r="I911" s="1784"/>
      <c r="J911" s="1182"/>
      <c r="K911" s="684">
        <f>+K891</f>
        <v>1</v>
      </c>
      <c r="L911" s="708">
        <v>1</v>
      </c>
      <c r="M911" s="709">
        <f t="shared" ref="M911:M928" si="821">IF(B911="",1,B911)</f>
        <v>1</v>
      </c>
      <c r="N911" s="362" t="str">
        <f t="shared" si="772"/>
        <v/>
      </c>
      <c r="O911" s="1763" t="str">
        <f t="shared" si="773"/>
        <v/>
      </c>
      <c r="P911" s="1764" t="str">
        <f t="shared" si="774"/>
        <v/>
      </c>
      <c r="Q911" s="120" t="str">
        <f t="shared" si="775"/>
        <v/>
      </c>
      <c r="R911" s="185"/>
    </row>
    <row r="912" spans="1:20" s="120" customFormat="1" ht="18" customHeight="1">
      <c r="A912" s="687"/>
      <c r="B912" s="1945">
        <v>2</v>
      </c>
      <c r="C912" s="1848" t="str">
        <f>VLOOKUP(D912,base_datos,6,FALSE)</f>
        <v>Transformador de tensión monofásico 480 / 240 Vac - 50VA.</v>
      </c>
      <c r="D912" s="1898" t="s">
        <v>8587</v>
      </c>
      <c r="E912" s="1581">
        <f>VLOOKUP(D912,base_datos,5,FALSE)</f>
        <v>76.8</v>
      </c>
      <c r="F912" s="1581">
        <f>+E912*B912</f>
        <v>153.6</v>
      </c>
      <c r="G912" s="686"/>
      <c r="H912" s="686"/>
      <c r="I912" s="686"/>
      <c r="J912" s="1768"/>
      <c r="K912" s="684">
        <f>+K892</f>
        <v>1</v>
      </c>
      <c r="L912" s="708">
        <v>1</v>
      </c>
      <c r="M912" s="709">
        <f t="shared" si="821"/>
        <v>2</v>
      </c>
      <c r="N912" s="362" t="str">
        <f t="shared" si="772"/>
        <v/>
      </c>
      <c r="O912" s="1763" t="str">
        <f t="shared" si="773"/>
        <v/>
      </c>
      <c r="P912" s="1764" t="str">
        <f t="shared" si="774"/>
        <v/>
      </c>
      <c r="Q912" s="120" t="str">
        <f t="shared" si="775"/>
        <v/>
      </c>
      <c r="R912" s="185"/>
    </row>
    <row r="913" spans="1:18" s="120" customFormat="1" ht="18" customHeight="1">
      <c r="A913" s="687"/>
      <c r="B913" s="1945">
        <v>1</v>
      </c>
      <c r="C913" s="1848" t="str">
        <f>VLOOKUP(D913,base_datos,6,FALSE)</f>
        <v>Transformador de tensión monofásico 480 / 240 Vac - 200VA.</v>
      </c>
      <c r="D913" s="1898" t="s">
        <v>5173</v>
      </c>
      <c r="E913" s="1581">
        <f>VLOOKUP(D913,base_datos,5,FALSE)</f>
        <v>89.5</v>
      </c>
      <c r="F913" s="1581">
        <f>+E913*B913</f>
        <v>89.5</v>
      </c>
      <c r="G913" s="686"/>
      <c r="H913" s="686"/>
      <c r="I913" s="686"/>
      <c r="J913" s="1768"/>
      <c r="K913" s="684">
        <f>+K893</f>
        <v>1</v>
      </c>
      <c r="L913" s="708">
        <v>1</v>
      </c>
      <c r="M913" s="709">
        <f t="shared" si="821"/>
        <v>1</v>
      </c>
      <c r="N913" s="362" t="str">
        <f t="shared" si="772"/>
        <v/>
      </c>
      <c r="O913" s="1763" t="str">
        <f t="shared" si="773"/>
        <v/>
      </c>
      <c r="P913" s="1764" t="str">
        <f t="shared" si="774"/>
        <v/>
      </c>
      <c r="Q913" s="120" t="str">
        <f t="shared" si="775"/>
        <v/>
      </c>
      <c r="R913" s="185"/>
    </row>
    <row r="914" spans="1:18" s="185" customFormat="1" ht="18" customHeight="1">
      <c r="A914" s="1785"/>
      <c r="B914" s="714"/>
      <c r="C914" s="1893" t="s">
        <v>729</v>
      </c>
      <c r="D914" s="173"/>
      <c r="E914" s="1786"/>
      <c r="F914" s="1787"/>
      <c r="G914" s="710"/>
      <c r="H914" s="710"/>
      <c r="I914" s="710"/>
      <c r="J914" s="711"/>
      <c r="K914" s="684">
        <f t="shared" si="778"/>
        <v>1</v>
      </c>
      <c r="L914" s="708">
        <v>1</v>
      </c>
      <c r="M914" s="709">
        <f t="shared" si="821"/>
        <v>1</v>
      </c>
      <c r="N914" s="362" t="str">
        <f t="shared" si="772"/>
        <v/>
      </c>
      <c r="O914" s="1763" t="str">
        <f t="shared" si="773"/>
        <v/>
      </c>
      <c r="P914" s="1764" t="str">
        <f t="shared" si="774"/>
        <v/>
      </c>
      <c r="Q914" s="120" t="str">
        <f t="shared" si="775"/>
        <v/>
      </c>
    </row>
    <row r="915" spans="1:18" s="1236" customFormat="1" ht="18" customHeight="1">
      <c r="A915" s="1767"/>
      <c r="B915" s="1853">
        <v>1</v>
      </c>
      <c r="C915" s="1895" t="s">
        <v>12364</v>
      </c>
      <c r="D915" s="1902"/>
      <c r="E915" s="1792"/>
      <c r="F915" s="1793"/>
      <c r="G915" s="1784"/>
      <c r="H915" s="1784"/>
      <c r="I915" s="1784"/>
      <c r="J915" s="1182"/>
      <c r="K915" s="684">
        <f t="shared" si="778"/>
        <v>1</v>
      </c>
      <c r="L915" s="708">
        <v>1</v>
      </c>
      <c r="M915" s="709">
        <f t="shared" si="821"/>
        <v>1</v>
      </c>
      <c r="N915" s="362" t="str">
        <f t="shared" si="772"/>
        <v/>
      </c>
      <c r="O915" s="1763" t="str">
        <f t="shared" si="773"/>
        <v/>
      </c>
      <c r="P915" s="1764" t="str">
        <f t="shared" si="774"/>
        <v/>
      </c>
      <c r="Q915" s="120" t="str">
        <f t="shared" si="775"/>
        <v/>
      </c>
      <c r="R915" s="185"/>
    </row>
    <row r="916" spans="1:18" s="695" customFormat="1" ht="18" customHeight="1">
      <c r="A916" s="693"/>
      <c r="B916" s="1922">
        <v>1</v>
      </c>
      <c r="C916" s="1848" t="str">
        <f t="shared" ref="C916" si="822">VLOOKUP(D916,base_datos,6,FALSE)</f>
        <v>Placa lamicoid rotulación de 3mm de espesor, fondo negro y letras blancas.</v>
      </c>
      <c r="D916" s="1886" t="s">
        <v>8567</v>
      </c>
      <c r="E916" s="1795">
        <f t="shared" ref="E916" si="823">VLOOKUP(D916,base_datos,5,FALSE)</f>
        <v>8.6999999999999993</v>
      </c>
      <c r="F916" s="1796">
        <f t="shared" ref="F916" si="824">+E916*B916</f>
        <v>8.6999999999999993</v>
      </c>
      <c r="G916" s="696"/>
      <c r="H916" s="696"/>
      <c r="I916" s="696"/>
      <c r="J916" s="697"/>
      <c r="K916" s="684">
        <f t="shared" si="778"/>
        <v>1</v>
      </c>
      <c r="L916" s="708">
        <v>1</v>
      </c>
      <c r="M916" s="709">
        <f t="shared" si="821"/>
        <v>1</v>
      </c>
      <c r="N916" s="362">
        <f t="shared" si="772"/>
        <v>1</v>
      </c>
      <c r="O916" s="1763" t="str">
        <f t="shared" si="773"/>
        <v>Placa lamicoid p/autosop.</v>
      </c>
      <c r="P916" s="1764" t="str">
        <f t="shared" si="774"/>
        <v>Placa lamicoid rotulación de 3mm de espesor, fondo negro y letras blancas.</v>
      </c>
      <c r="Q916" s="120" t="str">
        <f t="shared" si="775"/>
        <v>Placa lamicoid p/autosop.</v>
      </c>
      <c r="R916" s="185"/>
    </row>
    <row r="917" spans="1:18" s="1236" customFormat="1" ht="18" customHeight="1">
      <c r="A917" s="1767"/>
      <c r="B917" s="1853">
        <v>1</v>
      </c>
      <c r="C917" s="1895" t="s">
        <v>12363</v>
      </c>
      <c r="D917" s="1902"/>
      <c r="E917" s="1792">
        <v>15</v>
      </c>
      <c r="F917" s="1793">
        <v>15</v>
      </c>
      <c r="G917" s="1784"/>
      <c r="H917" s="1784"/>
      <c r="I917" s="1784"/>
      <c r="J917" s="1182"/>
      <c r="K917" s="684">
        <f t="shared" si="778"/>
        <v>1</v>
      </c>
      <c r="L917" s="708">
        <v>1</v>
      </c>
      <c r="M917" s="709">
        <f t="shared" si="821"/>
        <v>1</v>
      </c>
      <c r="N917" s="362" t="str">
        <f t="shared" si="772"/>
        <v/>
      </c>
      <c r="O917" s="1763" t="str">
        <f t="shared" si="773"/>
        <v/>
      </c>
      <c r="P917" s="1764" t="str">
        <f t="shared" si="774"/>
        <v/>
      </c>
      <c r="Q917" s="120" t="str">
        <f t="shared" si="775"/>
        <v/>
      </c>
      <c r="R917" s="185"/>
    </row>
    <row r="918" spans="1:18" s="1236" customFormat="1" ht="18" customHeight="1">
      <c r="A918" s="1767"/>
      <c r="B918" s="1853">
        <v>1</v>
      </c>
      <c r="C918" s="1895" t="s">
        <v>12475</v>
      </c>
      <c r="D918" s="1902"/>
      <c r="E918" s="1795"/>
      <c r="F918" s="1796"/>
      <c r="G918" s="1784"/>
      <c r="H918" s="1784"/>
      <c r="I918" s="1784"/>
      <c r="J918" s="1182"/>
      <c r="K918" s="684">
        <f t="shared" si="778"/>
        <v>1</v>
      </c>
      <c r="L918" s="708">
        <v>1</v>
      </c>
      <c r="M918" s="709">
        <f t="shared" si="821"/>
        <v>1</v>
      </c>
      <c r="N918" s="362" t="str">
        <f t="shared" si="772"/>
        <v/>
      </c>
      <c r="O918" s="1763" t="str">
        <f t="shared" si="773"/>
        <v/>
      </c>
      <c r="P918" s="1764" t="str">
        <f t="shared" si="774"/>
        <v/>
      </c>
      <c r="Q918" s="120" t="str">
        <f t="shared" si="775"/>
        <v/>
      </c>
      <c r="R918" s="185"/>
    </row>
    <row r="919" spans="1:18" s="1236" customFormat="1" ht="18" customHeight="1">
      <c r="A919" s="1767"/>
      <c r="B919" s="1853">
        <v>1</v>
      </c>
      <c r="C919" s="1848" t="str">
        <f>VLOOKUP(D919,base_datos,6,FALSE)</f>
        <v>Embalaje especial completamente cerrado para tablero autosoportado de 2100x800x800mm</v>
      </c>
      <c r="D919" s="1902" t="s">
        <v>12450</v>
      </c>
      <c r="E919" s="1795">
        <f t="shared" ref="E919" si="825">VLOOKUP(D919,base_datos,5,FALSE)</f>
        <v>312.08</v>
      </c>
      <c r="F919" s="1796">
        <f t="shared" ref="F919" si="826">+E919*B919</f>
        <v>312.08</v>
      </c>
      <c r="G919" s="1784"/>
      <c r="H919" s="1784"/>
      <c r="I919" s="1784"/>
      <c r="J919" s="1182"/>
      <c r="K919" s="684">
        <f t="shared" si="778"/>
        <v>1</v>
      </c>
      <c r="L919" s="708">
        <v>1</v>
      </c>
      <c r="M919" s="709">
        <f t="shared" si="821"/>
        <v>1</v>
      </c>
      <c r="N919" s="362">
        <f t="shared" si="772"/>
        <v>1</v>
      </c>
      <c r="O919" s="1763" t="str">
        <f t="shared" si="773"/>
        <v>EMBAL_AUTOS_2100x800x800mm</v>
      </c>
      <c r="P919" s="1764" t="str">
        <f t="shared" si="774"/>
        <v>Embalaje especial completamente cerrado para tablero autosoportado de 2100x800x800mm</v>
      </c>
      <c r="Q919" s="120" t="str">
        <f t="shared" si="775"/>
        <v>EMBAL_AUTOS_2100x800x800mm</v>
      </c>
      <c r="R919" s="185"/>
    </row>
    <row r="920" spans="1:18" s="185" customFormat="1" ht="18" customHeight="1">
      <c r="A920" s="1785"/>
      <c r="B920" s="714"/>
      <c r="C920" s="1893" t="s">
        <v>729</v>
      </c>
      <c r="D920" s="173"/>
      <c r="E920" s="1786"/>
      <c r="F920" s="1787"/>
      <c r="G920" s="710"/>
      <c r="H920" s="710"/>
      <c r="I920" s="710"/>
      <c r="J920" s="711"/>
      <c r="K920" s="684">
        <f t="shared" si="778"/>
        <v>1</v>
      </c>
      <c r="L920" s="708">
        <v>1</v>
      </c>
      <c r="M920" s="709">
        <f t="shared" si="821"/>
        <v>1</v>
      </c>
      <c r="N920" s="362" t="str">
        <f t="shared" si="772"/>
        <v/>
      </c>
      <c r="O920" s="1763" t="str">
        <f t="shared" si="773"/>
        <v/>
      </c>
      <c r="P920" s="1764" t="str">
        <f t="shared" si="774"/>
        <v/>
      </c>
      <c r="Q920" s="120" t="str">
        <f t="shared" si="775"/>
        <v/>
      </c>
    </row>
    <row r="921" spans="1:18" s="695" customFormat="1" ht="18" customHeight="1">
      <c r="A921" s="693"/>
      <c r="B921" s="1794">
        <v>1</v>
      </c>
      <c r="C921" s="1420" t="str">
        <f t="shared" ref="C921" si="827">VLOOKUP(D921,base_datos,6,FALSE)</f>
        <v>Barra a tierra.</v>
      </c>
      <c r="D921" s="1790" t="s">
        <v>3272</v>
      </c>
      <c r="E921" s="1795">
        <f t="shared" ref="E921" si="828">VLOOKUP(D921,base_datos,5,FALSE)</f>
        <v>30</v>
      </c>
      <c r="F921" s="1796">
        <f t="shared" ref="F921:F928" si="829">+E921*B921</f>
        <v>30</v>
      </c>
      <c r="G921" s="696"/>
      <c r="H921" s="696"/>
      <c r="I921" s="696"/>
      <c r="J921" s="697"/>
      <c r="K921" s="684">
        <f t="shared" si="778"/>
        <v>1</v>
      </c>
      <c r="L921" s="708">
        <v>1</v>
      </c>
      <c r="M921" s="709">
        <f t="shared" si="821"/>
        <v>1</v>
      </c>
      <c r="N921" s="362" t="str">
        <f t="shared" si="772"/>
        <v/>
      </c>
      <c r="O921" s="1763" t="str">
        <f t="shared" si="773"/>
        <v/>
      </c>
      <c r="P921" s="1764" t="str">
        <f t="shared" si="774"/>
        <v/>
      </c>
      <c r="Q921" s="120" t="str">
        <f t="shared" si="775"/>
        <v/>
      </c>
      <c r="R921" s="185"/>
    </row>
    <row r="922" spans="1:18" s="185" customFormat="1" ht="18" customHeight="1">
      <c r="A922" s="1785"/>
      <c r="B922" s="714"/>
      <c r="C922" s="1893" t="s">
        <v>729</v>
      </c>
      <c r="D922" s="173"/>
      <c r="E922" s="1786"/>
      <c r="F922" s="1787"/>
      <c r="G922" s="710"/>
      <c r="H922" s="710"/>
      <c r="I922" s="710"/>
      <c r="J922" s="711"/>
      <c r="K922" s="684">
        <f t="shared" si="778"/>
        <v>1</v>
      </c>
      <c r="L922" s="708">
        <v>1</v>
      </c>
      <c r="M922" s="709">
        <f t="shared" ref="M922" si="830">IF(B922="",1,B922)</f>
        <v>1</v>
      </c>
      <c r="N922" s="362" t="str">
        <f t="shared" ref="N922" si="831">IF(O922&lt;&gt;"",K922*L922*M922,"")</f>
        <v/>
      </c>
      <c r="O922" s="1763" t="str">
        <f t="shared" ref="O922" si="832">IF(D922&lt;&gt;"",IF(VLOOKUP(D922,base_datos,7,FALSE)&lt;&gt;"",VLOOKUP(D922,base_datos,7,FALSE),""),"")</f>
        <v/>
      </c>
      <c r="P922" s="1764" t="str">
        <f t="shared" ref="P922" si="833">IF(O922&lt;&gt;"",VLOOKUP(D922,base_datos,6,FALSE),"")</f>
        <v/>
      </c>
      <c r="Q922" s="120" t="str">
        <f t="shared" ref="Q922" si="834">IF(O922&lt;&gt;"",D922,"")</f>
        <v/>
      </c>
    </row>
    <row r="923" spans="1:18" s="897" customFormat="1" ht="18" customHeight="1">
      <c r="A923" s="693"/>
      <c r="B923" s="895">
        <v>10</v>
      </c>
      <c r="C923" s="1848" t="str">
        <f>VLOOKUP(D923,base_datos,6,FALSE)</f>
        <v>Rotulado por circuito.</v>
      </c>
      <c r="D923" s="1579" t="s">
        <v>3067</v>
      </c>
      <c r="E923" s="1581">
        <f>VLOOKUP(D923,base_datos,5,FALSE)</f>
        <v>0.7</v>
      </c>
      <c r="F923" s="1581">
        <f t="shared" si="829"/>
        <v>7</v>
      </c>
      <c r="G923" s="1772"/>
      <c r="H923" s="1772"/>
      <c r="I923" s="1772"/>
      <c r="J923" s="896"/>
      <c r="K923" s="684">
        <f t="shared" si="778"/>
        <v>1</v>
      </c>
      <c r="L923" s="708">
        <v>1</v>
      </c>
      <c r="M923" s="709">
        <f t="shared" si="821"/>
        <v>10</v>
      </c>
      <c r="N923" s="362" t="str">
        <f t="shared" si="772"/>
        <v/>
      </c>
      <c r="O923" s="1763" t="str">
        <f t="shared" si="773"/>
        <v/>
      </c>
      <c r="P923" s="1764" t="str">
        <f t="shared" si="774"/>
        <v/>
      </c>
      <c r="Q923" s="120" t="str">
        <f t="shared" si="775"/>
        <v/>
      </c>
    </row>
    <row r="924" spans="1:18" s="897" customFormat="1" ht="18" customHeight="1">
      <c r="A924" s="693"/>
      <c r="B924" s="895">
        <v>1</v>
      </c>
      <c r="C924" s="1848" t="str">
        <f>VLOOKUP(D924,base_datos,6,FALSE)</f>
        <v>Rotulado para TAG - Gabinete autosoportado.</v>
      </c>
      <c r="D924" s="1579" t="s">
        <v>3065</v>
      </c>
      <c r="E924" s="1581">
        <f>VLOOKUP(D924,base_datos,5,FALSE)</f>
        <v>3</v>
      </c>
      <c r="F924" s="1581">
        <f t="shared" si="829"/>
        <v>3</v>
      </c>
      <c r="G924" s="1772"/>
      <c r="H924" s="1772"/>
      <c r="I924" s="1772"/>
      <c r="J924" s="896"/>
      <c r="K924" s="684">
        <f t="shared" si="778"/>
        <v>1</v>
      </c>
      <c r="L924" s="708">
        <v>1</v>
      </c>
      <c r="M924" s="709">
        <f t="shared" si="821"/>
        <v>1</v>
      </c>
      <c r="N924" s="362" t="str">
        <f t="shared" si="772"/>
        <v/>
      </c>
      <c r="O924" s="1763" t="str">
        <f t="shared" si="773"/>
        <v/>
      </c>
      <c r="P924" s="1764" t="str">
        <f t="shared" si="774"/>
        <v/>
      </c>
      <c r="Q924" s="120" t="str">
        <f t="shared" si="775"/>
        <v/>
      </c>
    </row>
    <row r="925" spans="1:18" s="1237" customFormat="1" ht="18" customHeight="1">
      <c r="A925" s="1767"/>
      <c r="B925" s="1773">
        <v>1</v>
      </c>
      <c r="C925" s="1896" t="s">
        <v>11664</v>
      </c>
      <c r="D925" s="1887"/>
      <c r="E925" s="1581">
        <v>200</v>
      </c>
      <c r="F925" s="1581">
        <f t="shared" si="829"/>
        <v>200</v>
      </c>
      <c r="G925" s="1774"/>
      <c r="H925" s="1774"/>
      <c r="I925" s="1774"/>
      <c r="J925" s="1181"/>
      <c r="K925" s="684">
        <f t="shared" si="778"/>
        <v>1</v>
      </c>
      <c r="L925" s="708">
        <v>1</v>
      </c>
      <c r="M925" s="709">
        <f t="shared" si="821"/>
        <v>1</v>
      </c>
      <c r="N925" s="362" t="str">
        <f t="shared" si="772"/>
        <v/>
      </c>
      <c r="O925" s="1763" t="str">
        <f t="shared" si="773"/>
        <v/>
      </c>
      <c r="P925" s="1764" t="str">
        <f t="shared" si="774"/>
        <v/>
      </c>
      <c r="Q925" s="120" t="str">
        <f t="shared" si="775"/>
        <v/>
      </c>
      <c r="R925" s="1765"/>
    </row>
    <row r="926" spans="1:18" s="1237" customFormat="1" ht="18" customHeight="1">
      <c r="A926" s="1767"/>
      <c r="B926" s="1773">
        <v>1</v>
      </c>
      <c r="C926" s="1943" t="s">
        <v>13032</v>
      </c>
      <c r="D926" s="1897"/>
      <c r="E926" s="1581">
        <f>E928*15%</f>
        <v>228</v>
      </c>
      <c r="F926" s="1581">
        <f t="shared" si="829"/>
        <v>228</v>
      </c>
      <c r="G926" s="1774"/>
      <c r="H926" s="1774"/>
      <c r="I926" s="1774"/>
      <c r="J926" s="1181"/>
      <c r="K926" s="684">
        <f t="shared" si="778"/>
        <v>1</v>
      </c>
      <c r="L926" s="708">
        <v>1</v>
      </c>
      <c r="M926" s="709">
        <f t="shared" si="821"/>
        <v>1</v>
      </c>
      <c r="N926" s="362" t="str">
        <f t="shared" si="772"/>
        <v/>
      </c>
      <c r="O926" s="1763" t="str">
        <f t="shared" si="773"/>
        <v/>
      </c>
      <c r="P926" s="1764" t="str">
        <f t="shared" si="774"/>
        <v/>
      </c>
      <c r="Q926" s="120" t="str">
        <f t="shared" si="775"/>
        <v/>
      </c>
      <c r="R926" s="1765"/>
    </row>
    <row r="927" spans="1:18" s="1237" customFormat="1" ht="18" customHeight="1">
      <c r="A927" s="1767"/>
      <c r="B927" s="1773">
        <v>1</v>
      </c>
      <c r="C927" s="694" t="s">
        <v>12559</v>
      </c>
      <c r="D927" s="1888"/>
      <c r="E927" s="1999">
        <f>E928*20%</f>
        <v>304</v>
      </c>
      <c r="F927" s="1581">
        <f t="shared" si="829"/>
        <v>304</v>
      </c>
      <c r="G927" s="1774"/>
      <c r="H927" s="1774"/>
      <c r="I927" s="1774"/>
      <c r="J927" s="1181"/>
      <c r="K927" s="684">
        <f t="shared" si="778"/>
        <v>1</v>
      </c>
      <c r="L927" s="708">
        <v>1</v>
      </c>
      <c r="M927" s="709">
        <f t="shared" si="821"/>
        <v>1</v>
      </c>
      <c r="N927" s="362" t="str">
        <f t="shared" ref="N927" si="835">IF(O927&lt;&gt;"",K927*L927*M927,"")</f>
        <v/>
      </c>
      <c r="O927" s="1763" t="str">
        <f t="shared" ref="O927" si="836">IF(D927&lt;&gt;"",IF(VLOOKUP(D927,base_datos,7,FALSE)&lt;&gt;"",VLOOKUP(D927,base_datos,7,FALSE),""),"")</f>
        <v/>
      </c>
      <c r="P927" s="1764" t="str">
        <f t="shared" ref="P927" si="837">IF(O927&lt;&gt;"",VLOOKUP(D927,base_datos,6,FALSE),"")</f>
        <v/>
      </c>
      <c r="Q927" s="120" t="str">
        <f t="shared" ref="Q927" si="838">IF(O927&lt;&gt;"",D927,"")</f>
        <v/>
      </c>
      <c r="R927" s="1765"/>
    </row>
    <row r="928" spans="1:18" s="1237" customFormat="1" ht="18" customHeight="1">
      <c r="A928" s="1767"/>
      <c r="B928" s="1773">
        <v>1</v>
      </c>
      <c r="C928" s="1943" t="s">
        <v>12365</v>
      </c>
      <c r="D928" s="1897"/>
      <c r="E928" s="1581">
        <f>1520</f>
        <v>1520</v>
      </c>
      <c r="F928" s="1581">
        <f t="shared" si="829"/>
        <v>1520</v>
      </c>
      <c r="G928" s="1774"/>
      <c r="H928" s="1774"/>
      <c r="I928" s="1774"/>
      <c r="J928" s="1181"/>
      <c r="K928" s="684">
        <f t="shared" si="778"/>
        <v>1</v>
      </c>
      <c r="L928" s="708">
        <v>1</v>
      </c>
      <c r="M928" s="709">
        <f t="shared" si="821"/>
        <v>1</v>
      </c>
      <c r="N928" s="362" t="str">
        <f t="shared" ref="N928:N992" si="839">IF(O928&lt;&gt;"",K928*L928*M928,"")</f>
        <v/>
      </c>
      <c r="O928" s="1763" t="str">
        <f t="shared" ref="O928:O992" si="840">IF(D928&lt;&gt;"",IF(VLOOKUP(D928,base_datos,7,FALSE)&lt;&gt;"",VLOOKUP(D928,base_datos,7,FALSE),""),"")</f>
        <v/>
      </c>
      <c r="P928" s="1764" t="str">
        <f t="shared" ref="P928:P992" si="841">IF(O928&lt;&gt;"",VLOOKUP(D928,base_datos,6,FALSE),"")</f>
        <v/>
      </c>
      <c r="Q928" s="120" t="str">
        <f t="shared" ref="Q928:Q992" si="842">IF(O928&lt;&gt;"",D928,"")</f>
        <v/>
      </c>
      <c r="R928" s="1765"/>
    </row>
    <row r="929" spans="1:18" s="20" customFormat="1" ht="18" customHeight="1" thickBot="1">
      <c r="A929" s="699"/>
      <c r="B929" s="1775"/>
      <c r="C929" s="1776"/>
      <c r="D929" s="1885"/>
      <c r="E929" s="1981"/>
      <c r="F929" s="1981"/>
      <c r="G929" s="1777"/>
      <c r="H929" s="1777"/>
      <c r="I929" s="1777"/>
      <c r="J929" s="1778"/>
      <c r="K929" s="684"/>
      <c r="L929" s="363"/>
      <c r="M929" s="709"/>
      <c r="N929" s="362" t="str">
        <f t="shared" si="839"/>
        <v/>
      </c>
      <c r="O929" s="1763" t="str">
        <f t="shared" si="840"/>
        <v/>
      </c>
      <c r="P929" s="1764" t="str">
        <f t="shared" si="841"/>
        <v/>
      </c>
      <c r="Q929" s="120" t="str">
        <f t="shared" si="842"/>
        <v/>
      </c>
      <c r="R929" s="1765"/>
    </row>
    <row r="930" spans="1:18" s="120" customFormat="1" ht="18" customHeight="1" thickBot="1">
      <c r="A930" s="1989">
        <v>15</v>
      </c>
      <c r="B930" s="1852">
        <v>1</v>
      </c>
      <c r="C930" s="1756" t="s">
        <v>12580</v>
      </c>
      <c r="D930" s="1588"/>
      <c r="E930" s="1589"/>
      <c r="F930" s="1589"/>
      <c r="G930" s="1757">
        <f>SUM(F931:F989)</f>
        <v>4875.75</v>
      </c>
      <c r="H930" s="824">
        <f>G930*(1-$D$6)</f>
        <v>4875.75</v>
      </c>
      <c r="I930" s="1757">
        <f>ROUNDUP(H930*$D$5,0)</f>
        <v>16578</v>
      </c>
      <c r="J930" s="1759">
        <f>+I930*B930</f>
        <v>16578</v>
      </c>
      <c r="K930" s="1788">
        <f>B930</f>
        <v>1</v>
      </c>
      <c r="L930" s="363"/>
      <c r="M930" s="684"/>
      <c r="N930" s="362" t="str">
        <f t="shared" si="839"/>
        <v/>
      </c>
      <c r="O930" s="1763" t="str">
        <f t="shared" si="840"/>
        <v/>
      </c>
      <c r="P930" s="1764" t="str">
        <f t="shared" si="841"/>
        <v/>
      </c>
      <c r="Q930" s="120" t="str">
        <f t="shared" si="842"/>
        <v/>
      </c>
      <c r="R930" s="185"/>
    </row>
    <row r="931" spans="1:18" s="120" customFormat="1" ht="18" customHeight="1">
      <c r="A931" s="685" t="s">
        <v>3064</v>
      </c>
      <c r="B931" s="1903"/>
      <c r="C931" s="1890"/>
      <c r="D931" s="1904"/>
      <c r="E931" s="1789"/>
      <c r="F931" s="1780"/>
      <c r="G931" s="686"/>
      <c r="H931" s="710"/>
      <c r="I931" s="686"/>
      <c r="J931" s="1768"/>
      <c r="K931" s="684">
        <f t="shared" ref="K931:K989" si="843">+K930</f>
        <v>1</v>
      </c>
      <c r="L931" s="363">
        <v>1</v>
      </c>
      <c r="M931" s="709">
        <f t="shared" ref="M931:M989" si="844">IF(B931="",1,B931)</f>
        <v>1</v>
      </c>
      <c r="N931" s="362" t="str">
        <f t="shared" si="839"/>
        <v/>
      </c>
      <c r="O931" s="1763" t="str">
        <f t="shared" si="840"/>
        <v/>
      </c>
      <c r="P931" s="1764" t="str">
        <f t="shared" si="841"/>
        <v/>
      </c>
      <c r="Q931" s="120" t="str">
        <f t="shared" si="842"/>
        <v/>
      </c>
    </row>
    <row r="932" spans="1:18" s="315" customFormat="1">
      <c r="A932" s="687" t="s">
        <v>4021</v>
      </c>
      <c r="B932" s="2096">
        <v>1</v>
      </c>
      <c r="C932" s="1907" t="s">
        <v>5103</v>
      </c>
      <c r="D932" s="1935"/>
      <c r="E932" s="1786"/>
      <c r="F932" s="1908">
        <f>SUM(F934:F938)*(B932-1)</f>
        <v>0</v>
      </c>
      <c r="G932" s="712"/>
      <c r="H932" s="712"/>
      <c r="I932" s="712"/>
      <c r="J932" s="713"/>
      <c r="K932" s="684">
        <f t="shared" si="843"/>
        <v>1</v>
      </c>
      <c r="L932" s="1909">
        <f>B932</f>
        <v>1</v>
      </c>
      <c r="M932" s="684">
        <f t="shared" si="844"/>
        <v>1</v>
      </c>
      <c r="N932" s="362" t="str">
        <f t="shared" si="839"/>
        <v/>
      </c>
      <c r="O932" s="1763" t="str">
        <f t="shared" si="840"/>
        <v/>
      </c>
      <c r="P932" s="1764" t="str">
        <f t="shared" si="841"/>
        <v/>
      </c>
      <c r="Q932" s="120" t="str">
        <f t="shared" si="842"/>
        <v/>
      </c>
    </row>
    <row r="933" spans="1:18" s="185" customFormat="1">
      <c r="A933" s="687" t="s">
        <v>4136</v>
      </c>
      <c r="B933" s="1910">
        <v>3</v>
      </c>
      <c r="C933" s="1911" t="str">
        <f>VLOOKUP(D933,base_datos,6,FALSE)</f>
        <v>Portalámpara + lampara tipo LED - color Rojo - alimentacion: 220-230Vac, d=22mm. - CL2-523R - línea compacta - marca ABB.</v>
      </c>
      <c r="D933" s="1790" t="s">
        <v>2439</v>
      </c>
      <c r="E933" s="1939">
        <f>VLOOKUP(D933,base_datos,5,FALSE)</f>
        <v>12.299999999999999</v>
      </c>
      <c r="F933" s="1912">
        <f>+E933*B933</f>
        <v>36.9</v>
      </c>
      <c r="G933" s="710"/>
      <c r="H933" s="710"/>
      <c r="I933" s="710"/>
      <c r="J933" s="711"/>
      <c r="K933" s="684">
        <f>+K931</f>
        <v>1</v>
      </c>
      <c r="L933" s="1913">
        <f>L931</f>
        <v>1</v>
      </c>
      <c r="M933" s="684">
        <f t="shared" si="844"/>
        <v>3</v>
      </c>
      <c r="N933" s="362">
        <f t="shared" si="839"/>
        <v>3</v>
      </c>
      <c r="O933" s="1763" t="str">
        <f t="shared" si="840"/>
        <v>1SFA619403R5231</v>
      </c>
      <c r="P933" s="1764" t="str">
        <f t="shared" si="841"/>
        <v>Portalámpara + lampara tipo LED - color Rojo - alimentacion: 220-230Vac, d=22mm. - CL2-523R - línea compacta - marca ABB.</v>
      </c>
      <c r="Q933" s="120" t="str">
        <f t="shared" si="842"/>
        <v>LAMP_ROJO_220V</v>
      </c>
    </row>
    <row r="934" spans="1:18" s="185" customFormat="1">
      <c r="A934" s="687"/>
      <c r="B934" s="1910">
        <v>3</v>
      </c>
      <c r="C934" s="1911" t="str">
        <f>VLOOKUP(D934,base_datos,6,FALSE)</f>
        <v>Portalámpara + lampara tipo LED - color Verde - alimentacion: 220-230Vac, d=22mm. - CL2-523G - línea compacta - marca ABB.</v>
      </c>
      <c r="D934" s="1790" t="s">
        <v>2440</v>
      </c>
      <c r="E934" s="1939">
        <f>VLOOKUP(D934,base_datos,5,FALSE)</f>
        <v>12.299999999999999</v>
      </c>
      <c r="F934" s="1912">
        <f>+E934*B934</f>
        <v>36.9</v>
      </c>
      <c r="G934" s="710"/>
      <c r="H934" s="710"/>
      <c r="I934" s="710"/>
      <c r="J934" s="711"/>
      <c r="K934" s="684">
        <f>+K932</f>
        <v>1</v>
      </c>
      <c r="L934" s="1913">
        <f>L932</f>
        <v>1</v>
      </c>
      <c r="M934" s="684">
        <f t="shared" si="844"/>
        <v>3</v>
      </c>
      <c r="N934" s="362">
        <f t="shared" si="839"/>
        <v>3</v>
      </c>
      <c r="O934" s="1763" t="str">
        <f t="shared" si="840"/>
        <v>1SFA619403R5232</v>
      </c>
      <c r="P934" s="1764" t="str">
        <f t="shared" si="841"/>
        <v>Portalámpara + lampara tipo LED - color Verde - alimentacion: 220-230Vac, d=22mm. - CL2-523G - línea compacta - marca ABB.</v>
      </c>
      <c r="Q934" s="120" t="str">
        <f t="shared" si="842"/>
        <v>LAMP_VERDE_220V</v>
      </c>
    </row>
    <row r="935" spans="1:18" s="1921" customFormat="1">
      <c r="A935" s="687" t="s">
        <v>12356</v>
      </c>
      <c r="B935" s="1914">
        <v>1</v>
      </c>
      <c r="C935" s="1915" t="s">
        <v>3366</v>
      </c>
      <c r="D935" s="1916"/>
      <c r="E935" s="1917"/>
      <c r="F935" s="1918"/>
      <c r="G935" s="1919"/>
      <c r="H935" s="1919"/>
      <c r="I935" s="1919"/>
      <c r="J935" s="1920"/>
      <c r="K935" s="684">
        <f t="shared" si="843"/>
        <v>1</v>
      </c>
      <c r="L935" s="1913">
        <f>L934</f>
        <v>1</v>
      </c>
      <c r="M935" s="684">
        <f t="shared" si="844"/>
        <v>1</v>
      </c>
      <c r="N935" s="362" t="str">
        <f t="shared" si="839"/>
        <v/>
      </c>
      <c r="O935" s="1763" t="str">
        <f t="shared" si="840"/>
        <v/>
      </c>
      <c r="P935" s="1764" t="str">
        <f t="shared" si="841"/>
        <v/>
      </c>
      <c r="Q935" s="120" t="str">
        <f t="shared" si="842"/>
        <v/>
      </c>
    </row>
    <row r="936" spans="1:18" s="320" customFormat="1">
      <c r="A936" s="687" t="s">
        <v>12476</v>
      </c>
      <c r="B936" s="1922">
        <v>1</v>
      </c>
      <c r="C936" s="721" t="str">
        <f>VLOOKUP(D936,base_datos,6,FALSE)</f>
        <v>Rele auxiliar enchufable +4NA/NC (D2PR4B + base D2PA6), 220Vac - marca EATON.</v>
      </c>
      <c r="D936" s="1579" t="s">
        <v>772</v>
      </c>
      <c r="E936" s="1581">
        <f>VLOOKUP(D936,base_datos,5,FALSE)</f>
        <v>27</v>
      </c>
      <c r="F936" s="1923">
        <f>+E936*B936</f>
        <v>27</v>
      </c>
      <c r="G936" s="1924"/>
      <c r="H936" s="1924"/>
      <c r="I936" s="1924"/>
      <c r="J936" s="722"/>
      <c r="K936" s="684">
        <f t="shared" si="843"/>
        <v>1</v>
      </c>
      <c r="L936" s="1913">
        <f>L933</f>
        <v>1</v>
      </c>
      <c r="M936" s="684">
        <f t="shared" si="844"/>
        <v>1</v>
      </c>
      <c r="N936" s="362">
        <f t="shared" si="839"/>
        <v>1</v>
      </c>
      <c r="O936" s="1763" t="str">
        <f t="shared" si="840"/>
        <v>D2PR4B+D2PA6</v>
      </c>
      <c r="P936" s="1764" t="str">
        <f t="shared" si="841"/>
        <v>Rele auxiliar enchufable +4NA/NC (D2PR4B + base D2PA6), 220Vac - marca EATON.</v>
      </c>
      <c r="Q936" s="120" t="str">
        <f t="shared" si="842"/>
        <v>D2PR4B+D2PA6</v>
      </c>
    </row>
    <row r="937" spans="1:18" s="320" customFormat="1">
      <c r="A937" s="1767"/>
      <c r="B937" s="2131">
        <v>1</v>
      </c>
      <c r="C937" s="2132" t="s">
        <v>12558</v>
      </c>
      <c r="D937" s="2133"/>
      <c r="E937" s="2134">
        <v>32</v>
      </c>
      <c r="F937" s="2134">
        <f>+E937*B937</f>
        <v>32</v>
      </c>
      <c r="G937" s="1924"/>
      <c r="H937" s="1924"/>
      <c r="I937" s="1924"/>
      <c r="J937" s="722"/>
      <c r="K937" s="684">
        <f t="shared" si="843"/>
        <v>1</v>
      </c>
      <c r="L937" s="1913">
        <f>L934</f>
        <v>1</v>
      </c>
      <c r="M937" s="684">
        <f t="shared" si="844"/>
        <v>1</v>
      </c>
      <c r="N937" s="362" t="str">
        <f t="shared" si="839"/>
        <v/>
      </c>
      <c r="O937" s="1763" t="str">
        <f t="shared" si="840"/>
        <v/>
      </c>
      <c r="P937" s="1764" t="str">
        <f t="shared" si="841"/>
        <v/>
      </c>
      <c r="Q937" s="120" t="str">
        <f t="shared" si="842"/>
        <v/>
      </c>
    </row>
    <row r="938" spans="1:18" s="320" customFormat="1">
      <c r="A938" s="687" t="s">
        <v>12551</v>
      </c>
      <c r="B938" s="1922">
        <v>4</v>
      </c>
      <c r="C938" s="721" t="str">
        <f>VLOOKUP(D938,base_datos,6,FALSE)</f>
        <v>Base portafusibles + Fusibles de protección para control.</v>
      </c>
      <c r="D938" s="1579" t="s">
        <v>453</v>
      </c>
      <c r="E938" s="1581">
        <f>VLOOKUP(D938,base_datos,5,FALSE)</f>
        <v>8.1750000000000007</v>
      </c>
      <c r="F938" s="1923">
        <f>+E938*B938</f>
        <v>32.700000000000003</v>
      </c>
      <c r="G938" s="1924"/>
      <c r="H938" s="1924"/>
      <c r="I938" s="1924"/>
      <c r="J938" s="722"/>
      <c r="K938" s="684">
        <f t="shared" si="843"/>
        <v>1</v>
      </c>
      <c r="L938" s="1913">
        <f>L935</f>
        <v>1</v>
      </c>
      <c r="M938" s="684">
        <f t="shared" si="844"/>
        <v>4</v>
      </c>
      <c r="N938" s="362" t="str">
        <f t="shared" si="839"/>
        <v/>
      </c>
      <c r="O938" s="1763" t="str">
        <f t="shared" si="840"/>
        <v/>
      </c>
      <c r="P938" s="1764" t="str">
        <f t="shared" si="841"/>
        <v/>
      </c>
      <c r="Q938" s="120" t="str">
        <f t="shared" si="842"/>
        <v/>
      </c>
    </row>
    <row r="939" spans="1:18" s="315" customFormat="1">
      <c r="A939" s="687" t="s">
        <v>3542</v>
      </c>
      <c r="B939" s="1906"/>
      <c r="C939" s="1907"/>
      <c r="D939" s="1935"/>
      <c r="E939" s="1786"/>
      <c r="F939" s="1936"/>
      <c r="G939" s="712"/>
      <c r="H939" s="712"/>
      <c r="I939" s="712"/>
      <c r="J939" s="713"/>
      <c r="K939" s="684">
        <f t="shared" si="843"/>
        <v>1</v>
      </c>
      <c r="L939" s="1909">
        <f>B939</f>
        <v>0</v>
      </c>
      <c r="M939" s="684">
        <f t="shared" si="844"/>
        <v>1</v>
      </c>
      <c r="N939" s="362" t="str">
        <f t="shared" si="839"/>
        <v/>
      </c>
      <c r="O939" s="1763" t="str">
        <f t="shared" si="840"/>
        <v/>
      </c>
      <c r="P939" s="1764" t="str">
        <f t="shared" si="841"/>
        <v/>
      </c>
      <c r="Q939" s="120" t="str">
        <f t="shared" si="842"/>
        <v/>
      </c>
    </row>
    <row r="940" spans="1:18" s="185" customFormat="1" ht="13.5" customHeight="1">
      <c r="A940" s="687"/>
      <c r="B940" s="1922"/>
      <c r="C940" s="1956" t="s">
        <v>12368</v>
      </c>
      <c r="D940" s="1579"/>
      <c r="E940" s="1957"/>
      <c r="F940" s="1958"/>
      <c r="G940" s="710"/>
      <c r="H940" s="710"/>
      <c r="I940" s="710"/>
      <c r="J940" s="711"/>
      <c r="K940" s="684">
        <f t="shared" si="843"/>
        <v>1</v>
      </c>
      <c r="L940" s="708">
        <v>1</v>
      </c>
      <c r="M940" s="684">
        <f t="shared" si="844"/>
        <v>1</v>
      </c>
      <c r="N940" s="362" t="str">
        <f t="shared" si="839"/>
        <v/>
      </c>
      <c r="O940" s="1763" t="str">
        <f t="shared" si="840"/>
        <v/>
      </c>
      <c r="P940" s="1764" t="str">
        <f t="shared" si="841"/>
        <v/>
      </c>
      <c r="Q940" s="120" t="str">
        <f t="shared" si="842"/>
        <v/>
      </c>
    </row>
    <row r="941" spans="1:18" s="120" customFormat="1" ht="14.25" customHeight="1">
      <c r="A941" s="693"/>
      <c r="B941" s="1779">
        <v>6</v>
      </c>
      <c r="C941" s="1892" t="str">
        <f>VLOOKUP(D941,base_datos,6,FALSE)</f>
        <v>Transformador de tensión monofásico 480 / 240 Vac - 50VA.</v>
      </c>
      <c r="D941" s="1898" t="s">
        <v>8587</v>
      </c>
      <c r="E941" s="1581">
        <f>VLOOKUP(D941,base_datos,5,FALSE)</f>
        <v>76.8</v>
      </c>
      <c r="F941" s="1581">
        <f>+E941*B941</f>
        <v>460.79999999999995</v>
      </c>
      <c r="G941" s="686"/>
      <c r="H941" s="686"/>
      <c r="I941" s="686"/>
      <c r="J941" s="1768"/>
      <c r="K941" s="684">
        <f t="shared" si="843"/>
        <v>1</v>
      </c>
      <c r="L941" s="708">
        <v>1</v>
      </c>
      <c r="M941" s="684">
        <f t="shared" si="844"/>
        <v>6</v>
      </c>
      <c r="N941" s="362" t="str">
        <f t="shared" si="839"/>
        <v/>
      </c>
      <c r="O941" s="1763" t="str">
        <f t="shared" si="840"/>
        <v/>
      </c>
      <c r="P941" s="1764" t="str">
        <f t="shared" si="841"/>
        <v/>
      </c>
      <c r="Q941" s="120" t="str">
        <f t="shared" si="842"/>
        <v/>
      </c>
      <c r="R941" s="185"/>
    </row>
    <row r="942" spans="1:18" s="120" customFormat="1" ht="13.5" customHeight="1">
      <c r="A942" s="1931"/>
      <c r="B942" s="1925"/>
      <c r="C942" s="1926" t="s">
        <v>729</v>
      </c>
      <c r="D942" s="1927"/>
      <c r="E942" s="1891"/>
      <c r="F942" s="1789"/>
      <c r="G942" s="686"/>
      <c r="H942" s="686"/>
      <c r="I942" s="686"/>
      <c r="J942" s="1768"/>
      <c r="K942" s="684">
        <f t="shared" si="843"/>
        <v>1</v>
      </c>
      <c r="L942" s="363">
        <v>1</v>
      </c>
      <c r="M942" s="684">
        <f t="shared" si="844"/>
        <v>1</v>
      </c>
      <c r="N942" s="362" t="str">
        <f t="shared" si="839"/>
        <v/>
      </c>
      <c r="O942" s="1763" t="str">
        <f t="shared" si="840"/>
        <v/>
      </c>
      <c r="P942" s="1764" t="str">
        <f t="shared" si="841"/>
        <v/>
      </c>
      <c r="Q942" s="120" t="str">
        <f t="shared" si="842"/>
        <v/>
      </c>
    </row>
    <row r="943" spans="1:18" s="120" customFormat="1" ht="18" customHeight="1">
      <c r="A943" s="691"/>
      <c r="B943" s="1781"/>
      <c r="C943" s="1218" t="s">
        <v>3158</v>
      </c>
      <c r="D943" s="2291"/>
      <c r="E943" s="1782"/>
      <c r="F943" s="1782"/>
      <c r="G943" s="686"/>
      <c r="H943" s="686"/>
      <c r="I943" s="686"/>
      <c r="J943" s="688"/>
      <c r="K943" s="684">
        <f t="shared" si="843"/>
        <v>1</v>
      </c>
      <c r="L943" s="708">
        <v>1</v>
      </c>
      <c r="M943" s="684">
        <f t="shared" si="844"/>
        <v>1</v>
      </c>
      <c r="N943" s="362" t="str">
        <f t="shared" si="839"/>
        <v/>
      </c>
      <c r="O943" s="1763" t="str">
        <f t="shared" si="840"/>
        <v/>
      </c>
      <c r="P943" s="1764" t="str">
        <f t="shared" si="841"/>
        <v/>
      </c>
      <c r="Q943" s="120" t="str">
        <f t="shared" si="842"/>
        <v/>
      </c>
      <c r="R943" s="185"/>
    </row>
    <row r="944" spans="1:18" s="690" customFormat="1" ht="18" customHeight="1">
      <c r="A944" s="687"/>
      <c r="B944" s="1781">
        <v>1</v>
      </c>
      <c r="C944" s="1420" t="str">
        <f>VLOOKUP(D944,base_datos,6,FALSE)</f>
        <v>ITM Caja Moldeada 3x50A (reg.[0.7-1.0] In) - XT2N160-50A-3P-TMA - 65kA@230Vac, 36kA@415Vac - marca ABB.</v>
      </c>
      <c r="D944" s="2110" t="s">
        <v>847</v>
      </c>
      <c r="E944" s="1782">
        <f>VLOOKUP(D944,base_datos,5,FALSE)</f>
        <v>207</v>
      </c>
      <c r="F944" s="1782">
        <f>+E944*B944</f>
        <v>207</v>
      </c>
      <c r="G944" s="1761"/>
      <c r="H944" s="1761"/>
      <c r="I944" s="1761"/>
      <c r="J944" s="689"/>
      <c r="K944" s="684">
        <f t="shared" si="843"/>
        <v>1</v>
      </c>
      <c r="L944" s="708">
        <v>1</v>
      </c>
      <c r="M944" s="684">
        <f t="shared" si="844"/>
        <v>1</v>
      </c>
      <c r="N944" s="362">
        <f t="shared" si="839"/>
        <v>1</v>
      </c>
      <c r="O944" s="1763" t="str">
        <f t="shared" si="840"/>
        <v>1SDA067015R1</v>
      </c>
      <c r="P944" s="1764" t="str">
        <f t="shared" si="841"/>
        <v>ITM Caja Moldeada 3x50A (reg.[0.7-1.0] In) - XT2N160-50A-3P-TMA - 65kA@230Vac, 36kA@415Vac - marca ABB.</v>
      </c>
      <c r="Q944" s="120" t="str">
        <f t="shared" si="842"/>
        <v>XT2N160-50A-3P-TMA</v>
      </c>
      <c r="R944" s="185"/>
    </row>
    <row r="945" spans="1:18" s="320" customFormat="1">
      <c r="A945" s="687"/>
      <c r="B945" s="1922">
        <v>1</v>
      </c>
      <c r="C945" s="721" t="str">
        <f t="shared" ref="C945" si="845">VLOOKUP(D945,base_datos,6,FALSE)</f>
        <v>FC-CuAl_XT2 - Terminales + Cubrebornes - cables de cobre/aluminio hasta 1x185mm2 - 3 terminales (externos)</v>
      </c>
      <c r="D945" s="2292" t="s">
        <v>957</v>
      </c>
      <c r="E945" s="1580">
        <f t="shared" ref="E945" si="846">VLOOKUP(D945,base_datos,5,FALSE)</f>
        <v>69.36</v>
      </c>
      <c r="F945" s="1581">
        <f t="shared" ref="F945" si="847">+E945*B945</f>
        <v>69.36</v>
      </c>
      <c r="G945" s="1924"/>
      <c r="H945" s="1924"/>
      <c r="I945" s="1924"/>
      <c r="J945" s="722"/>
      <c r="K945" s="684">
        <f t="shared" si="843"/>
        <v>1</v>
      </c>
      <c r="L945" s="1913">
        <f t="shared" ref="L945" si="848">L944</f>
        <v>1</v>
      </c>
      <c r="M945" s="684">
        <f t="shared" si="844"/>
        <v>1</v>
      </c>
      <c r="N945" s="362">
        <f t="shared" ref="N945" si="849">IF(O945&lt;&gt;"",K945*L945*M945,"")</f>
        <v>1</v>
      </c>
      <c r="O945" s="1763" t="str">
        <f t="shared" ref="O945" si="850">IF(D945&lt;&gt;"",IF(VLOOKUP(D945,base_datos,7,FALSE)&lt;&gt;"",VLOOKUP(D945,base_datos,7,FALSE),""),"")</f>
        <v>1SDA067167R1</v>
      </c>
      <c r="P945" s="1764" t="str">
        <f t="shared" ref="P945" si="851">IF(O945&lt;&gt;"",VLOOKUP(D945,base_datos,6,FALSE),"")</f>
        <v>FC-CuAl_XT2 - Terminales + Cubrebornes - cables de cobre/aluminio hasta 1x185mm2 - 3 terminales (externos)</v>
      </c>
      <c r="Q945" s="120" t="str">
        <f t="shared" ref="Q945" si="852">IF(O945&lt;&gt;"",D945,"")</f>
        <v>FC-CuAl_XT2_3t</v>
      </c>
    </row>
    <row r="946" spans="1:18" s="185" customFormat="1">
      <c r="A946" s="687"/>
      <c r="B946" s="714"/>
      <c r="C946" s="313" t="s">
        <v>729</v>
      </c>
      <c r="D946" s="2292"/>
      <c r="E946" s="1971"/>
      <c r="F946" s="1787"/>
      <c r="G946" s="710"/>
      <c r="H946" s="710"/>
      <c r="I946" s="710"/>
      <c r="J946" s="711"/>
      <c r="K946" s="684">
        <f t="shared" si="843"/>
        <v>1</v>
      </c>
      <c r="L946" s="708">
        <v>1</v>
      </c>
      <c r="M946" s="684">
        <f t="shared" si="844"/>
        <v>1</v>
      </c>
      <c r="N946" s="362" t="str">
        <f t="shared" si="839"/>
        <v/>
      </c>
      <c r="O946" s="1763" t="str">
        <f t="shared" si="840"/>
        <v/>
      </c>
      <c r="P946" s="1764" t="str">
        <f t="shared" si="841"/>
        <v/>
      </c>
      <c r="Q946" s="120" t="str">
        <f t="shared" si="842"/>
        <v/>
      </c>
    </row>
    <row r="947" spans="1:18" s="315" customFormat="1">
      <c r="A947" s="687"/>
      <c r="B947" s="1932">
        <v>2</v>
      </c>
      <c r="C947" s="1933" t="str">
        <f t="shared" ref="C947" si="853">VLOOKUP(D947,base_datos,6,FALSE)</f>
        <v>2(Q) contacto conmutado de estado (NA/NC) + 1(SY) contacto por disparo de interruptor - XT1..XT4 - versión cableada - marca ABB.</v>
      </c>
      <c r="D947" s="2113" t="s">
        <v>3244</v>
      </c>
      <c r="E947" s="1787">
        <f t="shared" ref="E947" si="854">VLOOKUP(D947,base_datos,5,FALSE)</f>
        <v>132.1</v>
      </c>
      <c r="F947" s="1940">
        <f t="shared" ref="F947" si="855">+E947*B947</f>
        <v>264.2</v>
      </c>
      <c r="G947" s="712"/>
      <c r="H947" s="712"/>
      <c r="I947" s="712"/>
      <c r="J947" s="713"/>
      <c r="K947" s="684">
        <f t="shared" si="843"/>
        <v>1</v>
      </c>
      <c r="L947" s="708">
        <v>1</v>
      </c>
      <c r="M947" s="684">
        <f t="shared" si="844"/>
        <v>2</v>
      </c>
      <c r="N947" s="362">
        <f t="shared" si="839"/>
        <v>2</v>
      </c>
      <c r="O947" s="1763" t="str">
        <f t="shared" si="840"/>
        <v>1SDA066433R1</v>
      </c>
      <c r="P947" s="1764" t="str">
        <f t="shared" si="841"/>
        <v>2(Q) contacto conmutado de estado (NA/NC) + 1(SY) contacto por disparo de interruptor - XT1..XT4 - versión cableada - marca ABB.</v>
      </c>
      <c r="Q947" s="120" t="str">
        <f t="shared" si="842"/>
        <v>2Q+1SY_XT1..XT4</v>
      </c>
    </row>
    <row r="948" spans="1:18" s="185" customFormat="1">
      <c r="A948" s="1771"/>
      <c r="B948" s="714"/>
      <c r="C948" s="313" t="s">
        <v>729</v>
      </c>
      <c r="D948" s="537"/>
      <c r="E948" s="1971"/>
      <c r="F948" s="1787"/>
      <c r="G948" s="710"/>
      <c r="H948" s="710"/>
      <c r="I948" s="710"/>
      <c r="J948" s="711"/>
      <c r="K948" s="684">
        <f t="shared" si="843"/>
        <v>1</v>
      </c>
      <c r="L948" s="708">
        <v>1</v>
      </c>
      <c r="M948" s="684">
        <f t="shared" si="844"/>
        <v>1</v>
      </c>
      <c r="N948" s="362" t="str">
        <f t="shared" si="839"/>
        <v/>
      </c>
      <c r="O948" s="1763" t="str">
        <f t="shared" si="840"/>
        <v/>
      </c>
      <c r="P948" s="1764" t="str">
        <f t="shared" si="841"/>
        <v/>
      </c>
      <c r="Q948" s="120" t="str">
        <f t="shared" si="842"/>
        <v/>
      </c>
    </row>
    <row r="949" spans="1:18" s="1766" customFormat="1" ht="13.5" customHeight="1">
      <c r="A949" s="687"/>
      <c r="B949" s="1769"/>
      <c r="C949" s="1770" t="s">
        <v>11663</v>
      </c>
      <c r="D949" s="2110"/>
      <c r="E949" s="1580"/>
      <c r="F949" s="1581"/>
      <c r="G949" s="1761"/>
      <c r="H949" s="1761"/>
      <c r="I949" s="1761"/>
      <c r="J949" s="1762"/>
      <c r="K949" s="684">
        <f t="shared" si="843"/>
        <v>1</v>
      </c>
      <c r="L949" s="708">
        <v>1</v>
      </c>
      <c r="M949" s="684">
        <f t="shared" si="844"/>
        <v>1</v>
      </c>
      <c r="N949" s="362" t="str">
        <f t="shared" si="839"/>
        <v/>
      </c>
      <c r="O949" s="1763" t="str">
        <f t="shared" si="840"/>
        <v/>
      </c>
      <c r="P949" s="1764" t="str">
        <f t="shared" si="841"/>
        <v/>
      </c>
      <c r="Q949" s="120" t="str">
        <f t="shared" si="842"/>
        <v/>
      </c>
      <c r="R949" s="1765"/>
    </row>
    <row r="950" spans="1:18" s="1766" customFormat="1" ht="18" customHeight="1">
      <c r="A950" s="687"/>
      <c r="B950" s="1760">
        <v>1</v>
      </c>
      <c r="C950" s="1892" t="str">
        <f t="shared" ref="C950:C954" si="856">VLOOKUP(D950,base_datos,6,FALSE)</f>
        <v>Analizador de Redes DIRIS-A30 - precisión (V, I) 0.2%, precisión de energía activa / reactiva: clase 0,5S / clase 2 - marca SOCOMEC.</v>
      </c>
      <c r="D950" s="2293" t="s">
        <v>12164</v>
      </c>
      <c r="E950" s="1580">
        <f t="shared" ref="E950:E954" si="857">VLOOKUP(D950,base_datos,5,FALSE)</f>
        <v>633.64</v>
      </c>
      <c r="F950" s="1581">
        <f t="shared" ref="F950:F954" si="858">+E950*B950</f>
        <v>633.64</v>
      </c>
      <c r="G950" s="1761"/>
      <c r="H950" s="1761"/>
      <c r="I950" s="1761"/>
      <c r="J950" s="1762"/>
      <c r="K950" s="684">
        <f t="shared" si="843"/>
        <v>1</v>
      </c>
      <c r="L950" s="708">
        <v>1</v>
      </c>
      <c r="M950" s="684">
        <f t="shared" si="844"/>
        <v>1</v>
      </c>
      <c r="N950" s="362">
        <f t="shared" si="839"/>
        <v>1</v>
      </c>
      <c r="O950" s="1763" t="str">
        <f t="shared" si="840"/>
        <v>4825 0403</v>
      </c>
      <c r="P950" s="1764" t="str">
        <f t="shared" si="841"/>
        <v>Analizador de Redes DIRIS-A30 - precisión (V, I) 0.2%, precisión de energía activa / reactiva: clase 0,5S / clase 2 - marca SOCOMEC.</v>
      </c>
      <c r="Q950" s="120" t="str">
        <f t="shared" si="842"/>
        <v>DIRIS-A30</v>
      </c>
      <c r="R950" s="1765"/>
    </row>
    <row r="951" spans="1:18" s="1766" customFormat="1" ht="18" customHeight="1">
      <c r="A951" s="687"/>
      <c r="B951" s="1760">
        <v>1</v>
      </c>
      <c r="C951" s="1990" t="str">
        <f t="shared" si="856"/>
        <v>Módulo de comunicación RS 485 MODBUS, para Analizador de Red, DIRIS-A30, marca SOCOMEC.</v>
      </c>
      <c r="D951" s="144" t="s">
        <v>12166</v>
      </c>
      <c r="E951" s="1580">
        <f t="shared" si="857"/>
        <v>115.64</v>
      </c>
      <c r="F951" s="1581">
        <f t="shared" si="858"/>
        <v>115.64</v>
      </c>
      <c r="G951" s="1761"/>
      <c r="H951" s="1761"/>
      <c r="I951" s="1761"/>
      <c r="J951" s="1762"/>
      <c r="K951" s="684">
        <f t="shared" si="843"/>
        <v>1</v>
      </c>
      <c r="L951" s="708">
        <v>1</v>
      </c>
      <c r="M951" s="684">
        <f t="shared" si="844"/>
        <v>1</v>
      </c>
      <c r="N951" s="362">
        <f t="shared" si="839"/>
        <v>1</v>
      </c>
      <c r="O951" s="1763" t="str">
        <f t="shared" si="840"/>
        <v>4825 0092</v>
      </c>
      <c r="P951" s="1764" t="str">
        <f t="shared" si="841"/>
        <v>Módulo de comunicación RS 485 MODBUS, para Analizador de Red, DIRIS-A30, marca SOCOMEC.</v>
      </c>
      <c r="Q951" s="120" t="str">
        <f t="shared" si="842"/>
        <v>DIRIS-A30/Com</v>
      </c>
      <c r="R951" s="1765"/>
    </row>
    <row r="952" spans="1:18" s="1766" customFormat="1" ht="17.25" customHeight="1">
      <c r="A952" s="687"/>
      <c r="B952" s="1760">
        <f>3*B950</f>
        <v>3</v>
      </c>
      <c r="C952" s="1892" t="str">
        <f t="shared" si="856"/>
        <v>Transformador de corriente de 50/5A</v>
      </c>
      <c r="D952" s="2294" t="s">
        <v>8260</v>
      </c>
      <c r="E952" s="1580">
        <f t="shared" si="857"/>
        <v>65</v>
      </c>
      <c r="F952" s="1581">
        <f t="shared" si="858"/>
        <v>195</v>
      </c>
      <c r="G952" s="1761"/>
      <c r="H952" s="1761"/>
      <c r="I952" s="1761"/>
      <c r="J952" s="1762"/>
      <c r="K952" s="684">
        <f t="shared" si="843"/>
        <v>1</v>
      </c>
      <c r="L952" s="708">
        <v>1</v>
      </c>
      <c r="M952" s="684">
        <f t="shared" si="844"/>
        <v>3</v>
      </c>
      <c r="N952" s="362" t="str">
        <f t="shared" si="839"/>
        <v/>
      </c>
      <c r="O952" s="1763" t="str">
        <f t="shared" si="840"/>
        <v/>
      </c>
      <c r="P952" s="1764" t="str">
        <f t="shared" si="841"/>
        <v/>
      </c>
      <c r="Q952" s="120" t="str">
        <f t="shared" si="842"/>
        <v/>
      </c>
      <c r="R952" s="1765"/>
    </row>
    <row r="953" spans="1:18" s="1766" customFormat="1" ht="18" customHeight="1">
      <c r="A953" s="687"/>
      <c r="B953" s="1760">
        <f>5*B950</f>
        <v>5</v>
      </c>
      <c r="C953" s="1892" t="str">
        <f t="shared" si="856"/>
        <v>Base portafusibles + Fusibles de protección para control.</v>
      </c>
      <c r="D953" s="2294" t="s">
        <v>453</v>
      </c>
      <c r="E953" s="1580">
        <f t="shared" si="857"/>
        <v>8.1750000000000007</v>
      </c>
      <c r="F953" s="1581">
        <f t="shared" si="858"/>
        <v>40.875</v>
      </c>
      <c r="G953" s="1761"/>
      <c r="H953" s="1761"/>
      <c r="I953" s="1761"/>
      <c r="J953" s="1762"/>
      <c r="K953" s="684">
        <f t="shared" si="843"/>
        <v>1</v>
      </c>
      <c r="L953" s="708">
        <v>1</v>
      </c>
      <c r="M953" s="684">
        <f t="shared" si="844"/>
        <v>5</v>
      </c>
      <c r="N953" s="362" t="str">
        <f t="shared" si="839"/>
        <v/>
      </c>
      <c r="O953" s="1763" t="str">
        <f t="shared" si="840"/>
        <v/>
      </c>
      <c r="P953" s="1764" t="str">
        <f t="shared" si="841"/>
        <v/>
      </c>
      <c r="Q953" s="120" t="str">
        <f t="shared" si="842"/>
        <v/>
      </c>
      <c r="R953" s="1765"/>
    </row>
    <row r="954" spans="1:18" s="1766" customFormat="1" ht="18" customHeight="1">
      <c r="A954" s="1771"/>
      <c r="B954" s="1760">
        <f>6*B950</f>
        <v>6</v>
      </c>
      <c r="C954" s="1892" t="str">
        <f t="shared" si="856"/>
        <v>Bornes seccionables de corriente.</v>
      </c>
      <c r="D954" s="2294" t="s">
        <v>435</v>
      </c>
      <c r="E954" s="1580">
        <f t="shared" si="857"/>
        <v>12</v>
      </c>
      <c r="F954" s="1581">
        <f t="shared" si="858"/>
        <v>72</v>
      </c>
      <c r="G954" s="1761"/>
      <c r="H954" s="1761"/>
      <c r="I954" s="1761"/>
      <c r="J954" s="1762"/>
      <c r="K954" s="684">
        <f t="shared" si="843"/>
        <v>1</v>
      </c>
      <c r="L954" s="708">
        <v>1</v>
      </c>
      <c r="M954" s="684">
        <f t="shared" si="844"/>
        <v>6</v>
      </c>
      <c r="N954" s="362" t="str">
        <f t="shared" si="839"/>
        <v/>
      </c>
      <c r="O954" s="1763" t="str">
        <f t="shared" si="840"/>
        <v/>
      </c>
      <c r="P954" s="1764" t="str">
        <f t="shared" si="841"/>
        <v/>
      </c>
      <c r="Q954" s="120" t="str">
        <f t="shared" si="842"/>
        <v/>
      </c>
      <c r="R954" s="1765"/>
    </row>
    <row r="955" spans="1:18" s="185" customFormat="1" ht="13.5" customHeight="1">
      <c r="A955" s="693"/>
      <c r="B955" s="714"/>
      <c r="C955" s="1893" t="s">
        <v>729</v>
      </c>
      <c r="D955" s="2019"/>
      <c r="E955" s="1580"/>
      <c r="F955" s="1581"/>
      <c r="G955" s="710"/>
      <c r="H955" s="710"/>
      <c r="I955" s="710"/>
      <c r="J955" s="711"/>
      <c r="K955" s="684">
        <f t="shared" si="843"/>
        <v>1</v>
      </c>
      <c r="L955" s="708">
        <v>1</v>
      </c>
      <c r="M955" s="684">
        <f t="shared" si="844"/>
        <v>1</v>
      </c>
      <c r="N955" s="362" t="str">
        <f t="shared" si="839"/>
        <v/>
      </c>
      <c r="O955" s="1763" t="str">
        <f t="shared" si="840"/>
        <v/>
      </c>
      <c r="P955" s="1764" t="str">
        <f t="shared" si="841"/>
        <v/>
      </c>
      <c r="Q955" s="120" t="str">
        <f t="shared" si="842"/>
        <v/>
      </c>
      <c r="R955" s="1765"/>
    </row>
    <row r="956" spans="1:18" s="690" customFormat="1" ht="16.5" customHeight="1">
      <c r="A956" s="1767"/>
      <c r="B956" s="1851"/>
      <c r="C956" s="1894" t="s">
        <v>3377</v>
      </c>
      <c r="D956" s="2020"/>
      <c r="E956" s="1789"/>
      <c r="F956" s="1782"/>
      <c r="G956" s="1761"/>
      <c r="H956" s="1761"/>
      <c r="I956" s="1761"/>
      <c r="J956" s="689"/>
      <c r="K956" s="684">
        <f t="shared" si="843"/>
        <v>1</v>
      </c>
      <c r="L956" s="708">
        <v>1</v>
      </c>
      <c r="M956" s="684">
        <f t="shared" si="844"/>
        <v>1</v>
      </c>
      <c r="N956" s="362" t="str">
        <f t="shared" si="839"/>
        <v/>
      </c>
      <c r="O956" s="1763" t="str">
        <f t="shared" si="840"/>
        <v/>
      </c>
      <c r="P956" s="1764" t="str">
        <f t="shared" si="841"/>
        <v/>
      </c>
      <c r="Q956" s="120" t="str">
        <f t="shared" si="842"/>
        <v/>
      </c>
      <c r="R956" s="185"/>
    </row>
    <row r="957" spans="1:18" s="690" customFormat="1" ht="18" customHeight="1">
      <c r="A957" s="1767"/>
      <c r="B957" s="1781">
        <v>1</v>
      </c>
      <c r="C957" s="1420" t="str">
        <f t="shared" ref="C957" si="859">VLOOKUP(D957,base_datos,6,FALSE)</f>
        <v>ITM Caja Moldeada 3x40A (reg.[0.7-1.0] In) - XT2N160-40A-3P-TMA - 65kA@230Vac, 36kA@415Vac - marca ABB.</v>
      </c>
      <c r="D957" s="1901" t="s">
        <v>863</v>
      </c>
      <c r="E957" s="1791">
        <f>VLOOKUP(D957,base_datos,5,FALSE)</f>
        <v>207</v>
      </c>
      <c r="F957" s="1782">
        <f t="shared" ref="F957" si="860">+E957*B957</f>
        <v>207</v>
      </c>
      <c r="G957" s="1761"/>
      <c r="H957" s="1761"/>
      <c r="I957" s="1761"/>
      <c r="J957" s="1783"/>
      <c r="K957" s="684">
        <f t="shared" si="843"/>
        <v>1</v>
      </c>
      <c r="L957" s="708">
        <v>1</v>
      </c>
      <c r="M957" s="684">
        <f t="shared" si="844"/>
        <v>1</v>
      </c>
      <c r="N957" s="362">
        <f t="shared" ref="N957" si="861">IF(O957&lt;&gt;"",K957*L957*M957,"")</f>
        <v>1</v>
      </c>
      <c r="O957" s="1763" t="str">
        <f t="shared" ref="O957" si="862">IF(D957&lt;&gt;"",IF(VLOOKUP(D957,base_datos,7,FALSE)&lt;&gt;"",VLOOKUP(D957,base_datos,7,FALSE),""),"")</f>
        <v>1SDA067014R1</v>
      </c>
      <c r="P957" s="1764" t="str">
        <f t="shared" ref="P957" si="863">IF(O957&lt;&gt;"",VLOOKUP(D957,base_datos,6,FALSE),"")</f>
        <v>ITM Caja Moldeada 3x40A (reg.[0.7-1.0] In) - XT2N160-40A-3P-TMA - 65kA@230Vac, 36kA@415Vac - marca ABB.</v>
      </c>
      <c r="Q957" s="120" t="str">
        <f t="shared" ref="Q957" si="864">IF(O957&lt;&gt;"",D957,"")</f>
        <v>XT2N160-40A-3P-TMA</v>
      </c>
      <c r="R957" s="185"/>
    </row>
    <row r="958" spans="1:18" s="690" customFormat="1" ht="18" customHeight="1">
      <c r="A958" s="1767"/>
      <c r="B958" s="1781">
        <v>2</v>
      </c>
      <c r="C958" s="1420" t="str">
        <f t="shared" ref="C958:C961" si="865">VLOOKUP(D958,base_datos,6,FALSE)</f>
        <v>ITM Caja Moldeada 3x20A (reg.[0.7-1.0] In) - XT2N160-20A-3P-TMD - 65kA@230Vac, 36kA@415Vac - marca ABB.</v>
      </c>
      <c r="D958" s="1901" t="s">
        <v>1331</v>
      </c>
      <c r="E958" s="1791">
        <f>VLOOKUP(D958,base_datos,5,FALSE)</f>
        <v>201.76999999999998</v>
      </c>
      <c r="F958" s="1782">
        <f t="shared" ref="F958:F961" si="866">+E958*B958</f>
        <v>403.53999999999996</v>
      </c>
      <c r="G958" s="1761"/>
      <c r="H958" s="1761"/>
      <c r="I958" s="1761"/>
      <c r="J958" s="1783"/>
      <c r="K958" s="684">
        <f t="shared" si="843"/>
        <v>1</v>
      </c>
      <c r="L958" s="708">
        <v>1</v>
      </c>
      <c r="M958" s="684">
        <f t="shared" si="844"/>
        <v>2</v>
      </c>
      <c r="N958" s="362">
        <f t="shared" si="839"/>
        <v>2</v>
      </c>
      <c r="O958" s="1763" t="str">
        <f t="shared" si="840"/>
        <v>1SDA067011R1</v>
      </c>
      <c r="P958" s="1764" t="str">
        <f t="shared" si="841"/>
        <v>ITM Caja Moldeada 3x20A (reg.[0.7-1.0] In) - XT2N160-20A-3P-TMD - 65kA@230Vac, 36kA@415Vac - marca ABB.</v>
      </c>
      <c r="Q958" s="120" t="str">
        <f t="shared" si="842"/>
        <v>XT2N160-20A-3P-TMD</v>
      </c>
      <c r="R958" s="185"/>
    </row>
    <row r="959" spans="1:18" s="690" customFormat="1" ht="18" customHeight="1">
      <c r="A959" s="1767"/>
      <c r="B959" s="2206">
        <v>1</v>
      </c>
      <c r="C959" s="2207" t="s">
        <v>13027</v>
      </c>
      <c r="D959" s="2208"/>
      <c r="E959" s="2209">
        <v>212.15</v>
      </c>
      <c r="F959" s="2210">
        <f t="shared" ref="F959" si="867">+E959*B959</f>
        <v>212.15</v>
      </c>
      <c r="G959" s="1761"/>
      <c r="H959" s="1761"/>
      <c r="I959" s="1761"/>
      <c r="J959" s="1783"/>
      <c r="K959" s="684">
        <f t="shared" si="843"/>
        <v>1</v>
      </c>
      <c r="L959" s="708">
        <v>1</v>
      </c>
      <c r="M959" s="684">
        <f t="shared" si="844"/>
        <v>1</v>
      </c>
      <c r="N959" s="362" t="str">
        <f t="shared" ref="N959" si="868">IF(O959&lt;&gt;"",K959*L959*M959,"")</f>
        <v/>
      </c>
      <c r="O959" s="1763" t="str">
        <f t="shared" ref="O959" si="869">IF(D959&lt;&gt;"",IF(VLOOKUP(D959,base_datos,7,FALSE)&lt;&gt;"",VLOOKUP(D959,base_datos,7,FALSE),""),"")</f>
        <v/>
      </c>
      <c r="P959" s="1764" t="str">
        <f t="shared" ref="P959" si="870">IF(O959&lt;&gt;"",VLOOKUP(D959,base_datos,6,FALSE),"")</f>
        <v/>
      </c>
      <c r="Q959" s="120" t="str">
        <f t="shared" ref="Q959" si="871">IF(O959&lt;&gt;"",D959,"")</f>
        <v/>
      </c>
      <c r="R959" s="185"/>
    </row>
    <row r="960" spans="1:18" s="690" customFormat="1" ht="18" customHeight="1">
      <c r="A960" s="1767"/>
      <c r="B960" s="2206">
        <v>1</v>
      </c>
      <c r="C960" s="2207" t="s">
        <v>13028</v>
      </c>
      <c r="D960" s="2208"/>
      <c r="E960" s="2209">
        <v>212.15</v>
      </c>
      <c r="F960" s="2210">
        <f t="shared" si="866"/>
        <v>212.15</v>
      </c>
      <c r="G960" s="1761"/>
      <c r="H960" s="1761"/>
      <c r="I960" s="1761"/>
      <c r="J960" s="1783"/>
      <c r="K960" s="684">
        <f t="shared" si="843"/>
        <v>1</v>
      </c>
      <c r="L960" s="708">
        <v>1</v>
      </c>
      <c r="M960" s="684">
        <f t="shared" si="844"/>
        <v>1</v>
      </c>
      <c r="N960" s="362" t="str">
        <f t="shared" si="839"/>
        <v/>
      </c>
      <c r="O960" s="1763" t="str">
        <f t="shared" si="840"/>
        <v/>
      </c>
      <c r="P960" s="1764" t="str">
        <f t="shared" si="841"/>
        <v/>
      </c>
      <c r="Q960" s="120" t="str">
        <f t="shared" si="842"/>
        <v/>
      </c>
      <c r="R960" s="185"/>
    </row>
    <row r="961" spans="1:20" s="690" customFormat="1" ht="18" customHeight="1">
      <c r="A961" s="1767"/>
      <c r="B961" s="1781">
        <v>1</v>
      </c>
      <c r="C961" s="1420" t="str">
        <f t="shared" si="865"/>
        <v>Espacio de reserva trifásica - Caja moldeada.</v>
      </c>
      <c r="D961" s="1901" t="s">
        <v>2932</v>
      </c>
      <c r="E961" s="1791">
        <f>VLOOKUP(D961,base_datos,5,FALSE)</f>
        <v>15</v>
      </c>
      <c r="F961" s="1782">
        <f t="shared" si="866"/>
        <v>15</v>
      </c>
      <c r="G961" s="1761"/>
      <c r="H961" s="1761"/>
      <c r="I961" s="1761"/>
      <c r="J961" s="1783"/>
      <c r="K961" s="684">
        <f t="shared" si="843"/>
        <v>1</v>
      </c>
      <c r="L961" s="708">
        <v>1</v>
      </c>
      <c r="M961" s="684">
        <f t="shared" si="844"/>
        <v>1</v>
      </c>
      <c r="N961" s="362" t="str">
        <f t="shared" si="839"/>
        <v/>
      </c>
      <c r="O961" s="1763" t="str">
        <f t="shared" si="840"/>
        <v/>
      </c>
      <c r="P961" s="1764" t="str">
        <f t="shared" si="841"/>
        <v/>
      </c>
      <c r="Q961" s="120" t="str">
        <f t="shared" si="842"/>
        <v/>
      </c>
      <c r="R961" s="185"/>
    </row>
    <row r="962" spans="1:20" s="185" customFormat="1">
      <c r="A962" s="692"/>
      <c r="B962" s="714"/>
      <c r="C962" s="1893" t="s">
        <v>729</v>
      </c>
      <c r="D962" s="2021"/>
      <c r="E962" s="1786"/>
      <c r="F962" s="1787"/>
      <c r="G962" s="710"/>
      <c r="H962" s="710"/>
      <c r="I962" s="710"/>
      <c r="J962" s="711"/>
      <c r="K962" s="684">
        <f t="shared" si="843"/>
        <v>1</v>
      </c>
      <c r="L962" s="363">
        <v>1</v>
      </c>
      <c r="M962" s="684">
        <f t="shared" si="844"/>
        <v>1</v>
      </c>
      <c r="N962" s="362" t="str">
        <f t="shared" si="839"/>
        <v/>
      </c>
      <c r="O962" s="1763" t="str">
        <f t="shared" si="840"/>
        <v/>
      </c>
      <c r="P962" s="1764" t="str">
        <f t="shared" si="841"/>
        <v/>
      </c>
      <c r="Q962" s="120" t="str">
        <f t="shared" si="842"/>
        <v/>
      </c>
    </row>
    <row r="963" spans="1:20" s="315" customFormat="1">
      <c r="A963" s="1785"/>
      <c r="B963" s="355"/>
      <c r="C963" s="1944" t="s">
        <v>3063</v>
      </c>
      <c r="D963" s="2022"/>
      <c r="E963" s="1786"/>
      <c r="F963" s="1787"/>
      <c r="G963" s="712"/>
      <c r="H963" s="712"/>
      <c r="I963" s="712"/>
      <c r="J963" s="713"/>
      <c r="K963" s="684">
        <f t="shared" si="843"/>
        <v>1</v>
      </c>
      <c r="L963" s="708">
        <v>1</v>
      </c>
      <c r="M963" s="684">
        <f t="shared" si="844"/>
        <v>1</v>
      </c>
      <c r="N963" s="362" t="str">
        <f t="shared" si="839"/>
        <v/>
      </c>
      <c r="O963" s="1763" t="str">
        <f t="shared" si="840"/>
        <v/>
      </c>
      <c r="P963" s="1764" t="str">
        <f t="shared" si="841"/>
        <v/>
      </c>
      <c r="Q963" s="120" t="str">
        <f t="shared" si="842"/>
        <v/>
      </c>
    </row>
    <row r="964" spans="1:20" s="690" customFormat="1">
      <c r="A964" s="691"/>
      <c r="B964" s="1781">
        <v>1</v>
      </c>
      <c r="C964" s="1420" t="str">
        <f>VLOOKUP(D964,base_datos,6,FALSE)</f>
        <v>ITM Caja Moldeada 3x32A (reg.[0.7-1.0] In) - XT2N160-32A-3P-TMD - 65kA@230Vac, 36kA@415Vac - marca ABB.</v>
      </c>
      <c r="D964" s="1901" t="s">
        <v>850</v>
      </c>
      <c r="E964" s="1791">
        <f>VLOOKUP(D964,base_datos,5,FALSE)</f>
        <v>207</v>
      </c>
      <c r="F964" s="1782">
        <f t="shared" ref="F964:F965" si="872">+E964*B964</f>
        <v>207</v>
      </c>
      <c r="G964" s="1761"/>
      <c r="H964" s="1761"/>
      <c r="I964" s="1761"/>
      <c r="J964" s="1783"/>
      <c r="K964" s="684">
        <f t="shared" si="843"/>
        <v>1</v>
      </c>
      <c r="L964" s="708">
        <v>1</v>
      </c>
      <c r="M964" s="684">
        <f t="shared" si="844"/>
        <v>1</v>
      </c>
      <c r="N964" s="362">
        <f t="shared" si="839"/>
        <v>1</v>
      </c>
      <c r="O964" s="1763" t="str">
        <f t="shared" si="840"/>
        <v>1SDA067013R1</v>
      </c>
      <c r="P964" s="1764" t="str">
        <f t="shared" si="841"/>
        <v>ITM Caja Moldeada 3x32A (reg.[0.7-1.0] In) - XT2N160-32A-3P-TMD - 65kA@230Vac, 36kA@415Vac - marca ABB.</v>
      </c>
      <c r="Q964" s="120" t="str">
        <f t="shared" si="842"/>
        <v>XT2N160-32A-3P-TMD</v>
      </c>
      <c r="R964" s="185"/>
    </row>
    <row r="965" spans="1:20" s="690" customFormat="1">
      <c r="A965" s="691"/>
      <c r="B965" s="1781">
        <v>1</v>
      </c>
      <c r="C965" s="1420" t="str">
        <f>VLOOKUP(D965,base_datos,6,FALSE)</f>
        <v>Supresor contra sobretensiones (Tipo 1, UL 1449) - OVRHT3C504803D - I_max=50kA por fase, Un=480V,  MCOV=640V (L-G), VPR=2.5kV (L-G) - marca ABB.</v>
      </c>
      <c r="D965" s="1901" t="s">
        <v>12357</v>
      </c>
      <c r="E965" s="1791">
        <f>VLOOKUP(D965,base_datos,5,FALSE)</f>
        <v>386.44</v>
      </c>
      <c r="F965" s="1782">
        <f t="shared" si="872"/>
        <v>386.44</v>
      </c>
      <c r="G965" s="1761"/>
      <c r="H965" s="1761"/>
      <c r="I965" s="1761"/>
      <c r="J965" s="1783"/>
      <c r="K965" s="684">
        <f t="shared" si="843"/>
        <v>1</v>
      </c>
      <c r="L965" s="708">
        <v>1</v>
      </c>
      <c r="M965" s="684">
        <f t="shared" si="844"/>
        <v>1</v>
      </c>
      <c r="N965" s="362">
        <f t="shared" si="839"/>
        <v>1</v>
      </c>
      <c r="O965" s="1763" t="str">
        <f t="shared" si="840"/>
        <v>2CJC605480D0000</v>
      </c>
      <c r="P965" s="1764" t="str">
        <f t="shared" si="841"/>
        <v>Supresor contra sobretensiones (Tipo 1, UL 1449) - OVRHT3C504803D - I_max=50kA por fase, Un=480V,  MCOV=640V (L-G), VPR=2.5kV (L-G) - marca ABB.</v>
      </c>
      <c r="Q965" s="120" t="str">
        <f t="shared" si="842"/>
        <v>OVRHT3C504803D</v>
      </c>
      <c r="R965" s="185"/>
    </row>
    <row r="966" spans="1:20" s="185" customFormat="1">
      <c r="A966" s="692"/>
      <c r="B966" s="714"/>
      <c r="C966" s="1893" t="s">
        <v>729</v>
      </c>
      <c r="D966" s="2021"/>
      <c r="E966" s="1786"/>
      <c r="F966" s="1787"/>
      <c r="G966" s="710"/>
      <c r="H966" s="710"/>
      <c r="I966" s="710"/>
      <c r="J966" s="711"/>
      <c r="K966" s="684">
        <f t="shared" si="843"/>
        <v>1</v>
      </c>
      <c r="L966" s="363">
        <v>1</v>
      </c>
      <c r="M966" s="684">
        <f t="shared" si="844"/>
        <v>1</v>
      </c>
      <c r="N966" s="362" t="str">
        <f t="shared" si="839"/>
        <v/>
      </c>
      <c r="O966" s="1763" t="str">
        <f t="shared" si="840"/>
        <v/>
      </c>
      <c r="P966" s="1764" t="str">
        <f t="shared" si="841"/>
        <v/>
      </c>
      <c r="Q966" s="120" t="str">
        <f t="shared" si="842"/>
        <v/>
      </c>
    </row>
    <row r="967" spans="1:20" s="315" customFormat="1" ht="12.75" customHeight="1">
      <c r="A967" s="2271"/>
      <c r="B967" s="2272">
        <v>1</v>
      </c>
      <c r="C967" s="2281" t="s">
        <v>13366</v>
      </c>
      <c r="D967" s="1935"/>
      <c r="E967" s="2287"/>
      <c r="F967" s="2257">
        <f>+SUM(F968:F971)*(B967-1)</f>
        <v>0</v>
      </c>
      <c r="G967" s="712"/>
      <c r="H967" s="712"/>
      <c r="I967" s="712"/>
      <c r="J967" s="713"/>
      <c r="K967" s="684">
        <f t="shared" si="843"/>
        <v>1</v>
      </c>
      <c r="L967" s="2258">
        <v>1</v>
      </c>
      <c r="M967" s="684">
        <f t="shared" si="844"/>
        <v>1</v>
      </c>
      <c r="N967" s="112" t="str">
        <f t="shared" si="839"/>
        <v/>
      </c>
      <c r="O967" s="112" t="str">
        <f t="shared" si="840"/>
        <v/>
      </c>
      <c r="P967" s="120" t="str">
        <f t="shared" si="841"/>
        <v/>
      </c>
      <c r="Q967" s="120" t="str">
        <f t="shared" si="842"/>
        <v/>
      </c>
      <c r="S967" s="112" t="str">
        <f t="shared" ref="S967:S972" si="873">IF(O967&lt;&gt;"",VLOOKUP(D967,base_datos,9,FALSE),"")</f>
        <v/>
      </c>
      <c r="T967" s="2128"/>
    </row>
    <row r="968" spans="1:20" s="690" customFormat="1" ht="18" customHeight="1">
      <c r="A968" s="2273"/>
      <c r="B968" s="1781">
        <v>1</v>
      </c>
      <c r="C968" s="1420" t="str">
        <f t="shared" ref="C968:C971" si="874">VLOOKUP(D968,base_datos,6,FALSE)</f>
        <v>Calefactor resistivo 60W, modelo RACM - marca FANDIS.</v>
      </c>
      <c r="D968" s="1899" t="s">
        <v>3298</v>
      </c>
      <c r="E968" s="2288">
        <f t="shared" ref="E968" si="875">VLOOKUP(D968,base_datos,5,FALSE)</f>
        <v>127.1</v>
      </c>
      <c r="F968" s="1782">
        <f>+E968*B968</f>
        <v>127.1</v>
      </c>
      <c r="G968" s="1761"/>
      <c r="H968" s="1761"/>
      <c r="I968" s="1761"/>
      <c r="J968" s="689"/>
      <c r="K968" s="684">
        <f t="shared" si="843"/>
        <v>1</v>
      </c>
      <c r="L968" s="2258">
        <v>1</v>
      </c>
      <c r="M968" s="684">
        <f t="shared" si="844"/>
        <v>1</v>
      </c>
      <c r="N968" s="112">
        <f t="shared" si="839"/>
        <v>1</v>
      </c>
      <c r="O968" s="112" t="str">
        <f t="shared" si="840"/>
        <v>RACM-60</v>
      </c>
      <c r="P968" s="120" t="str">
        <f t="shared" si="841"/>
        <v>Calefactor resistivo 60W, modelo RACM - marca FANDIS.</v>
      </c>
      <c r="Q968" s="120" t="str">
        <f t="shared" si="842"/>
        <v>CALEFACT-60W_FAND</v>
      </c>
      <c r="S968" s="112" t="str">
        <f t="shared" si="873"/>
        <v>FANDIS</v>
      </c>
      <c r="T968" s="1765"/>
    </row>
    <row r="969" spans="1:20" s="690" customFormat="1" ht="18" customHeight="1">
      <c r="A969" s="2273"/>
      <c r="B969" s="1781">
        <v>1</v>
      </c>
      <c r="C969" s="1420" t="str">
        <f t="shared" si="874"/>
        <v>Termostato para ventilación - 1NA - 230V - marca FANDIS.</v>
      </c>
      <c r="D969" s="1899" t="s">
        <v>3294</v>
      </c>
      <c r="E969" s="2288">
        <f t="shared" ref="E969:E971" si="876">VLOOKUP(D969,base_datos,5,FALSE)</f>
        <v>41.58</v>
      </c>
      <c r="F969" s="1782">
        <f>+E969*B969</f>
        <v>41.58</v>
      </c>
      <c r="G969" s="1761"/>
      <c r="H969" s="1761"/>
      <c r="I969" s="1761"/>
      <c r="J969" s="689"/>
      <c r="K969" s="684">
        <f t="shared" si="843"/>
        <v>1</v>
      </c>
      <c r="L969" s="2258">
        <v>1</v>
      </c>
      <c r="M969" s="684">
        <f t="shared" si="844"/>
        <v>1</v>
      </c>
      <c r="N969" s="112">
        <f t="shared" si="839"/>
        <v>1</v>
      </c>
      <c r="O969" s="112" t="str">
        <f t="shared" si="840"/>
        <v>TRT-10A230V-NO</v>
      </c>
      <c r="P969" s="120" t="str">
        <f t="shared" si="841"/>
        <v>Termostato para ventilación - 1NA - 230V - marca FANDIS.</v>
      </c>
      <c r="Q969" s="120" t="str">
        <f t="shared" si="842"/>
        <v>TRT-1NA</v>
      </c>
      <c r="S969" s="112" t="str">
        <f t="shared" si="873"/>
        <v>FANDIS</v>
      </c>
      <c r="T969" s="1765"/>
    </row>
    <row r="970" spans="1:20" s="320" customFormat="1" ht="12.75" customHeight="1">
      <c r="A970" s="2274"/>
      <c r="B970" s="2275">
        <v>1</v>
      </c>
      <c r="C970" s="2282" t="str">
        <f t="shared" si="874"/>
        <v>Base portafusibles + Fusibles de protección para control.</v>
      </c>
      <c r="D970" s="1579" t="s">
        <v>453</v>
      </c>
      <c r="E970" s="2289">
        <f t="shared" si="876"/>
        <v>8.1750000000000007</v>
      </c>
      <c r="F970" s="2264">
        <f>+E970*B970</f>
        <v>8.1750000000000007</v>
      </c>
      <c r="G970" s="2276"/>
      <c r="H970" s="2276"/>
      <c r="I970" s="2276"/>
      <c r="J970" s="722"/>
      <c r="K970" s="684">
        <f t="shared" si="843"/>
        <v>1</v>
      </c>
      <c r="L970" s="2258">
        <v>1</v>
      </c>
      <c r="M970" s="684">
        <f t="shared" si="844"/>
        <v>1</v>
      </c>
      <c r="N970" s="112" t="str">
        <f t="shared" si="839"/>
        <v/>
      </c>
      <c r="O970" s="112" t="str">
        <f t="shared" si="840"/>
        <v/>
      </c>
      <c r="P970" s="120" t="str">
        <f t="shared" si="841"/>
        <v/>
      </c>
      <c r="Q970" s="120" t="str">
        <f t="shared" si="842"/>
        <v/>
      </c>
      <c r="R970" s="185"/>
      <c r="S970" s="112" t="str">
        <f t="shared" si="873"/>
        <v/>
      </c>
      <c r="T970" s="709"/>
    </row>
    <row r="971" spans="1:20" s="320" customFormat="1" ht="12.75" customHeight="1">
      <c r="A971" s="2274"/>
      <c r="B971" s="2277">
        <v>1</v>
      </c>
      <c r="C971" s="2282" t="str">
        <f t="shared" si="874"/>
        <v>Borne 4mm2.</v>
      </c>
      <c r="D971" s="1579" t="s">
        <v>437</v>
      </c>
      <c r="E971" s="2260">
        <f t="shared" si="876"/>
        <v>2.5</v>
      </c>
      <c r="F971" s="2260">
        <f>+E971*B971</f>
        <v>2.5</v>
      </c>
      <c r="G971" s="2276"/>
      <c r="H971" s="2276"/>
      <c r="I971" s="2276"/>
      <c r="J971" s="722"/>
      <c r="K971" s="684">
        <f t="shared" si="843"/>
        <v>1</v>
      </c>
      <c r="L971" s="2258">
        <v>1</v>
      </c>
      <c r="M971" s="684">
        <f t="shared" si="844"/>
        <v>1</v>
      </c>
      <c r="N971" s="112" t="str">
        <f t="shared" si="839"/>
        <v/>
      </c>
      <c r="O971" s="112" t="str">
        <f t="shared" si="840"/>
        <v/>
      </c>
      <c r="P971" s="120" t="str">
        <f t="shared" si="841"/>
        <v/>
      </c>
      <c r="Q971" s="120" t="str">
        <f t="shared" si="842"/>
        <v/>
      </c>
      <c r="R971" s="185"/>
      <c r="S971" s="112" t="str">
        <f t="shared" si="873"/>
        <v/>
      </c>
      <c r="T971" s="709"/>
    </row>
    <row r="972" spans="1:20" s="185" customFormat="1" ht="12.75" customHeight="1">
      <c r="A972" s="2262"/>
      <c r="B972" s="1760"/>
      <c r="C972" s="1893" t="s">
        <v>729</v>
      </c>
      <c r="D972" s="169"/>
      <c r="E972" s="2256"/>
      <c r="F972" s="2278"/>
      <c r="G972" s="710"/>
      <c r="H972" s="710"/>
      <c r="I972" s="710"/>
      <c r="J972" s="711"/>
      <c r="K972" s="684">
        <f t="shared" si="843"/>
        <v>1</v>
      </c>
      <c r="L972" s="2258">
        <v>1</v>
      </c>
      <c r="M972" s="684">
        <f t="shared" si="844"/>
        <v>1</v>
      </c>
      <c r="N972" s="112" t="str">
        <f t="shared" si="839"/>
        <v/>
      </c>
      <c r="O972" s="112" t="str">
        <f t="shared" si="840"/>
        <v/>
      </c>
      <c r="P972" s="120" t="str">
        <f t="shared" si="841"/>
        <v/>
      </c>
      <c r="Q972" s="120" t="str">
        <f t="shared" si="842"/>
        <v/>
      </c>
      <c r="S972" s="112" t="str">
        <f t="shared" si="873"/>
        <v/>
      </c>
      <c r="T972" s="118"/>
    </row>
    <row r="973" spans="1:20" s="1236" customFormat="1" ht="18" customHeight="1">
      <c r="A973" s="1767"/>
      <c r="B973" s="1853">
        <v>1</v>
      </c>
      <c r="C973" s="1895" t="s">
        <v>12366</v>
      </c>
      <c r="D973" s="1902"/>
      <c r="E973" s="1792"/>
      <c r="F973" s="1793"/>
      <c r="G973" s="1784"/>
      <c r="H973" s="1784"/>
      <c r="I973" s="1784"/>
      <c r="J973" s="1182"/>
      <c r="K973" s="684">
        <f t="shared" si="843"/>
        <v>1</v>
      </c>
      <c r="L973" s="708">
        <v>1</v>
      </c>
      <c r="M973" s="684">
        <f t="shared" si="844"/>
        <v>1</v>
      </c>
      <c r="N973" s="362" t="str">
        <f t="shared" si="839"/>
        <v/>
      </c>
      <c r="O973" s="1763" t="str">
        <f t="shared" si="840"/>
        <v/>
      </c>
      <c r="P973" s="1764" t="str">
        <f t="shared" si="841"/>
        <v/>
      </c>
      <c r="Q973" s="120" t="str">
        <f t="shared" si="842"/>
        <v/>
      </c>
      <c r="R973" s="185"/>
    </row>
    <row r="974" spans="1:20" s="120" customFormat="1" ht="18" customHeight="1">
      <c r="A974" s="687"/>
      <c r="B974" s="1945">
        <v>2</v>
      </c>
      <c r="C974" s="1848" t="str">
        <f>VLOOKUP(D974,base_datos,6,FALSE)</f>
        <v>Transformador de tensión monofásico 480 / 240 Vac - 50VA.</v>
      </c>
      <c r="D974" s="1898" t="s">
        <v>8587</v>
      </c>
      <c r="E974" s="1581">
        <f>VLOOKUP(D974,base_datos,5,FALSE)</f>
        <v>76.8</v>
      </c>
      <c r="F974" s="1581">
        <f>+E974*B974</f>
        <v>153.6</v>
      </c>
      <c r="G974" s="686"/>
      <c r="H974" s="686"/>
      <c r="I974" s="686"/>
      <c r="J974" s="1768"/>
      <c r="K974" s="684">
        <f t="shared" si="843"/>
        <v>1</v>
      </c>
      <c r="L974" s="708">
        <v>1</v>
      </c>
      <c r="M974" s="684">
        <f t="shared" si="844"/>
        <v>2</v>
      </c>
      <c r="N974" s="362" t="str">
        <f t="shared" si="839"/>
        <v/>
      </c>
      <c r="O974" s="1763" t="str">
        <f t="shared" si="840"/>
        <v/>
      </c>
      <c r="P974" s="1764" t="str">
        <f t="shared" si="841"/>
        <v/>
      </c>
      <c r="Q974" s="120" t="str">
        <f t="shared" si="842"/>
        <v/>
      </c>
      <c r="R974" s="185"/>
    </row>
    <row r="975" spans="1:20" s="120" customFormat="1" ht="18" customHeight="1">
      <c r="A975" s="687"/>
      <c r="B975" s="1945">
        <v>1</v>
      </c>
      <c r="C975" s="1848" t="str">
        <f>VLOOKUP(D975,base_datos,6,FALSE)</f>
        <v>Transformador de tensión monofásico 480 / 240 Vac - 200VA.</v>
      </c>
      <c r="D975" s="1898" t="s">
        <v>5173</v>
      </c>
      <c r="E975" s="1581">
        <f>VLOOKUP(D975,base_datos,5,FALSE)</f>
        <v>89.5</v>
      </c>
      <c r="F975" s="1581">
        <f>+E975*B975</f>
        <v>89.5</v>
      </c>
      <c r="G975" s="686"/>
      <c r="H975" s="686"/>
      <c r="I975" s="686"/>
      <c r="J975" s="1768"/>
      <c r="K975" s="684">
        <f t="shared" si="843"/>
        <v>1</v>
      </c>
      <c r="L975" s="708">
        <v>1</v>
      </c>
      <c r="M975" s="684">
        <f t="shared" si="844"/>
        <v>1</v>
      </c>
      <c r="N975" s="362" t="str">
        <f t="shared" si="839"/>
        <v/>
      </c>
      <c r="O975" s="1763" t="str">
        <f t="shared" si="840"/>
        <v/>
      </c>
      <c r="P975" s="1764" t="str">
        <f t="shared" si="841"/>
        <v/>
      </c>
      <c r="Q975" s="120" t="str">
        <f t="shared" si="842"/>
        <v/>
      </c>
      <c r="R975" s="185"/>
    </row>
    <row r="976" spans="1:20" s="185" customFormat="1" ht="18" customHeight="1">
      <c r="A976" s="1785"/>
      <c r="B976" s="714"/>
      <c r="C976" s="1893" t="s">
        <v>729</v>
      </c>
      <c r="D976" s="173"/>
      <c r="E976" s="1786"/>
      <c r="F976" s="1787"/>
      <c r="G976" s="710"/>
      <c r="H976" s="710"/>
      <c r="I976" s="710"/>
      <c r="J976" s="711"/>
      <c r="K976" s="684">
        <f t="shared" si="843"/>
        <v>1</v>
      </c>
      <c r="L976" s="708">
        <v>1</v>
      </c>
      <c r="M976" s="684">
        <f t="shared" si="844"/>
        <v>1</v>
      </c>
      <c r="N976" s="362" t="str">
        <f t="shared" si="839"/>
        <v/>
      </c>
      <c r="O976" s="1763" t="str">
        <f t="shared" si="840"/>
        <v/>
      </c>
      <c r="P976" s="1764" t="str">
        <f t="shared" si="841"/>
        <v/>
      </c>
      <c r="Q976" s="120" t="str">
        <f t="shared" si="842"/>
        <v/>
      </c>
    </row>
    <row r="977" spans="1:18" s="1236" customFormat="1" ht="18" customHeight="1">
      <c r="A977" s="1767"/>
      <c r="B977" s="1853">
        <v>1</v>
      </c>
      <c r="C977" s="1895" t="s">
        <v>12364</v>
      </c>
      <c r="D977" s="1902"/>
      <c r="E977" s="1792"/>
      <c r="F977" s="1793"/>
      <c r="G977" s="1784"/>
      <c r="H977" s="1784"/>
      <c r="I977" s="1784"/>
      <c r="J977" s="1182"/>
      <c r="K977" s="684">
        <f t="shared" si="843"/>
        <v>1</v>
      </c>
      <c r="L977" s="708">
        <v>1</v>
      </c>
      <c r="M977" s="684">
        <f t="shared" si="844"/>
        <v>1</v>
      </c>
      <c r="N977" s="362" t="str">
        <f t="shared" si="839"/>
        <v/>
      </c>
      <c r="O977" s="1763" t="str">
        <f t="shared" si="840"/>
        <v/>
      </c>
      <c r="P977" s="1764" t="str">
        <f t="shared" si="841"/>
        <v/>
      </c>
      <c r="Q977" s="120" t="str">
        <f t="shared" si="842"/>
        <v/>
      </c>
      <c r="R977" s="185"/>
    </row>
    <row r="978" spans="1:18" s="695" customFormat="1" ht="18" customHeight="1">
      <c r="A978" s="693"/>
      <c r="B978" s="1922">
        <v>1</v>
      </c>
      <c r="C978" s="1848" t="str">
        <f t="shared" ref="C978" si="877">VLOOKUP(D978,base_datos,6,FALSE)</f>
        <v>Placa lamicoid rotulación de 3mm de espesor, fondo negro y letras blancas.</v>
      </c>
      <c r="D978" s="1886" t="s">
        <v>8570</v>
      </c>
      <c r="E978" s="1795">
        <f t="shared" ref="E978" si="878">VLOOKUP(D978,base_datos,5,FALSE)</f>
        <v>2.2000000000000002</v>
      </c>
      <c r="F978" s="1796">
        <f t="shared" ref="F978" si="879">+E978*B978</f>
        <v>2.2000000000000002</v>
      </c>
      <c r="G978" s="696"/>
      <c r="H978" s="696"/>
      <c r="I978" s="696"/>
      <c r="J978" s="697"/>
      <c r="K978" s="684">
        <f t="shared" si="843"/>
        <v>1</v>
      </c>
      <c r="L978" s="708">
        <v>1</v>
      </c>
      <c r="M978" s="684">
        <f t="shared" si="844"/>
        <v>1</v>
      </c>
      <c r="N978" s="362">
        <f t="shared" si="839"/>
        <v>1</v>
      </c>
      <c r="O978" s="1763" t="str">
        <f t="shared" si="840"/>
        <v>Placa lamicoid p/distr.</v>
      </c>
      <c r="P978" s="1764" t="str">
        <f t="shared" si="841"/>
        <v>Placa lamicoid rotulación de 3mm de espesor, fondo negro y letras blancas.</v>
      </c>
      <c r="Q978" s="120" t="str">
        <f t="shared" si="842"/>
        <v>Placa lamicoid p/distr.</v>
      </c>
      <c r="R978" s="185"/>
    </row>
    <row r="979" spans="1:18" s="1236" customFormat="1" ht="18" customHeight="1">
      <c r="A979" s="1767"/>
      <c r="B979" s="1853">
        <v>1</v>
      </c>
      <c r="C979" s="1895" t="s">
        <v>12474</v>
      </c>
      <c r="D979" s="1902"/>
      <c r="E979" s="1792"/>
      <c r="F979" s="1793"/>
      <c r="G979" s="1784"/>
      <c r="H979" s="1784"/>
      <c r="I979" s="1784"/>
      <c r="J979" s="1182"/>
      <c r="K979" s="684">
        <f t="shared" si="843"/>
        <v>1</v>
      </c>
      <c r="L979" s="708">
        <v>1</v>
      </c>
      <c r="M979" s="684">
        <f t="shared" si="844"/>
        <v>1</v>
      </c>
      <c r="N979" s="362" t="str">
        <f t="shared" si="839"/>
        <v/>
      </c>
      <c r="O979" s="1763" t="str">
        <f t="shared" si="840"/>
        <v/>
      </c>
      <c r="P979" s="1764" t="str">
        <f t="shared" si="841"/>
        <v/>
      </c>
      <c r="Q979" s="120" t="str">
        <f t="shared" si="842"/>
        <v/>
      </c>
      <c r="R979" s="185"/>
    </row>
    <row r="980" spans="1:18" s="1236" customFormat="1" ht="18" customHeight="1">
      <c r="A980" s="1767"/>
      <c r="B980" s="1853">
        <v>1</v>
      </c>
      <c r="C980" s="1848" t="str">
        <f>VLOOKUP(D980,base_datos,6,FALSE)</f>
        <v>Embalaje especial completamente cerrado para tablero adosado de 1600x600x220mm</v>
      </c>
      <c r="D980" s="1902" t="s">
        <v>12453</v>
      </c>
      <c r="E980" s="1795">
        <f t="shared" ref="E980" si="880">VLOOKUP(D980,base_datos,5,FALSE)</f>
        <v>271.40000000000003</v>
      </c>
      <c r="F980" s="1796">
        <f t="shared" ref="F980" si="881">+E980*B980</f>
        <v>271.40000000000003</v>
      </c>
      <c r="G980" s="1784"/>
      <c r="H980" s="1784"/>
      <c r="I980" s="1784"/>
      <c r="J980" s="1182"/>
      <c r="K980" s="684">
        <f t="shared" si="843"/>
        <v>1</v>
      </c>
      <c r="L980" s="708">
        <v>1</v>
      </c>
      <c r="M980" s="684">
        <f t="shared" si="844"/>
        <v>1</v>
      </c>
      <c r="N980" s="362">
        <f t="shared" si="839"/>
        <v>1</v>
      </c>
      <c r="O980" s="1763" t="str">
        <f t="shared" si="840"/>
        <v>EMBAL_ADOS_1600x600x220mm</v>
      </c>
      <c r="P980" s="1764" t="str">
        <f t="shared" si="841"/>
        <v>Embalaje especial completamente cerrado para tablero adosado de 1600x600x220mm</v>
      </c>
      <c r="Q980" s="120" t="str">
        <f t="shared" si="842"/>
        <v>EMBAL_ADOS_1600x600x220mm</v>
      </c>
      <c r="R980" s="185"/>
    </row>
    <row r="981" spans="1:18" s="185" customFormat="1" ht="18" customHeight="1">
      <c r="A981" s="1785"/>
      <c r="B981" s="714"/>
      <c r="C981" s="1893" t="s">
        <v>729</v>
      </c>
      <c r="D981" s="173"/>
      <c r="E981" s="1786"/>
      <c r="F981" s="1787"/>
      <c r="G981" s="710"/>
      <c r="H981" s="710"/>
      <c r="I981" s="710"/>
      <c r="J981" s="711"/>
      <c r="K981" s="684">
        <f t="shared" si="843"/>
        <v>1</v>
      </c>
      <c r="L981" s="708">
        <v>1</v>
      </c>
      <c r="M981" s="684">
        <f t="shared" si="844"/>
        <v>1</v>
      </c>
      <c r="N981" s="362" t="str">
        <f t="shared" si="839"/>
        <v/>
      </c>
      <c r="O981" s="1763" t="str">
        <f t="shared" si="840"/>
        <v/>
      </c>
      <c r="P981" s="1764" t="str">
        <f t="shared" si="841"/>
        <v/>
      </c>
      <c r="Q981" s="120" t="str">
        <f t="shared" si="842"/>
        <v/>
      </c>
    </row>
    <row r="982" spans="1:18" s="695" customFormat="1" ht="18" customHeight="1">
      <c r="A982" s="693"/>
      <c r="B982" s="1794">
        <v>1</v>
      </c>
      <c r="C982" s="1420" t="s">
        <v>316</v>
      </c>
      <c r="D982" s="1790"/>
      <c r="E982" s="1795"/>
      <c r="F982" s="1796"/>
      <c r="G982" s="696"/>
      <c r="H982" s="696"/>
      <c r="I982" s="696"/>
      <c r="J982" s="697"/>
      <c r="K982" s="684">
        <f t="shared" si="843"/>
        <v>1</v>
      </c>
      <c r="L982" s="708">
        <v>1</v>
      </c>
      <c r="M982" s="684">
        <f t="shared" si="844"/>
        <v>1</v>
      </c>
      <c r="N982" s="362" t="str">
        <f t="shared" si="839"/>
        <v/>
      </c>
      <c r="O982" s="1763" t="str">
        <f t="shared" si="840"/>
        <v/>
      </c>
      <c r="P982" s="1764" t="str">
        <f t="shared" si="841"/>
        <v/>
      </c>
      <c r="Q982" s="120" t="str">
        <f t="shared" si="842"/>
        <v/>
      </c>
      <c r="R982" s="185"/>
    </row>
    <row r="983" spans="1:18" s="185" customFormat="1" ht="18" customHeight="1">
      <c r="A983" s="1785"/>
      <c r="B983" s="714"/>
      <c r="C983" s="1893" t="s">
        <v>729</v>
      </c>
      <c r="D983" s="173"/>
      <c r="E983" s="1786"/>
      <c r="F983" s="1787"/>
      <c r="G983" s="710"/>
      <c r="H983" s="710"/>
      <c r="I983" s="710"/>
      <c r="J983" s="711"/>
      <c r="K983" s="684">
        <f t="shared" si="843"/>
        <v>1</v>
      </c>
      <c r="L983" s="708">
        <v>1</v>
      </c>
      <c r="M983" s="684">
        <f t="shared" si="844"/>
        <v>1</v>
      </c>
      <c r="N983" s="362" t="str">
        <f t="shared" ref="N983" si="882">IF(O983&lt;&gt;"",K983*L983*M983,"")</f>
        <v/>
      </c>
      <c r="O983" s="1763" t="str">
        <f t="shared" ref="O983" si="883">IF(D983&lt;&gt;"",IF(VLOOKUP(D983,base_datos,7,FALSE)&lt;&gt;"",VLOOKUP(D983,base_datos,7,FALSE),""),"")</f>
        <v/>
      </c>
      <c r="P983" s="1764" t="str">
        <f t="shared" ref="P983" si="884">IF(O983&lt;&gt;"",VLOOKUP(D983,base_datos,6,FALSE),"")</f>
        <v/>
      </c>
      <c r="Q983" s="120" t="str">
        <f t="shared" ref="Q983" si="885">IF(O983&lt;&gt;"",D983,"")</f>
        <v/>
      </c>
    </row>
    <row r="984" spans="1:18" s="897" customFormat="1" ht="18" customHeight="1">
      <c r="A984" s="693"/>
      <c r="B984" s="895">
        <v>7</v>
      </c>
      <c r="C984" s="1848" t="str">
        <f>VLOOKUP(D984,base_datos,6,FALSE)</f>
        <v>Rotulado por circuito.</v>
      </c>
      <c r="D984" s="1579" t="s">
        <v>3067</v>
      </c>
      <c r="E984" s="1581">
        <f>VLOOKUP(D984,base_datos,5,FALSE)</f>
        <v>0.7</v>
      </c>
      <c r="F984" s="1581">
        <f t="shared" ref="F984:F989" si="886">+E984*B984</f>
        <v>4.8999999999999995</v>
      </c>
      <c r="G984" s="1772"/>
      <c r="H984" s="1772"/>
      <c r="I984" s="1772"/>
      <c r="J984" s="896"/>
      <c r="K984" s="684">
        <f t="shared" si="843"/>
        <v>1</v>
      </c>
      <c r="L984" s="708">
        <v>1</v>
      </c>
      <c r="M984" s="684">
        <f t="shared" si="844"/>
        <v>7</v>
      </c>
      <c r="N984" s="362" t="str">
        <f t="shared" si="839"/>
        <v/>
      </c>
      <c r="O984" s="1763" t="str">
        <f t="shared" si="840"/>
        <v/>
      </c>
      <c r="P984" s="1764" t="str">
        <f t="shared" si="841"/>
        <v/>
      </c>
      <c r="Q984" s="120" t="str">
        <f t="shared" si="842"/>
        <v/>
      </c>
    </row>
    <row r="985" spans="1:18" s="897" customFormat="1" ht="18" customHeight="1">
      <c r="A985" s="693"/>
      <c r="B985" s="895">
        <v>1</v>
      </c>
      <c r="C985" s="1848" t="str">
        <f>VLOOKUP(D985,base_datos,6,FALSE)</f>
        <v>Rotulado para TAG - tablero de distribución.</v>
      </c>
      <c r="D985" s="1579" t="s">
        <v>3066</v>
      </c>
      <c r="E985" s="1581">
        <f>VLOOKUP(D985,base_datos,5,FALSE)</f>
        <v>1.5</v>
      </c>
      <c r="F985" s="1581">
        <f t="shared" si="886"/>
        <v>1.5</v>
      </c>
      <c r="G985" s="1772"/>
      <c r="H985" s="1772"/>
      <c r="I985" s="1772"/>
      <c r="J985" s="896"/>
      <c r="K985" s="684">
        <f t="shared" si="843"/>
        <v>1</v>
      </c>
      <c r="L985" s="708">
        <v>1</v>
      </c>
      <c r="M985" s="684">
        <f t="shared" si="844"/>
        <v>1</v>
      </c>
      <c r="N985" s="362" t="str">
        <f t="shared" si="839"/>
        <v/>
      </c>
      <c r="O985" s="1763" t="str">
        <f t="shared" si="840"/>
        <v/>
      </c>
      <c r="P985" s="1764" t="str">
        <f t="shared" si="841"/>
        <v/>
      </c>
      <c r="Q985" s="120" t="str">
        <f t="shared" si="842"/>
        <v/>
      </c>
    </row>
    <row r="986" spans="1:18" s="1237" customFormat="1" ht="18" customHeight="1">
      <c r="A986" s="1767"/>
      <c r="B986" s="1773">
        <v>1</v>
      </c>
      <c r="C986" s="1896" t="s">
        <v>11664</v>
      </c>
      <c r="D986" s="1887"/>
      <c r="E986" s="1581">
        <v>63</v>
      </c>
      <c r="F986" s="1581">
        <f t="shared" si="886"/>
        <v>63</v>
      </c>
      <c r="G986" s="1774"/>
      <c r="H986" s="1774"/>
      <c r="I986" s="1774"/>
      <c r="J986" s="1181"/>
      <c r="K986" s="684">
        <f t="shared" si="843"/>
        <v>1</v>
      </c>
      <c r="L986" s="708">
        <v>1</v>
      </c>
      <c r="M986" s="684">
        <f t="shared" si="844"/>
        <v>1</v>
      </c>
      <c r="N986" s="362" t="str">
        <f t="shared" si="839"/>
        <v/>
      </c>
      <c r="O986" s="1763" t="str">
        <f t="shared" si="840"/>
        <v/>
      </c>
      <c r="P986" s="1764" t="str">
        <f t="shared" si="841"/>
        <v/>
      </c>
      <c r="Q986" s="120" t="str">
        <f t="shared" si="842"/>
        <v/>
      </c>
      <c r="R986" s="1765"/>
    </row>
    <row r="987" spans="1:18" s="1237" customFormat="1" ht="18" customHeight="1">
      <c r="A987" s="1767"/>
      <c r="B987" s="2093">
        <v>1</v>
      </c>
      <c r="C987" s="694" t="s">
        <v>12552</v>
      </c>
      <c r="D987" s="1888"/>
      <c r="E987" s="1580">
        <f>E989*15%</f>
        <v>27</v>
      </c>
      <c r="F987" s="1581">
        <f t="shared" si="886"/>
        <v>27</v>
      </c>
      <c r="G987" s="1774"/>
      <c r="H987" s="1774"/>
      <c r="I987" s="1774"/>
      <c r="J987" s="1181"/>
      <c r="K987" s="684">
        <f t="shared" si="843"/>
        <v>1</v>
      </c>
      <c r="L987" s="708">
        <v>1</v>
      </c>
      <c r="M987" s="684">
        <f t="shared" si="844"/>
        <v>1</v>
      </c>
      <c r="N987" s="362" t="str">
        <f t="shared" si="839"/>
        <v/>
      </c>
      <c r="O987" s="1763" t="str">
        <f t="shared" si="840"/>
        <v/>
      </c>
      <c r="P987" s="1764" t="str">
        <f t="shared" si="841"/>
        <v/>
      </c>
      <c r="Q987" s="120" t="str">
        <f t="shared" si="842"/>
        <v/>
      </c>
      <c r="R987" s="1765"/>
    </row>
    <row r="988" spans="1:18" s="1237" customFormat="1" ht="18" customHeight="1">
      <c r="A988" s="1767"/>
      <c r="B988" s="1773">
        <v>1</v>
      </c>
      <c r="C988" s="694" t="s">
        <v>12559</v>
      </c>
      <c r="D988" s="1888"/>
      <c r="E988" s="1999">
        <f>E989*20%</f>
        <v>36</v>
      </c>
      <c r="F988" s="1581">
        <f t="shared" si="886"/>
        <v>36</v>
      </c>
      <c r="G988" s="1774"/>
      <c r="H988" s="1774"/>
      <c r="I988" s="1774"/>
      <c r="J988" s="1181"/>
      <c r="K988" s="684">
        <f t="shared" si="843"/>
        <v>1</v>
      </c>
      <c r="L988" s="708">
        <v>1</v>
      </c>
      <c r="M988" s="684">
        <f t="shared" si="844"/>
        <v>1</v>
      </c>
      <c r="N988" s="362" t="str">
        <f t="shared" si="839"/>
        <v/>
      </c>
      <c r="O988" s="1763" t="str">
        <f t="shared" si="840"/>
        <v/>
      </c>
      <c r="P988" s="1764" t="str">
        <f t="shared" si="841"/>
        <v/>
      </c>
      <c r="Q988" s="120" t="str">
        <f t="shared" si="842"/>
        <v/>
      </c>
      <c r="R988" s="1765"/>
    </row>
    <row r="989" spans="1:18" s="1237" customFormat="1" ht="18" customHeight="1">
      <c r="A989" s="1767"/>
      <c r="B989" s="1773">
        <v>1</v>
      </c>
      <c r="C989" s="1943" t="s">
        <v>12478</v>
      </c>
      <c r="D989" s="1897"/>
      <c r="E989" s="1581">
        <v>180</v>
      </c>
      <c r="F989" s="1581">
        <f t="shared" si="886"/>
        <v>180</v>
      </c>
      <c r="G989" s="1774"/>
      <c r="H989" s="1774"/>
      <c r="I989" s="1774"/>
      <c r="J989" s="1181"/>
      <c r="K989" s="684">
        <f t="shared" si="843"/>
        <v>1</v>
      </c>
      <c r="L989" s="708">
        <v>1</v>
      </c>
      <c r="M989" s="684">
        <f t="shared" si="844"/>
        <v>1</v>
      </c>
      <c r="N989" s="362" t="str">
        <f t="shared" si="839"/>
        <v/>
      </c>
      <c r="O989" s="1763" t="str">
        <f t="shared" si="840"/>
        <v/>
      </c>
      <c r="P989" s="1764" t="str">
        <f t="shared" si="841"/>
        <v/>
      </c>
      <c r="Q989" s="120" t="str">
        <f t="shared" si="842"/>
        <v/>
      </c>
      <c r="R989" s="1765"/>
    </row>
    <row r="990" spans="1:18" s="20" customFormat="1" ht="18" customHeight="1" thickBot="1">
      <c r="A990" s="699"/>
      <c r="B990" s="1775"/>
      <c r="C990" s="1776"/>
      <c r="D990" s="1885"/>
      <c r="E990" s="1981"/>
      <c r="F990" s="1981"/>
      <c r="G990" s="1777"/>
      <c r="H990" s="1777"/>
      <c r="I990" s="1777"/>
      <c r="J990" s="1778"/>
      <c r="K990" s="684"/>
      <c r="L990" s="363"/>
      <c r="M990" s="709"/>
      <c r="N990" s="362" t="str">
        <f t="shared" si="839"/>
        <v/>
      </c>
      <c r="O990" s="1763" t="str">
        <f t="shared" si="840"/>
        <v/>
      </c>
      <c r="P990" s="1764" t="str">
        <f t="shared" si="841"/>
        <v/>
      </c>
      <c r="Q990" s="120" t="str">
        <f t="shared" si="842"/>
        <v/>
      </c>
      <c r="R990" s="1765"/>
    </row>
    <row r="991" spans="1:18" s="120" customFormat="1" ht="15.75" customHeight="1" thickBot="1">
      <c r="A991" s="1989">
        <v>16</v>
      </c>
      <c r="B991" s="1852">
        <v>1</v>
      </c>
      <c r="C991" s="1756" t="s">
        <v>12581</v>
      </c>
      <c r="D991" s="1588"/>
      <c r="E991" s="1589"/>
      <c r="F991" s="1589"/>
      <c r="G991" s="1757">
        <f>SUM(F992:F1032)</f>
        <v>2216.6849999999995</v>
      </c>
      <c r="H991" s="1758">
        <f>G991*(1-$D$6)</f>
        <v>2216.6849999999995</v>
      </c>
      <c r="I991" s="1757">
        <f>ROUNDUP(H991*$D$5,0)</f>
        <v>7537</v>
      </c>
      <c r="J991" s="1759">
        <f>+I991*B991</f>
        <v>7537</v>
      </c>
      <c r="K991" s="1788">
        <f>B991</f>
        <v>1</v>
      </c>
      <c r="L991" s="363"/>
      <c r="M991" s="684"/>
      <c r="N991" s="362" t="str">
        <f t="shared" si="839"/>
        <v/>
      </c>
      <c r="O991" s="1763" t="str">
        <f t="shared" si="840"/>
        <v/>
      </c>
      <c r="P991" s="1764" t="str">
        <f t="shared" si="841"/>
        <v/>
      </c>
      <c r="Q991" s="120" t="str">
        <f t="shared" si="842"/>
        <v/>
      </c>
      <c r="R991" s="185"/>
    </row>
    <row r="992" spans="1:18" s="120" customFormat="1" ht="18" customHeight="1">
      <c r="A992" s="685" t="s">
        <v>3064</v>
      </c>
      <c r="B992" s="1903"/>
      <c r="C992" s="1890"/>
      <c r="D992" s="1904"/>
      <c r="E992" s="1789"/>
      <c r="F992" s="1780"/>
      <c r="G992" s="686"/>
      <c r="H992" s="710"/>
      <c r="I992" s="686"/>
      <c r="J992" s="1768"/>
      <c r="K992" s="684">
        <f t="shared" ref="K992:K1032" si="887">+K991</f>
        <v>1</v>
      </c>
      <c r="L992" s="363">
        <v>1</v>
      </c>
      <c r="M992" s="709">
        <f t="shared" ref="M992:M1032" si="888">IF(B992="",1,B992)</f>
        <v>1</v>
      </c>
      <c r="N992" s="362" t="str">
        <f t="shared" si="839"/>
        <v/>
      </c>
      <c r="O992" s="1763" t="str">
        <f t="shared" si="840"/>
        <v/>
      </c>
      <c r="P992" s="1764" t="str">
        <f t="shared" si="841"/>
        <v/>
      </c>
      <c r="Q992" s="120" t="str">
        <f t="shared" si="842"/>
        <v/>
      </c>
    </row>
    <row r="993" spans="1:18" s="315" customFormat="1">
      <c r="A993" s="687" t="s">
        <v>4021</v>
      </c>
      <c r="B993" s="2096">
        <v>1</v>
      </c>
      <c r="C993" s="1907" t="s">
        <v>5103</v>
      </c>
      <c r="D993" s="1935"/>
      <c r="E993" s="1786"/>
      <c r="F993" s="1908">
        <f>SUM(F995:F999)*(B993-1)</f>
        <v>0</v>
      </c>
      <c r="G993" s="712"/>
      <c r="H993" s="712"/>
      <c r="I993" s="712"/>
      <c r="J993" s="713"/>
      <c r="K993" s="684">
        <f t="shared" si="887"/>
        <v>1</v>
      </c>
      <c r="L993" s="1909">
        <f>B993</f>
        <v>1</v>
      </c>
      <c r="M993" s="709">
        <f t="shared" si="888"/>
        <v>1</v>
      </c>
      <c r="N993" s="362" t="str">
        <f t="shared" ref="N993:N1001" si="889">IF(O993&lt;&gt;"",K993*L993*M993,"")</f>
        <v/>
      </c>
      <c r="O993" s="1763" t="str">
        <f t="shared" ref="O993:O1001" si="890">IF(D993&lt;&gt;"",IF(VLOOKUP(D993,base_datos,7,FALSE)&lt;&gt;"",VLOOKUP(D993,base_datos,7,FALSE),""),"")</f>
        <v/>
      </c>
      <c r="P993" s="1764" t="str">
        <f t="shared" ref="P993:P1001" si="891">IF(O993&lt;&gt;"",VLOOKUP(D993,base_datos,6,FALSE),"")</f>
        <v/>
      </c>
      <c r="Q993" s="120" t="str">
        <f t="shared" ref="Q993:Q1001" si="892">IF(O993&lt;&gt;"",D993,"")</f>
        <v/>
      </c>
    </row>
    <row r="994" spans="1:18" s="185" customFormat="1">
      <c r="A994" s="687" t="s">
        <v>4136</v>
      </c>
      <c r="B994" s="1910">
        <v>3</v>
      </c>
      <c r="C994" s="1911" t="str">
        <f>VLOOKUP(D994,base_datos,6,FALSE)</f>
        <v>Portalámpara + lampara tipo LED - color Rojo - alimentacion: 220-230Vac, d=22mm. - CL2-523R - línea compacta - marca ABB.</v>
      </c>
      <c r="D994" s="1790" t="s">
        <v>2439</v>
      </c>
      <c r="E994" s="1939">
        <f>VLOOKUP(D994,base_datos,5,FALSE)</f>
        <v>12.299999999999999</v>
      </c>
      <c r="F994" s="1912">
        <f>+E994*B994</f>
        <v>36.9</v>
      </c>
      <c r="G994" s="710"/>
      <c r="H994" s="710"/>
      <c r="I994" s="710"/>
      <c r="J994" s="711"/>
      <c r="K994" s="684">
        <f t="shared" si="887"/>
        <v>1</v>
      </c>
      <c r="L994" s="1913">
        <f>L992</f>
        <v>1</v>
      </c>
      <c r="M994" s="709">
        <f t="shared" si="888"/>
        <v>3</v>
      </c>
      <c r="N994" s="362">
        <f t="shared" si="889"/>
        <v>3</v>
      </c>
      <c r="O994" s="1763" t="str">
        <f t="shared" si="890"/>
        <v>1SFA619403R5231</v>
      </c>
      <c r="P994" s="1764" t="str">
        <f t="shared" si="891"/>
        <v>Portalámpara + lampara tipo LED - color Rojo - alimentacion: 220-230Vac, d=22mm. - CL2-523R - línea compacta - marca ABB.</v>
      </c>
      <c r="Q994" s="120" t="str">
        <f t="shared" si="892"/>
        <v>LAMP_ROJO_220V</v>
      </c>
    </row>
    <row r="995" spans="1:18" s="185" customFormat="1">
      <c r="A995" s="687"/>
      <c r="B995" s="1910">
        <v>3</v>
      </c>
      <c r="C995" s="1911" t="str">
        <f>VLOOKUP(D995,base_datos,6,FALSE)</f>
        <v>Portalámpara + lampara tipo LED - color Verde - alimentacion: 220-230Vac, d=22mm. - CL2-523G - línea compacta - marca ABB.</v>
      </c>
      <c r="D995" s="1790" t="s">
        <v>2440</v>
      </c>
      <c r="E995" s="1939">
        <f>VLOOKUP(D995,base_datos,5,FALSE)</f>
        <v>12.299999999999999</v>
      </c>
      <c r="F995" s="1912">
        <f>+E995*B995</f>
        <v>36.9</v>
      </c>
      <c r="G995" s="710"/>
      <c r="H995" s="710"/>
      <c r="I995" s="710"/>
      <c r="J995" s="711"/>
      <c r="K995" s="684">
        <f t="shared" si="887"/>
        <v>1</v>
      </c>
      <c r="L995" s="1913">
        <f>L993</f>
        <v>1</v>
      </c>
      <c r="M995" s="709">
        <f t="shared" si="888"/>
        <v>3</v>
      </c>
      <c r="N995" s="362">
        <f t="shared" si="889"/>
        <v>3</v>
      </c>
      <c r="O995" s="1763" t="str">
        <f t="shared" si="890"/>
        <v>1SFA619403R5232</v>
      </c>
      <c r="P995" s="1764" t="str">
        <f t="shared" si="891"/>
        <v>Portalámpara + lampara tipo LED - color Verde - alimentacion: 220-230Vac, d=22mm. - CL2-523G - línea compacta - marca ABB.</v>
      </c>
      <c r="Q995" s="120" t="str">
        <f t="shared" si="892"/>
        <v>LAMP_VERDE_220V</v>
      </c>
    </row>
    <row r="996" spans="1:18" s="1921" customFormat="1">
      <c r="A996" s="687" t="s">
        <v>12356</v>
      </c>
      <c r="B996" s="1914">
        <v>1</v>
      </c>
      <c r="C996" s="1915" t="s">
        <v>3366</v>
      </c>
      <c r="D996" s="1916"/>
      <c r="E996" s="1917"/>
      <c r="F996" s="1918"/>
      <c r="G996" s="1919"/>
      <c r="H996" s="1919"/>
      <c r="I996" s="1919"/>
      <c r="J996" s="1920"/>
      <c r="K996" s="684">
        <f t="shared" si="887"/>
        <v>1</v>
      </c>
      <c r="L996" s="1913">
        <f>L995</f>
        <v>1</v>
      </c>
      <c r="M996" s="709">
        <f t="shared" si="888"/>
        <v>1</v>
      </c>
      <c r="N996" s="362" t="str">
        <f t="shared" si="889"/>
        <v/>
      </c>
      <c r="O996" s="1763" t="str">
        <f t="shared" si="890"/>
        <v/>
      </c>
      <c r="P996" s="1764" t="str">
        <f t="shared" si="891"/>
        <v/>
      </c>
      <c r="Q996" s="120" t="str">
        <f t="shared" si="892"/>
        <v/>
      </c>
    </row>
    <row r="997" spans="1:18" s="320" customFormat="1">
      <c r="A997" s="687" t="s">
        <v>12479</v>
      </c>
      <c r="B997" s="1922">
        <v>1</v>
      </c>
      <c r="C997" s="721" t="str">
        <f>VLOOKUP(D997,base_datos,6,FALSE)</f>
        <v>Rele auxiliar enchufable +4NA/NC (D2PR4B + base D2PA6), 220Vac - marca EATON.</v>
      </c>
      <c r="D997" s="1579" t="s">
        <v>772</v>
      </c>
      <c r="E997" s="1581">
        <f>VLOOKUP(D997,base_datos,5,FALSE)</f>
        <v>27</v>
      </c>
      <c r="F997" s="1923">
        <f>+E997*B997</f>
        <v>27</v>
      </c>
      <c r="G997" s="1924"/>
      <c r="H997" s="1924"/>
      <c r="I997" s="1924"/>
      <c r="J997" s="722"/>
      <c r="K997" s="684">
        <f t="shared" si="887"/>
        <v>1</v>
      </c>
      <c r="L997" s="1913">
        <f>L994</f>
        <v>1</v>
      </c>
      <c r="M997" s="709">
        <f t="shared" si="888"/>
        <v>1</v>
      </c>
      <c r="N997" s="362">
        <f t="shared" si="889"/>
        <v>1</v>
      </c>
      <c r="O997" s="1763" t="str">
        <f t="shared" si="890"/>
        <v>D2PR4B+D2PA6</v>
      </c>
      <c r="P997" s="1764" t="str">
        <f t="shared" si="891"/>
        <v>Rele auxiliar enchufable +4NA/NC (D2PR4B + base D2PA6), 220Vac - marca EATON.</v>
      </c>
      <c r="Q997" s="120" t="str">
        <f t="shared" si="892"/>
        <v>D2PR4B+D2PA6</v>
      </c>
    </row>
    <row r="998" spans="1:18" s="320" customFormat="1">
      <c r="A998" s="1767"/>
      <c r="B998" s="2131">
        <v>1</v>
      </c>
      <c r="C998" s="2132" t="s">
        <v>12558</v>
      </c>
      <c r="D998" s="2133"/>
      <c r="E998" s="2134">
        <v>32</v>
      </c>
      <c r="F998" s="2134">
        <f>+E998*B998</f>
        <v>32</v>
      </c>
      <c r="G998" s="1924"/>
      <c r="H998" s="1924"/>
      <c r="I998" s="1924"/>
      <c r="J998" s="722"/>
      <c r="K998" s="684">
        <f t="shared" si="887"/>
        <v>1</v>
      </c>
      <c r="L998" s="1913">
        <f>L995</f>
        <v>1</v>
      </c>
      <c r="M998" s="709">
        <f t="shared" si="888"/>
        <v>1</v>
      </c>
      <c r="N998" s="362" t="str">
        <f t="shared" si="889"/>
        <v/>
      </c>
      <c r="O998" s="1763" t="str">
        <f t="shared" si="890"/>
        <v/>
      </c>
      <c r="P998" s="1764" t="str">
        <f t="shared" si="891"/>
        <v/>
      </c>
      <c r="Q998" s="120" t="str">
        <f t="shared" si="892"/>
        <v/>
      </c>
    </row>
    <row r="999" spans="1:18" s="320" customFormat="1">
      <c r="A999" s="687" t="s">
        <v>12551</v>
      </c>
      <c r="B999" s="1922">
        <v>4</v>
      </c>
      <c r="C999" s="721" t="str">
        <f>VLOOKUP(D999,base_datos,6,FALSE)</f>
        <v>Base portafusibles + Fusibles de protección para control.</v>
      </c>
      <c r="D999" s="1579" t="s">
        <v>453</v>
      </c>
      <c r="E999" s="1581">
        <f>VLOOKUP(D999,base_datos,5,FALSE)</f>
        <v>8.1750000000000007</v>
      </c>
      <c r="F999" s="1923">
        <f>+E999*B999</f>
        <v>32.700000000000003</v>
      </c>
      <c r="G999" s="1924"/>
      <c r="H999" s="1924"/>
      <c r="I999" s="1924"/>
      <c r="J999" s="722"/>
      <c r="K999" s="684">
        <f t="shared" si="887"/>
        <v>1</v>
      </c>
      <c r="L999" s="1913">
        <f>L996</f>
        <v>1</v>
      </c>
      <c r="M999" s="709">
        <f t="shared" si="888"/>
        <v>4</v>
      </c>
      <c r="N999" s="362" t="str">
        <f t="shared" si="889"/>
        <v/>
      </c>
      <c r="O999" s="1763" t="str">
        <f t="shared" si="890"/>
        <v/>
      </c>
      <c r="P999" s="1764" t="str">
        <f t="shared" si="891"/>
        <v/>
      </c>
      <c r="Q999" s="120" t="str">
        <f t="shared" si="892"/>
        <v/>
      </c>
    </row>
    <row r="1000" spans="1:18" s="315" customFormat="1">
      <c r="A1000" s="687" t="s">
        <v>3542</v>
      </c>
      <c r="B1000" s="1906"/>
      <c r="C1000" s="1907"/>
      <c r="D1000" s="1935"/>
      <c r="E1000" s="1786"/>
      <c r="F1000" s="1936"/>
      <c r="G1000" s="712"/>
      <c r="H1000" s="712"/>
      <c r="I1000" s="712"/>
      <c r="J1000" s="713"/>
      <c r="K1000" s="684">
        <f t="shared" si="887"/>
        <v>1</v>
      </c>
      <c r="L1000" s="1909">
        <f>B1000</f>
        <v>0</v>
      </c>
      <c r="M1000" s="709">
        <f t="shared" si="888"/>
        <v>1</v>
      </c>
      <c r="N1000" s="362" t="str">
        <f t="shared" si="889"/>
        <v/>
      </c>
      <c r="O1000" s="1763" t="str">
        <f t="shared" si="890"/>
        <v/>
      </c>
      <c r="P1000" s="1764" t="str">
        <f t="shared" si="891"/>
        <v/>
      </c>
      <c r="Q1000" s="120" t="str">
        <f t="shared" si="892"/>
        <v/>
      </c>
    </row>
    <row r="1001" spans="1:18" s="185" customFormat="1" ht="13.5" customHeight="1">
      <c r="A1001" s="687"/>
      <c r="B1001" s="1922"/>
      <c r="C1001" s="1956" t="s">
        <v>12368</v>
      </c>
      <c r="D1001" s="1579"/>
      <c r="E1001" s="1957"/>
      <c r="F1001" s="1958"/>
      <c r="G1001" s="710"/>
      <c r="H1001" s="710"/>
      <c r="I1001" s="710"/>
      <c r="J1001" s="711"/>
      <c r="K1001" s="684">
        <f t="shared" si="887"/>
        <v>1</v>
      </c>
      <c r="L1001" s="708">
        <v>1</v>
      </c>
      <c r="M1001" s="709">
        <f t="shared" si="888"/>
        <v>1</v>
      </c>
      <c r="N1001" s="362" t="str">
        <f t="shared" si="889"/>
        <v/>
      </c>
      <c r="O1001" s="1763" t="str">
        <f t="shared" si="890"/>
        <v/>
      </c>
      <c r="P1001" s="1764" t="str">
        <f t="shared" si="891"/>
        <v/>
      </c>
      <c r="Q1001" s="120" t="str">
        <f t="shared" si="892"/>
        <v/>
      </c>
    </row>
    <row r="1002" spans="1:18" s="120" customFormat="1" ht="18" customHeight="1">
      <c r="A1002" s="1767"/>
      <c r="B1002" s="1781"/>
      <c r="C1002" s="1218" t="s">
        <v>3158</v>
      </c>
      <c r="D1002" s="1900"/>
      <c r="E1002" s="1791"/>
      <c r="F1002" s="1782"/>
      <c r="G1002" s="686"/>
      <c r="H1002" s="686"/>
      <c r="I1002" s="686"/>
      <c r="J1002" s="688"/>
      <c r="K1002" s="684">
        <f t="shared" si="887"/>
        <v>1</v>
      </c>
      <c r="L1002" s="708">
        <v>1</v>
      </c>
      <c r="M1002" s="709">
        <f t="shared" si="888"/>
        <v>1</v>
      </c>
      <c r="N1002" s="362" t="str">
        <f t="shared" ref="N1002:N1075" si="893">IF(O1002&lt;&gt;"",K1002*L1002*M1002,"")</f>
        <v/>
      </c>
      <c r="O1002" s="1763" t="str">
        <f t="shared" ref="O1002:O1075" si="894">IF(D1002&lt;&gt;"",IF(VLOOKUP(D1002,base_datos,7,FALSE)&lt;&gt;"",VLOOKUP(D1002,base_datos,7,FALSE),""),"")</f>
        <v/>
      </c>
      <c r="P1002" s="1764" t="str">
        <f t="shared" ref="P1002:P1075" si="895">IF(O1002&lt;&gt;"",VLOOKUP(D1002,base_datos,6,FALSE),"")</f>
        <v/>
      </c>
      <c r="Q1002" s="120" t="str">
        <f t="shared" ref="Q1002:Q1075" si="896">IF(O1002&lt;&gt;"",D1002,"")</f>
        <v/>
      </c>
      <c r="R1002" s="185"/>
    </row>
    <row r="1003" spans="1:18" s="690" customFormat="1" ht="18" customHeight="1">
      <c r="A1003" s="687"/>
      <c r="B1003" s="1781">
        <v>1</v>
      </c>
      <c r="C1003" s="1420" t="str">
        <f>VLOOKUP(D1003,base_datos,6,FALSE)</f>
        <v>ITM Caja Moldeada 3x200A (reg.[0.7-1.0] In) - XT4N250-200A-3P-TMA - 65kA@230Vac, 36kA@415Vac - marca ABB.</v>
      </c>
      <c r="D1003" s="1901" t="s">
        <v>879</v>
      </c>
      <c r="E1003" s="1791">
        <f>VLOOKUP(D1003,base_datos,5,FALSE)</f>
        <v>335.57</v>
      </c>
      <c r="F1003" s="1782">
        <f>+E1003*B1003</f>
        <v>335.57</v>
      </c>
      <c r="G1003" s="1761"/>
      <c r="H1003" s="1761"/>
      <c r="I1003" s="1761"/>
      <c r="J1003" s="689"/>
      <c r="K1003" s="684">
        <f t="shared" si="887"/>
        <v>1</v>
      </c>
      <c r="L1003" s="708">
        <v>1</v>
      </c>
      <c r="M1003" s="709">
        <f t="shared" si="888"/>
        <v>1</v>
      </c>
      <c r="N1003" s="362">
        <f t="shared" si="893"/>
        <v>1</v>
      </c>
      <c r="O1003" s="1763" t="str">
        <f t="shared" si="894"/>
        <v>1SDA068090R1</v>
      </c>
      <c r="P1003" s="1764" t="str">
        <f t="shared" si="895"/>
        <v>ITM Caja Moldeada 3x200A (reg.[0.7-1.0] In) - XT4N250-200A-3P-TMA - 65kA@230Vac, 36kA@415Vac - marca ABB.</v>
      </c>
      <c r="Q1003" s="120" t="str">
        <f t="shared" si="896"/>
        <v>XT4N250-200A-3P-TMA</v>
      </c>
      <c r="R1003" s="185"/>
    </row>
    <row r="1004" spans="1:18" s="695" customFormat="1" ht="18" customHeight="1">
      <c r="A1004" s="687"/>
      <c r="B1004" s="895">
        <v>1</v>
      </c>
      <c r="C1004" s="1848" t="str">
        <f t="shared" ref="C1004" si="897">VLOOKUP(D1004,base_datos,6,FALSE)</f>
        <v>FC-CuAl_XT4 - Terminales + Adaptador - cables de cobre/aluminio hasta 1x240mm2 - 3 terminales (externos)</v>
      </c>
      <c r="D1004" s="1886" t="s">
        <v>959</v>
      </c>
      <c r="E1004" s="1795">
        <f t="shared" ref="E1004" si="898">VLOOKUP(D1004,base_datos,5,FALSE)</f>
        <v>79.960000000000008</v>
      </c>
      <c r="F1004" s="1796">
        <f t="shared" ref="F1004" si="899">+E1004*B1004</f>
        <v>79.960000000000008</v>
      </c>
      <c r="G1004" s="696"/>
      <c r="H1004" s="696"/>
      <c r="I1004" s="696"/>
      <c r="J1004" s="697"/>
      <c r="K1004" s="684">
        <f t="shared" si="887"/>
        <v>1</v>
      </c>
      <c r="L1004" s="708">
        <v>1</v>
      </c>
      <c r="M1004" s="709">
        <f t="shared" si="888"/>
        <v>1</v>
      </c>
      <c r="N1004" s="362">
        <f t="shared" si="893"/>
        <v>1</v>
      </c>
      <c r="O1004" s="1763" t="str">
        <f t="shared" si="894"/>
        <v>1SDA067195R1</v>
      </c>
      <c r="P1004" s="1764" t="str">
        <f t="shared" si="895"/>
        <v>FC-CuAl_XT4 - Terminales + Adaptador - cables de cobre/aluminio hasta 1x240mm2 - 3 terminales (externos)</v>
      </c>
      <c r="Q1004" s="120" t="str">
        <f t="shared" si="896"/>
        <v>FC-CuAl_XT4_3t</v>
      </c>
      <c r="R1004" s="185"/>
    </row>
    <row r="1005" spans="1:18" s="185" customFormat="1">
      <c r="A1005" s="1771"/>
      <c r="B1005" s="714"/>
      <c r="C1005" s="313" t="s">
        <v>729</v>
      </c>
      <c r="D1005" s="173"/>
      <c r="E1005" s="1786"/>
      <c r="F1005" s="1787"/>
      <c r="G1005" s="710"/>
      <c r="H1005" s="710"/>
      <c r="I1005" s="710"/>
      <c r="J1005" s="711"/>
      <c r="K1005" s="684">
        <f t="shared" si="887"/>
        <v>1</v>
      </c>
      <c r="L1005" s="708">
        <v>1</v>
      </c>
      <c r="M1005" s="709">
        <f t="shared" si="888"/>
        <v>1</v>
      </c>
      <c r="N1005" s="362" t="str">
        <f t="shared" si="893"/>
        <v/>
      </c>
      <c r="O1005" s="1763" t="str">
        <f t="shared" si="894"/>
        <v/>
      </c>
      <c r="P1005" s="1764" t="str">
        <f t="shared" si="895"/>
        <v/>
      </c>
      <c r="Q1005" s="120" t="str">
        <f t="shared" si="896"/>
        <v/>
      </c>
    </row>
    <row r="1006" spans="1:18" s="690" customFormat="1" ht="18" customHeight="1">
      <c r="A1006" s="1767"/>
      <c r="B1006" s="1851"/>
      <c r="C1006" s="1966" t="s">
        <v>3377</v>
      </c>
      <c r="D1006" s="1582"/>
      <c r="E1006" s="1780"/>
      <c r="F1006" s="1782"/>
      <c r="G1006" s="1761"/>
      <c r="H1006" s="1761"/>
      <c r="I1006" s="1761"/>
      <c r="J1006" s="689"/>
      <c r="K1006" s="684">
        <f t="shared" si="887"/>
        <v>1</v>
      </c>
      <c r="L1006" s="708">
        <v>1</v>
      </c>
      <c r="M1006" s="709">
        <f t="shared" si="888"/>
        <v>1</v>
      </c>
      <c r="N1006" s="362" t="str">
        <f t="shared" si="893"/>
        <v/>
      </c>
      <c r="O1006" s="1763" t="str">
        <f t="shared" si="894"/>
        <v/>
      </c>
      <c r="P1006" s="1764" t="str">
        <f t="shared" si="895"/>
        <v/>
      </c>
      <c r="Q1006" s="120" t="str">
        <f t="shared" si="896"/>
        <v/>
      </c>
      <c r="R1006" s="185"/>
    </row>
    <row r="1007" spans="1:18" s="690" customFormat="1" ht="18" customHeight="1">
      <c r="A1007" s="1767"/>
      <c r="B1007" s="1781">
        <v>1</v>
      </c>
      <c r="C1007" s="1960" t="str">
        <f t="shared" ref="C1007:C1011" si="900">VLOOKUP(D1007,base_datos,6,FALSE)</f>
        <v>ITM Caja Moldeada 3x80A (reg.[0.7-1.0] In) - XT1B160-80A-3P-TMD - 25kA@230Vac, 18kA@415Vac, 18kA@250Vdc - marca ABB.</v>
      </c>
      <c r="D1007" s="231" t="s">
        <v>4372</v>
      </c>
      <c r="E1007" s="1791">
        <f t="shared" ref="E1007:E1011" si="901">VLOOKUP(D1007,base_datos,5,FALSE)</f>
        <v>129.57999999999998</v>
      </c>
      <c r="F1007" s="1782">
        <f t="shared" ref="F1007:F1012" si="902">+E1007*B1007</f>
        <v>129.57999999999998</v>
      </c>
      <c r="G1007" s="1761"/>
      <c r="H1007" s="1761"/>
      <c r="I1007" s="1761"/>
      <c r="J1007" s="1783"/>
      <c r="K1007" s="684">
        <f t="shared" si="887"/>
        <v>1</v>
      </c>
      <c r="L1007" s="708">
        <v>1</v>
      </c>
      <c r="M1007" s="709">
        <f t="shared" si="888"/>
        <v>1</v>
      </c>
      <c r="N1007" s="362">
        <f t="shared" si="893"/>
        <v>1</v>
      </c>
      <c r="O1007" s="1763" t="str">
        <f t="shared" si="894"/>
        <v>1SDA066806R1</v>
      </c>
      <c r="P1007" s="1764" t="str">
        <f t="shared" si="895"/>
        <v>ITM Caja Moldeada 3x80A (reg.[0.7-1.0] In) - XT1B160-80A-3P-TMD - 25kA@230Vac, 18kA@415Vac, 18kA@250Vdc - marca ABB.</v>
      </c>
      <c r="Q1007" s="120" t="str">
        <f t="shared" si="896"/>
        <v>XT1B160-80A-3P-TMD</v>
      </c>
      <c r="R1007" s="185"/>
    </row>
    <row r="1008" spans="1:18" s="690" customFormat="1" ht="18" customHeight="1">
      <c r="A1008" s="1767"/>
      <c r="B1008" s="1781">
        <v>1</v>
      </c>
      <c r="C1008" s="1960" t="str">
        <f t="shared" ref="C1008:C1010" si="903">VLOOKUP(D1008,base_datos,6,FALSE)</f>
        <v>ITM Caja Moldeada 3x63A (reg.[0.7-1.0] In) - XT1B160-63A-3P-TMD - 25kA@230Vac, 18kA@415Vac, 18kA@250Vdc - marca ABB.</v>
      </c>
      <c r="D1008" s="231" t="s">
        <v>4370</v>
      </c>
      <c r="E1008" s="1791">
        <f t="shared" ref="E1008:E1010" si="904">VLOOKUP(D1008,base_datos,5,FALSE)</f>
        <v>120.37</v>
      </c>
      <c r="F1008" s="1782">
        <f t="shared" ref="F1008:F1010" si="905">+E1008*B1008</f>
        <v>120.37</v>
      </c>
      <c r="G1008" s="1761"/>
      <c r="H1008" s="1761"/>
      <c r="I1008" s="1761"/>
      <c r="J1008" s="1783"/>
      <c r="K1008" s="684">
        <f t="shared" si="887"/>
        <v>1</v>
      </c>
      <c r="L1008" s="708">
        <v>1</v>
      </c>
      <c r="M1008" s="709">
        <f t="shared" si="888"/>
        <v>1</v>
      </c>
      <c r="N1008" s="362">
        <f t="shared" ref="N1008:N1010" si="906">IF(O1008&lt;&gt;"",K1008*L1008*M1008,"")</f>
        <v>1</v>
      </c>
      <c r="O1008" s="1763" t="str">
        <f t="shared" ref="O1008:O1010" si="907">IF(D1008&lt;&gt;"",IF(VLOOKUP(D1008,base_datos,7,FALSE)&lt;&gt;"",VLOOKUP(D1008,base_datos,7,FALSE),""),"")</f>
        <v>1SDA066805R1</v>
      </c>
      <c r="P1008" s="1764" t="str">
        <f t="shared" ref="P1008:P1010" si="908">IF(O1008&lt;&gt;"",VLOOKUP(D1008,base_datos,6,FALSE),"")</f>
        <v>ITM Caja Moldeada 3x63A (reg.[0.7-1.0] In) - XT1B160-63A-3P-TMD - 25kA@230Vac, 18kA@415Vac, 18kA@250Vdc - marca ABB.</v>
      </c>
      <c r="Q1008" s="120" t="str">
        <f t="shared" ref="Q1008:Q1010" si="909">IF(O1008&lt;&gt;"",D1008,"")</f>
        <v>XT1B160-63A-3P-TMD</v>
      </c>
      <c r="R1008" s="185"/>
    </row>
    <row r="1009" spans="1:20" s="690" customFormat="1" ht="18" customHeight="1">
      <c r="A1009" s="1767"/>
      <c r="B1009" s="1781">
        <v>2</v>
      </c>
      <c r="C1009" s="1960" t="str">
        <f t="shared" si="903"/>
        <v>ITM Caja Moldeada 3x50A (reg.[0.7-1.0] In) - XT1B160-50A-3P-TMD - 25kA@230Vac, 18kA@415Vac, 18kA@250Vdc - marca ABB.</v>
      </c>
      <c r="D1009" s="231" t="s">
        <v>4368</v>
      </c>
      <c r="E1009" s="1791">
        <f t="shared" si="904"/>
        <v>120.37</v>
      </c>
      <c r="F1009" s="1782">
        <f t="shared" si="905"/>
        <v>240.74</v>
      </c>
      <c r="G1009" s="1761"/>
      <c r="H1009" s="1761"/>
      <c r="I1009" s="1761"/>
      <c r="J1009" s="1783"/>
      <c r="K1009" s="684">
        <f t="shared" si="887"/>
        <v>1</v>
      </c>
      <c r="L1009" s="708">
        <v>1</v>
      </c>
      <c r="M1009" s="709">
        <f t="shared" si="888"/>
        <v>2</v>
      </c>
      <c r="N1009" s="362">
        <f t="shared" si="906"/>
        <v>2</v>
      </c>
      <c r="O1009" s="1763" t="str">
        <f t="shared" si="907"/>
        <v>1SDA066804R1</v>
      </c>
      <c r="P1009" s="1764" t="str">
        <f t="shared" si="908"/>
        <v>ITM Caja Moldeada 3x50A (reg.[0.7-1.0] In) - XT1B160-50A-3P-TMD - 25kA@230Vac, 18kA@415Vac, 18kA@250Vdc - marca ABB.</v>
      </c>
      <c r="Q1009" s="120" t="str">
        <f t="shared" si="909"/>
        <v>XT1B160-50A-3P-TMD</v>
      </c>
      <c r="R1009" s="185"/>
    </row>
    <row r="1010" spans="1:20" s="690" customFormat="1" ht="18" customHeight="1">
      <c r="A1010" s="1767"/>
      <c r="B1010" s="1781">
        <v>2</v>
      </c>
      <c r="C1010" s="1960" t="str">
        <f t="shared" si="903"/>
        <v>ITM Caja Moldeada 3x25A (reg.[0.7-1.0] In)  - XT1B160-25A-3P-TMD - 25kA@230Vac,18kA@415Vac, 18kA@250Vdc - marca ABB.</v>
      </c>
      <c r="D1010" s="231" t="s">
        <v>4362</v>
      </c>
      <c r="E1010" s="1791">
        <f t="shared" si="904"/>
        <v>120.37</v>
      </c>
      <c r="F1010" s="1782">
        <f t="shared" si="905"/>
        <v>240.74</v>
      </c>
      <c r="G1010" s="1761"/>
      <c r="H1010" s="1761"/>
      <c r="I1010" s="1761"/>
      <c r="J1010" s="1783"/>
      <c r="K1010" s="684">
        <f t="shared" si="887"/>
        <v>1</v>
      </c>
      <c r="L1010" s="708">
        <v>1</v>
      </c>
      <c r="M1010" s="709">
        <f t="shared" si="888"/>
        <v>2</v>
      </c>
      <c r="N1010" s="362">
        <f t="shared" si="906"/>
        <v>2</v>
      </c>
      <c r="O1010" s="1763" t="str">
        <f t="shared" si="907"/>
        <v>1SDA066801R1</v>
      </c>
      <c r="P1010" s="1764" t="str">
        <f t="shared" si="908"/>
        <v>ITM Caja Moldeada 3x25A (reg.[0.7-1.0] In)  - XT1B160-25A-3P-TMD - 25kA@230Vac,18kA@415Vac, 18kA@250Vdc - marca ABB.</v>
      </c>
      <c r="Q1010" s="120" t="str">
        <f t="shared" si="909"/>
        <v>XT1B160-25A-3P-TMD</v>
      </c>
      <c r="R1010" s="185"/>
    </row>
    <row r="1011" spans="1:20" s="690" customFormat="1" ht="18" customHeight="1">
      <c r="A1011" s="1767"/>
      <c r="B1011" s="1781">
        <v>1</v>
      </c>
      <c r="C1011" s="1960" t="str">
        <f t="shared" si="900"/>
        <v>ITM Caja Moldeada 2x16A - A1N/P125-16A-2P-TMF - 50kA@230Vac, 36kA@400Vac, 10kA@125Vdc - marca ABB.</v>
      </c>
      <c r="D1011" s="231" t="s">
        <v>1172</v>
      </c>
      <c r="E1011" s="1791">
        <f t="shared" si="901"/>
        <v>59.769999999999996</v>
      </c>
      <c r="F1011" s="1782">
        <f t="shared" si="902"/>
        <v>59.769999999999996</v>
      </c>
      <c r="G1011" s="1761"/>
      <c r="H1011" s="1761"/>
      <c r="I1011" s="1761"/>
      <c r="J1011" s="1783"/>
      <c r="K1011" s="684">
        <f t="shared" si="887"/>
        <v>1</v>
      </c>
      <c r="L1011" s="708">
        <v>1</v>
      </c>
      <c r="M1011" s="709">
        <f t="shared" si="888"/>
        <v>1</v>
      </c>
      <c r="N1011" s="362">
        <f t="shared" si="893"/>
        <v>1</v>
      </c>
      <c r="O1011" s="1763" t="str">
        <f t="shared" si="894"/>
        <v>1SDA069551R1</v>
      </c>
      <c r="P1011" s="1764" t="str">
        <f t="shared" si="895"/>
        <v>ITM Caja Moldeada 2x16A - A1N/P125-16A-2P-TMF - 50kA@230Vac, 36kA@400Vac, 10kA@125Vdc - marca ABB.</v>
      </c>
      <c r="Q1011" s="120" t="str">
        <f t="shared" si="896"/>
        <v>A1N/P125-16A-2P-TMF</v>
      </c>
      <c r="R1011" s="185"/>
    </row>
    <row r="1012" spans="1:20" s="690" customFormat="1" ht="18" customHeight="1">
      <c r="A1012" s="1767"/>
      <c r="B1012" s="1781">
        <v>2</v>
      </c>
      <c r="C1012" s="1420" t="str">
        <f t="shared" ref="C1012" si="910">VLOOKUP(D1012,base_datos,6,FALSE)</f>
        <v>Espacio de reserva trifásica - Caja moldeada.</v>
      </c>
      <c r="D1012" s="1901" t="s">
        <v>2932</v>
      </c>
      <c r="E1012" s="1791">
        <f>VLOOKUP(D1012,base_datos,5,FALSE)</f>
        <v>15</v>
      </c>
      <c r="F1012" s="1782">
        <f t="shared" si="902"/>
        <v>30</v>
      </c>
      <c r="G1012" s="1761"/>
      <c r="H1012" s="1761"/>
      <c r="I1012" s="1761"/>
      <c r="J1012" s="1783"/>
      <c r="K1012" s="684">
        <f t="shared" si="887"/>
        <v>1</v>
      </c>
      <c r="L1012" s="708">
        <v>1</v>
      </c>
      <c r="M1012" s="709">
        <f t="shared" si="888"/>
        <v>2</v>
      </c>
      <c r="N1012" s="362" t="str">
        <f t="shared" si="893"/>
        <v/>
      </c>
      <c r="O1012" s="1763" t="str">
        <f t="shared" si="894"/>
        <v/>
      </c>
      <c r="P1012" s="1764" t="str">
        <f t="shared" si="895"/>
        <v/>
      </c>
      <c r="Q1012" s="120" t="str">
        <f t="shared" si="896"/>
        <v/>
      </c>
      <c r="R1012" s="185"/>
    </row>
    <row r="1013" spans="1:20" s="185" customFormat="1">
      <c r="A1013" s="692"/>
      <c r="B1013" s="714"/>
      <c r="C1013" s="1893" t="s">
        <v>729</v>
      </c>
      <c r="D1013" s="2021"/>
      <c r="E1013" s="1786"/>
      <c r="F1013" s="1787"/>
      <c r="G1013" s="710"/>
      <c r="H1013" s="710"/>
      <c r="I1013" s="710"/>
      <c r="J1013" s="711"/>
      <c r="K1013" s="684">
        <f t="shared" si="887"/>
        <v>1</v>
      </c>
      <c r="L1013" s="708">
        <v>1</v>
      </c>
      <c r="M1013" s="709">
        <f t="shared" si="888"/>
        <v>1</v>
      </c>
      <c r="N1013" s="362" t="str">
        <f t="shared" si="893"/>
        <v/>
      </c>
      <c r="O1013" s="1763" t="str">
        <f t="shared" si="894"/>
        <v/>
      </c>
      <c r="P1013" s="1764" t="str">
        <f t="shared" si="895"/>
        <v/>
      </c>
      <c r="Q1013" s="120" t="str">
        <f t="shared" si="896"/>
        <v/>
      </c>
    </row>
    <row r="1014" spans="1:20" s="315" customFormat="1" ht="12.75" customHeight="1">
      <c r="A1014" s="2271"/>
      <c r="B1014" s="2272">
        <v>1</v>
      </c>
      <c r="C1014" s="2281" t="s">
        <v>13366</v>
      </c>
      <c r="D1014" s="1935"/>
      <c r="E1014" s="2287"/>
      <c r="F1014" s="2257">
        <f>+SUM(F1015:F1018)*(B1014-1)</f>
        <v>0</v>
      </c>
      <c r="G1014" s="712"/>
      <c r="H1014" s="712"/>
      <c r="I1014" s="712"/>
      <c r="J1014" s="713"/>
      <c r="K1014" s="684">
        <f t="shared" si="887"/>
        <v>1</v>
      </c>
      <c r="L1014" s="708">
        <v>1</v>
      </c>
      <c r="M1014" s="709">
        <f t="shared" si="888"/>
        <v>1</v>
      </c>
      <c r="N1014" s="112" t="str">
        <f t="shared" si="893"/>
        <v/>
      </c>
      <c r="O1014" s="112" t="str">
        <f t="shared" si="894"/>
        <v/>
      </c>
      <c r="P1014" s="120" t="str">
        <f t="shared" si="895"/>
        <v/>
      </c>
      <c r="Q1014" s="120" t="str">
        <f t="shared" si="896"/>
        <v/>
      </c>
      <c r="S1014" s="112" t="str">
        <f t="shared" ref="S1014:S1019" si="911">IF(O1014&lt;&gt;"",VLOOKUP(D1014,base_datos,9,FALSE),"")</f>
        <v/>
      </c>
      <c r="T1014" s="2128"/>
    </row>
    <row r="1015" spans="1:20" s="690" customFormat="1" ht="18" customHeight="1">
      <c r="A1015" s="2273"/>
      <c r="B1015" s="1781">
        <v>1</v>
      </c>
      <c r="C1015" s="1420" t="str">
        <f t="shared" ref="C1015:C1018" si="912">VLOOKUP(D1015,base_datos,6,FALSE)</f>
        <v>Calefactor resistivo 60W, modelo RACM - marca FANDIS.</v>
      </c>
      <c r="D1015" s="1899" t="s">
        <v>3298</v>
      </c>
      <c r="E1015" s="2288">
        <f t="shared" ref="E1015" si="913">VLOOKUP(D1015,base_datos,5,FALSE)</f>
        <v>127.1</v>
      </c>
      <c r="F1015" s="1782">
        <f>+E1015*B1015</f>
        <v>127.1</v>
      </c>
      <c r="G1015" s="1761"/>
      <c r="H1015" s="1761"/>
      <c r="I1015" s="1761"/>
      <c r="J1015" s="689"/>
      <c r="K1015" s="684">
        <f t="shared" si="887"/>
        <v>1</v>
      </c>
      <c r="L1015" s="708">
        <v>1</v>
      </c>
      <c r="M1015" s="709">
        <f t="shared" si="888"/>
        <v>1</v>
      </c>
      <c r="N1015" s="112">
        <f t="shared" si="893"/>
        <v>1</v>
      </c>
      <c r="O1015" s="112" t="str">
        <f t="shared" si="894"/>
        <v>RACM-60</v>
      </c>
      <c r="P1015" s="120" t="str">
        <f t="shared" si="895"/>
        <v>Calefactor resistivo 60W, modelo RACM - marca FANDIS.</v>
      </c>
      <c r="Q1015" s="120" t="str">
        <f t="shared" si="896"/>
        <v>CALEFACT-60W_FAND</v>
      </c>
      <c r="S1015" s="112" t="str">
        <f t="shared" si="911"/>
        <v>FANDIS</v>
      </c>
      <c r="T1015" s="1765"/>
    </row>
    <row r="1016" spans="1:20" s="690" customFormat="1" ht="18" customHeight="1">
      <c r="A1016" s="2273"/>
      <c r="B1016" s="1781">
        <v>1</v>
      </c>
      <c r="C1016" s="1420" t="str">
        <f t="shared" si="912"/>
        <v>Termostato para ventilación - 1NA - 230V - marca FANDIS.</v>
      </c>
      <c r="D1016" s="1899" t="s">
        <v>3294</v>
      </c>
      <c r="E1016" s="2288">
        <f t="shared" ref="E1016:E1018" si="914">VLOOKUP(D1016,base_datos,5,FALSE)</f>
        <v>41.58</v>
      </c>
      <c r="F1016" s="1782">
        <f>+E1016*B1016</f>
        <v>41.58</v>
      </c>
      <c r="G1016" s="1761"/>
      <c r="H1016" s="1761"/>
      <c r="I1016" s="1761"/>
      <c r="J1016" s="689"/>
      <c r="K1016" s="684">
        <f t="shared" si="887"/>
        <v>1</v>
      </c>
      <c r="L1016" s="708">
        <v>1</v>
      </c>
      <c r="M1016" s="709">
        <f t="shared" si="888"/>
        <v>1</v>
      </c>
      <c r="N1016" s="112">
        <f t="shared" si="893"/>
        <v>1</v>
      </c>
      <c r="O1016" s="112" t="str">
        <f t="shared" si="894"/>
        <v>TRT-10A230V-NO</v>
      </c>
      <c r="P1016" s="120" t="str">
        <f t="shared" si="895"/>
        <v>Termostato para ventilación - 1NA - 230V - marca FANDIS.</v>
      </c>
      <c r="Q1016" s="120" t="str">
        <f t="shared" si="896"/>
        <v>TRT-1NA</v>
      </c>
      <c r="S1016" s="112" t="str">
        <f t="shared" si="911"/>
        <v>FANDIS</v>
      </c>
      <c r="T1016" s="1765"/>
    </row>
    <row r="1017" spans="1:20" s="320" customFormat="1" ht="12.75" customHeight="1">
      <c r="A1017" s="2274"/>
      <c r="B1017" s="2275">
        <v>1</v>
      </c>
      <c r="C1017" s="2282" t="str">
        <f t="shared" si="912"/>
        <v>Base portafusibles + Fusibles de protección para control.</v>
      </c>
      <c r="D1017" s="1579" t="s">
        <v>453</v>
      </c>
      <c r="E1017" s="2289">
        <f t="shared" si="914"/>
        <v>8.1750000000000007</v>
      </c>
      <c r="F1017" s="2264">
        <f>+E1017*B1017</f>
        <v>8.1750000000000007</v>
      </c>
      <c r="G1017" s="2276"/>
      <c r="H1017" s="2276"/>
      <c r="I1017" s="2276"/>
      <c r="J1017" s="722"/>
      <c r="K1017" s="684">
        <f t="shared" si="887"/>
        <v>1</v>
      </c>
      <c r="L1017" s="708">
        <v>1</v>
      </c>
      <c r="M1017" s="709">
        <f t="shared" si="888"/>
        <v>1</v>
      </c>
      <c r="N1017" s="112" t="str">
        <f t="shared" si="893"/>
        <v/>
      </c>
      <c r="O1017" s="112" t="str">
        <f t="shared" si="894"/>
        <v/>
      </c>
      <c r="P1017" s="120" t="str">
        <f t="shared" si="895"/>
        <v/>
      </c>
      <c r="Q1017" s="120" t="str">
        <f t="shared" si="896"/>
        <v/>
      </c>
      <c r="R1017" s="185"/>
      <c r="S1017" s="112" t="str">
        <f t="shared" si="911"/>
        <v/>
      </c>
      <c r="T1017" s="709"/>
    </row>
    <row r="1018" spans="1:20" s="320" customFormat="1" ht="12.75" customHeight="1">
      <c r="A1018" s="2274"/>
      <c r="B1018" s="2277">
        <v>1</v>
      </c>
      <c r="C1018" s="2282" t="str">
        <f t="shared" si="912"/>
        <v>Borne 4mm2.</v>
      </c>
      <c r="D1018" s="1579" t="s">
        <v>437</v>
      </c>
      <c r="E1018" s="2260">
        <f t="shared" si="914"/>
        <v>2.5</v>
      </c>
      <c r="F1018" s="2260">
        <f>+E1018*B1018</f>
        <v>2.5</v>
      </c>
      <c r="G1018" s="2276"/>
      <c r="H1018" s="2276"/>
      <c r="I1018" s="2276"/>
      <c r="J1018" s="722"/>
      <c r="K1018" s="684">
        <f t="shared" si="887"/>
        <v>1</v>
      </c>
      <c r="L1018" s="708">
        <v>1</v>
      </c>
      <c r="M1018" s="709">
        <f t="shared" si="888"/>
        <v>1</v>
      </c>
      <c r="N1018" s="112" t="str">
        <f t="shared" si="893"/>
        <v/>
      </c>
      <c r="O1018" s="112" t="str">
        <f t="shared" si="894"/>
        <v/>
      </c>
      <c r="P1018" s="120" t="str">
        <f t="shared" si="895"/>
        <v/>
      </c>
      <c r="Q1018" s="120" t="str">
        <f t="shared" si="896"/>
        <v/>
      </c>
      <c r="R1018" s="185"/>
      <c r="S1018" s="112" t="str">
        <f t="shared" si="911"/>
        <v/>
      </c>
      <c r="T1018" s="709"/>
    </row>
    <row r="1019" spans="1:20" s="185" customFormat="1" ht="12.75" customHeight="1">
      <c r="A1019" s="2262"/>
      <c r="B1019" s="1760"/>
      <c r="C1019" s="1893" t="s">
        <v>729</v>
      </c>
      <c r="D1019" s="169"/>
      <c r="E1019" s="2256"/>
      <c r="F1019" s="2278"/>
      <c r="G1019" s="710"/>
      <c r="H1019" s="710"/>
      <c r="I1019" s="710"/>
      <c r="J1019" s="711"/>
      <c r="K1019" s="684">
        <f t="shared" si="887"/>
        <v>1</v>
      </c>
      <c r="L1019" s="708">
        <v>1</v>
      </c>
      <c r="M1019" s="709">
        <f t="shared" si="888"/>
        <v>1</v>
      </c>
      <c r="N1019" s="112" t="str">
        <f t="shared" si="893"/>
        <v/>
      </c>
      <c r="O1019" s="112" t="str">
        <f t="shared" si="894"/>
        <v/>
      </c>
      <c r="P1019" s="120" t="str">
        <f t="shared" si="895"/>
        <v/>
      </c>
      <c r="Q1019" s="120" t="str">
        <f t="shared" si="896"/>
        <v/>
      </c>
      <c r="S1019" s="112" t="str">
        <f t="shared" si="911"/>
        <v/>
      </c>
      <c r="T1019" s="118"/>
    </row>
    <row r="1020" spans="1:20" s="1236" customFormat="1" ht="18" customHeight="1">
      <c r="A1020" s="1767"/>
      <c r="B1020" s="1853">
        <v>1</v>
      </c>
      <c r="C1020" s="1895" t="s">
        <v>12364</v>
      </c>
      <c r="D1020" s="1902"/>
      <c r="E1020" s="1792"/>
      <c r="F1020" s="1793"/>
      <c r="G1020" s="1784"/>
      <c r="H1020" s="1784"/>
      <c r="I1020" s="1784"/>
      <c r="J1020" s="1182"/>
      <c r="K1020" s="684">
        <f t="shared" si="887"/>
        <v>1</v>
      </c>
      <c r="L1020" s="708">
        <v>1</v>
      </c>
      <c r="M1020" s="709">
        <f t="shared" si="888"/>
        <v>1</v>
      </c>
      <c r="N1020" s="362" t="str">
        <f t="shared" si="893"/>
        <v/>
      </c>
      <c r="O1020" s="1763" t="str">
        <f t="shared" si="894"/>
        <v/>
      </c>
      <c r="P1020" s="1764" t="str">
        <f t="shared" si="895"/>
        <v/>
      </c>
      <c r="Q1020" s="120" t="str">
        <f t="shared" si="896"/>
        <v/>
      </c>
      <c r="R1020" s="185"/>
    </row>
    <row r="1021" spans="1:20" s="695" customFormat="1" ht="18" customHeight="1">
      <c r="A1021" s="693"/>
      <c r="B1021" s="1922">
        <v>1</v>
      </c>
      <c r="C1021" s="1848" t="str">
        <f t="shared" ref="C1021" si="915">VLOOKUP(D1021,base_datos,6,FALSE)</f>
        <v>Placa lamicoid rotulación de 3mm de espesor, fondo negro y letras blancas.</v>
      </c>
      <c r="D1021" s="1886" t="s">
        <v>8570</v>
      </c>
      <c r="E1021" s="1795">
        <f t="shared" ref="E1021" si="916">VLOOKUP(D1021,base_datos,5,FALSE)</f>
        <v>2.2000000000000002</v>
      </c>
      <c r="F1021" s="1796">
        <f t="shared" ref="F1021" si="917">+E1021*B1021</f>
        <v>2.2000000000000002</v>
      </c>
      <c r="G1021" s="696"/>
      <c r="H1021" s="696"/>
      <c r="I1021" s="696"/>
      <c r="J1021" s="697"/>
      <c r="K1021" s="684">
        <f t="shared" si="887"/>
        <v>1</v>
      </c>
      <c r="L1021" s="708">
        <v>1</v>
      </c>
      <c r="M1021" s="709">
        <f t="shared" si="888"/>
        <v>1</v>
      </c>
      <c r="N1021" s="362">
        <f t="shared" si="893"/>
        <v>1</v>
      </c>
      <c r="O1021" s="1763" t="str">
        <f t="shared" si="894"/>
        <v>Placa lamicoid p/distr.</v>
      </c>
      <c r="P1021" s="1764" t="str">
        <f t="shared" si="895"/>
        <v>Placa lamicoid rotulación de 3mm de espesor, fondo negro y letras blancas.</v>
      </c>
      <c r="Q1021" s="120" t="str">
        <f t="shared" si="896"/>
        <v>Placa lamicoid p/distr.</v>
      </c>
      <c r="R1021" s="185"/>
    </row>
    <row r="1022" spans="1:20" s="1236" customFormat="1" ht="18" customHeight="1">
      <c r="A1022" s="1767"/>
      <c r="B1022" s="1853">
        <v>1</v>
      </c>
      <c r="C1022" s="1895" t="s">
        <v>12474</v>
      </c>
      <c r="D1022" s="1902"/>
      <c r="E1022" s="1792"/>
      <c r="F1022" s="1793"/>
      <c r="G1022" s="1784"/>
      <c r="H1022" s="1784"/>
      <c r="I1022" s="1784"/>
      <c r="J1022" s="1182"/>
      <c r="K1022" s="684">
        <f t="shared" si="887"/>
        <v>1</v>
      </c>
      <c r="L1022" s="708">
        <v>1</v>
      </c>
      <c r="M1022" s="709">
        <f t="shared" si="888"/>
        <v>1</v>
      </c>
      <c r="N1022" s="362" t="str">
        <f t="shared" si="893"/>
        <v/>
      </c>
      <c r="O1022" s="1763" t="str">
        <f t="shared" si="894"/>
        <v/>
      </c>
      <c r="P1022" s="1764" t="str">
        <f t="shared" si="895"/>
        <v/>
      </c>
      <c r="Q1022" s="120" t="str">
        <f t="shared" si="896"/>
        <v/>
      </c>
      <c r="R1022" s="185"/>
    </row>
    <row r="1023" spans="1:20" s="1236" customFormat="1" ht="18" customHeight="1">
      <c r="A1023" s="1767"/>
      <c r="B1023" s="1853">
        <v>1</v>
      </c>
      <c r="C1023" s="1848" t="str">
        <f>VLOOKUP(D1023,base_datos,6,FALSE)</f>
        <v>Embalaje especial completamente cerrado para tablero adosado de 1600x600x220mm</v>
      </c>
      <c r="D1023" s="1902" t="s">
        <v>12453</v>
      </c>
      <c r="E1023" s="1795">
        <f t="shared" ref="E1023" si="918">VLOOKUP(D1023,base_datos,5,FALSE)</f>
        <v>271.40000000000003</v>
      </c>
      <c r="F1023" s="1796">
        <f t="shared" ref="F1023" si="919">+E1023*B1023</f>
        <v>271.40000000000003</v>
      </c>
      <c r="G1023" s="1784"/>
      <c r="H1023" s="1784"/>
      <c r="I1023" s="1784"/>
      <c r="J1023" s="1182"/>
      <c r="K1023" s="684">
        <f t="shared" si="887"/>
        <v>1</v>
      </c>
      <c r="L1023" s="708">
        <v>1</v>
      </c>
      <c r="M1023" s="709">
        <f t="shared" si="888"/>
        <v>1</v>
      </c>
      <c r="N1023" s="362">
        <f t="shared" si="893"/>
        <v>1</v>
      </c>
      <c r="O1023" s="1763" t="str">
        <f t="shared" si="894"/>
        <v>EMBAL_ADOS_1600x600x220mm</v>
      </c>
      <c r="P1023" s="1764" t="str">
        <f t="shared" si="895"/>
        <v>Embalaje especial completamente cerrado para tablero adosado de 1600x600x220mm</v>
      </c>
      <c r="Q1023" s="120" t="str">
        <f t="shared" si="896"/>
        <v>EMBAL_ADOS_1600x600x220mm</v>
      </c>
      <c r="R1023" s="185"/>
    </row>
    <row r="1024" spans="1:20" s="185" customFormat="1" ht="18" customHeight="1">
      <c r="A1024" s="1785"/>
      <c r="B1024" s="714"/>
      <c r="C1024" s="1893" t="s">
        <v>729</v>
      </c>
      <c r="D1024" s="173"/>
      <c r="E1024" s="1786"/>
      <c r="F1024" s="1787"/>
      <c r="G1024" s="710"/>
      <c r="H1024" s="710"/>
      <c r="I1024" s="710"/>
      <c r="J1024" s="711"/>
      <c r="K1024" s="684">
        <f t="shared" si="887"/>
        <v>1</v>
      </c>
      <c r="L1024" s="708">
        <v>1</v>
      </c>
      <c r="M1024" s="709">
        <f t="shared" si="888"/>
        <v>1</v>
      </c>
      <c r="N1024" s="362" t="str">
        <f t="shared" si="893"/>
        <v/>
      </c>
      <c r="O1024" s="1763" t="str">
        <f t="shared" si="894"/>
        <v/>
      </c>
      <c r="P1024" s="1764" t="str">
        <f t="shared" si="895"/>
        <v/>
      </c>
      <c r="Q1024" s="120" t="str">
        <f t="shared" si="896"/>
        <v/>
      </c>
    </row>
    <row r="1025" spans="1:18" s="695" customFormat="1" ht="18" customHeight="1">
      <c r="A1025" s="693"/>
      <c r="B1025" s="1794">
        <v>1</v>
      </c>
      <c r="C1025" s="1420" t="s">
        <v>316</v>
      </c>
      <c r="D1025" s="1790"/>
      <c r="E1025" s="1795"/>
      <c r="F1025" s="1796"/>
      <c r="G1025" s="696"/>
      <c r="H1025" s="696"/>
      <c r="I1025" s="696"/>
      <c r="J1025" s="697"/>
      <c r="K1025" s="684">
        <f t="shared" si="887"/>
        <v>1</v>
      </c>
      <c r="L1025" s="708">
        <v>1</v>
      </c>
      <c r="M1025" s="709">
        <f t="shared" si="888"/>
        <v>1</v>
      </c>
      <c r="N1025" s="362" t="str">
        <f t="shared" si="893"/>
        <v/>
      </c>
      <c r="O1025" s="1763" t="str">
        <f t="shared" si="894"/>
        <v/>
      </c>
      <c r="P1025" s="1764" t="str">
        <f t="shared" si="895"/>
        <v/>
      </c>
      <c r="Q1025" s="120" t="str">
        <f t="shared" si="896"/>
        <v/>
      </c>
      <c r="R1025" s="185"/>
    </row>
    <row r="1026" spans="1:18" s="185" customFormat="1" ht="18" customHeight="1">
      <c r="A1026" s="1785"/>
      <c r="B1026" s="714"/>
      <c r="C1026" s="1893" t="s">
        <v>729</v>
      </c>
      <c r="D1026" s="173"/>
      <c r="E1026" s="1786"/>
      <c r="F1026" s="1787"/>
      <c r="G1026" s="710"/>
      <c r="H1026" s="710"/>
      <c r="I1026" s="710"/>
      <c r="J1026" s="711"/>
      <c r="K1026" s="684">
        <f t="shared" si="887"/>
        <v>1</v>
      </c>
      <c r="L1026" s="708">
        <v>1</v>
      </c>
      <c r="M1026" s="709">
        <f t="shared" si="888"/>
        <v>1</v>
      </c>
      <c r="N1026" s="362" t="str">
        <f t="shared" si="893"/>
        <v/>
      </c>
      <c r="O1026" s="1763" t="str">
        <f t="shared" si="894"/>
        <v/>
      </c>
      <c r="P1026" s="1764" t="str">
        <f t="shared" si="895"/>
        <v/>
      </c>
      <c r="Q1026" s="120" t="str">
        <f t="shared" si="896"/>
        <v/>
      </c>
    </row>
    <row r="1027" spans="1:18" s="897" customFormat="1" ht="18" customHeight="1">
      <c r="A1027" s="693"/>
      <c r="B1027" s="895">
        <v>10</v>
      </c>
      <c r="C1027" s="1848" t="str">
        <f>VLOOKUP(D1027,base_datos,6,FALSE)</f>
        <v>Rotulado por circuito.</v>
      </c>
      <c r="D1027" s="1579" t="s">
        <v>3067</v>
      </c>
      <c r="E1027" s="1581">
        <f>VLOOKUP(D1027,base_datos,5,FALSE)</f>
        <v>0.7</v>
      </c>
      <c r="F1027" s="1581">
        <f t="shared" ref="F1027:F1032" si="920">+E1027*B1027</f>
        <v>7</v>
      </c>
      <c r="G1027" s="1772"/>
      <c r="H1027" s="1772"/>
      <c r="I1027" s="1772"/>
      <c r="J1027" s="896"/>
      <c r="K1027" s="684">
        <f t="shared" si="887"/>
        <v>1</v>
      </c>
      <c r="L1027" s="708">
        <v>1</v>
      </c>
      <c r="M1027" s="709">
        <f t="shared" si="888"/>
        <v>10</v>
      </c>
      <c r="N1027" s="362" t="str">
        <f t="shared" si="893"/>
        <v/>
      </c>
      <c r="O1027" s="1763" t="str">
        <f t="shared" si="894"/>
        <v/>
      </c>
      <c r="P1027" s="1764" t="str">
        <f t="shared" si="895"/>
        <v/>
      </c>
      <c r="Q1027" s="120" t="str">
        <f t="shared" si="896"/>
        <v/>
      </c>
    </row>
    <row r="1028" spans="1:18" s="897" customFormat="1" ht="18" customHeight="1">
      <c r="A1028" s="693"/>
      <c r="B1028" s="895">
        <v>1</v>
      </c>
      <c r="C1028" s="1848" t="str">
        <f>VLOOKUP(D1028,base_datos,6,FALSE)</f>
        <v>Rotulado para TAG - tablero de distribución.</v>
      </c>
      <c r="D1028" s="1579" t="s">
        <v>3066</v>
      </c>
      <c r="E1028" s="1581">
        <f>VLOOKUP(D1028,base_datos,5,FALSE)</f>
        <v>1.5</v>
      </c>
      <c r="F1028" s="1581">
        <f t="shared" si="920"/>
        <v>1.5</v>
      </c>
      <c r="G1028" s="1772"/>
      <c r="H1028" s="1772"/>
      <c r="I1028" s="1772"/>
      <c r="J1028" s="896"/>
      <c r="K1028" s="684">
        <f t="shared" si="887"/>
        <v>1</v>
      </c>
      <c r="L1028" s="708">
        <v>1</v>
      </c>
      <c r="M1028" s="709">
        <f t="shared" si="888"/>
        <v>1</v>
      </c>
      <c r="N1028" s="362" t="str">
        <f t="shared" si="893"/>
        <v/>
      </c>
      <c r="O1028" s="1763" t="str">
        <f t="shared" si="894"/>
        <v/>
      </c>
      <c r="P1028" s="1764" t="str">
        <f t="shared" si="895"/>
        <v/>
      </c>
      <c r="Q1028" s="120" t="str">
        <f t="shared" si="896"/>
        <v/>
      </c>
    </row>
    <row r="1029" spans="1:18" s="1237" customFormat="1" ht="18" customHeight="1">
      <c r="A1029" s="1767"/>
      <c r="B1029" s="1773">
        <v>1</v>
      </c>
      <c r="C1029" s="1896" t="s">
        <v>11664</v>
      </c>
      <c r="D1029" s="1887"/>
      <c r="E1029" s="1581">
        <v>110</v>
      </c>
      <c r="F1029" s="1581">
        <f t="shared" si="920"/>
        <v>110</v>
      </c>
      <c r="G1029" s="1774"/>
      <c r="H1029" s="1774"/>
      <c r="I1029" s="1774"/>
      <c r="J1029" s="1181"/>
      <c r="K1029" s="684">
        <f t="shared" si="887"/>
        <v>1</v>
      </c>
      <c r="L1029" s="708">
        <v>1</v>
      </c>
      <c r="M1029" s="709">
        <f t="shared" si="888"/>
        <v>1</v>
      </c>
      <c r="N1029" s="362" t="str">
        <f t="shared" si="893"/>
        <v/>
      </c>
      <c r="O1029" s="1763" t="str">
        <f t="shared" si="894"/>
        <v/>
      </c>
      <c r="P1029" s="1764" t="str">
        <f t="shared" si="895"/>
        <v/>
      </c>
      <c r="Q1029" s="120" t="str">
        <f t="shared" si="896"/>
        <v/>
      </c>
      <c r="R1029" s="1765"/>
    </row>
    <row r="1030" spans="1:18" s="1237" customFormat="1" ht="18" customHeight="1">
      <c r="A1030" s="1767"/>
      <c r="B1030" s="2093">
        <v>1</v>
      </c>
      <c r="C1030" s="694" t="s">
        <v>12552</v>
      </c>
      <c r="D1030" s="1888"/>
      <c r="E1030" s="1580">
        <f>E1032*15%</f>
        <v>27</v>
      </c>
      <c r="F1030" s="1581">
        <f t="shared" si="920"/>
        <v>27</v>
      </c>
      <c r="G1030" s="1774"/>
      <c r="H1030" s="1774"/>
      <c r="I1030" s="1774"/>
      <c r="J1030" s="1181"/>
      <c r="K1030" s="684">
        <f t="shared" si="887"/>
        <v>1</v>
      </c>
      <c r="L1030" s="708">
        <v>1</v>
      </c>
      <c r="M1030" s="709">
        <f t="shared" si="888"/>
        <v>1</v>
      </c>
      <c r="N1030" s="362" t="str">
        <f t="shared" ref="N1030:N1031" si="921">IF(O1030&lt;&gt;"",K1030*L1030*M1030,"")</f>
        <v/>
      </c>
      <c r="O1030" s="1763" t="str">
        <f t="shared" ref="O1030:O1031" si="922">IF(D1030&lt;&gt;"",IF(VLOOKUP(D1030,base_datos,7,FALSE)&lt;&gt;"",VLOOKUP(D1030,base_datos,7,FALSE),""),"")</f>
        <v/>
      </c>
      <c r="P1030" s="1764" t="str">
        <f t="shared" ref="P1030:P1031" si="923">IF(O1030&lt;&gt;"",VLOOKUP(D1030,base_datos,6,FALSE),"")</f>
        <v/>
      </c>
      <c r="Q1030" s="120" t="str">
        <f t="shared" ref="Q1030:Q1031" si="924">IF(O1030&lt;&gt;"",D1030,"")</f>
        <v/>
      </c>
      <c r="R1030" s="1765"/>
    </row>
    <row r="1031" spans="1:18" s="1237" customFormat="1" ht="18" customHeight="1">
      <c r="A1031" s="1767"/>
      <c r="B1031" s="1773">
        <v>1</v>
      </c>
      <c r="C1031" s="694" t="s">
        <v>12559</v>
      </c>
      <c r="D1031" s="1888"/>
      <c r="E1031" s="1999">
        <f>E1032*20%</f>
        <v>36</v>
      </c>
      <c r="F1031" s="1581">
        <f t="shared" si="920"/>
        <v>36</v>
      </c>
      <c r="G1031" s="1774"/>
      <c r="H1031" s="1774"/>
      <c r="I1031" s="1774"/>
      <c r="J1031" s="1181"/>
      <c r="K1031" s="684">
        <f t="shared" si="887"/>
        <v>1</v>
      </c>
      <c r="L1031" s="708">
        <v>1</v>
      </c>
      <c r="M1031" s="709">
        <f t="shared" si="888"/>
        <v>1</v>
      </c>
      <c r="N1031" s="362" t="str">
        <f t="shared" si="921"/>
        <v/>
      </c>
      <c r="O1031" s="1763" t="str">
        <f t="shared" si="922"/>
        <v/>
      </c>
      <c r="P1031" s="1764" t="str">
        <f t="shared" si="923"/>
        <v/>
      </c>
      <c r="Q1031" s="120" t="str">
        <f t="shared" si="924"/>
        <v/>
      </c>
      <c r="R1031" s="1765"/>
    </row>
    <row r="1032" spans="1:18" s="1237" customFormat="1" ht="1.5" customHeight="1">
      <c r="A1032" s="1767"/>
      <c r="B1032" s="1773">
        <v>1</v>
      </c>
      <c r="C1032" s="1943" t="s">
        <v>12478</v>
      </c>
      <c r="D1032" s="1897"/>
      <c r="E1032" s="1581">
        <v>180</v>
      </c>
      <c r="F1032" s="1581">
        <f t="shared" si="920"/>
        <v>180</v>
      </c>
      <c r="G1032" s="1774"/>
      <c r="H1032" s="1774"/>
      <c r="I1032" s="1774"/>
      <c r="J1032" s="1181"/>
      <c r="K1032" s="684">
        <f t="shared" si="887"/>
        <v>1</v>
      </c>
      <c r="L1032" s="708">
        <v>1</v>
      </c>
      <c r="M1032" s="709">
        <f t="shared" si="888"/>
        <v>1</v>
      </c>
      <c r="N1032" s="362" t="str">
        <f t="shared" si="893"/>
        <v/>
      </c>
      <c r="O1032" s="1763" t="str">
        <f t="shared" si="894"/>
        <v/>
      </c>
      <c r="P1032" s="1764" t="str">
        <f t="shared" si="895"/>
        <v/>
      </c>
      <c r="Q1032" s="120" t="str">
        <f t="shared" si="896"/>
        <v/>
      </c>
      <c r="R1032" s="1765"/>
    </row>
    <row r="1033" spans="1:18" s="20" customFormat="1" ht="3" customHeight="1" thickBot="1">
      <c r="A1033" s="699"/>
      <c r="B1033" s="1775"/>
      <c r="C1033" s="1776"/>
      <c r="D1033" s="1885"/>
      <c r="E1033" s="1981"/>
      <c r="F1033" s="1981"/>
      <c r="G1033" s="1777"/>
      <c r="H1033" s="1777"/>
      <c r="I1033" s="1777"/>
      <c r="J1033" s="1778"/>
      <c r="K1033" s="684"/>
      <c r="L1033" s="363"/>
      <c r="M1033" s="709"/>
      <c r="N1033" s="362" t="str">
        <f t="shared" si="893"/>
        <v/>
      </c>
      <c r="O1033" s="1763" t="str">
        <f t="shared" si="894"/>
        <v/>
      </c>
      <c r="P1033" s="1764" t="str">
        <f t="shared" si="895"/>
        <v/>
      </c>
      <c r="Q1033" s="120" t="str">
        <f t="shared" si="896"/>
        <v/>
      </c>
      <c r="R1033" s="1765"/>
    </row>
    <row r="1034" spans="1:18" s="120" customFormat="1" ht="18" customHeight="1" thickBot="1">
      <c r="A1034" s="1989">
        <v>17</v>
      </c>
      <c r="B1034" s="1852">
        <v>1</v>
      </c>
      <c r="C1034" s="1756" t="s">
        <v>12582</v>
      </c>
      <c r="D1034" s="1588"/>
      <c r="E1034" s="1589"/>
      <c r="F1034" s="1589"/>
      <c r="G1034" s="1757">
        <f>SUM(F1035:F1072)</f>
        <v>1884.4549999999999</v>
      </c>
      <c r="H1034" s="1758">
        <f>G1034*(1-$D$6)</f>
        <v>1884.4549999999999</v>
      </c>
      <c r="I1034" s="1757">
        <f>ROUNDUP(H1034*$D$5,0)</f>
        <v>6408</v>
      </c>
      <c r="J1034" s="1759">
        <f>+I1034*B1034</f>
        <v>6408</v>
      </c>
      <c r="K1034" s="1788">
        <f>B1034</f>
        <v>1</v>
      </c>
      <c r="L1034" s="363"/>
      <c r="M1034" s="684"/>
      <c r="N1034" s="362" t="str">
        <f t="shared" si="893"/>
        <v/>
      </c>
      <c r="O1034" s="1763" t="str">
        <f t="shared" si="894"/>
        <v/>
      </c>
      <c r="P1034" s="1764" t="str">
        <f t="shared" si="895"/>
        <v/>
      </c>
      <c r="Q1034" s="120" t="str">
        <f t="shared" si="896"/>
        <v/>
      </c>
      <c r="R1034" s="185"/>
    </row>
    <row r="1035" spans="1:18" s="120" customFormat="1" ht="18" customHeight="1">
      <c r="A1035" s="685" t="s">
        <v>3064</v>
      </c>
      <c r="B1035" s="1903"/>
      <c r="C1035" s="1890"/>
      <c r="D1035" s="1904"/>
      <c r="E1035" s="1789"/>
      <c r="F1035" s="1780"/>
      <c r="G1035" s="686"/>
      <c r="H1035" s="710"/>
      <c r="I1035" s="686"/>
      <c r="J1035" s="1768"/>
      <c r="K1035" s="684">
        <f t="shared" ref="K1035:K1072" si="925">+K1034</f>
        <v>1</v>
      </c>
      <c r="L1035" s="363">
        <v>1</v>
      </c>
      <c r="M1035" s="709">
        <f t="shared" ref="M1035:M1046" si="926">IF(B1035="",1,B1035)</f>
        <v>1</v>
      </c>
      <c r="N1035" s="362" t="str">
        <f t="shared" si="893"/>
        <v/>
      </c>
      <c r="O1035" s="1763" t="str">
        <f t="shared" si="894"/>
        <v/>
      </c>
      <c r="P1035" s="1764" t="str">
        <f t="shared" si="895"/>
        <v/>
      </c>
      <c r="Q1035" s="120" t="str">
        <f t="shared" si="896"/>
        <v/>
      </c>
    </row>
    <row r="1036" spans="1:18" s="315" customFormat="1">
      <c r="A1036" s="687" t="s">
        <v>4021</v>
      </c>
      <c r="B1036" s="2096">
        <v>1</v>
      </c>
      <c r="C1036" s="1907" t="s">
        <v>5103</v>
      </c>
      <c r="D1036" s="1935"/>
      <c r="E1036" s="1786"/>
      <c r="F1036" s="1908">
        <f>SUM(F1038:F1042)*(B1036-1)</f>
        <v>0</v>
      </c>
      <c r="G1036" s="712"/>
      <c r="H1036" s="712"/>
      <c r="I1036" s="712"/>
      <c r="J1036" s="713"/>
      <c r="K1036" s="684">
        <f t="shared" si="925"/>
        <v>1</v>
      </c>
      <c r="L1036" s="1909">
        <f>B1036</f>
        <v>1</v>
      </c>
      <c r="M1036" s="684">
        <f t="shared" si="926"/>
        <v>1</v>
      </c>
      <c r="N1036" s="362" t="str">
        <f t="shared" si="893"/>
        <v/>
      </c>
      <c r="O1036" s="1763" t="str">
        <f t="shared" si="894"/>
        <v/>
      </c>
      <c r="P1036" s="1764" t="str">
        <f t="shared" si="895"/>
        <v/>
      </c>
      <c r="Q1036" s="120" t="str">
        <f t="shared" si="896"/>
        <v/>
      </c>
    </row>
    <row r="1037" spans="1:18" s="185" customFormat="1">
      <c r="A1037" s="687" t="s">
        <v>4136</v>
      </c>
      <c r="B1037" s="1910">
        <v>3</v>
      </c>
      <c r="C1037" s="1911" t="str">
        <f>VLOOKUP(D1037,base_datos,6,FALSE)</f>
        <v>Portalámpara + lampara tipo LED - color Rojo - alimentacion: 220-230Vac, d=22mm. - CL2-523R - línea compacta - marca ABB.</v>
      </c>
      <c r="D1037" s="1790" t="s">
        <v>2439</v>
      </c>
      <c r="E1037" s="1939">
        <f>VLOOKUP(D1037,base_datos,5,FALSE)</f>
        <v>12.299999999999999</v>
      </c>
      <c r="F1037" s="1912">
        <f>+E1037*B1037</f>
        <v>36.9</v>
      </c>
      <c r="G1037" s="710"/>
      <c r="H1037" s="710"/>
      <c r="I1037" s="710"/>
      <c r="J1037" s="711"/>
      <c r="K1037" s="684">
        <f t="shared" si="925"/>
        <v>1</v>
      </c>
      <c r="L1037" s="1913">
        <f>L1035</f>
        <v>1</v>
      </c>
      <c r="M1037" s="684">
        <f t="shared" si="926"/>
        <v>3</v>
      </c>
      <c r="N1037" s="362">
        <f t="shared" si="893"/>
        <v>3</v>
      </c>
      <c r="O1037" s="1763" t="str">
        <f t="shared" si="894"/>
        <v>1SFA619403R5231</v>
      </c>
      <c r="P1037" s="1764" t="str">
        <f t="shared" si="895"/>
        <v>Portalámpara + lampara tipo LED - color Rojo - alimentacion: 220-230Vac, d=22mm. - CL2-523R - línea compacta - marca ABB.</v>
      </c>
      <c r="Q1037" s="120" t="str">
        <f t="shared" si="896"/>
        <v>LAMP_ROJO_220V</v>
      </c>
    </row>
    <row r="1038" spans="1:18" s="185" customFormat="1">
      <c r="A1038" s="687"/>
      <c r="B1038" s="1910">
        <v>3</v>
      </c>
      <c r="C1038" s="1911" t="str">
        <f>VLOOKUP(D1038,base_datos,6,FALSE)</f>
        <v>Portalámpara + lampara tipo LED - color Verde - alimentacion: 220-230Vac, d=22mm. - CL2-523G - línea compacta - marca ABB.</v>
      </c>
      <c r="D1038" s="1790" t="s">
        <v>2440</v>
      </c>
      <c r="E1038" s="1939">
        <f>VLOOKUP(D1038,base_datos,5,FALSE)</f>
        <v>12.299999999999999</v>
      </c>
      <c r="F1038" s="1912">
        <f>+E1038*B1038</f>
        <v>36.9</v>
      </c>
      <c r="G1038" s="710"/>
      <c r="H1038" s="710"/>
      <c r="I1038" s="710"/>
      <c r="J1038" s="711"/>
      <c r="K1038" s="684">
        <f t="shared" si="925"/>
        <v>1</v>
      </c>
      <c r="L1038" s="1913">
        <f>L1036</f>
        <v>1</v>
      </c>
      <c r="M1038" s="684">
        <f t="shared" si="926"/>
        <v>3</v>
      </c>
      <c r="N1038" s="362">
        <f t="shared" si="893"/>
        <v>3</v>
      </c>
      <c r="O1038" s="1763" t="str">
        <f t="shared" si="894"/>
        <v>1SFA619403R5232</v>
      </c>
      <c r="P1038" s="1764" t="str">
        <f t="shared" si="895"/>
        <v>Portalámpara + lampara tipo LED - color Verde - alimentacion: 220-230Vac, d=22mm. - CL2-523G - línea compacta - marca ABB.</v>
      </c>
      <c r="Q1038" s="120" t="str">
        <f t="shared" si="896"/>
        <v>LAMP_VERDE_220V</v>
      </c>
    </row>
    <row r="1039" spans="1:18" s="1921" customFormat="1">
      <c r="A1039" s="687" t="s">
        <v>12356</v>
      </c>
      <c r="B1039" s="1914">
        <v>1</v>
      </c>
      <c r="C1039" s="1915" t="s">
        <v>3366</v>
      </c>
      <c r="D1039" s="1916"/>
      <c r="E1039" s="1917"/>
      <c r="F1039" s="1918"/>
      <c r="G1039" s="1919"/>
      <c r="H1039" s="1919"/>
      <c r="I1039" s="1919"/>
      <c r="J1039" s="1920"/>
      <c r="K1039" s="684">
        <f t="shared" si="925"/>
        <v>1</v>
      </c>
      <c r="L1039" s="1913">
        <f>L1038</f>
        <v>1</v>
      </c>
      <c r="M1039" s="684">
        <f t="shared" si="926"/>
        <v>1</v>
      </c>
      <c r="N1039" s="362" t="str">
        <f t="shared" si="893"/>
        <v/>
      </c>
      <c r="O1039" s="1763" t="str">
        <f t="shared" si="894"/>
        <v/>
      </c>
      <c r="P1039" s="1764" t="str">
        <f t="shared" si="895"/>
        <v/>
      </c>
      <c r="Q1039" s="120" t="str">
        <f t="shared" si="896"/>
        <v/>
      </c>
    </row>
    <row r="1040" spans="1:18" s="320" customFormat="1">
      <c r="A1040" s="687" t="s">
        <v>12479</v>
      </c>
      <c r="B1040" s="1922">
        <v>1</v>
      </c>
      <c r="C1040" s="721" t="str">
        <f>VLOOKUP(D1040,base_datos,6,FALSE)</f>
        <v>Rele auxiliar enchufable +4NA/NC (D2PR4B + base D2PA6), 220Vac - marca EATON.</v>
      </c>
      <c r="D1040" s="1579" t="s">
        <v>772</v>
      </c>
      <c r="E1040" s="1581">
        <f>VLOOKUP(D1040,base_datos,5,FALSE)</f>
        <v>27</v>
      </c>
      <c r="F1040" s="1923">
        <f>+E1040*B1040</f>
        <v>27</v>
      </c>
      <c r="G1040" s="1924"/>
      <c r="H1040" s="1924"/>
      <c r="I1040" s="1924"/>
      <c r="J1040" s="722"/>
      <c r="K1040" s="684">
        <f t="shared" si="925"/>
        <v>1</v>
      </c>
      <c r="L1040" s="1913">
        <f>L1037</f>
        <v>1</v>
      </c>
      <c r="M1040" s="684">
        <f t="shared" si="926"/>
        <v>1</v>
      </c>
      <c r="N1040" s="362">
        <f t="shared" si="893"/>
        <v>1</v>
      </c>
      <c r="O1040" s="1763" t="str">
        <f t="shared" si="894"/>
        <v>D2PR4B+D2PA6</v>
      </c>
      <c r="P1040" s="1764" t="str">
        <f t="shared" si="895"/>
        <v>Rele auxiliar enchufable +4NA/NC (D2PR4B + base D2PA6), 220Vac - marca EATON.</v>
      </c>
      <c r="Q1040" s="120" t="str">
        <f t="shared" si="896"/>
        <v>D2PR4B+D2PA6</v>
      </c>
    </row>
    <row r="1041" spans="1:20" s="320" customFormat="1">
      <c r="A1041" s="1767"/>
      <c r="B1041" s="2131">
        <v>1</v>
      </c>
      <c r="C1041" s="2132" t="s">
        <v>12558</v>
      </c>
      <c r="D1041" s="2133"/>
      <c r="E1041" s="2134">
        <v>32</v>
      </c>
      <c r="F1041" s="2134">
        <f>+E1041*B1041</f>
        <v>32</v>
      </c>
      <c r="G1041" s="1924"/>
      <c r="H1041" s="1924"/>
      <c r="I1041" s="1924"/>
      <c r="J1041" s="722"/>
      <c r="K1041" s="684">
        <f t="shared" si="925"/>
        <v>1</v>
      </c>
      <c r="L1041" s="1913">
        <f>L1038</f>
        <v>1</v>
      </c>
      <c r="M1041" s="684">
        <f t="shared" si="926"/>
        <v>1</v>
      </c>
      <c r="N1041" s="362" t="str">
        <f t="shared" si="893"/>
        <v/>
      </c>
      <c r="O1041" s="1763" t="str">
        <f t="shared" si="894"/>
        <v/>
      </c>
      <c r="P1041" s="1764" t="str">
        <f t="shared" si="895"/>
        <v/>
      </c>
      <c r="Q1041" s="120" t="str">
        <f t="shared" si="896"/>
        <v/>
      </c>
    </row>
    <row r="1042" spans="1:20" s="320" customFormat="1">
      <c r="A1042" s="687" t="s">
        <v>12551</v>
      </c>
      <c r="B1042" s="1922">
        <v>4</v>
      </c>
      <c r="C1042" s="721" t="str">
        <f>VLOOKUP(D1042,base_datos,6,FALSE)</f>
        <v>Base portafusibles + Fusibles de protección para control.</v>
      </c>
      <c r="D1042" s="1579" t="s">
        <v>453</v>
      </c>
      <c r="E1042" s="1581">
        <f>VLOOKUP(D1042,base_datos,5,FALSE)</f>
        <v>8.1750000000000007</v>
      </c>
      <c r="F1042" s="1923">
        <f>+E1042*B1042</f>
        <v>32.700000000000003</v>
      </c>
      <c r="G1042" s="1924"/>
      <c r="H1042" s="1924"/>
      <c r="I1042" s="1924"/>
      <c r="J1042" s="722"/>
      <c r="K1042" s="684">
        <f t="shared" si="925"/>
        <v>1</v>
      </c>
      <c r="L1042" s="1913">
        <f>L1039</f>
        <v>1</v>
      </c>
      <c r="M1042" s="684">
        <f t="shared" si="926"/>
        <v>4</v>
      </c>
      <c r="N1042" s="362" t="str">
        <f t="shared" si="893"/>
        <v/>
      </c>
      <c r="O1042" s="1763" t="str">
        <f t="shared" si="894"/>
        <v/>
      </c>
      <c r="P1042" s="1764" t="str">
        <f t="shared" si="895"/>
        <v/>
      </c>
      <c r="Q1042" s="120" t="str">
        <f t="shared" si="896"/>
        <v/>
      </c>
    </row>
    <row r="1043" spans="1:20" s="315" customFormat="1">
      <c r="A1043" s="687" t="s">
        <v>3542</v>
      </c>
      <c r="B1043" s="1906"/>
      <c r="C1043" s="1907"/>
      <c r="D1043" s="1935"/>
      <c r="E1043" s="1786"/>
      <c r="F1043" s="1936"/>
      <c r="G1043" s="712"/>
      <c r="H1043" s="712"/>
      <c r="I1043" s="712"/>
      <c r="J1043" s="713"/>
      <c r="K1043" s="684">
        <f t="shared" si="925"/>
        <v>1</v>
      </c>
      <c r="L1043" s="1909">
        <f>B1043</f>
        <v>0</v>
      </c>
      <c r="M1043" s="684">
        <f t="shared" si="926"/>
        <v>1</v>
      </c>
      <c r="N1043" s="362" t="str">
        <f t="shared" si="893"/>
        <v/>
      </c>
      <c r="O1043" s="1763" t="str">
        <f t="shared" si="894"/>
        <v/>
      </c>
      <c r="P1043" s="1764" t="str">
        <f t="shared" si="895"/>
        <v/>
      </c>
      <c r="Q1043" s="120" t="str">
        <f t="shared" si="896"/>
        <v/>
      </c>
    </row>
    <row r="1044" spans="1:20" s="185" customFormat="1" ht="13.5" customHeight="1">
      <c r="A1044" s="687"/>
      <c r="B1044" s="1922"/>
      <c r="C1044" s="1956" t="s">
        <v>12368</v>
      </c>
      <c r="D1044" s="1579"/>
      <c r="E1044" s="1957"/>
      <c r="F1044" s="1958"/>
      <c r="G1044" s="710"/>
      <c r="H1044" s="710"/>
      <c r="I1044" s="710"/>
      <c r="J1044" s="711"/>
      <c r="K1044" s="684">
        <f t="shared" si="925"/>
        <v>1</v>
      </c>
      <c r="L1044" s="708">
        <v>1</v>
      </c>
      <c r="M1044" s="684">
        <f t="shared" si="926"/>
        <v>1</v>
      </c>
      <c r="N1044" s="362" t="str">
        <f t="shared" si="893"/>
        <v/>
      </c>
      <c r="O1044" s="1763" t="str">
        <f t="shared" si="894"/>
        <v/>
      </c>
      <c r="P1044" s="1764" t="str">
        <f t="shared" si="895"/>
        <v/>
      </c>
      <c r="Q1044" s="120" t="str">
        <f t="shared" si="896"/>
        <v/>
      </c>
    </row>
    <row r="1045" spans="1:20" s="120" customFormat="1" ht="18" customHeight="1">
      <c r="A1045" s="691"/>
      <c r="B1045" s="1781"/>
      <c r="C1045" s="1218" t="s">
        <v>3158</v>
      </c>
      <c r="D1045" s="1900"/>
      <c r="E1045" s="1791"/>
      <c r="F1045" s="1782"/>
      <c r="G1045" s="686"/>
      <c r="H1045" s="686"/>
      <c r="I1045" s="686"/>
      <c r="J1045" s="688"/>
      <c r="K1045" s="684">
        <f t="shared" si="925"/>
        <v>1</v>
      </c>
      <c r="L1045" s="708">
        <v>1</v>
      </c>
      <c r="M1045" s="709">
        <f t="shared" si="926"/>
        <v>1</v>
      </c>
      <c r="N1045" s="362" t="str">
        <f t="shared" si="893"/>
        <v/>
      </c>
      <c r="O1045" s="1763" t="str">
        <f t="shared" si="894"/>
        <v/>
      </c>
      <c r="P1045" s="1764" t="str">
        <f t="shared" si="895"/>
        <v/>
      </c>
      <c r="Q1045" s="120" t="str">
        <f t="shared" si="896"/>
        <v/>
      </c>
      <c r="R1045" s="185"/>
    </row>
    <row r="1046" spans="1:20" s="690" customFormat="1" ht="18" customHeight="1">
      <c r="A1046" s="687"/>
      <c r="B1046" s="1781">
        <v>1</v>
      </c>
      <c r="C1046" s="1420" t="str">
        <f>VLOOKUP(D1046,base_datos,6,FALSE)</f>
        <v>ITM Caja Moldeada 3x80A (reg.[0.7-1.0] In) - XT1B160-80A-3P-TMD - 25kA@230Vac, 18kA@415Vac, 18kA@250Vdc - marca ABB.</v>
      </c>
      <c r="D1046" s="1901" t="s">
        <v>4372</v>
      </c>
      <c r="E1046" s="1791">
        <f>VLOOKUP(D1046,base_datos,5,FALSE)</f>
        <v>129.57999999999998</v>
      </c>
      <c r="F1046" s="1782">
        <f>+E1046*B1046</f>
        <v>129.57999999999998</v>
      </c>
      <c r="G1046" s="1761"/>
      <c r="H1046" s="1761"/>
      <c r="I1046" s="1761"/>
      <c r="J1046" s="689"/>
      <c r="K1046" s="684">
        <f t="shared" si="925"/>
        <v>1</v>
      </c>
      <c r="L1046" s="708">
        <v>1</v>
      </c>
      <c r="M1046" s="709">
        <f t="shared" si="926"/>
        <v>1</v>
      </c>
      <c r="N1046" s="362">
        <f t="shared" si="893"/>
        <v>1</v>
      </c>
      <c r="O1046" s="1763" t="str">
        <f t="shared" si="894"/>
        <v>1SDA066806R1</v>
      </c>
      <c r="P1046" s="1764" t="str">
        <f t="shared" si="895"/>
        <v>ITM Caja Moldeada 3x80A (reg.[0.7-1.0] In) - XT1B160-80A-3P-TMD - 25kA@230Vac, 18kA@415Vac, 18kA@250Vdc - marca ABB.</v>
      </c>
      <c r="Q1046" s="120" t="str">
        <f t="shared" si="896"/>
        <v>XT1B160-80A-3P-TMD</v>
      </c>
      <c r="R1046" s="185"/>
    </row>
    <row r="1047" spans="1:20" s="185" customFormat="1">
      <c r="A1047" s="687"/>
      <c r="B1047" s="714"/>
      <c r="C1047" s="313" t="s">
        <v>729</v>
      </c>
      <c r="D1047" s="173"/>
      <c r="E1047" s="1786"/>
      <c r="F1047" s="1787"/>
      <c r="G1047" s="710"/>
      <c r="H1047" s="710"/>
      <c r="I1047" s="710"/>
      <c r="J1047" s="711"/>
      <c r="K1047" s="684">
        <f t="shared" si="925"/>
        <v>1</v>
      </c>
      <c r="L1047" s="708">
        <v>1</v>
      </c>
      <c r="M1047" s="709">
        <f>IF(B1047="",1,B1047)</f>
        <v>1</v>
      </c>
      <c r="N1047" s="362" t="str">
        <f t="shared" si="893"/>
        <v/>
      </c>
      <c r="O1047" s="1763" t="str">
        <f t="shared" si="894"/>
        <v/>
      </c>
      <c r="P1047" s="1764" t="str">
        <f t="shared" si="895"/>
        <v/>
      </c>
      <c r="Q1047" s="120" t="str">
        <f t="shared" si="896"/>
        <v/>
      </c>
    </row>
    <row r="1048" spans="1:20" s="690" customFormat="1" ht="18" customHeight="1">
      <c r="A1048" s="1767"/>
      <c r="B1048" s="1851"/>
      <c r="C1048" s="1894" t="s">
        <v>3377</v>
      </c>
      <c r="D1048" s="1582"/>
      <c r="E1048" s="1780"/>
      <c r="F1048" s="1782"/>
      <c r="G1048" s="1761"/>
      <c r="H1048" s="1761"/>
      <c r="I1048" s="1761"/>
      <c r="J1048" s="689"/>
      <c r="K1048" s="684">
        <f t="shared" si="925"/>
        <v>1</v>
      </c>
      <c r="L1048" s="708">
        <v>1</v>
      </c>
      <c r="M1048" s="709">
        <f t="shared" ref="M1048:M1052" si="927">IF(B1048="",1,B1048)</f>
        <v>1</v>
      </c>
      <c r="N1048" s="362" t="str">
        <f t="shared" si="893"/>
        <v/>
      </c>
      <c r="O1048" s="1763" t="str">
        <f t="shared" si="894"/>
        <v/>
      </c>
      <c r="P1048" s="1764" t="str">
        <f t="shared" si="895"/>
        <v/>
      </c>
      <c r="Q1048" s="120" t="str">
        <f t="shared" si="896"/>
        <v/>
      </c>
      <c r="R1048" s="185"/>
    </row>
    <row r="1049" spans="1:20" s="690" customFormat="1" ht="18" customHeight="1">
      <c r="A1049" s="1767"/>
      <c r="B1049" s="1781">
        <v>3</v>
      </c>
      <c r="C1049" s="1420" t="str">
        <f t="shared" ref="C1049:C1052" si="928">VLOOKUP(D1049,base_datos,6,FALSE)</f>
        <v>ITM Caja Moldeada 3x20A (reg.[0.7-1.0] In) - XT1B160-20A-3P-TMD - 25kA@230Vac, 18kA@415Vac, 18kA@250Vdc - marca ABB.</v>
      </c>
      <c r="D1049" s="1901" t="s">
        <v>4360</v>
      </c>
      <c r="E1049" s="1791">
        <f>VLOOKUP(D1049,base_datos,5,FALSE)</f>
        <v>120.37</v>
      </c>
      <c r="F1049" s="1782">
        <f t="shared" ref="F1049:F1052" si="929">+E1049*B1049</f>
        <v>361.11</v>
      </c>
      <c r="G1049" s="1951"/>
      <c r="H1049" s="1761"/>
      <c r="I1049" s="1761"/>
      <c r="J1049" s="1783"/>
      <c r="K1049" s="684">
        <f t="shared" si="925"/>
        <v>1</v>
      </c>
      <c r="L1049" s="708">
        <v>1</v>
      </c>
      <c r="M1049" s="709">
        <f t="shared" si="927"/>
        <v>3</v>
      </c>
      <c r="N1049" s="362">
        <f t="shared" si="893"/>
        <v>3</v>
      </c>
      <c r="O1049" s="1763" t="str">
        <f t="shared" si="894"/>
        <v>1SDA066800R1</v>
      </c>
      <c r="P1049" s="1764" t="str">
        <f t="shared" si="895"/>
        <v>ITM Caja Moldeada 3x20A (reg.[0.7-1.0] In) - XT1B160-20A-3P-TMD - 25kA@230Vac, 18kA@415Vac, 18kA@250Vdc - marca ABB.</v>
      </c>
      <c r="Q1049" s="120" t="str">
        <f t="shared" si="896"/>
        <v>XT1B160-20A-3P-TMD</v>
      </c>
      <c r="R1049" s="185"/>
    </row>
    <row r="1050" spans="1:20" s="2434" customFormat="1" ht="18" customHeight="1">
      <c r="A1050" s="2464"/>
      <c r="B1050" s="2435">
        <v>7</v>
      </c>
      <c r="C1050" s="2475" t="str">
        <f t="shared" ref="C1050" si="930">VLOOKUP(D1050,base_datos,6,FALSE)</f>
        <v>ITM Caja Moldeada 2x16A - A1N/P125-16A-2P-TMF - 50kA@230Vac, 36kA@400Vac, 10kA@125Vdc - marca ABB.</v>
      </c>
      <c r="D1050" s="2484" t="s">
        <v>1172</v>
      </c>
      <c r="E1050" s="2482">
        <f>VLOOKUP(D1050,base_datos,5,FALSE)</f>
        <v>59.769999999999996</v>
      </c>
      <c r="F1050" s="2422">
        <f t="shared" ref="F1050" si="931">+E1050*B1050</f>
        <v>418.39</v>
      </c>
      <c r="G1050" s="2485"/>
      <c r="H1050" s="2424"/>
      <c r="I1050" s="2424"/>
      <c r="J1050" s="2425"/>
      <c r="K1050" s="2426">
        <f>+K1048</f>
        <v>1</v>
      </c>
      <c r="L1050" s="2463">
        <v>1</v>
      </c>
      <c r="M1050" s="2428">
        <f t="shared" ref="M1050" si="932">IF(B1050="",1,B1050)</f>
        <v>7</v>
      </c>
      <c r="N1050" s="2429">
        <f t="shared" ref="N1050" si="933">IF(O1050&lt;&gt;"",K1050*L1050*M1050,"")</f>
        <v>7</v>
      </c>
      <c r="O1050" s="2430" t="str">
        <f t="shared" ref="O1050" si="934">IF(D1050&lt;&gt;"",IF(VLOOKUP(D1050,base_datos,7,FALSE)&lt;&gt;"",VLOOKUP(D1050,base_datos,7,FALSE),""),"")</f>
        <v>1SDA069551R1</v>
      </c>
      <c r="P1050" s="2431" t="str">
        <f t="shared" ref="P1050" si="935">IF(O1050&lt;&gt;"",VLOOKUP(D1050,base_datos,6,FALSE),"")</f>
        <v>ITM Caja Moldeada 2x16A - A1N/P125-16A-2P-TMF - 50kA@230Vac, 36kA@400Vac, 10kA@125Vdc - marca ABB.</v>
      </c>
      <c r="Q1050" s="2432" t="str">
        <f t="shared" ref="Q1050" si="936">IF(O1050&lt;&gt;"",D1050,"")</f>
        <v>A1N/P125-16A-2P-TMF</v>
      </c>
      <c r="R1050" s="2433"/>
    </row>
    <row r="1051" spans="1:20" s="690" customFormat="1" ht="18" customHeight="1">
      <c r="A1051" s="1767"/>
      <c r="B1051" s="1781">
        <v>2</v>
      </c>
      <c r="C1051" s="1420" t="str">
        <f t="shared" si="928"/>
        <v>ITM Riel-Din 2x16A - S202-C-16A - 10kA@400Vac-IEC60947-2 - marca ABB.</v>
      </c>
      <c r="D1051" s="1901" t="s">
        <v>970</v>
      </c>
      <c r="E1051" s="1791">
        <f>VLOOKUP(D1051,base_datos,5,FALSE)</f>
        <v>17.96</v>
      </c>
      <c r="F1051" s="1782">
        <f t="shared" si="929"/>
        <v>35.92</v>
      </c>
      <c r="G1051" s="1951"/>
      <c r="H1051" s="1761"/>
      <c r="I1051" s="1761"/>
      <c r="J1051" s="1783"/>
      <c r="K1051" s="684">
        <f>+K1049</f>
        <v>1</v>
      </c>
      <c r="L1051" s="708">
        <v>1</v>
      </c>
      <c r="M1051" s="709">
        <f t="shared" si="927"/>
        <v>2</v>
      </c>
      <c r="N1051" s="362">
        <f t="shared" si="893"/>
        <v>2</v>
      </c>
      <c r="O1051" s="1763" t="str">
        <f t="shared" si="894"/>
        <v>2CDS252001R0164</v>
      </c>
      <c r="P1051" s="1764" t="str">
        <f t="shared" si="895"/>
        <v>ITM Riel-Din 2x16A - S202-C-16A - 10kA@400Vac-IEC60947-2 - marca ABB.</v>
      </c>
      <c r="Q1051" s="120" t="str">
        <f t="shared" si="896"/>
        <v>S202-C-16A</v>
      </c>
      <c r="R1051" s="185"/>
    </row>
    <row r="1052" spans="1:20" s="690" customFormat="1" ht="18" customHeight="1">
      <c r="A1052" s="1767"/>
      <c r="B1052" s="1781">
        <v>2</v>
      </c>
      <c r="C1052" s="1420" t="str">
        <f t="shared" si="928"/>
        <v>Espacio de reserva monofasica - Riel-Din.</v>
      </c>
      <c r="D1052" s="1901" t="s">
        <v>1042</v>
      </c>
      <c r="E1052" s="1791">
        <f>VLOOKUP(D1052,base_datos,5,FALSE)</f>
        <v>1.5</v>
      </c>
      <c r="F1052" s="1782">
        <f t="shared" si="929"/>
        <v>3</v>
      </c>
      <c r="G1052" s="1761"/>
      <c r="H1052" s="1761"/>
      <c r="I1052" s="1761"/>
      <c r="J1052" s="1783"/>
      <c r="K1052" s="684">
        <f t="shared" si="925"/>
        <v>1</v>
      </c>
      <c r="L1052" s="708">
        <v>1</v>
      </c>
      <c r="M1052" s="709">
        <f t="shared" si="927"/>
        <v>2</v>
      </c>
      <c r="N1052" s="362" t="str">
        <f t="shared" si="893"/>
        <v/>
      </c>
      <c r="O1052" s="1763" t="str">
        <f t="shared" si="894"/>
        <v/>
      </c>
      <c r="P1052" s="1764" t="str">
        <f t="shared" si="895"/>
        <v/>
      </c>
      <c r="Q1052" s="120" t="str">
        <f t="shared" si="896"/>
        <v/>
      </c>
      <c r="R1052" s="185"/>
    </row>
    <row r="1053" spans="1:20" s="185" customFormat="1">
      <c r="A1053" s="692"/>
      <c r="B1053" s="714"/>
      <c r="C1053" s="1893" t="s">
        <v>729</v>
      </c>
      <c r="D1053" s="2021"/>
      <c r="E1053" s="1786"/>
      <c r="F1053" s="1787"/>
      <c r="G1053" s="710"/>
      <c r="H1053" s="710"/>
      <c r="I1053" s="710"/>
      <c r="J1053" s="711"/>
      <c r="K1053" s="684">
        <f t="shared" si="925"/>
        <v>1</v>
      </c>
      <c r="L1053" s="363">
        <v>1</v>
      </c>
      <c r="M1053" s="709">
        <f>IF(B1053="",1,B1053)</f>
        <v>1</v>
      </c>
      <c r="N1053" s="362" t="str">
        <f t="shared" si="893"/>
        <v/>
      </c>
      <c r="O1053" s="1763" t="str">
        <f t="shared" si="894"/>
        <v/>
      </c>
      <c r="P1053" s="1764" t="str">
        <f t="shared" si="895"/>
        <v/>
      </c>
      <c r="Q1053" s="120" t="str">
        <f t="shared" si="896"/>
        <v/>
      </c>
    </row>
    <row r="1054" spans="1:20" s="315" customFormat="1" ht="12.75" customHeight="1">
      <c r="A1054" s="2271"/>
      <c r="B1054" s="2272">
        <v>1</v>
      </c>
      <c r="C1054" s="2281" t="s">
        <v>13366</v>
      </c>
      <c r="D1054" s="1935"/>
      <c r="E1054" s="2287"/>
      <c r="F1054" s="2257">
        <f>+SUM(F1055:F1058)*(B1054-1)</f>
        <v>0</v>
      </c>
      <c r="G1054" s="712"/>
      <c r="H1054" s="712"/>
      <c r="I1054" s="712"/>
      <c r="J1054" s="713"/>
      <c r="K1054" s="684">
        <f t="shared" si="925"/>
        <v>1</v>
      </c>
      <c r="L1054" s="708">
        <v>1</v>
      </c>
      <c r="M1054" s="709">
        <f t="shared" ref="M1054:M1059" si="937">IF(B1054="",1,B1054)</f>
        <v>1</v>
      </c>
      <c r="N1054" s="112" t="str">
        <f t="shared" ref="N1054:N1059" si="938">IF(O1054&lt;&gt;"",K1054*L1054*M1054,"")</f>
        <v/>
      </c>
      <c r="O1054" s="112" t="str">
        <f t="shared" ref="O1054:O1059" si="939">IF(D1054&lt;&gt;"",IF(VLOOKUP(D1054,base_datos,7,FALSE)&lt;&gt;"",VLOOKUP(D1054,base_datos,7,FALSE),""),"")</f>
        <v/>
      </c>
      <c r="P1054" s="120" t="str">
        <f t="shared" ref="P1054:P1059" si="940">IF(O1054&lt;&gt;"",VLOOKUP(D1054,base_datos,6,FALSE),"")</f>
        <v/>
      </c>
      <c r="Q1054" s="120" t="str">
        <f t="shared" ref="Q1054:Q1059" si="941">IF(O1054&lt;&gt;"",D1054,"")</f>
        <v/>
      </c>
      <c r="S1054" s="112" t="str">
        <f t="shared" ref="S1054:S1059" si="942">IF(O1054&lt;&gt;"",VLOOKUP(D1054,base_datos,9,FALSE),"")</f>
        <v/>
      </c>
      <c r="T1054" s="2128"/>
    </row>
    <row r="1055" spans="1:20" s="690" customFormat="1" ht="18" customHeight="1">
      <c r="A1055" s="2273"/>
      <c r="B1055" s="1781">
        <v>1</v>
      </c>
      <c r="C1055" s="1420" t="str">
        <f t="shared" ref="C1055:C1058" si="943">VLOOKUP(D1055,base_datos,6,FALSE)</f>
        <v>Calefactor resistivo 60W, modelo RACM - marca FANDIS.</v>
      </c>
      <c r="D1055" s="1899" t="s">
        <v>3298</v>
      </c>
      <c r="E1055" s="2288">
        <f t="shared" ref="E1055" si="944">VLOOKUP(D1055,base_datos,5,FALSE)</f>
        <v>127.1</v>
      </c>
      <c r="F1055" s="1782">
        <f>+E1055*B1055</f>
        <v>127.1</v>
      </c>
      <c r="G1055" s="1761"/>
      <c r="H1055" s="1761"/>
      <c r="I1055" s="1761"/>
      <c r="J1055" s="689"/>
      <c r="K1055" s="684">
        <f t="shared" si="925"/>
        <v>1</v>
      </c>
      <c r="L1055" s="708">
        <v>1</v>
      </c>
      <c r="M1055" s="709">
        <f t="shared" si="937"/>
        <v>1</v>
      </c>
      <c r="N1055" s="112">
        <f t="shared" si="938"/>
        <v>1</v>
      </c>
      <c r="O1055" s="112" t="str">
        <f t="shared" si="939"/>
        <v>RACM-60</v>
      </c>
      <c r="P1055" s="120" t="str">
        <f t="shared" si="940"/>
        <v>Calefactor resistivo 60W, modelo RACM - marca FANDIS.</v>
      </c>
      <c r="Q1055" s="120" t="str">
        <f t="shared" si="941"/>
        <v>CALEFACT-60W_FAND</v>
      </c>
      <c r="S1055" s="112" t="str">
        <f t="shared" si="942"/>
        <v>FANDIS</v>
      </c>
      <c r="T1055" s="1765"/>
    </row>
    <row r="1056" spans="1:20" s="690" customFormat="1" ht="18" customHeight="1">
      <c r="A1056" s="2273"/>
      <c r="B1056" s="1781">
        <v>1</v>
      </c>
      <c r="C1056" s="1420" t="str">
        <f t="shared" si="943"/>
        <v>Termostato para ventilación - 1NA - 230V - marca FANDIS.</v>
      </c>
      <c r="D1056" s="1899" t="s">
        <v>3294</v>
      </c>
      <c r="E1056" s="2288">
        <f t="shared" ref="E1056:E1058" si="945">VLOOKUP(D1056,base_datos,5,FALSE)</f>
        <v>41.58</v>
      </c>
      <c r="F1056" s="1782">
        <f>+E1056*B1056</f>
        <v>41.58</v>
      </c>
      <c r="G1056" s="1761"/>
      <c r="H1056" s="1761"/>
      <c r="I1056" s="1761"/>
      <c r="J1056" s="689"/>
      <c r="K1056" s="684">
        <f t="shared" si="925"/>
        <v>1</v>
      </c>
      <c r="L1056" s="708">
        <v>1</v>
      </c>
      <c r="M1056" s="709">
        <f t="shared" si="937"/>
        <v>1</v>
      </c>
      <c r="N1056" s="112">
        <f t="shared" si="938"/>
        <v>1</v>
      </c>
      <c r="O1056" s="112" t="str">
        <f t="shared" si="939"/>
        <v>TRT-10A230V-NO</v>
      </c>
      <c r="P1056" s="120" t="str">
        <f t="shared" si="940"/>
        <v>Termostato para ventilación - 1NA - 230V - marca FANDIS.</v>
      </c>
      <c r="Q1056" s="120" t="str">
        <f t="shared" si="941"/>
        <v>TRT-1NA</v>
      </c>
      <c r="S1056" s="112" t="str">
        <f t="shared" si="942"/>
        <v>FANDIS</v>
      </c>
      <c r="T1056" s="1765"/>
    </row>
    <row r="1057" spans="1:20" s="320" customFormat="1" ht="12.75" customHeight="1">
      <c r="A1057" s="2274"/>
      <c r="B1057" s="2275">
        <v>1</v>
      </c>
      <c r="C1057" s="2282" t="str">
        <f t="shared" si="943"/>
        <v>Base portafusibles + Fusibles de protección para control.</v>
      </c>
      <c r="D1057" s="1579" t="s">
        <v>453</v>
      </c>
      <c r="E1057" s="2289">
        <f t="shared" si="945"/>
        <v>8.1750000000000007</v>
      </c>
      <c r="F1057" s="2264">
        <f>+E1057*B1057</f>
        <v>8.1750000000000007</v>
      </c>
      <c r="G1057" s="2276"/>
      <c r="H1057" s="2276"/>
      <c r="I1057" s="2276"/>
      <c r="J1057" s="722"/>
      <c r="K1057" s="684">
        <f t="shared" si="925"/>
        <v>1</v>
      </c>
      <c r="L1057" s="708">
        <v>1</v>
      </c>
      <c r="M1057" s="709">
        <f t="shared" si="937"/>
        <v>1</v>
      </c>
      <c r="N1057" s="112" t="str">
        <f t="shared" si="938"/>
        <v/>
      </c>
      <c r="O1057" s="112" t="str">
        <f t="shared" si="939"/>
        <v/>
      </c>
      <c r="P1057" s="120" t="str">
        <f t="shared" si="940"/>
        <v/>
      </c>
      <c r="Q1057" s="120" t="str">
        <f t="shared" si="941"/>
        <v/>
      </c>
      <c r="R1057" s="185"/>
      <c r="S1057" s="112" t="str">
        <f t="shared" si="942"/>
        <v/>
      </c>
      <c r="T1057" s="709"/>
    </row>
    <row r="1058" spans="1:20" s="320" customFormat="1" ht="12.75" customHeight="1">
      <c r="A1058" s="2274"/>
      <c r="B1058" s="2277">
        <v>1</v>
      </c>
      <c r="C1058" s="2282" t="str">
        <f t="shared" si="943"/>
        <v>Borne 4mm2.</v>
      </c>
      <c r="D1058" s="1579" t="s">
        <v>437</v>
      </c>
      <c r="E1058" s="2260">
        <f t="shared" si="945"/>
        <v>2.5</v>
      </c>
      <c r="F1058" s="2260">
        <f>+E1058*B1058</f>
        <v>2.5</v>
      </c>
      <c r="G1058" s="2276"/>
      <c r="H1058" s="2276"/>
      <c r="I1058" s="2276"/>
      <c r="J1058" s="722"/>
      <c r="K1058" s="684">
        <f t="shared" si="925"/>
        <v>1</v>
      </c>
      <c r="L1058" s="708">
        <v>1</v>
      </c>
      <c r="M1058" s="709">
        <f t="shared" si="937"/>
        <v>1</v>
      </c>
      <c r="N1058" s="112" t="str">
        <f t="shared" si="938"/>
        <v/>
      </c>
      <c r="O1058" s="112" t="str">
        <f t="shared" si="939"/>
        <v/>
      </c>
      <c r="P1058" s="120" t="str">
        <f t="shared" si="940"/>
        <v/>
      </c>
      <c r="Q1058" s="120" t="str">
        <f t="shared" si="941"/>
        <v/>
      </c>
      <c r="R1058" s="185"/>
      <c r="S1058" s="112" t="str">
        <f t="shared" si="942"/>
        <v/>
      </c>
      <c r="T1058" s="709"/>
    </row>
    <row r="1059" spans="1:20" s="185" customFormat="1" ht="12.75" customHeight="1">
      <c r="A1059" s="2262"/>
      <c r="B1059" s="1760"/>
      <c r="C1059" s="1893" t="s">
        <v>729</v>
      </c>
      <c r="D1059" s="169"/>
      <c r="E1059" s="2256"/>
      <c r="F1059" s="2278"/>
      <c r="G1059" s="710"/>
      <c r="H1059" s="710"/>
      <c r="I1059" s="710"/>
      <c r="J1059" s="711"/>
      <c r="K1059" s="684">
        <f t="shared" si="925"/>
        <v>1</v>
      </c>
      <c r="L1059" s="708">
        <v>1</v>
      </c>
      <c r="M1059" s="709">
        <f t="shared" si="937"/>
        <v>1</v>
      </c>
      <c r="N1059" s="112" t="str">
        <f t="shared" si="938"/>
        <v/>
      </c>
      <c r="O1059" s="112" t="str">
        <f t="shared" si="939"/>
        <v/>
      </c>
      <c r="P1059" s="120" t="str">
        <f t="shared" si="940"/>
        <v/>
      </c>
      <c r="Q1059" s="120" t="str">
        <f t="shared" si="941"/>
        <v/>
      </c>
      <c r="S1059" s="112" t="str">
        <f t="shared" si="942"/>
        <v/>
      </c>
      <c r="T1059" s="118"/>
    </row>
    <row r="1060" spans="1:20" s="1236" customFormat="1" ht="18" customHeight="1">
      <c r="A1060" s="1767"/>
      <c r="B1060" s="1853">
        <v>1</v>
      </c>
      <c r="C1060" s="1895" t="s">
        <v>12364</v>
      </c>
      <c r="D1060" s="1902"/>
      <c r="E1060" s="1792"/>
      <c r="F1060" s="1793"/>
      <c r="G1060" s="1784"/>
      <c r="H1060" s="1784"/>
      <c r="I1060" s="1784"/>
      <c r="J1060" s="1182"/>
      <c r="K1060" s="684">
        <f t="shared" si="925"/>
        <v>1</v>
      </c>
      <c r="L1060" s="708">
        <v>1</v>
      </c>
      <c r="M1060" s="709">
        <f t="shared" ref="M1060:M1072" si="946">IF(B1060="",1,B1060)</f>
        <v>1</v>
      </c>
      <c r="N1060" s="362" t="str">
        <f t="shared" si="893"/>
        <v/>
      </c>
      <c r="O1060" s="1763" t="str">
        <f t="shared" si="894"/>
        <v/>
      </c>
      <c r="P1060" s="1764" t="str">
        <f t="shared" si="895"/>
        <v/>
      </c>
      <c r="Q1060" s="120" t="str">
        <f t="shared" si="896"/>
        <v/>
      </c>
      <c r="R1060" s="185"/>
    </row>
    <row r="1061" spans="1:20" s="695" customFormat="1" ht="18" customHeight="1">
      <c r="A1061" s="693"/>
      <c r="B1061" s="1922">
        <v>1</v>
      </c>
      <c r="C1061" s="1848" t="str">
        <f t="shared" ref="C1061" si="947">VLOOKUP(D1061,base_datos,6,FALSE)</f>
        <v>Placa lamicoid rotulación de 3mm de espesor, fondo negro y letras blancas.</v>
      </c>
      <c r="D1061" s="1886" t="s">
        <v>8570</v>
      </c>
      <c r="E1061" s="1795">
        <f t="shared" ref="E1061" si="948">VLOOKUP(D1061,base_datos,5,FALSE)</f>
        <v>2.2000000000000002</v>
      </c>
      <c r="F1061" s="1796">
        <f t="shared" ref="F1061" si="949">+E1061*B1061</f>
        <v>2.2000000000000002</v>
      </c>
      <c r="G1061" s="696"/>
      <c r="H1061" s="696"/>
      <c r="I1061" s="696"/>
      <c r="J1061" s="697"/>
      <c r="K1061" s="684">
        <f t="shared" si="925"/>
        <v>1</v>
      </c>
      <c r="L1061" s="708">
        <v>1</v>
      </c>
      <c r="M1061" s="709">
        <f t="shared" si="946"/>
        <v>1</v>
      </c>
      <c r="N1061" s="362">
        <f t="shared" si="893"/>
        <v>1</v>
      </c>
      <c r="O1061" s="1763" t="str">
        <f t="shared" si="894"/>
        <v>Placa lamicoid p/distr.</v>
      </c>
      <c r="P1061" s="1764" t="str">
        <f t="shared" si="895"/>
        <v>Placa lamicoid rotulación de 3mm de espesor, fondo negro y letras blancas.</v>
      </c>
      <c r="Q1061" s="120" t="str">
        <f t="shared" si="896"/>
        <v>Placa lamicoid p/distr.</v>
      </c>
      <c r="R1061" s="185"/>
    </row>
    <row r="1062" spans="1:20" s="1236" customFormat="1" ht="18" customHeight="1">
      <c r="A1062" s="1767"/>
      <c r="B1062" s="1853">
        <v>1</v>
      </c>
      <c r="C1062" s="1895" t="s">
        <v>12474</v>
      </c>
      <c r="D1062" s="1902"/>
      <c r="E1062" s="1792"/>
      <c r="F1062" s="1793"/>
      <c r="G1062" s="1784"/>
      <c r="H1062" s="1784"/>
      <c r="I1062" s="1784"/>
      <c r="J1062" s="1182"/>
      <c r="K1062" s="684">
        <f t="shared" si="925"/>
        <v>1</v>
      </c>
      <c r="L1062" s="708">
        <v>1</v>
      </c>
      <c r="M1062" s="709">
        <f t="shared" si="946"/>
        <v>1</v>
      </c>
      <c r="N1062" s="362" t="str">
        <f t="shared" si="893"/>
        <v/>
      </c>
      <c r="O1062" s="1763" t="str">
        <f t="shared" si="894"/>
        <v/>
      </c>
      <c r="P1062" s="1764" t="str">
        <f t="shared" si="895"/>
        <v/>
      </c>
      <c r="Q1062" s="120" t="str">
        <f t="shared" si="896"/>
        <v/>
      </c>
      <c r="R1062" s="185"/>
    </row>
    <row r="1063" spans="1:20" s="1236" customFormat="1" ht="18" customHeight="1">
      <c r="A1063" s="1767"/>
      <c r="B1063" s="1853">
        <v>1</v>
      </c>
      <c r="C1063" s="1848" t="str">
        <f>VLOOKUP(D1063,base_datos,6,FALSE)</f>
        <v>Embalaje especial completamente cerrado para tablero adosado de 1600x600x220mm</v>
      </c>
      <c r="D1063" s="1902" t="s">
        <v>12453</v>
      </c>
      <c r="E1063" s="1795">
        <f t="shared" ref="E1063" si="950">VLOOKUP(D1063,base_datos,5,FALSE)</f>
        <v>271.40000000000003</v>
      </c>
      <c r="F1063" s="1796">
        <f t="shared" ref="F1063" si="951">+E1063*B1063</f>
        <v>271.40000000000003</v>
      </c>
      <c r="G1063" s="1784"/>
      <c r="H1063" s="1784"/>
      <c r="I1063" s="1784"/>
      <c r="J1063" s="1182"/>
      <c r="K1063" s="684">
        <f t="shared" si="925"/>
        <v>1</v>
      </c>
      <c r="L1063" s="708">
        <v>1</v>
      </c>
      <c r="M1063" s="709">
        <f t="shared" si="946"/>
        <v>1</v>
      </c>
      <c r="N1063" s="362">
        <f t="shared" si="893"/>
        <v>1</v>
      </c>
      <c r="O1063" s="1763" t="str">
        <f t="shared" si="894"/>
        <v>EMBAL_ADOS_1600x600x220mm</v>
      </c>
      <c r="P1063" s="1764" t="str">
        <f t="shared" si="895"/>
        <v>Embalaje especial completamente cerrado para tablero adosado de 1600x600x220mm</v>
      </c>
      <c r="Q1063" s="120" t="str">
        <f t="shared" si="896"/>
        <v>EMBAL_ADOS_1600x600x220mm</v>
      </c>
      <c r="R1063" s="185"/>
    </row>
    <row r="1064" spans="1:20" s="185" customFormat="1" ht="18" customHeight="1">
      <c r="A1064" s="1785"/>
      <c r="B1064" s="714"/>
      <c r="C1064" s="1893" t="s">
        <v>729</v>
      </c>
      <c r="D1064" s="173"/>
      <c r="E1064" s="1786"/>
      <c r="F1064" s="1787"/>
      <c r="G1064" s="710"/>
      <c r="H1064" s="710"/>
      <c r="I1064" s="710"/>
      <c r="J1064" s="711"/>
      <c r="K1064" s="684">
        <f t="shared" si="925"/>
        <v>1</v>
      </c>
      <c r="L1064" s="708">
        <v>1</v>
      </c>
      <c r="M1064" s="709">
        <f t="shared" si="946"/>
        <v>1</v>
      </c>
      <c r="N1064" s="362" t="str">
        <f t="shared" si="893"/>
        <v/>
      </c>
      <c r="O1064" s="1763" t="str">
        <f t="shared" si="894"/>
        <v/>
      </c>
      <c r="P1064" s="1764" t="str">
        <f t="shared" si="895"/>
        <v/>
      </c>
      <c r="Q1064" s="120" t="str">
        <f t="shared" si="896"/>
        <v/>
      </c>
    </row>
    <row r="1065" spans="1:20" s="695" customFormat="1" ht="18" customHeight="1">
      <c r="A1065" s="693"/>
      <c r="B1065" s="1794">
        <v>1</v>
      </c>
      <c r="C1065" s="1420" t="s">
        <v>316</v>
      </c>
      <c r="D1065" s="1790"/>
      <c r="E1065" s="1795"/>
      <c r="F1065" s="1796"/>
      <c r="G1065" s="696"/>
      <c r="H1065" s="696"/>
      <c r="I1065" s="696"/>
      <c r="J1065" s="697"/>
      <c r="K1065" s="684">
        <f t="shared" si="925"/>
        <v>1</v>
      </c>
      <c r="L1065" s="708">
        <v>1</v>
      </c>
      <c r="M1065" s="709">
        <f t="shared" si="946"/>
        <v>1</v>
      </c>
      <c r="N1065" s="362" t="str">
        <f t="shared" si="893"/>
        <v/>
      </c>
      <c r="O1065" s="1763" t="str">
        <f t="shared" si="894"/>
        <v/>
      </c>
      <c r="P1065" s="1764" t="str">
        <f t="shared" si="895"/>
        <v/>
      </c>
      <c r="Q1065" s="120" t="str">
        <f t="shared" si="896"/>
        <v/>
      </c>
      <c r="R1065" s="185"/>
    </row>
    <row r="1066" spans="1:20" s="185" customFormat="1" ht="18" customHeight="1">
      <c r="A1066" s="1785"/>
      <c r="B1066" s="714"/>
      <c r="C1066" s="1893" t="s">
        <v>729</v>
      </c>
      <c r="D1066" s="173"/>
      <c r="E1066" s="1786"/>
      <c r="F1066" s="1787"/>
      <c r="G1066" s="710"/>
      <c r="H1066" s="710"/>
      <c r="I1066" s="710"/>
      <c r="J1066" s="711"/>
      <c r="K1066" s="684">
        <f t="shared" si="925"/>
        <v>1</v>
      </c>
      <c r="L1066" s="708">
        <v>1</v>
      </c>
      <c r="M1066" s="709">
        <f t="shared" si="946"/>
        <v>1</v>
      </c>
      <c r="N1066" s="362" t="str">
        <f t="shared" si="893"/>
        <v/>
      </c>
      <c r="O1066" s="1763" t="str">
        <f t="shared" si="894"/>
        <v/>
      </c>
      <c r="P1066" s="1764" t="str">
        <f t="shared" si="895"/>
        <v/>
      </c>
      <c r="Q1066" s="120" t="str">
        <f t="shared" si="896"/>
        <v/>
      </c>
    </row>
    <row r="1067" spans="1:20" s="897" customFormat="1" ht="18" customHeight="1">
      <c r="A1067" s="693"/>
      <c r="B1067" s="895">
        <v>15</v>
      </c>
      <c r="C1067" s="1848" t="str">
        <f>VLOOKUP(D1067,base_datos,6,FALSE)</f>
        <v>Rotulado por circuito.</v>
      </c>
      <c r="D1067" s="1579" t="s">
        <v>3067</v>
      </c>
      <c r="E1067" s="1581">
        <f>VLOOKUP(D1067,base_datos,5,FALSE)</f>
        <v>0.7</v>
      </c>
      <c r="F1067" s="1581">
        <f t="shared" ref="F1067:F1072" si="952">+E1067*B1067</f>
        <v>10.5</v>
      </c>
      <c r="G1067" s="1772"/>
      <c r="H1067" s="1772"/>
      <c r="I1067" s="1772"/>
      <c r="J1067" s="896"/>
      <c r="K1067" s="684">
        <f t="shared" si="925"/>
        <v>1</v>
      </c>
      <c r="L1067" s="708">
        <v>1</v>
      </c>
      <c r="M1067" s="709">
        <f t="shared" si="946"/>
        <v>15</v>
      </c>
      <c r="N1067" s="362" t="str">
        <f t="shared" si="893"/>
        <v/>
      </c>
      <c r="O1067" s="1763" t="str">
        <f t="shared" si="894"/>
        <v/>
      </c>
      <c r="P1067" s="1764" t="str">
        <f t="shared" si="895"/>
        <v/>
      </c>
      <c r="Q1067" s="120" t="str">
        <f t="shared" si="896"/>
        <v/>
      </c>
    </row>
    <row r="1068" spans="1:20" s="897" customFormat="1" ht="18" customHeight="1">
      <c r="A1068" s="693"/>
      <c r="B1068" s="895">
        <v>1</v>
      </c>
      <c r="C1068" s="1848" t="str">
        <f>VLOOKUP(D1068,base_datos,6,FALSE)</f>
        <v>Rotulado para TAG - tablero de distribución.</v>
      </c>
      <c r="D1068" s="1579" t="s">
        <v>3066</v>
      </c>
      <c r="E1068" s="1581">
        <f>VLOOKUP(D1068,base_datos,5,FALSE)</f>
        <v>1.5</v>
      </c>
      <c r="F1068" s="1581">
        <f t="shared" si="952"/>
        <v>1.5</v>
      </c>
      <c r="G1068" s="1772"/>
      <c r="H1068" s="1772"/>
      <c r="I1068" s="1772"/>
      <c r="J1068" s="896"/>
      <c r="K1068" s="684">
        <f t="shared" si="925"/>
        <v>1</v>
      </c>
      <c r="L1068" s="708">
        <v>1</v>
      </c>
      <c r="M1068" s="709">
        <f t="shared" si="946"/>
        <v>1</v>
      </c>
      <c r="N1068" s="362" t="str">
        <f t="shared" si="893"/>
        <v/>
      </c>
      <c r="O1068" s="1763" t="str">
        <f t="shared" si="894"/>
        <v/>
      </c>
      <c r="P1068" s="1764" t="str">
        <f t="shared" si="895"/>
        <v/>
      </c>
      <c r="Q1068" s="120" t="str">
        <f t="shared" si="896"/>
        <v/>
      </c>
    </row>
    <row r="1069" spans="1:20" s="1237" customFormat="1" ht="18" customHeight="1">
      <c r="A1069" s="1767"/>
      <c r="B1069" s="1773">
        <v>1</v>
      </c>
      <c r="C1069" s="1896" t="s">
        <v>11664</v>
      </c>
      <c r="D1069" s="1887"/>
      <c r="E1069" s="1581">
        <v>90</v>
      </c>
      <c r="F1069" s="1581">
        <f t="shared" si="952"/>
        <v>90</v>
      </c>
      <c r="G1069" s="1774"/>
      <c r="H1069" s="1774"/>
      <c r="I1069" s="1774"/>
      <c r="J1069" s="1181"/>
      <c r="K1069" s="684">
        <f t="shared" si="925"/>
        <v>1</v>
      </c>
      <c r="L1069" s="708">
        <v>1</v>
      </c>
      <c r="M1069" s="709">
        <f t="shared" si="946"/>
        <v>1</v>
      </c>
      <c r="N1069" s="362" t="str">
        <f t="shared" si="893"/>
        <v/>
      </c>
      <c r="O1069" s="1763" t="str">
        <f t="shared" si="894"/>
        <v/>
      </c>
      <c r="P1069" s="1764" t="str">
        <f t="shared" si="895"/>
        <v/>
      </c>
      <c r="Q1069" s="120" t="str">
        <f t="shared" si="896"/>
        <v/>
      </c>
      <c r="R1069" s="1765"/>
    </row>
    <row r="1070" spans="1:20" s="1237" customFormat="1" ht="18" customHeight="1">
      <c r="A1070" s="1767"/>
      <c r="B1070" s="2093">
        <v>1</v>
      </c>
      <c r="C1070" s="694" t="s">
        <v>12552</v>
      </c>
      <c r="D1070" s="1888"/>
      <c r="E1070" s="1580">
        <f>E1072*15%</f>
        <v>24</v>
      </c>
      <c r="F1070" s="1581">
        <f t="shared" si="952"/>
        <v>24</v>
      </c>
      <c r="G1070" s="1774"/>
      <c r="H1070" s="1774"/>
      <c r="I1070" s="1774"/>
      <c r="J1070" s="1181"/>
      <c r="K1070" s="684">
        <f t="shared" si="925"/>
        <v>1</v>
      </c>
      <c r="L1070" s="708">
        <v>1</v>
      </c>
      <c r="M1070" s="709">
        <f t="shared" si="946"/>
        <v>1</v>
      </c>
      <c r="N1070" s="362" t="str">
        <f t="shared" si="893"/>
        <v/>
      </c>
      <c r="O1070" s="1763" t="str">
        <f t="shared" si="894"/>
        <v/>
      </c>
      <c r="P1070" s="1764" t="str">
        <f t="shared" si="895"/>
        <v/>
      </c>
      <c r="Q1070" s="120" t="str">
        <f t="shared" si="896"/>
        <v/>
      </c>
      <c r="R1070" s="1765"/>
    </row>
    <row r="1071" spans="1:20" s="1237" customFormat="1" ht="18" customHeight="1">
      <c r="A1071" s="1767"/>
      <c r="B1071" s="1773">
        <v>1</v>
      </c>
      <c r="C1071" s="694" t="s">
        <v>12559</v>
      </c>
      <c r="D1071" s="1888"/>
      <c r="E1071" s="1999">
        <f>E1072*20%</f>
        <v>32</v>
      </c>
      <c r="F1071" s="1581">
        <f t="shared" si="952"/>
        <v>32</v>
      </c>
      <c r="G1071" s="1774"/>
      <c r="H1071" s="1774"/>
      <c r="I1071" s="1774"/>
      <c r="J1071" s="1181"/>
      <c r="K1071" s="684">
        <f t="shared" si="925"/>
        <v>1</v>
      </c>
      <c r="L1071" s="708">
        <v>1</v>
      </c>
      <c r="M1071" s="709">
        <f t="shared" si="946"/>
        <v>1</v>
      </c>
      <c r="N1071" s="362" t="str">
        <f t="shared" si="893"/>
        <v/>
      </c>
      <c r="O1071" s="1763" t="str">
        <f t="shared" si="894"/>
        <v/>
      </c>
      <c r="P1071" s="1764" t="str">
        <f t="shared" si="895"/>
        <v/>
      </c>
      <c r="Q1071" s="120" t="str">
        <f t="shared" si="896"/>
        <v/>
      </c>
      <c r="R1071" s="1765"/>
    </row>
    <row r="1072" spans="1:20" s="1237" customFormat="1" ht="18" customHeight="1">
      <c r="A1072" s="1767"/>
      <c r="B1072" s="1773">
        <v>1</v>
      </c>
      <c r="C1072" s="1943" t="s">
        <v>12480</v>
      </c>
      <c r="D1072" s="1897"/>
      <c r="E1072" s="1581">
        <v>160</v>
      </c>
      <c r="F1072" s="1581">
        <f t="shared" si="952"/>
        <v>160</v>
      </c>
      <c r="G1072" s="1774"/>
      <c r="H1072" s="1774"/>
      <c r="I1072" s="1774"/>
      <c r="J1072" s="1181"/>
      <c r="K1072" s="684">
        <f t="shared" si="925"/>
        <v>1</v>
      </c>
      <c r="L1072" s="708">
        <v>1</v>
      </c>
      <c r="M1072" s="709">
        <f t="shared" si="946"/>
        <v>1</v>
      </c>
      <c r="N1072" s="362" t="str">
        <f t="shared" si="893"/>
        <v/>
      </c>
      <c r="O1072" s="1763" t="str">
        <f t="shared" si="894"/>
        <v/>
      </c>
      <c r="P1072" s="1764" t="str">
        <f t="shared" si="895"/>
        <v/>
      </c>
      <c r="Q1072" s="120" t="str">
        <f t="shared" si="896"/>
        <v/>
      </c>
      <c r="R1072" s="1765"/>
    </row>
    <row r="1073" spans="1:18" s="20" customFormat="1" ht="18" customHeight="1" thickBot="1">
      <c r="A1073" s="699"/>
      <c r="B1073" s="1775"/>
      <c r="C1073" s="1776"/>
      <c r="D1073" s="1885"/>
      <c r="E1073" s="1981"/>
      <c r="F1073" s="1981"/>
      <c r="G1073" s="1777"/>
      <c r="H1073" s="1777"/>
      <c r="I1073" s="1777"/>
      <c r="J1073" s="1778"/>
      <c r="K1073" s="684"/>
      <c r="L1073" s="363"/>
      <c r="M1073" s="709"/>
      <c r="N1073" s="362" t="str">
        <f t="shared" si="893"/>
        <v/>
      </c>
      <c r="O1073" s="1763" t="str">
        <f t="shared" si="894"/>
        <v/>
      </c>
      <c r="P1073" s="1764" t="str">
        <f t="shared" si="895"/>
        <v/>
      </c>
      <c r="Q1073" s="120" t="str">
        <f t="shared" si="896"/>
        <v/>
      </c>
      <c r="R1073" s="1765"/>
    </row>
    <row r="1074" spans="1:18" s="120" customFormat="1" ht="18" customHeight="1" thickBot="1">
      <c r="A1074" s="1989">
        <v>18</v>
      </c>
      <c r="B1074" s="1852">
        <v>1</v>
      </c>
      <c r="C1074" s="1756" t="s">
        <v>12583</v>
      </c>
      <c r="D1074" s="1588"/>
      <c r="E1074" s="1589"/>
      <c r="F1074" s="1589"/>
      <c r="G1074" s="1757">
        <f>SUM(F1075:F1147)</f>
        <v>3409.3900000000003</v>
      </c>
      <c r="H1074" s="1758">
        <f>G1074*(1-$D$6)</f>
        <v>3409.3900000000003</v>
      </c>
      <c r="I1074" s="1757">
        <f>ROUNDUP(H1074*$D$5,0)</f>
        <v>11592</v>
      </c>
      <c r="J1074" s="1759">
        <f>+I1074*B1074</f>
        <v>11592</v>
      </c>
      <c r="K1074" s="1788">
        <f>B1074</f>
        <v>1</v>
      </c>
      <c r="L1074" s="363"/>
      <c r="M1074" s="684"/>
      <c r="N1074" s="362" t="str">
        <f t="shared" si="893"/>
        <v/>
      </c>
      <c r="O1074" s="1763" t="str">
        <f t="shared" si="894"/>
        <v/>
      </c>
      <c r="P1074" s="1764" t="str">
        <f t="shared" si="895"/>
        <v/>
      </c>
      <c r="Q1074" s="120" t="str">
        <f t="shared" si="896"/>
        <v/>
      </c>
      <c r="R1074" s="185"/>
    </row>
    <row r="1075" spans="1:18" s="120" customFormat="1" ht="18" customHeight="1">
      <c r="A1075" s="685" t="s">
        <v>3064</v>
      </c>
      <c r="B1075" s="1903"/>
      <c r="C1075" s="1890"/>
      <c r="D1075" s="1904"/>
      <c r="E1075" s="1789"/>
      <c r="F1075" s="1780"/>
      <c r="G1075" s="686"/>
      <c r="H1075" s="710"/>
      <c r="I1075" s="686"/>
      <c r="J1075" s="1768"/>
      <c r="K1075" s="684">
        <f t="shared" ref="K1075:K1079" si="953">+K1074</f>
        <v>1</v>
      </c>
      <c r="L1075" s="363">
        <v>1</v>
      </c>
      <c r="M1075" s="709">
        <f t="shared" ref="M1075:M1143" si="954">IF(B1075="",1,B1075)</f>
        <v>1</v>
      </c>
      <c r="N1075" s="362" t="str">
        <f t="shared" si="893"/>
        <v/>
      </c>
      <c r="O1075" s="1763" t="str">
        <f t="shared" si="894"/>
        <v/>
      </c>
      <c r="P1075" s="1764" t="str">
        <f t="shared" si="895"/>
        <v/>
      </c>
      <c r="Q1075" s="120" t="str">
        <f t="shared" si="896"/>
        <v/>
      </c>
    </row>
    <row r="1076" spans="1:18" s="315" customFormat="1">
      <c r="A1076" s="687" t="s">
        <v>4021</v>
      </c>
      <c r="B1076" s="2096">
        <v>1</v>
      </c>
      <c r="C1076" s="1907" t="s">
        <v>5103</v>
      </c>
      <c r="D1076" s="1935"/>
      <c r="E1076" s="1786"/>
      <c r="F1076" s="1908">
        <f>SUM(F1078:F1082)*(B1076-1)</f>
        <v>0</v>
      </c>
      <c r="G1076" s="712"/>
      <c r="H1076" s="712"/>
      <c r="I1076" s="712"/>
      <c r="J1076" s="713"/>
      <c r="K1076" s="684">
        <f t="shared" si="953"/>
        <v>1</v>
      </c>
      <c r="L1076" s="1909">
        <f>B1076</f>
        <v>1</v>
      </c>
      <c r="M1076" s="684">
        <f t="shared" si="954"/>
        <v>1</v>
      </c>
      <c r="N1076" s="362" t="str">
        <f t="shared" ref="N1076:N1084" si="955">IF(O1076&lt;&gt;"",K1076*L1076*M1076,"")</f>
        <v/>
      </c>
      <c r="O1076" s="1763" t="str">
        <f t="shared" ref="O1076:O1084" si="956">IF(D1076&lt;&gt;"",IF(VLOOKUP(D1076,base_datos,7,FALSE)&lt;&gt;"",VLOOKUP(D1076,base_datos,7,FALSE),""),"")</f>
        <v/>
      </c>
      <c r="P1076" s="1764" t="str">
        <f t="shared" ref="P1076:P1084" si="957">IF(O1076&lt;&gt;"",VLOOKUP(D1076,base_datos,6,FALSE),"")</f>
        <v/>
      </c>
      <c r="Q1076" s="120" t="str">
        <f t="shared" ref="Q1076:Q1084" si="958">IF(O1076&lt;&gt;"",D1076,"")</f>
        <v/>
      </c>
    </row>
    <row r="1077" spans="1:18" s="185" customFormat="1">
      <c r="A1077" s="687" t="s">
        <v>4136</v>
      </c>
      <c r="B1077" s="1910">
        <v>3</v>
      </c>
      <c r="C1077" s="1911" t="str">
        <f>VLOOKUP(D1077,base_datos,6,FALSE)</f>
        <v>Portalámpara + lampara tipo LED - color Rojo - alimentacion: 220-230Vac, d=22mm. - CL2-523R - línea compacta - marca ABB.</v>
      </c>
      <c r="D1077" s="1790" t="s">
        <v>2439</v>
      </c>
      <c r="E1077" s="1939">
        <f>VLOOKUP(D1077,base_datos,5,FALSE)</f>
        <v>12.299999999999999</v>
      </c>
      <c r="F1077" s="1912">
        <f>+E1077*B1077</f>
        <v>36.9</v>
      </c>
      <c r="G1077" s="710"/>
      <c r="H1077" s="710"/>
      <c r="I1077" s="710"/>
      <c r="J1077" s="711"/>
      <c r="K1077" s="684">
        <f>+K1075</f>
        <v>1</v>
      </c>
      <c r="L1077" s="1913">
        <f>L1075</f>
        <v>1</v>
      </c>
      <c r="M1077" s="684">
        <f t="shared" si="954"/>
        <v>3</v>
      </c>
      <c r="N1077" s="362">
        <f t="shared" si="955"/>
        <v>3</v>
      </c>
      <c r="O1077" s="1763" t="str">
        <f t="shared" si="956"/>
        <v>1SFA619403R5231</v>
      </c>
      <c r="P1077" s="1764" t="str">
        <f t="shared" si="957"/>
        <v>Portalámpara + lampara tipo LED - color Rojo - alimentacion: 220-230Vac, d=22mm. - CL2-523R - línea compacta - marca ABB.</v>
      </c>
      <c r="Q1077" s="120" t="str">
        <f t="shared" si="958"/>
        <v>LAMP_ROJO_220V</v>
      </c>
    </row>
    <row r="1078" spans="1:18" s="185" customFormat="1">
      <c r="A1078" s="687"/>
      <c r="B1078" s="1910">
        <v>3</v>
      </c>
      <c r="C1078" s="1911" t="str">
        <f>VLOOKUP(D1078,base_datos,6,FALSE)</f>
        <v>Portalámpara + lampara tipo LED - color Verde - alimentacion: 220-230Vac, d=22mm. - CL2-523G - línea compacta - marca ABB.</v>
      </c>
      <c r="D1078" s="1790" t="s">
        <v>2440</v>
      </c>
      <c r="E1078" s="1939">
        <f>VLOOKUP(D1078,base_datos,5,FALSE)</f>
        <v>12.299999999999999</v>
      </c>
      <c r="F1078" s="1912">
        <f>+E1078*B1078</f>
        <v>36.9</v>
      </c>
      <c r="G1078" s="710"/>
      <c r="H1078" s="710"/>
      <c r="I1078" s="710"/>
      <c r="J1078" s="711"/>
      <c r="K1078" s="684">
        <f>+K1076</f>
        <v>1</v>
      </c>
      <c r="L1078" s="1913">
        <f>L1076</f>
        <v>1</v>
      </c>
      <c r="M1078" s="684">
        <f t="shared" si="954"/>
        <v>3</v>
      </c>
      <c r="N1078" s="362">
        <f t="shared" si="955"/>
        <v>3</v>
      </c>
      <c r="O1078" s="1763" t="str">
        <f t="shared" si="956"/>
        <v>1SFA619403R5232</v>
      </c>
      <c r="P1078" s="1764" t="str">
        <f t="shared" si="957"/>
        <v>Portalámpara + lampara tipo LED - color Verde - alimentacion: 220-230Vac, d=22mm. - CL2-523G - línea compacta - marca ABB.</v>
      </c>
      <c r="Q1078" s="120" t="str">
        <f t="shared" si="958"/>
        <v>LAMP_VERDE_220V</v>
      </c>
    </row>
    <row r="1079" spans="1:18" s="1921" customFormat="1">
      <c r="A1079" s="687" t="s">
        <v>12356</v>
      </c>
      <c r="B1079" s="1914">
        <v>1</v>
      </c>
      <c r="C1079" s="1915" t="s">
        <v>3366</v>
      </c>
      <c r="D1079" s="1916"/>
      <c r="E1079" s="1917"/>
      <c r="F1079" s="1918"/>
      <c r="G1079" s="1919"/>
      <c r="H1079" s="1919"/>
      <c r="I1079" s="1919"/>
      <c r="J1079" s="1920"/>
      <c r="K1079" s="684">
        <f t="shared" si="953"/>
        <v>1</v>
      </c>
      <c r="L1079" s="1913">
        <f>L1078</f>
        <v>1</v>
      </c>
      <c r="M1079" s="684">
        <f t="shared" si="954"/>
        <v>1</v>
      </c>
      <c r="N1079" s="362" t="str">
        <f t="shared" si="955"/>
        <v/>
      </c>
      <c r="O1079" s="1763" t="str">
        <f t="shared" si="956"/>
        <v/>
      </c>
      <c r="P1079" s="1764" t="str">
        <f t="shared" si="957"/>
        <v/>
      </c>
      <c r="Q1079" s="120" t="str">
        <f t="shared" si="958"/>
        <v/>
      </c>
    </row>
    <row r="1080" spans="1:18" s="320" customFormat="1">
      <c r="A1080" s="687" t="s">
        <v>12481</v>
      </c>
      <c r="B1080" s="1922">
        <v>1</v>
      </c>
      <c r="C1080" s="721" t="str">
        <f>VLOOKUP(D1080,base_datos,6,FALSE)</f>
        <v>Rele auxiliar enchufable +4NA/NC (D2PR4B + base D2PA6), 220Vac - marca EATON.</v>
      </c>
      <c r="D1080" s="1579" t="s">
        <v>772</v>
      </c>
      <c r="E1080" s="1581">
        <f>VLOOKUP(D1080,base_datos,5,FALSE)</f>
        <v>27</v>
      </c>
      <c r="F1080" s="1923">
        <f>+E1080*B1080</f>
        <v>27</v>
      </c>
      <c r="G1080" s="1924"/>
      <c r="H1080" s="1924"/>
      <c r="I1080" s="1924"/>
      <c r="J1080" s="722"/>
      <c r="K1080" s="684">
        <f>+K1077</f>
        <v>1</v>
      </c>
      <c r="L1080" s="1913">
        <f>L1077</f>
        <v>1</v>
      </c>
      <c r="M1080" s="684">
        <f t="shared" si="954"/>
        <v>1</v>
      </c>
      <c r="N1080" s="362">
        <f t="shared" si="955"/>
        <v>1</v>
      </c>
      <c r="O1080" s="1763" t="str">
        <f t="shared" si="956"/>
        <v>D2PR4B+D2PA6</v>
      </c>
      <c r="P1080" s="1764" t="str">
        <f t="shared" si="957"/>
        <v>Rele auxiliar enchufable +4NA/NC (D2PR4B + base D2PA6), 220Vac - marca EATON.</v>
      </c>
      <c r="Q1080" s="120" t="str">
        <f t="shared" si="958"/>
        <v>D2PR4B+D2PA6</v>
      </c>
    </row>
    <row r="1081" spans="1:18" s="320" customFormat="1">
      <c r="A1081" s="1767"/>
      <c r="B1081" s="2131">
        <v>1</v>
      </c>
      <c r="C1081" s="2132" t="s">
        <v>12558</v>
      </c>
      <c r="D1081" s="2133"/>
      <c r="E1081" s="2134">
        <v>32</v>
      </c>
      <c r="F1081" s="2134">
        <f>+E1081*B1081</f>
        <v>32</v>
      </c>
      <c r="G1081" s="1924"/>
      <c r="H1081" s="1924"/>
      <c r="I1081" s="1924"/>
      <c r="J1081" s="722"/>
      <c r="K1081" s="684">
        <f>+K1078</f>
        <v>1</v>
      </c>
      <c r="L1081" s="1913">
        <f>L1078</f>
        <v>1</v>
      </c>
      <c r="M1081" s="684">
        <f t="shared" si="954"/>
        <v>1</v>
      </c>
      <c r="N1081" s="362" t="str">
        <f t="shared" si="955"/>
        <v/>
      </c>
      <c r="O1081" s="1763" t="str">
        <f t="shared" si="956"/>
        <v/>
      </c>
      <c r="P1081" s="1764" t="str">
        <f t="shared" si="957"/>
        <v/>
      </c>
      <c r="Q1081" s="120" t="str">
        <f t="shared" si="958"/>
        <v/>
      </c>
    </row>
    <row r="1082" spans="1:18" s="320" customFormat="1">
      <c r="A1082" s="687" t="s">
        <v>12551</v>
      </c>
      <c r="B1082" s="1922">
        <v>4</v>
      </c>
      <c r="C1082" s="721" t="str">
        <f>VLOOKUP(D1082,base_datos,6,FALSE)</f>
        <v>Base portafusibles + Fusibles de protección para control.</v>
      </c>
      <c r="D1082" s="1579" t="s">
        <v>453</v>
      </c>
      <c r="E1082" s="1581">
        <f>VLOOKUP(D1082,base_datos,5,FALSE)</f>
        <v>8.1750000000000007</v>
      </c>
      <c r="F1082" s="1923">
        <f>+E1082*B1082</f>
        <v>32.700000000000003</v>
      </c>
      <c r="G1082" s="1924"/>
      <c r="H1082" s="1924"/>
      <c r="I1082" s="1924"/>
      <c r="J1082" s="722"/>
      <c r="K1082" s="684">
        <f t="shared" ref="K1082:K1143" si="959">+K1079</f>
        <v>1</v>
      </c>
      <c r="L1082" s="1913">
        <f>L1079</f>
        <v>1</v>
      </c>
      <c r="M1082" s="684">
        <f t="shared" si="954"/>
        <v>4</v>
      </c>
      <c r="N1082" s="362" t="str">
        <f t="shared" si="955"/>
        <v/>
      </c>
      <c r="O1082" s="1763" t="str">
        <f t="shared" si="956"/>
        <v/>
      </c>
      <c r="P1082" s="1764" t="str">
        <f t="shared" si="957"/>
        <v/>
      </c>
      <c r="Q1082" s="120" t="str">
        <f t="shared" si="958"/>
        <v/>
      </c>
    </row>
    <row r="1083" spans="1:18" s="315" customFormat="1">
      <c r="A1083" s="687" t="s">
        <v>3542</v>
      </c>
      <c r="B1083" s="1906"/>
      <c r="C1083" s="1907"/>
      <c r="D1083" s="1935"/>
      <c r="E1083" s="1786"/>
      <c r="F1083" s="1936"/>
      <c r="G1083" s="712"/>
      <c r="H1083" s="712"/>
      <c r="I1083" s="712"/>
      <c r="J1083" s="713"/>
      <c r="K1083" s="684">
        <f t="shared" si="959"/>
        <v>1</v>
      </c>
      <c r="L1083" s="1909">
        <f>B1083</f>
        <v>0</v>
      </c>
      <c r="M1083" s="684">
        <f t="shared" si="954"/>
        <v>1</v>
      </c>
      <c r="N1083" s="362" t="str">
        <f t="shared" si="955"/>
        <v/>
      </c>
      <c r="O1083" s="1763" t="str">
        <f t="shared" si="956"/>
        <v/>
      </c>
      <c r="P1083" s="1764" t="str">
        <f t="shared" si="957"/>
        <v/>
      </c>
      <c r="Q1083" s="120" t="str">
        <f t="shared" si="958"/>
        <v/>
      </c>
    </row>
    <row r="1084" spans="1:18" s="185" customFormat="1" ht="13.5" customHeight="1">
      <c r="A1084" s="687"/>
      <c r="B1084" s="1922"/>
      <c r="C1084" s="1956" t="s">
        <v>12368</v>
      </c>
      <c r="D1084" s="1579"/>
      <c r="E1084" s="1957"/>
      <c r="F1084" s="1958"/>
      <c r="G1084" s="710"/>
      <c r="H1084" s="710"/>
      <c r="I1084" s="710"/>
      <c r="J1084" s="711"/>
      <c r="K1084" s="684">
        <f t="shared" si="959"/>
        <v>1</v>
      </c>
      <c r="L1084" s="708">
        <v>1</v>
      </c>
      <c r="M1084" s="684">
        <f t="shared" si="954"/>
        <v>1</v>
      </c>
      <c r="N1084" s="362" t="str">
        <f t="shared" si="955"/>
        <v/>
      </c>
      <c r="O1084" s="1763" t="str">
        <f t="shared" si="956"/>
        <v/>
      </c>
      <c r="P1084" s="1764" t="str">
        <f t="shared" si="957"/>
        <v/>
      </c>
      <c r="Q1084" s="120" t="str">
        <f t="shared" si="958"/>
        <v/>
      </c>
    </row>
    <row r="1085" spans="1:18" s="120" customFormat="1" ht="18" customHeight="1">
      <c r="A1085" s="1785"/>
      <c r="B1085" s="1781"/>
      <c r="C1085" s="1218" t="s">
        <v>3158</v>
      </c>
      <c r="D1085" s="1900"/>
      <c r="E1085" s="1791"/>
      <c r="F1085" s="1782"/>
      <c r="G1085" s="686"/>
      <c r="H1085" s="686"/>
      <c r="I1085" s="686"/>
      <c r="J1085" s="688"/>
      <c r="K1085" s="684">
        <f t="shared" si="959"/>
        <v>1</v>
      </c>
      <c r="L1085" s="708">
        <v>1</v>
      </c>
      <c r="M1085" s="684">
        <f t="shared" si="954"/>
        <v>1</v>
      </c>
      <c r="N1085" s="362" t="str">
        <f t="shared" ref="N1085:N1163" si="960">IF(O1085&lt;&gt;"",K1085*L1085*M1085,"")</f>
        <v/>
      </c>
      <c r="O1085" s="1763" t="str">
        <f t="shared" ref="O1085:O1163" si="961">IF(D1085&lt;&gt;"",IF(VLOOKUP(D1085,base_datos,7,FALSE)&lt;&gt;"",VLOOKUP(D1085,base_datos,7,FALSE),""),"")</f>
        <v/>
      </c>
      <c r="P1085" s="1764" t="str">
        <f t="shared" ref="P1085:P1163" si="962">IF(O1085&lt;&gt;"",VLOOKUP(D1085,base_datos,6,FALSE),"")</f>
        <v/>
      </c>
      <c r="Q1085" s="120" t="str">
        <f t="shared" ref="Q1085:Q1163" si="963">IF(O1085&lt;&gt;"",D1085,"")</f>
        <v/>
      </c>
      <c r="R1085" s="185"/>
    </row>
    <row r="1086" spans="1:18" s="690" customFormat="1" ht="18" customHeight="1">
      <c r="A1086" s="1785"/>
      <c r="B1086" s="2096">
        <v>1</v>
      </c>
      <c r="C1086" s="1420" t="str">
        <f>VLOOKUP(D1086,base_datos,6,FALSE)</f>
        <v>ITM Caja Moldeada 3x63A (reg.[0.7-1.0] In) - XT1B160-63A-3P-TMD - 25kA@230Vac, 18kA@415Vac, 18kA@250Vdc - marca ABB.</v>
      </c>
      <c r="D1086" s="1901" t="s">
        <v>4370</v>
      </c>
      <c r="E1086" s="1791">
        <f>VLOOKUP(D1086,base_datos,5,FALSE)</f>
        <v>120.37</v>
      </c>
      <c r="F1086" s="1782">
        <f>+E1086*B1086</f>
        <v>120.37</v>
      </c>
      <c r="G1086" s="1761"/>
      <c r="H1086" s="1761"/>
      <c r="I1086" s="1761"/>
      <c r="J1086" s="689"/>
      <c r="K1086" s="684">
        <f t="shared" si="959"/>
        <v>1</v>
      </c>
      <c r="L1086" s="708">
        <v>1</v>
      </c>
      <c r="M1086" s="684">
        <f t="shared" si="954"/>
        <v>1</v>
      </c>
      <c r="N1086" s="362">
        <f t="shared" si="960"/>
        <v>1</v>
      </c>
      <c r="O1086" s="1763" t="str">
        <f t="shared" si="961"/>
        <v>1SDA066805R1</v>
      </c>
      <c r="P1086" s="1764" t="str">
        <f t="shared" si="962"/>
        <v>ITM Caja Moldeada 3x63A (reg.[0.7-1.0] In) - XT1B160-63A-3P-TMD - 25kA@230Vac, 18kA@415Vac, 18kA@250Vdc - marca ABB.</v>
      </c>
      <c r="Q1086" s="120" t="str">
        <f t="shared" si="963"/>
        <v>XT1B160-63A-3P-TMD</v>
      </c>
      <c r="R1086" s="185"/>
    </row>
    <row r="1087" spans="1:18" s="185" customFormat="1">
      <c r="A1087" s="687"/>
      <c r="B1087" s="714"/>
      <c r="C1087" s="313" t="s">
        <v>729</v>
      </c>
      <c r="D1087" s="173"/>
      <c r="E1087" s="1786"/>
      <c r="F1087" s="1787"/>
      <c r="G1087" s="710"/>
      <c r="H1087" s="710"/>
      <c r="I1087" s="710"/>
      <c r="J1087" s="711"/>
      <c r="K1087" s="684">
        <f t="shared" si="959"/>
        <v>1</v>
      </c>
      <c r="L1087" s="708">
        <v>1</v>
      </c>
      <c r="M1087" s="684">
        <f t="shared" si="954"/>
        <v>1</v>
      </c>
      <c r="N1087" s="362" t="str">
        <f t="shared" si="960"/>
        <v/>
      </c>
      <c r="O1087" s="1763" t="str">
        <f t="shared" si="961"/>
        <v/>
      </c>
      <c r="P1087" s="1764" t="str">
        <f t="shared" si="962"/>
        <v/>
      </c>
      <c r="Q1087" s="120" t="str">
        <f t="shared" si="963"/>
        <v/>
      </c>
    </row>
    <row r="1088" spans="1:18" s="690" customFormat="1" ht="18" customHeight="1">
      <c r="A1088" s="1785"/>
      <c r="B1088" s="1851"/>
      <c r="C1088" s="1966" t="s">
        <v>9431</v>
      </c>
      <c r="D1088" s="1582"/>
      <c r="E1088" s="1780"/>
      <c r="F1088" s="1782"/>
      <c r="G1088" s="1761"/>
      <c r="H1088" s="1761"/>
      <c r="I1088" s="1761"/>
      <c r="J1088" s="689"/>
      <c r="K1088" s="684">
        <f t="shared" si="959"/>
        <v>1</v>
      </c>
      <c r="L1088" s="708">
        <v>1</v>
      </c>
      <c r="M1088" s="684">
        <f t="shared" si="954"/>
        <v>1</v>
      </c>
      <c r="N1088" s="362" t="str">
        <f t="shared" si="960"/>
        <v/>
      </c>
      <c r="O1088" s="1763" t="str">
        <f t="shared" si="961"/>
        <v/>
      </c>
      <c r="P1088" s="1764" t="str">
        <f t="shared" si="962"/>
        <v/>
      </c>
      <c r="Q1088" s="120" t="str">
        <f t="shared" si="963"/>
        <v/>
      </c>
      <c r="R1088" s="185"/>
    </row>
    <row r="1089" spans="1:18" s="690" customFormat="1" ht="18" customHeight="1">
      <c r="A1089" s="1785"/>
      <c r="B1089" s="1781">
        <v>1</v>
      </c>
      <c r="C1089" s="1960" t="str">
        <f t="shared" ref="C1089" si="964">VLOOKUP(D1089,base_datos,6,FALSE)</f>
        <v>ITM Caja Moldeada 3x50A (reg.[0.7-1.0] In) - XT1B160-50A-3P-TMD - 25kA@230Vac, 18kA@415Vac, 18kA@250Vdc - marca ABB.</v>
      </c>
      <c r="D1089" s="1901" t="s">
        <v>4368</v>
      </c>
      <c r="E1089" s="1791">
        <f t="shared" ref="E1089" si="965">VLOOKUP(D1089,base_datos,5,FALSE)</f>
        <v>120.37</v>
      </c>
      <c r="F1089" s="1782">
        <f t="shared" ref="F1089" si="966">+E1089*B1089</f>
        <v>120.37</v>
      </c>
      <c r="G1089" s="1761"/>
      <c r="H1089" s="1761"/>
      <c r="I1089" s="1761"/>
      <c r="J1089" s="1783"/>
      <c r="K1089" s="684">
        <f t="shared" si="959"/>
        <v>1</v>
      </c>
      <c r="L1089" s="708">
        <v>1</v>
      </c>
      <c r="M1089" s="684">
        <f t="shared" si="954"/>
        <v>1</v>
      </c>
      <c r="N1089" s="362">
        <f t="shared" ref="N1089" si="967">IF(O1089&lt;&gt;"",K1089*L1089*M1089,"")</f>
        <v>1</v>
      </c>
      <c r="O1089" s="1763" t="str">
        <f t="shared" ref="O1089" si="968">IF(D1089&lt;&gt;"",IF(VLOOKUP(D1089,base_datos,7,FALSE)&lt;&gt;"",VLOOKUP(D1089,base_datos,7,FALSE),""),"")</f>
        <v>1SDA066804R1</v>
      </c>
      <c r="P1089" s="1764" t="str">
        <f t="shared" ref="P1089" si="969">IF(O1089&lt;&gt;"",VLOOKUP(D1089,base_datos,6,FALSE),"")</f>
        <v>ITM Caja Moldeada 3x50A (reg.[0.7-1.0] In) - XT1B160-50A-3P-TMD - 25kA@230Vac, 18kA@415Vac, 18kA@250Vdc - marca ABB.</v>
      </c>
      <c r="Q1089" s="120" t="str">
        <f t="shared" ref="Q1089" si="970">IF(O1089&lt;&gt;"",D1089,"")</f>
        <v>XT1B160-50A-3P-TMD</v>
      </c>
      <c r="R1089" s="185"/>
    </row>
    <row r="1090" spans="1:18" s="690" customFormat="1" ht="18" customHeight="1">
      <c r="A1090" s="1785"/>
      <c r="B1090" s="1781">
        <v>1</v>
      </c>
      <c r="C1090" s="1960" t="str">
        <f t="shared" ref="C1090" si="971">VLOOKUP(D1090,base_datos,6,FALSE)</f>
        <v>ITM Caja Moldeada 3x16A (reg.[0.7-1.0] In) - XT1B160-16A-3P-TMD - 25kA@230Vac, 18kA@415Vac, 18kA@250Vdc - marca ABB.</v>
      </c>
      <c r="D1090" s="1901" t="s">
        <v>4358</v>
      </c>
      <c r="E1090" s="1791">
        <f t="shared" ref="E1090" si="972">VLOOKUP(D1090,base_datos,5,FALSE)</f>
        <v>120.37</v>
      </c>
      <c r="F1090" s="1782">
        <f t="shared" ref="F1090:F1092" si="973">+E1090*B1090</f>
        <v>120.37</v>
      </c>
      <c r="G1090" s="1761"/>
      <c r="H1090" s="1761"/>
      <c r="I1090" s="1761"/>
      <c r="J1090" s="1783"/>
      <c r="K1090" s="684">
        <f t="shared" si="959"/>
        <v>1</v>
      </c>
      <c r="L1090" s="708">
        <v>1</v>
      </c>
      <c r="M1090" s="684">
        <f t="shared" si="954"/>
        <v>1</v>
      </c>
      <c r="N1090" s="362">
        <f t="shared" si="960"/>
        <v>1</v>
      </c>
      <c r="O1090" s="1763" t="str">
        <f t="shared" si="961"/>
        <v>1SDA066799R1</v>
      </c>
      <c r="P1090" s="1764" t="str">
        <f t="shared" si="962"/>
        <v>ITM Caja Moldeada 3x16A (reg.[0.7-1.0] In) - XT1B160-16A-3P-TMD - 25kA@230Vac, 18kA@415Vac, 18kA@250Vdc - marca ABB.</v>
      </c>
      <c r="Q1090" s="120" t="str">
        <f t="shared" si="963"/>
        <v>XT1B160-16A-3P-TMD</v>
      </c>
      <c r="R1090" s="185"/>
    </row>
    <row r="1091" spans="1:18" s="185" customFormat="1">
      <c r="A1091" s="687"/>
      <c r="B1091" s="714"/>
      <c r="C1091" s="313" t="s">
        <v>729</v>
      </c>
      <c r="D1091" s="173"/>
      <c r="E1091" s="1786"/>
      <c r="F1091" s="1787"/>
      <c r="G1091" s="710"/>
      <c r="H1091" s="710"/>
      <c r="I1091" s="710"/>
      <c r="J1091" s="711"/>
      <c r="K1091" s="684">
        <f t="shared" si="959"/>
        <v>1</v>
      </c>
      <c r="L1091" s="708">
        <v>1</v>
      </c>
      <c r="M1091" s="684">
        <f t="shared" ref="M1091" si="974">IF(B1091="",1,B1091)</f>
        <v>1</v>
      </c>
      <c r="N1091" s="362" t="str">
        <f t="shared" ref="N1091" si="975">IF(O1091&lt;&gt;"",K1091*L1091*M1091,"")</f>
        <v/>
      </c>
      <c r="O1091" s="1763" t="str">
        <f t="shared" ref="O1091" si="976">IF(D1091&lt;&gt;"",IF(VLOOKUP(D1091,base_datos,7,FALSE)&lt;&gt;"",VLOOKUP(D1091,base_datos,7,FALSE),""),"")</f>
        <v/>
      </c>
      <c r="P1091" s="1764" t="str">
        <f t="shared" ref="P1091" si="977">IF(O1091&lt;&gt;"",VLOOKUP(D1091,base_datos,6,FALSE),"")</f>
        <v/>
      </c>
      <c r="Q1091" s="120" t="str">
        <f t="shared" ref="Q1091" si="978">IF(O1091&lt;&gt;"",D1091,"")</f>
        <v/>
      </c>
    </row>
    <row r="1092" spans="1:18" s="695" customFormat="1">
      <c r="A1092" s="687"/>
      <c r="B1092" s="1967">
        <v>1</v>
      </c>
      <c r="C1092" s="1946">
        <v>6</v>
      </c>
      <c r="D1092" s="1582"/>
      <c r="E1092" s="2000">
        <v>24</v>
      </c>
      <c r="F1092" s="1968">
        <f t="shared" si="973"/>
        <v>24</v>
      </c>
      <c r="G1092" s="1969"/>
      <c r="H1092" s="1969"/>
      <c r="I1092" s="1969"/>
      <c r="J1092" s="1970"/>
      <c r="K1092" s="684">
        <f t="shared" si="959"/>
        <v>1</v>
      </c>
      <c r="L1092" s="363">
        <v>1</v>
      </c>
      <c r="M1092" s="684">
        <f t="shared" si="954"/>
        <v>1</v>
      </c>
      <c r="N1092" s="362" t="str">
        <f t="shared" si="960"/>
        <v/>
      </c>
      <c r="O1092" s="1763" t="str">
        <f t="shared" si="961"/>
        <v/>
      </c>
      <c r="P1092" s="1764" t="str">
        <f t="shared" si="962"/>
        <v/>
      </c>
      <c r="Q1092" s="120" t="str">
        <f t="shared" si="963"/>
        <v/>
      </c>
    </row>
    <row r="1093" spans="1:18" s="690" customFormat="1" ht="18" customHeight="1">
      <c r="A1093" s="1785"/>
      <c r="B1093" s="1851"/>
      <c r="C1093" s="1966" t="s">
        <v>12546</v>
      </c>
      <c r="D1093" s="1582"/>
      <c r="E1093" s="1780"/>
      <c r="F1093" s="1782"/>
      <c r="G1093" s="1761"/>
      <c r="H1093" s="1761"/>
      <c r="I1093" s="1761"/>
      <c r="J1093" s="689"/>
      <c r="K1093" s="684">
        <f t="shared" si="959"/>
        <v>1</v>
      </c>
      <c r="L1093" s="708">
        <v>1</v>
      </c>
      <c r="M1093" s="684">
        <f t="shared" si="954"/>
        <v>1</v>
      </c>
      <c r="N1093" s="362" t="str">
        <f t="shared" si="960"/>
        <v/>
      </c>
      <c r="O1093" s="1763" t="str">
        <f t="shared" si="961"/>
        <v/>
      </c>
      <c r="P1093" s="1764" t="str">
        <f t="shared" si="962"/>
        <v/>
      </c>
      <c r="Q1093" s="120" t="str">
        <f t="shared" si="963"/>
        <v/>
      </c>
      <c r="R1093" s="185"/>
    </row>
    <row r="1094" spans="1:18" s="690" customFormat="1" ht="18" customHeight="1">
      <c r="A1094" s="1785"/>
      <c r="B1094" s="1781">
        <v>9</v>
      </c>
      <c r="C1094" s="1960" t="str">
        <f t="shared" ref="C1094:C1096" si="979">VLOOKUP(D1094,base_datos,6,FALSE)</f>
        <v>ITM Riel-Din 2x16A - S202-C-16A - 10kA@400Vac-IEC60947-2 - marca ABB.</v>
      </c>
      <c r="D1094" s="2007" t="s">
        <v>970</v>
      </c>
      <c r="E1094" s="1791">
        <f t="shared" ref="E1094:E1096" si="980">VLOOKUP(D1094,base_datos,5,FALSE)</f>
        <v>17.96</v>
      </c>
      <c r="F1094" s="1782">
        <f t="shared" ref="F1094:F1097" si="981">+E1094*B1094</f>
        <v>161.64000000000001</v>
      </c>
      <c r="G1094" s="1761"/>
      <c r="H1094" s="1761"/>
      <c r="I1094" s="1761"/>
      <c r="J1094" s="1783"/>
      <c r="K1094" s="684">
        <f t="shared" si="959"/>
        <v>1</v>
      </c>
      <c r="L1094" s="708">
        <v>1</v>
      </c>
      <c r="M1094" s="684">
        <f t="shared" si="954"/>
        <v>9</v>
      </c>
      <c r="N1094" s="362">
        <f t="shared" si="960"/>
        <v>9</v>
      </c>
      <c r="O1094" s="1763" t="str">
        <f t="shared" si="961"/>
        <v>2CDS252001R0164</v>
      </c>
      <c r="P1094" s="1764" t="str">
        <f t="shared" si="962"/>
        <v>ITM Riel-Din 2x16A - S202-C-16A - 10kA@400Vac-IEC60947-2 - marca ABB.</v>
      </c>
      <c r="Q1094" s="120" t="str">
        <f t="shared" si="963"/>
        <v>S202-C-16A</v>
      </c>
      <c r="R1094" s="185"/>
    </row>
    <row r="1095" spans="1:18" s="690" customFormat="1" ht="18" customHeight="1">
      <c r="A1095" s="1785"/>
      <c r="B1095" s="2023">
        <v>9</v>
      </c>
      <c r="C1095" s="2041" t="str">
        <f t="shared" si="979"/>
        <v>Interruptor Diferencial 2x25A - 30mA - clase A (inmunizado) - FH202-A-25A-30mA - marca ABB.</v>
      </c>
      <c r="D1095" s="2006" t="s">
        <v>5318</v>
      </c>
      <c r="E1095" s="2025">
        <f t="shared" si="980"/>
        <v>50</v>
      </c>
      <c r="F1095" s="2026">
        <f t="shared" si="981"/>
        <v>450</v>
      </c>
      <c r="G1095" s="1761"/>
      <c r="H1095" s="1761"/>
      <c r="I1095" s="1761"/>
      <c r="J1095" s="1783"/>
      <c r="K1095" s="684">
        <f t="shared" si="959"/>
        <v>1</v>
      </c>
      <c r="L1095" s="708">
        <v>1</v>
      </c>
      <c r="M1095" s="684">
        <f t="shared" si="954"/>
        <v>9</v>
      </c>
      <c r="N1095" s="362">
        <f t="shared" si="960"/>
        <v>9</v>
      </c>
      <c r="O1095" s="1763" t="str">
        <f t="shared" si="961"/>
        <v>2CSF202102R1250</v>
      </c>
      <c r="P1095" s="1764" t="str">
        <f t="shared" si="962"/>
        <v>Interruptor Diferencial 2x25A - 30mA - clase A (inmunizado) - FH202-A-25A-30mA - marca ABB.</v>
      </c>
      <c r="Q1095" s="120" t="str">
        <f t="shared" si="963"/>
        <v>FH202-A-25A-30mA</v>
      </c>
      <c r="R1095" s="185"/>
    </row>
    <row r="1096" spans="1:18" s="690" customFormat="1" ht="18" customHeight="1">
      <c r="A1096" s="1785"/>
      <c r="B1096" s="1781">
        <v>1</v>
      </c>
      <c r="C1096" s="1960" t="str">
        <f t="shared" si="979"/>
        <v>Espacio de reserva monofasica + interruptor diferencial - Riel-Din.</v>
      </c>
      <c r="D1096" s="2006" t="s">
        <v>2926</v>
      </c>
      <c r="E1096" s="1791">
        <f t="shared" si="980"/>
        <v>2.5</v>
      </c>
      <c r="F1096" s="1782">
        <f t="shared" si="981"/>
        <v>2.5</v>
      </c>
      <c r="G1096" s="1761"/>
      <c r="H1096" s="1761"/>
      <c r="I1096" s="1761"/>
      <c r="J1096" s="1783"/>
      <c r="K1096" s="684">
        <f t="shared" si="959"/>
        <v>1</v>
      </c>
      <c r="L1096" s="708">
        <v>1</v>
      </c>
      <c r="M1096" s="684">
        <f t="shared" si="954"/>
        <v>1</v>
      </c>
      <c r="N1096" s="362" t="str">
        <f t="shared" si="960"/>
        <v/>
      </c>
      <c r="O1096" s="1763" t="str">
        <f t="shared" si="961"/>
        <v/>
      </c>
      <c r="P1096" s="1764" t="str">
        <f t="shared" si="962"/>
        <v/>
      </c>
      <c r="Q1096" s="120" t="str">
        <f t="shared" si="963"/>
        <v/>
      </c>
      <c r="R1096" s="185"/>
    </row>
    <row r="1097" spans="1:18" s="695" customFormat="1">
      <c r="A1097" s="687"/>
      <c r="B1097" s="1967">
        <v>1</v>
      </c>
      <c r="C1097" s="1946">
        <v>24</v>
      </c>
      <c r="D1097" s="1582"/>
      <c r="E1097" s="2000">
        <v>70</v>
      </c>
      <c r="F1097" s="1968">
        <f t="shared" si="981"/>
        <v>70</v>
      </c>
      <c r="G1097" s="1969"/>
      <c r="H1097" s="1969"/>
      <c r="I1097" s="1969"/>
      <c r="J1097" s="1970"/>
      <c r="K1097" s="684">
        <f t="shared" si="959"/>
        <v>1</v>
      </c>
      <c r="L1097" s="363">
        <v>1</v>
      </c>
      <c r="M1097" s="684">
        <f t="shared" si="954"/>
        <v>1</v>
      </c>
      <c r="N1097" s="362" t="str">
        <f t="shared" si="960"/>
        <v/>
      </c>
      <c r="O1097" s="1763" t="str">
        <f t="shared" si="961"/>
        <v/>
      </c>
      <c r="P1097" s="1764" t="str">
        <f t="shared" si="962"/>
        <v/>
      </c>
      <c r="Q1097" s="120" t="str">
        <f t="shared" si="963"/>
        <v/>
      </c>
    </row>
    <row r="1098" spans="1:18" s="185" customFormat="1">
      <c r="A1098" s="1785"/>
      <c r="B1098" s="714"/>
      <c r="C1098" s="1893" t="s">
        <v>729</v>
      </c>
      <c r="D1098" s="1941"/>
      <c r="E1098" s="1786"/>
      <c r="F1098" s="1787"/>
      <c r="G1098" s="710"/>
      <c r="H1098" s="710"/>
      <c r="I1098" s="710"/>
      <c r="J1098" s="711"/>
      <c r="K1098" s="684">
        <f t="shared" si="959"/>
        <v>1</v>
      </c>
      <c r="L1098" s="363">
        <v>1</v>
      </c>
      <c r="M1098" s="684">
        <f t="shared" si="954"/>
        <v>1</v>
      </c>
      <c r="N1098" s="362" t="str">
        <f t="shared" si="960"/>
        <v/>
      </c>
      <c r="O1098" s="1763" t="str">
        <f t="shared" si="961"/>
        <v/>
      </c>
      <c r="P1098" s="1764" t="str">
        <f t="shared" si="962"/>
        <v/>
      </c>
      <c r="Q1098" s="120" t="str">
        <f t="shared" si="963"/>
        <v/>
      </c>
    </row>
    <row r="1099" spans="1:18" s="690" customFormat="1" ht="18" customHeight="1">
      <c r="A1099" s="1785"/>
      <c r="B1099" s="1851"/>
      <c r="C1099" s="1966" t="s">
        <v>12547</v>
      </c>
      <c r="D1099" s="1582"/>
      <c r="E1099" s="1780"/>
      <c r="F1099" s="1782"/>
      <c r="G1099" s="1761"/>
      <c r="H1099" s="1761"/>
      <c r="I1099" s="1761"/>
      <c r="J1099" s="689"/>
      <c r="K1099" s="684">
        <f t="shared" si="959"/>
        <v>1</v>
      </c>
      <c r="L1099" s="708">
        <v>1</v>
      </c>
      <c r="M1099" s="684">
        <f t="shared" si="954"/>
        <v>1</v>
      </c>
      <c r="N1099" s="362" t="str">
        <f t="shared" si="960"/>
        <v/>
      </c>
      <c r="O1099" s="1763" t="str">
        <f t="shared" si="961"/>
        <v/>
      </c>
      <c r="P1099" s="1764" t="str">
        <f t="shared" si="962"/>
        <v/>
      </c>
      <c r="Q1099" s="120" t="str">
        <f t="shared" si="963"/>
        <v/>
      </c>
      <c r="R1099" s="185"/>
    </row>
    <row r="1100" spans="1:18" s="2434" customFormat="1" ht="18" customHeight="1">
      <c r="A1100" s="2462"/>
      <c r="B1100" s="2435">
        <v>1</v>
      </c>
      <c r="C1100" s="2436" t="str">
        <f t="shared" ref="C1100" si="982">VLOOKUP(D1100,base_datos,6,FALSE)</f>
        <v>ITM Caja Moldeada 2x16A - A1N/P125-16A-2P-TMF - 50kA@230Vac, 36kA@400Vac, 10kA@125Vdc - marca ABB.</v>
      </c>
      <c r="D1100" s="2483" t="s">
        <v>1172</v>
      </c>
      <c r="E1100" s="2482">
        <f t="shared" ref="E1100" si="983">VLOOKUP(D1100,base_datos,5,FALSE)</f>
        <v>59.769999999999996</v>
      </c>
      <c r="F1100" s="2422">
        <f t="shared" ref="F1100" si="984">+E1100*B1100</f>
        <v>59.769999999999996</v>
      </c>
      <c r="G1100" s="2424"/>
      <c r="H1100" s="2424"/>
      <c r="I1100" s="2424"/>
      <c r="J1100" s="2425"/>
      <c r="K1100" s="2426">
        <f>+K1096</f>
        <v>1</v>
      </c>
      <c r="L1100" s="2463">
        <v>1</v>
      </c>
      <c r="M1100" s="2426">
        <f t="shared" ref="M1100" si="985">IF(B1100="",1,B1100)</f>
        <v>1</v>
      </c>
      <c r="N1100" s="2429">
        <f t="shared" ref="N1100" si="986">IF(O1100&lt;&gt;"",K1100*L1100*M1100,"")</f>
        <v>1</v>
      </c>
      <c r="O1100" s="2430" t="str">
        <f t="shared" ref="O1100" si="987">IF(D1100&lt;&gt;"",IF(VLOOKUP(D1100,base_datos,7,FALSE)&lt;&gt;"",VLOOKUP(D1100,base_datos,7,FALSE),""),"")</f>
        <v>1SDA069551R1</v>
      </c>
      <c r="P1100" s="2431" t="str">
        <f t="shared" ref="P1100" si="988">IF(O1100&lt;&gt;"",VLOOKUP(D1100,base_datos,6,FALSE),"")</f>
        <v>ITM Caja Moldeada 2x16A - A1N/P125-16A-2P-TMF - 50kA@230Vac, 36kA@400Vac, 10kA@125Vdc - marca ABB.</v>
      </c>
      <c r="Q1100" s="2432" t="str">
        <f t="shared" ref="Q1100" si="989">IF(O1100&lt;&gt;"",D1100,"")</f>
        <v>A1N/P125-16A-2P-TMF</v>
      </c>
      <c r="R1100" s="2433"/>
    </row>
    <row r="1101" spans="1:18" s="690" customFormat="1" ht="18" customHeight="1">
      <c r="A1101" s="1785"/>
      <c r="B1101" s="1781">
        <v>15</v>
      </c>
      <c r="C1101" s="1960" t="str">
        <f t="shared" ref="C1101:C1103" si="990">VLOOKUP(D1101,base_datos,6,FALSE)</f>
        <v>ITM Riel-Din 2x16A - S202-C-16A - 10kA@400Vac-IEC60947-2 - marca ABB.</v>
      </c>
      <c r="D1101" s="2007" t="s">
        <v>970</v>
      </c>
      <c r="E1101" s="1791">
        <f t="shared" ref="E1101:E1103" si="991">VLOOKUP(D1101,base_datos,5,FALSE)</f>
        <v>17.96</v>
      </c>
      <c r="F1101" s="1782">
        <f t="shared" ref="F1101:F1104" si="992">+E1101*B1101</f>
        <v>269.40000000000003</v>
      </c>
      <c r="G1101" s="1761"/>
      <c r="H1101" s="1761"/>
      <c r="I1101" s="1761"/>
      <c r="J1101" s="1783"/>
      <c r="K1101" s="684">
        <f>+K1097</f>
        <v>1</v>
      </c>
      <c r="L1101" s="708">
        <v>1</v>
      </c>
      <c r="M1101" s="684">
        <f t="shared" si="954"/>
        <v>15</v>
      </c>
      <c r="N1101" s="362">
        <f t="shared" si="960"/>
        <v>15</v>
      </c>
      <c r="O1101" s="1763" t="str">
        <f t="shared" si="961"/>
        <v>2CDS252001R0164</v>
      </c>
      <c r="P1101" s="1764" t="str">
        <f t="shared" si="962"/>
        <v>ITM Riel-Din 2x16A - S202-C-16A - 10kA@400Vac-IEC60947-2 - marca ABB.</v>
      </c>
      <c r="Q1101" s="120" t="str">
        <f t="shared" si="963"/>
        <v>S202-C-16A</v>
      </c>
      <c r="R1101" s="185"/>
    </row>
    <row r="1102" spans="1:18" s="690" customFormat="1" ht="18" customHeight="1">
      <c r="A1102" s="1785"/>
      <c r="B1102" s="2023">
        <v>15</v>
      </c>
      <c r="C1102" s="2041" t="str">
        <f t="shared" si="990"/>
        <v>Interruptor Diferencial 2x25A - 30mA - clase A (inmunizado) - FH202-A-25A-30mA - marca ABB.</v>
      </c>
      <c r="D1102" s="2006" t="s">
        <v>5318</v>
      </c>
      <c r="E1102" s="2025">
        <f t="shared" si="991"/>
        <v>50</v>
      </c>
      <c r="F1102" s="2026">
        <f t="shared" si="992"/>
        <v>750</v>
      </c>
      <c r="G1102" s="1761"/>
      <c r="H1102" s="1761"/>
      <c r="I1102" s="1761"/>
      <c r="J1102" s="1783"/>
      <c r="K1102" s="684">
        <f>+K1098</f>
        <v>1</v>
      </c>
      <c r="L1102" s="708">
        <v>1</v>
      </c>
      <c r="M1102" s="684">
        <f t="shared" si="954"/>
        <v>15</v>
      </c>
      <c r="N1102" s="362">
        <f t="shared" si="960"/>
        <v>15</v>
      </c>
      <c r="O1102" s="1763" t="str">
        <f t="shared" si="961"/>
        <v>2CSF202102R1250</v>
      </c>
      <c r="P1102" s="1764" t="str">
        <f t="shared" si="962"/>
        <v>Interruptor Diferencial 2x25A - 30mA - clase A (inmunizado) - FH202-A-25A-30mA - marca ABB.</v>
      </c>
      <c r="Q1102" s="120" t="str">
        <f t="shared" si="963"/>
        <v>FH202-A-25A-30mA</v>
      </c>
      <c r="R1102" s="185"/>
    </row>
    <row r="1103" spans="1:18" s="690" customFormat="1" ht="18" customHeight="1">
      <c r="A1103" s="1785"/>
      <c r="B1103" s="1781">
        <v>2</v>
      </c>
      <c r="C1103" s="1960" t="str">
        <f t="shared" si="990"/>
        <v>Espacio de reserva monofasica + interruptor diferencial - Riel-Din.</v>
      </c>
      <c r="D1103" s="2006" t="s">
        <v>2926</v>
      </c>
      <c r="E1103" s="1791">
        <f t="shared" si="991"/>
        <v>2.5</v>
      </c>
      <c r="F1103" s="1782">
        <f t="shared" si="992"/>
        <v>5</v>
      </c>
      <c r="G1103" s="1761"/>
      <c r="H1103" s="1761"/>
      <c r="I1103" s="1761"/>
      <c r="J1103" s="1783"/>
      <c r="K1103" s="684">
        <f>+K1099</f>
        <v>1</v>
      </c>
      <c r="L1103" s="708">
        <v>1</v>
      </c>
      <c r="M1103" s="684">
        <f t="shared" si="954"/>
        <v>2</v>
      </c>
      <c r="N1103" s="362" t="str">
        <f t="shared" si="960"/>
        <v/>
      </c>
      <c r="O1103" s="1763" t="str">
        <f t="shared" si="961"/>
        <v/>
      </c>
      <c r="P1103" s="1764" t="str">
        <f t="shared" si="962"/>
        <v/>
      </c>
      <c r="Q1103" s="120" t="str">
        <f t="shared" si="963"/>
        <v/>
      </c>
      <c r="R1103" s="185"/>
    </row>
    <row r="1104" spans="1:18" s="695" customFormat="1">
      <c r="A1104" s="687"/>
      <c r="B1104" s="1967">
        <v>1</v>
      </c>
      <c r="C1104" s="1946">
        <v>36</v>
      </c>
      <c r="D1104" s="1582"/>
      <c r="E1104" s="2000">
        <v>93</v>
      </c>
      <c r="F1104" s="1968">
        <f t="shared" si="992"/>
        <v>93</v>
      </c>
      <c r="G1104" s="1969"/>
      <c r="H1104" s="1969"/>
      <c r="I1104" s="1969"/>
      <c r="J1104" s="1970"/>
      <c r="K1104" s="684">
        <f t="shared" si="959"/>
        <v>1</v>
      </c>
      <c r="L1104" s="363">
        <v>1</v>
      </c>
      <c r="M1104" s="684">
        <f t="shared" si="954"/>
        <v>1</v>
      </c>
      <c r="N1104" s="362" t="str">
        <f t="shared" si="960"/>
        <v/>
      </c>
      <c r="O1104" s="1763" t="str">
        <f t="shared" si="961"/>
        <v/>
      </c>
      <c r="P1104" s="1764" t="str">
        <f t="shared" si="962"/>
        <v/>
      </c>
      <c r="Q1104" s="120" t="str">
        <f t="shared" si="963"/>
        <v/>
      </c>
    </row>
    <row r="1105" spans="1:18" s="185" customFormat="1">
      <c r="A1105" s="1785"/>
      <c r="B1105" s="714"/>
      <c r="C1105" s="1893" t="s">
        <v>729</v>
      </c>
      <c r="D1105" s="1941"/>
      <c r="E1105" s="1786"/>
      <c r="F1105" s="1787"/>
      <c r="G1105" s="710"/>
      <c r="H1105" s="710"/>
      <c r="I1105" s="710"/>
      <c r="J1105" s="711"/>
      <c r="K1105" s="684">
        <f t="shared" si="959"/>
        <v>1</v>
      </c>
      <c r="L1105" s="363">
        <v>1</v>
      </c>
      <c r="M1105" s="684">
        <f t="shared" si="954"/>
        <v>1</v>
      </c>
      <c r="N1105" s="362" t="str">
        <f t="shared" si="960"/>
        <v/>
      </c>
      <c r="O1105" s="1763" t="str">
        <f t="shared" si="961"/>
        <v/>
      </c>
      <c r="P1105" s="1764" t="str">
        <f t="shared" si="962"/>
        <v/>
      </c>
      <c r="Q1105" s="120" t="str">
        <f t="shared" si="963"/>
        <v/>
      </c>
    </row>
    <row r="1106" spans="1:18" s="315" customFormat="1">
      <c r="A1106" s="1785"/>
      <c r="B1106" s="355">
        <v>1</v>
      </c>
      <c r="C1106" s="1944" t="s">
        <v>13040</v>
      </c>
      <c r="D1106" s="1941"/>
      <c r="E1106" s="1786"/>
      <c r="F1106" s="1908">
        <f>SUM(F1107:F1112)*(B1106-1)</f>
        <v>0</v>
      </c>
      <c r="G1106" s="712"/>
      <c r="H1106" s="712"/>
      <c r="I1106" s="712"/>
      <c r="J1106" s="713"/>
      <c r="K1106" s="684">
        <f t="shared" si="959"/>
        <v>1</v>
      </c>
      <c r="L1106" s="1909">
        <f>B1106</f>
        <v>1</v>
      </c>
      <c r="M1106" s="684">
        <f t="shared" si="954"/>
        <v>1</v>
      </c>
      <c r="N1106" s="362" t="str">
        <f t="shared" si="960"/>
        <v/>
      </c>
      <c r="O1106" s="1763" t="str">
        <f t="shared" si="961"/>
        <v/>
      </c>
      <c r="P1106" s="1764" t="str">
        <f t="shared" si="962"/>
        <v/>
      </c>
      <c r="Q1106" s="120" t="str">
        <f t="shared" si="963"/>
        <v/>
      </c>
    </row>
    <row r="1107" spans="1:18" s="690" customFormat="1" ht="18" customHeight="1">
      <c r="A1107" s="691"/>
      <c r="B1107" s="1781">
        <v>1</v>
      </c>
      <c r="C1107" s="1420" t="str">
        <f>VLOOKUP(D1107,base_datos,6,FALSE)</f>
        <v>Contactor 3x09A(AC-3) / 3x25A(AC-1) +1NA - AF09-30-10-13 - bobina 100-250Vac/dc - marca ABB.</v>
      </c>
      <c r="D1107" s="1901" t="s">
        <v>1447</v>
      </c>
      <c r="E1107" s="1791">
        <f>VLOOKUP(D1107,base_datos,5,FALSE)</f>
        <v>29.89</v>
      </c>
      <c r="F1107" s="1912">
        <f>+E1107*B1107</f>
        <v>29.89</v>
      </c>
      <c r="G1107" s="1761"/>
      <c r="H1107" s="1761"/>
      <c r="I1107" s="1761"/>
      <c r="J1107" s="1783"/>
      <c r="K1107" s="684">
        <f t="shared" si="959"/>
        <v>1</v>
      </c>
      <c r="L1107" s="1913">
        <f>L1106</f>
        <v>1</v>
      </c>
      <c r="M1107" s="684">
        <f t="shared" si="954"/>
        <v>1</v>
      </c>
      <c r="N1107" s="362">
        <f t="shared" si="960"/>
        <v>1</v>
      </c>
      <c r="O1107" s="1763" t="str">
        <f t="shared" si="961"/>
        <v>1SBL137001R1310</v>
      </c>
      <c r="P1107" s="1764" t="str">
        <f t="shared" si="962"/>
        <v>Contactor 3x09A(AC-3) / 3x25A(AC-1) +1NA - AF09-30-10-13 - bobina 100-250Vac/dc - marca ABB.</v>
      </c>
      <c r="Q1107" s="120" t="str">
        <f t="shared" si="963"/>
        <v>AF09-30-10-13_3p</v>
      </c>
      <c r="R1107" s="185"/>
    </row>
    <row r="1108" spans="1:18" s="690" customFormat="1" ht="18" customHeight="1">
      <c r="A1108" s="691"/>
      <c r="B1108" s="1922">
        <v>1</v>
      </c>
      <c r="C1108" s="1848" t="str">
        <f>VLOOKUP(D1108,base_datos,6,FALSE)</f>
        <v>Contacto auxiliar frontal 1NA para contactor AF09..AF16-30-10, frontal - Modelo CA4-10 - marca ABB.</v>
      </c>
      <c r="D1108" s="1901" t="s">
        <v>2718</v>
      </c>
      <c r="E1108" s="1791">
        <f>VLOOKUP(D1108,base_datos,5,FALSE)</f>
        <v>5.92</v>
      </c>
      <c r="F1108" s="1912">
        <f>+E1108*B1108</f>
        <v>5.92</v>
      </c>
      <c r="G1108" s="1761"/>
      <c r="H1108" s="1761"/>
      <c r="I1108" s="1761"/>
      <c r="J1108" s="1783"/>
      <c r="K1108" s="684">
        <f t="shared" si="959"/>
        <v>1</v>
      </c>
      <c r="L1108" s="1913">
        <f>L1107</f>
        <v>1</v>
      </c>
      <c r="M1108" s="684">
        <f t="shared" si="954"/>
        <v>1</v>
      </c>
      <c r="N1108" s="362">
        <f t="shared" si="960"/>
        <v>1</v>
      </c>
      <c r="O1108" s="1763" t="str">
        <f t="shared" si="961"/>
        <v>1SBN010110R1010</v>
      </c>
      <c r="P1108" s="1764" t="str">
        <f t="shared" si="962"/>
        <v>Contacto auxiliar frontal 1NA para contactor AF09..AF16-30-10, frontal - Modelo CA4-10 - marca ABB.</v>
      </c>
      <c r="Q1108" s="120" t="str">
        <f t="shared" si="963"/>
        <v>CA4-10</v>
      </c>
      <c r="R1108" s="185"/>
    </row>
    <row r="1109" spans="1:18" s="1921" customFormat="1">
      <c r="A1109" s="687"/>
      <c r="B1109" s="1914">
        <v>1</v>
      </c>
      <c r="C1109" s="1915" t="s">
        <v>3366</v>
      </c>
      <c r="D1109" s="1916"/>
      <c r="E1109" s="1917"/>
      <c r="F1109" s="1918"/>
      <c r="G1109" s="1919"/>
      <c r="H1109" s="1919"/>
      <c r="I1109" s="1919"/>
      <c r="J1109" s="1920"/>
      <c r="K1109" s="684">
        <f t="shared" si="959"/>
        <v>1</v>
      </c>
      <c r="L1109" s="1913">
        <f t="shared" ref="L1109:L1111" si="993">L1108</f>
        <v>1</v>
      </c>
      <c r="M1109" s="684">
        <f t="shared" si="954"/>
        <v>1</v>
      </c>
      <c r="N1109" s="362" t="str">
        <f t="shared" si="960"/>
        <v/>
      </c>
      <c r="O1109" s="1763" t="str">
        <f t="shared" si="961"/>
        <v/>
      </c>
      <c r="P1109" s="1764" t="str">
        <f t="shared" si="962"/>
        <v/>
      </c>
      <c r="Q1109" s="120" t="str">
        <f t="shared" si="963"/>
        <v/>
      </c>
    </row>
    <row r="1110" spans="1:18" s="695" customFormat="1" ht="18" customHeight="1">
      <c r="A1110" s="693"/>
      <c r="B1110" s="1922">
        <v>1</v>
      </c>
      <c r="C1110" s="1848" t="str">
        <f t="shared" ref="C1110:C1112" si="994">VLOOKUP(D1110,base_datos,6,FALSE)</f>
        <v>Base portafusibles + Fusibles de protección para control.</v>
      </c>
      <c r="D1110" s="1886" t="s">
        <v>453</v>
      </c>
      <c r="E1110" s="1795">
        <f t="shared" ref="E1110:E1112" si="995">VLOOKUP(D1110,base_datos,5,FALSE)</f>
        <v>8.1750000000000007</v>
      </c>
      <c r="F1110" s="1923">
        <f t="shared" ref="F1110:F1112" si="996">+E1110*B1110</f>
        <v>8.1750000000000007</v>
      </c>
      <c r="G1110" s="696"/>
      <c r="H1110" s="696"/>
      <c r="I1110" s="696"/>
      <c r="J1110" s="697"/>
      <c r="K1110" s="684">
        <f t="shared" si="959"/>
        <v>1</v>
      </c>
      <c r="L1110" s="1913">
        <f t="shared" si="993"/>
        <v>1</v>
      </c>
      <c r="M1110" s="684">
        <f t="shared" si="954"/>
        <v>1</v>
      </c>
      <c r="N1110" s="362" t="str">
        <f t="shared" si="960"/>
        <v/>
      </c>
      <c r="O1110" s="1763" t="str">
        <f t="shared" si="961"/>
        <v/>
      </c>
      <c r="P1110" s="1764" t="str">
        <f t="shared" si="962"/>
        <v/>
      </c>
      <c r="Q1110" s="120" t="str">
        <f t="shared" si="963"/>
        <v/>
      </c>
      <c r="R1110" s="185"/>
    </row>
    <row r="1111" spans="1:18" s="695" customFormat="1" ht="18" customHeight="1">
      <c r="A1111" s="693"/>
      <c r="B1111" s="1922">
        <v>1</v>
      </c>
      <c r="C1111" s="1848" t="str">
        <f t="shared" si="994"/>
        <v>Borne para neutro.</v>
      </c>
      <c r="D1111" s="1886" t="s">
        <v>13049</v>
      </c>
      <c r="E1111" s="1795">
        <f t="shared" si="995"/>
        <v>4</v>
      </c>
      <c r="F1111" s="1923">
        <f t="shared" si="996"/>
        <v>4</v>
      </c>
      <c r="G1111" s="696"/>
      <c r="H1111" s="696"/>
      <c r="I1111" s="696"/>
      <c r="J1111" s="697"/>
      <c r="K1111" s="684">
        <f t="shared" si="959"/>
        <v>1</v>
      </c>
      <c r="L1111" s="1913">
        <f t="shared" si="993"/>
        <v>1</v>
      </c>
      <c r="M1111" s="684">
        <f t="shared" si="954"/>
        <v>1</v>
      </c>
      <c r="N1111" s="362" t="str">
        <f t="shared" si="960"/>
        <v/>
      </c>
      <c r="O1111" s="1763" t="str">
        <f t="shared" si="961"/>
        <v/>
      </c>
      <c r="P1111" s="1764" t="str">
        <f t="shared" si="962"/>
        <v/>
      </c>
      <c r="Q1111" s="120" t="str">
        <f t="shared" si="963"/>
        <v/>
      </c>
      <c r="R1111" s="185"/>
    </row>
    <row r="1112" spans="1:18" s="695" customFormat="1" ht="18" customHeight="1">
      <c r="A1112" s="693"/>
      <c r="B1112" s="1922">
        <v>2</v>
      </c>
      <c r="C1112" s="1848" t="str">
        <f t="shared" si="994"/>
        <v>Borne 4mm2.</v>
      </c>
      <c r="D1112" s="1886" t="s">
        <v>437</v>
      </c>
      <c r="E1112" s="1795">
        <f t="shared" si="995"/>
        <v>2.5</v>
      </c>
      <c r="F1112" s="1923">
        <f t="shared" si="996"/>
        <v>5</v>
      </c>
      <c r="G1112" s="696"/>
      <c r="H1112" s="696"/>
      <c r="I1112" s="696"/>
      <c r="J1112" s="697"/>
      <c r="K1112" s="684">
        <f t="shared" si="959"/>
        <v>1</v>
      </c>
      <c r="L1112" s="1913">
        <f>L1110</f>
        <v>1</v>
      </c>
      <c r="M1112" s="684">
        <f t="shared" si="954"/>
        <v>2</v>
      </c>
      <c r="N1112" s="362" t="str">
        <f t="shared" si="960"/>
        <v/>
      </c>
      <c r="O1112" s="1763" t="str">
        <f t="shared" si="961"/>
        <v/>
      </c>
      <c r="P1112" s="1764" t="str">
        <f t="shared" si="962"/>
        <v/>
      </c>
      <c r="Q1112" s="120" t="str">
        <f t="shared" si="963"/>
        <v/>
      </c>
      <c r="R1112" s="185"/>
    </row>
    <row r="1113" spans="1:18" s="185" customFormat="1" ht="18" customHeight="1">
      <c r="A1113" s="1785"/>
      <c r="B1113" s="714"/>
      <c r="C1113" s="1893" t="s">
        <v>729</v>
      </c>
      <c r="D1113" s="173"/>
      <c r="E1113" s="1786"/>
      <c r="F1113" s="1787"/>
      <c r="G1113" s="710"/>
      <c r="H1113" s="710"/>
      <c r="I1113" s="710"/>
      <c r="J1113" s="711"/>
      <c r="K1113" s="684">
        <f t="shared" si="959"/>
        <v>1</v>
      </c>
      <c r="L1113" s="708">
        <v>1</v>
      </c>
      <c r="M1113" s="684">
        <f t="shared" si="954"/>
        <v>1</v>
      </c>
      <c r="N1113" s="362" t="str">
        <f t="shared" si="960"/>
        <v/>
      </c>
      <c r="O1113" s="1763" t="str">
        <f t="shared" si="961"/>
        <v/>
      </c>
      <c r="P1113" s="1764" t="str">
        <f t="shared" si="962"/>
        <v/>
      </c>
      <c r="Q1113" s="120" t="str">
        <f t="shared" si="963"/>
        <v/>
      </c>
    </row>
    <row r="1114" spans="1:18" s="2434" customFormat="1" ht="18" customHeight="1">
      <c r="A1114" s="2418"/>
      <c r="B1114" s="2419">
        <v>1</v>
      </c>
      <c r="C1114" s="2420" t="s">
        <v>13045</v>
      </c>
      <c r="D1114" s="2421"/>
      <c r="E1114" s="2422"/>
      <c r="F1114" s="2423">
        <f>SUM(F1115:F1119)*(B1114-1)</f>
        <v>0</v>
      </c>
      <c r="G1114" s="2424"/>
      <c r="H1114" s="2424"/>
      <c r="I1114" s="2424"/>
      <c r="J1114" s="2425"/>
      <c r="K1114" s="2426">
        <f>K1112</f>
        <v>1</v>
      </c>
      <c r="L1114" s="2427">
        <f>B1114</f>
        <v>1</v>
      </c>
      <c r="M1114" s="2428">
        <f t="shared" si="954"/>
        <v>1</v>
      </c>
      <c r="N1114" s="2429" t="str">
        <f>IF(O1114&lt;&gt;"",K1114*L1114*M1114,"")</f>
        <v/>
      </c>
      <c r="O1114" s="2430" t="str">
        <f>IF(D1114&lt;&gt;"",IF(VLOOKUP(D1114,base_datos,7,FALSE)&lt;&gt;"",VLOOKUP(D1114,base_datos,7,FALSE),""),"")</f>
        <v/>
      </c>
      <c r="P1114" s="2431" t="str">
        <f>IF(O1114&lt;&gt;"",VLOOKUP(D1114,base_datos,6,FALSE),"")</f>
        <v/>
      </c>
      <c r="Q1114" s="2432" t="str">
        <f>IF(O1114&lt;&gt;"",D1114,"")</f>
        <v/>
      </c>
      <c r="R1114" s="2433"/>
    </row>
    <row r="1115" spans="1:18" s="2434" customFormat="1" ht="18" customHeight="1">
      <c r="A1115" s="2418"/>
      <c r="B1115" s="2435">
        <v>1</v>
      </c>
      <c r="C1115" s="2436" t="str">
        <f>VLOOKUP(D1115,base_datos,6,FALSE)</f>
        <v>Selector 3 posiciones mantenidos - 1-0-2 / M-0-A - maneta corta, contactos 2NA - C3SS1-10B-20 - compacto - marca ABB.</v>
      </c>
      <c r="D1115" s="2437" t="s">
        <v>1223</v>
      </c>
      <c r="E1115" s="2422">
        <f>VLOOKUP(D1115,base_datos,5,FALSE)</f>
        <v>16.680000000000003</v>
      </c>
      <c r="F1115" s="2438">
        <f t="shared" ref="F1115" si="997">+E1115*B1115</f>
        <v>16.680000000000003</v>
      </c>
      <c r="G1115" s="2424"/>
      <c r="H1115" s="2424"/>
      <c r="I1115" s="2424"/>
      <c r="J1115" s="2425"/>
      <c r="K1115" s="2426">
        <f t="shared" ref="K1115:K1124" si="998">K1113</f>
        <v>1</v>
      </c>
      <c r="L1115" s="2427">
        <f>L1114</f>
        <v>1</v>
      </c>
      <c r="M1115" s="2428">
        <f t="shared" si="954"/>
        <v>1</v>
      </c>
      <c r="N1115" s="2429">
        <f>IF(O1115&lt;&gt;"",K1115*L1115*M1115,"")</f>
        <v>1</v>
      </c>
      <c r="O1115" s="2430" t="str">
        <f>IF(D1115&lt;&gt;"",IF(VLOOKUP(D1115,base_datos,7,FALSE)&lt;&gt;"",VLOOKUP(D1115,base_datos,7,FALSE),""),"")</f>
        <v>1SFA619210R1026</v>
      </c>
      <c r="P1115" s="2431" t="str">
        <f>IF(O1115&lt;&gt;"",VLOOKUP(D1115,base_datos,6,FALSE),"")</f>
        <v>Selector 3 posiciones mantenidos - 1-0-2 / M-0-A - maneta corta, contactos 2NA - C3SS1-10B-20 - compacto - marca ABB.</v>
      </c>
      <c r="Q1115" s="2432" t="str">
        <f>IF(O1115&lt;&gt;"",D1115,"")</f>
        <v>SEL_1-0-2</v>
      </c>
      <c r="R1115" s="2433"/>
    </row>
    <row r="1116" spans="1:18" s="2432" customFormat="1">
      <c r="A1116" s="2418"/>
      <c r="B1116" s="2435">
        <v>1</v>
      </c>
      <c r="C1116" s="2439" t="s">
        <v>3366</v>
      </c>
      <c r="D1116" s="2440"/>
      <c r="E1116" s="2422"/>
      <c r="F1116" s="2438"/>
      <c r="G1116" s="2441"/>
      <c r="H1116" s="2441"/>
      <c r="I1116" s="2441"/>
      <c r="J1116" s="2442"/>
      <c r="K1116" s="2426">
        <f t="shared" si="998"/>
        <v>1</v>
      </c>
      <c r="L1116" s="2427">
        <f>L1117</f>
        <v>1</v>
      </c>
      <c r="M1116" s="2426">
        <f t="shared" si="954"/>
        <v>1</v>
      </c>
      <c r="N1116" s="2429" t="str">
        <f t="shared" ref="N1116" si="999">IF(O1116&lt;&gt;"",K1116*L1116*M1116,"")</f>
        <v/>
      </c>
      <c r="O1116" s="2430" t="str">
        <f t="shared" ref="O1116" si="1000">IF(D1116&lt;&gt;"",IF(VLOOKUP(D1116,base_datos,7,FALSE)&lt;&gt;"",VLOOKUP(D1116,base_datos,7,FALSE),""),"")</f>
        <v/>
      </c>
      <c r="P1116" s="2431" t="str">
        <f t="shared" ref="P1116" si="1001">IF(O1116&lt;&gt;"",VLOOKUP(D1116,base_datos,6,FALSE),"")</f>
        <v/>
      </c>
      <c r="Q1116" s="2432" t="str">
        <f t="shared" ref="Q1116" si="1002">IF(O1116&lt;&gt;"",D1116,"")</f>
        <v/>
      </c>
    </row>
    <row r="1117" spans="1:18" s="2450" customFormat="1" ht="18" customHeight="1">
      <c r="A1117" s="2443"/>
      <c r="B1117" s="2444">
        <v>1</v>
      </c>
      <c r="C1117" s="2445" t="str">
        <f t="shared" ref="C1117:C1119" si="1003">VLOOKUP(D1117,base_datos,6,FALSE)</f>
        <v>Base portafusibles + Fusibles de protección para control.</v>
      </c>
      <c r="D1117" s="2446" t="s">
        <v>453</v>
      </c>
      <c r="E1117" s="2447">
        <f t="shared" ref="E1117:E1119" si="1004">VLOOKUP(D1117,base_datos,5,FALSE)</f>
        <v>8.1750000000000007</v>
      </c>
      <c r="F1117" s="2438">
        <f>+E1117*B1117</f>
        <v>8.1750000000000007</v>
      </c>
      <c r="G1117" s="2448"/>
      <c r="H1117" s="2448"/>
      <c r="I1117" s="2448"/>
      <c r="J1117" s="2449"/>
      <c r="K1117" s="2426">
        <f t="shared" si="998"/>
        <v>1</v>
      </c>
      <c r="L1117" s="2427">
        <f>L1115</f>
        <v>1</v>
      </c>
      <c r="M1117" s="2428">
        <f>IF(B1117="",1,B1117)</f>
        <v>1</v>
      </c>
      <c r="N1117" s="2429" t="str">
        <f>IF(O1117&lt;&gt;"",K1117*L1117*M1117,"")</f>
        <v/>
      </c>
      <c r="O1117" s="2430" t="str">
        <f>IF(D1117&lt;&gt;"",IF(VLOOKUP(D1117,base_datos,7,FALSE)&lt;&gt;"",VLOOKUP(D1117,base_datos,7,FALSE),""),"")</f>
        <v/>
      </c>
      <c r="P1117" s="2431" t="str">
        <f>IF(O1117&lt;&gt;"",VLOOKUP(D1117,base_datos,6,FALSE),"")</f>
        <v/>
      </c>
      <c r="Q1117" s="2432" t="str">
        <f>IF(O1117&lt;&gt;"",D1117,"")</f>
        <v/>
      </c>
      <c r="R1117" s="2433"/>
    </row>
    <row r="1118" spans="1:18" s="2450" customFormat="1" ht="18" customHeight="1">
      <c r="A1118" s="2443"/>
      <c r="B1118" s="2444">
        <v>1</v>
      </c>
      <c r="C1118" s="2445" t="str">
        <f t="shared" si="1003"/>
        <v>Borne para neutro.</v>
      </c>
      <c r="D1118" s="2451" t="s">
        <v>436</v>
      </c>
      <c r="E1118" s="2447">
        <f t="shared" si="1004"/>
        <v>4</v>
      </c>
      <c r="F1118" s="2438">
        <f t="shared" ref="F1118:F1119" si="1005">+E1118*B1118</f>
        <v>4</v>
      </c>
      <c r="G1118" s="2448"/>
      <c r="H1118" s="2448"/>
      <c r="I1118" s="2448"/>
      <c r="J1118" s="2449"/>
      <c r="K1118" s="2426">
        <f t="shared" si="998"/>
        <v>1</v>
      </c>
      <c r="L1118" s="2427">
        <f>L1116</f>
        <v>1</v>
      </c>
      <c r="M1118" s="2428">
        <f t="shared" ref="M1118:M1120" si="1006">IF(B1118="",1,B1118)</f>
        <v>1</v>
      </c>
      <c r="N1118" s="2429" t="str">
        <f t="shared" ref="N1118:N1119" si="1007">IF(O1118&lt;&gt;"",K1118*L1118*M1118,"")</f>
        <v/>
      </c>
      <c r="O1118" s="2430" t="str">
        <f t="shared" ref="O1118:O1119" si="1008">IF(D1118&lt;&gt;"",IF(VLOOKUP(D1118,base_datos,7,FALSE)&lt;&gt;"",VLOOKUP(D1118,base_datos,7,FALSE),""),"")</f>
        <v/>
      </c>
      <c r="P1118" s="2431" t="str">
        <f t="shared" ref="P1118:P1119" si="1009">IF(O1118&lt;&gt;"",VLOOKUP(D1118,base_datos,6,FALSE),"")</f>
        <v/>
      </c>
      <c r="Q1118" s="2432" t="str">
        <f t="shared" ref="Q1118:Q1119" si="1010">IF(O1118&lt;&gt;"",D1118,"")</f>
        <v/>
      </c>
      <c r="R1118" s="2433"/>
    </row>
    <row r="1119" spans="1:18" s="2450" customFormat="1" ht="18" customHeight="1">
      <c r="A1119" s="2443"/>
      <c r="B1119" s="2444">
        <v>2</v>
      </c>
      <c r="C1119" s="2445" t="str">
        <f t="shared" si="1003"/>
        <v>Borne 4mm2.</v>
      </c>
      <c r="D1119" s="2446" t="s">
        <v>437</v>
      </c>
      <c r="E1119" s="2447">
        <f t="shared" si="1004"/>
        <v>2.5</v>
      </c>
      <c r="F1119" s="2438">
        <f t="shared" si="1005"/>
        <v>5</v>
      </c>
      <c r="G1119" s="2448"/>
      <c r="H1119" s="2448"/>
      <c r="I1119" s="2448"/>
      <c r="J1119" s="2449"/>
      <c r="K1119" s="2426">
        <f t="shared" si="998"/>
        <v>1</v>
      </c>
      <c r="L1119" s="2427">
        <f t="shared" ref="L1119" si="1011">L1118</f>
        <v>1</v>
      </c>
      <c r="M1119" s="2428">
        <f t="shared" si="1006"/>
        <v>2</v>
      </c>
      <c r="N1119" s="2429" t="str">
        <f t="shared" si="1007"/>
        <v/>
      </c>
      <c r="O1119" s="2430" t="str">
        <f t="shared" si="1008"/>
        <v/>
      </c>
      <c r="P1119" s="2431" t="str">
        <f t="shared" si="1009"/>
        <v/>
      </c>
      <c r="Q1119" s="2432" t="str">
        <f t="shared" si="1010"/>
        <v/>
      </c>
      <c r="R1119" s="2433"/>
    </row>
    <row r="1120" spans="1:18" s="2433" customFormat="1">
      <c r="A1120" s="2418"/>
      <c r="B1120" s="2452"/>
      <c r="C1120" s="2453" t="s">
        <v>729</v>
      </c>
      <c r="D1120" s="2451"/>
      <c r="E1120" s="2454"/>
      <c r="F1120" s="2455"/>
      <c r="G1120" s="2456"/>
      <c r="H1120" s="2456"/>
      <c r="I1120" s="2456"/>
      <c r="J1120" s="2457"/>
      <c r="K1120" s="2426">
        <f t="shared" si="998"/>
        <v>1</v>
      </c>
      <c r="L1120" s="2458">
        <v>1</v>
      </c>
      <c r="M1120" s="2426">
        <f t="shared" si="1006"/>
        <v>1</v>
      </c>
      <c r="N1120" s="2459" t="str">
        <f>IF(O1120&lt;&gt;"",K1120*L1120*M1120,"")</f>
        <v/>
      </c>
      <c r="O1120" s="2460" t="str">
        <f>IF(D1120&lt;&gt;"",IF(VLOOKUP(D1120,base_datos,7,FALSE)&lt;&gt;"",VLOOKUP(D1120,base_datos,7,FALSE),""),"")</f>
        <v/>
      </c>
      <c r="P1120" s="2461" t="str">
        <f>IF(O1120&lt;&gt;"",VLOOKUP(D1120,base_datos,6,FALSE),"")</f>
        <v/>
      </c>
      <c r="Q1120" s="2433" t="str">
        <f>IF(O1120&lt;&gt;"",D1120,"")</f>
        <v/>
      </c>
    </row>
    <row r="1121" spans="1:20" s="2450" customFormat="1" ht="18" customHeight="1">
      <c r="A1121" s="2462"/>
      <c r="B1121" s="2444">
        <v>1</v>
      </c>
      <c r="C1121" s="2445" t="str">
        <f>VLOOKUP(D1121,base_datos,6,FALSE)</f>
        <v>Rele auxiliar enchufable +4NA/NC (D2PR4B + base D2PA6), 220Vac - marca EATON.</v>
      </c>
      <c r="D1121" s="2446" t="s">
        <v>772</v>
      </c>
      <c r="E1121" s="2447">
        <f>VLOOKUP(D1121,base_datos,5,FALSE)</f>
        <v>27</v>
      </c>
      <c r="F1121" s="2438">
        <f>+E1121*B1121</f>
        <v>27</v>
      </c>
      <c r="G1121" s="2448"/>
      <c r="H1121" s="2448"/>
      <c r="I1121" s="2448"/>
      <c r="J1121" s="2449"/>
      <c r="K1121" s="2426">
        <f t="shared" si="998"/>
        <v>1</v>
      </c>
      <c r="L1121" s="2463">
        <v>1</v>
      </c>
      <c r="M1121" s="2428">
        <f>IF(B1121="",1,B1121)</f>
        <v>1</v>
      </c>
      <c r="N1121" s="2429">
        <f>IF(O1121&lt;&gt;"",K1121*L1121*M1121,"")</f>
        <v>1</v>
      </c>
      <c r="O1121" s="2430" t="str">
        <f>IF(D1121&lt;&gt;"",IF(VLOOKUP(D1121,base_datos,7,FALSE)&lt;&gt;"",VLOOKUP(D1121,base_datos,7,FALSE),""),"")</f>
        <v>D2PR4B+D2PA6</v>
      </c>
      <c r="P1121" s="2431" t="str">
        <f>IF(O1121&lt;&gt;"",VLOOKUP(D1121,base_datos,6,FALSE),"")</f>
        <v>Rele auxiliar enchufable +4NA/NC (D2PR4B + base D2PA6), 220Vac - marca EATON.</v>
      </c>
      <c r="Q1121" s="2432" t="str">
        <f>IF(O1121&lt;&gt;"",D1121,"")</f>
        <v>D2PR4B+D2PA6</v>
      </c>
      <c r="R1121" s="2433"/>
    </row>
    <row r="1122" spans="1:20" s="2450" customFormat="1" ht="18" customHeight="1">
      <c r="A1122" s="2443"/>
      <c r="B1122" s="2444">
        <v>4</v>
      </c>
      <c r="C1122" s="2445" t="str">
        <f t="shared" ref="C1122:C1124" si="1012">VLOOKUP(D1122,base_datos,6,FALSE)</f>
        <v>Borne 4mm2.</v>
      </c>
      <c r="D1122" s="2446" t="s">
        <v>437</v>
      </c>
      <c r="E1122" s="2447">
        <f t="shared" ref="E1122:E1124" si="1013">VLOOKUP(D1122,base_datos,5,FALSE)</f>
        <v>2.5</v>
      </c>
      <c r="F1122" s="2438">
        <f t="shared" ref="F1122:F1124" si="1014">+E1122*B1122</f>
        <v>10</v>
      </c>
      <c r="G1122" s="2448"/>
      <c r="H1122" s="2448"/>
      <c r="I1122" s="2448"/>
      <c r="J1122" s="2449"/>
      <c r="K1122" s="2426">
        <f t="shared" si="998"/>
        <v>1</v>
      </c>
      <c r="L1122" s="2463">
        <v>1</v>
      </c>
      <c r="M1122" s="2428">
        <f t="shared" ref="M1122:M1125" si="1015">IF(B1122="",1,B1122)</f>
        <v>4</v>
      </c>
      <c r="N1122" s="2429" t="str">
        <f t="shared" ref="N1122:N1125" si="1016">IF(O1122&lt;&gt;"",K1122*L1122*M1122,"")</f>
        <v/>
      </c>
      <c r="O1122" s="2430" t="str">
        <f t="shared" ref="O1122:O1125" si="1017">IF(D1122&lt;&gt;"",IF(VLOOKUP(D1122,base_datos,7,FALSE)&lt;&gt;"",VLOOKUP(D1122,base_datos,7,FALSE),""),"")</f>
        <v/>
      </c>
      <c r="P1122" s="2431" t="str">
        <f t="shared" ref="P1122:P1125" si="1018">IF(O1122&lt;&gt;"",VLOOKUP(D1122,base_datos,6,FALSE),"")</f>
        <v/>
      </c>
      <c r="Q1122" s="2432" t="str">
        <f t="shared" ref="Q1122:Q1125" si="1019">IF(O1122&lt;&gt;"",D1122,"")</f>
        <v/>
      </c>
      <c r="R1122" s="2433"/>
    </row>
    <row r="1123" spans="1:20" s="2450" customFormat="1" ht="18" customHeight="1">
      <c r="A1123" s="2443"/>
      <c r="B1123" s="2444">
        <v>1</v>
      </c>
      <c r="C1123" s="2445" t="str">
        <f t="shared" si="1012"/>
        <v>Base portafusibles + Fusibles de protección para control.</v>
      </c>
      <c r="D1123" s="2446" t="s">
        <v>453</v>
      </c>
      <c r="E1123" s="2447">
        <f t="shared" si="1013"/>
        <v>8.1750000000000007</v>
      </c>
      <c r="F1123" s="2438">
        <f t="shared" si="1014"/>
        <v>8.1750000000000007</v>
      </c>
      <c r="G1123" s="2448"/>
      <c r="H1123" s="2448"/>
      <c r="I1123" s="2448"/>
      <c r="J1123" s="2449"/>
      <c r="K1123" s="2426">
        <f t="shared" si="998"/>
        <v>1</v>
      </c>
      <c r="L1123" s="2463">
        <v>1</v>
      </c>
      <c r="M1123" s="2428">
        <f t="shared" si="1015"/>
        <v>1</v>
      </c>
      <c r="N1123" s="2429" t="str">
        <f t="shared" si="1016"/>
        <v/>
      </c>
      <c r="O1123" s="2430" t="str">
        <f t="shared" si="1017"/>
        <v/>
      </c>
      <c r="P1123" s="2431" t="str">
        <f t="shared" si="1018"/>
        <v/>
      </c>
      <c r="Q1123" s="2432" t="str">
        <f t="shared" si="1019"/>
        <v/>
      </c>
      <c r="R1123" s="2433"/>
    </row>
    <row r="1124" spans="1:20" s="2450" customFormat="1" ht="18" customHeight="1">
      <c r="A1124" s="2443"/>
      <c r="B1124" s="2444">
        <v>1</v>
      </c>
      <c r="C1124" s="2445" t="str">
        <f t="shared" si="1012"/>
        <v>Borne para neutro.</v>
      </c>
      <c r="D1124" s="2451" t="s">
        <v>436</v>
      </c>
      <c r="E1124" s="2447">
        <f t="shared" si="1013"/>
        <v>4</v>
      </c>
      <c r="F1124" s="2438">
        <f t="shared" si="1014"/>
        <v>4</v>
      </c>
      <c r="G1124" s="2448"/>
      <c r="H1124" s="2448"/>
      <c r="I1124" s="2448"/>
      <c r="J1124" s="2449"/>
      <c r="K1124" s="2426">
        <f t="shared" si="998"/>
        <v>1</v>
      </c>
      <c r="L1124" s="2427">
        <f t="shared" ref="L1124" si="1020">L1123</f>
        <v>1</v>
      </c>
      <c r="M1124" s="2428">
        <f t="shared" si="1015"/>
        <v>1</v>
      </c>
      <c r="N1124" s="2429" t="str">
        <f t="shared" si="1016"/>
        <v/>
      </c>
      <c r="O1124" s="2430" t="str">
        <f t="shared" si="1017"/>
        <v/>
      </c>
      <c r="P1124" s="2431" t="str">
        <f t="shared" si="1018"/>
        <v/>
      </c>
      <c r="Q1124" s="2432" t="str">
        <f t="shared" si="1019"/>
        <v/>
      </c>
      <c r="R1124" s="2433"/>
    </row>
    <row r="1125" spans="1:20" s="185" customFormat="1" ht="18" customHeight="1">
      <c r="A1125" s="1785"/>
      <c r="B1125" s="714"/>
      <c r="C1125" s="1893" t="s">
        <v>729</v>
      </c>
      <c r="D1125" s="173"/>
      <c r="E1125" s="1786"/>
      <c r="F1125" s="1787"/>
      <c r="G1125" s="710"/>
      <c r="H1125" s="710"/>
      <c r="I1125" s="710"/>
      <c r="J1125" s="711"/>
      <c r="K1125" s="684">
        <f t="shared" si="959"/>
        <v>1</v>
      </c>
      <c r="L1125" s="708">
        <v>1</v>
      </c>
      <c r="M1125" s="684">
        <f t="shared" si="1015"/>
        <v>1</v>
      </c>
      <c r="N1125" s="362" t="str">
        <f t="shared" si="1016"/>
        <v/>
      </c>
      <c r="O1125" s="1763" t="str">
        <f t="shared" si="1017"/>
        <v/>
      </c>
      <c r="P1125" s="1764" t="str">
        <f t="shared" si="1018"/>
        <v/>
      </c>
      <c r="Q1125" s="120" t="str">
        <f t="shared" si="1019"/>
        <v/>
      </c>
    </row>
    <row r="1126" spans="1:20" s="315" customFormat="1" ht="12.75" customHeight="1">
      <c r="A1126" s="2271"/>
      <c r="B1126" s="2272">
        <v>1</v>
      </c>
      <c r="C1126" s="2281" t="s">
        <v>13366</v>
      </c>
      <c r="D1126" s="1935"/>
      <c r="E1126" s="2287"/>
      <c r="F1126" s="2257">
        <f>+SUM(F1127:F1130)*(B1126-1)</f>
        <v>0</v>
      </c>
      <c r="G1126" s="712"/>
      <c r="H1126" s="712"/>
      <c r="I1126" s="712"/>
      <c r="J1126" s="713"/>
      <c r="K1126" s="684">
        <f>+K1111</f>
        <v>1</v>
      </c>
      <c r="L1126" s="708">
        <v>1</v>
      </c>
      <c r="M1126" s="709">
        <f t="shared" si="954"/>
        <v>1</v>
      </c>
      <c r="N1126" s="112" t="str">
        <f t="shared" si="960"/>
        <v/>
      </c>
      <c r="O1126" s="112" t="str">
        <f t="shared" si="961"/>
        <v/>
      </c>
      <c r="P1126" s="120" t="str">
        <f t="shared" si="962"/>
        <v/>
      </c>
      <c r="Q1126" s="120" t="str">
        <f t="shared" si="963"/>
        <v/>
      </c>
      <c r="S1126" s="112" t="str">
        <f t="shared" ref="S1126:S1131" si="1021">IF(O1126&lt;&gt;"",VLOOKUP(D1126,base_datos,9,FALSE),"")</f>
        <v/>
      </c>
      <c r="T1126" s="2128"/>
    </row>
    <row r="1127" spans="1:20" s="690" customFormat="1" ht="18" customHeight="1">
      <c r="A1127" s="2273"/>
      <c r="B1127" s="1781">
        <v>1</v>
      </c>
      <c r="C1127" s="1420" t="str">
        <f t="shared" ref="C1127:C1130" si="1022">VLOOKUP(D1127,base_datos,6,FALSE)</f>
        <v>Calefactor resistivo 60W, modelo RACM - marca FANDIS.</v>
      </c>
      <c r="D1127" s="1899" t="s">
        <v>3298</v>
      </c>
      <c r="E1127" s="2288">
        <f t="shared" ref="E1127" si="1023">VLOOKUP(D1127,base_datos,5,FALSE)</f>
        <v>127.1</v>
      </c>
      <c r="F1127" s="1782">
        <f>+E1127*B1127</f>
        <v>127.1</v>
      </c>
      <c r="G1127" s="1761"/>
      <c r="H1127" s="1761"/>
      <c r="I1127" s="1761"/>
      <c r="J1127" s="689"/>
      <c r="K1127" s="684">
        <f>+K1112</f>
        <v>1</v>
      </c>
      <c r="L1127" s="708">
        <v>1</v>
      </c>
      <c r="M1127" s="709">
        <f t="shared" si="954"/>
        <v>1</v>
      </c>
      <c r="N1127" s="112">
        <f t="shared" si="960"/>
        <v>1</v>
      </c>
      <c r="O1127" s="112" t="str">
        <f t="shared" si="961"/>
        <v>RACM-60</v>
      </c>
      <c r="P1127" s="120" t="str">
        <f t="shared" si="962"/>
        <v>Calefactor resistivo 60W, modelo RACM - marca FANDIS.</v>
      </c>
      <c r="Q1127" s="120" t="str">
        <f t="shared" si="963"/>
        <v>CALEFACT-60W_FAND</v>
      </c>
      <c r="S1127" s="112" t="str">
        <f t="shared" si="1021"/>
        <v>FANDIS</v>
      </c>
      <c r="T1127" s="1765"/>
    </row>
    <row r="1128" spans="1:20" s="690" customFormat="1" ht="18" customHeight="1">
      <c r="A1128" s="2273"/>
      <c r="B1128" s="1781">
        <v>1</v>
      </c>
      <c r="C1128" s="1420" t="str">
        <f t="shared" si="1022"/>
        <v>Termostato para ventilación - 1NA - 230V - marca FANDIS.</v>
      </c>
      <c r="D1128" s="1899" t="s">
        <v>3294</v>
      </c>
      <c r="E1128" s="2288">
        <f t="shared" ref="E1128:E1130" si="1024">VLOOKUP(D1128,base_datos,5,FALSE)</f>
        <v>41.58</v>
      </c>
      <c r="F1128" s="1782">
        <f>+E1128*B1128</f>
        <v>41.58</v>
      </c>
      <c r="G1128" s="1761"/>
      <c r="H1128" s="1761"/>
      <c r="I1128" s="1761"/>
      <c r="J1128" s="689"/>
      <c r="K1128" s="684">
        <f>+K1113</f>
        <v>1</v>
      </c>
      <c r="L1128" s="708">
        <v>1</v>
      </c>
      <c r="M1128" s="709">
        <f t="shared" si="954"/>
        <v>1</v>
      </c>
      <c r="N1128" s="112">
        <f t="shared" si="960"/>
        <v>1</v>
      </c>
      <c r="O1128" s="112" t="str">
        <f t="shared" si="961"/>
        <v>TRT-10A230V-NO</v>
      </c>
      <c r="P1128" s="120" t="str">
        <f t="shared" si="962"/>
        <v>Termostato para ventilación - 1NA - 230V - marca FANDIS.</v>
      </c>
      <c r="Q1128" s="120" t="str">
        <f t="shared" si="963"/>
        <v>TRT-1NA</v>
      </c>
      <c r="S1128" s="112" t="str">
        <f t="shared" si="1021"/>
        <v>FANDIS</v>
      </c>
      <c r="T1128" s="1765"/>
    </row>
    <row r="1129" spans="1:20" s="320" customFormat="1" ht="12.75" customHeight="1">
      <c r="A1129" s="2274"/>
      <c r="B1129" s="2275">
        <v>1</v>
      </c>
      <c r="C1129" s="2282" t="str">
        <f t="shared" si="1022"/>
        <v>Base portafusibles + Fusibles de protección para control.</v>
      </c>
      <c r="D1129" s="1579" t="s">
        <v>453</v>
      </c>
      <c r="E1129" s="2289">
        <f t="shared" si="1024"/>
        <v>8.1750000000000007</v>
      </c>
      <c r="F1129" s="2264">
        <f>+E1129*B1129</f>
        <v>8.1750000000000007</v>
      </c>
      <c r="G1129" s="2276"/>
      <c r="H1129" s="2276"/>
      <c r="I1129" s="2276"/>
      <c r="J1129" s="722"/>
      <c r="K1129" s="684">
        <f t="shared" si="959"/>
        <v>1</v>
      </c>
      <c r="L1129" s="708">
        <v>1</v>
      </c>
      <c r="M1129" s="709">
        <f t="shared" si="954"/>
        <v>1</v>
      </c>
      <c r="N1129" s="112" t="str">
        <f t="shared" si="960"/>
        <v/>
      </c>
      <c r="O1129" s="112" t="str">
        <f t="shared" si="961"/>
        <v/>
      </c>
      <c r="P1129" s="120" t="str">
        <f t="shared" si="962"/>
        <v/>
      </c>
      <c r="Q1129" s="120" t="str">
        <f t="shared" si="963"/>
        <v/>
      </c>
      <c r="R1129" s="185"/>
      <c r="S1129" s="112" t="str">
        <f t="shared" si="1021"/>
        <v/>
      </c>
      <c r="T1129" s="709"/>
    </row>
    <row r="1130" spans="1:20" s="320" customFormat="1" ht="12.75" customHeight="1">
      <c r="A1130" s="2274"/>
      <c r="B1130" s="2277">
        <v>1</v>
      </c>
      <c r="C1130" s="2282" t="str">
        <f t="shared" si="1022"/>
        <v>Borne 4mm2.</v>
      </c>
      <c r="D1130" s="1579" t="s">
        <v>437</v>
      </c>
      <c r="E1130" s="2260">
        <f t="shared" si="1024"/>
        <v>2.5</v>
      </c>
      <c r="F1130" s="2260">
        <f>+E1130*B1130</f>
        <v>2.5</v>
      </c>
      <c r="G1130" s="2276"/>
      <c r="H1130" s="2276"/>
      <c r="I1130" s="2276"/>
      <c r="J1130" s="722"/>
      <c r="K1130" s="684">
        <f t="shared" si="959"/>
        <v>1</v>
      </c>
      <c r="L1130" s="708">
        <v>1</v>
      </c>
      <c r="M1130" s="709">
        <f t="shared" si="954"/>
        <v>1</v>
      </c>
      <c r="N1130" s="112" t="str">
        <f t="shared" si="960"/>
        <v/>
      </c>
      <c r="O1130" s="112" t="str">
        <f t="shared" si="961"/>
        <v/>
      </c>
      <c r="P1130" s="120" t="str">
        <f t="shared" si="962"/>
        <v/>
      </c>
      <c r="Q1130" s="120" t="str">
        <f t="shared" si="963"/>
        <v/>
      </c>
      <c r="R1130" s="185"/>
      <c r="S1130" s="112" t="str">
        <f t="shared" si="1021"/>
        <v/>
      </c>
      <c r="T1130" s="709"/>
    </row>
    <row r="1131" spans="1:20" s="185" customFormat="1" ht="12.75" customHeight="1">
      <c r="A1131" s="2262"/>
      <c r="B1131" s="1760"/>
      <c r="C1131" s="1893" t="s">
        <v>729</v>
      </c>
      <c r="D1131" s="169"/>
      <c r="E1131" s="2256"/>
      <c r="F1131" s="2278"/>
      <c r="G1131" s="710"/>
      <c r="H1131" s="710"/>
      <c r="I1131" s="710"/>
      <c r="J1131" s="711"/>
      <c r="K1131" s="684">
        <f t="shared" si="959"/>
        <v>1</v>
      </c>
      <c r="L1131" s="708">
        <v>1</v>
      </c>
      <c r="M1131" s="709">
        <f t="shared" si="954"/>
        <v>1</v>
      </c>
      <c r="N1131" s="112" t="str">
        <f t="shared" si="960"/>
        <v/>
      </c>
      <c r="O1131" s="112" t="str">
        <f t="shared" si="961"/>
        <v/>
      </c>
      <c r="P1131" s="120" t="str">
        <f t="shared" si="962"/>
        <v/>
      </c>
      <c r="Q1131" s="120" t="str">
        <f t="shared" si="963"/>
        <v/>
      </c>
      <c r="S1131" s="112" t="str">
        <f t="shared" si="1021"/>
        <v/>
      </c>
      <c r="T1131" s="118"/>
    </row>
    <row r="1132" spans="1:20" s="1236" customFormat="1" ht="18" customHeight="1">
      <c r="A1132" s="1767"/>
      <c r="B1132" s="1853">
        <v>1</v>
      </c>
      <c r="C1132" s="1895" t="s">
        <v>12364</v>
      </c>
      <c r="D1132" s="1902"/>
      <c r="E1132" s="1792"/>
      <c r="F1132" s="1793"/>
      <c r="G1132" s="1784"/>
      <c r="H1132" s="1784"/>
      <c r="I1132" s="1784"/>
      <c r="J1132" s="1182"/>
      <c r="K1132" s="684">
        <f t="shared" si="959"/>
        <v>1</v>
      </c>
      <c r="L1132" s="708">
        <v>1</v>
      </c>
      <c r="M1132" s="684">
        <f t="shared" si="954"/>
        <v>1</v>
      </c>
      <c r="N1132" s="362" t="str">
        <f t="shared" si="960"/>
        <v/>
      </c>
      <c r="O1132" s="1763" t="str">
        <f t="shared" si="961"/>
        <v/>
      </c>
      <c r="P1132" s="1764" t="str">
        <f t="shared" si="962"/>
        <v/>
      </c>
      <c r="Q1132" s="120" t="str">
        <f t="shared" si="963"/>
        <v/>
      </c>
      <c r="R1132" s="185"/>
    </row>
    <row r="1133" spans="1:20" s="695" customFormat="1" ht="18" customHeight="1">
      <c r="A1133" s="693"/>
      <c r="B1133" s="1922">
        <v>1</v>
      </c>
      <c r="C1133" s="1848" t="str">
        <f t="shared" ref="C1133" si="1025">VLOOKUP(D1133,base_datos,6,FALSE)</f>
        <v>Placa lamicoid rotulación de 3mm de espesor, fondo negro y letras blancas.</v>
      </c>
      <c r="D1133" s="1886" t="s">
        <v>8570</v>
      </c>
      <c r="E1133" s="1795">
        <f t="shared" ref="E1133" si="1026">VLOOKUP(D1133,base_datos,5,FALSE)</f>
        <v>2.2000000000000002</v>
      </c>
      <c r="F1133" s="1796">
        <f t="shared" ref="F1133" si="1027">+E1133*B1133</f>
        <v>2.2000000000000002</v>
      </c>
      <c r="G1133" s="696"/>
      <c r="H1133" s="696"/>
      <c r="I1133" s="696"/>
      <c r="J1133" s="697"/>
      <c r="K1133" s="684">
        <f t="shared" si="959"/>
        <v>1</v>
      </c>
      <c r="L1133" s="708">
        <v>1</v>
      </c>
      <c r="M1133" s="684">
        <f t="shared" si="954"/>
        <v>1</v>
      </c>
      <c r="N1133" s="362">
        <f t="shared" si="960"/>
        <v>1</v>
      </c>
      <c r="O1133" s="1763" t="str">
        <f t="shared" si="961"/>
        <v>Placa lamicoid p/distr.</v>
      </c>
      <c r="P1133" s="1764" t="str">
        <f t="shared" si="962"/>
        <v>Placa lamicoid rotulación de 3mm de espesor, fondo negro y letras blancas.</v>
      </c>
      <c r="Q1133" s="120" t="str">
        <f t="shared" si="963"/>
        <v>Placa lamicoid p/distr.</v>
      </c>
      <c r="R1133" s="185"/>
    </row>
    <row r="1134" spans="1:20" s="1236" customFormat="1" ht="18" customHeight="1">
      <c r="A1134" s="1767"/>
      <c r="B1134" s="1853">
        <v>1</v>
      </c>
      <c r="C1134" s="1895" t="s">
        <v>12474</v>
      </c>
      <c r="D1134" s="1902"/>
      <c r="E1134" s="1792"/>
      <c r="F1134" s="1793"/>
      <c r="G1134" s="1784"/>
      <c r="H1134" s="1784"/>
      <c r="I1134" s="1784"/>
      <c r="J1134" s="1182"/>
      <c r="K1134" s="684">
        <f t="shared" si="959"/>
        <v>1</v>
      </c>
      <c r="L1134" s="708">
        <v>1</v>
      </c>
      <c r="M1134" s="684">
        <f t="shared" si="954"/>
        <v>1</v>
      </c>
      <c r="N1134" s="362" t="str">
        <f t="shared" si="960"/>
        <v/>
      </c>
      <c r="O1134" s="1763" t="str">
        <f t="shared" si="961"/>
        <v/>
      </c>
      <c r="P1134" s="1764" t="str">
        <f t="shared" si="962"/>
        <v/>
      </c>
      <c r="Q1134" s="120" t="str">
        <f t="shared" si="963"/>
        <v/>
      </c>
      <c r="R1134" s="185"/>
    </row>
    <row r="1135" spans="1:20" s="1236" customFormat="1" ht="18" customHeight="1">
      <c r="A1135" s="1767"/>
      <c r="B1135" s="1853">
        <v>1</v>
      </c>
      <c r="C1135" s="1848" t="str">
        <f>VLOOKUP(D1135,base_datos,6,FALSE)</f>
        <v>Embalaje especial completamente cerrado para tablero adosado de 1600x600x220mm</v>
      </c>
      <c r="D1135" s="1902" t="s">
        <v>12453</v>
      </c>
      <c r="E1135" s="1795">
        <f t="shared" ref="E1135" si="1028">VLOOKUP(D1135,base_datos,5,FALSE)</f>
        <v>271.40000000000003</v>
      </c>
      <c r="F1135" s="1796">
        <f t="shared" ref="F1135" si="1029">+E1135*B1135</f>
        <v>271.40000000000003</v>
      </c>
      <c r="G1135" s="1784"/>
      <c r="H1135" s="1784"/>
      <c r="I1135" s="1784"/>
      <c r="J1135" s="1182"/>
      <c r="K1135" s="684">
        <f t="shared" si="959"/>
        <v>1</v>
      </c>
      <c r="L1135" s="708">
        <v>1</v>
      </c>
      <c r="M1135" s="684">
        <f t="shared" si="954"/>
        <v>1</v>
      </c>
      <c r="N1135" s="362">
        <f t="shared" si="960"/>
        <v>1</v>
      </c>
      <c r="O1135" s="1763" t="str">
        <f t="shared" si="961"/>
        <v>EMBAL_ADOS_1600x600x220mm</v>
      </c>
      <c r="P1135" s="1764" t="str">
        <f t="shared" si="962"/>
        <v>Embalaje especial completamente cerrado para tablero adosado de 1600x600x220mm</v>
      </c>
      <c r="Q1135" s="120" t="str">
        <f t="shared" si="963"/>
        <v>EMBAL_ADOS_1600x600x220mm</v>
      </c>
      <c r="R1135" s="185"/>
    </row>
    <row r="1136" spans="1:20" s="185" customFormat="1" ht="18" customHeight="1">
      <c r="A1136" s="1785"/>
      <c r="B1136" s="714"/>
      <c r="C1136" s="1893" t="s">
        <v>729</v>
      </c>
      <c r="D1136" s="173"/>
      <c r="E1136" s="1786"/>
      <c r="F1136" s="1787"/>
      <c r="G1136" s="710"/>
      <c r="H1136" s="710"/>
      <c r="I1136" s="710"/>
      <c r="J1136" s="711"/>
      <c r="K1136" s="684">
        <f t="shared" si="959"/>
        <v>1</v>
      </c>
      <c r="L1136" s="708">
        <v>1</v>
      </c>
      <c r="M1136" s="684">
        <f t="shared" si="954"/>
        <v>1</v>
      </c>
      <c r="N1136" s="362" t="str">
        <f t="shared" si="960"/>
        <v/>
      </c>
      <c r="O1136" s="1763" t="str">
        <f t="shared" si="961"/>
        <v/>
      </c>
      <c r="P1136" s="1764" t="str">
        <f t="shared" si="962"/>
        <v/>
      </c>
      <c r="Q1136" s="120" t="str">
        <f t="shared" si="963"/>
        <v/>
      </c>
    </row>
    <row r="1137" spans="1:18" s="695" customFormat="1" ht="18" customHeight="1">
      <c r="A1137" s="693"/>
      <c r="B1137" s="1794">
        <v>1</v>
      </c>
      <c r="C1137" s="1420" t="s">
        <v>316</v>
      </c>
      <c r="D1137" s="1790"/>
      <c r="E1137" s="1795"/>
      <c r="F1137" s="1796"/>
      <c r="G1137" s="696"/>
      <c r="H1137" s="696"/>
      <c r="I1137" s="696"/>
      <c r="J1137" s="697"/>
      <c r="K1137" s="684">
        <f t="shared" si="959"/>
        <v>1</v>
      </c>
      <c r="L1137" s="708">
        <v>1</v>
      </c>
      <c r="M1137" s="684">
        <f t="shared" si="954"/>
        <v>1</v>
      </c>
      <c r="N1137" s="362" t="str">
        <f t="shared" si="960"/>
        <v/>
      </c>
      <c r="O1137" s="1763" t="str">
        <f t="shared" si="961"/>
        <v/>
      </c>
      <c r="P1137" s="1764" t="str">
        <f t="shared" si="962"/>
        <v/>
      </c>
      <c r="Q1137" s="120" t="str">
        <f t="shared" si="963"/>
        <v/>
      </c>
      <c r="R1137" s="185"/>
    </row>
    <row r="1138" spans="1:18" s="185" customFormat="1" ht="18" customHeight="1">
      <c r="A1138" s="1785"/>
      <c r="B1138" s="714"/>
      <c r="C1138" s="1893" t="s">
        <v>729</v>
      </c>
      <c r="D1138" s="173"/>
      <c r="E1138" s="1786"/>
      <c r="F1138" s="1787"/>
      <c r="G1138" s="710"/>
      <c r="H1138" s="710"/>
      <c r="I1138" s="710"/>
      <c r="J1138" s="711"/>
      <c r="K1138" s="684">
        <f t="shared" si="959"/>
        <v>1</v>
      </c>
      <c r="L1138" s="708">
        <v>1</v>
      </c>
      <c r="M1138" s="684">
        <f t="shared" si="954"/>
        <v>1</v>
      </c>
      <c r="N1138" s="362" t="str">
        <f t="shared" si="960"/>
        <v/>
      </c>
      <c r="O1138" s="1763" t="str">
        <f t="shared" si="961"/>
        <v/>
      </c>
      <c r="P1138" s="1764" t="str">
        <f t="shared" si="962"/>
        <v/>
      </c>
      <c r="Q1138" s="120" t="str">
        <f t="shared" si="963"/>
        <v/>
      </c>
    </row>
    <row r="1139" spans="1:18" s="897" customFormat="1" ht="18" customHeight="1">
      <c r="A1139" s="693"/>
      <c r="B1139" s="895">
        <v>60</v>
      </c>
      <c r="C1139" s="1848" t="str">
        <f>VLOOKUP(D1139,base_datos,6,FALSE)</f>
        <v>Rotulado por circuito.</v>
      </c>
      <c r="D1139" s="1579" t="s">
        <v>3067</v>
      </c>
      <c r="E1139" s="1581">
        <f>VLOOKUP(D1139,base_datos,5,FALSE)</f>
        <v>0.7</v>
      </c>
      <c r="F1139" s="1581">
        <f t="shared" ref="F1139:F1143" si="1030">+E1139*B1139</f>
        <v>42</v>
      </c>
      <c r="G1139" s="1772"/>
      <c r="H1139" s="1772"/>
      <c r="I1139" s="1772"/>
      <c r="J1139" s="896"/>
      <c r="K1139" s="684">
        <f t="shared" si="959"/>
        <v>1</v>
      </c>
      <c r="L1139" s="708">
        <v>1</v>
      </c>
      <c r="M1139" s="684">
        <f t="shared" si="954"/>
        <v>60</v>
      </c>
      <c r="N1139" s="362" t="str">
        <f t="shared" si="960"/>
        <v/>
      </c>
      <c r="O1139" s="1763" t="str">
        <f t="shared" si="961"/>
        <v/>
      </c>
      <c r="P1139" s="1764" t="str">
        <f t="shared" si="962"/>
        <v/>
      </c>
      <c r="Q1139" s="120" t="str">
        <f t="shared" si="963"/>
        <v/>
      </c>
    </row>
    <row r="1140" spans="1:18" s="897" customFormat="1" ht="18" customHeight="1">
      <c r="A1140" s="693"/>
      <c r="B1140" s="895">
        <v>1</v>
      </c>
      <c r="C1140" s="1848" t="str">
        <f>VLOOKUP(D1140,base_datos,6,FALSE)</f>
        <v>Rotulado para TAG - tablero de distribución.</v>
      </c>
      <c r="D1140" s="1579" t="s">
        <v>3066</v>
      </c>
      <c r="E1140" s="1581">
        <f>VLOOKUP(D1140,base_datos,5,FALSE)</f>
        <v>1.5</v>
      </c>
      <c r="F1140" s="1581">
        <f t="shared" si="1030"/>
        <v>1.5</v>
      </c>
      <c r="G1140" s="1772"/>
      <c r="H1140" s="1772"/>
      <c r="I1140" s="1772"/>
      <c r="J1140" s="896"/>
      <c r="K1140" s="684">
        <f t="shared" si="959"/>
        <v>1</v>
      </c>
      <c r="L1140" s="708">
        <v>1</v>
      </c>
      <c r="M1140" s="684">
        <f t="shared" si="954"/>
        <v>1</v>
      </c>
      <c r="N1140" s="362" t="str">
        <f t="shared" si="960"/>
        <v/>
      </c>
      <c r="O1140" s="1763" t="str">
        <f t="shared" si="961"/>
        <v/>
      </c>
      <c r="P1140" s="1764" t="str">
        <f t="shared" si="962"/>
        <v/>
      </c>
      <c r="Q1140" s="120" t="str">
        <f t="shared" si="963"/>
        <v/>
      </c>
    </row>
    <row r="1141" spans="1:18" s="1237" customFormat="1" ht="18" customHeight="1">
      <c r="A1141" s="1767"/>
      <c r="B1141" s="2093">
        <v>1</v>
      </c>
      <c r="C1141" s="694" t="s">
        <v>12552</v>
      </c>
      <c r="D1141" s="1888"/>
      <c r="E1141" s="1580">
        <f>E1143*15%</f>
        <v>36</v>
      </c>
      <c r="F1141" s="1581">
        <f t="shared" si="1030"/>
        <v>36</v>
      </c>
      <c r="G1141" s="1774"/>
      <c r="H1141" s="1774"/>
      <c r="I1141" s="1774"/>
      <c r="J1141" s="1181"/>
      <c r="K1141" s="684">
        <f t="shared" si="959"/>
        <v>1</v>
      </c>
      <c r="L1141" s="708">
        <v>1</v>
      </c>
      <c r="M1141" s="684">
        <f t="shared" si="954"/>
        <v>1</v>
      </c>
      <c r="N1141" s="362" t="str">
        <f t="shared" si="960"/>
        <v/>
      </c>
      <c r="O1141" s="1763" t="str">
        <f t="shared" si="961"/>
        <v/>
      </c>
      <c r="P1141" s="1764" t="str">
        <f t="shared" si="962"/>
        <v/>
      </c>
      <c r="Q1141" s="120" t="str">
        <f t="shared" si="963"/>
        <v/>
      </c>
      <c r="R1141" s="1765"/>
    </row>
    <row r="1142" spans="1:18" s="1237" customFormat="1" ht="18" customHeight="1">
      <c r="A1142" s="1767"/>
      <c r="B1142" s="1773">
        <v>1</v>
      </c>
      <c r="C1142" s="694" t="s">
        <v>12559</v>
      </c>
      <c r="D1142" s="1888"/>
      <c r="E1142" s="1999">
        <f>E1143*20%</f>
        <v>48</v>
      </c>
      <c r="F1142" s="1581">
        <f t="shared" si="1030"/>
        <v>48</v>
      </c>
      <c r="G1142" s="1774"/>
      <c r="H1142" s="1774"/>
      <c r="I1142" s="1774"/>
      <c r="J1142" s="1181"/>
      <c r="K1142" s="684">
        <f t="shared" si="959"/>
        <v>1</v>
      </c>
      <c r="L1142" s="708">
        <v>1</v>
      </c>
      <c r="M1142" s="684">
        <f t="shared" si="954"/>
        <v>1</v>
      </c>
      <c r="N1142" s="362" t="str">
        <f t="shared" si="960"/>
        <v/>
      </c>
      <c r="O1142" s="1763" t="str">
        <f t="shared" si="961"/>
        <v/>
      </c>
      <c r="P1142" s="1764" t="str">
        <f t="shared" si="962"/>
        <v/>
      </c>
      <c r="Q1142" s="120" t="str">
        <f t="shared" si="963"/>
        <v/>
      </c>
      <c r="R1142" s="1765"/>
    </row>
    <row r="1143" spans="1:18" s="1237" customFormat="1" ht="18" customHeight="1">
      <c r="A1143" s="1767"/>
      <c r="B1143" s="1773">
        <v>1</v>
      </c>
      <c r="C1143" s="1943" t="s">
        <v>12526</v>
      </c>
      <c r="D1143" s="1897"/>
      <c r="E1143" s="1581">
        <v>240</v>
      </c>
      <c r="F1143" s="1581">
        <f t="shared" si="1030"/>
        <v>240</v>
      </c>
      <c r="G1143" s="1774"/>
      <c r="H1143" s="1774"/>
      <c r="I1143" s="1774"/>
      <c r="J1143" s="1181"/>
      <c r="K1143" s="684">
        <f t="shared" si="959"/>
        <v>1</v>
      </c>
      <c r="L1143" s="708">
        <v>1</v>
      </c>
      <c r="M1143" s="684">
        <f t="shared" si="954"/>
        <v>1</v>
      </c>
      <c r="N1143" s="362" t="str">
        <f t="shared" si="960"/>
        <v/>
      </c>
      <c r="O1143" s="1763" t="str">
        <f t="shared" si="961"/>
        <v/>
      </c>
      <c r="P1143" s="1764" t="str">
        <f t="shared" si="962"/>
        <v/>
      </c>
      <c r="Q1143" s="120" t="str">
        <f t="shared" si="963"/>
        <v/>
      </c>
      <c r="R1143" s="1765"/>
    </row>
    <row r="1144" spans="1:18" s="2472" customFormat="1" ht="18" customHeight="1">
      <c r="A1144" s="2464"/>
      <c r="B1144" s="2465"/>
      <c r="C1144" s="2466" t="s">
        <v>12515</v>
      </c>
      <c r="D1144" s="2467"/>
      <c r="E1144" s="2468"/>
      <c r="F1144" s="2469"/>
      <c r="G1144" s="2470"/>
      <c r="H1144" s="2470"/>
      <c r="I1144" s="2470"/>
      <c r="J1144" s="2471"/>
      <c r="K1144" s="2426">
        <f>K1141</f>
        <v>1</v>
      </c>
      <c r="L1144" s="2463">
        <v>1</v>
      </c>
      <c r="M1144" s="2428">
        <f>IF(B1144="",1,B1144)</f>
        <v>1</v>
      </c>
      <c r="N1144" s="2429" t="str">
        <f>IF(O1144&lt;&gt;"",K1144*L1144*M1144,"")</f>
        <v/>
      </c>
      <c r="O1144" s="2430" t="str">
        <f>IF(D1144&lt;&gt;"",IF(VLOOKUP(D1144,base_datos,7,FALSE)&lt;&gt;"",VLOOKUP(D1144,base_datos,7,FALSE),""),"")</f>
        <v/>
      </c>
      <c r="P1144" s="2431" t="str">
        <f>IF(O1144&lt;&gt;"",VLOOKUP(D1144,base_datos,6,FALSE),"")</f>
        <v/>
      </c>
      <c r="Q1144" s="2432" t="str">
        <f>IF(O1144&lt;&gt;"",D1144,"")</f>
        <v/>
      </c>
      <c r="R1144" s="2433"/>
    </row>
    <row r="1145" spans="1:18" s="2472" customFormat="1" ht="18" customHeight="1">
      <c r="A1145" s="2464"/>
      <c r="B1145" s="2465"/>
      <c r="C1145" s="2466"/>
      <c r="D1145" s="2467"/>
      <c r="E1145" s="2468"/>
      <c r="F1145" s="2469"/>
      <c r="G1145" s="2470"/>
      <c r="H1145" s="2470"/>
      <c r="I1145" s="2470"/>
      <c r="J1145" s="2471"/>
      <c r="K1145" s="2426">
        <f>K1142</f>
        <v>1</v>
      </c>
      <c r="L1145" s="2463">
        <v>1</v>
      </c>
      <c r="M1145" s="2428">
        <f>IF(B1145="",1,B1145)</f>
        <v>1</v>
      </c>
      <c r="N1145" s="2429"/>
      <c r="O1145" s="2430"/>
      <c r="P1145" s="2431"/>
      <c r="Q1145" s="2432"/>
      <c r="R1145" s="2433"/>
    </row>
    <row r="1146" spans="1:18" s="2480" customFormat="1">
      <c r="A1146" s="2473"/>
      <c r="B1146" s="2474">
        <v>1</v>
      </c>
      <c r="C1146" s="2475" t="str">
        <f t="shared" ref="C1146:C1147" si="1031">VLOOKUP(D1146,base_datos,6,FALSE)</f>
        <v>FOTOCELDA 1800VA 220V N/C (NF) 10 LUX STIELECTRONICA</v>
      </c>
      <c r="D1146" s="2476" t="s">
        <v>3410</v>
      </c>
      <c r="E1146" s="2477">
        <f t="shared" ref="E1146:E1147" si="1032">VLOOKUP(D1146,base_datos,5,FALSE)</f>
        <v>27.6</v>
      </c>
      <c r="F1146" s="2455">
        <f t="shared" ref="F1146:F1147" si="1033">+E1146*B1146</f>
        <v>27.6</v>
      </c>
      <c r="G1146" s="2478"/>
      <c r="H1146" s="2478"/>
      <c r="I1146" s="2478"/>
      <c r="J1146" s="2479"/>
      <c r="K1146" s="2426">
        <f t="shared" ref="K1146:K1147" si="1034">K1144</f>
        <v>1</v>
      </c>
      <c r="L1146" s="2463">
        <v>1</v>
      </c>
      <c r="M1146" s="2428">
        <f>IF(B1146="",1,B1146)</f>
        <v>1</v>
      </c>
      <c r="N1146" s="2429">
        <f>IF(O1146&lt;&gt;"",K1146*L1146*M1146,"")</f>
        <v>1</v>
      </c>
      <c r="O1146" s="2430" t="str">
        <f>IF(D1146&lt;&gt;"",IF(VLOOKUP(D1146,base_datos,7,FALSE)&lt;&gt;"",VLOOKUP(D1146,base_datos,7,FALSE),""),"")</f>
        <v>0400RTF82S</v>
      </c>
      <c r="P1146" s="2431" t="str">
        <f>IF(O1146&lt;&gt;"",VLOOKUP(D1146,base_datos,6,FALSE),"")</f>
        <v>FOTOCELDA 1800VA 220V N/C (NF) 10 LUX STIELECTRONICA</v>
      </c>
      <c r="Q1146" s="2432" t="str">
        <f>IF(O1146&lt;&gt;"",D1146,"")</f>
        <v>FOTOCELDA</v>
      </c>
    </row>
    <row r="1147" spans="1:18" s="2480" customFormat="1">
      <c r="A1147" s="2473"/>
      <c r="B1147" s="2474">
        <v>1</v>
      </c>
      <c r="C1147" s="2475" t="str">
        <f t="shared" si="1031"/>
        <v>BASE C/SOPORTE P/CONTROL FOTOCELDA P/ADOSAR STIELECTRONICA</v>
      </c>
      <c r="D1147" s="2476" t="s">
        <v>3411</v>
      </c>
      <c r="E1147" s="2477">
        <f t="shared" si="1032"/>
        <v>13.4</v>
      </c>
      <c r="F1147" s="2455">
        <f t="shared" si="1033"/>
        <v>13.4</v>
      </c>
      <c r="G1147" s="2478"/>
      <c r="H1147" s="2478"/>
      <c r="I1147" s="2478"/>
      <c r="J1147" s="2479"/>
      <c r="K1147" s="2426">
        <f t="shared" si="1034"/>
        <v>1</v>
      </c>
      <c r="L1147" s="2463">
        <v>1</v>
      </c>
      <c r="M1147" s="2428">
        <f>IF(B1147="",1,B1147)</f>
        <v>1</v>
      </c>
      <c r="N1147" s="2429">
        <f>IF(O1147&lt;&gt;"",K1147*L1147*M1147,"")</f>
        <v>1</v>
      </c>
      <c r="O1147" s="2430" t="str">
        <f>IF(D1147&lt;&gt;"",IF(VLOOKUP(D1147,base_datos,7,FALSE)&lt;&gt;"",VLOOKUP(D1147,base_datos,7,FALSE),""),"")</f>
        <v>0400TPLS476</v>
      </c>
      <c r="P1147" s="2431" t="str">
        <f>IF(O1147&lt;&gt;"",VLOOKUP(D1147,base_datos,6,FALSE),"")</f>
        <v>BASE C/SOPORTE P/CONTROL FOTOCELDA P/ADOSAR STIELECTRONICA</v>
      </c>
      <c r="Q1147" s="2432" t="str">
        <f>IF(O1147&lt;&gt;"",D1147,"")</f>
        <v>BASE_FOTOCELDA</v>
      </c>
    </row>
    <row r="1148" spans="1:18" s="120" customFormat="1" ht="13.8" thickBot="1">
      <c r="A1148" s="910"/>
      <c r="B1148" s="1953"/>
      <c r="C1148" s="1797"/>
      <c r="D1148" s="1889"/>
      <c r="E1148" s="1981"/>
      <c r="F1148" s="1981"/>
      <c r="G1148" s="710"/>
      <c r="H1148" s="1798"/>
      <c r="I1148" s="1798"/>
      <c r="J1148" s="1799"/>
      <c r="K1148" s="1788"/>
      <c r="L1148" s="363"/>
      <c r="M1148" s="684"/>
      <c r="N1148" s="362" t="str">
        <f t="shared" si="960"/>
        <v/>
      </c>
      <c r="O1148" s="1763" t="str">
        <f t="shared" si="961"/>
        <v/>
      </c>
      <c r="P1148" s="1764" t="str">
        <f t="shared" si="962"/>
        <v/>
      </c>
      <c r="Q1148" s="120" t="str">
        <f t="shared" si="963"/>
        <v/>
      </c>
      <c r="R1148" s="185"/>
    </row>
    <row r="1149" spans="1:18" s="120" customFormat="1" ht="18" customHeight="1" thickBot="1">
      <c r="A1149" s="1989">
        <v>19</v>
      </c>
      <c r="B1149" s="1852">
        <v>1</v>
      </c>
      <c r="C1149" s="1756" t="s">
        <v>12584</v>
      </c>
      <c r="D1149" s="1588"/>
      <c r="E1149" s="1589"/>
      <c r="F1149" s="1589"/>
      <c r="G1149" s="1757">
        <f>SUM(F1150:F1223)</f>
        <v>3068.9700000000003</v>
      </c>
      <c r="H1149" s="1758">
        <f>G1149*(1-$D$6)</f>
        <v>3068.9700000000003</v>
      </c>
      <c r="I1149" s="1757">
        <f>ROUNDUP(H1149*$D$5,0)</f>
        <v>10435</v>
      </c>
      <c r="J1149" s="1759">
        <f>+I1149*B1149</f>
        <v>10435</v>
      </c>
      <c r="K1149" s="1788">
        <f>B1149</f>
        <v>1</v>
      </c>
      <c r="L1149" s="363"/>
      <c r="M1149" s="684"/>
      <c r="N1149" s="362" t="str">
        <f t="shared" si="960"/>
        <v/>
      </c>
      <c r="O1149" s="1763" t="str">
        <f t="shared" si="961"/>
        <v/>
      </c>
      <c r="P1149" s="1764" t="str">
        <f t="shared" si="962"/>
        <v/>
      </c>
      <c r="Q1149" s="120" t="str">
        <f t="shared" si="963"/>
        <v/>
      </c>
      <c r="R1149" s="185"/>
    </row>
    <row r="1150" spans="1:18" s="120" customFormat="1" ht="18" customHeight="1">
      <c r="A1150" s="685" t="s">
        <v>3064</v>
      </c>
      <c r="B1150" s="1903"/>
      <c r="C1150" s="1890"/>
      <c r="D1150" s="1904"/>
      <c r="E1150" s="1789"/>
      <c r="F1150" s="1780"/>
      <c r="G1150" s="686"/>
      <c r="H1150" s="710"/>
      <c r="I1150" s="686"/>
      <c r="J1150" s="1768"/>
      <c r="K1150" s="684">
        <f t="shared" ref="K1150:K1151" si="1035">+K1149</f>
        <v>1</v>
      </c>
      <c r="L1150" s="363">
        <v>1</v>
      </c>
      <c r="M1150" s="709">
        <f t="shared" ref="M1150:M1162" si="1036">IF(B1150="",1,B1150)</f>
        <v>1</v>
      </c>
      <c r="N1150" s="362" t="str">
        <f t="shared" si="960"/>
        <v/>
      </c>
      <c r="O1150" s="1763" t="str">
        <f t="shared" si="961"/>
        <v/>
      </c>
      <c r="P1150" s="1764" t="str">
        <f t="shared" si="962"/>
        <v/>
      </c>
      <c r="Q1150" s="120" t="str">
        <f t="shared" si="963"/>
        <v/>
      </c>
    </row>
    <row r="1151" spans="1:18" s="315" customFormat="1">
      <c r="A1151" s="687" t="s">
        <v>4021</v>
      </c>
      <c r="B1151" s="2096">
        <v>1</v>
      </c>
      <c r="C1151" s="1907" t="s">
        <v>5103</v>
      </c>
      <c r="D1151" s="1935"/>
      <c r="E1151" s="1786"/>
      <c r="F1151" s="1908">
        <f>SUM(F1153:F1157)*(B1151-1)</f>
        <v>0</v>
      </c>
      <c r="G1151" s="712"/>
      <c r="H1151" s="712"/>
      <c r="I1151" s="712"/>
      <c r="J1151" s="713"/>
      <c r="K1151" s="684">
        <f t="shared" si="1035"/>
        <v>1</v>
      </c>
      <c r="L1151" s="1909">
        <f>B1151</f>
        <v>1</v>
      </c>
      <c r="M1151" s="684">
        <f t="shared" si="1036"/>
        <v>1</v>
      </c>
      <c r="N1151" s="362" t="str">
        <f t="shared" si="960"/>
        <v/>
      </c>
      <c r="O1151" s="1763" t="str">
        <f t="shared" si="961"/>
        <v/>
      </c>
      <c r="P1151" s="1764" t="str">
        <f t="shared" si="962"/>
        <v/>
      </c>
      <c r="Q1151" s="120" t="str">
        <f t="shared" si="963"/>
        <v/>
      </c>
    </row>
    <row r="1152" spans="1:18" s="185" customFormat="1">
      <c r="A1152" s="687" t="s">
        <v>4136</v>
      </c>
      <c r="B1152" s="1910">
        <v>3</v>
      </c>
      <c r="C1152" s="1911" t="str">
        <f>VLOOKUP(D1152,base_datos,6,FALSE)</f>
        <v>Portalámpara + lampara tipo LED - color Rojo - alimentacion: 220-230Vac, d=22mm. - CL2-523R - línea compacta - marca ABB.</v>
      </c>
      <c r="D1152" s="1790" t="s">
        <v>2439</v>
      </c>
      <c r="E1152" s="1939">
        <f>VLOOKUP(D1152,base_datos,5,FALSE)</f>
        <v>12.299999999999999</v>
      </c>
      <c r="F1152" s="1912">
        <f>+E1152*B1152</f>
        <v>36.9</v>
      </c>
      <c r="G1152" s="710"/>
      <c r="H1152" s="710"/>
      <c r="I1152" s="710"/>
      <c r="J1152" s="711"/>
      <c r="K1152" s="684">
        <f>+K1150</f>
        <v>1</v>
      </c>
      <c r="L1152" s="1913">
        <f>L1150</f>
        <v>1</v>
      </c>
      <c r="M1152" s="684">
        <f t="shared" si="1036"/>
        <v>3</v>
      </c>
      <c r="N1152" s="362">
        <f t="shared" si="960"/>
        <v>3</v>
      </c>
      <c r="O1152" s="1763" t="str">
        <f t="shared" si="961"/>
        <v>1SFA619403R5231</v>
      </c>
      <c r="P1152" s="1764" t="str">
        <f t="shared" si="962"/>
        <v>Portalámpara + lampara tipo LED - color Rojo - alimentacion: 220-230Vac, d=22mm. - CL2-523R - línea compacta - marca ABB.</v>
      </c>
      <c r="Q1152" s="120" t="str">
        <f t="shared" si="963"/>
        <v>LAMP_ROJO_220V</v>
      </c>
    </row>
    <row r="1153" spans="1:18" s="185" customFormat="1">
      <c r="A1153" s="687"/>
      <c r="B1153" s="1910">
        <v>3</v>
      </c>
      <c r="C1153" s="1911" t="str">
        <f>VLOOKUP(D1153,base_datos,6,FALSE)</f>
        <v>Portalámpara + lampara tipo LED - color Verde - alimentacion: 220-230Vac, d=22mm. - CL2-523G - línea compacta - marca ABB.</v>
      </c>
      <c r="D1153" s="1790" t="s">
        <v>2440</v>
      </c>
      <c r="E1153" s="1939">
        <f>VLOOKUP(D1153,base_datos,5,FALSE)</f>
        <v>12.299999999999999</v>
      </c>
      <c r="F1153" s="1912">
        <f>+E1153*B1153</f>
        <v>36.9</v>
      </c>
      <c r="G1153" s="710"/>
      <c r="H1153" s="710"/>
      <c r="I1153" s="710"/>
      <c r="J1153" s="711"/>
      <c r="K1153" s="684">
        <f t="shared" ref="K1153:K1219" si="1037">+K1151</f>
        <v>1</v>
      </c>
      <c r="L1153" s="1913">
        <f>L1151</f>
        <v>1</v>
      </c>
      <c r="M1153" s="684">
        <f t="shared" si="1036"/>
        <v>3</v>
      </c>
      <c r="N1153" s="362">
        <f t="shared" si="960"/>
        <v>3</v>
      </c>
      <c r="O1153" s="1763" t="str">
        <f t="shared" si="961"/>
        <v>1SFA619403R5232</v>
      </c>
      <c r="P1153" s="1764" t="str">
        <f t="shared" si="962"/>
        <v>Portalámpara + lampara tipo LED - color Verde - alimentacion: 220-230Vac, d=22mm. - CL2-523G - línea compacta - marca ABB.</v>
      </c>
      <c r="Q1153" s="120" t="str">
        <f t="shared" si="963"/>
        <v>LAMP_VERDE_220V</v>
      </c>
    </row>
    <row r="1154" spans="1:18" s="1921" customFormat="1">
      <c r="A1154" s="687" t="s">
        <v>12356</v>
      </c>
      <c r="B1154" s="1914">
        <v>1</v>
      </c>
      <c r="C1154" s="1915" t="s">
        <v>3366</v>
      </c>
      <c r="D1154" s="1916"/>
      <c r="E1154" s="1917"/>
      <c r="F1154" s="1918"/>
      <c r="G1154" s="1919"/>
      <c r="H1154" s="1919"/>
      <c r="I1154" s="1919"/>
      <c r="J1154" s="1920"/>
      <c r="K1154" s="684">
        <f t="shared" si="1037"/>
        <v>1</v>
      </c>
      <c r="L1154" s="1913">
        <f>L1153</f>
        <v>1</v>
      </c>
      <c r="M1154" s="684">
        <f t="shared" si="1036"/>
        <v>1</v>
      </c>
      <c r="N1154" s="362" t="str">
        <f t="shared" si="960"/>
        <v/>
      </c>
      <c r="O1154" s="1763" t="str">
        <f t="shared" si="961"/>
        <v/>
      </c>
      <c r="P1154" s="1764" t="str">
        <f t="shared" si="962"/>
        <v/>
      </c>
      <c r="Q1154" s="120" t="str">
        <f t="shared" si="963"/>
        <v/>
      </c>
    </row>
    <row r="1155" spans="1:18" s="320" customFormat="1">
      <c r="A1155" s="687" t="s">
        <v>12481</v>
      </c>
      <c r="B1155" s="1922">
        <v>1</v>
      </c>
      <c r="C1155" s="721" t="str">
        <f>VLOOKUP(D1155,base_datos,6,FALSE)</f>
        <v>Rele auxiliar enchufable +4NA/NC (D2PR4B + base D2PA6), 220Vac - marca EATON.</v>
      </c>
      <c r="D1155" s="1579" t="s">
        <v>772</v>
      </c>
      <c r="E1155" s="1581">
        <f>VLOOKUP(D1155,base_datos,5,FALSE)</f>
        <v>27</v>
      </c>
      <c r="F1155" s="1923">
        <f>+E1155*B1155</f>
        <v>27</v>
      </c>
      <c r="G1155" s="1924"/>
      <c r="H1155" s="1924"/>
      <c r="I1155" s="1924"/>
      <c r="J1155" s="722"/>
      <c r="K1155" s="684">
        <f t="shared" si="1037"/>
        <v>1</v>
      </c>
      <c r="L1155" s="1913">
        <f>L1152</f>
        <v>1</v>
      </c>
      <c r="M1155" s="684">
        <f t="shared" si="1036"/>
        <v>1</v>
      </c>
      <c r="N1155" s="362">
        <f t="shared" si="960"/>
        <v>1</v>
      </c>
      <c r="O1155" s="1763" t="str">
        <f t="shared" si="961"/>
        <v>D2PR4B+D2PA6</v>
      </c>
      <c r="P1155" s="1764" t="str">
        <f t="shared" si="962"/>
        <v>Rele auxiliar enchufable +4NA/NC (D2PR4B + base D2PA6), 220Vac - marca EATON.</v>
      </c>
      <c r="Q1155" s="120" t="str">
        <f t="shared" si="963"/>
        <v>D2PR4B+D2PA6</v>
      </c>
    </row>
    <row r="1156" spans="1:18" s="320" customFormat="1">
      <c r="A1156" s="1767"/>
      <c r="B1156" s="2131">
        <v>1</v>
      </c>
      <c r="C1156" s="2132" t="s">
        <v>12558</v>
      </c>
      <c r="D1156" s="2133"/>
      <c r="E1156" s="2134">
        <v>32</v>
      </c>
      <c r="F1156" s="2134">
        <f>+E1156*B1156</f>
        <v>32</v>
      </c>
      <c r="G1156" s="1924"/>
      <c r="H1156" s="1924"/>
      <c r="I1156" s="1924"/>
      <c r="J1156" s="722"/>
      <c r="K1156" s="684">
        <f t="shared" si="1037"/>
        <v>1</v>
      </c>
      <c r="L1156" s="1913">
        <f>L1153</f>
        <v>1</v>
      </c>
      <c r="M1156" s="684">
        <f t="shared" si="1036"/>
        <v>1</v>
      </c>
      <c r="N1156" s="362" t="str">
        <f t="shared" si="960"/>
        <v/>
      </c>
      <c r="O1156" s="1763" t="str">
        <f t="shared" si="961"/>
        <v/>
      </c>
      <c r="P1156" s="1764" t="str">
        <f t="shared" si="962"/>
        <v/>
      </c>
      <c r="Q1156" s="120" t="str">
        <f t="shared" si="963"/>
        <v/>
      </c>
    </row>
    <row r="1157" spans="1:18" s="320" customFormat="1">
      <c r="A1157" s="687" t="s">
        <v>12551</v>
      </c>
      <c r="B1157" s="1922">
        <v>4</v>
      </c>
      <c r="C1157" s="721" t="str">
        <f>VLOOKUP(D1157,base_datos,6,FALSE)</f>
        <v>Base portafusibles + Fusibles de protección para control.</v>
      </c>
      <c r="D1157" s="1579" t="s">
        <v>453</v>
      </c>
      <c r="E1157" s="1581">
        <f>VLOOKUP(D1157,base_datos,5,FALSE)</f>
        <v>8.1750000000000007</v>
      </c>
      <c r="F1157" s="1923">
        <f>+E1157*B1157</f>
        <v>32.700000000000003</v>
      </c>
      <c r="G1157" s="1924"/>
      <c r="H1157" s="1924"/>
      <c r="I1157" s="1924"/>
      <c r="J1157" s="722"/>
      <c r="K1157" s="684">
        <f t="shared" si="1037"/>
        <v>1</v>
      </c>
      <c r="L1157" s="1913">
        <f>L1154</f>
        <v>1</v>
      </c>
      <c r="M1157" s="684">
        <f t="shared" si="1036"/>
        <v>4</v>
      </c>
      <c r="N1157" s="362" t="str">
        <f t="shared" si="960"/>
        <v/>
      </c>
      <c r="O1157" s="1763" t="str">
        <f t="shared" si="961"/>
        <v/>
      </c>
      <c r="P1157" s="1764" t="str">
        <f t="shared" si="962"/>
        <v/>
      </c>
      <c r="Q1157" s="120" t="str">
        <f t="shared" si="963"/>
        <v/>
      </c>
    </row>
    <row r="1158" spans="1:18" s="315" customFormat="1">
      <c r="A1158" s="687" t="s">
        <v>3542</v>
      </c>
      <c r="B1158" s="1906"/>
      <c r="C1158" s="1907"/>
      <c r="D1158" s="1935"/>
      <c r="E1158" s="1786"/>
      <c r="F1158" s="1936"/>
      <c r="G1158" s="712"/>
      <c r="H1158" s="712"/>
      <c r="I1158" s="712"/>
      <c r="J1158" s="713"/>
      <c r="K1158" s="684">
        <f t="shared" si="1037"/>
        <v>1</v>
      </c>
      <c r="L1158" s="1909">
        <f>B1158</f>
        <v>0</v>
      </c>
      <c r="M1158" s="684">
        <f t="shared" si="1036"/>
        <v>1</v>
      </c>
      <c r="N1158" s="362" t="str">
        <f t="shared" si="960"/>
        <v/>
      </c>
      <c r="O1158" s="1763" t="str">
        <f t="shared" si="961"/>
        <v/>
      </c>
      <c r="P1158" s="1764" t="str">
        <f t="shared" si="962"/>
        <v/>
      </c>
      <c r="Q1158" s="120" t="str">
        <f t="shared" si="963"/>
        <v/>
      </c>
    </row>
    <row r="1159" spans="1:18" s="185" customFormat="1" ht="13.5" customHeight="1">
      <c r="A1159" s="687"/>
      <c r="B1159" s="1922"/>
      <c r="C1159" s="1956" t="s">
        <v>12368</v>
      </c>
      <c r="D1159" s="1579"/>
      <c r="E1159" s="1957"/>
      <c r="F1159" s="1958"/>
      <c r="G1159" s="710"/>
      <c r="H1159" s="710"/>
      <c r="I1159" s="710"/>
      <c r="J1159" s="711"/>
      <c r="K1159" s="684">
        <f t="shared" si="1037"/>
        <v>1</v>
      </c>
      <c r="L1159" s="708">
        <v>1</v>
      </c>
      <c r="M1159" s="684">
        <f t="shared" si="1036"/>
        <v>1</v>
      </c>
      <c r="N1159" s="362" t="str">
        <f t="shared" si="960"/>
        <v/>
      </c>
      <c r="O1159" s="1763" t="str">
        <f t="shared" si="961"/>
        <v/>
      </c>
      <c r="P1159" s="1764" t="str">
        <f t="shared" si="962"/>
        <v/>
      </c>
      <c r="Q1159" s="120" t="str">
        <f t="shared" si="963"/>
        <v/>
      </c>
    </row>
    <row r="1160" spans="1:18" s="120" customFormat="1" ht="18" customHeight="1">
      <c r="A1160" s="1785"/>
      <c r="B1160" s="1781"/>
      <c r="C1160" s="1218" t="s">
        <v>3158</v>
      </c>
      <c r="D1160" s="1900"/>
      <c r="E1160" s="1791"/>
      <c r="F1160" s="1782"/>
      <c r="G1160" s="686"/>
      <c r="H1160" s="686"/>
      <c r="I1160" s="686"/>
      <c r="J1160" s="688"/>
      <c r="K1160" s="684">
        <f t="shared" si="1037"/>
        <v>1</v>
      </c>
      <c r="L1160" s="708">
        <v>1</v>
      </c>
      <c r="M1160" s="709">
        <f t="shared" si="1036"/>
        <v>1</v>
      </c>
      <c r="N1160" s="362" t="str">
        <f t="shared" si="960"/>
        <v/>
      </c>
      <c r="O1160" s="1763" t="str">
        <f t="shared" si="961"/>
        <v/>
      </c>
      <c r="P1160" s="1764" t="str">
        <f t="shared" si="962"/>
        <v/>
      </c>
      <c r="Q1160" s="120" t="str">
        <f t="shared" si="963"/>
        <v/>
      </c>
      <c r="R1160" s="185"/>
    </row>
    <row r="1161" spans="1:18" s="690" customFormat="1" ht="18" customHeight="1">
      <c r="A1161" s="687"/>
      <c r="B1161" s="2096">
        <v>1</v>
      </c>
      <c r="C1161" s="1420" t="str">
        <f>VLOOKUP(D1161,base_datos,6,FALSE)</f>
        <v>ITM Caja Moldeada 3x50A (reg.[0.7-1.0] In) - XT1B160-50A-3P-TMD - 25kA@230Vac, 18kA@415Vac, 18kA@250Vdc - marca ABB.</v>
      </c>
      <c r="D1161" s="1901" t="s">
        <v>4368</v>
      </c>
      <c r="E1161" s="1791">
        <f>VLOOKUP(D1161,base_datos,5,FALSE)</f>
        <v>120.37</v>
      </c>
      <c r="F1161" s="1782">
        <f>+E1161*B1161</f>
        <v>120.37</v>
      </c>
      <c r="G1161" s="1761"/>
      <c r="H1161" s="1761"/>
      <c r="I1161" s="1761"/>
      <c r="J1161" s="689"/>
      <c r="K1161" s="684">
        <f t="shared" si="1037"/>
        <v>1</v>
      </c>
      <c r="L1161" s="708">
        <v>1</v>
      </c>
      <c r="M1161" s="709">
        <f t="shared" si="1036"/>
        <v>1</v>
      </c>
      <c r="N1161" s="362">
        <f t="shared" si="960"/>
        <v>1</v>
      </c>
      <c r="O1161" s="1763" t="str">
        <f t="shared" si="961"/>
        <v>1SDA066804R1</v>
      </c>
      <c r="P1161" s="1764" t="str">
        <f t="shared" si="962"/>
        <v>ITM Caja Moldeada 3x50A (reg.[0.7-1.0] In) - XT1B160-50A-3P-TMD - 25kA@230Vac, 18kA@415Vac, 18kA@250Vdc - marca ABB.</v>
      </c>
      <c r="Q1161" s="120" t="str">
        <f t="shared" si="963"/>
        <v>XT1B160-50A-3P-TMD</v>
      </c>
      <c r="R1161" s="185"/>
    </row>
    <row r="1162" spans="1:18" s="695" customFormat="1" ht="18" customHeight="1">
      <c r="A1162" s="687"/>
      <c r="B1162" s="1922">
        <v>1</v>
      </c>
      <c r="C1162" s="1848" t="str">
        <f t="shared" ref="C1162" si="1038">VLOOKUP(D1162,base_datos,6,FALSE)</f>
        <v>FC-CuAl_XT1 - Terminales + Cubrebornes - cables de cobre/aluminio hasta 1x95mm2 - 3 terminales (externos)</v>
      </c>
      <c r="D1162" s="1886" t="s">
        <v>956</v>
      </c>
      <c r="E1162" s="1795">
        <f t="shared" ref="E1162" si="1039">VLOOKUP(D1162,base_datos,5,FALSE)</f>
        <v>31.880000000000003</v>
      </c>
      <c r="F1162" s="1923">
        <f t="shared" ref="F1162" si="1040">+E1162*B1162</f>
        <v>31.880000000000003</v>
      </c>
      <c r="G1162" s="696"/>
      <c r="H1162" s="696"/>
      <c r="I1162" s="696"/>
      <c r="J1162" s="697"/>
      <c r="K1162" s="684">
        <f t="shared" si="1037"/>
        <v>1</v>
      </c>
      <c r="L1162" s="1913">
        <f t="shared" ref="L1162" si="1041">L1161</f>
        <v>1</v>
      </c>
      <c r="M1162" s="709">
        <f t="shared" si="1036"/>
        <v>1</v>
      </c>
      <c r="N1162" s="362">
        <f t="shared" si="960"/>
        <v>1</v>
      </c>
      <c r="O1162" s="1763" t="str">
        <f t="shared" si="961"/>
        <v>1SDA067155R1</v>
      </c>
      <c r="P1162" s="1764" t="str">
        <f t="shared" si="962"/>
        <v>FC-CuAl_XT1 - Terminales + Cubrebornes - cables de cobre/aluminio hasta 1x95mm2 - 3 terminales (externos)</v>
      </c>
      <c r="Q1162" s="120" t="str">
        <f t="shared" si="963"/>
        <v>FC-CuAl_XT1_3t</v>
      </c>
      <c r="R1162" s="185"/>
    </row>
    <row r="1163" spans="1:18" s="185" customFormat="1" ht="12" customHeight="1">
      <c r="A1163" s="1771"/>
      <c r="B1163" s="714"/>
      <c r="C1163" s="313" t="s">
        <v>729</v>
      </c>
      <c r="D1163" s="173"/>
      <c r="E1163" s="1786"/>
      <c r="F1163" s="1787"/>
      <c r="G1163" s="710"/>
      <c r="H1163" s="710"/>
      <c r="I1163" s="710"/>
      <c r="J1163" s="711"/>
      <c r="K1163" s="684">
        <f t="shared" si="1037"/>
        <v>1</v>
      </c>
      <c r="L1163" s="708">
        <v>1</v>
      </c>
      <c r="M1163" s="709">
        <f>IF(B1163="",1,B1163)</f>
        <v>1</v>
      </c>
      <c r="N1163" s="362" t="str">
        <f t="shared" si="960"/>
        <v/>
      </c>
      <c r="O1163" s="1763" t="str">
        <f t="shared" si="961"/>
        <v/>
      </c>
      <c r="P1163" s="1764" t="str">
        <f t="shared" si="962"/>
        <v/>
      </c>
      <c r="Q1163" s="120" t="str">
        <f t="shared" si="963"/>
        <v/>
      </c>
    </row>
    <row r="1164" spans="1:18" s="690" customFormat="1" ht="18" customHeight="1">
      <c r="A1164" s="1785"/>
      <c r="B1164" s="1851"/>
      <c r="C1164" s="1966" t="s">
        <v>9431</v>
      </c>
      <c r="D1164" s="1582"/>
      <c r="E1164" s="1780"/>
      <c r="F1164" s="1782"/>
      <c r="G1164" s="1761"/>
      <c r="H1164" s="1761"/>
      <c r="I1164" s="1761"/>
      <c r="J1164" s="689"/>
      <c r="K1164" s="684">
        <f t="shared" si="1037"/>
        <v>1</v>
      </c>
      <c r="L1164" s="708">
        <v>1</v>
      </c>
      <c r="M1164" s="709">
        <f t="shared" ref="M1164:M1181" si="1042">IF(B1164="",1,B1164)</f>
        <v>1</v>
      </c>
      <c r="N1164" s="362" t="str">
        <f t="shared" ref="N1164:N1181" si="1043">IF(O1164&lt;&gt;"",K1164*L1164*M1164,"")</f>
        <v/>
      </c>
      <c r="O1164" s="1763" t="str">
        <f t="shared" ref="O1164:O1181" si="1044">IF(D1164&lt;&gt;"",IF(VLOOKUP(D1164,base_datos,7,FALSE)&lt;&gt;"",VLOOKUP(D1164,base_datos,7,FALSE),""),"")</f>
        <v/>
      </c>
      <c r="P1164" s="1764" t="str">
        <f t="shared" ref="P1164:P1181" si="1045">IF(O1164&lt;&gt;"",VLOOKUP(D1164,base_datos,6,FALSE),"")</f>
        <v/>
      </c>
      <c r="Q1164" s="120" t="str">
        <f t="shared" ref="Q1164:Q1181" si="1046">IF(O1164&lt;&gt;"",D1164,"")</f>
        <v/>
      </c>
      <c r="R1164" s="185"/>
    </row>
    <row r="1165" spans="1:18" s="690" customFormat="1" ht="18" customHeight="1">
      <c r="A1165" s="1785"/>
      <c r="B1165" s="1781">
        <v>1</v>
      </c>
      <c r="C1165" s="1960" t="str">
        <f t="shared" ref="C1165:C1166" si="1047">VLOOKUP(D1165,base_datos,6,FALSE)</f>
        <v>ITM Caja Moldeada 3x32A (reg.[0.7-1.0] In) - XT1B160-32A-3P-TMD - 25kA@230Vac, 18kA@415Vac, 18kA@250Vdc - marca ABB.</v>
      </c>
      <c r="D1165" s="1901" t="s">
        <v>4364</v>
      </c>
      <c r="E1165" s="1791">
        <f t="shared" ref="E1165:E1166" si="1048">VLOOKUP(D1165,base_datos,5,FALSE)</f>
        <v>120.37</v>
      </c>
      <c r="F1165" s="1782">
        <f t="shared" ref="F1165:F1167" si="1049">+E1165*B1165</f>
        <v>120.37</v>
      </c>
      <c r="G1165" s="1761"/>
      <c r="H1165" s="1761"/>
      <c r="I1165" s="1761"/>
      <c r="J1165" s="1783"/>
      <c r="K1165" s="684">
        <f t="shared" si="1037"/>
        <v>1</v>
      </c>
      <c r="L1165" s="708">
        <v>1</v>
      </c>
      <c r="M1165" s="709">
        <f t="shared" si="1042"/>
        <v>1</v>
      </c>
      <c r="N1165" s="362">
        <f t="shared" si="1043"/>
        <v>1</v>
      </c>
      <c r="O1165" s="1763" t="str">
        <f t="shared" si="1044"/>
        <v>1SDA066802R1</v>
      </c>
      <c r="P1165" s="1764" t="str">
        <f t="shared" si="1045"/>
        <v>ITM Caja Moldeada 3x32A (reg.[0.7-1.0] In) - XT1B160-32A-3P-TMD - 25kA@230Vac, 18kA@415Vac, 18kA@250Vdc - marca ABB.</v>
      </c>
      <c r="Q1165" s="120" t="str">
        <f t="shared" si="1046"/>
        <v>XT1B160-32A-3P-TMD</v>
      </c>
      <c r="R1165" s="185"/>
    </row>
    <row r="1166" spans="1:18" s="690" customFormat="1" ht="18" customHeight="1">
      <c r="A1166" s="1785"/>
      <c r="B1166" s="1781">
        <v>1</v>
      </c>
      <c r="C1166" s="1960" t="str">
        <f t="shared" si="1047"/>
        <v>ITM Caja Moldeada 3x16A (reg.[0.7-1.0] In) - XT1B160-16A-3P-TMD - 25kA@230Vac, 18kA@415Vac, 18kA@250Vdc - marca ABB.</v>
      </c>
      <c r="D1166" s="1901" t="s">
        <v>4358</v>
      </c>
      <c r="E1166" s="1791">
        <f t="shared" si="1048"/>
        <v>120.37</v>
      </c>
      <c r="F1166" s="1782">
        <f t="shared" si="1049"/>
        <v>120.37</v>
      </c>
      <c r="G1166" s="1761"/>
      <c r="H1166" s="1761"/>
      <c r="I1166" s="1761"/>
      <c r="J1166" s="1783"/>
      <c r="K1166" s="684">
        <f t="shared" si="1037"/>
        <v>1</v>
      </c>
      <c r="L1166" s="708">
        <v>1</v>
      </c>
      <c r="M1166" s="709">
        <f t="shared" si="1042"/>
        <v>1</v>
      </c>
      <c r="N1166" s="362">
        <f t="shared" si="1043"/>
        <v>1</v>
      </c>
      <c r="O1166" s="1763" t="str">
        <f t="shared" si="1044"/>
        <v>1SDA066799R1</v>
      </c>
      <c r="P1166" s="1764" t="str">
        <f t="shared" si="1045"/>
        <v>ITM Caja Moldeada 3x16A (reg.[0.7-1.0] In) - XT1B160-16A-3P-TMD - 25kA@230Vac, 18kA@415Vac, 18kA@250Vdc - marca ABB.</v>
      </c>
      <c r="Q1166" s="120" t="str">
        <f t="shared" si="1046"/>
        <v>XT1B160-16A-3P-TMD</v>
      </c>
      <c r="R1166" s="185"/>
    </row>
    <row r="1167" spans="1:18" s="695" customFormat="1">
      <c r="A1167" s="687"/>
      <c r="B1167" s="1967">
        <v>1</v>
      </c>
      <c r="C1167" s="1946">
        <v>6</v>
      </c>
      <c r="D1167" s="1582"/>
      <c r="E1167" s="2000">
        <v>24</v>
      </c>
      <c r="F1167" s="1968">
        <f t="shared" si="1049"/>
        <v>24</v>
      </c>
      <c r="G1167" s="1969"/>
      <c r="H1167" s="1969"/>
      <c r="I1167" s="1969"/>
      <c r="J1167" s="1970"/>
      <c r="K1167" s="684">
        <f t="shared" si="1037"/>
        <v>1</v>
      </c>
      <c r="L1167" s="363">
        <v>1</v>
      </c>
      <c r="M1167" s="709">
        <f t="shared" si="1042"/>
        <v>1</v>
      </c>
      <c r="N1167" s="362" t="str">
        <f t="shared" si="1043"/>
        <v/>
      </c>
      <c r="O1167" s="1763" t="str">
        <f t="shared" si="1044"/>
        <v/>
      </c>
      <c r="P1167" s="1764" t="str">
        <f t="shared" si="1045"/>
        <v/>
      </c>
      <c r="Q1167" s="120" t="str">
        <f t="shared" si="1046"/>
        <v/>
      </c>
    </row>
    <row r="1168" spans="1:18" s="185" customFormat="1" ht="12" customHeight="1">
      <c r="A1168" s="1771"/>
      <c r="B1168" s="714"/>
      <c r="C1168" s="313" t="s">
        <v>729</v>
      </c>
      <c r="D1168" s="173"/>
      <c r="E1168" s="1786"/>
      <c r="F1168" s="1787"/>
      <c r="G1168" s="710"/>
      <c r="H1168" s="710"/>
      <c r="I1168" s="710"/>
      <c r="J1168" s="711"/>
      <c r="K1168" s="684">
        <f t="shared" si="1037"/>
        <v>1</v>
      </c>
      <c r="L1168" s="708">
        <v>1</v>
      </c>
      <c r="M1168" s="709">
        <f>IF(B1168="",1,B1168)</f>
        <v>1</v>
      </c>
      <c r="N1168" s="362" t="str">
        <f t="shared" si="1043"/>
        <v/>
      </c>
      <c r="O1168" s="1763" t="str">
        <f t="shared" si="1044"/>
        <v/>
      </c>
      <c r="P1168" s="1764" t="str">
        <f t="shared" si="1045"/>
        <v/>
      </c>
      <c r="Q1168" s="120" t="str">
        <f t="shared" si="1046"/>
        <v/>
      </c>
    </row>
    <row r="1169" spans="1:18" s="690" customFormat="1" ht="18" customHeight="1">
      <c r="A1169" s="1785"/>
      <c r="B1169" s="1851"/>
      <c r="C1169" s="1966" t="s">
        <v>12546</v>
      </c>
      <c r="D1169" s="1582"/>
      <c r="E1169" s="1780"/>
      <c r="F1169" s="1782"/>
      <c r="G1169" s="1761"/>
      <c r="H1169" s="1761"/>
      <c r="I1169" s="1761"/>
      <c r="J1169" s="689"/>
      <c r="K1169" s="684">
        <f t="shared" si="1037"/>
        <v>1</v>
      </c>
      <c r="L1169" s="708">
        <v>1</v>
      </c>
      <c r="M1169" s="709">
        <f t="shared" si="1042"/>
        <v>1</v>
      </c>
      <c r="N1169" s="362" t="str">
        <f t="shared" si="1043"/>
        <v/>
      </c>
      <c r="O1169" s="1763" t="str">
        <f t="shared" si="1044"/>
        <v/>
      </c>
      <c r="P1169" s="1764" t="str">
        <f t="shared" si="1045"/>
        <v/>
      </c>
      <c r="Q1169" s="120" t="str">
        <f t="shared" si="1046"/>
        <v/>
      </c>
      <c r="R1169" s="185"/>
    </row>
    <row r="1170" spans="1:18" s="690" customFormat="1" ht="18" customHeight="1">
      <c r="A1170" s="1785"/>
      <c r="B1170" s="1781">
        <v>9</v>
      </c>
      <c r="C1170" s="1960" t="str">
        <f t="shared" ref="C1170:C1172" si="1050">VLOOKUP(D1170,base_datos,6,FALSE)</f>
        <v>ITM Riel-Din 2x16A - S202-C-16A - 10kA@400Vac-IEC60947-2 - marca ABB.</v>
      </c>
      <c r="D1170" s="2007" t="s">
        <v>970</v>
      </c>
      <c r="E1170" s="1791">
        <f t="shared" ref="E1170:E1172" si="1051">VLOOKUP(D1170,base_datos,5,FALSE)</f>
        <v>17.96</v>
      </c>
      <c r="F1170" s="1782">
        <f t="shared" ref="F1170:F1173" si="1052">+E1170*B1170</f>
        <v>161.64000000000001</v>
      </c>
      <c r="G1170" s="1761"/>
      <c r="H1170" s="1761"/>
      <c r="I1170" s="1761"/>
      <c r="J1170" s="1783"/>
      <c r="K1170" s="684">
        <f t="shared" si="1037"/>
        <v>1</v>
      </c>
      <c r="L1170" s="708">
        <v>1</v>
      </c>
      <c r="M1170" s="709">
        <f t="shared" si="1042"/>
        <v>9</v>
      </c>
      <c r="N1170" s="362">
        <f t="shared" si="1043"/>
        <v>9</v>
      </c>
      <c r="O1170" s="1763" t="str">
        <f t="shared" si="1044"/>
        <v>2CDS252001R0164</v>
      </c>
      <c r="P1170" s="1764" t="str">
        <f t="shared" si="1045"/>
        <v>ITM Riel-Din 2x16A - S202-C-16A - 10kA@400Vac-IEC60947-2 - marca ABB.</v>
      </c>
      <c r="Q1170" s="120" t="str">
        <f t="shared" si="1046"/>
        <v>S202-C-16A</v>
      </c>
      <c r="R1170" s="185"/>
    </row>
    <row r="1171" spans="1:18" s="690" customFormat="1" ht="18" customHeight="1">
      <c r="A1171" s="1785"/>
      <c r="B1171" s="2023">
        <v>9</v>
      </c>
      <c r="C1171" s="2041" t="str">
        <f t="shared" si="1050"/>
        <v>Interruptor Diferencial 2x25A - 30mA - clase A (inmunizado) - FH202-A-25A-30mA - marca ABB.</v>
      </c>
      <c r="D1171" s="2006" t="s">
        <v>5318</v>
      </c>
      <c r="E1171" s="2025">
        <f t="shared" si="1051"/>
        <v>50</v>
      </c>
      <c r="F1171" s="2026">
        <f t="shared" si="1052"/>
        <v>450</v>
      </c>
      <c r="G1171" s="1761"/>
      <c r="H1171" s="1761"/>
      <c r="I1171" s="1761"/>
      <c r="J1171" s="1783"/>
      <c r="K1171" s="684">
        <f t="shared" si="1037"/>
        <v>1</v>
      </c>
      <c r="L1171" s="708">
        <v>1</v>
      </c>
      <c r="M1171" s="709">
        <f t="shared" si="1042"/>
        <v>9</v>
      </c>
      <c r="N1171" s="362">
        <f t="shared" si="1043"/>
        <v>9</v>
      </c>
      <c r="O1171" s="1763" t="str">
        <f t="shared" si="1044"/>
        <v>2CSF202102R1250</v>
      </c>
      <c r="P1171" s="1764" t="str">
        <f t="shared" si="1045"/>
        <v>Interruptor Diferencial 2x25A - 30mA - clase A (inmunizado) - FH202-A-25A-30mA - marca ABB.</v>
      </c>
      <c r="Q1171" s="120" t="str">
        <f t="shared" si="1046"/>
        <v>FH202-A-25A-30mA</v>
      </c>
      <c r="R1171" s="185"/>
    </row>
    <row r="1172" spans="1:18" s="690" customFormat="1" ht="18" customHeight="1">
      <c r="A1172" s="1785"/>
      <c r="B1172" s="1781">
        <v>1</v>
      </c>
      <c r="C1172" s="1960" t="str">
        <f t="shared" si="1050"/>
        <v>Espacio de reserva monofasica + interruptor diferencial - Riel-Din.</v>
      </c>
      <c r="D1172" s="2006" t="s">
        <v>2926</v>
      </c>
      <c r="E1172" s="1791">
        <f t="shared" si="1051"/>
        <v>2.5</v>
      </c>
      <c r="F1172" s="1782">
        <f t="shared" si="1052"/>
        <v>2.5</v>
      </c>
      <c r="G1172" s="1761"/>
      <c r="H1172" s="1761"/>
      <c r="I1172" s="1761"/>
      <c r="J1172" s="1783"/>
      <c r="K1172" s="684">
        <f t="shared" si="1037"/>
        <v>1</v>
      </c>
      <c r="L1172" s="708">
        <v>1</v>
      </c>
      <c r="M1172" s="709">
        <f t="shared" si="1042"/>
        <v>1</v>
      </c>
      <c r="N1172" s="362" t="str">
        <f t="shared" si="1043"/>
        <v/>
      </c>
      <c r="O1172" s="1763" t="str">
        <f t="shared" si="1044"/>
        <v/>
      </c>
      <c r="P1172" s="1764" t="str">
        <f t="shared" si="1045"/>
        <v/>
      </c>
      <c r="Q1172" s="120" t="str">
        <f t="shared" si="1046"/>
        <v/>
      </c>
      <c r="R1172" s="185"/>
    </row>
    <row r="1173" spans="1:18" s="695" customFormat="1">
      <c r="A1173" s="687"/>
      <c r="B1173" s="1967">
        <v>1</v>
      </c>
      <c r="C1173" s="1946">
        <v>24</v>
      </c>
      <c r="D1173" s="1582"/>
      <c r="E1173" s="2000">
        <v>70</v>
      </c>
      <c r="F1173" s="1968">
        <f t="shared" si="1052"/>
        <v>70</v>
      </c>
      <c r="G1173" s="1969"/>
      <c r="H1173" s="1969"/>
      <c r="I1173" s="1969"/>
      <c r="J1173" s="1970"/>
      <c r="K1173" s="684">
        <f t="shared" si="1037"/>
        <v>1</v>
      </c>
      <c r="L1173" s="363">
        <v>1</v>
      </c>
      <c r="M1173" s="709">
        <f t="shared" si="1042"/>
        <v>1</v>
      </c>
      <c r="N1173" s="362" t="str">
        <f t="shared" si="1043"/>
        <v/>
      </c>
      <c r="O1173" s="1763" t="str">
        <f t="shared" si="1044"/>
        <v/>
      </c>
      <c r="P1173" s="1764" t="str">
        <f t="shared" si="1045"/>
        <v/>
      </c>
      <c r="Q1173" s="120" t="str">
        <f t="shared" si="1046"/>
        <v/>
      </c>
    </row>
    <row r="1174" spans="1:18" s="185" customFormat="1">
      <c r="A1174" s="1785"/>
      <c r="B1174" s="714"/>
      <c r="C1174" s="1893" t="s">
        <v>729</v>
      </c>
      <c r="D1174" s="1941"/>
      <c r="E1174" s="1786"/>
      <c r="F1174" s="1787"/>
      <c r="G1174" s="710"/>
      <c r="H1174" s="710"/>
      <c r="I1174" s="710"/>
      <c r="J1174" s="711"/>
      <c r="K1174" s="684">
        <f t="shared" si="1037"/>
        <v>1</v>
      </c>
      <c r="L1174" s="363">
        <v>1</v>
      </c>
      <c r="M1174" s="709">
        <f t="shared" si="1042"/>
        <v>1</v>
      </c>
      <c r="N1174" s="362" t="str">
        <f t="shared" si="1043"/>
        <v/>
      </c>
      <c r="O1174" s="1763" t="str">
        <f t="shared" si="1044"/>
        <v/>
      </c>
      <c r="P1174" s="1764" t="str">
        <f t="shared" si="1045"/>
        <v/>
      </c>
      <c r="Q1174" s="120" t="str">
        <f t="shared" si="1046"/>
        <v/>
      </c>
    </row>
    <row r="1175" spans="1:18" s="690" customFormat="1" ht="18" customHeight="1">
      <c r="A1175" s="1785"/>
      <c r="B1175" s="1851"/>
      <c r="C1175" s="1966" t="s">
        <v>12547</v>
      </c>
      <c r="D1175" s="1582"/>
      <c r="E1175" s="1780"/>
      <c r="F1175" s="1782"/>
      <c r="G1175" s="1761"/>
      <c r="H1175" s="1761"/>
      <c r="I1175" s="1761"/>
      <c r="J1175" s="689"/>
      <c r="K1175" s="684">
        <f t="shared" si="1037"/>
        <v>1</v>
      </c>
      <c r="L1175" s="708">
        <v>1</v>
      </c>
      <c r="M1175" s="709">
        <f t="shared" si="1042"/>
        <v>1</v>
      </c>
      <c r="N1175" s="362" t="str">
        <f t="shared" si="1043"/>
        <v/>
      </c>
      <c r="O1175" s="1763" t="str">
        <f t="shared" si="1044"/>
        <v/>
      </c>
      <c r="P1175" s="1764" t="str">
        <f t="shared" si="1045"/>
        <v/>
      </c>
      <c r="Q1175" s="120" t="str">
        <f t="shared" si="1046"/>
        <v/>
      </c>
      <c r="R1175" s="185"/>
    </row>
    <row r="1176" spans="1:18" s="2434" customFormat="1" ht="18" customHeight="1">
      <c r="A1176" s="2462"/>
      <c r="B1176" s="2435">
        <v>1</v>
      </c>
      <c r="C1176" s="2436" t="str">
        <f t="shared" ref="C1176" si="1053">VLOOKUP(D1176,base_datos,6,FALSE)</f>
        <v>ITM Caja Moldeada 2x16A - A1N/P125-16A-2P-TMF - 50kA@230Vac, 36kA@400Vac, 10kA@125Vdc - marca ABB.</v>
      </c>
      <c r="D1176" s="2483" t="s">
        <v>1172</v>
      </c>
      <c r="E1176" s="2482">
        <f t="shared" ref="E1176" si="1054">VLOOKUP(D1176,base_datos,5,FALSE)</f>
        <v>59.769999999999996</v>
      </c>
      <c r="F1176" s="2422">
        <f t="shared" ref="F1176" si="1055">+E1176*B1176</f>
        <v>59.769999999999996</v>
      </c>
      <c r="G1176" s="2424"/>
      <c r="H1176" s="2424"/>
      <c r="I1176" s="2424"/>
      <c r="J1176" s="2425"/>
      <c r="K1176" s="2426">
        <f>+K1173</f>
        <v>1</v>
      </c>
      <c r="L1176" s="2463">
        <v>1</v>
      </c>
      <c r="M1176" s="2428">
        <f t="shared" ref="M1176" si="1056">IF(B1176="",1,B1176)</f>
        <v>1</v>
      </c>
      <c r="N1176" s="2429">
        <f t="shared" ref="N1176" si="1057">IF(O1176&lt;&gt;"",K1176*L1176*M1176,"")</f>
        <v>1</v>
      </c>
      <c r="O1176" s="2430" t="str">
        <f t="shared" ref="O1176" si="1058">IF(D1176&lt;&gt;"",IF(VLOOKUP(D1176,base_datos,7,FALSE)&lt;&gt;"",VLOOKUP(D1176,base_datos,7,FALSE),""),"")</f>
        <v>1SDA069551R1</v>
      </c>
      <c r="P1176" s="2431" t="str">
        <f t="shared" ref="P1176" si="1059">IF(O1176&lt;&gt;"",VLOOKUP(D1176,base_datos,6,FALSE),"")</f>
        <v>ITM Caja Moldeada 2x16A - A1N/P125-16A-2P-TMF - 50kA@230Vac, 36kA@400Vac, 10kA@125Vdc - marca ABB.</v>
      </c>
      <c r="Q1176" s="2432" t="str">
        <f t="shared" ref="Q1176" si="1060">IF(O1176&lt;&gt;"",D1176,"")</f>
        <v>A1N/P125-16A-2P-TMF</v>
      </c>
      <c r="R1176" s="2433"/>
    </row>
    <row r="1177" spans="1:18" s="690" customFormat="1" ht="18" customHeight="1">
      <c r="A1177" s="1785"/>
      <c r="B1177" s="1781">
        <v>10</v>
      </c>
      <c r="C1177" s="1960" t="str">
        <f t="shared" ref="C1177:C1179" si="1061">VLOOKUP(D1177,base_datos,6,FALSE)</f>
        <v>ITM Riel-Din 2x16A - S202-C-16A - 10kA@400Vac-IEC60947-2 - marca ABB.</v>
      </c>
      <c r="D1177" s="2007" t="s">
        <v>970</v>
      </c>
      <c r="E1177" s="1791">
        <f t="shared" ref="E1177:E1179" si="1062">VLOOKUP(D1177,base_datos,5,FALSE)</f>
        <v>17.96</v>
      </c>
      <c r="F1177" s="1782">
        <f t="shared" ref="F1177:F1180" si="1063">+E1177*B1177</f>
        <v>179.60000000000002</v>
      </c>
      <c r="G1177" s="1761"/>
      <c r="H1177" s="1761"/>
      <c r="I1177" s="1761"/>
      <c r="J1177" s="1783"/>
      <c r="K1177" s="684">
        <f>+K1174</f>
        <v>1</v>
      </c>
      <c r="L1177" s="708">
        <v>1</v>
      </c>
      <c r="M1177" s="709">
        <f t="shared" si="1042"/>
        <v>10</v>
      </c>
      <c r="N1177" s="362">
        <f t="shared" si="1043"/>
        <v>10</v>
      </c>
      <c r="O1177" s="1763" t="str">
        <f t="shared" si="1044"/>
        <v>2CDS252001R0164</v>
      </c>
      <c r="P1177" s="1764" t="str">
        <f t="shared" si="1045"/>
        <v>ITM Riel-Din 2x16A - S202-C-16A - 10kA@400Vac-IEC60947-2 - marca ABB.</v>
      </c>
      <c r="Q1177" s="120" t="str">
        <f t="shared" si="1046"/>
        <v>S202-C-16A</v>
      </c>
      <c r="R1177" s="185"/>
    </row>
    <row r="1178" spans="1:18" s="690" customFormat="1" ht="18" customHeight="1">
      <c r="A1178" s="1785"/>
      <c r="B1178" s="2023">
        <v>10</v>
      </c>
      <c r="C1178" s="2041" t="str">
        <f t="shared" si="1061"/>
        <v>Interruptor Diferencial 2x25A - 30mA - clase A (inmunizado) - FH202-A-25A-30mA - marca ABB.</v>
      </c>
      <c r="D1178" s="2006" t="s">
        <v>5318</v>
      </c>
      <c r="E1178" s="2025">
        <f t="shared" si="1062"/>
        <v>50</v>
      </c>
      <c r="F1178" s="2026">
        <f t="shared" si="1063"/>
        <v>500</v>
      </c>
      <c r="G1178" s="1761"/>
      <c r="H1178" s="1761"/>
      <c r="I1178" s="1761"/>
      <c r="J1178" s="1783"/>
      <c r="K1178" s="684">
        <f>+K1175</f>
        <v>1</v>
      </c>
      <c r="L1178" s="708">
        <v>1</v>
      </c>
      <c r="M1178" s="709">
        <f t="shared" si="1042"/>
        <v>10</v>
      </c>
      <c r="N1178" s="362">
        <f t="shared" si="1043"/>
        <v>10</v>
      </c>
      <c r="O1178" s="1763" t="str">
        <f t="shared" si="1044"/>
        <v>2CSF202102R1250</v>
      </c>
      <c r="P1178" s="1764" t="str">
        <f t="shared" si="1045"/>
        <v>Interruptor Diferencial 2x25A - 30mA - clase A (inmunizado) - FH202-A-25A-30mA - marca ABB.</v>
      </c>
      <c r="Q1178" s="120" t="str">
        <f t="shared" si="1046"/>
        <v>FH202-A-25A-30mA</v>
      </c>
      <c r="R1178" s="185"/>
    </row>
    <row r="1179" spans="1:18" s="690" customFormat="1" ht="18" customHeight="1">
      <c r="A1179" s="1785"/>
      <c r="B1179" s="1781">
        <v>1</v>
      </c>
      <c r="C1179" s="1960" t="str">
        <f t="shared" si="1061"/>
        <v>Espacio de reserva monofasica + interruptor diferencial - Riel-Din.</v>
      </c>
      <c r="D1179" s="2006" t="s">
        <v>2926</v>
      </c>
      <c r="E1179" s="1791">
        <f t="shared" si="1062"/>
        <v>2.5</v>
      </c>
      <c r="F1179" s="1782">
        <f t="shared" si="1063"/>
        <v>2.5</v>
      </c>
      <c r="G1179" s="1761"/>
      <c r="H1179" s="1761"/>
      <c r="I1179" s="1761"/>
      <c r="J1179" s="1783"/>
      <c r="K1179" s="684">
        <f t="shared" si="1037"/>
        <v>1</v>
      </c>
      <c r="L1179" s="708">
        <v>1</v>
      </c>
      <c r="M1179" s="709">
        <f t="shared" si="1042"/>
        <v>1</v>
      </c>
      <c r="N1179" s="362" t="str">
        <f t="shared" si="1043"/>
        <v/>
      </c>
      <c r="O1179" s="1763" t="str">
        <f t="shared" si="1044"/>
        <v/>
      </c>
      <c r="P1179" s="1764" t="str">
        <f t="shared" si="1045"/>
        <v/>
      </c>
      <c r="Q1179" s="120" t="str">
        <f t="shared" si="1046"/>
        <v/>
      </c>
      <c r="R1179" s="185"/>
    </row>
    <row r="1180" spans="1:18" s="695" customFormat="1">
      <c r="A1180" s="687"/>
      <c r="B1180" s="1967">
        <v>1</v>
      </c>
      <c r="C1180" s="1946">
        <v>24</v>
      </c>
      <c r="D1180" s="1582"/>
      <c r="E1180" s="2000">
        <v>70</v>
      </c>
      <c r="F1180" s="1968">
        <f t="shared" si="1063"/>
        <v>70</v>
      </c>
      <c r="G1180" s="1969"/>
      <c r="H1180" s="1969"/>
      <c r="I1180" s="1969"/>
      <c r="J1180" s="1970"/>
      <c r="K1180" s="684">
        <f t="shared" si="1037"/>
        <v>1</v>
      </c>
      <c r="L1180" s="363">
        <v>1</v>
      </c>
      <c r="M1180" s="709">
        <f t="shared" si="1042"/>
        <v>1</v>
      </c>
      <c r="N1180" s="362" t="str">
        <f t="shared" si="1043"/>
        <v/>
      </c>
      <c r="O1180" s="1763" t="str">
        <f t="shared" si="1044"/>
        <v/>
      </c>
      <c r="P1180" s="1764" t="str">
        <f t="shared" si="1045"/>
        <v/>
      </c>
      <c r="Q1180" s="120" t="str">
        <f t="shared" si="1046"/>
        <v/>
      </c>
    </row>
    <row r="1181" spans="1:18" s="185" customFormat="1">
      <c r="A1181" s="1785"/>
      <c r="B1181" s="714"/>
      <c r="C1181" s="1893" t="s">
        <v>729</v>
      </c>
      <c r="D1181" s="1941"/>
      <c r="E1181" s="1786"/>
      <c r="F1181" s="1787"/>
      <c r="G1181" s="710"/>
      <c r="H1181" s="710"/>
      <c r="I1181" s="710"/>
      <c r="J1181" s="711"/>
      <c r="K1181" s="684">
        <f t="shared" si="1037"/>
        <v>1</v>
      </c>
      <c r="L1181" s="363">
        <v>1</v>
      </c>
      <c r="M1181" s="709">
        <f t="shared" si="1042"/>
        <v>1</v>
      </c>
      <c r="N1181" s="362" t="str">
        <f t="shared" si="1043"/>
        <v/>
      </c>
      <c r="O1181" s="1763" t="str">
        <f t="shared" si="1044"/>
        <v/>
      </c>
      <c r="P1181" s="1764" t="str">
        <f t="shared" si="1045"/>
        <v/>
      </c>
      <c r="Q1181" s="120" t="str">
        <f t="shared" si="1046"/>
        <v/>
      </c>
    </row>
    <row r="1182" spans="1:18" s="315" customFormat="1">
      <c r="A1182" s="1785"/>
      <c r="B1182" s="355">
        <v>1</v>
      </c>
      <c r="C1182" s="1944" t="s">
        <v>13040</v>
      </c>
      <c r="D1182" s="1941"/>
      <c r="E1182" s="1786"/>
      <c r="F1182" s="1908">
        <f>SUM(F1183:F1188)*(B1182-1)</f>
        <v>0</v>
      </c>
      <c r="G1182" s="712"/>
      <c r="H1182" s="712"/>
      <c r="I1182" s="712"/>
      <c r="J1182" s="713"/>
      <c r="K1182" s="684">
        <f t="shared" si="1037"/>
        <v>1</v>
      </c>
      <c r="L1182" s="1909">
        <f>B1182</f>
        <v>1</v>
      </c>
      <c r="M1182" s="684">
        <f t="shared" ref="M1182:M1192" si="1064">IF(B1182="",1,B1182)</f>
        <v>1</v>
      </c>
      <c r="N1182" s="362" t="str">
        <f t="shared" ref="N1182:N1273" si="1065">IF(O1182&lt;&gt;"",K1182*L1182*M1182,"")</f>
        <v/>
      </c>
      <c r="O1182" s="1763" t="str">
        <f t="shared" ref="O1182:O1273" si="1066">IF(D1182&lt;&gt;"",IF(VLOOKUP(D1182,base_datos,7,FALSE)&lt;&gt;"",VLOOKUP(D1182,base_datos,7,FALSE),""),"")</f>
        <v/>
      </c>
      <c r="P1182" s="1764" t="str">
        <f t="shared" ref="P1182:P1273" si="1067">IF(O1182&lt;&gt;"",VLOOKUP(D1182,base_datos,6,FALSE),"")</f>
        <v/>
      </c>
      <c r="Q1182" s="120" t="str">
        <f t="shared" ref="Q1182:Q1273" si="1068">IF(O1182&lt;&gt;"",D1182,"")</f>
        <v/>
      </c>
    </row>
    <row r="1183" spans="1:18" s="690" customFormat="1" ht="18" customHeight="1">
      <c r="A1183" s="691"/>
      <c r="B1183" s="1781">
        <v>1</v>
      </c>
      <c r="C1183" s="1420" t="str">
        <f>VLOOKUP(D1183,base_datos,6,FALSE)</f>
        <v>Contactor 3x09A(AC-3) / 3x25A(AC-1) +1NA - AF09-30-10-13 - bobina 100-250Vac/dc - marca ABB.</v>
      </c>
      <c r="D1183" s="1901" t="s">
        <v>1447</v>
      </c>
      <c r="E1183" s="1791">
        <f>VLOOKUP(D1183,base_datos,5,FALSE)</f>
        <v>29.89</v>
      </c>
      <c r="F1183" s="1912">
        <f>+E1183*B1183</f>
        <v>29.89</v>
      </c>
      <c r="G1183" s="1761"/>
      <c r="H1183" s="1761"/>
      <c r="I1183" s="1761"/>
      <c r="J1183" s="1783"/>
      <c r="K1183" s="684">
        <f t="shared" si="1037"/>
        <v>1</v>
      </c>
      <c r="L1183" s="1913">
        <f>L1182</f>
        <v>1</v>
      </c>
      <c r="M1183" s="684">
        <f t="shared" si="1064"/>
        <v>1</v>
      </c>
      <c r="N1183" s="362">
        <f t="shared" si="1065"/>
        <v>1</v>
      </c>
      <c r="O1183" s="1763" t="str">
        <f t="shared" si="1066"/>
        <v>1SBL137001R1310</v>
      </c>
      <c r="P1183" s="1764" t="str">
        <f t="shared" si="1067"/>
        <v>Contactor 3x09A(AC-3) / 3x25A(AC-1) +1NA - AF09-30-10-13 - bobina 100-250Vac/dc - marca ABB.</v>
      </c>
      <c r="Q1183" s="120" t="str">
        <f t="shared" si="1068"/>
        <v>AF09-30-10-13_3p</v>
      </c>
      <c r="R1183" s="185"/>
    </row>
    <row r="1184" spans="1:18" s="690" customFormat="1" ht="18" customHeight="1">
      <c r="A1184" s="691"/>
      <c r="B1184" s="1922">
        <v>1</v>
      </c>
      <c r="C1184" s="1848" t="str">
        <f>VLOOKUP(D1184,base_datos,6,FALSE)</f>
        <v>Contacto auxiliar frontal 1NA para contactor AF09..AF16-30-10, frontal - Modelo CA4-10 - marca ABB.</v>
      </c>
      <c r="D1184" s="1901" t="s">
        <v>2718</v>
      </c>
      <c r="E1184" s="1791">
        <f>VLOOKUP(D1184,base_datos,5,FALSE)</f>
        <v>5.92</v>
      </c>
      <c r="F1184" s="1912">
        <f>+E1184*B1184</f>
        <v>5.92</v>
      </c>
      <c r="G1184" s="1761"/>
      <c r="H1184" s="1761"/>
      <c r="I1184" s="1761"/>
      <c r="J1184" s="1783"/>
      <c r="K1184" s="684">
        <f t="shared" si="1037"/>
        <v>1</v>
      </c>
      <c r="L1184" s="1913">
        <f>L1183</f>
        <v>1</v>
      </c>
      <c r="M1184" s="684">
        <f t="shared" si="1064"/>
        <v>1</v>
      </c>
      <c r="N1184" s="362">
        <f t="shared" si="1065"/>
        <v>1</v>
      </c>
      <c r="O1184" s="1763" t="str">
        <f t="shared" si="1066"/>
        <v>1SBN010110R1010</v>
      </c>
      <c r="P1184" s="1764" t="str">
        <f t="shared" si="1067"/>
        <v>Contacto auxiliar frontal 1NA para contactor AF09..AF16-30-10, frontal - Modelo CA4-10 - marca ABB.</v>
      </c>
      <c r="Q1184" s="120" t="str">
        <f t="shared" si="1068"/>
        <v>CA4-10</v>
      </c>
      <c r="R1184" s="185"/>
    </row>
    <row r="1185" spans="1:18" s="1921" customFormat="1">
      <c r="A1185" s="687"/>
      <c r="B1185" s="1914">
        <v>1</v>
      </c>
      <c r="C1185" s="1915" t="s">
        <v>3366</v>
      </c>
      <c r="D1185" s="1916"/>
      <c r="E1185" s="1917"/>
      <c r="F1185" s="1918"/>
      <c r="G1185" s="1919"/>
      <c r="H1185" s="1919"/>
      <c r="I1185" s="1919"/>
      <c r="J1185" s="1920"/>
      <c r="K1185" s="684">
        <f t="shared" si="1037"/>
        <v>1</v>
      </c>
      <c r="L1185" s="1913">
        <f>L1184</f>
        <v>1</v>
      </c>
      <c r="M1185" s="684">
        <f t="shared" si="1064"/>
        <v>1</v>
      </c>
      <c r="N1185" s="362" t="str">
        <f t="shared" si="1065"/>
        <v/>
      </c>
      <c r="O1185" s="1763" t="str">
        <f t="shared" si="1066"/>
        <v/>
      </c>
      <c r="P1185" s="1764" t="str">
        <f t="shared" si="1067"/>
        <v/>
      </c>
      <c r="Q1185" s="120" t="str">
        <f t="shared" si="1068"/>
        <v/>
      </c>
    </row>
    <row r="1186" spans="1:18" s="695" customFormat="1" ht="18" customHeight="1">
      <c r="A1186" s="693"/>
      <c r="B1186" s="1922">
        <v>1</v>
      </c>
      <c r="C1186" s="1848" t="str">
        <f t="shared" ref="C1186:C1188" si="1069">VLOOKUP(D1186,base_datos,6,FALSE)</f>
        <v>Base portafusibles + Fusibles de protección para control.</v>
      </c>
      <c r="D1186" s="1886" t="s">
        <v>453</v>
      </c>
      <c r="E1186" s="1795">
        <f t="shared" ref="E1186:E1188" si="1070">VLOOKUP(D1186,base_datos,5,FALSE)</f>
        <v>8.1750000000000007</v>
      </c>
      <c r="F1186" s="1923">
        <f t="shared" ref="F1186:F1188" si="1071">+E1186*B1186</f>
        <v>8.1750000000000007</v>
      </c>
      <c r="G1186" s="696"/>
      <c r="H1186" s="696"/>
      <c r="I1186" s="696"/>
      <c r="J1186" s="697"/>
      <c r="K1186" s="684">
        <f t="shared" si="1037"/>
        <v>1</v>
      </c>
      <c r="L1186" s="1913">
        <f t="shared" ref="L1186" si="1072">L1184</f>
        <v>1</v>
      </c>
      <c r="M1186" s="684">
        <f t="shared" si="1064"/>
        <v>1</v>
      </c>
      <c r="N1186" s="362" t="str">
        <f t="shared" si="1065"/>
        <v/>
      </c>
      <c r="O1186" s="1763" t="str">
        <f t="shared" si="1066"/>
        <v/>
      </c>
      <c r="P1186" s="1764" t="str">
        <f t="shared" si="1067"/>
        <v/>
      </c>
      <c r="Q1186" s="120" t="str">
        <f t="shared" si="1068"/>
        <v/>
      </c>
      <c r="R1186" s="185"/>
    </row>
    <row r="1187" spans="1:18" s="695" customFormat="1" ht="18" customHeight="1">
      <c r="A1187" s="693"/>
      <c r="B1187" s="1922">
        <v>1</v>
      </c>
      <c r="C1187" s="1848" t="str">
        <f t="shared" si="1069"/>
        <v>Borne para neutro.</v>
      </c>
      <c r="D1187" s="1886" t="s">
        <v>13049</v>
      </c>
      <c r="E1187" s="1795">
        <f t="shared" si="1070"/>
        <v>4</v>
      </c>
      <c r="F1187" s="1923">
        <f t="shared" si="1071"/>
        <v>4</v>
      </c>
      <c r="G1187" s="696"/>
      <c r="H1187" s="696"/>
      <c r="I1187" s="696"/>
      <c r="J1187" s="697"/>
      <c r="K1187" s="684">
        <f t="shared" si="1037"/>
        <v>1</v>
      </c>
      <c r="L1187" s="1913">
        <f>L1184</f>
        <v>1</v>
      </c>
      <c r="M1187" s="684">
        <f t="shared" si="1064"/>
        <v>1</v>
      </c>
      <c r="N1187" s="362" t="str">
        <f t="shared" si="1065"/>
        <v/>
      </c>
      <c r="O1187" s="1763" t="str">
        <f t="shared" si="1066"/>
        <v/>
      </c>
      <c r="P1187" s="1764" t="str">
        <f t="shared" si="1067"/>
        <v/>
      </c>
      <c r="Q1187" s="120" t="str">
        <f t="shared" si="1068"/>
        <v/>
      </c>
      <c r="R1187" s="185"/>
    </row>
    <row r="1188" spans="1:18" s="695" customFormat="1" ht="18" customHeight="1">
      <c r="A1188" s="693"/>
      <c r="B1188" s="1922">
        <v>2</v>
      </c>
      <c r="C1188" s="1848" t="str">
        <f t="shared" si="1069"/>
        <v>Borne 4mm2.</v>
      </c>
      <c r="D1188" s="1886" t="s">
        <v>437</v>
      </c>
      <c r="E1188" s="1795">
        <f t="shared" si="1070"/>
        <v>2.5</v>
      </c>
      <c r="F1188" s="1923">
        <f t="shared" si="1071"/>
        <v>5</v>
      </c>
      <c r="G1188" s="696"/>
      <c r="H1188" s="696"/>
      <c r="I1188" s="696"/>
      <c r="J1188" s="697"/>
      <c r="K1188" s="684">
        <f t="shared" si="1037"/>
        <v>1</v>
      </c>
      <c r="L1188" s="1913">
        <f>L1186</f>
        <v>1</v>
      </c>
      <c r="M1188" s="684">
        <f t="shared" si="1064"/>
        <v>2</v>
      </c>
      <c r="N1188" s="362" t="str">
        <f t="shared" si="1065"/>
        <v/>
      </c>
      <c r="O1188" s="1763" t="str">
        <f t="shared" si="1066"/>
        <v/>
      </c>
      <c r="P1188" s="1764" t="str">
        <f t="shared" si="1067"/>
        <v/>
      </c>
      <c r="Q1188" s="120" t="str">
        <f t="shared" si="1068"/>
        <v/>
      </c>
      <c r="R1188" s="185"/>
    </row>
    <row r="1189" spans="1:18" s="185" customFormat="1" ht="18" customHeight="1">
      <c r="A1189" s="1785"/>
      <c r="B1189" s="714"/>
      <c r="C1189" s="1893" t="s">
        <v>729</v>
      </c>
      <c r="D1189" s="173"/>
      <c r="E1189" s="1786"/>
      <c r="F1189" s="1787"/>
      <c r="G1189" s="710"/>
      <c r="H1189" s="710"/>
      <c r="I1189" s="710"/>
      <c r="J1189" s="711"/>
      <c r="K1189" s="684">
        <f t="shared" si="1037"/>
        <v>1</v>
      </c>
      <c r="L1189" s="708">
        <v>1</v>
      </c>
      <c r="M1189" s="684">
        <f t="shared" si="1064"/>
        <v>1</v>
      </c>
      <c r="N1189" s="362" t="str">
        <f t="shared" si="1065"/>
        <v/>
      </c>
      <c r="O1189" s="1763" t="str">
        <f t="shared" si="1066"/>
        <v/>
      </c>
      <c r="P1189" s="1764" t="str">
        <f t="shared" si="1067"/>
        <v/>
      </c>
      <c r="Q1189" s="120" t="str">
        <f t="shared" si="1068"/>
        <v/>
      </c>
    </row>
    <row r="1190" spans="1:18" s="2434" customFormat="1" ht="18" customHeight="1">
      <c r="A1190" s="2418"/>
      <c r="B1190" s="2419">
        <v>1</v>
      </c>
      <c r="C1190" s="2420" t="s">
        <v>13045</v>
      </c>
      <c r="D1190" s="2421"/>
      <c r="E1190" s="2422"/>
      <c r="F1190" s="2423">
        <f>SUM(F1191:F1195)*(B1190-1)</f>
        <v>0</v>
      </c>
      <c r="G1190" s="2424"/>
      <c r="H1190" s="2424"/>
      <c r="I1190" s="2424"/>
      <c r="J1190" s="2425"/>
      <c r="K1190" s="2426">
        <f>K1188</f>
        <v>1</v>
      </c>
      <c r="L1190" s="2427">
        <f>B1190</f>
        <v>1</v>
      </c>
      <c r="M1190" s="2428">
        <f t="shared" si="1064"/>
        <v>1</v>
      </c>
      <c r="N1190" s="2429" t="str">
        <f>IF(O1190&lt;&gt;"",K1190*L1190*M1190,"")</f>
        <v/>
      </c>
      <c r="O1190" s="2430" t="str">
        <f>IF(D1190&lt;&gt;"",IF(VLOOKUP(D1190,base_datos,7,FALSE)&lt;&gt;"",VLOOKUP(D1190,base_datos,7,FALSE),""),"")</f>
        <v/>
      </c>
      <c r="P1190" s="2431" t="str">
        <f>IF(O1190&lt;&gt;"",VLOOKUP(D1190,base_datos,6,FALSE),"")</f>
        <v/>
      </c>
      <c r="Q1190" s="2432" t="str">
        <f>IF(O1190&lt;&gt;"",D1190,"")</f>
        <v/>
      </c>
      <c r="R1190" s="2433"/>
    </row>
    <row r="1191" spans="1:18" s="2434" customFormat="1" ht="18" customHeight="1">
      <c r="A1191" s="2418"/>
      <c r="B1191" s="2435">
        <v>1</v>
      </c>
      <c r="C1191" s="2436" t="str">
        <f>VLOOKUP(D1191,base_datos,6,FALSE)</f>
        <v>Selector 3 posiciones mantenidos - 1-0-2 / M-0-A - maneta corta, contactos 2NA - C3SS1-10B-20 - compacto - marca ABB.</v>
      </c>
      <c r="D1191" s="2437" t="s">
        <v>1223</v>
      </c>
      <c r="E1191" s="2422">
        <f>VLOOKUP(D1191,base_datos,5,FALSE)</f>
        <v>16.680000000000003</v>
      </c>
      <c r="F1191" s="2438">
        <f t="shared" ref="F1191" si="1073">+E1191*B1191</f>
        <v>16.680000000000003</v>
      </c>
      <c r="G1191" s="2424"/>
      <c r="H1191" s="2424"/>
      <c r="I1191" s="2424"/>
      <c r="J1191" s="2425"/>
      <c r="K1191" s="2426">
        <f t="shared" ref="K1191:K1200" si="1074">K1189</f>
        <v>1</v>
      </c>
      <c r="L1191" s="2427">
        <f>L1190</f>
        <v>1</v>
      </c>
      <c r="M1191" s="2428">
        <f t="shared" si="1064"/>
        <v>1</v>
      </c>
      <c r="N1191" s="2429">
        <f>IF(O1191&lt;&gt;"",K1191*L1191*M1191,"")</f>
        <v>1</v>
      </c>
      <c r="O1191" s="2430" t="str">
        <f>IF(D1191&lt;&gt;"",IF(VLOOKUP(D1191,base_datos,7,FALSE)&lt;&gt;"",VLOOKUP(D1191,base_datos,7,FALSE),""),"")</f>
        <v>1SFA619210R1026</v>
      </c>
      <c r="P1191" s="2431" t="str">
        <f>IF(O1191&lt;&gt;"",VLOOKUP(D1191,base_datos,6,FALSE),"")</f>
        <v>Selector 3 posiciones mantenidos - 1-0-2 / M-0-A - maneta corta, contactos 2NA - C3SS1-10B-20 - compacto - marca ABB.</v>
      </c>
      <c r="Q1191" s="2432" t="str">
        <f>IF(O1191&lt;&gt;"",D1191,"")</f>
        <v>SEL_1-0-2</v>
      </c>
      <c r="R1191" s="2433"/>
    </row>
    <row r="1192" spans="1:18" s="2432" customFormat="1">
      <c r="A1192" s="2418"/>
      <c r="B1192" s="2435">
        <v>1</v>
      </c>
      <c r="C1192" s="2439" t="s">
        <v>3366</v>
      </c>
      <c r="D1192" s="2440"/>
      <c r="E1192" s="2422"/>
      <c r="F1192" s="2438"/>
      <c r="G1192" s="2441"/>
      <c r="H1192" s="2441"/>
      <c r="I1192" s="2441"/>
      <c r="J1192" s="2442"/>
      <c r="K1192" s="2426">
        <f t="shared" si="1074"/>
        <v>1</v>
      </c>
      <c r="L1192" s="2427">
        <f>L1193</f>
        <v>1</v>
      </c>
      <c r="M1192" s="2426">
        <f t="shared" si="1064"/>
        <v>1</v>
      </c>
      <c r="N1192" s="2429" t="str">
        <f t="shared" ref="N1192" si="1075">IF(O1192&lt;&gt;"",K1192*L1192*M1192,"")</f>
        <v/>
      </c>
      <c r="O1192" s="2430" t="str">
        <f t="shared" ref="O1192" si="1076">IF(D1192&lt;&gt;"",IF(VLOOKUP(D1192,base_datos,7,FALSE)&lt;&gt;"",VLOOKUP(D1192,base_datos,7,FALSE),""),"")</f>
        <v/>
      </c>
      <c r="P1192" s="2431" t="str">
        <f t="shared" ref="P1192" si="1077">IF(O1192&lt;&gt;"",VLOOKUP(D1192,base_datos,6,FALSE),"")</f>
        <v/>
      </c>
      <c r="Q1192" s="2432" t="str">
        <f t="shared" ref="Q1192" si="1078">IF(O1192&lt;&gt;"",D1192,"")</f>
        <v/>
      </c>
    </row>
    <row r="1193" spans="1:18" s="2450" customFormat="1" ht="18" customHeight="1">
      <c r="A1193" s="2443"/>
      <c r="B1193" s="2444">
        <v>1</v>
      </c>
      <c r="C1193" s="2445" t="str">
        <f t="shared" ref="C1193:C1195" si="1079">VLOOKUP(D1193,base_datos,6,FALSE)</f>
        <v>Base portafusibles + Fusibles de protección para control.</v>
      </c>
      <c r="D1193" s="2446" t="s">
        <v>453</v>
      </c>
      <c r="E1193" s="2447">
        <f t="shared" ref="E1193:E1195" si="1080">VLOOKUP(D1193,base_datos,5,FALSE)</f>
        <v>8.1750000000000007</v>
      </c>
      <c r="F1193" s="2438">
        <f>+E1193*B1193</f>
        <v>8.1750000000000007</v>
      </c>
      <c r="G1193" s="2448"/>
      <c r="H1193" s="2448"/>
      <c r="I1193" s="2448"/>
      <c r="J1193" s="2449"/>
      <c r="K1193" s="2426">
        <f t="shared" si="1074"/>
        <v>1</v>
      </c>
      <c r="L1193" s="2427">
        <f>L1191</f>
        <v>1</v>
      </c>
      <c r="M1193" s="2428">
        <f>IF(B1193="",1,B1193)</f>
        <v>1</v>
      </c>
      <c r="N1193" s="2429" t="str">
        <f>IF(O1193&lt;&gt;"",K1193*L1193*M1193,"")</f>
        <v/>
      </c>
      <c r="O1193" s="2430" t="str">
        <f>IF(D1193&lt;&gt;"",IF(VLOOKUP(D1193,base_datos,7,FALSE)&lt;&gt;"",VLOOKUP(D1193,base_datos,7,FALSE),""),"")</f>
        <v/>
      </c>
      <c r="P1193" s="2431" t="str">
        <f>IF(O1193&lt;&gt;"",VLOOKUP(D1193,base_datos,6,FALSE),"")</f>
        <v/>
      </c>
      <c r="Q1193" s="2432" t="str">
        <f>IF(O1193&lt;&gt;"",D1193,"")</f>
        <v/>
      </c>
      <c r="R1193" s="2433"/>
    </row>
    <row r="1194" spans="1:18" s="2450" customFormat="1" ht="18" customHeight="1">
      <c r="A1194" s="2443"/>
      <c r="B1194" s="2444">
        <v>1</v>
      </c>
      <c r="C1194" s="2445" t="str">
        <f t="shared" si="1079"/>
        <v>Borne para neutro.</v>
      </c>
      <c r="D1194" s="2451" t="s">
        <v>436</v>
      </c>
      <c r="E1194" s="2447">
        <f t="shared" si="1080"/>
        <v>4</v>
      </c>
      <c r="F1194" s="2438">
        <f t="shared" ref="F1194:F1195" si="1081">+E1194*B1194</f>
        <v>4</v>
      </c>
      <c r="G1194" s="2448"/>
      <c r="H1194" s="2448"/>
      <c r="I1194" s="2448"/>
      <c r="J1194" s="2449"/>
      <c r="K1194" s="2426">
        <f t="shared" si="1074"/>
        <v>1</v>
      </c>
      <c r="L1194" s="2427">
        <f>L1192</f>
        <v>1</v>
      </c>
      <c r="M1194" s="2428">
        <f t="shared" ref="M1194:M1196" si="1082">IF(B1194="",1,B1194)</f>
        <v>1</v>
      </c>
      <c r="N1194" s="2429" t="str">
        <f t="shared" ref="N1194:N1195" si="1083">IF(O1194&lt;&gt;"",K1194*L1194*M1194,"")</f>
        <v/>
      </c>
      <c r="O1194" s="2430" t="str">
        <f t="shared" ref="O1194:O1195" si="1084">IF(D1194&lt;&gt;"",IF(VLOOKUP(D1194,base_datos,7,FALSE)&lt;&gt;"",VLOOKUP(D1194,base_datos,7,FALSE),""),"")</f>
        <v/>
      </c>
      <c r="P1194" s="2431" t="str">
        <f t="shared" ref="P1194:P1195" si="1085">IF(O1194&lt;&gt;"",VLOOKUP(D1194,base_datos,6,FALSE),"")</f>
        <v/>
      </c>
      <c r="Q1194" s="2432" t="str">
        <f t="shared" ref="Q1194:Q1195" si="1086">IF(O1194&lt;&gt;"",D1194,"")</f>
        <v/>
      </c>
      <c r="R1194" s="2433"/>
    </row>
    <row r="1195" spans="1:18" s="2450" customFormat="1" ht="18" customHeight="1">
      <c r="A1195" s="2443"/>
      <c r="B1195" s="2444">
        <v>2</v>
      </c>
      <c r="C1195" s="2445" t="str">
        <f t="shared" si="1079"/>
        <v>Borne 4mm2.</v>
      </c>
      <c r="D1195" s="2446" t="s">
        <v>437</v>
      </c>
      <c r="E1195" s="2447">
        <f t="shared" si="1080"/>
        <v>2.5</v>
      </c>
      <c r="F1195" s="2438">
        <f t="shared" si="1081"/>
        <v>5</v>
      </c>
      <c r="G1195" s="2448"/>
      <c r="H1195" s="2448"/>
      <c r="I1195" s="2448"/>
      <c r="J1195" s="2449"/>
      <c r="K1195" s="2426">
        <f t="shared" si="1074"/>
        <v>1</v>
      </c>
      <c r="L1195" s="2427">
        <f t="shared" ref="L1195" si="1087">L1194</f>
        <v>1</v>
      </c>
      <c r="M1195" s="2428">
        <f t="shared" si="1082"/>
        <v>2</v>
      </c>
      <c r="N1195" s="2429" t="str">
        <f t="shared" si="1083"/>
        <v/>
      </c>
      <c r="O1195" s="2430" t="str">
        <f t="shared" si="1084"/>
        <v/>
      </c>
      <c r="P1195" s="2431" t="str">
        <f t="shared" si="1085"/>
        <v/>
      </c>
      <c r="Q1195" s="2432" t="str">
        <f t="shared" si="1086"/>
        <v/>
      </c>
      <c r="R1195" s="2433"/>
    </row>
    <row r="1196" spans="1:18" s="2433" customFormat="1">
      <c r="A1196" s="2418"/>
      <c r="B1196" s="2452"/>
      <c r="C1196" s="2453" t="s">
        <v>729</v>
      </c>
      <c r="D1196" s="2451"/>
      <c r="E1196" s="2454"/>
      <c r="F1196" s="2455"/>
      <c r="G1196" s="2456"/>
      <c r="H1196" s="2456"/>
      <c r="I1196" s="2456"/>
      <c r="J1196" s="2457"/>
      <c r="K1196" s="2426">
        <f t="shared" si="1074"/>
        <v>1</v>
      </c>
      <c r="L1196" s="2458">
        <v>1</v>
      </c>
      <c r="M1196" s="2426">
        <f t="shared" si="1082"/>
        <v>1</v>
      </c>
      <c r="N1196" s="2459" t="str">
        <f>IF(O1196&lt;&gt;"",K1196*L1196*M1196,"")</f>
        <v/>
      </c>
      <c r="O1196" s="2460" t="str">
        <f>IF(D1196&lt;&gt;"",IF(VLOOKUP(D1196,base_datos,7,FALSE)&lt;&gt;"",VLOOKUP(D1196,base_datos,7,FALSE),""),"")</f>
        <v/>
      </c>
      <c r="P1196" s="2461" t="str">
        <f>IF(O1196&lt;&gt;"",VLOOKUP(D1196,base_datos,6,FALSE),"")</f>
        <v/>
      </c>
      <c r="Q1196" s="2433" t="str">
        <f>IF(O1196&lt;&gt;"",D1196,"")</f>
        <v/>
      </c>
    </row>
    <row r="1197" spans="1:18" s="2450" customFormat="1" ht="18" customHeight="1">
      <c r="A1197" s="2462"/>
      <c r="B1197" s="2444">
        <v>1</v>
      </c>
      <c r="C1197" s="2445" t="str">
        <f>VLOOKUP(D1197,base_datos,6,FALSE)</f>
        <v>Rele auxiliar enchufable +4NA/NC (D2PR4B + base D2PA6), 220Vac - marca EATON.</v>
      </c>
      <c r="D1197" s="2446" t="s">
        <v>772</v>
      </c>
      <c r="E1197" s="2447">
        <f>VLOOKUP(D1197,base_datos,5,FALSE)</f>
        <v>27</v>
      </c>
      <c r="F1197" s="2438">
        <f>+E1197*B1197</f>
        <v>27</v>
      </c>
      <c r="G1197" s="2448"/>
      <c r="H1197" s="2448"/>
      <c r="I1197" s="2448"/>
      <c r="J1197" s="2449"/>
      <c r="K1197" s="2426">
        <f t="shared" si="1074"/>
        <v>1</v>
      </c>
      <c r="L1197" s="2463">
        <v>1</v>
      </c>
      <c r="M1197" s="2428">
        <f>IF(B1197="",1,B1197)</f>
        <v>1</v>
      </c>
      <c r="N1197" s="2429">
        <f>IF(O1197&lt;&gt;"",K1197*L1197*M1197,"")</f>
        <v>1</v>
      </c>
      <c r="O1197" s="2430" t="str">
        <f>IF(D1197&lt;&gt;"",IF(VLOOKUP(D1197,base_datos,7,FALSE)&lt;&gt;"",VLOOKUP(D1197,base_datos,7,FALSE),""),"")</f>
        <v>D2PR4B+D2PA6</v>
      </c>
      <c r="P1197" s="2431" t="str">
        <f>IF(O1197&lt;&gt;"",VLOOKUP(D1197,base_datos,6,FALSE),"")</f>
        <v>Rele auxiliar enchufable +4NA/NC (D2PR4B + base D2PA6), 220Vac - marca EATON.</v>
      </c>
      <c r="Q1197" s="2432" t="str">
        <f>IF(O1197&lt;&gt;"",D1197,"")</f>
        <v>D2PR4B+D2PA6</v>
      </c>
      <c r="R1197" s="2433"/>
    </row>
    <row r="1198" spans="1:18" s="2450" customFormat="1" ht="18" customHeight="1">
      <c r="A1198" s="2443"/>
      <c r="B1198" s="2444">
        <v>4</v>
      </c>
      <c r="C1198" s="2445" t="str">
        <f t="shared" ref="C1198:C1200" si="1088">VLOOKUP(D1198,base_datos,6,FALSE)</f>
        <v>Borne 4mm2.</v>
      </c>
      <c r="D1198" s="2446" t="s">
        <v>437</v>
      </c>
      <c r="E1198" s="2447">
        <f t="shared" ref="E1198:E1200" si="1089">VLOOKUP(D1198,base_datos,5,FALSE)</f>
        <v>2.5</v>
      </c>
      <c r="F1198" s="2438">
        <f t="shared" ref="F1198:F1200" si="1090">+E1198*B1198</f>
        <v>10</v>
      </c>
      <c r="G1198" s="2448"/>
      <c r="H1198" s="2448"/>
      <c r="I1198" s="2448"/>
      <c r="J1198" s="2449"/>
      <c r="K1198" s="2426">
        <f t="shared" si="1074"/>
        <v>1</v>
      </c>
      <c r="L1198" s="2463">
        <v>1</v>
      </c>
      <c r="M1198" s="2428">
        <f t="shared" ref="M1198:M1201" si="1091">IF(B1198="",1,B1198)</f>
        <v>4</v>
      </c>
      <c r="N1198" s="2429" t="str">
        <f t="shared" ref="N1198:N1201" si="1092">IF(O1198&lt;&gt;"",K1198*L1198*M1198,"")</f>
        <v/>
      </c>
      <c r="O1198" s="2430" t="str">
        <f t="shared" ref="O1198:O1201" si="1093">IF(D1198&lt;&gt;"",IF(VLOOKUP(D1198,base_datos,7,FALSE)&lt;&gt;"",VLOOKUP(D1198,base_datos,7,FALSE),""),"")</f>
        <v/>
      </c>
      <c r="P1198" s="2431" t="str">
        <f t="shared" ref="P1198:P1201" si="1094">IF(O1198&lt;&gt;"",VLOOKUP(D1198,base_datos,6,FALSE),"")</f>
        <v/>
      </c>
      <c r="Q1198" s="2432" t="str">
        <f t="shared" ref="Q1198:Q1201" si="1095">IF(O1198&lt;&gt;"",D1198,"")</f>
        <v/>
      </c>
      <c r="R1198" s="2433"/>
    </row>
    <row r="1199" spans="1:18" s="2450" customFormat="1" ht="18" customHeight="1">
      <c r="A1199" s="2443"/>
      <c r="B1199" s="2444">
        <v>1</v>
      </c>
      <c r="C1199" s="2445" t="str">
        <f t="shared" si="1088"/>
        <v>Base portafusibles + Fusibles de protección para control.</v>
      </c>
      <c r="D1199" s="2446" t="s">
        <v>453</v>
      </c>
      <c r="E1199" s="2447">
        <f t="shared" si="1089"/>
        <v>8.1750000000000007</v>
      </c>
      <c r="F1199" s="2438">
        <f t="shared" si="1090"/>
        <v>8.1750000000000007</v>
      </c>
      <c r="G1199" s="2448"/>
      <c r="H1199" s="2448"/>
      <c r="I1199" s="2448"/>
      <c r="J1199" s="2449"/>
      <c r="K1199" s="2426">
        <f t="shared" si="1074"/>
        <v>1</v>
      </c>
      <c r="L1199" s="2463">
        <v>1</v>
      </c>
      <c r="M1199" s="2428">
        <f t="shared" si="1091"/>
        <v>1</v>
      </c>
      <c r="N1199" s="2429" t="str">
        <f t="shared" si="1092"/>
        <v/>
      </c>
      <c r="O1199" s="2430" t="str">
        <f t="shared" si="1093"/>
        <v/>
      </c>
      <c r="P1199" s="2431" t="str">
        <f t="shared" si="1094"/>
        <v/>
      </c>
      <c r="Q1199" s="2432" t="str">
        <f t="shared" si="1095"/>
        <v/>
      </c>
      <c r="R1199" s="2433"/>
    </row>
    <row r="1200" spans="1:18" s="2450" customFormat="1" ht="18" customHeight="1">
      <c r="A1200" s="2443"/>
      <c r="B1200" s="2444">
        <v>1</v>
      </c>
      <c r="C1200" s="2445" t="str">
        <f t="shared" si="1088"/>
        <v>Borne para neutro.</v>
      </c>
      <c r="D1200" s="2451" t="s">
        <v>436</v>
      </c>
      <c r="E1200" s="2447">
        <f t="shared" si="1089"/>
        <v>4</v>
      </c>
      <c r="F1200" s="2438">
        <f t="shared" si="1090"/>
        <v>4</v>
      </c>
      <c r="G1200" s="2448"/>
      <c r="H1200" s="2448"/>
      <c r="I1200" s="2448"/>
      <c r="J1200" s="2449"/>
      <c r="K1200" s="2426">
        <f t="shared" si="1074"/>
        <v>1</v>
      </c>
      <c r="L1200" s="2427">
        <f t="shared" ref="L1200" si="1096">L1199</f>
        <v>1</v>
      </c>
      <c r="M1200" s="2428">
        <f t="shared" si="1091"/>
        <v>1</v>
      </c>
      <c r="N1200" s="2429" t="str">
        <f t="shared" si="1092"/>
        <v/>
      </c>
      <c r="O1200" s="2430" t="str">
        <f t="shared" si="1093"/>
        <v/>
      </c>
      <c r="P1200" s="2431" t="str">
        <f t="shared" si="1094"/>
        <v/>
      </c>
      <c r="Q1200" s="2432" t="str">
        <f t="shared" si="1095"/>
        <v/>
      </c>
      <c r="R1200" s="2433"/>
    </row>
    <row r="1201" spans="1:20" s="185" customFormat="1" ht="18" customHeight="1">
      <c r="A1201" s="1785"/>
      <c r="B1201" s="714"/>
      <c r="C1201" s="1893" t="s">
        <v>729</v>
      </c>
      <c r="D1201" s="173"/>
      <c r="E1201" s="1786"/>
      <c r="F1201" s="1787"/>
      <c r="G1201" s="710"/>
      <c r="H1201" s="710"/>
      <c r="I1201" s="710"/>
      <c r="J1201" s="711"/>
      <c r="K1201" s="684">
        <f t="shared" si="1037"/>
        <v>1</v>
      </c>
      <c r="L1201" s="708">
        <v>1</v>
      </c>
      <c r="M1201" s="684">
        <f t="shared" si="1091"/>
        <v>1</v>
      </c>
      <c r="N1201" s="362" t="str">
        <f t="shared" si="1092"/>
        <v/>
      </c>
      <c r="O1201" s="1763" t="str">
        <f t="shared" si="1093"/>
        <v/>
      </c>
      <c r="P1201" s="1764" t="str">
        <f t="shared" si="1094"/>
        <v/>
      </c>
      <c r="Q1201" s="120" t="str">
        <f t="shared" si="1095"/>
        <v/>
      </c>
    </row>
    <row r="1202" spans="1:20" s="315" customFormat="1" ht="12.75" customHeight="1">
      <c r="A1202" s="2271"/>
      <c r="B1202" s="2272">
        <v>1</v>
      </c>
      <c r="C1202" s="2281" t="s">
        <v>13366</v>
      </c>
      <c r="D1202" s="1935"/>
      <c r="E1202" s="2287"/>
      <c r="F1202" s="2257">
        <f>+SUM(F1203:F1206)*(B1202-1)</f>
        <v>0</v>
      </c>
      <c r="G1202" s="712"/>
      <c r="H1202" s="712"/>
      <c r="I1202" s="712"/>
      <c r="J1202" s="713"/>
      <c r="K1202" s="684">
        <f>+K1188</f>
        <v>1</v>
      </c>
      <c r="L1202" s="708">
        <v>1</v>
      </c>
      <c r="M1202" s="709">
        <f t="shared" ref="M1202:M1207" si="1097">IF(B1202="",1,B1202)</f>
        <v>1</v>
      </c>
      <c r="N1202" s="112" t="str">
        <f t="shared" si="1065"/>
        <v/>
      </c>
      <c r="O1202" s="112" t="str">
        <f t="shared" si="1066"/>
        <v/>
      </c>
      <c r="P1202" s="120" t="str">
        <f t="shared" si="1067"/>
        <v/>
      </c>
      <c r="Q1202" s="120" t="str">
        <f t="shared" si="1068"/>
        <v/>
      </c>
      <c r="S1202" s="112" t="str">
        <f t="shared" ref="S1202:S1207" si="1098">IF(O1202&lt;&gt;"",VLOOKUP(D1202,base_datos,9,FALSE),"")</f>
        <v/>
      </c>
      <c r="T1202" s="2128"/>
    </row>
    <row r="1203" spans="1:20" s="690" customFormat="1" ht="18" customHeight="1">
      <c r="A1203" s="2273"/>
      <c r="B1203" s="1781">
        <v>1</v>
      </c>
      <c r="C1203" s="1420" t="str">
        <f t="shared" ref="C1203:C1206" si="1099">VLOOKUP(D1203,base_datos,6,FALSE)</f>
        <v>Calefactor resistivo 60W, modelo RACM - marca FANDIS.</v>
      </c>
      <c r="D1203" s="1899" t="s">
        <v>3298</v>
      </c>
      <c r="E1203" s="2288">
        <f t="shared" ref="E1203" si="1100">VLOOKUP(D1203,base_datos,5,FALSE)</f>
        <v>127.1</v>
      </c>
      <c r="F1203" s="1782">
        <f>+E1203*B1203</f>
        <v>127.1</v>
      </c>
      <c r="G1203" s="1761"/>
      <c r="H1203" s="1761"/>
      <c r="I1203" s="1761"/>
      <c r="J1203" s="689"/>
      <c r="K1203" s="684">
        <f>+K1189</f>
        <v>1</v>
      </c>
      <c r="L1203" s="708">
        <v>1</v>
      </c>
      <c r="M1203" s="709">
        <f t="shared" si="1097"/>
        <v>1</v>
      </c>
      <c r="N1203" s="112">
        <f t="shared" si="1065"/>
        <v>1</v>
      </c>
      <c r="O1203" s="112" t="str">
        <f t="shared" si="1066"/>
        <v>RACM-60</v>
      </c>
      <c r="P1203" s="120" t="str">
        <f t="shared" si="1067"/>
        <v>Calefactor resistivo 60W, modelo RACM - marca FANDIS.</v>
      </c>
      <c r="Q1203" s="120" t="str">
        <f t="shared" si="1068"/>
        <v>CALEFACT-60W_FAND</v>
      </c>
      <c r="S1203" s="112" t="str">
        <f t="shared" si="1098"/>
        <v>FANDIS</v>
      </c>
      <c r="T1203" s="1765"/>
    </row>
    <row r="1204" spans="1:20" s="690" customFormat="1" ht="18" customHeight="1">
      <c r="A1204" s="2273"/>
      <c r="B1204" s="1781">
        <v>1</v>
      </c>
      <c r="C1204" s="1420" t="str">
        <f t="shared" si="1099"/>
        <v>Termostato para ventilación - 1NA - 230V - marca FANDIS.</v>
      </c>
      <c r="D1204" s="1899" t="s">
        <v>3294</v>
      </c>
      <c r="E1204" s="2288">
        <f t="shared" ref="E1204:E1206" si="1101">VLOOKUP(D1204,base_datos,5,FALSE)</f>
        <v>41.58</v>
      </c>
      <c r="F1204" s="1782">
        <f>+E1204*B1204</f>
        <v>41.58</v>
      </c>
      <c r="G1204" s="1761"/>
      <c r="H1204" s="1761"/>
      <c r="I1204" s="1761"/>
      <c r="J1204" s="689"/>
      <c r="K1204" s="684">
        <f t="shared" si="1037"/>
        <v>1</v>
      </c>
      <c r="L1204" s="708">
        <v>1</v>
      </c>
      <c r="M1204" s="709">
        <f t="shared" si="1097"/>
        <v>1</v>
      </c>
      <c r="N1204" s="112">
        <f t="shared" si="1065"/>
        <v>1</v>
      </c>
      <c r="O1204" s="112" t="str">
        <f t="shared" si="1066"/>
        <v>TRT-10A230V-NO</v>
      </c>
      <c r="P1204" s="120" t="str">
        <f t="shared" si="1067"/>
        <v>Termostato para ventilación - 1NA - 230V - marca FANDIS.</v>
      </c>
      <c r="Q1204" s="120" t="str">
        <f t="shared" si="1068"/>
        <v>TRT-1NA</v>
      </c>
      <c r="S1204" s="112" t="str">
        <f t="shared" si="1098"/>
        <v>FANDIS</v>
      </c>
      <c r="T1204" s="1765"/>
    </row>
    <row r="1205" spans="1:20" s="320" customFormat="1" ht="12.75" customHeight="1">
      <c r="A1205" s="2274"/>
      <c r="B1205" s="2275">
        <v>1</v>
      </c>
      <c r="C1205" s="2282" t="str">
        <f t="shared" si="1099"/>
        <v>Base portafusibles + Fusibles de protección para control.</v>
      </c>
      <c r="D1205" s="1579" t="s">
        <v>453</v>
      </c>
      <c r="E1205" s="2289">
        <f t="shared" si="1101"/>
        <v>8.1750000000000007</v>
      </c>
      <c r="F1205" s="2264">
        <f>+E1205*B1205</f>
        <v>8.1750000000000007</v>
      </c>
      <c r="G1205" s="2276"/>
      <c r="H1205" s="2276"/>
      <c r="I1205" s="2276"/>
      <c r="J1205" s="722"/>
      <c r="K1205" s="684">
        <f t="shared" si="1037"/>
        <v>1</v>
      </c>
      <c r="L1205" s="708">
        <v>1</v>
      </c>
      <c r="M1205" s="709">
        <f t="shared" si="1097"/>
        <v>1</v>
      </c>
      <c r="N1205" s="112" t="str">
        <f t="shared" si="1065"/>
        <v/>
      </c>
      <c r="O1205" s="112" t="str">
        <f t="shared" si="1066"/>
        <v/>
      </c>
      <c r="P1205" s="120" t="str">
        <f t="shared" si="1067"/>
        <v/>
      </c>
      <c r="Q1205" s="120" t="str">
        <f t="shared" si="1068"/>
        <v/>
      </c>
      <c r="R1205" s="185"/>
      <c r="S1205" s="112" t="str">
        <f t="shared" si="1098"/>
        <v/>
      </c>
      <c r="T1205" s="709"/>
    </row>
    <row r="1206" spans="1:20" s="320" customFormat="1" ht="12.75" customHeight="1">
      <c r="A1206" s="2274"/>
      <c r="B1206" s="2277">
        <v>1</v>
      </c>
      <c r="C1206" s="2282" t="str">
        <f t="shared" si="1099"/>
        <v>Borne 4mm2.</v>
      </c>
      <c r="D1206" s="1579" t="s">
        <v>437</v>
      </c>
      <c r="E1206" s="2260">
        <f t="shared" si="1101"/>
        <v>2.5</v>
      </c>
      <c r="F1206" s="2260">
        <f>+E1206*B1206</f>
        <v>2.5</v>
      </c>
      <c r="G1206" s="2276"/>
      <c r="H1206" s="2276"/>
      <c r="I1206" s="2276"/>
      <c r="J1206" s="722"/>
      <c r="K1206" s="684">
        <f t="shared" si="1037"/>
        <v>1</v>
      </c>
      <c r="L1206" s="708">
        <v>1</v>
      </c>
      <c r="M1206" s="709">
        <f t="shared" si="1097"/>
        <v>1</v>
      </c>
      <c r="N1206" s="112" t="str">
        <f t="shared" si="1065"/>
        <v/>
      </c>
      <c r="O1206" s="112" t="str">
        <f t="shared" si="1066"/>
        <v/>
      </c>
      <c r="P1206" s="120" t="str">
        <f t="shared" si="1067"/>
        <v/>
      </c>
      <c r="Q1206" s="120" t="str">
        <f t="shared" si="1068"/>
        <v/>
      </c>
      <c r="R1206" s="185"/>
      <c r="S1206" s="112" t="str">
        <f t="shared" si="1098"/>
        <v/>
      </c>
      <c r="T1206" s="709"/>
    </row>
    <row r="1207" spans="1:20" s="185" customFormat="1" ht="12.75" customHeight="1">
      <c r="A1207" s="2262"/>
      <c r="B1207" s="1760"/>
      <c r="C1207" s="1893" t="s">
        <v>729</v>
      </c>
      <c r="D1207" s="169"/>
      <c r="E1207" s="2256"/>
      <c r="F1207" s="2278"/>
      <c r="G1207" s="710"/>
      <c r="H1207" s="710"/>
      <c r="I1207" s="710"/>
      <c r="J1207" s="711"/>
      <c r="K1207" s="684">
        <f t="shared" si="1037"/>
        <v>1</v>
      </c>
      <c r="L1207" s="708">
        <v>1</v>
      </c>
      <c r="M1207" s="709">
        <f t="shared" si="1097"/>
        <v>1</v>
      </c>
      <c r="N1207" s="112" t="str">
        <f t="shared" si="1065"/>
        <v/>
      </c>
      <c r="O1207" s="112" t="str">
        <f t="shared" si="1066"/>
        <v/>
      </c>
      <c r="P1207" s="120" t="str">
        <f t="shared" si="1067"/>
        <v/>
      </c>
      <c r="Q1207" s="120" t="str">
        <f t="shared" si="1068"/>
        <v/>
      </c>
      <c r="S1207" s="112" t="str">
        <f t="shared" si="1098"/>
        <v/>
      </c>
      <c r="T1207" s="118"/>
    </row>
    <row r="1208" spans="1:20" s="1236" customFormat="1" ht="18" customHeight="1">
      <c r="A1208" s="1767"/>
      <c r="B1208" s="1853">
        <v>1</v>
      </c>
      <c r="C1208" s="1895" t="s">
        <v>12364</v>
      </c>
      <c r="D1208" s="1902"/>
      <c r="E1208" s="1792"/>
      <c r="F1208" s="1793"/>
      <c r="G1208" s="1784"/>
      <c r="H1208" s="1784"/>
      <c r="I1208" s="1784"/>
      <c r="J1208" s="1182"/>
      <c r="K1208" s="684">
        <f t="shared" si="1037"/>
        <v>1</v>
      </c>
      <c r="L1208" s="708">
        <v>1</v>
      </c>
      <c r="M1208" s="709">
        <f t="shared" ref="M1208:M1219" si="1102">IF(B1208="",1,B1208)</f>
        <v>1</v>
      </c>
      <c r="N1208" s="362" t="str">
        <f t="shared" si="1065"/>
        <v/>
      </c>
      <c r="O1208" s="1763" t="str">
        <f t="shared" si="1066"/>
        <v/>
      </c>
      <c r="P1208" s="1764" t="str">
        <f t="shared" si="1067"/>
        <v/>
      </c>
      <c r="Q1208" s="120" t="str">
        <f t="shared" si="1068"/>
        <v/>
      </c>
      <c r="R1208" s="185"/>
    </row>
    <row r="1209" spans="1:20" s="695" customFormat="1" ht="18" customHeight="1">
      <c r="A1209" s="693"/>
      <c r="B1209" s="1922">
        <v>1</v>
      </c>
      <c r="C1209" s="1848" t="str">
        <f t="shared" ref="C1209" si="1103">VLOOKUP(D1209,base_datos,6,FALSE)</f>
        <v>Placa lamicoid rotulación de 3mm de espesor, fondo negro y letras blancas.</v>
      </c>
      <c r="D1209" s="1886" t="s">
        <v>8570</v>
      </c>
      <c r="E1209" s="1795">
        <f t="shared" ref="E1209" si="1104">VLOOKUP(D1209,base_datos,5,FALSE)</f>
        <v>2.2000000000000002</v>
      </c>
      <c r="F1209" s="1796">
        <f t="shared" ref="F1209" si="1105">+E1209*B1209</f>
        <v>2.2000000000000002</v>
      </c>
      <c r="G1209" s="696"/>
      <c r="H1209" s="696"/>
      <c r="I1209" s="696"/>
      <c r="J1209" s="697"/>
      <c r="K1209" s="684">
        <f t="shared" si="1037"/>
        <v>1</v>
      </c>
      <c r="L1209" s="708">
        <v>1</v>
      </c>
      <c r="M1209" s="709">
        <f t="shared" si="1102"/>
        <v>1</v>
      </c>
      <c r="N1209" s="362">
        <f t="shared" si="1065"/>
        <v>1</v>
      </c>
      <c r="O1209" s="1763" t="str">
        <f t="shared" si="1066"/>
        <v>Placa lamicoid p/distr.</v>
      </c>
      <c r="P1209" s="1764" t="str">
        <f t="shared" si="1067"/>
        <v>Placa lamicoid rotulación de 3mm de espesor, fondo negro y letras blancas.</v>
      </c>
      <c r="Q1209" s="120" t="str">
        <f t="shared" si="1068"/>
        <v>Placa lamicoid p/distr.</v>
      </c>
      <c r="R1209" s="185"/>
    </row>
    <row r="1210" spans="1:20" s="1236" customFormat="1" ht="18" customHeight="1">
      <c r="A1210" s="1767"/>
      <c r="B1210" s="1853">
        <v>1</v>
      </c>
      <c r="C1210" s="1895" t="s">
        <v>12474</v>
      </c>
      <c r="D1210" s="1902"/>
      <c r="E1210" s="1792"/>
      <c r="F1210" s="1793"/>
      <c r="G1210" s="1784"/>
      <c r="H1210" s="1784"/>
      <c r="I1210" s="1784"/>
      <c r="J1210" s="1182"/>
      <c r="K1210" s="684">
        <f t="shared" si="1037"/>
        <v>1</v>
      </c>
      <c r="L1210" s="708">
        <v>1</v>
      </c>
      <c r="M1210" s="709">
        <f t="shared" si="1102"/>
        <v>1</v>
      </c>
      <c r="N1210" s="362" t="str">
        <f t="shared" si="1065"/>
        <v/>
      </c>
      <c r="O1210" s="1763" t="str">
        <f t="shared" si="1066"/>
        <v/>
      </c>
      <c r="P1210" s="1764" t="str">
        <f t="shared" si="1067"/>
        <v/>
      </c>
      <c r="Q1210" s="120" t="str">
        <f t="shared" si="1068"/>
        <v/>
      </c>
      <c r="R1210" s="185"/>
    </row>
    <row r="1211" spans="1:20" s="1236" customFormat="1" ht="18" customHeight="1">
      <c r="A1211" s="1767"/>
      <c r="B1211" s="1853">
        <v>1</v>
      </c>
      <c r="C1211" s="1848" t="str">
        <f>VLOOKUP(D1211,base_datos,6,FALSE)</f>
        <v>Embalaje especial completamente cerrado para tablero adosado de 1600x600x220mm</v>
      </c>
      <c r="D1211" s="1902" t="s">
        <v>12453</v>
      </c>
      <c r="E1211" s="1795">
        <f t="shared" ref="E1211" si="1106">VLOOKUP(D1211,base_datos,5,FALSE)</f>
        <v>271.40000000000003</v>
      </c>
      <c r="F1211" s="1796">
        <f t="shared" ref="F1211" si="1107">+E1211*B1211</f>
        <v>271.40000000000003</v>
      </c>
      <c r="G1211" s="1784"/>
      <c r="H1211" s="1784"/>
      <c r="I1211" s="1784"/>
      <c r="J1211" s="1182"/>
      <c r="K1211" s="684">
        <f t="shared" si="1037"/>
        <v>1</v>
      </c>
      <c r="L1211" s="708">
        <v>1</v>
      </c>
      <c r="M1211" s="709">
        <f t="shared" si="1102"/>
        <v>1</v>
      </c>
      <c r="N1211" s="362">
        <f t="shared" si="1065"/>
        <v>1</v>
      </c>
      <c r="O1211" s="1763" t="str">
        <f t="shared" si="1066"/>
        <v>EMBAL_ADOS_1600x600x220mm</v>
      </c>
      <c r="P1211" s="1764" t="str">
        <f t="shared" si="1067"/>
        <v>Embalaje especial completamente cerrado para tablero adosado de 1600x600x220mm</v>
      </c>
      <c r="Q1211" s="120" t="str">
        <f t="shared" si="1068"/>
        <v>EMBAL_ADOS_1600x600x220mm</v>
      </c>
      <c r="R1211" s="185"/>
    </row>
    <row r="1212" spans="1:20" s="185" customFormat="1" ht="18" customHeight="1">
      <c r="A1212" s="1785"/>
      <c r="B1212" s="714"/>
      <c r="C1212" s="1893" t="s">
        <v>729</v>
      </c>
      <c r="D1212" s="173"/>
      <c r="E1212" s="1786"/>
      <c r="F1212" s="1787"/>
      <c r="G1212" s="710"/>
      <c r="H1212" s="710"/>
      <c r="I1212" s="710"/>
      <c r="J1212" s="711"/>
      <c r="K1212" s="684">
        <f t="shared" si="1037"/>
        <v>1</v>
      </c>
      <c r="L1212" s="708">
        <v>1</v>
      </c>
      <c r="M1212" s="709">
        <f t="shared" si="1102"/>
        <v>1</v>
      </c>
      <c r="N1212" s="362" t="str">
        <f t="shared" si="1065"/>
        <v/>
      </c>
      <c r="O1212" s="1763" t="str">
        <f t="shared" si="1066"/>
        <v/>
      </c>
      <c r="P1212" s="1764" t="str">
        <f t="shared" si="1067"/>
        <v/>
      </c>
      <c r="Q1212" s="120" t="str">
        <f t="shared" si="1068"/>
        <v/>
      </c>
    </row>
    <row r="1213" spans="1:20" s="695" customFormat="1" ht="18" customHeight="1">
      <c r="A1213" s="693"/>
      <c r="B1213" s="1794">
        <v>1</v>
      </c>
      <c r="C1213" s="1420" t="s">
        <v>316</v>
      </c>
      <c r="D1213" s="1790"/>
      <c r="E1213" s="1795"/>
      <c r="F1213" s="1796"/>
      <c r="G1213" s="696"/>
      <c r="H1213" s="696"/>
      <c r="I1213" s="696"/>
      <c r="J1213" s="697"/>
      <c r="K1213" s="684">
        <f t="shared" si="1037"/>
        <v>1</v>
      </c>
      <c r="L1213" s="708">
        <v>1</v>
      </c>
      <c r="M1213" s="709">
        <f t="shared" si="1102"/>
        <v>1</v>
      </c>
      <c r="N1213" s="362" t="str">
        <f t="shared" si="1065"/>
        <v/>
      </c>
      <c r="O1213" s="1763" t="str">
        <f t="shared" si="1066"/>
        <v/>
      </c>
      <c r="P1213" s="1764" t="str">
        <f t="shared" si="1067"/>
        <v/>
      </c>
      <c r="Q1213" s="120" t="str">
        <f t="shared" si="1068"/>
        <v/>
      </c>
      <c r="R1213" s="185"/>
    </row>
    <row r="1214" spans="1:20" s="185" customFormat="1" ht="18" customHeight="1">
      <c r="A1214" s="1785"/>
      <c r="B1214" s="714"/>
      <c r="C1214" s="1893" t="s">
        <v>729</v>
      </c>
      <c r="D1214" s="173"/>
      <c r="E1214" s="1786"/>
      <c r="F1214" s="1787"/>
      <c r="G1214" s="710"/>
      <c r="H1214" s="710"/>
      <c r="I1214" s="710"/>
      <c r="J1214" s="711"/>
      <c r="K1214" s="684">
        <f t="shared" si="1037"/>
        <v>1</v>
      </c>
      <c r="L1214" s="708">
        <v>1</v>
      </c>
      <c r="M1214" s="709">
        <f t="shared" si="1102"/>
        <v>1</v>
      </c>
      <c r="N1214" s="362" t="str">
        <f t="shared" si="1065"/>
        <v/>
      </c>
      <c r="O1214" s="1763" t="str">
        <f t="shared" si="1066"/>
        <v/>
      </c>
      <c r="P1214" s="1764" t="str">
        <f t="shared" si="1067"/>
        <v/>
      </c>
      <c r="Q1214" s="120" t="str">
        <f t="shared" si="1068"/>
        <v/>
      </c>
    </row>
    <row r="1215" spans="1:20" s="897" customFormat="1" ht="18" customHeight="1">
      <c r="A1215" s="693"/>
      <c r="B1215" s="895">
        <v>50</v>
      </c>
      <c r="C1215" s="1848" t="str">
        <f>VLOOKUP(D1215,base_datos,6,FALSE)</f>
        <v>Rotulado por circuito.</v>
      </c>
      <c r="D1215" s="1579" t="s">
        <v>3067</v>
      </c>
      <c r="E1215" s="1581">
        <f>VLOOKUP(D1215,base_datos,5,FALSE)</f>
        <v>0.7</v>
      </c>
      <c r="F1215" s="1581">
        <f t="shared" ref="F1215:F1219" si="1108">+E1215*B1215</f>
        <v>35</v>
      </c>
      <c r="G1215" s="1772"/>
      <c r="H1215" s="1772"/>
      <c r="I1215" s="1772"/>
      <c r="J1215" s="896"/>
      <c r="K1215" s="684">
        <f t="shared" si="1037"/>
        <v>1</v>
      </c>
      <c r="L1215" s="708">
        <v>1</v>
      </c>
      <c r="M1215" s="709">
        <f t="shared" si="1102"/>
        <v>50</v>
      </c>
      <c r="N1215" s="362" t="str">
        <f t="shared" si="1065"/>
        <v/>
      </c>
      <c r="O1215" s="1763" t="str">
        <f t="shared" si="1066"/>
        <v/>
      </c>
      <c r="P1215" s="1764" t="str">
        <f t="shared" si="1067"/>
        <v/>
      </c>
      <c r="Q1215" s="120" t="str">
        <f t="shared" si="1068"/>
        <v/>
      </c>
    </row>
    <row r="1216" spans="1:20" s="897" customFormat="1" ht="18" customHeight="1">
      <c r="A1216" s="693"/>
      <c r="B1216" s="895">
        <v>1</v>
      </c>
      <c r="C1216" s="1848" t="str">
        <f>VLOOKUP(D1216,base_datos,6,FALSE)</f>
        <v>Rotulado para TAG - tablero de distribución.</v>
      </c>
      <c r="D1216" s="1579" t="s">
        <v>3066</v>
      </c>
      <c r="E1216" s="1581">
        <f>VLOOKUP(D1216,base_datos,5,FALSE)</f>
        <v>1.5</v>
      </c>
      <c r="F1216" s="1581">
        <f t="shared" si="1108"/>
        <v>1.5</v>
      </c>
      <c r="G1216" s="1772"/>
      <c r="H1216" s="1772"/>
      <c r="I1216" s="1772"/>
      <c r="J1216" s="896"/>
      <c r="K1216" s="684">
        <f t="shared" si="1037"/>
        <v>1</v>
      </c>
      <c r="L1216" s="708">
        <v>1</v>
      </c>
      <c r="M1216" s="709">
        <f t="shared" si="1102"/>
        <v>1</v>
      </c>
      <c r="N1216" s="362" t="str">
        <f t="shared" si="1065"/>
        <v/>
      </c>
      <c r="O1216" s="1763" t="str">
        <f t="shared" si="1066"/>
        <v/>
      </c>
      <c r="P1216" s="1764" t="str">
        <f t="shared" si="1067"/>
        <v/>
      </c>
      <c r="Q1216" s="120" t="str">
        <f t="shared" si="1068"/>
        <v/>
      </c>
    </row>
    <row r="1217" spans="1:18" s="1237" customFormat="1" ht="18" customHeight="1">
      <c r="A1217" s="1767"/>
      <c r="B1217" s="2093">
        <v>1</v>
      </c>
      <c r="C1217" s="694" t="s">
        <v>12552</v>
      </c>
      <c r="D1217" s="1888"/>
      <c r="E1217" s="1580">
        <f>E1219*15%</f>
        <v>36</v>
      </c>
      <c r="F1217" s="1581">
        <f t="shared" si="1108"/>
        <v>36</v>
      </c>
      <c r="G1217" s="1774"/>
      <c r="H1217" s="1774"/>
      <c r="I1217" s="1774"/>
      <c r="J1217" s="1181"/>
      <c r="K1217" s="684">
        <f t="shared" si="1037"/>
        <v>1</v>
      </c>
      <c r="L1217" s="708">
        <v>1</v>
      </c>
      <c r="M1217" s="709">
        <f t="shared" si="1102"/>
        <v>1</v>
      </c>
      <c r="N1217" s="362" t="str">
        <f t="shared" si="1065"/>
        <v/>
      </c>
      <c r="O1217" s="1763" t="str">
        <f t="shared" si="1066"/>
        <v/>
      </c>
      <c r="P1217" s="1764" t="str">
        <f t="shared" si="1067"/>
        <v/>
      </c>
      <c r="Q1217" s="120" t="str">
        <f t="shared" si="1068"/>
        <v/>
      </c>
      <c r="R1217" s="1765"/>
    </row>
    <row r="1218" spans="1:18" s="1237" customFormat="1" ht="18" customHeight="1">
      <c r="A1218" s="1767"/>
      <c r="B1218" s="1773">
        <v>1</v>
      </c>
      <c r="C1218" s="694" t="s">
        <v>12559</v>
      </c>
      <c r="D1218" s="1888"/>
      <c r="E1218" s="1999">
        <f>E1219*20%</f>
        <v>48</v>
      </c>
      <c r="F1218" s="1581">
        <f t="shared" si="1108"/>
        <v>48</v>
      </c>
      <c r="G1218" s="1774"/>
      <c r="H1218" s="1774"/>
      <c r="I1218" s="1774"/>
      <c r="J1218" s="1181"/>
      <c r="K1218" s="684">
        <f t="shared" si="1037"/>
        <v>1</v>
      </c>
      <c r="L1218" s="708">
        <v>1</v>
      </c>
      <c r="M1218" s="709">
        <f t="shared" si="1102"/>
        <v>1</v>
      </c>
      <c r="N1218" s="362" t="str">
        <f t="shared" si="1065"/>
        <v/>
      </c>
      <c r="O1218" s="1763" t="str">
        <f t="shared" si="1066"/>
        <v/>
      </c>
      <c r="P1218" s="1764" t="str">
        <f t="shared" si="1067"/>
        <v/>
      </c>
      <c r="Q1218" s="120" t="str">
        <f t="shared" si="1068"/>
        <v/>
      </c>
      <c r="R1218" s="1765"/>
    </row>
    <row r="1219" spans="1:18" s="1237" customFormat="1" ht="18" customHeight="1">
      <c r="A1219" s="1767"/>
      <c r="B1219" s="1773">
        <v>1</v>
      </c>
      <c r="C1219" s="1943" t="s">
        <v>12526</v>
      </c>
      <c r="D1219" s="1897"/>
      <c r="E1219" s="1581">
        <v>240</v>
      </c>
      <c r="F1219" s="1581">
        <f t="shared" si="1108"/>
        <v>240</v>
      </c>
      <c r="G1219" s="1774"/>
      <c r="H1219" s="1774"/>
      <c r="I1219" s="1774"/>
      <c r="J1219" s="1181"/>
      <c r="K1219" s="684">
        <f t="shared" si="1037"/>
        <v>1</v>
      </c>
      <c r="L1219" s="708">
        <v>1</v>
      </c>
      <c r="M1219" s="709">
        <f t="shared" si="1102"/>
        <v>1</v>
      </c>
      <c r="N1219" s="362" t="str">
        <f t="shared" si="1065"/>
        <v/>
      </c>
      <c r="O1219" s="1763" t="str">
        <f t="shared" si="1066"/>
        <v/>
      </c>
      <c r="P1219" s="1764" t="str">
        <f t="shared" si="1067"/>
        <v/>
      </c>
      <c r="Q1219" s="120" t="str">
        <f t="shared" si="1068"/>
        <v/>
      </c>
      <c r="R1219" s="1765"/>
    </row>
    <row r="1220" spans="1:18" s="2472" customFormat="1" ht="18" customHeight="1">
      <c r="A1220" s="2464"/>
      <c r="B1220" s="2465"/>
      <c r="C1220" s="2466" t="s">
        <v>12521</v>
      </c>
      <c r="D1220" s="2467"/>
      <c r="E1220" s="2468"/>
      <c r="F1220" s="2469"/>
      <c r="G1220" s="2470"/>
      <c r="H1220" s="2470"/>
      <c r="I1220" s="2470"/>
      <c r="J1220" s="2471"/>
      <c r="K1220" s="2426">
        <f>K1217</f>
        <v>1</v>
      </c>
      <c r="L1220" s="2463">
        <v>1</v>
      </c>
      <c r="M1220" s="2428">
        <f>IF(B1220="",1,B1220)</f>
        <v>1</v>
      </c>
      <c r="N1220" s="2429" t="str">
        <f>IF(O1220&lt;&gt;"",K1220*L1220*M1220,"")</f>
        <v/>
      </c>
      <c r="O1220" s="2430" t="str">
        <f>IF(D1220&lt;&gt;"",IF(VLOOKUP(D1220,base_datos,7,FALSE)&lt;&gt;"",VLOOKUP(D1220,base_datos,7,FALSE),""),"")</f>
        <v/>
      </c>
      <c r="P1220" s="2431" t="str">
        <f>IF(O1220&lt;&gt;"",VLOOKUP(D1220,base_datos,6,FALSE),"")</f>
        <v/>
      </c>
      <c r="Q1220" s="2432" t="str">
        <f>IF(O1220&lt;&gt;"",D1220,"")</f>
        <v/>
      </c>
      <c r="R1220" s="2433"/>
    </row>
    <row r="1221" spans="1:18" s="2472" customFormat="1" ht="18" customHeight="1">
      <c r="A1221" s="2464"/>
      <c r="B1221" s="2465"/>
      <c r="C1221" s="2466"/>
      <c r="D1221" s="2467"/>
      <c r="E1221" s="2468"/>
      <c r="F1221" s="2469"/>
      <c r="G1221" s="2470"/>
      <c r="H1221" s="2470"/>
      <c r="I1221" s="2470"/>
      <c r="J1221" s="2471"/>
      <c r="K1221" s="2426">
        <f>K1218</f>
        <v>1</v>
      </c>
      <c r="L1221" s="2463">
        <v>1</v>
      </c>
      <c r="M1221" s="2428">
        <f>IF(B1221="",1,B1221)</f>
        <v>1</v>
      </c>
      <c r="N1221" s="2429"/>
      <c r="O1221" s="2430"/>
      <c r="P1221" s="2431"/>
      <c r="Q1221" s="2432"/>
      <c r="R1221" s="2433"/>
    </row>
    <row r="1222" spans="1:18" s="2480" customFormat="1">
      <c r="A1222" s="2473"/>
      <c r="B1222" s="2474">
        <v>1</v>
      </c>
      <c r="C1222" s="2475" t="str">
        <f t="shared" ref="C1222:C1223" si="1109">VLOOKUP(D1222,base_datos,6,FALSE)</f>
        <v>FOTOCELDA 1800VA 220V N/C (NF) 10 LUX STIELECTRONICA</v>
      </c>
      <c r="D1222" s="2476" t="s">
        <v>3410</v>
      </c>
      <c r="E1222" s="2477">
        <f t="shared" ref="E1222:E1223" si="1110">VLOOKUP(D1222,base_datos,5,FALSE)</f>
        <v>27.6</v>
      </c>
      <c r="F1222" s="2455">
        <f t="shared" ref="F1222:F1223" si="1111">+E1222*B1222</f>
        <v>27.6</v>
      </c>
      <c r="G1222" s="2478"/>
      <c r="H1222" s="2478"/>
      <c r="I1222" s="2478"/>
      <c r="J1222" s="2479"/>
      <c r="K1222" s="2426">
        <f t="shared" ref="K1222:K1223" si="1112">K1220</f>
        <v>1</v>
      </c>
      <c r="L1222" s="2463">
        <v>1</v>
      </c>
      <c r="M1222" s="2428">
        <f>IF(B1222="",1,B1222)</f>
        <v>1</v>
      </c>
      <c r="N1222" s="2429">
        <f>IF(O1222&lt;&gt;"",K1222*L1222*M1222,"")</f>
        <v>1</v>
      </c>
      <c r="O1222" s="2430" t="str">
        <f>IF(D1222&lt;&gt;"",IF(VLOOKUP(D1222,base_datos,7,FALSE)&lt;&gt;"",VLOOKUP(D1222,base_datos,7,FALSE),""),"")</f>
        <v>0400RTF82S</v>
      </c>
      <c r="P1222" s="2431" t="str">
        <f>IF(O1222&lt;&gt;"",VLOOKUP(D1222,base_datos,6,FALSE),"")</f>
        <v>FOTOCELDA 1800VA 220V N/C (NF) 10 LUX STIELECTRONICA</v>
      </c>
      <c r="Q1222" s="2432" t="str">
        <f>IF(O1222&lt;&gt;"",D1222,"")</f>
        <v>FOTOCELDA</v>
      </c>
    </row>
    <row r="1223" spans="1:18" s="2480" customFormat="1">
      <c r="A1223" s="2473"/>
      <c r="B1223" s="2474">
        <v>1</v>
      </c>
      <c r="C1223" s="2475" t="str">
        <f t="shared" si="1109"/>
        <v>BASE C/SOPORTE P/CONTROL FOTOCELDA P/ADOSAR STIELECTRONICA</v>
      </c>
      <c r="D1223" s="2476" t="s">
        <v>3411</v>
      </c>
      <c r="E1223" s="2477">
        <f t="shared" si="1110"/>
        <v>13.4</v>
      </c>
      <c r="F1223" s="2455">
        <f t="shared" si="1111"/>
        <v>13.4</v>
      </c>
      <c r="G1223" s="2478"/>
      <c r="H1223" s="2478"/>
      <c r="I1223" s="2478"/>
      <c r="J1223" s="2479"/>
      <c r="K1223" s="2426">
        <f t="shared" si="1112"/>
        <v>1</v>
      </c>
      <c r="L1223" s="2463">
        <v>1</v>
      </c>
      <c r="M1223" s="2428">
        <f>IF(B1223="",1,B1223)</f>
        <v>1</v>
      </c>
      <c r="N1223" s="2429">
        <f>IF(O1223&lt;&gt;"",K1223*L1223*M1223,"")</f>
        <v>1</v>
      </c>
      <c r="O1223" s="2430" t="str">
        <f>IF(D1223&lt;&gt;"",IF(VLOOKUP(D1223,base_datos,7,FALSE)&lt;&gt;"",VLOOKUP(D1223,base_datos,7,FALSE),""),"")</f>
        <v>0400TPLS476</v>
      </c>
      <c r="P1223" s="2431" t="str">
        <f>IF(O1223&lt;&gt;"",VLOOKUP(D1223,base_datos,6,FALSE),"")</f>
        <v>BASE C/SOPORTE P/CONTROL FOTOCELDA P/ADOSAR STIELECTRONICA</v>
      </c>
      <c r="Q1223" s="2432" t="str">
        <f>IF(O1223&lt;&gt;"",D1223,"")</f>
        <v>BASE_FOTOCELDA</v>
      </c>
    </row>
    <row r="1224" spans="1:18" s="120" customFormat="1" ht="13.8" thickBot="1">
      <c r="A1224" s="910"/>
      <c r="B1224" s="1953"/>
      <c r="C1224" s="1797"/>
      <c r="D1224" s="1889"/>
      <c r="E1224" s="1981"/>
      <c r="F1224" s="1981"/>
      <c r="G1224" s="710"/>
      <c r="H1224" s="1798"/>
      <c r="I1224" s="1798"/>
      <c r="J1224" s="1799"/>
      <c r="K1224" s="1788"/>
      <c r="L1224" s="363"/>
      <c r="M1224" s="684"/>
      <c r="N1224" s="362" t="str">
        <f t="shared" si="1065"/>
        <v/>
      </c>
      <c r="O1224" s="1763" t="str">
        <f t="shared" si="1066"/>
        <v/>
      </c>
      <c r="P1224" s="1764" t="str">
        <f t="shared" si="1067"/>
        <v/>
      </c>
      <c r="Q1224" s="120" t="str">
        <f t="shared" si="1068"/>
        <v/>
      </c>
      <c r="R1224" s="185"/>
    </row>
    <row r="1225" spans="1:18" s="120" customFormat="1" ht="18" customHeight="1" thickBot="1">
      <c r="A1225" s="1989">
        <v>20</v>
      </c>
      <c r="B1225" s="1852">
        <v>1</v>
      </c>
      <c r="C1225" s="1756" t="s">
        <v>12585</v>
      </c>
      <c r="D1225" s="1588"/>
      <c r="E1225" s="1589"/>
      <c r="F1225" s="1589"/>
      <c r="G1225" s="1757">
        <f>SUM(F1226:F1281)</f>
        <v>2930.0274559023064</v>
      </c>
      <c r="H1225" s="1758">
        <f>G1225*(1-$D$6)</f>
        <v>2930.0274559023064</v>
      </c>
      <c r="I1225" s="1757">
        <f>ROUNDUP(H1225*$D$5,0)</f>
        <v>9963</v>
      </c>
      <c r="J1225" s="1759">
        <f>+I1225*B1225</f>
        <v>9963</v>
      </c>
      <c r="K1225" s="1788">
        <f>B1225</f>
        <v>1</v>
      </c>
      <c r="L1225" s="363"/>
      <c r="M1225" s="684"/>
      <c r="N1225" s="362" t="str">
        <f t="shared" si="1065"/>
        <v/>
      </c>
      <c r="O1225" s="1763" t="str">
        <f t="shared" si="1066"/>
        <v/>
      </c>
      <c r="P1225" s="1764" t="str">
        <f t="shared" si="1067"/>
        <v/>
      </c>
      <c r="Q1225" s="120" t="str">
        <f t="shared" si="1068"/>
        <v/>
      </c>
      <c r="R1225" s="185"/>
    </row>
    <row r="1226" spans="1:18" s="120" customFormat="1" ht="18" customHeight="1">
      <c r="A1226" s="685" t="s">
        <v>3064</v>
      </c>
      <c r="B1226" s="1903"/>
      <c r="C1226" s="1890"/>
      <c r="D1226" s="1904"/>
      <c r="E1226" s="1789"/>
      <c r="F1226" s="1780"/>
      <c r="G1226" s="686"/>
      <c r="H1226" s="710"/>
      <c r="I1226" s="686"/>
      <c r="J1226" s="1768"/>
      <c r="K1226" s="684">
        <f t="shared" ref="K1226:K1227" si="1113">+K1225</f>
        <v>1</v>
      </c>
      <c r="L1226" s="363">
        <v>1</v>
      </c>
      <c r="M1226" s="709">
        <f t="shared" ref="M1226:M1238" si="1114">IF(B1226="",1,B1226)</f>
        <v>1</v>
      </c>
      <c r="N1226" s="362" t="str">
        <f t="shared" si="1065"/>
        <v/>
      </c>
      <c r="O1226" s="1763" t="str">
        <f t="shared" si="1066"/>
        <v/>
      </c>
      <c r="P1226" s="1764" t="str">
        <f t="shared" si="1067"/>
        <v/>
      </c>
      <c r="Q1226" s="120" t="str">
        <f t="shared" si="1068"/>
        <v/>
      </c>
    </row>
    <row r="1227" spans="1:18" s="315" customFormat="1">
      <c r="A1227" s="687" t="s">
        <v>4021</v>
      </c>
      <c r="B1227" s="2096">
        <v>1</v>
      </c>
      <c r="C1227" s="1907" t="s">
        <v>5103</v>
      </c>
      <c r="D1227" s="1935"/>
      <c r="E1227" s="1786"/>
      <c r="F1227" s="1908">
        <f>SUM(F1229:F1233)*(B1227-1)</f>
        <v>0</v>
      </c>
      <c r="G1227" s="712"/>
      <c r="H1227" s="712"/>
      <c r="I1227" s="712"/>
      <c r="J1227" s="713"/>
      <c r="K1227" s="684">
        <f t="shared" si="1113"/>
        <v>1</v>
      </c>
      <c r="L1227" s="1909">
        <f>B1227</f>
        <v>1</v>
      </c>
      <c r="M1227" s="684">
        <f t="shared" si="1114"/>
        <v>1</v>
      </c>
      <c r="N1227" s="362" t="str">
        <f t="shared" si="1065"/>
        <v/>
      </c>
      <c r="O1227" s="1763" t="str">
        <f t="shared" si="1066"/>
        <v/>
      </c>
      <c r="P1227" s="1764" t="str">
        <f t="shared" si="1067"/>
        <v/>
      </c>
      <c r="Q1227" s="120" t="str">
        <f t="shared" si="1068"/>
        <v/>
      </c>
    </row>
    <row r="1228" spans="1:18" s="185" customFormat="1">
      <c r="A1228" s="687" t="s">
        <v>4136</v>
      </c>
      <c r="B1228" s="1910">
        <v>3</v>
      </c>
      <c r="C1228" s="1911" t="str">
        <f>VLOOKUP(D1228,base_datos,6,FALSE)</f>
        <v>Portalámpara + lampara tipo LED - color Rojo - alimentacion: 220-230Vac, d=22mm. - CL2-523R - línea compacta - marca ABB.</v>
      </c>
      <c r="D1228" s="1790" t="s">
        <v>2439</v>
      </c>
      <c r="E1228" s="1939">
        <f>VLOOKUP(D1228,base_datos,5,FALSE)</f>
        <v>12.299999999999999</v>
      </c>
      <c r="F1228" s="1912">
        <f>+E1228*B1228</f>
        <v>36.9</v>
      </c>
      <c r="G1228" s="710"/>
      <c r="H1228" s="710"/>
      <c r="I1228" s="710"/>
      <c r="J1228" s="711"/>
      <c r="K1228" s="684">
        <f>+K1226</f>
        <v>1</v>
      </c>
      <c r="L1228" s="1913">
        <f>L1226</f>
        <v>1</v>
      </c>
      <c r="M1228" s="684">
        <f t="shared" si="1114"/>
        <v>3</v>
      </c>
      <c r="N1228" s="362">
        <f t="shared" si="1065"/>
        <v>3</v>
      </c>
      <c r="O1228" s="1763" t="str">
        <f t="shared" si="1066"/>
        <v>1SFA619403R5231</v>
      </c>
      <c r="P1228" s="1764" t="str">
        <f t="shared" si="1067"/>
        <v>Portalámpara + lampara tipo LED - color Rojo - alimentacion: 220-230Vac, d=22mm. - CL2-523R - línea compacta - marca ABB.</v>
      </c>
      <c r="Q1228" s="120" t="str">
        <f t="shared" si="1068"/>
        <v>LAMP_ROJO_220V</v>
      </c>
    </row>
    <row r="1229" spans="1:18" s="185" customFormat="1">
      <c r="A1229" s="687"/>
      <c r="B1229" s="1910">
        <v>3</v>
      </c>
      <c r="C1229" s="1911" t="str">
        <f>VLOOKUP(D1229,base_datos,6,FALSE)</f>
        <v>Portalámpara + lampara tipo LED - color Verde - alimentacion: 220-230Vac, d=22mm. - CL2-523G - línea compacta - marca ABB.</v>
      </c>
      <c r="D1229" s="1790" t="s">
        <v>2440</v>
      </c>
      <c r="E1229" s="1939">
        <f>VLOOKUP(D1229,base_datos,5,FALSE)</f>
        <v>12.299999999999999</v>
      </c>
      <c r="F1229" s="1912">
        <f>+E1229*B1229</f>
        <v>36.9</v>
      </c>
      <c r="G1229" s="710"/>
      <c r="H1229" s="710"/>
      <c r="I1229" s="710"/>
      <c r="J1229" s="711"/>
      <c r="K1229" s="684">
        <f>+K1227</f>
        <v>1</v>
      </c>
      <c r="L1229" s="1913">
        <f>L1227</f>
        <v>1</v>
      </c>
      <c r="M1229" s="684">
        <f t="shared" si="1114"/>
        <v>3</v>
      </c>
      <c r="N1229" s="362">
        <f t="shared" si="1065"/>
        <v>3</v>
      </c>
      <c r="O1229" s="1763" t="str">
        <f t="shared" si="1066"/>
        <v>1SFA619403R5232</v>
      </c>
      <c r="P1229" s="1764" t="str">
        <f t="shared" si="1067"/>
        <v>Portalámpara + lampara tipo LED - color Verde - alimentacion: 220-230Vac, d=22mm. - CL2-523G - línea compacta - marca ABB.</v>
      </c>
      <c r="Q1229" s="120" t="str">
        <f t="shared" si="1068"/>
        <v>LAMP_VERDE_220V</v>
      </c>
    </row>
    <row r="1230" spans="1:18" s="1921" customFormat="1">
      <c r="A1230" s="687" t="s">
        <v>12356</v>
      </c>
      <c r="B1230" s="1914">
        <v>1</v>
      </c>
      <c r="C1230" s="1915" t="s">
        <v>3366</v>
      </c>
      <c r="D1230" s="1916"/>
      <c r="E1230" s="1917"/>
      <c r="F1230" s="1918"/>
      <c r="G1230" s="1919"/>
      <c r="H1230" s="1919"/>
      <c r="I1230" s="1919"/>
      <c r="J1230" s="1920"/>
      <c r="K1230" s="684">
        <f t="shared" ref="K1230:K1238" si="1115">+K1228</f>
        <v>1</v>
      </c>
      <c r="L1230" s="1913">
        <f>L1229</f>
        <v>1</v>
      </c>
      <c r="M1230" s="684">
        <f t="shared" si="1114"/>
        <v>1</v>
      </c>
      <c r="N1230" s="362" t="str">
        <f t="shared" si="1065"/>
        <v/>
      </c>
      <c r="O1230" s="1763" t="str">
        <f t="shared" si="1066"/>
        <v/>
      </c>
      <c r="P1230" s="1764" t="str">
        <f t="shared" si="1067"/>
        <v/>
      </c>
      <c r="Q1230" s="120" t="str">
        <f t="shared" si="1068"/>
        <v/>
      </c>
    </row>
    <row r="1231" spans="1:18" s="320" customFormat="1">
      <c r="A1231" s="687" t="s">
        <v>12482</v>
      </c>
      <c r="B1231" s="1922">
        <v>1</v>
      </c>
      <c r="C1231" s="721" t="str">
        <f>VLOOKUP(D1231,base_datos,6,FALSE)</f>
        <v>Rele auxiliar enchufable +4NA/NC (D2PR4B + base D2PA6), 220Vac - marca EATON.</v>
      </c>
      <c r="D1231" s="1579" t="s">
        <v>772</v>
      </c>
      <c r="E1231" s="1581">
        <f>VLOOKUP(D1231,base_datos,5,FALSE)</f>
        <v>27</v>
      </c>
      <c r="F1231" s="1923">
        <f>+E1231*B1231</f>
        <v>27</v>
      </c>
      <c r="G1231" s="1924"/>
      <c r="H1231" s="1924"/>
      <c r="I1231" s="1924"/>
      <c r="J1231" s="722"/>
      <c r="K1231" s="684">
        <f t="shared" si="1115"/>
        <v>1</v>
      </c>
      <c r="L1231" s="1913">
        <f>L1228</f>
        <v>1</v>
      </c>
      <c r="M1231" s="684">
        <f t="shared" si="1114"/>
        <v>1</v>
      </c>
      <c r="N1231" s="362">
        <f t="shared" si="1065"/>
        <v>1</v>
      </c>
      <c r="O1231" s="1763" t="str">
        <f t="shared" si="1066"/>
        <v>D2PR4B+D2PA6</v>
      </c>
      <c r="P1231" s="1764" t="str">
        <f t="shared" si="1067"/>
        <v>Rele auxiliar enchufable +4NA/NC (D2PR4B + base D2PA6), 220Vac - marca EATON.</v>
      </c>
      <c r="Q1231" s="120" t="str">
        <f t="shared" si="1068"/>
        <v>D2PR4B+D2PA6</v>
      </c>
    </row>
    <row r="1232" spans="1:18" s="320" customFormat="1">
      <c r="A1232" s="1767"/>
      <c r="B1232" s="2131">
        <v>1</v>
      </c>
      <c r="C1232" s="2132" t="s">
        <v>12558</v>
      </c>
      <c r="D1232" s="2133"/>
      <c r="E1232" s="2134">
        <v>32</v>
      </c>
      <c r="F1232" s="2134">
        <f>+E1232*B1232</f>
        <v>32</v>
      </c>
      <c r="G1232" s="1924"/>
      <c r="H1232" s="1924"/>
      <c r="I1232" s="1924"/>
      <c r="J1232" s="722"/>
      <c r="K1232" s="684">
        <f t="shared" si="1115"/>
        <v>1</v>
      </c>
      <c r="L1232" s="1913">
        <f>L1229</f>
        <v>1</v>
      </c>
      <c r="M1232" s="684">
        <f t="shared" si="1114"/>
        <v>1</v>
      </c>
      <c r="N1232" s="362" t="str">
        <f t="shared" si="1065"/>
        <v/>
      </c>
      <c r="O1232" s="1763" t="str">
        <f t="shared" si="1066"/>
        <v/>
      </c>
      <c r="P1232" s="1764" t="str">
        <f t="shared" si="1067"/>
        <v/>
      </c>
      <c r="Q1232" s="120" t="str">
        <f t="shared" si="1068"/>
        <v/>
      </c>
    </row>
    <row r="1233" spans="1:18" s="320" customFormat="1">
      <c r="A1233" s="687" t="s">
        <v>12551</v>
      </c>
      <c r="B1233" s="1922">
        <v>4</v>
      </c>
      <c r="C1233" s="721" t="str">
        <f>VLOOKUP(D1233,base_datos,6,FALSE)</f>
        <v>Base portafusibles + Fusibles de protección para control.</v>
      </c>
      <c r="D1233" s="1579" t="s">
        <v>453</v>
      </c>
      <c r="E1233" s="1581">
        <f>VLOOKUP(D1233,base_datos,5,FALSE)</f>
        <v>8.1750000000000007</v>
      </c>
      <c r="F1233" s="1923">
        <f>+E1233*B1233</f>
        <v>32.700000000000003</v>
      </c>
      <c r="G1233" s="1924"/>
      <c r="H1233" s="1924"/>
      <c r="I1233" s="1924"/>
      <c r="J1233" s="722"/>
      <c r="K1233" s="684">
        <f t="shared" si="1115"/>
        <v>1</v>
      </c>
      <c r="L1233" s="1913">
        <f>L1230</f>
        <v>1</v>
      </c>
      <c r="M1233" s="684">
        <f t="shared" si="1114"/>
        <v>4</v>
      </c>
      <c r="N1233" s="362" t="str">
        <f t="shared" si="1065"/>
        <v/>
      </c>
      <c r="O1233" s="1763" t="str">
        <f t="shared" si="1066"/>
        <v/>
      </c>
      <c r="P1233" s="1764" t="str">
        <f t="shared" si="1067"/>
        <v/>
      </c>
      <c r="Q1233" s="120" t="str">
        <f t="shared" si="1068"/>
        <v/>
      </c>
    </row>
    <row r="1234" spans="1:18" s="315" customFormat="1">
      <c r="A1234" s="687" t="s">
        <v>3542</v>
      </c>
      <c r="B1234" s="1906"/>
      <c r="C1234" s="1907"/>
      <c r="D1234" s="1935"/>
      <c r="E1234" s="1786"/>
      <c r="F1234" s="1936"/>
      <c r="G1234" s="712"/>
      <c r="H1234" s="712"/>
      <c r="I1234" s="712"/>
      <c r="J1234" s="713"/>
      <c r="K1234" s="684">
        <f t="shared" si="1115"/>
        <v>1</v>
      </c>
      <c r="L1234" s="1909">
        <f>B1234</f>
        <v>0</v>
      </c>
      <c r="M1234" s="684">
        <f t="shared" si="1114"/>
        <v>1</v>
      </c>
      <c r="N1234" s="362" t="str">
        <f t="shared" si="1065"/>
        <v/>
      </c>
      <c r="O1234" s="1763" t="str">
        <f t="shared" si="1066"/>
        <v/>
      </c>
      <c r="P1234" s="1764" t="str">
        <f t="shared" si="1067"/>
        <v/>
      </c>
      <c r="Q1234" s="120" t="str">
        <f t="shared" si="1068"/>
        <v/>
      </c>
    </row>
    <row r="1235" spans="1:18" s="185" customFormat="1" ht="13.5" customHeight="1">
      <c r="A1235" s="687"/>
      <c r="B1235" s="1922"/>
      <c r="C1235" s="1956" t="s">
        <v>12368</v>
      </c>
      <c r="D1235" s="1579"/>
      <c r="E1235" s="1957"/>
      <c r="F1235" s="1958"/>
      <c r="G1235" s="710"/>
      <c r="H1235" s="710"/>
      <c r="I1235" s="710"/>
      <c r="J1235" s="711"/>
      <c r="K1235" s="684">
        <f t="shared" si="1115"/>
        <v>1</v>
      </c>
      <c r="L1235" s="708">
        <v>1</v>
      </c>
      <c r="M1235" s="684">
        <f t="shared" si="1114"/>
        <v>1</v>
      </c>
      <c r="N1235" s="362" t="str">
        <f t="shared" si="1065"/>
        <v/>
      </c>
      <c r="O1235" s="1763" t="str">
        <f t="shared" si="1066"/>
        <v/>
      </c>
      <c r="P1235" s="1764" t="str">
        <f t="shared" si="1067"/>
        <v/>
      </c>
      <c r="Q1235" s="120" t="str">
        <f t="shared" si="1068"/>
        <v/>
      </c>
    </row>
    <row r="1236" spans="1:18" s="120" customFormat="1" ht="18" customHeight="1">
      <c r="A1236" s="1785"/>
      <c r="B1236" s="1781"/>
      <c r="C1236" s="1218" t="s">
        <v>3158</v>
      </c>
      <c r="D1236" s="1900"/>
      <c r="E1236" s="1791"/>
      <c r="F1236" s="1782"/>
      <c r="G1236" s="686"/>
      <c r="H1236" s="686"/>
      <c r="I1236" s="686"/>
      <c r="J1236" s="688"/>
      <c r="K1236" s="684">
        <f t="shared" si="1115"/>
        <v>1</v>
      </c>
      <c r="L1236" s="708">
        <v>1</v>
      </c>
      <c r="M1236" s="709">
        <f t="shared" si="1114"/>
        <v>1</v>
      </c>
      <c r="N1236" s="362" t="str">
        <f t="shared" si="1065"/>
        <v/>
      </c>
      <c r="O1236" s="1763" t="str">
        <f t="shared" si="1066"/>
        <v/>
      </c>
      <c r="P1236" s="1764" t="str">
        <f t="shared" si="1067"/>
        <v/>
      </c>
      <c r="Q1236" s="120" t="str">
        <f t="shared" si="1068"/>
        <v/>
      </c>
      <c r="R1236" s="185"/>
    </row>
    <row r="1237" spans="1:18" s="690" customFormat="1" ht="18" customHeight="1">
      <c r="A1237" s="1785"/>
      <c r="B1237" s="2096">
        <v>1</v>
      </c>
      <c r="C1237" s="1420" t="str">
        <f>VLOOKUP(D1237,base_datos,6,FALSE)</f>
        <v>ITM Caja Moldeada 3x80A (reg.[0.7-1.0] In) - XT1B160-80A-3P-TMD - 25kA@230Vac, 18kA@415Vac, 18kA@250Vdc - marca ABB.</v>
      </c>
      <c r="D1237" s="1901" t="s">
        <v>4372</v>
      </c>
      <c r="E1237" s="1791">
        <f>VLOOKUP(D1237,base_datos,5,FALSE)</f>
        <v>129.57999999999998</v>
      </c>
      <c r="F1237" s="1782">
        <f>+E1237*B1237</f>
        <v>129.57999999999998</v>
      </c>
      <c r="G1237" s="1761"/>
      <c r="H1237" s="1761"/>
      <c r="I1237" s="1761"/>
      <c r="J1237" s="689"/>
      <c r="K1237" s="684">
        <f t="shared" si="1115"/>
        <v>1</v>
      </c>
      <c r="L1237" s="708">
        <v>1</v>
      </c>
      <c r="M1237" s="709">
        <f t="shared" si="1114"/>
        <v>1</v>
      </c>
      <c r="N1237" s="362">
        <f t="shared" si="1065"/>
        <v>1</v>
      </c>
      <c r="O1237" s="1763" t="str">
        <f t="shared" si="1066"/>
        <v>1SDA066806R1</v>
      </c>
      <c r="P1237" s="1764" t="str">
        <f t="shared" si="1067"/>
        <v>ITM Caja Moldeada 3x80A (reg.[0.7-1.0] In) - XT1B160-80A-3P-TMD - 25kA@230Vac, 18kA@415Vac, 18kA@250Vdc - marca ABB.</v>
      </c>
      <c r="Q1237" s="120" t="str">
        <f t="shared" si="1068"/>
        <v>XT1B160-80A-3P-TMD</v>
      </c>
      <c r="R1237" s="185"/>
    </row>
    <row r="1238" spans="1:18" s="695" customFormat="1" ht="18" customHeight="1">
      <c r="A1238" s="693"/>
      <c r="B1238" s="1922">
        <v>1</v>
      </c>
      <c r="C1238" s="1848" t="str">
        <f t="shared" ref="C1238" si="1116">VLOOKUP(D1238,base_datos,6,FALSE)</f>
        <v>FC-Cu_XT1 - Terminales - cables de cobre hasta 1x50mm2 - 3 terminales (internos)</v>
      </c>
      <c r="D1238" s="1886" t="s">
        <v>823</v>
      </c>
      <c r="E1238" s="1795">
        <f t="shared" ref="E1238" si="1117">VLOOKUP(D1238,base_datos,5,FALSE)</f>
        <v>9.76</v>
      </c>
      <c r="F1238" s="1796">
        <f t="shared" ref="F1238" si="1118">+E1238*B1238</f>
        <v>9.76</v>
      </c>
      <c r="G1238" s="696"/>
      <c r="H1238" s="696"/>
      <c r="I1238" s="696"/>
      <c r="J1238" s="697"/>
      <c r="K1238" s="684">
        <f t="shared" si="1115"/>
        <v>1</v>
      </c>
      <c r="L1238" s="708">
        <v>1</v>
      </c>
      <c r="M1238" s="709">
        <f t="shared" si="1114"/>
        <v>1</v>
      </c>
      <c r="N1238" s="362">
        <f t="shared" ref="N1238" si="1119">IF(O1238&lt;&gt;"",K1238*L1238*M1238,"")</f>
        <v>1</v>
      </c>
      <c r="O1238" s="1763" t="str">
        <f t="shared" ref="O1238" si="1120">IF(D1238&lt;&gt;"",IF(VLOOKUP(D1238,base_datos,7,FALSE)&lt;&gt;"",VLOOKUP(D1238,base_datos,7,FALSE),""),"")</f>
        <v>1SDA066905R1</v>
      </c>
      <c r="P1238" s="1764" t="str">
        <f t="shared" ref="P1238" si="1121">IF(O1238&lt;&gt;"",VLOOKUP(D1238,base_datos,6,FALSE),"")</f>
        <v>FC-Cu_XT1 - Terminales - cables de cobre hasta 1x50mm2 - 3 terminales (internos)</v>
      </c>
      <c r="Q1238" s="120" t="str">
        <f t="shared" ref="Q1238" si="1122">IF(O1238&lt;&gt;"",D1238,"")</f>
        <v>FC-Cu_XT1_3t</v>
      </c>
      <c r="R1238" s="185"/>
    </row>
    <row r="1239" spans="1:18" s="185" customFormat="1">
      <c r="A1239" s="687"/>
      <c r="B1239" s="714"/>
      <c r="C1239" s="313" t="s">
        <v>729</v>
      </c>
      <c r="D1239" s="173"/>
      <c r="E1239" s="1786"/>
      <c r="F1239" s="1787"/>
      <c r="G1239" s="710"/>
      <c r="H1239" s="710"/>
      <c r="I1239" s="710"/>
      <c r="J1239" s="711"/>
      <c r="K1239" s="684">
        <f>+K1236</f>
        <v>1</v>
      </c>
      <c r="L1239" s="708">
        <v>1</v>
      </c>
      <c r="M1239" s="709">
        <f>IF(B1239="",1,B1239)</f>
        <v>1</v>
      </c>
      <c r="N1239" s="362" t="str">
        <f t="shared" si="1065"/>
        <v/>
      </c>
      <c r="O1239" s="1763" t="str">
        <f t="shared" si="1066"/>
        <v/>
      </c>
      <c r="P1239" s="1764" t="str">
        <f t="shared" si="1067"/>
        <v/>
      </c>
      <c r="Q1239" s="120" t="str">
        <f t="shared" si="1068"/>
        <v/>
      </c>
    </row>
    <row r="1240" spans="1:18" s="690" customFormat="1" ht="18" customHeight="1">
      <c r="A1240" s="1785"/>
      <c r="B1240" s="1851"/>
      <c r="C1240" s="1966" t="s">
        <v>9431</v>
      </c>
      <c r="D1240" s="1582"/>
      <c r="E1240" s="1780"/>
      <c r="F1240" s="1782"/>
      <c r="G1240" s="1761"/>
      <c r="H1240" s="1761"/>
      <c r="I1240" s="1761"/>
      <c r="J1240" s="689"/>
      <c r="K1240" s="684">
        <f>+K1237</f>
        <v>1</v>
      </c>
      <c r="L1240" s="708">
        <v>1</v>
      </c>
      <c r="M1240" s="709">
        <f t="shared" ref="M1240:M1258" si="1123">IF(B1240="",1,B1240)</f>
        <v>1</v>
      </c>
      <c r="N1240" s="362" t="str">
        <f t="shared" si="1065"/>
        <v/>
      </c>
      <c r="O1240" s="1763" t="str">
        <f t="shared" si="1066"/>
        <v/>
      </c>
      <c r="P1240" s="1764" t="str">
        <f t="shared" si="1067"/>
        <v/>
      </c>
      <c r="Q1240" s="120" t="str">
        <f t="shared" si="1068"/>
        <v/>
      </c>
      <c r="R1240" s="185"/>
    </row>
    <row r="1241" spans="1:18" s="690" customFormat="1" ht="18" customHeight="1">
      <c r="A1241" s="1785"/>
      <c r="B1241" s="1781">
        <v>1</v>
      </c>
      <c r="C1241" s="1960" t="str">
        <f t="shared" ref="C1241:C1242" si="1124">VLOOKUP(D1241,base_datos,6,FALSE)</f>
        <v>ITM Caja Moldeada 3x50A (reg.[0.7-1.0] In) - XT1B160-50A-3P-TMD - 25kA@230Vac, 18kA@415Vac, 18kA@250Vdc - marca ABB.</v>
      </c>
      <c r="D1241" s="1901" t="s">
        <v>4368</v>
      </c>
      <c r="E1241" s="1791">
        <f t="shared" ref="E1241:E1242" si="1125">VLOOKUP(D1241,base_datos,5,FALSE)</f>
        <v>120.37</v>
      </c>
      <c r="F1241" s="1782">
        <f t="shared" ref="F1241:F1243" si="1126">+E1241*B1241</f>
        <v>120.37</v>
      </c>
      <c r="G1241" s="1761"/>
      <c r="H1241" s="1761"/>
      <c r="I1241" s="1761"/>
      <c r="J1241" s="1783"/>
      <c r="K1241" s="684">
        <f t="shared" ref="K1241:K1281" si="1127">+K1238</f>
        <v>1</v>
      </c>
      <c r="L1241" s="708">
        <v>1</v>
      </c>
      <c r="M1241" s="709">
        <f t="shared" si="1123"/>
        <v>1</v>
      </c>
      <c r="N1241" s="362">
        <f t="shared" si="1065"/>
        <v>1</v>
      </c>
      <c r="O1241" s="1763" t="str">
        <f t="shared" si="1066"/>
        <v>1SDA066804R1</v>
      </c>
      <c r="P1241" s="1764" t="str">
        <f t="shared" si="1067"/>
        <v>ITM Caja Moldeada 3x50A (reg.[0.7-1.0] In) - XT1B160-50A-3P-TMD - 25kA@230Vac, 18kA@415Vac, 18kA@250Vdc - marca ABB.</v>
      </c>
      <c r="Q1241" s="120" t="str">
        <f t="shared" si="1068"/>
        <v>XT1B160-50A-3P-TMD</v>
      </c>
      <c r="R1241" s="185"/>
    </row>
    <row r="1242" spans="1:18" s="690" customFormat="1" ht="18" customHeight="1">
      <c r="A1242" s="1785"/>
      <c r="B1242" s="1781">
        <v>1</v>
      </c>
      <c r="C1242" s="1960" t="str">
        <f t="shared" si="1124"/>
        <v>ITM Caja Moldeada 3x25A (reg.[0.7-1.0] In)  - XT1B160-25A-3P-TMD - 25kA@230Vac,18kA@415Vac, 18kA@250Vdc - marca ABB.</v>
      </c>
      <c r="D1242" s="1901" t="s">
        <v>4362</v>
      </c>
      <c r="E1242" s="1791">
        <f t="shared" si="1125"/>
        <v>120.37</v>
      </c>
      <c r="F1242" s="1782">
        <f t="shared" si="1126"/>
        <v>120.37</v>
      </c>
      <c r="G1242" s="1761"/>
      <c r="H1242" s="1761"/>
      <c r="I1242" s="1761"/>
      <c r="J1242" s="1783"/>
      <c r="K1242" s="684">
        <f t="shared" si="1127"/>
        <v>1</v>
      </c>
      <c r="L1242" s="708">
        <v>1</v>
      </c>
      <c r="M1242" s="709">
        <f t="shared" si="1123"/>
        <v>1</v>
      </c>
      <c r="N1242" s="362">
        <f t="shared" si="1065"/>
        <v>1</v>
      </c>
      <c r="O1242" s="1763" t="str">
        <f t="shared" si="1066"/>
        <v>1SDA066801R1</v>
      </c>
      <c r="P1242" s="1764" t="str">
        <f t="shared" si="1067"/>
        <v>ITM Caja Moldeada 3x25A (reg.[0.7-1.0] In)  - XT1B160-25A-3P-TMD - 25kA@230Vac,18kA@415Vac, 18kA@250Vdc - marca ABB.</v>
      </c>
      <c r="Q1242" s="120" t="str">
        <f t="shared" si="1068"/>
        <v>XT1B160-25A-3P-TMD</v>
      </c>
      <c r="R1242" s="185"/>
    </row>
    <row r="1243" spans="1:18" s="695" customFormat="1">
      <c r="A1243" s="1785"/>
      <c r="B1243" s="1967">
        <v>1</v>
      </c>
      <c r="C1243" s="1946">
        <v>6</v>
      </c>
      <c r="D1243" s="1582"/>
      <c r="E1243" s="2000">
        <v>24</v>
      </c>
      <c r="F1243" s="1968">
        <f t="shared" si="1126"/>
        <v>24</v>
      </c>
      <c r="G1243" s="1969"/>
      <c r="H1243" s="1969"/>
      <c r="I1243" s="1969"/>
      <c r="J1243" s="1970"/>
      <c r="K1243" s="684">
        <f t="shared" si="1127"/>
        <v>1</v>
      </c>
      <c r="L1243" s="363">
        <v>1</v>
      </c>
      <c r="M1243" s="709">
        <f t="shared" si="1123"/>
        <v>1</v>
      </c>
      <c r="N1243" s="362" t="str">
        <f t="shared" si="1065"/>
        <v/>
      </c>
      <c r="O1243" s="1763" t="str">
        <f t="shared" si="1066"/>
        <v/>
      </c>
      <c r="P1243" s="1764" t="str">
        <f t="shared" si="1067"/>
        <v/>
      </c>
      <c r="Q1243" s="120" t="str">
        <f t="shared" si="1068"/>
        <v/>
      </c>
    </row>
    <row r="1244" spans="1:18" s="185" customFormat="1">
      <c r="A1244" s="687"/>
      <c r="B1244" s="714"/>
      <c r="C1244" s="313" t="s">
        <v>729</v>
      </c>
      <c r="D1244" s="173"/>
      <c r="E1244" s="1786"/>
      <c r="F1244" s="1787"/>
      <c r="G1244" s="710"/>
      <c r="H1244" s="710"/>
      <c r="I1244" s="710"/>
      <c r="J1244" s="711"/>
      <c r="K1244" s="684">
        <f t="shared" si="1127"/>
        <v>1</v>
      </c>
      <c r="L1244" s="708">
        <v>1</v>
      </c>
      <c r="M1244" s="709">
        <f>IF(B1244="",1,B1244)</f>
        <v>1</v>
      </c>
      <c r="N1244" s="362" t="str">
        <f t="shared" ref="N1244" si="1128">IF(O1244&lt;&gt;"",K1244*L1244*M1244,"")</f>
        <v/>
      </c>
      <c r="O1244" s="1763" t="str">
        <f t="shared" ref="O1244" si="1129">IF(D1244&lt;&gt;"",IF(VLOOKUP(D1244,base_datos,7,FALSE)&lt;&gt;"",VLOOKUP(D1244,base_datos,7,FALSE),""),"")</f>
        <v/>
      </c>
      <c r="P1244" s="1764" t="str">
        <f t="shared" ref="P1244" si="1130">IF(O1244&lt;&gt;"",VLOOKUP(D1244,base_datos,6,FALSE),"")</f>
        <v/>
      </c>
      <c r="Q1244" s="120" t="str">
        <f t="shared" ref="Q1244" si="1131">IF(O1244&lt;&gt;"",D1244,"")</f>
        <v/>
      </c>
    </row>
    <row r="1245" spans="1:18" s="690" customFormat="1" ht="18" customHeight="1">
      <c r="A1245" s="1785"/>
      <c r="B1245" s="1851"/>
      <c r="C1245" s="1966" t="s">
        <v>12546</v>
      </c>
      <c r="D1245" s="1582"/>
      <c r="E1245" s="1780"/>
      <c r="F1245" s="1782"/>
      <c r="G1245" s="1761"/>
      <c r="H1245" s="1761"/>
      <c r="I1245" s="1761"/>
      <c r="J1245" s="689"/>
      <c r="K1245" s="684">
        <f t="shared" si="1127"/>
        <v>1</v>
      </c>
      <c r="L1245" s="708">
        <v>1</v>
      </c>
      <c r="M1245" s="709">
        <f t="shared" si="1123"/>
        <v>1</v>
      </c>
      <c r="N1245" s="362" t="str">
        <f t="shared" si="1065"/>
        <v/>
      </c>
      <c r="O1245" s="1763" t="str">
        <f t="shared" si="1066"/>
        <v/>
      </c>
      <c r="P1245" s="1764" t="str">
        <f t="shared" si="1067"/>
        <v/>
      </c>
      <c r="Q1245" s="120" t="str">
        <f t="shared" si="1068"/>
        <v/>
      </c>
      <c r="R1245" s="185"/>
    </row>
    <row r="1246" spans="1:18" s="690" customFormat="1" ht="18" customHeight="1">
      <c r="A1246" s="1785"/>
      <c r="B1246" s="1781">
        <v>6</v>
      </c>
      <c r="C1246" s="1960" t="str">
        <f t="shared" ref="C1246:C1248" si="1132">VLOOKUP(D1246,base_datos,6,FALSE)</f>
        <v>ITM Riel-Din 2x16A - S202-C-16A - 10kA@400Vac-IEC60947-2 - marca ABB.</v>
      </c>
      <c r="D1246" s="2007" t="s">
        <v>970</v>
      </c>
      <c r="E1246" s="1791">
        <f t="shared" ref="E1246:E1248" si="1133">VLOOKUP(D1246,base_datos,5,FALSE)</f>
        <v>17.96</v>
      </c>
      <c r="F1246" s="1782">
        <f t="shared" ref="F1246:F1249" si="1134">+E1246*B1246</f>
        <v>107.76</v>
      </c>
      <c r="G1246" s="1761"/>
      <c r="H1246" s="1761"/>
      <c r="I1246" s="1761"/>
      <c r="J1246" s="1783"/>
      <c r="K1246" s="684">
        <f t="shared" si="1127"/>
        <v>1</v>
      </c>
      <c r="L1246" s="708">
        <v>1</v>
      </c>
      <c r="M1246" s="709">
        <f t="shared" si="1123"/>
        <v>6</v>
      </c>
      <c r="N1246" s="362">
        <f t="shared" si="1065"/>
        <v>6</v>
      </c>
      <c r="O1246" s="1763" t="str">
        <f t="shared" si="1066"/>
        <v>2CDS252001R0164</v>
      </c>
      <c r="P1246" s="1764" t="str">
        <f t="shared" si="1067"/>
        <v>ITM Riel-Din 2x16A - S202-C-16A - 10kA@400Vac-IEC60947-2 - marca ABB.</v>
      </c>
      <c r="Q1246" s="120" t="str">
        <f t="shared" si="1068"/>
        <v>S202-C-16A</v>
      </c>
      <c r="R1246" s="185"/>
    </row>
    <row r="1247" spans="1:18" s="690" customFormat="1" ht="18" customHeight="1">
      <c r="A1247" s="1785"/>
      <c r="B1247" s="2023">
        <v>6</v>
      </c>
      <c r="C1247" s="2041" t="str">
        <f t="shared" si="1132"/>
        <v>Interruptor Diferencial 2x25A - 30mA - clase A (inmunizado) - FH202-A-25A-30mA - marca ABB.</v>
      </c>
      <c r="D1247" s="2006" t="s">
        <v>5318</v>
      </c>
      <c r="E1247" s="2025">
        <f t="shared" si="1133"/>
        <v>50</v>
      </c>
      <c r="F1247" s="2026">
        <f t="shared" si="1134"/>
        <v>300</v>
      </c>
      <c r="G1247" s="1761"/>
      <c r="H1247" s="1761"/>
      <c r="I1247" s="1761"/>
      <c r="J1247" s="1783"/>
      <c r="K1247" s="684">
        <f t="shared" si="1127"/>
        <v>1</v>
      </c>
      <c r="L1247" s="708">
        <v>1</v>
      </c>
      <c r="M1247" s="709">
        <f t="shared" si="1123"/>
        <v>6</v>
      </c>
      <c r="N1247" s="362">
        <f t="shared" si="1065"/>
        <v>6</v>
      </c>
      <c r="O1247" s="1763" t="str">
        <f t="shared" si="1066"/>
        <v>2CSF202102R1250</v>
      </c>
      <c r="P1247" s="1764" t="str">
        <f t="shared" si="1067"/>
        <v>Interruptor Diferencial 2x25A - 30mA - clase A (inmunizado) - FH202-A-25A-30mA - marca ABB.</v>
      </c>
      <c r="Q1247" s="120" t="str">
        <f t="shared" si="1068"/>
        <v>FH202-A-25A-30mA</v>
      </c>
      <c r="R1247" s="185"/>
    </row>
    <row r="1248" spans="1:18" s="690" customFormat="1" ht="18" customHeight="1">
      <c r="A1248" s="1785"/>
      <c r="B1248" s="1781">
        <v>1</v>
      </c>
      <c r="C1248" s="1960" t="str">
        <f t="shared" si="1132"/>
        <v>Espacio de reserva monofasica + interruptor diferencial - Riel-Din.</v>
      </c>
      <c r="D1248" s="2006" t="s">
        <v>2926</v>
      </c>
      <c r="E1248" s="1791">
        <f t="shared" si="1133"/>
        <v>2.5</v>
      </c>
      <c r="F1248" s="1782">
        <f t="shared" si="1134"/>
        <v>2.5</v>
      </c>
      <c r="G1248" s="1761"/>
      <c r="H1248" s="1761"/>
      <c r="I1248" s="1761"/>
      <c r="J1248" s="1783"/>
      <c r="K1248" s="684">
        <f t="shared" si="1127"/>
        <v>1</v>
      </c>
      <c r="L1248" s="708">
        <v>1</v>
      </c>
      <c r="M1248" s="709">
        <f t="shared" si="1123"/>
        <v>1</v>
      </c>
      <c r="N1248" s="362" t="str">
        <f t="shared" si="1065"/>
        <v/>
      </c>
      <c r="O1248" s="1763" t="str">
        <f t="shared" si="1066"/>
        <v/>
      </c>
      <c r="P1248" s="1764" t="str">
        <f t="shared" si="1067"/>
        <v/>
      </c>
      <c r="Q1248" s="120" t="str">
        <f t="shared" si="1068"/>
        <v/>
      </c>
      <c r="R1248" s="185"/>
    </row>
    <row r="1249" spans="1:20" s="695" customFormat="1">
      <c r="A1249" s="687"/>
      <c r="B1249" s="1967">
        <v>1</v>
      </c>
      <c r="C1249" s="1946">
        <v>18</v>
      </c>
      <c r="D1249" s="1582"/>
      <c r="E1249" s="2000">
        <v>59</v>
      </c>
      <c r="F1249" s="1968">
        <f t="shared" si="1134"/>
        <v>59</v>
      </c>
      <c r="G1249" s="1969"/>
      <c r="H1249" s="1969"/>
      <c r="I1249" s="1969"/>
      <c r="J1249" s="1970"/>
      <c r="K1249" s="684">
        <f t="shared" si="1127"/>
        <v>1</v>
      </c>
      <c r="L1249" s="363">
        <v>1</v>
      </c>
      <c r="M1249" s="709">
        <f t="shared" si="1123"/>
        <v>1</v>
      </c>
      <c r="N1249" s="362" t="str">
        <f t="shared" si="1065"/>
        <v/>
      </c>
      <c r="O1249" s="1763" t="str">
        <f t="shared" si="1066"/>
        <v/>
      </c>
      <c r="P1249" s="1764" t="str">
        <f t="shared" si="1067"/>
        <v/>
      </c>
      <c r="Q1249" s="120" t="str">
        <f t="shared" si="1068"/>
        <v/>
      </c>
    </row>
    <row r="1250" spans="1:20" s="185" customFormat="1">
      <c r="A1250" s="1785"/>
      <c r="B1250" s="714"/>
      <c r="C1250" s="1893" t="s">
        <v>729</v>
      </c>
      <c r="D1250" s="1941"/>
      <c r="E1250" s="1786"/>
      <c r="F1250" s="1787"/>
      <c r="G1250" s="710"/>
      <c r="H1250" s="710"/>
      <c r="I1250" s="710"/>
      <c r="J1250" s="711"/>
      <c r="K1250" s="684">
        <f t="shared" si="1127"/>
        <v>1</v>
      </c>
      <c r="L1250" s="363">
        <v>1</v>
      </c>
      <c r="M1250" s="709">
        <f t="shared" si="1123"/>
        <v>1</v>
      </c>
      <c r="N1250" s="362" t="str">
        <f t="shared" si="1065"/>
        <v/>
      </c>
      <c r="O1250" s="1763" t="str">
        <f t="shared" si="1066"/>
        <v/>
      </c>
      <c r="P1250" s="1764" t="str">
        <f t="shared" si="1067"/>
        <v/>
      </c>
      <c r="Q1250" s="120" t="str">
        <f t="shared" si="1068"/>
        <v/>
      </c>
    </row>
    <row r="1251" spans="1:20" s="690" customFormat="1" ht="18" customHeight="1">
      <c r="A1251" s="1785"/>
      <c r="B1251" s="1851"/>
      <c r="C1251" s="1966" t="s">
        <v>12547</v>
      </c>
      <c r="D1251" s="1582"/>
      <c r="E1251" s="1780"/>
      <c r="F1251" s="1782"/>
      <c r="G1251" s="1761"/>
      <c r="H1251" s="1761"/>
      <c r="I1251" s="1761"/>
      <c r="J1251" s="689"/>
      <c r="K1251" s="684">
        <f t="shared" si="1127"/>
        <v>1</v>
      </c>
      <c r="L1251" s="708">
        <v>1</v>
      </c>
      <c r="M1251" s="709">
        <f t="shared" si="1123"/>
        <v>1</v>
      </c>
      <c r="N1251" s="362" t="str">
        <f t="shared" si="1065"/>
        <v/>
      </c>
      <c r="O1251" s="1763" t="str">
        <f t="shared" si="1066"/>
        <v/>
      </c>
      <c r="P1251" s="1764" t="str">
        <f t="shared" si="1067"/>
        <v/>
      </c>
      <c r="Q1251" s="120" t="str">
        <f t="shared" si="1068"/>
        <v/>
      </c>
      <c r="R1251" s="185"/>
    </row>
    <row r="1252" spans="1:20" s="2434" customFormat="1" ht="18.75" customHeight="1">
      <c r="A1252" s="2462"/>
      <c r="B1252" s="2435">
        <v>1</v>
      </c>
      <c r="C1252" s="2436" t="str">
        <f t="shared" ref="C1252:C1253" si="1135">VLOOKUP(D1252,base_datos,6,FALSE)</f>
        <v>ITM Caja Moldeada 3x32A (reg.[0.7-1.0] In) - XT1B160-32A-3P-TMD - 25kA@230Vac, 18kA@415Vac, 18kA@250Vdc - marca ABB.</v>
      </c>
      <c r="D1252" s="2483" t="s">
        <v>4364</v>
      </c>
      <c r="E1252" s="2482">
        <f t="shared" ref="E1252:E1253" si="1136">VLOOKUP(D1252,base_datos,5,FALSE)</f>
        <v>120.37</v>
      </c>
      <c r="F1252" s="2422">
        <f t="shared" ref="F1252:F1253" si="1137">+E1252*B1252</f>
        <v>120.37</v>
      </c>
      <c r="G1252" s="2424"/>
      <c r="H1252" s="2424"/>
      <c r="I1252" s="2424"/>
      <c r="J1252" s="2425"/>
      <c r="K1252" s="2426">
        <f t="shared" si="1127"/>
        <v>1</v>
      </c>
      <c r="L1252" s="2463">
        <v>1</v>
      </c>
      <c r="M1252" s="2428">
        <f t="shared" ref="M1252:M1253" si="1138">IF(B1252="",1,B1252)</f>
        <v>1</v>
      </c>
      <c r="N1252" s="2429">
        <f t="shared" ref="N1252:N1253" si="1139">IF(O1252&lt;&gt;"",K1252*L1252*M1252,"")</f>
        <v>1</v>
      </c>
      <c r="O1252" s="2430" t="str">
        <f t="shared" ref="O1252:O1253" si="1140">IF(D1252&lt;&gt;"",IF(VLOOKUP(D1252,base_datos,7,FALSE)&lt;&gt;"",VLOOKUP(D1252,base_datos,7,FALSE),""),"")</f>
        <v>1SDA066802R1</v>
      </c>
      <c r="P1252" s="2431" t="str">
        <f t="shared" ref="P1252:P1253" si="1141">IF(O1252&lt;&gt;"",VLOOKUP(D1252,base_datos,6,FALSE),"")</f>
        <v>ITM Caja Moldeada 3x32A (reg.[0.7-1.0] In) - XT1B160-32A-3P-TMD - 25kA@230Vac, 18kA@415Vac, 18kA@250Vdc - marca ABB.</v>
      </c>
      <c r="Q1252" s="2432" t="str">
        <f t="shared" ref="Q1252:Q1253" si="1142">IF(O1252&lt;&gt;"",D1252,"")</f>
        <v>XT1B160-32A-3P-TMD</v>
      </c>
      <c r="R1252" s="2433"/>
    </row>
    <row r="1253" spans="1:20" s="2434" customFormat="1" ht="18" customHeight="1">
      <c r="A1253" s="2462"/>
      <c r="B1253" s="2435">
        <v>1</v>
      </c>
      <c r="C1253" s="2436" t="str">
        <f t="shared" si="1135"/>
        <v>ITM Caja Moldeada 2x16A - A1N/P125-16A-2P-TMF - 50kA@230Vac, 36kA@400Vac, 10kA@125Vdc - marca ABB.</v>
      </c>
      <c r="D1253" s="2483" t="s">
        <v>1172</v>
      </c>
      <c r="E1253" s="2482">
        <f t="shared" si="1136"/>
        <v>59.769999999999996</v>
      </c>
      <c r="F1253" s="2422">
        <f t="shared" si="1137"/>
        <v>59.769999999999996</v>
      </c>
      <c r="G1253" s="2424"/>
      <c r="H1253" s="2424"/>
      <c r="I1253" s="2424"/>
      <c r="J1253" s="2425"/>
      <c r="K1253" s="2426">
        <f>+K1249</f>
        <v>1</v>
      </c>
      <c r="L1253" s="2463">
        <v>1</v>
      </c>
      <c r="M1253" s="2428">
        <f t="shared" si="1138"/>
        <v>1</v>
      </c>
      <c r="N1253" s="2429">
        <f t="shared" si="1139"/>
        <v>1</v>
      </c>
      <c r="O1253" s="2430" t="str">
        <f t="shared" si="1140"/>
        <v>1SDA069551R1</v>
      </c>
      <c r="P1253" s="2431" t="str">
        <f t="shared" si="1141"/>
        <v>ITM Caja Moldeada 2x16A - A1N/P125-16A-2P-TMF - 50kA@230Vac, 36kA@400Vac, 10kA@125Vdc - marca ABB.</v>
      </c>
      <c r="Q1253" s="2432" t="str">
        <f t="shared" si="1142"/>
        <v>A1N/P125-16A-2P-TMF</v>
      </c>
      <c r="R1253" s="2433"/>
    </row>
    <row r="1254" spans="1:20" s="690" customFormat="1" ht="18" customHeight="1">
      <c r="A1254" s="1785"/>
      <c r="B1254" s="1781">
        <v>10</v>
      </c>
      <c r="C1254" s="1960" t="str">
        <f t="shared" ref="C1254:C1256" si="1143">VLOOKUP(D1254,base_datos,6,FALSE)</f>
        <v>ITM Riel-Din 2x16A - S202-C-16A - 10kA@400Vac-IEC60947-2 - marca ABB.</v>
      </c>
      <c r="D1254" s="2007" t="s">
        <v>970</v>
      </c>
      <c r="E1254" s="1791">
        <f t="shared" ref="E1254:E1256" si="1144">VLOOKUP(D1254,base_datos,5,FALSE)</f>
        <v>17.96</v>
      </c>
      <c r="F1254" s="1782">
        <f t="shared" ref="F1254:F1257" si="1145">+E1254*B1254</f>
        <v>179.60000000000002</v>
      </c>
      <c r="G1254" s="1761"/>
      <c r="H1254" s="1761"/>
      <c r="I1254" s="1761"/>
      <c r="J1254" s="1783"/>
      <c r="K1254" s="684">
        <f>+K1250</f>
        <v>1</v>
      </c>
      <c r="L1254" s="708">
        <v>1</v>
      </c>
      <c r="M1254" s="709">
        <f t="shared" si="1123"/>
        <v>10</v>
      </c>
      <c r="N1254" s="362">
        <f t="shared" si="1065"/>
        <v>10</v>
      </c>
      <c r="O1254" s="1763" t="str">
        <f t="shared" si="1066"/>
        <v>2CDS252001R0164</v>
      </c>
      <c r="P1254" s="1764" t="str">
        <f t="shared" si="1067"/>
        <v>ITM Riel-Din 2x16A - S202-C-16A - 10kA@400Vac-IEC60947-2 - marca ABB.</v>
      </c>
      <c r="Q1254" s="120" t="str">
        <f t="shared" si="1068"/>
        <v>S202-C-16A</v>
      </c>
      <c r="R1254" s="185"/>
    </row>
    <row r="1255" spans="1:20" s="690" customFormat="1" ht="18" customHeight="1">
      <c r="A1255" s="1785"/>
      <c r="B1255" s="2023">
        <v>10</v>
      </c>
      <c r="C1255" s="2041" t="str">
        <f t="shared" si="1143"/>
        <v>Interruptor Diferencial 2x25A - 30mA - clase A (inmunizado) - FH202-A-25A-30mA - marca ABB.</v>
      </c>
      <c r="D1255" s="2006" t="s">
        <v>5318</v>
      </c>
      <c r="E1255" s="2025">
        <f t="shared" si="1144"/>
        <v>50</v>
      </c>
      <c r="F1255" s="2026">
        <f t="shared" si="1145"/>
        <v>500</v>
      </c>
      <c r="G1255" s="1761"/>
      <c r="H1255" s="1761"/>
      <c r="I1255" s="1761"/>
      <c r="J1255" s="1783"/>
      <c r="K1255" s="684">
        <f>+K1251</f>
        <v>1</v>
      </c>
      <c r="L1255" s="708">
        <v>1</v>
      </c>
      <c r="M1255" s="709">
        <f t="shared" si="1123"/>
        <v>10</v>
      </c>
      <c r="N1255" s="362">
        <f t="shared" si="1065"/>
        <v>10</v>
      </c>
      <c r="O1255" s="1763" t="str">
        <f t="shared" si="1066"/>
        <v>2CSF202102R1250</v>
      </c>
      <c r="P1255" s="1764" t="str">
        <f t="shared" si="1067"/>
        <v>Interruptor Diferencial 2x25A - 30mA - clase A (inmunizado) - FH202-A-25A-30mA - marca ABB.</v>
      </c>
      <c r="Q1255" s="120" t="str">
        <f t="shared" si="1068"/>
        <v>FH202-A-25A-30mA</v>
      </c>
      <c r="R1255" s="185"/>
    </row>
    <row r="1256" spans="1:20" s="690" customFormat="1" ht="18" customHeight="1">
      <c r="A1256" s="1785"/>
      <c r="B1256" s="1781">
        <v>2</v>
      </c>
      <c r="C1256" s="1960" t="str">
        <f t="shared" si="1143"/>
        <v>Espacio de reserva monofasica + interruptor diferencial - Riel-Din.</v>
      </c>
      <c r="D1256" s="2006" t="s">
        <v>2926</v>
      </c>
      <c r="E1256" s="1791">
        <f t="shared" si="1144"/>
        <v>2.5</v>
      </c>
      <c r="F1256" s="1782">
        <f t="shared" si="1145"/>
        <v>5</v>
      </c>
      <c r="G1256" s="1761"/>
      <c r="H1256" s="1761"/>
      <c r="I1256" s="1761"/>
      <c r="J1256" s="1783"/>
      <c r="K1256" s="684">
        <f>+K1252</f>
        <v>1</v>
      </c>
      <c r="L1256" s="708">
        <v>1</v>
      </c>
      <c r="M1256" s="709">
        <f t="shared" si="1123"/>
        <v>2</v>
      </c>
      <c r="N1256" s="362" t="str">
        <f t="shared" si="1065"/>
        <v/>
      </c>
      <c r="O1256" s="1763" t="str">
        <f t="shared" si="1066"/>
        <v/>
      </c>
      <c r="P1256" s="1764" t="str">
        <f t="shared" si="1067"/>
        <v/>
      </c>
      <c r="Q1256" s="120" t="str">
        <f t="shared" si="1068"/>
        <v/>
      </c>
      <c r="R1256" s="185"/>
    </row>
    <row r="1257" spans="1:20" s="695" customFormat="1">
      <c r="A1257" s="687"/>
      <c r="B1257" s="1967">
        <v>1</v>
      </c>
      <c r="C1257" s="1946">
        <v>30</v>
      </c>
      <c r="D1257" s="1582"/>
      <c r="E1257" s="2000">
        <v>81</v>
      </c>
      <c r="F1257" s="1968">
        <f t="shared" si="1145"/>
        <v>81</v>
      </c>
      <c r="G1257" s="1969"/>
      <c r="H1257" s="1969"/>
      <c r="I1257" s="1969"/>
      <c r="J1257" s="1970"/>
      <c r="K1257" s="684">
        <f t="shared" si="1127"/>
        <v>1</v>
      </c>
      <c r="L1257" s="363">
        <v>1</v>
      </c>
      <c r="M1257" s="709">
        <f t="shared" si="1123"/>
        <v>1</v>
      </c>
      <c r="N1257" s="362" t="str">
        <f t="shared" si="1065"/>
        <v/>
      </c>
      <c r="O1257" s="1763" t="str">
        <f t="shared" si="1066"/>
        <v/>
      </c>
      <c r="P1257" s="1764" t="str">
        <f t="shared" si="1067"/>
        <v/>
      </c>
      <c r="Q1257" s="120" t="str">
        <f t="shared" si="1068"/>
        <v/>
      </c>
    </row>
    <row r="1258" spans="1:20" s="185" customFormat="1">
      <c r="A1258" s="1785"/>
      <c r="B1258" s="714"/>
      <c r="C1258" s="1893" t="s">
        <v>729</v>
      </c>
      <c r="D1258" s="1941"/>
      <c r="E1258" s="1786"/>
      <c r="F1258" s="1787"/>
      <c r="G1258" s="710"/>
      <c r="H1258" s="710"/>
      <c r="I1258" s="710"/>
      <c r="J1258" s="711"/>
      <c r="K1258" s="684">
        <f t="shared" si="1127"/>
        <v>1</v>
      </c>
      <c r="L1258" s="363">
        <v>1</v>
      </c>
      <c r="M1258" s="709">
        <f t="shared" si="1123"/>
        <v>1</v>
      </c>
      <c r="N1258" s="362" t="str">
        <f t="shared" si="1065"/>
        <v/>
      </c>
      <c r="O1258" s="1763" t="str">
        <f t="shared" si="1066"/>
        <v/>
      </c>
      <c r="P1258" s="1764" t="str">
        <f t="shared" si="1067"/>
        <v/>
      </c>
      <c r="Q1258" s="120" t="str">
        <f t="shared" si="1068"/>
        <v/>
      </c>
    </row>
    <row r="1259" spans="1:20" s="185" customFormat="1">
      <c r="A1259" s="2027"/>
      <c r="B1259" s="2028">
        <v>1</v>
      </c>
      <c r="C1259" s="1907" t="s">
        <v>9430</v>
      </c>
      <c r="D1259" s="1935"/>
      <c r="E1259" s="1786"/>
      <c r="F1259" s="2029">
        <f>SUM(F1260:F1262)*(B1259-1)</f>
        <v>0</v>
      </c>
      <c r="G1259" s="710"/>
      <c r="H1259" s="710"/>
      <c r="I1259" s="710"/>
      <c r="J1259" s="832"/>
      <c r="K1259" s="684">
        <f t="shared" si="1127"/>
        <v>1</v>
      </c>
      <c r="L1259" s="1909">
        <f>B1259</f>
        <v>1</v>
      </c>
      <c r="M1259" s="709"/>
      <c r="N1259" s="362" t="str">
        <f t="shared" si="1065"/>
        <v/>
      </c>
      <c r="O1259" s="1763" t="str">
        <f t="shared" si="1066"/>
        <v/>
      </c>
      <c r="P1259" s="1764" t="str">
        <f t="shared" si="1067"/>
        <v/>
      </c>
      <c r="Q1259" s="120" t="str">
        <f t="shared" si="1068"/>
        <v/>
      </c>
    </row>
    <row r="1260" spans="1:20" s="315" customFormat="1">
      <c r="A1260" s="1785"/>
      <c r="B1260" s="842">
        <v>3</v>
      </c>
      <c r="C1260" s="843" t="str">
        <f t="shared" ref="C1260:C1262" si="1146">VLOOKUP(D1260,base_datos,6,FALSE)</f>
        <v>ITM Riel-Din 3x32A - S203-C-32A - 10kA@400Vac-IEC60947-2 - marca ABB.</v>
      </c>
      <c r="D1260" s="1790" t="s">
        <v>981</v>
      </c>
      <c r="E1260" s="1795">
        <f t="shared" ref="E1260:E1262" si="1147">VLOOKUP(D1260,base_datos,5,FALSE)</f>
        <v>33.04</v>
      </c>
      <c r="F1260" s="1796">
        <f>+E1260*B1260</f>
        <v>99.12</v>
      </c>
      <c r="G1260" s="712"/>
      <c r="H1260" s="712"/>
      <c r="I1260" s="712"/>
      <c r="J1260" s="713"/>
      <c r="K1260" s="684">
        <f t="shared" si="1127"/>
        <v>1</v>
      </c>
      <c r="L1260" s="1913">
        <f>L1259</f>
        <v>1</v>
      </c>
      <c r="M1260" s="684">
        <f t="shared" ref="M1260:M1262" si="1148">IF(B1260="",1,B1260)</f>
        <v>3</v>
      </c>
      <c r="N1260" s="362">
        <f t="shared" si="1065"/>
        <v>3</v>
      </c>
      <c r="O1260" s="1763" t="str">
        <f t="shared" si="1066"/>
        <v>2CDS253001R0324</v>
      </c>
      <c r="P1260" s="1764" t="str">
        <f t="shared" si="1067"/>
        <v>ITM Riel-Din 3x32A - S203-C-32A - 10kA@400Vac-IEC60947-2 - marca ABB.</v>
      </c>
      <c r="Q1260" s="120" t="str">
        <f t="shared" si="1068"/>
        <v>S203-C-32A</v>
      </c>
      <c r="R1260" s="185"/>
    </row>
    <row r="1261" spans="1:20" s="1921" customFormat="1">
      <c r="A1261" s="1934"/>
      <c r="B1261" s="2030">
        <v>1</v>
      </c>
      <c r="C1261" s="2031" t="str">
        <f t="shared" ref="C1261" si="1149">VLOOKUP(D1261,base_datos,6,FALSE)</f>
        <v>"Peine" trifásico para 12 polos.</v>
      </c>
      <c r="D1261" s="2032" t="s">
        <v>2968</v>
      </c>
      <c r="E1261" s="2033">
        <f t="shared" ref="E1261" si="1150">VLOOKUP(D1261,base_datos,5,FALSE)</f>
        <v>13.872455902306646</v>
      </c>
      <c r="F1261" s="2034">
        <f t="shared" ref="F1261:F1262" si="1151">+E1261*B1261</f>
        <v>13.872455902306646</v>
      </c>
      <c r="G1261" s="2035"/>
      <c r="H1261" s="2035"/>
      <c r="I1261" s="2035"/>
      <c r="J1261" s="2036"/>
      <c r="K1261" s="684">
        <f t="shared" si="1127"/>
        <v>1</v>
      </c>
      <c r="L1261" s="1913">
        <f>L1259</f>
        <v>1</v>
      </c>
      <c r="M1261" s="684">
        <f t="shared" si="1148"/>
        <v>1</v>
      </c>
      <c r="N1261" s="362" t="str">
        <f t="shared" si="1065"/>
        <v/>
      </c>
      <c r="O1261" s="1763" t="str">
        <f t="shared" si="1066"/>
        <v/>
      </c>
      <c r="P1261" s="1764" t="str">
        <f t="shared" si="1067"/>
        <v/>
      </c>
      <c r="Q1261" s="120" t="str">
        <f t="shared" si="1068"/>
        <v/>
      </c>
      <c r="R1261" s="185"/>
    </row>
    <row r="1262" spans="1:20" s="1921" customFormat="1">
      <c r="A1262" s="1934"/>
      <c r="B1262" s="2030">
        <v>9</v>
      </c>
      <c r="C1262" s="2031" t="str">
        <f t="shared" si="1146"/>
        <v>Borne 4mm2.</v>
      </c>
      <c r="D1262" s="2032" t="s">
        <v>437</v>
      </c>
      <c r="E1262" s="2033">
        <f t="shared" si="1147"/>
        <v>2.5</v>
      </c>
      <c r="F1262" s="2034">
        <f t="shared" si="1151"/>
        <v>22.5</v>
      </c>
      <c r="G1262" s="2035"/>
      <c r="H1262" s="2035"/>
      <c r="I1262" s="2035"/>
      <c r="J1262" s="2036"/>
      <c r="K1262" s="684">
        <f t="shared" si="1127"/>
        <v>1</v>
      </c>
      <c r="L1262" s="1913">
        <f>L1260</f>
        <v>1</v>
      </c>
      <c r="M1262" s="684">
        <f t="shared" si="1148"/>
        <v>9</v>
      </c>
      <c r="N1262" s="362" t="str">
        <f t="shared" si="1065"/>
        <v/>
      </c>
      <c r="O1262" s="1763" t="str">
        <f t="shared" si="1066"/>
        <v/>
      </c>
      <c r="P1262" s="1764" t="str">
        <f t="shared" si="1067"/>
        <v/>
      </c>
      <c r="Q1262" s="120" t="str">
        <f t="shared" si="1068"/>
        <v/>
      </c>
      <c r="R1262" s="185"/>
    </row>
    <row r="1263" spans="1:20" s="185" customFormat="1">
      <c r="A1263" s="2037"/>
      <c r="B1263" s="714"/>
      <c r="C1263" s="313" t="s">
        <v>729</v>
      </c>
      <c r="D1263" s="173"/>
      <c r="E1263" s="1786"/>
      <c r="F1263" s="1787"/>
      <c r="G1263" s="710"/>
      <c r="H1263" s="710"/>
      <c r="I1263" s="710"/>
      <c r="J1263" s="711"/>
      <c r="K1263" s="684">
        <f t="shared" si="1127"/>
        <v>1</v>
      </c>
      <c r="L1263" s="363">
        <v>1</v>
      </c>
      <c r="M1263" s="684">
        <f>IF(B1263="",1,B1263)</f>
        <v>1</v>
      </c>
      <c r="N1263" s="362" t="str">
        <f t="shared" si="1065"/>
        <v/>
      </c>
      <c r="O1263" s="1763" t="str">
        <f t="shared" si="1066"/>
        <v/>
      </c>
      <c r="P1263" s="1764" t="str">
        <f t="shared" si="1067"/>
        <v/>
      </c>
      <c r="Q1263" s="120" t="str">
        <f t="shared" si="1068"/>
        <v/>
      </c>
    </row>
    <row r="1264" spans="1:20" s="315" customFormat="1" ht="18.75" customHeight="1">
      <c r="A1264" s="2271"/>
      <c r="B1264" s="2272">
        <v>1</v>
      </c>
      <c r="C1264" s="2281" t="s">
        <v>13366</v>
      </c>
      <c r="D1264" s="1935"/>
      <c r="E1264" s="2287"/>
      <c r="F1264" s="2257"/>
      <c r="G1264" s="712"/>
      <c r="H1264" s="712"/>
      <c r="I1264" s="712"/>
      <c r="J1264" s="713"/>
      <c r="K1264" s="684">
        <f t="shared" si="1127"/>
        <v>1</v>
      </c>
      <c r="L1264" s="708">
        <v>1</v>
      </c>
      <c r="M1264" s="709">
        <f t="shared" ref="M1264:M1269" si="1152">IF(B1264="",1,B1264)</f>
        <v>1</v>
      </c>
      <c r="N1264" s="112" t="str">
        <f t="shared" ref="N1264:N1269" si="1153">IF(O1264&lt;&gt;"",K1264*L1264*M1264,"")</f>
        <v/>
      </c>
      <c r="O1264" s="112" t="str">
        <f t="shared" ref="O1264:O1269" si="1154">IF(D1264&lt;&gt;"",IF(VLOOKUP(D1264,base_datos,7,FALSE)&lt;&gt;"",VLOOKUP(D1264,base_datos,7,FALSE),""),"")</f>
        <v/>
      </c>
      <c r="P1264" s="120" t="str">
        <f t="shared" ref="P1264:P1269" si="1155">IF(O1264&lt;&gt;"",VLOOKUP(D1264,base_datos,6,FALSE),"")</f>
        <v/>
      </c>
      <c r="Q1264" s="120" t="str">
        <f t="shared" ref="Q1264:Q1269" si="1156">IF(O1264&lt;&gt;"",D1264,"")</f>
        <v/>
      </c>
      <c r="S1264" s="112" t="str">
        <f t="shared" ref="S1264:S1269" si="1157">IF(O1264&lt;&gt;"",VLOOKUP(D1264,base_datos,9,FALSE),"")</f>
        <v/>
      </c>
      <c r="T1264" s="2128"/>
    </row>
    <row r="1265" spans="1:20" s="690" customFormat="1" ht="18" customHeight="1">
      <c r="A1265" s="2273"/>
      <c r="B1265" s="1781">
        <v>1</v>
      </c>
      <c r="C1265" s="1420" t="str">
        <f t="shared" ref="C1265:C1268" si="1158">VLOOKUP(D1265,base_datos,6,FALSE)</f>
        <v>Calefactor resistivo 60W, modelo RACM - marca FANDIS.</v>
      </c>
      <c r="D1265" s="1899" t="s">
        <v>3298</v>
      </c>
      <c r="E1265" s="2288">
        <f t="shared" ref="E1265" si="1159">VLOOKUP(D1265,base_datos,5,FALSE)</f>
        <v>127.1</v>
      </c>
      <c r="F1265" s="1782">
        <f>+E1265*B1265</f>
        <v>127.1</v>
      </c>
      <c r="G1265" s="1761"/>
      <c r="H1265" s="1761"/>
      <c r="I1265" s="1761"/>
      <c r="J1265" s="689"/>
      <c r="K1265" s="684">
        <f t="shared" si="1127"/>
        <v>1</v>
      </c>
      <c r="L1265" s="708">
        <v>1</v>
      </c>
      <c r="M1265" s="709">
        <f t="shared" si="1152"/>
        <v>1</v>
      </c>
      <c r="N1265" s="112">
        <f t="shared" si="1153"/>
        <v>1</v>
      </c>
      <c r="O1265" s="112" t="str">
        <f t="shared" si="1154"/>
        <v>RACM-60</v>
      </c>
      <c r="P1265" s="120" t="str">
        <f t="shared" si="1155"/>
        <v>Calefactor resistivo 60W, modelo RACM - marca FANDIS.</v>
      </c>
      <c r="Q1265" s="120" t="str">
        <f t="shared" si="1156"/>
        <v>CALEFACT-60W_FAND</v>
      </c>
      <c r="S1265" s="112" t="str">
        <f t="shared" si="1157"/>
        <v>FANDIS</v>
      </c>
      <c r="T1265" s="1765"/>
    </row>
    <row r="1266" spans="1:20" s="690" customFormat="1" ht="18" customHeight="1">
      <c r="A1266" s="2273"/>
      <c r="B1266" s="1781">
        <v>1</v>
      </c>
      <c r="C1266" s="1420" t="str">
        <f t="shared" si="1158"/>
        <v>Termostato para ventilación - 1NA - 230V - marca FANDIS.</v>
      </c>
      <c r="D1266" s="1899" t="s">
        <v>3294</v>
      </c>
      <c r="E1266" s="2288">
        <f t="shared" ref="E1266:E1268" si="1160">VLOOKUP(D1266,base_datos,5,FALSE)</f>
        <v>41.58</v>
      </c>
      <c r="F1266" s="1782">
        <f>+E1266*B1266</f>
        <v>41.58</v>
      </c>
      <c r="G1266" s="1761"/>
      <c r="H1266" s="1761"/>
      <c r="I1266" s="1761"/>
      <c r="J1266" s="689"/>
      <c r="K1266" s="684">
        <f t="shared" si="1127"/>
        <v>1</v>
      </c>
      <c r="L1266" s="708">
        <v>1</v>
      </c>
      <c r="M1266" s="709">
        <f t="shared" si="1152"/>
        <v>1</v>
      </c>
      <c r="N1266" s="112">
        <f t="shared" si="1153"/>
        <v>1</v>
      </c>
      <c r="O1266" s="112" t="str">
        <f t="shared" si="1154"/>
        <v>TRT-10A230V-NO</v>
      </c>
      <c r="P1266" s="120" t="str">
        <f t="shared" si="1155"/>
        <v>Termostato para ventilación - 1NA - 230V - marca FANDIS.</v>
      </c>
      <c r="Q1266" s="120" t="str">
        <f t="shared" si="1156"/>
        <v>TRT-1NA</v>
      </c>
      <c r="S1266" s="112" t="str">
        <f t="shared" si="1157"/>
        <v>FANDIS</v>
      </c>
      <c r="T1266" s="1765"/>
    </row>
    <row r="1267" spans="1:20" s="320" customFormat="1" ht="12.75" customHeight="1">
      <c r="A1267" s="2274"/>
      <c r="B1267" s="2275">
        <v>1</v>
      </c>
      <c r="C1267" s="2282" t="str">
        <f t="shared" si="1158"/>
        <v>Base portafusibles + Fusibles de protección para control.</v>
      </c>
      <c r="D1267" s="1579" t="s">
        <v>453</v>
      </c>
      <c r="E1267" s="2289">
        <f t="shared" si="1160"/>
        <v>8.1750000000000007</v>
      </c>
      <c r="F1267" s="2264">
        <f>+E1267*B1267</f>
        <v>8.1750000000000007</v>
      </c>
      <c r="G1267" s="2276"/>
      <c r="H1267" s="2276"/>
      <c r="I1267" s="2276"/>
      <c r="J1267" s="722"/>
      <c r="K1267" s="684">
        <f t="shared" si="1127"/>
        <v>1</v>
      </c>
      <c r="L1267" s="708">
        <v>1</v>
      </c>
      <c r="M1267" s="709">
        <f t="shared" si="1152"/>
        <v>1</v>
      </c>
      <c r="N1267" s="112" t="str">
        <f t="shared" si="1153"/>
        <v/>
      </c>
      <c r="O1267" s="112" t="str">
        <f t="shared" si="1154"/>
        <v/>
      </c>
      <c r="P1267" s="120" t="str">
        <f t="shared" si="1155"/>
        <v/>
      </c>
      <c r="Q1267" s="120" t="str">
        <f t="shared" si="1156"/>
        <v/>
      </c>
      <c r="R1267" s="185"/>
      <c r="S1267" s="112" t="str">
        <f t="shared" si="1157"/>
        <v/>
      </c>
      <c r="T1267" s="709"/>
    </row>
    <row r="1268" spans="1:20" s="320" customFormat="1" ht="12.75" customHeight="1">
      <c r="A1268" s="2274"/>
      <c r="B1268" s="2277">
        <v>1</v>
      </c>
      <c r="C1268" s="2282" t="str">
        <f t="shared" si="1158"/>
        <v>Borne 4mm2.</v>
      </c>
      <c r="D1268" s="1579" t="s">
        <v>437</v>
      </c>
      <c r="E1268" s="2260">
        <f t="shared" si="1160"/>
        <v>2.5</v>
      </c>
      <c r="F1268" s="2260">
        <f>+E1268*B1268</f>
        <v>2.5</v>
      </c>
      <c r="G1268" s="2276"/>
      <c r="H1268" s="2276"/>
      <c r="I1268" s="2276"/>
      <c r="J1268" s="722"/>
      <c r="K1268" s="684">
        <f t="shared" si="1127"/>
        <v>1</v>
      </c>
      <c r="L1268" s="708">
        <v>1</v>
      </c>
      <c r="M1268" s="709">
        <f t="shared" si="1152"/>
        <v>1</v>
      </c>
      <c r="N1268" s="112" t="str">
        <f t="shared" si="1153"/>
        <v/>
      </c>
      <c r="O1268" s="112" t="str">
        <f t="shared" si="1154"/>
        <v/>
      </c>
      <c r="P1268" s="120" t="str">
        <f t="shared" si="1155"/>
        <v/>
      </c>
      <c r="Q1268" s="120" t="str">
        <f t="shared" si="1156"/>
        <v/>
      </c>
      <c r="R1268" s="185"/>
      <c r="S1268" s="112" t="str">
        <f t="shared" si="1157"/>
        <v/>
      </c>
      <c r="T1268" s="709"/>
    </row>
    <row r="1269" spans="1:20" s="185" customFormat="1" ht="12.75" customHeight="1">
      <c r="A1269" s="2262"/>
      <c r="B1269" s="1760"/>
      <c r="C1269" s="1893" t="s">
        <v>729</v>
      </c>
      <c r="D1269" s="169"/>
      <c r="E1269" s="2256"/>
      <c r="F1269" s="2278"/>
      <c r="G1269" s="710"/>
      <c r="H1269" s="710"/>
      <c r="I1269" s="710"/>
      <c r="J1269" s="711"/>
      <c r="K1269" s="684">
        <f t="shared" si="1127"/>
        <v>1</v>
      </c>
      <c r="L1269" s="708">
        <v>1</v>
      </c>
      <c r="M1269" s="709">
        <f t="shared" si="1152"/>
        <v>1</v>
      </c>
      <c r="N1269" s="112" t="str">
        <f t="shared" si="1153"/>
        <v/>
      </c>
      <c r="O1269" s="112" t="str">
        <f t="shared" si="1154"/>
        <v/>
      </c>
      <c r="P1269" s="120" t="str">
        <f t="shared" si="1155"/>
        <v/>
      </c>
      <c r="Q1269" s="120" t="str">
        <f t="shared" si="1156"/>
        <v/>
      </c>
      <c r="S1269" s="112" t="str">
        <f t="shared" si="1157"/>
        <v/>
      </c>
      <c r="T1269" s="118"/>
    </row>
    <row r="1270" spans="1:20" s="1236" customFormat="1" ht="18" customHeight="1">
      <c r="A1270" s="1767"/>
      <c r="B1270" s="1853">
        <v>1</v>
      </c>
      <c r="C1270" s="1895" t="s">
        <v>12364</v>
      </c>
      <c r="D1270" s="1902"/>
      <c r="E1270" s="1792"/>
      <c r="F1270" s="1793"/>
      <c r="G1270" s="1784"/>
      <c r="H1270" s="1784"/>
      <c r="I1270" s="1784"/>
      <c r="J1270" s="1182"/>
      <c r="K1270" s="684">
        <f t="shared" si="1127"/>
        <v>1</v>
      </c>
      <c r="L1270" s="708">
        <v>1</v>
      </c>
      <c r="M1270" s="709">
        <f t="shared" ref="M1270:M1281" si="1161">IF(B1270="",1,B1270)</f>
        <v>1</v>
      </c>
      <c r="N1270" s="362" t="str">
        <f t="shared" si="1065"/>
        <v/>
      </c>
      <c r="O1270" s="1763" t="str">
        <f t="shared" si="1066"/>
        <v/>
      </c>
      <c r="P1270" s="1764" t="str">
        <f t="shared" si="1067"/>
        <v/>
      </c>
      <c r="Q1270" s="120" t="str">
        <f t="shared" si="1068"/>
        <v/>
      </c>
      <c r="R1270" s="185"/>
    </row>
    <row r="1271" spans="1:20" s="695" customFormat="1" ht="18" customHeight="1">
      <c r="A1271" s="693"/>
      <c r="B1271" s="1922">
        <v>1</v>
      </c>
      <c r="C1271" s="1848" t="str">
        <f t="shared" ref="C1271" si="1162">VLOOKUP(D1271,base_datos,6,FALSE)</f>
        <v>Placa lamicoid rotulación de 3mm de espesor, fondo negro y letras blancas.</v>
      </c>
      <c r="D1271" s="1886" t="s">
        <v>8570</v>
      </c>
      <c r="E1271" s="1795">
        <f t="shared" ref="E1271" si="1163">VLOOKUP(D1271,base_datos,5,FALSE)</f>
        <v>2.2000000000000002</v>
      </c>
      <c r="F1271" s="1796">
        <f t="shared" ref="F1271" si="1164">+E1271*B1271</f>
        <v>2.2000000000000002</v>
      </c>
      <c r="G1271" s="696"/>
      <c r="H1271" s="696"/>
      <c r="I1271" s="696"/>
      <c r="J1271" s="697"/>
      <c r="K1271" s="684">
        <f t="shared" si="1127"/>
        <v>1</v>
      </c>
      <c r="L1271" s="708">
        <v>1</v>
      </c>
      <c r="M1271" s="709">
        <f t="shared" si="1161"/>
        <v>1</v>
      </c>
      <c r="N1271" s="362">
        <f t="shared" si="1065"/>
        <v>1</v>
      </c>
      <c r="O1271" s="1763" t="str">
        <f t="shared" si="1066"/>
        <v>Placa lamicoid p/distr.</v>
      </c>
      <c r="P1271" s="1764" t="str">
        <f t="shared" si="1067"/>
        <v>Placa lamicoid rotulación de 3mm de espesor, fondo negro y letras blancas.</v>
      </c>
      <c r="Q1271" s="120" t="str">
        <f t="shared" si="1068"/>
        <v>Placa lamicoid p/distr.</v>
      </c>
      <c r="R1271" s="185"/>
    </row>
    <row r="1272" spans="1:20" s="1236" customFormat="1" ht="18" customHeight="1">
      <c r="A1272" s="1767"/>
      <c r="B1272" s="1853">
        <v>1</v>
      </c>
      <c r="C1272" s="1895" t="s">
        <v>12474</v>
      </c>
      <c r="D1272" s="1902"/>
      <c r="E1272" s="1792"/>
      <c r="F1272" s="1793"/>
      <c r="G1272" s="1784"/>
      <c r="H1272" s="1784"/>
      <c r="I1272" s="1784"/>
      <c r="J1272" s="1182"/>
      <c r="K1272" s="684">
        <f t="shared" si="1127"/>
        <v>1</v>
      </c>
      <c r="L1272" s="708">
        <v>1</v>
      </c>
      <c r="M1272" s="709">
        <f t="shared" si="1161"/>
        <v>1</v>
      </c>
      <c r="N1272" s="362" t="str">
        <f t="shared" si="1065"/>
        <v/>
      </c>
      <c r="O1272" s="1763" t="str">
        <f t="shared" si="1066"/>
        <v/>
      </c>
      <c r="P1272" s="1764" t="str">
        <f t="shared" si="1067"/>
        <v/>
      </c>
      <c r="Q1272" s="120" t="str">
        <f t="shared" si="1068"/>
        <v/>
      </c>
      <c r="R1272" s="185"/>
    </row>
    <row r="1273" spans="1:20" s="1236" customFormat="1" ht="18" customHeight="1">
      <c r="A1273" s="1767"/>
      <c r="B1273" s="1853">
        <v>1</v>
      </c>
      <c r="C1273" s="1848" t="str">
        <f>VLOOKUP(D1273,base_datos,6,FALSE)</f>
        <v>Embalaje especial completamente cerrado para tablero adosado de 1600x600x220mm</v>
      </c>
      <c r="D1273" s="1902" t="s">
        <v>12453</v>
      </c>
      <c r="E1273" s="1795">
        <f t="shared" ref="E1273" si="1165">VLOOKUP(D1273,base_datos,5,FALSE)</f>
        <v>271.40000000000003</v>
      </c>
      <c r="F1273" s="1796">
        <f t="shared" ref="F1273" si="1166">+E1273*B1273</f>
        <v>271.40000000000003</v>
      </c>
      <c r="G1273" s="1784"/>
      <c r="H1273" s="1784"/>
      <c r="I1273" s="1784"/>
      <c r="J1273" s="1182"/>
      <c r="K1273" s="684">
        <f t="shared" si="1127"/>
        <v>1</v>
      </c>
      <c r="L1273" s="708">
        <v>1</v>
      </c>
      <c r="M1273" s="709">
        <f t="shared" si="1161"/>
        <v>1</v>
      </c>
      <c r="N1273" s="362">
        <f t="shared" si="1065"/>
        <v>1</v>
      </c>
      <c r="O1273" s="1763" t="str">
        <f t="shared" si="1066"/>
        <v>EMBAL_ADOS_1600x600x220mm</v>
      </c>
      <c r="P1273" s="1764" t="str">
        <f t="shared" si="1067"/>
        <v>Embalaje especial completamente cerrado para tablero adosado de 1600x600x220mm</v>
      </c>
      <c r="Q1273" s="120" t="str">
        <f t="shared" si="1068"/>
        <v>EMBAL_ADOS_1600x600x220mm</v>
      </c>
      <c r="R1273" s="185"/>
    </row>
    <row r="1274" spans="1:20" s="185" customFormat="1" ht="18" customHeight="1">
      <c r="A1274" s="1785"/>
      <c r="B1274" s="714"/>
      <c r="C1274" s="1893" t="s">
        <v>729</v>
      </c>
      <c r="D1274" s="173"/>
      <c r="E1274" s="1786"/>
      <c r="F1274" s="1787"/>
      <c r="G1274" s="710"/>
      <c r="H1274" s="710"/>
      <c r="I1274" s="710"/>
      <c r="J1274" s="711"/>
      <c r="K1274" s="684">
        <f t="shared" si="1127"/>
        <v>1</v>
      </c>
      <c r="L1274" s="708">
        <v>1</v>
      </c>
      <c r="M1274" s="709">
        <f t="shared" si="1161"/>
        <v>1</v>
      </c>
      <c r="N1274" s="362" t="str">
        <f t="shared" ref="N1274:N1349" si="1167">IF(O1274&lt;&gt;"",K1274*L1274*M1274,"")</f>
        <v/>
      </c>
      <c r="O1274" s="1763" t="str">
        <f t="shared" ref="O1274:O1349" si="1168">IF(D1274&lt;&gt;"",IF(VLOOKUP(D1274,base_datos,7,FALSE)&lt;&gt;"",VLOOKUP(D1274,base_datos,7,FALSE),""),"")</f>
        <v/>
      </c>
      <c r="P1274" s="1764" t="str">
        <f t="shared" ref="P1274:P1349" si="1169">IF(O1274&lt;&gt;"",VLOOKUP(D1274,base_datos,6,FALSE),"")</f>
        <v/>
      </c>
      <c r="Q1274" s="120" t="str">
        <f t="shared" ref="Q1274:Q1349" si="1170">IF(O1274&lt;&gt;"",D1274,"")</f>
        <v/>
      </c>
    </row>
    <row r="1275" spans="1:20" s="695" customFormat="1" ht="18" customHeight="1">
      <c r="A1275" s="693"/>
      <c r="B1275" s="1794">
        <v>1</v>
      </c>
      <c r="C1275" s="1420" t="s">
        <v>316</v>
      </c>
      <c r="D1275" s="1790"/>
      <c r="E1275" s="1795"/>
      <c r="F1275" s="1796"/>
      <c r="G1275" s="696"/>
      <c r="H1275" s="696"/>
      <c r="I1275" s="696"/>
      <c r="J1275" s="697"/>
      <c r="K1275" s="684">
        <f t="shared" si="1127"/>
        <v>1</v>
      </c>
      <c r="L1275" s="708">
        <v>1</v>
      </c>
      <c r="M1275" s="709">
        <f t="shared" si="1161"/>
        <v>1</v>
      </c>
      <c r="N1275" s="362" t="str">
        <f t="shared" si="1167"/>
        <v/>
      </c>
      <c r="O1275" s="1763" t="str">
        <f t="shared" si="1168"/>
        <v/>
      </c>
      <c r="P1275" s="1764" t="str">
        <f t="shared" si="1169"/>
        <v/>
      </c>
      <c r="Q1275" s="120" t="str">
        <f t="shared" si="1170"/>
        <v/>
      </c>
      <c r="R1275" s="185"/>
    </row>
    <row r="1276" spans="1:20" s="185" customFormat="1" ht="18" customHeight="1">
      <c r="A1276" s="1785"/>
      <c r="B1276" s="714"/>
      <c r="C1276" s="1893" t="s">
        <v>729</v>
      </c>
      <c r="D1276" s="173"/>
      <c r="E1276" s="1786"/>
      <c r="F1276" s="1787"/>
      <c r="G1276" s="710"/>
      <c r="H1276" s="710"/>
      <c r="I1276" s="710"/>
      <c r="J1276" s="711"/>
      <c r="K1276" s="684">
        <f t="shared" si="1127"/>
        <v>1</v>
      </c>
      <c r="L1276" s="708">
        <v>1</v>
      </c>
      <c r="M1276" s="709">
        <f t="shared" si="1161"/>
        <v>1</v>
      </c>
      <c r="N1276" s="362" t="str">
        <f t="shared" si="1167"/>
        <v/>
      </c>
      <c r="O1276" s="1763" t="str">
        <f t="shared" si="1168"/>
        <v/>
      </c>
      <c r="P1276" s="1764" t="str">
        <f t="shared" si="1169"/>
        <v/>
      </c>
      <c r="Q1276" s="120" t="str">
        <f t="shared" si="1170"/>
        <v/>
      </c>
    </row>
    <row r="1277" spans="1:20" s="897" customFormat="1" ht="18" customHeight="1">
      <c r="A1277" s="693"/>
      <c r="B1277" s="895">
        <v>45</v>
      </c>
      <c r="C1277" s="1848" t="str">
        <f>VLOOKUP(D1277,base_datos,6,FALSE)</f>
        <v>Rotulado por circuito.</v>
      </c>
      <c r="D1277" s="1579" t="s">
        <v>3067</v>
      </c>
      <c r="E1277" s="1581">
        <f>VLOOKUP(D1277,base_datos,5,FALSE)</f>
        <v>0.7</v>
      </c>
      <c r="F1277" s="1581">
        <f t="shared" ref="F1277:F1281" si="1171">+E1277*B1277</f>
        <v>31.499999999999996</v>
      </c>
      <c r="G1277" s="1772"/>
      <c r="H1277" s="1772"/>
      <c r="I1277" s="1772"/>
      <c r="J1277" s="896"/>
      <c r="K1277" s="684">
        <f t="shared" si="1127"/>
        <v>1</v>
      </c>
      <c r="L1277" s="708">
        <v>1</v>
      </c>
      <c r="M1277" s="709">
        <f t="shared" si="1161"/>
        <v>45</v>
      </c>
      <c r="N1277" s="362" t="str">
        <f t="shared" si="1167"/>
        <v/>
      </c>
      <c r="O1277" s="1763" t="str">
        <f t="shared" si="1168"/>
        <v/>
      </c>
      <c r="P1277" s="1764" t="str">
        <f t="shared" si="1169"/>
        <v/>
      </c>
      <c r="Q1277" s="120" t="str">
        <f t="shared" si="1170"/>
        <v/>
      </c>
    </row>
    <row r="1278" spans="1:20" s="897" customFormat="1" ht="18" customHeight="1">
      <c r="A1278" s="693"/>
      <c r="B1278" s="895">
        <v>1</v>
      </c>
      <c r="C1278" s="1848" t="str">
        <f>VLOOKUP(D1278,base_datos,6,FALSE)</f>
        <v>Rotulado para TAG - tablero de distribución.</v>
      </c>
      <c r="D1278" s="1579" t="s">
        <v>3066</v>
      </c>
      <c r="E1278" s="1581">
        <f>VLOOKUP(D1278,base_datos,5,FALSE)</f>
        <v>1.5</v>
      </c>
      <c r="F1278" s="1581">
        <f t="shared" si="1171"/>
        <v>1.5</v>
      </c>
      <c r="G1278" s="1772"/>
      <c r="H1278" s="1772"/>
      <c r="I1278" s="1772"/>
      <c r="J1278" s="896"/>
      <c r="K1278" s="684">
        <f t="shared" si="1127"/>
        <v>1</v>
      </c>
      <c r="L1278" s="708">
        <v>1</v>
      </c>
      <c r="M1278" s="709">
        <f t="shared" si="1161"/>
        <v>1</v>
      </c>
      <c r="N1278" s="362" t="str">
        <f t="shared" si="1167"/>
        <v/>
      </c>
      <c r="O1278" s="1763" t="str">
        <f t="shared" si="1168"/>
        <v/>
      </c>
      <c r="P1278" s="1764" t="str">
        <f t="shared" si="1169"/>
        <v/>
      </c>
      <c r="Q1278" s="120" t="str">
        <f t="shared" si="1170"/>
        <v/>
      </c>
    </row>
    <row r="1279" spans="1:20" s="1237" customFormat="1" ht="18" customHeight="1">
      <c r="A1279" s="1767"/>
      <c r="B1279" s="2093">
        <v>1</v>
      </c>
      <c r="C1279" s="694" t="s">
        <v>12552</v>
      </c>
      <c r="D1279" s="1888"/>
      <c r="E1279" s="1580">
        <f>E1281*15%</f>
        <v>36</v>
      </c>
      <c r="F1279" s="1581">
        <f t="shared" si="1171"/>
        <v>36</v>
      </c>
      <c r="G1279" s="1774"/>
      <c r="H1279" s="1774"/>
      <c r="I1279" s="1774"/>
      <c r="J1279" s="1181"/>
      <c r="K1279" s="684">
        <f t="shared" si="1127"/>
        <v>1</v>
      </c>
      <c r="L1279" s="708">
        <v>1</v>
      </c>
      <c r="M1279" s="709">
        <f t="shared" si="1161"/>
        <v>1</v>
      </c>
      <c r="N1279" s="362" t="str">
        <f t="shared" ref="N1279:N1280" si="1172">IF(O1279&lt;&gt;"",K1279*L1279*M1279,"")</f>
        <v/>
      </c>
      <c r="O1279" s="1763" t="str">
        <f t="shared" ref="O1279:O1280" si="1173">IF(D1279&lt;&gt;"",IF(VLOOKUP(D1279,base_datos,7,FALSE)&lt;&gt;"",VLOOKUP(D1279,base_datos,7,FALSE),""),"")</f>
        <v/>
      </c>
      <c r="P1279" s="1764" t="str">
        <f t="shared" ref="P1279:P1280" si="1174">IF(O1279&lt;&gt;"",VLOOKUP(D1279,base_datos,6,FALSE),"")</f>
        <v/>
      </c>
      <c r="Q1279" s="120" t="str">
        <f t="shared" ref="Q1279:Q1280" si="1175">IF(O1279&lt;&gt;"",D1279,"")</f>
        <v/>
      </c>
      <c r="R1279" s="1765"/>
    </row>
    <row r="1280" spans="1:20" s="1237" customFormat="1" ht="18" customHeight="1">
      <c r="A1280" s="1767"/>
      <c r="B1280" s="1773">
        <v>1</v>
      </c>
      <c r="C1280" s="694" t="s">
        <v>12559</v>
      </c>
      <c r="D1280" s="1888"/>
      <c r="E1280" s="1999">
        <f>E1281*20%</f>
        <v>48</v>
      </c>
      <c r="F1280" s="1581">
        <f t="shared" si="1171"/>
        <v>48</v>
      </c>
      <c r="G1280" s="1774"/>
      <c r="H1280" s="1774"/>
      <c r="I1280" s="1774"/>
      <c r="J1280" s="1181"/>
      <c r="K1280" s="684">
        <f t="shared" si="1127"/>
        <v>1</v>
      </c>
      <c r="L1280" s="708">
        <v>1</v>
      </c>
      <c r="M1280" s="709">
        <f t="shared" si="1161"/>
        <v>1</v>
      </c>
      <c r="N1280" s="362" t="str">
        <f t="shared" si="1172"/>
        <v/>
      </c>
      <c r="O1280" s="1763" t="str">
        <f t="shared" si="1173"/>
        <v/>
      </c>
      <c r="P1280" s="1764" t="str">
        <f t="shared" si="1174"/>
        <v/>
      </c>
      <c r="Q1280" s="120" t="str">
        <f t="shared" si="1175"/>
        <v/>
      </c>
      <c r="R1280" s="1765"/>
    </row>
    <row r="1281" spans="1:18" s="1237" customFormat="1" ht="18" customHeight="1">
      <c r="A1281" s="1767"/>
      <c r="B1281" s="1773">
        <v>1</v>
      </c>
      <c r="C1281" s="1943" t="s">
        <v>12527</v>
      </c>
      <c r="D1281" s="1897"/>
      <c r="E1281" s="1581">
        <v>240</v>
      </c>
      <c r="F1281" s="1581">
        <f t="shared" si="1171"/>
        <v>240</v>
      </c>
      <c r="G1281" s="1774"/>
      <c r="H1281" s="1774"/>
      <c r="I1281" s="1774"/>
      <c r="J1281" s="1181"/>
      <c r="K1281" s="684">
        <f t="shared" si="1127"/>
        <v>1</v>
      </c>
      <c r="L1281" s="708">
        <v>1</v>
      </c>
      <c r="M1281" s="709">
        <f t="shared" si="1161"/>
        <v>1</v>
      </c>
      <c r="N1281" s="362" t="str">
        <f t="shared" si="1167"/>
        <v/>
      </c>
      <c r="O1281" s="1763" t="str">
        <f t="shared" si="1168"/>
        <v/>
      </c>
      <c r="P1281" s="1764" t="str">
        <f t="shared" si="1169"/>
        <v/>
      </c>
      <c r="Q1281" s="120" t="str">
        <f t="shared" si="1170"/>
        <v/>
      </c>
      <c r="R1281" s="1765"/>
    </row>
    <row r="1282" spans="1:18" s="20" customFormat="1" ht="18" customHeight="1" thickBot="1">
      <c r="A1282" s="699"/>
      <c r="B1282" s="1775"/>
      <c r="C1282" s="1776"/>
      <c r="D1282" s="1885"/>
      <c r="E1282" s="1981"/>
      <c r="F1282" s="1981"/>
      <c r="G1282" s="1777"/>
      <c r="H1282" s="1777"/>
      <c r="I1282" s="1777"/>
      <c r="J1282" s="1778"/>
      <c r="K1282" s="684"/>
      <c r="L1282" s="363"/>
      <c r="M1282" s="709"/>
      <c r="N1282" s="362" t="str">
        <f t="shared" si="1167"/>
        <v/>
      </c>
      <c r="O1282" s="1763" t="str">
        <f t="shared" si="1168"/>
        <v/>
      </c>
      <c r="P1282" s="1764" t="str">
        <f t="shared" si="1169"/>
        <v/>
      </c>
      <c r="Q1282" s="120" t="str">
        <f t="shared" si="1170"/>
        <v/>
      </c>
      <c r="R1282" s="1765"/>
    </row>
    <row r="1283" spans="1:18" s="120" customFormat="1" ht="18" customHeight="1" thickBot="1">
      <c r="A1283" s="1989">
        <v>21</v>
      </c>
      <c r="B1283" s="1852">
        <v>1</v>
      </c>
      <c r="C1283" s="1756" t="s">
        <v>12483</v>
      </c>
      <c r="D1283" s="1588"/>
      <c r="E1283" s="1589"/>
      <c r="F1283" s="1589"/>
      <c r="G1283" s="1757">
        <f>SUM(F1284:F1319)</f>
        <v>922.54000000000008</v>
      </c>
      <c r="H1283" s="1758">
        <f>G1283*(1-$D$6)</f>
        <v>922.54000000000008</v>
      </c>
      <c r="I1283" s="1757">
        <f>ROUNDUP(H1283*$D$5,0)</f>
        <v>3137</v>
      </c>
      <c r="J1283" s="1759">
        <f>+I1283*B1283</f>
        <v>3137</v>
      </c>
      <c r="K1283" s="1788">
        <f>B1283</f>
        <v>1</v>
      </c>
      <c r="L1283" s="363"/>
      <c r="M1283" s="684"/>
      <c r="N1283" s="362" t="str">
        <f t="shared" si="1167"/>
        <v/>
      </c>
      <c r="O1283" s="1763" t="str">
        <f t="shared" si="1168"/>
        <v/>
      </c>
      <c r="P1283" s="1764" t="str">
        <f t="shared" si="1169"/>
        <v/>
      </c>
      <c r="Q1283" s="120" t="str">
        <f t="shared" si="1170"/>
        <v/>
      </c>
      <c r="R1283" s="185"/>
    </row>
    <row r="1284" spans="1:18" s="120" customFormat="1">
      <c r="A1284" s="685" t="s">
        <v>3064</v>
      </c>
      <c r="B1284" s="2038"/>
      <c r="C1284" s="1954"/>
      <c r="D1284" s="1955"/>
      <c r="E1284" s="1789"/>
      <c r="F1284" s="1789"/>
      <c r="G1284" s="686"/>
      <c r="H1284" s="686"/>
      <c r="I1284" s="686"/>
      <c r="J1284" s="1768"/>
      <c r="K1284" s="684">
        <f>K1283</f>
        <v>1</v>
      </c>
      <c r="L1284" s="363">
        <v>1</v>
      </c>
      <c r="M1284" s="684">
        <f>IF(B1284="",1,B1284)</f>
        <v>1</v>
      </c>
      <c r="N1284" s="362" t="str">
        <f t="shared" si="1167"/>
        <v/>
      </c>
      <c r="O1284" s="1763" t="str">
        <f t="shared" si="1168"/>
        <v/>
      </c>
      <c r="P1284" s="1764" t="str">
        <f t="shared" si="1169"/>
        <v/>
      </c>
      <c r="Q1284" s="120" t="str">
        <f t="shared" si="1170"/>
        <v/>
      </c>
      <c r="R1284" s="185"/>
    </row>
    <row r="1285" spans="1:18" s="120" customFormat="1">
      <c r="A1285" s="687" t="s">
        <v>4021</v>
      </c>
      <c r="B1285" s="2039"/>
      <c r="C1285" s="1959" t="s">
        <v>3158</v>
      </c>
      <c r="D1285" s="2040"/>
      <c r="E1285" s="1782"/>
      <c r="F1285" s="1782"/>
      <c r="G1285" s="686"/>
      <c r="H1285" s="686"/>
      <c r="I1285" s="686"/>
      <c r="J1285" s="688"/>
      <c r="K1285" s="684">
        <f t="shared" ref="K1285:K1317" si="1176">K1284</f>
        <v>1</v>
      </c>
      <c r="L1285" s="363">
        <v>1</v>
      </c>
      <c r="M1285" s="684">
        <f t="shared" ref="M1285:M1313" si="1177">IF(B1285="",1,B1285)</f>
        <v>1</v>
      </c>
      <c r="N1285" s="362" t="str">
        <f t="shared" si="1167"/>
        <v/>
      </c>
      <c r="O1285" s="1763" t="str">
        <f t="shared" si="1168"/>
        <v/>
      </c>
      <c r="P1285" s="1764" t="str">
        <f t="shared" si="1169"/>
        <v/>
      </c>
      <c r="Q1285" s="120" t="str">
        <f t="shared" si="1170"/>
        <v/>
      </c>
      <c r="R1285" s="185"/>
    </row>
    <row r="1286" spans="1:18" s="2434" customFormat="1">
      <c r="A1286" s="2418" t="s">
        <v>4136</v>
      </c>
      <c r="B1286" s="2486">
        <v>1</v>
      </c>
      <c r="C1286" s="2436" t="str">
        <f>VLOOKUP(D1286,base_datos,6,FALSE)</f>
        <v>ITM Riel-Din 3x32A - S203-C-32A - 10kA@400Vac-IEC60947-2 - marca ABB.</v>
      </c>
      <c r="D1286" s="2487" t="s">
        <v>981</v>
      </c>
      <c r="E1286" s="2482">
        <f>VLOOKUP(D1286,base_datos,5,FALSE)</f>
        <v>33.04</v>
      </c>
      <c r="F1286" s="2422">
        <f>+E1286*B1286</f>
        <v>33.04</v>
      </c>
      <c r="G1286" s="2424"/>
      <c r="H1286" s="2424"/>
      <c r="I1286" s="2424"/>
      <c r="J1286" s="2488"/>
      <c r="K1286" s="2426">
        <f>K1284</f>
        <v>1</v>
      </c>
      <c r="L1286" s="2458">
        <v>1</v>
      </c>
      <c r="M1286" s="2426">
        <f t="shared" ref="M1286" si="1178">IF(B1286="",1,B1286)</f>
        <v>1</v>
      </c>
      <c r="N1286" s="2429">
        <f t="shared" ref="N1286" si="1179">IF(O1286&lt;&gt;"",K1286*L1286*M1286,"")</f>
        <v>1</v>
      </c>
      <c r="O1286" s="2430" t="str">
        <f t="shared" ref="O1286" si="1180">IF(D1286&lt;&gt;"",IF(VLOOKUP(D1286,base_datos,7,FALSE)&lt;&gt;"",VLOOKUP(D1286,base_datos,7,FALSE),""),"")</f>
        <v>2CDS253001R0324</v>
      </c>
      <c r="P1286" s="2431" t="str">
        <f t="shared" ref="P1286" si="1181">IF(O1286&lt;&gt;"",VLOOKUP(D1286,base_datos,6,FALSE),"")</f>
        <v>ITM Riel-Din 3x32A - S203-C-32A - 10kA@400Vac-IEC60947-2 - marca ABB.</v>
      </c>
      <c r="Q1286" s="2432" t="str">
        <f t="shared" ref="Q1286" si="1182">IF(O1286&lt;&gt;"",D1286,"")</f>
        <v>S203-C-32A</v>
      </c>
      <c r="R1286" s="2433"/>
    </row>
    <row r="1287" spans="1:18" s="690" customFormat="1">
      <c r="A1287" s="687"/>
      <c r="B1287" s="2039">
        <v>1</v>
      </c>
      <c r="C1287" s="1960" t="str">
        <f>VLOOKUP(D1287,base_datos,6,FALSE)</f>
        <v>Interruptor Diferencial 4x40A - 30mA - clase A (inmunizado) - FH204-A-40A-30mA - marca ABB.</v>
      </c>
      <c r="D1287" s="1790" t="s">
        <v>5330</v>
      </c>
      <c r="E1287" s="1791">
        <f>VLOOKUP(D1287,base_datos,5,FALSE)</f>
        <v>83.199999999999989</v>
      </c>
      <c r="F1287" s="1782">
        <f>+E1287*B1287</f>
        <v>83.199999999999989</v>
      </c>
      <c r="G1287" s="1761"/>
      <c r="H1287" s="1761"/>
      <c r="I1287" s="1761"/>
      <c r="J1287" s="689"/>
      <c r="K1287" s="684">
        <f>K1285</f>
        <v>1</v>
      </c>
      <c r="L1287" s="363">
        <v>1</v>
      </c>
      <c r="M1287" s="684">
        <f t="shared" si="1177"/>
        <v>1</v>
      </c>
      <c r="N1287" s="362">
        <f t="shared" si="1167"/>
        <v>1</v>
      </c>
      <c r="O1287" s="1763" t="str">
        <f t="shared" si="1168"/>
        <v>2CSF204102R1400</v>
      </c>
      <c r="P1287" s="1764" t="str">
        <f t="shared" si="1169"/>
        <v>Interruptor Diferencial 4x40A - 30mA - clase A (inmunizado) - FH204-A-40A-30mA - marca ABB.</v>
      </c>
      <c r="Q1287" s="120" t="str">
        <f t="shared" si="1170"/>
        <v>FH204-A-40A-30mA</v>
      </c>
      <c r="R1287" s="185"/>
    </row>
    <row r="1288" spans="1:18" s="315" customFormat="1">
      <c r="A1288" s="687"/>
      <c r="B1288" s="1910"/>
      <c r="C1288" s="2041"/>
      <c r="D1288" s="1898"/>
      <c r="E1288" s="1791"/>
      <c r="F1288" s="2026"/>
      <c r="G1288" s="712"/>
      <c r="H1288" s="712"/>
      <c r="I1288" s="712"/>
      <c r="J1288" s="1928"/>
      <c r="K1288" s="684">
        <f t="shared" si="1176"/>
        <v>1</v>
      </c>
      <c r="L1288" s="2042">
        <f t="shared" ref="L1288" si="1183">L1287</f>
        <v>1</v>
      </c>
      <c r="M1288" s="684">
        <f t="shared" si="1177"/>
        <v>1</v>
      </c>
      <c r="N1288" s="362" t="str">
        <f t="shared" si="1167"/>
        <v/>
      </c>
      <c r="O1288" s="1763" t="str">
        <f t="shared" si="1168"/>
        <v/>
      </c>
      <c r="P1288" s="1764" t="str">
        <f t="shared" si="1169"/>
        <v/>
      </c>
      <c r="Q1288" s="120" t="str">
        <f t="shared" si="1170"/>
        <v/>
      </c>
    </row>
    <row r="1289" spans="1:18" s="185" customFormat="1">
      <c r="A1289" s="687" t="s">
        <v>12356</v>
      </c>
      <c r="B1289" s="714"/>
      <c r="C1289" s="313" t="s">
        <v>729</v>
      </c>
      <c r="D1289" s="173"/>
      <c r="E1289" s="1786"/>
      <c r="F1289" s="1787"/>
      <c r="G1289" s="710"/>
      <c r="H1289" s="710"/>
      <c r="I1289" s="710"/>
      <c r="J1289" s="711"/>
      <c r="K1289" s="684">
        <f t="shared" si="1176"/>
        <v>1</v>
      </c>
      <c r="L1289" s="708">
        <v>1</v>
      </c>
      <c r="M1289" s="684">
        <f t="shared" si="1177"/>
        <v>1</v>
      </c>
      <c r="N1289" s="362" t="str">
        <f t="shared" si="1167"/>
        <v/>
      </c>
      <c r="O1289" s="1763" t="str">
        <f t="shared" si="1168"/>
        <v/>
      </c>
      <c r="P1289" s="1764" t="str">
        <f t="shared" si="1169"/>
        <v/>
      </c>
      <c r="Q1289" s="120" t="str">
        <f t="shared" si="1170"/>
        <v/>
      </c>
    </row>
    <row r="1290" spans="1:18" s="315" customFormat="1">
      <c r="A1290" s="687" t="s">
        <v>12482</v>
      </c>
      <c r="B1290" s="2096">
        <v>1</v>
      </c>
      <c r="C1290" s="1907" t="s">
        <v>5103</v>
      </c>
      <c r="D1290" s="1935"/>
      <c r="E1290" s="1786"/>
      <c r="F1290" s="1908">
        <f>SUM(F1292:F1296)*(B1290-1)</f>
        <v>0</v>
      </c>
      <c r="G1290" s="712"/>
      <c r="H1290" s="712"/>
      <c r="I1290" s="712"/>
      <c r="J1290" s="713"/>
      <c r="K1290" s="684">
        <f t="shared" si="1176"/>
        <v>1</v>
      </c>
      <c r="L1290" s="1909">
        <f>B1290</f>
        <v>1</v>
      </c>
      <c r="M1290" s="684">
        <f t="shared" si="1177"/>
        <v>1</v>
      </c>
      <c r="N1290" s="362" t="str">
        <f t="shared" si="1167"/>
        <v/>
      </c>
      <c r="O1290" s="1763" t="str">
        <f t="shared" si="1168"/>
        <v/>
      </c>
      <c r="P1290" s="1764" t="str">
        <f t="shared" si="1169"/>
        <v/>
      </c>
      <c r="Q1290" s="120" t="str">
        <f t="shared" si="1170"/>
        <v/>
      </c>
    </row>
    <row r="1291" spans="1:18" s="185" customFormat="1">
      <c r="A1291" s="1767"/>
      <c r="B1291" s="1910">
        <v>3</v>
      </c>
      <c r="C1291" s="1911" t="str">
        <f>VLOOKUP(D1291,base_datos,6,FALSE)</f>
        <v>Portalámpara + lampara tipo LED - color Rojo - alimentacion: 220-230Vac, d=22mm. - CL2-523R - línea compacta - marca ABB.</v>
      </c>
      <c r="D1291" s="1790" t="s">
        <v>2439</v>
      </c>
      <c r="E1291" s="1939">
        <f>VLOOKUP(D1291,base_datos,5,FALSE)</f>
        <v>12.299999999999999</v>
      </c>
      <c r="F1291" s="1912">
        <f>+E1291*B1291</f>
        <v>36.9</v>
      </c>
      <c r="G1291" s="710"/>
      <c r="H1291" s="710"/>
      <c r="I1291" s="710"/>
      <c r="J1291" s="711"/>
      <c r="K1291" s="684">
        <f t="shared" si="1176"/>
        <v>1</v>
      </c>
      <c r="L1291" s="1913">
        <f>L1289</f>
        <v>1</v>
      </c>
      <c r="M1291" s="684">
        <f t="shared" si="1177"/>
        <v>3</v>
      </c>
      <c r="N1291" s="362">
        <f t="shared" si="1167"/>
        <v>3</v>
      </c>
      <c r="O1291" s="1763" t="str">
        <f t="shared" si="1168"/>
        <v>1SFA619403R5231</v>
      </c>
      <c r="P1291" s="1764" t="str">
        <f t="shared" si="1169"/>
        <v>Portalámpara + lampara tipo LED - color Rojo - alimentacion: 220-230Vac, d=22mm. - CL2-523R - línea compacta - marca ABB.</v>
      </c>
      <c r="Q1291" s="120" t="str">
        <f t="shared" si="1170"/>
        <v>LAMP_ROJO_220V</v>
      </c>
    </row>
    <row r="1292" spans="1:18" s="185" customFormat="1">
      <c r="A1292" s="687" t="s">
        <v>12551</v>
      </c>
      <c r="B1292" s="1910">
        <v>3</v>
      </c>
      <c r="C1292" s="1911" t="str">
        <f>VLOOKUP(D1292,base_datos,6,FALSE)</f>
        <v>Portalámpara + lampara tipo LED - color Verde - alimentacion: 220-230Vac, d=22mm. - CL2-523G - línea compacta - marca ABB.</v>
      </c>
      <c r="D1292" s="1790" t="s">
        <v>2440</v>
      </c>
      <c r="E1292" s="1939">
        <f>VLOOKUP(D1292,base_datos,5,FALSE)</f>
        <v>12.299999999999999</v>
      </c>
      <c r="F1292" s="1912">
        <f>+E1292*B1292</f>
        <v>36.9</v>
      </c>
      <c r="G1292" s="710"/>
      <c r="H1292" s="710"/>
      <c r="I1292" s="710"/>
      <c r="J1292" s="711"/>
      <c r="K1292" s="684">
        <f t="shared" si="1176"/>
        <v>1</v>
      </c>
      <c r="L1292" s="1913">
        <f>L1290</f>
        <v>1</v>
      </c>
      <c r="M1292" s="684">
        <f t="shared" si="1177"/>
        <v>3</v>
      </c>
      <c r="N1292" s="362">
        <f t="shared" si="1167"/>
        <v>3</v>
      </c>
      <c r="O1292" s="1763" t="str">
        <f t="shared" si="1168"/>
        <v>1SFA619403R5232</v>
      </c>
      <c r="P1292" s="1764" t="str">
        <f t="shared" si="1169"/>
        <v>Portalámpara + lampara tipo LED - color Verde - alimentacion: 220-230Vac, d=22mm. - CL2-523G - línea compacta - marca ABB.</v>
      </c>
      <c r="Q1292" s="120" t="str">
        <f t="shared" si="1170"/>
        <v>LAMP_VERDE_220V</v>
      </c>
    </row>
    <row r="1293" spans="1:18" s="1921" customFormat="1">
      <c r="A1293" s="687" t="s">
        <v>3542</v>
      </c>
      <c r="B1293" s="1914">
        <v>1</v>
      </c>
      <c r="C1293" s="1915" t="s">
        <v>3366</v>
      </c>
      <c r="D1293" s="1916"/>
      <c r="E1293" s="1917"/>
      <c r="F1293" s="1918"/>
      <c r="G1293" s="1919"/>
      <c r="H1293" s="1919"/>
      <c r="I1293" s="1919"/>
      <c r="J1293" s="1920"/>
      <c r="K1293" s="684">
        <f t="shared" si="1176"/>
        <v>1</v>
      </c>
      <c r="L1293" s="1913">
        <f>L1292</f>
        <v>1</v>
      </c>
      <c r="M1293" s="684">
        <f t="shared" si="1177"/>
        <v>1</v>
      </c>
      <c r="N1293" s="362" t="str">
        <f t="shared" si="1167"/>
        <v/>
      </c>
      <c r="O1293" s="1763" t="str">
        <f t="shared" si="1168"/>
        <v/>
      </c>
      <c r="P1293" s="1764" t="str">
        <f t="shared" si="1169"/>
        <v/>
      </c>
      <c r="Q1293" s="120" t="str">
        <f t="shared" si="1170"/>
        <v/>
      </c>
    </row>
    <row r="1294" spans="1:18" s="320" customFormat="1">
      <c r="A1294" s="1771"/>
      <c r="B1294" s="1922">
        <v>1</v>
      </c>
      <c r="C1294" s="721" t="str">
        <f>VLOOKUP(D1294,base_datos,6,FALSE)</f>
        <v>Rele auxiliar enchufable +4NA/NC (D2PR4B + base D2PA6), 220Vac - marca EATON.</v>
      </c>
      <c r="D1294" s="1579" t="s">
        <v>772</v>
      </c>
      <c r="E1294" s="1581">
        <f>VLOOKUP(D1294,base_datos,5,FALSE)</f>
        <v>27</v>
      </c>
      <c r="F1294" s="1923">
        <f>+E1294*B1294</f>
        <v>27</v>
      </c>
      <c r="G1294" s="1924"/>
      <c r="H1294" s="1924"/>
      <c r="I1294" s="1924"/>
      <c r="J1294" s="722"/>
      <c r="K1294" s="684">
        <f t="shared" si="1176"/>
        <v>1</v>
      </c>
      <c r="L1294" s="1913">
        <f>L1291</f>
        <v>1</v>
      </c>
      <c r="M1294" s="684">
        <f t="shared" si="1177"/>
        <v>1</v>
      </c>
      <c r="N1294" s="362">
        <f t="shared" si="1167"/>
        <v>1</v>
      </c>
      <c r="O1294" s="1763" t="str">
        <f t="shared" si="1168"/>
        <v>D2PR4B+D2PA6</v>
      </c>
      <c r="P1294" s="1764" t="str">
        <f t="shared" si="1169"/>
        <v>Rele auxiliar enchufable +4NA/NC (D2PR4B + base D2PA6), 220Vac - marca EATON.</v>
      </c>
      <c r="Q1294" s="120" t="str">
        <f t="shared" si="1170"/>
        <v>D2PR4B+D2PA6</v>
      </c>
    </row>
    <row r="1295" spans="1:18" s="320" customFormat="1">
      <c r="A1295" s="1771"/>
      <c r="B1295" s="2131">
        <v>1</v>
      </c>
      <c r="C1295" s="2132" t="s">
        <v>12558</v>
      </c>
      <c r="D1295" s="2133"/>
      <c r="E1295" s="2134">
        <v>32</v>
      </c>
      <c r="F1295" s="2134">
        <f>+E1295*B1295</f>
        <v>32</v>
      </c>
      <c r="G1295" s="1924"/>
      <c r="H1295" s="1924"/>
      <c r="I1295" s="1924"/>
      <c r="J1295" s="722"/>
      <c r="K1295" s="684">
        <f t="shared" si="1176"/>
        <v>1</v>
      </c>
      <c r="L1295" s="1913">
        <f>L1292</f>
        <v>1</v>
      </c>
      <c r="M1295" s="684">
        <f t="shared" si="1177"/>
        <v>1</v>
      </c>
      <c r="N1295" s="362" t="str">
        <f t="shared" si="1167"/>
        <v/>
      </c>
      <c r="O1295" s="1763" t="str">
        <f t="shared" si="1168"/>
        <v/>
      </c>
      <c r="P1295" s="1764" t="str">
        <f t="shared" si="1169"/>
        <v/>
      </c>
      <c r="Q1295" s="120" t="str">
        <f t="shared" si="1170"/>
        <v/>
      </c>
    </row>
    <row r="1296" spans="1:18" s="320" customFormat="1">
      <c r="A1296" s="687"/>
      <c r="B1296" s="1922">
        <v>4</v>
      </c>
      <c r="C1296" s="721" t="str">
        <f>VLOOKUP(D1296,base_datos,6,FALSE)</f>
        <v>Base portafusibles + Fusibles de protección para control.</v>
      </c>
      <c r="D1296" s="1579" t="s">
        <v>453</v>
      </c>
      <c r="E1296" s="1581">
        <f>VLOOKUP(D1296,base_datos,5,FALSE)</f>
        <v>8.1750000000000007</v>
      </c>
      <c r="F1296" s="1923">
        <f>+E1296*B1296</f>
        <v>32.700000000000003</v>
      </c>
      <c r="G1296" s="1924"/>
      <c r="H1296" s="1924"/>
      <c r="I1296" s="1924"/>
      <c r="J1296" s="722"/>
      <c r="K1296" s="684">
        <f t="shared" si="1176"/>
        <v>1</v>
      </c>
      <c r="L1296" s="1913">
        <f>L1293</f>
        <v>1</v>
      </c>
      <c r="M1296" s="684">
        <f t="shared" si="1177"/>
        <v>4</v>
      </c>
      <c r="N1296" s="362" t="str">
        <f t="shared" si="1167"/>
        <v/>
      </c>
      <c r="O1296" s="1763" t="str">
        <f t="shared" si="1168"/>
        <v/>
      </c>
      <c r="P1296" s="1764" t="str">
        <f t="shared" si="1169"/>
        <v/>
      </c>
      <c r="Q1296" s="120" t="str">
        <f t="shared" si="1170"/>
        <v/>
      </c>
    </row>
    <row r="1297" spans="1:18" s="315" customFormat="1">
      <c r="A1297" s="687"/>
      <c r="B1297" s="1906"/>
      <c r="C1297" s="1907"/>
      <c r="D1297" s="1935"/>
      <c r="E1297" s="1786"/>
      <c r="F1297" s="1936"/>
      <c r="G1297" s="712"/>
      <c r="H1297" s="712"/>
      <c r="I1297" s="712"/>
      <c r="J1297" s="713"/>
      <c r="K1297" s="684">
        <f t="shared" si="1176"/>
        <v>1</v>
      </c>
      <c r="L1297" s="1909">
        <f>B1297</f>
        <v>0</v>
      </c>
      <c r="M1297" s="684">
        <f t="shared" si="1177"/>
        <v>1</v>
      </c>
      <c r="N1297" s="362" t="str">
        <f t="shared" si="1167"/>
        <v/>
      </c>
      <c r="O1297" s="1763" t="str">
        <f t="shared" si="1168"/>
        <v/>
      </c>
      <c r="P1297" s="1764" t="str">
        <f t="shared" si="1169"/>
        <v/>
      </c>
      <c r="Q1297" s="120" t="str">
        <f t="shared" si="1170"/>
        <v/>
      </c>
    </row>
    <row r="1298" spans="1:18" s="185" customFormat="1" ht="13.5" customHeight="1">
      <c r="A1298" s="687"/>
      <c r="B1298" s="1922"/>
      <c r="C1298" s="1956" t="s">
        <v>12368</v>
      </c>
      <c r="D1298" s="1579"/>
      <c r="E1298" s="1957"/>
      <c r="F1298" s="1958"/>
      <c r="G1298" s="710"/>
      <c r="H1298" s="710"/>
      <c r="I1298" s="710"/>
      <c r="J1298" s="711"/>
      <c r="K1298" s="684">
        <f t="shared" si="1176"/>
        <v>1</v>
      </c>
      <c r="L1298" s="708">
        <v>1</v>
      </c>
      <c r="M1298" s="684">
        <f t="shared" si="1177"/>
        <v>1</v>
      </c>
      <c r="N1298" s="362" t="str">
        <f t="shared" si="1167"/>
        <v/>
      </c>
      <c r="O1298" s="1763" t="str">
        <f t="shared" si="1168"/>
        <v/>
      </c>
      <c r="P1298" s="1764" t="str">
        <f t="shared" si="1169"/>
        <v/>
      </c>
      <c r="Q1298" s="120" t="str">
        <f t="shared" si="1170"/>
        <v/>
      </c>
    </row>
    <row r="1299" spans="1:18" s="690" customFormat="1">
      <c r="A1299" s="687"/>
      <c r="B1299" s="2043"/>
      <c r="C1299" s="1966" t="s">
        <v>3377</v>
      </c>
      <c r="D1299" s="1582"/>
      <c r="E1299" s="1780"/>
      <c r="F1299" s="1782"/>
      <c r="G1299" s="1761"/>
      <c r="H1299" s="1761"/>
      <c r="I1299" s="1761"/>
      <c r="J1299" s="689"/>
      <c r="K1299" s="684">
        <f t="shared" si="1176"/>
        <v>1</v>
      </c>
      <c r="L1299" s="363">
        <v>1</v>
      </c>
      <c r="M1299" s="684">
        <f t="shared" si="1177"/>
        <v>1</v>
      </c>
      <c r="N1299" s="362" t="str">
        <f t="shared" si="1167"/>
        <v/>
      </c>
      <c r="O1299" s="1763" t="str">
        <f t="shared" si="1168"/>
        <v/>
      </c>
      <c r="P1299" s="1764" t="str">
        <f t="shared" si="1169"/>
        <v/>
      </c>
      <c r="Q1299" s="120" t="str">
        <f t="shared" si="1170"/>
        <v/>
      </c>
      <c r="R1299" s="185"/>
    </row>
    <row r="1300" spans="1:18" s="690" customFormat="1">
      <c r="A1300" s="1767"/>
      <c r="B1300" s="2039">
        <v>1</v>
      </c>
      <c r="C1300" s="1960" t="str">
        <f t="shared" ref="C1300:C1305" si="1184">VLOOKUP(D1300,base_datos,6,FALSE)</f>
        <v>ITM Riel-Din 3x32A - S203-C-32A - 10kA@400Vac-IEC60947-2 - marca ABB.</v>
      </c>
      <c r="D1300" s="1790" t="s">
        <v>981</v>
      </c>
      <c r="E1300" s="1791">
        <f t="shared" ref="E1300:E1305" si="1185">VLOOKUP(D1300,base_datos,5,FALSE)</f>
        <v>33.04</v>
      </c>
      <c r="F1300" s="1782">
        <f t="shared" ref="F1300:F1306" si="1186">+E1300*B1300</f>
        <v>33.04</v>
      </c>
      <c r="G1300" s="1761"/>
      <c r="H1300" s="1761"/>
      <c r="I1300" s="1761"/>
      <c r="J1300" s="1783"/>
      <c r="K1300" s="684">
        <f t="shared" si="1176"/>
        <v>1</v>
      </c>
      <c r="L1300" s="363">
        <v>1</v>
      </c>
      <c r="M1300" s="684">
        <f t="shared" si="1177"/>
        <v>1</v>
      </c>
      <c r="N1300" s="362">
        <f t="shared" si="1167"/>
        <v>1</v>
      </c>
      <c r="O1300" s="1763" t="str">
        <f t="shared" si="1168"/>
        <v>2CDS253001R0324</v>
      </c>
      <c r="P1300" s="1764" t="str">
        <f t="shared" si="1169"/>
        <v>ITM Riel-Din 3x32A - S203-C-32A - 10kA@400Vac-IEC60947-2 - marca ABB.</v>
      </c>
      <c r="Q1300" s="120" t="str">
        <f t="shared" si="1170"/>
        <v>S203-C-32A</v>
      </c>
      <c r="R1300" s="185"/>
    </row>
    <row r="1301" spans="1:18" s="690" customFormat="1">
      <c r="A1301" s="693"/>
      <c r="B1301" s="2039">
        <v>1</v>
      </c>
      <c r="C1301" s="2041" t="str">
        <f t="shared" si="1184"/>
        <v>Tomacorriente industrial, 3P+T, 32A / 250V, Azul, 9H, empotrable, IP67 - (Ref: 1505) - marca MENNEKES.</v>
      </c>
      <c r="D1301" s="1898" t="s">
        <v>5974</v>
      </c>
      <c r="E1301" s="1791">
        <f t="shared" si="1185"/>
        <v>28.8</v>
      </c>
      <c r="F1301" s="1782">
        <f t="shared" si="1186"/>
        <v>28.8</v>
      </c>
      <c r="G1301" s="1761"/>
      <c r="H1301" s="1761"/>
      <c r="I1301" s="1761"/>
      <c r="J1301" s="1783"/>
      <c r="K1301" s="684">
        <f t="shared" si="1176"/>
        <v>1</v>
      </c>
      <c r="L1301" s="363">
        <v>1</v>
      </c>
      <c r="M1301" s="684">
        <f>IF(B1301="",1,B1301)</f>
        <v>1</v>
      </c>
      <c r="N1301" s="362">
        <f t="shared" si="1167"/>
        <v>1</v>
      </c>
      <c r="O1301" s="1763">
        <f t="shared" si="1168"/>
        <v>1505</v>
      </c>
      <c r="P1301" s="1764" t="str">
        <f t="shared" si="1169"/>
        <v>Tomacorriente industrial, 3P+T, 32A / 250V, Azul, 9H, empotrable, IP67 - (Ref: 1505) - marca MENNEKES.</v>
      </c>
      <c r="Q1301" s="120" t="str">
        <f t="shared" si="1170"/>
        <v>TOMA-I-EMP_3P+T(32A)_IP67</v>
      </c>
      <c r="R1301" s="185"/>
    </row>
    <row r="1302" spans="1:18" s="690" customFormat="1">
      <c r="A1302" s="1767"/>
      <c r="B1302" s="2039">
        <v>1</v>
      </c>
      <c r="C1302" s="2041" t="str">
        <f t="shared" si="1184"/>
        <v>Enchufe industrial, 3P+T, 32A / 250V, Azul, 9H, IP67 - (Ref: 293) - marca MENNEKES.</v>
      </c>
      <c r="D1302" s="1898" t="s">
        <v>5975</v>
      </c>
      <c r="E1302" s="1791">
        <f t="shared" si="1185"/>
        <v>34.800000000000004</v>
      </c>
      <c r="F1302" s="1782">
        <f t="shared" si="1186"/>
        <v>34.800000000000004</v>
      </c>
      <c r="G1302" s="1761"/>
      <c r="H1302" s="1761"/>
      <c r="I1302" s="1761"/>
      <c r="J1302" s="1783"/>
      <c r="K1302" s="684">
        <f t="shared" si="1176"/>
        <v>1</v>
      </c>
      <c r="L1302" s="363">
        <v>1</v>
      </c>
      <c r="M1302" s="684">
        <f t="shared" ref="M1302" si="1187">IF(B1302="",1,B1302)</f>
        <v>1</v>
      </c>
      <c r="N1302" s="362">
        <f t="shared" si="1167"/>
        <v>1</v>
      </c>
      <c r="O1302" s="1763">
        <f t="shared" si="1168"/>
        <v>293</v>
      </c>
      <c r="P1302" s="1764" t="str">
        <f t="shared" si="1169"/>
        <v>Enchufe industrial, 3P+T, 32A / 250V, Azul, 9H, IP67 - (Ref: 293) - marca MENNEKES.</v>
      </c>
      <c r="Q1302" s="120" t="str">
        <f t="shared" si="1170"/>
        <v>ENCH-IND 3P+T(32A)_IP67</v>
      </c>
      <c r="R1302" s="185"/>
    </row>
    <row r="1303" spans="1:18" s="690" customFormat="1">
      <c r="A1303" s="1767"/>
      <c r="B1303" s="2039">
        <v>1</v>
      </c>
      <c r="C1303" s="1960" t="str">
        <f t="shared" si="1184"/>
        <v>ITM Riel-Din 2x16A - S202-C-16A - 10kA@400Vac-IEC60947-2 - marca ABB.</v>
      </c>
      <c r="D1303" s="1790" t="s">
        <v>970</v>
      </c>
      <c r="E1303" s="1791">
        <f t="shared" si="1185"/>
        <v>17.96</v>
      </c>
      <c r="F1303" s="1782">
        <f t="shared" si="1186"/>
        <v>17.96</v>
      </c>
      <c r="G1303" s="1761"/>
      <c r="H1303" s="1761"/>
      <c r="I1303" s="1761"/>
      <c r="J1303" s="1783"/>
      <c r="K1303" s="684">
        <f t="shared" si="1176"/>
        <v>1</v>
      </c>
      <c r="L1303" s="363">
        <v>1</v>
      </c>
      <c r="M1303" s="684">
        <f t="shared" si="1177"/>
        <v>1</v>
      </c>
      <c r="N1303" s="362">
        <f t="shared" si="1167"/>
        <v>1</v>
      </c>
      <c r="O1303" s="1763" t="str">
        <f t="shared" si="1168"/>
        <v>2CDS252001R0164</v>
      </c>
      <c r="P1303" s="1764" t="str">
        <f t="shared" si="1169"/>
        <v>ITM Riel-Din 2x16A - S202-C-16A - 10kA@400Vac-IEC60947-2 - marca ABB.</v>
      </c>
      <c r="Q1303" s="120" t="str">
        <f t="shared" si="1170"/>
        <v>S202-C-16A</v>
      </c>
      <c r="R1303" s="185"/>
    </row>
    <row r="1304" spans="1:18" s="315" customFormat="1">
      <c r="A1304" s="1785"/>
      <c r="B1304" s="2045">
        <v>1</v>
      </c>
      <c r="C1304" s="2041" t="str">
        <f t="shared" si="1184"/>
        <v>Tomacorriente industrial, 2P+T, 16A / 250V, Azul, 6H, empotrable, IP67 - (Ref: 1475) - marca MENNEKES.</v>
      </c>
      <c r="D1304" s="1898" t="s">
        <v>5968</v>
      </c>
      <c r="E1304" s="1791">
        <f t="shared" si="1185"/>
        <v>23.9</v>
      </c>
      <c r="F1304" s="1782">
        <f t="shared" si="1186"/>
        <v>23.9</v>
      </c>
      <c r="G1304" s="712"/>
      <c r="H1304" s="712"/>
      <c r="I1304" s="712"/>
      <c r="J1304" s="1928"/>
      <c r="K1304" s="684">
        <f t="shared" si="1176"/>
        <v>1</v>
      </c>
      <c r="L1304" s="2042"/>
      <c r="M1304" s="684"/>
      <c r="N1304" s="362">
        <f t="shared" si="1167"/>
        <v>0</v>
      </c>
      <c r="O1304" s="1763">
        <f t="shared" si="1168"/>
        <v>1475</v>
      </c>
      <c r="P1304" s="1764" t="str">
        <f t="shared" si="1169"/>
        <v>Tomacorriente industrial, 2P+T, 16A / 250V, Azul, 6H, empotrable, IP67 - (Ref: 1475) - marca MENNEKES.</v>
      </c>
      <c r="Q1304" s="120" t="str">
        <f t="shared" si="1170"/>
        <v>TOMA-I-EMP_2P+T(16A)_IP67</v>
      </c>
    </row>
    <row r="1305" spans="1:18" s="695" customFormat="1">
      <c r="A1305" s="1767"/>
      <c r="B1305" s="2045">
        <v>1</v>
      </c>
      <c r="C1305" s="2041" t="str">
        <f t="shared" si="1184"/>
        <v>Enchufe industrial, 2P+T, 16A / 250V, Azul, 6H, IP67 - (Ref: 278) - marca MENNEKES.</v>
      </c>
      <c r="D1305" s="1898" t="s">
        <v>5969</v>
      </c>
      <c r="E1305" s="1791">
        <f t="shared" si="1185"/>
        <v>18.100000000000001</v>
      </c>
      <c r="F1305" s="1782">
        <f t="shared" si="1186"/>
        <v>18.100000000000001</v>
      </c>
      <c r="G1305" s="1969"/>
      <c r="H1305" s="1969"/>
      <c r="I1305" s="1969"/>
      <c r="J1305" s="1970"/>
      <c r="K1305" s="684">
        <f t="shared" si="1176"/>
        <v>1</v>
      </c>
      <c r="L1305" s="363"/>
      <c r="M1305" s="684"/>
      <c r="N1305" s="362">
        <f t="shared" si="1167"/>
        <v>0</v>
      </c>
      <c r="O1305" s="1763">
        <f t="shared" si="1168"/>
        <v>278</v>
      </c>
      <c r="P1305" s="1764" t="str">
        <f t="shared" si="1169"/>
        <v>Enchufe industrial, 2P+T, 16A / 250V, Azul, 6H, IP67 - (Ref: 278) - marca MENNEKES.</v>
      </c>
      <c r="Q1305" s="120" t="str">
        <f t="shared" si="1170"/>
        <v>ENCH-IND 2P+T(16A)_IP67</v>
      </c>
      <c r="R1305" s="185"/>
    </row>
    <row r="1306" spans="1:18" s="695" customFormat="1">
      <c r="A1306" s="2044"/>
      <c r="B1306" s="2045">
        <v>1</v>
      </c>
      <c r="C1306" s="694" t="s">
        <v>12484</v>
      </c>
      <c r="D1306" s="1582"/>
      <c r="E1306" s="2000">
        <v>45</v>
      </c>
      <c r="F1306" s="1968">
        <f t="shared" si="1186"/>
        <v>45</v>
      </c>
      <c r="G1306" s="1969"/>
      <c r="H1306" s="1969"/>
      <c r="I1306" s="1969"/>
      <c r="J1306" s="1970"/>
      <c r="K1306" s="684">
        <f t="shared" si="1176"/>
        <v>1</v>
      </c>
      <c r="L1306" s="363">
        <v>1</v>
      </c>
      <c r="M1306" s="684">
        <f t="shared" si="1177"/>
        <v>1</v>
      </c>
      <c r="N1306" s="362" t="str">
        <f t="shared" si="1167"/>
        <v/>
      </c>
      <c r="O1306" s="1763" t="str">
        <f t="shared" si="1168"/>
        <v/>
      </c>
      <c r="P1306" s="1764" t="str">
        <f t="shared" si="1169"/>
        <v/>
      </c>
      <c r="Q1306" s="120" t="str">
        <f t="shared" si="1170"/>
        <v/>
      </c>
      <c r="R1306" s="185"/>
    </row>
    <row r="1307" spans="1:18" s="185" customFormat="1">
      <c r="A1307" s="687"/>
      <c r="B1307" s="714"/>
      <c r="C1307" s="313" t="s">
        <v>729</v>
      </c>
      <c r="D1307" s="173"/>
      <c r="E1307" s="1786"/>
      <c r="F1307" s="1787"/>
      <c r="G1307" s="710"/>
      <c r="H1307" s="710"/>
      <c r="I1307" s="710"/>
      <c r="J1307" s="711"/>
      <c r="K1307" s="684">
        <f t="shared" si="1176"/>
        <v>1</v>
      </c>
      <c r="L1307" s="363">
        <v>1</v>
      </c>
      <c r="M1307" s="684">
        <f t="shared" si="1177"/>
        <v>1</v>
      </c>
      <c r="N1307" s="362" t="str">
        <f t="shared" si="1167"/>
        <v/>
      </c>
      <c r="O1307" s="1763" t="str">
        <f t="shared" si="1168"/>
        <v/>
      </c>
      <c r="P1307" s="1764" t="str">
        <f t="shared" si="1169"/>
        <v/>
      </c>
      <c r="Q1307" s="120" t="str">
        <f t="shared" si="1170"/>
        <v/>
      </c>
    </row>
    <row r="1308" spans="1:18" s="1236" customFormat="1" ht="18" customHeight="1">
      <c r="A1308" s="1767"/>
      <c r="B1308" s="1853">
        <v>1</v>
      </c>
      <c r="C1308" s="1895" t="s">
        <v>12364</v>
      </c>
      <c r="D1308" s="1902"/>
      <c r="E1308" s="1792"/>
      <c r="F1308" s="1793"/>
      <c r="G1308" s="1784"/>
      <c r="H1308" s="1784"/>
      <c r="I1308" s="1784"/>
      <c r="J1308" s="1182"/>
      <c r="K1308" s="684">
        <f t="shared" si="1176"/>
        <v>1</v>
      </c>
      <c r="L1308" s="708">
        <v>1</v>
      </c>
      <c r="M1308" s="709">
        <f t="shared" si="1177"/>
        <v>1</v>
      </c>
      <c r="N1308" s="362" t="str">
        <f t="shared" si="1167"/>
        <v/>
      </c>
      <c r="O1308" s="1763" t="str">
        <f t="shared" si="1168"/>
        <v/>
      </c>
      <c r="P1308" s="1764" t="str">
        <f t="shared" si="1169"/>
        <v/>
      </c>
      <c r="Q1308" s="120" t="str">
        <f t="shared" si="1170"/>
        <v/>
      </c>
      <c r="R1308" s="185"/>
    </row>
    <row r="1309" spans="1:18" s="695" customFormat="1" ht="18" customHeight="1">
      <c r="A1309" s="693"/>
      <c r="B1309" s="1922">
        <v>1</v>
      </c>
      <c r="C1309" s="1848" t="str">
        <f t="shared" ref="C1309" si="1188">VLOOKUP(D1309,base_datos,6,FALSE)</f>
        <v>Placa lamicoid rotulación de 3mm de espesor, fondo negro y letras blancas.</v>
      </c>
      <c r="D1309" s="1886" t="s">
        <v>8570</v>
      </c>
      <c r="E1309" s="1795">
        <f t="shared" ref="E1309" si="1189">VLOOKUP(D1309,base_datos,5,FALSE)</f>
        <v>2.2000000000000002</v>
      </c>
      <c r="F1309" s="1796">
        <f t="shared" ref="F1309" si="1190">+E1309*B1309</f>
        <v>2.2000000000000002</v>
      </c>
      <c r="G1309" s="696"/>
      <c r="H1309" s="696"/>
      <c r="I1309" s="696"/>
      <c r="J1309" s="697"/>
      <c r="K1309" s="684">
        <f t="shared" si="1176"/>
        <v>1</v>
      </c>
      <c r="L1309" s="708">
        <v>1</v>
      </c>
      <c r="M1309" s="709">
        <f t="shared" si="1177"/>
        <v>1</v>
      </c>
      <c r="N1309" s="362">
        <f t="shared" si="1167"/>
        <v>1</v>
      </c>
      <c r="O1309" s="1763" t="str">
        <f t="shared" si="1168"/>
        <v>Placa lamicoid p/distr.</v>
      </c>
      <c r="P1309" s="1764" t="str">
        <f t="shared" si="1169"/>
        <v>Placa lamicoid rotulación de 3mm de espesor, fondo negro y letras blancas.</v>
      </c>
      <c r="Q1309" s="120" t="str">
        <f t="shared" si="1170"/>
        <v>Placa lamicoid p/distr.</v>
      </c>
      <c r="R1309" s="185"/>
    </row>
    <row r="1310" spans="1:18" s="1236" customFormat="1" ht="18" customHeight="1">
      <c r="A1310" s="1767"/>
      <c r="B1310" s="1853">
        <v>1</v>
      </c>
      <c r="C1310" s="1895" t="s">
        <v>12474</v>
      </c>
      <c r="D1310" s="1902"/>
      <c r="E1310" s="1792"/>
      <c r="F1310" s="1793"/>
      <c r="G1310" s="1784"/>
      <c r="H1310" s="1784"/>
      <c r="I1310" s="1784"/>
      <c r="J1310" s="1182"/>
      <c r="K1310" s="684">
        <f t="shared" si="1176"/>
        <v>1</v>
      </c>
      <c r="L1310" s="708">
        <v>1</v>
      </c>
      <c r="M1310" s="709">
        <f t="shared" si="1177"/>
        <v>1</v>
      </c>
      <c r="N1310" s="362" t="str">
        <f t="shared" si="1167"/>
        <v/>
      </c>
      <c r="O1310" s="1763" t="str">
        <f t="shared" si="1168"/>
        <v/>
      </c>
      <c r="P1310" s="1764" t="str">
        <f t="shared" si="1169"/>
        <v/>
      </c>
      <c r="Q1310" s="120" t="str">
        <f t="shared" si="1170"/>
        <v/>
      </c>
      <c r="R1310" s="185"/>
    </row>
    <row r="1311" spans="1:18" s="1236" customFormat="1" ht="18" customHeight="1">
      <c r="A1311" s="1767"/>
      <c r="B1311" s="1853">
        <v>1</v>
      </c>
      <c r="C1311" s="1848" t="str">
        <f>VLOOKUP(D1311,base_datos,6,FALSE)</f>
        <v>Embalaje especial completamente cerrado para tablero adosado de 1600x600x220mm</v>
      </c>
      <c r="D1311" s="1902" t="s">
        <v>12453</v>
      </c>
      <c r="E1311" s="1795">
        <f t="shared" ref="E1311" si="1191">VLOOKUP(D1311,base_datos,5,FALSE)</f>
        <v>271.40000000000003</v>
      </c>
      <c r="F1311" s="1796">
        <f t="shared" ref="F1311" si="1192">+E1311*B1311</f>
        <v>271.40000000000003</v>
      </c>
      <c r="G1311" s="1784"/>
      <c r="H1311" s="1784"/>
      <c r="I1311" s="1784"/>
      <c r="J1311" s="1182"/>
      <c r="K1311" s="684">
        <f t="shared" si="1176"/>
        <v>1</v>
      </c>
      <c r="L1311" s="708">
        <v>1</v>
      </c>
      <c r="M1311" s="709">
        <f t="shared" si="1177"/>
        <v>1</v>
      </c>
      <c r="N1311" s="362">
        <f t="shared" si="1167"/>
        <v>1</v>
      </c>
      <c r="O1311" s="1763" t="str">
        <f t="shared" si="1168"/>
        <v>EMBAL_ADOS_1600x600x220mm</v>
      </c>
      <c r="P1311" s="1764" t="str">
        <f t="shared" si="1169"/>
        <v>Embalaje especial completamente cerrado para tablero adosado de 1600x600x220mm</v>
      </c>
      <c r="Q1311" s="120" t="str">
        <f t="shared" si="1170"/>
        <v>EMBAL_ADOS_1600x600x220mm</v>
      </c>
      <c r="R1311" s="185"/>
    </row>
    <row r="1312" spans="1:18" s="185" customFormat="1" ht="18" customHeight="1">
      <c r="A1312" s="1785"/>
      <c r="B1312" s="714"/>
      <c r="C1312" s="1893" t="s">
        <v>729</v>
      </c>
      <c r="D1312" s="173"/>
      <c r="E1312" s="1786"/>
      <c r="F1312" s="1787"/>
      <c r="G1312" s="710"/>
      <c r="H1312" s="710"/>
      <c r="I1312" s="710"/>
      <c r="J1312" s="711"/>
      <c r="K1312" s="684">
        <f t="shared" si="1176"/>
        <v>1</v>
      </c>
      <c r="L1312" s="708">
        <v>1</v>
      </c>
      <c r="M1312" s="709">
        <f t="shared" si="1177"/>
        <v>1</v>
      </c>
      <c r="N1312" s="362" t="str">
        <f t="shared" si="1167"/>
        <v/>
      </c>
      <c r="O1312" s="1763" t="str">
        <f t="shared" si="1168"/>
        <v/>
      </c>
      <c r="P1312" s="1764" t="str">
        <f t="shared" si="1169"/>
        <v/>
      </c>
      <c r="Q1312" s="120" t="str">
        <f t="shared" si="1170"/>
        <v/>
      </c>
    </row>
    <row r="1313" spans="1:18" s="2052" customFormat="1">
      <c r="A1313" s="1767"/>
      <c r="B1313" s="2046">
        <v>1</v>
      </c>
      <c r="C1313" s="2047" t="s">
        <v>316</v>
      </c>
      <c r="D1313" s="2048"/>
      <c r="E1313" s="2049"/>
      <c r="F1313" s="2048"/>
      <c r="G1313" s="2050"/>
      <c r="H1313" s="2050"/>
      <c r="I1313" s="2050"/>
      <c r="J1313" s="2051"/>
      <c r="K1313" s="684">
        <f t="shared" si="1176"/>
        <v>1</v>
      </c>
      <c r="L1313" s="363">
        <v>1</v>
      </c>
      <c r="M1313" s="684">
        <f t="shared" si="1177"/>
        <v>1</v>
      </c>
      <c r="N1313" s="362" t="str">
        <f t="shared" si="1167"/>
        <v/>
      </c>
      <c r="O1313" s="1763" t="str">
        <f t="shared" si="1168"/>
        <v/>
      </c>
      <c r="P1313" s="1764" t="str">
        <f t="shared" si="1169"/>
        <v/>
      </c>
      <c r="Q1313" s="120" t="str">
        <f t="shared" si="1170"/>
        <v/>
      </c>
      <c r="R1313" s="639"/>
    </row>
    <row r="1314" spans="1:18" s="695" customFormat="1">
      <c r="A1314" s="693"/>
      <c r="B1314" s="1794"/>
      <c r="C1314" s="2053"/>
      <c r="D1314" s="2054"/>
      <c r="E1314" s="1581"/>
      <c r="F1314" s="2055"/>
      <c r="G1314" s="696"/>
      <c r="H1314" s="696"/>
      <c r="I1314" s="696"/>
      <c r="J1314" s="697"/>
      <c r="K1314" s="684">
        <f t="shared" si="1176"/>
        <v>1</v>
      </c>
      <c r="L1314" s="363">
        <v>1</v>
      </c>
      <c r="M1314" s="684">
        <f>IF(B1314="",1,B1314)</f>
        <v>1</v>
      </c>
      <c r="N1314" s="362" t="str">
        <f t="shared" si="1167"/>
        <v/>
      </c>
      <c r="O1314" s="1763" t="str">
        <f t="shared" si="1168"/>
        <v/>
      </c>
      <c r="P1314" s="1764" t="str">
        <f t="shared" si="1169"/>
        <v/>
      </c>
      <c r="Q1314" s="120" t="str">
        <f t="shared" si="1170"/>
        <v/>
      </c>
      <c r="R1314" s="185"/>
    </row>
    <row r="1315" spans="1:18" s="897" customFormat="1">
      <c r="A1315" s="693"/>
      <c r="B1315" s="895">
        <v>3</v>
      </c>
      <c r="C1315" s="721" t="str">
        <f>VLOOKUP(D1315,base_datos,6,FALSE)</f>
        <v>Rotulado por circuito.</v>
      </c>
      <c r="D1315" s="1579" t="s">
        <v>3067</v>
      </c>
      <c r="E1315" s="1580">
        <f>VLOOKUP(D1315,base_datos,5,FALSE)</f>
        <v>0.7</v>
      </c>
      <c r="F1315" s="1581">
        <f>+E1315*B1315</f>
        <v>2.0999999999999996</v>
      </c>
      <c r="G1315" s="1772"/>
      <c r="H1315" s="1772"/>
      <c r="I1315" s="1772"/>
      <c r="J1315" s="896"/>
      <c r="K1315" s="684">
        <f t="shared" si="1176"/>
        <v>1</v>
      </c>
      <c r="L1315" s="363">
        <v>1</v>
      </c>
      <c r="M1315" s="684">
        <f>IF(B1315="",1,B1315)</f>
        <v>3</v>
      </c>
      <c r="N1315" s="362" t="str">
        <f t="shared" si="1167"/>
        <v/>
      </c>
      <c r="O1315" s="1763" t="str">
        <f t="shared" si="1168"/>
        <v/>
      </c>
      <c r="P1315" s="1764" t="str">
        <f t="shared" si="1169"/>
        <v/>
      </c>
      <c r="Q1315" s="120" t="str">
        <f t="shared" si="1170"/>
        <v/>
      </c>
    </row>
    <row r="1316" spans="1:18" s="897" customFormat="1">
      <c r="A1316" s="693"/>
      <c r="B1316" s="895">
        <v>1</v>
      </c>
      <c r="C1316" s="721" t="str">
        <f>VLOOKUP(D1316,base_datos,6,FALSE)</f>
        <v>Rotulado para TAG - tablero de distribución.</v>
      </c>
      <c r="D1316" s="1579" t="s">
        <v>3066</v>
      </c>
      <c r="E1316" s="1580">
        <f>VLOOKUP(D1316,base_datos,5,FALSE)</f>
        <v>1.5</v>
      </c>
      <c r="F1316" s="1581">
        <f>+E1316*B1316</f>
        <v>1.5</v>
      </c>
      <c r="G1316" s="1772"/>
      <c r="H1316" s="1772"/>
      <c r="I1316" s="1772"/>
      <c r="J1316" s="896"/>
      <c r="K1316" s="684">
        <f t="shared" si="1176"/>
        <v>1</v>
      </c>
      <c r="L1316" s="363">
        <v>1</v>
      </c>
      <c r="M1316" s="684">
        <f t="shared" ref="M1316:M1319" si="1193">IF(B1316="",1,B1316)</f>
        <v>1</v>
      </c>
      <c r="N1316" s="362" t="str">
        <f t="shared" si="1167"/>
        <v/>
      </c>
      <c r="O1316" s="1763" t="str">
        <f t="shared" si="1168"/>
        <v/>
      </c>
      <c r="P1316" s="1764" t="str">
        <f t="shared" si="1169"/>
        <v/>
      </c>
      <c r="Q1316" s="120" t="str">
        <f t="shared" si="1170"/>
        <v/>
      </c>
    </row>
    <row r="1317" spans="1:18" s="1237" customFormat="1" ht="18" customHeight="1">
      <c r="A1317" s="1767"/>
      <c r="B1317" s="2093">
        <v>1</v>
      </c>
      <c r="C1317" s="694" t="s">
        <v>12552</v>
      </c>
      <c r="D1317" s="1888"/>
      <c r="E1317" s="1580">
        <f>E1319*15%</f>
        <v>18</v>
      </c>
      <c r="F1317" s="1581">
        <f t="shared" ref="F1317:F1318" si="1194">+E1317*B1317</f>
        <v>18</v>
      </c>
      <c r="G1317" s="1774"/>
      <c r="H1317" s="1774"/>
      <c r="I1317" s="1774"/>
      <c r="J1317" s="1181"/>
      <c r="K1317" s="684">
        <f t="shared" si="1176"/>
        <v>1</v>
      </c>
      <c r="L1317" s="708">
        <v>1</v>
      </c>
      <c r="M1317" s="709">
        <f t="shared" si="1193"/>
        <v>1</v>
      </c>
      <c r="N1317" s="362" t="str">
        <f t="shared" si="1167"/>
        <v/>
      </c>
      <c r="O1317" s="1763" t="str">
        <f t="shared" si="1168"/>
        <v/>
      </c>
      <c r="P1317" s="1764" t="str">
        <f t="shared" si="1169"/>
        <v/>
      </c>
      <c r="Q1317" s="120" t="str">
        <f t="shared" si="1170"/>
        <v/>
      </c>
      <c r="R1317" s="1765"/>
    </row>
    <row r="1318" spans="1:18" s="1237" customFormat="1" ht="18" customHeight="1">
      <c r="A1318" s="1767"/>
      <c r="B1318" s="1773">
        <v>1</v>
      </c>
      <c r="C1318" s="694" t="s">
        <v>12559</v>
      </c>
      <c r="D1318" s="1888"/>
      <c r="E1318" s="1999">
        <f>E1319*20%</f>
        <v>24</v>
      </c>
      <c r="F1318" s="1581">
        <f t="shared" si="1194"/>
        <v>24</v>
      </c>
      <c r="G1318" s="1774"/>
      <c r="H1318" s="1774"/>
      <c r="I1318" s="1774"/>
      <c r="J1318" s="1181"/>
      <c r="K1318" s="684">
        <f>+K1316</f>
        <v>1</v>
      </c>
      <c r="L1318" s="708">
        <v>1</v>
      </c>
      <c r="M1318" s="709">
        <f t="shared" si="1193"/>
        <v>1</v>
      </c>
      <c r="N1318" s="362" t="str">
        <f t="shared" si="1167"/>
        <v/>
      </c>
      <c r="O1318" s="1763" t="str">
        <f t="shared" si="1168"/>
        <v/>
      </c>
      <c r="P1318" s="1764" t="str">
        <f t="shared" si="1169"/>
        <v/>
      </c>
      <c r="Q1318" s="120" t="str">
        <f t="shared" si="1170"/>
        <v/>
      </c>
      <c r="R1318" s="1765"/>
    </row>
    <row r="1319" spans="1:18" s="1237" customFormat="1">
      <c r="A1319" s="2056"/>
      <c r="B1319" s="1967">
        <v>1</v>
      </c>
      <c r="C1319" s="694" t="s">
        <v>12560</v>
      </c>
      <c r="D1319" s="2057"/>
      <c r="E1319" s="1580">
        <v>120</v>
      </c>
      <c r="F1319" s="1968">
        <f>+E1319*B1319</f>
        <v>120</v>
      </c>
      <c r="G1319" s="1774"/>
      <c r="H1319" s="1774"/>
      <c r="I1319" s="1774"/>
      <c r="J1319" s="1181"/>
      <c r="K1319" s="684">
        <f>K1317</f>
        <v>1</v>
      </c>
      <c r="L1319" s="363">
        <v>1</v>
      </c>
      <c r="M1319" s="684">
        <f t="shared" si="1193"/>
        <v>1</v>
      </c>
      <c r="N1319" s="362" t="str">
        <f t="shared" si="1167"/>
        <v/>
      </c>
      <c r="O1319" s="1763" t="str">
        <f t="shared" si="1168"/>
        <v/>
      </c>
      <c r="P1319" s="1764" t="str">
        <f t="shared" si="1169"/>
        <v/>
      </c>
      <c r="Q1319" s="120" t="str">
        <f t="shared" si="1170"/>
        <v/>
      </c>
    </row>
    <row r="1320" spans="1:18" s="2066" customFormat="1" ht="16.2" thickBot="1">
      <c r="A1320" s="2058"/>
      <c r="B1320" s="2059"/>
      <c r="C1320" s="2060"/>
      <c r="D1320" s="2061"/>
      <c r="E1320" s="2062"/>
      <c r="F1320" s="2062"/>
      <c r="G1320" s="2063"/>
      <c r="H1320" s="2063"/>
      <c r="I1320" s="2064"/>
      <c r="J1320" s="2065"/>
      <c r="N1320" s="362" t="str">
        <f t="shared" si="1167"/>
        <v/>
      </c>
      <c r="O1320" s="1763" t="str">
        <f t="shared" si="1168"/>
        <v/>
      </c>
      <c r="P1320" s="1764" t="str">
        <f t="shared" si="1169"/>
        <v/>
      </c>
      <c r="Q1320" s="120" t="str">
        <f t="shared" si="1170"/>
        <v/>
      </c>
    </row>
    <row r="1321" spans="1:18" s="120" customFormat="1" ht="18" customHeight="1" thickBot="1">
      <c r="A1321" s="1989">
        <v>22</v>
      </c>
      <c r="B1321" s="1852">
        <v>1</v>
      </c>
      <c r="C1321" s="1756" t="s">
        <v>12485</v>
      </c>
      <c r="D1321" s="1588"/>
      <c r="E1321" s="1589"/>
      <c r="F1321" s="1589"/>
      <c r="G1321" s="1757">
        <f>SUM(F1322:F1358)</f>
        <v>922.54000000000008</v>
      </c>
      <c r="H1321" s="1758">
        <f>G1321*(1-$D$6)</f>
        <v>922.54000000000008</v>
      </c>
      <c r="I1321" s="1757">
        <f>ROUNDUP(H1321*$D$5,0)</f>
        <v>3137</v>
      </c>
      <c r="J1321" s="1759">
        <f>+I1321*B1321</f>
        <v>3137</v>
      </c>
      <c r="K1321" s="1788">
        <f>B1321</f>
        <v>1</v>
      </c>
      <c r="L1321" s="363"/>
      <c r="M1321" s="684"/>
      <c r="N1321" s="362" t="str">
        <f t="shared" si="1167"/>
        <v/>
      </c>
      <c r="O1321" s="1763" t="str">
        <f t="shared" si="1168"/>
        <v/>
      </c>
      <c r="P1321" s="1764" t="str">
        <f t="shared" si="1169"/>
        <v/>
      </c>
      <c r="Q1321" s="120" t="str">
        <f t="shared" si="1170"/>
        <v/>
      </c>
      <c r="R1321" s="185"/>
    </row>
    <row r="1322" spans="1:18" s="120" customFormat="1">
      <c r="A1322" s="685" t="s">
        <v>3064</v>
      </c>
      <c r="B1322" s="2038"/>
      <c r="C1322" s="1954"/>
      <c r="D1322" s="1955"/>
      <c r="E1322" s="1789"/>
      <c r="F1322" s="1789"/>
      <c r="G1322" s="686"/>
      <c r="H1322" s="686"/>
      <c r="I1322" s="686"/>
      <c r="J1322" s="1768"/>
      <c r="K1322" s="684">
        <f>K1321</f>
        <v>1</v>
      </c>
      <c r="L1322" s="363">
        <v>1</v>
      </c>
      <c r="M1322" s="684">
        <f>IF(B1322="",1,B1322)</f>
        <v>1</v>
      </c>
      <c r="N1322" s="362" t="str">
        <f t="shared" si="1167"/>
        <v/>
      </c>
      <c r="O1322" s="1763" t="str">
        <f t="shared" si="1168"/>
        <v/>
      </c>
      <c r="P1322" s="1764" t="str">
        <f t="shared" si="1169"/>
        <v/>
      </c>
      <c r="Q1322" s="120" t="str">
        <f t="shared" si="1170"/>
        <v/>
      </c>
      <c r="R1322" s="185"/>
    </row>
    <row r="1323" spans="1:18" s="120" customFormat="1">
      <c r="A1323" s="687" t="s">
        <v>4021</v>
      </c>
      <c r="B1323" s="2039"/>
      <c r="C1323" s="1959" t="s">
        <v>3158</v>
      </c>
      <c r="D1323" s="2040"/>
      <c r="E1323" s="1782"/>
      <c r="F1323" s="1782"/>
      <c r="G1323" s="686"/>
      <c r="H1323" s="686"/>
      <c r="I1323" s="686"/>
      <c r="J1323" s="688"/>
      <c r="K1323" s="684">
        <f t="shared" ref="K1323:L1326" si="1195">K1322</f>
        <v>1</v>
      </c>
      <c r="L1323" s="363">
        <v>1</v>
      </c>
      <c r="M1323" s="684">
        <f t="shared" ref="M1323:M1339" si="1196">IF(B1323="",1,B1323)</f>
        <v>1</v>
      </c>
      <c r="N1323" s="362" t="str">
        <f t="shared" si="1167"/>
        <v/>
      </c>
      <c r="O1323" s="1763" t="str">
        <f t="shared" si="1168"/>
        <v/>
      </c>
      <c r="P1323" s="1764" t="str">
        <f t="shared" si="1169"/>
        <v/>
      </c>
      <c r="Q1323" s="120" t="str">
        <f t="shared" si="1170"/>
        <v/>
      </c>
      <c r="R1323" s="185"/>
    </row>
    <row r="1324" spans="1:18" s="2434" customFormat="1">
      <c r="A1324" s="2418" t="s">
        <v>4136</v>
      </c>
      <c r="B1324" s="2486">
        <v>1</v>
      </c>
      <c r="C1324" s="2436" t="str">
        <f>VLOOKUP(D1324,base_datos,6,FALSE)</f>
        <v>ITM Riel-Din 3x32A - S203-C-32A - 10kA@400Vac-IEC60947-2 - marca ABB.</v>
      </c>
      <c r="D1324" s="2487" t="s">
        <v>981</v>
      </c>
      <c r="E1324" s="2482">
        <f>VLOOKUP(D1324,base_datos,5,FALSE)</f>
        <v>33.04</v>
      </c>
      <c r="F1324" s="2422">
        <f>+E1324*B1324</f>
        <v>33.04</v>
      </c>
      <c r="G1324" s="2424"/>
      <c r="H1324" s="2424"/>
      <c r="I1324" s="2424"/>
      <c r="J1324" s="2488"/>
      <c r="K1324" s="2426">
        <f>K1322</f>
        <v>1</v>
      </c>
      <c r="L1324" s="2458">
        <v>1</v>
      </c>
      <c r="M1324" s="2426">
        <f t="shared" si="1196"/>
        <v>1</v>
      </c>
      <c r="N1324" s="2429">
        <f t="shared" si="1167"/>
        <v>1</v>
      </c>
      <c r="O1324" s="2430" t="str">
        <f t="shared" si="1168"/>
        <v>2CDS253001R0324</v>
      </c>
      <c r="P1324" s="2431" t="str">
        <f t="shared" si="1169"/>
        <v>ITM Riel-Din 3x32A - S203-C-32A - 10kA@400Vac-IEC60947-2 - marca ABB.</v>
      </c>
      <c r="Q1324" s="2432" t="str">
        <f t="shared" si="1170"/>
        <v>S203-C-32A</v>
      </c>
      <c r="R1324" s="2433"/>
    </row>
    <row r="1325" spans="1:18" s="690" customFormat="1">
      <c r="A1325" s="687"/>
      <c r="B1325" s="2039">
        <v>1</v>
      </c>
      <c r="C1325" s="1960" t="str">
        <f>VLOOKUP(D1325,base_datos,6,FALSE)</f>
        <v>Interruptor Diferencial 4x40A - 30mA - clase A (inmunizado) - FH204-A-40A-30mA - marca ABB.</v>
      </c>
      <c r="D1325" s="1790" t="s">
        <v>5330</v>
      </c>
      <c r="E1325" s="1791">
        <f>VLOOKUP(D1325,base_datos,5,FALSE)</f>
        <v>83.199999999999989</v>
      </c>
      <c r="F1325" s="1782">
        <f>+E1325*B1325</f>
        <v>83.199999999999989</v>
      </c>
      <c r="G1325" s="1761"/>
      <c r="H1325" s="1761"/>
      <c r="I1325" s="1761"/>
      <c r="J1325" s="689"/>
      <c r="K1325" s="684">
        <f>K1323</f>
        <v>1</v>
      </c>
      <c r="L1325" s="363">
        <v>1</v>
      </c>
      <c r="M1325" s="684">
        <f t="shared" si="1196"/>
        <v>1</v>
      </c>
      <c r="N1325" s="362">
        <f t="shared" si="1167"/>
        <v>1</v>
      </c>
      <c r="O1325" s="1763" t="str">
        <f t="shared" si="1168"/>
        <v>2CSF204102R1400</v>
      </c>
      <c r="P1325" s="1764" t="str">
        <f t="shared" si="1169"/>
        <v>Interruptor Diferencial 4x40A - 30mA - clase A (inmunizado) - FH204-A-40A-30mA - marca ABB.</v>
      </c>
      <c r="Q1325" s="120" t="str">
        <f t="shared" si="1170"/>
        <v>FH204-A-40A-30mA</v>
      </c>
      <c r="R1325" s="185"/>
    </row>
    <row r="1326" spans="1:18" s="315" customFormat="1">
      <c r="A1326" s="687"/>
      <c r="B1326" s="1910"/>
      <c r="C1326" s="2041"/>
      <c r="D1326" s="1898"/>
      <c r="E1326" s="1791"/>
      <c r="F1326" s="2026"/>
      <c r="G1326" s="712"/>
      <c r="H1326" s="712"/>
      <c r="I1326" s="712"/>
      <c r="J1326" s="1928"/>
      <c r="K1326" s="684">
        <f t="shared" ref="K1326" si="1197">K1325</f>
        <v>1</v>
      </c>
      <c r="L1326" s="2042">
        <f t="shared" si="1195"/>
        <v>1</v>
      </c>
      <c r="M1326" s="684">
        <f t="shared" si="1196"/>
        <v>1</v>
      </c>
      <c r="N1326" s="362" t="str">
        <f t="shared" si="1167"/>
        <v/>
      </c>
      <c r="O1326" s="1763" t="str">
        <f t="shared" si="1168"/>
        <v/>
      </c>
      <c r="P1326" s="1764" t="str">
        <f t="shared" si="1169"/>
        <v/>
      </c>
      <c r="Q1326" s="120" t="str">
        <f t="shared" si="1170"/>
        <v/>
      </c>
    </row>
    <row r="1327" spans="1:18" s="185" customFormat="1">
      <c r="A1327" s="687" t="s">
        <v>12356</v>
      </c>
      <c r="B1327" s="714"/>
      <c r="C1327" s="313" t="s">
        <v>729</v>
      </c>
      <c r="D1327" s="173"/>
      <c r="E1327" s="1786"/>
      <c r="F1327" s="1787"/>
      <c r="G1327" s="710"/>
      <c r="H1327" s="710"/>
      <c r="I1327" s="710"/>
      <c r="J1327" s="711"/>
      <c r="K1327" s="684">
        <f t="shared" ref="K1327" si="1198">K1326</f>
        <v>1</v>
      </c>
      <c r="L1327" s="708">
        <v>1</v>
      </c>
      <c r="M1327" s="684">
        <f t="shared" si="1196"/>
        <v>1</v>
      </c>
      <c r="N1327" s="362" t="str">
        <f t="shared" si="1167"/>
        <v/>
      </c>
      <c r="O1327" s="1763" t="str">
        <f t="shared" si="1168"/>
        <v/>
      </c>
      <c r="P1327" s="1764" t="str">
        <f t="shared" si="1169"/>
        <v/>
      </c>
      <c r="Q1327" s="120" t="str">
        <f t="shared" si="1170"/>
        <v/>
      </c>
    </row>
    <row r="1328" spans="1:18" s="315" customFormat="1">
      <c r="A1328" s="687" t="s">
        <v>12482</v>
      </c>
      <c r="B1328" s="2096">
        <v>1</v>
      </c>
      <c r="C1328" s="1907" t="s">
        <v>5103</v>
      </c>
      <c r="D1328" s="1935"/>
      <c r="E1328" s="1786"/>
      <c r="F1328" s="1908">
        <f>SUM(F1330:F1334)*(B1328-1)</f>
        <v>0</v>
      </c>
      <c r="G1328" s="712"/>
      <c r="H1328" s="712"/>
      <c r="I1328" s="712"/>
      <c r="J1328" s="713"/>
      <c r="K1328" s="684">
        <f t="shared" ref="K1328" si="1199">K1327</f>
        <v>1</v>
      </c>
      <c r="L1328" s="1909">
        <f>B1328</f>
        <v>1</v>
      </c>
      <c r="M1328" s="684">
        <f t="shared" si="1196"/>
        <v>1</v>
      </c>
      <c r="N1328" s="362" t="str">
        <f t="shared" si="1167"/>
        <v/>
      </c>
      <c r="O1328" s="1763" t="str">
        <f t="shared" si="1168"/>
        <v/>
      </c>
      <c r="P1328" s="1764" t="str">
        <f t="shared" si="1169"/>
        <v/>
      </c>
      <c r="Q1328" s="120" t="str">
        <f t="shared" si="1170"/>
        <v/>
      </c>
    </row>
    <row r="1329" spans="1:18" s="185" customFormat="1">
      <c r="A1329" s="1767"/>
      <c r="B1329" s="1910">
        <v>3</v>
      </c>
      <c r="C1329" s="1911" t="str">
        <f>VLOOKUP(D1329,base_datos,6,FALSE)</f>
        <v>Portalámpara + lampara tipo LED - color Rojo - alimentacion: 220-230Vac, d=22mm. - CL2-523R - línea compacta - marca ABB.</v>
      </c>
      <c r="D1329" s="1790" t="s">
        <v>2439</v>
      </c>
      <c r="E1329" s="1939">
        <f>VLOOKUP(D1329,base_datos,5,FALSE)</f>
        <v>12.299999999999999</v>
      </c>
      <c r="F1329" s="1912">
        <f>+E1329*B1329</f>
        <v>36.9</v>
      </c>
      <c r="G1329" s="710"/>
      <c r="H1329" s="710"/>
      <c r="I1329" s="710"/>
      <c r="J1329" s="711"/>
      <c r="K1329" s="684">
        <f t="shared" ref="K1329" si="1200">K1328</f>
        <v>1</v>
      </c>
      <c r="L1329" s="1913">
        <f>L1327</f>
        <v>1</v>
      </c>
      <c r="M1329" s="684">
        <f t="shared" si="1196"/>
        <v>3</v>
      </c>
      <c r="N1329" s="362">
        <f t="shared" si="1167"/>
        <v>3</v>
      </c>
      <c r="O1329" s="1763" t="str">
        <f t="shared" si="1168"/>
        <v>1SFA619403R5231</v>
      </c>
      <c r="P1329" s="1764" t="str">
        <f t="shared" si="1169"/>
        <v>Portalámpara + lampara tipo LED - color Rojo - alimentacion: 220-230Vac, d=22mm. - CL2-523R - línea compacta - marca ABB.</v>
      </c>
      <c r="Q1329" s="120" t="str">
        <f t="shared" si="1170"/>
        <v>LAMP_ROJO_220V</v>
      </c>
    </row>
    <row r="1330" spans="1:18" s="185" customFormat="1">
      <c r="A1330" s="687" t="s">
        <v>12551</v>
      </c>
      <c r="B1330" s="1910">
        <v>3</v>
      </c>
      <c r="C1330" s="1911" t="str">
        <f>VLOOKUP(D1330,base_datos,6,FALSE)</f>
        <v>Portalámpara + lampara tipo LED - color Verde - alimentacion: 220-230Vac, d=22mm. - CL2-523G - línea compacta - marca ABB.</v>
      </c>
      <c r="D1330" s="1790" t="s">
        <v>2440</v>
      </c>
      <c r="E1330" s="1939">
        <f>VLOOKUP(D1330,base_datos,5,FALSE)</f>
        <v>12.299999999999999</v>
      </c>
      <c r="F1330" s="1912">
        <f>+E1330*B1330</f>
        <v>36.9</v>
      </c>
      <c r="G1330" s="710"/>
      <c r="H1330" s="710"/>
      <c r="I1330" s="710"/>
      <c r="J1330" s="711"/>
      <c r="K1330" s="684">
        <f t="shared" ref="K1330" si="1201">K1329</f>
        <v>1</v>
      </c>
      <c r="L1330" s="1913">
        <f>L1328</f>
        <v>1</v>
      </c>
      <c r="M1330" s="684">
        <f t="shared" si="1196"/>
        <v>3</v>
      </c>
      <c r="N1330" s="362">
        <f t="shared" si="1167"/>
        <v>3</v>
      </c>
      <c r="O1330" s="1763" t="str">
        <f t="shared" si="1168"/>
        <v>1SFA619403R5232</v>
      </c>
      <c r="P1330" s="1764" t="str">
        <f t="shared" si="1169"/>
        <v>Portalámpara + lampara tipo LED - color Verde - alimentacion: 220-230Vac, d=22mm. - CL2-523G - línea compacta - marca ABB.</v>
      </c>
      <c r="Q1330" s="120" t="str">
        <f t="shared" si="1170"/>
        <v>LAMP_VERDE_220V</v>
      </c>
    </row>
    <row r="1331" spans="1:18" s="1921" customFormat="1">
      <c r="A1331" s="687" t="s">
        <v>3542</v>
      </c>
      <c r="B1331" s="1914">
        <v>1</v>
      </c>
      <c r="C1331" s="1915" t="s">
        <v>3366</v>
      </c>
      <c r="D1331" s="1916"/>
      <c r="E1331" s="1917"/>
      <c r="F1331" s="1918"/>
      <c r="G1331" s="1919"/>
      <c r="H1331" s="1919"/>
      <c r="I1331" s="1919"/>
      <c r="J1331" s="1920"/>
      <c r="K1331" s="684">
        <f t="shared" ref="K1331" si="1202">K1330</f>
        <v>1</v>
      </c>
      <c r="L1331" s="1913">
        <f>L1330</f>
        <v>1</v>
      </c>
      <c r="M1331" s="684">
        <f t="shared" si="1196"/>
        <v>1</v>
      </c>
      <c r="N1331" s="362" t="str">
        <f t="shared" si="1167"/>
        <v/>
      </c>
      <c r="O1331" s="1763" t="str">
        <f t="shared" si="1168"/>
        <v/>
      </c>
      <c r="P1331" s="1764" t="str">
        <f t="shared" si="1169"/>
        <v/>
      </c>
      <c r="Q1331" s="120" t="str">
        <f t="shared" si="1170"/>
        <v/>
      </c>
    </row>
    <row r="1332" spans="1:18" s="320" customFormat="1">
      <c r="A1332" s="1771"/>
      <c r="B1332" s="1922">
        <v>1</v>
      </c>
      <c r="C1332" s="721" t="str">
        <f>VLOOKUP(D1332,base_datos,6,FALSE)</f>
        <v>Rele auxiliar enchufable +4NA/NC (D2PR4B + base D2PA6), 220Vac - marca EATON.</v>
      </c>
      <c r="D1332" s="1579" t="s">
        <v>772</v>
      </c>
      <c r="E1332" s="1581">
        <f>VLOOKUP(D1332,base_datos,5,FALSE)</f>
        <v>27</v>
      </c>
      <c r="F1332" s="1923">
        <f>+E1332*B1332</f>
        <v>27</v>
      </c>
      <c r="G1332" s="1924"/>
      <c r="H1332" s="1924"/>
      <c r="I1332" s="1924"/>
      <c r="J1332" s="722"/>
      <c r="K1332" s="684">
        <f t="shared" ref="K1332" si="1203">K1331</f>
        <v>1</v>
      </c>
      <c r="L1332" s="1913">
        <f>L1329</f>
        <v>1</v>
      </c>
      <c r="M1332" s="684">
        <f t="shared" si="1196"/>
        <v>1</v>
      </c>
      <c r="N1332" s="362">
        <f t="shared" si="1167"/>
        <v>1</v>
      </c>
      <c r="O1332" s="1763" t="str">
        <f t="shared" si="1168"/>
        <v>D2PR4B+D2PA6</v>
      </c>
      <c r="P1332" s="1764" t="str">
        <f t="shared" si="1169"/>
        <v>Rele auxiliar enchufable +4NA/NC (D2PR4B + base D2PA6), 220Vac - marca EATON.</v>
      </c>
      <c r="Q1332" s="120" t="str">
        <f t="shared" si="1170"/>
        <v>D2PR4B+D2PA6</v>
      </c>
    </row>
    <row r="1333" spans="1:18" s="320" customFormat="1">
      <c r="A1333" s="1771"/>
      <c r="B1333" s="2131">
        <v>1</v>
      </c>
      <c r="C1333" s="2132" t="s">
        <v>12558</v>
      </c>
      <c r="D1333" s="2133"/>
      <c r="E1333" s="2134">
        <v>32</v>
      </c>
      <c r="F1333" s="2134">
        <f>+E1333*B1333</f>
        <v>32</v>
      </c>
      <c r="G1333" s="1924"/>
      <c r="H1333" s="1924"/>
      <c r="I1333" s="1924"/>
      <c r="J1333" s="722"/>
      <c r="K1333" s="684">
        <f t="shared" ref="K1333" si="1204">K1332</f>
        <v>1</v>
      </c>
      <c r="L1333" s="1913">
        <f>L1330</f>
        <v>1</v>
      </c>
      <c r="M1333" s="684">
        <f t="shared" si="1196"/>
        <v>1</v>
      </c>
      <c r="N1333" s="362" t="str">
        <f t="shared" si="1167"/>
        <v/>
      </c>
      <c r="O1333" s="1763" t="str">
        <f t="shared" si="1168"/>
        <v/>
      </c>
      <c r="P1333" s="1764" t="str">
        <f t="shared" si="1169"/>
        <v/>
      </c>
      <c r="Q1333" s="120" t="str">
        <f t="shared" si="1170"/>
        <v/>
      </c>
    </row>
    <row r="1334" spans="1:18" s="320" customFormat="1">
      <c r="A1334" s="687"/>
      <c r="B1334" s="1922">
        <v>4</v>
      </c>
      <c r="C1334" s="721" t="str">
        <f>VLOOKUP(D1334,base_datos,6,FALSE)</f>
        <v>Base portafusibles + Fusibles de protección para control.</v>
      </c>
      <c r="D1334" s="1579" t="s">
        <v>453</v>
      </c>
      <c r="E1334" s="1581">
        <f>VLOOKUP(D1334,base_datos,5,FALSE)</f>
        <v>8.1750000000000007</v>
      </c>
      <c r="F1334" s="1923">
        <f>+E1334*B1334</f>
        <v>32.700000000000003</v>
      </c>
      <c r="G1334" s="1924"/>
      <c r="H1334" s="1924"/>
      <c r="I1334" s="1924"/>
      <c r="J1334" s="722"/>
      <c r="K1334" s="684">
        <f t="shared" ref="K1334" si="1205">K1333</f>
        <v>1</v>
      </c>
      <c r="L1334" s="1913">
        <f>L1331</f>
        <v>1</v>
      </c>
      <c r="M1334" s="684">
        <f t="shared" si="1196"/>
        <v>4</v>
      </c>
      <c r="N1334" s="362" t="str">
        <f t="shared" si="1167"/>
        <v/>
      </c>
      <c r="O1334" s="1763" t="str">
        <f t="shared" si="1168"/>
        <v/>
      </c>
      <c r="P1334" s="1764" t="str">
        <f t="shared" si="1169"/>
        <v/>
      </c>
      <c r="Q1334" s="120" t="str">
        <f t="shared" si="1170"/>
        <v/>
      </c>
    </row>
    <row r="1335" spans="1:18" s="315" customFormat="1">
      <c r="A1335" s="687"/>
      <c r="B1335" s="1906"/>
      <c r="C1335" s="1907"/>
      <c r="D1335" s="1935"/>
      <c r="E1335" s="1786"/>
      <c r="F1335" s="1936"/>
      <c r="G1335" s="712"/>
      <c r="H1335" s="712"/>
      <c r="I1335" s="712"/>
      <c r="J1335" s="713"/>
      <c r="K1335" s="684">
        <f t="shared" ref="K1335" si="1206">K1334</f>
        <v>1</v>
      </c>
      <c r="L1335" s="1909">
        <f>B1335</f>
        <v>0</v>
      </c>
      <c r="M1335" s="684">
        <f t="shared" si="1196"/>
        <v>1</v>
      </c>
      <c r="N1335" s="362" t="str">
        <f t="shared" si="1167"/>
        <v/>
      </c>
      <c r="O1335" s="1763" t="str">
        <f t="shared" si="1168"/>
        <v/>
      </c>
      <c r="P1335" s="1764" t="str">
        <f t="shared" si="1169"/>
        <v/>
      </c>
      <c r="Q1335" s="120" t="str">
        <f t="shared" si="1170"/>
        <v/>
      </c>
    </row>
    <row r="1336" spans="1:18" s="185" customFormat="1" ht="13.5" customHeight="1">
      <c r="A1336" s="687"/>
      <c r="B1336" s="1922"/>
      <c r="C1336" s="1956" t="s">
        <v>12368</v>
      </c>
      <c r="D1336" s="1579"/>
      <c r="E1336" s="1957"/>
      <c r="F1336" s="1958"/>
      <c r="G1336" s="710"/>
      <c r="H1336" s="710"/>
      <c r="I1336" s="710"/>
      <c r="J1336" s="711"/>
      <c r="K1336" s="684">
        <f t="shared" ref="K1336" si="1207">K1335</f>
        <v>1</v>
      </c>
      <c r="L1336" s="708">
        <v>1</v>
      </c>
      <c r="M1336" s="684">
        <f t="shared" si="1196"/>
        <v>1</v>
      </c>
      <c r="N1336" s="362" t="str">
        <f t="shared" si="1167"/>
        <v/>
      </c>
      <c r="O1336" s="1763" t="str">
        <f t="shared" si="1168"/>
        <v/>
      </c>
      <c r="P1336" s="1764" t="str">
        <f t="shared" si="1169"/>
        <v/>
      </c>
      <c r="Q1336" s="120" t="str">
        <f t="shared" si="1170"/>
        <v/>
      </c>
    </row>
    <row r="1337" spans="1:18" s="185" customFormat="1">
      <c r="A1337" s="1771"/>
      <c r="B1337" s="714"/>
      <c r="C1337" s="313"/>
      <c r="D1337" s="173"/>
      <c r="E1337" s="1786"/>
      <c r="F1337" s="1787"/>
      <c r="G1337" s="710"/>
      <c r="H1337" s="710"/>
      <c r="I1337" s="710"/>
      <c r="J1337" s="711"/>
      <c r="K1337" s="684">
        <f t="shared" ref="K1337" si="1208">K1336</f>
        <v>1</v>
      </c>
      <c r="L1337" s="708">
        <v>1</v>
      </c>
      <c r="M1337" s="684">
        <f t="shared" si="1196"/>
        <v>1</v>
      </c>
      <c r="N1337" s="362" t="str">
        <f t="shared" si="1167"/>
        <v/>
      </c>
      <c r="O1337" s="1763" t="str">
        <f t="shared" si="1168"/>
        <v/>
      </c>
      <c r="P1337" s="1764" t="str">
        <f t="shared" si="1169"/>
        <v/>
      </c>
      <c r="Q1337" s="120" t="str">
        <f t="shared" si="1170"/>
        <v/>
      </c>
    </row>
    <row r="1338" spans="1:18" s="690" customFormat="1">
      <c r="A1338" s="687"/>
      <c r="B1338" s="2043"/>
      <c r="C1338" s="1966" t="s">
        <v>3377</v>
      </c>
      <c r="D1338" s="1582"/>
      <c r="E1338" s="1780"/>
      <c r="F1338" s="1782"/>
      <c r="G1338" s="1761"/>
      <c r="H1338" s="1761"/>
      <c r="I1338" s="1761"/>
      <c r="J1338" s="689"/>
      <c r="K1338" s="684">
        <f t="shared" ref="K1338" si="1209">K1337</f>
        <v>1</v>
      </c>
      <c r="L1338" s="363">
        <v>1</v>
      </c>
      <c r="M1338" s="684">
        <f t="shared" si="1196"/>
        <v>1</v>
      </c>
      <c r="N1338" s="362" t="str">
        <f t="shared" si="1167"/>
        <v/>
      </c>
      <c r="O1338" s="1763" t="str">
        <f t="shared" si="1168"/>
        <v/>
      </c>
      <c r="P1338" s="1764" t="str">
        <f t="shared" si="1169"/>
        <v/>
      </c>
      <c r="Q1338" s="120" t="str">
        <f t="shared" si="1170"/>
        <v/>
      </c>
      <c r="R1338" s="185"/>
    </row>
    <row r="1339" spans="1:18" s="690" customFormat="1">
      <c r="A1339" s="687"/>
      <c r="B1339" s="2039">
        <v>1</v>
      </c>
      <c r="C1339" s="1960" t="str">
        <f t="shared" ref="C1339:C1344" si="1210">VLOOKUP(D1339,base_datos,6,FALSE)</f>
        <v>ITM Riel-Din 3x32A - S203-C-32A - 10kA@400Vac-IEC60947-2 - marca ABB.</v>
      </c>
      <c r="D1339" s="1790" t="s">
        <v>981</v>
      </c>
      <c r="E1339" s="1791">
        <f t="shared" ref="E1339:E1344" si="1211">VLOOKUP(D1339,base_datos,5,FALSE)</f>
        <v>33.04</v>
      </c>
      <c r="F1339" s="1782">
        <f t="shared" ref="F1339:F1345" si="1212">+E1339*B1339</f>
        <v>33.04</v>
      </c>
      <c r="G1339" s="1761"/>
      <c r="H1339" s="1761"/>
      <c r="I1339" s="1761"/>
      <c r="J1339" s="1783"/>
      <c r="K1339" s="684">
        <f t="shared" ref="K1339" si="1213">K1338</f>
        <v>1</v>
      </c>
      <c r="L1339" s="363">
        <v>1</v>
      </c>
      <c r="M1339" s="684">
        <f t="shared" si="1196"/>
        <v>1</v>
      </c>
      <c r="N1339" s="362">
        <f t="shared" si="1167"/>
        <v>1</v>
      </c>
      <c r="O1339" s="1763" t="str">
        <f t="shared" si="1168"/>
        <v>2CDS253001R0324</v>
      </c>
      <c r="P1339" s="1764" t="str">
        <f t="shared" si="1169"/>
        <v>ITM Riel-Din 3x32A - S203-C-32A - 10kA@400Vac-IEC60947-2 - marca ABB.</v>
      </c>
      <c r="Q1339" s="120" t="str">
        <f t="shared" si="1170"/>
        <v>S203-C-32A</v>
      </c>
      <c r="R1339" s="185"/>
    </row>
    <row r="1340" spans="1:18" s="690" customFormat="1">
      <c r="A1340" s="687"/>
      <c r="B1340" s="2039">
        <v>1</v>
      </c>
      <c r="C1340" s="2041" t="str">
        <f t="shared" si="1210"/>
        <v>Tomacorriente industrial, 3P+T, 32A / 250V, Azul, 9H, empotrable, IP67 - (Ref: 1505) - marca MENNEKES.</v>
      </c>
      <c r="D1340" s="1898" t="s">
        <v>5974</v>
      </c>
      <c r="E1340" s="1791">
        <f t="shared" si="1211"/>
        <v>28.8</v>
      </c>
      <c r="F1340" s="1782">
        <f t="shared" si="1212"/>
        <v>28.8</v>
      </c>
      <c r="G1340" s="1761"/>
      <c r="H1340" s="1761"/>
      <c r="I1340" s="1761"/>
      <c r="J1340" s="1783"/>
      <c r="K1340" s="684">
        <f t="shared" ref="K1340" si="1214">K1339</f>
        <v>1</v>
      </c>
      <c r="L1340" s="363">
        <v>1</v>
      </c>
      <c r="M1340" s="684">
        <f>IF(B1340="",1,B1340)</f>
        <v>1</v>
      </c>
      <c r="N1340" s="362">
        <f t="shared" si="1167"/>
        <v>1</v>
      </c>
      <c r="O1340" s="1763">
        <f t="shared" si="1168"/>
        <v>1505</v>
      </c>
      <c r="P1340" s="1764" t="str">
        <f t="shared" si="1169"/>
        <v>Tomacorriente industrial, 3P+T, 32A / 250V, Azul, 9H, empotrable, IP67 - (Ref: 1505) - marca MENNEKES.</v>
      </c>
      <c r="Q1340" s="120" t="str">
        <f t="shared" si="1170"/>
        <v>TOMA-I-EMP_3P+T(32A)_IP67</v>
      </c>
      <c r="R1340" s="185"/>
    </row>
    <row r="1341" spans="1:18" s="690" customFormat="1">
      <c r="A1341" s="687"/>
      <c r="B1341" s="2039">
        <v>1</v>
      </c>
      <c r="C1341" s="2041" t="str">
        <f t="shared" si="1210"/>
        <v>Enchufe industrial, 3P+T, 32A / 250V, Azul, 9H, IP67 - (Ref: 293) - marca MENNEKES.</v>
      </c>
      <c r="D1341" s="1898" t="s">
        <v>5975</v>
      </c>
      <c r="E1341" s="1791">
        <f t="shared" si="1211"/>
        <v>34.800000000000004</v>
      </c>
      <c r="F1341" s="1782">
        <f t="shared" si="1212"/>
        <v>34.800000000000004</v>
      </c>
      <c r="G1341" s="1761"/>
      <c r="H1341" s="1761"/>
      <c r="I1341" s="1761"/>
      <c r="J1341" s="1783"/>
      <c r="K1341" s="684">
        <f t="shared" ref="K1341" si="1215">K1340</f>
        <v>1</v>
      </c>
      <c r="L1341" s="363">
        <v>1</v>
      </c>
      <c r="M1341" s="684">
        <f t="shared" ref="M1341:M1342" si="1216">IF(B1341="",1,B1341)</f>
        <v>1</v>
      </c>
      <c r="N1341" s="362">
        <f t="shared" si="1167"/>
        <v>1</v>
      </c>
      <c r="O1341" s="1763">
        <f t="shared" si="1168"/>
        <v>293</v>
      </c>
      <c r="P1341" s="1764" t="str">
        <f t="shared" si="1169"/>
        <v>Enchufe industrial, 3P+T, 32A / 250V, Azul, 9H, IP67 - (Ref: 293) - marca MENNEKES.</v>
      </c>
      <c r="Q1341" s="120" t="str">
        <f t="shared" si="1170"/>
        <v>ENCH-IND 3P+T(32A)_IP67</v>
      </c>
      <c r="R1341" s="185"/>
    </row>
    <row r="1342" spans="1:18" s="690" customFormat="1">
      <c r="A1342" s="687"/>
      <c r="B1342" s="2039">
        <v>1</v>
      </c>
      <c r="C1342" s="1960" t="str">
        <f t="shared" si="1210"/>
        <v>ITM Riel-Din 2x16A - S202-C-16A - 10kA@400Vac-IEC60947-2 - marca ABB.</v>
      </c>
      <c r="D1342" s="1790" t="s">
        <v>970</v>
      </c>
      <c r="E1342" s="1791">
        <f t="shared" si="1211"/>
        <v>17.96</v>
      </c>
      <c r="F1342" s="1782">
        <f t="shared" si="1212"/>
        <v>17.96</v>
      </c>
      <c r="G1342" s="1761"/>
      <c r="H1342" s="1761"/>
      <c r="I1342" s="1761"/>
      <c r="J1342" s="1783"/>
      <c r="K1342" s="684">
        <f t="shared" ref="K1342" si="1217">K1341</f>
        <v>1</v>
      </c>
      <c r="L1342" s="363">
        <v>1</v>
      </c>
      <c r="M1342" s="684">
        <f t="shared" si="1216"/>
        <v>1</v>
      </c>
      <c r="N1342" s="362">
        <f t="shared" si="1167"/>
        <v>1</v>
      </c>
      <c r="O1342" s="1763" t="str">
        <f t="shared" si="1168"/>
        <v>2CDS252001R0164</v>
      </c>
      <c r="P1342" s="1764" t="str">
        <f t="shared" si="1169"/>
        <v>ITM Riel-Din 2x16A - S202-C-16A - 10kA@400Vac-IEC60947-2 - marca ABB.</v>
      </c>
      <c r="Q1342" s="120" t="str">
        <f t="shared" si="1170"/>
        <v>S202-C-16A</v>
      </c>
      <c r="R1342" s="185"/>
    </row>
    <row r="1343" spans="1:18" s="315" customFormat="1">
      <c r="A1343" s="2044"/>
      <c r="B1343" s="2045">
        <v>1</v>
      </c>
      <c r="C1343" s="2041" t="str">
        <f t="shared" si="1210"/>
        <v>Tomacorriente industrial, 2P+T, 16A / 250V, Azul, 6H, empotrable, IP67 - (Ref: 1475) - marca MENNEKES.</v>
      </c>
      <c r="D1343" s="1898" t="s">
        <v>5968</v>
      </c>
      <c r="E1343" s="1791">
        <f t="shared" si="1211"/>
        <v>23.9</v>
      </c>
      <c r="F1343" s="1782">
        <f t="shared" si="1212"/>
        <v>23.9</v>
      </c>
      <c r="G1343" s="712"/>
      <c r="H1343" s="712"/>
      <c r="I1343" s="712"/>
      <c r="J1343" s="1928"/>
      <c r="K1343" s="684">
        <f t="shared" ref="K1343" si="1218">K1342</f>
        <v>1</v>
      </c>
      <c r="L1343" s="2042"/>
      <c r="M1343" s="684"/>
      <c r="N1343" s="362">
        <f t="shared" si="1167"/>
        <v>0</v>
      </c>
      <c r="O1343" s="1763">
        <f t="shared" si="1168"/>
        <v>1475</v>
      </c>
      <c r="P1343" s="1764" t="str">
        <f t="shared" si="1169"/>
        <v>Tomacorriente industrial, 2P+T, 16A / 250V, Azul, 6H, empotrable, IP67 - (Ref: 1475) - marca MENNEKES.</v>
      </c>
      <c r="Q1343" s="120" t="str">
        <f t="shared" si="1170"/>
        <v>TOMA-I-EMP_2P+T(16A)_IP67</v>
      </c>
    </row>
    <row r="1344" spans="1:18" s="695" customFormat="1">
      <c r="A1344" s="2044"/>
      <c r="B1344" s="2045">
        <v>1</v>
      </c>
      <c r="C1344" s="2041" t="str">
        <f t="shared" si="1210"/>
        <v>Enchufe industrial, 2P+T, 16A / 250V, Azul, 6H, IP67 - (Ref: 278) - marca MENNEKES.</v>
      </c>
      <c r="D1344" s="1898" t="s">
        <v>5969</v>
      </c>
      <c r="E1344" s="1791">
        <f t="shared" si="1211"/>
        <v>18.100000000000001</v>
      </c>
      <c r="F1344" s="1782">
        <f t="shared" si="1212"/>
        <v>18.100000000000001</v>
      </c>
      <c r="G1344" s="1969"/>
      <c r="H1344" s="1969"/>
      <c r="I1344" s="1969"/>
      <c r="J1344" s="1970"/>
      <c r="K1344" s="684">
        <f t="shared" ref="K1344" si="1219">K1343</f>
        <v>1</v>
      </c>
      <c r="L1344" s="363"/>
      <c r="M1344" s="684"/>
      <c r="N1344" s="362">
        <f t="shared" si="1167"/>
        <v>0</v>
      </c>
      <c r="O1344" s="1763">
        <f t="shared" si="1168"/>
        <v>278</v>
      </c>
      <c r="P1344" s="1764" t="str">
        <f t="shared" si="1169"/>
        <v>Enchufe industrial, 2P+T, 16A / 250V, Azul, 6H, IP67 - (Ref: 278) - marca MENNEKES.</v>
      </c>
      <c r="Q1344" s="120" t="str">
        <f t="shared" si="1170"/>
        <v>ENCH-IND 2P+T(16A)_IP67</v>
      </c>
      <c r="R1344" s="185"/>
    </row>
    <row r="1345" spans="1:18" s="695" customFormat="1">
      <c r="A1345" s="2044"/>
      <c r="B1345" s="2045">
        <v>1</v>
      </c>
      <c r="C1345" s="694" t="s">
        <v>12484</v>
      </c>
      <c r="D1345" s="1582"/>
      <c r="E1345" s="2000">
        <v>45</v>
      </c>
      <c r="F1345" s="1968">
        <f t="shared" si="1212"/>
        <v>45</v>
      </c>
      <c r="G1345" s="1969"/>
      <c r="H1345" s="1969"/>
      <c r="I1345" s="1969"/>
      <c r="J1345" s="1970"/>
      <c r="K1345" s="684">
        <f t="shared" ref="K1345" si="1220">K1344</f>
        <v>1</v>
      </c>
      <c r="L1345" s="363">
        <v>1</v>
      </c>
      <c r="M1345" s="684">
        <f t="shared" ref="M1345:M1352" si="1221">IF(B1345="",1,B1345)</f>
        <v>1</v>
      </c>
      <c r="N1345" s="362" t="str">
        <f t="shared" si="1167"/>
        <v/>
      </c>
      <c r="O1345" s="1763" t="str">
        <f t="shared" si="1168"/>
        <v/>
      </c>
      <c r="P1345" s="1764" t="str">
        <f t="shared" si="1169"/>
        <v/>
      </c>
      <c r="Q1345" s="120" t="str">
        <f t="shared" si="1170"/>
        <v/>
      </c>
      <c r="R1345" s="185"/>
    </row>
    <row r="1346" spans="1:18" s="185" customFormat="1">
      <c r="A1346" s="687"/>
      <c r="B1346" s="714"/>
      <c r="C1346" s="313" t="s">
        <v>729</v>
      </c>
      <c r="D1346" s="173"/>
      <c r="E1346" s="1786"/>
      <c r="F1346" s="1787"/>
      <c r="G1346" s="710"/>
      <c r="H1346" s="710"/>
      <c r="I1346" s="710"/>
      <c r="J1346" s="711"/>
      <c r="K1346" s="684">
        <f t="shared" ref="K1346" si="1222">K1345</f>
        <v>1</v>
      </c>
      <c r="L1346" s="363">
        <v>1</v>
      </c>
      <c r="M1346" s="684">
        <f t="shared" si="1221"/>
        <v>1</v>
      </c>
      <c r="N1346" s="362" t="str">
        <f t="shared" si="1167"/>
        <v/>
      </c>
      <c r="O1346" s="1763" t="str">
        <f t="shared" si="1168"/>
        <v/>
      </c>
      <c r="P1346" s="1764" t="str">
        <f t="shared" si="1169"/>
        <v/>
      </c>
      <c r="Q1346" s="120" t="str">
        <f t="shared" si="1170"/>
        <v/>
      </c>
    </row>
    <row r="1347" spans="1:18" s="1236" customFormat="1" ht="18" customHeight="1">
      <c r="A1347" s="1767"/>
      <c r="B1347" s="1853">
        <v>1</v>
      </c>
      <c r="C1347" s="1895" t="s">
        <v>12364</v>
      </c>
      <c r="D1347" s="1902"/>
      <c r="E1347" s="1792"/>
      <c r="F1347" s="1793"/>
      <c r="G1347" s="1784"/>
      <c r="H1347" s="1784"/>
      <c r="I1347" s="1784"/>
      <c r="J1347" s="1182"/>
      <c r="K1347" s="684">
        <f t="shared" ref="K1347" si="1223">K1346</f>
        <v>1</v>
      </c>
      <c r="L1347" s="708">
        <v>1</v>
      </c>
      <c r="M1347" s="709">
        <f t="shared" si="1221"/>
        <v>1</v>
      </c>
      <c r="N1347" s="362" t="str">
        <f t="shared" si="1167"/>
        <v/>
      </c>
      <c r="O1347" s="1763" t="str">
        <f t="shared" si="1168"/>
        <v/>
      </c>
      <c r="P1347" s="1764" t="str">
        <f t="shared" si="1169"/>
        <v/>
      </c>
      <c r="Q1347" s="120" t="str">
        <f t="shared" si="1170"/>
        <v/>
      </c>
      <c r="R1347" s="185"/>
    </row>
    <row r="1348" spans="1:18" s="695" customFormat="1" ht="18" customHeight="1">
      <c r="A1348" s="693"/>
      <c r="B1348" s="1922">
        <v>1</v>
      </c>
      <c r="C1348" s="1848" t="str">
        <f t="shared" ref="C1348" si="1224">VLOOKUP(D1348,base_datos,6,FALSE)</f>
        <v>Placa lamicoid rotulación de 3mm de espesor, fondo negro y letras blancas.</v>
      </c>
      <c r="D1348" s="1886" t="s">
        <v>8570</v>
      </c>
      <c r="E1348" s="1795">
        <f t="shared" ref="E1348" si="1225">VLOOKUP(D1348,base_datos,5,FALSE)</f>
        <v>2.2000000000000002</v>
      </c>
      <c r="F1348" s="1796">
        <f t="shared" ref="F1348" si="1226">+E1348*B1348</f>
        <v>2.2000000000000002</v>
      </c>
      <c r="G1348" s="696"/>
      <c r="H1348" s="696"/>
      <c r="I1348" s="696"/>
      <c r="J1348" s="697"/>
      <c r="K1348" s="684">
        <f t="shared" ref="K1348" si="1227">K1347</f>
        <v>1</v>
      </c>
      <c r="L1348" s="708">
        <v>1</v>
      </c>
      <c r="M1348" s="709">
        <f t="shared" si="1221"/>
        <v>1</v>
      </c>
      <c r="N1348" s="362">
        <f t="shared" si="1167"/>
        <v>1</v>
      </c>
      <c r="O1348" s="1763" t="str">
        <f t="shared" si="1168"/>
        <v>Placa lamicoid p/distr.</v>
      </c>
      <c r="P1348" s="1764" t="str">
        <f t="shared" si="1169"/>
        <v>Placa lamicoid rotulación de 3mm de espesor, fondo negro y letras blancas.</v>
      </c>
      <c r="Q1348" s="120" t="str">
        <f t="shared" si="1170"/>
        <v>Placa lamicoid p/distr.</v>
      </c>
      <c r="R1348" s="185"/>
    </row>
    <row r="1349" spans="1:18" s="1236" customFormat="1" ht="18" customHeight="1">
      <c r="A1349" s="1767"/>
      <c r="B1349" s="1853">
        <v>1</v>
      </c>
      <c r="C1349" s="1895" t="s">
        <v>12474</v>
      </c>
      <c r="D1349" s="1902"/>
      <c r="E1349" s="1792"/>
      <c r="F1349" s="1793"/>
      <c r="G1349" s="1784"/>
      <c r="H1349" s="1784"/>
      <c r="I1349" s="1784"/>
      <c r="J1349" s="1182"/>
      <c r="K1349" s="684">
        <f t="shared" ref="K1349" si="1228">K1348</f>
        <v>1</v>
      </c>
      <c r="L1349" s="708">
        <v>1</v>
      </c>
      <c r="M1349" s="709">
        <f t="shared" si="1221"/>
        <v>1</v>
      </c>
      <c r="N1349" s="362" t="str">
        <f t="shared" si="1167"/>
        <v/>
      </c>
      <c r="O1349" s="1763" t="str">
        <f t="shared" si="1168"/>
        <v/>
      </c>
      <c r="P1349" s="1764" t="str">
        <f t="shared" si="1169"/>
        <v/>
      </c>
      <c r="Q1349" s="120" t="str">
        <f t="shared" si="1170"/>
        <v/>
      </c>
      <c r="R1349" s="185"/>
    </row>
    <row r="1350" spans="1:18" s="1236" customFormat="1" ht="18" customHeight="1">
      <c r="A1350" s="1767"/>
      <c r="B1350" s="1853">
        <v>1</v>
      </c>
      <c r="C1350" s="1848" t="str">
        <f>VLOOKUP(D1350,base_datos,6,FALSE)</f>
        <v>Embalaje especial completamente cerrado para tablero adosado de 1600x600x220mm</v>
      </c>
      <c r="D1350" s="1902" t="s">
        <v>12453</v>
      </c>
      <c r="E1350" s="1795">
        <f t="shared" ref="E1350" si="1229">VLOOKUP(D1350,base_datos,5,FALSE)</f>
        <v>271.40000000000003</v>
      </c>
      <c r="F1350" s="1796">
        <f t="shared" ref="F1350" si="1230">+E1350*B1350</f>
        <v>271.40000000000003</v>
      </c>
      <c r="G1350" s="1784"/>
      <c r="H1350" s="1784"/>
      <c r="I1350" s="1784"/>
      <c r="J1350" s="1182"/>
      <c r="K1350" s="684">
        <f t="shared" ref="K1350" si="1231">K1349</f>
        <v>1</v>
      </c>
      <c r="L1350" s="708">
        <v>1</v>
      </c>
      <c r="M1350" s="709">
        <f t="shared" si="1221"/>
        <v>1</v>
      </c>
      <c r="N1350" s="362">
        <f t="shared" ref="N1350:N1439" si="1232">IF(O1350&lt;&gt;"",K1350*L1350*M1350,"")</f>
        <v>1</v>
      </c>
      <c r="O1350" s="1763" t="str">
        <f t="shared" ref="O1350:O1439" si="1233">IF(D1350&lt;&gt;"",IF(VLOOKUP(D1350,base_datos,7,FALSE)&lt;&gt;"",VLOOKUP(D1350,base_datos,7,FALSE),""),"")</f>
        <v>EMBAL_ADOS_1600x600x220mm</v>
      </c>
      <c r="P1350" s="1764" t="str">
        <f t="shared" ref="P1350:P1439" si="1234">IF(O1350&lt;&gt;"",VLOOKUP(D1350,base_datos,6,FALSE),"")</f>
        <v>Embalaje especial completamente cerrado para tablero adosado de 1600x600x220mm</v>
      </c>
      <c r="Q1350" s="120" t="str">
        <f t="shared" ref="Q1350:Q1439" si="1235">IF(O1350&lt;&gt;"",D1350,"")</f>
        <v>EMBAL_ADOS_1600x600x220mm</v>
      </c>
      <c r="R1350" s="185"/>
    </row>
    <row r="1351" spans="1:18" s="185" customFormat="1" ht="18" customHeight="1">
      <c r="A1351" s="1785"/>
      <c r="B1351" s="714"/>
      <c r="C1351" s="1893" t="s">
        <v>729</v>
      </c>
      <c r="D1351" s="173"/>
      <c r="E1351" s="1786"/>
      <c r="F1351" s="1787"/>
      <c r="G1351" s="710"/>
      <c r="H1351" s="710"/>
      <c r="I1351" s="710"/>
      <c r="J1351" s="711"/>
      <c r="K1351" s="684">
        <f t="shared" ref="K1351" si="1236">K1350</f>
        <v>1</v>
      </c>
      <c r="L1351" s="708">
        <v>1</v>
      </c>
      <c r="M1351" s="709">
        <f t="shared" si="1221"/>
        <v>1</v>
      </c>
      <c r="N1351" s="362" t="str">
        <f t="shared" si="1232"/>
        <v/>
      </c>
      <c r="O1351" s="1763" t="str">
        <f t="shared" si="1233"/>
        <v/>
      </c>
      <c r="P1351" s="1764" t="str">
        <f t="shared" si="1234"/>
        <v/>
      </c>
      <c r="Q1351" s="120" t="str">
        <f t="shared" si="1235"/>
        <v/>
      </c>
    </row>
    <row r="1352" spans="1:18" s="2052" customFormat="1">
      <c r="A1352" s="1767"/>
      <c r="B1352" s="2046">
        <v>1</v>
      </c>
      <c r="C1352" s="2047" t="s">
        <v>316</v>
      </c>
      <c r="D1352" s="2048"/>
      <c r="E1352" s="2049"/>
      <c r="F1352" s="2048"/>
      <c r="G1352" s="2050"/>
      <c r="H1352" s="2050"/>
      <c r="I1352" s="2050"/>
      <c r="J1352" s="2051"/>
      <c r="K1352" s="684">
        <f t="shared" ref="K1352" si="1237">K1351</f>
        <v>1</v>
      </c>
      <c r="L1352" s="363">
        <v>1</v>
      </c>
      <c r="M1352" s="684">
        <f t="shared" si="1221"/>
        <v>1</v>
      </c>
      <c r="N1352" s="362" t="str">
        <f t="shared" si="1232"/>
        <v/>
      </c>
      <c r="O1352" s="1763" t="str">
        <f t="shared" si="1233"/>
        <v/>
      </c>
      <c r="P1352" s="1764" t="str">
        <f t="shared" si="1234"/>
        <v/>
      </c>
      <c r="Q1352" s="120" t="str">
        <f t="shared" si="1235"/>
        <v/>
      </c>
      <c r="R1352" s="639"/>
    </row>
    <row r="1353" spans="1:18" s="695" customFormat="1">
      <c r="A1353" s="693"/>
      <c r="B1353" s="1794"/>
      <c r="C1353" s="2053"/>
      <c r="D1353" s="2054"/>
      <c r="E1353" s="1581"/>
      <c r="F1353" s="2055"/>
      <c r="G1353" s="696"/>
      <c r="H1353" s="696"/>
      <c r="I1353" s="696"/>
      <c r="J1353" s="697"/>
      <c r="K1353" s="684">
        <f t="shared" ref="K1353" si="1238">K1352</f>
        <v>1</v>
      </c>
      <c r="L1353" s="363">
        <v>1</v>
      </c>
      <c r="M1353" s="684">
        <f>IF(B1353="",1,B1353)</f>
        <v>1</v>
      </c>
      <c r="N1353" s="362" t="str">
        <f t="shared" si="1232"/>
        <v/>
      </c>
      <c r="O1353" s="1763" t="str">
        <f t="shared" si="1233"/>
        <v/>
      </c>
      <c r="P1353" s="1764" t="str">
        <f t="shared" si="1234"/>
        <v/>
      </c>
      <c r="Q1353" s="120" t="str">
        <f t="shared" si="1235"/>
        <v/>
      </c>
      <c r="R1353" s="185"/>
    </row>
    <row r="1354" spans="1:18" s="897" customFormat="1">
      <c r="A1354" s="693"/>
      <c r="B1354" s="895">
        <v>3</v>
      </c>
      <c r="C1354" s="721" t="str">
        <f>VLOOKUP(D1354,base_datos,6,FALSE)</f>
        <v>Rotulado por circuito.</v>
      </c>
      <c r="D1354" s="1579" t="s">
        <v>3067</v>
      </c>
      <c r="E1354" s="1580">
        <f>VLOOKUP(D1354,base_datos,5,FALSE)</f>
        <v>0.7</v>
      </c>
      <c r="F1354" s="1581">
        <f>+E1354*B1354</f>
        <v>2.0999999999999996</v>
      </c>
      <c r="G1354" s="1772"/>
      <c r="H1354" s="1772"/>
      <c r="I1354" s="1772"/>
      <c r="J1354" s="896"/>
      <c r="K1354" s="684">
        <f t="shared" ref="K1354" si="1239">K1353</f>
        <v>1</v>
      </c>
      <c r="L1354" s="363">
        <v>1</v>
      </c>
      <c r="M1354" s="684">
        <f>IF(B1354="",1,B1354)</f>
        <v>3</v>
      </c>
      <c r="N1354" s="362" t="str">
        <f t="shared" si="1232"/>
        <v/>
      </c>
      <c r="O1354" s="1763" t="str">
        <f t="shared" si="1233"/>
        <v/>
      </c>
      <c r="P1354" s="1764" t="str">
        <f t="shared" si="1234"/>
        <v/>
      </c>
      <c r="Q1354" s="120" t="str">
        <f t="shared" si="1235"/>
        <v/>
      </c>
    </row>
    <row r="1355" spans="1:18" s="897" customFormat="1">
      <c r="A1355" s="693"/>
      <c r="B1355" s="895">
        <v>1</v>
      </c>
      <c r="C1355" s="721" t="str">
        <f>VLOOKUP(D1355,base_datos,6,FALSE)</f>
        <v>Rotulado para TAG - tablero de distribución.</v>
      </c>
      <c r="D1355" s="1579" t="s">
        <v>3066</v>
      </c>
      <c r="E1355" s="1580">
        <f>VLOOKUP(D1355,base_datos,5,FALSE)</f>
        <v>1.5</v>
      </c>
      <c r="F1355" s="1581">
        <f>+E1355*B1355</f>
        <v>1.5</v>
      </c>
      <c r="G1355" s="1772"/>
      <c r="H1355" s="1772"/>
      <c r="I1355" s="1772"/>
      <c r="J1355" s="896"/>
      <c r="K1355" s="684">
        <f t="shared" ref="K1355" si="1240">K1354</f>
        <v>1</v>
      </c>
      <c r="L1355" s="363">
        <v>1</v>
      </c>
      <c r="M1355" s="684">
        <f t="shared" ref="M1355:M1358" si="1241">IF(B1355="",1,B1355)</f>
        <v>1</v>
      </c>
      <c r="N1355" s="362" t="str">
        <f t="shared" si="1232"/>
        <v/>
      </c>
      <c r="O1355" s="1763" t="str">
        <f t="shared" si="1233"/>
        <v/>
      </c>
      <c r="P1355" s="1764" t="str">
        <f t="shared" si="1234"/>
        <v/>
      </c>
      <c r="Q1355" s="120" t="str">
        <f t="shared" si="1235"/>
        <v/>
      </c>
    </row>
    <row r="1356" spans="1:18" s="1237" customFormat="1" ht="18" customHeight="1">
      <c r="A1356" s="1767"/>
      <c r="B1356" s="2093">
        <v>1</v>
      </c>
      <c r="C1356" s="694" t="s">
        <v>12552</v>
      </c>
      <c r="D1356" s="1888"/>
      <c r="E1356" s="1580">
        <f>E1358*15%</f>
        <v>18</v>
      </c>
      <c r="F1356" s="1581">
        <f t="shared" ref="F1356:F1357" si="1242">+E1356*B1356</f>
        <v>18</v>
      </c>
      <c r="G1356" s="1774"/>
      <c r="H1356" s="1774"/>
      <c r="I1356" s="1774"/>
      <c r="J1356" s="1181"/>
      <c r="K1356" s="684">
        <f t="shared" ref="K1356" si="1243">K1355</f>
        <v>1</v>
      </c>
      <c r="L1356" s="708">
        <v>1</v>
      </c>
      <c r="M1356" s="709">
        <f t="shared" si="1241"/>
        <v>1</v>
      </c>
      <c r="N1356" s="362" t="str">
        <f t="shared" ref="N1356:N1357" si="1244">IF(O1356&lt;&gt;"",K1356*L1356*M1356,"")</f>
        <v/>
      </c>
      <c r="O1356" s="1763" t="str">
        <f t="shared" ref="O1356:O1357" si="1245">IF(D1356&lt;&gt;"",IF(VLOOKUP(D1356,base_datos,7,FALSE)&lt;&gt;"",VLOOKUP(D1356,base_datos,7,FALSE),""),"")</f>
        <v/>
      </c>
      <c r="P1356" s="1764" t="str">
        <f t="shared" ref="P1356:P1357" si="1246">IF(O1356&lt;&gt;"",VLOOKUP(D1356,base_datos,6,FALSE),"")</f>
        <v/>
      </c>
      <c r="Q1356" s="120" t="str">
        <f t="shared" ref="Q1356:Q1357" si="1247">IF(O1356&lt;&gt;"",D1356,"")</f>
        <v/>
      </c>
      <c r="R1356" s="1765"/>
    </row>
    <row r="1357" spans="1:18" s="1237" customFormat="1" ht="18" customHeight="1">
      <c r="A1357" s="1767"/>
      <c r="B1357" s="1773">
        <v>1</v>
      </c>
      <c r="C1357" s="694" t="s">
        <v>12559</v>
      </c>
      <c r="D1357" s="1888"/>
      <c r="E1357" s="1999">
        <f>E1358*20%</f>
        <v>24</v>
      </c>
      <c r="F1357" s="1581">
        <f t="shared" si="1242"/>
        <v>24</v>
      </c>
      <c r="G1357" s="1774"/>
      <c r="H1357" s="1774"/>
      <c r="I1357" s="1774"/>
      <c r="J1357" s="1181"/>
      <c r="K1357" s="684">
        <f>+K1355</f>
        <v>1</v>
      </c>
      <c r="L1357" s="708">
        <v>1</v>
      </c>
      <c r="M1357" s="709">
        <f t="shared" si="1241"/>
        <v>1</v>
      </c>
      <c r="N1357" s="362" t="str">
        <f t="shared" si="1244"/>
        <v/>
      </c>
      <c r="O1357" s="1763" t="str">
        <f t="shared" si="1245"/>
        <v/>
      </c>
      <c r="P1357" s="1764" t="str">
        <f t="shared" si="1246"/>
        <v/>
      </c>
      <c r="Q1357" s="120" t="str">
        <f t="shared" si="1247"/>
        <v/>
      </c>
      <c r="R1357" s="1765"/>
    </row>
    <row r="1358" spans="1:18" s="1237" customFormat="1">
      <c r="A1358" s="2056"/>
      <c r="B1358" s="1967">
        <v>1</v>
      </c>
      <c r="C1358" s="694" t="s">
        <v>12560</v>
      </c>
      <c r="D1358" s="2057"/>
      <c r="E1358" s="1580">
        <v>120</v>
      </c>
      <c r="F1358" s="1968">
        <f>+E1358*B1358</f>
        <v>120</v>
      </c>
      <c r="G1358" s="1774"/>
      <c r="H1358" s="1774"/>
      <c r="I1358" s="1774"/>
      <c r="J1358" s="1181"/>
      <c r="K1358" s="684">
        <f t="shared" ref="K1358" si="1248">K1356</f>
        <v>1</v>
      </c>
      <c r="L1358" s="363">
        <v>1</v>
      </c>
      <c r="M1358" s="684">
        <f t="shared" si="1241"/>
        <v>1</v>
      </c>
      <c r="N1358" s="362" t="str">
        <f t="shared" si="1232"/>
        <v/>
      </c>
      <c r="O1358" s="1763" t="str">
        <f t="shared" si="1233"/>
        <v/>
      </c>
      <c r="P1358" s="1764" t="str">
        <f t="shared" si="1234"/>
        <v/>
      </c>
      <c r="Q1358" s="120" t="str">
        <f t="shared" si="1235"/>
        <v/>
      </c>
    </row>
    <row r="1359" spans="1:18" s="2066" customFormat="1" ht="16.2" thickBot="1">
      <c r="A1359" s="2058"/>
      <c r="B1359" s="2059"/>
      <c r="C1359" s="2060"/>
      <c r="D1359" s="2061"/>
      <c r="E1359" s="2062"/>
      <c r="F1359" s="2062"/>
      <c r="G1359" s="2063"/>
      <c r="H1359" s="2063"/>
      <c r="I1359" s="2064"/>
      <c r="J1359" s="2065"/>
      <c r="N1359" s="362" t="str">
        <f t="shared" si="1232"/>
        <v/>
      </c>
      <c r="O1359" s="1763" t="str">
        <f t="shared" si="1233"/>
        <v/>
      </c>
      <c r="P1359" s="1764" t="str">
        <f t="shared" si="1234"/>
        <v/>
      </c>
      <c r="Q1359" s="120" t="str">
        <f t="shared" si="1235"/>
        <v/>
      </c>
    </row>
    <row r="1360" spans="1:18" s="120" customFormat="1" ht="18" customHeight="1" thickBot="1">
      <c r="A1360" s="1989">
        <v>23</v>
      </c>
      <c r="B1360" s="1852">
        <v>1</v>
      </c>
      <c r="C1360" s="1756" t="s">
        <v>12486</v>
      </c>
      <c r="D1360" s="1588"/>
      <c r="E1360" s="1589"/>
      <c r="F1360" s="1589"/>
      <c r="G1360" s="1757">
        <f>SUM(F1361:F1396)</f>
        <v>922.54000000000008</v>
      </c>
      <c r="H1360" s="1758">
        <f>G1360*(1-$D$6)</f>
        <v>922.54000000000008</v>
      </c>
      <c r="I1360" s="1757">
        <f>ROUNDUP(H1360*$D$5,0)</f>
        <v>3137</v>
      </c>
      <c r="J1360" s="1759">
        <f>+I1360*B1360</f>
        <v>3137</v>
      </c>
      <c r="K1360" s="1788">
        <f>B1360</f>
        <v>1</v>
      </c>
      <c r="L1360" s="363"/>
      <c r="M1360" s="684"/>
      <c r="N1360" s="362" t="str">
        <f t="shared" si="1232"/>
        <v/>
      </c>
      <c r="O1360" s="1763" t="str">
        <f t="shared" si="1233"/>
        <v/>
      </c>
      <c r="P1360" s="1764" t="str">
        <f t="shared" si="1234"/>
        <v/>
      </c>
      <c r="Q1360" s="120" t="str">
        <f t="shared" si="1235"/>
        <v/>
      </c>
      <c r="R1360" s="185"/>
    </row>
    <row r="1361" spans="1:18" s="120" customFormat="1">
      <c r="A1361" s="685" t="s">
        <v>3064</v>
      </c>
      <c r="B1361" s="2038"/>
      <c r="C1361" s="1954"/>
      <c r="D1361" s="1955"/>
      <c r="E1361" s="1789"/>
      <c r="F1361" s="1789"/>
      <c r="G1361" s="686"/>
      <c r="H1361" s="686"/>
      <c r="I1361" s="686"/>
      <c r="J1361" s="1768"/>
      <c r="K1361" s="684">
        <f>K1360</f>
        <v>1</v>
      </c>
      <c r="L1361" s="363">
        <v>1</v>
      </c>
      <c r="M1361" s="684">
        <f>IF(B1361="",1,B1361)</f>
        <v>1</v>
      </c>
      <c r="N1361" s="362" t="str">
        <f t="shared" si="1232"/>
        <v/>
      </c>
      <c r="O1361" s="1763" t="str">
        <f t="shared" si="1233"/>
        <v/>
      </c>
      <c r="P1361" s="1764" t="str">
        <f t="shared" si="1234"/>
        <v/>
      </c>
      <c r="Q1361" s="120" t="str">
        <f t="shared" si="1235"/>
        <v/>
      </c>
      <c r="R1361" s="185"/>
    </row>
    <row r="1362" spans="1:18" s="120" customFormat="1">
      <c r="A1362" s="687" t="s">
        <v>4021</v>
      </c>
      <c r="B1362" s="2039"/>
      <c r="C1362" s="1959" t="s">
        <v>3158</v>
      </c>
      <c r="D1362" s="2040"/>
      <c r="E1362" s="1782"/>
      <c r="F1362" s="1782"/>
      <c r="G1362" s="686"/>
      <c r="H1362" s="686"/>
      <c r="I1362" s="686"/>
      <c r="J1362" s="688"/>
      <c r="K1362" s="684">
        <f t="shared" ref="K1362:L1366" si="1249">K1361</f>
        <v>1</v>
      </c>
      <c r="L1362" s="363">
        <v>1</v>
      </c>
      <c r="M1362" s="684">
        <f t="shared" ref="M1362:M1377" si="1250">IF(B1362="",1,B1362)</f>
        <v>1</v>
      </c>
      <c r="N1362" s="362" t="str">
        <f t="shared" si="1232"/>
        <v/>
      </c>
      <c r="O1362" s="1763" t="str">
        <f t="shared" si="1233"/>
        <v/>
      </c>
      <c r="P1362" s="1764" t="str">
        <f t="shared" si="1234"/>
        <v/>
      </c>
      <c r="Q1362" s="120" t="str">
        <f t="shared" si="1235"/>
        <v/>
      </c>
      <c r="R1362" s="185"/>
    </row>
    <row r="1363" spans="1:18" s="2434" customFormat="1">
      <c r="A1363" s="2418" t="s">
        <v>4136</v>
      </c>
      <c r="B1363" s="2486">
        <v>1</v>
      </c>
      <c r="C1363" s="2436" t="str">
        <f>VLOOKUP(D1363,base_datos,6,FALSE)</f>
        <v>ITM Riel-Din 3x32A - S203-C-32A - 10kA@400Vac-IEC60947-2 - marca ABB.</v>
      </c>
      <c r="D1363" s="2487" t="s">
        <v>981</v>
      </c>
      <c r="E1363" s="2482">
        <f>VLOOKUP(D1363,base_datos,5,FALSE)</f>
        <v>33.04</v>
      </c>
      <c r="F1363" s="2422">
        <f>+E1363*B1363</f>
        <v>33.04</v>
      </c>
      <c r="G1363" s="2424"/>
      <c r="H1363" s="2424"/>
      <c r="I1363" s="2424"/>
      <c r="J1363" s="2488"/>
      <c r="K1363" s="2426">
        <f>K1361</f>
        <v>1</v>
      </c>
      <c r="L1363" s="2458">
        <v>1</v>
      </c>
      <c r="M1363" s="2426">
        <f t="shared" si="1250"/>
        <v>1</v>
      </c>
      <c r="N1363" s="2429">
        <f t="shared" si="1232"/>
        <v>1</v>
      </c>
      <c r="O1363" s="2430" t="str">
        <f t="shared" si="1233"/>
        <v>2CDS253001R0324</v>
      </c>
      <c r="P1363" s="2431" t="str">
        <f t="shared" si="1234"/>
        <v>ITM Riel-Din 3x32A - S203-C-32A - 10kA@400Vac-IEC60947-2 - marca ABB.</v>
      </c>
      <c r="Q1363" s="2432" t="str">
        <f t="shared" si="1235"/>
        <v>S203-C-32A</v>
      </c>
      <c r="R1363" s="2433"/>
    </row>
    <row r="1364" spans="1:18" s="690" customFormat="1">
      <c r="A1364" s="687"/>
      <c r="B1364" s="2039">
        <v>1</v>
      </c>
      <c r="C1364" s="1960" t="str">
        <f>VLOOKUP(D1364,base_datos,6,FALSE)</f>
        <v>Interruptor Diferencial 4x40A - 30mA - clase A (inmunizado) - FH204-A-40A-30mA - marca ABB.</v>
      </c>
      <c r="D1364" s="1790" t="s">
        <v>5330</v>
      </c>
      <c r="E1364" s="1791">
        <f>VLOOKUP(D1364,base_datos,5,FALSE)</f>
        <v>83.199999999999989</v>
      </c>
      <c r="F1364" s="1782">
        <f>+E1364*B1364</f>
        <v>83.199999999999989</v>
      </c>
      <c r="G1364" s="1761"/>
      <c r="H1364" s="1761"/>
      <c r="I1364" s="1761"/>
      <c r="J1364" s="689"/>
      <c r="K1364" s="684">
        <f>K1362</f>
        <v>1</v>
      </c>
      <c r="L1364" s="363">
        <v>1</v>
      </c>
      <c r="M1364" s="684">
        <f t="shared" si="1250"/>
        <v>1</v>
      </c>
      <c r="N1364" s="362">
        <f t="shared" si="1232"/>
        <v>1</v>
      </c>
      <c r="O1364" s="1763" t="str">
        <f t="shared" si="1233"/>
        <v>2CSF204102R1400</v>
      </c>
      <c r="P1364" s="1764" t="str">
        <f t="shared" si="1234"/>
        <v>Interruptor Diferencial 4x40A - 30mA - clase A (inmunizado) - FH204-A-40A-30mA - marca ABB.</v>
      </c>
      <c r="Q1364" s="120" t="str">
        <f t="shared" si="1235"/>
        <v>FH204-A-40A-30mA</v>
      </c>
      <c r="R1364" s="185"/>
    </row>
    <row r="1365" spans="1:18" s="315" customFormat="1">
      <c r="A1365" s="687"/>
      <c r="B1365" s="1910"/>
      <c r="C1365" s="2041"/>
      <c r="D1365" s="1898"/>
      <c r="E1365" s="1791"/>
      <c r="F1365" s="2026"/>
      <c r="G1365" s="712"/>
      <c r="H1365" s="712"/>
      <c r="I1365" s="712"/>
      <c r="J1365" s="1928"/>
      <c r="K1365" s="684">
        <f t="shared" si="1249"/>
        <v>1</v>
      </c>
      <c r="L1365" s="2042">
        <f t="shared" si="1249"/>
        <v>1</v>
      </c>
      <c r="M1365" s="684">
        <f t="shared" si="1250"/>
        <v>1</v>
      </c>
      <c r="N1365" s="362" t="str">
        <f t="shared" si="1232"/>
        <v/>
      </c>
      <c r="O1365" s="1763" t="str">
        <f t="shared" si="1233"/>
        <v/>
      </c>
      <c r="P1365" s="1764" t="str">
        <f t="shared" si="1234"/>
        <v/>
      </c>
      <c r="Q1365" s="120" t="str">
        <f t="shared" si="1235"/>
        <v/>
      </c>
    </row>
    <row r="1366" spans="1:18" s="185" customFormat="1">
      <c r="A1366" s="687" t="s">
        <v>12356</v>
      </c>
      <c r="B1366" s="714"/>
      <c r="C1366" s="313" t="s">
        <v>729</v>
      </c>
      <c r="D1366" s="173"/>
      <c r="E1366" s="1786"/>
      <c r="F1366" s="1787"/>
      <c r="G1366" s="710"/>
      <c r="H1366" s="710"/>
      <c r="I1366" s="710"/>
      <c r="J1366" s="711"/>
      <c r="K1366" s="684">
        <f t="shared" si="1249"/>
        <v>1</v>
      </c>
      <c r="L1366" s="708">
        <v>1</v>
      </c>
      <c r="M1366" s="684">
        <f t="shared" si="1250"/>
        <v>1</v>
      </c>
      <c r="N1366" s="362" t="str">
        <f t="shared" si="1232"/>
        <v/>
      </c>
      <c r="O1366" s="1763" t="str">
        <f t="shared" si="1233"/>
        <v/>
      </c>
      <c r="P1366" s="1764" t="str">
        <f t="shared" si="1234"/>
        <v/>
      </c>
      <c r="Q1366" s="120" t="str">
        <f t="shared" si="1235"/>
        <v/>
      </c>
    </row>
    <row r="1367" spans="1:18" s="315" customFormat="1">
      <c r="A1367" s="687" t="s">
        <v>12482</v>
      </c>
      <c r="B1367" s="2096">
        <v>1</v>
      </c>
      <c r="C1367" s="1907" t="s">
        <v>5103</v>
      </c>
      <c r="D1367" s="1935"/>
      <c r="E1367" s="1786"/>
      <c r="F1367" s="1908">
        <f>SUM(F1369:F1373)*(B1367-1)</f>
        <v>0</v>
      </c>
      <c r="G1367" s="712"/>
      <c r="H1367" s="712"/>
      <c r="I1367" s="712"/>
      <c r="J1367" s="713"/>
      <c r="K1367" s="684">
        <f t="shared" ref="K1367" si="1251">+K1366</f>
        <v>1</v>
      </c>
      <c r="L1367" s="1909">
        <f>B1367</f>
        <v>1</v>
      </c>
      <c r="M1367" s="684">
        <f t="shared" si="1250"/>
        <v>1</v>
      </c>
      <c r="N1367" s="362" t="str">
        <f t="shared" si="1232"/>
        <v/>
      </c>
      <c r="O1367" s="1763" t="str">
        <f t="shared" si="1233"/>
        <v/>
      </c>
      <c r="P1367" s="1764" t="str">
        <f t="shared" si="1234"/>
        <v/>
      </c>
      <c r="Q1367" s="120" t="str">
        <f t="shared" si="1235"/>
        <v/>
      </c>
    </row>
    <row r="1368" spans="1:18" s="185" customFormat="1">
      <c r="A1368" s="1767"/>
      <c r="B1368" s="1910">
        <v>3</v>
      </c>
      <c r="C1368" s="1911" t="str">
        <f>VLOOKUP(D1368,base_datos,6,FALSE)</f>
        <v>Portalámpara + lampara tipo LED - color Rojo - alimentacion: 220-230Vac, d=22mm. - CL2-523R - línea compacta - marca ABB.</v>
      </c>
      <c r="D1368" s="1790" t="s">
        <v>2439</v>
      </c>
      <c r="E1368" s="1939">
        <f>VLOOKUP(D1368,base_datos,5,FALSE)</f>
        <v>12.299999999999999</v>
      </c>
      <c r="F1368" s="1912">
        <f>+E1368*B1368</f>
        <v>36.9</v>
      </c>
      <c r="G1368" s="710"/>
      <c r="H1368" s="710"/>
      <c r="I1368" s="710"/>
      <c r="J1368" s="711"/>
      <c r="K1368" s="684">
        <f>+K1366</f>
        <v>1</v>
      </c>
      <c r="L1368" s="1913">
        <f>L1366</f>
        <v>1</v>
      </c>
      <c r="M1368" s="684">
        <f t="shared" si="1250"/>
        <v>3</v>
      </c>
      <c r="N1368" s="362">
        <f t="shared" si="1232"/>
        <v>3</v>
      </c>
      <c r="O1368" s="1763" t="str">
        <f t="shared" si="1233"/>
        <v>1SFA619403R5231</v>
      </c>
      <c r="P1368" s="1764" t="str">
        <f t="shared" si="1234"/>
        <v>Portalámpara + lampara tipo LED - color Rojo - alimentacion: 220-230Vac, d=22mm. - CL2-523R - línea compacta - marca ABB.</v>
      </c>
      <c r="Q1368" s="120" t="str">
        <f t="shared" si="1235"/>
        <v>LAMP_ROJO_220V</v>
      </c>
    </row>
    <row r="1369" spans="1:18" s="185" customFormat="1">
      <c r="A1369" s="687" t="s">
        <v>12551</v>
      </c>
      <c r="B1369" s="1910">
        <v>3</v>
      </c>
      <c r="C1369" s="1911" t="str">
        <f>VLOOKUP(D1369,base_datos,6,FALSE)</f>
        <v>Portalámpara + lampara tipo LED - color Verde - alimentacion: 220-230Vac, d=22mm. - CL2-523G - línea compacta - marca ABB.</v>
      </c>
      <c r="D1369" s="1790" t="s">
        <v>2440</v>
      </c>
      <c r="E1369" s="1939">
        <f>VLOOKUP(D1369,base_datos,5,FALSE)</f>
        <v>12.299999999999999</v>
      </c>
      <c r="F1369" s="1912">
        <f>+E1369*B1369</f>
        <v>36.9</v>
      </c>
      <c r="G1369" s="710"/>
      <c r="H1369" s="710"/>
      <c r="I1369" s="710"/>
      <c r="J1369" s="711"/>
      <c r="K1369" s="684">
        <f t="shared" ref="K1369:K1394" si="1252">+K1367</f>
        <v>1</v>
      </c>
      <c r="L1369" s="1913">
        <f>L1367</f>
        <v>1</v>
      </c>
      <c r="M1369" s="684">
        <f t="shared" si="1250"/>
        <v>3</v>
      </c>
      <c r="N1369" s="362">
        <f t="shared" si="1232"/>
        <v>3</v>
      </c>
      <c r="O1369" s="1763" t="str">
        <f t="shared" si="1233"/>
        <v>1SFA619403R5232</v>
      </c>
      <c r="P1369" s="1764" t="str">
        <f t="shared" si="1234"/>
        <v>Portalámpara + lampara tipo LED - color Verde - alimentacion: 220-230Vac, d=22mm. - CL2-523G - línea compacta - marca ABB.</v>
      </c>
      <c r="Q1369" s="120" t="str">
        <f t="shared" si="1235"/>
        <v>LAMP_VERDE_220V</v>
      </c>
    </row>
    <row r="1370" spans="1:18" s="1921" customFormat="1">
      <c r="A1370" s="687" t="s">
        <v>3542</v>
      </c>
      <c r="B1370" s="1914">
        <v>1</v>
      </c>
      <c r="C1370" s="1915" t="s">
        <v>3366</v>
      </c>
      <c r="D1370" s="1916"/>
      <c r="E1370" s="1917"/>
      <c r="F1370" s="1918"/>
      <c r="G1370" s="1919"/>
      <c r="H1370" s="1919"/>
      <c r="I1370" s="1919"/>
      <c r="J1370" s="1920"/>
      <c r="K1370" s="684">
        <f t="shared" si="1252"/>
        <v>1</v>
      </c>
      <c r="L1370" s="1913">
        <f>L1369</f>
        <v>1</v>
      </c>
      <c r="M1370" s="684">
        <f t="shared" si="1250"/>
        <v>1</v>
      </c>
      <c r="N1370" s="362" t="str">
        <f t="shared" si="1232"/>
        <v/>
      </c>
      <c r="O1370" s="1763" t="str">
        <f t="shared" si="1233"/>
        <v/>
      </c>
      <c r="P1370" s="1764" t="str">
        <f t="shared" si="1234"/>
        <v/>
      </c>
      <c r="Q1370" s="120" t="str">
        <f t="shared" si="1235"/>
        <v/>
      </c>
    </row>
    <row r="1371" spans="1:18" s="320" customFormat="1">
      <c r="A1371" s="1771"/>
      <c r="B1371" s="1922">
        <v>1</v>
      </c>
      <c r="C1371" s="721" t="str">
        <f>VLOOKUP(D1371,base_datos,6,FALSE)</f>
        <v>Rele auxiliar enchufable +4NA/NC (D2PR4B + base D2PA6), 220Vac - marca EATON.</v>
      </c>
      <c r="D1371" s="1579" t="s">
        <v>772</v>
      </c>
      <c r="E1371" s="1581">
        <f>VLOOKUP(D1371,base_datos,5,FALSE)</f>
        <v>27</v>
      </c>
      <c r="F1371" s="1923">
        <f>+E1371*B1371</f>
        <v>27</v>
      </c>
      <c r="G1371" s="1924"/>
      <c r="H1371" s="1924"/>
      <c r="I1371" s="1924"/>
      <c r="J1371" s="722"/>
      <c r="K1371" s="684">
        <f t="shared" si="1252"/>
        <v>1</v>
      </c>
      <c r="L1371" s="1913">
        <f>L1368</f>
        <v>1</v>
      </c>
      <c r="M1371" s="684">
        <f t="shared" si="1250"/>
        <v>1</v>
      </c>
      <c r="N1371" s="362">
        <f t="shared" si="1232"/>
        <v>1</v>
      </c>
      <c r="O1371" s="1763" t="str">
        <f t="shared" si="1233"/>
        <v>D2PR4B+D2PA6</v>
      </c>
      <c r="P1371" s="1764" t="str">
        <f t="shared" si="1234"/>
        <v>Rele auxiliar enchufable +4NA/NC (D2PR4B + base D2PA6), 220Vac - marca EATON.</v>
      </c>
      <c r="Q1371" s="120" t="str">
        <f t="shared" si="1235"/>
        <v>D2PR4B+D2PA6</v>
      </c>
    </row>
    <row r="1372" spans="1:18" s="320" customFormat="1">
      <c r="A1372" s="687"/>
      <c r="B1372" s="2131">
        <v>1</v>
      </c>
      <c r="C1372" s="2132" t="s">
        <v>12558</v>
      </c>
      <c r="D1372" s="2133"/>
      <c r="E1372" s="2134">
        <v>32</v>
      </c>
      <c r="F1372" s="2134">
        <f>+E1372*B1372</f>
        <v>32</v>
      </c>
      <c r="G1372" s="1924"/>
      <c r="H1372" s="1924"/>
      <c r="I1372" s="1924"/>
      <c r="J1372" s="722"/>
      <c r="K1372" s="684">
        <f t="shared" si="1252"/>
        <v>1</v>
      </c>
      <c r="L1372" s="1913">
        <f>L1369</f>
        <v>1</v>
      </c>
      <c r="M1372" s="684">
        <f t="shared" si="1250"/>
        <v>1</v>
      </c>
      <c r="N1372" s="362" t="str">
        <f t="shared" si="1232"/>
        <v/>
      </c>
      <c r="O1372" s="1763" t="str">
        <f t="shared" si="1233"/>
        <v/>
      </c>
      <c r="P1372" s="1764" t="str">
        <f t="shared" si="1234"/>
        <v/>
      </c>
      <c r="Q1372" s="120" t="str">
        <f t="shared" si="1235"/>
        <v/>
      </c>
    </row>
    <row r="1373" spans="1:18" s="320" customFormat="1">
      <c r="A1373" s="687"/>
      <c r="B1373" s="1922">
        <v>4</v>
      </c>
      <c r="C1373" s="721" t="str">
        <f>VLOOKUP(D1373,base_datos,6,FALSE)</f>
        <v>Base portafusibles + Fusibles de protección para control.</v>
      </c>
      <c r="D1373" s="1579" t="s">
        <v>453</v>
      </c>
      <c r="E1373" s="1581">
        <f>VLOOKUP(D1373,base_datos,5,FALSE)</f>
        <v>8.1750000000000007</v>
      </c>
      <c r="F1373" s="1923">
        <f>+E1373*B1373</f>
        <v>32.700000000000003</v>
      </c>
      <c r="G1373" s="1924"/>
      <c r="H1373" s="1924"/>
      <c r="I1373" s="1924"/>
      <c r="J1373" s="722"/>
      <c r="K1373" s="684">
        <f t="shared" si="1252"/>
        <v>1</v>
      </c>
      <c r="L1373" s="1913">
        <f>L1370</f>
        <v>1</v>
      </c>
      <c r="M1373" s="684">
        <f t="shared" si="1250"/>
        <v>4</v>
      </c>
      <c r="N1373" s="362" t="str">
        <f t="shared" si="1232"/>
        <v/>
      </c>
      <c r="O1373" s="1763" t="str">
        <f t="shared" si="1233"/>
        <v/>
      </c>
      <c r="P1373" s="1764" t="str">
        <f t="shared" si="1234"/>
        <v/>
      </c>
      <c r="Q1373" s="120" t="str">
        <f t="shared" si="1235"/>
        <v/>
      </c>
    </row>
    <row r="1374" spans="1:18" s="315" customFormat="1">
      <c r="A1374" s="687"/>
      <c r="B1374" s="1906"/>
      <c r="C1374" s="1907"/>
      <c r="D1374" s="1935"/>
      <c r="E1374" s="1786"/>
      <c r="F1374" s="1936"/>
      <c r="G1374" s="712"/>
      <c r="H1374" s="712"/>
      <c r="I1374" s="712"/>
      <c r="J1374" s="713"/>
      <c r="K1374" s="684">
        <f t="shared" si="1252"/>
        <v>1</v>
      </c>
      <c r="L1374" s="1909">
        <f>B1374</f>
        <v>0</v>
      </c>
      <c r="M1374" s="684">
        <f t="shared" si="1250"/>
        <v>1</v>
      </c>
      <c r="N1374" s="362" t="str">
        <f t="shared" si="1232"/>
        <v/>
      </c>
      <c r="O1374" s="1763" t="str">
        <f t="shared" si="1233"/>
        <v/>
      </c>
      <c r="P1374" s="1764" t="str">
        <f t="shared" si="1234"/>
        <v/>
      </c>
      <c r="Q1374" s="120" t="str">
        <f t="shared" si="1235"/>
        <v/>
      </c>
    </row>
    <row r="1375" spans="1:18" s="185" customFormat="1" ht="13.5" customHeight="1">
      <c r="A1375" s="687"/>
      <c r="B1375" s="1922"/>
      <c r="C1375" s="1956" t="s">
        <v>12368</v>
      </c>
      <c r="D1375" s="1579"/>
      <c r="E1375" s="1957"/>
      <c r="F1375" s="1958"/>
      <c r="G1375" s="710"/>
      <c r="H1375" s="710"/>
      <c r="I1375" s="710"/>
      <c r="J1375" s="711"/>
      <c r="K1375" s="684">
        <f t="shared" si="1252"/>
        <v>1</v>
      </c>
      <c r="L1375" s="708">
        <v>1</v>
      </c>
      <c r="M1375" s="684">
        <f t="shared" si="1250"/>
        <v>1</v>
      </c>
      <c r="N1375" s="362" t="str">
        <f t="shared" si="1232"/>
        <v/>
      </c>
      <c r="O1375" s="1763" t="str">
        <f t="shared" si="1233"/>
        <v/>
      </c>
      <c r="P1375" s="1764" t="str">
        <f t="shared" si="1234"/>
        <v/>
      </c>
      <c r="Q1375" s="120" t="str">
        <f t="shared" si="1235"/>
        <v/>
      </c>
    </row>
    <row r="1376" spans="1:18" s="690" customFormat="1">
      <c r="A1376" s="687"/>
      <c r="B1376" s="2043"/>
      <c r="C1376" s="1966" t="s">
        <v>3377</v>
      </c>
      <c r="D1376" s="1582"/>
      <c r="E1376" s="1780"/>
      <c r="F1376" s="1782"/>
      <c r="G1376" s="1761"/>
      <c r="H1376" s="1761"/>
      <c r="I1376" s="1761"/>
      <c r="J1376" s="689"/>
      <c r="K1376" s="684">
        <f t="shared" si="1252"/>
        <v>1</v>
      </c>
      <c r="L1376" s="363">
        <v>1</v>
      </c>
      <c r="M1376" s="684">
        <f t="shared" si="1250"/>
        <v>1</v>
      </c>
      <c r="N1376" s="362" t="str">
        <f t="shared" si="1232"/>
        <v/>
      </c>
      <c r="O1376" s="1763" t="str">
        <f t="shared" si="1233"/>
        <v/>
      </c>
      <c r="P1376" s="1764" t="str">
        <f t="shared" si="1234"/>
        <v/>
      </c>
      <c r="Q1376" s="120" t="str">
        <f t="shared" si="1235"/>
        <v/>
      </c>
      <c r="R1376" s="185"/>
    </row>
    <row r="1377" spans="1:18" s="690" customFormat="1">
      <c r="A1377" s="687"/>
      <c r="B1377" s="2039">
        <v>1</v>
      </c>
      <c r="C1377" s="1960" t="str">
        <f t="shared" ref="C1377:C1382" si="1253">VLOOKUP(D1377,base_datos,6,FALSE)</f>
        <v>ITM Riel-Din 3x32A - S203-C-32A - 10kA@400Vac-IEC60947-2 - marca ABB.</v>
      </c>
      <c r="D1377" s="1790" t="s">
        <v>981</v>
      </c>
      <c r="E1377" s="1791">
        <f t="shared" ref="E1377:E1382" si="1254">VLOOKUP(D1377,base_datos,5,FALSE)</f>
        <v>33.04</v>
      </c>
      <c r="F1377" s="1782">
        <f t="shared" ref="F1377:F1383" si="1255">+E1377*B1377</f>
        <v>33.04</v>
      </c>
      <c r="G1377" s="1761"/>
      <c r="H1377" s="1761"/>
      <c r="I1377" s="1761"/>
      <c r="J1377" s="1783"/>
      <c r="K1377" s="684">
        <f t="shared" si="1252"/>
        <v>1</v>
      </c>
      <c r="L1377" s="363">
        <v>1</v>
      </c>
      <c r="M1377" s="684">
        <f t="shared" si="1250"/>
        <v>1</v>
      </c>
      <c r="N1377" s="362">
        <f t="shared" si="1232"/>
        <v>1</v>
      </c>
      <c r="O1377" s="1763" t="str">
        <f t="shared" si="1233"/>
        <v>2CDS253001R0324</v>
      </c>
      <c r="P1377" s="1764" t="str">
        <f t="shared" si="1234"/>
        <v>ITM Riel-Din 3x32A - S203-C-32A - 10kA@400Vac-IEC60947-2 - marca ABB.</v>
      </c>
      <c r="Q1377" s="120" t="str">
        <f t="shared" si="1235"/>
        <v>S203-C-32A</v>
      </c>
      <c r="R1377" s="185"/>
    </row>
    <row r="1378" spans="1:18" s="690" customFormat="1">
      <c r="A1378" s="687"/>
      <c r="B1378" s="2039">
        <v>1</v>
      </c>
      <c r="C1378" s="2041" t="str">
        <f t="shared" si="1253"/>
        <v>Tomacorriente industrial, 3P+T, 32A / 250V, Azul, 9H, empotrable, IP67 - (Ref: 1505) - marca MENNEKES.</v>
      </c>
      <c r="D1378" s="1898" t="s">
        <v>5974</v>
      </c>
      <c r="E1378" s="1791">
        <f t="shared" si="1254"/>
        <v>28.8</v>
      </c>
      <c r="F1378" s="1782">
        <f t="shared" si="1255"/>
        <v>28.8</v>
      </c>
      <c r="G1378" s="1761"/>
      <c r="H1378" s="1761"/>
      <c r="I1378" s="1761"/>
      <c r="J1378" s="1783"/>
      <c r="K1378" s="684">
        <f t="shared" si="1252"/>
        <v>1</v>
      </c>
      <c r="L1378" s="363">
        <v>1</v>
      </c>
      <c r="M1378" s="684">
        <f>IF(B1378="",1,B1378)</f>
        <v>1</v>
      </c>
      <c r="N1378" s="362">
        <f t="shared" si="1232"/>
        <v>1</v>
      </c>
      <c r="O1378" s="1763">
        <f t="shared" si="1233"/>
        <v>1505</v>
      </c>
      <c r="P1378" s="1764" t="str">
        <f t="shared" si="1234"/>
        <v>Tomacorriente industrial, 3P+T, 32A / 250V, Azul, 9H, empotrable, IP67 - (Ref: 1505) - marca MENNEKES.</v>
      </c>
      <c r="Q1378" s="120" t="str">
        <f t="shared" si="1235"/>
        <v>TOMA-I-EMP_3P+T(32A)_IP67</v>
      </c>
      <c r="R1378" s="185"/>
    </row>
    <row r="1379" spans="1:18" s="690" customFormat="1">
      <c r="A1379" s="687"/>
      <c r="B1379" s="2039">
        <v>1</v>
      </c>
      <c r="C1379" s="2041" t="str">
        <f t="shared" si="1253"/>
        <v>Enchufe industrial, 3P+T, 32A / 250V, Azul, 9H, IP67 - (Ref: 293) - marca MENNEKES.</v>
      </c>
      <c r="D1379" s="1898" t="s">
        <v>5975</v>
      </c>
      <c r="E1379" s="1791">
        <f t="shared" si="1254"/>
        <v>34.800000000000004</v>
      </c>
      <c r="F1379" s="1782">
        <f t="shared" si="1255"/>
        <v>34.800000000000004</v>
      </c>
      <c r="G1379" s="1761"/>
      <c r="H1379" s="1761"/>
      <c r="I1379" s="1761"/>
      <c r="J1379" s="1783"/>
      <c r="K1379" s="684">
        <f t="shared" si="1252"/>
        <v>1</v>
      </c>
      <c r="L1379" s="363">
        <v>1</v>
      </c>
      <c r="M1379" s="684">
        <f t="shared" ref="M1379:M1380" si="1256">IF(B1379="",1,B1379)</f>
        <v>1</v>
      </c>
      <c r="N1379" s="362">
        <f t="shared" si="1232"/>
        <v>1</v>
      </c>
      <c r="O1379" s="1763">
        <f t="shared" si="1233"/>
        <v>293</v>
      </c>
      <c r="P1379" s="1764" t="str">
        <f t="shared" si="1234"/>
        <v>Enchufe industrial, 3P+T, 32A / 250V, Azul, 9H, IP67 - (Ref: 293) - marca MENNEKES.</v>
      </c>
      <c r="Q1379" s="120" t="str">
        <f t="shared" si="1235"/>
        <v>ENCH-IND 3P+T(32A)_IP67</v>
      </c>
      <c r="R1379" s="185"/>
    </row>
    <row r="1380" spans="1:18" s="690" customFormat="1">
      <c r="A1380" s="687"/>
      <c r="B1380" s="2039">
        <v>1</v>
      </c>
      <c r="C1380" s="1960" t="str">
        <f t="shared" si="1253"/>
        <v>ITM Riel-Din 2x16A - S202-C-16A - 10kA@400Vac-IEC60947-2 - marca ABB.</v>
      </c>
      <c r="D1380" s="1790" t="s">
        <v>970</v>
      </c>
      <c r="E1380" s="1791">
        <f t="shared" si="1254"/>
        <v>17.96</v>
      </c>
      <c r="F1380" s="1782">
        <f t="shared" si="1255"/>
        <v>17.96</v>
      </c>
      <c r="G1380" s="1761"/>
      <c r="H1380" s="1761"/>
      <c r="I1380" s="1761"/>
      <c r="J1380" s="1783"/>
      <c r="K1380" s="684">
        <f t="shared" si="1252"/>
        <v>1</v>
      </c>
      <c r="L1380" s="363">
        <v>1</v>
      </c>
      <c r="M1380" s="684">
        <f t="shared" si="1256"/>
        <v>1</v>
      </c>
      <c r="N1380" s="362">
        <f t="shared" si="1232"/>
        <v>1</v>
      </c>
      <c r="O1380" s="1763" t="str">
        <f t="shared" si="1233"/>
        <v>2CDS252001R0164</v>
      </c>
      <c r="P1380" s="1764" t="str">
        <f t="shared" si="1234"/>
        <v>ITM Riel-Din 2x16A - S202-C-16A - 10kA@400Vac-IEC60947-2 - marca ABB.</v>
      </c>
      <c r="Q1380" s="120" t="str">
        <f t="shared" si="1235"/>
        <v>S202-C-16A</v>
      </c>
      <c r="R1380" s="185"/>
    </row>
    <row r="1381" spans="1:18" s="315" customFormat="1">
      <c r="A1381" s="2044"/>
      <c r="B1381" s="2045">
        <v>1</v>
      </c>
      <c r="C1381" s="2041" t="str">
        <f t="shared" si="1253"/>
        <v>Tomacorriente industrial, 2P+T, 16A / 250V, Azul, 6H, empotrable, IP67 - (Ref: 1475) - marca MENNEKES.</v>
      </c>
      <c r="D1381" s="1898" t="s">
        <v>5968</v>
      </c>
      <c r="E1381" s="1791">
        <f t="shared" si="1254"/>
        <v>23.9</v>
      </c>
      <c r="F1381" s="1782">
        <f t="shared" si="1255"/>
        <v>23.9</v>
      </c>
      <c r="G1381" s="712"/>
      <c r="H1381" s="712"/>
      <c r="I1381" s="712"/>
      <c r="J1381" s="1928"/>
      <c r="K1381" s="684">
        <f t="shared" si="1252"/>
        <v>1</v>
      </c>
      <c r="L1381" s="2042"/>
      <c r="M1381" s="684"/>
      <c r="N1381" s="362">
        <f t="shared" si="1232"/>
        <v>0</v>
      </c>
      <c r="O1381" s="1763">
        <f t="shared" si="1233"/>
        <v>1475</v>
      </c>
      <c r="P1381" s="1764" t="str">
        <f t="shared" si="1234"/>
        <v>Tomacorriente industrial, 2P+T, 16A / 250V, Azul, 6H, empotrable, IP67 - (Ref: 1475) - marca MENNEKES.</v>
      </c>
      <c r="Q1381" s="120" t="str">
        <f t="shared" si="1235"/>
        <v>TOMA-I-EMP_2P+T(16A)_IP67</v>
      </c>
    </row>
    <row r="1382" spans="1:18" s="695" customFormat="1">
      <c r="A1382" s="2044"/>
      <c r="B1382" s="2045">
        <v>1</v>
      </c>
      <c r="C1382" s="2041" t="str">
        <f t="shared" si="1253"/>
        <v>Enchufe industrial, 2P+T, 16A / 250V, Azul, 6H, IP67 - (Ref: 278) - marca MENNEKES.</v>
      </c>
      <c r="D1382" s="1898" t="s">
        <v>5969</v>
      </c>
      <c r="E1382" s="1791">
        <f t="shared" si="1254"/>
        <v>18.100000000000001</v>
      </c>
      <c r="F1382" s="1782">
        <f t="shared" si="1255"/>
        <v>18.100000000000001</v>
      </c>
      <c r="G1382" s="1969"/>
      <c r="H1382" s="1969"/>
      <c r="I1382" s="1969"/>
      <c r="J1382" s="1970"/>
      <c r="K1382" s="684">
        <f t="shared" si="1252"/>
        <v>1</v>
      </c>
      <c r="L1382" s="363"/>
      <c r="M1382" s="684"/>
      <c r="N1382" s="362">
        <f t="shared" si="1232"/>
        <v>0</v>
      </c>
      <c r="O1382" s="1763">
        <f t="shared" si="1233"/>
        <v>278</v>
      </c>
      <c r="P1382" s="1764" t="str">
        <f t="shared" si="1234"/>
        <v>Enchufe industrial, 2P+T, 16A / 250V, Azul, 6H, IP67 - (Ref: 278) - marca MENNEKES.</v>
      </c>
      <c r="Q1382" s="120" t="str">
        <f t="shared" si="1235"/>
        <v>ENCH-IND 2P+T(16A)_IP67</v>
      </c>
      <c r="R1382" s="185"/>
    </row>
    <row r="1383" spans="1:18" s="695" customFormat="1">
      <c r="A1383" s="2044"/>
      <c r="B1383" s="2045">
        <v>1</v>
      </c>
      <c r="C1383" s="694" t="s">
        <v>12484</v>
      </c>
      <c r="D1383" s="1582"/>
      <c r="E1383" s="2000">
        <v>45</v>
      </c>
      <c r="F1383" s="1968">
        <f t="shared" si="1255"/>
        <v>45</v>
      </c>
      <c r="G1383" s="1969"/>
      <c r="H1383" s="1969"/>
      <c r="I1383" s="1969"/>
      <c r="J1383" s="1970"/>
      <c r="K1383" s="684">
        <f t="shared" si="1252"/>
        <v>1</v>
      </c>
      <c r="L1383" s="363">
        <v>1</v>
      </c>
      <c r="M1383" s="684">
        <f t="shared" ref="M1383:M1390" si="1257">IF(B1383="",1,B1383)</f>
        <v>1</v>
      </c>
      <c r="N1383" s="362" t="str">
        <f t="shared" si="1232"/>
        <v/>
      </c>
      <c r="O1383" s="1763" t="str">
        <f t="shared" si="1233"/>
        <v/>
      </c>
      <c r="P1383" s="1764" t="str">
        <f t="shared" si="1234"/>
        <v/>
      </c>
      <c r="Q1383" s="120" t="str">
        <f t="shared" si="1235"/>
        <v/>
      </c>
      <c r="R1383" s="185"/>
    </row>
    <row r="1384" spans="1:18" s="185" customFormat="1">
      <c r="A1384" s="687"/>
      <c r="B1384" s="714"/>
      <c r="C1384" s="313" t="s">
        <v>729</v>
      </c>
      <c r="D1384" s="173"/>
      <c r="E1384" s="1786"/>
      <c r="F1384" s="1787"/>
      <c r="G1384" s="710"/>
      <c r="H1384" s="710"/>
      <c r="I1384" s="710"/>
      <c r="J1384" s="711"/>
      <c r="K1384" s="684">
        <f t="shared" si="1252"/>
        <v>1</v>
      </c>
      <c r="L1384" s="363">
        <v>1</v>
      </c>
      <c r="M1384" s="684">
        <f t="shared" si="1257"/>
        <v>1</v>
      </c>
      <c r="N1384" s="362" t="str">
        <f t="shared" si="1232"/>
        <v/>
      </c>
      <c r="O1384" s="1763" t="str">
        <f t="shared" si="1233"/>
        <v/>
      </c>
      <c r="P1384" s="1764" t="str">
        <f t="shared" si="1234"/>
        <v/>
      </c>
      <c r="Q1384" s="120" t="str">
        <f t="shared" si="1235"/>
        <v/>
      </c>
    </row>
    <row r="1385" spans="1:18" s="1236" customFormat="1" ht="18" customHeight="1">
      <c r="A1385" s="1767"/>
      <c r="B1385" s="1853">
        <v>1</v>
      </c>
      <c r="C1385" s="1895" t="s">
        <v>12364</v>
      </c>
      <c r="D1385" s="1902"/>
      <c r="E1385" s="1792"/>
      <c r="F1385" s="1793"/>
      <c r="G1385" s="1784"/>
      <c r="H1385" s="1784"/>
      <c r="I1385" s="1784"/>
      <c r="J1385" s="1182"/>
      <c r="K1385" s="684">
        <f t="shared" si="1252"/>
        <v>1</v>
      </c>
      <c r="L1385" s="708">
        <v>1</v>
      </c>
      <c r="M1385" s="709">
        <f t="shared" si="1257"/>
        <v>1</v>
      </c>
      <c r="N1385" s="362" t="str">
        <f t="shared" si="1232"/>
        <v/>
      </c>
      <c r="O1385" s="1763" t="str">
        <f t="shared" si="1233"/>
        <v/>
      </c>
      <c r="P1385" s="1764" t="str">
        <f t="shared" si="1234"/>
        <v/>
      </c>
      <c r="Q1385" s="120" t="str">
        <f t="shared" si="1235"/>
        <v/>
      </c>
      <c r="R1385" s="185"/>
    </row>
    <row r="1386" spans="1:18" s="695" customFormat="1" ht="18" customHeight="1">
      <c r="A1386" s="693"/>
      <c r="B1386" s="1922">
        <v>1</v>
      </c>
      <c r="C1386" s="1848" t="str">
        <f t="shared" ref="C1386" si="1258">VLOOKUP(D1386,base_datos,6,FALSE)</f>
        <v>Placa lamicoid rotulación de 3mm de espesor, fondo negro y letras blancas.</v>
      </c>
      <c r="D1386" s="1886" t="s">
        <v>8570</v>
      </c>
      <c r="E1386" s="1795">
        <f t="shared" ref="E1386" si="1259">VLOOKUP(D1386,base_datos,5,FALSE)</f>
        <v>2.2000000000000002</v>
      </c>
      <c r="F1386" s="1796">
        <f t="shared" ref="F1386" si="1260">+E1386*B1386</f>
        <v>2.2000000000000002</v>
      </c>
      <c r="G1386" s="696"/>
      <c r="H1386" s="696"/>
      <c r="I1386" s="696"/>
      <c r="J1386" s="697"/>
      <c r="K1386" s="684">
        <f t="shared" si="1252"/>
        <v>1</v>
      </c>
      <c r="L1386" s="708">
        <v>1</v>
      </c>
      <c r="M1386" s="709">
        <f t="shared" si="1257"/>
        <v>1</v>
      </c>
      <c r="N1386" s="362">
        <f t="shared" si="1232"/>
        <v>1</v>
      </c>
      <c r="O1386" s="1763" t="str">
        <f t="shared" si="1233"/>
        <v>Placa lamicoid p/distr.</v>
      </c>
      <c r="P1386" s="1764" t="str">
        <f t="shared" si="1234"/>
        <v>Placa lamicoid rotulación de 3mm de espesor, fondo negro y letras blancas.</v>
      </c>
      <c r="Q1386" s="120" t="str">
        <f t="shared" si="1235"/>
        <v>Placa lamicoid p/distr.</v>
      </c>
      <c r="R1386" s="185"/>
    </row>
    <row r="1387" spans="1:18" s="1236" customFormat="1" ht="18" customHeight="1">
      <c r="A1387" s="1767"/>
      <c r="B1387" s="1853">
        <v>1</v>
      </c>
      <c r="C1387" s="1895" t="s">
        <v>12474</v>
      </c>
      <c r="D1387" s="1902"/>
      <c r="E1387" s="1792"/>
      <c r="F1387" s="1793"/>
      <c r="G1387" s="1784"/>
      <c r="H1387" s="1784"/>
      <c r="I1387" s="1784"/>
      <c r="J1387" s="1182"/>
      <c r="K1387" s="684">
        <f t="shared" si="1252"/>
        <v>1</v>
      </c>
      <c r="L1387" s="708">
        <v>1</v>
      </c>
      <c r="M1387" s="709">
        <f t="shared" si="1257"/>
        <v>1</v>
      </c>
      <c r="N1387" s="362" t="str">
        <f t="shared" si="1232"/>
        <v/>
      </c>
      <c r="O1387" s="1763" t="str">
        <f t="shared" si="1233"/>
        <v/>
      </c>
      <c r="P1387" s="1764" t="str">
        <f t="shared" si="1234"/>
        <v/>
      </c>
      <c r="Q1387" s="120" t="str">
        <f t="shared" si="1235"/>
        <v/>
      </c>
      <c r="R1387" s="185"/>
    </row>
    <row r="1388" spans="1:18" s="1236" customFormat="1" ht="18" customHeight="1">
      <c r="A1388" s="1767"/>
      <c r="B1388" s="1853">
        <v>1</v>
      </c>
      <c r="C1388" s="1848" t="str">
        <f>VLOOKUP(D1388,base_datos,6,FALSE)</f>
        <v>Embalaje especial completamente cerrado para tablero adosado de 1600x600x220mm</v>
      </c>
      <c r="D1388" s="1902" t="s">
        <v>12453</v>
      </c>
      <c r="E1388" s="1795">
        <f t="shared" ref="E1388" si="1261">VLOOKUP(D1388,base_datos,5,FALSE)</f>
        <v>271.40000000000003</v>
      </c>
      <c r="F1388" s="1796">
        <f t="shared" ref="F1388" si="1262">+E1388*B1388</f>
        <v>271.40000000000003</v>
      </c>
      <c r="G1388" s="1784"/>
      <c r="H1388" s="1784"/>
      <c r="I1388" s="1784"/>
      <c r="J1388" s="1182"/>
      <c r="K1388" s="684">
        <f t="shared" si="1252"/>
        <v>1</v>
      </c>
      <c r="L1388" s="708">
        <v>1</v>
      </c>
      <c r="M1388" s="709">
        <f t="shared" si="1257"/>
        <v>1</v>
      </c>
      <c r="N1388" s="362">
        <f t="shared" si="1232"/>
        <v>1</v>
      </c>
      <c r="O1388" s="1763" t="str">
        <f t="shared" si="1233"/>
        <v>EMBAL_ADOS_1600x600x220mm</v>
      </c>
      <c r="P1388" s="1764" t="str">
        <f t="shared" si="1234"/>
        <v>Embalaje especial completamente cerrado para tablero adosado de 1600x600x220mm</v>
      </c>
      <c r="Q1388" s="120" t="str">
        <f t="shared" si="1235"/>
        <v>EMBAL_ADOS_1600x600x220mm</v>
      </c>
      <c r="R1388" s="185"/>
    </row>
    <row r="1389" spans="1:18" s="185" customFormat="1" ht="18" customHeight="1">
      <c r="A1389" s="1785"/>
      <c r="B1389" s="714"/>
      <c r="C1389" s="1893" t="s">
        <v>729</v>
      </c>
      <c r="D1389" s="173"/>
      <c r="E1389" s="1786"/>
      <c r="F1389" s="1787"/>
      <c r="G1389" s="710"/>
      <c r="H1389" s="710"/>
      <c r="I1389" s="710"/>
      <c r="J1389" s="711"/>
      <c r="K1389" s="684">
        <f t="shared" si="1252"/>
        <v>1</v>
      </c>
      <c r="L1389" s="708">
        <v>1</v>
      </c>
      <c r="M1389" s="709">
        <f t="shared" si="1257"/>
        <v>1</v>
      </c>
      <c r="N1389" s="362" t="str">
        <f t="shared" si="1232"/>
        <v/>
      </c>
      <c r="O1389" s="1763" t="str">
        <f t="shared" si="1233"/>
        <v/>
      </c>
      <c r="P1389" s="1764" t="str">
        <f t="shared" si="1234"/>
        <v/>
      </c>
      <c r="Q1389" s="120" t="str">
        <f t="shared" si="1235"/>
        <v/>
      </c>
    </row>
    <row r="1390" spans="1:18" s="2052" customFormat="1">
      <c r="A1390" s="1767"/>
      <c r="B1390" s="2046">
        <v>1</v>
      </c>
      <c r="C1390" s="2047" t="s">
        <v>316</v>
      </c>
      <c r="D1390" s="2048"/>
      <c r="E1390" s="2049"/>
      <c r="F1390" s="2048"/>
      <c r="G1390" s="2050"/>
      <c r="H1390" s="2050"/>
      <c r="I1390" s="2050"/>
      <c r="J1390" s="2051"/>
      <c r="K1390" s="684">
        <f t="shared" si="1252"/>
        <v>1</v>
      </c>
      <c r="L1390" s="363">
        <v>1</v>
      </c>
      <c r="M1390" s="684">
        <f t="shared" si="1257"/>
        <v>1</v>
      </c>
      <c r="N1390" s="362" t="str">
        <f t="shared" si="1232"/>
        <v/>
      </c>
      <c r="O1390" s="1763" t="str">
        <f t="shared" si="1233"/>
        <v/>
      </c>
      <c r="P1390" s="1764" t="str">
        <f t="shared" si="1234"/>
        <v/>
      </c>
      <c r="Q1390" s="120" t="str">
        <f t="shared" si="1235"/>
        <v/>
      </c>
      <c r="R1390" s="639"/>
    </row>
    <row r="1391" spans="1:18" s="695" customFormat="1">
      <c r="A1391" s="693"/>
      <c r="B1391" s="1794"/>
      <c r="C1391" s="2053"/>
      <c r="D1391" s="2054"/>
      <c r="E1391" s="1581"/>
      <c r="F1391" s="2055"/>
      <c r="G1391" s="696"/>
      <c r="H1391" s="696"/>
      <c r="I1391" s="696"/>
      <c r="J1391" s="697"/>
      <c r="K1391" s="684">
        <f t="shared" si="1252"/>
        <v>1</v>
      </c>
      <c r="L1391" s="363">
        <v>1</v>
      </c>
      <c r="M1391" s="684">
        <f>IF(B1391="",1,B1391)</f>
        <v>1</v>
      </c>
      <c r="N1391" s="362" t="str">
        <f t="shared" si="1232"/>
        <v/>
      </c>
      <c r="O1391" s="1763" t="str">
        <f t="shared" si="1233"/>
        <v/>
      </c>
      <c r="P1391" s="1764" t="str">
        <f t="shared" si="1234"/>
        <v/>
      </c>
      <c r="Q1391" s="120" t="str">
        <f t="shared" si="1235"/>
        <v/>
      </c>
      <c r="R1391" s="185"/>
    </row>
    <row r="1392" spans="1:18" s="897" customFormat="1">
      <c r="A1392" s="693"/>
      <c r="B1392" s="895">
        <v>3</v>
      </c>
      <c r="C1392" s="721" t="str">
        <f>VLOOKUP(D1392,base_datos,6,FALSE)</f>
        <v>Rotulado por circuito.</v>
      </c>
      <c r="D1392" s="1579" t="s">
        <v>3067</v>
      </c>
      <c r="E1392" s="1580">
        <f>VLOOKUP(D1392,base_datos,5,FALSE)</f>
        <v>0.7</v>
      </c>
      <c r="F1392" s="1581">
        <f>+E1392*B1392</f>
        <v>2.0999999999999996</v>
      </c>
      <c r="G1392" s="1772"/>
      <c r="H1392" s="1772"/>
      <c r="I1392" s="1772"/>
      <c r="J1392" s="896"/>
      <c r="K1392" s="684">
        <f t="shared" si="1252"/>
        <v>1</v>
      </c>
      <c r="L1392" s="363">
        <v>1</v>
      </c>
      <c r="M1392" s="684">
        <f>IF(B1392="",1,B1392)</f>
        <v>3</v>
      </c>
      <c r="N1392" s="362" t="str">
        <f t="shared" si="1232"/>
        <v/>
      </c>
      <c r="O1392" s="1763" t="str">
        <f t="shared" si="1233"/>
        <v/>
      </c>
      <c r="P1392" s="1764" t="str">
        <f t="shared" si="1234"/>
        <v/>
      </c>
      <c r="Q1392" s="120" t="str">
        <f t="shared" si="1235"/>
        <v/>
      </c>
    </row>
    <row r="1393" spans="1:18" s="897" customFormat="1">
      <c r="A1393" s="693"/>
      <c r="B1393" s="895">
        <v>1</v>
      </c>
      <c r="C1393" s="721" t="str">
        <f>VLOOKUP(D1393,base_datos,6,FALSE)</f>
        <v>Rotulado para TAG - tablero de distribución.</v>
      </c>
      <c r="D1393" s="1579" t="s">
        <v>3066</v>
      </c>
      <c r="E1393" s="1580">
        <f>VLOOKUP(D1393,base_datos,5,FALSE)</f>
        <v>1.5</v>
      </c>
      <c r="F1393" s="1581">
        <f>+E1393*B1393</f>
        <v>1.5</v>
      </c>
      <c r="G1393" s="1772"/>
      <c r="H1393" s="1772"/>
      <c r="I1393" s="1772"/>
      <c r="J1393" s="896"/>
      <c r="K1393" s="684">
        <f t="shared" si="1252"/>
        <v>1</v>
      </c>
      <c r="L1393" s="363">
        <v>1</v>
      </c>
      <c r="M1393" s="684">
        <f t="shared" ref="M1393:M1396" si="1263">IF(B1393="",1,B1393)</f>
        <v>1</v>
      </c>
      <c r="N1393" s="362" t="str">
        <f t="shared" si="1232"/>
        <v/>
      </c>
      <c r="O1393" s="1763" t="str">
        <f t="shared" si="1233"/>
        <v/>
      </c>
      <c r="P1393" s="1764" t="str">
        <f t="shared" si="1234"/>
        <v/>
      </c>
      <c r="Q1393" s="120" t="str">
        <f t="shared" si="1235"/>
        <v/>
      </c>
    </row>
    <row r="1394" spans="1:18" s="1237" customFormat="1" ht="18" customHeight="1">
      <c r="A1394" s="1767"/>
      <c r="B1394" s="2093">
        <v>1</v>
      </c>
      <c r="C1394" s="694" t="s">
        <v>12552</v>
      </c>
      <c r="D1394" s="1888"/>
      <c r="E1394" s="1580">
        <f>E1396*15%</f>
        <v>18</v>
      </c>
      <c r="F1394" s="1581">
        <f t="shared" ref="F1394:F1395" si="1264">+E1394*B1394</f>
        <v>18</v>
      </c>
      <c r="G1394" s="1774"/>
      <c r="H1394" s="1774"/>
      <c r="I1394" s="1774"/>
      <c r="J1394" s="1181"/>
      <c r="K1394" s="684">
        <f t="shared" si="1252"/>
        <v>1</v>
      </c>
      <c r="L1394" s="708">
        <v>1</v>
      </c>
      <c r="M1394" s="709">
        <f t="shared" si="1263"/>
        <v>1</v>
      </c>
      <c r="N1394" s="362" t="str">
        <f t="shared" si="1232"/>
        <v/>
      </c>
      <c r="O1394" s="1763" t="str">
        <f t="shared" si="1233"/>
        <v/>
      </c>
      <c r="P1394" s="1764" t="str">
        <f t="shared" si="1234"/>
        <v/>
      </c>
      <c r="Q1394" s="120" t="str">
        <f t="shared" si="1235"/>
        <v/>
      </c>
      <c r="R1394" s="1765"/>
    </row>
    <row r="1395" spans="1:18" s="1237" customFormat="1" ht="18" customHeight="1">
      <c r="A1395" s="1767"/>
      <c r="B1395" s="1773">
        <v>1</v>
      </c>
      <c r="C1395" s="694" t="s">
        <v>12559</v>
      </c>
      <c r="D1395" s="1888"/>
      <c r="E1395" s="1999">
        <f>E1396*20%</f>
        <v>24</v>
      </c>
      <c r="F1395" s="1581">
        <f t="shared" si="1264"/>
        <v>24</v>
      </c>
      <c r="G1395" s="1774"/>
      <c r="H1395" s="1774"/>
      <c r="I1395" s="1774"/>
      <c r="J1395" s="1181"/>
      <c r="K1395" s="684">
        <f>+K1393</f>
        <v>1</v>
      </c>
      <c r="L1395" s="708">
        <v>1</v>
      </c>
      <c r="M1395" s="709">
        <f t="shared" si="1263"/>
        <v>1</v>
      </c>
      <c r="N1395" s="362" t="str">
        <f t="shared" si="1232"/>
        <v/>
      </c>
      <c r="O1395" s="1763" t="str">
        <f t="shared" si="1233"/>
        <v/>
      </c>
      <c r="P1395" s="1764" t="str">
        <f t="shared" si="1234"/>
        <v/>
      </c>
      <c r="Q1395" s="120" t="str">
        <f t="shared" si="1235"/>
        <v/>
      </c>
      <c r="R1395" s="1765"/>
    </row>
    <row r="1396" spans="1:18" s="1237" customFormat="1">
      <c r="A1396" s="2056"/>
      <c r="B1396" s="1967">
        <v>1</v>
      </c>
      <c r="C1396" s="694" t="s">
        <v>12560</v>
      </c>
      <c r="D1396" s="2057"/>
      <c r="E1396" s="1580">
        <v>120</v>
      </c>
      <c r="F1396" s="1968">
        <f>+E1396*B1396</f>
        <v>120</v>
      </c>
      <c r="G1396" s="1774"/>
      <c r="H1396" s="1774"/>
      <c r="I1396" s="1774"/>
      <c r="J1396" s="1181"/>
      <c r="K1396" s="684">
        <f>+K1393</f>
        <v>1</v>
      </c>
      <c r="L1396" s="363">
        <v>1</v>
      </c>
      <c r="M1396" s="684">
        <f t="shared" si="1263"/>
        <v>1</v>
      </c>
      <c r="N1396" s="362" t="str">
        <f t="shared" si="1232"/>
        <v/>
      </c>
      <c r="O1396" s="1763" t="str">
        <f t="shared" si="1233"/>
        <v/>
      </c>
      <c r="P1396" s="1764" t="str">
        <f t="shared" si="1234"/>
        <v/>
      </c>
      <c r="Q1396" s="120" t="str">
        <f t="shared" si="1235"/>
        <v/>
      </c>
    </row>
    <row r="1397" spans="1:18" s="2066" customFormat="1" ht="16.2" thickBot="1">
      <c r="A1397" s="2058"/>
      <c r="B1397" s="2059"/>
      <c r="C1397" s="2060"/>
      <c r="D1397" s="2061"/>
      <c r="E1397" s="2062"/>
      <c r="F1397" s="2062"/>
      <c r="G1397" s="2063"/>
      <c r="H1397" s="2063"/>
      <c r="I1397" s="2064"/>
      <c r="J1397" s="2065"/>
      <c r="N1397" s="362" t="str">
        <f t="shared" si="1232"/>
        <v/>
      </c>
      <c r="O1397" s="1763" t="str">
        <f t="shared" si="1233"/>
        <v/>
      </c>
      <c r="P1397" s="1764" t="str">
        <f t="shared" si="1234"/>
        <v/>
      </c>
      <c r="Q1397" s="120" t="str">
        <f t="shared" si="1235"/>
        <v/>
      </c>
    </row>
    <row r="1398" spans="1:18" s="120" customFormat="1" ht="18" customHeight="1" thickBot="1">
      <c r="A1398" s="1989">
        <v>24</v>
      </c>
      <c r="B1398" s="1852">
        <v>1</v>
      </c>
      <c r="C1398" s="1756" t="s">
        <v>12586</v>
      </c>
      <c r="D1398" s="1588"/>
      <c r="E1398" s="1589"/>
      <c r="F1398" s="1589"/>
      <c r="G1398" s="1757">
        <f>SUM(F1399:F1448)</f>
        <v>2526.7750000000001</v>
      </c>
      <c r="H1398" s="1758">
        <f>G1398*(1-$D$6)</f>
        <v>2526.7750000000001</v>
      </c>
      <c r="I1398" s="1757">
        <f>ROUNDUP(H1398*$D$5,0)</f>
        <v>8592</v>
      </c>
      <c r="J1398" s="1759">
        <f>+I1398*B1398</f>
        <v>8592</v>
      </c>
      <c r="K1398" s="1788">
        <f>B1398</f>
        <v>1</v>
      </c>
      <c r="L1398" s="363"/>
      <c r="M1398" s="684"/>
      <c r="N1398" s="362" t="str">
        <f t="shared" si="1232"/>
        <v/>
      </c>
      <c r="O1398" s="1763" t="str">
        <f t="shared" si="1233"/>
        <v/>
      </c>
      <c r="P1398" s="1764" t="str">
        <f t="shared" si="1234"/>
        <v/>
      </c>
      <c r="Q1398" s="120" t="str">
        <f t="shared" si="1235"/>
        <v/>
      </c>
      <c r="R1398" s="185"/>
    </row>
    <row r="1399" spans="1:18" s="120" customFormat="1" ht="18" customHeight="1">
      <c r="A1399" s="685" t="s">
        <v>3064</v>
      </c>
      <c r="B1399" s="1903"/>
      <c r="C1399" s="1890"/>
      <c r="D1399" s="1904"/>
      <c r="E1399" s="1789"/>
      <c r="F1399" s="1780"/>
      <c r="G1399" s="686"/>
      <c r="H1399" s="710"/>
      <c r="I1399" s="686"/>
      <c r="J1399" s="1768"/>
      <c r="K1399" s="684">
        <f t="shared" ref="K1399:K1448" si="1265">+K1398</f>
        <v>1</v>
      </c>
      <c r="L1399" s="363">
        <v>1</v>
      </c>
      <c r="M1399" s="709">
        <f t="shared" ref="M1399:M1411" si="1266">IF(B1399="",1,B1399)</f>
        <v>1</v>
      </c>
      <c r="N1399" s="362" t="str">
        <f t="shared" si="1232"/>
        <v/>
      </c>
      <c r="O1399" s="1763" t="str">
        <f t="shared" si="1233"/>
        <v/>
      </c>
      <c r="P1399" s="1764" t="str">
        <f t="shared" si="1234"/>
        <v/>
      </c>
      <c r="Q1399" s="120" t="str">
        <f t="shared" si="1235"/>
        <v/>
      </c>
    </row>
    <row r="1400" spans="1:18" s="315" customFormat="1">
      <c r="A1400" s="687" t="s">
        <v>4021</v>
      </c>
      <c r="B1400" s="2096">
        <v>1</v>
      </c>
      <c r="C1400" s="1907" t="s">
        <v>5103</v>
      </c>
      <c r="D1400" s="1935"/>
      <c r="E1400" s="1786"/>
      <c r="F1400" s="1908">
        <f>SUM(F1402:F1406)*(B1400-1)</f>
        <v>0</v>
      </c>
      <c r="G1400" s="712"/>
      <c r="H1400" s="712"/>
      <c r="I1400" s="712"/>
      <c r="J1400" s="713"/>
      <c r="K1400" s="684">
        <f t="shared" si="1265"/>
        <v>1</v>
      </c>
      <c r="L1400" s="1909">
        <f>B1400</f>
        <v>1</v>
      </c>
      <c r="M1400" s="684">
        <f t="shared" si="1266"/>
        <v>1</v>
      </c>
      <c r="N1400" s="362" t="str">
        <f t="shared" si="1232"/>
        <v/>
      </c>
      <c r="O1400" s="1763" t="str">
        <f t="shared" si="1233"/>
        <v/>
      </c>
      <c r="P1400" s="1764" t="str">
        <f t="shared" si="1234"/>
        <v/>
      </c>
      <c r="Q1400" s="120" t="str">
        <f t="shared" si="1235"/>
        <v/>
      </c>
    </row>
    <row r="1401" spans="1:18" s="185" customFormat="1">
      <c r="A1401" s="687" t="s">
        <v>4136</v>
      </c>
      <c r="B1401" s="1910">
        <v>3</v>
      </c>
      <c r="C1401" s="1911" t="str">
        <f>VLOOKUP(D1401,base_datos,6,FALSE)</f>
        <v>Portalámpara + lampara tipo LED - color Rojo - alimentacion: 220-230Vac, d=22mm. - CL2-523R - línea compacta - marca ABB.</v>
      </c>
      <c r="D1401" s="1790" t="s">
        <v>2439</v>
      </c>
      <c r="E1401" s="1939">
        <f>VLOOKUP(D1401,base_datos,5,FALSE)</f>
        <v>12.299999999999999</v>
      </c>
      <c r="F1401" s="1912">
        <f>+E1401*B1401</f>
        <v>36.9</v>
      </c>
      <c r="G1401" s="710"/>
      <c r="H1401" s="710"/>
      <c r="I1401" s="710"/>
      <c r="J1401" s="711"/>
      <c r="K1401" s="684">
        <f>+K1399</f>
        <v>1</v>
      </c>
      <c r="L1401" s="1913">
        <f>L1399</f>
        <v>1</v>
      </c>
      <c r="M1401" s="684">
        <f t="shared" si="1266"/>
        <v>3</v>
      </c>
      <c r="N1401" s="362">
        <f t="shared" si="1232"/>
        <v>3</v>
      </c>
      <c r="O1401" s="1763" t="str">
        <f t="shared" si="1233"/>
        <v>1SFA619403R5231</v>
      </c>
      <c r="P1401" s="1764" t="str">
        <f t="shared" si="1234"/>
        <v>Portalámpara + lampara tipo LED - color Rojo - alimentacion: 220-230Vac, d=22mm. - CL2-523R - línea compacta - marca ABB.</v>
      </c>
      <c r="Q1401" s="120" t="str">
        <f t="shared" si="1235"/>
        <v>LAMP_ROJO_220V</v>
      </c>
    </row>
    <row r="1402" spans="1:18" s="185" customFormat="1">
      <c r="A1402" s="687"/>
      <c r="B1402" s="1910">
        <v>3</v>
      </c>
      <c r="C1402" s="1911" t="str">
        <f>VLOOKUP(D1402,base_datos,6,FALSE)</f>
        <v>Portalámpara + lampara tipo LED - color Verde - alimentacion: 220-230Vac, d=22mm. - CL2-523G - línea compacta - marca ABB.</v>
      </c>
      <c r="D1402" s="1790" t="s">
        <v>2440</v>
      </c>
      <c r="E1402" s="1939">
        <f>VLOOKUP(D1402,base_datos,5,FALSE)</f>
        <v>12.299999999999999</v>
      </c>
      <c r="F1402" s="1912">
        <f>+E1402*B1402</f>
        <v>36.9</v>
      </c>
      <c r="G1402" s="710"/>
      <c r="H1402" s="710"/>
      <c r="I1402" s="710"/>
      <c r="J1402" s="711"/>
      <c r="K1402" s="684">
        <f>+K1400</f>
        <v>1</v>
      </c>
      <c r="L1402" s="1913">
        <f>L1400</f>
        <v>1</v>
      </c>
      <c r="M1402" s="684">
        <f t="shared" si="1266"/>
        <v>3</v>
      </c>
      <c r="N1402" s="362">
        <f t="shared" si="1232"/>
        <v>3</v>
      </c>
      <c r="O1402" s="1763" t="str">
        <f t="shared" si="1233"/>
        <v>1SFA619403R5232</v>
      </c>
      <c r="P1402" s="1764" t="str">
        <f t="shared" si="1234"/>
        <v>Portalámpara + lampara tipo LED - color Verde - alimentacion: 220-230Vac, d=22mm. - CL2-523G - línea compacta - marca ABB.</v>
      </c>
      <c r="Q1402" s="120" t="str">
        <f t="shared" si="1235"/>
        <v>LAMP_VERDE_220V</v>
      </c>
    </row>
    <row r="1403" spans="1:18" s="1921" customFormat="1">
      <c r="A1403" s="687" t="s">
        <v>12356</v>
      </c>
      <c r="B1403" s="1914">
        <v>1</v>
      </c>
      <c r="C1403" s="1915" t="s">
        <v>3366</v>
      </c>
      <c r="D1403" s="1916"/>
      <c r="E1403" s="1917"/>
      <c r="F1403" s="1918"/>
      <c r="G1403" s="1919"/>
      <c r="H1403" s="1919"/>
      <c r="I1403" s="1919"/>
      <c r="J1403" s="1920"/>
      <c r="K1403" s="684">
        <f t="shared" si="1265"/>
        <v>1</v>
      </c>
      <c r="L1403" s="1913">
        <f>L1402</f>
        <v>1</v>
      </c>
      <c r="M1403" s="684">
        <f t="shared" si="1266"/>
        <v>1</v>
      </c>
      <c r="N1403" s="362" t="str">
        <f t="shared" si="1232"/>
        <v/>
      </c>
      <c r="O1403" s="1763" t="str">
        <f t="shared" si="1233"/>
        <v/>
      </c>
      <c r="P1403" s="1764" t="str">
        <f t="shared" si="1234"/>
        <v/>
      </c>
      <c r="Q1403" s="120" t="str">
        <f t="shared" si="1235"/>
        <v/>
      </c>
    </row>
    <row r="1404" spans="1:18" s="320" customFormat="1">
      <c r="A1404" s="687" t="s">
        <v>12482</v>
      </c>
      <c r="B1404" s="1922">
        <v>1</v>
      </c>
      <c r="C1404" s="721" t="str">
        <f>VLOOKUP(D1404,base_datos,6,FALSE)</f>
        <v>Rele auxiliar enchufable +4NA/NC (D2PR4B + base D2PA6), 220Vac - marca EATON.</v>
      </c>
      <c r="D1404" s="1579" t="s">
        <v>772</v>
      </c>
      <c r="E1404" s="1581">
        <f>VLOOKUP(D1404,base_datos,5,FALSE)</f>
        <v>27</v>
      </c>
      <c r="F1404" s="1923">
        <f>+E1404*B1404</f>
        <v>27</v>
      </c>
      <c r="G1404" s="1924"/>
      <c r="H1404" s="1924"/>
      <c r="I1404" s="1924"/>
      <c r="J1404" s="722"/>
      <c r="K1404" s="684">
        <f t="shared" si="1265"/>
        <v>1</v>
      </c>
      <c r="L1404" s="1913">
        <f>L1401</f>
        <v>1</v>
      </c>
      <c r="M1404" s="684">
        <f t="shared" si="1266"/>
        <v>1</v>
      </c>
      <c r="N1404" s="362">
        <f t="shared" si="1232"/>
        <v>1</v>
      </c>
      <c r="O1404" s="1763" t="str">
        <f t="shared" si="1233"/>
        <v>D2PR4B+D2PA6</v>
      </c>
      <c r="P1404" s="1764" t="str">
        <f t="shared" si="1234"/>
        <v>Rele auxiliar enchufable +4NA/NC (D2PR4B + base D2PA6), 220Vac - marca EATON.</v>
      </c>
      <c r="Q1404" s="120" t="str">
        <f t="shared" si="1235"/>
        <v>D2PR4B+D2PA6</v>
      </c>
    </row>
    <row r="1405" spans="1:18" s="320" customFormat="1">
      <c r="A1405" s="1767"/>
      <c r="B1405" s="2131">
        <v>1</v>
      </c>
      <c r="C1405" s="2132" t="s">
        <v>12558</v>
      </c>
      <c r="D1405" s="2133"/>
      <c r="E1405" s="2134">
        <v>32</v>
      </c>
      <c r="F1405" s="2134">
        <f>+E1405*B1405</f>
        <v>32</v>
      </c>
      <c r="G1405" s="1924"/>
      <c r="H1405" s="1924"/>
      <c r="I1405" s="1924"/>
      <c r="J1405" s="722"/>
      <c r="K1405" s="684">
        <f t="shared" si="1265"/>
        <v>1</v>
      </c>
      <c r="L1405" s="1913">
        <f>L1402</f>
        <v>1</v>
      </c>
      <c r="M1405" s="684">
        <f t="shared" si="1266"/>
        <v>1</v>
      </c>
      <c r="N1405" s="362" t="str">
        <f t="shared" si="1232"/>
        <v/>
      </c>
      <c r="O1405" s="1763" t="str">
        <f t="shared" si="1233"/>
        <v/>
      </c>
      <c r="P1405" s="1764" t="str">
        <f t="shared" si="1234"/>
        <v/>
      </c>
      <c r="Q1405" s="120" t="str">
        <f t="shared" si="1235"/>
        <v/>
      </c>
    </row>
    <row r="1406" spans="1:18" s="320" customFormat="1">
      <c r="A1406" s="687" t="s">
        <v>12551</v>
      </c>
      <c r="B1406" s="1922">
        <v>4</v>
      </c>
      <c r="C1406" s="721" t="str">
        <f>VLOOKUP(D1406,base_datos,6,FALSE)</f>
        <v>Base portafusibles + Fusibles de protección para control.</v>
      </c>
      <c r="D1406" s="1579" t="s">
        <v>453</v>
      </c>
      <c r="E1406" s="1581">
        <f>VLOOKUP(D1406,base_datos,5,FALSE)</f>
        <v>8.1750000000000007</v>
      </c>
      <c r="F1406" s="1923">
        <f>+E1406*B1406</f>
        <v>32.700000000000003</v>
      </c>
      <c r="G1406" s="1924"/>
      <c r="H1406" s="1924"/>
      <c r="I1406" s="1924"/>
      <c r="J1406" s="722"/>
      <c r="K1406" s="684">
        <f t="shared" si="1265"/>
        <v>1</v>
      </c>
      <c r="L1406" s="1913">
        <f>L1403</f>
        <v>1</v>
      </c>
      <c r="M1406" s="684">
        <f t="shared" si="1266"/>
        <v>4</v>
      </c>
      <c r="N1406" s="362" t="str">
        <f t="shared" si="1232"/>
        <v/>
      </c>
      <c r="O1406" s="1763" t="str">
        <f t="shared" si="1233"/>
        <v/>
      </c>
      <c r="P1406" s="1764" t="str">
        <f t="shared" si="1234"/>
        <v/>
      </c>
      <c r="Q1406" s="120" t="str">
        <f t="shared" si="1235"/>
        <v/>
      </c>
    </row>
    <row r="1407" spans="1:18" s="315" customFormat="1">
      <c r="A1407" s="687" t="s">
        <v>3542</v>
      </c>
      <c r="B1407" s="1906"/>
      <c r="C1407" s="1907"/>
      <c r="D1407" s="1935"/>
      <c r="E1407" s="1786"/>
      <c r="F1407" s="1958"/>
      <c r="G1407" s="712"/>
      <c r="H1407" s="712"/>
      <c r="I1407" s="712"/>
      <c r="J1407" s="713"/>
      <c r="K1407" s="684">
        <f t="shared" si="1265"/>
        <v>1</v>
      </c>
      <c r="L1407" s="1909">
        <f>B1407</f>
        <v>0</v>
      </c>
      <c r="M1407" s="684">
        <f t="shared" si="1266"/>
        <v>1</v>
      </c>
      <c r="N1407" s="362" t="str">
        <f t="shared" si="1232"/>
        <v/>
      </c>
      <c r="O1407" s="1763" t="str">
        <f t="shared" si="1233"/>
        <v/>
      </c>
      <c r="P1407" s="1764" t="str">
        <f t="shared" si="1234"/>
        <v/>
      </c>
      <c r="Q1407" s="120" t="str">
        <f t="shared" si="1235"/>
        <v/>
      </c>
    </row>
    <row r="1408" spans="1:18" s="185" customFormat="1" ht="13.5" customHeight="1">
      <c r="A1408" s="1771"/>
      <c r="B1408" s="1922"/>
      <c r="C1408" s="1956" t="s">
        <v>12368</v>
      </c>
      <c r="D1408" s="1579"/>
      <c r="E1408" s="1957"/>
      <c r="F1408" s="1958"/>
      <c r="G1408" s="710"/>
      <c r="H1408" s="710"/>
      <c r="I1408" s="710"/>
      <c r="J1408" s="711"/>
      <c r="K1408" s="684">
        <f t="shared" si="1265"/>
        <v>1</v>
      </c>
      <c r="L1408" s="708">
        <v>1</v>
      </c>
      <c r="M1408" s="684">
        <f t="shared" si="1266"/>
        <v>1</v>
      </c>
      <c r="N1408" s="362" t="str">
        <f t="shared" si="1232"/>
        <v/>
      </c>
      <c r="O1408" s="1763" t="str">
        <f t="shared" si="1233"/>
        <v/>
      </c>
      <c r="P1408" s="1764" t="str">
        <f t="shared" si="1234"/>
        <v/>
      </c>
      <c r="Q1408" s="120" t="str">
        <f t="shared" si="1235"/>
        <v/>
      </c>
    </row>
    <row r="1409" spans="1:18" s="120" customFormat="1" ht="18" customHeight="1">
      <c r="A1409" s="1785"/>
      <c r="B1409" s="1781"/>
      <c r="C1409" s="1218" t="s">
        <v>3158</v>
      </c>
      <c r="D1409" s="1900"/>
      <c r="E1409" s="1791"/>
      <c r="F1409" s="1782"/>
      <c r="G1409" s="686"/>
      <c r="H1409" s="686"/>
      <c r="I1409" s="686"/>
      <c r="J1409" s="688"/>
      <c r="K1409" s="684">
        <f t="shared" si="1265"/>
        <v>1</v>
      </c>
      <c r="L1409" s="708">
        <v>1</v>
      </c>
      <c r="M1409" s="709">
        <f t="shared" si="1266"/>
        <v>1</v>
      </c>
      <c r="N1409" s="362" t="str">
        <f t="shared" si="1232"/>
        <v/>
      </c>
      <c r="O1409" s="1763" t="str">
        <f t="shared" si="1233"/>
        <v/>
      </c>
      <c r="P1409" s="1764" t="str">
        <f t="shared" si="1234"/>
        <v/>
      </c>
      <c r="Q1409" s="120" t="str">
        <f t="shared" si="1235"/>
        <v/>
      </c>
      <c r="R1409" s="185"/>
    </row>
    <row r="1410" spans="1:18" s="690" customFormat="1" ht="18" customHeight="1">
      <c r="A1410" s="1785"/>
      <c r="B1410" s="2096">
        <v>1</v>
      </c>
      <c r="C1410" s="1420" t="str">
        <f>VLOOKUP(D1410,base_datos,6,FALSE)</f>
        <v>ITM Caja Moldeada 3x50A (reg.[0.7-1.0] In) - XT1B160-50A-3P-TMD - 25kA@230Vac, 18kA@415Vac, 18kA@250Vdc - marca ABB.</v>
      </c>
      <c r="D1410" s="1901" t="s">
        <v>4368</v>
      </c>
      <c r="E1410" s="1791">
        <f>VLOOKUP(D1410,base_datos,5,FALSE)</f>
        <v>120.37</v>
      </c>
      <c r="F1410" s="1782">
        <f>+E1410*B1410</f>
        <v>120.37</v>
      </c>
      <c r="G1410" s="1761"/>
      <c r="H1410" s="1761"/>
      <c r="I1410" s="1761"/>
      <c r="J1410" s="689"/>
      <c r="K1410" s="684">
        <f t="shared" si="1265"/>
        <v>1</v>
      </c>
      <c r="L1410" s="708">
        <v>1</v>
      </c>
      <c r="M1410" s="709">
        <f t="shared" si="1266"/>
        <v>1</v>
      </c>
      <c r="N1410" s="362">
        <f t="shared" si="1232"/>
        <v>1</v>
      </c>
      <c r="O1410" s="1763" t="str">
        <f t="shared" si="1233"/>
        <v>1SDA066804R1</v>
      </c>
      <c r="P1410" s="1764" t="str">
        <f t="shared" si="1234"/>
        <v>ITM Caja Moldeada 3x50A (reg.[0.7-1.0] In) - XT1B160-50A-3P-TMD - 25kA@230Vac, 18kA@415Vac, 18kA@250Vdc - marca ABB.</v>
      </c>
      <c r="Q1410" s="120" t="str">
        <f t="shared" si="1235"/>
        <v>XT1B160-50A-3P-TMD</v>
      </c>
      <c r="R1410" s="185"/>
    </row>
    <row r="1411" spans="1:18" s="695" customFormat="1" ht="18" customHeight="1">
      <c r="A1411" s="1785"/>
      <c r="B1411" s="1922">
        <v>1</v>
      </c>
      <c r="C1411" s="1848" t="str">
        <f t="shared" ref="C1411" si="1267">VLOOKUP(D1411,base_datos,6,FALSE)</f>
        <v>FC-CuAl_XT1 - Terminales + Cubrebornes - cables de cobre/aluminio hasta 1x95mm2 - 3 terminales (externos)</v>
      </c>
      <c r="D1411" s="1886" t="s">
        <v>956</v>
      </c>
      <c r="E1411" s="1795">
        <v>50</v>
      </c>
      <c r="F1411" s="1923">
        <f t="shared" ref="F1411" si="1268">+E1411*B1411</f>
        <v>50</v>
      </c>
      <c r="G1411" s="696"/>
      <c r="H1411" s="696"/>
      <c r="I1411" s="696"/>
      <c r="J1411" s="697"/>
      <c r="K1411" s="684">
        <f t="shared" si="1265"/>
        <v>1</v>
      </c>
      <c r="L1411" s="1913">
        <f t="shared" ref="L1411" si="1269">L1410</f>
        <v>1</v>
      </c>
      <c r="M1411" s="709">
        <f t="shared" si="1266"/>
        <v>1</v>
      </c>
      <c r="N1411" s="362">
        <f t="shared" si="1232"/>
        <v>1</v>
      </c>
      <c r="O1411" s="1763" t="str">
        <f t="shared" si="1233"/>
        <v>1SDA067155R1</v>
      </c>
      <c r="P1411" s="1764" t="str">
        <f t="shared" si="1234"/>
        <v>FC-CuAl_XT1 - Terminales + Cubrebornes - cables de cobre/aluminio hasta 1x95mm2 - 3 terminales (externos)</v>
      </c>
      <c r="Q1411" s="120" t="str">
        <f t="shared" si="1235"/>
        <v>FC-CuAl_XT1_3t</v>
      </c>
      <c r="R1411" s="185"/>
    </row>
    <row r="1412" spans="1:18" s="185" customFormat="1" ht="18.75" customHeight="1">
      <c r="A1412" s="687"/>
      <c r="B1412" s="714"/>
      <c r="C1412" s="313" t="s">
        <v>729</v>
      </c>
      <c r="D1412" s="173"/>
      <c r="E1412" s="1786"/>
      <c r="F1412" s="1787"/>
      <c r="G1412" s="710"/>
      <c r="H1412" s="710"/>
      <c r="I1412" s="710"/>
      <c r="J1412" s="711"/>
      <c r="K1412" s="684">
        <f t="shared" si="1265"/>
        <v>1</v>
      </c>
      <c r="L1412" s="708">
        <v>1</v>
      </c>
      <c r="M1412" s="709">
        <f>IF(B1412="",1,B1412)</f>
        <v>1</v>
      </c>
      <c r="N1412" s="362" t="str">
        <f t="shared" si="1232"/>
        <v/>
      </c>
      <c r="O1412" s="1763" t="str">
        <f t="shared" si="1233"/>
        <v/>
      </c>
      <c r="P1412" s="1764" t="str">
        <f t="shared" si="1234"/>
        <v/>
      </c>
      <c r="Q1412" s="120" t="str">
        <f t="shared" si="1235"/>
        <v/>
      </c>
    </row>
    <row r="1413" spans="1:18" s="690" customFormat="1" ht="18" customHeight="1">
      <c r="A1413" s="1785"/>
      <c r="B1413" s="1851"/>
      <c r="C1413" s="1966" t="s">
        <v>9431</v>
      </c>
      <c r="D1413" s="1582"/>
      <c r="E1413" s="1780"/>
      <c r="F1413" s="1782"/>
      <c r="G1413" s="1761"/>
      <c r="H1413" s="1761"/>
      <c r="I1413" s="1761"/>
      <c r="J1413" s="689"/>
      <c r="K1413" s="684">
        <f t="shared" si="1265"/>
        <v>1</v>
      </c>
      <c r="L1413" s="708">
        <v>1</v>
      </c>
      <c r="M1413" s="709">
        <f t="shared" ref="M1413:M1430" si="1270">IF(B1413="",1,B1413)</f>
        <v>1</v>
      </c>
      <c r="N1413" s="362" t="str">
        <f t="shared" si="1232"/>
        <v/>
      </c>
      <c r="O1413" s="1763" t="str">
        <f t="shared" si="1233"/>
        <v/>
      </c>
      <c r="P1413" s="1764" t="str">
        <f t="shared" si="1234"/>
        <v/>
      </c>
      <c r="Q1413" s="120" t="str">
        <f t="shared" si="1235"/>
        <v/>
      </c>
      <c r="R1413" s="185"/>
    </row>
    <row r="1414" spans="1:18" s="690" customFormat="1" ht="18" customHeight="1">
      <c r="A1414" s="1785"/>
      <c r="B1414" s="1781">
        <v>1</v>
      </c>
      <c r="C1414" s="1960" t="str">
        <f t="shared" ref="C1414:C1415" si="1271">VLOOKUP(D1414,base_datos,6,FALSE)</f>
        <v>ITM Caja Moldeada 3x32A (reg.[0.7-1.0] In) - XT1B160-32A-3P-TMD - 25kA@230Vac, 18kA@415Vac, 18kA@250Vdc - marca ABB.</v>
      </c>
      <c r="D1414" s="1901" t="s">
        <v>4364</v>
      </c>
      <c r="E1414" s="1791">
        <f t="shared" ref="E1414:E1415" si="1272">VLOOKUP(D1414,base_datos,5,FALSE)</f>
        <v>120.37</v>
      </c>
      <c r="F1414" s="1782">
        <f t="shared" ref="F1414:F1416" si="1273">+E1414*B1414</f>
        <v>120.37</v>
      </c>
      <c r="G1414" s="1761"/>
      <c r="H1414" s="1761"/>
      <c r="I1414" s="1761"/>
      <c r="J1414" s="1783"/>
      <c r="K1414" s="684">
        <f t="shared" si="1265"/>
        <v>1</v>
      </c>
      <c r="L1414" s="708">
        <v>1</v>
      </c>
      <c r="M1414" s="709">
        <f t="shared" si="1270"/>
        <v>1</v>
      </c>
      <c r="N1414" s="362">
        <f t="shared" si="1232"/>
        <v>1</v>
      </c>
      <c r="O1414" s="1763" t="str">
        <f t="shared" si="1233"/>
        <v>1SDA066802R1</v>
      </c>
      <c r="P1414" s="1764" t="str">
        <f t="shared" si="1234"/>
        <v>ITM Caja Moldeada 3x32A (reg.[0.7-1.0] In) - XT1B160-32A-3P-TMD - 25kA@230Vac, 18kA@415Vac, 18kA@250Vdc - marca ABB.</v>
      </c>
      <c r="Q1414" s="120" t="str">
        <f t="shared" si="1235"/>
        <v>XT1B160-32A-3P-TMD</v>
      </c>
      <c r="R1414" s="185"/>
    </row>
    <row r="1415" spans="1:18" s="690" customFormat="1" ht="18" customHeight="1">
      <c r="A1415" s="1785"/>
      <c r="B1415" s="1781">
        <v>1</v>
      </c>
      <c r="C1415" s="1960" t="str">
        <f t="shared" si="1271"/>
        <v>ITM Caja Moldeada 3x16A (reg.[0.7-1.0] In) - XT1B160-16A-3P-TMD - 25kA@230Vac, 18kA@415Vac, 18kA@250Vdc - marca ABB.</v>
      </c>
      <c r="D1415" s="1901" t="s">
        <v>4358</v>
      </c>
      <c r="E1415" s="1791">
        <f t="shared" si="1272"/>
        <v>120.37</v>
      </c>
      <c r="F1415" s="1782">
        <f t="shared" si="1273"/>
        <v>120.37</v>
      </c>
      <c r="G1415" s="1761"/>
      <c r="H1415" s="1761"/>
      <c r="I1415" s="1761"/>
      <c r="J1415" s="1783"/>
      <c r="K1415" s="684">
        <f t="shared" si="1265"/>
        <v>1</v>
      </c>
      <c r="L1415" s="708">
        <v>1</v>
      </c>
      <c r="M1415" s="709">
        <f t="shared" si="1270"/>
        <v>1</v>
      </c>
      <c r="N1415" s="362">
        <f t="shared" si="1232"/>
        <v>1</v>
      </c>
      <c r="O1415" s="1763" t="str">
        <f t="shared" si="1233"/>
        <v>1SDA066799R1</v>
      </c>
      <c r="P1415" s="1764" t="str">
        <f t="shared" si="1234"/>
        <v>ITM Caja Moldeada 3x16A (reg.[0.7-1.0] In) - XT1B160-16A-3P-TMD - 25kA@230Vac, 18kA@415Vac, 18kA@250Vdc - marca ABB.</v>
      </c>
      <c r="Q1415" s="120" t="str">
        <f t="shared" si="1235"/>
        <v>XT1B160-16A-3P-TMD</v>
      </c>
      <c r="R1415" s="185"/>
    </row>
    <row r="1416" spans="1:18" s="695" customFormat="1">
      <c r="A1416" s="687"/>
      <c r="B1416" s="1967">
        <v>1</v>
      </c>
      <c r="C1416" s="1946">
        <v>6</v>
      </c>
      <c r="D1416" s="1582"/>
      <c r="E1416" s="2000">
        <v>24</v>
      </c>
      <c r="F1416" s="1968">
        <f t="shared" si="1273"/>
        <v>24</v>
      </c>
      <c r="G1416" s="1969"/>
      <c r="H1416" s="1969"/>
      <c r="I1416" s="1969"/>
      <c r="J1416" s="1970"/>
      <c r="K1416" s="684">
        <f t="shared" si="1265"/>
        <v>1</v>
      </c>
      <c r="L1416" s="363">
        <v>1</v>
      </c>
      <c r="M1416" s="709">
        <f t="shared" si="1270"/>
        <v>1</v>
      </c>
      <c r="N1416" s="362" t="str">
        <f t="shared" si="1232"/>
        <v/>
      </c>
      <c r="O1416" s="1763" t="str">
        <f t="shared" si="1233"/>
        <v/>
      </c>
      <c r="P1416" s="1764" t="str">
        <f t="shared" si="1234"/>
        <v/>
      </c>
      <c r="Q1416" s="120" t="str">
        <f t="shared" si="1235"/>
        <v/>
      </c>
    </row>
    <row r="1417" spans="1:18" s="185" customFormat="1" ht="18.75" customHeight="1">
      <c r="A1417" s="687"/>
      <c r="B1417" s="714"/>
      <c r="C1417" s="313" t="s">
        <v>729</v>
      </c>
      <c r="D1417" s="173"/>
      <c r="E1417" s="1786"/>
      <c r="F1417" s="1787"/>
      <c r="G1417" s="710"/>
      <c r="H1417" s="710"/>
      <c r="I1417" s="710"/>
      <c r="J1417" s="711"/>
      <c r="K1417" s="684">
        <f t="shared" si="1265"/>
        <v>1</v>
      </c>
      <c r="L1417" s="708">
        <v>1</v>
      </c>
      <c r="M1417" s="709">
        <f>IF(B1417="",1,B1417)</f>
        <v>1</v>
      </c>
      <c r="N1417" s="362" t="str">
        <f t="shared" ref="N1417" si="1274">IF(O1417&lt;&gt;"",K1417*L1417*M1417,"")</f>
        <v/>
      </c>
      <c r="O1417" s="1763" t="str">
        <f t="shared" ref="O1417" si="1275">IF(D1417&lt;&gt;"",IF(VLOOKUP(D1417,base_datos,7,FALSE)&lt;&gt;"",VLOOKUP(D1417,base_datos,7,FALSE),""),"")</f>
        <v/>
      </c>
      <c r="P1417" s="1764" t="str">
        <f t="shared" ref="P1417" si="1276">IF(O1417&lt;&gt;"",VLOOKUP(D1417,base_datos,6,FALSE),"")</f>
        <v/>
      </c>
      <c r="Q1417" s="120" t="str">
        <f t="shared" ref="Q1417" si="1277">IF(O1417&lt;&gt;"",D1417,"")</f>
        <v/>
      </c>
    </row>
    <row r="1418" spans="1:18" s="690" customFormat="1" ht="18" customHeight="1">
      <c r="A1418" s="1785"/>
      <c r="B1418" s="1851"/>
      <c r="C1418" s="1966" t="s">
        <v>12546</v>
      </c>
      <c r="D1418" s="1582"/>
      <c r="E1418" s="1780"/>
      <c r="F1418" s="1782"/>
      <c r="G1418" s="1761"/>
      <c r="H1418" s="1761"/>
      <c r="I1418" s="1761"/>
      <c r="J1418" s="689"/>
      <c r="K1418" s="684">
        <f t="shared" si="1265"/>
        <v>1</v>
      </c>
      <c r="L1418" s="708">
        <v>1</v>
      </c>
      <c r="M1418" s="709">
        <f t="shared" si="1270"/>
        <v>1</v>
      </c>
      <c r="N1418" s="362" t="str">
        <f t="shared" si="1232"/>
        <v/>
      </c>
      <c r="O1418" s="1763" t="str">
        <f t="shared" si="1233"/>
        <v/>
      </c>
      <c r="P1418" s="1764" t="str">
        <f t="shared" si="1234"/>
        <v/>
      </c>
      <c r="Q1418" s="120" t="str">
        <f t="shared" si="1235"/>
        <v/>
      </c>
      <c r="R1418" s="185"/>
    </row>
    <row r="1419" spans="1:18" s="690" customFormat="1" ht="18" customHeight="1">
      <c r="A1419" s="1785"/>
      <c r="B1419" s="1781">
        <v>5</v>
      </c>
      <c r="C1419" s="1960" t="str">
        <f t="shared" ref="C1419:C1421" si="1278">VLOOKUP(D1419,base_datos,6,FALSE)</f>
        <v>ITM Riel-Din 2x16A - S202-C-16A - 10kA@400Vac-IEC60947-2 - marca ABB.</v>
      </c>
      <c r="D1419" s="2007" t="s">
        <v>970</v>
      </c>
      <c r="E1419" s="1791">
        <f t="shared" ref="E1419:E1421" si="1279">VLOOKUP(D1419,base_datos,5,FALSE)</f>
        <v>17.96</v>
      </c>
      <c r="F1419" s="1782">
        <f t="shared" ref="F1419:F1422" si="1280">+E1419*B1419</f>
        <v>89.800000000000011</v>
      </c>
      <c r="G1419" s="1761"/>
      <c r="H1419" s="1761"/>
      <c r="I1419" s="1761"/>
      <c r="J1419" s="1783"/>
      <c r="K1419" s="684">
        <f t="shared" si="1265"/>
        <v>1</v>
      </c>
      <c r="L1419" s="708">
        <v>1</v>
      </c>
      <c r="M1419" s="709">
        <f t="shared" si="1270"/>
        <v>5</v>
      </c>
      <c r="N1419" s="362">
        <f t="shared" si="1232"/>
        <v>5</v>
      </c>
      <c r="O1419" s="1763" t="str">
        <f t="shared" si="1233"/>
        <v>2CDS252001R0164</v>
      </c>
      <c r="P1419" s="1764" t="str">
        <f t="shared" si="1234"/>
        <v>ITM Riel-Din 2x16A - S202-C-16A - 10kA@400Vac-IEC60947-2 - marca ABB.</v>
      </c>
      <c r="Q1419" s="120" t="str">
        <f t="shared" si="1235"/>
        <v>S202-C-16A</v>
      </c>
      <c r="R1419" s="185"/>
    </row>
    <row r="1420" spans="1:18" s="690" customFormat="1" ht="18" customHeight="1">
      <c r="A1420" s="1785"/>
      <c r="B1420" s="2023">
        <v>5</v>
      </c>
      <c r="C1420" s="2041" t="str">
        <f t="shared" si="1278"/>
        <v>Interruptor Diferencial 2x25A - 30mA - clase A (inmunizado) - FH202-A-25A-30mA - marca ABB.</v>
      </c>
      <c r="D1420" s="2006" t="s">
        <v>5318</v>
      </c>
      <c r="E1420" s="2025">
        <f t="shared" si="1279"/>
        <v>50</v>
      </c>
      <c r="F1420" s="2026">
        <f t="shared" si="1280"/>
        <v>250</v>
      </c>
      <c r="G1420" s="1761"/>
      <c r="H1420" s="1761"/>
      <c r="I1420" s="1761"/>
      <c r="J1420" s="1783"/>
      <c r="K1420" s="684">
        <f t="shared" si="1265"/>
        <v>1</v>
      </c>
      <c r="L1420" s="708">
        <v>1</v>
      </c>
      <c r="M1420" s="709">
        <f t="shared" si="1270"/>
        <v>5</v>
      </c>
      <c r="N1420" s="362">
        <f t="shared" si="1232"/>
        <v>5</v>
      </c>
      <c r="O1420" s="1763" t="str">
        <f t="shared" si="1233"/>
        <v>2CSF202102R1250</v>
      </c>
      <c r="P1420" s="1764" t="str">
        <f t="shared" si="1234"/>
        <v>Interruptor Diferencial 2x25A - 30mA - clase A (inmunizado) - FH202-A-25A-30mA - marca ABB.</v>
      </c>
      <c r="Q1420" s="120" t="str">
        <f t="shared" si="1235"/>
        <v>FH202-A-25A-30mA</v>
      </c>
      <c r="R1420" s="185"/>
    </row>
    <row r="1421" spans="1:18" s="690" customFormat="1" ht="18" customHeight="1">
      <c r="A1421" s="1785"/>
      <c r="B1421" s="1781">
        <v>1</v>
      </c>
      <c r="C1421" s="1960" t="str">
        <f t="shared" si="1278"/>
        <v>Espacio de reserva monofasica + interruptor diferencial - Riel-Din.</v>
      </c>
      <c r="D1421" s="2006" t="s">
        <v>2926</v>
      </c>
      <c r="E1421" s="1791">
        <f t="shared" si="1279"/>
        <v>2.5</v>
      </c>
      <c r="F1421" s="1782">
        <f t="shared" si="1280"/>
        <v>2.5</v>
      </c>
      <c r="G1421" s="1761"/>
      <c r="H1421" s="1761"/>
      <c r="I1421" s="1761"/>
      <c r="J1421" s="1783"/>
      <c r="K1421" s="684">
        <f t="shared" si="1265"/>
        <v>1</v>
      </c>
      <c r="L1421" s="708">
        <v>1</v>
      </c>
      <c r="M1421" s="709">
        <f t="shared" si="1270"/>
        <v>1</v>
      </c>
      <c r="N1421" s="362" t="str">
        <f t="shared" si="1232"/>
        <v/>
      </c>
      <c r="O1421" s="1763" t="str">
        <f t="shared" si="1233"/>
        <v/>
      </c>
      <c r="P1421" s="1764" t="str">
        <f t="shared" si="1234"/>
        <v/>
      </c>
      <c r="Q1421" s="120" t="str">
        <f t="shared" si="1235"/>
        <v/>
      </c>
      <c r="R1421" s="185"/>
    </row>
    <row r="1422" spans="1:18" s="695" customFormat="1">
      <c r="A1422" s="687"/>
      <c r="B1422" s="1967">
        <v>1</v>
      </c>
      <c r="C1422" s="1946">
        <v>12</v>
      </c>
      <c r="D1422" s="1582"/>
      <c r="E1422" s="2000">
        <v>48</v>
      </c>
      <c r="F1422" s="1968">
        <f t="shared" si="1280"/>
        <v>48</v>
      </c>
      <c r="G1422" s="1969"/>
      <c r="H1422" s="1969"/>
      <c r="I1422" s="1969"/>
      <c r="J1422" s="1970"/>
      <c r="K1422" s="684">
        <f t="shared" si="1265"/>
        <v>1</v>
      </c>
      <c r="L1422" s="363">
        <v>1</v>
      </c>
      <c r="M1422" s="709">
        <f t="shared" si="1270"/>
        <v>1</v>
      </c>
      <c r="N1422" s="362" t="str">
        <f t="shared" si="1232"/>
        <v/>
      </c>
      <c r="O1422" s="1763" t="str">
        <f t="shared" si="1233"/>
        <v/>
      </c>
      <c r="P1422" s="1764" t="str">
        <f t="shared" si="1234"/>
        <v/>
      </c>
      <c r="Q1422" s="120" t="str">
        <f t="shared" si="1235"/>
        <v/>
      </c>
    </row>
    <row r="1423" spans="1:18" s="185" customFormat="1">
      <c r="A1423" s="1785"/>
      <c r="B1423" s="714"/>
      <c r="C1423" s="1893" t="s">
        <v>729</v>
      </c>
      <c r="D1423" s="1941"/>
      <c r="E1423" s="1786"/>
      <c r="F1423" s="1787"/>
      <c r="G1423" s="710"/>
      <c r="H1423" s="710"/>
      <c r="I1423" s="710"/>
      <c r="J1423" s="711"/>
      <c r="K1423" s="684">
        <f t="shared" si="1265"/>
        <v>1</v>
      </c>
      <c r="L1423" s="363">
        <v>1</v>
      </c>
      <c r="M1423" s="709">
        <f t="shared" si="1270"/>
        <v>1</v>
      </c>
      <c r="N1423" s="362" t="str">
        <f t="shared" si="1232"/>
        <v/>
      </c>
      <c r="O1423" s="1763" t="str">
        <f t="shared" si="1233"/>
        <v/>
      </c>
      <c r="P1423" s="1764" t="str">
        <f t="shared" si="1234"/>
        <v/>
      </c>
      <c r="Q1423" s="120" t="str">
        <f t="shared" si="1235"/>
        <v/>
      </c>
    </row>
    <row r="1424" spans="1:18" s="690" customFormat="1" ht="18" customHeight="1">
      <c r="A1424" s="1785"/>
      <c r="B1424" s="1851"/>
      <c r="C1424" s="1966" t="s">
        <v>12547</v>
      </c>
      <c r="D1424" s="1582"/>
      <c r="E1424" s="1780"/>
      <c r="F1424" s="1782"/>
      <c r="G1424" s="1761"/>
      <c r="H1424" s="1761"/>
      <c r="I1424" s="1761"/>
      <c r="J1424" s="689"/>
      <c r="K1424" s="684">
        <f t="shared" si="1265"/>
        <v>1</v>
      </c>
      <c r="L1424" s="708">
        <v>1</v>
      </c>
      <c r="M1424" s="709">
        <f t="shared" si="1270"/>
        <v>1</v>
      </c>
      <c r="N1424" s="362" t="str">
        <f t="shared" si="1232"/>
        <v/>
      </c>
      <c r="O1424" s="1763" t="str">
        <f t="shared" si="1233"/>
        <v/>
      </c>
      <c r="P1424" s="1764" t="str">
        <f t="shared" si="1234"/>
        <v/>
      </c>
      <c r="Q1424" s="120" t="str">
        <f t="shared" si="1235"/>
        <v/>
      </c>
      <c r="R1424" s="185"/>
    </row>
    <row r="1425" spans="1:20" s="2434" customFormat="1" ht="18" customHeight="1">
      <c r="A1425" s="2462"/>
      <c r="B1425" s="2435">
        <v>1</v>
      </c>
      <c r="C1425" s="2436" t="str">
        <f t="shared" ref="C1425" si="1281">VLOOKUP(D1425,base_datos,6,FALSE)</f>
        <v>ITM Caja Moldeada 2x16A - A1N/P125-16A-2P-TMF - 50kA@230Vac, 36kA@400Vac, 10kA@125Vdc - marca ABB.</v>
      </c>
      <c r="D1425" s="2483" t="s">
        <v>1172</v>
      </c>
      <c r="E1425" s="2482">
        <f t="shared" ref="E1425" si="1282">VLOOKUP(D1425,base_datos,5,FALSE)</f>
        <v>59.769999999999996</v>
      </c>
      <c r="F1425" s="2422">
        <f t="shared" ref="F1425" si="1283">+E1425*B1425</f>
        <v>59.769999999999996</v>
      </c>
      <c r="G1425" s="2424"/>
      <c r="H1425" s="2424"/>
      <c r="I1425" s="2424"/>
      <c r="J1425" s="2425"/>
      <c r="K1425" s="2426">
        <f>+K1423</f>
        <v>1</v>
      </c>
      <c r="L1425" s="2463">
        <v>1</v>
      </c>
      <c r="M1425" s="2428">
        <f t="shared" ref="M1425" si="1284">IF(B1425="",1,B1425)</f>
        <v>1</v>
      </c>
      <c r="N1425" s="2429">
        <f t="shared" ref="N1425" si="1285">IF(O1425&lt;&gt;"",K1425*L1425*M1425,"")</f>
        <v>1</v>
      </c>
      <c r="O1425" s="2430" t="str">
        <f t="shared" ref="O1425" si="1286">IF(D1425&lt;&gt;"",IF(VLOOKUP(D1425,base_datos,7,FALSE)&lt;&gt;"",VLOOKUP(D1425,base_datos,7,FALSE),""),"")</f>
        <v>1SDA069551R1</v>
      </c>
      <c r="P1425" s="2431" t="str">
        <f t="shared" ref="P1425" si="1287">IF(O1425&lt;&gt;"",VLOOKUP(D1425,base_datos,6,FALSE),"")</f>
        <v>ITM Caja Moldeada 2x16A - A1N/P125-16A-2P-TMF - 50kA@230Vac, 36kA@400Vac, 10kA@125Vdc - marca ABB.</v>
      </c>
      <c r="Q1425" s="2432" t="str">
        <f t="shared" ref="Q1425" si="1288">IF(O1425&lt;&gt;"",D1425,"")</f>
        <v>A1N/P125-16A-2P-TMF</v>
      </c>
      <c r="R1425" s="2433"/>
    </row>
    <row r="1426" spans="1:20" s="690" customFormat="1" ht="18" customHeight="1">
      <c r="A1426" s="1785"/>
      <c r="B1426" s="1781">
        <v>9</v>
      </c>
      <c r="C1426" s="1960" t="str">
        <f t="shared" ref="C1426:C1428" si="1289">VLOOKUP(D1426,base_datos,6,FALSE)</f>
        <v>ITM Riel-Din 2x16A - S202-C-16A - 10kA@400Vac-IEC60947-2 - marca ABB.</v>
      </c>
      <c r="D1426" s="2007" t="s">
        <v>970</v>
      </c>
      <c r="E1426" s="1791">
        <f t="shared" ref="E1426:E1428" si="1290">VLOOKUP(D1426,base_datos,5,FALSE)</f>
        <v>17.96</v>
      </c>
      <c r="F1426" s="1782">
        <f t="shared" ref="F1426:F1429" si="1291">+E1426*B1426</f>
        <v>161.64000000000001</v>
      </c>
      <c r="G1426" s="1761"/>
      <c r="H1426" s="1761"/>
      <c r="I1426" s="1761"/>
      <c r="J1426" s="1783"/>
      <c r="K1426" s="684">
        <f>+K1424</f>
        <v>1</v>
      </c>
      <c r="L1426" s="708">
        <v>1</v>
      </c>
      <c r="M1426" s="709">
        <f t="shared" si="1270"/>
        <v>9</v>
      </c>
      <c r="N1426" s="362">
        <f t="shared" si="1232"/>
        <v>9</v>
      </c>
      <c r="O1426" s="1763" t="str">
        <f t="shared" si="1233"/>
        <v>2CDS252001R0164</v>
      </c>
      <c r="P1426" s="1764" t="str">
        <f t="shared" si="1234"/>
        <v>ITM Riel-Din 2x16A - S202-C-16A - 10kA@400Vac-IEC60947-2 - marca ABB.</v>
      </c>
      <c r="Q1426" s="120" t="str">
        <f t="shared" si="1235"/>
        <v>S202-C-16A</v>
      </c>
      <c r="R1426" s="185"/>
    </row>
    <row r="1427" spans="1:20" s="690" customFormat="1" ht="18" customHeight="1">
      <c r="A1427" s="1785"/>
      <c r="B1427" s="2023">
        <v>9</v>
      </c>
      <c r="C1427" s="2041" t="str">
        <f t="shared" si="1289"/>
        <v>Interruptor Diferencial 2x25A - 30mA - clase A (inmunizado) - FH202-A-25A-30mA - marca ABB.</v>
      </c>
      <c r="D1427" s="2006" t="s">
        <v>5318</v>
      </c>
      <c r="E1427" s="2025">
        <f t="shared" si="1290"/>
        <v>50</v>
      </c>
      <c r="F1427" s="2026">
        <f t="shared" si="1291"/>
        <v>450</v>
      </c>
      <c r="G1427" s="1761"/>
      <c r="H1427" s="1761"/>
      <c r="I1427" s="1761"/>
      <c r="J1427" s="1783"/>
      <c r="K1427" s="684">
        <f t="shared" si="1265"/>
        <v>1</v>
      </c>
      <c r="L1427" s="708">
        <v>1</v>
      </c>
      <c r="M1427" s="709">
        <f t="shared" si="1270"/>
        <v>9</v>
      </c>
      <c r="N1427" s="362">
        <f t="shared" si="1232"/>
        <v>9</v>
      </c>
      <c r="O1427" s="1763" t="str">
        <f t="shared" si="1233"/>
        <v>2CSF202102R1250</v>
      </c>
      <c r="P1427" s="1764" t="str">
        <f t="shared" si="1234"/>
        <v>Interruptor Diferencial 2x25A - 30mA - clase A (inmunizado) - FH202-A-25A-30mA - marca ABB.</v>
      </c>
      <c r="Q1427" s="120" t="str">
        <f t="shared" si="1235"/>
        <v>FH202-A-25A-30mA</v>
      </c>
      <c r="R1427" s="185"/>
    </row>
    <row r="1428" spans="1:20" s="690" customFormat="1" ht="18" customHeight="1">
      <c r="A1428" s="1785"/>
      <c r="B1428" s="1781">
        <v>2</v>
      </c>
      <c r="C1428" s="1960" t="str">
        <f t="shared" si="1289"/>
        <v>Espacio de reserva monofasica + interruptor diferencial - Riel-Din.</v>
      </c>
      <c r="D1428" s="2006" t="s">
        <v>2926</v>
      </c>
      <c r="E1428" s="1791">
        <f t="shared" si="1290"/>
        <v>2.5</v>
      </c>
      <c r="F1428" s="1782">
        <f t="shared" si="1291"/>
        <v>5</v>
      </c>
      <c r="G1428" s="1761"/>
      <c r="H1428" s="1761"/>
      <c r="I1428" s="1761"/>
      <c r="J1428" s="1783"/>
      <c r="K1428" s="684">
        <f t="shared" si="1265"/>
        <v>1</v>
      </c>
      <c r="L1428" s="708">
        <v>1</v>
      </c>
      <c r="M1428" s="709">
        <f t="shared" si="1270"/>
        <v>2</v>
      </c>
      <c r="N1428" s="362" t="str">
        <f t="shared" si="1232"/>
        <v/>
      </c>
      <c r="O1428" s="1763" t="str">
        <f t="shared" si="1233"/>
        <v/>
      </c>
      <c r="P1428" s="1764" t="str">
        <f t="shared" si="1234"/>
        <v/>
      </c>
      <c r="Q1428" s="120" t="str">
        <f t="shared" si="1235"/>
        <v/>
      </c>
      <c r="R1428" s="185"/>
    </row>
    <row r="1429" spans="1:20" s="695" customFormat="1">
      <c r="A1429" s="687"/>
      <c r="B1429" s="1967">
        <v>1</v>
      </c>
      <c r="C1429" s="1946">
        <v>24</v>
      </c>
      <c r="D1429" s="1582"/>
      <c r="E1429" s="2000">
        <v>70</v>
      </c>
      <c r="F1429" s="1968">
        <f t="shared" si="1291"/>
        <v>70</v>
      </c>
      <c r="G1429" s="1969"/>
      <c r="H1429" s="1969"/>
      <c r="I1429" s="1969"/>
      <c r="J1429" s="1970"/>
      <c r="K1429" s="684">
        <f t="shared" si="1265"/>
        <v>1</v>
      </c>
      <c r="L1429" s="363">
        <v>1</v>
      </c>
      <c r="M1429" s="709">
        <f t="shared" si="1270"/>
        <v>1</v>
      </c>
      <c r="N1429" s="362" t="str">
        <f t="shared" si="1232"/>
        <v/>
      </c>
      <c r="O1429" s="1763" t="str">
        <f t="shared" si="1233"/>
        <v/>
      </c>
      <c r="P1429" s="1764" t="str">
        <f t="shared" si="1234"/>
        <v/>
      </c>
      <c r="Q1429" s="120" t="str">
        <f t="shared" si="1235"/>
        <v/>
      </c>
    </row>
    <row r="1430" spans="1:20" s="185" customFormat="1">
      <c r="A1430" s="1785"/>
      <c r="B1430" s="714"/>
      <c r="C1430" s="1893" t="s">
        <v>729</v>
      </c>
      <c r="D1430" s="1941"/>
      <c r="E1430" s="1786"/>
      <c r="F1430" s="1787"/>
      <c r="G1430" s="710"/>
      <c r="H1430" s="710"/>
      <c r="I1430" s="710"/>
      <c r="J1430" s="711"/>
      <c r="K1430" s="684">
        <f t="shared" si="1265"/>
        <v>1</v>
      </c>
      <c r="L1430" s="363">
        <v>1</v>
      </c>
      <c r="M1430" s="709">
        <f t="shared" si="1270"/>
        <v>1</v>
      </c>
      <c r="N1430" s="362" t="str">
        <f t="shared" si="1232"/>
        <v/>
      </c>
      <c r="O1430" s="1763" t="str">
        <f t="shared" si="1233"/>
        <v/>
      </c>
      <c r="P1430" s="1764" t="str">
        <f t="shared" si="1234"/>
        <v/>
      </c>
      <c r="Q1430" s="120" t="str">
        <f t="shared" si="1235"/>
        <v/>
      </c>
    </row>
    <row r="1431" spans="1:20" s="315" customFormat="1" ht="18.75" customHeight="1">
      <c r="A1431" s="2271"/>
      <c r="B1431" s="2272">
        <v>1</v>
      </c>
      <c r="C1431" s="2281" t="s">
        <v>13366</v>
      </c>
      <c r="D1431" s="1935"/>
      <c r="E1431" s="2287"/>
      <c r="F1431" s="2257">
        <f>+SUM(F1432:F1435)*(B1431-1)</f>
        <v>0</v>
      </c>
      <c r="G1431" s="712"/>
      <c r="H1431" s="712"/>
      <c r="I1431" s="712"/>
      <c r="J1431" s="713"/>
      <c r="K1431" s="684">
        <f t="shared" si="1265"/>
        <v>1</v>
      </c>
      <c r="L1431" s="708">
        <v>1</v>
      </c>
      <c r="M1431" s="709">
        <f t="shared" ref="M1431:M1436" si="1292">IF(B1431="",1,B1431)</f>
        <v>1</v>
      </c>
      <c r="N1431" s="112" t="str">
        <f t="shared" si="1232"/>
        <v/>
      </c>
      <c r="O1431" s="112" t="str">
        <f t="shared" si="1233"/>
        <v/>
      </c>
      <c r="P1431" s="120" t="str">
        <f t="shared" si="1234"/>
        <v/>
      </c>
      <c r="Q1431" s="120" t="str">
        <f t="shared" si="1235"/>
        <v/>
      </c>
      <c r="S1431" s="112" t="str">
        <f t="shared" ref="S1431:S1436" si="1293">IF(O1431&lt;&gt;"",VLOOKUP(D1431,base_datos,9,FALSE),"")</f>
        <v/>
      </c>
      <c r="T1431" s="2128"/>
    </row>
    <row r="1432" spans="1:20" s="690" customFormat="1" ht="18" customHeight="1">
      <c r="A1432" s="2273"/>
      <c r="B1432" s="1781">
        <v>1</v>
      </c>
      <c r="C1432" s="1420" t="str">
        <f t="shared" ref="C1432:C1435" si="1294">VLOOKUP(D1432,base_datos,6,FALSE)</f>
        <v>Calefactor resistivo 60W, modelo RACM - marca FANDIS.</v>
      </c>
      <c r="D1432" s="1899" t="s">
        <v>3298</v>
      </c>
      <c r="E1432" s="2288">
        <f t="shared" ref="E1432" si="1295">VLOOKUP(D1432,base_datos,5,FALSE)</f>
        <v>127.1</v>
      </c>
      <c r="F1432" s="1782">
        <f>+E1432*B1432</f>
        <v>127.1</v>
      </c>
      <c r="G1432" s="1761"/>
      <c r="H1432" s="1761"/>
      <c r="I1432" s="1761"/>
      <c r="J1432" s="689"/>
      <c r="K1432" s="684">
        <f t="shared" si="1265"/>
        <v>1</v>
      </c>
      <c r="L1432" s="708">
        <v>1</v>
      </c>
      <c r="M1432" s="709">
        <f t="shared" si="1292"/>
        <v>1</v>
      </c>
      <c r="N1432" s="112">
        <f t="shared" si="1232"/>
        <v>1</v>
      </c>
      <c r="O1432" s="112" t="str">
        <f t="shared" si="1233"/>
        <v>RACM-60</v>
      </c>
      <c r="P1432" s="120" t="str">
        <f t="shared" si="1234"/>
        <v>Calefactor resistivo 60W, modelo RACM - marca FANDIS.</v>
      </c>
      <c r="Q1432" s="120" t="str">
        <f t="shared" si="1235"/>
        <v>CALEFACT-60W_FAND</v>
      </c>
      <c r="S1432" s="112" t="str">
        <f t="shared" si="1293"/>
        <v>FANDIS</v>
      </c>
      <c r="T1432" s="1765"/>
    </row>
    <row r="1433" spans="1:20" s="690" customFormat="1" ht="18" customHeight="1">
      <c r="A1433" s="2273"/>
      <c r="B1433" s="1781">
        <v>1</v>
      </c>
      <c r="C1433" s="1420" t="str">
        <f t="shared" si="1294"/>
        <v>Termostato para ventilación - 1NA - 230V - marca FANDIS.</v>
      </c>
      <c r="D1433" s="1899" t="s">
        <v>3294</v>
      </c>
      <c r="E1433" s="2288">
        <f t="shared" ref="E1433:E1435" si="1296">VLOOKUP(D1433,base_datos,5,FALSE)</f>
        <v>41.58</v>
      </c>
      <c r="F1433" s="1782">
        <f>+E1433*B1433</f>
        <v>41.58</v>
      </c>
      <c r="G1433" s="1761"/>
      <c r="H1433" s="1761"/>
      <c r="I1433" s="1761"/>
      <c r="J1433" s="689"/>
      <c r="K1433" s="684">
        <f t="shared" si="1265"/>
        <v>1</v>
      </c>
      <c r="L1433" s="708">
        <v>1</v>
      </c>
      <c r="M1433" s="709">
        <f t="shared" si="1292"/>
        <v>1</v>
      </c>
      <c r="N1433" s="112">
        <f t="shared" si="1232"/>
        <v>1</v>
      </c>
      <c r="O1433" s="112" t="str">
        <f t="shared" si="1233"/>
        <v>TRT-10A230V-NO</v>
      </c>
      <c r="P1433" s="120" t="str">
        <f t="shared" si="1234"/>
        <v>Termostato para ventilación - 1NA - 230V - marca FANDIS.</v>
      </c>
      <c r="Q1433" s="120" t="str">
        <f t="shared" si="1235"/>
        <v>TRT-1NA</v>
      </c>
      <c r="S1433" s="112" t="str">
        <f t="shared" si="1293"/>
        <v>FANDIS</v>
      </c>
      <c r="T1433" s="1765"/>
    </row>
    <row r="1434" spans="1:20" s="320" customFormat="1" ht="12.75" customHeight="1">
      <c r="A1434" s="2274"/>
      <c r="B1434" s="2275">
        <v>1</v>
      </c>
      <c r="C1434" s="2282" t="str">
        <f t="shared" si="1294"/>
        <v>Base portafusibles + Fusibles de protección para control.</v>
      </c>
      <c r="D1434" s="1579" t="s">
        <v>453</v>
      </c>
      <c r="E1434" s="2289">
        <f t="shared" si="1296"/>
        <v>8.1750000000000007</v>
      </c>
      <c r="F1434" s="2264">
        <f>+E1434*B1434</f>
        <v>8.1750000000000007</v>
      </c>
      <c r="G1434" s="2276"/>
      <c r="H1434" s="2276"/>
      <c r="I1434" s="2276"/>
      <c r="J1434" s="722"/>
      <c r="K1434" s="684">
        <f t="shared" si="1265"/>
        <v>1</v>
      </c>
      <c r="L1434" s="708">
        <v>1</v>
      </c>
      <c r="M1434" s="709">
        <f t="shared" si="1292"/>
        <v>1</v>
      </c>
      <c r="N1434" s="112" t="str">
        <f t="shared" si="1232"/>
        <v/>
      </c>
      <c r="O1434" s="112" t="str">
        <f t="shared" si="1233"/>
        <v/>
      </c>
      <c r="P1434" s="120" t="str">
        <f t="shared" si="1234"/>
        <v/>
      </c>
      <c r="Q1434" s="120" t="str">
        <f t="shared" si="1235"/>
        <v/>
      </c>
      <c r="R1434" s="185"/>
      <c r="S1434" s="112" t="str">
        <f t="shared" si="1293"/>
        <v/>
      </c>
      <c r="T1434" s="709"/>
    </row>
    <row r="1435" spans="1:20" s="320" customFormat="1" ht="12.75" customHeight="1">
      <c r="A1435" s="2274"/>
      <c r="B1435" s="2277">
        <v>1</v>
      </c>
      <c r="C1435" s="2282" t="str">
        <f t="shared" si="1294"/>
        <v>Borne 4mm2.</v>
      </c>
      <c r="D1435" s="1579" t="s">
        <v>437</v>
      </c>
      <c r="E1435" s="2260">
        <f t="shared" si="1296"/>
        <v>2.5</v>
      </c>
      <c r="F1435" s="2260">
        <f>+E1435*B1435</f>
        <v>2.5</v>
      </c>
      <c r="G1435" s="2276"/>
      <c r="H1435" s="2276"/>
      <c r="I1435" s="2276"/>
      <c r="J1435" s="722"/>
      <c r="K1435" s="684">
        <f t="shared" si="1265"/>
        <v>1</v>
      </c>
      <c r="L1435" s="708">
        <v>1</v>
      </c>
      <c r="M1435" s="709">
        <f t="shared" si="1292"/>
        <v>1</v>
      </c>
      <c r="N1435" s="112" t="str">
        <f t="shared" si="1232"/>
        <v/>
      </c>
      <c r="O1435" s="112" t="str">
        <f t="shared" si="1233"/>
        <v/>
      </c>
      <c r="P1435" s="120" t="str">
        <f t="shared" si="1234"/>
        <v/>
      </c>
      <c r="Q1435" s="120" t="str">
        <f t="shared" si="1235"/>
        <v/>
      </c>
      <c r="R1435" s="185"/>
      <c r="S1435" s="112" t="str">
        <f t="shared" si="1293"/>
        <v/>
      </c>
      <c r="T1435" s="709"/>
    </row>
    <row r="1436" spans="1:20" s="185" customFormat="1" ht="12.75" customHeight="1">
      <c r="A1436" s="2262"/>
      <c r="B1436" s="1760"/>
      <c r="C1436" s="1893" t="s">
        <v>729</v>
      </c>
      <c r="D1436" s="169"/>
      <c r="E1436" s="2256"/>
      <c r="F1436" s="2278"/>
      <c r="G1436" s="710"/>
      <c r="H1436" s="710"/>
      <c r="I1436" s="710"/>
      <c r="J1436" s="711"/>
      <c r="K1436" s="684">
        <f t="shared" si="1265"/>
        <v>1</v>
      </c>
      <c r="L1436" s="708">
        <v>1</v>
      </c>
      <c r="M1436" s="709">
        <f t="shared" si="1292"/>
        <v>1</v>
      </c>
      <c r="N1436" s="112" t="str">
        <f t="shared" si="1232"/>
        <v/>
      </c>
      <c r="O1436" s="112" t="str">
        <f t="shared" si="1233"/>
        <v/>
      </c>
      <c r="P1436" s="120" t="str">
        <f t="shared" si="1234"/>
        <v/>
      </c>
      <c r="Q1436" s="120" t="str">
        <f t="shared" si="1235"/>
        <v/>
      </c>
      <c r="S1436" s="112" t="str">
        <f t="shared" si="1293"/>
        <v/>
      </c>
      <c r="T1436" s="118"/>
    </row>
    <row r="1437" spans="1:20" s="1236" customFormat="1" ht="18" customHeight="1">
      <c r="A1437" s="1767"/>
      <c r="B1437" s="1853">
        <v>1</v>
      </c>
      <c r="C1437" s="1895" t="s">
        <v>12364</v>
      </c>
      <c r="D1437" s="1902"/>
      <c r="E1437" s="1792"/>
      <c r="F1437" s="1793"/>
      <c r="G1437" s="1784"/>
      <c r="H1437" s="1784"/>
      <c r="I1437" s="1784"/>
      <c r="J1437" s="1182"/>
      <c r="K1437" s="684">
        <f t="shared" si="1265"/>
        <v>1</v>
      </c>
      <c r="L1437" s="708">
        <v>1</v>
      </c>
      <c r="M1437" s="709">
        <f t="shared" ref="M1437:M1448" si="1297">IF(B1437="",1,B1437)</f>
        <v>1</v>
      </c>
      <c r="N1437" s="362" t="str">
        <f t="shared" si="1232"/>
        <v/>
      </c>
      <c r="O1437" s="1763" t="str">
        <f t="shared" si="1233"/>
        <v/>
      </c>
      <c r="P1437" s="1764" t="str">
        <f t="shared" si="1234"/>
        <v/>
      </c>
      <c r="Q1437" s="120" t="str">
        <f t="shared" si="1235"/>
        <v/>
      </c>
      <c r="R1437" s="185"/>
    </row>
    <row r="1438" spans="1:20" s="695" customFormat="1" ht="18" customHeight="1">
      <c r="A1438" s="693"/>
      <c r="B1438" s="1922">
        <v>1</v>
      </c>
      <c r="C1438" s="1848" t="str">
        <f t="shared" ref="C1438" si="1298">VLOOKUP(D1438,base_datos,6,FALSE)</f>
        <v>Placa lamicoid rotulación de 3mm de espesor, fondo negro y letras blancas.</v>
      </c>
      <c r="D1438" s="1886" t="s">
        <v>8570</v>
      </c>
      <c r="E1438" s="1795">
        <f t="shared" ref="E1438" si="1299">VLOOKUP(D1438,base_datos,5,FALSE)</f>
        <v>2.2000000000000002</v>
      </c>
      <c r="F1438" s="1796">
        <f t="shared" ref="F1438" si="1300">+E1438*B1438</f>
        <v>2.2000000000000002</v>
      </c>
      <c r="G1438" s="696"/>
      <c r="H1438" s="696"/>
      <c r="I1438" s="696"/>
      <c r="J1438" s="697"/>
      <c r="K1438" s="684">
        <f t="shared" si="1265"/>
        <v>1</v>
      </c>
      <c r="L1438" s="708">
        <v>1</v>
      </c>
      <c r="M1438" s="709">
        <f t="shared" si="1297"/>
        <v>1</v>
      </c>
      <c r="N1438" s="362">
        <f t="shared" si="1232"/>
        <v>1</v>
      </c>
      <c r="O1438" s="1763" t="str">
        <f t="shared" si="1233"/>
        <v>Placa lamicoid p/distr.</v>
      </c>
      <c r="P1438" s="1764" t="str">
        <f t="shared" si="1234"/>
        <v>Placa lamicoid rotulación de 3mm de espesor, fondo negro y letras blancas.</v>
      </c>
      <c r="Q1438" s="120" t="str">
        <f t="shared" si="1235"/>
        <v>Placa lamicoid p/distr.</v>
      </c>
      <c r="R1438" s="185"/>
    </row>
    <row r="1439" spans="1:20" s="1236" customFormat="1" ht="18" customHeight="1">
      <c r="A1439" s="1767"/>
      <c r="B1439" s="1853">
        <v>1</v>
      </c>
      <c r="C1439" s="1895" t="s">
        <v>12474</v>
      </c>
      <c r="D1439" s="1902"/>
      <c r="E1439" s="1792"/>
      <c r="F1439" s="1793"/>
      <c r="G1439" s="1784"/>
      <c r="H1439" s="1784"/>
      <c r="I1439" s="1784"/>
      <c r="J1439" s="1182"/>
      <c r="K1439" s="684">
        <f t="shared" si="1265"/>
        <v>1</v>
      </c>
      <c r="L1439" s="708">
        <v>1</v>
      </c>
      <c r="M1439" s="709">
        <f t="shared" si="1297"/>
        <v>1</v>
      </c>
      <c r="N1439" s="362" t="str">
        <f t="shared" si="1232"/>
        <v/>
      </c>
      <c r="O1439" s="1763" t="str">
        <f t="shared" si="1233"/>
        <v/>
      </c>
      <c r="P1439" s="1764" t="str">
        <f t="shared" si="1234"/>
        <v/>
      </c>
      <c r="Q1439" s="120" t="str">
        <f t="shared" si="1235"/>
        <v/>
      </c>
      <c r="R1439" s="185"/>
    </row>
    <row r="1440" spans="1:20" s="1236" customFormat="1" ht="18" customHeight="1">
      <c r="A1440" s="1767"/>
      <c r="B1440" s="1853">
        <v>1</v>
      </c>
      <c r="C1440" s="1848" t="str">
        <f>VLOOKUP(D1440,base_datos,6,FALSE)</f>
        <v>Embalaje especial completamente cerrado para tablero adosado de 1600x600x220mm</v>
      </c>
      <c r="D1440" s="1902" t="s">
        <v>12453</v>
      </c>
      <c r="E1440" s="1795">
        <f t="shared" ref="E1440" si="1301">VLOOKUP(D1440,base_datos,5,FALSE)</f>
        <v>271.40000000000003</v>
      </c>
      <c r="F1440" s="1796">
        <f t="shared" ref="F1440" si="1302">+E1440*B1440</f>
        <v>271.40000000000003</v>
      </c>
      <c r="G1440" s="1784"/>
      <c r="H1440" s="1784"/>
      <c r="I1440" s="1784"/>
      <c r="J1440" s="1182"/>
      <c r="K1440" s="684">
        <f t="shared" si="1265"/>
        <v>1</v>
      </c>
      <c r="L1440" s="708">
        <v>1</v>
      </c>
      <c r="M1440" s="709">
        <f t="shared" si="1297"/>
        <v>1</v>
      </c>
      <c r="N1440" s="362">
        <f t="shared" ref="N1440:N1522" si="1303">IF(O1440&lt;&gt;"",K1440*L1440*M1440,"")</f>
        <v>1</v>
      </c>
      <c r="O1440" s="1763" t="str">
        <f t="shared" ref="O1440:O1522" si="1304">IF(D1440&lt;&gt;"",IF(VLOOKUP(D1440,base_datos,7,FALSE)&lt;&gt;"",VLOOKUP(D1440,base_datos,7,FALSE),""),"")</f>
        <v>EMBAL_ADOS_1600x600x220mm</v>
      </c>
      <c r="P1440" s="1764" t="str">
        <f t="shared" ref="P1440:P1522" si="1305">IF(O1440&lt;&gt;"",VLOOKUP(D1440,base_datos,6,FALSE),"")</f>
        <v>Embalaje especial completamente cerrado para tablero adosado de 1600x600x220mm</v>
      </c>
      <c r="Q1440" s="120" t="str">
        <f t="shared" ref="Q1440:Q1522" si="1306">IF(O1440&lt;&gt;"",D1440,"")</f>
        <v>EMBAL_ADOS_1600x600x220mm</v>
      </c>
      <c r="R1440" s="185"/>
    </row>
    <row r="1441" spans="1:18" s="185" customFormat="1" ht="18" customHeight="1">
      <c r="A1441" s="1785"/>
      <c r="B1441" s="714"/>
      <c r="C1441" s="1893" t="s">
        <v>729</v>
      </c>
      <c r="D1441" s="173"/>
      <c r="E1441" s="1786"/>
      <c r="F1441" s="1787"/>
      <c r="G1441" s="710"/>
      <c r="H1441" s="710"/>
      <c r="I1441" s="710"/>
      <c r="J1441" s="711"/>
      <c r="K1441" s="684">
        <f t="shared" si="1265"/>
        <v>1</v>
      </c>
      <c r="L1441" s="708">
        <v>1</v>
      </c>
      <c r="M1441" s="709">
        <f t="shared" si="1297"/>
        <v>1</v>
      </c>
      <c r="N1441" s="362" t="str">
        <f t="shared" si="1303"/>
        <v/>
      </c>
      <c r="O1441" s="1763" t="str">
        <f t="shared" si="1304"/>
        <v/>
      </c>
      <c r="P1441" s="1764" t="str">
        <f t="shared" si="1305"/>
        <v/>
      </c>
      <c r="Q1441" s="120" t="str">
        <f t="shared" si="1306"/>
        <v/>
      </c>
    </row>
    <row r="1442" spans="1:18" s="695" customFormat="1" ht="18" customHeight="1">
      <c r="A1442" s="693"/>
      <c r="B1442" s="1794">
        <v>1</v>
      </c>
      <c r="C1442" s="1420" t="s">
        <v>316</v>
      </c>
      <c r="D1442" s="1790"/>
      <c r="E1442" s="1795"/>
      <c r="F1442" s="1796"/>
      <c r="G1442" s="696"/>
      <c r="H1442" s="696"/>
      <c r="I1442" s="696"/>
      <c r="J1442" s="697"/>
      <c r="K1442" s="684">
        <f t="shared" si="1265"/>
        <v>1</v>
      </c>
      <c r="L1442" s="708">
        <v>1</v>
      </c>
      <c r="M1442" s="709">
        <f t="shared" si="1297"/>
        <v>1</v>
      </c>
      <c r="N1442" s="362" t="str">
        <f t="shared" si="1303"/>
        <v/>
      </c>
      <c r="O1442" s="1763" t="str">
        <f t="shared" si="1304"/>
        <v/>
      </c>
      <c r="P1442" s="1764" t="str">
        <f t="shared" si="1305"/>
        <v/>
      </c>
      <c r="Q1442" s="120" t="str">
        <f t="shared" si="1306"/>
        <v/>
      </c>
      <c r="R1442" s="185"/>
    </row>
    <row r="1443" spans="1:18" s="185" customFormat="1" ht="18" customHeight="1">
      <c r="A1443" s="1785"/>
      <c r="B1443" s="714"/>
      <c r="C1443" s="1893" t="s">
        <v>729</v>
      </c>
      <c r="D1443" s="173"/>
      <c r="E1443" s="1786"/>
      <c r="F1443" s="1787"/>
      <c r="G1443" s="710"/>
      <c r="H1443" s="710"/>
      <c r="I1443" s="710"/>
      <c r="J1443" s="711"/>
      <c r="K1443" s="684">
        <f t="shared" si="1265"/>
        <v>1</v>
      </c>
      <c r="L1443" s="708">
        <v>1</v>
      </c>
      <c r="M1443" s="709">
        <f t="shared" si="1297"/>
        <v>1</v>
      </c>
      <c r="N1443" s="362" t="str">
        <f t="shared" si="1303"/>
        <v/>
      </c>
      <c r="O1443" s="1763" t="str">
        <f t="shared" si="1304"/>
        <v/>
      </c>
      <c r="P1443" s="1764" t="str">
        <f t="shared" si="1305"/>
        <v/>
      </c>
      <c r="Q1443" s="120" t="str">
        <f t="shared" si="1306"/>
        <v/>
      </c>
    </row>
    <row r="1444" spans="1:18" s="897" customFormat="1" ht="18" customHeight="1">
      <c r="A1444" s="693"/>
      <c r="B1444" s="895">
        <v>35</v>
      </c>
      <c r="C1444" s="1848" t="str">
        <f>VLOOKUP(D1444,base_datos,6,FALSE)</f>
        <v>Rotulado por circuito.</v>
      </c>
      <c r="D1444" s="1579" t="s">
        <v>3067</v>
      </c>
      <c r="E1444" s="1581">
        <f>VLOOKUP(D1444,base_datos,5,FALSE)</f>
        <v>0.7</v>
      </c>
      <c r="F1444" s="1581">
        <f t="shared" ref="F1444:F1448" si="1307">+E1444*B1444</f>
        <v>24.5</v>
      </c>
      <c r="G1444" s="1772"/>
      <c r="H1444" s="1772"/>
      <c r="I1444" s="1772"/>
      <c r="J1444" s="896"/>
      <c r="K1444" s="684">
        <f t="shared" si="1265"/>
        <v>1</v>
      </c>
      <c r="L1444" s="708">
        <v>1</v>
      </c>
      <c r="M1444" s="709">
        <f t="shared" si="1297"/>
        <v>35</v>
      </c>
      <c r="N1444" s="362" t="str">
        <f t="shared" si="1303"/>
        <v/>
      </c>
      <c r="O1444" s="1763" t="str">
        <f t="shared" si="1304"/>
        <v/>
      </c>
      <c r="P1444" s="1764" t="str">
        <f t="shared" si="1305"/>
        <v/>
      </c>
      <c r="Q1444" s="120" t="str">
        <f t="shared" si="1306"/>
        <v/>
      </c>
    </row>
    <row r="1445" spans="1:18" s="897" customFormat="1" ht="18" customHeight="1">
      <c r="A1445" s="693"/>
      <c r="B1445" s="895">
        <v>1</v>
      </c>
      <c r="C1445" s="1848" t="str">
        <f>VLOOKUP(D1445,base_datos,6,FALSE)</f>
        <v>Rotulado para TAG - tablero de distribución.</v>
      </c>
      <c r="D1445" s="1579" t="s">
        <v>3066</v>
      </c>
      <c r="E1445" s="1581">
        <f>VLOOKUP(D1445,base_datos,5,FALSE)</f>
        <v>1.5</v>
      </c>
      <c r="F1445" s="1581">
        <f t="shared" si="1307"/>
        <v>1.5</v>
      </c>
      <c r="G1445" s="1772"/>
      <c r="H1445" s="1772"/>
      <c r="I1445" s="1772"/>
      <c r="J1445" s="896"/>
      <c r="K1445" s="684">
        <f t="shared" si="1265"/>
        <v>1</v>
      </c>
      <c r="L1445" s="708">
        <v>1</v>
      </c>
      <c r="M1445" s="709">
        <f t="shared" si="1297"/>
        <v>1</v>
      </c>
      <c r="N1445" s="362" t="str">
        <f t="shared" si="1303"/>
        <v/>
      </c>
      <c r="O1445" s="1763" t="str">
        <f t="shared" si="1304"/>
        <v/>
      </c>
      <c r="P1445" s="1764" t="str">
        <f t="shared" si="1305"/>
        <v/>
      </c>
      <c r="Q1445" s="120" t="str">
        <f t="shared" si="1306"/>
        <v/>
      </c>
    </row>
    <row r="1446" spans="1:18" s="1237" customFormat="1" ht="18" customHeight="1">
      <c r="A1446" s="1767"/>
      <c r="B1446" s="2093">
        <v>1</v>
      </c>
      <c r="C1446" s="694" t="s">
        <v>12552</v>
      </c>
      <c r="D1446" s="1888"/>
      <c r="E1446" s="1580">
        <f>E1448*15%</f>
        <v>34.5</v>
      </c>
      <c r="F1446" s="1581">
        <f t="shared" si="1307"/>
        <v>34.5</v>
      </c>
      <c r="G1446" s="1774"/>
      <c r="H1446" s="1774"/>
      <c r="I1446" s="1774"/>
      <c r="J1446" s="1181"/>
      <c r="K1446" s="684">
        <f t="shared" si="1265"/>
        <v>1</v>
      </c>
      <c r="L1446" s="708">
        <v>1</v>
      </c>
      <c r="M1446" s="709">
        <f t="shared" si="1297"/>
        <v>1</v>
      </c>
      <c r="N1446" s="362" t="str">
        <f t="shared" ref="N1446:N1447" si="1308">IF(O1446&lt;&gt;"",K1446*L1446*M1446,"")</f>
        <v/>
      </c>
      <c r="O1446" s="1763" t="str">
        <f t="shared" ref="O1446:O1447" si="1309">IF(D1446&lt;&gt;"",IF(VLOOKUP(D1446,base_datos,7,FALSE)&lt;&gt;"",VLOOKUP(D1446,base_datos,7,FALSE),""),"")</f>
        <v/>
      </c>
      <c r="P1446" s="1764" t="str">
        <f t="shared" ref="P1446:P1447" si="1310">IF(O1446&lt;&gt;"",VLOOKUP(D1446,base_datos,6,FALSE),"")</f>
        <v/>
      </c>
      <c r="Q1446" s="120" t="str">
        <f t="shared" ref="Q1446:Q1447" si="1311">IF(O1446&lt;&gt;"",D1446,"")</f>
        <v/>
      </c>
      <c r="R1446" s="1765"/>
    </row>
    <row r="1447" spans="1:18" s="1237" customFormat="1" ht="18" customHeight="1">
      <c r="A1447" s="1767"/>
      <c r="B1447" s="1773">
        <v>1</v>
      </c>
      <c r="C1447" s="694" t="s">
        <v>12559</v>
      </c>
      <c r="D1447" s="1888"/>
      <c r="E1447" s="1999">
        <f>E1448*20%</f>
        <v>46</v>
      </c>
      <c r="F1447" s="1581">
        <f t="shared" si="1307"/>
        <v>46</v>
      </c>
      <c r="G1447" s="1774"/>
      <c r="H1447" s="1774"/>
      <c r="I1447" s="1774"/>
      <c r="J1447" s="1181"/>
      <c r="K1447" s="684">
        <f t="shared" si="1265"/>
        <v>1</v>
      </c>
      <c r="L1447" s="708">
        <v>1</v>
      </c>
      <c r="M1447" s="709">
        <f t="shared" si="1297"/>
        <v>1</v>
      </c>
      <c r="N1447" s="362" t="str">
        <f t="shared" si="1308"/>
        <v/>
      </c>
      <c r="O1447" s="1763" t="str">
        <f t="shared" si="1309"/>
        <v/>
      </c>
      <c r="P1447" s="1764" t="str">
        <f t="shared" si="1310"/>
        <v/>
      </c>
      <c r="Q1447" s="120" t="str">
        <f t="shared" si="1311"/>
        <v/>
      </c>
      <c r="R1447" s="1765"/>
    </row>
    <row r="1448" spans="1:18" s="1237" customFormat="1" ht="18" customHeight="1">
      <c r="A1448" s="1767"/>
      <c r="B1448" s="1773">
        <v>1</v>
      </c>
      <c r="C1448" s="1943" t="s">
        <v>12528</v>
      </c>
      <c r="D1448" s="1897"/>
      <c r="E1448" s="1581">
        <v>230</v>
      </c>
      <c r="F1448" s="1581">
        <f t="shared" si="1307"/>
        <v>230</v>
      </c>
      <c r="G1448" s="1774"/>
      <c r="H1448" s="1774"/>
      <c r="I1448" s="1774"/>
      <c r="J1448" s="1181"/>
      <c r="K1448" s="684">
        <f t="shared" si="1265"/>
        <v>1</v>
      </c>
      <c r="L1448" s="708">
        <v>1</v>
      </c>
      <c r="M1448" s="709">
        <f t="shared" si="1297"/>
        <v>1</v>
      </c>
      <c r="N1448" s="362" t="str">
        <f t="shared" si="1303"/>
        <v/>
      </c>
      <c r="O1448" s="1763" t="str">
        <f t="shared" si="1304"/>
        <v/>
      </c>
      <c r="P1448" s="1764" t="str">
        <f t="shared" si="1305"/>
        <v/>
      </c>
      <c r="Q1448" s="120" t="str">
        <f t="shared" si="1306"/>
        <v/>
      </c>
      <c r="R1448" s="1765"/>
    </row>
    <row r="1449" spans="1:18" s="20" customFormat="1" ht="18" customHeight="1" thickBot="1">
      <c r="A1449" s="699"/>
      <c r="B1449" s="1775"/>
      <c r="C1449" s="1776"/>
      <c r="D1449" s="1885"/>
      <c r="E1449" s="1981"/>
      <c r="F1449" s="1981"/>
      <c r="G1449" s="1777"/>
      <c r="H1449" s="1777"/>
      <c r="I1449" s="1777"/>
      <c r="J1449" s="1778"/>
      <c r="K1449" s="684"/>
      <c r="L1449" s="363"/>
      <c r="M1449" s="709"/>
      <c r="N1449" s="362" t="str">
        <f t="shared" si="1303"/>
        <v/>
      </c>
      <c r="O1449" s="1763" t="str">
        <f t="shared" si="1304"/>
        <v/>
      </c>
      <c r="P1449" s="1764" t="str">
        <f t="shared" si="1305"/>
        <v/>
      </c>
      <c r="Q1449" s="120" t="str">
        <f t="shared" si="1306"/>
        <v/>
      </c>
      <c r="R1449" s="1765"/>
    </row>
    <row r="1450" spans="1:18" s="120" customFormat="1" ht="18" customHeight="1" thickBot="1">
      <c r="A1450" s="1989">
        <v>25</v>
      </c>
      <c r="B1450" s="1852">
        <v>1</v>
      </c>
      <c r="C1450" s="1756" t="s">
        <v>12587</v>
      </c>
      <c r="D1450" s="1588"/>
      <c r="E1450" s="1589"/>
      <c r="F1450" s="1589"/>
      <c r="G1450" s="1757">
        <f>SUM(F1451:F1507)</f>
        <v>1781.9799999999998</v>
      </c>
      <c r="H1450" s="1758">
        <f>G1450*(1-$D$6)</f>
        <v>1781.9799999999998</v>
      </c>
      <c r="I1450" s="1757">
        <f>ROUNDUP(H1450*$D$5,0)</f>
        <v>6059</v>
      </c>
      <c r="J1450" s="1759">
        <f>+I1450*B1450</f>
        <v>6059</v>
      </c>
      <c r="K1450" s="1788">
        <f>B1450</f>
        <v>1</v>
      </c>
      <c r="L1450" s="363"/>
      <c r="M1450" s="684"/>
      <c r="N1450" s="362" t="str">
        <f t="shared" si="1303"/>
        <v/>
      </c>
      <c r="O1450" s="1763" t="str">
        <f t="shared" si="1304"/>
        <v/>
      </c>
      <c r="P1450" s="1764" t="str">
        <f t="shared" si="1305"/>
        <v/>
      </c>
      <c r="Q1450" s="120" t="str">
        <f t="shared" si="1306"/>
        <v/>
      </c>
      <c r="R1450" s="185"/>
    </row>
    <row r="1451" spans="1:18" s="120" customFormat="1" ht="18" customHeight="1">
      <c r="A1451" s="685" t="s">
        <v>3064</v>
      </c>
      <c r="B1451" s="1903"/>
      <c r="C1451" s="1890"/>
      <c r="D1451" s="1904"/>
      <c r="E1451" s="1789"/>
      <c r="F1451" s="1780"/>
      <c r="G1451" s="686"/>
      <c r="H1451" s="710"/>
      <c r="I1451" s="686"/>
      <c r="J1451" s="1768"/>
      <c r="K1451" s="684">
        <f t="shared" ref="K1451:K1507" si="1312">+K1450</f>
        <v>1</v>
      </c>
      <c r="L1451" s="363">
        <v>1</v>
      </c>
      <c r="M1451" s="709">
        <f t="shared" ref="M1451:M1462" si="1313">IF(B1451="",1,B1451)</f>
        <v>1</v>
      </c>
      <c r="N1451" s="362" t="str">
        <f t="shared" si="1303"/>
        <v/>
      </c>
      <c r="O1451" s="1763" t="str">
        <f t="shared" si="1304"/>
        <v/>
      </c>
      <c r="P1451" s="1764" t="str">
        <f t="shared" si="1305"/>
        <v/>
      </c>
      <c r="Q1451" s="120" t="str">
        <f t="shared" si="1306"/>
        <v/>
      </c>
    </row>
    <row r="1452" spans="1:18" s="315" customFormat="1">
      <c r="A1452" s="687" t="s">
        <v>4021</v>
      </c>
      <c r="B1452" s="2096">
        <v>1</v>
      </c>
      <c r="C1452" s="1907" t="s">
        <v>5103</v>
      </c>
      <c r="D1452" s="1935"/>
      <c r="E1452" s="1786"/>
      <c r="F1452" s="1908">
        <f>SUM(F1454:F1458)*(B1452-1)</f>
        <v>0</v>
      </c>
      <c r="G1452" s="712"/>
      <c r="H1452" s="712"/>
      <c r="I1452" s="712"/>
      <c r="J1452" s="713"/>
      <c r="K1452" s="684">
        <f t="shared" si="1312"/>
        <v>1</v>
      </c>
      <c r="L1452" s="1909">
        <f>B1452</f>
        <v>1</v>
      </c>
      <c r="M1452" s="684">
        <f t="shared" si="1313"/>
        <v>1</v>
      </c>
      <c r="N1452" s="362" t="str">
        <f t="shared" si="1303"/>
        <v/>
      </c>
      <c r="O1452" s="1763" t="str">
        <f t="shared" si="1304"/>
        <v/>
      </c>
      <c r="P1452" s="1764" t="str">
        <f t="shared" si="1305"/>
        <v/>
      </c>
      <c r="Q1452" s="120" t="str">
        <f t="shared" si="1306"/>
        <v/>
      </c>
    </row>
    <row r="1453" spans="1:18" s="185" customFormat="1">
      <c r="A1453" s="687" t="s">
        <v>4136</v>
      </c>
      <c r="B1453" s="1910">
        <v>3</v>
      </c>
      <c r="C1453" s="1911" t="str">
        <f>VLOOKUP(D1453,base_datos,6,FALSE)</f>
        <v>Portalámpara + lampara tipo LED - color Rojo - alimentacion: 220-230Vac, d=22mm. - CL2-523R - línea compacta - marca ABB.</v>
      </c>
      <c r="D1453" s="1790" t="s">
        <v>2439</v>
      </c>
      <c r="E1453" s="1939">
        <f>VLOOKUP(D1453,base_datos,5,FALSE)</f>
        <v>12.299999999999999</v>
      </c>
      <c r="F1453" s="1912">
        <f>+E1453*B1453</f>
        <v>36.9</v>
      </c>
      <c r="G1453" s="710"/>
      <c r="H1453" s="710"/>
      <c r="I1453" s="710"/>
      <c r="J1453" s="711"/>
      <c r="K1453" s="684">
        <f t="shared" si="1312"/>
        <v>1</v>
      </c>
      <c r="L1453" s="1913">
        <f>L1451</f>
        <v>1</v>
      </c>
      <c r="M1453" s="684">
        <f t="shared" si="1313"/>
        <v>3</v>
      </c>
      <c r="N1453" s="362">
        <f t="shared" si="1303"/>
        <v>3</v>
      </c>
      <c r="O1453" s="1763" t="str">
        <f t="shared" si="1304"/>
        <v>1SFA619403R5231</v>
      </c>
      <c r="P1453" s="1764" t="str">
        <f t="shared" si="1305"/>
        <v>Portalámpara + lampara tipo LED - color Rojo - alimentacion: 220-230Vac, d=22mm. - CL2-523R - línea compacta - marca ABB.</v>
      </c>
      <c r="Q1453" s="120" t="str">
        <f t="shared" si="1306"/>
        <v>LAMP_ROJO_220V</v>
      </c>
    </row>
    <row r="1454" spans="1:18" s="185" customFormat="1">
      <c r="A1454" s="687"/>
      <c r="B1454" s="1910">
        <v>3</v>
      </c>
      <c r="C1454" s="1911" t="str">
        <f>VLOOKUP(D1454,base_datos,6,FALSE)</f>
        <v>Portalámpara + lampara tipo LED - color Verde - alimentacion: 220-230Vac, d=22mm. - CL2-523G - línea compacta - marca ABB.</v>
      </c>
      <c r="D1454" s="1790" t="s">
        <v>2440</v>
      </c>
      <c r="E1454" s="1939">
        <f>VLOOKUP(D1454,base_datos,5,FALSE)</f>
        <v>12.299999999999999</v>
      </c>
      <c r="F1454" s="1912">
        <f>+E1454*B1454</f>
        <v>36.9</v>
      </c>
      <c r="G1454" s="710"/>
      <c r="H1454" s="710"/>
      <c r="I1454" s="710"/>
      <c r="J1454" s="711"/>
      <c r="K1454" s="684">
        <f t="shared" si="1312"/>
        <v>1</v>
      </c>
      <c r="L1454" s="1913">
        <f>L1452</f>
        <v>1</v>
      </c>
      <c r="M1454" s="684">
        <f t="shared" si="1313"/>
        <v>3</v>
      </c>
      <c r="N1454" s="362">
        <f t="shared" si="1303"/>
        <v>3</v>
      </c>
      <c r="O1454" s="1763" t="str">
        <f t="shared" si="1304"/>
        <v>1SFA619403R5232</v>
      </c>
      <c r="P1454" s="1764" t="str">
        <f t="shared" si="1305"/>
        <v>Portalámpara + lampara tipo LED - color Verde - alimentacion: 220-230Vac, d=22mm. - CL2-523G - línea compacta - marca ABB.</v>
      </c>
      <c r="Q1454" s="120" t="str">
        <f t="shared" si="1306"/>
        <v>LAMP_VERDE_220V</v>
      </c>
    </row>
    <row r="1455" spans="1:18" s="1921" customFormat="1">
      <c r="A1455" s="687" t="s">
        <v>12356</v>
      </c>
      <c r="B1455" s="1914">
        <v>1</v>
      </c>
      <c r="C1455" s="1915" t="s">
        <v>3366</v>
      </c>
      <c r="D1455" s="1916"/>
      <c r="E1455" s="1917"/>
      <c r="F1455" s="1918"/>
      <c r="G1455" s="1919"/>
      <c r="H1455" s="1919"/>
      <c r="I1455" s="1919"/>
      <c r="J1455" s="1920"/>
      <c r="K1455" s="684">
        <f t="shared" si="1312"/>
        <v>1</v>
      </c>
      <c r="L1455" s="1913">
        <f>L1454</f>
        <v>1</v>
      </c>
      <c r="M1455" s="684">
        <f t="shared" si="1313"/>
        <v>1</v>
      </c>
      <c r="N1455" s="362" t="str">
        <f t="shared" si="1303"/>
        <v/>
      </c>
      <c r="O1455" s="1763" t="str">
        <f t="shared" si="1304"/>
        <v/>
      </c>
      <c r="P1455" s="1764" t="str">
        <f t="shared" si="1305"/>
        <v/>
      </c>
      <c r="Q1455" s="120" t="str">
        <f t="shared" si="1306"/>
        <v/>
      </c>
    </row>
    <row r="1456" spans="1:18" s="320" customFormat="1">
      <c r="A1456" s="687" t="s">
        <v>12487</v>
      </c>
      <c r="B1456" s="1922">
        <v>1</v>
      </c>
      <c r="C1456" s="721" t="str">
        <f>VLOOKUP(D1456,base_datos,6,FALSE)</f>
        <v>Rele auxiliar enchufable +4NA/NC (D2PR4B + base D2PA6), 220Vac - marca EATON.</v>
      </c>
      <c r="D1456" s="1579" t="s">
        <v>772</v>
      </c>
      <c r="E1456" s="1581">
        <f>VLOOKUP(D1456,base_datos,5,FALSE)</f>
        <v>27</v>
      </c>
      <c r="F1456" s="1923">
        <f>+E1456*B1456</f>
        <v>27</v>
      </c>
      <c r="G1456" s="1924"/>
      <c r="H1456" s="1924"/>
      <c r="I1456" s="1924"/>
      <c r="J1456" s="722"/>
      <c r="K1456" s="684">
        <f t="shared" si="1312"/>
        <v>1</v>
      </c>
      <c r="L1456" s="1913">
        <f>L1453</f>
        <v>1</v>
      </c>
      <c r="M1456" s="684">
        <f t="shared" si="1313"/>
        <v>1</v>
      </c>
      <c r="N1456" s="362">
        <f t="shared" si="1303"/>
        <v>1</v>
      </c>
      <c r="O1456" s="1763" t="str">
        <f t="shared" si="1304"/>
        <v>D2PR4B+D2PA6</v>
      </c>
      <c r="P1456" s="1764" t="str">
        <f t="shared" si="1305"/>
        <v>Rele auxiliar enchufable +4NA/NC (D2PR4B + base D2PA6), 220Vac - marca EATON.</v>
      </c>
      <c r="Q1456" s="120" t="str">
        <f t="shared" si="1306"/>
        <v>D2PR4B+D2PA6</v>
      </c>
    </row>
    <row r="1457" spans="1:18" s="320" customFormat="1">
      <c r="A1457" s="1771"/>
      <c r="B1457" s="2131">
        <v>1</v>
      </c>
      <c r="C1457" s="2132" t="s">
        <v>12558</v>
      </c>
      <c r="D1457" s="2133"/>
      <c r="E1457" s="2134">
        <v>32</v>
      </c>
      <c r="F1457" s="2134">
        <f>+E1457*B1457</f>
        <v>32</v>
      </c>
      <c r="G1457" s="1924"/>
      <c r="H1457" s="1924"/>
      <c r="I1457" s="1924"/>
      <c r="J1457" s="722"/>
      <c r="K1457" s="684">
        <f t="shared" si="1312"/>
        <v>1</v>
      </c>
      <c r="L1457" s="1913">
        <f>L1454</f>
        <v>1</v>
      </c>
      <c r="M1457" s="684">
        <f t="shared" si="1313"/>
        <v>1</v>
      </c>
      <c r="N1457" s="362" t="str">
        <f t="shared" si="1303"/>
        <v/>
      </c>
      <c r="O1457" s="1763" t="str">
        <f t="shared" si="1304"/>
        <v/>
      </c>
      <c r="P1457" s="1764" t="str">
        <f t="shared" si="1305"/>
        <v/>
      </c>
      <c r="Q1457" s="120" t="str">
        <f t="shared" si="1306"/>
        <v/>
      </c>
    </row>
    <row r="1458" spans="1:18" s="320" customFormat="1">
      <c r="A1458" s="687" t="s">
        <v>12551</v>
      </c>
      <c r="B1458" s="1922">
        <v>4</v>
      </c>
      <c r="C1458" s="721" t="str">
        <f>VLOOKUP(D1458,base_datos,6,FALSE)</f>
        <v>Base portafusibles + Fusibles de protección para control.</v>
      </c>
      <c r="D1458" s="1579" t="s">
        <v>453</v>
      </c>
      <c r="E1458" s="1581">
        <f>VLOOKUP(D1458,base_datos,5,FALSE)</f>
        <v>8.1750000000000007</v>
      </c>
      <c r="F1458" s="1923">
        <f>+E1458*B1458</f>
        <v>32.700000000000003</v>
      </c>
      <c r="G1458" s="1924"/>
      <c r="H1458" s="1924"/>
      <c r="I1458" s="1924"/>
      <c r="J1458" s="722"/>
      <c r="K1458" s="684">
        <f t="shared" si="1312"/>
        <v>1</v>
      </c>
      <c r="L1458" s="1913">
        <f>L1455</f>
        <v>1</v>
      </c>
      <c r="M1458" s="684">
        <f t="shared" si="1313"/>
        <v>4</v>
      </c>
      <c r="N1458" s="362" t="str">
        <f t="shared" si="1303"/>
        <v/>
      </c>
      <c r="O1458" s="1763" t="str">
        <f t="shared" si="1304"/>
        <v/>
      </c>
      <c r="P1458" s="1764" t="str">
        <f t="shared" si="1305"/>
        <v/>
      </c>
      <c r="Q1458" s="120" t="str">
        <f t="shared" si="1306"/>
        <v/>
      </c>
    </row>
    <row r="1459" spans="1:18" s="315" customFormat="1">
      <c r="A1459" s="687" t="s">
        <v>3542</v>
      </c>
      <c r="B1459" s="1906"/>
      <c r="C1459" s="1907"/>
      <c r="D1459" s="1935"/>
      <c r="E1459" s="1786"/>
      <c r="F1459" s="1936"/>
      <c r="G1459" s="712"/>
      <c r="H1459" s="712"/>
      <c r="I1459" s="712"/>
      <c r="J1459" s="713"/>
      <c r="K1459" s="684">
        <f t="shared" si="1312"/>
        <v>1</v>
      </c>
      <c r="L1459" s="708">
        <v>1</v>
      </c>
      <c r="M1459" s="684">
        <f t="shared" si="1313"/>
        <v>1</v>
      </c>
      <c r="N1459" s="362" t="str">
        <f t="shared" si="1303"/>
        <v/>
      </c>
      <c r="O1459" s="1763" t="str">
        <f t="shared" si="1304"/>
        <v/>
      </c>
      <c r="P1459" s="1764" t="str">
        <f t="shared" si="1305"/>
        <v/>
      </c>
      <c r="Q1459" s="120" t="str">
        <f t="shared" si="1306"/>
        <v/>
      </c>
    </row>
    <row r="1460" spans="1:18" s="185" customFormat="1" ht="13.5" customHeight="1">
      <c r="A1460" s="1771"/>
      <c r="B1460" s="1922"/>
      <c r="C1460" s="1956" t="s">
        <v>12368</v>
      </c>
      <c r="D1460" s="1579"/>
      <c r="E1460" s="1957"/>
      <c r="F1460" s="1958"/>
      <c r="G1460" s="710"/>
      <c r="H1460" s="710"/>
      <c r="I1460" s="710"/>
      <c r="J1460" s="711"/>
      <c r="K1460" s="684">
        <f t="shared" si="1312"/>
        <v>1</v>
      </c>
      <c r="L1460" s="708">
        <v>1</v>
      </c>
      <c r="M1460" s="684">
        <f t="shared" si="1313"/>
        <v>1</v>
      </c>
      <c r="N1460" s="362" t="str">
        <f t="shared" si="1303"/>
        <v/>
      </c>
      <c r="O1460" s="1763" t="str">
        <f t="shared" si="1304"/>
        <v/>
      </c>
      <c r="P1460" s="1764" t="str">
        <f t="shared" si="1305"/>
        <v/>
      </c>
      <c r="Q1460" s="120" t="str">
        <f t="shared" si="1306"/>
        <v/>
      </c>
    </row>
    <row r="1461" spans="1:18" s="120" customFormat="1" ht="18" customHeight="1">
      <c r="A1461" s="1785"/>
      <c r="B1461" s="1781"/>
      <c r="C1461" s="1218" t="s">
        <v>3158</v>
      </c>
      <c r="D1461" s="1900"/>
      <c r="E1461" s="1791"/>
      <c r="F1461" s="1782"/>
      <c r="G1461" s="686"/>
      <c r="H1461" s="686"/>
      <c r="I1461" s="686"/>
      <c r="J1461" s="688"/>
      <c r="K1461" s="684">
        <f t="shared" si="1312"/>
        <v>1</v>
      </c>
      <c r="L1461" s="708">
        <v>1</v>
      </c>
      <c r="M1461" s="709">
        <f t="shared" si="1313"/>
        <v>1</v>
      </c>
      <c r="N1461" s="362" t="str">
        <f t="shared" si="1303"/>
        <v/>
      </c>
      <c r="O1461" s="1763" t="str">
        <f t="shared" si="1304"/>
        <v/>
      </c>
      <c r="P1461" s="1764" t="str">
        <f t="shared" si="1305"/>
        <v/>
      </c>
      <c r="Q1461" s="120" t="str">
        <f t="shared" si="1306"/>
        <v/>
      </c>
      <c r="R1461" s="185"/>
    </row>
    <row r="1462" spans="1:18" s="690" customFormat="1" ht="18" customHeight="1">
      <c r="A1462" s="691"/>
      <c r="B1462" s="1781">
        <v>1</v>
      </c>
      <c r="C1462" s="1420" t="str">
        <f>VLOOKUP(D1462,base_datos,6,FALSE)</f>
        <v>ITM Caja Moldeada 3x20A (reg.[0.7-1.0] In) - XT1B160-20A-3P-TMD - 25kA@230Vac, 18kA@415Vac, 18kA@250Vdc - marca ABB.</v>
      </c>
      <c r="D1462" s="1901" t="s">
        <v>4360</v>
      </c>
      <c r="E1462" s="1791">
        <f>VLOOKUP(D1462,base_datos,5,FALSE)</f>
        <v>120.37</v>
      </c>
      <c r="F1462" s="1782">
        <f>+E1462*B1462</f>
        <v>120.37</v>
      </c>
      <c r="G1462" s="1761"/>
      <c r="H1462" s="1761"/>
      <c r="I1462" s="1761"/>
      <c r="J1462" s="689"/>
      <c r="K1462" s="684">
        <f t="shared" si="1312"/>
        <v>1</v>
      </c>
      <c r="L1462" s="708">
        <v>1</v>
      </c>
      <c r="M1462" s="709">
        <f t="shared" si="1313"/>
        <v>1</v>
      </c>
      <c r="N1462" s="362">
        <f t="shared" si="1303"/>
        <v>1</v>
      </c>
      <c r="O1462" s="1763" t="str">
        <f t="shared" si="1304"/>
        <v>1SDA066800R1</v>
      </c>
      <c r="P1462" s="1764" t="str">
        <f t="shared" si="1305"/>
        <v>ITM Caja Moldeada 3x20A (reg.[0.7-1.0] In) - XT1B160-20A-3P-TMD - 25kA@230Vac, 18kA@415Vac, 18kA@250Vdc - marca ABB.</v>
      </c>
      <c r="Q1462" s="120" t="str">
        <f t="shared" si="1306"/>
        <v>XT1B160-20A-3P-TMD</v>
      </c>
      <c r="R1462" s="185"/>
    </row>
    <row r="1463" spans="1:18" s="185" customFormat="1">
      <c r="A1463" s="691"/>
      <c r="B1463" s="714"/>
      <c r="C1463" s="313" t="s">
        <v>729</v>
      </c>
      <c r="D1463" s="173"/>
      <c r="E1463" s="1786"/>
      <c r="F1463" s="1787"/>
      <c r="G1463" s="710"/>
      <c r="H1463" s="710"/>
      <c r="I1463" s="710"/>
      <c r="J1463" s="711"/>
      <c r="K1463" s="684">
        <f t="shared" si="1312"/>
        <v>1</v>
      </c>
      <c r="L1463" s="708">
        <v>1</v>
      </c>
      <c r="M1463" s="709">
        <f>IF(B1463="",1,B1463)</f>
        <v>1</v>
      </c>
      <c r="N1463" s="362" t="str">
        <f t="shared" si="1303"/>
        <v/>
      </c>
      <c r="O1463" s="1763" t="str">
        <f t="shared" si="1304"/>
        <v/>
      </c>
      <c r="P1463" s="1764" t="str">
        <f t="shared" si="1305"/>
        <v/>
      </c>
      <c r="Q1463" s="120" t="str">
        <f t="shared" si="1306"/>
        <v/>
      </c>
    </row>
    <row r="1464" spans="1:18" s="690" customFormat="1" ht="18" customHeight="1">
      <c r="A1464" s="692"/>
      <c r="B1464" s="1851"/>
      <c r="C1464" s="1894" t="s">
        <v>3377</v>
      </c>
      <c r="D1464" s="1582"/>
      <c r="E1464" s="1780"/>
      <c r="F1464" s="1782"/>
      <c r="G1464" s="1761"/>
      <c r="H1464" s="1761"/>
      <c r="I1464" s="1761"/>
      <c r="J1464" s="689"/>
      <c r="K1464" s="684">
        <f t="shared" si="1312"/>
        <v>1</v>
      </c>
      <c r="L1464" s="708">
        <v>1</v>
      </c>
      <c r="M1464" s="709">
        <f t="shared" ref="M1464" si="1314">IF(B1464="",1,B1464)</f>
        <v>1</v>
      </c>
      <c r="N1464" s="362" t="str">
        <f t="shared" si="1303"/>
        <v/>
      </c>
      <c r="O1464" s="1763" t="str">
        <f t="shared" si="1304"/>
        <v/>
      </c>
      <c r="P1464" s="1764" t="str">
        <f t="shared" si="1305"/>
        <v/>
      </c>
      <c r="Q1464" s="120" t="str">
        <f t="shared" si="1306"/>
        <v/>
      </c>
      <c r="R1464" s="185"/>
    </row>
    <row r="1465" spans="1:18" s="690" customFormat="1" ht="18" customHeight="1">
      <c r="A1465" s="691"/>
      <c r="B1465" s="1781">
        <v>9</v>
      </c>
      <c r="C1465" s="1420" t="str">
        <f t="shared" ref="C1465:C1467" si="1315">VLOOKUP(D1465,base_datos,6,FALSE)</f>
        <v>ITM Riel-Din 2x16A - S202-C-16A - 10kA@400Vac-IEC60947-2 - marca ABB.</v>
      </c>
      <c r="D1465" s="1901" t="s">
        <v>970</v>
      </c>
      <c r="E1465" s="1791">
        <f>VLOOKUP(D1465,base_datos,5,FALSE)</f>
        <v>17.96</v>
      </c>
      <c r="F1465" s="1782">
        <f t="shared" ref="F1465:F1467" si="1316">+E1465*B1465</f>
        <v>161.64000000000001</v>
      </c>
      <c r="G1465" s="1951"/>
      <c r="H1465" s="1761"/>
      <c r="I1465" s="1761"/>
      <c r="J1465" s="1783"/>
      <c r="K1465" s="684">
        <f t="shared" si="1312"/>
        <v>1</v>
      </c>
      <c r="L1465" s="708">
        <v>1</v>
      </c>
      <c r="M1465" s="709">
        <f t="shared" ref="M1465:M1467" si="1317">IF(B1465="",1,B1465)</f>
        <v>9</v>
      </c>
      <c r="N1465" s="362">
        <f t="shared" si="1303"/>
        <v>9</v>
      </c>
      <c r="O1465" s="1763" t="str">
        <f t="shared" si="1304"/>
        <v>2CDS252001R0164</v>
      </c>
      <c r="P1465" s="1764" t="str">
        <f t="shared" si="1305"/>
        <v>ITM Riel-Din 2x16A - S202-C-16A - 10kA@400Vac-IEC60947-2 - marca ABB.</v>
      </c>
      <c r="Q1465" s="120" t="str">
        <f t="shared" si="1306"/>
        <v>S202-C-16A</v>
      </c>
      <c r="R1465" s="185"/>
    </row>
    <row r="1466" spans="1:18" s="690" customFormat="1" ht="18" customHeight="1">
      <c r="A1466" s="691"/>
      <c r="B1466" s="2023">
        <v>9</v>
      </c>
      <c r="C1466" s="2024" t="str">
        <f t="shared" si="1315"/>
        <v>Interruptor Diferencial 2x25A - 30mA - clase A (inmunizado) - FH202-A-25A-30mA - marca ABB.</v>
      </c>
      <c r="D1466" s="1901" t="s">
        <v>5318</v>
      </c>
      <c r="E1466" s="2025">
        <f>VLOOKUP(D1466,base_datos,5,FALSE)</f>
        <v>50</v>
      </c>
      <c r="F1466" s="2026">
        <f t="shared" si="1316"/>
        <v>450</v>
      </c>
      <c r="G1466" s="1951"/>
      <c r="H1466" s="1761"/>
      <c r="I1466" s="1761"/>
      <c r="J1466" s="1783"/>
      <c r="K1466" s="684">
        <f t="shared" si="1312"/>
        <v>1</v>
      </c>
      <c r="L1466" s="708">
        <v>1</v>
      </c>
      <c r="M1466" s="709">
        <f t="shared" si="1317"/>
        <v>9</v>
      </c>
      <c r="N1466" s="362">
        <f t="shared" si="1303"/>
        <v>9</v>
      </c>
      <c r="O1466" s="1763" t="str">
        <f t="shared" si="1304"/>
        <v>2CSF202102R1250</v>
      </c>
      <c r="P1466" s="1764" t="str">
        <f t="shared" si="1305"/>
        <v>Interruptor Diferencial 2x25A - 30mA - clase A (inmunizado) - FH202-A-25A-30mA - marca ABB.</v>
      </c>
      <c r="Q1466" s="120" t="str">
        <f t="shared" si="1306"/>
        <v>FH202-A-25A-30mA</v>
      </c>
      <c r="R1466" s="185"/>
    </row>
    <row r="1467" spans="1:18" s="690" customFormat="1" ht="18" customHeight="1">
      <c r="A1467" s="1767"/>
      <c r="B1467" s="1781">
        <v>1</v>
      </c>
      <c r="C1467" s="1420" t="str">
        <f t="shared" si="1315"/>
        <v>Espacio de reserva monofasica + interruptor diferencial - Riel-Din.</v>
      </c>
      <c r="D1467" s="1901" t="s">
        <v>2926</v>
      </c>
      <c r="E1467" s="1791">
        <f>VLOOKUP(D1467,base_datos,5,FALSE)</f>
        <v>2.5</v>
      </c>
      <c r="F1467" s="1782">
        <f t="shared" si="1316"/>
        <v>2.5</v>
      </c>
      <c r="G1467" s="1761"/>
      <c r="H1467" s="1761"/>
      <c r="I1467" s="1761"/>
      <c r="J1467" s="1783"/>
      <c r="K1467" s="684">
        <f t="shared" si="1312"/>
        <v>1</v>
      </c>
      <c r="L1467" s="708">
        <v>1</v>
      </c>
      <c r="M1467" s="709">
        <f t="shared" si="1317"/>
        <v>1</v>
      </c>
      <c r="N1467" s="362" t="str">
        <f t="shared" si="1303"/>
        <v/>
      </c>
      <c r="O1467" s="1763" t="str">
        <f t="shared" si="1304"/>
        <v/>
      </c>
      <c r="P1467" s="1764" t="str">
        <f t="shared" si="1305"/>
        <v/>
      </c>
      <c r="Q1467" s="120" t="str">
        <f t="shared" si="1306"/>
        <v/>
      </c>
      <c r="R1467" s="185"/>
    </row>
    <row r="1468" spans="1:18" s="185" customFormat="1">
      <c r="A1468" s="692"/>
      <c r="B1468" s="714"/>
      <c r="C1468" s="1893" t="s">
        <v>729</v>
      </c>
      <c r="D1468" s="2021"/>
      <c r="E1468" s="1786"/>
      <c r="F1468" s="1787"/>
      <c r="G1468" s="710"/>
      <c r="H1468" s="710"/>
      <c r="I1468" s="710"/>
      <c r="J1468" s="711"/>
      <c r="K1468" s="684">
        <f t="shared" si="1312"/>
        <v>1</v>
      </c>
      <c r="L1468" s="363">
        <v>1</v>
      </c>
      <c r="M1468" s="709">
        <f>IF(B1468="",1,B1468)</f>
        <v>1</v>
      </c>
      <c r="N1468" s="362" t="str">
        <f t="shared" si="1303"/>
        <v/>
      </c>
      <c r="O1468" s="1763" t="str">
        <f t="shared" si="1304"/>
        <v/>
      </c>
      <c r="P1468" s="1764" t="str">
        <f t="shared" si="1305"/>
        <v/>
      </c>
      <c r="Q1468" s="120" t="str">
        <f t="shared" si="1306"/>
        <v/>
      </c>
    </row>
    <row r="1469" spans="1:18" s="315" customFormat="1">
      <c r="A1469" s="1785"/>
      <c r="B1469" s="355">
        <v>1</v>
      </c>
      <c r="C1469" s="1944" t="s">
        <v>13040</v>
      </c>
      <c r="D1469" s="1941"/>
      <c r="E1469" s="1786"/>
      <c r="F1469" s="1908">
        <f>SUM(F1470:F1475)*(B1469-1)</f>
        <v>0</v>
      </c>
      <c r="G1469" s="712"/>
      <c r="H1469" s="712"/>
      <c r="I1469" s="712"/>
      <c r="J1469" s="713"/>
      <c r="K1469" s="684">
        <f t="shared" si="1312"/>
        <v>1</v>
      </c>
      <c r="L1469" s="1909">
        <f>B1469</f>
        <v>1</v>
      </c>
      <c r="M1469" s="684">
        <f t="shared" ref="M1469:M1494" si="1318">IF(B1469="",1,B1469)</f>
        <v>1</v>
      </c>
      <c r="N1469" s="362" t="str">
        <f t="shared" si="1303"/>
        <v/>
      </c>
      <c r="O1469" s="1763" t="str">
        <f t="shared" si="1304"/>
        <v/>
      </c>
      <c r="P1469" s="1764" t="str">
        <f t="shared" si="1305"/>
        <v/>
      </c>
      <c r="Q1469" s="120" t="str">
        <f t="shared" si="1306"/>
        <v/>
      </c>
    </row>
    <row r="1470" spans="1:18" s="690" customFormat="1" ht="18" customHeight="1">
      <c r="A1470" s="691"/>
      <c r="B1470" s="1781">
        <v>1</v>
      </c>
      <c r="C1470" s="1420" t="str">
        <f>VLOOKUP(D1470,base_datos,6,FALSE)</f>
        <v>Contactor 3x09A(AC-3) / 3x25A(AC-1) +1NA - AF09-30-10-13 - bobina 100-250Vac/dc - marca ABB.</v>
      </c>
      <c r="D1470" s="1901" t="s">
        <v>1447</v>
      </c>
      <c r="E1470" s="1791">
        <f>VLOOKUP(D1470,base_datos,5,FALSE)</f>
        <v>29.89</v>
      </c>
      <c r="F1470" s="1912">
        <f>+E1470*B1470</f>
        <v>29.89</v>
      </c>
      <c r="G1470" s="1761"/>
      <c r="H1470" s="1761"/>
      <c r="I1470" s="1761"/>
      <c r="J1470" s="1783"/>
      <c r="K1470" s="684">
        <f t="shared" si="1312"/>
        <v>1</v>
      </c>
      <c r="L1470" s="1913">
        <f>L1469</f>
        <v>1</v>
      </c>
      <c r="M1470" s="684">
        <f t="shared" si="1318"/>
        <v>1</v>
      </c>
      <c r="N1470" s="362">
        <f t="shared" si="1303"/>
        <v>1</v>
      </c>
      <c r="O1470" s="1763" t="str">
        <f t="shared" si="1304"/>
        <v>1SBL137001R1310</v>
      </c>
      <c r="P1470" s="1764" t="str">
        <f t="shared" si="1305"/>
        <v>Contactor 3x09A(AC-3) / 3x25A(AC-1) +1NA - AF09-30-10-13 - bobina 100-250Vac/dc - marca ABB.</v>
      </c>
      <c r="Q1470" s="120" t="str">
        <f t="shared" si="1306"/>
        <v>AF09-30-10-13_3p</v>
      </c>
      <c r="R1470" s="185"/>
    </row>
    <row r="1471" spans="1:18" s="690" customFormat="1" ht="18" customHeight="1">
      <c r="A1471" s="691"/>
      <c r="B1471" s="1922">
        <v>1</v>
      </c>
      <c r="C1471" s="1848" t="str">
        <f>VLOOKUP(D1471,base_datos,6,FALSE)</f>
        <v>Contacto auxiliar frontal 1NA para contactor AF09..AF16-30-10, frontal - Modelo CA4-10 - marca ABB.</v>
      </c>
      <c r="D1471" s="1901" t="s">
        <v>2718</v>
      </c>
      <c r="E1471" s="1791">
        <f>VLOOKUP(D1471,base_datos,5,FALSE)</f>
        <v>5.92</v>
      </c>
      <c r="F1471" s="1912">
        <f>+E1471*B1471</f>
        <v>5.92</v>
      </c>
      <c r="G1471" s="1761"/>
      <c r="H1471" s="1761"/>
      <c r="I1471" s="1761"/>
      <c r="J1471" s="1783"/>
      <c r="K1471" s="684">
        <f t="shared" si="1312"/>
        <v>1</v>
      </c>
      <c r="L1471" s="1913">
        <f>L1470</f>
        <v>1</v>
      </c>
      <c r="M1471" s="684">
        <f t="shared" si="1318"/>
        <v>1</v>
      </c>
      <c r="N1471" s="362">
        <f t="shared" si="1303"/>
        <v>1</v>
      </c>
      <c r="O1471" s="1763" t="str">
        <f t="shared" si="1304"/>
        <v>1SBN010110R1010</v>
      </c>
      <c r="P1471" s="1764" t="str">
        <f t="shared" si="1305"/>
        <v>Contacto auxiliar frontal 1NA para contactor AF09..AF16-30-10, frontal - Modelo CA4-10 - marca ABB.</v>
      </c>
      <c r="Q1471" s="120" t="str">
        <f t="shared" si="1306"/>
        <v>CA4-10</v>
      </c>
      <c r="R1471" s="185"/>
    </row>
    <row r="1472" spans="1:18" s="1921" customFormat="1">
      <c r="A1472" s="687"/>
      <c r="B1472" s="1914">
        <v>1</v>
      </c>
      <c r="C1472" s="1915" t="s">
        <v>3366</v>
      </c>
      <c r="D1472" s="1916"/>
      <c r="E1472" s="1917"/>
      <c r="F1472" s="1918"/>
      <c r="G1472" s="1919"/>
      <c r="H1472" s="1919"/>
      <c r="I1472" s="1919"/>
      <c r="J1472" s="1920"/>
      <c r="K1472" s="684">
        <f t="shared" si="1312"/>
        <v>1</v>
      </c>
      <c r="L1472" s="1913">
        <f t="shared" ref="L1472:L1474" si="1319">L1471</f>
        <v>1</v>
      </c>
      <c r="M1472" s="684">
        <f t="shared" si="1318"/>
        <v>1</v>
      </c>
      <c r="N1472" s="362" t="str">
        <f t="shared" ref="N1472" si="1320">IF(O1472&lt;&gt;"",K1472*L1472*M1472,"")</f>
        <v/>
      </c>
      <c r="O1472" s="1763" t="str">
        <f t="shared" ref="O1472" si="1321">IF(D1472&lt;&gt;"",IF(VLOOKUP(D1472,base_datos,7,FALSE)&lt;&gt;"",VLOOKUP(D1472,base_datos,7,FALSE),""),"")</f>
        <v/>
      </c>
      <c r="P1472" s="1764" t="str">
        <f t="shared" ref="P1472" si="1322">IF(O1472&lt;&gt;"",VLOOKUP(D1472,base_datos,6,FALSE),"")</f>
        <v/>
      </c>
      <c r="Q1472" s="120" t="str">
        <f t="shared" ref="Q1472" si="1323">IF(O1472&lt;&gt;"",D1472,"")</f>
        <v/>
      </c>
    </row>
    <row r="1473" spans="1:18" s="695" customFormat="1" ht="18" customHeight="1">
      <c r="A1473" s="693"/>
      <c r="B1473" s="1922">
        <v>1</v>
      </c>
      <c r="C1473" s="1848" t="str">
        <f t="shared" ref="C1473:C1475" si="1324">VLOOKUP(D1473,base_datos,6,FALSE)</f>
        <v>Base portafusibles + Fusibles de protección para control.</v>
      </c>
      <c r="D1473" s="1886" t="s">
        <v>453</v>
      </c>
      <c r="E1473" s="1795">
        <f t="shared" ref="E1473:E1475" si="1325">VLOOKUP(D1473,base_datos,5,FALSE)</f>
        <v>8.1750000000000007</v>
      </c>
      <c r="F1473" s="1923">
        <f t="shared" ref="F1473:F1475" si="1326">+E1473*B1473</f>
        <v>8.1750000000000007</v>
      </c>
      <c r="G1473" s="696"/>
      <c r="H1473" s="696"/>
      <c r="I1473" s="696"/>
      <c r="J1473" s="697"/>
      <c r="K1473" s="684">
        <f t="shared" si="1312"/>
        <v>1</v>
      </c>
      <c r="L1473" s="1913">
        <f t="shared" si="1319"/>
        <v>1</v>
      </c>
      <c r="M1473" s="684">
        <f t="shared" si="1318"/>
        <v>1</v>
      </c>
      <c r="N1473" s="362" t="str">
        <f t="shared" si="1303"/>
        <v/>
      </c>
      <c r="O1473" s="1763" t="str">
        <f t="shared" si="1304"/>
        <v/>
      </c>
      <c r="P1473" s="1764" t="str">
        <f t="shared" si="1305"/>
        <v/>
      </c>
      <c r="Q1473" s="120" t="str">
        <f t="shared" si="1306"/>
        <v/>
      </c>
      <c r="R1473" s="185"/>
    </row>
    <row r="1474" spans="1:18" s="695" customFormat="1" ht="18" customHeight="1">
      <c r="A1474" s="693"/>
      <c r="B1474" s="1922">
        <v>1</v>
      </c>
      <c r="C1474" s="1848" t="str">
        <f t="shared" si="1324"/>
        <v>Borne para neutro.</v>
      </c>
      <c r="D1474" s="1886" t="s">
        <v>13049</v>
      </c>
      <c r="E1474" s="1795">
        <f t="shared" si="1325"/>
        <v>4</v>
      </c>
      <c r="F1474" s="1923">
        <f t="shared" si="1326"/>
        <v>4</v>
      </c>
      <c r="G1474" s="696"/>
      <c r="H1474" s="696"/>
      <c r="I1474" s="696"/>
      <c r="J1474" s="697"/>
      <c r="K1474" s="684">
        <f t="shared" si="1312"/>
        <v>1</v>
      </c>
      <c r="L1474" s="1913">
        <f t="shared" si="1319"/>
        <v>1</v>
      </c>
      <c r="M1474" s="684">
        <f t="shared" si="1318"/>
        <v>1</v>
      </c>
      <c r="N1474" s="362" t="str">
        <f t="shared" si="1303"/>
        <v/>
      </c>
      <c r="O1474" s="1763" t="str">
        <f t="shared" si="1304"/>
        <v/>
      </c>
      <c r="P1474" s="1764" t="str">
        <f t="shared" si="1305"/>
        <v/>
      </c>
      <c r="Q1474" s="120" t="str">
        <f t="shared" si="1306"/>
        <v/>
      </c>
      <c r="R1474" s="185"/>
    </row>
    <row r="1475" spans="1:18" s="695" customFormat="1" ht="18" customHeight="1">
      <c r="A1475" s="693"/>
      <c r="B1475" s="1922">
        <v>2</v>
      </c>
      <c r="C1475" s="1848" t="str">
        <f t="shared" si="1324"/>
        <v>Borne 4mm2.</v>
      </c>
      <c r="D1475" s="1886" t="s">
        <v>437</v>
      </c>
      <c r="E1475" s="1795">
        <f t="shared" si="1325"/>
        <v>2.5</v>
      </c>
      <c r="F1475" s="1923">
        <f t="shared" si="1326"/>
        <v>5</v>
      </c>
      <c r="G1475" s="696"/>
      <c r="H1475" s="696"/>
      <c r="I1475" s="696"/>
      <c r="J1475" s="697"/>
      <c r="K1475" s="684">
        <f t="shared" si="1312"/>
        <v>1</v>
      </c>
      <c r="L1475" s="1913">
        <f>L1473</f>
        <v>1</v>
      </c>
      <c r="M1475" s="684">
        <f t="shared" si="1318"/>
        <v>2</v>
      </c>
      <c r="N1475" s="362" t="str">
        <f t="shared" si="1303"/>
        <v/>
      </c>
      <c r="O1475" s="1763" t="str">
        <f t="shared" si="1304"/>
        <v/>
      </c>
      <c r="P1475" s="1764" t="str">
        <f t="shared" si="1305"/>
        <v/>
      </c>
      <c r="Q1475" s="120" t="str">
        <f t="shared" si="1306"/>
        <v/>
      </c>
      <c r="R1475" s="185"/>
    </row>
    <row r="1476" spans="1:18" s="185" customFormat="1" ht="18" customHeight="1">
      <c r="A1476" s="1785"/>
      <c r="B1476" s="714"/>
      <c r="C1476" s="1893" t="s">
        <v>729</v>
      </c>
      <c r="D1476" s="173"/>
      <c r="E1476" s="1786"/>
      <c r="F1476" s="1787"/>
      <c r="G1476" s="710"/>
      <c r="H1476" s="710"/>
      <c r="I1476" s="710"/>
      <c r="J1476" s="711"/>
      <c r="K1476" s="684">
        <f t="shared" si="1312"/>
        <v>1</v>
      </c>
      <c r="L1476" s="708">
        <v>1</v>
      </c>
      <c r="M1476" s="684">
        <f t="shared" si="1318"/>
        <v>1</v>
      </c>
      <c r="N1476" s="362" t="str">
        <f t="shared" si="1303"/>
        <v/>
      </c>
      <c r="O1476" s="1763" t="str">
        <f t="shared" si="1304"/>
        <v/>
      </c>
      <c r="P1476" s="1764" t="str">
        <f t="shared" si="1305"/>
        <v/>
      </c>
      <c r="Q1476" s="120" t="str">
        <f t="shared" si="1306"/>
        <v/>
      </c>
    </row>
    <row r="1477" spans="1:18" s="2434" customFormat="1" ht="18" customHeight="1">
      <c r="A1477" s="2418"/>
      <c r="B1477" s="2419">
        <v>1</v>
      </c>
      <c r="C1477" s="2420" t="s">
        <v>13045</v>
      </c>
      <c r="D1477" s="2421"/>
      <c r="E1477" s="2422"/>
      <c r="F1477" s="2423">
        <f>SUM(F1478:F1482)*(B1477-1)</f>
        <v>0</v>
      </c>
      <c r="G1477" s="2424"/>
      <c r="H1477" s="2424"/>
      <c r="I1477" s="2424"/>
      <c r="J1477" s="2425"/>
      <c r="K1477" s="2426">
        <f>K1475</f>
        <v>1</v>
      </c>
      <c r="L1477" s="2427">
        <f>B1477</f>
        <v>1</v>
      </c>
      <c r="M1477" s="2428">
        <f t="shared" si="1318"/>
        <v>1</v>
      </c>
      <c r="N1477" s="2429" t="str">
        <f>IF(O1477&lt;&gt;"",K1477*L1477*M1477,"")</f>
        <v/>
      </c>
      <c r="O1477" s="2430" t="str">
        <f>IF(D1477&lt;&gt;"",IF(VLOOKUP(D1477,base_datos,7,FALSE)&lt;&gt;"",VLOOKUP(D1477,base_datos,7,FALSE),""),"")</f>
        <v/>
      </c>
      <c r="P1477" s="2431" t="str">
        <f>IF(O1477&lt;&gt;"",VLOOKUP(D1477,base_datos,6,FALSE),"")</f>
        <v/>
      </c>
      <c r="Q1477" s="2432" t="str">
        <f>IF(O1477&lt;&gt;"",D1477,"")</f>
        <v/>
      </c>
      <c r="R1477" s="2433"/>
    </row>
    <row r="1478" spans="1:18" s="2434" customFormat="1" ht="18" customHeight="1">
      <c r="A1478" s="2418"/>
      <c r="B1478" s="2435">
        <v>1</v>
      </c>
      <c r="C1478" s="2436" t="str">
        <f>VLOOKUP(D1478,base_datos,6,FALSE)</f>
        <v>Selector 3 posiciones mantenidos - 1-0-2 / M-0-A - maneta corta, contactos 2NA - C3SS1-10B-20 - compacto - marca ABB.</v>
      </c>
      <c r="D1478" s="2437" t="s">
        <v>1223</v>
      </c>
      <c r="E1478" s="2422">
        <f>VLOOKUP(D1478,base_datos,5,FALSE)</f>
        <v>16.680000000000003</v>
      </c>
      <c r="F1478" s="2438">
        <f t="shared" ref="F1478" si="1327">+E1478*B1478</f>
        <v>16.680000000000003</v>
      </c>
      <c r="G1478" s="2424"/>
      <c r="H1478" s="2424"/>
      <c r="I1478" s="2424"/>
      <c r="J1478" s="2425"/>
      <c r="K1478" s="2426">
        <f t="shared" ref="K1478:K1487" si="1328">K1476</f>
        <v>1</v>
      </c>
      <c r="L1478" s="2427">
        <f>L1477</f>
        <v>1</v>
      </c>
      <c r="M1478" s="2428">
        <f t="shared" si="1318"/>
        <v>1</v>
      </c>
      <c r="N1478" s="2429">
        <f>IF(O1478&lt;&gt;"",K1478*L1478*M1478,"")</f>
        <v>1</v>
      </c>
      <c r="O1478" s="2430" t="str">
        <f>IF(D1478&lt;&gt;"",IF(VLOOKUP(D1478,base_datos,7,FALSE)&lt;&gt;"",VLOOKUP(D1478,base_datos,7,FALSE),""),"")</f>
        <v>1SFA619210R1026</v>
      </c>
      <c r="P1478" s="2431" t="str">
        <f>IF(O1478&lt;&gt;"",VLOOKUP(D1478,base_datos,6,FALSE),"")</f>
        <v>Selector 3 posiciones mantenidos - 1-0-2 / M-0-A - maneta corta, contactos 2NA - C3SS1-10B-20 - compacto - marca ABB.</v>
      </c>
      <c r="Q1478" s="2432" t="str">
        <f>IF(O1478&lt;&gt;"",D1478,"")</f>
        <v>SEL_1-0-2</v>
      </c>
      <c r="R1478" s="2433"/>
    </row>
    <row r="1479" spans="1:18" s="2432" customFormat="1">
      <c r="A1479" s="2418"/>
      <c r="B1479" s="2435">
        <v>1</v>
      </c>
      <c r="C1479" s="2439" t="s">
        <v>3366</v>
      </c>
      <c r="D1479" s="2440"/>
      <c r="E1479" s="2422"/>
      <c r="F1479" s="2438"/>
      <c r="G1479" s="2441"/>
      <c r="H1479" s="2441"/>
      <c r="I1479" s="2441"/>
      <c r="J1479" s="2442"/>
      <c r="K1479" s="2426">
        <f t="shared" si="1328"/>
        <v>1</v>
      </c>
      <c r="L1479" s="2427">
        <f>L1480</f>
        <v>1</v>
      </c>
      <c r="M1479" s="2426">
        <f t="shared" si="1318"/>
        <v>1</v>
      </c>
      <c r="N1479" s="2429" t="str">
        <f t="shared" ref="N1479" si="1329">IF(O1479&lt;&gt;"",K1479*L1479*M1479,"")</f>
        <v/>
      </c>
      <c r="O1479" s="2430" t="str">
        <f t="shared" ref="O1479" si="1330">IF(D1479&lt;&gt;"",IF(VLOOKUP(D1479,base_datos,7,FALSE)&lt;&gt;"",VLOOKUP(D1479,base_datos,7,FALSE),""),"")</f>
        <v/>
      </c>
      <c r="P1479" s="2431" t="str">
        <f t="shared" ref="P1479" si="1331">IF(O1479&lt;&gt;"",VLOOKUP(D1479,base_datos,6,FALSE),"")</f>
        <v/>
      </c>
      <c r="Q1479" s="2432" t="str">
        <f t="shared" ref="Q1479" si="1332">IF(O1479&lt;&gt;"",D1479,"")</f>
        <v/>
      </c>
    </row>
    <row r="1480" spans="1:18" s="2450" customFormat="1" ht="18" customHeight="1">
      <c r="A1480" s="2443"/>
      <c r="B1480" s="2444">
        <v>1</v>
      </c>
      <c r="C1480" s="2445" t="str">
        <f t="shared" ref="C1480:C1482" si="1333">VLOOKUP(D1480,base_datos,6,FALSE)</f>
        <v>Base portafusibles + Fusibles de protección para control.</v>
      </c>
      <c r="D1480" s="2446" t="s">
        <v>453</v>
      </c>
      <c r="E1480" s="2447">
        <f t="shared" ref="E1480:E1482" si="1334">VLOOKUP(D1480,base_datos,5,FALSE)</f>
        <v>8.1750000000000007</v>
      </c>
      <c r="F1480" s="2438">
        <f>+E1480*B1480</f>
        <v>8.1750000000000007</v>
      </c>
      <c r="G1480" s="2448"/>
      <c r="H1480" s="2448"/>
      <c r="I1480" s="2448"/>
      <c r="J1480" s="2449"/>
      <c r="K1480" s="2426">
        <f t="shared" si="1328"/>
        <v>1</v>
      </c>
      <c r="L1480" s="2427">
        <f>L1478</f>
        <v>1</v>
      </c>
      <c r="M1480" s="2428">
        <f>IF(B1480="",1,B1480)</f>
        <v>1</v>
      </c>
      <c r="N1480" s="2429" t="str">
        <f>IF(O1480&lt;&gt;"",K1480*L1480*M1480,"")</f>
        <v/>
      </c>
      <c r="O1480" s="2430" t="str">
        <f>IF(D1480&lt;&gt;"",IF(VLOOKUP(D1480,base_datos,7,FALSE)&lt;&gt;"",VLOOKUP(D1480,base_datos,7,FALSE),""),"")</f>
        <v/>
      </c>
      <c r="P1480" s="2431" t="str">
        <f>IF(O1480&lt;&gt;"",VLOOKUP(D1480,base_datos,6,FALSE),"")</f>
        <v/>
      </c>
      <c r="Q1480" s="2432" t="str">
        <f>IF(O1480&lt;&gt;"",D1480,"")</f>
        <v/>
      </c>
      <c r="R1480" s="2433"/>
    </row>
    <row r="1481" spans="1:18" s="2450" customFormat="1" ht="18" customHeight="1">
      <c r="A1481" s="2443"/>
      <c r="B1481" s="2444">
        <v>1</v>
      </c>
      <c r="C1481" s="2445" t="str">
        <f t="shared" si="1333"/>
        <v>Borne para neutro.</v>
      </c>
      <c r="D1481" s="2451" t="s">
        <v>436</v>
      </c>
      <c r="E1481" s="2447">
        <f t="shared" si="1334"/>
        <v>4</v>
      </c>
      <c r="F1481" s="2438">
        <f t="shared" ref="F1481:F1482" si="1335">+E1481*B1481</f>
        <v>4</v>
      </c>
      <c r="G1481" s="2448"/>
      <c r="H1481" s="2448"/>
      <c r="I1481" s="2448"/>
      <c r="J1481" s="2449"/>
      <c r="K1481" s="2426">
        <f t="shared" si="1328"/>
        <v>1</v>
      </c>
      <c r="L1481" s="2427">
        <f>L1479</f>
        <v>1</v>
      </c>
      <c r="M1481" s="2428">
        <f t="shared" ref="M1481:M1483" si="1336">IF(B1481="",1,B1481)</f>
        <v>1</v>
      </c>
      <c r="N1481" s="2429" t="str">
        <f t="shared" ref="N1481:N1482" si="1337">IF(O1481&lt;&gt;"",K1481*L1481*M1481,"")</f>
        <v/>
      </c>
      <c r="O1481" s="2430" t="str">
        <f t="shared" ref="O1481:O1482" si="1338">IF(D1481&lt;&gt;"",IF(VLOOKUP(D1481,base_datos,7,FALSE)&lt;&gt;"",VLOOKUP(D1481,base_datos,7,FALSE),""),"")</f>
        <v/>
      </c>
      <c r="P1481" s="2431" t="str">
        <f t="shared" ref="P1481:P1482" si="1339">IF(O1481&lt;&gt;"",VLOOKUP(D1481,base_datos,6,FALSE),"")</f>
        <v/>
      </c>
      <c r="Q1481" s="2432" t="str">
        <f t="shared" ref="Q1481:Q1482" si="1340">IF(O1481&lt;&gt;"",D1481,"")</f>
        <v/>
      </c>
      <c r="R1481" s="2433"/>
    </row>
    <row r="1482" spans="1:18" s="2450" customFormat="1" ht="18" customHeight="1">
      <c r="A1482" s="2443"/>
      <c r="B1482" s="2444">
        <v>2</v>
      </c>
      <c r="C1482" s="2445" t="str">
        <f t="shared" si="1333"/>
        <v>Borne 4mm2.</v>
      </c>
      <c r="D1482" s="2446" t="s">
        <v>437</v>
      </c>
      <c r="E1482" s="2447">
        <f t="shared" si="1334"/>
        <v>2.5</v>
      </c>
      <c r="F1482" s="2438">
        <f t="shared" si="1335"/>
        <v>5</v>
      </c>
      <c r="G1482" s="2448"/>
      <c r="H1482" s="2448"/>
      <c r="I1482" s="2448"/>
      <c r="J1482" s="2449"/>
      <c r="K1482" s="2426">
        <f t="shared" si="1328"/>
        <v>1</v>
      </c>
      <c r="L1482" s="2427">
        <f t="shared" ref="L1482" si="1341">L1481</f>
        <v>1</v>
      </c>
      <c r="M1482" s="2428">
        <f t="shared" si="1336"/>
        <v>2</v>
      </c>
      <c r="N1482" s="2429" t="str">
        <f t="shared" si="1337"/>
        <v/>
      </c>
      <c r="O1482" s="2430" t="str">
        <f t="shared" si="1338"/>
        <v/>
      </c>
      <c r="P1482" s="2431" t="str">
        <f t="shared" si="1339"/>
        <v/>
      </c>
      <c r="Q1482" s="2432" t="str">
        <f t="shared" si="1340"/>
        <v/>
      </c>
      <c r="R1482" s="2433"/>
    </row>
    <row r="1483" spans="1:18" s="2433" customFormat="1">
      <c r="A1483" s="2418"/>
      <c r="B1483" s="2452"/>
      <c r="C1483" s="2453" t="s">
        <v>729</v>
      </c>
      <c r="D1483" s="2451"/>
      <c r="E1483" s="2454"/>
      <c r="F1483" s="2455"/>
      <c r="G1483" s="2456"/>
      <c r="H1483" s="2456"/>
      <c r="I1483" s="2456"/>
      <c r="J1483" s="2457"/>
      <c r="K1483" s="2426">
        <f t="shared" si="1328"/>
        <v>1</v>
      </c>
      <c r="L1483" s="2458">
        <v>1</v>
      </c>
      <c r="M1483" s="2426">
        <f t="shared" si="1336"/>
        <v>1</v>
      </c>
      <c r="N1483" s="2459" t="str">
        <f>IF(O1483&lt;&gt;"",K1483*L1483*M1483,"")</f>
        <v/>
      </c>
      <c r="O1483" s="2460" t="str">
        <f>IF(D1483&lt;&gt;"",IF(VLOOKUP(D1483,base_datos,7,FALSE)&lt;&gt;"",VLOOKUP(D1483,base_datos,7,FALSE),""),"")</f>
        <v/>
      </c>
      <c r="P1483" s="2461" t="str">
        <f>IF(O1483&lt;&gt;"",VLOOKUP(D1483,base_datos,6,FALSE),"")</f>
        <v/>
      </c>
      <c r="Q1483" s="2433" t="str">
        <f>IF(O1483&lt;&gt;"",D1483,"")</f>
        <v/>
      </c>
    </row>
    <row r="1484" spans="1:18" s="2450" customFormat="1" ht="18" customHeight="1">
      <c r="A1484" s="2462"/>
      <c r="B1484" s="2444">
        <v>1</v>
      </c>
      <c r="C1484" s="2445" t="str">
        <f>VLOOKUP(D1484,base_datos,6,FALSE)</f>
        <v>Rele auxiliar enchufable +4NA/NC (D2PR4B + base D2PA6), 220Vac - marca EATON.</v>
      </c>
      <c r="D1484" s="2446" t="s">
        <v>772</v>
      </c>
      <c r="E1484" s="2447">
        <f>VLOOKUP(D1484,base_datos,5,FALSE)</f>
        <v>27</v>
      </c>
      <c r="F1484" s="2438">
        <f>+E1484*B1484</f>
        <v>27</v>
      </c>
      <c r="G1484" s="2448"/>
      <c r="H1484" s="2448"/>
      <c r="I1484" s="2448"/>
      <c r="J1484" s="2449"/>
      <c r="K1484" s="2426">
        <f t="shared" si="1328"/>
        <v>1</v>
      </c>
      <c r="L1484" s="2463">
        <v>1</v>
      </c>
      <c r="M1484" s="2428">
        <f>IF(B1484="",1,B1484)</f>
        <v>1</v>
      </c>
      <c r="N1484" s="2429">
        <f>IF(O1484&lt;&gt;"",K1484*L1484*M1484,"")</f>
        <v>1</v>
      </c>
      <c r="O1484" s="2430" t="str">
        <f>IF(D1484&lt;&gt;"",IF(VLOOKUP(D1484,base_datos,7,FALSE)&lt;&gt;"",VLOOKUP(D1484,base_datos,7,FALSE),""),"")</f>
        <v>D2PR4B+D2PA6</v>
      </c>
      <c r="P1484" s="2431" t="str">
        <f>IF(O1484&lt;&gt;"",VLOOKUP(D1484,base_datos,6,FALSE),"")</f>
        <v>Rele auxiliar enchufable +4NA/NC (D2PR4B + base D2PA6), 220Vac - marca EATON.</v>
      </c>
      <c r="Q1484" s="2432" t="str">
        <f>IF(O1484&lt;&gt;"",D1484,"")</f>
        <v>D2PR4B+D2PA6</v>
      </c>
      <c r="R1484" s="2433"/>
    </row>
    <row r="1485" spans="1:18" s="2450" customFormat="1" ht="18" customHeight="1">
      <c r="A1485" s="2443"/>
      <c r="B1485" s="2444">
        <v>4</v>
      </c>
      <c r="C1485" s="2445" t="str">
        <f t="shared" ref="C1485:C1487" si="1342">VLOOKUP(D1485,base_datos,6,FALSE)</f>
        <v>Borne 4mm2.</v>
      </c>
      <c r="D1485" s="2446" t="s">
        <v>437</v>
      </c>
      <c r="E1485" s="2447">
        <f t="shared" ref="E1485:E1487" si="1343">VLOOKUP(D1485,base_datos,5,FALSE)</f>
        <v>2.5</v>
      </c>
      <c r="F1485" s="2438">
        <f t="shared" ref="F1485:F1487" si="1344">+E1485*B1485</f>
        <v>10</v>
      </c>
      <c r="G1485" s="2448"/>
      <c r="H1485" s="2448"/>
      <c r="I1485" s="2448"/>
      <c r="J1485" s="2449"/>
      <c r="K1485" s="2426">
        <f t="shared" si="1328"/>
        <v>1</v>
      </c>
      <c r="L1485" s="2463">
        <v>1</v>
      </c>
      <c r="M1485" s="2428">
        <f t="shared" ref="M1485:M1488" si="1345">IF(B1485="",1,B1485)</f>
        <v>4</v>
      </c>
      <c r="N1485" s="2429" t="str">
        <f t="shared" ref="N1485:N1488" si="1346">IF(O1485&lt;&gt;"",K1485*L1485*M1485,"")</f>
        <v/>
      </c>
      <c r="O1485" s="2430" t="str">
        <f t="shared" ref="O1485:O1488" si="1347">IF(D1485&lt;&gt;"",IF(VLOOKUP(D1485,base_datos,7,FALSE)&lt;&gt;"",VLOOKUP(D1485,base_datos,7,FALSE),""),"")</f>
        <v/>
      </c>
      <c r="P1485" s="2431" t="str">
        <f t="shared" ref="P1485:P1488" si="1348">IF(O1485&lt;&gt;"",VLOOKUP(D1485,base_datos,6,FALSE),"")</f>
        <v/>
      </c>
      <c r="Q1485" s="2432" t="str">
        <f t="shared" ref="Q1485:Q1488" si="1349">IF(O1485&lt;&gt;"",D1485,"")</f>
        <v/>
      </c>
      <c r="R1485" s="2433"/>
    </row>
    <row r="1486" spans="1:18" s="2450" customFormat="1" ht="18" customHeight="1">
      <c r="A1486" s="2443"/>
      <c r="B1486" s="2444">
        <v>1</v>
      </c>
      <c r="C1486" s="2445" t="str">
        <f t="shared" si="1342"/>
        <v>Base portafusibles + Fusibles de protección para control.</v>
      </c>
      <c r="D1486" s="2446" t="s">
        <v>453</v>
      </c>
      <c r="E1486" s="2447">
        <f t="shared" si="1343"/>
        <v>8.1750000000000007</v>
      </c>
      <c r="F1486" s="2438">
        <f t="shared" si="1344"/>
        <v>8.1750000000000007</v>
      </c>
      <c r="G1486" s="2448"/>
      <c r="H1486" s="2448"/>
      <c r="I1486" s="2448"/>
      <c r="J1486" s="2449"/>
      <c r="K1486" s="2426">
        <f t="shared" si="1328"/>
        <v>1</v>
      </c>
      <c r="L1486" s="2463">
        <v>1</v>
      </c>
      <c r="M1486" s="2428">
        <f t="shared" si="1345"/>
        <v>1</v>
      </c>
      <c r="N1486" s="2429" t="str">
        <f t="shared" si="1346"/>
        <v/>
      </c>
      <c r="O1486" s="2430" t="str">
        <f t="shared" si="1347"/>
        <v/>
      </c>
      <c r="P1486" s="2431" t="str">
        <f t="shared" si="1348"/>
        <v/>
      </c>
      <c r="Q1486" s="2432" t="str">
        <f t="shared" si="1349"/>
        <v/>
      </c>
      <c r="R1486" s="2433"/>
    </row>
    <row r="1487" spans="1:18" s="2450" customFormat="1" ht="18" customHeight="1">
      <c r="A1487" s="2443"/>
      <c r="B1487" s="2444">
        <v>1</v>
      </c>
      <c r="C1487" s="2445" t="str">
        <f t="shared" si="1342"/>
        <v>Borne para neutro.</v>
      </c>
      <c r="D1487" s="2451" t="s">
        <v>436</v>
      </c>
      <c r="E1487" s="2447">
        <f t="shared" si="1343"/>
        <v>4</v>
      </c>
      <c r="F1487" s="2438">
        <f t="shared" si="1344"/>
        <v>4</v>
      </c>
      <c r="G1487" s="2448"/>
      <c r="H1487" s="2448"/>
      <c r="I1487" s="2448"/>
      <c r="J1487" s="2449"/>
      <c r="K1487" s="2426">
        <f t="shared" si="1328"/>
        <v>1</v>
      </c>
      <c r="L1487" s="2427">
        <f t="shared" ref="L1487" si="1350">L1486</f>
        <v>1</v>
      </c>
      <c r="M1487" s="2428">
        <f t="shared" si="1345"/>
        <v>1</v>
      </c>
      <c r="N1487" s="2429" t="str">
        <f t="shared" si="1346"/>
        <v/>
      </c>
      <c r="O1487" s="2430" t="str">
        <f t="shared" si="1347"/>
        <v/>
      </c>
      <c r="P1487" s="2431" t="str">
        <f t="shared" si="1348"/>
        <v/>
      </c>
      <c r="Q1487" s="2432" t="str">
        <f t="shared" si="1349"/>
        <v/>
      </c>
      <c r="R1487" s="2433"/>
    </row>
    <row r="1488" spans="1:18" s="185" customFormat="1" ht="18" customHeight="1">
      <c r="A1488" s="1785"/>
      <c r="B1488" s="714"/>
      <c r="C1488" s="1893" t="s">
        <v>729</v>
      </c>
      <c r="D1488" s="173"/>
      <c r="E1488" s="1786"/>
      <c r="F1488" s="1787"/>
      <c r="G1488" s="710"/>
      <c r="H1488" s="710"/>
      <c r="I1488" s="710"/>
      <c r="J1488" s="711"/>
      <c r="K1488" s="684">
        <f t="shared" si="1312"/>
        <v>1</v>
      </c>
      <c r="L1488" s="708">
        <v>1</v>
      </c>
      <c r="M1488" s="684">
        <f t="shared" si="1345"/>
        <v>1</v>
      </c>
      <c r="N1488" s="362" t="str">
        <f t="shared" si="1346"/>
        <v/>
      </c>
      <c r="O1488" s="1763" t="str">
        <f t="shared" si="1347"/>
        <v/>
      </c>
      <c r="P1488" s="1764" t="str">
        <f t="shared" si="1348"/>
        <v/>
      </c>
      <c r="Q1488" s="120" t="str">
        <f t="shared" si="1349"/>
        <v/>
      </c>
    </row>
    <row r="1489" spans="1:20" s="315" customFormat="1" ht="18.75" customHeight="1">
      <c r="A1489" s="2271"/>
      <c r="B1489" s="2272">
        <v>1</v>
      </c>
      <c r="C1489" s="2281" t="s">
        <v>13366</v>
      </c>
      <c r="D1489" s="1935"/>
      <c r="E1489" s="2287"/>
      <c r="F1489" s="2257">
        <f>+SUM(F1490:F1493)*(B1489-1)</f>
        <v>0</v>
      </c>
      <c r="G1489" s="712"/>
      <c r="H1489" s="712"/>
      <c r="I1489" s="712"/>
      <c r="J1489" s="713"/>
      <c r="K1489" s="684">
        <f>+K1476</f>
        <v>1</v>
      </c>
      <c r="L1489" s="708">
        <v>1</v>
      </c>
      <c r="M1489" s="709">
        <f t="shared" si="1318"/>
        <v>1</v>
      </c>
      <c r="N1489" s="112" t="str">
        <f t="shared" si="1303"/>
        <v/>
      </c>
      <c r="O1489" s="112" t="str">
        <f t="shared" si="1304"/>
        <v/>
      </c>
      <c r="P1489" s="120" t="str">
        <f t="shared" si="1305"/>
        <v/>
      </c>
      <c r="Q1489" s="120" t="str">
        <f t="shared" si="1306"/>
        <v/>
      </c>
      <c r="S1489" s="112" t="str">
        <f t="shared" ref="S1489:S1494" si="1351">IF(O1489&lt;&gt;"",VLOOKUP(D1489,base_datos,9,FALSE),"")</f>
        <v/>
      </c>
      <c r="T1489" s="2128"/>
    </row>
    <row r="1490" spans="1:20" s="690" customFormat="1" ht="18" customHeight="1">
      <c r="A1490" s="2273"/>
      <c r="B1490" s="1781">
        <v>1</v>
      </c>
      <c r="C1490" s="1420" t="str">
        <f t="shared" ref="C1490:C1493" si="1352">VLOOKUP(D1490,base_datos,6,FALSE)</f>
        <v>Calefactor resistivo 60W, modelo RACM - marca FANDIS.</v>
      </c>
      <c r="D1490" s="1899" t="s">
        <v>3298</v>
      </c>
      <c r="E1490" s="2288">
        <f t="shared" ref="E1490" si="1353">VLOOKUP(D1490,base_datos,5,FALSE)</f>
        <v>127.1</v>
      </c>
      <c r="F1490" s="1782">
        <f>+E1490*B1490</f>
        <v>127.1</v>
      </c>
      <c r="G1490" s="1761"/>
      <c r="H1490" s="1761"/>
      <c r="I1490" s="1761"/>
      <c r="J1490" s="689"/>
      <c r="K1490" s="684">
        <f t="shared" si="1312"/>
        <v>1</v>
      </c>
      <c r="L1490" s="708">
        <v>1</v>
      </c>
      <c r="M1490" s="709">
        <f t="shared" si="1318"/>
        <v>1</v>
      </c>
      <c r="N1490" s="112">
        <f t="shared" si="1303"/>
        <v>1</v>
      </c>
      <c r="O1490" s="112" t="str">
        <f t="shared" si="1304"/>
        <v>RACM-60</v>
      </c>
      <c r="P1490" s="120" t="str">
        <f t="shared" si="1305"/>
        <v>Calefactor resistivo 60W, modelo RACM - marca FANDIS.</v>
      </c>
      <c r="Q1490" s="120" t="str">
        <f t="shared" si="1306"/>
        <v>CALEFACT-60W_FAND</v>
      </c>
      <c r="S1490" s="112" t="str">
        <f t="shared" si="1351"/>
        <v>FANDIS</v>
      </c>
      <c r="T1490" s="1765"/>
    </row>
    <row r="1491" spans="1:20" s="690" customFormat="1" ht="18" customHeight="1">
      <c r="A1491" s="2273"/>
      <c r="B1491" s="1781">
        <v>1</v>
      </c>
      <c r="C1491" s="1420" t="str">
        <f t="shared" si="1352"/>
        <v>Termostato para ventilación - 1NA - 230V - marca FANDIS.</v>
      </c>
      <c r="D1491" s="1899" t="s">
        <v>3294</v>
      </c>
      <c r="E1491" s="2288">
        <f t="shared" ref="E1491:E1493" si="1354">VLOOKUP(D1491,base_datos,5,FALSE)</f>
        <v>41.58</v>
      </c>
      <c r="F1491" s="1782">
        <f>+E1491*B1491</f>
        <v>41.58</v>
      </c>
      <c r="G1491" s="1761"/>
      <c r="H1491" s="1761"/>
      <c r="I1491" s="1761"/>
      <c r="J1491" s="689"/>
      <c r="K1491" s="684">
        <f t="shared" si="1312"/>
        <v>1</v>
      </c>
      <c r="L1491" s="708">
        <v>1</v>
      </c>
      <c r="M1491" s="709">
        <f t="shared" si="1318"/>
        <v>1</v>
      </c>
      <c r="N1491" s="112">
        <f t="shared" si="1303"/>
        <v>1</v>
      </c>
      <c r="O1491" s="112" t="str">
        <f t="shared" si="1304"/>
        <v>TRT-10A230V-NO</v>
      </c>
      <c r="P1491" s="120" t="str">
        <f t="shared" si="1305"/>
        <v>Termostato para ventilación - 1NA - 230V - marca FANDIS.</v>
      </c>
      <c r="Q1491" s="120" t="str">
        <f t="shared" si="1306"/>
        <v>TRT-1NA</v>
      </c>
      <c r="S1491" s="112" t="str">
        <f t="shared" si="1351"/>
        <v>FANDIS</v>
      </c>
      <c r="T1491" s="1765"/>
    </row>
    <row r="1492" spans="1:20" s="320" customFormat="1" ht="12.75" customHeight="1">
      <c r="A1492" s="2274"/>
      <c r="B1492" s="2275">
        <v>1</v>
      </c>
      <c r="C1492" s="2282" t="str">
        <f t="shared" si="1352"/>
        <v>Base portafusibles + Fusibles de protección para control.</v>
      </c>
      <c r="D1492" s="1579" t="s">
        <v>453</v>
      </c>
      <c r="E1492" s="2289">
        <f t="shared" si="1354"/>
        <v>8.1750000000000007</v>
      </c>
      <c r="F1492" s="2264">
        <f>+E1492*B1492</f>
        <v>8.1750000000000007</v>
      </c>
      <c r="G1492" s="2276"/>
      <c r="H1492" s="2276"/>
      <c r="I1492" s="2276"/>
      <c r="J1492" s="722"/>
      <c r="K1492" s="684">
        <f t="shared" si="1312"/>
        <v>1</v>
      </c>
      <c r="L1492" s="708">
        <v>1</v>
      </c>
      <c r="M1492" s="709">
        <f t="shared" si="1318"/>
        <v>1</v>
      </c>
      <c r="N1492" s="112" t="str">
        <f t="shared" si="1303"/>
        <v/>
      </c>
      <c r="O1492" s="112" t="str">
        <f t="shared" si="1304"/>
        <v/>
      </c>
      <c r="P1492" s="120" t="str">
        <f t="shared" si="1305"/>
        <v/>
      </c>
      <c r="Q1492" s="120" t="str">
        <f t="shared" si="1306"/>
        <v/>
      </c>
      <c r="R1492" s="185"/>
      <c r="S1492" s="112" t="str">
        <f t="shared" si="1351"/>
        <v/>
      </c>
      <c r="T1492" s="709"/>
    </row>
    <row r="1493" spans="1:20" s="320" customFormat="1" ht="12.75" customHeight="1">
      <c r="A1493" s="2274"/>
      <c r="B1493" s="2277">
        <v>1</v>
      </c>
      <c r="C1493" s="2282" t="str">
        <f t="shared" si="1352"/>
        <v>Borne 4mm2.</v>
      </c>
      <c r="D1493" s="1579" t="s">
        <v>437</v>
      </c>
      <c r="E1493" s="2260">
        <f t="shared" si="1354"/>
        <v>2.5</v>
      </c>
      <c r="F1493" s="2260">
        <f>+E1493*B1493</f>
        <v>2.5</v>
      </c>
      <c r="G1493" s="2276"/>
      <c r="H1493" s="2276"/>
      <c r="I1493" s="2276"/>
      <c r="J1493" s="722"/>
      <c r="K1493" s="684">
        <f t="shared" si="1312"/>
        <v>1</v>
      </c>
      <c r="L1493" s="708">
        <v>1</v>
      </c>
      <c r="M1493" s="709">
        <f t="shared" si="1318"/>
        <v>1</v>
      </c>
      <c r="N1493" s="112" t="str">
        <f t="shared" si="1303"/>
        <v/>
      </c>
      <c r="O1493" s="112" t="str">
        <f t="shared" si="1304"/>
        <v/>
      </c>
      <c r="P1493" s="120" t="str">
        <f t="shared" si="1305"/>
        <v/>
      </c>
      <c r="Q1493" s="120" t="str">
        <f t="shared" si="1306"/>
        <v/>
      </c>
      <c r="R1493" s="185"/>
      <c r="S1493" s="112" t="str">
        <f t="shared" si="1351"/>
        <v/>
      </c>
      <c r="T1493" s="709"/>
    </row>
    <row r="1494" spans="1:20" s="185" customFormat="1" ht="12.75" customHeight="1">
      <c r="A1494" s="2262"/>
      <c r="B1494" s="1760"/>
      <c r="C1494" s="1893" t="s">
        <v>729</v>
      </c>
      <c r="D1494" s="169"/>
      <c r="E1494" s="2256"/>
      <c r="F1494" s="2278"/>
      <c r="G1494" s="710"/>
      <c r="H1494" s="710"/>
      <c r="I1494" s="710"/>
      <c r="J1494" s="711"/>
      <c r="K1494" s="684">
        <f t="shared" si="1312"/>
        <v>1</v>
      </c>
      <c r="L1494" s="708">
        <v>1</v>
      </c>
      <c r="M1494" s="709">
        <f t="shared" si="1318"/>
        <v>1</v>
      </c>
      <c r="N1494" s="112" t="str">
        <f t="shared" si="1303"/>
        <v/>
      </c>
      <c r="O1494" s="112" t="str">
        <f t="shared" si="1304"/>
        <v/>
      </c>
      <c r="P1494" s="120" t="str">
        <f t="shared" si="1305"/>
        <v/>
      </c>
      <c r="Q1494" s="120" t="str">
        <f t="shared" si="1306"/>
        <v/>
      </c>
      <c r="S1494" s="112" t="str">
        <f t="shared" si="1351"/>
        <v/>
      </c>
      <c r="T1494" s="118"/>
    </row>
    <row r="1495" spans="1:20" s="1236" customFormat="1" ht="18" customHeight="1">
      <c r="A1495" s="1767"/>
      <c r="B1495" s="1853">
        <v>1</v>
      </c>
      <c r="C1495" s="1895" t="s">
        <v>12364</v>
      </c>
      <c r="D1495" s="1902"/>
      <c r="E1495" s="1792"/>
      <c r="F1495" s="1793"/>
      <c r="G1495" s="1784"/>
      <c r="H1495" s="1784"/>
      <c r="I1495" s="1784"/>
      <c r="J1495" s="1182"/>
      <c r="K1495" s="684">
        <f t="shared" si="1312"/>
        <v>1</v>
      </c>
      <c r="L1495" s="708">
        <v>1</v>
      </c>
      <c r="M1495" s="709">
        <f t="shared" ref="M1495:M1507" si="1355">IF(B1495="",1,B1495)</f>
        <v>1</v>
      </c>
      <c r="N1495" s="362" t="str">
        <f t="shared" si="1303"/>
        <v/>
      </c>
      <c r="O1495" s="1763" t="str">
        <f t="shared" si="1304"/>
        <v/>
      </c>
      <c r="P1495" s="1764" t="str">
        <f t="shared" si="1305"/>
        <v/>
      </c>
      <c r="Q1495" s="120" t="str">
        <f t="shared" si="1306"/>
        <v/>
      </c>
      <c r="R1495" s="185"/>
    </row>
    <row r="1496" spans="1:20" s="695" customFormat="1" ht="18" customHeight="1">
      <c r="A1496" s="693"/>
      <c r="B1496" s="1922">
        <v>1</v>
      </c>
      <c r="C1496" s="1848" t="str">
        <f t="shared" ref="C1496" si="1356">VLOOKUP(D1496,base_datos,6,FALSE)</f>
        <v>Placa lamicoid rotulación de 3mm de espesor, fondo negro y letras blancas.</v>
      </c>
      <c r="D1496" s="1886" t="s">
        <v>8570</v>
      </c>
      <c r="E1496" s="1795">
        <f t="shared" ref="E1496" si="1357">VLOOKUP(D1496,base_datos,5,FALSE)</f>
        <v>2.2000000000000002</v>
      </c>
      <c r="F1496" s="1796">
        <f t="shared" ref="F1496" si="1358">+E1496*B1496</f>
        <v>2.2000000000000002</v>
      </c>
      <c r="G1496" s="696"/>
      <c r="H1496" s="696"/>
      <c r="I1496" s="696"/>
      <c r="J1496" s="697"/>
      <c r="K1496" s="684">
        <f t="shared" si="1312"/>
        <v>1</v>
      </c>
      <c r="L1496" s="708">
        <v>1</v>
      </c>
      <c r="M1496" s="709">
        <f t="shared" si="1355"/>
        <v>1</v>
      </c>
      <c r="N1496" s="362">
        <f t="shared" si="1303"/>
        <v>1</v>
      </c>
      <c r="O1496" s="1763" t="str">
        <f t="shared" si="1304"/>
        <v>Placa lamicoid p/distr.</v>
      </c>
      <c r="P1496" s="1764" t="str">
        <f t="shared" si="1305"/>
        <v>Placa lamicoid rotulación de 3mm de espesor, fondo negro y letras blancas.</v>
      </c>
      <c r="Q1496" s="120" t="str">
        <f t="shared" si="1306"/>
        <v>Placa lamicoid p/distr.</v>
      </c>
      <c r="R1496" s="185"/>
    </row>
    <row r="1497" spans="1:20" s="1236" customFormat="1" ht="18" customHeight="1">
      <c r="A1497" s="1767"/>
      <c r="B1497" s="1853">
        <v>1</v>
      </c>
      <c r="C1497" s="1895" t="s">
        <v>12474</v>
      </c>
      <c r="D1497" s="1902"/>
      <c r="E1497" s="1792"/>
      <c r="F1497" s="1793"/>
      <c r="G1497" s="1784"/>
      <c r="H1497" s="1784"/>
      <c r="I1497" s="1784"/>
      <c r="J1497" s="1182"/>
      <c r="K1497" s="684">
        <f t="shared" si="1312"/>
        <v>1</v>
      </c>
      <c r="L1497" s="708">
        <v>1</v>
      </c>
      <c r="M1497" s="709">
        <f t="shared" si="1355"/>
        <v>1</v>
      </c>
      <c r="N1497" s="362" t="str">
        <f t="shared" si="1303"/>
        <v/>
      </c>
      <c r="O1497" s="1763" t="str">
        <f t="shared" si="1304"/>
        <v/>
      </c>
      <c r="P1497" s="1764" t="str">
        <f t="shared" si="1305"/>
        <v/>
      </c>
      <c r="Q1497" s="120" t="str">
        <f t="shared" si="1306"/>
        <v/>
      </c>
      <c r="R1497" s="185"/>
    </row>
    <row r="1498" spans="1:20" s="1236" customFormat="1" ht="18" customHeight="1">
      <c r="A1498" s="1767"/>
      <c r="B1498" s="1853">
        <v>1</v>
      </c>
      <c r="C1498" s="1848" t="str">
        <f>VLOOKUP(D1498,base_datos,6,FALSE)</f>
        <v>Embalaje especial completamente cerrado para tablero adosado de 1600x600x220mm</v>
      </c>
      <c r="D1498" s="1902" t="s">
        <v>12453</v>
      </c>
      <c r="E1498" s="1795">
        <f t="shared" ref="E1498" si="1359">VLOOKUP(D1498,base_datos,5,FALSE)</f>
        <v>271.40000000000003</v>
      </c>
      <c r="F1498" s="1796">
        <f t="shared" ref="F1498" si="1360">+E1498*B1498</f>
        <v>271.40000000000003</v>
      </c>
      <c r="G1498" s="1784"/>
      <c r="H1498" s="1784"/>
      <c r="I1498" s="1784"/>
      <c r="J1498" s="1182"/>
      <c r="K1498" s="684">
        <f t="shared" si="1312"/>
        <v>1</v>
      </c>
      <c r="L1498" s="708">
        <v>1</v>
      </c>
      <c r="M1498" s="709">
        <f t="shared" si="1355"/>
        <v>1</v>
      </c>
      <c r="N1498" s="362">
        <f t="shared" si="1303"/>
        <v>1</v>
      </c>
      <c r="O1498" s="1763" t="str">
        <f t="shared" si="1304"/>
        <v>EMBAL_ADOS_1600x600x220mm</v>
      </c>
      <c r="P1498" s="1764" t="str">
        <f t="shared" si="1305"/>
        <v>Embalaje especial completamente cerrado para tablero adosado de 1600x600x220mm</v>
      </c>
      <c r="Q1498" s="120" t="str">
        <f t="shared" si="1306"/>
        <v>EMBAL_ADOS_1600x600x220mm</v>
      </c>
      <c r="R1498" s="185"/>
    </row>
    <row r="1499" spans="1:20" s="185" customFormat="1" ht="18" customHeight="1">
      <c r="A1499" s="1785"/>
      <c r="B1499" s="714"/>
      <c r="C1499" s="1893" t="s">
        <v>729</v>
      </c>
      <c r="D1499" s="173"/>
      <c r="E1499" s="1786"/>
      <c r="F1499" s="1787"/>
      <c r="G1499" s="710"/>
      <c r="H1499" s="710"/>
      <c r="I1499" s="710"/>
      <c r="J1499" s="711"/>
      <c r="K1499" s="684">
        <f t="shared" si="1312"/>
        <v>1</v>
      </c>
      <c r="L1499" s="708">
        <v>1</v>
      </c>
      <c r="M1499" s="709">
        <f t="shared" si="1355"/>
        <v>1</v>
      </c>
      <c r="N1499" s="362" t="str">
        <f t="shared" si="1303"/>
        <v/>
      </c>
      <c r="O1499" s="1763" t="str">
        <f t="shared" si="1304"/>
        <v/>
      </c>
      <c r="P1499" s="1764" t="str">
        <f t="shared" si="1305"/>
        <v/>
      </c>
      <c r="Q1499" s="120" t="str">
        <f t="shared" si="1306"/>
        <v/>
      </c>
    </row>
    <row r="1500" spans="1:20" s="695" customFormat="1" ht="18" customHeight="1">
      <c r="A1500" s="693"/>
      <c r="B1500" s="1794">
        <v>1</v>
      </c>
      <c r="C1500" s="1420" t="s">
        <v>316</v>
      </c>
      <c r="D1500" s="1790"/>
      <c r="E1500" s="1795"/>
      <c r="F1500" s="1796"/>
      <c r="G1500" s="696"/>
      <c r="H1500" s="696"/>
      <c r="I1500" s="696"/>
      <c r="J1500" s="697"/>
      <c r="K1500" s="684">
        <f t="shared" si="1312"/>
        <v>1</v>
      </c>
      <c r="L1500" s="708">
        <v>1</v>
      </c>
      <c r="M1500" s="709">
        <f t="shared" si="1355"/>
        <v>1</v>
      </c>
      <c r="N1500" s="362" t="str">
        <f t="shared" si="1303"/>
        <v/>
      </c>
      <c r="O1500" s="1763" t="str">
        <f t="shared" si="1304"/>
        <v/>
      </c>
      <c r="P1500" s="1764" t="str">
        <f t="shared" si="1305"/>
        <v/>
      </c>
      <c r="Q1500" s="120" t="str">
        <f t="shared" si="1306"/>
        <v/>
      </c>
      <c r="R1500" s="185"/>
    </row>
    <row r="1501" spans="1:20" s="185" customFormat="1" ht="18" customHeight="1">
      <c r="A1501" s="1785"/>
      <c r="B1501" s="714"/>
      <c r="C1501" s="1893" t="s">
        <v>729</v>
      </c>
      <c r="D1501" s="173"/>
      <c r="E1501" s="1786"/>
      <c r="F1501" s="1787"/>
      <c r="G1501" s="710"/>
      <c r="H1501" s="710"/>
      <c r="I1501" s="710"/>
      <c r="J1501" s="711"/>
      <c r="K1501" s="684">
        <f t="shared" si="1312"/>
        <v>1</v>
      </c>
      <c r="L1501" s="708">
        <v>1</v>
      </c>
      <c r="M1501" s="709">
        <f t="shared" si="1355"/>
        <v>1</v>
      </c>
      <c r="N1501" s="362" t="str">
        <f t="shared" si="1303"/>
        <v/>
      </c>
      <c r="O1501" s="1763" t="str">
        <f t="shared" si="1304"/>
        <v/>
      </c>
      <c r="P1501" s="1764" t="str">
        <f t="shared" si="1305"/>
        <v/>
      </c>
      <c r="Q1501" s="120" t="str">
        <f t="shared" si="1306"/>
        <v/>
      </c>
    </row>
    <row r="1502" spans="1:20" s="897" customFormat="1" ht="18" customHeight="1">
      <c r="A1502" s="693"/>
      <c r="B1502" s="895">
        <v>20</v>
      </c>
      <c r="C1502" s="1848" t="str">
        <f>VLOOKUP(D1502,base_datos,6,FALSE)</f>
        <v>Rotulado por circuito.</v>
      </c>
      <c r="D1502" s="1579" t="s">
        <v>3067</v>
      </c>
      <c r="E1502" s="1581">
        <f>VLOOKUP(D1502,base_datos,5,FALSE)</f>
        <v>0.7</v>
      </c>
      <c r="F1502" s="1581">
        <f t="shared" ref="F1502:F1507" si="1361">+E1502*B1502</f>
        <v>14</v>
      </c>
      <c r="G1502" s="1772"/>
      <c r="H1502" s="1772"/>
      <c r="I1502" s="1772"/>
      <c r="J1502" s="896"/>
      <c r="K1502" s="684">
        <f t="shared" si="1312"/>
        <v>1</v>
      </c>
      <c r="L1502" s="708">
        <v>1</v>
      </c>
      <c r="M1502" s="709">
        <f t="shared" si="1355"/>
        <v>20</v>
      </c>
      <c r="N1502" s="362" t="str">
        <f t="shared" si="1303"/>
        <v/>
      </c>
      <c r="O1502" s="1763" t="str">
        <f t="shared" si="1304"/>
        <v/>
      </c>
      <c r="P1502" s="1764" t="str">
        <f t="shared" si="1305"/>
        <v/>
      </c>
      <c r="Q1502" s="120" t="str">
        <f t="shared" si="1306"/>
        <v/>
      </c>
    </row>
    <row r="1503" spans="1:20" s="897" customFormat="1" ht="18" customHeight="1">
      <c r="A1503" s="693"/>
      <c r="B1503" s="895">
        <v>1</v>
      </c>
      <c r="C1503" s="1848" t="str">
        <f>VLOOKUP(D1503,base_datos,6,FALSE)</f>
        <v>Rotulado para TAG - tablero de distribución.</v>
      </c>
      <c r="D1503" s="1579" t="s">
        <v>3066</v>
      </c>
      <c r="E1503" s="1581">
        <f>VLOOKUP(D1503,base_datos,5,FALSE)</f>
        <v>1.5</v>
      </c>
      <c r="F1503" s="1581">
        <f t="shared" si="1361"/>
        <v>1.5</v>
      </c>
      <c r="G1503" s="1772"/>
      <c r="H1503" s="1772"/>
      <c r="I1503" s="1772"/>
      <c r="J1503" s="896"/>
      <c r="K1503" s="684">
        <f t="shared" si="1312"/>
        <v>1</v>
      </c>
      <c r="L1503" s="708">
        <v>1</v>
      </c>
      <c r="M1503" s="709">
        <f t="shared" si="1355"/>
        <v>1</v>
      </c>
      <c r="N1503" s="362" t="str">
        <f t="shared" si="1303"/>
        <v/>
      </c>
      <c r="O1503" s="1763" t="str">
        <f t="shared" si="1304"/>
        <v/>
      </c>
      <c r="P1503" s="1764" t="str">
        <f t="shared" si="1305"/>
        <v/>
      </c>
      <c r="Q1503" s="120" t="str">
        <f t="shared" si="1306"/>
        <v/>
      </c>
    </row>
    <row r="1504" spans="1:20" s="1237" customFormat="1" ht="18" customHeight="1">
      <c r="A1504" s="1767"/>
      <c r="B1504" s="1773">
        <v>1</v>
      </c>
      <c r="C1504" s="1896" t="s">
        <v>11664</v>
      </c>
      <c r="D1504" s="1887"/>
      <c r="E1504" s="1581">
        <v>75</v>
      </c>
      <c r="F1504" s="1581">
        <f t="shared" si="1361"/>
        <v>75</v>
      </c>
      <c r="G1504" s="1774"/>
      <c r="H1504" s="1774"/>
      <c r="I1504" s="1774"/>
      <c r="J1504" s="1181"/>
      <c r="K1504" s="684">
        <f t="shared" si="1312"/>
        <v>1</v>
      </c>
      <c r="L1504" s="708">
        <v>1</v>
      </c>
      <c r="M1504" s="709">
        <f t="shared" si="1355"/>
        <v>1</v>
      </c>
      <c r="N1504" s="362" t="str">
        <f t="shared" si="1303"/>
        <v/>
      </c>
      <c r="O1504" s="1763" t="str">
        <f t="shared" si="1304"/>
        <v/>
      </c>
      <c r="P1504" s="1764" t="str">
        <f t="shared" si="1305"/>
        <v/>
      </c>
      <c r="Q1504" s="120" t="str">
        <f t="shared" si="1306"/>
        <v/>
      </c>
      <c r="R1504" s="1765"/>
    </row>
    <row r="1505" spans="1:18" s="1237" customFormat="1" ht="18" customHeight="1">
      <c r="A1505" s="1767"/>
      <c r="B1505" s="2093">
        <v>1</v>
      </c>
      <c r="C1505" s="694" t="s">
        <v>12552</v>
      </c>
      <c r="D1505" s="1888"/>
      <c r="E1505" s="1580">
        <f>E1507*15%</f>
        <v>22.5</v>
      </c>
      <c r="F1505" s="1581">
        <f t="shared" si="1361"/>
        <v>22.5</v>
      </c>
      <c r="G1505" s="1774"/>
      <c r="H1505" s="1774"/>
      <c r="I1505" s="1774"/>
      <c r="J1505" s="1181"/>
      <c r="K1505" s="684">
        <f t="shared" si="1312"/>
        <v>1</v>
      </c>
      <c r="L1505" s="708">
        <v>1</v>
      </c>
      <c r="M1505" s="709">
        <f t="shared" si="1355"/>
        <v>1</v>
      </c>
      <c r="N1505" s="362" t="str">
        <f t="shared" si="1303"/>
        <v/>
      </c>
      <c r="O1505" s="1763" t="str">
        <f t="shared" si="1304"/>
        <v/>
      </c>
      <c r="P1505" s="1764" t="str">
        <f t="shared" si="1305"/>
        <v/>
      </c>
      <c r="Q1505" s="120" t="str">
        <f t="shared" si="1306"/>
        <v/>
      </c>
      <c r="R1505" s="1765"/>
    </row>
    <row r="1506" spans="1:18" s="1237" customFormat="1" ht="18" customHeight="1">
      <c r="A1506" s="1767"/>
      <c r="B1506" s="1773">
        <v>1</v>
      </c>
      <c r="C1506" s="694" t="s">
        <v>12559</v>
      </c>
      <c r="D1506" s="1888"/>
      <c r="E1506" s="1999">
        <f>E1507*20%</f>
        <v>30</v>
      </c>
      <c r="F1506" s="1581">
        <f t="shared" si="1361"/>
        <v>30</v>
      </c>
      <c r="G1506" s="1774"/>
      <c r="H1506" s="1774"/>
      <c r="I1506" s="1774"/>
      <c r="J1506" s="1181"/>
      <c r="K1506" s="684">
        <f t="shared" si="1312"/>
        <v>1</v>
      </c>
      <c r="L1506" s="708">
        <v>1</v>
      </c>
      <c r="M1506" s="709">
        <f t="shared" si="1355"/>
        <v>1</v>
      </c>
      <c r="N1506" s="362" t="str">
        <f t="shared" si="1303"/>
        <v/>
      </c>
      <c r="O1506" s="1763" t="str">
        <f t="shared" si="1304"/>
        <v/>
      </c>
      <c r="P1506" s="1764" t="str">
        <f t="shared" si="1305"/>
        <v/>
      </c>
      <c r="Q1506" s="120" t="str">
        <f t="shared" si="1306"/>
        <v/>
      </c>
      <c r="R1506" s="1765"/>
    </row>
    <row r="1507" spans="1:18" s="1237" customFormat="1" ht="18" customHeight="1">
      <c r="A1507" s="1767"/>
      <c r="B1507" s="1773">
        <v>1</v>
      </c>
      <c r="C1507" s="1943" t="s">
        <v>12488</v>
      </c>
      <c r="D1507" s="1897"/>
      <c r="E1507" s="1581">
        <v>150</v>
      </c>
      <c r="F1507" s="1581">
        <f t="shared" si="1361"/>
        <v>150</v>
      </c>
      <c r="G1507" s="1774"/>
      <c r="H1507" s="1774"/>
      <c r="I1507" s="1774"/>
      <c r="J1507" s="1181"/>
      <c r="K1507" s="684">
        <f t="shared" si="1312"/>
        <v>1</v>
      </c>
      <c r="L1507" s="708">
        <v>1</v>
      </c>
      <c r="M1507" s="709">
        <f t="shared" si="1355"/>
        <v>1</v>
      </c>
      <c r="N1507" s="362" t="str">
        <f t="shared" si="1303"/>
        <v/>
      </c>
      <c r="O1507" s="1763" t="str">
        <f t="shared" si="1304"/>
        <v/>
      </c>
      <c r="P1507" s="1764" t="str">
        <f t="shared" si="1305"/>
        <v/>
      </c>
      <c r="Q1507" s="120" t="str">
        <f t="shared" si="1306"/>
        <v/>
      </c>
      <c r="R1507" s="1765"/>
    </row>
    <row r="1508" spans="1:18" s="20" customFormat="1" ht="18" customHeight="1" thickBot="1">
      <c r="A1508" s="699"/>
      <c r="B1508" s="1775"/>
      <c r="C1508" s="1776"/>
      <c r="D1508" s="1885"/>
      <c r="E1508" s="1981"/>
      <c r="F1508" s="1981"/>
      <c r="G1508" s="1777"/>
      <c r="H1508" s="1777"/>
      <c r="I1508" s="1777"/>
      <c r="J1508" s="1778"/>
      <c r="K1508" s="684"/>
      <c r="L1508" s="363"/>
      <c r="M1508" s="709"/>
      <c r="N1508" s="362" t="str">
        <f t="shared" si="1303"/>
        <v/>
      </c>
      <c r="O1508" s="1763" t="str">
        <f t="shared" si="1304"/>
        <v/>
      </c>
      <c r="P1508" s="1764" t="str">
        <f t="shared" si="1305"/>
        <v/>
      </c>
      <c r="Q1508" s="120" t="str">
        <f t="shared" si="1306"/>
        <v/>
      </c>
      <c r="R1508" s="1765"/>
    </row>
    <row r="1509" spans="1:18" s="120" customFormat="1" ht="18" customHeight="1" thickBot="1">
      <c r="A1509" s="1989">
        <v>26</v>
      </c>
      <c r="B1509" s="1852">
        <v>1</v>
      </c>
      <c r="C1509" s="1756" t="s">
        <v>12588</v>
      </c>
      <c r="D1509" s="1588"/>
      <c r="E1509" s="1589"/>
      <c r="F1509" s="1589"/>
      <c r="G1509" s="1757">
        <f>SUM(F1510:F1567)</f>
        <v>1646.0599999999997</v>
      </c>
      <c r="H1509" s="1758">
        <f>G1509*(1-$D$6)</f>
        <v>1646.0599999999997</v>
      </c>
      <c r="I1509" s="1757">
        <f>ROUNDUP(H1509*$D$5,0)</f>
        <v>5597</v>
      </c>
      <c r="J1509" s="1759">
        <f>+I1509*B1509</f>
        <v>5597</v>
      </c>
      <c r="K1509" s="1788">
        <f>B1509</f>
        <v>1</v>
      </c>
      <c r="L1509" s="363"/>
      <c r="M1509" s="684"/>
      <c r="N1509" s="362" t="str">
        <f t="shared" si="1303"/>
        <v/>
      </c>
      <c r="O1509" s="1763" t="str">
        <f t="shared" si="1304"/>
        <v/>
      </c>
      <c r="P1509" s="1764" t="str">
        <f t="shared" si="1305"/>
        <v/>
      </c>
      <c r="Q1509" s="120" t="str">
        <f t="shared" si="1306"/>
        <v/>
      </c>
      <c r="R1509" s="185"/>
    </row>
    <row r="1510" spans="1:18" s="120" customFormat="1" ht="18" customHeight="1">
      <c r="A1510" s="685" t="s">
        <v>3064</v>
      </c>
      <c r="B1510" s="1903"/>
      <c r="C1510" s="1890"/>
      <c r="D1510" s="1904"/>
      <c r="E1510" s="1789"/>
      <c r="F1510" s="1780"/>
      <c r="G1510" s="686"/>
      <c r="H1510" s="710"/>
      <c r="I1510" s="686"/>
      <c r="J1510" s="1768"/>
      <c r="K1510" s="684">
        <f t="shared" ref="K1510:K1514" si="1362">+K1509</f>
        <v>1</v>
      </c>
      <c r="L1510" s="363">
        <v>1</v>
      </c>
      <c r="M1510" s="709">
        <f t="shared" ref="M1510:M1521" si="1363">IF(B1510="",1,B1510)</f>
        <v>1</v>
      </c>
      <c r="N1510" s="362" t="str">
        <f t="shared" si="1303"/>
        <v/>
      </c>
      <c r="O1510" s="1763" t="str">
        <f t="shared" si="1304"/>
        <v/>
      </c>
      <c r="P1510" s="1764" t="str">
        <f t="shared" si="1305"/>
        <v/>
      </c>
      <c r="Q1510" s="120" t="str">
        <f t="shared" si="1306"/>
        <v/>
      </c>
    </row>
    <row r="1511" spans="1:18" s="315" customFormat="1">
      <c r="A1511" s="687" t="s">
        <v>4021</v>
      </c>
      <c r="B1511" s="2096">
        <v>1</v>
      </c>
      <c r="C1511" s="1907" t="s">
        <v>5103</v>
      </c>
      <c r="D1511" s="1935"/>
      <c r="E1511" s="1786"/>
      <c r="F1511" s="1908">
        <f>SUM(F1513:F1517)*(B1511-1)</f>
        <v>0</v>
      </c>
      <c r="G1511" s="712"/>
      <c r="H1511" s="712"/>
      <c r="I1511" s="712"/>
      <c r="J1511" s="713"/>
      <c r="K1511" s="684">
        <f t="shared" si="1362"/>
        <v>1</v>
      </c>
      <c r="L1511" s="1909">
        <f>B1511</f>
        <v>1</v>
      </c>
      <c r="M1511" s="684">
        <f t="shared" si="1363"/>
        <v>1</v>
      </c>
      <c r="N1511" s="362" t="str">
        <f t="shared" ref="N1511:N1519" si="1364">IF(O1511&lt;&gt;"",K1511*L1511*M1511,"")</f>
        <v/>
      </c>
      <c r="O1511" s="1763" t="str">
        <f t="shared" ref="O1511:O1519" si="1365">IF(D1511&lt;&gt;"",IF(VLOOKUP(D1511,base_datos,7,FALSE)&lt;&gt;"",VLOOKUP(D1511,base_datos,7,FALSE),""),"")</f>
        <v/>
      </c>
      <c r="P1511" s="1764" t="str">
        <f t="shared" ref="P1511:P1519" si="1366">IF(O1511&lt;&gt;"",VLOOKUP(D1511,base_datos,6,FALSE),"")</f>
        <v/>
      </c>
      <c r="Q1511" s="120" t="str">
        <f t="shared" ref="Q1511:Q1519" si="1367">IF(O1511&lt;&gt;"",D1511,"")</f>
        <v/>
      </c>
    </row>
    <row r="1512" spans="1:18" s="185" customFormat="1">
      <c r="A1512" s="687" t="s">
        <v>4136</v>
      </c>
      <c r="B1512" s="1910">
        <v>3</v>
      </c>
      <c r="C1512" s="1911" t="str">
        <f>VLOOKUP(D1512,base_datos,6,FALSE)</f>
        <v>Portalámpara + lampara tipo LED - color Rojo - alimentacion: 220-230Vac, d=22mm. - CL2-523R - línea compacta - marca ABB.</v>
      </c>
      <c r="D1512" s="1790" t="s">
        <v>2439</v>
      </c>
      <c r="E1512" s="1939">
        <f>VLOOKUP(D1512,base_datos,5,FALSE)</f>
        <v>12.299999999999999</v>
      </c>
      <c r="F1512" s="1912">
        <f>+E1512*B1512</f>
        <v>36.9</v>
      </c>
      <c r="G1512" s="710"/>
      <c r="H1512" s="710"/>
      <c r="I1512" s="710"/>
      <c r="J1512" s="711"/>
      <c r="K1512" s="684">
        <f>+K1510</f>
        <v>1</v>
      </c>
      <c r="L1512" s="1913">
        <f>L1510</f>
        <v>1</v>
      </c>
      <c r="M1512" s="684">
        <f t="shared" si="1363"/>
        <v>3</v>
      </c>
      <c r="N1512" s="362">
        <f t="shared" si="1364"/>
        <v>3</v>
      </c>
      <c r="O1512" s="1763" t="str">
        <f t="shared" si="1365"/>
        <v>1SFA619403R5231</v>
      </c>
      <c r="P1512" s="1764" t="str">
        <f t="shared" si="1366"/>
        <v>Portalámpara + lampara tipo LED - color Rojo - alimentacion: 220-230Vac, d=22mm. - CL2-523R - línea compacta - marca ABB.</v>
      </c>
      <c r="Q1512" s="120" t="str">
        <f t="shared" si="1367"/>
        <v>LAMP_ROJO_220V</v>
      </c>
    </row>
    <row r="1513" spans="1:18" s="185" customFormat="1">
      <c r="A1513" s="687"/>
      <c r="B1513" s="1910">
        <v>3</v>
      </c>
      <c r="C1513" s="1911" t="str">
        <f>VLOOKUP(D1513,base_datos,6,FALSE)</f>
        <v>Portalámpara + lampara tipo LED - color Verde - alimentacion: 220-230Vac, d=22mm. - CL2-523G - línea compacta - marca ABB.</v>
      </c>
      <c r="D1513" s="1790" t="s">
        <v>2440</v>
      </c>
      <c r="E1513" s="1939">
        <f>VLOOKUP(D1513,base_datos,5,FALSE)</f>
        <v>12.299999999999999</v>
      </c>
      <c r="F1513" s="1912">
        <f>+E1513*B1513</f>
        <v>36.9</v>
      </c>
      <c r="G1513" s="710"/>
      <c r="H1513" s="710"/>
      <c r="I1513" s="710"/>
      <c r="J1513" s="711"/>
      <c r="K1513" s="684">
        <f>+K1511</f>
        <v>1</v>
      </c>
      <c r="L1513" s="1913">
        <f>L1511</f>
        <v>1</v>
      </c>
      <c r="M1513" s="684">
        <f t="shared" si="1363"/>
        <v>3</v>
      </c>
      <c r="N1513" s="362">
        <f t="shared" si="1364"/>
        <v>3</v>
      </c>
      <c r="O1513" s="1763" t="str">
        <f t="shared" si="1365"/>
        <v>1SFA619403R5232</v>
      </c>
      <c r="P1513" s="1764" t="str">
        <f t="shared" si="1366"/>
        <v>Portalámpara + lampara tipo LED - color Verde - alimentacion: 220-230Vac, d=22mm. - CL2-523G - línea compacta - marca ABB.</v>
      </c>
      <c r="Q1513" s="120" t="str">
        <f t="shared" si="1367"/>
        <v>LAMP_VERDE_220V</v>
      </c>
    </row>
    <row r="1514" spans="1:18" s="1921" customFormat="1">
      <c r="A1514" s="687" t="s">
        <v>12356</v>
      </c>
      <c r="B1514" s="1914">
        <v>1</v>
      </c>
      <c r="C1514" s="1915" t="s">
        <v>3366</v>
      </c>
      <c r="D1514" s="1916"/>
      <c r="E1514" s="1917"/>
      <c r="F1514" s="1918"/>
      <c r="G1514" s="1919"/>
      <c r="H1514" s="1919"/>
      <c r="I1514" s="1919"/>
      <c r="J1514" s="1920"/>
      <c r="K1514" s="684">
        <f t="shared" si="1362"/>
        <v>1</v>
      </c>
      <c r="L1514" s="1913">
        <f>L1513</f>
        <v>1</v>
      </c>
      <c r="M1514" s="684">
        <f t="shared" si="1363"/>
        <v>1</v>
      </c>
      <c r="N1514" s="362" t="str">
        <f t="shared" si="1364"/>
        <v/>
      </c>
      <c r="O1514" s="1763" t="str">
        <f t="shared" si="1365"/>
        <v/>
      </c>
      <c r="P1514" s="1764" t="str">
        <f t="shared" si="1366"/>
        <v/>
      </c>
      <c r="Q1514" s="120" t="str">
        <f t="shared" si="1367"/>
        <v/>
      </c>
    </row>
    <row r="1515" spans="1:18" s="320" customFormat="1">
      <c r="A1515" s="687" t="s">
        <v>12487</v>
      </c>
      <c r="B1515" s="1922">
        <v>1</v>
      </c>
      <c r="C1515" s="721" t="str">
        <f>VLOOKUP(D1515,base_datos,6,FALSE)</f>
        <v>Rele auxiliar enchufable +4NA/NC (D2PR4B + base D2PA6), 220Vac - marca EATON.</v>
      </c>
      <c r="D1515" s="1579" t="s">
        <v>772</v>
      </c>
      <c r="E1515" s="1581">
        <f>VLOOKUP(D1515,base_datos,5,FALSE)</f>
        <v>27</v>
      </c>
      <c r="F1515" s="1923">
        <f>+E1515*B1515</f>
        <v>27</v>
      </c>
      <c r="G1515" s="1924"/>
      <c r="H1515" s="1924"/>
      <c r="I1515" s="1924"/>
      <c r="J1515" s="722"/>
      <c r="K1515" s="684">
        <f>+K1512</f>
        <v>1</v>
      </c>
      <c r="L1515" s="1913">
        <f>L1512</f>
        <v>1</v>
      </c>
      <c r="M1515" s="684">
        <f t="shared" si="1363"/>
        <v>1</v>
      </c>
      <c r="N1515" s="362">
        <f t="shared" si="1364"/>
        <v>1</v>
      </c>
      <c r="O1515" s="1763" t="str">
        <f t="shared" si="1365"/>
        <v>D2PR4B+D2PA6</v>
      </c>
      <c r="P1515" s="1764" t="str">
        <f t="shared" si="1366"/>
        <v>Rele auxiliar enchufable +4NA/NC (D2PR4B + base D2PA6), 220Vac - marca EATON.</v>
      </c>
      <c r="Q1515" s="120" t="str">
        <f t="shared" si="1367"/>
        <v>D2PR4B+D2PA6</v>
      </c>
    </row>
    <row r="1516" spans="1:18" s="320" customFormat="1">
      <c r="A1516" s="1771"/>
      <c r="B1516" s="2131">
        <v>1</v>
      </c>
      <c r="C1516" s="2132" t="s">
        <v>12558</v>
      </c>
      <c r="D1516" s="2133"/>
      <c r="E1516" s="2134">
        <v>32</v>
      </c>
      <c r="F1516" s="2134">
        <f>+E1516*B1516</f>
        <v>32</v>
      </c>
      <c r="G1516" s="1924"/>
      <c r="H1516" s="1924"/>
      <c r="I1516" s="1924"/>
      <c r="J1516" s="722"/>
      <c r="K1516" s="684">
        <f>+K1513</f>
        <v>1</v>
      </c>
      <c r="L1516" s="1913">
        <f>L1513</f>
        <v>1</v>
      </c>
      <c r="M1516" s="684">
        <f t="shared" si="1363"/>
        <v>1</v>
      </c>
      <c r="N1516" s="362" t="str">
        <f t="shared" si="1364"/>
        <v/>
      </c>
      <c r="O1516" s="1763" t="str">
        <f t="shared" si="1365"/>
        <v/>
      </c>
      <c r="P1516" s="1764" t="str">
        <f t="shared" si="1366"/>
        <v/>
      </c>
      <c r="Q1516" s="120" t="str">
        <f t="shared" si="1367"/>
        <v/>
      </c>
    </row>
    <row r="1517" spans="1:18" s="320" customFormat="1">
      <c r="A1517" s="687" t="s">
        <v>12551</v>
      </c>
      <c r="B1517" s="1922">
        <v>4</v>
      </c>
      <c r="C1517" s="721" t="str">
        <f>VLOOKUP(D1517,base_datos,6,FALSE)</f>
        <v>Base portafusibles + Fusibles de protección para control.</v>
      </c>
      <c r="D1517" s="1579" t="s">
        <v>453</v>
      </c>
      <c r="E1517" s="1581">
        <f>VLOOKUP(D1517,base_datos,5,FALSE)</f>
        <v>8.1750000000000007</v>
      </c>
      <c r="F1517" s="1923">
        <f>+E1517*B1517</f>
        <v>32.700000000000003</v>
      </c>
      <c r="G1517" s="1924"/>
      <c r="H1517" s="1924"/>
      <c r="I1517" s="1924"/>
      <c r="J1517" s="722"/>
      <c r="K1517" s="684">
        <f t="shared" ref="K1517:K1567" si="1368">+K1514</f>
        <v>1</v>
      </c>
      <c r="L1517" s="1913">
        <f>L1514</f>
        <v>1</v>
      </c>
      <c r="M1517" s="684">
        <f t="shared" si="1363"/>
        <v>4</v>
      </c>
      <c r="N1517" s="362" t="str">
        <f t="shared" si="1364"/>
        <v/>
      </c>
      <c r="O1517" s="1763" t="str">
        <f t="shared" si="1365"/>
        <v/>
      </c>
      <c r="P1517" s="1764" t="str">
        <f t="shared" si="1366"/>
        <v/>
      </c>
      <c r="Q1517" s="120" t="str">
        <f t="shared" si="1367"/>
        <v/>
      </c>
    </row>
    <row r="1518" spans="1:18" s="315" customFormat="1">
      <c r="A1518" s="687" t="s">
        <v>3542</v>
      </c>
      <c r="B1518" s="1906"/>
      <c r="C1518" s="1907"/>
      <c r="D1518" s="1935"/>
      <c r="E1518" s="1786"/>
      <c r="F1518" s="2029"/>
      <c r="G1518" s="712"/>
      <c r="H1518" s="712"/>
      <c r="I1518" s="712"/>
      <c r="J1518" s="713"/>
      <c r="K1518" s="684">
        <f t="shared" si="1368"/>
        <v>1</v>
      </c>
      <c r="L1518" s="1909">
        <f>B1518</f>
        <v>0</v>
      </c>
      <c r="M1518" s="684">
        <f t="shared" si="1363"/>
        <v>1</v>
      </c>
      <c r="N1518" s="362" t="str">
        <f t="shared" si="1364"/>
        <v/>
      </c>
      <c r="O1518" s="1763" t="str">
        <f t="shared" si="1365"/>
        <v/>
      </c>
      <c r="P1518" s="1764" t="str">
        <f t="shared" si="1366"/>
        <v/>
      </c>
      <c r="Q1518" s="120" t="str">
        <f t="shared" si="1367"/>
        <v/>
      </c>
    </row>
    <row r="1519" spans="1:18" s="185" customFormat="1" ht="13.5" customHeight="1">
      <c r="A1519" s="1771"/>
      <c r="B1519" s="1922"/>
      <c r="C1519" s="1956" t="s">
        <v>12368</v>
      </c>
      <c r="D1519" s="1579"/>
      <c r="E1519" s="1957"/>
      <c r="F1519" s="1958"/>
      <c r="G1519" s="710"/>
      <c r="H1519" s="710"/>
      <c r="I1519" s="710"/>
      <c r="J1519" s="711"/>
      <c r="K1519" s="684">
        <f t="shared" si="1368"/>
        <v>1</v>
      </c>
      <c r="L1519" s="708">
        <v>1</v>
      </c>
      <c r="M1519" s="684">
        <f t="shared" si="1363"/>
        <v>1</v>
      </c>
      <c r="N1519" s="362" t="str">
        <f t="shared" si="1364"/>
        <v/>
      </c>
      <c r="O1519" s="1763" t="str">
        <f t="shared" si="1365"/>
        <v/>
      </c>
      <c r="P1519" s="1764" t="str">
        <f t="shared" si="1366"/>
        <v/>
      </c>
      <c r="Q1519" s="120" t="str">
        <f t="shared" si="1367"/>
        <v/>
      </c>
    </row>
    <row r="1520" spans="1:18" s="120" customFormat="1" ht="18" customHeight="1">
      <c r="A1520" s="1785"/>
      <c r="B1520" s="1781"/>
      <c r="C1520" s="1218" t="s">
        <v>3158</v>
      </c>
      <c r="D1520" s="1900"/>
      <c r="E1520" s="1791"/>
      <c r="F1520" s="1782"/>
      <c r="G1520" s="686"/>
      <c r="H1520" s="686"/>
      <c r="I1520" s="686"/>
      <c r="J1520" s="688"/>
      <c r="K1520" s="684">
        <f t="shared" si="1368"/>
        <v>1</v>
      </c>
      <c r="L1520" s="708">
        <v>1</v>
      </c>
      <c r="M1520" s="709">
        <f t="shared" si="1363"/>
        <v>1</v>
      </c>
      <c r="N1520" s="362" t="str">
        <f t="shared" si="1303"/>
        <v/>
      </c>
      <c r="O1520" s="1763" t="str">
        <f t="shared" si="1304"/>
        <v/>
      </c>
      <c r="P1520" s="1764" t="str">
        <f t="shared" si="1305"/>
        <v/>
      </c>
      <c r="Q1520" s="120" t="str">
        <f t="shared" si="1306"/>
        <v/>
      </c>
      <c r="R1520" s="185"/>
    </row>
    <row r="1521" spans="1:18" s="690" customFormat="1" ht="18" customHeight="1">
      <c r="A1521" s="691"/>
      <c r="B1521" s="1781">
        <v>1</v>
      </c>
      <c r="C1521" s="1420" t="str">
        <f>VLOOKUP(D1521,base_datos,6,FALSE)</f>
        <v>ITM Caja Moldeada 3x20A (reg.[0.7-1.0] In) - XT1B160-20A-3P-TMD - 25kA@230Vac, 18kA@415Vac, 18kA@250Vdc - marca ABB.</v>
      </c>
      <c r="D1521" s="1901" t="s">
        <v>4360</v>
      </c>
      <c r="E1521" s="1791">
        <f>VLOOKUP(D1521,base_datos,5,FALSE)</f>
        <v>120.37</v>
      </c>
      <c r="F1521" s="1782">
        <f>+E1521*B1521</f>
        <v>120.37</v>
      </c>
      <c r="G1521" s="1761"/>
      <c r="H1521" s="1761"/>
      <c r="I1521" s="1761"/>
      <c r="J1521" s="689"/>
      <c r="K1521" s="684">
        <f t="shared" si="1368"/>
        <v>1</v>
      </c>
      <c r="L1521" s="708">
        <v>1</v>
      </c>
      <c r="M1521" s="709">
        <f t="shared" si="1363"/>
        <v>1</v>
      </c>
      <c r="N1521" s="362">
        <f t="shared" si="1303"/>
        <v>1</v>
      </c>
      <c r="O1521" s="1763" t="str">
        <f t="shared" si="1304"/>
        <v>1SDA066800R1</v>
      </c>
      <c r="P1521" s="1764" t="str">
        <f t="shared" si="1305"/>
        <v>ITM Caja Moldeada 3x20A (reg.[0.7-1.0] In) - XT1B160-20A-3P-TMD - 25kA@230Vac, 18kA@415Vac, 18kA@250Vdc - marca ABB.</v>
      </c>
      <c r="Q1521" s="120" t="str">
        <f t="shared" si="1306"/>
        <v>XT1B160-20A-3P-TMD</v>
      </c>
      <c r="R1521" s="185"/>
    </row>
    <row r="1522" spans="1:18" s="185" customFormat="1">
      <c r="A1522" s="691"/>
      <c r="B1522" s="714"/>
      <c r="C1522" s="313" t="s">
        <v>729</v>
      </c>
      <c r="D1522" s="173"/>
      <c r="E1522" s="1786"/>
      <c r="F1522" s="1787"/>
      <c r="G1522" s="710"/>
      <c r="H1522" s="710"/>
      <c r="I1522" s="710"/>
      <c r="J1522" s="711"/>
      <c r="K1522" s="684">
        <f t="shared" si="1368"/>
        <v>1</v>
      </c>
      <c r="L1522" s="708">
        <v>1</v>
      </c>
      <c r="M1522" s="709">
        <f>IF(B1522="",1,B1522)</f>
        <v>1</v>
      </c>
      <c r="N1522" s="362" t="str">
        <f t="shared" si="1303"/>
        <v/>
      </c>
      <c r="O1522" s="1763" t="str">
        <f t="shared" si="1304"/>
        <v/>
      </c>
      <c r="P1522" s="1764" t="str">
        <f t="shared" si="1305"/>
        <v/>
      </c>
      <c r="Q1522" s="120" t="str">
        <f t="shared" si="1306"/>
        <v/>
      </c>
    </row>
    <row r="1523" spans="1:18" s="690" customFormat="1" ht="18" customHeight="1">
      <c r="A1523" s="692"/>
      <c r="B1523" s="1851"/>
      <c r="C1523" s="1894" t="s">
        <v>3377</v>
      </c>
      <c r="D1523" s="1582"/>
      <c r="E1523" s="1780"/>
      <c r="F1523" s="1782"/>
      <c r="G1523" s="1761"/>
      <c r="H1523" s="1761"/>
      <c r="I1523" s="1761"/>
      <c r="J1523" s="689"/>
      <c r="K1523" s="684">
        <f t="shared" si="1368"/>
        <v>1</v>
      </c>
      <c r="L1523" s="708">
        <v>1</v>
      </c>
      <c r="M1523" s="709">
        <f t="shared" ref="M1523" si="1369">IF(B1523="",1,B1523)</f>
        <v>1</v>
      </c>
      <c r="N1523" s="362" t="str">
        <f t="shared" ref="N1523:N1611" si="1370">IF(O1523&lt;&gt;"",K1523*L1523*M1523,"")</f>
        <v/>
      </c>
      <c r="O1523" s="1763" t="str">
        <f t="shared" ref="O1523:O1611" si="1371">IF(D1523&lt;&gt;"",IF(VLOOKUP(D1523,base_datos,7,FALSE)&lt;&gt;"",VLOOKUP(D1523,base_datos,7,FALSE),""),"")</f>
        <v/>
      </c>
      <c r="P1523" s="1764" t="str">
        <f t="shared" ref="P1523:P1611" si="1372">IF(O1523&lt;&gt;"",VLOOKUP(D1523,base_datos,6,FALSE),"")</f>
        <v/>
      </c>
      <c r="Q1523" s="120" t="str">
        <f t="shared" ref="Q1523:Q1611" si="1373">IF(O1523&lt;&gt;"",D1523,"")</f>
        <v/>
      </c>
      <c r="R1523" s="185"/>
    </row>
    <row r="1524" spans="1:18" s="690" customFormat="1" ht="18" customHeight="1">
      <c r="A1524" s="691"/>
      <c r="B1524" s="1781">
        <v>7</v>
      </c>
      <c r="C1524" s="1420" t="str">
        <f t="shared" ref="C1524:C1526" si="1374">VLOOKUP(D1524,base_datos,6,FALSE)</f>
        <v>ITM Riel-Din 2x16A - S202-C-16A - 10kA@400Vac-IEC60947-2 - marca ABB.</v>
      </c>
      <c r="D1524" s="1901" t="s">
        <v>970</v>
      </c>
      <c r="E1524" s="1791">
        <f>VLOOKUP(D1524,base_datos,5,FALSE)</f>
        <v>17.96</v>
      </c>
      <c r="F1524" s="1782">
        <f t="shared" ref="F1524:F1526" si="1375">+E1524*B1524</f>
        <v>125.72</v>
      </c>
      <c r="G1524" s="1951"/>
      <c r="H1524" s="1761"/>
      <c r="I1524" s="1761"/>
      <c r="J1524" s="1783"/>
      <c r="K1524" s="684">
        <f t="shared" si="1368"/>
        <v>1</v>
      </c>
      <c r="L1524" s="708">
        <v>1</v>
      </c>
      <c r="M1524" s="709">
        <f t="shared" ref="M1524:M1526" si="1376">IF(B1524="",1,B1524)</f>
        <v>7</v>
      </c>
      <c r="N1524" s="362">
        <f t="shared" si="1370"/>
        <v>7</v>
      </c>
      <c r="O1524" s="1763" t="str">
        <f t="shared" si="1371"/>
        <v>2CDS252001R0164</v>
      </c>
      <c r="P1524" s="1764" t="str">
        <f t="shared" si="1372"/>
        <v>ITM Riel-Din 2x16A - S202-C-16A - 10kA@400Vac-IEC60947-2 - marca ABB.</v>
      </c>
      <c r="Q1524" s="120" t="str">
        <f t="shared" si="1373"/>
        <v>S202-C-16A</v>
      </c>
      <c r="R1524" s="185"/>
    </row>
    <row r="1525" spans="1:18" s="690" customFormat="1" ht="18" customHeight="1">
      <c r="A1525" s="691"/>
      <c r="B1525" s="2023">
        <v>7</v>
      </c>
      <c r="C1525" s="2024" t="str">
        <f t="shared" si="1374"/>
        <v>Interruptor Diferencial 2x25A - 30mA - clase A (inmunizado) - FH202-A-25A-30mA - marca ABB.</v>
      </c>
      <c r="D1525" s="1901" t="s">
        <v>5318</v>
      </c>
      <c r="E1525" s="2025">
        <f>VLOOKUP(D1525,base_datos,5,FALSE)</f>
        <v>50</v>
      </c>
      <c r="F1525" s="2026">
        <f t="shared" si="1375"/>
        <v>350</v>
      </c>
      <c r="G1525" s="1951"/>
      <c r="H1525" s="1761"/>
      <c r="I1525" s="1761"/>
      <c r="J1525" s="1783"/>
      <c r="K1525" s="684">
        <f t="shared" si="1368"/>
        <v>1</v>
      </c>
      <c r="L1525" s="708">
        <v>1</v>
      </c>
      <c r="M1525" s="709">
        <f t="shared" si="1376"/>
        <v>7</v>
      </c>
      <c r="N1525" s="362">
        <f t="shared" si="1370"/>
        <v>7</v>
      </c>
      <c r="O1525" s="1763" t="str">
        <f t="shared" si="1371"/>
        <v>2CSF202102R1250</v>
      </c>
      <c r="P1525" s="1764" t="str">
        <f t="shared" si="1372"/>
        <v>Interruptor Diferencial 2x25A - 30mA - clase A (inmunizado) - FH202-A-25A-30mA - marca ABB.</v>
      </c>
      <c r="Q1525" s="120" t="str">
        <f t="shared" si="1373"/>
        <v>FH202-A-25A-30mA</v>
      </c>
      <c r="R1525" s="185"/>
    </row>
    <row r="1526" spans="1:18" s="690" customFormat="1" ht="18" customHeight="1">
      <c r="A1526" s="693"/>
      <c r="B1526" s="1781">
        <v>1</v>
      </c>
      <c r="C1526" s="1420" t="str">
        <f t="shared" si="1374"/>
        <v>Espacio de reserva monofasica + interruptor diferencial - Riel-Din.</v>
      </c>
      <c r="D1526" s="1901" t="s">
        <v>2926</v>
      </c>
      <c r="E1526" s="1791">
        <f>VLOOKUP(D1526,base_datos,5,FALSE)</f>
        <v>2.5</v>
      </c>
      <c r="F1526" s="1782">
        <f t="shared" si="1375"/>
        <v>2.5</v>
      </c>
      <c r="G1526" s="1761"/>
      <c r="H1526" s="1761"/>
      <c r="I1526" s="1761"/>
      <c r="J1526" s="1783"/>
      <c r="K1526" s="684">
        <f t="shared" si="1368"/>
        <v>1</v>
      </c>
      <c r="L1526" s="708">
        <v>1</v>
      </c>
      <c r="M1526" s="709">
        <f t="shared" si="1376"/>
        <v>1</v>
      </c>
      <c r="N1526" s="362" t="str">
        <f t="shared" si="1370"/>
        <v/>
      </c>
      <c r="O1526" s="1763" t="str">
        <f t="shared" si="1371"/>
        <v/>
      </c>
      <c r="P1526" s="1764" t="str">
        <f t="shared" si="1372"/>
        <v/>
      </c>
      <c r="Q1526" s="120" t="str">
        <f t="shared" si="1373"/>
        <v/>
      </c>
      <c r="R1526" s="185"/>
    </row>
    <row r="1527" spans="1:18" s="185" customFormat="1">
      <c r="A1527" s="693"/>
      <c r="B1527" s="714"/>
      <c r="C1527" s="1893" t="s">
        <v>729</v>
      </c>
      <c r="D1527" s="2021"/>
      <c r="E1527" s="1786"/>
      <c r="F1527" s="1787"/>
      <c r="G1527" s="710"/>
      <c r="H1527" s="710"/>
      <c r="I1527" s="710"/>
      <c r="J1527" s="711"/>
      <c r="K1527" s="684">
        <f t="shared" si="1368"/>
        <v>1</v>
      </c>
      <c r="L1527" s="363">
        <v>1</v>
      </c>
      <c r="M1527" s="709">
        <f>IF(B1527="",1,B1527)</f>
        <v>1</v>
      </c>
      <c r="N1527" s="362" t="str">
        <f t="shared" si="1370"/>
        <v/>
      </c>
      <c r="O1527" s="1763" t="str">
        <f t="shared" si="1371"/>
        <v/>
      </c>
      <c r="P1527" s="1764" t="str">
        <f t="shared" si="1372"/>
        <v/>
      </c>
      <c r="Q1527" s="120" t="str">
        <f t="shared" si="1373"/>
        <v/>
      </c>
    </row>
    <row r="1528" spans="1:18" s="315" customFormat="1">
      <c r="A1528" s="1785"/>
      <c r="B1528" s="355">
        <v>1</v>
      </c>
      <c r="C1528" s="1944" t="s">
        <v>13040</v>
      </c>
      <c r="D1528" s="1941"/>
      <c r="E1528" s="1786"/>
      <c r="F1528" s="1908">
        <f>SUM(F1529:F1534)*(B1528-1)</f>
        <v>0</v>
      </c>
      <c r="G1528" s="712"/>
      <c r="H1528" s="712"/>
      <c r="I1528" s="712"/>
      <c r="J1528" s="713"/>
      <c r="K1528" s="684">
        <f t="shared" si="1368"/>
        <v>1</v>
      </c>
      <c r="L1528" s="1909">
        <f>B1528</f>
        <v>1</v>
      </c>
      <c r="M1528" s="684">
        <f t="shared" ref="M1528:M1553" si="1377">IF(B1528="",1,B1528)</f>
        <v>1</v>
      </c>
      <c r="N1528" s="362" t="str">
        <f t="shared" si="1370"/>
        <v/>
      </c>
      <c r="O1528" s="1763" t="str">
        <f t="shared" si="1371"/>
        <v/>
      </c>
      <c r="P1528" s="1764" t="str">
        <f t="shared" si="1372"/>
        <v/>
      </c>
      <c r="Q1528" s="120" t="str">
        <f t="shared" si="1373"/>
        <v/>
      </c>
    </row>
    <row r="1529" spans="1:18" s="690" customFormat="1" ht="18" customHeight="1">
      <c r="A1529" s="691"/>
      <c r="B1529" s="1781">
        <v>1</v>
      </c>
      <c r="C1529" s="1420" t="str">
        <f>VLOOKUP(D1529,base_datos,6,FALSE)</f>
        <v>Contactor 3x09A(AC-3) / 3x25A(AC-1) +1NA - AF09-30-10-13 - bobina 100-250Vac/dc - marca ABB.</v>
      </c>
      <c r="D1529" s="1901" t="s">
        <v>1447</v>
      </c>
      <c r="E1529" s="1791">
        <f>VLOOKUP(D1529,base_datos,5,FALSE)</f>
        <v>29.89</v>
      </c>
      <c r="F1529" s="1912">
        <f>+E1529*B1529</f>
        <v>29.89</v>
      </c>
      <c r="G1529" s="1761"/>
      <c r="H1529" s="1761"/>
      <c r="I1529" s="1761"/>
      <c r="J1529" s="1783"/>
      <c r="K1529" s="684">
        <f t="shared" si="1368"/>
        <v>1</v>
      </c>
      <c r="L1529" s="1913">
        <f>L1528</f>
        <v>1</v>
      </c>
      <c r="M1529" s="684">
        <f t="shared" si="1377"/>
        <v>1</v>
      </c>
      <c r="N1529" s="362">
        <f t="shared" si="1370"/>
        <v>1</v>
      </c>
      <c r="O1529" s="1763" t="str">
        <f t="shared" si="1371"/>
        <v>1SBL137001R1310</v>
      </c>
      <c r="P1529" s="1764" t="str">
        <f t="shared" si="1372"/>
        <v>Contactor 3x09A(AC-3) / 3x25A(AC-1) +1NA - AF09-30-10-13 - bobina 100-250Vac/dc - marca ABB.</v>
      </c>
      <c r="Q1529" s="120" t="str">
        <f t="shared" si="1373"/>
        <v>AF09-30-10-13_3p</v>
      </c>
      <c r="R1529" s="185"/>
    </row>
    <row r="1530" spans="1:18" s="690" customFormat="1" ht="18" customHeight="1">
      <c r="A1530" s="691"/>
      <c r="B1530" s="1922">
        <v>1</v>
      </c>
      <c r="C1530" s="1848" t="str">
        <f>VLOOKUP(D1530,base_datos,6,FALSE)</f>
        <v>Contacto auxiliar frontal 1NA para contactor AF09..AF16-30-10, frontal - Modelo CA4-10 - marca ABB.</v>
      </c>
      <c r="D1530" s="1901" t="s">
        <v>2718</v>
      </c>
      <c r="E1530" s="1791">
        <f>VLOOKUP(D1530,base_datos,5,FALSE)</f>
        <v>5.92</v>
      </c>
      <c r="F1530" s="1912">
        <f>+E1530*B1530</f>
        <v>5.92</v>
      </c>
      <c r="G1530" s="1761"/>
      <c r="H1530" s="1761"/>
      <c r="I1530" s="1761"/>
      <c r="J1530" s="1783"/>
      <c r="K1530" s="684">
        <f t="shared" si="1368"/>
        <v>1</v>
      </c>
      <c r="L1530" s="1913">
        <f>L1529</f>
        <v>1</v>
      </c>
      <c r="M1530" s="684">
        <f t="shared" si="1377"/>
        <v>1</v>
      </c>
      <c r="N1530" s="362">
        <f t="shared" si="1370"/>
        <v>1</v>
      </c>
      <c r="O1530" s="1763" t="str">
        <f t="shared" si="1371"/>
        <v>1SBN010110R1010</v>
      </c>
      <c r="P1530" s="1764" t="str">
        <f t="shared" si="1372"/>
        <v>Contacto auxiliar frontal 1NA para contactor AF09..AF16-30-10, frontal - Modelo CA4-10 - marca ABB.</v>
      </c>
      <c r="Q1530" s="120" t="str">
        <f t="shared" si="1373"/>
        <v>CA4-10</v>
      </c>
      <c r="R1530" s="185"/>
    </row>
    <row r="1531" spans="1:18" s="1921" customFormat="1">
      <c r="A1531" s="687"/>
      <c r="B1531" s="1914">
        <v>1</v>
      </c>
      <c r="C1531" s="1915" t="s">
        <v>3366</v>
      </c>
      <c r="D1531" s="1916"/>
      <c r="E1531" s="1917"/>
      <c r="F1531" s="1918"/>
      <c r="G1531" s="1919"/>
      <c r="H1531" s="1919"/>
      <c r="I1531" s="1919"/>
      <c r="J1531" s="1920"/>
      <c r="K1531" s="684">
        <f t="shared" si="1368"/>
        <v>1</v>
      </c>
      <c r="L1531" s="1913">
        <f>L1530</f>
        <v>1</v>
      </c>
      <c r="M1531" s="684">
        <f t="shared" si="1377"/>
        <v>1</v>
      </c>
      <c r="N1531" s="362" t="str">
        <f t="shared" si="1370"/>
        <v/>
      </c>
      <c r="O1531" s="1763" t="str">
        <f t="shared" si="1371"/>
        <v/>
      </c>
      <c r="P1531" s="1764" t="str">
        <f t="shared" si="1372"/>
        <v/>
      </c>
      <c r="Q1531" s="120" t="str">
        <f t="shared" si="1373"/>
        <v/>
      </c>
    </row>
    <row r="1532" spans="1:18" s="695" customFormat="1" ht="18" customHeight="1">
      <c r="A1532" s="693"/>
      <c r="B1532" s="1922">
        <v>1</v>
      </c>
      <c r="C1532" s="1848" t="str">
        <f t="shared" ref="C1532:C1534" si="1378">VLOOKUP(D1532,base_datos,6,FALSE)</f>
        <v>Base portafusibles + Fusibles de protección para control.</v>
      </c>
      <c r="D1532" s="1886" t="s">
        <v>453</v>
      </c>
      <c r="E1532" s="1795">
        <f t="shared" ref="E1532:E1534" si="1379">VLOOKUP(D1532,base_datos,5,FALSE)</f>
        <v>8.1750000000000007</v>
      </c>
      <c r="F1532" s="1923">
        <f t="shared" ref="F1532:F1534" si="1380">+E1532*B1532</f>
        <v>8.1750000000000007</v>
      </c>
      <c r="G1532" s="696"/>
      <c r="H1532" s="696"/>
      <c r="I1532" s="696"/>
      <c r="J1532" s="697"/>
      <c r="K1532" s="684">
        <f t="shared" si="1368"/>
        <v>1</v>
      </c>
      <c r="L1532" s="1913" t="e">
        <f>#REF!</f>
        <v>#REF!</v>
      </c>
      <c r="M1532" s="684">
        <f t="shared" si="1377"/>
        <v>1</v>
      </c>
      <c r="N1532" s="362" t="str">
        <f t="shared" si="1370"/>
        <v/>
      </c>
      <c r="O1532" s="1763" t="str">
        <f t="shared" si="1371"/>
        <v/>
      </c>
      <c r="P1532" s="1764" t="str">
        <f t="shared" si="1372"/>
        <v/>
      </c>
      <c r="Q1532" s="120" t="str">
        <f t="shared" si="1373"/>
        <v/>
      </c>
      <c r="R1532" s="185"/>
    </row>
    <row r="1533" spans="1:18" s="695" customFormat="1" ht="18" customHeight="1">
      <c r="A1533" s="693"/>
      <c r="B1533" s="1922">
        <v>1</v>
      </c>
      <c r="C1533" s="1848" t="str">
        <f t="shared" si="1378"/>
        <v>Borne para neutro.</v>
      </c>
      <c r="D1533" s="1886" t="s">
        <v>13049</v>
      </c>
      <c r="E1533" s="1795">
        <f t="shared" si="1379"/>
        <v>4</v>
      </c>
      <c r="F1533" s="1923">
        <f t="shared" si="1380"/>
        <v>4</v>
      </c>
      <c r="G1533" s="696"/>
      <c r="H1533" s="696"/>
      <c r="I1533" s="696"/>
      <c r="J1533" s="697"/>
      <c r="K1533" s="684">
        <f t="shared" si="1368"/>
        <v>1</v>
      </c>
      <c r="L1533" s="1913" t="e">
        <f>#REF!</f>
        <v>#REF!</v>
      </c>
      <c r="M1533" s="684">
        <f t="shared" si="1377"/>
        <v>1</v>
      </c>
      <c r="N1533" s="362" t="str">
        <f t="shared" si="1370"/>
        <v/>
      </c>
      <c r="O1533" s="1763" t="str">
        <f t="shared" si="1371"/>
        <v/>
      </c>
      <c r="P1533" s="1764" t="str">
        <f t="shared" si="1372"/>
        <v/>
      </c>
      <c r="Q1533" s="120" t="str">
        <f t="shared" si="1373"/>
        <v/>
      </c>
      <c r="R1533" s="185"/>
    </row>
    <row r="1534" spans="1:18" s="695" customFormat="1" ht="18" customHeight="1">
      <c r="A1534" s="693"/>
      <c r="B1534" s="1922">
        <v>2</v>
      </c>
      <c r="C1534" s="1848" t="str">
        <f t="shared" si="1378"/>
        <v>Borne 4mm2.</v>
      </c>
      <c r="D1534" s="1886" t="s">
        <v>437</v>
      </c>
      <c r="E1534" s="1795">
        <f t="shared" si="1379"/>
        <v>2.5</v>
      </c>
      <c r="F1534" s="1923">
        <f t="shared" si="1380"/>
        <v>5</v>
      </c>
      <c r="G1534" s="696"/>
      <c r="H1534" s="696"/>
      <c r="I1534" s="696"/>
      <c r="J1534" s="697"/>
      <c r="K1534" s="684">
        <f t="shared" si="1368"/>
        <v>1</v>
      </c>
      <c r="L1534" s="1913" t="e">
        <f>L1532</f>
        <v>#REF!</v>
      </c>
      <c r="M1534" s="684">
        <f t="shared" si="1377"/>
        <v>2</v>
      </c>
      <c r="N1534" s="362" t="str">
        <f t="shared" si="1370"/>
        <v/>
      </c>
      <c r="O1534" s="1763" t="str">
        <f t="shared" si="1371"/>
        <v/>
      </c>
      <c r="P1534" s="1764" t="str">
        <f t="shared" si="1372"/>
        <v/>
      </c>
      <c r="Q1534" s="120" t="str">
        <f t="shared" si="1373"/>
        <v/>
      </c>
      <c r="R1534" s="185"/>
    </row>
    <row r="1535" spans="1:18" s="185" customFormat="1" ht="18" customHeight="1">
      <c r="A1535" s="1785"/>
      <c r="B1535" s="714"/>
      <c r="C1535" s="1893" t="s">
        <v>729</v>
      </c>
      <c r="D1535" s="173"/>
      <c r="E1535" s="1786"/>
      <c r="F1535" s="1787"/>
      <c r="G1535" s="710"/>
      <c r="H1535" s="710"/>
      <c r="I1535" s="710"/>
      <c r="J1535" s="711"/>
      <c r="K1535" s="684">
        <f>+K1520</f>
        <v>1</v>
      </c>
      <c r="L1535" s="708">
        <v>1</v>
      </c>
      <c r="M1535" s="684">
        <f t="shared" ref="M1535" si="1381">IF(B1535="",1,B1535)</f>
        <v>1</v>
      </c>
      <c r="N1535" s="362" t="str">
        <f t="shared" ref="N1535" si="1382">IF(O1535&lt;&gt;"",K1535*L1535*M1535,"")</f>
        <v/>
      </c>
      <c r="O1535" s="1763" t="str">
        <f t="shared" ref="O1535" si="1383">IF(D1535&lt;&gt;"",IF(VLOOKUP(D1535,base_datos,7,FALSE)&lt;&gt;"",VLOOKUP(D1535,base_datos,7,FALSE),""),"")</f>
        <v/>
      </c>
      <c r="P1535" s="1764" t="str">
        <f t="shared" ref="P1535" si="1384">IF(O1535&lt;&gt;"",VLOOKUP(D1535,base_datos,6,FALSE),"")</f>
        <v/>
      </c>
      <c r="Q1535" s="120" t="str">
        <f t="shared" ref="Q1535" si="1385">IF(O1535&lt;&gt;"",D1535,"")</f>
        <v/>
      </c>
    </row>
    <row r="1536" spans="1:18" s="2434" customFormat="1" ht="18" customHeight="1">
      <c r="A1536" s="2418"/>
      <c r="B1536" s="2419">
        <v>1</v>
      </c>
      <c r="C1536" s="2420" t="s">
        <v>13045</v>
      </c>
      <c r="D1536" s="2421"/>
      <c r="E1536" s="2422"/>
      <c r="F1536" s="2423">
        <f>SUM(F1537:F1541)*(B1536-1)</f>
        <v>0</v>
      </c>
      <c r="G1536" s="2424"/>
      <c r="H1536" s="2424"/>
      <c r="I1536" s="2424"/>
      <c r="J1536" s="2425"/>
      <c r="K1536" s="2426">
        <f>K1533</f>
        <v>1</v>
      </c>
      <c r="L1536" s="2427">
        <f>B1536</f>
        <v>1</v>
      </c>
      <c r="M1536" s="2428">
        <f t="shared" si="1377"/>
        <v>1</v>
      </c>
      <c r="N1536" s="2429" t="str">
        <f>IF(O1536&lt;&gt;"",K1536*L1536*M1536,"")</f>
        <v/>
      </c>
      <c r="O1536" s="2430" t="str">
        <f>IF(D1536&lt;&gt;"",IF(VLOOKUP(D1536,base_datos,7,FALSE)&lt;&gt;"",VLOOKUP(D1536,base_datos,7,FALSE),""),"")</f>
        <v/>
      </c>
      <c r="P1536" s="2431" t="str">
        <f>IF(O1536&lt;&gt;"",VLOOKUP(D1536,base_datos,6,FALSE),"")</f>
        <v/>
      </c>
      <c r="Q1536" s="2432" t="str">
        <f>IF(O1536&lt;&gt;"",D1536,"")</f>
        <v/>
      </c>
      <c r="R1536" s="2433"/>
    </row>
    <row r="1537" spans="1:20" s="2434" customFormat="1" ht="18" customHeight="1">
      <c r="A1537" s="2418"/>
      <c r="B1537" s="2435">
        <v>1</v>
      </c>
      <c r="C1537" s="2436" t="str">
        <f>VLOOKUP(D1537,base_datos,6,FALSE)</f>
        <v>Selector 3 posiciones mantenidos - 1-0-2 / M-0-A - maneta corta, contactos 2NA - C3SS1-10B-20 - compacto - marca ABB.</v>
      </c>
      <c r="D1537" s="2437" t="s">
        <v>1223</v>
      </c>
      <c r="E1537" s="2422">
        <f>VLOOKUP(D1537,base_datos,5,FALSE)</f>
        <v>16.680000000000003</v>
      </c>
      <c r="F1537" s="2438">
        <f t="shared" ref="F1537" si="1386">+E1537*B1537</f>
        <v>16.680000000000003</v>
      </c>
      <c r="G1537" s="2424"/>
      <c r="H1537" s="2424"/>
      <c r="I1537" s="2424"/>
      <c r="J1537" s="2425"/>
      <c r="K1537" s="2426">
        <f>K1534</f>
        <v>1</v>
      </c>
      <c r="L1537" s="2427">
        <f>L1536</f>
        <v>1</v>
      </c>
      <c r="M1537" s="2428">
        <f t="shared" si="1377"/>
        <v>1</v>
      </c>
      <c r="N1537" s="2429">
        <f>IF(O1537&lt;&gt;"",K1537*L1537*M1537,"")</f>
        <v>1</v>
      </c>
      <c r="O1537" s="2430" t="str">
        <f>IF(D1537&lt;&gt;"",IF(VLOOKUP(D1537,base_datos,7,FALSE)&lt;&gt;"",VLOOKUP(D1537,base_datos,7,FALSE),""),"")</f>
        <v>1SFA619210R1026</v>
      </c>
      <c r="P1537" s="2431" t="str">
        <f>IF(O1537&lt;&gt;"",VLOOKUP(D1537,base_datos,6,FALSE),"")</f>
        <v>Selector 3 posiciones mantenidos - 1-0-2 / M-0-A - maneta corta, contactos 2NA - C3SS1-10B-20 - compacto - marca ABB.</v>
      </c>
      <c r="Q1537" s="2432" t="str">
        <f>IF(O1537&lt;&gt;"",D1537,"")</f>
        <v>SEL_1-0-2</v>
      </c>
      <c r="R1537" s="2433"/>
    </row>
    <row r="1538" spans="1:20" s="2432" customFormat="1">
      <c r="A1538" s="2418"/>
      <c r="B1538" s="2435">
        <v>1</v>
      </c>
      <c r="C1538" s="2439" t="s">
        <v>3366</v>
      </c>
      <c r="D1538" s="2440"/>
      <c r="E1538" s="2422"/>
      <c r="F1538" s="2438"/>
      <c r="G1538" s="2441"/>
      <c r="H1538" s="2441"/>
      <c r="I1538" s="2441"/>
      <c r="J1538" s="2442"/>
      <c r="K1538" s="2426">
        <f t="shared" ref="K1538:K1546" si="1387">K1536</f>
        <v>1</v>
      </c>
      <c r="L1538" s="2427">
        <f>L1539</f>
        <v>1</v>
      </c>
      <c r="M1538" s="2426">
        <f t="shared" si="1377"/>
        <v>1</v>
      </c>
      <c r="N1538" s="2429" t="str">
        <f t="shared" ref="N1538" si="1388">IF(O1538&lt;&gt;"",K1538*L1538*M1538,"")</f>
        <v/>
      </c>
      <c r="O1538" s="2430" t="str">
        <f t="shared" ref="O1538" si="1389">IF(D1538&lt;&gt;"",IF(VLOOKUP(D1538,base_datos,7,FALSE)&lt;&gt;"",VLOOKUP(D1538,base_datos,7,FALSE),""),"")</f>
        <v/>
      </c>
      <c r="P1538" s="2431" t="str">
        <f t="shared" ref="P1538" si="1390">IF(O1538&lt;&gt;"",VLOOKUP(D1538,base_datos,6,FALSE),"")</f>
        <v/>
      </c>
      <c r="Q1538" s="2432" t="str">
        <f t="shared" ref="Q1538" si="1391">IF(O1538&lt;&gt;"",D1538,"")</f>
        <v/>
      </c>
    </row>
    <row r="1539" spans="1:20" s="2450" customFormat="1" ht="18" customHeight="1">
      <c r="A1539" s="2443"/>
      <c r="B1539" s="2444">
        <v>1</v>
      </c>
      <c r="C1539" s="2445" t="str">
        <f t="shared" ref="C1539:C1541" si="1392">VLOOKUP(D1539,base_datos,6,FALSE)</f>
        <v>Base portafusibles + Fusibles de protección para control.</v>
      </c>
      <c r="D1539" s="2446" t="s">
        <v>453</v>
      </c>
      <c r="E1539" s="2447">
        <f t="shared" ref="E1539:E1541" si="1393">VLOOKUP(D1539,base_datos,5,FALSE)</f>
        <v>8.1750000000000007</v>
      </c>
      <c r="F1539" s="2438">
        <f>+E1539*B1539</f>
        <v>8.1750000000000007</v>
      </c>
      <c r="G1539" s="2448"/>
      <c r="H1539" s="2448"/>
      <c r="I1539" s="2448"/>
      <c r="J1539" s="2449"/>
      <c r="K1539" s="2426">
        <f t="shared" si="1387"/>
        <v>1</v>
      </c>
      <c r="L1539" s="2427">
        <f>L1537</f>
        <v>1</v>
      </c>
      <c r="M1539" s="2428">
        <f>IF(B1539="",1,B1539)</f>
        <v>1</v>
      </c>
      <c r="N1539" s="2429" t="str">
        <f>IF(O1539&lt;&gt;"",K1539*L1539*M1539,"")</f>
        <v/>
      </c>
      <c r="O1539" s="2430" t="str">
        <f>IF(D1539&lt;&gt;"",IF(VLOOKUP(D1539,base_datos,7,FALSE)&lt;&gt;"",VLOOKUP(D1539,base_datos,7,FALSE),""),"")</f>
        <v/>
      </c>
      <c r="P1539" s="2431" t="str">
        <f>IF(O1539&lt;&gt;"",VLOOKUP(D1539,base_datos,6,FALSE),"")</f>
        <v/>
      </c>
      <c r="Q1539" s="2432" t="str">
        <f>IF(O1539&lt;&gt;"",D1539,"")</f>
        <v/>
      </c>
      <c r="R1539" s="2433"/>
    </row>
    <row r="1540" spans="1:20" s="2450" customFormat="1" ht="18" customHeight="1">
      <c r="A1540" s="2443"/>
      <c r="B1540" s="2444">
        <v>1</v>
      </c>
      <c r="C1540" s="2445" t="str">
        <f t="shared" si="1392"/>
        <v>Borne para neutro.</v>
      </c>
      <c r="D1540" s="2451" t="s">
        <v>436</v>
      </c>
      <c r="E1540" s="2447">
        <f t="shared" si="1393"/>
        <v>4</v>
      </c>
      <c r="F1540" s="2438">
        <f t="shared" ref="F1540:F1541" si="1394">+E1540*B1540</f>
        <v>4</v>
      </c>
      <c r="G1540" s="2448"/>
      <c r="H1540" s="2448"/>
      <c r="I1540" s="2448"/>
      <c r="J1540" s="2449"/>
      <c r="K1540" s="2426">
        <f t="shared" si="1387"/>
        <v>1</v>
      </c>
      <c r="L1540" s="2427">
        <f>L1538</f>
        <v>1</v>
      </c>
      <c r="M1540" s="2428">
        <f t="shared" ref="M1540:M1542" si="1395">IF(B1540="",1,B1540)</f>
        <v>1</v>
      </c>
      <c r="N1540" s="2429" t="str">
        <f t="shared" ref="N1540:N1541" si="1396">IF(O1540&lt;&gt;"",K1540*L1540*M1540,"")</f>
        <v/>
      </c>
      <c r="O1540" s="2430" t="str">
        <f t="shared" ref="O1540:O1541" si="1397">IF(D1540&lt;&gt;"",IF(VLOOKUP(D1540,base_datos,7,FALSE)&lt;&gt;"",VLOOKUP(D1540,base_datos,7,FALSE),""),"")</f>
        <v/>
      </c>
      <c r="P1540" s="2431" t="str">
        <f t="shared" ref="P1540:P1541" si="1398">IF(O1540&lt;&gt;"",VLOOKUP(D1540,base_datos,6,FALSE),"")</f>
        <v/>
      </c>
      <c r="Q1540" s="2432" t="str">
        <f t="shared" ref="Q1540:Q1541" si="1399">IF(O1540&lt;&gt;"",D1540,"")</f>
        <v/>
      </c>
      <c r="R1540" s="2433"/>
    </row>
    <row r="1541" spans="1:20" s="2450" customFormat="1" ht="18" customHeight="1">
      <c r="A1541" s="2443"/>
      <c r="B1541" s="2444">
        <v>2</v>
      </c>
      <c r="C1541" s="2445" t="str">
        <f t="shared" si="1392"/>
        <v>Borne 4mm2.</v>
      </c>
      <c r="D1541" s="2446" t="s">
        <v>437</v>
      </c>
      <c r="E1541" s="2447">
        <f t="shared" si="1393"/>
        <v>2.5</v>
      </c>
      <c r="F1541" s="2438">
        <f t="shared" si="1394"/>
        <v>5</v>
      </c>
      <c r="G1541" s="2448"/>
      <c r="H1541" s="2448"/>
      <c r="I1541" s="2448"/>
      <c r="J1541" s="2449"/>
      <c r="K1541" s="2426">
        <f t="shared" si="1387"/>
        <v>1</v>
      </c>
      <c r="L1541" s="2427">
        <f t="shared" ref="L1541" si="1400">L1540</f>
        <v>1</v>
      </c>
      <c r="M1541" s="2428">
        <f t="shared" si="1395"/>
        <v>2</v>
      </c>
      <c r="N1541" s="2429" t="str">
        <f t="shared" si="1396"/>
        <v/>
      </c>
      <c r="O1541" s="2430" t="str">
        <f t="shared" si="1397"/>
        <v/>
      </c>
      <c r="P1541" s="2431" t="str">
        <f t="shared" si="1398"/>
        <v/>
      </c>
      <c r="Q1541" s="2432" t="str">
        <f t="shared" si="1399"/>
        <v/>
      </c>
      <c r="R1541" s="2433"/>
    </row>
    <row r="1542" spans="1:20" s="2433" customFormat="1">
      <c r="A1542" s="2418"/>
      <c r="B1542" s="2452"/>
      <c r="C1542" s="2453" t="s">
        <v>729</v>
      </c>
      <c r="D1542" s="2451"/>
      <c r="E1542" s="2454"/>
      <c r="F1542" s="2455"/>
      <c r="G1542" s="2456"/>
      <c r="H1542" s="2456"/>
      <c r="I1542" s="2456"/>
      <c r="J1542" s="2457"/>
      <c r="K1542" s="2426">
        <f t="shared" si="1387"/>
        <v>1</v>
      </c>
      <c r="L1542" s="2458">
        <v>1</v>
      </c>
      <c r="M1542" s="2426">
        <f t="shared" si="1395"/>
        <v>1</v>
      </c>
      <c r="N1542" s="2459" t="str">
        <f>IF(O1542&lt;&gt;"",K1542*L1542*M1542,"")</f>
        <v/>
      </c>
      <c r="O1542" s="2460" t="str">
        <f>IF(D1542&lt;&gt;"",IF(VLOOKUP(D1542,base_datos,7,FALSE)&lt;&gt;"",VLOOKUP(D1542,base_datos,7,FALSE),""),"")</f>
        <v/>
      </c>
      <c r="P1542" s="2461" t="str">
        <f>IF(O1542&lt;&gt;"",VLOOKUP(D1542,base_datos,6,FALSE),"")</f>
        <v/>
      </c>
      <c r="Q1542" s="2433" t="str">
        <f>IF(O1542&lt;&gt;"",D1542,"")</f>
        <v/>
      </c>
    </row>
    <row r="1543" spans="1:20" s="2450" customFormat="1" ht="18" customHeight="1">
      <c r="A1543" s="2462"/>
      <c r="B1543" s="2444">
        <v>1</v>
      </c>
      <c r="C1543" s="2445" t="str">
        <f>VLOOKUP(D1543,base_datos,6,FALSE)</f>
        <v>Rele auxiliar enchufable +4NA/NC (D2PR4B + base D2PA6), 220Vac - marca EATON.</v>
      </c>
      <c r="D1543" s="2446" t="s">
        <v>772</v>
      </c>
      <c r="E1543" s="2447">
        <f>VLOOKUP(D1543,base_datos,5,FALSE)</f>
        <v>27</v>
      </c>
      <c r="F1543" s="2438">
        <f>+E1543*B1543</f>
        <v>27</v>
      </c>
      <c r="G1543" s="2448"/>
      <c r="H1543" s="2448"/>
      <c r="I1543" s="2448"/>
      <c r="J1543" s="2449"/>
      <c r="K1543" s="2426">
        <f t="shared" si="1387"/>
        <v>1</v>
      </c>
      <c r="L1543" s="2463">
        <v>1</v>
      </c>
      <c r="M1543" s="2428">
        <f>IF(B1543="",1,B1543)</f>
        <v>1</v>
      </c>
      <c r="N1543" s="2429">
        <f>IF(O1543&lt;&gt;"",K1543*L1543*M1543,"")</f>
        <v>1</v>
      </c>
      <c r="O1543" s="2430" t="str">
        <f>IF(D1543&lt;&gt;"",IF(VLOOKUP(D1543,base_datos,7,FALSE)&lt;&gt;"",VLOOKUP(D1543,base_datos,7,FALSE),""),"")</f>
        <v>D2PR4B+D2PA6</v>
      </c>
      <c r="P1543" s="2431" t="str">
        <f>IF(O1543&lt;&gt;"",VLOOKUP(D1543,base_datos,6,FALSE),"")</f>
        <v>Rele auxiliar enchufable +4NA/NC (D2PR4B + base D2PA6), 220Vac - marca EATON.</v>
      </c>
      <c r="Q1543" s="2432" t="str">
        <f>IF(O1543&lt;&gt;"",D1543,"")</f>
        <v>D2PR4B+D2PA6</v>
      </c>
      <c r="R1543" s="2433"/>
    </row>
    <row r="1544" spans="1:20" s="2450" customFormat="1" ht="18" customHeight="1">
      <c r="A1544" s="2443"/>
      <c r="B1544" s="2444">
        <v>4</v>
      </c>
      <c r="C1544" s="2445" t="str">
        <f t="shared" ref="C1544:C1546" si="1401">VLOOKUP(D1544,base_datos,6,FALSE)</f>
        <v>Borne 4mm2.</v>
      </c>
      <c r="D1544" s="2446" t="s">
        <v>437</v>
      </c>
      <c r="E1544" s="2447">
        <f t="shared" ref="E1544:E1546" si="1402">VLOOKUP(D1544,base_datos,5,FALSE)</f>
        <v>2.5</v>
      </c>
      <c r="F1544" s="2438">
        <f t="shared" ref="F1544:F1546" si="1403">+E1544*B1544</f>
        <v>10</v>
      </c>
      <c r="G1544" s="2448"/>
      <c r="H1544" s="2448"/>
      <c r="I1544" s="2448"/>
      <c r="J1544" s="2449"/>
      <c r="K1544" s="2426">
        <f t="shared" si="1387"/>
        <v>1</v>
      </c>
      <c r="L1544" s="2463">
        <v>1</v>
      </c>
      <c r="M1544" s="2428">
        <f t="shared" ref="M1544:M1546" si="1404">IF(B1544="",1,B1544)</f>
        <v>4</v>
      </c>
      <c r="N1544" s="2429" t="str">
        <f t="shared" ref="N1544:N1546" si="1405">IF(O1544&lt;&gt;"",K1544*L1544*M1544,"")</f>
        <v/>
      </c>
      <c r="O1544" s="2430" t="str">
        <f t="shared" ref="O1544:O1546" si="1406">IF(D1544&lt;&gt;"",IF(VLOOKUP(D1544,base_datos,7,FALSE)&lt;&gt;"",VLOOKUP(D1544,base_datos,7,FALSE),""),"")</f>
        <v/>
      </c>
      <c r="P1544" s="2431" t="str">
        <f t="shared" ref="P1544:P1546" si="1407">IF(O1544&lt;&gt;"",VLOOKUP(D1544,base_datos,6,FALSE),"")</f>
        <v/>
      </c>
      <c r="Q1544" s="2432" t="str">
        <f t="shared" ref="Q1544:Q1546" si="1408">IF(O1544&lt;&gt;"",D1544,"")</f>
        <v/>
      </c>
      <c r="R1544" s="2433"/>
    </row>
    <row r="1545" spans="1:20" s="2450" customFormat="1" ht="18" customHeight="1">
      <c r="A1545" s="2443"/>
      <c r="B1545" s="2444">
        <v>1</v>
      </c>
      <c r="C1545" s="2445" t="str">
        <f t="shared" si="1401"/>
        <v>Base portafusibles + Fusibles de protección para control.</v>
      </c>
      <c r="D1545" s="2446" t="s">
        <v>453</v>
      </c>
      <c r="E1545" s="2447">
        <f t="shared" si="1402"/>
        <v>8.1750000000000007</v>
      </c>
      <c r="F1545" s="2438">
        <f t="shared" si="1403"/>
        <v>8.1750000000000007</v>
      </c>
      <c r="G1545" s="2448"/>
      <c r="H1545" s="2448"/>
      <c r="I1545" s="2448"/>
      <c r="J1545" s="2449"/>
      <c r="K1545" s="2426">
        <f t="shared" si="1387"/>
        <v>1</v>
      </c>
      <c r="L1545" s="2463">
        <v>1</v>
      </c>
      <c r="M1545" s="2428">
        <f t="shared" si="1404"/>
        <v>1</v>
      </c>
      <c r="N1545" s="2429" t="str">
        <f t="shared" si="1405"/>
        <v/>
      </c>
      <c r="O1545" s="2430" t="str">
        <f t="shared" si="1406"/>
        <v/>
      </c>
      <c r="P1545" s="2431" t="str">
        <f t="shared" si="1407"/>
        <v/>
      </c>
      <c r="Q1545" s="2432" t="str">
        <f t="shared" si="1408"/>
        <v/>
      </c>
      <c r="R1545" s="2433"/>
    </row>
    <row r="1546" spans="1:20" s="2450" customFormat="1" ht="18" customHeight="1">
      <c r="A1546" s="2443"/>
      <c r="B1546" s="2444">
        <v>1</v>
      </c>
      <c r="C1546" s="2445" t="str">
        <f t="shared" si="1401"/>
        <v>Borne para neutro.</v>
      </c>
      <c r="D1546" s="2451" t="s">
        <v>436</v>
      </c>
      <c r="E1546" s="2447">
        <f t="shared" si="1402"/>
        <v>4</v>
      </c>
      <c r="F1546" s="2438">
        <f t="shared" si="1403"/>
        <v>4</v>
      </c>
      <c r="G1546" s="2448"/>
      <c r="H1546" s="2448"/>
      <c r="I1546" s="2448"/>
      <c r="J1546" s="2449"/>
      <c r="K1546" s="2426">
        <f t="shared" si="1387"/>
        <v>1</v>
      </c>
      <c r="L1546" s="2427">
        <f t="shared" ref="L1546" si="1409">L1545</f>
        <v>1</v>
      </c>
      <c r="M1546" s="2428">
        <f t="shared" si="1404"/>
        <v>1</v>
      </c>
      <c r="N1546" s="2429" t="str">
        <f t="shared" si="1405"/>
        <v/>
      </c>
      <c r="O1546" s="2430" t="str">
        <f t="shared" si="1406"/>
        <v/>
      </c>
      <c r="P1546" s="2431" t="str">
        <f t="shared" si="1407"/>
        <v/>
      </c>
      <c r="Q1546" s="2432" t="str">
        <f t="shared" si="1408"/>
        <v/>
      </c>
      <c r="R1546" s="2433"/>
    </row>
    <row r="1547" spans="1:20" s="185" customFormat="1" ht="18" customHeight="1">
      <c r="A1547" s="1785"/>
      <c r="B1547" s="714"/>
      <c r="C1547" s="1893" t="s">
        <v>729</v>
      </c>
      <c r="D1547" s="173"/>
      <c r="E1547" s="1786"/>
      <c r="F1547" s="1787"/>
      <c r="G1547" s="710"/>
      <c r="H1547" s="710"/>
      <c r="I1547" s="710"/>
      <c r="J1547" s="711"/>
      <c r="K1547" s="684">
        <f>+K1532</f>
        <v>1</v>
      </c>
      <c r="L1547" s="708">
        <v>1</v>
      </c>
      <c r="M1547" s="684">
        <f t="shared" si="1377"/>
        <v>1</v>
      </c>
      <c r="N1547" s="362" t="str">
        <f t="shared" si="1370"/>
        <v/>
      </c>
      <c r="O1547" s="1763" t="str">
        <f t="shared" si="1371"/>
        <v/>
      </c>
      <c r="P1547" s="1764" t="str">
        <f t="shared" si="1372"/>
        <v/>
      </c>
      <c r="Q1547" s="120" t="str">
        <f t="shared" si="1373"/>
        <v/>
      </c>
    </row>
    <row r="1548" spans="1:20" s="315" customFormat="1" ht="18.75" customHeight="1">
      <c r="A1548" s="2271"/>
      <c r="B1548" s="2272">
        <v>1</v>
      </c>
      <c r="C1548" s="2281" t="s">
        <v>13366</v>
      </c>
      <c r="D1548" s="1935"/>
      <c r="E1548" s="2287"/>
      <c r="F1548" s="2257">
        <f>+SUM(F1549:F1552)*(B1548-1)</f>
        <v>0</v>
      </c>
      <c r="G1548" s="712"/>
      <c r="H1548" s="712"/>
      <c r="I1548" s="712"/>
      <c r="J1548" s="713"/>
      <c r="K1548" s="684">
        <f t="shared" ref="K1548:K1553" si="1410">+K1547</f>
        <v>1</v>
      </c>
      <c r="L1548" s="708">
        <v>1</v>
      </c>
      <c r="M1548" s="709">
        <f t="shared" si="1377"/>
        <v>1</v>
      </c>
      <c r="N1548" s="112" t="str">
        <f t="shared" si="1370"/>
        <v/>
      </c>
      <c r="O1548" s="112" t="str">
        <f t="shared" si="1371"/>
        <v/>
      </c>
      <c r="P1548" s="120" t="str">
        <f t="shared" si="1372"/>
        <v/>
      </c>
      <c r="Q1548" s="120" t="str">
        <f t="shared" si="1373"/>
        <v/>
      </c>
      <c r="S1548" s="112" t="str">
        <f t="shared" ref="S1548:S1553" si="1411">IF(O1548&lt;&gt;"",VLOOKUP(D1548,base_datos,9,FALSE),"")</f>
        <v/>
      </c>
      <c r="T1548" s="2128"/>
    </row>
    <row r="1549" spans="1:20" s="690" customFormat="1" ht="18" customHeight="1">
      <c r="A1549" s="2273"/>
      <c r="B1549" s="1781">
        <v>1</v>
      </c>
      <c r="C1549" s="1420" t="str">
        <f t="shared" ref="C1549:C1552" si="1412">VLOOKUP(D1549,base_datos,6,FALSE)</f>
        <v>Calefactor resistivo 60W, modelo RACM - marca FANDIS.</v>
      </c>
      <c r="D1549" s="1899" t="s">
        <v>3298</v>
      </c>
      <c r="E1549" s="2288">
        <f t="shared" ref="E1549" si="1413">VLOOKUP(D1549,base_datos,5,FALSE)</f>
        <v>127.1</v>
      </c>
      <c r="F1549" s="1782">
        <f>+E1549*B1549</f>
        <v>127.1</v>
      </c>
      <c r="G1549" s="1761"/>
      <c r="H1549" s="1761"/>
      <c r="I1549" s="1761"/>
      <c r="J1549" s="689"/>
      <c r="K1549" s="684">
        <f t="shared" si="1410"/>
        <v>1</v>
      </c>
      <c r="L1549" s="708">
        <v>1</v>
      </c>
      <c r="M1549" s="709">
        <f t="shared" si="1377"/>
        <v>1</v>
      </c>
      <c r="N1549" s="112">
        <f t="shared" si="1370"/>
        <v>1</v>
      </c>
      <c r="O1549" s="112" t="str">
        <f t="shared" si="1371"/>
        <v>RACM-60</v>
      </c>
      <c r="P1549" s="120" t="str">
        <f t="shared" si="1372"/>
        <v>Calefactor resistivo 60W, modelo RACM - marca FANDIS.</v>
      </c>
      <c r="Q1549" s="120" t="str">
        <f t="shared" si="1373"/>
        <v>CALEFACT-60W_FAND</v>
      </c>
      <c r="S1549" s="112" t="str">
        <f t="shared" si="1411"/>
        <v>FANDIS</v>
      </c>
      <c r="T1549" s="1765"/>
    </row>
    <row r="1550" spans="1:20" s="690" customFormat="1" ht="18" customHeight="1">
      <c r="A1550" s="2273"/>
      <c r="B1550" s="1781">
        <v>1</v>
      </c>
      <c r="C1550" s="1420" t="str">
        <f t="shared" si="1412"/>
        <v>Termostato para ventilación - 1NA - 230V - marca FANDIS.</v>
      </c>
      <c r="D1550" s="1899" t="s">
        <v>3294</v>
      </c>
      <c r="E1550" s="2288">
        <f t="shared" ref="E1550:E1552" si="1414">VLOOKUP(D1550,base_datos,5,FALSE)</f>
        <v>41.58</v>
      </c>
      <c r="F1550" s="1782">
        <f>+E1550*B1550</f>
        <v>41.58</v>
      </c>
      <c r="G1550" s="1761"/>
      <c r="H1550" s="1761"/>
      <c r="I1550" s="1761"/>
      <c r="J1550" s="689"/>
      <c r="K1550" s="684">
        <f t="shared" si="1410"/>
        <v>1</v>
      </c>
      <c r="L1550" s="708">
        <v>1</v>
      </c>
      <c r="M1550" s="709">
        <f t="shared" si="1377"/>
        <v>1</v>
      </c>
      <c r="N1550" s="112">
        <f t="shared" si="1370"/>
        <v>1</v>
      </c>
      <c r="O1550" s="112" t="str">
        <f t="shared" si="1371"/>
        <v>TRT-10A230V-NO</v>
      </c>
      <c r="P1550" s="120" t="str">
        <f t="shared" si="1372"/>
        <v>Termostato para ventilación - 1NA - 230V - marca FANDIS.</v>
      </c>
      <c r="Q1550" s="120" t="str">
        <f t="shared" si="1373"/>
        <v>TRT-1NA</v>
      </c>
      <c r="S1550" s="112" t="str">
        <f t="shared" si="1411"/>
        <v>FANDIS</v>
      </c>
      <c r="T1550" s="1765"/>
    </row>
    <row r="1551" spans="1:20" s="320" customFormat="1" ht="12.75" customHeight="1">
      <c r="A1551" s="2274"/>
      <c r="B1551" s="2275">
        <v>1</v>
      </c>
      <c r="C1551" s="2282" t="str">
        <f t="shared" si="1412"/>
        <v>Base portafusibles + Fusibles de protección para control.</v>
      </c>
      <c r="D1551" s="1579" t="s">
        <v>453</v>
      </c>
      <c r="E1551" s="2289">
        <f t="shared" si="1414"/>
        <v>8.1750000000000007</v>
      </c>
      <c r="F1551" s="2264">
        <f>+E1551*B1551</f>
        <v>8.1750000000000007</v>
      </c>
      <c r="G1551" s="2276"/>
      <c r="H1551" s="2276"/>
      <c r="I1551" s="2276"/>
      <c r="J1551" s="722"/>
      <c r="K1551" s="684">
        <f t="shared" si="1410"/>
        <v>1</v>
      </c>
      <c r="L1551" s="708">
        <v>1</v>
      </c>
      <c r="M1551" s="709">
        <f t="shared" si="1377"/>
        <v>1</v>
      </c>
      <c r="N1551" s="112" t="str">
        <f t="shared" si="1370"/>
        <v/>
      </c>
      <c r="O1551" s="112" t="str">
        <f t="shared" si="1371"/>
        <v/>
      </c>
      <c r="P1551" s="120" t="str">
        <f t="shared" si="1372"/>
        <v/>
      </c>
      <c r="Q1551" s="120" t="str">
        <f t="shared" si="1373"/>
        <v/>
      </c>
      <c r="R1551" s="185"/>
      <c r="S1551" s="112" t="str">
        <f t="shared" si="1411"/>
        <v/>
      </c>
      <c r="T1551" s="709"/>
    </row>
    <row r="1552" spans="1:20" s="320" customFormat="1" ht="12.75" customHeight="1">
      <c r="A1552" s="2274"/>
      <c r="B1552" s="2277">
        <v>1</v>
      </c>
      <c r="C1552" s="2282" t="str">
        <f t="shared" si="1412"/>
        <v>Borne 4mm2.</v>
      </c>
      <c r="D1552" s="1579" t="s">
        <v>437</v>
      </c>
      <c r="E1552" s="2260">
        <f t="shared" si="1414"/>
        <v>2.5</v>
      </c>
      <c r="F1552" s="2260">
        <f>+E1552*B1552</f>
        <v>2.5</v>
      </c>
      <c r="G1552" s="2276"/>
      <c r="H1552" s="2276"/>
      <c r="I1552" s="2276"/>
      <c r="J1552" s="722"/>
      <c r="K1552" s="684">
        <f t="shared" si="1410"/>
        <v>1</v>
      </c>
      <c r="L1552" s="708">
        <v>1</v>
      </c>
      <c r="M1552" s="709">
        <f t="shared" si="1377"/>
        <v>1</v>
      </c>
      <c r="N1552" s="112" t="str">
        <f t="shared" si="1370"/>
        <v/>
      </c>
      <c r="O1552" s="112" t="str">
        <f t="shared" si="1371"/>
        <v/>
      </c>
      <c r="P1552" s="120" t="str">
        <f t="shared" si="1372"/>
        <v/>
      </c>
      <c r="Q1552" s="120" t="str">
        <f t="shared" si="1373"/>
        <v/>
      </c>
      <c r="R1552" s="185"/>
      <c r="S1552" s="112" t="str">
        <f t="shared" si="1411"/>
        <v/>
      </c>
      <c r="T1552" s="709"/>
    </row>
    <row r="1553" spans="1:20" s="185" customFormat="1" ht="12.75" customHeight="1">
      <c r="A1553" s="2262"/>
      <c r="B1553" s="1760"/>
      <c r="C1553" s="1893" t="s">
        <v>729</v>
      </c>
      <c r="D1553" s="169"/>
      <c r="E1553" s="2256"/>
      <c r="F1553" s="2278"/>
      <c r="G1553" s="710"/>
      <c r="H1553" s="710"/>
      <c r="I1553" s="710"/>
      <c r="J1553" s="711"/>
      <c r="K1553" s="684">
        <f t="shared" si="1410"/>
        <v>1</v>
      </c>
      <c r="L1553" s="708">
        <v>1</v>
      </c>
      <c r="M1553" s="709">
        <f t="shared" si="1377"/>
        <v>1</v>
      </c>
      <c r="N1553" s="112" t="str">
        <f t="shared" si="1370"/>
        <v/>
      </c>
      <c r="O1553" s="112" t="str">
        <f t="shared" si="1371"/>
        <v/>
      </c>
      <c r="P1553" s="120" t="str">
        <f t="shared" si="1372"/>
        <v/>
      </c>
      <c r="Q1553" s="120" t="str">
        <f t="shared" si="1373"/>
        <v/>
      </c>
      <c r="S1553" s="112" t="str">
        <f t="shared" si="1411"/>
        <v/>
      </c>
      <c r="T1553" s="118"/>
    </row>
    <row r="1554" spans="1:20" s="185" customFormat="1">
      <c r="A1554" s="692"/>
      <c r="B1554" s="714"/>
      <c r="C1554" s="1893"/>
      <c r="D1554" s="2021"/>
      <c r="E1554" s="1786"/>
      <c r="F1554" s="1787"/>
      <c r="G1554" s="710"/>
      <c r="H1554" s="710"/>
      <c r="I1554" s="710"/>
      <c r="J1554" s="711"/>
      <c r="K1554" s="684">
        <f>+K1533</f>
        <v>1</v>
      </c>
      <c r="L1554" s="708">
        <v>1</v>
      </c>
      <c r="M1554" s="709">
        <f>IF(B1554="",1,B1554)</f>
        <v>1</v>
      </c>
      <c r="N1554" s="362" t="str">
        <f t="shared" si="1370"/>
        <v/>
      </c>
      <c r="O1554" s="1763" t="str">
        <f t="shared" si="1371"/>
        <v/>
      </c>
      <c r="P1554" s="1764" t="str">
        <f t="shared" si="1372"/>
        <v/>
      </c>
      <c r="Q1554" s="120" t="str">
        <f t="shared" si="1373"/>
        <v/>
      </c>
    </row>
    <row r="1555" spans="1:20" s="1236" customFormat="1" ht="18" customHeight="1">
      <c r="A1555" s="1767"/>
      <c r="B1555" s="1853">
        <v>1</v>
      </c>
      <c r="C1555" s="1895" t="s">
        <v>12364</v>
      </c>
      <c r="D1555" s="1902"/>
      <c r="E1555" s="1792"/>
      <c r="F1555" s="1793"/>
      <c r="G1555" s="1784"/>
      <c r="H1555" s="1784"/>
      <c r="I1555" s="1784"/>
      <c r="J1555" s="1182"/>
      <c r="K1555" s="684">
        <f>+K1534</f>
        <v>1</v>
      </c>
      <c r="L1555" s="708">
        <v>1</v>
      </c>
      <c r="M1555" s="709">
        <f t="shared" ref="M1555:M1567" si="1415">IF(B1555="",1,B1555)</f>
        <v>1</v>
      </c>
      <c r="N1555" s="362" t="str">
        <f t="shared" si="1370"/>
        <v/>
      </c>
      <c r="O1555" s="1763" t="str">
        <f t="shared" si="1371"/>
        <v/>
      </c>
      <c r="P1555" s="1764" t="str">
        <f t="shared" si="1372"/>
        <v/>
      </c>
      <c r="Q1555" s="120" t="str">
        <f t="shared" si="1373"/>
        <v/>
      </c>
      <c r="R1555" s="185"/>
    </row>
    <row r="1556" spans="1:20" s="695" customFormat="1" ht="18" customHeight="1">
      <c r="A1556" s="693"/>
      <c r="B1556" s="1922">
        <v>1</v>
      </c>
      <c r="C1556" s="1848" t="str">
        <f t="shared" ref="C1556" si="1416">VLOOKUP(D1556,base_datos,6,FALSE)</f>
        <v>Placa lamicoid rotulación de 3mm de espesor, fondo negro y letras blancas.</v>
      </c>
      <c r="D1556" s="1886" t="s">
        <v>8570</v>
      </c>
      <c r="E1556" s="1795">
        <f t="shared" ref="E1556" si="1417">VLOOKUP(D1556,base_datos,5,FALSE)</f>
        <v>2.2000000000000002</v>
      </c>
      <c r="F1556" s="1796">
        <f t="shared" ref="F1556" si="1418">+E1556*B1556</f>
        <v>2.2000000000000002</v>
      </c>
      <c r="G1556" s="696"/>
      <c r="H1556" s="696"/>
      <c r="I1556" s="696"/>
      <c r="J1556" s="697"/>
      <c r="K1556" s="684">
        <f>+K1547</f>
        <v>1</v>
      </c>
      <c r="L1556" s="708">
        <v>1</v>
      </c>
      <c r="M1556" s="709">
        <f t="shared" si="1415"/>
        <v>1</v>
      </c>
      <c r="N1556" s="362">
        <f t="shared" si="1370"/>
        <v>1</v>
      </c>
      <c r="O1556" s="1763" t="str">
        <f t="shared" si="1371"/>
        <v>Placa lamicoid p/distr.</v>
      </c>
      <c r="P1556" s="1764" t="str">
        <f t="shared" si="1372"/>
        <v>Placa lamicoid rotulación de 3mm de espesor, fondo negro y letras blancas.</v>
      </c>
      <c r="Q1556" s="120" t="str">
        <f t="shared" si="1373"/>
        <v>Placa lamicoid p/distr.</v>
      </c>
      <c r="R1556" s="185"/>
    </row>
    <row r="1557" spans="1:20" s="1236" customFormat="1" ht="18" customHeight="1">
      <c r="A1557" s="1767"/>
      <c r="B1557" s="1853">
        <v>1</v>
      </c>
      <c r="C1557" s="1895" t="s">
        <v>12474</v>
      </c>
      <c r="D1557" s="1902"/>
      <c r="E1557" s="1792"/>
      <c r="F1557" s="1793"/>
      <c r="G1557" s="1784"/>
      <c r="H1557" s="1784"/>
      <c r="I1557" s="1784"/>
      <c r="J1557" s="1182"/>
      <c r="K1557" s="684">
        <f t="shared" si="1368"/>
        <v>1</v>
      </c>
      <c r="L1557" s="708">
        <v>1</v>
      </c>
      <c r="M1557" s="709">
        <f t="shared" si="1415"/>
        <v>1</v>
      </c>
      <c r="N1557" s="362" t="str">
        <f t="shared" si="1370"/>
        <v/>
      </c>
      <c r="O1557" s="1763" t="str">
        <f t="shared" si="1371"/>
        <v/>
      </c>
      <c r="P1557" s="1764" t="str">
        <f t="shared" si="1372"/>
        <v/>
      </c>
      <c r="Q1557" s="120" t="str">
        <f t="shared" si="1373"/>
        <v/>
      </c>
      <c r="R1557" s="185"/>
    </row>
    <row r="1558" spans="1:20" s="1236" customFormat="1" ht="18" customHeight="1">
      <c r="A1558" s="1767"/>
      <c r="B1558" s="1853">
        <v>1</v>
      </c>
      <c r="C1558" s="1848" t="str">
        <f>VLOOKUP(D1558,base_datos,6,FALSE)</f>
        <v>Embalaje especial completamente cerrado para tablero adosado de 1600x600x220mm</v>
      </c>
      <c r="D1558" s="1902" t="s">
        <v>12453</v>
      </c>
      <c r="E1558" s="1795">
        <f t="shared" ref="E1558" si="1419">VLOOKUP(D1558,base_datos,5,FALSE)</f>
        <v>271.40000000000003</v>
      </c>
      <c r="F1558" s="1796">
        <f t="shared" ref="F1558" si="1420">+E1558*B1558</f>
        <v>271.40000000000003</v>
      </c>
      <c r="G1558" s="1784"/>
      <c r="H1558" s="1784"/>
      <c r="I1558" s="1784"/>
      <c r="J1558" s="1182"/>
      <c r="K1558" s="684">
        <f t="shared" si="1368"/>
        <v>1</v>
      </c>
      <c r="L1558" s="708">
        <v>1</v>
      </c>
      <c r="M1558" s="709">
        <f t="shared" si="1415"/>
        <v>1</v>
      </c>
      <c r="N1558" s="362">
        <f t="shared" si="1370"/>
        <v>1</v>
      </c>
      <c r="O1558" s="1763" t="str">
        <f t="shared" si="1371"/>
        <v>EMBAL_ADOS_1600x600x220mm</v>
      </c>
      <c r="P1558" s="1764" t="str">
        <f t="shared" si="1372"/>
        <v>Embalaje especial completamente cerrado para tablero adosado de 1600x600x220mm</v>
      </c>
      <c r="Q1558" s="120" t="str">
        <f t="shared" si="1373"/>
        <v>EMBAL_ADOS_1600x600x220mm</v>
      </c>
      <c r="R1558" s="185"/>
    </row>
    <row r="1559" spans="1:20" s="185" customFormat="1" ht="18" customHeight="1">
      <c r="A1559" s="1785"/>
      <c r="B1559" s="714"/>
      <c r="C1559" s="1893" t="s">
        <v>729</v>
      </c>
      <c r="D1559" s="173"/>
      <c r="E1559" s="1786"/>
      <c r="F1559" s="1787"/>
      <c r="G1559" s="710"/>
      <c r="H1559" s="710"/>
      <c r="I1559" s="710"/>
      <c r="J1559" s="711"/>
      <c r="K1559" s="684">
        <f t="shared" si="1368"/>
        <v>1</v>
      </c>
      <c r="L1559" s="708">
        <v>1</v>
      </c>
      <c r="M1559" s="709">
        <f t="shared" si="1415"/>
        <v>1</v>
      </c>
      <c r="N1559" s="362" t="str">
        <f t="shared" si="1370"/>
        <v/>
      </c>
      <c r="O1559" s="1763" t="str">
        <f t="shared" si="1371"/>
        <v/>
      </c>
      <c r="P1559" s="1764" t="str">
        <f t="shared" si="1372"/>
        <v/>
      </c>
      <c r="Q1559" s="120" t="str">
        <f t="shared" si="1373"/>
        <v/>
      </c>
    </row>
    <row r="1560" spans="1:20" s="695" customFormat="1" ht="18" customHeight="1">
      <c r="A1560" s="693"/>
      <c r="B1560" s="1794">
        <v>1</v>
      </c>
      <c r="C1560" s="1420" t="s">
        <v>316</v>
      </c>
      <c r="D1560" s="1790"/>
      <c r="E1560" s="1795"/>
      <c r="F1560" s="1796"/>
      <c r="G1560" s="696"/>
      <c r="H1560" s="696"/>
      <c r="I1560" s="696"/>
      <c r="J1560" s="697"/>
      <c r="K1560" s="684">
        <f t="shared" si="1368"/>
        <v>1</v>
      </c>
      <c r="L1560" s="708">
        <v>1</v>
      </c>
      <c r="M1560" s="709">
        <f t="shared" si="1415"/>
        <v>1</v>
      </c>
      <c r="N1560" s="362" t="str">
        <f t="shared" si="1370"/>
        <v/>
      </c>
      <c r="O1560" s="1763" t="str">
        <f t="shared" si="1371"/>
        <v/>
      </c>
      <c r="P1560" s="1764" t="str">
        <f t="shared" si="1372"/>
        <v/>
      </c>
      <c r="Q1560" s="120" t="str">
        <f t="shared" si="1373"/>
        <v/>
      </c>
      <c r="R1560" s="185"/>
    </row>
    <row r="1561" spans="1:20" s="185" customFormat="1" ht="18" customHeight="1">
      <c r="A1561" s="1785"/>
      <c r="B1561" s="714"/>
      <c r="C1561" s="1893" t="s">
        <v>729</v>
      </c>
      <c r="D1561" s="173"/>
      <c r="E1561" s="1786"/>
      <c r="F1561" s="1787"/>
      <c r="G1561" s="710"/>
      <c r="H1561" s="710"/>
      <c r="I1561" s="710"/>
      <c r="J1561" s="711"/>
      <c r="K1561" s="684">
        <f t="shared" si="1368"/>
        <v>1</v>
      </c>
      <c r="L1561" s="708">
        <v>1</v>
      </c>
      <c r="M1561" s="709">
        <f t="shared" si="1415"/>
        <v>1</v>
      </c>
      <c r="N1561" s="362" t="str">
        <f t="shared" si="1370"/>
        <v/>
      </c>
      <c r="O1561" s="1763" t="str">
        <f t="shared" si="1371"/>
        <v/>
      </c>
      <c r="P1561" s="1764" t="str">
        <f t="shared" si="1372"/>
        <v/>
      </c>
      <c r="Q1561" s="120" t="str">
        <f t="shared" si="1373"/>
        <v/>
      </c>
    </row>
    <row r="1562" spans="1:20" s="897" customFormat="1" ht="18" customHeight="1">
      <c r="A1562" s="693"/>
      <c r="B1562" s="895">
        <v>20</v>
      </c>
      <c r="C1562" s="1848" t="str">
        <f>VLOOKUP(D1562,base_datos,6,FALSE)</f>
        <v>Rotulado por circuito.</v>
      </c>
      <c r="D1562" s="1579" t="s">
        <v>3067</v>
      </c>
      <c r="E1562" s="1581">
        <f>VLOOKUP(D1562,base_datos,5,FALSE)</f>
        <v>0.7</v>
      </c>
      <c r="F1562" s="1581">
        <f t="shared" ref="F1562:F1567" si="1421">+E1562*B1562</f>
        <v>14</v>
      </c>
      <c r="G1562" s="1772"/>
      <c r="H1562" s="1772"/>
      <c r="I1562" s="1772"/>
      <c r="J1562" s="896"/>
      <c r="K1562" s="684">
        <f t="shared" si="1368"/>
        <v>1</v>
      </c>
      <c r="L1562" s="708">
        <v>1</v>
      </c>
      <c r="M1562" s="709">
        <f t="shared" si="1415"/>
        <v>20</v>
      </c>
      <c r="N1562" s="362" t="str">
        <f t="shared" si="1370"/>
        <v/>
      </c>
      <c r="O1562" s="1763" t="str">
        <f t="shared" si="1371"/>
        <v/>
      </c>
      <c r="P1562" s="1764" t="str">
        <f t="shared" si="1372"/>
        <v/>
      </c>
      <c r="Q1562" s="120" t="str">
        <f t="shared" si="1373"/>
        <v/>
      </c>
    </row>
    <row r="1563" spans="1:20" s="897" customFormat="1" ht="18" customHeight="1">
      <c r="A1563" s="693"/>
      <c r="B1563" s="895">
        <v>1</v>
      </c>
      <c r="C1563" s="1848" t="str">
        <f>VLOOKUP(D1563,base_datos,6,FALSE)</f>
        <v>Rotulado para TAG - tablero de distribución.</v>
      </c>
      <c r="D1563" s="1579" t="s">
        <v>3066</v>
      </c>
      <c r="E1563" s="1581">
        <f>VLOOKUP(D1563,base_datos,5,FALSE)</f>
        <v>1.5</v>
      </c>
      <c r="F1563" s="1581">
        <f t="shared" si="1421"/>
        <v>1.5</v>
      </c>
      <c r="G1563" s="1772"/>
      <c r="H1563" s="1772"/>
      <c r="I1563" s="1772"/>
      <c r="J1563" s="896"/>
      <c r="K1563" s="684">
        <f t="shared" si="1368"/>
        <v>1</v>
      </c>
      <c r="L1563" s="708">
        <v>1</v>
      </c>
      <c r="M1563" s="709">
        <f t="shared" si="1415"/>
        <v>1</v>
      </c>
      <c r="N1563" s="362" t="str">
        <f t="shared" si="1370"/>
        <v/>
      </c>
      <c r="O1563" s="1763" t="str">
        <f t="shared" si="1371"/>
        <v/>
      </c>
      <c r="P1563" s="1764" t="str">
        <f t="shared" si="1372"/>
        <v/>
      </c>
      <c r="Q1563" s="120" t="str">
        <f t="shared" si="1373"/>
        <v/>
      </c>
    </row>
    <row r="1564" spans="1:20" s="1237" customFormat="1" ht="18" customHeight="1">
      <c r="A1564" s="1767"/>
      <c r="B1564" s="1773">
        <v>1</v>
      </c>
      <c r="C1564" s="1896" t="s">
        <v>11664</v>
      </c>
      <c r="D1564" s="1887"/>
      <c r="E1564" s="1581">
        <v>75</v>
      </c>
      <c r="F1564" s="1581">
        <f t="shared" si="1421"/>
        <v>75</v>
      </c>
      <c r="G1564" s="1774"/>
      <c r="H1564" s="1774"/>
      <c r="I1564" s="1774"/>
      <c r="J1564" s="1181"/>
      <c r="K1564" s="684">
        <f t="shared" si="1368"/>
        <v>1</v>
      </c>
      <c r="L1564" s="708">
        <v>1</v>
      </c>
      <c r="M1564" s="709">
        <f t="shared" si="1415"/>
        <v>1</v>
      </c>
      <c r="N1564" s="362" t="str">
        <f t="shared" si="1370"/>
        <v/>
      </c>
      <c r="O1564" s="1763" t="str">
        <f t="shared" si="1371"/>
        <v/>
      </c>
      <c r="P1564" s="1764" t="str">
        <f t="shared" si="1372"/>
        <v/>
      </c>
      <c r="Q1564" s="120" t="str">
        <f t="shared" si="1373"/>
        <v/>
      </c>
      <c r="R1564" s="1765"/>
    </row>
    <row r="1565" spans="1:20" s="1237" customFormat="1" ht="18" customHeight="1">
      <c r="A1565" s="1767"/>
      <c r="B1565" s="2093">
        <v>1</v>
      </c>
      <c r="C1565" s="694" t="s">
        <v>12552</v>
      </c>
      <c r="D1565" s="1888"/>
      <c r="E1565" s="1580">
        <f>E1567*15%</f>
        <v>22.5</v>
      </c>
      <c r="F1565" s="1581">
        <f t="shared" si="1421"/>
        <v>22.5</v>
      </c>
      <c r="G1565" s="1774"/>
      <c r="H1565" s="1774"/>
      <c r="I1565" s="1774"/>
      <c r="J1565" s="1181"/>
      <c r="K1565" s="684">
        <f t="shared" si="1368"/>
        <v>1</v>
      </c>
      <c r="L1565" s="708">
        <v>1</v>
      </c>
      <c r="M1565" s="709">
        <f t="shared" si="1415"/>
        <v>1</v>
      </c>
      <c r="N1565" s="362" t="str">
        <f t="shared" si="1370"/>
        <v/>
      </c>
      <c r="O1565" s="1763" t="str">
        <f t="shared" si="1371"/>
        <v/>
      </c>
      <c r="P1565" s="1764" t="str">
        <f t="shared" si="1372"/>
        <v/>
      </c>
      <c r="Q1565" s="120" t="str">
        <f t="shared" si="1373"/>
        <v/>
      </c>
      <c r="R1565" s="1765"/>
    </row>
    <row r="1566" spans="1:20" s="1237" customFormat="1" ht="18" customHeight="1">
      <c r="A1566" s="1767"/>
      <c r="B1566" s="1773">
        <v>1</v>
      </c>
      <c r="C1566" s="694" t="s">
        <v>12559</v>
      </c>
      <c r="D1566" s="1888"/>
      <c r="E1566" s="1999">
        <f>E1567*20%</f>
        <v>30</v>
      </c>
      <c r="F1566" s="1581">
        <f t="shared" si="1421"/>
        <v>30</v>
      </c>
      <c r="G1566" s="1774"/>
      <c r="H1566" s="1774"/>
      <c r="I1566" s="1774"/>
      <c r="J1566" s="1181"/>
      <c r="K1566" s="684">
        <f t="shared" si="1368"/>
        <v>1</v>
      </c>
      <c r="L1566" s="708">
        <v>1</v>
      </c>
      <c r="M1566" s="709">
        <f t="shared" si="1415"/>
        <v>1</v>
      </c>
      <c r="N1566" s="362" t="str">
        <f t="shared" si="1370"/>
        <v/>
      </c>
      <c r="O1566" s="1763" t="str">
        <f t="shared" si="1371"/>
        <v/>
      </c>
      <c r="P1566" s="1764" t="str">
        <f t="shared" si="1372"/>
        <v/>
      </c>
      <c r="Q1566" s="120" t="str">
        <f t="shared" si="1373"/>
        <v/>
      </c>
      <c r="R1566" s="1765"/>
    </row>
    <row r="1567" spans="1:20" s="1237" customFormat="1" ht="18" customHeight="1">
      <c r="A1567" s="1767"/>
      <c r="B1567" s="1773">
        <v>1</v>
      </c>
      <c r="C1567" s="1943" t="s">
        <v>12488</v>
      </c>
      <c r="D1567" s="1897"/>
      <c r="E1567" s="1581">
        <v>150</v>
      </c>
      <c r="F1567" s="1581">
        <f t="shared" si="1421"/>
        <v>150</v>
      </c>
      <c r="G1567" s="1774"/>
      <c r="H1567" s="1774"/>
      <c r="I1567" s="1774"/>
      <c r="J1567" s="1181"/>
      <c r="K1567" s="684">
        <f t="shared" si="1368"/>
        <v>1</v>
      </c>
      <c r="L1567" s="708">
        <v>1</v>
      </c>
      <c r="M1567" s="709">
        <f t="shared" si="1415"/>
        <v>1</v>
      </c>
      <c r="N1567" s="362" t="str">
        <f t="shared" si="1370"/>
        <v/>
      </c>
      <c r="O1567" s="1763" t="str">
        <f t="shared" si="1371"/>
        <v/>
      </c>
      <c r="P1567" s="1764" t="str">
        <f t="shared" si="1372"/>
        <v/>
      </c>
      <c r="Q1567" s="120" t="str">
        <f t="shared" si="1373"/>
        <v/>
      </c>
      <c r="R1567" s="1765"/>
    </row>
    <row r="1568" spans="1:20" s="20" customFormat="1" ht="18" customHeight="1" thickBot="1">
      <c r="A1568" s="699"/>
      <c r="B1568" s="1775"/>
      <c r="C1568" s="1776"/>
      <c r="D1568" s="1885"/>
      <c r="E1568" s="1981"/>
      <c r="F1568" s="1981"/>
      <c r="G1568" s="1777"/>
      <c r="H1568" s="1777"/>
      <c r="I1568" s="1777"/>
      <c r="J1568" s="1778"/>
      <c r="K1568" s="684"/>
      <c r="L1568" s="363"/>
      <c r="M1568" s="709"/>
      <c r="N1568" s="362" t="str">
        <f t="shared" si="1370"/>
        <v/>
      </c>
      <c r="O1568" s="1763" t="str">
        <f t="shared" si="1371"/>
        <v/>
      </c>
      <c r="P1568" s="1764" t="str">
        <f t="shared" si="1372"/>
        <v/>
      </c>
      <c r="Q1568" s="120" t="str">
        <f t="shared" si="1373"/>
        <v/>
      </c>
      <c r="R1568" s="1765"/>
    </row>
    <row r="1569" spans="1:18" s="120" customFormat="1" ht="18" customHeight="1" thickBot="1">
      <c r="A1569" s="1989">
        <v>27</v>
      </c>
      <c r="B1569" s="1852">
        <v>1</v>
      </c>
      <c r="C1569" s="1756" t="s">
        <v>12589</v>
      </c>
      <c r="D1569" s="1588"/>
      <c r="E1569" s="1589"/>
      <c r="F1569" s="1589"/>
      <c r="G1569" s="1757">
        <f>SUM(F1570:F1624)</f>
        <v>2745.4050000000002</v>
      </c>
      <c r="H1569" s="1758">
        <f>G1569*(1-$D$6)</f>
        <v>2745.4050000000002</v>
      </c>
      <c r="I1569" s="1757">
        <f>ROUNDUP(H1569*$D$5,0)</f>
        <v>9335</v>
      </c>
      <c r="J1569" s="1759">
        <f>+I1569*B1569</f>
        <v>9335</v>
      </c>
      <c r="K1569" s="1788">
        <f>B1569</f>
        <v>1</v>
      </c>
      <c r="L1569" s="363"/>
      <c r="M1569" s="684"/>
      <c r="N1569" s="362" t="str">
        <f t="shared" si="1370"/>
        <v/>
      </c>
      <c r="O1569" s="1763" t="str">
        <f t="shared" si="1371"/>
        <v/>
      </c>
      <c r="P1569" s="1764" t="str">
        <f t="shared" si="1372"/>
        <v/>
      </c>
      <c r="Q1569" s="120" t="str">
        <f t="shared" si="1373"/>
        <v/>
      </c>
      <c r="R1569" s="185"/>
    </row>
    <row r="1570" spans="1:18" s="120" customFormat="1" ht="18" customHeight="1">
      <c r="A1570" s="687" t="s">
        <v>3064</v>
      </c>
      <c r="B1570" s="1779"/>
      <c r="C1570" s="1954"/>
      <c r="D1570" s="1927"/>
      <c r="E1570" s="1780"/>
      <c r="F1570" s="1789"/>
      <c r="G1570" s="686"/>
      <c r="H1570" s="686"/>
      <c r="I1570" s="686"/>
      <c r="J1570" s="1768"/>
      <c r="K1570" s="684">
        <f>K1569</f>
        <v>1</v>
      </c>
      <c r="L1570" s="708">
        <v>1</v>
      </c>
      <c r="M1570" s="709">
        <f t="shared" ref="M1570:M1600" si="1422">IF(B1570="",1,B1570)</f>
        <v>1</v>
      </c>
      <c r="N1570" s="362" t="str">
        <f t="shared" si="1370"/>
        <v/>
      </c>
      <c r="O1570" s="1763" t="str">
        <f t="shared" si="1371"/>
        <v/>
      </c>
      <c r="P1570" s="1764" t="str">
        <f t="shared" si="1372"/>
        <v/>
      </c>
      <c r="Q1570" s="120" t="str">
        <f t="shared" si="1373"/>
        <v/>
      </c>
      <c r="R1570" s="185"/>
    </row>
    <row r="1571" spans="1:18" s="315" customFormat="1">
      <c r="A1571" s="687" t="s">
        <v>4021</v>
      </c>
      <c r="B1571" s="2096">
        <v>1</v>
      </c>
      <c r="C1571" s="1907" t="s">
        <v>5103</v>
      </c>
      <c r="D1571" s="1935"/>
      <c r="E1571" s="1786"/>
      <c r="F1571" s="1908">
        <f>SUM(F1573:F1577)*(B1571-1)</f>
        <v>0</v>
      </c>
      <c r="G1571" s="712"/>
      <c r="H1571" s="712"/>
      <c r="I1571" s="712"/>
      <c r="J1571" s="713"/>
      <c r="K1571" s="684">
        <f t="shared" ref="K1571:K1574" si="1423">+K1570</f>
        <v>1</v>
      </c>
      <c r="L1571" s="1909">
        <f>B1571</f>
        <v>1</v>
      </c>
      <c r="M1571" s="684">
        <f t="shared" si="1422"/>
        <v>1</v>
      </c>
      <c r="N1571" s="362" t="str">
        <f t="shared" si="1370"/>
        <v/>
      </c>
      <c r="O1571" s="1763" t="str">
        <f t="shared" si="1371"/>
        <v/>
      </c>
      <c r="P1571" s="1764" t="str">
        <f t="shared" si="1372"/>
        <v/>
      </c>
      <c r="Q1571" s="120" t="str">
        <f t="shared" si="1373"/>
        <v/>
      </c>
    </row>
    <row r="1572" spans="1:18" s="185" customFormat="1">
      <c r="A1572" s="687" t="s">
        <v>4136</v>
      </c>
      <c r="B1572" s="1910">
        <v>3</v>
      </c>
      <c r="C1572" s="1911" t="str">
        <f>VLOOKUP(D1572,base_datos,6,FALSE)</f>
        <v>Portalámpara + lampara tipo LED - color Rojo - alimentacion: 220-230Vac, d=22mm. - CL2-523R - línea compacta - marca ABB.</v>
      </c>
      <c r="D1572" s="1790" t="s">
        <v>2439</v>
      </c>
      <c r="E1572" s="1939">
        <f>VLOOKUP(D1572,base_datos,5,FALSE)</f>
        <v>12.299999999999999</v>
      </c>
      <c r="F1572" s="1912">
        <f>+E1572*B1572</f>
        <v>36.9</v>
      </c>
      <c r="G1572" s="710"/>
      <c r="H1572" s="710"/>
      <c r="I1572" s="710"/>
      <c r="J1572" s="711"/>
      <c r="K1572" s="684">
        <f>+K1570</f>
        <v>1</v>
      </c>
      <c r="L1572" s="1913">
        <f>L1570</f>
        <v>1</v>
      </c>
      <c r="M1572" s="684">
        <f t="shared" si="1422"/>
        <v>3</v>
      </c>
      <c r="N1572" s="362">
        <f t="shared" si="1370"/>
        <v>3</v>
      </c>
      <c r="O1572" s="1763" t="str">
        <f t="shared" si="1371"/>
        <v>1SFA619403R5231</v>
      </c>
      <c r="P1572" s="1764" t="str">
        <f t="shared" si="1372"/>
        <v>Portalámpara + lampara tipo LED - color Rojo - alimentacion: 220-230Vac, d=22mm. - CL2-523R - línea compacta - marca ABB.</v>
      </c>
      <c r="Q1572" s="120" t="str">
        <f t="shared" si="1373"/>
        <v>LAMP_ROJO_220V</v>
      </c>
    </row>
    <row r="1573" spans="1:18" s="185" customFormat="1">
      <c r="A1573" s="687"/>
      <c r="B1573" s="1910">
        <v>3</v>
      </c>
      <c r="C1573" s="1911" t="str">
        <f>VLOOKUP(D1573,base_datos,6,FALSE)</f>
        <v>Portalámpara + lampara tipo LED - color Verde - alimentacion: 220-230Vac, d=22mm. - CL2-523G - línea compacta - marca ABB.</v>
      </c>
      <c r="D1573" s="1790" t="s">
        <v>2440</v>
      </c>
      <c r="E1573" s="1939">
        <f>VLOOKUP(D1573,base_datos,5,FALSE)</f>
        <v>12.299999999999999</v>
      </c>
      <c r="F1573" s="1912">
        <f>+E1573*B1573</f>
        <v>36.9</v>
      </c>
      <c r="G1573" s="710"/>
      <c r="H1573" s="710"/>
      <c r="I1573" s="710"/>
      <c r="J1573" s="711"/>
      <c r="K1573" s="684">
        <f>+K1571</f>
        <v>1</v>
      </c>
      <c r="L1573" s="1913">
        <f>L1571</f>
        <v>1</v>
      </c>
      <c r="M1573" s="684">
        <f t="shared" si="1422"/>
        <v>3</v>
      </c>
      <c r="N1573" s="362">
        <f t="shared" si="1370"/>
        <v>3</v>
      </c>
      <c r="O1573" s="1763" t="str">
        <f t="shared" si="1371"/>
        <v>1SFA619403R5232</v>
      </c>
      <c r="P1573" s="1764" t="str">
        <f t="shared" si="1372"/>
        <v>Portalámpara + lampara tipo LED - color Verde - alimentacion: 220-230Vac, d=22mm. - CL2-523G - línea compacta - marca ABB.</v>
      </c>
      <c r="Q1573" s="120" t="str">
        <f t="shared" si="1373"/>
        <v>LAMP_VERDE_220V</v>
      </c>
    </row>
    <row r="1574" spans="1:18" s="1921" customFormat="1">
      <c r="A1574" s="687" t="s">
        <v>12489</v>
      </c>
      <c r="B1574" s="1914">
        <v>1</v>
      </c>
      <c r="C1574" s="1915" t="s">
        <v>3366</v>
      </c>
      <c r="D1574" s="1916"/>
      <c r="E1574" s="1917"/>
      <c r="F1574" s="1918"/>
      <c r="G1574" s="1919"/>
      <c r="H1574" s="1919"/>
      <c r="I1574" s="1919"/>
      <c r="J1574" s="1920"/>
      <c r="K1574" s="684">
        <f t="shared" si="1423"/>
        <v>1</v>
      </c>
      <c r="L1574" s="1913">
        <f>L1573</f>
        <v>1</v>
      </c>
      <c r="M1574" s="684">
        <f t="shared" si="1422"/>
        <v>1</v>
      </c>
      <c r="N1574" s="362" t="str">
        <f t="shared" si="1370"/>
        <v/>
      </c>
      <c r="O1574" s="1763" t="str">
        <f t="shared" si="1371"/>
        <v/>
      </c>
      <c r="P1574" s="1764" t="str">
        <f t="shared" si="1372"/>
        <v/>
      </c>
      <c r="Q1574" s="120" t="str">
        <f t="shared" si="1373"/>
        <v/>
      </c>
    </row>
    <row r="1575" spans="1:18" s="320" customFormat="1">
      <c r="A1575" s="687" t="s">
        <v>12490</v>
      </c>
      <c r="B1575" s="1922">
        <v>1</v>
      </c>
      <c r="C1575" s="721" t="str">
        <f>VLOOKUP(D1575,base_datos,6,FALSE)</f>
        <v>Rele auxiliar enchufable +4NA/NC (D2PR4B + base D2PA6), 220Vac - marca EATON.</v>
      </c>
      <c r="D1575" s="1579" t="s">
        <v>772</v>
      </c>
      <c r="E1575" s="1581">
        <f>VLOOKUP(D1575,base_datos,5,FALSE)</f>
        <v>27</v>
      </c>
      <c r="F1575" s="1923">
        <f>+E1575*B1575</f>
        <v>27</v>
      </c>
      <c r="G1575" s="1924"/>
      <c r="H1575" s="1924"/>
      <c r="I1575" s="1924"/>
      <c r="J1575" s="722"/>
      <c r="K1575" s="684">
        <f>+K1572</f>
        <v>1</v>
      </c>
      <c r="L1575" s="1913">
        <f>L1572</f>
        <v>1</v>
      </c>
      <c r="M1575" s="684">
        <f t="shared" si="1422"/>
        <v>1</v>
      </c>
      <c r="N1575" s="362">
        <f t="shared" si="1370"/>
        <v>1</v>
      </c>
      <c r="O1575" s="1763" t="str">
        <f t="shared" si="1371"/>
        <v>D2PR4B+D2PA6</v>
      </c>
      <c r="P1575" s="1764" t="str">
        <f t="shared" si="1372"/>
        <v>Rele auxiliar enchufable +4NA/NC (D2PR4B + base D2PA6), 220Vac - marca EATON.</v>
      </c>
      <c r="Q1575" s="120" t="str">
        <f t="shared" si="1373"/>
        <v>D2PR4B+D2PA6</v>
      </c>
    </row>
    <row r="1576" spans="1:18" s="320" customFormat="1">
      <c r="A1576" s="687"/>
      <c r="B1576" s="2131">
        <v>1</v>
      </c>
      <c r="C1576" s="2132" t="s">
        <v>12558</v>
      </c>
      <c r="D1576" s="2133"/>
      <c r="E1576" s="2134">
        <v>32</v>
      </c>
      <c r="F1576" s="2134">
        <f>+E1576*B1576</f>
        <v>32</v>
      </c>
      <c r="G1576" s="1924"/>
      <c r="H1576" s="1924"/>
      <c r="I1576" s="1924"/>
      <c r="J1576" s="722"/>
      <c r="K1576" s="684">
        <f>+K1573</f>
        <v>1</v>
      </c>
      <c r="L1576" s="1913">
        <f>L1573</f>
        <v>1</v>
      </c>
      <c r="M1576" s="684">
        <f t="shared" si="1422"/>
        <v>1</v>
      </c>
      <c r="N1576" s="362" t="str">
        <f t="shared" si="1370"/>
        <v/>
      </c>
      <c r="O1576" s="1763" t="str">
        <f t="shared" si="1371"/>
        <v/>
      </c>
      <c r="P1576" s="1764" t="str">
        <f t="shared" si="1372"/>
        <v/>
      </c>
      <c r="Q1576" s="120" t="str">
        <f t="shared" si="1373"/>
        <v/>
      </c>
    </row>
    <row r="1577" spans="1:18" s="320" customFormat="1">
      <c r="A1577" s="687" t="s">
        <v>12551</v>
      </c>
      <c r="B1577" s="1922">
        <v>4</v>
      </c>
      <c r="C1577" s="721" t="str">
        <f>VLOOKUP(D1577,base_datos,6,FALSE)</f>
        <v>Base portafusibles + Fusibles de protección para control.</v>
      </c>
      <c r="D1577" s="1579" t="s">
        <v>453</v>
      </c>
      <c r="E1577" s="1581">
        <f>VLOOKUP(D1577,base_datos,5,FALSE)</f>
        <v>8.1750000000000007</v>
      </c>
      <c r="F1577" s="1923">
        <f>+E1577*B1577</f>
        <v>32.700000000000003</v>
      </c>
      <c r="G1577" s="1924"/>
      <c r="H1577" s="1924"/>
      <c r="I1577" s="1924"/>
      <c r="J1577" s="722"/>
      <c r="K1577" s="684">
        <f>+K1574</f>
        <v>1</v>
      </c>
      <c r="L1577" s="1913">
        <f>L1574</f>
        <v>1</v>
      </c>
      <c r="M1577" s="684">
        <f t="shared" si="1422"/>
        <v>4</v>
      </c>
      <c r="N1577" s="362" t="str">
        <f t="shared" si="1370"/>
        <v/>
      </c>
      <c r="O1577" s="1763" t="str">
        <f t="shared" si="1371"/>
        <v/>
      </c>
      <c r="P1577" s="1764" t="str">
        <f t="shared" si="1372"/>
        <v/>
      </c>
      <c r="Q1577" s="120" t="str">
        <f t="shared" si="1373"/>
        <v/>
      </c>
    </row>
    <row r="1578" spans="1:18" s="315" customFormat="1">
      <c r="A1578" s="687" t="s">
        <v>3542</v>
      </c>
      <c r="B1578" s="1906"/>
      <c r="C1578" s="1907"/>
      <c r="D1578" s="1935"/>
      <c r="E1578" s="1786"/>
      <c r="F1578" s="1936"/>
      <c r="G1578" s="712"/>
      <c r="H1578" s="712"/>
      <c r="I1578" s="712"/>
      <c r="J1578" s="713"/>
      <c r="K1578" s="684">
        <f t="shared" ref="K1578:K1622" si="1424">+K1575</f>
        <v>1</v>
      </c>
      <c r="L1578" s="1909">
        <f>B1578</f>
        <v>0</v>
      </c>
      <c r="M1578" s="684">
        <f t="shared" si="1422"/>
        <v>1</v>
      </c>
      <c r="N1578" s="362" t="str">
        <f t="shared" si="1370"/>
        <v/>
      </c>
      <c r="O1578" s="1763" t="str">
        <f t="shared" si="1371"/>
        <v/>
      </c>
      <c r="P1578" s="1764" t="str">
        <f t="shared" si="1372"/>
        <v/>
      </c>
      <c r="Q1578" s="120" t="str">
        <f t="shared" si="1373"/>
        <v/>
      </c>
    </row>
    <row r="1579" spans="1:18" s="185" customFormat="1" ht="13.5" customHeight="1">
      <c r="A1579" s="1771"/>
      <c r="B1579" s="1922"/>
      <c r="C1579" s="1956" t="s">
        <v>12368</v>
      </c>
      <c r="D1579" s="1579"/>
      <c r="E1579" s="1957"/>
      <c r="F1579" s="1958"/>
      <c r="G1579" s="710"/>
      <c r="H1579" s="710"/>
      <c r="I1579" s="710"/>
      <c r="J1579" s="711"/>
      <c r="K1579" s="684">
        <f t="shared" si="1424"/>
        <v>1</v>
      </c>
      <c r="L1579" s="708">
        <v>1</v>
      </c>
      <c r="M1579" s="684">
        <f t="shared" si="1422"/>
        <v>1</v>
      </c>
      <c r="N1579" s="362" t="str">
        <f t="shared" si="1370"/>
        <v/>
      </c>
      <c r="O1579" s="1763" t="str">
        <f t="shared" si="1371"/>
        <v/>
      </c>
      <c r="P1579" s="1764" t="str">
        <f t="shared" si="1372"/>
        <v/>
      </c>
      <c r="Q1579" s="120" t="str">
        <f t="shared" si="1373"/>
        <v/>
      </c>
    </row>
    <row r="1580" spans="1:18" s="120" customFormat="1" ht="18" customHeight="1">
      <c r="A1580" s="1771"/>
      <c r="B1580" s="1779">
        <v>6</v>
      </c>
      <c r="C1580" s="1892" t="str">
        <f>VLOOKUP(D1580,base_datos,6,FALSE)</f>
        <v>Transformador de tensión monofásico 480 / 240 Vac - 50VA.</v>
      </c>
      <c r="D1580" s="1898" t="s">
        <v>8587</v>
      </c>
      <c r="E1580" s="1581">
        <f>VLOOKUP(D1580,base_datos,5,FALSE)</f>
        <v>76.8</v>
      </c>
      <c r="F1580" s="1581">
        <f>+E1580*B1580</f>
        <v>460.79999999999995</v>
      </c>
      <c r="G1580" s="686"/>
      <c r="H1580" s="686"/>
      <c r="I1580" s="686"/>
      <c r="J1580" s="1768"/>
      <c r="K1580" s="684">
        <f t="shared" si="1424"/>
        <v>1</v>
      </c>
      <c r="L1580" s="708">
        <v>1</v>
      </c>
      <c r="M1580" s="709">
        <f t="shared" si="1422"/>
        <v>6</v>
      </c>
      <c r="N1580" s="362" t="str">
        <f t="shared" si="1370"/>
        <v/>
      </c>
      <c r="O1580" s="1763" t="str">
        <f t="shared" si="1371"/>
        <v/>
      </c>
      <c r="P1580" s="1764" t="str">
        <f t="shared" si="1372"/>
        <v/>
      </c>
      <c r="Q1580" s="120" t="str">
        <f t="shared" si="1373"/>
        <v/>
      </c>
      <c r="R1580" s="185"/>
    </row>
    <row r="1581" spans="1:18" s="120" customFormat="1" ht="18" customHeight="1">
      <c r="A1581" s="1767"/>
      <c r="B1581" s="1925"/>
      <c r="C1581" s="2231" t="s">
        <v>729</v>
      </c>
      <c r="D1581" s="1927"/>
      <c r="E1581" s="1891"/>
      <c r="F1581" s="1789"/>
      <c r="G1581" s="686"/>
      <c r="H1581" s="686"/>
      <c r="I1581" s="686"/>
      <c r="J1581" s="1768"/>
      <c r="K1581" s="684">
        <f t="shared" si="1424"/>
        <v>1</v>
      </c>
      <c r="L1581" s="363">
        <v>1</v>
      </c>
      <c r="M1581" s="709">
        <f t="shared" si="1422"/>
        <v>1</v>
      </c>
      <c r="N1581" s="362" t="str">
        <f t="shared" si="1370"/>
        <v/>
      </c>
      <c r="O1581" s="1763" t="str">
        <f t="shared" si="1371"/>
        <v/>
      </c>
      <c r="P1581" s="1764" t="str">
        <f t="shared" si="1372"/>
        <v/>
      </c>
      <c r="Q1581" s="120" t="str">
        <f t="shared" si="1373"/>
        <v/>
      </c>
    </row>
    <row r="1582" spans="1:18" s="120" customFormat="1" ht="18" customHeight="1">
      <c r="A1582" s="1767"/>
      <c r="B1582" s="1781"/>
      <c r="C1582" s="1959" t="s">
        <v>3158</v>
      </c>
      <c r="D1582" s="1900"/>
      <c r="E1582" s="1791"/>
      <c r="F1582" s="1782"/>
      <c r="G1582" s="686"/>
      <c r="H1582" s="686"/>
      <c r="I1582" s="686"/>
      <c r="J1582" s="688"/>
      <c r="K1582" s="684">
        <f t="shared" si="1424"/>
        <v>1</v>
      </c>
      <c r="L1582" s="708">
        <v>1</v>
      </c>
      <c r="M1582" s="709">
        <f t="shared" si="1422"/>
        <v>1</v>
      </c>
      <c r="N1582" s="362" t="str">
        <f t="shared" si="1370"/>
        <v/>
      </c>
      <c r="O1582" s="1763" t="str">
        <f t="shared" si="1371"/>
        <v/>
      </c>
      <c r="P1582" s="1764" t="str">
        <f t="shared" si="1372"/>
        <v/>
      </c>
      <c r="Q1582" s="120" t="str">
        <f t="shared" si="1373"/>
        <v/>
      </c>
      <c r="R1582" s="185"/>
    </row>
    <row r="1583" spans="1:18" s="690" customFormat="1" ht="18" customHeight="1">
      <c r="A1583" s="1767"/>
      <c r="B1583" s="2206">
        <v>1</v>
      </c>
      <c r="C1583" s="2207" t="s">
        <v>13027</v>
      </c>
      <c r="D1583" s="2208"/>
      <c r="E1583" s="2209">
        <v>212.15</v>
      </c>
      <c r="F1583" s="2210">
        <f t="shared" ref="F1583" si="1425">+E1583*B1583</f>
        <v>212.15</v>
      </c>
      <c r="G1583" s="1761"/>
      <c r="H1583" s="1761"/>
      <c r="I1583" s="1761"/>
      <c r="J1583" s="1783"/>
      <c r="K1583" s="684">
        <f t="shared" ref="K1583" si="1426">+K1581</f>
        <v>1</v>
      </c>
      <c r="L1583" s="708">
        <v>1</v>
      </c>
      <c r="M1583" s="684">
        <f t="shared" si="1422"/>
        <v>1</v>
      </c>
      <c r="N1583" s="362" t="str">
        <f t="shared" si="1370"/>
        <v/>
      </c>
      <c r="O1583" s="1763" t="str">
        <f t="shared" si="1371"/>
        <v/>
      </c>
      <c r="P1583" s="1764" t="str">
        <f t="shared" si="1372"/>
        <v/>
      </c>
      <c r="Q1583" s="120" t="str">
        <f t="shared" si="1373"/>
        <v/>
      </c>
      <c r="R1583" s="185"/>
    </row>
    <row r="1584" spans="1:18" s="185" customFormat="1" ht="18" customHeight="1">
      <c r="A1584" s="1767"/>
      <c r="B1584" s="714"/>
      <c r="C1584" s="313" t="s">
        <v>729</v>
      </c>
      <c r="D1584" s="173"/>
      <c r="E1584" s="1786"/>
      <c r="F1584" s="1787"/>
      <c r="G1584" s="710"/>
      <c r="H1584" s="710"/>
      <c r="I1584" s="710"/>
      <c r="J1584" s="711"/>
      <c r="K1584" s="684">
        <f t="shared" si="1424"/>
        <v>1</v>
      </c>
      <c r="L1584" s="708">
        <v>1</v>
      </c>
      <c r="M1584" s="709">
        <f t="shared" si="1422"/>
        <v>1</v>
      </c>
      <c r="N1584" s="362" t="str">
        <f t="shared" si="1370"/>
        <v/>
      </c>
      <c r="O1584" s="1763" t="str">
        <f t="shared" si="1371"/>
        <v/>
      </c>
      <c r="P1584" s="1764" t="str">
        <f t="shared" si="1372"/>
        <v/>
      </c>
      <c r="Q1584" s="120" t="str">
        <f t="shared" si="1373"/>
        <v/>
      </c>
    </row>
    <row r="1585" spans="1:19" s="690" customFormat="1" ht="18" customHeight="1">
      <c r="A1585" s="1785"/>
      <c r="B1585" s="1851"/>
      <c r="C1585" s="1966" t="s">
        <v>3377</v>
      </c>
      <c r="D1585" s="1582"/>
      <c r="E1585" s="1780"/>
      <c r="F1585" s="1782"/>
      <c r="G1585" s="1761"/>
      <c r="H1585" s="1761"/>
      <c r="I1585" s="1761"/>
      <c r="J1585" s="689"/>
      <c r="K1585" s="684">
        <f t="shared" si="1424"/>
        <v>1</v>
      </c>
      <c r="L1585" s="708">
        <v>1</v>
      </c>
      <c r="M1585" s="709">
        <f t="shared" si="1422"/>
        <v>1</v>
      </c>
      <c r="N1585" s="362" t="str">
        <f t="shared" si="1370"/>
        <v/>
      </c>
      <c r="O1585" s="1763" t="str">
        <f t="shared" si="1371"/>
        <v/>
      </c>
      <c r="P1585" s="1764" t="str">
        <f t="shared" si="1372"/>
        <v/>
      </c>
      <c r="Q1585" s="120" t="str">
        <f t="shared" si="1373"/>
        <v/>
      </c>
      <c r="R1585" s="185"/>
    </row>
    <row r="1586" spans="1:19" s="690" customFormat="1" ht="18" customHeight="1">
      <c r="A1586" s="1961"/>
      <c r="B1586" s="1781">
        <v>2</v>
      </c>
      <c r="C1586" s="1960" t="str">
        <f t="shared" ref="C1586" si="1427">VLOOKUP(D1586,base_datos,6,FALSE)</f>
        <v>ITM Riel-Din 2x40A - S202-C-40A - 10kA@400Vac-IEC60947-2 - marca ABB.</v>
      </c>
      <c r="D1586" s="231" t="s">
        <v>1009</v>
      </c>
      <c r="E1586" s="1791">
        <f t="shared" ref="E1586" si="1428">VLOOKUP(D1586,base_datos,5,FALSE)</f>
        <v>23.59</v>
      </c>
      <c r="F1586" s="1782">
        <f t="shared" ref="F1586" si="1429">+E1586*B1586</f>
        <v>47.18</v>
      </c>
      <c r="G1586" s="1761"/>
      <c r="H1586" s="1761"/>
      <c r="I1586" s="1761"/>
      <c r="J1586" s="1783"/>
      <c r="K1586" s="684">
        <f t="shared" si="1424"/>
        <v>1</v>
      </c>
      <c r="L1586" s="708">
        <v>1</v>
      </c>
      <c r="M1586" s="709">
        <f t="shared" si="1422"/>
        <v>2</v>
      </c>
      <c r="N1586" s="362">
        <f t="shared" si="1370"/>
        <v>2</v>
      </c>
      <c r="O1586" s="1763" t="str">
        <f t="shared" si="1371"/>
        <v>2CDS252001R0404</v>
      </c>
      <c r="P1586" s="1764" t="str">
        <f t="shared" si="1372"/>
        <v>ITM Riel-Din 2x40A - S202-C-40A - 10kA@400Vac-IEC60947-2 - marca ABB.</v>
      </c>
      <c r="Q1586" s="120" t="str">
        <f t="shared" si="1373"/>
        <v>S202-C-40A</v>
      </c>
      <c r="R1586" s="185"/>
    </row>
    <row r="1587" spans="1:19" s="315" customFormat="1">
      <c r="A1587" s="1785"/>
      <c r="B1587" s="355"/>
      <c r="C1587" s="1944" t="s">
        <v>3063</v>
      </c>
      <c r="D1587" s="2022"/>
      <c r="E1587" s="1786"/>
      <c r="F1587" s="1787"/>
      <c r="G1587" s="712"/>
      <c r="H1587" s="712"/>
      <c r="I1587" s="712"/>
      <c r="J1587" s="713"/>
      <c r="K1587" s="684">
        <f t="shared" si="1424"/>
        <v>1</v>
      </c>
      <c r="L1587" s="708">
        <v>1</v>
      </c>
      <c r="M1587" s="709">
        <f t="shared" si="1422"/>
        <v>1</v>
      </c>
      <c r="N1587" s="362" t="str">
        <f t="shared" si="1370"/>
        <v/>
      </c>
      <c r="O1587" s="1763" t="str">
        <f t="shared" si="1371"/>
        <v/>
      </c>
      <c r="P1587" s="1764" t="str">
        <f t="shared" si="1372"/>
        <v/>
      </c>
      <c r="Q1587" s="120" t="str">
        <f t="shared" si="1373"/>
        <v/>
      </c>
    </row>
    <row r="1588" spans="1:19" s="1921" customFormat="1">
      <c r="A1588" s="1961"/>
      <c r="B1588" s="1962">
        <v>1</v>
      </c>
      <c r="C1588" s="1963" t="s">
        <v>12370</v>
      </c>
      <c r="D1588" s="2022"/>
      <c r="E1588" s="1917"/>
      <c r="F1588" s="1937"/>
      <c r="G1588" s="1919"/>
      <c r="H1588" s="1919"/>
      <c r="I1588" s="1919"/>
      <c r="J1588" s="1920"/>
      <c r="K1588" s="684">
        <f t="shared" si="1424"/>
        <v>1</v>
      </c>
      <c r="L1588" s="708">
        <v>1</v>
      </c>
      <c r="M1588" s="709">
        <f t="shared" si="1422"/>
        <v>1</v>
      </c>
      <c r="N1588" s="362" t="str">
        <f t="shared" si="1370"/>
        <v/>
      </c>
      <c r="O1588" s="1763" t="str">
        <f t="shared" si="1371"/>
        <v/>
      </c>
      <c r="P1588" s="1764" t="str">
        <f t="shared" si="1372"/>
        <v/>
      </c>
      <c r="Q1588" s="120" t="str">
        <f t="shared" si="1373"/>
        <v/>
      </c>
    </row>
    <row r="1589" spans="1:19" s="897" customFormat="1" ht="18" customHeight="1">
      <c r="A1589" s="1771"/>
      <c r="B1589" s="1922">
        <v>6</v>
      </c>
      <c r="C1589" s="1964" t="str">
        <f t="shared" ref="C1589" si="1430">VLOOKUP(D1589,base_datos,6,FALSE)</f>
        <v>Borne 35mm2.</v>
      </c>
      <c r="D1589" s="1579" t="s">
        <v>8285</v>
      </c>
      <c r="E1589" s="1952">
        <f t="shared" ref="E1589" si="1431">VLOOKUP(D1589,base_datos,5,FALSE)</f>
        <v>15</v>
      </c>
      <c r="F1589" s="1580">
        <f>+E1589*B1589</f>
        <v>90</v>
      </c>
      <c r="G1589" s="1772"/>
      <c r="H1589" s="1772"/>
      <c r="I1589" s="1772"/>
      <c r="J1589" s="896"/>
      <c r="K1589" s="684">
        <f t="shared" si="1424"/>
        <v>1</v>
      </c>
      <c r="L1589" s="363">
        <v>1</v>
      </c>
      <c r="M1589" s="709">
        <f t="shared" si="1422"/>
        <v>6</v>
      </c>
      <c r="N1589" s="362" t="str">
        <f t="shared" si="1370"/>
        <v/>
      </c>
      <c r="O1589" s="1763" t="str">
        <f t="shared" si="1371"/>
        <v/>
      </c>
      <c r="P1589" s="1764" t="str">
        <f t="shared" si="1372"/>
        <v/>
      </c>
      <c r="Q1589" s="120" t="str">
        <f t="shared" si="1373"/>
        <v/>
      </c>
      <c r="R1589" s="690"/>
      <c r="S1589" s="690"/>
    </row>
    <row r="1590" spans="1:19" s="690" customFormat="1" ht="18" customHeight="1">
      <c r="A1590" s="1767"/>
      <c r="B1590" s="1781"/>
      <c r="C1590" s="313" t="s">
        <v>729</v>
      </c>
      <c r="D1590" s="231"/>
      <c r="E1590" s="1791"/>
      <c r="F1590" s="1782"/>
      <c r="G1590" s="1761"/>
      <c r="H1590" s="1761"/>
      <c r="I1590" s="1761"/>
      <c r="J1590" s="1783"/>
      <c r="K1590" s="684">
        <f t="shared" si="1424"/>
        <v>1</v>
      </c>
      <c r="L1590" s="708">
        <v>1</v>
      </c>
      <c r="M1590" s="709">
        <f t="shared" si="1422"/>
        <v>1</v>
      </c>
      <c r="N1590" s="362" t="str">
        <f t="shared" si="1370"/>
        <v/>
      </c>
      <c r="O1590" s="1763" t="str">
        <f t="shared" si="1371"/>
        <v/>
      </c>
      <c r="P1590" s="1764" t="str">
        <f t="shared" si="1372"/>
        <v/>
      </c>
      <c r="Q1590" s="120" t="str">
        <f t="shared" si="1373"/>
        <v/>
      </c>
      <c r="R1590" s="185"/>
    </row>
    <row r="1591" spans="1:19" s="690" customFormat="1" ht="18" customHeight="1">
      <c r="A1591" s="1767"/>
      <c r="B1591" s="1781">
        <v>1</v>
      </c>
      <c r="C1591" s="1960" t="str">
        <f t="shared" ref="C1591" si="1432">VLOOKUP(D1591,base_datos,6,FALSE)</f>
        <v>ITM Riel-Din 2x40A - S202-C-40A - 10kA@400Vac-IEC60947-2 - marca ABB.</v>
      </c>
      <c r="D1591" s="231" t="s">
        <v>1009</v>
      </c>
      <c r="E1591" s="1791">
        <f t="shared" ref="E1591" si="1433">VLOOKUP(D1591,base_datos,5,FALSE)</f>
        <v>23.59</v>
      </c>
      <c r="F1591" s="1782">
        <f t="shared" ref="F1591" si="1434">+E1591*B1591</f>
        <v>23.59</v>
      </c>
      <c r="G1591" s="1761"/>
      <c r="H1591" s="1761"/>
      <c r="I1591" s="1761"/>
      <c r="J1591" s="1783"/>
      <c r="K1591" s="684">
        <f t="shared" si="1424"/>
        <v>1</v>
      </c>
      <c r="L1591" s="708">
        <v>1</v>
      </c>
      <c r="M1591" s="709">
        <f t="shared" si="1422"/>
        <v>1</v>
      </c>
      <c r="N1591" s="362">
        <f t="shared" si="1370"/>
        <v>1</v>
      </c>
      <c r="O1591" s="1763" t="str">
        <f t="shared" si="1371"/>
        <v>2CDS252001R0404</v>
      </c>
      <c r="P1591" s="1764" t="str">
        <f t="shared" si="1372"/>
        <v>ITM Riel-Din 2x40A - S202-C-40A - 10kA@400Vac-IEC60947-2 - marca ABB.</v>
      </c>
      <c r="Q1591" s="120" t="str">
        <f t="shared" si="1373"/>
        <v>S202-C-40A</v>
      </c>
      <c r="R1591" s="185"/>
    </row>
    <row r="1592" spans="1:19" s="690" customFormat="1" ht="18" customHeight="1">
      <c r="A1592" s="691"/>
      <c r="B1592" s="1781">
        <v>2</v>
      </c>
      <c r="C1592" s="1420" t="str">
        <f>VLOOKUP(D1592,base_datos,6,FALSE)</f>
        <v>Protector de sobretensiones (Tipo 2) - OVR-T2_40-440_P-QS_1P - Un=230/400V, Uc=440V, Up=1.8kV - I_descarga=40kA - marca ABB.</v>
      </c>
      <c r="D1592" s="1901" t="s">
        <v>6448</v>
      </c>
      <c r="E1592" s="1791">
        <f>VLOOKUP(D1592,base_datos,5,FALSE)</f>
        <v>75.59</v>
      </c>
      <c r="F1592" s="1782">
        <f>+E1592*B1592</f>
        <v>151.18</v>
      </c>
      <c r="G1592" s="1761"/>
      <c r="H1592" s="1761"/>
      <c r="I1592" s="1761"/>
      <c r="J1592" s="1783"/>
      <c r="K1592" s="684">
        <f t="shared" si="1424"/>
        <v>1</v>
      </c>
      <c r="L1592" s="708">
        <v>1</v>
      </c>
      <c r="M1592" s="709">
        <f>IF(B1592="",1,B1592)</f>
        <v>2</v>
      </c>
      <c r="N1592" s="362">
        <f t="shared" si="1370"/>
        <v>2</v>
      </c>
      <c r="O1592" s="1763" t="str">
        <f t="shared" si="1371"/>
        <v>2CTB803871R1200</v>
      </c>
      <c r="P1592" s="1764" t="str">
        <f t="shared" si="1372"/>
        <v>Protector de sobretensiones (Tipo 2) - OVR-T2_40-440_P-QS_1P - Un=230/400V, Uc=440V, Up=1.8kV - I_descarga=40kA - marca ABB.</v>
      </c>
      <c r="Q1592" s="120" t="str">
        <f t="shared" si="1373"/>
        <v>OVR-T2_40-440_P-QS_1P</v>
      </c>
      <c r="R1592" s="185"/>
    </row>
    <row r="1593" spans="1:19" s="690" customFormat="1" ht="18" customHeight="1">
      <c r="A1593" s="1767"/>
      <c r="B1593" s="1781"/>
      <c r="C1593" s="313" t="s">
        <v>729</v>
      </c>
      <c r="D1593" s="231"/>
      <c r="E1593" s="1791"/>
      <c r="F1593" s="1782"/>
      <c r="G1593" s="1761"/>
      <c r="H1593" s="1761"/>
      <c r="I1593" s="1761"/>
      <c r="J1593" s="1783"/>
      <c r="K1593" s="684">
        <f t="shared" si="1424"/>
        <v>1</v>
      </c>
      <c r="L1593" s="708">
        <v>1</v>
      </c>
      <c r="M1593" s="709">
        <f t="shared" si="1422"/>
        <v>1</v>
      </c>
      <c r="N1593" s="362" t="str">
        <f t="shared" si="1370"/>
        <v/>
      </c>
      <c r="O1593" s="1763" t="str">
        <f t="shared" si="1371"/>
        <v/>
      </c>
      <c r="P1593" s="1764" t="str">
        <f t="shared" si="1372"/>
        <v/>
      </c>
      <c r="Q1593" s="120" t="str">
        <f t="shared" si="1373"/>
        <v/>
      </c>
      <c r="R1593" s="185"/>
    </row>
    <row r="1594" spans="1:19" s="315" customFormat="1">
      <c r="A1594" s="1785"/>
      <c r="B1594" s="1906">
        <v>1</v>
      </c>
      <c r="C1594" s="1907" t="s">
        <v>12491</v>
      </c>
      <c r="D1594" s="2017"/>
      <c r="E1594" s="1786"/>
      <c r="F1594" s="1936">
        <f>SUM(F1595:F1596)*(B1594-1)</f>
        <v>0</v>
      </c>
      <c r="G1594" s="712"/>
      <c r="H1594" s="712"/>
      <c r="I1594" s="712"/>
      <c r="J1594" s="713"/>
      <c r="K1594" s="684">
        <f t="shared" si="1424"/>
        <v>1</v>
      </c>
      <c r="L1594" s="1909">
        <f>B1594</f>
        <v>1</v>
      </c>
      <c r="M1594" s="684">
        <f t="shared" si="1422"/>
        <v>1</v>
      </c>
      <c r="N1594" s="362" t="str">
        <f t="shared" si="1370"/>
        <v/>
      </c>
      <c r="O1594" s="1763" t="str">
        <f t="shared" si="1371"/>
        <v/>
      </c>
      <c r="P1594" s="1764" t="str">
        <f t="shared" si="1372"/>
        <v/>
      </c>
      <c r="Q1594" s="120" t="str">
        <f t="shared" si="1373"/>
        <v/>
      </c>
    </row>
    <row r="1595" spans="1:19" s="185" customFormat="1">
      <c r="A1595" s="1961"/>
      <c r="B1595" s="1910">
        <v>2</v>
      </c>
      <c r="C1595" s="1911" t="str">
        <f>VLOOKUP(D1595,base_datos,6,FALSE)</f>
        <v>ITM Riel-Din 2x40A - S202-C-40A - 10kA@400Vac-IEC60947-2 - marca ABB.</v>
      </c>
      <c r="D1595" s="231" t="s">
        <v>1009</v>
      </c>
      <c r="E1595" s="1939">
        <f>VLOOKUP(D1595,base_datos,5,FALSE)</f>
        <v>23.59</v>
      </c>
      <c r="F1595" s="1912">
        <f>+E1595*B1595</f>
        <v>47.18</v>
      </c>
      <c r="G1595" s="710"/>
      <c r="H1595" s="710"/>
      <c r="I1595" s="710"/>
      <c r="J1595" s="711"/>
      <c r="K1595" s="684">
        <f t="shared" si="1424"/>
        <v>1</v>
      </c>
      <c r="L1595" s="1913">
        <f>L1594</f>
        <v>1</v>
      </c>
      <c r="M1595" s="709">
        <f t="shared" si="1422"/>
        <v>2</v>
      </c>
      <c r="N1595" s="362">
        <f t="shared" si="1370"/>
        <v>2</v>
      </c>
      <c r="O1595" s="1763" t="str">
        <f t="shared" si="1371"/>
        <v>2CDS252001R0404</v>
      </c>
      <c r="P1595" s="1764" t="str">
        <f t="shared" si="1372"/>
        <v>ITM Riel-Din 2x40A - S202-C-40A - 10kA@400Vac-IEC60947-2 - marca ABB.</v>
      </c>
      <c r="Q1595" s="120" t="str">
        <f t="shared" si="1373"/>
        <v>S202-C-40A</v>
      </c>
    </row>
    <row r="1596" spans="1:19" s="1921" customFormat="1">
      <c r="A1596" s="1771"/>
      <c r="B1596" s="1914">
        <v>1</v>
      </c>
      <c r="C1596" s="1911" t="s">
        <v>12492</v>
      </c>
      <c r="D1596" s="2067"/>
      <c r="E1596" s="1917">
        <v>70</v>
      </c>
      <c r="F1596" s="1912">
        <f>+E1596*B1596</f>
        <v>70</v>
      </c>
      <c r="G1596" s="1919"/>
      <c r="H1596" s="1919"/>
      <c r="I1596" s="1919"/>
      <c r="J1596" s="1920"/>
      <c r="K1596" s="684">
        <f t="shared" si="1424"/>
        <v>1</v>
      </c>
      <c r="L1596" s="1913">
        <f>L1595</f>
        <v>1</v>
      </c>
      <c r="M1596" s="709">
        <f t="shared" si="1422"/>
        <v>1</v>
      </c>
      <c r="N1596" s="362" t="str">
        <f t="shared" si="1370"/>
        <v/>
      </c>
      <c r="O1596" s="1763" t="str">
        <f t="shared" si="1371"/>
        <v/>
      </c>
      <c r="P1596" s="1764" t="str">
        <f t="shared" si="1372"/>
        <v/>
      </c>
      <c r="Q1596" s="120" t="str">
        <f t="shared" si="1373"/>
        <v/>
      </c>
    </row>
    <row r="1597" spans="1:19" s="185" customFormat="1" ht="18" customHeight="1">
      <c r="A1597" s="1767"/>
      <c r="B1597" s="714"/>
      <c r="C1597" s="313" t="s">
        <v>729</v>
      </c>
      <c r="D1597" s="173"/>
      <c r="E1597" s="1786"/>
      <c r="F1597" s="1787"/>
      <c r="G1597" s="710"/>
      <c r="H1597" s="710"/>
      <c r="I1597" s="710"/>
      <c r="J1597" s="711"/>
      <c r="K1597" s="684">
        <f t="shared" si="1424"/>
        <v>1</v>
      </c>
      <c r="L1597" s="708">
        <v>1</v>
      </c>
      <c r="M1597" s="709">
        <f t="shared" si="1422"/>
        <v>1</v>
      </c>
      <c r="N1597" s="362" t="str">
        <f t="shared" si="1370"/>
        <v/>
      </c>
      <c r="O1597" s="1763" t="str">
        <f t="shared" si="1371"/>
        <v/>
      </c>
      <c r="P1597" s="1764" t="str">
        <f t="shared" si="1372"/>
        <v/>
      </c>
      <c r="Q1597" s="120" t="str">
        <f t="shared" si="1373"/>
        <v/>
      </c>
    </row>
    <row r="1598" spans="1:19" s="690" customFormat="1">
      <c r="A1598" s="687"/>
      <c r="B1598" s="1851"/>
      <c r="C1598" s="1966" t="s">
        <v>2654</v>
      </c>
      <c r="D1598" s="1582"/>
      <c r="E1598" s="1780"/>
      <c r="F1598" s="1782"/>
      <c r="G1598" s="1761"/>
      <c r="H1598" s="1761"/>
      <c r="I1598" s="1761"/>
      <c r="J1598" s="689"/>
      <c r="K1598" s="684">
        <f t="shared" si="1424"/>
        <v>1</v>
      </c>
      <c r="L1598" s="363">
        <v>1</v>
      </c>
      <c r="M1598" s="684">
        <f t="shared" si="1422"/>
        <v>1</v>
      </c>
      <c r="N1598" s="362" t="str">
        <f t="shared" si="1370"/>
        <v/>
      </c>
      <c r="O1598" s="1763" t="str">
        <f t="shared" si="1371"/>
        <v/>
      </c>
      <c r="P1598" s="1764" t="str">
        <f t="shared" si="1372"/>
        <v/>
      </c>
      <c r="Q1598" s="120" t="str">
        <f t="shared" si="1373"/>
        <v/>
      </c>
      <c r="R1598" s="185"/>
    </row>
    <row r="1599" spans="1:19" s="690" customFormat="1" ht="18" customHeight="1">
      <c r="A1599" s="1767"/>
      <c r="B1599" s="1781">
        <v>1</v>
      </c>
      <c r="C1599" s="1960" t="str">
        <f t="shared" ref="C1599" si="1435">VLOOKUP(D1599,base_datos,6,FALSE)</f>
        <v>ITM Riel-Din 2x25A - S202-C-25A - 10kA@400Vac-IEC60947-2 - marca ABB.</v>
      </c>
      <c r="D1599" s="373" t="s">
        <v>973</v>
      </c>
      <c r="E1599" s="1791">
        <f t="shared" ref="E1599" si="1436">VLOOKUP(D1599,base_datos,5,FALSE)</f>
        <v>17.930000000000003</v>
      </c>
      <c r="F1599" s="1782">
        <f t="shared" ref="F1599" si="1437">+E1599*B1599</f>
        <v>17.930000000000003</v>
      </c>
      <c r="G1599" s="1761"/>
      <c r="H1599" s="1761"/>
      <c r="I1599" s="1761"/>
      <c r="J1599" s="1783"/>
      <c r="K1599" s="684">
        <f t="shared" si="1424"/>
        <v>1</v>
      </c>
      <c r="L1599" s="708">
        <v>1</v>
      </c>
      <c r="M1599" s="709">
        <f t="shared" ref="M1599" si="1438">IF(B1599="",1,B1599)</f>
        <v>1</v>
      </c>
      <c r="N1599" s="362">
        <f t="shared" ref="N1599" si="1439">IF(O1599&lt;&gt;"",K1599*L1599*M1599,"")</f>
        <v>1</v>
      </c>
      <c r="O1599" s="1763" t="str">
        <f t="shared" ref="O1599" si="1440">IF(D1599&lt;&gt;"",IF(VLOOKUP(D1599,base_datos,7,FALSE)&lt;&gt;"",VLOOKUP(D1599,base_datos,7,FALSE),""),"")</f>
        <v>2CDS252001R0254</v>
      </c>
      <c r="P1599" s="1764" t="str">
        <f t="shared" ref="P1599" si="1441">IF(O1599&lt;&gt;"",VLOOKUP(D1599,base_datos,6,FALSE),"")</f>
        <v>ITM Riel-Din 2x25A - S202-C-25A - 10kA@400Vac-IEC60947-2 - marca ABB.</v>
      </c>
      <c r="Q1599" s="120" t="str">
        <f t="shared" ref="Q1599" si="1442">IF(O1599&lt;&gt;"",D1599,"")</f>
        <v>S202-C-25A</v>
      </c>
      <c r="R1599" s="185"/>
    </row>
    <row r="1600" spans="1:19" s="690" customFormat="1" ht="18" customHeight="1">
      <c r="A1600" s="1767"/>
      <c r="B1600" s="1781">
        <v>5</v>
      </c>
      <c r="C1600" s="1960" t="str">
        <f t="shared" ref="C1600" si="1443">VLOOKUP(D1600,base_datos,6,FALSE)</f>
        <v>ITM Riel-Din 2x16A - S202-C-16A - 10kA@400Vac-IEC60947-2 - marca ABB.</v>
      </c>
      <c r="D1600" s="373" t="s">
        <v>970</v>
      </c>
      <c r="E1600" s="1791">
        <f t="shared" ref="E1600" si="1444">VLOOKUP(D1600,base_datos,5,FALSE)</f>
        <v>17.96</v>
      </c>
      <c r="F1600" s="1782">
        <f t="shared" ref="F1600" si="1445">+E1600*B1600</f>
        <v>89.800000000000011</v>
      </c>
      <c r="G1600" s="1761"/>
      <c r="H1600" s="1761"/>
      <c r="I1600" s="1761"/>
      <c r="J1600" s="1783"/>
      <c r="K1600" s="684">
        <f t="shared" si="1424"/>
        <v>1</v>
      </c>
      <c r="L1600" s="708">
        <v>1</v>
      </c>
      <c r="M1600" s="709">
        <f t="shared" si="1422"/>
        <v>5</v>
      </c>
      <c r="N1600" s="362">
        <f t="shared" si="1370"/>
        <v>5</v>
      </c>
      <c r="O1600" s="1763" t="str">
        <f t="shared" si="1371"/>
        <v>2CDS252001R0164</v>
      </c>
      <c r="P1600" s="1764" t="str">
        <f t="shared" si="1372"/>
        <v>ITM Riel-Din 2x16A - S202-C-16A - 10kA@400Vac-IEC60947-2 - marca ABB.</v>
      </c>
      <c r="Q1600" s="120" t="str">
        <f t="shared" si="1373"/>
        <v>S202-C-16A</v>
      </c>
      <c r="R1600" s="185"/>
    </row>
    <row r="1601" spans="1:20" s="690" customFormat="1" ht="18" customHeight="1">
      <c r="A1601" s="1767"/>
      <c r="B1601" s="2023">
        <v>6</v>
      </c>
      <c r="C1601" s="2041" t="str">
        <f>VLOOKUP(D1601,base_datos,6,FALSE)</f>
        <v>Interruptor Diferencial 2x25A - 30mA - clase A-APR (alta inmunización) - F202-A APR-25A-30mA  - marca ABB.</v>
      </c>
      <c r="D1601" s="231" t="s">
        <v>1135</v>
      </c>
      <c r="E1601" s="2025">
        <f>VLOOKUP(D1601,base_datos,5,FALSE)</f>
        <v>86.79</v>
      </c>
      <c r="F1601" s="2026">
        <f>+E1601*B1601</f>
        <v>520.74</v>
      </c>
      <c r="G1601" s="1761"/>
      <c r="H1601" s="1761"/>
      <c r="I1601" s="1761"/>
      <c r="J1601" s="1783"/>
      <c r="K1601" s="684">
        <f t="shared" si="1424"/>
        <v>1</v>
      </c>
      <c r="L1601" s="708">
        <v>1</v>
      </c>
      <c r="M1601" s="709">
        <f>IF(B1601="",1,B1601)</f>
        <v>6</v>
      </c>
      <c r="N1601" s="362">
        <f t="shared" si="1370"/>
        <v>6</v>
      </c>
      <c r="O1601" s="1763" t="str">
        <f t="shared" si="1371"/>
        <v>2CSF202401R1250</v>
      </c>
      <c r="P1601" s="1764" t="str">
        <f t="shared" si="1372"/>
        <v>Interruptor Diferencial 2x25A - 30mA - clase A-APR (alta inmunización) - F202-A APR-25A-30mA  - marca ABB.</v>
      </c>
      <c r="Q1601" s="120" t="str">
        <f t="shared" si="1373"/>
        <v>F202-A APR-25A-30mA</v>
      </c>
      <c r="R1601" s="185"/>
    </row>
    <row r="1602" spans="1:20" s="1236" customFormat="1" ht="18" customHeight="1">
      <c r="A1602" s="1767"/>
      <c r="B1602" s="1781">
        <v>2</v>
      </c>
      <c r="C1602" s="1991" t="str">
        <f t="shared" ref="C1602" si="1446">VLOOKUP(D1602,base_datos,6,FALSE)</f>
        <v>Espacio de reserva monofasica + interruptor diferencial - Riel-Din.</v>
      </c>
      <c r="D1602" s="764" t="s">
        <v>2926</v>
      </c>
      <c r="E1602" s="1792">
        <f t="shared" ref="E1602" si="1447">VLOOKUP(D1602,base_datos,5,FALSE)</f>
        <v>2.5</v>
      </c>
      <c r="F1602" s="1793">
        <f t="shared" ref="F1602" si="1448">+E1602*B1602</f>
        <v>5</v>
      </c>
      <c r="G1602" s="1784"/>
      <c r="H1602" s="1784"/>
      <c r="I1602" s="1784"/>
      <c r="J1602" s="1182"/>
      <c r="K1602" s="684">
        <f t="shared" si="1424"/>
        <v>1</v>
      </c>
      <c r="L1602" s="708">
        <v>1</v>
      </c>
      <c r="M1602" s="709">
        <f t="shared" ref="M1602:M1624" si="1449">IF(B1602="",1,B1602)</f>
        <v>2</v>
      </c>
      <c r="N1602" s="362" t="str">
        <f t="shared" si="1370"/>
        <v/>
      </c>
      <c r="O1602" s="1763" t="str">
        <f t="shared" si="1371"/>
        <v/>
      </c>
      <c r="P1602" s="1764" t="str">
        <f t="shared" si="1372"/>
        <v/>
      </c>
      <c r="Q1602" s="120" t="str">
        <f t="shared" si="1373"/>
        <v/>
      </c>
      <c r="R1602" s="185"/>
    </row>
    <row r="1603" spans="1:20" s="185" customFormat="1" ht="18" customHeight="1">
      <c r="A1603" s="1785"/>
      <c r="B1603" s="714"/>
      <c r="C1603" s="313" t="s">
        <v>729</v>
      </c>
      <c r="D1603" s="173"/>
      <c r="E1603" s="1786"/>
      <c r="F1603" s="1787"/>
      <c r="G1603" s="710"/>
      <c r="H1603" s="710"/>
      <c r="I1603" s="710"/>
      <c r="J1603" s="711"/>
      <c r="K1603" s="684">
        <f t="shared" si="1424"/>
        <v>1</v>
      </c>
      <c r="L1603" s="708">
        <v>1</v>
      </c>
      <c r="M1603" s="709">
        <f t="shared" si="1449"/>
        <v>1</v>
      </c>
      <c r="N1603" s="362" t="str">
        <f t="shared" si="1370"/>
        <v/>
      </c>
      <c r="O1603" s="1763" t="str">
        <f t="shared" si="1371"/>
        <v/>
      </c>
      <c r="P1603" s="1764" t="str">
        <f t="shared" si="1372"/>
        <v/>
      </c>
      <c r="Q1603" s="120" t="str">
        <f t="shared" si="1373"/>
        <v/>
      </c>
    </row>
    <row r="1604" spans="1:20" s="315" customFormat="1" ht="18.75" customHeight="1">
      <c r="A1604" s="2271"/>
      <c r="B1604" s="2272">
        <v>1</v>
      </c>
      <c r="C1604" s="2281" t="s">
        <v>13366</v>
      </c>
      <c r="D1604" s="1935"/>
      <c r="E1604" s="2287"/>
      <c r="F1604" s="2257">
        <f>+SUM(F1605:F1608)*(B1604-1)</f>
        <v>0</v>
      </c>
      <c r="G1604" s="712"/>
      <c r="H1604" s="712"/>
      <c r="I1604" s="712"/>
      <c r="J1604" s="713"/>
      <c r="K1604" s="684">
        <f t="shared" ref="K1604:K1609" si="1450">+K1603</f>
        <v>1</v>
      </c>
      <c r="L1604" s="708">
        <v>1</v>
      </c>
      <c r="M1604" s="709">
        <f t="shared" si="1449"/>
        <v>1</v>
      </c>
      <c r="N1604" s="112" t="str">
        <f t="shared" ref="N1604:N1609" si="1451">IF(O1604&lt;&gt;"",K1604*L1604*M1604,"")</f>
        <v/>
      </c>
      <c r="O1604" s="112" t="str">
        <f t="shared" ref="O1604:O1609" si="1452">IF(D1604&lt;&gt;"",IF(VLOOKUP(D1604,base_datos,7,FALSE)&lt;&gt;"",VLOOKUP(D1604,base_datos,7,FALSE),""),"")</f>
        <v/>
      </c>
      <c r="P1604" s="120" t="str">
        <f t="shared" ref="P1604:P1609" si="1453">IF(O1604&lt;&gt;"",VLOOKUP(D1604,base_datos,6,FALSE),"")</f>
        <v/>
      </c>
      <c r="Q1604" s="120" t="str">
        <f t="shared" ref="Q1604:Q1609" si="1454">IF(O1604&lt;&gt;"",D1604,"")</f>
        <v/>
      </c>
      <c r="S1604" s="112" t="str">
        <f t="shared" ref="S1604:S1609" si="1455">IF(O1604&lt;&gt;"",VLOOKUP(D1604,base_datos,9,FALSE),"")</f>
        <v/>
      </c>
      <c r="T1604" s="2128"/>
    </row>
    <row r="1605" spans="1:20" s="690" customFormat="1" ht="18" customHeight="1">
      <c r="A1605" s="2273"/>
      <c r="B1605" s="1781">
        <v>1</v>
      </c>
      <c r="C1605" s="1420" t="str">
        <f t="shared" ref="C1605:C1608" si="1456">VLOOKUP(D1605,base_datos,6,FALSE)</f>
        <v>Calefactor resistivo 60W, modelo RACM - marca FANDIS.</v>
      </c>
      <c r="D1605" s="1899" t="s">
        <v>3298</v>
      </c>
      <c r="E1605" s="2288">
        <f t="shared" ref="E1605" si="1457">VLOOKUP(D1605,base_datos,5,FALSE)</f>
        <v>127.1</v>
      </c>
      <c r="F1605" s="1782">
        <f>+E1605*B1605</f>
        <v>127.1</v>
      </c>
      <c r="G1605" s="1761"/>
      <c r="H1605" s="1761"/>
      <c r="I1605" s="1761"/>
      <c r="J1605" s="689"/>
      <c r="K1605" s="684">
        <f t="shared" si="1450"/>
        <v>1</v>
      </c>
      <c r="L1605" s="708">
        <v>1</v>
      </c>
      <c r="M1605" s="709">
        <f t="shared" si="1449"/>
        <v>1</v>
      </c>
      <c r="N1605" s="112">
        <f t="shared" si="1451"/>
        <v>1</v>
      </c>
      <c r="O1605" s="112" t="str">
        <f t="shared" si="1452"/>
        <v>RACM-60</v>
      </c>
      <c r="P1605" s="120" t="str">
        <f t="shared" si="1453"/>
        <v>Calefactor resistivo 60W, modelo RACM - marca FANDIS.</v>
      </c>
      <c r="Q1605" s="120" t="str">
        <f t="shared" si="1454"/>
        <v>CALEFACT-60W_FAND</v>
      </c>
      <c r="S1605" s="112" t="str">
        <f t="shared" si="1455"/>
        <v>FANDIS</v>
      </c>
      <c r="T1605" s="1765"/>
    </row>
    <row r="1606" spans="1:20" s="690" customFormat="1" ht="18" customHeight="1">
      <c r="A1606" s="2273"/>
      <c r="B1606" s="1781">
        <v>1</v>
      </c>
      <c r="C1606" s="1420" t="str">
        <f t="shared" si="1456"/>
        <v>Termostato para ventilación - 1NA - 230V - marca FANDIS.</v>
      </c>
      <c r="D1606" s="1899" t="s">
        <v>3294</v>
      </c>
      <c r="E1606" s="2288">
        <f t="shared" ref="E1606:E1608" si="1458">VLOOKUP(D1606,base_datos,5,FALSE)</f>
        <v>41.58</v>
      </c>
      <c r="F1606" s="1782">
        <f>+E1606*B1606</f>
        <v>41.58</v>
      </c>
      <c r="G1606" s="1761"/>
      <c r="H1606" s="1761"/>
      <c r="I1606" s="1761"/>
      <c r="J1606" s="689"/>
      <c r="K1606" s="684">
        <f t="shared" si="1450"/>
        <v>1</v>
      </c>
      <c r="L1606" s="708">
        <v>1</v>
      </c>
      <c r="M1606" s="709">
        <f t="shared" si="1449"/>
        <v>1</v>
      </c>
      <c r="N1606" s="112">
        <f t="shared" si="1451"/>
        <v>1</v>
      </c>
      <c r="O1606" s="112" t="str">
        <f t="shared" si="1452"/>
        <v>TRT-10A230V-NO</v>
      </c>
      <c r="P1606" s="120" t="str">
        <f t="shared" si="1453"/>
        <v>Termostato para ventilación - 1NA - 230V - marca FANDIS.</v>
      </c>
      <c r="Q1606" s="120" t="str">
        <f t="shared" si="1454"/>
        <v>TRT-1NA</v>
      </c>
      <c r="S1606" s="112" t="str">
        <f t="shared" si="1455"/>
        <v>FANDIS</v>
      </c>
      <c r="T1606" s="1765"/>
    </row>
    <row r="1607" spans="1:20" s="320" customFormat="1" ht="12.75" customHeight="1">
      <c r="A1607" s="2274"/>
      <c r="B1607" s="2275">
        <v>1</v>
      </c>
      <c r="C1607" s="2282" t="str">
        <f t="shared" si="1456"/>
        <v>Base portafusibles + Fusibles de protección para control.</v>
      </c>
      <c r="D1607" s="1579" t="s">
        <v>453</v>
      </c>
      <c r="E1607" s="2289">
        <f t="shared" si="1458"/>
        <v>8.1750000000000007</v>
      </c>
      <c r="F1607" s="2264">
        <f>+E1607*B1607</f>
        <v>8.1750000000000007</v>
      </c>
      <c r="G1607" s="2276"/>
      <c r="H1607" s="2276"/>
      <c r="I1607" s="2276"/>
      <c r="J1607" s="722"/>
      <c r="K1607" s="684">
        <f t="shared" si="1450"/>
        <v>1</v>
      </c>
      <c r="L1607" s="708">
        <v>1</v>
      </c>
      <c r="M1607" s="709">
        <f t="shared" si="1449"/>
        <v>1</v>
      </c>
      <c r="N1607" s="112" t="str">
        <f t="shared" si="1451"/>
        <v/>
      </c>
      <c r="O1607" s="112" t="str">
        <f t="shared" si="1452"/>
        <v/>
      </c>
      <c r="P1607" s="120" t="str">
        <f t="shared" si="1453"/>
        <v/>
      </c>
      <c r="Q1607" s="120" t="str">
        <f t="shared" si="1454"/>
        <v/>
      </c>
      <c r="R1607" s="185"/>
      <c r="S1607" s="112" t="str">
        <f t="shared" si="1455"/>
        <v/>
      </c>
      <c r="T1607" s="709"/>
    </row>
    <row r="1608" spans="1:20" s="320" customFormat="1" ht="12.75" customHeight="1">
      <c r="A1608" s="2274"/>
      <c r="B1608" s="2277">
        <v>1</v>
      </c>
      <c r="C1608" s="2282" t="str">
        <f t="shared" si="1456"/>
        <v>Borne 4mm2.</v>
      </c>
      <c r="D1608" s="1579" t="s">
        <v>437</v>
      </c>
      <c r="E1608" s="2260">
        <f t="shared" si="1458"/>
        <v>2.5</v>
      </c>
      <c r="F1608" s="2260">
        <f>+E1608*B1608</f>
        <v>2.5</v>
      </c>
      <c r="G1608" s="2276"/>
      <c r="H1608" s="2276"/>
      <c r="I1608" s="2276"/>
      <c r="J1608" s="722"/>
      <c r="K1608" s="684">
        <f t="shared" si="1450"/>
        <v>1</v>
      </c>
      <c r="L1608" s="708">
        <v>1</v>
      </c>
      <c r="M1608" s="709">
        <f t="shared" si="1449"/>
        <v>1</v>
      </c>
      <c r="N1608" s="112" t="str">
        <f t="shared" si="1451"/>
        <v/>
      </c>
      <c r="O1608" s="112" t="str">
        <f t="shared" si="1452"/>
        <v/>
      </c>
      <c r="P1608" s="120" t="str">
        <f t="shared" si="1453"/>
        <v/>
      </c>
      <c r="Q1608" s="120" t="str">
        <f t="shared" si="1454"/>
        <v/>
      </c>
      <c r="R1608" s="185"/>
      <c r="S1608" s="112" t="str">
        <f t="shared" si="1455"/>
        <v/>
      </c>
      <c r="T1608" s="709"/>
    </row>
    <row r="1609" spans="1:20" s="185" customFormat="1" ht="12.75" customHeight="1">
      <c r="A1609" s="2262"/>
      <c r="B1609" s="1760"/>
      <c r="C1609" s="1893" t="s">
        <v>729</v>
      </c>
      <c r="D1609" s="169"/>
      <c r="E1609" s="2256"/>
      <c r="F1609" s="2278"/>
      <c r="G1609" s="710"/>
      <c r="H1609" s="710"/>
      <c r="I1609" s="710"/>
      <c r="J1609" s="711"/>
      <c r="K1609" s="684">
        <f t="shared" si="1450"/>
        <v>1</v>
      </c>
      <c r="L1609" s="708">
        <v>1</v>
      </c>
      <c r="M1609" s="709">
        <f t="shared" si="1449"/>
        <v>1</v>
      </c>
      <c r="N1609" s="112" t="str">
        <f t="shared" si="1451"/>
        <v/>
      </c>
      <c r="O1609" s="112" t="str">
        <f t="shared" si="1452"/>
        <v/>
      </c>
      <c r="P1609" s="120" t="str">
        <f t="shared" si="1453"/>
        <v/>
      </c>
      <c r="Q1609" s="120" t="str">
        <f t="shared" si="1454"/>
        <v/>
      </c>
      <c r="S1609" s="112" t="str">
        <f t="shared" si="1455"/>
        <v/>
      </c>
      <c r="T1609" s="118"/>
    </row>
    <row r="1610" spans="1:20" s="1236" customFormat="1" ht="18" customHeight="1">
      <c r="A1610" s="1767"/>
      <c r="B1610" s="1853">
        <v>1</v>
      </c>
      <c r="C1610" s="1895" t="s">
        <v>12364</v>
      </c>
      <c r="D1610" s="1902"/>
      <c r="E1610" s="2104"/>
      <c r="F1610" s="1793"/>
      <c r="G1610" s="1784"/>
      <c r="H1610" s="1784"/>
      <c r="I1610" s="1784"/>
      <c r="J1610" s="1182"/>
      <c r="K1610" s="684">
        <f>+K1601</f>
        <v>1</v>
      </c>
      <c r="L1610" s="708">
        <v>1</v>
      </c>
      <c r="M1610" s="709">
        <f t="shared" si="1449"/>
        <v>1</v>
      </c>
      <c r="N1610" s="362" t="str">
        <f t="shared" si="1370"/>
        <v/>
      </c>
      <c r="O1610" s="1763" t="str">
        <f t="shared" si="1371"/>
        <v/>
      </c>
      <c r="P1610" s="1764" t="str">
        <f t="shared" si="1372"/>
        <v/>
      </c>
      <c r="Q1610" s="120" t="str">
        <f t="shared" si="1373"/>
        <v/>
      </c>
      <c r="R1610" s="185"/>
    </row>
    <row r="1611" spans="1:20" s="695" customFormat="1" ht="18" customHeight="1">
      <c r="A1611" s="693"/>
      <c r="B1611" s="1922">
        <v>1</v>
      </c>
      <c r="C1611" s="1848" t="str">
        <f t="shared" ref="C1611" si="1459">VLOOKUP(D1611,base_datos,6,FALSE)</f>
        <v>Placa lamicoid rotulación de 3mm de espesor, fondo negro y letras blancas.</v>
      </c>
      <c r="D1611" s="1886" t="s">
        <v>8570</v>
      </c>
      <c r="E1611" s="2105">
        <f t="shared" ref="E1611" si="1460">VLOOKUP(D1611,base_datos,5,FALSE)</f>
        <v>2.2000000000000002</v>
      </c>
      <c r="F1611" s="1796">
        <f t="shared" ref="F1611" si="1461">+E1611*B1611</f>
        <v>2.2000000000000002</v>
      </c>
      <c r="G1611" s="696"/>
      <c r="H1611" s="696"/>
      <c r="I1611" s="696"/>
      <c r="J1611" s="697"/>
      <c r="K1611" s="684">
        <f>+K1602</f>
        <v>1</v>
      </c>
      <c r="L1611" s="708">
        <v>1</v>
      </c>
      <c r="M1611" s="709">
        <f t="shared" si="1449"/>
        <v>1</v>
      </c>
      <c r="N1611" s="362">
        <f t="shared" si="1370"/>
        <v>1</v>
      </c>
      <c r="O1611" s="1763" t="str">
        <f t="shared" si="1371"/>
        <v>Placa lamicoid p/distr.</v>
      </c>
      <c r="P1611" s="1764" t="str">
        <f t="shared" si="1372"/>
        <v>Placa lamicoid rotulación de 3mm de espesor, fondo negro y letras blancas.</v>
      </c>
      <c r="Q1611" s="120" t="str">
        <f t="shared" si="1373"/>
        <v>Placa lamicoid p/distr.</v>
      </c>
      <c r="R1611" s="185"/>
    </row>
    <row r="1612" spans="1:20" s="1236" customFormat="1" ht="18" customHeight="1">
      <c r="A1612" s="2081"/>
      <c r="B1612" s="2090">
        <v>1</v>
      </c>
      <c r="C1612" s="2099" t="s">
        <v>12474</v>
      </c>
      <c r="D1612" s="1902"/>
      <c r="E1612" s="2104"/>
      <c r="F1612" s="1793"/>
      <c r="G1612" s="1784"/>
      <c r="H1612" s="1784"/>
      <c r="I1612" s="1784"/>
      <c r="J1612" s="1182"/>
      <c r="K1612" s="684">
        <f>+K1603</f>
        <v>1</v>
      </c>
      <c r="L1612" s="708">
        <v>1</v>
      </c>
      <c r="M1612" s="709">
        <f t="shared" si="1449"/>
        <v>1</v>
      </c>
      <c r="N1612" s="362" t="str">
        <f t="shared" ref="N1612:N1680" si="1462">IF(O1612&lt;&gt;"",K1612*L1612*M1612,"")</f>
        <v/>
      </c>
      <c r="O1612" s="1763" t="str">
        <f t="shared" ref="O1612:O1680" si="1463">IF(D1612&lt;&gt;"",IF(VLOOKUP(D1612,base_datos,7,FALSE)&lt;&gt;"",VLOOKUP(D1612,base_datos,7,FALSE),""),"")</f>
        <v/>
      </c>
      <c r="P1612" s="1764" t="str">
        <f t="shared" ref="P1612:P1680" si="1464">IF(O1612&lt;&gt;"",VLOOKUP(D1612,base_datos,6,FALSE),"")</f>
        <v/>
      </c>
      <c r="Q1612" s="120" t="str">
        <f t="shared" ref="Q1612:Q1680" si="1465">IF(O1612&lt;&gt;"",D1612,"")</f>
        <v/>
      </c>
      <c r="R1612" s="185"/>
    </row>
    <row r="1613" spans="1:20" s="1236" customFormat="1" ht="18" customHeight="1">
      <c r="A1613" s="2081"/>
      <c r="B1613" s="2090">
        <v>1</v>
      </c>
      <c r="C1613" s="1964" t="str">
        <f>VLOOKUP(D1613,base_datos,6,FALSE)</f>
        <v>Embalaje especial completamente cerrado para tablero adosado de 1600x600x220mm</v>
      </c>
      <c r="D1613" s="1902" t="s">
        <v>12453</v>
      </c>
      <c r="E1613" s="2105">
        <f t="shared" ref="E1613" si="1466">VLOOKUP(D1613,base_datos,5,FALSE)</f>
        <v>271.40000000000003</v>
      </c>
      <c r="F1613" s="1796">
        <f t="shared" ref="F1613" si="1467">+E1613*B1613</f>
        <v>271.40000000000003</v>
      </c>
      <c r="G1613" s="1784"/>
      <c r="H1613" s="1784"/>
      <c r="I1613" s="1784"/>
      <c r="J1613" s="1182"/>
      <c r="K1613" s="684">
        <f t="shared" si="1424"/>
        <v>1</v>
      </c>
      <c r="L1613" s="708">
        <v>1</v>
      </c>
      <c r="M1613" s="709">
        <f t="shared" si="1449"/>
        <v>1</v>
      </c>
      <c r="N1613" s="362">
        <f t="shared" si="1462"/>
        <v>1</v>
      </c>
      <c r="O1613" s="1763" t="str">
        <f t="shared" si="1463"/>
        <v>EMBAL_ADOS_1600x600x220mm</v>
      </c>
      <c r="P1613" s="1764" t="str">
        <f t="shared" si="1464"/>
        <v>Embalaje especial completamente cerrado para tablero adosado de 1600x600x220mm</v>
      </c>
      <c r="Q1613" s="120" t="str">
        <f t="shared" si="1465"/>
        <v>EMBAL_ADOS_1600x600x220mm</v>
      </c>
      <c r="R1613" s="185"/>
    </row>
    <row r="1614" spans="1:20" s="185" customFormat="1" ht="18" customHeight="1">
      <c r="A1614" s="2098"/>
      <c r="B1614" s="2087"/>
      <c r="C1614" s="186" t="s">
        <v>729</v>
      </c>
      <c r="D1614" s="173"/>
      <c r="E1614" s="2106"/>
      <c r="F1614" s="1787"/>
      <c r="G1614" s="710"/>
      <c r="H1614" s="710"/>
      <c r="I1614" s="710"/>
      <c r="J1614" s="711"/>
      <c r="K1614" s="684">
        <f t="shared" si="1424"/>
        <v>1</v>
      </c>
      <c r="L1614" s="708">
        <v>1</v>
      </c>
      <c r="M1614" s="709">
        <f t="shared" si="1449"/>
        <v>1</v>
      </c>
      <c r="N1614" s="362" t="str">
        <f t="shared" si="1462"/>
        <v/>
      </c>
      <c r="O1614" s="1763" t="str">
        <f t="shared" si="1463"/>
        <v/>
      </c>
      <c r="P1614" s="1764" t="str">
        <f t="shared" si="1464"/>
        <v/>
      </c>
      <c r="Q1614" s="120" t="str">
        <f t="shared" si="1465"/>
        <v/>
      </c>
    </row>
    <row r="1615" spans="1:20">
      <c r="B1615" s="2101"/>
      <c r="D1615" s="2103"/>
      <c r="F1615" s="2108"/>
      <c r="J1615" s="2097"/>
      <c r="K1615" s="684">
        <f t="shared" si="1424"/>
        <v>1</v>
      </c>
    </row>
    <row r="1616" spans="1:20" s="695" customFormat="1" ht="18" customHeight="1">
      <c r="A1616" s="1584"/>
      <c r="B1616" s="2102">
        <v>1</v>
      </c>
      <c r="C1616" s="2050" t="s">
        <v>2910</v>
      </c>
      <c r="D1616" s="2069"/>
      <c r="E1616" s="2107">
        <v>15</v>
      </c>
      <c r="F1616" s="2048">
        <v>15</v>
      </c>
      <c r="G1616" s="696"/>
      <c r="H1616" s="696"/>
      <c r="I1616" s="696"/>
      <c r="J1616" s="697"/>
      <c r="K1616" s="684">
        <f t="shared" si="1424"/>
        <v>1</v>
      </c>
      <c r="L1616" s="708">
        <v>1</v>
      </c>
      <c r="M1616" s="709">
        <f t="shared" si="1449"/>
        <v>1</v>
      </c>
      <c r="N1616" s="362" t="str">
        <f t="shared" si="1462"/>
        <v/>
      </c>
      <c r="O1616" s="1763" t="str">
        <f t="shared" si="1463"/>
        <v/>
      </c>
      <c r="P1616" s="1764" t="str">
        <f t="shared" si="1464"/>
        <v/>
      </c>
      <c r="Q1616" s="120" t="str">
        <f t="shared" si="1465"/>
        <v/>
      </c>
      <c r="R1616" s="185"/>
    </row>
    <row r="1617" spans="1:18" s="695" customFormat="1" ht="18" customHeight="1">
      <c r="A1617" s="1584"/>
      <c r="B1617" s="2091">
        <v>1</v>
      </c>
      <c r="C1617" s="2100" t="str">
        <f t="shared" ref="C1617" si="1468">VLOOKUP(D1617,base_datos,6,FALSE)</f>
        <v>Barra a tierra.</v>
      </c>
      <c r="D1617" s="1790" t="s">
        <v>8299</v>
      </c>
      <c r="E1617" s="2105">
        <f t="shared" ref="E1617" si="1469">VLOOKUP(D1617,base_datos,5,FALSE)</f>
        <v>10</v>
      </c>
      <c r="F1617" s="1796">
        <f t="shared" ref="F1617" si="1470">+E1617*B1617</f>
        <v>10</v>
      </c>
      <c r="G1617" s="696"/>
      <c r="H1617" s="696"/>
      <c r="I1617" s="696"/>
      <c r="J1617" s="697"/>
      <c r="K1617" s="684">
        <f t="shared" si="1424"/>
        <v>1</v>
      </c>
      <c r="L1617" s="708">
        <v>1</v>
      </c>
      <c r="M1617" s="709">
        <f>IF(B1617="",1,B1617)</f>
        <v>1</v>
      </c>
      <c r="N1617" s="362" t="str">
        <f>IF(O1617&lt;&gt;"",K1617*L1617*M1617,"")</f>
        <v/>
      </c>
      <c r="O1617" s="1763" t="str">
        <f>IF(D1617&lt;&gt;"",IF(VLOOKUP(D1617,base_datos,7,FALSE)&lt;&gt;"",VLOOKUP(D1617,base_datos,7,FALSE),""),"")</f>
        <v/>
      </c>
      <c r="P1617" s="1764" t="str">
        <f>IF(O1617&lt;&gt;"",VLOOKUP(D1617,base_datos,6,FALSE),"")</f>
        <v/>
      </c>
      <c r="Q1617" s="120" t="str">
        <f>IF(O1617&lt;&gt;"",D1617,"")</f>
        <v/>
      </c>
      <c r="R1617" s="185"/>
    </row>
    <row r="1618" spans="1:18" s="185" customFormat="1" ht="18" customHeight="1">
      <c r="A1618" s="1785"/>
      <c r="B1618" s="714"/>
      <c r="C1618" s="1893" t="s">
        <v>729</v>
      </c>
      <c r="D1618" s="173"/>
      <c r="E1618" s="1786"/>
      <c r="F1618" s="1787"/>
      <c r="G1618" s="710"/>
      <c r="H1618" s="710"/>
      <c r="I1618" s="710"/>
      <c r="J1618" s="711"/>
      <c r="K1618" s="684">
        <f t="shared" si="1424"/>
        <v>1</v>
      </c>
      <c r="L1618" s="708">
        <v>1</v>
      </c>
      <c r="M1618" s="709">
        <f t="shared" si="1449"/>
        <v>1</v>
      </c>
      <c r="N1618" s="362" t="str">
        <f t="shared" si="1462"/>
        <v/>
      </c>
      <c r="O1618" s="1763" t="str">
        <f t="shared" si="1463"/>
        <v/>
      </c>
      <c r="P1618" s="1764" t="str">
        <f t="shared" si="1464"/>
        <v/>
      </c>
      <c r="Q1618" s="120" t="str">
        <f t="shared" si="1465"/>
        <v/>
      </c>
    </row>
    <row r="1619" spans="1:18" s="897" customFormat="1" ht="18" customHeight="1">
      <c r="A1619" s="693"/>
      <c r="B1619" s="895">
        <v>17</v>
      </c>
      <c r="C1619" s="721" t="str">
        <f>VLOOKUP(D1619,base_datos,6,FALSE)</f>
        <v>Rotulado por circuito.</v>
      </c>
      <c r="D1619" s="1579" t="s">
        <v>3067</v>
      </c>
      <c r="E1619" s="1581">
        <f>VLOOKUP(D1619,base_datos,5,FALSE)</f>
        <v>0.7</v>
      </c>
      <c r="F1619" s="1581">
        <f t="shared" ref="F1619:F1624" si="1471">+E1619*B1619</f>
        <v>11.899999999999999</v>
      </c>
      <c r="G1619" s="1772"/>
      <c r="H1619" s="1772"/>
      <c r="I1619" s="1772"/>
      <c r="J1619" s="896"/>
      <c r="K1619" s="684">
        <f t="shared" si="1424"/>
        <v>1</v>
      </c>
      <c r="L1619" s="708">
        <v>1</v>
      </c>
      <c r="M1619" s="709">
        <f t="shared" si="1449"/>
        <v>17</v>
      </c>
      <c r="N1619" s="362" t="str">
        <f t="shared" si="1462"/>
        <v/>
      </c>
      <c r="O1619" s="1763" t="str">
        <f t="shared" si="1463"/>
        <v/>
      </c>
      <c r="P1619" s="1764" t="str">
        <f t="shared" si="1464"/>
        <v/>
      </c>
      <c r="Q1619" s="120" t="str">
        <f t="shared" si="1465"/>
        <v/>
      </c>
    </row>
    <row r="1620" spans="1:18" s="897" customFormat="1" ht="18" customHeight="1">
      <c r="A1620" s="693"/>
      <c r="B1620" s="895">
        <v>1</v>
      </c>
      <c r="C1620" s="721" t="str">
        <f>VLOOKUP(D1620,base_datos,6,FALSE)</f>
        <v>Rotulado para TAG - tablero de distribución.</v>
      </c>
      <c r="D1620" s="1579" t="s">
        <v>3066</v>
      </c>
      <c r="E1620" s="1581">
        <f>VLOOKUP(D1620,base_datos,5,FALSE)</f>
        <v>1.5</v>
      </c>
      <c r="F1620" s="1581">
        <f t="shared" si="1471"/>
        <v>1.5</v>
      </c>
      <c r="G1620" s="1772"/>
      <c r="H1620" s="1772"/>
      <c r="I1620" s="1772"/>
      <c r="J1620" s="896"/>
      <c r="K1620" s="684">
        <f t="shared" si="1424"/>
        <v>1</v>
      </c>
      <c r="L1620" s="708">
        <v>1</v>
      </c>
      <c r="M1620" s="709">
        <f t="shared" si="1449"/>
        <v>1</v>
      </c>
      <c r="N1620" s="362" t="str">
        <f t="shared" si="1462"/>
        <v/>
      </c>
      <c r="O1620" s="1763" t="str">
        <f t="shared" si="1463"/>
        <v/>
      </c>
      <c r="P1620" s="1764" t="str">
        <f t="shared" si="1464"/>
        <v/>
      </c>
      <c r="Q1620" s="120" t="str">
        <f t="shared" si="1465"/>
        <v/>
      </c>
    </row>
    <row r="1621" spans="1:18" s="1237" customFormat="1" ht="18" customHeight="1">
      <c r="A1621" s="1767"/>
      <c r="B1621" s="1773">
        <v>1</v>
      </c>
      <c r="C1621" s="1992" t="s">
        <v>11664</v>
      </c>
      <c r="D1621" s="2070"/>
      <c r="E1621" s="1581">
        <v>110</v>
      </c>
      <c r="F1621" s="1581">
        <f t="shared" si="1471"/>
        <v>110</v>
      </c>
      <c r="G1621" s="1774"/>
      <c r="H1621" s="1774"/>
      <c r="I1621" s="1774"/>
      <c r="J1621" s="1181"/>
      <c r="K1621" s="684">
        <f t="shared" si="1424"/>
        <v>1</v>
      </c>
      <c r="L1621" s="708">
        <v>1</v>
      </c>
      <c r="M1621" s="709">
        <f t="shared" si="1449"/>
        <v>1</v>
      </c>
      <c r="N1621" s="362" t="str">
        <f t="shared" si="1462"/>
        <v/>
      </c>
      <c r="O1621" s="1763" t="str">
        <f t="shared" si="1463"/>
        <v/>
      </c>
      <c r="P1621" s="1764" t="str">
        <f t="shared" si="1464"/>
        <v/>
      </c>
      <c r="Q1621" s="120" t="str">
        <f t="shared" si="1465"/>
        <v/>
      </c>
      <c r="R1621" s="1765"/>
    </row>
    <row r="1622" spans="1:18" s="1237" customFormat="1" ht="18" customHeight="1">
      <c r="A1622" s="1767"/>
      <c r="B1622" s="2093">
        <v>1</v>
      </c>
      <c r="C1622" s="694" t="s">
        <v>12552</v>
      </c>
      <c r="D1622" s="1888"/>
      <c r="E1622" s="1580">
        <f>E1624*15%</f>
        <v>27</v>
      </c>
      <c r="F1622" s="1581">
        <f t="shared" si="1471"/>
        <v>27</v>
      </c>
      <c r="G1622" s="1774"/>
      <c r="H1622" s="1774"/>
      <c r="I1622" s="1774"/>
      <c r="J1622" s="1181"/>
      <c r="K1622" s="684">
        <f t="shared" si="1424"/>
        <v>1</v>
      </c>
      <c r="L1622" s="708">
        <v>1</v>
      </c>
      <c r="M1622" s="709">
        <f t="shared" si="1449"/>
        <v>1</v>
      </c>
      <c r="N1622" s="362" t="str">
        <f t="shared" ref="N1622:N1623" si="1472">IF(O1622&lt;&gt;"",K1622*L1622*M1622,"")</f>
        <v/>
      </c>
      <c r="O1622" s="1763" t="str">
        <f t="shared" ref="O1622:O1623" si="1473">IF(D1622&lt;&gt;"",IF(VLOOKUP(D1622,base_datos,7,FALSE)&lt;&gt;"",VLOOKUP(D1622,base_datos,7,FALSE),""),"")</f>
        <v/>
      </c>
      <c r="P1622" s="1764" t="str">
        <f t="shared" ref="P1622:P1623" si="1474">IF(O1622&lt;&gt;"",VLOOKUP(D1622,base_datos,6,FALSE),"")</f>
        <v/>
      </c>
      <c r="Q1622" s="120" t="str">
        <f t="shared" ref="Q1622:Q1623" si="1475">IF(O1622&lt;&gt;"",D1622,"")</f>
        <v/>
      </c>
      <c r="R1622" s="1765"/>
    </row>
    <row r="1623" spans="1:18" s="1237" customFormat="1" ht="18" customHeight="1">
      <c r="A1623" s="1767"/>
      <c r="B1623" s="1773">
        <v>1</v>
      </c>
      <c r="C1623" s="694" t="s">
        <v>12559</v>
      </c>
      <c r="D1623" s="1888"/>
      <c r="E1623" s="1999">
        <f>E1624*20%</f>
        <v>36</v>
      </c>
      <c r="F1623" s="1581">
        <f t="shared" si="1471"/>
        <v>36</v>
      </c>
      <c r="G1623" s="1774"/>
      <c r="H1623" s="1774"/>
      <c r="I1623" s="1774"/>
      <c r="J1623" s="1181"/>
      <c r="K1623" s="684">
        <f>+K1621</f>
        <v>1</v>
      </c>
      <c r="L1623" s="708">
        <v>1</v>
      </c>
      <c r="M1623" s="709">
        <f t="shared" si="1449"/>
        <v>1</v>
      </c>
      <c r="N1623" s="362" t="str">
        <f t="shared" si="1472"/>
        <v/>
      </c>
      <c r="O1623" s="1763" t="str">
        <f t="shared" si="1473"/>
        <v/>
      </c>
      <c r="P1623" s="1764" t="str">
        <f t="shared" si="1474"/>
        <v/>
      </c>
      <c r="Q1623" s="120" t="str">
        <f t="shared" si="1475"/>
        <v/>
      </c>
      <c r="R1623" s="1765"/>
    </row>
    <row r="1624" spans="1:18" s="1237" customFormat="1" ht="18" customHeight="1">
      <c r="A1624" s="1767"/>
      <c r="B1624" s="1773">
        <v>1</v>
      </c>
      <c r="C1624" s="694" t="s">
        <v>12493</v>
      </c>
      <c r="D1624" s="2071"/>
      <c r="E1624" s="1581">
        <v>180</v>
      </c>
      <c r="F1624" s="1581">
        <f t="shared" si="1471"/>
        <v>180</v>
      </c>
      <c r="G1624" s="1774"/>
      <c r="H1624" s="1774"/>
      <c r="I1624" s="1774"/>
      <c r="J1624" s="1181"/>
      <c r="K1624" s="684">
        <f>+K1620</f>
        <v>1</v>
      </c>
      <c r="L1624" s="708">
        <v>1</v>
      </c>
      <c r="M1624" s="709">
        <f t="shared" si="1449"/>
        <v>1</v>
      </c>
      <c r="N1624" s="362" t="str">
        <f t="shared" si="1462"/>
        <v/>
      </c>
      <c r="O1624" s="1763" t="str">
        <f t="shared" si="1463"/>
        <v/>
      </c>
      <c r="P1624" s="1764" t="str">
        <f t="shared" si="1464"/>
        <v/>
      </c>
      <c r="Q1624" s="120" t="str">
        <f t="shared" si="1465"/>
        <v/>
      </c>
      <c r="R1624" s="1765"/>
    </row>
    <row r="1625" spans="1:18" s="120" customFormat="1" ht="18" customHeight="1" thickBot="1">
      <c r="A1625" s="1855"/>
      <c r="B1625" s="1854"/>
      <c r="C1625" s="1797"/>
      <c r="D1625" s="2072"/>
      <c r="E1625" s="1981"/>
      <c r="F1625" s="1981"/>
      <c r="G1625" s="1798"/>
      <c r="H1625" s="1798"/>
      <c r="I1625" s="1798"/>
      <c r="J1625" s="1799"/>
      <c r="K1625" s="1788"/>
      <c r="L1625" s="363"/>
      <c r="M1625" s="684"/>
      <c r="N1625" s="362" t="str">
        <f t="shared" si="1462"/>
        <v/>
      </c>
      <c r="O1625" s="1763" t="str">
        <f t="shared" si="1463"/>
        <v/>
      </c>
      <c r="P1625" s="1764" t="str">
        <f t="shared" si="1464"/>
        <v/>
      </c>
      <c r="Q1625" s="120" t="str">
        <f t="shared" si="1465"/>
        <v/>
      </c>
      <c r="R1625" s="185"/>
    </row>
    <row r="1626" spans="1:18" s="120" customFormat="1" ht="18" customHeight="1" thickBot="1">
      <c r="A1626" s="1989">
        <v>28</v>
      </c>
      <c r="B1626" s="1852">
        <v>1</v>
      </c>
      <c r="C1626" s="1756" t="s">
        <v>12590</v>
      </c>
      <c r="D1626" s="1588"/>
      <c r="E1626" s="1589"/>
      <c r="F1626" s="1589"/>
      <c r="G1626" s="1757">
        <f>SUM(F1627:F1679)</f>
        <v>2487.605</v>
      </c>
      <c r="H1626" s="1758">
        <f>G1626*(1-$D$6)</f>
        <v>2487.605</v>
      </c>
      <c r="I1626" s="1757">
        <f>ROUNDUP(H1626*$D$5,0)</f>
        <v>8458</v>
      </c>
      <c r="J1626" s="1759">
        <f>+I1626*B1626</f>
        <v>8458</v>
      </c>
      <c r="K1626" s="1788">
        <f>B1626</f>
        <v>1</v>
      </c>
      <c r="L1626" s="363"/>
      <c r="M1626" s="684"/>
      <c r="N1626" s="362" t="str">
        <f t="shared" si="1462"/>
        <v/>
      </c>
      <c r="O1626" s="1763" t="str">
        <f t="shared" si="1463"/>
        <v/>
      </c>
      <c r="P1626" s="1764" t="str">
        <f t="shared" si="1464"/>
        <v/>
      </c>
      <c r="Q1626" s="120" t="str">
        <f t="shared" si="1465"/>
        <v/>
      </c>
      <c r="R1626" s="185"/>
    </row>
    <row r="1627" spans="1:18" s="120" customFormat="1" ht="18" customHeight="1">
      <c r="A1627" s="687" t="s">
        <v>3064</v>
      </c>
      <c r="B1627" s="1779"/>
      <c r="C1627" s="1954"/>
      <c r="D1627" s="1927"/>
      <c r="E1627" s="1780"/>
      <c r="F1627" s="1789"/>
      <c r="G1627" s="686"/>
      <c r="H1627" s="686"/>
      <c r="I1627" s="686"/>
      <c r="J1627" s="1768"/>
      <c r="K1627" s="684">
        <f>K1626</f>
        <v>1</v>
      </c>
      <c r="L1627" s="708">
        <v>1</v>
      </c>
      <c r="M1627" s="709">
        <f t="shared" ref="M1627:M1656" si="1476">IF(B1627="",1,B1627)</f>
        <v>1</v>
      </c>
      <c r="N1627" s="362" t="str">
        <f t="shared" si="1462"/>
        <v/>
      </c>
      <c r="O1627" s="1763" t="str">
        <f t="shared" si="1463"/>
        <v/>
      </c>
      <c r="P1627" s="1764" t="str">
        <f t="shared" si="1464"/>
        <v/>
      </c>
      <c r="Q1627" s="120" t="str">
        <f t="shared" si="1465"/>
        <v/>
      </c>
      <c r="R1627" s="185"/>
    </row>
    <row r="1628" spans="1:18" s="315" customFormat="1">
      <c r="A1628" s="687" t="s">
        <v>4021</v>
      </c>
      <c r="B1628" s="2096">
        <v>1</v>
      </c>
      <c r="C1628" s="1907" t="s">
        <v>5103</v>
      </c>
      <c r="D1628" s="1935"/>
      <c r="E1628" s="1786"/>
      <c r="F1628" s="1908">
        <f>SUM(F1630:F1634)*(B1628-1)</f>
        <v>0</v>
      </c>
      <c r="G1628" s="712"/>
      <c r="H1628" s="712"/>
      <c r="I1628" s="712"/>
      <c r="J1628" s="713"/>
      <c r="K1628" s="684">
        <f t="shared" ref="K1628" si="1477">+K1627</f>
        <v>1</v>
      </c>
      <c r="L1628" s="1909">
        <f>B1628</f>
        <v>1</v>
      </c>
      <c r="M1628" s="684">
        <f t="shared" si="1476"/>
        <v>1</v>
      </c>
      <c r="N1628" s="362" t="str">
        <f t="shared" si="1462"/>
        <v/>
      </c>
      <c r="O1628" s="1763" t="str">
        <f t="shared" si="1463"/>
        <v/>
      </c>
      <c r="P1628" s="1764" t="str">
        <f t="shared" si="1464"/>
        <v/>
      </c>
      <c r="Q1628" s="120" t="str">
        <f t="shared" si="1465"/>
        <v/>
      </c>
    </row>
    <row r="1629" spans="1:18" s="185" customFormat="1">
      <c r="A1629" s="687" t="s">
        <v>4136</v>
      </c>
      <c r="B1629" s="1910">
        <v>3</v>
      </c>
      <c r="C1629" s="1911" t="str">
        <f>VLOOKUP(D1629,base_datos,6,FALSE)</f>
        <v>Portalámpara + lampara tipo LED - color Rojo - alimentacion: 220-230Vac, d=22mm. - CL2-523R - línea compacta - marca ABB.</v>
      </c>
      <c r="D1629" s="1790" t="s">
        <v>2439</v>
      </c>
      <c r="E1629" s="1939">
        <f>VLOOKUP(D1629,base_datos,5,FALSE)</f>
        <v>12.299999999999999</v>
      </c>
      <c r="F1629" s="1912">
        <f>+E1629*B1629</f>
        <v>36.9</v>
      </c>
      <c r="G1629" s="710"/>
      <c r="H1629" s="710"/>
      <c r="I1629" s="710"/>
      <c r="J1629" s="711"/>
      <c r="K1629" s="684">
        <f>+K1627</f>
        <v>1</v>
      </c>
      <c r="L1629" s="1913">
        <f>L1627</f>
        <v>1</v>
      </c>
      <c r="M1629" s="684">
        <f t="shared" si="1476"/>
        <v>3</v>
      </c>
      <c r="N1629" s="362">
        <f t="shared" si="1462"/>
        <v>3</v>
      </c>
      <c r="O1629" s="1763" t="str">
        <f t="shared" si="1463"/>
        <v>1SFA619403R5231</v>
      </c>
      <c r="P1629" s="1764" t="str">
        <f t="shared" si="1464"/>
        <v>Portalámpara + lampara tipo LED - color Rojo - alimentacion: 220-230Vac, d=22mm. - CL2-523R - línea compacta - marca ABB.</v>
      </c>
      <c r="Q1629" s="120" t="str">
        <f t="shared" si="1465"/>
        <v>LAMP_ROJO_220V</v>
      </c>
    </row>
    <row r="1630" spans="1:18" s="185" customFormat="1">
      <c r="A1630" s="687"/>
      <c r="B1630" s="1910">
        <v>3</v>
      </c>
      <c r="C1630" s="1911" t="str">
        <f>VLOOKUP(D1630,base_datos,6,FALSE)</f>
        <v>Portalámpara + lampara tipo LED - color Verde - alimentacion: 220-230Vac, d=22mm. - CL2-523G - línea compacta - marca ABB.</v>
      </c>
      <c r="D1630" s="1790" t="s">
        <v>2440</v>
      </c>
      <c r="E1630" s="1939">
        <f>VLOOKUP(D1630,base_datos,5,FALSE)</f>
        <v>12.299999999999999</v>
      </c>
      <c r="F1630" s="1912">
        <f>+E1630*B1630</f>
        <v>36.9</v>
      </c>
      <c r="G1630" s="710"/>
      <c r="H1630" s="710"/>
      <c r="I1630" s="710"/>
      <c r="J1630" s="711"/>
      <c r="K1630" s="684">
        <f>+K1628</f>
        <v>1</v>
      </c>
      <c r="L1630" s="1913">
        <f>L1628</f>
        <v>1</v>
      </c>
      <c r="M1630" s="684">
        <f t="shared" si="1476"/>
        <v>3</v>
      </c>
      <c r="N1630" s="362">
        <f t="shared" si="1462"/>
        <v>3</v>
      </c>
      <c r="O1630" s="1763" t="str">
        <f t="shared" si="1463"/>
        <v>1SFA619403R5232</v>
      </c>
      <c r="P1630" s="1764" t="str">
        <f t="shared" si="1464"/>
        <v>Portalámpara + lampara tipo LED - color Verde - alimentacion: 220-230Vac, d=22mm. - CL2-523G - línea compacta - marca ABB.</v>
      </c>
      <c r="Q1630" s="120" t="str">
        <f t="shared" si="1465"/>
        <v>LAMP_VERDE_220V</v>
      </c>
    </row>
    <row r="1631" spans="1:18" s="1921" customFormat="1">
      <c r="A1631" s="687" t="s">
        <v>12489</v>
      </c>
      <c r="B1631" s="1914">
        <v>1</v>
      </c>
      <c r="C1631" s="1915" t="s">
        <v>3366</v>
      </c>
      <c r="D1631" s="1916"/>
      <c r="E1631" s="1917"/>
      <c r="F1631" s="1918"/>
      <c r="G1631" s="1919"/>
      <c r="H1631" s="1919"/>
      <c r="I1631" s="1919"/>
      <c r="J1631" s="1920"/>
      <c r="K1631" s="684">
        <f t="shared" ref="K1631:K1679" si="1478">+K1629</f>
        <v>1</v>
      </c>
      <c r="L1631" s="1913">
        <f>L1630</f>
        <v>1</v>
      </c>
      <c r="M1631" s="684">
        <f t="shared" si="1476"/>
        <v>1</v>
      </c>
      <c r="N1631" s="362" t="str">
        <f t="shared" si="1462"/>
        <v/>
      </c>
      <c r="O1631" s="1763" t="str">
        <f t="shared" si="1463"/>
        <v/>
      </c>
      <c r="P1631" s="1764" t="str">
        <f t="shared" si="1464"/>
        <v/>
      </c>
      <c r="Q1631" s="120" t="str">
        <f t="shared" si="1465"/>
        <v/>
      </c>
    </row>
    <row r="1632" spans="1:18" s="320" customFormat="1">
      <c r="A1632" s="687" t="s">
        <v>12490</v>
      </c>
      <c r="B1632" s="1922">
        <v>1</v>
      </c>
      <c r="C1632" s="721" t="str">
        <f>VLOOKUP(D1632,base_datos,6,FALSE)</f>
        <v>Rele auxiliar enchufable +4NA/NC (D2PR4B + base D2PA6), 220Vac - marca EATON.</v>
      </c>
      <c r="D1632" s="1579" t="s">
        <v>772</v>
      </c>
      <c r="E1632" s="1581">
        <f>VLOOKUP(D1632,base_datos,5,FALSE)</f>
        <v>27</v>
      </c>
      <c r="F1632" s="1923">
        <f>+E1632*B1632</f>
        <v>27</v>
      </c>
      <c r="G1632" s="1924"/>
      <c r="H1632" s="1924"/>
      <c r="I1632" s="1924"/>
      <c r="J1632" s="722"/>
      <c r="K1632" s="684">
        <f t="shared" si="1478"/>
        <v>1</v>
      </c>
      <c r="L1632" s="1913">
        <f>L1629</f>
        <v>1</v>
      </c>
      <c r="M1632" s="684">
        <f t="shared" si="1476"/>
        <v>1</v>
      </c>
      <c r="N1632" s="362">
        <f t="shared" si="1462"/>
        <v>1</v>
      </c>
      <c r="O1632" s="1763" t="str">
        <f t="shared" si="1463"/>
        <v>D2PR4B+D2PA6</v>
      </c>
      <c r="P1632" s="1764" t="str">
        <f t="shared" si="1464"/>
        <v>Rele auxiliar enchufable +4NA/NC (D2PR4B + base D2PA6), 220Vac - marca EATON.</v>
      </c>
      <c r="Q1632" s="120" t="str">
        <f t="shared" si="1465"/>
        <v>D2PR4B+D2PA6</v>
      </c>
    </row>
    <row r="1633" spans="1:19" s="320" customFormat="1">
      <c r="A1633" s="687"/>
      <c r="B1633" s="2131">
        <v>1</v>
      </c>
      <c r="C1633" s="2132" t="s">
        <v>12558</v>
      </c>
      <c r="D1633" s="2133"/>
      <c r="E1633" s="2134">
        <v>32</v>
      </c>
      <c r="F1633" s="2134">
        <f>+E1633*B1633</f>
        <v>32</v>
      </c>
      <c r="G1633" s="1924"/>
      <c r="H1633" s="1924"/>
      <c r="I1633" s="1924"/>
      <c r="J1633" s="722"/>
      <c r="K1633" s="684">
        <f t="shared" si="1478"/>
        <v>1</v>
      </c>
      <c r="L1633" s="1913">
        <f>L1630</f>
        <v>1</v>
      </c>
      <c r="M1633" s="684">
        <f t="shared" si="1476"/>
        <v>1</v>
      </c>
      <c r="N1633" s="362" t="str">
        <f t="shared" si="1462"/>
        <v/>
      </c>
      <c r="O1633" s="1763" t="str">
        <f t="shared" si="1463"/>
        <v/>
      </c>
      <c r="P1633" s="1764" t="str">
        <f t="shared" si="1464"/>
        <v/>
      </c>
      <c r="Q1633" s="120" t="str">
        <f t="shared" si="1465"/>
        <v/>
      </c>
    </row>
    <row r="1634" spans="1:19" s="320" customFormat="1">
      <c r="A1634" s="687" t="s">
        <v>12551</v>
      </c>
      <c r="B1634" s="1922">
        <v>4</v>
      </c>
      <c r="C1634" s="721" t="str">
        <f>VLOOKUP(D1634,base_datos,6,FALSE)</f>
        <v>Base portafusibles + Fusibles de protección para control.</v>
      </c>
      <c r="D1634" s="1579" t="s">
        <v>453</v>
      </c>
      <c r="E1634" s="1581">
        <f>VLOOKUP(D1634,base_datos,5,FALSE)</f>
        <v>8.1750000000000007</v>
      </c>
      <c r="F1634" s="1923">
        <f>+E1634*B1634</f>
        <v>32.700000000000003</v>
      </c>
      <c r="G1634" s="1924"/>
      <c r="H1634" s="1924"/>
      <c r="I1634" s="1924"/>
      <c r="J1634" s="722"/>
      <c r="K1634" s="684">
        <f t="shared" si="1478"/>
        <v>1</v>
      </c>
      <c r="L1634" s="1913">
        <f>L1631</f>
        <v>1</v>
      </c>
      <c r="M1634" s="684">
        <f t="shared" si="1476"/>
        <v>4</v>
      </c>
      <c r="N1634" s="362" t="str">
        <f t="shared" si="1462"/>
        <v/>
      </c>
      <c r="O1634" s="1763" t="str">
        <f t="shared" si="1463"/>
        <v/>
      </c>
      <c r="P1634" s="1764" t="str">
        <f t="shared" si="1464"/>
        <v/>
      </c>
      <c r="Q1634" s="120" t="str">
        <f t="shared" si="1465"/>
        <v/>
      </c>
    </row>
    <row r="1635" spans="1:19" s="315" customFormat="1">
      <c r="A1635" s="687" t="s">
        <v>3542</v>
      </c>
      <c r="B1635" s="1906"/>
      <c r="C1635" s="1907"/>
      <c r="D1635" s="1935"/>
      <c r="E1635" s="1786"/>
      <c r="F1635" s="1936"/>
      <c r="G1635" s="712"/>
      <c r="H1635" s="712"/>
      <c r="I1635" s="712"/>
      <c r="J1635" s="713"/>
      <c r="K1635" s="684">
        <f t="shared" si="1478"/>
        <v>1</v>
      </c>
      <c r="L1635" s="1909">
        <f>B1635</f>
        <v>0</v>
      </c>
      <c r="M1635" s="684">
        <f t="shared" si="1476"/>
        <v>1</v>
      </c>
      <c r="N1635" s="362" t="str">
        <f t="shared" si="1462"/>
        <v/>
      </c>
      <c r="O1635" s="1763" t="str">
        <f t="shared" si="1463"/>
        <v/>
      </c>
      <c r="P1635" s="1764" t="str">
        <f t="shared" si="1464"/>
        <v/>
      </c>
      <c r="Q1635" s="120" t="str">
        <f t="shared" si="1465"/>
        <v/>
      </c>
    </row>
    <row r="1636" spans="1:19" s="185" customFormat="1" ht="13.5" customHeight="1">
      <c r="A1636" s="1771"/>
      <c r="B1636" s="1922"/>
      <c r="C1636" s="1956" t="s">
        <v>12368</v>
      </c>
      <c r="D1636" s="1579"/>
      <c r="E1636" s="1957"/>
      <c r="F1636" s="1958"/>
      <c r="G1636" s="710"/>
      <c r="H1636" s="710"/>
      <c r="I1636" s="710"/>
      <c r="J1636" s="711"/>
      <c r="K1636" s="684">
        <f t="shared" si="1478"/>
        <v>1</v>
      </c>
      <c r="L1636" s="708">
        <v>1</v>
      </c>
      <c r="M1636" s="684">
        <f t="shared" si="1476"/>
        <v>1</v>
      </c>
      <c r="N1636" s="362" t="str">
        <f t="shared" si="1462"/>
        <v/>
      </c>
      <c r="O1636" s="1763" t="str">
        <f t="shared" si="1463"/>
        <v/>
      </c>
      <c r="P1636" s="1764" t="str">
        <f t="shared" si="1464"/>
        <v/>
      </c>
      <c r="Q1636" s="120" t="str">
        <f t="shared" si="1465"/>
        <v/>
      </c>
    </row>
    <row r="1637" spans="1:19" s="120" customFormat="1" ht="18" customHeight="1">
      <c r="A1637" s="1771"/>
      <c r="B1637" s="1779">
        <v>6</v>
      </c>
      <c r="C1637" s="1892" t="str">
        <f>VLOOKUP(D1637,base_datos,6,FALSE)</f>
        <v>Transformador de tensión monofásico 480 / 240 Vac - 50VA.</v>
      </c>
      <c r="D1637" s="1898" t="s">
        <v>8587</v>
      </c>
      <c r="E1637" s="1581">
        <f>VLOOKUP(D1637,base_datos,5,FALSE)</f>
        <v>76.8</v>
      </c>
      <c r="F1637" s="1581">
        <f>+E1637*B1637</f>
        <v>460.79999999999995</v>
      </c>
      <c r="G1637" s="686"/>
      <c r="H1637" s="686"/>
      <c r="I1637" s="686"/>
      <c r="J1637" s="1768"/>
      <c r="K1637" s="684">
        <f t="shared" si="1478"/>
        <v>1</v>
      </c>
      <c r="L1637" s="708">
        <v>1</v>
      </c>
      <c r="M1637" s="709">
        <f t="shared" si="1476"/>
        <v>6</v>
      </c>
      <c r="N1637" s="362" t="str">
        <f t="shared" si="1462"/>
        <v/>
      </c>
      <c r="O1637" s="1763" t="str">
        <f t="shared" si="1463"/>
        <v/>
      </c>
      <c r="P1637" s="1764" t="str">
        <f t="shared" si="1464"/>
        <v/>
      </c>
      <c r="Q1637" s="120" t="str">
        <f t="shared" si="1465"/>
        <v/>
      </c>
      <c r="R1637" s="185"/>
    </row>
    <row r="1638" spans="1:19" s="120" customFormat="1" ht="18" customHeight="1">
      <c r="A1638" s="1767"/>
      <c r="B1638" s="1925"/>
      <c r="C1638" s="1926" t="s">
        <v>729</v>
      </c>
      <c r="D1638" s="1927"/>
      <c r="E1638" s="1891"/>
      <c r="F1638" s="1789"/>
      <c r="G1638" s="686"/>
      <c r="H1638" s="686"/>
      <c r="I1638" s="686"/>
      <c r="J1638" s="1768"/>
      <c r="K1638" s="684">
        <f t="shared" si="1478"/>
        <v>1</v>
      </c>
      <c r="L1638" s="363">
        <v>1</v>
      </c>
      <c r="M1638" s="709">
        <f t="shared" si="1476"/>
        <v>1</v>
      </c>
      <c r="N1638" s="362" t="str">
        <f t="shared" si="1462"/>
        <v/>
      </c>
      <c r="O1638" s="1763" t="str">
        <f t="shared" si="1463"/>
        <v/>
      </c>
      <c r="P1638" s="1764" t="str">
        <f t="shared" si="1464"/>
        <v/>
      </c>
      <c r="Q1638" s="120" t="str">
        <f t="shared" si="1465"/>
        <v/>
      </c>
    </row>
    <row r="1639" spans="1:19" s="120" customFormat="1" ht="18" customHeight="1">
      <c r="A1639" s="1767"/>
      <c r="B1639" s="1781"/>
      <c r="C1639" s="1959" t="s">
        <v>3158</v>
      </c>
      <c r="D1639" s="1900"/>
      <c r="E1639" s="1791"/>
      <c r="F1639" s="1782"/>
      <c r="G1639" s="686"/>
      <c r="H1639" s="686"/>
      <c r="I1639" s="686"/>
      <c r="J1639" s="688"/>
      <c r="K1639" s="684">
        <f t="shared" si="1478"/>
        <v>1</v>
      </c>
      <c r="L1639" s="708">
        <v>1</v>
      </c>
      <c r="M1639" s="709">
        <f t="shared" si="1476"/>
        <v>1</v>
      </c>
      <c r="N1639" s="362" t="str">
        <f t="shared" si="1462"/>
        <v/>
      </c>
      <c r="O1639" s="1763" t="str">
        <f t="shared" si="1463"/>
        <v/>
      </c>
      <c r="P1639" s="1764" t="str">
        <f t="shared" si="1464"/>
        <v/>
      </c>
      <c r="Q1639" s="120" t="str">
        <f t="shared" si="1465"/>
        <v/>
      </c>
      <c r="R1639" s="185"/>
    </row>
    <row r="1640" spans="1:19" s="690" customFormat="1" ht="18" customHeight="1">
      <c r="A1640" s="1767"/>
      <c r="B1640" s="2206">
        <v>1</v>
      </c>
      <c r="C1640" s="2207" t="s">
        <v>13028</v>
      </c>
      <c r="D1640" s="2208"/>
      <c r="E1640" s="2209">
        <v>212.15</v>
      </c>
      <c r="F1640" s="2210">
        <f t="shared" ref="F1640" si="1479">+E1640*B1640</f>
        <v>212.15</v>
      </c>
      <c r="G1640" s="1761"/>
      <c r="H1640" s="1761"/>
      <c r="I1640" s="1761"/>
      <c r="J1640" s="1783"/>
      <c r="K1640" s="684">
        <f t="shared" si="1478"/>
        <v>1</v>
      </c>
      <c r="L1640" s="708">
        <v>1</v>
      </c>
      <c r="M1640" s="684">
        <f t="shared" si="1476"/>
        <v>1</v>
      </c>
      <c r="N1640" s="362" t="str">
        <f t="shared" si="1462"/>
        <v/>
      </c>
      <c r="O1640" s="1763" t="str">
        <f t="shared" si="1463"/>
        <v/>
      </c>
      <c r="P1640" s="1764" t="str">
        <f t="shared" si="1464"/>
        <v/>
      </c>
      <c r="Q1640" s="120" t="str">
        <f t="shared" si="1465"/>
        <v/>
      </c>
      <c r="R1640" s="185"/>
    </row>
    <row r="1641" spans="1:19" s="185" customFormat="1" ht="18" customHeight="1">
      <c r="A1641" s="1767"/>
      <c r="B1641" s="714"/>
      <c r="C1641" s="313" t="s">
        <v>729</v>
      </c>
      <c r="D1641" s="173"/>
      <c r="E1641" s="1786"/>
      <c r="F1641" s="1787"/>
      <c r="G1641" s="710"/>
      <c r="H1641" s="710"/>
      <c r="I1641" s="710"/>
      <c r="J1641" s="711"/>
      <c r="K1641" s="684">
        <f t="shared" si="1478"/>
        <v>1</v>
      </c>
      <c r="L1641" s="708">
        <v>1</v>
      </c>
      <c r="M1641" s="709">
        <f t="shared" si="1476"/>
        <v>1</v>
      </c>
      <c r="N1641" s="362" t="str">
        <f t="shared" si="1462"/>
        <v/>
      </c>
      <c r="O1641" s="1763" t="str">
        <f t="shared" si="1463"/>
        <v/>
      </c>
      <c r="P1641" s="1764" t="str">
        <f t="shared" si="1464"/>
        <v/>
      </c>
      <c r="Q1641" s="120" t="str">
        <f t="shared" si="1465"/>
        <v/>
      </c>
    </row>
    <row r="1642" spans="1:19" s="690" customFormat="1" ht="18" customHeight="1">
      <c r="A1642" s="1785"/>
      <c r="B1642" s="1851"/>
      <c r="C1642" s="1966" t="s">
        <v>3377</v>
      </c>
      <c r="D1642" s="1582"/>
      <c r="E1642" s="1780"/>
      <c r="F1642" s="1782"/>
      <c r="G1642" s="1761"/>
      <c r="H1642" s="1761"/>
      <c r="I1642" s="1761"/>
      <c r="J1642" s="689"/>
      <c r="K1642" s="684">
        <f t="shared" si="1478"/>
        <v>1</v>
      </c>
      <c r="L1642" s="708">
        <v>1</v>
      </c>
      <c r="M1642" s="709">
        <f t="shared" si="1476"/>
        <v>1</v>
      </c>
      <c r="N1642" s="362" t="str">
        <f t="shared" si="1462"/>
        <v/>
      </c>
      <c r="O1642" s="1763" t="str">
        <f t="shared" si="1463"/>
        <v/>
      </c>
      <c r="P1642" s="1764" t="str">
        <f t="shared" si="1464"/>
        <v/>
      </c>
      <c r="Q1642" s="120" t="str">
        <f t="shared" si="1465"/>
        <v/>
      </c>
      <c r="R1642" s="185"/>
    </row>
    <row r="1643" spans="1:19" s="690" customFormat="1" ht="18" customHeight="1">
      <c r="A1643" s="1961"/>
      <c r="B1643" s="1781">
        <v>2</v>
      </c>
      <c r="C1643" s="1960" t="str">
        <f t="shared" ref="C1643" si="1480">VLOOKUP(D1643,base_datos,6,FALSE)</f>
        <v>ITM Riel-Din 2x32A - S202-C-32A - 10kA@400Vac-IEC60947-2 - marca ABB.</v>
      </c>
      <c r="D1643" s="231" t="s">
        <v>971</v>
      </c>
      <c r="E1643" s="1791">
        <f t="shared" ref="E1643" si="1481">VLOOKUP(D1643,base_datos,5,FALSE)</f>
        <v>17.930000000000003</v>
      </c>
      <c r="F1643" s="1782">
        <f t="shared" ref="F1643" si="1482">+E1643*B1643</f>
        <v>35.860000000000007</v>
      </c>
      <c r="G1643" s="1761"/>
      <c r="H1643" s="1761"/>
      <c r="I1643" s="1761"/>
      <c r="J1643" s="1783"/>
      <c r="K1643" s="684">
        <f t="shared" si="1478"/>
        <v>1</v>
      </c>
      <c r="L1643" s="708">
        <v>1</v>
      </c>
      <c r="M1643" s="709">
        <f t="shared" si="1476"/>
        <v>2</v>
      </c>
      <c r="N1643" s="362">
        <f t="shared" si="1462"/>
        <v>2</v>
      </c>
      <c r="O1643" s="1763" t="str">
        <f t="shared" si="1463"/>
        <v>2CDS252001R0324</v>
      </c>
      <c r="P1643" s="1764" t="str">
        <f t="shared" si="1464"/>
        <v>ITM Riel-Din 2x32A - S202-C-32A - 10kA@400Vac-IEC60947-2 - marca ABB.</v>
      </c>
      <c r="Q1643" s="120" t="str">
        <f t="shared" si="1465"/>
        <v>S202-C-32A</v>
      </c>
      <c r="R1643" s="185"/>
    </row>
    <row r="1644" spans="1:19" s="315" customFormat="1">
      <c r="A1644" s="1785"/>
      <c r="B1644" s="355"/>
      <c r="C1644" s="1944" t="s">
        <v>3063</v>
      </c>
      <c r="D1644" s="2022"/>
      <c r="E1644" s="1786"/>
      <c r="F1644" s="1787"/>
      <c r="G1644" s="712"/>
      <c r="H1644" s="712"/>
      <c r="I1644" s="712"/>
      <c r="J1644" s="713"/>
      <c r="K1644" s="684">
        <f t="shared" si="1478"/>
        <v>1</v>
      </c>
      <c r="L1644" s="708">
        <v>1</v>
      </c>
      <c r="M1644" s="709">
        <f t="shared" si="1476"/>
        <v>1</v>
      </c>
      <c r="N1644" s="362" t="str">
        <f t="shared" si="1462"/>
        <v/>
      </c>
      <c r="O1644" s="1763" t="str">
        <f t="shared" si="1463"/>
        <v/>
      </c>
      <c r="P1644" s="1764" t="str">
        <f t="shared" si="1464"/>
        <v/>
      </c>
      <c r="Q1644" s="120" t="str">
        <f t="shared" si="1465"/>
        <v/>
      </c>
    </row>
    <row r="1645" spans="1:19" s="1921" customFormat="1">
      <c r="A1645" s="1961"/>
      <c r="B1645" s="1962">
        <v>1</v>
      </c>
      <c r="C1645" s="1963" t="s">
        <v>12370</v>
      </c>
      <c r="D1645" s="2022"/>
      <c r="E1645" s="1917"/>
      <c r="F1645" s="1937"/>
      <c r="G1645" s="1919"/>
      <c r="H1645" s="1919"/>
      <c r="I1645" s="1919"/>
      <c r="J1645" s="1920"/>
      <c r="K1645" s="684">
        <f t="shared" si="1478"/>
        <v>1</v>
      </c>
      <c r="L1645" s="708">
        <v>1</v>
      </c>
      <c r="M1645" s="709">
        <f t="shared" si="1476"/>
        <v>1</v>
      </c>
      <c r="N1645" s="362" t="str">
        <f t="shared" si="1462"/>
        <v/>
      </c>
      <c r="O1645" s="1763" t="str">
        <f t="shared" si="1463"/>
        <v/>
      </c>
      <c r="P1645" s="1764" t="str">
        <f t="shared" si="1464"/>
        <v/>
      </c>
      <c r="Q1645" s="120" t="str">
        <f t="shared" si="1465"/>
        <v/>
      </c>
    </row>
    <row r="1646" spans="1:19" s="897" customFormat="1" ht="18" customHeight="1">
      <c r="A1646" s="1771"/>
      <c r="B1646" s="1922">
        <v>6</v>
      </c>
      <c r="C1646" s="1964" t="str">
        <f t="shared" ref="C1646" si="1483">VLOOKUP(D1646,base_datos,6,FALSE)</f>
        <v>Borne 35mm2.</v>
      </c>
      <c r="D1646" s="1579" t="s">
        <v>8285</v>
      </c>
      <c r="E1646" s="1952">
        <f t="shared" ref="E1646" si="1484">VLOOKUP(D1646,base_datos,5,FALSE)</f>
        <v>15</v>
      </c>
      <c r="F1646" s="1580">
        <f>+E1646*B1646</f>
        <v>90</v>
      </c>
      <c r="G1646" s="1772"/>
      <c r="H1646" s="1772"/>
      <c r="I1646" s="1772"/>
      <c r="J1646" s="896"/>
      <c r="K1646" s="684">
        <f t="shared" si="1478"/>
        <v>1</v>
      </c>
      <c r="L1646" s="363">
        <v>1</v>
      </c>
      <c r="M1646" s="709">
        <f t="shared" si="1476"/>
        <v>6</v>
      </c>
      <c r="N1646" s="362" t="str">
        <f t="shared" si="1462"/>
        <v/>
      </c>
      <c r="O1646" s="1763" t="str">
        <f t="shared" si="1463"/>
        <v/>
      </c>
      <c r="P1646" s="1764" t="str">
        <f t="shared" si="1464"/>
        <v/>
      </c>
      <c r="Q1646" s="120" t="str">
        <f t="shared" si="1465"/>
        <v/>
      </c>
      <c r="R1646" s="690"/>
      <c r="S1646" s="690"/>
    </row>
    <row r="1647" spans="1:19" s="690" customFormat="1" ht="18" customHeight="1">
      <c r="A1647" s="1767"/>
      <c r="B1647" s="1781"/>
      <c r="C1647" s="313" t="s">
        <v>729</v>
      </c>
      <c r="D1647" s="231"/>
      <c r="E1647" s="1791"/>
      <c r="F1647" s="1782"/>
      <c r="G1647" s="1761"/>
      <c r="H1647" s="1761"/>
      <c r="I1647" s="1761"/>
      <c r="J1647" s="1783"/>
      <c r="K1647" s="684">
        <f t="shared" si="1478"/>
        <v>1</v>
      </c>
      <c r="L1647" s="708">
        <v>1</v>
      </c>
      <c r="M1647" s="709">
        <f t="shared" si="1476"/>
        <v>1</v>
      </c>
      <c r="N1647" s="362" t="str">
        <f t="shared" si="1462"/>
        <v/>
      </c>
      <c r="O1647" s="1763" t="str">
        <f t="shared" si="1463"/>
        <v/>
      </c>
      <c r="P1647" s="1764" t="str">
        <f t="shared" si="1464"/>
        <v/>
      </c>
      <c r="Q1647" s="120" t="str">
        <f t="shared" si="1465"/>
        <v/>
      </c>
      <c r="R1647" s="185"/>
    </row>
    <row r="1648" spans="1:19" s="690" customFormat="1" ht="18" customHeight="1">
      <c r="A1648" s="1767"/>
      <c r="B1648" s="1781">
        <v>1</v>
      </c>
      <c r="C1648" s="1960" t="str">
        <f t="shared" ref="C1648" si="1485">VLOOKUP(D1648,base_datos,6,FALSE)</f>
        <v>ITM Riel-Din 2x32A - S202-C-32A - 10kA@400Vac-IEC60947-2 - marca ABB.</v>
      </c>
      <c r="D1648" s="231" t="s">
        <v>971</v>
      </c>
      <c r="E1648" s="1791">
        <f t="shared" ref="E1648" si="1486">VLOOKUP(D1648,base_datos,5,FALSE)</f>
        <v>17.930000000000003</v>
      </c>
      <c r="F1648" s="1782">
        <f t="shared" ref="F1648" si="1487">+E1648*B1648</f>
        <v>17.930000000000003</v>
      </c>
      <c r="G1648" s="1761"/>
      <c r="H1648" s="1761"/>
      <c r="I1648" s="1761"/>
      <c r="J1648" s="1783"/>
      <c r="K1648" s="684">
        <f t="shared" si="1478"/>
        <v>1</v>
      </c>
      <c r="L1648" s="708">
        <v>1</v>
      </c>
      <c r="M1648" s="709">
        <f t="shared" si="1476"/>
        <v>1</v>
      </c>
      <c r="N1648" s="362">
        <f t="shared" si="1462"/>
        <v>1</v>
      </c>
      <c r="O1648" s="1763" t="str">
        <f t="shared" si="1463"/>
        <v>2CDS252001R0324</v>
      </c>
      <c r="P1648" s="1764" t="str">
        <f t="shared" si="1464"/>
        <v>ITM Riel-Din 2x32A - S202-C-32A - 10kA@400Vac-IEC60947-2 - marca ABB.</v>
      </c>
      <c r="Q1648" s="120" t="str">
        <f t="shared" si="1465"/>
        <v>S202-C-32A</v>
      </c>
      <c r="R1648" s="185"/>
    </row>
    <row r="1649" spans="1:20" s="690" customFormat="1" ht="18" customHeight="1">
      <c r="A1649" s="691"/>
      <c r="B1649" s="1781">
        <v>2</v>
      </c>
      <c r="C1649" s="1420" t="str">
        <f>VLOOKUP(D1649,base_datos,6,FALSE)</f>
        <v>Protector de sobretensiones (Tipo 2) - OVR-T2_40-440_P-QS_1P - Un=230/400V, Uc=440V, Up=1.8kV - I_descarga=40kA - marca ABB.</v>
      </c>
      <c r="D1649" s="1901" t="s">
        <v>6448</v>
      </c>
      <c r="E1649" s="1791">
        <f>VLOOKUP(D1649,base_datos,5,FALSE)</f>
        <v>75.59</v>
      </c>
      <c r="F1649" s="1782">
        <f>+E1649*B1649</f>
        <v>151.18</v>
      </c>
      <c r="G1649" s="1761"/>
      <c r="H1649" s="1761"/>
      <c r="I1649" s="1761"/>
      <c r="J1649" s="1783"/>
      <c r="K1649" s="684">
        <f t="shared" si="1478"/>
        <v>1</v>
      </c>
      <c r="L1649" s="708">
        <v>1</v>
      </c>
      <c r="M1649" s="709">
        <f>IF(B1649="",1,B1649)</f>
        <v>2</v>
      </c>
      <c r="N1649" s="362">
        <f t="shared" si="1462"/>
        <v>2</v>
      </c>
      <c r="O1649" s="1763" t="str">
        <f t="shared" si="1463"/>
        <v>2CTB803871R1200</v>
      </c>
      <c r="P1649" s="1764" t="str">
        <f t="shared" si="1464"/>
        <v>Protector de sobretensiones (Tipo 2) - OVR-T2_40-440_P-QS_1P - Un=230/400V, Uc=440V, Up=1.8kV - I_descarga=40kA - marca ABB.</v>
      </c>
      <c r="Q1649" s="120" t="str">
        <f t="shared" si="1465"/>
        <v>OVR-T2_40-440_P-QS_1P</v>
      </c>
      <c r="R1649" s="185"/>
    </row>
    <row r="1650" spans="1:20" s="690" customFormat="1" ht="18" customHeight="1">
      <c r="A1650" s="1767"/>
      <c r="B1650" s="1781"/>
      <c r="C1650" s="313" t="s">
        <v>729</v>
      </c>
      <c r="D1650" s="231"/>
      <c r="E1650" s="1791"/>
      <c r="F1650" s="1782"/>
      <c r="G1650" s="1761"/>
      <c r="H1650" s="1761"/>
      <c r="I1650" s="1761"/>
      <c r="J1650" s="1783"/>
      <c r="K1650" s="684">
        <f t="shared" si="1478"/>
        <v>1</v>
      </c>
      <c r="L1650" s="708">
        <v>1</v>
      </c>
      <c r="M1650" s="709">
        <f t="shared" si="1476"/>
        <v>1</v>
      </c>
      <c r="N1650" s="362" t="str">
        <f t="shared" si="1462"/>
        <v/>
      </c>
      <c r="O1650" s="1763" t="str">
        <f t="shared" si="1463"/>
        <v/>
      </c>
      <c r="P1650" s="1764" t="str">
        <f t="shared" si="1464"/>
        <v/>
      </c>
      <c r="Q1650" s="120" t="str">
        <f t="shared" si="1465"/>
        <v/>
      </c>
      <c r="R1650" s="185"/>
    </row>
    <row r="1651" spans="1:20" s="315" customFormat="1">
      <c r="A1651" s="1785"/>
      <c r="B1651" s="1906">
        <v>1</v>
      </c>
      <c r="C1651" s="1907" t="s">
        <v>12491</v>
      </c>
      <c r="D1651" s="2017"/>
      <c r="E1651" s="1786"/>
      <c r="F1651" s="1936">
        <f>SUM(F1652:F1653)*(B1651-1)</f>
        <v>0</v>
      </c>
      <c r="G1651" s="712"/>
      <c r="H1651" s="712"/>
      <c r="I1651" s="712"/>
      <c r="J1651" s="713"/>
      <c r="K1651" s="684">
        <f t="shared" si="1478"/>
        <v>1</v>
      </c>
      <c r="L1651" s="1909">
        <f>B1651</f>
        <v>1</v>
      </c>
      <c r="M1651" s="684">
        <f t="shared" si="1476"/>
        <v>1</v>
      </c>
      <c r="N1651" s="362" t="str">
        <f t="shared" si="1462"/>
        <v/>
      </c>
      <c r="O1651" s="1763" t="str">
        <f t="shared" si="1463"/>
        <v/>
      </c>
      <c r="P1651" s="1764" t="str">
        <f t="shared" si="1464"/>
        <v/>
      </c>
      <c r="Q1651" s="120" t="str">
        <f t="shared" si="1465"/>
        <v/>
      </c>
    </row>
    <row r="1652" spans="1:20" s="185" customFormat="1">
      <c r="A1652" s="1961"/>
      <c r="B1652" s="1910">
        <v>2</v>
      </c>
      <c r="C1652" s="1911" t="str">
        <f>VLOOKUP(D1652,base_datos,6,FALSE)</f>
        <v>ITM Riel-Din 2x32A - S202-C-32A - 10kA@400Vac-IEC60947-2 - marca ABB.</v>
      </c>
      <c r="D1652" s="231" t="s">
        <v>971</v>
      </c>
      <c r="E1652" s="1939">
        <f>VLOOKUP(D1652,base_datos,5,FALSE)</f>
        <v>17.930000000000003</v>
      </c>
      <c r="F1652" s="1912">
        <f>+E1652*B1652</f>
        <v>35.860000000000007</v>
      </c>
      <c r="G1652" s="710"/>
      <c r="H1652" s="710"/>
      <c r="I1652" s="710"/>
      <c r="J1652" s="711"/>
      <c r="K1652" s="684">
        <f t="shared" si="1478"/>
        <v>1</v>
      </c>
      <c r="L1652" s="1913">
        <f>L1651</f>
        <v>1</v>
      </c>
      <c r="M1652" s="709">
        <f t="shared" si="1476"/>
        <v>2</v>
      </c>
      <c r="N1652" s="362">
        <f t="shared" si="1462"/>
        <v>2</v>
      </c>
      <c r="O1652" s="1763" t="str">
        <f t="shared" si="1463"/>
        <v>2CDS252001R0324</v>
      </c>
      <c r="P1652" s="1764" t="str">
        <f t="shared" si="1464"/>
        <v>ITM Riel-Din 2x32A - S202-C-32A - 10kA@400Vac-IEC60947-2 - marca ABB.</v>
      </c>
      <c r="Q1652" s="120" t="str">
        <f t="shared" si="1465"/>
        <v>S202-C-32A</v>
      </c>
    </row>
    <row r="1653" spans="1:20" s="1921" customFormat="1">
      <c r="A1653" s="1771"/>
      <c r="B1653" s="1914">
        <v>1</v>
      </c>
      <c r="C1653" s="1911" t="s">
        <v>12492</v>
      </c>
      <c r="D1653" s="2067"/>
      <c r="E1653" s="1917">
        <v>70</v>
      </c>
      <c r="F1653" s="1912">
        <f>+E1653*B1653</f>
        <v>70</v>
      </c>
      <c r="G1653" s="1919"/>
      <c r="H1653" s="1919"/>
      <c r="I1653" s="1919"/>
      <c r="J1653" s="1920"/>
      <c r="K1653" s="684">
        <f t="shared" si="1478"/>
        <v>1</v>
      </c>
      <c r="L1653" s="1913">
        <f>L1652</f>
        <v>1</v>
      </c>
      <c r="M1653" s="709">
        <f t="shared" si="1476"/>
        <v>1</v>
      </c>
      <c r="N1653" s="362" t="str">
        <f t="shared" si="1462"/>
        <v/>
      </c>
      <c r="O1653" s="1763" t="str">
        <f t="shared" si="1463"/>
        <v/>
      </c>
      <c r="P1653" s="1764" t="str">
        <f t="shared" si="1464"/>
        <v/>
      </c>
      <c r="Q1653" s="120" t="str">
        <f t="shared" si="1465"/>
        <v/>
      </c>
    </row>
    <row r="1654" spans="1:20" s="185" customFormat="1" ht="18" customHeight="1">
      <c r="A1654" s="1767"/>
      <c r="B1654" s="714"/>
      <c r="C1654" s="313" t="s">
        <v>729</v>
      </c>
      <c r="D1654" s="173"/>
      <c r="E1654" s="1786"/>
      <c r="F1654" s="1787"/>
      <c r="G1654" s="710"/>
      <c r="H1654" s="710"/>
      <c r="I1654" s="710"/>
      <c r="J1654" s="711"/>
      <c r="K1654" s="684">
        <f t="shared" si="1478"/>
        <v>1</v>
      </c>
      <c r="L1654" s="708">
        <v>1</v>
      </c>
      <c r="M1654" s="709">
        <f t="shared" si="1476"/>
        <v>1</v>
      </c>
      <c r="N1654" s="362" t="str">
        <f t="shared" si="1462"/>
        <v/>
      </c>
      <c r="O1654" s="1763" t="str">
        <f t="shared" si="1463"/>
        <v/>
      </c>
      <c r="P1654" s="1764" t="str">
        <f t="shared" si="1464"/>
        <v/>
      </c>
      <c r="Q1654" s="120" t="str">
        <f t="shared" si="1465"/>
        <v/>
      </c>
    </row>
    <row r="1655" spans="1:20" s="690" customFormat="1" ht="18" customHeight="1">
      <c r="A1655" s="1767"/>
      <c r="B1655" s="1781">
        <v>1</v>
      </c>
      <c r="C1655" s="1960" t="str">
        <f t="shared" ref="C1655" si="1488">VLOOKUP(D1655,base_datos,6,FALSE)</f>
        <v>ITM Riel-Din 2x20A - S202-C-20A - 10kA@400Vac-IEC60947-2 - marca ABB.</v>
      </c>
      <c r="D1655" s="373" t="s">
        <v>969</v>
      </c>
      <c r="E1655" s="1791">
        <f t="shared" ref="E1655" si="1489">VLOOKUP(D1655,base_datos,5,FALSE)</f>
        <v>17.930000000000003</v>
      </c>
      <c r="F1655" s="1782">
        <f t="shared" ref="F1655" si="1490">+E1655*B1655</f>
        <v>17.930000000000003</v>
      </c>
      <c r="G1655" s="1761"/>
      <c r="H1655" s="1761"/>
      <c r="I1655" s="1761"/>
      <c r="J1655" s="1783"/>
      <c r="K1655" s="684">
        <f t="shared" si="1478"/>
        <v>1</v>
      </c>
      <c r="L1655" s="708">
        <v>1</v>
      </c>
      <c r="M1655" s="709">
        <f t="shared" ref="M1655" si="1491">IF(B1655="",1,B1655)</f>
        <v>1</v>
      </c>
      <c r="N1655" s="362">
        <f t="shared" ref="N1655" si="1492">IF(O1655&lt;&gt;"",K1655*L1655*M1655,"")</f>
        <v>1</v>
      </c>
      <c r="O1655" s="1763" t="str">
        <f t="shared" ref="O1655" si="1493">IF(D1655&lt;&gt;"",IF(VLOOKUP(D1655,base_datos,7,FALSE)&lt;&gt;"",VLOOKUP(D1655,base_datos,7,FALSE),""),"")</f>
        <v>2CDS252001R0204</v>
      </c>
      <c r="P1655" s="1764" t="str">
        <f t="shared" ref="P1655" si="1494">IF(O1655&lt;&gt;"",VLOOKUP(D1655,base_datos,6,FALSE),"")</f>
        <v>ITM Riel-Din 2x20A - S202-C-20A - 10kA@400Vac-IEC60947-2 - marca ABB.</v>
      </c>
      <c r="Q1655" s="120" t="str">
        <f t="shared" ref="Q1655" si="1495">IF(O1655&lt;&gt;"",D1655,"")</f>
        <v>S202-C-20A</v>
      </c>
      <c r="R1655" s="185"/>
    </row>
    <row r="1656" spans="1:20" s="690" customFormat="1" ht="18" customHeight="1">
      <c r="A1656" s="1767"/>
      <c r="B1656" s="1781">
        <v>3</v>
      </c>
      <c r="C1656" s="1960" t="str">
        <f t="shared" ref="C1656" si="1496">VLOOKUP(D1656,base_datos,6,FALSE)</f>
        <v>ITM Riel-Din 2x16A - S202-C-16A - 10kA@400Vac-IEC60947-2 - marca ABB.</v>
      </c>
      <c r="D1656" s="373" t="s">
        <v>970</v>
      </c>
      <c r="E1656" s="1791">
        <f t="shared" ref="E1656" si="1497">VLOOKUP(D1656,base_datos,5,FALSE)</f>
        <v>17.96</v>
      </c>
      <c r="F1656" s="1782">
        <f t="shared" ref="F1656" si="1498">+E1656*B1656</f>
        <v>53.88</v>
      </c>
      <c r="G1656" s="1761"/>
      <c r="H1656" s="1761"/>
      <c r="I1656" s="1761"/>
      <c r="J1656" s="1783"/>
      <c r="K1656" s="684">
        <f t="shared" si="1478"/>
        <v>1</v>
      </c>
      <c r="L1656" s="708">
        <v>1</v>
      </c>
      <c r="M1656" s="709">
        <f t="shared" si="1476"/>
        <v>3</v>
      </c>
      <c r="N1656" s="362">
        <f t="shared" si="1462"/>
        <v>3</v>
      </c>
      <c r="O1656" s="1763" t="str">
        <f t="shared" si="1463"/>
        <v>2CDS252001R0164</v>
      </c>
      <c r="P1656" s="1764" t="str">
        <f t="shared" si="1464"/>
        <v>ITM Riel-Din 2x16A - S202-C-16A - 10kA@400Vac-IEC60947-2 - marca ABB.</v>
      </c>
      <c r="Q1656" s="120" t="str">
        <f t="shared" si="1465"/>
        <v>S202-C-16A</v>
      </c>
      <c r="R1656" s="185"/>
    </row>
    <row r="1657" spans="1:20" s="690" customFormat="1" ht="18" customHeight="1">
      <c r="A1657" s="1767"/>
      <c r="B1657" s="2023">
        <v>4</v>
      </c>
      <c r="C1657" s="2041" t="str">
        <f>VLOOKUP(D1657,base_datos,6,FALSE)</f>
        <v>Interruptor Diferencial 2x25A - 30mA - clase A-APR (alta inmunización) - F202-A APR-25A-30mA  - marca ABB.</v>
      </c>
      <c r="D1657" s="231" t="s">
        <v>1135</v>
      </c>
      <c r="E1657" s="2025">
        <f>VLOOKUP(D1657,base_datos,5,FALSE)</f>
        <v>86.79</v>
      </c>
      <c r="F1657" s="2026">
        <f>+E1657*B1657</f>
        <v>347.16</v>
      </c>
      <c r="G1657" s="1761"/>
      <c r="H1657" s="1761"/>
      <c r="I1657" s="1761"/>
      <c r="J1657" s="1783"/>
      <c r="K1657" s="684">
        <f t="shared" si="1478"/>
        <v>1</v>
      </c>
      <c r="L1657" s="708">
        <v>1</v>
      </c>
      <c r="M1657" s="709">
        <f>IF(B1657="",1,B1657)</f>
        <v>4</v>
      </c>
      <c r="N1657" s="362">
        <f t="shared" si="1462"/>
        <v>4</v>
      </c>
      <c r="O1657" s="1763" t="str">
        <f t="shared" si="1463"/>
        <v>2CSF202401R1250</v>
      </c>
      <c r="P1657" s="1764" t="str">
        <f t="shared" si="1464"/>
        <v>Interruptor Diferencial 2x25A - 30mA - clase A-APR (alta inmunización) - F202-A APR-25A-30mA  - marca ABB.</v>
      </c>
      <c r="Q1657" s="120" t="str">
        <f t="shared" si="1465"/>
        <v>F202-A APR-25A-30mA</v>
      </c>
      <c r="R1657" s="185"/>
    </row>
    <row r="1658" spans="1:20" s="1236" customFormat="1" ht="18" customHeight="1">
      <c r="A1658" s="1767"/>
      <c r="B1658" s="1781">
        <v>2</v>
      </c>
      <c r="C1658" s="1991" t="str">
        <f t="shared" ref="C1658" si="1499">VLOOKUP(D1658,base_datos,6,FALSE)</f>
        <v>Espacio de reserva monofasica + interruptor diferencial - Riel-Din.</v>
      </c>
      <c r="D1658" s="764" t="s">
        <v>2926</v>
      </c>
      <c r="E1658" s="1792">
        <f t="shared" ref="E1658" si="1500">VLOOKUP(D1658,base_datos,5,FALSE)</f>
        <v>2.5</v>
      </c>
      <c r="F1658" s="1793">
        <f t="shared" ref="F1658" si="1501">+E1658*B1658</f>
        <v>5</v>
      </c>
      <c r="G1658" s="1784"/>
      <c r="H1658" s="1784"/>
      <c r="I1658" s="1784"/>
      <c r="J1658" s="1182"/>
      <c r="K1658" s="684">
        <f t="shared" si="1478"/>
        <v>1</v>
      </c>
      <c r="L1658" s="708">
        <v>1</v>
      </c>
      <c r="M1658" s="709">
        <f t="shared" ref="M1658:M1679" si="1502">IF(B1658="",1,B1658)</f>
        <v>2</v>
      </c>
      <c r="N1658" s="362" t="str">
        <f t="shared" si="1462"/>
        <v/>
      </c>
      <c r="O1658" s="1763" t="str">
        <f t="shared" si="1463"/>
        <v/>
      </c>
      <c r="P1658" s="1764" t="str">
        <f t="shared" si="1464"/>
        <v/>
      </c>
      <c r="Q1658" s="120" t="str">
        <f t="shared" si="1465"/>
        <v/>
      </c>
      <c r="R1658" s="185"/>
    </row>
    <row r="1659" spans="1:20" s="185" customFormat="1" ht="18" customHeight="1">
      <c r="A1659" s="1785"/>
      <c r="B1659" s="714"/>
      <c r="C1659" s="313" t="s">
        <v>729</v>
      </c>
      <c r="D1659" s="173"/>
      <c r="E1659" s="1786"/>
      <c r="F1659" s="1787"/>
      <c r="G1659" s="710"/>
      <c r="H1659" s="710"/>
      <c r="I1659" s="710"/>
      <c r="J1659" s="711"/>
      <c r="K1659" s="684">
        <f t="shared" si="1478"/>
        <v>1</v>
      </c>
      <c r="L1659" s="708">
        <v>1</v>
      </c>
      <c r="M1659" s="709">
        <f t="shared" si="1502"/>
        <v>1</v>
      </c>
      <c r="N1659" s="362" t="str">
        <f t="shared" si="1462"/>
        <v/>
      </c>
      <c r="O1659" s="1763" t="str">
        <f t="shared" si="1463"/>
        <v/>
      </c>
      <c r="P1659" s="1764" t="str">
        <f t="shared" si="1464"/>
        <v/>
      </c>
      <c r="Q1659" s="120" t="str">
        <f t="shared" si="1465"/>
        <v/>
      </c>
    </row>
    <row r="1660" spans="1:20" s="315" customFormat="1" ht="18.75" customHeight="1">
      <c r="A1660" s="2271"/>
      <c r="B1660" s="2272">
        <v>1</v>
      </c>
      <c r="C1660" s="2281" t="s">
        <v>13366</v>
      </c>
      <c r="D1660" s="1935"/>
      <c r="E1660" s="2287"/>
      <c r="F1660" s="2257">
        <f>+SUM(F1661:F1664)*(B1660-1)</f>
        <v>0</v>
      </c>
      <c r="G1660" s="712"/>
      <c r="H1660" s="712"/>
      <c r="I1660" s="712"/>
      <c r="J1660" s="713"/>
      <c r="K1660" s="684">
        <f t="shared" ref="K1660:K1665" si="1503">+K1659</f>
        <v>1</v>
      </c>
      <c r="L1660" s="708">
        <v>1</v>
      </c>
      <c r="M1660" s="709">
        <f t="shared" si="1502"/>
        <v>1</v>
      </c>
      <c r="N1660" s="112" t="str">
        <f t="shared" si="1462"/>
        <v/>
      </c>
      <c r="O1660" s="112" t="str">
        <f t="shared" si="1463"/>
        <v/>
      </c>
      <c r="P1660" s="120" t="str">
        <f t="shared" si="1464"/>
        <v/>
      </c>
      <c r="Q1660" s="120" t="str">
        <f t="shared" si="1465"/>
        <v/>
      </c>
      <c r="S1660" s="112" t="str">
        <f t="shared" ref="S1660:S1665" si="1504">IF(O1660&lt;&gt;"",VLOOKUP(D1660,base_datos,9,FALSE),"")</f>
        <v/>
      </c>
      <c r="T1660" s="2128"/>
    </row>
    <row r="1661" spans="1:20" s="690" customFormat="1" ht="18" customHeight="1">
      <c r="A1661" s="2273"/>
      <c r="B1661" s="1781">
        <v>1</v>
      </c>
      <c r="C1661" s="1420" t="str">
        <f t="shared" ref="C1661:C1664" si="1505">VLOOKUP(D1661,base_datos,6,FALSE)</f>
        <v>Calefactor resistivo 60W, modelo RACM - marca FANDIS.</v>
      </c>
      <c r="D1661" s="1899" t="s">
        <v>3298</v>
      </c>
      <c r="E1661" s="2288">
        <f t="shared" ref="E1661" si="1506">VLOOKUP(D1661,base_datos,5,FALSE)</f>
        <v>127.1</v>
      </c>
      <c r="F1661" s="1782">
        <f>+E1661*B1661</f>
        <v>127.1</v>
      </c>
      <c r="G1661" s="1761"/>
      <c r="H1661" s="1761"/>
      <c r="I1661" s="1761"/>
      <c r="J1661" s="689"/>
      <c r="K1661" s="684">
        <f t="shared" si="1503"/>
        <v>1</v>
      </c>
      <c r="L1661" s="708">
        <v>1</v>
      </c>
      <c r="M1661" s="709">
        <f t="shared" si="1502"/>
        <v>1</v>
      </c>
      <c r="N1661" s="112">
        <f t="shared" si="1462"/>
        <v>1</v>
      </c>
      <c r="O1661" s="112" t="str">
        <f t="shared" si="1463"/>
        <v>RACM-60</v>
      </c>
      <c r="P1661" s="120" t="str">
        <f t="shared" si="1464"/>
        <v>Calefactor resistivo 60W, modelo RACM - marca FANDIS.</v>
      </c>
      <c r="Q1661" s="120" t="str">
        <f t="shared" si="1465"/>
        <v>CALEFACT-60W_FAND</v>
      </c>
      <c r="S1661" s="112" t="str">
        <f t="shared" si="1504"/>
        <v>FANDIS</v>
      </c>
      <c r="T1661" s="1765"/>
    </row>
    <row r="1662" spans="1:20" s="690" customFormat="1" ht="18" customHeight="1">
      <c r="A1662" s="2273"/>
      <c r="B1662" s="1781">
        <v>1</v>
      </c>
      <c r="C1662" s="1420" t="str">
        <f t="shared" si="1505"/>
        <v>Termostato para ventilación - 1NA - 230V - marca FANDIS.</v>
      </c>
      <c r="D1662" s="1899" t="s">
        <v>3294</v>
      </c>
      <c r="E1662" s="2288">
        <f t="shared" ref="E1662:E1664" si="1507">VLOOKUP(D1662,base_datos,5,FALSE)</f>
        <v>41.58</v>
      </c>
      <c r="F1662" s="1782">
        <f>+E1662*B1662</f>
        <v>41.58</v>
      </c>
      <c r="G1662" s="1761"/>
      <c r="H1662" s="1761"/>
      <c r="I1662" s="1761"/>
      <c r="J1662" s="689"/>
      <c r="K1662" s="684">
        <f t="shared" si="1503"/>
        <v>1</v>
      </c>
      <c r="L1662" s="708">
        <v>1</v>
      </c>
      <c r="M1662" s="709">
        <f t="shared" si="1502"/>
        <v>1</v>
      </c>
      <c r="N1662" s="112">
        <f t="shared" si="1462"/>
        <v>1</v>
      </c>
      <c r="O1662" s="112" t="str">
        <f t="shared" si="1463"/>
        <v>TRT-10A230V-NO</v>
      </c>
      <c r="P1662" s="120" t="str">
        <f t="shared" si="1464"/>
        <v>Termostato para ventilación - 1NA - 230V - marca FANDIS.</v>
      </c>
      <c r="Q1662" s="120" t="str">
        <f t="shared" si="1465"/>
        <v>TRT-1NA</v>
      </c>
      <c r="S1662" s="112" t="str">
        <f t="shared" si="1504"/>
        <v>FANDIS</v>
      </c>
      <c r="T1662" s="1765"/>
    </row>
    <row r="1663" spans="1:20" s="320" customFormat="1" ht="12.75" customHeight="1">
      <c r="A1663" s="2274"/>
      <c r="B1663" s="2275">
        <v>1</v>
      </c>
      <c r="C1663" s="2282" t="str">
        <f t="shared" si="1505"/>
        <v>Base portafusibles + Fusibles de protección para control.</v>
      </c>
      <c r="D1663" s="1579" t="s">
        <v>453</v>
      </c>
      <c r="E1663" s="2289">
        <f t="shared" si="1507"/>
        <v>8.1750000000000007</v>
      </c>
      <c r="F1663" s="2264">
        <f>+E1663*B1663</f>
        <v>8.1750000000000007</v>
      </c>
      <c r="G1663" s="2276"/>
      <c r="H1663" s="2276"/>
      <c r="I1663" s="2276"/>
      <c r="J1663" s="722"/>
      <c r="K1663" s="684">
        <f t="shared" si="1503"/>
        <v>1</v>
      </c>
      <c r="L1663" s="708">
        <v>1</v>
      </c>
      <c r="M1663" s="709">
        <f t="shared" si="1502"/>
        <v>1</v>
      </c>
      <c r="N1663" s="112" t="str">
        <f t="shared" si="1462"/>
        <v/>
      </c>
      <c r="O1663" s="112" t="str">
        <f t="shared" si="1463"/>
        <v/>
      </c>
      <c r="P1663" s="120" t="str">
        <f t="shared" si="1464"/>
        <v/>
      </c>
      <c r="Q1663" s="120" t="str">
        <f t="shared" si="1465"/>
        <v/>
      </c>
      <c r="R1663" s="185"/>
      <c r="S1663" s="112" t="str">
        <f t="shared" si="1504"/>
        <v/>
      </c>
      <c r="T1663" s="709"/>
    </row>
    <row r="1664" spans="1:20" s="320" customFormat="1" ht="12.75" customHeight="1">
      <c r="A1664" s="2274"/>
      <c r="B1664" s="2277">
        <v>1</v>
      </c>
      <c r="C1664" s="2282" t="str">
        <f t="shared" si="1505"/>
        <v>Borne 4mm2.</v>
      </c>
      <c r="D1664" s="1579" t="s">
        <v>437</v>
      </c>
      <c r="E1664" s="2260">
        <f t="shared" si="1507"/>
        <v>2.5</v>
      </c>
      <c r="F1664" s="2260">
        <f>+E1664*B1664</f>
        <v>2.5</v>
      </c>
      <c r="G1664" s="2276"/>
      <c r="H1664" s="2276"/>
      <c r="I1664" s="2276"/>
      <c r="J1664" s="722"/>
      <c r="K1664" s="684">
        <f t="shared" si="1503"/>
        <v>1</v>
      </c>
      <c r="L1664" s="708">
        <v>1</v>
      </c>
      <c r="M1664" s="709">
        <f t="shared" si="1502"/>
        <v>1</v>
      </c>
      <c r="N1664" s="112" t="str">
        <f t="shared" si="1462"/>
        <v/>
      </c>
      <c r="O1664" s="112" t="str">
        <f t="shared" si="1463"/>
        <v/>
      </c>
      <c r="P1664" s="120" t="str">
        <f t="shared" si="1464"/>
        <v/>
      </c>
      <c r="Q1664" s="120" t="str">
        <f t="shared" si="1465"/>
        <v/>
      </c>
      <c r="R1664" s="185"/>
      <c r="S1664" s="112" t="str">
        <f t="shared" si="1504"/>
        <v/>
      </c>
      <c r="T1664" s="709"/>
    </row>
    <row r="1665" spans="1:20" s="185" customFormat="1" ht="12.75" customHeight="1">
      <c r="A1665" s="2262"/>
      <c r="B1665" s="1760"/>
      <c r="C1665" s="1893" t="s">
        <v>729</v>
      </c>
      <c r="D1665" s="169"/>
      <c r="E1665" s="2256"/>
      <c r="F1665" s="2278"/>
      <c r="G1665" s="710"/>
      <c r="H1665" s="710"/>
      <c r="I1665" s="710"/>
      <c r="J1665" s="711"/>
      <c r="K1665" s="684">
        <f t="shared" si="1503"/>
        <v>1</v>
      </c>
      <c r="L1665" s="708">
        <v>1</v>
      </c>
      <c r="M1665" s="709">
        <f t="shared" si="1502"/>
        <v>1</v>
      </c>
      <c r="N1665" s="112" t="str">
        <f t="shared" si="1462"/>
        <v/>
      </c>
      <c r="O1665" s="112" t="str">
        <f t="shared" si="1463"/>
        <v/>
      </c>
      <c r="P1665" s="120" t="str">
        <f t="shared" si="1464"/>
        <v/>
      </c>
      <c r="Q1665" s="120" t="str">
        <f t="shared" si="1465"/>
        <v/>
      </c>
      <c r="S1665" s="112" t="str">
        <f t="shared" si="1504"/>
        <v/>
      </c>
      <c r="T1665" s="118"/>
    </row>
    <row r="1666" spans="1:20" s="1236" customFormat="1" ht="18" customHeight="1">
      <c r="A1666" s="1767"/>
      <c r="B1666" s="1853">
        <v>1</v>
      </c>
      <c r="C1666" s="1895" t="s">
        <v>12364</v>
      </c>
      <c r="D1666" s="1902"/>
      <c r="E1666" s="1792"/>
      <c r="F1666" s="1793"/>
      <c r="G1666" s="1784"/>
      <c r="H1666" s="1784"/>
      <c r="I1666" s="1784"/>
      <c r="J1666" s="1182"/>
      <c r="K1666" s="684">
        <f>+K1658</f>
        <v>1</v>
      </c>
      <c r="L1666" s="708">
        <v>1</v>
      </c>
      <c r="M1666" s="709">
        <f t="shared" si="1502"/>
        <v>1</v>
      </c>
      <c r="N1666" s="362" t="str">
        <f t="shared" si="1462"/>
        <v/>
      </c>
      <c r="O1666" s="1763" t="str">
        <f t="shared" si="1463"/>
        <v/>
      </c>
      <c r="P1666" s="1764" t="str">
        <f t="shared" si="1464"/>
        <v/>
      </c>
      <c r="Q1666" s="120" t="str">
        <f t="shared" si="1465"/>
        <v/>
      </c>
      <c r="R1666" s="185"/>
    </row>
    <row r="1667" spans="1:20" s="695" customFormat="1" ht="18" customHeight="1">
      <c r="A1667" s="693"/>
      <c r="B1667" s="1922">
        <v>1</v>
      </c>
      <c r="C1667" s="1848" t="str">
        <f t="shared" ref="C1667" si="1508">VLOOKUP(D1667,base_datos,6,FALSE)</f>
        <v>Placa lamicoid rotulación de 3mm de espesor, fondo negro y letras blancas.</v>
      </c>
      <c r="D1667" s="1886" t="s">
        <v>8570</v>
      </c>
      <c r="E1667" s="1795">
        <f t="shared" ref="E1667" si="1509">VLOOKUP(D1667,base_datos,5,FALSE)</f>
        <v>2.2000000000000002</v>
      </c>
      <c r="F1667" s="1796">
        <f t="shared" ref="F1667" si="1510">+E1667*B1667</f>
        <v>2.2000000000000002</v>
      </c>
      <c r="G1667" s="696"/>
      <c r="H1667" s="696"/>
      <c r="I1667" s="696"/>
      <c r="J1667" s="697"/>
      <c r="K1667" s="684">
        <f>+K1659</f>
        <v>1</v>
      </c>
      <c r="L1667" s="708">
        <v>1</v>
      </c>
      <c r="M1667" s="709">
        <f t="shared" si="1502"/>
        <v>1</v>
      </c>
      <c r="N1667" s="362">
        <f t="shared" si="1462"/>
        <v>1</v>
      </c>
      <c r="O1667" s="1763" t="str">
        <f t="shared" si="1463"/>
        <v>Placa lamicoid p/distr.</v>
      </c>
      <c r="P1667" s="1764" t="str">
        <f t="shared" si="1464"/>
        <v>Placa lamicoid rotulación de 3mm de espesor, fondo negro y letras blancas.</v>
      </c>
      <c r="Q1667" s="120" t="str">
        <f t="shared" si="1465"/>
        <v>Placa lamicoid p/distr.</v>
      </c>
      <c r="R1667" s="185"/>
    </row>
    <row r="1668" spans="1:20" s="1236" customFormat="1" ht="18" customHeight="1">
      <c r="A1668" s="1767"/>
      <c r="B1668" s="1853">
        <v>1</v>
      </c>
      <c r="C1668" s="1895" t="s">
        <v>12474</v>
      </c>
      <c r="D1668" s="1902"/>
      <c r="E1668" s="1792"/>
      <c r="F1668" s="1793"/>
      <c r="G1668" s="1784"/>
      <c r="H1668" s="1784"/>
      <c r="I1668" s="1784"/>
      <c r="J1668" s="1182"/>
      <c r="K1668" s="684">
        <f t="shared" si="1478"/>
        <v>1</v>
      </c>
      <c r="L1668" s="708">
        <v>1</v>
      </c>
      <c r="M1668" s="709">
        <f t="shared" si="1502"/>
        <v>1</v>
      </c>
      <c r="N1668" s="362" t="str">
        <f t="shared" si="1462"/>
        <v/>
      </c>
      <c r="O1668" s="1763" t="str">
        <f t="shared" si="1463"/>
        <v/>
      </c>
      <c r="P1668" s="1764" t="str">
        <f t="shared" si="1464"/>
        <v/>
      </c>
      <c r="Q1668" s="120" t="str">
        <f t="shared" si="1465"/>
        <v/>
      </c>
      <c r="R1668" s="185"/>
    </row>
    <row r="1669" spans="1:20" s="1236" customFormat="1" ht="18" customHeight="1">
      <c r="A1669" s="1767"/>
      <c r="B1669" s="1853">
        <v>1</v>
      </c>
      <c r="C1669" s="1848" t="str">
        <f>VLOOKUP(D1669,base_datos,6,FALSE)</f>
        <v>Embalaje especial completamente cerrado para tablero adosado de 1600x600x220mm</v>
      </c>
      <c r="D1669" s="1902" t="s">
        <v>12453</v>
      </c>
      <c r="E1669" s="1795">
        <f t="shared" ref="E1669" si="1511">VLOOKUP(D1669,base_datos,5,FALSE)</f>
        <v>271.40000000000003</v>
      </c>
      <c r="F1669" s="1796">
        <f t="shared" ref="F1669" si="1512">+E1669*B1669</f>
        <v>271.40000000000003</v>
      </c>
      <c r="G1669" s="1784"/>
      <c r="H1669" s="1784"/>
      <c r="I1669" s="1784"/>
      <c r="J1669" s="1182"/>
      <c r="K1669" s="684">
        <f t="shared" si="1478"/>
        <v>1</v>
      </c>
      <c r="L1669" s="708">
        <v>1</v>
      </c>
      <c r="M1669" s="709">
        <f t="shared" si="1502"/>
        <v>1</v>
      </c>
      <c r="N1669" s="362">
        <f t="shared" si="1462"/>
        <v>1</v>
      </c>
      <c r="O1669" s="1763" t="str">
        <f t="shared" si="1463"/>
        <v>EMBAL_ADOS_1600x600x220mm</v>
      </c>
      <c r="P1669" s="1764" t="str">
        <f t="shared" si="1464"/>
        <v>Embalaje especial completamente cerrado para tablero adosado de 1600x600x220mm</v>
      </c>
      <c r="Q1669" s="120" t="str">
        <f t="shared" si="1465"/>
        <v>EMBAL_ADOS_1600x600x220mm</v>
      </c>
      <c r="R1669" s="185"/>
    </row>
    <row r="1670" spans="1:20" s="185" customFormat="1" ht="18" customHeight="1">
      <c r="A1670" s="1785"/>
      <c r="B1670" s="714"/>
      <c r="C1670" s="313" t="s">
        <v>729</v>
      </c>
      <c r="D1670" s="173"/>
      <c r="E1670" s="1786"/>
      <c r="F1670" s="1787"/>
      <c r="G1670" s="710"/>
      <c r="H1670" s="710"/>
      <c r="I1670" s="710"/>
      <c r="J1670" s="711"/>
      <c r="K1670" s="684">
        <f t="shared" si="1478"/>
        <v>1</v>
      </c>
      <c r="L1670" s="708">
        <v>1</v>
      </c>
      <c r="M1670" s="709">
        <f t="shared" si="1502"/>
        <v>1</v>
      </c>
      <c r="N1670" s="362" t="str">
        <f t="shared" si="1462"/>
        <v/>
      </c>
      <c r="O1670" s="1763" t="str">
        <f t="shared" si="1463"/>
        <v/>
      </c>
      <c r="P1670" s="1764" t="str">
        <f t="shared" si="1464"/>
        <v/>
      </c>
      <c r="Q1670" s="120" t="str">
        <f t="shared" si="1465"/>
        <v/>
      </c>
    </row>
    <row r="1671" spans="1:20" s="695" customFormat="1" ht="18" customHeight="1">
      <c r="A1671" s="693"/>
      <c r="B1671" s="2046">
        <v>1</v>
      </c>
      <c r="C1671" s="2068" t="s">
        <v>2910</v>
      </c>
      <c r="D1671" s="2069"/>
      <c r="E1671" s="2049">
        <v>15</v>
      </c>
      <c r="F1671" s="2048">
        <v>15</v>
      </c>
      <c r="G1671" s="696"/>
      <c r="H1671" s="696"/>
      <c r="I1671" s="696"/>
      <c r="J1671" s="697"/>
      <c r="K1671" s="684">
        <f t="shared" si="1478"/>
        <v>1</v>
      </c>
      <c r="L1671" s="708">
        <v>1</v>
      </c>
      <c r="M1671" s="709">
        <f t="shared" si="1502"/>
        <v>1</v>
      </c>
      <c r="N1671" s="362" t="str">
        <f t="shared" si="1462"/>
        <v/>
      </c>
      <c r="O1671" s="1763" t="str">
        <f t="shared" si="1463"/>
        <v/>
      </c>
      <c r="P1671" s="1764" t="str">
        <f t="shared" si="1464"/>
        <v/>
      </c>
      <c r="Q1671" s="120" t="str">
        <f t="shared" si="1465"/>
        <v/>
      </c>
      <c r="R1671" s="185"/>
    </row>
    <row r="1672" spans="1:20" s="695" customFormat="1" ht="18" customHeight="1">
      <c r="A1672" s="1584"/>
      <c r="B1672" s="2091">
        <v>1</v>
      </c>
      <c r="C1672" s="2100" t="str">
        <f t="shared" ref="C1672" si="1513">VLOOKUP(D1672,base_datos,6,FALSE)</f>
        <v>Barra a tierra.</v>
      </c>
      <c r="D1672" s="1790" t="s">
        <v>8299</v>
      </c>
      <c r="E1672" s="2105">
        <f t="shared" ref="E1672" si="1514">VLOOKUP(D1672,base_datos,5,FALSE)</f>
        <v>10</v>
      </c>
      <c r="F1672" s="1796">
        <f t="shared" ref="F1672" si="1515">+E1672*B1672</f>
        <v>10</v>
      </c>
      <c r="G1672" s="696"/>
      <c r="H1672" s="696"/>
      <c r="I1672" s="696"/>
      <c r="J1672" s="697"/>
      <c r="K1672" s="684">
        <f t="shared" si="1478"/>
        <v>1</v>
      </c>
      <c r="L1672" s="708">
        <v>1</v>
      </c>
      <c r="M1672" s="709">
        <f>IF(B1672="",1,B1672)</f>
        <v>1</v>
      </c>
      <c r="N1672" s="362" t="str">
        <f>IF(O1672&lt;&gt;"",K1672*L1672*M1672,"")</f>
        <v/>
      </c>
      <c r="O1672" s="1763" t="str">
        <f>IF(D1672&lt;&gt;"",IF(VLOOKUP(D1672,base_datos,7,FALSE)&lt;&gt;"",VLOOKUP(D1672,base_datos,7,FALSE),""),"")</f>
        <v/>
      </c>
      <c r="P1672" s="1764" t="str">
        <f>IF(O1672&lt;&gt;"",VLOOKUP(D1672,base_datos,6,FALSE),"")</f>
        <v/>
      </c>
      <c r="Q1672" s="120" t="str">
        <f>IF(O1672&lt;&gt;"",D1672,"")</f>
        <v/>
      </c>
      <c r="R1672" s="185"/>
    </row>
    <row r="1673" spans="1:20" s="185" customFormat="1" ht="18" customHeight="1">
      <c r="A1673" s="1785"/>
      <c r="B1673" s="714"/>
      <c r="C1673" s="313" t="s">
        <v>729</v>
      </c>
      <c r="D1673" s="173"/>
      <c r="E1673" s="1786"/>
      <c r="F1673" s="1787"/>
      <c r="G1673" s="710"/>
      <c r="H1673" s="710"/>
      <c r="I1673" s="710"/>
      <c r="J1673" s="711"/>
      <c r="K1673" s="684">
        <f t="shared" si="1478"/>
        <v>1</v>
      </c>
      <c r="L1673" s="708">
        <v>1</v>
      </c>
      <c r="M1673" s="709">
        <f t="shared" si="1502"/>
        <v>1</v>
      </c>
      <c r="N1673" s="362" t="str">
        <f t="shared" si="1462"/>
        <v/>
      </c>
      <c r="O1673" s="1763" t="str">
        <f t="shared" si="1463"/>
        <v/>
      </c>
      <c r="P1673" s="1764" t="str">
        <f t="shared" si="1464"/>
        <v/>
      </c>
      <c r="Q1673" s="120" t="str">
        <f t="shared" si="1465"/>
        <v/>
      </c>
    </row>
    <row r="1674" spans="1:20" s="897" customFormat="1" ht="18" customHeight="1">
      <c r="A1674" s="693"/>
      <c r="B1674" s="895">
        <v>17</v>
      </c>
      <c r="C1674" s="721" t="str">
        <f>VLOOKUP(D1674,base_datos,6,FALSE)</f>
        <v>Rotulado por circuito.</v>
      </c>
      <c r="D1674" s="1579" t="s">
        <v>3067</v>
      </c>
      <c r="E1674" s="1581">
        <f>VLOOKUP(D1674,base_datos,5,FALSE)</f>
        <v>0.7</v>
      </c>
      <c r="F1674" s="1581">
        <f t="shared" ref="F1674:F1679" si="1516">+E1674*B1674</f>
        <v>11.899999999999999</v>
      </c>
      <c r="G1674" s="1772"/>
      <c r="H1674" s="1772"/>
      <c r="I1674" s="1772"/>
      <c r="J1674" s="896"/>
      <c r="K1674" s="684">
        <f t="shared" si="1478"/>
        <v>1</v>
      </c>
      <c r="L1674" s="708">
        <v>1</v>
      </c>
      <c r="M1674" s="709">
        <f t="shared" si="1502"/>
        <v>17</v>
      </c>
      <c r="N1674" s="362" t="str">
        <f t="shared" si="1462"/>
        <v/>
      </c>
      <c r="O1674" s="1763" t="str">
        <f t="shared" si="1463"/>
        <v/>
      </c>
      <c r="P1674" s="1764" t="str">
        <f t="shared" si="1464"/>
        <v/>
      </c>
      <c r="Q1674" s="120" t="str">
        <f t="shared" si="1465"/>
        <v/>
      </c>
    </row>
    <row r="1675" spans="1:20" s="897" customFormat="1" ht="18" customHeight="1">
      <c r="A1675" s="693"/>
      <c r="B1675" s="895">
        <v>1</v>
      </c>
      <c r="C1675" s="721" t="str">
        <f>VLOOKUP(D1675,base_datos,6,FALSE)</f>
        <v>Rotulado para TAG - tablero de distribución.</v>
      </c>
      <c r="D1675" s="1579" t="s">
        <v>3066</v>
      </c>
      <c r="E1675" s="1581">
        <f>VLOOKUP(D1675,base_datos,5,FALSE)</f>
        <v>1.5</v>
      </c>
      <c r="F1675" s="1581">
        <f t="shared" si="1516"/>
        <v>1.5</v>
      </c>
      <c r="G1675" s="1772"/>
      <c r="H1675" s="1772"/>
      <c r="I1675" s="1772"/>
      <c r="J1675" s="896"/>
      <c r="K1675" s="684">
        <f t="shared" si="1478"/>
        <v>1</v>
      </c>
      <c r="L1675" s="708">
        <v>1</v>
      </c>
      <c r="M1675" s="709">
        <f t="shared" si="1502"/>
        <v>1</v>
      </c>
      <c r="N1675" s="362" t="str">
        <f t="shared" si="1462"/>
        <v/>
      </c>
      <c r="O1675" s="1763" t="str">
        <f t="shared" si="1463"/>
        <v/>
      </c>
      <c r="P1675" s="1764" t="str">
        <f t="shared" si="1464"/>
        <v/>
      </c>
      <c r="Q1675" s="120" t="str">
        <f t="shared" si="1465"/>
        <v/>
      </c>
    </row>
    <row r="1676" spans="1:20" s="1237" customFormat="1" ht="18" customHeight="1">
      <c r="A1676" s="1767"/>
      <c r="B1676" s="1773">
        <v>1</v>
      </c>
      <c r="C1676" s="1992" t="s">
        <v>11664</v>
      </c>
      <c r="D1676" s="2070"/>
      <c r="E1676" s="1581">
        <v>90</v>
      </c>
      <c r="F1676" s="1581">
        <f t="shared" si="1516"/>
        <v>90</v>
      </c>
      <c r="G1676" s="1774"/>
      <c r="H1676" s="1774"/>
      <c r="I1676" s="1774"/>
      <c r="J1676" s="1181"/>
      <c r="K1676" s="684">
        <f t="shared" si="1478"/>
        <v>1</v>
      </c>
      <c r="L1676" s="708">
        <v>1</v>
      </c>
      <c r="M1676" s="709">
        <f t="shared" si="1502"/>
        <v>1</v>
      </c>
      <c r="N1676" s="362" t="str">
        <f t="shared" si="1462"/>
        <v/>
      </c>
      <c r="O1676" s="1763" t="str">
        <f t="shared" si="1463"/>
        <v/>
      </c>
      <c r="P1676" s="1764" t="str">
        <f t="shared" si="1464"/>
        <v/>
      </c>
      <c r="Q1676" s="120" t="str">
        <f t="shared" si="1465"/>
        <v/>
      </c>
      <c r="R1676" s="1765"/>
    </row>
    <row r="1677" spans="1:20" s="1237" customFormat="1" ht="18" customHeight="1">
      <c r="A1677" s="1767"/>
      <c r="B1677" s="2093">
        <v>1</v>
      </c>
      <c r="C1677" s="694" t="s">
        <v>12552</v>
      </c>
      <c r="D1677" s="1888"/>
      <c r="E1677" s="1580">
        <f>E1679*15%</f>
        <v>27</v>
      </c>
      <c r="F1677" s="1581">
        <f t="shared" si="1516"/>
        <v>27</v>
      </c>
      <c r="G1677" s="1774"/>
      <c r="H1677" s="1774"/>
      <c r="I1677" s="1774"/>
      <c r="J1677" s="1181"/>
      <c r="K1677" s="684">
        <f t="shared" si="1478"/>
        <v>1</v>
      </c>
      <c r="L1677" s="708">
        <v>1</v>
      </c>
      <c r="M1677" s="709">
        <f t="shared" si="1502"/>
        <v>1</v>
      </c>
      <c r="N1677" s="362" t="str">
        <f t="shared" si="1462"/>
        <v/>
      </c>
      <c r="O1677" s="1763" t="str">
        <f t="shared" si="1463"/>
        <v/>
      </c>
      <c r="P1677" s="1764" t="str">
        <f t="shared" si="1464"/>
        <v/>
      </c>
      <c r="Q1677" s="120" t="str">
        <f t="shared" si="1465"/>
        <v/>
      </c>
      <c r="R1677" s="1765"/>
    </row>
    <row r="1678" spans="1:20" s="1237" customFormat="1" ht="18" customHeight="1">
      <c r="A1678" s="1767"/>
      <c r="B1678" s="1773">
        <v>1</v>
      </c>
      <c r="C1678" s="694" t="s">
        <v>12559</v>
      </c>
      <c r="D1678" s="1888"/>
      <c r="E1678" s="1999">
        <f>E1679*20%</f>
        <v>36</v>
      </c>
      <c r="F1678" s="1581">
        <f t="shared" si="1516"/>
        <v>36</v>
      </c>
      <c r="G1678" s="1774"/>
      <c r="H1678" s="1774"/>
      <c r="I1678" s="1774"/>
      <c r="J1678" s="1181"/>
      <c r="K1678" s="684">
        <f t="shared" si="1478"/>
        <v>1</v>
      </c>
      <c r="L1678" s="708">
        <v>1</v>
      </c>
      <c r="M1678" s="709">
        <f t="shared" si="1502"/>
        <v>1</v>
      </c>
      <c r="N1678" s="362" t="str">
        <f t="shared" si="1462"/>
        <v/>
      </c>
      <c r="O1678" s="1763" t="str">
        <f t="shared" si="1463"/>
        <v/>
      </c>
      <c r="P1678" s="1764" t="str">
        <f t="shared" si="1464"/>
        <v/>
      </c>
      <c r="Q1678" s="120" t="str">
        <f t="shared" si="1465"/>
        <v/>
      </c>
      <c r="R1678" s="1765"/>
    </row>
    <row r="1679" spans="1:20" s="1237" customFormat="1" ht="18" customHeight="1">
      <c r="A1679" s="1767"/>
      <c r="B1679" s="1773">
        <v>1</v>
      </c>
      <c r="C1679" s="694" t="s">
        <v>12493</v>
      </c>
      <c r="D1679" s="2071"/>
      <c r="E1679" s="1581">
        <v>180</v>
      </c>
      <c r="F1679" s="1581">
        <f t="shared" si="1516"/>
        <v>180</v>
      </c>
      <c r="G1679" s="1774"/>
      <c r="H1679" s="1774"/>
      <c r="I1679" s="1774"/>
      <c r="J1679" s="1181"/>
      <c r="K1679" s="684">
        <f t="shared" si="1478"/>
        <v>1</v>
      </c>
      <c r="L1679" s="708">
        <v>1</v>
      </c>
      <c r="M1679" s="709">
        <f t="shared" si="1502"/>
        <v>1</v>
      </c>
      <c r="N1679" s="362" t="str">
        <f t="shared" ref="N1679" si="1517">IF(O1679&lt;&gt;"",K1679*L1679*M1679,"")</f>
        <v/>
      </c>
      <c r="O1679" s="1763" t="str">
        <f t="shared" ref="O1679" si="1518">IF(D1679&lt;&gt;"",IF(VLOOKUP(D1679,base_datos,7,FALSE)&lt;&gt;"",VLOOKUP(D1679,base_datos,7,FALSE),""),"")</f>
        <v/>
      </c>
      <c r="P1679" s="1764" t="str">
        <f t="shared" ref="P1679" si="1519">IF(O1679&lt;&gt;"",VLOOKUP(D1679,base_datos,6,FALSE),"")</f>
        <v/>
      </c>
      <c r="Q1679" s="120" t="str">
        <f t="shared" ref="Q1679" si="1520">IF(O1679&lt;&gt;"",D1679,"")</f>
        <v/>
      </c>
      <c r="R1679" s="1765"/>
    </row>
    <row r="1680" spans="1:20" s="120" customFormat="1" ht="18" customHeight="1" thickBot="1">
      <c r="A1680" s="1855"/>
      <c r="B1680" s="1854"/>
      <c r="C1680" s="1797"/>
      <c r="D1680" s="1889"/>
      <c r="E1680" s="1981"/>
      <c r="F1680" s="1981"/>
      <c r="G1680" s="1798"/>
      <c r="H1680" s="1798"/>
      <c r="I1680" s="1798"/>
      <c r="J1680" s="1799"/>
      <c r="K1680" s="1788"/>
      <c r="L1680" s="363"/>
      <c r="M1680" s="684"/>
      <c r="N1680" s="362" t="str">
        <f t="shared" si="1462"/>
        <v/>
      </c>
      <c r="O1680" s="1763" t="str">
        <f t="shared" si="1463"/>
        <v/>
      </c>
      <c r="P1680" s="1764" t="str">
        <f t="shared" si="1464"/>
        <v/>
      </c>
      <c r="Q1680" s="120" t="str">
        <f t="shared" si="1465"/>
        <v/>
      </c>
      <c r="R1680" s="185"/>
    </row>
    <row r="1681" spans="1:18" s="120" customFormat="1" ht="18" customHeight="1" thickBot="1">
      <c r="A1681" s="1989">
        <v>29</v>
      </c>
      <c r="B1681" s="1852">
        <v>1</v>
      </c>
      <c r="C1681" s="1756" t="s">
        <v>12591</v>
      </c>
      <c r="D1681" s="1588"/>
      <c r="E1681" s="1589"/>
      <c r="F1681" s="1589"/>
      <c r="G1681" s="1757">
        <f>SUM(F1682:F1738)</f>
        <v>5763.58</v>
      </c>
      <c r="H1681" s="1758">
        <f>G1681*(1-$D$6)</f>
        <v>5763.58</v>
      </c>
      <c r="I1681" s="1757">
        <f>ROUNDUP(H1681*$D$5,0)</f>
        <v>19597</v>
      </c>
      <c r="J1681" s="1759">
        <f>+I1681*B1681</f>
        <v>19597</v>
      </c>
      <c r="K1681" s="1788">
        <f>B1681</f>
        <v>1</v>
      </c>
      <c r="L1681" s="363"/>
      <c r="M1681" s="684"/>
      <c r="N1681" s="362" t="str">
        <f t="shared" ref="N1681:N1741" si="1521">IF(O1681&lt;&gt;"",K1681*L1681*M1681,"")</f>
        <v/>
      </c>
      <c r="O1681" s="1763" t="str">
        <f t="shared" ref="O1681:O1741" si="1522">IF(D1681&lt;&gt;"",IF(VLOOKUP(D1681,base_datos,7,FALSE)&lt;&gt;"",VLOOKUP(D1681,base_datos,7,FALSE),""),"")</f>
        <v/>
      </c>
      <c r="P1681" s="1764" t="str">
        <f t="shared" ref="P1681:P1741" si="1523">IF(O1681&lt;&gt;"",VLOOKUP(D1681,base_datos,6,FALSE),"")</f>
        <v/>
      </c>
      <c r="Q1681" s="120" t="str">
        <f t="shared" ref="Q1681:Q1741" si="1524">IF(O1681&lt;&gt;"",D1681,"")</f>
        <v/>
      </c>
      <c r="R1681" s="185"/>
    </row>
    <row r="1682" spans="1:18" s="120" customFormat="1" ht="18" customHeight="1">
      <c r="A1682" s="685" t="s">
        <v>3162</v>
      </c>
      <c r="B1682" s="1903"/>
      <c r="C1682" s="1890"/>
      <c r="D1682" s="1904"/>
      <c r="E1682" s="1789"/>
      <c r="F1682" s="1780"/>
      <c r="G1682" s="686"/>
      <c r="H1682" s="710"/>
      <c r="I1682" s="686"/>
      <c r="J1682" s="1768"/>
      <c r="K1682" s="684">
        <f t="shared" ref="K1682:K1738" si="1525">+K1681</f>
        <v>1</v>
      </c>
      <c r="L1682" s="363">
        <v>1</v>
      </c>
      <c r="M1682" s="709">
        <f t="shared" ref="M1682:M1696" si="1526">IF(B1682="",1,B1682)</f>
        <v>1</v>
      </c>
      <c r="N1682" s="362" t="str">
        <f t="shared" si="1521"/>
        <v/>
      </c>
      <c r="O1682" s="1763" t="str">
        <f t="shared" si="1522"/>
        <v/>
      </c>
      <c r="P1682" s="1764" t="str">
        <f t="shared" si="1523"/>
        <v/>
      </c>
      <c r="Q1682" s="120" t="str">
        <f t="shared" si="1524"/>
        <v/>
      </c>
    </row>
    <row r="1683" spans="1:18" s="315" customFormat="1">
      <c r="A1683" s="687" t="s">
        <v>4021</v>
      </c>
      <c r="B1683" s="2096">
        <v>1</v>
      </c>
      <c r="C1683" s="1907" t="s">
        <v>5103</v>
      </c>
      <c r="D1683" s="1935"/>
      <c r="E1683" s="1786"/>
      <c r="F1683" s="1908">
        <f>SUM(F1685:F1689)*(B1683-1)</f>
        <v>0</v>
      </c>
      <c r="G1683" s="712"/>
      <c r="H1683" s="712"/>
      <c r="I1683" s="712"/>
      <c r="J1683" s="713"/>
      <c r="K1683" s="684">
        <f t="shared" si="1525"/>
        <v>1</v>
      </c>
      <c r="L1683" s="1909">
        <f>B1683</f>
        <v>1</v>
      </c>
      <c r="M1683" s="684">
        <f t="shared" si="1526"/>
        <v>1</v>
      </c>
      <c r="N1683" s="362" t="str">
        <f t="shared" si="1521"/>
        <v/>
      </c>
      <c r="O1683" s="1763" t="str">
        <f t="shared" si="1522"/>
        <v/>
      </c>
      <c r="P1683" s="1764" t="str">
        <f t="shared" si="1523"/>
        <v/>
      </c>
      <c r="Q1683" s="120" t="str">
        <f t="shared" si="1524"/>
        <v/>
      </c>
    </row>
    <row r="1684" spans="1:18" s="185" customFormat="1">
      <c r="A1684" s="687" t="s">
        <v>4136</v>
      </c>
      <c r="B1684" s="1910">
        <v>3</v>
      </c>
      <c r="C1684" s="1911" t="str">
        <f>VLOOKUP(D1684,base_datos,6,FALSE)</f>
        <v>Portalámpara + lampara tipo LED - color Rojo - alimentacion: 220-230Vac, d=22mm. - CL2-523R - línea compacta - marca ABB.</v>
      </c>
      <c r="D1684" s="1790" t="s">
        <v>2439</v>
      </c>
      <c r="E1684" s="1939">
        <f>VLOOKUP(D1684,base_datos,5,FALSE)</f>
        <v>12.299999999999999</v>
      </c>
      <c r="F1684" s="1912">
        <f>+E1684*B1684</f>
        <v>36.9</v>
      </c>
      <c r="G1684" s="710"/>
      <c r="H1684" s="710"/>
      <c r="I1684" s="710"/>
      <c r="J1684" s="711"/>
      <c r="K1684" s="684">
        <f t="shared" si="1525"/>
        <v>1</v>
      </c>
      <c r="L1684" s="1913">
        <f>L1682</f>
        <v>1</v>
      </c>
      <c r="M1684" s="684">
        <f t="shared" si="1526"/>
        <v>3</v>
      </c>
      <c r="N1684" s="362">
        <f t="shared" si="1521"/>
        <v>3</v>
      </c>
      <c r="O1684" s="1763" t="str">
        <f t="shared" si="1522"/>
        <v>1SFA619403R5231</v>
      </c>
      <c r="P1684" s="1764" t="str">
        <f t="shared" si="1523"/>
        <v>Portalámpara + lampara tipo LED - color Rojo - alimentacion: 220-230Vac, d=22mm. - CL2-523R - línea compacta - marca ABB.</v>
      </c>
      <c r="Q1684" s="120" t="str">
        <f t="shared" si="1524"/>
        <v>LAMP_ROJO_220V</v>
      </c>
    </row>
    <row r="1685" spans="1:18" s="185" customFormat="1">
      <c r="A1685" s="687"/>
      <c r="B1685" s="1910">
        <v>3</v>
      </c>
      <c r="C1685" s="1911" t="str">
        <f>VLOOKUP(D1685,base_datos,6,FALSE)</f>
        <v>Portalámpara + lampara tipo LED - color Verde - alimentacion: 220-230Vac, d=22mm. - CL2-523G - línea compacta - marca ABB.</v>
      </c>
      <c r="D1685" s="1790" t="s">
        <v>2440</v>
      </c>
      <c r="E1685" s="1939">
        <f>VLOOKUP(D1685,base_datos,5,FALSE)</f>
        <v>12.299999999999999</v>
      </c>
      <c r="F1685" s="1912">
        <f>+E1685*B1685</f>
        <v>36.9</v>
      </c>
      <c r="G1685" s="710"/>
      <c r="H1685" s="710"/>
      <c r="I1685" s="710"/>
      <c r="J1685" s="711"/>
      <c r="K1685" s="684">
        <f t="shared" si="1525"/>
        <v>1</v>
      </c>
      <c r="L1685" s="1913">
        <f>L1683</f>
        <v>1</v>
      </c>
      <c r="M1685" s="684">
        <f t="shared" si="1526"/>
        <v>3</v>
      </c>
      <c r="N1685" s="362">
        <f t="shared" si="1521"/>
        <v>3</v>
      </c>
      <c r="O1685" s="1763" t="str">
        <f t="shared" si="1522"/>
        <v>1SFA619403R5232</v>
      </c>
      <c r="P1685" s="1764" t="str">
        <f t="shared" si="1523"/>
        <v>Portalámpara + lampara tipo LED - color Verde - alimentacion: 220-230Vac, d=22mm. - CL2-523G - línea compacta - marca ABB.</v>
      </c>
      <c r="Q1685" s="120" t="str">
        <f t="shared" si="1524"/>
        <v>LAMP_VERDE_220V</v>
      </c>
    </row>
    <row r="1686" spans="1:18" s="1921" customFormat="1">
      <c r="A1686" s="687" t="s">
        <v>12356</v>
      </c>
      <c r="B1686" s="1914">
        <v>1</v>
      </c>
      <c r="C1686" s="1915" t="s">
        <v>3366</v>
      </c>
      <c r="D1686" s="1916"/>
      <c r="E1686" s="1917"/>
      <c r="F1686" s="1918"/>
      <c r="G1686" s="1919"/>
      <c r="H1686" s="1919"/>
      <c r="I1686" s="1919"/>
      <c r="J1686" s="1920"/>
      <c r="K1686" s="684">
        <f t="shared" si="1525"/>
        <v>1</v>
      </c>
      <c r="L1686" s="1913">
        <f>L1685</f>
        <v>1</v>
      </c>
      <c r="M1686" s="684">
        <f t="shared" si="1526"/>
        <v>1</v>
      </c>
      <c r="N1686" s="362" t="str">
        <f t="shared" si="1521"/>
        <v/>
      </c>
      <c r="O1686" s="1763" t="str">
        <f t="shared" si="1522"/>
        <v/>
      </c>
      <c r="P1686" s="1764" t="str">
        <f t="shared" si="1523"/>
        <v/>
      </c>
      <c r="Q1686" s="120" t="str">
        <f t="shared" si="1524"/>
        <v/>
      </c>
    </row>
    <row r="1687" spans="1:18" s="320" customFormat="1">
      <c r="A1687" s="687" t="s">
        <v>12374</v>
      </c>
      <c r="B1687" s="1922">
        <v>1</v>
      </c>
      <c r="C1687" s="721" t="str">
        <f>VLOOKUP(D1687,base_datos,6,FALSE)</f>
        <v>Rele auxiliar enchufable +4NA/NC (D2PR4B + base D2PA6), 220Vac - marca EATON.</v>
      </c>
      <c r="D1687" s="1579" t="s">
        <v>772</v>
      </c>
      <c r="E1687" s="1581">
        <f>VLOOKUP(D1687,base_datos,5,FALSE)</f>
        <v>27</v>
      </c>
      <c r="F1687" s="1923">
        <f>+E1687*B1687</f>
        <v>27</v>
      </c>
      <c r="G1687" s="1924"/>
      <c r="H1687" s="1924"/>
      <c r="I1687" s="1924"/>
      <c r="J1687" s="722"/>
      <c r="K1687" s="684">
        <f t="shared" si="1525"/>
        <v>1</v>
      </c>
      <c r="L1687" s="1913">
        <f>L1684</f>
        <v>1</v>
      </c>
      <c r="M1687" s="684">
        <f t="shared" si="1526"/>
        <v>1</v>
      </c>
      <c r="N1687" s="362">
        <f t="shared" si="1521"/>
        <v>1</v>
      </c>
      <c r="O1687" s="1763" t="str">
        <f t="shared" si="1522"/>
        <v>D2PR4B+D2PA6</v>
      </c>
      <c r="P1687" s="1764" t="str">
        <f t="shared" si="1523"/>
        <v>Rele auxiliar enchufable +4NA/NC (D2PR4B + base D2PA6), 220Vac - marca EATON.</v>
      </c>
      <c r="Q1687" s="120" t="str">
        <f t="shared" si="1524"/>
        <v>D2PR4B+D2PA6</v>
      </c>
    </row>
    <row r="1688" spans="1:18" s="320" customFormat="1">
      <c r="A1688" s="1767"/>
      <c r="B1688" s="2131">
        <v>1</v>
      </c>
      <c r="C1688" s="2132" t="s">
        <v>12558</v>
      </c>
      <c r="D1688" s="2133"/>
      <c r="E1688" s="2134">
        <v>32</v>
      </c>
      <c r="F1688" s="2134">
        <f>+E1688*B1688</f>
        <v>32</v>
      </c>
      <c r="G1688" s="1924"/>
      <c r="H1688" s="1924"/>
      <c r="I1688" s="1924"/>
      <c r="J1688" s="722"/>
      <c r="K1688" s="684">
        <f t="shared" si="1525"/>
        <v>1</v>
      </c>
      <c r="L1688" s="1913">
        <f>L1685</f>
        <v>1</v>
      </c>
      <c r="M1688" s="684">
        <f t="shared" si="1526"/>
        <v>1</v>
      </c>
      <c r="N1688" s="362" t="str">
        <f t="shared" si="1521"/>
        <v/>
      </c>
      <c r="O1688" s="1763" t="str">
        <f t="shared" si="1522"/>
        <v/>
      </c>
      <c r="P1688" s="1764" t="str">
        <f t="shared" si="1523"/>
        <v/>
      </c>
      <c r="Q1688" s="120" t="str">
        <f t="shared" si="1524"/>
        <v/>
      </c>
    </row>
    <row r="1689" spans="1:18" s="320" customFormat="1">
      <c r="A1689" s="687" t="s">
        <v>12551</v>
      </c>
      <c r="B1689" s="1922">
        <v>4</v>
      </c>
      <c r="C1689" s="721" t="str">
        <f>VLOOKUP(D1689,base_datos,6,FALSE)</f>
        <v>Base portafusibles + Fusibles de protección para control.</v>
      </c>
      <c r="D1689" s="1579" t="s">
        <v>453</v>
      </c>
      <c r="E1689" s="1581">
        <f>VLOOKUP(D1689,base_datos,5,FALSE)</f>
        <v>8.1750000000000007</v>
      </c>
      <c r="F1689" s="1923">
        <f>+E1689*B1689</f>
        <v>32.700000000000003</v>
      </c>
      <c r="G1689" s="1924"/>
      <c r="H1689" s="1924"/>
      <c r="I1689" s="1924"/>
      <c r="J1689" s="722"/>
      <c r="K1689" s="684">
        <f t="shared" si="1525"/>
        <v>1</v>
      </c>
      <c r="L1689" s="1913">
        <f>L1686</f>
        <v>1</v>
      </c>
      <c r="M1689" s="684">
        <f t="shared" si="1526"/>
        <v>4</v>
      </c>
      <c r="N1689" s="362" t="str">
        <f t="shared" si="1521"/>
        <v/>
      </c>
      <c r="O1689" s="1763" t="str">
        <f t="shared" si="1522"/>
        <v/>
      </c>
      <c r="P1689" s="1764" t="str">
        <f t="shared" si="1523"/>
        <v/>
      </c>
      <c r="Q1689" s="120" t="str">
        <f t="shared" si="1524"/>
        <v/>
      </c>
    </row>
    <row r="1690" spans="1:18" s="315" customFormat="1">
      <c r="A1690" s="687" t="s">
        <v>3542</v>
      </c>
      <c r="B1690" s="1906"/>
      <c r="C1690" s="1907"/>
      <c r="D1690" s="1935"/>
      <c r="E1690" s="1786"/>
      <c r="F1690" s="1936"/>
      <c r="G1690" s="712"/>
      <c r="H1690" s="712"/>
      <c r="I1690" s="712"/>
      <c r="J1690" s="713"/>
      <c r="K1690" s="684">
        <f t="shared" si="1525"/>
        <v>1</v>
      </c>
      <c r="L1690" s="1909">
        <f>B1690</f>
        <v>0</v>
      </c>
      <c r="M1690" s="684">
        <f t="shared" si="1526"/>
        <v>1</v>
      </c>
      <c r="N1690" s="362" t="str">
        <f t="shared" si="1521"/>
        <v/>
      </c>
      <c r="O1690" s="1763" t="str">
        <f t="shared" si="1522"/>
        <v/>
      </c>
      <c r="P1690" s="1764" t="str">
        <f t="shared" si="1523"/>
        <v/>
      </c>
      <c r="Q1690" s="120" t="str">
        <f t="shared" si="1524"/>
        <v/>
      </c>
    </row>
    <row r="1691" spans="1:18" s="185" customFormat="1" ht="13.5" customHeight="1">
      <c r="A1691" s="1771"/>
      <c r="B1691" s="1922"/>
      <c r="C1691" s="1956" t="s">
        <v>12368</v>
      </c>
      <c r="D1691" s="1579"/>
      <c r="E1691" s="1957"/>
      <c r="F1691" s="1958"/>
      <c r="G1691" s="710"/>
      <c r="H1691" s="710"/>
      <c r="I1691" s="710"/>
      <c r="J1691" s="711"/>
      <c r="K1691" s="684">
        <f t="shared" si="1525"/>
        <v>1</v>
      </c>
      <c r="L1691" s="708">
        <v>1</v>
      </c>
      <c r="M1691" s="684">
        <f t="shared" si="1526"/>
        <v>1</v>
      </c>
      <c r="N1691" s="362" t="str">
        <f t="shared" si="1521"/>
        <v/>
      </c>
      <c r="O1691" s="1763" t="str">
        <f t="shared" si="1522"/>
        <v/>
      </c>
      <c r="P1691" s="1764" t="str">
        <f t="shared" si="1523"/>
        <v/>
      </c>
      <c r="Q1691" s="120" t="str">
        <f t="shared" si="1524"/>
        <v/>
      </c>
    </row>
    <row r="1692" spans="1:18" s="120" customFormat="1" ht="18" customHeight="1">
      <c r="A1692" s="1931"/>
      <c r="B1692" s="1779">
        <v>6</v>
      </c>
      <c r="C1692" s="1892" t="str">
        <f>VLOOKUP(D1692,base_datos,6,FALSE)</f>
        <v>Transformador de tensión monofásico 480 / 240 Vac - 50VA.</v>
      </c>
      <c r="D1692" s="1898" t="s">
        <v>8587</v>
      </c>
      <c r="E1692" s="1581">
        <f>VLOOKUP(D1692,base_datos,5,FALSE)</f>
        <v>76.8</v>
      </c>
      <c r="F1692" s="1581">
        <f>+E1692*B1692</f>
        <v>460.79999999999995</v>
      </c>
      <c r="G1692" s="686"/>
      <c r="H1692" s="686"/>
      <c r="I1692" s="686"/>
      <c r="J1692" s="1768"/>
      <c r="K1692" s="684">
        <f t="shared" si="1525"/>
        <v>1</v>
      </c>
      <c r="L1692" s="708">
        <v>1</v>
      </c>
      <c r="M1692" s="709">
        <f t="shared" si="1526"/>
        <v>6</v>
      </c>
      <c r="N1692" s="362" t="str">
        <f t="shared" si="1521"/>
        <v/>
      </c>
      <c r="O1692" s="1763" t="str">
        <f t="shared" si="1522"/>
        <v/>
      </c>
      <c r="P1692" s="1764" t="str">
        <f t="shared" si="1523"/>
        <v/>
      </c>
      <c r="Q1692" s="120" t="str">
        <f t="shared" si="1524"/>
        <v/>
      </c>
      <c r="R1692" s="185"/>
    </row>
    <row r="1693" spans="1:18" s="120" customFormat="1" ht="18" customHeight="1">
      <c r="A1693" s="691"/>
      <c r="B1693" s="1925"/>
      <c r="C1693" s="1926" t="s">
        <v>729</v>
      </c>
      <c r="D1693" s="1927"/>
      <c r="E1693" s="1891"/>
      <c r="F1693" s="1789"/>
      <c r="G1693" s="686"/>
      <c r="H1693" s="686"/>
      <c r="I1693" s="686"/>
      <c r="J1693" s="1768"/>
      <c r="K1693" s="684">
        <f t="shared" si="1525"/>
        <v>1</v>
      </c>
      <c r="L1693" s="363">
        <v>1</v>
      </c>
      <c r="M1693" s="709">
        <f t="shared" si="1526"/>
        <v>1</v>
      </c>
      <c r="N1693" s="362" t="str">
        <f t="shared" si="1521"/>
        <v/>
      </c>
      <c r="O1693" s="1763" t="str">
        <f t="shared" si="1522"/>
        <v/>
      </c>
      <c r="P1693" s="1764" t="str">
        <f t="shared" si="1523"/>
        <v/>
      </c>
      <c r="Q1693" s="120" t="str">
        <f t="shared" si="1524"/>
        <v/>
      </c>
    </row>
    <row r="1694" spans="1:18" s="120" customFormat="1" ht="18" customHeight="1">
      <c r="A1694" s="687"/>
      <c r="B1694" s="1781"/>
      <c r="C1694" s="1218" t="s">
        <v>3158</v>
      </c>
      <c r="D1694" s="1900"/>
      <c r="E1694" s="1791"/>
      <c r="F1694" s="1782"/>
      <c r="G1694" s="686"/>
      <c r="H1694" s="686"/>
      <c r="I1694" s="686"/>
      <c r="J1694" s="688"/>
      <c r="K1694" s="684">
        <f t="shared" si="1525"/>
        <v>1</v>
      </c>
      <c r="L1694" s="708">
        <v>1</v>
      </c>
      <c r="M1694" s="709">
        <f t="shared" si="1526"/>
        <v>1</v>
      </c>
      <c r="N1694" s="362" t="str">
        <f t="shared" si="1521"/>
        <v/>
      </c>
      <c r="O1694" s="1763" t="str">
        <f t="shared" si="1522"/>
        <v/>
      </c>
      <c r="P1694" s="1764" t="str">
        <f t="shared" si="1523"/>
        <v/>
      </c>
      <c r="Q1694" s="120" t="str">
        <f t="shared" si="1524"/>
        <v/>
      </c>
      <c r="R1694" s="185"/>
    </row>
    <row r="1695" spans="1:18" s="690" customFormat="1" ht="18" customHeight="1">
      <c r="A1695" s="687"/>
      <c r="B1695" s="1781">
        <v>1</v>
      </c>
      <c r="C1695" s="1420" t="str">
        <f>VLOOKUP(D1695,base_datos,6,FALSE)</f>
        <v>ITM Caja Moldeada 3x40A (reg.[0.7-1.0] In) - XT2N160-40A-3P-TMA - 65kA@230Vac, 36kA@415Vac - marca ABB.</v>
      </c>
      <c r="D1695" s="1901" t="s">
        <v>12541</v>
      </c>
      <c r="E1695" s="1791">
        <f>VLOOKUP(D1695,base_datos,5,FALSE)</f>
        <v>207</v>
      </c>
      <c r="F1695" s="1782">
        <f>+E1695*B1695</f>
        <v>207</v>
      </c>
      <c r="G1695" s="1761"/>
      <c r="H1695" s="1761"/>
      <c r="I1695" s="1761"/>
      <c r="J1695" s="689"/>
      <c r="K1695" s="684">
        <f t="shared" si="1525"/>
        <v>1</v>
      </c>
      <c r="L1695" s="708">
        <v>1</v>
      </c>
      <c r="M1695" s="709">
        <f t="shared" si="1526"/>
        <v>1</v>
      </c>
      <c r="N1695" s="362">
        <f t="shared" si="1521"/>
        <v>1</v>
      </c>
      <c r="O1695" s="1763" t="str">
        <f t="shared" si="1522"/>
        <v>1SDA067014R1</v>
      </c>
      <c r="P1695" s="1764" t="str">
        <f t="shared" si="1523"/>
        <v>ITM Caja Moldeada 3x40A (reg.[0.7-1.0] In) - XT2N160-40A-3P-TMA - 65kA@230Vac, 36kA@415Vac - marca ABB.</v>
      </c>
      <c r="Q1695" s="120" t="str">
        <f t="shared" si="1524"/>
        <v>XT2N160-40A-3P-Tma</v>
      </c>
      <c r="R1695" s="185"/>
    </row>
    <row r="1696" spans="1:18" s="185" customFormat="1">
      <c r="A1696" s="912"/>
      <c r="B1696" s="1922">
        <v>1</v>
      </c>
      <c r="C1696" s="1930" t="str">
        <f t="shared" ref="C1696" si="1527">VLOOKUP(D1696,base_datos,6,FALSE)</f>
        <v>FC-Cu_XT2 - Terminales - cables de cobre hasta 1x70mm2 - 3 terminales (internos)</v>
      </c>
      <c r="D1696" s="1938" t="s">
        <v>826</v>
      </c>
      <c r="E1696" s="1580">
        <f t="shared" ref="E1696" si="1528">VLOOKUP(D1696,base_datos,5,FALSE)</f>
        <v>10.379999999999999</v>
      </c>
      <c r="F1696" s="1581">
        <f t="shared" ref="F1696" si="1529">+E1696*B1696</f>
        <v>10.379999999999999</v>
      </c>
      <c r="G1696" s="710"/>
      <c r="H1696" s="710"/>
      <c r="I1696" s="710"/>
      <c r="J1696" s="711"/>
      <c r="K1696" s="684">
        <f t="shared" si="1525"/>
        <v>1</v>
      </c>
      <c r="L1696" s="2211">
        <f t="shared" ref="L1696" si="1530">L1695</f>
        <v>1</v>
      </c>
      <c r="M1696" s="118">
        <f t="shared" si="1526"/>
        <v>1</v>
      </c>
      <c r="N1696" s="112">
        <f t="shared" ref="N1696" si="1531">IF(O1696&lt;&gt;"",K1696*L1696*M1696,"")</f>
        <v>1</v>
      </c>
      <c r="O1696" s="573" t="str">
        <f t="shared" ref="O1696" si="1532">IF(D1696&lt;&gt;"",IF(VLOOKUP(D1696,base_datos,7,FALSE)&lt;&gt;"",VLOOKUP(D1696,base_datos,7,FALSE),""),"")</f>
        <v>1SDA066909R1</v>
      </c>
      <c r="P1696" s="120" t="str">
        <f t="shared" ref="P1696" si="1533">IF(O1696&lt;&gt;"",VLOOKUP(D1696,base_datos,6,FALSE),"")</f>
        <v>FC-Cu_XT2 - Terminales - cables de cobre hasta 1x70mm2 - 3 terminales (internos)</v>
      </c>
      <c r="Q1696" s="120" t="str">
        <f t="shared" ref="Q1696" si="1534">IF(O1696&lt;&gt;"",D1696,"")</f>
        <v>FC-Cu_XT2_3t</v>
      </c>
    </row>
    <row r="1697" spans="1:18" s="185" customFormat="1">
      <c r="A1697" s="687"/>
      <c r="B1697" s="714"/>
      <c r="C1697" s="313" t="s">
        <v>729</v>
      </c>
      <c r="D1697" s="173"/>
      <c r="E1697" s="1786"/>
      <c r="F1697" s="1787"/>
      <c r="G1697" s="710"/>
      <c r="H1697" s="710"/>
      <c r="I1697" s="710"/>
      <c r="J1697" s="711"/>
      <c r="K1697" s="684">
        <f t="shared" si="1525"/>
        <v>1</v>
      </c>
      <c r="L1697" s="708">
        <v>1</v>
      </c>
      <c r="M1697" s="709">
        <f>IF(B1697="",1,B1697)</f>
        <v>1</v>
      </c>
      <c r="N1697" s="362" t="str">
        <f t="shared" si="1521"/>
        <v/>
      </c>
      <c r="O1697" s="1763" t="str">
        <f t="shared" si="1522"/>
        <v/>
      </c>
      <c r="P1697" s="1764" t="str">
        <f t="shared" si="1523"/>
        <v/>
      </c>
      <c r="Q1697" s="120" t="str">
        <f t="shared" si="1524"/>
        <v/>
      </c>
    </row>
    <row r="1698" spans="1:18" s="315" customFormat="1">
      <c r="A1698" s="687"/>
      <c r="B1698" s="1932">
        <v>2</v>
      </c>
      <c r="C1698" s="1933" t="str">
        <f t="shared" ref="C1698" si="1535">VLOOKUP(D1698,base_datos,6,FALSE)</f>
        <v>2(Q) contacto conmutado de estado (NA/NC) + 1(SY) contacto por disparo de interruptor - XT1..XT4 - versión cableada - marca ABB.</v>
      </c>
      <c r="D1698" s="1790" t="s">
        <v>3244</v>
      </c>
      <c r="E1698" s="1939">
        <f t="shared" ref="E1698" si="1536">VLOOKUP(D1698,base_datos,5,FALSE)</f>
        <v>132.1</v>
      </c>
      <c r="F1698" s="1940">
        <f t="shared" ref="F1698" si="1537">+E1698*B1698</f>
        <v>264.2</v>
      </c>
      <c r="G1698" s="712"/>
      <c r="H1698" s="712"/>
      <c r="I1698" s="712"/>
      <c r="J1698" s="713"/>
      <c r="K1698" s="684">
        <f t="shared" si="1525"/>
        <v>1</v>
      </c>
      <c r="L1698" s="1913" t="e">
        <f>#REF!</f>
        <v>#REF!</v>
      </c>
      <c r="M1698" s="709">
        <f t="shared" ref="M1698" si="1538">IF(B1698="",1,B1698)</f>
        <v>2</v>
      </c>
      <c r="N1698" s="362" t="e">
        <f t="shared" si="1521"/>
        <v>#REF!</v>
      </c>
      <c r="O1698" s="1763" t="str">
        <f t="shared" si="1522"/>
        <v>1SDA066433R1</v>
      </c>
      <c r="P1698" s="1764" t="str">
        <f t="shared" si="1523"/>
        <v>2(Q) contacto conmutado de estado (NA/NC) + 1(SY) contacto por disparo de interruptor - XT1..XT4 - versión cableada - marca ABB.</v>
      </c>
      <c r="Q1698" s="120" t="str">
        <f t="shared" si="1524"/>
        <v>2Q+1SY_XT1..XT4</v>
      </c>
    </row>
    <row r="1699" spans="1:18" s="185" customFormat="1">
      <c r="A1699" s="1771"/>
      <c r="B1699" s="714"/>
      <c r="C1699" s="313" t="s">
        <v>729</v>
      </c>
      <c r="D1699" s="173"/>
      <c r="E1699" s="1786"/>
      <c r="F1699" s="1787"/>
      <c r="G1699" s="710"/>
      <c r="H1699" s="710"/>
      <c r="I1699" s="710"/>
      <c r="J1699" s="711"/>
      <c r="K1699" s="684">
        <f t="shared" si="1525"/>
        <v>1</v>
      </c>
      <c r="L1699" s="708">
        <v>1</v>
      </c>
      <c r="M1699" s="709">
        <f>IF(B1699="",1,B1699)</f>
        <v>1</v>
      </c>
      <c r="N1699" s="362" t="str">
        <f t="shared" si="1521"/>
        <v/>
      </c>
      <c r="O1699" s="1763" t="str">
        <f t="shared" si="1522"/>
        <v/>
      </c>
      <c r="P1699" s="1764" t="str">
        <f t="shared" si="1523"/>
        <v/>
      </c>
      <c r="Q1699" s="120" t="str">
        <f t="shared" si="1524"/>
        <v/>
      </c>
    </row>
    <row r="1700" spans="1:18" s="1766" customFormat="1" ht="18" customHeight="1">
      <c r="A1700" s="687"/>
      <c r="B1700" s="1769"/>
      <c r="C1700" s="1770" t="s">
        <v>11663</v>
      </c>
      <c r="D1700" s="1901"/>
      <c r="E1700" s="1581"/>
      <c r="F1700" s="1581"/>
      <c r="G1700" s="1761"/>
      <c r="H1700" s="1761"/>
      <c r="I1700" s="1761"/>
      <c r="J1700" s="1762"/>
      <c r="K1700" s="684">
        <f t="shared" si="1525"/>
        <v>1</v>
      </c>
      <c r="L1700" s="708">
        <v>1</v>
      </c>
      <c r="M1700" s="709">
        <f t="shared" ref="M1700:M1710" si="1539">IF(B1700="",1,B1700)</f>
        <v>1</v>
      </c>
      <c r="N1700" s="362" t="str">
        <f t="shared" si="1521"/>
        <v/>
      </c>
      <c r="O1700" s="1763" t="str">
        <f t="shared" si="1522"/>
        <v/>
      </c>
      <c r="P1700" s="1764" t="str">
        <f t="shared" si="1523"/>
        <v/>
      </c>
      <c r="Q1700" s="120" t="str">
        <f t="shared" si="1524"/>
        <v/>
      </c>
      <c r="R1700" s="1765"/>
    </row>
    <row r="1701" spans="1:18" s="1766" customFormat="1" ht="18" customHeight="1">
      <c r="A1701" s="687"/>
      <c r="B1701" s="1760">
        <v>1</v>
      </c>
      <c r="C1701" s="1892" t="str">
        <f t="shared" ref="C1701:C1705" si="1540">VLOOKUP(D1701,base_datos,6,FALSE)</f>
        <v>Analizador de Redes DIRIS-A30 - precisión (V, I) 0.2%, precisión de energía activa / reactiva: clase 0,5S / clase 2 - marca SOCOMEC.</v>
      </c>
      <c r="D1701" s="1898" t="s">
        <v>12164</v>
      </c>
      <c r="E1701" s="1581">
        <f t="shared" ref="E1701:E1705" si="1541">VLOOKUP(D1701,base_datos,5,FALSE)</f>
        <v>633.64</v>
      </c>
      <c r="F1701" s="1581">
        <f t="shared" ref="F1701:F1705" si="1542">+E1701*B1701</f>
        <v>633.64</v>
      </c>
      <c r="G1701" s="1761"/>
      <c r="H1701" s="1761"/>
      <c r="I1701" s="1761"/>
      <c r="J1701" s="1762"/>
      <c r="K1701" s="684">
        <f t="shared" si="1525"/>
        <v>1</v>
      </c>
      <c r="L1701" s="708">
        <v>1</v>
      </c>
      <c r="M1701" s="709">
        <f t="shared" si="1539"/>
        <v>1</v>
      </c>
      <c r="N1701" s="362">
        <f t="shared" si="1521"/>
        <v>1</v>
      </c>
      <c r="O1701" s="1763" t="str">
        <f t="shared" si="1522"/>
        <v>4825 0403</v>
      </c>
      <c r="P1701" s="1764" t="str">
        <f t="shared" si="1523"/>
        <v>Analizador de Redes DIRIS-A30 - precisión (V, I) 0.2%, precisión de energía activa / reactiva: clase 0,5S / clase 2 - marca SOCOMEC.</v>
      </c>
      <c r="Q1701" s="120" t="str">
        <f t="shared" si="1524"/>
        <v>DIRIS-A30</v>
      </c>
      <c r="R1701" s="1765"/>
    </row>
    <row r="1702" spans="1:18" s="1766" customFormat="1" ht="18" customHeight="1">
      <c r="A1702" s="687"/>
      <c r="B1702" s="1760">
        <v>1</v>
      </c>
      <c r="C1702" s="1990" t="str">
        <f t="shared" si="1540"/>
        <v>Módulo de comunicación RS 485 MODBUS, para Analizador de Red, DIRIS-A30, marca SOCOMEC.</v>
      </c>
      <c r="D1702" s="144" t="s">
        <v>12166</v>
      </c>
      <c r="E1702" s="1581">
        <f t="shared" si="1541"/>
        <v>115.64</v>
      </c>
      <c r="F1702" s="1581">
        <f t="shared" si="1542"/>
        <v>115.64</v>
      </c>
      <c r="G1702" s="1761"/>
      <c r="H1702" s="1761"/>
      <c r="I1702" s="1761"/>
      <c r="J1702" s="1762"/>
      <c r="K1702" s="684">
        <f t="shared" si="1525"/>
        <v>1</v>
      </c>
      <c r="L1702" s="708">
        <v>1</v>
      </c>
      <c r="M1702" s="709">
        <f t="shared" si="1539"/>
        <v>1</v>
      </c>
      <c r="N1702" s="362">
        <f t="shared" si="1521"/>
        <v>1</v>
      </c>
      <c r="O1702" s="1763" t="str">
        <f t="shared" si="1522"/>
        <v>4825 0092</v>
      </c>
      <c r="P1702" s="1764" t="str">
        <f t="shared" si="1523"/>
        <v>Módulo de comunicación RS 485 MODBUS, para Analizador de Red, DIRIS-A30, marca SOCOMEC.</v>
      </c>
      <c r="Q1702" s="120" t="str">
        <f t="shared" si="1524"/>
        <v>DIRIS-A30/Com</v>
      </c>
      <c r="R1702" s="1765"/>
    </row>
    <row r="1703" spans="1:18" s="1766" customFormat="1" ht="18" customHeight="1">
      <c r="A1703" s="687"/>
      <c r="B1703" s="1760">
        <f>3*B1701</f>
        <v>3</v>
      </c>
      <c r="C1703" s="1892" t="str">
        <f t="shared" si="1540"/>
        <v>Transformador de corriente de 50/5A</v>
      </c>
      <c r="D1703" s="1899" t="s">
        <v>8260</v>
      </c>
      <c r="E1703" s="1581">
        <f t="shared" si="1541"/>
        <v>65</v>
      </c>
      <c r="F1703" s="1581">
        <f t="shared" si="1542"/>
        <v>195</v>
      </c>
      <c r="G1703" s="1761"/>
      <c r="H1703" s="1761"/>
      <c r="I1703" s="1761"/>
      <c r="J1703" s="1762"/>
      <c r="K1703" s="684">
        <f t="shared" si="1525"/>
        <v>1</v>
      </c>
      <c r="L1703" s="708">
        <v>1</v>
      </c>
      <c r="M1703" s="709">
        <f t="shared" si="1539"/>
        <v>3</v>
      </c>
      <c r="N1703" s="362" t="str">
        <f t="shared" si="1521"/>
        <v/>
      </c>
      <c r="O1703" s="1763" t="str">
        <f t="shared" si="1522"/>
        <v/>
      </c>
      <c r="P1703" s="1764" t="str">
        <f t="shared" si="1523"/>
        <v/>
      </c>
      <c r="Q1703" s="120" t="str">
        <f t="shared" si="1524"/>
        <v/>
      </c>
      <c r="R1703" s="1765"/>
    </row>
    <row r="1704" spans="1:18" s="1766" customFormat="1" ht="18" customHeight="1">
      <c r="A1704" s="687"/>
      <c r="B1704" s="1760">
        <f>5*B1701</f>
        <v>5</v>
      </c>
      <c r="C1704" s="1892" t="str">
        <f t="shared" si="1540"/>
        <v>Base portafusibles + Fusibles de protección para control.</v>
      </c>
      <c r="D1704" s="1899" t="s">
        <v>453</v>
      </c>
      <c r="E1704" s="1581">
        <f t="shared" si="1541"/>
        <v>8.1750000000000007</v>
      </c>
      <c r="F1704" s="1581">
        <f t="shared" si="1542"/>
        <v>40.875</v>
      </c>
      <c r="G1704" s="1761"/>
      <c r="H1704" s="1761"/>
      <c r="I1704" s="1761"/>
      <c r="J1704" s="1762"/>
      <c r="K1704" s="684">
        <f t="shared" si="1525"/>
        <v>1</v>
      </c>
      <c r="L1704" s="708">
        <v>1</v>
      </c>
      <c r="M1704" s="709">
        <f t="shared" si="1539"/>
        <v>5</v>
      </c>
      <c r="N1704" s="362" t="str">
        <f t="shared" si="1521"/>
        <v/>
      </c>
      <c r="O1704" s="1763" t="str">
        <f t="shared" si="1522"/>
        <v/>
      </c>
      <c r="P1704" s="1764" t="str">
        <f t="shared" si="1523"/>
        <v/>
      </c>
      <c r="Q1704" s="120" t="str">
        <f t="shared" si="1524"/>
        <v/>
      </c>
      <c r="R1704" s="1765"/>
    </row>
    <row r="1705" spans="1:18" s="1766" customFormat="1" ht="18" customHeight="1">
      <c r="A1705" s="1771"/>
      <c r="B1705" s="1760">
        <f>6*B1701</f>
        <v>6</v>
      </c>
      <c r="C1705" s="1892" t="str">
        <f t="shared" si="1540"/>
        <v>Bornes seccionables de corriente.</v>
      </c>
      <c r="D1705" s="1899" t="s">
        <v>435</v>
      </c>
      <c r="E1705" s="1581">
        <f t="shared" si="1541"/>
        <v>12</v>
      </c>
      <c r="F1705" s="1581">
        <f t="shared" si="1542"/>
        <v>72</v>
      </c>
      <c r="G1705" s="1761"/>
      <c r="H1705" s="1761"/>
      <c r="I1705" s="1761"/>
      <c r="J1705" s="1762"/>
      <c r="K1705" s="684">
        <f t="shared" si="1525"/>
        <v>1</v>
      </c>
      <c r="L1705" s="708">
        <v>1</v>
      </c>
      <c r="M1705" s="709">
        <f t="shared" si="1539"/>
        <v>6</v>
      </c>
      <c r="N1705" s="362" t="str">
        <f t="shared" si="1521"/>
        <v/>
      </c>
      <c r="O1705" s="1763" t="str">
        <f t="shared" si="1522"/>
        <v/>
      </c>
      <c r="P1705" s="1764" t="str">
        <f t="shared" si="1523"/>
        <v/>
      </c>
      <c r="Q1705" s="120" t="str">
        <f t="shared" si="1524"/>
        <v/>
      </c>
      <c r="R1705" s="1765"/>
    </row>
    <row r="1706" spans="1:18" s="185" customFormat="1" ht="18" customHeight="1">
      <c r="A1706" s="693"/>
      <c r="B1706" s="714"/>
      <c r="C1706" s="1893" t="s">
        <v>729</v>
      </c>
      <c r="D1706" s="173"/>
      <c r="E1706" s="1581"/>
      <c r="F1706" s="1581"/>
      <c r="G1706" s="710"/>
      <c r="H1706" s="710"/>
      <c r="I1706" s="710"/>
      <c r="J1706" s="711"/>
      <c r="K1706" s="684">
        <f t="shared" si="1525"/>
        <v>1</v>
      </c>
      <c r="L1706" s="708">
        <v>1</v>
      </c>
      <c r="M1706" s="709">
        <f t="shared" si="1539"/>
        <v>1</v>
      </c>
      <c r="N1706" s="362" t="str">
        <f t="shared" si="1521"/>
        <v/>
      </c>
      <c r="O1706" s="1763" t="str">
        <f t="shared" si="1522"/>
        <v/>
      </c>
      <c r="P1706" s="1764" t="str">
        <f t="shared" si="1523"/>
        <v/>
      </c>
      <c r="Q1706" s="120" t="str">
        <f t="shared" si="1524"/>
        <v/>
      </c>
      <c r="R1706" s="1765"/>
    </row>
    <row r="1707" spans="1:18" s="690" customFormat="1" ht="18" customHeight="1">
      <c r="A1707" s="1767"/>
      <c r="B1707" s="1851"/>
      <c r="C1707" s="1894" t="s">
        <v>3377</v>
      </c>
      <c r="D1707" s="1582"/>
      <c r="E1707" s="1780"/>
      <c r="F1707" s="1782"/>
      <c r="G1707" s="1761"/>
      <c r="H1707" s="1761"/>
      <c r="I1707" s="1761"/>
      <c r="J1707" s="689"/>
      <c r="K1707" s="684">
        <f t="shared" si="1525"/>
        <v>1</v>
      </c>
      <c r="L1707" s="708">
        <v>1</v>
      </c>
      <c r="M1707" s="709">
        <f t="shared" si="1539"/>
        <v>1</v>
      </c>
      <c r="N1707" s="362" t="str">
        <f t="shared" si="1521"/>
        <v/>
      </c>
      <c r="O1707" s="1763" t="str">
        <f t="shared" si="1522"/>
        <v/>
      </c>
      <c r="P1707" s="1764" t="str">
        <f t="shared" si="1523"/>
        <v/>
      </c>
      <c r="Q1707" s="120" t="str">
        <f t="shared" si="1524"/>
        <v/>
      </c>
      <c r="R1707" s="185"/>
    </row>
    <row r="1708" spans="1:18" s="690" customFormat="1" ht="18" customHeight="1">
      <c r="A1708" s="1767"/>
      <c r="B1708" s="1781">
        <v>1</v>
      </c>
      <c r="C1708" s="1420" t="str">
        <f t="shared" ref="C1708" si="1543">VLOOKUP(D1708,base_datos,6,FALSE)</f>
        <v>ITM Caja Moldeada 3x40A (reg.[0.7-1.0] In) - XT2N160-40A-3P-TMA - 65kA@230Vac, 36kA@415Vac - marca ABB.</v>
      </c>
      <c r="D1708" s="1901" t="s">
        <v>863</v>
      </c>
      <c r="E1708" s="1791">
        <f>VLOOKUP(D1708,base_datos,5,FALSE)</f>
        <v>207</v>
      </c>
      <c r="F1708" s="1782">
        <f t="shared" ref="F1708" si="1544">+E1708*B1708</f>
        <v>207</v>
      </c>
      <c r="G1708" s="1951"/>
      <c r="H1708" s="1761"/>
      <c r="I1708" s="1761"/>
      <c r="J1708" s="1783"/>
      <c r="K1708" s="684">
        <f t="shared" si="1525"/>
        <v>1</v>
      </c>
      <c r="L1708" s="708">
        <v>1</v>
      </c>
      <c r="M1708" s="709">
        <f t="shared" ref="M1708" si="1545">IF(B1708="",1,B1708)</f>
        <v>1</v>
      </c>
      <c r="N1708" s="362">
        <f t="shared" ref="N1708" si="1546">IF(O1708&lt;&gt;"",K1708*L1708*M1708,"")</f>
        <v>1</v>
      </c>
      <c r="O1708" s="1763" t="str">
        <f t="shared" ref="O1708" si="1547">IF(D1708&lt;&gt;"",IF(VLOOKUP(D1708,base_datos,7,FALSE)&lt;&gt;"",VLOOKUP(D1708,base_datos,7,FALSE),""),"")</f>
        <v>1SDA067014R1</v>
      </c>
      <c r="P1708" s="1764" t="str">
        <f t="shared" ref="P1708" si="1548">IF(O1708&lt;&gt;"",VLOOKUP(D1708,base_datos,6,FALSE),"")</f>
        <v>ITM Caja Moldeada 3x40A (reg.[0.7-1.0] In) - XT2N160-40A-3P-TMA - 65kA@230Vac, 36kA@415Vac - marca ABB.</v>
      </c>
      <c r="Q1708" s="120" t="str">
        <f t="shared" ref="Q1708" si="1549">IF(O1708&lt;&gt;"",D1708,"")</f>
        <v>XT2N160-40A-3P-TMA</v>
      </c>
      <c r="R1708" s="185"/>
    </row>
    <row r="1709" spans="1:18" s="690" customFormat="1" ht="18" customHeight="1">
      <c r="A1709" s="1767"/>
      <c r="B1709" s="1781">
        <v>1</v>
      </c>
      <c r="C1709" s="1420" t="str">
        <f t="shared" ref="C1709:C1710" si="1550">VLOOKUP(D1709,base_datos,6,FALSE)</f>
        <v>ITM Caja Moldeada 3x20A (reg.[0.7-1.0] In) - XT2N160-20A-3P-TMD - 65kA@230Vac, 36kA@415Vac - marca ABB.</v>
      </c>
      <c r="D1709" s="1901" t="s">
        <v>1331</v>
      </c>
      <c r="E1709" s="1791">
        <f>VLOOKUP(D1709,base_datos,5,FALSE)</f>
        <v>201.76999999999998</v>
      </c>
      <c r="F1709" s="1782">
        <f t="shared" ref="F1709:F1710" si="1551">+E1709*B1709</f>
        <v>201.76999999999998</v>
      </c>
      <c r="G1709" s="1951"/>
      <c r="H1709" s="1761"/>
      <c r="I1709" s="1761"/>
      <c r="J1709" s="1783"/>
      <c r="K1709" s="684">
        <f t="shared" si="1525"/>
        <v>1</v>
      </c>
      <c r="L1709" s="708">
        <v>1</v>
      </c>
      <c r="M1709" s="709">
        <f t="shared" si="1539"/>
        <v>1</v>
      </c>
      <c r="N1709" s="362">
        <f t="shared" si="1521"/>
        <v>1</v>
      </c>
      <c r="O1709" s="1763" t="str">
        <f t="shared" si="1522"/>
        <v>1SDA067011R1</v>
      </c>
      <c r="P1709" s="1764" t="str">
        <f t="shared" si="1523"/>
        <v>ITM Caja Moldeada 3x20A (reg.[0.7-1.0] In) - XT2N160-20A-3P-TMD - 65kA@230Vac, 36kA@415Vac - marca ABB.</v>
      </c>
      <c r="Q1709" s="120" t="str">
        <f t="shared" si="1524"/>
        <v>XT2N160-20A-3P-TMD</v>
      </c>
      <c r="R1709" s="185"/>
    </row>
    <row r="1710" spans="1:18" s="690" customFormat="1" ht="18" customHeight="1">
      <c r="A1710" s="1767"/>
      <c r="B1710" s="1781">
        <v>1</v>
      </c>
      <c r="C1710" s="1420" t="str">
        <f t="shared" si="1550"/>
        <v>Espacio de reserva trifásica - Caja moldeada.</v>
      </c>
      <c r="D1710" s="1901" t="s">
        <v>2932</v>
      </c>
      <c r="E1710" s="1791">
        <f>VLOOKUP(D1710,base_datos,5,FALSE)</f>
        <v>15</v>
      </c>
      <c r="F1710" s="1782">
        <f t="shared" si="1551"/>
        <v>15</v>
      </c>
      <c r="G1710" s="1761"/>
      <c r="H1710" s="1761"/>
      <c r="I1710" s="1761"/>
      <c r="J1710" s="1783"/>
      <c r="K1710" s="684">
        <f t="shared" si="1525"/>
        <v>1</v>
      </c>
      <c r="L1710" s="708">
        <v>1</v>
      </c>
      <c r="M1710" s="709">
        <f t="shared" si="1539"/>
        <v>1</v>
      </c>
      <c r="N1710" s="362" t="str">
        <f t="shared" si="1521"/>
        <v/>
      </c>
      <c r="O1710" s="1763" t="str">
        <f t="shared" si="1522"/>
        <v/>
      </c>
      <c r="P1710" s="1764" t="str">
        <f t="shared" si="1523"/>
        <v/>
      </c>
      <c r="Q1710" s="120" t="str">
        <f t="shared" si="1524"/>
        <v/>
      </c>
      <c r="R1710" s="185"/>
    </row>
    <row r="1711" spans="1:18" s="185" customFormat="1">
      <c r="A1711" s="692"/>
      <c r="B1711" s="714"/>
      <c r="C1711" s="1893" t="s">
        <v>729</v>
      </c>
      <c r="D1711" s="1941"/>
      <c r="E1711" s="1786"/>
      <c r="F1711" s="1787"/>
      <c r="G1711" s="710"/>
      <c r="H1711" s="710"/>
      <c r="I1711" s="710"/>
      <c r="J1711" s="711"/>
      <c r="K1711" s="684">
        <f t="shared" si="1525"/>
        <v>1</v>
      </c>
      <c r="L1711" s="363">
        <v>1</v>
      </c>
      <c r="M1711" s="709">
        <f>IF(B1711="",1,B1711)</f>
        <v>1</v>
      </c>
      <c r="N1711" s="362" t="str">
        <f t="shared" si="1521"/>
        <v/>
      </c>
      <c r="O1711" s="1763" t="str">
        <f t="shared" si="1522"/>
        <v/>
      </c>
      <c r="P1711" s="1764" t="str">
        <f t="shared" si="1523"/>
        <v/>
      </c>
      <c r="Q1711" s="120" t="str">
        <f t="shared" si="1524"/>
        <v/>
      </c>
    </row>
    <row r="1712" spans="1:18" s="315" customFormat="1">
      <c r="A1712" s="1785"/>
      <c r="B1712" s="355"/>
      <c r="C1712" s="1944" t="s">
        <v>3063</v>
      </c>
      <c r="D1712" s="1941"/>
      <c r="E1712" s="1786"/>
      <c r="F1712" s="1787"/>
      <c r="G1712" s="712"/>
      <c r="H1712" s="712"/>
      <c r="I1712" s="712"/>
      <c r="J1712" s="713"/>
      <c r="K1712" s="684">
        <f t="shared" si="1525"/>
        <v>1</v>
      </c>
      <c r="L1712" s="708">
        <v>1</v>
      </c>
      <c r="M1712" s="709">
        <f>IF(B1712="",1,B1712)</f>
        <v>1</v>
      </c>
      <c r="N1712" s="362" t="str">
        <f t="shared" si="1521"/>
        <v/>
      </c>
      <c r="O1712" s="1763" t="str">
        <f t="shared" si="1522"/>
        <v/>
      </c>
      <c r="P1712" s="1764" t="str">
        <f t="shared" si="1523"/>
        <v/>
      </c>
      <c r="Q1712" s="120" t="str">
        <f t="shared" si="1524"/>
        <v/>
      </c>
    </row>
    <row r="1713" spans="1:20" s="690" customFormat="1" ht="18" customHeight="1">
      <c r="A1713" s="691"/>
      <c r="B1713" s="1781">
        <v>1</v>
      </c>
      <c r="C1713" s="1420" t="str">
        <f>VLOOKUP(D1713,base_datos,6,FALSE)</f>
        <v>ITM Caja Moldeada 3x32A (reg.[0.7-1.0] In) - XT2N160-32A-3P-TMD - 65kA@230Vac, 36kA@415Vac - marca ABB.</v>
      </c>
      <c r="D1713" s="1901" t="s">
        <v>850</v>
      </c>
      <c r="E1713" s="1791">
        <f>VLOOKUP(D1713,base_datos,5,FALSE)</f>
        <v>207</v>
      </c>
      <c r="F1713" s="1782">
        <f t="shared" ref="F1713:F1714" si="1552">+E1713*B1713</f>
        <v>207</v>
      </c>
      <c r="G1713" s="1761"/>
      <c r="H1713" s="1761"/>
      <c r="I1713" s="1761"/>
      <c r="J1713" s="1783"/>
      <c r="K1713" s="684">
        <f t="shared" si="1525"/>
        <v>1</v>
      </c>
      <c r="L1713" s="708">
        <v>1</v>
      </c>
      <c r="M1713" s="709">
        <f t="shared" ref="M1713:M1738" si="1553">IF(B1713="",1,B1713)</f>
        <v>1</v>
      </c>
      <c r="N1713" s="362">
        <f t="shared" si="1521"/>
        <v>1</v>
      </c>
      <c r="O1713" s="1763" t="str">
        <f t="shared" si="1522"/>
        <v>1SDA067013R1</v>
      </c>
      <c r="P1713" s="1764" t="str">
        <f t="shared" si="1523"/>
        <v>ITM Caja Moldeada 3x32A (reg.[0.7-1.0] In) - XT2N160-32A-3P-TMD - 65kA@230Vac, 36kA@415Vac - marca ABB.</v>
      </c>
      <c r="Q1713" s="120" t="str">
        <f t="shared" si="1524"/>
        <v>XT2N160-32A-3P-TMD</v>
      </c>
      <c r="R1713" s="185"/>
    </row>
    <row r="1714" spans="1:20" s="690" customFormat="1" ht="18" customHeight="1">
      <c r="A1714" s="691"/>
      <c r="B1714" s="1781">
        <v>1</v>
      </c>
      <c r="C1714" s="1420" t="str">
        <f>VLOOKUP(D1714,base_datos,6,FALSE)</f>
        <v>Supresor contra sobretensiones (Tipo 1, UL 1449) - OVRHT3C504803D - I_max=50kA por fase, Un=480V,  MCOV=640V (L-G), VPR=2.5kV (L-G) - marca ABB.</v>
      </c>
      <c r="D1714" s="1901" t="s">
        <v>12357</v>
      </c>
      <c r="E1714" s="1791">
        <f>VLOOKUP(D1714,base_datos,5,FALSE)</f>
        <v>386.44</v>
      </c>
      <c r="F1714" s="1782">
        <f t="shared" si="1552"/>
        <v>386.44</v>
      </c>
      <c r="G1714" s="1761"/>
      <c r="H1714" s="1761"/>
      <c r="I1714" s="1761"/>
      <c r="J1714" s="1783"/>
      <c r="K1714" s="684">
        <f t="shared" si="1525"/>
        <v>1</v>
      </c>
      <c r="L1714" s="708">
        <v>1</v>
      </c>
      <c r="M1714" s="709">
        <f t="shared" si="1553"/>
        <v>1</v>
      </c>
      <c r="N1714" s="362">
        <f t="shared" si="1521"/>
        <v>1</v>
      </c>
      <c r="O1714" s="1763" t="str">
        <f t="shared" si="1522"/>
        <v>2CJC605480D0000</v>
      </c>
      <c r="P1714" s="1764" t="str">
        <f t="shared" si="1523"/>
        <v>Supresor contra sobretensiones (Tipo 1, UL 1449) - OVRHT3C504803D - I_max=50kA por fase, Un=480V,  MCOV=640V (L-G), VPR=2.5kV (L-G) - marca ABB.</v>
      </c>
      <c r="Q1714" s="120" t="str">
        <f t="shared" si="1524"/>
        <v>OVRHT3C504803D</v>
      </c>
      <c r="R1714" s="185"/>
    </row>
    <row r="1715" spans="1:20" s="1236" customFormat="1" ht="18" customHeight="1">
      <c r="A1715" s="1767"/>
      <c r="B1715" s="1853">
        <v>1</v>
      </c>
      <c r="C1715" s="1895" t="s">
        <v>12366</v>
      </c>
      <c r="D1715" s="1902"/>
      <c r="E1715" s="1792"/>
      <c r="F1715" s="1793"/>
      <c r="G1715" s="1784"/>
      <c r="H1715" s="1784"/>
      <c r="I1715" s="1784"/>
      <c r="J1715" s="1182"/>
      <c r="K1715" s="684">
        <f t="shared" si="1525"/>
        <v>1</v>
      </c>
      <c r="L1715" s="708">
        <v>1</v>
      </c>
      <c r="M1715" s="709">
        <f t="shared" si="1553"/>
        <v>1</v>
      </c>
      <c r="N1715" s="362" t="str">
        <f t="shared" si="1521"/>
        <v/>
      </c>
      <c r="O1715" s="1763" t="str">
        <f t="shared" si="1522"/>
        <v/>
      </c>
      <c r="P1715" s="1764" t="str">
        <f t="shared" si="1523"/>
        <v/>
      </c>
      <c r="Q1715" s="120" t="str">
        <f t="shared" si="1524"/>
        <v/>
      </c>
      <c r="R1715" s="185"/>
    </row>
    <row r="1716" spans="1:20" s="120" customFormat="1" ht="18" customHeight="1">
      <c r="A1716" s="687"/>
      <c r="B1716" s="1945">
        <v>2</v>
      </c>
      <c r="C1716" s="1848" t="str">
        <f>VLOOKUP(D1716,base_datos,6,FALSE)</f>
        <v>Transformador de tensión monofásico 480 / 240 Vac - 50VA.</v>
      </c>
      <c r="D1716" s="1898" t="s">
        <v>8587</v>
      </c>
      <c r="E1716" s="1581">
        <f>VLOOKUP(D1716,base_datos,5,FALSE)</f>
        <v>76.8</v>
      </c>
      <c r="F1716" s="1581">
        <f>+E1716*B1716</f>
        <v>153.6</v>
      </c>
      <c r="G1716" s="686"/>
      <c r="H1716" s="686"/>
      <c r="I1716" s="686"/>
      <c r="J1716" s="1768"/>
      <c r="K1716" s="684">
        <f t="shared" si="1525"/>
        <v>1</v>
      </c>
      <c r="L1716" s="708">
        <v>1</v>
      </c>
      <c r="M1716" s="709">
        <f t="shared" si="1553"/>
        <v>2</v>
      </c>
      <c r="N1716" s="362" t="str">
        <f t="shared" si="1521"/>
        <v/>
      </c>
      <c r="O1716" s="1763" t="str">
        <f t="shared" si="1522"/>
        <v/>
      </c>
      <c r="P1716" s="1764" t="str">
        <f t="shared" si="1523"/>
        <v/>
      </c>
      <c r="Q1716" s="120" t="str">
        <f t="shared" si="1524"/>
        <v/>
      </c>
      <c r="R1716" s="185"/>
    </row>
    <row r="1717" spans="1:20" s="120" customFormat="1" ht="18" customHeight="1">
      <c r="A1717" s="687"/>
      <c r="B1717" s="1945">
        <v>1</v>
      </c>
      <c r="C1717" s="1848" t="str">
        <f>VLOOKUP(D1717,base_datos,6,FALSE)</f>
        <v>Transformador de tensión monofásico 480 / 240 Vac - 200VA.</v>
      </c>
      <c r="D1717" s="1898" t="s">
        <v>5173</v>
      </c>
      <c r="E1717" s="1581">
        <f>VLOOKUP(D1717,base_datos,5,FALSE)</f>
        <v>89.5</v>
      </c>
      <c r="F1717" s="1581">
        <f>+E1717*B1717</f>
        <v>89.5</v>
      </c>
      <c r="G1717" s="686"/>
      <c r="H1717" s="686"/>
      <c r="I1717" s="686"/>
      <c r="J1717" s="1768"/>
      <c r="K1717" s="684">
        <f t="shared" si="1525"/>
        <v>1</v>
      </c>
      <c r="L1717" s="708">
        <v>1</v>
      </c>
      <c r="M1717" s="709">
        <f t="shared" si="1553"/>
        <v>1</v>
      </c>
      <c r="N1717" s="362" t="str">
        <f t="shared" si="1521"/>
        <v/>
      </c>
      <c r="O1717" s="1763" t="str">
        <f t="shared" si="1522"/>
        <v/>
      </c>
      <c r="P1717" s="1764" t="str">
        <f t="shared" si="1523"/>
        <v/>
      </c>
      <c r="Q1717" s="120" t="str">
        <f t="shared" si="1524"/>
        <v/>
      </c>
      <c r="R1717" s="185"/>
    </row>
    <row r="1718" spans="1:20" s="185" customFormat="1" ht="18" customHeight="1">
      <c r="A1718" s="1785"/>
      <c r="B1718" s="714"/>
      <c r="C1718" s="1893" t="s">
        <v>729</v>
      </c>
      <c r="D1718" s="173"/>
      <c r="E1718" s="1786"/>
      <c r="F1718" s="1787"/>
      <c r="G1718" s="710"/>
      <c r="H1718" s="710"/>
      <c r="I1718" s="710"/>
      <c r="J1718" s="711"/>
      <c r="K1718" s="684">
        <f t="shared" si="1525"/>
        <v>1</v>
      </c>
      <c r="L1718" s="708">
        <v>1</v>
      </c>
      <c r="M1718" s="709">
        <f t="shared" si="1553"/>
        <v>1</v>
      </c>
      <c r="N1718" s="362" t="str">
        <f t="shared" si="1521"/>
        <v/>
      </c>
      <c r="O1718" s="1763" t="str">
        <f t="shared" si="1522"/>
        <v/>
      </c>
      <c r="P1718" s="1764" t="str">
        <f t="shared" si="1523"/>
        <v/>
      </c>
      <c r="Q1718" s="120" t="str">
        <f t="shared" si="1524"/>
        <v/>
      </c>
    </row>
    <row r="1719" spans="1:20" s="315" customFormat="1" ht="12.75" customHeight="1">
      <c r="A1719" s="2271"/>
      <c r="B1719" s="2272">
        <v>1</v>
      </c>
      <c r="C1719" s="2281" t="s">
        <v>13366</v>
      </c>
      <c r="D1719" s="1935"/>
      <c r="E1719" s="2287"/>
      <c r="F1719" s="2257">
        <f>+SUM(F1720:F1723)*(B1719-1)</f>
        <v>0</v>
      </c>
      <c r="G1719" s="712"/>
      <c r="H1719" s="712"/>
      <c r="I1719" s="712"/>
      <c r="J1719" s="713"/>
      <c r="K1719" s="684">
        <f t="shared" si="1525"/>
        <v>1</v>
      </c>
      <c r="L1719" s="2258">
        <v>1</v>
      </c>
      <c r="M1719" s="120">
        <f t="shared" si="1553"/>
        <v>1</v>
      </c>
      <c r="N1719" s="112" t="str">
        <f t="shared" si="1521"/>
        <v/>
      </c>
      <c r="O1719" s="112" t="str">
        <f t="shared" si="1522"/>
        <v/>
      </c>
      <c r="P1719" s="120" t="str">
        <f t="shared" si="1523"/>
        <v/>
      </c>
      <c r="Q1719" s="120" t="str">
        <f t="shared" si="1524"/>
        <v/>
      </c>
      <c r="S1719" s="112" t="str">
        <f t="shared" ref="S1719:S1724" si="1554">IF(O1719&lt;&gt;"",VLOOKUP(D1719,base_datos,9,FALSE),"")</f>
        <v/>
      </c>
      <c r="T1719" s="2128"/>
    </row>
    <row r="1720" spans="1:20" s="690" customFormat="1" ht="18" customHeight="1">
      <c r="A1720" s="2273"/>
      <c r="B1720" s="1781">
        <v>1</v>
      </c>
      <c r="C1720" s="1420" t="str">
        <f t="shared" ref="C1720:C1723" si="1555">VLOOKUP(D1720,base_datos,6,FALSE)</f>
        <v>Calefactor resistivo 60W, modelo RACM - marca FANDIS.</v>
      </c>
      <c r="D1720" s="1899" t="s">
        <v>3298</v>
      </c>
      <c r="E1720" s="2288">
        <f t="shared" ref="E1720" si="1556">VLOOKUP(D1720,base_datos,5,FALSE)</f>
        <v>127.1</v>
      </c>
      <c r="F1720" s="1782">
        <f>+E1720*B1720</f>
        <v>127.1</v>
      </c>
      <c r="G1720" s="1761"/>
      <c r="H1720" s="1761"/>
      <c r="I1720" s="1761"/>
      <c r="J1720" s="689"/>
      <c r="K1720" s="684">
        <f t="shared" si="1525"/>
        <v>1</v>
      </c>
      <c r="L1720" s="2258">
        <v>1</v>
      </c>
      <c r="M1720" s="120">
        <f t="shared" si="1553"/>
        <v>1</v>
      </c>
      <c r="N1720" s="112">
        <f t="shared" si="1521"/>
        <v>1</v>
      </c>
      <c r="O1720" s="112" t="str">
        <f t="shared" si="1522"/>
        <v>RACM-60</v>
      </c>
      <c r="P1720" s="120" t="str">
        <f t="shared" si="1523"/>
        <v>Calefactor resistivo 60W, modelo RACM - marca FANDIS.</v>
      </c>
      <c r="Q1720" s="120" t="str">
        <f t="shared" si="1524"/>
        <v>CALEFACT-60W_FAND</v>
      </c>
      <c r="S1720" s="112" t="str">
        <f t="shared" si="1554"/>
        <v>FANDIS</v>
      </c>
      <c r="T1720" s="1765"/>
    </row>
    <row r="1721" spans="1:20" s="690" customFormat="1" ht="18" customHeight="1">
      <c r="A1721" s="2273"/>
      <c r="B1721" s="1781">
        <v>1</v>
      </c>
      <c r="C1721" s="1420" t="str">
        <f t="shared" si="1555"/>
        <v>Termostato para ventilación - 1NA - 230V - marca FANDIS.</v>
      </c>
      <c r="D1721" s="1899" t="s">
        <v>3294</v>
      </c>
      <c r="E1721" s="2288">
        <f t="shared" ref="E1721:E1723" si="1557">VLOOKUP(D1721,base_datos,5,FALSE)</f>
        <v>41.58</v>
      </c>
      <c r="F1721" s="1782">
        <f>+E1721*B1721</f>
        <v>41.58</v>
      </c>
      <c r="G1721" s="1761"/>
      <c r="H1721" s="1761"/>
      <c r="I1721" s="1761"/>
      <c r="J1721" s="689"/>
      <c r="K1721" s="684">
        <f t="shared" si="1525"/>
        <v>1</v>
      </c>
      <c r="L1721" s="2258">
        <v>1</v>
      </c>
      <c r="M1721" s="120">
        <f t="shared" si="1553"/>
        <v>1</v>
      </c>
      <c r="N1721" s="112">
        <f t="shared" si="1521"/>
        <v>1</v>
      </c>
      <c r="O1721" s="112" t="str">
        <f t="shared" si="1522"/>
        <v>TRT-10A230V-NO</v>
      </c>
      <c r="P1721" s="120" t="str">
        <f t="shared" si="1523"/>
        <v>Termostato para ventilación - 1NA - 230V - marca FANDIS.</v>
      </c>
      <c r="Q1721" s="120" t="str">
        <f t="shared" si="1524"/>
        <v>TRT-1NA</v>
      </c>
      <c r="S1721" s="112" t="str">
        <f t="shared" si="1554"/>
        <v>FANDIS</v>
      </c>
      <c r="T1721" s="1765"/>
    </row>
    <row r="1722" spans="1:20" s="320" customFormat="1" ht="12.75" customHeight="1">
      <c r="A1722" s="2274"/>
      <c r="B1722" s="2275">
        <v>1</v>
      </c>
      <c r="C1722" s="2282" t="str">
        <f t="shared" si="1555"/>
        <v>Base portafusibles + Fusibles de protección para control.</v>
      </c>
      <c r="D1722" s="1579" t="s">
        <v>453</v>
      </c>
      <c r="E1722" s="2289">
        <f t="shared" si="1557"/>
        <v>8.1750000000000007</v>
      </c>
      <c r="F1722" s="2264">
        <f>+E1722*B1722</f>
        <v>8.1750000000000007</v>
      </c>
      <c r="G1722" s="2276"/>
      <c r="H1722" s="2276"/>
      <c r="I1722" s="2276"/>
      <c r="J1722" s="722"/>
      <c r="K1722" s="684">
        <f t="shared" si="1525"/>
        <v>1</v>
      </c>
      <c r="L1722" s="2258">
        <v>1</v>
      </c>
      <c r="M1722" s="120">
        <f t="shared" si="1553"/>
        <v>1</v>
      </c>
      <c r="N1722" s="112" t="str">
        <f t="shared" si="1521"/>
        <v/>
      </c>
      <c r="O1722" s="112" t="str">
        <f t="shared" si="1522"/>
        <v/>
      </c>
      <c r="P1722" s="120" t="str">
        <f t="shared" si="1523"/>
        <v/>
      </c>
      <c r="Q1722" s="120" t="str">
        <f t="shared" si="1524"/>
        <v/>
      </c>
      <c r="R1722" s="185"/>
      <c r="S1722" s="112" t="str">
        <f t="shared" si="1554"/>
        <v/>
      </c>
      <c r="T1722" s="709"/>
    </row>
    <row r="1723" spans="1:20" s="320" customFormat="1" ht="12.75" customHeight="1">
      <c r="A1723" s="2274"/>
      <c r="B1723" s="2277">
        <v>1</v>
      </c>
      <c r="C1723" s="2282" t="str">
        <f t="shared" si="1555"/>
        <v>Borne 4mm2.</v>
      </c>
      <c r="D1723" s="1579" t="s">
        <v>437</v>
      </c>
      <c r="E1723" s="2260">
        <f t="shared" si="1557"/>
        <v>2.5</v>
      </c>
      <c r="F1723" s="2260">
        <f>+E1723*B1723</f>
        <v>2.5</v>
      </c>
      <c r="G1723" s="2276"/>
      <c r="H1723" s="2276"/>
      <c r="I1723" s="2276"/>
      <c r="J1723" s="722"/>
      <c r="K1723" s="684">
        <f t="shared" si="1525"/>
        <v>1</v>
      </c>
      <c r="L1723" s="2258">
        <v>1</v>
      </c>
      <c r="M1723" s="120">
        <f t="shared" si="1553"/>
        <v>1</v>
      </c>
      <c r="N1723" s="112" t="str">
        <f t="shared" si="1521"/>
        <v/>
      </c>
      <c r="O1723" s="112" t="str">
        <f t="shared" si="1522"/>
        <v/>
      </c>
      <c r="P1723" s="120" t="str">
        <f t="shared" si="1523"/>
        <v/>
      </c>
      <c r="Q1723" s="120" t="str">
        <f t="shared" si="1524"/>
        <v/>
      </c>
      <c r="R1723" s="185"/>
      <c r="S1723" s="112" t="str">
        <f t="shared" si="1554"/>
        <v/>
      </c>
      <c r="T1723" s="709"/>
    </row>
    <row r="1724" spans="1:20" s="185" customFormat="1" ht="12.75" customHeight="1">
      <c r="A1724" s="2262"/>
      <c r="B1724" s="1760"/>
      <c r="C1724" s="1893" t="s">
        <v>729</v>
      </c>
      <c r="D1724" s="169"/>
      <c r="E1724" s="2256"/>
      <c r="F1724" s="2278"/>
      <c r="G1724" s="710"/>
      <c r="H1724" s="710"/>
      <c r="I1724" s="710"/>
      <c r="J1724" s="711"/>
      <c r="K1724" s="684">
        <f t="shared" si="1525"/>
        <v>1</v>
      </c>
      <c r="L1724" s="2258">
        <v>1</v>
      </c>
      <c r="M1724" s="120">
        <f t="shared" si="1553"/>
        <v>1</v>
      </c>
      <c r="N1724" s="112" t="str">
        <f t="shared" si="1521"/>
        <v/>
      </c>
      <c r="O1724" s="112" t="str">
        <f t="shared" si="1522"/>
        <v/>
      </c>
      <c r="P1724" s="120" t="str">
        <f t="shared" si="1523"/>
        <v/>
      </c>
      <c r="Q1724" s="120" t="str">
        <f t="shared" si="1524"/>
        <v/>
      </c>
      <c r="S1724" s="112" t="str">
        <f t="shared" si="1554"/>
        <v/>
      </c>
      <c r="T1724" s="118"/>
    </row>
    <row r="1725" spans="1:20" s="1236" customFormat="1" ht="18" customHeight="1">
      <c r="A1725" s="1767"/>
      <c r="B1725" s="1853">
        <v>1</v>
      </c>
      <c r="C1725" s="1895" t="s">
        <v>12364</v>
      </c>
      <c r="D1725" s="1902"/>
      <c r="E1725" s="1792"/>
      <c r="F1725" s="1793"/>
      <c r="G1725" s="1784"/>
      <c r="H1725" s="1784"/>
      <c r="I1725" s="1784"/>
      <c r="J1725" s="1182"/>
      <c r="K1725" s="684">
        <f t="shared" si="1525"/>
        <v>1</v>
      </c>
      <c r="L1725" s="708">
        <v>1</v>
      </c>
      <c r="M1725" s="709">
        <f t="shared" si="1553"/>
        <v>1</v>
      </c>
      <c r="N1725" s="362" t="str">
        <f t="shared" si="1521"/>
        <v/>
      </c>
      <c r="O1725" s="1763" t="str">
        <f t="shared" si="1522"/>
        <v/>
      </c>
      <c r="P1725" s="1764" t="str">
        <f t="shared" si="1523"/>
        <v/>
      </c>
      <c r="Q1725" s="120" t="str">
        <f t="shared" si="1524"/>
        <v/>
      </c>
      <c r="R1725" s="185"/>
    </row>
    <row r="1726" spans="1:20" s="695" customFormat="1" ht="18" customHeight="1">
      <c r="A1726" s="693"/>
      <c r="B1726" s="1922">
        <v>1</v>
      </c>
      <c r="C1726" s="1848" t="str">
        <f t="shared" ref="C1726" si="1558">VLOOKUP(D1726,base_datos,6,FALSE)</f>
        <v>Placa lamicoid rotulación de 3mm de espesor, fondo negro y letras blancas.</v>
      </c>
      <c r="D1726" s="1886" t="s">
        <v>8567</v>
      </c>
      <c r="E1726" s="1795">
        <f t="shared" ref="E1726" si="1559">VLOOKUP(D1726,base_datos,5,FALSE)</f>
        <v>8.6999999999999993</v>
      </c>
      <c r="F1726" s="1796">
        <f t="shared" ref="F1726" si="1560">+E1726*B1726</f>
        <v>8.6999999999999993</v>
      </c>
      <c r="G1726" s="696"/>
      <c r="H1726" s="696"/>
      <c r="I1726" s="696"/>
      <c r="J1726" s="697"/>
      <c r="K1726" s="684">
        <f t="shared" si="1525"/>
        <v>1</v>
      </c>
      <c r="L1726" s="708">
        <v>1</v>
      </c>
      <c r="M1726" s="709">
        <f t="shared" si="1553"/>
        <v>1</v>
      </c>
      <c r="N1726" s="362">
        <f t="shared" si="1521"/>
        <v>1</v>
      </c>
      <c r="O1726" s="1763" t="str">
        <f t="shared" si="1522"/>
        <v>Placa lamicoid p/autosop.</v>
      </c>
      <c r="P1726" s="1764" t="str">
        <f t="shared" si="1523"/>
        <v>Placa lamicoid rotulación de 3mm de espesor, fondo negro y letras blancas.</v>
      </c>
      <c r="Q1726" s="120" t="str">
        <f t="shared" si="1524"/>
        <v>Placa lamicoid p/autosop.</v>
      </c>
      <c r="R1726" s="185"/>
    </row>
    <row r="1727" spans="1:20" s="1236" customFormat="1" ht="18" customHeight="1">
      <c r="A1727" s="1767"/>
      <c r="B1727" s="1853">
        <v>1</v>
      </c>
      <c r="C1727" s="1895" t="s">
        <v>12363</v>
      </c>
      <c r="D1727" s="1902"/>
      <c r="E1727" s="1792"/>
      <c r="F1727" s="1793"/>
      <c r="G1727" s="1784"/>
      <c r="H1727" s="1784"/>
      <c r="I1727" s="1784"/>
      <c r="J1727" s="1182"/>
      <c r="K1727" s="684">
        <f t="shared" si="1525"/>
        <v>1</v>
      </c>
      <c r="L1727" s="708">
        <v>1</v>
      </c>
      <c r="M1727" s="709">
        <f t="shared" si="1553"/>
        <v>1</v>
      </c>
      <c r="N1727" s="362" t="str">
        <f t="shared" si="1521"/>
        <v/>
      </c>
      <c r="O1727" s="1763" t="str">
        <f t="shared" si="1522"/>
        <v/>
      </c>
      <c r="P1727" s="1764" t="str">
        <f t="shared" si="1523"/>
        <v/>
      </c>
      <c r="Q1727" s="120" t="str">
        <f t="shared" si="1524"/>
        <v/>
      </c>
      <c r="R1727" s="185"/>
    </row>
    <row r="1728" spans="1:20" s="1236" customFormat="1" ht="18" customHeight="1">
      <c r="A1728" s="1767"/>
      <c r="B1728" s="1853">
        <v>1</v>
      </c>
      <c r="C1728" s="1895" t="s">
        <v>12475</v>
      </c>
      <c r="D1728" s="1902"/>
      <c r="E1728" s="1795"/>
      <c r="F1728" s="1796"/>
      <c r="G1728" s="1784"/>
      <c r="H1728" s="1784"/>
      <c r="I1728" s="1784"/>
      <c r="J1728" s="1182"/>
      <c r="K1728" s="684">
        <f t="shared" si="1525"/>
        <v>1</v>
      </c>
      <c r="L1728" s="708">
        <v>1</v>
      </c>
      <c r="M1728" s="709">
        <f t="shared" si="1553"/>
        <v>1</v>
      </c>
      <c r="N1728" s="362" t="str">
        <f t="shared" si="1521"/>
        <v/>
      </c>
      <c r="O1728" s="1763" t="str">
        <f t="shared" si="1522"/>
        <v/>
      </c>
      <c r="P1728" s="1764" t="str">
        <f t="shared" si="1523"/>
        <v/>
      </c>
      <c r="Q1728" s="120" t="str">
        <f t="shared" si="1524"/>
        <v/>
      </c>
      <c r="R1728" s="185"/>
    </row>
    <row r="1729" spans="1:18" s="1236" customFormat="1" ht="18" customHeight="1">
      <c r="A1729" s="1767"/>
      <c r="B1729" s="1853">
        <v>1</v>
      </c>
      <c r="C1729" s="1848" t="str">
        <f>VLOOKUP(D1729,base_datos,6,FALSE)</f>
        <v>Embalaje especial completamente cerrado para tablero autosoportado de 2100x800x800mm</v>
      </c>
      <c r="D1729" s="1902" t="s">
        <v>12450</v>
      </c>
      <c r="E1729" s="1795">
        <f t="shared" ref="E1729" si="1561">VLOOKUP(D1729,base_datos,5,FALSE)</f>
        <v>312.08</v>
      </c>
      <c r="F1729" s="1796">
        <f t="shared" ref="F1729" si="1562">+E1729*B1729</f>
        <v>312.08</v>
      </c>
      <c r="G1729" s="1784"/>
      <c r="H1729" s="1784"/>
      <c r="I1729" s="1784"/>
      <c r="J1729" s="1182"/>
      <c r="K1729" s="684">
        <f t="shared" si="1525"/>
        <v>1</v>
      </c>
      <c r="L1729" s="708">
        <v>1</v>
      </c>
      <c r="M1729" s="709">
        <f t="shared" si="1553"/>
        <v>1</v>
      </c>
      <c r="N1729" s="362">
        <f t="shared" si="1521"/>
        <v>1</v>
      </c>
      <c r="O1729" s="1763" t="str">
        <f t="shared" si="1522"/>
        <v>EMBAL_AUTOS_2100x800x800mm</v>
      </c>
      <c r="P1729" s="1764" t="str">
        <f t="shared" si="1523"/>
        <v>Embalaje especial completamente cerrado para tablero autosoportado de 2100x800x800mm</v>
      </c>
      <c r="Q1729" s="120" t="str">
        <f t="shared" si="1524"/>
        <v>EMBAL_AUTOS_2100x800x800mm</v>
      </c>
      <c r="R1729" s="185"/>
    </row>
    <row r="1730" spans="1:18" s="185" customFormat="1" ht="18" customHeight="1">
      <c r="A1730" s="1785"/>
      <c r="B1730" s="714"/>
      <c r="C1730" s="1893" t="s">
        <v>729</v>
      </c>
      <c r="D1730" s="173"/>
      <c r="E1730" s="1786"/>
      <c r="F1730" s="1787"/>
      <c r="G1730" s="710"/>
      <c r="H1730" s="710"/>
      <c r="I1730" s="710"/>
      <c r="J1730" s="711"/>
      <c r="K1730" s="684">
        <f t="shared" si="1525"/>
        <v>1</v>
      </c>
      <c r="L1730" s="708">
        <v>1</v>
      </c>
      <c r="M1730" s="709">
        <f t="shared" si="1553"/>
        <v>1</v>
      </c>
      <c r="N1730" s="362" t="str">
        <f t="shared" si="1521"/>
        <v/>
      </c>
      <c r="O1730" s="1763" t="str">
        <f t="shared" si="1522"/>
        <v/>
      </c>
      <c r="P1730" s="1764" t="str">
        <f t="shared" si="1523"/>
        <v/>
      </c>
      <c r="Q1730" s="120" t="str">
        <f t="shared" si="1524"/>
        <v/>
      </c>
    </row>
    <row r="1731" spans="1:18" s="695" customFormat="1" ht="18" customHeight="1">
      <c r="A1731" s="693"/>
      <c r="B1731" s="1794">
        <v>1</v>
      </c>
      <c r="C1731" s="1420" t="str">
        <f t="shared" ref="C1731" si="1563">VLOOKUP(D1731,base_datos,6,FALSE)</f>
        <v>Barra a tierra.</v>
      </c>
      <c r="D1731" s="1790" t="s">
        <v>3272</v>
      </c>
      <c r="E1731" s="1795">
        <f t="shared" ref="E1731" si="1564">VLOOKUP(D1731,base_datos,5,FALSE)</f>
        <v>30</v>
      </c>
      <c r="F1731" s="1796">
        <f t="shared" ref="F1731:F1738" si="1565">+E1731*B1731</f>
        <v>30</v>
      </c>
      <c r="G1731" s="696"/>
      <c r="H1731" s="696"/>
      <c r="I1731" s="696"/>
      <c r="J1731" s="697"/>
      <c r="K1731" s="684">
        <f t="shared" si="1525"/>
        <v>1</v>
      </c>
      <c r="L1731" s="708">
        <v>1</v>
      </c>
      <c r="M1731" s="709">
        <f t="shared" si="1553"/>
        <v>1</v>
      </c>
      <c r="N1731" s="362" t="str">
        <f t="shared" si="1521"/>
        <v/>
      </c>
      <c r="O1731" s="1763" t="str">
        <f t="shared" si="1522"/>
        <v/>
      </c>
      <c r="P1731" s="1764" t="str">
        <f t="shared" si="1523"/>
        <v/>
      </c>
      <c r="Q1731" s="120" t="str">
        <f t="shared" si="1524"/>
        <v/>
      </c>
      <c r="R1731" s="185"/>
    </row>
    <row r="1732" spans="1:18" s="185" customFormat="1" ht="18" customHeight="1">
      <c r="A1732" s="1785"/>
      <c r="B1732" s="714"/>
      <c r="C1732" s="1893" t="s">
        <v>729</v>
      </c>
      <c r="D1732" s="173"/>
      <c r="E1732" s="1786"/>
      <c r="F1732" s="1787"/>
      <c r="G1732" s="710"/>
      <c r="H1732" s="710"/>
      <c r="I1732" s="710"/>
      <c r="J1732" s="711"/>
      <c r="K1732" s="684">
        <f t="shared" si="1525"/>
        <v>1</v>
      </c>
      <c r="L1732" s="708">
        <v>1</v>
      </c>
      <c r="M1732" s="709">
        <f t="shared" ref="M1732" si="1566">IF(B1732="",1,B1732)</f>
        <v>1</v>
      </c>
      <c r="N1732" s="362" t="str">
        <f t="shared" ref="N1732" si="1567">IF(O1732&lt;&gt;"",K1732*L1732*M1732,"")</f>
        <v/>
      </c>
      <c r="O1732" s="1763" t="str">
        <f t="shared" ref="O1732" si="1568">IF(D1732&lt;&gt;"",IF(VLOOKUP(D1732,base_datos,7,FALSE)&lt;&gt;"",VLOOKUP(D1732,base_datos,7,FALSE),""),"")</f>
        <v/>
      </c>
      <c r="P1732" s="1764" t="str">
        <f t="shared" ref="P1732" si="1569">IF(O1732&lt;&gt;"",VLOOKUP(D1732,base_datos,6,FALSE),"")</f>
        <v/>
      </c>
      <c r="Q1732" s="120" t="str">
        <f t="shared" ref="Q1732" si="1570">IF(O1732&lt;&gt;"",D1732,"")</f>
        <v/>
      </c>
    </row>
    <row r="1733" spans="1:18" s="897" customFormat="1" ht="18" customHeight="1">
      <c r="A1733" s="693"/>
      <c r="B1733" s="895">
        <v>3</v>
      </c>
      <c r="C1733" s="1848" t="str">
        <f>VLOOKUP(D1733,base_datos,6,FALSE)</f>
        <v>Rotulado por circuito.</v>
      </c>
      <c r="D1733" s="1579" t="s">
        <v>3067</v>
      </c>
      <c r="E1733" s="1581">
        <f>VLOOKUP(D1733,base_datos,5,FALSE)</f>
        <v>0.7</v>
      </c>
      <c r="F1733" s="1581">
        <f t="shared" si="1565"/>
        <v>2.0999999999999996</v>
      </c>
      <c r="G1733" s="1772"/>
      <c r="H1733" s="1772"/>
      <c r="I1733" s="1772"/>
      <c r="J1733" s="896"/>
      <c r="K1733" s="684">
        <f t="shared" si="1525"/>
        <v>1</v>
      </c>
      <c r="L1733" s="708">
        <v>1</v>
      </c>
      <c r="M1733" s="709">
        <f t="shared" si="1553"/>
        <v>3</v>
      </c>
      <c r="N1733" s="362" t="str">
        <f t="shared" si="1521"/>
        <v/>
      </c>
      <c r="O1733" s="1763" t="str">
        <f t="shared" si="1522"/>
        <v/>
      </c>
      <c r="P1733" s="1764" t="str">
        <f t="shared" si="1523"/>
        <v/>
      </c>
      <c r="Q1733" s="120" t="str">
        <f t="shared" si="1524"/>
        <v/>
      </c>
    </row>
    <row r="1734" spans="1:18" s="897" customFormat="1" ht="18" customHeight="1">
      <c r="A1734" s="693"/>
      <c r="B1734" s="895">
        <v>1</v>
      </c>
      <c r="C1734" s="1848" t="str">
        <f>VLOOKUP(D1734,base_datos,6,FALSE)</f>
        <v>Rotulado para TAG - Gabinete autosoportado.</v>
      </c>
      <c r="D1734" s="1579" t="s">
        <v>3065</v>
      </c>
      <c r="E1734" s="1581">
        <f>VLOOKUP(D1734,base_datos,5,FALSE)</f>
        <v>3</v>
      </c>
      <c r="F1734" s="1581">
        <f t="shared" si="1565"/>
        <v>3</v>
      </c>
      <c r="G1734" s="1772"/>
      <c r="H1734" s="1772"/>
      <c r="I1734" s="1772"/>
      <c r="J1734" s="896"/>
      <c r="K1734" s="684">
        <f t="shared" si="1525"/>
        <v>1</v>
      </c>
      <c r="L1734" s="708">
        <v>1</v>
      </c>
      <c r="M1734" s="709">
        <f t="shared" si="1553"/>
        <v>1</v>
      </c>
      <c r="N1734" s="362" t="str">
        <f t="shared" si="1521"/>
        <v/>
      </c>
      <c r="O1734" s="1763" t="str">
        <f t="shared" si="1522"/>
        <v/>
      </c>
      <c r="P1734" s="1764" t="str">
        <f t="shared" si="1523"/>
        <v/>
      </c>
      <c r="Q1734" s="120" t="str">
        <f t="shared" si="1524"/>
        <v/>
      </c>
    </row>
    <row r="1735" spans="1:18" s="1237" customFormat="1" ht="18" customHeight="1">
      <c r="A1735" s="1767"/>
      <c r="B1735" s="1773">
        <v>1</v>
      </c>
      <c r="C1735" s="1896" t="s">
        <v>11664</v>
      </c>
      <c r="D1735" s="1887"/>
      <c r="E1735" s="1581">
        <v>48</v>
      </c>
      <c r="F1735" s="1581">
        <f t="shared" si="1565"/>
        <v>48</v>
      </c>
      <c r="G1735" s="1774"/>
      <c r="H1735" s="1774"/>
      <c r="I1735" s="1774"/>
      <c r="J1735" s="1181"/>
      <c r="K1735" s="684">
        <f t="shared" si="1525"/>
        <v>1</v>
      </c>
      <c r="L1735" s="708">
        <v>1</v>
      </c>
      <c r="M1735" s="709">
        <f t="shared" si="1553"/>
        <v>1</v>
      </c>
      <c r="N1735" s="362" t="str">
        <f t="shared" si="1521"/>
        <v/>
      </c>
      <c r="O1735" s="1763" t="str">
        <f t="shared" si="1522"/>
        <v/>
      </c>
      <c r="P1735" s="1764" t="str">
        <f t="shared" si="1523"/>
        <v/>
      </c>
      <c r="Q1735" s="120" t="str">
        <f t="shared" si="1524"/>
        <v/>
      </c>
      <c r="R1735" s="1765"/>
    </row>
    <row r="1736" spans="1:18" s="1237" customFormat="1" ht="18" customHeight="1">
      <c r="A1736" s="1767"/>
      <c r="B1736" s="1773">
        <v>1</v>
      </c>
      <c r="C1736" s="1943" t="s">
        <v>13032</v>
      </c>
      <c r="D1736" s="1897"/>
      <c r="E1736" s="1581">
        <f>E1738*15%</f>
        <v>195</v>
      </c>
      <c r="F1736" s="1581">
        <f t="shared" si="1565"/>
        <v>195</v>
      </c>
      <c r="G1736" s="1774"/>
      <c r="H1736" s="1774"/>
      <c r="I1736" s="1774"/>
      <c r="J1736" s="1181"/>
      <c r="K1736" s="684">
        <f t="shared" si="1525"/>
        <v>1</v>
      </c>
      <c r="L1736" s="708">
        <v>1</v>
      </c>
      <c r="M1736" s="709">
        <f t="shared" si="1553"/>
        <v>1</v>
      </c>
      <c r="N1736" s="362" t="str">
        <f t="shared" si="1521"/>
        <v/>
      </c>
      <c r="O1736" s="1763" t="str">
        <f t="shared" si="1522"/>
        <v/>
      </c>
      <c r="P1736" s="1764" t="str">
        <f t="shared" si="1523"/>
        <v/>
      </c>
      <c r="Q1736" s="120" t="str">
        <f t="shared" si="1524"/>
        <v/>
      </c>
      <c r="R1736" s="1765"/>
    </row>
    <row r="1737" spans="1:18" s="1237" customFormat="1" ht="18" customHeight="1">
      <c r="A1737" s="1767"/>
      <c r="B1737" s="1773">
        <v>1</v>
      </c>
      <c r="C1737" s="694" t="s">
        <v>12559</v>
      </c>
      <c r="D1737" s="1888"/>
      <c r="E1737" s="1999">
        <f>E1738*20%</f>
        <v>260</v>
      </c>
      <c r="F1737" s="1581">
        <f t="shared" si="1565"/>
        <v>260</v>
      </c>
      <c r="G1737" s="1774"/>
      <c r="H1737" s="1774"/>
      <c r="I1737" s="1774"/>
      <c r="J1737" s="1181"/>
      <c r="K1737" s="684">
        <f t="shared" si="1525"/>
        <v>1</v>
      </c>
      <c r="L1737" s="708">
        <v>1</v>
      </c>
      <c r="M1737" s="709">
        <f t="shared" si="1553"/>
        <v>1</v>
      </c>
      <c r="N1737" s="362" t="str">
        <f t="shared" ref="N1737" si="1571">IF(O1737&lt;&gt;"",K1737*L1737*M1737,"")</f>
        <v/>
      </c>
      <c r="O1737" s="1763" t="str">
        <f t="shared" ref="O1737" si="1572">IF(D1737&lt;&gt;"",IF(VLOOKUP(D1737,base_datos,7,FALSE)&lt;&gt;"",VLOOKUP(D1737,base_datos,7,FALSE),""),"")</f>
        <v/>
      </c>
      <c r="P1737" s="1764" t="str">
        <f t="shared" ref="P1737" si="1573">IF(O1737&lt;&gt;"",VLOOKUP(D1737,base_datos,6,FALSE),"")</f>
        <v/>
      </c>
      <c r="Q1737" s="120" t="str">
        <f t="shared" ref="Q1737" si="1574">IF(O1737&lt;&gt;"",D1737,"")</f>
        <v/>
      </c>
      <c r="R1737" s="1765"/>
    </row>
    <row r="1738" spans="1:18" s="1237" customFormat="1" ht="18" customHeight="1">
      <c r="A1738" s="1767"/>
      <c r="B1738" s="1773">
        <v>1</v>
      </c>
      <c r="C1738" s="1943" t="s">
        <v>12365</v>
      </c>
      <c r="D1738" s="1897"/>
      <c r="E1738" s="1581">
        <v>1300</v>
      </c>
      <c r="F1738" s="1581">
        <f t="shared" si="1565"/>
        <v>1300</v>
      </c>
      <c r="G1738" s="1774"/>
      <c r="H1738" s="1774"/>
      <c r="I1738" s="1774"/>
      <c r="J1738" s="1181"/>
      <c r="K1738" s="684">
        <f t="shared" si="1525"/>
        <v>1</v>
      </c>
      <c r="L1738" s="708">
        <v>1</v>
      </c>
      <c r="M1738" s="709">
        <f t="shared" si="1553"/>
        <v>1</v>
      </c>
      <c r="N1738" s="362" t="str">
        <f t="shared" si="1521"/>
        <v/>
      </c>
      <c r="O1738" s="1763" t="str">
        <f t="shared" si="1522"/>
        <v/>
      </c>
      <c r="P1738" s="1764" t="str">
        <f t="shared" si="1523"/>
        <v/>
      </c>
      <c r="Q1738" s="120" t="str">
        <f t="shared" si="1524"/>
        <v/>
      </c>
      <c r="R1738" s="1765"/>
    </row>
    <row r="1739" spans="1:18" s="120" customFormat="1" ht="18" customHeight="1" thickBot="1">
      <c r="A1739" s="1855"/>
      <c r="B1739" s="1854"/>
      <c r="C1739" s="1797"/>
      <c r="D1739" s="1889"/>
      <c r="E1739" s="1981"/>
      <c r="F1739" s="1981"/>
      <c r="G1739" s="1798"/>
      <c r="H1739" s="1798"/>
      <c r="I1739" s="1798"/>
      <c r="J1739" s="1799"/>
      <c r="K1739" s="1788"/>
      <c r="L1739" s="363"/>
      <c r="M1739" s="684"/>
      <c r="N1739" s="362" t="str">
        <f t="shared" si="1521"/>
        <v/>
      </c>
      <c r="O1739" s="1763" t="str">
        <f t="shared" si="1522"/>
        <v/>
      </c>
      <c r="P1739" s="1764" t="str">
        <f t="shared" si="1523"/>
        <v/>
      </c>
      <c r="Q1739" s="120" t="str">
        <f t="shared" si="1524"/>
        <v/>
      </c>
      <c r="R1739" s="185"/>
    </row>
    <row r="1740" spans="1:18" s="120" customFormat="1" ht="18" customHeight="1" thickBot="1">
      <c r="A1740" s="1989">
        <v>30</v>
      </c>
      <c r="B1740" s="1852">
        <v>1</v>
      </c>
      <c r="C1740" s="1756" t="s">
        <v>12592</v>
      </c>
      <c r="D1740" s="1588"/>
      <c r="E1740" s="1589"/>
      <c r="F1740" s="1589"/>
      <c r="G1740" s="1757">
        <f>SUM(F1741:F1797)</f>
        <v>4861.6000000000004</v>
      </c>
      <c r="H1740" s="1758">
        <f>G1740*(1-$D$6)</f>
        <v>4861.6000000000004</v>
      </c>
      <c r="I1740" s="1757">
        <f>ROUNDUP(H1740*$D$5,0)</f>
        <v>16530</v>
      </c>
      <c r="J1740" s="1759">
        <f>+I1740*B1740</f>
        <v>16530</v>
      </c>
      <c r="K1740" s="1788">
        <f>B1740</f>
        <v>1</v>
      </c>
      <c r="L1740" s="363"/>
      <c r="M1740" s="684"/>
      <c r="N1740" s="362" t="str">
        <f t="shared" si="1521"/>
        <v/>
      </c>
      <c r="O1740" s="1763" t="str">
        <f t="shared" si="1522"/>
        <v/>
      </c>
      <c r="P1740" s="1764" t="str">
        <f t="shared" si="1523"/>
        <v/>
      </c>
      <c r="Q1740" s="120" t="str">
        <f t="shared" si="1524"/>
        <v/>
      </c>
      <c r="R1740" s="185"/>
    </row>
    <row r="1741" spans="1:18" s="120" customFormat="1" ht="18" customHeight="1">
      <c r="A1741" s="685" t="s">
        <v>3064</v>
      </c>
      <c r="B1741" s="1903"/>
      <c r="C1741" s="1890"/>
      <c r="D1741" s="1904"/>
      <c r="E1741" s="1789"/>
      <c r="F1741" s="1780"/>
      <c r="G1741" s="686"/>
      <c r="H1741" s="710"/>
      <c r="I1741" s="686"/>
      <c r="J1741" s="1768"/>
      <c r="K1741" s="684">
        <f t="shared" ref="K1741:K1742" si="1575">+K1740</f>
        <v>1</v>
      </c>
      <c r="L1741" s="363">
        <v>1</v>
      </c>
      <c r="M1741" s="709">
        <f t="shared" ref="M1741:M1754" si="1576">IF(B1741="",1,B1741)</f>
        <v>1</v>
      </c>
      <c r="N1741" s="362" t="str">
        <f t="shared" si="1521"/>
        <v/>
      </c>
      <c r="O1741" s="1763" t="str">
        <f t="shared" si="1522"/>
        <v/>
      </c>
      <c r="P1741" s="1764" t="str">
        <f t="shared" si="1523"/>
        <v/>
      </c>
      <c r="Q1741" s="120" t="str">
        <f t="shared" si="1524"/>
        <v/>
      </c>
    </row>
    <row r="1742" spans="1:18" s="315" customFormat="1">
      <c r="A1742" s="687" t="s">
        <v>4021</v>
      </c>
      <c r="B1742" s="2096">
        <v>1</v>
      </c>
      <c r="C1742" s="1907" t="s">
        <v>5103</v>
      </c>
      <c r="D1742" s="1935"/>
      <c r="E1742" s="1786"/>
      <c r="F1742" s="1908">
        <f>SUM(F1744:F1748)*(B1742-1)</f>
        <v>0</v>
      </c>
      <c r="G1742" s="712"/>
      <c r="H1742" s="712"/>
      <c r="I1742" s="712"/>
      <c r="J1742" s="713"/>
      <c r="K1742" s="684">
        <f t="shared" si="1575"/>
        <v>1</v>
      </c>
      <c r="L1742" s="1909">
        <f>B1742</f>
        <v>1</v>
      </c>
      <c r="M1742" s="684">
        <f t="shared" si="1576"/>
        <v>1</v>
      </c>
      <c r="N1742" s="362" t="str">
        <f t="shared" ref="N1742:N1750" si="1577">IF(O1742&lt;&gt;"",K1742*L1742*M1742,"")</f>
        <v/>
      </c>
      <c r="O1742" s="1763" t="str">
        <f t="shared" ref="O1742:O1750" si="1578">IF(D1742&lt;&gt;"",IF(VLOOKUP(D1742,base_datos,7,FALSE)&lt;&gt;"",VLOOKUP(D1742,base_datos,7,FALSE),""),"")</f>
        <v/>
      </c>
      <c r="P1742" s="1764" t="str">
        <f t="shared" ref="P1742:P1750" si="1579">IF(O1742&lt;&gt;"",VLOOKUP(D1742,base_datos,6,FALSE),"")</f>
        <v/>
      </c>
      <c r="Q1742" s="120" t="str">
        <f t="shared" ref="Q1742:Q1750" si="1580">IF(O1742&lt;&gt;"",D1742,"")</f>
        <v/>
      </c>
    </row>
    <row r="1743" spans="1:18" s="185" customFormat="1">
      <c r="A1743" s="687" t="s">
        <v>4136</v>
      </c>
      <c r="B1743" s="1910">
        <v>3</v>
      </c>
      <c r="C1743" s="1911" t="str">
        <f>VLOOKUP(D1743,base_datos,6,FALSE)</f>
        <v>Portalámpara + lampara tipo LED - color Rojo - alimentacion: 220-230Vac, d=22mm. - CL2-523R - línea compacta - marca ABB.</v>
      </c>
      <c r="D1743" s="1790" t="s">
        <v>2439</v>
      </c>
      <c r="E1743" s="1939">
        <f>VLOOKUP(D1743,base_datos,5,FALSE)</f>
        <v>12.299999999999999</v>
      </c>
      <c r="F1743" s="1912">
        <f>+E1743*B1743</f>
        <v>36.9</v>
      </c>
      <c r="G1743" s="710"/>
      <c r="H1743" s="710"/>
      <c r="I1743" s="710"/>
      <c r="J1743" s="711"/>
      <c r="K1743" s="684">
        <f>+K1741</f>
        <v>1</v>
      </c>
      <c r="L1743" s="1913">
        <f>L1741</f>
        <v>1</v>
      </c>
      <c r="M1743" s="684">
        <f t="shared" si="1576"/>
        <v>3</v>
      </c>
      <c r="N1743" s="362">
        <f t="shared" si="1577"/>
        <v>3</v>
      </c>
      <c r="O1743" s="1763" t="str">
        <f t="shared" si="1578"/>
        <v>1SFA619403R5231</v>
      </c>
      <c r="P1743" s="1764" t="str">
        <f t="shared" si="1579"/>
        <v>Portalámpara + lampara tipo LED - color Rojo - alimentacion: 220-230Vac, d=22mm. - CL2-523R - línea compacta - marca ABB.</v>
      </c>
      <c r="Q1743" s="120" t="str">
        <f t="shared" si="1580"/>
        <v>LAMP_ROJO_220V</v>
      </c>
    </row>
    <row r="1744" spans="1:18" s="185" customFormat="1">
      <c r="A1744" s="687"/>
      <c r="B1744" s="1910">
        <v>3</v>
      </c>
      <c r="C1744" s="1911" t="str">
        <f>VLOOKUP(D1744,base_datos,6,FALSE)</f>
        <v>Portalámpara + lampara tipo LED - color Verde - alimentacion: 220-230Vac, d=22mm. - CL2-523G - línea compacta - marca ABB.</v>
      </c>
      <c r="D1744" s="1790" t="s">
        <v>2440</v>
      </c>
      <c r="E1744" s="1939">
        <f>VLOOKUP(D1744,base_datos,5,FALSE)</f>
        <v>12.299999999999999</v>
      </c>
      <c r="F1744" s="1912">
        <f>+E1744*B1744</f>
        <v>36.9</v>
      </c>
      <c r="G1744" s="710"/>
      <c r="H1744" s="710"/>
      <c r="I1744" s="710"/>
      <c r="J1744" s="711"/>
      <c r="K1744" s="684">
        <f>+K1742</f>
        <v>1</v>
      </c>
      <c r="L1744" s="1913">
        <f>L1742</f>
        <v>1</v>
      </c>
      <c r="M1744" s="684">
        <f t="shared" si="1576"/>
        <v>3</v>
      </c>
      <c r="N1744" s="362">
        <f t="shared" si="1577"/>
        <v>3</v>
      </c>
      <c r="O1744" s="1763" t="str">
        <f t="shared" si="1578"/>
        <v>1SFA619403R5232</v>
      </c>
      <c r="P1744" s="1764" t="str">
        <f t="shared" si="1579"/>
        <v>Portalámpara + lampara tipo LED - color Verde - alimentacion: 220-230Vac, d=22mm. - CL2-523G - línea compacta - marca ABB.</v>
      </c>
      <c r="Q1744" s="120" t="str">
        <f t="shared" si="1580"/>
        <v>LAMP_VERDE_220V</v>
      </c>
    </row>
    <row r="1745" spans="1:18" s="1921" customFormat="1">
      <c r="A1745" s="687" t="s">
        <v>12356</v>
      </c>
      <c r="B1745" s="1914">
        <v>1</v>
      </c>
      <c r="C1745" s="1915" t="s">
        <v>3366</v>
      </c>
      <c r="D1745" s="1916"/>
      <c r="E1745" s="1917"/>
      <c r="F1745" s="1918"/>
      <c r="G1745" s="1919"/>
      <c r="H1745" s="1919"/>
      <c r="I1745" s="1919"/>
      <c r="J1745" s="1920"/>
      <c r="K1745" s="684">
        <f t="shared" ref="K1745:K1797" si="1581">+K1743</f>
        <v>1</v>
      </c>
      <c r="L1745" s="1913">
        <f>L1744</f>
        <v>1</v>
      </c>
      <c r="M1745" s="684">
        <f t="shared" si="1576"/>
        <v>1</v>
      </c>
      <c r="N1745" s="362" t="str">
        <f t="shared" si="1577"/>
        <v/>
      </c>
      <c r="O1745" s="1763" t="str">
        <f t="shared" si="1578"/>
        <v/>
      </c>
      <c r="P1745" s="1764" t="str">
        <f t="shared" si="1579"/>
        <v/>
      </c>
      <c r="Q1745" s="120" t="str">
        <f t="shared" si="1580"/>
        <v/>
      </c>
    </row>
    <row r="1746" spans="1:18" s="320" customFormat="1">
      <c r="A1746" s="687" t="s">
        <v>12374</v>
      </c>
      <c r="B1746" s="1922">
        <v>1</v>
      </c>
      <c r="C1746" s="721" t="str">
        <f>VLOOKUP(D1746,base_datos,6,FALSE)</f>
        <v>Rele auxiliar enchufable +4NA/NC (D2PR4B + base D2PA6), 220Vac - marca EATON.</v>
      </c>
      <c r="D1746" s="1579" t="s">
        <v>772</v>
      </c>
      <c r="E1746" s="1581">
        <f>VLOOKUP(D1746,base_datos,5,FALSE)</f>
        <v>27</v>
      </c>
      <c r="F1746" s="1923">
        <f>+E1746*B1746</f>
        <v>27</v>
      </c>
      <c r="G1746" s="1924"/>
      <c r="H1746" s="1924"/>
      <c r="I1746" s="1924"/>
      <c r="J1746" s="722"/>
      <c r="K1746" s="684">
        <f t="shared" si="1581"/>
        <v>1</v>
      </c>
      <c r="L1746" s="1913">
        <f>L1743</f>
        <v>1</v>
      </c>
      <c r="M1746" s="684">
        <f t="shared" si="1576"/>
        <v>1</v>
      </c>
      <c r="N1746" s="362">
        <f t="shared" si="1577"/>
        <v>1</v>
      </c>
      <c r="O1746" s="1763" t="str">
        <f t="shared" si="1578"/>
        <v>D2PR4B+D2PA6</v>
      </c>
      <c r="P1746" s="1764" t="str">
        <f t="shared" si="1579"/>
        <v>Rele auxiliar enchufable +4NA/NC (D2PR4B + base D2PA6), 220Vac - marca EATON.</v>
      </c>
      <c r="Q1746" s="120" t="str">
        <f t="shared" si="1580"/>
        <v>D2PR4B+D2PA6</v>
      </c>
    </row>
    <row r="1747" spans="1:18" s="320" customFormat="1">
      <c r="A1747" s="1767"/>
      <c r="B1747" s="2131">
        <v>1</v>
      </c>
      <c r="C1747" s="2132" t="s">
        <v>12558</v>
      </c>
      <c r="D1747" s="2133"/>
      <c r="E1747" s="2134">
        <v>32</v>
      </c>
      <c r="F1747" s="2134">
        <f>+E1747*B1747</f>
        <v>32</v>
      </c>
      <c r="G1747" s="1924"/>
      <c r="H1747" s="1924"/>
      <c r="I1747" s="1924"/>
      <c r="J1747" s="722"/>
      <c r="K1747" s="684">
        <f t="shared" si="1581"/>
        <v>1</v>
      </c>
      <c r="L1747" s="1913">
        <f>L1744</f>
        <v>1</v>
      </c>
      <c r="M1747" s="684">
        <f t="shared" si="1576"/>
        <v>1</v>
      </c>
      <c r="N1747" s="362" t="str">
        <f t="shared" si="1577"/>
        <v/>
      </c>
      <c r="O1747" s="1763" t="str">
        <f t="shared" si="1578"/>
        <v/>
      </c>
      <c r="P1747" s="1764" t="str">
        <f t="shared" si="1579"/>
        <v/>
      </c>
      <c r="Q1747" s="120" t="str">
        <f t="shared" si="1580"/>
        <v/>
      </c>
    </row>
    <row r="1748" spans="1:18" s="320" customFormat="1">
      <c r="A1748" s="687" t="s">
        <v>12551</v>
      </c>
      <c r="B1748" s="1922">
        <v>4</v>
      </c>
      <c r="C1748" s="721" t="str">
        <f>VLOOKUP(D1748,base_datos,6,FALSE)</f>
        <v>Base portafusibles + Fusibles de protección para control.</v>
      </c>
      <c r="D1748" s="1579" t="s">
        <v>453</v>
      </c>
      <c r="E1748" s="1581">
        <f>VLOOKUP(D1748,base_datos,5,FALSE)</f>
        <v>8.1750000000000007</v>
      </c>
      <c r="F1748" s="1923">
        <f>+E1748*B1748</f>
        <v>32.700000000000003</v>
      </c>
      <c r="G1748" s="1924"/>
      <c r="H1748" s="1924"/>
      <c r="I1748" s="1924"/>
      <c r="J1748" s="722"/>
      <c r="K1748" s="684">
        <f t="shared" si="1581"/>
        <v>1</v>
      </c>
      <c r="L1748" s="1913">
        <f>L1745</f>
        <v>1</v>
      </c>
      <c r="M1748" s="684">
        <f t="shared" si="1576"/>
        <v>4</v>
      </c>
      <c r="N1748" s="362" t="str">
        <f t="shared" si="1577"/>
        <v/>
      </c>
      <c r="O1748" s="1763" t="str">
        <f t="shared" si="1578"/>
        <v/>
      </c>
      <c r="P1748" s="1764" t="str">
        <f t="shared" si="1579"/>
        <v/>
      </c>
      <c r="Q1748" s="120" t="str">
        <f t="shared" si="1580"/>
        <v/>
      </c>
    </row>
    <row r="1749" spans="1:18" s="315" customFormat="1">
      <c r="A1749" s="687" t="s">
        <v>3542</v>
      </c>
      <c r="B1749" s="1906"/>
      <c r="C1749" s="1907"/>
      <c r="D1749" s="1935"/>
      <c r="E1749" s="1786"/>
      <c r="F1749" s="1936"/>
      <c r="G1749" s="712"/>
      <c r="H1749" s="712"/>
      <c r="I1749" s="712"/>
      <c r="J1749" s="713"/>
      <c r="K1749" s="684">
        <f t="shared" si="1581"/>
        <v>1</v>
      </c>
      <c r="L1749" s="708">
        <v>1</v>
      </c>
      <c r="M1749" s="684">
        <f t="shared" si="1576"/>
        <v>1</v>
      </c>
      <c r="N1749" s="362" t="str">
        <f t="shared" si="1577"/>
        <v/>
      </c>
      <c r="O1749" s="1763" t="str">
        <f t="shared" si="1578"/>
        <v/>
      </c>
      <c r="P1749" s="1764" t="str">
        <f t="shared" si="1579"/>
        <v/>
      </c>
      <c r="Q1749" s="120" t="str">
        <f t="shared" si="1580"/>
        <v/>
      </c>
    </row>
    <row r="1750" spans="1:18" s="185" customFormat="1" ht="13.5" customHeight="1">
      <c r="A1750" s="1771"/>
      <c r="B1750" s="1922"/>
      <c r="C1750" s="1956" t="s">
        <v>12368</v>
      </c>
      <c r="D1750" s="1579"/>
      <c r="E1750" s="1957"/>
      <c r="F1750" s="1958"/>
      <c r="G1750" s="710"/>
      <c r="H1750" s="710"/>
      <c r="I1750" s="710"/>
      <c r="J1750" s="711"/>
      <c r="K1750" s="684">
        <f t="shared" si="1581"/>
        <v>1</v>
      </c>
      <c r="L1750" s="708">
        <v>1</v>
      </c>
      <c r="M1750" s="684">
        <f t="shared" si="1576"/>
        <v>1</v>
      </c>
      <c r="N1750" s="362" t="str">
        <f t="shared" si="1577"/>
        <v/>
      </c>
      <c r="O1750" s="1763" t="str">
        <f t="shared" si="1578"/>
        <v/>
      </c>
      <c r="P1750" s="1764" t="str">
        <f t="shared" si="1579"/>
        <v/>
      </c>
      <c r="Q1750" s="120" t="str">
        <f t="shared" si="1580"/>
        <v/>
      </c>
    </row>
    <row r="1751" spans="1:18" s="120" customFormat="1" ht="18" customHeight="1">
      <c r="A1751" s="1931"/>
      <c r="B1751" s="1779">
        <v>6</v>
      </c>
      <c r="C1751" s="1892" t="str">
        <f>VLOOKUP(D1751,base_datos,6,FALSE)</f>
        <v>Transformador de tensión monofásico 480 / 240 Vac - 50VA.</v>
      </c>
      <c r="D1751" s="1898" t="s">
        <v>8587</v>
      </c>
      <c r="E1751" s="1581">
        <f>VLOOKUP(D1751,base_datos,5,FALSE)</f>
        <v>76.8</v>
      </c>
      <c r="F1751" s="1581">
        <f>+E1751*B1751</f>
        <v>460.79999999999995</v>
      </c>
      <c r="G1751" s="686"/>
      <c r="H1751" s="686"/>
      <c r="I1751" s="686"/>
      <c r="J1751" s="1768"/>
      <c r="K1751" s="684">
        <f t="shared" si="1581"/>
        <v>1</v>
      </c>
      <c r="L1751" s="708">
        <v>1</v>
      </c>
      <c r="M1751" s="709">
        <f t="shared" si="1576"/>
        <v>6</v>
      </c>
      <c r="N1751" s="362" t="str">
        <f t="shared" ref="N1751:N1811" si="1582">IF(O1751&lt;&gt;"",K1751*L1751*M1751,"")</f>
        <v/>
      </c>
      <c r="O1751" s="1763" t="str">
        <f t="shared" ref="O1751:O1811" si="1583">IF(D1751&lt;&gt;"",IF(VLOOKUP(D1751,base_datos,7,FALSE)&lt;&gt;"",VLOOKUP(D1751,base_datos,7,FALSE),""),"")</f>
        <v/>
      </c>
      <c r="P1751" s="1764" t="str">
        <f t="shared" ref="P1751:P1811" si="1584">IF(O1751&lt;&gt;"",VLOOKUP(D1751,base_datos,6,FALSE),"")</f>
        <v/>
      </c>
      <c r="Q1751" s="120" t="str">
        <f t="shared" ref="Q1751:Q1811" si="1585">IF(O1751&lt;&gt;"",D1751,"")</f>
        <v/>
      </c>
      <c r="R1751" s="185"/>
    </row>
    <row r="1752" spans="1:18" s="120" customFormat="1" ht="18" customHeight="1">
      <c r="A1752" s="691"/>
      <c r="B1752" s="1925"/>
      <c r="C1752" s="1926" t="s">
        <v>729</v>
      </c>
      <c r="D1752" s="1927"/>
      <c r="E1752" s="1891"/>
      <c r="F1752" s="1789"/>
      <c r="G1752" s="686"/>
      <c r="H1752" s="686"/>
      <c r="I1752" s="686"/>
      <c r="J1752" s="1768"/>
      <c r="K1752" s="684">
        <f t="shared" si="1581"/>
        <v>1</v>
      </c>
      <c r="L1752" s="708">
        <v>1</v>
      </c>
      <c r="M1752" s="709">
        <f t="shared" si="1576"/>
        <v>1</v>
      </c>
      <c r="N1752" s="362" t="str">
        <f t="shared" si="1582"/>
        <v/>
      </c>
      <c r="O1752" s="1763" t="str">
        <f t="shared" si="1583"/>
        <v/>
      </c>
      <c r="P1752" s="1764" t="str">
        <f t="shared" si="1584"/>
        <v/>
      </c>
      <c r="Q1752" s="120" t="str">
        <f t="shared" si="1585"/>
        <v/>
      </c>
    </row>
    <row r="1753" spans="1:18" s="120" customFormat="1" ht="18" customHeight="1">
      <c r="A1753" s="687"/>
      <c r="B1753" s="1781"/>
      <c r="C1753" s="1218" t="s">
        <v>3158</v>
      </c>
      <c r="D1753" s="1900"/>
      <c r="E1753" s="1791"/>
      <c r="F1753" s="1782"/>
      <c r="G1753" s="686"/>
      <c r="H1753" s="686"/>
      <c r="I1753" s="686"/>
      <c r="J1753" s="688"/>
      <c r="K1753" s="684">
        <f t="shared" si="1581"/>
        <v>1</v>
      </c>
      <c r="L1753" s="708">
        <v>1</v>
      </c>
      <c r="M1753" s="709">
        <f t="shared" si="1576"/>
        <v>1</v>
      </c>
      <c r="N1753" s="362" t="str">
        <f t="shared" si="1582"/>
        <v/>
      </c>
      <c r="O1753" s="1763" t="str">
        <f t="shared" si="1583"/>
        <v/>
      </c>
      <c r="P1753" s="1764" t="str">
        <f t="shared" si="1584"/>
        <v/>
      </c>
      <c r="Q1753" s="120" t="str">
        <f t="shared" si="1585"/>
        <v/>
      </c>
      <c r="R1753" s="185"/>
    </row>
    <row r="1754" spans="1:18" s="690" customFormat="1" ht="18" customHeight="1">
      <c r="A1754" s="687"/>
      <c r="B1754" s="1781">
        <v>1</v>
      </c>
      <c r="C1754" s="1420" t="str">
        <f>VLOOKUP(D1754,base_datos,6,FALSE)</f>
        <v>ITM Caja Moldeada 3x32A (reg.[0.7-1.0] In) - XT2N160-32A-3P-TMD - 65kA@230Vac, 36kA@415Vac - marca ABB.</v>
      </c>
      <c r="D1754" s="1901" t="s">
        <v>850</v>
      </c>
      <c r="E1754" s="1791">
        <f>VLOOKUP(D1754,base_datos,5,FALSE)</f>
        <v>207</v>
      </c>
      <c r="F1754" s="1782">
        <f>+E1754*B1754</f>
        <v>207</v>
      </c>
      <c r="G1754" s="1761"/>
      <c r="H1754" s="1761"/>
      <c r="I1754" s="1761"/>
      <c r="J1754" s="689"/>
      <c r="K1754" s="684">
        <f t="shared" si="1581"/>
        <v>1</v>
      </c>
      <c r="L1754" s="708">
        <v>1</v>
      </c>
      <c r="M1754" s="709">
        <f t="shared" si="1576"/>
        <v>1</v>
      </c>
      <c r="N1754" s="362">
        <f t="shared" si="1582"/>
        <v>1</v>
      </c>
      <c r="O1754" s="1763" t="str">
        <f t="shared" si="1583"/>
        <v>1SDA067013R1</v>
      </c>
      <c r="P1754" s="1764" t="str">
        <f t="shared" si="1584"/>
        <v>ITM Caja Moldeada 3x32A (reg.[0.7-1.0] In) - XT2N160-32A-3P-TMD - 65kA@230Vac, 36kA@415Vac - marca ABB.</v>
      </c>
      <c r="Q1754" s="120" t="str">
        <f t="shared" si="1585"/>
        <v>XT2N160-32A-3P-TMD</v>
      </c>
      <c r="R1754" s="185"/>
    </row>
    <row r="1755" spans="1:18" s="185" customFormat="1">
      <c r="A1755" s="687"/>
      <c r="B1755" s="714"/>
      <c r="C1755" s="313" t="s">
        <v>729</v>
      </c>
      <c r="D1755" s="173"/>
      <c r="E1755" s="1786"/>
      <c r="F1755" s="1787"/>
      <c r="G1755" s="710"/>
      <c r="H1755" s="710"/>
      <c r="I1755" s="710"/>
      <c r="J1755" s="711"/>
      <c r="K1755" s="684">
        <f t="shared" si="1581"/>
        <v>1</v>
      </c>
      <c r="L1755" s="708">
        <v>1</v>
      </c>
      <c r="M1755" s="709">
        <f>IF(B1755="",1,B1755)</f>
        <v>1</v>
      </c>
      <c r="N1755" s="362" t="str">
        <f t="shared" si="1582"/>
        <v/>
      </c>
      <c r="O1755" s="1763" t="str">
        <f t="shared" si="1583"/>
        <v/>
      </c>
      <c r="P1755" s="1764" t="str">
        <f t="shared" si="1584"/>
        <v/>
      </c>
      <c r="Q1755" s="120" t="str">
        <f t="shared" si="1585"/>
        <v/>
      </c>
    </row>
    <row r="1756" spans="1:18" s="315" customFormat="1">
      <c r="A1756" s="687"/>
      <c r="B1756" s="1932">
        <v>1</v>
      </c>
      <c r="C1756" s="1933" t="str">
        <f t="shared" ref="C1756" si="1586">VLOOKUP(D1756,base_datos,6,FALSE)</f>
        <v>2(Q) contacto conmutado de estado (NA/NC) + 1(SY) contacto por disparo de interruptor - XT1..XT4 - versión cableada - marca ABB.</v>
      </c>
      <c r="D1756" s="1790" t="s">
        <v>3244</v>
      </c>
      <c r="E1756" s="1939">
        <f t="shared" ref="E1756" si="1587">VLOOKUP(D1756,base_datos,5,FALSE)</f>
        <v>132.1</v>
      </c>
      <c r="F1756" s="1940">
        <f t="shared" ref="F1756" si="1588">+E1756*B1756</f>
        <v>132.1</v>
      </c>
      <c r="G1756" s="712"/>
      <c r="H1756" s="712"/>
      <c r="I1756" s="712"/>
      <c r="J1756" s="713"/>
      <c r="K1756" s="684">
        <f t="shared" si="1581"/>
        <v>1</v>
      </c>
      <c r="L1756" s="708">
        <v>1</v>
      </c>
      <c r="M1756" s="709">
        <f t="shared" ref="M1756" si="1589">IF(B1756="",1,B1756)</f>
        <v>1</v>
      </c>
      <c r="N1756" s="362">
        <f t="shared" si="1582"/>
        <v>1</v>
      </c>
      <c r="O1756" s="1763" t="str">
        <f t="shared" si="1583"/>
        <v>1SDA066433R1</v>
      </c>
      <c r="P1756" s="1764" t="str">
        <f t="shared" si="1584"/>
        <v>2(Q) contacto conmutado de estado (NA/NC) + 1(SY) contacto por disparo de interruptor - XT1..XT4 - versión cableada - marca ABB.</v>
      </c>
      <c r="Q1756" s="120" t="str">
        <f t="shared" si="1585"/>
        <v>2Q+1SY_XT1..XT4</v>
      </c>
    </row>
    <row r="1757" spans="1:18" s="185" customFormat="1">
      <c r="A1757" s="1771"/>
      <c r="B1757" s="714"/>
      <c r="C1757" s="313" t="s">
        <v>729</v>
      </c>
      <c r="D1757" s="173"/>
      <c r="E1757" s="1786"/>
      <c r="F1757" s="1787"/>
      <c r="G1757" s="710"/>
      <c r="H1757" s="710"/>
      <c r="I1757" s="710"/>
      <c r="J1757" s="711"/>
      <c r="K1757" s="684">
        <f t="shared" si="1581"/>
        <v>1</v>
      </c>
      <c r="L1757" s="708">
        <v>1</v>
      </c>
      <c r="M1757" s="709">
        <f>IF(B1757="",1,B1757)</f>
        <v>1</v>
      </c>
      <c r="N1757" s="362" t="str">
        <f t="shared" si="1582"/>
        <v/>
      </c>
      <c r="O1757" s="1763" t="str">
        <f t="shared" si="1583"/>
        <v/>
      </c>
      <c r="P1757" s="1764" t="str">
        <f t="shared" si="1584"/>
        <v/>
      </c>
      <c r="Q1757" s="120" t="str">
        <f t="shared" si="1585"/>
        <v/>
      </c>
    </row>
    <row r="1758" spans="1:18" s="1766" customFormat="1" ht="18" customHeight="1">
      <c r="A1758" s="687"/>
      <c r="B1758" s="1769"/>
      <c r="C1758" s="1770" t="s">
        <v>11663</v>
      </c>
      <c r="D1758" s="1901"/>
      <c r="E1758" s="1581"/>
      <c r="F1758" s="1581"/>
      <c r="G1758" s="1761"/>
      <c r="H1758" s="1761"/>
      <c r="I1758" s="1761"/>
      <c r="J1758" s="1762"/>
      <c r="K1758" s="684">
        <f t="shared" si="1581"/>
        <v>1</v>
      </c>
      <c r="L1758" s="708">
        <v>1</v>
      </c>
      <c r="M1758" s="709">
        <f t="shared" ref="M1758:M1769" si="1590">IF(B1758="",1,B1758)</f>
        <v>1</v>
      </c>
      <c r="N1758" s="362" t="str">
        <f t="shared" si="1582"/>
        <v/>
      </c>
      <c r="O1758" s="1763" t="str">
        <f t="shared" si="1583"/>
        <v/>
      </c>
      <c r="P1758" s="1764" t="str">
        <f t="shared" si="1584"/>
        <v/>
      </c>
      <c r="Q1758" s="120" t="str">
        <f t="shared" si="1585"/>
        <v/>
      </c>
      <c r="R1758" s="1765"/>
    </row>
    <row r="1759" spans="1:18" s="1766" customFormat="1" ht="18" customHeight="1">
      <c r="A1759" s="687"/>
      <c r="B1759" s="1760">
        <v>1</v>
      </c>
      <c r="C1759" s="1892" t="str">
        <f t="shared" ref="C1759:C1763" si="1591">VLOOKUP(D1759,base_datos,6,FALSE)</f>
        <v>Analizador de Redes DIRIS-A30 - precisión (V, I) 0.2%, precisión de energía activa / reactiva: clase 0,5S / clase 2 - marca SOCOMEC.</v>
      </c>
      <c r="D1759" s="1898" t="s">
        <v>12164</v>
      </c>
      <c r="E1759" s="1581">
        <f t="shared" ref="E1759:E1763" si="1592">VLOOKUP(D1759,base_datos,5,FALSE)</f>
        <v>633.64</v>
      </c>
      <c r="F1759" s="1581">
        <f t="shared" ref="F1759:F1763" si="1593">+E1759*B1759</f>
        <v>633.64</v>
      </c>
      <c r="G1759" s="1761"/>
      <c r="H1759" s="1761"/>
      <c r="I1759" s="1761"/>
      <c r="J1759" s="1762"/>
      <c r="K1759" s="684">
        <f t="shared" si="1581"/>
        <v>1</v>
      </c>
      <c r="L1759" s="708">
        <v>1</v>
      </c>
      <c r="M1759" s="709">
        <f t="shared" si="1590"/>
        <v>1</v>
      </c>
      <c r="N1759" s="362">
        <f t="shared" si="1582"/>
        <v>1</v>
      </c>
      <c r="O1759" s="1763" t="str">
        <f t="shared" si="1583"/>
        <v>4825 0403</v>
      </c>
      <c r="P1759" s="1764" t="str">
        <f t="shared" si="1584"/>
        <v>Analizador de Redes DIRIS-A30 - precisión (V, I) 0.2%, precisión de energía activa / reactiva: clase 0,5S / clase 2 - marca SOCOMEC.</v>
      </c>
      <c r="Q1759" s="120" t="str">
        <f t="shared" si="1585"/>
        <v>DIRIS-A30</v>
      </c>
      <c r="R1759" s="1765"/>
    </row>
    <row r="1760" spans="1:18" s="1766" customFormat="1" ht="18" customHeight="1">
      <c r="A1760" s="687"/>
      <c r="B1760" s="1760">
        <v>1</v>
      </c>
      <c r="C1760" s="1990" t="str">
        <f t="shared" si="1591"/>
        <v>Módulo de comunicación RS 485 MODBUS, para Analizador de Red, DIRIS-A30, marca SOCOMEC.</v>
      </c>
      <c r="D1760" s="144" t="s">
        <v>12166</v>
      </c>
      <c r="E1760" s="1581">
        <f t="shared" si="1592"/>
        <v>115.64</v>
      </c>
      <c r="F1760" s="1581">
        <f t="shared" si="1593"/>
        <v>115.64</v>
      </c>
      <c r="G1760" s="1761"/>
      <c r="H1760" s="1761"/>
      <c r="I1760" s="1761"/>
      <c r="J1760" s="1762"/>
      <c r="K1760" s="684">
        <f t="shared" si="1581"/>
        <v>1</v>
      </c>
      <c r="L1760" s="708">
        <v>1</v>
      </c>
      <c r="M1760" s="709">
        <f t="shared" si="1590"/>
        <v>1</v>
      </c>
      <c r="N1760" s="362">
        <f t="shared" si="1582"/>
        <v>1</v>
      </c>
      <c r="O1760" s="1763" t="str">
        <f t="shared" si="1583"/>
        <v>4825 0092</v>
      </c>
      <c r="P1760" s="1764" t="str">
        <f t="shared" si="1584"/>
        <v>Módulo de comunicación RS 485 MODBUS, para Analizador de Red, DIRIS-A30, marca SOCOMEC.</v>
      </c>
      <c r="Q1760" s="120" t="str">
        <f t="shared" si="1585"/>
        <v>DIRIS-A30/Com</v>
      </c>
      <c r="R1760" s="1765"/>
    </row>
    <row r="1761" spans="1:20" s="1766" customFormat="1" ht="18" customHeight="1">
      <c r="A1761" s="687"/>
      <c r="B1761" s="1760">
        <f>3*B1759</f>
        <v>3</v>
      </c>
      <c r="C1761" s="1892" t="str">
        <f t="shared" si="1591"/>
        <v>Transformador de corriente de 50/5A</v>
      </c>
      <c r="D1761" s="1899" t="s">
        <v>8260</v>
      </c>
      <c r="E1761" s="1581">
        <f t="shared" si="1592"/>
        <v>65</v>
      </c>
      <c r="F1761" s="1581">
        <f t="shared" si="1593"/>
        <v>195</v>
      </c>
      <c r="G1761" s="1761"/>
      <c r="H1761" s="1761"/>
      <c r="I1761" s="1761"/>
      <c r="J1761" s="1762"/>
      <c r="K1761" s="684">
        <f t="shared" si="1581"/>
        <v>1</v>
      </c>
      <c r="L1761" s="708">
        <v>1</v>
      </c>
      <c r="M1761" s="709">
        <f t="shared" si="1590"/>
        <v>3</v>
      </c>
      <c r="N1761" s="362" t="str">
        <f t="shared" si="1582"/>
        <v/>
      </c>
      <c r="O1761" s="1763" t="str">
        <f t="shared" si="1583"/>
        <v/>
      </c>
      <c r="P1761" s="1764" t="str">
        <f t="shared" si="1584"/>
        <v/>
      </c>
      <c r="Q1761" s="120" t="str">
        <f t="shared" si="1585"/>
        <v/>
      </c>
      <c r="R1761" s="1765"/>
    </row>
    <row r="1762" spans="1:20" s="1766" customFormat="1" ht="18" customHeight="1">
      <c r="A1762" s="687"/>
      <c r="B1762" s="1760">
        <f>5*B1759</f>
        <v>5</v>
      </c>
      <c r="C1762" s="1892" t="str">
        <f t="shared" si="1591"/>
        <v>Base portafusibles + Fusibles de protección para control.</v>
      </c>
      <c r="D1762" s="1899" t="s">
        <v>453</v>
      </c>
      <c r="E1762" s="1581">
        <f t="shared" si="1592"/>
        <v>8.1750000000000007</v>
      </c>
      <c r="F1762" s="1581">
        <f t="shared" si="1593"/>
        <v>40.875</v>
      </c>
      <c r="G1762" s="1761"/>
      <c r="H1762" s="1761"/>
      <c r="I1762" s="1761"/>
      <c r="J1762" s="1762"/>
      <c r="K1762" s="684">
        <f t="shared" si="1581"/>
        <v>1</v>
      </c>
      <c r="L1762" s="708">
        <v>1</v>
      </c>
      <c r="M1762" s="709">
        <f t="shared" si="1590"/>
        <v>5</v>
      </c>
      <c r="N1762" s="362" t="str">
        <f t="shared" si="1582"/>
        <v/>
      </c>
      <c r="O1762" s="1763" t="str">
        <f t="shared" si="1583"/>
        <v/>
      </c>
      <c r="P1762" s="1764" t="str">
        <f t="shared" si="1584"/>
        <v/>
      </c>
      <c r="Q1762" s="120" t="str">
        <f t="shared" si="1585"/>
        <v/>
      </c>
      <c r="R1762" s="1765"/>
    </row>
    <row r="1763" spans="1:20" s="1766" customFormat="1" ht="18" customHeight="1">
      <c r="A1763" s="1771"/>
      <c r="B1763" s="1760">
        <f>6*B1759</f>
        <v>6</v>
      </c>
      <c r="C1763" s="1892" t="str">
        <f t="shared" si="1591"/>
        <v>Bornes seccionables de corriente.</v>
      </c>
      <c r="D1763" s="1899" t="s">
        <v>435</v>
      </c>
      <c r="E1763" s="1581">
        <f t="shared" si="1592"/>
        <v>12</v>
      </c>
      <c r="F1763" s="1581">
        <f t="shared" si="1593"/>
        <v>72</v>
      </c>
      <c r="G1763" s="1761"/>
      <c r="H1763" s="1761"/>
      <c r="I1763" s="1761"/>
      <c r="J1763" s="1762"/>
      <c r="K1763" s="684">
        <f t="shared" si="1581"/>
        <v>1</v>
      </c>
      <c r="L1763" s="708">
        <v>1</v>
      </c>
      <c r="M1763" s="709">
        <f t="shared" si="1590"/>
        <v>6</v>
      </c>
      <c r="N1763" s="362" t="str">
        <f t="shared" si="1582"/>
        <v/>
      </c>
      <c r="O1763" s="1763" t="str">
        <f t="shared" si="1583"/>
        <v/>
      </c>
      <c r="P1763" s="1764" t="str">
        <f t="shared" si="1584"/>
        <v/>
      </c>
      <c r="Q1763" s="120" t="str">
        <f t="shared" si="1585"/>
        <v/>
      </c>
      <c r="R1763" s="1765"/>
    </row>
    <row r="1764" spans="1:20" s="185" customFormat="1" ht="18" customHeight="1">
      <c r="A1764" s="693"/>
      <c r="B1764" s="714"/>
      <c r="C1764" s="1893" t="s">
        <v>729</v>
      </c>
      <c r="D1764" s="173"/>
      <c r="E1764" s="1581"/>
      <c r="F1764" s="1581"/>
      <c r="G1764" s="710"/>
      <c r="H1764" s="710"/>
      <c r="I1764" s="710"/>
      <c r="J1764" s="711"/>
      <c r="K1764" s="684">
        <f t="shared" si="1581"/>
        <v>1</v>
      </c>
      <c r="L1764" s="708">
        <v>1</v>
      </c>
      <c r="M1764" s="709">
        <f t="shared" si="1590"/>
        <v>1</v>
      </c>
      <c r="N1764" s="362" t="str">
        <f t="shared" si="1582"/>
        <v/>
      </c>
      <c r="O1764" s="1763" t="str">
        <f t="shared" si="1583"/>
        <v/>
      </c>
      <c r="P1764" s="1764" t="str">
        <f t="shared" si="1584"/>
        <v/>
      </c>
      <c r="Q1764" s="120" t="str">
        <f t="shared" si="1585"/>
        <v/>
      </c>
      <c r="R1764" s="1765"/>
    </row>
    <row r="1765" spans="1:20" s="690" customFormat="1" ht="18" customHeight="1">
      <c r="A1765" s="1767"/>
      <c r="B1765" s="1851"/>
      <c r="C1765" s="1894" t="s">
        <v>3377</v>
      </c>
      <c r="D1765" s="1582"/>
      <c r="E1765" s="1780"/>
      <c r="F1765" s="1782"/>
      <c r="G1765" s="1761"/>
      <c r="H1765" s="1761"/>
      <c r="I1765" s="1761"/>
      <c r="J1765" s="689"/>
      <c r="K1765" s="684">
        <f t="shared" si="1581"/>
        <v>1</v>
      </c>
      <c r="L1765" s="708">
        <v>1</v>
      </c>
      <c r="M1765" s="709">
        <f t="shared" si="1590"/>
        <v>1</v>
      </c>
      <c r="N1765" s="362" t="str">
        <f t="shared" si="1582"/>
        <v/>
      </c>
      <c r="O1765" s="1763" t="str">
        <f t="shared" si="1583"/>
        <v/>
      </c>
      <c r="P1765" s="1764" t="str">
        <f t="shared" si="1584"/>
        <v/>
      </c>
      <c r="Q1765" s="120" t="str">
        <f t="shared" si="1585"/>
        <v/>
      </c>
      <c r="R1765" s="185"/>
    </row>
    <row r="1766" spans="1:20" s="690" customFormat="1" ht="18" customHeight="1">
      <c r="A1766" s="1767"/>
      <c r="B1766" s="1781">
        <v>2</v>
      </c>
      <c r="C1766" s="1420" t="str">
        <f t="shared" ref="C1766:C1769" si="1594">VLOOKUP(D1766,base_datos,6,FALSE)</f>
        <v>ITM Caja Moldeada 3x20A (reg.[0.7-1.0] In) - XT2N160-20A-3P-TMD - 65kA@230Vac, 36kA@415Vac - marca ABB.</v>
      </c>
      <c r="D1766" s="1901" t="s">
        <v>1331</v>
      </c>
      <c r="E1766" s="1791">
        <f>VLOOKUP(D1766,base_datos,5,FALSE)</f>
        <v>201.76999999999998</v>
      </c>
      <c r="F1766" s="1782">
        <f t="shared" ref="F1766:F1769" si="1595">+E1766*B1766</f>
        <v>403.53999999999996</v>
      </c>
      <c r="G1766" s="1951"/>
      <c r="H1766" s="1761"/>
      <c r="I1766" s="1761"/>
      <c r="J1766" s="1783"/>
      <c r="K1766" s="684">
        <f t="shared" si="1581"/>
        <v>1</v>
      </c>
      <c r="L1766" s="708">
        <v>1</v>
      </c>
      <c r="M1766" s="709">
        <f t="shared" si="1590"/>
        <v>2</v>
      </c>
      <c r="N1766" s="362">
        <f t="shared" si="1582"/>
        <v>2</v>
      </c>
      <c r="O1766" s="1763" t="str">
        <f t="shared" si="1583"/>
        <v>1SDA067011R1</v>
      </c>
      <c r="P1766" s="1764" t="str">
        <f t="shared" si="1584"/>
        <v>ITM Caja Moldeada 3x20A (reg.[0.7-1.0] In) - XT2N160-20A-3P-TMD - 65kA@230Vac, 36kA@415Vac - marca ABB.</v>
      </c>
      <c r="Q1766" s="120" t="str">
        <f t="shared" si="1585"/>
        <v>XT2N160-20A-3P-TMD</v>
      </c>
      <c r="R1766" s="185"/>
    </row>
    <row r="1767" spans="1:20" s="690" customFormat="1" ht="18" customHeight="1">
      <c r="A1767" s="1767"/>
      <c r="B1767" s="1781">
        <v>3</v>
      </c>
      <c r="C1767" s="1420" t="str">
        <f t="shared" si="1594"/>
        <v>ITM Caja Moldeada 3x16A (reg.[0.7-1.0] In) - XT2N160-16A-3P-TMD - 65kA@230Vac, 36kA@415Vac - marca ABB.</v>
      </c>
      <c r="D1767" s="1901" t="s">
        <v>844</v>
      </c>
      <c r="E1767" s="1791">
        <f>VLOOKUP(D1767,base_datos,5,FALSE)</f>
        <v>201.76999999999998</v>
      </c>
      <c r="F1767" s="1782">
        <f t="shared" si="1595"/>
        <v>605.30999999999995</v>
      </c>
      <c r="G1767" s="1951"/>
      <c r="H1767" s="1761"/>
      <c r="I1767" s="1761"/>
      <c r="J1767" s="1783"/>
      <c r="K1767" s="684">
        <f t="shared" si="1581"/>
        <v>1</v>
      </c>
      <c r="L1767" s="708">
        <v>1</v>
      </c>
      <c r="M1767" s="709">
        <f t="shared" si="1590"/>
        <v>3</v>
      </c>
      <c r="N1767" s="362">
        <f t="shared" si="1582"/>
        <v>3</v>
      </c>
      <c r="O1767" s="1763" t="str">
        <f t="shared" si="1583"/>
        <v>1SDA067010R1</v>
      </c>
      <c r="P1767" s="1764" t="str">
        <f t="shared" si="1584"/>
        <v>ITM Caja Moldeada 3x16A (reg.[0.7-1.0] In) - XT2N160-16A-3P-TMD - 65kA@230Vac, 36kA@415Vac - marca ABB.</v>
      </c>
      <c r="Q1767" s="120" t="str">
        <f t="shared" si="1585"/>
        <v>XT2N160-16A-3P-TMD</v>
      </c>
      <c r="R1767" s="185"/>
    </row>
    <row r="1768" spans="1:20" s="690" customFormat="1" ht="18" customHeight="1">
      <c r="A1768" s="1767"/>
      <c r="B1768" s="2206">
        <v>1</v>
      </c>
      <c r="C1768" s="2207" t="s">
        <v>13026</v>
      </c>
      <c r="D1768" s="2208"/>
      <c r="E1768" s="2209">
        <v>212.15</v>
      </c>
      <c r="F1768" s="2210">
        <f t="shared" si="1595"/>
        <v>212.15</v>
      </c>
      <c r="G1768" s="1761"/>
      <c r="H1768" s="1761"/>
      <c r="I1768" s="1761"/>
      <c r="J1768" s="1783"/>
      <c r="K1768" s="684">
        <f t="shared" si="1581"/>
        <v>1</v>
      </c>
      <c r="L1768" s="708">
        <v>1</v>
      </c>
      <c r="M1768" s="709">
        <f t="shared" si="1590"/>
        <v>1</v>
      </c>
      <c r="N1768" s="362" t="str">
        <f t="shared" si="1582"/>
        <v/>
      </c>
      <c r="O1768" s="1763" t="str">
        <f t="shared" si="1583"/>
        <v/>
      </c>
      <c r="P1768" s="1764" t="str">
        <f t="shared" si="1584"/>
        <v/>
      </c>
      <c r="Q1768" s="120" t="str">
        <f t="shared" si="1585"/>
        <v/>
      </c>
      <c r="R1768" s="185"/>
    </row>
    <row r="1769" spans="1:20" s="690" customFormat="1" ht="18" customHeight="1">
      <c r="A1769" s="1767"/>
      <c r="B1769" s="1781">
        <v>2</v>
      </c>
      <c r="C1769" s="1420" t="str">
        <f t="shared" si="1594"/>
        <v>Espacio de reserva trifásica - Caja moldeada.</v>
      </c>
      <c r="D1769" s="1901" t="s">
        <v>2932</v>
      </c>
      <c r="E1769" s="1791">
        <f>VLOOKUP(D1769,base_datos,5,FALSE)</f>
        <v>15</v>
      </c>
      <c r="F1769" s="1782">
        <f t="shared" si="1595"/>
        <v>30</v>
      </c>
      <c r="G1769" s="1761"/>
      <c r="H1769" s="1761"/>
      <c r="I1769" s="1761"/>
      <c r="J1769" s="1783"/>
      <c r="K1769" s="684">
        <f t="shared" si="1581"/>
        <v>1</v>
      </c>
      <c r="L1769" s="708">
        <v>1</v>
      </c>
      <c r="M1769" s="709">
        <f t="shared" si="1590"/>
        <v>2</v>
      </c>
      <c r="N1769" s="362" t="str">
        <f t="shared" si="1582"/>
        <v/>
      </c>
      <c r="O1769" s="1763" t="str">
        <f t="shared" si="1583"/>
        <v/>
      </c>
      <c r="P1769" s="1764" t="str">
        <f t="shared" si="1584"/>
        <v/>
      </c>
      <c r="Q1769" s="120" t="str">
        <f t="shared" si="1585"/>
        <v/>
      </c>
      <c r="R1769" s="185"/>
    </row>
    <row r="1770" spans="1:20" s="185" customFormat="1">
      <c r="A1770" s="692"/>
      <c r="B1770" s="714"/>
      <c r="C1770" s="1893" t="s">
        <v>729</v>
      </c>
      <c r="D1770" s="1941"/>
      <c r="E1770" s="1786"/>
      <c r="F1770" s="1787"/>
      <c r="G1770" s="710"/>
      <c r="H1770" s="710"/>
      <c r="I1770" s="710"/>
      <c r="J1770" s="711"/>
      <c r="K1770" s="684">
        <f t="shared" si="1581"/>
        <v>1</v>
      </c>
      <c r="L1770" s="708">
        <v>1</v>
      </c>
      <c r="M1770" s="709">
        <f>IF(B1770="",1,B1770)</f>
        <v>1</v>
      </c>
      <c r="N1770" s="362" t="str">
        <f t="shared" si="1582"/>
        <v/>
      </c>
      <c r="O1770" s="1763" t="str">
        <f t="shared" si="1583"/>
        <v/>
      </c>
      <c r="P1770" s="1764" t="str">
        <f t="shared" si="1584"/>
        <v/>
      </c>
      <c r="Q1770" s="120" t="str">
        <f t="shared" si="1585"/>
        <v/>
      </c>
    </row>
    <row r="1771" spans="1:20" s="315" customFormat="1">
      <c r="A1771" s="1785"/>
      <c r="B1771" s="355"/>
      <c r="C1771" s="1944" t="s">
        <v>3063</v>
      </c>
      <c r="D1771" s="1941"/>
      <c r="E1771" s="1786"/>
      <c r="F1771" s="1787"/>
      <c r="G1771" s="712"/>
      <c r="H1771" s="712"/>
      <c r="I1771" s="712"/>
      <c r="J1771" s="713"/>
      <c r="K1771" s="684">
        <f t="shared" si="1581"/>
        <v>1</v>
      </c>
      <c r="L1771" s="708">
        <v>1</v>
      </c>
      <c r="M1771" s="709">
        <f>IF(B1771="",1,B1771)</f>
        <v>1</v>
      </c>
      <c r="N1771" s="362" t="str">
        <f t="shared" si="1582"/>
        <v/>
      </c>
      <c r="O1771" s="1763" t="str">
        <f t="shared" si="1583"/>
        <v/>
      </c>
      <c r="P1771" s="1764" t="str">
        <f t="shared" si="1584"/>
        <v/>
      </c>
      <c r="Q1771" s="120" t="str">
        <f t="shared" si="1585"/>
        <v/>
      </c>
    </row>
    <row r="1772" spans="1:20" s="690" customFormat="1" ht="18" customHeight="1">
      <c r="A1772" s="691"/>
      <c r="B1772" s="1781">
        <v>1</v>
      </c>
      <c r="C1772" s="1420" t="str">
        <f>VLOOKUP(D1772,base_datos,6,FALSE)</f>
        <v>ITM Caja Moldeada 3x32A (reg.[0.7-1.0] In) - XT2N160-32A-3P-TMD - 65kA@230Vac, 36kA@415Vac - marca ABB.</v>
      </c>
      <c r="D1772" s="1901" t="s">
        <v>850</v>
      </c>
      <c r="E1772" s="1791">
        <f>VLOOKUP(D1772,base_datos,5,FALSE)</f>
        <v>207</v>
      </c>
      <c r="F1772" s="1782">
        <f t="shared" ref="F1772:F1773" si="1596">+E1772*B1772</f>
        <v>207</v>
      </c>
      <c r="G1772" s="1761"/>
      <c r="H1772" s="1761"/>
      <c r="I1772" s="1761"/>
      <c r="J1772" s="1783"/>
      <c r="K1772" s="684">
        <f t="shared" si="1581"/>
        <v>1</v>
      </c>
      <c r="L1772" s="708">
        <v>1</v>
      </c>
      <c r="M1772" s="709">
        <f t="shared" ref="M1772:M1797" si="1597">IF(B1772="",1,B1772)</f>
        <v>1</v>
      </c>
      <c r="N1772" s="362">
        <f t="shared" si="1582"/>
        <v>1</v>
      </c>
      <c r="O1772" s="1763" t="str">
        <f t="shared" si="1583"/>
        <v>1SDA067013R1</v>
      </c>
      <c r="P1772" s="1764" t="str">
        <f t="shared" si="1584"/>
        <v>ITM Caja Moldeada 3x32A (reg.[0.7-1.0] In) - XT2N160-32A-3P-TMD - 65kA@230Vac, 36kA@415Vac - marca ABB.</v>
      </c>
      <c r="Q1772" s="120" t="str">
        <f t="shared" si="1585"/>
        <v>XT2N160-32A-3P-TMD</v>
      </c>
      <c r="R1772" s="185"/>
    </row>
    <row r="1773" spans="1:20" s="690" customFormat="1" ht="18" customHeight="1">
      <c r="A1773" s="691"/>
      <c r="B1773" s="1781">
        <v>1</v>
      </c>
      <c r="C1773" s="1420" t="str">
        <f>VLOOKUP(D1773,base_datos,6,FALSE)</f>
        <v>Supresor contra sobretensiones (Tipo 1, UL 1449) - OVRHT3C504803D - I_max=50kA por fase, Un=480V,  MCOV=640V (L-G), VPR=2.5kV (L-G) - marca ABB.</v>
      </c>
      <c r="D1773" s="1947" t="s">
        <v>12357</v>
      </c>
      <c r="E1773" s="1948">
        <f>VLOOKUP(D1773,base_datos,5,FALSE)</f>
        <v>386.44</v>
      </c>
      <c r="F1773" s="1949">
        <f t="shared" si="1596"/>
        <v>386.44</v>
      </c>
      <c r="G1773" s="1950"/>
      <c r="H1773" s="1761"/>
      <c r="I1773" s="1761"/>
      <c r="J1773" s="1783"/>
      <c r="K1773" s="684">
        <f t="shared" si="1581"/>
        <v>1</v>
      </c>
      <c r="L1773" s="708">
        <v>1</v>
      </c>
      <c r="M1773" s="709">
        <f t="shared" si="1597"/>
        <v>1</v>
      </c>
      <c r="N1773" s="362">
        <f t="shared" si="1582"/>
        <v>1</v>
      </c>
      <c r="O1773" s="1763" t="str">
        <f t="shared" si="1583"/>
        <v>2CJC605480D0000</v>
      </c>
      <c r="P1773" s="1764" t="str">
        <f t="shared" si="1584"/>
        <v>Supresor contra sobretensiones (Tipo 1, UL 1449) - OVRHT3C504803D - I_max=50kA por fase, Un=480V,  MCOV=640V (L-G), VPR=2.5kV (L-G) - marca ABB.</v>
      </c>
      <c r="Q1773" s="120" t="str">
        <f t="shared" si="1585"/>
        <v>OVRHT3C504803D</v>
      </c>
      <c r="R1773" s="185"/>
    </row>
    <row r="1774" spans="1:20" s="185" customFormat="1" ht="18" customHeight="1">
      <c r="A1774" s="1785"/>
      <c r="B1774" s="714"/>
      <c r="C1774" s="1893" t="s">
        <v>729</v>
      </c>
      <c r="D1774" s="173"/>
      <c r="E1774" s="1786"/>
      <c r="F1774" s="1787"/>
      <c r="G1774" s="710"/>
      <c r="H1774" s="710"/>
      <c r="I1774" s="710"/>
      <c r="J1774" s="711"/>
      <c r="K1774" s="684">
        <f t="shared" si="1581"/>
        <v>1</v>
      </c>
      <c r="L1774" s="708">
        <v>1</v>
      </c>
      <c r="M1774" s="709">
        <f t="shared" ref="M1774" si="1598">IF(B1774="",1,B1774)</f>
        <v>1</v>
      </c>
      <c r="N1774" s="362" t="str">
        <f t="shared" ref="N1774" si="1599">IF(O1774&lt;&gt;"",K1774*L1774*M1774,"")</f>
        <v/>
      </c>
      <c r="O1774" s="1763" t="str">
        <f t="shared" ref="O1774" si="1600">IF(D1774&lt;&gt;"",IF(VLOOKUP(D1774,base_datos,7,FALSE)&lt;&gt;"",VLOOKUP(D1774,base_datos,7,FALSE),""),"")</f>
        <v/>
      </c>
      <c r="P1774" s="1764" t="str">
        <f t="shared" ref="P1774" si="1601">IF(O1774&lt;&gt;"",VLOOKUP(D1774,base_datos,6,FALSE),"")</f>
        <v/>
      </c>
      <c r="Q1774" s="120" t="str">
        <f t="shared" ref="Q1774" si="1602">IF(O1774&lt;&gt;"",D1774,"")</f>
        <v/>
      </c>
    </row>
    <row r="1775" spans="1:20" s="315" customFormat="1" ht="12.75" customHeight="1">
      <c r="A1775" s="2271"/>
      <c r="B1775" s="2272">
        <v>1</v>
      </c>
      <c r="C1775" s="2281" t="s">
        <v>13366</v>
      </c>
      <c r="D1775" s="1935"/>
      <c r="E1775" s="2287"/>
      <c r="F1775" s="2257">
        <f>+SUM(F1776:F1779)*(B1775-1)</f>
        <v>0</v>
      </c>
      <c r="G1775" s="712"/>
      <c r="H1775" s="712"/>
      <c r="I1775" s="712"/>
      <c r="J1775" s="713"/>
      <c r="K1775" s="684">
        <f>+K1773</f>
        <v>1</v>
      </c>
      <c r="L1775" s="2258">
        <v>1</v>
      </c>
      <c r="M1775" s="120">
        <f t="shared" si="1597"/>
        <v>1</v>
      </c>
      <c r="N1775" s="112" t="str">
        <f t="shared" si="1582"/>
        <v/>
      </c>
      <c r="O1775" s="112" t="str">
        <f t="shared" si="1583"/>
        <v/>
      </c>
      <c r="P1775" s="120" t="str">
        <f t="shared" si="1584"/>
        <v/>
      </c>
      <c r="Q1775" s="120" t="str">
        <f t="shared" si="1585"/>
        <v/>
      </c>
      <c r="S1775" s="112" t="str">
        <f t="shared" ref="S1775:S1779" si="1603">IF(O1775&lt;&gt;"",VLOOKUP(D1775,base_datos,9,FALSE),"")</f>
        <v/>
      </c>
      <c r="T1775" s="2128"/>
    </row>
    <row r="1776" spans="1:20" s="690" customFormat="1" ht="18" customHeight="1">
      <c r="A1776" s="2273"/>
      <c r="B1776" s="1781">
        <v>1</v>
      </c>
      <c r="C1776" s="1420" t="str">
        <f t="shared" ref="C1776:C1779" si="1604">VLOOKUP(D1776,base_datos,6,FALSE)</f>
        <v>Calefactor resistivo 60W, modelo RACM - marca FANDIS.</v>
      </c>
      <c r="D1776" s="1899" t="s">
        <v>3298</v>
      </c>
      <c r="E1776" s="2288">
        <f t="shared" ref="E1776" si="1605">VLOOKUP(D1776,base_datos,5,FALSE)</f>
        <v>127.1</v>
      </c>
      <c r="F1776" s="1782">
        <f>+E1776*B1776</f>
        <v>127.1</v>
      </c>
      <c r="G1776" s="1761"/>
      <c r="H1776" s="1761"/>
      <c r="I1776" s="1761"/>
      <c r="J1776" s="689"/>
      <c r="K1776" s="684">
        <f t="shared" ref="K1776:K1779" si="1606">+K1775</f>
        <v>1</v>
      </c>
      <c r="L1776" s="2258">
        <v>1</v>
      </c>
      <c r="M1776" s="120">
        <f t="shared" si="1597"/>
        <v>1</v>
      </c>
      <c r="N1776" s="112">
        <f t="shared" si="1582"/>
        <v>1</v>
      </c>
      <c r="O1776" s="112" t="str">
        <f t="shared" si="1583"/>
        <v>RACM-60</v>
      </c>
      <c r="P1776" s="120" t="str">
        <f t="shared" si="1584"/>
        <v>Calefactor resistivo 60W, modelo RACM - marca FANDIS.</v>
      </c>
      <c r="Q1776" s="120" t="str">
        <f t="shared" si="1585"/>
        <v>CALEFACT-60W_FAND</v>
      </c>
      <c r="S1776" s="112" t="str">
        <f t="shared" si="1603"/>
        <v>FANDIS</v>
      </c>
      <c r="T1776" s="1765"/>
    </row>
    <row r="1777" spans="1:20" s="690" customFormat="1" ht="18" customHeight="1">
      <c r="A1777" s="2273"/>
      <c r="B1777" s="1781">
        <v>1</v>
      </c>
      <c r="C1777" s="1420" t="str">
        <f t="shared" si="1604"/>
        <v>Termostato para ventilación - 1NA - 230V - marca FANDIS.</v>
      </c>
      <c r="D1777" s="1899" t="s">
        <v>3294</v>
      </c>
      <c r="E1777" s="2288">
        <f t="shared" ref="E1777:E1779" si="1607">VLOOKUP(D1777,base_datos,5,FALSE)</f>
        <v>41.58</v>
      </c>
      <c r="F1777" s="1782">
        <f>+E1777*B1777</f>
        <v>41.58</v>
      </c>
      <c r="G1777" s="1761"/>
      <c r="H1777" s="1761"/>
      <c r="I1777" s="1761"/>
      <c r="J1777" s="689"/>
      <c r="K1777" s="684">
        <f t="shared" si="1606"/>
        <v>1</v>
      </c>
      <c r="L1777" s="2258">
        <v>1</v>
      </c>
      <c r="M1777" s="120">
        <f t="shared" si="1597"/>
        <v>1</v>
      </c>
      <c r="N1777" s="112">
        <f t="shared" si="1582"/>
        <v>1</v>
      </c>
      <c r="O1777" s="112" t="str">
        <f t="shared" si="1583"/>
        <v>TRT-10A230V-NO</v>
      </c>
      <c r="P1777" s="120" t="str">
        <f t="shared" si="1584"/>
        <v>Termostato para ventilación - 1NA - 230V - marca FANDIS.</v>
      </c>
      <c r="Q1777" s="120" t="str">
        <f t="shared" si="1585"/>
        <v>TRT-1NA</v>
      </c>
      <c r="S1777" s="112" t="str">
        <f t="shared" si="1603"/>
        <v>FANDIS</v>
      </c>
      <c r="T1777" s="1765"/>
    </row>
    <row r="1778" spans="1:20" s="320" customFormat="1" ht="12.75" customHeight="1">
      <c r="A1778" s="2274"/>
      <c r="B1778" s="2275">
        <v>1</v>
      </c>
      <c r="C1778" s="2282" t="str">
        <f t="shared" si="1604"/>
        <v>Base portafusibles + Fusibles de protección para control.</v>
      </c>
      <c r="D1778" s="1579" t="s">
        <v>453</v>
      </c>
      <c r="E1778" s="2289">
        <f t="shared" si="1607"/>
        <v>8.1750000000000007</v>
      </c>
      <c r="F1778" s="2264">
        <f>+E1778*B1778</f>
        <v>8.1750000000000007</v>
      </c>
      <c r="G1778" s="2276"/>
      <c r="H1778" s="2276"/>
      <c r="I1778" s="2276"/>
      <c r="J1778" s="722"/>
      <c r="K1778" s="684">
        <f t="shared" si="1606"/>
        <v>1</v>
      </c>
      <c r="L1778" s="2258">
        <v>1</v>
      </c>
      <c r="M1778" s="120">
        <f t="shared" si="1597"/>
        <v>1</v>
      </c>
      <c r="N1778" s="112" t="str">
        <f t="shared" si="1582"/>
        <v/>
      </c>
      <c r="O1778" s="112" t="str">
        <f t="shared" si="1583"/>
        <v/>
      </c>
      <c r="P1778" s="120" t="str">
        <f t="shared" si="1584"/>
        <v/>
      </c>
      <c r="Q1778" s="120" t="str">
        <f t="shared" si="1585"/>
        <v/>
      </c>
      <c r="R1778" s="185"/>
      <c r="S1778" s="112" t="str">
        <f t="shared" si="1603"/>
        <v/>
      </c>
      <c r="T1778" s="709"/>
    </row>
    <row r="1779" spans="1:20" s="320" customFormat="1" ht="12.75" customHeight="1">
      <c r="A1779" s="2274"/>
      <c r="B1779" s="2277">
        <v>1</v>
      </c>
      <c r="C1779" s="2282" t="str">
        <f t="shared" si="1604"/>
        <v>Borne 4mm2.</v>
      </c>
      <c r="D1779" s="1579" t="s">
        <v>437</v>
      </c>
      <c r="E1779" s="2260">
        <f t="shared" si="1607"/>
        <v>2.5</v>
      </c>
      <c r="F1779" s="2260">
        <f>+E1779*B1779</f>
        <v>2.5</v>
      </c>
      <c r="G1779" s="2276"/>
      <c r="H1779" s="2276"/>
      <c r="I1779" s="2276"/>
      <c r="J1779" s="722"/>
      <c r="K1779" s="684">
        <f t="shared" si="1606"/>
        <v>1</v>
      </c>
      <c r="L1779" s="2258">
        <v>1</v>
      </c>
      <c r="M1779" s="120">
        <f t="shared" si="1597"/>
        <v>1</v>
      </c>
      <c r="N1779" s="112" t="str">
        <f t="shared" si="1582"/>
        <v/>
      </c>
      <c r="O1779" s="112" t="str">
        <f t="shared" si="1583"/>
        <v/>
      </c>
      <c r="P1779" s="120" t="str">
        <f t="shared" si="1584"/>
        <v/>
      </c>
      <c r="Q1779" s="120" t="str">
        <f t="shared" si="1585"/>
        <v/>
      </c>
      <c r="R1779" s="185"/>
      <c r="S1779" s="112" t="str">
        <f t="shared" si="1603"/>
        <v/>
      </c>
      <c r="T1779" s="709"/>
    </row>
    <row r="1780" spans="1:20" s="185" customFormat="1" ht="18" customHeight="1">
      <c r="A1780" s="1785"/>
      <c r="B1780" s="714"/>
      <c r="C1780" s="1893" t="s">
        <v>729</v>
      </c>
      <c r="D1780" s="173"/>
      <c r="E1780" s="1786"/>
      <c r="F1780" s="1787"/>
      <c r="G1780" s="710"/>
      <c r="H1780" s="710"/>
      <c r="I1780" s="710"/>
      <c r="J1780" s="711"/>
      <c r="K1780" s="684">
        <f t="shared" si="1581"/>
        <v>1</v>
      </c>
      <c r="L1780" s="708">
        <v>1</v>
      </c>
      <c r="M1780" s="709">
        <f t="shared" ref="M1780" si="1608">IF(B1780="",1,B1780)</f>
        <v>1</v>
      </c>
      <c r="N1780" s="362" t="str">
        <f t="shared" ref="N1780" si="1609">IF(O1780&lt;&gt;"",K1780*L1780*M1780,"")</f>
        <v/>
      </c>
      <c r="O1780" s="1763" t="str">
        <f t="shared" ref="O1780" si="1610">IF(D1780&lt;&gt;"",IF(VLOOKUP(D1780,base_datos,7,FALSE)&lt;&gt;"",VLOOKUP(D1780,base_datos,7,FALSE),""),"")</f>
        <v/>
      </c>
      <c r="P1780" s="1764" t="str">
        <f t="shared" ref="P1780" si="1611">IF(O1780&lt;&gt;"",VLOOKUP(D1780,base_datos,6,FALSE),"")</f>
        <v/>
      </c>
      <c r="Q1780" s="120" t="str">
        <f t="shared" ref="Q1780" si="1612">IF(O1780&lt;&gt;"",D1780,"")</f>
        <v/>
      </c>
    </row>
    <row r="1781" spans="1:20" s="1236" customFormat="1" ht="18" customHeight="1">
      <c r="A1781" s="1767"/>
      <c r="B1781" s="1853">
        <v>1</v>
      </c>
      <c r="C1781" s="1895" t="s">
        <v>12366</v>
      </c>
      <c r="D1781" s="1902"/>
      <c r="E1781" s="1792"/>
      <c r="F1781" s="1793"/>
      <c r="G1781" s="1784"/>
      <c r="H1781" s="1784"/>
      <c r="I1781" s="1784"/>
      <c r="J1781" s="1182"/>
      <c r="K1781" s="684">
        <f>+K1772</f>
        <v>1</v>
      </c>
      <c r="L1781" s="708">
        <v>1</v>
      </c>
      <c r="M1781" s="709">
        <f t="shared" si="1597"/>
        <v>1</v>
      </c>
      <c r="N1781" s="362" t="str">
        <f t="shared" si="1582"/>
        <v/>
      </c>
      <c r="O1781" s="1763" t="str">
        <f t="shared" si="1583"/>
        <v/>
      </c>
      <c r="P1781" s="1764" t="str">
        <f t="shared" si="1584"/>
        <v/>
      </c>
      <c r="Q1781" s="120" t="str">
        <f t="shared" si="1585"/>
        <v/>
      </c>
      <c r="R1781" s="185"/>
    </row>
    <row r="1782" spans="1:20" s="120" customFormat="1" ht="18" customHeight="1">
      <c r="A1782" s="687"/>
      <c r="B1782" s="1945">
        <v>2</v>
      </c>
      <c r="C1782" s="1848" t="str">
        <f>VLOOKUP(D1782,base_datos,6,FALSE)</f>
        <v>Transformador de tensión monofásico 480 / 240 Vac - 50VA.</v>
      </c>
      <c r="D1782" s="1898" t="s">
        <v>8587</v>
      </c>
      <c r="E1782" s="1581">
        <f>VLOOKUP(D1782,base_datos,5,FALSE)</f>
        <v>76.8</v>
      </c>
      <c r="F1782" s="1581">
        <f>+E1782*B1782</f>
        <v>153.6</v>
      </c>
      <c r="G1782" s="686"/>
      <c r="H1782" s="686"/>
      <c r="I1782" s="686"/>
      <c r="J1782" s="1768"/>
      <c r="K1782" s="684">
        <f>+K1773</f>
        <v>1</v>
      </c>
      <c r="L1782" s="708">
        <v>1</v>
      </c>
      <c r="M1782" s="709">
        <f t="shared" si="1597"/>
        <v>2</v>
      </c>
      <c r="N1782" s="362" t="str">
        <f t="shared" si="1582"/>
        <v/>
      </c>
      <c r="O1782" s="1763" t="str">
        <f t="shared" si="1583"/>
        <v/>
      </c>
      <c r="P1782" s="1764" t="str">
        <f t="shared" si="1584"/>
        <v/>
      </c>
      <c r="Q1782" s="120" t="str">
        <f t="shared" si="1585"/>
        <v/>
      </c>
      <c r="R1782" s="185"/>
    </row>
    <row r="1783" spans="1:20" s="120" customFormat="1" ht="18" customHeight="1">
      <c r="A1783" s="687"/>
      <c r="B1783" s="1945">
        <v>1</v>
      </c>
      <c r="C1783" s="1848" t="str">
        <f>VLOOKUP(D1783,base_datos,6,FALSE)</f>
        <v>Transformador de tensión monofásico 480 / 240 Vac - 200VA.</v>
      </c>
      <c r="D1783" s="1898" t="s">
        <v>5173</v>
      </c>
      <c r="E1783" s="1581">
        <f>VLOOKUP(D1783,base_datos,5,FALSE)</f>
        <v>89.5</v>
      </c>
      <c r="F1783" s="1581">
        <f>+E1783*B1783</f>
        <v>89.5</v>
      </c>
      <c r="G1783" s="686"/>
      <c r="H1783" s="686"/>
      <c r="I1783" s="686"/>
      <c r="J1783" s="1768"/>
      <c r="K1783" s="684">
        <f t="shared" si="1581"/>
        <v>1</v>
      </c>
      <c r="L1783" s="708">
        <v>1</v>
      </c>
      <c r="M1783" s="709">
        <f t="shared" si="1597"/>
        <v>1</v>
      </c>
      <c r="N1783" s="362" t="str">
        <f t="shared" si="1582"/>
        <v/>
      </c>
      <c r="O1783" s="1763" t="str">
        <f t="shared" si="1583"/>
        <v/>
      </c>
      <c r="P1783" s="1764" t="str">
        <f t="shared" si="1584"/>
        <v/>
      </c>
      <c r="Q1783" s="120" t="str">
        <f t="shared" si="1585"/>
        <v/>
      </c>
      <c r="R1783" s="185"/>
    </row>
    <row r="1784" spans="1:20" s="185" customFormat="1" ht="18" customHeight="1">
      <c r="A1784" s="1785"/>
      <c r="B1784" s="714"/>
      <c r="C1784" s="1893" t="s">
        <v>729</v>
      </c>
      <c r="D1784" s="173"/>
      <c r="E1784" s="1786"/>
      <c r="F1784" s="1787"/>
      <c r="G1784" s="710"/>
      <c r="H1784" s="710"/>
      <c r="I1784" s="710"/>
      <c r="J1784" s="711"/>
      <c r="K1784" s="684">
        <f t="shared" si="1581"/>
        <v>1</v>
      </c>
      <c r="L1784" s="708">
        <v>1</v>
      </c>
      <c r="M1784" s="709">
        <f t="shared" si="1597"/>
        <v>1</v>
      </c>
      <c r="N1784" s="362" t="str">
        <f t="shared" si="1582"/>
        <v/>
      </c>
      <c r="O1784" s="1763" t="str">
        <f t="shared" si="1583"/>
        <v/>
      </c>
      <c r="P1784" s="1764" t="str">
        <f t="shared" si="1584"/>
        <v/>
      </c>
      <c r="Q1784" s="120" t="str">
        <f t="shared" si="1585"/>
        <v/>
      </c>
    </row>
    <row r="1785" spans="1:20" s="1236" customFormat="1" ht="18" customHeight="1">
      <c r="A1785" s="1767"/>
      <c r="B1785" s="1853">
        <v>1</v>
      </c>
      <c r="C1785" s="1895" t="s">
        <v>12364</v>
      </c>
      <c r="D1785" s="1902"/>
      <c r="E1785" s="1792"/>
      <c r="F1785" s="1793"/>
      <c r="G1785" s="1784"/>
      <c r="H1785" s="1784"/>
      <c r="I1785" s="1784"/>
      <c r="J1785" s="1182"/>
      <c r="K1785" s="684">
        <f t="shared" si="1581"/>
        <v>1</v>
      </c>
      <c r="L1785" s="708">
        <v>1</v>
      </c>
      <c r="M1785" s="709">
        <f t="shared" si="1597"/>
        <v>1</v>
      </c>
      <c r="N1785" s="362" t="str">
        <f t="shared" si="1582"/>
        <v/>
      </c>
      <c r="O1785" s="1763" t="str">
        <f t="shared" si="1583"/>
        <v/>
      </c>
      <c r="P1785" s="1764" t="str">
        <f t="shared" si="1584"/>
        <v/>
      </c>
      <c r="Q1785" s="120" t="str">
        <f t="shared" si="1585"/>
        <v/>
      </c>
      <c r="R1785" s="185"/>
    </row>
    <row r="1786" spans="1:20" s="695" customFormat="1" ht="18" customHeight="1">
      <c r="A1786" s="693"/>
      <c r="B1786" s="1922">
        <v>1</v>
      </c>
      <c r="C1786" s="1848" t="str">
        <f t="shared" ref="C1786" si="1613">VLOOKUP(D1786,base_datos,6,FALSE)</f>
        <v>Placa lamicoid rotulación de 3mm de espesor, fondo negro y letras blancas.</v>
      </c>
      <c r="D1786" s="1886" t="s">
        <v>8570</v>
      </c>
      <c r="E1786" s="1795">
        <f t="shared" ref="E1786" si="1614">VLOOKUP(D1786,base_datos,5,FALSE)</f>
        <v>2.2000000000000002</v>
      </c>
      <c r="F1786" s="1796">
        <f t="shared" ref="F1786" si="1615">+E1786*B1786</f>
        <v>2.2000000000000002</v>
      </c>
      <c r="G1786" s="696"/>
      <c r="H1786" s="696"/>
      <c r="I1786" s="696"/>
      <c r="J1786" s="697"/>
      <c r="K1786" s="684">
        <f t="shared" si="1581"/>
        <v>1</v>
      </c>
      <c r="L1786" s="708">
        <v>1</v>
      </c>
      <c r="M1786" s="709">
        <f t="shared" si="1597"/>
        <v>1</v>
      </c>
      <c r="N1786" s="362">
        <f t="shared" si="1582"/>
        <v>1</v>
      </c>
      <c r="O1786" s="1763" t="str">
        <f t="shared" si="1583"/>
        <v>Placa lamicoid p/distr.</v>
      </c>
      <c r="P1786" s="1764" t="str">
        <f t="shared" si="1584"/>
        <v>Placa lamicoid rotulación de 3mm de espesor, fondo negro y letras blancas.</v>
      </c>
      <c r="Q1786" s="120" t="str">
        <f t="shared" si="1585"/>
        <v>Placa lamicoid p/distr.</v>
      </c>
      <c r="R1786" s="185"/>
    </row>
    <row r="1787" spans="1:20" s="1236" customFormat="1" ht="18" customHeight="1">
      <c r="A1787" s="1767"/>
      <c r="B1787" s="1853">
        <v>1</v>
      </c>
      <c r="C1787" s="1895" t="s">
        <v>12474</v>
      </c>
      <c r="D1787" s="1902"/>
      <c r="E1787" s="1792"/>
      <c r="F1787" s="1793"/>
      <c r="G1787" s="1784"/>
      <c r="H1787" s="1784"/>
      <c r="I1787" s="1784"/>
      <c r="J1787" s="1182"/>
      <c r="K1787" s="684">
        <f t="shared" si="1581"/>
        <v>1</v>
      </c>
      <c r="L1787" s="708">
        <v>1</v>
      </c>
      <c r="M1787" s="709">
        <f t="shared" si="1597"/>
        <v>1</v>
      </c>
      <c r="N1787" s="362" t="str">
        <f t="shared" si="1582"/>
        <v/>
      </c>
      <c r="O1787" s="1763" t="str">
        <f t="shared" si="1583"/>
        <v/>
      </c>
      <c r="P1787" s="1764" t="str">
        <f t="shared" si="1584"/>
        <v/>
      </c>
      <c r="Q1787" s="120" t="str">
        <f t="shared" si="1585"/>
        <v/>
      </c>
      <c r="R1787" s="185"/>
    </row>
    <row r="1788" spans="1:20" s="1236" customFormat="1" ht="18" customHeight="1">
      <c r="A1788" s="1767"/>
      <c r="B1788" s="1853">
        <v>1</v>
      </c>
      <c r="C1788" s="1848" t="str">
        <f>VLOOKUP(D1788,base_datos,6,FALSE)</f>
        <v>Embalaje especial completamente cerrado para tablero adosado de 1600x600x220mm</v>
      </c>
      <c r="D1788" s="1902" t="s">
        <v>12453</v>
      </c>
      <c r="E1788" s="1795">
        <f t="shared" ref="E1788" si="1616">VLOOKUP(D1788,base_datos,5,FALSE)</f>
        <v>271.40000000000003</v>
      </c>
      <c r="F1788" s="1796">
        <f t="shared" ref="F1788" si="1617">+E1788*B1788</f>
        <v>271.40000000000003</v>
      </c>
      <c r="G1788" s="1784"/>
      <c r="H1788" s="1784"/>
      <c r="I1788" s="1784"/>
      <c r="J1788" s="1182"/>
      <c r="K1788" s="684">
        <f t="shared" si="1581"/>
        <v>1</v>
      </c>
      <c r="L1788" s="708">
        <v>1</v>
      </c>
      <c r="M1788" s="709">
        <f t="shared" si="1597"/>
        <v>1</v>
      </c>
      <c r="N1788" s="362">
        <f t="shared" si="1582"/>
        <v>1</v>
      </c>
      <c r="O1788" s="1763" t="str">
        <f t="shared" si="1583"/>
        <v>EMBAL_ADOS_1600x600x220mm</v>
      </c>
      <c r="P1788" s="1764" t="str">
        <f t="shared" si="1584"/>
        <v>Embalaje especial completamente cerrado para tablero adosado de 1600x600x220mm</v>
      </c>
      <c r="Q1788" s="120" t="str">
        <f t="shared" si="1585"/>
        <v>EMBAL_ADOS_1600x600x220mm</v>
      </c>
      <c r="R1788" s="185"/>
    </row>
    <row r="1789" spans="1:20" s="185" customFormat="1" ht="18" customHeight="1">
      <c r="A1789" s="1785"/>
      <c r="B1789" s="714"/>
      <c r="C1789" s="1893" t="s">
        <v>729</v>
      </c>
      <c r="D1789" s="173"/>
      <c r="E1789" s="1786"/>
      <c r="F1789" s="1787"/>
      <c r="G1789" s="710"/>
      <c r="H1789" s="710"/>
      <c r="I1789" s="710"/>
      <c r="J1789" s="711"/>
      <c r="K1789" s="684">
        <f t="shared" si="1581"/>
        <v>1</v>
      </c>
      <c r="L1789" s="708">
        <v>1</v>
      </c>
      <c r="M1789" s="709">
        <f t="shared" si="1597"/>
        <v>1</v>
      </c>
      <c r="N1789" s="362" t="str">
        <f t="shared" si="1582"/>
        <v/>
      </c>
      <c r="O1789" s="1763" t="str">
        <f t="shared" si="1583"/>
        <v/>
      </c>
      <c r="P1789" s="1764" t="str">
        <f t="shared" si="1584"/>
        <v/>
      </c>
      <c r="Q1789" s="120" t="str">
        <f t="shared" si="1585"/>
        <v/>
      </c>
    </row>
    <row r="1790" spans="1:20" s="695" customFormat="1" ht="18" customHeight="1">
      <c r="A1790" s="693"/>
      <c r="B1790" s="1794">
        <v>1</v>
      </c>
      <c r="C1790" s="1420" t="str">
        <f t="shared" ref="C1790" si="1618">VLOOKUP(D1790,base_datos,6,FALSE)</f>
        <v>Barra a tierra.</v>
      </c>
      <c r="D1790" s="1790" t="s">
        <v>8299</v>
      </c>
      <c r="E1790" s="1795">
        <f t="shared" ref="E1790" si="1619">VLOOKUP(D1790,base_datos,5,FALSE)</f>
        <v>10</v>
      </c>
      <c r="F1790" s="1796">
        <f t="shared" ref="F1790:F1797" si="1620">+E1790*B1790</f>
        <v>10</v>
      </c>
      <c r="G1790" s="696"/>
      <c r="H1790" s="696"/>
      <c r="I1790" s="696"/>
      <c r="J1790" s="697"/>
      <c r="K1790" s="684">
        <f t="shared" si="1581"/>
        <v>1</v>
      </c>
      <c r="L1790" s="708">
        <v>1</v>
      </c>
      <c r="M1790" s="709">
        <f t="shared" si="1597"/>
        <v>1</v>
      </c>
      <c r="N1790" s="362" t="str">
        <f t="shared" si="1582"/>
        <v/>
      </c>
      <c r="O1790" s="1763" t="str">
        <f t="shared" si="1583"/>
        <v/>
      </c>
      <c r="P1790" s="1764" t="str">
        <f t="shared" si="1584"/>
        <v/>
      </c>
      <c r="Q1790" s="120" t="str">
        <f t="shared" si="1585"/>
        <v/>
      </c>
      <c r="R1790" s="185"/>
    </row>
    <row r="1791" spans="1:20" s="185" customFormat="1" ht="18" customHeight="1">
      <c r="A1791" s="1785"/>
      <c r="B1791" s="714"/>
      <c r="C1791" s="1893" t="s">
        <v>729</v>
      </c>
      <c r="D1791" s="173"/>
      <c r="E1791" s="1786"/>
      <c r="F1791" s="1787"/>
      <c r="G1791" s="710"/>
      <c r="H1791" s="710"/>
      <c r="I1791" s="710"/>
      <c r="J1791" s="711"/>
      <c r="K1791" s="684">
        <f t="shared" si="1581"/>
        <v>1</v>
      </c>
      <c r="L1791" s="708">
        <v>1</v>
      </c>
      <c r="M1791" s="709">
        <f t="shared" ref="M1791" si="1621">IF(B1791="",1,B1791)</f>
        <v>1</v>
      </c>
      <c r="N1791" s="362" t="str">
        <f t="shared" ref="N1791" si="1622">IF(O1791&lt;&gt;"",K1791*L1791*M1791,"")</f>
        <v/>
      </c>
      <c r="O1791" s="1763" t="str">
        <f t="shared" ref="O1791" si="1623">IF(D1791&lt;&gt;"",IF(VLOOKUP(D1791,base_datos,7,FALSE)&lt;&gt;"",VLOOKUP(D1791,base_datos,7,FALSE),""),"")</f>
        <v/>
      </c>
      <c r="P1791" s="1764" t="str">
        <f t="shared" ref="P1791" si="1624">IF(O1791&lt;&gt;"",VLOOKUP(D1791,base_datos,6,FALSE),"")</f>
        <v/>
      </c>
      <c r="Q1791" s="120" t="str">
        <f t="shared" ref="Q1791" si="1625">IF(O1791&lt;&gt;"",D1791,"")</f>
        <v/>
      </c>
    </row>
    <row r="1792" spans="1:20" s="897" customFormat="1" ht="18" customHeight="1">
      <c r="A1792" s="693"/>
      <c r="B1792" s="895">
        <v>7</v>
      </c>
      <c r="C1792" s="721" t="str">
        <f>VLOOKUP(D1792,base_datos,6,FALSE)</f>
        <v>Rotulado por circuito.</v>
      </c>
      <c r="D1792" s="1579" t="s">
        <v>3067</v>
      </c>
      <c r="E1792" s="1580">
        <f>VLOOKUP(D1792,base_datos,5,FALSE)</f>
        <v>0.7</v>
      </c>
      <c r="F1792" s="1581">
        <f t="shared" si="1620"/>
        <v>4.8999999999999995</v>
      </c>
      <c r="G1792" s="1772"/>
      <c r="H1792" s="1772"/>
      <c r="I1792" s="1772"/>
      <c r="J1792" s="896"/>
      <c r="K1792" s="684">
        <f t="shared" si="1581"/>
        <v>1</v>
      </c>
      <c r="L1792" s="708">
        <v>1</v>
      </c>
      <c r="M1792" s="709">
        <f t="shared" si="1597"/>
        <v>7</v>
      </c>
      <c r="N1792" s="362" t="str">
        <f t="shared" si="1582"/>
        <v/>
      </c>
      <c r="O1792" s="1763" t="str">
        <f t="shared" si="1583"/>
        <v/>
      </c>
      <c r="P1792" s="1764" t="str">
        <f t="shared" si="1584"/>
        <v/>
      </c>
      <c r="Q1792" s="120" t="str">
        <f t="shared" si="1585"/>
        <v/>
      </c>
    </row>
    <row r="1793" spans="1:18" s="897" customFormat="1" ht="18" customHeight="1">
      <c r="A1793" s="693"/>
      <c r="B1793" s="895">
        <v>1</v>
      </c>
      <c r="C1793" s="721" t="str">
        <f>VLOOKUP(D1793,base_datos,6,FALSE)</f>
        <v>Rotulado para TAG - tablero de distribución.</v>
      </c>
      <c r="D1793" s="1579" t="s">
        <v>3066</v>
      </c>
      <c r="E1793" s="1580">
        <f>VLOOKUP(D1793,base_datos,5,FALSE)</f>
        <v>1.5</v>
      </c>
      <c r="F1793" s="1581">
        <f t="shared" si="1620"/>
        <v>1.5</v>
      </c>
      <c r="G1793" s="1772"/>
      <c r="H1793" s="1772"/>
      <c r="I1793" s="1772"/>
      <c r="J1793" s="896"/>
      <c r="K1793" s="684">
        <f t="shared" si="1581"/>
        <v>1</v>
      </c>
      <c r="L1793" s="708">
        <v>1</v>
      </c>
      <c r="M1793" s="709">
        <f t="shared" si="1597"/>
        <v>1</v>
      </c>
      <c r="N1793" s="362" t="str">
        <f t="shared" si="1582"/>
        <v/>
      </c>
      <c r="O1793" s="1763" t="str">
        <f t="shared" si="1583"/>
        <v/>
      </c>
      <c r="P1793" s="1764" t="str">
        <f t="shared" si="1584"/>
        <v/>
      </c>
      <c r="Q1793" s="120" t="str">
        <f t="shared" si="1585"/>
        <v/>
      </c>
    </row>
    <row r="1794" spans="1:18" s="1237" customFormat="1" ht="18" customHeight="1">
      <c r="A1794" s="1767"/>
      <c r="B1794" s="1773">
        <v>1</v>
      </c>
      <c r="C1794" s="1946">
        <v>30</v>
      </c>
      <c r="D1794" s="1887"/>
      <c r="E1794" s="1580">
        <v>81</v>
      </c>
      <c r="F1794" s="1581">
        <f t="shared" si="1620"/>
        <v>81</v>
      </c>
      <c r="G1794" s="1774"/>
      <c r="H1794" s="1774"/>
      <c r="I1794" s="1774"/>
      <c r="J1794" s="1181"/>
      <c r="K1794" s="684">
        <f t="shared" si="1581"/>
        <v>1</v>
      </c>
      <c r="L1794" s="708">
        <v>1</v>
      </c>
      <c r="M1794" s="709">
        <f t="shared" si="1597"/>
        <v>1</v>
      </c>
      <c r="N1794" s="362" t="str">
        <f t="shared" si="1582"/>
        <v/>
      </c>
      <c r="O1794" s="1763" t="str">
        <f t="shared" si="1583"/>
        <v/>
      </c>
      <c r="P1794" s="1764" t="str">
        <f t="shared" si="1584"/>
        <v/>
      </c>
      <c r="Q1794" s="120" t="str">
        <f t="shared" si="1585"/>
        <v/>
      </c>
      <c r="R1794" s="1765"/>
    </row>
    <row r="1795" spans="1:18" s="1237" customFormat="1" ht="18" customHeight="1">
      <c r="A1795" s="1767"/>
      <c r="B1795" s="2093">
        <v>1</v>
      </c>
      <c r="C1795" s="694" t="s">
        <v>12552</v>
      </c>
      <c r="D1795" s="1888"/>
      <c r="E1795" s="1580">
        <f>E1797*15%</f>
        <v>22.349999999999998</v>
      </c>
      <c r="F1795" s="1581">
        <f t="shared" si="1620"/>
        <v>22.349999999999998</v>
      </c>
      <c r="G1795" s="1774"/>
      <c r="H1795" s="1774"/>
      <c r="I1795" s="1774"/>
      <c r="J1795" s="1181"/>
      <c r="K1795" s="684">
        <f t="shared" si="1581"/>
        <v>1</v>
      </c>
      <c r="L1795" s="708">
        <v>1</v>
      </c>
      <c r="M1795" s="709">
        <f t="shared" si="1597"/>
        <v>1</v>
      </c>
      <c r="N1795" s="362" t="str">
        <f t="shared" si="1582"/>
        <v/>
      </c>
      <c r="O1795" s="1763" t="str">
        <f t="shared" si="1583"/>
        <v/>
      </c>
      <c r="P1795" s="1764" t="str">
        <f t="shared" si="1584"/>
        <v/>
      </c>
      <c r="Q1795" s="120" t="str">
        <f t="shared" si="1585"/>
        <v/>
      </c>
      <c r="R1795" s="1765"/>
    </row>
    <row r="1796" spans="1:18" s="1237" customFormat="1" ht="18" customHeight="1">
      <c r="A1796" s="1767"/>
      <c r="B1796" s="1773">
        <v>1</v>
      </c>
      <c r="C1796" s="694" t="s">
        <v>12559</v>
      </c>
      <c r="D1796" s="1888"/>
      <c r="E1796" s="1999">
        <f>E1797*20%</f>
        <v>29.8</v>
      </c>
      <c r="F1796" s="1581">
        <f t="shared" si="1620"/>
        <v>29.8</v>
      </c>
      <c r="G1796" s="1774"/>
      <c r="H1796" s="1774"/>
      <c r="I1796" s="1774"/>
      <c r="J1796" s="1181"/>
      <c r="K1796" s="684">
        <f t="shared" si="1581"/>
        <v>1</v>
      </c>
      <c r="L1796" s="708">
        <v>1</v>
      </c>
      <c r="M1796" s="709">
        <f t="shared" si="1597"/>
        <v>1</v>
      </c>
      <c r="N1796" s="362" t="str">
        <f t="shared" si="1582"/>
        <v/>
      </c>
      <c r="O1796" s="1763" t="str">
        <f t="shared" si="1583"/>
        <v/>
      </c>
      <c r="P1796" s="1764" t="str">
        <f t="shared" si="1584"/>
        <v/>
      </c>
      <c r="Q1796" s="120" t="str">
        <f t="shared" si="1585"/>
        <v/>
      </c>
      <c r="R1796" s="1765"/>
    </row>
    <row r="1797" spans="1:18" s="1237" customFormat="1" ht="18" customHeight="1">
      <c r="A1797" s="1767"/>
      <c r="B1797" s="1773">
        <v>1</v>
      </c>
      <c r="C1797" s="694" t="s">
        <v>12386</v>
      </c>
      <c r="D1797" s="1888"/>
      <c r="E1797" s="1999">
        <v>149</v>
      </c>
      <c r="F1797" s="1581">
        <f t="shared" si="1620"/>
        <v>149</v>
      </c>
      <c r="G1797" s="1774"/>
      <c r="H1797" s="1774"/>
      <c r="I1797" s="1774"/>
      <c r="J1797" s="1181"/>
      <c r="K1797" s="684">
        <f t="shared" si="1581"/>
        <v>1</v>
      </c>
      <c r="L1797" s="708">
        <v>1</v>
      </c>
      <c r="M1797" s="709">
        <f t="shared" si="1597"/>
        <v>1</v>
      </c>
      <c r="N1797" s="362" t="str">
        <f t="shared" si="1582"/>
        <v/>
      </c>
      <c r="O1797" s="1763" t="str">
        <f t="shared" si="1583"/>
        <v/>
      </c>
      <c r="P1797" s="1764" t="str">
        <f t="shared" si="1584"/>
        <v/>
      </c>
      <c r="Q1797" s="120" t="str">
        <f t="shared" si="1585"/>
        <v/>
      </c>
      <c r="R1797" s="1765"/>
    </row>
    <row r="1798" spans="1:18" s="120" customFormat="1" ht="18" customHeight="1" thickBot="1">
      <c r="A1798" s="1855"/>
      <c r="B1798" s="1854"/>
      <c r="C1798" s="1797"/>
      <c r="D1798" s="1889"/>
      <c r="E1798" s="1981"/>
      <c r="F1798" s="1981"/>
      <c r="G1798" s="1798"/>
      <c r="H1798" s="1798"/>
      <c r="I1798" s="1798"/>
      <c r="J1798" s="1799"/>
      <c r="K1798" s="1788"/>
      <c r="L1798" s="363"/>
      <c r="M1798" s="684"/>
      <c r="N1798" s="362" t="str">
        <f t="shared" si="1582"/>
        <v/>
      </c>
      <c r="O1798" s="1763" t="str">
        <f t="shared" si="1583"/>
        <v/>
      </c>
      <c r="P1798" s="1764" t="str">
        <f t="shared" si="1584"/>
        <v/>
      </c>
      <c r="Q1798" s="120" t="str">
        <f t="shared" si="1585"/>
        <v/>
      </c>
      <c r="R1798" s="185"/>
    </row>
    <row r="1799" spans="1:18" s="120" customFormat="1" ht="18" customHeight="1" thickBot="1">
      <c r="A1799" s="1989">
        <v>31</v>
      </c>
      <c r="B1799" s="1852">
        <v>1</v>
      </c>
      <c r="C1799" s="1756" t="s">
        <v>12593</v>
      </c>
      <c r="D1799" s="1588"/>
      <c r="E1799" s="1589"/>
      <c r="F1799" s="1589"/>
      <c r="G1799" s="1757">
        <f>SUM(F1800:F1883)</f>
        <v>2760.21</v>
      </c>
      <c r="H1799" s="1758">
        <f>G1799*(1-$D$6)</f>
        <v>2760.21</v>
      </c>
      <c r="I1799" s="1757">
        <f>ROUNDUP(H1799*$D$5,0)</f>
        <v>9385</v>
      </c>
      <c r="J1799" s="1759">
        <f>+I1799*B1799</f>
        <v>9385</v>
      </c>
      <c r="K1799" s="1788">
        <f>B1799</f>
        <v>1</v>
      </c>
      <c r="L1799" s="363"/>
      <c r="M1799" s="684"/>
      <c r="N1799" s="362" t="str">
        <f t="shared" si="1582"/>
        <v/>
      </c>
      <c r="O1799" s="1763" t="str">
        <f t="shared" si="1583"/>
        <v/>
      </c>
      <c r="P1799" s="1764" t="str">
        <f t="shared" si="1584"/>
        <v/>
      </c>
      <c r="Q1799" s="120" t="str">
        <f t="shared" si="1585"/>
        <v/>
      </c>
      <c r="R1799" s="185"/>
    </row>
    <row r="1800" spans="1:18" s="120" customFormat="1" ht="18" customHeight="1">
      <c r="A1800" s="685" t="s">
        <v>3064</v>
      </c>
      <c r="B1800" s="1903"/>
      <c r="C1800" s="1890"/>
      <c r="D1800" s="1904"/>
      <c r="E1800" s="1789"/>
      <c r="F1800" s="1780"/>
      <c r="G1800" s="686"/>
      <c r="H1800" s="710"/>
      <c r="I1800" s="686"/>
      <c r="J1800" s="1768"/>
      <c r="K1800" s="684">
        <f t="shared" ref="K1800:K1879" si="1626">+K1799</f>
        <v>1</v>
      </c>
      <c r="L1800" s="363">
        <v>1</v>
      </c>
      <c r="M1800" s="709">
        <f t="shared" ref="M1800:M1830" si="1627">IF(B1800="",1,B1800)</f>
        <v>1</v>
      </c>
      <c r="N1800" s="362" t="str">
        <f t="shared" si="1582"/>
        <v/>
      </c>
      <c r="O1800" s="1763" t="str">
        <f t="shared" si="1583"/>
        <v/>
      </c>
      <c r="P1800" s="1764" t="str">
        <f t="shared" si="1584"/>
        <v/>
      </c>
      <c r="Q1800" s="120" t="str">
        <f t="shared" si="1585"/>
        <v/>
      </c>
    </row>
    <row r="1801" spans="1:18" s="315" customFormat="1">
      <c r="A1801" s="687" t="s">
        <v>4021</v>
      </c>
      <c r="B1801" s="2096">
        <v>1</v>
      </c>
      <c r="C1801" s="1907" t="s">
        <v>5103</v>
      </c>
      <c r="D1801" s="1935"/>
      <c r="E1801" s="1786"/>
      <c r="F1801" s="1908">
        <f>SUM(F1803:F1807)*(B1801-1)</f>
        <v>0</v>
      </c>
      <c r="G1801" s="712"/>
      <c r="H1801" s="712"/>
      <c r="I1801" s="712"/>
      <c r="J1801" s="713"/>
      <c r="K1801" s="684">
        <f t="shared" si="1626"/>
        <v>1</v>
      </c>
      <c r="L1801" s="1909">
        <f>B1801</f>
        <v>1</v>
      </c>
      <c r="M1801" s="684">
        <f t="shared" si="1627"/>
        <v>1</v>
      </c>
      <c r="N1801" s="362" t="str">
        <f t="shared" si="1582"/>
        <v/>
      </c>
      <c r="O1801" s="1763" t="str">
        <f t="shared" si="1583"/>
        <v/>
      </c>
      <c r="P1801" s="1764" t="str">
        <f t="shared" si="1584"/>
        <v/>
      </c>
      <c r="Q1801" s="120" t="str">
        <f t="shared" si="1585"/>
        <v/>
      </c>
    </row>
    <row r="1802" spans="1:18" s="185" customFormat="1">
      <c r="A1802" s="687" t="s">
        <v>4136</v>
      </c>
      <c r="B1802" s="1910">
        <v>3</v>
      </c>
      <c r="C1802" s="1911" t="str">
        <f>VLOOKUP(D1802,base_datos,6,FALSE)</f>
        <v>Portalámpara + lampara tipo LED - color Rojo - alimentacion: 220-230Vac, d=22mm. - CL2-523R - línea compacta - marca ABB.</v>
      </c>
      <c r="D1802" s="1790" t="s">
        <v>2439</v>
      </c>
      <c r="E1802" s="1939">
        <f>VLOOKUP(D1802,base_datos,5,FALSE)</f>
        <v>12.299999999999999</v>
      </c>
      <c r="F1802" s="1912">
        <f>+E1802*B1802</f>
        <v>36.9</v>
      </c>
      <c r="G1802" s="710"/>
      <c r="H1802" s="710"/>
      <c r="I1802" s="710"/>
      <c r="J1802" s="711"/>
      <c r="K1802" s="684">
        <f t="shared" si="1626"/>
        <v>1</v>
      </c>
      <c r="L1802" s="1913">
        <f>L1800</f>
        <v>1</v>
      </c>
      <c r="M1802" s="684">
        <f t="shared" si="1627"/>
        <v>3</v>
      </c>
      <c r="N1802" s="362">
        <f t="shared" si="1582"/>
        <v>3</v>
      </c>
      <c r="O1802" s="1763" t="str">
        <f t="shared" si="1583"/>
        <v>1SFA619403R5231</v>
      </c>
      <c r="P1802" s="1764" t="str">
        <f t="shared" si="1584"/>
        <v>Portalámpara + lampara tipo LED - color Rojo - alimentacion: 220-230Vac, d=22mm. - CL2-523R - línea compacta - marca ABB.</v>
      </c>
      <c r="Q1802" s="120" t="str">
        <f t="shared" si="1585"/>
        <v>LAMP_ROJO_220V</v>
      </c>
    </row>
    <row r="1803" spans="1:18" s="185" customFormat="1">
      <c r="A1803" s="687"/>
      <c r="B1803" s="1910">
        <v>3</v>
      </c>
      <c r="C1803" s="1911" t="str">
        <f>VLOOKUP(D1803,base_datos,6,FALSE)</f>
        <v>Portalámpara + lampara tipo LED - color Verde - alimentacion: 220-230Vac, d=22mm. - CL2-523G - línea compacta - marca ABB.</v>
      </c>
      <c r="D1803" s="1790" t="s">
        <v>2440</v>
      </c>
      <c r="E1803" s="1939">
        <f>VLOOKUP(D1803,base_datos,5,FALSE)</f>
        <v>12.299999999999999</v>
      </c>
      <c r="F1803" s="1912">
        <f>+E1803*B1803</f>
        <v>36.9</v>
      </c>
      <c r="G1803" s="710"/>
      <c r="H1803" s="710"/>
      <c r="I1803" s="710"/>
      <c r="J1803" s="711"/>
      <c r="K1803" s="684">
        <f t="shared" si="1626"/>
        <v>1</v>
      </c>
      <c r="L1803" s="1913">
        <f>L1801</f>
        <v>1</v>
      </c>
      <c r="M1803" s="684">
        <f t="shared" si="1627"/>
        <v>3</v>
      </c>
      <c r="N1803" s="362">
        <f t="shared" si="1582"/>
        <v>3</v>
      </c>
      <c r="O1803" s="1763" t="str">
        <f t="shared" si="1583"/>
        <v>1SFA619403R5232</v>
      </c>
      <c r="P1803" s="1764" t="str">
        <f t="shared" si="1584"/>
        <v>Portalámpara + lampara tipo LED - color Verde - alimentacion: 220-230Vac, d=22mm. - CL2-523G - línea compacta - marca ABB.</v>
      </c>
      <c r="Q1803" s="120" t="str">
        <f t="shared" si="1585"/>
        <v>LAMP_VERDE_220V</v>
      </c>
    </row>
    <row r="1804" spans="1:18" s="1921" customFormat="1">
      <c r="A1804" s="687" t="s">
        <v>12356</v>
      </c>
      <c r="B1804" s="1914">
        <v>1</v>
      </c>
      <c r="C1804" s="1915" t="s">
        <v>3366</v>
      </c>
      <c r="D1804" s="1916"/>
      <c r="E1804" s="1917"/>
      <c r="F1804" s="1918"/>
      <c r="G1804" s="1919"/>
      <c r="H1804" s="1919"/>
      <c r="I1804" s="1919"/>
      <c r="J1804" s="1920"/>
      <c r="K1804" s="684">
        <f t="shared" si="1626"/>
        <v>1</v>
      </c>
      <c r="L1804" s="1913">
        <f>L1803</f>
        <v>1</v>
      </c>
      <c r="M1804" s="684">
        <f t="shared" si="1627"/>
        <v>1</v>
      </c>
      <c r="N1804" s="362" t="str">
        <f t="shared" si="1582"/>
        <v/>
      </c>
      <c r="O1804" s="1763" t="str">
        <f t="shared" si="1583"/>
        <v/>
      </c>
      <c r="P1804" s="1764" t="str">
        <f t="shared" si="1584"/>
        <v/>
      </c>
      <c r="Q1804" s="120" t="str">
        <f t="shared" si="1585"/>
        <v/>
      </c>
    </row>
    <row r="1805" spans="1:18" s="320" customFormat="1">
      <c r="A1805" s="687" t="s">
        <v>12375</v>
      </c>
      <c r="B1805" s="1922">
        <v>1</v>
      </c>
      <c r="C1805" s="721" t="str">
        <f>VLOOKUP(D1805,base_datos,6,FALSE)</f>
        <v>Rele auxiliar enchufable +4NA/NC (D2PR4B + base D2PA6), 220Vac - marca EATON.</v>
      </c>
      <c r="D1805" s="1579" t="s">
        <v>772</v>
      </c>
      <c r="E1805" s="1581">
        <f>VLOOKUP(D1805,base_datos,5,FALSE)</f>
        <v>27</v>
      </c>
      <c r="F1805" s="1923">
        <f>+E1805*B1805</f>
        <v>27</v>
      </c>
      <c r="G1805" s="1924"/>
      <c r="H1805" s="1924"/>
      <c r="I1805" s="1924"/>
      <c r="J1805" s="722"/>
      <c r="K1805" s="684">
        <f t="shared" si="1626"/>
        <v>1</v>
      </c>
      <c r="L1805" s="1913">
        <f>L1802</f>
        <v>1</v>
      </c>
      <c r="M1805" s="684">
        <f t="shared" si="1627"/>
        <v>1</v>
      </c>
      <c r="N1805" s="362">
        <f t="shared" si="1582"/>
        <v>1</v>
      </c>
      <c r="O1805" s="1763" t="str">
        <f t="shared" si="1583"/>
        <v>D2PR4B+D2PA6</v>
      </c>
      <c r="P1805" s="1764" t="str">
        <f t="shared" si="1584"/>
        <v>Rele auxiliar enchufable +4NA/NC (D2PR4B + base D2PA6), 220Vac - marca EATON.</v>
      </c>
      <c r="Q1805" s="120" t="str">
        <f t="shared" si="1585"/>
        <v>D2PR4B+D2PA6</v>
      </c>
    </row>
    <row r="1806" spans="1:18" s="320" customFormat="1">
      <c r="A1806" s="1767"/>
      <c r="B1806" s="2131">
        <v>1</v>
      </c>
      <c r="C1806" s="2132" t="s">
        <v>12558</v>
      </c>
      <c r="D1806" s="2133"/>
      <c r="E1806" s="2134">
        <v>32</v>
      </c>
      <c r="F1806" s="2134">
        <f>+E1806*B1806</f>
        <v>32</v>
      </c>
      <c r="G1806" s="1924"/>
      <c r="H1806" s="1924"/>
      <c r="I1806" s="1924"/>
      <c r="J1806" s="722"/>
      <c r="K1806" s="684">
        <f t="shared" si="1626"/>
        <v>1</v>
      </c>
      <c r="L1806" s="1913">
        <f>L1803</f>
        <v>1</v>
      </c>
      <c r="M1806" s="684">
        <f t="shared" si="1627"/>
        <v>1</v>
      </c>
      <c r="N1806" s="362" t="str">
        <f t="shared" si="1582"/>
        <v/>
      </c>
      <c r="O1806" s="1763" t="str">
        <f t="shared" si="1583"/>
        <v/>
      </c>
      <c r="P1806" s="1764" t="str">
        <f t="shared" si="1584"/>
        <v/>
      </c>
      <c r="Q1806" s="120" t="str">
        <f t="shared" si="1585"/>
        <v/>
      </c>
    </row>
    <row r="1807" spans="1:18" s="320" customFormat="1">
      <c r="A1807" s="687" t="s">
        <v>12551</v>
      </c>
      <c r="B1807" s="1922">
        <v>4</v>
      </c>
      <c r="C1807" s="721" t="str">
        <f>VLOOKUP(D1807,base_datos,6,FALSE)</f>
        <v>Base portafusibles + Fusibles de protección para control.</v>
      </c>
      <c r="D1807" s="1579" t="s">
        <v>453</v>
      </c>
      <c r="E1807" s="1581">
        <f>VLOOKUP(D1807,base_datos,5,FALSE)</f>
        <v>8.1750000000000007</v>
      </c>
      <c r="F1807" s="1923">
        <f>+E1807*B1807</f>
        <v>32.700000000000003</v>
      </c>
      <c r="G1807" s="1924"/>
      <c r="H1807" s="1924"/>
      <c r="I1807" s="1924"/>
      <c r="J1807" s="722"/>
      <c r="K1807" s="684">
        <f t="shared" si="1626"/>
        <v>1</v>
      </c>
      <c r="L1807" s="1913">
        <f>L1804</f>
        <v>1</v>
      </c>
      <c r="M1807" s="684">
        <f t="shared" si="1627"/>
        <v>4</v>
      </c>
      <c r="N1807" s="362" t="str">
        <f t="shared" si="1582"/>
        <v/>
      </c>
      <c r="O1807" s="1763" t="str">
        <f t="shared" si="1583"/>
        <v/>
      </c>
      <c r="P1807" s="1764" t="str">
        <f t="shared" si="1584"/>
        <v/>
      </c>
      <c r="Q1807" s="120" t="str">
        <f t="shared" si="1585"/>
        <v/>
      </c>
    </row>
    <row r="1808" spans="1:18" s="315" customFormat="1">
      <c r="A1808" s="687" t="s">
        <v>3542</v>
      </c>
      <c r="B1808" s="1906"/>
      <c r="C1808" s="1907"/>
      <c r="D1808" s="1935"/>
      <c r="E1808" s="1786"/>
      <c r="F1808" s="1936"/>
      <c r="G1808" s="712"/>
      <c r="H1808" s="712"/>
      <c r="I1808" s="712"/>
      <c r="J1808" s="713"/>
      <c r="K1808" s="684">
        <f t="shared" si="1626"/>
        <v>1</v>
      </c>
      <c r="L1808" s="1909">
        <f>B1808</f>
        <v>0</v>
      </c>
      <c r="M1808" s="684">
        <f t="shared" si="1627"/>
        <v>1</v>
      </c>
      <c r="N1808" s="362" t="str">
        <f t="shared" si="1582"/>
        <v/>
      </c>
      <c r="O1808" s="1763" t="str">
        <f t="shared" si="1583"/>
        <v/>
      </c>
      <c r="P1808" s="1764" t="str">
        <f t="shared" si="1584"/>
        <v/>
      </c>
      <c r="Q1808" s="120" t="str">
        <f t="shared" si="1585"/>
        <v/>
      </c>
    </row>
    <row r="1809" spans="1:18" s="185" customFormat="1" ht="13.5" customHeight="1">
      <c r="A1809" s="1771"/>
      <c r="B1809" s="1922"/>
      <c r="C1809" s="1956" t="s">
        <v>12368</v>
      </c>
      <c r="D1809" s="1579"/>
      <c r="E1809" s="1957"/>
      <c r="F1809" s="1958"/>
      <c r="G1809" s="710"/>
      <c r="H1809" s="710"/>
      <c r="I1809" s="710"/>
      <c r="J1809" s="711"/>
      <c r="K1809" s="684">
        <f t="shared" si="1626"/>
        <v>1</v>
      </c>
      <c r="L1809" s="708">
        <v>1</v>
      </c>
      <c r="M1809" s="684">
        <f t="shared" si="1627"/>
        <v>1</v>
      </c>
      <c r="N1809" s="362" t="str">
        <f t="shared" si="1582"/>
        <v/>
      </c>
      <c r="O1809" s="1763" t="str">
        <f t="shared" si="1583"/>
        <v/>
      </c>
      <c r="P1809" s="1764" t="str">
        <f t="shared" si="1584"/>
        <v/>
      </c>
      <c r="Q1809" s="120" t="str">
        <f t="shared" si="1585"/>
        <v/>
      </c>
    </row>
    <row r="1810" spans="1:18" s="120" customFormat="1" ht="18" customHeight="1">
      <c r="A1810" s="1785"/>
      <c r="B1810" s="1781"/>
      <c r="C1810" s="1218" t="s">
        <v>3158</v>
      </c>
      <c r="D1810" s="1900"/>
      <c r="E1810" s="1791"/>
      <c r="F1810" s="1782"/>
      <c r="G1810" s="686"/>
      <c r="H1810" s="686"/>
      <c r="I1810" s="686"/>
      <c r="J1810" s="688"/>
      <c r="K1810" s="684">
        <f t="shared" si="1626"/>
        <v>1</v>
      </c>
      <c r="L1810" s="708">
        <v>1</v>
      </c>
      <c r="M1810" s="709">
        <f t="shared" si="1627"/>
        <v>1</v>
      </c>
      <c r="N1810" s="362" t="str">
        <f t="shared" si="1582"/>
        <v/>
      </c>
      <c r="O1810" s="1763" t="str">
        <f t="shared" si="1583"/>
        <v/>
      </c>
      <c r="P1810" s="1764" t="str">
        <f t="shared" si="1584"/>
        <v/>
      </c>
      <c r="Q1810" s="120" t="str">
        <f t="shared" si="1585"/>
        <v/>
      </c>
      <c r="R1810" s="185"/>
    </row>
    <row r="1811" spans="1:18" s="690" customFormat="1" ht="18" customHeight="1">
      <c r="A1811" s="1785"/>
      <c r="B1811" s="2096">
        <v>1</v>
      </c>
      <c r="C1811" s="1420" t="str">
        <f>VLOOKUP(D1811,base_datos,6,FALSE)</f>
        <v>ITM Caja Moldeada 3x40A (reg.[0.7-1.0] In) - XT1B160-40A-3P-TMD - 25kA@230Vac, 18kA@415Vac, 18kA@250Vdc - marca ABB.</v>
      </c>
      <c r="D1811" s="1901" t="s">
        <v>4366</v>
      </c>
      <c r="E1811" s="1791">
        <f>VLOOKUP(D1811,base_datos,5,FALSE)</f>
        <v>120.37</v>
      </c>
      <c r="F1811" s="1782">
        <f>+E1811*B1811</f>
        <v>120.37</v>
      </c>
      <c r="G1811" s="1761"/>
      <c r="H1811" s="1761"/>
      <c r="I1811" s="1761"/>
      <c r="J1811" s="689"/>
      <c r="K1811" s="684">
        <f t="shared" si="1626"/>
        <v>1</v>
      </c>
      <c r="L1811" s="708">
        <v>1</v>
      </c>
      <c r="M1811" s="709">
        <f t="shared" si="1627"/>
        <v>1</v>
      </c>
      <c r="N1811" s="362">
        <f t="shared" si="1582"/>
        <v>1</v>
      </c>
      <c r="O1811" s="1763" t="str">
        <f t="shared" si="1583"/>
        <v>1SDA066803R1</v>
      </c>
      <c r="P1811" s="1764" t="str">
        <f t="shared" si="1584"/>
        <v>ITM Caja Moldeada 3x40A (reg.[0.7-1.0] In) - XT1B160-40A-3P-TMD - 25kA@230Vac, 18kA@415Vac, 18kA@250Vdc - marca ABB.</v>
      </c>
      <c r="Q1811" s="120" t="str">
        <f t="shared" si="1585"/>
        <v>XT1B160-40A-3P-TMD</v>
      </c>
      <c r="R1811" s="185"/>
    </row>
    <row r="1812" spans="1:18" s="185" customFormat="1" ht="18" customHeight="1">
      <c r="A1812" s="1785"/>
      <c r="B1812" s="714"/>
      <c r="C1812" s="1893" t="s">
        <v>729</v>
      </c>
      <c r="D1812" s="173"/>
      <c r="E1812" s="1581"/>
      <c r="F1812" s="1581"/>
      <c r="G1812" s="710"/>
      <c r="H1812" s="710"/>
      <c r="I1812" s="710"/>
      <c r="J1812" s="711"/>
      <c r="K1812" s="684">
        <f t="shared" si="1626"/>
        <v>1</v>
      </c>
      <c r="L1812" s="708">
        <v>1</v>
      </c>
      <c r="M1812" s="709">
        <f t="shared" si="1627"/>
        <v>1</v>
      </c>
      <c r="N1812" s="362" t="str">
        <f t="shared" ref="N1812:N1913" si="1628">IF(O1812&lt;&gt;"",K1812*L1812*M1812,"")</f>
        <v/>
      </c>
      <c r="O1812" s="1763" t="str">
        <f t="shared" ref="O1812:O1913" si="1629">IF(D1812&lt;&gt;"",IF(VLOOKUP(D1812,base_datos,7,FALSE)&lt;&gt;"",VLOOKUP(D1812,base_datos,7,FALSE),""),"")</f>
        <v/>
      </c>
      <c r="P1812" s="1764" t="str">
        <f t="shared" ref="P1812:P1913" si="1630">IF(O1812&lt;&gt;"",VLOOKUP(D1812,base_datos,6,FALSE),"")</f>
        <v/>
      </c>
      <c r="Q1812" s="120" t="str">
        <f t="shared" ref="Q1812:Q1913" si="1631">IF(O1812&lt;&gt;"",D1812,"")</f>
        <v/>
      </c>
      <c r="R1812" s="1765"/>
    </row>
    <row r="1813" spans="1:18" s="690" customFormat="1" ht="18" customHeight="1">
      <c r="A1813" s="687"/>
      <c r="B1813" s="1851"/>
      <c r="C1813" s="1966" t="s">
        <v>9431</v>
      </c>
      <c r="D1813" s="1582"/>
      <c r="E1813" s="1780"/>
      <c r="F1813" s="1782"/>
      <c r="G1813" s="1761"/>
      <c r="H1813" s="1761"/>
      <c r="I1813" s="1761"/>
      <c r="J1813" s="689"/>
      <c r="K1813" s="684">
        <f t="shared" si="1626"/>
        <v>1</v>
      </c>
      <c r="L1813" s="708">
        <v>1</v>
      </c>
      <c r="M1813" s="709">
        <f t="shared" si="1627"/>
        <v>1</v>
      </c>
      <c r="N1813" s="362" t="str">
        <f t="shared" ref="N1813:N1830" si="1632">IF(O1813&lt;&gt;"",K1813*L1813*M1813,"")</f>
        <v/>
      </c>
      <c r="O1813" s="1763" t="str">
        <f t="shared" ref="O1813:O1830" si="1633">IF(D1813&lt;&gt;"",IF(VLOOKUP(D1813,base_datos,7,FALSE)&lt;&gt;"",VLOOKUP(D1813,base_datos,7,FALSE),""),"")</f>
        <v/>
      </c>
      <c r="P1813" s="1764" t="str">
        <f t="shared" ref="P1813:P1830" si="1634">IF(O1813&lt;&gt;"",VLOOKUP(D1813,base_datos,6,FALSE),"")</f>
        <v/>
      </c>
      <c r="Q1813" s="120" t="str">
        <f t="shared" ref="Q1813:Q1830" si="1635">IF(O1813&lt;&gt;"",D1813,"")</f>
        <v/>
      </c>
      <c r="R1813" s="185"/>
    </row>
    <row r="1814" spans="1:18" s="690" customFormat="1" ht="18" customHeight="1">
      <c r="A1814" s="1785"/>
      <c r="B1814" s="1781">
        <v>2</v>
      </c>
      <c r="C1814" s="1960" t="str">
        <f t="shared" ref="C1814" si="1636">VLOOKUP(D1814,base_datos,6,FALSE)</f>
        <v>ITM Caja Moldeada 3x20A (reg.[0.7-1.0] In) - XT1B160-20A-3P-TMD - 25kA@230Vac, 18kA@415Vac, 18kA@250Vdc - marca ABB.</v>
      </c>
      <c r="D1814" s="1901" t="s">
        <v>4360</v>
      </c>
      <c r="E1814" s="1791">
        <f t="shared" ref="E1814" si="1637">VLOOKUP(D1814,base_datos,5,FALSE)</f>
        <v>120.37</v>
      </c>
      <c r="F1814" s="1782">
        <f t="shared" ref="F1814:F1815" si="1638">+E1814*B1814</f>
        <v>240.74</v>
      </c>
      <c r="G1814" s="1761"/>
      <c r="H1814" s="1761"/>
      <c r="I1814" s="1761"/>
      <c r="J1814" s="1783"/>
      <c r="K1814" s="684">
        <f t="shared" si="1626"/>
        <v>1</v>
      </c>
      <c r="L1814" s="708">
        <v>1</v>
      </c>
      <c r="M1814" s="709">
        <f t="shared" si="1627"/>
        <v>2</v>
      </c>
      <c r="N1814" s="362">
        <f t="shared" si="1632"/>
        <v>2</v>
      </c>
      <c r="O1814" s="1763" t="str">
        <f t="shared" si="1633"/>
        <v>1SDA066800R1</v>
      </c>
      <c r="P1814" s="1764" t="str">
        <f t="shared" si="1634"/>
        <v>ITM Caja Moldeada 3x20A (reg.[0.7-1.0] In) - XT1B160-20A-3P-TMD - 25kA@230Vac, 18kA@415Vac, 18kA@250Vdc - marca ABB.</v>
      </c>
      <c r="Q1814" s="120" t="str">
        <f t="shared" si="1635"/>
        <v>XT1B160-20A-3P-TMD</v>
      </c>
      <c r="R1814" s="185"/>
    </row>
    <row r="1815" spans="1:18" s="695" customFormat="1">
      <c r="A1815" s="1785"/>
      <c r="B1815" s="1967">
        <v>1</v>
      </c>
      <c r="C1815" s="1946">
        <v>6</v>
      </c>
      <c r="D1815" s="1582"/>
      <c r="E1815" s="2000">
        <v>24</v>
      </c>
      <c r="F1815" s="1968">
        <f t="shared" si="1638"/>
        <v>24</v>
      </c>
      <c r="G1815" s="1969"/>
      <c r="H1815" s="1969"/>
      <c r="I1815" s="1969"/>
      <c r="J1815" s="1970"/>
      <c r="K1815" s="684">
        <f t="shared" si="1626"/>
        <v>1</v>
      </c>
      <c r="L1815" s="708">
        <v>1</v>
      </c>
      <c r="M1815" s="709">
        <f t="shared" si="1627"/>
        <v>1</v>
      </c>
      <c r="N1815" s="362" t="str">
        <f t="shared" si="1632"/>
        <v/>
      </c>
      <c r="O1815" s="1763" t="str">
        <f t="shared" si="1633"/>
        <v/>
      </c>
      <c r="P1815" s="1764" t="str">
        <f t="shared" si="1634"/>
        <v/>
      </c>
      <c r="Q1815" s="120" t="str">
        <f t="shared" si="1635"/>
        <v/>
      </c>
    </row>
    <row r="1816" spans="1:18" s="690" customFormat="1" ht="18" customHeight="1">
      <c r="A1816" s="1785"/>
      <c r="B1816" s="1851"/>
      <c r="C1816" s="1966" t="s">
        <v>12546</v>
      </c>
      <c r="D1816" s="1582"/>
      <c r="E1816" s="1780"/>
      <c r="F1816" s="1782"/>
      <c r="G1816" s="1761"/>
      <c r="H1816" s="1761"/>
      <c r="I1816" s="1761"/>
      <c r="J1816" s="689"/>
      <c r="K1816" s="684">
        <f t="shared" si="1626"/>
        <v>1</v>
      </c>
      <c r="L1816" s="708">
        <v>1</v>
      </c>
      <c r="M1816" s="709">
        <f t="shared" si="1627"/>
        <v>1</v>
      </c>
      <c r="N1816" s="362" t="str">
        <f t="shared" si="1632"/>
        <v/>
      </c>
      <c r="O1816" s="1763" t="str">
        <f t="shared" si="1633"/>
        <v/>
      </c>
      <c r="P1816" s="1764" t="str">
        <f t="shared" si="1634"/>
        <v/>
      </c>
      <c r="Q1816" s="120" t="str">
        <f t="shared" si="1635"/>
        <v/>
      </c>
      <c r="R1816" s="185"/>
    </row>
    <row r="1817" spans="1:18" s="690" customFormat="1" ht="18" customHeight="1">
      <c r="A1817" s="1785"/>
      <c r="B1817" s="1781">
        <v>1</v>
      </c>
      <c r="C1817" s="1960" t="str">
        <f t="shared" ref="C1817:C1818" si="1639">VLOOKUP(D1817,base_datos,6,FALSE)</f>
        <v>ITM Riel-Din 3x16A - S203-C-16A - 10kA@400Vac-IEC60947-2 - marca ABB.</v>
      </c>
      <c r="D1817" s="2007" t="s">
        <v>984</v>
      </c>
      <c r="E1817" s="1791">
        <f t="shared" ref="E1817:E1818" si="1640">VLOOKUP(D1817,base_datos,5,FALSE)</f>
        <v>32.72</v>
      </c>
      <c r="F1817" s="1782">
        <f t="shared" ref="F1817:F1818" si="1641">+E1817*B1817</f>
        <v>32.72</v>
      </c>
      <c r="G1817" s="1761"/>
      <c r="H1817" s="1761"/>
      <c r="I1817" s="1761"/>
      <c r="J1817" s="1783"/>
      <c r="K1817" s="684">
        <f t="shared" si="1626"/>
        <v>1</v>
      </c>
      <c r="L1817" s="708">
        <v>1</v>
      </c>
      <c r="M1817" s="709">
        <f t="shared" ref="M1817:M1818" si="1642">IF(B1817="",1,B1817)</f>
        <v>1</v>
      </c>
      <c r="N1817" s="362">
        <f t="shared" si="1632"/>
        <v>1</v>
      </c>
      <c r="O1817" s="1763" t="str">
        <f t="shared" si="1633"/>
        <v>2CDS253001R0164</v>
      </c>
      <c r="P1817" s="1764" t="str">
        <f t="shared" si="1634"/>
        <v>ITM Riel-Din 3x16A - S203-C-16A - 10kA@400Vac-IEC60947-2 - marca ABB.</v>
      </c>
      <c r="Q1817" s="120" t="str">
        <f t="shared" si="1635"/>
        <v>S203-C-16A</v>
      </c>
      <c r="R1817" s="185"/>
    </row>
    <row r="1818" spans="1:18" s="690" customFormat="1" ht="18" customHeight="1">
      <c r="A1818" s="1785"/>
      <c r="B1818" s="2023">
        <v>1</v>
      </c>
      <c r="C1818" s="2041" t="str">
        <f t="shared" si="1639"/>
        <v>Interruptor Diferencial 4x25A - 30mA - clase A (inmunizado) - FH204-A-25A-30mA - marca ABB.</v>
      </c>
      <c r="D1818" s="2006" t="s">
        <v>5327</v>
      </c>
      <c r="E1818" s="2025">
        <f t="shared" si="1640"/>
        <v>72.899999999999991</v>
      </c>
      <c r="F1818" s="2026">
        <f t="shared" si="1641"/>
        <v>72.899999999999991</v>
      </c>
      <c r="G1818" s="1761"/>
      <c r="H1818" s="1761"/>
      <c r="I1818" s="1761"/>
      <c r="J1818" s="1783"/>
      <c r="K1818" s="684">
        <f t="shared" si="1626"/>
        <v>1</v>
      </c>
      <c r="L1818" s="708">
        <v>1</v>
      </c>
      <c r="M1818" s="709">
        <f t="shared" si="1642"/>
        <v>1</v>
      </c>
      <c r="N1818" s="362">
        <f t="shared" si="1632"/>
        <v>1</v>
      </c>
      <c r="O1818" s="1763" t="str">
        <f t="shared" si="1633"/>
        <v>2CSF204102R1250</v>
      </c>
      <c r="P1818" s="1764" t="str">
        <f t="shared" si="1634"/>
        <v>Interruptor Diferencial 4x25A - 30mA - clase A (inmunizado) - FH204-A-25A-30mA - marca ABB.</v>
      </c>
      <c r="Q1818" s="120" t="str">
        <f t="shared" si="1635"/>
        <v>FH204-A-25A-30mA</v>
      </c>
      <c r="R1818" s="185"/>
    </row>
    <row r="1819" spans="1:18" s="690" customFormat="1" ht="18" customHeight="1">
      <c r="A1819" s="1785"/>
      <c r="B1819" s="1781">
        <v>6</v>
      </c>
      <c r="C1819" s="1960" t="str">
        <f t="shared" ref="C1819:C1821" si="1643">VLOOKUP(D1819,base_datos,6,FALSE)</f>
        <v>ITM Riel-Din 2x16A - S202-C-16A - 10kA@400Vac-IEC60947-2 - marca ABB.</v>
      </c>
      <c r="D1819" s="2007" t="s">
        <v>970</v>
      </c>
      <c r="E1819" s="1791">
        <f t="shared" ref="E1819:E1821" si="1644">VLOOKUP(D1819,base_datos,5,FALSE)</f>
        <v>17.96</v>
      </c>
      <c r="F1819" s="1782">
        <f t="shared" ref="F1819:F1822" si="1645">+E1819*B1819</f>
        <v>107.76</v>
      </c>
      <c r="G1819" s="1761"/>
      <c r="H1819" s="1761"/>
      <c r="I1819" s="1761"/>
      <c r="J1819" s="1783"/>
      <c r="K1819" s="684">
        <f t="shared" si="1626"/>
        <v>1</v>
      </c>
      <c r="L1819" s="708">
        <v>1</v>
      </c>
      <c r="M1819" s="709">
        <f t="shared" si="1627"/>
        <v>6</v>
      </c>
      <c r="N1819" s="362">
        <f t="shared" si="1632"/>
        <v>6</v>
      </c>
      <c r="O1819" s="1763" t="str">
        <f t="shared" si="1633"/>
        <v>2CDS252001R0164</v>
      </c>
      <c r="P1819" s="1764" t="str">
        <f t="shared" si="1634"/>
        <v>ITM Riel-Din 2x16A - S202-C-16A - 10kA@400Vac-IEC60947-2 - marca ABB.</v>
      </c>
      <c r="Q1819" s="120" t="str">
        <f t="shared" si="1635"/>
        <v>S202-C-16A</v>
      </c>
      <c r="R1819" s="185"/>
    </row>
    <row r="1820" spans="1:18" s="690" customFormat="1" ht="18" customHeight="1">
      <c r="A1820" s="1785"/>
      <c r="B1820" s="2023">
        <v>6</v>
      </c>
      <c r="C1820" s="2041" t="str">
        <f t="shared" si="1643"/>
        <v>Interruptor Diferencial 2x25A - 30mA - clase A (inmunizado) - FH202-A-25A-30mA - marca ABB.</v>
      </c>
      <c r="D1820" s="2006" t="s">
        <v>5318</v>
      </c>
      <c r="E1820" s="2025">
        <f t="shared" si="1644"/>
        <v>50</v>
      </c>
      <c r="F1820" s="2026">
        <f t="shared" si="1645"/>
        <v>300</v>
      </c>
      <c r="G1820" s="1761"/>
      <c r="H1820" s="1761"/>
      <c r="I1820" s="1761"/>
      <c r="J1820" s="1783"/>
      <c r="K1820" s="684">
        <f t="shared" si="1626"/>
        <v>1</v>
      </c>
      <c r="L1820" s="708">
        <v>1</v>
      </c>
      <c r="M1820" s="709">
        <f t="shared" si="1627"/>
        <v>6</v>
      </c>
      <c r="N1820" s="362">
        <f t="shared" si="1632"/>
        <v>6</v>
      </c>
      <c r="O1820" s="1763" t="str">
        <f t="shared" si="1633"/>
        <v>2CSF202102R1250</v>
      </c>
      <c r="P1820" s="1764" t="str">
        <f t="shared" si="1634"/>
        <v>Interruptor Diferencial 2x25A - 30mA - clase A (inmunizado) - FH202-A-25A-30mA - marca ABB.</v>
      </c>
      <c r="Q1820" s="120" t="str">
        <f t="shared" si="1635"/>
        <v>FH202-A-25A-30mA</v>
      </c>
      <c r="R1820" s="185"/>
    </row>
    <row r="1821" spans="1:18" s="690" customFormat="1" ht="18" customHeight="1">
      <c r="A1821" s="1785"/>
      <c r="B1821" s="1781">
        <v>1</v>
      </c>
      <c r="C1821" s="1960" t="str">
        <f t="shared" si="1643"/>
        <v>Espacio de reserva monofasica + interruptor diferencial - Riel-Din.</v>
      </c>
      <c r="D1821" s="2006" t="s">
        <v>2926</v>
      </c>
      <c r="E1821" s="1791">
        <f t="shared" si="1644"/>
        <v>2.5</v>
      </c>
      <c r="F1821" s="1782">
        <f t="shared" si="1645"/>
        <v>2.5</v>
      </c>
      <c r="G1821" s="1761"/>
      <c r="H1821" s="1761"/>
      <c r="I1821" s="1761"/>
      <c r="J1821" s="1783"/>
      <c r="K1821" s="684">
        <f t="shared" si="1626"/>
        <v>1</v>
      </c>
      <c r="L1821" s="708">
        <v>1</v>
      </c>
      <c r="M1821" s="709">
        <f t="shared" si="1627"/>
        <v>1</v>
      </c>
      <c r="N1821" s="362" t="str">
        <f t="shared" si="1632"/>
        <v/>
      </c>
      <c r="O1821" s="1763" t="str">
        <f t="shared" si="1633"/>
        <v/>
      </c>
      <c r="P1821" s="1764" t="str">
        <f t="shared" si="1634"/>
        <v/>
      </c>
      <c r="Q1821" s="120" t="str">
        <f t="shared" si="1635"/>
        <v/>
      </c>
      <c r="R1821" s="185"/>
    </row>
    <row r="1822" spans="1:18" s="695" customFormat="1">
      <c r="A1822" s="687"/>
      <c r="B1822" s="1967">
        <v>1</v>
      </c>
      <c r="C1822" s="1946">
        <v>18</v>
      </c>
      <c r="D1822" s="1582"/>
      <c r="E1822" s="2000">
        <v>59</v>
      </c>
      <c r="F1822" s="1968">
        <f t="shared" si="1645"/>
        <v>59</v>
      </c>
      <c r="G1822" s="1969"/>
      <c r="H1822" s="1969"/>
      <c r="I1822" s="1969"/>
      <c r="J1822" s="1970"/>
      <c r="K1822" s="684">
        <f t="shared" si="1626"/>
        <v>1</v>
      </c>
      <c r="L1822" s="708">
        <v>1</v>
      </c>
      <c r="M1822" s="709">
        <f t="shared" si="1627"/>
        <v>1</v>
      </c>
      <c r="N1822" s="362" t="str">
        <f t="shared" si="1632"/>
        <v/>
      </c>
      <c r="O1822" s="1763" t="str">
        <f t="shared" si="1633"/>
        <v/>
      </c>
      <c r="P1822" s="1764" t="str">
        <f t="shared" si="1634"/>
        <v/>
      </c>
      <c r="Q1822" s="120" t="str">
        <f t="shared" si="1635"/>
        <v/>
      </c>
    </row>
    <row r="1823" spans="1:18" s="185" customFormat="1">
      <c r="A1823" s="1785"/>
      <c r="B1823" s="714"/>
      <c r="C1823" s="1893" t="s">
        <v>729</v>
      </c>
      <c r="D1823" s="1941"/>
      <c r="E1823" s="1786"/>
      <c r="F1823" s="1787"/>
      <c r="G1823" s="710"/>
      <c r="H1823" s="710"/>
      <c r="I1823" s="710"/>
      <c r="J1823" s="711"/>
      <c r="K1823" s="684">
        <f t="shared" si="1626"/>
        <v>1</v>
      </c>
      <c r="L1823" s="708">
        <v>1</v>
      </c>
      <c r="M1823" s="709">
        <f t="shared" si="1627"/>
        <v>1</v>
      </c>
      <c r="N1823" s="362" t="str">
        <f t="shared" si="1632"/>
        <v/>
      </c>
      <c r="O1823" s="1763" t="str">
        <f t="shared" si="1633"/>
        <v/>
      </c>
      <c r="P1823" s="1764" t="str">
        <f t="shared" si="1634"/>
        <v/>
      </c>
      <c r="Q1823" s="120" t="str">
        <f t="shared" si="1635"/>
        <v/>
      </c>
    </row>
    <row r="1824" spans="1:18" s="690" customFormat="1" ht="18" customHeight="1">
      <c r="A1824" s="1785"/>
      <c r="B1824" s="1851"/>
      <c r="C1824" s="1966" t="s">
        <v>12547</v>
      </c>
      <c r="D1824" s="1582"/>
      <c r="E1824" s="1780"/>
      <c r="F1824" s="1782"/>
      <c r="G1824" s="1761"/>
      <c r="H1824" s="1761"/>
      <c r="I1824" s="1761"/>
      <c r="J1824" s="689"/>
      <c r="K1824" s="684">
        <f t="shared" si="1626"/>
        <v>1</v>
      </c>
      <c r="L1824" s="708">
        <v>1</v>
      </c>
      <c r="M1824" s="709">
        <f t="shared" si="1627"/>
        <v>1</v>
      </c>
      <c r="N1824" s="362" t="str">
        <f t="shared" si="1632"/>
        <v/>
      </c>
      <c r="O1824" s="1763" t="str">
        <f t="shared" si="1633"/>
        <v/>
      </c>
      <c r="P1824" s="1764" t="str">
        <f t="shared" si="1634"/>
        <v/>
      </c>
      <c r="Q1824" s="120" t="str">
        <f t="shared" si="1635"/>
        <v/>
      </c>
      <c r="R1824" s="185"/>
    </row>
    <row r="1825" spans="1:18" s="2434" customFormat="1" ht="18" customHeight="1">
      <c r="A1825" s="2462"/>
      <c r="B1825" s="2435">
        <v>2</v>
      </c>
      <c r="C1825" s="2436" t="str">
        <f t="shared" ref="C1825" si="1646">VLOOKUP(D1825,base_datos,6,FALSE)</f>
        <v>ITM Caja Moldeada 2x20A - A1N/P125-20A-2P-TMF - 50kA@230Vac, 36kA@400Vac, 10kA@125Vdc - marca ABB.</v>
      </c>
      <c r="D1825" s="2483" t="s">
        <v>1173</v>
      </c>
      <c r="E1825" s="2482">
        <f t="shared" ref="E1825" si="1647">VLOOKUP(D1825,base_datos,5,FALSE)</f>
        <v>59.769999999999996</v>
      </c>
      <c r="F1825" s="2422">
        <f t="shared" ref="F1825" si="1648">+E1825*B1825</f>
        <v>119.53999999999999</v>
      </c>
      <c r="G1825" s="2424"/>
      <c r="H1825" s="2424"/>
      <c r="I1825" s="2424"/>
      <c r="J1825" s="2425"/>
      <c r="K1825" s="2426">
        <f t="shared" si="1626"/>
        <v>1</v>
      </c>
      <c r="L1825" s="2463">
        <v>1</v>
      </c>
      <c r="M1825" s="2428">
        <f t="shared" ref="M1825" si="1649">IF(B1825="",1,B1825)</f>
        <v>2</v>
      </c>
      <c r="N1825" s="2429">
        <f t="shared" si="1632"/>
        <v>2</v>
      </c>
      <c r="O1825" s="2430" t="str">
        <f t="shared" si="1633"/>
        <v>1SDA069552R1</v>
      </c>
      <c r="P1825" s="2431" t="str">
        <f t="shared" si="1634"/>
        <v>ITM Caja Moldeada 2x20A - A1N/P125-20A-2P-TMF - 50kA@230Vac, 36kA@400Vac, 10kA@125Vdc - marca ABB.</v>
      </c>
      <c r="Q1825" s="2432" t="str">
        <f t="shared" si="1635"/>
        <v>A1N/P125-20A-2P-TMF</v>
      </c>
      <c r="R1825" s="2433"/>
    </row>
    <row r="1826" spans="1:18" s="690" customFormat="1" ht="18" customHeight="1">
      <c r="A1826" s="1785"/>
      <c r="B1826" s="1781">
        <v>5</v>
      </c>
      <c r="C1826" s="1960" t="str">
        <f t="shared" ref="C1826:C1828" si="1650">VLOOKUP(D1826,base_datos,6,FALSE)</f>
        <v>ITM Riel-Din 2x16A - S202-C-16A - 10kA@400Vac-IEC60947-2 - marca ABB.</v>
      </c>
      <c r="D1826" s="2007" t="s">
        <v>970</v>
      </c>
      <c r="E1826" s="1791">
        <f t="shared" ref="E1826:E1828" si="1651">VLOOKUP(D1826,base_datos,5,FALSE)</f>
        <v>17.96</v>
      </c>
      <c r="F1826" s="1782">
        <f t="shared" ref="F1826:F1829" si="1652">+E1826*B1826</f>
        <v>89.800000000000011</v>
      </c>
      <c r="G1826" s="1761"/>
      <c r="H1826" s="1761"/>
      <c r="I1826" s="1761"/>
      <c r="J1826" s="1783"/>
      <c r="K1826" s="684">
        <f t="shared" si="1626"/>
        <v>1</v>
      </c>
      <c r="L1826" s="708">
        <v>1</v>
      </c>
      <c r="M1826" s="709">
        <f t="shared" si="1627"/>
        <v>5</v>
      </c>
      <c r="N1826" s="362">
        <f t="shared" si="1632"/>
        <v>5</v>
      </c>
      <c r="O1826" s="1763" t="str">
        <f t="shared" si="1633"/>
        <v>2CDS252001R0164</v>
      </c>
      <c r="P1826" s="1764" t="str">
        <f t="shared" si="1634"/>
        <v>ITM Riel-Din 2x16A - S202-C-16A - 10kA@400Vac-IEC60947-2 - marca ABB.</v>
      </c>
      <c r="Q1826" s="120" t="str">
        <f t="shared" si="1635"/>
        <v>S202-C-16A</v>
      </c>
      <c r="R1826" s="185"/>
    </row>
    <row r="1827" spans="1:18" s="690" customFormat="1" ht="18" customHeight="1">
      <c r="A1827" s="1785"/>
      <c r="B1827" s="2023">
        <v>4</v>
      </c>
      <c r="C1827" s="2041" t="str">
        <f t="shared" si="1650"/>
        <v>Interruptor Diferencial 2x25A - 30mA - clase A (inmunizado) - FH202-A-25A-30mA - marca ABB.</v>
      </c>
      <c r="D1827" s="2006" t="s">
        <v>5318</v>
      </c>
      <c r="E1827" s="2025">
        <f t="shared" si="1651"/>
        <v>50</v>
      </c>
      <c r="F1827" s="2026">
        <f t="shared" si="1652"/>
        <v>200</v>
      </c>
      <c r="G1827" s="1761"/>
      <c r="H1827" s="1761"/>
      <c r="I1827" s="1761"/>
      <c r="J1827" s="1783"/>
      <c r="K1827" s="684">
        <f t="shared" si="1626"/>
        <v>1</v>
      </c>
      <c r="L1827" s="708">
        <v>1</v>
      </c>
      <c r="M1827" s="709">
        <f t="shared" si="1627"/>
        <v>4</v>
      </c>
      <c r="N1827" s="362">
        <f t="shared" si="1632"/>
        <v>4</v>
      </c>
      <c r="O1827" s="1763" t="str">
        <f t="shared" si="1633"/>
        <v>2CSF202102R1250</v>
      </c>
      <c r="P1827" s="1764" t="str">
        <f t="shared" si="1634"/>
        <v>Interruptor Diferencial 2x25A - 30mA - clase A (inmunizado) - FH202-A-25A-30mA - marca ABB.</v>
      </c>
      <c r="Q1827" s="120" t="str">
        <f t="shared" si="1635"/>
        <v>FH202-A-25A-30mA</v>
      </c>
      <c r="R1827" s="185"/>
    </row>
    <row r="1828" spans="1:18" s="690" customFormat="1" ht="18" customHeight="1">
      <c r="A1828" s="1785"/>
      <c r="B1828" s="1781">
        <v>1</v>
      </c>
      <c r="C1828" s="1960" t="str">
        <f t="shared" si="1650"/>
        <v>Espacio de reserva monofasica + interruptor diferencial - Riel-Din.</v>
      </c>
      <c r="D1828" s="2006" t="s">
        <v>2926</v>
      </c>
      <c r="E1828" s="1791">
        <f t="shared" si="1651"/>
        <v>2.5</v>
      </c>
      <c r="F1828" s="1782">
        <f t="shared" si="1652"/>
        <v>2.5</v>
      </c>
      <c r="G1828" s="1761"/>
      <c r="H1828" s="1761"/>
      <c r="I1828" s="1761"/>
      <c r="J1828" s="1783"/>
      <c r="K1828" s="684">
        <f t="shared" si="1626"/>
        <v>1</v>
      </c>
      <c r="L1828" s="708">
        <v>1</v>
      </c>
      <c r="M1828" s="709">
        <f t="shared" si="1627"/>
        <v>1</v>
      </c>
      <c r="N1828" s="362" t="str">
        <f t="shared" si="1632"/>
        <v/>
      </c>
      <c r="O1828" s="1763" t="str">
        <f t="shared" si="1633"/>
        <v/>
      </c>
      <c r="P1828" s="1764" t="str">
        <f t="shared" si="1634"/>
        <v/>
      </c>
      <c r="Q1828" s="120" t="str">
        <f t="shared" si="1635"/>
        <v/>
      </c>
      <c r="R1828" s="185"/>
    </row>
    <row r="1829" spans="1:18" s="695" customFormat="1">
      <c r="A1829" s="687"/>
      <c r="B1829" s="1967">
        <v>1</v>
      </c>
      <c r="C1829" s="1946">
        <v>18</v>
      </c>
      <c r="D1829" s="1582"/>
      <c r="E1829" s="2000">
        <v>59</v>
      </c>
      <c r="F1829" s="1968">
        <f t="shared" si="1652"/>
        <v>59</v>
      </c>
      <c r="G1829" s="1969"/>
      <c r="H1829" s="1969"/>
      <c r="I1829" s="1969"/>
      <c r="J1829" s="1970"/>
      <c r="K1829" s="684">
        <f t="shared" si="1626"/>
        <v>1</v>
      </c>
      <c r="L1829" s="363">
        <v>1</v>
      </c>
      <c r="M1829" s="709">
        <f t="shared" si="1627"/>
        <v>1</v>
      </c>
      <c r="N1829" s="362" t="str">
        <f t="shared" si="1632"/>
        <v/>
      </c>
      <c r="O1829" s="1763" t="str">
        <f t="shared" si="1633"/>
        <v/>
      </c>
      <c r="P1829" s="1764" t="str">
        <f t="shared" si="1634"/>
        <v/>
      </c>
      <c r="Q1829" s="120" t="str">
        <f t="shared" si="1635"/>
        <v/>
      </c>
    </row>
    <row r="1830" spans="1:18" s="185" customFormat="1">
      <c r="A1830" s="1785"/>
      <c r="B1830" s="714"/>
      <c r="C1830" s="1893" t="s">
        <v>729</v>
      </c>
      <c r="D1830" s="1941"/>
      <c r="E1830" s="1786"/>
      <c r="F1830" s="1787"/>
      <c r="G1830" s="710"/>
      <c r="H1830" s="710"/>
      <c r="I1830" s="710"/>
      <c r="J1830" s="711"/>
      <c r="K1830" s="684">
        <f t="shared" si="1626"/>
        <v>1</v>
      </c>
      <c r="L1830" s="363">
        <v>1</v>
      </c>
      <c r="M1830" s="709">
        <f t="shared" si="1627"/>
        <v>1</v>
      </c>
      <c r="N1830" s="362" t="str">
        <f t="shared" si="1632"/>
        <v/>
      </c>
      <c r="O1830" s="1763" t="str">
        <f t="shared" si="1633"/>
        <v/>
      </c>
      <c r="P1830" s="1764" t="str">
        <f t="shared" si="1634"/>
        <v/>
      </c>
      <c r="Q1830" s="120" t="str">
        <f t="shared" si="1635"/>
        <v/>
      </c>
    </row>
    <row r="1831" spans="1:18" s="315" customFormat="1">
      <c r="A1831" s="1785"/>
      <c r="B1831" s="1906">
        <v>2</v>
      </c>
      <c r="C1831" s="1944" t="s">
        <v>13040</v>
      </c>
      <c r="D1831" s="1941"/>
      <c r="E1831" s="1786"/>
      <c r="F1831" s="1908">
        <f>SUM(F1832:F1837)*(B1831-1)</f>
        <v>52.984999999999999</v>
      </c>
      <c r="G1831" s="712"/>
      <c r="H1831" s="712"/>
      <c r="I1831" s="712"/>
      <c r="J1831" s="713"/>
      <c r="K1831" s="684">
        <f t="shared" si="1626"/>
        <v>1</v>
      </c>
      <c r="L1831" s="2224">
        <f>B1831</f>
        <v>2</v>
      </c>
      <c r="M1831" s="709">
        <f>IF(B1831="",1,B1831)</f>
        <v>2</v>
      </c>
      <c r="N1831" s="362" t="str">
        <f t="shared" si="1628"/>
        <v/>
      </c>
      <c r="O1831" s="1763" t="str">
        <f t="shared" si="1629"/>
        <v/>
      </c>
      <c r="P1831" s="1764" t="str">
        <f t="shared" si="1630"/>
        <v/>
      </c>
      <c r="Q1831" s="120" t="str">
        <f t="shared" si="1631"/>
        <v/>
      </c>
    </row>
    <row r="1832" spans="1:18" s="690" customFormat="1" ht="18" customHeight="1">
      <c r="A1832" s="691"/>
      <c r="B1832" s="1781">
        <v>1</v>
      </c>
      <c r="C1832" s="1420" t="str">
        <f>VLOOKUP(D1832,base_datos,6,FALSE)</f>
        <v>Contactor 3x09A(AC-3) / 3x25A(AC-1) +1NA - AF09-30-10-13 - bobina 100-250Vac/dc - marca ABB.</v>
      </c>
      <c r="D1832" s="1901" t="s">
        <v>1447</v>
      </c>
      <c r="E1832" s="1791">
        <f>VLOOKUP(D1832,base_datos,5,FALSE)</f>
        <v>29.89</v>
      </c>
      <c r="F1832" s="1912">
        <f>+E1832*B1832</f>
        <v>29.89</v>
      </c>
      <c r="G1832" s="1761"/>
      <c r="H1832" s="1761"/>
      <c r="I1832" s="1761"/>
      <c r="J1832" s="1783"/>
      <c r="K1832" s="684">
        <f t="shared" si="1626"/>
        <v>1</v>
      </c>
      <c r="L1832" s="1913">
        <f>L1831</f>
        <v>2</v>
      </c>
      <c r="M1832" s="709">
        <f t="shared" ref="M1832:M1837" si="1653">IF(B1832="",1,B1832)</f>
        <v>1</v>
      </c>
      <c r="N1832" s="362">
        <f t="shared" si="1628"/>
        <v>2</v>
      </c>
      <c r="O1832" s="1763" t="str">
        <f t="shared" si="1629"/>
        <v>1SBL137001R1310</v>
      </c>
      <c r="P1832" s="1764" t="str">
        <f t="shared" si="1630"/>
        <v>Contactor 3x09A(AC-3) / 3x25A(AC-1) +1NA - AF09-30-10-13 - bobina 100-250Vac/dc - marca ABB.</v>
      </c>
      <c r="Q1832" s="120" t="str">
        <f t="shared" si="1631"/>
        <v>AF09-30-10-13_3p</v>
      </c>
      <c r="R1832" s="185"/>
    </row>
    <row r="1833" spans="1:18" s="690" customFormat="1" ht="18" customHeight="1">
      <c r="A1833" s="691"/>
      <c r="B1833" s="1922">
        <v>1</v>
      </c>
      <c r="C1833" s="1848" t="str">
        <f>VLOOKUP(D1833,base_datos,6,FALSE)</f>
        <v>Contacto auxiliar frontal 1NA para contactor AF09..AF16-30-10, frontal - Modelo CA4-10 - marca ABB.</v>
      </c>
      <c r="D1833" s="1901" t="s">
        <v>2718</v>
      </c>
      <c r="E1833" s="1791">
        <f>VLOOKUP(D1833,base_datos,5,FALSE)</f>
        <v>5.92</v>
      </c>
      <c r="F1833" s="1912">
        <f>+E1833*B1833</f>
        <v>5.92</v>
      </c>
      <c r="G1833" s="1761"/>
      <c r="H1833" s="1761"/>
      <c r="I1833" s="1761"/>
      <c r="J1833" s="1783"/>
      <c r="K1833" s="684">
        <f t="shared" si="1626"/>
        <v>1</v>
      </c>
      <c r="L1833" s="1913">
        <f t="shared" ref="L1833:L1837" si="1654">L1832</f>
        <v>2</v>
      </c>
      <c r="M1833" s="709">
        <f t="shared" si="1653"/>
        <v>1</v>
      </c>
      <c r="N1833" s="362">
        <f t="shared" si="1628"/>
        <v>2</v>
      </c>
      <c r="O1833" s="1763" t="str">
        <f t="shared" si="1629"/>
        <v>1SBN010110R1010</v>
      </c>
      <c r="P1833" s="1764" t="str">
        <f t="shared" si="1630"/>
        <v>Contacto auxiliar frontal 1NA para contactor AF09..AF16-30-10, frontal - Modelo CA4-10 - marca ABB.</v>
      </c>
      <c r="Q1833" s="120" t="str">
        <f t="shared" si="1631"/>
        <v>CA4-10</v>
      </c>
      <c r="R1833" s="185"/>
    </row>
    <row r="1834" spans="1:18" s="1921" customFormat="1">
      <c r="A1834" s="687"/>
      <c r="B1834" s="1914">
        <v>1</v>
      </c>
      <c r="C1834" s="1915" t="s">
        <v>3366</v>
      </c>
      <c r="D1834" s="1916"/>
      <c r="E1834" s="1917"/>
      <c r="F1834" s="1918"/>
      <c r="G1834" s="1919"/>
      <c r="H1834" s="1919"/>
      <c r="I1834" s="1919"/>
      <c r="J1834" s="1920"/>
      <c r="K1834" s="684">
        <f t="shared" si="1626"/>
        <v>1</v>
      </c>
      <c r="L1834" s="1913">
        <f t="shared" si="1654"/>
        <v>2</v>
      </c>
      <c r="M1834" s="684">
        <f t="shared" si="1653"/>
        <v>1</v>
      </c>
      <c r="N1834" s="362" t="str">
        <f t="shared" si="1628"/>
        <v/>
      </c>
      <c r="O1834" s="1763" t="str">
        <f t="shared" si="1629"/>
        <v/>
      </c>
      <c r="P1834" s="1764" t="str">
        <f t="shared" si="1630"/>
        <v/>
      </c>
      <c r="Q1834" s="120" t="str">
        <f t="shared" si="1631"/>
        <v/>
      </c>
    </row>
    <row r="1835" spans="1:18" s="695" customFormat="1" ht="18" customHeight="1">
      <c r="A1835" s="693"/>
      <c r="B1835" s="1922">
        <v>1</v>
      </c>
      <c r="C1835" s="1848" t="str">
        <f t="shared" ref="C1835:C1837" si="1655">VLOOKUP(D1835,base_datos,6,FALSE)</f>
        <v>Base portafusibles + Fusibles de protección para control.</v>
      </c>
      <c r="D1835" s="1886" t="s">
        <v>453</v>
      </c>
      <c r="E1835" s="1795">
        <f t="shared" ref="E1835:E1837" si="1656">VLOOKUP(D1835,base_datos,5,FALSE)</f>
        <v>8.1750000000000007</v>
      </c>
      <c r="F1835" s="1923">
        <f t="shared" ref="F1835:F1837" si="1657">+E1835*B1835</f>
        <v>8.1750000000000007</v>
      </c>
      <c r="G1835" s="696"/>
      <c r="H1835" s="696"/>
      <c r="I1835" s="696"/>
      <c r="J1835" s="697"/>
      <c r="K1835" s="684">
        <f t="shared" si="1626"/>
        <v>1</v>
      </c>
      <c r="L1835" s="1913">
        <f t="shared" si="1654"/>
        <v>2</v>
      </c>
      <c r="M1835" s="709">
        <f t="shared" si="1653"/>
        <v>1</v>
      </c>
      <c r="N1835" s="362" t="str">
        <f t="shared" si="1628"/>
        <v/>
      </c>
      <c r="O1835" s="1763" t="str">
        <f t="shared" si="1629"/>
        <v/>
      </c>
      <c r="P1835" s="1764" t="str">
        <f t="shared" si="1630"/>
        <v/>
      </c>
      <c r="Q1835" s="120" t="str">
        <f t="shared" si="1631"/>
        <v/>
      </c>
      <c r="R1835" s="185"/>
    </row>
    <row r="1836" spans="1:18" s="695" customFormat="1" ht="18" customHeight="1">
      <c r="A1836" s="1785"/>
      <c r="B1836" s="1922">
        <v>1</v>
      </c>
      <c r="C1836" s="1848" t="str">
        <f t="shared" si="1655"/>
        <v>Borne para neutro.</v>
      </c>
      <c r="D1836" s="1886" t="s">
        <v>436</v>
      </c>
      <c r="E1836" s="1795">
        <f t="shared" si="1656"/>
        <v>4</v>
      </c>
      <c r="F1836" s="1923">
        <f t="shared" si="1657"/>
        <v>4</v>
      </c>
      <c r="G1836" s="696"/>
      <c r="H1836" s="696"/>
      <c r="I1836" s="696"/>
      <c r="J1836" s="697"/>
      <c r="K1836" s="684">
        <f t="shared" si="1626"/>
        <v>1</v>
      </c>
      <c r="L1836" s="1913">
        <f t="shared" si="1654"/>
        <v>2</v>
      </c>
      <c r="M1836" s="709">
        <f t="shared" si="1653"/>
        <v>1</v>
      </c>
      <c r="N1836" s="362" t="str">
        <f t="shared" ref="N1836" si="1658">IF(O1836&lt;&gt;"",K1836*L1836*M1836,"")</f>
        <v/>
      </c>
      <c r="O1836" s="1763" t="str">
        <f t="shared" ref="O1836" si="1659">IF(D1836&lt;&gt;"",IF(VLOOKUP(D1836,base_datos,7,FALSE)&lt;&gt;"",VLOOKUP(D1836,base_datos,7,FALSE),""),"")</f>
        <v/>
      </c>
      <c r="P1836" s="1764" t="str">
        <f t="shared" ref="P1836" si="1660">IF(O1836&lt;&gt;"",VLOOKUP(D1836,base_datos,6,FALSE),"")</f>
        <v/>
      </c>
      <c r="Q1836" s="120" t="str">
        <f t="shared" ref="Q1836" si="1661">IF(O1836&lt;&gt;"",D1836,"")</f>
        <v/>
      </c>
      <c r="R1836" s="185"/>
    </row>
    <row r="1837" spans="1:18" s="695" customFormat="1" ht="18" customHeight="1">
      <c r="A1837" s="693"/>
      <c r="B1837" s="1922">
        <v>2</v>
      </c>
      <c r="C1837" s="1848" t="str">
        <f t="shared" si="1655"/>
        <v>Borne 4mm2.</v>
      </c>
      <c r="D1837" s="1886" t="s">
        <v>437</v>
      </c>
      <c r="E1837" s="1795">
        <f t="shared" si="1656"/>
        <v>2.5</v>
      </c>
      <c r="F1837" s="1923">
        <f t="shared" si="1657"/>
        <v>5</v>
      </c>
      <c r="G1837" s="696"/>
      <c r="H1837" s="696"/>
      <c r="I1837" s="696"/>
      <c r="J1837" s="697"/>
      <c r="K1837" s="684">
        <f t="shared" si="1626"/>
        <v>1</v>
      </c>
      <c r="L1837" s="1913">
        <f t="shared" si="1654"/>
        <v>2</v>
      </c>
      <c r="M1837" s="709">
        <f t="shared" si="1653"/>
        <v>2</v>
      </c>
      <c r="N1837" s="362" t="str">
        <f t="shared" si="1628"/>
        <v/>
      </c>
      <c r="O1837" s="1763" t="str">
        <f t="shared" si="1629"/>
        <v/>
      </c>
      <c r="P1837" s="1764" t="str">
        <f t="shared" si="1630"/>
        <v/>
      </c>
      <c r="Q1837" s="120" t="str">
        <f t="shared" si="1631"/>
        <v/>
      </c>
      <c r="R1837" s="185"/>
    </row>
    <row r="1838" spans="1:18" s="185" customFormat="1" ht="21" customHeight="1">
      <c r="A1838" s="692"/>
      <c r="B1838" s="714"/>
      <c r="C1838" s="1893" t="s">
        <v>729</v>
      </c>
      <c r="D1838" s="1941"/>
      <c r="E1838" s="1786"/>
      <c r="F1838" s="1787"/>
      <c r="G1838" s="710"/>
      <c r="H1838" s="710"/>
      <c r="I1838" s="710"/>
      <c r="J1838" s="711"/>
      <c r="K1838" s="684">
        <f t="shared" si="1626"/>
        <v>1</v>
      </c>
      <c r="L1838" s="363">
        <v>1</v>
      </c>
      <c r="M1838" s="709">
        <f>IF(B1838="",1,B1838)</f>
        <v>1</v>
      </c>
      <c r="N1838" s="362" t="str">
        <f t="shared" si="1628"/>
        <v/>
      </c>
      <c r="O1838" s="1763" t="str">
        <f t="shared" si="1629"/>
        <v/>
      </c>
      <c r="P1838" s="1764" t="str">
        <f t="shared" si="1630"/>
        <v/>
      </c>
      <c r="Q1838" s="120" t="str">
        <f t="shared" si="1631"/>
        <v/>
      </c>
    </row>
    <row r="1839" spans="1:18" s="2434" customFormat="1" ht="18" customHeight="1">
      <c r="A1839" s="2418"/>
      <c r="B1839" s="2419">
        <v>2</v>
      </c>
      <c r="C1839" s="2420" t="s">
        <v>13045</v>
      </c>
      <c r="D1839" s="2421"/>
      <c r="E1839" s="2422"/>
      <c r="F1839" s="2423">
        <f>SUM(F1840:F1844)*(B1839-1)</f>
        <v>33.855000000000004</v>
      </c>
      <c r="G1839" s="2424"/>
      <c r="H1839" s="2424"/>
      <c r="I1839" s="2424"/>
      <c r="J1839" s="2425"/>
      <c r="K1839" s="2426">
        <f>K1837</f>
        <v>1</v>
      </c>
      <c r="L1839" s="2427">
        <f>B1839</f>
        <v>2</v>
      </c>
      <c r="M1839" s="2428">
        <f t="shared" ref="M1839:M1841" si="1662">IF(B1839="",1,B1839)</f>
        <v>2</v>
      </c>
      <c r="N1839" s="2429" t="str">
        <f>IF(O1839&lt;&gt;"",K1839*L1839*M1839,"")</f>
        <v/>
      </c>
      <c r="O1839" s="2430" t="str">
        <f>IF(D1839&lt;&gt;"",IF(VLOOKUP(D1839,base_datos,7,FALSE)&lt;&gt;"",VLOOKUP(D1839,base_datos,7,FALSE),""),"")</f>
        <v/>
      </c>
      <c r="P1839" s="2431" t="str">
        <f>IF(O1839&lt;&gt;"",VLOOKUP(D1839,base_datos,6,FALSE),"")</f>
        <v/>
      </c>
      <c r="Q1839" s="2432" t="str">
        <f>IF(O1839&lt;&gt;"",D1839,"")</f>
        <v/>
      </c>
      <c r="R1839" s="2433"/>
    </row>
    <row r="1840" spans="1:18" s="2434" customFormat="1" ht="18" customHeight="1">
      <c r="A1840" s="2418"/>
      <c r="B1840" s="2435">
        <v>1</v>
      </c>
      <c r="C1840" s="2436" t="str">
        <f>VLOOKUP(D1840,base_datos,6,FALSE)</f>
        <v>Selector 3 posiciones mantenidos - 1-0-2 / M-0-A - maneta corta, contactos 2NA - C3SS1-10B-20 - compacto - marca ABB.</v>
      </c>
      <c r="D1840" s="2437" t="s">
        <v>1223</v>
      </c>
      <c r="E1840" s="2422">
        <f>VLOOKUP(D1840,base_datos,5,FALSE)</f>
        <v>16.680000000000003</v>
      </c>
      <c r="F1840" s="2438">
        <f t="shared" ref="F1840" si="1663">+E1840*B1840</f>
        <v>16.680000000000003</v>
      </c>
      <c r="G1840" s="2424"/>
      <c r="H1840" s="2424"/>
      <c r="I1840" s="2424"/>
      <c r="J1840" s="2425"/>
      <c r="K1840" s="2426">
        <f t="shared" ref="K1840:K1849" si="1664">K1838</f>
        <v>1</v>
      </c>
      <c r="L1840" s="2427">
        <f>L1839</f>
        <v>2</v>
      </c>
      <c r="M1840" s="2428">
        <f t="shared" si="1662"/>
        <v>1</v>
      </c>
      <c r="N1840" s="2429">
        <f>IF(O1840&lt;&gt;"",K1840*L1840*M1840,"")</f>
        <v>2</v>
      </c>
      <c r="O1840" s="2430" t="str">
        <f>IF(D1840&lt;&gt;"",IF(VLOOKUP(D1840,base_datos,7,FALSE)&lt;&gt;"",VLOOKUP(D1840,base_datos,7,FALSE),""),"")</f>
        <v>1SFA619210R1026</v>
      </c>
      <c r="P1840" s="2431" t="str">
        <f>IF(O1840&lt;&gt;"",VLOOKUP(D1840,base_datos,6,FALSE),"")</f>
        <v>Selector 3 posiciones mantenidos - 1-0-2 / M-0-A - maneta corta, contactos 2NA - C3SS1-10B-20 - compacto - marca ABB.</v>
      </c>
      <c r="Q1840" s="2432" t="str">
        <f>IF(O1840&lt;&gt;"",D1840,"")</f>
        <v>SEL_1-0-2</v>
      </c>
      <c r="R1840" s="2433"/>
    </row>
    <row r="1841" spans="1:18" s="2432" customFormat="1">
      <c r="A1841" s="2418"/>
      <c r="B1841" s="2435">
        <v>1</v>
      </c>
      <c r="C1841" s="2439" t="s">
        <v>3366</v>
      </c>
      <c r="D1841" s="2440"/>
      <c r="E1841" s="2422"/>
      <c r="F1841" s="2438"/>
      <c r="G1841" s="2441"/>
      <c r="H1841" s="2441"/>
      <c r="I1841" s="2441"/>
      <c r="J1841" s="2442"/>
      <c r="K1841" s="2426">
        <f t="shared" si="1664"/>
        <v>1</v>
      </c>
      <c r="L1841" s="2427">
        <f>L1842</f>
        <v>2</v>
      </c>
      <c r="M1841" s="2426">
        <f t="shared" si="1662"/>
        <v>1</v>
      </c>
      <c r="N1841" s="2429" t="str">
        <f t="shared" ref="N1841" si="1665">IF(O1841&lt;&gt;"",K1841*L1841*M1841,"")</f>
        <v/>
      </c>
      <c r="O1841" s="2430" t="str">
        <f t="shared" ref="O1841" si="1666">IF(D1841&lt;&gt;"",IF(VLOOKUP(D1841,base_datos,7,FALSE)&lt;&gt;"",VLOOKUP(D1841,base_datos,7,FALSE),""),"")</f>
        <v/>
      </c>
      <c r="P1841" s="2431" t="str">
        <f t="shared" ref="P1841" si="1667">IF(O1841&lt;&gt;"",VLOOKUP(D1841,base_datos,6,FALSE),"")</f>
        <v/>
      </c>
      <c r="Q1841" s="2432" t="str">
        <f t="shared" ref="Q1841" si="1668">IF(O1841&lt;&gt;"",D1841,"")</f>
        <v/>
      </c>
    </row>
    <row r="1842" spans="1:18" s="2450" customFormat="1" ht="18" customHeight="1">
      <c r="A1842" s="2443"/>
      <c r="B1842" s="2444">
        <v>1</v>
      </c>
      <c r="C1842" s="2445" t="str">
        <f t="shared" ref="C1842:C1844" si="1669">VLOOKUP(D1842,base_datos,6,FALSE)</f>
        <v>Base portafusibles + Fusibles de protección para control.</v>
      </c>
      <c r="D1842" s="2446" t="s">
        <v>453</v>
      </c>
      <c r="E1842" s="2447">
        <f t="shared" ref="E1842:E1844" si="1670">VLOOKUP(D1842,base_datos,5,FALSE)</f>
        <v>8.1750000000000007</v>
      </c>
      <c r="F1842" s="2438">
        <f>+E1842*B1842</f>
        <v>8.1750000000000007</v>
      </c>
      <c r="G1842" s="2448"/>
      <c r="H1842" s="2448"/>
      <c r="I1842" s="2448"/>
      <c r="J1842" s="2449"/>
      <c r="K1842" s="2426">
        <f t="shared" si="1664"/>
        <v>1</v>
      </c>
      <c r="L1842" s="2427">
        <f>L1840</f>
        <v>2</v>
      </c>
      <c r="M1842" s="2428">
        <f>IF(B1842="",1,B1842)</f>
        <v>1</v>
      </c>
      <c r="N1842" s="2429" t="str">
        <f>IF(O1842&lt;&gt;"",K1842*L1842*M1842,"")</f>
        <v/>
      </c>
      <c r="O1842" s="2430" t="str">
        <f>IF(D1842&lt;&gt;"",IF(VLOOKUP(D1842,base_datos,7,FALSE)&lt;&gt;"",VLOOKUP(D1842,base_datos,7,FALSE),""),"")</f>
        <v/>
      </c>
      <c r="P1842" s="2431" t="str">
        <f>IF(O1842&lt;&gt;"",VLOOKUP(D1842,base_datos,6,FALSE),"")</f>
        <v/>
      </c>
      <c r="Q1842" s="2432" t="str">
        <f>IF(O1842&lt;&gt;"",D1842,"")</f>
        <v/>
      </c>
      <c r="R1842" s="2433"/>
    </row>
    <row r="1843" spans="1:18" s="2450" customFormat="1" ht="18" customHeight="1">
      <c r="A1843" s="2443"/>
      <c r="B1843" s="2444">
        <v>1</v>
      </c>
      <c r="C1843" s="2445" t="str">
        <f t="shared" si="1669"/>
        <v>Borne para neutro.</v>
      </c>
      <c r="D1843" s="2451" t="s">
        <v>436</v>
      </c>
      <c r="E1843" s="2447">
        <f t="shared" si="1670"/>
        <v>4</v>
      </c>
      <c r="F1843" s="2438">
        <f t="shared" ref="F1843:F1844" si="1671">+E1843*B1843</f>
        <v>4</v>
      </c>
      <c r="G1843" s="2448"/>
      <c r="H1843" s="2448"/>
      <c r="I1843" s="2448"/>
      <c r="J1843" s="2449"/>
      <c r="K1843" s="2426">
        <f t="shared" si="1664"/>
        <v>1</v>
      </c>
      <c r="L1843" s="2427">
        <f>L1841</f>
        <v>2</v>
      </c>
      <c r="M1843" s="2428">
        <f t="shared" ref="M1843:M1845" si="1672">IF(B1843="",1,B1843)</f>
        <v>1</v>
      </c>
      <c r="N1843" s="2429" t="str">
        <f t="shared" ref="N1843:N1844" si="1673">IF(O1843&lt;&gt;"",K1843*L1843*M1843,"")</f>
        <v/>
      </c>
      <c r="O1843" s="2430" t="str">
        <f t="shared" ref="O1843:O1844" si="1674">IF(D1843&lt;&gt;"",IF(VLOOKUP(D1843,base_datos,7,FALSE)&lt;&gt;"",VLOOKUP(D1843,base_datos,7,FALSE),""),"")</f>
        <v/>
      </c>
      <c r="P1843" s="2431" t="str">
        <f t="shared" ref="P1843:P1844" si="1675">IF(O1843&lt;&gt;"",VLOOKUP(D1843,base_datos,6,FALSE),"")</f>
        <v/>
      </c>
      <c r="Q1843" s="2432" t="str">
        <f t="shared" ref="Q1843:Q1844" si="1676">IF(O1843&lt;&gt;"",D1843,"")</f>
        <v/>
      </c>
      <c r="R1843" s="2433"/>
    </row>
    <row r="1844" spans="1:18" s="2450" customFormat="1" ht="18" customHeight="1">
      <c r="A1844" s="2443"/>
      <c r="B1844" s="2444">
        <v>2</v>
      </c>
      <c r="C1844" s="2445" t="str">
        <f t="shared" si="1669"/>
        <v>Borne 4mm2.</v>
      </c>
      <c r="D1844" s="2446" t="s">
        <v>437</v>
      </c>
      <c r="E1844" s="2447">
        <f t="shared" si="1670"/>
        <v>2.5</v>
      </c>
      <c r="F1844" s="2438">
        <f t="shared" si="1671"/>
        <v>5</v>
      </c>
      <c r="G1844" s="2448"/>
      <c r="H1844" s="2448"/>
      <c r="I1844" s="2448"/>
      <c r="J1844" s="2449"/>
      <c r="K1844" s="2426">
        <f t="shared" si="1664"/>
        <v>1</v>
      </c>
      <c r="L1844" s="2427">
        <f t="shared" ref="L1844" si="1677">L1843</f>
        <v>2</v>
      </c>
      <c r="M1844" s="2428">
        <f t="shared" si="1672"/>
        <v>2</v>
      </c>
      <c r="N1844" s="2429" t="str">
        <f t="shared" si="1673"/>
        <v/>
      </c>
      <c r="O1844" s="2430" t="str">
        <f t="shared" si="1674"/>
        <v/>
      </c>
      <c r="P1844" s="2431" t="str">
        <f t="shared" si="1675"/>
        <v/>
      </c>
      <c r="Q1844" s="2432" t="str">
        <f t="shared" si="1676"/>
        <v/>
      </c>
      <c r="R1844" s="2433"/>
    </row>
    <row r="1845" spans="1:18" s="2433" customFormat="1">
      <c r="A1845" s="2418"/>
      <c r="B1845" s="2452"/>
      <c r="C1845" s="2453" t="s">
        <v>729</v>
      </c>
      <c r="D1845" s="2451"/>
      <c r="E1845" s="2454"/>
      <c r="F1845" s="2455"/>
      <c r="G1845" s="2456"/>
      <c r="H1845" s="2456"/>
      <c r="I1845" s="2456"/>
      <c r="J1845" s="2457"/>
      <c r="K1845" s="2426">
        <f t="shared" si="1664"/>
        <v>1</v>
      </c>
      <c r="L1845" s="2458">
        <v>1</v>
      </c>
      <c r="M1845" s="2426">
        <f t="shared" si="1672"/>
        <v>1</v>
      </c>
      <c r="N1845" s="2459" t="str">
        <f>IF(O1845&lt;&gt;"",K1845*L1845*M1845,"")</f>
        <v/>
      </c>
      <c r="O1845" s="2460" t="str">
        <f>IF(D1845&lt;&gt;"",IF(VLOOKUP(D1845,base_datos,7,FALSE)&lt;&gt;"",VLOOKUP(D1845,base_datos,7,FALSE),""),"")</f>
        <v/>
      </c>
      <c r="P1845" s="2461" t="str">
        <f>IF(O1845&lt;&gt;"",VLOOKUP(D1845,base_datos,6,FALSE),"")</f>
        <v/>
      </c>
      <c r="Q1845" s="2433" t="str">
        <f>IF(O1845&lt;&gt;"",D1845,"")</f>
        <v/>
      </c>
    </row>
    <row r="1846" spans="1:18" s="2450" customFormat="1" ht="18" customHeight="1">
      <c r="A1846" s="2462"/>
      <c r="B1846" s="2444">
        <v>1</v>
      </c>
      <c r="C1846" s="2445" t="str">
        <f>VLOOKUP(D1846,base_datos,6,FALSE)</f>
        <v>Rele auxiliar enchufable +4NA/NC (D2PR4B + base D2PA6), 220Vac - marca EATON.</v>
      </c>
      <c r="D1846" s="2446" t="s">
        <v>772</v>
      </c>
      <c r="E1846" s="2447">
        <f>VLOOKUP(D1846,base_datos,5,FALSE)</f>
        <v>27</v>
      </c>
      <c r="F1846" s="2438">
        <f>+E1846*B1846</f>
        <v>27</v>
      </c>
      <c r="G1846" s="2448"/>
      <c r="H1846" s="2448"/>
      <c r="I1846" s="2448"/>
      <c r="J1846" s="2449"/>
      <c r="K1846" s="2426">
        <f t="shared" si="1664"/>
        <v>1</v>
      </c>
      <c r="L1846" s="2463">
        <v>1</v>
      </c>
      <c r="M1846" s="2428">
        <f>IF(B1846="",1,B1846)</f>
        <v>1</v>
      </c>
      <c r="N1846" s="2429">
        <f>IF(O1846&lt;&gt;"",K1846*L1846*M1846,"")</f>
        <v>1</v>
      </c>
      <c r="O1846" s="2430" t="str">
        <f>IF(D1846&lt;&gt;"",IF(VLOOKUP(D1846,base_datos,7,FALSE)&lt;&gt;"",VLOOKUP(D1846,base_datos,7,FALSE),""),"")</f>
        <v>D2PR4B+D2PA6</v>
      </c>
      <c r="P1846" s="2431" t="str">
        <f>IF(O1846&lt;&gt;"",VLOOKUP(D1846,base_datos,6,FALSE),"")</f>
        <v>Rele auxiliar enchufable +4NA/NC (D2PR4B + base D2PA6), 220Vac - marca EATON.</v>
      </c>
      <c r="Q1846" s="2432" t="str">
        <f>IF(O1846&lt;&gt;"",D1846,"")</f>
        <v>D2PR4B+D2PA6</v>
      </c>
      <c r="R1846" s="2433"/>
    </row>
    <row r="1847" spans="1:18" s="2450" customFormat="1" ht="18" customHeight="1">
      <c r="A1847" s="2443"/>
      <c r="B1847" s="2444">
        <v>4</v>
      </c>
      <c r="C1847" s="2445" t="str">
        <f t="shared" ref="C1847:C1849" si="1678">VLOOKUP(D1847,base_datos,6,FALSE)</f>
        <v>Borne 4mm2.</v>
      </c>
      <c r="D1847" s="2446" t="s">
        <v>437</v>
      </c>
      <c r="E1847" s="2447">
        <f t="shared" ref="E1847:E1849" si="1679">VLOOKUP(D1847,base_datos,5,FALSE)</f>
        <v>2.5</v>
      </c>
      <c r="F1847" s="2438">
        <f t="shared" ref="F1847:F1849" si="1680">+E1847*B1847</f>
        <v>10</v>
      </c>
      <c r="G1847" s="2448"/>
      <c r="H1847" s="2448"/>
      <c r="I1847" s="2448"/>
      <c r="J1847" s="2449"/>
      <c r="K1847" s="2426">
        <f t="shared" si="1664"/>
        <v>1</v>
      </c>
      <c r="L1847" s="2463">
        <v>1</v>
      </c>
      <c r="M1847" s="2428">
        <f t="shared" ref="M1847:M1849" si="1681">IF(B1847="",1,B1847)</f>
        <v>4</v>
      </c>
      <c r="N1847" s="2429" t="str">
        <f t="shared" ref="N1847:N1850" si="1682">IF(O1847&lt;&gt;"",K1847*L1847*M1847,"")</f>
        <v/>
      </c>
      <c r="O1847" s="2430" t="str">
        <f t="shared" ref="O1847:O1850" si="1683">IF(D1847&lt;&gt;"",IF(VLOOKUP(D1847,base_datos,7,FALSE)&lt;&gt;"",VLOOKUP(D1847,base_datos,7,FALSE),""),"")</f>
        <v/>
      </c>
      <c r="P1847" s="2431" t="str">
        <f t="shared" ref="P1847:P1850" si="1684">IF(O1847&lt;&gt;"",VLOOKUP(D1847,base_datos,6,FALSE),"")</f>
        <v/>
      </c>
      <c r="Q1847" s="2432" t="str">
        <f t="shared" ref="Q1847:Q1850" si="1685">IF(O1847&lt;&gt;"",D1847,"")</f>
        <v/>
      </c>
      <c r="R1847" s="2433"/>
    </row>
    <row r="1848" spans="1:18" s="2450" customFormat="1" ht="18" customHeight="1">
      <c r="A1848" s="2443"/>
      <c r="B1848" s="2444">
        <v>1</v>
      </c>
      <c r="C1848" s="2445" t="str">
        <f t="shared" si="1678"/>
        <v>Base portafusibles + Fusibles de protección para control.</v>
      </c>
      <c r="D1848" s="2446" t="s">
        <v>453</v>
      </c>
      <c r="E1848" s="2447">
        <f t="shared" si="1679"/>
        <v>8.1750000000000007</v>
      </c>
      <c r="F1848" s="2438">
        <f t="shared" si="1680"/>
        <v>8.1750000000000007</v>
      </c>
      <c r="G1848" s="2448"/>
      <c r="H1848" s="2448"/>
      <c r="I1848" s="2448"/>
      <c r="J1848" s="2449"/>
      <c r="K1848" s="2426">
        <f t="shared" si="1664"/>
        <v>1</v>
      </c>
      <c r="L1848" s="2463">
        <v>1</v>
      </c>
      <c r="M1848" s="2428">
        <f t="shared" si="1681"/>
        <v>1</v>
      </c>
      <c r="N1848" s="2429" t="str">
        <f t="shared" si="1682"/>
        <v/>
      </c>
      <c r="O1848" s="2430" t="str">
        <f t="shared" si="1683"/>
        <v/>
      </c>
      <c r="P1848" s="2431" t="str">
        <f t="shared" si="1684"/>
        <v/>
      </c>
      <c r="Q1848" s="2432" t="str">
        <f t="shared" si="1685"/>
        <v/>
      </c>
      <c r="R1848" s="2433"/>
    </row>
    <row r="1849" spans="1:18" s="2450" customFormat="1" ht="18" customHeight="1">
      <c r="A1849" s="2443"/>
      <c r="B1849" s="2444">
        <v>1</v>
      </c>
      <c r="C1849" s="2445" t="str">
        <f t="shared" si="1678"/>
        <v>Borne para neutro.</v>
      </c>
      <c r="D1849" s="2451" t="s">
        <v>436</v>
      </c>
      <c r="E1849" s="2447">
        <f t="shared" si="1679"/>
        <v>4</v>
      </c>
      <c r="F1849" s="2438">
        <f t="shared" si="1680"/>
        <v>4</v>
      </c>
      <c r="G1849" s="2448"/>
      <c r="H1849" s="2448"/>
      <c r="I1849" s="2448"/>
      <c r="J1849" s="2449"/>
      <c r="K1849" s="2426">
        <f t="shared" si="1664"/>
        <v>1</v>
      </c>
      <c r="L1849" s="2427">
        <f t="shared" ref="L1849" si="1686">L1848</f>
        <v>1</v>
      </c>
      <c r="M1849" s="2428">
        <f t="shared" si="1681"/>
        <v>1</v>
      </c>
      <c r="N1849" s="2429" t="str">
        <f t="shared" si="1682"/>
        <v/>
      </c>
      <c r="O1849" s="2430" t="str">
        <f t="shared" si="1683"/>
        <v/>
      </c>
      <c r="P1849" s="2431" t="str">
        <f t="shared" si="1684"/>
        <v/>
      </c>
      <c r="Q1849" s="2432" t="str">
        <f t="shared" si="1685"/>
        <v/>
      </c>
      <c r="R1849" s="2433"/>
    </row>
    <row r="1850" spans="1:18" s="185" customFormat="1" ht="21" customHeight="1">
      <c r="A1850" s="692"/>
      <c r="B1850" s="714"/>
      <c r="C1850" s="1893" t="s">
        <v>729</v>
      </c>
      <c r="D1850" s="1941"/>
      <c r="E1850" s="1786"/>
      <c r="F1850" s="1787"/>
      <c r="G1850" s="710"/>
      <c r="H1850" s="710"/>
      <c r="I1850" s="710"/>
      <c r="J1850" s="711"/>
      <c r="K1850" s="684">
        <f t="shared" si="1626"/>
        <v>1</v>
      </c>
      <c r="L1850" s="363">
        <v>1</v>
      </c>
      <c r="M1850" s="709">
        <f>IF(B1850="",1,B1850)</f>
        <v>1</v>
      </c>
      <c r="N1850" s="362" t="str">
        <f t="shared" si="1682"/>
        <v/>
      </c>
      <c r="O1850" s="1763" t="str">
        <f t="shared" si="1683"/>
        <v/>
      </c>
      <c r="P1850" s="1764" t="str">
        <f t="shared" si="1684"/>
        <v/>
      </c>
      <c r="Q1850" s="120" t="str">
        <f t="shared" si="1685"/>
        <v/>
      </c>
    </row>
    <row r="1851" spans="1:18" s="315" customFormat="1">
      <c r="A1851" s="1785"/>
      <c r="B1851" s="1906">
        <v>2</v>
      </c>
      <c r="C1851" s="1944" t="s">
        <v>13041</v>
      </c>
      <c r="D1851" s="1941"/>
      <c r="E1851" s="1786"/>
      <c r="F1851" s="1908">
        <f>SUM(F1852:F1857)*(B1851-1)</f>
        <v>52.984999999999999</v>
      </c>
      <c r="G1851" s="712"/>
      <c r="H1851" s="712"/>
      <c r="I1851" s="712"/>
      <c r="J1851" s="713"/>
      <c r="K1851" s="684">
        <f>+K1838</f>
        <v>1</v>
      </c>
      <c r="L1851" s="2224">
        <f>B1851</f>
        <v>2</v>
      </c>
      <c r="M1851" s="709">
        <f>IF(B1851="",1,B1851)</f>
        <v>2</v>
      </c>
      <c r="N1851" s="362" t="str">
        <f t="shared" si="1628"/>
        <v/>
      </c>
      <c r="O1851" s="1763" t="str">
        <f t="shared" si="1629"/>
        <v/>
      </c>
      <c r="P1851" s="1764" t="str">
        <f t="shared" si="1630"/>
        <v/>
      </c>
      <c r="Q1851" s="120" t="str">
        <f t="shared" si="1631"/>
        <v/>
      </c>
    </row>
    <row r="1852" spans="1:18" s="690" customFormat="1" ht="18" customHeight="1">
      <c r="A1852" s="691"/>
      <c r="B1852" s="1781">
        <v>1</v>
      </c>
      <c r="C1852" s="1420" t="str">
        <f>VLOOKUP(D1852,base_datos,6,FALSE)</f>
        <v>Contactor 3x09A(AC-3) / 3x25A(AC-1) +1NA - AF09-30-10-13 - bobina 100-250Vac/dc - marca ABB.</v>
      </c>
      <c r="D1852" s="1901" t="s">
        <v>1447</v>
      </c>
      <c r="E1852" s="1791">
        <f>VLOOKUP(D1852,base_datos,5,FALSE)</f>
        <v>29.89</v>
      </c>
      <c r="F1852" s="1912">
        <f>+E1852*B1852</f>
        <v>29.89</v>
      </c>
      <c r="G1852" s="1761"/>
      <c r="H1852" s="1761"/>
      <c r="I1852" s="1761"/>
      <c r="J1852" s="1783"/>
      <c r="K1852" s="684">
        <f t="shared" si="1626"/>
        <v>1</v>
      </c>
      <c r="L1852" s="1913">
        <f>L1851</f>
        <v>2</v>
      </c>
      <c r="M1852" s="709">
        <f t="shared" ref="M1852:M1857" si="1687">IF(B1852="",1,B1852)</f>
        <v>1</v>
      </c>
      <c r="N1852" s="362">
        <f t="shared" si="1628"/>
        <v>2</v>
      </c>
      <c r="O1852" s="1763" t="str">
        <f t="shared" si="1629"/>
        <v>1SBL137001R1310</v>
      </c>
      <c r="P1852" s="1764" t="str">
        <f t="shared" si="1630"/>
        <v>Contactor 3x09A(AC-3) / 3x25A(AC-1) +1NA - AF09-30-10-13 - bobina 100-250Vac/dc - marca ABB.</v>
      </c>
      <c r="Q1852" s="120" t="str">
        <f t="shared" si="1631"/>
        <v>AF09-30-10-13_3p</v>
      </c>
      <c r="R1852" s="185"/>
    </row>
    <row r="1853" spans="1:18" s="690" customFormat="1" ht="18" customHeight="1">
      <c r="A1853" s="1785"/>
      <c r="B1853" s="1922">
        <v>1</v>
      </c>
      <c r="C1853" s="1848" t="str">
        <f>VLOOKUP(D1853,base_datos,6,FALSE)</f>
        <v>Contacto auxiliar frontal 1NA para contactor AF09..AF16-30-10, frontal - Modelo CA4-10 - marca ABB.</v>
      </c>
      <c r="D1853" s="1901" t="s">
        <v>2718</v>
      </c>
      <c r="E1853" s="1791">
        <f>VLOOKUP(D1853,base_datos,5,FALSE)</f>
        <v>5.92</v>
      </c>
      <c r="F1853" s="1912">
        <f>+E1853*B1853</f>
        <v>5.92</v>
      </c>
      <c r="G1853" s="1761"/>
      <c r="H1853" s="1761"/>
      <c r="I1853" s="1761"/>
      <c r="J1853" s="1783"/>
      <c r="K1853" s="684">
        <f t="shared" si="1626"/>
        <v>1</v>
      </c>
      <c r="L1853" s="1913">
        <f t="shared" ref="L1853" si="1688">L1852</f>
        <v>2</v>
      </c>
      <c r="M1853" s="709">
        <f t="shared" si="1687"/>
        <v>1</v>
      </c>
      <c r="N1853" s="362">
        <f t="shared" si="1628"/>
        <v>2</v>
      </c>
      <c r="O1853" s="1763" t="str">
        <f t="shared" si="1629"/>
        <v>1SBN010110R1010</v>
      </c>
      <c r="P1853" s="1764" t="str">
        <f t="shared" si="1630"/>
        <v>Contacto auxiliar frontal 1NA para contactor AF09..AF16-30-10, frontal - Modelo CA4-10 - marca ABB.</v>
      </c>
      <c r="Q1853" s="120" t="str">
        <f t="shared" si="1631"/>
        <v>CA4-10</v>
      </c>
      <c r="R1853" s="185"/>
    </row>
    <row r="1854" spans="1:18" s="1921" customFormat="1">
      <c r="A1854" s="687"/>
      <c r="B1854" s="1914">
        <v>1</v>
      </c>
      <c r="C1854" s="1915" t="s">
        <v>3366</v>
      </c>
      <c r="D1854" s="1916"/>
      <c r="E1854" s="1917"/>
      <c r="F1854" s="1918"/>
      <c r="G1854" s="1919"/>
      <c r="H1854" s="1919"/>
      <c r="I1854" s="1919"/>
      <c r="J1854" s="1920"/>
      <c r="K1854" s="684">
        <f t="shared" si="1626"/>
        <v>1</v>
      </c>
      <c r="L1854" s="1913">
        <f>L1853</f>
        <v>2</v>
      </c>
      <c r="M1854" s="684">
        <f t="shared" si="1687"/>
        <v>1</v>
      </c>
      <c r="N1854" s="362" t="str">
        <f t="shared" ref="N1854" si="1689">IF(O1854&lt;&gt;"",K1854*L1854*M1854,"")</f>
        <v/>
      </c>
      <c r="O1854" s="1763" t="str">
        <f t="shared" ref="O1854" si="1690">IF(D1854&lt;&gt;"",IF(VLOOKUP(D1854,base_datos,7,FALSE)&lt;&gt;"",VLOOKUP(D1854,base_datos,7,FALSE),""),"")</f>
        <v/>
      </c>
      <c r="P1854" s="1764" t="str">
        <f t="shared" ref="P1854" si="1691">IF(O1854&lt;&gt;"",VLOOKUP(D1854,base_datos,6,FALSE),"")</f>
        <v/>
      </c>
      <c r="Q1854" s="120" t="str">
        <f t="shared" ref="Q1854" si="1692">IF(O1854&lt;&gt;"",D1854,"")</f>
        <v/>
      </c>
    </row>
    <row r="1855" spans="1:18" s="695" customFormat="1" ht="18" customHeight="1">
      <c r="A1855" s="1785"/>
      <c r="B1855" s="1922">
        <v>1</v>
      </c>
      <c r="C1855" s="1848" t="str">
        <f t="shared" ref="C1855:C1857" si="1693">VLOOKUP(D1855,base_datos,6,FALSE)</f>
        <v>Base portafusibles + Fusibles de protección para control.</v>
      </c>
      <c r="D1855" s="1886" t="s">
        <v>453</v>
      </c>
      <c r="E1855" s="1795">
        <f t="shared" ref="E1855:E1857" si="1694">VLOOKUP(D1855,base_datos,5,FALSE)</f>
        <v>8.1750000000000007</v>
      </c>
      <c r="F1855" s="1923">
        <f t="shared" ref="F1855:F1857" si="1695">+E1855*B1855</f>
        <v>8.1750000000000007</v>
      </c>
      <c r="G1855" s="696"/>
      <c r="H1855" s="696"/>
      <c r="I1855" s="696"/>
      <c r="J1855" s="697"/>
      <c r="K1855" s="684">
        <f t="shared" si="1626"/>
        <v>1</v>
      </c>
      <c r="L1855" s="1913">
        <f>L1852</f>
        <v>2</v>
      </c>
      <c r="M1855" s="709">
        <f t="shared" si="1687"/>
        <v>1</v>
      </c>
      <c r="N1855" s="362" t="str">
        <f t="shared" si="1628"/>
        <v/>
      </c>
      <c r="O1855" s="1763" t="str">
        <f t="shared" si="1629"/>
        <v/>
      </c>
      <c r="P1855" s="1764" t="str">
        <f t="shared" si="1630"/>
        <v/>
      </c>
      <c r="Q1855" s="120" t="str">
        <f t="shared" si="1631"/>
        <v/>
      </c>
      <c r="R1855" s="185"/>
    </row>
    <row r="1856" spans="1:18" s="695" customFormat="1" ht="18" customHeight="1">
      <c r="A1856" s="1785"/>
      <c r="B1856" s="1922">
        <v>1</v>
      </c>
      <c r="C1856" s="1848" t="str">
        <f t="shared" si="1693"/>
        <v>Borne para neutro.</v>
      </c>
      <c r="D1856" s="1886" t="s">
        <v>436</v>
      </c>
      <c r="E1856" s="1795">
        <f t="shared" si="1694"/>
        <v>4</v>
      </c>
      <c r="F1856" s="1923">
        <f t="shared" si="1695"/>
        <v>4</v>
      </c>
      <c r="G1856" s="696"/>
      <c r="H1856" s="696"/>
      <c r="I1856" s="696"/>
      <c r="J1856" s="697"/>
      <c r="K1856" s="684">
        <f t="shared" si="1626"/>
        <v>1</v>
      </c>
      <c r="L1856" s="1913">
        <f>L1853</f>
        <v>2</v>
      </c>
      <c r="M1856" s="709">
        <f t="shared" si="1687"/>
        <v>1</v>
      </c>
      <c r="N1856" s="362" t="str">
        <f t="shared" si="1628"/>
        <v/>
      </c>
      <c r="O1856" s="1763" t="str">
        <f t="shared" si="1629"/>
        <v/>
      </c>
      <c r="P1856" s="1764" t="str">
        <f t="shared" si="1630"/>
        <v/>
      </c>
      <c r="Q1856" s="120" t="str">
        <f t="shared" si="1631"/>
        <v/>
      </c>
      <c r="R1856" s="185"/>
    </row>
    <row r="1857" spans="1:20" s="695" customFormat="1" ht="18" customHeight="1">
      <c r="A1857" s="1785"/>
      <c r="B1857" s="1922">
        <v>2</v>
      </c>
      <c r="C1857" s="1848" t="str">
        <f t="shared" si="1693"/>
        <v>Borne 4mm2.</v>
      </c>
      <c r="D1857" s="1886" t="s">
        <v>437</v>
      </c>
      <c r="E1857" s="1795">
        <f t="shared" si="1694"/>
        <v>2.5</v>
      </c>
      <c r="F1857" s="1923">
        <f t="shared" si="1695"/>
        <v>5</v>
      </c>
      <c r="G1857" s="696"/>
      <c r="H1857" s="696"/>
      <c r="I1857" s="696"/>
      <c r="J1857" s="697"/>
      <c r="K1857" s="684">
        <f t="shared" si="1626"/>
        <v>1</v>
      </c>
      <c r="L1857" s="1913">
        <f t="shared" ref="L1857" si="1696">L1856</f>
        <v>2</v>
      </c>
      <c r="M1857" s="709">
        <f t="shared" si="1687"/>
        <v>2</v>
      </c>
      <c r="N1857" s="362" t="str">
        <f t="shared" si="1628"/>
        <v/>
      </c>
      <c r="O1857" s="1763" t="str">
        <f t="shared" si="1629"/>
        <v/>
      </c>
      <c r="P1857" s="1764" t="str">
        <f t="shared" si="1630"/>
        <v/>
      </c>
      <c r="Q1857" s="120" t="str">
        <f t="shared" si="1631"/>
        <v/>
      </c>
      <c r="R1857" s="185"/>
    </row>
    <row r="1858" spans="1:20" s="185" customFormat="1" ht="18" customHeight="1">
      <c r="A1858" s="1785"/>
      <c r="B1858" s="714"/>
      <c r="C1858" s="1893" t="s">
        <v>729</v>
      </c>
      <c r="D1858" s="173"/>
      <c r="E1858" s="1786"/>
      <c r="F1858" s="1787"/>
      <c r="G1858" s="710"/>
      <c r="H1858" s="710"/>
      <c r="I1858" s="710"/>
      <c r="J1858" s="711"/>
      <c r="K1858" s="684">
        <f t="shared" si="1626"/>
        <v>1</v>
      </c>
      <c r="L1858" s="708">
        <v>1</v>
      </c>
      <c r="M1858" s="709">
        <f t="shared" ref="M1858:M1879" si="1697">IF(B1858="",1,B1858)</f>
        <v>1</v>
      </c>
      <c r="N1858" s="362" t="str">
        <f t="shared" si="1628"/>
        <v/>
      </c>
      <c r="O1858" s="1763" t="str">
        <f t="shared" si="1629"/>
        <v/>
      </c>
      <c r="P1858" s="1764" t="str">
        <f t="shared" si="1630"/>
        <v/>
      </c>
      <c r="Q1858" s="120" t="str">
        <f t="shared" si="1631"/>
        <v/>
      </c>
    </row>
    <row r="1859" spans="1:20" s="315" customFormat="1" ht="12.75" customHeight="1">
      <c r="A1859" s="2271"/>
      <c r="B1859" s="2272">
        <v>1</v>
      </c>
      <c r="C1859" s="2281" t="s">
        <v>13366</v>
      </c>
      <c r="D1859" s="1935"/>
      <c r="E1859" s="2287"/>
      <c r="F1859" s="2257">
        <f>+SUM(F1860:F1863)*(B1859-1)</f>
        <v>0</v>
      </c>
      <c r="G1859" s="712"/>
      <c r="H1859" s="712"/>
      <c r="I1859" s="712"/>
      <c r="J1859" s="713"/>
      <c r="K1859" s="684">
        <f>+K1857</f>
        <v>1</v>
      </c>
      <c r="L1859" s="2258">
        <v>1</v>
      </c>
      <c r="M1859" s="120">
        <f t="shared" si="1697"/>
        <v>1</v>
      </c>
      <c r="N1859" s="112" t="str">
        <f t="shared" si="1628"/>
        <v/>
      </c>
      <c r="O1859" s="112" t="str">
        <f t="shared" si="1629"/>
        <v/>
      </c>
      <c r="P1859" s="120" t="str">
        <f t="shared" si="1630"/>
        <v/>
      </c>
      <c r="Q1859" s="120" t="str">
        <f t="shared" si="1631"/>
        <v/>
      </c>
      <c r="S1859" s="112" t="str">
        <f t="shared" ref="S1859:S1863" si="1698">IF(O1859&lt;&gt;"",VLOOKUP(D1859,base_datos,9,FALSE),"")</f>
        <v/>
      </c>
      <c r="T1859" s="2128"/>
    </row>
    <row r="1860" spans="1:20" s="690" customFormat="1" ht="18" customHeight="1">
      <c r="A1860" s="2273"/>
      <c r="B1860" s="1781">
        <v>1</v>
      </c>
      <c r="C1860" s="1420" t="str">
        <f t="shared" ref="C1860:C1863" si="1699">VLOOKUP(D1860,base_datos,6,FALSE)</f>
        <v>Calefactor resistivo 60W, modelo RACM - marca FANDIS.</v>
      </c>
      <c r="D1860" s="1899" t="s">
        <v>3298</v>
      </c>
      <c r="E1860" s="2288">
        <f t="shared" ref="E1860" si="1700">VLOOKUP(D1860,base_datos,5,FALSE)</f>
        <v>127.1</v>
      </c>
      <c r="F1860" s="1782">
        <f>+E1860*B1860</f>
        <v>127.1</v>
      </c>
      <c r="G1860" s="1761"/>
      <c r="H1860" s="1761"/>
      <c r="I1860" s="1761"/>
      <c r="J1860" s="689"/>
      <c r="K1860" s="684">
        <f t="shared" ref="K1860:K1863" si="1701">+K1859</f>
        <v>1</v>
      </c>
      <c r="L1860" s="2258">
        <v>1</v>
      </c>
      <c r="M1860" s="120">
        <f t="shared" si="1697"/>
        <v>1</v>
      </c>
      <c r="N1860" s="112">
        <f t="shared" si="1628"/>
        <v>1</v>
      </c>
      <c r="O1860" s="112" t="str">
        <f t="shared" si="1629"/>
        <v>RACM-60</v>
      </c>
      <c r="P1860" s="120" t="str">
        <f t="shared" si="1630"/>
        <v>Calefactor resistivo 60W, modelo RACM - marca FANDIS.</v>
      </c>
      <c r="Q1860" s="120" t="str">
        <f t="shared" si="1631"/>
        <v>CALEFACT-60W_FAND</v>
      </c>
      <c r="S1860" s="112" t="str">
        <f t="shared" si="1698"/>
        <v>FANDIS</v>
      </c>
      <c r="T1860" s="1765"/>
    </row>
    <row r="1861" spans="1:20" s="690" customFormat="1" ht="18" customHeight="1">
      <c r="A1861" s="2273"/>
      <c r="B1861" s="1781">
        <v>1</v>
      </c>
      <c r="C1861" s="1420" t="str">
        <f t="shared" si="1699"/>
        <v>Termostato para ventilación - 1NA - 230V - marca FANDIS.</v>
      </c>
      <c r="D1861" s="1899" t="s">
        <v>3294</v>
      </c>
      <c r="E1861" s="2288">
        <f t="shared" ref="E1861:E1863" si="1702">VLOOKUP(D1861,base_datos,5,FALSE)</f>
        <v>41.58</v>
      </c>
      <c r="F1861" s="1782">
        <f>+E1861*B1861</f>
        <v>41.58</v>
      </c>
      <c r="G1861" s="1761"/>
      <c r="H1861" s="1761"/>
      <c r="I1861" s="1761"/>
      <c r="J1861" s="689"/>
      <c r="K1861" s="684">
        <f t="shared" si="1701"/>
        <v>1</v>
      </c>
      <c r="L1861" s="2258">
        <v>1</v>
      </c>
      <c r="M1861" s="120">
        <f t="shared" si="1697"/>
        <v>1</v>
      </c>
      <c r="N1861" s="112">
        <f t="shared" si="1628"/>
        <v>1</v>
      </c>
      <c r="O1861" s="112" t="str">
        <f t="shared" si="1629"/>
        <v>TRT-10A230V-NO</v>
      </c>
      <c r="P1861" s="120" t="str">
        <f t="shared" si="1630"/>
        <v>Termostato para ventilación - 1NA - 230V - marca FANDIS.</v>
      </c>
      <c r="Q1861" s="120" t="str">
        <f t="shared" si="1631"/>
        <v>TRT-1NA</v>
      </c>
      <c r="S1861" s="112" t="str">
        <f t="shared" si="1698"/>
        <v>FANDIS</v>
      </c>
      <c r="T1861" s="1765"/>
    </row>
    <row r="1862" spans="1:20" s="320" customFormat="1" ht="12.75" customHeight="1">
      <c r="A1862" s="2274"/>
      <c r="B1862" s="2275">
        <v>1</v>
      </c>
      <c r="C1862" s="2282" t="str">
        <f t="shared" si="1699"/>
        <v>Base portafusibles + Fusibles de protección para control.</v>
      </c>
      <c r="D1862" s="1579" t="s">
        <v>453</v>
      </c>
      <c r="E1862" s="2289">
        <f t="shared" si="1702"/>
        <v>8.1750000000000007</v>
      </c>
      <c r="F1862" s="2264">
        <f>+E1862*B1862</f>
        <v>8.1750000000000007</v>
      </c>
      <c r="G1862" s="2276"/>
      <c r="H1862" s="2276"/>
      <c r="I1862" s="2276"/>
      <c r="J1862" s="722"/>
      <c r="K1862" s="684">
        <f t="shared" si="1701"/>
        <v>1</v>
      </c>
      <c r="L1862" s="2258">
        <v>1</v>
      </c>
      <c r="M1862" s="120">
        <f t="shared" si="1697"/>
        <v>1</v>
      </c>
      <c r="N1862" s="112" t="str">
        <f t="shared" si="1628"/>
        <v/>
      </c>
      <c r="O1862" s="112" t="str">
        <f t="shared" si="1629"/>
        <v/>
      </c>
      <c r="P1862" s="120" t="str">
        <f t="shared" si="1630"/>
        <v/>
      </c>
      <c r="Q1862" s="120" t="str">
        <f t="shared" si="1631"/>
        <v/>
      </c>
      <c r="R1862" s="185"/>
      <c r="S1862" s="112" t="str">
        <f t="shared" si="1698"/>
        <v/>
      </c>
      <c r="T1862" s="709"/>
    </row>
    <row r="1863" spans="1:20" s="320" customFormat="1" ht="12.75" customHeight="1">
      <c r="A1863" s="2274"/>
      <c r="B1863" s="2277">
        <v>1</v>
      </c>
      <c r="C1863" s="2282" t="str">
        <f t="shared" si="1699"/>
        <v>Borne 4mm2.</v>
      </c>
      <c r="D1863" s="1579" t="s">
        <v>437</v>
      </c>
      <c r="E1863" s="2260">
        <f t="shared" si="1702"/>
        <v>2.5</v>
      </c>
      <c r="F1863" s="2260">
        <f>+E1863*B1863</f>
        <v>2.5</v>
      </c>
      <c r="G1863" s="2276"/>
      <c r="H1863" s="2276"/>
      <c r="I1863" s="2276"/>
      <c r="J1863" s="722"/>
      <c r="K1863" s="684">
        <f t="shared" si="1701"/>
        <v>1</v>
      </c>
      <c r="L1863" s="2258">
        <v>1</v>
      </c>
      <c r="M1863" s="120">
        <f t="shared" si="1697"/>
        <v>1</v>
      </c>
      <c r="N1863" s="112" t="str">
        <f t="shared" si="1628"/>
        <v/>
      </c>
      <c r="O1863" s="112" t="str">
        <f t="shared" si="1629"/>
        <v/>
      </c>
      <c r="P1863" s="120" t="str">
        <f t="shared" si="1630"/>
        <v/>
      </c>
      <c r="Q1863" s="120" t="str">
        <f t="shared" si="1631"/>
        <v/>
      </c>
      <c r="R1863" s="185"/>
      <c r="S1863" s="112" t="str">
        <f t="shared" si="1698"/>
        <v/>
      </c>
      <c r="T1863" s="709"/>
    </row>
    <row r="1864" spans="1:20" s="185" customFormat="1" ht="18" customHeight="1">
      <c r="A1864" s="1785"/>
      <c r="B1864" s="714"/>
      <c r="C1864" s="1893" t="s">
        <v>729</v>
      </c>
      <c r="D1864" s="173"/>
      <c r="E1864" s="1786"/>
      <c r="F1864" s="1787"/>
      <c r="G1864" s="710"/>
      <c r="H1864" s="710"/>
      <c r="I1864" s="710"/>
      <c r="J1864" s="711"/>
      <c r="K1864" s="684">
        <f t="shared" ref="K1864" si="1703">+K1862</f>
        <v>1</v>
      </c>
      <c r="L1864" s="708">
        <v>1</v>
      </c>
      <c r="M1864" s="709">
        <f t="shared" si="1697"/>
        <v>1</v>
      </c>
      <c r="N1864" s="362" t="str">
        <f t="shared" si="1628"/>
        <v/>
      </c>
      <c r="O1864" s="1763" t="str">
        <f t="shared" si="1629"/>
        <v/>
      </c>
      <c r="P1864" s="1764" t="str">
        <f t="shared" si="1630"/>
        <v/>
      </c>
      <c r="Q1864" s="120" t="str">
        <f t="shared" si="1631"/>
        <v/>
      </c>
    </row>
    <row r="1865" spans="1:20" s="1236" customFormat="1" ht="18" customHeight="1">
      <c r="A1865" s="1785"/>
      <c r="B1865" s="1853">
        <v>1</v>
      </c>
      <c r="C1865" s="1895" t="s">
        <v>12444</v>
      </c>
      <c r="D1865" s="1902"/>
      <c r="E1865" s="1792"/>
      <c r="F1865" s="1793"/>
      <c r="G1865" s="1784"/>
      <c r="H1865" s="1784"/>
      <c r="I1865" s="1784"/>
      <c r="J1865" s="1182"/>
      <c r="K1865" s="684">
        <f>+K1858</f>
        <v>1</v>
      </c>
      <c r="L1865" s="708">
        <v>1</v>
      </c>
      <c r="M1865" s="709">
        <f t="shared" si="1697"/>
        <v>1</v>
      </c>
      <c r="N1865" s="362" t="str">
        <f t="shared" si="1628"/>
        <v/>
      </c>
      <c r="O1865" s="1763" t="str">
        <f t="shared" si="1629"/>
        <v/>
      </c>
      <c r="P1865" s="1764" t="str">
        <f t="shared" si="1630"/>
        <v/>
      </c>
      <c r="Q1865" s="120" t="str">
        <f t="shared" si="1631"/>
        <v/>
      </c>
      <c r="R1865" s="185"/>
    </row>
    <row r="1866" spans="1:20" s="695" customFormat="1" ht="18" customHeight="1">
      <c r="A1866" s="693"/>
      <c r="B1866" s="1922">
        <v>4</v>
      </c>
      <c r="C1866" s="1848" t="str">
        <f t="shared" ref="C1866" si="1704">VLOOKUP(D1866,base_datos,6,FALSE)</f>
        <v>Borne 4mm2.</v>
      </c>
      <c r="D1866" s="1886" t="s">
        <v>437</v>
      </c>
      <c r="E1866" s="1795">
        <f t="shared" ref="E1866" si="1705">VLOOKUP(D1866,base_datos,5,FALSE)</f>
        <v>2.5</v>
      </c>
      <c r="F1866" s="1796">
        <f t="shared" ref="F1866" si="1706">+E1866*B1866</f>
        <v>10</v>
      </c>
      <c r="G1866" s="696"/>
      <c r="H1866" s="696"/>
      <c r="I1866" s="696"/>
      <c r="J1866" s="697"/>
      <c r="K1866" s="684">
        <f t="shared" si="1626"/>
        <v>1</v>
      </c>
      <c r="L1866" s="708">
        <v>1</v>
      </c>
      <c r="M1866" s="709">
        <f t="shared" si="1697"/>
        <v>4</v>
      </c>
      <c r="N1866" s="362" t="str">
        <f t="shared" si="1628"/>
        <v/>
      </c>
      <c r="O1866" s="1763" t="str">
        <f t="shared" si="1629"/>
        <v/>
      </c>
      <c r="P1866" s="1764" t="str">
        <f t="shared" si="1630"/>
        <v/>
      </c>
      <c r="Q1866" s="120" t="str">
        <f t="shared" si="1631"/>
        <v/>
      </c>
      <c r="R1866" s="185"/>
    </row>
    <row r="1867" spans="1:20" s="185" customFormat="1" ht="18" customHeight="1">
      <c r="A1867" s="1785"/>
      <c r="B1867" s="714"/>
      <c r="C1867" s="1893" t="s">
        <v>729</v>
      </c>
      <c r="D1867" s="173"/>
      <c r="E1867" s="1786"/>
      <c r="F1867" s="1787"/>
      <c r="G1867" s="710"/>
      <c r="H1867" s="710"/>
      <c r="I1867" s="710"/>
      <c r="J1867" s="711"/>
      <c r="K1867" s="684">
        <f t="shared" si="1626"/>
        <v>1</v>
      </c>
      <c r="L1867" s="708">
        <v>1</v>
      </c>
      <c r="M1867" s="709">
        <f t="shared" si="1697"/>
        <v>1</v>
      </c>
      <c r="N1867" s="362" t="str">
        <f t="shared" si="1628"/>
        <v/>
      </c>
      <c r="O1867" s="1763" t="str">
        <f t="shared" si="1629"/>
        <v/>
      </c>
      <c r="P1867" s="1764" t="str">
        <f t="shared" si="1630"/>
        <v/>
      </c>
      <c r="Q1867" s="120" t="str">
        <f t="shared" si="1631"/>
        <v/>
      </c>
    </row>
    <row r="1868" spans="1:20" s="1236" customFormat="1" ht="18" customHeight="1">
      <c r="A1868" s="1767"/>
      <c r="B1868" s="1853">
        <v>1</v>
      </c>
      <c r="C1868" s="1895" t="s">
        <v>12364</v>
      </c>
      <c r="D1868" s="1902"/>
      <c r="E1868" s="1792"/>
      <c r="F1868" s="1793"/>
      <c r="G1868" s="1784"/>
      <c r="H1868" s="1784"/>
      <c r="I1868" s="1784"/>
      <c r="J1868" s="1182"/>
      <c r="K1868" s="684">
        <f t="shared" si="1626"/>
        <v>1</v>
      </c>
      <c r="L1868" s="708">
        <v>1</v>
      </c>
      <c r="M1868" s="709">
        <f t="shared" si="1697"/>
        <v>1</v>
      </c>
      <c r="N1868" s="362" t="str">
        <f t="shared" si="1628"/>
        <v/>
      </c>
      <c r="O1868" s="1763" t="str">
        <f t="shared" si="1629"/>
        <v/>
      </c>
      <c r="P1868" s="1764" t="str">
        <f t="shared" si="1630"/>
        <v/>
      </c>
      <c r="Q1868" s="120" t="str">
        <f t="shared" si="1631"/>
        <v/>
      </c>
      <c r="R1868" s="185"/>
    </row>
    <row r="1869" spans="1:20" s="695" customFormat="1" ht="18" customHeight="1">
      <c r="A1869" s="693"/>
      <c r="B1869" s="1922">
        <v>1</v>
      </c>
      <c r="C1869" s="1848" t="str">
        <f t="shared" ref="C1869" si="1707">VLOOKUP(D1869,base_datos,6,FALSE)</f>
        <v>Placa lamicoid rotulación de 3mm de espesor, fondo negro y letras blancas.</v>
      </c>
      <c r="D1869" s="1886" t="s">
        <v>8570</v>
      </c>
      <c r="E1869" s="1795">
        <f t="shared" ref="E1869" si="1708">VLOOKUP(D1869,base_datos,5,FALSE)</f>
        <v>2.2000000000000002</v>
      </c>
      <c r="F1869" s="1796">
        <f t="shared" ref="F1869" si="1709">+E1869*B1869</f>
        <v>2.2000000000000002</v>
      </c>
      <c r="G1869" s="696"/>
      <c r="H1869" s="696"/>
      <c r="I1869" s="696"/>
      <c r="J1869" s="697"/>
      <c r="K1869" s="684">
        <f t="shared" si="1626"/>
        <v>1</v>
      </c>
      <c r="L1869" s="708">
        <v>1</v>
      </c>
      <c r="M1869" s="709">
        <f t="shared" si="1697"/>
        <v>1</v>
      </c>
      <c r="N1869" s="362">
        <f t="shared" si="1628"/>
        <v>1</v>
      </c>
      <c r="O1869" s="1763" t="str">
        <f t="shared" si="1629"/>
        <v>Placa lamicoid p/distr.</v>
      </c>
      <c r="P1869" s="1764" t="str">
        <f t="shared" si="1630"/>
        <v>Placa lamicoid rotulación de 3mm de espesor, fondo negro y letras blancas.</v>
      </c>
      <c r="Q1869" s="120" t="str">
        <f t="shared" si="1631"/>
        <v>Placa lamicoid p/distr.</v>
      </c>
      <c r="R1869" s="185"/>
    </row>
    <row r="1870" spans="1:20" s="1236" customFormat="1" ht="18" customHeight="1">
      <c r="A1870" s="1767"/>
      <c r="B1870" s="1853">
        <v>1</v>
      </c>
      <c r="C1870" s="1895" t="s">
        <v>12474</v>
      </c>
      <c r="D1870" s="1902"/>
      <c r="E1870" s="1792"/>
      <c r="F1870" s="1793"/>
      <c r="G1870" s="1784"/>
      <c r="H1870" s="1784"/>
      <c r="I1870" s="1784"/>
      <c r="J1870" s="1182"/>
      <c r="K1870" s="684">
        <f t="shared" si="1626"/>
        <v>1</v>
      </c>
      <c r="L1870" s="708">
        <v>1</v>
      </c>
      <c r="M1870" s="709">
        <f t="shared" si="1697"/>
        <v>1</v>
      </c>
      <c r="N1870" s="362" t="str">
        <f t="shared" si="1628"/>
        <v/>
      </c>
      <c r="O1870" s="1763" t="str">
        <f t="shared" si="1629"/>
        <v/>
      </c>
      <c r="P1870" s="1764" t="str">
        <f t="shared" si="1630"/>
        <v/>
      </c>
      <c r="Q1870" s="120" t="str">
        <f t="shared" si="1631"/>
        <v/>
      </c>
      <c r="R1870" s="185"/>
    </row>
    <row r="1871" spans="1:20" s="1236" customFormat="1" ht="18" customHeight="1">
      <c r="A1871" s="1767"/>
      <c r="B1871" s="1853">
        <v>1</v>
      </c>
      <c r="C1871" s="1848" t="str">
        <f>VLOOKUP(D1871,base_datos,6,FALSE)</f>
        <v>Embalaje especial completamente cerrado para tablero adosado de 1600x600x220mm</v>
      </c>
      <c r="D1871" s="1902" t="s">
        <v>12453</v>
      </c>
      <c r="E1871" s="1795">
        <f t="shared" ref="E1871" si="1710">VLOOKUP(D1871,base_datos,5,FALSE)</f>
        <v>271.40000000000003</v>
      </c>
      <c r="F1871" s="1796">
        <f t="shared" ref="F1871" si="1711">+E1871*B1871</f>
        <v>271.40000000000003</v>
      </c>
      <c r="G1871" s="1784"/>
      <c r="H1871" s="1784"/>
      <c r="I1871" s="1784"/>
      <c r="J1871" s="1182"/>
      <c r="K1871" s="684">
        <f t="shared" si="1626"/>
        <v>1</v>
      </c>
      <c r="L1871" s="708">
        <v>1</v>
      </c>
      <c r="M1871" s="709">
        <f t="shared" si="1697"/>
        <v>1</v>
      </c>
      <c r="N1871" s="362">
        <f t="shared" si="1628"/>
        <v>1</v>
      </c>
      <c r="O1871" s="1763" t="str">
        <f t="shared" si="1629"/>
        <v>EMBAL_ADOS_1600x600x220mm</v>
      </c>
      <c r="P1871" s="1764" t="str">
        <f t="shared" si="1630"/>
        <v>Embalaje especial completamente cerrado para tablero adosado de 1600x600x220mm</v>
      </c>
      <c r="Q1871" s="120" t="str">
        <f t="shared" si="1631"/>
        <v>EMBAL_ADOS_1600x600x220mm</v>
      </c>
      <c r="R1871" s="185"/>
    </row>
    <row r="1872" spans="1:20" s="185" customFormat="1" ht="18" customHeight="1">
      <c r="A1872" s="1785"/>
      <c r="B1872" s="714"/>
      <c r="C1872" s="1893" t="s">
        <v>729</v>
      </c>
      <c r="D1872" s="173"/>
      <c r="E1872" s="1786"/>
      <c r="F1872" s="1787"/>
      <c r="G1872" s="710"/>
      <c r="H1872" s="710"/>
      <c r="I1872" s="710"/>
      <c r="J1872" s="711"/>
      <c r="K1872" s="684">
        <f t="shared" si="1626"/>
        <v>1</v>
      </c>
      <c r="L1872" s="708">
        <v>1</v>
      </c>
      <c r="M1872" s="709">
        <f t="shared" si="1697"/>
        <v>1</v>
      </c>
      <c r="N1872" s="362" t="str">
        <f t="shared" si="1628"/>
        <v/>
      </c>
      <c r="O1872" s="1763" t="str">
        <f t="shared" si="1629"/>
        <v/>
      </c>
      <c r="P1872" s="1764" t="str">
        <f t="shared" si="1630"/>
        <v/>
      </c>
      <c r="Q1872" s="120" t="str">
        <f t="shared" si="1631"/>
        <v/>
      </c>
    </row>
    <row r="1873" spans="1:18" s="695" customFormat="1" ht="18" customHeight="1">
      <c r="A1873" s="693"/>
      <c r="B1873" s="1794">
        <v>1</v>
      </c>
      <c r="C1873" s="1420" t="str">
        <f t="shared" ref="C1873" si="1712">VLOOKUP(D1873,base_datos,6,FALSE)</f>
        <v>Barra a tierra.</v>
      </c>
      <c r="D1873" s="1790" t="s">
        <v>8299</v>
      </c>
      <c r="E1873" s="1795">
        <f t="shared" ref="E1873" si="1713">VLOOKUP(D1873,base_datos,5,FALSE)</f>
        <v>10</v>
      </c>
      <c r="F1873" s="1796">
        <f t="shared" ref="F1873:F1879" si="1714">+E1873*B1873</f>
        <v>10</v>
      </c>
      <c r="G1873" s="696"/>
      <c r="H1873" s="696"/>
      <c r="I1873" s="696"/>
      <c r="J1873" s="697"/>
      <c r="K1873" s="684">
        <f t="shared" si="1626"/>
        <v>1</v>
      </c>
      <c r="L1873" s="708">
        <v>1</v>
      </c>
      <c r="M1873" s="709">
        <f t="shared" si="1697"/>
        <v>1</v>
      </c>
      <c r="N1873" s="362" t="str">
        <f t="shared" si="1628"/>
        <v/>
      </c>
      <c r="O1873" s="1763" t="str">
        <f t="shared" si="1629"/>
        <v/>
      </c>
      <c r="P1873" s="1764" t="str">
        <f t="shared" si="1630"/>
        <v/>
      </c>
      <c r="Q1873" s="120" t="str">
        <f t="shared" si="1631"/>
        <v/>
      </c>
      <c r="R1873" s="185"/>
    </row>
    <row r="1874" spans="1:18" s="185" customFormat="1" ht="18" customHeight="1">
      <c r="A1874" s="1785"/>
      <c r="B1874" s="714"/>
      <c r="C1874" s="1893" t="s">
        <v>729</v>
      </c>
      <c r="D1874" s="173"/>
      <c r="E1874" s="1786"/>
      <c r="F1874" s="1787"/>
      <c r="G1874" s="710"/>
      <c r="H1874" s="710"/>
      <c r="I1874" s="710"/>
      <c r="J1874" s="711"/>
      <c r="K1874" s="684">
        <f t="shared" si="1626"/>
        <v>1</v>
      </c>
      <c r="L1874" s="708">
        <v>1</v>
      </c>
      <c r="M1874" s="709">
        <f t="shared" ref="M1874" si="1715">IF(B1874="",1,B1874)</f>
        <v>1</v>
      </c>
      <c r="N1874" s="362" t="str">
        <f t="shared" ref="N1874" si="1716">IF(O1874&lt;&gt;"",K1874*L1874*M1874,"")</f>
        <v/>
      </c>
      <c r="O1874" s="1763" t="str">
        <f t="shared" ref="O1874" si="1717">IF(D1874&lt;&gt;"",IF(VLOOKUP(D1874,base_datos,7,FALSE)&lt;&gt;"",VLOOKUP(D1874,base_datos,7,FALSE),""),"")</f>
        <v/>
      </c>
      <c r="P1874" s="1764" t="str">
        <f t="shared" ref="P1874" si="1718">IF(O1874&lt;&gt;"",VLOOKUP(D1874,base_datos,6,FALSE),"")</f>
        <v/>
      </c>
      <c r="Q1874" s="120" t="str">
        <f t="shared" ref="Q1874" si="1719">IF(O1874&lt;&gt;"",D1874,"")</f>
        <v/>
      </c>
    </row>
    <row r="1875" spans="1:18" s="897" customFormat="1" ht="18" customHeight="1">
      <c r="A1875" s="693"/>
      <c r="B1875" s="895">
        <v>13</v>
      </c>
      <c r="C1875" s="721" t="str">
        <f>VLOOKUP(D1875,base_datos,6,FALSE)</f>
        <v>Rotulado por circuito.</v>
      </c>
      <c r="D1875" s="1579" t="s">
        <v>3067</v>
      </c>
      <c r="E1875" s="1580">
        <f>VLOOKUP(D1875,base_datos,5,FALSE)</f>
        <v>0.7</v>
      </c>
      <c r="F1875" s="1581">
        <f t="shared" si="1714"/>
        <v>9.1</v>
      </c>
      <c r="G1875" s="1772"/>
      <c r="H1875" s="1772"/>
      <c r="I1875" s="1772"/>
      <c r="J1875" s="896"/>
      <c r="K1875" s="684">
        <f t="shared" si="1626"/>
        <v>1</v>
      </c>
      <c r="L1875" s="708">
        <v>1</v>
      </c>
      <c r="M1875" s="709">
        <f t="shared" si="1697"/>
        <v>13</v>
      </c>
      <c r="N1875" s="362" t="str">
        <f t="shared" si="1628"/>
        <v/>
      </c>
      <c r="O1875" s="1763" t="str">
        <f t="shared" si="1629"/>
        <v/>
      </c>
      <c r="P1875" s="1764" t="str">
        <f t="shared" si="1630"/>
        <v/>
      </c>
      <c r="Q1875" s="120" t="str">
        <f t="shared" si="1631"/>
        <v/>
      </c>
    </row>
    <row r="1876" spans="1:18" s="897" customFormat="1" ht="18" customHeight="1">
      <c r="A1876" s="693"/>
      <c r="B1876" s="895">
        <v>1</v>
      </c>
      <c r="C1876" s="721" t="str">
        <f>VLOOKUP(D1876,base_datos,6,FALSE)</f>
        <v>Rotulado para TAG - tablero de distribución.</v>
      </c>
      <c r="D1876" s="1579" t="s">
        <v>3066</v>
      </c>
      <c r="E1876" s="1580">
        <f>VLOOKUP(D1876,base_datos,5,FALSE)</f>
        <v>1.5</v>
      </c>
      <c r="F1876" s="1581">
        <f t="shared" si="1714"/>
        <v>1.5</v>
      </c>
      <c r="G1876" s="1772"/>
      <c r="H1876" s="1772"/>
      <c r="I1876" s="1772"/>
      <c r="J1876" s="896"/>
      <c r="K1876" s="684">
        <f t="shared" si="1626"/>
        <v>1</v>
      </c>
      <c r="L1876" s="708">
        <v>1</v>
      </c>
      <c r="M1876" s="709">
        <f t="shared" si="1697"/>
        <v>1</v>
      </c>
      <c r="N1876" s="362" t="str">
        <f t="shared" si="1628"/>
        <v/>
      </c>
      <c r="O1876" s="1763" t="str">
        <f t="shared" si="1629"/>
        <v/>
      </c>
      <c r="P1876" s="1764" t="str">
        <f t="shared" si="1630"/>
        <v/>
      </c>
      <c r="Q1876" s="120" t="str">
        <f t="shared" si="1631"/>
        <v/>
      </c>
    </row>
    <row r="1877" spans="1:18" s="1237" customFormat="1" ht="18" customHeight="1">
      <c r="A1877" s="1767"/>
      <c r="B1877" s="2093">
        <v>1</v>
      </c>
      <c r="C1877" s="694" t="s">
        <v>12552</v>
      </c>
      <c r="D1877" s="1888"/>
      <c r="E1877" s="1580">
        <f>E1879*15%</f>
        <v>34.5</v>
      </c>
      <c r="F1877" s="1581">
        <f t="shared" si="1714"/>
        <v>34.5</v>
      </c>
      <c r="G1877" s="1774"/>
      <c r="H1877" s="1774"/>
      <c r="I1877" s="1774"/>
      <c r="J1877" s="1181"/>
      <c r="K1877" s="684">
        <f t="shared" si="1626"/>
        <v>1</v>
      </c>
      <c r="L1877" s="708">
        <v>1</v>
      </c>
      <c r="M1877" s="709">
        <f t="shared" si="1697"/>
        <v>1</v>
      </c>
      <c r="N1877" s="362" t="str">
        <f t="shared" si="1628"/>
        <v/>
      </c>
      <c r="O1877" s="1763" t="str">
        <f t="shared" si="1629"/>
        <v/>
      </c>
      <c r="P1877" s="1764" t="str">
        <f t="shared" si="1630"/>
        <v/>
      </c>
      <c r="Q1877" s="120" t="str">
        <f t="shared" si="1631"/>
        <v/>
      </c>
      <c r="R1877" s="1765"/>
    </row>
    <row r="1878" spans="1:18" s="1237" customFormat="1" ht="18" customHeight="1">
      <c r="A1878" s="1767"/>
      <c r="B1878" s="1773">
        <v>1</v>
      </c>
      <c r="C1878" s="694" t="s">
        <v>12559</v>
      </c>
      <c r="D1878" s="1888"/>
      <c r="E1878" s="1999">
        <f>E1879*20%</f>
        <v>46</v>
      </c>
      <c r="F1878" s="1581">
        <f t="shared" si="1714"/>
        <v>46</v>
      </c>
      <c r="G1878" s="1774"/>
      <c r="H1878" s="1774"/>
      <c r="I1878" s="1774"/>
      <c r="J1878" s="1181"/>
      <c r="K1878" s="684">
        <f t="shared" si="1626"/>
        <v>1</v>
      </c>
      <c r="L1878" s="708">
        <v>1</v>
      </c>
      <c r="M1878" s="709">
        <f t="shared" si="1697"/>
        <v>1</v>
      </c>
      <c r="N1878" s="362" t="str">
        <f t="shared" si="1628"/>
        <v/>
      </c>
      <c r="O1878" s="1763" t="str">
        <f t="shared" si="1629"/>
        <v/>
      </c>
      <c r="P1878" s="1764" t="str">
        <f t="shared" si="1630"/>
        <v/>
      </c>
      <c r="Q1878" s="120" t="str">
        <f t="shared" si="1631"/>
        <v/>
      </c>
      <c r="R1878" s="1765"/>
    </row>
    <row r="1879" spans="1:18" s="1237" customFormat="1" ht="18" customHeight="1">
      <c r="A1879" s="1767"/>
      <c r="B1879" s="1773">
        <v>1</v>
      </c>
      <c r="C1879" s="694" t="s">
        <v>12529</v>
      </c>
      <c r="D1879" s="1888"/>
      <c r="E1879" s="1999">
        <v>230</v>
      </c>
      <c r="F1879" s="1581">
        <f t="shared" si="1714"/>
        <v>230</v>
      </c>
      <c r="G1879" s="1774"/>
      <c r="H1879" s="1774"/>
      <c r="I1879" s="1774"/>
      <c r="J1879" s="1181"/>
      <c r="K1879" s="684">
        <f t="shared" si="1626"/>
        <v>1</v>
      </c>
      <c r="L1879" s="708">
        <v>1</v>
      </c>
      <c r="M1879" s="709">
        <f t="shared" si="1697"/>
        <v>1</v>
      </c>
      <c r="N1879" s="362" t="str">
        <f t="shared" si="1628"/>
        <v/>
      </c>
      <c r="O1879" s="1763" t="str">
        <f t="shared" si="1629"/>
        <v/>
      </c>
      <c r="P1879" s="1764" t="str">
        <f t="shared" si="1630"/>
        <v/>
      </c>
      <c r="Q1879" s="120" t="str">
        <f t="shared" si="1631"/>
        <v/>
      </c>
      <c r="R1879" s="1765"/>
    </row>
    <row r="1880" spans="1:18" s="2472" customFormat="1" ht="18" customHeight="1">
      <c r="A1880" s="2464"/>
      <c r="B1880" s="2465"/>
      <c r="C1880" s="2466" t="s">
        <v>12640</v>
      </c>
      <c r="D1880" s="2467"/>
      <c r="E1880" s="2468"/>
      <c r="F1880" s="2469"/>
      <c r="G1880" s="2470"/>
      <c r="H1880" s="2470"/>
      <c r="I1880" s="2470"/>
      <c r="J1880" s="2471"/>
      <c r="K1880" s="2426">
        <f>K1877</f>
        <v>1</v>
      </c>
      <c r="L1880" s="2463">
        <v>1</v>
      </c>
      <c r="M1880" s="2428">
        <f>IF(B1880="",1,B1880)</f>
        <v>1</v>
      </c>
      <c r="N1880" s="2429" t="str">
        <f>IF(O1880&lt;&gt;"",K1880*L1880*M1880,"")</f>
        <v/>
      </c>
      <c r="O1880" s="2430" t="str">
        <f>IF(D1880&lt;&gt;"",IF(VLOOKUP(D1880,base_datos,7,FALSE)&lt;&gt;"",VLOOKUP(D1880,base_datos,7,FALSE),""),"")</f>
        <v/>
      </c>
      <c r="P1880" s="2431" t="str">
        <f>IF(O1880&lt;&gt;"",VLOOKUP(D1880,base_datos,6,FALSE),"")</f>
        <v/>
      </c>
      <c r="Q1880" s="2432" t="str">
        <f>IF(O1880&lt;&gt;"",D1880,"")</f>
        <v/>
      </c>
      <c r="R1880" s="2433"/>
    </row>
    <row r="1881" spans="1:18" s="2472" customFormat="1" ht="18" customHeight="1">
      <c r="A1881" s="2464"/>
      <c r="B1881" s="2465"/>
      <c r="C1881" s="2466"/>
      <c r="D1881" s="2467"/>
      <c r="E1881" s="2468"/>
      <c r="F1881" s="2469"/>
      <c r="G1881" s="2470"/>
      <c r="H1881" s="2470"/>
      <c r="I1881" s="2470"/>
      <c r="J1881" s="2471"/>
      <c r="K1881" s="2426">
        <f>K1878</f>
        <v>1</v>
      </c>
      <c r="L1881" s="2463">
        <v>1</v>
      </c>
      <c r="M1881" s="2428">
        <f>IF(B1881="",1,B1881)</f>
        <v>1</v>
      </c>
      <c r="N1881" s="2429"/>
      <c r="O1881" s="2430"/>
      <c r="P1881" s="2431"/>
      <c r="Q1881" s="2432"/>
      <c r="R1881" s="2433"/>
    </row>
    <row r="1882" spans="1:18" s="2480" customFormat="1">
      <c r="A1882" s="2473"/>
      <c r="B1882" s="2474">
        <v>1</v>
      </c>
      <c r="C1882" s="2475" t="str">
        <f t="shared" ref="C1882:C1883" si="1720">VLOOKUP(D1882,base_datos,6,FALSE)</f>
        <v>FOTOCELDA 1800VA 220V N/C (NF) 10 LUX STIELECTRONICA</v>
      </c>
      <c r="D1882" s="2476" t="s">
        <v>3410</v>
      </c>
      <c r="E1882" s="2477">
        <f t="shared" ref="E1882:E1883" si="1721">VLOOKUP(D1882,base_datos,5,FALSE)</f>
        <v>27.6</v>
      </c>
      <c r="F1882" s="2455">
        <f t="shared" ref="F1882:F1883" si="1722">+E1882*B1882</f>
        <v>27.6</v>
      </c>
      <c r="G1882" s="2478"/>
      <c r="H1882" s="2478"/>
      <c r="I1882" s="2478"/>
      <c r="J1882" s="2479"/>
      <c r="K1882" s="2426">
        <f t="shared" ref="K1882:K1883" si="1723">K1880</f>
        <v>1</v>
      </c>
      <c r="L1882" s="2463">
        <v>1</v>
      </c>
      <c r="M1882" s="2428">
        <f>IF(B1882="",1,B1882)</f>
        <v>1</v>
      </c>
      <c r="N1882" s="2429">
        <f>IF(O1882&lt;&gt;"",K1882*L1882*M1882,"")</f>
        <v>1</v>
      </c>
      <c r="O1882" s="2430" t="str">
        <f>IF(D1882&lt;&gt;"",IF(VLOOKUP(D1882,base_datos,7,FALSE)&lt;&gt;"",VLOOKUP(D1882,base_datos,7,FALSE),""),"")</f>
        <v>0400RTF82S</v>
      </c>
      <c r="P1882" s="2431" t="str">
        <f>IF(O1882&lt;&gt;"",VLOOKUP(D1882,base_datos,6,FALSE),"")</f>
        <v>FOTOCELDA 1800VA 220V N/C (NF) 10 LUX STIELECTRONICA</v>
      </c>
      <c r="Q1882" s="2432" t="str">
        <f>IF(O1882&lt;&gt;"",D1882,"")</f>
        <v>FOTOCELDA</v>
      </c>
    </row>
    <row r="1883" spans="1:18" s="2480" customFormat="1">
      <c r="A1883" s="2473"/>
      <c r="B1883" s="2474">
        <v>1</v>
      </c>
      <c r="C1883" s="2475" t="str">
        <f t="shared" si="1720"/>
        <v>BASE C/SOPORTE P/CONTROL FOTOCELDA P/ADOSAR STIELECTRONICA</v>
      </c>
      <c r="D1883" s="2476" t="s">
        <v>3411</v>
      </c>
      <c r="E1883" s="2477">
        <f t="shared" si="1721"/>
        <v>13.4</v>
      </c>
      <c r="F1883" s="2455">
        <f t="shared" si="1722"/>
        <v>13.4</v>
      </c>
      <c r="G1883" s="2478"/>
      <c r="H1883" s="2478"/>
      <c r="I1883" s="2478"/>
      <c r="J1883" s="2479"/>
      <c r="K1883" s="2426">
        <f t="shared" si="1723"/>
        <v>1</v>
      </c>
      <c r="L1883" s="2463">
        <v>1</v>
      </c>
      <c r="M1883" s="2428">
        <f>IF(B1883="",1,B1883)</f>
        <v>1</v>
      </c>
      <c r="N1883" s="2429">
        <f>IF(O1883&lt;&gt;"",K1883*L1883*M1883,"")</f>
        <v>1</v>
      </c>
      <c r="O1883" s="2430" t="str">
        <f>IF(D1883&lt;&gt;"",IF(VLOOKUP(D1883,base_datos,7,FALSE)&lt;&gt;"",VLOOKUP(D1883,base_datos,7,FALSE),""),"")</f>
        <v>0400TPLS476</v>
      </c>
      <c r="P1883" s="2431" t="str">
        <f>IF(O1883&lt;&gt;"",VLOOKUP(D1883,base_datos,6,FALSE),"")</f>
        <v>BASE C/SOPORTE P/CONTROL FOTOCELDA P/ADOSAR STIELECTRONICA</v>
      </c>
      <c r="Q1883" s="2432" t="str">
        <f>IF(O1883&lt;&gt;"",D1883,"")</f>
        <v>BASE_FOTOCELDA</v>
      </c>
    </row>
    <row r="1884" spans="1:18" s="120" customFormat="1" ht="18" customHeight="1" thickBot="1">
      <c r="A1884" s="1855"/>
      <c r="B1884" s="1854"/>
      <c r="C1884" s="1797"/>
      <c r="D1884" s="1889"/>
      <c r="E1884" s="1981"/>
      <c r="F1884" s="1981"/>
      <c r="G1884" s="1798"/>
      <c r="H1884" s="1798"/>
      <c r="I1884" s="1798"/>
      <c r="J1884" s="1799"/>
      <c r="K1884" s="1788"/>
      <c r="L1884" s="363"/>
      <c r="M1884" s="684"/>
      <c r="N1884" s="362" t="str">
        <f t="shared" si="1628"/>
        <v/>
      </c>
      <c r="O1884" s="1763" t="str">
        <f t="shared" si="1629"/>
        <v/>
      </c>
      <c r="P1884" s="1764" t="str">
        <f t="shared" si="1630"/>
        <v/>
      </c>
      <c r="Q1884" s="120" t="str">
        <f t="shared" si="1631"/>
        <v/>
      </c>
      <c r="R1884" s="185"/>
    </row>
    <row r="1885" spans="1:18" s="120" customFormat="1" ht="18" customHeight="1" thickBot="1">
      <c r="A1885" s="2233">
        <v>31.1</v>
      </c>
      <c r="B1885" s="1852">
        <v>1</v>
      </c>
      <c r="C1885" s="1756" t="s">
        <v>13051</v>
      </c>
      <c r="D1885" s="1588"/>
      <c r="E1885" s="1589"/>
      <c r="F1885" s="1589"/>
      <c r="G1885" s="1757">
        <f>SUM(F1886:F1899)</f>
        <v>179.2</v>
      </c>
      <c r="H1885" s="1758">
        <f>ROUNDUP(G1885*(1-$D$6),0)</f>
        <v>180</v>
      </c>
      <c r="I1885" s="1757">
        <f>ROUNDUP(H1885*$D$5,0)</f>
        <v>612</v>
      </c>
      <c r="J1885" s="1759">
        <f>+I1885*B1885</f>
        <v>612</v>
      </c>
      <c r="K1885" s="1788">
        <f>B1885</f>
        <v>1</v>
      </c>
      <c r="L1885" s="363"/>
      <c r="M1885" s="684"/>
      <c r="N1885" s="362"/>
      <c r="O1885" s="1763"/>
      <c r="P1885" s="1764"/>
      <c r="Q1885" s="120" t="str">
        <f t="shared" ref="Q1885:Q1886" si="1724">IF(O1885&lt;&gt;"",D1885,"")</f>
        <v/>
      </c>
      <c r="R1885" s="185"/>
    </row>
    <row r="1886" spans="1:18" s="120" customFormat="1">
      <c r="A1886" s="685" t="s">
        <v>3064</v>
      </c>
      <c r="B1886" s="1779"/>
      <c r="C1886" s="1954"/>
      <c r="D1886" s="2213"/>
      <c r="E1886" s="1789"/>
      <c r="F1886" s="1789"/>
      <c r="G1886" s="686"/>
      <c r="H1886" s="686"/>
      <c r="I1886" s="686"/>
      <c r="J1886" s="1768"/>
      <c r="K1886" s="684">
        <f t="shared" ref="K1886:K1898" si="1725">K1885</f>
        <v>1</v>
      </c>
      <c r="L1886" s="363">
        <v>1</v>
      </c>
      <c r="M1886" s="684">
        <f>IF(B1886="",1,B1886)</f>
        <v>1</v>
      </c>
      <c r="N1886" s="362" t="str">
        <f t="shared" ref="N1886" si="1726">IF(O1886&lt;&gt;"",K1886*L1886*M1886,"")</f>
        <v/>
      </c>
      <c r="O1886" s="1763" t="str">
        <f t="shared" ref="O1886" si="1727">IF(D1886&lt;&gt;"",IF(VLOOKUP(D1886,base_datos,7,FALSE)&lt;&gt;"",VLOOKUP(D1886,base_datos,7,FALSE),""),"")</f>
        <v/>
      </c>
      <c r="P1886" s="1764" t="str">
        <f t="shared" ref="P1886" si="1728">IF(O1886&lt;&gt;"",VLOOKUP(D1886,base_datos,6,FALSE),"")</f>
        <v/>
      </c>
      <c r="Q1886" s="120" t="str">
        <f t="shared" si="1724"/>
        <v/>
      </c>
    </row>
    <row r="1887" spans="1:18" s="690" customFormat="1" ht="18" customHeight="1">
      <c r="A1887" s="687" t="s">
        <v>4021</v>
      </c>
      <c r="B1887" s="2226">
        <v>3</v>
      </c>
      <c r="C1887" s="1954" t="s">
        <v>13052</v>
      </c>
      <c r="D1887" s="2110"/>
      <c r="E1887" s="1782"/>
      <c r="F1887" s="1908">
        <f>SUM(F1888:F1892)*(B1887-1)</f>
        <v>71.349999999999994</v>
      </c>
      <c r="G1887" s="1761"/>
      <c r="H1887" s="1761"/>
      <c r="I1887" s="1761"/>
      <c r="J1887" s="1783"/>
      <c r="K1887" s="684">
        <f t="shared" si="1725"/>
        <v>1</v>
      </c>
      <c r="L1887" s="2225">
        <f>B1887</f>
        <v>3</v>
      </c>
      <c r="M1887" s="709">
        <f t="shared" ref="M1887:M1898" si="1729">IF(B1887="",1,B1887)</f>
        <v>3</v>
      </c>
      <c r="N1887" s="362" t="str">
        <f>IF(O1887&lt;&gt;"",K1887*L1887*M1887,"")</f>
        <v/>
      </c>
      <c r="O1887" s="1763" t="str">
        <f>IF(D1887&lt;&gt;"",IF(VLOOKUP(D1887,base_datos,7,FALSE)&lt;&gt;"",VLOOKUP(D1887,base_datos,7,FALSE),""),"")</f>
        <v/>
      </c>
      <c r="P1887" s="1764" t="str">
        <f>IF(O1887&lt;&gt;"",VLOOKUP(D1887,base_datos,6,FALSE),"")</f>
        <v/>
      </c>
      <c r="Q1887" s="120" t="str">
        <f>IF(O1887&lt;&gt;"",D1887,"")</f>
        <v/>
      </c>
      <c r="R1887" s="185"/>
    </row>
    <row r="1888" spans="1:18" s="2434" customFormat="1" ht="18" customHeight="1">
      <c r="A1888" s="2418" t="s">
        <v>4136</v>
      </c>
      <c r="B1888" s="2435">
        <v>1</v>
      </c>
      <c r="C1888" s="2436" t="str">
        <f>VLOOKUP(D1888,base_datos,6,FALSE)</f>
        <v>Dado Interruptor unipolar de 16A,  250V, linea Magic 5001, marca BTICINO.</v>
      </c>
      <c r="D1888" s="2437" t="s">
        <v>13868</v>
      </c>
      <c r="E1888" s="2422">
        <f>VLOOKUP(D1888,base_datos,5,FALSE)</f>
        <v>8.5</v>
      </c>
      <c r="F1888" s="2438">
        <f t="shared" ref="F1888" si="1730">+E1888*B1888</f>
        <v>8.5</v>
      </c>
      <c r="G1888" s="2424"/>
      <c r="H1888" s="2424"/>
      <c r="I1888" s="2424"/>
      <c r="J1888" s="2425"/>
      <c r="K1888" s="2426">
        <f t="shared" si="1725"/>
        <v>1</v>
      </c>
      <c r="L1888" s="2427">
        <f>L1887</f>
        <v>3</v>
      </c>
      <c r="M1888" s="2428">
        <f t="shared" si="1729"/>
        <v>1</v>
      </c>
      <c r="N1888" s="2429" t="str">
        <f>IF(O1888&lt;&gt;"",K1888*L1888*M1888,"")</f>
        <v/>
      </c>
      <c r="O1888" s="2430" t="str">
        <f>IF(D1888&lt;&gt;"",IF(VLOOKUP(D1888,base_datos,7,FALSE)&lt;&gt;"",VLOOKUP(D1888,base_datos,7,FALSE),""),"")</f>
        <v/>
      </c>
      <c r="P1888" s="2431" t="str">
        <f>IF(O1888&lt;&gt;"",VLOOKUP(D1888,base_datos,6,FALSE),"")</f>
        <v/>
      </c>
      <c r="Q1888" s="2432" t="str">
        <f>IF(O1888&lt;&gt;"",D1888,"")</f>
        <v/>
      </c>
      <c r="R1888" s="2433"/>
    </row>
    <row r="1889" spans="1:18" s="120" customFormat="1">
      <c r="A1889" s="687"/>
      <c r="B1889" s="1781">
        <v>1</v>
      </c>
      <c r="C1889" s="1915" t="s">
        <v>3366</v>
      </c>
      <c r="D1889" s="314"/>
      <c r="E1889" s="1782"/>
      <c r="F1889" s="1923"/>
      <c r="G1889" s="686"/>
      <c r="H1889" s="686"/>
      <c r="I1889" s="686"/>
      <c r="J1889" s="688"/>
      <c r="K1889" s="684">
        <f>K1890</f>
        <v>1</v>
      </c>
      <c r="L1889" s="2225">
        <f>L1890</f>
        <v>3</v>
      </c>
      <c r="M1889" s="709">
        <f t="shared" si="1729"/>
        <v>1</v>
      </c>
      <c r="N1889" s="362" t="str">
        <f t="shared" ref="N1889" si="1731">IF(O1889&lt;&gt;"",K1889*L1889*M1889,"")</f>
        <v/>
      </c>
      <c r="O1889" s="1763" t="str">
        <f t="shared" ref="O1889" si="1732">IF(D1889&lt;&gt;"",IF(VLOOKUP(D1889,base_datos,7,FALSE)&lt;&gt;"",VLOOKUP(D1889,base_datos,7,FALSE),""),"")</f>
        <v/>
      </c>
      <c r="P1889" s="1764" t="str">
        <f t="shared" ref="P1889" si="1733">IF(O1889&lt;&gt;"",VLOOKUP(D1889,base_datos,6,FALSE),"")</f>
        <v/>
      </c>
      <c r="Q1889" s="120" t="str">
        <f t="shared" ref="Q1889" si="1734">IF(O1889&lt;&gt;"",D1889,"")</f>
        <v/>
      </c>
    </row>
    <row r="1890" spans="1:18" s="695" customFormat="1" ht="18" customHeight="1">
      <c r="A1890" s="693"/>
      <c r="B1890" s="1922">
        <v>1</v>
      </c>
      <c r="C1890" s="721" t="str">
        <f t="shared" ref="C1890" si="1735">VLOOKUP(D1890,base_datos,6,FALSE)</f>
        <v>Base portafusibles + Fusibles de protección para control.</v>
      </c>
      <c r="D1890" s="2222" t="s">
        <v>453</v>
      </c>
      <c r="E1890" s="1796">
        <f t="shared" ref="E1890" si="1736">VLOOKUP(D1890,base_datos,5,FALSE)</f>
        <v>8.1750000000000007</v>
      </c>
      <c r="F1890" s="1923">
        <f>+E1890*B1890</f>
        <v>8.1750000000000007</v>
      </c>
      <c r="G1890" s="696"/>
      <c r="H1890" s="696"/>
      <c r="I1890" s="696"/>
      <c r="J1890" s="697"/>
      <c r="K1890" s="684">
        <f>K1888</f>
        <v>1</v>
      </c>
      <c r="L1890" s="2225">
        <f>L1888</f>
        <v>3</v>
      </c>
      <c r="M1890" s="709">
        <f t="shared" si="1729"/>
        <v>1</v>
      </c>
      <c r="N1890" s="362" t="str">
        <f>IF(O1890&lt;&gt;"",K1890*L1890*M1890,"")</f>
        <v/>
      </c>
      <c r="O1890" s="1763" t="str">
        <f>IF(D1890&lt;&gt;"",IF(VLOOKUP(D1890,base_datos,7,FALSE)&lt;&gt;"",VLOOKUP(D1890,base_datos,7,FALSE),""),"")</f>
        <v/>
      </c>
      <c r="P1890" s="1764" t="str">
        <f>IF(O1890&lt;&gt;"",VLOOKUP(D1890,base_datos,6,FALSE),"")</f>
        <v/>
      </c>
      <c r="Q1890" s="120" t="str">
        <f>IF(O1890&lt;&gt;"",D1890,"")</f>
        <v/>
      </c>
      <c r="R1890" s="185"/>
    </row>
    <row r="1891" spans="1:18" s="695" customFormat="1" ht="18" customHeight="1">
      <c r="A1891" s="693"/>
      <c r="B1891" s="1922">
        <v>6</v>
      </c>
      <c r="C1891" s="721" t="str">
        <f>VLOOKUP(D1891,base_datos,6,FALSE)</f>
        <v>Borne 4mm2.</v>
      </c>
      <c r="D1891" s="2222" t="s">
        <v>437</v>
      </c>
      <c r="E1891" s="1796">
        <f>VLOOKUP(D1891,base_datos,5,FALSE)</f>
        <v>2.5</v>
      </c>
      <c r="F1891" s="1923">
        <f t="shared" ref="F1891:F1892" si="1737">+E1891*B1891</f>
        <v>15</v>
      </c>
      <c r="G1891" s="696"/>
      <c r="H1891" s="696"/>
      <c r="I1891" s="696"/>
      <c r="J1891" s="697"/>
      <c r="K1891" s="684">
        <f>K1889</f>
        <v>1</v>
      </c>
      <c r="L1891" s="708">
        <v>1</v>
      </c>
      <c r="M1891" s="709">
        <f t="shared" si="1729"/>
        <v>6</v>
      </c>
      <c r="N1891" s="362" t="str">
        <f>IF(O1891&lt;&gt;"",K1891*L1891*M1891,"")</f>
        <v/>
      </c>
      <c r="O1891" s="1763" t="str">
        <f>IF(D1891&lt;&gt;"",IF(VLOOKUP(D1891,base_datos,7,FALSE)&lt;&gt;"",VLOOKUP(D1891,base_datos,7,FALSE),""),"")</f>
        <v/>
      </c>
      <c r="P1891" s="1764" t="str">
        <f>IF(O1891&lt;&gt;"",VLOOKUP(D1891,base_datos,6,FALSE),"")</f>
        <v/>
      </c>
      <c r="Q1891" s="120" t="str">
        <f>IF(O1891&lt;&gt;"",D1891,"")</f>
        <v/>
      </c>
      <c r="R1891" s="185"/>
    </row>
    <row r="1892" spans="1:18" s="695" customFormat="1" ht="18" customHeight="1">
      <c r="A1892" s="693"/>
      <c r="B1892" s="1922">
        <v>1</v>
      </c>
      <c r="C1892" s="721" t="str">
        <f t="shared" ref="C1892" si="1738">VLOOKUP(D1892,base_datos,6,FALSE)</f>
        <v>Borne para neutro.</v>
      </c>
      <c r="D1892" s="36" t="s">
        <v>436</v>
      </c>
      <c r="E1892" s="1796">
        <f t="shared" ref="E1892" si="1739">VLOOKUP(D1892,base_datos,5,FALSE)</f>
        <v>4</v>
      </c>
      <c r="F1892" s="1923">
        <f t="shared" si="1737"/>
        <v>4</v>
      </c>
      <c r="G1892" s="696"/>
      <c r="H1892" s="696"/>
      <c r="I1892" s="696"/>
      <c r="J1892" s="697"/>
      <c r="K1892" s="684">
        <f t="shared" si="1725"/>
        <v>1</v>
      </c>
      <c r="L1892" s="2225">
        <f>L1889</f>
        <v>3</v>
      </c>
      <c r="M1892" s="709">
        <f t="shared" si="1729"/>
        <v>1</v>
      </c>
      <c r="N1892" s="362" t="str">
        <f t="shared" ref="N1892" si="1740">IF(O1892&lt;&gt;"",K1892*L1892*M1892,"")</f>
        <v/>
      </c>
      <c r="O1892" s="1763" t="str">
        <f t="shared" ref="O1892" si="1741">IF(D1892&lt;&gt;"",IF(VLOOKUP(D1892,base_datos,7,FALSE)&lt;&gt;"",VLOOKUP(D1892,base_datos,7,FALSE),""),"")</f>
        <v/>
      </c>
      <c r="P1892" s="1764" t="str">
        <f t="shared" ref="P1892" si="1742">IF(O1892&lt;&gt;"",VLOOKUP(D1892,base_datos,6,FALSE),"")</f>
        <v/>
      </c>
      <c r="Q1892" s="120" t="str">
        <f t="shared" ref="Q1892" si="1743">IF(O1892&lt;&gt;"",D1892,"")</f>
        <v/>
      </c>
      <c r="R1892" s="185"/>
    </row>
    <row r="1893" spans="1:18" s="185" customFormat="1">
      <c r="A1893" s="687"/>
      <c r="B1893" s="714"/>
      <c r="C1893" s="313" t="s">
        <v>729</v>
      </c>
      <c r="D1893" s="36"/>
      <c r="E1893" s="1971"/>
      <c r="F1893" s="1787"/>
      <c r="G1893" s="710"/>
      <c r="H1893" s="710"/>
      <c r="I1893" s="710"/>
      <c r="J1893" s="711"/>
      <c r="K1893" s="684">
        <f t="shared" si="1725"/>
        <v>1</v>
      </c>
      <c r="L1893" s="363">
        <v>1</v>
      </c>
      <c r="M1893" s="709">
        <f t="shared" si="1729"/>
        <v>1</v>
      </c>
      <c r="N1893" s="1905" t="str">
        <f>IF(O1893&lt;&gt;"",K1893*L1893*M1893,"")</f>
        <v/>
      </c>
      <c r="O1893" s="1571" t="str">
        <f>IF(D1893&lt;&gt;"",IF(VLOOKUP(D1893,base_datos,7,FALSE)&lt;&gt;"",VLOOKUP(D1893,base_datos,7,FALSE),""),"")</f>
        <v/>
      </c>
      <c r="P1893" s="320" t="str">
        <f>IF(O1893&lt;&gt;"",VLOOKUP(D1893,base_datos,6,FALSE),"")</f>
        <v/>
      </c>
      <c r="Q1893" s="185" t="str">
        <f>IF(O1893&lt;&gt;"",D1893,"")</f>
        <v/>
      </c>
    </row>
    <row r="1894" spans="1:18" s="695" customFormat="1" ht="18" customHeight="1">
      <c r="A1894" s="693"/>
      <c r="B1894" s="1922">
        <v>1</v>
      </c>
      <c r="C1894" s="721" t="str">
        <f t="shared" ref="C1894:C1895" si="1744">VLOOKUP(D1894,base_datos,6,FALSE)</f>
        <v>Base portafusibles + Fusibles de protección para control.</v>
      </c>
      <c r="D1894" s="2222" t="s">
        <v>453</v>
      </c>
      <c r="E1894" s="1796">
        <f t="shared" ref="E1894:E1895" si="1745">VLOOKUP(D1894,base_datos,5,FALSE)</f>
        <v>8.1750000000000007</v>
      </c>
      <c r="F1894" s="1581">
        <f t="shared" ref="F1894:F1895" si="1746">+E1894*B1894</f>
        <v>8.1750000000000007</v>
      </c>
      <c r="G1894" s="696"/>
      <c r="H1894" s="696"/>
      <c r="I1894" s="696"/>
      <c r="J1894" s="697"/>
      <c r="K1894" s="684">
        <f t="shared" si="1725"/>
        <v>1</v>
      </c>
      <c r="L1894" s="708">
        <v>1</v>
      </c>
      <c r="M1894" s="709">
        <f t="shared" si="1729"/>
        <v>1</v>
      </c>
      <c r="N1894" s="362" t="str">
        <f t="shared" ref="N1894:N1895" si="1747">IF(O1894&lt;&gt;"",K1894*L1894*M1894,"")</f>
        <v/>
      </c>
      <c r="O1894" s="1763" t="str">
        <f t="shared" ref="O1894:O1895" si="1748">IF(D1894&lt;&gt;"",IF(VLOOKUP(D1894,base_datos,7,FALSE)&lt;&gt;"",VLOOKUP(D1894,base_datos,7,FALSE),""),"")</f>
        <v/>
      </c>
      <c r="P1894" s="1764" t="str">
        <f t="shared" ref="P1894:P1895" si="1749">IF(O1894&lt;&gt;"",VLOOKUP(D1894,base_datos,6,FALSE),"")</f>
        <v/>
      </c>
      <c r="Q1894" s="120" t="str">
        <f t="shared" ref="Q1894:Q1895" si="1750">IF(O1894&lt;&gt;"",D1894,"")</f>
        <v/>
      </c>
      <c r="R1894" s="185"/>
    </row>
    <row r="1895" spans="1:18" s="695" customFormat="1" ht="18" customHeight="1">
      <c r="A1895" s="693"/>
      <c r="B1895" s="1922">
        <v>1</v>
      </c>
      <c r="C1895" s="721" t="str">
        <f t="shared" si="1744"/>
        <v>Borne para neutro.</v>
      </c>
      <c r="D1895" s="36" t="s">
        <v>436</v>
      </c>
      <c r="E1895" s="1796">
        <f t="shared" si="1745"/>
        <v>4</v>
      </c>
      <c r="F1895" s="1923">
        <f t="shared" si="1746"/>
        <v>4</v>
      </c>
      <c r="G1895" s="696"/>
      <c r="H1895" s="696"/>
      <c r="I1895" s="696"/>
      <c r="J1895" s="697"/>
      <c r="K1895" s="684">
        <f t="shared" si="1725"/>
        <v>1</v>
      </c>
      <c r="L1895" s="2225">
        <f t="shared" ref="L1895" si="1751">L1894</f>
        <v>1</v>
      </c>
      <c r="M1895" s="709">
        <f t="shared" si="1729"/>
        <v>1</v>
      </c>
      <c r="N1895" s="362" t="str">
        <f t="shared" si="1747"/>
        <v/>
      </c>
      <c r="O1895" s="1763" t="str">
        <f t="shared" si="1748"/>
        <v/>
      </c>
      <c r="P1895" s="1764" t="str">
        <f t="shared" si="1749"/>
        <v/>
      </c>
      <c r="Q1895" s="120" t="str">
        <f t="shared" si="1750"/>
        <v/>
      </c>
      <c r="R1895" s="185"/>
    </row>
    <row r="1896" spans="1:18" s="185" customFormat="1">
      <c r="A1896" s="687"/>
      <c r="B1896" s="714"/>
      <c r="C1896" s="313" t="s">
        <v>729</v>
      </c>
      <c r="D1896" s="36"/>
      <c r="E1896" s="1971"/>
      <c r="F1896" s="1787"/>
      <c r="G1896" s="710"/>
      <c r="H1896" s="710"/>
      <c r="I1896" s="710"/>
      <c r="J1896" s="711"/>
      <c r="K1896" s="684">
        <f t="shared" si="1725"/>
        <v>1</v>
      </c>
      <c r="L1896" s="708">
        <v>1</v>
      </c>
      <c r="M1896" s="709">
        <f t="shared" si="1729"/>
        <v>1</v>
      </c>
      <c r="N1896" s="1905" t="str">
        <f>IF(O1896&lt;&gt;"",K1896*L1896*M1896,"")</f>
        <v/>
      </c>
      <c r="O1896" s="1571" t="str">
        <f>IF(D1896&lt;&gt;"",IF(VLOOKUP(D1896,base_datos,7,FALSE)&lt;&gt;"",VLOOKUP(D1896,base_datos,7,FALSE),""),"")</f>
        <v/>
      </c>
      <c r="P1896" s="320" t="str">
        <f>IF(O1896&lt;&gt;"",VLOOKUP(D1896,base_datos,6,FALSE),"")</f>
        <v/>
      </c>
      <c r="Q1896" s="185" t="str">
        <f>IF(O1896&lt;&gt;"",D1896,"")</f>
        <v/>
      </c>
    </row>
    <row r="1897" spans="1:18" s="695" customFormat="1">
      <c r="A1897" s="691"/>
      <c r="B1897" s="2214">
        <v>1</v>
      </c>
      <c r="C1897" s="2215" t="s">
        <v>316</v>
      </c>
      <c r="D1897" s="2223"/>
      <c r="E1897" s="2227"/>
      <c r="F1897" s="2227"/>
      <c r="G1897" s="696"/>
      <c r="H1897" s="696"/>
      <c r="I1897" s="696"/>
      <c r="J1897" s="697"/>
      <c r="K1897" s="684">
        <f t="shared" si="1725"/>
        <v>1</v>
      </c>
      <c r="L1897" s="708">
        <v>1</v>
      </c>
      <c r="M1897" s="709">
        <f t="shared" si="1729"/>
        <v>1</v>
      </c>
      <c r="N1897" s="362" t="str">
        <f t="shared" ref="N1897:N1898" si="1752">IF(O1897&lt;&gt;"",K1897*L1897*M1897,"")</f>
        <v/>
      </c>
      <c r="O1897" s="1763" t="str">
        <f t="shared" ref="O1897:O1898" si="1753">IF(D1897&lt;&gt;"",IF(VLOOKUP(D1897,base_datos,7,FALSE)&lt;&gt;"",VLOOKUP(D1897,base_datos,7,FALSE),""),"")</f>
        <v/>
      </c>
      <c r="P1897" s="1764" t="str">
        <f t="shared" ref="P1897:P1898" si="1754">IF(O1897&lt;&gt;"",VLOOKUP(D1897,base_datos,6,FALSE),"")</f>
        <v/>
      </c>
      <c r="Q1897" s="120" t="str">
        <f t="shared" ref="Q1897:Q1898" si="1755">IF(O1897&lt;&gt;"",D1897,"")</f>
        <v/>
      </c>
    </row>
    <row r="1898" spans="1:18" s="1979" customFormat="1">
      <c r="A1898" s="698"/>
      <c r="B1898" s="1967">
        <v>1</v>
      </c>
      <c r="C1898" s="694" t="s">
        <v>13039</v>
      </c>
      <c r="D1898" s="2218"/>
      <c r="E1898" s="1968">
        <v>60</v>
      </c>
      <c r="F1898" s="1968">
        <f>+E1898*B1898</f>
        <v>60</v>
      </c>
      <c r="G1898" s="2216"/>
      <c r="H1898" s="2216"/>
      <c r="I1898" s="2216"/>
      <c r="J1898" s="2217"/>
      <c r="K1898" s="684">
        <f t="shared" si="1725"/>
        <v>1</v>
      </c>
      <c r="L1898" s="363">
        <v>1</v>
      </c>
      <c r="M1898" s="709">
        <f t="shared" si="1729"/>
        <v>1</v>
      </c>
      <c r="N1898" s="362" t="str">
        <f t="shared" si="1752"/>
        <v/>
      </c>
      <c r="O1898" s="1763" t="str">
        <f t="shared" si="1753"/>
        <v/>
      </c>
      <c r="P1898" s="1764" t="str">
        <f t="shared" si="1754"/>
        <v/>
      </c>
      <c r="Q1898" s="120" t="str">
        <f t="shared" si="1755"/>
        <v/>
      </c>
    </row>
    <row r="1899" spans="1:18" s="120" customFormat="1" ht="13.8" thickBot="1">
      <c r="A1899" s="699"/>
      <c r="B1899" s="1775"/>
      <c r="C1899" s="1776"/>
      <c r="D1899" s="1885"/>
      <c r="E1899" s="1981"/>
      <c r="F1899" s="1981"/>
      <c r="G1899" s="1777"/>
      <c r="H1899" s="1777"/>
      <c r="I1899" s="1777"/>
      <c r="J1899" s="1778"/>
      <c r="K1899" s="684"/>
      <c r="L1899" s="363"/>
      <c r="M1899" s="684"/>
      <c r="N1899" s="362"/>
      <c r="O1899" s="1763"/>
      <c r="P1899" s="1764"/>
    </row>
    <row r="1900" spans="1:18" s="120" customFormat="1" ht="18" customHeight="1" thickBot="1">
      <c r="A1900" s="1989">
        <v>32</v>
      </c>
      <c r="B1900" s="1852">
        <v>1</v>
      </c>
      <c r="C1900" s="1756" t="s">
        <v>12594</v>
      </c>
      <c r="D1900" s="1588"/>
      <c r="E1900" s="1589"/>
      <c r="F1900" s="1589"/>
      <c r="G1900" s="1757">
        <f>SUM(F1901:F1955)</f>
        <v>1904.2900000000002</v>
      </c>
      <c r="H1900" s="1758">
        <f>G1900*(1-$D$6)</f>
        <v>1904.2900000000002</v>
      </c>
      <c r="I1900" s="1757">
        <f>ROUNDUP(H1900*$D$5,0)</f>
        <v>6475</v>
      </c>
      <c r="J1900" s="1759">
        <f>+I1900*B1900</f>
        <v>6475</v>
      </c>
      <c r="K1900" s="1788">
        <f>B1900</f>
        <v>1</v>
      </c>
      <c r="L1900" s="363"/>
      <c r="M1900" s="684"/>
      <c r="N1900" s="362" t="str">
        <f t="shared" si="1628"/>
        <v/>
      </c>
      <c r="O1900" s="1763" t="str">
        <f t="shared" si="1629"/>
        <v/>
      </c>
      <c r="P1900" s="1764" t="str">
        <f t="shared" si="1630"/>
        <v/>
      </c>
      <c r="Q1900" s="120" t="str">
        <f t="shared" si="1631"/>
        <v/>
      </c>
      <c r="R1900" s="185"/>
    </row>
    <row r="1901" spans="1:18" s="120" customFormat="1" ht="18" customHeight="1">
      <c r="A1901" s="685" t="s">
        <v>3064</v>
      </c>
      <c r="B1901" s="1903"/>
      <c r="C1901" s="1890"/>
      <c r="D1901" s="1904"/>
      <c r="E1901" s="1789"/>
      <c r="F1901" s="1780"/>
      <c r="G1901" s="686"/>
      <c r="H1901" s="710"/>
      <c r="I1901" s="686"/>
      <c r="J1901" s="1768"/>
      <c r="K1901" s="684">
        <f t="shared" ref="K1901:K1955" si="1756">+K1900</f>
        <v>1</v>
      </c>
      <c r="L1901" s="363">
        <v>1</v>
      </c>
      <c r="M1901" s="709">
        <f t="shared" ref="M1901:M1929" si="1757">IF(B1901="",1,B1901)</f>
        <v>1</v>
      </c>
      <c r="N1901" s="362" t="str">
        <f t="shared" si="1628"/>
        <v/>
      </c>
      <c r="O1901" s="1763" t="str">
        <f t="shared" si="1629"/>
        <v/>
      </c>
      <c r="P1901" s="1764" t="str">
        <f t="shared" si="1630"/>
        <v/>
      </c>
      <c r="Q1901" s="120" t="str">
        <f t="shared" si="1631"/>
        <v/>
      </c>
    </row>
    <row r="1902" spans="1:18" s="315" customFormat="1">
      <c r="A1902" s="687" t="s">
        <v>4021</v>
      </c>
      <c r="B1902" s="2096">
        <v>1</v>
      </c>
      <c r="C1902" s="1907" t="s">
        <v>5103</v>
      </c>
      <c r="D1902" s="1935"/>
      <c r="E1902" s="1786"/>
      <c r="F1902" s="1908">
        <f>SUM(F1904:F1908)*(B1902-1)</f>
        <v>0</v>
      </c>
      <c r="G1902" s="712"/>
      <c r="H1902" s="712"/>
      <c r="I1902" s="712"/>
      <c r="J1902" s="713"/>
      <c r="K1902" s="684">
        <f t="shared" si="1756"/>
        <v>1</v>
      </c>
      <c r="L1902" s="1909">
        <f>B1902</f>
        <v>1</v>
      </c>
      <c r="M1902" s="684">
        <f t="shared" si="1757"/>
        <v>1</v>
      </c>
      <c r="N1902" s="362" t="str">
        <f t="shared" si="1628"/>
        <v/>
      </c>
      <c r="O1902" s="1763" t="str">
        <f t="shared" si="1629"/>
        <v/>
      </c>
      <c r="P1902" s="1764" t="str">
        <f t="shared" si="1630"/>
        <v/>
      </c>
      <c r="Q1902" s="120" t="str">
        <f t="shared" si="1631"/>
        <v/>
      </c>
    </row>
    <row r="1903" spans="1:18" s="185" customFormat="1">
      <c r="A1903" s="687" t="s">
        <v>4136</v>
      </c>
      <c r="B1903" s="1910">
        <v>3</v>
      </c>
      <c r="C1903" s="1911" t="str">
        <f>VLOOKUP(D1903,base_datos,6,FALSE)</f>
        <v>Portalámpara + lampara tipo LED - color Rojo - alimentacion: 220-230Vac, d=22mm. - CL2-523R - línea compacta - marca ABB.</v>
      </c>
      <c r="D1903" s="1790" t="s">
        <v>2439</v>
      </c>
      <c r="E1903" s="1939">
        <f>VLOOKUP(D1903,base_datos,5,FALSE)</f>
        <v>12.299999999999999</v>
      </c>
      <c r="F1903" s="1912">
        <f>+E1903*B1903</f>
        <v>36.9</v>
      </c>
      <c r="G1903" s="710"/>
      <c r="H1903" s="710"/>
      <c r="I1903" s="710"/>
      <c r="J1903" s="711"/>
      <c r="K1903" s="684">
        <f t="shared" si="1756"/>
        <v>1</v>
      </c>
      <c r="L1903" s="1913">
        <f>L1901</f>
        <v>1</v>
      </c>
      <c r="M1903" s="684">
        <f t="shared" si="1757"/>
        <v>3</v>
      </c>
      <c r="N1903" s="362">
        <f t="shared" si="1628"/>
        <v>3</v>
      </c>
      <c r="O1903" s="1763" t="str">
        <f t="shared" si="1629"/>
        <v>1SFA619403R5231</v>
      </c>
      <c r="P1903" s="1764" t="str">
        <f t="shared" si="1630"/>
        <v>Portalámpara + lampara tipo LED - color Rojo - alimentacion: 220-230Vac, d=22mm. - CL2-523R - línea compacta - marca ABB.</v>
      </c>
      <c r="Q1903" s="120" t="str">
        <f t="shared" si="1631"/>
        <v>LAMP_ROJO_220V</v>
      </c>
    </row>
    <row r="1904" spans="1:18" s="185" customFormat="1">
      <c r="A1904" s="687"/>
      <c r="B1904" s="1910">
        <v>3</v>
      </c>
      <c r="C1904" s="1911" t="str">
        <f>VLOOKUP(D1904,base_datos,6,FALSE)</f>
        <v>Portalámpara + lampara tipo LED - color Verde - alimentacion: 220-230Vac, d=22mm. - CL2-523G - línea compacta - marca ABB.</v>
      </c>
      <c r="D1904" s="1790" t="s">
        <v>2440</v>
      </c>
      <c r="E1904" s="1939">
        <f>VLOOKUP(D1904,base_datos,5,FALSE)</f>
        <v>12.299999999999999</v>
      </c>
      <c r="F1904" s="1912">
        <f>+E1904*B1904</f>
        <v>36.9</v>
      </c>
      <c r="G1904" s="710"/>
      <c r="H1904" s="710"/>
      <c r="I1904" s="710"/>
      <c r="J1904" s="711"/>
      <c r="K1904" s="684">
        <f t="shared" si="1756"/>
        <v>1</v>
      </c>
      <c r="L1904" s="1913">
        <f>L1902</f>
        <v>1</v>
      </c>
      <c r="M1904" s="684">
        <f t="shared" si="1757"/>
        <v>3</v>
      </c>
      <c r="N1904" s="362">
        <f t="shared" si="1628"/>
        <v>3</v>
      </c>
      <c r="O1904" s="1763" t="str">
        <f t="shared" si="1629"/>
        <v>1SFA619403R5232</v>
      </c>
      <c r="P1904" s="1764" t="str">
        <f t="shared" si="1630"/>
        <v>Portalámpara + lampara tipo LED - color Verde - alimentacion: 220-230Vac, d=22mm. - CL2-523G - línea compacta - marca ABB.</v>
      </c>
      <c r="Q1904" s="120" t="str">
        <f t="shared" si="1631"/>
        <v>LAMP_VERDE_220V</v>
      </c>
    </row>
    <row r="1905" spans="1:18" s="1921" customFormat="1">
      <c r="A1905" s="687" t="s">
        <v>12356</v>
      </c>
      <c r="B1905" s="1914">
        <v>1</v>
      </c>
      <c r="C1905" s="1915" t="s">
        <v>3366</v>
      </c>
      <c r="D1905" s="1916"/>
      <c r="E1905" s="1917"/>
      <c r="F1905" s="1918"/>
      <c r="G1905" s="1919"/>
      <c r="H1905" s="1919"/>
      <c r="I1905" s="1919"/>
      <c r="J1905" s="1920"/>
      <c r="K1905" s="684">
        <f t="shared" si="1756"/>
        <v>1</v>
      </c>
      <c r="L1905" s="1913">
        <f>L1904</f>
        <v>1</v>
      </c>
      <c r="M1905" s="684">
        <f t="shared" si="1757"/>
        <v>1</v>
      </c>
      <c r="N1905" s="362" t="str">
        <f t="shared" si="1628"/>
        <v/>
      </c>
      <c r="O1905" s="1763" t="str">
        <f t="shared" si="1629"/>
        <v/>
      </c>
      <c r="P1905" s="1764" t="str">
        <f t="shared" si="1630"/>
        <v/>
      </c>
      <c r="Q1905" s="120" t="str">
        <f t="shared" si="1631"/>
        <v/>
      </c>
    </row>
    <row r="1906" spans="1:18" s="320" customFormat="1">
      <c r="A1906" s="687" t="s">
        <v>12375</v>
      </c>
      <c r="B1906" s="1922">
        <v>1</v>
      </c>
      <c r="C1906" s="721" t="str">
        <f>VLOOKUP(D1906,base_datos,6,FALSE)</f>
        <v>Rele auxiliar enchufable +4NA/NC (D2PR4B + base D2PA6), 220Vac - marca EATON.</v>
      </c>
      <c r="D1906" s="1579" t="s">
        <v>772</v>
      </c>
      <c r="E1906" s="1581">
        <f>VLOOKUP(D1906,base_datos,5,FALSE)</f>
        <v>27</v>
      </c>
      <c r="F1906" s="1923">
        <f>+E1906*B1906</f>
        <v>27</v>
      </c>
      <c r="G1906" s="1924"/>
      <c r="H1906" s="1924"/>
      <c r="I1906" s="1924"/>
      <c r="J1906" s="722"/>
      <c r="K1906" s="684">
        <f t="shared" si="1756"/>
        <v>1</v>
      </c>
      <c r="L1906" s="1913">
        <f>L1903</f>
        <v>1</v>
      </c>
      <c r="M1906" s="684">
        <f t="shared" si="1757"/>
        <v>1</v>
      </c>
      <c r="N1906" s="362">
        <f t="shared" si="1628"/>
        <v>1</v>
      </c>
      <c r="O1906" s="1763" t="str">
        <f t="shared" si="1629"/>
        <v>D2PR4B+D2PA6</v>
      </c>
      <c r="P1906" s="1764" t="str">
        <f t="shared" si="1630"/>
        <v>Rele auxiliar enchufable +4NA/NC (D2PR4B + base D2PA6), 220Vac - marca EATON.</v>
      </c>
      <c r="Q1906" s="120" t="str">
        <f t="shared" si="1631"/>
        <v>D2PR4B+D2PA6</v>
      </c>
    </row>
    <row r="1907" spans="1:18" s="320" customFormat="1">
      <c r="A1907" s="1767"/>
      <c r="B1907" s="2131">
        <v>1</v>
      </c>
      <c r="C1907" s="2132" t="s">
        <v>12558</v>
      </c>
      <c r="D1907" s="2133"/>
      <c r="E1907" s="2134">
        <v>32</v>
      </c>
      <c r="F1907" s="2134">
        <f>+E1907*B1907</f>
        <v>32</v>
      </c>
      <c r="G1907" s="1924"/>
      <c r="H1907" s="1924"/>
      <c r="I1907" s="1924"/>
      <c r="J1907" s="722"/>
      <c r="K1907" s="684">
        <f t="shared" si="1756"/>
        <v>1</v>
      </c>
      <c r="L1907" s="1913">
        <f>L1904</f>
        <v>1</v>
      </c>
      <c r="M1907" s="684">
        <f t="shared" si="1757"/>
        <v>1</v>
      </c>
      <c r="N1907" s="362" t="str">
        <f t="shared" si="1628"/>
        <v/>
      </c>
      <c r="O1907" s="1763" t="str">
        <f t="shared" si="1629"/>
        <v/>
      </c>
      <c r="P1907" s="1764" t="str">
        <f t="shared" si="1630"/>
        <v/>
      </c>
      <c r="Q1907" s="120" t="str">
        <f t="shared" si="1631"/>
        <v/>
      </c>
    </row>
    <row r="1908" spans="1:18" s="320" customFormat="1">
      <c r="A1908" s="687" t="s">
        <v>12551</v>
      </c>
      <c r="B1908" s="1922">
        <v>4</v>
      </c>
      <c r="C1908" s="721" t="str">
        <f>VLOOKUP(D1908,base_datos,6,FALSE)</f>
        <v>Base portafusibles + Fusibles de protección para control.</v>
      </c>
      <c r="D1908" s="1579" t="s">
        <v>453</v>
      </c>
      <c r="E1908" s="1581">
        <f>VLOOKUP(D1908,base_datos,5,FALSE)</f>
        <v>8.1750000000000007</v>
      </c>
      <c r="F1908" s="1923">
        <f>+E1908*B1908</f>
        <v>32.700000000000003</v>
      </c>
      <c r="G1908" s="1924"/>
      <c r="H1908" s="1924"/>
      <c r="I1908" s="1924"/>
      <c r="J1908" s="722"/>
      <c r="K1908" s="684">
        <f t="shared" si="1756"/>
        <v>1</v>
      </c>
      <c r="L1908" s="1913">
        <f>L1905</f>
        <v>1</v>
      </c>
      <c r="M1908" s="684">
        <f t="shared" si="1757"/>
        <v>4</v>
      </c>
      <c r="N1908" s="362" t="str">
        <f t="shared" si="1628"/>
        <v/>
      </c>
      <c r="O1908" s="1763" t="str">
        <f t="shared" si="1629"/>
        <v/>
      </c>
      <c r="P1908" s="1764" t="str">
        <f t="shared" si="1630"/>
        <v/>
      </c>
      <c r="Q1908" s="120" t="str">
        <f t="shared" si="1631"/>
        <v/>
      </c>
    </row>
    <row r="1909" spans="1:18" s="315" customFormat="1">
      <c r="A1909" s="687" t="s">
        <v>3542</v>
      </c>
      <c r="B1909" s="1906"/>
      <c r="C1909" s="1907"/>
      <c r="D1909" s="1935"/>
      <c r="E1909" s="1786"/>
      <c r="F1909" s="1936"/>
      <c r="G1909" s="712"/>
      <c r="H1909" s="712"/>
      <c r="I1909" s="712"/>
      <c r="J1909" s="713"/>
      <c r="K1909" s="684">
        <f t="shared" si="1756"/>
        <v>1</v>
      </c>
      <c r="L1909" s="1909">
        <f>B1909</f>
        <v>0</v>
      </c>
      <c r="M1909" s="684">
        <f t="shared" si="1757"/>
        <v>1</v>
      </c>
      <c r="N1909" s="362" t="str">
        <f t="shared" si="1628"/>
        <v/>
      </c>
      <c r="O1909" s="1763" t="str">
        <f t="shared" si="1629"/>
        <v/>
      </c>
      <c r="P1909" s="1764" t="str">
        <f t="shared" si="1630"/>
        <v/>
      </c>
      <c r="Q1909" s="120" t="str">
        <f t="shared" si="1631"/>
        <v/>
      </c>
    </row>
    <row r="1910" spans="1:18" s="185" customFormat="1" ht="13.5" customHeight="1">
      <c r="A1910" s="1771"/>
      <c r="B1910" s="1922"/>
      <c r="C1910" s="1956" t="s">
        <v>12368</v>
      </c>
      <c r="D1910" s="1579"/>
      <c r="E1910" s="1957"/>
      <c r="F1910" s="1958"/>
      <c r="G1910" s="710"/>
      <c r="H1910" s="710"/>
      <c r="I1910" s="710"/>
      <c r="J1910" s="711"/>
      <c r="K1910" s="684">
        <f t="shared" si="1756"/>
        <v>1</v>
      </c>
      <c r="L1910" s="708">
        <v>1</v>
      </c>
      <c r="M1910" s="684">
        <f t="shared" si="1757"/>
        <v>1</v>
      </c>
      <c r="N1910" s="362" t="str">
        <f t="shared" si="1628"/>
        <v/>
      </c>
      <c r="O1910" s="1763" t="str">
        <f t="shared" si="1629"/>
        <v/>
      </c>
      <c r="P1910" s="1764" t="str">
        <f t="shared" si="1630"/>
        <v/>
      </c>
      <c r="Q1910" s="120" t="str">
        <f t="shared" si="1631"/>
        <v/>
      </c>
    </row>
    <row r="1911" spans="1:18" s="120" customFormat="1" ht="18" customHeight="1">
      <c r="A1911" s="1767"/>
      <c r="B1911" s="1781"/>
      <c r="C1911" s="1218" t="s">
        <v>3158</v>
      </c>
      <c r="D1911" s="1900"/>
      <c r="E1911" s="1791"/>
      <c r="F1911" s="1782"/>
      <c r="G1911" s="686"/>
      <c r="H1911" s="686"/>
      <c r="I1911" s="686"/>
      <c r="J1911" s="688"/>
      <c r="K1911" s="684">
        <f t="shared" si="1756"/>
        <v>1</v>
      </c>
      <c r="L1911" s="708">
        <v>1</v>
      </c>
      <c r="M1911" s="684">
        <f t="shared" si="1757"/>
        <v>1</v>
      </c>
      <c r="N1911" s="362" t="str">
        <f t="shared" si="1628"/>
        <v/>
      </c>
      <c r="O1911" s="1763" t="str">
        <f t="shared" si="1629"/>
        <v/>
      </c>
      <c r="P1911" s="1764" t="str">
        <f t="shared" si="1630"/>
        <v/>
      </c>
      <c r="Q1911" s="120" t="str">
        <f t="shared" si="1631"/>
        <v/>
      </c>
      <c r="R1911" s="185"/>
    </row>
    <row r="1912" spans="1:18" s="690" customFormat="1" ht="18" customHeight="1">
      <c r="A1912" s="687"/>
      <c r="B1912" s="2096">
        <v>1</v>
      </c>
      <c r="C1912" s="1420" t="str">
        <f>VLOOKUP(D1912,base_datos,6,FALSE)</f>
        <v>ITM Caja Moldeada 3x20A (reg.[0.7-1.0] In) - XT1B160-20A-3P-TMD - 25kA@230Vac, 18kA@415Vac, 18kA@250Vdc - marca ABB.</v>
      </c>
      <c r="D1912" s="1901" t="s">
        <v>4360</v>
      </c>
      <c r="E1912" s="1791">
        <f>VLOOKUP(D1912,base_datos,5,FALSE)</f>
        <v>120.37</v>
      </c>
      <c r="F1912" s="1782">
        <f>+E1912*B1912</f>
        <v>120.37</v>
      </c>
      <c r="G1912" s="1761"/>
      <c r="H1912" s="1761"/>
      <c r="I1912" s="1761"/>
      <c r="J1912" s="689"/>
      <c r="K1912" s="684">
        <f t="shared" si="1756"/>
        <v>1</v>
      </c>
      <c r="L1912" s="708">
        <v>1</v>
      </c>
      <c r="M1912" s="684">
        <f t="shared" si="1757"/>
        <v>1</v>
      </c>
      <c r="N1912" s="362">
        <f t="shared" si="1628"/>
        <v>1</v>
      </c>
      <c r="O1912" s="1763" t="str">
        <f t="shared" si="1629"/>
        <v>1SDA066800R1</v>
      </c>
      <c r="P1912" s="1764" t="str">
        <f t="shared" si="1630"/>
        <v>ITM Caja Moldeada 3x20A (reg.[0.7-1.0] In) - XT1B160-20A-3P-TMD - 25kA@230Vac, 18kA@415Vac, 18kA@250Vdc - marca ABB.</v>
      </c>
      <c r="Q1912" s="120" t="str">
        <f t="shared" si="1631"/>
        <v>XT1B160-20A-3P-TMD</v>
      </c>
      <c r="R1912" s="185"/>
    </row>
    <row r="1913" spans="1:18" s="185" customFormat="1" ht="18" customHeight="1">
      <c r="A1913" s="687"/>
      <c r="B1913" s="714"/>
      <c r="C1913" s="1893" t="s">
        <v>729</v>
      </c>
      <c r="D1913" s="173"/>
      <c r="E1913" s="1581"/>
      <c r="F1913" s="1581"/>
      <c r="G1913" s="710"/>
      <c r="H1913" s="710"/>
      <c r="I1913" s="710"/>
      <c r="J1913" s="711"/>
      <c r="K1913" s="684">
        <f t="shared" si="1756"/>
        <v>1</v>
      </c>
      <c r="L1913" s="708">
        <v>1</v>
      </c>
      <c r="M1913" s="684">
        <f t="shared" si="1757"/>
        <v>1</v>
      </c>
      <c r="N1913" s="362" t="str">
        <f t="shared" si="1628"/>
        <v/>
      </c>
      <c r="O1913" s="1763" t="str">
        <f t="shared" si="1629"/>
        <v/>
      </c>
      <c r="P1913" s="1764" t="str">
        <f t="shared" si="1630"/>
        <v/>
      </c>
      <c r="Q1913" s="120" t="str">
        <f t="shared" si="1631"/>
        <v/>
      </c>
      <c r="R1913" s="1765"/>
    </row>
    <row r="1914" spans="1:18" s="690" customFormat="1" ht="18" customHeight="1">
      <c r="A1914" s="1771"/>
      <c r="B1914" s="1851"/>
      <c r="C1914" s="1966" t="s">
        <v>9431</v>
      </c>
      <c r="D1914" s="1582"/>
      <c r="E1914" s="1780"/>
      <c r="F1914" s="1782"/>
      <c r="G1914" s="1761"/>
      <c r="H1914" s="1761"/>
      <c r="I1914" s="1761"/>
      <c r="J1914" s="689"/>
      <c r="K1914" s="684">
        <f t="shared" si="1756"/>
        <v>1</v>
      </c>
      <c r="L1914" s="708">
        <v>1</v>
      </c>
      <c r="M1914" s="684">
        <f t="shared" si="1757"/>
        <v>1</v>
      </c>
      <c r="N1914" s="362" t="str">
        <f t="shared" ref="N1914:N1929" si="1758">IF(O1914&lt;&gt;"",K1914*L1914*M1914,"")</f>
        <v/>
      </c>
      <c r="O1914" s="1763" t="str">
        <f t="shared" ref="O1914:O1929" si="1759">IF(D1914&lt;&gt;"",IF(VLOOKUP(D1914,base_datos,7,FALSE)&lt;&gt;"",VLOOKUP(D1914,base_datos,7,FALSE),""),"")</f>
        <v/>
      </c>
      <c r="P1914" s="1764" t="str">
        <f t="shared" ref="P1914:P1929" si="1760">IF(O1914&lt;&gt;"",VLOOKUP(D1914,base_datos,6,FALSE),"")</f>
        <v/>
      </c>
      <c r="Q1914" s="120" t="str">
        <f t="shared" ref="Q1914:Q1929" si="1761">IF(O1914&lt;&gt;"",D1914,"")</f>
        <v/>
      </c>
      <c r="R1914" s="185"/>
    </row>
    <row r="1915" spans="1:18" s="690" customFormat="1" ht="18" customHeight="1">
      <c r="A1915" s="1785"/>
      <c r="B1915" s="1781">
        <v>2</v>
      </c>
      <c r="C1915" s="1960" t="str">
        <f t="shared" ref="C1915" si="1762">VLOOKUP(D1915,base_datos,6,FALSE)</f>
        <v>ITM Caja Moldeada 3x20A (reg.[0.7-1.0] In) - XT1B160-20A-3P-TMD - 25kA@230Vac, 18kA@415Vac, 18kA@250Vdc - marca ABB.</v>
      </c>
      <c r="D1915" s="1901" t="s">
        <v>4360</v>
      </c>
      <c r="E1915" s="1791">
        <f t="shared" ref="E1915" si="1763">VLOOKUP(D1915,base_datos,5,FALSE)</f>
        <v>120.37</v>
      </c>
      <c r="F1915" s="1782">
        <f t="shared" ref="F1915:F1916" si="1764">+E1915*B1915</f>
        <v>240.74</v>
      </c>
      <c r="G1915" s="1761"/>
      <c r="H1915" s="1761"/>
      <c r="I1915" s="1761"/>
      <c r="J1915" s="1783"/>
      <c r="K1915" s="684">
        <f t="shared" si="1756"/>
        <v>1</v>
      </c>
      <c r="L1915" s="708">
        <v>1</v>
      </c>
      <c r="M1915" s="684">
        <f t="shared" si="1757"/>
        <v>2</v>
      </c>
      <c r="N1915" s="362">
        <f t="shared" si="1758"/>
        <v>2</v>
      </c>
      <c r="O1915" s="1763" t="str">
        <f t="shared" si="1759"/>
        <v>1SDA066800R1</v>
      </c>
      <c r="P1915" s="1764" t="str">
        <f t="shared" si="1760"/>
        <v>ITM Caja Moldeada 3x20A (reg.[0.7-1.0] In) - XT1B160-20A-3P-TMD - 25kA@230Vac, 18kA@415Vac, 18kA@250Vdc - marca ABB.</v>
      </c>
      <c r="Q1915" s="120" t="str">
        <f t="shared" si="1761"/>
        <v>XT1B160-20A-3P-TMD</v>
      </c>
      <c r="R1915" s="185"/>
    </row>
    <row r="1916" spans="1:18" s="695" customFormat="1" ht="12" customHeight="1">
      <c r="A1916" s="687"/>
      <c r="B1916" s="1967">
        <v>1</v>
      </c>
      <c r="C1916" s="1946">
        <v>6</v>
      </c>
      <c r="D1916" s="1582"/>
      <c r="E1916" s="2000">
        <v>24</v>
      </c>
      <c r="F1916" s="1968">
        <f t="shared" si="1764"/>
        <v>24</v>
      </c>
      <c r="G1916" s="1969"/>
      <c r="H1916" s="1969"/>
      <c r="I1916" s="1969"/>
      <c r="J1916" s="1970"/>
      <c r="K1916" s="684">
        <f t="shared" si="1756"/>
        <v>1</v>
      </c>
      <c r="L1916" s="708">
        <v>1</v>
      </c>
      <c r="M1916" s="684">
        <f t="shared" si="1757"/>
        <v>1</v>
      </c>
      <c r="N1916" s="362" t="str">
        <f t="shared" si="1758"/>
        <v/>
      </c>
      <c r="O1916" s="1763" t="str">
        <f t="shared" si="1759"/>
        <v/>
      </c>
      <c r="P1916" s="1764" t="str">
        <f t="shared" si="1760"/>
        <v/>
      </c>
      <c r="Q1916" s="120" t="str">
        <f t="shared" si="1761"/>
        <v/>
      </c>
    </row>
    <row r="1917" spans="1:18" s="185" customFormat="1" ht="18" customHeight="1">
      <c r="A1917" s="687"/>
      <c r="B1917" s="714"/>
      <c r="C1917" s="1893" t="s">
        <v>729</v>
      </c>
      <c r="D1917" s="173"/>
      <c r="E1917" s="1581"/>
      <c r="F1917" s="1581"/>
      <c r="G1917" s="710"/>
      <c r="H1917" s="710"/>
      <c r="I1917" s="710"/>
      <c r="J1917" s="711"/>
      <c r="K1917" s="684">
        <f t="shared" si="1756"/>
        <v>1</v>
      </c>
      <c r="L1917" s="708">
        <v>1</v>
      </c>
      <c r="M1917" s="684">
        <f t="shared" ref="M1917" si="1765">IF(B1917="",1,B1917)</f>
        <v>1</v>
      </c>
      <c r="N1917" s="362" t="str">
        <f t="shared" si="1758"/>
        <v/>
      </c>
      <c r="O1917" s="1763" t="str">
        <f t="shared" si="1759"/>
        <v/>
      </c>
      <c r="P1917" s="1764" t="str">
        <f t="shared" si="1760"/>
        <v/>
      </c>
      <c r="Q1917" s="120" t="str">
        <f t="shared" si="1761"/>
        <v/>
      </c>
      <c r="R1917" s="1765"/>
    </row>
    <row r="1918" spans="1:18" s="690" customFormat="1" ht="18" customHeight="1">
      <c r="A1918" s="1785"/>
      <c r="B1918" s="1851"/>
      <c r="C1918" s="1966" t="s">
        <v>12546</v>
      </c>
      <c r="D1918" s="1582"/>
      <c r="E1918" s="1780"/>
      <c r="F1918" s="1782"/>
      <c r="G1918" s="1761"/>
      <c r="H1918" s="1761"/>
      <c r="I1918" s="1761"/>
      <c r="J1918" s="689"/>
      <c r="K1918" s="684">
        <f t="shared" si="1756"/>
        <v>1</v>
      </c>
      <c r="L1918" s="708">
        <v>1</v>
      </c>
      <c r="M1918" s="684">
        <f t="shared" si="1757"/>
        <v>1</v>
      </c>
      <c r="N1918" s="362" t="str">
        <f t="shared" si="1758"/>
        <v/>
      </c>
      <c r="O1918" s="1763" t="str">
        <f t="shared" si="1759"/>
        <v/>
      </c>
      <c r="P1918" s="1764" t="str">
        <f t="shared" si="1760"/>
        <v/>
      </c>
      <c r="Q1918" s="120" t="str">
        <f t="shared" si="1761"/>
        <v/>
      </c>
      <c r="R1918" s="185"/>
    </row>
    <row r="1919" spans="1:18" s="690" customFormat="1" ht="18" customHeight="1">
      <c r="A1919" s="1785"/>
      <c r="B1919" s="1781">
        <v>3</v>
      </c>
      <c r="C1919" s="1960" t="str">
        <f t="shared" ref="C1919:C1921" si="1766">VLOOKUP(D1919,base_datos,6,FALSE)</f>
        <v>ITM Riel-Din 2x16A - S202-C-16A - 10kA@400Vac-IEC60947-2 - marca ABB.</v>
      </c>
      <c r="D1919" s="2007" t="s">
        <v>970</v>
      </c>
      <c r="E1919" s="1791">
        <f t="shared" ref="E1919:E1921" si="1767">VLOOKUP(D1919,base_datos,5,FALSE)</f>
        <v>17.96</v>
      </c>
      <c r="F1919" s="1782">
        <f t="shared" ref="F1919:F1922" si="1768">+E1919*B1919</f>
        <v>53.88</v>
      </c>
      <c r="G1919" s="1761"/>
      <c r="H1919" s="1761"/>
      <c r="I1919" s="1761"/>
      <c r="J1919" s="1783"/>
      <c r="K1919" s="684">
        <f t="shared" si="1756"/>
        <v>1</v>
      </c>
      <c r="L1919" s="708">
        <v>1</v>
      </c>
      <c r="M1919" s="684">
        <f t="shared" si="1757"/>
        <v>3</v>
      </c>
      <c r="N1919" s="362">
        <f t="shared" si="1758"/>
        <v>3</v>
      </c>
      <c r="O1919" s="1763" t="str">
        <f t="shared" si="1759"/>
        <v>2CDS252001R0164</v>
      </c>
      <c r="P1919" s="1764" t="str">
        <f t="shared" si="1760"/>
        <v>ITM Riel-Din 2x16A - S202-C-16A - 10kA@400Vac-IEC60947-2 - marca ABB.</v>
      </c>
      <c r="Q1919" s="120" t="str">
        <f t="shared" si="1761"/>
        <v>S202-C-16A</v>
      </c>
      <c r="R1919" s="185"/>
    </row>
    <row r="1920" spans="1:18" s="690" customFormat="1" ht="18" customHeight="1">
      <c r="A1920" s="1785"/>
      <c r="B1920" s="2023">
        <v>3</v>
      </c>
      <c r="C1920" s="2041" t="str">
        <f t="shared" si="1766"/>
        <v>Interruptor Diferencial 2x25A - 30mA - clase A (inmunizado) - FH202-A-25A-30mA - marca ABB.</v>
      </c>
      <c r="D1920" s="2006" t="s">
        <v>5318</v>
      </c>
      <c r="E1920" s="2025">
        <f t="shared" si="1767"/>
        <v>50</v>
      </c>
      <c r="F1920" s="2026">
        <f t="shared" si="1768"/>
        <v>150</v>
      </c>
      <c r="G1920" s="1761"/>
      <c r="H1920" s="1761"/>
      <c r="I1920" s="1761"/>
      <c r="J1920" s="1783"/>
      <c r="K1920" s="684">
        <f t="shared" si="1756"/>
        <v>1</v>
      </c>
      <c r="L1920" s="708">
        <v>1</v>
      </c>
      <c r="M1920" s="684">
        <f t="shared" si="1757"/>
        <v>3</v>
      </c>
      <c r="N1920" s="362">
        <f t="shared" si="1758"/>
        <v>3</v>
      </c>
      <c r="O1920" s="1763" t="str">
        <f t="shared" si="1759"/>
        <v>2CSF202102R1250</v>
      </c>
      <c r="P1920" s="1764" t="str">
        <f t="shared" si="1760"/>
        <v>Interruptor Diferencial 2x25A - 30mA - clase A (inmunizado) - FH202-A-25A-30mA - marca ABB.</v>
      </c>
      <c r="Q1920" s="120" t="str">
        <f t="shared" si="1761"/>
        <v>FH202-A-25A-30mA</v>
      </c>
      <c r="R1920" s="185"/>
    </row>
    <row r="1921" spans="1:18" s="690" customFormat="1" ht="18" customHeight="1">
      <c r="A1921" s="1785"/>
      <c r="B1921" s="1781">
        <v>1</v>
      </c>
      <c r="C1921" s="1960" t="str">
        <f t="shared" si="1766"/>
        <v>Espacio de reserva monofasica + interruptor diferencial - Riel-Din.</v>
      </c>
      <c r="D1921" s="2006" t="s">
        <v>2926</v>
      </c>
      <c r="E1921" s="1791">
        <f t="shared" si="1767"/>
        <v>2.5</v>
      </c>
      <c r="F1921" s="1782">
        <f t="shared" si="1768"/>
        <v>2.5</v>
      </c>
      <c r="G1921" s="1761"/>
      <c r="H1921" s="1761"/>
      <c r="I1921" s="1761"/>
      <c r="J1921" s="1783"/>
      <c r="K1921" s="684">
        <f t="shared" si="1756"/>
        <v>1</v>
      </c>
      <c r="L1921" s="708">
        <v>1</v>
      </c>
      <c r="M1921" s="684">
        <f t="shared" si="1757"/>
        <v>1</v>
      </c>
      <c r="N1921" s="362" t="str">
        <f t="shared" si="1758"/>
        <v/>
      </c>
      <c r="O1921" s="1763" t="str">
        <f t="shared" si="1759"/>
        <v/>
      </c>
      <c r="P1921" s="1764" t="str">
        <f t="shared" si="1760"/>
        <v/>
      </c>
      <c r="Q1921" s="120" t="str">
        <f t="shared" si="1761"/>
        <v/>
      </c>
      <c r="R1921" s="185"/>
    </row>
    <row r="1922" spans="1:18" s="695" customFormat="1">
      <c r="A1922" s="687"/>
      <c r="B1922" s="1967">
        <v>1</v>
      </c>
      <c r="C1922" s="1946">
        <v>8</v>
      </c>
      <c r="D1922" s="1582"/>
      <c r="E1922" s="2000">
        <v>32</v>
      </c>
      <c r="F1922" s="1968">
        <f t="shared" si="1768"/>
        <v>32</v>
      </c>
      <c r="G1922" s="1969"/>
      <c r="H1922" s="1969"/>
      <c r="I1922" s="1969"/>
      <c r="J1922" s="1970"/>
      <c r="K1922" s="684">
        <f t="shared" si="1756"/>
        <v>1</v>
      </c>
      <c r="L1922" s="708">
        <v>1</v>
      </c>
      <c r="M1922" s="684">
        <f t="shared" si="1757"/>
        <v>1</v>
      </c>
      <c r="N1922" s="362" t="str">
        <f t="shared" si="1758"/>
        <v/>
      </c>
      <c r="O1922" s="1763" t="str">
        <f t="shared" si="1759"/>
        <v/>
      </c>
      <c r="P1922" s="1764" t="str">
        <f t="shared" si="1760"/>
        <v/>
      </c>
      <c r="Q1922" s="120" t="str">
        <f t="shared" si="1761"/>
        <v/>
      </c>
    </row>
    <row r="1923" spans="1:18" s="185" customFormat="1">
      <c r="A1923" s="1785"/>
      <c r="B1923" s="714"/>
      <c r="C1923" s="1893" t="s">
        <v>729</v>
      </c>
      <c r="D1923" s="1941"/>
      <c r="E1923" s="1786"/>
      <c r="F1923" s="1787"/>
      <c r="G1923" s="710"/>
      <c r="H1923" s="710"/>
      <c r="I1923" s="710"/>
      <c r="J1923" s="711"/>
      <c r="K1923" s="684">
        <f t="shared" si="1756"/>
        <v>1</v>
      </c>
      <c r="L1923" s="708">
        <v>1</v>
      </c>
      <c r="M1923" s="684">
        <f t="shared" si="1757"/>
        <v>1</v>
      </c>
      <c r="N1923" s="362" t="str">
        <f t="shared" si="1758"/>
        <v/>
      </c>
      <c r="O1923" s="1763" t="str">
        <f t="shared" si="1759"/>
        <v/>
      </c>
      <c r="P1923" s="1764" t="str">
        <f t="shared" si="1760"/>
        <v/>
      </c>
      <c r="Q1923" s="120" t="str">
        <f t="shared" si="1761"/>
        <v/>
      </c>
    </row>
    <row r="1924" spans="1:18" s="690" customFormat="1" ht="18" customHeight="1">
      <c r="A1924" s="1785"/>
      <c r="B1924" s="1851"/>
      <c r="C1924" s="1966" t="s">
        <v>12547</v>
      </c>
      <c r="D1924" s="1582"/>
      <c r="E1924" s="1780"/>
      <c r="F1924" s="1782"/>
      <c r="G1924" s="1761"/>
      <c r="H1924" s="1761"/>
      <c r="I1924" s="1761"/>
      <c r="J1924" s="689"/>
      <c r="K1924" s="684">
        <f t="shared" si="1756"/>
        <v>1</v>
      </c>
      <c r="L1924" s="708">
        <v>1</v>
      </c>
      <c r="M1924" s="709">
        <f t="shared" si="1757"/>
        <v>1</v>
      </c>
      <c r="N1924" s="362" t="str">
        <f t="shared" si="1758"/>
        <v/>
      </c>
      <c r="O1924" s="1763" t="str">
        <f t="shared" si="1759"/>
        <v/>
      </c>
      <c r="P1924" s="1764" t="str">
        <f t="shared" si="1760"/>
        <v/>
      </c>
      <c r="Q1924" s="120" t="str">
        <f t="shared" si="1761"/>
        <v/>
      </c>
      <c r="R1924" s="185"/>
    </row>
    <row r="1925" spans="1:18" s="2434" customFormat="1" ht="18" customHeight="1">
      <c r="A1925" s="2462"/>
      <c r="B1925" s="2435">
        <v>2</v>
      </c>
      <c r="C1925" s="2436" t="str">
        <f t="shared" ref="C1925" si="1769">VLOOKUP(D1925,base_datos,6,FALSE)</f>
        <v>ITM Caja Moldeada 3x16A (reg.[0.7-1.0] In) - XT1B160-16A-3P-TMD - 25kA@230Vac, 18kA@415Vac, 18kA@250Vdc - marca ABB.</v>
      </c>
      <c r="D1925" s="2483" t="s">
        <v>4358</v>
      </c>
      <c r="E1925" s="2482">
        <f t="shared" ref="E1925" si="1770">VLOOKUP(D1925,base_datos,5,FALSE)</f>
        <v>120.37</v>
      </c>
      <c r="F1925" s="2422">
        <f t="shared" ref="F1925" si="1771">+E1925*B1925</f>
        <v>240.74</v>
      </c>
      <c r="G1925" s="2424"/>
      <c r="H1925" s="2424"/>
      <c r="I1925" s="2424"/>
      <c r="J1925" s="2425"/>
      <c r="K1925" s="2426">
        <f t="shared" si="1756"/>
        <v>1</v>
      </c>
      <c r="L1925" s="2463">
        <v>1</v>
      </c>
      <c r="M1925" s="2428">
        <f t="shared" ref="M1925" si="1772">IF(B1925="",1,B1925)</f>
        <v>2</v>
      </c>
      <c r="N1925" s="2429">
        <f t="shared" ref="N1925" si="1773">IF(O1925&lt;&gt;"",K1925*L1925*M1925,"")</f>
        <v>2</v>
      </c>
      <c r="O1925" s="2430" t="str">
        <f t="shared" ref="O1925" si="1774">IF(D1925&lt;&gt;"",IF(VLOOKUP(D1925,base_datos,7,FALSE)&lt;&gt;"",VLOOKUP(D1925,base_datos,7,FALSE),""),"")</f>
        <v>1SDA066799R1</v>
      </c>
      <c r="P1925" s="2431" t="str">
        <f t="shared" ref="P1925" si="1775">IF(O1925&lt;&gt;"",VLOOKUP(D1925,base_datos,6,FALSE),"")</f>
        <v>ITM Caja Moldeada 3x16A (reg.[0.7-1.0] In) - XT1B160-16A-3P-TMD - 25kA@230Vac, 18kA@415Vac, 18kA@250Vdc - marca ABB.</v>
      </c>
      <c r="Q1925" s="2432" t="str">
        <f t="shared" ref="Q1925" si="1776">IF(O1925&lt;&gt;"",D1925,"")</f>
        <v>XT1B160-16A-3P-TMD</v>
      </c>
      <c r="R1925" s="2433"/>
    </row>
    <row r="1926" spans="1:18" s="690" customFormat="1" ht="18" customHeight="1">
      <c r="A1926" s="1785"/>
      <c r="B1926" s="1781">
        <v>1</v>
      </c>
      <c r="C1926" s="1960" t="str">
        <f t="shared" ref="C1926:C1927" si="1777">VLOOKUP(D1926,base_datos,6,FALSE)</f>
        <v>ITM Riel-Din 3x16A - S203-C-16A - 10kA@400Vac-IEC60947-2 - marca ABB.</v>
      </c>
      <c r="D1926" s="2007" t="s">
        <v>984</v>
      </c>
      <c r="E1926" s="1791">
        <f t="shared" ref="E1926:E1927" si="1778">VLOOKUP(D1926,base_datos,5,FALSE)</f>
        <v>32.72</v>
      </c>
      <c r="F1926" s="1782">
        <f t="shared" ref="F1926:F1928" si="1779">+E1926*B1926</f>
        <v>32.72</v>
      </c>
      <c r="G1926" s="1761"/>
      <c r="H1926" s="1761"/>
      <c r="I1926" s="1761"/>
      <c r="J1926" s="1783"/>
      <c r="K1926" s="684">
        <f t="shared" si="1756"/>
        <v>1</v>
      </c>
      <c r="L1926" s="708">
        <v>1</v>
      </c>
      <c r="M1926" s="709">
        <f t="shared" si="1757"/>
        <v>1</v>
      </c>
      <c r="N1926" s="362">
        <f t="shared" si="1758"/>
        <v>1</v>
      </c>
      <c r="O1926" s="1763" t="str">
        <f t="shared" si="1759"/>
        <v>2CDS253001R0164</v>
      </c>
      <c r="P1926" s="1764" t="str">
        <f t="shared" si="1760"/>
        <v>ITM Riel-Din 3x16A - S203-C-16A - 10kA@400Vac-IEC60947-2 - marca ABB.</v>
      </c>
      <c r="Q1926" s="120" t="str">
        <f t="shared" si="1761"/>
        <v>S203-C-16A</v>
      </c>
      <c r="R1926" s="185"/>
    </row>
    <row r="1927" spans="1:18" s="690" customFormat="1" ht="18" customHeight="1">
      <c r="A1927" s="1785"/>
      <c r="B1927" s="1781">
        <v>1</v>
      </c>
      <c r="C1927" s="1960" t="str">
        <f t="shared" si="1777"/>
        <v>Espacio de reserva trifásica - Riel-Din.</v>
      </c>
      <c r="D1927" s="2006" t="s">
        <v>14158</v>
      </c>
      <c r="E1927" s="1791">
        <f t="shared" si="1778"/>
        <v>1.5</v>
      </c>
      <c r="F1927" s="1782">
        <f t="shared" si="1779"/>
        <v>1.5</v>
      </c>
      <c r="G1927" s="1761"/>
      <c r="H1927" s="1761"/>
      <c r="I1927" s="1761"/>
      <c r="J1927" s="1783"/>
      <c r="K1927" s="684">
        <f t="shared" si="1756"/>
        <v>1</v>
      </c>
      <c r="L1927" s="708">
        <v>1</v>
      </c>
      <c r="M1927" s="709">
        <f t="shared" si="1757"/>
        <v>1</v>
      </c>
      <c r="N1927" s="362" t="str">
        <f t="shared" si="1758"/>
        <v/>
      </c>
      <c r="O1927" s="1763" t="str">
        <f t="shared" si="1759"/>
        <v/>
      </c>
      <c r="P1927" s="1764" t="str">
        <f t="shared" si="1760"/>
        <v/>
      </c>
      <c r="Q1927" s="120" t="str">
        <f t="shared" si="1761"/>
        <v/>
      </c>
      <c r="R1927" s="185"/>
    </row>
    <row r="1928" spans="1:18" s="695" customFormat="1">
      <c r="A1928" s="687"/>
      <c r="B1928" s="1967">
        <v>1</v>
      </c>
      <c r="C1928" s="1946">
        <v>12</v>
      </c>
      <c r="D1928" s="1582"/>
      <c r="E1928" s="2000">
        <v>48</v>
      </c>
      <c r="F1928" s="1782">
        <f t="shared" si="1779"/>
        <v>48</v>
      </c>
      <c r="G1928" s="1969"/>
      <c r="H1928" s="1969"/>
      <c r="I1928" s="1969"/>
      <c r="J1928" s="1970"/>
      <c r="K1928" s="684">
        <f t="shared" si="1756"/>
        <v>1</v>
      </c>
      <c r="L1928" s="708">
        <v>1</v>
      </c>
      <c r="M1928" s="709">
        <f t="shared" si="1757"/>
        <v>1</v>
      </c>
      <c r="N1928" s="362" t="str">
        <f t="shared" si="1758"/>
        <v/>
      </c>
      <c r="O1928" s="1763" t="str">
        <f t="shared" si="1759"/>
        <v/>
      </c>
      <c r="P1928" s="1764" t="str">
        <f t="shared" si="1760"/>
        <v/>
      </c>
      <c r="Q1928" s="120" t="str">
        <f t="shared" si="1761"/>
        <v/>
      </c>
    </row>
    <row r="1929" spans="1:18" s="185" customFormat="1">
      <c r="A1929" s="1785"/>
      <c r="B1929" s="714"/>
      <c r="C1929" s="1893" t="s">
        <v>729</v>
      </c>
      <c r="D1929" s="1941"/>
      <c r="E1929" s="1786"/>
      <c r="F1929" s="1787"/>
      <c r="G1929" s="710"/>
      <c r="H1929" s="710"/>
      <c r="I1929" s="710"/>
      <c r="J1929" s="711"/>
      <c r="K1929" s="684">
        <f t="shared" si="1756"/>
        <v>1</v>
      </c>
      <c r="L1929" s="708">
        <v>1</v>
      </c>
      <c r="M1929" s="709">
        <f t="shared" si="1757"/>
        <v>1</v>
      </c>
      <c r="N1929" s="362" t="str">
        <f t="shared" si="1758"/>
        <v/>
      </c>
      <c r="O1929" s="1763" t="str">
        <f t="shared" si="1759"/>
        <v/>
      </c>
      <c r="P1929" s="1764" t="str">
        <f t="shared" si="1760"/>
        <v/>
      </c>
      <c r="Q1929" s="120" t="str">
        <f t="shared" si="1761"/>
        <v/>
      </c>
    </row>
    <row r="1930" spans="1:18" s="315" customFormat="1">
      <c r="A1930" s="1785"/>
      <c r="B1930" s="1906">
        <v>1</v>
      </c>
      <c r="C1930" s="1944" t="s">
        <v>13041</v>
      </c>
      <c r="D1930" s="1941"/>
      <c r="E1930" s="1786"/>
      <c r="F1930" s="1908">
        <f>SUM(F1931:F1936)*(B1930-1)</f>
        <v>0</v>
      </c>
      <c r="G1930" s="712"/>
      <c r="H1930" s="712"/>
      <c r="I1930" s="712"/>
      <c r="J1930" s="713"/>
      <c r="K1930" s="684">
        <f t="shared" si="1756"/>
        <v>1</v>
      </c>
      <c r="L1930" s="708">
        <v>1</v>
      </c>
      <c r="M1930" s="709">
        <f>IF(B1930="",1,B1930)</f>
        <v>1</v>
      </c>
      <c r="N1930" s="362" t="str">
        <f t="shared" ref="N1930:N1943" si="1780">IF(O1930&lt;&gt;"",K1930*L1930*M1930,"")</f>
        <v/>
      </c>
      <c r="O1930" s="1763" t="str">
        <f t="shared" ref="O1930:O1943" si="1781">IF(D1930&lt;&gt;"",IF(VLOOKUP(D1930,base_datos,7,FALSE)&lt;&gt;"",VLOOKUP(D1930,base_datos,7,FALSE),""),"")</f>
        <v/>
      </c>
      <c r="P1930" s="1764" t="str">
        <f t="shared" ref="P1930:P1943" si="1782">IF(O1930&lt;&gt;"",VLOOKUP(D1930,base_datos,6,FALSE),"")</f>
        <v/>
      </c>
      <c r="Q1930" s="120" t="str">
        <f t="shared" ref="Q1930:Q1943" si="1783">IF(O1930&lt;&gt;"",D1930,"")</f>
        <v/>
      </c>
    </row>
    <row r="1931" spans="1:18" s="690" customFormat="1" ht="18" customHeight="1">
      <c r="A1931" s="691"/>
      <c r="B1931" s="1781">
        <v>1</v>
      </c>
      <c r="C1931" s="1420" t="str">
        <f>VLOOKUP(D1931,base_datos,6,FALSE)</f>
        <v>Contactor 3x09A(AC-3) / 3x25A(AC-1) +1NA - AF09-30-10-13 - bobina 100-250Vac/dc - marca ABB.</v>
      </c>
      <c r="D1931" s="1901" t="s">
        <v>1447</v>
      </c>
      <c r="E1931" s="1791">
        <f>VLOOKUP(D1931,base_datos,5,FALSE)</f>
        <v>29.89</v>
      </c>
      <c r="F1931" s="1912">
        <f>+E1931*B1931</f>
        <v>29.89</v>
      </c>
      <c r="G1931" s="1761"/>
      <c r="H1931" s="1761"/>
      <c r="I1931" s="1761"/>
      <c r="J1931" s="1783"/>
      <c r="K1931" s="684">
        <f t="shared" si="1756"/>
        <v>1</v>
      </c>
      <c r="L1931" s="708">
        <v>1</v>
      </c>
      <c r="M1931" s="709">
        <f t="shared" ref="M1931:M1943" si="1784">IF(B1931="",1,B1931)</f>
        <v>1</v>
      </c>
      <c r="N1931" s="362">
        <f t="shared" si="1780"/>
        <v>1</v>
      </c>
      <c r="O1931" s="1763" t="str">
        <f t="shared" si="1781"/>
        <v>1SBL137001R1310</v>
      </c>
      <c r="P1931" s="1764" t="str">
        <f t="shared" si="1782"/>
        <v>Contactor 3x09A(AC-3) / 3x25A(AC-1) +1NA - AF09-30-10-13 - bobina 100-250Vac/dc - marca ABB.</v>
      </c>
      <c r="Q1931" s="120" t="str">
        <f t="shared" si="1783"/>
        <v>AF09-30-10-13_3p</v>
      </c>
      <c r="R1931" s="185"/>
    </row>
    <row r="1932" spans="1:18" s="690" customFormat="1" ht="18" customHeight="1">
      <c r="A1932" s="1785"/>
      <c r="B1932" s="1922">
        <v>1</v>
      </c>
      <c r="C1932" s="1848" t="str">
        <f>VLOOKUP(D1932,base_datos,6,FALSE)</f>
        <v>Contacto auxiliar frontal 1NA para contactor AF09..AF16-30-10, frontal - Modelo CA4-10 - marca ABB.</v>
      </c>
      <c r="D1932" s="1901" t="s">
        <v>2718</v>
      </c>
      <c r="E1932" s="1791">
        <f>VLOOKUP(D1932,base_datos,5,FALSE)</f>
        <v>5.92</v>
      </c>
      <c r="F1932" s="1912">
        <f>+E1932*B1932</f>
        <v>5.92</v>
      </c>
      <c r="G1932" s="1761"/>
      <c r="H1932" s="1761"/>
      <c r="I1932" s="1761"/>
      <c r="J1932" s="1783"/>
      <c r="K1932" s="684">
        <f t="shared" si="1756"/>
        <v>1</v>
      </c>
      <c r="L1932" s="708">
        <v>1</v>
      </c>
      <c r="M1932" s="709">
        <f t="shared" si="1784"/>
        <v>1</v>
      </c>
      <c r="N1932" s="362">
        <f t="shared" si="1780"/>
        <v>1</v>
      </c>
      <c r="O1932" s="1763" t="str">
        <f t="shared" si="1781"/>
        <v>1SBN010110R1010</v>
      </c>
      <c r="P1932" s="1764" t="str">
        <f t="shared" si="1782"/>
        <v>Contacto auxiliar frontal 1NA para contactor AF09..AF16-30-10, frontal - Modelo CA4-10 - marca ABB.</v>
      </c>
      <c r="Q1932" s="120" t="str">
        <f t="shared" si="1783"/>
        <v>CA4-10</v>
      </c>
      <c r="R1932" s="185"/>
    </row>
    <row r="1933" spans="1:18" s="1921" customFormat="1">
      <c r="A1933" s="687"/>
      <c r="B1933" s="1914">
        <v>1</v>
      </c>
      <c r="C1933" s="1915" t="s">
        <v>3366</v>
      </c>
      <c r="D1933" s="1916"/>
      <c r="E1933" s="1917"/>
      <c r="F1933" s="1918"/>
      <c r="G1933" s="1919"/>
      <c r="H1933" s="1919"/>
      <c r="I1933" s="1919"/>
      <c r="J1933" s="1920"/>
      <c r="K1933" s="684">
        <f t="shared" si="1756"/>
        <v>1</v>
      </c>
      <c r="L1933" s="708">
        <v>1</v>
      </c>
      <c r="M1933" s="684">
        <f t="shared" si="1784"/>
        <v>1</v>
      </c>
      <c r="N1933" s="362" t="str">
        <f t="shared" si="1780"/>
        <v/>
      </c>
      <c r="O1933" s="1763" t="str">
        <f t="shared" si="1781"/>
        <v/>
      </c>
      <c r="P1933" s="1764" t="str">
        <f t="shared" si="1782"/>
        <v/>
      </c>
      <c r="Q1933" s="120" t="str">
        <f t="shared" si="1783"/>
        <v/>
      </c>
    </row>
    <row r="1934" spans="1:18" s="695" customFormat="1" ht="18" customHeight="1">
      <c r="A1934" s="1785"/>
      <c r="B1934" s="1922">
        <v>1</v>
      </c>
      <c r="C1934" s="1848" t="str">
        <f t="shared" ref="C1934:C1936" si="1785">VLOOKUP(D1934,base_datos,6,FALSE)</f>
        <v>Base portafusibles + Fusibles de protección para control.</v>
      </c>
      <c r="D1934" s="1886" t="s">
        <v>453</v>
      </c>
      <c r="E1934" s="1795">
        <f t="shared" ref="E1934:E1936" si="1786">VLOOKUP(D1934,base_datos,5,FALSE)</f>
        <v>8.1750000000000007</v>
      </c>
      <c r="F1934" s="1923">
        <f t="shared" ref="F1934:F1936" si="1787">+E1934*B1934</f>
        <v>8.1750000000000007</v>
      </c>
      <c r="G1934" s="696"/>
      <c r="H1934" s="696"/>
      <c r="I1934" s="696"/>
      <c r="J1934" s="697"/>
      <c r="K1934" s="684">
        <f t="shared" si="1756"/>
        <v>1</v>
      </c>
      <c r="L1934" s="708">
        <v>1</v>
      </c>
      <c r="M1934" s="709">
        <f t="shared" si="1784"/>
        <v>1</v>
      </c>
      <c r="N1934" s="362" t="str">
        <f t="shared" si="1780"/>
        <v/>
      </c>
      <c r="O1934" s="1763" t="str">
        <f t="shared" si="1781"/>
        <v/>
      </c>
      <c r="P1934" s="1764" t="str">
        <f t="shared" si="1782"/>
        <v/>
      </c>
      <c r="Q1934" s="120" t="str">
        <f t="shared" si="1783"/>
        <v/>
      </c>
      <c r="R1934" s="185"/>
    </row>
    <row r="1935" spans="1:18" s="695" customFormat="1" ht="18" customHeight="1">
      <c r="A1935" s="1785"/>
      <c r="B1935" s="1922">
        <v>1</v>
      </c>
      <c r="C1935" s="1848" t="str">
        <f t="shared" si="1785"/>
        <v>Borne para neutro.</v>
      </c>
      <c r="D1935" s="1886" t="s">
        <v>436</v>
      </c>
      <c r="E1935" s="1795">
        <f t="shared" si="1786"/>
        <v>4</v>
      </c>
      <c r="F1935" s="1923">
        <f t="shared" si="1787"/>
        <v>4</v>
      </c>
      <c r="G1935" s="696"/>
      <c r="H1935" s="696"/>
      <c r="I1935" s="696"/>
      <c r="J1935" s="697"/>
      <c r="K1935" s="684">
        <f t="shared" si="1756"/>
        <v>1</v>
      </c>
      <c r="L1935" s="708">
        <v>1</v>
      </c>
      <c r="M1935" s="709">
        <f t="shared" si="1784"/>
        <v>1</v>
      </c>
      <c r="N1935" s="362" t="str">
        <f t="shared" si="1780"/>
        <v/>
      </c>
      <c r="O1935" s="1763" t="str">
        <f t="shared" si="1781"/>
        <v/>
      </c>
      <c r="P1935" s="1764" t="str">
        <f t="shared" si="1782"/>
        <v/>
      </c>
      <c r="Q1935" s="120" t="str">
        <f t="shared" si="1783"/>
        <v/>
      </c>
      <c r="R1935" s="185"/>
    </row>
    <row r="1936" spans="1:18" s="695" customFormat="1" ht="18" customHeight="1">
      <c r="A1936" s="1785"/>
      <c r="B1936" s="1922">
        <v>2</v>
      </c>
      <c r="C1936" s="1848" t="str">
        <f t="shared" si="1785"/>
        <v>Borne 4mm2.</v>
      </c>
      <c r="D1936" s="1886" t="s">
        <v>437</v>
      </c>
      <c r="E1936" s="1795">
        <f t="shared" si="1786"/>
        <v>2.5</v>
      </c>
      <c r="F1936" s="1923">
        <f t="shared" si="1787"/>
        <v>5</v>
      </c>
      <c r="G1936" s="696"/>
      <c r="H1936" s="696"/>
      <c r="I1936" s="696"/>
      <c r="J1936" s="697"/>
      <c r="K1936" s="684">
        <f t="shared" si="1756"/>
        <v>1</v>
      </c>
      <c r="L1936" s="708">
        <v>1</v>
      </c>
      <c r="M1936" s="709">
        <f t="shared" si="1784"/>
        <v>2</v>
      </c>
      <c r="N1936" s="362" t="str">
        <f t="shared" si="1780"/>
        <v/>
      </c>
      <c r="O1936" s="1763" t="str">
        <f t="shared" si="1781"/>
        <v/>
      </c>
      <c r="P1936" s="1764" t="str">
        <f t="shared" si="1782"/>
        <v/>
      </c>
      <c r="Q1936" s="120" t="str">
        <f t="shared" si="1783"/>
        <v/>
      </c>
      <c r="R1936" s="185"/>
    </row>
    <row r="1937" spans="1:20" s="185" customFormat="1" ht="18" customHeight="1">
      <c r="A1937" s="1785"/>
      <c r="B1937" s="714"/>
      <c r="C1937" s="1893" t="s">
        <v>729</v>
      </c>
      <c r="D1937" s="173"/>
      <c r="E1937" s="1786"/>
      <c r="F1937" s="1787"/>
      <c r="G1937" s="710"/>
      <c r="H1937" s="710"/>
      <c r="I1937" s="710"/>
      <c r="J1937" s="711"/>
      <c r="K1937" s="684">
        <f t="shared" si="1756"/>
        <v>1</v>
      </c>
      <c r="L1937" s="708">
        <v>1</v>
      </c>
      <c r="M1937" s="709">
        <f t="shared" si="1784"/>
        <v>1</v>
      </c>
      <c r="N1937" s="362" t="str">
        <f t="shared" si="1780"/>
        <v/>
      </c>
      <c r="O1937" s="1763" t="str">
        <f t="shared" si="1781"/>
        <v/>
      </c>
      <c r="P1937" s="1764" t="str">
        <f t="shared" si="1782"/>
        <v/>
      </c>
      <c r="Q1937" s="120" t="str">
        <f t="shared" si="1783"/>
        <v/>
      </c>
    </row>
    <row r="1938" spans="1:20" s="315" customFormat="1" ht="12.75" customHeight="1">
      <c r="A1938" s="2271"/>
      <c r="B1938" s="2272">
        <v>1</v>
      </c>
      <c r="C1938" s="2281" t="s">
        <v>13366</v>
      </c>
      <c r="D1938" s="1935"/>
      <c r="E1938" s="2287"/>
      <c r="F1938" s="2257">
        <f>+SUM(F1939:F1942)*(B1938-1)</f>
        <v>0</v>
      </c>
      <c r="G1938" s="712"/>
      <c r="H1938" s="712"/>
      <c r="I1938" s="712"/>
      <c r="J1938" s="713"/>
      <c r="K1938" s="684">
        <f t="shared" si="1756"/>
        <v>1</v>
      </c>
      <c r="L1938" s="708">
        <v>1</v>
      </c>
      <c r="M1938" s="120">
        <f t="shared" si="1784"/>
        <v>1</v>
      </c>
      <c r="N1938" s="112" t="str">
        <f t="shared" si="1780"/>
        <v/>
      </c>
      <c r="O1938" s="112" t="str">
        <f t="shared" si="1781"/>
        <v/>
      </c>
      <c r="P1938" s="120" t="str">
        <f t="shared" si="1782"/>
        <v/>
      </c>
      <c r="Q1938" s="120" t="str">
        <f t="shared" si="1783"/>
        <v/>
      </c>
      <c r="S1938" s="112" t="str">
        <f t="shared" ref="S1938:S1942" si="1788">IF(O1938&lt;&gt;"",VLOOKUP(D1938,base_datos,9,FALSE),"")</f>
        <v/>
      </c>
      <c r="T1938" s="2128"/>
    </row>
    <row r="1939" spans="1:20" s="690" customFormat="1" ht="18" customHeight="1">
      <c r="A1939" s="2273"/>
      <c r="B1939" s="1781">
        <v>1</v>
      </c>
      <c r="C1939" s="1420" t="str">
        <f t="shared" ref="C1939:C1942" si="1789">VLOOKUP(D1939,base_datos,6,FALSE)</f>
        <v>Calefactor resistivo 60W, modelo RACM - marca FANDIS.</v>
      </c>
      <c r="D1939" s="1899" t="s">
        <v>3298</v>
      </c>
      <c r="E1939" s="2288">
        <f t="shared" ref="E1939" si="1790">VLOOKUP(D1939,base_datos,5,FALSE)</f>
        <v>127.1</v>
      </c>
      <c r="F1939" s="1782">
        <f>+E1939*B1939</f>
        <v>127.1</v>
      </c>
      <c r="G1939" s="1761"/>
      <c r="H1939" s="1761"/>
      <c r="I1939" s="1761"/>
      <c r="J1939" s="689"/>
      <c r="K1939" s="684">
        <f t="shared" si="1756"/>
        <v>1</v>
      </c>
      <c r="L1939" s="708">
        <v>1</v>
      </c>
      <c r="M1939" s="120">
        <f t="shared" si="1784"/>
        <v>1</v>
      </c>
      <c r="N1939" s="112">
        <f t="shared" si="1780"/>
        <v>1</v>
      </c>
      <c r="O1939" s="112" t="str">
        <f t="shared" si="1781"/>
        <v>RACM-60</v>
      </c>
      <c r="P1939" s="120" t="str">
        <f t="shared" si="1782"/>
        <v>Calefactor resistivo 60W, modelo RACM - marca FANDIS.</v>
      </c>
      <c r="Q1939" s="120" t="str">
        <f t="shared" si="1783"/>
        <v>CALEFACT-60W_FAND</v>
      </c>
      <c r="S1939" s="112" t="str">
        <f t="shared" si="1788"/>
        <v>FANDIS</v>
      </c>
      <c r="T1939" s="1765"/>
    </row>
    <row r="1940" spans="1:20" s="690" customFormat="1" ht="18" customHeight="1">
      <c r="A1940" s="2273"/>
      <c r="B1940" s="1781">
        <v>1</v>
      </c>
      <c r="C1940" s="1420" t="str">
        <f t="shared" si="1789"/>
        <v>Termostato para ventilación - 1NA - 230V - marca FANDIS.</v>
      </c>
      <c r="D1940" s="1899" t="s">
        <v>3294</v>
      </c>
      <c r="E1940" s="2288">
        <f t="shared" ref="E1940:E1942" si="1791">VLOOKUP(D1940,base_datos,5,FALSE)</f>
        <v>41.58</v>
      </c>
      <c r="F1940" s="1782">
        <f>+E1940*B1940</f>
        <v>41.58</v>
      </c>
      <c r="G1940" s="1761"/>
      <c r="H1940" s="1761"/>
      <c r="I1940" s="1761"/>
      <c r="J1940" s="689"/>
      <c r="K1940" s="684">
        <f t="shared" si="1756"/>
        <v>1</v>
      </c>
      <c r="L1940" s="708">
        <v>1</v>
      </c>
      <c r="M1940" s="120">
        <f t="shared" si="1784"/>
        <v>1</v>
      </c>
      <c r="N1940" s="112">
        <f t="shared" si="1780"/>
        <v>1</v>
      </c>
      <c r="O1940" s="112" t="str">
        <f t="shared" si="1781"/>
        <v>TRT-10A230V-NO</v>
      </c>
      <c r="P1940" s="120" t="str">
        <f t="shared" si="1782"/>
        <v>Termostato para ventilación - 1NA - 230V - marca FANDIS.</v>
      </c>
      <c r="Q1940" s="120" t="str">
        <f t="shared" si="1783"/>
        <v>TRT-1NA</v>
      </c>
      <c r="S1940" s="112" t="str">
        <f t="shared" si="1788"/>
        <v>FANDIS</v>
      </c>
      <c r="T1940" s="1765"/>
    </row>
    <row r="1941" spans="1:20" s="320" customFormat="1" ht="12.75" customHeight="1">
      <c r="A1941" s="2274"/>
      <c r="B1941" s="2275">
        <v>1</v>
      </c>
      <c r="C1941" s="2282" t="str">
        <f t="shared" si="1789"/>
        <v>Base portafusibles + Fusibles de protección para control.</v>
      </c>
      <c r="D1941" s="1579" t="s">
        <v>453</v>
      </c>
      <c r="E1941" s="2289">
        <f t="shared" si="1791"/>
        <v>8.1750000000000007</v>
      </c>
      <c r="F1941" s="2264">
        <f>+E1941*B1941</f>
        <v>8.1750000000000007</v>
      </c>
      <c r="G1941" s="2276"/>
      <c r="H1941" s="2276"/>
      <c r="I1941" s="2276"/>
      <c r="J1941" s="722"/>
      <c r="K1941" s="684">
        <f t="shared" si="1756"/>
        <v>1</v>
      </c>
      <c r="L1941" s="708">
        <v>1</v>
      </c>
      <c r="M1941" s="120">
        <f t="shared" si="1784"/>
        <v>1</v>
      </c>
      <c r="N1941" s="112" t="str">
        <f t="shared" si="1780"/>
        <v/>
      </c>
      <c r="O1941" s="112" t="str">
        <f t="shared" si="1781"/>
        <v/>
      </c>
      <c r="P1941" s="120" t="str">
        <f t="shared" si="1782"/>
        <v/>
      </c>
      <c r="Q1941" s="120" t="str">
        <f t="shared" si="1783"/>
        <v/>
      </c>
      <c r="R1941" s="185"/>
      <c r="S1941" s="112" t="str">
        <f t="shared" si="1788"/>
        <v/>
      </c>
      <c r="T1941" s="709"/>
    </row>
    <row r="1942" spans="1:20" s="320" customFormat="1" ht="12.75" customHeight="1">
      <c r="A1942" s="2274"/>
      <c r="B1942" s="2277">
        <v>1</v>
      </c>
      <c r="C1942" s="2282" t="str">
        <f t="shared" si="1789"/>
        <v>Borne 4mm2.</v>
      </c>
      <c r="D1942" s="1579" t="s">
        <v>437</v>
      </c>
      <c r="E1942" s="2260">
        <f t="shared" si="1791"/>
        <v>2.5</v>
      </c>
      <c r="F1942" s="2260">
        <f>+E1942*B1942</f>
        <v>2.5</v>
      </c>
      <c r="G1942" s="2276"/>
      <c r="H1942" s="2276"/>
      <c r="I1942" s="2276"/>
      <c r="J1942" s="722"/>
      <c r="K1942" s="684">
        <f t="shared" si="1756"/>
        <v>1</v>
      </c>
      <c r="L1942" s="708">
        <v>1</v>
      </c>
      <c r="M1942" s="120">
        <f t="shared" si="1784"/>
        <v>1</v>
      </c>
      <c r="N1942" s="112" t="str">
        <f t="shared" si="1780"/>
        <v/>
      </c>
      <c r="O1942" s="112" t="str">
        <f t="shared" si="1781"/>
        <v/>
      </c>
      <c r="P1942" s="120" t="str">
        <f t="shared" si="1782"/>
        <v/>
      </c>
      <c r="Q1942" s="120" t="str">
        <f t="shared" si="1783"/>
        <v/>
      </c>
      <c r="R1942" s="185"/>
      <c r="S1942" s="112" t="str">
        <f t="shared" si="1788"/>
        <v/>
      </c>
      <c r="T1942" s="709"/>
    </row>
    <row r="1943" spans="1:20" s="185" customFormat="1" ht="18" customHeight="1">
      <c r="A1943" s="1785"/>
      <c r="B1943" s="714"/>
      <c r="C1943" s="1893" t="s">
        <v>729</v>
      </c>
      <c r="D1943" s="173"/>
      <c r="E1943" s="1786"/>
      <c r="F1943" s="1787"/>
      <c r="G1943" s="710"/>
      <c r="H1943" s="710"/>
      <c r="I1943" s="710"/>
      <c r="J1943" s="711"/>
      <c r="K1943" s="684">
        <f t="shared" si="1756"/>
        <v>1</v>
      </c>
      <c r="L1943" s="708">
        <v>1</v>
      </c>
      <c r="M1943" s="709">
        <f t="shared" si="1784"/>
        <v>1</v>
      </c>
      <c r="N1943" s="362" t="str">
        <f t="shared" si="1780"/>
        <v/>
      </c>
      <c r="O1943" s="1763" t="str">
        <f t="shared" si="1781"/>
        <v/>
      </c>
      <c r="P1943" s="1764" t="str">
        <f t="shared" si="1782"/>
        <v/>
      </c>
      <c r="Q1943" s="120" t="str">
        <f t="shared" si="1783"/>
        <v/>
      </c>
    </row>
    <row r="1944" spans="1:20" s="1236" customFormat="1" ht="18" customHeight="1">
      <c r="A1944" s="1767"/>
      <c r="B1944" s="1853">
        <v>1</v>
      </c>
      <c r="C1944" s="1895" t="s">
        <v>12364</v>
      </c>
      <c r="D1944" s="1902"/>
      <c r="E1944" s="1792"/>
      <c r="F1944" s="1793"/>
      <c r="G1944" s="1784"/>
      <c r="H1944" s="1784"/>
      <c r="I1944" s="1784"/>
      <c r="J1944" s="1182"/>
      <c r="K1944" s="684">
        <f t="shared" si="1756"/>
        <v>1</v>
      </c>
      <c r="L1944" s="708">
        <v>1</v>
      </c>
      <c r="M1944" s="709">
        <f t="shared" ref="M1944:M1955" si="1792">IF(B1944="",1,B1944)</f>
        <v>1</v>
      </c>
      <c r="N1944" s="362" t="str">
        <f t="shared" ref="N1944:N1995" si="1793">IF(O1944&lt;&gt;"",K1944*L1944*M1944,"")</f>
        <v/>
      </c>
      <c r="O1944" s="1763" t="str">
        <f t="shared" ref="O1944:O1995" si="1794">IF(D1944&lt;&gt;"",IF(VLOOKUP(D1944,base_datos,7,FALSE)&lt;&gt;"",VLOOKUP(D1944,base_datos,7,FALSE),""),"")</f>
        <v/>
      </c>
      <c r="P1944" s="1764" t="str">
        <f t="shared" ref="P1944:P1995" si="1795">IF(O1944&lt;&gt;"",VLOOKUP(D1944,base_datos,6,FALSE),"")</f>
        <v/>
      </c>
      <c r="Q1944" s="120" t="str">
        <f t="shared" ref="Q1944:Q1995" si="1796">IF(O1944&lt;&gt;"",D1944,"")</f>
        <v/>
      </c>
      <c r="R1944" s="185"/>
    </row>
    <row r="1945" spans="1:20" s="695" customFormat="1" ht="18" customHeight="1">
      <c r="A1945" s="693"/>
      <c r="B1945" s="1922">
        <v>1</v>
      </c>
      <c r="C1945" s="1848" t="str">
        <f t="shared" ref="C1945" si="1797">VLOOKUP(D1945,base_datos,6,FALSE)</f>
        <v>Placa lamicoid rotulación de 3mm de espesor, fondo negro y letras blancas.</v>
      </c>
      <c r="D1945" s="1886" t="s">
        <v>8570</v>
      </c>
      <c r="E1945" s="1795">
        <f t="shared" ref="E1945" si="1798">VLOOKUP(D1945,base_datos,5,FALSE)</f>
        <v>2.2000000000000002</v>
      </c>
      <c r="F1945" s="1796">
        <f t="shared" ref="F1945" si="1799">+E1945*B1945</f>
        <v>2.2000000000000002</v>
      </c>
      <c r="G1945" s="696"/>
      <c r="H1945" s="696"/>
      <c r="I1945" s="696"/>
      <c r="J1945" s="697"/>
      <c r="K1945" s="684">
        <f t="shared" si="1756"/>
        <v>1</v>
      </c>
      <c r="L1945" s="708">
        <v>1</v>
      </c>
      <c r="M1945" s="709">
        <f t="shared" si="1792"/>
        <v>1</v>
      </c>
      <c r="N1945" s="362">
        <f t="shared" si="1793"/>
        <v>1</v>
      </c>
      <c r="O1945" s="1763" t="str">
        <f t="shared" si="1794"/>
        <v>Placa lamicoid p/distr.</v>
      </c>
      <c r="P1945" s="1764" t="str">
        <f t="shared" si="1795"/>
        <v>Placa lamicoid rotulación de 3mm de espesor, fondo negro y letras blancas.</v>
      </c>
      <c r="Q1945" s="120" t="str">
        <f t="shared" si="1796"/>
        <v>Placa lamicoid p/distr.</v>
      </c>
      <c r="R1945" s="185"/>
    </row>
    <row r="1946" spans="1:20" s="1236" customFormat="1" ht="18" customHeight="1">
      <c r="A1946" s="1767"/>
      <c r="B1946" s="1853">
        <v>1</v>
      </c>
      <c r="C1946" s="1895" t="s">
        <v>12474</v>
      </c>
      <c r="D1946" s="1902"/>
      <c r="E1946" s="1792"/>
      <c r="F1946" s="1793"/>
      <c r="G1946" s="1784"/>
      <c r="H1946" s="1784"/>
      <c r="I1946" s="1784"/>
      <c r="J1946" s="1182"/>
      <c r="K1946" s="684">
        <f t="shared" si="1756"/>
        <v>1</v>
      </c>
      <c r="L1946" s="708">
        <v>1</v>
      </c>
      <c r="M1946" s="709">
        <f t="shared" si="1792"/>
        <v>1</v>
      </c>
      <c r="N1946" s="362" t="str">
        <f t="shared" si="1793"/>
        <v/>
      </c>
      <c r="O1946" s="1763" t="str">
        <f t="shared" si="1794"/>
        <v/>
      </c>
      <c r="P1946" s="1764" t="str">
        <f t="shared" si="1795"/>
        <v/>
      </c>
      <c r="Q1946" s="120" t="str">
        <f t="shared" si="1796"/>
        <v/>
      </c>
      <c r="R1946" s="185"/>
    </row>
    <row r="1947" spans="1:20" s="1236" customFormat="1" ht="18" customHeight="1">
      <c r="A1947" s="1767"/>
      <c r="B1947" s="1853">
        <v>1</v>
      </c>
      <c r="C1947" s="1848" t="str">
        <f>VLOOKUP(D1947,base_datos,6,FALSE)</f>
        <v>Embalaje especial completamente cerrado para tablero adosado de 1600x600x220mm</v>
      </c>
      <c r="D1947" s="1902" t="s">
        <v>12453</v>
      </c>
      <c r="E1947" s="1795">
        <f t="shared" ref="E1947" si="1800">VLOOKUP(D1947,base_datos,5,FALSE)</f>
        <v>271.40000000000003</v>
      </c>
      <c r="F1947" s="1796">
        <f t="shared" ref="F1947" si="1801">+E1947*B1947</f>
        <v>271.40000000000003</v>
      </c>
      <c r="G1947" s="1784"/>
      <c r="H1947" s="1784"/>
      <c r="I1947" s="1784"/>
      <c r="J1947" s="1182"/>
      <c r="K1947" s="684">
        <f t="shared" si="1756"/>
        <v>1</v>
      </c>
      <c r="L1947" s="708">
        <v>1</v>
      </c>
      <c r="M1947" s="709">
        <f t="shared" si="1792"/>
        <v>1</v>
      </c>
      <c r="N1947" s="362">
        <f t="shared" si="1793"/>
        <v>1</v>
      </c>
      <c r="O1947" s="1763" t="str">
        <f t="shared" si="1794"/>
        <v>EMBAL_ADOS_1600x600x220mm</v>
      </c>
      <c r="P1947" s="1764" t="str">
        <f t="shared" si="1795"/>
        <v>Embalaje especial completamente cerrado para tablero adosado de 1600x600x220mm</v>
      </c>
      <c r="Q1947" s="120" t="str">
        <f t="shared" si="1796"/>
        <v>EMBAL_ADOS_1600x600x220mm</v>
      </c>
      <c r="R1947" s="185"/>
    </row>
    <row r="1948" spans="1:20" s="185" customFormat="1" ht="18" customHeight="1">
      <c r="A1948" s="1785"/>
      <c r="B1948" s="714"/>
      <c r="C1948" s="1893" t="s">
        <v>729</v>
      </c>
      <c r="D1948" s="173"/>
      <c r="E1948" s="1786"/>
      <c r="F1948" s="1787"/>
      <c r="G1948" s="710"/>
      <c r="H1948" s="710"/>
      <c r="I1948" s="710"/>
      <c r="J1948" s="711"/>
      <c r="K1948" s="684">
        <f t="shared" si="1756"/>
        <v>1</v>
      </c>
      <c r="L1948" s="708">
        <v>1</v>
      </c>
      <c r="M1948" s="709">
        <f t="shared" si="1792"/>
        <v>1</v>
      </c>
      <c r="N1948" s="362" t="str">
        <f t="shared" si="1793"/>
        <v/>
      </c>
      <c r="O1948" s="1763" t="str">
        <f t="shared" si="1794"/>
        <v/>
      </c>
      <c r="P1948" s="1764" t="str">
        <f t="shared" si="1795"/>
        <v/>
      </c>
      <c r="Q1948" s="120" t="str">
        <f t="shared" si="1796"/>
        <v/>
      </c>
    </row>
    <row r="1949" spans="1:20" s="695" customFormat="1" ht="18" customHeight="1">
      <c r="A1949" s="693"/>
      <c r="B1949" s="1794">
        <v>1</v>
      </c>
      <c r="C1949" s="1420" t="str">
        <f t="shared" ref="C1949" si="1802">VLOOKUP(D1949,base_datos,6,FALSE)</f>
        <v>Barra a tierra.</v>
      </c>
      <c r="D1949" s="1790" t="s">
        <v>8299</v>
      </c>
      <c r="E1949" s="1795">
        <f t="shared" ref="E1949" si="1803">VLOOKUP(D1949,base_datos,5,FALSE)</f>
        <v>10</v>
      </c>
      <c r="F1949" s="1796">
        <f t="shared" ref="F1949:F1955" si="1804">+E1949*B1949</f>
        <v>10</v>
      </c>
      <c r="G1949" s="696"/>
      <c r="H1949" s="696"/>
      <c r="I1949" s="696"/>
      <c r="J1949" s="697"/>
      <c r="K1949" s="684">
        <f t="shared" si="1756"/>
        <v>1</v>
      </c>
      <c r="L1949" s="708">
        <v>1</v>
      </c>
      <c r="M1949" s="709">
        <f t="shared" si="1792"/>
        <v>1</v>
      </c>
      <c r="N1949" s="362" t="str">
        <f t="shared" si="1793"/>
        <v/>
      </c>
      <c r="O1949" s="1763" t="str">
        <f t="shared" si="1794"/>
        <v/>
      </c>
      <c r="P1949" s="1764" t="str">
        <f t="shared" si="1795"/>
        <v/>
      </c>
      <c r="Q1949" s="120" t="str">
        <f t="shared" si="1796"/>
        <v/>
      </c>
      <c r="R1949" s="185"/>
    </row>
    <row r="1950" spans="1:20" s="185" customFormat="1" ht="18" customHeight="1">
      <c r="A1950" s="1785"/>
      <c r="B1950" s="714"/>
      <c r="C1950" s="1893" t="s">
        <v>729</v>
      </c>
      <c r="D1950" s="173"/>
      <c r="E1950" s="1786"/>
      <c r="F1950" s="1787"/>
      <c r="G1950" s="710"/>
      <c r="H1950" s="710"/>
      <c r="I1950" s="710"/>
      <c r="J1950" s="711"/>
      <c r="K1950" s="684">
        <f t="shared" si="1756"/>
        <v>1</v>
      </c>
      <c r="L1950" s="708">
        <v>1</v>
      </c>
      <c r="M1950" s="709">
        <f t="shared" ref="M1950" si="1805">IF(B1950="",1,B1950)</f>
        <v>1</v>
      </c>
      <c r="N1950" s="362" t="str">
        <f t="shared" ref="N1950" si="1806">IF(O1950&lt;&gt;"",K1950*L1950*M1950,"")</f>
        <v/>
      </c>
      <c r="O1950" s="1763" t="str">
        <f t="shared" ref="O1950" si="1807">IF(D1950&lt;&gt;"",IF(VLOOKUP(D1950,base_datos,7,FALSE)&lt;&gt;"",VLOOKUP(D1950,base_datos,7,FALSE),""),"")</f>
        <v/>
      </c>
      <c r="P1950" s="1764" t="str">
        <f t="shared" ref="P1950" si="1808">IF(O1950&lt;&gt;"",VLOOKUP(D1950,base_datos,6,FALSE),"")</f>
        <v/>
      </c>
      <c r="Q1950" s="120" t="str">
        <f t="shared" ref="Q1950" si="1809">IF(O1950&lt;&gt;"",D1950,"")</f>
        <v/>
      </c>
    </row>
    <row r="1951" spans="1:20" s="897" customFormat="1" ht="18" customHeight="1">
      <c r="A1951" s="693"/>
      <c r="B1951" s="895">
        <v>7</v>
      </c>
      <c r="C1951" s="721" t="str">
        <f>VLOOKUP(D1951,base_datos,6,FALSE)</f>
        <v>Rotulado por circuito.</v>
      </c>
      <c r="D1951" s="1579" t="s">
        <v>3067</v>
      </c>
      <c r="E1951" s="1580">
        <f>VLOOKUP(D1951,base_datos,5,FALSE)</f>
        <v>0.7</v>
      </c>
      <c r="F1951" s="1581">
        <f t="shared" si="1804"/>
        <v>4.8999999999999995</v>
      </c>
      <c r="G1951" s="1772"/>
      <c r="H1951" s="1772"/>
      <c r="I1951" s="1772"/>
      <c r="J1951" s="896"/>
      <c r="K1951" s="684">
        <f t="shared" si="1756"/>
        <v>1</v>
      </c>
      <c r="L1951" s="708">
        <v>1</v>
      </c>
      <c r="M1951" s="709">
        <f t="shared" si="1792"/>
        <v>7</v>
      </c>
      <c r="N1951" s="362" t="str">
        <f t="shared" si="1793"/>
        <v/>
      </c>
      <c r="O1951" s="1763" t="str">
        <f t="shared" si="1794"/>
        <v/>
      </c>
      <c r="P1951" s="1764" t="str">
        <f t="shared" si="1795"/>
        <v/>
      </c>
      <c r="Q1951" s="120" t="str">
        <f t="shared" si="1796"/>
        <v/>
      </c>
    </row>
    <row r="1952" spans="1:20" s="897" customFormat="1" ht="18" customHeight="1">
      <c r="A1952" s="693"/>
      <c r="B1952" s="895">
        <v>1</v>
      </c>
      <c r="C1952" s="721" t="str">
        <f>VLOOKUP(D1952,base_datos,6,FALSE)</f>
        <v>Rotulado para TAG - tablero de distribución.</v>
      </c>
      <c r="D1952" s="1579" t="s">
        <v>3066</v>
      </c>
      <c r="E1952" s="1580">
        <f>VLOOKUP(D1952,base_datos,5,FALSE)</f>
        <v>1.5</v>
      </c>
      <c r="F1952" s="1581">
        <f t="shared" si="1804"/>
        <v>1.5</v>
      </c>
      <c r="G1952" s="1772"/>
      <c r="H1952" s="1772"/>
      <c r="I1952" s="1772"/>
      <c r="J1952" s="896"/>
      <c r="K1952" s="684">
        <f t="shared" si="1756"/>
        <v>1</v>
      </c>
      <c r="L1952" s="708">
        <v>1</v>
      </c>
      <c r="M1952" s="709">
        <f t="shared" si="1792"/>
        <v>1</v>
      </c>
      <c r="N1952" s="362" t="str">
        <f t="shared" si="1793"/>
        <v/>
      </c>
      <c r="O1952" s="1763" t="str">
        <f t="shared" si="1794"/>
        <v/>
      </c>
      <c r="P1952" s="1764" t="str">
        <f t="shared" si="1795"/>
        <v/>
      </c>
      <c r="Q1952" s="120" t="str">
        <f t="shared" si="1796"/>
        <v/>
      </c>
    </row>
    <row r="1953" spans="1:18" s="1237" customFormat="1" ht="18" customHeight="1">
      <c r="A1953" s="1767"/>
      <c r="B1953" s="2093">
        <v>1</v>
      </c>
      <c r="C1953" s="694" t="s">
        <v>12552</v>
      </c>
      <c r="D1953" s="1888"/>
      <c r="E1953" s="1580">
        <f>E1955*15%</f>
        <v>30</v>
      </c>
      <c r="F1953" s="1581">
        <f t="shared" si="1804"/>
        <v>30</v>
      </c>
      <c r="G1953" s="1774"/>
      <c r="H1953" s="1774"/>
      <c r="I1953" s="1774"/>
      <c r="J1953" s="1181"/>
      <c r="K1953" s="684">
        <f t="shared" si="1756"/>
        <v>1</v>
      </c>
      <c r="L1953" s="708">
        <v>1</v>
      </c>
      <c r="M1953" s="709">
        <f t="shared" si="1792"/>
        <v>1</v>
      </c>
      <c r="N1953" s="362" t="str">
        <f t="shared" si="1793"/>
        <v/>
      </c>
      <c r="O1953" s="1763" t="str">
        <f t="shared" si="1794"/>
        <v/>
      </c>
      <c r="P1953" s="1764" t="str">
        <f t="shared" si="1795"/>
        <v/>
      </c>
      <c r="Q1953" s="120" t="str">
        <f t="shared" si="1796"/>
        <v/>
      </c>
      <c r="R1953" s="1765"/>
    </row>
    <row r="1954" spans="1:18" s="1237" customFormat="1" ht="18" customHeight="1">
      <c r="A1954" s="1767"/>
      <c r="B1954" s="1773">
        <v>1</v>
      </c>
      <c r="C1954" s="694" t="s">
        <v>12559</v>
      </c>
      <c r="D1954" s="1888"/>
      <c r="E1954" s="1999">
        <f>E1955*20%</f>
        <v>40</v>
      </c>
      <c r="F1954" s="1581">
        <f t="shared" si="1804"/>
        <v>40</v>
      </c>
      <c r="G1954" s="1774"/>
      <c r="H1954" s="1774"/>
      <c r="I1954" s="1774"/>
      <c r="J1954" s="1181"/>
      <c r="K1954" s="684">
        <f t="shared" si="1756"/>
        <v>1</v>
      </c>
      <c r="L1954" s="708">
        <v>1</v>
      </c>
      <c r="M1954" s="709">
        <f t="shared" si="1792"/>
        <v>1</v>
      </c>
      <c r="N1954" s="362" t="str">
        <f t="shared" si="1793"/>
        <v/>
      </c>
      <c r="O1954" s="1763" t="str">
        <f t="shared" si="1794"/>
        <v/>
      </c>
      <c r="P1954" s="1764" t="str">
        <f t="shared" si="1795"/>
        <v/>
      </c>
      <c r="Q1954" s="120" t="str">
        <f t="shared" si="1796"/>
        <v/>
      </c>
      <c r="R1954" s="1765"/>
    </row>
    <row r="1955" spans="1:18" s="1237" customFormat="1" ht="18" customHeight="1">
      <c r="A1955" s="1767"/>
      <c r="B1955" s="1773">
        <v>1</v>
      </c>
      <c r="C1955" s="694" t="s">
        <v>12530</v>
      </c>
      <c r="D1955" s="1888"/>
      <c r="E1955" s="1999">
        <v>200</v>
      </c>
      <c r="F1955" s="1581">
        <f t="shared" si="1804"/>
        <v>200</v>
      </c>
      <c r="G1955" s="1774"/>
      <c r="H1955" s="1774"/>
      <c r="I1955" s="1774"/>
      <c r="J1955" s="1181"/>
      <c r="K1955" s="684">
        <f t="shared" si="1756"/>
        <v>1</v>
      </c>
      <c r="L1955" s="708">
        <v>1</v>
      </c>
      <c r="M1955" s="709">
        <f t="shared" si="1792"/>
        <v>1</v>
      </c>
      <c r="N1955" s="362" t="str">
        <f t="shared" si="1793"/>
        <v/>
      </c>
      <c r="O1955" s="1763" t="str">
        <f t="shared" si="1794"/>
        <v/>
      </c>
      <c r="P1955" s="1764" t="str">
        <f t="shared" si="1795"/>
        <v/>
      </c>
      <c r="Q1955" s="120" t="str">
        <f t="shared" si="1796"/>
        <v/>
      </c>
      <c r="R1955" s="1765"/>
    </row>
    <row r="1956" spans="1:18" s="120" customFormat="1" ht="13.8" thickBot="1">
      <c r="A1956" s="910"/>
      <c r="B1956" s="1953"/>
      <c r="C1956" s="1797"/>
      <c r="D1956" s="1889"/>
      <c r="E1956" s="1981"/>
      <c r="F1956" s="1981"/>
      <c r="G1956" s="710"/>
      <c r="H1956" s="1798"/>
      <c r="I1956" s="1798"/>
      <c r="J1956" s="1799"/>
      <c r="K1956" s="1788"/>
      <c r="L1956" s="363"/>
      <c r="M1956" s="684"/>
      <c r="N1956" s="362" t="str">
        <f t="shared" si="1793"/>
        <v/>
      </c>
      <c r="O1956" s="1763" t="str">
        <f t="shared" si="1794"/>
        <v/>
      </c>
      <c r="P1956" s="1764" t="str">
        <f t="shared" si="1795"/>
        <v/>
      </c>
      <c r="Q1956" s="120" t="str">
        <f t="shared" si="1796"/>
        <v/>
      </c>
      <c r="R1956" s="185"/>
    </row>
    <row r="1957" spans="1:18" s="120" customFormat="1" ht="18" customHeight="1" thickBot="1">
      <c r="A1957" s="1989">
        <v>33</v>
      </c>
      <c r="B1957" s="1852">
        <v>1</v>
      </c>
      <c r="C1957" s="1756" t="s">
        <v>12595</v>
      </c>
      <c r="D1957" s="1588"/>
      <c r="E1957" s="1589"/>
      <c r="F1957" s="1589"/>
      <c r="G1957" s="1757">
        <f>SUM(F1958:F2019)</f>
        <v>2299.2849999999999</v>
      </c>
      <c r="H1957" s="1758">
        <f>G1957*(1-$D$6)</f>
        <v>2299.2849999999999</v>
      </c>
      <c r="I1957" s="1757">
        <f>ROUNDUP(H1957*$D$5,0)</f>
        <v>7818</v>
      </c>
      <c r="J1957" s="1759">
        <f>+I1957*B1957</f>
        <v>7818</v>
      </c>
      <c r="K1957" s="1788">
        <f>B1957</f>
        <v>1</v>
      </c>
      <c r="L1957" s="363"/>
      <c r="M1957" s="684"/>
      <c r="N1957" s="362" t="str">
        <f t="shared" si="1793"/>
        <v/>
      </c>
      <c r="O1957" s="1763" t="str">
        <f t="shared" si="1794"/>
        <v/>
      </c>
      <c r="P1957" s="1764" t="str">
        <f t="shared" si="1795"/>
        <v/>
      </c>
      <c r="Q1957" s="120" t="str">
        <f t="shared" si="1796"/>
        <v/>
      </c>
      <c r="R1957" s="185"/>
    </row>
    <row r="1958" spans="1:18" s="120" customFormat="1" ht="15" customHeight="1">
      <c r="A1958" s="685" t="s">
        <v>3064</v>
      </c>
      <c r="B1958" s="1779"/>
      <c r="C1958" s="1954"/>
      <c r="D1958" s="1955"/>
      <c r="E1958" s="1789"/>
      <c r="F1958" s="1789"/>
      <c r="G1958" s="686"/>
      <c r="H1958" s="686"/>
      <c r="I1958" s="686"/>
      <c r="J1958" s="1768"/>
      <c r="K1958" s="684">
        <f>K1957</f>
        <v>1</v>
      </c>
      <c r="L1958" s="363">
        <v>1</v>
      </c>
      <c r="M1958" s="684">
        <f>IF(B1958="",1,B1958)</f>
        <v>1</v>
      </c>
      <c r="N1958" s="362" t="str">
        <f t="shared" si="1793"/>
        <v/>
      </c>
      <c r="O1958" s="1763" t="str">
        <f t="shared" si="1794"/>
        <v/>
      </c>
      <c r="P1958" s="1764" t="str">
        <f t="shared" si="1795"/>
        <v/>
      </c>
      <c r="Q1958" s="120" t="str">
        <f t="shared" si="1796"/>
        <v/>
      </c>
    </row>
    <row r="1959" spans="1:18" s="315" customFormat="1" ht="12" customHeight="1">
      <c r="A1959" s="687" t="s">
        <v>4021</v>
      </c>
      <c r="B1959" s="2096">
        <v>1</v>
      </c>
      <c r="C1959" s="1907" t="s">
        <v>5103</v>
      </c>
      <c r="D1959" s="1935"/>
      <c r="E1959" s="1786"/>
      <c r="F1959" s="1908">
        <f>SUM(F1961:F1965)*(B1959-1)</f>
        <v>0</v>
      </c>
      <c r="G1959" s="712"/>
      <c r="H1959" s="712"/>
      <c r="I1959" s="712"/>
      <c r="J1959" s="713"/>
      <c r="K1959" s="684">
        <f t="shared" ref="K1959:K1980" si="1810">+K1958</f>
        <v>1</v>
      </c>
      <c r="L1959" s="1909">
        <f>B1959</f>
        <v>1</v>
      </c>
      <c r="M1959" s="684">
        <f t="shared" ref="M1959:M1967" si="1811">IF(B1959="",1,B1959)</f>
        <v>1</v>
      </c>
      <c r="N1959" s="362" t="str">
        <f t="shared" si="1793"/>
        <v/>
      </c>
      <c r="O1959" s="1763" t="str">
        <f t="shared" si="1794"/>
        <v/>
      </c>
      <c r="P1959" s="1764" t="str">
        <f t="shared" si="1795"/>
        <v/>
      </c>
      <c r="Q1959" s="120" t="str">
        <f t="shared" si="1796"/>
        <v/>
      </c>
    </row>
    <row r="1960" spans="1:18" s="185" customFormat="1">
      <c r="A1960" s="687" t="s">
        <v>4136</v>
      </c>
      <c r="B1960" s="1910">
        <v>3</v>
      </c>
      <c r="C1960" s="1911" t="str">
        <f>VLOOKUP(D1960,base_datos,6,FALSE)</f>
        <v>Portalámpara + lampara tipo LED - color Rojo - alimentacion: 220-230Vac, d=22mm. - CL2-523R - línea compacta - marca ABB.</v>
      </c>
      <c r="D1960" s="1790" t="s">
        <v>2439</v>
      </c>
      <c r="E1960" s="1939">
        <f>VLOOKUP(D1960,base_datos,5,FALSE)</f>
        <v>12.299999999999999</v>
      </c>
      <c r="F1960" s="1912">
        <f>+E1960*B1960</f>
        <v>36.9</v>
      </c>
      <c r="G1960" s="710"/>
      <c r="H1960" s="710"/>
      <c r="I1960" s="710"/>
      <c r="J1960" s="711"/>
      <c r="K1960" s="684">
        <f>+K1958</f>
        <v>1</v>
      </c>
      <c r="L1960" s="1913">
        <f>L1958</f>
        <v>1</v>
      </c>
      <c r="M1960" s="684">
        <f t="shared" si="1811"/>
        <v>3</v>
      </c>
      <c r="N1960" s="362">
        <f t="shared" si="1793"/>
        <v>3</v>
      </c>
      <c r="O1960" s="1763" t="str">
        <f t="shared" si="1794"/>
        <v>1SFA619403R5231</v>
      </c>
      <c r="P1960" s="1764" t="str">
        <f t="shared" si="1795"/>
        <v>Portalámpara + lampara tipo LED - color Rojo - alimentacion: 220-230Vac, d=22mm. - CL2-523R - línea compacta - marca ABB.</v>
      </c>
      <c r="Q1960" s="120" t="str">
        <f t="shared" si="1796"/>
        <v>LAMP_ROJO_220V</v>
      </c>
    </row>
    <row r="1961" spans="1:18" s="185" customFormat="1">
      <c r="A1961" s="687"/>
      <c r="B1961" s="1910">
        <v>3</v>
      </c>
      <c r="C1961" s="1911" t="str">
        <f>VLOOKUP(D1961,base_datos,6,FALSE)</f>
        <v>Portalámpara + lampara tipo LED - color Verde - alimentacion: 220-230Vac, d=22mm. - CL2-523G - línea compacta - marca ABB.</v>
      </c>
      <c r="D1961" s="1790" t="s">
        <v>2440</v>
      </c>
      <c r="E1961" s="1939">
        <f>VLOOKUP(D1961,base_datos,5,FALSE)</f>
        <v>12.299999999999999</v>
      </c>
      <c r="F1961" s="1912">
        <f>+E1961*B1961</f>
        <v>36.9</v>
      </c>
      <c r="G1961" s="710"/>
      <c r="H1961" s="710"/>
      <c r="I1961" s="710"/>
      <c r="J1961" s="711"/>
      <c r="K1961" s="684">
        <f>+K1959</f>
        <v>1</v>
      </c>
      <c r="L1961" s="1913">
        <f>L1959</f>
        <v>1</v>
      </c>
      <c r="M1961" s="684">
        <f t="shared" si="1811"/>
        <v>3</v>
      </c>
      <c r="N1961" s="362">
        <f t="shared" si="1793"/>
        <v>3</v>
      </c>
      <c r="O1961" s="1763" t="str">
        <f t="shared" si="1794"/>
        <v>1SFA619403R5232</v>
      </c>
      <c r="P1961" s="1764" t="str">
        <f t="shared" si="1795"/>
        <v>Portalámpara + lampara tipo LED - color Verde - alimentacion: 220-230Vac, d=22mm. - CL2-523G - línea compacta - marca ABB.</v>
      </c>
      <c r="Q1961" s="120" t="str">
        <f t="shared" si="1796"/>
        <v>LAMP_VERDE_220V</v>
      </c>
    </row>
    <row r="1962" spans="1:18" s="1921" customFormat="1">
      <c r="A1962" s="687" t="s">
        <v>12356</v>
      </c>
      <c r="B1962" s="1914">
        <v>1</v>
      </c>
      <c r="C1962" s="1915" t="s">
        <v>3366</v>
      </c>
      <c r="D1962" s="1916"/>
      <c r="E1962" s="1917"/>
      <c r="F1962" s="1918"/>
      <c r="G1962" s="1919"/>
      <c r="H1962" s="1919"/>
      <c r="I1962" s="1919"/>
      <c r="J1962" s="1920"/>
      <c r="K1962" s="684">
        <f t="shared" si="1810"/>
        <v>1</v>
      </c>
      <c r="L1962" s="1913">
        <f>L1961</f>
        <v>1</v>
      </c>
      <c r="M1962" s="684">
        <f t="shared" si="1811"/>
        <v>1</v>
      </c>
      <c r="N1962" s="362" t="str">
        <f t="shared" si="1793"/>
        <v/>
      </c>
      <c r="O1962" s="1763" t="str">
        <f t="shared" si="1794"/>
        <v/>
      </c>
      <c r="P1962" s="1764" t="str">
        <f t="shared" si="1795"/>
        <v/>
      </c>
      <c r="Q1962" s="120" t="str">
        <f t="shared" si="1796"/>
        <v/>
      </c>
    </row>
    <row r="1963" spans="1:18" s="320" customFormat="1">
      <c r="A1963" s="687" t="s">
        <v>12376</v>
      </c>
      <c r="B1963" s="1922">
        <v>1</v>
      </c>
      <c r="C1963" s="721" t="str">
        <f>VLOOKUP(D1963,base_datos,6,FALSE)</f>
        <v>Rele auxiliar enchufable +4NA/NC (D2PR4B + base D2PA6), 220Vac - marca EATON.</v>
      </c>
      <c r="D1963" s="1579" t="s">
        <v>772</v>
      </c>
      <c r="E1963" s="1581">
        <f>VLOOKUP(D1963,base_datos,5,FALSE)</f>
        <v>27</v>
      </c>
      <c r="F1963" s="1923">
        <f>+E1963*B1963</f>
        <v>27</v>
      </c>
      <c r="G1963" s="1924"/>
      <c r="H1963" s="1924"/>
      <c r="I1963" s="1924"/>
      <c r="J1963" s="722"/>
      <c r="K1963" s="684">
        <f t="shared" si="1810"/>
        <v>1</v>
      </c>
      <c r="L1963" s="1913">
        <f>L1960</f>
        <v>1</v>
      </c>
      <c r="M1963" s="684">
        <f t="shared" si="1811"/>
        <v>1</v>
      </c>
      <c r="N1963" s="362">
        <f t="shared" si="1793"/>
        <v>1</v>
      </c>
      <c r="O1963" s="1763" t="str">
        <f t="shared" si="1794"/>
        <v>D2PR4B+D2PA6</v>
      </c>
      <c r="P1963" s="1764" t="str">
        <f t="shared" si="1795"/>
        <v>Rele auxiliar enchufable +4NA/NC (D2PR4B + base D2PA6), 220Vac - marca EATON.</v>
      </c>
      <c r="Q1963" s="120" t="str">
        <f t="shared" si="1796"/>
        <v>D2PR4B+D2PA6</v>
      </c>
    </row>
    <row r="1964" spans="1:18" s="320" customFormat="1">
      <c r="A1964" s="1771"/>
      <c r="B1964" s="2131">
        <v>1</v>
      </c>
      <c r="C1964" s="2132" t="s">
        <v>12558</v>
      </c>
      <c r="D1964" s="2133"/>
      <c r="E1964" s="2134">
        <v>32</v>
      </c>
      <c r="F1964" s="2134">
        <f>+E1964*B1964</f>
        <v>32</v>
      </c>
      <c r="G1964" s="1924"/>
      <c r="H1964" s="1924"/>
      <c r="I1964" s="1924"/>
      <c r="J1964" s="722"/>
      <c r="K1964" s="684">
        <f t="shared" si="1810"/>
        <v>1</v>
      </c>
      <c r="L1964" s="1913">
        <f>L1961</f>
        <v>1</v>
      </c>
      <c r="M1964" s="684">
        <f t="shared" si="1811"/>
        <v>1</v>
      </c>
      <c r="N1964" s="362" t="str">
        <f t="shared" si="1793"/>
        <v/>
      </c>
      <c r="O1964" s="1763" t="str">
        <f t="shared" si="1794"/>
        <v/>
      </c>
      <c r="P1964" s="1764" t="str">
        <f t="shared" si="1795"/>
        <v/>
      </c>
      <c r="Q1964" s="120" t="str">
        <f t="shared" si="1796"/>
        <v/>
      </c>
    </row>
    <row r="1965" spans="1:18" s="320" customFormat="1">
      <c r="A1965" s="687" t="s">
        <v>12551</v>
      </c>
      <c r="B1965" s="1922">
        <v>4</v>
      </c>
      <c r="C1965" s="721" t="str">
        <f>VLOOKUP(D1965,base_datos,6,FALSE)</f>
        <v>Base portafusibles + Fusibles de protección para control.</v>
      </c>
      <c r="D1965" s="1579" t="s">
        <v>453</v>
      </c>
      <c r="E1965" s="1581">
        <f>VLOOKUP(D1965,base_datos,5,FALSE)</f>
        <v>8.1750000000000007</v>
      </c>
      <c r="F1965" s="1923">
        <f>+E1965*B1965</f>
        <v>32.700000000000003</v>
      </c>
      <c r="G1965" s="1924"/>
      <c r="H1965" s="1924"/>
      <c r="I1965" s="1924"/>
      <c r="J1965" s="722"/>
      <c r="K1965" s="684">
        <f t="shared" si="1810"/>
        <v>1</v>
      </c>
      <c r="L1965" s="1913">
        <f>L1962</f>
        <v>1</v>
      </c>
      <c r="M1965" s="684">
        <f t="shared" si="1811"/>
        <v>4</v>
      </c>
      <c r="N1965" s="362" t="str">
        <f t="shared" si="1793"/>
        <v/>
      </c>
      <c r="O1965" s="1763" t="str">
        <f t="shared" si="1794"/>
        <v/>
      </c>
      <c r="P1965" s="1764" t="str">
        <f t="shared" si="1795"/>
        <v/>
      </c>
      <c r="Q1965" s="120" t="str">
        <f t="shared" si="1796"/>
        <v/>
      </c>
    </row>
    <row r="1966" spans="1:18" s="315" customFormat="1">
      <c r="A1966" s="687" t="s">
        <v>3542</v>
      </c>
      <c r="B1966" s="1906"/>
      <c r="C1966" s="1907"/>
      <c r="D1966" s="1935"/>
      <c r="E1966" s="1786"/>
      <c r="F1966" s="1936"/>
      <c r="G1966" s="712"/>
      <c r="H1966" s="712"/>
      <c r="I1966" s="712"/>
      <c r="J1966" s="713"/>
      <c r="K1966" s="684">
        <f t="shared" si="1810"/>
        <v>1</v>
      </c>
      <c r="L1966" s="1909">
        <f>B1966</f>
        <v>0</v>
      </c>
      <c r="M1966" s="684">
        <f t="shared" si="1811"/>
        <v>1</v>
      </c>
      <c r="N1966" s="362" t="str">
        <f t="shared" si="1793"/>
        <v/>
      </c>
      <c r="O1966" s="1763" t="str">
        <f t="shared" si="1794"/>
        <v/>
      </c>
      <c r="P1966" s="1764" t="str">
        <f t="shared" si="1795"/>
        <v/>
      </c>
      <c r="Q1966" s="120" t="str">
        <f t="shared" si="1796"/>
        <v/>
      </c>
    </row>
    <row r="1967" spans="1:18" s="185" customFormat="1" ht="13.5" customHeight="1">
      <c r="A1967" s="1771"/>
      <c r="B1967" s="1922"/>
      <c r="C1967" s="1956" t="s">
        <v>12368</v>
      </c>
      <c r="D1967" s="1579"/>
      <c r="E1967" s="1957"/>
      <c r="F1967" s="1958"/>
      <c r="G1967" s="710"/>
      <c r="H1967" s="710"/>
      <c r="I1967" s="710"/>
      <c r="J1967" s="711"/>
      <c r="K1967" s="684">
        <f t="shared" si="1810"/>
        <v>1</v>
      </c>
      <c r="L1967" s="708">
        <v>1</v>
      </c>
      <c r="M1967" s="684">
        <f t="shared" si="1811"/>
        <v>1</v>
      </c>
      <c r="N1967" s="362" t="str">
        <f t="shared" si="1793"/>
        <v/>
      </c>
      <c r="O1967" s="1763" t="str">
        <f t="shared" si="1794"/>
        <v/>
      </c>
      <c r="P1967" s="1764" t="str">
        <f t="shared" si="1795"/>
        <v/>
      </c>
      <c r="Q1967" s="120" t="str">
        <f t="shared" si="1796"/>
        <v/>
      </c>
    </row>
    <row r="1968" spans="1:18" s="120" customFormat="1" ht="18" customHeight="1">
      <c r="A1968" s="1767"/>
      <c r="B1968" s="1779">
        <v>6</v>
      </c>
      <c r="C1968" s="1420" t="str">
        <f>VLOOKUP(D1968,base_datos,6,FALSE)</f>
        <v>Transformador de tensión monofásico 480 / 120 Vac - 20VA.</v>
      </c>
      <c r="D1968" s="1898" t="s">
        <v>12391</v>
      </c>
      <c r="E1968" s="1581">
        <f>VLOOKUP(D1968,base_datos,5,FALSE)</f>
        <v>38.200000000000003</v>
      </c>
      <c r="F1968" s="1581">
        <f>+E1968*B1968</f>
        <v>229.20000000000002</v>
      </c>
      <c r="G1968" s="686"/>
      <c r="H1968" s="686"/>
      <c r="I1968" s="686"/>
      <c r="J1968" s="1768"/>
      <c r="K1968" s="684">
        <f t="shared" si="1810"/>
        <v>1</v>
      </c>
      <c r="L1968" s="708">
        <v>1</v>
      </c>
      <c r="M1968" s="684">
        <f t="shared" ref="M1968:M2019" si="1812">IF(B1968="",1,B1968)</f>
        <v>6</v>
      </c>
      <c r="N1968" s="362" t="str">
        <f t="shared" si="1793"/>
        <v/>
      </c>
      <c r="O1968" s="1763" t="str">
        <f t="shared" si="1794"/>
        <v/>
      </c>
      <c r="P1968" s="1764" t="str">
        <f t="shared" si="1795"/>
        <v/>
      </c>
      <c r="Q1968" s="120" t="str">
        <f t="shared" si="1796"/>
        <v/>
      </c>
      <c r="R1968" s="185"/>
    </row>
    <row r="1969" spans="1:19" s="185" customFormat="1">
      <c r="A1969" s="687"/>
      <c r="B1969" s="1922"/>
      <c r="C1969" s="1956" t="s">
        <v>12368</v>
      </c>
      <c r="D1969" s="1579"/>
      <c r="E1969" s="1957"/>
      <c r="F1969" s="1958"/>
      <c r="G1969" s="710"/>
      <c r="H1969" s="710"/>
      <c r="I1969" s="710"/>
      <c r="J1969" s="711"/>
      <c r="K1969" s="684">
        <f t="shared" si="1810"/>
        <v>1</v>
      </c>
      <c r="L1969" s="708">
        <v>1</v>
      </c>
      <c r="M1969" s="684">
        <f t="shared" si="1812"/>
        <v>1</v>
      </c>
      <c r="N1969" s="362" t="str">
        <f t="shared" si="1793"/>
        <v/>
      </c>
      <c r="O1969" s="1763" t="str">
        <f t="shared" si="1794"/>
        <v/>
      </c>
      <c r="P1969" s="1764" t="str">
        <f t="shared" si="1795"/>
        <v/>
      </c>
      <c r="Q1969" s="120" t="str">
        <f t="shared" si="1796"/>
        <v/>
      </c>
    </row>
    <row r="1970" spans="1:19" s="120" customFormat="1">
      <c r="A1970" s="687"/>
      <c r="B1970" s="1781"/>
      <c r="C1970" s="1959" t="s">
        <v>12371</v>
      </c>
      <c r="D1970" s="173"/>
      <c r="E1970" s="1791"/>
      <c r="F1970" s="1782"/>
      <c r="G1970" s="686"/>
      <c r="H1970" s="686"/>
      <c r="I1970" s="686"/>
      <c r="J1970" s="688"/>
      <c r="K1970" s="684">
        <f t="shared" si="1810"/>
        <v>1</v>
      </c>
      <c r="L1970" s="363">
        <v>1</v>
      </c>
      <c r="M1970" s="684">
        <f t="shared" si="1812"/>
        <v>1</v>
      </c>
      <c r="N1970" s="362" t="str">
        <f t="shared" si="1793"/>
        <v/>
      </c>
      <c r="O1970" s="1763" t="str">
        <f t="shared" si="1794"/>
        <v/>
      </c>
      <c r="P1970" s="1764" t="str">
        <f t="shared" si="1795"/>
        <v/>
      </c>
      <c r="Q1970" s="120" t="str">
        <f t="shared" si="1796"/>
        <v/>
      </c>
      <c r="R1970" s="185"/>
    </row>
    <row r="1971" spans="1:19" s="690" customFormat="1" ht="18" customHeight="1">
      <c r="A1971" s="1767"/>
      <c r="B1971" s="2206">
        <v>1</v>
      </c>
      <c r="C1971" s="2207" t="s">
        <v>13026</v>
      </c>
      <c r="D1971" s="2208"/>
      <c r="E1971" s="2209">
        <v>212.15</v>
      </c>
      <c r="F1971" s="2210">
        <f t="shared" ref="F1971" si="1813">+E1971*B1971</f>
        <v>212.15</v>
      </c>
      <c r="G1971" s="1761"/>
      <c r="H1971" s="1761"/>
      <c r="I1971" s="1761"/>
      <c r="J1971" s="1783"/>
      <c r="K1971" s="684">
        <f t="shared" si="1810"/>
        <v>1</v>
      </c>
      <c r="L1971" s="708">
        <v>1</v>
      </c>
      <c r="M1971" s="709">
        <f t="shared" si="1812"/>
        <v>1</v>
      </c>
      <c r="N1971" s="362" t="str">
        <f t="shared" si="1793"/>
        <v/>
      </c>
      <c r="O1971" s="1763" t="str">
        <f t="shared" si="1794"/>
        <v/>
      </c>
      <c r="P1971" s="1764" t="str">
        <f t="shared" si="1795"/>
        <v/>
      </c>
      <c r="Q1971" s="120" t="str">
        <f t="shared" si="1796"/>
        <v/>
      </c>
      <c r="R1971" s="185"/>
    </row>
    <row r="1972" spans="1:19" s="185" customFormat="1">
      <c r="A1972" s="1785"/>
      <c r="B1972" s="714"/>
      <c r="C1972" s="1956" t="s">
        <v>12368</v>
      </c>
      <c r="D1972" s="1941"/>
      <c r="E1972" s="1786"/>
      <c r="F1972" s="1787"/>
      <c r="G1972" s="710"/>
      <c r="H1972" s="710"/>
      <c r="I1972" s="710"/>
      <c r="J1972" s="711"/>
      <c r="K1972" s="684">
        <f t="shared" si="1810"/>
        <v>1</v>
      </c>
      <c r="L1972" s="363">
        <v>1</v>
      </c>
      <c r="M1972" s="684">
        <f t="shared" si="1812"/>
        <v>1</v>
      </c>
      <c r="N1972" s="362" t="str">
        <f t="shared" si="1793"/>
        <v/>
      </c>
      <c r="O1972" s="1763" t="str">
        <f t="shared" si="1794"/>
        <v/>
      </c>
      <c r="P1972" s="1764" t="str">
        <f t="shared" si="1795"/>
        <v/>
      </c>
      <c r="Q1972" s="120" t="str">
        <f t="shared" si="1796"/>
        <v/>
      </c>
    </row>
    <row r="1973" spans="1:19" s="315" customFormat="1">
      <c r="A1973" s="1785"/>
      <c r="B1973" s="355"/>
      <c r="C1973" s="1944" t="s">
        <v>3063</v>
      </c>
      <c r="D1973" s="1941"/>
      <c r="E1973" s="1786"/>
      <c r="F1973" s="1787"/>
      <c r="G1973" s="712"/>
      <c r="H1973" s="712"/>
      <c r="I1973" s="712"/>
      <c r="J1973" s="713"/>
      <c r="K1973" s="684">
        <f t="shared" si="1810"/>
        <v>1</v>
      </c>
      <c r="L1973" s="708">
        <v>1</v>
      </c>
      <c r="M1973" s="684">
        <f t="shared" si="1812"/>
        <v>1</v>
      </c>
      <c r="N1973" s="362" t="str">
        <f t="shared" si="1793"/>
        <v/>
      </c>
      <c r="O1973" s="1763" t="str">
        <f t="shared" si="1794"/>
        <v/>
      </c>
      <c r="P1973" s="1764" t="str">
        <f t="shared" si="1795"/>
        <v/>
      </c>
      <c r="Q1973" s="120" t="str">
        <f t="shared" si="1796"/>
        <v/>
      </c>
    </row>
    <row r="1974" spans="1:19" s="1921" customFormat="1">
      <c r="A1974" s="1961"/>
      <c r="B1974" s="1962">
        <v>1</v>
      </c>
      <c r="C1974" s="1963" t="s">
        <v>12370</v>
      </c>
      <c r="D1974" s="1941"/>
      <c r="E1974" s="1917"/>
      <c r="F1974" s="1937"/>
      <c r="G1974" s="1919"/>
      <c r="H1974" s="1919"/>
      <c r="I1974" s="1919"/>
      <c r="J1974" s="1920"/>
      <c r="K1974" s="684">
        <f t="shared" si="1810"/>
        <v>1</v>
      </c>
      <c r="L1974" s="708">
        <v>1</v>
      </c>
      <c r="M1974" s="684">
        <f t="shared" si="1812"/>
        <v>1</v>
      </c>
      <c r="N1974" s="362" t="str">
        <f t="shared" si="1793"/>
        <v/>
      </c>
      <c r="O1974" s="1763" t="str">
        <f t="shared" si="1794"/>
        <v/>
      </c>
      <c r="P1974" s="1764" t="str">
        <f t="shared" si="1795"/>
        <v/>
      </c>
      <c r="Q1974" s="120" t="str">
        <f t="shared" si="1796"/>
        <v/>
      </c>
    </row>
    <row r="1975" spans="1:19" s="897" customFormat="1" ht="18" customHeight="1">
      <c r="A1975" s="1771"/>
      <c r="B1975" s="1922">
        <v>6</v>
      </c>
      <c r="C1975" s="1964" t="str">
        <f t="shared" ref="C1975" si="1814">VLOOKUP(D1975,base_datos,6,FALSE)</f>
        <v>Borne 6mm2.</v>
      </c>
      <c r="D1975" s="1579" t="s">
        <v>455</v>
      </c>
      <c r="E1975" s="1952">
        <f t="shared" ref="E1975" si="1815">VLOOKUP(D1975,base_datos,5,FALSE)</f>
        <v>4</v>
      </c>
      <c r="F1975" s="1580">
        <f>+E1975*B1975</f>
        <v>24</v>
      </c>
      <c r="G1975" s="1772"/>
      <c r="H1975" s="1772"/>
      <c r="I1975" s="1772"/>
      <c r="J1975" s="896"/>
      <c r="K1975" s="684">
        <f t="shared" si="1810"/>
        <v>1</v>
      </c>
      <c r="L1975" s="363">
        <v>1</v>
      </c>
      <c r="M1975" s="684">
        <f t="shared" si="1812"/>
        <v>6</v>
      </c>
      <c r="N1975" s="362" t="str">
        <f t="shared" si="1793"/>
        <v/>
      </c>
      <c r="O1975" s="1763" t="str">
        <f t="shared" si="1794"/>
        <v/>
      </c>
      <c r="P1975" s="1764" t="str">
        <f t="shared" si="1795"/>
        <v/>
      </c>
      <c r="Q1975" s="120" t="str">
        <f t="shared" si="1796"/>
        <v/>
      </c>
      <c r="R1975" s="690"/>
      <c r="S1975" s="690"/>
    </row>
    <row r="1976" spans="1:19" s="185" customFormat="1">
      <c r="A1976" s="1771"/>
      <c r="B1976" s="1922"/>
      <c r="C1976" s="1956" t="s">
        <v>12368</v>
      </c>
      <c r="D1976" s="1579"/>
      <c r="E1976" s="1957"/>
      <c r="F1976" s="1958"/>
      <c r="G1976" s="710"/>
      <c r="H1976" s="710"/>
      <c r="I1976" s="710"/>
      <c r="J1976" s="711"/>
      <c r="K1976" s="684">
        <f t="shared" si="1810"/>
        <v>1</v>
      </c>
      <c r="L1976" s="363">
        <v>1</v>
      </c>
      <c r="M1976" s="684">
        <f t="shared" si="1812"/>
        <v>1</v>
      </c>
      <c r="N1976" s="362" t="str">
        <f t="shared" si="1793"/>
        <v/>
      </c>
      <c r="O1976" s="1763" t="str">
        <f t="shared" si="1794"/>
        <v/>
      </c>
      <c r="P1976" s="1764" t="str">
        <f t="shared" si="1795"/>
        <v/>
      </c>
      <c r="Q1976" s="120" t="str">
        <f t="shared" si="1796"/>
        <v/>
      </c>
    </row>
    <row r="1977" spans="1:19" s="690" customFormat="1" ht="18" customHeight="1">
      <c r="A1977" s="1767"/>
      <c r="B1977" s="1851"/>
      <c r="C1977" s="1894" t="s">
        <v>3377</v>
      </c>
      <c r="D1977" s="1582"/>
      <c r="E1977" s="1780"/>
      <c r="F1977" s="1782"/>
      <c r="G1977" s="1761"/>
      <c r="H1977" s="1761"/>
      <c r="I1977" s="1761"/>
      <c r="J1977" s="689"/>
      <c r="K1977" s="684">
        <f t="shared" si="1810"/>
        <v>1</v>
      </c>
      <c r="L1977" s="708">
        <v>1</v>
      </c>
      <c r="M1977" s="684">
        <f t="shared" si="1812"/>
        <v>1</v>
      </c>
      <c r="N1977" s="362" t="str">
        <f t="shared" si="1793"/>
        <v/>
      </c>
      <c r="O1977" s="1763" t="str">
        <f t="shared" si="1794"/>
        <v/>
      </c>
      <c r="P1977" s="1764" t="str">
        <f t="shared" si="1795"/>
        <v/>
      </c>
      <c r="Q1977" s="120" t="str">
        <f t="shared" si="1796"/>
        <v/>
      </c>
      <c r="R1977" s="185"/>
    </row>
    <row r="1978" spans="1:19" s="690" customFormat="1">
      <c r="A1978" s="687"/>
      <c r="B1978" s="1781">
        <v>2</v>
      </c>
      <c r="C1978" s="1420" t="str">
        <f>VLOOKUP(D1978,base_datos,6,FALSE)</f>
        <v>ITM Riel-Din 2x20A - S202-C-20A - 10kA@400Vac-IEC60947-2 - marca ABB.</v>
      </c>
      <c r="D1978" s="1790" t="s">
        <v>969</v>
      </c>
      <c r="E1978" s="1791">
        <f>VLOOKUP(D1978,base_datos,5,FALSE)</f>
        <v>17.930000000000003</v>
      </c>
      <c r="F1978" s="1782">
        <f>+E1978*B1978</f>
        <v>35.860000000000007</v>
      </c>
      <c r="G1978" s="1761"/>
      <c r="H1978" s="1761"/>
      <c r="I1978" s="1761"/>
      <c r="J1978" s="689"/>
      <c r="K1978" s="684">
        <f t="shared" si="1810"/>
        <v>1</v>
      </c>
      <c r="L1978" s="363">
        <v>1</v>
      </c>
      <c r="M1978" s="684">
        <f t="shared" si="1812"/>
        <v>2</v>
      </c>
      <c r="N1978" s="362">
        <f t="shared" si="1793"/>
        <v>2</v>
      </c>
      <c r="O1978" s="1763" t="str">
        <f t="shared" si="1794"/>
        <v>2CDS252001R0204</v>
      </c>
      <c r="P1978" s="1764" t="str">
        <f t="shared" si="1795"/>
        <v>ITM Riel-Din 2x20A - S202-C-20A - 10kA@400Vac-IEC60947-2 - marca ABB.</v>
      </c>
      <c r="Q1978" s="120" t="str">
        <f t="shared" si="1796"/>
        <v>S202-C-20A</v>
      </c>
      <c r="R1978" s="185"/>
    </row>
    <row r="1979" spans="1:19" s="695" customFormat="1">
      <c r="A1979" s="687"/>
      <c r="B1979" s="1967">
        <v>1</v>
      </c>
      <c r="C1979" s="1946">
        <v>8</v>
      </c>
      <c r="D1979" s="1582"/>
      <c r="E1979" s="2000">
        <v>32</v>
      </c>
      <c r="F1979" s="1968">
        <f t="shared" ref="F1979" si="1816">+E1979*B1979</f>
        <v>32</v>
      </c>
      <c r="G1979" s="1969"/>
      <c r="H1979" s="1969"/>
      <c r="I1979" s="1969"/>
      <c r="J1979" s="1970"/>
      <c r="K1979" s="684">
        <f t="shared" si="1810"/>
        <v>1</v>
      </c>
      <c r="L1979" s="363">
        <v>1</v>
      </c>
      <c r="M1979" s="684">
        <f t="shared" si="1812"/>
        <v>1</v>
      </c>
      <c r="N1979" s="362" t="str">
        <f t="shared" si="1793"/>
        <v/>
      </c>
      <c r="O1979" s="1763" t="str">
        <f t="shared" si="1794"/>
        <v/>
      </c>
      <c r="P1979" s="1764" t="str">
        <f t="shared" si="1795"/>
        <v/>
      </c>
      <c r="Q1979" s="120" t="str">
        <f t="shared" si="1796"/>
        <v/>
      </c>
    </row>
    <row r="1980" spans="1:19" s="185" customFormat="1">
      <c r="A1980" s="692"/>
      <c r="B1980" s="714"/>
      <c r="C1980" s="1893" t="s">
        <v>729</v>
      </c>
      <c r="D1980" s="1941"/>
      <c r="E1980" s="1786"/>
      <c r="F1980" s="1787"/>
      <c r="G1980" s="710"/>
      <c r="H1980" s="710"/>
      <c r="I1980" s="710"/>
      <c r="J1980" s="711"/>
      <c r="K1980" s="684">
        <f t="shared" si="1810"/>
        <v>1</v>
      </c>
      <c r="L1980" s="363">
        <v>1</v>
      </c>
      <c r="M1980" s="684">
        <f t="shared" si="1812"/>
        <v>1</v>
      </c>
      <c r="N1980" s="362" t="str">
        <f t="shared" si="1793"/>
        <v/>
      </c>
      <c r="O1980" s="1763" t="str">
        <f t="shared" si="1794"/>
        <v/>
      </c>
      <c r="P1980" s="1764" t="str">
        <f t="shared" si="1795"/>
        <v/>
      </c>
      <c r="Q1980" s="120" t="str">
        <f t="shared" si="1796"/>
        <v/>
      </c>
    </row>
    <row r="1981" spans="1:19" s="315" customFormat="1">
      <c r="A1981" s="1785"/>
      <c r="B1981" s="355"/>
      <c r="C1981" s="1944" t="s">
        <v>3063</v>
      </c>
      <c r="D1981" s="1941"/>
      <c r="E1981" s="1786"/>
      <c r="F1981" s="1787"/>
      <c r="G1981" s="712"/>
      <c r="H1981" s="712"/>
      <c r="I1981" s="712"/>
      <c r="J1981" s="713"/>
      <c r="K1981" s="684">
        <f t="shared" ref="K1981:K2017" si="1817">+K1978</f>
        <v>1</v>
      </c>
      <c r="L1981" s="708">
        <v>1</v>
      </c>
      <c r="M1981" s="684">
        <f t="shared" si="1812"/>
        <v>1</v>
      </c>
      <c r="N1981" s="362" t="str">
        <f t="shared" si="1793"/>
        <v/>
      </c>
      <c r="O1981" s="1763" t="str">
        <f t="shared" si="1794"/>
        <v/>
      </c>
      <c r="P1981" s="1764" t="str">
        <f t="shared" si="1795"/>
        <v/>
      </c>
      <c r="Q1981" s="120" t="str">
        <f t="shared" si="1796"/>
        <v/>
      </c>
    </row>
    <row r="1982" spans="1:19" s="690" customFormat="1" ht="18" customHeight="1">
      <c r="A1982" s="691"/>
      <c r="B1982" s="1781">
        <v>1</v>
      </c>
      <c r="C1982" s="1420" t="str">
        <f>VLOOKUP(D1982,base_datos,6,FALSE)</f>
        <v>ITM Riel-Din 2x20A - S202-C-20A - 10kA@400Vac-IEC60947-2 - marca ABB.</v>
      </c>
      <c r="D1982" s="1790" t="s">
        <v>969</v>
      </c>
      <c r="E1982" s="1791">
        <f>VLOOKUP(D1982,base_datos,5,FALSE)</f>
        <v>17.930000000000003</v>
      </c>
      <c r="F1982" s="1782">
        <f t="shared" ref="F1982:F1983" si="1818">+E1982*B1982</f>
        <v>17.930000000000003</v>
      </c>
      <c r="G1982" s="1761"/>
      <c r="H1982" s="1761"/>
      <c r="I1982" s="1761"/>
      <c r="J1982" s="1783"/>
      <c r="K1982" s="684">
        <f t="shared" si="1817"/>
        <v>1</v>
      </c>
      <c r="L1982" s="708">
        <v>1</v>
      </c>
      <c r="M1982" s="684">
        <f t="shared" si="1812"/>
        <v>1</v>
      </c>
      <c r="N1982" s="362">
        <f t="shared" si="1793"/>
        <v>1</v>
      </c>
      <c r="O1982" s="1763" t="str">
        <f t="shared" si="1794"/>
        <v>2CDS252001R0204</v>
      </c>
      <c r="P1982" s="1764" t="str">
        <f t="shared" si="1795"/>
        <v>ITM Riel-Din 2x20A - S202-C-20A - 10kA@400Vac-IEC60947-2 - marca ABB.</v>
      </c>
      <c r="Q1982" s="120" t="str">
        <f t="shared" si="1796"/>
        <v>S202-C-20A</v>
      </c>
      <c r="R1982" s="185"/>
    </row>
    <row r="1983" spans="1:19" s="690" customFormat="1" ht="18" customHeight="1">
      <c r="A1983" s="691"/>
      <c r="B1983" s="1781">
        <v>2</v>
      </c>
      <c r="C1983" s="1420" t="str">
        <f>VLOOKUP(D1983,base_datos,6,FALSE)</f>
        <v>Protector de sobretensiones (Tipo 2) - OVR-T2_40-440_P-QS_1P - Un=230/400V, Uc=440V, Up=1.8kV - I_descarga=40kA - marca ABB.</v>
      </c>
      <c r="D1983" s="1901" t="s">
        <v>6448</v>
      </c>
      <c r="E1983" s="1791">
        <f>VLOOKUP(D1983,base_datos,5,FALSE)</f>
        <v>75.59</v>
      </c>
      <c r="F1983" s="1782">
        <f t="shared" si="1818"/>
        <v>151.18</v>
      </c>
      <c r="G1983" s="1761"/>
      <c r="H1983" s="1761"/>
      <c r="I1983" s="1761"/>
      <c r="J1983" s="1783"/>
      <c r="K1983" s="684">
        <f t="shared" si="1817"/>
        <v>1</v>
      </c>
      <c r="L1983" s="708">
        <v>1</v>
      </c>
      <c r="M1983" s="684">
        <f t="shared" si="1812"/>
        <v>2</v>
      </c>
      <c r="N1983" s="362">
        <f t="shared" si="1793"/>
        <v>2</v>
      </c>
      <c r="O1983" s="1763" t="str">
        <f t="shared" si="1794"/>
        <v>2CTB803871R1200</v>
      </c>
      <c r="P1983" s="1764" t="str">
        <f t="shared" si="1795"/>
        <v>Protector de sobretensiones (Tipo 2) - OVR-T2_40-440_P-QS_1P - Un=230/400V, Uc=440V, Up=1.8kV - I_descarga=40kA - marca ABB.</v>
      </c>
      <c r="Q1983" s="120" t="str">
        <f t="shared" si="1796"/>
        <v>OVR-T2_40-440_P-QS_1P</v>
      </c>
      <c r="R1983" s="185"/>
    </row>
    <row r="1984" spans="1:19" s="185" customFormat="1">
      <c r="A1984" s="692"/>
      <c r="B1984" s="714"/>
      <c r="C1984" s="1956" t="s">
        <v>12368</v>
      </c>
      <c r="D1984" s="1941"/>
      <c r="E1984" s="1786"/>
      <c r="F1984" s="1787"/>
      <c r="G1984" s="710"/>
      <c r="H1984" s="710"/>
      <c r="I1984" s="710"/>
      <c r="J1984" s="711"/>
      <c r="K1984" s="684">
        <f t="shared" si="1817"/>
        <v>1</v>
      </c>
      <c r="L1984" s="363">
        <v>1</v>
      </c>
      <c r="M1984" s="684">
        <f t="shared" si="1812"/>
        <v>1</v>
      </c>
      <c r="N1984" s="362" t="str">
        <f t="shared" si="1793"/>
        <v/>
      </c>
      <c r="O1984" s="1763" t="str">
        <f t="shared" si="1794"/>
        <v/>
      </c>
      <c r="P1984" s="1764" t="str">
        <f t="shared" si="1795"/>
        <v/>
      </c>
      <c r="Q1984" s="120" t="str">
        <f t="shared" si="1796"/>
        <v/>
      </c>
    </row>
    <row r="1985" spans="1:20" s="315" customFormat="1">
      <c r="A1985" s="1785"/>
      <c r="B1985" s="355"/>
      <c r="C1985" s="1944" t="s">
        <v>3063</v>
      </c>
      <c r="D1985" s="1941"/>
      <c r="E1985" s="1786"/>
      <c r="F1985" s="1787"/>
      <c r="G1985" s="712"/>
      <c r="H1985" s="712"/>
      <c r="I1985" s="712"/>
      <c r="J1985" s="713"/>
      <c r="K1985" s="684">
        <f t="shared" si="1817"/>
        <v>1</v>
      </c>
      <c r="L1985" s="708">
        <v>1</v>
      </c>
      <c r="M1985" s="684">
        <f t="shared" si="1812"/>
        <v>1</v>
      </c>
      <c r="N1985" s="362" t="str">
        <f t="shared" si="1793"/>
        <v/>
      </c>
      <c r="O1985" s="1763" t="str">
        <f t="shared" si="1794"/>
        <v/>
      </c>
      <c r="P1985" s="1764" t="str">
        <f t="shared" si="1795"/>
        <v/>
      </c>
      <c r="Q1985" s="120" t="str">
        <f t="shared" si="1796"/>
        <v/>
      </c>
    </row>
    <row r="1986" spans="1:20" s="1921" customFormat="1">
      <c r="A1986" s="1961"/>
      <c r="B1986" s="1962">
        <v>1</v>
      </c>
      <c r="C1986" s="1963" t="s">
        <v>12372</v>
      </c>
      <c r="D1986" s="1941"/>
      <c r="E1986" s="1917"/>
      <c r="F1986" s="1937"/>
      <c r="G1986" s="1919"/>
      <c r="H1986" s="1919"/>
      <c r="I1986" s="1919"/>
      <c r="J1986" s="1920"/>
      <c r="K1986" s="684">
        <f t="shared" si="1817"/>
        <v>1</v>
      </c>
      <c r="L1986" s="708">
        <v>1</v>
      </c>
      <c r="M1986" s="684">
        <f t="shared" si="1812"/>
        <v>1</v>
      </c>
      <c r="N1986" s="362" t="str">
        <f t="shared" si="1793"/>
        <v/>
      </c>
      <c r="O1986" s="1763" t="str">
        <f t="shared" si="1794"/>
        <v/>
      </c>
      <c r="P1986" s="1764" t="str">
        <f t="shared" si="1795"/>
        <v/>
      </c>
      <c r="Q1986" s="120" t="str">
        <f t="shared" si="1796"/>
        <v/>
      </c>
    </row>
    <row r="1987" spans="1:20" s="185" customFormat="1">
      <c r="A1987" s="1976"/>
      <c r="B1987" s="1977">
        <v>4</v>
      </c>
      <c r="C1987" s="721" t="str">
        <f>VLOOKUP(D1987,base_datos,6,FALSE)</f>
        <v>Borne 6mm2.</v>
      </c>
      <c r="D1987" s="173" t="s">
        <v>455</v>
      </c>
      <c r="E1987" s="1978">
        <f t="shared" ref="E1987" si="1819">VLOOKUP(D1987,base_datos,5,FALSE)</f>
        <v>4</v>
      </c>
      <c r="F1987" s="1971">
        <f t="shared" ref="F1987" si="1820">+E1987*B1987</f>
        <v>16</v>
      </c>
      <c r="G1987" s="1965"/>
      <c r="H1987" s="1965"/>
      <c r="I1987" s="1965"/>
      <c r="J1987" s="711"/>
      <c r="K1987" s="684">
        <f t="shared" si="1817"/>
        <v>1</v>
      </c>
      <c r="L1987" s="363">
        <v>1</v>
      </c>
      <c r="M1987" s="684">
        <f t="shared" si="1812"/>
        <v>4</v>
      </c>
      <c r="N1987" s="362" t="str">
        <f t="shared" si="1793"/>
        <v/>
      </c>
      <c r="O1987" s="1763" t="str">
        <f t="shared" si="1794"/>
        <v/>
      </c>
      <c r="P1987" s="1764" t="str">
        <f t="shared" si="1795"/>
        <v/>
      </c>
      <c r="Q1987" s="120" t="str">
        <f t="shared" si="1796"/>
        <v/>
      </c>
      <c r="R1987" s="690"/>
      <c r="S1987" s="1979"/>
      <c r="T1987" s="1979"/>
    </row>
    <row r="1988" spans="1:20" s="185" customFormat="1">
      <c r="A1988" s="1771"/>
      <c r="B1988" s="1922"/>
      <c r="C1988" s="1956" t="s">
        <v>12368</v>
      </c>
      <c r="D1988" s="1579"/>
      <c r="E1988" s="1957"/>
      <c r="F1988" s="1958"/>
      <c r="G1988" s="710"/>
      <c r="H1988" s="710"/>
      <c r="I1988" s="710"/>
      <c r="J1988" s="711"/>
      <c r="K1988" s="684">
        <f t="shared" si="1817"/>
        <v>1</v>
      </c>
      <c r="L1988" s="708">
        <v>1</v>
      </c>
      <c r="M1988" s="684">
        <f t="shared" si="1812"/>
        <v>1</v>
      </c>
      <c r="N1988" s="362" t="str">
        <f t="shared" si="1793"/>
        <v/>
      </c>
      <c r="O1988" s="1763" t="str">
        <f t="shared" si="1794"/>
        <v/>
      </c>
      <c r="P1988" s="1764" t="str">
        <f t="shared" si="1795"/>
        <v/>
      </c>
      <c r="Q1988" s="120" t="str">
        <f t="shared" si="1796"/>
        <v/>
      </c>
    </row>
    <row r="1989" spans="1:20" s="120" customFormat="1">
      <c r="A1989" s="687"/>
      <c r="B1989" s="1781"/>
      <c r="C1989" s="1959" t="s">
        <v>12373</v>
      </c>
      <c r="D1989" s="173"/>
      <c r="E1989" s="1791"/>
      <c r="F1989" s="1782"/>
      <c r="G1989" s="686"/>
      <c r="H1989" s="686"/>
      <c r="I1989" s="686"/>
      <c r="J1989" s="688"/>
      <c r="K1989" s="684">
        <f t="shared" si="1817"/>
        <v>1</v>
      </c>
      <c r="L1989" s="363">
        <v>1</v>
      </c>
      <c r="M1989" s="684">
        <f t="shared" si="1812"/>
        <v>1</v>
      </c>
      <c r="N1989" s="362" t="str">
        <f t="shared" si="1793"/>
        <v/>
      </c>
      <c r="O1989" s="1763" t="str">
        <f t="shared" si="1794"/>
        <v/>
      </c>
      <c r="P1989" s="1764" t="str">
        <f t="shared" si="1795"/>
        <v/>
      </c>
      <c r="Q1989" s="120" t="str">
        <f t="shared" si="1796"/>
        <v/>
      </c>
      <c r="R1989" s="185"/>
    </row>
    <row r="1990" spans="1:20" s="185" customFormat="1">
      <c r="A1990" s="687"/>
      <c r="B1990" s="714"/>
      <c r="C1990" s="1956" t="s">
        <v>12368</v>
      </c>
      <c r="D1990" s="173"/>
      <c r="E1990" s="1786"/>
      <c r="F1990" s="1787"/>
      <c r="G1990" s="710"/>
      <c r="H1990" s="710"/>
      <c r="I1990" s="710"/>
      <c r="J1990" s="711"/>
      <c r="K1990" s="684">
        <f t="shared" si="1817"/>
        <v>1</v>
      </c>
      <c r="L1990" s="708">
        <v>1</v>
      </c>
      <c r="M1990" s="684">
        <f t="shared" si="1812"/>
        <v>1</v>
      </c>
      <c r="N1990" s="362" t="str">
        <f t="shared" si="1793"/>
        <v/>
      </c>
      <c r="O1990" s="1763" t="str">
        <f t="shared" si="1794"/>
        <v/>
      </c>
      <c r="P1990" s="1764" t="str">
        <f t="shared" si="1795"/>
        <v/>
      </c>
      <c r="Q1990" s="120" t="str">
        <f t="shared" si="1796"/>
        <v/>
      </c>
    </row>
    <row r="1991" spans="1:20" s="315" customFormat="1">
      <c r="A1991" s="687"/>
      <c r="B1991" s="1906">
        <v>1</v>
      </c>
      <c r="C1991" s="1907" t="s">
        <v>12369</v>
      </c>
      <c r="D1991" s="1935"/>
      <c r="E1991" s="1786"/>
      <c r="F1991" s="1936">
        <f>SUM(F1992:F1993)*(B1991-1)</f>
        <v>0</v>
      </c>
      <c r="G1991" s="712"/>
      <c r="H1991" s="712"/>
      <c r="I1991" s="712"/>
      <c r="J1991" s="713"/>
      <c r="K1991" s="684">
        <f t="shared" si="1817"/>
        <v>1</v>
      </c>
      <c r="L1991" s="1909">
        <f>B1991</f>
        <v>1</v>
      </c>
      <c r="M1991" s="684">
        <f t="shared" si="1812"/>
        <v>1</v>
      </c>
      <c r="N1991" s="362" t="str">
        <f t="shared" si="1793"/>
        <v/>
      </c>
      <c r="O1991" s="1763" t="str">
        <f t="shared" si="1794"/>
        <v/>
      </c>
      <c r="P1991" s="1764" t="str">
        <f t="shared" si="1795"/>
        <v/>
      </c>
      <c r="Q1991" s="120" t="str">
        <f t="shared" si="1796"/>
        <v/>
      </c>
    </row>
    <row r="1992" spans="1:20" s="185" customFormat="1">
      <c r="A1992" s="1961"/>
      <c r="B1992" s="1910">
        <v>2</v>
      </c>
      <c r="C1992" s="1911" t="str">
        <f>VLOOKUP(D1992,base_datos,6,FALSE)</f>
        <v>ITM Riel-Din 2x20A - S202-C-20A - 10kA@400Vac-IEC60947-2 - marca ABB.</v>
      </c>
      <c r="D1992" s="1790" t="s">
        <v>969</v>
      </c>
      <c r="E1992" s="1787">
        <f>VLOOKUP(D1992,base_datos,5,FALSE)</f>
        <v>17.930000000000003</v>
      </c>
      <c r="F1992" s="1912">
        <f>+E1992*B1992</f>
        <v>35.860000000000007</v>
      </c>
      <c r="G1992" s="710"/>
      <c r="H1992" s="710"/>
      <c r="I1992" s="710"/>
      <c r="J1992" s="711"/>
      <c r="K1992" s="684">
        <f t="shared" si="1817"/>
        <v>1</v>
      </c>
      <c r="L1992" s="1913">
        <f>L1991</f>
        <v>1</v>
      </c>
      <c r="M1992" s="684">
        <f t="shared" si="1812"/>
        <v>2</v>
      </c>
      <c r="N1992" s="362">
        <f t="shared" si="1793"/>
        <v>2</v>
      </c>
      <c r="O1992" s="1763" t="str">
        <f t="shared" si="1794"/>
        <v>2CDS252001R0204</v>
      </c>
      <c r="P1992" s="1764" t="str">
        <f t="shared" si="1795"/>
        <v>ITM Riel-Din 2x20A - S202-C-20A - 10kA@400Vac-IEC60947-2 - marca ABB.</v>
      </c>
      <c r="Q1992" s="120" t="str">
        <f t="shared" si="1796"/>
        <v>S202-C-20A</v>
      </c>
    </row>
    <row r="1993" spans="1:20" s="1921" customFormat="1">
      <c r="A1993" s="1771"/>
      <c r="B1993" s="1914">
        <v>1</v>
      </c>
      <c r="C1993" s="1911" t="str">
        <f>VLOOKUP(D1993,base_datos,6,FALSE)</f>
        <v>Bloqueo mecánico para enclavamiento manual entre dos interruptores - Riel-Din.</v>
      </c>
      <c r="D1993" s="1790" t="s">
        <v>5954</v>
      </c>
      <c r="E1993" s="1787">
        <f>VLOOKUP(D1993,base_datos,5,FALSE)</f>
        <v>50</v>
      </c>
      <c r="F1993" s="1912">
        <f>+E1993*B1993</f>
        <v>50</v>
      </c>
      <c r="G1993" s="1919"/>
      <c r="H1993" s="1919"/>
      <c r="I1993" s="1919"/>
      <c r="J1993" s="1920"/>
      <c r="K1993" s="684">
        <f t="shared" si="1817"/>
        <v>1</v>
      </c>
      <c r="L1993" s="1913">
        <f>L1992</f>
        <v>1</v>
      </c>
      <c r="M1993" s="684">
        <f t="shared" si="1812"/>
        <v>1</v>
      </c>
      <c r="N1993" s="362" t="str">
        <f t="shared" si="1793"/>
        <v/>
      </c>
      <c r="O1993" s="1763" t="str">
        <f t="shared" si="1794"/>
        <v/>
      </c>
      <c r="P1993" s="1764" t="str">
        <f t="shared" si="1795"/>
        <v/>
      </c>
      <c r="Q1993" s="120" t="str">
        <f t="shared" si="1796"/>
        <v/>
      </c>
    </row>
    <row r="1994" spans="1:20" s="185" customFormat="1">
      <c r="A1994" s="687"/>
      <c r="B1994" s="714"/>
      <c r="C1994" s="1956" t="s">
        <v>12368</v>
      </c>
      <c r="D1994" s="173"/>
      <c r="E1994" s="1786"/>
      <c r="F1994" s="1787"/>
      <c r="G1994" s="710"/>
      <c r="H1994" s="710"/>
      <c r="I1994" s="710"/>
      <c r="J1994" s="711"/>
      <c r="K1994" s="684">
        <f t="shared" si="1817"/>
        <v>1</v>
      </c>
      <c r="L1994" s="363">
        <v>1</v>
      </c>
      <c r="M1994" s="684">
        <f t="shared" si="1812"/>
        <v>1</v>
      </c>
      <c r="N1994" s="362" t="str">
        <f t="shared" si="1793"/>
        <v/>
      </c>
      <c r="O1994" s="1763" t="str">
        <f t="shared" si="1794"/>
        <v/>
      </c>
      <c r="P1994" s="1764" t="str">
        <f t="shared" si="1795"/>
        <v/>
      </c>
      <c r="Q1994" s="120" t="str">
        <f t="shared" si="1796"/>
        <v/>
      </c>
    </row>
    <row r="1995" spans="1:20" s="690" customFormat="1">
      <c r="A1995" s="687"/>
      <c r="B1995" s="1851"/>
      <c r="C1995" s="1966" t="s">
        <v>2654</v>
      </c>
      <c r="D1995" s="1582"/>
      <c r="E1995" s="1780"/>
      <c r="F1995" s="1782"/>
      <c r="G1995" s="1761"/>
      <c r="H1995" s="1761"/>
      <c r="I1995" s="1761"/>
      <c r="J1995" s="689"/>
      <c r="K1995" s="684">
        <f t="shared" si="1817"/>
        <v>1</v>
      </c>
      <c r="L1995" s="363">
        <v>1</v>
      </c>
      <c r="M1995" s="684">
        <f t="shared" si="1812"/>
        <v>1</v>
      </c>
      <c r="N1995" s="362" t="str">
        <f t="shared" si="1793"/>
        <v/>
      </c>
      <c r="O1995" s="1763" t="str">
        <f t="shared" si="1794"/>
        <v/>
      </c>
      <c r="P1995" s="1764" t="str">
        <f t="shared" si="1795"/>
        <v/>
      </c>
      <c r="Q1995" s="120" t="str">
        <f t="shared" si="1796"/>
        <v/>
      </c>
      <c r="R1995" s="185"/>
    </row>
    <row r="1996" spans="1:20" s="690" customFormat="1">
      <c r="A1996" s="687"/>
      <c r="B1996" s="1781">
        <v>5</v>
      </c>
      <c r="C1996" s="1960" t="str">
        <f>VLOOKUP(D1996,base_datos,6,FALSE)</f>
        <v>ITM Riel-Din 2x16A - S202-C-16A - 10kA@400Vac-IEC60947-2 - marca ABB.</v>
      </c>
      <c r="D1996" s="1901" t="s">
        <v>970</v>
      </c>
      <c r="E1996" s="1791">
        <f>VLOOKUP(D1996,base_datos,5,FALSE)</f>
        <v>17.96</v>
      </c>
      <c r="F1996" s="1782">
        <f>+E1996*B1996</f>
        <v>89.800000000000011</v>
      </c>
      <c r="G1996" s="1761"/>
      <c r="H1996" s="1761"/>
      <c r="I1996" s="1761"/>
      <c r="J1996" s="689"/>
      <c r="K1996" s="684">
        <f t="shared" si="1817"/>
        <v>1</v>
      </c>
      <c r="L1996" s="363">
        <v>1</v>
      </c>
      <c r="M1996" s="684">
        <f t="shared" si="1812"/>
        <v>5</v>
      </c>
      <c r="N1996" s="362">
        <f t="shared" ref="N1996:N2067" si="1821">IF(O1996&lt;&gt;"",K1996*L1996*M1996,"")</f>
        <v>5</v>
      </c>
      <c r="O1996" s="1763" t="str">
        <f t="shared" ref="O1996:O2067" si="1822">IF(D1996&lt;&gt;"",IF(VLOOKUP(D1996,base_datos,7,FALSE)&lt;&gt;"",VLOOKUP(D1996,base_datos,7,FALSE),""),"")</f>
        <v>2CDS252001R0164</v>
      </c>
      <c r="P1996" s="1764" t="str">
        <f t="shared" ref="P1996:P2067" si="1823">IF(O1996&lt;&gt;"",VLOOKUP(D1996,base_datos,6,FALSE),"")</f>
        <v>ITM Riel-Din 2x16A - S202-C-16A - 10kA@400Vac-IEC60947-2 - marca ABB.</v>
      </c>
      <c r="Q1996" s="120" t="str">
        <f t="shared" ref="Q1996:Q2067" si="1824">IF(O1996&lt;&gt;"",D1996,"")</f>
        <v>S202-C-16A</v>
      </c>
      <c r="R1996" s="185"/>
    </row>
    <row r="1997" spans="1:20" s="690" customFormat="1">
      <c r="A1997" s="687"/>
      <c r="B1997" s="1781">
        <v>5</v>
      </c>
      <c r="C1997" s="1960" t="str">
        <f>VLOOKUP(D1997,base_datos,6,FALSE)</f>
        <v>Interruptor Diferencial 2x25A - 30mA - clase A-APR (alta inmunización) - F202-A APR-25A-30mA  - marca ABB.</v>
      </c>
      <c r="D1997" s="1901" t="s">
        <v>1135</v>
      </c>
      <c r="E1997" s="1791">
        <f>VLOOKUP(D1997,base_datos,5,FALSE)</f>
        <v>86.79</v>
      </c>
      <c r="F1997" s="1782">
        <f>+E1997*B1997</f>
        <v>433.95000000000005</v>
      </c>
      <c r="G1997" s="1761"/>
      <c r="H1997" s="1761"/>
      <c r="I1997" s="1761"/>
      <c r="J1997" s="689"/>
      <c r="K1997" s="684">
        <f t="shared" si="1817"/>
        <v>1</v>
      </c>
      <c r="L1997" s="363">
        <v>1</v>
      </c>
      <c r="M1997" s="684">
        <f t="shared" si="1812"/>
        <v>5</v>
      </c>
      <c r="N1997" s="362">
        <f t="shared" si="1821"/>
        <v>5</v>
      </c>
      <c r="O1997" s="1763" t="str">
        <f t="shared" si="1822"/>
        <v>2CSF202401R1250</v>
      </c>
      <c r="P1997" s="1764" t="str">
        <f t="shared" si="1823"/>
        <v>Interruptor Diferencial 2x25A - 30mA - clase A-APR (alta inmunización) - F202-A APR-25A-30mA  - marca ABB.</v>
      </c>
      <c r="Q1997" s="120" t="str">
        <f t="shared" si="1824"/>
        <v>F202-A APR-25A-30mA</v>
      </c>
      <c r="R1997" s="185"/>
    </row>
    <row r="1998" spans="1:20" s="690" customFormat="1">
      <c r="A1998" s="687"/>
      <c r="B1998" s="1781">
        <v>1</v>
      </c>
      <c r="C1998" s="1960" t="str">
        <f>VLOOKUP(D1998,base_datos,6,FALSE)</f>
        <v>Espacio de reserva monofasica + interruptor diferencial - Riel-Din.</v>
      </c>
      <c r="D1998" s="1901" t="s">
        <v>2926</v>
      </c>
      <c r="E1998" s="1791">
        <f>VLOOKUP(D1998,base_datos,5,FALSE)</f>
        <v>2.5</v>
      </c>
      <c r="F1998" s="1782">
        <f>+E1998*B1998</f>
        <v>2.5</v>
      </c>
      <c r="G1998" s="1761"/>
      <c r="H1998" s="1761"/>
      <c r="I1998" s="1761"/>
      <c r="J1998" s="689"/>
      <c r="K1998" s="684">
        <f t="shared" si="1817"/>
        <v>1</v>
      </c>
      <c r="L1998" s="363">
        <v>1</v>
      </c>
      <c r="M1998" s="684">
        <f t="shared" si="1812"/>
        <v>1</v>
      </c>
      <c r="N1998" s="362" t="str">
        <f t="shared" si="1821"/>
        <v/>
      </c>
      <c r="O1998" s="1763" t="str">
        <f t="shared" si="1822"/>
        <v/>
      </c>
      <c r="P1998" s="1764" t="str">
        <f t="shared" si="1823"/>
        <v/>
      </c>
      <c r="Q1998" s="120" t="str">
        <f t="shared" si="1824"/>
        <v/>
      </c>
      <c r="R1998" s="185"/>
    </row>
    <row r="1999" spans="1:20" s="695" customFormat="1">
      <c r="A1999" s="687"/>
      <c r="B1999" s="1967">
        <v>1</v>
      </c>
      <c r="C1999" s="1946">
        <v>12</v>
      </c>
      <c r="D1999" s="1582"/>
      <c r="E1999" s="2000">
        <v>59</v>
      </c>
      <c r="F1999" s="1968">
        <f t="shared" ref="F1999" si="1825">+E1999*B1999</f>
        <v>59</v>
      </c>
      <c r="G1999" s="1969"/>
      <c r="H1999" s="1969"/>
      <c r="I1999" s="1969"/>
      <c r="J1999" s="1970"/>
      <c r="K1999" s="684">
        <f t="shared" si="1817"/>
        <v>1</v>
      </c>
      <c r="L1999" s="363">
        <v>1</v>
      </c>
      <c r="M1999" s="684">
        <f t="shared" si="1812"/>
        <v>1</v>
      </c>
      <c r="N1999" s="362" t="str">
        <f t="shared" si="1821"/>
        <v/>
      </c>
      <c r="O1999" s="1763" t="str">
        <f t="shared" si="1822"/>
        <v/>
      </c>
      <c r="P1999" s="1764" t="str">
        <f t="shared" si="1823"/>
        <v/>
      </c>
      <c r="Q1999" s="120" t="str">
        <f t="shared" si="1824"/>
        <v/>
      </c>
    </row>
    <row r="2000" spans="1:20" s="185" customFormat="1" ht="18" customHeight="1">
      <c r="A2000" s="1785"/>
      <c r="B2000" s="714"/>
      <c r="C2000" s="1893" t="s">
        <v>729</v>
      </c>
      <c r="D2000" s="173"/>
      <c r="E2000" s="1786"/>
      <c r="F2000" s="1787"/>
      <c r="G2000" s="710"/>
      <c r="H2000" s="710"/>
      <c r="I2000" s="710"/>
      <c r="J2000" s="711"/>
      <c r="K2000" s="684">
        <f t="shared" si="1817"/>
        <v>1</v>
      </c>
      <c r="L2000" s="708">
        <v>1</v>
      </c>
      <c r="M2000" s="684">
        <f t="shared" si="1812"/>
        <v>1</v>
      </c>
      <c r="N2000" s="362" t="str">
        <f t="shared" si="1821"/>
        <v/>
      </c>
      <c r="O2000" s="1763" t="str">
        <f t="shared" si="1822"/>
        <v/>
      </c>
      <c r="P2000" s="1764" t="str">
        <f t="shared" si="1823"/>
        <v/>
      </c>
      <c r="Q2000" s="120" t="str">
        <f t="shared" si="1824"/>
        <v/>
      </c>
    </row>
    <row r="2001" spans="1:20" s="315" customFormat="1" ht="12.75" customHeight="1">
      <c r="A2001" s="2271"/>
      <c r="B2001" s="2272">
        <v>1</v>
      </c>
      <c r="C2001" s="2281" t="s">
        <v>13366</v>
      </c>
      <c r="D2001" s="1935"/>
      <c r="E2001" s="2287"/>
      <c r="F2001" s="2257">
        <f>+SUM(F2002:F2005)*(B2001-1)</f>
        <v>0</v>
      </c>
      <c r="G2001" s="712"/>
      <c r="H2001" s="712"/>
      <c r="I2001" s="712"/>
      <c r="J2001" s="713"/>
      <c r="K2001" s="684">
        <f t="shared" ref="K2001:K2006" si="1826">+K2000</f>
        <v>1</v>
      </c>
      <c r="L2001" s="2258">
        <v>1</v>
      </c>
      <c r="M2001" s="120">
        <f t="shared" si="1812"/>
        <v>1</v>
      </c>
      <c r="N2001" s="112" t="str">
        <f t="shared" si="1821"/>
        <v/>
      </c>
      <c r="O2001" s="112" t="str">
        <f t="shared" si="1822"/>
        <v/>
      </c>
      <c r="P2001" s="120" t="str">
        <f t="shared" si="1823"/>
        <v/>
      </c>
      <c r="Q2001" s="120" t="str">
        <f t="shared" si="1824"/>
        <v/>
      </c>
      <c r="S2001" s="112" t="str">
        <f t="shared" ref="S2001:S2005" si="1827">IF(O2001&lt;&gt;"",VLOOKUP(D2001,base_datos,9,FALSE),"")</f>
        <v/>
      </c>
      <c r="T2001" s="2128"/>
    </row>
    <row r="2002" spans="1:20" s="690" customFormat="1" ht="18" customHeight="1">
      <c r="A2002" s="2273"/>
      <c r="B2002" s="1781">
        <v>1</v>
      </c>
      <c r="C2002" s="1420" t="str">
        <f t="shared" ref="C2002:C2005" si="1828">VLOOKUP(D2002,base_datos,6,FALSE)</f>
        <v>Calefactor resistivo 60W, modelo RACM - marca FANDIS.</v>
      </c>
      <c r="D2002" s="1899" t="s">
        <v>3298</v>
      </c>
      <c r="E2002" s="2288">
        <f t="shared" ref="E2002" si="1829">VLOOKUP(D2002,base_datos,5,FALSE)</f>
        <v>127.1</v>
      </c>
      <c r="F2002" s="1782">
        <f>+E2002*B2002</f>
        <v>127.1</v>
      </c>
      <c r="G2002" s="1761"/>
      <c r="H2002" s="1761"/>
      <c r="I2002" s="1761"/>
      <c r="J2002" s="689"/>
      <c r="K2002" s="684">
        <f t="shared" si="1826"/>
        <v>1</v>
      </c>
      <c r="L2002" s="2258">
        <v>1</v>
      </c>
      <c r="M2002" s="120">
        <f t="shared" si="1812"/>
        <v>1</v>
      </c>
      <c r="N2002" s="112">
        <f t="shared" si="1821"/>
        <v>1</v>
      </c>
      <c r="O2002" s="112" t="str">
        <f t="shared" si="1822"/>
        <v>RACM-60</v>
      </c>
      <c r="P2002" s="120" t="str">
        <f t="shared" si="1823"/>
        <v>Calefactor resistivo 60W, modelo RACM - marca FANDIS.</v>
      </c>
      <c r="Q2002" s="120" t="str">
        <f t="shared" si="1824"/>
        <v>CALEFACT-60W_FAND</v>
      </c>
      <c r="S2002" s="112" t="str">
        <f t="shared" si="1827"/>
        <v>FANDIS</v>
      </c>
      <c r="T2002" s="1765"/>
    </row>
    <row r="2003" spans="1:20" s="690" customFormat="1" ht="18" customHeight="1">
      <c r="A2003" s="2273"/>
      <c r="B2003" s="1781">
        <v>1</v>
      </c>
      <c r="C2003" s="1420" t="str">
        <f t="shared" si="1828"/>
        <v>Termostato para ventilación - 1NA - 230V - marca FANDIS.</v>
      </c>
      <c r="D2003" s="1899" t="s">
        <v>3294</v>
      </c>
      <c r="E2003" s="2288">
        <f t="shared" ref="E2003:E2005" si="1830">VLOOKUP(D2003,base_datos,5,FALSE)</f>
        <v>41.58</v>
      </c>
      <c r="F2003" s="1782">
        <f>+E2003*B2003</f>
        <v>41.58</v>
      </c>
      <c r="G2003" s="1761"/>
      <c r="H2003" s="1761"/>
      <c r="I2003" s="1761"/>
      <c r="J2003" s="689"/>
      <c r="K2003" s="684">
        <f t="shared" si="1826"/>
        <v>1</v>
      </c>
      <c r="L2003" s="2258">
        <v>1</v>
      </c>
      <c r="M2003" s="120">
        <f t="shared" si="1812"/>
        <v>1</v>
      </c>
      <c r="N2003" s="112">
        <f t="shared" si="1821"/>
        <v>1</v>
      </c>
      <c r="O2003" s="112" t="str">
        <f t="shared" si="1822"/>
        <v>TRT-10A230V-NO</v>
      </c>
      <c r="P2003" s="120" t="str">
        <f t="shared" si="1823"/>
        <v>Termostato para ventilación - 1NA - 230V - marca FANDIS.</v>
      </c>
      <c r="Q2003" s="120" t="str">
        <f t="shared" si="1824"/>
        <v>TRT-1NA</v>
      </c>
      <c r="S2003" s="112" t="str">
        <f t="shared" si="1827"/>
        <v>FANDIS</v>
      </c>
      <c r="T2003" s="1765"/>
    </row>
    <row r="2004" spans="1:20" s="320" customFormat="1" ht="12.75" customHeight="1">
      <c r="A2004" s="2274"/>
      <c r="B2004" s="2275">
        <v>1</v>
      </c>
      <c r="C2004" s="2282" t="str">
        <f t="shared" si="1828"/>
        <v>Base portafusibles + Fusibles de protección para control.</v>
      </c>
      <c r="D2004" s="1579" t="s">
        <v>453</v>
      </c>
      <c r="E2004" s="2289">
        <f t="shared" si="1830"/>
        <v>8.1750000000000007</v>
      </c>
      <c r="F2004" s="2264">
        <f>+E2004*B2004</f>
        <v>8.1750000000000007</v>
      </c>
      <c r="G2004" s="2276"/>
      <c r="H2004" s="2276"/>
      <c r="I2004" s="2276"/>
      <c r="J2004" s="722"/>
      <c r="K2004" s="684">
        <f t="shared" si="1826"/>
        <v>1</v>
      </c>
      <c r="L2004" s="2258">
        <v>1</v>
      </c>
      <c r="M2004" s="120">
        <f t="shared" si="1812"/>
        <v>1</v>
      </c>
      <c r="N2004" s="112" t="str">
        <f t="shared" si="1821"/>
        <v/>
      </c>
      <c r="O2004" s="112" t="str">
        <f t="shared" si="1822"/>
        <v/>
      </c>
      <c r="P2004" s="120" t="str">
        <f t="shared" si="1823"/>
        <v/>
      </c>
      <c r="Q2004" s="120" t="str">
        <f t="shared" si="1824"/>
        <v/>
      </c>
      <c r="R2004" s="185"/>
      <c r="S2004" s="112" t="str">
        <f t="shared" si="1827"/>
        <v/>
      </c>
      <c r="T2004" s="709"/>
    </row>
    <row r="2005" spans="1:20" s="320" customFormat="1" ht="12.75" customHeight="1">
      <c r="A2005" s="2274"/>
      <c r="B2005" s="2277">
        <v>1</v>
      </c>
      <c r="C2005" s="2282" t="str">
        <f t="shared" si="1828"/>
        <v>Borne 4mm2.</v>
      </c>
      <c r="D2005" s="1579" t="s">
        <v>437</v>
      </c>
      <c r="E2005" s="2260">
        <f t="shared" si="1830"/>
        <v>2.5</v>
      </c>
      <c r="F2005" s="2260">
        <f>+E2005*B2005</f>
        <v>2.5</v>
      </c>
      <c r="G2005" s="2276"/>
      <c r="H2005" s="2276"/>
      <c r="I2005" s="2276"/>
      <c r="J2005" s="722"/>
      <c r="K2005" s="684">
        <f t="shared" si="1826"/>
        <v>1</v>
      </c>
      <c r="L2005" s="2258">
        <v>1</v>
      </c>
      <c r="M2005" s="120">
        <f t="shared" si="1812"/>
        <v>1</v>
      </c>
      <c r="N2005" s="112" t="str">
        <f t="shared" si="1821"/>
        <v/>
      </c>
      <c r="O2005" s="112" t="str">
        <f t="shared" si="1822"/>
        <v/>
      </c>
      <c r="P2005" s="120" t="str">
        <f t="shared" si="1823"/>
        <v/>
      </c>
      <c r="Q2005" s="120" t="str">
        <f t="shared" si="1824"/>
        <v/>
      </c>
      <c r="R2005" s="185"/>
      <c r="S2005" s="112" t="str">
        <f t="shared" si="1827"/>
        <v/>
      </c>
      <c r="T2005" s="709"/>
    </row>
    <row r="2006" spans="1:20" s="185" customFormat="1" ht="18" customHeight="1">
      <c r="A2006" s="1785"/>
      <c r="B2006" s="714"/>
      <c r="C2006" s="1893" t="s">
        <v>729</v>
      </c>
      <c r="D2006" s="173"/>
      <c r="E2006" s="1786"/>
      <c r="F2006" s="1787"/>
      <c r="G2006" s="710"/>
      <c r="H2006" s="710"/>
      <c r="I2006" s="710"/>
      <c r="J2006" s="711"/>
      <c r="K2006" s="684">
        <f t="shared" si="1826"/>
        <v>1</v>
      </c>
      <c r="L2006" s="708">
        <v>1</v>
      </c>
      <c r="M2006" s="709">
        <f t="shared" si="1812"/>
        <v>1</v>
      </c>
      <c r="N2006" s="362" t="str">
        <f t="shared" si="1821"/>
        <v/>
      </c>
      <c r="O2006" s="1763" t="str">
        <f t="shared" si="1822"/>
        <v/>
      </c>
      <c r="P2006" s="1764" t="str">
        <f t="shared" si="1823"/>
        <v/>
      </c>
      <c r="Q2006" s="120" t="str">
        <f t="shared" si="1824"/>
        <v/>
      </c>
    </row>
    <row r="2007" spans="1:20" s="1236" customFormat="1" ht="18" customHeight="1">
      <c r="A2007" s="1767"/>
      <c r="B2007" s="1853">
        <v>1</v>
      </c>
      <c r="C2007" s="1895" t="s">
        <v>12364</v>
      </c>
      <c r="D2007" s="1902"/>
      <c r="E2007" s="1792"/>
      <c r="F2007" s="1793"/>
      <c r="G2007" s="1784"/>
      <c r="H2007" s="1784"/>
      <c r="I2007" s="1784"/>
      <c r="J2007" s="1182"/>
      <c r="K2007" s="684">
        <f>+K1998</f>
        <v>1</v>
      </c>
      <c r="L2007" s="708">
        <v>1</v>
      </c>
      <c r="M2007" s="684">
        <f t="shared" si="1812"/>
        <v>1</v>
      </c>
      <c r="N2007" s="362" t="str">
        <f t="shared" si="1821"/>
        <v/>
      </c>
      <c r="O2007" s="1763" t="str">
        <f t="shared" si="1822"/>
        <v/>
      </c>
      <c r="P2007" s="1764" t="str">
        <f t="shared" si="1823"/>
        <v/>
      </c>
      <c r="Q2007" s="120" t="str">
        <f t="shared" si="1824"/>
        <v/>
      </c>
      <c r="R2007" s="185"/>
    </row>
    <row r="2008" spans="1:20" s="695" customFormat="1" ht="18" customHeight="1">
      <c r="A2008" s="693"/>
      <c r="B2008" s="1922">
        <v>1</v>
      </c>
      <c r="C2008" s="1848" t="str">
        <f t="shared" ref="C2008" si="1831">VLOOKUP(D2008,base_datos,6,FALSE)</f>
        <v>Placa lamicoid rotulación de 3mm de espesor, fondo negro y letras blancas.</v>
      </c>
      <c r="D2008" s="1886" t="s">
        <v>8570</v>
      </c>
      <c r="E2008" s="1795">
        <f t="shared" ref="E2008" si="1832">VLOOKUP(D2008,base_datos,5,FALSE)</f>
        <v>2.2000000000000002</v>
      </c>
      <c r="F2008" s="1796">
        <f t="shared" ref="F2008" si="1833">+E2008*B2008</f>
        <v>2.2000000000000002</v>
      </c>
      <c r="G2008" s="696"/>
      <c r="H2008" s="696"/>
      <c r="I2008" s="696"/>
      <c r="J2008" s="697"/>
      <c r="K2008" s="684">
        <f>+K1999</f>
        <v>1</v>
      </c>
      <c r="L2008" s="708">
        <v>1</v>
      </c>
      <c r="M2008" s="684">
        <f t="shared" si="1812"/>
        <v>1</v>
      </c>
      <c r="N2008" s="362">
        <f t="shared" si="1821"/>
        <v>1</v>
      </c>
      <c r="O2008" s="1763" t="str">
        <f t="shared" si="1822"/>
        <v>Placa lamicoid p/distr.</v>
      </c>
      <c r="P2008" s="1764" t="str">
        <f t="shared" si="1823"/>
        <v>Placa lamicoid rotulación de 3mm de espesor, fondo negro y letras blancas.</v>
      </c>
      <c r="Q2008" s="120" t="str">
        <f t="shared" si="1824"/>
        <v>Placa lamicoid p/distr.</v>
      </c>
      <c r="R2008" s="185"/>
    </row>
    <row r="2009" spans="1:20" s="1236" customFormat="1" ht="18" customHeight="1">
      <c r="A2009" s="1767"/>
      <c r="B2009" s="1853">
        <v>1</v>
      </c>
      <c r="C2009" s="1895" t="s">
        <v>12474</v>
      </c>
      <c r="D2009" s="1902"/>
      <c r="E2009" s="1792"/>
      <c r="F2009" s="1793"/>
      <c r="G2009" s="1784"/>
      <c r="H2009" s="1784"/>
      <c r="I2009" s="1784"/>
      <c r="J2009" s="1182"/>
      <c r="K2009" s="684">
        <f>+K2000</f>
        <v>1</v>
      </c>
      <c r="L2009" s="708">
        <v>1</v>
      </c>
      <c r="M2009" s="684">
        <f t="shared" si="1812"/>
        <v>1</v>
      </c>
      <c r="N2009" s="362" t="str">
        <f t="shared" si="1821"/>
        <v/>
      </c>
      <c r="O2009" s="1763" t="str">
        <f t="shared" si="1822"/>
        <v/>
      </c>
      <c r="P2009" s="1764" t="str">
        <f t="shared" si="1823"/>
        <v/>
      </c>
      <c r="Q2009" s="120" t="str">
        <f t="shared" si="1824"/>
        <v/>
      </c>
      <c r="R2009" s="185"/>
    </row>
    <row r="2010" spans="1:20" s="1236" customFormat="1" ht="18" customHeight="1">
      <c r="A2010" s="1767"/>
      <c r="B2010" s="1853">
        <v>1</v>
      </c>
      <c r="C2010" s="1848" t="str">
        <f>VLOOKUP(D2010,base_datos,6,FALSE)</f>
        <v>Embalaje especial completamente cerrado para tablero adosado de 1600x600x220mm</v>
      </c>
      <c r="D2010" s="1902" t="s">
        <v>12453</v>
      </c>
      <c r="E2010" s="1795">
        <f t="shared" ref="E2010" si="1834">VLOOKUP(D2010,base_datos,5,FALSE)</f>
        <v>271.40000000000003</v>
      </c>
      <c r="F2010" s="1796">
        <f t="shared" ref="F2010" si="1835">+E2010*B2010</f>
        <v>271.40000000000003</v>
      </c>
      <c r="G2010" s="1784"/>
      <c r="H2010" s="1784"/>
      <c r="I2010" s="1784"/>
      <c r="J2010" s="1182"/>
      <c r="K2010" s="684">
        <f t="shared" si="1817"/>
        <v>1</v>
      </c>
      <c r="L2010" s="708">
        <v>1</v>
      </c>
      <c r="M2010" s="684">
        <f t="shared" si="1812"/>
        <v>1</v>
      </c>
      <c r="N2010" s="362">
        <f t="shared" si="1821"/>
        <v>1</v>
      </c>
      <c r="O2010" s="1763" t="str">
        <f t="shared" si="1822"/>
        <v>EMBAL_ADOS_1600x600x220mm</v>
      </c>
      <c r="P2010" s="1764" t="str">
        <f t="shared" si="1823"/>
        <v>Embalaje especial completamente cerrado para tablero adosado de 1600x600x220mm</v>
      </c>
      <c r="Q2010" s="120" t="str">
        <f t="shared" si="1824"/>
        <v>EMBAL_ADOS_1600x600x220mm</v>
      </c>
      <c r="R2010" s="185"/>
    </row>
    <row r="2011" spans="1:20" s="185" customFormat="1" ht="18" customHeight="1">
      <c r="A2011" s="1785"/>
      <c r="B2011" s="714"/>
      <c r="C2011" s="1893" t="s">
        <v>729</v>
      </c>
      <c r="D2011" s="173"/>
      <c r="E2011" s="1786"/>
      <c r="F2011" s="1787"/>
      <c r="G2011" s="710"/>
      <c r="H2011" s="710"/>
      <c r="I2011" s="710"/>
      <c r="J2011" s="711"/>
      <c r="K2011" s="684">
        <f t="shared" si="1817"/>
        <v>1</v>
      </c>
      <c r="L2011" s="708">
        <v>1</v>
      </c>
      <c r="M2011" s="684">
        <f t="shared" si="1812"/>
        <v>1</v>
      </c>
      <c r="N2011" s="362" t="str">
        <f t="shared" si="1821"/>
        <v/>
      </c>
      <c r="O2011" s="1763" t="str">
        <f t="shared" si="1822"/>
        <v/>
      </c>
      <c r="P2011" s="1764" t="str">
        <f t="shared" si="1823"/>
        <v/>
      </c>
      <c r="Q2011" s="120" t="str">
        <f t="shared" si="1824"/>
        <v/>
      </c>
    </row>
    <row r="2012" spans="1:20" s="1521" customFormat="1">
      <c r="A2012" s="1972"/>
      <c r="B2012" s="714">
        <v>1</v>
      </c>
      <c r="C2012" s="1960" t="str">
        <f>VLOOKUP(D2012,base_datos,6,FALSE)</f>
        <v>Barra a tierra aislada.</v>
      </c>
      <c r="D2012" s="1973" t="s">
        <v>12531</v>
      </c>
      <c r="E2012" s="1580">
        <f t="shared" ref="E2012:E2013" si="1836">VLOOKUP(D2012,base_datos,5,FALSE)</f>
        <v>15</v>
      </c>
      <c r="F2012" s="1581">
        <f t="shared" ref="F2012:F2019" si="1837">+E2012*B2012</f>
        <v>15</v>
      </c>
      <c r="G2012" s="1974"/>
      <c r="H2012" s="1974"/>
      <c r="I2012" s="1974"/>
      <c r="J2012" s="1975"/>
      <c r="K2012" s="684">
        <f t="shared" si="1817"/>
        <v>1</v>
      </c>
      <c r="L2012" s="363">
        <v>1</v>
      </c>
      <c r="M2012" s="684">
        <f t="shared" si="1812"/>
        <v>1</v>
      </c>
      <c r="N2012" s="362" t="str">
        <f t="shared" si="1821"/>
        <v/>
      </c>
      <c r="O2012" s="1763" t="str">
        <f t="shared" si="1822"/>
        <v/>
      </c>
      <c r="P2012" s="1764" t="str">
        <f t="shared" si="1823"/>
        <v/>
      </c>
      <c r="Q2012" s="120" t="str">
        <f t="shared" si="1824"/>
        <v/>
      </c>
      <c r="R2012" s="690"/>
      <c r="S2012" s="1237"/>
      <c r="T2012" s="1237"/>
    </row>
    <row r="2013" spans="1:20" s="695" customFormat="1" ht="18" customHeight="1">
      <c r="A2013" s="693"/>
      <c r="B2013" s="1794">
        <v>1</v>
      </c>
      <c r="C2013" s="1420" t="str">
        <f t="shared" ref="C2013" si="1838">VLOOKUP(D2013,base_datos,6,FALSE)</f>
        <v>Barra a tierra.</v>
      </c>
      <c r="D2013" s="1790" t="s">
        <v>8299</v>
      </c>
      <c r="E2013" s="1795">
        <f t="shared" si="1836"/>
        <v>10</v>
      </c>
      <c r="F2013" s="1796">
        <f t="shared" si="1837"/>
        <v>10</v>
      </c>
      <c r="G2013" s="696"/>
      <c r="H2013" s="696"/>
      <c r="I2013" s="696"/>
      <c r="J2013" s="697"/>
      <c r="K2013" s="684">
        <f t="shared" si="1817"/>
        <v>1</v>
      </c>
      <c r="L2013" s="708">
        <v>1</v>
      </c>
      <c r="M2013" s="684">
        <f t="shared" si="1812"/>
        <v>1</v>
      </c>
      <c r="N2013" s="362" t="str">
        <f t="shared" si="1821"/>
        <v/>
      </c>
      <c r="O2013" s="1763" t="str">
        <f t="shared" si="1822"/>
        <v/>
      </c>
      <c r="P2013" s="1764" t="str">
        <f t="shared" si="1823"/>
        <v/>
      </c>
      <c r="Q2013" s="120" t="str">
        <f t="shared" si="1824"/>
        <v/>
      </c>
      <c r="R2013" s="185"/>
    </row>
    <row r="2014" spans="1:20" s="185" customFormat="1" ht="18" customHeight="1">
      <c r="A2014" s="1785"/>
      <c r="B2014" s="714"/>
      <c r="C2014" s="1893" t="s">
        <v>729</v>
      </c>
      <c r="D2014" s="173"/>
      <c r="E2014" s="1786"/>
      <c r="F2014" s="1787"/>
      <c r="G2014" s="710"/>
      <c r="H2014" s="710"/>
      <c r="I2014" s="710"/>
      <c r="J2014" s="711"/>
      <c r="K2014" s="684">
        <f t="shared" si="1817"/>
        <v>1</v>
      </c>
      <c r="L2014" s="708">
        <v>1</v>
      </c>
      <c r="M2014" s="684">
        <f t="shared" ref="M2014" si="1839">IF(B2014="",1,B2014)</f>
        <v>1</v>
      </c>
      <c r="N2014" s="362" t="str">
        <f t="shared" ref="N2014" si="1840">IF(O2014&lt;&gt;"",K2014*L2014*M2014,"")</f>
        <v/>
      </c>
      <c r="O2014" s="1763" t="str">
        <f t="shared" ref="O2014" si="1841">IF(D2014&lt;&gt;"",IF(VLOOKUP(D2014,base_datos,7,FALSE)&lt;&gt;"",VLOOKUP(D2014,base_datos,7,FALSE),""),"")</f>
        <v/>
      </c>
      <c r="P2014" s="1764" t="str">
        <f t="shared" ref="P2014" si="1842">IF(O2014&lt;&gt;"",VLOOKUP(D2014,base_datos,6,FALSE),"")</f>
        <v/>
      </c>
      <c r="Q2014" s="120" t="str">
        <f t="shared" ref="Q2014" si="1843">IF(O2014&lt;&gt;"",D2014,"")</f>
        <v/>
      </c>
    </row>
    <row r="2015" spans="1:20" s="897" customFormat="1" ht="18" customHeight="1">
      <c r="A2015" s="693"/>
      <c r="B2015" s="895">
        <v>12</v>
      </c>
      <c r="C2015" s="721" t="str">
        <f>VLOOKUP(D2015,base_datos,6,FALSE)</f>
        <v>Rotulado por circuito.</v>
      </c>
      <c r="D2015" s="1579" t="s">
        <v>3067</v>
      </c>
      <c r="E2015" s="1580">
        <f>VLOOKUP(D2015,base_datos,5,FALSE)</f>
        <v>0.7</v>
      </c>
      <c r="F2015" s="1581">
        <f t="shared" si="1837"/>
        <v>8.3999999999999986</v>
      </c>
      <c r="G2015" s="1772"/>
      <c r="H2015" s="1772"/>
      <c r="I2015" s="1772"/>
      <c r="J2015" s="896"/>
      <c r="K2015" s="684">
        <f t="shared" si="1817"/>
        <v>1</v>
      </c>
      <c r="L2015" s="708">
        <v>1</v>
      </c>
      <c r="M2015" s="684">
        <f t="shared" si="1812"/>
        <v>12</v>
      </c>
      <c r="N2015" s="362" t="str">
        <f t="shared" si="1821"/>
        <v/>
      </c>
      <c r="O2015" s="1763" t="str">
        <f t="shared" si="1822"/>
        <v/>
      </c>
      <c r="P2015" s="1764" t="str">
        <f t="shared" si="1823"/>
        <v/>
      </c>
      <c r="Q2015" s="120" t="str">
        <f t="shared" si="1824"/>
        <v/>
      </c>
    </row>
    <row r="2016" spans="1:20" s="897" customFormat="1" ht="18" customHeight="1">
      <c r="A2016" s="693"/>
      <c r="B2016" s="895">
        <v>1</v>
      </c>
      <c r="C2016" s="721" t="str">
        <f>VLOOKUP(D2016,base_datos,6,FALSE)</f>
        <v>Rotulado para TAG - tablero de distribución.</v>
      </c>
      <c r="D2016" s="1579" t="s">
        <v>3066</v>
      </c>
      <c r="E2016" s="1580">
        <f>VLOOKUP(D2016,base_datos,5,FALSE)</f>
        <v>1.5</v>
      </c>
      <c r="F2016" s="1581">
        <f t="shared" si="1837"/>
        <v>1.5</v>
      </c>
      <c r="G2016" s="1772"/>
      <c r="H2016" s="1772"/>
      <c r="I2016" s="1772"/>
      <c r="J2016" s="896"/>
      <c r="K2016" s="684">
        <f t="shared" si="1817"/>
        <v>1</v>
      </c>
      <c r="L2016" s="708">
        <v>1</v>
      </c>
      <c r="M2016" s="684">
        <f t="shared" si="1812"/>
        <v>1</v>
      </c>
      <c r="N2016" s="362" t="str">
        <f t="shared" si="1821"/>
        <v/>
      </c>
      <c r="O2016" s="1763" t="str">
        <f t="shared" si="1822"/>
        <v/>
      </c>
      <c r="P2016" s="1764" t="str">
        <f t="shared" si="1823"/>
        <v/>
      </c>
      <c r="Q2016" s="120" t="str">
        <f t="shared" si="1824"/>
        <v/>
      </c>
    </row>
    <row r="2017" spans="1:18" s="1237" customFormat="1" ht="18" customHeight="1">
      <c r="A2017" s="1767"/>
      <c r="B2017" s="2093">
        <v>1</v>
      </c>
      <c r="C2017" s="694" t="s">
        <v>12552</v>
      </c>
      <c r="D2017" s="1888"/>
      <c r="E2017" s="1580">
        <f>E2019*15%</f>
        <v>28.5</v>
      </c>
      <c r="F2017" s="1581">
        <f t="shared" si="1837"/>
        <v>28.5</v>
      </c>
      <c r="G2017" s="1774"/>
      <c r="H2017" s="1774"/>
      <c r="I2017" s="1774"/>
      <c r="J2017" s="1181"/>
      <c r="K2017" s="684">
        <f t="shared" si="1817"/>
        <v>1</v>
      </c>
      <c r="L2017" s="708">
        <v>1</v>
      </c>
      <c r="M2017" s="709">
        <f t="shared" si="1812"/>
        <v>1</v>
      </c>
      <c r="N2017" s="362" t="str">
        <f t="shared" si="1821"/>
        <v/>
      </c>
      <c r="O2017" s="1763" t="str">
        <f t="shared" si="1822"/>
        <v/>
      </c>
      <c r="P2017" s="1764" t="str">
        <f t="shared" si="1823"/>
        <v/>
      </c>
      <c r="Q2017" s="120" t="str">
        <f t="shared" si="1824"/>
        <v/>
      </c>
      <c r="R2017" s="1765"/>
    </row>
    <row r="2018" spans="1:18" s="1237" customFormat="1" ht="18" customHeight="1">
      <c r="A2018" s="1767"/>
      <c r="B2018" s="1773">
        <v>1</v>
      </c>
      <c r="C2018" s="694" t="s">
        <v>12559</v>
      </c>
      <c r="D2018" s="1888"/>
      <c r="E2018" s="1999">
        <f>E2019*20%</f>
        <v>38</v>
      </c>
      <c r="F2018" s="1581">
        <f t="shared" si="1837"/>
        <v>38</v>
      </c>
      <c r="G2018" s="1774"/>
      <c r="H2018" s="1774"/>
      <c r="I2018" s="1774"/>
      <c r="J2018" s="1181"/>
      <c r="K2018" s="684">
        <f>+K2016</f>
        <v>1</v>
      </c>
      <c r="L2018" s="708">
        <v>1</v>
      </c>
      <c r="M2018" s="709">
        <f t="shared" si="1812"/>
        <v>1</v>
      </c>
      <c r="N2018" s="362" t="str">
        <f t="shared" si="1821"/>
        <v/>
      </c>
      <c r="O2018" s="1763" t="str">
        <f t="shared" si="1822"/>
        <v/>
      </c>
      <c r="P2018" s="1764" t="str">
        <f t="shared" si="1823"/>
        <v/>
      </c>
      <c r="Q2018" s="120" t="str">
        <f t="shared" si="1824"/>
        <v/>
      </c>
      <c r="R2018" s="1765"/>
    </row>
    <row r="2019" spans="1:18" s="1237" customFormat="1" ht="18" customHeight="1">
      <c r="A2019" s="1767"/>
      <c r="B2019" s="1773">
        <v>1</v>
      </c>
      <c r="C2019" s="694" t="s">
        <v>12532</v>
      </c>
      <c r="D2019" s="1888"/>
      <c r="E2019" s="1999">
        <v>190</v>
      </c>
      <c r="F2019" s="1581">
        <f t="shared" si="1837"/>
        <v>190</v>
      </c>
      <c r="G2019" s="1774"/>
      <c r="H2019" s="1774"/>
      <c r="I2019" s="1774"/>
      <c r="J2019" s="1181"/>
      <c r="K2019" s="684">
        <f>+K2015</f>
        <v>1</v>
      </c>
      <c r="L2019" s="708">
        <v>1</v>
      </c>
      <c r="M2019" s="684">
        <f t="shared" si="1812"/>
        <v>1</v>
      </c>
      <c r="N2019" s="362" t="str">
        <f t="shared" si="1821"/>
        <v/>
      </c>
      <c r="O2019" s="1763" t="str">
        <f t="shared" si="1822"/>
        <v/>
      </c>
      <c r="P2019" s="1764" t="str">
        <f t="shared" si="1823"/>
        <v/>
      </c>
      <c r="Q2019" s="120" t="str">
        <f t="shared" si="1824"/>
        <v/>
      </c>
      <c r="R2019" s="1765"/>
    </row>
    <row r="2020" spans="1:18" s="120" customFormat="1" ht="18" customHeight="1" thickBot="1">
      <c r="A2020" s="1855"/>
      <c r="B2020" s="1854"/>
      <c r="C2020" s="1797"/>
      <c r="D2020" s="1889"/>
      <c r="E2020" s="1981"/>
      <c r="F2020" s="1981"/>
      <c r="G2020" s="1798"/>
      <c r="H2020" s="1798"/>
      <c r="I2020" s="1798"/>
      <c r="J2020" s="1799"/>
      <c r="K2020" s="1788"/>
      <c r="L2020" s="363"/>
      <c r="M2020" s="684"/>
      <c r="N2020" s="362" t="str">
        <f t="shared" si="1821"/>
        <v/>
      </c>
      <c r="O2020" s="1763" t="str">
        <f t="shared" si="1822"/>
        <v/>
      </c>
      <c r="P2020" s="1764" t="str">
        <f t="shared" si="1823"/>
        <v/>
      </c>
      <c r="Q2020" s="120" t="str">
        <f t="shared" si="1824"/>
        <v/>
      </c>
      <c r="R2020" s="185"/>
    </row>
    <row r="2021" spans="1:18" s="120" customFormat="1" ht="18" customHeight="1" thickBot="1">
      <c r="A2021" s="1989">
        <v>34</v>
      </c>
      <c r="B2021" s="1852">
        <v>1</v>
      </c>
      <c r="C2021" s="1756" t="s">
        <v>12596</v>
      </c>
      <c r="D2021" s="1588"/>
      <c r="E2021" s="1589"/>
      <c r="F2021" s="1589"/>
      <c r="G2021" s="1757">
        <f>SUM(F2022:F2078)</f>
        <v>4204.43</v>
      </c>
      <c r="H2021" s="1758">
        <f>G2021*(1-$D$6)</f>
        <v>4204.43</v>
      </c>
      <c r="I2021" s="1757">
        <f>ROUNDUP(H2021*$D$5,0)</f>
        <v>14296</v>
      </c>
      <c r="J2021" s="1759">
        <f>+I2021*B2021</f>
        <v>14296</v>
      </c>
      <c r="K2021" s="1788">
        <f>B2021</f>
        <v>1</v>
      </c>
      <c r="L2021" s="363"/>
      <c r="M2021" s="684"/>
      <c r="N2021" s="362" t="str">
        <f t="shared" si="1821"/>
        <v/>
      </c>
      <c r="O2021" s="1763" t="str">
        <f t="shared" si="1822"/>
        <v/>
      </c>
      <c r="P2021" s="1764" t="str">
        <f t="shared" si="1823"/>
        <v/>
      </c>
      <c r="Q2021" s="120" t="str">
        <f t="shared" si="1824"/>
        <v/>
      </c>
      <c r="R2021" s="185"/>
    </row>
    <row r="2022" spans="1:18" s="120" customFormat="1" ht="18" customHeight="1">
      <c r="A2022" s="685" t="s">
        <v>3064</v>
      </c>
      <c r="B2022" s="1903"/>
      <c r="C2022" s="1890"/>
      <c r="D2022" s="1904"/>
      <c r="E2022" s="1789"/>
      <c r="F2022" s="1780"/>
      <c r="G2022" s="686"/>
      <c r="H2022" s="710"/>
      <c r="I2022" s="686"/>
      <c r="J2022" s="1768"/>
      <c r="K2022" s="684">
        <f t="shared" ref="K2022:K2026" si="1844">+K2021</f>
        <v>1</v>
      </c>
      <c r="L2022" s="363">
        <v>1</v>
      </c>
      <c r="M2022" s="709">
        <f t="shared" ref="M2022:M2036" si="1845">IF(B2022="",1,B2022)</f>
        <v>1</v>
      </c>
      <c r="N2022" s="362" t="str">
        <f t="shared" si="1821"/>
        <v/>
      </c>
      <c r="O2022" s="1763" t="str">
        <f t="shared" si="1822"/>
        <v/>
      </c>
      <c r="P2022" s="1764" t="str">
        <f t="shared" si="1823"/>
        <v/>
      </c>
      <c r="Q2022" s="120" t="str">
        <f t="shared" si="1824"/>
        <v/>
      </c>
    </row>
    <row r="2023" spans="1:18" s="315" customFormat="1" ht="12" customHeight="1">
      <c r="A2023" s="687" t="s">
        <v>4021</v>
      </c>
      <c r="B2023" s="2096">
        <v>1</v>
      </c>
      <c r="C2023" s="1907" t="s">
        <v>5103</v>
      </c>
      <c r="D2023" s="1935"/>
      <c r="E2023" s="1786"/>
      <c r="F2023" s="1908">
        <f>SUM(F2025:F2029)*(B2023-1)</f>
        <v>0</v>
      </c>
      <c r="G2023" s="712"/>
      <c r="H2023" s="712"/>
      <c r="I2023" s="712"/>
      <c r="J2023" s="713"/>
      <c r="K2023" s="684">
        <f t="shared" si="1844"/>
        <v>1</v>
      </c>
      <c r="L2023" s="1909">
        <f>B2023</f>
        <v>1</v>
      </c>
      <c r="M2023" s="684">
        <f t="shared" si="1845"/>
        <v>1</v>
      </c>
      <c r="N2023" s="362" t="str">
        <f t="shared" si="1821"/>
        <v/>
      </c>
      <c r="O2023" s="1763" t="str">
        <f t="shared" si="1822"/>
        <v/>
      </c>
      <c r="P2023" s="1764" t="str">
        <f t="shared" si="1823"/>
        <v/>
      </c>
      <c r="Q2023" s="120" t="str">
        <f t="shared" si="1824"/>
        <v/>
      </c>
    </row>
    <row r="2024" spans="1:18" s="185" customFormat="1">
      <c r="A2024" s="687" t="s">
        <v>4136</v>
      </c>
      <c r="B2024" s="1910">
        <v>3</v>
      </c>
      <c r="C2024" s="1911" t="str">
        <f>VLOOKUP(D2024,base_datos,6,FALSE)</f>
        <v>Portalámpara + lampara tipo LED - color Rojo - alimentacion: 220-230Vac, d=22mm. - CL2-523R - línea compacta - marca ABB.</v>
      </c>
      <c r="D2024" s="1790" t="s">
        <v>2439</v>
      </c>
      <c r="E2024" s="1939">
        <f>VLOOKUP(D2024,base_datos,5,FALSE)</f>
        <v>12.299999999999999</v>
      </c>
      <c r="F2024" s="1912">
        <f>+E2024*B2024</f>
        <v>36.9</v>
      </c>
      <c r="G2024" s="710"/>
      <c r="H2024" s="710"/>
      <c r="I2024" s="710"/>
      <c r="J2024" s="711"/>
      <c r="K2024" s="684">
        <f>+K2022</f>
        <v>1</v>
      </c>
      <c r="L2024" s="1913">
        <f>L2022</f>
        <v>1</v>
      </c>
      <c r="M2024" s="684">
        <f t="shared" si="1845"/>
        <v>3</v>
      </c>
      <c r="N2024" s="362">
        <f t="shared" si="1821"/>
        <v>3</v>
      </c>
      <c r="O2024" s="1763" t="str">
        <f t="shared" si="1822"/>
        <v>1SFA619403R5231</v>
      </c>
      <c r="P2024" s="1764" t="str">
        <f t="shared" si="1823"/>
        <v>Portalámpara + lampara tipo LED - color Rojo - alimentacion: 220-230Vac, d=22mm. - CL2-523R - línea compacta - marca ABB.</v>
      </c>
      <c r="Q2024" s="120" t="str">
        <f t="shared" si="1824"/>
        <v>LAMP_ROJO_220V</v>
      </c>
    </row>
    <row r="2025" spans="1:18" s="185" customFormat="1">
      <c r="A2025" s="687"/>
      <c r="B2025" s="1910">
        <v>3</v>
      </c>
      <c r="C2025" s="1911" t="str">
        <f>VLOOKUP(D2025,base_datos,6,FALSE)</f>
        <v>Portalámpara + lampara tipo LED - color Verde - alimentacion: 220-230Vac, d=22mm. - CL2-523G - línea compacta - marca ABB.</v>
      </c>
      <c r="D2025" s="1790" t="s">
        <v>2440</v>
      </c>
      <c r="E2025" s="1939">
        <f>VLOOKUP(D2025,base_datos,5,FALSE)</f>
        <v>12.299999999999999</v>
      </c>
      <c r="F2025" s="1912">
        <f>+E2025*B2025</f>
        <v>36.9</v>
      </c>
      <c r="G2025" s="710"/>
      <c r="H2025" s="710"/>
      <c r="I2025" s="710"/>
      <c r="J2025" s="711"/>
      <c r="K2025" s="684">
        <f>+K2023</f>
        <v>1</v>
      </c>
      <c r="L2025" s="1913">
        <f>L2023</f>
        <v>1</v>
      </c>
      <c r="M2025" s="684">
        <f t="shared" si="1845"/>
        <v>3</v>
      </c>
      <c r="N2025" s="362">
        <f t="shared" si="1821"/>
        <v>3</v>
      </c>
      <c r="O2025" s="1763" t="str">
        <f t="shared" si="1822"/>
        <v>1SFA619403R5232</v>
      </c>
      <c r="P2025" s="1764" t="str">
        <f t="shared" si="1823"/>
        <v>Portalámpara + lampara tipo LED - color Verde - alimentacion: 220-230Vac, d=22mm. - CL2-523G - línea compacta - marca ABB.</v>
      </c>
      <c r="Q2025" s="120" t="str">
        <f t="shared" si="1824"/>
        <v>LAMP_VERDE_220V</v>
      </c>
    </row>
    <row r="2026" spans="1:18" s="1921" customFormat="1">
      <c r="A2026" s="687" t="s">
        <v>12356</v>
      </c>
      <c r="B2026" s="1914">
        <v>1</v>
      </c>
      <c r="C2026" s="1915" t="s">
        <v>3366</v>
      </c>
      <c r="D2026" s="1916"/>
      <c r="E2026" s="1917"/>
      <c r="F2026" s="1918"/>
      <c r="G2026" s="1919"/>
      <c r="H2026" s="1919"/>
      <c r="I2026" s="1919"/>
      <c r="J2026" s="1920"/>
      <c r="K2026" s="684">
        <f t="shared" si="1844"/>
        <v>1</v>
      </c>
      <c r="L2026" s="1913">
        <f>L2025</f>
        <v>1</v>
      </c>
      <c r="M2026" s="684">
        <f t="shared" si="1845"/>
        <v>1</v>
      </c>
      <c r="N2026" s="362" t="str">
        <f t="shared" si="1821"/>
        <v/>
      </c>
      <c r="O2026" s="1763" t="str">
        <f t="shared" si="1822"/>
        <v/>
      </c>
      <c r="P2026" s="1764" t="str">
        <f t="shared" si="1823"/>
        <v/>
      </c>
      <c r="Q2026" s="120" t="str">
        <f t="shared" si="1824"/>
        <v/>
      </c>
    </row>
    <row r="2027" spans="1:18" s="320" customFormat="1">
      <c r="A2027" s="687" t="s">
        <v>12378</v>
      </c>
      <c r="B2027" s="1922">
        <v>1</v>
      </c>
      <c r="C2027" s="721" t="str">
        <f>VLOOKUP(D2027,base_datos,6,FALSE)</f>
        <v>Rele auxiliar enchufable +4NA/NC (D2PR4B + base D2PA6), 220Vac - marca EATON.</v>
      </c>
      <c r="D2027" s="1579" t="s">
        <v>772</v>
      </c>
      <c r="E2027" s="1581">
        <f>VLOOKUP(D2027,base_datos,5,FALSE)</f>
        <v>27</v>
      </c>
      <c r="F2027" s="1923">
        <f>+E2027*B2027</f>
        <v>27</v>
      </c>
      <c r="G2027" s="1924"/>
      <c r="H2027" s="1924"/>
      <c r="I2027" s="1924"/>
      <c r="J2027" s="722"/>
      <c r="K2027" s="684">
        <f>+K2024</f>
        <v>1</v>
      </c>
      <c r="L2027" s="1913">
        <f>L2024</f>
        <v>1</v>
      </c>
      <c r="M2027" s="684">
        <f t="shared" si="1845"/>
        <v>1</v>
      </c>
      <c r="N2027" s="362">
        <f t="shared" si="1821"/>
        <v>1</v>
      </c>
      <c r="O2027" s="1763" t="str">
        <f t="shared" si="1822"/>
        <v>D2PR4B+D2PA6</v>
      </c>
      <c r="P2027" s="1764" t="str">
        <f t="shared" si="1823"/>
        <v>Rele auxiliar enchufable +4NA/NC (D2PR4B + base D2PA6), 220Vac - marca EATON.</v>
      </c>
      <c r="Q2027" s="120" t="str">
        <f t="shared" si="1824"/>
        <v>D2PR4B+D2PA6</v>
      </c>
    </row>
    <row r="2028" spans="1:18" s="320" customFormat="1">
      <c r="A2028" s="1767"/>
      <c r="B2028" s="2131">
        <v>1</v>
      </c>
      <c r="C2028" s="2132" t="s">
        <v>12558</v>
      </c>
      <c r="D2028" s="2133"/>
      <c r="E2028" s="2134">
        <v>32</v>
      </c>
      <c r="F2028" s="2134">
        <f>+E2028*B2028</f>
        <v>32</v>
      </c>
      <c r="G2028" s="1924"/>
      <c r="H2028" s="1924"/>
      <c r="I2028" s="1924"/>
      <c r="J2028" s="722"/>
      <c r="K2028" s="684">
        <f t="shared" ref="K2028:K2078" si="1846">+K2025</f>
        <v>1</v>
      </c>
      <c r="L2028" s="1913">
        <f>L2025</f>
        <v>1</v>
      </c>
      <c r="M2028" s="684">
        <f t="shared" si="1845"/>
        <v>1</v>
      </c>
      <c r="N2028" s="362" t="str">
        <f t="shared" si="1821"/>
        <v/>
      </c>
      <c r="O2028" s="1763" t="str">
        <f t="shared" si="1822"/>
        <v/>
      </c>
      <c r="P2028" s="1764" t="str">
        <f t="shared" si="1823"/>
        <v/>
      </c>
      <c r="Q2028" s="120" t="str">
        <f t="shared" si="1824"/>
        <v/>
      </c>
    </row>
    <row r="2029" spans="1:18" s="320" customFormat="1">
      <c r="A2029" s="687" t="s">
        <v>12551</v>
      </c>
      <c r="B2029" s="1922">
        <v>4</v>
      </c>
      <c r="C2029" s="721" t="str">
        <f>VLOOKUP(D2029,base_datos,6,FALSE)</f>
        <v>Base portafusibles + Fusibles de protección para control.</v>
      </c>
      <c r="D2029" s="1579" t="s">
        <v>453</v>
      </c>
      <c r="E2029" s="1581">
        <f>VLOOKUP(D2029,base_datos,5,FALSE)</f>
        <v>8.1750000000000007</v>
      </c>
      <c r="F2029" s="1923">
        <f>+E2029*B2029</f>
        <v>32.700000000000003</v>
      </c>
      <c r="G2029" s="1924"/>
      <c r="H2029" s="1924"/>
      <c r="I2029" s="1924"/>
      <c r="J2029" s="722"/>
      <c r="K2029" s="684">
        <f t="shared" si="1846"/>
        <v>1</v>
      </c>
      <c r="L2029" s="1913">
        <f>L2026</f>
        <v>1</v>
      </c>
      <c r="M2029" s="684">
        <f t="shared" si="1845"/>
        <v>4</v>
      </c>
      <c r="N2029" s="362" t="str">
        <f t="shared" si="1821"/>
        <v/>
      </c>
      <c r="O2029" s="1763" t="str">
        <f t="shared" si="1822"/>
        <v/>
      </c>
      <c r="P2029" s="1764" t="str">
        <f t="shared" si="1823"/>
        <v/>
      </c>
      <c r="Q2029" s="120" t="str">
        <f t="shared" si="1824"/>
        <v/>
      </c>
    </row>
    <row r="2030" spans="1:18" s="315" customFormat="1">
      <c r="A2030" s="687" t="s">
        <v>3542</v>
      </c>
      <c r="B2030" s="1906"/>
      <c r="C2030" s="1907"/>
      <c r="D2030" s="1935"/>
      <c r="E2030" s="1786"/>
      <c r="F2030" s="1936"/>
      <c r="G2030" s="712"/>
      <c r="H2030" s="712"/>
      <c r="I2030" s="712"/>
      <c r="J2030" s="713"/>
      <c r="K2030" s="684">
        <f t="shared" si="1846"/>
        <v>1</v>
      </c>
      <c r="L2030" s="1909">
        <f>B2030</f>
        <v>0</v>
      </c>
      <c r="M2030" s="684">
        <f t="shared" si="1845"/>
        <v>1</v>
      </c>
      <c r="N2030" s="362" t="str">
        <f t="shared" si="1821"/>
        <v/>
      </c>
      <c r="O2030" s="1763" t="str">
        <f t="shared" si="1822"/>
        <v/>
      </c>
      <c r="P2030" s="1764" t="str">
        <f t="shared" si="1823"/>
        <v/>
      </c>
      <c r="Q2030" s="120" t="str">
        <f t="shared" si="1824"/>
        <v/>
      </c>
    </row>
    <row r="2031" spans="1:18" s="185" customFormat="1" ht="13.5" customHeight="1">
      <c r="A2031" s="1771"/>
      <c r="B2031" s="1922"/>
      <c r="C2031" s="1956" t="s">
        <v>12368</v>
      </c>
      <c r="D2031" s="1579"/>
      <c r="E2031" s="1957"/>
      <c r="F2031" s="1958"/>
      <c r="G2031" s="710"/>
      <c r="H2031" s="710"/>
      <c r="I2031" s="710"/>
      <c r="J2031" s="711"/>
      <c r="K2031" s="684">
        <f t="shared" si="1846"/>
        <v>1</v>
      </c>
      <c r="L2031" s="708">
        <v>1</v>
      </c>
      <c r="M2031" s="684">
        <f t="shared" si="1845"/>
        <v>1</v>
      </c>
      <c r="N2031" s="362" t="str">
        <f t="shared" si="1821"/>
        <v/>
      </c>
      <c r="O2031" s="1763" t="str">
        <f t="shared" si="1822"/>
        <v/>
      </c>
      <c r="P2031" s="1764" t="str">
        <f t="shared" si="1823"/>
        <v/>
      </c>
      <c r="Q2031" s="120" t="str">
        <f t="shared" si="1824"/>
        <v/>
      </c>
    </row>
    <row r="2032" spans="1:18" s="120" customFormat="1" ht="18" customHeight="1">
      <c r="A2032" s="693"/>
      <c r="B2032" s="1779">
        <v>6</v>
      </c>
      <c r="C2032" s="1892" t="str">
        <f>VLOOKUP(D2032,base_datos,6,FALSE)</f>
        <v>Transformador de tensión monofásico 480 / 240 Vac - 50VA.</v>
      </c>
      <c r="D2032" s="1898" t="s">
        <v>8587</v>
      </c>
      <c r="E2032" s="1581">
        <f>VLOOKUP(D2032,base_datos,5,FALSE)</f>
        <v>76.8</v>
      </c>
      <c r="F2032" s="1581">
        <f>+E2032*B2032</f>
        <v>460.79999999999995</v>
      </c>
      <c r="G2032" s="686"/>
      <c r="H2032" s="686"/>
      <c r="I2032" s="686"/>
      <c r="J2032" s="1768"/>
      <c r="K2032" s="684">
        <f t="shared" si="1846"/>
        <v>1</v>
      </c>
      <c r="L2032" s="708">
        <v>1</v>
      </c>
      <c r="M2032" s="709">
        <f t="shared" si="1845"/>
        <v>6</v>
      </c>
      <c r="N2032" s="362" t="str">
        <f t="shared" si="1821"/>
        <v/>
      </c>
      <c r="O2032" s="1763" t="str">
        <f t="shared" si="1822"/>
        <v/>
      </c>
      <c r="P2032" s="1764" t="str">
        <f t="shared" si="1823"/>
        <v/>
      </c>
      <c r="Q2032" s="120" t="str">
        <f t="shared" si="1824"/>
        <v/>
      </c>
      <c r="R2032" s="185"/>
    </row>
    <row r="2033" spans="1:18" s="120" customFormat="1" ht="18" customHeight="1">
      <c r="A2033" s="1931"/>
      <c r="B2033" s="1925"/>
      <c r="C2033" s="1926" t="s">
        <v>729</v>
      </c>
      <c r="D2033" s="1927"/>
      <c r="E2033" s="1891"/>
      <c r="F2033" s="1789"/>
      <c r="G2033" s="686"/>
      <c r="H2033" s="686"/>
      <c r="I2033" s="686"/>
      <c r="J2033" s="1768"/>
      <c r="K2033" s="684">
        <f t="shared" si="1846"/>
        <v>1</v>
      </c>
      <c r="L2033" s="363">
        <v>1</v>
      </c>
      <c r="M2033" s="709">
        <f t="shared" si="1845"/>
        <v>1</v>
      </c>
      <c r="N2033" s="362" t="str">
        <f t="shared" si="1821"/>
        <v/>
      </c>
      <c r="O2033" s="1763" t="str">
        <f t="shared" si="1822"/>
        <v/>
      </c>
      <c r="P2033" s="1764" t="str">
        <f t="shared" si="1823"/>
        <v/>
      </c>
      <c r="Q2033" s="120" t="str">
        <f t="shared" si="1824"/>
        <v/>
      </c>
    </row>
    <row r="2034" spans="1:18" s="120" customFormat="1" ht="18" customHeight="1">
      <c r="A2034" s="691"/>
      <c r="B2034" s="1781"/>
      <c r="C2034" s="1218" t="s">
        <v>3158</v>
      </c>
      <c r="D2034" s="1900"/>
      <c r="E2034" s="1791"/>
      <c r="F2034" s="1782"/>
      <c r="G2034" s="686"/>
      <c r="H2034" s="686"/>
      <c r="I2034" s="686"/>
      <c r="J2034" s="688"/>
      <c r="K2034" s="684">
        <f t="shared" si="1846"/>
        <v>1</v>
      </c>
      <c r="L2034" s="708">
        <v>1</v>
      </c>
      <c r="M2034" s="709">
        <f t="shared" si="1845"/>
        <v>1</v>
      </c>
      <c r="N2034" s="362" t="str">
        <f t="shared" si="1821"/>
        <v/>
      </c>
      <c r="O2034" s="1763" t="str">
        <f t="shared" si="1822"/>
        <v/>
      </c>
      <c r="P2034" s="1764" t="str">
        <f t="shared" si="1823"/>
        <v/>
      </c>
      <c r="Q2034" s="120" t="str">
        <f t="shared" si="1824"/>
        <v/>
      </c>
      <c r="R2034" s="185"/>
    </row>
    <row r="2035" spans="1:18" s="690" customFormat="1" ht="18" customHeight="1">
      <c r="A2035" s="687"/>
      <c r="B2035" s="1781">
        <v>1</v>
      </c>
      <c r="C2035" s="1420" t="str">
        <f>VLOOKUP(D2035,base_datos,6,FALSE)</f>
        <v>ITM Caja Moldeada 3x40A (reg.[0.7-1.0] In) - XT2N160-40A-3P-TMA - 65kA@230Vac, 36kA@415Vac - marca ABB.</v>
      </c>
      <c r="D2035" s="1901" t="s">
        <v>863</v>
      </c>
      <c r="E2035" s="1791">
        <f>VLOOKUP(D2035,base_datos,5,FALSE)</f>
        <v>207</v>
      </c>
      <c r="F2035" s="1782">
        <f>+E2035*B2035</f>
        <v>207</v>
      </c>
      <c r="G2035" s="1761"/>
      <c r="H2035" s="1761"/>
      <c r="I2035" s="1761"/>
      <c r="J2035" s="689"/>
      <c r="K2035" s="684">
        <f t="shared" si="1846"/>
        <v>1</v>
      </c>
      <c r="L2035" s="708">
        <v>1</v>
      </c>
      <c r="M2035" s="709">
        <f t="shared" si="1845"/>
        <v>1</v>
      </c>
      <c r="N2035" s="362">
        <f t="shared" si="1821"/>
        <v>1</v>
      </c>
      <c r="O2035" s="1763" t="str">
        <f t="shared" si="1822"/>
        <v>1SDA067014R1</v>
      </c>
      <c r="P2035" s="1764" t="str">
        <f t="shared" si="1823"/>
        <v>ITM Caja Moldeada 3x40A (reg.[0.7-1.0] In) - XT2N160-40A-3P-TMA - 65kA@230Vac, 36kA@415Vac - marca ABB.</v>
      </c>
      <c r="Q2035" s="120" t="str">
        <f t="shared" si="1824"/>
        <v>XT2N160-40A-3P-TMA</v>
      </c>
      <c r="R2035" s="185"/>
    </row>
    <row r="2036" spans="1:18" s="320" customFormat="1">
      <c r="A2036" s="687"/>
      <c r="B2036" s="1929">
        <v>1</v>
      </c>
      <c r="C2036" s="1930" t="str">
        <f t="shared" ref="C2036" si="1847">VLOOKUP(D2036,base_datos,6,FALSE)</f>
        <v>FC-CuAl_XT2 - Terminales + Cubrebornes - cables de cobre/aluminio hasta 1x185mm2 - 3 terminales (externos)</v>
      </c>
      <c r="D2036" s="1938" t="s">
        <v>957</v>
      </c>
      <c r="E2036" s="1580">
        <f t="shared" ref="E2036" si="1848">VLOOKUP(D2036,base_datos,5,FALSE)</f>
        <v>69.36</v>
      </c>
      <c r="F2036" s="1581">
        <f t="shared" ref="F2036" si="1849">+E2036*B2036</f>
        <v>69.36</v>
      </c>
      <c r="G2036" s="1924"/>
      <c r="H2036" s="1924"/>
      <c r="I2036" s="1924"/>
      <c r="J2036" s="722"/>
      <c r="K2036" s="684">
        <f t="shared" si="1846"/>
        <v>1</v>
      </c>
      <c r="L2036" s="708">
        <v>1</v>
      </c>
      <c r="M2036" s="709">
        <f t="shared" si="1845"/>
        <v>1</v>
      </c>
      <c r="N2036" s="362">
        <f t="shared" ref="N2036" si="1850">IF(O2036&lt;&gt;"",K2036*L2036*M2036,"")</f>
        <v>1</v>
      </c>
      <c r="O2036" s="1763" t="str">
        <f t="shared" ref="O2036" si="1851">IF(D2036&lt;&gt;"",IF(VLOOKUP(D2036,base_datos,7,FALSE)&lt;&gt;"",VLOOKUP(D2036,base_datos,7,FALSE),""),"")</f>
        <v>1SDA067167R1</v>
      </c>
      <c r="P2036" s="1764" t="str">
        <f t="shared" ref="P2036" si="1852">IF(O2036&lt;&gt;"",VLOOKUP(D2036,base_datos,6,FALSE),"")</f>
        <v>FC-CuAl_XT2 - Terminales + Cubrebornes - cables de cobre/aluminio hasta 1x185mm2 - 3 terminales (externos)</v>
      </c>
      <c r="Q2036" s="120" t="str">
        <f t="shared" ref="Q2036" si="1853">IF(O2036&lt;&gt;"",D2036,"")</f>
        <v>FC-CuAl_XT2_3t</v>
      </c>
    </row>
    <row r="2037" spans="1:18" s="185" customFormat="1">
      <c r="A2037" s="687"/>
      <c r="B2037" s="714"/>
      <c r="C2037" s="313" t="s">
        <v>729</v>
      </c>
      <c r="D2037" s="173"/>
      <c r="E2037" s="1786"/>
      <c r="F2037" s="1787"/>
      <c r="G2037" s="710"/>
      <c r="H2037" s="710"/>
      <c r="I2037" s="710"/>
      <c r="J2037" s="711"/>
      <c r="K2037" s="684">
        <f t="shared" si="1846"/>
        <v>1</v>
      </c>
      <c r="L2037" s="708">
        <v>1</v>
      </c>
      <c r="M2037" s="709">
        <f>IF(B2037="",1,B2037)</f>
        <v>1</v>
      </c>
      <c r="N2037" s="362" t="str">
        <f t="shared" si="1821"/>
        <v/>
      </c>
      <c r="O2037" s="1763" t="str">
        <f t="shared" si="1822"/>
        <v/>
      </c>
      <c r="P2037" s="1764" t="str">
        <f t="shared" si="1823"/>
        <v/>
      </c>
      <c r="Q2037" s="120" t="str">
        <f t="shared" si="1824"/>
        <v/>
      </c>
    </row>
    <row r="2038" spans="1:18" s="315" customFormat="1">
      <c r="A2038" s="687"/>
      <c r="B2038" s="1932">
        <v>2</v>
      </c>
      <c r="C2038" s="1933" t="str">
        <f t="shared" ref="C2038" si="1854">VLOOKUP(D2038,base_datos,6,FALSE)</f>
        <v>2(Q) contacto conmutado de estado (NA/NC) + 1(SY) contacto por disparo de interruptor - XT1..XT4 - versión cableada - marca ABB.</v>
      </c>
      <c r="D2038" s="1790" t="s">
        <v>3244</v>
      </c>
      <c r="E2038" s="1939">
        <f t="shared" ref="E2038" si="1855">VLOOKUP(D2038,base_datos,5,FALSE)</f>
        <v>132.1</v>
      </c>
      <c r="F2038" s="1940">
        <f t="shared" ref="F2038" si="1856">+E2038*B2038</f>
        <v>264.2</v>
      </c>
      <c r="G2038" s="712"/>
      <c r="H2038" s="712"/>
      <c r="I2038" s="712"/>
      <c r="J2038" s="713"/>
      <c r="K2038" s="684">
        <f t="shared" si="1846"/>
        <v>1</v>
      </c>
      <c r="L2038" s="708">
        <v>1</v>
      </c>
      <c r="M2038" s="709">
        <f t="shared" ref="M2038" si="1857">IF(B2038="",1,B2038)</f>
        <v>2</v>
      </c>
      <c r="N2038" s="362">
        <f t="shared" si="1821"/>
        <v>2</v>
      </c>
      <c r="O2038" s="1763" t="str">
        <f t="shared" si="1822"/>
        <v>1SDA066433R1</v>
      </c>
      <c r="P2038" s="1764" t="str">
        <f t="shared" si="1823"/>
        <v>2(Q) contacto conmutado de estado (NA/NC) + 1(SY) contacto por disparo de interruptor - XT1..XT4 - versión cableada - marca ABB.</v>
      </c>
      <c r="Q2038" s="120" t="str">
        <f t="shared" si="1824"/>
        <v>2Q+1SY_XT1..XT4</v>
      </c>
    </row>
    <row r="2039" spans="1:18" s="185" customFormat="1">
      <c r="A2039" s="1771"/>
      <c r="B2039" s="714"/>
      <c r="C2039" s="313" t="s">
        <v>729</v>
      </c>
      <c r="D2039" s="173"/>
      <c r="E2039" s="1786"/>
      <c r="F2039" s="1787"/>
      <c r="G2039" s="710"/>
      <c r="H2039" s="710"/>
      <c r="I2039" s="710"/>
      <c r="J2039" s="711"/>
      <c r="K2039" s="684">
        <f t="shared" si="1846"/>
        <v>1</v>
      </c>
      <c r="L2039" s="708">
        <v>1</v>
      </c>
      <c r="M2039" s="709">
        <f>IF(B2039="",1,B2039)</f>
        <v>1</v>
      </c>
      <c r="N2039" s="362" t="str">
        <f t="shared" si="1821"/>
        <v/>
      </c>
      <c r="O2039" s="1763" t="str">
        <f t="shared" si="1822"/>
        <v/>
      </c>
      <c r="P2039" s="1764" t="str">
        <f t="shared" si="1823"/>
        <v/>
      </c>
      <c r="Q2039" s="120" t="str">
        <f t="shared" si="1824"/>
        <v/>
      </c>
    </row>
    <row r="2040" spans="1:18" s="1766" customFormat="1" ht="18" customHeight="1">
      <c r="A2040" s="687"/>
      <c r="B2040" s="1769"/>
      <c r="C2040" s="1770" t="s">
        <v>11663</v>
      </c>
      <c r="D2040" s="1901"/>
      <c r="E2040" s="1581"/>
      <c r="F2040" s="1581"/>
      <c r="G2040" s="1761"/>
      <c r="H2040" s="1761"/>
      <c r="I2040" s="1761"/>
      <c r="J2040" s="1762"/>
      <c r="K2040" s="684">
        <f t="shared" si="1846"/>
        <v>1</v>
      </c>
      <c r="L2040" s="708">
        <v>1</v>
      </c>
      <c r="M2040" s="709">
        <f t="shared" ref="M2040:M2050" si="1858">IF(B2040="",1,B2040)</f>
        <v>1</v>
      </c>
      <c r="N2040" s="362" t="str">
        <f t="shared" si="1821"/>
        <v/>
      </c>
      <c r="O2040" s="1763" t="str">
        <f t="shared" si="1822"/>
        <v/>
      </c>
      <c r="P2040" s="1764" t="str">
        <f t="shared" si="1823"/>
        <v/>
      </c>
      <c r="Q2040" s="120" t="str">
        <f t="shared" si="1824"/>
        <v/>
      </c>
      <c r="R2040" s="1765"/>
    </row>
    <row r="2041" spans="1:18" s="1766" customFormat="1" ht="18" customHeight="1">
      <c r="A2041" s="687"/>
      <c r="B2041" s="1760">
        <v>1</v>
      </c>
      <c r="C2041" s="1892" t="str">
        <f t="shared" ref="C2041:C2045" si="1859">VLOOKUP(D2041,base_datos,6,FALSE)</f>
        <v>Analizador de Redes DIRIS-A30 - precisión (V, I) 0.2%, precisión de energía activa / reactiva: clase 0,5S / clase 2 - marca SOCOMEC.</v>
      </c>
      <c r="D2041" s="1898" t="s">
        <v>12164</v>
      </c>
      <c r="E2041" s="1581">
        <f t="shared" ref="E2041:E2045" si="1860">VLOOKUP(D2041,base_datos,5,FALSE)</f>
        <v>633.64</v>
      </c>
      <c r="F2041" s="1581">
        <f t="shared" ref="F2041:F2045" si="1861">+E2041*B2041</f>
        <v>633.64</v>
      </c>
      <c r="G2041" s="1761"/>
      <c r="H2041" s="1761"/>
      <c r="I2041" s="1761"/>
      <c r="J2041" s="1762"/>
      <c r="K2041" s="684">
        <f t="shared" si="1846"/>
        <v>1</v>
      </c>
      <c r="L2041" s="708">
        <v>1</v>
      </c>
      <c r="M2041" s="709">
        <f t="shared" si="1858"/>
        <v>1</v>
      </c>
      <c r="N2041" s="362">
        <f t="shared" si="1821"/>
        <v>1</v>
      </c>
      <c r="O2041" s="1763" t="str">
        <f t="shared" si="1822"/>
        <v>4825 0403</v>
      </c>
      <c r="P2041" s="1764" t="str">
        <f t="shared" si="1823"/>
        <v>Analizador de Redes DIRIS-A30 - precisión (V, I) 0.2%, precisión de energía activa / reactiva: clase 0,5S / clase 2 - marca SOCOMEC.</v>
      </c>
      <c r="Q2041" s="120" t="str">
        <f t="shared" si="1824"/>
        <v>DIRIS-A30</v>
      </c>
      <c r="R2041" s="1765"/>
    </row>
    <row r="2042" spans="1:18" s="1766" customFormat="1" ht="18" customHeight="1">
      <c r="A2042" s="687"/>
      <c r="B2042" s="1760">
        <v>1</v>
      </c>
      <c r="C2042" s="1990" t="str">
        <f t="shared" si="1859"/>
        <v>Módulo de comunicación RS 485 MODBUS, para Analizador de Red, DIRIS-A30, marca SOCOMEC.</v>
      </c>
      <c r="D2042" s="144" t="s">
        <v>12166</v>
      </c>
      <c r="E2042" s="1581">
        <f t="shared" si="1860"/>
        <v>115.64</v>
      </c>
      <c r="F2042" s="1581">
        <f t="shared" si="1861"/>
        <v>115.64</v>
      </c>
      <c r="G2042" s="1761"/>
      <c r="H2042" s="1761"/>
      <c r="I2042" s="1761"/>
      <c r="J2042" s="1762"/>
      <c r="K2042" s="684">
        <f t="shared" si="1846"/>
        <v>1</v>
      </c>
      <c r="L2042" s="708">
        <v>1</v>
      </c>
      <c r="M2042" s="709">
        <f t="shared" si="1858"/>
        <v>1</v>
      </c>
      <c r="N2042" s="362">
        <f t="shared" si="1821"/>
        <v>1</v>
      </c>
      <c r="O2042" s="1763" t="str">
        <f t="shared" si="1822"/>
        <v>4825 0092</v>
      </c>
      <c r="P2042" s="1764" t="str">
        <f t="shared" si="1823"/>
        <v>Módulo de comunicación RS 485 MODBUS, para Analizador de Red, DIRIS-A30, marca SOCOMEC.</v>
      </c>
      <c r="Q2042" s="120" t="str">
        <f t="shared" si="1824"/>
        <v>DIRIS-A30/Com</v>
      </c>
      <c r="R2042" s="1765"/>
    </row>
    <row r="2043" spans="1:18" s="1766" customFormat="1" ht="18" customHeight="1">
      <c r="A2043" s="687"/>
      <c r="B2043" s="1760">
        <f>3*B2041</f>
        <v>3</v>
      </c>
      <c r="C2043" s="1892" t="str">
        <f t="shared" si="1859"/>
        <v>Transformador de corriente de 50/5A</v>
      </c>
      <c r="D2043" s="1899" t="s">
        <v>8260</v>
      </c>
      <c r="E2043" s="1581">
        <f t="shared" si="1860"/>
        <v>65</v>
      </c>
      <c r="F2043" s="1581">
        <f t="shared" si="1861"/>
        <v>195</v>
      </c>
      <c r="G2043" s="1761"/>
      <c r="H2043" s="1761"/>
      <c r="I2043" s="1761"/>
      <c r="J2043" s="1762"/>
      <c r="K2043" s="684">
        <f t="shared" si="1846"/>
        <v>1</v>
      </c>
      <c r="L2043" s="708">
        <v>1</v>
      </c>
      <c r="M2043" s="709">
        <f t="shared" si="1858"/>
        <v>3</v>
      </c>
      <c r="N2043" s="362" t="str">
        <f t="shared" si="1821"/>
        <v/>
      </c>
      <c r="O2043" s="1763" t="str">
        <f t="shared" si="1822"/>
        <v/>
      </c>
      <c r="P2043" s="1764" t="str">
        <f t="shared" si="1823"/>
        <v/>
      </c>
      <c r="Q2043" s="120" t="str">
        <f t="shared" si="1824"/>
        <v/>
      </c>
      <c r="R2043" s="1765"/>
    </row>
    <row r="2044" spans="1:18" s="1766" customFormat="1" ht="18" customHeight="1">
      <c r="A2044" s="687"/>
      <c r="B2044" s="1760">
        <f>5*B2041</f>
        <v>5</v>
      </c>
      <c r="C2044" s="1892" t="str">
        <f t="shared" si="1859"/>
        <v>Base portafusibles + Fusibles de protección para control.</v>
      </c>
      <c r="D2044" s="1899" t="s">
        <v>453</v>
      </c>
      <c r="E2044" s="1581">
        <f t="shared" si="1860"/>
        <v>8.1750000000000007</v>
      </c>
      <c r="F2044" s="1581">
        <f t="shared" si="1861"/>
        <v>40.875</v>
      </c>
      <c r="G2044" s="1761"/>
      <c r="H2044" s="1761"/>
      <c r="I2044" s="1761"/>
      <c r="J2044" s="1762"/>
      <c r="K2044" s="684">
        <f t="shared" si="1846"/>
        <v>1</v>
      </c>
      <c r="L2044" s="708">
        <v>1</v>
      </c>
      <c r="M2044" s="709">
        <f t="shared" si="1858"/>
        <v>5</v>
      </c>
      <c r="N2044" s="362" t="str">
        <f t="shared" si="1821"/>
        <v/>
      </c>
      <c r="O2044" s="1763" t="str">
        <f t="shared" si="1822"/>
        <v/>
      </c>
      <c r="P2044" s="1764" t="str">
        <f t="shared" si="1823"/>
        <v/>
      </c>
      <c r="Q2044" s="120" t="str">
        <f t="shared" si="1824"/>
        <v/>
      </c>
      <c r="R2044" s="1765"/>
    </row>
    <row r="2045" spans="1:18" s="1766" customFormat="1" ht="18" customHeight="1">
      <c r="A2045" s="1771"/>
      <c r="B2045" s="1760">
        <f>6*B2041</f>
        <v>6</v>
      </c>
      <c r="C2045" s="1892" t="str">
        <f t="shared" si="1859"/>
        <v>Bornes seccionables de corriente.</v>
      </c>
      <c r="D2045" s="1899" t="s">
        <v>435</v>
      </c>
      <c r="E2045" s="1581">
        <f t="shared" si="1860"/>
        <v>12</v>
      </c>
      <c r="F2045" s="1581">
        <f t="shared" si="1861"/>
        <v>72</v>
      </c>
      <c r="G2045" s="1761"/>
      <c r="H2045" s="1761"/>
      <c r="I2045" s="1761"/>
      <c r="J2045" s="1762"/>
      <c r="K2045" s="684">
        <f t="shared" si="1846"/>
        <v>1</v>
      </c>
      <c r="L2045" s="708">
        <v>1</v>
      </c>
      <c r="M2045" s="709">
        <f t="shared" si="1858"/>
        <v>6</v>
      </c>
      <c r="N2045" s="362" t="str">
        <f t="shared" si="1821"/>
        <v/>
      </c>
      <c r="O2045" s="1763" t="str">
        <f t="shared" si="1822"/>
        <v/>
      </c>
      <c r="P2045" s="1764" t="str">
        <f t="shared" si="1823"/>
        <v/>
      </c>
      <c r="Q2045" s="120" t="str">
        <f t="shared" si="1824"/>
        <v/>
      </c>
      <c r="R2045" s="1765"/>
    </row>
    <row r="2046" spans="1:18" s="185" customFormat="1" ht="18" customHeight="1">
      <c r="A2046" s="693"/>
      <c r="B2046" s="714"/>
      <c r="C2046" s="1893" t="s">
        <v>729</v>
      </c>
      <c r="D2046" s="173"/>
      <c r="E2046" s="1581"/>
      <c r="F2046" s="1581"/>
      <c r="G2046" s="710"/>
      <c r="H2046" s="710"/>
      <c r="I2046" s="710"/>
      <c r="J2046" s="711"/>
      <c r="K2046" s="684">
        <f t="shared" si="1846"/>
        <v>1</v>
      </c>
      <c r="L2046" s="708">
        <v>1</v>
      </c>
      <c r="M2046" s="709">
        <f t="shared" si="1858"/>
        <v>1</v>
      </c>
      <c r="N2046" s="362" t="str">
        <f t="shared" si="1821"/>
        <v/>
      </c>
      <c r="O2046" s="1763" t="str">
        <f t="shared" si="1822"/>
        <v/>
      </c>
      <c r="P2046" s="1764" t="str">
        <f t="shared" si="1823"/>
        <v/>
      </c>
      <c r="Q2046" s="120" t="str">
        <f t="shared" si="1824"/>
        <v/>
      </c>
      <c r="R2046" s="1765"/>
    </row>
    <row r="2047" spans="1:18" s="690" customFormat="1" ht="18" customHeight="1">
      <c r="A2047" s="1767"/>
      <c r="B2047" s="1851"/>
      <c r="C2047" s="1894" t="s">
        <v>3377</v>
      </c>
      <c r="D2047" s="1582"/>
      <c r="E2047" s="1780"/>
      <c r="F2047" s="1782"/>
      <c r="G2047" s="1761"/>
      <c r="H2047" s="1761"/>
      <c r="I2047" s="1761"/>
      <c r="J2047" s="689"/>
      <c r="K2047" s="684">
        <f t="shared" si="1846"/>
        <v>1</v>
      </c>
      <c r="L2047" s="708">
        <v>1</v>
      </c>
      <c r="M2047" s="709">
        <f t="shared" si="1858"/>
        <v>1</v>
      </c>
      <c r="N2047" s="362" t="str">
        <f t="shared" si="1821"/>
        <v/>
      </c>
      <c r="O2047" s="1763" t="str">
        <f t="shared" si="1822"/>
        <v/>
      </c>
      <c r="P2047" s="1764" t="str">
        <f t="shared" si="1823"/>
        <v/>
      </c>
      <c r="Q2047" s="120" t="str">
        <f t="shared" si="1824"/>
        <v/>
      </c>
      <c r="R2047" s="185"/>
    </row>
    <row r="2048" spans="1:18" s="690" customFormat="1" ht="18" customHeight="1">
      <c r="A2048" s="1767"/>
      <c r="B2048" s="1781">
        <v>1</v>
      </c>
      <c r="C2048" s="1420" t="str">
        <f t="shared" ref="C2048" si="1862">VLOOKUP(D2048,base_datos,6,FALSE)</f>
        <v>ITM Caja Moldeada 3x40A (reg.[0.7-1.0] In) - XT2N160-40A-3P-TMA - 65kA@230Vac, 36kA@415Vac - marca ABB.</v>
      </c>
      <c r="D2048" s="1901" t="s">
        <v>863</v>
      </c>
      <c r="E2048" s="1791">
        <f>VLOOKUP(D2048,base_datos,5,FALSE)</f>
        <v>207</v>
      </c>
      <c r="F2048" s="1782">
        <f t="shared" ref="F2048" si="1863">+E2048*B2048</f>
        <v>207</v>
      </c>
      <c r="G2048" s="1951"/>
      <c r="H2048" s="1761"/>
      <c r="I2048" s="1761"/>
      <c r="J2048" s="1783"/>
      <c r="K2048" s="684">
        <f t="shared" si="1846"/>
        <v>1</v>
      </c>
      <c r="L2048" s="708">
        <v>1</v>
      </c>
      <c r="M2048" s="709">
        <f t="shared" ref="M2048" si="1864">IF(B2048="",1,B2048)</f>
        <v>1</v>
      </c>
      <c r="N2048" s="362">
        <f t="shared" ref="N2048" si="1865">IF(O2048&lt;&gt;"",K2048*L2048*M2048,"")</f>
        <v>1</v>
      </c>
      <c r="O2048" s="1763" t="str">
        <f t="shared" ref="O2048" si="1866">IF(D2048&lt;&gt;"",IF(VLOOKUP(D2048,base_datos,7,FALSE)&lt;&gt;"",VLOOKUP(D2048,base_datos,7,FALSE),""),"")</f>
        <v>1SDA067014R1</v>
      </c>
      <c r="P2048" s="1764" t="str">
        <f t="shared" ref="P2048" si="1867">IF(O2048&lt;&gt;"",VLOOKUP(D2048,base_datos,6,FALSE),"")</f>
        <v>ITM Caja Moldeada 3x40A (reg.[0.7-1.0] In) - XT2N160-40A-3P-TMA - 65kA@230Vac, 36kA@415Vac - marca ABB.</v>
      </c>
      <c r="Q2048" s="120" t="str">
        <f t="shared" ref="Q2048" si="1868">IF(O2048&lt;&gt;"",D2048,"")</f>
        <v>XT2N160-40A-3P-TMA</v>
      </c>
      <c r="R2048" s="185"/>
    </row>
    <row r="2049" spans="1:20" s="690" customFormat="1" ht="18" customHeight="1">
      <c r="A2049" s="1767"/>
      <c r="B2049" s="1781">
        <v>1</v>
      </c>
      <c r="C2049" s="1420" t="str">
        <f t="shared" ref="C2049:C2050" si="1869">VLOOKUP(D2049,base_datos,6,FALSE)</f>
        <v>ITM Caja Moldeada 3x20A (reg.[0.7-1.0] In) - XT2N160-20A-3P-TMD - 65kA@230Vac, 36kA@415Vac - marca ABB.</v>
      </c>
      <c r="D2049" s="1901" t="s">
        <v>1331</v>
      </c>
      <c r="E2049" s="1791">
        <f>VLOOKUP(D2049,base_datos,5,FALSE)</f>
        <v>201.76999999999998</v>
      </c>
      <c r="F2049" s="1782">
        <f t="shared" ref="F2049:F2050" si="1870">+E2049*B2049</f>
        <v>201.76999999999998</v>
      </c>
      <c r="G2049" s="1951"/>
      <c r="H2049" s="1761"/>
      <c r="I2049" s="1761"/>
      <c r="J2049" s="1783"/>
      <c r="K2049" s="684">
        <f t="shared" si="1846"/>
        <v>1</v>
      </c>
      <c r="L2049" s="708">
        <v>1</v>
      </c>
      <c r="M2049" s="709">
        <f t="shared" si="1858"/>
        <v>1</v>
      </c>
      <c r="N2049" s="362">
        <f t="shared" si="1821"/>
        <v>1</v>
      </c>
      <c r="O2049" s="1763" t="str">
        <f t="shared" si="1822"/>
        <v>1SDA067011R1</v>
      </c>
      <c r="P2049" s="1764" t="str">
        <f t="shared" si="1823"/>
        <v>ITM Caja Moldeada 3x20A (reg.[0.7-1.0] In) - XT2N160-20A-3P-TMD - 65kA@230Vac, 36kA@415Vac - marca ABB.</v>
      </c>
      <c r="Q2049" s="120" t="str">
        <f t="shared" si="1824"/>
        <v>XT2N160-20A-3P-TMD</v>
      </c>
      <c r="R2049" s="185"/>
    </row>
    <row r="2050" spans="1:20" s="690" customFormat="1" ht="18" customHeight="1">
      <c r="A2050" s="1767"/>
      <c r="B2050" s="1781">
        <v>2</v>
      </c>
      <c r="C2050" s="1420" t="str">
        <f t="shared" si="1869"/>
        <v>Espacio de reserva trifásica - Caja moldeada.</v>
      </c>
      <c r="D2050" s="1901" t="s">
        <v>2932</v>
      </c>
      <c r="E2050" s="1791">
        <f>VLOOKUP(D2050,base_datos,5,FALSE)</f>
        <v>15</v>
      </c>
      <c r="F2050" s="1782">
        <f t="shared" si="1870"/>
        <v>30</v>
      </c>
      <c r="G2050" s="1761"/>
      <c r="H2050" s="1761"/>
      <c r="I2050" s="1761"/>
      <c r="J2050" s="1783"/>
      <c r="K2050" s="684">
        <f t="shared" si="1846"/>
        <v>1</v>
      </c>
      <c r="L2050" s="708">
        <v>1</v>
      </c>
      <c r="M2050" s="709">
        <f t="shared" si="1858"/>
        <v>2</v>
      </c>
      <c r="N2050" s="362" t="str">
        <f t="shared" si="1821"/>
        <v/>
      </c>
      <c r="O2050" s="1763" t="str">
        <f t="shared" si="1822"/>
        <v/>
      </c>
      <c r="P2050" s="1764" t="str">
        <f t="shared" si="1823"/>
        <v/>
      </c>
      <c r="Q2050" s="120" t="str">
        <f t="shared" si="1824"/>
        <v/>
      </c>
      <c r="R2050" s="185"/>
    </row>
    <row r="2051" spans="1:20" s="185" customFormat="1">
      <c r="A2051" s="692"/>
      <c r="B2051" s="714"/>
      <c r="C2051" s="1893" t="s">
        <v>729</v>
      </c>
      <c r="D2051" s="1941"/>
      <c r="E2051" s="1786"/>
      <c r="F2051" s="1787"/>
      <c r="G2051" s="710"/>
      <c r="H2051" s="710"/>
      <c r="I2051" s="710"/>
      <c r="J2051" s="711"/>
      <c r="K2051" s="684">
        <f t="shared" si="1846"/>
        <v>1</v>
      </c>
      <c r="L2051" s="363">
        <v>1</v>
      </c>
      <c r="M2051" s="709">
        <f>IF(B2051="",1,B2051)</f>
        <v>1</v>
      </c>
      <c r="N2051" s="362" t="str">
        <f t="shared" si="1821"/>
        <v/>
      </c>
      <c r="O2051" s="1763" t="str">
        <f t="shared" si="1822"/>
        <v/>
      </c>
      <c r="P2051" s="1764" t="str">
        <f t="shared" si="1823"/>
        <v/>
      </c>
      <c r="Q2051" s="120" t="str">
        <f t="shared" si="1824"/>
        <v/>
      </c>
    </row>
    <row r="2052" spans="1:20" s="315" customFormat="1">
      <c r="A2052" s="1785"/>
      <c r="B2052" s="355"/>
      <c r="C2052" s="1944" t="s">
        <v>3063</v>
      </c>
      <c r="D2052" s="1941"/>
      <c r="E2052" s="1786"/>
      <c r="F2052" s="1787"/>
      <c r="G2052" s="712"/>
      <c r="H2052" s="712"/>
      <c r="I2052" s="712"/>
      <c r="J2052" s="713"/>
      <c r="K2052" s="684">
        <f t="shared" si="1846"/>
        <v>1</v>
      </c>
      <c r="L2052" s="708">
        <v>1</v>
      </c>
      <c r="M2052" s="709">
        <f>IF(B2052="",1,B2052)</f>
        <v>1</v>
      </c>
      <c r="N2052" s="362" t="str">
        <f t="shared" si="1821"/>
        <v/>
      </c>
      <c r="O2052" s="1763" t="str">
        <f t="shared" si="1822"/>
        <v/>
      </c>
      <c r="P2052" s="1764" t="str">
        <f t="shared" si="1823"/>
        <v/>
      </c>
      <c r="Q2052" s="120" t="str">
        <f t="shared" si="1824"/>
        <v/>
      </c>
    </row>
    <row r="2053" spans="1:20" s="690" customFormat="1" ht="18" customHeight="1">
      <c r="A2053" s="691"/>
      <c r="B2053" s="1781">
        <v>1</v>
      </c>
      <c r="C2053" s="1420" t="str">
        <f>VLOOKUP(D2053,base_datos,6,FALSE)</f>
        <v>ITM Caja Moldeada 3x32A (reg.[0.7-1.0] In) - XT2N160-32A-3P-TMD - 65kA@230Vac, 36kA@415Vac - marca ABB.</v>
      </c>
      <c r="D2053" s="1901" t="s">
        <v>850</v>
      </c>
      <c r="E2053" s="1791">
        <f>VLOOKUP(D2053,base_datos,5,FALSE)</f>
        <v>207</v>
      </c>
      <c r="F2053" s="1782">
        <f t="shared" ref="F2053:F2054" si="1871">+E2053*B2053</f>
        <v>207</v>
      </c>
      <c r="G2053" s="1761"/>
      <c r="H2053" s="1761"/>
      <c r="I2053" s="1761"/>
      <c r="J2053" s="1783"/>
      <c r="K2053" s="684">
        <f t="shared" si="1846"/>
        <v>1</v>
      </c>
      <c r="L2053" s="708">
        <v>1</v>
      </c>
      <c r="M2053" s="709">
        <f t="shared" ref="M2053:M2078" si="1872">IF(B2053="",1,B2053)</f>
        <v>1</v>
      </c>
      <c r="N2053" s="362">
        <f t="shared" si="1821"/>
        <v>1</v>
      </c>
      <c r="O2053" s="1763" t="str">
        <f t="shared" si="1822"/>
        <v>1SDA067013R1</v>
      </c>
      <c r="P2053" s="1764" t="str">
        <f t="shared" si="1823"/>
        <v>ITM Caja Moldeada 3x32A (reg.[0.7-1.0] In) - XT2N160-32A-3P-TMD - 65kA@230Vac, 36kA@415Vac - marca ABB.</v>
      </c>
      <c r="Q2053" s="120" t="str">
        <f t="shared" si="1824"/>
        <v>XT2N160-32A-3P-TMD</v>
      </c>
      <c r="R2053" s="185"/>
    </row>
    <row r="2054" spans="1:20" s="690" customFormat="1" ht="18" customHeight="1">
      <c r="A2054" s="691"/>
      <c r="B2054" s="1781">
        <v>1</v>
      </c>
      <c r="C2054" s="1420" t="str">
        <f>VLOOKUP(D2054,base_datos,6,FALSE)</f>
        <v>Supresor contra sobretensiones (Tipo 1, UL 1449) - OVRHT3C504803D - I_max=50kA por fase, Un=480V,  MCOV=640V (L-G), VPR=2.5kV (L-G) - marca ABB.</v>
      </c>
      <c r="D2054" s="1901" t="s">
        <v>12357</v>
      </c>
      <c r="E2054" s="1791">
        <f>VLOOKUP(D2054,base_datos,5,FALSE)</f>
        <v>386.44</v>
      </c>
      <c r="F2054" s="1782">
        <f t="shared" si="1871"/>
        <v>386.44</v>
      </c>
      <c r="G2054" s="1761"/>
      <c r="H2054" s="1761"/>
      <c r="I2054" s="1761"/>
      <c r="J2054" s="1783"/>
      <c r="K2054" s="684">
        <f t="shared" si="1846"/>
        <v>1</v>
      </c>
      <c r="L2054" s="708">
        <v>1</v>
      </c>
      <c r="M2054" s="709">
        <f t="shared" si="1872"/>
        <v>1</v>
      </c>
      <c r="N2054" s="362">
        <f t="shared" si="1821"/>
        <v>1</v>
      </c>
      <c r="O2054" s="1763" t="str">
        <f t="shared" si="1822"/>
        <v>2CJC605480D0000</v>
      </c>
      <c r="P2054" s="1764" t="str">
        <f t="shared" si="1823"/>
        <v>Supresor contra sobretensiones (Tipo 1, UL 1449) - OVRHT3C504803D - I_max=50kA por fase, Un=480V,  MCOV=640V (L-G), VPR=2.5kV (L-G) - marca ABB.</v>
      </c>
      <c r="Q2054" s="120" t="str">
        <f t="shared" si="1824"/>
        <v>OVRHT3C504803D</v>
      </c>
      <c r="R2054" s="185"/>
    </row>
    <row r="2055" spans="1:20" s="185" customFormat="1">
      <c r="A2055" s="692"/>
      <c r="B2055" s="714"/>
      <c r="C2055" s="1893" t="s">
        <v>729</v>
      </c>
      <c r="D2055" s="1941"/>
      <c r="E2055" s="1786"/>
      <c r="F2055" s="1787"/>
      <c r="G2055" s="710"/>
      <c r="H2055" s="710"/>
      <c r="I2055" s="710"/>
      <c r="J2055" s="711"/>
      <c r="K2055" s="684">
        <f t="shared" si="1846"/>
        <v>1</v>
      </c>
      <c r="L2055" s="363">
        <v>1</v>
      </c>
      <c r="M2055" s="709">
        <f>IF(B2055="",1,B2055)</f>
        <v>1</v>
      </c>
      <c r="N2055" s="362" t="str">
        <f t="shared" ref="N2055:N2061" si="1873">IF(O2055&lt;&gt;"",K2055*L2055*M2055,"")</f>
        <v/>
      </c>
      <c r="O2055" s="1763" t="str">
        <f t="shared" ref="O2055:O2061" si="1874">IF(D2055&lt;&gt;"",IF(VLOOKUP(D2055,base_datos,7,FALSE)&lt;&gt;"",VLOOKUP(D2055,base_datos,7,FALSE),""),"")</f>
        <v/>
      </c>
      <c r="P2055" s="1764" t="str">
        <f t="shared" ref="P2055:P2061" si="1875">IF(O2055&lt;&gt;"",VLOOKUP(D2055,base_datos,6,FALSE),"")</f>
        <v/>
      </c>
      <c r="Q2055" s="120" t="str">
        <f t="shared" ref="Q2055:Q2061" si="1876">IF(O2055&lt;&gt;"",D2055,"")</f>
        <v/>
      </c>
    </row>
    <row r="2056" spans="1:20" s="315" customFormat="1" ht="12.75" customHeight="1">
      <c r="A2056" s="2271"/>
      <c r="B2056" s="2272">
        <v>1</v>
      </c>
      <c r="C2056" s="2281" t="s">
        <v>13366</v>
      </c>
      <c r="D2056" s="1935"/>
      <c r="E2056" s="2287"/>
      <c r="F2056" s="2257">
        <f>+SUM(F2057:F2060)*(B2056-1)</f>
        <v>0</v>
      </c>
      <c r="G2056" s="712"/>
      <c r="H2056" s="712"/>
      <c r="I2056" s="712"/>
      <c r="J2056" s="713"/>
      <c r="K2056" s="684">
        <f t="shared" si="1846"/>
        <v>1</v>
      </c>
      <c r="L2056" s="2258">
        <v>1</v>
      </c>
      <c r="M2056" s="120">
        <f t="shared" ref="M2056:M2061" si="1877">IF(B2056="",1,B2056)</f>
        <v>1</v>
      </c>
      <c r="N2056" s="112" t="str">
        <f t="shared" si="1873"/>
        <v/>
      </c>
      <c r="O2056" s="112" t="str">
        <f t="shared" si="1874"/>
        <v/>
      </c>
      <c r="P2056" s="120" t="str">
        <f t="shared" si="1875"/>
        <v/>
      </c>
      <c r="Q2056" s="120" t="str">
        <f t="shared" si="1876"/>
        <v/>
      </c>
      <c r="S2056" s="112" t="str">
        <f t="shared" ref="S2056:S2061" si="1878">IF(O2056&lt;&gt;"",VLOOKUP(D2056,base_datos,9,FALSE),"")</f>
        <v/>
      </c>
      <c r="T2056" s="2128"/>
    </row>
    <row r="2057" spans="1:20" s="690" customFormat="1" ht="18" customHeight="1">
      <c r="A2057" s="2273"/>
      <c r="B2057" s="1781">
        <v>1</v>
      </c>
      <c r="C2057" s="1420" t="str">
        <f t="shared" ref="C2057:C2060" si="1879">VLOOKUP(D2057,base_datos,6,FALSE)</f>
        <v>Calefactor resistivo 60W, modelo RACM - marca FANDIS.</v>
      </c>
      <c r="D2057" s="1899" t="s">
        <v>3298</v>
      </c>
      <c r="E2057" s="2288">
        <f t="shared" ref="E2057" si="1880">VLOOKUP(D2057,base_datos,5,FALSE)</f>
        <v>127.1</v>
      </c>
      <c r="F2057" s="1782">
        <f>+E2057*B2057</f>
        <v>127.1</v>
      </c>
      <c r="G2057" s="1761"/>
      <c r="H2057" s="1761"/>
      <c r="I2057" s="1761"/>
      <c r="J2057" s="689"/>
      <c r="K2057" s="684">
        <f t="shared" si="1846"/>
        <v>1</v>
      </c>
      <c r="L2057" s="2258">
        <v>1</v>
      </c>
      <c r="M2057" s="120">
        <f t="shared" si="1877"/>
        <v>1</v>
      </c>
      <c r="N2057" s="112">
        <f t="shared" si="1873"/>
        <v>1</v>
      </c>
      <c r="O2057" s="112" t="str">
        <f t="shared" si="1874"/>
        <v>RACM-60</v>
      </c>
      <c r="P2057" s="120" t="str">
        <f t="shared" si="1875"/>
        <v>Calefactor resistivo 60W, modelo RACM - marca FANDIS.</v>
      </c>
      <c r="Q2057" s="120" t="str">
        <f t="shared" si="1876"/>
        <v>CALEFACT-60W_FAND</v>
      </c>
      <c r="S2057" s="112" t="str">
        <f t="shared" si="1878"/>
        <v>FANDIS</v>
      </c>
      <c r="T2057" s="1765"/>
    </row>
    <row r="2058" spans="1:20" s="690" customFormat="1" ht="18" customHeight="1">
      <c r="A2058" s="2273"/>
      <c r="B2058" s="1781">
        <v>1</v>
      </c>
      <c r="C2058" s="1420" t="str">
        <f t="shared" si="1879"/>
        <v>Termostato para ventilación - 1NA - 230V - marca FANDIS.</v>
      </c>
      <c r="D2058" s="1899" t="s">
        <v>3294</v>
      </c>
      <c r="E2058" s="2288">
        <f t="shared" ref="E2058:E2060" si="1881">VLOOKUP(D2058,base_datos,5,FALSE)</f>
        <v>41.58</v>
      </c>
      <c r="F2058" s="1782">
        <f>+E2058*B2058</f>
        <v>41.58</v>
      </c>
      <c r="G2058" s="1761"/>
      <c r="H2058" s="1761"/>
      <c r="I2058" s="1761"/>
      <c r="J2058" s="689"/>
      <c r="K2058" s="684">
        <f t="shared" si="1846"/>
        <v>1</v>
      </c>
      <c r="L2058" s="2258">
        <v>1</v>
      </c>
      <c r="M2058" s="120">
        <f t="shared" si="1877"/>
        <v>1</v>
      </c>
      <c r="N2058" s="112">
        <f t="shared" si="1873"/>
        <v>1</v>
      </c>
      <c r="O2058" s="112" t="str">
        <f t="shared" si="1874"/>
        <v>TRT-10A230V-NO</v>
      </c>
      <c r="P2058" s="120" t="str">
        <f t="shared" si="1875"/>
        <v>Termostato para ventilación - 1NA - 230V - marca FANDIS.</v>
      </c>
      <c r="Q2058" s="120" t="str">
        <f t="shared" si="1876"/>
        <v>TRT-1NA</v>
      </c>
      <c r="S2058" s="112" t="str">
        <f t="shared" si="1878"/>
        <v>FANDIS</v>
      </c>
      <c r="T2058" s="1765"/>
    </row>
    <row r="2059" spans="1:20" s="320" customFormat="1" ht="12.75" customHeight="1">
      <c r="A2059" s="2274"/>
      <c r="B2059" s="2275">
        <v>1</v>
      </c>
      <c r="C2059" s="2282" t="str">
        <f t="shared" si="1879"/>
        <v>Base portafusibles + Fusibles de protección para control.</v>
      </c>
      <c r="D2059" s="1579" t="s">
        <v>453</v>
      </c>
      <c r="E2059" s="2289">
        <f t="shared" si="1881"/>
        <v>8.1750000000000007</v>
      </c>
      <c r="F2059" s="2264">
        <f>+E2059*B2059</f>
        <v>8.1750000000000007</v>
      </c>
      <c r="G2059" s="2276"/>
      <c r="H2059" s="2276"/>
      <c r="I2059" s="2276"/>
      <c r="J2059" s="722"/>
      <c r="K2059" s="684">
        <f t="shared" si="1846"/>
        <v>1</v>
      </c>
      <c r="L2059" s="2258">
        <v>1</v>
      </c>
      <c r="M2059" s="120">
        <f t="shared" si="1877"/>
        <v>1</v>
      </c>
      <c r="N2059" s="112" t="str">
        <f t="shared" si="1873"/>
        <v/>
      </c>
      <c r="O2059" s="112" t="str">
        <f t="shared" si="1874"/>
        <v/>
      </c>
      <c r="P2059" s="120" t="str">
        <f t="shared" si="1875"/>
        <v/>
      </c>
      <c r="Q2059" s="120" t="str">
        <f t="shared" si="1876"/>
        <v/>
      </c>
      <c r="R2059" s="185"/>
      <c r="S2059" s="112" t="str">
        <f t="shared" si="1878"/>
        <v/>
      </c>
      <c r="T2059" s="709"/>
    </row>
    <row r="2060" spans="1:20" s="320" customFormat="1" ht="12.75" customHeight="1">
      <c r="A2060" s="2274"/>
      <c r="B2060" s="2277">
        <v>1</v>
      </c>
      <c r="C2060" s="2282" t="str">
        <f t="shared" si="1879"/>
        <v>Borne 4mm2.</v>
      </c>
      <c r="D2060" s="1579" t="s">
        <v>437</v>
      </c>
      <c r="E2060" s="2260">
        <f t="shared" si="1881"/>
        <v>2.5</v>
      </c>
      <c r="F2060" s="2260">
        <f>+E2060*B2060</f>
        <v>2.5</v>
      </c>
      <c r="G2060" s="2276"/>
      <c r="H2060" s="2276"/>
      <c r="I2060" s="2276"/>
      <c r="J2060" s="722"/>
      <c r="K2060" s="684">
        <f t="shared" si="1846"/>
        <v>1</v>
      </c>
      <c r="L2060" s="2258">
        <v>1</v>
      </c>
      <c r="M2060" s="120">
        <f t="shared" si="1877"/>
        <v>1</v>
      </c>
      <c r="N2060" s="112" t="str">
        <f t="shared" si="1873"/>
        <v/>
      </c>
      <c r="O2060" s="112" t="str">
        <f t="shared" si="1874"/>
        <v/>
      </c>
      <c r="P2060" s="120" t="str">
        <f t="shared" si="1875"/>
        <v/>
      </c>
      <c r="Q2060" s="120" t="str">
        <f t="shared" si="1876"/>
        <v/>
      </c>
      <c r="R2060" s="185"/>
      <c r="S2060" s="112" t="str">
        <f t="shared" si="1878"/>
        <v/>
      </c>
      <c r="T2060" s="709"/>
    </row>
    <row r="2061" spans="1:20" s="185" customFormat="1" ht="12.75" customHeight="1">
      <c r="A2061" s="2262"/>
      <c r="B2061" s="1760"/>
      <c r="C2061" s="1893" t="s">
        <v>729</v>
      </c>
      <c r="D2061" s="169"/>
      <c r="E2061" s="2256"/>
      <c r="F2061" s="2278"/>
      <c r="G2061" s="710"/>
      <c r="H2061" s="710"/>
      <c r="I2061" s="710"/>
      <c r="J2061" s="711"/>
      <c r="K2061" s="684">
        <f t="shared" si="1846"/>
        <v>1</v>
      </c>
      <c r="L2061" s="2258">
        <v>1</v>
      </c>
      <c r="M2061" s="120">
        <f t="shared" si="1877"/>
        <v>1</v>
      </c>
      <c r="N2061" s="112" t="str">
        <f t="shared" si="1873"/>
        <v/>
      </c>
      <c r="O2061" s="112" t="str">
        <f t="shared" si="1874"/>
        <v/>
      </c>
      <c r="P2061" s="120" t="str">
        <f t="shared" si="1875"/>
        <v/>
      </c>
      <c r="Q2061" s="120" t="str">
        <f t="shared" si="1876"/>
        <v/>
      </c>
      <c r="S2061" s="112" t="str">
        <f t="shared" si="1878"/>
        <v/>
      </c>
      <c r="T2061" s="118"/>
    </row>
    <row r="2062" spans="1:20" s="1236" customFormat="1" ht="18" customHeight="1">
      <c r="A2062" s="1767"/>
      <c r="B2062" s="1853">
        <v>1</v>
      </c>
      <c r="C2062" s="1895" t="s">
        <v>12366</v>
      </c>
      <c r="D2062" s="1902"/>
      <c r="E2062" s="1792"/>
      <c r="F2062" s="1793"/>
      <c r="G2062" s="1784"/>
      <c r="H2062" s="1784"/>
      <c r="I2062" s="1784"/>
      <c r="J2062" s="1182"/>
      <c r="K2062" s="684">
        <f t="shared" si="1846"/>
        <v>1</v>
      </c>
      <c r="L2062" s="708">
        <v>1</v>
      </c>
      <c r="M2062" s="709">
        <f t="shared" si="1872"/>
        <v>1</v>
      </c>
      <c r="N2062" s="362" t="str">
        <f t="shared" si="1821"/>
        <v/>
      </c>
      <c r="O2062" s="1763" t="str">
        <f t="shared" si="1822"/>
        <v/>
      </c>
      <c r="P2062" s="1764" t="str">
        <f t="shared" si="1823"/>
        <v/>
      </c>
      <c r="Q2062" s="120" t="str">
        <f t="shared" si="1824"/>
        <v/>
      </c>
      <c r="R2062" s="185"/>
    </row>
    <row r="2063" spans="1:20" s="120" customFormat="1" ht="18" customHeight="1">
      <c r="A2063" s="687"/>
      <c r="B2063" s="1945">
        <v>2</v>
      </c>
      <c r="C2063" s="1848" t="str">
        <f>VLOOKUP(D2063,base_datos,6,FALSE)</f>
        <v>Transformador de tensión monofásico 480 / 240 Vac - 50VA.</v>
      </c>
      <c r="D2063" s="1898" t="s">
        <v>8587</v>
      </c>
      <c r="E2063" s="1581">
        <f>VLOOKUP(D2063,base_datos,5,FALSE)</f>
        <v>76.8</v>
      </c>
      <c r="F2063" s="1581">
        <f>+E2063*B2063</f>
        <v>153.6</v>
      </c>
      <c r="G2063" s="686"/>
      <c r="H2063" s="686"/>
      <c r="I2063" s="686"/>
      <c r="J2063" s="1768"/>
      <c r="K2063" s="684">
        <f t="shared" si="1846"/>
        <v>1</v>
      </c>
      <c r="L2063" s="708">
        <v>1</v>
      </c>
      <c r="M2063" s="709">
        <f t="shared" si="1872"/>
        <v>2</v>
      </c>
      <c r="N2063" s="362" t="str">
        <f t="shared" si="1821"/>
        <v/>
      </c>
      <c r="O2063" s="1763" t="str">
        <f t="shared" si="1822"/>
        <v/>
      </c>
      <c r="P2063" s="1764" t="str">
        <f t="shared" si="1823"/>
        <v/>
      </c>
      <c r="Q2063" s="120" t="str">
        <f t="shared" si="1824"/>
        <v/>
      </c>
      <c r="R2063" s="185"/>
    </row>
    <row r="2064" spans="1:20" s="120" customFormat="1" ht="18" customHeight="1">
      <c r="A2064" s="687"/>
      <c r="B2064" s="1945">
        <v>1</v>
      </c>
      <c r="C2064" s="1848" t="str">
        <f>VLOOKUP(D2064,base_datos,6,FALSE)</f>
        <v>Transformador de tensión monofásico 480 / 240 Vac - 200VA.</v>
      </c>
      <c r="D2064" s="1898" t="s">
        <v>5173</v>
      </c>
      <c r="E2064" s="1581">
        <f>VLOOKUP(D2064,base_datos,5,FALSE)</f>
        <v>89.5</v>
      </c>
      <c r="F2064" s="1581">
        <f>+E2064*B2064</f>
        <v>89.5</v>
      </c>
      <c r="G2064" s="686"/>
      <c r="H2064" s="686"/>
      <c r="I2064" s="686"/>
      <c r="J2064" s="1768"/>
      <c r="K2064" s="684">
        <f t="shared" si="1846"/>
        <v>1</v>
      </c>
      <c r="L2064" s="708">
        <v>1</v>
      </c>
      <c r="M2064" s="709">
        <f t="shared" si="1872"/>
        <v>1</v>
      </c>
      <c r="N2064" s="362" t="str">
        <f t="shared" si="1821"/>
        <v/>
      </c>
      <c r="O2064" s="1763" t="str">
        <f t="shared" si="1822"/>
        <v/>
      </c>
      <c r="P2064" s="1764" t="str">
        <f t="shared" si="1823"/>
        <v/>
      </c>
      <c r="Q2064" s="120" t="str">
        <f t="shared" si="1824"/>
        <v/>
      </c>
      <c r="R2064" s="185"/>
    </row>
    <row r="2065" spans="1:18" s="185" customFormat="1" ht="18" customHeight="1">
      <c r="A2065" s="1785"/>
      <c r="B2065" s="714"/>
      <c r="C2065" s="1893" t="s">
        <v>729</v>
      </c>
      <c r="D2065" s="173"/>
      <c r="E2065" s="1786"/>
      <c r="F2065" s="1787"/>
      <c r="G2065" s="710"/>
      <c r="H2065" s="710"/>
      <c r="I2065" s="710"/>
      <c r="J2065" s="711"/>
      <c r="K2065" s="684">
        <f t="shared" si="1846"/>
        <v>1</v>
      </c>
      <c r="L2065" s="708">
        <v>1</v>
      </c>
      <c r="M2065" s="709">
        <f t="shared" si="1872"/>
        <v>1</v>
      </c>
      <c r="N2065" s="362" t="str">
        <f t="shared" si="1821"/>
        <v/>
      </c>
      <c r="O2065" s="1763" t="str">
        <f t="shared" si="1822"/>
        <v/>
      </c>
      <c r="P2065" s="1764" t="str">
        <f t="shared" si="1823"/>
        <v/>
      </c>
      <c r="Q2065" s="120" t="str">
        <f t="shared" si="1824"/>
        <v/>
      </c>
    </row>
    <row r="2066" spans="1:18" s="1236" customFormat="1" ht="18" customHeight="1">
      <c r="A2066" s="1767"/>
      <c r="B2066" s="1853">
        <v>1</v>
      </c>
      <c r="C2066" s="1895" t="s">
        <v>12364</v>
      </c>
      <c r="D2066" s="1902"/>
      <c r="E2066" s="1792"/>
      <c r="F2066" s="1793"/>
      <c r="G2066" s="1784"/>
      <c r="H2066" s="1784"/>
      <c r="I2066" s="1784"/>
      <c r="J2066" s="1182"/>
      <c r="K2066" s="684">
        <f t="shared" si="1846"/>
        <v>1</v>
      </c>
      <c r="L2066" s="708">
        <v>1</v>
      </c>
      <c r="M2066" s="709">
        <f t="shared" si="1872"/>
        <v>1</v>
      </c>
      <c r="N2066" s="362" t="str">
        <f t="shared" si="1821"/>
        <v/>
      </c>
      <c r="O2066" s="1763" t="str">
        <f t="shared" si="1822"/>
        <v/>
      </c>
      <c r="P2066" s="1764" t="str">
        <f t="shared" si="1823"/>
        <v/>
      </c>
      <c r="Q2066" s="120" t="str">
        <f t="shared" si="1824"/>
        <v/>
      </c>
      <c r="R2066" s="185"/>
    </row>
    <row r="2067" spans="1:18" s="695" customFormat="1" ht="18" customHeight="1">
      <c r="A2067" s="693"/>
      <c r="B2067" s="1922">
        <v>1</v>
      </c>
      <c r="C2067" s="1848" t="str">
        <f t="shared" ref="C2067" si="1882">VLOOKUP(D2067,base_datos,6,FALSE)</f>
        <v>Placa lamicoid rotulación de 3mm de espesor, fondo negro y letras blancas.</v>
      </c>
      <c r="D2067" s="1886" t="s">
        <v>8570</v>
      </c>
      <c r="E2067" s="1795">
        <f t="shared" ref="E2067" si="1883">VLOOKUP(D2067,base_datos,5,FALSE)</f>
        <v>2.2000000000000002</v>
      </c>
      <c r="F2067" s="1796">
        <f t="shared" ref="F2067" si="1884">+E2067*B2067</f>
        <v>2.2000000000000002</v>
      </c>
      <c r="G2067" s="696"/>
      <c r="H2067" s="696"/>
      <c r="I2067" s="696"/>
      <c r="J2067" s="697"/>
      <c r="K2067" s="684">
        <f t="shared" si="1846"/>
        <v>1</v>
      </c>
      <c r="L2067" s="708">
        <v>1</v>
      </c>
      <c r="M2067" s="709">
        <f t="shared" si="1872"/>
        <v>1</v>
      </c>
      <c r="N2067" s="362">
        <f t="shared" si="1821"/>
        <v>1</v>
      </c>
      <c r="O2067" s="1763" t="str">
        <f t="shared" si="1822"/>
        <v>Placa lamicoid p/distr.</v>
      </c>
      <c r="P2067" s="1764" t="str">
        <f t="shared" si="1823"/>
        <v>Placa lamicoid rotulación de 3mm de espesor, fondo negro y letras blancas.</v>
      </c>
      <c r="Q2067" s="120" t="str">
        <f t="shared" si="1824"/>
        <v>Placa lamicoid p/distr.</v>
      </c>
      <c r="R2067" s="185"/>
    </row>
    <row r="2068" spans="1:18" s="1236" customFormat="1" ht="18" customHeight="1">
      <c r="A2068" s="1767"/>
      <c r="B2068" s="1853">
        <v>1</v>
      </c>
      <c r="C2068" s="1895" t="s">
        <v>12474</v>
      </c>
      <c r="D2068" s="1902"/>
      <c r="E2068" s="1792"/>
      <c r="F2068" s="1793"/>
      <c r="G2068" s="1784"/>
      <c r="H2068" s="1784"/>
      <c r="I2068" s="1784"/>
      <c r="J2068" s="1182"/>
      <c r="K2068" s="684">
        <f t="shared" si="1846"/>
        <v>1</v>
      </c>
      <c r="L2068" s="708">
        <v>1</v>
      </c>
      <c r="M2068" s="709">
        <f t="shared" si="1872"/>
        <v>1</v>
      </c>
      <c r="N2068" s="362" t="str">
        <f t="shared" ref="N2068:N2135" si="1885">IF(O2068&lt;&gt;"",K2068*L2068*M2068,"")</f>
        <v/>
      </c>
      <c r="O2068" s="1763" t="str">
        <f t="shared" ref="O2068:O2135" si="1886">IF(D2068&lt;&gt;"",IF(VLOOKUP(D2068,base_datos,7,FALSE)&lt;&gt;"",VLOOKUP(D2068,base_datos,7,FALSE),""),"")</f>
        <v/>
      </c>
      <c r="P2068" s="1764" t="str">
        <f t="shared" ref="P2068:P2135" si="1887">IF(O2068&lt;&gt;"",VLOOKUP(D2068,base_datos,6,FALSE),"")</f>
        <v/>
      </c>
      <c r="Q2068" s="120" t="str">
        <f t="shared" ref="Q2068:Q2135" si="1888">IF(O2068&lt;&gt;"",D2068,"")</f>
        <v/>
      </c>
      <c r="R2068" s="185"/>
    </row>
    <row r="2069" spans="1:18" s="1236" customFormat="1" ht="18" customHeight="1">
      <c r="A2069" s="1767"/>
      <c r="B2069" s="1853">
        <v>1</v>
      </c>
      <c r="C2069" s="1848" t="str">
        <f>VLOOKUP(D2069,base_datos,6,FALSE)</f>
        <v>Embalaje especial completamente cerrado para tablero adosado de 1600x600x220mm</v>
      </c>
      <c r="D2069" s="1902" t="s">
        <v>12453</v>
      </c>
      <c r="E2069" s="1795">
        <f t="shared" ref="E2069" si="1889">VLOOKUP(D2069,base_datos,5,FALSE)</f>
        <v>271.40000000000003</v>
      </c>
      <c r="F2069" s="1796">
        <f t="shared" ref="F2069" si="1890">+E2069*B2069</f>
        <v>271.40000000000003</v>
      </c>
      <c r="G2069" s="1784"/>
      <c r="H2069" s="1784"/>
      <c r="I2069" s="1784"/>
      <c r="J2069" s="1182"/>
      <c r="K2069" s="684">
        <f t="shared" si="1846"/>
        <v>1</v>
      </c>
      <c r="L2069" s="708">
        <v>1</v>
      </c>
      <c r="M2069" s="709">
        <f t="shared" si="1872"/>
        <v>1</v>
      </c>
      <c r="N2069" s="362">
        <f t="shared" si="1885"/>
        <v>1</v>
      </c>
      <c r="O2069" s="1763" t="str">
        <f t="shared" si="1886"/>
        <v>EMBAL_ADOS_1600x600x220mm</v>
      </c>
      <c r="P2069" s="1764" t="str">
        <f t="shared" si="1887"/>
        <v>Embalaje especial completamente cerrado para tablero adosado de 1600x600x220mm</v>
      </c>
      <c r="Q2069" s="120" t="str">
        <f t="shared" si="1888"/>
        <v>EMBAL_ADOS_1600x600x220mm</v>
      </c>
      <c r="R2069" s="185"/>
    </row>
    <row r="2070" spans="1:18" s="185" customFormat="1" ht="18" customHeight="1">
      <c r="A2070" s="1785"/>
      <c r="B2070" s="714"/>
      <c r="C2070" s="1893" t="s">
        <v>729</v>
      </c>
      <c r="D2070" s="173"/>
      <c r="E2070" s="1786"/>
      <c r="F2070" s="1787"/>
      <c r="G2070" s="710"/>
      <c r="H2070" s="710"/>
      <c r="I2070" s="710"/>
      <c r="J2070" s="711"/>
      <c r="K2070" s="684">
        <f t="shared" si="1846"/>
        <v>1</v>
      </c>
      <c r="L2070" s="708">
        <v>1</v>
      </c>
      <c r="M2070" s="709">
        <f t="shared" si="1872"/>
        <v>1</v>
      </c>
      <c r="N2070" s="362" t="str">
        <f t="shared" si="1885"/>
        <v/>
      </c>
      <c r="O2070" s="1763" t="str">
        <f t="shared" si="1886"/>
        <v/>
      </c>
      <c r="P2070" s="1764" t="str">
        <f t="shared" si="1887"/>
        <v/>
      </c>
      <c r="Q2070" s="120" t="str">
        <f t="shared" si="1888"/>
        <v/>
      </c>
    </row>
    <row r="2071" spans="1:18" s="695" customFormat="1" ht="18" customHeight="1">
      <c r="A2071" s="693"/>
      <c r="B2071" s="1794">
        <v>1</v>
      </c>
      <c r="C2071" s="1420" t="str">
        <f t="shared" ref="C2071" si="1891">VLOOKUP(D2071,base_datos,6,FALSE)</f>
        <v>Barra a tierra.</v>
      </c>
      <c r="D2071" s="1790" t="s">
        <v>8299</v>
      </c>
      <c r="E2071" s="1795">
        <f t="shared" ref="E2071" si="1892">VLOOKUP(D2071,base_datos,5,FALSE)</f>
        <v>10</v>
      </c>
      <c r="F2071" s="1796">
        <f t="shared" ref="F2071:F2078" si="1893">+E2071*B2071</f>
        <v>10</v>
      </c>
      <c r="G2071" s="696"/>
      <c r="H2071" s="696"/>
      <c r="I2071" s="696"/>
      <c r="J2071" s="697"/>
      <c r="K2071" s="684">
        <f t="shared" si="1846"/>
        <v>1</v>
      </c>
      <c r="L2071" s="708">
        <v>1</v>
      </c>
      <c r="M2071" s="709">
        <f t="shared" si="1872"/>
        <v>1</v>
      </c>
      <c r="N2071" s="362" t="str">
        <f t="shared" si="1885"/>
        <v/>
      </c>
      <c r="O2071" s="1763" t="str">
        <f t="shared" si="1886"/>
        <v/>
      </c>
      <c r="P2071" s="1764" t="str">
        <f t="shared" si="1887"/>
        <v/>
      </c>
      <c r="Q2071" s="120" t="str">
        <f t="shared" si="1888"/>
        <v/>
      </c>
      <c r="R2071" s="185"/>
    </row>
    <row r="2072" spans="1:18" s="185" customFormat="1" ht="18" customHeight="1">
      <c r="A2072" s="1785"/>
      <c r="B2072" s="714"/>
      <c r="C2072" s="1893" t="s">
        <v>729</v>
      </c>
      <c r="D2072" s="173"/>
      <c r="E2072" s="1786"/>
      <c r="F2072" s="1787"/>
      <c r="G2072" s="710"/>
      <c r="H2072" s="710"/>
      <c r="I2072" s="710"/>
      <c r="J2072" s="711"/>
      <c r="K2072" s="684">
        <f t="shared" si="1846"/>
        <v>1</v>
      </c>
      <c r="L2072" s="708">
        <v>1</v>
      </c>
      <c r="M2072" s="709">
        <f t="shared" ref="M2072" si="1894">IF(B2072="",1,B2072)</f>
        <v>1</v>
      </c>
      <c r="N2072" s="362" t="str">
        <f t="shared" ref="N2072" si="1895">IF(O2072&lt;&gt;"",K2072*L2072*M2072,"")</f>
        <v/>
      </c>
      <c r="O2072" s="1763" t="str">
        <f t="shared" ref="O2072" si="1896">IF(D2072&lt;&gt;"",IF(VLOOKUP(D2072,base_datos,7,FALSE)&lt;&gt;"",VLOOKUP(D2072,base_datos,7,FALSE),""),"")</f>
        <v/>
      </c>
      <c r="P2072" s="1764" t="str">
        <f t="shared" ref="P2072" si="1897">IF(O2072&lt;&gt;"",VLOOKUP(D2072,base_datos,6,FALSE),"")</f>
        <v/>
      </c>
      <c r="Q2072" s="120" t="str">
        <f t="shared" ref="Q2072" si="1898">IF(O2072&lt;&gt;"",D2072,"")</f>
        <v/>
      </c>
    </row>
    <row r="2073" spans="1:18" s="897" customFormat="1" ht="18" customHeight="1">
      <c r="A2073" s="693"/>
      <c r="B2073" s="895">
        <v>3</v>
      </c>
      <c r="C2073" s="721" t="str">
        <f>VLOOKUP(D2073,base_datos,6,FALSE)</f>
        <v>Rotulado por circuito.</v>
      </c>
      <c r="D2073" s="1579" t="s">
        <v>3067</v>
      </c>
      <c r="E2073" s="1580">
        <f>VLOOKUP(D2073,base_datos,5,FALSE)</f>
        <v>0.7</v>
      </c>
      <c r="F2073" s="1581">
        <f t="shared" si="1893"/>
        <v>2.0999999999999996</v>
      </c>
      <c r="G2073" s="1772"/>
      <c r="H2073" s="1772"/>
      <c r="I2073" s="1772"/>
      <c r="J2073" s="896"/>
      <c r="K2073" s="684">
        <f t="shared" si="1846"/>
        <v>1</v>
      </c>
      <c r="L2073" s="708">
        <v>1</v>
      </c>
      <c r="M2073" s="709">
        <f t="shared" si="1872"/>
        <v>3</v>
      </c>
      <c r="N2073" s="362" t="str">
        <f t="shared" si="1885"/>
        <v/>
      </c>
      <c r="O2073" s="1763" t="str">
        <f t="shared" si="1886"/>
        <v/>
      </c>
      <c r="P2073" s="1764" t="str">
        <f t="shared" si="1887"/>
        <v/>
      </c>
      <c r="Q2073" s="120" t="str">
        <f t="shared" si="1888"/>
        <v/>
      </c>
    </row>
    <row r="2074" spans="1:18" s="897" customFormat="1" ht="18" customHeight="1">
      <c r="A2074" s="693"/>
      <c r="B2074" s="895">
        <v>1</v>
      </c>
      <c r="C2074" s="721" t="str">
        <f>VLOOKUP(D2074,base_datos,6,FALSE)</f>
        <v>Rotulado para TAG - tablero de distribución.</v>
      </c>
      <c r="D2074" s="1579" t="s">
        <v>3066</v>
      </c>
      <c r="E2074" s="1580">
        <f>VLOOKUP(D2074,base_datos,5,FALSE)</f>
        <v>1.5</v>
      </c>
      <c r="F2074" s="1581">
        <f t="shared" si="1893"/>
        <v>1.5</v>
      </c>
      <c r="G2074" s="1772"/>
      <c r="H2074" s="1772"/>
      <c r="I2074" s="1772"/>
      <c r="J2074" s="896"/>
      <c r="K2074" s="684">
        <f t="shared" si="1846"/>
        <v>1</v>
      </c>
      <c r="L2074" s="708">
        <v>1</v>
      </c>
      <c r="M2074" s="709">
        <f t="shared" si="1872"/>
        <v>1</v>
      </c>
      <c r="N2074" s="362" t="str">
        <f t="shared" si="1885"/>
        <v/>
      </c>
      <c r="O2074" s="1763" t="str">
        <f t="shared" si="1886"/>
        <v/>
      </c>
      <c r="P2074" s="1764" t="str">
        <f t="shared" si="1887"/>
        <v/>
      </c>
      <c r="Q2074" s="120" t="str">
        <f t="shared" si="1888"/>
        <v/>
      </c>
    </row>
    <row r="2075" spans="1:18" s="695" customFormat="1">
      <c r="A2075" s="687"/>
      <c r="B2075" s="1967">
        <v>1</v>
      </c>
      <c r="C2075" s="1946">
        <v>18</v>
      </c>
      <c r="D2075" s="1582"/>
      <c r="E2075" s="2000">
        <v>59</v>
      </c>
      <c r="F2075" s="1968">
        <f t="shared" si="1893"/>
        <v>59</v>
      </c>
      <c r="G2075" s="1969"/>
      <c r="H2075" s="1969"/>
      <c r="I2075" s="1969"/>
      <c r="J2075" s="1970"/>
      <c r="K2075" s="684">
        <f t="shared" si="1846"/>
        <v>1</v>
      </c>
      <c r="L2075" s="363">
        <v>1</v>
      </c>
      <c r="M2075" s="684">
        <f t="shared" si="1872"/>
        <v>1</v>
      </c>
      <c r="N2075" s="362" t="str">
        <f t="shared" si="1885"/>
        <v/>
      </c>
      <c r="O2075" s="1763" t="str">
        <f t="shared" si="1886"/>
        <v/>
      </c>
      <c r="P2075" s="1764" t="str">
        <f t="shared" si="1887"/>
        <v/>
      </c>
      <c r="Q2075" s="120" t="str">
        <f t="shared" si="1888"/>
        <v/>
      </c>
    </row>
    <row r="2076" spans="1:18" s="1237" customFormat="1" ht="18" customHeight="1">
      <c r="A2076" s="1767"/>
      <c r="B2076" s="2093">
        <v>1</v>
      </c>
      <c r="C2076" s="694" t="s">
        <v>12552</v>
      </c>
      <c r="D2076" s="1888"/>
      <c r="E2076" s="1580">
        <f>E2078*15%</f>
        <v>19.95</v>
      </c>
      <c r="F2076" s="1581">
        <f t="shared" si="1893"/>
        <v>19.95</v>
      </c>
      <c r="G2076" s="1774"/>
      <c r="H2076" s="1774"/>
      <c r="I2076" s="1774"/>
      <c r="J2076" s="1181"/>
      <c r="K2076" s="684">
        <f t="shared" si="1846"/>
        <v>1</v>
      </c>
      <c r="L2076" s="708">
        <v>1</v>
      </c>
      <c r="M2076" s="709">
        <f t="shared" si="1872"/>
        <v>1</v>
      </c>
      <c r="N2076" s="362" t="str">
        <f t="shared" si="1885"/>
        <v/>
      </c>
      <c r="O2076" s="1763" t="str">
        <f t="shared" si="1886"/>
        <v/>
      </c>
      <c r="P2076" s="1764" t="str">
        <f t="shared" si="1887"/>
        <v/>
      </c>
      <c r="Q2076" s="120" t="str">
        <f t="shared" si="1888"/>
        <v/>
      </c>
      <c r="R2076" s="1765"/>
    </row>
    <row r="2077" spans="1:18" s="1237" customFormat="1" ht="18" customHeight="1">
      <c r="A2077" s="1767"/>
      <c r="B2077" s="1773">
        <v>1</v>
      </c>
      <c r="C2077" s="694" t="s">
        <v>12559</v>
      </c>
      <c r="D2077" s="1888"/>
      <c r="E2077" s="1999">
        <f>E2078*20%</f>
        <v>26.6</v>
      </c>
      <c r="F2077" s="1581">
        <f t="shared" si="1893"/>
        <v>26.6</v>
      </c>
      <c r="G2077" s="1774"/>
      <c r="H2077" s="1774"/>
      <c r="I2077" s="1774"/>
      <c r="J2077" s="1181"/>
      <c r="K2077" s="684">
        <f t="shared" si="1846"/>
        <v>1</v>
      </c>
      <c r="L2077" s="708">
        <v>1</v>
      </c>
      <c r="M2077" s="709">
        <f t="shared" si="1872"/>
        <v>1</v>
      </c>
      <c r="N2077" s="362" t="str">
        <f t="shared" si="1885"/>
        <v/>
      </c>
      <c r="O2077" s="1763" t="str">
        <f t="shared" si="1886"/>
        <v/>
      </c>
      <c r="P2077" s="1764" t="str">
        <f t="shared" si="1887"/>
        <v/>
      </c>
      <c r="Q2077" s="120" t="str">
        <f t="shared" si="1888"/>
        <v/>
      </c>
      <c r="R2077" s="1765"/>
    </row>
    <row r="2078" spans="1:18" s="1237" customFormat="1" ht="17.25" customHeight="1">
      <c r="A2078" s="1767"/>
      <c r="B2078" s="1773">
        <v>1</v>
      </c>
      <c r="C2078" s="694" t="s">
        <v>12387</v>
      </c>
      <c r="D2078" s="1888"/>
      <c r="E2078" s="1999">
        <v>133</v>
      </c>
      <c r="F2078" s="1581">
        <f t="shared" si="1893"/>
        <v>133</v>
      </c>
      <c r="G2078" s="1774"/>
      <c r="H2078" s="1774"/>
      <c r="I2078" s="1774"/>
      <c r="J2078" s="1181"/>
      <c r="K2078" s="684">
        <f t="shared" si="1846"/>
        <v>1</v>
      </c>
      <c r="L2078" s="708">
        <v>1</v>
      </c>
      <c r="M2078" s="709">
        <f t="shared" si="1872"/>
        <v>1</v>
      </c>
      <c r="N2078" s="362" t="str">
        <f t="shared" si="1885"/>
        <v/>
      </c>
      <c r="O2078" s="1763" t="str">
        <f t="shared" si="1886"/>
        <v/>
      </c>
      <c r="P2078" s="1764" t="str">
        <f t="shared" si="1887"/>
        <v/>
      </c>
      <c r="Q2078" s="120" t="str">
        <f t="shared" si="1888"/>
        <v/>
      </c>
      <c r="R2078" s="1765"/>
    </row>
    <row r="2079" spans="1:18" s="120" customFormat="1" ht="18" customHeight="1" thickBot="1">
      <c r="A2079" s="1855"/>
      <c r="B2079" s="1854"/>
      <c r="C2079" s="1797"/>
      <c r="D2079" s="1889"/>
      <c r="E2079" s="1981"/>
      <c r="F2079" s="1981"/>
      <c r="G2079" s="1798"/>
      <c r="H2079" s="1798"/>
      <c r="I2079" s="1798"/>
      <c r="J2079" s="1799"/>
      <c r="K2079" s="1788"/>
      <c r="L2079" s="363"/>
      <c r="M2079" s="684"/>
      <c r="N2079" s="362" t="str">
        <f t="shared" si="1885"/>
        <v/>
      </c>
      <c r="O2079" s="1763" t="str">
        <f t="shared" si="1886"/>
        <v/>
      </c>
      <c r="P2079" s="1764" t="str">
        <f t="shared" si="1887"/>
        <v/>
      </c>
      <c r="Q2079" s="120" t="str">
        <f t="shared" si="1888"/>
        <v/>
      </c>
      <c r="R2079" s="185"/>
    </row>
    <row r="2080" spans="1:18" s="120" customFormat="1" ht="18" customHeight="1" thickBot="1">
      <c r="A2080" s="1989">
        <v>35</v>
      </c>
      <c r="B2080" s="1852">
        <v>1</v>
      </c>
      <c r="C2080" s="1756" t="s">
        <v>12597</v>
      </c>
      <c r="D2080" s="1588"/>
      <c r="E2080" s="1589"/>
      <c r="F2080" s="1589"/>
      <c r="G2080" s="1757">
        <f>SUM(F2081:F2139)</f>
        <v>5063.0600000000004</v>
      </c>
      <c r="H2080" s="1758">
        <f>G2080*(1-$D$6)</f>
        <v>5063.0600000000004</v>
      </c>
      <c r="I2080" s="1757">
        <f>ROUNDUP(H2080*$D$5,0)</f>
        <v>17215</v>
      </c>
      <c r="J2080" s="1759">
        <f>+I2080*B2080</f>
        <v>17215</v>
      </c>
      <c r="K2080" s="1788">
        <f>B2080</f>
        <v>1</v>
      </c>
      <c r="L2080" s="363"/>
      <c r="M2080" s="684"/>
      <c r="N2080" s="362" t="str">
        <f t="shared" si="1885"/>
        <v/>
      </c>
      <c r="O2080" s="1763" t="str">
        <f t="shared" si="1886"/>
        <v/>
      </c>
      <c r="P2080" s="1764" t="str">
        <f t="shared" si="1887"/>
        <v/>
      </c>
      <c r="Q2080" s="120" t="str">
        <f t="shared" si="1888"/>
        <v/>
      </c>
      <c r="R2080" s="185"/>
    </row>
    <row r="2081" spans="1:18" s="120" customFormat="1" ht="18" customHeight="1">
      <c r="A2081" s="685" t="s">
        <v>3064</v>
      </c>
      <c r="B2081" s="1903"/>
      <c r="C2081" s="1890"/>
      <c r="D2081" s="1904"/>
      <c r="E2081" s="1789"/>
      <c r="F2081" s="1780"/>
      <c r="G2081" s="686"/>
      <c r="H2081" s="710"/>
      <c r="I2081" s="686"/>
      <c r="J2081" s="1768"/>
      <c r="K2081" s="684">
        <f t="shared" ref="K2081:K2139" si="1899">+K2080</f>
        <v>1</v>
      </c>
      <c r="L2081" s="363">
        <v>1</v>
      </c>
      <c r="M2081" s="709">
        <f t="shared" ref="M2081:M2095" si="1900">IF(B2081="",1,B2081)</f>
        <v>1</v>
      </c>
      <c r="N2081" s="362" t="str">
        <f t="shared" si="1885"/>
        <v/>
      </c>
      <c r="O2081" s="1763" t="str">
        <f t="shared" si="1886"/>
        <v/>
      </c>
      <c r="P2081" s="1764" t="str">
        <f t="shared" si="1887"/>
        <v/>
      </c>
      <c r="Q2081" s="120" t="str">
        <f t="shared" si="1888"/>
        <v/>
      </c>
    </row>
    <row r="2082" spans="1:18" s="315" customFormat="1" ht="12" customHeight="1">
      <c r="A2082" s="687" t="s">
        <v>4136</v>
      </c>
      <c r="B2082" s="2096">
        <v>1</v>
      </c>
      <c r="C2082" s="1907" t="s">
        <v>5103</v>
      </c>
      <c r="D2082" s="1935"/>
      <c r="E2082" s="1786"/>
      <c r="F2082" s="1908">
        <f>SUM(F2084:F2088)*(B2082-1)</f>
        <v>0</v>
      </c>
      <c r="G2082" s="712"/>
      <c r="H2082" s="712"/>
      <c r="I2082" s="712"/>
      <c r="J2082" s="713"/>
      <c r="K2082" s="684">
        <f t="shared" si="1899"/>
        <v>1</v>
      </c>
      <c r="L2082" s="1909">
        <f>B2082</f>
        <v>1</v>
      </c>
      <c r="M2082" s="684">
        <f t="shared" si="1900"/>
        <v>1</v>
      </c>
      <c r="N2082" s="362" t="str">
        <f t="shared" si="1885"/>
        <v/>
      </c>
      <c r="O2082" s="1763" t="str">
        <f t="shared" si="1886"/>
        <v/>
      </c>
      <c r="P2082" s="1764" t="str">
        <f t="shared" si="1887"/>
        <v/>
      </c>
      <c r="Q2082" s="120" t="str">
        <f t="shared" si="1888"/>
        <v/>
      </c>
    </row>
    <row r="2083" spans="1:18" s="185" customFormat="1">
      <c r="A2083" s="687"/>
      <c r="B2083" s="1910">
        <v>3</v>
      </c>
      <c r="C2083" s="1911" t="str">
        <f>VLOOKUP(D2083,base_datos,6,FALSE)</f>
        <v>Portalámpara + lampara tipo LED - color Rojo - alimentacion: 220-230Vac, d=22mm. - CL2-523R - línea compacta - marca ABB.</v>
      </c>
      <c r="D2083" s="1790" t="s">
        <v>2439</v>
      </c>
      <c r="E2083" s="1939">
        <f>VLOOKUP(D2083,base_datos,5,FALSE)</f>
        <v>12.299999999999999</v>
      </c>
      <c r="F2083" s="1912">
        <f>+E2083*B2083</f>
        <v>36.9</v>
      </c>
      <c r="G2083" s="710"/>
      <c r="H2083" s="710"/>
      <c r="I2083" s="710"/>
      <c r="J2083" s="711"/>
      <c r="K2083" s="684">
        <f t="shared" si="1899"/>
        <v>1</v>
      </c>
      <c r="L2083" s="1913">
        <f>L2081</f>
        <v>1</v>
      </c>
      <c r="M2083" s="684">
        <f t="shared" si="1900"/>
        <v>3</v>
      </c>
      <c r="N2083" s="362">
        <f t="shared" si="1885"/>
        <v>3</v>
      </c>
      <c r="O2083" s="1763" t="str">
        <f t="shared" si="1886"/>
        <v>1SFA619403R5231</v>
      </c>
      <c r="P2083" s="1764" t="str">
        <f t="shared" si="1887"/>
        <v>Portalámpara + lampara tipo LED - color Rojo - alimentacion: 220-230Vac, d=22mm. - CL2-523R - línea compacta - marca ABB.</v>
      </c>
      <c r="Q2083" s="120" t="str">
        <f t="shared" si="1888"/>
        <v>LAMP_ROJO_220V</v>
      </c>
    </row>
    <row r="2084" spans="1:18" s="185" customFormat="1">
      <c r="A2084" s="687" t="s">
        <v>12356</v>
      </c>
      <c r="B2084" s="1910">
        <v>3</v>
      </c>
      <c r="C2084" s="1911" t="str">
        <f>VLOOKUP(D2084,base_datos,6,FALSE)</f>
        <v>Portalámpara + lampara tipo LED - color Verde - alimentacion: 220-230Vac, d=22mm. - CL2-523G - línea compacta - marca ABB.</v>
      </c>
      <c r="D2084" s="1790" t="s">
        <v>2440</v>
      </c>
      <c r="E2084" s="1939">
        <f>VLOOKUP(D2084,base_datos,5,FALSE)</f>
        <v>12.299999999999999</v>
      </c>
      <c r="F2084" s="1912">
        <f>+E2084*B2084</f>
        <v>36.9</v>
      </c>
      <c r="G2084" s="710"/>
      <c r="H2084" s="710"/>
      <c r="I2084" s="710"/>
      <c r="J2084" s="711"/>
      <c r="K2084" s="684">
        <f t="shared" si="1899"/>
        <v>1</v>
      </c>
      <c r="L2084" s="1913">
        <f>L2082</f>
        <v>1</v>
      </c>
      <c r="M2084" s="684">
        <f t="shared" si="1900"/>
        <v>3</v>
      </c>
      <c r="N2084" s="362">
        <f t="shared" si="1885"/>
        <v>3</v>
      </c>
      <c r="O2084" s="1763" t="str">
        <f t="shared" si="1886"/>
        <v>1SFA619403R5232</v>
      </c>
      <c r="P2084" s="1764" t="str">
        <f t="shared" si="1887"/>
        <v>Portalámpara + lampara tipo LED - color Verde - alimentacion: 220-230Vac, d=22mm. - CL2-523G - línea compacta - marca ABB.</v>
      </c>
      <c r="Q2084" s="120" t="str">
        <f t="shared" si="1888"/>
        <v>LAMP_VERDE_220V</v>
      </c>
    </row>
    <row r="2085" spans="1:18" s="1921" customFormat="1">
      <c r="A2085" s="687" t="s">
        <v>12378</v>
      </c>
      <c r="B2085" s="1914">
        <v>1</v>
      </c>
      <c r="C2085" s="1915" t="s">
        <v>3366</v>
      </c>
      <c r="D2085" s="1916"/>
      <c r="E2085" s="1917"/>
      <c r="F2085" s="1918"/>
      <c r="G2085" s="1919"/>
      <c r="H2085" s="1919"/>
      <c r="I2085" s="1919"/>
      <c r="J2085" s="1920"/>
      <c r="K2085" s="684">
        <f t="shared" si="1899"/>
        <v>1</v>
      </c>
      <c r="L2085" s="1913">
        <f>L2084</f>
        <v>1</v>
      </c>
      <c r="M2085" s="684">
        <f t="shared" si="1900"/>
        <v>1</v>
      </c>
      <c r="N2085" s="362" t="str">
        <f t="shared" si="1885"/>
        <v/>
      </c>
      <c r="O2085" s="1763" t="str">
        <f t="shared" si="1886"/>
        <v/>
      </c>
      <c r="P2085" s="1764" t="str">
        <f t="shared" si="1887"/>
        <v/>
      </c>
      <c r="Q2085" s="120" t="str">
        <f t="shared" si="1888"/>
        <v/>
      </c>
    </row>
    <row r="2086" spans="1:18" s="320" customFormat="1">
      <c r="A2086" s="1767"/>
      <c r="B2086" s="1922">
        <v>1</v>
      </c>
      <c r="C2086" s="721" t="str">
        <f>VLOOKUP(D2086,base_datos,6,FALSE)</f>
        <v>Rele auxiliar enchufable +4NA/NC (D2PR4B + base D2PA6), 220Vac - marca EATON.</v>
      </c>
      <c r="D2086" s="1579" t="s">
        <v>772</v>
      </c>
      <c r="E2086" s="1581">
        <f>VLOOKUP(D2086,base_datos,5,FALSE)</f>
        <v>27</v>
      </c>
      <c r="F2086" s="1923">
        <f>+E2086*B2086</f>
        <v>27</v>
      </c>
      <c r="G2086" s="1924"/>
      <c r="H2086" s="1924"/>
      <c r="I2086" s="1924"/>
      <c r="J2086" s="722"/>
      <c r="K2086" s="684">
        <f t="shared" si="1899"/>
        <v>1</v>
      </c>
      <c r="L2086" s="1913">
        <f>L2083</f>
        <v>1</v>
      </c>
      <c r="M2086" s="684">
        <f t="shared" si="1900"/>
        <v>1</v>
      </c>
      <c r="N2086" s="362">
        <f t="shared" si="1885"/>
        <v>1</v>
      </c>
      <c r="O2086" s="1763" t="str">
        <f t="shared" si="1886"/>
        <v>D2PR4B+D2PA6</v>
      </c>
      <c r="P2086" s="1764" t="str">
        <f t="shared" si="1887"/>
        <v>Rele auxiliar enchufable +4NA/NC (D2PR4B + base D2PA6), 220Vac - marca EATON.</v>
      </c>
      <c r="Q2086" s="120" t="str">
        <f t="shared" si="1888"/>
        <v>D2PR4B+D2PA6</v>
      </c>
    </row>
    <row r="2087" spans="1:18" s="320" customFormat="1">
      <c r="A2087" s="687" t="s">
        <v>12551</v>
      </c>
      <c r="B2087" s="2131">
        <v>1</v>
      </c>
      <c r="C2087" s="2132" t="s">
        <v>12558</v>
      </c>
      <c r="D2087" s="2133"/>
      <c r="E2087" s="2134">
        <v>32</v>
      </c>
      <c r="F2087" s="2134">
        <f>+E2087*B2087</f>
        <v>32</v>
      </c>
      <c r="G2087" s="1924"/>
      <c r="H2087" s="1924"/>
      <c r="I2087" s="1924"/>
      <c r="J2087" s="722"/>
      <c r="K2087" s="684">
        <f t="shared" si="1899"/>
        <v>1</v>
      </c>
      <c r="L2087" s="1913">
        <f>L2084</f>
        <v>1</v>
      </c>
      <c r="M2087" s="684">
        <f t="shared" si="1900"/>
        <v>1</v>
      </c>
      <c r="N2087" s="362" t="str">
        <f t="shared" si="1885"/>
        <v/>
      </c>
      <c r="O2087" s="1763" t="str">
        <f t="shared" si="1886"/>
        <v/>
      </c>
      <c r="P2087" s="1764" t="str">
        <f t="shared" si="1887"/>
        <v/>
      </c>
      <c r="Q2087" s="120" t="str">
        <f t="shared" si="1888"/>
        <v/>
      </c>
    </row>
    <row r="2088" spans="1:18" s="320" customFormat="1">
      <c r="A2088" s="687" t="s">
        <v>3542</v>
      </c>
      <c r="B2088" s="1922">
        <v>4</v>
      </c>
      <c r="C2088" s="721" t="str">
        <f>VLOOKUP(D2088,base_datos,6,FALSE)</f>
        <v>Base portafusibles + Fusibles de protección para control.</v>
      </c>
      <c r="D2088" s="1579" t="s">
        <v>453</v>
      </c>
      <c r="E2088" s="1581">
        <f>VLOOKUP(D2088,base_datos,5,FALSE)</f>
        <v>8.1750000000000007</v>
      </c>
      <c r="F2088" s="1923">
        <f>+E2088*B2088</f>
        <v>32.700000000000003</v>
      </c>
      <c r="G2088" s="1924"/>
      <c r="H2088" s="1924"/>
      <c r="I2088" s="1924"/>
      <c r="J2088" s="722"/>
      <c r="K2088" s="684">
        <f t="shared" si="1899"/>
        <v>1</v>
      </c>
      <c r="L2088" s="1913">
        <f>L2085</f>
        <v>1</v>
      </c>
      <c r="M2088" s="684">
        <f t="shared" si="1900"/>
        <v>4</v>
      </c>
      <c r="N2088" s="362" t="str">
        <f t="shared" si="1885"/>
        <v/>
      </c>
      <c r="O2088" s="1763" t="str">
        <f t="shared" si="1886"/>
        <v/>
      </c>
      <c r="P2088" s="1764" t="str">
        <f t="shared" si="1887"/>
        <v/>
      </c>
      <c r="Q2088" s="120" t="str">
        <f t="shared" si="1888"/>
        <v/>
      </c>
    </row>
    <row r="2089" spans="1:18" s="315" customFormat="1">
      <c r="A2089" s="1771"/>
      <c r="B2089" s="1906"/>
      <c r="C2089" s="1907"/>
      <c r="D2089" s="1935"/>
      <c r="E2089" s="1786"/>
      <c r="F2089" s="1936"/>
      <c r="G2089" s="712"/>
      <c r="H2089" s="712"/>
      <c r="I2089" s="712"/>
      <c r="J2089" s="713"/>
      <c r="K2089" s="684">
        <f t="shared" si="1899"/>
        <v>1</v>
      </c>
      <c r="L2089" s="1909">
        <f>B2089</f>
        <v>0</v>
      </c>
      <c r="M2089" s="684">
        <f t="shared" si="1900"/>
        <v>1</v>
      </c>
      <c r="N2089" s="362" t="str">
        <f t="shared" si="1885"/>
        <v/>
      </c>
      <c r="O2089" s="1763" t="str">
        <f t="shared" si="1886"/>
        <v/>
      </c>
      <c r="P2089" s="1764" t="str">
        <f t="shared" si="1887"/>
        <v/>
      </c>
      <c r="Q2089" s="120" t="str">
        <f t="shared" si="1888"/>
        <v/>
      </c>
    </row>
    <row r="2090" spans="1:18" s="185" customFormat="1" ht="13.5" customHeight="1">
      <c r="A2090" s="1771"/>
      <c r="B2090" s="1922"/>
      <c r="C2090" s="1956" t="s">
        <v>12368</v>
      </c>
      <c r="D2090" s="1579"/>
      <c r="E2090" s="1957"/>
      <c r="F2090" s="1958"/>
      <c r="G2090" s="710"/>
      <c r="H2090" s="710"/>
      <c r="I2090" s="710"/>
      <c r="J2090" s="711"/>
      <c r="K2090" s="684">
        <f t="shared" si="1899"/>
        <v>1</v>
      </c>
      <c r="L2090" s="708">
        <v>1</v>
      </c>
      <c r="M2090" s="684">
        <f t="shared" si="1900"/>
        <v>1</v>
      </c>
      <c r="N2090" s="362" t="str">
        <f t="shared" si="1885"/>
        <v/>
      </c>
      <c r="O2090" s="1763" t="str">
        <f t="shared" si="1886"/>
        <v/>
      </c>
      <c r="P2090" s="1764" t="str">
        <f t="shared" si="1887"/>
        <v/>
      </c>
      <c r="Q2090" s="120" t="str">
        <f t="shared" si="1888"/>
        <v/>
      </c>
    </row>
    <row r="2091" spans="1:18" s="120" customFormat="1" ht="18" customHeight="1">
      <c r="A2091" s="1931"/>
      <c r="B2091" s="1779">
        <v>6</v>
      </c>
      <c r="C2091" s="1892" t="str">
        <f>VLOOKUP(D2091,base_datos,6,FALSE)</f>
        <v>Transformador de tensión monofásico 480 / 240 Vac - 50VA.</v>
      </c>
      <c r="D2091" s="1898" t="s">
        <v>8587</v>
      </c>
      <c r="E2091" s="1581">
        <f>VLOOKUP(D2091,base_datos,5,FALSE)</f>
        <v>76.8</v>
      </c>
      <c r="F2091" s="1581">
        <f>+E2091*B2091</f>
        <v>460.79999999999995</v>
      </c>
      <c r="G2091" s="686"/>
      <c r="H2091" s="686"/>
      <c r="I2091" s="686"/>
      <c r="J2091" s="1768"/>
      <c r="K2091" s="684">
        <f t="shared" si="1899"/>
        <v>1</v>
      </c>
      <c r="L2091" s="708">
        <v>1</v>
      </c>
      <c r="M2091" s="709">
        <f t="shared" si="1900"/>
        <v>6</v>
      </c>
      <c r="N2091" s="362" t="str">
        <f t="shared" si="1885"/>
        <v/>
      </c>
      <c r="O2091" s="1763" t="str">
        <f t="shared" si="1886"/>
        <v/>
      </c>
      <c r="P2091" s="1764" t="str">
        <f t="shared" si="1887"/>
        <v/>
      </c>
      <c r="Q2091" s="120" t="str">
        <f t="shared" si="1888"/>
        <v/>
      </c>
      <c r="R2091" s="185"/>
    </row>
    <row r="2092" spans="1:18" s="120" customFormat="1" ht="18" customHeight="1">
      <c r="A2092" s="691"/>
      <c r="B2092" s="1925"/>
      <c r="C2092" s="1926" t="s">
        <v>729</v>
      </c>
      <c r="D2092" s="1927"/>
      <c r="E2092" s="1891"/>
      <c r="F2092" s="1789"/>
      <c r="G2092" s="686"/>
      <c r="H2092" s="686"/>
      <c r="I2092" s="686"/>
      <c r="J2092" s="1768"/>
      <c r="K2092" s="684">
        <f t="shared" si="1899"/>
        <v>1</v>
      </c>
      <c r="L2092" s="363">
        <v>1</v>
      </c>
      <c r="M2092" s="709">
        <f t="shared" si="1900"/>
        <v>1</v>
      </c>
      <c r="N2092" s="362" t="str">
        <f t="shared" si="1885"/>
        <v/>
      </c>
      <c r="O2092" s="1763" t="str">
        <f t="shared" si="1886"/>
        <v/>
      </c>
      <c r="P2092" s="1764" t="str">
        <f t="shared" si="1887"/>
        <v/>
      </c>
      <c r="Q2092" s="120" t="str">
        <f t="shared" si="1888"/>
        <v/>
      </c>
    </row>
    <row r="2093" spans="1:18" s="120" customFormat="1" ht="18" customHeight="1">
      <c r="A2093" s="687"/>
      <c r="B2093" s="1781"/>
      <c r="C2093" s="1218" t="s">
        <v>3158</v>
      </c>
      <c r="D2093" s="1900"/>
      <c r="E2093" s="1791"/>
      <c r="F2093" s="1782"/>
      <c r="G2093" s="686"/>
      <c r="H2093" s="686"/>
      <c r="I2093" s="686"/>
      <c r="J2093" s="688"/>
      <c r="K2093" s="684">
        <f t="shared" si="1899"/>
        <v>1</v>
      </c>
      <c r="L2093" s="708">
        <v>1</v>
      </c>
      <c r="M2093" s="709">
        <f t="shared" si="1900"/>
        <v>1</v>
      </c>
      <c r="N2093" s="362" t="str">
        <f t="shared" si="1885"/>
        <v/>
      </c>
      <c r="O2093" s="1763" t="str">
        <f t="shared" si="1886"/>
        <v/>
      </c>
      <c r="P2093" s="1764" t="str">
        <f t="shared" si="1887"/>
        <v/>
      </c>
      <c r="Q2093" s="120" t="str">
        <f t="shared" si="1888"/>
        <v/>
      </c>
      <c r="R2093" s="185"/>
    </row>
    <row r="2094" spans="1:18" s="690" customFormat="1" ht="18" customHeight="1">
      <c r="A2094" s="687"/>
      <c r="B2094" s="1781">
        <v>1</v>
      </c>
      <c r="C2094" s="1420" t="str">
        <f>VLOOKUP(D2094,base_datos,6,FALSE)</f>
        <v>ITM Caja Moldeada 3x40A (reg.[0.7-1.0] In) - XT2N160-40A-3P-TMA - 65kA@230Vac, 36kA@415Vac - marca ABB.</v>
      </c>
      <c r="D2094" s="1901" t="s">
        <v>12533</v>
      </c>
      <c r="E2094" s="1791">
        <f>VLOOKUP(D2094,base_datos,5,FALSE)</f>
        <v>207</v>
      </c>
      <c r="F2094" s="1782">
        <f>+E2094*B2094</f>
        <v>207</v>
      </c>
      <c r="G2094" s="1761"/>
      <c r="H2094" s="1761"/>
      <c r="I2094" s="1761"/>
      <c r="J2094" s="689"/>
      <c r="K2094" s="684">
        <f t="shared" si="1899"/>
        <v>1</v>
      </c>
      <c r="L2094" s="708">
        <v>1</v>
      </c>
      <c r="M2094" s="709">
        <f t="shared" si="1900"/>
        <v>1</v>
      </c>
      <c r="N2094" s="362">
        <f t="shared" si="1885"/>
        <v>1</v>
      </c>
      <c r="O2094" s="1763" t="str">
        <f t="shared" si="1886"/>
        <v>1SDA067014R1</v>
      </c>
      <c r="P2094" s="1764" t="str">
        <f t="shared" si="1887"/>
        <v>ITM Caja Moldeada 3x40A (reg.[0.7-1.0] In) - XT2N160-40A-3P-TMA - 65kA@230Vac, 36kA@415Vac - marca ABB.</v>
      </c>
      <c r="Q2094" s="120" t="str">
        <f t="shared" si="1888"/>
        <v>XT2N160-40A-3P-TMa</v>
      </c>
      <c r="R2094" s="185"/>
    </row>
    <row r="2095" spans="1:18" s="320" customFormat="1">
      <c r="A2095" s="687"/>
      <c r="B2095" s="1929">
        <v>1</v>
      </c>
      <c r="C2095" s="1930" t="str">
        <f t="shared" ref="C2095" si="1901">VLOOKUP(D2095,base_datos,6,FALSE)</f>
        <v>FC-CuAl_XT2 - Terminales + Cubrebornes - cables de cobre/aluminio hasta 1x185mm2 - 3 terminales (externos)</v>
      </c>
      <c r="D2095" s="1938" t="s">
        <v>957</v>
      </c>
      <c r="E2095" s="1580">
        <f t="shared" ref="E2095" si="1902">VLOOKUP(D2095,base_datos,5,FALSE)</f>
        <v>69.36</v>
      </c>
      <c r="F2095" s="1581">
        <f t="shared" ref="F2095" si="1903">+E2095*B2095</f>
        <v>69.36</v>
      </c>
      <c r="G2095" s="1924"/>
      <c r="H2095" s="1924"/>
      <c r="I2095" s="1924"/>
      <c r="J2095" s="722"/>
      <c r="K2095" s="684">
        <f t="shared" si="1899"/>
        <v>1</v>
      </c>
      <c r="L2095" s="1913">
        <f>L2094</f>
        <v>1</v>
      </c>
      <c r="M2095" s="709">
        <f t="shared" si="1900"/>
        <v>1</v>
      </c>
      <c r="N2095" s="362">
        <f t="shared" si="1885"/>
        <v>1</v>
      </c>
      <c r="O2095" s="1763" t="str">
        <f t="shared" si="1886"/>
        <v>1SDA067167R1</v>
      </c>
      <c r="P2095" s="1764" t="str">
        <f t="shared" si="1887"/>
        <v>FC-CuAl_XT2 - Terminales + Cubrebornes - cables de cobre/aluminio hasta 1x185mm2 - 3 terminales (externos)</v>
      </c>
      <c r="Q2095" s="120" t="str">
        <f t="shared" si="1888"/>
        <v>FC-CuAl_XT2_3t</v>
      </c>
    </row>
    <row r="2096" spans="1:18" s="185" customFormat="1">
      <c r="A2096" s="687"/>
      <c r="B2096" s="714"/>
      <c r="C2096" s="313" t="s">
        <v>729</v>
      </c>
      <c r="D2096" s="173"/>
      <c r="E2096" s="1786"/>
      <c r="F2096" s="1787"/>
      <c r="G2096" s="710"/>
      <c r="H2096" s="710"/>
      <c r="I2096" s="710"/>
      <c r="J2096" s="711"/>
      <c r="K2096" s="684">
        <f t="shared" si="1899"/>
        <v>1</v>
      </c>
      <c r="L2096" s="708">
        <v>1</v>
      </c>
      <c r="M2096" s="709">
        <f>IF(B2096="",1,B2096)</f>
        <v>1</v>
      </c>
      <c r="N2096" s="362" t="str">
        <f t="shared" si="1885"/>
        <v/>
      </c>
      <c r="O2096" s="1763" t="str">
        <f t="shared" si="1886"/>
        <v/>
      </c>
      <c r="P2096" s="1764" t="str">
        <f t="shared" si="1887"/>
        <v/>
      </c>
      <c r="Q2096" s="120" t="str">
        <f t="shared" si="1888"/>
        <v/>
      </c>
    </row>
    <row r="2097" spans="1:18" s="315" customFormat="1">
      <c r="A2097" s="687"/>
      <c r="B2097" s="1932">
        <v>2</v>
      </c>
      <c r="C2097" s="1933" t="str">
        <f t="shared" ref="C2097" si="1904">VLOOKUP(D2097,base_datos,6,FALSE)</f>
        <v>2(Q) contacto conmutado de estado (NA/NC) + 1(SY) contacto por disparo de interruptor - XT1..XT4 - versión cableada - marca ABB.</v>
      </c>
      <c r="D2097" s="1790" t="s">
        <v>3244</v>
      </c>
      <c r="E2097" s="1939">
        <f t="shared" ref="E2097" si="1905">VLOOKUP(D2097,base_datos,5,FALSE)</f>
        <v>132.1</v>
      </c>
      <c r="F2097" s="1940">
        <f t="shared" ref="F2097" si="1906">+E2097*B2097</f>
        <v>264.2</v>
      </c>
      <c r="G2097" s="712"/>
      <c r="H2097" s="712"/>
      <c r="I2097" s="712"/>
      <c r="J2097" s="713"/>
      <c r="K2097" s="684">
        <f t="shared" si="1899"/>
        <v>1</v>
      </c>
      <c r="L2097" s="1913" t="e">
        <f>#REF!</f>
        <v>#REF!</v>
      </c>
      <c r="M2097" s="709">
        <f t="shared" ref="M2097" si="1907">IF(B2097="",1,B2097)</f>
        <v>2</v>
      </c>
      <c r="N2097" s="362" t="e">
        <f t="shared" si="1885"/>
        <v>#REF!</v>
      </c>
      <c r="O2097" s="1763" t="str">
        <f t="shared" si="1886"/>
        <v>1SDA066433R1</v>
      </c>
      <c r="P2097" s="1764" t="str">
        <f t="shared" si="1887"/>
        <v>2(Q) contacto conmutado de estado (NA/NC) + 1(SY) contacto por disparo de interruptor - XT1..XT4 - versión cableada - marca ABB.</v>
      </c>
      <c r="Q2097" s="120" t="str">
        <f t="shared" si="1888"/>
        <v>2Q+1SY_XT1..XT4</v>
      </c>
    </row>
    <row r="2098" spans="1:18" s="185" customFormat="1">
      <c r="A2098" s="1771"/>
      <c r="B2098" s="714"/>
      <c r="C2098" s="313" t="s">
        <v>729</v>
      </c>
      <c r="D2098" s="173"/>
      <c r="E2098" s="1786"/>
      <c r="F2098" s="1787"/>
      <c r="G2098" s="710"/>
      <c r="H2098" s="710"/>
      <c r="I2098" s="710"/>
      <c r="J2098" s="711"/>
      <c r="K2098" s="684">
        <f t="shared" si="1899"/>
        <v>1</v>
      </c>
      <c r="L2098" s="708">
        <v>1</v>
      </c>
      <c r="M2098" s="709">
        <f>IF(B2098="",1,B2098)</f>
        <v>1</v>
      </c>
      <c r="N2098" s="362" t="str">
        <f t="shared" si="1885"/>
        <v/>
      </c>
      <c r="O2098" s="1763" t="str">
        <f t="shared" si="1886"/>
        <v/>
      </c>
      <c r="P2098" s="1764" t="str">
        <f t="shared" si="1887"/>
        <v/>
      </c>
      <c r="Q2098" s="120" t="str">
        <f t="shared" si="1888"/>
        <v/>
      </c>
    </row>
    <row r="2099" spans="1:18" s="1766" customFormat="1" ht="18" customHeight="1">
      <c r="A2099" s="687"/>
      <c r="B2099" s="1769"/>
      <c r="C2099" s="1770" t="s">
        <v>11663</v>
      </c>
      <c r="D2099" s="1901"/>
      <c r="E2099" s="1581"/>
      <c r="F2099" s="1581"/>
      <c r="G2099" s="1761"/>
      <c r="H2099" s="1761"/>
      <c r="I2099" s="1761"/>
      <c r="J2099" s="1762"/>
      <c r="K2099" s="684">
        <f t="shared" si="1899"/>
        <v>1</v>
      </c>
      <c r="L2099" s="708">
        <v>1</v>
      </c>
      <c r="M2099" s="709">
        <f t="shared" ref="M2099:M2111" si="1908">IF(B2099="",1,B2099)</f>
        <v>1</v>
      </c>
      <c r="N2099" s="362" t="str">
        <f t="shared" si="1885"/>
        <v/>
      </c>
      <c r="O2099" s="1763" t="str">
        <f t="shared" si="1886"/>
        <v/>
      </c>
      <c r="P2099" s="1764" t="str">
        <f t="shared" si="1887"/>
        <v/>
      </c>
      <c r="Q2099" s="120" t="str">
        <f t="shared" si="1888"/>
        <v/>
      </c>
      <c r="R2099" s="1765"/>
    </row>
    <row r="2100" spans="1:18" s="1766" customFormat="1" ht="18" customHeight="1">
      <c r="A2100" s="687"/>
      <c r="B2100" s="1760">
        <v>1</v>
      </c>
      <c r="C2100" s="1892" t="str">
        <f t="shared" ref="C2100:C2104" si="1909">VLOOKUP(D2100,base_datos,6,FALSE)</f>
        <v>Analizador de Redes DIRIS-A30 - precisión (V, I) 0.2%, precisión de energía activa / reactiva: clase 0,5S / clase 2 - marca SOCOMEC.</v>
      </c>
      <c r="D2100" s="1898" t="s">
        <v>12164</v>
      </c>
      <c r="E2100" s="1581">
        <f t="shared" ref="E2100:E2104" si="1910">VLOOKUP(D2100,base_datos,5,FALSE)</f>
        <v>633.64</v>
      </c>
      <c r="F2100" s="1581">
        <f t="shared" ref="F2100:F2104" si="1911">+E2100*B2100</f>
        <v>633.64</v>
      </c>
      <c r="G2100" s="1761"/>
      <c r="H2100" s="1761"/>
      <c r="I2100" s="1761"/>
      <c r="J2100" s="1762"/>
      <c r="K2100" s="684">
        <f t="shared" si="1899"/>
        <v>1</v>
      </c>
      <c r="L2100" s="708">
        <v>1</v>
      </c>
      <c r="M2100" s="709">
        <f t="shared" si="1908"/>
        <v>1</v>
      </c>
      <c r="N2100" s="362">
        <f t="shared" si="1885"/>
        <v>1</v>
      </c>
      <c r="O2100" s="1763" t="str">
        <f t="shared" si="1886"/>
        <v>4825 0403</v>
      </c>
      <c r="P2100" s="1764" t="str">
        <f t="shared" si="1887"/>
        <v>Analizador de Redes DIRIS-A30 - precisión (V, I) 0.2%, precisión de energía activa / reactiva: clase 0,5S / clase 2 - marca SOCOMEC.</v>
      </c>
      <c r="Q2100" s="120" t="str">
        <f t="shared" si="1888"/>
        <v>DIRIS-A30</v>
      </c>
      <c r="R2100" s="1765"/>
    </row>
    <row r="2101" spans="1:18" s="1766" customFormat="1" ht="18" customHeight="1">
      <c r="A2101" s="687"/>
      <c r="B2101" s="1760">
        <v>1</v>
      </c>
      <c r="C2101" s="1990" t="str">
        <f t="shared" si="1909"/>
        <v>Módulo de comunicación RS 485 MODBUS, para Analizador de Red, DIRIS-A30, marca SOCOMEC.</v>
      </c>
      <c r="D2101" s="144" t="s">
        <v>12166</v>
      </c>
      <c r="E2101" s="1581">
        <f t="shared" si="1910"/>
        <v>115.64</v>
      </c>
      <c r="F2101" s="1581">
        <f t="shared" si="1911"/>
        <v>115.64</v>
      </c>
      <c r="G2101" s="1761"/>
      <c r="H2101" s="1761"/>
      <c r="I2101" s="1761"/>
      <c r="J2101" s="1762"/>
      <c r="K2101" s="684">
        <f t="shared" si="1899"/>
        <v>1</v>
      </c>
      <c r="L2101" s="708">
        <v>1</v>
      </c>
      <c r="M2101" s="709">
        <f t="shared" si="1908"/>
        <v>1</v>
      </c>
      <c r="N2101" s="362">
        <f t="shared" si="1885"/>
        <v>1</v>
      </c>
      <c r="O2101" s="1763" t="str">
        <f t="shared" si="1886"/>
        <v>4825 0092</v>
      </c>
      <c r="P2101" s="1764" t="str">
        <f t="shared" si="1887"/>
        <v>Módulo de comunicación RS 485 MODBUS, para Analizador de Red, DIRIS-A30, marca SOCOMEC.</v>
      </c>
      <c r="Q2101" s="120" t="str">
        <f t="shared" si="1888"/>
        <v>DIRIS-A30/Com</v>
      </c>
      <c r="R2101" s="1765"/>
    </row>
    <row r="2102" spans="1:18" s="1766" customFormat="1" ht="18" customHeight="1">
      <c r="A2102" s="687"/>
      <c r="B2102" s="1760">
        <f>3*B2100</f>
        <v>3</v>
      </c>
      <c r="C2102" s="1892" t="str">
        <f t="shared" si="1909"/>
        <v>Transformador de corriente de 50/5A</v>
      </c>
      <c r="D2102" s="1899" t="s">
        <v>8260</v>
      </c>
      <c r="E2102" s="1581">
        <f t="shared" si="1910"/>
        <v>65</v>
      </c>
      <c r="F2102" s="1581">
        <f t="shared" si="1911"/>
        <v>195</v>
      </c>
      <c r="G2102" s="1761"/>
      <c r="H2102" s="1761"/>
      <c r="I2102" s="1761"/>
      <c r="J2102" s="1762"/>
      <c r="K2102" s="684">
        <f t="shared" si="1899"/>
        <v>1</v>
      </c>
      <c r="L2102" s="708">
        <v>1</v>
      </c>
      <c r="M2102" s="709">
        <f t="shared" si="1908"/>
        <v>3</v>
      </c>
      <c r="N2102" s="362" t="str">
        <f t="shared" si="1885"/>
        <v/>
      </c>
      <c r="O2102" s="1763" t="str">
        <f t="shared" si="1886"/>
        <v/>
      </c>
      <c r="P2102" s="1764" t="str">
        <f t="shared" si="1887"/>
        <v/>
      </c>
      <c r="Q2102" s="120" t="str">
        <f t="shared" si="1888"/>
        <v/>
      </c>
      <c r="R2102" s="1765"/>
    </row>
    <row r="2103" spans="1:18" s="1766" customFormat="1" ht="18" customHeight="1">
      <c r="A2103" s="687"/>
      <c r="B2103" s="1760">
        <f>5*B2100</f>
        <v>5</v>
      </c>
      <c r="C2103" s="1892" t="str">
        <f t="shared" si="1909"/>
        <v>Base portafusibles + Fusibles de protección para control.</v>
      </c>
      <c r="D2103" s="1899" t="s">
        <v>453</v>
      </c>
      <c r="E2103" s="1581">
        <f t="shared" si="1910"/>
        <v>8.1750000000000007</v>
      </c>
      <c r="F2103" s="1581">
        <f t="shared" si="1911"/>
        <v>40.875</v>
      </c>
      <c r="G2103" s="1761"/>
      <c r="H2103" s="1761"/>
      <c r="I2103" s="1761"/>
      <c r="J2103" s="1762"/>
      <c r="K2103" s="684">
        <f t="shared" si="1899"/>
        <v>1</v>
      </c>
      <c r="L2103" s="708">
        <v>1</v>
      </c>
      <c r="M2103" s="709">
        <f t="shared" si="1908"/>
        <v>5</v>
      </c>
      <c r="N2103" s="362" t="str">
        <f t="shared" si="1885"/>
        <v/>
      </c>
      <c r="O2103" s="1763" t="str">
        <f t="shared" si="1886"/>
        <v/>
      </c>
      <c r="P2103" s="1764" t="str">
        <f t="shared" si="1887"/>
        <v/>
      </c>
      <c r="Q2103" s="120" t="str">
        <f t="shared" si="1888"/>
        <v/>
      </c>
      <c r="R2103" s="1765"/>
    </row>
    <row r="2104" spans="1:18" s="1766" customFormat="1" ht="18" customHeight="1">
      <c r="A2104" s="1771"/>
      <c r="B2104" s="1760">
        <f>6*B2100</f>
        <v>6</v>
      </c>
      <c r="C2104" s="1892" t="str">
        <f t="shared" si="1909"/>
        <v>Bornes seccionables de corriente.</v>
      </c>
      <c r="D2104" s="1899" t="s">
        <v>435</v>
      </c>
      <c r="E2104" s="1581">
        <f t="shared" si="1910"/>
        <v>12</v>
      </c>
      <c r="F2104" s="1581">
        <f t="shared" si="1911"/>
        <v>72</v>
      </c>
      <c r="G2104" s="1761"/>
      <c r="H2104" s="1761"/>
      <c r="I2104" s="1761"/>
      <c r="J2104" s="1762"/>
      <c r="K2104" s="684">
        <f t="shared" si="1899"/>
        <v>1</v>
      </c>
      <c r="L2104" s="708">
        <v>1</v>
      </c>
      <c r="M2104" s="709">
        <f t="shared" si="1908"/>
        <v>6</v>
      </c>
      <c r="N2104" s="362" t="str">
        <f t="shared" si="1885"/>
        <v/>
      </c>
      <c r="O2104" s="1763" t="str">
        <f t="shared" si="1886"/>
        <v/>
      </c>
      <c r="P2104" s="1764" t="str">
        <f t="shared" si="1887"/>
        <v/>
      </c>
      <c r="Q2104" s="120" t="str">
        <f t="shared" si="1888"/>
        <v/>
      </c>
      <c r="R2104" s="1765"/>
    </row>
    <row r="2105" spans="1:18" s="185" customFormat="1" ht="18" customHeight="1">
      <c r="A2105" s="693"/>
      <c r="B2105" s="714"/>
      <c r="C2105" s="1893" t="s">
        <v>729</v>
      </c>
      <c r="D2105" s="173"/>
      <c r="E2105" s="1581"/>
      <c r="F2105" s="1581"/>
      <c r="G2105" s="710"/>
      <c r="H2105" s="710"/>
      <c r="I2105" s="710"/>
      <c r="J2105" s="711"/>
      <c r="K2105" s="684">
        <f t="shared" si="1899"/>
        <v>1</v>
      </c>
      <c r="L2105" s="708">
        <v>1</v>
      </c>
      <c r="M2105" s="709">
        <f t="shared" si="1908"/>
        <v>1</v>
      </c>
      <c r="N2105" s="362" t="str">
        <f t="shared" si="1885"/>
        <v/>
      </c>
      <c r="O2105" s="1763" t="str">
        <f t="shared" si="1886"/>
        <v/>
      </c>
      <c r="P2105" s="1764" t="str">
        <f t="shared" si="1887"/>
        <v/>
      </c>
      <c r="Q2105" s="120" t="str">
        <f t="shared" si="1888"/>
        <v/>
      </c>
      <c r="R2105" s="1765"/>
    </row>
    <row r="2106" spans="1:18" s="690" customFormat="1" ht="18" customHeight="1">
      <c r="A2106" s="1767"/>
      <c r="B2106" s="1851"/>
      <c r="C2106" s="1894" t="s">
        <v>3377</v>
      </c>
      <c r="D2106" s="1582"/>
      <c r="E2106" s="1780"/>
      <c r="F2106" s="1782"/>
      <c r="G2106" s="1761"/>
      <c r="H2106" s="1761"/>
      <c r="I2106" s="1761"/>
      <c r="J2106" s="689"/>
      <c r="K2106" s="684">
        <f t="shared" si="1899"/>
        <v>1</v>
      </c>
      <c r="L2106" s="708">
        <v>1</v>
      </c>
      <c r="M2106" s="709">
        <f t="shared" si="1908"/>
        <v>1</v>
      </c>
      <c r="N2106" s="362" t="str">
        <f t="shared" si="1885"/>
        <v/>
      </c>
      <c r="O2106" s="1763" t="str">
        <f t="shared" si="1886"/>
        <v/>
      </c>
      <c r="P2106" s="1764" t="str">
        <f t="shared" si="1887"/>
        <v/>
      </c>
      <c r="Q2106" s="120" t="str">
        <f t="shared" si="1888"/>
        <v/>
      </c>
      <c r="R2106" s="185"/>
    </row>
    <row r="2107" spans="1:18" s="690" customFormat="1" ht="18" customHeight="1">
      <c r="A2107" s="1767"/>
      <c r="B2107" s="1781">
        <v>1</v>
      </c>
      <c r="C2107" s="1420" t="str">
        <f t="shared" ref="C2107" si="1912">VLOOKUP(D2107,base_datos,6,FALSE)</f>
        <v>ITM Caja Moldeada 3x25A (reg.[0.7-1.0] In) - XT2N160-25A-3P-TMD - 65kA@230Vac, 36kA@415Vac - marca ABB.</v>
      </c>
      <c r="D2107" s="1901" t="s">
        <v>851</v>
      </c>
      <c r="E2107" s="1791">
        <f>VLOOKUP(D2107,base_datos,5,FALSE)</f>
        <v>201.76999999999998</v>
      </c>
      <c r="F2107" s="1782">
        <f t="shared" ref="F2107" si="1913">+E2107*B2107</f>
        <v>201.76999999999998</v>
      </c>
      <c r="G2107" s="1951"/>
      <c r="H2107" s="1761"/>
      <c r="I2107" s="1761"/>
      <c r="J2107" s="1783"/>
      <c r="K2107" s="684">
        <f t="shared" si="1899"/>
        <v>1</v>
      </c>
      <c r="L2107" s="708">
        <v>1</v>
      </c>
      <c r="M2107" s="709">
        <f t="shared" ref="M2107" si="1914">IF(B2107="",1,B2107)</f>
        <v>1</v>
      </c>
      <c r="N2107" s="362">
        <f t="shared" ref="N2107" si="1915">IF(O2107&lt;&gt;"",K2107*L2107*M2107,"")</f>
        <v>1</v>
      </c>
      <c r="O2107" s="1763" t="str">
        <f t="shared" ref="O2107" si="1916">IF(D2107&lt;&gt;"",IF(VLOOKUP(D2107,base_datos,7,FALSE)&lt;&gt;"",VLOOKUP(D2107,base_datos,7,FALSE),""),"")</f>
        <v>1SDA067012R1</v>
      </c>
      <c r="P2107" s="1764" t="str">
        <f t="shared" ref="P2107" si="1917">IF(O2107&lt;&gt;"",VLOOKUP(D2107,base_datos,6,FALSE),"")</f>
        <v>ITM Caja Moldeada 3x25A (reg.[0.7-1.0] In) - XT2N160-25A-3P-TMD - 65kA@230Vac, 36kA@415Vac - marca ABB.</v>
      </c>
      <c r="Q2107" s="120" t="str">
        <f t="shared" ref="Q2107" si="1918">IF(O2107&lt;&gt;"",D2107,"")</f>
        <v>XT2N160-25A-3P-TMD</v>
      </c>
      <c r="R2107" s="185"/>
    </row>
    <row r="2108" spans="1:18" s="690" customFormat="1" ht="18" customHeight="1">
      <c r="A2108" s="1767"/>
      <c r="B2108" s="1781">
        <v>1</v>
      </c>
      <c r="C2108" s="1420" t="str">
        <f t="shared" ref="C2108:C2111" si="1919">VLOOKUP(D2108,base_datos,6,FALSE)</f>
        <v>ITM Caja Moldeada 3x20A (reg.[0.7-1.0] In) - XT2N160-20A-3P-TMD - 65kA@230Vac, 36kA@415Vac - marca ABB.</v>
      </c>
      <c r="D2108" s="1901" t="s">
        <v>1331</v>
      </c>
      <c r="E2108" s="1791">
        <f>VLOOKUP(D2108,base_datos,5,FALSE)</f>
        <v>201.76999999999998</v>
      </c>
      <c r="F2108" s="1782">
        <f t="shared" ref="F2108:F2111" si="1920">+E2108*B2108</f>
        <v>201.76999999999998</v>
      </c>
      <c r="G2108" s="1951"/>
      <c r="H2108" s="1761"/>
      <c r="I2108" s="1761"/>
      <c r="J2108" s="1783"/>
      <c r="K2108" s="684">
        <f t="shared" si="1899"/>
        <v>1</v>
      </c>
      <c r="L2108" s="708">
        <v>1</v>
      </c>
      <c r="M2108" s="709">
        <f t="shared" si="1908"/>
        <v>1</v>
      </c>
      <c r="N2108" s="362">
        <f t="shared" si="1885"/>
        <v>1</v>
      </c>
      <c r="O2108" s="1763" t="str">
        <f t="shared" si="1886"/>
        <v>1SDA067011R1</v>
      </c>
      <c r="P2108" s="1764" t="str">
        <f t="shared" si="1887"/>
        <v>ITM Caja Moldeada 3x20A (reg.[0.7-1.0] In) - XT2N160-20A-3P-TMD - 65kA@230Vac, 36kA@415Vac - marca ABB.</v>
      </c>
      <c r="Q2108" s="120" t="str">
        <f t="shared" si="1888"/>
        <v>XT2N160-20A-3P-TMD</v>
      </c>
      <c r="R2108" s="185"/>
    </row>
    <row r="2109" spans="1:18" s="690" customFormat="1" ht="18" customHeight="1">
      <c r="A2109" s="1767"/>
      <c r="B2109" s="1781">
        <v>3</v>
      </c>
      <c r="C2109" s="1420" t="str">
        <f t="shared" si="1919"/>
        <v>ITM Caja Moldeada 3x16A (reg.[0.7-1.0] In) - XT2N160-16A-3P-TMD - 65kA@230Vac, 36kA@415Vac - marca ABB.</v>
      </c>
      <c r="D2109" s="1901" t="s">
        <v>844</v>
      </c>
      <c r="E2109" s="1791">
        <f>VLOOKUP(D2109,base_datos,5,FALSE)</f>
        <v>201.76999999999998</v>
      </c>
      <c r="F2109" s="1782">
        <f t="shared" si="1920"/>
        <v>605.30999999999995</v>
      </c>
      <c r="G2109" s="1951"/>
      <c r="H2109" s="1761"/>
      <c r="I2109" s="1761"/>
      <c r="J2109" s="1783"/>
      <c r="K2109" s="684">
        <f t="shared" si="1899"/>
        <v>1</v>
      </c>
      <c r="L2109" s="708">
        <v>1</v>
      </c>
      <c r="M2109" s="709">
        <f t="shared" si="1908"/>
        <v>3</v>
      </c>
      <c r="N2109" s="362">
        <f t="shared" si="1885"/>
        <v>3</v>
      </c>
      <c r="O2109" s="1763" t="str">
        <f t="shared" si="1886"/>
        <v>1SDA067010R1</v>
      </c>
      <c r="P2109" s="1764" t="str">
        <f t="shared" si="1887"/>
        <v>ITM Caja Moldeada 3x16A (reg.[0.7-1.0] In) - XT2N160-16A-3P-TMD - 65kA@230Vac, 36kA@415Vac - marca ABB.</v>
      </c>
      <c r="Q2109" s="120" t="str">
        <f t="shared" si="1888"/>
        <v>XT2N160-16A-3P-TMD</v>
      </c>
      <c r="R2109" s="185"/>
    </row>
    <row r="2110" spans="1:18" s="690" customFormat="1" ht="18" customHeight="1">
      <c r="A2110" s="1767"/>
      <c r="B2110" s="2206">
        <v>1</v>
      </c>
      <c r="C2110" s="2207" t="s">
        <v>13027</v>
      </c>
      <c r="D2110" s="2208"/>
      <c r="E2110" s="2209">
        <v>212.15</v>
      </c>
      <c r="F2110" s="2210">
        <f t="shared" si="1920"/>
        <v>212.15</v>
      </c>
      <c r="G2110" s="1761"/>
      <c r="H2110" s="1761"/>
      <c r="I2110" s="1761"/>
      <c r="J2110" s="1783"/>
      <c r="K2110" s="684">
        <f t="shared" si="1899"/>
        <v>1</v>
      </c>
      <c r="L2110" s="708">
        <v>1</v>
      </c>
      <c r="M2110" s="709">
        <f t="shared" si="1908"/>
        <v>1</v>
      </c>
      <c r="N2110" s="362" t="str">
        <f t="shared" si="1885"/>
        <v/>
      </c>
      <c r="O2110" s="1763" t="str">
        <f t="shared" si="1886"/>
        <v/>
      </c>
      <c r="P2110" s="1764" t="str">
        <f t="shared" si="1887"/>
        <v/>
      </c>
      <c r="Q2110" s="120" t="str">
        <f t="shared" si="1888"/>
        <v/>
      </c>
      <c r="R2110" s="185"/>
    </row>
    <row r="2111" spans="1:18" s="690" customFormat="1" ht="18" customHeight="1">
      <c r="A2111" s="1767"/>
      <c r="B2111" s="1781">
        <v>2</v>
      </c>
      <c r="C2111" s="1420" t="str">
        <f t="shared" si="1919"/>
        <v>Espacio de reserva trifásica - Caja moldeada.</v>
      </c>
      <c r="D2111" s="1901" t="s">
        <v>2932</v>
      </c>
      <c r="E2111" s="1791">
        <f>VLOOKUP(D2111,base_datos,5,FALSE)</f>
        <v>15</v>
      </c>
      <c r="F2111" s="1782">
        <f t="shared" si="1920"/>
        <v>30</v>
      </c>
      <c r="G2111" s="1761"/>
      <c r="H2111" s="1761"/>
      <c r="I2111" s="1761"/>
      <c r="J2111" s="1783"/>
      <c r="K2111" s="684">
        <f t="shared" si="1899"/>
        <v>1</v>
      </c>
      <c r="L2111" s="708">
        <v>1</v>
      </c>
      <c r="M2111" s="709">
        <f t="shared" si="1908"/>
        <v>2</v>
      </c>
      <c r="N2111" s="362" t="str">
        <f t="shared" si="1885"/>
        <v/>
      </c>
      <c r="O2111" s="1763" t="str">
        <f t="shared" si="1886"/>
        <v/>
      </c>
      <c r="P2111" s="1764" t="str">
        <f t="shared" si="1887"/>
        <v/>
      </c>
      <c r="Q2111" s="120" t="str">
        <f t="shared" si="1888"/>
        <v/>
      </c>
      <c r="R2111" s="185"/>
    </row>
    <row r="2112" spans="1:18" s="185" customFormat="1">
      <c r="A2112" s="692"/>
      <c r="B2112" s="714"/>
      <c r="C2112" s="1893" t="s">
        <v>729</v>
      </c>
      <c r="D2112" s="1941"/>
      <c r="E2112" s="1786"/>
      <c r="F2112" s="1787"/>
      <c r="G2112" s="710"/>
      <c r="H2112" s="710"/>
      <c r="I2112" s="710"/>
      <c r="J2112" s="711"/>
      <c r="K2112" s="684">
        <f t="shared" si="1899"/>
        <v>1</v>
      </c>
      <c r="L2112" s="363">
        <v>1</v>
      </c>
      <c r="M2112" s="709">
        <f>IF(B2112="",1,B2112)</f>
        <v>1</v>
      </c>
      <c r="N2112" s="362" t="str">
        <f t="shared" si="1885"/>
        <v/>
      </c>
      <c r="O2112" s="1763" t="str">
        <f t="shared" si="1886"/>
        <v/>
      </c>
      <c r="P2112" s="1764" t="str">
        <f t="shared" si="1887"/>
        <v/>
      </c>
      <c r="Q2112" s="120" t="str">
        <f t="shared" si="1888"/>
        <v/>
      </c>
    </row>
    <row r="2113" spans="1:20" s="315" customFormat="1">
      <c r="A2113" s="1785"/>
      <c r="B2113" s="355"/>
      <c r="C2113" s="1944" t="s">
        <v>3063</v>
      </c>
      <c r="D2113" s="1941"/>
      <c r="E2113" s="1786"/>
      <c r="F2113" s="1787"/>
      <c r="G2113" s="712"/>
      <c r="H2113" s="712"/>
      <c r="I2113" s="712"/>
      <c r="J2113" s="713"/>
      <c r="K2113" s="684">
        <f t="shared" si="1899"/>
        <v>1</v>
      </c>
      <c r="L2113" s="708">
        <v>1</v>
      </c>
      <c r="M2113" s="709">
        <f>IF(B2113="",1,B2113)</f>
        <v>1</v>
      </c>
      <c r="N2113" s="362" t="str">
        <f t="shared" si="1885"/>
        <v/>
      </c>
      <c r="O2113" s="1763" t="str">
        <f t="shared" si="1886"/>
        <v/>
      </c>
      <c r="P2113" s="1764" t="str">
        <f t="shared" si="1887"/>
        <v/>
      </c>
      <c r="Q2113" s="120" t="str">
        <f t="shared" si="1888"/>
        <v/>
      </c>
    </row>
    <row r="2114" spans="1:20" s="690" customFormat="1" ht="18" customHeight="1">
      <c r="A2114" s="691"/>
      <c r="B2114" s="1781">
        <v>1</v>
      </c>
      <c r="C2114" s="1420" t="str">
        <f>VLOOKUP(D2114,base_datos,6,FALSE)</f>
        <v>ITM Caja Moldeada 3x32A (reg.[0.7-1.0] In) - XT2N160-32A-3P-TMD - 65kA@230Vac, 36kA@415Vac - marca ABB.</v>
      </c>
      <c r="D2114" s="1901" t="s">
        <v>850</v>
      </c>
      <c r="E2114" s="1791">
        <f>VLOOKUP(D2114,base_datos,5,FALSE)</f>
        <v>207</v>
      </c>
      <c r="F2114" s="1782">
        <f t="shared" ref="F2114:F2115" si="1921">+E2114*B2114</f>
        <v>207</v>
      </c>
      <c r="G2114" s="1761"/>
      <c r="H2114" s="1761"/>
      <c r="I2114" s="1761"/>
      <c r="J2114" s="1783"/>
      <c r="K2114" s="684">
        <f t="shared" si="1899"/>
        <v>1</v>
      </c>
      <c r="L2114" s="708">
        <v>1</v>
      </c>
      <c r="M2114" s="709">
        <f t="shared" ref="M2114:M2139" si="1922">IF(B2114="",1,B2114)</f>
        <v>1</v>
      </c>
      <c r="N2114" s="362">
        <f t="shared" si="1885"/>
        <v>1</v>
      </c>
      <c r="O2114" s="1763" t="str">
        <f t="shared" si="1886"/>
        <v>1SDA067013R1</v>
      </c>
      <c r="P2114" s="1764" t="str">
        <f t="shared" si="1887"/>
        <v>ITM Caja Moldeada 3x32A (reg.[0.7-1.0] In) - XT2N160-32A-3P-TMD - 65kA@230Vac, 36kA@415Vac - marca ABB.</v>
      </c>
      <c r="Q2114" s="120" t="str">
        <f t="shared" si="1888"/>
        <v>XT2N160-32A-3P-TMD</v>
      </c>
      <c r="R2114" s="185"/>
    </row>
    <row r="2115" spans="1:20" s="690" customFormat="1" ht="18" customHeight="1">
      <c r="A2115" s="691"/>
      <c r="B2115" s="1781">
        <v>1</v>
      </c>
      <c r="C2115" s="1420" t="str">
        <f>VLOOKUP(D2115,base_datos,6,FALSE)</f>
        <v>Supresor contra sobretensiones (Tipo 1, UL 1449) - OVRHT3C504803D - I_max=50kA por fase, Un=480V,  MCOV=640V (L-G), VPR=2.5kV (L-G) - marca ABB.</v>
      </c>
      <c r="D2115" s="1901" t="s">
        <v>12357</v>
      </c>
      <c r="E2115" s="1791">
        <f>VLOOKUP(D2115,base_datos,5,FALSE)</f>
        <v>386.44</v>
      </c>
      <c r="F2115" s="1782">
        <f t="shared" si="1921"/>
        <v>386.44</v>
      </c>
      <c r="G2115" s="1761"/>
      <c r="H2115" s="1761"/>
      <c r="I2115" s="1761"/>
      <c r="J2115" s="1783"/>
      <c r="K2115" s="684">
        <f t="shared" si="1899"/>
        <v>1</v>
      </c>
      <c r="L2115" s="708">
        <v>1</v>
      </c>
      <c r="M2115" s="709">
        <f t="shared" si="1922"/>
        <v>1</v>
      </c>
      <c r="N2115" s="362">
        <f t="shared" si="1885"/>
        <v>1</v>
      </c>
      <c r="O2115" s="1763" t="str">
        <f t="shared" si="1886"/>
        <v>2CJC605480D0000</v>
      </c>
      <c r="P2115" s="1764" t="str">
        <f t="shared" si="1887"/>
        <v>Supresor contra sobretensiones (Tipo 1, UL 1449) - OVRHT3C504803D - I_max=50kA por fase, Un=480V,  MCOV=640V (L-G), VPR=2.5kV (L-G) - marca ABB.</v>
      </c>
      <c r="Q2115" s="120" t="str">
        <f t="shared" si="1888"/>
        <v>OVRHT3C504803D</v>
      </c>
      <c r="R2115" s="185"/>
    </row>
    <row r="2116" spans="1:20" s="185" customFormat="1">
      <c r="A2116" s="692"/>
      <c r="B2116" s="714"/>
      <c r="C2116" s="1893" t="s">
        <v>729</v>
      </c>
      <c r="D2116" s="1941"/>
      <c r="E2116" s="1786"/>
      <c r="F2116" s="1787"/>
      <c r="G2116" s="710"/>
      <c r="H2116" s="710"/>
      <c r="I2116" s="710"/>
      <c r="J2116" s="711"/>
      <c r="K2116" s="684">
        <f t="shared" si="1899"/>
        <v>1</v>
      </c>
      <c r="L2116" s="363">
        <v>1</v>
      </c>
      <c r="M2116" s="709">
        <f>IF(B2116="",1,B2116)</f>
        <v>1</v>
      </c>
      <c r="N2116" s="362" t="str">
        <f t="shared" ref="N2116:N2122" si="1923">IF(O2116&lt;&gt;"",K2116*L2116*M2116,"")</f>
        <v/>
      </c>
      <c r="O2116" s="1763" t="str">
        <f t="shared" ref="O2116:O2122" si="1924">IF(D2116&lt;&gt;"",IF(VLOOKUP(D2116,base_datos,7,FALSE)&lt;&gt;"",VLOOKUP(D2116,base_datos,7,FALSE),""),"")</f>
        <v/>
      </c>
      <c r="P2116" s="1764" t="str">
        <f t="shared" ref="P2116:P2122" si="1925">IF(O2116&lt;&gt;"",VLOOKUP(D2116,base_datos,6,FALSE),"")</f>
        <v/>
      </c>
      <c r="Q2116" s="120" t="str">
        <f t="shared" ref="Q2116:Q2122" si="1926">IF(O2116&lt;&gt;"",D2116,"")</f>
        <v/>
      </c>
    </row>
    <row r="2117" spans="1:20" s="315" customFormat="1" ht="12.75" customHeight="1">
      <c r="A2117" s="2271"/>
      <c r="B2117" s="2272">
        <v>1</v>
      </c>
      <c r="C2117" s="2281" t="s">
        <v>13366</v>
      </c>
      <c r="D2117" s="1935"/>
      <c r="E2117" s="2287"/>
      <c r="F2117" s="2257">
        <f>+SUM(F2118:F2121)*(B2117-1)</f>
        <v>0</v>
      </c>
      <c r="G2117" s="712"/>
      <c r="H2117" s="712"/>
      <c r="I2117" s="712"/>
      <c r="J2117" s="713"/>
      <c r="K2117" s="684">
        <f t="shared" si="1899"/>
        <v>1</v>
      </c>
      <c r="L2117" s="2258">
        <v>1</v>
      </c>
      <c r="M2117" s="120">
        <f t="shared" ref="M2117:M2122" si="1927">IF(B2117="",1,B2117)</f>
        <v>1</v>
      </c>
      <c r="N2117" s="112" t="str">
        <f t="shared" si="1923"/>
        <v/>
      </c>
      <c r="O2117" s="112" t="str">
        <f t="shared" si="1924"/>
        <v/>
      </c>
      <c r="P2117" s="120" t="str">
        <f t="shared" si="1925"/>
        <v/>
      </c>
      <c r="Q2117" s="120" t="str">
        <f t="shared" si="1926"/>
        <v/>
      </c>
      <c r="S2117" s="112" t="str">
        <f t="shared" ref="S2117:S2122" si="1928">IF(O2117&lt;&gt;"",VLOOKUP(D2117,base_datos,9,FALSE),"")</f>
        <v/>
      </c>
      <c r="T2117" s="2128"/>
    </row>
    <row r="2118" spans="1:20" s="690" customFormat="1" ht="18" customHeight="1">
      <c r="A2118" s="2273"/>
      <c r="B2118" s="1781">
        <v>1</v>
      </c>
      <c r="C2118" s="1420" t="str">
        <f t="shared" ref="C2118:C2121" si="1929">VLOOKUP(D2118,base_datos,6,FALSE)</f>
        <v>Calefactor resistivo 60W, modelo RACM - marca FANDIS.</v>
      </c>
      <c r="D2118" s="1899" t="s">
        <v>3298</v>
      </c>
      <c r="E2118" s="2288">
        <f t="shared" ref="E2118" si="1930">VLOOKUP(D2118,base_datos,5,FALSE)</f>
        <v>127.1</v>
      </c>
      <c r="F2118" s="1782">
        <f>+E2118*B2118</f>
        <v>127.1</v>
      </c>
      <c r="G2118" s="1761"/>
      <c r="H2118" s="1761"/>
      <c r="I2118" s="1761"/>
      <c r="J2118" s="689"/>
      <c r="K2118" s="684">
        <f t="shared" si="1899"/>
        <v>1</v>
      </c>
      <c r="L2118" s="2258">
        <v>1</v>
      </c>
      <c r="M2118" s="120">
        <f t="shared" si="1927"/>
        <v>1</v>
      </c>
      <c r="N2118" s="112">
        <f t="shared" si="1923"/>
        <v>1</v>
      </c>
      <c r="O2118" s="112" t="str">
        <f t="shared" si="1924"/>
        <v>RACM-60</v>
      </c>
      <c r="P2118" s="120" t="str">
        <f t="shared" si="1925"/>
        <v>Calefactor resistivo 60W, modelo RACM - marca FANDIS.</v>
      </c>
      <c r="Q2118" s="120" t="str">
        <f t="shared" si="1926"/>
        <v>CALEFACT-60W_FAND</v>
      </c>
      <c r="S2118" s="112" t="str">
        <f t="shared" si="1928"/>
        <v>FANDIS</v>
      </c>
      <c r="T2118" s="1765"/>
    </row>
    <row r="2119" spans="1:20" s="690" customFormat="1" ht="18" customHeight="1">
      <c r="A2119" s="2273"/>
      <c r="B2119" s="1781">
        <v>1</v>
      </c>
      <c r="C2119" s="1420" t="str">
        <f t="shared" si="1929"/>
        <v>Termostato para ventilación - 1NA - 230V - marca FANDIS.</v>
      </c>
      <c r="D2119" s="1899" t="s">
        <v>3294</v>
      </c>
      <c r="E2119" s="2288">
        <f t="shared" ref="E2119:E2121" si="1931">VLOOKUP(D2119,base_datos,5,FALSE)</f>
        <v>41.58</v>
      </c>
      <c r="F2119" s="1782">
        <f>+E2119*B2119</f>
        <v>41.58</v>
      </c>
      <c r="G2119" s="1761"/>
      <c r="H2119" s="1761"/>
      <c r="I2119" s="1761"/>
      <c r="J2119" s="689"/>
      <c r="K2119" s="684">
        <f t="shared" si="1899"/>
        <v>1</v>
      </c>
      <c r="L2119" s="2258">
        <v>1</v>
      </c>
      <c r="M2119" s="120">
        <f t="shared" si="1927"/>
        <v>1</v>
      </c>
      <c r="N2119" s="112">
        <f t="shared" si="1923"/>
        <v>1</v>
      </c>
      <c r="O2119" s="112" t="str">
        <f t="shared" si="1924"/>
        <v>TRT-10A230V-NO</v>
      </c>
      <c r="P2119" s="120" t="str">
        <f t="shared" si="1925"/>
        <v>Termostato para ventilación - 1NA - 230V - marca FANDIS.</v>
      </c>
      <c r="Q2119" s="120" t="str">
        <f t="shared" si="1926"/>
        <v>TRT-1NA</v>
      </c>
      <c r="S2119" s="112" t="str">
        <f t="shared" si="1928"/>
        <v>FANDIS</v>
      </c>
      <c r="T2119" s="1765"/>
    </row>
    <row r="2120" spans="1:20" s="320" customFormat="1" ht="12.75" customHeight="1">
      <c r="A2120" s="2274"/>
      <c r="B2120" s="2275">
        <v>1</v>
      </c>
      <c r="C2120" s="2282" t="str">
        <f t="shared" si="1929"/>
        <v>Base portafusibles + Fusibles de protección para control.</v>
      </c>
      <c r="D2120" s="1579" t="s">
        <v>453</v>
      </c>
      <c r="E2120" s="2289">
        <f t="shared" si="1931"/>
        <v>8.1750000000000007</v>
      </c>
      <c r="F2120" s="2264">
        <f>+E2120*B2120</f>
        <v>8.1750000000000007</v>
      </c>
      <c r="G2120" s="2276"/>
      <c r="H2120" s="2276"/>
      <c r="I2120" s="2276"/>
      <c r="J2120" s="722"/>
      <c r="K2120" s="684">
        <f t="shared" si="1899"/>
        <v>1</v>
      </c>
      <c r="L2120" s="2258">
        <v>1</v>
      </c>
      <c r="M2120" s="120">
        <f t="shared" si="1927"/>
        <v>1</v>
      </c>
      <c r="N2120" s="112" t="str">
        <f t="shared" si="1923"/>
        <v/>
      </c>
      <c r="O2120" s="112" t="str">
        <f t="shared" si="1924"/>
        <v/>
      </c>
      <c r="P2120" s="120" t="str">
        <f t="shared" si="1925"/>
        <v/>
      </c>
      <c r="Q2120" s="120" t="str">
        <f t="shared" si="1926"/>
        <v/>
      </c>
      <c r="R2120" s="185"/>
      <c r="S2120" s="112" t="str">
        <f t="shared" si="1928"/>
        <v/>
      </c>
      <c r="T2120" s="709"/>
    </row>
    <row r="2121" spans="1:20" s="320" customFormat="1" ht="12.75" customHeight="1">
      <c r="A2121" s="2274"/>
      <c r="B2121" s="2277">
        <v>1</v>
      </c>
      <c r="C2121" s="2282" t="str">
        <f t="shared" si="1929"/>
        <v>Borne 4mm2.</v>
      </c>
      <c r="D2121" s="1579" t="s">
        <v>437</v>
      </c>
      <c r="E2121" s="2260">
        <f t="shared" si="1931"/>
        <v>2.5</v>
      </c>
      <c r="F2121" s="2260">
        <f>+E2121*B2121</f>
        <v>2.5</v>
      </c>
      <c r="G2121" s="2276"/>
      <c r="H2121" s="2276"/>
      <c r="I2121" s="2276"/>
      <c r="J2121" s="722"/>
      <c r="K2121" s="684">
        <f t="shared" si="1899"/>
        <v>1</v>
      </c>
      <c r="L2121" s="2258">
        <v>1</v>
      </c>
      <c r="M2121" s="120">
        <f t="shared" si="1927"/>
        <v>1</v>
      </c>
      <c r="N2121" s="112" t="str">
        <f t="shared" si="1923"/>
        <v/>
      </c>
      <c r="O2121" s="112" t="str">
        <f t="shared" si="1924"/>
        <v/>
      </c>
      <c r="P2121" s="120" t="str">
        <f t="shared" si="1925"/>
        <v/>
      </c>
      <c r="Q2121" s="120" t="str">
        <f t="shared" si="1926"/>
        <v/>
      </c>
      <c r="R2121" s="185"/>
      <c r="S2121" s="112" t="str">
        <f t="shared" si="1928"/>
        <v/>
      </c>
      <c r="T2121" s="709"/>
    </row>
    <row r="2122" spans="1:20" s="185" customFormat="1" ht="12.75" customHeight="1">
      <c r="A2122" s="2262"/>
      <c r="B2122" s="1760"/>
      <c r="C2122" s="1893" t="s">
        <v>729</v>
      </c>
      <c r="D2122" s="169"/>
      <c r="E2122" s="2256"/>
      <c r="F2122" s="2278"/>
      <c r="G2122" s="710"/>
      <c r="H2122" s="710"/>
      <c r="I2122" s="710"/>
      <c r="J2122" s="711"/>
      <c r="K2122" s="684">
        <f t="shared" si="1899"/>
        <v>1</v>
      </c>
      <c r="L2122" s="2258">
        <v>1</v>
      </c>
      <c r="M2122" s="120">
        <f t="shared" si="1927"/>
        <v>1</v>
      </c>
      <c r="N2122" s="112" t="str">
        <f t="shared" si="1923"/>
        <v/>
      </c>
      <c r="O2122" s="112" t="str">
        <f t="shared" si="1924"/>
        <v/>
      </c>
      <c r="P2122" s="120" t="str">
        <f t="shared" si="1925"/>
        <v/>
      </c>
      <c r="Q2122" s="120" t="str">
        <f t="shared" si="1926"/>
        <v/>
      </c>
      <c r="S2122" s="112" t="str">
        <f t="shared" si="1928"/>
        <v/>
      </c>
      <c r="T2122" s="118"/>
    </row>
    <row r="2123" spans="1:20" s="1236" customFormat="1" ht="18" customHeight="1">
      <c r="A2123" s="1767"/>
      <c r="B2123" s="1853">
        <v>1</v>
      </c>
      <c r="C2123" s="1895" t="s">
        <v>12366</v>
      </c>
      <c r="D2123" s="1902"/>
      <c r="E2123" s="1792"/>
      <c r="F2123" s="1793"/>
      <c r="G2123" s="1784"/>
      <c r="H2123" s="1784"/>
      <c r="I2123" s="1784"/>
      <c r="J2123" s="1182"/>
      <c r="K2123" s="684">
        <f t="shared" si="1899"/>
        <v>1</v>
      </c>
      <c r="L2123" s="708">
        <v>1</v>
      </c>
      <c r="M2123" s="709">
        <f t="shared" si="1922"/>
        <v>1</v>
      </c>
      <c r="N2123" s="362" t="str">
        <f t="shared" si="1885"/>
        <v/>
      </c>
      <c r="O2123" s="1763" t="str">
        <f t="shared" si="1886"/>
        <v/>
      </c>
      <c r="P2123" s="1764" t="str">
        <f t="shared" si="1887"/>
        <v/>
      </c>
      <c r="Q2123" s="120" t="str">
        <f t="shared" si="1888"/>
        <v/>
      </c>
      <c r="R2123" s="185"/>
    </row>
    <row r="2124" spans="1:20" s="120" customFormat="1" ht="18" customHeight="1">
      <c r="A2124" s="687"/>
      <c r="B2124" s="1945">
        <v>2</v>
      </c>
      <c r="C2124" s="1848" t="str">
        <f>VLOOKUP(D2124,base_datos,6,FALSE)</f>
        <v>Transformador de tensión monofásico 480 / 240 Vac - 50VA.</v>
      </c>
      <c r="D2124" s="1898" t="s">
        <v>8587</v>
      </c>
      <c r="E2124" s="1581">
        <f>VLOOKUP(D2124,base_datos,5,FALSE)</f>
        <v>76.8</v>
      </c>
      <c r="F2124" s="1581">
        <f>+E2124*B2124</f>
        <v>153.6</v>
      </c>
      <c r="G2124" s="686"/>
      <c r="H2124" s="686"/>
      <c r="I2124" s="686"/>
      <c r="J2124" s="1768"/>
      <c r="K2124" s="684">
        <f t="shared" si="1899"/>
        <v>1</v>
      </c>
      <c r="L2124" s="708">
        <v>1</v>
      </c>
      <c r="M2124" s="709">
        <f t="shared" si="1922"/>
        <v>2</v>
      </c>
      <c r="N2124" s="362" t="str">
        <f t="shared" si="1885"/>
        <v/>
      </c>
      <c r="O2124" s="1763" t="str">
        <f t="shared" si="1886"/>
        <v/>
      </c>
      <c r="P2124" s="1764" t="str">
        <f t="shared" si="1887"/>
        <v/>
      </c>
      <c r="Q2124" s="120" t="str">
        <f t="shared" si="1888"/>
        <v/>
      </c>
      <c r="R2124" s="185"/>
    </row>
    <row r="2125" spans="1:20" s="120" customFormat="1" ht="18" customHeight="1">
      <c r="A2125" s="687"/>
      <c r="B2125" s="1945">
        <v>1</v>
      </c>
      <c r="C2125" s="1848" t="str">
        <f>VLOOKUP(D2125,base_datos,6,FALSE)</f>
        <v>Transformador de tensión monofásico 480 / 240 Vac - 200VA.</v>
      </c>
      <c r="D2125" s="1898" t="s">
        <v>5173</v>
      </c>
      <c r="E2125" s="1581">
        <f>VLOOKUP(D2125,base_datos,5,FALSE)</f>
        <v>89.5</v>
      </c>
      <c r="F2125" s="1581">
        <f>+E2125*B2125</f>
        <v>89.5</v>
      </c>
      <c r="G2125" s="686"/>
      <c r="H2125" s="686"/>
      <c r="I2125" s="686"/>
      <c r="J2125" s="1768"/>
      <c r="K2125" s="684">
        <f t="shared" si="1899"/>
        <v>1</v>
      </c>
      <c r="L2125" s="708">
        <v>1</v>
      </c>
      <c r="M2125" s="709">
        <f t="shared" si="1922"/>
        <v>1</v>
      </c>
      <c r="N2125" s="362" t="str">
        <f t="shared" si="1885"/>
        <v/>
      </c>
      <c r="O2125" s="1763" t="str">
        <f t="shared" si="1886"/>
        <v/>
      </c>
      <c r="P2125" s="1764" t="str">
        <f t="shared" si="1887"/>
        <v/>
      </c>
      <c r="Q2125" s="120" t="str">
        <f t="shared" si="1888"/>
        <v/>
      </c>
      <c r="R2125" s="185"/>
    </row>
    <row r="2126" spans="1:20" s="185" customFormat="1" ht="18" customHeight="1">
      <c r="A2126" s="1785"/>
      <c r="B2126" s="714"/>
      <c r="C2126" s="1893" t="s">
        <v>729</v>
      </c>
      <c r="D2126" s="173"/>
      <c r="E2126" s="1786"/>
      <c r="F2126" s="1787"/>
      <c r="G2126" s="710"/>
      <c r="H2126" s="710"/>
      <c r="I2126" s="710"/>
      <c r="J2126" s="711"/>
      <c r="K2126" s="684">
        <f t="shared" si="1899"/>
        <v>1</v>
      </c>
      <c r="L2126" s="708">
        <v>1</v>
      </c>
      <c r="M2126" s="709">
        <f t="shared" si="1922"/>
        <v>1</v>
      </c>
      <c r="N2126" s="362" t="str">
        <f t="shared" si="1885"/>
        <v/>
      </c>
      <c r="O2126" s="1763" t="str">
        <f t="shared" si="1886"/>
        <v/>
      </c>
      <c r="P2126" s="1764" t="str">
        <f t="shared" si="1887"/>
        <v/>
      </c>
      <c r="Q2126" s="120" t="str">
        <f t="shared" si="1888"/>
        <v/>
      </c>
    </row>
    <row r="2127" spans="1:20" s="1236" customFormat="1" ht="18" customHeight="1">
      <c r="A2127" s="1767"/>
      <c r="B2127" s="1853">
        <v>1</v>
      </c>
      <c r="C2127" s="1895" t="s">
        <v>12364</v>
      </c>
      <c r="D2127" s="1902"/>
      <c r="E2127" s="1792"/>
      <c r="F2127" s="1793"/>
      <c r="G2127" s="1784"/>
      <c r="H2127" s="1784"/>
      <c r="I2127" s="1784"/>
      <c r="J2127" s="1182"/>
      <c r="K2127" s="684">
        <f t="shared" si="1899"/>
        <v>1</v>
      </c>
      <c r="L2127" s="708">
        <v>1</v>
      </c>
      <c r="M2127" s="709">
        <f t="shared" si="1922"/>
        <v>1</v>
      </c>
      <c r="N2127" s="362" t="str">
        <f t="shared" si="1885"/>
        <v/>
      </c>
      <c r="O2127" s="1763" t="str">
        <f t="shared" si="1886"/>
        <v/>
      </c>
      <c r="P2127" s="1764" t="str">
        <f t="shared" si="1887"/>
        <v/>
      </c>
      <c r="Q2127" s="120" t="str">
        <f t="shared" si="1888"/>
        <v/>
      </c>
      <c r="R2127" s="185"/>
    </row>
    <row r="2128" spans="1:20" s="695" customFormat="1" ht="18" customHeight="1">
      <c r="A2128" s="693"/>
      <c r="B2128" s="1922">
        <v>1</v>
      </c>
      <c r="C2128" s="1848" t="str">
        <f t="shared" ref="C2128" si="1932">VLOOKUP(D2128,base_datos,6,FALSE)</f>
        <v>Placa lamicoid rotulación de 3mm de espesor, fondo negro y letras blancas.</v>
      </c>
      <c r="D2128" s="1886" t="s">
        <v>8570</v>
      </c>
      <c r="E2128" s="1795">
        <f t="shared" ref="E2128" si="1933">VLOOKUP(D2128,base_datos,5,FALSE)</f>
        <v>2.2000000000000002</v>
      </c>
      <c r="F2128" s="1796">
        <f t="shared" ref="F2128" si="1934">+E2128*B2128</f>
        <v>2.2000000000000002</v>
      </c>
      <c r="G2128" s="696"/>
      <c r="H2128" s="696"/>
      <c r="I2128" s="696"/>
      <c r="J2128" s="697"/>
      <c r="K2128" s="684">
        <f t="shared" si="1899"/>
        <v>1</v>
      </c>
      <c r="L2128" s="708">
        <v>1</v>
      </c>
      <c r="M2128" s="709">
        <f t="shared" si="1922"/>
        <v>1</v>
      </c>
      <c r="N2128" s="362">
        <f t="shared" si="1885"/>
        <v>1</v>
      </c>
      <c r="O2128" s="1763" t="str">
        <f t="shared" si="1886"/>
        <v>Placa lamicoid p/distr.</v>
      </c>
      <c r="P2128" s="1764" t="str">
        <f t="shared" si="1887"/>
        <v>Placa lamicoid rotulación de 3mm de espesor, fondo negro y letras blancas.</v>
      </c>
      <c r="Q2128" s="120" t="str">
        <f t="shared" si="1888"/>
        <v>Placa lamicoid p/distr.</v>
      </c>
      <c r="R2128" s="185"/>
    </row>
    <row r="2129" spans="1:18" s="1236" customFormat="1" ht="18" customHeight="1">
      <c r="A2129" s="1767"/>
      <c r="B2129" s="1853">
        <v>1</v>
      </c>
      <c r="C2129" s="1895" t="s">
        <v>12474</v>
      </c>
      <c r="D2129" s="1902"/>
      <c r="E2129" s="1792"/>
      <c r="F2129" s="1793"/>
      <c r="G2129" s="1784"/>
      <c r="H2129" s="1784"/>
      <c r="I2129" s="1784"/>
      <c r="J2129" s="1182"/>
      <c r="K2129" s="684">
        <f t="shared" si="1899"/>
        <v>1</v>
      </c>
      <c r="L2129" s="708">
        <v>1</v>
      </c>
      <c r="M2129" s="709">
        <f t="shared" si="1922"/>
        <v>1</v>
      </c>
      <c r="N2129" s="362" t="str">
        <f t="shared" si="1885"/>
        <v/>
      </c>
      <c r="O2129" s="1763" t="str">
        <f t="shared" si="1886"/>
        <v/>
      </c>
      <c r="P2129" s="1764" t="str">
        <f t="shared" si="1887"/>
        <v/>
      </c>
      <c r="Q2129" s="120" t="str">
        <f t="shared" si="1888"/>
        <v/>
      </c>
      <c r="R2129" s="185"/>
    </row>
    <row r="2130" spans="1:18" s="1236" customFormat="1" ht="18" customHeight="1">
      <c r="A2130" s="1767"/>
      <c r="B2130" s="1853">
        <v>1</v>
      </c>
      <c r="C2130" s="1848" t="str">
        <f>VLOOKUP(D2130,base_datos,6,FALSE)</f>
        <v>Embalaje especial completamente cerrado para tablero adosado de 1600x600x220mm</v>
      </c>
      <c r="D2130" s="1902" t="s">
        <v>12453</v>
      </c>
      <c r="E2130" s="1795">
        <f t="shared" ref="E2130" si="1935">VLOOKUP(D2130,base_datos,5,FALSE)</f>
        <v>271.40000000000003</v>
      </c>
      <c r="F2130" s="1796">
        <f t="shared" ref="F2130" si="1936">+E2130*B2130</f>
        <v>271.40000000000003</v>
      </c>
      <c r="G2130" s="1784"/>
      <c r="H2130" s="1784"/>
      <c r="I2130" s="1784"/>
      <c r="J2130" s="1182"/>
      <c r="K2130" s="684">
        <f t="shared" si="1899"/>
        <v>1</v>
      </c>
      <c r="L2130" s="708">
        <v>1</v>
      </c>
      <c r="M2130" s="709">
        <f t="shared" si="1922"/>
        <v>1</v>
      </c>
      <c r="N2130" s="362">
        <f t="shared" si="1885"/>
        <v>1</v>
      </c>
      <c r="O2130" s="1763" t="str">
        <f t="shared" si="1886"/>
        <v>EMBAL_ADOS_1600x600x220mm</v>
      </c>
      <c r="P2130" s="1764" t="str">
        <f t="shared" si="1887"/>
        <v>Embalaje especial completamente cerrado para tablero adosado de 1600x600x220mm</v>
      </c>
      <c r="Q2130" s="120" t="str">
        <f t="shared" si="1888"/>
        <v>EMBAL_ADOS_1600x600x220mm</v>
      </c>
      <c r="R2130" s="185"/>
    </row>
    <row r="2131" spans="1:18" s="185" customFormat="1" ht="18" customHeight="1">
      <c r="A2131" s="1785"/>
      <c r="B2131" s="714"/>
      <c r="C2131" s="1893" t="s">
        <v>729</v>
      </c>
      <c r="D2131" s="173"/>
      <c r="E2131" s="1786"/>
      <c r="F2131" s="1787"/>
      <c r="G2131" s="710"/>
      <c r="H2131" s="710"/>
      <c r="I2131" s="710"/>
      <c r="J2131" s="711"/>
      <c r="K2131" s="684">
        <f t="shared" si="1899"/>
        <v>1</v>
      </c>
      <c r="L2131" s="708">
        <v>1</v>
      </c>
      <c r="M2131" s="709">
        <f t="shared" si="1922"/>
        <v>1</v>
      </c>
      <c r="N2131" s="362" t="str">
        <f t="shared" si="1885"/>
        <v/>
      </c>
      <c r="O2131" s="1763" t="str">
        <f t="shared" si="1886"/>
        <v/>
      </c>
      <c r="P2131" s="1764" t="str">
        <f t="shared" si="1887"/>
        <v/>
      </c>
      <c r="Q2131" s="120" t="str">
        <f t="shared" si="1888"/>
        <v/>
      </c>
    </row>
    <row r="2132" spans="1:18" s="695" customFormat="1" ht="18" customHeight="1">
      <c r="A2132" s="693"/>
      <c r="B2132" s="1794">
        <v>1</v>
      </c>
      <c r="C2132" s="1420" t="str">
        <f t="shared" ref="C2132" si="1937">VLOOKUP(D2132,base_datos,6,FALSE)</f>
        <v>Barra a tierra.</v>
      </c>
      <c r="D2132" s="1790" t="s">
        <v>8299</v>
      </c>
      <c r="E2132" s="1795">
        <f t="shared" ref="E2132" si="1938">VLOOKUP(D2132,base_datos,5,FALSE)</f>
        <v>10</v>
      </c>
      <c r="F2132" s="1796">
        <f t="shared" ref="F2132:F2139" si="1939">+E2132*B2132</f>
        <v>10</v>
      </c>
      <c r="G2132" s="696"/>
      <c r="H2132" s="696"/>
      <c r="I2132" s="696"/>
      <c r="J2132" s="697"/>
      <c r="K2132" s="684">
        <f t="shared" si="1899"/>
        <v>1</v>
      </c>
      <c r="L2132" s="708">
        <v>1</v>
      </c>
      <c r="M2132" s="709">
        <f t="shared" si="1922"/>
        <v>1</v>
      </c>
      <c r="N2132" s="362" t="str">
        <f t="shared" si="1885"/>
        <v/>
      </c>
      <c r="O2132" s="1763" t="str">
        <f t="shared" si="1886"/>
        <v/>
      </c>
      <c r="P2132" s="1764" t="str">
        <f t="shared" si="1887"/>
        <v/>
      </c>
      <c r="Q2132" s="120" t="str">
        <f t="shared" si="1888"/>
        <v/>
      </c>
      <c r="R2132" s="185"/>
    </row>
    <row r="2133" spans="1:18" s="185" customFormat="1" ht="18" customHeight="1">
      <c r="A2133" s="1785"/>
      <c r="B2133" s="714"/>
      <c r="C2133" s="1893" t="s">
        <v>729</v>
      </c>
      <c r="D2133" s="173"/>
      <c r="E2133" s="1786"/>
      <c r="F2133" s="1787"/>
      <c r="G2133" s="710"/>
      <c r="H2133" s="710"/>
      <c r="I2133" s="710"/>
      <c r="J2133" s="711"/>
      <c r="K2133" s="684">
        <f t="shared" si="1899"/>
        <v>1</v>
      </c>
      <c r="L2133" s="708">
        <v>1</v>
      </c>
      <c r="M2133" s="709">
        <f t="shared" ref="M2133" si="1940">IF(B2133="",1,B2133)</f>
        <v>1</v>
      </c>
      <c r="N2133" s="362" t="str">
        <f t="shared" ref="N2133" si="1941">IF(O2133&lt;&gt;"",K2133*L2133*M2133,"")</f>
        <v/>
      </c>
      <c r="O2133" s="1763" t="str">
        <f t="shared" ref="O2133" si="1942">IF(D2133&lt;&gt;"",IF(VLOOKUP(D2133,base_datos,7,FALSE)&lt;&gt;"",VLOOKUP(D2133,base_datos,7,FALSE),""),"")</f>
        <v/>
      </c>
      <c r="P2133" s="1764" t="str">
        <f t="shared" ref="P2133" si="1943">IF(O2133&lt;&gt;"",VLOOKUP(D2133,base_datos,6,FALSE),"")</f>
        <v/>
      </c>
      <c r="Q2133" s="120" t="str">
        <f t="shared" ref="Q2133" si="1944">IF(O2133&lt;&gt;"",D2133,"")</f>
        <v/>
      </c>
    </row>
    <row r="2134" spans="1:18" s="897" customFormat="1" ht="18" customHeight="1">
      <c r="A2134" s="693"/>
      <c r="B2134" s="895">
        <v>7</v>
      </c>
      <c r="C2134" s="721" t="str">
        <f>VLOOKUP(D2134,base_datos,6,FALSE)</f>
        <v>Rotulado por circuito.</v>
      </c>
      <c r="D2134" s="1579" t="s">
        <v>3067</v>
      </c>
      <c r="E2134" s="1580">
        <f>VLOOKUP(D2134,base_datos,5,FALSE)</f>
        <v>0.7</v>
      </c>
      <c r="F2134" s="1581">
        <f t="shared" si="1939"/>
        <v>4.8999999999999995</v>
      </c>
      <c r="G2134" s="1772"/>
      <c r="H2134" s="1772"/>
      <c r="I2134" s="1772"/>
      <c r="J2134" s="896"/>
      <c r="K2134" s="684">
        <f t="shared" si="1899"/>
        <v>1</v>
      </c>
      <c r="L2134" s="708">
        <v>1</v>
      </c>
      <c r="M2134" s="709">
        <f t="shared" si="1922"/>
        <v>7</v>
      </c>
      <c r="N2134" s="362" t="str">
        <f t="shared" si="1885"/>
        <v/>
      </c>
      <c r="O2134" s="1763" t="str">
        <f t="shared" si="1886"/>
        <v/>
      </c>
      <c r="P2134" s="1764" t="str">
        <f t="shared" si="1887"/>
        <v/>
      </c>
      <c r="Q2134" s="120" t="str">
        <f t="shared" si="1888"/>
        <v/>
      </c>
    </row>
    <row r="2135" spans="1:18" s="897" customFormat="1" ht="18" customHeight="1">
      <c r="A2135" s="693"/>
      <c r="B2135" s="895">
        <v>1</v>
      </c>
      <c r="C2135" s="721" t="str">
        <f>VLOOKUP(D2135,base_datos,6,FALSE)</f>
        <v>Rotulado para TAG - tablero de distribución.</v>
      </c>
      <c r="D2135" s="1579" t="s">
        <v>3066</v>
      </c>
      <c r="E2135" s="1580">
        <f>VLOOKUP(D2135,base_datos,5,FALSE)</f>
        <v>1.5</v>
      </c>
      <c r="F2135" s="1581">
        <f t="shared" si="1939"/>
        <v>1.5</v>
      </c>
      <c r="G2135" s="1772"/>
      <c r="H2135" s="1772"/>
      <c r="I2135" s="1772"/>
      <c r="J2135" s="896"/>
      <c r="K2135" s="684">
        <f t="shared" si="1899"/>
        <v>1</v>
      </c>
      <c r="L2135" s="708">
        <v>1</v>
      </c>
      <c r="M2135" s="709">
        <f t="shared" si="1922"/>
        <v>1</v>
      </c>
      <c r="N2135" s="362" t="str">
        <f t="shared" si="1885"/>
        <v/>
      </c>
      <c r="O2135" s="1763" t="str">
        <f t="shared" si="1886"/>
        <v/>
      </c>
      <c r="P2135" s="1764" t="str">
        <f t="shared" si="1887"/>
        <v/>
      </c>
      <c r="Q2135" s="120" t="str">
        <f t="shared" si="1888"/>
        <v/>
      </c>
    </row>
    <row r="2136" spans="1:18" s="1237" customFormat="1" ht="18" customHeight="1">
      <c r="A2136" s="1767"/>
      <c r="B2136" s="1773">
        <v>1</v>
      </c>
      <c r="C2136" s="1946">
        <v>30</v>
      </c>
      <c r="D2136" s="1887"/>
      <c r="E2136" s="1580">
        <v>81</v>
      </c>
      <c r="F2136" s="1581">
        <f t="shared" si="1939"/>
        <v>81</v>
      </c>
      <c r="G2136" s="1774"/>
      <c r="H2136" s="1774"/>
      <c r="I2136" s="1774"/>
      <c r="J2136" s="1181"/>
      <c r="K2136" s="684">
        <f t="shared" si="1899"/>
        <v>1</v>
      </c>
      <c r="L2136" s="708">
        <v>1</v>
      </c>
      <c r="M2136" s="709">
        <f t="shared" si="1922"/>
        <v>1</v>
      </c>
      <c r="N2136" s="362" t="str">
        <f t="shared" ref="N2136:N2253" si="1945">IF(O2136&lt;&gt;"",K2136*L2136*M2136,"")</f>
        <v/>
      </c>
      <c r="O2136" s="1763" t="str">
        <f t="shared" ref="O2136:O2253" si="1946">IF(D2136&lt;&gt;"",IF(VLOOKUP(D2136,base_datos,7,FALSE)&lt;&gt;"",VLOOKUP(D2136,base_datos,7,FALSE),""),"")</f>
        <v/>
      </c>
      <c r="P2136" s="1764" t="str">
        <f t="shared" ref="P2136:P2253" si="1947">IF(O2136&lt;&gt;"",VLOOKUP(D2136,base_datos,6,FALSE),"")</f>
        <v/>
      </c>
      <c r="Q2136" s="120" t="str">
        <f t="shared" ref="Q2136:Q2253" si="1948">IF(O2136&lt;&gt;"",D2136,"")</f>
        <v/>
      </c>
      <c r="R2136" s="1765"/>
    </row>
    <row r="2137" spans="1:18" s="1237" customFormat="1" ht="18" customHeight="1">
      <c r="A2137" s="1767"/>
      <c r="B2137" s="2093">
        <v>1</v>
      </c>
      <c r="C2137" s="694" t="s">
        <v>12552</v>
      </c>
      <c r="D2137" s="1888"/>
      <c r="E2137" s="1580">
        <f>E2139*15%</f>
        <v>22.349999999999998</v>
      </c>
      <c r="F2137" s="1581">
        <f t="shared" si="1939"/>
        <v>22.349999999999998</v>
      </c>
      <c r="G2137" s="1774"/>
      <c r="H2137" s="1774"/>
      <c r="I2137" s="1774"/>
      <c r="J2137" s="1181"/>
      <c r="K2137" s="684">
        <f t="shared" si="1899"/>
        <v>1</v>
      </c>
      <c r="L2137" s="708">
        <v>1</v>
      </c>
      <c r="M2137" s="709">
        <f t="shared" si="1922"/>
        <v>1</v>
      </c>
      <c r="N2137" s="362" t="str">
        <f t="shared" ref="N2137:N2138" si="1949">IF(O2137&lt;&gt;"",K2137*L2137*M2137,"")</f>
        <v/>
      </c>
      <c r="O2137" s="1763" t="str">
        <f t="shared" ref="O2137:O2138" si="1950">IF(D2137&lt;&gt;"",IF(VLOOKUP(D2137,base_datos,7,FALSE)&lt;&gt;"",VLOOKUP(D2137,base_datos,7,FALSE),""),"")</f>
        <v/>
      </c>
      <c r="P2137" s="1764" t="str">
        <f t="shared" ref="P2137:P2138" si="1951">IF(O2137&lt;&gt;"",VLOOKUP(D2137,base_datos,6,FALSE),"")</f>
        <v/>
      </c>
      <c r="Q2137" s="120" t="str">
        <f t="shared" ref="Q2137:Q2138" si="1952">IF(O2137&lt;&gt;"",D2137,"")</f>
        <v/>
      </c>
      <c r="R2137" s="1765"/>
    </row>
    <row r="2138" spans="1:18" s="1237" customFormat="1" ht="18" customHeight="1">
      <c r="A2138" s="1767"/>
      <c r="B2138" s="1773">
        <v>1</v>
      </c>
      <c r="C2138" s="694" t="s">
        <v>12559</v>
      </c>
      <c r="D2138" s="1888"/>
      <c r="E2138" s="1999">
        <f>E2139*20%</f>
        <v>29.8</v>
      </c>
      <c r="F2138" s="1581">
        <f t="shared" si="1939"/>
        <v>29.8</v>
      </c>
      <c r="G2138" s="1774"/>
      <c r="H2138" s="1774"/>
      <c r="I2138" s="1774"/>
      <c r="J2138" s="1181"/>
      <c r="K2138" s="684">
        <f t="shared" si="1899"/>
        <v>1</v>
      </c>
      <c r="L2138" s="708">
        <v>1</v>
      </c>
      <c r="M2138" s="709">
        <f t="shared" si="1922"/>
        <v>1</v>
      </c>
      <c r="N2138" s="362" t="str">
        <f t="shared" si="1949"/>
        <v/>
      </c>
      <c r="O2138" s="1763" t="str">
        <f t="shared" si="1950"/>
        <v/>
      </c>
      <c r="P2138" s="1764" t="str">
        <f t="shared" si="1951"/>
        <v/>
      </c>
      <c r="Q2138" s="120" t="str">
        <f t="shared" si="1952"/>
        <v/>
      </c>
      <c r="R2138" s="1765"/>
    </row>
    <row r="2139" spans="1:18" s="1237" customFormat="1" ht="18" customHeight="1">
      <c r="A2139" s="1767"/>
      <c r="B2139" s="1773">
        <v>1</v>
      </c>
      <c r="C2139" s="694" t="s">
        <v>12386</v>
      </c>
      <c r="D2139" s="1888"/>
      <c r="E2139" s="1999">
        <v>149</v>
      </c>
      <c r="F2139" s="1581">
        <f t="shared" si="1939"/>
        <v>149</v>
      </c>
      <c r="G2139" s="1774"/>
      <c r="H2139" s="1774"/>
      <c r="I2139" s="1774"/>
      <c r="J2139" s="1181"/>
      <c r="K2139" s="684">
        <f t="shared" si="1899"/>
        <v>1</v>
      </c>
      <c r="L2139" s="708">
        <v>1</v>
      </c>
      <c r="M2139" s="709">
        <f t="shared" si="1922"/>
        <v>1</v>
      </c>
      <c r="N2139" s="362" t="str">
        <f t="shared" si="1945"/>
        <v/>
      </c>
      <c r="O2139" s="1763" t="str">
        <f t="shared" si="1946"/>
        <v/>
      </c>
      <c r="P2139" s="1764" t="str">
        <f t="shared" si="1947"/>
        <v/>
      </c>
      <c r="Q2139" s="120" t="str">
        <f t="shared" si="1948"/>
        <v/>
      </c>
      <c r="R2139" s="1765"/>
    </row>
    <row r="2140" spans="1:18" s="120" customFormat="1" ht="18" customHeight="1" thickBot="1">
      <c r="A2140" s="1855"/>
      <c r="B2140" s="1854"/>
      <c r="C2140" s="1797"/>
      <c r="D2140" s="1889"/>
      <c r="E2140" s="1981"/>
      <c r="F2140" s="1981"/>
      <c r="G2140" s="1798"/>
      <c r="H2140" s="1798"/>
      <c r="I2140" s="1798"/>
      <c r="J2140" s="1799"/>
      <c r="K2140" s="1788"/>
      <c r="L2140" s="363"/>
      <c r="M2140" s="684"/>
      <c r="N2140" s="362" t="str">
        <f t="shared" si="1945"/>
        <v/>
      </c>
      <c r="O2140" s="1763" t="str">
        <f t="shared" si="1946"/>
        <v/>
      </c>
      <c r="P2140" s="1764" t="str">
        <f t="shared" si="1947"/>
        <v/>
      </c>
      <c r="Q2140" s="120" t="str">
        <f t="shared" si="1948"/>
        <v/>
      </c>
      <c r="R2140" s="185"/>
    </row>
    <row r="2141" spans="1:18" s="120" customFormat="1" ht="18" customHeight="1" thickBot="1">
      <c r="A2141" s="1989">
        <v>36</v>
      </c>
      <c r="B2141" s="1852">
        <v>1</v>
      </c>
      <c r="C2141" s="1756" t="s">
        <v>12598</v>
      </c>
      <c r="D2141" s="1588"/>
      <c r="E2141" s="1589"/>
      <c r="F2141" s="1589"/>
      <c r="G2141" s="1757">
        <f>SUM(F2142:F2223)</f>
        <v>3266.3400000000006</v>
      </c>
      <c r="H2141" s="1758">
        <f>G2141*(1-$D$6)</f>
        <v>3266.3400000000006</v>
      </c>
      <c r="I2141" s="1757">
        <f>ROUNDUP(H2141*$D$5,0)</f>
        <v>11106</v>
      </c>
      <c r="J2141" s="1759">
        <f>+I2141*B2141</f>
        <v>11106</v>
      </c>
      <c r="K2141" s="1788">
        <f>B2141</f>
        <v>1</v>
      </c>
      <c r="L2141" s="363"/>
      <c r="M2141" s="684"/>
      <c r="N2141" s="362" t="str">
        <f t="shared" si="1945"/>
        <v/>
      </c>
      <c r="O2141" s="1763" t="str">
        <f t="shared" si="1946"/>
        <v/>
      </c>
      <c r="P2141" s="1764" t="str">
        <f t="shared" si="1947"/>
        <v/>
      </c>
      <c r="Q2141" s="120" t="str">
        <f t="shared" si="1948"/>
        <v/>
      </c>
      <c r="R2141" s="185"/>
    </row>
    <row r="2142" spans="1:18" s="120" customFormat="1" ht="18" customHeight="1">
      <c r="A2142" s="685" t="s">
        <v>3064</v>
      </c>
      <c r="B2142" s="1903"/>
      <c r="C2142" s="1890"/>
      <c r="D2142" s="1904"/>
      <c r="E2142" s="1789"/>
      <c r="F2142" s="1780"/>
      <c r="G2142" s="686"/>
      <c r="H2142" s="710"/>
      <c r="I2142" s="686"/>
      <c r="J2142" s="1768"/>
      <c r="K2142" s="684">
        <f t="shared" ref="K2142:K2143" si="1953">+K2141</f>
        <v>1</v>
      </c>
      <c r="L2142" s="363">
        <v>1</v>
      </c>
      <c r="M2142" s="709">
        <f t="shared" ref="M2142:M2173" si="1954">IF(B2142="",1,B2142)</f>
        <v>1</v>
      </c>
      <c r="N2142" s="362" t="str">
        <f t="shared" si="1945"/>
        <v/>
      </c>
      <c r="O2142" s="1763" t="str">
        <f t="shared" si="1946"/>
        <v/>
      </c>
      <c r="P2142" s="1764" t="str">
        <f t="shared" si="1947"/>
        <v/>
      </c>
      <c r="Q2142" s="120" t="str">
        <f t="shared" si="1948"/>
        <v/>
      </c>
    </row>
    <row r="2143" spans="1:18" s="315" customFormat="1" ht="12" customHeight="1">
      <c r="A2143" s="687" t="s">
        <v>4021</v>
      </c>
      <c r="B2143" s="2096">
        <v>1</v>
      </c>
      <c r="C2143" s="1907" t="s">
        <v>5103</v>
      </c>
      <c r="D2143" s="1935"/>
      <c r="E2143" s="1786"/>
      <c r="F2143" s="1908">
        <f>SUM(F2145:F2149)*(B2143-1)</f>
        <v>0</v>
      </c>
      <c r="G2143" s="712"/>
      <c r="H2143" s="712"/>
      <c r="I2143" s="712"/>
      <c r="J2143" s="713"/>
      <c r="K2143" s="684">
        <f t="shared" si="1953"/>
        <v>1</v>
      </c>
      <c r="L2143" s="1909">
        <f>B2143</f>
        <v>1</v>
      </c>
      <c r="M2143" s="684">
        <f t="shared" si="1954"/>
        <v>1</v>
      </c>
      <c r="N2143" s="362" t="str">
        <f t="shared" si="1945"/>
        <v/>
      </c>
      <c r="O2143" s="1763" t="str">
        <f t="shared" si="1946"/>
        <v/>
      </c>
      <c r="P2143" s="1764" t="str">
        <f t="shared" si="1947"/>
        <v/>
      </c>
      <c r="Q2143" s="120" t="str">
        <f t="shared" si="1948"/>
        <v/>
      </c>
    </row>
    <row r="2144" spans="1:18" s="185" customFormat="1">
      <c r="A2144" s="687" t="s">
        <v>4136</v>
      </c>
      <c r="B2144" s="1910">
        <v>3</v>
      </c>
      <c r="C2144" s="1911" t="str">
        <f>VLOOKUP(D2144,base_datos,6,FALSE)</f>
        <v>Portalámpara + lampara tipo LED - color Rojo - alimentacion: 220-230Vac, d=22mm. - CL2-523R - línea compacta - marca ABB.</v>
      </c>
      <c r="D2144" s="1790" t="s">
        <v>2439</v>
      </c>
      <c r="E2144" s="1939">
        <f>VLOOKUP(D2144,base_datos,5,FALSE)</f>
        <v>12.299999999999999</v>
      </c>
      <c r="F2144" s="1912">
        <f>+E2144*B2144</f>
        <v>36.9</v>
      </c>
      <c r="G2144" s="710"/>
      <c r="H2144" s="710"/>
      <c r="I2144" s="710"/>
      <c r="J2144" s="711"/>
      <c r="K2144" s="684">
        <f>+K2142</f>
        <v>1</v>
      </c>
      <c r="L2144" s="1913">
        <f>L2142</f>
        <v>1</v>
      </c>
      <c r="M2144" s="684">
        <f t="shared" si="1954"/>
        <v>3</v>
      </c>
      <c r="N2144" s="362">
        <f t="shared" si="1945"/>
        <v>3</v>
      </c>
      <c r="O2144" s="1763" t="str">
        <f t="shared" si="1946"/>
        <v>1SFA619403R5231</v>
      </c>
      <c r="P2144" s="1764" t="str">
        <f t="shared" si="1947"/>
        <v>Portalámpara + lampara tipo LED - color Rojo - alimentacion: 220-230Vac, d=22mm. - CL2-523R - línea compacta - marca ABB.</v>
      </c>
      <c r="Q2144" s="120" t="str">
        <f t="shared" si="1948"/>
        <v>LAMP_ROJO_220V</v>
      </c>
    </row>
    <row r="2145" spans="1:18" s="185" customFormat="1">
      <c r="A2145" s="687"/>
      <c r="B2145" s="1910">
        <v>3</v>
      </c>
      <c r="C2145" s="1911" t="str">
        <f>VLOOKUP(D2145,base_datos,6,FALSE)</f>
        <v>Portalámpara + lampara tipo LED - color Verde - alimentacion: 220-230Vac, d=22mm. - CL2-523G - línea compacta - marca ABB.</v>
      </c>
      <c r="D2145" s="1790" t="s">
        <v>2440</v>
      </c>
      <c r="E2145" s="1939">
        <f>VLOOKUP(D2145,base_datos,5,FALSE)</f>
        <v>12.299999999999999</v>
      </c>
      <c r="F2145" s="1912">
        <f>+E2145*B2145</f>
        <v>36.9</v>
      </c>
      <c r="G2145" s="710"/>
      <c r="H2145" s="710"/>
      <c r="I2145" s="710"/>
      <c r="J2145" s="711"/>
      <c r="K2145" s="684">
        <f t="shared" ref="K2145:K2219" si="1955">+K2143</f>
        <v>1</v>
      </c>
      <c r="L2145" s="1913">
        <f>L2143</f>
        <v>1</v>
      </c>
      <c r="M2145" s="684">
        <f t="shared" si="1954"/>
        <v>3</v>
      </c>
      <c r="N2145" s="362">
        <f t="shared" si="1945"/>
        <v>3</v>
      </c>
      <c r="O2145" s="1763" t="str">
        <f t="shared" si="1946"/>
        <v>1SFA619403R5232</v>
      </c>
      <c r="P2145" s="1764" t="str">
        <f t="shared" si="1947"/>
        <v>Portalámpara + lampara tipo LED - color Verde - alimentacion: 220-230Vac, d=22mm. - CL2-523G - línea compacta - marca ABB.</v>
      </c>
      <c r="Q2145" s="120" t="str">
        <f t="shared" si="1948"/>
        <v>LAMP_VERDE_220V</v>
      </c>
    </row>
    <row r="2146" spans="1:18" s="1921" customFormat="1">
      <c r="A2146" s="687" t="s">
        <v>12356</v>
      </c>
      <c r="B2146" s="1914">
        <v>1</v>
      </c>
      <c r="C2146" s="1915" t="s">
        <v>3366</v>
      </c>
      <c r="D2146" s="1916"/>
      <c r="E2146" s="1917"/>
      <c r="F2146" s="1918"/>
      <c r="G2146" s="1919"/>
      <c r="H2146" s="1919"/>
      <c r="I2146" s="1919"/>
      <c r="J2146" s="1920"/>
      <c r="K2146" s="684">
        <f t="shared" si="1955"/>
        <v>1</v>
      </c>
      <c r="L2146" s="1913">
        <f>L2145</f>
        <v>1</v>
      </c>
      <c r="M2146" s="684">
        <f t="shared" si="1954"/>
        <v>1</v>
      </c>
      <c r="N2146" s="362" t="str">
        <f t="shared" si="1945"/>
        <v/>
      </c>
      <c r="O2146" s="1763" t="str">
        <f t="shared" si="1946"/>
        <v/>
      </c>
      <c r="P2146" s="1764" t="str">
        <f t="shared" si="1947"/>
        <v/>
      </c>
      <c r="Q2146" s="120" t="str">
        <f t="shared" si="1948"/>
        <v/>
      </c>
    </row>
    <row r="2147" spans="1:18" s="320" customFormat="1">
      <c r="A2147" s="687" t="s">
        <v>12379</v>
      </c>
      <c r="B2147" s="1922">
        <v>1</v>
      </c>
      <c r="C2147" s="721" t="str">
        <f>VLOOKUP(D2147,base_datos,6,FALSE)</f>
        <v>Rele auxiliar enchufable +4NA/NC (D2PR4B + base D2PA6), 220Vac - marca EATON.</v>
      </c>
      <c r="D2147" s="1579" t="s">
        <v>772</v>
      </c>
      <c r="E2147" s="1581">
        <f>VLOOKUP(D2147,base_datos,5,FALSE)</f>
        <v>27</v>
      </c>
      <c r="F2147" s="1923">
        <f>+E2147*B2147</f>
        <v>27</v>
      </c>
      <c r="G2147" s="1924"/>
      <c r="H2147" s="1924"/>
      <c r="I2147" s="1924"/>
      <c r="J2147" s="722"/>
      <c r="K2147" s="684">
        <f t="shared" si="1955"/>
        <v>1</v>
      </c>
      <c r="L2147" s="1913">
        <f>L2144</f>
        <v>1</v>
      </c>
      <c r="M2147" s="684">
        <f t="shared" si="1954"/>
        <v>1</v>
      </c>
      <c r="N2147" s="362">
        <f t="shared" si="1945"/>
        <v>1</v>
      </c>
      <c r="O2147" s="1763" t="str">
        <f t="shared" si="1946"/>
        <v>D2PR4B+D2PA6</v>
      </c>
      <c r="P2147" s="1764" t="str">
        <f t="shared" si="1947"/>
        <v>Rele auxiliar enchufable +4NA/NC (D2PR4B + base D2PA6), 220Vac - marca EATON.</v>
      </c>
      <c r="Q2147" s="120" t="str">
        <f t="shared" si="1948"/>
        <v>D2PR4B+D2PA6</v>
      </c>
    </row>
    <row r="2148" spans="1:18" s="320" customFormat="1">
      <c r="A2148" s="1767"/>
      <c r="B2148" s="2131">
        <v>1</v>
      </c>
      <c r="C2148" s="2132" t="s">
        <v>12558</v>
      </c>
      <c r="D2148" s="2133"/>
      <c r="E2148" s="2134">
        <v>32</v>
      </c>
      <c r="F2148" s="2134">
        <f>+E2148*B2148</f>
        <v>32</v>
      </c>
      <c r="G2148" s="1924"/>
      <c r="H2148" s="1924"/>
      <c r="I2148" s="1924"/>
      <c r="J2148" s="722"/>
      <c r="K2148" s="684">
        <f t="shared" si="1955"/>
        <v>1</v>
      </c>
      <c r="L2148" s="1913">
        <f>L2145</f>
        <v>1</v>
      </c>
      <c r="M2148" s="684">
        <f t="shared" si="1954"/>
        <v>1</v>
      </c>
      <c r="N2148" s="362" t="str">
        <f t="shared" si="1945"/>
        <v/>
      </c>
      <c r="O2148" s="1763" t="str">
        <f t="shared" si="1946"/>
        <v/>
      </c>
      <c r="P2148" s="1764" t="str">
        <f t="shared" si="1947"/>
        <v/>
      </c>
      <c r="Q2148" s="120" t="str">
        <f t="shared" si="1948"/>
        <v/>
      </c>
    </row>
    <row r="2149" spans="1:18" s="320" customFormat="1">
      <c r="A2149" s="687" t="s">
        <v>12551</v>
      </c>
      <c r="B2149" s="1922">
        <v>4</v>
      </c>
      <c r="C2149" s="721" t="str">
        <f>VLOOKUP(D2149,base_datos,6,FALSE)</f>
        <v>Base portafusibles + Fusibles de protección para control.</v>
      </c>
      <c r="D2149" s="1579" t="s">
        <v>453</v>
      </c>
      <c r="E2149" s="1581">
        <f>VLOOKUP(D2149,base_datos,5,FALSE)</f>
        <v>8.1750000000000007</v>
      </c>
      <c r="F2149" s="1923">
        <f>+E2149*B2149</f>
        <v>32.700000000000003</v>
      </c>
      <c r="G2149" s="1924"/>
      <c r="H2149" s="1924"/>
      <c r="I2149" s="1924"/>
      <c r="J2149" s="722"/>
      <c r="K2149" s="684">
        <f t="shared" si="1955"/>
        <v>1</v>
      </c>
      <c r="L2149" s="1913">
        <f>L2146</f>
        <v>1</v>
      </c>
      <c r="M2149" s="684">
        <f t="shared" si="1954"/>
        <v>4</v>
      </c>
      <c r="N2149" s="362" t="str">
        <f t="shared" si="1945"/>
        <v/>
      </c>
      <c r="O2149" s="1763" t="str">
        <f t="shared" si="1946"/>
        <v/>
      </c>
      <c r="P2149" s="1764" t="str">
        <f t="shared" si="1947"/>
        <v/>
      </c>
      <c r="Q2149" s="120" t="str">
        <f t="shared" si="1948"/>
        <v/>
      </c>
    </row>
    <row r="2150" spans="1:18" s="315" customFormat="1">
      <c r="A2150" s="687" t="s">
        <v>3542</v>
      </c>
      <c r="B2150" s="1906"/>
      <c r="C2150" s="1907"/>
      <c r="D2150" s="1935"/>
      <c r="E2150" s="1786"/>
      <c r="F2150" s="1936"/>
      <c r="G2150" s="712"/>
      <c r="H2150" s="712"/>
      <c r="I2150" s="712"/>
      <c r="J2150" s="713"/>
      <c r="K2150" s="684">
        <f t="shared" si="1955"/>
        <v>1</v>
      </c>
      <c r="L2150" s="1909">
        <f>B2150</f>
        <v>0</v>
      </c>
      <c r="M2150" s="684">
        <f t="shared" si="1954"/>
        <v>1</v>
      </c>
      <c r="N2150" s="362" t="str">
        <f t="shared" si="1945"/>
        <v/>
      </c>
      <c r="O2150" s="1763" t="str">
        <f t="shared" si="1946"/>
        <v/>
      </c>
      <c r="P2150" s="1764" t="str">
        <f t="shared" si="1947"/>
        <v/>
      </c>
      <c r="Q2150" s="120" t="str">
        <f t="shared" si="1948"/>
        <v/>
      </c>
    </row>
    <row r="2151" spans="1:18" s="185" customFormat="1" ht="13.5" customHeight="1">
      <c r="A2151" s="1771"/>
      <c r="B2151" s="1922"/>
      <c r="C2151" s="1956" t="s">
        <v>12368</v>
      </c>
      <c r="D2151" s="1579"/>
      <c r="E2151" s="1957"/>
      <c r="F2151" s="1958"/>
      <c r="G2151" s="710"/>
      <c r="H2151" s="710"/>
      <c r="I2151" s="710"/>
      <c r="J2151" s="711"/>
      <c r="K2151" s="684">
        <f t="shared" si="1955"/>
        <v>1</v>
      </c>
      <c r="L2151" s="708">
        <v>1</v>
      </c>
      <c r="M2151" s="684">
        <f t="shared" si="1954"/>
        <v>1</v>
      </c>
      <c r="N2151" s="362" t="str">
        <f t="shared" si="1945"/>
        <v/>
      </c>
      <c r="O2151" s="1763" t="str">
        <f t="shared" si="1946"/>
        <v/>
      </c>
      <c r="P2151" s="1764" t="str">
        <f t="shared" si="1947"/>
        <v/>
      </c>
      <c r="Q2151" s="120" t="str">
        <f t="shared" si="1948"/>
        <v/>
      </c>
    </row>
    <row r="2152" spans="1:18" s="120" customFormat="1" ht="18" customHeight="1">
      <c r="A2152" s="1785"/>
      <c r="B2152" s="1781"/>
      <c r="C2152" s="1218" t="s">
        <v>3158</v>
      </c>
      <c r="D2152" s="1900"/>
      <c r="E2152" s="1791"/>
      <c r="F2152" s="1782"/>
      <c r="G2152" s="686"/>
      <c r="H2152" s="686"/>
      <c r="I2152" s="686"/>
      <c r="J2152" s="688"/>
      <c r="K2152" s="684">
        <f t="shared" si="1955"/>
        <v>1</v>
      </c>
      <c r="L2152" s="708">
        <v>1</v>
      </c>
      <c r="M2152" s="709">
        <f t="shared" si="1954"/>
        <v>1</v>
      </c>
      <c r="N2152" s="362" t="str">
        <f t="shared" si="1945"/>
        <v/>
      </c>
      <c r="O2152" s="1763" t="str">
        <f t="shared" si="1946"/>
        <v/>
      </c>
      <c r="P2152" s="1764" t="str">
        <f t="shared" si="1947"/>
        <v/>
      </c>
      <c r="Q2152" s="120" t="str">
        <f t="shared" si="1948"/>
        <v/>
      </c>
      <c r="R2152" s="185"/>
    </row>
    <row r="2153" spans="1:18" s="690" customFormat="1" ht="18" customHeight="1">
      <c r="A2153" s="687"/>
      <c r="B2153" s="2096">
        <v>1</v>
      </c>
      <c r="C2153" s="1420" t="str">
        <f>VLOOKUP(D2153,base_datos,6,FALSE)</f>
        <v>ITM Caja Moldeada 3x40A (reg.[0.7-1.0] In) - XT1B160-40A-3P-TMD - 25kA@230Vac, 18kA@415Vac, 18kA@250Vdc - marca ABB.</v>
      </c>
      <c r="D2153" s="1901" t="s">
        <v>4366</v>
      </c>
      <c r="E2153" s="1791">
        <f>VLOOKUP(D2153,base_datos,5,FALSE)</f>
        <v>120.37</v>
      </c>
      <c r="F2153" s="1782">
        <f>+E2153*B2153</f>
        <v>120.37</v>
      </c>
      <c r="G2153" s="1761"/>
      <c r="H2153" s="1761"/>
      <c r="I2153" s="1761"/>
      <c r="J2153" s="689"/>
      <c r="K2153" s="684">
        <f t="shared" si="1955"/>
        <v>1</v>
      </c>
      <c r="L2153" s="708">
        <v>1</v>
      </c>
      <c r="M2153" s="709">
        <f t="shared" si="1954"/>
        <v>1</v>
      </c>
      <c r="N2153" s="362">
        <f t="shared" si="1945"/>
        <v>1</v>
      </c>
      <c r="O2153" s="1763" t="str">
        <f t="shared" si="1946"/>
        <v>1SDA066803R1</v>
      </c>
      <c r="P2153" s="1764" t="str">
        <f t="shared" si="1947"/>
        <v>ITM Caja Moldeada 3x40A (reg.[0.7-1.0] In) - XT1B160-40A-3P-TMD - 25kA@230Vac, 18kA@415Vac, 18kA@250Vdc - marca ABB.</v>
      </c>
      <c r="Q2153" s="120" t="str">
        <f t="shared" si="1948"/>
        <v>XT1B160-40A-3P-TMD</v>
      </c>
      <c r="R2153" s="185"/>
    </row>
    <row r="2154" spans="1:18" s="185" customFormat="1" ht="18" customHeight="1">
      <c r="A2154" s="687"/>
      <c r="B2154" s="714"/>
      <c r="C2154" s="1893" t="s">
        <v>729</v>
      </c>
      <c r="D2154" s="173"/>
      <c r="E2154" s="1581"/>
      <c r="F2154" s="1581"/>
      <c r="G2154" s="710"/>
      <c r="H2154" s="710"/>
      <c r="I2154" s="710"/>
      <c r="J2154" s="711"/>
      <c r="K2154" s="684">
        <f t="shared" si="1955"/>
        <v>1</v>
      </c>
      <c r="L2154" s="708">
        <v>1</v>
      </c>
      <c r="M2154" s="709">
        <f t="shared" si="1954"/>
        <v>1</v>
      </c>
      <c r="N2154" s="362" t="str">
        <f t="shared" si="1945"/>
        <v/>
      </c>
      <c r="O2154" s="1763" t="str">
        <f t="shared" si="1946"/>
        <v/>
      </c>
      <c r="P2154" s="1764" t="str">
        <f t="shared" si="1947"/>
        <v/>
      </c>
      <c r="Q2154" s="120" t="str">
        <f t="shared" si="1948"/>
        <v/>
      </c>
      <c r="R2154" s="1765"/>
    </row>
    <row r="2155" spans="1:18" s="690" customFormat="1" ht="18" customHeight="1">
      <c r="A2155" s="1771"/>
      <c r="B2155" s="1851"/>
      <c r="C2155" s="1966" t="s">
        <v>9431</v>
      </c>
      <c r="D2155" s="1582"/>
      <c r="E2155" s="1780"/>
      <c r="F2155" s="1782"/>
      <c r="G2155" s="1761"/>
      <c r="H2155" s="1761"/>
      <c r="I2155" s="1761"/>
      <c r="J2155" s="689"/>
      <c r="K2155" s="684">
        <f t="shared" si="1955"/>
        <v>1</v>
      </c>
      <c r="L2155" s="708">
        <v>1</v>
      </c>
      <c r="M2155" s="709">
        <f t="shared" si="1954"/>
        <v>1</v>
      </c>
      <c r="N2155" s="362" t="str">
        <f t="shared" ref="N2155:N2173" si="1956">IF(O2155&lt;&gt;"",K2155*L2155*M2155,"")</f>
        <v/>
      </c>
      <c r="O2155" s="1763" t="str">
        <f t="shared" ref="O2155:O2173" si="1957">IF(D2155&lt;&gt;"",IF(VLOOKUP(D2155,base_datos,7,FALSE)&lt;&gt;"",VLOOKUP(D2155,base_datos,7,FALSE),""),"")</f>
        <v/>
      </c>
      <c r="P2155" s="1764" t="str">
        <f t="shared" ref="P2155:P2173" si="1958">IF(O2155&lt;&gt;"",VLOOKUP(D2155,base_datos,6,FALSE),"")</f>
        <v/>
      </c>
      <c r="Q2155" s="120" t="str">
        <f t="shared" ref="Q2155:Q2173" si="1959">IF(O2155&lt;&gt;"",D2155,"")</f>
        <v/>
      </c>
      <c r="R2155" s="185"/>
    </row>
    <row r="2156" spans="1:18" s="690" customFormat="1" ht="18" customHeight="1">
      <c r="A2156" s="1785"/>
      <c r="B2156" s="1781">
        <v>2</v>
      </c>
      <c r="C2156" s="1960" t="str">
        <f t="shared" ref="C2156" si="1960">VLOOKUP(D2156,base_datos,6,FALSE)</f>
        <v>ITM Caja Moldeada 3x20A (reg.[0.7-1.0] In) - XT1B160-20A-3P-TMD - 25kA@230Vac, 18kA@415Vac, 18kA@250Vdc - marca ABB.</v>
      </c>
      <c r="D2156" s="1901" t="s">
        <v>4360</v>
      </c>
      <c r="E2156" s="1791">
        <f t="shared" ref="E2156" si="1961">VLOOKUP(D2156,base_datos,5,FALSE)</f>
        <v>120.37</v>
      </c>
      <c r="F2156" s="1782">
        <f t="shared" ref="F2156:F2157" si="1962">+E2156*B2156</f>
        <v>240.74</v>
      </c>
      <c r="G2156" s="1761"/>
      <c r="H2156" s="1761"/>
      <c r="I2156" s="1761"/>
      <c r="J2156" s="1783"/>
      <c r="K2156" s="684">
        <f t="shared" si="1955"/>
        <v>1</v>
      </c>
      <c r="L2156" s="708">
        <v>1</v>
      </c>
      <c r="M2156" s="709">
        <f t="shared" si="1954"/>
        <v>2</v>
      </c>
      <c r="N2156" s="362">
        <f t="shared" si="1956"/>
        <v>2</v>
      </c>
      <c r="O2156" s="1763" t="str">
        <f t="shared" si="1957"/>
        <v>1SDA066800R1</v>
      </c>
      <c r="P2156" s="1764" t="str">
        <f t="shared" si="1958"/>
        <v>ITM Caja Moldeada 3x20A (reg.[0.7-1.0] In) - XT1B160-20A-3P-TMD - 25kA@230Vac, 18kA@415Vac, 18kA@250Vdc - marca ABB.</v>
      </c>
      <c r="Q2156" s="120" t="str">
        <f t="shared" si="1959"/>
        <v>XT1B160-20A-3P-TMD</v>
      </c>
      <c r="R2156" s="185"/>
    </row>
    <row r="2157" spans="1:18" s="695" customFormat="1">
      <c r="A2157" s="687"/>
      <c r="B2157" s="1967">
        <v>1</v>
      </c>
      <c r="C2157" s="1946">
        <v>6</v>
      </c>
      <c r="D2157" s="1582"/>
      <c r="E2157" s="2000">
        <v>24</v>
      </c>
      <c r="F2157" s="1968">
        <f t="shared" si="1962"/>
        <v>24</v>
      </c>
      <c r="G2157" s="1969"/>
      <c r="H2157" s="1969"/>
      <c r="I2157" s="1969"/>
      <c r="J2157" s="1970"/>
      <c r="K2157" s="684">
        <f t="shared" si="1955"/>
        <v>1</v>
      </c>
      <c r="L2157" s="708">
        <v>1</v>
      </c>
      <c r="M2157" s="709">
        <f t="shared" si="1954"/>
        <v>1</v>
      </c>
      <c r="N2157" s="362" t="str">
        <f t="shared" si="1956"/>
        <v/>
      </c>
      <c r="O2157" s="1763" t="str">
        <f t="shared" si="1957"/>
        <v/>
      </c>
      <c r="P2157" s="1764" t="str">
        <f t="shared" si="1958"/>
        <v/>
      </c>
      <c r="Q2157" s="120" t="str">
        <f t="shared" si="1959"/>
        <v/>
      </c>
    </row>
    <row r="2158" spans="1:18" s="185" customFormat="1" ht="18" customHeight="1">
      <c r="A2158" s="687"/>
      <c r="B2158" s="714"/>
      <c r="C2158" s="1893" t="s">
        <v>729</v>
      </c>
      <c r="D2158" s="173"/>
      <c r="E2158" s="1581"/>
      <c r="F2158" s="1581"/>
      <c r="G2158" s="710"/>
      <c r="H2158" s="710"/>
      <c r="I2158" s="710"/>
      <c r="J2158" s="711"/>
      <c r="K2158" s="684">
        <f t="shared" si="1955"/>
        <v>1</v>
      </c>
      <c r="L2158" s="708">
        <v>1</v>
      </c>
      <c r="M2158" s="709">
        <f t="shared" ref="M2158" si="1963">IF(B2158="",1,B2158)</f>
        <v>1</v>
      </c>
      <c r="N2158" s="362" t="str">
        <f t="shared" si="1956"/>
        <v/>
      </c>
      <c r="O2158" s="1763" t="str">
        <f t="shared" si="1957"/>
        <v/>
      </c>
      <c r="P2158" s="1764" t="str">
        <f t="shared" si="1958"/>
        <v/>
      </c>
      <c r="Q2158" s="120" t="str">
        <f t="shared" si="1959"/>
        <v/>
      </c>
      <c r="R2158" s="1765"/>
    </row>
    <row r="2159" spans="1:18" s="690" customFormat="1" ht="18" customHeight="1">
      <c r="A2159" s="1785"/>
      <c r="B2159" s="1851"/>
      <c r="C2159" s="1966" t="s">
        <v>12546</v>
      </c>
      <c r="D2159" s="1582"/>
      <c r="E2159" s="1780"/>
      <c r="F2159" s="1782"/>
      <c r="G2159" s="1761"/>
      <c r="H2159" s="1761"/>
      <c r="I2159" s="1761"/>
      <c r="J2159" s="689"/>
      <c r="K2159" s="684">
        <f>+K2156</f>
        <v>1</v>
      </c>
      <c r="L2159" s="708">
        <v>1</v>
      </c>
      <c r="M2159" s="709">
        <f t="shared" si="1954"/>
        <v>1</v>
      </c>
      <c r="N2159" s="362" t="str">
        <f t="shared" si="1956"/>
        <v/>
      </c>
      <c r="O2159" s="1763" t="str">
        <f t="shared" si="1957"/>
        <v/>
      </c>
      <c r="P2159" s="1764" t="str">
        <f t="shared" si="1958"/>
        <v/>
      </c>
      <c r="Q2159" s="120" t="str">
        <f t="shared" si="1959"/>
        <v/>
      </c>
      <c r="R2159" s="185"/>
    </row>
    <row r="2160" spans="1:18" s="690" customFormat="1" ht="18" customHeight="1">
      <c r="A2160" s="1785"/>
      <c r="B2160" s="1781">
        <v>6</v>
      </c>
      <c r="C2160" s="1960" t="str">
        <f t="shared" ref="C2160:C2164" si="1964">VLOOKUP(D2160,base_datos,6,FALSE)</f>
        <v>ITM Riel-Din 3x16A - S203-C-16A - 10kA@400Vac-IEC60947-2 - marca ABB.</v>
      </c>
      <c r="D2160" s="2007" t="s">
        <v>984</v>
      </c>
      <c r="E2160" s="1791">
        <f t="shared" ref="E2160:E2164" si="1965">VLOOKUP(D2160,base_datos,5,FALSE)</f>
        <v>32.72</v>
      </c>
      <c r="F2160" s="1782">
        <f t="shared" ref="F2160:F2165" si="1966">+E2160*B2160</f>
        <v>196.32</v>
      </c>
      <c r="G2160" s="1761"/>
      <c r="H2160" s="1761"/>
      <c r="I2160" s="1761"/>
      <c r="J2160" s="1783"/>
      <c r="K2160" s="684">
        <f>+K2157</f>
        <v>1</v>
      </c>
      <c r="L2160" s="708">
        <v>1</v>
      </c>
      <c r="M2160" s="709">
        <f t="shared" si="1954"/>
        <v>6</v>
      </c>
      <c r="N2160" s="362">
        <f t="shared" si="1956"/>
        <v>6</v>
      </c>
      <c r="O2160" s="1763" t="str">
        <f t="shared" si="1957"/>
        <v>2CDS253001R0164</v>
      </c>
      <c r="P2160" s="1764" t="str">
        <f t="shared" si="1958"/>
        <v>ITM Riel-Din 3x16A - S203-C-16A - 10kA@400Vac-IEC60947-2 - marca ABB.</v>
      </c>
      <c r="Q2160" s="120" t="str">
        <f t="shared" si="1959"/>
        <v>S203-C-16A</v>
      </c>
      <c r="R2160" s="185"/>
    </row>
    <row r="2161" spans="1:18" s="690" customFormat="1" ht="18" customHeight="1">
      <c r="A2161" s="1785"/>
      <c r="B2161" s="2023">
        <v>6</v>
      </c>
      <c r="C2161" s="2041" t="str">
        <f t="shared" si="1964"/>
        <v>Interruptor Diferencial 4x25A - 30mA - clase A (inmunizado) - FH204-A-25A-30mA - marca ABB.</v>
      </c>
      <c r="D2161" s="2006" t="s">
        <v>5327</v>
      </c>
      <c r="E2161" s="2025">
        <f t="shared" si="1965"/>
        <v>72.899999999999991</v>
      </c>
      <c r="F2161" s="2026">
        <f t="shared" si="1966"/>
        <v>437.4</v>
      </c>
      <c r="G2161" s="1761"/>
      <c r="H2161" s="1761"/>
      <c r="I2161" s="1761"/>
      <c r="J2161" s="1783"/>
      <c r="K2161" s="684">
        <f t="shared" si="1955"/>
        <v>1</v>
      </c>
      <c r="L2161" s="708">
        <v>1</v>
      </c>
      <c r="M2161" s="709">
        <f t="shared" si="1954"/>
        <v>6</v>
      </c>
      <c r="N2161" s="362">
        <f t="shared" si="1956"/>
        <v>6</v>
      </c>
      <c r="O2161" s="1763" t="str">
        <f t="shared" si="1957"/>
        <v>2CSF204102R1250</v>
      </c>
      <c r="P2161" s="1764" t="str">
        <f t="shared" si="1958"/>
        <v>Interruptor Diferencial 4x25A - 30mA - clase A (inmunizado) - FH204-A-25A-30mA - marca ABB.</v>
      </c>
      <c r="Q2161" s="120" t="str">
        <f t="shared" si="1959"/>
        <v>FH204-A-25A-30mA</v>
      </c>
      <c r="R2161" s="185"/>
    </row>
    <row r="2162" spans="1:18" s="690" customFormat="1" ht="18" customHeight="1">
      <c r="A2162" s="1785"/>
      <c r="B2162" s="1781">
        <v>5</v>
      </c>
      <c r="C2162" s="1960" t="str">
        <f t="shared" si="1964"/>
        <v>ITM Riel-Din 2x16A - S202-C-16A - 10kA@400Vac-IEC60947-2 - marca ABB.</v>
      </c>
      <c r="D2162" s="2007" t="s">
        <v>970</v>
      </c>
      <c r="E2162" s="1791">
        <f t="shared" si="1965"/>
        <v>17.96</v>
      </c>
      <c r="F2162" s="1782">
        <f t="shared" si="1966"/>
        <v>89.800000000000011</v>
      </c>
      <c r="G2162" s="1761"/>
      <c r="H2162" s="1761"/>
      <c r="I2162" s="1761"/>
      <c r="J2162" s="1783"/>
      <c r="K2162" s="684">
        <f t="shared" si="1955"/>
        <v>1</v>
      </c>
      <c r="L2162" s="708">
        <v>1</v>
      </c>
      <c r="M2162" s="709">
        <f t="shared" si="1954"/>
        <v>5</v>
      </c>
      <c r="N2162" s="362">
        <f t="shared" si="1956"/>
        <v>5</v>
      </c>
      <c r="O2162" s="1763" t="str">
        <f t="shared" si="1957"/>
        <v>2CDS252001R0164</v>
      </c>
      <c r="P2162" s="1764" t="str">
        <f t="shared" si="1958"/>
        <v>ITM Riel-Din 2x16A - S202-C-16A - 10kA@400Vac-IEC60947-2 - marca ABB.</v>
      </c>
      <c r="Q2162" s="120" t="str">
        <f t="shared" si="1959"/>
        <v>S202-C-16A</v>
      </c>
      <c r="R2162" s="185"/>
    </row>
    <row r="2163" spans="1:18" s="690" customFormat="1" ht="18" customHeight="1">
      <c r="A2163" s="1785"/>
      <c r="B2163" s="2023">
        <v>5</v>
      </c>
      <c r="C2163" s="2041" t="str">
        <f t="shared" si="1964"/>
        <v>Interruptor Diferencial 2x25A - 30mA - clase A (inmunizado) - FH202-A-25A-30mA - marca ABB.</v>
      </c>
      <c r="D2163" s="2006" t="s">
        <v>5318</v>
      </c>
      <c r="E2163" s="2025">
        <f t="shared" si="1965"/>
        <v>50</v>
      </c>
      <c r="F2163" s="2026">
        <f t="shared" si="1966"/>
        <v>250</v>
      </c>
      <c r="G2163" s="1761"/>
      <c r="H2163" s="1761"/>
      <c r="I2163" s="1761"/>
      <c r="J2163" s="1783"/>
      <c r="K2163" s="684">
        <f t="shared" si="1955"/>
        <v>1</v>
      </c>
      <c r="L2163" s="708">
        <v>1</v>
      </c>
      <c r="M2163" s="709">
        <f t="shared" si="1954"/>
        <v>5</v>
      </c>
      <c r="N2163" s="362">
        <f t="shared" si="1956"/>
        <v>5</v>
      </c>
      <c r="O2163" s="1763" t="str">
        <f t="shared" si="1957"/>
        <v>2CSF202102R1250</v>
      </c>
      <c r="P2163" s="1764" t="str">
        <f t="shared" si="1958"/>
        <v>Interruptor Diferencial 2x25A - 30mA - clase A (inmunizado) - FH202-A-25A-30mA - marca ABB.</v>
      </c>
      <c r="Q2163" s="120" t="str">
        <f t="shared" si="1959"/>
        <v>FH202-A-25A-30mA</v>
      </c>
      <c r="R2163" s="185"/>
    </row>
    <row r="2164" spans="1:18" s="690" customFormat="1" ht="18" customHeight="1">
      <c r="A2164" s="1785"/>
      <c r="B2164" s="1781">
        <v>1</v>
      </c>
      <c r="C2164" s="1960" t="str">
        <f t="shared" si="1964"/>
        <v>Espacio de reserva monofasica + interruptor diferencial - Riel-Din.</v>
      </c>
      <c r="D2164" s="2006" t="s">
        <v>2926</v>
      </c>
      <c r="E2164" s="1791">
        <f t="shared" si="1965"/>
        <v>2.5</v>
      </c>
      <c r="F2164" s="1782">
        <f t="shared" si="1966"/>
        <v>2.5</v>
      </c>
      <c r="G2164" s="1761"/>
      <c r="H2164" s="1761"/>
      <c r="I2164" s="1761"/>
      <c r="J2164" s="1783"/>
      <c r="K2164" s="684">
        <f t="shared" si="1955"/>
        <v>1</v>
      </c>
      <c r="L2164" s="708">
        <v>1</v>
      </c>
      <c r="M2164" s="709">
        <f t="shared" si="1954"/>
        <v>1</v>
      </c>
      <c r="N2164" s="362" t="str">
        <f t="shared" si="1956"/>
        <v/>
      </c>
      <c r="O2164" s="1763" t="str">
        <f t="shared" si="1957"/>
        <v/>
      </c>
      <c r="P2164" s="1764" t="str">
        <f t="shared" si="1958"/>
        <v/>
      </c>
      <c r="Q2164" s="120" t="str">
        <f t="shared" si="1959"/>
        <v/>
      </c>
      <c r="R2164" s="185"/>
    </row>
    <row r="2165" spans="1:18" s="695" customFormat="1">
      <c r="A2165" s="687"/>
      <c r="B2165" s="1967">
        <v>1</v>
      </c>
      <c r="C2165" s="1946">
        <v>36</v>
      </c>
      <c r="D2165" s="1582"/>
      <c r="E2165" s="2000">
        <v>93</v>
      </c>
      <c r="F2165" s="1968">
        <f t="shared" si="1966"/>
        <v>93</v>
      </c>
      <c r="G2165" s="1969"/>
      <c r="H2165" s="1969"/>
      <c r="I2165" s="1969"/>
      <c r="J2165" s="1970"/>
      <c r="K2165" s="684">
        <f t="shared" si="1955"/>
        <v>1</v>
      </c>
      <c r="L2165" s="708">
        <v>1</v>
      </c>
      <c r="M2165" s="709">
        <f t="shared" si="1954"/>
        <v>1</v>
      </c>
      <c r="N2165" s="362" t="str">
        <f t="shared" si="1956"/>
        <v/>
      </c>
      <c r="O2165" s="1763" t="str">
        <f t="shared" si="1957"/>
        <v/>
      </c>
      <c r="P2165" s="1764" t="str">
        <f t="shared" si="1958"/>
        <v/>
      </c>
      <c r="Q2165" s="120" t="str">
        <f t="shared" si="1959"/>
        <v/>
      </c>
    </row>
    <row r="2166" spans="1:18" s="185" customFormat="1">
      <c r="A2166" s="1785"/>
      <c r="B2166" s="714"/>
      <c r="C2166" s="1893" t="s">
        <v>729</v>
      </c>
      <c r="D2166" s="1941"/>
      <c r="E2166" s="1786"/>
      <c r="F2166" s="1787"/>
      <c r="G2166" s="710"/>
      <c r="H2166" s="710"/>
      <c r="I2166" s="710"/>
      <c r="J2166" s="711"/>
      <c r="K2166" s="684">
        <f t="shared" si="1955"/>
        <v>1</v>
      </c>
      <c r="L2166" s="708">
        <v>1</v>
      </c>
      <c r="M2166" s="709">
        <f t="shared" si="1954"/>
        <v>1</v>
      </c>
      <c r="N2166" s="362" t="str">
        <f t="shared" si="1956"/>
        <v/>
      </c>
      <c r="O2166" s="1763" t="str">
        <f t="shared" si="1957"/>
        <v/>
      </c>
      <c r="P2166" s="1764" t="str">
        <f t="shared" si="1958"/>
        <v/>
      </c>
      <c r="Q2166" s="120" t="str">
        <f t="shared" si="1959"/>
        <v/>
      </c>
    </row>
    <row r="2167" spans="1:18" s="690" customFormat="1" ht="18" customHeight="1">
      <c r="A2167" s="1785"/>
      <c r="B2167" s="1851"/>
      <c r="C2167" s="1966" t="s">
        <v>12547</v>
      </c>
      <c r="D2167" s="1582"/>
      <c r="E2167" s="1780"/>
      <c r="F2167" s="1782"/>
      <c r="G2167" s="1761"/>
      <c r="H2167" s="1761"/>
      <c r="I2167" s="1761"/>
      <c r="J2167" s="689"/>
      <c r="K2167" s="684">
        <f t="shared" si="1955"/>
        <v>1</v>
      </c>
      <c r="L2167" s="708">
        <v>1</v>
      </c>
      <c r="M2167" s="709">
        <f t="shared" si="1954"/>
        <v>1</v>
      </c>
      <c r="N2167" s="362" t="str">
        <f t="shared" si="1956"/>
        <v/>
      </c>
      <c r="O2167" s="1763" t="str">
        <f t="shared" si="1957"/>
        <v/>
      </c>
      <c r="P2167" s="1764" t="str">
        <f t="shared" si="1958"/>
        <v/>
      </c>
      <c r="Q2167" s="120" t="str">
        <f t="shared" si="1959"/>
        <v/>
      </c>
      <c r="R2167" s="185"/>
    </row>
    <row r="2168" spans="1:18" s="2434" customFormat="1" ht="18" customHeight="1">
      <c r="A2168" s="2462"/>
      <c r="B2168" s="2435">
        <v>1</v>
      </c>
      <c r="C2168" s="2436" t="str">
        <f t="shared" ref="C2168:C2171" si="1967">VLOOKUP(D2168,base_datos,6,FALSE)</f>
        <v>ITM Caja Moldeada 2x16A - A1N/P125-16A-2P-TMF - 50kA@230Vac, 36kA@400Vac, 10kA@125Vdc - marca ABB.</v>
      </c>
      <c r="D2168" s="2483" t="s">
        <v>1172</v>
      </c>
      <c r="E2168" s="2482">
        <f t="shared" ref="E2168:E2171" si="1968">VLOOKUP(D2168,base_datos,5,FALSE)</f>
        <v>59.769999999999996</v>
      </c>
      <c r="F2168" s="2422">
        <f t="shared" ref="F2168:F2172" si="1969">+E2168*B2168</f>
        <v>59.769999999999996</v>
      </c>
      <c r="G2168" s="2424"/>
      <c r="H2168" s="2424"/>
      <c r="I2168" s="2424"/>
      <c r="J2168" s="2425"/>
      <c r="K2168" s="2426">
        <f t="shared" si="1955"/>
        <v>1</v>
      </c>
      <c r="L2168" s="2463">
        <v>1</v>
      </c>
      <c r="M2168" s="2428">
        <f t="shared" si="1954"/>
        <v>1</v>
      </c>
      <c r="N2168" s="2429">
        <f t="shared" si="1956"/>
        <v>1</v>
      </c>
      <c r="O2168" s="2430" t="str">
        <f t="shared" si="1957"/>
        <v>1SDA069551R1</v>
      </c>
      <c r="P2168" s="2431" t="str">
        <f t="shared" si="1958"/>
        <v>ITM Caja Moldeada 2x16A - A1N/P125-16A-2P-TMF - 50kA@230Vac, 36kA@400Vac, 10kA@125Vdc - marca ABB.</v>
      </c>
      <c r="Q2168" s="2432" t="str">
        <f t="shared" si="1959"/>
        <v>A1N/P125-16A-2P-TMF</v>
      </c>
      <c r="R2168" s="2433"/>
    </row>
    <row r="2169" spans="1:18" s="690" customFormat="1" ht="18" customHeight="1">
      <c r="A2169" s="1785"/>
      <c r="B2169" s="1781">
        <v>2</v>
      </c>
      <c r="C2169" s="1960" t="str">
        <f t="shared" si="1967"/>
        <v>ITM Riel-Din 2x16A - S202-C-16A - 10kA@400Vac-IEC60947-2 - marca ABB.</v>
      </c>
      <c r="D2169" s="2007" t="s">
        <v>970</v>
      </c>
      <c r="E2169" s="1791">
        <f t="shared" si="1968"/>
        <v>17.96</v>
      </c>
      <c r="F2169" s="1782">
        <f t="shared" si="1969"/>
        <v>35.92</v>
      </c>
      <c r="G2169" s="1761"/>
      <c r="H2169" s="1761"/>
      <c r="I2169" s="1761"/>
      <c r="J2169" s="1783"/>
      <c r="K2169" s="684">
        <f t="shared" si="1955"/>
        <v>1</v>
      </c>
      <c r="L2169" s="708">
        <v>1</v>
      </c>
      <c r="M2169" s="709">
        <f t="shared" si="1954"/>
        <v>2</v>
      </c>
      <c r="N2169" s="362">
        <f t="shared" si="1956"/>
        <v>2</v>
      </c>
      <c r="O2169" s="1763" t="str">
        <f t="shared" si="1957"/>
        <v>2CDS252001R0164</v>
      </c>
      <c r="P2169" s="1764" t="str">
        <f t="shared" si="1958"/>
        <v>ITM Riel-Din 2x16A - S202-C-16A - 10kA@400Vac-IEC60947-2 - marca ABB.</v>
      </c>
      <c r="Q2169" s="120" t="str">
        <f t="shared" si="1959"/>
        <v>S202-C-16A</v>
      </c>
      <c r="R2169" s="185"/>
    </row>
    <row r="2170" spans="1:18" s="690" customFormat="1" ht="18" customHeight="1">
      <c r="A2170" s="1785"/>
      <c r="B2170" s="2023">
        <v>3</v>
      </c>
      <c r="C2170" s="2041" t="str">
        <f t="shared" si="1967"/>
        <v>Interruptor Diferencial 2x25A - 30mA - clase A (inmunizado) - FH202-A-25A-30mA - marca ABB.</v>
      </c>
      <c r="D2170" s="2006" t="s">
        <v>5318</v>
      </c>
      <c r="E2170" s="2025">
        <f t="shared" si="1968"/>
        <v>50</v>
      </c>
      <c r="F2170" s="2026">
        <f t="shared" si="1969"/>
        <v>150</v>
      </c>
      <c r="G2170" s="1761"/>
      <c r="H2170" s="1761"/>
      <c r="I2170" s="1761"/>
      <c r="J2170" s="1783"/>
      <c r="K2170" s="684">
        <f t="shared" si="1955"/>
        <v>1</v>
      </c>
      <c r="L2170" s="708">
        <v>1</v>
      </c>
      <c r="M2170" s="709">
        <f t="shared" si="1954"/>
        <v>3</v>
      </c>
      <c r="N2170" s="362">
        <f t="shared" si="1956"/>
        <v>3</v>
      </c>
      <c r="O2170" s="1763" t="str">
        <f t="shared" si="1957"/>
        <v>2CSF202102R1250</v>
      </c>
      <c r="P2170" s="1764" t="str">
        <f t="shared" si="1958"/>
        <v>Interruptor Diferencial 2x25A - 30mA - clase A (inmunizado) - FH202-A-25A-30mA - marca ABB.</v>
      </c>
      <c r="Q2170" s="120" t="str">
        <f t="shared" si="1959"/>
        <v>FH202-A-25A-30mA</v>
      </c>
      <c r="R2170" s="185"/>
    </row>
    <row r="2171" spans="1:18" s="690" customFormat="1" ht="18" customHeight="1">
      <c r="A2171" s="1785"/>
      <c r="B2171" s="1781">
        <v>1</v>
      </c>
      <c r="C2171" s="1960" t="str">
        <f t="shared" si="1967"/>
        <v>Espacio de reserva monofasica + interruptor diferencial - Riel-Din.</v>
      </c>
      <c r="D2171" s="2006" t="s">
        <v>2926</v>
      </c>
      <c r="E2171" s="1791">
        <f t="shared" si="1968"/>
        <v>2.5</v>
      </c>
      <c r="F2171" s="1782">
        <f t="shared" si="1969"/>
        <v>2.5</v>
      </c>
      <c r="G2171" s="1761"/>
      <c r="H2171" s="1761"/>
      <c r="I2171" s="1761"/>
      <c r="J2171" s="1783"/>
      <c r="K2171" s="684">
        <f t="shared" si="1955"/>
        <v>1</v>
      </c>
      <c r="L2171" s="708">
        <v>1</v>
      </c>
      <c r="M2171" s="709">
        <f t="shared" si="1954"/>
        <v>1</v>
      </c>
      <c r="N2171" s="362" t="str">
        <f t="shared" si="1956"/>
        <v/>
      </c>
      <c r="O2171" s="1763" t="str">
        <f t="shared" si="1957"/>
        <v/>
      </c>
      <c r="P2171" s="1764" t="str">
        <f t="shared" si="1958"/>
        <v/>
      </c>
      <c r="Q2171" s="120" t="str">
        <f t="shared" si="1959"/>
        <v/>
      </c>
      <c r="R2171" s="185"/>
    </row>
    <row r="2172" spans="1:18" s="695" customFormat="1">
      <c r="A2172" s="687"/>
      <c r="B2172" s="1967">
        <v>1</v>
      </c>
      <c r="C2172" s="1946">
        <v>8</v>
      </c>
      <c r="D2172" s="1582"/>
      <c r="E2172" s="2000">
        <v>32</v>
      </c>
      <c r="F2172" s="1968">
        <f t="shared" si="1969"/>
        <v>32</v>
      </c>
      <c r="G2172" s="1969"/>
      <c r="H2172" s="1969"/>
      <c r="I2172" s="1969"/>
      <c r="J2172" s="1970"/>
      <c r="K2172" s="684">
        <f t="shared" si="1955"/>
        <v>1</v>
      </c>
      <c r="L2172" s="363">
        <v>1</v>
      </c>
      <c r="M2172" s="709">
        <f t="shared" si="1954"/>
        <v>1</v>
      </c>
      <c r="N2172" s="362" t="str">
        <f t="shared" si="1956"/>
        <v/>
      </c>
      <c r="O2172" s="1763" t="str">
        <f t="shared" si="1957"/>
        <v/>
      </c>
      <c r="P2172" s="1764" t="str">
        <f t="shared" si="1958"/>
        <v/>
      </c>
      <c r="Q2172" s="120" t="str">
        <f t="shared" si="1959"/>
        <v/>
      </c>
    </row>
    <row r="2173" spans="1:18" s="185" customFormat="1">
      <c r="A2173" s="1785"/>
      <c r="B2173" s="714"/>
      <c r="C2173" s="1893" t="s">
        <v>729</v>
      </c>
      <c r="D2173" s="1941"/>
      <c r="E2173" s="1786"/>
      <c r="F2173" s="1787"/>
      <c r="G2173" s="710"/>
      <c r="H2173" s="710"/>
      <c r="I2173" s="710"/>
      <c r="J2173" s="711"/>
      <c r="K2173" s="684">
        <f t="shared" si="1955"/>
        <v>1</v>
      </c>
      <c r="L2173" s="363">
        <v>1</v>
      </c>
      <c r="M2173" s="709">
        <f t="shared" si="1954"/>
        <v>1</v>
      </c>
      <c r="N2173" s="362" t="str">
        <f t="shared" si="1956"/>
        <v/>
      </c>
      <c r="O2173" s="1763" t="str">
        <f t="shared" si="1957"/>
        <v/>
      </c>
      <c r="P2173" s="1764" t="str">
        <f t="shared" si="1958"/>
        <v/>
      </c>
      <c r="Q2173" s="120" t="str">
        <f t="shared" si="1959"/>
        <v/>
      </c>
    </row>
    <row r="2174" spans="1:18" s="315" customFormat="1">
      <c r="A2174" s="1785"/>
      <c r="B2174" s="1906">
        <v>2</v>
      </c>
      <c r="C2174" s="1944" t="s">
        <v>13040</v>
      </c>
      <c r="D2174" s="1941"/>
      <c r="E2174" s="1786"/>
      <c r="F2174" s="1908">
        <f>SUM(F2175:F2180)*(B2174-1)</f>
        <v>52.984999999999999</v>
      </c>
      <c r="G2174" s="712"/>
      <c r="H2174" s="712"/>
      <c r="I2174" s="712"/>
      <c r="J2174" s="713"/>
      <c r="K2174" s="684">
        <f t="shared" si="1955"/>
        <v>1</v>
      </c>
      <c r="L2174" s="2224">
        <f>B2174</f>
        <v>2</v>
      </c>
      <c r="M2174" s="709">
        <f>IF(B2174="",1,B2174)</f>
        <v>2</v>
      </c>
      <c r="N2174" s="362" t="str">
        <f t="shared" si="1945"/>
        <v/>
      </c>
      <c r="O2174" s="1763" t="str">
        <f t="shared" si="1946"/>
        <v/>
      </c>
      <c r="P2174" s="1764" t="str">
        <f t="shared" si="1947"/>
        <v/>
      </c>
      <c r="Q2174" s="120" t="str">
        <f t="shared" si="1948"/>
        <v/>
      </c>
    </row>
    <row r="2175" spans="1:18" s="690" customFormat="1" ht="18" customHeight="1">
      <c r="A2175" s="691"/>
      <c r="B2175" s="1781">
        <v>1</v>
      </c>
      <c r="C2175" s="1420" t="str">
        <f>VLOOKUP(D2175,base_datos,6,FALSE)</f>
        <v>Contactor 3x09A(AC-3) / 3x25A(AC-1) +1NA - AF09-30-10-13 - bobina 100-250Vac/dc - marca ABB.</v>
      </c>
      <c r="D2175" s="1901" t="s">
        <v>1447</v>
      </c>
      <c r="E2175" s="1791">
        <f>VLOOKUP(D2175,base_datos,5,FALSE)</f>
        <v>29.89</v>
      </c>
      <c r="F2175" s="1912">
        <f>+E2175*B2175</f>
        <v>29.89</v>
      </c>
      <c r="G2175" s="1761"/>
      <c r="H2175" s="1761"/>
      <c r="I2175" s="1761"/>
      <c r="J2175" s="1783"/>
      <c r="K2175" s="684">
        <f t="shared" si="1955"/>
        <v>1</v>
      </c>
      <c r="L2175" s="1913">
        <f>L2174</f>
        <v>2</v>
      </c>
      <c r="M2175" s="709">
        <f t="shared" ref="M2175:M2180" si="1970">IF(B2175="",1,B2175)</f>
        <v>1</v>
      </c>
      <c r="N2175" s="362">
        <f t="shared" si="1945"/>
        <v>2</v>
      </c>
      <c r="O2175" s="1763" t="str">
        <f t="shared" si="1946"/>
        <v>1SBL137001R1310</v>
      </c>
      <c r="P2175" s="1764" t="str">
        <f t="shared" si="1947"/>
        <v>Contactor 3x09A(AC-3) / 3x25A(AC-1) +1NA - AF09-30-10-13 - bobina 100-250Vac/dc - marca ABB.</v>
      </c>
      <c r="Q2175" s="120" t="str">
        <f t="shared" si="1948"/>
        <v>AF09-30-10-13_3p</v>
      </c>
      <c r="R2175" s="185"/>
    </row>
    <row r="2176" spans="1:18" s="690" customFormat="1" ht="18" customHeight="1">
      <c r="A2176" s="691"/>
      <c r="B2176" s="1922">
        <v>1</v>
      </c>
      <c r="C2176" s="1848" t="str">
        <f>VLOOKUP(D2176,base_datos,6,FALSE)</f>
        <v>Contacto auxiliar frontal 1NA para contactor AF09..AF16-30-10, frontal - Modelo CA4-10 - marca ABB.</v>
      </c>
      <c r="D2176" s="1901" t="s">
        <v>2718</v>
      </c>
      <c r="E2176" s="1791">
        <f>VLOOKUP(D2176,base_datos,5,FALSE)</f>
        <v>5.92</v>
      </c>
      <c r="F2176" s="1912">
        <f>+E2176*B2176</f>
        <v>5.92</v>
      </c>
      <c r="G2176" s="1761"/>
      <c r="H2176" s="1761"/>
      <c r="I2176" s="1761"/>
      <c r="J2176" s="1783"/>
      <c r="K2176" s="684">
        <f t="shared" si="1955"/>
        <v>1</v>
      </c>
      <c r="L2176" s="1913">
        <f t="shared" ref="L2176:L2179" si="1971">L2175</f>
        <v>2</v>
      </c>
      <c r="M2176" s="709">
        <f t="shared" si="1970"/>
        <v>1</v>
      </c>
      <c r="N2176" s="362">
        <f t="shared" si="1945"/>
        <v>2</v>
      </c>
      <c r="O2176" s="1763" t="str">
        <f t="shared" si="1946"/>
        <v>1SBN010110R1010</v>
      </c>
      <c r="P2176" s="1764" t="str">
        <f t="shared" si="1947"/>
        <v>Contacto auxiliar frontal 1NA para contactor AF09..AF16-30-10, frontal - Modelo CA4-10 - marca ABB.</v>
      </c>
      <c r="Q2176" s="120" t="str">
        <f t="shared" si="1948"/>
        <v>CA4-10</v>
      </c>
      <c r="R2176" s="185"/>
    </row>
    <row r="2177" spans="1:18" s="1921" customFormat="1">
      <c r="A2177" s="687"/>
      <c r="B2177" s="1914">
        <v>1</v>
      </c>
      <c r="C2177" s="1915" t="s">
        <v>3366</v>
      </c>
      <c r="D2177" s="1916"/>
      <c r="E2177" s="1917"/>
      <c r="F2177" s="1918"/>
      <c r="G2177" s="1919"/>
      <c r="H2177" s="1919"/>
      <c r="I2177" s="1919"/>
      <c r="J2177" s="1920"/>
      <c r="K2177" s="684">
        <f t="shared" si="1955"/>
        <v>1</v>
      </c>
      <c r="L2177" s="1913">
        <f t="shared" si="1971"/>
        <v>2</v>
      </c>
      <c r="M2177" s="684">
        <f t="shared" si="1970"/>
        <v>1</v>
      </c>
      <c r="N2177" s="362" t="str">
        <f t="shared" ref="N2177" si="1972">IF(O2177&lt;&gt;"",K2177*L2177*M2177,"")</f>
        <v/>
      </c>
      <c r="O2177" s="1763" t="str">
        <f t="shared" ref="O2177" si="1973">IF(D2177&lt;&gt;"",IF(VLOOKUP(D2177,base_datos,7,FALSE)&lt;&gt;"",VLOOKUP(D2177,base_datos,7,FALSE),""),"")</f>
        <v/>
      </c>
      <c r="P2177" s="1764" t="str">
        <f t="shared" ref="P2177" si="1974">IF(O2177&lt;&gt;"",VLOOKUP(D2177,base_datos,6,FALSE),"")</f>
        <v/>
      </c>
      <c r="Q2177" s="120" t="str">
        <f t="shared" ref="Q2177" si="1975">IF(O2177&lt;&gt;"",D2177,"")</f>
        <v/>
      </c>
    </row>
    <row r="2178" spans="1:18" s="695" customFormat="1" ht="18" customHeight="1">
      <c r="A2178" s="693"/>
      <c r="B2178" s="1922">
        <v>1</v>
      </c>
      <c r="C2178" s="1848" t="str">
        <f t="shared" ref="C2178:C2180" si="1976">VLOOKUP(D2178,base_datos,6,FALSE)</f>
        <v>Base portafusibles + Fusibles de protección para control.</v>
      </c>
      <c r="D2178" s="1886" t="s">
        <v>453</v>
      </c>
      <c r="E2178" s="1795">
        <f t="shared" ref="E2178:E2180" si="1977">VLOOKUP(D2178,base_datos,5,FALSE)</f>
        <v>8.1750000000000007</v>
      </c>
      <c r="F2178" s="1923">
        <f t="shared" ref="F2178:F2180" si="1978">+E2178*B2178</f>
        <v>8.1750000000000007</v>
      </c>
      <c r="G2178" s="696"/>
      <c r="H2178" s="696"/>
      <c r="I2178" s="696"/>
      <c r="J2178" s="697"/>
      <c r="K2178" s="684">
        <f t="shared" si="1955"/>
        <v>1</v>
      </c>
      <c r="L2178" s="1913">
        <f t="shared" si="1971"/>
        <v>2</v>
      </c>
      <c r="M2178" s="709">
        <f t="shared" si="1970"/>
        <v>1</v>
      </c>
      <c r="N2178" s="362" t="str">
        <f t="shared" si="1945"/>
        <v/>
      </c>
      <c r="O2178" s="1763" t="str">
        <f t="shared" si="1946"/>
        <v/>
      </c>
      <c r="P2178" s="1764" t="str">
        <f t="shared" si="1947"/>
        <v/>
      </c>
      <c r="Q2178" s="120" t="str">
        <f t="shared" si="1948"/>
        <v/>
      </c>
      <c r="R2178" s="185"/>
    </row>
    <row r="2179" spans="1:18" s="695" customFormat="1" ht="18" customHeight="1">
      <c r="A2179" s="1785"/>
      <c r="B2179" s="1922">
        <v>1</v>
      </c>
      <c r="C2179" s="1848" t="str">
        <f t="shared" si="1976"/>
        <v>Borne para neutro.</v>
      </c>
      <c r="D2179" s="1886" t="s">
        <v>436</v>
      </c>
      <c r="E2179" s="1795">
        <f t="shared" si="1977"/>
        <v>4</v>
      </c>
      <c r="F2179" s="1923">
        <f t="shared" si="1978"/>
        <v>4</v>
      </c>
      <c r="G2179" s="696"/>
      <c r="H2179" s="696"/>
      <c r="I2179" s="696"/>
      <c r="J2179" s="697"/>
      <c r="K2179" s="684">
        <f t="shared" si="1955"/>
        <v>1</v>
      </c>
      <c r="L2179" s="1913">
        <f t="shared" si="1971"/>
        <v>2</v>
      </c>
      <c r="M2179" s="709">
        <f t="shared" si="1970"/>
        <v>1</v>
      </c>
      <c r="N2179" s="362" t="str">
        <f t="shared" ref="N2179" si="1979">IF(O2179&lt;&gt;"",K2179*L2179*M2179,"")</f>
        <v/>
      </c>
      <c r="O2179" s="1763" t="str">
        <f t="shared" ref="O2179" si="1980">IF(D2179&lt;&gt;"",IF(VLOOKUP(D2179,base_datos,7,FALSE)&lt;&gt;"",VLOOKUP(D2179,base_datos,7,FALSE),""),"")</f>
        <v/>
      </c>
      <c r="P2179" s="1764" t="str">
        <f t="shared" ref="P2179" si="1981">IF(O2179&lt;&gt;"",VLOOKUP(D2179,base_datos,6,FALSE),"")</f>
        <v/>
      </c>
      <c r="Q2179" s="120" t="str">
        <f t="shared" ref="Q2179" si="1982">IF(O2179&lt;&gt;"",D2179,"")</f>
        <v/>
      </c>
      <c r="R2179" s="185"/>
    </row>
    <row r="2180" spans="1:18" s="695" customFormat="1" ht="18" customHeight="1">
      <c r="A2180" s="693"/>
      <c r="B2180" s="1922">
        <v>2</v>
      </c>
      <c r="C2180" s="1848" t="str">
        <f t="shared" si="1976"/>
        <v>Borne 4mm2.</v>
      </c>
      <c r="D2180" s="1886" t="s">
        <v>437</v>
      </c>
      <c r="E2180" s="1795">
        <f t="shared" si="1977"/>
        <v>2.5</v>
      </c>
      <c r="F2180" s="1923">
        <f t="shared" si="1978"/>
        <v>5</v>
      </c>
      <c r="G2180" s="696"/>
      <c r="H2180" s="696"/>
      <c r="I2180" s="696"/>
      <c r="J2180" s="697"/>
      <c r="K2180" s="684">
        <f t="shared" si="1955"/>
        <v>1</v>
      </c>
      <c r="L2180" s="1913">
        <f>L2178</f>
        <v>2</v>
      </c>
      <c r="M2180" s="709">
        <f t="shared" si="1970"/>
        <v>2</v>
      </c>
      <c r="N2180" s="362" t="str">
        <f t="shared" si="1945"/>
        <v/>
      </c>
      <c r="O2180" s="1763" t="str">
        <f t="shared" si="1946"/>
        <v/>
      </c>
      <c r="P2180" s="1764" t="str">
        <f t="shared" si="1947"/>
        <v/>
      </c>
      <c r="Q2180" s="120" t="str">
        <f t="shared" si="1948"/>
        <v/>
      </c>
      <c r="R2180" s="185"/>
    </row>
    <row r="2181" spans="1:18" s="185" customFormat="1">
      <c r="A2181" s="692"/>
      <c r="B2181" s="714"/>
      <c r="C2181" s="1893" t="s">
        <v>729</v>
      </c>
      <c r="D2181" s="1941"/>
      <c r="E2181" s="1786"/>
      <c r="F2181" s="1787"/>
      <c r="G2181" s="710"/>
      <c r="H2181" s="710"/>
      <c r="I2181" s="710"/>
      <c r="J2181" s="711"/>
      <c r="K2181" s="684">
        <f t="shared" si="1955"/>
        <v>1</v>
      </c>
      <c r="L2181" s="363">
        <v>1</v>
      </c>
      <c r="M2181" s="709">
        <f>IF(B2181="",1,B2181)</f>
        <v>1</v>
      </c>
      <c r="N2181" s="362" t="str">
        <f t="shared" si="1945"/>
        <v/>
      </c>
      <c r="O2181" s="1763" t="str">
        <f t="shared" si="1946"/>
        <v/>
      </c>
      <c r="P2181" s="1764" t="str">
        <f t="shared" si="1947"/>
        <v/>
      </c>
      <c r="Q2181" s="120" t="str">
        <f t="shared" si="1948"/>
        <v/>
      </c>
    </row>
    <row r="2182" spans="1:18" s="2434" customFormat="1" ht="18" customHeight="1">
      <c r="A2182" s="2418"/>
      <c r="B2182" s="2419">
        <v>2</v>
      </c>
      <c r="C2182" s="2420" t="s">
        <v>13045</v>
      </c>
      <c r="D2182" s="2421"/>
      <c r="E2182" s="2422"/>
      <c r="F2182" s="2423">
        <f>SUM(F2183:F2187)*(B2182-1)</f>
        <v>33.855000000000004</v>
      </c>
      <c r="G2182" s="2424"/>
      <c r="H2182" s="2424"/>
      <c r="I2182" s="2424"/>
      <c r="J2182" s="2425"/>
      <c r="K2182" s="2426">
        <f>K2180</f>
        <v>1</v>
      </c>
      <c r="L2182" s="2427">
        <f>B2182</f>
        <v>2</v>
      </c>
      <c r="M2182" s="2428">
        <f t="shared" ref="M2182:M2184" si="1983">IF(B2182="",1,B2182)</f>
        <v>2</v>
      </c>
      <c r="N2182" s="2429" t="str">
        <f>IF(O2182&lt;&gt;"",K2182*L2182*M2182,"")</f>
        <v/>
      </c>
      <c r="O2182" s="2430" t="str">
        <f>IF(D2182&lt;&gt;"",IF(VLOOKUP(D2182,base_datos,7,FALSE)&lt;&gt;"",VLOOKUP(D2182,base_datos,7,FALSE),""),"")</f>
        <v/>
      </c>
      <c r="P2182" s="2431" t="str">
        <f>IF(O2182&lt;&gt;"",VLOOKUP(D2182,base_datos,6,FALSE),"")</f>
        <v/>
      </c>
      <c r="Q2182" s="2432" t="str">
        <f>IF(O2182&lt;&gt;"",D2182,"")</f>
        <v/>
      </c>
      <c r="R2182" s="2433"/>
    </row>
    <row r="2183" spans="1:18" s="2434" customFormat="1" ht="18" customHeight="1">
      <c r="A2183" s="2418"/>
      <c r="B2183" s="2435">
        <v>1</v>
      </c>
      <c r="C2183" s="2436" t="str">
        <f>VLOOKUP(D2183,base_datos,6,FALSE)</f>
        <v>Selector 3 posiciones mantenidos - 1-0-2 / M-0-A - maneta corta, contactos 2NA - C3SS1-10B-20 - compacto - marca ABB.</v>
      </c>
      <c r="D2183" s="2437" t="s">
        <v>1223</v>
      </c>
      <c r="E2183" s="2422">
        <f>VLOOKUP(D2183,base_datos,5,FALSE)</f>
        <v>16.680000000000003</v>
      </c>
      <c r="F2183" s="2438">
        <f t="shared" ref="F2183" si="1984">+E2183*B2183</f>
        <v>16.680000000000003</v>
      </c>
      <c r="G2183" s="2424"/>
      <c r="H2183" s="2424"/>
      <c r="I2183" s="2424"/>
      <c r="J2183" s="2425"/>
      <c r="K2183" s="2426">
        <f t="shared" ref="K2183:K2193" si="1985">K2181</f>
        <v>1</v>
      </c>
      <c r="L2183" s="2427">
        <f>L2182</f>
        <v>2</v>
      </c>
      <c r="M2183" s="2428">
        <f t="shared" si="1983"/>
        <v>1</v>
      </c>
      <c r="N2183" s="2429">
        <f>IF(O2183&lt;&gt;"",K2183*L2183*M2183,"")</f>
        <v>2</v>
      </c>
      <c r="O2183" s="2430" t="str">
        <f>IF(D2183&lt;&gt;"",IF(VLOOKUP(D2183,base_datos,7,FALSE)&lt;&gt;"",VLOOKUP(D2183,base_datos,7,FALSE),""),"")</f>
        <v>1SFA619210R1026</v>
      </c>
      <c r="P2183" s="2431" t="str">
        <f>IF(O2183&lt;&gt;"",VLOOKUP(D2183,base_datos,6,FALSE),"")</f>
        <v>Selector 3 posiciones mantenidos - 1-0-2 / M-0-A - maneta corta, contactos 2NA - C3SS1-10B-20 - compacto - marca ABB.</v>
      </c>
      <c r="Q2183" s="2432" t="str">
        <f>IF(O2183&lt;&gt;"",D2183,"")</f>
        <v>SEL_1-0-2</v>
      </c>
      <c r="R2183" s="2433"/>
    </row>
    <row r="2184" spans="1:18" s="2432" customFormat="1">
      <c r="A2184" s="2418"/>
      <c r="B2184" s="2435">
        <v>1</v>
      </c>
      <c r="C2184" s="2439" t="s">
        <v>3366</v>
      </c>
      <c r="D2184" s="2440"/>
      <c r="E2184" s="2422"/>
      <c r="F2184" s="2438"/>
      <c r="G2184" s="2441"/>
      <c r="H2184" s="2441"/>
      <c r="I2184" s="2441"/>
      <c r="J2184" s="2442"/>
      <c r="K2184" s="2426">
        <f t="shared" si="1985"/>
        <v>1</v>
      </c>
      <c r="L2184" s="2427">
        <f>L2185</f>
        <v>2</v>
      </c>
      <c r="M2184" s="2426">
        <f t="shared" si="1983"/>
        <v>1</v>
      </c>
      <c r="N2184" s="2429" t="str">
        <f t="shared" ref="N2184" si="1986">IF(O2184&lt;&gt;"",K2184*L2184*M2184,"")</f>
        <v/>
      </c>
      <c r="O2184" s="2430" t="str">
        <f t="shared" ref="O2184" si="1987">IF(D2184&lt;&gt;"",IF(VLOOKUP(D2184,base_datos,7,FALSE)&lt;&gt;"",VLOOKUP(D2184,base_datos,7,FALSE),""),"")</f>
        <v/>
      </c>
      <c r="P2184" s="2431" t="str">
        <f t="shared" ref="P2184" si="1988">IF(O2184&lt;&gt;"",VLOOKUP(D2184,base_datos,6,FALSE),"")</f>
        <v/>
      </c>
      <c r="Q2184" s="2432" t="str">
        <f t="shared" ref="Q2184" si="1989">IF(O2184&lt;&gt;"",D2184,"")</f>
        <v/>
      </c>
    </row>
    <row r="2185" spans="1:18" s="2450" customFormat="1" ht="18" customHeight="1">
      <c r="A2185" s="2443"/>
      <c r="B2185" s="2444">
        <v>1</v>
      </c>
      <c r="C2185" s="2445" t="str">
        <f t="shared" ref="C2185:C2187" si="1990">VLOOKUP(D2185,base_datos,6,FALSE)</f>
        <v>Base portafusibles + Fusibles de protección para control.</v>
      </c>
      <c r="D2185" s="2446" t="s">
        <v>453</v>
      </c>
      <c r="E2185" s="2447">
        <f t="shared" ref="E2185:E2187" si="1991">VLOOKUP(D2185,base_datos,5,FALSE)</f>
        <v>8.1750000000000007</v>
      </c>
      <c r="F2185" s="2438">
        <f>+E2185*B2185</f>
        <v>8.1750000000000007</v>
      </c>
      <c r="G2185" s="2448"/>
      <c r="H2185" s="2448"/>
      <c r="I2185" s="2448"/>
      <c r="J2185" s="2449"/>
      <c r="K2185" s="2426">
        <f t="shared" si="1985"/>
        <v>1</v>
      </c>
      <c r="L2185" s="2427">
        <f>L2183</f>
        <v>2</v>
      </c>
      <c r="M2185" s="2428">
        <f>IF(B2185="",1,B2185)</f>
        <v>1</v>
      </c>
      <c r="N2185" s="2429" t="str">
        <f>IF(O2185&lt;&gt;"",K2185*L2185*M2185,"")</f>
        <v/>
      </c>
      <c r="O2185" s="2430" t="str">
        <f>IF(D2185&lt;&gt;"",IF(VLOOKUP(D2185,base_datos,7,FALSE)&lt;&gt;"",VLOOKUP(D2185,base_datos,7,FALSE),""),"")</f>
        <v/>
      </c>
      <c r="P2185" s="2431" t="str">
        <f>IF(O2185&lt;&gt;"",VLOOKUP(D2185,base_datos,6,FALSE),"")</f>
        <v/>
      </c>
      <c r="Q2185" s="2432" t="str">
        <f>IF(O2185&lt;&gt;"",D2185,"")</f>
        <v/>
      </c>
      <c r="R2185" s="2433"/>
    </row>
    <row r="2186" spans="1:18" s="2450" customFormat="1" ht="18" customHeight="1">
      <c r="A2186" s="2443"/>
      <c r="B2186" s="2444">
        <v>1</v>
      </c>
      <c r="C2186" s="2445" t="str">
        <f t="shared" si="1990"/>
        <v>Borne para neutro.</v>
      </c>
      <c r="D2186" s="2451" t="s">
        <v>436</v>
      </c>
      <c r="E2186" s="2447">
        <f t="shared" si="1991"/>
        <v>4</v>
      </c>
      <c r="F2186" s="2438">
        <f t="shared" ref="F2186:F2187" si="1992">+E2186*B2186</f>
        <v>4</v>
      </c>
      <c r="G2186" s="2448"/>
      <c r="H2186" s="2448"/>
      <c r="I2186" s="2448"/>
      <c r="J2186" s="2449"/>
      <c r="K2186" s="2426">
        <f t="shared" si="1985"/>
        <v>1</v>
      </c>
      <c r="L2186" s="2427">
        <f>L2184</f>
        <v>2</v>
      </c>
      <c r="M2186" s="2428">
        <f t="shared" ref="M2186:M2188" si="1993">IF(B2186="",1,B2186)</f>
        <v>1</v>
      </c>
      <c r="N2186" s="2429" t="str">
        <f t="shared" ref="N2186:N2187" si="1994">IF(O2186&lt;&gt;"",K2186*L2186*M2186,"")</f>
        <v/>
      </c>
      <c r="O2186" s="2430" t="str">
        <f t="shared" ref="O2186:O2187" si="1995">IF(D2186&lt;&gt;"",IF(VLOOKUP(D2186,base_datos,7,FALSE)&lt;&gt;"",VLOOKUP(D2186,base_datos,7,FALSE),""),"")</f>
        <v/>
      </c>
      <c r="P2186" s="2431" t="str">
        <f t="shared" ref="P2186:P2187" si="1996">IF(O2186&lt;&gt;"",VLOOKUP(D2186,base_datos,6,FALSE),"")</f>
        <v/>
      </c>
      <c r="Q2186" s="2432" t="str">
        <f t="shared" ref="Q2186:Q2187" si="1997">IF(O2186&lt;&gt;"",D2186,"")</f>
        <v/>
      </c>
      <c r="R2186" s="2433"/>
    </row>
    <row r="2187" spans="1:18" s="2450" customFormat="1" ht="18" customHeight="1">
      <c r="A2187" s="2443"/>
      <c r="B2187" s="2444">
        <v>2</v>
      </c>
      <c r="C2187" s="2445" t="str">
        <f t="shared" si="1990"/>
        <v>Borne 4mm2.</v>
      </c>
      <c r="D2187" s="2446" t="s">
        <v>437</v>
      </c>
      <c r="E2187" s="2447">
        <f t="shared" si="1991"/>
        <v>2.5</v>
      </c>
      <c r="F2187" s="2438">
        <f t="shared" si="1992"/>
        <v>5</v>
      </c>
      <c r="G2187" s="2448"/>
      <c r="H2187" s="2448"/>
      <c r="I2187" s="2448"/>
      <c r="J2187" s="2449"/>
      <c r="K2187" s="2426">
        <f t="shared" si="1985"/>
        <v>1</v>
      </c>
      <c r="L2187" s="2427">
        <f t="shared" ref="L2187" si="1998">L2186</f>
        <v>2</v>
      </c>
      <c r="M2187" s="2428">
        <f t="shared" si="1993"/>
        <v>2</v>
      </c>
      <c r="N2187" s="2429" t="str">
        <f t="shared" si="1994"/>
        <v/>
      </c>
      <c r="O2187" s="2430" t="str">
        <f t="shared" si="1995"/>
        <v/>
      </c>
      <c r="P2187" s="2431" t="str">
        <f t="shared" si="1996"/>
        <v/>
      </c>
      <c r="Q2187" s="2432" t="str">
        <f t="shared" si="1997"/>
        <v/>
      </c>
      <c r="R2187" s="2433"/>
    </row>
    <row r="2188" spans="1:18" s="2433" customFormat="1">
      <c r="A2188" s="2418"/>
      <c r="B2188" s="2452"/>
      <c r="C2188" s="2453" t="s">
        <v>729</v>
      </c>
      <c r="D2188" s="2451"/>
      <c r="E2188" s="2454"/>
      <c r="F2188" s="2455"/>
      <c r="G2188" s="2456"/>
      <c r="H2188" s="2456"/>
      <c r="I2188" s="2456"/>
      <c r="J2188" s="2457"/>
      <c r="K2188" s="2426">
        <f t="shared" si="1985"/>
        <v>1</v>
      </c>
      <c r="L2188" s="2458">
        <v>1</v>
      </c>
      <c r="M2188" s="2426">
        <f t="shared" si="1993"/>
        <v>1</v>
      </c>
      <c r="N2188" s="2459" t="str">
        <f>IF(O2188&lt;&gt;"",K2188*L2188*M2188,"")</f>
        <v/>
      </c>
      <c r="O2188" s="2460" t="str">
        <f>IF(D2188&lt;&gt;"",IF(VLOOKUP(D2188,base_datos,7,FALSE)&lt;&gt;"",VLOOKUP(D2188,base_datos,7,FALSE),""),"")</f>
        <v/>
      </c>
      <c r="P2188" s="2461" t="str">
        <f>IF(O2188&lt;&gt;"",VLOOKUP(D2188,base_datos,6,FALSE),"")</f>
        <v/>
      </c>
      <c r="Q2188" s="2433" t="str">
        <f>IF(O2188&lt;&gt;"",D2188,"")</f>
        <v/>
      </c>
    </row>
    <row r="2189" spans="1:18" s="2450" customFormat="1" ht="18" customHeight="1">
      <c r="A2189" s="2462"/>
      <c r="B2189" s="2444">
        <v>1</v>
      </c>
      <c r="C2189" s="2445" t="str">
        <f>VLOOKUP(D2189,base_datos,6,FALSE)</f>
        <v>Rele auxiliar enchufable +4NA/NC (D2PR4B + base D2PA6), 220Vac - marca EATON.</v>
      </c>
      <c r="D2189" s="2446" t="s">
        <v>772</v>
      </c>
      <c r="E2189" s="2447">
        <f>VLOOKUP(D2189,base_datos,5,FALSE)</f>
        <v>27</v>
      </c>
      <c r="F2189" s="2438">
        <f>+E2189*B2189</f>
        <v>27</v>
      </c>
      <c r="G2189" s="2448"/>
      <c r="H2189" s="2448"/>
      <c r="I2189" s="2448"/>
      <c r="J2189" s="2449"/>
      <c r="K2189" s="2426">
        <f t="shared" si="1985"/>
        <v>1</v>
      </c>
      <c r="L2189" s="2463">
        <v>1</v>
      </c>
      <c r="M2189" s="2428">
        <f>IF(B2189="",1,B2189)</f>
        <v>1</v>
      </c>
      <c r="N2189" s="2429">
        <f>IF(O2189&lt;&gt;"",K2189*L2189*M2189,"")</f>
        <v>1</v>
      </c>
      <c r="O2189" s="2430" t="str">
        <f>IF(D2189&lt;&gt;"",IF(VLOOKUP(D2189,base_datos,7,FALSE)&lt;&gt;"",VLOOKUP(D2189,base_datos,7,FALSE),""),"")</f>
        <v>D2PR4B+D2PA6</v>
      </c>
      <c r="P2189" s="2431" t="str">
        <f>IF(O2189&lt;&gt;"",VLOOKUP(D2189,base_datos,6,FALSE),"")</f>
        <v>Rele auxiliar enchufable +4NA/NC (D2PR4B + base D2PA6), 220Vac - marca EATON.</v>
      </c>
      <c r="Q2189" s="2432" t="str">
        <f>IF(O2189&lt;&gt;"",D2189,"")</f>
        <v>D2PR4B+D2PA6</v>
      </c>
      <c r="R2189" s="2433"/>
    </row>
    <row r="2190" spans="1:18" s="2450" customFormat="1" ht="18" customHeight="1">
      <c r="A2190" s="2443"/>
      <c r="B2190" s="2444">
        <v>4</v>
      </c>
      <c r="C2190" s="2445" t="str">
        <f t="shared" ref="C2190:C2192" si="1999">VLOOKUP(D2190,base_datos,6,FALSE)</f>
        <v>Borne 4mm2.</v>
      </c>
      <c r="D2190" s="2446" t="s">
        <v>437</v>
      </c>
      <c r="E2190" s="2447">
        <f t="shared" ref="E2190:E2192" si="2000">VLOOKUP(D2190,base_datos,5,FALSE)</f>
        <v>2.5</v>
      </c>
      <c r="F2190" s="2438">
        <f t="shared" ref="F2190:F2192" si="2001">+E2190*B2190</f>
        <v>10</v>
      </c>
      <c r="G2190" s="2448"/>
      <c r="H2190" s="2448"/>
      <c r="I2190" s="2448"/>
      <c r="J2190" s="2449"/>
      <c r="K2190" s="2426">
        <f t="shared" si="1985"/>
        <v>1</v>
      </c>
      <c r="L2190" s="2463">
        <v>1</v>
      </c>
      <c r="M2190" s="2428">
        <f t="shared" ref="M2190:M2193" si="2002">IF(B2190="",1,B2190)</f>
        <v>4</v>
      </c>
      <c r="N2190" s="2429" t="str">
        <f t="shared" ref="N2190:N2192" si="2003">IF(O2190&lt;&gt;"",K2190*L2190*M2190,"")</f>
        <v/>
      </c>
      <c r="O2190" s="2430" t="str">
        <f t="shared" ref="O2190:O2192" si="2004">IF(D2190&lt;&gt;"",IF(VLOOKUP(D2190,base_datos,7,FALSE)&lt;&gt;"",VLOOKUP(D2190,base_datos,7,FALSE),""),"")</f>
        <v/>
      </c>
      <c r="P2190" s="2431" t="str">
        <f t="shared" ref="P2190:P2192" si="2005">IF(O2190&lt;&gt;"",VLOOKUP(D2190,base_datos,6,FALSE),"")</f>
        <v/>
      </c>
      <c r="Q2190" s="2432" t="str">
        <f t="shared" ref="Q2190:Q2192" si="2006">IF(O2190&lt;&gt;"",D2190,"")</f>
        <v/>
      </c>
      <c r="R2190" s="2433"/>
    </row>
    <row r="2191" spans="1:18" s="2450" customFormat="1" ht="18" customHeight="1">
      <c r="A2191" s="2443"/>
      <c r="B2191" s="2444">
        <v>1</v>
      </c>
      <c r="C2191" s="2445" t="str">
        <f t="shared" si="1999"/>
        <v>Base portafusibles + Fusibles de protección para control.</v>
      </c>
      <c r="D2191" s="2446" t="s">
        <v>453</v>
      </c>
      <c r="E2191" s="2447">
        <f t="shared" si="2000"/>
        <v>8.1750000000000007</v>
      </c>
      <c r="F2191" s="2438">
        <f t="shared" si="2001"/>
        <v>8.1750000000000007</v>
      </c>
      <c r="G2191" s="2448"/>
      <c r="H2191" s="2448"/>
      <c r="I2191" s="2448"/>
      <c r="J2191" s="2449"/>
      <c r="K2191" s="2426">
        <f t="shared" si="1985"/>
        <v>1</v>
      </c>
      <c r="L2191" s="2463">
        <v>1</v>
      </c>
      <c r="M2191" s="2428">
        <f t="shared" si="2002"/>
        <v>1</v>
      </c>
      <c r="N2191" s="2429" t="str">
        <f t="shared" si="2003"/>
        <v/>
      </c>
      <c r="O2191" s="2430" t="str">
        <f t="shared" si="2004"/>
        <v/>
      </c>
      <c r="P2191" s="2431" t="str">
        <f t="shared" si="2005"/>
        <v/>
      </c>
      <c r="Q2191" s="2432" t="str">
        <f t="shared" si="2006"/>
        <v/>
      </c>
      <c r="R2191" s="2433"/>
    </row>
    <row r="2192" spans="1:18" s="2450" customFormat="1" ht="18" customHeight="1">
      <c r="A2192" s="2443"/>
      <c r="B2192" s="2444">
        <v>1</v>
      </c>
      <c r="C2192" s="2445" t="str">
        <f t="shared" si="1999"/>
        <v>Borne para neutro.</v>
      </c>
      <c r="D2192" s="2451" t="s">
        <v>436</v>
      </c>
      <c r="E2192" s="2447">
        <f t="shared" si="2000"/>
        <v>4</v>
      </c>
      <c r="F2192" s="2438">
        <f t="shared" si="2001"/>
        <v>4</v>
      </c>
      <c r="G2192" s="2448"/>
      <c r="H2192" s="2448"/>
      <c r="I2192" s="2448"/>
      <c r="J2192" s="2449"/>
      <c r="K2192" s="2426">
        <f t="shared" si="1985"/>
        <v>1</v>
      </c>
      <c r="L2192" s="2427">
        <f t="shared" ref="L2192" si="2007">L2191</f>
        <v>1</v>
      </c>
      <c r="M2192" s="2428">
        <f t="shared" si="2002"/>
        <v>1</v>
      </c>
      <c r="N2192" s="2429" t="str">
        <f t="shared" si="2003"/>
        <v/>
      </c>
      <c r="O2192" s="2430" t="str">
        <f t="shared" si="2004"/>
        <v/>
      </c>
      <c r="P2192" s="2431" t="str">
        <f t="shared" si="2005"/>
        <v/>
      </c>
      <c r="Q2192" s="2432" t="str">
        <f t="shared" si="2006"/>
        <v/>
      </c>
      <c r="R2192" s="2433"/>
    </row>
    <row r="2193" spans="1:20" s="185" customFormat="1">
      <c r="A2193" s="687"/>
      <c r="B2193" s="714"/>
      <c r="C2193" s="313" t="s">
        <v>729</v>
      </c>
      <c r="D2193" s="36"/>
      <c r="E2193" s="1971"/>
      <c r="F2193" s="1787"/>
      <c r="G2193" s="710"/>
      <c r="H2193" s="710"/>
      <c r="I2193" s="710"/>
      <c r="J2193" s="711"/>
      <c r="K2193" s="684">
        <f t="shared" si="1985"/>
        <v>1</v>
      </c>
      <c r="L2193" s="708">
        <v>1</v>
      </c>
      <c r="M2193" s="684">
        <f t="shared" si="2002"/>
        <v>1</v>
      </c>
      <c r="N2193" s="1905" t="str">
        <f>IF(O2193&lt;&gt;"",K2193*L2193*M2193,"")</f>
        <v/>
      </c>
      <c r="O2193" s="1571" t="str">
        <f>IF(D2193&lt;&gt;"",IF(VLOOKUP(D2193,base_datos,7,FALSE)&lt;&gt;"",VLOOKUP(D2193,base_datos,7,FALSE),""),"")</f>
        <v/>
      </c>
      <c r="P2193" s="320" t="str">
        <f>IF(O2193&lt;&gt;"",VLOOKUP(D2193,base_datos,6,FALSE),"")</f>
        <v/>
      </c>
      <c r="Q2193" s="185" t="str">
        <f>IF(O2193&lt;&gt;"",D2193,"")</f>
        <v/>
      </c>
    </row>
    <row r="2194" spans="1:20" s="315" customFormat="1">
      <c r="A2194" s="1785"/>
      <c r="B2194" s="355">
        <v>6</v>
      </c>
      <c r="C2194" s="1944" t="s">
        <v>13041</v>
      </c>
      <c r="D2194" s="1941"/>
      <c r="E2194" s="1786"/>
      <c r="F2194" s="1908">
        <f>SUM(F2195:F2200)*(B2194-1)</f>
        <v>264.92500000000001</v>
      </c>
      <c r="G2194" s="712"/>
      <c r="H2194" s="712"/>
      <c r="I2194" s="712"/>
      <c r="J2194" s="713"/>
      <c r="K2194" s="684">
        <f>+K2180</f>
        <v>1</v>
      </c>
      <c r="L2194" s="2224">
        <f>B2194</f>
        <v>6</v>
      </c>
      <c r="M2194" s="709">
        <f>IF(B2194="",1,B2194)</f>
        <v>6</v>
      </c>
      <c r="N2194" s="362" t="str">
        <f t="shared" si="1945"/>
        <v/>
      </c>
      <c r="O2194" s="1763" t="str">
        <f t="shared" si="1946"/>
        <v/>
      </c>
      <c r="P2194" s="1764" t="str">
        <f t="shared" si="1947"/>
        <v/>
      </c>
      <c r="Q2194" s="120" t="str">
        <f t="shared" si="1948"/>
        <v/>
      </c>
    </row>
    <row r="2195" spans="1:20" s="690" customFormat="1" ht="18" customHeight="1">
      <c r="A2195" s="691"/>
      <c r="B2195" s="1781">
        <v>1</v>
      </c>
      <c r="C2195" s="1420" t="str">
        <f>VLOOKUP(D2195,base_datos,6,FALSE)</f>
        <v>Contactor 3x09A(AC-3) / 3x25A(AC-1) +1NA - AF09-30-10-13 - bobina 100-250Vac/dc - marca ABB.</v>
      </c>
      <c r="D2195" s="1901" t="s">
        <v>1447</v>
      </c>
      <c r="E2195" s="1791">
        <f>VLOOKUP(D2195,base_datos,5,FALSE)</f>
        <v>29.89</v>
      </c>
      <c r="F2195" s="1912">
        <f>+E2195*B2195</f>
        <v>29.89</v>
      </c>
      <c r="G2195" s="1761"/>
      <c r="H2195" s="1761"/>
      <c r="I2195" s="1761"/>
      <c r="J2195" s="1783"/>
      <c r="K2195" s="684">
        <f>+K2181</f>
        <v>1</v>
      </c>
      <c r="L2195" s="1913">
        <f>L2194</f>
        <v>6</v>
      </c>
      <c r="M2195" s="709">
        <f t="shared" ref="M2195:M2207" si="2008">IF(B2195="",1,B2195)</f>
        <v>1</v>
      </c>
      <c r="N2195" s="362">
        <f t="shared" si="1945"/>
        <v>6</v>
      </c>
      <c r="O2195" s="1763" t="str">
        <f t="shared" si="1946"/>
        <v>1SBL137001R1310</v>
      </c>
      <c r="P2195" s="1764" t="str">
        <f t="shared" si="1947"/>
        <v>Contactor 3x09A(AC-3) / 3x25A(AC-1) +1NA - AF09-30-10-13 - bobina 100-250Vac/dc - marca ABB.</v>
      </c>
      <c r="Q2195" s="120" t="str">
        <f t="shared" si="1948"/>
        <v>AF09-30-10-13_3p</v>
      </c>
      <c r="R2195" s="185"/>
    </row>
    <row r="2196" spans="1:20" s="690" customFormat="1" ht="18" customHeight="1">
      <c r="A2196" s="691"/>
      <c r="B2196" s="1922">
        <v>1</v>
      </c>
      <c r="C2196" s="1848" t="str">
        <f>VLOOKUP(D2196,base_datos,6,FALSE)</f>
        <v>Contacto auxiliar frontal 1NA para contactor AF09..AF16-30-10, frontal - Modelo CA4-10 - marca ABB.</v>
      </c>
      <c r="D2196" s="1901" t="s">
        <v>2718</v>
      </c>
      <c r="E2196" s="1791">
        <f>VLOOKUP(D2196,base_datos,5,FALSE)</f>
        <v>5.92</v>
      </c>
      <c r="F2196" s="1912">
        <f>+E2196*B2196</f>
        <v>5.92</v>
      </c>
      <c r="G2196" s="1761"/>
      <c r="H2196" s="1761"/>
      <c r="I2196" s="1761"/>
      <c r="J2196" s="1783"/>
      <c r="K2196" s="684">
        <f t="shared" si="1955"/>
        <v>1</v>
      </c>
      <c r="L2196" s="1913">
        <f t="shared" ref="L2196:L2200" si="2009">L2195</f>
        <v>6</v>
      </c>
      <c r="M2196" s="709">
        <f t="shared" si="2008"/>
        <v>1</v>
      </c>
      <c r="N2196" s="362">
        <f t="shared" ref="N2196:N2197" si="2010">IF(O2196&lt;&gt;"",K2196*L2196*M2196,"")</f>
        <v>6</v>
      </c>
      <c r="O2196" s="1763" t="str">
        <f t="shared" ref="O2196:O2197" si="2011">IF(D2196&lt;&gt;"",IF(VLOOKUP(D2196,base_datos,7,FALSE)&lt;&gt;"",VLOOKUP(D2196,base_datos,7,FALSE),""),"")</f>
        <v>1SBN010110R1010</v>
      </c>
      <c r="P2196" s="1764" t="str">
        <f t="shared" ref="P2196:P2197" si="2012">IF(O2196&lt;&gt;"",VLOOKUP(D2196,base_datos,6,FALSE),"")</f>
        <v>Contacto auxiliar frontal 1NA para contactor AF09..AF16-30-10, frontal - Modelo CA4-10 - marca ABB.</v>
      </c>
      <c r="Q2196" s="120" t="str">
        <f t="shared" ref="Q2196:Q2197" si="2013">IF(O2196&lt;&gt;"",D2196,"")</f>
        <v>CA4-10</v>
      </c>
      <c r="R2196" s="185"/>
    </row>
    <row r="2197" spans="1:20" s="1921" customFormat="1">
      <c r="A2197" s="687"/>
      <c r="B2197" s="1914">
        <v>1</v>
      </c>
      <c r="C2197" s="1915" t="s">
        <v>3366</v>
      </c>
      <c r="D2197" s="1916"/>
      <c r="E2197" s="1917"/>
      <c r="F2197" s="1918"/>
      <c r="G2197" s="1919"/>
      <c r="H2197" s="1919"/>
      <c r="I2197" s="1919"/>
      <c r="J2197" s="1920"/>
      <c r="K2197" s="684">
        <f t="shared" si="1955"/>
        <v>1</v>
      </c>
      <c r="L2197" s="1913">
        <f t="shared" si="2009"/>
        <v>6</v>
      </c>
      <c r="M2197" s="684">
        <f t="shared" si="2008"/>
        <v>1</v>
      </c>
      <c r="N2197" s="362" t="str">
        <f t="shared" si="2010"/>
        <v/>
      </c>
      <c r="O2197" s="1763" t="str">
        <f t="shared" si="2011"/>
        <v/>
      </c>
      <c r="P2197" s="1764" t="str">
        <f t="shared" si="2012"/>
        <v/>
      </c>
      <c r="Q2197" s="120" t="str">
        <f t="shared" si="2013"/>
        <v/>
      </c>
    </row>
    <row r="2198" spans="1:20" s="695" customFormat="1" ht="18" customHeight="1">
      <c r="A2198" s="1785"/>
      <c r="B2198" s="1922">
        <v>1</v>
      </c>
      <c r="C2198" s="1848" t="str">
        <f t="shared" ref="C2198:C2200" si="2014">VLOOKUP(D2198,base_datos,6,FALSE)</f>
        <v>Base portafusibles + Fusibles de protección para control.</v>
      </c>
      <c r="D2198" s="1886" t="s">
        <v>453</v>
      </c>
      <c r="E2198" s="1795">
        <f t="shared" ref="E2198:E2200" si="2015">VLOOKUP(D2198,base_datos,5,FALSE)</f>
        <v>8.1750000000000007</v>
      </c>
      <c r="F2198" s="1923">
        <f t="shared" ref="F2198:F2200" si="2016">+E2198*B2198</f>
        <v>8.1750000000000007</v>
      </c>
      <c r="G2198" s="696"/>
      <c r="H2198" s="696"/>
      <c r="I2198" s="696"/>
      <c r="J2198" s="697"/>
      <c r="K2198" s="684">
        <f t="shared" si="1955"/>
        <v>1</v>
      </c>
      <c r="L2198" s="1913">
        <f t="shared" si="2009"/>
        <v>6</v>
      </c>
      <c r="M2198" s="709">
        <f t="shared" si="2008"/>
        <v>1</v>
      </c>
      <c r="N2198" s="362" t="str">
        <f t="shared" si="1945"/>
        <v/>
      </c>
      <c r="O2198" s="1763" t="str">
        <f t="shared" si="1946"/>
        <v/>
      </c>
      <c r="P2198" s="1764" t="str">
        <f t="shared" si="1947"/>
        <v/>
      </c>
      <c r="Q2198" s="120" t="str">
        <f t="shared" si="1948"/>
        <v/>
      </c>
      <c r="R2198" s="185"/>
    </row>
    <row r="2199" spans="1:20" s="695" customFormat="1" ht="18" customHeight="1">
      <c r="A2199" s="1785"/>
      <c r="B2199" s="1922">
        <v>1</v>
      </c>
      <c r="C2199" s="1848" t="str">
        <f t="shared" si="2014"/>
        <v>Borne para neutro.</v>
      </c>
      <c r="D2199" s="1886" t="s">
        <v>436</v>
      </c>
      <c r="E2199" s="1795">
        <f t="shared" si="2015"/>
        <v>4</v>
      </c>
      <c r="F2199" s="1923">
        <f t="shared" si="2016"/>
        <v>4</v>
      </c>
      <c r="G2199" s="696"/>
      <c r="H2199" s="696"/>
      <c r="I2199" s="696"/>
      <c r="J2199" s="697"/>
      <c r="K2199" s="684">
        <f t="shared" si="1955"/>
        <v>1</v>
      </c>
      <c r="L2199" s="1913">
        <f t="shared" si="2009"/>
        <v>6</v>
      </c>
      <c r="M2199" s="709">
        <f t="shared" si="2008"/>
        <v>1</v>
      </c>
      <c r="N2199" s="362" t="str">
        <f t="shared" si="1945"/>
        <v/>
      </c>
      <c r="O2199" s="1763" t="str">
        <f t="shared" si="1946"/>
        <v/>
      </c>
      <c r="P2199" s="1764" t="str">
        <f t="shared" si="1947"/>
        <v/>
      </c>
      <c r="Q2199" s="120" t="str">
        <f t="shared" si="1948"/>
        <v/>
      </c>
      <c r="R2199" s="185"/>
    </row>
    <row r="2200" spans="1:20" s="695" customFormat="1" ht="18" customHeight="1">
      <c r="A2200" s="1785"/>
      <c r="B2200" s="1922">
        <v>2</v>
      </c>
      <c r="C2200" s="1848" t="str">
        <f t="shared" si="2014"/>
        <v>Borne 4mm2.</v>
      </c>
      <c r="D2200" s="1886" t="s">
        <v>437</v>
      </c>
      <c r="E2200" s="1795">
        <f t="shared" si="2015"/>
        <v>2.5</v>
      </c>
      <c r="F2200" s="1923">
        <f t="shared" si="2016"/>
        <v>5</v>
      </c>
      <c r="G2200" s="696"/>
      <c r="H2200" s="696"/>
      <c r="I2200" s="696"/>
      <c r="J2200" s="697"/>
      <c r="K2200" s="684">
        <f t="shared" si="1955"/>
        <v>1</v>
      </c>
      <c r="L2200" s="1913">
        <f t="shared" si="2009"/>
        <v>6</v>
      </c>
      <c r="M2200" s="709">
        <f t="shared" si="2008"/>
        <v>2</v>
      </c>
      <c r="N2200" s="362" t="str">
        <f t="shared" si="1945"/>
        <v/>
      </c>
      <c r="O2200" s="1763" t="str">
        <f t="shared" si="1946"/>
        <v/>
      </c>
      <c r="P2200" s="1764" t="str">
        <f t="shared" si="1947"/>
        <v/>
      </c>
      <c r="Q2200" s="120" t="str">
        <f t="shared" si="1948"/>
        <v/>
      </c>
      <c r="R2200" s="185"/>
    </row>
    <row r="2201" spans="1:20" s="185" customFormat="1" ht="18" customHeight="1">
      <c r="A2201" s="1785"/>
      <c r="B2201" s="714"/>
      <c r="C2201" s="1893" t="s">
        <v>729</v>
      </c>
      <c r="D2201" s="173"/>
      <c r="E2201" s="1786"/>
      <c r="F2201" s="1787"/>
      <c r="G2201" s="710"/>
      <c r="H2201" s="710"/>
      <c r="I2201" s="710"/>
      <c r="J2201" s="711"/>
      <c r="K2201" s="684">
        <f t="shared" si="1955"/>
        <v>1</v>
      </c>
      <c r="L2201" s="708">
        <v>1</v>
      </c>
      <c r="M2201" s="709">
        <f t="shared" si="2008"/>
        <v>1</v>
      </c>
      <c r="N2201" s="362" t="str">
        <f t="shared" si="1945"/>
        <v/>
      </c>
      <c r="O2201" s="1763" t="str">
        <f t="shared" si="1946"/>
        <v/>
      </c>
      <c r="P2201" s="1764" t="str">
        <f t="shared" si="1947"/>
        <v/>
      </c>
      <c r="Q2201" s="120" t="str">
        <f t="shared" si="1948"/>
        <v/>
      </c>
    </row>
    <row r="2202" spans="1:20" s="315" customFormat="1" ht="12.75" customHeight="1">
      <c r="A2202" s="2271"/>
      <c r="B2202" s="2272">
        <v>1</v>
      </c>
      <c r="C2202" s="2281" t="s">
        <v>13366</v>
      </c>
      <c r="D2202" s="1935"/>
      <c r="E2202" s="2287"/>
      <c r="F2202" s="2257">
        <f>+SUM(F2203:F2206)*(B2202-1)</f>
        <v>0</v>
      </c>
      <c r="G2202" s="712"/>
      <c r="H2202" s="712"/>
      <c r="I2202" s="712"/>
      <c r="J2202" s="713"/>
      <c r="K2202" s="684">
        <f t="shared" si="1955"/>
        <v>1</v>
      </c>
      <c r="L2202" s="2258">
        <v>1</v>
      </c>
      <c r="M2202" s="120">
        <f t="shared" si="2008"/>
        <v>1</v>
      </c>
      <c r="N2202" s="112" t="str">
        <f t="shared" si="1945"/>
        <v/>
      </c>
      <c r="O2202" s="112" t="str">
        <f t="shared" si="1946"/>
        <v/>
      </c>
      <c r="P2202" s="120" t="str">
        <f t="shared" si="1947"/>
        <v/>
      </c>
      <c r="Q2202" s="120" t="str">
        <f t="shared" si="1948"/>
        <v/>
      </c>
      <c r="S2202" s="112" t="str">
        <f t="shared" ref="S2202:S2207" si="2017">IF(O2202&lt;&gt;"",VLOOKUP(D2202,base_datos,9,FALSE),"")</f>
        <v/>
      </c>
      <c r="T2202" s="2128"/>
    </row>
    <row r="2203" spans="1:20" s="690" customFormat="1" ht="18" customHeight="1">
      <c r="A2203" s="2273"/>
      <c r="B2203" s="1781">
        <v>1</v>
      </c>
      <c r="C2203" s="1420" t="str">
        <f t="shared" ref="C2203:C2206" si="2018">VLOOKUP(D2203,base_datos,6,FALSE)</f>
        <v>Calefactor resistivo 60W, modelo RACM - marca FANDIS.</v>
      </c>
      <c r="D2203" s="1899" t="s">
        <v>3298</v>
      </c>
      <c r="E2203" s="2288">
        <f t="shared" ref="E2203" si="2019">VLOOKUP(D2203,base_datos,5,FALSE)</f>
        <v>127.1</v>
      </c>
      <c r="F2203" s="1782">
        <f>+E2203*B2203</f>
        <v>127.1</v>
      </c>
      <c r="G2203" s="1761"/>
      <c r="H2203" s="1761"/>
      <c r="I2203" s="1761"/>
      <c r="J2203" s="689"/>
      <c r="K2203" s="684">
        <f t="shared" si="1955"/>
        <v>1</v>
      </c>
      <c r="L2203" s="2258">
        <v>1</v>
      </c>
      <c r="M2203" s="120">
        <f t="shared" si="2008"/>
        <v>1</v>
      </c>
      <c r="N2203" s="112">
        <f t="shared" si="1945"/>
        <v>1</v>
      </c>
      <c r="O2203" s="112" t="str">
        <f t="shared" si="1946"/>
        <v>RACM-60</v>
      </c>
      <c r="P2203" s="120" t="str">
        <f t="shared" si="1947"/>
        <v>Calefactor resistivo 60W, modelo RACM - marca FANDIS.</v>
      </c>
      <c r="Q2203" s="120" t="str">
        <f t="shared" si="1948"/>
        <v>CALEFACT-60W_FAND</v>
      </c>
      <c r="S2203" s="112" t="str">
        <f t="shared" si="2017"/>
        <v>FANDIS</v>
      </c>
      <c r="T2203" s="1765"/>
    </row>
    <row r="2204" spans="1:20" s="690" customFormat="1" ht="18" customHeight="1">
      <c r="A2204" s="2273"/>
      <c r="B2204" s="1781">
        <v>1</v>
      </c>
      <c r="C2204" s="1420" t="str">
        <f t="shared" si="2018"/>
        <v>Termostato para ventilación - 1NA - 230V - marca FANDIS.</v>
      </c>
      <c r="D2204" s="1899" t="s">
        <v>3294</v>
      </c>
      <c r="E2204" s="2288">
        <f t="shared" ref="E2204:E2206" si="2020">VLOOKUP(D2204,base_datos,5,FALSE)</f>
        <v>41.58</v>
      </c>
      <c r="F2204" s="1782">
        <f>+E2204*B2204</f>
        <v>41.58</v>
      </c>
      <c r="G2204" s="1761"/>
      <c r="H2204" s="1761"/>
      <c r="I2204" s="1761"/>
      <c r="J2204" s="689"/>
      <c r="K2204" s="684">
        <f t="shared" si="1955"/>
        <v>1</v>
      </c>
      <c r="L2204" s="2258">
        <v>1</v>
      </c>
      <c r="M2204" s="120">
        <f t="shared" si="2008"/>
        <v>1</v>
      </c>
      <c r="N2204" s="112">
        <f t="shared" si="1945"/>
        <v>1</v>
      </c>
      <c r="O2204" s="112" t="str">
        <f t="shared" si="1946"/>
        <v>TRT-10A230V-NO</v>
      </c>
      <c r="P2204" s="120" t="str">
        <f t="shared" si="1947"/>
        <v>Termostato para ventilación - 1NA - 230V - marca FANDIS.</v>
      </c>
      <c r="Q2204" s="120" t="str">
        <f t="shared" si="1948"/>
        <v>TRT-1NA</v>
      </c>
      <c r="S2204" s="112" t="str">
        <f t="shared" si="2017"/>
        <v>FANDIS</v>
      </c>
      <c r="T2204" s="1765"/>
    </row>
    <row r="2205" spans="1:20" s="320" customFormat="1" ht="12.75" customHeight="1">
      <c r="A2205" s="2274"/>
      <c r="B2205" s="2275">
        <v>1</v>
      </c>
      <c r="C2205" s="2282" t="str">
        <f t="shared" si="2018"/>
        <v>Base portafusibles + Fusibles de protección para control.</v>
      </c>
      <c r="D2205" s="1579" t="s">
        <v>453</v>
      </c>
      <c r="E2205" s="2289">
        <f t="shared" si="2020"/>
        <v>8.1750000000000007</v>
      </c>
      <c r="F2205" s="2264">
        <f>+E2205*B2205</f>
        <v>8.1750000000000007</v>
      </c>
      <c r="G2205" s="2276"/>
      <c r="H2205" s="2276"/>
      <c r="I2205" s="2276"/>
      <c r="J2205" s="722"/>
      <c r="K2205" s="684">
        <f t="shared" si="1955"/>
        <v>1</v>
      </c>
      <c r="L2205" s="2258">
        <v>1</v>
      </c>
      <c r="M2205" s="120">
        <f t="shared" si="2008"/>
        <v>1</v>
      </c>
      <c r="N2205" s="112" t="str">
        <f t="shared" si="1945"/>
        <v/>
      </c>
      <c r="O2205" s="112" t="str">
        <f t="shared" si="1946"/>
        <v/>
      </c>
      <c r="P2205" s="120" t="str">
        <f t="shared" si="1947"/>
        <v/>
      </c>
      <c r="Q2205" s="120" t="str">
        <f t="shared" si="1948"/>
        <v/>
      </c>
      <c r="R2205" s="185"/>
      <c r="S2205" s="112" t="str">
        <f t="shared" si="2017"/>
        <v/>
      </c>
      <c r="T2205" s="709"/>
    </row>
    <row r="2206" spans="1:20" s="320" customFormat="1" ht="12.75" customHeight="1">
      <c r="A2206" s="2274"/>
      <c r="B2206" s="2277">
        <v>1</v>
      </c>
      <c r="C2206" s="2282" t="str">
        <f t="shared" si="2018"/>
        <v>Borne 4mm2.</v>
      </c>
      <c r="D2206" s="1579" t="s">
        <v>437</v>
      </c>
      <c r="E2206" s="2260">
        <f t="shared" si="2020"/>
        <v>2.5</v>
      </c>
      <c r="F2206" s="2260">
        <f>+E2206*B2206</f>
        <v>2.5</v>
      </c>
      <c r="G2206" s="2276"/>
      <c r="H2206" s="2276"/>
      <c r="I2206" s="2276"/>
      <c r="J2206" s="722"/>
      <c r="K2206" s="684">
        <f t="shared" si="1955"/>
        <v>1</v>
      </c>
      <c r="L2206" s="2258">
        <v>1</v>
      </c>
      <c r="M2206" s="120">
        <f t="shared" si="2008"/>
        <v>1</v>
      </c>
      <c r="N2206" s="112" t="str">
        <f t="shared" si="1945"/>
        <v/>
      </c>
      <c r="O2206" s="112" t="str">
        <f t="shared" si="1946"/>
        <v/>
      </c>
      <c r="P2206" s="120" t="str">
        <f t="shared" si="1947"/>
        <v/>
      </c>
      <c r="Q2206" s="120" t="str">
        <f t="shared" si="1948"/>
        <v/>
      </c>
      <c r="R2206" s="185"/>
      <c r="S2206" s="112" t="str">
        <f t="shared" si="2017"/>
        <v/>
      </c>
      <c r="T2206" s="709"/>
    </row>
    <row r="2207" spans="1:20" s="185" customFormat="1" ht="12.75" customHeight="1">
      <c r="A2207" s="2262"/>
      <c r="B2207" s="1760"/>
      <c r="C2207" s="1893" t="s">
        <v>729</v>
      </c>
      <c r="D2207" s="169"/>
      <c r="E2207" s="2256"/>
      <c r="F2207" s="2278"/>
      <c r="G2207" s="710"/>
      <c r="H2207" s="710"/>
      <c r="I2207" s="710"/>
      <c r="J2207" s="711"/>
      <c r="K2207" s="684">
        <f t="shared" si="1955"/>
        <v>1</v>
      </c>
      <c r="L2207" s="2258">
        <v>1</v>
      </c>
      <c r="M2207" s="120">
        <f t="shared" si="2008"/>
        <v>1</v>
      </c>
      <c r="N2207" s="112" t="str">
        <f t="shared" si="1945"/>
        <v/>
      </c>
      <c r="O2207" s="112" t="str">
        <f t="shared" si="1946"/>
        <v/>
      </c>
      <c r="P2207" s="120" t="str">
        <f t="shared" si="1947"/>
        <v/>
      </c>
      <c r="Q2207" s="120" t="str">
        <f t="shared" si="1948"/>
        <v/>
      </c>
      <c r="S2207" s="112" t="str">
        <f t="shared" si="2017"/>
        <v/>
      </c>
      <c r="T2207" s="118"/>
    </row>
    <row r="2208" spans="1:20" s="1236" customFormat="1" ht="18" customHeight="1">
      <c r="A2208" s="1767"/>
      <c r="B2208" s="1853">
        <v>1</v>
      </c>
      <c r="C2208" s="1895" t="s">
        <v>12364</v>
      </c>
      <c r="D2208" s="1902"/>
      <c r="E2208" s="1792"/>
      <c r="F2208" s="1793"/>
      <c r="G2208" s="1784"/>
      <c r="H2208" s="1784"/>
      <c r="I2208" s="1784"/>
      <c r="J2208" s="1182"/>
      <c r="K2208" s="684">
        <f t="shared" si="1955"/>
        <v>1</v>
      </c>
      <c r="L2208" s="708">
        <v>1</v>
      </c>
      <c r="M2208" s="709">
        <f t="shared" ref="M2208:M2219" si="2021">IF(B2208="",1,B2208)</f>
        <v>1</v>
      </c>
      <c r="N2208" s="362" t="str">
        <f t="shared" si="1945"/>
        <v/>
      </c>
      <c r="O2208" s="1763" t="str">
        <f t="shared" si="1946"/>
        <v/>
      </c>
      <c r="P2208" s="1764" t="str">
        <f t="shared" si="1947"/>
        <v/>
      </c>
      <c r="Q2208" s="120" t="str">
        <f t="shared" si="1948"/>
        <v/>
      </c>
      <c r="R2208" s="185"/>
    </row>
    <row r="2209" spans="1:18" s="695" customFormat="1" ht="18" customHeight="1">
      <c r="A2209" s="693"/>
      <c r="B2209" s="1922">
        <v>1</v>
      </c>
      <c r="C2209" s="1848" t="str">
        <f t="shared" ref="C2209" si="2022">VLOOKUP(D2209,base_datos,6,FALSE)</f>
        <v>Placa lamicoid rotulación de 3mm de espesor, fondo negro y letras blancas.</v>
      </c>
      <c r="D2209" s="1886" t="s">
        <v>8570</v>
      </c>
      <c r="E2209" s="1795">
        <f t="shared" ref="E2209" si="2023">VLOOKUP(D2209,base_datos,5,FALSE)</f>
        <v>2.2000000000000002</v>
      </c>
      <c r="F2209" s="1796">
        <f t="shared" ref="F2209" si="2024">+E2209*B2209</f>
        <v>2.2000000000000002</v>
      </c>
      <c r="G2209" s="696"/>
      <c r="H2209" s="696"/>
      <c r="I2209" s="696"/>
      <c r="J2209" s="697"/>
      <c r="K2209" s="684">
        <f t="shared" si="1955"/>
        <v>1</v>
      </c>
      <c r="L2209" s="708">
        <v>1</v>
      </c>
      <c r="M2209" s="709">
        <f t="shared" si="2021"/>
        <v>1</v>
      </c>
      <c r="N2209" s="362">
        <f t="shared" si="1945"/>
        <v>1</v>
      </c>
      <c r="O2209" s="1763" t="str">
        <f t="shared" si="1946"/>
        <v>Placa lamicoid p/distr.</v>
      </c>
      <c r="P2209" s="1764" t="str">
        <f t="shared" si="1947"/>
        <v>Placa lamicoid rotulación de 3mm de espesor, fondo negro y letras blancas.</v>
      </c>
      <c r="Q2209" s="120" t="str">
        <f t="shared" si="1948"/>
        <v>Placa lamicoid p/distr.</v>
      </c>
      <c r="R2209" s="185"/>
    </row>
    <row r="2210" spans="1:18" s="1236" customFormat="1" ht="18" customHeight="1">
      <c r="A2210" s="1767"/>
      <c r="B2210" s="1853">
        <v>1</v>
      </c>
      <c r="C2210" s="1895" t="s">
        <v>12474</v>
      </c>
      <c r="D2210" s="1902"/>
      <c r="E2210" s="1792"/>
      <c r="F2210" s="1793"/>
      <c r="G2210" s="1784"/>
      <c r="H2210" s="1784"/>
      <c r="I2210" s="1784"/>
      <c r="J2210" s="1182"/>
      <c r="K2210" s="684">
        <f t="shared" si="1955"/>
        <v>1</v>
      </c>
      <c r="L2210" s="708">
        <v>1</v>
      </c>
      <c r="M2210" s="709">
        <f t="shared" si="2021"/>
        <v>1</v>
      </c>
      <c r="N2210" s="362" t="str">
        <f t="shared" si="1945"/>
        <v/>
      </c>
      <c r="O2210" s="1763" t="str">
        <f t="shared" si="1946"/>
        <v/>
      </c>
      <c r="P2210" s="1764" t="str">
        <f t="shared" si="1947"/>
        <v/>
      </c>
      <c r="Q2210" s="120" t="str">
        <f t="shared" si="1948"/>
        <v/>
      </c>
      <c r="R2210" s="185"/>
    </row>
    <row r="2211" spans="1:18" s="1236" customFormat="1" ht="18" customHeight="1">
      <c r="A2211" s="1767"/>
      <c r="B2211" s="1853">
        <v>1</v>
      </c>
      <c r="C2211" s="1848" t="str">
        <f>VLOOKUP(D2211,base_datos,6,FALSE)</f>
        <v>Embalaje especial completamente cerrado para tablero adosado de 1600x600x220mm</v>
      </c>
      <c r="D2211" s="1902" t="s">
        <v>12453</v>
      </c>
      <c r="E2211" s="1795">
        <f t="shared" ref="E2211" si="2025">VLOOKUP(D2211,base_datos,5,FALSE)</f>
        <v>271.40000000000003</v>
      </c>
      <c r="F2211" s="1796">
        <f t="shared" ref="F2211" si="2026">+E2211*B2211</f>
        <v>271.40000000000003</v>
      </c>
      <c r="G2211" s="1784"/>
      <c r="H2211" s="1784"/>
      <c r="I2211" s="1784"/>
      <c r="J2211" s="1182"/>
      <c r="K2211" s="684">
        <f t="shared" si="1955"/>
        <v>1</v>
      </c>
      <c r="L2211" s="708">
        <v>1</v>
      </c>
      <c r="M2211" s="709">
        <f t="shared" si="2021"/>
        <v>1</v>
      </c>
      <c r="N2211" s="362">
        <f t="shared" si="1945"/>
        <v>1</v>
      </c>
      <c r="O2211" s="1763" t="str">
        <f t="shared" si="1946"/>
        <v>EMBAL_ADOS_1600x600x220mm</v>
      </c>
      <c r="P2211" s="1764" t="str">
        <f t="shared" si="1947"/>
        <v>Embalaje especial completamente cerrado para tablero adosado de 1600x600x220mm</v>
      </c>
      <c r="Q2211" s="120" t="str">
        <f t="shared" si="1948"/>
        <v>EMBAL_ADOS_1600x600x220mm</v>
      </c>
      <c r="R2211" s="185"/>
    </row>
    <row r="2212" spans="1:18" s="185" customFormat="1" ht="18" customHeight="1">
      <c r="A2212" s="1785"/>
      <c r="B2212" s="714"/>
      <c r="C2212" s="1893" t="s">
        <v>729</v>
      </c>
      <c r="D2212" s="173"/>
      <c r="E2212" s="1786"/>
      <c r="F2212" s="1787"/>
      <c r="G2212" s="710"/>
      <c r="H2212" s="710"/>
      <c r="I2212" s="710"/>
      <c r="J2212" s="711"/>
      <c r="K2212" s="684">
        <f t="shared" si="1955"/>
        <v>1</v>
      </c>
      <c r="L2212" s="708">
        <v>1</v>
      </c>
      <c r="M2212" s="709">
        <f t="shared" si="2021"/>
        <v>1</v>
      </c>
      <c r="N2212" s="362" t="str">
        <f t="shared" si="1945"/>
        <v/>
      </c>
      <c r="O2212" s="1763" t="str">
        <f t="shared" si="1946"/>
        <v/>
      </c>
      <c r="P2212" s="1764" t="str">
        <f t="shared" si="1947"/>
        <v/>
      </c>
      <c r="Q2212" s="120" t="str">
        <f t="shared" si="1948"/>
        <v/>
      </c>
    </row>
    <row r="2213" spans="1:18" s="695" customFormat="1" ht="18" customHeight="1">
      <c r="A2213" s="693"/>
      <c r="B2213" s="1794">
        <v>1</v>
      </c>
      <c r="C2213" s="1420" t="str">
        <f t="shared" ref="C2213" si="2027">VLOOKUP(D2213,base_datos,6,FALSE)</f>
        <v>Barra a tierra.</v>
      </c>
      <c r="D2213" s="1790" t="s">
        <v>8299</v>
      </c>
      <c r="E2213" s="1795">
        <f t="shared" ref="E2213" si="2028">VLOOKUP(D2213,base_datos,5,FALSE)</f>
        <v>10</v>
      </c>
      <c r="F2213" s="1796">
        <f t="shared" ref="F2213:F2219" si="2029">+E2213*B2213</f>
        <v>10</v>
      </c>
      <c r="G2213" s="696"/>
      <c r="H2213" s="696"/>
      <c r="I2213" s="696"/>
      <c r="J2213" s="697"/>
      <c r="K2213" s="684">
        <f t="shared" si="1955"/>
        <v>1</v>
      </c>
      <c r="L2213" s="708">
        <v>1</v>
      </c>
      <c r="M2213" s="709">
        <f t="shared" si="2021"/>
        <v>1</v>
      </c>
      <c r="N2213" s="362" t="str">
        <f t="shared" si="1945"/>
        <v/>
      </c>
      <c r="O2213" s="1763" t="str">
        <f t="shared" si="1946"/>
        <v/>
      </c>
      <c r="P2213" s="1764" t="str">
        <f t="shared" si="1947"/>
        <v/>
      </c>
      <c r="Q2213" s="120" t="str">
        <f t="shared" si="1948"/>
        <v/>
      </c>
      <c r="R2213" s="185"/>
    </row>
    <row r="2214" spans="1:18" s="185" customFormat="1" ht="18" customHeight="1">
      <c r="A2214" s="1785"/>
      <c r="B2214" s="714"/>
      <c r="C2214" s="1893" t="s">
        <v>729</v>
      </c>
      <c r="D2214" s="173"/>
      <c r="E2214" s="1786"/>
      <c r="F2214" s="1787"/>
      <c r="G2214" s="710"/>
      <c r="H2214" s="710"/>
      <c r="I2214" s="710"/>
      <c r="J2214" s="711"/>
      <c r="K2214" s="684">
        <f t="shared" si="1955"/>
        <v>1</v>
      </c>
      <c r="L2214" s="708">
        <v>1</v>
      </c>
      <c r="M2214" s="709">
        <f t="shared" ref="M2214" si="2030">IF(B2214="",1,B2214)</f>
        <v>1</v>
      </c>
      <c r="N2214" s="362" t="str">
        <f t="shared" ref="N2214" si="2031">IF(O2214&lt;&gt;"",K2214*L2214*M2214,"")</f>
        <v/>
      </c>
      <c r="O2214" s="1763" t="str">
        <f t="shared" ref="O2214" si="2032">IF(D2214&lt;&gt;"",IF(VLOOKUP(D2214,base_datos,7,FALSE)&lt;&gt;"",VLOOKUP(D2214,base_datos,7,FALSE),""),"")</f>
        <v/>
      </c>
      <c r="P2214" s="1764" t="str">
        <f t="shared" ref="P2214" si="2033">IF(O2214&lt;&gt;"",VLOOKUP(D2214,base_datos,6,FALSE),"")</f>
        <v/>
      </c>
      <c r="Q2214" s="120" t="str">
        <f t="shared" ref="Q2214" si="2034">IF(O2214&lt;&gt;"",D2214,"")</f>
        <v/>
      </c>
    </row>
    <row r="2215" spans="1:18" s="897" customFormat="1" ht="18" customHeight="1">
      <c r="A2215" s="693"/>
      <c r="B2215" s="895">
        <v>14</v>
      </c>
      <c r="C2215" s="721" t="str">
        <f>VLOOKUP(D2215,base_datos,6,FALSE)</f>
        <v>Rotulado por circuito.</v>
      </c>
      <c r="D2215" s="1579" t="s">
        <v>3067</v>
      </c>
      <c r="E2215" s="1580">
        <f>VLOOKUP(D2215,base_datos,5,FALSE)</f>
        <v>0.7</v>
      </c>
      <c r="F2215" s="1581">
        <f t="shared" si="2029"/>
        <v>9.7999999999999989</v>
      </c>
      <c r="G2215" s="1772"/>
      <c r="H2215" s="1772"/>
      <c r="I2215" s="1772"/>
      <c r="J2215" s="896"/>
      <c r="K2215" s="684">
        <f t="shared" si="1955"/>
        <v>1</v>
      </c>
      <c r="L2215" s="708">
        <v>1</v>
      </c>
      <c r="M2215" s="709">
        <f t="shared" si="2021"/>
        <v>14</v>
      </c>
      <c r="N2215" s="362" t="str">
        <f t="shared" si="1945"/>
        <v/>
      </c>
      <c r="O2215" s="1763" t="str">
        <f t="shared" si="1946"/>
        <v/>
      </c>
      <c r="P2215" s="1764" t="str">
        <f t="shared" si="1947"/>
        <v/>
      </c>
      <c r="Q2215" s="120" t="str">
        <f t="shared" si="1948"/>
        <v/>
      </c>
    </row>
    <row r="2216" spans="1:18" s="897" customFormat="1" ht="18" customHeight="1">
      <c r="A2216" s="693"/>
      <c r="B2216" s="895">
        <v>1</v>
      </c>
      <c r="C2216" s="721" t="str">
        <f>VLOOKUP(D2216,base_datos,6,FALSE)</f>
        <v>Rotulado para TAG - tablero de distribución.</v>
      </c>
      <c r="D2216" s="1579" t="s">
        <v>3066</v>
      </c>
      <c r="E2216" s="1580">
        <f>VLOOKUP(D2216,base_datos,5,FALSE)</f>
        <v>1.5</v>
      </c>
      <c r="F2216" s="1581">
        <f t="shared" si="2029"/>
        <v>1.5</v>
      </c>
      <c r="G2216" s="1772"/>
      <c r="H2216" s="1772"/>
      <c r="I2216" s="1772"/>
      <c r="J2216" s="896"/>
      <c r="K2216" s="684">
        <f t="shared" si="1955"/>
        <v>1</v>
      </c>
      <c r="L2216" s="708">
        <v>1</v>
      </c>
      <c r="M2216" s="709">
        <f t="shared" si="2021"/>
        <v>1</v>
      </c>
      <c r="N2216" s="362" t="str">
        <f t="shared" si="1945"/>
        <v/>
      </c>
      <c r="O2216" s="1763" t="str">
        <f t="shared" si="1946"/>
        <v/>
      </c>
      <c r="P2216" s="1764" t="str">
        <f t="shared" si="1947"/>
        <v/>
      </c>
      <c r="Q2216" s="120" t="str">
        <f t="shared" si="1948"/>
        <v/>
      </c>
    </row>
    <row r="2217" spans="1:18" s="1237" customFormat="1" ht="18" customHeight="1">
      <c r="A2217" s="1767"/>
      <c r="B2217" s="2093">
        <v>1</v>
      </c>
      <c r="C2217" s="694" t="s">
        <v>12552</v>
      </c>
      <c r="D2217" s="1888"/>
      <c r="E2217" s="1580">
        <f>E2219*15%</f>
        <v>34.5</v>
      </c>
      <c r="F2217" s="1581">
        <f t="shared" si="2029"/>
        <v>34.5</v>
      </c>
      <c r="G2217" s="1774"/>
      <c r="H2217" s="1774"/>
      <c r="I2217" s="1774"/>
      <c r="J2217" s="1181"/>
      <c r="K2217" s="684">
        <f t="shared" si="1955"/>
        <v>1</v>
      </c>
      <c r="L2217" s="708">
        <v>1</v>
      </c>
      <c r="M2217" s="709">
        <f t="shared" si="2021"/>
        <v>1</v>
      </c>
      <c r="N2217" s="362" t="str">
        <f t="shared" si="1945"/>
        <v/>
      </c>
      <c r="O2217" s="1763" t="str">
        <f t="shared" si="1946"/>
        <v/>
      </c>
      <c r="P2217" s="1764" t="str">
        <f t="shared" si="1947"/>
        <v/>
      </c>
      <c r="Q2217" s="120" t="str">
        <f t="shared" si="1948"/>
        <v/>
      </c>
      <c r="R2217" s="1765"/>
    </row>
    <row r="2218" spans="1:18" s="1237" customFormat="1" ht="18" customHeight="1">
      <c r="A2218" s="1767"/>
      <c r="B2218" s="1773">
        <v>1</v>
      </c>
      <c r="C2218" s="694" t="s">
        <v>12559</v>
      </c>
      <c r="D2218" s="1888"/>
      <c r="E2218" s="1999">
        <f>E2219*20%</f>
        <v>46</v>
      </c>
      <c r="F2218" s="1581">
        <f t="shared" si="2029"/>
        <v>46</v>
      </c>
      <c r="G2218" s="1774"/>
      <c r="H2218" s="1774"/>
      <c r="I2218" s="1774"/>
      <c r="J2218" s="1181"/>
      <c r="K2218" s="684">
        <f t="shared" si="1955"/>
        <v>1</v>
      </c>
      <c r="L2218" s="708">
        <v>1</v>
      </c>
      <c r="M2218" s="709">
        <f t="shared" si="2021"/>
        <v>1</v>
      </c>
      <c r="N2218" s="362" t="str">
        <f t="shared" si="1945"/>
        <v/>
      </c>
      <c r="O2218" s="1763" t="str">
        <f t="shared" si="1946"/>
        <v/>
      </c>
      <c r="P2218" s="1764" t="str">
        <f t="shared" si="1947"/>
        <v/>
      </c>
      <c r="Q2218" s="120" t="str">
        <f t="shared" si="1948"/>
        <v/>
      </c>
      <c r="R2218" s="1765"/>
    </row>
    <row r="2219" spans="1:18" s="1237" customFormat="1" ht="18" customHeight="1">
      <c r="A2219" s="1767"/>
      <c r="B2219" s="1773">
        <v>1</v>
      </c>
      <c r="C2219" s="694" t="s">
        <v>12529</v>
      </c>
      <c r="D2219" s="1888"/>
      <c r="E2219" s="1999">
        <v>230</v>
      </c>
      <c r="F2219" s="1581">
        <f t="shared" si="2029"/>
        <v>230</v>
      </c>
      <c r="G2219" s="1774"/>
      <c r="H2219" s="1774"/>
      <c r="I2219" s="1774"/>
      <c r="J2219" s="1181"/>
      <c r="K2219" s="684">
        <f t="shared" si="1955"/>
        <v>1</v>
      </c>
      <c r="L2219" s="708">
        <v>1</v>
      </c>
      <c r="M2219" s="709">
        <f t="shared" si="2021"/>
        <v>1</v>
      </c>
      <c r="N2219" s="362" t="str">
        <f t="shared" si="1945"/>
        <v/>
      </c>
      <c r="O2219" s="1763" t="str">
        <f t="shared" si="1946"/>
        <v/>
      </c>
      <c r="P2219" s="1764" t="str">
        <f t="shared" si="1947"/>
        <v/>
      </c>
      <c r="Q2219" s="120" t="str">
        <f t="shared" si="1948"/>
        <v/>
      </c>
      <c r="R2219" s="1765"/>
    </row>
    <row r="2220" spans="1:18" s="2472" customFormat="1" ht="18" customHeight="1">
      <c r="A2220" s="2464"/>
      <c r="B2220" s="2465"/>
      <c r="C2220" s="2466" t="s">
        <v>12534</v>
      </c>
      <c r="D2220" s="2467"/>
      <c r="E2220" s="2468"/>
      <c r="F2220" s="2469"/>
      <c r="G2220" s="2470"/>
      <c r="H2220" s="2470"/>
      <c r="I2220" s="2470"/>
      <c r="J2220" s="2471"/>
      <c r="K2220" s="2426">
        <f>K2217</f>
        <v>1</v>
      </c>
      <c r="L2220" s="2463">
        <v>1</v>
      </c>
      <c r="M2220" s="2428">
        <f>IF(B2220="",1,B2220)</f>
        <v>1</v>
      </c>
      <c r="N2220" s="2429" t="str">
        <f>IF(O2220&lt;&gt;"",K2220*L2220*M2220,"")</f>
        <v/>
      </c>
      <c r="O2220" s="2430" t="str">
        <f>IF(D2220&lt;&gt;"",IF(VLOOKUP(D2220,base_datos,7,FALSE)&lt;&gt;"",VLOOKUP(D2220,base_datos,7,FALSE),""),"")</f>
        <v/>
      </c>
      <c r="P2220" s="2431" t="str">
        <f>IF(O2220&lt;&gt;"",VLOOKUP(D2220,base_datos,6,FALSE),"")</f>
        <v/>
      </c>
      <c r="Q2220" s="2432" t="str">
        <f>IF(O2220&lt;&gt;"",D2220,"")</f>
        <v/>
      </c>
      <c r="R2220" s="2433"/>
    </row>
    <row r="2221" spans="1:18" s="2472" customFormat="1" ht="18" customHeight="1">
      <c r="A2221" s="2464"/>
      <c r="B2221" s="2465"/>
      <c r="C2221" s="2466"/>
      <c r="D2221" s="2467"/>
      <c r="E2221" s="2468"/>
      <c r="F2221" s="2469"/>
      <c r="G2221" s="2470"/>
      <c r="H2221" s="2470"/>
      <c r="I2221" s="2470"/>
      <c r="J2221" s="2471"/>
      <c r="K2221" s="2426">
        <f>K2218</f>
        <v>1</v>
      </c>
      <c r="L2221" s="2463">
        <v>1</v>
      </c>
      <c r="M2221" s="2428">
        <f>IF(B2221="",1,B2221)</f>
        <v>1</v>
      </c>
      <c r="N2221" s="2429"/>
      <c r="O2221" s="2430"/>
      <c r="P2221" s="2431"/>
      <c r="Q2221" s="2432"/>
      <c r="R2221" s="2433"/>
    </row>
    <row r="2222" spans="1:18" s="2480" customFormat="1">
      <c r="A2222" s="2473"/>
      <c r="B2222" s="2474">
        <v>1</v>
      </c>
      <c r="C2222" s="2475" t="str">
        <f t="shared" ref="C2222:C2223" si="2035">VLOOKUP(D2222,base_datos,6,FALSE)</f>
        <v>FOTOCELDA 1800VA 220V N/C (NF) 10 LUX STIELECTRONICA</v>
      </c>
      <c r="D2222" s="2476" t="s">
        <v>3410</v>
      </c>
      <c r="E2222" s="2477">
        <f t="shared" ref="E2222:E2223" si="2036">VLOOKUP(D2222,base_datos,5,FALSE)</f>
        <v>27.6</v>
      </c>
      <c r="F2222" s="2455">
        <f t="shared" ref="F2222:F2223" si="2037">+E2222*B2222</f>
        <v>27.6</v>
      </c>
      <c r="G2222" s="2478"/>
      <c r="H2222" s="2478"/>
      <c r="I2222" s="2478"/>
      <c r="J2222" s="2479"/>
      <c r="K2222" s="2426">
        <f t="shared" ref="K2222:K2223" si="2038">K2220</f>
        <v>1</v>
      </c>
      <c r="L2222" s="2463">
        <v>1</v>
      </c>
      <c r="M2222" s="2428">
        <f>IF(B2222="",1,B2222)</f>
        <v>1</v>
      </c>
      <c r="N2222" s="2429">
        <f>IF(O2222&lt;&gt;"",K2222*L2222*M2222,"")</f>
        <v>1</v>
      </c>
      <c r="O2222" s="2430" t="str">
        <f>IF(D2222&lt;&gt;"",IF(VLOOKUP(D2222,base_datos,7,FALSE)&lt;&gt;"",VLOOKUP(D2222,base_datos,7,FALSE),""),"")</f>
        <v>0400RTF82S</v>
      </c>
      <c r="P2222" s="2431" t="str">
        <f>IF(O2222&lt;&gt;"",VLOOKUP(D2222,base_datos,6,FALSE),"")</f>
        <v>FOTOCELDA 1800VA 220V N/C (NF) 10 LUX STIELECTRONICA</v>
      </c>
      <c r="Q2222" s="2432" t="str">
        <f>IF(O2222&lt;&gt;"",D2222,"")</f>
        <v>FOTOCELDA</v>
      </c>
    </row>
    <row r="2223" spans="1:18" s="2480" customFormat="1">
      <c r="A2223" s="2473"/>
      <c r="B2223" s="2474">
        <v>1</v>
      </c>
      <c r="C2223" s="2475" t="str">
        <f t="shared" si="2035"/>
        <v>BASE C/SOPORTE P/CONTROL FOTOCELDA P/ADOSAR STIELECTRONICA</v>
      </c>
      <c r="D2223" s="2476" t="s">
        <v>3411</v>
      </c>
      <c r="E2223" s="2477">
        <f t="shared" si="2036"/>
        <v>13.4</v>
      </c>
      <c r="F2223" s="2455">
        <f t="shared" si="2037"/>
        <v>13.4</v>
      </c>
      <c r="G2223" s="2478"/>
      <c r="H2223" s="2478"/>
      <c r="I2223" s="2478"/>
      <c r="J2223" s="2479"/>
      <c r="K2223" s="2426">
        <f t="shared" si="2038"/>
        <v>1</v>
      </c>
      <c r="L2223" s="2463">
        <v>1</v>
      </c>
      <c r="M2223" s="2428">
        <f>IF(B2223="",1,B2223)</f>
        <v>1</v>
      </c>
      <c r="N2223" s="2429">
        <f>IF(O2223&lt;&gt;"",K2223*L2223*M2223,"")</f>
        <v>1</v>
      </c>
      <c r="O2223" s="2430" t="str">
        <f>IF(D2223&lt;&gt;"",IF(VLOOKUP(D2223,base_datos,7,FALSE)&lt;&gt;"",VLOOKUP(D2223,base_datos,7,FALSE),""),"")</f>
        <v>0400TPLS476</v>
      </c>
      <c r="P2223" s="2431" t="str">
        <f>IF(O2223&lt;&gt;"",VLOOKUP(D2223,base_datos,6,FALSE),"")</f>
        <v>BASE C/SOPORTE P/CONTROL FOTOCELDA P/ADOSAR STIELECTRONICA</v>
      </c>
      <c r="Q2223" s="2432" t="str">
        <f>IF(O2223&lt;&gt;"",D2223,"")</f>
        <v>BASE_FOTOCELDA</v>
      </c>
    </row>
    <row r="2224" spans="1:18" s="120" customFormat="1" ht="18" customHeight="1" thickBot="1">
      <c r="A2224" s="1855"/>
      <c r="B2224" s="1854"/>
      <c r="C2224" s="1797"/>
      <c r="D2224" s="1889"/>
      <c r="E2224" s="1981"/>
      <c r="F2224" s="1981"/>
      <c r="G2224" s="1798"/>
      <c r="H2224" s="1798"/>
      <c r="I2224" s="1798"/>
      <c r="J2224" s="1799"/>
      <c r="K2224" s="1788"/>
      <c r="L2224" s="363"/>
      <c r="M2224" s="684"/>
      <c r="N2224" s="362" t="str">
        <f t="shared" si="1945"/>
        <v/>
      </c>
      <c r="O2224" s="1763" t="str">
        <f t="shared" si="1946"/>
        <v/>
      </c>
      <c r="P2224" s="1764" t="str">
        <f t="shared" si="1947"/>
        <v/>
      </c>
      <c r="Q2224" s="120" t="str">
        <f t="shared" si="1948"/>
        <v/>
      </c>
      <c r="R2224" s="185"/>
    </row>
    <row r="2225" spans="1:18" s="120" customFormat="1" ht="18" customHeight="1" thickBot="1">
      <c r="A2225" s="2233">
        <v>36.1</v>
      </c>
      <c r="B2225" s="1852">
        <v>1</v>
      </c>
      <c r="C2225" s="1756" t="s">
        <v>13053</v>
      </c>
      <c r="D2225" s="1588"/>
      <c r="E2225" s="1589"/>
      <c r="F2225" s="1589"/>
      <c r="G2225" s="1757">
        <f>SUM(F2226:F2239)</f>
        <v>387.57499999999999</v>
      </c>
      <c r="H2225" s="1758">
        <f>ROUNDUP(G2225*(1-$D$6),0)</f>
        <v>388</v>
      </c>
      <c r="I2225" s="1757">
        <f>ROUNDUP(H2225*$D$5,0)</f>
        <v>1320</v>
      </c>
      <c r="J2225" s="1759">
        <f>+I2225*B2225</f>
        <v>1320</v>
      </c>
      <c r="K2225" s="1788">
        <f>B2225</f>
        <v>1</v>
      </c>
      <c r="L2225" s="363"/>
      <c r="M2225" s="684"/>
      <c r="N2225" s="362"/>
      <c r="O2225" s="1763"/>
      <c r="P2225" s="1764"/>
      <c r="Q2225" s="120" t="str">
        <f t="shared" ref="Q2225:Q2226" si="2039">IF(O2225&lt;&gt;"",D2225,"")</f>
        <v/>
      </c>
      <c r="R2225" s="185"/>
    </row>
    <row r="2226" spans="1:18" s="120" customFormat="1">
      <c r="A2226" s="685" t="s">
        <v>3064</v>
      </c>
      <c r="B2226" s="1779"/>
      <c r="C2226" s="1954"/>
      <c r="D2226" s="2213"/>
      <c r="E2226" s="1789"/>
      <c r="F2226" s="1789"/>
      <c r="G2226" s="686"/>
      <c r="H2226" s="686"/>
      <c r="I2226" s="686"/>
      <c r="J2226" s="1768"/>
      <c r="K2226" s="684">
        <f t="shared" ref="K2226:K2238" si="2040">K2225</f>
        <v>1</v>
      </c>
      <c r="L2226" s="363">
        <v>1</v>
      </c>
      <c r="M2226" s="684">
        <f>IF(B2226="",1,B2226)</f>
        <v>1</v>
      </c>
      <c r="N2226" s="362" t="str">
        <f t="shared" ref="N2226" si="2041">IF(O2226&lt;&gt;"",K2226*L2226*M2226,"")</f>
        <v/>
      </c>
      <c r="O2226" s="1763" t="str">
        <f t="shared" ref="O2226" si="2042">IF(D2226&lt;&gt;"",IF(VLOOKUP(D2226,base_datos,7,FALSE)&lt;&gt;"",VLOOKUP(D2226,base_datos,7,FALSE),""),"")</f>
        <v/>
      </c>
      <c r="P2226" s="1764" t="str">
        <f t="shared" ref="P2226" si="2043">IF(O2226&lt;&gt;"",VLOOKUP(D2226,base_datos,6,FALSE),"")</f>
        <v/>
      </c>
      <c r="Q2226" s="120" t="str">
        <f t="shared" si="2039"/>
        <v/>
      </c>
    </row>
    <row r="2227" spans="1:18" s="690" customFormat="1" ht="18" customHeight="1">
      <c r="A2227" s="687" t="s">
        <v>4021</v>
      </c>
      <c r="B2227" s="2226">
        <v>8</v>
      </c>
      <c r="C2227" s="1954" t="s">
        <v>13054</v>
      </c>
      <c r="D2227" s="2110"/>
      <c r="E2227" s="1782"/>
      <c r="F2227" s="1908">
        <f>SUM(F2228:F2232)*(B2227-1)</f>
        <v>249.72499999999997</v>
      </c>
      <c r="G2227" s="1761"/>
      <c r="H2227" s="1761"/>
      <c r="I2227" s="1761"/>
      <c r="J2227" s="1783"/>
      <c r="K2227" s="684">
        <f t="shared" si="2040"/>
        <v>1</v>
      </c>
      <c r="L2227" s="2225">
        <f>B2227</f>
        <v>8</v>
      </c>
      <c r="M2227" s="709">
        <f t="shared" ref="M2227:M2229" si="2044">IF(B2227="",1,B2227)</f>
        <v>8</v>
      </c>
      <c r="N2227" s="362" t="str">
        <f>IF(O2227&lt;&gt;"",K2227*L2227*M2227,"")</f>
        <v/>
      </c>
      <c r="O2227" s="1763" t="str">
        <f>IF(D2227&lt;&gt;"",IF(VLOOKUP(D2227,base_datos,7,FALSE)&lt;&gt;"",VLOOKUP(D2227,base_datos,7,FALSE),""),"")</f>
        <v/>
      </c>
      <c r="P2227" s="1764" t="str">
        <f>IF(O2227&lt;&gt;"",VLOOKUP(D2227,base_datos,6,FALSE),"")</f>
        <v/>
      </c>
      <c r="Q2227" s="120" t="str">
        <f>IF(O2227&lt;&gt;"",D2227,"")</f>
        <v/>
      </c>
      <c r="R2227" s="185"/>
    </row>
    <row r="2228" spans="1:18" s="2434" customFormat="1" ht="18" customHeight="1">
      <c r="A2228" s="2418" t="s">
        <v>4136</v>
      </c>
      <c r="B2228" s="2435">
        <v>1</v>
      </c>
      <c r="C2228" s="2436" t="str">
        <f>VLOOKUP(D2228,base_datos,6,FALSE)</f>
        <v>Dado Interruptor unipolar de 16A,  250V, linea Magic 5001, marca BTICINO.</v>
      </c>
      <c r="D2228" s="2437" t="s">
        <v>13868</v>
      </c>
      <c r="E2228" s="2422">
        <f>VLOOKUP(D2228,base_datos,5,FALSE)</f>
        <v>8.5</v>
      </c>
      <c r="F2228" s="2438">
        <f t="shared" ref="F2228" si="2045">+E2228*B2228</f>
        <v>8.5</v>
      </c>
      <c r="G2228" s="2424"/>
      <c r="H2228" s="2424"/>
      <c r="I2228" s="2424"/>
      <c r="J2228" s="2425"/>
      <c r="K2228" s="2426">
        <f t="shared" si="2040"/>
        <v>1</v>
      </c>
      <c r="L2228" s="2427">
        <f>L2227</f>
        <v>8</v>
      </c>
      <c r="M2228" s="2428">
        <f t="shared" si="2044"/>
        <v>1</v>
      </c>
      <c r="N2228" s="2429" t="str">
        <f>IF(O2228&lt;&gt;"",K2228*L2228*M2228,"")</f>
        <v/>
      </c>
      <c r="O2228" s="2430" t="str">
        <f>IF(D2228&lt;&gt;"",IF(VLOOKUP(D2228,base_datos,7,FALSE)&lt;&gt;"",VLOOKUP(D2228,base_datos,7,FALSE),""),"")</f>
        <v/>
      </c>
      <c r="P2228" s="2431" t="str">
        <f>IF(O2228&lt;&gt;"",VLOOKUP(D2228,base_datos,6,FALSE),"")</f>
        <v/>
      </c>
      <c r="Q2228" s="2432" t="str">
        <f>IF(O2228&lt;&gt;"",D2228,"")</f>
        <v/>
      </c>
      <c r="R2228" s="2433"/>
    </row>
    <row r="2229" spans="1:18" s="120" customFormat="1">
      <c r="A2229" s="687"/>
      <c r="B2229" s="1781">
        <v>1</v>
      </c>
      <c r="C2229" s="1915" t="s">
        <v>3366</v>
      </c>
      <c r="D2229" s="314"/>
      <c r="E2229" s="1782"/>
      <c r="F2229" s="1923"/>
      <c r="G2229" s="686"/>
      <c r="H2229" s="686"/>
      <c r="I2229" s="686"/>
      <c r="J2229" s="688"/>
      <c r="K2229" s="684">
        <f>K2230</f>
        <v>1</v>
      </c>
      <c r="L2229" s="2225">
        <f>L2230</f>
        <v>8</v>
      </c>
      <c r="M2229" s="709">
        <f t="shared" si="2044"/>
        <v>1</v>
      </c>
      <c r="N2229" s="362" t="str">
        <f t="shared" ref="N2229" si="2046">IF(O2229&lt;&gt;"",K2229*L2229*M2229,"")</f>
        <v/>
      </c>
      <c r="O2229" s="1763" t="str">
        <f t="shared" ref="O2229" si="2047">IF(D2229&lt;&gt;"",IF(VLOOKUP(D2229,base_datos,7,FALSE)&lt;&gt;"",VLOOKUP(D2229,base_datos,7,FALSE),""),"")</f>
        <v/>
      </c>
      <c r="P2229" s="1764" t="str">
        <f t="shared" ref="P2229" si="2048">IF(O2229&lt;&gt;"",VLOOKUP(D2229,base_datos,6,FALSE),"")</f>
        <v/>
      </c>
      <c r="Q2229" s="120" t="str">
        <f t="shared" ref="Q2229" si="2049">IF(O2229&lt;&gt;"",D2229,"")</f>
        <v/>
      </c>
    </row>
    <row r="2230" spans="1:18" s="695" customFormat="1" ht="18" customHeight="1">
      <c r="A2230" s="693"/>
      <c r="B2230" s="1922">
        <v>1</v>
      </c>
      <c r="C2230" s="721" t="str">
        <f t="shared" ref="C2230" si="2050">VLOOKUP(D2230,base_datos,6,FALSE)</f>
        <v>Base portafusibles + Fusibles de protección para control.</v>
      </c>
      <c r="D2230" s="2222" t="s">
        <v>453</v>
      </c>
      <c r="E2230" s="1796">
        <f t="shared" ref="E2230" si="2051">VLOOKUP(D2230,base_datos,5,FALSE)</f>
        <v>8.1750000000000007</v>
      </c>
      <c r="F2230" s="1923">
        <f>+E2230*B2230</f>
        <v>8.1750000000000007</v>
      </c>
      <c r="G2230" s="696"/>
      <c r="H2230" s="696"/>
      <c r="I2230" s="696"/>
      <c r="J2230" s="697"/>
      <c r="K2230" s="684">
        <f>K2228</f>
        <v>1</v>
      </c>
      <c r="L2230" s="2225">
        <f>L2228</f>
        <v>8</v>
      </c>
      <c r="M2230" s="709">
        <f>IF(B2230="",1,B2230)</f>
        <v>1</v>
      </c>
      <c r="N2230" s="362" t="str">
        <f>IF(O2230&lt;&gt;"",K2230*L2230*M2230,"")</f>
        <v/>
      </c>
      <c r="O2230" s="1763" t="str">
        <f>IF(D2230&lt;&gt;"",IF(VLOOKUP(D2230,base_datos,7,FALSE)&lt;&gt;"",VLOOKUP(D2230,base_datos,7,FALSE),""),"")</f>
        <v/>
      </c>
      <c r="P2230" s="1764" t="str">
        <f>IF(O2230&lt;&gt;"",VLOOKUP(D2230,base_datos,6,FALSE),"")</f>
        <v/>
      </c>
      <c r="Q2230" s="120" t="str">
        <f>IF(O2230&lt;&gt;"",D2230,"")</f>
        <v/>
      </c>
      <c r="R2230" s="185"/>
    </row>
    <row r="2231" spans="1:18" s="695" customFormat="1" ht="18" customHeight="1">
      <c r="A2231" s="693"/>
      <c r="B2231" s="1922">
        <v>6</v>
      </c>
      <c r="C2231" s="721" t="str">
        <f>VLOOKUP(D2231,base_datos,6,FALSE)</f>
        <v>Borne 4mm2.</v>
      </c>
      <c r="D2231" s="2222" t="s">
        <v>437</v>
      </c>
      <c r="E2231" s="1796">
        <f>VLOOKUP(D2231,base_datos,5,FALSE)</f>
        <v>2.5</v>
      </c>
      <c r="F2231" s="1923">
        <f t="shared" ref="F2231:F2232" si="2052">+E2231*B2231</f>
        <v>15</v>
      </c>
      <c r="G2231" s="696"/>
      <c r="H2231" s="696"/>
      <c r="I2231" s="696"/>
      <c r="J2231" s="697"/>
      <c r="K2231" s="684">
        <f>K2229</f>
        <v>1</v>
      </c>
      <c r="L2231" s="708">
        <v>1</v>
      </c>
      <c r="M2231" s="709">
        <f>IF(B2231="",1,B2231)</f>
        <v>6</v>
      </c>
      <c r="N2231" s="362" t="str">
        <f>IF(O2231&lt;&gt;"",K2231*L2231*M2231,"")</f>
        <v/>
      </c>
      <c r="O2231" s="1763" t="str">
        <f>IF(D2231&lt;&gt;"",IF(VLOOKUP(D2231,base_datos,7,FALSE)&lt;&gt;"",VLOOKUP(D2231,base_datos,7,FALSE),""),"")</f>
        <v/>
      </c>
      <c r="P2231" s="1764" t="str">
        <f>IF(O2231&lt;&gt;"",VLOOKUP(D2231,base_datos,6,FALSE),"")</f>
        <v/>
      </c>
      <c r="Q2231" s="120" t="str">
        <f>IF(O2231&lt;&gt;"",D2231,"")</f>
        <v/>
      </c>
      <c r="R2231" s="185"/>
    </row>
    <row r="2232" spans="1:18" s="695" customFormat="1" ht="18" customHeight="1">
      <c r="A2232" s="693"/>
      <c r="B2232" s="1922">
        <v>1</v>
      </c>
      <c r="C2232" s="721" t="str">
        <f t="shared" ref="C2232" si="2053">VLOOKUP(D2232,base_datos,6,FALSE)</f>
        <v>Borne para neutro.</v>
      </c>
      <c r="D2232" s="36" t="s">
        <v>436</v>
      </c>
      <c r="E2232" s="1796">
        <f t="shared" ref="E2232" si="2054">VLOOKUP(D2232,base_datos,5,FALSE)</f>
        <v>4</v>
      </c>
      <c r="F2232" s="1923">
        <f t="shared" si="2052"/>
        <v>4</v>
      </c>
      <c r="G2232" s="696"/>
      <c r="H2232" s="696"/>
      <c r="I2232" s="696"/>
      <c r="J2232" s="697"/>
      <c r="K2232" s="684">
        <f t="shared" si="2040"/>
        <v>1</v>
      </c>
      <c r="L2232" s="2225">
        <f>L2229</f>
        <v>8</v>
      </c>
      <c r="M2232" s="709">
        <f t="shared" ref="M2232:M2238" si="2055">IF(B2232="",1,B2232)</f>
        <v>1</v>
      </c>
      <c r="N2232" s="362" t="str">
        <f t="shared" ref="N2232" si="2056">IF(O2232&lt;&gt;"",K2232*L2232*M2232,"")</f>
        <v/>
      </c>
      <c r="O2232" s="1763" t="str">
        <f t="shared" ref="O2232" si="2057">IF(D2232&lt;&gt;"",IF(VLOOKUP(D2232,base_datos,7,FALSE)&lt;&gt;"",VLOOKUP(D2232,base_datos,7,FALSE),""),"")</f>
        <v/>
      </c>
      <c r="P2232" s="1764" t="str">
        <f t="shared" ref="P2232" si="2058">IF(O2232&lt;&gt;"",VLOOKUP(D2232,base_datos,6,FALSE),"")</f>
        <v/>
      </c>
      <c r="Q2232" s="120" t="str">
        <f t="shared" ref="Q2232" si="2059">IF(O2232&lt;&gt;"",D2232,"")</f>
        <v/>
      </c>
      <c r="R2232" s="185"/>
    </row>
    <row r="2233" spans="1:18" s="185" customFormat="1">
      <c r="A2233" s="687"/>
      <c r="B2233" s="714"/>
      <c r="C2233" s="313" t="s">
        <v>729</v>
      </c>
      <c r="D2233" s="36"/>
      <c r="E2233" s="1971"/>
      <c r="F2233" s="1787"/>
      <c r="G2233" s="710"/>
      <c r="H2233" s="710"/>
      <c r="I2233" s="710"/>
      <c r="J2233" s="711"/>
      <c r="K2233" s="684">
        <f t="shared" si="2040"/>
        <v>1</v>
      </c>
      <c r="L2233" s="363">
        <v>1</v>
      </c>
      <c r="M2233" s="709">
        <f t="shared" si="2055"/>
        <v>1</v>
      </c>
      <c r="N2233" s="1905" t="str">
        <f>IF(O2233&lt;&gt;"",K2233*L2233*M2233,"")</f>
        <v/>
      </c>
      <c r="O2233" s="1571" t="str">
        <f>IF(D2233&lt;&gt;"",IF(VLOOKUP(D2233,base_datos,7,FALSE)&lt;&gt;"",VLOOKUP(D2233,base_datos,7,FALSE),""),"")</f>
        <v/>
      </c>
      <c r="P2233" s="320" t="str">
        <f>IF(O2233&lt;&gt;"",VLOOKUP(D2233,base_datos,6,FALSE),"")</f>
        <v/>
      </c>
      <c r="Q2233" s="185" t="str">
        <f>IF(O2233&lt;&gt;"",D2233,"")</f>
        <v/>
      </c>
    </row>
    <row r="2234" spans="1:18" s="695" customFormat="1" ht="18" customHeight="1">
      <c r="A2234" s="693"/>
      <c r="B2234" s="1922">
        <v>1</v>
      </c>
      <c r="C2234" s="721" t="str">
        <f t="shared" ref="C2234:C2235" si="2060">VLOOKUP(D2234,base_datos,6,FALSE)</f>
        <v>Base portafusibles + Fusibles de protección para control.</v>
      </c>
      <c r="D2234" s="2222" t="s">
        <v>453</v>
      </c>
      <c r="E2234" s="1796">
        <f t="shared" ref="E2234:E2235" si="2061">VLOOKUP(D2234,base_datos,5,FALSE)</f>
        <v>8.1750000000000007</v>
      </c>
      <c r="F2234" s="1581">
        <f t="shared" ref="F2234:F2235" si="2062">+E2234*B2234</f>
        <v>8.1750000000000007</v>
      </c>
      <c r="G2234" s="696"/>
      <c r="H2234" s="696"/>
      <c r="I2234" s="696"/>
      <c r="J2234" s="697"/>
      <c r="K2234" s="684">
        <f t="shared" si="2040"/>
        <v>1</v>
      </c>
      <c r="L2234" s="708">
        <v>1</v>
      </c>
      <c r="M2234" s="709">
        <f t="shared" si="2055"/>
        <v>1</v>
      </c>
      <c r="N2234" s="362" t="str">
        <f t="shared" ref="N2234:N2235" si="2063">IF(O2234&lt;&gt;"",K2234*L2234*M2234,"")</f>
        <v/>
      </c>
      <c r="O2234" s="1763" t="str">
        <f t="shared" ref="O2234:O2235" si="2064">IF(D2234&lt;&gt;"",IF(VLOOKUP(D2234,base_datos,7,FALSE)&lt;&gt;"",VLOOKUP(D2234,base_datos,7,FALSE),""),"")</f>
        <v/>
      </c>
      <c r="P2234" s="1764" t="str">
        <f t="shared" ref="P2234:P2235" si="2065">IF(O2234&lt;&gt;"",VLOOKUP(D2234,base_datos,6,FALSE),"")</f>
        <v/>
      </c>
      <c r="Q2234" s="120" t="str">
        <f t="shared" ref="Q2234:Q2235" si="2066">IF(O2234&lt;&gt;"",D2234,"")</f>
        <v/>
      </c>
      <c r="R2234" s="185"/>
    </row>
    <row r="2235" spans="1:18" s="695" customFormat="1" ht="18" customHeight="1">
      <c r="A2235" s="693"/>
      <c r="B2235" s="1922">
        <v>1</v>
      </c>
      <c r="C2235" s="721" t="str">
        <f t="shared" si="2060"/>
        <v>Borne para neutro.</v>
      </c>
      <c r="D2235" s="36" t="s">
        <v>436</v>
      </c>
      <c r="E2235" s="1796">
        <f t="shared" si="2061"/>
        <v>4</v>
      </c>
      <c r="F2235" s="1923">
        <f t="shared" si="2062"/>
        <v>4</v>
      </c>
      <c r="G2235" s="696"/>
      <c r="H2235" s="696"/>
      <c r="I2235" s="696"/>
      <c r="J2235" s="697"/>
      <c r="K2235" s="684">
        <f t="shared" si="2040"/>
        <v>1</v>
      </c>
      <c r="L2235" s="2225">
        <f t="shared" ref="L2235" si="2067">L2234</f>
        <v>1</v>
      </c>
      <c r="M2235" s="709">
        <f t="shared" si="2055"/>
        <v>1</v>
      </c>
      <c r="N2235" s="362" t="str">
        <f t="shared" si="2063"/>
        <v/>
      </c>
      <c r="O2235" s="1763" t="str">
        <f t="shared" si="2064"/>
        <v/>
      </c>
      <c r="P2235" s="1764" t="str">
        <f t="shared" si="2065"/>
        <v/>
      </c>
      <c r="Q2235" s="120" t="str">
        <f t="shared" si="2066"/>
        <v/>
      </c>
      <c r="R2235" s="185"/>
    </row>
    <row r="2236" spans="1:18" s="185" customFormat="1">
      <c r="A2236" s="687"/>
      <c r="B2236" s="714"/>
      <c r="C2236" s="313" t="s">
        <v>729</v>
      </c>
      <c r="D2236" s="36"/>
      <c r="E2236" s="1971"/>
      <c r="F2236" s="1787"/>
      <c r="G2236" s="710"/>
      <c r="H2236" s="710"/>
      <c r="I2236" s="710"/>
      <c r="J2236" s="711"/>
      <c r="K2236" s="684">
        <f t="shared" si="2040"/>
        <v>1</v>
      </c>
      <c r="L2236" s="708">
        <v>1</v>
      </c>
      <c r="M2236" s="709">
        <f t="shared" si="2055"/>
        <v>1</v>
      </c>
      <c r="N2236" s="1905" t="str">
        <f>IF(O2236&lt;&gt;"",K2236*L2236*M2236,"")</f>
        <v/>
      </c>
      <c r="O2236" s="1571" t="str">
        <f>IF(D2236&lt;&gt;"",IF(VLOOKUP(D2236,base_datos,7,FALSE)&lt;&gt;"",VLOOKUP(D2236,base_datos,7,FALSE),""),"")</f>
        <v/>
      </c>
      <c r="P2236" s="320" t="str">
        <f>IF(O2236&lt;&gt;"",VLOOKUP(D2236,base_datos,6,FALSE),"")</f>
        <v/>
      </c>
      <c r="Q2236" s="185" t="str">
        <f>IF(O2236&lt;&gt;"",D2236,"")</f>
        <v/>
      </c>
    </row>
    <row r="2237" spans="1:18" s="695" customFormat="1">
      <c r="A2237" s="691"/>
      <c r="B2237" s="2214">
        <v>1</v>
      </c>
      <c r="C2237" s="2215" t="s">
        <v>316</v>
      </c>
      <c r="D2237" s="2223"/>
      <c r="E2237" s="2227"/>
      <c r="F2237" s="2227"/>
      <c r="G2237" s="696"/>
      <c r="H2237" s="696"/>
      <c r="I2237" s="696"/>
      <c r="J2237" s="697"/>
      <c r="K2237" s="684">
        <f t="shared" si="2040"/>
        <v>1</v>
      </c>
      <c r="L2237" s="708">
        <v>1</v>
      </c>
      <c r="M2237" s="709">
        <f t="shared" si="2055"/>
        <v>1</v>
      </c>
      <c r="N2237" s="362" t="str">
        <f t="shared" ref="N2237:N2238" si="2068">IF(O2237&lt;&gt;"",K2237*L2237*M2237,"")</f>
        <v/>
      </c>
      <c r="O2237" s="1763" t="str">
        <f t="shared" ref="O2237:O2238" si="2069">IF(D2237&lt;&gt;"",IF(VLOOKUP(D2237,base_datos,7,FALSE)&lt;&gt;"",VLOOKUP(D2237,base_datos,7,FALSE),""),"")</f>
        <v/>
      </c>
      <c r="P2237" s="1764" t="str">
        <f t="shared" ref="P2237:P2238" si="2070">IF(O2237&lt;&gt;"",VLOOKUP(D2237,base_datos,6,FALSE),"")</f>
        <v/>
      </c>
      <c r="Q2237" s="120" t="str">
        <f t="shared" ref="Q2237:Q2238" si="2071">IF(O2237&lt;&gt;"",D2237,"")</f>
        <v/>
      </c>
    </row>
    <row r="2238" spans="1:18" s="1979" customFormat="1">
      <c r="A2238" s="698"/>
      <c r="B2238" s="1967">
        <v>1</v>
      </c>
      <c r="C2238" s="694" t="s">
        <v>13039</v>
      </c>
      <c r="D2238" s="2218"/>
      <c r="E2238" s="1968">
        <v>90</v>
      </c>
      <c r="F2238" s="1968">
        <f>+E2238*B2238</f>
        <v>90</v>
      </c>
      <c r="G2238" s="2216"/>
      <c r="H2238" s="2216"/>
      <c r="I2238" s="2216"/>
      <c r="J2238" s="2217"/>
      <c r="K2238" s="684">
        <f t="shared" si="2040"/>
        <v>1</v>
      </c>
      <c r="L2238" s="363">
        <v>1</v>
      </c>
      <c r="M2238" s="684">
        <f t="shared" si="2055"/>
        <v>1</v>
      </c>
      <c r="N2238" s="362" t="str">
        <f t="shared" si="2068"/>
        <v/>
      </c>
      <c r="O2238" s="1763" t="str">
        <f t="shared" si="2069"/>
        <v/>
      </c>
      <c r="P2238" s="1764" t="str">
        <f t="shared" si="2070"/>
        <v/>
      </c>
      <c r="Q2238" s="120" t="str">
        <f t="shared" si="2071"/>
        <v/>
      </c>
    </row>
    <row r="2239" spans="1:18" s="120" customFormat="1" ht="13.8" thickBot="1">
      <c r="A2239" s="699"/>
      <c r="B2239" s="1775"/>
      <c r="C2239" s="1776"/>
      <c r="D2239" s="1885"/>
      <c r="E2239" s="1981"/>
      <c r="F2239" s="1981"/>
      <c r="G2239" s="1777"/>
      <c r="H2239" s="1777"/>
      <c r="I2239" s="1777"/>
      <c r="J2239" s="1778"/>
      <c r="K2239" s="684"/>
      <c r="L2239" s="363"/>
      <c r="M2239" s="684"/>
      <c r="N2239" s="362"/>
      <c r="O2239" s="1763"/>
      <c r="P2239" s="1764"/>
    </row>
    <row r="2240" spans="1:18" s="120" customFormat="1" ht="18" customHeight="1" thickBot="1">
      <c r="A2240" s="1989">
        <v>37</v>
      </c>
      <c r="B2240" s="1852">
        <v>1</v>
      </c>
      <c r="C2240" s="1756" t="s">
        <v>12599</v>
      </c>
      <c r="D2240" s="1588"/>
      <c r="E2240" s="1589"/>
      <c r="F2240" s="1589"/>
      <c r="G2240" s="1757">
        <f>SUM(F2241:F2298)</f>
        <v>2952.9650000000006</v>
      </c>
      <c r="H2240" s="1758">
        <f>G2240*(1-$D$6)</f>
        <v>2952.9650000000006</v>
      </c>
      <c r="I2240" s="1757">
        <f>ROUNDUP(H2240*$D$5,0)</f>
        <v>10041</v>
      </c>
      <c r="J2240" s="1759">
        <f>+I2240*B2240</f>
        <v>10041</v>
      </c>
      <c r="K2240" s="1788">
        <f>B2240</f>
        <v>1</v>
      </c>
      <c r="L2240" s="363"/>
      <c r="M2240" s="684"/>
      <c r="N2240" s="362" t="str">
        <f t="shared" si="1945"/>
        <v/>
      </c>
      <c r="O2240" s="1763" t="str">
        <f t="shared" si="1946"/>
        <v/>
      </c>
      <c r="P2240" s="1764" t="str">
        <f t="shared" si="1947"/>
        <v/>
      </c>
      <c r="Q2240" s="120" t="str">
        <f t="shared" si="1948"/>
        <v/>
      </c>
      <c r="R2240" s="185"/>
    </row>
    <row r="2241" spans="1:18" s="120" customFormat="1" ht="18" customHeight="1">
      <c r="A2241" s="685" t="s">
        <v>3064</v>
      </c>
      <c r="B2241" s="1903"/>
      <c r="C2241" s="1890"/>
      <c r="D2241" s="1904"/>
      <c r="E2241" s="1789"/>
      <c r="F2241" s="1780"/>
      <c r="G2241" s="686"/>
      <c r="H2241" s="710"/>
      <c r="I2241" s="686"/>
      <c r="J2241" s="1768"/>
      <c r="K2241" s="684">
        <f t="shared" ref="K2241:K2245" si="2072">+K2240</f>
        <v>1</v>
      </c>
      <c r="L2241" s="363">
        <v>1</v>
      </c>
      <c r="M2241" s="709">
        <f t="shared" ref="M2241:M2298" si="2073">IF(B2241="",1,B2241)</f>
        <v>1</v>
      </c>
      <c r="N2241" s="362" t="str">
        <f t="shared" si="1945"/>
        <v/>
      </c>
      <c r="O2241" s="1763" t="str">
        <f t="shared" si="1946"/>
        <v/>
      </c>
      <c r="P2241" s="1764" t="str">
        <f t="shared" si="1947"/>
        <v/>
      </c>
      <c r="Q2241" s="120" t="str">
        <f t="shared" si="1948"/>
        <v/>
      </c>
    </row>
    <row r="2242" spans="1:18" s="315" customFormat="1" ht="12" customHeight="1">
      <c r="A2242" s="687" t="s">
        <v>4021</v>
      </c>
      <c r="B2242" s="2096">
        <v>1</v>
      </c>
      <c r="C2242" s="1907" t="s">
        <v>5103</v>
      </c>
      <c r="D2242" s="1935"/>
      <c r="E2242" s="1786"/>
      <c r="F2242" s="1908">
        <f>SUM(F2244:F2248)*(B2242-1)</f>
        <v>0</v>
      </c>
      <c r="G2242" s="712"/>
      <c r="H2242" s="712"/>
      <c r="I2242" s="712"/>
      <c r="J2242" s="713"/>
      <c r="K2242" s="684">
        <f t="shared" si="2072"/>
        <v>1</v>
      </c>
      <c r="L2242" s="1909">
        <f>B2242</f>
        <v>1</v>
      </c>
      <c r="M2242" s="684">
        <f t="shared" si="2073"/>
        <v>1</v>
      </c>
      <c r="N2242" s="362" t="str">
        <f t="shared" ref="N2242:N2250" si="2074">IF(O2242&lt;&gt;"",K2242*L2242*M2242,"")</f>
        <v/>
      </c>
      <c r="O2242" s="1763" t="str">
        <f t="shared" ref="O2242:O2250" si="2075">IF(D2242&lt;&gt;"",IF(VLOOKUP(D2242,base_datos,7,FALSE)&lt;&gt;"",VLOOKUP(D2242,base_datos,7,FALSE),""),"")</f>
        <v/>
      </c>
      <c r="P2242" s="1764" t="str">
        <f t="shared" ref="P2242:P2250" si="2076">IF(O2242&lt;&gt;"",VLOOKUP(D2242,base_datos,6,FALSE),"")</f>
        <v/>
      </c>
      <c r="Q2242" s="120" t="str">
        <f t="shared" ref="Q2242:Q2250" si="2077">IF(O2242&lt;&gt;"",D2242,"")</f>
        <v/>
      </c>
    </row>
    <row r="2243" spans="1:18" s="185" customFormat="1">
      <c r="A2243" s="687" t="s">
        <v>4136</v>
      </c>
      <c r="B2243" s="1910">
        <v>3</v>
      </c>
      <c r="C2243" s="1911" t="str">
        <f>VLOOKUP(D2243,base_datos,6,FALSE)</f>
        <v>Portalámpara + lampara tipo LED - color Rojo - alimentacion: 220-230Vac, d=22mm. - CL2-523R - línea compacta - marca ABB.</v>
      </c>
      <c r="D2243" s="1790" t="s">
        <v>2439</v>
      </c>
      <c r="E2243" s="1939">
        <f>VLOOKUP(D2243,base_datos,5,FALSE)</f>
        <v>12.299999999999999</v>
      </c>
      <c r="F2243" s="1912">
        <f>+E2243*B2243</f>
        <v>36.9</v>
      </c>
      <c r="G2243" s="710"/>
      <c r="H2243" s="710"/>
      <c r="I2243" s="710"/>
      <c r="J2243" s="711"/>
      <c r="K2243" s="684">
        <f>+K2241</f>
        <v>1</v>
      </c>
      <c r="L2243" s="1913">
        <f>L2241</f>
        <v>1</v>
      </c>
      <c r="M2243" s="684">
        <f t="shared" si="2073"/>
        <v>3</v>
      </c>
      <c r="N2243" s="362">
        <f t="shared" si="2074"/>
        <v>3</v>
      </c>
      <c r="O2243" s="1763" t="str">
        <f t="shared" si="2075"/>
        <v>1SFA619403R5231</v>
      </c>
      <c r="P2243" s="1764" t="str">
        <f t="shared" si="2076"/>
        <v>Portalámpara + lampara tipo LED - color Rojo - alimentacion: 220-230Vac, d=22mm. - CL2-523R - línea compacta - marca ABB.</v>
      </c>
      <c r="Q2243" s="120" t="str">
        <f t="shared" si="2077"/>
        <v>LAMP_ROJO_220V</v>
      </c>
    </row>
    <row r="2244" spans="1:18" s="185" customFormat="1">
      <c r="A2244" s="687"/>
      <c r="B2244" s="1910">
        <v>3</v>
      </c>
      <c r="C2244" s="1911" t="str">
        <f>VLOOKUP(D2244,base_datos,6,FALSE)</f>
        <v>Portalámpara + lampara tipo LED - color Verde - alimentacion: 220-230Vac, d=22mm. - CL2-523G - línea compacta - marca ABB.</v>
      </c>
      <c r="D2244" s="1790" t="s">
        <v>2440</v>
      </c>
      <c r="E2244" s="1939">
        <f>VLOOKUP(D2244,base_datos,5,FALSE)</f>
        <v>12.299999999999999</v>
      </c>
      <c r="F2244" s="1912">
        <f>+E2244*B2244</f>
        <v>36.9</v>
      </c>
      <c r="G2244" s="710"/>
      <c r="H2244" s="710"/>
      <c r="I2244" s="710"/>
      <c r="J2244" s="711"/>
      <c r="K2244" s="684">
        <f>+K2242</f>
        <v>1</v>
      </c>
      <c r="L2244" s="1913">
        <f>L2242</f>
        <v>1</v>
      </c>
      <c r="M2244" s="684">
        <f t="shared" si="2073"/>
        <v>3</v>
      </c>
      <c r="N2244" s="362">
        <f t="shared" si="2074"/>
        <v>3</v>
      </c>
      <c r="O2244" s="1763" t="str">
        <f t="shared" si="2075"/>
        <v>1SFA619403R5232</v>
      </c>
      <c r="P2244" s="1764" t="str">
        <f t="shared" si="2076"/>
        <v>Portalámpara + lampara tipo LED - color Verde - alimentacion: 220-230Vac, d=22mm. - CL2-523G - línea compacta - marca ABB.</v>
      </c>
      <c r="Q2244" s="120" t="str">
        <f t="shared" si="2077"/>
        <v>LAMP_VERDE_220V</v>
      </c>
    </row>
    <row r="2245" spans="1:18" s="1921" customFormat="1">
      <c r="A2245" s="687" t="s">
        <v>12356</v>
      </c>
      <c r="B2245" s="1914">
        <v>1</v>
      </c>
      <c r="C2245" s="1915" t="s">
        <v>3366</v>
      </c>
      <c r="D2245" s="1916"/>
      <c r="E2245" s="1917"/>
      <c r="F2245" s="1918"/>
      <c r="G2245" s="1919"/>
      <c r="H2245" s="1919"/>
      <c r="I2245" s="1919"/>
      <c r="J2245" s="1920"/>
      <c r="K2245" s="684">
        <f t="shared" si="2072"/>
        <v>1</v>
      </c>
      <c r="L2245" s="1913">
        <f>L2244</f>
        <v>1</v>
      </c>
      <c r="M2245" s="684">
        <f t="shared" si="2073"/>
        <v>1</v>
      </c>
      <c r="N2245" s="362" t="str">
        <f t="shared" si="2074"/>
        <v/>
      </c>
      <c r="O2245" s="1763" t="str">
        <f t="shared" si="2075"/>
        <v/>
      </c>
      <c r="P2245" s="1764" t="str">
        <f t="shared" si="2076"/>
        <v/>
      </c>
      <c r="Q2245" s="120" t="str">
        <f t="shared" si="2077"/>
        <v/>
      </c>
    </row>
    <row r="2246" spans="1:18" s="320" customFormat="1">
      <c r="A2246" s="687" t="s">
        <v>12379</v>
      </c>
      <c r="B2246" s="1922">
        <v>1</v>
      </c>
      <c r="C2246" s="721" t="str">
        <f>VLOOKUP(D2246,base_datos,6,FALSE)</f>
        <v>Rele auxiliar enchufable +4NA/NC (D2PR4B + base D2PA6), 220Vac - marca EATON.</v>
      </c>
      <c r="D2246" s="1579" t="s">
        <v>772</v>
      </c>
      <c r="E2246" s="1581">
        <f>VLOOKUP(D2246,base_datos,5,FALSE)</f>
        <v>27</v>
      </c>
      <c r="F2246" s="1923">
        <f>+E2246*B2246</f>
        <v>27</v>
      </c>
      <c r="G2246" s="1924"/>
      <c r="H2246" s="1924"/>
      <c r="I2246" s="1924"/>
      <c r="J2246" s="722"/>
      <c r="K2246" s="684">
        <f>+K2243</f>
        <v>1</v>
      </c>
      <c r="L2246" s="1913">
        <f>L2243</f>
        <v>1</v>
      </c>
      <c r="M2246" s="684">
        <f t="shared" si="2073"/>
        <v>1</v>
      </c>
      <c r="N2246" s="362">
        <f t="shared" si="2074"/>
        <v>1</v>
      </c>
      <c r="O2246" s="1763" t="str">
        <f t="shared" si="2075"/>
        <v>D2PR4B+D2PA6</v>
      </c>
      <c r="P2246" s="1764" t="str">
        <f t="shared" si="2076"/>
        <v>Rele auxiliar enchufable +4NA/NC (D2PR4B + base D2PA6), 220Vac - marca EATON.</v>
      </c>
      <c r="Q2246" s="120" t="str">
        <f t="shared" si="2077"/>
        <v>D2PR4B+D2PA6</v>
      </c>
    </row>
    <row r="2247" spans="1:18" s="320" customFormat="1">
      <c r="A2247" s="1767"/>
      <c r="B2247" s="2131">
        <v>1</v>
      </c>
      <c r="C2247" s="2132" t="s">
        <v>12558</v>
      </c>
      <c r="D2247" s="2133"/>
      <c r="E2247" s="2134">
        <v>32</v>
      </c>
      <c r="F2247" s="2134">
        <f>+E2247*B2247</f>
        <v>32</v>
      </c>
      <c r="G2247" s="1924"/>
      <c r="H2247" s="1924"/>
      <c r="I2247" s="1924"/>
      <c r="J2247" s="722"/>
      <c r="K2247" s="684">
        <f t="shared" ref="K2247:K2298" si="2078">+K2244</f>
        <v>1</v>
      </c>
      <c r="L2247" s="1913">
        <f>L2244</f>
        <v>1</v>
      </c>
      <c r="M2247" s="684">
        <f t="shared" si="2073"/>
        <v>1</v>
      </c>
      <c r="N2247" s="362" t="str">
        <f t="shared" si="2074"/>
        <v/>
      </c>
      <c r="O2247" s="1763" t="str">
        <f t="shared" si="2075"/>
        <v/>
      </c>
      <c r="P2247" s="1764" t="str">
        <f t="shared" si="2076"/>
        <v/>
      </c>
      <c r="Q2247" s="120" t="str">
        <f t="shared" si="2077"/>
        <v/>
      </c>
    </row>
    <row r="2248" spans="1:18" s="320" customFormat="1">
      <c r="A2248" s="687" t="s">
        <v>12551</v>
      </c>
      <c r="B2248" s="1922">
        <v>4</v>
      </c>
      <c r="C2248" s="721" t="str">
        <f>VLOOKUP(D2248,base_datos,6,FALSE)</f>
        <v>Base portafusibles + Fusibles de protección para control.</v>
      </c>
      <c r="D2248" s="1579" t="s">
        <v>453</v>
      </c>
      <c r="E2248" s="1581">
        <f>VLOOKUP(D2248,base_datos,5,FALSE)</f>
        <v>8.1750000000000007</v>
      </c>
      <c r="F2248" s="1923">
        <f>+E2248*B2248</f>
        <v>32.700000000000003</v>
      </c>
      <c r="G2248" s="1924"/>
      <c r="H2248" s="1924"/>
      <c r="I2248" s="1924"/>
      <c r="J2248" s="722"/>
      <c r="K2248" s="684">
        <f t="shared" si="2078"/>
        <v>1</v>
      </c>
      <c r="L2248" s="1913">
        <f>L2245</f>
        <v>1</v>
      </c>
      <c r="M2248" s="684">
        <f t="shared" si="2073"/>
        <v>4</v>
      </c>
      <c r="N2248" s="362" t="str">
        <f t="shared" si="2074"/>
        <v/>
      </c>
      <c r="O2248" s="1763" t="str">
        <f t="shared" si="2075"/>
        <v/>
      </c>
      <c r="P2248" s="1764" t="str">
        <f t="shared" si="2076"/>
        <v/>
      </c>
      <c r="Q2248" s="120" t="str">
        <f t="shared" si="2077"/>
        <v/>
      </c>
    </row>
    <row r="2249" spans="1:18" s="315" customFormat="1">
      <c r="A2249" s="687" t="s">
        <v>3542</v>
      </c>
      <c r="B2249" s="1906"/>
      <c r="C2249" s="1907"/>
      <c r="D2249" s="1935"/>
      <c r="E2249" s="1786"/>
      <c r="F2249" s="1936"/>
      <c r="G2249" s="712"/>
      <c r="H2249" s="712"/>
      <c r="I2249" s="712"/>
      <c r="J2249" s="713"/>
      <c r="K2249" s="684">
        <f t="shared" si="2078"/>
        <v>1</v>
      </c>
      <c r="L2249" s="1909">
        <f>B2249</f>
        <v>0</v>
      </c>
      <c r="M2249" s="684">
        <f t="shared" si="2073"/>
        <v>1</v>
      </c>
      <c r="N2249" s="362" t="str">
        <f t="shared" si="2074"/>
        <v/>
      </c>
      <c r="O2249" s="1763" t="str">
        <f t="shared" si="2075"/>
        <v/>
      </c>
      <c r="P2249" s="1764" t="str">
        <f t="shared" si="2076"/>
        <v/>
      </c>
      <c r="Q2249" s="120" t="str">
        <f t="shared" si="2077"/>
        <v/>
      </c>
    </row>
    <row r="2250" spans="1:18" s="185" customFormat="1" ht="13.5" customHeight="1">
      <c r="A2250" s="1771"/>
      <c r="B2250" s="1922"/>
      <c r="C2250" s="1956" t="s">
        <v>12368</v>
      </c>
      <c r="D2250" s="1579"/>
      <c r="E2250" s="1957"/>
      <c r="F2250" s="1958"/>
      <c r="G2250" s="710"/>
      <c r="H2250" s="710"/>
      <c r="I2250" s="710"/>
      <c r="J2250" s="711"/>
      <c r="K2250" s="684">
        <f t="shared" si="2078"/>
        <v>1</v>
      </c>
      <c r="L2250" s="708">
        <v>1</v>
      </c>
      <c r="M2250" s="684">
        <f t="shared" si="2073"/>
        <v>1</v>
      </c>
      <c r="N2250" s="362" t="str">
        <f t="shared" si="2074"/>
        <v/>
      </c>
      <c r="O2250" s="1763" t="str">
        <f t="shared" si="2075"/>
        <v/>
      </c>
      <c r="P2250" s="1764" t="str">
        <f t="shared" si="2076"/>
        <v/>
      </c>
      <c r="Q2250" s="120" t="str">
        <f t="shared" si="2077"/>
        <v/>
      </c>
    </row>
    <row r="2251" spans="1:18" s="120" customFormat="1" ht="18" customHeight="1">
      <c r="A2251" s="1785"/>
      <c r="B2251" s="1781"/>
      <c r="C2251" s="1218" t="s">
        <v>3158</v>
      </c>
      <c r="D2251" s="1900"/>
      <c r="E2251" s="1791"/>
      <c r="F2251" s="1782"/>
      <c r="G2251" s="686"/>
      <c r="H2251" s="686"/>
      <c r="I2251" s="686"/>
      <c r="J2251" s="688"/>
      <c r="K2251" s="684">
        <f t="shared" si="2078"/>
        <v>1</v>
      </c>
      <c r="L2251" s="708">
        <v>1</v>
      </c>
      <c r="M2251" s="684">
        <f t="shared" si="2073"/>
        <v>1</v>
      </c>
      <c r="N2251" s="362" t="str">
        <f t="shared" si="1945"/>
        <v/>
      </c>
      <c r="O2251" s="1763" t="str">
        <f t="shared" si="1946"/>
        <v/>
      </c>
      <c r="P2251" s="1764" t="str">
        <f t="shared" si="1947"/>
        <v/>
      </c>
      <c r="Q2251" s="120" t="str">
        <f t="shared" si="1948"/>
        <v/>
      </c>
      <c r="R2251" s="185"/>
    </row>
    <row r="2252" spans="1:18" s="690" customFormat="1" ht="18" customHeight="1">
      <c r="A2252" s="1785"/>
      <c r="B2252" s="2096">
        <v>1</v>
      </c>
      <c r="C2252" s="1420" t="str">
        <f>VLOOKUP(D2252,base_datos,6,FALSE)</f>
        <v>ITM Caja Moldeada 3x25A (reg.[0.7-1.0] In)  - XT1B160-25A-3P-TMD - 25kA@230Vac,18kA@415Vac, 18kA@250Vdc - marca ABB.</v>
      </c>
      <c r="D2252" s="1901" t="s">
        <v>4362</v>
      </c>
      <c r="E2252" s="1791">
        <f>VLOOKUP(D2252,base_datos,5,FALSE)</f>
        <v>120.37</v>
      </c>
      <c r="F2252" s="1782">
        <f>+E2252*B2252</f>
        <v>120.37</v>
      </c>
      <c r="G2252" s="1761"/>
      <c r="H2252" s="1761"/>
      <c r="I2252" s="1761"/>
      <c r="J2252" s="689"/>
      <c r="K2252" s="684">
        <f t="shared" si="2078"/>
        <v>1</v>
      </c>
      <c r="L2252" s="708">
        <v>1</v>
      </c>
      <c r="M2252" s="684">
        <f t="shared" si="2073"/>
        <v>1</v>
      </c>
      <c r="N2252" s="362">
        <f t="shared" si="1945"/>
        <v>1</v>
      </c>
      <c r="O2252" s="1763" t="str">
        <f t="shared" si="1946"/>
        <v>1SDA066801R1</v>
      </c>
      <c r="P2252" s="1764" t="str">
        <f t="shared" si="1947"/>
        <v>ITM Caja Moldeada 3x25A (reg.[0.7-1.0] In)  - XT1B160-25A-3P-TMD - 25kA@230Vac,18kA@415Vac, 18kA@250Vdc - marca ABB.</v>
      </c>
      <c r="Q2252" s="120" t="str">
        <f t="shared" si="1948"/>
        <v>XT1B160-25A-3P-TMD</v>
      </c>
      <c r="R2252" s="185"/>
    </row>
    <row r="2253" spans="1:18" s="185" customFormat="1" ht="18" customHeight="1">
      <c r="A2253" s="687"/>
      <c r="B2253" s="714"/>
      <c r="C2253" s="1893" t="s">
        <v>729</v>
      </c>
      <c r="D2253" s="173"/>
      <c r="E2253" s="1581"/>
      <c r="F2253" s="1581"/>
      <c r="G2253" s="710"/>
      <c r="H2253" s="710"/>
      <c r="I2253" s="710"/>
      <c r="J2253" s="711"/>
      <c r="K2253" s="684">
        <f t="shared" si="2078"/>
        <v>1</v>
      </c>
      <c r="L2253" s="708">
        <v>1</v>
      </c>
      <c r="M2253" s="684">
        <f t="shared" si="2073"/>
        <v>1</v>
      </c>
      <c r="N2253" s="362" t="str">
        <f t="shared" si="1945"/>
        <v/>
      </c>
      <c r="O2253" s="1763" t="str">
        <f t="shared" si="1946"/>
        <v/>
      </c>
      <c r="P2253" s="1764" t="str">
        <f t="shared" si="1947"/>
        <v/>
      </c>
      <c r="Q2253" s="120" t="str">
        <f t="shared" si="1948"/>
        <v/>
      </c>
      <c r="R2253" s="1765"/>
    </row>
    <row r="2254" spans="1:18" s="690" customFormat="1" ht="18" customHeight="1">
      <c r="A2254" s="1771"/>
      <c r="B2254" s="1851"/>
      <c r="C2254" s="1966" t="s">
        <v>9431</v>
      </c>
      <c r="D2254" s="1582"/>
      <c r="E2254" s="1780"/>
      <c r="F2254" s="1782"/>
      <c r="G2254" s="1761"/>
      <c r="H2254" s="1761"/>
      <c r="I2254" s="1761"/>
      <c r="J2254" s="689"/>
      <c r="K2254" s="684">
        <f t="shared" si="2078"/>
        <v>1</v>
      </c>
      <c r="L2254" s="708">
        <v>1</v>
      </c>
      <c r="M2254" s="709">
        <f t="shared" si="2073"/>
        <v>1</v>
      </c>
      <c r="N2254" s="362" t="str">
        <f t="shared" ref="N2254:N2272" si="2079">IF(O2254&lt;&gt;"",K2254*L2254*M2254,"")</f>
        <v/>
      </c>
      <c r="O2254" s="1763" t="str">
        <f t="shared" ref="O2254:O2272" si="2080">IF(D2254&lt;&gt;"",IF(VLOOKUP(D2254,base_datos,7,FALSE)&lt;&gt;"",VLOOKUP(D2254,base_datos,7,FALSE),""),"")</f>
        <v/>
      </c>
      <c r="P2254" s="1764" t="str">
        <f t="shared" ref="P2254:P2272" si="2081">IF(O2254&lt;&gt;"",VLOOKUP(D2254,base_datos,6,FALSE),"")</f>
        <v/>
      </c>
      <c r="Q2254" s="120" t="str">
        <f t="shared" ref="Q2254:Q2272" si="2082">IF(O2254&lt;&gt;"",D2254,"")</f>
        <v/>
      </c>
      <c r="R2254" s="185"/>
    </row>
    <row r="2255" spans="1:18" s="690" customFormat="1" ht="18" customHeight="1">
      <c r="A2255" s="1785"/>
      <c r="B2255" s="1781">
        <v>2</v>
      </c>
      <c r="C2255" s="1960" t="str">
        <f t="shared" ref="C2255" si="2083">VLOOKUP(D2255,base_datos,6,FALSE)</f>
        <v>ITM Caja Moldeada 3x16A (reg.[0.7-1.0] In) - XT1B160-16A-3P-TMD - 25kA@230Vac, 18kA@415Vac, 18kA@250Vdc - marca ABB.</v>
      </c>
      <c r="D2255" s="1901" t="s">
        <v>4358</v>
      </c>
      <c r="E2255" s="1791">
        <f t="shared" ref="E2255" si="2084">VLOOKUP(D2255,base_datos,5,FALSE)</f>
        <v>120.37</v>
      </c>
      <c r="F2255" s="1782">
        <f t="shared" ref="F2255:F2256" si="2085">+E2255*B2255</f>
        <v>240.74</v>
      </c>
      <c r="G2255" s="1761"/>
      <c r="H2255" s="1761"/>
      <c r="I2255" s="1761"/>
      <c r="J2255" s="1783"/>
      <c r="K2255" s="684">
        <f t="shared" si="2078"/>
        <v>1</v>
      </c>
      <c r="L2255" s="708">
        <v>1</v>
      </c>
      <c r="M2255" s="709">
        <f t="shared" si="2073"/>
        <v>2</v>
      </c>
      <c r="N2255" s="362">
        <f t="shared" si="2079"/>
        <v>2</v>
      </c>
      <c r="O2255" s="1763" t="str">
        <f t="shared" si="2080"/>
        <v>1SDA066799R1</v>
      </c>
      <c r="P2255" s="1764" t="str">
        <f t="shared" si="2081"/>
        <v>ITM Caja Moldeada 3x16A (reg.[0.7-1.0] In) - XT1B160-16A-3P-TMD - 25kA@230Vac, 18kA@415Vac, 18kA@250Vdc - marca ABB.</v>
      </c>
      <c r="Q2255" s="120" t="str">
        <f t="shared" si="2082"/>
        <v>XT1B160-16A-3P-TMD</v>
      </c>
      <c r="R2255" s="185"/>
    </row>
    <row r="2256" spans="1:18" s="695" customFormat="1">
      <c r="A2256" s="687"/>
      <c r="B2256" s="1967">
        <v>1</v>
      </c>
      <c r="C2256" s="1946">
        <v>6</v>
      </c>
      <c r="D2256" s="1582"/>
      <c r="E2256" s="2000">
        <v>24</v>
      </c>
      <c r="F2256" s="1968">
        <f t="shared" si="2085"/>
        <v>24</v>
      </c>
      <c r="G2256" s="1969"/>
      <c r="H2256" s="1969"/>
      <c r="I2256" s="1969"/>
      <c r="J2256" s="1970"/>
      <c r="K2256" s="684">
        <f t="shared" si="2078"/>
        <v>1</v>
      </c>
      <c r="L2256" s="708">
        <v>1</v>
      </c>
      <c r="M2256" s="709">
        <f t="shared" si="2073"/>
        <v>1</v>
      </c>
      <c r="N2256" s="362" t="str">
        <f t="shared" si="2079"/>
        <v/>
      </c>
      <c r="O2256" s="1763" t="str">
        <f t="shared" si="2080"/>
        <v/>
      </c>
      <c r="P2256" s="1764" t="str">
        <f t="shared" si="2081"/>
        <v/>
      </c>
      <c r="Q2256" s="120" t="str">
        <f t="shared" si="2082"/>
        <v/>
      </c>
    </row>
    <row r="2257" spans="1:18" s="185" customFormat="1" ht="18" customHeight="1">
      <c r="A2257" s="687"/>
      <c r="B2257" s="714"/>
      <c r="C2257" s="1893" t="s">
        <v>729</v>
      </c>
      <c r="D2257" s="173"/>
      <c r="E2257" s="1581"/>
      <c r="F2257" s="1581"/>
      <c r="G2257" s="710"/>
      <c r="H2257" s="710"/>
      <c r="I2257" s="710"/>
      <c r="J2257" s="711"/>
      <c r="K2257" s="684">
        <f t="shared" si="2078"/>
        <v>1</v>
      </c>
      <c r="L2257" s="708">
        <v>1</v>
      </c>
      <c r="M2257" s="684">
        <f t="shared" ref="M2257" si="2086">IF(B2257="",1,B2257)</f>
        <v>1</v>
      </c>
      <c r="N2257" s="362" t="str">
        <f t="shared" si="2079"/>
        <v/>
      </c>
      <c r="O2257" s="1763" t="str">
        <f t="shared" si="2080"/>
        <v/>
      </c>
      <c r="P2257" s="1764" t="str">
        <f t="shared" si="2081"/>
        <v/>
      </c>
      <c r="Q2257" s="120" t="str">
        <f t="shared" si="2082"/>
        <v/>
      </c>
      <c r="R2257" s="1765"/>
    </row>
    <row r="2258" spans="1:18" s="690" customFormat="1" ht="18" customHeight="1">
      <c r="A2258" s="1785"/>
      <c r="B2258" s="1851"/>
      <c r="C2258" s="1966" t="s">
        <v>12546</v>
      </c>
      <c r="D2258" s="1582"/>
      <c r="E2258" s="1780"/>
      <c r="F2258" s="1782"/>
      <c r="G2258" s="1761"/>
      <c r="H2258" s="1761"/>
      <c r="I2258" s="1761"/>
      <c r="J2258" s="689"/>
      <c r="K2258" s="684">
        <f>+K2254</f>
        <v>1</v>
      </c>
      <c r="L2258" s="708">
        <v>1</v>
      </c>
      <c r="M2258" s="709">
        <f t="shared" si="2073"/>
        <v>1</v>
      </c>
      <c r="N2258" s="362" t="str">
        <f t="shared" si="2079"/>
        <v/>
      </c>
      <c r="O2258" s="1763" t="str">
        <f t="shared" si="2080"/>
        <v/>
      </c>
      <c r="P2258" s="1764" t="str">
        <f t="shared" si="2081"/>
        <v/>
      </c>
      <c r="Q2258" s="120" t="str">
        <f t="shared" si="2082"/>
        <v/>
      </c>
      <c r="R2258" s="185"/>
    </row>
    <row r="2259" spans="1:18" s="690" customFormat="1" ht="18" customHeight="1">
      <c r="A2259" s="1785"/>
      <c r="B2259" s="1781">
        <v>2</v>
      </c>
      <c r="C2259" s="1960" t="str">
        <f t="shared" ref="C2259:C2263" si="2087">VLOOKUP(D2259,base_datos,6,FALSE)</f>
        <v>ITM Riel-Din 3x16A - S203-C-16A - 10kA@400Vac-IEC60947-2 - marca ABB.</v>
      </c>
      <c r="D2259" s="2007" t="s">
        <v>984</v>
      </c>
      <c r="E2259" s="1791">
        <f t="shared" ref="E2259:E2263" si="2088">VLOOKUP(D2259,base_datos,5,FALSE)</f>
        <v>32.72</v>
      </c>
      <c r="F2259" s="1782">
        <f t="shared" ref="F2259:F2264" si="2089">+E2259*B2259</f>
        <v>65.44</v>
      </c>
      <c r="G2259" s="1761"/>
      <c r="H2259" s="1761"/>
      <c r="I2259" s="1761"/>
      <c r="J2259" s="1783"/>
      <c r="K2259" s="684">
        <f>+K2255</f>
        <v>1</v>
      </c>
      <c r="L2259" s="708">
        <v>1</v>
      </c>
      <c r="M2259" s="709">
        <f t="shared" si="2073"/>
        <v>2</v>
      </c>
      <c r="N2259" s="362">
        <f t="shared" si="2079"/>
        <v>2</v>
      </c>
      <c r="O2259" s="1763" t="str">
        <f t="shared" si="2080"/>
        <v>2CDS253001R0164</v>
      </c>
      <c r="P2259" s="1764" t="str">
        <f t="shared" si="2081"/>
        <v>ITM Riel-Din 3x16A - S203-C-16A - 10kA@400Vac-IEC60947-2 - marca ABB.</v>
      </c>
      <c r="Q2259" s="120" t="str">
        <f t="shared" si="2082"/>
        <v>S203-C-16A</v>
      </c>
      <c r="R2259" s="185"/>
    </row>
    <row r="2260" spans="1:18" s="690" customFormat="1" ht="18" customHeight="1">
      <c r="A2260" s="1785"/>
      <c r="B2260" s="2023">
        <v>2</v>
      </c>
      <c r="C2260" s="2041" t="str">
        <f t="shared" si="2087"/>
        <v>Interruptor Diferencial 4x25A - 30mA - clase A (inmunizado) - FH204-A-25A-30mA - marca ABB.</v>
      </c>
      <c r="D2260" s="2006" t="s">
        <v>5327</v>
      </c>
      <c r="E2260" s="2025">
        <f t="shared" si="2088"/>
        <v>72.899999999999991</v>
      </c>
      <c r="F2260" s="2026">
        <f t="shared" si="2089"/>
        <v>145.79999999999998</v>
      </c>
      <c r="G2260" s="1761"/>
      <c r="H2260" s="1761"/>
      <c r="I2260" s="1761"/>
      <c r="J2260" s="1783"/>
      <c r="K2260" s="684">
        <f>+K2256</f>
        <v>1</v>
      </c>
      <c r="L2260" s="708">
        <v>1</v>
      </c>
      <c r="M2260" s="709">
        <f t="shared" si="2073"/>
        <v>2</v>
      </c>
      <c r="N2260" s="362">
        <f t="shared" si="2079"/>
        <v>2</v>
      </c>
      <c r="O2260" s="1763" t="str">
        <f t="shared" si="2080"/>
        <v>2CSF204102R1250</v>
      </c>
      <c r="P2260" s="1764" t="str">
        <f t="shared" si="2081"/>
        <v>Interruptor Diferencial 4x25A - 30mA - clase A (inmunizado) - FH204-A-25A-30mA - marca ABB.</v>
      </c>
      <c r="Q2260" s="120" t="str">
        <f t="shared" si="2082"/>
        <v>FH204-A-25A-30mA</v>
      </c>
      <c r="R2260" s="185"/>
    </row>
    <row r="2261" spans="1:18" s="690" customFormat="1" ht="18" customHeight="1">
      <c r="A2261" s="1785"/>
      <c r="B2261" s="1781">
        <v>3</v>
      </c>
      <c r="C2261" s="1960" t="str">
        <f t="shared" si="2087"/>
        <v>ITM Riel-Din 2x16A - S202-C-16A - 10kA@400Vac-IEC60947-2 - marca ABB.</v>
      </c>
      <c r="D2261" s="2007" t="s">
        <v>970</v>
      </c>
      <c r="E2261" s="1791">
        <f t="shared" si="2088"/>
        <v>17.96</v>
      </c>
      <c r="F2261" s="1782">
        <f t="shared" si="2089"/>
        <v>53.88</v>
      </c>
      <c r="G2261" s="1761"/>
      <c r="H2261" s="1761"/>
      <c r="I2261" s="1761"/>
      <c r="J2261" s="1783"/>
      <c r="K2261" s="684">
        <f t="shared" si="2078"/>
        <v>1</v>
      </c>
      <c r="L2261" s="708">
        <v>1</v>
      </c>
      <c r="M2261" s="709">
        <f t="shared" si="2073"/>
        <v>3</v>
      </c>
      <c r="N2261" s="362">
        <f t="shared" si="2079"/>
        <v>3</v>
      </c>
      <c r="O2261" s="1763" t="str">
        <f t="shared" si="2080"/>
        <v>2CDS252001R0164</v>
      </c>
      <c r="P2261" s="1764" t="str">
        <f t="shared" si="2081"/>
        <v>ITM Riel-Din 2x16A - S202-C-16A - 10kA@400Vac-IEC60947-2 - marca ABB.</v>
      </c>
      <c r="Q2261" s="120" t="str">
        <f t="shared" si="2082"/>
        <v>S202-C-16A</v>
      </c>
      <c r="R2261" s="185"/>
    </row>
    <row r="2262" spans="1:18" s="690" customFormat="1" ht="18" customHeight="1">
      <c r="A2262" s="1785"/>
      <c r="B2262" s="2023">
        <v>3</v>
      </c>
      <c r="C2262" s="2041" t="str">
        <f t="shared" si="2087"/>
        <v>Interruptor Diferencial 2x25A - 30mA - clase A (inmunizado) - FH202-A-25A-30mA - marca ABB.</v>
      </c>
      <c r="D2262" s="2006" t="s">
        <v>5318</v>
      </c>
      <c r="E2262" s="2025">
        <f t="shared" si="2088"/>
        <v>50</v>
      </c>
      <c r="F2262" s="2026">
        <f t="shared" si="2089"/>
        <v>150</v>
      </c>
      <c r="G2262" s="1761"/>
      <c r="H2262" s="1761"/>
      <c r="I2262" s="1761"/>
      <c r="J2262" s="1783"/>
      <c r="K2262" s="684">
        <f t="shared" si="2078"/>
        <v>1</v>
      </c>
      <c r="L2262" s="708">
        <v>1</v>
      </c>
      <c r="M2262" s="709">
        <f t="shared" si="2073"/>
        <v>3</v>
      </c>
      <c r="N2262" s="362">
        <f t="shared" si="2079"/>
        <v>3</v>
      </c>
      <c r="O2262" s="1763" t="str">
        <f t="shared" si="2080"/>
        <v>2CSF202102R1250</v>
      </c>
      <c r="P2262" s="1764" t="str">
        <f t="shared" si="2081"/>
        <v>Interruptor Diferencial 2x25A - 30mA - clase A (inmunizado) - FH202-A-25A-30mA - marca ABB.</v>
      </c>
      <c r="Q2262" s="120" t="str">
        <f t="shared" si="2082"/>
        <v>FH202-A-25A-30mA</v>
      </c>
      <c r="R2262" s="185"/>
    </row>
    <row r="2263" spans="1:18" s="690" customFormat="1" ht="18" customHeight="1">
      <c r="A2263" s="1785"/>
      <c r="B2263" s="1781">
        <v>1</v>
      </c>
      <c r="C2263" s="1960" t="str">
        <f t="shared" si="2087"/>
        <v>Espacio de reserva monofasica + interruptor diferencial - Riel-Din.</v>
      </c>
      <c r="D2263" s="2006" t="s">
        <v>2926</v>
      </c>
      <c r="E2263" s="1791">
        <f t="shared" si="2088"/>
        <v>2.5</v>
      </c>
      <c r="F2263" s="1782">
        <f t="shared" si="2089"/>
        <v>2.5</v>
      </c>
      <c r="G2263" s="1761"/>
      <c r="H2263" s="1761"/>
      <c r="I2263" s="1761"/>
      <c r="J2263" s="1783"/>
      <c r="K2263" s="684">
        <f t="shared" si="2078"/>
        <v>1</v>
      </c>
      <c r="L2263" s="708">
        <v>1</v>
      </c>
      <c r="M2263" s="709">
        <f t="shared" si="2073"/>
        <v>1</v>
      </c>
      <c r="N2263" s="362" t="str">
        <f t="shared" si="2079"/>
        <v/>
      </c>
      <c r="O2263" s="1763" t="str">
        <f t="shared" si="2080"/>
        <v/>
      </c>
      <c r="P2263" s="1764" t="str">
        <f t="shared" si="2081"/>
        <v/>
      </c>
      <c r="Q2263" s="120" t="str">
        <f t="shared" si="2082"/>
        <v/>
      </c>
      <c r="R2263" s="185"/>
    </row>
    <row r="2264" spans="1:18" s="695" customFormat="1">
      <c r="A2264" s="687"/>
      <c r="B2264" s="1967">
        <v>1</v>
      </c>
      <c r="C2264" s="1946">
        <v>18</v>
      </c>
      <c r="D2264" s="1582"/>
      <c r="E2264" s="2000">
        <v>59</v>
      </c>
      <c r="F2264" s="1968">
        <f t="shared" si="2089"/>
        <v>59</v>
      </c>
      <c r="G2264" s="1969"/>
      <c r="H2264" s="1969"/>
      <c r="I2264" s="1969"/>
      <c r="J2264" s="1970"/>
      <c r="K2264" s="684">
        <f t="shared" si="2078"/>
        <v>1</v>
      </c>
      <c r="L2264" s="708">
        <v>1</v>
      </c>
      <c r="M2264" s="709">
        <f t="shared" si="2073"/>
        <v>1</v>
      </c>
      <c r="N2264" s="362" t="str">
        <f t="shared" si="2079"/>
        <v/>
      </c>
      <c r="O2264" s="1763" t="str">
        <f t="shared" si="2080"/>
        <v/>
      </c>
      <c r="P2264" s="1764" t="str">
        <f t="shared" si="2081"/>
        <v/>
      </c>
      <c r="Q2264" s="120" t="str">
        <f t="shared" si="2082"/>
        <v/>
      </c>
    </row>
    <row r="2265" spans="1:18" s="185" customFormat="1">
      <c r="A2265" s="1785"/>
      <c r="B2265" s="714"/>
      <c r="C2265" s="1893" t="s">
        <v>729</v>
      </c>
      <c r="D2265" s="1941"/>
      <c r="E2265" s="1786"/>
      <c r="F2265" s="1787"/>
      <c r="G2265" s="710"/>
      <c r="H2265" s="710"/>
      <c r="I2265" s="710"/>
      <c r="J2265" s="711"/>
      <c r="K2265" s="684">
        <f t="shared" si="2078"/>
        <v>1</v>
      </c>
      <c r="L2265" s="708">
        <v>1</v>
      </c>
      <c r="M2265" s="709">
        <f t="shared" si="2073"/>
        <v>1</v>
      </c>
      <c r="N2265" s="362" t="str">
        <f t="shared" si="2079"/>
        <v/>
      </c>
      <c r="O2265" s="1763" t="str">
        <f t="shared" si="2080"/>
        <v/>
      </c>
      <c r="P2265" s="1764" t="str">
        <f t="shared" si="2081"/>
        <v/>
      </c>
      <c r="Q2265" s="120" t="str">
        <f t="shared" si="2082"/>
        <v/>
      </c>
    </row>
    <row r="2266" spans="1:18" s="690" customFormat="1" ht="18" customHeight="1">
      <c r="A2266" s="1785"/>
      <c r="B2266" s="1851"/>
      <c r="C2266" s="1966" t="s">
        <v>12547</v>
      </c>
      <c r="D2266" s="1582"/>
      <c r="E2266" s="1780"/>
      <c r="F2266" s="1782"/>
      <c r="G2266" s="1761"/>
      <c r="H2266" s="1761"/>
      <c r="I2266" s="1761"/>
      <c r="J2266" s="689"/>
      <c r="K2266" s="684">
        <f t="shared" si="2078"/>
        <v>1</v>
      </c>
      <c r="L2266" s="708">
        <v>1</v>
      </c>
      <c r="M2266" s="709">
        <f t="shared" si="2073"/>
        <v>1</v>
      </c>
      <c r="N2266" s="362" t="str">
        <f t="shared" si="2079"/>
        <v/>
      </c>
      <c r="O2266" s="1763" t="str">
        <f t="shared" si="2080"/>
        <v/>
      </c>
      <c r="P2266" s="1764" t="str">
        <f t="shared" si="2081"/>
        <v/>
      </c>
      <c r="Q2266" s="120" t="str">
        <f t="shared" si="2082"/>
        <v/>
      </c>
      <c r="R2266" s="185"/>
    </row>
    <row r="2267" spans="1:18" s="2434" customFormat="1" ht="18" customHeight="1">
      <c r="A2267" s="2462"/>
      <c r="B2267" s="2435">
        <v>7</v>
      </c>
      <c r="C2267" s="2436" t="str">
        <f t="shared" ref="C2267:C2270" si="2090">VLOOKUP(D2267,base_datos,6,FALSE)</f>
        <v>ITM Caja Moldeada 3x16A (reg.[0.7-1.0] In) - XT1B160-16A-3P-TMD - 25kA@230Vac, 18kA@415Vac, 18kA@250Vdc - marca ABB.</v>
      </c>
      <c r="D2267" s="2484" t="s">
        <v>4358</v>
      </c>
      <c r="E2267" s="2482">
        <f t="shared" ref="E2267:E2270" si="2091">VLOOKUP(D2267,base_datos,5,FALSE)</f>
        <v>120.37</v>
      </c>
      <c r="F2267" s="2422">
        <f t="shared" ref="F2267:F2271" si="2092">+E2267*B2267</f>
        <v>842.59</v>
      </c>
      <c r="G2267" s="2424"/>
      <c r="H2267" s="2424"/>
      <c r="I2267" s="2424"/>
      <c r="J2267" s="2425"/>
      <c r="K2267" s="2426">
        <f t="shared" si="2078"/>
        <v>1</v>
      </c>
      <c r="L2267" s="2463">
        <v>1</v>
      </c>
      <c r="M2267" s="2428">
        <f t="shared" si="2073"/>
        <v>7</v>
      </c>
      <c r="N2267" s="2429">
        <f t="shared" si="2079"/>
        <v>7</v>
      </c>
      <c r="O2267" s="2430" t="str">
        <f t="shared" si="2080"/>
        <v>1SDA066799R1</v>
      </c>
      <c r="P2267" s="2431" t="str">
        <f t="shared" si="2081"/>
        <v>ITM Caja Moldeada 3x16A (reg.[0.7-1.0] In) - XT1B160-16A-3P-TMD - 25kA@230Vac, 18kA@415Vac, 18kA@250Vdc - marca ABB.</v>
      </c>
      <c r="Q2267" s="2432" t="str">
        <f t="shared" si="2082"/>
        <v>XT1B160-16A-3P-TMD</v>
      </c>
      <c r="R2267" s="2433"/>
    </row>
    <row r="2268" spans="1:18" s="690" customFormat="1" ht="18" customHeight="1">
      <c r="A2268" s="1785"/>
      <c r="B2268" s="1781">
        <v>2</v>
      </c>
      <c r="C2268" s="1960" t="str">
        <f t="shared" si="2090"/>
        <v>ITM Riel-Din 2x16A - S202-C-16A - 10kA@400Vac-IEC60947-2 - marca ABB.</v>
      </c>
      <c r="D2268" s="2007" t="s">
        <v>970</v>
      </c>
      <c r="E2268" s="1791">
        <f t="shared" si="2091"/>
        <v>17.96</v>
      </c>
      <c r="F2268" s="1782">
        <f t="shared" si="2092"/>
        <v>35.92</v>
      </c>
      <c r="G2268" s="1761"/>
      <c r="H2268" s="1761"/>
      <c r="I2268" s="1761"/>
      <c r="J2268" s="1783"/>
      <c r="K2268" s="684">
        <f t="shared" si="2078"/>
        <v>1</v>
      </c>
      <c r="L2268" s="708">
        <v>1</v>
      </c>
      <c r="M2268" s="709">
        <f t="shared" si="2073"/>
        <v>2</v>
      </c>
      <c r="N2268" s="362">
        <f t="shared" si="2079"/>
        <v>2</v>
      </c>
      <c r="O2268" s="1763" t="str">
        <f t="shared" si="2080"/>
        <v>2CDS252001R0164</v>
      </c>
      <c r="P2268" s="1764" t="str">
        <f t="shared" si="2081"/>
        <v>ITM Riel-Din 2x16A - S202-C-16A - 10kA@400Vac-IEC60947-2 - marca ABB.</v>
      </c>
      <c r="Q2268" s="120" t="str">
        <f t="shared" si="2082"/>
        <v>S202-C-16A</v>
      </c>
      <c r="R2268" s="185"/>
    </row>
    <row r="2269" spans="1:18" s="690" customFormat="1" ht="18" customHeight="1">
      <c r="A2269" s="1785"/>
      <c r="B2269" s="2023">
        <v>2</v>
      </c>
      <c r="C2269" s="2041" t="str">
        <f t="shared" si="2090"/>
        <v>Interruptor Diferencial 2x25A - 30mA - clase A (inmunizado) - FH202-A-25A-30mA - marca ABB.</v>
      </c>
      <c r="D2269" s="2006" t="s">
        <v>5318</v>
      </c>
      <c r="E2269" s="2025">
        <f t="shared" si="2091"/>
        <v>50</v>
      </c>
      <c r="F2269" s="2026">
        <f t="shared" si="2092"/>
        <v>100</v>
      </c>
      <c r="G2269" s="1761"/>
      <c r="H2269" s="1761"/>
      <c r="I2269" s="1761"/>
      <c r="J2269" s="1783"/>
      <c r="K2269" s="684">
        <f t="shared" si="2078"/>
        <v>1</v>
      </c>
      <c r="L2269" s="708">
        <v>1</v>
      </c>
      <c r="M2269" s="709">
        <f t="shared" si="2073"/>
        <v>2</v>
      </c>
      <c r="N2269" s="362">
        <f t="shared" si="2079"/>
        <v>2</v>
      </c>
      <c r="O2269" s="1763" t="str">
        <f t="shared" si="2080"/>
        <v>2CSF202102R1250</v>
      </c>
      <c r="P2269" s="1764" t="str">
        <f t="shared" si="2081"/>
        <v>Interruptor Diferencial 2x25A - 30mA - clase A (inmunizado) - FH202-A-25A-30mA - marca ABB.</v>
      </c>
      <c r="Q2269" s="120" t="str">
        <f t="shared" si="2082"/>
        <v>FH202-A-25A-30mA</v>
      </c>
      <c r="R2269" s="185"/>
    </row>
    <row r="2270" spans="1:18" s="690" customFormat="1" ht="18" customHeight="1">
      <c r="A2270" s="1785"/>
      <c r="B2270" s="1781">
        <v>1</v>
      </c>
      <c r="C2270" s="1960" t="str">
        <f t="shared" si="2090"/>
        <v>Espacio de reserva monofasica + interruptor diferencial - Riel-Din.</v>
      </c>
      <c r="D2270" s="2006" t="s">
        <v>2926</v>
      </c>
      <c r="E2270" s="1791">
        <f t="shared" si="2091"/>
        <v>2.5</v>
      </c>
      <c r="F2270" s="1782">
        <f t="shared" si="2092"/>
        <v>2.5</v>
      </c>
      <c r="G2270" s="1761"/>
      <c r="H2270" s="1761"/>
      <c r="I2270" s="1761"/>
      <c r="J2270" s="1783"/>
      <c r="K2270" s="684">
        <f t="shared" si="2078"/>
        <v>1</v>
      </c>
      <c r="L2270" s="708">
        <v>1</v>
      </c>
      <c r="M2270" s="709">
        <f t="shared" si="2073"/>
        <v>1</v>
      </c>
      <c r="N2270" s="362" t="str">
        <f t="shared" si="2079"/>
        <v/>
      </c>
      <c r="O2270" s="1763" t="str">
        <f t="shared" si="2080"/>
        <v/>
      </c>
      <c r="P2270" s="1764" t="str">
        <f t="shared" si="2081"/>
        <v/>
      </c>
      <c r="Q2270" s="120" t="str">
        <f t="shared" si="2082"/>
        <v/>
      </c>
      <c r="R2270" s="185"/>
    </row>
    <row r="2271" spans="1:18" s="695" customFormat="1">
      <c r="A2271" s="687"/>
      <c r="B2271" s="1967">
        <v>1</v>
      </c>
      <c r="C2271" s="1946">
        <v>30</v>
      </c>
      <c r="D2271" s="1582"/>
      <c r="E2271" s="2000">
        <v>81</v>
      </c>
      <c r="F2271" s="1968">
        <f t="shared" si="2092"/>
        <v>81</v>
      </c>
      <c r="G2271" s="1969"/>
      <c r="H2271" s="1969"/>
      <c r="I2271" s="1969"/>
      <c r="J2271" s="1970"/>
      <c r="K2271" s="684">
        <f t="shared" si="2078"/>
        <v>1</v>
      </c>
      <c r="L2271" s="363">
        <v>1</v>
      </c>
      <c r="M2271" s="709">
        <f t="shared" si="2073"/>
        <v>1</v>
      </c>
      <c r="N2271" s="362" t="str">
        <f t="shared" si="2079"/>
        <v/>
      </c>
      <c r="O2271" s="1763" t="str">
        <f t="shared" si="2080"/>
        <v/>
      </c>
      <c r="P2271" s="1764" t="str">
        <f t="shared" si="2081"/>
        <v/>
      </c>
      <c r="Q2271" s="120" t="str">
        <f t="shared" si="2082"/>
        <v/>
      </c>
    </row>
    <row r="2272" spans="1:18" s="185" customFormat="1">
      <c r="A2272" s="1785"/>
      <c r="B2272" s="714"/>
      <c r="C2272" s="1893" t="s">
        <v>729</v>
      </c>
      <c r="D2272" s="1941"/>
      <c r="E2272" s="1786"/>
      <c r="F2272" s="1787"/>
      <c r="G2272" s="710"/>
      <c r="H2272" s="710"/>
      <c r="I2272" s="710"/>
      <c r="J2272" s="711"/>
      <c r="K2272" s="684">
        <f t="shared" si="2078"/>
        <v>1</v>
      </c>
      <c r="L2272" s="363">
        <v>1</v>
      </c>
      <c r="M2272" s="709">
        <f t="shared" si="2073"/>
        <v>1</v>
      </c>
      <c r="N2272" s="362" t="str">
        <f t="shared" si="2079"/>
        <v/>
      </c>
      <c r="O2272" s="1763" t="str">
        <f t="shared" si="2080"/>
        <v/>
      </c>
      <c r="P2272" s="1764" t="str">
        <f t="shared" si="2081"/>
        <v/>
      </c>
      <c r="Q2272" s="120" t="str">
        <f t="shared" si="2082"/>
        <v/>
      </c>
    </row>
    <row r="2273" spans="1:20" s="315" customFormat="1">
      <c r="A2273" s="1785"/>
      <c r="B2273" s="355">
        <v>2</v>
      </c>
      <c r="C2273" s="1944" t="s">
        <v>13041</v>
      </c>
      <c r="D2273" s="1941"/>
      <c r="E2273" s="1786"/>
      <c r="F2273" s="1908">
        <f>SUM(F2274:F2279)*(B2273-1)</f>
        <v>52.984999999999999</v>
      </c>
      <c r="G2273" s="712"/>
      <c r="H2273" s="712"/>
      <c r="I2273" s="712"/>
      <c r="J2273" s="713"/>
      <c r="K2273" s="684">
        <f t="shared" si="2078"/>
        <v>1</v>
      </c>
      <c r="L2273" s="2224">
        <f>B2273</f>
        <v>2</v>
      </c>
      <c r="M2273" s="709">
        <f>IF(B2273="",1,B2273)</f>
        <v>2</v>
      </c>
      <c r="N2273" s="362" t="str">
        <f t="shared" ref="N2273:N2325" si="2093">IF(O2273&lt;&gt;"",K2273*L2273*M2273,"")</f>
        <v/>
      </c>
      <c r="O2273" s="1763" t="str">
        <f t="shared" ref="O2273:O2325" si="2094">IF(D2273&lt;&gt;"",IF(VLOOKUP(D2273,base_datos,7,FALSE)&lt;&gt;"",VLOOKUP(D2273,base_datos,7,FALSE),""),"")</f>
        <v/>
      </c>
      <c r="P2273" s="1764" t="str">
        <f t="shared" ref="P2273:P2325" si="2095">IF(O2273&lt;&gt;"",VLOOKUP(D2273,base_datos,6,FALSE),"")</f>
        <v/>
      </c>
      <c r="Q2273" s="120" t="str">
        <f t="shared" ref="Q2273:Q2325" si="2096">IF(O2273&lt;&gt;"",D2273,"")</f>
        <v/>
      </c>
    </row>
    <row r="2274" spans="1:20" s="690" customFormat="1" ht="18" customHeight="1">
      <c r="A2274" s="691"/>
      <c r="B2274" s="1781">
        <v>1</v>
      </c>
      <c r="C2274" s="1420" t="str">
        <f>VLOOKUP(D2274,base_datos,6,FALSE)</f>
        <v>Contactor 3x09A(AC-3) / 3x25A(AC-1) +1NA - AF09-30-10-13 - bobina 100-250Vac/dc - marca ABB.</v>
      </c>
      <c r="D2274" s="1901" t="s">
        <v>1447</v>
      </c>
      <c r="E2274" s="1791">
        <f>VLOOKUP(D2274,base_datos,5,FALSE)</f>
        <v>29.89</v>
      </c>
      <c r="F2274" s="1912">
        <f>+E2274*B2274</f>
        <v>29.89</v>
      </c>
      <c r="G2274" s="1761"/>
      <c r="H2274" s="1761"/>
      <c r="I2274" s="1761"/>
      <c r="J2274" s="1783"/>
      <c r="K2274" s="684">
        <f t="shared" si="2078"/>
        <v>1</v>
      </c>
      <c r="L2274" s="1913">
        <f>L2273</f>
        <v>2</v>
      </c>
      <c r="M2274" s="709">
        <f t="shared" ref="M2274:M2286" si="2097">IF(B2274="",1,B2274)</f>
        <v>1</v>
      </c>
      <c r="N2274" s="362">
        <f t="shared" si="2093"/>
        <v>2</v>
      </c>
      <c r="O2274" s="1763" t="str">
        <f t="shared" si="2094"/>
        <v>1SBL137001R1310</v>
      </c>
      <c r="P2274" s="1764" t="str">
        <f t="shared" si="2095"/>
        <v>Contactor 3x09A(AC-3) / 3x25A(AC-1) +1NA - AF09-30-10-13 - bobina 100-250Vac/dc - marca ABB.</v>
      </c>
      <c r="Q2274" s="120" t="str">
        <f t="shared" si="2096"/>
        <v>AF09-30-10-13_3p</v>
      </c>
      <c r="R2274" s="185"/>
    </row>
    <row r="2275" spans="1:20" s="690" customFormat="1" ht="18" customHeight="1">
      <c r="A2275" s="1785"/>
      <c r="B2275" s="1922">
        <v>1</v>
      </c>
      <c r="C2275" s="1848" t="str">
        <f>VLOOKUP(D2275,base_datos,6,FALSE)</f>
        <v>Contacto auxiliar frontal 1NA para contactor AF09..AF16-30-10, frontal - Modelo CA4-10 - marca ABB.</v>
      </c>
      <c r="D2275" s="1901" t="s">
        <v>2718</v>
      </c>
      <c r="E2275" s="1791">
        <f>VLOOKUP(D2275,base_datos,5,FALSE)</f>
        <v>5.92</v>
      </c>
      <c r="F2275" s="1912">
        <f>+E2275*B2275</f>
        <v>5.92</v>
      </c>
      <c r="G2275" s="1761"/>
      <c r="H2275" s="1761"/>
      <c r="I2275" s="1761"/>
      <c r="J2275" s="1783"/>
      <c r="K2275" s="684">
        <f t="shared" si="2078"/>
        <v>1</v>
      </c>
      <c r="L2275" s="1913">
        <f t="shared" ref="L2275" si="2098">L2274</f>
        <v>2</v>
      </c>
      <c r="M2275" s="709">
        <f t="shared" si="2097"/>
        <v>1</v>
      </c>
      <c r="N2275" s="362">
        <f t="shared" si="2093"/>
        <v>2</v>
      </c>
      <c r="O2275" s="1763" t="str">
        <f t="shared" si="2094"/>
        <v>1SBN010110R1010</v>
      </c>
      <c r="P2275" s="1764" t="str">
        <f t="shared" si="2095"/>
        <v>Contacto auxiliar frontal 1NA para contactor AF09..AF16-30-10, frontal - Modelo CA4-10 - marca ABB.</v>
      </c>
      <c r="Q2275" s="120" t="str">
        <f t="shared" si="2096"/>
        <v>CA4-10</v>
      </c>
      <c r="R2275" s="185"/>
    </row>
    <row r="2276" spans="1:20" s="1921" customFormat="1">
      <c r="A2276" s="687"/>
      <c r="B2276" s="1914">
        <v>1</v>
      </c>
      <c r="C2276" s="1915" t="s">
        <v>3366</v>
      </c>
      <c r="D2276" s="1916"/>
      <c r="E2276" s="1917"/>
      <c r="F2276" s="1918"/>
      <c r="G2276" s="1919"/>
      <c r="H2276" s="1919"/>
      <c r="I2276" s="1919"/>
      <c r="J2276" s="1920"/>
      <c r="K2276" s="684">
        <f t="shared" si="2078"/>
        <v>1</v>
      </c>
      <c r="L2276" s="1913">
        <f>L2275</f>
        <v>2</v>
      </c>
      <c r="M2276" s="684">
        <f t="shared" si="2097"/>
        <v>1</v>
      </c>
      <c r="N2276" s="362" t="str">
        <f t="shared" si="2093"/>
        <v/>
      </c>
      <c r="O2276" s="1763" t="str">
        <f t="shared" si="2094"/>
        <v/>
      </c>
      <c r="P2276" s="1764" t="str">
        <f t="shared" si="2095"/>
        <v/>
      </c>
      <c r="Q2276" s="120" t="str">
        <f t="shared" si="2096"/>
        <v/>
      </c>
    </row>
    <row r="2277" spans="1:20" s="695" customFormat="1" ht="18" customHeight="1">
      <c r="A2277" s="1785"/>
      <c r="B2277" s="1922">
        <v>1</v>
      </c>
      <c r="C2277" s="1848" t="str">
        <f t="shared" ref="C2277:C2279" si="2099">VLOOKUP(D2277,base_datos,6,FALSE)</f>
        <v>Base portafusibles + Fusibles de protección para control.</v>
      </c>
      <c r="D2277" s="1886" t="s">
        <v>453</v>
      </c>
      <c r="E2277" s="1795">
        <f t="shared" ref="E2277:E2279" si="2100">VLOOKUP(D2277,base_datos,5,FALSE)</f>
        <v>8.1750000000000007</v>
      </c>
      <c r="F2277" s="1923">
        <f t="shared" ref="F2277:F2279" si="2101">+E2277*B2277</f>
        <v>8.1750000000000007</v>
      </c>
      <c r="G2277" s="696"/>
      <c r="H2277" s="696"/>
      <c r="I2277" s="696"/>
      <c r="J2277" s="697"/>
      <c r="K2277" s="684">
        <f t="shared" si="2078"/>
        <v>1</v>
      </c>
      <c r="L2277" s="1913">
        <f>L2274</f>
        <v>2</v>
      </c>
      <c r="M2277" s="709">
        <f t="shared" si="2097"/>
        <v>1</v>
      </c>
      <c r="N2277" s="362" t="str">
        <f t="shared" si="2093"/>
        <v/>
      </c>
      <c r="O2277" s="1763" t="str">
        <f t="shared" si="2094"/>
        <v/>
      </c>
      <c r="P2277" s="1764" t="str">
        <f t="shared" si="2095"/>
        <v/>
      </c>
      <c r="Q2277" s="120" t="str">
        <f t="shared" si="2096"/>
        <v/>
      </c>
      <c r="R2277" s="185"/>
    </row>
    <row r="2278" spans="1:20" s="695" customFormat="1" ht="18" customHeight="1">
      <c r="A2278" s="1785"/>
      <c r="B2278" s="1922">
        <v>1</v>
      </c>
      <c r="C2278" s="1848" t="str">
        <f t="shared" si="2099"/>
        <v>Borne para neutro.</v>
      </c>
      <c r="D2278" s="1886" t="s">
        <v>436</v>
      </c>
      <c r="E2278" s="1795">
        <f t="shared" si="2100"/>
        <v>4</v>
      </c>
      <c r="F2278" s="1923">
        <f t="shared" si="2101"/>
        <v>4</v>
      </c>
      <c r="G2278" s="696"/>
      <c r="H2278" s="696"/>
      <c r="I2278" s="696"/>
      <c r="J2278" s="697"/>
      <c r="K2278" s="684">
        <f t="shared" si="2078"/>
        <v>1</v>
      </c>
      <c r="L2278" s="1913">
        <f>L2275</f>
        <v>2</v>
      </c>
      <c r="M2278" s="709">
        <f t="shared" si="2097"/>
        <v>1</v>
      </c>
      <c r="N2278" s="362" t="str">
        <f t="shared" si="2093"/>
        <v/>
      </c>
      <c r="O2278" s="1763" t="str">
        <f t="shared" si="2094"/>
        <v/>
      </c>
      <c r="P2278" s="1764" t="str">
        <f t="shared" si="2095"/>
        <v/>
      </c>
      <c r="Q2278" s="120" t="str">
        <f t="shared" si="2096"/>
        <v/>
      </c>
      <c r="R2278" s="185"/>
    </row>
    <row r="2279" spans="1:20" s="695" customFormat="1" ht="18" customHeight="1">
      <c r="A2279" s="1785"/>
      <c r="B2279" s="1922">
        <v>2</v>
      </c>
      <c r="C2279" s="1848" t="str">
        <f t="shared" si="2099"/>
        <v>Borne 4mm2.</v>
      </c>
      <c r="D2279" s="1886" t="s">
        <v>437</v>
      </c>
      <c r="E2279" s="1795">
        <f t="shared" si="2100"/>
        <v>2.5</v>
      </c>
      <c r="F2279" s="1923">
        <f t="shared" si="2101"/>
        <v>5</v>
      </c>
      <c r="G2279" s="696"/>
      <c r="H2279" s="696"/>
      <c r="I2279" s="696"/>
      <c r="J2279" s="697"/>
      <c r="K2279" s="684">
        <f t="shared" si="2078"/>
        <v>1</v>
      </c>
      <c r="L2279" s="1913">
        <f t="shared" ref="L2279" si="2102">L2278</f>
        <v>2</v>
      </c>
      <c r="M2279" s="709">
        <f t="shared" si="2097"/>
        <v>2</v>
      </c>
      <c r="N2279" s="362" t="str">
        <f t="shared" si="2093"/>
        <v/>
      </c>
      <c r="O2279" s="1763" t="str">
        <f t="shared" si="2094"/>
        <v/>
      </c>
      <c r="P2279" s="1764" t="str">
        <f t="shared" si="2095"/>
        <v/>
      </c>
      <c r="Q2279" s="120" t="str">
        <f t="shared" si="2096"/>
        <v/>
      </c>
      <c r="R2279" s="185"/>
    </row>
    <row r="2280" spans="1:20" s="185" customFormat="1" ht="18" customHeight="1">
      <c r="A2280" s="1785"/>
      <c r="B2280" s="714"/>
      <c r="C2280" s="1893" t="s">
        <v>729</v>
      </c>
      <c r="D2280" s="173"/>
      <c r="E2280" s="1786"/>
      <c r="F2280" s="1787"/>
      <c r="G2280" s="710"/>
      <c r="H2280" s="710"/>
      <c r="I2280" s="710"/>
      <c r="J2280" s="711"/>
      <c r="K2280" s="684">
        <f t="shared" si="2078"/>
        <v>1</v>
      </c>
      <c r="L2280" s="708">
        <v>1</v>
      </c>
      <c r="M2280" s="709">
        <f t="shared" si="2097"/>
        <v>1</v>
      </c>
      <c r="N2280" s="362" t="str">
        <f t="shared" si="2093"/>
        <v/>
      </c>
      <c r="O2280" s="1763" t="str">
        <f t="shared" si="2094"/>
        <v/>
      </c>
      <c r="P2280" s="1764" t="str">
        <f t="shared" si="2095"/>
        <v/>
      </c>
      <c r="Q2280" s="120" t="str">
        <f t="shared" si="2096"/>
        <v/>
      </c>
    </row>
    <row r="2281" spans="1:20" s="315" customFormat="1" ht="12.75" customHeight="1">
      <c r="A2281" s="2271"/>
      <c r="B2281" s="2272">
        <v>1</v>
      </c>
      <c r="C2281" s="2281" t="s">
        <v>13366</v>
      </c>
      <c r="D2281" s="1935"/>
      <c r="E2281" s="2287"/>
      <c r="F2281" s="2257">
        <f>+SUM(F2282:F2285)*(B2281-1)</f>
        <v>0</v>
      </c>
      <c r="G2281" s="712"/>
      <c r="H2281" s="712"/>
      <c r="I2281" s="712"/>
      <c r="J2281" s="713"/>
      <c r="K2281" s="684">
        <f t="shared" si="2078"/>
        <v>1</v>
      </c>
      <c r="L2281" s="2258">
        <v>1</v>
      </c>
      <c r="M2281" s="120">
        <f t="shared" si="2097"/>
        <v>1</v>
      </c>
      <c r="N2281" s="112" t="str">
        <f t="shared" si="2093"/>
        <v/>
      </c>
      <c r="O2281" s="112" t="str">
        <f t="shared" si="2094"/>
        <v/>
      </c>
      <c r="P2281" s="120" t="str">
        <f t="shared" si="2095"/>
        <v/>
      </c>
      <c r="Q2281" s="120" t="str">
        <f t="shared" si="2096"/>
        <v/>
      </c>
      <c r="S2281" s="112" t="str">
        <f t="shared" ref="S2281:S2286" si="2103">IF(O2281&lt;&gt;"",VLOOKUP(D2281,base_datos,9,FALSE),"")</f>
        <v/>
      </c>
      <c r="T2281" s="2128"/>
    </row>
    <row r="2282" spans="1:20" s="690" customFormat="1" ht="18" customHeight="1">
      <c r="A2282" s="2273"/>
      <c r="B2282" s="1781">
        <v>1</v>
      </c>
      <c r="C2282" s="1420" t="str">
        <f t="shared" ref="C2282:C2285" si="2104">VLOOKUP(D2282,base_datos,6,FALSE)</f>
        <v>Calefactor resistivo 60W, modelo RACM - marca FANDIS.</v>
      </c>
      <c r="D2282" s="1899" t="s">
        <v>3298</v>
      </c>
      <c r="E2282" s="2288">
        <f t="shared" ref="E2282" si="2105">VLOOKUP(D2282,base_datos,5,FALSE)</f>
        <v>127.1</v>
      </c>
      <c r="F2282" s="1782">
        <f>+E2282*B2282</f>
        <v>127.1</v>
      </c>
      <c r="G2282" s="1761"/>
      <c r="H2282" s="1761"/>
      <c r="I2282" s="1761"/>
      <c r="J2282" s="689"/>
      <c r="K2282" s="684">
        <f t="shared" si="2078"/>
        <v>1</v>
      </c>
      <c r="L2282" s="2258">
        <v>1</v>
      </c>
      <c r="M2282" s="120">
        <f t="shared" si="2097"/>
        <v>1</v>
      </c>
      <c r="N2282" s="112">
        <f t="shared" si="2093"/>
        <v>1</v>
      </c>
      <c r="O2282" s="112" t="str">
        <f t="shared" si="2094"/>
        <v>RACM-60</v>
      </c>
      <c r="P2282" s="120" t="str">
        <f t="shared" si="2095"/>
        <v>Calefactor resistivo 60W, modelo RACM - marca FANDIS.</v>
      </c>
      <c r="Q2282" s="120" t="str">
        <f t="shared" si="2096"/>
        <v>CALEFACT-60W_FAND</v>
      </c>
      <c r="S2282" s="112" t="str">
        <f t="shared" si="2103"/>
        <v>FANDIS</v>
      </c>
      <c r="T2282" s="1765"/>
    </row>
    <row r="2283" spans="1:20" s="690" customFormat="1" ht="18" customHeight="1">
      <c r="A2283" s="2273"/>
      <c r="B2283" s="1781">
        <v>1</v>
      </c>
      <c r="C2283" s="1420" t="str">
        <f t="shared" si="2104"/>
        <v>Termostato para ventilación - 1NA - 230V - marca FANDIS.</v>
      </c>
      <c r="D2283" s="1899" t="s">
        <v>3294</v>
      </c>
      <c r="E2283" s="2288">
        <f t="shared" ref="E2283:E2285" si="2106">VLOOKUP(D2283,base_datos,5,FALSE)</f>
        <v>41.58</v>
      </c>
      <c r="F2283" s="1782">
        <f>+E2283*B2283</f>
        <v>41.58</v>
      </c>
      <c r="G2283" s="1761"/>
      <c r="H2283" s="1761"/>
      <c r="I2283" s="1761"/>
      <c r="J2283" s="689"/>
      <c r="K2283" s="684">
        <f t="shared" si="2078"/>
        <v>1</v>
      </c>
      <c r="L2283" s="2258">
        <v>1</v>
      </c>
      <c r="M2283" s="120">
        <f t="shared" si="2097"/>
        <v>1</v>
      </c>
      <c r="N2283" s="112">
        <f t="shared" si="2093"/>
        <v>1</v>
      </c>
      <c r="O2283" s="112" t="str">
        <f t="shared" si="2094"/>
        <v>TRT-10A230V-NO</v>
      </c>
      <c r="P2283" s="120" t="str">
        <f t="shared" si="2095"/>
        <v>Termostato para ventilación - 1NA - 230V - marca FANDIS.</v>
      </c>
      <c r="Q2283" s="120" t="str">
        <f t="shared" si="2096"/>
        <v>TRT-1NA</v>
      </c>
      <c r="S2283" s="112" t="str">
        <f t="shared" si="2103"/>
        <v>FANDIS</v>
      </c>
      <c r="T2283" s="1765"/>
    </row>
    <row r="2284" spans="1:20" s="320" customFormat="1" ht="12.75" customHeight="1">
      <c r="A2284" s="2274"/>
      <c r="B2284" s="2275">
        <v>1</v>
      </c>
      <c r="C2284" s="2282" t="str">
        <f t="shared" si="2104"/>
        <v>Base portafusibles + Fusibles de protección para control.</v>
      </c>
      <c r="D2284" s="1579" t="s">
        <v>453</v>
      </c>
      <c r="E2284" s="2289">
        <f t="shared" si="2106"/>
        <v>8.1750000000000007</v>
      </c>
      <c r="F2284" s="2264">
        <f>+E2284*B2284</f>
        <v>8.1750000000000007</v>
      </c>
      <c r="G2284" s="2276"/>
      <c r="H2284" s="2276"/>
      <c r="I2284" s="2276"/>
      <c r="J2284" s="722"/>
      <c r="K2284" s="684">
        <f t="shared" si="2078"/>
        <v>1</v>
      </c>
      <c r="L2284" s="2258">
        <v>1</v>
      </c>
      <c r="M2284" s="120">
        <f t="shared" si="2097"/>
        <v>1</v>
      </c>
      <c r="N2284" s="112" t="str">
        <f t="shared" si="2093"/>
        <v/>
      </c>
      <c r="O2284" s="112" t="str">
        <f t="shared" si="2094"/>
        <v/>
      </c>
      <c r="P2284" s="120" t="str">
        <f t="shared" si="2095"/>
        <v/>
      </c>
      <c r="Q2284" s="120" t="str">
        <f t="shared" si="2096"/>
        <v/>
      </c>
      <c r="R2284" s="185"/>
      <c r="S2284" s="112" t="str">
        <f t="shared" si="2103"/>
        <v/>
      </c>
      <c r="T2284" s="709"/>
    </row>
    <row r="2285" spans="1:20" s="320" customFormat="1" ht="12.75" customHeight="1">
      <c r="A2285" s="2274"/>
      <c r="B2285" s="2277">
        <v>1</v>
      </c>
      <c r="C2285" s="2282" t="str">
        <f t="shared" si="2104"/>
        <v>Borne 4mm2.</v>
      </c>
      <c r="D2285" s="1579" t="s">
        <v>437</v>
      </c>
      <c r="E2285" s="2260">
        <f t="shared" si="2106"/>
        <v>2.5</v>
      </c>
      <c r="F2285" s="2260">
        <f>+E2285*B2285</f>
        <v>2.5</v>
      </c>
      <c r="G2285" s="2276"/>
      <c r="H2285" s="2276"/>
      <c r="I2285" s="2276"/>
      <c r="J2285" s="722"/>
      <c r="K2285" s="684">
        <f t="shared" si="2078"/>
        <v>1</v>
      </c>
      <c r="L2285" s="2258">
        <v>1</v>
      </c>
      <c r="M2285" s="120">
        <f t="shared" si="2097"/>
        <v>1</v>
      </c>
      <c r="N2285" s="112" t="str">
        <f t="shared" si="2093"/>
        <v/>
      </c>
      <c r="O2285" s="112" t="str">
        <f t="shared" si="2094"/>
        <v/>
      </c>
      <c r="P2285" s="120" t="str">
        <f t="shared" si="2095"/>
        <v/>
      </c>
      <c r="Q2285" s="120" t="str">
        <f t="shared" si="2096"/>
        <v/>
      </c>
      <c r="R2285" s="185"/>
      <c r="S2285" s="112" t="str">
        <f t="shared" si="2103"/>
        <v/>
      </c>
      <c r="T2285" s="709"/>
    </row>
    <row r="2286" spans="1:20" s="185" customFormat="1" ht="12.75" customHeight="1">
      <c r="A2286" s="2262"/>
      <c r="B2286" s="1760"/>
      <c r="C2286" s="1893" t="s">
        <v>729</v>
      </c>
      <c r="D2286" s="169"/>
      <c r="E2286" s="2256"/>
      <c r="F2286" s="2278"/>
      <c r="G2286" s="710"/>
      <c r="H2286" s="710"/>
      <c r="I2286" s="710"/>
      <c r="J2286" s="711"/>
      <c r="K2286" s="684">
        <f t="shared" si="2078"/>
        <v>1</v>
      </c>
      <c r="L2286" s="2258">
        <v>1</v>
      </c>
      <c r="M2286" s="120">
        <f t="shared" si="2097"/>
        <v>1</v>
      </c>
      <c r="N2286" s="112" t="str">
        <f t="shared" si="2093"/>
        <v/>
      </c>
      <c r="O2286" s="112" t="str">
        <f t="shared" si="2094"/>
        <v/>
      </c>
      <c r="P2286" s="120" t="str">
        <f t="shared" si="2095"/>
        <v/>
      </c>
      <c r="Q2286" s="120" t="str">
        <f t="shared" si="2096"/>
        <v/>
      </c>
      <c r="S2286" s="112" t="str">
        <f t="shared" si="2103"/>
        <v/>
      </c>
      <c r="T2286" s="118"/>
    </row>
    <row r="2287" spans="1:20" s="1236" customFormat="1" ht="18" customHeight="1">
      <c r="A2287" s="1767"/>
      <c r="B2287" s="1853">
        <v>1</v>
      </c>
      <c r="C2287" s="1895" t="s">
        <v>12364</v>
      </c>
      <c r="D2287" s="1902"/>
      <c r="E2287" s="1792"/>
      <c r="F2287" s="1793"/>
      <c r="G2287" s="1784"/>
      <c r="H2287" s="1784"/>
      <c r="I2287" s="1784"/>
      <c r="J2287" s="1182"/>
      <c r="K2287" s="684">
        <f t="shared" si="2078"/>
        <v>1</v>
      </c>
      <c r="L2287" s="708">
        <v>1</v>
      </c>
      <c r="M2287" s="684">
        <f t="shared" si="2073"/>
        <v>1</v>
      </c>
      <c r="N2287" s="362" t="str">
        <f t="shared" si="2093"/>
        <v/>
      </c>
      <c r="O2287" s="1763" t="str">
        <f t="shared" si="2094"/>
        <v/>
      </c>
      <c r="P2287" s="1764" t="str">
        <f t="shared" si="2095"/>
        <v/>
      </c>
      <c r="Q2287" s="120" t="str">
        <f t="shared" si="2096"/>
        <v/>
      </c>
      <c r="R2287" s="185"/>
    </row>
    <row r="2288" spans="1:20" s="695" customFormat="1" ht="18" customHeight="1">
      <c r="A2288" s="693"/>
      <c r="B2288" s="1922">
        <v>1</v>
      </c>
      <c r="C2288" s="1848" t="str">
        <f t="shared" ref="C2288" si="2107">VLOOKUP(D2288,base_datos,6,FALSE)</f>
        <v>Placa lamicoid rotulación de 3mm de espesor, fondo negro y letras blancas.</v>
      </c>
      <c r="D2288" s="1886" t="s">
        <v>8570</v>
      </c>
      <c r="E2288" s="1795">
        <f t="shared" ref="E2288" si="2108">VLOOKUP(D2288,base_datos,5,FALSE)</f>
        <v>2.2000000000000002</v>
      </c>
      <c r="F2288" s="1796">
        <f t="shared" ref="F2288" si="2109">+E2288*B2288</f>
        <v>2.2000000000000002</v>
      </c>
      <c r="G2288" s="696"/>
      <c r="H2288" s="696"/>
      <c r="I2288" s="696"/>
      <c r="J2288" s="697"/>
      <c r="K2288" s="684">
        <f t="shared" si="2078"/>
        <v>1</v>
      </c>
      <c r="L2288" s="708">
        <v>1</v>
      </c>
      <c r="M2288" s="684">
        <f t="shared" si="2073"/>
        <v>1</v>
      </c>
      <c r="N2288" s="362">
        <f t="shared" si="2093"/>
        <v>1</v>
      </c>
      <c r="O2288" s="1763" t="str">
        <f t="shared" si="2094"/>
        <v>Placa lamicoid p/distr.</v>
      </c>
      <c r="P2288" s="1764" t="str">
        <f t="shared" si="2095"/>
        <v>Placa lamicoid rotulación de 3mm de espesor, fondo negro y letras blancas.</v>
      </c>
      <c r="Q2288" s="120" t="str">
        <f t="shared" si="2096"/>
        <v>Placa lamicoid p/distr.</v>
      </c>
      <c r="R2288" s="185"/>
    </row>
    <row r="2289" spans="1:18" s="1236" customFormat="1" ht="18" customHeight="1">
      <c r="A2289" s="1767"/>
      <c r="B2289" s="1853">
        <v>1</v>
      </c>
      <c r="C2289" s="1895" t="s">
        <v>12474</v>
      </c>
      <c r="D2289" s="1902"/>
      <c r="E2289" s="1792"/>
      <c r="F2289" s="1793"/>
      <c r="G2289" s="1784"/>
      <c r="H2289" s="1784"/>
      <c r="I2289" s="1784"/>
      <c r="J2289" s="1182"/>
      <c r="K2289" s="684">
        <f t="shared" si="2078"/>
        <v>1</v>
      </c>
      <c r="L2289" s="708">
        <v>1</v>
      </c>
      <c r="M2289" s="684">
        <f t="shared" si="2073"/>
        <v>1</v>
      </c>
      <c r="N2289" s="362" t="str">
        <f t="shared" si="2093"/>
        <v/>
      </c>
      <c r="O2289" s="1763" t="str">
        <f t="shared" si="2094"/>
        <v/>
      </c>
      <c r="P2289" s="1764" t="str">
        <f t="shared" si="2095"/>
        <v/>
      </c>
      <c r="Q2289" s="120" t="str">
        <f t="shared" si="2096"/>
        <v/>
      </c>
      <c r="R2289" s="185"/>
    </row>
    <row r="2290" spans="1:18" s="1236" customFormat="1" ht="18" customHeight="1">
      <c r="A2290" s="1767"/>
      <c r="B2290" s="1853">
        <v>1</v>
      </c>
      <c r="C2290" s="1848" t="str">
        <f>VLOOKUP(D2290,base_datos,6,FALSE)</f>
        <v>Embalaje especial completamente cerrado para tablero adosado de 1600x600x220mm</v>
      </c>
      <c r="D2290" s="1902" t="s">
        <v>12453</v>
      </c>
      <c r="E2290" s="1795">
        <f t="shared" ref="E2290" si="2110">VLOOKUP(D2290,base_datos,5,FALSE)</f>
        <v>271.40000000000003</v>
      </c>
      <c r="F2290" s="1796">
        <f t="shared" ref="F2290" si="2111">+E2290*B2290</f>
        <v>271.40000000000003</v>
      </c>
      <c r="G2290" s="1784"/>
      <c r="H2290" s="1784"/>
      <c r="I2290" s="1784"/>
      <c r="J2290" s="1182"/>
      <c r="K2290" s="684">
        <f t="shared" si="2078"/>
        <v>1</v>
      </c>
      <c r="L2290" s="708">
        <v>1</v>
      </c>
      <c r="M2290" s="684">
        <f t="shared" si="2073"/>
        <v>1</v>
      </c>
      <c r="N2290" s="362">
        <f t="shared" si="2093"/>
        <v>1</v>
      </c>
      <c r="O2290" s="1763" t="str">
        <f t="shared" si="2094"/>
        <v>EMBAL_ADOS_1600x600x220mm</v>
      </c>
      <c r="P2290" s="1764" t="str">
        <f t="shared" si="2095"/>
        <v>Embalaje especial completamente cerrado para tablero adosado de 1600x600x220mm</v>
      </c>
      <c r="Q2290" s="120" t="str">
        <f t="shared" si="2096"/>
        <v>EMBAL_ADOS_1600x600x220mm</v>
      </c>
      <c r="R2290" s="185"/>
    </row>
    <row r="2291" spans="1:18" s="185" customFormat="1" ht="18" customHeight="1">
      <c r="A2291" s="1785"/>
      <c r="B2291" s="714"/>
      <c r="C2291" s="1893" t="s">
        <v>729</v>
      </c>
      <c r="D2291" s="173"/>
      <c r="E2291" s="1786"/>
      <c r="F2291" s="1787"/>
      <c r="G2291" s="710"/>
      <c r="H2291" s="710"/>
      <c r="I2291" s="710"/>
      <c r="J2291" s="711"/>
      <c r="K2291" s="684">
        <f t="shared" si="2078"/>
        <v>1</v>
      </c>
      <c r="L2291" s="708">
        <v>1</v>
      </c>
      <c r="M2291" s="684">
        <f t="shared" si="2073"/>
        <v>1</v>
      </c>
      <c r="N2291" s="362" t="str">
        <f t="shared" si="2093"/>
        <v/>
      </c>
      <c r="O2291" s="1763" t="str">
        <f t="shared" si="2094"/>
        <v/>
      </c>
      <c r="P2291" s="1764" t="str">
        <f t="shared" si="2095"/>
        <v/>
      </c>
      <c r="Q2291" s="120" t="str">
        <f t="shared" si="2096"/>
        <v/>
      </c>
    </row>
    <row r="2292" spans="1:18" s="695" customFormat="1" ht="18" customHeight="1">
      <c r="A2292" s="693"/>
      <c r="B2292" s="1794">
        <v>1</v>
      </c>
      <c r="C2292" s="1420" t="str">
        <f t="shared" ref="C2292" si="2112">VLOOKUP(D2292,base_datos,6,FALSE)</f>
        <v>Barra a tierra.</v>
      </c>
      <c r="D2292" s="1790" t="s">
        <v>8299</v>
      </c>
      <c r="E2292" s="1795">
        <f t="shared" ref="E2292" si="2113">VLOOKUP(D2292,base_datos,5,FALSE)</f>
        <v>10</v>
      </c>
      <c r="F2292" s="1796">
        <f t="shared" ref="F2292:F2298" si="2114">+E2292*B2292</f>
        <v>10</v>
      </c>
      <c r="G2292" s="696"/>
      <c r="H2292" s="696"/>
      <c r="I2292" s="696"/>
      <c r="J2292" s="697"/>
      <c r="K2292" s="684">
        <f t="shared" si="2078"/>
        <v>1</v>
      </c>
      <c r="L2292" s="708">
        <v>1</v>
      </c>
      <c r="M2292" s="684">
        <f t="shared" si="2073"/>
        <v>1</v>
      </c>
      <c r="N2292" s="362" t="str">
        <f t="shared" si="2093"/>
        <v/>
      </c>
      <c r="O2292" s="1763" t="str">
        <f t="shared" si="2094"/>
        <v/>
      </c>
      <c r="P2292" s="1764" t="str">
        <f t="shared" si="2095"/>
        <v/>
      </c>
      <c r="Q2292" s="120" t="str">
        <f t="shared" si="2096"/>
        <v/>
      </c>
      <c r="R2292" s="185"/>
    </row>
    <row r="2293" spans="1:18" s="185" customFormat="1" ht="18" customHeight="1">
      <c r="A2293" s="1785"/>
      <c r="B2293" s="714"/>
      <c r="C2293" s="1893" t="s">
        <v>729</v>
      </c>
      <c r="D2293" s="173"/>
      <c r="E2293" s="1786"/>
      <c r="F2293" s="1787"/>
      <c r="G2293" s="710"/>
      <c r="H2293" s="710"/>
      <c r="I2293" s="710"/>
      <c r="J2293" s="711"/>
      <c r="K2293" s="684">
        <f t="shared" si="2078"/>
        <v>1</v>
      </c>
      <c r="L2293" s="708">
        <v>1</v>
      </c>
      <c r="M2293" s="684">
        <f t="shared" ref="M2293" si="2115">IF(B2293="",1,B2293)</f>
        <v>1</v>
      </c>
      <c r="N2293" s="362" t="str">
        <f t="shared" ref="N2293" si="2116">IF(O2293&lt;&gt;"",K2293*L2293*M2293,"")</f>
        <v/>
      </c>
      <c r="O2293" s="1763" t="str">
        <f t="shared" ref="O2293" si="2117">IF(D2293&lt;&gt;"",IF(VLOOKUP(D2293,base_datos,7,FALSE)&lt;&gt;"",VLOOKUP(D2293,base_datos,7,FALSE),""),"")</f>
        <v/>
      </c>
      <c r="P2293" s="1764" t="str">
        <f t="shared" ref="P2293" si="2118">IF(O2293&lt;&gt;"",VLOOKUP(D2293,base_datos,6,FALSE),"")</f>
        <v/>
      </c>
      <c r="Q2293" s="120" t="str">
        <f t="shared" ref="Q2293" si="2119">IF(O2293&lt;&gt;"",D2293,"")</f>
        <v/>
      </c>
    </row>
    <row r="2294" spans="1:18" s="897" customFormat="1" ht="18" customHeight="1">
      <c r="A2294" s="693"/>
      <c r="B2294" s="895">
        <v>14</v>
      </c>
      <c r="C2294" s="721" t="str">
        <f>VLOOKUP(D2294,base_datos,6,FALSE)</f>
        <v>Rotulado por circuito.</v>
      </c>
      <c r="D2294" s="1579" t="s">
        <v>3067</v>
      </c>
      <c r="E2294" s="1580">
        <f>VLOOKUP(D2294,base_datos,5,FALSE)</f>
        <v>0.7</v>
      </c>
      <c r="F2294" s="1581">
        <f t="shared" si="2114"/>
        <v>9.7999999999999989</v>
      </c>
      <c r="G2294" s="1772"/>
      <c r="H2294" s="1772"/>
      <c r="I2294" s="1772"/>
      <c r="J2294" s="896"/>
      <c r="K2294" s="684">
        <f t="shared" si="2078"/>
        <v>1</v>
      </c>
      <c r="L2294" s="708">
        <v>1</v>
      </c>
      <c r="M2294" s="684">
        <f t="shared" si="2073"/>
        <v>14</v>
      </c>
      <c r="N2294" s="362" t="str">
        <f t="shared" si="2093"/>
        <v/>
      </c>
      <c r="O2294" s="1763" t="str">
        <f t="shared" si="2094"/>
        <v/>
      </c>
      <c r="P2294" s="1764" t="str">
        <f t="shared" si="2095"/>
        <v/>
      </c>
      <c r="Q2294" s="120" t="str">
        <f t="shared" si="2096"/>
        <v/>
      </c>
    </row>
    <row r="2295" spans="1:18" s="897" customFormat="1" ht="18" customHeight="1">
      <c r="A2295" s="693"/>
      <c r="B2295" s="895">
        <v>1</v>
      </c>
      <c r="C2295" s="721" t="str">
        <f>VLOOKUP(D2295,base_datos,6,FALSE)</f>
        <v>Rotulado para TAG - tablero de distribución.</v>
      </c>
      <c r="D2295" s="1579" t="s">
        <v>3066</v>
      </c>
      <c r="E2295" s="1580">
        <f>VLOOKUP(D2295,base_datos,5,FALSE)</f>
        <v>1.5</v>
      </c>
      <c r="F2295" s="1581">
        <f t="shared" si="2114"/>
        <v>1.5</v>
      </c>
      <c r="G2295" s="1772"/>
      <c r="H2295" s="1772"/>
      <c r="I2295" s="1772"/>
      <c r="J2295" s="896"/>
      <c r="K2295" s="684">
        <f t="shared" si="2078"/>
        <v>1</v>
      </c>
      <c r="L2295" s="708">
        <v>1</v>
      </c>
      <c r="M2295" s="684">
        <f t="shared" si="2073"/>
        <v>1</v>
      </c>
      <c r="N2295" s="362" t="str">
        <f t="shared" si="2093"/>
        <v/>
      </c>
      <c r="O2295" s="1763" t="str">
        <f t="shared" si="2094"/>
        <v/>
      </c>
      <c r="P2295" s="1764" t="str">
        <f t="shared" si="2095"/>
        <v/>
      </c>
      <c r="Q2295" s="120" t="str">
        <f t="shared" si="2096"/>
        <v/>
      </c>
    </row>
    <row r="2296" spans="1:18" s="1237" customFormat="1" ht="18" customHeight="1">
      <c r="A2296" s="1767"/>
      <c r="B2296" s="2093">
        <v>1</v>
      </c>
      <c r="C2296" s="694" t="s">
        <v>12552</v>
      </c>
      <c r="D2296" s="1888"/>
      <c r="E2296" s="1580">
        <f>E2298*15%</f>
        <v>31.5</v>
      </c>
      <c r="F2296" s="1581">
        <f t="shared" si="2114"/>
        <v>31.5</v>
      </c>
      <c r="G2296" s="1774"/>
      <c r="H2296" s="1774"/>
      <c r="I2296" s="1774"/>
      <c r="J2296" s="1181"/>
      <c r="K2296" s="684">
        <f t="shared" si="2078"/>
        <v>1</v>
      </c>
      <c r="L2296" s="708">
        <v>1</v>
      </c>
      <c r="M2296" s="709">
        <f t="shared" si="2073"/>
        <v>1</v>
      </c>
      <c r="N2296" s="362" t="str">
        <f t="shared" si="2093"/>
        <v/>
      </c>
      <c r="O2296" s="1763" t="str">
        <f t="shared" si="2094"/>
        <v/>
      </c>
      <c r="P2296" s="1764" t="str">
        <f t="shared" si="2095"/>
        <v/>
      </c>
      <c r="Q2296" s="120" t="str">
        <f t="shared" si="2096"/>
        <v/>
      </c>
      <c r="R2296" s="1765"/>
    </row>
    <row r="2297" spans="1:18" s="1237" customFormat="1" ht="18" customHeight="1">
      <c r="A2297" s="1767"/>
      <c r="B2297" s="1773">
        <v>1</v>
      </c>
      <c r="C2297" s="694" t="s">
        <v>12559</v>
      </c>
      <c r="D2297" s="1888"/>
      <c r="E2297" s="1999">
        <f>E2298*20%</f>
        <v>42</v>
      </c>
      <c r="F2297" s="1581">
        <f t="shared" si="2114"/>
        <v>42</v>
      </c>
      <c r="G2297" s="1774"/>
      <c r="H2297" s="1774"/>
      <c r="I2297" s="1774"/>
      <c r="J2297" s="1181"/>
      <c r="K2297" s="684">
        <f t="shared" si="2078"/>
        <v>1</v>
      </c>
      <c r="L2297" s="708">
        <v>1</v>
      </c>
      <c r="M2297" s="709">
        <f t="shared" si="2073"/>
        <v>1</v>
      </c>
      <c r="N2297" s="362" t="str">
        <f t="shared" si="2093"/>
        <v/>
      </c>
      <c r="O2297" s="1763" t="str">
        <f t="shared" si="2094"/>
        <v/>
      </c>
      <c r="P2297" s="1764" t="str">
        <f t="shared" si="2095"/>
        <v/>
      </c>
      <c r="Q2297" s="120" t="str">
        <f t="shared" si="2096"/>
        <v/>
      </c>
      <c r="R2297" s="1765"/>
    </row>
    <row r="2298" spans="1:18" s="1237" customFormat="1" ht="18" customHeight="1">
      <c r="A2298" s="1767"/>
      <c r="B2298" s="1773">
        <v>1</v>
      </c>
      <c r="C2298" s="694" t="s">
        <v>12535</v>
      </c>
      <c r="D2298" s="1888"/>
      <c r="E2298" s="1999">
        <v>210</v>
      </c>
      <c r="F2298" s="1581">
        <f t="shared" si="2114"/>
        <v>210</v>
      </c>
      <c r="G2298" s="1774"/>
      <c r="H2298" s="1774"/>
      <c r="I2298" s="1774"/>
      <c r="J2298" s="1181"/>
      <c r="K2298" s="684">
        <f t="shared" si="2078"/>
        <v>1</v>
      </c>
      <c r="L2298" s="708">
        <v>1</v>
      </c>
      <c r="M2298" s="684">
        <f t="shared" si="2073"/>
        <v>1</v>
      </c>
      <c r="N2298" s="362" t="str">
        <f t="shared" si="2093"/>
        <v/>
      </c>
      <c r="O2298" s="1763" t="str">
        <f t="shared" si="2094"/>
        <v/>
      </c>
      <c r="P2298" s="1764" t="str">
        <f t="shared" si="2095"/>
        <v/>
      </c>
      <c r="Q2298" s="120" t="str">
        <f t="shared" si="2096"/>
        <v/>
      </c>
      <c r="R2298" s="1765"/>
    </row>
    <row r="2299" spans="1:18" s="120" customFormat="1" ht="13.8" thickBot="1">
      <c r="A2299" s="910"/>
      <c r="B2299" s="1953"/>
      <c r="C2299" s="1797"/>
      <c r="D2299" s="1889"/>
      <c r="E2299" s="1981"/>
      <c r="F2299" s="1981"/>
      <c r="G2299" s="710"/>
      <c r="H2299" s="1798"/>
      <c r="I2299" s="1798"/>
      <c r="J2299" s="1799"/>
      <c r="K2299" s="1788"/>
      <c r="L2299" s="363"/>
      <c r="M2299" s="684"/>
      <c r="N2299" s="362" t="str">
        <f t="shared" si="2093"/>
        <v/>
      </c>
      <c r="O2299" s="1763" t="str">
        <f t="shared" si="2094"/>
        <v/>
      </c>
      <c r="P2299" s="1764" t="str">
        <f t="shared" si="2095"/>
        <v/>
      </c>
      <c r="Q2299" s="120" t="str">
        <f t="shared" si="2096"/>
        <v/>
      </c>
      <c r="R2299" s="185"/>
    </row>
    <row r="2300" spans="1:18" s="120" customFormat="1" ht="18" customHeight="1" thickBot="1">
      <c r="A2300" s="1989">
        <v>38</v>
      </c>
      <c r="B2300" s="1852">
        <v>1</v>
      </c>
      <c r="C2300" s="1756" t="s">
        <v>12600</v>
      </c>
      <c r="D2300" s="1588"/>
      <c r="E2300" s="1589"/>
      <c r="F2300" s="1589"/>
      <c r="G2300" s="1757">
        <f>SUM(F2301:F2364)</f>
        <v>2441.9349999999999</v>
      </c>
      <c r="H2300" s="1758">
        <f>G2300*(1-$D$6)</f>
        <v>2441.9349999999999</v>
      </c>
      <c r="I2300" s="1757">
        <f>ROUNDUP(H2300*$D$5,0)</f>
        <v>8303</v>
      </c>
      <c r="J2300" s="1759">
        <f>+I2300*B2300</f>
        <v>8303</v>
      </c>
      <c r="K2300" s="1788">
        <f>B2300</f>
        <v>1</v>
      </c>
      <c r="L2300" s="363"/>
      <c r="M2300" s="684"/>
      <c r="N2300" s="362" t="str">
        <f t="shared" si="2093"/>
        <v/>
      </c>
      <c r="O2300" s="1763" t="str">
        <f t="shared" si="2094"/>
        <v/>
      </c>
      <c r="P2300" s="1764" t="str">
        <f t="shared" si="2095"/>
        <v/>
      </c>
      <c r="Q2300" s="120" t="str">
        <f t="shared" si="2096"/>
        <v/>
      </c>
      <c r="R2300" s="185"/>
    </row>
    <row r="2301" spans="1:18" s="120" customFormat="1" ht="15" customHeight="1">
      <c r="A2301" s="685" t="s">
        <v>3064</v>
      </c>
      <c r="B2301" s="1779"/>
      <c r="C2301" s="1954"/>
      <c r="D2301" s="1955"/>
      <c r="E2301" s="1789"/>
      <c r="F2301" s="1789"/>
      <c r="G2301" s="686"/>
      <c r="H2301" s="686"/>
      <c r="I2301" s="686"/>
      <c r="J2301" s="1768"/>
      <c r="K2301" s="684">
        <f>K2300</f>
        <v>1</v>
      </c>
      <c r="L2301" s="363">
        <v>1</v>
      </c>
      <c r="M2301" s="684">
        <f>IF(B2301="",1,B2301)</f>
        <v>1</v>
      </c>
      <c r="N2301" s="362" t="str">
        <f t="shared" si="2093"/>
        <v/>
      </c>
      <c r="O2301" s="1763" t="str">
        <f t="shared" si="2094"/>
        <v/>
      </c>
      <c r="P2301" s="1764" t="str">
        <f t="shared" si="2095"/>
        <v/>
      </c>
      <c r="Q2301" s="120" t="str">
        <f t="shared" si="2096"/>
        <v/>
      </c>
    </row>
    <row r="2302" spans="1:18" s="315" customFormat="1" ht="12" customHeight="1">
      <c r="A2302" s="687" t="s">
        <v>4021</v>
      </c>
      <c r="B2302" s="2096">
        <v>1</v>
      </c>
      <c r="C2302" s="1907" t="s">
        <v>5103</v>
      </c>
      <c r="D2302" s="1935"/>
      <c r="E2302" s="1786"/>
      <c r="F2302" s="1908">
        <f>SUM(F2304:F2308)*(B2302-1)</f>
        <v>0</v>
      </c>
      <c r="G2302" s="712"/>
      <c r="H2302" s="712"/>
      <c r="I2302" s="712"/>
      <c r="J2302" s="713"/>
      <c r="K2302" s="684">
        <f t="shared" ref="K2302:K2362" si="2120">+K2301</f>
        <v>1</v>
      </c>
      <c r="L2302" s="1909">
        <f>B2302</f>
        <v>1</v>
      </c>
      <c r="M2302" s="684">
        <f t="shared" ref="M2302:M2310" si="2121">IF(B2302="",1,B2302)</f>
        <v>1</v>
      </c>
      <c r="N2302" s="362" t="str">
        <f t="shared" si="2093"/>
        <v/>
      </c>
      <c r="O2302" s="1763" t="str">
        <f t="shared" si="2094"/>
        <v/>
      </c>
      <c r="P2302" s="1764" t="str">
        <f t="shared" si="2095"/>
        <v/>
      </c>
      <c r="Q2302" s="120" t="str">
        <f t="shared" si="2096"/>
        <v/>
      </c>
    </row>
    <row r="2303" spans="1:18" s="185" customFormat="1">
      <c r="A2303" s="687" t="s">
        <v>4136</v>
      </c>
      <c r="B2303" s="1910">
        <v>3</v>
      </c>
      <c r="C2303" s="1911" t="str">
        <f>VLOOKUP(D2303,base_datos,6,FALSE)</f>
        <v>Portalámpara + lampara tipo LED - color Rojo - alimentacion: 220-230Vac, d=22mm. - CL2-523R - línea compacta - marca ABB.</v>
      </c>
      <c r="D2303" s="1790" t="s">
        <v>2439</v>
      </c>
      <c r="E2303" s="1939">
        <f>VLOOKUP(D2303,base_datos,5,FALSE)</f>
        <v>12.299999999999999</v>
      </c>
      <c r="F2303" s="1912">
        <f>+E2303*B2303</f>
        <v>36.9</v>
      </c>
      <c r="G2303" s="710"/>
      <c r="H2303" s="710"/>
      <c r="I2303" s="710"/>
      <c r="J2303" s="711"/>
      <c r="K2303" s="684">
        <f>+K2301</f>
        <v>1</v>
      </c>
      <c r="L2303" s="1913">
        <f>L2301</f>
        <v>1</v>
      </c>
      <c r="M2303" s="684">
        <f t="shared" si="2121"/>
        <v>3</v>
      </c>
      <c r="N2303" s="362">
        <f t="shared" si="2093"/>
        <v>3</v>
      </c>
      <c r="O2303" s="1763" t="str">
        <f t="shared" si="2094"/>
        <v>1SFA619403R5231</v>
      </c>
      <c r="P2303" s="1764" t="str">
        <f t="shared" si="2095"/>
        <v>Portalámpara + lampara tipo LED - color Rojo - alimentacion: 220-230Vac, d=22mm. - CL2-523R - línea compacta - marca ABB.</v>
      </c>
      <c r="Q2303" s="120" t="str">
        <f t="shared" si="2096"/>
        <v>LAMP_ROJO_220V</v>
      </c>
    </row>
    <row r="2304" spans="1:18" s="185" customFormat="1">
      <c r="A2304" s="687"/>
      <c r="B2304" s="1910">
        <v>3</v>
      </c>
      <c r="C2304" s="1911" t="str">
        <f>VLOOKUP(D2304,base_datos,6,FALSE)</f>
        <v>Portalámpara + lampara tipo LED - color Verde - alimentacion: 220-230Vac, d=22mm. - CL2-523G - línea compacta - marca ABB.</v>
      </c>
      <c r="D2304" s="1790" t="s">
        <v>2440</v>
      </c>
      <c r="E2304" s="1939">
        <f>VLOOKUP(D2304,base_datos,5,FALSE)</f>
        <v>12.299999999999999</v>
      </c>
      <c r="F2304" s="1912">
        <f>+E2304*B2304</f>
        <v>36.9</v>
      </c>
      <c r="G2304" s="710"/>
      <c r="H2304" s="710"/>
      <c r="I2304" s="710"/>
      <c r="J2304" s="711"/>
      <c r="K2304" s="684">
        <f>+K2302</f>
        <v>1</v>
      </c>
      <c r="L2304" s="1913">
        <f>L2302</f>
        <v>1</v>
      </c>
      <c r="M2304" s="684">
        <f t="shared" si="2121"/>
        <v>3</v>
      </c>
      <c r="N2304" s="362">
        <f t="shared" si="2093"/>
        <v>3</v>
      </c>
      <c r="O2304" s="1763" t="str">
        <f t="shared" si="2094"/>
        <v>1SFA619403R5232</v>
      </c>
      <c r="P2304" s="1764" t="str">
        <f t="shared" si="2095"/>
        <v>Portalámpara + lampara tipo LED - color Verde - alimentacion: 220-230Vac, d=22mm. - CL2-523G - línea compacta - marca ABB.</v>
      </c>
      <c r="Q2304" s="120" t="str">
        <f t="shared" si="2096"/>
        <v>LAMP_VERDE_220V</v>
      </c>
    </row>
    <row r="2305" spans="1:19" s="1921" customFormat="1">
      <c r="A2305" s="687" t="s">
        <v>12356</v>
      </c>
      <c r="B2305" s="1914">
        <v>1</v>
      </c>
      <c r="C2305" s="1915" t="s">
        <v>3366</v>
      </c>
      <c r="D2305" s="1916"/>
      <c r="E2305" s="1917"/>
      <c r="F2305" s="1918"/>
      <c r="G2305" s="1919"/>
      <c r="H2305" s="1919"/>
      <c r="I2305" s="1919"/>
      <c r="J2305" s="1920"/>
      <c r="K2305" s="684">
        <f t="shared" si="2120"/>
        <v>1</v>
      </c>
      <c r="L2305" s="1913">
        <f>L2304</f>
        <v>1</v>
      </c>
      <c r="M2305" s="684">
        <f t="shared" si="2121"/>
        <v>1</v>
      </c>
      <c r="N2305" s="362" t="str">
        <f t="shared" si="2093"/>
        <v/>
      </c>
      <c r="O2305" s="1763" t="str">
        <f t="shared" si="2094"/>
        <v/>
      </c>
      <c r="P2305" s="1764" t="str">
        <f t="shared" si="2095"/>
        <v/>
      </c>
      <c r="Q2305" s="120" t="str">
        <f t="shared" si="2096"/>
        <v/>
      </c>
    </row>
    <row r="2306" spans="1:19" s="320" customFormat="1">
      <c r="A2306" s="687" t="s">
        <v>12380</v>
      </c>
      <c r="B2306" s="1922">
        <v>1</v>
      </c>
      <c r="C2306" s="721" t="str">
        <f>VLOOKUP(D2306,base_datos,6,FALSE)</f>
        <v>Rele auxiliar enchufable +4NA/NC (D2PR4B + base D2PA6), 220Vac - marca EATON.</v>
      </c>
      <c r="D2306" s="1579" t="s">
        <v>772</v>
      </c>
      <c r="E2306" s="1581">
        <f>VLOOKUP(D2306,base_datos,5,FALSE)</f>
        <v>27</v>
      </c>
      <c r="F2306" s="1923">
        <f>+E2306*B2306</f>
        <v>27</v>
      </c>
      <c r="G2306" s="1924"/>
      <c r="H2306" s="1924"/>
      <c r="I2306" s="1924"/>
      <c r="J2306" s="722"/>
      <c r="K2306" s="684">
        <f t="shared" si="2120"/>
        <v>1</v>
      </c>
      <c r="L2306" s="1913">
        <f>L2303</f>
        <v>1</v>
      </c>
      <c r="M2306" s="684">
        <f t="shared" si="2121"/>
        <v>1</v>
      </c>
      <c r="N2306" s="362">
        <f t="shared" si="2093"/>
        <v>1</v>
      </c>
      <c r="O2306" s="1763" t="str">
        <f t="shared" si="2094"/>
        <v>D2PR4B+D2PA6</v>
      </c>
      <c r="P2306" s="1764" t="str">
        <f t="shared" si="2095"/>
        <v>Rele auxiliar enchufable +4NA/NC (D2PR4B + base D2PA6), 220Vac - marca EATON.</v>
      </c>
      <c r="Q2306" s="120" t="str">
        <f t="shared" si="2096"/>
        <v>D2PR4B+D2PA6</v>
      </c>
    </row>
    <row r="2307" spans="1:19" s="320" customFormat="1">
      <c r="A2307" s="1771"/>
      <c r="B2307" s="2131">
        <v>1</v>
      </c>
      <c r="C2307" s="2132" t="s">
        <v>12558</v>
      </c>
      <c r="D2307" s="2133"/>
      <c r="E2307" s="2134">
        <v>32</v>
      </c>
      <c r="F2307" s="2134">
        <f>+E2307*B2307</f>
        <v>32</v>
      </c>
      <c r="G2307" s="1924"/>
      <c r="H2307" s="1924"/>
      <c r="I2307" s="1924"/>
      <c r="J2307" s="722"/>
      <c r="K2307" s="684">
        <f t="shared" si="2120"/>
        <v>1</v>
      </c>
      <c r="L2307" s="1913">
        <f>L2304</f>
        <v>1</v>
      </c>
      <c r="M2307" s="684">
        <f t="shared" si="2121"/>
        <v>1</v>
      </c>
      <c r="N2307" s="362" t="str">
        <f t="shared" si="2093"/>
        <v/>
      </c>
      <c r="O2307" s="1763" t="str">
        <f t="shared" si="2094"/>
        <v/>
      </c>
      <c r="P2307" s="1764" t="str">
        <f t="shared" si="2095"/>
        <v/>
      </c>
      <c r="Q2307" s="120" t="str">
        <f t="shared" si="2096"/>
        <v/>
      </c>
    </row>
    <row r="2308" spans="1:19" s="320" customFormat="1">
      <c r="A2308" s="687" t="s">
        <v>12551</v>
      </c>
      <c r="B2308" s="1922">
        <v>4</v>
      </c>
      <c r="C2308" s="721" t="str">
        <f>VLOOKUP(D2308,base_datos,6,FALSE)</f>
        <v>Base portafusibles + Fusibles de protección para control.</v>
      </c>
      <c r="D2308" s="1579" t="s">
        <v>453</v>
      </c>
      <c r="E2308" s="1581">
        <f>VLOOKUP(D2308,base_datos,5,FALSE)</f>
        <v>8.1750000000000007</v>
      </c>
      <c r="F2308" s="1923">
        <f>+E2308*B2308</f>
        <v>32.700000000000003</v>
      </c>
      <c r="G2308" s="1924"/>
      <c r="H2308" s="1924"/>
      <c r="I2308" s="1924"/>
      <c r="J2308" s="722"/>
      <c r="K2308" s="684">
        <f t="shared" si="2120"/>
        <v>1</v>
      </c>
      <c r="L2308" s="1913">
        <f>L2305</f>
        <v>1</v>
      </c>
      <c r="M2308" s="684">
        <f t="shared" si="2121"/>
        <v>4</v>
      </c>
      <c r="N2308" s="362" t="str">
        <f t="shared" si="2093"/>
        <v/>
      </c>
      <c r="O2308" s="1763" t="str">
        <f t="shared" si="2094"/>
        <v/>
      </c>
      <c r="P2308" s="1764" t="str">
        <f t="shared" si="2095"/>
        <v/>
      </c>
      <c r="Q2308" s="120" t="str">
        <f t="shared" si="2096"/>
        <v/>
      </c>
    </row>
    <row r="2309" spans="1:19" s="315" customFormat="1">
      <c r="A2309" s="687" t="s">
        <v>3542</v>
      </c>
      <c r="B2309" s="1906"/>
      <c r="C2309" s="1907"/>
      <c r="D2309" s="1935"/>
      <c r="E2309" s="1786"/>
      <c r="F2309" s="1936"/>
      <c r="G2309" s="712"/>
      <c r="H2309" s="712"/>
      <c r="I2309" s="712"/>
      <c r="J2309" s="713"/>
      <c r="K2309" s="684">
        <f t="shared" si="2120"/>
        <v>1</v>
      </c>
      <c r="L2309" s="708">
        <v>1</v>
      </c>
      <c r="M2309" s="684">
        <f t="shared" si="2121"/>
        <v>1</v>
      </c>
      <c r="N2309" s="362" t="str">
        <f t="shared" si="2093"/>
        <v/>
      </c>
      <c r="O2309" s="1763" t="str">
        <f t="shared" si="2094"/>
        <v/>
      </c>
      <c r="P2309" s="1764" t="str">
        <f t="shared" si="2095"/>
        <v/>
      </c>
      <c r="Q2309" s="120" t="str">
        <f t="shared" si="2096"/>
        <v/>
      </c>
    </row>
    <row r="2310" spans="1:19" s="185" customFormat="1" ht="13.5" customHeight="1">
      <c r="A2310" s="1771"/>
      <c r="B2310" s="1922"/>
      <c r="C2310" s="1956" t="s">
        <v>12368</v>
      </c>
      <c r="D2310" s="1579"/>
      <c r="E2310" s="1957"/>
      <c r="F2310" s="1958"/>
      <c r="G2310" s="710"/>
      <c r="H2310" s="710"/>
      <c r="I2310" s="710"/>
      <c r="J2310" s="711"/>
      <c r="K2310" s="684">
        <f t="shared" si="2120"/>
        <v>1</v>
      </c>
      <c r="L2310" s="708">
        <v>1</v>
      </c>
      <c r="M2310" s="684">
        <f t="shared" si="2121"/>
        <v>1</v>
      </c>
      <c r="N2310" s="362" t="str">
        <f t="shared" si="2093"/>
        <v/>
      </c>
      <c r="O2310" s="1763" t="str">
        <f t="shared" si="2094"/>
        <v/>
      </c>
      <c r="P2310" s="1764" t="str">
        <f t="shared" si="2095"/>
        <v/>
      </c>
      <c r="Q2310" s="120" t="str">
        <f t="shared" si="2096"/>
        <v/>
      </c>
    </row>
    <row r="2311" spans="1:19" s="120" customFormat="1" ht="18" customHeight="1">
      <c r="A2311" s="1767"/>
      <c r="B2311" s="1779">
        <v>6</v>
      </c>
      <c r="C2311" s="1420" t="str">
        <f>VLOOKUP(D2311,base_datos,6,FALSE)</f>
        <v>Transformador de tensión monofásico 480 / 120 Vac - 20VA.</v>
      </c>
      <c r="D2311" s="1898" t="s">
        <v>12391</v>
      </c>
      <c r="E2311" s="1581">
        <f>VLOOKUP(D2311,base_datos,5,FALSE)</f>
        <v>38.200000000000003</v>
      </c>
      <c r="F2311" s="1581">
        <f>+E2311*B2311</f>
        <v>229.20000000000002</v>
      </c>
      <c r="G2311" s="2109"/>
      <c r="H2311" s="686"/>
      <c r="I2311" s="686"/>
      <c r="J2311" s="1768"/>
      <c r="K2311" s="684">
        <f t="shared" si="2120"/>
        <v>1</v>
      </c>
      <c r="L2311" s="708">
        <v>1</v>
      </c>
      <c r="M2311" s="709">
        <f t="shared" ref="M2311:M2318" si="2122">IF(B2311="",1,B2311)</f>
        <v>6</v>
      </c>
      <c r="N2311" s="362" t="str">
        <f t="shared" si="2093"/>
        <v/>
      </c>
      <c r="O2311" s="1763" t="str">
        <f t="shared" si="2094"/>
        <v/>
      </c>
      <c r="P2311" s="1764" t="str">
        <f t="shared" si="2095"/>
        <v/>
      </c>
      <c r="Q2311" s="120" t="str">
        <f t="shared" si="2096"/>
        <v/>
      </c>
      <c r="R2311" s="185"/>
    </row>
    <row r="2312" spans="1:19" s="185" customFormat="1">
      <c r="A2312" s="687"/>
      <c r="B2312" s="1922"/>
      <c r="C2312" s="1956" t="s">
        <v>12368</v>
      </c>
      <c r="D2312" s="1579"/>
      <c r="E2312" s="1957"/>
      <c r="F2312" s="1958"/>
      <c r="G2312" s="2110"/>
      <c r="H2312" s="710"/>
      <c r="I2312" s="710"/>
      <c r="J2312" s="711"/>
      <c r="K2312" s="684">
        <f t="shared" si="2120"/>
        <v>1</v>
      </c>
      <c r="L2312" s="708">
        <v>1</v>
      </c>
      <c r="M2312" s="684">
        <f t="shared" si="2122"/>
        <v>1</v>
      </c>
      <c r="N2312" s="362" t="str">
        <f t="shared" si="2093"/>
        <v/>
      </c>
      <c r="O2312" s="1763" t="str">
        <f t="shared" si="2094"/>
        <v/>
      </c>
      <c r="P2312" s="1764" t="str">
        <f t="shared" si="2095"/>
        <v/>
      </c>
      <c r="Q2312" s="120" t="str">
        <f t="shared" si="2096"/>
        <v/>
      </c>
    </row>
    <row r="2313" spans="1:19" s="120" customFormat="1">
      <c r="A2313" s="687"/>
      <c r="B2313" s="1781"/>
      <c r="C2313" s="1959" t="s">
        <v>12371</v>
      </c>
      <c r="D2313" s="173"/>
      <c r="E2313" s="1791"/>
      <c r="F2313" s="1782"/>
      <c r="G2313" s="2111"/>
      <c r="H2313" s="686"/>
      <c r="I2313" s="686"/>
      <c r="J2313" s="688"/>
      <c r="K2313" s="684">
        <f t="shared" si="2120"/>
        <v>1</v>
      </c>
      <c r="L2313" s="363">
        <v>1</v>
      </c>
      <c r="M2313" s="684">
        <f t="shared" si="2122"/>
        <v>1</v>
      </c>
      <c r="N2313" s="362" t="str">
        <f t="shared" si="2093"/>
        <v/>
      </c>
      <c r="O2313" s="1763" t="str">
        <f t="shared" si="2094"/>
        <v/>
      </c>
      <c r="P2313" s="1764" t="str">
        <f t="shared" si="2095"/>
        <v/>
      </c>
      <c r="Q2313" s="120" t="str">
        <f t="shared" si="2096"/>
        <v/>
      </c>
      <c r="R2313" s="185"/>
    </row>
    <row r="2314" spans="1:19" s="690" customFormat="1" ht="18" customHeight="1">
      <c r="A2314" s="1767"/>
      <c r="B2314" s="2206">
        <v>1</v>
      </c>
      <c r="C2314" s="2207" t="s">
        <v>13027</v>
      </c>
      <c r="D2314" s="2208"/>
      <c r="E2314" s="2209">
        <v>212.15</v>
      </c>
      <c r="F2314" s="2210">
        <f t="shared" ref="F2314" si="2123">+E2314*B2314</f>
        <v>212.15</v>
      </c>
      <c r="G2314" s="1761"/>
      <c r="H2314" s="1761"/>
      <c r="I2314" s="1761"/>
      <c r="J2314" s="1783"/>
      <c r="K2314" s="684">
        <f t="shared" si="2120"/>
        <v>1</v>
      </c>
      <c r="L2314" s="708">
        <v>1</v>
      </c>
      <c r="M2314" s="709">
        <f t="shared" si="2122"/>
        <v>1</v>
      </c>
      <c r="N2314" s="362" t="str">
        <f t="shared" si="2093"/>
        <v/>
      </c>
      <c r="O2314" s="1763" t="str">
        <f t="shared" si="2094"/>
        <v/>
      </c>
      <c r="P2314" s="1764" t="str">
        <f t="shared" si="2095"/>
        <v/>
      </c>
      <c r="Q2314" s="120" t="str">
        <f t="shared" si="2096"/>
        <v/>
      </c>
      <c r="R2314" s="185"/>
    </row>
    <row r="2315" spans="1:19" s="185" customFormat="1">
      <c r="A2315" s="1785"/>
      <c r="B2315" s="714"/>
      <c r="C2315" s="1956" t="s">
        <v>12368</v>
      </c>
      <c r="D2315" s="1941"/>
      <c r="E2315" s="1786"/>
      <c r="F2315" s="1787"/>
      <c r="G2315" s="2111"/>
      <c r="H2315" s="710"/>
      <c r="I2315" s="710"/>
      <c r="J2315" s="711"/>
      <c r="K2315" s="684">
        <f t="shared" si="2120"/>
        <v>1</v>
      </c>
      <c r="L2315" s="363">
        <v>1</v>
      </c>
      <c r="M2315" s="709">
        <f t="shared" si="2122"/>
        <v>1</v>
      </c>
      <c r="N2315" s="362" t="str">
        <f t="shared" si="2093"/>
        <v/>
      </c>
      <c r="O2315" s="1763" t="str">
        <f t="shared" si="2094"/>
        <v/>
      </c>
      <c r="P2315" s="1764" t="str">
        <f t="shared" si="2095"/>
        <v/>
      </c>
      <c r="Q2315" s="120" t="str">
        <f t="shared" si="2096"/>
        <v/>
      </c>
    </row>
    <row r="2316" spans="1:19" s="315" customFormat="1">
      <c r="A2316" s="1785"/>
      <c r="B2316" s="355"/>
      <c r="C2316" s="1944" t="s">
        <v>3063</v>
      </c>
      <c r="D2316" s="1941"/>
      <c r="E2316" s="1786"/>
      <c r="F2316" s="1787"/>
      <c r="G2316" s="2112"/>
      <c r="H2316" s="712"/>
      <c r="I2316" s="712"/>
      <c r="J2316" s="713"/>
      <c r="K2316" s="684">
        <f t="shared" si="2120"/>
        <v>1</v>
      </c>
      <c r="L2316" s="708">
        <v>1</v>
      </c>
      <c r="M2316" s="709">
        <f t="shared" si="2122"/>
        <v>1</v>
      </c>
      <c r="N2316" s="362" t="str">
        <f t="shared" si="2093"/>
        <v/>
      </c>
      <c r="O2316" s="1763" t="str">
        <f t="shared" si="2094"/>
        <v/>
      </c>
      <c r="P2316" s="1764" t="str">
        <f t="shared" si="2095"/>
        <v/>
      </c>
      <c r="Q2316" s="120" t="str">
        <f t="shared" si="2096"/>
        <v/>
      </c>
    </row>
    <row r="2317" spans="1:19" s="1921" customFormat="1">
      <c r="A2317" s="1961"/>
      <c r="B2317" s="1962">
        <v>1</v>
      </c>
      <c r="C2317" s="1963" t="s">
        <v>12370</v>
      </c>
      <c r="D2317" s="1941"/>
      <c r="E2317" s="1917"/>
      <c r="F2317" s="1937"/>
      <c r="G2317" s="2112"/>
      <c r="H2317" s="1919"/>
      <c r="I2317" s="1919"/>
      <c r="J2317" s="1920"/>
      <c r="K2317" s="684">
        <f t="shared" si="2120"/>
        <v>1</v>
      </c>
      <c r="L2317" s="708">
        <v>1</v>
      </c>
      <c r="M2317" s="709">
        <f t="shared" si="2122"/>
        <v>1</v>
      </c>
      <c r="N2317" s="362" t="str">
        <f t="shared" si="2093"/>
        <v/>
      </c>
      <c r="O2317" s="1763" t="str">
        <f t="shared" si="2094"/>
        <v/>
      </c>
      <c r="P2317" s="1764" t="str">
        <f t="shared" si="2095"/>
        <v/>
      </c>
      <c r="Q2317" s="120" t="str">
        <f t="shared" si="2096"/>
        <v/>
      </c>
    </row>
    <row r="2318" spans="1:19" s="897" customFormat="1" ht="18" customHeight="1">
      <c r="A2318" s="1771"/>
      <c r="B2318" s="1922">
        <v>6</v>
      </c>
      <c r="C2318" s="1964" t="str">
        <f t="shared" ref="C2318" si="2124">VLOOKUP(D2318,base_datos,6,FALSE)</f>
        <v>Borne 35mm2.</v>
      </c>
      <c r="D2318" s="1579" t="s">
        <v>8285</v>
      </c>
      <c r="E2318" s="1952">
        <f t="shared" ref="E2318" si="2125">VLOOKUP(D2318,base_datos,5,FALSE)</f>
        <v>15</v>
      </c>
      <c r="F2318" s="1580">
        <f>+E2318*B2318</f>
        <v>90</v>
      </c>
      <c r="G2318" s="2020"/>
      <c r="H2318" s="1772"/>
      <c r="I2318" s="1772"/>
      <c r="J2318" s="896"/>
      <c r="K2318" s="684">
        <f t="shared" si="2120"/>
        <v>1</v>
      </c>
      <c r="L2318" s="363">
        <v>1</v>
      </c>
      <c r="M2318" s="709">
        <f t="shared" si="2122"/>
        <v>6</v>
      </c>
      <c r="N2318" s="362" t="str">
        <f t="shared" si="2093"/>
        <v/>
      </c>
      <c r="O2318" s="1763" t="str">
        <f t="shared" si="2094"/>
        <v/>
      </c>
      <c r="P2318" s="1764" t="str">
        <f t="shared" si="2095"/>
        <v/>
      </c>
      <c r="Q2318" s="120" t="str">
        <f t="shared" si="2096"/>
        <v/>
      </c>
      <c r="R2318" s="690"/>
      <c r="S2318" s="690"/>
    </row>
    <row r="2319" spans="1:19" s="185" customFormat="1">
      <c r="A2319" s="1771"/>
      <c r="B2319" s="1922"/>
      <c r="C2319" s="1956" t="s">
        <v>12368</v>
      </c>
      <c r="D2319" s="1579"/>
      <c r="E2319" s="1957"/>
      <c r="F2319" s="1958"/>
      <c r="G2319" s="2113"/>
      <c r="H2319" s="710"/>
      <c r="I2319" s="710"/>
      <c r="J2319" s="711"/>
      <c r="K2319" s="684">
        <f t="shared" si="2120"/>
        <v>1</v>
      </c>
      <c r="L2319" s="363">
        <v>1</v>
      </c>
      <c r="M2319" s="684">
        <f t="shared" ref="M2319:M2332" si="2126">IF(B2319="",1,B2319)</f>
        <v>1</v>
      </c>
      <c r="N2319" s="362" t="str">
        <f t="shared" si="2093"/>
        <v/>
      </c>
      <c r="O2319" s="1763" t="str">
        <f t="shared" si="2094"/>
        <v/>
      </c>
      <c r="P2319" s="1764" t="str">
        <f t="shared" si="2095"/>
        <v/>
      </c>
      <c r="Q2319" s="120" t="str">
        <f t="shared" si="2096"/>
        <v/>
      </c>
    </row>
    <row r="2320" spans="1:19" s="690" customFormat="1" ht="18" customHeight="1">
      <c r="A2320" s="1767"/>
      <c r="B2320" s="1851"/>
      <c r="C2320" s="1894" t="s">
        <v>3377</v>
      </c>
      <c r="D2320" s="1582"/>
      <c r="E2320" s="1780"/>
      <c r="F2320" s="1782"/>
      <c r="G2320" s="2020"/>
      <c r="H2320" s="1761"/>
      <c r="I2320" s="1761"/>
      <c r="J2320" s="689"/>
      <c r="K2320" s="684">
        <f t="shared" si="2120"/>
        <v>1</v>
      </c>
      <c r="L2320" s="708">
        <v>1</v>
      </c>
      <c r="M2320" s="709">
        <f t="shared" si="2126"/>
        <v>1</v>
      </c>
      <c r="N2320" s="362" t="str">
        <f t="shared" si="2093"/>
        <v/>
      </c>
      <c r="O2320" s="1763" t="str">
        <f t="shared" si="2094"/>
        <v/>
      </c>
      <c r="P2320" s="1764" t="str">
        <f t="shared" si="2095"/>
        <v/>
      </c>
      <c r="Q2320" s="120" t="str">
        <f t="shared" si="2096"/>
        <v/>
      </c>
      <c r="R2320" s="185"/>
    </row>
    <row r="2321" spans="1:20" s="690" customFormat="1">
      <c r="A2321" s="687"/>
      <c r="B2321" s="1781">
        <v>2</v>
      </c>
      <c r="C2321" s="1420" t="str">
        <f>VLOOKUP(D2321,base_datos,6,FALSE)</f>
        <v>ITM Riel-Din 2x40A - S202-C-40A - 10kA@400Vac-IEC60947-2 - marca ABB.</v>
      </c>
      <c r="D2321" s="1790" t="s">
        <v>1009</v>
      </c>
      <c r="E2321" s="1791">
        <f>VLOOKUP(D2321,base_datos,5,FALSE)</f>
        <v>23.59</v>
      </c>
      <c r="F2321" s="1782">
        <f>+E2321*B2321</f>
        <v>47.18</v>
      </c>
      <c r="G2321" s="2111"/>
      <c r="H2321" s="1761"/>
      <c r="I2321" s="1761"/>
      <c r="J2321" s="689"/>
      <c r="K2321" s="684">
        <f t="shared" si="2120"/>
        <v>1</v>
      </c>
      <c r="L2321" s="363">
        <v>1</v>
      </c>
      <c r="M2321" s="684">
        <f t="shared" si="2126"/>
        <v>2</v>
      </c>
      <c r="N2321" s="362">
        <f t="shared" si="2093"/>
        <v>2</v>
      </c>
      <c r="O2321" s="1763" t="str">
        <f t="shared" si="2094"/>
        <v>2CDS252001R0404</v>
      </c>
      <c r="P2321" s="1764" t="str">
        <f t="shared" si="2095"/>
        <v>ITM Riel-Din 2x40A - S202-C-40A - 10kA@400Vac-IEC60947-2 - marca ABB.</v>
      </c>
      <c r="Q2321" s="120" t="str">
        <f t="shared" si="2096"/>
        <v>S202-C-40A</v>
      </c>
      <c r="R2321" s="185"/>
    </row>
    <row r="2322" spans="1:20" s="695" customFormat="1">
      <c r="A2322" s="687"/>
      <c r="B2322" s="1967">
        <v>1</v>
      </c>
      <c r="C2322" s="1946">
        <v>8</v>
      </c>
      <c r="D2322" s="1582"/>
      <c r="E2322" s="2000">
        <v>32</v>
      </c>
      <c r="F2322" s="1968">
        <f t="shared" ref="F2322" si="2127">+E2322*B2322</f>
        <v>32</v>
      </c>
      <c r="G2322" s="2111"/>
      <c r="H2322" s="1969"/>
      <c r="I2322" s="1969"/>
      <c r="J2322" s="1970"/>
      <c r="K2322" s="684">
        <f t="shared" si="2120"/>
        <v>1</v>
      </c>
      <c r="L2322" s="363">
        <v>1</v>
      </c>
      <c r="M2322" s="684">
        <f t="shared" si="2126"/>
        <v>1</v>
      </c>
      <c r="N2322" s="362" t="str">
        <f t="shared" si="2093"/>
        <v/>
      </c>
      <c r="O2322" s="1763" t="str">
        <f t="shared" si="2094"/>
        <v/>
      </c>
      <c r="P2322" s="1764" t="str">
        <f t="shared" si="2095"/>
        <v/>
      </c>
      <c r="Q2322" s="120" t="str">
        <f t="shared" si="2096"/>
        <v/>
      </c>
    </row>
    <row r="2323" spans="1:20" s="185" customFormat="1">
      <c r="A2323" s="692"/>
      <c r="B2323" s="714"/>
      <c r="C2323" s="1893" t="s">
        <v>729</v>
      </c>
      <c r="D2323" s="1941"/>
      <c r="E2323" s="1786"/>
      <c r="F2323" s="1787"/>
      <c r="G2323" s="2113"/>
      <c r="H2323" s="710"/>
      <c r="I2323" s="710"/>
      <c r="J2323" s="711"/>
      <c r="K2323" s="684">
        <f t="shared" si="2120"/>
        <v>1</v>
      </c>
      <c r="L2323" s="363">
        <v>1</v>
      </c>
      <c r="M2323" s="709">
        <f>IF(B2323="",1,B2323)</f>
        <v>1</v>
      </c>
      <c r="N2323" s="362" t="str">
        <f t="shared" si="2093"/>
        <v/>
      </c>
      <c r="O2323" s="1763" t="str">
        <f t="shared" si="2094"/>
        <v/>
      </c>
      <c r="P2323" s="1764" t="str">
        <f t="shared" si="2095"/>
        <v/>
      </c>
      <c r="Q2323" s="120" t="str">
        <f t="shared" si="2096"/>
        <v/>
      </c>
    </row>
    <row r="2324" spans="1:20" s="315" customFormat="1">
      <c r="A2324" s="1785"/>
      <c r="B2324" s="355"/>
      <c r="C2324" s="1944" t="s">
        <v>3063</v>
      </c>
      <c r="D2324" s="1941"/>
      <c r="E2324" s="1786"/>
      <c r="F2324" s="1787"/>
      <c r="G2324" s="2110"/>
      <c r="H2324" s="712"/>
      <c r="I2324" s="712"/>
      <c r="J2324" s="713"/>
      <c r="K2324" s="684">
        <f t="shared" si="2120"/>
        <v>1</v>
      </c>
      <c r="L2324" s="708">
        <v>1</v>
      </c>
      <c r="M2324" s="709">
        <f>IF(B2324="",1,B2324)</f>
        <v>1</v>
      </c>
      <c r="N2324" s="362" t="str">
        <f t="shared" si="2093"/>
        <v/>
      </c>
      <c r="O2324" s="1763" t="str">
        <f t="shared" si="2094"/>
        <v/>
      </c>
      <c r="P2324" s="1764" t="str">
        <f t="shared" si="2095"/>
        <v/>
      </c>
      <c r="Q2324" s="120" t="str">
        <f t="shared" si="2096"/>
        <v/>
      </c>
    </row>
    <row r="2325" spans="1:20" s="690" customFormat="1" ht="18" customHeight="1">
      <c r="A2325" s="691"/>
      <c r="B2325" s="1781">
        <v>1</v>
      </c>
      <c r="C2325" s="1420" t="str">
        <f>VLOOKUP(D2325,base_datos,6,FALSE)</f>
        <v>ITM Riel-Din 2x40A - S202-C-40A - 10kA@400Vac-IEC60947-2 - marca ABB.</v>
      </c>
      <c r="D2325" s="1790" t="s">
        <v>1009</v>
      </c>
      <c r="E2325" s="1791">
        <f>VLOOKUP(D2325,base_datos,5,FALSE)</f>
        <v>23.59</v>
      </c>
      <c r="F2325" s="1782">
        <f t="shared" ref="F2325:F2326" si="2128">+E2325*B2325</f>
        <v>23.59</v>
      </c>
      <c r="G2325" s="1761"/>
      <c r="H2325" s="1761"/>
      <c r="I2325" s="1761"/>
      <c r="J2325" s="1783"/>
      <c r="K2325" s="684">
        <f t="shared" si="2120"/>
        <v>1</v>
      </c>
      <c r="L2325" s="708">
        <v>1</v>
      </c>
      <c r="M2325" s="709">
        <f>IF(B2325="",1,B2325)</f>
        <v>1</v>
      </c>
      <c r="N2325" s="362">
        <f t="shared" si="2093"/>
        <v>1</v>
      </c>
      <c r="O2325" s="1763" t="str">
        <f t="shared" si="2094"/>
        <v>2CDS252001R0404</v>
      </c>
      <c r="P2325" s="1764" t="str">
        <f t="shared" si="2095"/>
        <v>ITM Riel-Din 2x40A - S202-C-40A - 10kA@400Vac-IEC60947-2 - marca ABB.</v>
      </c>
      <c r="Q2325" s="120" t="str">
        <f t="shared" si="2096"/>
        <v>S202-C-40A</v>
      </c>
      <c r="R2325" s="185"/>
    </row>
    <row r="2326" spans="1:20" s="690" customFormat="1" ht="18" customHeight="1">
      <c r="A2326" s="691"/>
      <c r="B2326" s="1781">
        <v>2</v>
      </c>
      <c r="C2326" s="1420" t="str">
        <f>VLOOKUP(D2326,base_datos,6,FALSE)</f>
        <v>Protector de sobretensiones (Tipo 2) - OVR-T2_40-440_P-QS_1P - Un=230/400V, Uc=440V, Up=1.8kV - I_descarga=40kA - marca ABB.</v>
      </c>
      <c r="D2326" s="1901" t="s">
        <v>6448</v>
      </c>
      <c r="E2326" s="1791">
        <f>VLOOKUP(D2326,base_datos,5,FALSE)</f>
        <v>75.59</v>
      </c>
      <c r="F2326" s="1782">
        <f t="shared" si="2128"/>
        <v>151.18</v>
      </c>
      <c r="G2326" s="1761"/>
      <c r="H2326" s="1761"/>
      <c r="I2326" s="1761"/>
      <c r="J2326" s="1783"/>
      <c r="K2326" s="684">
        <f t="shared" si="2120"/>
        <v>1</v>
      </c>
      <c r="L2326" s="708">
        <v>1</v>
      </c>
      <c r="M2326" s="709">
        <f>IF(B2326="",1,B2326)</f>
        <v>2</v>
      </c>
      <c r="N2326" s="362">
        <f t="shared" ref="N2326:N2365" si="2129">IF(O2326&lt;&gt;"",K2326*L2326*M2326,"")</f>
        <v>2</v>
      </c>
      <c r="O2326" s="1763" t="str">
        <f t="shared" ref="O2326:O2365" si="2130">IF(D2326&lt;&gt;"",IF(VLOOKUP(D2326,base_datos,7,FALSE)&lt;&gt;"",VLOOKUP(D2326,base_datos,7,FALSE),""),"")</f>
        <v>2CTB803871R1200</v>
      </c>
      <c r="P2326" s="1764" t="str">
        <f t="shared" ref="P2326:P2365" si="2131">IF(O2326&lt;&gt;"",VLOOKUP(D2326,base_datos,6,FALSE),"")</f>
        <v>Protector de sobretensiones (Tipo 2) - OVR-T2_40-440_P-QS_1P - Un=230/400V, Uc=440V, Up=1.8kV - I_descarga=40kA - marca ABB.</v>
      </c>
      <c r="Q2326" s="120" t="str">
        <f t="shared" ref="Q2326:Q2365" si="2132">IF(O2326&lt;&gt;"",D2326,"")</f>
        <v>OVR-T2_40-440_P-QS_1P</v>
      </c>
      <c r="R2326" s="185"/>
    </row>
    <row r="2327" spans="1:20" s="185" customFormat="1">
      <c r="A2327" s="692"/>
      <c r="B2327" s="714"/>
      <c r="C2327" s="1956" t="s">
        <v>12368</v>
      </c>
      <c r="D2327" s="1941"/>
      <c r="E2327" s="1786"/>
      <c r="F2327" s="1787"/>
      <c r="G2327" s="710"/>
      <c r="H2327" s="710"/>
      <c r="I2327" s="710"/>
      <c r="J2327" s="711"/>
      <c r="K2327" s="684">
        <f t="shared" si="2120"/>
        <v>1</v>
      </c>
      <c r="L2327" s="363">
        <v>1</v>
      </c>
      <c r="M2327" s="709">
        <f t="shared" si="2126"/>
        <v>1</v>
      </c>
      <c r="N2327" s="362" t="str">
        <f t="shared" si="2129"/>
        <v/>
      </c>
      <c r="O2327" s="1763" t="str">
        <f t="shared" si="2130"/>
        <v/>
      </c>
      <c r="P2327" s="1764" t="str">
        <f t="shared" si="2131"/>
        <v/>
      </c>
      <c r="Q2327" s="120" t="str">
        <f t="shared" si="2132"/>
        <v/>
      </c>
    </row>
    <row r="2328" spans="1:20" s="315" customFormat="1">
      <c r="A2328" s="1785"/>
      <c r="B2328" s="355"/>
      <c r="C2328" s="1944" t="s">
        <v>3063</v>
      </c>
      <c r="D2328" s="1941"/>
      <c r="E2328" s="1786"/>
      <c r="F2328" s="1787"/>
      <c r="G2328" s="712"/>
      <c r="H2328" s="712"/>
      <c r="I2328" s="712"/>
      <c r="J2328" s="713"/>
      <c r="K2328" s="684">
        <f t="shared" si="2120"/>
        <v>1</v>
      </c>
      <c r="L2328" s="708">
        <v>1</v>
      </c>
      <c r="M2328" s="709">
        <f t="shared" si="2126"/>
        <v>1</v>
      </c>
      <c r="N2328" s="362" t="str">
        <f t="shared" si="2129"/>
        <v/>
      </c>
      <c r="O2328" s="1763" t="str">
        <f t="shared" si="2130"/>
        <v/>
      </c>
      <c r="P2328" s="1764" t="str">
        <f t="shared" si="2131"/>
        <v/>
      </c>
      <c r="Q2328" s="120" t="str">
        <f t="shared" si="2132"/>
        <v/>
      </c>
    </row>
    <row r="2329" spans="1:20" s="1921" customFormat="1">
      <c r="A2329" s="1961"/>
      <c r="B2329" s="1962">
        <v>1</v>
      </c>
      <c r="C2329" s="1963" t="s">
        <v>12372</v>
      </c>
      <c r="D2329" s="1941"/>
      <c r="E2329" s="1917"/>
      <c r="F2329" s="1937"/>
      <c r="G2329" s="1919"/>
      <c r="H2329" s="1919"/>
      <c r="I2329" s="1919"/>
      <c r="J2329" s="1920"/>
      <c r="K2329" s="684">
        <f t="shared" si="2120"/>
        <v>1</v>
      </c>
      <c r="L2329" s="708">
        <v>1</v>
      </c>
      <c r="M2329" s="709">
        <f t="shared" si="2126"/>
        <v>1</v>
      </c>
      <c r="N2329" s="362" t="str">
        <f t="shared" si="2129"/>
        <v/>
      </c>
      <c r="O2329" s="1763" t="str">
        <f t="shared" si="2130"/>
        <v/>
      </c>
      <c r="P2329" s="1764" t="str">
        <f t="shared" si="2131"/>
        <v/>
      </c>
      <c r="Q2329" s="120" t="str">
        <f t="shared" si="2132"/>
        <v/>
      </c>
    </row>
    <row r="2330" spans="1:20" s="185" customFormat="1">
      <c r="A2330" s="1976"/>
      <c r="B2330" s="1977">
        <v>4</v>
      </c>
      <c r="C2330" s="721" t="str">
        <f>VLOOKUP(D2330,base_datos,6,FALSE)</f>
        <v>Borne 35mm2.</v>
      </c>
      <c r="D2330" s="173" t="s">
        <v>8285</v>
      </c>
      <c r="E2330" s="1978">
        <f t="shared" ref="E2330" si="2133">VLOOKUP(D2330,base_datos,5,FALSE)</f>
        <v>15</v>
      </c>
      <c r="F2330" s="1971">
        <f t="shared" ref="F2330" si="2134">+E2330*B2330</f>
        <v>60</v>
      </c>
      <c r="G2330" s="1965"/>
      <c r="H2330" s="1965"/>
      <c r="I2330" s="1965"/>
      <c r="J2330" s="711"/>
      <c r="K2330" s="684">
        <f t="shared" si="2120"/>
        <v>1</v>
      </c>
      <c r="L2330" s="363">
        <v>1</v>
      </c>
      <c r="M2330" s="684">
        <f t="shared" si="2126"/>
        <v>4</v>
      </c>
      <c r="N2330" s="362" t="str">
        <f t="shared" si="2129"/>
        <v/>
      </c>
      <c r="O2330" s="1763" t="str">
        <f t="shared" si="2130"/>
        <v/>
      </c>
      <c r="P2330" s="1764" t="str">
        <f t="shared" si="2131"/>
        <v/>
      </c>
      <c r="Q2330" s="120" t="str">
        <f t="shared" si="2132"/>
        <v/>
      </c>
      <c r="R2330" s="690"/>
      <c r="S2330" s="1979"/>
      <c r="T2330" s="1979"/>
    </row>
    <row r="2331" spans="1:20" s="185" customFormat="1">
      <c r="A2331" s="1771"/>
      <c r="B2331" s="1922"/>
      <c r="C2331" s="1956" t="s">
        <v>12368</v>
      </c>
      <c r="D2331" s="1579"/>
      <c r="E2331" s="1957"/>
      <c r="F2331" s="1958"/>
      <c r="G2331" s="710"/>
      <c r="H2331" s="710"/>
      <c r="I2331" s="710"/>
      <c r="J2331" s="711"/>
      <c r="K2331" s="684">
        <f t="shared" si="2120"/>
        <v>1</v>
      </c>
      <c r="L2331" s="708">
        <v>1</v>
      </c>
      <c r="M2331" s="684">
        <f t="shared" si="2126"/>
        <v>1</v>
      </c>
      <c r="N2331" s="362" t="str">
        <f t="shared" si="2129"/>
        <v/>
      </c>
      <c r="O2331" s="1763" t="str">
        <f t="shared" si="2130"/>
        <v/>
      </c>
      <c r="P2331" s="1764" t="str">
        <f t="shared" si="2131"/>
        <v/>
      </c>
      <c r="Q2331" s="120" t="str">
        <f t="shared" si="2132"/>
        <v/>
      </c>
    </row>
    <row r="2332" spans="1:20" s="120" customFormat="1">
      <c r="A2332" s="687"/>
      <c r="B2332" s="1781"/>
      <c r="C2332" s="1959" t="s">
        <v>12373</v>
      </c>
      <c r="D2332" s="173"/>
      <c r="E2332" s="1791"/>
      <c r="F2332" s="1782"/>
      <c r="G2332" s="686"/>
      <c r="H2332" s="686"/>
      <c r="I2332" s="686"/>
      <c r="J2332" s="688"/>
      <c r="K2332" s="684">
        <f t="shared" si="2120"/>
        <v>1</v>
      </c>
      <c r="L2332" s="363">
        <v>1</v>
      </c>
      <c r="M2332" s="684">
        <f t="shared" si="2126"/>
        <v>1</v>
      </c>
      <c r="N2332" s="362" t="str">
        <f t="shared" si="2129"/>
        <v/>
      </c>
      <c r="O2332" s="1763" t="str">
        <f t="shared" si="2130"/>
        <v/>
      </c>
      <c r="P2332" s="1764" t="str">
        <f t="shared" si="2131"/>
        <v/>
      </c>
      <c r="Q2332" s="120" t="str">
        <f t="shared" si="2132"/>
        <v/>
      </c>
      <c r="R2332" s="185"/>
    </row>
    <row r="2333" spans="1:20" s="185" customFormat="1">
      <c r="A2333" s="687"/>
      <c r="B2333" s="714"/>
      <c r="C2333" s="1956" t="s">
        <v>12368</v>
      </c>
      <c r="D2333" s="173"/>
      <c r="E2333" s="1786"/>
      <c r="F2333" s="1787"/>
      <c r="G2333" s="710"/>
      <c r="H2333" s="710"/>
      <c r="I2333" s="710"/>
      <c r="J2333" s="711"/>
      <c r="K2333" s="684">
        <f t="shared" si="2120"/>
        <v>1</v>
      </c>
      <c r="L2333" s="708">
        <v>1</v>
      </c>
      <c r="M2333" s="709">
        <f>IF(B2333="",1,B2333)</f>
        <v>1</v>
      </c>
      <c r="N2333" s="362" t="str">
        <f t="shared" si="2129"/>
        <v/>
      </c>
      <c r="O2333" s="1763" t="str">
        <f t="shared" si="2130"/>
        <v/>
      </c>
      <c r="P2333" s="1764" t="str">
        <f t="shared" si="2131"/>
        <v/>
      </c>
      <c r="Q2333" s="120" t="str">
        <f t="shared" si="2132"/>
        <v/>
      </c>
    </row>
    <row r="2334" spans="1:20" s="315" customFormat="1">
      <c r="A2334" s="687"/>
      <c r="B2334" s="1906">
        <v>1</v>
      </c>
      <c r="C2334" s="1907" t="s">
        <v>12369</v>
      </c>
      <c r="D2334" s="1935"/>
      <c r="E2334" s="1786"/>
      <c r="F2334" s="1936">
        <f>SUM(F2335:F2336)*(B2334-1)</f>
        <v>0</v>
      </c>
      <c r="G2334" s="712"/>
      <c r="H2334" s="712"/>
      <c r="I2334" s="712"/>
      <c r="J2334" s="713"/>
      <c r="K2334" s="684">
        <f t="shared" si="2120"/>
        <v>1</v>
      </c>
      <c r="L2334" s="1909">
        <f>B2334</f>
        <v>1</v>
      </c>
      <c r="M2334" s="684">
        <f t="shared" ref="M2334:M2344" si="2135">IF(B2334="",1,B2334)</f>
        <v>1</v>
      </c>
      <c r="N2334" s="362" t="str">
        <f t="shared" si="2129"/>
        <v/>
      </c>
      <c r="O2334" s="1763" t="str">
        <f t="shared" si="2130"/>
        <v/>
      </c>
      <c r="P2334" s="1764" t="str">
        <f t="shared" si="2131"/>
        <v/>
      </c>
      <c r="Q2334" s="120" t="str">
        <f t="shared" si="2132"/>
        <v/>
      </c>
    </row>
    <row r="2335" spans="1:20" s="185" customFormat="1">
      <c r="A2335" s="1961"/>
      <c r="B2335" s="1910">
        <v>2</v>
      </c>
      <c r="C2335" s="1911" t="str">
        <f>VLOOKUP(D2335,base_datos,6,FALSE)</f>
        <v>ITM Riel-Din 2x40A - S202-C-40A - 10kA@400Vac-IEC60947-2 - marca ABB.</v>
      </c>
      <c r="D2335" s="1790" t="s">
        <v>1009</v>
      </c>
      <c r="E2335" s="1787">
        <f>VLOOKUP(D2335,base_datos,5,FALSE)</f>
        <v>23.59</v>
      </c>
      <c r="F2335" s="1912">
        <f>+E2335*B2335</f>
        <v>47.18</v>
      </c>
      <c r="G2335" s="710"/>
      <c r="H2335" s="710"/>
      <c r="I2335" s="710"/>
      <c r="J2335" s="711"/>
      <c r="K2335" s="684">
        <f t="shared" si="2120"/>
        <v>1</v>
      </c>
      <c r="L2335" s="1913">
        <f>L2334</f>
        <v>1</v>
      </c>
      <c r="M2335" s="709">
        <f t="shared" si="2135"/>
        <v>2</v>
      </c>
      <c r="N2335" s="362">
        <f t="shared" si="2129"/>
        <v>2</v>
      </c>
      <c r="O2335" s="1763" t="str">
        <f t="shared" si="2130"/>
        <v>2CDS252001R0404</v>
      </c>
      <c r="P2335" s="1764" t="str">
        <f t="shared" si="2131"/>
        <v>ITM Riel-Din 2x40A - S202-C-40A - 10kA@400Vac-IEC60947-2 - marca ABB.</v>
      </c>
      <c r="Q2335" s="120" t="str">
        <f t="shared" si="2132"/>
        <v>S202-C-40A</v>
      </c>
    </row>
    <row r="2336" spans="1:20" s="1921" customFormat="1">
      <c r="A2336" s="1771"/>
      <c r="B2336" s="1914">
        <v>1</v>
      </c>
      <c r="C2336" s="1911" t="str">
        <f>VLOOKUP(D2336,base_datos,6,FALSE)</f>
        <v>Bloqueo mecánico para enclavamiento manual entre dos interruptores - Riel-Din.</v>
      </c>
      <c r="D2336" s="1790" t="s">
        <v>5954</v>
      </c>
      <c r="E2336" s="1787">
        <f>VLOOKUP(D2336,base_datos,5,FALSE)</f>
        <v>50</v>
      </c>
      <c r="F2336" s="1912">
        <f>+E2336*B2336</f>
        <v>50</v>
      </c>
      <c r="G2336" s="1919"/>
      <c r="H2336" s="1919"/>
      <c r="I2336" s="1919"/>
      <c r="J2336" s="1920"/>
      <c r="K2336" s="684">
        <f t="shared" si="2120"/>
        <v>1</v>
      </c>
      <c r="L2336" s="1913">
        <f>L2335</f>
        <v>1</v>
      </c>
      <c r="M2336" s="709">
        <f t="shared" si="2135"/>
        <v>1</v>
      </c>
      <c r="N2336" s="362" t="str">
        <f t="shared" si="2129"/>
        <v/>
      </c>
      <c r="O2336" s="1763" t="str">
        <f t="shared" si="2130"/>
        <v/>
      </c>
      <c r="P2336" s="1764" t="str">
        <f t="shared" si="2131"/>
        <v/>
      </c>
      <c r="Q2336" s="120" t="str">
        <f t="shared" si="2132"/>
        <v/>
      </c>
    </row>
    <row r="2337" spans="1:20" s="185" customFormat="1">
      <c r="A2337" s="687"/>
      <c r="B2337" s="714"/>
      <c r="C2337" s="1956" t="s">
        <v>12368</v>
      </c>
      <c r="D2337" s="173"/>
      <c r="E2337" s="1786"/>
      <c r="F2337" s="1787"/>
      <c r="G2337" s="710"/>
      <c r="H2337" s="710"/>
      <c r="I2337" s="710"/>
      <c r="J2337" s="711"/>
      <c r="K2337" s="684">
        <f t="shared" si="2120"/>
        <v>1</v>
      </c>
      <c r="L2337" s="363">
        <v>1</v>
      </c>
      <c r="M2337" s="709">
        <f t="shared" si="2135"/>
        <v>1</v>
      </c>
      <c r="N2337" s="362" t="str">
        <f t="shared" si="2129"/>
        <v/>
      </c>
      <c r="O2337" s="1763" t="str">
        <f t="shared" si="2130"/>
        <v/>
      </c>
      <c r="P2337" s="1764" t="str">
        <f t="shared" si="2131"/>
        <v/>
      </c>
      <c r="Q2337" s="120" t="str">
        <f t="shared" si="2132"/>
        <v/>
      </c>
    </row>
    <row r="2338" spans="1:20" s="690" customFormat="1">
      <c r="A2338" s="687"/>
      <c r="B2338" s="1851"/>
      <c r="C2338" s="1966" t="s">
        <v>2654</v>
      </c>
      <c r="D2338" s="1582"/>
      <c r="E2338" s="1780"/>
      <c r="F2338" s="1782"/>
      <c r="G2338" s="1761"/>
      <c r="H2338" s="1761"/>
      <c r="I2338" s="1761"/>
      <c r="J2338" s="689"/>
      <c r="K2338" s="684">
        <f t="shared" si="2120"/>
        <v>1</v>
      </c>
      <c r="L2338" s="363">
        <v>1</v>
      </c>
      <c r="M2338" s="684">
        <f t="shared" si="2135"/>
        <v>1</v>
      </c>
      <c r="N2338" s="362" t="str">
        <f t="shared" si="2129"/>
        <v/>
      </c>
      <c r="O2338" s="1763" t="str">
        <f t="shared" si="2130"/>
        <v/>
      </c>
      <c r="P2338" s="1764" t="str">
        <f t="shared" si="2131"/>
        <v/>
      </c>
      <c r="Q2338" s="120" t="str">
        <f t="shared" si="2132"/>
        <v/>
      </c>
      <c r="R2338" s="185"/>
    </row>
    <row r="2339" spans="1:20" s="690" customFormat="1">
      <c r="A2339" s="687"/>
      <c r="B2339" s="1781">
        <v>1</v>
      </c>
      <c r="C2339" s="1960" t="str">
        <f>VLOOKUP(D2339,base_datos,6,FALSE)</f>
        <v>ITM Riel-Din 2x32A - S202-C-32A - 10kA@400Vac-IEC60947-2 - marca ABB.</v>
      </c>
      <c r="D2339" s="1901" t="s">
        <v>971</v>
      </c>
      <c r="E2339" s="1791">
        <f>VLOOKUP(D2339,base_datos,5,FALSE)</f>
        <v>17.930000000000003</v>
      </c>
      <c r="F2339" s="1782">
        <f>+E2339*B2339</f>
        <v>17.930000000000003</v>
      </c>
      <c r="G2339" s="1761"/>
      <c r="H2339" s="1761"/>
      <c r="I2339" s="1761"/>
      <c r="J2339" s="689"/>
      <c r="K2339" s="684">
        <f t="shared" si="2120"/>
        <v>1</v>
      </c>
      <c r="L2339" s="363">
        <v>1</v>
      </c>
      <c r="M2339" s="684">
        <f t="shared" ref="M2339:M2340" si="2136">IF(B2339="",1,B2339)</f>
        <v>1</v>
      </c>
      <c r="N2339" s="362">
        <f t="shared" ref="N2339:N2340" si="2137">IF(O2339&lt;&gt;"",K2339*L2339*M2339,"")</f>
        <v>1</v>
      </c>
      <c r="O2339" s="1763" t="str">
        <f t="shared" ref="O2339:O2340" si="2138">IF(D2339&lt;&gt;"",IF(VLOOKUP(D2339,base_datos,7,FALSE)&lt;&gt;"",VLOOKUP(D2339,base_datos,7,FALSE),""),"")</f>
        <v>2CDS252001R0324</v>
      </c>
      <c r="P2339" s="1764" t="str">
        <f t="shared" ref="P2339:P2340" si="2139">IF(O2339&lt;&gt;"",VLOOKUP(D2339,base_datos,6,FALSE),"")</f>
        <v>ITM Riel-Din 2x32A - S202-C-32A - 10kA@400Vac-IEC60947-2 - marca ABB.</v>
      </c>
      <c r="Q2339" s="120" t="str">
        <f t="shared" ref="Q2339:Q2340" si="2140">IF(O2339&lt;&gt;"",D2339,"")</f>
        <v>S202-C-32A</v>
      </c>
      <c r="R2339" s="185"/>
    </row>
    <row r="2340" spans="1:20" s="690" customFormat="1">
      <c r="A2340" s="687"/>
      <c r="B2340" s="2023">
        <v>1</v>
      </c>
      <c r="C2340" s="2041" t="str">
        <f>VLOOKUP(D2340,base_datos,6,FALSE)</f>
        <v>Interruptor Diferencial 2x40A - 30mA - clase A-APR (alta inmunización) - F202-A APR-40A-30mA  - marca ABB.</v>
      </c>
      <c r="D2340" s="1901" t="s">
        <v>1136</v>
      </c>
      <c r="E2340" s="2025">
        <f>VLOOKUP(D2340,base_datos,5,FALSE)</f>
        <v>93.570000000000007</v>
      </c>
      <c r="F2340" s="2026">
        <f>+E2340*B2340</f>
        <v>93.570000000000007</v>
      </c>
      <c r="G2340" s="1761"/>
      <c r="H2340" s="1761"/>
      <c r="I2340" s="1761"/>
      <c r="J2340" s="689"/>
      <c r="K2340" s="684">
        <f t="shared" si="2120"/>
        <v>1</v>
      </c>
      <c r="L2340" s="363">
        <v>1</v>
      </c>
      <c r="M2340" s="684">
        <f t="shared" si="2136"/>
        <v>1</v>
      </c>
      <c r="N2340" s="362">
        <f t="shared" si="2137"/>
        <v>1</v>
      </c>
      <c r="O2340" s="1763" t="str">
        <f t="shared" si="2138"/>
        <v>2CSF202401R1400</v>
      </c>
      <c r="P2340" s="1764" t="str">
        <f t="shared" si="2139"/>
        <v>Interruptor Diferencial 2x40A - 30mA - clase A-APR (alta inmunización) - F202-A APR-40A-30mA  - marca ABB.</v>
      </c>
      <c r="Q2340" s="120" t="str">
        <f t="shared" si="2140"/>
        <v>F202-A APR-40A-30mA</v>
      </c>
      <c r="R2340" s="185"/>
    </row>
    <row r="2341" spans="1:20" s="690" customFormat="1">
      <c r="A2341" s="687"/>
      <c r="B2341" s="1781">
        <v>4</v>
      </c>
      <c r="C2341" s="1960" t="str">
        <f>VLOOKUP(D2341,base_datos,6,FALSE)</f>
        <v>ITM Riel-Din 2x16A - S202-C-16A - 10kA@400Vac-IEC60947-2 - marca ABB.</v>
      </c>
      <c r="D2341" s="1901" t="s">
        <v>970</v>
      </c>
      <c r="E2341" s="1791">
        <f>VLOOKUP(D2341,base_datos,5,FALSE)</f>
        <v>17.96</v>
      </c>
      <c r="F2341" s="1782">
        <f>+E2341*B2341</f>
        <v>71.84</v>
      </c>
      <c r="G2341" s="1761"/>
      <c r="H2341" s="1761"/>
      <c r="I2341" s="1761"/>
      <c r="J2341" s="689"/>
      <c r="K2341" s="684">
        <f t="shared" si="2120"/>
        <v>1</v>
      </c>
      <c r="L2341" s="363">
        <v>1</v>
      </c>
      <c r="M2341" s="684">
        <f t="shared" si="2135"/>
        <v>4</v>
      </c>
      <c r="N2341" s="362">
        <f t="shared" si="2129"/>
        <v>4</v>
      </c>
      <c r="O2341" s="1763" t="str">
        <f t="shared" si="2130"/>
        <v>2CDS252001R0164</v>
      </c>
      <c r="P2341" s="1764" t="str">
        <f t="shared" si="2131"/>
        <v>ITM Riel-Din 2x16A - S202-C-16A - 10kA@400Vac-IEC60947-2 - marca ABB.</v>
      </c>
      <c r="Q2341" s="120" t="str">
        <f t="shared" si="2132"/>
        <v>S202-C-16A</v>
      </c>
      <c r="R2341" s="185"/>
    </row>
    <row r="2342" spans="1:20" s="690" customFormat="1">
      <c r="A2342" s="687"/>
      <c r="B2342" s="2023">
        <v>4</v>
      </c>
      <c r="C2342" s="2041" t="str">
        <f>VLOOKUP(D2342,base_datos,6,FALSE)</f>
        <v>Interruptor Diferencial 2x25A - 30mA - clase A-APR (alta inmunización) - F202-A APR-25A-30mA  - marca ABB.</v>
      </c>
      <c r="D2342" s="1901" t="s">
        <v>1135</v>
      </c>
      <c r="E2342" s="2025">
        <f>VLOOKUP(D2342,base_datos,5,FALSE)</f>
        <v>86.79</v>
      </c>
      <c r="F2342" s="2026">
        <f>+E2342*B2342</f>
        <v>347.16</v>
      </c>
      <c r="G2342" s="1761"/>
      <c r="H2342" s="1761"/>
      <c r="I2342" s="1761"/>
      <c r="J2342" s="689"/>
      <c r="K2342" s="684">
        <f t="shared" si="2120"/>
        <v>1</v>
      </c>
      <c r="L2342" s="363">
        <v>1</v>
      </c>
      <c r="M2342" s="684">
        <f t="shared" si="2135"/>
        <v>4</v>
      </c>
      <c r="N2342" s="362">
        <f t="shared" si="2129"/>
        <v>4</v>
      </c>
      <c r="O2342" s="1763" t="str">
        <f t="shared" si="2130"/>
        <v>2CSF202401R1250</v>
      </c>
      <c r="P2342" s="1764" t="str">
        <f t="shared" si="2131"/>
        <v>Interruptor Diferencial 2x25A - 30mA - clase A-APR (alta inmunización) - F202-A APR-25A-30mA  - marca ABB.</v>
      </c>
      <c r="Q2342" s="120" t="str">
        <f t="shared" si="2132"/>
        <v>F202-A APR-25A-30mA</v>
      </c>
      <c r="R2342" s="185"/>
    </row>
    <row r="2343" spans="1:20" s="690" customFormat="1">
      <c r="A2343" s="687"/>
      <c r="B2343" s="1781">
        <v>1</v>
      </c>
      <c r="C2343" s="1960" t="str">
        <f>VLOOKUP(D2343,base_datos,6,FALSE)</f>
        <v>Espacio de reserva monofasica + interruptor diferencial - Riel-Din.</v>
      </c>
      <c r="D2343" s="1901" t="s">
        <v>2926</v>
      </c>
      <c r="E2343" s="1791">
        <f>VLOOKUP(D2343,base_datos,5,FALSE)</f>
        <v>2.5</v>
      </c>
      <c r="F2343" s="1782">
        <f>+E2343*B2343</f>
        <v>2.5</v>
      </c>
      <c r="G2343" s="1761"/>
      <c r="H2343" s="1761"/>
      <c r="I2343" s="1761"/>
      <c r="J2343" s="689"/>
      <c r="K2343" s="684">
        <f t="shared" si="2120"/>
        <v>1</v>
      </c>
      <c r="L2343" s="363">
        <v>1</v>
      </c>
      <c r="M2343" s="684">
        <f t="shared" si="2135"/>
        <v>1</v>
      </c>
      <c r="N2343" s="362" t="str">
        <f t="shared" si="2129"/>
        <v/>
      </c>
      <c r="O2343" s="1763" t="str">
        <f t="shared" si="2130"/>
        <v/>
      </c>
      <c r="P2343" s="1764" t="str">
        <f t="shared" si="2131"/>
        <v/>
      </c>
      <c r="Q2343" s="120" t="str">
        <f t="shared" si="2132"/>
        <v/>
      </c>
      <c r="R2343" s="185"/>
    </row>
    <row r="2344" spans="1:20" s="695" customFormat="1">
      <c r="A2344" s="687"/>
      <c r="B2344" s="1967">
        <v>1</v>
      </c>
      <c r="C2344" s="1946">
        <v>12</v>
      </c>
      <c r="D2344" s="1582"/>
      <c r="E2344" s="2000">
        <v>48</v>
      </c>
      <c r="F2344" s="1968">
        <f t="shared" ref="F2344" si="2141">+E2344*B2344</f>
        <v>48</v>
      </c>
      <c r="G2344" s="1969"/>
      <c r="H2344" s="1969"/>
      <c r="I2344" s="1969"/>
      <c r="J2344" s="1970"/>
      <c r="K2344" s="684">
        <f t="shared" si="2120"/>
        <v>1</v>
      </c>
      <c r="L2344" s="363">
        <v>1</v>
      </c>
      <c r="M2344" s="684">
        <f t="shared" si="2135"/>
        <v>1</v>
      </c>
      <c r="N2344" s="362" t="str">
        <f t="shared" si="2129"/>
        <v/>
      </c>
      <c r="O2344" s="1763" t="str">
        <f t="shared" si="2130"/>
        <v/>
      </c>
      <c r="P2344" s="1764" t="str">
        <f t="shared" si="2131"/>
        <v/>
      </c>
      <c r="Q2344" s="120" t="str">
        <f t="shared" si="2132"/>
        <v/>
      </c>
    </row>
    <row r="2345" spans="1:20" s="185" customFormat="1" ht="18" customHeight="1">
      <c r="A2345" s="1785"/>
      <c r="B2345" s="714"/>
      <c r="C2345" s="1893" t="s">
        <v>729</v>
      </c>
      <c r="D2345" s="173"/>
      <c r="E2345" s="1786"/>
      <c r="F2345" s="1787"/>
      <c r="G2345" s="710"/>
      <c r="H2345" s="710"/>
      <c r="I2345" s="710"/>
      <c r="J2345" s="711"/>
      <c r="K2345" s="684">
        <f t="shared" si="2120"/>
        <v>1</v>
      </c>
      <c r="L2345" s="708">
        <v>1</v>
      </c>
      <c r="M2345" s="709">
        <f t="shared" ref="M2345:M2364" si="2142">IF(B2345="",1,B2345)</f>
        <v>1</v>
      </c>
      <c r="N2345" s="362" t="str">
        <f t="shared" si="2129"/>
        <v/>
      </c>
      <c r="O2345" s="1763" t="str">
        <f t="shared" si="2130"/>
        <v/>
      </c>
      <c r="P2345" s="1764" t="str">
        <f t="shared" si="2131"/>
        <v/>
      </c>
      <c r="Q2345" s="120" t="str">
        <f t="shared" si="2132"/>
        <v/>
      </c>
    </row>
    <row r="2346" spans="1:20" s="315" customFormat="1" ht="12.75" customHeight="1">
      <c r="A2346" s="2271"/>
      <c r="B2346" s="2272">
        <v>1</v>
      </c>
      <c r="C2346" s="2281" t="s">
        <v>13366</v>
      </c>
      <c r="D2346" s="1935"/>
      <c r="E2346" s="2287"/>
      <c r="F2346" s="2257">
        <f>+SUM(F2347:F2350)*(B2346-1)</f>
        <v>0</v>
      </c>
      <c r="G2346" s="712"/>
      <c r="H2346" s="712"/>
      <c r="I2346" s="712"/>
      <c r="J2346" s="713"/>
      <c r="K2346" s="684">
        <f t="shared" ref="K2346:K2351" si="2143">+K2343</f>
        <v>1</v>
      </c>
      <c r="L2346" s="2258">
        <v>1</v>
      </c>
      <c r="M2346" s="120">
        <f t="shared" si="2142"/>
        <v>1</v>
      </c>
      <c r="N2346" s="112" t="str">
        <f t="shared" si="2129"/>
        <v/>
      </c>
      <c r="O2346" s="112" t="str">
        <f t="shared" si="2130"/>
        <v/>
      </c>
      <c r="P2346" s="120" t="str">
        <f t="shared" si="2131"/>
        <v/>
      </c>
      <c r="Q2346" s="120" t="str">
        <f t="shared" si="2132"/>
        <v/>
      </c>
      <c r="S2346" s="112" t="str">
        <f t="shared" ref="S2346:S2351" si="2144">IF(O2346&lt;&gt;"",VLOOKUP(D2346,base_datos,9,FALSE),"")</f>
        <v/>
      </c>
      <c r="T2346" s="2128"/>
    </row>
    <row r="2347" spans="1:20" s="690" customFormat="1" ht="18" customHeight="1">
      <c r="A2347" s="2273"/>
      <c r="B2347" s="1781">
        <v>1</v>
      </c>
      <c r="C2347" s="1420" t="str">
        <f t="shared" ref="C2347:C2350" si="2145">VLOOKUP(D2347,base_datos,6,FALSE)</f>
        <v>Calefactor resistivo 60W, modelo RACM - marca FANDIS.</v>
      </c>
      <c r="D2347" s="1899" t="s">
        <v>3298</v>
      </c>
      <c r="E2347" s="2288">
        <f t="shared" ref="E2347" si="2146">VLOOKUP(D2347,base_datos,5,FALSE)</f>
        <v>127.1</v>
      </c>
      <c r="F2347" s="1782">
        <f>+E2347*B2347</f>
        <v>127.1</v>
      </c>
      <c r="G2347" s="1761"/>
      <c r="H2347" s="1761"/>
      <c r="I2347" s="1761"/>
      <c r="J2347" s="689"/>
      <c r="K2347" s="684">
        <f t="shared" si="2143"/>
        <v>1</v>
      </c>
      <c r="L2347" s="2258">
        <v>1</v>
      </c>
      <c r="M2347" s="120">
        <f t="shared" si="2142"/>
        <v>1</v>
      </c>
      <c r="N2347" s="112">
        <f t="shared" si="2129"/>
        <v>1</v>
      </c>
      <c r="O2347" s="112" t="str">
        <f t="shared" si="2130"/>
        <v>RACM-60</v>
      </c>
      <c r="P2347" s="120" t="str">
        <f t="shared" si="2131"/>
        <v>Calefactor resistivo 60W, modelo RACM - marca FANDIS.</v>
      </c>
      <c r="Q2347" s="120" t="str">
        <f t="shared" si="2132"/>
        <v>CALEFACT-60W_FAND</v>
      </c>
      <c r="S2347" s="112" t="str">
        <f t="shared" si="2144"/>
        <v>FANDIS</v>
      </c>
      <c r="T2347" s="1765"/>
    </row>
    <row r="2348" spans="1:20" s="690" customFormat="1" ht="18" customHeight="1">
      <c r="A2348" s="2273"/>
      <c r="B2348" s="1781">
        <v>1</v>
      </c>
      <c r="C2348" s="1420" t="str">
        <f t="shared" si="2145"/>
        <v>Termostato para ventilación - 1NA - 230V - marca FANDIS.</v>
      </c>
      <c r="D2348" s="1899" t="s">
        <v>3294</v>
      </c>
      <c r="E2348" s="2288">
        <f t="shared" ref="E2348:E2350" si="2147">VLOOKUP(D2348,base_datos,5,FALSE)</f>
        <v>41.58</v>
      </c>
      <c r="F2348" s="1782">
        <f>+E2348*B2348</f>
        <v>41.58</v>
      </c>
      <c r="G2348" s="1761"/>
      <c r="H2348" s="1761"/>
      <c r="I2348" s="1761"/>
      <c r="J2348" s="689"/>
      <c r="K2348" s="684">
        <f t="shared" si="2143"/>
        <v>1</v>
      </c>
      <c r="L2348" s="2258">
        <v>1</v>
      </c>
      <c r="M2348" s="120">
        <f t="shared" si="2142"/>
        <v>1</v>
      </c>
      <c r="N2348" s="112">
        <f t="shared" si="2129"/>
        <v>1</v>
      </c>
      <c r="O2348" s="112" t="str">
        <f t="shared" si="2130"/>
        <v>TRT-10A230V-NO</v>
      </c>
      <c r="P2348" s="120" t="str">
        <f t="shared" si="2131"/>
        <v>Termostato para ventilación - 1NA - 230V - marca FANDIS.</v>
      </c>
      <c r="Q2348" s="120" t="str">
        <f t="shared" si="2132"/>
        <v>TRT-1NA</v>
      </c>
      <c r="S2348" s="112" t="str">
        <f t="shared" si="2144"/>
        <v>FANDIS</v>
      </c>
      <c r="T2348" s="1765"/>
    </row>
    <row r="2349" spans="1:20" s="320" customFormat="1" ht="12.75" customHeight="1">
      <c r="A2349" s="2274"/>
      <c r="B2349" s="2275">
        <v>1</v>
      </c>
      <c r="C2349" s="2282" t="str">
        <f t="shared" si="2145"/>
        <v>Base portafusibles + Fusibles de protección para control.</v>
      </c>
      <c r="D2349" s="1579" t="s">
        <v>453</v>
      </c>
      <c r="E2349" s="2289">
        <f t="shared" si="2147"/>
        <v>8.1750000000000007</v>
      </c>
      <c r="F2349" s="2264">
        <f>+E2349*B2349</f>
        <v>8.1750000000000007</v>
      </c>
      <c r="G2349" s="2276"/>
      <c r="H2349" s="2276"/>
      <c r="I2349" s="2276"/>
      <c r="J2349" s="722"/>
      <c r="K2349" s="684">
        <f t="shared" si="2143"/>
        <v>1</v>
      </c>
      <c r="L2349" s="2258">
        <v>1</v>
      </c>
      <c r="M2349" s="120">
        <f t="shared" si="2142"/>
        <v>1</v>
      </c>
      <c r="N2349" s="112" t="str">
        <f t="shared" si="2129"/>
        <v/>
      </c>
      <c r="O2349" s="112" t="str">
        <f t="shared" si="2130"/>
        <v/>
      </c>
      <c r="P2349" s="120" t="str">
        <f t="shared" si="2131"/>
        <v/>
      </c>
      <c r="Q2349" s="120" t="str">
        <f t="shared" si="2132"/>
        <v/>
      </c>
      <c r="R2349" s="185"/>
      <c r="S2349" s="112" t="str">
        <f t="shared" si="2144"/>
        <v/>
      </c>
      <c r="T2349" s="709"/>
    </row>
    <row r="2350" spans="1:20" s="320" customFormat="1" ht="12.75" customHeight="1">
      <c r="A2350" s="2274"/>
      <c r="B2350" s="2277">
        <v>1</v>
      </c>
      <c r="C2350" s="2282" t="str">
        <f t="shared" si="2145"/>
        <v>Borne 4mm2.</v>
      </c>
      <c r="D2350" s="1579" t="s">
        <v>437</v>
      </c>
      <c r="E2350" s="2260">
        <f t="shared" si="2147"/>
        <v>2.5</v>
      </c>
      <c r="F2350" s="2260">
        <f>+E2350*B2350</f>
        <v>2.5</v>
      </c>
      <c r="G2350" s="2276"/>
      <c r="H2350" s="2276"/>
      <c r="I2350" s="2276"/>
      <c r="J2350" s="722"/>
      <c r="K2350" s="684">
        <f t="shared" si="2143"/>
        <v>1</v>
      </c>
      <c r="L2350" s="2258">
        <v>1</v>
      </c>
      <c r="M2350" s="120">
        <f t="shared" si="2142"/>
        <v>1</v>
      </c>
      <c r="N2350" s="112" t="str">
        <f t="shared" si="2129"/>
        <v/>
      </c>
      <c r="O2350" s="112" t="str">
        <f t="shared" si="2130"/>
        <v/>
      </c>
      <c r="P2350" s="120" t="str">
        <f t="shared" si="2131"/>
        <v/>
      </c>
      <c r="Q2350" s="120" t="str">
        <f t="shared" si="2132"/>
        <v/>
      </c>
      <c r="R2350" s="185"/>
      <c r="S2350" s="112" t="str">
        <f t="shared" si="2144"/>
        <v/>
      </c>
      <c r="T2350" s="709"/>
    </row>
    <row r="2351" spans="1:20" s="185" customFormat="1" ht="12.75" customHeight="1">
      <c r="A2351" s="2262"/>
      <c r="B2351" s="1760"/>
      <c r="C2351" s="1893" t="s">
        <v>729</v>
      </c>
      <c r="D2351" s="169"/>
      <c r="E2351" s="2256"/>
      <c r="F2351" s="2278"/>
      <c r="G2351" s="710"/>
      <c r="H2351" s="710"/>
      <c r="I2351" s="710"/>
      <c r="J2351" s="711"/>
      <c r="K2351" s="684">
        <f t="shared" si="2143"/>
        <v>1</v>
      </c>
      <c r="L2351" s="2258">
        <v>1</v>
      </c>
      <c r="M2351" s="120">
        <f t="shared" si="2142"/>
        <v>1</v>
      </c>
      <c r="N2351" s="112" t="str">
        <f t="shared" si="2129"/>
        <v/>
      </c>
      <c r="O2351" s="112" t="str">
        <f t="shared" si="2130"/>
        <v/>
      </c>
      <c r="P2351" s="120" t="str">
        <f t="shared" si="2131"/>
        <v/>
      </c>
      <c r="Q2351" s="120" t="str">
        <f t="shared" si="2132"/>
        <v/>
      </c>
      <c r="S2351" s="112" t="str">
        <f t="shared" si="2144"/>
        <v/>
      </c>
      <c r="T2351" s="118"/>
    </row>
    <row r="2352" spans="1:20" s="1236" customFormat="1" ht="18" customHeight="1">
      <c r="A2352" s="1767"/>
      <c r="B2352" s="1853">
        <v>1</v>
      </c>
      <c r="C2352" s="1895" t="s">
        <v>12364</v>
      </c>
      <c r="D2352" s="1902"/>
      <c r="E2352" s="1792"/>
      <c r="F2352" s="1793"/>
      <c r="G2352" s="1784"/>
      <c r="H2352" s="1784"/>
      <c r="I2352" s="1784"/>
      <c r="J2352" s="1182"/>
      <c r="K2352" s="684">
        <f>+K2345</f>
        <v>1</v>
      </c>
      <c r="L2352" s="708">
        <v>1</v>
      </c>
      <c r="M2352" s="709">
        <f t="shared" si="2142"/>
        <v>1</v>
      </c>
      <c r="N2352" s="362" t="str">
        <f t="shared" si="2129"/>
        <v/>
      </c>
      <c r="O2352" s="1763" t="str">
        <f t="shared" si="2130"/>
        <v/>
      </c>
      <c r="P2352" s="1764" t="str">
        <f t="shared" si="2131"/>
        <v/>
      </c>
      <c r="Q2352" s="120" t="str">
        <f t="shared" si="2132"/>
        <v/>
      </c>
      <c r="R2352" s="185"/>
    </row>
    <row r="2353" spans="1:20" s="695" customFormat="1" ht="18" customHeight="1">
      <c r="A2353" s="693"/>
      <c r="B2353" s="1922">
        <v>1</v>
      </c>
      <c r="C2353" s="1848" t="str">
        <f t="shared" ref="C2353" si="2148">VLOOKUP(D2353,base_datos,6,FALSE)</f>
        <v>Placa lamicoid rotulación de 3mm de espesor, fondo negro y letras blancas.</v>
      </c>
      <c r="D2353" s="1886" t="s">
        <v>8570</v>
      </c>
      <c r="E2353" s="1795">
        <f t="shared" ref="E2353" si="2149">VLOOKUP(D2353,base_datos,5,FALSE)</f>
        <v>2.2000000000000002</v>
      </c>
      <c r="F2353" s="1796">
        <f t="shared" ref="F2353" si="2150">+E2353*B2353</f>
        <v>2.2000000000000002</v>
      </c>
      <c r="G2353" s="696"/>
      <c r="H2353" s="696"/>
      <c r="I2353" s="696"/>
      <c r="J2353" s="697"/>
      <c r="K2353" s="684">
        <f t="shared" si="2120"/>
        <v>1</v>
      </c>
      <c r="L2353" s="708">
        <v>1</v>
      </c>
      <c r="M2353" s="709">
        <f t="shared" si="2142"/>
        <v>1</v>
      </c>
      <c r="N2353" s="362">
        <f t="shared" si="2129"/>
        <v>1</v>
      </c>
      <c r="O2353" s="1763" t="str">
        <f t="shared" si="2130"/>
        <v>Placa lamicoid p/distr.</v>
      </c>
      <c r="P2353" s="1764" t="str">
        <f t="shared" si="2131"/>
        <v>Placa lamicoid rotulación de 3mm de espesor, fondo negro y letras blancas.</v>
      </c>
      <c r="Q2353" s="120" t="str">
        <f t="shared" si="2132"/>
        <v>Placa lamicoid p/distr.</v>
      </c>
      <c r="R2353" s="185"/>
    </row>
    <row r="2354" spans="1:20" s="1236" customFormat="1" ht="18" customHeight="1">
      <c r="A2354" s="1767"/>
      <c r="B2354" s="1853">
        <v>1</v>
      </c>
      <c r="C2354" s="1895" t="s">
        <v>12474</v>
      </c>
      <c r="D2354" s="1902"/>
      <c r="E2354" s="1792"/>
      <c r="F2354" s="1793"/>
      <c r="G2354" s="1784"/>
      <c r="H2354" s="1784"/>
      <c r="I2354" s="1784"/>
      <c r="J2354" s="1182"/>
      <c r="K2354" s="684">
        <f t="shared" si="2120"/>
        <v>1</v>
      </c>
      <c r="L2354" s="708">
        <v>1</v>
      </c>
      <c r="M2354" s="709">
        <f t="shared" si="2142"/>
        <v>1</v>
      </c>
      <c r="N2354" s="362" t="str">
        <f t="shared" si="2129"/>
        <v/>
      </c>
      <c r="O2354" s="1763" t="str">
        <f t="shared" si="2130"/>
        <v/>
      </c>
      <c r="P2354" s="1764" t="str">
        <f t="shared" si="2131"/>
        <v/>
      </c>
      <c r="Q2354" s="120" t="str">
        <f t="shared" si="2132"/>
        <v/>
      </c>
      <c r="R2354" s="185"/>
    </row>
    <row r="2355" spans="1:20" s="1236" customFormat="1" ht="18" customHeight="1">
      <c r="A2355" s="1767"/>
      <c r="B2355" s="1853">
        <v>1</v>
      </c>
      <c r="C2355" s="1848" t="str">
        <f>VLOOKUP(D2355,base_datos,6,FALSE)</f>
        <v>Embalaje especial completamente cerrado para tablero adosado de 1600x600x220mm</v>
      </c>
      <c r="D2355" s="1902" t="s">
        <v>12453</v>
      </c>
      <c r="E2355" s="1795">
        <f t="shared" ref="E2355" si="2151">VLOOKUP(D2355,base_datos,5,FALSE)</f>
        <v>271.40000000000003</v>
      </c>
      <c r="F2355" s="1796">
        <f t="shared" ref="F2355" si="2152">+E2355*B2355</f>
        <v>271.40000000000003</v>
      </c>
      <c r="G2355" s="1784"/>
      <c r="H2355" s="1784"/>
      <c r="I2355" s="1784"/>
      <c r="J2355" s="1182"/>
      <c r="K2355" s="684">
        <f t="shared" si="2120"/>
        <v>1</v>
      </c>
      <c r="L2355" s="708">
        <v>1</v>
      </c>
      <c r="M2355" s="709">
        <f t="shared" si="2142"/>
        <v>1</v>
      </c>
      <c r="N2355" s="362">
        <f t="shared" si="2129"/>
        <v>1</v>
      </c>
      <c r="O2355" s="1763" t="str">
        <f t="shared" si="2130"/>
        <v>EMBAL_ADOS_1600x600x220mm</v>
      </c>
      <c r="P2355" s="1764" t="str">
        <f t="shared" si="2131"/>
        <v>Embalaje especial completamente cerrado para tablero adosado de 1600x600x220mm</v>
      </c>
      <c r="Q2355" s="120" t="str">
        <f t="shared" si="2132"/>
        <v>EMBAL_ADOS_1600x600x220mm</v>
      </c>
      <c r="R2355" s="185"/>
    </row>
    <row r="2356" spans="1:20" s="185" customFormat="1" ht="18" customHeight="1">
      <c r="A2356" s="1785"/>
      <c r="B2356" s="714"/>
      <c r="C2356" s="1893" t="s">
        <v>729</v>
      </c>
      <c r="D2356" s="173"/>
      <c r="E2356" s="1786"/>
      <c r="F2356" s="1787"/>
      <c r="G2356" s="710"/>
      <c r="H2356" s="710"/>
      <c r="I2356" s="710"/>
      <c r="J2356" s="711"/>
      <c r="K2356" s="684">
        <f t="shared" si="2120"/>
        <v>1</v>
      </c>
      <c r="L2356" s="708">
        <v>1</v>
      </c>
      <c r="M2356" s="709">
        <f t="shared" si="2142"/>
        <v>1</v>
      </c>
      <c r="N2356" s="362" t="str">
        <f t="shared" si="2129"/>
        <v/>
      </c>
      <c r="O2356" s="1763" t="str">
        <f t="shared" si="2130"/>
        <v/>
      </c>
      <c r="P2356" s="1764" t="str">
        <f t="shared" si="2131"/>
        <v/>
      </c>
      <c r="Q2356" s="120" t="str">
        <f t="shared" si="2132"/>
        <v/>
      </c>
    </row>
    <row r="2357" spans="1:20" s="1521" customFormat="1">
      <c r="A2357" s="1972"/>
      <c r="B2357" s="714">
        <v>1</v>
      </c>
      <c r="C2357" s="1960" t="str">
        <f>VLOOKUP(D2357,base_datos,6,FALSE)</f>
        <v>Barra a tierra aislada.</v>
      </c>
      <c r="D2357" s="1973" t="s">
        <v>2911</v>
      </c>
      <c r="E2357" s="1580">
        <f t="shared" ref="E2357:E2358" si="2153">VLOOKUP(D2357,base_datos,5,FALSE)</f>
        <v>25</v>
      </c>
      <c r="F2357" s="1581">
        <f t="shared" ref="F2357:F2364" si="2154">+E2357*B2357</f>
        <v>25</v>
      </c>
      <c r="G2357" s="1974"/>
      <c r="H2357" s="1974"/>
      <c r="I2357" s="1974"/>
      <c r="J2357" s="1975"/>
      <c r="K2357" s="684">
        <f t="shared" si="2120"/>
        <v>1</v>
      </c>
      <c r="L2357" s="363">
        <v>1</v>
      </c>
      <c r="M2357" s="684">
        <f t="shared" si="2142"/>
        <v>1</v>
      </c>
      <c r="N2357" s="362" t="str">
        <f t="shared" si="2129"/>
        <v/>
      </c>
      <c r="O2357" s="1763" t="str">
        <f t="shared" si="2130"/>
        <v/>
      </c>
      <c r="P2357" s="1764" t="str">
        <f t="shared" si="2131"/>
        <v/>
      </c>
      <c r="Q2357" s="120" t="str">
        <f t="shared" si="2132"/>
        <v/>
      </c>
      <c r="R2357" s="690"/>
      <c r="S2357" s="1237"/>
      <c r="T2357" s="1237"/>
    </row>
    <row r="2358" spans="1:20" s="695" customFormat="1" ht="18" customHeight="1">
      <c r="A2358" s="693"/>
      <c r="B2358" s="1794">
        <v>1</v>
      </c>
      <c r="C2358" s="1420" t="str">
        <f t="shared" ref="C2358" si="2155">VLOOKUP(D2358,base_datos,6,FALSE)</f>
        <v>Barra a tierra.</v>
      </c>
      <c r="D2358" s="1790" t="s">
        <v>8299</v>
      </c>
      <c r="E2358" s="1795">
        <f t="shared" si="2153"/>
        <v>10</v>
      </c>
      <c r="F2358" s="1796">
        <f t="shared" si="2154"/>
        <v>10</v>
      </c>
      <c r="G2358" s="696"/>
      <c r="H2358" s="696"/>
      <c r="I2358" s="696"/>
      <c r="J2358" s="697"/>
      <c r="K2358" s="684">
        <f t="shared" si="2120"/>
        <v>1</v>
      </c>
      <c r="L2358" s="708">
        <v>1</v>
      </c>
      <c r="M2358" s="709">
        <f t="shared" si="2142"/>
        <v>1</v>
      </c>
      <c r="N2358" s="362" t="str">
        <f t="shared" si="2129"/>
        <v/>
      </c>
      <c r="O2358" s="1763" t="str">
        <f t="shared" si="2130"/>
        <v/>
      </c>
      <c r="P2358" s="1764" t="str">
        <f t="shared" si="2131"/>
        <v/>
      </c>
      <c r="Q2358" s="120" t="str">
        <f t="shared" si="2132"/>
        <v/>
      </c>
      <c r="R2358" s="185"/>
    </row>
    <row r="2359" spans="1:20" s="185" customFormat="1" ht="18" customHeight="1">
      <c r="A2359" s="1785"/>
      <c r="B2359" s="714"/>
      <c r="C2359" s="1893" t="s">
        <v>729</v>
      </c>
      <c r="D2359" s="173"/>
      <c r="E2359" s="1786"/>
      <c r="F2359" s="1787"/>
      <c r="G2359" s="710"/>
      <c r="H2359" s="710"/>
      <c r="I2359" s="710"/>
      <c r="J2359" s="711"/>
      <c r="K2359" s="684">
        <f t="shared" si="2120"/>
        <v>1</v>
      </c>
      <c r="L2359" s="708">
        <v>1</v>
      </c>
      <c r="M2359" s="709">
        <f t="shared" ref="M2359" si="2156">IF(B2359="",1,B2359)</f>
        <v>1</v>
      </c>
      <c r="N2359" s="362" t="str">
        <f t="shared" ref="N2359" si="2157">IF(O2359&lt;&gt;"",K2359*L2359*M2359,"")</f>
        <v/>
      </c>
      <c r="O2359" s="1763" t="str">
        <f t="shared" ref="O2359" si="2158">IF(D2359&lt;&gt;"",IF(VLOOKUP(D2359,base_datos,7,FALSE)&lt;&gt;"",VLOOKUP(D2359,base_datos,7,FALSE),""),"")</f>
        <v/>
      </c>
      <c r="P2359" s="1764" t="str">
        <f t="shared" ref="P2359" si="2159">IF(O2359&lt;&gt;"",VLOOKUP(D2359,base_datos,6,FALSE),"")</f>
        <v/>
      </c>
      <c r="Q2359" s="120" t="str">
        <f t="shared" ref="Q2359" si="2160">IF(O2359&lt;&gt;"",D2359,"")</f>
        <v/>
      </c>
    </row>
    <row r="2360" spans="1:20" s="897" customFormat="1" ht="18" customHeight="1">
      <c r="A2360" s="693"/>
      <c r="B2360" s="895">
        <v>10</v>
      </c>
      <c r="C2360" s="721" t="str">
        <f>VLOOKUP(D2360,base_datos,6,FALSE)</f>
        <v>Rotulado por circuito.</v>
      </c>
      <c r="D2360" s="1579" t="s">
        <v>3067</v>
      </c>
      <c r="E2360" s="1580">
        <f>VLOOKUP(D2360,base_datos,5,FALSE)</f>
        <v>0.7</v>
      </c>
      <c r="F2360" s="1581">
        <f t="shared" si="2154"/>
        <v>7</v>
      </c>
      <c r="G2360" s="1772"/>
      <c r="H2360" s="1772"/>
      <c r="I2360" s="1772"/>
      <c r="J2360" s="896"/>
      <c r="K2360" s="684">
        <f t="shared" si="2120"/>
        <v>1</v>
      </c>
      <c r="L2360" s="708">
        <v>1</v>
      </c>
      <c r="M2360" s="709">
        <f t="shared" si="2142"/>
        <v>10</v>
      </c>
      <c r="N2360" s="362" t="str">
        <f t="shared" si="2129"/>
        <v/>
      </c>
      <c r="O2360" s="1763" t="str">
        <f t="shared" si="2130"/>
        <v/>
      </c>
      <c r="P2360" s="1764" t="str">
        <f t="shared" si="2131"/>
        <v/>
      </c>
      <c r="Q2360" s="120" t="str">
        <f t="shared" si="2132"/>
        <v/>
      </c>
    </row>
    <row r="2361" spans="1:20" s="897" customFormat="1" ht="18" customHeight="1">
      <c r="A2361" s="693"/>
      <c r="B2361" s="895">
        <v>1</v>
      </c>
      <c r="C2361" s="721" t="str">
        <f>VLOOKUP(D2361,base_datos,6,FALSE)</f>
        <v>Rotulado para TAG - tablero de distribución.</v>
      </c>
      <c r="D2361" s="1579" t="s">
        <v>3066</v>
      </c>
      <c r="E2361" s="1580">
        <f>VLOOKUP(D2361,base_datos,5,FALSE)</f>
        <v>1.5</v>
      </c>
      <c r="F2361" s="1581">
        <f t="shared" si="2154"/>
        <v>1.5</v>
      </c>
      <c r="G2361" s="1772"/>
      <c r="H2361" s="1772"/>
      <c r="I2361" s="1772"/>
      <c r="J2361" s="896"/>
      <c r="K2361" s="684">
        <f t="shared" si="2120"/>
        <v>1</v>
      </c>
      <c r="L2361" s="708">
        <v>1</v>
      </c>
      <c r="M2361" s="709">
        <f t="shared" si="2142"/>
        <v>1</v>
      </c>
      <c r="N2361" s="362" t="str">
        <f t="shared" si="2129"/>
        <v/>
      </c>
      <c r="O2361" s="1763" t="str">
        <f t="shared" si="2130"/>
        <v/>
      </c>
      <c r="P2361" s="1764" t="str">
        <f t="shared" si="2131"/>
        <v/>
      </c>
      <c r="Q2361" s="120" t="str">
        <f t="shared" si="2132"/>
        <v/>
      </c>
    </row>
    <row r="2362" spans="1:20" s="1237" customFormat="1" ht="18" customHeight="1">
      <c r="A2362" s="1767"/>
      <c r="B2362" s="2093">
        <v>1</v>
      </c>
      <c r="C2362" s="694" t="s">
        <v>12552</v>
      </c>
      <c r="D2362" s="1888"/>
      <c r="E2362" s="1580">
        <f>E2364*15%</f>
        <v>28.5</v>
      </c>
      <c r="F2362" s="1581">
        <f t="shared" si="2154"/>
        <v>28.5</v>
      </c>
      <c r="G2362" s="1774"/>
      <c r="H2362" s="1774"/>
      <c r="I2362" s="1774"/>
      <c r="J2362" s="1181"/>
      <c r="K2362" s="684">
        <f t="shared" si="2120"/>
        <v>1</v>
      </c>
      <c r="L2362" s="708">
        <v>1</v>
      </c>
      <c r="M2362" s="709">
        <f t="shared" si="2142"/>
        <v>1</v>
      </c>
      <c r="N2362" s="362" t="str">
        <f t="shared" si="2129"/>
        <v/>
      </c>
      <c r="O2362" s="1763" t="str">
        <f t="shared" si="2130"/>
        <v/>
      </c>
      <c r="P2362" s="1764" t="str">
        <f t="shared" si="2131"/>
        <v/>
      </c>
      <c r="Q2362" s="120" t="str">
        <f t="shared" si="2132"/>
        <v/>
      </c>
      <c r="R2362" s="1765"/>
    </row>
    <row r="2363" spans="1:20" s="1237" customFormat="1" ht="18" customHeight="1">
      <c r="A2363" s="1767"/>
      <c r="B2363" s="1773">
        <v>1</v>
      </c>
      <c r="C2363" s="694" t="s">
        <v>12559</v>
      </c>
      <c r="D2363" s="1888"/>
      <c r="E2363" s="1999">
        <f>E2364*20%</f>
        <v>38</v>
      </c>
      <c r="F2363" s="1581">
        <f t="shared" si="2154"/>
        <v>38</v>
      </c>
      <c r="G2363" s="1774"/>
      <c r="H2363" s="1774"/>
      <c r="I2363" s="1774"/>
      <c r="J2363" s="1181"/>
      <c r="K2363" s="684">
        <f>+K2361</f>
        <v>1</v>
      </c>
      <c r="L2363" s="708">
        <v>1</v>
      </c>
      <c r="M2363" s="709">
        <f t="shared" si="2142"/>
        <v>1</v>
      </c>
      <c r="N2363" s="362" t="str">
        <f t="shared" si="2129"/>
        <v/>
      </c>
      <c r="O2363" s="1763" t="str">
        <f t="shared" si="2130"/>
        <v/>
      </c>
      <c r="P2363" s="1764" t="str">
        <f t="shared" si="2131"/>
        <v/>
      </c>
      <c r="Q2363" s="120" t="str">
        <f t="shared" si="2132"/>
        <v/>
      </c>
      <c r="R2363" s="1765"/>
    </row>
    <row r="2364" spans="1:20" s="1237" customFormat="1" ht="17.25" customHeight="1">
      <c r="A2364" s="1767"/>
      <c r="B2364" s="1773">
        <v>1</v>
      </c>
      <c r="C2364" s="694" t="s">
        <v>12536</v>
      </c>
      <c r="D2364" s="1888"/>
      <c r="E2364" s="1999">
        <v>190</v>
      </c>
      <c r="F2364" s="1581">
        <f t="shared" si="2154"/>
        <v>190</v>
      </c>
      <c r="G2364" s="1774"/>
      <c r="H2364" s="1774"/>
      <c r="I2364" s="1774"/>
      <c r="J2364" s="1181"/>
      <c r="K2364" s="684">
        <f>+K2362</f>
        <v>1</v>
      </c>
      <c r="L2364" s="708">
        <v>1</v>
      </c>
      <c r="M2364" s="709">
        <f t="shared" si="2142"/>
        <v>1</v>
      </c>
      <c r="N2364" s="362" t="str">
        <f t="shared" si="2129"/>
        <v/>
      </c>
      <c r="O2364" s="1763" t="str">
        <f t="shared" si="2130"/>
        <v/>
      </c>
      <c r="P2364" s="1764" t="str">
        <f t="shared" si="2131"/>
        <v/>
      </c>
      <c r="Q2364" s="120" t="str">
        <f t="shared" si="2132"/>
        <v/>
      </c>
      <c r="R2364" s="1765"/>
    </row>
    <row r="2365" spans="1:20" s="120" customFormat="1" ht="18" customHeight="1" thickBot="1">
      <c r="A2365" s="1855"/>
      <c r="B2365" s="1854"/>
      <c r="C2365" s="1797"/>
      <c r="D2365" s="1889"/>
      <c r="E2365" s="1981"/>
      <c r="F2365" s="1981"/>
      <c r="G2365" s="1798"/>
      <c r="H2365" s="1798"/>
      <c r="I2365" s="1798"/>
      <c r="J2365" s="1799"/>
      <c r="K2365" s="1788"/>
      <c r="L2365" s="363"/>
      <c r="M2365" s="684"/>
      <c r="N2365" s="362" t="str">
        <f t="shared" si="2129"/>
        <v/>
      </c>
      <c r="O2365" s="1763" t="str">
        <f t="shared" si="2130"/>
        <v/>
      </c>
      <c r="P2365" s="1764" t="str">
        <f t="shared" si="2131"/>
        <v/>
      </c>
      <c r="Q2365" s="120" t="str">
        <f t="shared" si="2132"/>
        <v/>
      </c>
      <c r="R2365" s="185"/>
    </row>
    <row r="2366" spans="1:20" s="120" customFormat="1" ht="18" customHeight="1" thickBot="1">
      <c r="A2366" s="1989">
        <v>39</v>
      </c>
      <c r="B2366" s="1852">
        <v>1</v>
      </c>
      <c r="C2366" s="1756" t="s">
        <v>12601</v>
      </c>
      <c r="D2366" s="1588"/>
      <c r="E2366" s="1589"/>
      <c r="F2366" s="1589"/>
      <c r="G2366" s="1757">
        <f>SUM(F2367:F2437)</f>
        <v>6626.373738127545</v>
      </c>
      <c r="H2366" s="1758">
        <f>G2366*(1-$D$6)</f>
        <v>6626.373738127545</v>
      </c>
      <c r="I2366" s="1757">
        <f>ROUNDUP(H2366*$D$5,0)</f>
        <v>22530</v>
      </c>
      <c r="J2366" s="1759">
        <f>+I2366*B2366</f>
        <v>22530</v>
      </c>
      <c r="K2366" s="1788">
        <f>B2366</f>
        <v>1</v>
      </c>
      <c r="L2366" s="363"/>
      <c r="M2366" s="684"/>
      <c r="N2366" s="362" t="str">
        <f t="shared" ref="N2366:N2384" si="2161">IF(O2366&lt;&gt;"",K2366*L2366*M2366,"")</f>
        <v/>
      </c>
      <c r="O2366" s="1763" t="str">
        <f t="shared" ref="O2366:O2384" si="2162">IF(D2366&lt;&gt;"",IF(VLOOKUP(D2366,base_datos,7,FALSE)&lt;&gt;"",VLOOKUP(D2366,base_datos,7,FALSE),""),"")</f>
        <v/>
      </c>
      <c r="P2366" s="1764" t="str">
        <f t="shared" ref="P2366:P2384" si="2163">IF(O2366&lt;&gt;"",VLOOKUP(D2366,base_datos,6,FALSE),"")</f>
        <v/>
      </c>
      <c r="Q2366" s="120" t="str">
        <f t="shared" ref="Q2366:Q2384" si="2164">IF(O2366&lt;&gt;"",D2366,"")</f>
        <v/>
      </c>
      <c r="R2366" s="185"/>
    </row>
    <row r="2367" spans="1:20" s="120" customFormat="1" ht="18" customHeight="1">
      <c r="A2367" s="685" t="s">
        <v>3162</v>
      </c>
      <c r="B2367" s="1903"/>
      <c r="C2367" s="1890"/>
      <c r="D2367" s="1904"/>
      <c r="E2367" s="1789"/>
      <c r="F2367" s="1780"/>
      <c r="G2367" s="686"/>
      <c r="H2367" s="710"/>
      <c r="I2367" s="686"/>
      <c r="J2367" s="1768"/>
      <c r="K2367" s="684">
        <f t="shared" ref="K2367:K2437" si="2165">+K2366</f>
        <v>1</v>
      </c>
      <c r="L2367" s="363">
        <v>1</v>
      </c>
      <c r="M2367" s="709">
        <f t="shared" ref="M2367:M2437" si="2166">IF(B2367="",1,B2367)</f>
        <v>1</v>
      </c>
      <c r="N2367" s="362" t="str">
        <f t="shared" si="2161"/>
        <v/>
      </c>
      <c r="O2367" s="1763" t="str">
        <f t="shared" si="2162"/>
        <v/>
      </c>
      <c r="P2367" s="1764" t="str">
        <f t="shared" si="2163"/>
        <v/>
      </c>
      <c r="Q2367" s="120" t="str">
        <f t="shared" si="2164"/>
        <v/>
      </c>
    </row>
    <row r="2368" spans="1:20" s="315" customFormat="1" ht="12" customHeight="1">
      <c r="A2368" s="687" t="s">
        <v>4021</v>
      </c>
      <c r="B2368" s="2096">
        <v>1</v>
      </c>
      <c r="C2368" s="1907" t="s">
        <v>5103</v>
      </c>
      <c r="D2368" s="1935"/>
      <c r="E2368" s="1786"/>
      <c r="F2368" s="1908">
        <f>SUM(F2370:F2374)*(B2368-1)</f>
        <v>0</v>
      </c>
      <c r="G2368" s="712"/>
      <c r="H2368" s="712"/>
      <c r="I2368" s="712"/>
      <c r="J2368" s="713"/>
      <c r="K2368" s="684">
        <f t="shared" si="2165"/>
        <v>1</v>
      </c>
      <c r="L2368" s="1909">
        <f>B2368</f>
        <v>1</v>
      </c>
      <c r="M2368" s="684">
        <f t="shared" si="2166"/>
        <v>1</v>
      </c>
      <c r="N2368" s="362" t="str">
        <f t="shared" si="2161"/>
        <v/>
      </c>
      <c r="O2368" s="1763" t="str">
        <f t="shared" si="2162"/>
        <v/>
      </c>
      <c r="P2368" s="1764" t="str">
        <f t="shared" si="2163"/>
        <v/>
      </c>
      <c r="Q2368" s="120" t="str">
        <f t="shared" si="2164"/>
        <v/>
      </c>
    </row>
    <row r="2369" spans="1:18" s="185" customFormat="1">
      <c r="A2369" s="687" t="s">
        <v>4136</v>
      </c>
      <c r="B2369" s="1910">
        <v>3</v>
      </c>
      <c r="C2369" s="1911" t="str">
        <f>VLOOKUP(D2369,base_datos,6,FALSE)</f>
        <v>Portalámpara + lampara tipo LED - color Rojo - alimentacion: 220-230Vac, d=22mm. - CL2-523R - línea compacta - marca ABB.</v>
      </c>
      <c r="D2369" s="1790" t="s">
        <v>2439</v>
      </c>
      <c r="E2369" s="1939">
        <f>VLOOKUP(D2369,base_datos,5,FALSE)</f>
        <v>12.299999999999999</v>
      </c>
      <c r="F2369" s="1912">
        <f>+E2369*B2369</f>
        <v>36.9</v>
      </c>
      <c r="G2369" s="710"/>
      <c r="H2369" s="710"/>
      <c r="I2369" s="710"/>
      <c r="J2369" s="711"/>
      <c r="K2369" s="684">
        <f>+K2367</f>
        <v>1</v>
      </c>
      <c r="L2369" s="1913">
        <f>L2367</f>
        <v>1</v>
      </c>
      <c r="M2369" s="684">
        <f t="shared" si="2166"/>
        <v>3</v>
      </c>
      <c r="N2369" s="362">
        <f t="shared" si="2161"/>
        <v>3</v>
      </c>
      <c r="O2369" s="1763" t="str">
        <f t="shared" si="2162"/>
        <v>1SFA619403R5231</v>
      </c>
      <c r="P2369" s="1764" t="str">
        <f t="shared" si="2163"/>
        <v>Portalámpara + lampara tipo LED - color Rojo - alimentacion: 220-230Vac, d=22mm. - CL2-523R - línea compacta - marca ABB.</v>
      </c>
      <c r="Q2369" s="120" t="str">
        <f t="shared" si="2164"/>
        <v>LAMP_ROJO_220V</v>
      </c>
    </row>
    <row r="2370" spans="1:18" s="185" customFormat="1">
      <c r="A2370" s="687"/>
      <c r="B2370" s="1910">
        <v>3</v>
      </c>
      <c r="C2370" s="1911" t="str">
        <f>VLOOKUP(D2370,base_datos,6,FALSE)</f>
        <v>Portalámpara + lampara tipo LED - color Verde - alimentacion: 220-230Vac, d=22mm. - CL2-523G - línea compacta - marca ABB.</v>
      </c>
      <c r="D2370" s="1790" t="s">
        <v>2440</v>
      </c>
      <c r="E2370" s="1939">
        <f>VLOOKUP(D2370,base_datos,5,FALSE)</f>
        <v>12.299999999999999</v>
      </c>
      <c r="F2370" s="1912">
        <f>+E2370*B2370</f>
        <v>36.9</v>
      </c>
      <c r="G2370" s="710"/>
      <c r="H2370" s="710"/>
      <c r="I2370" s="710"/>
      <c r="J2370" s="711"/>
      <c r="K2370" s="684">
        <f>+K2368</f>
        <v>1</v>
      </c>
      <c r="L2370" s="1913">
        <f>L2368</f>
        <v>1</v>
      </c>
      <c r="M2370" s="684">
        <f t="shared" si="2166"/>
        <v>3</v>
      </c>
      <c r="N2370" s="362">
        <f t="shared" si="2161"/>
        <v>3</v>
      </c>
      <c r="O2370" s="1763" t="str">
        <f t="shared" si="2162"/>
        <v>1SFA619403R5232</v>
      </c>
      <c r="P2370" s="1764" t="str">
        <f t="shared" si="2163"/>
        <v>Portalámpara + lampara tipo LED - color Verde - alimentacion: 220-230Vac, d=22mm. - CL2-523G - línea compacta - marca ABB.</v>
      </c>
      <c r="Q2370" s="120" t="str">
        <f t="shared" si="2164"/>
        <v>LAMP_VERDE_220V</v>
      </c>
    </row>
    <row r="2371" spans="1:18" s="1921" customFormat="1">
      <c r="A2371" s="687" t="s">
        <v>12356</v>
      </c>
      <c r="B2371" s="1914">
        <v>1</v>
      </c>
      <c r="C2371" s="1915" t="s">
        <v>3366</v>
      </c>
      <c r="D2371" s="1916"/>
      <c r="E2371" s="1917"/>
      <c r="F2371" s="1918"/>
      <c r="G2371" s="1919"/>
      <c r="H2371" s="1919"/>
      <c r="I2371" s="1919"/>
      <c r="J2371" s="1920"/>
      <c r="K2371" s="684">
        <f t="shared" si="2165"/>
        <v>1</v>
      </c>
      <c r="L2371" s="1913">
        <f>L2370</f>
        <v>1</v>
      </c>
      <c r="M2371" s="684">
        <f t="shared" si="2166"/>
        <v>1</v>
      </c>
      <c r="N2371" s="362" t="str">
        <f t="shared" si="2161"/>
        <v/>
      </c>
      <c r="O2371" s="1763" t="str">
        <f t="shared" si="2162"/>
        <v/>
      </c>
      <c r="P2371" s="1764" t="str">
        <f t="shared" si="2163"/>
        <v/>
      </c>
      <c r="Q2371" s="120" t="str">
        <f t="shared" si="2164"/>
        <v/>
      </c>
    </row>
    <row r="2372" spans="1:18" s="320" customFormat="1">
      <c r="A2372" s="687" t="s">
        <v>12494</v>
      </c>
      <c r="B2372" s="1922">
        <v>1</v>
      </c>
      <c r="C2372" s="721" t="str">
        <f>VLOOKUP(D2372,base_datos,6,FALSE)</f>
        <v>Rele auxiliar enchufable +4NA/NC (D2PR4B + base D2PA6), 220Vac - marca EATON.</v>
      </c>
      <c r="D2372" s="1579" t="s">
        <v>772</v>
      </c>
      <c r="E2372" s="1581">
        <f>VLOOKUP(D2372,base_datos,5,FALSE)</f>
        <v>27</v>
      </c>
      <c r="F2372" s="1923">
        <f>+E2372*B2372</f>
        <v>27</v>
      </c>
      <c r="G2372" s="1924"/>
      <c r="H2372" s="1924"/>
      <c r="I2372" s="1924"/>
      <c r="J2372" s="722"/>
      <c r="K2372" s="684">
        <f t="shared" si="2165"/>
        <v>1</v>
      </c>
      <c r="L2372" s="1913">
        <f>L2369</f>
        <v>1</v>
      </c>
      <c r="M2372" s="684">
        <f t="shared" si="2166"/>
        <v>1</v>
      </c>
      <c r="N2372" s="362">
        <f t="shared" si="2161"/>
        <v>1</v>
      </c>
      <c r="O2372" s="1763" t="str">
        <f t="shared" si="2162"/>
        <v>D2PR4B+D2PA6</v>
      </c>
      <c r="P2372" s="1764" t="str">
        <f t="shared" si="2163"/>
        <v>Rele auxiliar enchufable +4NA/NC (D2PR4B + base D2PA6), 220Vac - marca EATON.</v>
      </c>
      <c r="Q2372" s="120" t="str">
        <f t="shared" si="2164"/>
        <v>D2PR4B+D2PA6</v>
      </c>
    </row>
    <row r="2373" spans="1:18" s="320" customFormat="1">
      <c r="A2373" s="1767"/>
      <c r="B2373" s="2131">
        <v>1</v>
      </c>
      <c r="C2373" s="2132" t="s">
        <v>12558</v>
      </c>
      <c r="D2373" s="2133"/>
      <c r="E2373" s="2134">
        <v>32</v>
      </c>
      <c r="F2373" s="2134">
        <f>+E2373*B2373</f>
        <v>32</v>
      </c>
      <c r="G2373" s="1924"/>
      <c r="H2373" s="1924"/>
      <c r="I2373" s="1924"/>
      <c r="J2373" s="722"/>
      <c r="K2373" s="684">
        <f t="shared" si="2165"/>
        <v>1</v>
      </c>
      <c r="L2373" s="1913">
        <f>L2370</f>
        <v>1</v>
      </c>
      <c r="M2373" s="684">
        <f t="shared" si="2166"/>
        <v>1</v>
      </c>
      <c r="N2373" s="362" t="str">
        <f t="shared" si="2161"/>
        <v/>
      </c>
      <c r="O2373" s="1763" t="str">
        <f t="shared" si="2162"/>
        <v/>
      </c>
      <c r="P2373" s="1764" t="str">
        <f t="shared" si="2163"/>
        <v/>
      </c>
      <c r="Q2373" s="120" t="str">
        <f t="shared" si="2164"/>
        <v/>
      </c>
    </row>
    <row r="2374" spans="1:18" s="320" customFormat="1">
      <c r="A2374" s="687" t="s">
        <v>12551</v>
      </c>
      <c r="B2374" s="1922">
        <v>4</v>
      </c>
      <c r="C2374" s="721" t="str">
        <f>VLOOKUP(D2374,base_datos,6,FALSE)</f>
        <v>Base portafusibles + Fusibles de protección para control.</v>
      </c>
      <c r="D2374" s="1579" t="s">
        <v>453</v>
      </c>
      <c r="E2374" s="1581">
        <f>VLOOKUP(D2374,base_datos,5,FALSE)</f>
        <v>8.1750000000000007</v>
      </c>
      <c r="F2374" s="1923">
        <f>+E2374*B2374</f>
        <v>32.700000000000003</v>
      </c>
      <c r="G2374" s="1924"/>
      <c r="H2374" s="1924"/>
      <c r="I2374" s="1924"/>
      <c r="J2374" s="722"/>
      <c r="K2374" s="684">
        <f t="shared" si="2165"/>
        <v>1</v>
      </c>
      <c r="L2374" s="1913">
        <f>L2371</f>
        <v>1</v>
      </c>
      <c r="M2374" s="684">
        <f t="shared" si="2166"/>
        <v>4</v>
      </c>
      <c r="N2374" s="362" t="str">
        <f t="shared" si="2161"/>
        <v/>
      </c>
      <c r="O2374" s="1763" t="str">
        <f t="shared" si="2162"/>
        <v/>
      </c>
      <c r="P2374" s="1764" t="str">
        <f t="shared" si="2163"/>
        <v/>
      </c>
      <c r="Q2374" s="120" t="str">
        <f t="shared" si="2164"/>
        <v/>
      </c>
    </row>
    <row r="2375" spans="1:18" s="315" customFormat="1">
      <c r="A2375" s="687" t="s">
        <v>3542</v>
      </c>
      <c r="B2375" s="1906"/>
      <c r="C2375" s="1907"/>
      <c r="D2375" s="1935"/>
      <c r="E2375" s="1786"/>
      <c r="F2375" s="1936"/>
      <c r="G2375" s="712"/>
      <c r="H2375" s="712"/>
      <c r="I2375" s="712"/>
      <c r="J2375" s="713"/>
      <c r="K2375" s="684">
        <f t="shared" si="2165"/>
        <v>1</v>
      </c>
      <c r="L2375" s="1909">
        <f>B2375</f>
        <v>0</v>
      </c>
      <c r="M2375" s="684">
        <f t="shared" si="2166"/>
        <v>1</v>
      </c>
      <c r="N2375" s="362" t="str">
        <f t="shared" si="2161"/>
        <v/>
      </c>
      <c r="O2375" s="1763" t="str">
        <f t="shared" si="2162"/>
        <v/>
      </c>
      <c r="P2375" s="1764" t="str">
        <f t="shared" si="2163"/>
        <v/>
      </c>
      <c r="Q2375" s="120" t="str">
        <f t="shared" si="2164"/>
        <v/>
      </c>
    </row>
    <row r="2376" spans="1:18" s="185" customFormat="1" ht="13.5" customHeight="1">
      <c r="A2376" s="1767"/>
      <c r="B2376" s="1922"/>
      <c r="C2376" s="1956" t="s">
        <v>12368</v>
      </c>
      <c r="D2376" s="1579"/>
      <c r="E2376" s="1957"/>
      <c r="F2376" s="1958"/>
      <c r="G2376" s="710"/>
      <c r="H2376" s="710"/>
      <c r="I2376" s="710"/>
      <c r="J2376" s="711"/>
      <c r="K2376" s="684">
        <f t="shared" si="2165"/>
        <v>1</v>
      </c>
      <c r="L2376" s="708">
        <v>1</v>
      </c>
      <c r="M2376" s="684">
        <f t="shared" si="2166"/>
        <v>1</v>
      </c>
      <c r="N2376" s="362" t="str">
        <f t="shared" si="2161"/>
        <v/>
      </c>
      <c r="O2376" s="1763" t="str">
        <f t="shared" si="2162"/>
        <v/>
      </c>
      <c r="P2376" s="1764" t="str">
        <f t="shared" si="2163"/>
        <v/>
      </c>
      <c r="Q2376" s="120" t="str">
        <f t="shared" si="2164"/>
        <v/>
      </c>
    </row>
    <row r="2377" spans="1:18" s="120" customFormat="1" ht="18" customHeight="1">
      <c r="A2377" s="687"/>
      <c r="B2377" s="1779">
        <v>6</v>
      </c>
      <c r="C2377" s="1892" t="str">
        <f>VLOOKUP(D2377,base_datos,6,FALSE)</f>
        <v>Transformador de tensión monofásico 480 / 240 Vac - 50VA.</v>
      </c>
      <c r="D2377" s="1898" t="s">
        <v>8587</v>
      </c>
      <c r="E2377" s="1581">
        <f>VLOOKUP(D2377,base_datos,5,FALSE)</f>
        <v>76.8</v>
      </c>
      <c r="F2377" s="1581">
        <f>+E2377*B2377</f>
        <v>460.79999999999995</v>
      </c>
      <c r="G2377" s="686"/>
      <c r="H2377" s="686"/>
      <c r="I2377" s="686"/>
      <c r="J2377" s="1768"/>
      <c r="K2377" s="684">
        <f t="shared" si="2165"/>
        <v>1</v>
      </c>
      <c r="L2377" s="708">
        <v>1</v>
      </c>
      <c r="M2377" s="709">
        <f t="shared" si="2166"/>
        <v>6</v>
      </c>
      <c r="N2377" s="362" t="str">
        <f t="shared" si="2161"/>
        <v/>
      </c>
      <c r="O2377" s="1763" t="str">
        <f t="shared" si="2162"/>
        <v/>
      </c>
      <c r="P2377" s="1764" t="str">
        <f t="shared" si="2163"/>
        <v/>
      </c>
      <c r="Q2377" s="120" t="str">
        <f t="shared" si="2164"/>
        <v/>
      </c>
      <c r="R2377" s="185"/>
    </row>
    <row r="2378" spans="1:18" s="120" customFormat="1" ht="18" customHeight="1">
      <c r="A2378" s="1767"/>
      <c r="B2378" s="1925"/>
      <c r="C2378" s="1926" t="s">
        <v>729</v>
      </c>
      <c r="D2378" s="1927"/>
      <c r="E2378" s="1891"/>
      <c r="F2378" s="1789"/>
      <c r="G2378" s="686"/>
      <c r="H2378" s="686"/>
      <c r="I2378" s="686"/>
      <c r="J2378" s="1768"/>
      <c r="K2378" s="684">
        <f t="shared" si="2165"/>
        <v>1</v>
      </c>
      <c r="L2378" s="363">
        <v>1</v>
      </c>
      <c r="M2378" s="709">
        <f t="shared" si="2166"/>
        <v>1</v>
      </c>
      <c r="N2378" s="362" t="str">
        <f t="shared" si="2161"/>
        <v/>
      </c>
      <c r="O2378" s="1763" t="str">
        <f t="shared" si="2162"/>
        <v/>
      </c>
      <c r="P2378" s="1764" t="str">
        <f t="shared" si="2163"/>
        <v/>
      </c>
      <c r="Q2378" s="120" t="str">
        <f t="shared" si="2164"/>
        <v/>
      </c>
    </row>
    <row r="2379" spans="1:18" s="120" customFormat="1" ht="18" customHeight="1">
      <c r="A2379" s="687"/>
      <c r="B2379" s="1781"/>
      <c r="C2379" s="1218" t="s">
        <v>3158</v>
      </c>
      <c r="D2379" s="1900"/>
      <c r="E2379" s="1791"/>
      <c r="F2379" s="1782"/>
      <c r="G2379" s="686"/>
      <c r="H2379" s="686"/>
      <c r="I2379" s="686"/>
      <c r="J2379" s="688"/>
      <c r="K2379" s="684">
        <f t="shared" si="2165"/>
        <v>1</v>
      </c>
      <c r="L2379" s="708">
        <v>1</v>
      </c>
      <c r="M2379" s="709">
        <f t="shared" si="2166"/>
        <v>1</v>
      </c>
      <c r="N2379" s="362" t="str">
        <f t="shared" si="2161"/>
        <v/>
      </c>
      <c r="O2379" s="1763" t="str">
        <f t="shared" si="2162"/>
        <v/>
      </c>
      <c r="P2379" s="1764" t="str">
        <f t="shared" si="2163"/>
        <v/>
      </c>
      <c r="Q2379" s="120" t="str">
        <f t="shared" si="2164"/>
        <v/>
      </c>
      <c r="R2379" s="185"/>
    </row>
    <row r="2380" spans="1:18" s="690" customFormat="1" ht="18" customHeight="1">
      <c r="A2380" s="687"/>
      <c r="B2380" s="1781">
        <v>1</v>
      </c>
      <c r="C2380" s="1420" t="str">
        <f>VLOOKUP(D2380,base_datos,6,FALSE)</f>
        <v>ITM Caja Moldeada 3x160A (reg.[0.7-1.0] In) - XT2N160-160A-3P-TMA - 65kA@230Vac, 36kA@415Vac - marca ABB.</v>
      </c>
      <c r="D2380" s="1901" t="s">
        <v>852</v>
      </c>
      <c r="E2380" s="1791">
        <f>VLOOKUP(D2380,base_datos,5,FALSE)</f>
        <v>229.10999999999999</v>
      </c>
      <c r="F2380" s="1782">
        <f>+E2380*B2380</f>
        <v>229.10999999999999</v>
      </c>
      <c r="G2380" s="1761"/>
      <c r="H2380" s="1761"/>
      <c r="I2380" s="1761"/>
      <c r="J2380" s="689"/>
      <c r="K2380" s="684">
        <f t="shared" si="2165"/>
        <v>1</v>
      </c>
      <c r="L2380" s="708">
        <v>1</v>
      </c>
      <c r="M2380" s="709">
        <f t="shared" si="2166"/>
        <v>1</v>
      </c>
      <c r="N2380" s="362">
        <f t="shared" si="2161"/>
        <v>1</v>
      </c>
      <c r="O2380" s="1763" t="str">
        <f t="shared" si="2162"/>
        <v>1SDA067020R1</v>
      </c>
      <c r="P2380" s="1764" t="str">
        <f t="shared" si="2163"/>
        <v>ITM Caja Moldeada 3x160A (reg.[0.7-1.0] In) - XT2N160-160A-3P-TMA - 65kA@230Vac, 36kA@415Vac - marca ABB.</v>
      </c>
      <c r="Q2380" s="120" t="str">
        <f t="shared" si="2164"/>
        <v>XT2N160-160A-3P-TMA</v>
      </c>
      <c r="R2380" s="185"/>
    </row>
    <row r="2381" spans="1:18" s="695" customFormat="1" ht="18" customHeight="1">
      <c r="A2381" s="1771"/>
      <c r="B2381" s="895">
        <v>1</v>
      </c>
      <c r="C2381" s="1848" t="str">
        <f>VLOOKUP(D2381,base_datos,6,FALSE)</f>
        <v>FC-CuAl_XT2 - Terminales + Cubrebornes - cables de cobre/aluminio hasta 1x185mm2 - 3 terminales (externos)</v>
      </c>
      <c r="D2381" s="1886" t="s">
        <v>957</v>
      </c>
      <c r="E2381" s="1795">
        <f>VLOOKUP(D2381,base_datos,5,FALSE)</f>
        <v>69.36</v>
      </c>
      <c r="F2381" s="1796">
        <f>+E2381*B2381</f>
        <v>69.36</v>
      </c>
      <c r="G2381" s="696"/>
      <c r="H2381" s="696"/>
      <c r="I2381" s="696"/>
      <c r="J2381" s="697"/>
      <c r="K2381" s="684">
        <f t="shared" si="2165"/>
        <v>1</v>
      </c>
      <c r="L2381" s="708">
        <v>1</v>
      </c>
      <c r="M2381" s="684">
        <f>IF(B2381="",1,B2381)</f>
        <v>1</v>
      </c>
      <c r="N2381" s="362">
        <f>IF(O2381&lt;&gt;"",K2381*L2381*M2381,"")</f>
        <v>1</v>
      </c>
      <c r="O2381" s="1763" t="str">
        <f>IF(D2381&lt;&gt;"",IF(VLOOKUP(D2381,base_datos,7,FALSE)&lt;&gt;"",VLOOKUP(D2381,base_datos,7,FALSE),""),"")</f>
        <v>1SDA067167R1</v>
      </c>
      <c r="P2381" s="1764" t="str">
        <f>IF(O2381&lt;&gt;"",VLOOKUP(D2381,base_datos,6,FALSE),"")</f>
        <v>FC-CuAl_XT2 - Terminales + Cubrebornes - cables de cobre/aluminio hasta 1x185mm2 - 3 terminales (externos)</v>
      </c>
      <c r="Q2381" s="120" t="str">
        <f>IF(O2381&lt;&gt;"",D2381,"")</f>
        <v>FC-CuAl_XT2_3t</v>
      </c>
      <c r="R2381" s="185"/>
    </row>
    <row r="2382" spans="1:18" s="185" customFormat="1">
      <c r="A2382" s="1771"/>
      <c r="B2382" s="714"/>
      <c r="C2382" s="313" t="s">
        <v>729</v>
      </c>
      <c r="D2382" s="173"/>
      <c r="E2382" s="1786"/>
      <c r="F2382" s="1787"/>
      <c r="G2382" s="710"/>
      <c r="H2382" s="710"/>
      <c r="I2382" s="710"/>
      <c r="J2382" s="711"/>
      <c r="K2382" s="684">
        <f t="shared" si="2165"/>
        <v>1</v>
      </c>
      <c r="L2382" s="708">
        <v>1</v>
      </c>
      <c r="M2382" s="709">
        <f>IF(B2382="",1,B2382)</f>
        <v>1</v>
      </c>
      <c r="N2382" s="362" t="str">
        <f t="shared" si="2161"/>
        <v/>
      </c>
      <c r="O2382" s="1763" t="str">
        <f t="shared" si="2162"/>
        <v/>
      </c>
      <c r="P2382" s="1764" t="str">
        <f t="shared" si="2163"/>
        <v/>
      </c>
      <c r="Q2382" s="120" t="str">
        <f t="shared" si="2164"/>
        <v/>
      </c>
    </row>
    <row r="2383" spans="1:18" s="315" customFormat="1">
      <c r="A2383" s="687"/>
      <c r="B2383" s="1932">
        <v>2</v>
      </c>
      <c r="C2383" s="1933" t="str">
        <f t="shared" ref="C2383" si="2167">VLOOKUP(D2383,base_datos,6,FALSE)</f>
        <v>2(Q) contacto conmutado de estado (NA/NC) + 1(SY) contacto por disparo de interruptor - XT1..XT4 - versión cableada - marca ABB.</v>
      </c>
      <c r="D2383" s="1790" t="s">
        <v>3244</v>
      </c>
      <c r="E2383" s="1939">
        <f t="shared" ref="E2383" si="2168">VLOOKUP(D2383,base_datos,5,FALSE)</f>
        <v>132.1</v>
      </c>
      <c r="F2383" s="1940">
        <f t="shared" ref="F2383" si="2169">+E2383*B2383</f>
        <v>264.2</v>
      </c>
      <c r="G2383" s="712"/>
      <c r="H2383" s="712"/>
      <c r="I2383" s="712"/>
      <c r="J2383" s="713"/>
      <c r="K2383" s="684">
        <f t="shared" si="2165"/>
        <v>1</v>
      </c>
      <c r="L2383" s="708">
        <v>1</v>
      </c>
      <c r="M2383" s="709">
        <f t="shared" ref="M2383" si="2170">IF(B2383="",1,B2383)</f>
        <v>2</v>
      </c>
      <c r="N2383" s="362">
        <f t="shared" si="2161"/>
        <v>2</v>
      </c>
      <c r="O2383" s="1763" t="str">
        <f t="shared" si="2162"/>
        <v>1SDA066433R1</v>
      </c>
      <c r="P2383" s="1764" t="str">
        <f t="shared" si="2163"/>
        <v>2(Q) contacto conmutado de estado (NA/NC) + 1(SY) contacto por disparo de interruptor - XT1..XT4 - versión cableada - marca ABB.</v>
      </c>
      <c r="Q2383" s="120" t="str">
        <f t="shared" si="2164"/>
        <v>2Q+1SY_XT1..XT4</v>
      </c>
    </row>
    <row r="2384" spans="1:18" s="185" customFormat="1">
      <c r="A2384" s="1771"/>
      <c r="B2384" s="714"/>
      <c r="C2384" s="313" t="s">
        <v>729</v>
      </c>
      <c r="D2384" s="2018"/>
      <c r="E2384" s="1786"/>
      <c r="F2384" s="1787"/>
      <c r="G2384" s="710"/>
      <c r="H2384" s="710"/>
      <c r="I2384" s="710"/>
      <c r="J2384" s="711"/>
      <c r="K2384" s="684">
        <f t="shared" si="2165"/>
        <v>1</v>
      </c>
      <c r="L2384" s="708">
        <v>1</v>
      </c>
      <c r="M2384" s="709">
        <f>IF(B2384="",1,B2384)</f>
        <v>1</v>
      </c>
      <c r="N2384" s="362" t="str">
        <f t="shared" si="2161"/>
        <v/>
      </c>
      <c r="O2384" s="1763" t="str">
        <f t="shared" si="2162"/>
        <v/>
      </c>
      <c r="P2384" s="1764" t="str">
        <f t="shared" si="2163"/>
        <v/>
      </c>
      <c r="Q2384" s="120" t="str">
        <f t="shared" si="2164"/>
        <v/>
      </c>
    </row>
    <row r="2385" spans="1:18" s="1766" customFormat="1" ht="18" customHeight="1">
      <c r="A2385" s="687"/>
      <c r="B2385" s="1769"/>
      <c r="C2385" s="1770" t="s">
        <v>11663</v>
      </c>
      <c r="D2385" s="1901"/>
      <c r="E2385" s="1581"/>
      <c r="F2385" s="1581"/>
      <c r="G2385" s="1761"/>
      <c r="H2385" s="1761"/>
      <c r="I2385" s="1761"/>
      <c r="J2385" s="1762"/>
      <c r="K2385" s="684">
        <f t="shared" si="2165"/>
        <v>1</v>
      </c>
      <c r="L2385" s="708">
        <v>1</v>
      </c>
      <c r="M2385" s="709">
        <f t="shared" si="2166"/>
        <v>1</v>
      </c>
      <c r="N2385" s="362" t="str">
        <f t="shared" ref="N2385:N2462" si="2171">IF(O2385&lt;&gt;"",K2385*L2385*M2385,"")</f>
        <v/>
      </c>
      <c r="O2385" s="1763" t="str">
        <f t="shared" ref="O2385:O2462" si="2172">IF(D2385&lt;&gt;"",IF(VLOOKUP(D2385,base_datos,7,FALSE)&lt;&gt;"",VLOOKUP(D2385,base_datos,7,FALSE),""),"")</f>
        <v/>
      </c>
      <c r="P2385" s="1764" t="str">
        <f t="shared" ref="P2385:P2462" si="2173">IF(O2385&lt;&gt;"",VLOOKUP(D2385,base_datos,6,FALSE),"")</f>
        <v/>
      </c>
      <c r="Q2385" s="120" t="str">
        <f t="shared" ref="Q2385:Q2462" si="2174">IF(O2385&lt;&gt;"",D2385,"")</f>
        <v/>
      </c>
      <c r="R2385" s="1765"/>
    </row>
    <row r="2386" spans="1:18" s="1766" customFormat="1" ht="18" customHeight="1">
      <c r="A2386" s="687"/>
      <c r="B2386" s="1760">
        <v>1</v>
      </c>
      <c r="C2386" s="1892" t="str">
        <f t="shared" ref="C2386:C2390" si="2175">VLOOKUP(D2386,base_datos,6,FALSE)</f>
        <v>Analizador de Redes DIRIS-A30 - precisión (V, I) 0.2%, precisión de energía activa / reactiva: clase 0,5S / clase 2 - marca SOCOMEC.</v>
      </c>
      <c r="D2386" s="1898" t="s">
        <v>12164</v>
      </c>
      <c r="E2386" s="1581">
        <f t="shared" ref="E2386:E2390" si="2176">VLOOKUP(D2386,base_datos,5,FALSE)</f>
        <v>633.64</v>
      </c>
      <c r="F2386" s="1581">
        <f t="shared" ref="F2386:F2390" si="2177">+E2386*B2386</f>
        <v>633.64</v>
      </c>
      <c r="G2386" s="1761"/>
      <c r="H2386" s="1761"/>
      <c r="I2386" s="1761"/>
      <c r="J2386" s="1762"/>
      <c r="K2386" s="684">
        <f t="shared" si="2165"/>
        <v>1</v>
      </c>
      <c r="L2386" s="708">
        <v>1</v>
      </c>
      <c r="M2386" s="709">
        <f t="shared" si="2166"/>
        <v>1</v>
      </c>
      <c r="N2386" s="362">
        <f t="shared" si="2171"/>
        <v>1</v>
      </c>
      <c r="O2386" s="1763" t="str">
        <f t="shared" si="2172"/>
        <v>4825 0403</v>
      </c>
      <c r="P2386" s="1764" t="str">
        <f t="shared" si="2173"/>
        <v>Analizador de Redes DIRIS-A30 - precisión (V, I) 0.2%, precisión de energía activa / reactiva: clase 0,5S / clase 2 - marca SOCOMEC.</v>
      </c>
      <c r="Q2386" s="120" t="str">
        <f t="shared" si="2174"/>
        <v>DIRIS-A30</v>
      </c>
      <c r="R2386" s="1765"/>
    </row>
    <row r="2387" spans="1:18" s="1766" customFormat="1" ht="18" customHeight="1">
      <c r="A2387" s="687"/>
      <c r="B2387" s="1760">
        <v>1</v>
      </c>
      <c r="C2387" s="1990" t="str">
        <f t="shared" si="2175"/>
        <v>Módulo de comunicación RS 485 MODBUS, para Analizador de Red, DIRIS-A30, marca SOCOMEC.</v>
      </c>
      <c r="D2387" s="144" t="s">
        <v>12166</v>
      </c>
      <c r="E2387" s="1581">
        <f t="shared" si="2176"/>
        <v>115.64</v>
      </c>
      <c r="F2387" s="1581">
        <f t="shared" si="2177"/>
        <v>115.64</v>
      </c>
      <c r="G2387" s="1761"/>
      <c r="H2387" s="1761"/>
      <c r="I2387" s="1761"/>
      <c r="J2387" s="1762"/>
      <c r="K2387" s="684">
        <f t="shared" si="2165"/>
        <v>1</v>
      </c>
      <c r="L2387" s="708">
        <v>1</v>
      </c>
      <c r="M2387" s="709">
        <f t="shared" si="2166"/>
        <v>1</v>
      </c>
      <c r="N2387" s="362">
        <f t="shared" si="2171"/>
        <v>1</v>
      </c>
      <c r="O2387" s="1763" t="str">
        <f t="shared" si="2172"/>
        <v>4825 0092</v>
      </c>
      <c r="P2387" s="1764" t="str">
        <f t="shared" si="2173"/>
        <v>Módulo de comunicación RS 485 MODBUS, para Analizador de Red, DIRIS-A30, marca SOCOMEC.</v>
      </c>
      <c r="Q2387" s="120" t="str">
        <f t="shared" si="2174"/>
        <v>DIRIS-A30/Com</v>
      </c>
      <c r="R2387" s="1765"/>
    </row>
    <row r="2388" spans="1:18" s="1766" customFormat="1" ht="18" customHeight="1">
      <c r="A2388" s="687"/>
      <c r="B2388" s="1760">
        <f>3*B2386</f>
        <v>3</v>
      </c>
      <c r="C2388" s="1892" t="str">
        <f t="shared" si="2175"/>
        <v>Transformador de corriente de 160/5A</v>
      </c>
      <c r="D2388" s="1899" t="s">
        <v>1821</v>
      </c>
      <c r="E2388" s="1581">
        <f t="shared" si="2176"/>
        <v>75</v>
      </c>
      <c r="F2388" s="1581">
        <f t="shared" si="2177"/>
        <v>225</v>
      </c>
      <c r="G2388" s="1761"/>
      <c r="H2388" s="1761"/>
      <c r="I2388" s="1761"/>
      <c r="J2388" s="1762"/>
      <c r="K2388" s="684">
        <f t="shared" si="2165"/>
        <v>1</v>
      </c>
      <c r="L2388" s="708">
        <v>1</v>
      </c>
      <c r="M2388" s="709">
        <f t="shared" si="2166"/>
        <v>3</v>
      </c>
      <c r="N2388" s="362" t="str">
        <f t="shared" si="2171"/>
        <v/>
      </c>
      <c r="O2388" s="1763" t="str">
        <f t="shared" si="2172"/>
        <v/>
      </c>
      <c r="P2388" s="1764" t="str">
        <f t="shared" si="2173"/>
        <v/>
      </c>
      <c r="Q2388" s="120" t="str">
        <f t="shared" si="2174"/>
        <v/>
      </c>
      <c r="R2388" s="1765"/>
    </row>
    <row r="2389" spans="1:18" s="1766" customFormat="1" ht="18" customHeight="1">
      <c r="A2389" s="687"/>
      <c r="B2389" s="1760">
        <f>5*B2386</f>
        <v>5</v>
      </c>
      <c r="C2389" s="1892" t="str">
        <f t="shared" si="2175"/>
        <v>Base portafusibles + Fusibles de protección para control.</v>
      </c>
      <c r="D2389" s="1899" t="s">
        <v>453</v>
      </c>
      <c r="E2389" s="1581">
        <f t="shared" si="2176"/>
        <v>8.1750000000000007</v>
      </c>
      <c r="F2389" s="1581">
        <f t="shared" si="2177"/>
        <v>40.875</v>
      </c>
      <c r="G2389" s="1761"/>
      <c r="H2389" s="1761"/>
      <c r="I2389" s="1761"/>
      <c r="J2389" s="1762"/>
      <c r="K2389" s="684">
        <f t="shared" si="2165"/>
        <v>1</v>
      </c>
      <c r="L2389" s="708">
        <v>1</v>
      </c>
      <c r="M2389" s="709">
        <f t="shared" si="2166"/>
        <v>5</v>
      </c>
      <c r="N2389" s="362" t="str">
        <f t="shared" si="2171"/>
        <v/>
      </c>
      <c r="O2389" s="1763" t="str">
        <f t="shared" si="2172"/>
        <v/>
      </c>
      <c r="P2389" s="1764" t="str">
        <f t="shared" si="2173"/>
        <v/>
      </c>
      <c r="Q2389" s="120" t="str">
        <f t="shared" si="2174"/>
        <v/>
      </c>
      <c r="R2389" s="1765"/>
    </row>
    <row r="2390" spans="1:18" s="1766" customFormat="1" ht="18" customHeight="1">
      <c r="A2390" s="1771"/>
      <c r="B2390" s="1760">
        <f>6*B2386</f>
        <v>6</v>
      </c>
      <c r="C2390" s="1892" t="str">
        <f t="shared" si="2175"/>
        <v>Bornes seccionables de corriente.</v>
      </c>
      <c r="D2390" s="1899" t="s">
        <v>435</v>
      </c>
      <c r="E2390" s="1581">
        <f t="shared" si="2176"/>
        <v>12</v>
      </c>
      <c r="F2390" s="1581">
        <f t="shared" si="2177"/>
        <v>72</v>
      </c>
      <c r="G2390" s="1761"/>
      <c r="H2390" s="1761"/>
      <c r="I2390" s="1761"/>
      <c r="J2390" s="1762"/>
      <c r="K2390" s="684">
        <f t="shared" si="2165"/>
        <v>1</v>
      </c>
      <c r="L2390" s="708">
        <v>1</v>
      </c>
      <c r="M2390" s="709">
        <f t="shared" si="2166"/>
        <v>6</v>
      </c>
      <c r="N2390" s="362" t="str">
        <f t="shared" si="2171"/>
        <v/>
      </c>
      <c r="O2390" s="1763" t="str">
        <f t="shared" si="2172"/>
        <v/>
      </c>
      <c r="P2390" s="1764" t="str">
        <f t="shared" si="2173"/>
        <v/>
      </c>
      <c r="Q2390" s="120" t="str">
        <f t="shared" si="2174"/>
        <v/>
      </c>
      <c r="R2390" s="1765"/>
    </row>
    <row r="2391" spans="1:18" s="185" customFormat="1" ht="18" customHeight="1">
      <c r="A2391" s="693"/>
      <c r="B2391" s="714"/>
      <c r="C2391" s="1893" t="s">
        <v>729</v>
      </c>
      <c r="D2391" s="173"/>
      <c r="E2391" s="1581"/>
      <c r="F2391" s="1581"/>
      <c r="G2391" s="710"/>
      <c r="H2391" s="710"/>
      <c r="I2391" s="710"/>
      <c r="J2391" s="711"/>
      <c r="K2391" s="684">
        <f t="shared" si="2165"/>
        <v>1</v>
      </c>
      <c r="L2391" s="708">
        <v>1</v>
      </c>
      <c r="M2391" s="709">
        <f t="shared" si="2166"/>
        <v>1</v>
      </c>
      <c r="N2391" s="362" t="str">
        <f t="shared" si="2171"/>
        <v/>
      </c>
      <c r="O2391" s="1763" t="str">
        <f t="shared" si="2172"/>
        <v/>
      </c>
      <c r="P2391" s="1764" t="str">
        <f t="shared" si="2173"/>
        <v/>
      </c>
      <c r="Q2391" s="120" t="str">
        <f t="shared" si="2174"/>
        <v/>
      </c>
      <c r="R2391" s="1765"/>
    </row>
    <row r="2392" spans="1:18" s="690" customFormat="1" ht="18" customHeight="1">
      <c r="A2392" s="1767"/>
      <c r="B2392" s="1851"/>
      <c r="C2392" s="1894" t="s">
        <v>3377</v>
      </c>
      <c r="D2392" s="1582"/>
      <c r="E2392" s="1780"/>
      <c r="F2392" s="1782"/>
      <c r="G2392" s="1761"/>
      <c r="H2392" s="1761"/>
      <c r="I2392" s="1761"/>
      <c r="J2392" s="689"/>
      <c r="K2392" s="684">
        <f t="shared" si="2165"/>
        <v>1</v>
      </c>
      <c r="L2392" s="708">
        <v>1</v>
      </c>
      <c r="M2392" s="709">
        <f t="shared" si="2166"/>
        <v>1</v>
      </c>
      <c r="N2392" s="362" t="str">
        <f t="shared" si="2171"/>
        <v/>
      </c>
      <c r="O2392" s="1763" t="str">
        <f t="shared" si="2172"/>
        <v/>
      </c>
      <c r="P2392" s="1764" t="str">
        <f t="shared" si="2173"/>
        <v/>
      </c>
      <c r="Q2392" s="120" t="str">
        <f t="shared" si="2174"/>
        <v/>
      </c>
      <c r="R2392" s="185"/>
    </row>
    <row r="2393" spans="1:18" s="690" customFormat="1" ht="18" customHeight="1">
      <c r="A2393" s="1767"/>
      <c r="B2393" s="1781">
        <v>1</v>
      </c>
      <c r="C2393" s="1420" t="str">
        <f t="shared" ref="C2393:C2396" si="2178">VLOOKUP(D2393,base_datos,6,FALSE)</f>
        <v>ITM Caja Moldeada 3x160A (reg.[0.7-1.0] In) - XT2N160-160A-3P-TMA - 65kA@230Vac, 36kA@415Vac - marca ABB.</v>
      </c>
      <c r="D2393" s="1901" t="s">
        <v>852</v>
      </c>
      <c r="E2393" s="1791">
        <f>VLOOKUP(D2393,base_datos,5,FALSE)</f>
        <v>229.10999999999999</v>
      </c>
      <c r="F2393" s="1782">
        <f t="shared" ref="F2393:F2397" si="2179">+E2393*B2393</f>
        <v>229.10999999999999</v>
      </c>
      <c r="G2393" s="1761"/>
      <c r="H2393" s="1761"/>
      <c r="I2393" s="1761"/>
      <c r="J2393" s="1783"/>
      <c r="K2393" s="684">
        <f t="shared" si="2165"/>
        <v>1</v>
      </c>
      <c r="L2393" s="708">
        <v>1</v>
      </c>
      <c r="M2393" s="709">
        <f t="shared" si="2166"/>
        <v>1</v>
      </c>
      <c r="N2393" s="362">
        <f t="shared" si="2171"/>
        <v>1</v>
      </c>
      <c r="O2393" s="1763" t="str">
        <f t="shared" si="2172"/>
        <v>1SDA067020R1</v>
      </c>
      <c r="P2393" s="1764" t="str">
        <f t="shared" si="2173"/>
        <v>ITM Caja Moldeada 3x160A (reg.[0.7-1.0] In) - XT2N160-160A-3P-TMA - 65kA@230Vac, 36kA@415Vac - marca ABB.</v>
      </c>
      <c r="Q2393" s="120" t="str">
        <f t="shared" si="2174"/>
        <v>XT2N160-160A-3P-TMA</v>
      </c>
      <c r="R2393" s="185"/>
    </row>
    <row r="2394" spans="1:18" s="695" customFormat="1" ht="18" customHeight="1">
      <c r="A2394" s="693"/>
      <c r="B2394" s="895">
        <v>1</v>
      </c>
      <c r="C2394" s="1848" t="str">
        <f>VLOOKUP(D2394,base_datos,6,FALSE)</f>
        <v>FC-CuAl_XT2 - Terminales + Cubrebornes - cables de cobre/aluminio hasta 1x185mm2 - 3 terminales (externos)</v>
      </c>
      <c r="D2394" s="1886" t="s">
        <v>957</v>
      </c>
      <c r="E2394" s="1795">
        <f>VLOOKUP(D2394,base_datos,5,FALSE)</f>
        <v>69.36</v>
      </c>
      <c r="F2394" s="1796">
        <f>+E2394*B2394</f>
        <v>69.36</v>
      </c>
      <c r="G2394" s="696"/>
      <c r="H2394" s="696"/>
      <c r="I2394" s="696"/>
      <c r="J2394" s="697"/>
      <c r="K2394" s="684">
        <f t="shared" si="2165"/>
        <v>1</v>
      </c>
      <c r="L2394" s="708">
        <v>1</v>
      </c>
      <c r="M2394" s="684">
        <f>IF(B2394="",1,B2394)</f>
        <v>1</v>
      </c>
      <c r="N2394" s="362">
        <f>IF(O2394&lt;&gt;"",K2394*L2394*M2394,"")</f>
        <v>1</v>
      </c>
      <c r="O2394" s="1763" t="str">
        <f>IF(D2394&lt;&gt;"",IF(VLOOKUP(D2394,base_datos,7,FALSE)&lt;&gt;"",VLOOKUP(D2394,base_datos,7,FALSE),""),"")</f>
        <v>1SDA067167R1</v>
      </c>
      <c r="P2394" s="1764" t="str">
        <f>IF(O2394&lt;&gt;"",VLOOKUP(D2394,base_datos,6,FALSE),"")</f>
        <v>FC-CuAl_XT2 - Terminales + Cubrebornes - cables de cobre/aluminio hasta 1x185mm2 - 3 terminales (externos)</v>
      </c>
      <c r="Q2394" s="120" t="str">
        <f>IF(O2394&lt;&gt;"",D2394,"")</f>
        <v>FC-CuAl_XT2_3t</v>
      </c>
      <c r="R2394" s="185"/>
    </row>
    <row r="2395" spans="1:18" s="690" customFormat="1" ht="18" customHeight="1">
      <c r="A2395" s="1767"/>
      <c r="B2395" s="1781">
        <v>1</v>
      </c>
      <c r="C2395" s="1420" t="str">
        <f t="shared" si="2178"/>
        <v>ITM Caja Moldeada 3x40A (reg.[0.7-1.0] In) - XT2N160-40A-3P-TMA - 65kA@230Vac, 36kA@415Vac - marca ABB.</v>
      </c>
      <c r="D2395" s="1901" t="s">
        <v>863</v>
      </c>
      <c r="E2395" s="1791">
        <f>VLOOKUP(D2395,base_datos,5,FALSE)</f>
        <v>207</v>
      </c>
      <c r="F2395" s="1782">
        <f t="shared" si="2179"/>
        <v>207</v>
      </c>
      <c r="G2395" s="1761"/>
      <c r="H2395" s="1761"/>
      <c r="I2395" s="1761"/>
      <c r="J2395" s="1783"/>
      <c r="K2395" s="684">
        <f t="shared" si="2165"/>
        <v>1</v>
      </c>
      <c r="L2395" s="708">
        <v>1</v>
      </c>
      <c r="M2395" s="709">
        <f t="shared" si="2166"/>
        <v>1</v>
      </c>
      <c r="N2395" s="362">
        <f t="shared" si="2171"/>
        <v>1</v>
      </c>
      <c r="O2395" s="1763" t="str">
        <f t="shared" si="2172"/>
        <v>1SDA067014R1</v>
      </c>
      <c r="P2395" s="1764" t="str">
        <f t="shared" si="2173"/>
        <v>ITM Caja Moldeada 3x40A (reg.[0.7-1.0] In) - XT2N160-40A-3P-TMA - 65kA@230Vac, 36kA@415Vac - marca ABB.</v>
      </c>
      <c r="Q2395" s="120" t="str">
        <f t="shared" si="2174"/>
        <v>XT2N160-40A-3P-TMA</v>
      </c>
      <c r="R2395" s="185"/>
    </row>
    <row r="2396" spans="1:18" s="690" customFormat="1" ht="18" customHeight="1">
      <c r="A2396" s="1767"/>
      <c r="B2396" s="1781">
        <v>2</v>
      </c>
      <c r="C2396" s="1420" t="str">
        <f t="shared" si="2178"/>
        <v>ITM Caja Moldeada 3x16A (reg.[0.7-1.0] In) - XT2N160-16A-3P-TMD - 65kA@230Vac, 36kA@415Vac - marca ABB.</v>
      </c>
      <c r="D2396" s="1901" t="s">
        <v>844</v>
      </c>
      <c r="E2396" s="1791">
        <f>VLOOKUP(D2396,base_datos,5,FALSE)</f>
        <v>201.76999999999998</v>
      </c>
      <c r="F2396" s="1782">
        <f t="shared" si="2179"/>
        <v>403.53999999999996</v>
      </c>
      <c r="G2396" s="1951"/>
      <c r="H2396" s="1761"/>
      <c r="I2396" s="1761"/>
      <c r="J2396" s="1783"/>
      <c r="K2396" s="684">
        <f t="shared" si="2165"/>
        <v>1</v>
      </c>
      <c r="L2396" s="708">
        <v>1</v>
      </c>
      <c r="M2396" s="709">
        <f t="shared" si="2166"/>
        <v>2</v>
      </c>
      <c r="N2396" s="362">
        <f t="shared" si="2171"/>
        <v>2</v>
      </c>
      <c r="O2396" s="1763" t="str">
        <f t="shared" si="2172"/>
        <v>1SDA067010R1</v>
      </c>
      <c r="P2396" s="1764" t="str">
        <f t="shared" si="2173"/>
        <v>ITM Caja Moldeada 3x16A (reg.[0.7-1.0] In) - XT2N160-16A-3P-TMD - 65kA@230Vac, 36kA@415Vac - marca ABB.</v>
      </c>
      <c r="Q2396" s="120" t="str">
        <f t="shared" si="2174"/>
        <v>XT2N160-16A-3P-TMD</v>
      </c>
      <c r="R2396" s="185"/>
    </row>
    <row r="2397" spans="1:18" s="690" customFormat="1" ht="18" customHeight="1">
      <c r="A2397" s="1767"/>
      <c r="B2397" s="1781">
        <v>2</v>
      </c>
      <c r="C2397" s="1420" t="str">
        <f t="shared" ref="C2397" si="2180">VLOOKUP(D2397,base_datos,6,FALSE)</f>
        <v>Espacio de reserva trifásica - Caja moldeada.</v>
      </c>
      <c r="D2397" s="1901" t="s">
        <v>2932</v>
      </c>
      <c r="E2397" s="1791">
        <f>VLOOKUP(D2397,base_datos,5,FALSE)</f>
        <v>15</v>
      </c>
      <c r="F2397" s="1782">
        <f t="shared" si="2179"/>
        <v>30</v>
      </c>
      <c r="G2397" s="1761"/>
      <c r="H2397" s="1761"/>
      <c r="I2397" s="1761"/>
      <c r="J2397" s="1783"/>
      <c r="K2397" s="684">
        <f t="shared" si="2165"/>
        <v>1</v>
      </c>
      <c r="L2397" s="708">
        <v>1</v>
      </c>
      <c r="M2397" s="709">
        <f t="shared" si="2166"/>
        <v>2</v>
      </c>
      <c r="N2397" s="362" t="str">
        <f t="shared" si="2171"/>
        <v/>
      </c>
      <c r="O2397" s="1763" t="str">
        <f t="shared" si="2172"/>
        <v/>
      </c>
      <c r="P2397" s="1764" t="str">
        <f t="shared" si="2173"/>
        <v/>
      </c>
      <c r="Q2397" s="120" t="str">
        <f t="shared" si="2174"/>
        <v/>
      </c>
      <c r="R2397" s="185"/>
    </row>
    <row r="2398" spans="1:18" s="185" customFormat="1">
      <c r="A2398" s="692"/>
      <c r="B2398" s="714"/>
      <c r="C2398" s="1893" t="s">
        <v>729</v>
      </c>
      <c r="D2398" s="2021"/>
      <c r="E2398" s="1786"/>
      <c r="F2398" s="1787"/>
      <c r="G2398" s="710"/>
      <c r="H2398" s="710"/>
      <c r="I2398" s="710"/>
      <c r="J2398" s="711"/>
      <c r="K2398" s="684">
        <f t="shared" si="2165"/>
        <v>1</v>
      </c>
      <c r="L2398" s="708">
        <v>1</v>
      </c>
      <c r="M2398" s="709">
        <f>IF(B2398="",1,B2398)</f>
        <v>1</v>
      </c>
      <c r="N2398" s="362" t="str">
        <f t="shared" si="2171"/>
        <v/>
      </c>
      <c r="O2398" s="1763" t="str">
        <f t="shared" si="2172"/>
        <v/>
      </c>
      <c r="P2398" s="1764" t="str">
        <f t="shared" si="2173"/>
        <v/>
      </c>
      <c r="Q2398" s="120" t="str">
        <f t="shared" si="2174"/>
        <v/>
      </c>
    </row>
    <row r="2399" spans="1:18" s="315" customFormat="1">
      <c r="A2399" s="1785"/>
      <c r="B2399" s="355"/>
      <c r="C2399" s="1944" t="s">
        <v>3063</v>
      </c>
      <c r="D2399" s="2022"/>
      <c r="E2399" s="1786"/>
      <c r="F2399" s="1787"/>
      <c r="G2399" s="712"/>
      <c r="H2399" s="712"/>
      <c r="I2399" s="712"/>
      <c r="J2399" s="713"/>
      <c r="K2399" s="684">
        <f t="shared" si="2165"/>
        <v>1</v>
      </c>
      <c r="L2399" s="708">
        <v>1</v>
      </c>
      <c r="M2399" s="709">
        <f>IF(B2399="",1,B2399)</f>
        <v>1</v>
      </c>
      <c r="N2399" s="362" t="str">
        <f t="shared" si="2171"/>
        <v/>
      </c>
      <c r="O2399" s="1763" t="str">
        <f t="shared" si="2172"/>
        <v/>
      </c>
      <c r="P2399" s="1764" t="str">
        <f t="shared" si="2173"/>
        <v/>
      </c>
      <c r="Q2399" s="120" t="str">
        <f t="shared" si="2174"/>
        <v/>
      </c>
    </row>
    <row r="2400" spans="1:18" s="690" customFormat="1" ht="18" customHeight="1">
      <c r="A2400" s="691"/>
      <c r="B2400" s="1781">
        <v>1</v>
      </c>
      <c r="C2400" s="1420" t="str">
        <f>VLOOKUP(D2400,base_datos,6,FALSE)</f>
        <v>ITM Caja Moldeada 3x32A (reg.[0.7-1.0] In) - XT2N160-32A-3P-TMD - 65kA@230Vac, 36kA@415Vac - marca ABB.</v>
      </c>
      <c r="D2400" s="1901" t="s">
        <v>850</v>
      </c>
      <c r="E2400" s="1791">
        <f>VLOOKUP(D2400,base_datos,5,FALSE)</f>
        <v>207</v>
      </c>
      <c r="F2400" s="1782">
        <f t="shared" ref="F2400:F2401" si="2181">+E2400*B2400</f>
        <v>207</v>
      </c>
      <c r="G2400" s="1761"/>
      <c r="H2400" s="1761"/>
      <c r="I2400" s="1761"/>
      <c r="J2400" s="1783"/>
      <c r="K2400" s="684">
        <f t="shared" si="2165"/>
        <v>1</v>
      </c>
      <c r="L2400" s="708">
        <v>1</v>
      </c>
      <c r="M2400" s="709">
        <f t="shared" si="2166"/>
        <v>1</v>
      </c>
      <c r="N2400" s="362">
        <f t="shared" si="2171"/>
        <v>1</v>
      </c>
      <c r="O2400" s="1763" t="str">
        <f t="shared" si="2172"/>
        <v>1SDA067013R1</v>
      </c>
      <c r="P2400" s="1764" t="str">
        <f t="shared" si="2173"/>
        <v>ITM Caja Moldeada 3x32A (reg.[0.7-1.0] In) - XT2N160-32A-3P-TMD - 65kA@230Vac, 36kA@415Vac - marca ABB.</v>
      </c>
      <c r="Q2400" s="120" t="str">
        <f t="shared" si="2174"/>
        <v>XT2N160-32A-3P-TMD</v>
      </c>
      <c r="R2400" s="185"/>
    </row>
    <row r="2401" spans="1:20" s="690" customFormat="1" ht="18" customHeight="1">
      <c r="A2401" s="691"/>
      <c r="B2401" s="1781">
        <v>1</v>
      </c>
      <c r="C2401" s="1420" t="str">
        <f>VLOOKUP(D2401,base_datos,6,FALSE)</f>
        <v>Supresor contra sobretensiones (Tipo 1, UL 1449) - OVRHT3C504803D - I_max=50kA por fase, Un=480V,  MCOV=640V (L-G), VPR=2.5kV (L-G) - marca ABB.</v>
      </c>
      <c r="D2401" s="1901" t="s">
        <v>12357</v>
      </c>
      <c r="E2401" s="1791">
        <f>VLOOKUP(D2401,base_datos,5,FALSE)</f>
        <v>386.44</v>
      </c>
      <c r="F2401" s="1782">
        <f t="shared" si="2181"/>
        <v>386.44</v>
      </c>
      <c r="G2401" s="1761"/>
      <c r="H2401" s="1761"/>
      <c r="I2401" s="1761"/>
      <c r="J2401" s="1783"/>
      <c r="K2401" s="684">
        <f t="shared" si="2165"/>
        <v>1</v>
      </c>
      <c r="L2401" s="708">
        <v>1</v>
      </c>
      <c r="M2401" s="709">
        <f t="shared" si="2166"/>
        <v>1</v>
      </c>
      <c r="N2401" s="362">
        <f t="shared" si="2171"/>
        <v>1</v>
      </c>
      <c r="O2401" s="1763" t="str">
        <f t="shared" si="2172"/>
        <v>2CJC605480D0000</v>
      </c>
      <c r="P2401" s="1764" t="str">
        <f t="shared" si="2173"/>
        <v>Supresor contra sobretensiones (Tipo 1, UL 1449) - OVRHT3C504803D - I_max=50kA por fase, Un=480V,  MCOV=640V (L-G), VPR=2.5kV (L-G) - marca ABB.</v>
      </c>
      <c r="Q2401" s="120" t="str">
        <f t="shared" si="2174"/>
        <v>OVRHT3C504803D</v>
      </c>
      <c r="R2401" s="185"/>
    </row>
    <row r="2402" spans="1:20" s="185" customFormat="1">
      <c r="A2402" s="692"/>
      <c r="B2402" s="714"/>
      <c r="C2402" s="1893" t="s">
        <v>729</v>
      </c>
      <c r="D2402" s="2021"/>
      <c r="E2402" s="1786"/>
      <c r="F2402" s="1787"/>
      <c r="G2402" s="710"/>
      <c r="H2402" s="710"/>
      <c r="I2402" s="710"/>
      <c r="J2402" s="711"/>
      <c r="K2402" s="684">
        <f t="shared" si="2165"/>
        <v>1</v>
      </c>
      <c r="L2402" s="708">
        <v>1</v>
      </c>
      <c r="M2402" s="709">
        <f>IF(B2402="",1,B2402)</f>
        <v>1</v>
      </c>
      <c r="N2402" s="362" t="str">
        <f t="shared" si="2171"/>
        <v/>
      </c>
      <c r="O2402" s="1763" t="str">
        <f t="shared" si="2172"/>
        <v/>
      </c>
      <c r="P2402" s="1764" t="str">
        <f t="shared" si="2173"/>
        <v/>
      </c>
      <c r="Q2402" s="120" t="str">
        <f t="shared" si="2174"/>
        <v/>
      </c>
    </row>
    <row r="2403" spans="1:20" s="315" customFormat="1" ht="12.75" customHeight="1">
      <c r="A2403" s="2253"/>
      <c r="B2403" s="2254">
        <v>1</v>
      </c>
      <c r="C2403" s="82" t="s">
        <v>13364</v>
      </c>
      <c r="D2403" s="2255"/>
      <c r="E2403" s="2256"/>
      <c r="F2403" s="2257">
        <f>+SUM(F2404:F2412)*(B2403-1)</f>
        <v>0</v>
      </c>
      <c r="G2403" s="712"/>
      <c r="H2403" s="712"/>
      <c r="I2403" s="712"/>
      <c r="J2403" s="713"/>
      <c r="K2403" s="684">
        <f t="shared" si="2165"/>
        <v>1</v>
      </c>
      <c r="L2403" s="708">
        <v>1</v>
      </c>
      <c r="M2403" s="120">
        <f t="shared" ref="M2403:M2419" si="2182">IF(B2403="",1,B2403)</f>
        <v>1</v>
      </c>
      <c r="N2403" s="112" t="str">
        <f t="shared" si="2171"/>
        <v/>
      </c>
      <c r="O2403" s="112" t="str">
        <f t="shared" si="2172"/>
        <v/>
      </c>
      <c r="P2403" s="120" t="str">
        <f t="shared" si="2173"/>
        <v/>
      </c>
      <c r="Q2403" s="120" t="str">
        <f t="shared" si="2174"/>
        <v/>
      </c>
      <c r="R2403" s="2128"/>
      <c r="S2403" s="112" t="str">
        <f t="shared" ref="S2403:S2419" si="2183">IF(O2403&lt;&gt;"",VLOOKUP(D2403,base_datos,9,FALSE),"")</f>
        <v/>
      </c>
      <c r="T2403" s="2128"/>
    </row>
    <row r="2404" spans="1:20" s="1921" customFormat="1" ht="12.75" customHeight="1">
      <c r="A2404" s="2253"/>
      <c r="B2404" s="2259">
        <f>B2405</f>
        <v>1</v>
      </c>
      <c r="C2404" s="81" t="str">
        <f>VLOOKUP(D2404,base_datos,6,FALSE)</f>
        <v>Lámpara fluorescente - 230V, 60Hz 13W - modelo CLG, marca FANDIS.</v>
      </c>
      <c r="D2404" s="144" t="s">
        <v>3406</v>
      </c>
      <c r="E2404" s="2283">
        <f>VLOOKUP(D2404,base_datos,5,FALSE)</f>
        <v>66.399999999999991</v>
      </c>
      <c r="F2404" s="2260">
        <f>+E2404*B2404</f>
        <v>66.399999999999991</v>
      </c>
      <c r="G2404" s="1919"/>
      <c r="H2404" s="1919"/>
      <c r="I2404" s="1919"/>
      <c r="J2404" s="1920"/>
      <c r="K2404" s="684">
        <f t="shared" si="2165"/>
        <v>1</v>
      </c>
      <c r="L2404" s="708">
        <v>1</v>
      </c>
      <c r="M2404" s="120">
        <f t="shared" si="2182"/>
        <v>1</v>
      </c>
      <c r="N2404" s="112">
        <f t="shared" si="2171"/>
        <v>1</v>
      </c>
      <c r="O2404" s="112" t="str">
        <f t="shared" si="2172"/>
        <v>LAMP_FLUOR_FAND</v>
      </c>
      <c r="P2404" s="120" t="str">
        <f t="shared" si="2173"/>
        <v>Lámpara fluorescente - 230V, 60Hz 13W - modelo CLG, marca FANDIS.</v>
      </c>
      <c r="Q2404" s="120" t="str">
        <f t="shared" si="2174"/>
        <v>LAMP_FLUOR_FAND</v>
      </c>
      <c r="R2404" s="2261"/>
      <c r="S2404" s="112" t="str">
        <f t="shared" si="2183"/>
        <v>FANDIS</v>
      </c>
      <c r="T2404" s="2261"/>
    </row>
    <row r="2405" spans="1:20" s="185" customFormat="1" ht="12.75" customHeight="1">
      <c r="A2405" s="2262"/>
      <c r="B2405" s="2263">
        <v>1</v>
      </c>
      <c r="C2405" s="2279"/>
      <c r="D2405" s="2284"/>
      <c r="E2405" s="2260"/>
      <c r="F2405" s="2260"/>
      <c r="G2405" s="710"/>
      <c r="H2405" s="710"/>
      <c r="I2405" s="710"/>
      <c r="J2405" s="711"/>
      <c r="K2405" s="684">
        <f t="shared" si="2165"/>
        <v>1</v>
      </c>
      <c r="L2405" s="708">
        <v>1</v>
      </c>
      <c r="M2405" s="120">
        <f t="shared" si="2182"/>
        <v>1</v>
      </c>
      <c r="N2405" s="112" t="str">
        <f t="shared" si="2171"/>
        <v/>
      </c>
      <c r="O2405" s="112" t="str">
        <f t="shared" si="2172"/>
        <v/>
      </c>
      <c r="P2405" s="120" t="str">
        <f t="shared" si="2173"/>
        <v/>
      </c>
      <c r="Q2405" s="120" t="str">
        <f t="shared" si="2174"/>
        <v/>
      </c>
      <c r="R2405" s="118"/>
      <c r="S2405" s="112" t="str">
        <f t="shared" si="2183"/>
        <v/>
      </c>
      <c r="T2405" s="118"/>
    </row>
    <row r="2406" spans="1:20" s="1921" customFormat="1" ht="12.75" customHeight="1">
      <c r="A2406" s="2262"/>
      <c r="B2406" s="2259">
        <f>B2407</f>
        <v>1</v>
      </c>
      <c r="C2406" s="81" t="str">
        <f>VLOOKUP(D2406,base_datos,6,FALSE)</f>
        <v>Switch de puerta - FC-001.</v>
      </c>
      <c r="D2406" s="2296" t="s">
        <v>3408</v>
      </c>
      <c r="E2406" s="2283">
        <f>VLOOKUP(D2406,base_datos,5,FALSE)</f>
        <v>47.6</v>
      </c>
      <c r="F2406" s="2260">
        <f>+E2406*B2406</f>
        <v>47.6</v>
      </c>
      <c r="G2406" s="1919"/>
      <c r="H2406" s="1919"/>
      <c r="I2406" s="1919"/>
      <c r="J2406" s="1920"/>
      <c r="K2406" s="684">
        <f t="shared" si="2165"/>
        <v>1</v>
      </c>
      <c r="L2406" s="708">
        <v>1</v>
      </c>
      <c r="M2406" s="120">
        <f t="shared" si="2182"/>
        <v>1</v>
      </c>
      <c r="N2406" s="112">
        <f t="shared" si="2171"/>
        <v>1</v>
      </c>
      <c r="O2406" s="112" t="str">
        <f t="shared" si="2172"/>
        <v>LIMIT_SWITCH_FAND</v>
      </c>
      <c r="P2406" s="120" t="str">
        <f t="shared" si="2173"/>
        <v>Switch de puerta - FC-001.</v>
      </c>
      <c r="Q2406" s="120" t="str">
        <f t="shared" si="2174"/>
        <v>LIMIT_SWITCH_FAND</v>
      </c>
      <c r="R2406" s="2261"/>
      <c r="S2406" s="112" t="str">
        <f t="shared" si="2183"/>
        <v>FANDIS</v>
      </c>
      <c r="T2406" s="2261"/>
    </row>
    <row r="2407" spans="1:20" s="185" customFormat="1" ht="12.75" customHeight="1">
      <c r="A2407" s="2262"/>
      <c r="B2407" s="2263">
        <v>1</v>
      </c>
      <c r="C2407" s="2279"/>
      <c r="D2407" s="2284"/>
      <c r="E2407" s="2260"/>
      <c r="F2407" s="2260"/>
      <c r="G2407" s="710"/>
      <c r="H2407" s="710"/>
      <c r="I2407" s="710"/>
      <c r="J2407" s="711"/>
      <c r="K2407" s="684">
        <f t="shared" si="2165"/>
        <v>1</v>
      </c>
      <c r="L2407" s="708">
        <v>1</v>
      </c>
      <c r="M2407" s="120">
        <f t="shared" si="2182"/>
        <v>1</v>
      </c>
      <c r="N2407" s="112" t="str">
        <f t="shared" si="2171"/>
        <v/>
      </c>
      <c r="O2407" s="112" t="str">
        <f t="shared" si="2172"/>
        <v/>
      </c>
      <c r="P2407" s="120" t="str">
        <f t="shared" si="2173"/>
        <v/>
      </c>
      <c r="Q2407" s="120" t="str">
        <f t="shared" si="2174"/>
        <v/>
      </c>
      <c r="R2407" s="118"/>
      <c r="S2407" s="112" t="str">
        <f t="shared" si="2183"/>
        <v/>
      </c>
      <c r="T2407" s="118"/>
    </row>
    <row r="2408" spans="1:20" s="185" customFormat="1" ht="12.75" customHeight="1">
      <c r="A2408" s="2262"/>
      <c r="B2408" s="2263">
        <v>1</v>
      </c>
      <c r="C2408" s="2279" t="str">
        <f>VLOOKUP(D2408,base_datos,6,FALSE)</f>
        <v>Contactor 3x09A(AC-3) 1NO+1NC - CTX3-9A - bobina 230Vac - marca Legrand.</v>
      </c>
      <c r="D2408" s="2284" t="s">
        <v>10823</v>
      </c>
      <c r="E2408" s="2283">
        <f>VLOOKUP(D2408,base_datos,5,FALSE)</f>
        <v>40.888738127544087</v>
      </c>
      <c r="F2408" s="2260">
        <f>+E2408*B2408</f>
        <v>40.888738127544087</v>
      </c>
      <c r="G2408" s="710"/>
      <c r="H2408" s="710"/>
      <c r="I2408" s="710"/>
      <c r="J2408" s="711"/>
      <c r="K2408" s="684">
        <f t="shared" si="2165"/>
        <v>1</v>
      </c>
      <c r="L2408" s="708">
        <v>1</v>
      </c>
      <c r="M2408" s="120">
        <f t="shared" si="2182"/>
        <v>1</v>
      </c>
      <c r="N2408" s="112">
        <f t="shared" si="2171"/>
        <v>1</v>
      </c>
      <c r="O2408" s="112">
        <f t="shared" si="2172"/>
        <v>416086</v>
      </c>
      <c r="P2408" s="120" t="str">
        <f t="shared" si="2173"/>
        <v>Contactor 3x09A(AC-3) 1NO+1NC - CTX3-9A - bobina 230Vac - marca Legrand.</v>
      </c>
      <c r="Q2408" s="120" t="str">
        <f t="shared" si="2174"/>
        <v>CTX3-9A</v>
      </c>
      <c r="R2408" s="118"/>
      <c r="S2408" s="112" t="str">
        <f t="shared" si="2183"/>
        <v>Legrand</v>
      </c>
      <c r="T2408" s="118"/>
    </row>
    <row r="2409" spans="1:20" s="1921" customFormat="1" ht="12.75" customHeight="1">
      <c r="A2409" s="2262"/>
      <c r="B2409" s="2259">
        <v>1</v>
      </c>
      <c r="C2409" t="s">
        <v>3361</v>
      </c>
      <c r="D2409" s="2265"/>
      <c r="E2409" s="2285"/>
      <c r="F2409" s="2266"/>
      <c r="G2409" s="1919"/>
      <c r="H2409" s="1919"/>
      <c r="I2409" s="1919"/>
      <c r="J2409" s="1920"/>
      <c r="K2409" s="684">
        <f t="shared" si="2165"/>
        <v>1</v>
      </c>
      <c r="L2409" s="708">
        <v>1</v>
      </c>
      <c r="M2409" s="120">
        <f t="shared" si="2182"/>
        <v>1</v>
      </c>
      <c r="N2409" s="112" t="str">
        <f t="shared" si="2171"/>
        <v/>
      </c>
      <c r="O2409" s="112" t="str">
        <f t="shared" si="2172"/>
        <v/>
      </c>
      <c r="P2409" s="120" t="str">
        <f t="shared" si="2173"/>
        <v/>
      </c>
      <c r="Q2409" s="120" t="str">
        <f t="shared" si="2174"/>
        <v/>
      </c>
      <c r="R2409" s="2261"/>
      <c r="S2409" s="112" t="str">
        <f t="shared" si="2183"/>
        <v/>
      </c>
      <c r="T2409" s="2261"/>
    </row>
    <row r="2410" spans="1:20" s="185" customFormat="1" ht="12.75" customHeight="1">
      <c r="A2410" s="2262"/>
      <c r="B2410" s="2263">
        <v>1</v>
      </c>
      <c r="C2410" s="2279" t="str">
        <f>VLOOKUP(D2410,base_datos,6,FALSE)</f>
        <v>Base portafusibles + Fusibles de protección para control.</v>
      </c>
      <c r="D2410" s="2267" t="s">
        <v>453</v>
      </c>
      <c r="E2410" s="2286">
        <f>VLOOKUP(D2410,base_datos,5,FALSE)</f>
        <v>8.1750000000000007</v>
      </c>
      <c r="F2410" s="2264">
        <f>+E2410*B2410</f>
        <v>8.1750000000000007</v>
      </c>
      <c r="G2410" s="710"/>
      <c r="H2410" s="710"/>
      <c r="I2410" s="710"/>
      <c r="J2410" s="711"/>
      <c r="K2410" s="684">
        <f t="shared" si="2165"/>
        <v>1</v>
      </c>
      <c r="L2410" s="708">
        <v>1</v>
      </c>
      <c r="M2410" s="120">
        <f t="shared" si="2182"/>
        <v>1</v>
      </c>
      <c r="N2410" s="112" t="str">
        <f t="shared" si="2171"/>
        <v/>
      </c>
      <c r="O2410" s="112" t="str">
        <f t="shared" si="2172"/>
        <v/>
      </c>
      <c r="P2410" s="120" t="str">
        <f t="shared" si="2173"/>
        <v/>
      </c>
      <c r="Q2410" s="120" t="str">
        <f t="shared" si="2174"/>
        <v/>
      </c>
      <c r="R2410" s="118"/>
      <c r="S2410" s="112" t="str">
        <f t="shared" si="2183"/>
        <v/>
      </c>
      <c r="T2410" s="118"/>
    </row>
    <row r="2411" spans="1:20" s="320" customFormat="1" ht="12.75" customHeight="1">
      <c r="A2411" s="2262"/>
      <c r="B2411" s="2263">
        <v>1</v>
      </c>
      <c r="C2411" s="2279" t="str">
        <f>VLOOKUP(D2411,base_datos,6,FALSE)</f>
        <v>Borne 4mm2.</v>
      </c>
      <c r="D2411" s="2267" t="s">
        <v>437</v>
      </c>
      <c r="E2411" s="2286">
        <f>VLOOKUP(D2411,base_datos,5,FALSE)</f>
        <v>2.5</v>
      </c>
      <c r="F2411" s="2264">
        <f>+E2411*B2411</f>
        <v>2.5</v>
      </c>
      <c r="G2411" s="1924"/>
      <c r="H2411" s="1924"/>
      <c r="I2411" s="1924"/>
      <c r="J2411" s="722"/>
      <c r="K2411" s="684">
        <f t="shared" si="2165"/>
        <v>1</v>
      </c>
      <c r="L2411" s="708">
        <v>1</v>
      </c>
      <c r="M2411" s="120">
        <f t="shared" si="2182"/>
        <v>1</v>
      </c>
      <c r="N2411" s="112" t="str">
        <f t="shared" si="2171"/>
        <v/>
      </c>
      <c r="O2411" s="112" t="str">
        <f t="shared" si="2172"/>
        <v/>
      </c>
      <c r="P2411" s="120" t="str">
        <f t="shared" si="2173"/>
        <v/>
      </c>
      <c r="Q2411" s="120" t="str">
        <f t="shared" si="2174"/>
        <v/>
      </c>
      <c r="R2411" s="709"/>
      <c r="S2411" s="112" t="str">
        <f t="shared" si="2183"/>
        <v/>
      </c>
      <c r="T2411" s="709"/>
    </row>
    <row r="2412" spans="1:20" s="320" customFormat="1" ht="12.75" customHeight="1">
      <c r="A2412" s="2262"/>
      <c r="B2412" s="2263">
        <v>1</v>
      </c>
      <c r="C2412" s="2279" t="str">
        <f>VLOOKUP(D2412,base_datos,6,FALSE)</f>
        <v>Borne para neutro.</v>
      </c>
      <c r="D2412" s="2267" t="s">
        <v>436</v>
      </c>
      <c r="E2412" s="2286">
        <f>VLOOKUP(D2412,base_datos,5,FALSE)</f>
        <v>4</v>
      </c>
      <c r="F2412" s="2264">
        <f>+E2412*B2412</f>
        <v>4</v>
      </c>
      <c r="G2412" s="1924"/>
      <c r="H2412" s="1924"/>
      <c r="I2412" s="1924"/>
      <c r="J2412" s="722"/>
      <c r="K2412" s="684">
        <f t="shared" si="2165"/>
        <v>1</v>
      </c>
      <c r="L2412" s="708">
        <v>1</v>
      </c>
      <c r="M2412" s="120">
        <f t="shared" si="2182"/>
        <v>1</v>
      </c>
      <c r="N2412" s="112" t="str">
        <f t="shared" si="2171"/>
        <v/>
      </c>
      <c r="O2412" s="112" t="str">
        <f t="shared" si="2172"/>
        <v/>
      </c>
      <c r="P2412" s="120" t="str">
        <f t="shared" si="2173"/>
        <v/>
      </c>
      <c r="Q2412" s="120" t="str">
        <f t="shared" si="2174"/>
        <v/>
      </c>
      <c r="R2412" s="709"/>
      <c r="S2412" s="112" t="str">
        <f t="shared" si="2183"/>
        <v/>
      </c>
      <c r="T2412" s="709"/>
    </row>
    <row r="2413" spans="1:20" s="19" customFormat="1" ht="21.9" customHeight="1">
      <c r="A2413" s="2262"/>
      <c r="B2413" s="2268"/>
      <c r="C2413" s="1893" t="s">
        <v>729</v>
      </c>
      <c r="D2413" s="169"/>
      <c r="E2413" s="2269"/>
      <c r="F2413" s="2290"/>
      <c r="I2413" s="137"/>
      <c r="J2413" s="2270"/>
      <c r="K2413" s="684">
        <f t="shared" si="2165"/>
        <v>1</v>
      </c>
      <c r="L2413" s="708">
        <v>1</v>
      </c>
      <c r="M2413" s="120">
        <f t="shared" si="2182"/>
        <v>1</v>
      </c>
      <c r="N2413" s="112" t="str">
        <f t="shared" si="2171"/>
        <v/>
      </c>
      <c r="O2413" s="112" t="str">
        <f t="shared" si="2172"/>
        <v/>
      </c>
      <c r="P2413" s="120" t="str">
        <f t="shared" si="2173"/>
        <v/>
      </c>
      <c r="Q2413" s="120" t="str">
        <f t="shared" si="2174"/>
        <v/>
      </c>
      <c r="R2413" s="161"/>
      <c r="S2413" s="112" t="str">
        <f t="shared" si="2183"/>
        <v/>
      </c>
      <c r="T2413" s="161"/>
    </row>
    <row r="2414" spans="1:20" s="315" customFormat="1" ht="12.75" customHeight="1">
      <c r="A2414" s="2271"/>
      <c r="B2414" s="2272">
        <v>1</v>
      </c>
      <c r="C2414" s="2281" t="s">
        <v>13366</v>
      </c>
      <c r="D2414" s="1935"/>
      <c r="E2414" s="2287"/>
      <c r="F2414" s="2257">
        <f>+SUM(F2415:F2418)*(B2414-1)</f>
        <v>0</v>
      </c>
      <c r="G2414" s="712"/>
      <c r="H2414" s="712"/>
      <c r="I2414" s="712"/>
      <c r="J2414" s="713"/>
      <c r="K2414" s="684">
        <f t="shared" si="2165"/>
        <v>1</v>
      </c>
      <c r="L2414" s="708">
        <v>1</v>
      </c>
      <c r="M2414" s="120">
        <f t="shared" si="2182"/>
        <v>1</v>
      </c>
      <c r="N2414" s="112" t="str">
        <f t="shared" si="2171"/>
        <v/>
      </c>
      <c r="O2414" s="112" t="str">
        <f t="shared" si="2172"/>
        <v/>
      </c>
      <c r="P2414" s="120" t="str">
        <f t="shared" si="2173"/>
        <v/>
      </c>
      <c r="Q2414" s="120" t="str">
        <f t="shared" si="2174"/>
        <v/>
      </c>
      <c r="S2414" s="112" t="str">
        <f t="shared" si="2183"/>
        <v/>
      </c>
      <c r="T2414" s="2128"/>
    </row>
    <row r="2415" spans="1:20" s="690" customFormat="1" ht="18" customHeight="1">
      <c r="A2415" s="2273"/>
      <c r="B2415" s="1781">
        <v>1</v>
      </c>
      <c r="C2415" s="1420" t="str">
        <f t="shared" ref="C2415:C2418" si="2184">VLOOKUP(D2415,base_datos,6,FALSE)</f>
        <v>Calefactor resistivo 60W, modelo RACM - marca FANDIS.</v>
      </c>
      <c r="D2415" s="1899" t="s">
        <v>3298</v>
      </c>
      <c r="E2415" s="2288">
        <f t="shared" ref="E2415" si="2185">VLOOKUP(D2415,base_datos,5,FALSE)</f>
        <v>127.1</v>
      </c>
      <c r="F2415" s="1782">
        <f>+E2415*B2415</f>
        <v>127.1</v>
      </c>
      <c r="G2415" s="1761"/>
      <c r="H2415" s="1761"/>
      <c r="I2415" s="1761"/>
      <c r="J2415" s="689"/>
      <c r="K2415" s="684">
        <f t="shared" si="2165"/>
        <v>1</v>
      </c>
      <c r="L2415" s="708">
        <v>1</v>
      </c>
      <c r="M2415" s="120">
        <f t="shared" si="2182"/>
        <v>1</v>
      </c>
      <c r="N2415" s="112">
        <f t="shared" si="2171"/>
        <v>1</v>
      </c>
      <c r="O2415" s="112" t="str">
        <f t="shared" si="2172"/>
        <v>RACM-60</v>
      </c>
      <c r="P2415" s="120" t="str">
        <f t="shared" si="2173"/>
        <v>Calefactor resistivo 60W, modelo RACM - marca FANDIS.</v>
      </c>
      <c r="Q2415" s="120" t="str">
        <f t="shared" si="2174"/>
        <v>CALEFACT-60W_FAND</v>
      </c>
      <c r="S2415" s="112" t="str">
        <f t="shared" si="2183"/>
        <v>FANDIS</v>
      </c>
      <c r="T2415" s="1765"/>
    </row>
    <row r="2416" spans="1:20" s="690" customFormat="1" ht="18" customHeight="1">
      <c r="A2416" s="2273"/>
      <c r="B2416" s="1781">
        <v>1</v>
      </c>
      <c r="C2416" s="1420" t="str">
        <f t="shared" si="2184"/>
        <v>Termostato para ventilación - 1NA - 230V - marca FANDIS.</v>
      </c>
      <c r="D2416" s="1899" t="s">
        <v>3294</v>
      </c>
      <c r="E2416" s="2288">
        <f t="shared" ref="E2416:E2418" si="2186">VLOOKUP(D2416,base_datos,5,FALSE)</f>
        <v>41.58</v>
      </c>
      <c r="F2416" s="1782">
        <f>+E2416*B2416</f>
        <v>41.58</v>
      </c>
      <c r="G2416" s="1761"/>
      <c r="H2416" s="1761"/>
      <c r="I2416" s="1761"/>
      <c r="J2416" s="689"/>
      <c r="K2416" s="684">
        <f t="shared" si="2165"/>
        <v>1</v>
      </c>
      <c r="L2416" s="708">
        <v>1</v>
      </c>
      <c r="M2416" s="120">
        <f t="shared" si="2182"/>
        <v>1</v>
      </c>
      <c r="N2416" s="112">
        <f t="shared" si="2171"/>
        <v>1</v>
      </c>
      <c r="O2416" s="112" t="str">
        <f t="shared" si="2172"/>
        <v>TRT-10A230V-NO</v>
      </c>
      <c r="P2416" s="120" t="str">
        <f t="shared" si="2173"/>
        <v>Termostato para ventilación - 1NA - 230V - marca FANDIS.</v>
      </c>
      <c r="Q2416" s="120" t="str">
        <f t="shared" si="2174"/>
        <v>TRT-1NA</v>
      </c>
      <c r="S2416" s="112" t="str">
        <f t="shared" si="2183"/>
        <v>FANDIS</v>
      </c>
      <c r="T2416" s="1765"/>
    </row>
    <row r="2417" spans="1:20" s="320" customFormat="1" ht="12.75" customHeight="1">
      <c r="A2417" s="2274"/>
      <c r="B2417" s="2275">
        <v>1</v>
      </c>
      <c r="C2417" s="2282" t="str">
        <f t="shared" si="2184"/>
        <v>Base portafusibles + Fusibles de protección para control.</v>
      </c>
      <c r="D2417" s="1579" t="s">
        <v>453</v>
      </c>
      <c r="E2417" s="2289">
        <f t="shared" si="2186"/>
        <v>8.1750000000000007</v>
      </c>
      <c r="F2417" s="2264">
        <f>+E2417*B2417</f>
        <v>8.1750000000000007</v>
      </c>
      <c r="G2417" s="2276"/>
      <c r="H2417" s="2276"/>
      <c r="I2417" s="2276"/>
      <c r="J2417" s="722"/>
      <c r="K2417" s="684">
        <f t="shared" si="2165"/>
        <v>1</v>
      </c>
      <c r="L2417" s="708">
        <v>1</v>
      </c>
      <c r="M2417" s="120">
        <f t="shared" si="2182"/>
        <v>1</v>
      </c>
      <c r="N2417" s="112" t="str">
        <f t="shared" si="2171"/>
        <v/>
      </c>
      <c r="O2417" s="112" t="str">
        <f t="shared" si="2172"/>
        <v/>
      </c>
      <c r="P2417" s="120" t="str">
        <f t="shared" si="2173"/>
        <v/>
      </c>
      <c r="Q2417" s="120" t="str">
        <f t="shared" si="2174"/>
        <v/>
      </c>
      <c r="R2417" s="185"/>
      <c r="S2417" s="112" t="str">
        <f t="shared" si="2183"/>
        <v/>
      </c>
      <c r="T2417" s="709"/>
    </row>
    <row r="2418" spans="1:20" s="320" customFormat="1" ht="12.75" customHeight="1">
      <c r="A2418" s="2274"/>
      <c r="B2418" s="2277">
        <v>1</v>
      </c>
      <c r="C2418" s="2282" t="str">
        <f t="shared" si="2184"/>
        <v>Borne 4mm2.</v>
      </c>
      <c r="D2418" s="1579" t="s">
        <v>437</v>
      </c>
      <c r="E2418" s="2260">
        <f t="shared" si="2186"/>
        <v>2.5</v>
      </c>
      <c r="F2418" s="2260">
        <f>+E2418*B2418</f>
        <v>2.5</v>
      </c>
      <c r="G2418" s="2276"/>
      <c r="H2418" s="2276"/>
      <c r="I2418" s="2276"/>
      <c r="J2418" s="722"/>
      <c r="K2418" s="684">
        <f t="shared" si="2165"/>
        <v>1</v>
      </c>
      <c r="L2418" s="708">
        <v>1</v>
      </c>
      <c r="M2418" s="120">
        <f t="shared" si="2182"/>
        <v>1</v>
      </c>
      <c r="N2418" s="112" t="str">
        <f t="shared" si="2171"/>
        <v/>
      </c>
      <c r="O2418" s="112" t="str">
        <f t="shared" si="2172"/>
        <v/>
      </c>
      <c r="P2418" s="120" t="str">
        <f t="shared" si="2173"/>
        <v/>
      </c>
      <c r="Q2418" s="120" t="str">
        <f t="shared" si="2174"/>
        <v/>
      </c>
      <c r="R2418" s="185"/>
      <c r="S2418" s="112" t="str">
        <f t="shared" si="2183"/>
        <v/>
      </c>
      <c r="T2418" s="709"/>
    </row>
    <row r="2419" spans="1:20" s="185" customFormat="1" ht="12.75" customHeight="1">
      <c r="A2419" s="2262"/>
      <c r="B2419" s="1760"/>
      <c r="C2419" s="1893" t="s">
        <v>729</v>
      </c>
      <c r="D2419" s="169"/>
      <c r="E2419" s="2256"/>
      <c r="F2419" s="2278"/>
      <c r="G2419" s="710"/>
      <c r="H2419" s="710"/>
      <c r="I2419" s="710"/>
      <c r="J2419" s="711"/>
      <c r="K2419" s="684">
        <f t="shared" si="2165"/>
        <v>1</v>
      </c>
      <c r="L2419" s="708">
        <v>1</v>
      </c>
      <c r="M2419" s="120">
        <f t="shared" si="2182"/>
        <v>1</v>
      </c>
      <c r="N2419" s="112" t="str">
        <f t="shared" si="2171"/>
        <v/>
      </c>
      <c r="O2419" s="112" t="str">
        <f t="shared" si="2172"/>
        <v/>
      </c>
      <c r="P2419" s="120" t="str">
        <f t="shared" si="2173"/>
        <v/>
      </c>
      <c r="Q2419" s="120" t="str">
        <f t="shared" si="2174"/>
        <v/>
      </c>
      <c r="S2419" s="112" t="str">
        <f t="shared" si="2183"/>
        <v/>
      </c>
      <c r="T2419" s="118"/>
    </row>
    <row r="2420" spans="1:20" s="1236" customFormat="1" ht="18" customHeight="1">
      <c r="A2420" s="1767"/>
      <c r="B2420" s="1853">
        <v>1</v>
      </c>
      <c r="C2420" s="1895" t="s">
        <v>12366</v>
      </c>
      <c r="D2420" s="1902"/>
      <c r="E2420" s="1792"/>
      <c r="F2420" s="1793"/>
      <c r="G2420" s="1784"/>
      <c r="H2420" s="1784"/>
      <c r="I2420" s="1784"/>
      <c r="J2420" s="1182"/>
      <c r="K2420" s="684">
        <f t="shared" si="2165"/>
        <v>1</v>
      </c>
      <c r="L2420" s="708">
        <v>1</v>
      </c>
      <c r="M2420" s="709">
        <f t="shared" si="2166"/>
        <v>1</v>
      </c>
      <c r="N2420" s="362" t="str">
        <f t="shared" si="2171"/>
        <v/>
      </c>
      <c r="O2420" s="1763" t="str">
        <f t="shared" si="2172"/>
        <v/>
      </c>
      <c r="P2420" s="1764" t="str">
        <f t="shared" si="2173"/>
        <v/>
      </c>
      <c r="Q2420" s="120" t="str">
        <f t="shared" si="2174"/>
        <v/>
      </c>
      <c r="R2420" s="185"/>
    </row>
    <row r="2421" spans="1:20" s="120" customFormat="1" ht="18" customHeight="1">
      <c r="A2421" s="687"/>
      <c r="B2421" s="1945">
        <v>2</v>
      </c>
      <c r="C2421" s="1848" t="str">
        <f>VLOOKUP(D2421,base_datos,6,FALSE)</f>
        <v>Transformador de tensión monofásico 480 / 240 Vac - 50VA.</v>
      </c>
      <c r="D2421" s="1898" t="s">
        <v>8587</v>
      </c>
      <c r="E2421" s="1581">
        <f>VLOOKUP(D2421,base_datos,5,FALSE)</f>
        <v>76.8</v>
      </c>
      <c r="F2421" s="1581">
        <f>+E2421*B2421</f>
        <v>153.6</v>
      </c>
      <c r="G2421" s="686"/>
      <c r="H2421" s="686"/>
      <c r="I2421" s="686"/>
      <c r="J2421" s="1768"/>
      <c r="K2421" s="684">
        <f t="shared" si="2165"/>
        <v>1</v>
      </c>
      <c r="L2421" s="708">
        <v>1</v>
      </c>
      <c r="M2421" s="709">
        <f t="shared" si="2166"/>
        <v>2</v>
      </c>
      <c r="N2421" s="362" t="str">
        <f t="shared" si="2171"/>
        <v/>
      </c>
      <c r="O2421" s="1763" t="str">
        <f t="shared" si="2172"/>
        <v/>
      </c>
      <c r="P2421" s="1764" t="str">
        <f t="shared" si="2173"/>
        <v/>
      </c>
      <c r="Q2421" s="120" t="str">
        <f t="shared" si="2174"/>
        <v/>
      </c>
      <c r="R2421" s="185"/>
    </row>
    <row r="2422" spans="1:20" s="120" customFormat="1" ht="18" customHeight="1">
      <c r="A2422" s="687"/>
      <c r="B2422" s="1945">
        <v>1</v>
      </c>
      <c r="C2422" s="1848" t="str">
        <f>VLOOKUP(D2422,base_datos,6,FALSE)</f>
        <v>Transformador de tensión monofásico 480 / 240 Vac - 200VA.</v>
      </c>
      <c r="D2422" s="1898" t="s">
        <v>5173</v>
      </c>
      <c r="E2422" s="1581">
        <f>VLOOKUP(D2422,base_datos,5,FALSE)</f>
        <v>89.5</v>
      </c>
      <c r="F2422" s="1581">
        <f>+E2422*B2422</f>
        <v>89.5</v>
      </c>
      <c r="G2422" s="686"/>
      <c r="H2422" s="686"/>
      <c r="I2422" s="686"/>
      <c r="J2422" s="1768"/>
      <c r="K2422" s="684">
        <f t="shared" si="2165"/>
        <v>1</v>
      </c>
      <c r="L2422" s="708">
        <v>1</v>
      </c>
      <c r="M2422" s="709">
        <f t="shared" si="2166"/>
        <v>1</v>
      </c>
      <c r="N2422" s="362" t="str">
        <f t="shared" si="2171"/>
        <v/>
      </c>
      <c r="O2422" s="1763" t="str">
        <f t="shared" si="2172"/>
        <v/>
      </c>
      <c r="P2422" s="1764" t="str">
        <f t="shared" si="2173"/>
        <v/>
      </c>
      <c r="Q2422" s="120" t="str">
        <f t="shared" si="2174"/>
        <v/>
      </c>
      <c r="R2422" s="185"/>
    </row>
    <row r="2423" spans="1:20" s="185" customFormat="1" ht="18" customHeight="1">
      <c r="A2423" s="1785"/>
      <c r="B2423" s="714"/>
      <c r="C2423" s="1893" t="s">
        <v>729</v>
      </c>
      <c r="D2423" s="173"/>
      <c r="E2423" s="1786"/>
      <c r="F2423" s="1787"/>
      <c r="G2423" s="710"/>
      <c r="H2423" s="710"/>
      <c r="I2423" s="710"/>
      <c r="J2423" s="711"/>
      <c r="K2423" s="684">
        <f t="shared" si="2165"/>
        <v>1</v>
      </c>
      <c r="L2423" s="708">
        <v>1</v>
      </c>
      <c r="M2423" s="709">
        <f t="shared" si="2166"/>
        <v>1</v>
      </c>
      <c r="N2423" s="362" t="str">
        <f t="shared" si="2171"/>
        <v/>
      </c>
      <c r="O2423" s="1763" t="str">
        <f t="shared" si="2172"/>
        <v/>
      </c>
      <c r="P2423" s="1764" t="str">
        <f t="shared" si="2173"/>
        <v/>
      </c>
      <c r="Q2423" s="120" t="str">
        <f t="shared" si="2174"/>
        <v/>
      </c>
    </row>
    <row r="2424" spans="1:20" s="1236" customFormat="1" ht="18" customHeight="1">
      <c r="A2424" s="1767"/>
      <c r="B2424" s="1853">
        <v>1</v>
      </c>
      <c r="C2424" s="1895" t="s">
        <v>12364</v>
      </c>
      <c r="D2424" s="1902"/>
      <c r="E2424" s="1792"/>
      <c r="F2424" s="1793"/>
      <c r="G2424" s="1784"/>
      <c r="H2424" s="1784"/>
      <c r="I2424" s="1784"/>
      <c r="J2424" s="1182"/>
      <c r="K2424" s="684">
        <f t="shared" si="2165"/>
        <v>1</v>
      </c>
      <c r="L2424" s="708">
        <v>1</v>
      </c>
      <c r="M2424" s="709">
        <f t="shared" si="2166"/>
        <v>1</v>
      </c>
      <c r="N2424" s="362" t="str">
        <f t="shared" si="2171"/>
        <v/>
      </c>
      <c r="O2424" s="1763" t="str">
        <f t="shared" si="2172"/>
        <v/>
      </c>
      <c r="P2424" s="1764" t="str">
        <f t="shared" si="2173"/>
        <v/>
      </c>
      <c r="Q2424" s="120" t="str">
        <f t="shared" si="2174"/>
        <v/>
      </c>
      <c r="R2424" s="185"/>
    </row>
    <row r="2425" spans="1:20" s="695" customFormat="1" ht="18" customHeight="1">
      <c r="A2425" s="693"/>
      <c r="B2425" s="1922">
        <v>1</v>
      </c>
      <c r="C2425" s="1848" t="str">
        <f t="shared" ref="C2425" si="2187">VLOOKUP(D2425,base_datos,6,FALSE)</f>
        <v>Placa lamicoid rotulación de 3mm de espesor, fondo negro y letras blancas.</v>
      </c>
      <c r="D2425" s="1886" t="s">
        <v>8567</v>
      </c>
      <c r="E2425" s="1795">
        <f t="shared" ref="E2425" si="2188">VLOOKUP(D2425,base_datos,5,FALSE)</f>
        <v>8.6999999999999993</v>
      </c>
      <c r="F2425" s="1796">
        <f t="shared" ref="F2425" si="2189">+E2425*B2425</f>
        <v>8.6999999999999993</v>
      </c>
      <c r="G2425" s="696"/>
      <c r="H2425" s="696"/>
      <c r="I2425" s="696"/>
      <c r="J2425" s="697"/>
      <c r="K2425" s="684">
        <f t="shared" si="2165"/>
        <v>1</v>
      </c>
      <c r="L2425" s="708">
        <v>1</v>
      </c>
      <c r="M2425" s="709">
        <f t="shared" si="2166"/>
        <v>1</v>
      </c>
      <c r="N2425" s="362">
        <f t="shared" si="2171"/>
        <v>1</v>
      </c>
      <c r="O2425" s="1763" t="str">
        <f t="shared" si="2172"/>
        <v>Placa lamicoid p/autosop.</v>
      </c>
      <c r="P2425" s="1764" t="str">
        <f t="shared" si="2173"/>
        <v>Placa lamicoid rotulación de 3mm de espesor, fondo negro y letras blancas.</v>
      </c>
      <c r="Q2425" s="120" t="str">
        <f t="shared" si="2174"/>
        <v>Placa lamicoid p/autosop.</v>
      </c>
      <c r="R2425" s="185"/>
    </row>
    <row r="2426" spans="1:20" s="1236" customFormat="1" ht="18" customHeight="1">
      <c r="A2426" s="1767"/>
      <c r="B2426" s="1853">
        <v>1</v>
      </c>
      <c r="C2426" s="1895" t="s">
        <v>12363</v>
      </c>
      <c r="D2426" s="1902"/>
      <c r="E2426" s="1792"/>
      <c r="F2426" s="1793"/>
      <c r="G2426" s="1784"/>
      <c r="H2426" s="1784"/>
      <c r="I2426" s="1784"/>
      <c r="J2426" s="1182"/>
      <c r="K2426" s="684">
        <f t="shared" si="2165"/>
        <v>1</v>
      </c>
      <c r="L2426" s="708">
        <v>1</v>
      </c>
      <c r="M2426" s="709">
        <f t="shared" si="2166"/>
        <v>1</v>
      </c>
      <c r="N2426" s="362" t="str">
        <f t="shared" si="2171"/>
        <v/>
      </c>
      <c r="O2426" s="1763" t="str">
        <f t="shared" si="2172"/>
        <v/>
      </c>
      <c r="P2426" s="1764" t="str">
        <f t="shared" si="2173"/>
        <v/>
      </c>
      <c r="Q2426" s="120" t="str">
        <f t="shared" si="2174"/>
        <v/>
      </c>
      <c r="R2426" s="185"/>
    </row>
    <row r="2427" spans="1:20" s="1236" customFormat="1" ht="18" customHeight="1">
      <c r="A2427" s="1767"/>
      <c r="B2427" s="1853">
        <v>1</v>
      </c>
      <c r="C2427" s="1895" t="s">
        <v>12475</v>
      </c>
      <c r="D2427" s="1902"/>
      <c r="E2427" s="1795"/>
      <c r="F2427" s="1796"/>
      <c r="G2427" s="1784"/>
      <c r="H2427" s="1784"/>
      <c r="I2427" s="1784"/>
      <c r="J2427" s="1182"/>
      <c r="K2427" s="684">
        <f t="shared" si="2165"/>
        <v>1</v>
      </c>
      <c r="L2427" s="708">
        <v>1</v>
      </c>
      <c r="M2427" s="709">
        <f t="shared" si="2166"/>
        <v>1</v>
      </c>
      <c r="N2427" s="362" t="str">
        <f t="shared" si="2171"/>
        <v/>
      </c>
      <c r="O2427" s="1763" t="str">
        <f t="shared" si="2172"/>
        <v/>
      </c>
      <c r="P2427" s="1764" t="str">
        <f t="shared" si="2173"/>
        <v/>
      </c>
      <c r="Q2427" s="120" t="str">
        <f t="shared" si="2174"/>
        <v/>
      </c>
      <c r="R2427" s="185"/>
    </row>
    <row r="2428" spans="1:20" s="1236" customFormat="1" ht="18" customHeight="1">
      <c r="A2428" s="1767"/>
      <c r="B2428" s="1853">
        <v>1</v>
      </c>
      <c r="C2428" s="1848" t="str">
        <f>VLOOKUP(D2428,base_datos,6,FALSE)</f>
        <v>Embalaje especial completamente cerrado para tablero autosoportado de 2100x800x800mm</v>
      </c>
      <c r="D2428" s="1902" t="s">
        <v>12450</v>
      </c>
      <c r="E2428" s="1795">
        <f t="shared" ref="E2428" si="2190">VLOOKUP(D2428,base_datos,5,FALSE)</f>
        <v>312.08</v>
      </c>
      <c r="F2428" s="1796">
        <f t="shared" ref="F2428" si="2191">+E2428*B2428</f>
        <v>312.08</v>
      </c>
      <c r="G2428" s="1784"/>
      <c r="H2428" s="1784"/>
      <c r="I2428" s="1784"/>
      <c r="J2428" s="1182"/>
      <c r="K2428" s="684">
        <f t="shared" si="2165"/>
        <v>1</v>
      </c>
      <c r="L2428" s="708">
        <v>1</v>
      </c>
      <c r="M2428" s="709">
        <f t="shared" si="2166"/>
        <v>1</v>
      </c>
      <c r="N2428" s="362">
        <f t="shared" si="2171"/>
        <v>1</v>
      </c>
      <c r="O2428" s="1763" t="str">
        <f t="shared" si="2172"/>
        <v>EMBAL_AUTOS_2100x800x800mm</v>
      </c>
      <c r="P2428" s="1764" t="str">
        <f t="shared" si="2173"/>
        <v>Embalaje especial completamente cerrado para tablero autosoportado de 2100x800x800mm</v>
      </c>
      <c r="Q2428" s="120" t="str">
        <f t="shared" si="2174"/>
        <v>EMBAL_AUTOS_2100x800x800mm</v>
      </c>
      <c r="R2428" s="185"/>
    </row>
    <row r="2429" spans="1:20" s="185" customFormat="1" ht="18" customHeight="1">
      <c r="A2429" s="1785"/>
      <c r="B2429" s="714"/>
      <c r="C2429" s="1893" t="s">
        <v>729</v>
      </c>
      <c r="D2429" s="173"/>
      <c r="E2429" s="1786"/>
      <c r="F2429" s="1787"/>
      <c r="G2429" s="710"/>
      <c r="H2429" s="710"/>
      <c r="I2429" s="710"/>
      <c r="J2429" s="711"/>
      <c r="K2429" s="684">
        <f t="shared" si="2165"/>
        <v>1</v>
      </c>
      <c r="L2429" s="708">
        <v>1</v>
      </c>
      <c r="M2429" s="709">
        <f t="shared" si="2166"/>
        <v>1</v>
      </c>
      <c r="N2429" s="362" t="str">
        <f t="shared" si="2171"/>
        <v/>
      </c>
      <c r="O2429" s="1763" t="str">
        <f t="shared" si="2172"/>
        <v/>
      </c>
      <c r="P2429" s="1764" t="str">
        <f t="shared" si="2173"/>
        <v/>
      </c>
      <c r="Q2429" s="120" t="str">
        <f t="shared" si="2174"/>
        <v/>
      </c>
    </row>
    <row r="2430" spans="1:20" s="695" customFormat="1" ht="18" customHeight="1">
      <c r="A2430" s="693"/>
      <c r="B2430" s="1794">
        <v>1</v>
      </c>
      <c r="C2430" s="1420" t="str">
        <f t="shared" ref="C2430" si="2192">VLOOKUP(D2430,base_datos,6,FALSE)</f>
        <v>Barra a tierra.</v>
      </c>
      <c r="D2430" s="1790" t="s">
        <v>3272</v>
      </c>
      <c r="E2430" s="1795">
        <f t="shared" ref="E2430" si="2193">VLOOKUP(D2430,base_datos,5,FALSE)</f>
        <v>30</v>
      </c>
      <c r="F2430" s="1796">
        <f t="shared" ref="F2430:F2437" si="2194">+E2430*B2430</f>
        <v>30</v>
      </c>
      <c r="G2430" s="696"/>
      <c r="H2430" s="696"/>
      <c r="I2430" s="696"/>
      <c r="J2430" s="697"/>
      <c r="K2430" s="684">
        <f t="shared" si="2165"/>
        <v>1</v>
      </c>
      <c r="L2430" s="708">
        <v>1</v>
      </c>
      <c r="M2430" s="709">
        <f t="shared" si="2166"/>
        <v>1</v>
      </c>
      <c r="N2430" s="362" t="str">
        <f t="shared" si="2171"/>
        <v/>
      </c>
      <c r="O2430" s="1763" t="str">
        <f t="shared" si="2172"/>
        <v/>
      </c>
      <c r="P2430" s="1764" t="str">
        <f t="shared" si="2173"/>
        <v/>
      </c>
      <c r="Q2430" s="120" t="str">
        <f t="shared" si="2174"/>
        <v/>
      </c>
      <c r="R2430" s="185"/>
    </row>
    <row r="2431" spans="1:20" s="185" customFormat="1" ht="18" customHeight="1">
      <c r="A2431" s="1785"/>
      <c r="B2431" s="714"/>
      <c r="C2431" s="1893" t="s">
        <v>729</v>
      </c>
      <c r="D2431" s="173"/>
      <c r="E2431" s="1786"/>
      <c r="F2431" s="1787"/>
      <c r="G2431" s="710"/>
      <c r="H2431" s="710"/>
      <c r="I2431" s="710"/>
      <c r="J2431" s="711"/>
      <c r="K2431" s="684">
        <f t="shared" si="2165"/>
        <v>1</v>
      </c>
      <c r="L2431" s="708">
        <v>1</v>
      </c>
      <c r="M2431" s="709">
        <f t="shared" ref="M2431" si="2195">IF(B2431="",1,B2431)</f>
        <v>1</v>
      </c>
      <c r="N2431" s="362" t="str">
        <f t="shared" ref="N2431" si="2196">IF(O2431&lt;&gt;"",K2431*L2431*M2431,"")</f>
        <v/>
      </c>
      <c r="O2431" s="1763" t="str">
        <f t="shared" ref="O2431" si="2197">IF(D2431&lt;&gt;"",IF(VLOOKUP(D2431,base_datos,7,FALSE)&lt;&gt;"",VLOOKUP(D2431,base_datos,7,FALSE),""),"")</f>
        <v/>
      </c>
      <c r="P2431" s="1764" t="str">
        <f t="shared" ref="P2431" si="2198">IF(O2431&lt;&gt;"",VLOOKUP(D2431,base_datos,6,FALSE),"")</f>
        <v/>
      </c>
      <c r="Q2431" s="120" t="str">
        <f t="shared" ref="Q2431" si="2199">IF(O2431&lt;&gt;"",D2431,"")</f>
        <v/>
      </c>
    </row>
    <row r="2432" spans="1:20" s="897" customFormat="1" ht="18" customHeight="1">
      <c r="A2432" s="693"/>
      <c r="B2432" s="895">
        <v>10</v>
      </c>
      <c r="C2432" s="1848" t="str">
        <f>VLOOKUP(D2432,base_datos,6,FALSE)</f>
        <v>Rotulado por circuito.</v>
      </c>
      <c r="D2432" s="1579" t="s">
        <v>3067</v>
      </c>
      <c r="E2432" s="1581">
        <f>VLOOKUP(D2432,base_datos,5,FALSE)</f>
        <v>0.7</v>
      </c>
      <c r="F2432" s="1581">
        <f t="shared" si="2194"/>
        <v>7</v>
      </c>
      <c r="G2432" s="1772"/>
      <c r="H2432" s="1772"/>
      <c r="I2432" s="1772"/>
      <c r="J2432" s="896"/>
      <c r="K2432" s="684">
        <f t="shared" si="2165"/>
        <v>1</v>
      </c>
      <c r="L2432" s="708">
        <v>1</v>
      </c>
      <c r="M2432" s="709">
        <f t="shared" si="2166"/>
        <v>10</v>
      </c>
      <c r="N2432" s="362" t="str">
        <f t="shared" si="2171"/>
        <v/>
      </c>
      <c r="O2432" s="1763" t="str">
        <f t="shared" si="2172"/>
        <v/>
      </c>
      <c r="P2432" s="1764" t="str">
        <f t="shared" si="2173"/>
        <v/>
      </c>
      <c r="Q2432" s="120" t="str">
        <f t="shared" si="2174"/>
        <v/>
      </c>
    </row>
    <row r="2433" spans="1:18" s="897" customFormat="1" ht="18" customHeight="1">
      <c r="A2433" s="693"/>
      <c r="B2433" s="895">
        <v>1</v>
      </c>
      <c r="C2433" s="1848" t="str">
        <f>VLOOKUP(D2433,base_datos,6,FALSE)</f>
        <v>Rotulado para TAG - Gabinete autosoportado.</v>
      </c>
      <c r="D2433" s="1579" t="s">
        <v>3065</v>
      </c>
      <c r="E2433" s="1581">
        <f>VLOOKUP(D2433,base_datos,5,FALSE)</f>
        <v>3</v>
      </c>
      <c r="F2433" s="1581">
        <f t="shared" si="2194"/>
        <v>3</v>
      </c>
      <c r="G2433" s="1772"/>
      <c r="H2433" s="1772"/>
      <c r="I2433" s="1772"/>
      <c r="J2433" s="896"/>
      <c r="K2433" s="684">
        <f t="shared" si="2165"/>
        <v>1</v>
      </c>
      <c r="L2433" s="708">
        <v>1</v>
      </c>
      <c r="M2433" s="709">
        <f t="shared" si="2166"/>
        <v>1</v>
      </c>
      <c r="N2433" s="362" t="str">
        <f t="shared" si="2171"/>
        <v/>
      </c>
      <c r="O2433" s="1763" t="str">
        <f t="shared" si="2172"/>
        <v/>
      </c>
      <c r="P2433" s="1764" t="str">
        <f t="shared" si="2173"/>
        <v/>
      </c>
      <c r="Q2433" s="120" t="str">
        <f t="shared" si="2174"/>
        <v/>
      </c>
    </row>
    <row r="2434" spans="1:18" s="1237" customFormat="1" ht="18" customHeight="1">
      <c r="A2434" s="1767"/>
      <c r="B2434" s="1773">
        <v>1</v>
      </c>
      <c r="C2434" s="1896" t="s">
        <v>11664</v>
      </c>
      <c r="D2434" s="1887"/>
      <c r="E2434" s="1581">
        <v>110</v>
      </c>
      <c r="F2434" s="1581">
        <f t="shared" si="2194"/>
        <v>110</v>
      </c>
      <c r="G2434" s="1774"/>
      <c r="H2434" s="1774"/>
      <c r="I2434" s="1774"/>
      <c r="J2434" s="1181"/>
      <c r="K2434" s="684">
        <f t="shared" si="2165"/>
        <v>1</v>
      </c>
      <c r="L2434" s="708">
        <v>1</v>
      </c>
      <c r="M2434" s="709">
        <f t="shared" si="2166"/>
        <v>1</v>
      </c>
      <c r="N2434" s="362" t="str">
        <f t="shared" si="2171"/>
        <v/>
      </c>
      <c r="O2434" s="1763" t="str">
        <f t="shared" si="2172"/>
        <v/>
      </c>
      <c r="P2434" s="1764" t="str">
        <f t="shared" si="2173"/>
        <v/>
      </c>
      <c r="Q2434" s="120" t="str">
        <f t="shared" si="2174"/>
        <v/>
      </c>
      <c r="R2434" s="1765"/>
    </row>
    <row r="2435" spans="1:18" s="1237" customFormat="1" ht="18" customHeight="1">
      <c r="A2435" s="1767"/>
      <c r="B2435" s="1773">
        <v>1</v>
      </c>
      <c r="C2435" s="1943" t="s">
        <v>13032</v>
      </c>
      <c r="D2435" s="1897"/>
      <c r="E2435" s="1581">
        <f>E2437*15%</f>
        <v>195</v>
      </c>
      <c r="F2435" s="1581">
        <f t="shared" si="2194"/>
        <v>195</v>
      </c>
      <c r="G2435" s="1774"/>
      <c r="H2435" s="1774"/>
      <c r="I2435" s="1774"/>
      <c r="J2435" s="1181"/>
      <c r="K2435" s="684">
        <f t="shared" si="2165"/>
        <v>1</v>
      </c>
      <c r="L2435" s="708">
        <v>1</v>
      </c>
      <c r="M2435" s="709">
        <f t="shared" si="2166"/>
        <v>1</v>
      </c>
      <c r="N2435" s="362" t="str">
        <f t="shared" si="2171"/>
        <v/>
      </c>
      <c r="O2435" s="1763" t="str">
        <f t="shared" si="2172"/>
        <v/>
      </c>
      <c r="P2435" s="1764" t="str">
        <f t="shared" si="2173"/>
        <v/>
      </c>
      <c r="Q2435" s="120" t="str">
        <f t="shared" si="2174"/>
        <v/>
      </c>
      <c r="R2435" s="1765"/>
    </row>
    <row r="2436" spans="1:18" s="1237" customFormat="1" ht="18" customHeight="1">
      <c r="A2436" s="1767"/>
      <c r="B2436" s="1773">
        <v>1</v>
      </c>
      <c r="C2436" s="694" t="s">
        <v>12559</v>
      </c>
      <c r="D2436" s="1888"/>
      <c r="E2436" s="1999">
        <f>E2437*20%</f>
        <v>260</v>
      </c>
      <c r="F2436" s="1581">
        <f t="shared" si="2194"/>
        <v>260</v>
      </c>
      <c r="G2436" s="1774"/>
      <c r="H2436" s="1774"/>
      <c r="I2436" s="1774"/>
      <c r="J2436" s="1181"/>
      <c r="K2436" s="684">
        <f t="shared" si="2165"/>
        <v>1</v>
      </c>
      <c r="L2436" s="708">
        <v>1</v>
      </c>
      <c r="M2436" s="709">
        <f t="shared" si="2166"/>
        <v>1</v>
      </c>
      <c r="N2436" s="362" t="str">
        <f t="shared" si="2171"/>
        <v/>
      </c>
      <c r="O2436" s="1763" t="str">
        <f t="shared" si="2172"/>
        <v/>
      </c>
      <c r="P2436" s="1764" t="str">
        <f t="shared" si="2173"/>
        <v/>
      </c>
      <c r="Q2436" s="120" t="str">
        <f t="shared" si="2174"/>
        <v/>
      </c>
      <c r="R2436" s="1765"/>
    </row>
    <row r="2437" spans="1:18" s="1237" customFormat="1" ht="18" customHeight="1">
      <c r="A2437" s="1767"/>
      <c r="B2437" s="1773">
        <v>1</v>
      </c>
      <c r="C2437" s="1943" t="s">
        <v>12365</v>
      </c>
      <c r="D2437" s="1897"/>
      <c r="E2437" s="1581">
        <v>1300</v>
      </c>
      <c r="F2437" s="1581">
        <f t="shared" si="2194"/>
        <v>1300</v>
      </c>
      <c r="G2437" s="1774"/>
      <c r="H2437" s="1774"/>
      <c r="I2437" s="1774"/>
      <c r="J2437" s="1181"/>
      <c r="K2437" s="684">
        <f t="shared" si="2165"/>
        <v>1</v>
      </c>
      <c r="L2437" s="708">
        <v>1</v>
      </c>
      <c r="M2437" s="709">
        <f t="shared" si="2166"/>
        <v>1</v>
      </c>
      <c r="N2437" s="362" t="str">
        <f t="shared" si="2171"/>
        <v/>
      </c>
      <c r="O2437" s="1763" t="str">
        <f t="shared" si="2172"/>
        <v/>
      </c>
      <c r="P2437" s="1764" t="str">
        <f t="shared" si="2173"/>
        <v/>
      </c>
      <c r="Q2437" s="120" t="str">
        <f t="shared" si="2174"/>
        <v/>
      </c>
      <c r="R2437" s="1765"/>
    </row>
    <row r="2438" spans="1:18" s="20" customFormat="1" ht="18" customHeight="1" thickBot="1">
      <c r="A2438" s="699"/>
      <c r="B2438" s="1775"/>
      <c r="C2438" s="1776"/>
      <c r="D2438" s="1885"/>
      <c r="E2438" s="1981"/>
      <c r="F2438" s="1981"/>
      <c r="G2438" s="1777"/>
      <c r="H2438" s="1777"/>
      <c r="I2438" s="1777"/>
      <c r="J2438" s="1778"/>
      <c r="K2438" s="684"/>
      <c r="L2438" s="363"/>
      <c r="M2438" s="709"/>
      <c r="N2438" s="362" t="str">
        <f t="shared" si="2171"/>
        <v/>
      </c>
      <c r="O2438" s="1763" t="str">
        <f t="shared" si="2172"/>
        <v/>
      </c>
      <c r="P2438" s="1764" t="str">
        <f t="shared" si="2173"/>
        <v/>
      </c>
      <c r="Q2438" s="120" t="str">
        <f t="shared" si="2174"/>
        <v/>
      </c>
      <c r="R2438" s="1765"/>
    </row>
    <row r="2439" spans="1:18" s="120" customFormat="1" ht="18" customHeight="1" thickBot="1">
      <c r="A2439" s="1989">
        <v>40</v>
      </c>
      <c r="B2439" s="1852">
        <v>1</v>
      </c>
      <c r="C2439" s="1756" t="s">
        <v>12602</v>
      </c>
      <c r="D2439" s="1588"/>
      <c r="E2439" s="1589"/>
      <c r="F2439" s="1589"/>
      <c r="G2439" s="1757">
        <f>SUM(F2440:F2498)</f>
        <v>4663.5999999999995</v>
      </c>
      <c r="H2439" s="1758">
        <f>G2439*(1-$D$6)</f>
        <v>4663.5999999999995</v>
      </c>
      <c r="I2439" s="1757">
        <f>ROUNDUP(H2439*$D$5,0)</f>
        <v>15857</v>
      </c>
      <c r="J2439" s="1759">
        <f>+I2439*B2439</f>
        <v>15857</v>
      </c>
      <c r="K2439" s="1788">
        <f>B2439</f>
        <v>1</v>
      </c>
      <c r="L2439" s="363"/>
      <c r="M2439" s="684"/>
      <c r="N2439" s="362" t="str">
        <f t="shared" si="2171"/>
        <v/>
      </c>
      <c r="O2439" s="1763" t="str">
        <f t="shared" si="2172"/>
        <v/>
      </c>
      <c r="P2439" s="1764" t="str">
        <f t="shared" si="2173"/>
        <v/>
      </c>
      <c r="Q2439" s="120" t="str">
        <f t="shared" si="2174"/>
        <v/>
      </c>
      <c r="R2439" s="185"/>
    </row>
    <row r="2440" spans="1:18" s="120" customFormat="1" ht="19.5" customHeight="1">
      <c r="A2440" s="685" t="s">
        <v>3064</v>
      </c>
      <c r="B2440" s="1903"/>
      <c r="C2440" s="1890"/>
      <c r="D2440" s="1904"/>
      <c r="E2440" s="1789"/>
      <c r="F2440" s="1780"/>
      <c r="G2440" s="686"/>
      <c r="H2440" s="710"/>
      <c r="I2440" s="686"/>
      <c r="J2440" s="1768"/>
      <c r="K2440" s="684">
        <f t="shared" ref="K2440:K2498" si="2200">+K2439</f>
        <v>1</v>
      </c>
      <c r="L2440" s="363">
        <v>1</v>
      </c>
      <c r="M2440" s="709">
        <f t="shared" ref="M2440:M2453" si="2201">IF(B2440="",1,B2440)</f>
        <v>1</v>
      </c>
      <c r="N2440" s="362" t="str">
        <f t="shared" si="2171"/>
        <v/>
      </c>
      <c r="O2440" s="1763" t="str">
        <f t="shared" si="2172"/>
        <v/>
      </c>
      <c r="P2440" s="1764" t="str">
        <f t="shared" si="2173"/>
        <v/>
      </c>
      <c r="Q2440" s="120" t="str">
        <f t="shared" si="2174"/>
        <v/>
      </c>
    </row>
    <row r="2441" spans="1:18" s="315" customFormat="1" ht="12" customHeight="1">
      <c r="A2441" s="687" t="s">
        <v>4021</v>
      </c>
      <c r="B2441" s="2096">
        <v>1</v>
      </c>
      <c r="C2441" s="1907" t="s">
        <v>5103</v>
      </c>
      <c r="D2441" s="1935"/>
      <c r="E2441" s="1786"/>
      <c r="F2441" s="1908">
        <f>SUM(F2443:F2447)*(B2441-1)</f>
        <v>0</v>
      </c>
      <c r="G2441" s="712"/>
      <c r="H2441" s="712"/>
      <c r="I2441" s="712"/>
      <c r="J2441" s="713"/>
      <c r="K2441" s="684">
        <f t="shared" si="2200"/>
        <v>1</v>
      </c>
      <c r="L2441" s="1909">
        <f>B2441</f>
        <v>1</v>
      </c>
      <c r="M2441" s="684">
        <f t="shared" si="2201"/>
        <v>1</v>
      </c>
      <c r="N2441" s="362" t="str">
        <f t="shared" si="2171"/>
        <v/>
      </c>
      <c r="O2441" s="1763" t="str">
        <f t="shared" si="2172"/>
        <v/>
      </c>
      <c r="P2441" s="1764" t="str">
        <f t="shared" si="2173"/>
        <v/>
      </c>
      <c r="Q2441" s="120" t="str">
        <f t="shared" si="2174"/>
        <v/>
      </c>
    </row>
    <row r="2442" spans="1:18" s="185" customFormat="1">
      <c r="A2442" s="687" t="s">
        <v>4136</v>
      </c>
      <c r="B2442" s="1910">
        <v>3</v>
      </c>
      <c r="C2442" s="1911" t="str">
        <f>VLOOKUP(D2442,base_datos,6,FALSE)</f>
        <v>Portalámpara + lampara tipo LED - color Rojo - alimentacion: 220-230Vac, d=22mm. - CL2-523R - línea compacta - marca ABB.</v>
      </c>
      <c r="D2442" s="1790" t="s">
        <v>2439</v>
      </c>
      <c r="E2442" s="1939">
        <f>VLOOKUP(D2442,base_datos,5,FALSE)</f>
        <v>12.299999999999999</v>
      </c>
      <c r="F2442" s="1912">
        <f>+E2442*B2442</f>
        <v>36.9</v>
      </c>
      <c r="G2442" s="710"/>
      <c r="H2442" s="710"/>
      <c r="I2442" s="710"/>
      <c r="J2442" s="711"/>
      <c r="K2442" s="684">
        <f t="shared" si="2200"/>
        <v>1</v>
      </c>
      <c r="L2442" s="1913">
        <f>L2440</f>
        <v>1</v>
      </c>
      <c r="M2442" s="684">
        <f t="shared" si="2201"/>
        <v>3</v>
      </c>
      <c r="N2442" s="362">
        <f t="shared" si="2171"/>
        <v>3</v>
      </c>
      <c r="O2442" s="1763" t="str">
        <f t="shared" si="2172"/>
        <v>1SFA619403R5231</v>
      </c>
      <c r="P2442" s="1764" t="str">
        <f t="shared" si="2173"/>
        <v>Portalámpara + lampara tipo LED - color Rojo - alimentacion: 220-230Vac, d=22mm. - CL2-523R - línea compacta - marca ABB.</v>
      </c>
      <c r="Q2442" s="120" t="str">
        <f t="shared" si="2174"/>
        <v>LAMP_ROJO_220V</v>
      </c>
    </row>
    <row r="2443" spans="1:18" s="185" customFormat="1">
      <c r="A2443" s="687"/>
      <c r="B2443" s="1910">
        <v>3</v>
      </c>
      <c r="C2443" s="1911" t="str">
        <f>VLOOKUP(D2443,base_datos,6,FALSE)</f>
        <v>Portalámpara + lampara tipo LED - color Verde - alimentacion: 220-230Vac, d=22mm. - CL2-523G - línea compacta - marca ABB.</v>
      </c>
      <c r="D2443" s="1790" t="s">
        <v>2440</v>
      </c>
      <c r="E2443" s="1939">
        <f>VLOOKUP(D2443,base_datos,5,FALSE)</f>
        <v>12.299999999999999</v>
      </c>
      <c r="F2443" s="1912">
        <f>+E2443*B2443</f>
        <v>36.9</v>
      </c>
      <c r="G2443" s="710"/>
      <c r="H2443" s="710"/>
      <c r="I2443" s="710"/>
      <c r="J2443" s="711"/>
      <c r="K2443" s="684">
        <f t="shared" si="2200"/>
        <v>1</v>
      </c>
      <c r="L2443" s="1913">
        <f>L2441</f>
        <v>1</v>
      </c>
      <c r="M2443" s="684">
        <f t="shared" si="2201"/>
        <v>3</v>
      </c>
      <c r="N2443" s="362">
        <f t="shared" si="2171"/>
        <v>3</v>
      </c>
      <c r="O2443" s="1763" t="str">
        <f t="shared" si="2172"/>
        <v>1SFA619403R5232</v>
      </c>
      <c r="P2443" s="1764" t="str">
        <f t="shared" si="2173"/>
        <v>Portalámpara + lampara tipo LED - color Verde - alimentacion: 220-230Vac, d=22mm. - CL2-523G - línea compacta - marca ABB.</v>
      </c>
      <c r="Q2443" s="120" t="str">
        <f t="shared" si="2174"/>
        <v>LAMP_VERDE_220V</v>
      </c>
    </row>
    <row r="2444" spans="1:18" s="1921" customFormat="1">
      <c r="A2444" s="687" t="s">
        <v>12356</v>
      </c>
      <c r="B2444" s="1914">
        <v>1</v>
      </c>
      <c r="C2444" s="1915" t="s">
        <v>3366</v>
      </c>
      <c r="D2444" s="1916"/>
      <c r="E2444" s="1917"/>
      <c r="F2444" s="1918"/>
      <c r="G2444" s="1919"/>
      <c r="H2444" s="1919"/>
      <c r="I2444" s="1919"/>
      <c r="J2444" s="1920"/>
      <c r="K2444" s="684">
        <f t="shared" si="2200"/>
        <v>1</v>
      </c>
      <c r="L2444" s="1913">
        <f>L2443</f>
        <v>1</v>
      </c>
      <c r="M2444" s="684">
        <f t="shared" si="2201"/>
        <v>1</v>
      </c>
      <c r="N2444" s="362" t="str">
        <f t="shared" si="2171"/>
        <v/>
      </c>
      <c r="O2444" s="1763" t="str">
        <f t="shared" si="2172"/>
        <v/>
      </c>
      <c r="P2444" s="1764" t="str">
        <f t="shared" si="2173"/>
        <v/>
      </c>
      <c r="Q2444" s="120" t="str">
        <f t="shared" si="2174"/>
        <v/>
      </c>
    </row>
    <row r="2445" spans="1:18" s="320" customFormat="1">
      <c r="A2445" s="687" t="s">
        <v>12494</v>
      </c>
      <c r="B2445" s="1922">
        <v>1</v>
      </c>
      <c r="C2445" s="721" t="str">
        <f>VLOOKUP(D2445,base_datos,6,FALSE)</f>
        <v>Rele auxiliar enchufable +4NA/NC (D2PR4B + base D2PA6), 220Vac - marca EATON.</v>
      </c>
      <c r="D2445" s="1579" t="s">
        <v>772</v>
      </c>
      <c r="E2445" s="1581">
        <f>VLOOKUP(D2445,base_datos,5,FALSE)</f>
        <v>27</v>
      </c>
      <c r="F2445" s="1923">
        <f>+E2445*B2445</f>
        <v>27</v>
      </c>
      <c r="G2445" s="1924"/>
      <c r="H2445" s="1924"/>
      <c r="I2445" s="1924"/>
      <c r="J2445" s="722"/>
      <c r="K2445" s="684">
        <f t="shared" si="2200"/>
        <v>1</v>
      </c>
      <c r="L2445" s="1913">
        <f>L2442</f>
        <v>1</v>
      </c>
      <c r="M2445" s="684">
        <f t="shared" si="2201"/>
        <v>1</v>
      </c>
      <c r="N2445" s="362">
        <f t="shared" si="2171"/>
        <v>1</v>
      </c>
      <c r="O2445" s="1763" t="str">
        <f t="shared" si="2172"/>
        <v>D2PR4B+D2PA6</v>
      </c>
      <c r="P2445" s="1764" t="str">
        <f t="shared" si="2173"/>
        <v>Rele auxiliar enchufable +4NA/NC (D2PR4B + base D2PA6), 220Vac - marca EATON.</v>
      </c>
      <c r="Q2445" s="120" t="str">
        <f t="shared" si="2174"/>
        <v>D2PR4B+D2PA6</v>
      </c>
    </row>
    <row r="2446" spans="1:18" s="320" customFormat="1">
      <c r="A2446" s="1767"/>
      <c r="B2446" s="2131">
        <v>1</v>
      </c>
      <c r="C2446" s="2132" t="s">
        <v>12558</v>
      </c>
      <c r="D2446" s="2133"/>
      <c r="E2446" s="2134">
        <v>32</v>
      </c>
      <c r="F2446" s="2134">
        <f>+E2446*B2446</f>
        <v>32</v>
      </c>
      <c r="G2446" s="1924"/>
      <c r="H2446" s="1924"/>
      <c r="I2446" s="1924"/>
      <c r="J2446" s="722"/>
      <c r="K2446" s="684">
        <f t="shared" si="2200"/>
        <v>1</v>
      </c>
      <c r="L2446" s="1913">
        <f>L2443</f>
        <v>1</v>
      </c>
      <c r="M2446" s="684">
        <f t="shared" si="2201"/>
        <v>1</v>
      </c>
      <c r="N2446" s="362" t="str">
        <f t="shared" si="2171"/>
        <v/>
      </c>
      <c r="O2446" s="1763" t="str">
        <f t="shared" si="2172"/>
        <v/>
      </c>
      <c r="P2446" s="1764" t="str">
        <f t="shared" si="2173"/>
        <v/>
      </c>
      <c r="Q2446" s="120" t="str">
        <f t="shared" si="2174"/>
        <v/>
      </c>
    </row>
    <row r="2447" spans="1:18" s="320" customFormat="1">
      <c r="A2447" s="687" t="s">
        <v>12551</v>
      </c>
      <c r="B2447" s="1922">
        <v>4</v>
      </c>
      <c r="C2447" s="721" t="str">
        <f>VLOOKUP(D2447,base_datos,6,FALSE)</f>
        <v>Base portafusibles + Fusibles de protección para control.</v>
      </c>
      <c r="D2447" s="1579" t="s">
        <v>453</v>
      </c>
      <c r="E2447" s="1581">
        <f>VLOOKUP(D2447,base_datos,5,FALSE)</f>
        <v>8.1750000000000007</v>
      </c>
      <c r="F2447" s="1923">
        <f>+E2447*B2447</f>
        <v>32.700000000000003</v>
      </c>
      <c r="G2447" s="1924"/>
      <c r="H2447" s="1924"/>
      <c r="I2447" s="1924"/>
      <c r="J2447" s="722"/>
      <c r="K2447" s="684">
        <f t="shared" si="2200"/>
        <v>1</v>
      </c>
      <c r="L2447" s="1913">
        <f>L2444</f>
        <v>1</v>
      </c>
      <c r="M2447" s="684">
        <f t="shared" si="2201"/>
        <v>4</v>
      </c>
      <c r="N2447" s="362" t="str">
        <f t="shared" si="2171"/>
        <v/>
      </c>
      <c r="O2447" s="1763" t="str">
        <f t="shared" si="2172"/>
        <v/>
      </c>
      <c r="P2447" s="1764" t="str">
        <f t="shared" si="2173"/>
        <v/>
      </c>
      <c r="Q2447" s="120" t="str">
        <f t="shared" si="2174"/>
        <v/>
      </c>
    </row>
    <row r="2448" spans="1:18" s="315" customFormat="1">
      <c r="A2448" s="687" t="s">
        <v>3542</v>
      </c>
      <c r="B2448" s="1906"/>
      <c r="C2448" s="1907"/>
      <c r="D2448" s="1935"/>
      <c r="E2448" s="1786"/>
      <c r="F2448" s="1936"/>
      <c r="G2448" s="712"/>
      <c r="H2448" s="712"/>
      <c r="I2448" s="712"/>
      <c r="J2448" s="713"/>
      <c r="K2448" s="684">
        <f t="shared" si="2200"/>
        <v>1</v>
      </c>
      <c r="L2448" s="1909">
        <f>B2448</f>
        <v>0</v>
      </c>
      <c r="M2448" s="684">
        <f t="shared" si="2201"/>
        <v>1</v>
      </c>
      <c r="N2448" s="362" t="str">
        <f t="shared" si="2171"/>
        <v/>
      </c>
      <c r="O2448" s="1763" t="str">
        <f t="shared" si="2172"/>
        <v/>
      </c>
      <c r="P2448" s="1764" t="str">
        <f t="shared" si="2173"/>
        <v/>
      </c>
      <c r="Q2448" s="120" t="str">
        <f t="shared" si="2174"/>
        <v/>
      </c>
    </row>
    <row r="2449" spans="1:18" s="185" customFormat="1" ht="13.5" customHeight="1">
      <c r="A2449" s="1771"/>
      <c r="B2449" s="1922"/>
      <c r="C2449" s="1956" t="s">
        <v>12368</v>
      </c>
      <c r="D2449" s="1579"/>
      <c r="E2449" s="1957"/>
      <c r="F2449" s="1958"/>
      <c r="G2449" s="710"/>
      <c r="H2449" s="710"/>
      <c r="I2449" s="710"/>
      <c r="J2449" s="711"/>
      <c r="K2449" s="684">
        <f t="shared" si="2200"/>
        <v>1</v>
      </c>
      <c r="L2449" s="708">
        <v>1</v>
      </c>
      <c r="M2449" s="684">
        <f t="shared" si="2201"/>
        <v>1</v>
      </c>
      <c r="N2449" s="362" t="str">
        <f t="shared" si="2171"/>
        <v/>
      </c>
      <c r="O2449" s="1763" t="str">
        <f t="shared" si="2172"/>
        <v/>
      </c>
      <c r="P2449" s="1764" t="str">
        <f t="shared" si="2173"/>
        <v/>
      </c>
      <c r="Q2449" s="120" t="str">
        <f t="shared" si="2174"/>
        <v/>
      </c>
    </row>
    <row r="2450" spans="1:18" s="120" customFormat="1" ht="18" customHeight="1">
      <c r="A2450" s="687"/>
      <c r="B2450" s="1779">
        <v>6</v>
      </c>
      <c r="C2450" s="1892" t="str">
        <f>VLOOKUP(D2450,base_datos,6,FALSE)</f>
        <v>Transformador de tensión monofásico 480 / 240 Vac - 50VA.</v>
      </c>
      <c r="D2450" s="1898" t="s">
        <v>8587</v>
      </c>
      <c r="E2450" s="1581">
        <f>VLOOKUP(D2450,base_datos,5,FALSE)</f>
        <v>76.8</v>
      </c>
      <c r="F2450" s="1581">
        <f>+E2450*B2450</f>
        <v>460.79999999999995</v>
      </c>
      <c r="G2450" s="686"/>
      <c r="H2450" s="686"/>
      <c r="I2450" s="686"/>
      <c r="J2450" s="1768"/>
      <c r="K2450" s="684">
        <f t="shared" si="2200"/>
        <v>1</v>
      </c>
      <c r="L2450" s="708">
        <v>1</v>
      </c>
      <c r="M2450" s="709">
        <f t="shared" si="2201"/>
        <v>6</v>
      </c>
      <c r="N2450" s="362" t="str">
        <f t="shared" si="2171"/>
        <v/>
      </c>
      <c r="O2450" s="1763" t="str">
        <f t="shared" si="2172"/>
        <v/>
      </c>
      <c r="P2450" s="1764" t="str">
        <f t="shared" si="2173"/>
        <v/>
      </c>
      <c r="Q2450" s="120" t="str">
        <f t="shared" si="2174"/>
        <v/>
      </c>
      <c r="R2450" s="185"/>
    </row>
    <row r="2451" spans="1:18" s="120" customFormat="1" ht="18" customHeight="1">
      <c r="A2451" s="1767"/>
      <c r="B2451" s="1925"/>
      <c r="C2451" s="1926" t="s">
        <v>729</v>
      </c>
      <c r="D2451" s="1927"/>
      <c r="E2451" s="1891"/>
      <c r="F2451" s="1789"/>
      <c r="G2451" s="686"/>
      <c r="H2451" s="686"/>
      <c r="I2451" s="686"/>
      <c r="J2451" s="1768"/>
      <c r="K2451" s="684">
        <f t="shared" si="2200"/>
        <v>1</v>
      </c>
      <c r="L2451" s="363">
        <v>1</v>
      </c>
      <c r="M2451" s="709">
        <f t="shared" si="2201"/>
        <v>1</v>
      </c>
      <c r="N2451" s="362" t="str">
        <f t="shared" si="2171"/>
        <v/>
      </c>
      <c r="O2451" s="1763" t="str">
        <f t="shared" si="2172"/>
        <v/>
      </c>
      <c r="P2451" s="1764" t="str">
        <f t="shared" si="2173"/>
        <v/>
      </c>
      <c r="Q2451" s="120" t="str">
        <f t="shared" si="2174"/>
        <v/>
      </c>
    </row>
    <row r="2452" spans="1:18" s="120" customFormat="1" ht="18" customHeight="1">
      <c r="A2452" s="687"/>
      <c r="B2452" s="1781"/>
      <c r="C2452" s="1218" t="s">
        <v>3158</v>
      </c>
      <c r="D2452" s="1900"/>
      <c r="E2452" s="1791"/>
      <c r="F2452" s="1782"/>
      <c r="G2452" s="686"/>
      <c r="H2452" s="686"/>
      <c r="I2452" s="686"/>
      <c r="J2452" s="688"/>
      <c r="K2452" s="684">
        <f t="shared" si="2200"/>
        <v>1</v>
      </c>
      <c r="L2452" s="708">
        <v>1</v>
      </c>
      <c r="M2452" s="709">
        <f t="shared" si="2201"/>
        <v>1</v>
      </c>
      <c r="N2452" s="362" t="str">
        <f t="shared" si="2171"/>
        <v/>
      </c>
      <c r="O2452" s="1763" t="str">
        <f t="shared" si="2172"/>
        <v/>
      </c>
      <c r="P2452" s="1764" t="str">
        <f t="shared" si="2173"/>
        <v/>
      </c>
      <c r="Q2452" s="120" t="str">
        <f t="shared" si="2174"/>
        <v/>
      </c>
      <c r="R2452" s="185"/>
    </row>
    <row r="2453" spans="1:18" s="690" customFormat="1" ht="18" customHeight="1">
      <c r="A2453" s="687"/>
      <c r="B2453" s="1781">
        <v>1</v>
      </c>
      <c r="C2453" s="1420" t="str">
        <f>VLOOKUP(D2453,base_datos,6,FALSE)</f>
        <v>ITM Caja Moldeada 3x40A (reg.[0.7-1.0] In) - XT2N160-40A-3P-TMA - 65kA@230Vac, 36kA@415Vac - marca ABB.</v>
      </c>
      <c r="D2453" s="1901" t="s">
        <v>863</v>
      </c>
      <c r="E2453" s="1791">
        <f>VLOOKUP(D2453,base_datos,5,FALSE)</f>
        <v>207</v>
      </c>
      <c r="F2453" s="1782">
        <f>+E2453*B2453</f>
        <v>207</v>
      </c>
      <c r="G2453" s="1761"/>
      <c r="H2453" s="1761"/>
      <c r="I2453" s="1761"/>
      <c r="J2453" s="689"/>
      <c r="K2453" s="684">
        <f t="shared" si="2200"/>
        <v>1</v>
      </c>
      <c r="L2453" s="708">
        <v>1</v>
      </c>
      <c r="M2453" s="709">
        <f t="shared" si="2201"/>
        <v>1</v>
      </c>
      <c r="N2453" s="362">
        <f t="shared" si="2171"/>
        <v>1</v>
      </c>
      <c r="O2453" s="1763" t="str">
        <f t="shared" si="2172"/>
        <v>1SDA067014R1</v>
      </c>
      <c r="P2453" s="1764" t="str">
        <f t="shared" si="2173"/>
        <v>ITM Caja Moldeada 3x40A (reg.[0.7-1.0] In) - XT2N160-40A-3P-TMA - 65kA@230Vac, 36kA@415Vac - marca ABB.</v>
      </c>
      <c r="Q2453" s="120" t="str">
        <f t="shared" si="2174"/>
        <v>XT2N160-40A-3P-TMA</v>
      </c>
      <c r="R2453" s="185"/>
    </row>
    <row r="2454" spans="1:18" s="695" customFormat="1" ht="18" customHeight="1">
      <c r="A2454" s="1771"/>
      <c r="B2454" s="895">
        <v>1</v>
      </c>
      <c r="C2454" s="1848" t="str">
        <f>VLOOKUP(D2454,base_datos,6,FALSE)</f>
        <v>FC-CuAl_XT2 - Terminales + Cubrebornes - cables de cobre/aluminio hasta 1x185mm2 - 3 terminales (externos)</v>
      </c>
      <c r="D2454" s="1886" t="s">
        <v>957</v>
      </c>
      <c r="E2454" s="1795">
        <f>VLOOKUP(D2454,base_datos,5,FALSE)</f>
        <v>69.36</v>
      </c>
      <c r="F2454" s="1796">
        <f>+E2454*B2454</f>
        <v>69.36</v>
      </c>
      <c r="G2454" s="696"/>
      <c r="H2454" s="696"/>
      <c r="I2454" s="696"/>
      <c r="J2454" s="697"/>
      <c r="K2454" s="684">
        <f t="shared" si="2200"/>
        <v>1</v>
      </c>
      <c r="L2454" s="708">
        <v>1</v>
      </c>
      <c r="M2454" s="684">
        <f>IF(B2454="",1,B2454)</f>
        <v>1</v>
      </c>
      <c r="N2454" s="362">
        <f>IF(O2454&lt;&gt;"",K2454*L2454*M2454,"")</f>
        <v>1</v>
      </c>
      <c r="O2454" s="1763" t="str">
        <f>IF(D2454&lt;&gt;"",IF(VLOOKUP(D2454,base_datos,7,FALSE)&lt;&gt;"",VLOOKUP(D2454,base_datos,7,FALSE),""),"")</f>
        <v>1SDA067167R1</v>
      </c>
      <c r="P2454" s="1764" t="str">
        <f>IF(O2454&lt;&gt;"",VLOOKUP(D2454,base_datos,6,FALSE),"")</f>
        <v>FC-CuAl_XT2 - Terminales + Cubrebornes - cables de cobre/aluminio hasta 1x185mm2 - 3 terminales (externos)</v>
      </c>
      <c r="Q2454" s="120" t="str">
        <f>IF(O2454&lt;&gt;"",D2454,"")</f>
        <v>FC-CuAl_XT2_3t</v>
      </c>
      <c r="R2454" s="185"/>
    </row>
    <row r="2455" spans="1:18" s="185" customFormat="1">
      <c r="A2455" s="1771"/>
      <c r="B2455" s="714"/>
      <c r="C2455" s="313" t="s">
        <v>729</v>
      </c>
      <c r="D2455" s="173"/>
      <c r="E2455" s="1786"/>
      <c r="F2455" s="1787"/>
      <c r="G2455" s="710"/>
      <c r="H2455" s="710"/>
      <c r="I2455" s="710"/>
      <c r="J2455" s="711"/>
      <c r="K2455" s="684">
        <f t="shared" si="2200"/>
        <v>1</v>
      </c>
      <c r="L2455" s="708">
        <v>1</v>
      </c>
      <c r="M2455" s="709">
        <f>IF(B2455="",1,B2455)</f>
        <v>1</v>
      </c>
      <c r="N2455" s="362" t="str">
        <f t="shared" si="2171"/>
        <v/>
      </c>
      <c r="O2455" s="1763" t="str">
        <f t="shared" si="2172"/>
        <v/>
      </c>
      <c r="P2455" s="1764" t="str">
        <f t="shared" si="2173"/>
        <v/>
      </c>
      <c r="Q2455" s="120" t="str">
        <f t="shared" si="2174"/>
        <v/>
      </c>
    </row>
    <row r="2456" spans="1:18" s="315" customFormat="1">
      <c r="A2456" s="687"/>
      <c r="B2456" s="1932">
        <v>2</v>
      </c>
      <c r="C2456" s="1933" t="str">
        <f t="shared" ref="C2456" si="2202">VLOOKUP(D2456,base_datos,6,FALSE)</f>
        <v>2(Q) contacto conmutado de estado (NA/NC) + 1(SY) contacto por disparo de interruptor - XT1..XT4 - versión cableada - marca ABB.</v>
      </c>
      <c r="D2456" s="1790" t="s">
        <v>3244</v>
      </c>
      <c r="E2456" s="1939">
        <f t="shared" ref="E2456" si="2203">VLOOKUP(D2456,base_datos,5,FALSE)</f>
        <v>132.1</v>
      </c>
      <c r="F2456" s="1940">
        <f t="shared" ref="F2456" si="2204">+E2456*B2456</f>
        <v>264.2</v>
      </c>
      <c r="G2456" s="712"/>
      <c r="H2456" s="712"/>
      <c r="I2456" s="712"/>
      <c r="J2456" s="713"/>
      <c r="K2456" s="684">
        <f t="shared" si="2200"/>
        <v>1</v>
      </c>
      <c r="L2456" s="1913" t="e">
        <f>#REF!</f>
        <v>#REF!</v>
      </c>
      <c r="M2456" s="709">
        <f t="shared" ref="M2456" si="2205">IF(B2456="",1,B2456)</f>
        <v>2</v>
      </c>
      <c r="N2456" s="362" t="e">
        <f t="shared" si="2171"/>
        <v>#REF!</v>
      </c>
      <c r="O2456" s="1763" t="str">
        <f t="shared" si="2172"/>
        <v>1SDA066433R1</v>
      </c>
      <c r="P2456" s="1764" t="str">
        <f t="shared" si="2173"/>
        <v>2(Q) contacto conmutado de estado (NA/NC) + 1(SY) contacto por disparo de interruptor - XT1..XT4 - versión cableada - marca ABB.</v>
      </c>
      <c r="Q2456" s="120" t="str">
        <f t="shared" si="2174"/>
        <v>2Q+1SY_XT1..XT4</v>
      </c>
    </row>
    <row r="2457" spans="1:18" s="185" customFormat="1">
      <c r="A2457" s="1771"/>
      <c r="B2457" s="714"/>
      <c r="C2457" s="313" t="s">
        <v>729</v>
      </c>
      <c r="D2457" s="2018"/>
      <c r="E2457" s="1786"/>
      <c r="F2457" s="1787"/>
      <c r="G2457" s="710"/>
      <c r="H2457" s="710"/>
      <c r="I2457" s="710"/>
      <c r="J2457" s="711"/>
      <c r="K2457" s="684">
        <f t="shared" si="2200"/>
        <v>1</v>
      </c>
      <c r="L2457" s="708">
        <v>1</v>
      </c>
      <c r="M2457" s="709">
        <f>IF(B2457="",1,B2457)</f>
        <v>1</v>
      </c>
      <c r="N2457" s="362" t="str">
        <f t="shared" si="2171"/>
        <v/>
      </c>
      <c r="O2457" s="1763" t="str">
        <f t="shared" si="2172"/>
        <v/>
      </c>
      <c r="P2457" s="1764" t="str">
        <f t="shared" si="2173"/>
        <v/>
      </c>
      <c r="Q2457" s="120" t="str">
        <f t="shared" si="2174"/>
        <v/>
      </c>
    </row>
    <row r="2458" spans="1:18" s="1766" customFormat="1" ht="18" customHeight="1">
      <c r="A2458" s="687"/>
      <c r="B2458" s="1769"/>
      <c r="C2458" s="1770" t="s">
        <v>11663</v>
      </c>
      <c r="D2458" s="1901"/>
      <c r="E2458" s="1581"/>
      <c r="F2458" s="1581"/>
      <c r="G2458" s="1761"/>
      <c r="H2458" s="1761"/>
      <c r="I2458" s="1761"/>
      <c r="J2458" s="1762"/>
      <c r="K2458" s="684">
        <f t="shared" si="2200"/>
        <v>1</v>
      </c>
      <c r="L2458" s="708">
        <v>1</v>
      </c>
      <c r="M2458" s="709">
        <f t="shared" ref="M2458:M2470" si="2206">IF(B2458="",1,B2458)</f>
        <v>1</v>
      </c>
      <c r="N2458" s="362" t="str">
        <f t="shared" si="2171"/>
        <v/>
      </c>
      <c r="O2458" s="1763" t="str">
        <f t="shared" si="2172"/>
        <v/>
      </c>
      <c r="P2458" s="1764" t="str">
        <f t="shared" si="2173"/>
        <v/>
      </c>
      <c r="Q2458" s="120" t="str">
        <f t="shared" si="2174"/>
        <v/>
      </c>
      <c r="R2458" s="1765"/>
    </row>
    <row r="2459" spans="1:18" s="1766" customFormat="1" ht="18" customHeight="1">
      <c r="A2459" s="687"/>
      <c r="B2459" s="1760">
        <v>1</v>
      </c>
      <c r="C2459" s="1892" t="str">
        <f t="shared" ref="C2459:C2463" si="2207">VLOOKUP(D2459,base_datos,6,FALSE)</f>
        <v>Analizador de Redes DIRIS-A30 - precisión (V, I) 0.2%, precisión de energía activa / reactiva: clase 0,5S / clase 2 - marca SOCOMEC.</v>
      </c>
      <c r="D2459" s="1898" t="s">
        <v>12164</v>
      </c>
      <c r="E2459" s="1581">
        <f t="shared" ref="E2459:E2463" si="2208">VLOOKUP(D2459,base_datos,5,FALSE)</f>
        <v>633.64</v>
      </c>
      <c r="F2459" s="1581">
        <f t="shared" ref="F2459:F2463" si="2209">+E2459*B2459</f>
        <v>633.64</v>
      </c>
      <c r="G2459" s="1761"/>
      <c r="H2459" s="1761"/>
      <c r="I2459" s="1761"/>
      <c r="J2459" s="1762"/>
      <c r="K2459" s="684">
        <f t="shared" si="2200"/>
        <v>1</v>
      </c>
      <c r="L2459" s="708">
        <v>1</v>
      </c>
      <c r="M2459" s="709">
        <f t="shared" si="2206"/>
        <v>1</v>
      </c>
      <c r="N2459" s="362">
        <f t="shared" si="2171"/>
        <v>1</v>
      </c>
      <c r="O2459" s="1763" t="str">
        <f t="shared" si="2172"/>
        <v>4825 0403</v>
      </c>
      <c r="P2459" s="1764" t="str">
        <f t="shared" si="2173"/>
        <v>Analizador de Redes DIRIS-A30 - precisión (V, I) 0.2%, precisión de energía activa / reactiva: clase 0,5S / clase 2 - marca SOCOMEC.</v>
      </c>
      <c r="Q2459" s="120" t="str">
        <f t="shared" si="2174"/>
        <v>DIRIS-A30</v>
      </c>
      <c r="R2459" s="1765"/>
    </row>
    <row r="2460" spans="1:18" s="1766" customFormat="1" ht="18" customHeight="1">
      <c r="A2460" s="687"/>
      <c r="B2460" s="1760">
        <v>1</v>
      </c>
      <c r="C2460" s="1990" t="str">
        <f t="shared" si="2207"/>
        <v>Módulo de comunicación RS 485 MODBUS, para Analizador de Red, DIRIS-A30, marca SOCOMEC.</v>
      </c>
      <c r="D2460" s="144" t="s">
        <v>12166</v>
      </c>
      <c r="E2460" s="1581">
        <f t="shared" si="2208"/>
        <v>115.64</v>
      </c>
      <c r="F2460" s="1581">
        <f t="shared" si="2209"/>
        <v>115.64</v>
      </c>
      <c r="G2460" s="1761"/>
      <c r="H2460" s="1761"/>
      <c r="I2460" s="1761"/>
      <c r="J2460" s="1762"/>
      <c r="K2460" s="684">
        <f t="shared" si="2200"/>
        <v>1</v>
      </c>
      <c r="L2460" s="708">
        <v>1</v>
      </c>
      <c r="M2460" s="709">
        <f t="shared" si="2206"/>
        <v>1</v>
      </c>
      <c r="N2460" s="362">
        <f t="shared" ref="N2460" si="2210">IF(O2460&lt;&gt;"",K2460*L2460*M2460,"")</f>
        <v>1</v>
      </c>
      <c r="O2460" s="1763" t="str">
        <f t="shared" ref="O2460" si="2211">IF(D2460&lt;&gt;"",IF(VLOOKUP(D2460,base_datos,7,FALSE)&lt;&gt;"",VLOOKUP(D2460,base_datos,7,FALSE),""),"")</f>
        <v>4825 0092</v>
      </c>
      <c r="P2460" s="1764" t="str">
        <f t="shared" ref="P2460" si="2212">IF(O2460&lt;&gt;"",VLOOKUP(D2460,base_datos,6,FALSE),"")</f>
        <v>Módulo de comunicación RS 485 MODBUS, para Analizador de Red, DIRIS-A30, marca SOCOMEC.</v>
      </c>
      <c r="Q2460" s="120" t="str">
        <f t="shared" ref="Q2460" si="2213">IF(O2460&lt;&gt;"",D2460,"")</f>
        <v>DIRIS-A30/Com</v>
      </c>
      <c r="R2460" s="1765"/>
    </row>
    <row r="2461" spans="1:18" s="1766" customFormat="1" ht="18" customHeight="1">
      <c r="A2461" s="687"/>
      <c r="B2461" s="1760">
        <f>3*B2459</f>
        <v>3</v>
      </c>
      <c r="C2461" s="1892" t="str">
        <f t="shared" si="2207"/>
        <v>Transformador de corriente de 50/5A</v>
      </c>
      <c r="D2461" s="1899" t="s">
        <v>8260</v>
      </c>
      <c r="E2461" s="1581">
        <f t="shared" si="2208"/>
        <v>65</v>
      </c>
      <c r="F2461" s="1581">
        <f t="shared" si="2209"/>
        <v>195</v>
      </c>
      <c r="G2461" s="1761"/>
      <c r="H2461" s="1761"/>
      <c r="I2461" s="1761"/>
      <c r="J2461" s="1762"/>
      <c r="K2461" s="684">
        <f t="shared" si="2200"/>
        <v>1</v>
      </c>
      <c r="L2461" s="708">
        <v>1</v>
      </c>
      <c r="M2461" s="709">
        <f t="shared" si="2206"/>
        <v>3</v>
      </c>
      <c r="N2461" s="362" t="str">
        <f t="shared" si="2171"/>
        <v/>
      </c>
      <c r="O2461" s="1763" t="str">
        <f t="shared" si="2172"/>
        <v/>
      </c>
      <c r="P2461" s="1764" t="str">
        <f t="shared" si="2173"/>
        <v/>
      </c>
      <c r="Q2461" s="120" t="str">
        <f t="shared" si="2174"/>
        <v/>
      </c>
      <c r="R2461" s="1765"/>
    </row>
    <row r="2462" spans="1:18" s="1766" customFormat="1" ht="18" customHeight="1">
      <c r="A2462" s="687"/>
      <c r="B2462" s="1760">
        <f>5*B2459</f>
        <v>5</v>
      </c>
      <c r="C2462" s="1892" t="str">
        <f t="shared" si="2207"/>
        <v>Base portafusibles + Fusibles de protección para control.</v>
      </c>
      <c r="D2462" s="1899" t="s">
        <v>453</v>
      </c>
      <c r="E2462" s="1581">
        <f t="shared" si="2208"/>
        <v>8.1750000000000007</v>
      </c>
      <c r="F2462" s="1581">
        <f t="shared" si="2209"/>
        <v>40.875</v>
      </c>
      <c r="G2462" s="1761"/>
      <c r="H2462" s="1761"/>
      <c r="I2462" s="1761"/>
      <c r="J2462" s="1762"/>
      <c r="K2462" s="684">
        <f t="shared" si="2200"/>
        <v>1</v>
      </c>
      <c r="L2462" s="708">
        <v>1</v>
      </c>
      <c r="M2462" s="709">
        <f t="shared" si="2206"/>
        <v>5</v>
      </c>
      <c r="N2462" s="362" t="str">
        <f t="shared" si="2171"/>
        <v/>
      </c>
      <c r="O2462" s="1763" t="str">
        <f t="shared" si="2172"/>
        <v/>
      </c>
      <c r="P2462" s="1764" t="str">
        <f t="shared" si="2173"/>
        <v/>
      </c>
      <c r="Q2462" s="120" t="str">
        <f t="shared" si="2174"/>
        <v/>
      </c>
      <c r="R2462" s="1765"/>
    </row>
    <row r="2463" spans="1:18" s="1766" customFormat="1" ht="18" customHeight="1">
      <c r="A2463" s="1771"/>
      <c r="B2463" s="1760">
        <f>6*B2459</f>
        <v>6</v>
      </c>
      <c r="C2463" s="1892" t="str">
        <f t="shared" si="2207"/>
        <v>Bornes seccionables de corriente.</v>
      </c>
      <c r="D2463" s="1899" t="s">
        <v>435</v>
      </c>
      <c r="E2463" s="1581">
        <f t="shared" si="2208"/>
        <v>12</v>
      </c>
      <c r="F2463" s="1581">
        <f t="shared" si="2209"/>
        <v>72</v>
      </c>
      <c r="G2463" s="1761"/>
      <c r="H2463" s="1761"/>
      <c r="I2463" s="1761"/>
      <c r="J2463" s="1762"/>
      <c r="K2463" s="684">
        <f t="shared" si="2200"/>
        <v>1</v>
      </c>
      <c r="L2463" s="708">
        <v>1</v>
      </c>
      <c r="M2463" s="709">
        <f t="shared" si="2206"/>
        <v>6</v>
      </c>
      <c r="N2463" s="362" t="str">
        <f t="shared" ref="N2463:N2544" si="2214">IF(O2463&lt;&gt;"",K2463*L2463*M2463,"")</f>
        <v/>
      </c>
      <c r="O2463" s="1763" t="str">
        <f t="shared" ref="O2463:O2544" si="2215">IF(D2463&lt;&gt;"",IF(VLOOKUP(D2463,base_datos,7,FALSE)&lt;&gt;"",VLOOKUP(D2463,base_datos,7,FALSE),""),"")</f>
        <v/>
      </c>
      <c r="P2463" s="1764" t="str">
        <f t="shared" ref="P2463:P2544" si="2216">IF(O2463&lt;&gt;"",VLOOKUP(D2463,base_datos,6,FALSE),"")</f>
        <v/>
      </c>
      <c r="Q2463" s="120" t="str">
        <f t="shared" ref="Q2463:Q2544" si="2217">IF(O2463&lt;&gt;"",D2463,"")</f>
        <v/>
      </c>
      <c r="R2463" s="1765"/>
    </row>
    <row r="2464" spans="1:18" s="185" customFormat="1" ht="18" customHeight="1">
      <c r="A2464" s="693"/>
      <c r="B2464" s="714"/>
      <c r="C2464" s="1893" t="s">
        <v>729</v>
      </c>
      <c r="D2464" s="173"/>
      <c r="E2464" s="1581"/>
      <c r="F2464" s="1581"/>
      <c r="G2464" s="710"/>
      <c r="H2464" s="710"/>
      <c r="I2464" s="710"/>
      <c r="J2464" s="711"/>
      <c r="K2464" s="684">
        <f t="shared" si="2200"/>
        <v>1</v>
      </c>
      <c r="L2464" s="708">
        <v>1</v>
      </c>
      <c r="M2464" s="709">
        <f t="shared" si="2206"/>
        <v>1</v>
      </c>
      <c r="N2464" s="362" t="str">
        <f t="shared" si="2214"/>
        <v/>
      </c>
      <c r="O2464" s="1763" t="str">
        <f t="shared" si="2215"/>
        <v/>
      </c>
      <c r="P2464" s="1764" t="str">
        <f t="shared" si="2216"/>
        <v/>
      </c>
      <c r="Q2464" s="120" t="str">
        <f t="shared" si="2217"/>
        <v/>
      </c>
      <c r="R2464" s="1765"/>
    </row>
    <row r="2465" spans="1:20" s="690" customFormat="1" ht="18" customHeight="1">
      <c r="A2465" s="1767"/>
      <c r="B2465" s="1851"/>
      <c r="C2465" s="1894" t="s">
        <v>3377</v>
      </c>
      <c r="D2465" s="1582"/>
      <c r="E2465" s="1780"/>
      <c r="F2465" s="1782"/>
      <c r="G2465" s="1761"/>
      <c r="H2465" s="1761"/>
      <c r="I2465" s="1761"/>
      <c r="J2465" s="689"/>
      <c r="K2465" s="684">
        <f t="shared" si="2200"/>
        <v>1</v>
      </c>
      <c r="L2465" s="708">
        <v>1</v>
      </c>
      <c r="M2465" s="709">
        <f t="shared" si="2206"/>
        <v>1</v>
      </c>
      <c r="N2465" s="362" t="str">
        <f t="shared" si="2214"/>
        <v/>
      </c>
      <c r="O2465" s="1763" t="str">
        <f t="shared" si="2215"/>
        <v/>
      </c>
      <c r="P2465" s="1764" t="str">
        <f t="shared" si="2216"/>
        <v/>
      </c>
      <c r="Q2465" s="120" t="str">
        <f t="shared" si="2217"/>
        <v/>
      </c>
      <c r="R2465" s="185"/>
    </row>
    <row r="2466" spans="1:20" s="690" customFormat="1" ht="18" customHeight="1">
      <c r="A2466" s="1767"/>
      <c r="B2466" s="1781">
        <v>1</v>
      </c>
      <c r="C2466" s="1420" t="str">
        <f t="shared" ref="C2466" si="2218">VLOOKUP(D2466,base_datos,6,FALSE)</f>
        <v>ITM Caja Moldeada 3x40A (reg.[0.7-1.0] In) - XT2N160-40A-3P-TMA - 65kA@230Vac, 36kA@415Vac - marca ABB.</v>
      </c>
      <c r="D2466" s="1901" t="s">
        <v>863</v>
      </c>
      <c r="E2466" s="1791">
        <f>VLOOKUP(D2466,base_datos,5,FALSE)</f>
        <v>207</v>
      </c>
      <c r="F2466" s="1782">
        <f t="shared" ref="F2466" si="2219">+E2466*B2466</f>
        <v>207</v>
      </c>
      <c r="G2466" s="1951"/>
      <c r="H2466" s="1761"/>
      <c r="I2466" s="1761"/>
      <c r="J2466" s="1783"/>
      <c r="K2466" s="684">
        <f t="shared" si="2200"/>
        <v>1</v>
      </c>
      <c r="L2466" s="708">
        <v>1</v>
      </c>
      <c r="M2466" s="709">
        <f t="shared" ref="M2466" si="2220">IF(B2466="",1,B2466)</f>
        <v>1</v>
      </c>
      <c r="N2466" s="362">
        <f t="shared" ref="N2466" si="2221">IF(O2466&lt;&gt;"",K2466*L2466*M2466,"")</f>
        <v>1</v>
      </c>
      <c r="O2466" s="1763" t="str">
        <f t="shared" ref="O2466" si="2222">IF(D2466&lt;&gt;"",IF(VLOOKUP(D2466,base_datos,7,FALSE)&lt;&gt;"",VLOOKUP(D2466,base_datos,7,FALSE),""),"")</f>
        <v>1SDA067014R1</v>
      </c>
      <c r="P2466" s="1764" t="str">
        <f t="shared" ref="P2466" si="2223">IF(O2466&lt;&gt;"",VLOOKUP(D2466,base_datos,6,FALSE),"")</f>
        <v>ITM Caja Moldeada 3x40A (reg.[0.7-1.0] In) - XT2N160-40A-3P-TMA - 65kA@230Vac, 36kA@415Vac - marca ABB.</v>
      </c>
      <c r="Q2466" s="120" t="str">
        <f t="shared" ref="Q2466" si="2224">IF(O2466&lt;&gt;"",D2466,"")</f>
        <v>XT2N160-40A-3P-TMA</v>
      </c>
      <c r="R2466" s="185"/>
    </row>
    <row r="2467" spans="1:20" s="690" customFormat="1" ht="18" customHeight="1">
      <c r="A2467" s="1767"/>
      <c r="B2467" s="1781">
        <v>1</v>
      </c>
      <c r="C2467" s="1420" t="str">
        <f t="shared" ref="C2467:C2470" si="2225">VLOOKUP(D2467,base_datos,6,FALSE)</f>
        <v>ITM Caja Moldeada 3x20A (reg.[0.7-1.0] In) - XT2N160-20A-3P-TMD - 65kA@230Vac, 36kA@415Vac - marca ABB.</v>
      </c>
      <c r="D2467" s="1901" t="s">
        <v>1331</v>
      </c>
      <c r="E2467" s="1791">
        <f>VLOOKUP(D2467,base_datos,5,FALSE)</f>
        <v>201.76999999999998</v>
      </c>
      <c r="F2467" s="1782">
        <f t="shared" ref="F2467:F2470" si="2226">+E2467*B2467</f>
        <v>201.76999999999998</v>
      </c>
      <c r="G2467" s="1951"/>
      <c r="H2467" s="1761"/>
      <c r="I2467" s="1761"/>
      <c r="J2467" s="1783"/>
      <c r="K2467" s="684">
        <f t="shared" si="2200"/>
        <v>1</v>
      </c>
      <c r="L2467" s="708">
        <v>1</v>
      </c>
      <c r="M2467" s="709">
        <f t="shared" si="2206"/>
        <v>1</v>
      </c>
      <c r="N2467" s="362">
        <f t="shared" si="2214"/>
        <v>1</v>
      </c>
      <c r="O2467" s="1763" t="str">
        <f t="shared" si="2215"/>
        <v>1SDA067011R1</v>
      </c>
      <c r="P2467" s="1764" t="str">
        <f t="shared" si="2216"/>
        <v>ITM Caja Moldeada 3x20A (reg.[0.7-1.0] In) - XT2N160-20A-3P-TMD - 65kA@230Vac, 36kA@415Vac - marca ABB.</v>
      </c>
      <c r="Q2467" s="120" t="str">
        <f t="shared" si="2217"/>
        <v>XT2N160-20A-3P-TMD</v>
      </c>
      <c r="R2467" s="185"/>
    </row>
    <row r="2468" spans="1:20" s="690" customFormat="1" ht="18" customHeight="1">
      <c r="A2468" s="1767"/>
      <c r="B2468" s="1781">
        <v>1</v>
      </c>
      <c r="C2468" s="1420" t="str">
        <f t="shared" ref="C2468" si="2227">VLOOKUP(D2468,base_datos,6,FALSE)</f>
        <v>ITM Caja Moldeada 3x16A (reg.[0.7-1.0] In) - XT2N160-16A-3P-TMD - 65kA@230Vac, 36kA@415Vac - marca ABB.</v>
      </c>
      <c r="D2468" s="1901" t="s">
        <v>844</v>
      </c>
      <c r="E2468" s="1791">
        <f>VLOOKUP(D2468,base_datos,5,FALSE)</f>
        <v>201.76999999999998</v>
      </c>
      <c r="F2468" s="1782">
        <f t="shared" ref="F2468:F2469" si="2228">+E2468*B2468</f>
        <v>201.76999999999998</v>
      </c>
      <c r="G2468" s="1951"/>
      <c r="H2468" s="1761"/>
      <c r="I2468" s="1761"/>
      <c r="J2468" s="1783"/>
      <c r="K2468" s="684">
        <f t="shared" si="2200"/>
        <v>1</v>
      </c>
      <c r="L2468" s="708">
        <v>1</v>
      </c>
      <c r="M2468" s="709">
        <f t="shared" ref="M2468:M2469" si="2229">IF(B2468="",1,B2468)</f>
        <v>1</v>
      </c>
      <c r="N2468" s="362">
        <f t="shared" ref="N2468:N2469" si="2230">IF(O2468&lt;&gt;"",K2468*L2468*M2468,"")</f>
        <v>1</v>
      </c>
      <c r="O2468" s="1763" t="str">
        <f t="shared" ref="O2468:O2469" si="2231">IF(D2468&lt;&gt;"",IF(VLOOKUP(D2468,base_datos,7,FALSE)&lt;&gt;"",VLOOKUP(D2468,base_datos,7,FALSE),""),"")</f>
        <v>1SDA067010R1</v>
      </c>
      <c r="P2468" s="1764" t="str">
        <f t="shared" ref="P2468:P2469" si="2232">IF(O2468&lt;&gt;"",VLOOKUP(D2468,base_datos,6,FALSE),"")</f>
        <v>ITM Caja Moldeada 3x16A (reg.[0.7-1.0] In) - XT2N160-16A-3P-TMD - 65kA@230Vac, 36kA@415Vac - marca ABB.</v>
      </c>
      <c r="Q2468" s="120" t="str">
        <f t="shared" ref="Q2468:Q2469" si="2233">IF(O2468&lt;&gt;"",D2468,"")</f>
        <v>XT2N160-16A-3P-TMD</v>
      </c>
      <c r="R2468" s="185"/>
    </row>
    <row r="2469" spans="1:20" s="690" customFormat="1" ht="18" customHeight="1">
      <c r="A2469" s="1767"/>
      <c r="B2469" s="2206">
        <v>1</v>
      </c>
      <c r="C2469" s="2207" t="s">
        <v>13028</v>
      </c>
      <c r="D2469" s="2208"/>
      <c r="E2469" s="2209">
        <v>212.15</v>
      </c>
      <c r="F2469" s="2210">
        <f t="shared" si="2228"/>
        <v>212.15</v>
      </c>
      <c r="G2469" s="1761"/>
      <c r="H2469" s="1761"/>
      <c r="I2469" s="1761"/>
      <c r="J2469" s="1783"/>
      <c r="K2469" s="684">
        <f t="shared" si="2200"/>
        <v>1</v>
      </c>
      <c r="L2469" s="708">
        <v>1</v>
      </c>
      <c r="M2469" s="709">
        <f t="shared" si="2229"/>
        <v>1</v>
      </c>
      <c r="N2469" s="362" t="str">
        <f t="shared" si="2230"/>
        <v/>
      </c>
      <c r="O2469" s="1763" t="str">
        <f t="shared" si="2231"/>
        <v/>
      </c>
      <c r="P2469" s="1764" t="str">
        <f t="shared" si="2232"/>
        <v/>
      </c>
      <c r="Q2469" s="120" t="str">
        <f t="shared" si="2233"/>
        <v/>
      </c>
      <c r="R2469" s="185"/>
    </row>
    <row r="2470" spans="1:20" s="690" customFormat="1" ht="18" customHeight="1">
      <c r="A2470" s="1767"/>
      <c r="B2470" s="1781">
        <v>1</v>
      </c>
      <c r="C2470" s="1420" t="str">
        <f t="shared" si="2225"/>
        <v>Espacio de reserva trifásica - Caja moldeada.</v>
      </c>
      <c r="D2470" s="1901" t="s">
        <v>2932</v>
      </c>
      <c r="E2470" s="1791">
        <f>VLOOKUP(D2470,base_datos,5,FALSE)</f>
        <v>15</v>
      </c>
      <c r="F2470" s="1782">
        <f t="shared" si="2226"/>
        <v>15</v>
      </c>
      <c r="G2470" s="1761"/>
      <c r="H2470" s="1761"/>
      <c r="I2470" s="1761"/>
      <c r="J2470" s="1783"/>
      <c r="K2470" s="684">
        <f t="shared" si="2200"/>
        <v>1</v>
      </c>
      <c r="L2470" s="708">
        <v>1</v>
      </c>
      <c r="M2470" s="709">
        <f t="shared" si="2206"/>
        <v>1</v>
      </c>
      <c r="N2470" s="362" t="str">
        <f t="shared" si="2214"/>
        <v/>
      </c>
      <c r="O2470" s="1763" t="str">
        <f t="shared" si="2215"/>
        <v/>
      </c>
      <c r="P2470" s="1764" t="str">
        <f t="shared" si="2216"/>
        <v/>
      </c>
      <c r="Q2470" s="120" t="str">
        <f t="shared" si="2217"/>
        <v/>
      </c>
      <c r="R2470" s="185"/>
    </row>
    <row r="2471" spans="1:20" s="185" customFormat="1">
      <c r="A2471" s="692"/>
      <c r="B2471" s="714"/>
      <c r="C2471" s="1893" t="s">
        <v>729</v>
      </c>
      <c r="D2471" s="2021"/>
      <c r="E2471" s="1786"/>
      <c r="F2471" s="1787"/>
      <c r="G2471" s="710"/>
      <c r="H2471" s="710"/>
      <c r="I2471" s="710"/>
      <c r="J2471" s="711"/>
      <c r="K2471" s="684">
        <f t="shared" si="2200"/>
        <v>1</v>
      </c>
      <c r="L2471" s="363">
        <v>1</v>
      </c>
      <c r="M2471" s="709">
        <f>IF(B2471="",1,B2471)</f>
        <v>1</v>
      </c>
      <c r="N2471" s="362" t="str">
        <f t="shared" si="2214"/>
        <v/>
      </c>
      <c r="O2471" s="1763" t="str">
        <f t="shared" si="2215"/>
        <v/>
      </c>
      <c r="P2471" s="1764" t="str">
        <f t="shared" si="2216"/>
        <v/>
      </c>
      <c r="Q2471" s="120" t="str">
        <f t="shared" si="2217"/>
        <v/>
      </c>
    </row>
    <row r="2472" spans="1:20" s="315" customFormat="1">
      <c r="A2472" s="1785"/>
      <c r="B2472" s="355"/>
      <c r="C2472" s="1944" t="s">
        <v>3063</v>
      </c>
      <c r="D2472" s="2022"/>
      <c r="E2472" s="1786"/>
      <c r="F2472" s="1787"/>
      <c r="G2472" s="712"/>
      <c r="H2472" s="712"/>
      <c r="I2472" s="712"/>
      <c r="J2472" s="713"/>
      <c r="K2472" s="684">
        <f t="shared" si="2200"/>
        <v>1</v>
      </c>
      <c r="L2472" s="708">
        <v>1</v>
      </c>
      <c r="M2472" s="709">
        <f>IF(B2472="",1,B2472)</f>
        <v>1</v>
      </c>
      <c r="N2472" s="362" t="str">
        <f t="shared" si="2214"/>
        <v/>
      </c>
      <c r="O2472" s="1763" t="str">
        <f t="shared" si="2215"/>
        <v/>
      </c>
      <c r="P2472" s="1764" t="str">
        <f t="shared" si="2216"/>
        <v/>
      </c>
      <c r="Q2472" s="120" t="str">
        <f t="shared" si="2217"/>
        <v/>
      </c>
    </row>
    <row r="2473" spans="1:20" s="690" customFormat="1" ht="18" customHeight="1">
      <c r="A2473" s="691"/>
      <c r="B2473" s="1781">
        <v>1</v>
      </c>
      <c r="C2473" s="1420" t="str">
        <f>VLOOKUP(D2473,base_datos,6,FALSE)</f>
        <v>ITM Caja Moldeada 3x32A (reg.[0.7-1.0] In) - XT2N160-32A-3P-TMD - 65kA@230Vac, 36kA@415Vac - marca ABB.</v>
      </c>
      <c r="D2473" s="1901" t="s">
        <v>850</v>
      </c>
      <c r="E2473" s="1791">
        <f>VLOOKUP(D2473,base_datos,5,FALSE)</f>
        <v>207</v>
      </c>
      <c r="F2473" s="1782">
        <f t="shared" ref="F2473:F2474" si="2234">+E2473*B2473</f>
        <v>207</v>
      </c>
      <c r="G2473" s="1761"/>
      <c r="H2473" s="1761"/>
      <c r="I2473" s="1761"/>
      <c r="J2473" s="1783"/>
      <c r="K2473" s="684">
        <f t="shared" si="2200"/>
        <v>1</v>
      </c>
      <c r="L2473" s="708">
        <v>1</v>
      </c>
      <c r="M2473" s="709">
        <f t="shared" ref="M2473:M2498" si="2235">IF(B2473="",1,B2473)</f>
        <v>1</v>
      </c>
      <c r="N2473" s="362">
        <f t="shared" si="2214"/>
        <v>1</v>
      </c>
      <c r="O2473" s="1763" t="str">
        <f t="shared" si="2215"/>
        <v>1SDA067013R1</v>
      </c>
      <c r="P2473" s="1764" t="str">
        <f t="shared" si="2216"/>
        <v>ITM Caja Moldeada 3x32A (reg.[0.7-1.0] In) - XT2N160-32A-3P-TMD - 65kA@230Vac, 36kA@415Vac - marca ABB.</v>
      </c>
      <c r="Q2473" s="120" t="str">
        <f t="shared" si="2217"/>
        <v>XT2N160-32A-3P-TMD</v>
      </c>
      <c r="R2473" s="185"/>
    </row>
    <row r="2474" spans="1:20" s="690" customFormat="1" ht="18" customHeight="1">
      <c r="A2474" s="691"/>
      <c r="B2474" s="1781">
        <v>1</v>
      </c>
      <c r="C2474" s="1420" t="str">
        <f>VLOOKUP(D2474,base_datos,6,FALSE)</f>
        <v>Supresor contra sobretensiones (Tipo 1, UL 1449) - OVRHT3C504803D - I_max=50kA por fase, Un=480V,  MCOV=640V (L-G), VPR=2.5kV (L-G) - marca ABB.</v>
      </c>
      <c r="D2474" s="1901" t="s">
        <v>12357</v>
      </c>
      <c r="E2474" s="1791">
        <f>VLOOKUP(D2474,base_datos,5,FALSE)</f>
        <v>386.44</v>
      </c>
      <c r="F2474" s="1782">
        <f t="shared" si="2234"/>
        <v>386.44</v>
      </c>
      <c r="G2474" s="1761"/>
      <c r="H2474" s="1761"/>
      <c r="I2474" s="1761"/>
      <c r="J2474" s="1783"/>
      <c r="K2474" s="684">
        <f t="shared" si="2200"/>
        <v>1</v>
      </c>
      <c r="L2474" s="708">
        <v>1</v>
      </c>
      <c r="M2474" s="709">
        <f t="shared" si="2235"/>
        <v>1</v>
      </c>
      <c r="N2474" s="362">
        <f t="shared" si="2214"/>
        <v>1</v>
      </c>
      <c r="O2474" s="1763" t="str">
        <f t="shared" si="2215"/>
        <v>2CJC605480D0000</v>
      </c>
      <c r="P2474" s="1764" t="str">
        <f t="shared" si="2216"/>
        <v>Supresor contra sobretensiones (Tipo 1, UL 1449) - OVRHT3C504803D - I_max=50kA por fase, Un=480V,  MCOV=640V (L-G), VPR=2.5kV (L-G) - marca ABB.</v>
      </c>
      <c r="Q2474" s="120" t="str">
        <f t="shared" si="2217"/>
        <v>OVRHT3C504803D</v>
      </c>
      <c r="R2474" s="185"/>
    </row>
    <row r="2475" spans="1:20" s="185" customFormat="1">
      <c r="A2475" s="692"/>
      <c r="B2475" s="714"/>
      <c r="C2475" s="1893" t="s">
        <v>729</v>
      </c>
      <c r="D2475" s="2021"/>
      <c r="E2475" s="1786"/>
      <c r="F2475" s="1787"/>
      <c r="G2475" s="710"/>
      <c r="H2475" s="710"/>
      <c r="I2475" s="710"/>
      <c r="J2475" s="711"/>
      <c r="K2475" s="684">
        <f t="shared" si="2200"/>
        <v>1</v>
      </c>
      <c r="L2475" s="363">
        <v>1</v>
      </c>
      <c r="M2475" s="709">
        <f>IF(B2475="",1,B2475)</f>
        <v>1</v>
      </c>
      <c r="N2475" s="362" t="str">
        <f t="shared" si="2214"/>
        <v/>
      </c>
      <c r="O2475" s="1763" t="str">
        <f t="shared" si="2215"/>
        <v/>
      </c>
      <c r="P2475" s="1764" t="str">
        <f t="shared" si="2216"/>
        <v/>
      </c>
      <c r="Q2475" s="120" t="str">
        <f t="shared" si="2217"/>
        <v/>
      </c>
    </row>
    <row r="2476" spans="1:20" s="315" customFormat="1" ht="12.75" customHeight="1">
      <c r="A2476" s="2271"/>
      <c r="B2476" s="2272">
        <v>1</v>
      </c>
      <c r="C2476" s="2281" t="s">
        <v>13366</v>
      </c>
      <c r="D2476" s="1935"/>
      <c r="E2476" s="2287"/>
      <c r="F2476" s="2257">
        <f>+SUM(F2477:F2480)*(B2476-1)</f>
        <v>0</v>
      </c>
      <c r="G2476" s="712"/>
      <c r="H2476" s="712"/>
      <c r="I2476" s="712"/>
      <c r="J2476" s="713"/>
      <c r="K2476" s="684">
        <f t="shared" si="2200"/>
        <v>1</v>
      </c>
      <c r="L2476" s="2258">
        <v>1</v>
      </c>
      <c r="M2476" s="120">
        <f t="shared" ref="M2476:M2481" si="2236">IF(B2476="",1,B2476)</f>
        <v>1</v>
      </c>
      <c r="N2476" s="112" t="str">
        <f t="shared" si="2214"/>
        <v/>
      </c>
      <c r="O2476" s="112" t="str">
        <f t="shared" si="2215"/>
        <v/>
      </c>
      <c r="P2476" s="120" t="str">
        <f t="shared" si="2216"/>
        <v/>
      </c>
      <c r="Q2476" s="120" t="str">
        <f t="shared" si="2217"/>
        <v/>
      </c>
      <c r="S2476" s="112" t="str">
        <f t="shared" ref="S2476:S2481" si="2237">IF(O2476&lt;&gt;"",VLOOKUP(D2476,base_datos,9,FALSE),"")</f>
        <v/>
      </c>
      <c r="T2476" s="2128"/>
    </row>
    <row r="2477" spans="1:20" s="690" customFormat="1" ht="18" customHeight="1">
      <c r="A2477" s="2273"/>
      <c r="B2477" s="1781">
        <v>1</v>
      </c>
      <c r="C2477" s="1420" t="str">
        <f t="shared" ref="C2477:C2480" si="2238">VLOOKUP(D2477,base_datos,6,FALSE)</f>
        <v>Calefactor resistivo 60W, modelo RACM - marca FANDIS.</v>
      </c>
      <c r="D2477" s="1899" t="s">
        <v>3298</v>
      </c>
      <c r="E2477" s="2288">
        <f t="shared" ref="E2477" si="2239">VLOOKUP(D2477,base_datos,5,FALSE)</f>
        <v>127.1</v>
      </c>
      <c r="F2477" s="1782">
        <f>+E2477*B2477</f>
        <v>127.1</v>
      </c>
      <c r="G2477" s="1761"/>
      <c r="H2477" s="1761"/>
      <c r="I2477" s="1761"/>
      <c r="J2477" s="689"/>
      <c r="K2477" s="684">
        <f t="shared" si="2200"/>
        <v>1</v>
      </c>
      <c r="L2477" s="2258">
        <v>1</v>
      </c>
      <c r="M2477" s="120">
        <f t="shared" si="2236"/>
        <v>1</v>
      </c>
      <c r="N2477" s="112">
        <f t="shared" si="2214"/>
        <v>1</v>
      </c>
      <c r="O2477" s="112" t="str">
        <f t="shared" si="2215"/>
        <v>RACM-60</v>
      </c>
      <c r="P2477" s="120" t="str">
        <f t="shared" si="2216"/>
        <v>Calefactor resistivo 60W, modelo RACM - marca FANDIS.</v>
      </c>
      <c r="Q2477" s="120" t="str">
        <f t="shared" si="2217"/>
        <v>CALEFACT-60W_FAND</v>
      </c>
      <c r="S2477" s="112" t="str">
        <f t="shared" si="2237"/>
        <v>FANDIS</v>
      </c>
      <c r="T2477" s="1765"/>
    </row>
    <row r="2478" spans="1:20" s="690" customFormat="1" ht="18" customHeight="1">
      <c r="A2478" s="2273"/>
      <c r="B2478" s="1781">
        <v>1</v>
      </c>
      <c r="C2478" s="1420" t="str">
        <f t="shared" si="2238"/>
        <v>Termostato para ventilación - 1NA - 230V - marca FANDIS.</v>
      </c>
      <c r="D2478" s="1899" t="s">
        <v>3294</v>
      </c>
      <c r="E2478" s="2288">
        <f t="shared" ref="E2478:E2480" si="2240">VLOOKUP(D2478,base_datos,5,FALSE)</f>
        <v>41.58</v>
      </c>
      <c r="F2478" s="1782">
        <f>+E2478*B2478</f>
        <v>41.58</v>
      </c>
      <c r="G2478" s="1761"/>
      <c r="H2478" s="1761"/>
      <c r="I2478" s="1761"/>
      <c r="J2478" s="689"/>
      <c r="K2478" s="684">
        <f t="shared" si="2200"/>
        <v>1</v>
      </c>
      <c r="L2478" s="2258">
        <v>1</v>
      </c>
      <c r="M2478" s="120">
        <f t="shared" si="2236"/>
        <v>1</v>
      </c>
      <c r="N2478" s="112">
        <f t="shared" si="2214"/>
        <v>1</v>
      </c>
      <c r="O2478" s="112" t="str">
        <f t="shared" si="2215"/>
        <v>TRT-10A230V-NO</v>
      </c>
      <c r="P2478" s="120" t="str">
        <f t="shared" si="2216"/>
        <v>Termostato para ventilación - 1NA - 230V - marca FANDIS.</v>
      </c>
      <c r="Q2478" s="120" t="str">
        <f t="shared" si="2217"/>
        <v>TRT-1NA</v>
      </c>
      <c r="S2478" s="112" t="str">
        <f t="shared" si="2237"/>
        <v>FANDIS</v>
      </c>
      <c r="T2478" s="1765"/>
    </row>
    <row r="2479" spans="1:20" s="320" customFormat="1" ht="12.75" customHeight="1">
      <c r="A2479" s="2274"/>
      <c r="B2479" s="2275">
        <v>1</v>
      </c>
      <c r="C2479" s="2282" t="str">
        <f t="shared" si="2238"/>
        <v>Base portafusibles + Fusibles de protección para control.</v>
      </c>
      <c r="D2479" s="1579" t="s">
        <v>453</v>
      </c>
      <c r="E2479" s="2289">
        <f t="shared" si="2240"/>
        <v>8.1750000000000007</v>
      </c>
      <c r="F2479" s="2264">
        <f>+E2479*B2479</f>
        <v>8.1750000000000007</v>
      </c>
      <c r="G2479" s="2276"/>
      <c r="H2479" s="2276"/>
      <c r="I2479" s="2276"/>
      <c r="J2479" s="722"/>
      <c r="K2479" s="684">
        <f t="shared" si="2200"/>
        <v>1</v>
      </c>
      <c r="L2479" s="2258">
        <v>1</v>
      </c>
      <c r="M2479" s="120">
        <f t="shared" si="2236"/>
        <v>1</v>
      </c>
      <c r="N2479" s="112" t="str">
        <f t="shared" si="2214"/>
        <v/>
      </c>
      <c r="O2479" s="112" t="str">
        <f t="shared" si="2215"/>
        <v/>
      </c>
      <c r="P2479" s="120" t="str">
        <f t="shared" si="2216"/>
        <v/>
      </c>
      <c r="Q2479" s="120" t="str">
        <f t="shared" si="2217"/>
        <v/>
      </c>
      <c r="R2479" s="185"/>
      <c r="S2479" s="112" t="str">
        <f t="shared" si="2237"/>
        <v/>
      </c>
      <c r="T2479" s="709"/>
    </row>
    <row r="2480" spans="1:20" s="320" customFormat="1" ht="12.75" customHeight="1">
      <c r="A2480" s="2274"/>
      <c r="B2480" s="2277">
        <v>1</v>
      </c>
      <c r="C2480" s="2282" t="str">
        <f t="shared" si="2238"/>
        <v>Borne 4mm2.</v>
      </c>
      <c r="D2480" s="1579" t="s">
        <v>437</v>
      </c>
      <c r="E2480" s="2260">
        <f t="shared" si="2240"/>
        <v>2.5</v>
      </c>
      <c r="F2480" s="2260">
        <f>+E2480*B2480</f>
        <v>2.5</v>
      </c>
      <c r="G2480" s="2276"/>
      <c r="H2480" s="2276"/>
      <c r="I2480" s="2276"/>
      <c r="J2480" s="722"/>
      <c r="K2480" s="684">
        <f t="shared" si="2200"/>
        <v>1</v>
      </c>
      <c r="L2480" s="2258">
        <v>1</v>
      </c>
      <c r="M2480" s="120">
        <f t="shared" si="2236"/>
        <v>1</v>
      </c>
      <c r="N2480" s="112" t="str">
        <f t="shared" si="2214"/>
        <v/>
      </c>
      <c r="O2480" s="112" t="str">
        <f t="shared" si="2215"/>
        <v/>
      </c>
      <c r="P2480" s="120" t="str">
        <f t="shared" si="2216"/>
        <v/>
      </c>
      <c r="Q2480" s="120" t="str">
        <f t="shared" si="2217"/>
        <v/>
      </c>
      <c r="R2480" s="185"/>
      <c r="S2480" s="112" t="str">
        <f t="shared" si="2237"/>
        <v/>
      </c>
      <c r="T2480" s="709"/>
    </row>
    <row r="2481" spans="1:20" s="185" customFormat="1" ht="12.75" customHeight="1">
      <c r="A2481" s="2262"/>
      <c r="B2481" s="1760"/>
      <c r="C2481" s="1893" t="s">
        <v>729</v>
      </c>
      <c r="D2481" s="169"/>
      <c r="E2481" s="2256"/>
      <c r="F2481" s="2278"/>
      <c r="G2481" s="710"/>
      <c r="H2481" s="710"/>
      <c r="I2481" s="710"/>
      <c r="J2481" s="711"/>
      <c r="K2481" s="684">
        <f t="shared" si="2200"/>
        <v>1</v>
      </c>
      <c r="L2481" s="2258">
        <v>1</v>
      </c>
      <c r="M2481" s="120">
        <f t="shared" si="2236"/>
        <v>1</v>
      </c>
      <c r="N2481" s="112" t="str">
        <f t="shared" si="2214"/>
        <v/>
      </c>
      <c r="O2481" s="112" t="str">
        <f t="shared" si="2215"/>
        <v/>
      </c>
      <c r="P2481" s="120" t="str">
        <f t="shared" si="2216"/>
        <v/>
      </c>
      <c r="Q2481" s="120" t="str">
        <f t="shared" si="2217"/>
        <v/>
      </c>
      <c r="S2481" s="112" t="str">
        <f t="shared" si="2237"/>
        <v/>
      </c>
      <c r="T2481" s="118"/>
    </row>
    <row r="2482" spans="1:20" s="1236" customFormat="1" ht="18" customHeight="1">
      <c r="A2482" s="1767"/>
      <c r="B2482" s="1853">
        <v>1</v>
      </c>
      <c r="C2482" s="1895" t="s">
        <v>12366</v>
      </c>
      <c r="D2482" s="1902"/>
      <c r="E2482" s="1792"/>
      <c r="F2482" s="1793"/>
      <c r="G2482" s="1784"/>
      <c r="H2482" s="1784"/>
      <c r="I2482" s="1784"/>
      <c r="J2482" s="1182"/>
      <c r="K2482" s="684">
        <f t="shared" si="2200"/>
        <v>1</v>
      </c>
      <c r="L2482" s="708">
        <v>1</v>
      </c>
      <c r="M2482" s="709">
        <f t="shared" si="2235"/>
        <v>1</v>
      </c>
      <c r="N2482" s="362" t="str">
        <f t="shared" si="2214"/>
        <v/>
      </c>
      <c r="O2482" s="1763" t="str">
        <f t="shared" si="2215"/>
        <v/>
      </c>
      <c r="P2482" s="1764" t="str">
        <f t="shared" si="2216"/>
        <v/>
      </c>
      <c r="Q2482" s="120" t="str">
        <f t="shared" si="2217"/>
        <v/>
      </c>
      <c r="R2482" s="185"/>
    </row>
    <row r="2483" spans="1:20" s="120" customFormat="1" ht="18" customHeight="1">
      <c r="A2483" s="687"/>
      <c r="B2483" s="1945">
        <v>2</v>
      </c>
      <c r="C2483" s="1848" t="str">
        <f>VLOOKUP(D2483,base_datos,6,FALSE)</f>
        <v>Transformador de tensión monofásico 480 / 240 Vac - 50VA.</v>
      </c>
      <c r="D2483" s="1898" t="s">
        <v>8587</v>
      </c>
      <c r="E2483" s="1581">
        <f>VLOOKUP(D2483,base_datos,5,FALSE)</f>
        <v>76.8</v>
      </c>
      <c r="F2483" s="1581">
        <f>+E2483*B2483</f>
        <v>153.6</v>
      </c>
      <c r="G2483" s="686"/>
      <c r="H2483" s="686"/>
      <c r="I2483" s="686"/>
      <c r="J2483" s="1768"/>
      <c r="K2483" s="684">
        <f t="shared" si="2200"/>
        <v>1</v>
      </c>
      <c r="L2483" s="708">
        <v>1</v>
      </c>
      <c r="M2483" s="709">
        <f t="shared" si="2235"/>
        <v>2</v>
      </c>
      <c r="N2483" s="362" t="str">
        <f t="shared" si="2214"/>
        <v/>
      </c>
      <c r="O2483" s="1763" t="str">
        <f t="shared" si="2215"/>
        <v/>
      </c>
      <c r="P2483" s="1764" t="str">
        <f t="shared" si="2216"/>
        <v/>
      </c>
      <c r="Q2483" s="120" t="str">
        <f t="shared" si="2217"/>
        <v/>
      </c>
      <c r="R2483" s="185"/>
    </row>
    <row r="2484" spans="1:20" s="120" customFormat="1" ht="18" customHeight="1">
      <c r="A2484" s="687"/>
      <c r="B2484" s="1945">
        <v>1</v>
      </c>
      <c r="C2484" s="1848" t="str">
        <f>VLOOKUP(D2484,base_datos,6,FALSE)</f>
        <v>Transformador de tensión monofásico 480 / 240 Vac - 200VA.</v>
      </c>
      <c r="D2484" s="1898" t="s">
        <v>5173</v>
      </c>
      <c r="E2484" s="1581">
        <f>VLOOKUP(D2484,base_datos,5,FALSE)</f>
        <v>89.5</v>
      </c>
      <c r="F2484" s="1581">
        <f>+E2484*B2484</f>
        <v>89.5</v>
      </c>
      <c r="G2484" s="686"/>
      <c r="H2484" s="686"/>
      <c r="I2484" s="686"/>
      <c r="J2484" s="1768"/>
      <c r="K2484" s="684">
        <f t="shared" si="2200"/>
        <v>1</v>
      </c>
      <c r="L2484" s="708">
        <v>1</v>
      </c>
      <c r="M2484" s="709">
        <f t="shared" si="2235"/>
        <v>1</v>
      </c>
      <c r="N2484" s="362" t="str">
        <f t="shared" si="2214"/>
        <v/>
      </c>
      <c r="O2484" s="1763" t="str">
        <f t="shared" si="2215"/>
        <v/>
      </c>
      <c r="P2484" s="1764" t="str">
        <f t="shared" si="2216"/>
        <v/>
      </c>
      <c r="Q2484" s="120" t="str">
        <f t="shared" si="2217"/>
        <v/>
      </c>
      <c r="R2484" s="185"/>
    </row>
    <row r="2485" spans="1:20" s="185" customFormat="1" ht="18" customHeight="1">
      <c r="A2485" s="1785"/>
      <c r="B2485" s="714"/>
      <c r="C2485" s="1893" t="s">
        <v>729</v>
      </c>
      <c r="D2485" s="173"/>
      <c r="E2485" s="1786"/>
      <c r="F2485" s="1787"/>
      <c r="G2485" s="710"/>
      <c r="H2485" s="710"/>
      <c r="I2485" s="710"/>
      <c r="J2485" s="711"/>
      <c r="K2485" s="684">
        <f t="shared" si="2200"/>
        <v>1</v>
      </c>
      <c r="L2485" s="708">
        <v>1</v>
      </c>
      <c r="M2485" s="709">
        <f t="shared" si="2235"/>
        <v>1</v>
      </c>
      <c r="N2485" s="362" t="str">
        <f t="shared" si="2214"/>
        <v/>
      </c>
      <c r="O2485" s="1763" t="str">
        <f t="shared" si="2215"/>
        <v/>
      </c>
      <c r="P2485" s="1764" t="str">
        <f t="shared" si="2216"/>
        <v/>
      </c>
      <c r="Q2485" s="120" t="str">
        <f t="shared" si="2217"/>
        <v/>
      </c>
    </row>
    <row r="2486" spans="1:20" s="1236" customFormat="1" ht="18" customHeight="1">
      <c r="A2486" s="1767"/>
      <c r="B2486" s="1853">
        <v>1</v>
      </c>
      <c r="C2486" s="1895" t="s">
        <v>12364</v>
      </c>
      <c r="D2486" s="1902"/>
      <c r="E2486" s="1792"/>
      <c r="F2486" s="1793"/>
      <c r="G2486" s="1784"/>
      <c r="H2486" s="1784"/>
      <c r="I2486" s="1784"/>
      <c r="J2486" s="1182"/>
      <c r="K2486" s="684">
        <f t="shared" si="2200"/>
        <v>1</v>
      </c>
      <c r="L2486" s="708">
        <v>1</v>
      </c>
      <c r="M2486" s="709">
        <f t="shared" si="2235"/>
        <v>1</v>
      </c>
      <c r="N2486" s="362" t="str">
        <f t="shared" si="2214"/>
        <v/>
      </c>
      <c r="O2486" s="1763" t="str">
        <f t="shared" si="2215"/>
        <v/>
      </c>
      <c r="P2486" s="1764" t="str">
        <f t="shared" si="2216"/>
        <v/>
      </c>
      <c r="Q2486" s="120" t="str">
        <f t="shared" si="2217"/>
        <v/>
      </c>
      <c r="R2486" s="185"/>
    </row>
    <row r="2487" spans="1:20" s="695" customFormat="1" ht="18" customHeight="1">
      <c r="A2487" s="693"/>
      <c r="B2487" s="1922">
        <v>1</v>
      </c>
      <c r="C2487" s="1848" t="str">
        <f t="shared" ref="C2487" si="2241">VLOOKUP(D2487,base_datos,6,FALSE)</f>
        <v>Placa lamicoid rotulación de 3mm de espesor, fondo negro y letras blancas.</v>
      </c>
      <c r="D2487" s="1886" t="s">
        <v>8570</v>
      </c>
      <c r="E2487" s="1795">
        <f t="shared" ref="E2487" si="2242">VLOOKUP(D2487,base_datos,5,FALSE)</f>
        <v>2.2000000000000002</v>
      </c>
      <c r="F2487" s="1796">
        <f t="shared" ref="F2487" si="2243">+E2487*B2487</f>
        <v>2.2000000000000002</v>
      </c>
      <c r="G2487" s="696"/>
      <c r="H2487" s="696"/>
      <c r="I2487" s="696"/>
      <c r="J2487" s="697"/>
      <c r="K2487" s="684">
        <f t="shared" si="2200"/>
        <v>1</v>
      </c>
      <c r="L2487" s="708">
        <v>1</v>
      </c>
      <c r="M2487" s="709">
        <f t="shared" si="2235"/>
        <v>1</v>
      </c>
      <c r="N2487" s="362">
        <f t="shared" si="2214"/>
        <v>1</v>
      </c>
      <c r="O2487" s="1763" t="str">
        <f t="shared" si="2215"/>
        <v>Placa lamicoid p/distr.</v>
      </c>
      <c r="P2487" s="1764" t="str">
        <f t="shared" si="2216"/>
        <v>Placa lamicoid rotulación de 3mm de espesor, fondo negro y letras blancas.</v>
      </c>
      <c r="Q2487" s="120" t="str">
        <f t="shared" si="2217"/>
        <v>Placa lamicoid p/distr.</v>
      </c>
      <c r="R2487" s="185"/>
    </row>
    <row r="2488" spans="1:20" s="1236" customFormat="1" ht="18" customHeight="1">
      <c r="A2488" s="1767"/>
      <c r="B2488" s="1853">
        <v>1</v>
      </c>
      <c r="C2488" s="1895" t="s">
        <v>12474</v>
      </c>
      <c r="D2488" s="1902"/>
      <c r="E2488" s="1792"/>
      <c r="F2488" s="1793"/>
      <c r="G2488" s="1784"/>
      <c r="H2488" s="1784"/>
      <c r="I2488" s="1784"/>
      <c r="J2488" s="1182"/>
      <c r="K2488" s="684">
        <f t="shared" si="2200"/>
        <v>1</v>
      </c>
      <c r="L2488" s="708">
        <v>1</v>
      </c>
      <c r="M2488" s="709">
        <f t="shared" si="2235"/>
        <v>1</v>
      </c>
      <c r="N2488" s="362" t="str">
        <f t="shared" si="2214"/>
        <v/>
      </c>
      <c r="O2488" s="1763" t="str">
        <f t="shared" si="2215"/>
        <v/>
      </c>
      <c r="P2488" s="1764" t="str">
        <f t="shared" si="2216"/>
        <v/>
      </c>
      <c r="Q2488" s="120" t="str">
        <f t="shared" si="2217"/>
        <v/>
      </c>
      <c r="R2488" s="185"/>
    </row>
    <row r="2489" spans="1:20" s="1236" customFormat="1" ht="18" customHeight="1">
      <c r="A2489" s="1767"/>
      <c r="B2489" s="1853">
        <v>1</v>
      </c>
      <c r="C2489" s="1848" t="str">
        <f>VLOOKUP(D2489,base_datos,6,FALSE)</f>
        <v>Embalaje especial completamente cerrado para tablero adosado de 1600x600x220mm</v>
      </c>
      <c r="D2489" s="1902" t="s">
        <v>12453</v>
      </c>
      <c r="E2489" s="1795">
        <f t="shared" ref="E2489" si="2244">VLOOKUP(D2489,base_datos,5,FALSE)</f>
        <v>271.40000000000003</v>
      </c>
      <c r="F2489" s="1796">
        <f t="shared" ref="F2489" si="2245">+E2489*B2489</f>
        <v>271.40000000000003</v>
      </c>
      <c r="G2489" s="1784"/>
      <c r="H2489" s="1784"/>
      <c r="I2489" s="1784"/>
      <c r="J2489" s="1182"/>
      <c r="K2489" s="684">
        <f t="shared" si="2200"/>
        <v>1</v>
      </c>
      <c r="L2489" s="708">
        <v>1</v>
      </c>
      <c r="M2489" s="709">
        <f t="shared" si="2235"/>
        <v>1</v>
      </c>
      <c r="N2489" s="362">
        <f t="shared" si="2214"/>
        <v>1</v>
      </c>
      <c r="O2489" s="1763" t="str">
        <f t="shared" si="2215"/>
        <v>EMBAL_ADOS_1600x600x220mm</v>
      </c>
      <c r="P2489" s="1764" t="str">
        <f t="shared" si="2216"/>
        <v>Embalaje especial completamente cerrado para tablero adosado de 1600x600x220mm</v>
      </c>
      <c r="Q2489" s="120" t="str">
        <f t="shared" si="2217"/>
        <v>EMBAL_ADOS_1600x600x220mm</v>
      </c>
      <c r="R2489" s="185"/>
    </row>
    <row r="2490" spans="1:20" s="185" customFormat="1" ht="18" customHeight="1">
      <c r="A2490" s="1785"/>
      <c r="B2490" s="714"/>
      <c r="C2490" s="1893" t="s">
        <v>729</v>
      </c>
      <c r="D2490" s="173"/>
      <c r="E2490" s="1786"/>
      <c r="F2490" s="1787"/>
      <c r="G2490" s="710"/>
      <c r="H2490" s="710"/>
      <c r="I2490" s="710"/>
      <c r="J2490" s="711"/>
      <c r="K2490" s="684">
        <f t="shared" si="2200"/>
        <v>1</v>
      </c>
      <c r="L2490" s="708">
        <v>1</v>
      </c>
      <c r="M2490" s="709">
        <f t="shared" si="2235"/>
        <v>1</v>
      </c>
      <c r="N2490" s="362" t="str">
        <f t="shared" si="2214"/>
        <v/>
      </c>
      <c r="O2490" s="1763" t="str">
        <f t="shared" si="2215"/>
        <v/>
      </c>
      <c r="P2490" s="1764" t="str">
        <f t="shared" si="2216"/>
        <v/>
      </c>
      <c r="Q2490" s="120" t="str">
        <f t="shared" si="2217"/>
        <v/>
      </c>
    </row>
    <row r="2491" spans="1:20" s="695" customFormat="1" ht="18" customHeight="1">
      <c r="A2491" s="693"/>
      <c r="B2491" s="1794">
        <v>1</v>
      </c>
      <c r="C2491" s="1420" t="s">
        <v>316</v>
      </c>
      <c r="D2491" s="1790"/>
      <c r="E2491" s="1795"/>
      <c r="F2491" s="1796"/>
      <c r="G2491" s="696"/>
      <c r="H2491" s="696"/>
      <c r="I2491" s="696"/>
      <c r="J2491" s="697"/>
      <c r="K2491" s="684">
        <f t="shared" si="2200"/>
        <v>1</v>
      </c>
      <c r="L2491" s="708">
        <v>1</v>
      </c>
      <c r="M2491" s="709">
        <f t="shared" si="2235"/>
        <v>1</v>
      </c>
      <c r="N2491" s="362" t="str">
        <f t="shared" si="2214"/>
        <v/>
      </c>
      <c r="O2491" s="1763" t="str">
        <f t="shared" si="2215"/>
        <v/>
      </c>
      <c r="P2491" s="1764" t="str">
        <f t="shared" si="2216"/>
        <v/>
      </c>
      <c r="Q2491" s="120" t="str">
        <f t="shared" si="2217"/>
        <v/>
      </c>
      <c r="R2491" s="185"/>
    </row>
    <row r="2492" spans="1:20" s="185" customFormat="1" ht="18" customHeight="1">
      <c r="A2492" s="1785"/>
      <c r="B2492" s="714"/>
      <c r="C2492" s="1893" t="s">
        <v>729</v>
      </c>
      <c r="D2492" s="173"/>
      <c r="E2492" s="1786"/>
      <c r="F2492" s="1787"/>
      <c r="G2492" s="710"/>
      <c r="H2492" s="710"/>
      <c r="I2492" s="710"/>
      <c r="J2492" s="711"/>
      <c r="K2492" s="684">
        <f t="shared" si="2200"/>
        <v>1</v>
      </c>
      <c r="L2492" s="708">
        <v>1</v>
      </c>
      <c r="M2492" s="709">
        <f t="shared" ref="M2492" si="2246">IF(B2492="",1,B2492)</f>
        <v>1</v>
      </c>
      <c r="N2492" s="362" t="str">
        <f t="shared" ref="N2492" si="2247">IF(O2492&lt;&gt;"",K2492*L2492*M2492,"")</f>
        <v/>
      </c>
      <c r="O2492" s="1763" t="str">
        <f t="shared" ref="O2492" si="2248">IF(D2492&lt;&gt;"",IF(VLOOKUP(D2492,base_datos,7,FALSE)&lt;&gt;"",VLOOKUP(D2492,base_datos,7,FALSE),""),"")</f>
        <v/>
      </c>
      <c r="P2492" s="1764" t="str">
        <f t="shared" ref="P2492" si="2249">IF(O2492&lt;&gt;"",VLOOKUP(D2492,base_datos,6,FALSE),"")</f>
        <v/>
      </c>
      <c r="Q2492" s="120" t="str">
        <f t="shared" ref="Q2492" si="2250">IF(O2492&lt;&gt;"",D2492,"")</f>
        <v/>
      </c>
    </row>
    <row r="2493" spans="1:20" s="897" customFormat="1" ht="18" customHeight="1">
      <c r="A2493" s="693"/>
      <c r="B2493" s="895">
        <v>7</v>
      </c>
      <c r="C2493" s="1848" t="str">
        <f>VLOOKUP(D2493,base_datos,6,FALSE)</f>
        <v>Rotulado por circuito.</v>
      </c>
      <c r="D2493" s="1579" t="s">
        <v>3067</v>
      </c>
      <c r="E2493" s="1581">
        <f>VLOOKUP(D2493,base_datos,5,FALSE)</f>
        <v>0.7</v>
      </c>
      <c r="F2493" s="1581">
        <f t="shared" ref="F2493:F2498" si="2251">+E2493*B2493</f>
        <v>4.8999999999999995</v>
      </c>
      <c r="G2493" s="1772"/>
      <c r="H2493" s="1772"/>
      <c r="I2493" s="1772"/>
      <c r="J2493" s="896"/>
      <c r="K2493" s="684">
        <f t="shared" si="2200"/>
        <v>1</v>
      </c>
      <c r="L2493" s="708">
        <v>1</v>
      </c>
      <c r="M2493" s="709">
        <f t="shared" si="2235"/>
        <v>7</v>
      </c>
      <c r="N2493" s="362" t="str">
        <f t="shared" si="2214"/>
        <v/>
      </c>
      <c r="O2493" s="1763" t="str">
        <f t="shared" si="2215"/>
        <v/>
      </c>
      <c r="P2493" s="1764" t="str">
        <f t="shared" si="2216"/>
        <v/>
      </c>
      <c r="Q2493" s="120" t="str">
        <f t="shared" si="2217"/>
        <v/>
      </c>
    </row>
    <row r="2494" spans="1:20" s="897" customFormat="1" ht="18" customHeight="1">
      <c r="A2494" s="693"/>
      <c r="B2494" s="895">
        <v>1</v>
      </c>
      <c r="C2494" s="1848" t="str">
        <f>VLOOKUP(D2494,base_datos,6,FALSE)</f>
        <v>Rotulado para TAG - tablero de distribución.</v>
      </c>
      <c r="D2494" s="1579" t="s">
        <v>3066</v>
      </c>
      <c r="E2494" s="1581">
        <f>VLOOKUP(D2494,base_datos,5,FALSE)</f>
        <v>1.5</v>
      </c>
      <c r="F2494" s="1581">
        <f t="shared" si="2251"/>
        <v>1.5</v>
      </c>
      <c r="G2494" s="1772"/>
      <c r="H2494" s="1772"/>
      <c r="I2494" s="1772"/>
      <c r="J2494" s="896"/>
      <c r="K2494" s="684">
        <f t="shared" si="2200"/>
        <v>1</v>
      </c>
      <c r="L2494" s="708">
        <v>1</v>
      </c>
      <c r="M2494" s="709">
        <f t="shared" si="2235"/>
        <v>1</v>
      </c>
      <c r="N2494" s="362" t="str">
        <f t="shared" si="2214"/>
        <v/>
      </c>
      <c r="O2494" s="1763" t="str">
        <f t="shared" si="2215"/>
        <v/>
      </c>
      <c r="P2494" s="1764" t="str">
        <f t="shared" si="2216"/>
        <v/>
      </c>
      <c r="Q2494" s="120" t="str">
        <f t="shared" si="2217"/>
        <v/>
      </c>
    </row>
    <row r="2495" spans="1:20" s="1237" customFormat="1" ht="18" customHeight="1">
      <c r="A2495" s="1767"/>
      <c r="B2495" s="1773">
        <v>1</v>
      </c>
      <c r="C2495" s="1896" t="s">
        <v>11664</v>
      </c>
      <c r="D2495" s="1887"/>
      <c r="E2495" s="1581">
        <v>63</v>
      </c>
      <c r="F2495" s="1581">
        <f t="shared" si="2251"/>
        <v>63</v>
      </c>
      <c r="G2495" s="1774"/>
      <c r="H2495" s="1774"/>
      <c r="I2495" s="1774"/>
      <c r="J2495" s="1181"/>
      <c r="K2495" s="684">
        <f t="shared" si="2200"/>
        <v>1</v>
      </c>
      <c r="L2495" s="708">
        <v>1</v>
      </c>
      <c r="M2495" s="709">
        <f t="shared" si="2235"/>
        <v>1</v>
      </c>
      <c r="N2495" s="362" t="str">
        <f t="shared" si="2214"/>
        <v/>
      </c>
      <c r="O2495" s="1763" t="str">
        <f t="shared" si="2215"/>
        <v/>
      </c>
      <c r="P2495" s="1764" t="str">
        <f t="shared" si="2216"/>
        <v/>
      </c>
      <c r="Q2495" s="120" t="str">
        <f t="shared" si="2217"/>
        <v/>
      </c>
      <c r="R2495" s="1765"/>
    </row>
    <row r="2496" spans="1:20" s="1237" customFormat="1" ht="18" customHeight="1">
      <c r="A2496" s="1767"/>
      <c r="B2496" s="2093">
        <v>1</v>
      </c>
      <c r="C2496" s="694" t="s">
        <v>12552</v>
      </c>
      <c r="D2496" s="1888"/>
      <c r="E2496" s="1580">
        <f>E2498*15%</f>
        <v>27</v>
      </c>
      <c r="F2496" s="1581">
        <f t="shared" si="2251"/>
        <v>27</v>
      </c>
      <c r="G2496" s="1774"/>
      <c r="H2496" s="1774"/>
      <c r="I2496" s="1774"/>
      <c r="J2496" s="1181"/>
      <c r="K2496" s="684">
        <f t="shared" si="2200"/>
        <v>1</v>
      </c>
      <c r="L2496" s="708">
        <v>1</v>
      </c>
      <c r="M2496" s="709">
        <f t="shared" si="2235"/>
        <v>1</v>
      </c>
      <c r="N2496" s="362" t="str">
        <f t="shared" ref="N2496:N2497" si="2252">IF(O2496&lt;&gt;"",K2496*L2496*M2496,"")</f>
        <v/>
      </c>
      <c r="O2496" s="1763" t="str">
        <f t="shared" ref="O2496:O2497" si="2253">IF(D2496&lt;&gt;"",IF(VLOOKUP(D2496,base_datos,7,FALSE)&lt;&gt;"",VLOOKUP(D2496,base_datos,7,FALSE),""),"")</f>
        <v/>
      </c>
      <c r="P2496" s="1764" t="str">
        <f t="shared" ref="P2496:P2497" si="2254">IF(O2496&lt;&gt;"",VLOOKUP(D2496,base_datos,6,FALSE),"")</f>
        <v/>
      </c>
      <c r="Q2496" s="120" t="str">
        <f t="shared" ref="Q2496:Q2497" si="2255">IF(O2496&lt;&gt;"",D2496,"")</f>
        <v/>
      </c>
      <c r="R2496" s="1765"/>
    </row>
    <row r="2497" spans="1:18" s="1237" customFormat="1" ht="18" customHeight="1">
      <c r="A2497" s="1767"/>
      <c r="B2497" s="1773">
        <v>1</v>
      </c>
      <c r="C2497" s="694" t="s">
        <v>12559</v>
      </c>
      <c r="D2497" s="1888"/>
      <c r="E2497" s="1999">
        <f>E2498*20%</f>
        <v>36</v>
      </c>
      <c r="F2497" s="1581">
        <f t="shared" si="2251"/>
        <v>36</v>
      </c>
      <c r="G2497" s="1774"/>
      <c r="H2497" s="1774"/>
      <c r="I2497" s="1774"/>
      <c r="J2497" s="1181"/>
      <c r="K2497" s="684">
        <f t="shared" si="2200"/>
        <v>1</v>
      </c>
      <c r="L2497" s="708">
        <v>1</v>
      </c>
      <c r="M2497" s="709">
        <f t="shared" si="2235"/>
        <v>1</v>
      </c>
      <c r="N2497" s="362" t="str">
        <f t="shared" si="2252"/>
        <v/>
      </c>
      <c r="O2497" s="1763" t="str">
        <f t="shared" si="2253"/>
        <v/>
      </c>
      <c r="P2497" s="1764" t="str">
        <f t="shared" si="2254"/>
        <v/>
      </c>
      <c r="Q2497" s="120" t="str">
        <f t="shared" si="2255"/>
        <v/>
      </c>
      <c r="R2497" s="1765"/>
    </row>
    <row r="2498" spans="1:18" s="1237" customFormat="1" ht="18" customHeight="1">
      <c r="A2498" s="1767"/>
      <c r="B2498" s="1773">
        <v>1</v>
      </c>
      <c r="C2498" s="1943" t="s">
        <v>12480</v>
      </c>
      <c r="D2498" s="1897"/>
      <c r="E2498" s="1581">
        <v>180</v>
      </c>
      <c r="F2498" s="1581">
        <f t="shared" si="2251"/>
        <v>180</v>
      </c>
      <c r="G2498" s="1774"/>
      <c r="H2498" s="1774"/>
      <c r="I2498" s="1774"/>
      <c r="J2498" s="1181"/>
      <c r="K2498" s="684">
        <f t="shared" si="2200"/>
        <v>1</v>
      </c>
      <c r="L2498" s="708">
        <v>1</v>
      </c>
      <c r="M2498" s="709">
        <f t="shared" si="2235"/>
        <v>1</v>
      </c>
      <c r="N2498" s="362" t="str">
        <f t="shared" si="2214"/>
        <v/>
      </c>
      <c r="O2498" s="1763" t="str">
        <f t="shared" si="2215"/>
        <v/>
      </c>
      <c r="P2498" s="1764" t="str">
        <f t="shared" si="2216"/>
        <v/>
      </c>
      <c r="Q2498" s="120" t="str">
        <f t="shared" si="2217"/>
        <v/>
      </c>
      <c r="R2498" s="1765"/>
    </row>
    <row r="2499" spans="1:18" s="20" customFormat="1" ht="18" customHeight="1" thickBot="1">
      <c r="A2499" s="699"/>
      <c r="B2499" s="1775"/>
      <c r="C2499" s="1776"/>
      <c r="D2499" s="1885"/>
      <c r="E2499" s="1981"/>
      <c r="F2499" s="1981"/>
      <c r="G2499" s="1777"/>
      <c r="H2499" s="1777"/>
      <c r="I2499" s="1777"/>
      <c r="J2499" s="1778"/>
      <c r="K2499" s="684"/>
      <c r="L2499" s="363"/>
      <c r="M2499" s="709"/>
      <c r="N2499" s="362" t="str">
        <f t="shared" si="2214"/>
        <v/>
      </c>
      <c r="O2499" s="1763" t="str">
        <f t="shared" si="2215"/>
        <v/>
      </c>
      <c r="P2499" s="1764" t="str">
        <f t="shared" si="2216"/>
        <v/>
      </c>
      <c r="Q2499" s="120" t="str">
        <f t="shared" si="2217"/>
        <v/>
      </c>
      <c r="R2499" s="1765"/>
    </row>
    <row r="2500" spans="1:18" s="120" customFormat="1" ht="17.25" customHeight="1" thickBot="1">
      <c r="A2500" s="1989">
        <v>41</v>
      </c>
      <c r="B2500" s="1852">
        <v>1</v>
      </c>
      <c r="C2500" s="1756" t="s">
        <v>12603</v>
      </c>
      <c r="D2500" s="1588"/>
      <c r="E2500" s="1589"/>
      <c r="F2500" s="1589"/>
      <c r="G2500" s="1757">
        <f>SUM(F2501:F2541)</f>
        <v>1919.6549999999997</v>
      </c>
      <c r="H2500" s="1758">
        <f>G2500*(1-$D$6)</f>
        <v>1919.6549999999997</v>
      </c>
      <c r="I2500" s="1757">
        <f>ROUNDUP(H2500*$D$5,0)</f>
        <v>6527</v>
      </c>
      <c r="J2500" s="1759">
        <f>+I2500*B2500</f>
        <v>6527</v>
      </c>
      <c r="K2500" s="1788">
        <f>B2500</f>
        <v>1</v>
      </c>
      <c r="L2500" s="363"/>
      <c r="M2500" s="684"/>
      <c r="N2500" s="362" t="str">
        <f t="shared" si="2214"/>
        <v/>
      </c>
      <c r="O2500" s="1763" t="str">
        <f t="shared" si="2215"/>
        <v/>
      </c>
      <c r="P2500" s="1764" t="str">
        <f t="shared" si="2216"/>
        <v/>
      </c>
      <c r="Q2500" s="120" t="str">
        <f t="shared" si="2217"/>
        <v/>
      </c>
      <c r="R2500" s="185"/>
    </row>
    <row r="2501" spans="1:18" s="120" customFormat="1" ht="18" customHeight="1">
      <c r="A2501" s="685" t="s">
        <v>3064</v>
      </c>
      <c r="B2501" s="1903"/>
      <c r="C2501" s="1890"/>
      <c r="D2501" s="1904"/>
      <c r="E2501" s="1789"/>
      <c r="F2501" s="1780"/>
      <c r="G2501" s="686"/>
      <c r="H2501" s="710"/>
      <c r="I2501" s="686"/>
      <c r="J2501" s="1768"/>
      <c r="K2501" s="684">
        <f t="shared" ref="K2501:K2541" si="2256">+K2500</f>
        <v>1</v>
      </c>
      <c r="L2501" s="363">
        <v>1</v>
      </c>
      <c r="M2501" s="709">
        <f t="shared" ref="M2501:M2512" si="2257">IF(B2501="",1,B2501)</f>
        <v>1</v>
      </c>
      <c r="N2501" s="362" t="str">
        <f t="shared" si="2214"/>
        <v/>
      </c>
      <c r="O2501" s="1763" t="str">
        <f t="shared" si="2215"/>
        <v/>
      </c>
      <c r="P2501" s="1764" t="str">
        <f t="shared" si="2216"/>
        <v/>
      </c>
      <c r="Q2501" s="120" t="str">
        <f t="shared" si="2217"/>
        <v/>
      </c>
    </row>
    <row r="2502" spans="1:18" s="315" customFormat="1" ht="12" customHeight="1">
      <c r="A2502" s="687" t="s">
        <v>4021</v>
      </c>
      <c r="B2502" s="2096">
        <v>1</v>
      </c>
      <c r="C2502" s="1907" t="s">
        <v>5103</v>
      </c>
      <c r="D2502" s="1935"/>
      <c r="E2502" s="1786"/>
      <c r="F2502" s="1908">
        <f>SUM(F2504:F2508)*(B2502-1)</f>
        <v>0</v>
      </c>
      <c r="G2502" s="712"/>
      <c r="H2502" s="712"/>
      <c r="I2502" s="712"/>
      <c r="J2502" s="713"/>
      <c r="K2502" s="684">
        <f t="shared" si="2256"/>
        <v>1</v>
      </c>
      <c r="L2502" s="1909">
        <f>B2502</f>
        <v>1</v>
      </c>
      <c r="M2502" s="684">
        <f t="shared" si="2257"/>
        <v>1</v>
      </c>
      <c r="N2502" s="362" t="str">
        <f t="shared" si="2214"/>
        <v/>
      </c>
      <c r="O2502" s="1763" t="str">
        <f t="shared" si="2215"/>
        <v/>
      </c>
      <c r="P2502" s="1764" t="str">
        <f t="shared" si="2216"/>
        <v/>
      </c>
      <c r="Q2502" s="120" t="str">
        <f t="shared" si="2217"/>
        <v/>
      </c>
    </row>
    <row r="2503" spans="1:18" s="185" customFormat="1">
      <c r="A2503" s="687" t="s">
        <v>4136</v>
      </c>
      <c r="B2503" s="1910">
        <v>3</v>
      </c>
      <c r="C2503" s="1911" t="str">
        <f>VLOOKUP(D2503,base_datos,6,FALSE)</f>
        <v>Portalámpara + lampara tipo LED - color Rojo - alimentacion: 220-230Vac, d=22mm. - CL2-523R - línea compacta - marca ABB.</v>
      </c>
      <c r="D2503" s="1790" t="s">
        <v>2439</v>
      </c>
      <c r="E2503" s="1939">
        <f>VLOOKUP(D2503,base_datos,5,FALSE)</f>
        <v>12.299999999999999</v>
      </c>
      <c r="F2503" s="1912">
        <f>+E2503*B2503</f>
        <v>36.9</v>
      </c>
      <c r="G2503" s="710"/>
      <c r="H2503" s="710"/>
      <c r="I2503" s="710"/>
      <c r="J2503" s="711"/>
      <c r="K2503" s="684">
        <f>+K2501</f>
        <v>1</v>
      </c>
      <c r="L2503" s="1913">
        <f>L2501</f>
        <v>1</v>
      </c>
      <c r="M2503" s="684">
        <f t="shared" si="2257"/>
        <v>3</v>
      </c>
      <c r="N2503" s="362">
        <f t="shared" si="2214"/>
        <v>3</v>
      </c>
      <c r="O2503" s="1763" t="str">
        <f t="shared" si="2215"/>
        <v>1SFA619403R5231</v>
      </c>
      <c r="P2503" s="1764" t="str">
        <f t="shared" si="2216"/>
        <v>Portalámpara + lampara tipo LED - color Rojo - alimentacion: 220-230Vac, d=22mm. - CL2-523R - línea compacta - marca ABB.</v>
      </c>
      <c r="Q2503" s="120" t="str">
        <f t="shared" si="2217"/>
        <v>LAMP_ROJO_220V</v>
      </c>
    </row>
    <row r="2504" spans="1:18" s="185" customFormat="1">
      <c r="A2504" s="687"/>
      <c r="B2504" s="1910">
        <v>3</v>
      </c>
      <c r="C2504" s="1911" t="str">
        <f>VLOOKUP(D2504,base_datos,6,FALSE)</f>
        <v>Portalámpara + lampara tipo LED - color Verde - alimentacion: 220-230Vac, d=22mm. - CL2-523G - línea compacta - marca ABB.</v>
      </c>
      <c r="D2504" s="1790" t="s">
        <v>2440</v>
      </c>
      <c r="E2504" s="1939">
        <f>VLOOKUP(D2504,base_datos,5,FALSE)</f>
        <v>12.299999999999999</v>
      </c>
      <c r="F2504" s="1912">
        <f>+E2504*B2504</f>
        <v>36.9</v>
      </c>
      <c r="G2504" s="710"/>
      <c r="H2504" s="710"/>
      <c r="I2504" s="710"/>
      <c r="J2504" s="711"/>
      <c r="K2504" s="684">
        <f>+K2502</f>
        <v>1</v>
      </c>
      <c r="L2504" s="1913">
        <f>L2502</f>
        <v>1</v>
      </c>
      <c r="M2504" s="684">
        <f t="shared" si="2257"/>
        <v>3</v>
      </c>
      <c r="N2504" s="362">
        <f t="shared" si="2214"/>
        <v>3</v>
      </c>
      <c r="O2504" s="1763" t="str">
        <f t="shared" si="2215"/>
        <v>1SFA619403R5232</v>
      </c>
      <c r="P2504" s="1764" t="str">
        <f t="shared" si="2216"/>
        <v>Portalámpara + lampara tipo LED - color Verde - alimentacion: 220-230Vac, d=22mm. - CL2-523G - línea compacta - marca ABB.</v>
      </c>
      <c r="Q2504" s="120" t="str">
        <f t="shared" si="2217"/>
        <v>LAMP_VERDE_220V</v>
      </c>
    </row>
    <row r="2505" spans="1:18" s="1921" customFormat="1">
      <c r="A2505" s="687" t="s">
        <v>12356</v>
      </c>
      <c r="B2505" s="1914">
        <v>1</v>
      </c>
      <c r="C2505" s="1915" t="s">
        <v>3366</v>
      </c>
      <c r="D2505" s="1916"/>
      <c r="E2505" s="1917"/>
      <c r="F2505" s="1918"/>
      <c r="G2505" s="1919"/>
      <c r="H2505" s="1919"/>
      <c r="I2505" s="1919"/>
      <c r="J2505" s="1920"/>
      <c r="K2505" s="684">
        <f t="shared" si="2256"/>
        <v>1</v>
      </c>
      <c r="L2505" s="1913">
        <f>L2504</f>
        <v>1</v>
      </c>
      <c r="M2505" s="684">
        <f t="shared" si="2257"/>
        <v>1</v>
      </c>
      <c r="N2505" s="362" t="str">
        <f t="shared" si="2214"/>
        <v/>
      </c>
      <c r="O2505" s="1763" t="str">
        <f t="shared" si="2215"/>
        <v/>
      </c>
      <c r="P2505" s="1764" t="str">
        <f t="shared" si="2216"/>
        <v/>
      </c>
      <c r="Q2505" s="120" t="str">
        <f t="shared" si="2217"/>
        <v/>
      </c>
    </row>
    <row r="2506" spans="1:18" s="320" customFormat="1">
      <c r="A2506" s="687" t="s">
        <v>13067</v>
      </c>
      <c r="B2506" s="1922">
        <v>1</v>
      </c>
      <c r="C2506" s="721" t="str">
        <f>VLOOKUP(D2506,base_datos,6,FALSE)</f>
        <v>Rele auxiliar enchufable +4NA/NC (D2PR4B + base D2PA6), 220Vac - marca EATON.</v>
      </c>
      <c r="D2506" s="1579" t="s">
        <v>772</v>
      </c>
      <c r="E2506" s="1581">
        <f>VLOOKUP(D2506,base_datos,5,FALSE)</f>
        <v>27</v>
      </c>
      <c r="F2506" s="1923">
        <f>+E2506*B2506</f>
        <v>27</v>
      </c>
      <c r="G2506" s="1924"/>
      <c r="H2506" s="1924"/>
      <c r="I2506" s="1924"/>
      <c r="J2506" s="722"/>
      <c r="K2506" s="684">
        <f t="shared" si="2256"/>
        <v>1</v>
      </c>
      <c r="L2506" s="1913">
        <f>L2503</f>
        <v>1</v>
      </c>
      <c r="M2506" s="684">
        <f t="shared" si="2257"/>
        <v>1</v>
      </c>
      <c r="N2506" s="362">
        <f t="shared" si="2214"/>
        <v>1</v>
      </c>
      <c r="O2506" s="1763" t="str">
        <f t="shared" si="2215"/>
        <v>D2PR4B+D2PA6</v>
      </c>
      <c r="P2506" s="1764" t="str">
        <f t="shared" si="2216"/>
        <v>Rele auxiliar enchufable +4NA/NC (D2PR4B + base D2PA6), 220Vac - marca EATON.</v>
      </c>
      <c r="Q2506" s="120" t="str">
        <f t="shared" si="2217"/>
        <v>D2PR4B+D2PA6</v>
      </c>
    </row>
    <row r="2507" spans="1:18" s="320" customFormat="1">
      <c r="A2507" s="1767"/>
      <c r="B2507" s="2131">
        <v>1</v>
      </c>
      <c r="C2507" s="2132" t="s">
        <v>12558</v>
      </c>
      <c r="D2507" s="2133"/>
      <c r="E2507" s="2134">
        <v>32</v>
      </c>
      <c r="F2507" s="2134">
        <f>+E2507*B2507</f>
        <v>32</v>
      </c>
      <c r="G2507" s="1924"/>
      <c r="H2507" s="1924"/>
      <c r="I2507" s="1924"/>
      <c r="J2507" s="722"/>
      <c r="K2507" s="684">
        <f t="shared" si="2256"/>
        <v>1</v>
      </c>
      <c r="L2507" s="1913">
        <f>L2504</f>
        <v>1</v>
      </c>
      <c r="M2507" s="684">
        <f t="shared" si="2257"/>
        <v>1</v>
      </c>
      <c r="N2507" s="362" t="str">
        <f t="shared" si="2214"/>
        <v/>
      </c>
      <c r="O2507" s="1763" t="str">
        <f t="shared" si="2215"/>
        <v/>
      </c>
      <c r="P2507" s="1764" t="str">
        <f t="shared" si="2216"/>
        <v/>
      </c>
      <c r="Q2507" s="120" t="str">
        <f t="shared" si="2217"/>
        <v/>
      </c>
    </row>
    <row r="2508" spans="1:18" s="320" customFormat="1">
      <c r="A2508" s="687" t="s">
        <v>12551</v>
      </c>
      <c r="B2508" s="1922">
        <v>4</v>
      </c>
      <c r="C2508" s="721" t="str">
        <f>VLOOKUP(D2508,base_datos,6,FALSE)</f>
        <v>Base portafusibles + Fusibles de protección para control.</v>
      </c>
      <c r="D2508" s="1579" t="s">
        <v>453</v>
      </c>
      <c r="E2508" s="1581">
        <f>VLOOKUP(D2508,base_datos,5,FALSE)</f>
        <v>8.1750000000000007</v>
      </c>
      <c r="F2508" s="1923">
        <f>+E2508*B2508</f>
        <v>32.700000000000003</v>
      </c>
      <c r="G2508" s="1924"/>
      <c r="H2508" s="1924"/>
      <c r="I2508" s="1924"/>
      <c r="J2508" s="722"/>
      <c r="K2508" s="684">
        <f t="shared" si="2256"/>
        <v>1</v>
      </c>
      <c r="L2508" s="1913">
        <f>L2505</f>
        <v>1</v>
      </c>
      <c r="M2508" s="684">
        <f t="shared" si="2257"/>
        <v>4</v>
      </c>
      <c r="N2508" s="362" t="str">
        <f t="shared" si="2214"/>
        <v/>
      </c>
      <c r="O2508" s="1763" t="str">
        <f t="shared" si="2215"/>
        <v/>
      </c>
      <c r="P2508" s="1764" t="str">
        <f t="shared" si="2216"/>
        <v/>
      </c>
      <c r="Q2508" s="120" t="str">
        <f t="shared" si="2217"/>
        <v/>
      </c>
    </row>
    <row r="2509" spans="1:18" s="315" customFormat="1">
      <c r="A2509" s="687" t="s">
        <v>3542</v>
      </c>
      <c r="B2509" s="1906"/>
      <c r="C2509" s="1907"/>
      <c r="D2509" s="1935"/>
      <c r="E2509" s="1786"/>
      <c r="F2509" s="1936"/>
      <c r="G2509" s="712"/>
      <c r="H2509" s="712"/>
      <c r="I2509" s="712"/>
      <c r="J2509" s="713"/>
      <c r="K2509" s="684">
        <f t="shared" si="2256"/>
        <v>1</v>
      </c>
      <c r="L2509" s="1909">
        <f>B2509</f>
        <v>0</v>
      </c>
      <c r="M2509" s="684">
        <f t="shared" si="2257"/>
        <v>1</v>
      </c>
      <c r="N2509" s="362" t="str">
        <f t="shared" si="2214"/>
        <v/>
      </c>
      <c r="O2509" s="1763" t="str">
        <f t="shared" si="2215"/>
        <v/>
      </c>
      <c r="P2509" s="1764" t="str">
        <f t="shared" si="2216"/>
        <v/>
      </c>
      <c r="Q2509" s="120" t="str">
        <f t="shared" si="2217"/>
        <v/>
      </c>
    </row>
    <row r="2510" spans="1:18" s="185" customFormat="1" ht="13.5" customHeight="1">
      <c r="A2510" s="1771"/>
      <c r="B2510" s="1922"/>
      <c r="C2510" s="1956" t="s">
        <v>12368</v>
      </c>
      <c r="D2510" s="1579"/>
      <c r="E2510" s="1957"/>
      <c r="F2510" s="1958"/>
      <c r="G2510" s="710"/>
      <c r="H2510" s="710"/>
      <c r="I2510" s="710"/>
      <c r="J2510" s="711"/>
      <c r="K2510" s="684">
        <f t="shared" si="2256"/>
        <v>1</v>
      </c>
      <c r="L2510" s="708">
        <v>1</v>
      </c>
      <c r="M2510" s="684">
        <f t="shared" si="2257"/>
        <v>1</v>
      </c>
      <c r="N2510" s="362" t="str">
        <f t="shared" si="2214"/>
        <v/>
      </c>
      <c r="O2510" s="1763" t="str">
        <f t="shared" si="2215"/>
        <v/>
      </c>
      <c r="P2510" s="1764" t="str">
        <f t="shared" si="2216"/>
        <v/>
      </c>
      <c r="Q2510" s="120" t="str">
        <f t="shared" si="2217"/>
        <v/>
      </c>
    </row>
    <row r="2511" spans="1:18" s="120" customFormat="1" ht="18" customHeight="1">
      <c r="A2511" s="687"/>
      <c r="B2511" s="1781"/>
      <c r="C2511" s="1218" t="s">
        <v>3158</v>
      </c>
      <c r="D2511" s="1900"/>
      <c r="E2511" s="1791"/>
      <c r="F2511" s="1782"/>
      <c r="G2511" s="686"/>
      <c r="H2511" s="686"/>
      <c r="I2511" s="686"/>
      <c r="J2511" s="688"/>
      <c r="K2511" s="684">
        <f t="shared" si="2256"/>
        <v>1</v>
      </c>
      <c r="L2511" s="708">
        <v>1</v>
      </c>
      <c r="M2511" s="709">
        <f t="shared" si="2257"/>
        <v>1</v>
      </c>
      <c r="N2511" s="362" t="str">
        <f t="shared" si="2214"/>
        <v/>
      </c>
      <c r="O2511" s="1763" t="str">
        <f t="shared" si="2215"/>
        <v/>
      </c>
      <c r="P2511" s="1764" t="str">
        <f t="shared" si="2216"/>
        <v/>
      </c>
      <c r="Q2511" s="120" t="str">
        <f t="shared" si="2217"/>
        <v/>
      </c>
      <c r="R2511" s="185"/>
    </row>
    <row r="2512" spans="1:18" s="690" customFormat="1" ht="18" customHeight="1">
      <c r="A2512" s="687"/>
      <c r="B2512" s="1781">
        <v>1</v>
      </c>
      <c r="C2512" s="1420" t="str">
        <f>VLOOKUP(D2512,base_datos,6,FALSE)</f>
        <v>ITM Caja Moldeada 3x160A (reg.[0.7-1.0] In) - XT1B160-160A-3P-TMD - 25kA@230Vac, 18kA@415Vac, 18kA@250Vdc - marca ABB.</v>
      </c>
      <c r="D2512" s="1901" t="s">
        <v>4378</v>
      </c>
      <c r="E2512" s="1791">
        <f>VLOOKUP(D2512,base_datos,5,FALSE)</f>
        <v>183.34</v>
      </c>
      <c r="F2512" s="1782">
        <f>+E2512*B2512</f>
        <v>183.34</v>
      </c>
      <c r="G2512" s="1761"/>
      <c r="H2512" s="1761"/>
      <c r="I2512" s="1761"/>
      <c r="J2512" s="689"/>
      <c r="K2512" s="684">
        <f t="shared" si="2256"/>
        <v>1</v>
      </c>
      <c r="L2512" s="708">
        <v>1</v>
      </c>
      <c r="M2512" s="709">
        <f t="shared" si="2257"/>
        <v>1</v>
      </c>
      <c r="N2512" s="362">
        <f t="shared" si="2214"/>
        <v>1</v>
      </c>
      <c r="O2512" s="1763" t="str">
        <f t="shared" si="2215"/>
        <v>1SDA066809R1</v>
      </c>
      <c r="P2512" s="1764" t="str">
        <f t="shared" si="2216"/>
        <v>ITM Caja Moldeada 3x160A (reg.[0.7-1.0] In) - XT1B160-160A-3P-TMD - 25kA@230Vac, 18kA@415Vac, 18kA@250Vdc - marca ABB.</v>
      </c>
      <c r="Q2512" s="120" t="str">
        <f t="shared" si="2217"/>
        <v>XT1B160-160A-3P-TMD</v>
      </c>
      <c r="R2512" s="185"/>
    </row>
    <row r="2513" spans="1:20" s="695" customFormat="1" ht="18" customHeight="1">
      <c r="A2513" s="1771"/>
      <c r="B2513" s="895">
        <v>1</v>
      </c>
      <c r="C2513" s="1848" t="str">
        <f>VLOOKUP(D2513,base_datos,6,FALSE)</f>
        <v>FC-CuAl_XT1 - Terminales + Cubrebornes - cables de cobre/aluminio hasta 1x95mm2 - 3 terminales (externos)</v>
      </c>
      <c r="D2513" s="1886" t="s">
        <v>956</v>
      </c>
      <c r="E2513" s="1795">
        <f>VLOOKUP(D2513,base_datos,5,FALSE)</f>
        <v>31.880000000000003</v>
      </c>
      <c r="F2513" s="1796">
        <f>+E2513*B2513</f>
        <v>31.880000000000003</v>
      </c>
      <c r="G2513" s="696"/>
      <c r="H2513" s="696"/>
      <c r="I2513" s="696"/>
      <c r="J2513" s="697"/>
      <c r="K2513" s="684">
        <f t="shared" si="2256"/>
        <v>1</v>
      </c>
      <c r="L2513" s="708">
        <v>1</v>
      </c>
      <c r="M2513" s="684">
        <f>IF(B2513="",1,B2513)</f>
        <v>1</v>
      </c>
      <c r="N2513" s="362">
        <f>IF(O2513&lt;&gt;"",K2513*L2513*M2513,"")</f>
        <v>1</v>
      </c>
      <c r="O2513" s="1763" t="str">
        <f>IF(D2513&lt;&gt;"",IF(VLOOKUP(D2513,base_datos,7,FALSE)&lt;&gt;"",VLOOKUP(D2513,base_datos,7,FALSE),""),"")</f>
        <v>1SDA067155R1</v>
      </c>
      <c r="P2513" s="1764" t="str">
        <f>IF(O2513&lt;&gt;"",VLOOKUP(D2513,base_datos,6,FALSE),"")</f>
        <v>FC-CuAl_XT1 - Terminales + Cubrebornes - cables de cobre/aluminio hasta 1x95mm2 - 3 terminales (externos)</v>
      </c>
      <c r="Q2513" s="120" t="str">
        <f>IF(O2513&lt;&gt;"",D2513,"")</f>
        <v>FC-CuAl_XT1_3t</v>
      </c>
      <c r="R2513" s="185"/>
    </row>
    <row r="2514" spans="1:20" s="185" customFormat="1">
      <c r="A2514" s="1771"/>
      <c r="B2514" s="714"/>
      <c r="C2514" s="313" t="s">
        <v>729</v>
      </c>
      <c r="D2514" s="173"/>
      <c r="E2514" s="1786"/>
      <c r="F2514" s="1787"/>
      <c r="G2514" s="710"/>
      <c r="H2514" s="710"/>
      <c r="I2514" s="710"/>
      <c r="J2514" s="711"/>
      <c r="K2514" s="684">
        <f t="shared" si="2256"/>
        <v>1</v>
      </c>
      <c r="L2514" s="708">
        <v>1</v>
      </c>
      <c r="M2514" s="709">
        <f>IF(B2514="",1,B2514)</f>
        <v>1</v>
      </c>
      <c r="N2514" s="362" t="str">
        <f t="shared" si="2214"/>
        <v/>
      </c>
      <c r="O2514" s="1763" t="str">
        <f t="shared" si="2215"/>
        <v/>
      </c>
      <c r="P2514" s="1764" t="str">
        <f t="shared" si="2216"/>
        <v/>
      </c>
      <c r="Q2514" s="120" t="str">
        <f t="shared" si="2217"/>
        <v/>
      </c>
    </row>
    <row r="2515" spans="1:20" s="690" customFormat="1" ht="18" customHeight="1">
      <c r="A2515" s="1767"/>
      <c r="B2515" s="1851"/>
      <c r="C2515" s="1894" t="s">
        <v>3377</v>
      </c>
      <c r="D2515" s="1582"/>
      <c r="E2515" s="1780"/>
      <c r="F2515" s="1782"/>
      <c r="G2515" s="1761"/>
      <c r="H2515" s="1761"/>
      <c r="I2515" s="1761"/>
      <c r="J2515" s="689"/>
      <c r="K2515" s="684">
        <f t="shared" si="2256"/>
        <v>1</v>
      </c>
      <c r="L2515" s="708">
        <v>1</v>
      </c>
      <c r="M2515" s="709">
        <f t="shared" ref="M2515:M2521" si="2258">IF(B2515="",1,B2515)</f>
        <v>1</v>
      </c>
      <c r="N2515" s="362" t="str">
        <f t="shared" si="2214"/>
        <v/>
      </c>
      <c r="O2515" s="1763" t="str">
        <f t="shared" si="2215"/>
        <v/>
      </c>
      <c r="P2515" s="1764" t="str">
        <f t="shared" si="2216"/>
        <v/>
      </c>
      <c r="Q2515" s="120" t="str">
        <f t="shared" si="2217"/>
        <v/>
      </c>
      <c r="R2515" s="185"/>
    </row>
    <row r="2516" spans="1:20" s="690" customFormat="1" ht="18" customHeight="1">
      <c r="A2516" s="1767"/>
      <c r="B2516" s="1781">
        <v>1</v>
      </c>
      <c r="C2516" s="1420" t="str">
        <f t="shared" ref="C2516:C2518" si="2259">VLOOKUP(D2516,base_datos,6,FALSE)</f>
        <v>ITM Caja Moldeada 3x100A (reg.[0.7-1.0] In) - XT1B160-100A-3P-TMD - 25kA@230Vac, 18kA@415Vac, 18kA@250Vdc - marca ABB.</v>
      </c>
      <c r="D2516" s="1901" t="s">
        <v>4374</v>
      </c>
      <c r="E2516" s="1791">
        <f t="shared" ref="E2516:E2521" si="2260">VLOOKUP(D2516,base_datos,5,FALSE)</f>
        <v>129.57999999999998</v>
      </c>
      <c r="F2516" s="1782">
        <f t="shared" ref="F2516:F2521" si="2261">+E2516*B2516</f>
        <v>129.57999999999998</v>
      </c>
      <c r="G2516" s="1951"/>
      <c r="H2516" s="1761"/>
      <c r="I2516" s="1761"/>
      <c r="J2516" s="1783"/>
      <c r="K2516" s="684">
        <f t="shared" si="2256"/>
        <v>1</v>
      </c>
      <c r="L2516" s="708">
        <v>1</v>
      </c>
      <c r="M2516" s="709">
        <f t="shared" si="2258"/>
        <v>1</v>
      </c>
      <c r="N2516" s="362">
        <f t="shared" si="2214"/>
        <v>1</v>
      </c>
      <c r="O2516" s="1763" t="str">
        <f t="shared" si="2215"/>
        <v>1SDA066807R1</v>
      </c>
      <c r="P2516" s="1764" t="str">
        <f t="shared" si="2216"/>
        <v>ITM Caja Moldeada 3x100A (reg.[0.7-1.0] In) - XT1B160-100A-3P-TMD - 25kA@230Vac, 18kA@415Vac, 18kA@250Vdc - marca ABB.</v>
      </c>
      <c r="Q2516" s="120" t="str">
        <f t="shared" si="2217"/>
        <v>XT1B160-100A-3P-TMD</v>
      </c>
      <c r="R2516" s="185"/>
    </row>
    <row r="2517" spans="1:20" s="690" customFormat="1" ht="18" customHeight="1">
      <c r="A2517" s="1767"/>
      <c r="B2517" s="1781">
        <v>1</v>
      </c>
      <c r="C2517" s="1420" t="str">
        <f t="shared" ref="C2517" si="2262">VLOOKUP(D2517,base_datos,6,FALSE)</f>
        <v>ITM Caja Moldeada 3x32A (reg.[0.7-1.0] In) - XT1B160-32A-3P-TMD - 25kA@230Vac, 18kA@415Vac, 18kA@250Vdc - marca ABB.</v>
      </c>
      <c r="D2517" s="1901" t="s">
        <v>4364</v>
      </c>
      <c r="E2517" s="1791">
        <f t="shared" si="2260"/>
        <v>120.37</v>
      </c>
      <c r="F2517" s="1782">
        <f t="shared" ref="F2517" si="2263">+E2517*B2517</f>
        <v>120.37</v>
      </c>
      <c r="G2517" s="1951"/>
      <c r="H2517" s="1761"/>
      <c r="I2517" s="1761"/>
      <c r="J2517" s="1783"/>
      <c r="K2517" s="684">
        <f t="shared" si="2256"/>
        <v>1</v>
      </c>
      <c r="L2517" s="708">
        <v>1</v>
      </c>
      <c r="M2517" s="709">
        <f t="shared" ref="M2517" si="2264">IF(B2517="",1,B2517)</f>
        <v>1</v>
      </c>
      <c r="N2517" s="362">
        <f t="shared" ref="N2517" si="2265">IF(O2517&lt;&gt;"",K2517*L2517*M2517,"")</f>
        <v>1</v>
      </c>
      <c r="O2517" s="1763" t="str">
        <f t="shared" ref="O2517" si="2266">IF(D2517&lt;&gt;"",IF(VLOOKUP(D2517,base_datos,7,FALSE)&lt;&gt;"",VLOOKUP(D2517,base_datos,7,FALSE),""),"")</f>
        <v>1SDA066802R1</v>
      </c>
      <c r="P2517" s="1764" t="str">
        <f t="shared" ref="P2517" si="2267">IF(O2517&lt;&gt;"",VLOOKUP(D2517,base_datos,6,FALSE),"")</f>
        <v>ITM Caja Moldeada 3x32A (reg.[0.7-1.0] In) - XT1B160-32A-3P-TMD - 25kA@230Vac, 18kA@415Vac, 18kA@250Vdc - marca ABB.</v>
      </c>
      <c r="Q2517" s="120" t="str">
        <f t="shared" ref="Q2517" si="2268">IF(O2517&lt;&gt;"",D2517,"")</f>
        <v>XT1B160-32A-3P-TMD</v>
      </c>
      <c r="R2517" s="185"/>
    </row>
    <row r="2518" spans="1:20" s="2434" customFormat="1" ht="18" customHeight="1">
      <c r="A2518" s="2464"/>
      <c r="B2518" s="2435">
        <v>3</v>
      </c>
      <c r="C2518" s="2475" t="str">
        <f t="shared" si="2259"/>
        <v>ITM Caja Moldeada 2x32A - A1N/P125-32A-2P-TMF - 50kA@230Vac, 36kA@400Vac, 10kA@125Vdc - marca ABB.</v>
      </c>
      <c r="D2518" s="2484" t="s">
        <v>1175</v>
      </c>
      <c r="E2518" s="2482">
        <f t="shared" si="2260"/>
        <v>59.769999999999996</v>
      </c>
      <c r="F2518" s="2422">
        <f t="shared" si="2261"/>
        <v>179.31</v>
      </c>
      <c r="G2518" s="2485"/>
      <c r="H2518" s="2424"/>
      <c r="I2518" s="2424"/>
      <c r="J2518" s="2425"/>
      <c r="K2518" s="2426">
        <f t="shared" si="2256"/>
        <v>1</v>
      </c>
      <c r="L2518" s="2463">
        <v>1</v>
      </c>
      <c r="M2518" s="2428">
        <f t="shared" si="2258"/>
        <v>3</v>
      </c>
      <c r="N2518" s="2429">
        <f t="shared" si="2214"/>
        <v>3</v>
      </c>
      <c r="O2518" s="2430" t="str">
        <f t="shared" si="2215"/>
        <v>1SDA069555R1</v>
      </c>
      <c r="P2518" s="2431" t="str">
        <f t="shared" si="2216"/>
        <v>ITM Caja Moldeada 2x32A - A1N/P125-32A-2P-TMF - 50kA@230Vac, 36kA@400Vac, 10kA@125Vdc - marca ABB.</v>
      </c>
      <c r="Q2518" s="2432" t="str">
        <f t="shared" si="2217"/>
        <v>A1N/P125-32A-2P-TMF</v>
      </c>
      <c r="R2518" s="2433"/>
    </row>
    <row r="2519" spans="1:20" s="2434" customFormat="1" ht="18" customHeight="1">
      <c r="A2519" s="2464"/>
      <c r="B2519" s="2435">
        <v>3</v>
      </c>
      <c r="C2519" s="2475" t="str">
        <f t="shared" ref="C2519" si="2269">VLOOKUP(D2519,base_datos,6,FALSE)</f>
        <v>ITM Caja Moldeada 2x20A - A1N/P125-20A-2P-TMF - 50kA@230Vac, 36kA@400Vac, 10kA@125Vdc - marca ABB.</v>
      </c>
      <c r="D2519" s="2484" t="s">
        <v>1173</v>
      </c>
      <c r="E2519" s="2482">
        <f t="shared" si="2260"/>
        <v>59.769999999999996</v>
      </c>
      <c r="F2519" s="2422">
        <f t="shared" si="2261"/>
        <v>179.31</v>
      </c>
      <c r="G2519" s="2485"/>
      <c r="H2519" s="2424"/>
      <c r="I2519" s="2424"/>
      <c r="J2519" s="2425"/>
      <c r="K2519" s="2426">
        <f t="shared" si="2256"/>
        <v>1</v>
      </c>
      <c r="L2519" s="2463">
        <v>1</v>
      </c>
      <c r="M2519" s="2428">
        <f t="shared" si="2258"/>
        <v>3</v>
      </c>
      <c r="N2519" s="2429">
        <f t="shared" si="2214"/>
        <v>3</v>
      </c>
      <c r="O2519" s="2430" t="str">
        <f t="shared" si="2215"/>
        <v>1SDA069552R1</v>
      </c>
      <c r="P2519" s="2431" t="str">
        <f t="shared" si="2216"/>
        <v>ITM Caja Moldeada 2x20A - A1N/P125-20A-2P-TMF - 50kA@230Vac, 36kA@400Vac, 10kA@125Vdc - marca ABB.</v>
      </c>
      <c r="Q2519" s="2432" t="str">
        <f t="shared" si="2217"/>
        <v>A1N/P125-20A-2P-TMF</v>
      </c>
      <c r="R2519" s="2433"/>
    </row>
    <row r="2520" spans="1:20" s="2434" customFormat="1" ht="18" customHeight="1">
      <c r="A2520" s="2464"/>
      <c r="B2520" s="2435">
        <v>3</v>
      </c>
      <c r="C2520" s="2475" t="str">
        <f t="shared" ref="C2520" si="2270">VLOOKUP(D2520,base_datos,6,FALSE)</f>
        <v>ITM Caja Moldeada 2x16A - A1N/P125-16A-2P-TMF - 50kA@230Vac, 36kA@400Vac, 10kA@125Vdc - marca ABB.</v>
      </c>
      <c r="D2520" s="2484" t="s">
        <v>1172</v>
      </c>
      <c r="E2520" s="2482">
        <f t="shared" si="2260"/>
        <v>59.769999999999996</v>
      </c>
      <c r="F2520" s="2422">
        <f t="shared" si="2261"/>
        <v>179.31</v>
      </c>
      <c r="G2520" s="2485"/>
      <c r="H2520" s="2424"/>
      <c r="I2520" s="2424"/>
      <c r="J2520" s="2425"/>
      <c r="K2520" s="2426">
        <f t="shared" si="2256"/>
        <v>1</v>
      </c>
      <c r="L2520" s="2463">
        <v>1</v>
      </c>
      <c r="M2520" s="2428">
        <f t="shared" si="2258"/>
        <v>3</v>
      </c>
      <c r="N2520" s="2429">
        <f t="shared" si="2214"/>
        <v>3</v>
      </c>
      <c r="O2520" s="2430" t="str">
        <f t="shared" si="2215"/>
        <v>1SDA069551R1</v>
      </c>
      <c r="P2520" s="2431" t="str">
        <f t="shared" si="2216"/>
        <v>ITM Caja Moldeada 2x16A - A1N/P125-16A-2P-TMF - 50kA@230Vac, 36kA@400Vac, 10kA@125Vdc - marca ABB.</v>
      </c>
      <c r="Q2520" s="2432" t="str">
        <f t="shared" si="2217"/>
        <v>A1N/P125-16A-2P-TMF</v>
      </c>
      <c r="R2520" s="2433"/>
    </row>
    <row r="2521" spans="1:20" s="690" customFormat="1" ht="18" customHeight="1">
      <c r="A2521" s="1767"/>
      <c r="B2521" s="1781">
        <v>1</v>
      </c>
      <c r="C2521" s="1420" t="str">
        <f t="shared" ref="C2521" si="2271">VLOOKUP(D2521,base_datos,6,FALSE)</f>
        <v>Espacio de reserva monofasica - Riel-Din.</v>
      </c>
      <c r="D2521" s="1901" t="s">
        <v>1042</v>
      </c>
      <c r="E2521" s="1791">
        <f t="shared" si="2260"/>
        <v>1.5</v>
      </c>
      <c r="F2521" s="1782">
        <f t="shared" si="2261"/>
        <v>1.5</v>
      </c>
      <c r="G2521" s="1761"/>
      <c r="H2521" s="1761"/>
      <c r="I2521" s="1761"/>
      <c r="J2521" s="1783"/>
      <c r="K2521" s="684">
        <f t="shared" si="2256"/>
        <v>1</v>
      </c>
      <c r="L2521" s="708">
        <v>1</v>
      </c>
      <c r="M2521" s="709">
        <f t="shared" si="2258"/>
        <v>1</v>
      </c>
      <c r="N2521" s="362" t="str">
        <f t="shared" si="2214"/>
        <v/>
      </c>
      <c r="O2521" s="1763" t="str">
        <f t="shared" si="2215"/>
        <v/>
      </c>
      <c r="P2521" s="1764" t="str">
        <f t="shared" si="2216"/>
        <v/>
      </c>
      <c r="Q2521" s="120" t="str">
        <f t="shared" si="2217"/>
        <v/>
      </c>
      <c r="R2521" s="185"/>
    </row>
    <row r="2522" spans="1:20" s="185" customFormat="1">
      <c r="A2522" s="692"/>
      <c r="B2522" s="714"/>
      <c r="C2522" s="1893" t="s">
        <v>729</v>
      </c>
      <c r="D2522" s="2021"/>
      <c r="E2522" s="1786"/>
      <c r="F2522" s="1787"/>
      <c r="G2522" s="710"/>
      <c r="H2522" s="710"/>
      <c r="I2522" s="710"/>
      <c r="J2522" s="711"/>
      <c r="K2522" s="684">
        <f t="shared" si="2256"/>
        <v>1</v>
      </c>
      <c r="L2522" s="363">
        <v>1</v>
      </c>
      <c r="M2522" s="709">
        <f>IF(B2522="",1,B2522)</f>
        <v>1</v>
      </c>
      <c r="N2522" s="362" t="str">
        <f t="shared" si="2214"/>
        <v/>
      </c>
      <c r="O2522" s="1763" t="str">
        <f t="shared" si="2215"/>
        <v/>
      </c>
      <c r="P2522" s="1764" t="str">
        <f t="shared" si="2216"/>
        <v/>
      </c>
      <c r="Q2522" s="120" t="str">
        <f t="shared" si="2217"/>
        <v/>
      </c>
    </row>
    <row r="2523" spans="1:20" s="315" customFormat="1" ht="12.75" customHeight="1">
      <c r="A2523" s="2271"/>
      <c r="B2523" s="2272">
        <v>1</v>
      </c>
      <c r="C2523" s="2281" t="s">
        <v>13366</v>
      </c>
      <c r="D2523" s="1935"/>
      <c r="E2523" s="2287"/>
      <c r="F2523" s="2257">
        <f>+SUM(F2524:F2527)*(B2523-1)</f>
        <v>0</v>
      </c>
      <c r="G2523" s="712"/>
      <c r="H2523" s="712"/>
      <c r="I2523" s="712"/>
      <c r="J2523" s="713"/>
      <c r="K2523" s="684">
        <f t="shared" si="2256"/>
        <v>1</v>
      </c>
      <c r="L2523" s="2258">
        <v>1</v>
      </c>
      <c r="M2523" s="120">
        <f t="shared" ref="M2523:M2528" si="2272">IF(B2523="",1,B2523)</f>
        <v>1</v>
      </c>
      <c r="N2523" s="112" t="str">
        <f t="shared" ref="N2523:N2528" si="2273">IF(O2523&lt;&gt;"",K2523*L2523*M2523,"")</f>
        <v/>
      </c>
      <c r="O2523" s="112" t="str">
        <f t="shared" ref="O2523:O2528" si="2274">IF(D2523&lt;&gt;"",IF(VLOOKUP(D2523,base_datos,7,FALSE)&lt;&gt;"",VLOOKUP(D2523,base_datos,7,FALSE),""),"")</f>
        <v/>
      </c>
      <c r="P2523" s="120" t="str">
        <f t="shared" ref="P2523:P2528" si="2275">IF(O2523&lt;&gt;"",VLOOKUP(D2523,base_datos,6,FALSE),"")</f>
        <v/>
      </c>
      <c r="Q2523" s="120" t="str">
        <f t="shared" ref="Q2523:Q2528" si="2276">IF(O2523&lt;&gt;"",D2523,"")</f>
        <v/>
      </c>
      <c r="S2523" s="112" t="str">
        <f t="shared" ref="S2523:S2528" si="2277">IF(O2523&lt;&gt;"",VLOOKUP(D2523,base_datos,9,FALSE),"")</f>
        <v/>
      </c>
      <c r="T2523" s="2128"/>
    </row>
    <row r="2524" spans="1:20" s="690" customFormat="1" ht="18" customHeight="1">
      <c r="A2524" s="2273"/>
      <c r="B2524" s="1781">
        <v>1</v>
      </c>
      <c r="C2524" s="1420" t="str">
        <f t="shared" ref="C2524:C2527" si="2278">VLOOKUP(D2524,base_datos,6,FALSE)</f>
        <v>Calefactor resistivo 60W, modelo RACM - marca FANDIS.</v>
      </c>
      <c r="D2524" s="1899" t="s">
        <v>3298</v>
      </c>
      <c r="E2524" s="2288">
        <f t="shared" ref="E2524" si="2279">VLOOKUP(D2524,base_datos,5,FALSE)</f>
        <v>127.1</v>
      </c>
      <c r="F2524" s="1782">
        <f>+E2524*B2524</f>
        <v>127.1</v>
      </c>
      <c r="G2524" s="1761"/>
      <c r="H2524" s="1761"/>
      <c r="I2524" s="1761"/>
      <c r="J2524" s="689"/>
      <c r="K2524" s="684">
        <f t="shared" si="2256"/>
        <v>1</v>
      </c>
      <c r="L2524" s="2258">
        <v>1</v>
      </c>
      <c r="M2524" s="120">
        <f t="shared" si="2272"/>
        <v>1</v>
      </c>
      <c r="N2524" s="112">
        <f t="shared" si="2273"/>
        <v>1</v>
      </c>
      <c r="O2524" s="112" t="str">
        <f t="shared" si="2274"/>
        <v>RACM-60</v>
      </c>
      <c r="P2524" s="120" t="str">
        <f t="shared" si="2275"/>
        <v>Calefactor resistivo 60W, modelo RACM - marca FANDIS.</v>
      </c>
      <c r="Q2524" s="120" t="str">
        <f t="shared" si="2276"/>
        <v>CALEFACT-60W_FAND</v>
      </c>
      <c r="S2524" s="112" t="str">
        <f t="shared" si="2277"/>
        <v>FANDIS</v>
      </c>
      <c r="T2524" s="1765"/>
    </row>
    <row r="2525" spans="1:20" s="690" customFormat="1" ht="18" customHeight="1">
      <c r="A2525" s="2273"/>
      <c r="B2525" s="1781">
        <v>1</v>
      </c>
      <c r="C2525" s="1420" t="str">
        <f t="shared" si="2278"/>
        <v>Termostato para ventilación - 1NA - 230V - marca FANDIS.</v>
      </c>
      <c r="D2525" s="1899" t="s">
        <v>3294</v>
      </c>
      <c r="E2525" s="2288">
        <f t="shared" ref="E2525:E2527" si="2280">VLOOKUP(D2525,base_datos,5,FALSE)</f>
        <v>41.58</v>
      </c>
      <c r="F2525" s="1782">
        <f>+E2525*B2525</f>
        <v>41.58</v>
      </c>
      <c r="G2525" s="1761"/>
      <c r="H2525" s="1761"/>
      <c r="I2525" s="1761"/>
      <c r="J2525" s="689"/>
      <c r="K2525" s="684">
        <f t="shared" si="2256"/>
        <v>1</v>
      </c>
      <c r="L2525" s="2258">
        <v>1</v>
      </c>
      <c r="M2525" s="120">
        <f t="shared" si="2272"/>
        <v>1</v>
      </c>
      <c r="N2525" s="112">
        <f t="shared" si="2273"/>
        <v>1</v>
      </c>
      <c r="O2525" s="112" t="str">
        <f t="shared" si="2274"/>
        <v>TRT-10A230V-NO</v>
      </c>
      <c r="P2525" s="120" t="str">
        <f t="shared" si="2275"/>
        <v>Termostato para ventilación - 1NA - 230V - marca FANDIS.</v>
      </c>
      <c r="Q2525" s="120" t="str">
        <f t="shared" si="2276"/>
        <v>TRT-1NA</v>
      </c>
      <c r="S2525" s="112" t="str">
        <f t="shared" si="2277"/>
        <v>FANDIS</v>
      </c>
      <c r="T2525" s="1765"/>
    </row>
    <row r="2526" spans="1:20" s="320" customFormat="1" ht="12.75" customHeight="1">
      <c r="A2526" s="2274"/>
      <c r="B2526" s="2275">
        <v>1</v>
      </c>
      <c r="C2526" s="2282" t="str">
        <f t="shared" si="2278"/>
        <v>Base portafusibles + Fusibles de protección para control.</v>
      </c>
      <c r="D2526" s="1579" t="s">
        <v>453</v>
      </c>
      <c r="E2526" s="2289">
        <f t="shared" si="2280"/>
        <v>8.1750000000000007</v>
      </c>
      <c r="F2526" s="2264">
        <f>+E2526*B2526</f>
        <v>8.1750000000000007</v>
      </c>
      <c r="G2526" s="2276"/>
      <c r="H2526" s="2276"/>
      <c r="I2526" s="2276"/>
      <c r="J2526" s="722"/>
      <c r="K2526" s="684">
        <f t="shared" si="2256"/>
        <v>1</v>
      </c>
      <c r="L2526" s="2258">
        <v>1</v>
      </c>
      <c r="M2526" s="120">
        <f t="shared" si="2272"/>
        <v>1</v>
      </c>
      <c r="N2526" s="112" t="str">
        <f t="shared" si="2273"/>
        <v/>
      </c>
      <c r="O2526" s="112" t="str">
        <f t="shared" si="2274"/>
        <v/>
      </c>
      <c r="P2526" s="120" t="str">
        <f t="shared" si="2275"/>
        <v/>
      </c>
      <c r="Q2526" s="120" t="str">
        <f t="shared" si="2276"/>
        <v/>
      </c>
      <c r="R2526" s="185"/>
      <c r="S2526" s="112" t="str">
        <f t="shared" si="2277"/>
        <v/>
      </c>
      <c r="T2526" s="709"/>
    </row>
    <row r="2527" spans="1:20" s="320" customFormat="1" ht="12.75" customHeight="1">
      <c r="A2527" s="2274"/>
      <c r="B2527" s="2277">
        <v>1</v>
      </c>
      <c r="C2527" s="2282" t="str">
        <f t="shared" si="2278"/>
        <v>Borne 4mm2.</v>
      </c>
      <c r="D2527" s="1579" t="s">
        <v>437</v>
      </c>
      <c r="E2527" s="2260">
        <f t="shared" si="2280"/>
        <v>2.5</v>
      </c>
      <c r="F2527" s="2260">
        <f>+E2527*B2527</f>
        <v>2.5</v>
      </c>
      <c r="G2527" s="2276"/>
      <c r="H2527" s="2276"/>
      <c r="I2527" s="2276"/>
      <c r="J2527" s="722"/>
      <c r="K2527" s="684">
        <f t="shared" si="2256"/>
        <v>1</v>
      </c>
      <c r="L2527" s="2258">
        <v>1</v>
      </c>
      <c r="M2527" s="120">
        <f t="shared" si="2272"/>
        <v>1</v>
      </c>
      <c r="N2527" s="112" t="str">
        <f t="shared" si="2273"/>
        <v/>
      </c>
      <c r="O2527" s="112" t="str">
        <f t="shared" si="2274"/>
        <v/>
      </c>
      <c r="P2527" s="120" t="str">
        <f t="shared" si="2275"/>
        <v/>
      </c>
      <c r="Q2527" s="120" t="str">
        <f t="shared" si="2276"/>
        <v/>
      </c>
      <c r="R2527" s="185"/>
      <c r="S2527" s="112" t="str">
        <f t="shared" si="2277"/>
        <v/>
      </c>
      <c r="T2527" s="709"/>
    </row>
    <row r="2528" spans="1:20" s="185" customFormat="1" ht="12.75" customHeight="1">
      <c r="A2528" s="2262"/>
      <c r="B2528" s="1760"/>
      <c r="C2528" s="1893" t="s">
        <v>729</v>
      </c>
      <c r="D2528" s="169"/>
      <c r="E2528" s="2256"/>
      <c r="F2528" s="2278"/>
      <c r="G2528" s="710"/>
      <c r="H2528" s="710"/>
      <c r="I2528" s="710"/>
      <c r="J2528" s="711"/>
      <c r="K2528" s="684">
        <f t="shared" si="2256"/>
        <v>1</v>
      </c>
      <c r="L2528" s="2258">
        <v>1</v>
      </c>
      <c r="M2528" s="120">
        <f t="shared" si="2272"/>
        <v>1</v>
      </c>
      <c r="N2528" s="112" t="str">
        <f t="shared" si="2273"/>
        <v/>
      </c>
      <c r="O2528" s="112" t="str">
        <f t="shared" si="2274"/>
        <v/>
      </c>
      <c r="P2528" s="120" t="str">
        <f t="shared" si="2275"/>
        <v/>
      </c>
      <c r="Q2528" s="120" t="str">
        <f t="shared" si="2276"/>
        <v/>
      </c>
      <c r="S2528" s="112" t="str">
        <f t="shared" si="2277"/>
        <v/>
      </c>
      <c r="T2528" s="118"/>
    </row>
    <row r="2529" spans="1:18" s="1236" customFormat="1" ht="18" customHeight="1">
      <c r="A2529" s="1767"/>
      <c r="B2529" s="1853">
        <v>1</v>
      </c>
      <c r="C2529" s="1895" t="s">
        <v>12364</v>
      </c>
      <c r="D2529" s="1902"/>
      <c r="E2529" s="1792"/>
      <c r="F2529" s="1793"/>
      <c r="G2529" s="1784"/>
      <c r="H2529" s="1784"/>
      <c r="I2529" s="1784"/>
      <c r="J2529" s="1182"/>
      <c r="K2529" s="684">
        <f>+K2522</f>
        <v>1</v>
      </c>
      <c r="L2529" s="708">
        <v>1</v>
      </c>
      <c r="M2529" s="709">
        <f t="shared" ref="M2529:M2541" si="2281">IF(B2529="",1,B2529)</f>
        <v>1</v>
      </c>
      <c r="N2529" s="362" t="str">
        <f t="shared" si="2214"/>
        <v/>
      </c>
      <c r="O2529" s="1763" t="str">
        <f t="shared" si="2215"/>
        <v/>
      </c>
      <c r="P2529" s="1764" t="str">
        <f t="shared" si="2216"/>
        <v/>
      </c>
      <c r="Q2529" s="120" t="str">
        <f t="shared" si="2217"/>
        <v/>
      </c>
      <c r="R2529" s="185"/>
    </row>
    <row r="2530" spans="1:18" s="695" customFormat="1" ht="18" customHeight="1">
      <c r="A2530" s="693"/>
      <c r="B2530" s="1922">
        <v>1</v>
      </c>
      <c r="C2530" s="1848" t="str">
        <f t="shared" ref="C2530" si="2282">VLOOKUP(D2530,base_datos,6,FALSE)</f>
        <v>Placa lamicoid rotulación de 3mm de espesor, fondo negro y letras blancas.</v>
      </c>
      <c r="D2530" s="1886" t="s">
        <v>8570</v>
      </c>
      <c r="E2530" s="1795">
        <f t="shared" ref="E2530" si="2283">VLOOKUP(D2530,base_datos,5,FALSE)</f>
        <v>2.2000000000000002</v>
      </c>
      <c r="F2530" s="1796">
        <f t="shared" ref="F2530" si="2284">+E2530*B2530</f>
        <v>2.2000000000000002</v>
      </c>
      <c r="G2530" s="696"/>
      <c r="H2530" s="696"/>
      <c r="I2530" s="696"/>
      <c r="J2530" s="697"/>
      <c r="K2530" s="684">
        <f t="shared" si="2256"/>
        <v>1</v>
      </c>
      <c r="L2530" s="708">
        <v>1</v>
      </c>
      <c r="M2530" s="709">
        <f t="shared" si="2281"/>
        <v>1</v>
      </c>
      <c r="N2530" s="362">
        <f t="shared" si="2214"/>
        <v>1</v>
      </c>
      <c r="O2530" s="1763" t="str">
        <f t="shared" si="2215"/>
        <v>Placa lamicoid p/distr.</v>
      </c>
      <c r="P2530" s="1764" t="str">
        <f t="shared" si="2216"/>
        <v>Placa lamicoid rotulación de 3mm de espesor, fondo negro y letras blancas.</v>
      </c>
      <c r="Q2530" s="120" t="str">
        <f t="shared" si="2217"/>
        <v>Placa lamicoid p/distr.</v>
      </c>
      <c r="R2530" s="185"/>
    </row>
    <row r="2531" spans="1:18" s="1236" customFormat="1" ht="18" customHeight="1">
      <c r="A2531" s="1767"/>
      <c r="B2531" s="1853">
        <v>1</v>
      </c>
      <c r="C2531" s="1895" t="s">
        <v>12474</v>
      </c>
      <c r="D2531" s="1902"/>
      <c r="E2531" s="1792"/>
      <c r="F2531" s="1793"/>
      <c r="G2531" s="1784"/>
      <c r="H2531" s="1784"/>
      <c r="I2531" s="1784"/>
      <c r="J2531" s="1182"/>
      <c r="K2531" s="684">
        <f t="shared" si="2256"/>
        <v>1</v>
      </c>
      <c r="L2531" s="708">
        <v>1</v>
      </c>
      <c r="M2531" s="709">
        <f t="shared" si="2281"/>
        <v>1</v>
      </c>
      <c r="N2531" s="362" t="str">
        <f t="shared" si="2214"/>
        <v/>
      </c>
      <c r="O2531" s="1763" t="str">
        <f t="shared" si="2215"/>
        <v/>
      </c>
      <c r="P2531" s="1764" t="str">
        <f t="shared" si="2216"/>
        <v/>
      </c>
      <c r="Q2531" s="120" t="str">
        <f t="shared" si="2217"/>
        <v/>
      </c>
      <c r="R2531" s="185"/>
    </row>
    <row r="2532" spans="1:18" s="1236" customFormat="1" ht="18" customHeight="1">
      <c r="A2532" s="1767"/>
      <c r="B2532" s="1853">
        <v>1</v>
      </c>
      <c r="C2532" s="1848" t="str">
        <f>VLOOKUP(D2532,base_datos,6,FALSE)</f>
        <v>Embalaje especial completamente cerrado para tablero adosado de 1600x600x220mm</v>
      </c>
      <c r="D2532" s="1902" t="s">
        <v>12453</v>
      </c>
      <c r="E2532" s="1795">
        <f t="shared" ref="E2532" si="2285">VLOOKUP(D2532,base_datos,5,FALSE)</f>
        <v>271.40000000000003</v>
      </c>
      <c r="F2532" s="1796">
        <f t="shared" ref="F2532" si="2286">+E2532*B2532</f>
        <v>271.40000000000003</v>
      </c>
      <c r="G2532" s="1784"/>
      <c r="H2532" s="1784"/>
      <c r="I2532" s="1784"/>
      <c r="J2532" s="1182"/>
      <c r="K2532" s="684">
        <f t="shared" si="2256"/>
        <v>1</v>
      </c>
      <c r="L2532" s="708">
        <v>1</v>
      </c>
      <c r="M2532" s="709">
        <f t="shared" si="2281"/>
        <v>1</v>
      </c>
      <c r="N2532" s="362">
        <f t="shared" si="2214"/>
        <v>1</v>
      </c>
      <c r="O2532" s="1763" t="str">
        <f t="shared" si="2215"/>
        <v>EMBAL_ADOS_1600x600x220mm</v>
      </c>
      <c r="P2532" s="1764" t="str">
        <f t="shared" si="2216"/>
        <v>Embalaje especial completamente cerrado para tablero adosado de 1600x600x220mm</v>
      </c>
      <c r="Q2532" s="120" t="str">
        <f t="shared" si="2217"/>
        <v>EMBAL_ADOS_1600x600x220mm</v>
      </c>
      <c r="R2532" s="185"/>
    </row>
    <row r="2533" spans="1:18" s="185" customFormat="1" ht="18" customHeight="1">
      <c r="A2533" s="1785"/>
      <c r="B2533" s="714"/>
      <c r="C2533" s="1893" t="s">
        <v>729</v>
      </c>
      <c r="D2533" s="173"/>
      <c r="E2533" s="1786"/>
      <c r="F2533" s="1787"/>
      <c r="G2533" s="710"/>
      <c r="H2533" s="710"/>
      <c r="I2533" s="710"/>
      <c r="J2533" s="711"/>
      <c r="K2533" s="684">
        <f t="shared" si="2256"/>
        <v>1</v>
      </c>
      <c r="L2533" s="708">
        <v>1</v>
      </c>
      <c r="M2533" s="709">
        <f t="shared" si="2281"/>
        <v>1</v>
      </c>
      <c r="N2533" s="362" t="str">
        <f t="shared" si="2214"/>
        <v/>
      </c>
      <c r="O2533" s="1763" t="str">
        <f t="shared" si="2215"/>
        <v/>
      </c>
      <c r="P2533" s="1764" t="str">
        <f t="shared" si="2216"/>
        <v/>
      </c>
      <c r="Q2533" s="120" t="str">
        <f t="shared" si="2217"/>
        <v/>
      </c>
    </row>
    <row r="2534" spans="1:18" s="695" customFormat="1" ht="18" customHeight="1">
      <c r="A2534" s="693"/>
      <c r="B2534" s="1794">
        <v>1</v>
      </c>
      <c r="C2534" s="1420" t="s">
        <v>316</v>
      </c>
      <c r="D2534" s="1790"/>
      <c r="E2534" s="1795"/>
      <c r="F2534" s="1796"/>
      <c r="G2534" s="696"/>
      <c r="H2534" s="696"/>
      <c r="I2534" s="696"/>
      <c r="J2534" s="697"/>
      <c r="K2534" s="684">
        <f t="shared" si="2256"/>
        <v>1</v>
      </c>
      <c r="L2534" s="708">
        <v>1</v>
      </c>
      <c r="M2534" s="709">
        <f t="shared" si="2281"/>
        <v>1</v>
      </c>
      <c r="N2534" s="362" t="str">
        <f t="shared" si="2214"/>
        <v/>
      </c>
      <c r="O2534" s="1763" t="str">
        <f t="shared" si="2215"/>
        <v/>
      </c>
      <c r="P2534" s="1764" t="str">
        <f t="shared" si="2216"/>
        <v/>
      </c>
      <c r="Q2534" s="120" t="str">
        <f t="shared" si="2217"/>
        <v/>
      </c>
      <c r="R2534" s="185"/>
    </row>
    <row r="2535" spans="1:18" s="185" customFormat="1" ht="18" customHeight="1">
      <c r="A2535" s="1785"/>
      <c r="B2535" s="714"/>
      <c r="C2535" s="1893" t="s">
        <v>729</v>
      </c>
      <c r="D2535" s="173"/>
      <c r="E2535" s="1786"/>
      <c r="F2535" s="1787"/>
      <c r="G2535" s="710"/>
      <c r="H2535" s="710"/>
      <c r="I2535" s="710"/>
      <c r="J2535" s="711"/>
      <c r="K2535" s="684">
        <f t="shared" si="2256"/>
        <v>1</v>
      </c>
      <c r="L2535" s="708">
        <v>1</v>
      </c>
      <c r="M2535" s="709">
        <f t="shared" si="2281"/>
        <v>1</v>
      </c>
      <c r="N2535" s="362" t="str">
        <f t="shared" si="2214"/>
        <v/>
      </c>
      <c r="O2535" s="1763" t="str">
        <f t="shared" si="2215"/>
        <v/>
      </c>
      <c r="P2535" s="1764" t="str">
        <f t="shared" si="2216"/>
        <v/>
      </c>
      <c r="Q2535" s="120" t="str">
        <f t="shared" si="2217"/>
        <v/>
      </c>
    </row>
    <row r="2536" spans="1:18" s="897" customFormat="1" ht="18" customHeight="1">
      <c r="A2536" s="693"/>
      <c r="B2536" s="895">
        <v>13</v>
      </c>
      <c r="C2536" s="1848" t="str">
        <f>VLOOKUP(D2536,base_datos,6,FALSE)</f>
        <v>Rotulado por circuito.</v>
      </c>
      <c r="D2536" s="1579" t="s">
        <v>3067</v>
      </c>
      <c r="E2536" s="1581">
        <f>VLOOKUP(D2536,base_datos,5,FALSE)</f>
        <v>0.7</v>
      </c>
      <c r="F2536" s="1581">
        <f t="shared" ref="F2536:F2541" si="2287">+E2536*B2536</f>
        <v>9.1</v>
      </c>
      <c r="G2536" s="1772"/>
      <c r="H2536" s="1772"/>
      <c r="I2536" s="1772"/>
      <c r="J2536" s="896"/>
      <c r="K2536" s="684">
        <f t="shared" si="2256"/>
        <v>1</v>
      </c>
      <c r="L2536" s="708">
        <v>1</v>
      </c>
      <c r="M2536" s="709">
        <f t="shared" si="2281"/>
        <v>13</v>
      </c>
      <c r="N2536" s="362" t="str">
        <f t="shared" si="2214"/>
        <v/>
      </c>
      <c r="O2536" s="1763" t="str">
        <f t="shared" si="2215"/>
        <v/>
      </c>
      <c r="P2536" s="1764" t="str">
        <f t="shared" si="2216"/>
        <v/>
      </c>
      <c r="Q2536" s="120" t="str">
        <f t="shared" si="2217"/>
        <v/>
      </c>
    </row>
    <row r="2537" spans="1:18" s="897" customFormat="1" ht="18" customHeight="1">
      <c r="A2537" s="693"/>
      <c r="B2537" s="895">
        <v>1</v>
      </c>
      <c r="C2537" s="1848" t="str">
        <f>VLOOKUP(D2537,base_datos,6,FALSE)</f>
        <v>Rotulado para TAG - tablero de distribución.</v>
      </c>
      <c r="D2537" s="1579" t="s">
        <v>3066</v>
      </c>
      <c r="E2537" s="1581">
        <f>VLOOKUP(D2537,base_datos,5,FALSE)</f>
        <v>1.5</v>
      </c>
      <c r="F2537" s="1581">
        <f t="shared" si="2287"/>
        <v>1.5</v>
      </c>
      <c r="G2537" s="1772"/>
      <c r="H2537" s="1772"/>
      <c r="I2537" s="1772"/>
      <c r="J2537" s="896"/>
      <c r="K2537" s="684">
        <f t="shared" si="2256"/>
        <v>1</v>
      </c>
      <c r="L2537" s="708">
        <v>1</v>
      </c>
      <c r="M2537" s="709">
        <f t="shared" si="2281"/>
        <v>1</v>
      </c>
      <c r="N2537" s="362" t="str">
        <f t="shared" si="2214"/>
        <v/>
      </c>
      <c r="O2537" s="1763" t="str">
        <f t="shared" si="2215"/>
        <v/>
      </c>
      <c r="P2537" s="1764" t="str">
        <f t="shared" si="2216"/>
        <v/>
      </c>
      <c r="Q2537" s="120" t="str">
        <f t="shared" si="2217"/>
        <v/>
      </c>
    </row>
    <row r="2538" spans="1:18" s="1237" customFormat="1" ht="18" customHeight="1">
      <c r="A2538" s="1767"/>
      <c r="B2538" s="1773">
        <v>1</v>
      </c>
      <c r="C2538" s="1896" t="s">
        <v>11664</v>
      </c>
      <c r="D2538" s="1887"/>
      <c r="E2538" s="1581">
        <v>70</v>
      </c>
      <c r="F2538" s="1581">
        <f t="shared" si="2287"/>
        <v>70</v>
      </c>
      <c r="G2538" s="1774"/>
      <c r="H2538" s="1774"/>
      <c r="I2538" s="1774"/>
      <c r="J2538" s="1181"/>
      <c r="K2538" s="684">
        <f t="shared" si="2256"/>
        <v>1</v>
      </c>
      <c r="L2538" s="708">
        <v>1</v>
      </c>
      <c r="M2538" s="709">
        <f t="shared" si="2281"/>
        <v>1</v>
      </c>
      <c r="N2538" s="362" t="str">
        <f t="shared" si="2214"/>
        <v/>
      </c>
      <c r="O2538" s="1763" t="str">
        <f t="shared" si="2215"/>
        <v/>
      </c>
      <c r="P2538" s="1764" t="str">
        <f t="shared" si="2216"/>
        <v/>
      </c>
      <c r="Q2538" s="120" t="str">
        <f t="shared" si="2217"/>
        <v/>
      </c>
      <c r="R2538" s="1765"/>
    </row>
    <row r="2539" spans="1:18" s="1237" customFormat="1" ht="18" customHeight="1">
      <c r="A2539" s="1767"/>
      <c r="B2539" s="2093">
        <v>1</v>
      </c>
      <c r="C2539" s="694" t="s">
        <v>12552</v>
      </c>
      <c r="D2539" s="1888"/>
      <c r="E2539" s="1580">
        <f>E2541*15%</f>
        <v>24</v>
      </c>
      <c r="F2539" s="1581">
        <f t="shared" si="2287"/>
        <v>24</v>
      </c>
      <c r="G2539" s="1774"/>
      <c r="H2539" s="1774"/>
      <c r="I2539" s="1774"/>
      <c r="J2539" s="1181"/>
      <c r="K2539" s="684">
        <f t="shared" si="2256"/>
        <v>1</v>
      </c>
      <c r="L2539" s="708">
        <v>1</v>
      </c>
      <c r="M2539" s="709">
        <f t="shared" si="2281"/>
        <v>1</v>
      </c>
      <c r="N2539" s="362" t="str">
        <f t="shared" si="2214"/>
        <v/>
      </c>
      <c r="O2539" s="1763" t="str">
        <f t="shared" si="2215"/>
        <v/>
      </c>
      <c r="P2539" s="1764" t="str">
        <f t="shared" si="2216"/>
        <v/>
      </c>
      <c r="Q2539" s="120" t="str">
        <f t="shared" si="2217"/>
        <v/>
      </c>
      <c r="R2539" s="1765"/>
    </row>
    <row r="2540" spans="1:18" s="1237" customFormat="1" ht="18" customHeight="1">
      <c r="A2540" s="1767"/>
      <c r="B2540" s="1773">
        <v>1</v>
      </c>
      <c r="C2540" s="694" t="s">
        <v>12559</v>
      </c>
      <c r="D2540" s="1888"/>
      <c r="E2540" s="1999">
        <f>E2541*20%</f>
        <v>32</v>
      </c>
      <c r="F2540" s="1581">
        <f t="shared" si="2287"/>
        <v>32</v>
      </c>
      <c r="G2540" s="1774"/>
      <c r="H2540" s="1774"/>
      <c r="I2540" s="1774"/>
      <c r="J2540" s="1181"/>
      <c r="K2540" s="684">
        <f t="shared" si="2256"/>
        <v>1</v>
      </c>
      <c r="L2540" s="708">
        <v>1</v>
      </c>
      <c r="M2540" s="709">
        <f t="shared" si="2281"/>
        <v>1</v>
      </c>
      <c r="N2540" s="362" t="str">
        <f t="shared" si="2214"/>
        <v/>
      </c>
      <c r="O2540" s="1763" t="str">
        <f t="shared" si="2215"/>
        <v/>
      </c>
      <c r="P2540" s="1764" t="str">
        <f t="shared" si="2216"/>
        <v/>
      </c>
      <c r="Q2540" s="120" t="str">
        <f t="shared" si="2217"/>
        <v/>
      </c>
      <c r="R2540" s="1765"/>
    </row>
    <row r="2541" spans="1:18" s="1237" customFormat="1" ht="18" customHeight="1">
      <c r="A2541" s="1767"/>
      <c r="B2541" s="1773">
        <v>1</v>
      </c>
      <c r="C2541" s="1943" t="s">
        <v>12495</v>
      </c>
      <c r="D2541" s="1897"/>
      <c r="E2541" s="1581">
        <v>160</v>
      </c>
      <c r="F2541" s="1581">
        <f t="shared" si="2287"/>
        <v>160</v>
      </c>
      <c r="G2541" s="1774"/>
      <c r="H2541" s="1774"/>
      <c r="I2541" s="1774"/>
      <c r="J2541" s="1181"/>
      <c r="K2541" s="684">
        <f t="shared" si="2256"/>
        <v>1</v>
      </c>
      <c r="L2541" s="708">
        <v>1</v>
      </c>
      <c r="M2541" s="709">
        <f t="shared" si="2281"/>
        <v>1</v>
      </c>
      <c r="N2541" s="362" t="str">
        <f t="shared" si="2214"/>
        <v/>
      </c>
      <c r="O2541" s="1763" t="str">
        <f t="shared" si="2215"/>
        <v/>
      </c>
      <c r="P2541" s="1764" t="str">
        <f t="shared" si="2216"/>
        <v/>
      </c>
      <c r="Q2541" s="120" t="str">
        <f t="shared" si="2217"/>
        <v/>
      </c>
      <c r="R2541" s="1765"/>
    </row>
    <row r="2542" spans="1:18" s="20" customFormat="1" ht="18" customHeight="1" thickBot="1">
      <c r="A2542" s="699"/>
      <c r="B2542" s="1775"/>
      <c r="C2542" s="1776"/>
      <c r="D2542" s="1885"/>
      <c r="E2542" s="1981"/>
      <c r="F2542" s="1981"/>
      <c r="G2542" s="1777"/>
      <c r="H2542" s="1777"/>
      <c r="I2542" s="1777"/>
      <c r="J2542" s="1778"/>
      <c r="K2542" s="684"/>
      <c r="L2542" s="363"/>
      <c r="M2542" s="709"/>
      <c r="N2542" s="362" t="str">
        <f t="shared" si="2214"/>
        <v/>
      </c>
      <c r="O2542" s="1763" t="str">
        <f t="shared" si="2215"/>
        <v/>
      </c>
      <c r="P2542" s="1764" t="str">
        <f t="shared" si="2216"/>
        <v/>
      </c>
      <c r="Q2542" s="120" t="str">
        <f t="shared" si="2217"/>
        <v/>
      </c>
      <c r="R2542" s="1765"/>
    </row>
    <row r="2543" spans="1:18" s="120" customFormat="1" ht="18" customHeight="1" thickBot="1">
      <c r="A2543" s="1989">
        <v>42</v>
      </c>
      <c r="B2543" s="1852">
        <v>1</v>
      </c>
      <c r="C2543" s="1756" t="s">
        <v>12604</v>
      </c>
      <c r="D2543" s="1588"/>
      <c r="E2543" s="1589"/>
      <c r="F2543" s="1589"/>
      <c r="G2543" s="1757">
        <f>SUM(F2544:F2580)</f>
        <v>1423.5750000000003</v>
      </c>
      <c r="H2543" s="1758">
        <f>G2543*(1-$D$6)</f>
        <v>1423.5750000000003</v>
      </c>
      <c r="I2543" s="1757">
        <f>ROUNDUP(H2543*$D$5,0)</f>
        <v>4841</v>
      </c>
      <c r="J2543" s="1759">
        <f>+I2543*B2543</f>
        <v>4841</v>
      </c>
      <c r="K2543" s="1788">
        <f>B2543</f>
        <v>1</v>
      </c>
      <c r="L2543" s="363"/>
      <c r="M2543" s="684"/>
      <c r="N2543" s="362" t="str">
        <f t="shared" si="2214"/>
        <v/>
      </c>
      <c r="O2543" s="1763" t="str">
        <f t="shared" si="2215"/>
        <v/>
      </c>
      <c r="P2543" s="1764" t="str">
        <f t="shared" si="2216"/>
        <v/>
      </c>
      <c r="Q2543" s="120" t="str">
        <f t="shared" si="2217"/>
        <v/>
      </c>
      <c r="R2543" s="185"/>
    </row>
    <row r="2544" spans="1:18" s="120" customFormat="1" ht="18" customHeight="1">
      <c r="A2544" s="685" t="s">
        <v>3064</v>
      </c>
      <c r="B2544" s="1903"/>
      <c r="C2544" s="1890"/>
      <c r="D2544" s="1904"/>
      <c r="E2544" s="1789"/>
      <c r="F2544" s="1780"/>
      <c r="G2544" s="686"/>
      <c r="H2544" s="710"/>
      <c r="I2544" s="686"/>
      <c r="J2544" s="1768"/>
      <c r="K2544" s="684">
        <f t="shared" ref="K2544:K2580" si="2288">+K2543</f>
        <v>1</v>
      </c>
      <c r="L2544" s="363">
        <v>1</v>
      </c>
      <c r="M2544" s="709">
        <f t="shared" ref="M2544:M2580" si="2289">IF(B2544="",1,B2544)</f>
        <v>1</v>
      </c>
      <c r="N2544" s="362" t="str">
        <f t="shared" si="2214"/>
        <v/>
      </c>
      <c r="O2544" s="1763" t="str">
        <f t="shared" si="2215"/>
        <v/>
      </c>
      <c r="P2544" s="1764" t="str">
        <f t="shared" si="2216"/>
        <v/>
      </c>
      <c r="Q2544" s="120" t="str">
        <f t="shared" si="2217"/>
        <v/>
      </c>
    </row>
    <row r="2545" spans="1:18" s="315" customFormat="1" ht="12" customHeight="1">
      <c r="A2545" s="687" t="s">
        <v>4021</v>
      </c>
      <c r="B2545" s="2096">
        <v>1</v>
      </c>
      <c r="C2545" s="1907" t="s">
        <v>5103</v>
      </c>
      <c r="D2545" s="1935"/>
      <c r="E2545" s="1786"/>
      <c r="F2545" s="1908">
        <f>SUM(F2547:F2551)*(B2545-1)</f>
        <v>0</v>
      </c>
      <c r="G2545" s="712"/>
      <c r="H2545" s="712"/>
      <c r="I2545" s="712"/>
      <c r="J2545" s="713"/>
      <c r="K2545" s="684">
        <f t="shared" si="2288"/>
        <v>1</v>
      </c>
      <c r="L2545" s="1909">
        <f>B2545</f>
        <v>1</v>
      </c>
      <c r="M2545" s="684">
        <f t="shared" si="2289"/>
        <v>1</v>
      </c>
      <c r="N2545" s="362" t="str">
        <f t="shared" ref="N2545:N2553" si="2290">IF(O2545&lt;&gt;"",K2545*L2545*M2545,"")</f>
        <v/>
      </c>
      <c r="O2545" s="1763" t="str">
        <f t="shared" ref="O2545:O2553" si="2291">IF(D2545&lt;&gt;"",IF(VLOOKUP(D2545,base_datos,7,FALSE)&lt;&gt;"",VLOOKUP(D2545,base_datos,7,FALSE),""),"")</f>
        <v/>
      </c>
      <c r="P2545" s="1764" t="str">
        <f t="shared" ref="P2545:P2553" si="2292">IF(O2545&lt;&gt;"",VLOOKUP(D2545,base_datos,6,FALSE),"")</f>
        <v/>
      </c>
      <c r="Q2545" s="120" t="str">
        <f t="shared" ref="Q2545:Q2553" si="2293">IF(O2545&lt;&gt;"",D2545,"")</f>
        <v/>
      </c>
    </row>
    <row r="2546" spans="1:18" s="185" customFormat="1">
      <c r="A2546" s="687" t="s">
        <v>4136</v>
      </c>
      <c r="B2546" s="1910">
        <v>3</v>
      </c>
      <c r="C2546" s="1911" t="str">
        <f>VLOOKUP(D2546,base_datos,6,FALSE)</f>
        <v>Portalámpara + lampara tipo LED - color Rojo - alimentacion: 220-230Vac, d=22mm. - CL2-523R - línea compacta - marca ABB.</v>
      </c>
      <c r="D2546" s="1790" t="s">
        <v>2439</v>
      </c>
      <c r="E2546" s="1939">
        <f>VLOOKUP(D2546,base_datos,5,FALSE)</f>
        <v>12.299999999999999</v>
      </c>
      <c r="F2546" s="1912">
        <f>+E2546*B2546</f>
        <v>36.9</v>
      </c>
      <c r="G2546" s="710"/>
      <c r="H2546" s="710"/>
      <c r="I2546" s="710"/>
      <c r="J2546" s="711"/>
      <c r="K2546" s="684">
        <f>+K2544</f>
        <v>1</v>
      </c>
      <c r="L2546" s="1913">
        <f>L2544</f>
        <v>1</v>
      </c>
      <c r="M2546" s="684">
        <f t="shared" si="2289"/>
        <v>3</v>
      </c>
      <c r="N2546" s="362">
        <f t="shared" si="2290"/>
        <v>3</v>
      </c>
      <c r="O2546" s="1763" t="str">
        <f t="shared" si="2291"/>
        <v>1SFA619403R5231</v>
      </c>
      <c r="P2546" s="1764" t="str">
        <f t="shared" si="2292"/>
        <v>Portalámpara + lampara tipo LED - color Rojo - alimentacion: 220-230Vac, d=22mm. - CL2-523R - línea compacta - marca ABB.</v>
      </c>
      <c r="Q2546" s="120" t="str">
        <f t="shared" si="2293"/>
        <v>LAMP_ROJO_220V</v>
      </c>
    </row>
    <row r="2547" spans="1:18" s="185" customFormat="1">
      <c r="A2547" s="687"/>
      <c r="B2547" s="1910">
        <v>3</v>
      </c>
      <c r="C2547" s="1911" t="str">
        <f>VLOOKUP(D2547,base_datos,6,FALSE)</f>
        <v>Portalámpara + lampara tipo LED - color Verde - alimentacion: 220-230Vac, d=22mm. - CL2-523G - línea compacta - marca ABB.</v>
      </c>
      <c r="D2547" s="1790" t="s">
        <v>2440</v>
      </c>
      <c r="E2547" s="1939">
        <f>VLOOKUP(D2547,base_datos,5,FALSE)</f>
        <v>12.299999999999999</v>
      </c>
      <c r="F2547" s="1912">
        <f>+E2547*B2547</f>
        <v>36.9</v>
      </c>
      <c r="G2547" s="710"/>
      <c r="H2547" s="710"/>
      <c r="I2547" s="710"/>
      <c r="J2547" s="711"/>
      <c r="K2547" s="684">
        <f>+K2545</f>
        <v>1</v>
      </c>
      <c r="L2547" s="1913">
        <f>L2545</f>
        <v>1</v>
      </c>
      <c r="M2547" s="684">
        <f t="shared" si="2289"/>
        <v>3</v>
      </c>
      <c r="N2547" s="362">
        <f t="shared" si="2290"/>
        <v>3</v>
      </c>
      <c r="O2547" s="1763" t="str">
        <f t="shared" si="2291"/>
        <v>1SFA619403R5232</v>
      </c>
      <c r="P2547" s="1764" t="str">
        <f t="shared" si="2292"/>
        <v>Portalámpara + lampara tipo LED - color Verde - alimentacion: 220-230Vac, d=22mm. - CL2-523G - línea compacta - marca ABB.</v>
      </c>
      <c r="Q2547" s="120" t="str">
        <f t="shared" si="2293"/>
        <v>LAMP_VERDE_220V</v>
      </c>
    </row>
    <row r="2548" spans="1:18" s="1921" customFormat="1">
      <c r="A2548" s="687" t="s">
        <v>12356</v>
      </c>
      <c r="B2548" s="1914">
        <v>1</v>
      </c>
      <c r="C2548" s="1915" t="s">
        <v>3366</v>
      </c>
      <c r="D2548" s="1916"/>
      <c r="E2548" s="1917"/>
      <c r="F2548" s="1918"/>
      <c r="G2548" s="1919"/>
      <c r="H2548" s="1919"/>
      <c r="I2548" s="1919"/>
      <c r="J2548" s="1920"/>
      <c r="K2548" s="684">
        <f t="shared" si="2288"/>
        <v>1</v>
      </c>
      <c r="L2548" s="1913">
        <f>L2547</f>
        <v>1</v>
      </c>
      <c r="M2548" s="684">
        <f t="shared" si="2289"/>
        <v>1</v>
      </c>
      <c r="N2548" s="362" t="str">
        <f t="shared" si="2290"/>
        <v/>
      </c>
      <c r="O2548" s="1763" t="str">
        <f t="shared" si="2291"/>
        <v/>
      </c>
      <c r="P2548" s="1764" t="str">
        <f t="shared" si="2292"/>
        <v/>
      </c>
      <c r="Q2548" s="120" t="str">
        <f t="shared" si="2293"/>
        <v/>
      </c>
    </row>
    <row r="2549" spans="1:18" s="320" customFormat="1">
      <c r="A2549" s="687" t="s">
        <v>13067</v>
      </c>
      <c r="B2549" s="1922">
        <v>1</v>
      </c>
      <c r="C2549" s="721" t="str">
        <f>VLOOKUP(D2549,base_datos,6,FALSE)</f>
        <v>Rele auxiliar enchufable +4NA/NC (D2PR4B + base D2PA6), 220Vac - marca EATON.</v>
      </c>
      <c r="D2549" s="1579" t="s">
        <v>772</v>
      </c>
      <c r="E2549" s="1581">
        <f>VLOOKUP(D2549,base_datos,5,FALSE)</f>
        <v>27</v>
      </c>
      <c r="F2549" s="1923">
        <f>+E2549*B2549</f>
        <v>27</v>
      </c>
      <c r="G2549" s="1924"/>
      <c r="H2549" s="1924"/>
      <c r="I2549" s="1924"/>
      <c r="J2549" s="722"/>
      <c r="K2549" s="684">
        <f t="shared" si="2288"/>
        <v>1</v>
      </c>
      <c r="L2549" s="1913">
        <f>L2546</f>
        <v>1</v>
      </c>
      <c r="M2549" s="684">
        <f t="shared" si="2289"/>
        <v>1</v>
      </c>
      <c r="N2549" s="362">
        <f t="shared" si="2290"/>
        <v>1</v>
      </c>
      <c r="O2549" s="1763" t="str">
        <f t="shared" si="2291"/>
        <v>D2PR4B+D2PA6</v>
      </c>
      <c r="P2549" s="1764" t="str">
        <f t="shared" si="2292"/>
        <v>Rele auxiliar enchufable +4NA/NC (D2PR4B + base D2PA6), 220Vac - marca EATON.</v>
      </c>
      <c r="Q2549" s="120" t="str">
        <f t="shared" si="2293"/>
        <v>D2PR4B+D2PA6</v>
      </c>
    </row>
    <row r="2550" spans="1:18" s="320" customFormat="1">
      <c r="A2550" s="1767"/>
      <c r="B2550" s="2131">
        <v>1</v>
      </c>
      <c r="C2550" s="2132" t="s">
        <v>12558</v>
      </c>
      <c r="D2550" s="2133"/>
      <c r="E2550" s="2134">
        <v>32</v>
      </c>
      <c r="F2550" s="2134">
        <f>+E2550*B2550</f>
        <v>32</v>
      </c>
      <c r="G2550" s="1924"/>
      <c r="H2550" s="1924"/>
      <c r="I2550" s="1924"/>
      <c r="J2550" s="722"/>
      <c r="K2550" s="684">
        <f t="shared" si="2288"/>
        <v>1</v>
      </c>
      <c r="L2550" s="1913">
        <f>L2547</f>
        <v>1</v>
      </c>
      <c r="M2550" s="684">
        <f t="shared" si="2289"/>
        <v>1</v>
      </c>
      <c r="N2550" s="362" t="str">
        <f t="shared" si="2290"/>
        <v/>
      </c>
      <c r="O2550" s="1763" t="str">
        <f t="shared" si="2291"/>
        <v/>
      </c>
      <c r="P2550" s="1764" t="str">
        <f t="shared" si="2292"/>
        <v/>
      </c>
      <c r="Q2550" s="120" t="str">
        <f t="shared" si="2293"/>
        <v/>
      </c>
    </row>
    <row r="2551" spans="1:18" s="320" customFormat="1">
      <c r="A2551" s="687" t="s">
        <v>12551</v>
      </c>
      <c r="B2551" s="1922">
        <v>4</v>
      </c>
      <c r="C2551" s="721" t="str">
        <f>VLOOKUP(D2551,base_datos,6,FALSE)</f>
        <v>Base portafusibles + Fusibles de protección para control.</v>
      </c>
      <c r="D2551" s="1579" t="s">
        <v>453</v>
      </c>
      <c r="E2551" s="1581">
        <f>VLOOKUP(D2551,base_datos,5,FALSE)</f>
        <v>8.1750000000000007</v>
      </c>
      <c r="F2551" s="1923">
        <f>+E2551*B2551</f>
        <v>32.700000000000003</v>
      </c>
      <c r="G2551" s="1924"/>
      <c r="H2551" s="1924"/>
      <c r="I2551" s="1924"/>
      <c r="J2551" s="722"/>
      <c r="K2551" s="684">
        <f t="shared" si="2288"/>
        <v>1</v>
      </c>
      <c r="L2551" s="1913">
        <f>L2548</f>
        <v>1</v>
      </c>
      <c r="M2551" s="684">
        <f t="shared" si="2289"/>
        <v>4</v>
      </c>
      <c r="N2551" s="362" t="str">
        <f t="shared" si="2290"/>
        <v/>
      </c>
      <c r="O2551" s="1763" t="str">
        <f t="shared" si="2291"/>
        <v/>
      </c>
      <c r="P2551" s="1764" t="str">
        <f t="shared" si="2292"/>
        <v/>
      </c>
      <c r="Q2551" s="120" t="str">
        <f t="shared" si="2293"/>
        <v/>
      </c>
    </row>
    <row r="2552" spans="1:18" s="315" customFormat="1">
      <c r="A2552" s="687" t="s">
        <v>3542</v>
      </c>
      <c r="B2552" s="1906"/>
      <c r="C2552" s="1907"/>
      <c r="D2552" s="1935"/>
      <c r="E2552" s="1786"/>
      <c r="F2552" s="1936"/>
      <c r="G2552" s="712"/>
      <c r="H2552" s="712"/>
      <c r="I2552" s="712"/>
      <c r="J2552" s="713"/>
      <c r="K2552" s="684">
        <f t="shared" si="2288"/>
        <v>1</v>
      </c>
      <c r="L2552" s="1909">
        <f>B2552</f>
        <v>0</v>
      </c>
      <c r="M2552" s="684">
        <f t="shared" si="2289"/>
        <v>1</v>
      </c>
      <c r="N2552" s="362" t="str">
        <f t="shared" si="2290"/>
        <v/>
      </c>
      <c r="O2552" s="1763" t="str">
        <f t="shared" si="2291"/>
        <v/>
      </c>
      <c r="P2552" s="1764" t="str">
        <f t="shared" si="2292"/>
        <v/>
      </c>
      <c r="Q2552" s="120" t="str">
        <f t="shared" si="2293"/>
        <v/>
      </c>
    </row>
    <row r="2553" spans="1:18" s="185" customFormat="1" ht="13.5" customHeight="1">
      <c r="A2553" s="1771"/>
      <c r="B2553" s="1922"/>
      <c r="C2553" s="1956" t="s">
        <v>12368</v>
      </c>
      <c r="D2553" s="1579"/>
      <c r="E2553" s="1957"/>
      <c r="F2553" s="1958"/>
      <c r="G2553" s="710"/>
      <c r="H2553" s="710"/>
      <c r="I2553" s="710"/>
      <c r="J2553" s="711"/>
      <c r="K2553" s="684">
        <f t="shared" si="2288"/>
        <v>1</v>
      </c>
      <c r="L2553" s="708">
        <v>1</v>
      </c>
      <c r="M2553" s="684">
        <f t="shared" si="2289"/>
        <v>1</v>
      </c>
      <c r="N2553" s="362" t="str">
        <f t="shared" si="2290"/>
        <v/>
      </c>
      <c r="O2553" s="1763" t="str">
        <f t="shared" si="2291"/>
        <v/>
      </c>
      <c r="P2553" s="1764" t="str">
        <f t="shared" si="2292"/>
        <v/>
      </c>
      <c r="Q2553" s="120" t="str">
        <f t="shared" si="2293"/>
        <v/>
      </c>
    </row>
    <row r="2554" spans="1:18" s="120" customFormat="1" ht="18" customHeight="1">
      <c r="A2554" s="691"/>
      <c r="B2554" s="1781"/>
      <c r="C2554" s="1218" t="s">
        <v>3158</v>
      </c>
      <c r="D2554" s="1900"/>
      <c r="E2554" s="1791"/>
      <c r="F2554" s="1782"/>
      <c r="G2554" s="686"/>
      <c r="H2554" s="686"/>
      <c r="I2554" s="686"/>
      <c r="J2554" s="688"/>
      <c r="K2554" s="684">
        <f t="shared" si="2288"/>
        <v>1</v>
      </c>
      <c r="L2554" s="708">
        <v>1</v>
      </c>
      <c r="M2554" s="684">
        <f t="shared" si="2289"/>
        <v>1</v>
      </c>
      <c r="N2554" s="362" t="str">
        <f t="shared" ref="N2554:N2721" si="2294">IF(O2554&lt;&gt;"",K2554*L2554*M2554,"")</f>
        <v/>
      </c>
      <c r="O2554" s="1763" t="str">
        <f t="shared" ref="O2554:O2721" si="2295">IF(D2554&lt;&gt;"",IF(VLOOKUP(D2554,base_datos,7,FALSE)&lt;&gt;"",VLOOKUP(D2554,base_datos,7,FALSE),""),"")</f>
        <v/>
      </c>
      <c r="P2554" s="1764" t="str">
        <f t="shared" ref="P2554:P2721" si="2296">IF(O2554&lt;&gt;"",VLOOKUP(D2554,base_datos,6,FALSE),"")</f>
        <v/>
      </c>
      <c r="Q2554" s="120" t="str">
        <f t="shared" ref="Q2554:Q2721" si="2297">IF(O2554&lt;&gt;"",D2554,"")</f>
        <v/>
      </c>
      <c r="R2554" s="185"/>
    </row>
    <row r="2555" spans="1:18" s="690" customFormat="1" ht="18" customHeight="1">
      <c r="A2555" s="687"/>
      <c r="B2555" s="1781">
        <v>1</v>
      </c>
      <c r="C2555" s="1420" t="str">
        <f>VLOOKUP(D2555,base_datos,6,FALSE)</f>
        <v>ITM Caja Moldeada 3x40A (reg.[0.7-1.0] In) - XT1B160-40A-3P-TMD - 25kA@230Vac, 18kA@415Vac, 18kA@250Vdc - marca ABB.</v>
      </c>
      <c r="D2555" s="1901" t="s">
        <v>4366</v>
      </c>
      <c r="E2555" s="1791">
        <f>VLOOKUP(D2555,base_datos,5,FALSE)</f>
        <v>120.37</v>
      </c>
      <c r="F2555" s="1782">
        <f>+E2555*B2555</f>
        <v>120.37</v>
      </c>
      <c r="G2555" s="1761"/>
      <c r="H2555" s="1761"/>
      <c r="I2555" s="1761"/>
      <c r="J2555" s="689"/>
      <c r="K2555" s="684">
        <f t="shared" si="2288"/>
        <v>1</v>
      </c>
      <c r="L2555" s="708">
        <v>1</v>
      </c>
      <c r="M2555" s="684">
        <f t="shared" si="2289"/>
        <v>1</v>
      </c>
      <c r="N2555" s="362">
        <f t="shared" si="2294"/>
        <v>1</v>
      </c>
      <c r="O2555" s="1763" t="str">
        <f t="shared" si="2295"/>
        <v>1SDA066803R1</v>
      </c>
      <c r="P2555" s="1764" t="str">
        <f t="shared" si="2296"/>
        <v>ITM Caja Moldeada 3x40A (reg.[0.7-1.0] In) - XT1B160-40A-3P-TMD - 25kA@230Vac, 18kA@415Vac, 18kA@250Vdc - marca ABB.</v>
      </c>
      <c r="Q2555" s="120" t="str">
        <f t="shared" si="2297"/>
        <v>XT1B160-40A-3P-TMD</v>
      </c>
      <c r="R2555" s="185"/>
    </row>
    <row r="2556" spans="1:18" s="185" customFormat="1">
      <c r="A2556" s="1771"/>
      <c r="B2556" s="714"/>
      <c r="C2556" s="313" t="s">
        <v>729</v>
      </c>
      <c r="D2556" s="173"/>
      <c r="E2556" s="1786"/>
      <c r="F2556" s="1787"/>
      <c r="G2556" s="710"/>
      <c r="H2556" s="710"/>
      <c r="I2556" s="710"/>
      <c r="J2556" s="711"/>
      <c r="K2556" s="684">
        <f t="shared" si="2288"/>
        <v>1</v>
      </c>
      <c r="L2556" s="708">
        <v>1</v>
      </c>
      <c r="M2556" s="684">
        <f t="shared" si="2289"/>
        <v>1</v>
      </c>
      <c r="N2556" s="362" t="str">
        <f t="shared" si="2294"/>
        <v/>
      </c>
      <c r="O2556" s="1763" t="str">
        <f t="shared" si="2295"/>
        <v/>
      </c>
      <c r="P2556" s="1764" t="str">
        <f t="shared" si="2296"/>
        <v/>
      </c>
      <c r="Q2556" s="120" t="str">
        <f t="shared" si="2297"/>
        <v/>
      </c>
    </row>
    <row r="2557" spans="1:18" s="690" customFormat="1" ht="18" customHeight="1">
      <c r="A2557" s="1771"/>
      <c r="B2557" s="1851"/>
      <c r="C2557" s="1894" t="s">
        <v>3377</v>
      </c>
      <c r="D2557" s="1582"/>
      <c r="E2557" s="1780"/>
      <c r="F2557" s="1782"/>
      <c r="G2557" s="1761"/>
      <c r="H2557" s="1761"/>
      <c r="I2557" s="1761"/>
      <c r="J2557" s="689"/>
      <c r="K2557" s="684">
        <f t="shared" si="2288"/>
        <v>1</v>
      </c>
      <c r="L2557" s="708">
        <v>1</v>
      </c>
      <c r="M2557" s="684">
        <f t="shared" si="2289"/>
        <v>1</v>
      </c>
      <c r="N2557" s="362" t="str">
        <f t="shared" si="2294"/>
        <v/>
      </c>
      <c r="O2557" s="1763" t="str">
        <f t="shared" si="2295"/>
        <v/>
      </c>
      <c r="P2557" s="1764" t="str">
        <f t="shared" si="2296"/>
        <v/>
      </c>
      <c r="Q2557" s="120" t="str">
        <f t="shared" si="2297"/>
        <v/>
      </c>
      <c r="R2557" s="185"/>
    </row>
    <row r="2558" spans="1:18" s="690" customFormat="1" ht="18" customHeight="1">
      <c r="A2558" s="1767"/>
      <c r="B2558" s="1781">
        <v>2</v>
      </c>
      <c r="C2558" s="1420" t="str">
        <f t="shared" ref="C2558:C2560" si="2298">VLOOKUP(D2558,base_datos,6,FALSE)</f>
        <v>ITM Caja Moldeada 3x20A (reg.[0.7-1.0] In) - XT1B160-20A-3P-TMD - 25kA@230Vac, 18kA@415Vac, 18kA@250Vdc - marca ABB.</v>
      </c>
      <c r="D2558" s="1901" t="s">
        <v>4360</v>
      </c>
      <c r="E2558" s="1791">
        <f>VLOOKUP(D2558,base_datos,5,FALSE)</f>
        <v>120.37</v>
      </c>
      <c r="F2558" s="1782">
        <f t="shared" ref="F2558:F2560" si="2299">+E2558*B2558</f>
        <v>240.74</v>
      </c>
      <c r="G2558" s="1951"/>
      <c r="H2558" s="1761"/>
      <c r="I2558" s="1761"/>
      <c r="J2558" s="1783"/>
      <c r="K2558" s="684">
        <f t="shared" si="2288"/>
        <v>1</v>
      </c>
      <c r="L2558" s="708">
        <v>1</v>
      </c>
      <c r="M2558" s="684">
        <f t="shared" si="2289"/>
        <v>2</v>
      </c>
      <c r="N2558" s="362">
        <f t="shared" si="2294"/>
        <v>2</v>
      </c>
      <c r="O2558" s="1763" t="str">
        <f t="shared" si="2295"/>
        <v>1SDA066800R1</v>
      </c>
      <c r="P2558" s="1764" t="str">
        <f t="shared" si="2296"/>
        <v>ITM Caja Moldeada 3x20A (reg.[0.7-1.0] In) - XT1B160-20A-3P-TMD - 25kA@230Vac, 18kA@415Vac, 18kA@250Vdc - marca ABB.</v>
      </c>
      <c r="Q2558" s="120" t="str">
        <f t="shared" si="2297"/>
        <v>XT1B160-20A-3P-TMD</v>
      </c>
      <c r="R2558" s="185"/>
    </row>
    <row r="2559" spans="1:18" s="2434" customFormat="1" ht="18" customHeight="1">
      <c r="A2559" s="2464"/>
      <c r="B2559" s="2435">
        <v>3</v>
      </c>
      <c r="C2559" s="2475" t="str">
        <f t="shared" si="2298"/>
        <v>ITM Caja Moldeada 2x20A - A1N/P125-20A-2P-TMF - 50kA@230Vac, 36kA@400Vac, 10kA@125Vdc - marca ABB.</v>
      </c>
      <c r="D2559" s="2484" t="s">
        <v>1173</v>
      </c>
      <c r="E2559" s="2482">
        <f>VLOOKUP(D2559,base_datos,5,FALSE)</f>
        <v>59.769999999999996</v>
      </c>
      <c r="F2559" s="2422">
        <f t="shared" si="2299"/>
        <v>179.31</v>
      </c>
      <c r="G2559" s="2485"/>
      <c r="H2559" s="2424"/>
      <c r="I2559" s="2424"/>
      <c r="J2559" s="2425"/>
      <c r="K2559" s="2426">
        <f t="shared" si="2288"/>
        <v>1</v>
      </c>
      <c r="L2559" s="2463">
        <v>1</v>
      </c>
      <c r="M2559" s="2426">
        <f t="shared" si="2289"/>
        <v>3</v>
      </c>
      <c r="N2559" s="2429">
        <f t="shared" si="2294"/>
        <v>3</v>
      </c>
      <c r="O2559" s="2430" t="str">
        <f t="shared" si="2295"/>
        <v>1SDA069552R1</v>
      </c>
      <c r="P2559" s="2431" t="str">
        <f t="shared" si="2296"/>
        <v>ITM Caja Moldeada 2x20A - A1N/P125-20A-2P-TMF - 50kA@230Vac, 36kA@400Vac, 10kA@125Vdc - marca ABB.</v>
      </c>
      <c r="Q2559" s="2432" t="str">
        <f t="shared" si="2297"/>
        <v>A1N/P125-20A-2P-TMF</v>
      </c>
      <c r="R2559" s="2433"/>
    </row>
    <row r="2560" spans="1:18" s="690" customFormat="1" ht="18" customHeight="1">
      <c r="A2560" s="1767"/>
      <c r="B2560" s="1781">
        <v>1</v>
      </c>
      <c r="C2560" s="1420" t="str">
        <f t="shared" si="2298"/>
        <v>Espacio de reserva monofasica - Riel-Din.</v>
      </c>
      <c r="D2560" s="1901" t="s">
        <v>1042</v>
      </c>
      <c r="E2560" s="1791">
        <f>VLOOKUP(D2560,base_datos,5,FALSE)</f>
        <v>1.5</v>
      </c>
      <c r="F2560" s="1782">
        <f t="shared" si="2299"/>
        <v>1.5</v>
      </c>
      <c r="G2560" s="1761"/>
      <c r="H2560" s="1761"/>
      <c r="I2560" s="1761"/>
      <c r="J2560" s="1783"/>
      <c r="K2560" s="684">
        <f t="shared" si="2288"/>
        <v>1</v>
      </c>
      <c r="L2560" s="708">
        <v>1</v>
      </c>
      <c r="M2560" s="684">
        <f t="shared" si="2289"/>
        <v>1</v>
      </c>
      <c r="N2560" s="362" t="str">
        <f t="shared" si="2294"/>
        <v/>
      </c>
      <c r="O2560" s="1763" t="str">
        <f t="shared" si="2295"/>
        <v/>
      </c>
      <c r="P2560" s="1764" t="str">
        <f t="shared" si="2296"/>
        <v/>
      </c>
      <c r="Q2560" s="120" t="str">
        <f t="shared" si="2297"/>
        <v/>
      </c>
      <c r="R2560" s="185"/>
    </row>
    <row r="2561" spans="1:20" s="185" customFormat="1">
      <c r="A2561" s="692"/>
      <c r="B2561" s="714"/>
      <c r="C2561" s="1893" t="s">
        <v>729</v>
      </c>
      <c r="D2561" s="2021"/>
      <c r="E2561" s="1786"/>
      <c r="F2561" s="1787"/>
      <c r="G2561" s="710"/>
      <c r="H2561" s="710"/>
      <c r="I2561" s="710"/>
      <c r="J2561" s="711"/>
      <c r="K2561" s="684">
        <f t="shared" si="2288"/>
        <v>1</v>
      </c>
      <c r="L2561" s="708">
        <v>1</v>
      </c>
      <c r="M2561" s="684">
        <f t="shared" si="2289"/>
        <v>1</v>
      </c>
      <c r="N2561" s="362" t="str">
        <f t="shared" si="2294"/>
        <v/>
      </c>
      <c r="O2561" s="1763" t="str">
        <f t="shared" si="2295"/>
        <v/>
      </c>
      <c r="P2561" s="1764" t="str">
        <f t="shared" si="2296"/>
        <v/>
      </c>
      <c r="Q2561" s="120" t="str">
        <f t="shared" si="2297"/>
        <v/>
      </c>
    </row>
    <row r="2562" spans="1:20" s="315" customFormat="1" ht="12.75" customHeight="1">
      <c r="A2562" s="2271"/>
      <c r="B2562" s="2272">
        <v>1</v>
      </c>
      <c r="C2562" s="2281" t="s">
        <v>13366</v>
      </c>
      <c r="D2562" s="1935"/>
      <c r="E2562" s="2287"/>
      <c r="F2562" s="2257">
        <f>+SUM(F2563:F2566)*(B2562-1)</f>
        <v>0</v>
      </c>
      <c r="G2562" s="712"/>
      <c r="H2562" s="712"/>
      <c r="I2562" s="712"/>
      <c r="J2562" s="713"/>
      <c r="K2562" s="684">
        <f t="shared" si="2288"/>
        <v>1</v>
      </c>
      <c r="L2562" s="2258">
        <v>1</v>
      </c>
      <c r="M2562" s="120">
        <f t="shared" si="2289"/>
        <v>1</v>
      </c>
      <c r="N2562" s="112" t="str">
        <f t="shared" si="2294"/>
        <v/>
      </c>
      <c r="O2562" s="112" t="str">
        <f t="shared" si="2295"/>
        <v/>
      </c>
      <c r="P2562" s="120" t="str">
        <f t="shared" si="2296"/>
        <v/>
      </c>
      <c r="Q2562" s="120" t="str">
        <f t="shared" si="2297"/>
        <v/>
      </c>
      <c r="S2562" s="112" t="str">
        <f t="shared" ref="S2562:S2567" si="2300">IF(O2562&lt;&gt;"",VLOOKUP(D2562,base_datos,9,FALSE),"")</f>
        <v/>
      </c>
      <c r="T2562" s="2128"/>
    </row>
    <row r="2563" spans="1:20" s="690" customFormat="1" ht="18" customHeight="1">
      <c r="A2563" s="2273"/>
      <c r="B2563" s="1781">
        <v>1</v>
      </c>
      <c r="C2563" s="1420" t="str">
        <f t="shared" ref="C2563:C2566" si="2301">VLOOKUP(D2563,base_datos,6,FALSE)</f>
        <v>Calefactor resistivo 60W, modelo RACM - marca FANDIS.</v>
      </c>
      <c r="D2563" s="1899" t="s">
        <v>3298</v>
      </c>
      <c r="E2563" s="2288">
        <f t="shared" ref="E2563" si="2302">VLOOKUP(D2563,base_datos,5,FALSE)</f>
        <v>127.1</v>
      </c>
      <c r="F2563" s="1782">
        <f>+E2563*B2563</f>
        <v>127.1</v>
      </c>
      <c r="G2563" s="1761"/>
      <c r="H2563" s="1761"/>
      <c r="I2563" s="1761"/>
      <c r="J2563" s="689"/>
      <c r="K2563" s="684">
        <f t="shared" si="2288"/>
        <v>1</v>
      </c>
      <c r="L2563" s="2258">
        <v>1</v>
      </c>
      <c r="M2563" s="120">
        <f t="shared" si="2289"/>
        <v>1</v>
      </c>
      <c r="N2563" s="112">
        <f t="shared" si="2294"/>
        <v>1</v>
      </c>
      <c r="O2563" s="112" t="str">
        <f t="shared" si="2295"/>
        <v>RACM-60</v>
      </c>
      <c r="P2563" s="120" t="str">
        <f t="shared" si="2296"/>
        <v>Calefactor resistivo 60W, modelo RACM - marca FANDIS.</v>
      </c>
      <c r="Q2563" s="120" t="str">
        <f t="shared" si="2297"/>
        <v>CALEFACT-60W_FAND</v>
      </c>
      <c r="S2563" s="112" t="str">
        <f t="shared" si="2300"/>
        <v>FANDIS</v>
      </c>
      <c r="T2563" s="1765"/>
    </row>
    <row r="2564" spans="1:20" s="690" customFormat="1" ht="18" customHeight="1">
      <c r="A2564" s="2273"/>
      <c r="B2564" s="1781">
        <v>1</v>
      </c>
      <c r="C2564" s="1420" t="str">
        <f t="shared" si="2301"/>
        <v>Termostato para ventilación - 1NA - 230V - marca FANDIS.</v>
      </c>
      <c r="D2564" s="1899" t="s">
        <v>3294</v>
      </c>
      <c r="E2564" s="2288">
        <f t="shared" ref="E2564:E2566" si="2303">VLOOKUP(D2564,base_datos,5,FALSE)</f>
        <v>41.58</v>
      </c>
      <c r="F2564" s="1782">
        <f>+E2564*B2564</f>
        <v>41.58</v>
      </c>
      <c r="G2564" s="1761"/>
      <c r="H2564" s="1761"/>
      <c r="I2564" s="1761"/>
      <c r="J2564" s="689"/>
      <c r="K2564" s="684">
        <f t="shared" si="2288"/>
        <v>1</v>
      </c>
      <c r="L2564" s="2258">
        <v>1</v>
      </c>
      <c r="M2564" s="120">
        <f t="shared" si="2289"/>
        <v>1</v>
      </c>
      <c r="N2564" s="112">
        <f t="shared" si="2294"/>
        <v>1</v>
      </c>
      <c r="O2564" s="112" t="str">
        <f t="shared" si="2295"/>
        <v>TRT-10A230V-NO</v>
      </c>
      <c r="P2564" s="120" t="str">
        <f t="shared" si="2296"/>
        <v>Termostato para ventilación - 1NA - 230V - marca FANDIS.</v>
      </c>
      <c r="Q2564" s="120" t="str">
        <f t="shared" si="2297"/>
        <v>TRT-1NA</v>
      </c>
      <c r="S2564" s="112" t="str">
        <f t="shared" si="2300"/>
        <v>FANDIS</v>
      </c>
      <c r="T2564" s="1765"/>
    </row>
    <row r="2565" spans="1:20" s="320" customFormat="1" ht="12.75" customHeight="1">
      <c r="A2565" s="2274"/>
      <c r="B2565" s="2275">
        <v>1</v>
      </c>
      <c r="C2565" s="2282" t="str">
        <f t="shared" si="2301"/>
        <v>Base portafusibles + Fusibles de protección para control.</v>
      </c>
      <c r="D2565" s="1579" t="s">
        <v>453</v>
      </c>
      <c r="E2565" s="2289">
        <f t="shared" si="2303"/>
        <v>8.1750000000000007</v>
      </c>
      <c r="F2565" s="2264">
        <f>+E2565*B2565</f>
        <v>8.1750000000000007</v>
      </c>
      <c r="G2565" s="2276"/>
      <c r="H2565" s="2276"/>
      <c r="I2565" s="2276"/>
      <c r="J2565" s="722"/>
      <c r="K2565" s="684">
        <f t="shared" si="2288"/>
        <v>1</v>
      </c>
      <c r="L2565" s="2258">
        <v>1</v>
      </c>
      <c r="M2565" s="120">
        <f t="shared" si="2289"/>
        <v>1</v>
      </c>
      <c r="N2565" s="112" t="str">
        <f t="shared" si="2294"/>
        <v/>
      </c>
      <c r="O2565" s="112" t="str">
        <f t="shared" si="2295"/>
        <v/>
      </c>
      <c r="P2565" s="120" t="str">
        <f t="shared" si="2296"/>
        <v/>
      </c>
      <c r="Q2565" s="120" t="str">
        <f t="shared" si="2297"/>
        <v/>
      </c>
      <c r="R2565" s="185"/>
      <c r="S2565" s="112" t="str">
        <f t="shared" si="2300"/>
        <v/>
      </c>
      <c r="T2565" s="709"/>
    </row>
    <row r="2566" spans="1:20" s="320" customFormat="1" ht="12.75" customHeight="1">
      <c r="A2566" s="2274"/>
      <c r="B2566" s="2277">
        <v>1</v>
      </c>
      <c r="C2566" s="2282" t="str">
        <f t="shared" si="2301"/>
        <v>Borne 4mm2.</v>
      </c>
      <c r="D2566" s="1579" t="s">
        <v>437</v>
      </c>
      <c r="E2566" s="2260">
        <f t="shared" si="2303"/>
        <v>2.5</v>
      </c>
      <c r="F2566" s="2260">
        <f>+E2566*B2566</f>
        <v>2.5</v>
      </c>
      <c r="G2566" s="2276"/>
      <c r="H2566" s="2276"/>
      <c r="I2566" s="2276"/>
      <c r="J2566" s="722"/>
      <c r="K2566" s="684">
        <f t="shared" si="2288"/>
        <v>1</v>
      </c>
      <c r="L2566" s="2258">
        <v>1</v>
      </c>
      <c r="M2566" s="120">
        <f t="shared" si="2289"/>
        <v>1</v>
      </c>
      <c r="N2566" s="112" t="str">
        <f t="shared" si="2294"/>
        <v/>
      </c>
      <c r="O2566" s="112" t="str">
        <f t="shared" si="2295"/>
        <v/>
      </c>
      <c r="P2566" s="120" t="str">
        <f t="shared" si="2296"/>
        <v/>
      </c>
      <c r="Q2566" s="120" t="str">
        <f t="shared" si="2297"/>
        <v/>
      </c>
      <c r="R2566" s="185"/>
      <c r="S2566" s="112" t="str">
        <f t="shared" si="2300"/>
        <v/>
      </c>
      <c r="T2566" s="709"/>
    </row>
    <row r="2567" spans="1:20" s="185" customFormat="1" ht="12.75" customHeight="1">
      <c r="A2567" s="2262"/>
      <c r="B2567" s="1760"/>
      <c r="C2567" s="1893" t="s">
        <v>729</v>
      </c>
      <c r="D2567" s="169"/>
      <c r="E2567" s="2256"/>
      <c r="F2567" s="2278"/>
      <c r="G2567" s="710"/>
      <c r="H2567" s="710"/>
      <c r="I2567" s="710"/>
      <c r="J2567" s="711"/>
      <c r="K2567" s="684">
        <f t="shared" si="2288"/>
        <v>1</v>
      </c>
      <c r="L2567" s="2258">
        <v>1</v>
      </c>
      <c r="M2567" s="120">
        <f t="shared" si="2289"/>
        <v>1</v>
      </c>
      <c r="N2567" s="112" t="str">
        <f t="shared" si="2294"/>
        <v/>
      </c>
      <c r="O2567" s="112" t="str">
        <f t="shared" si="2295"/>
        <v/>
      </c>
      <c r="P2567" s="120" t="str">
        <f t="shared" si="2296"/>
        <v/>
      </c>
      <c r="Q2567" s="120" t="str">
        <f t="shared" si="2297"/>
        <v/>
      </c>
      <c r="S2567" s="112" t="str">
        <f t="shared" si="2300"/>
        <v/>
      </c>
      <c r="T2567" s="118"/>
    </row>
    <row r="2568" spans="1:20" s="1236" customFormat="1" ht="18" customHeight="1">
      <c r="A2568" s="1767"/>
      <c r="B2568" s="1853">
        <v>1</v>
      </c>
      <c r="C2568" s="1895" t="s">
        <v>12364</v>
      </c>
      <c r="D2568" s="1902"/>
      <c r="E2568" s="1792"/>
      <c r="F2568" s="1793"/>
      <c r="G2568" s="1784"/>
      <c r="H2568" s="1784"/>
      <c r="I2568" s="1784"/>
      <c r="J2568" s="1182"/>
      <c r="K2568" s="684">
        <f t="shared" si="2288"/>
        <v>1</v>
      </c>
      <c r="L2568" s="708">
        <v>1</v>
      </c>
      <c r="M2568" s="684">
        <f t="shared" si="2289"/>
        <v>1</v>
      </c>
      <c r="N2568" s="362" t="str">
        <f t="shared" si="2294"/>
        <v/>
      </c>
      <c r="O2568" s="1763" t="str">
        <f t="shared" si="2295"/>
        <v/>
      </c>
      <c r="P2568" s="1764" t="str">
        <f t="shared" si="2296"/>
        <v/>
      </c>
      <c r="Q2568" s="120" t="str">
        <f t="shared" si="2297"/>
        <v/>
      </c>
      <c r="R2568" s="185"/>
    </row>
    <row r="2569" spans="1:20" s="695" customFormat="1" ht="18" customHeight="1">
      <c r="A2569" s="693"/>
      <c r="B2569" s="1922">
        <v>1</v>
      </c>
      <c r="C2569" s="1848" t="str">
        <f t="shared" ref="C2569" si="2304">VLOOKUP(D2569,base_datos,6,FALSE)</f>
        <v>Placa lamicoid rotulación de 3mm de espesor, fondo negro y letras blancas.</v>
      </c>
      <c r="D2569" s="1886" t="s">
        <v>8570</v>
      </c>
      <c r="E2569" s="1795">
        <f t="shared" ref="E2569" si="2305">VLOOKUP(D2569,base_datos,5,FALSE)</f>
        <v>2.2000000000000002</v>
      </c>
      <c r="F2569" s="1796">
        <f t="shared" ref="F2569" si="2306">+E2569*B2569</f>
        <v>2.2000000000000002</v>
      </c>
      <c r="G2569" s="696"/>
      <c r="H2569" s="696"/>
      <c r="I2569" s="696"/>
      <c r="J2569" s="697"/>
      <c r="K2569" s="684">
        <f t="shared" si="2288"/>
        <v>1</v>
      </c>
      <c r="L2569" s="708">
        <v>1</v>
      </c>
      <c r="M2569" s="684">
        <f t="shared" si="2289"/>
        <v>1</v>
      </c>
      <c r="N2569" s="362">
        <f t="shared" si="2294"/>
        <v>1</v>
      </c>
      <c r="O2569" s="1763" t="str">
        <f t="shared" si="2295"/>
        <v>Placa lamicoid p/distr.</v>
      </c>
      <c r="P2569" s="1764" t="str">
        <f t="shared" si="2296"/>
        <v>Placa lamicoid rotulación de 3mm de espesor, fondo negro y letras blancas.</v>
      </c>
      <c r="Q2569" s="120" t="str">
        <f t="shared" si="2297"/>
        <v>Placa lamicoid p/distr.</v>
      </c>
      <c r="R2569" s="185"/>
    </row>
    <row r="2570" spans="1:20" s="1236" customFormat="1" ht="18" customHeight="1">
      <c r="A2570" s="1767"/>
      <c r="B2570" s="1853">
        <v>1</v>
      </c>
      <c r="C2570" s="1895" t="s">
        <v>12474</v>
      </c>
      <c r="D2570" s="1902"/>
      <c r="E2570" s="1792"/>
      <c r="F2570" s="1793"/>
      <c r="G2570" s="1784"/>
      <c r="H2570" s="1784"/>
      <c r="I2570" s="1784"/>
      <c r="J2570" s="1182"/>
      <c r="K2570" s="684">
        <f t="shared" si="2288"/>
        <v>1</v>
      </c>
      <c r="L2570" s="708">
        <v>1</v>
      </c>
      <c r="M2570" s="709">
        <f t="shared" si="2289"/>
        <v>1</v>
      </c>
      <c r="N2570" s="362" t="str">
        <f t="shared" si="2294"/>
        <v/>
      </c>
      <c r="O2570" s="1763" t="str">
        <f t="shared" si="2295"/>
        <v/>
      </c>
      <c r="P2570" s="1764" t="str">
        <f t="shared" si="2296"/>
        <v/>
      </c>
      <c r="Q2570" s="120" t="str">
        <f t="shared" si="2297"/>
        <v/>
      </c>
      <c r="R2570" s="185"/>
    </row>
    <row r="2571" spans="1:20" s="1236" customFormat="1" ht="18" customHeight="1">
      <c r="A2571" s="1767"/>
      <c r="B2571" s="1853">
        <v>1</v>
      </c>
      <c r="C2571" s="1848" t="str">
        <f>VLOOKUP(D2571,base_datos,6,FALSE)</f>
        <v>Embalaje especial completamente cerrado para tablero adosado de 1600x600x220mm</v>
      </c>
      <c r="D2571" s="1902" t="s">
        <v>12453</v>
      </c>
      <c r="E2571" s="1795">
        <f t="shared" ref="E2571" si="2307">VLOOKUP(D2571,base_datos,5,FALSE)</f>
        <v>271.40000000000003</v>
      </c>
      <c r="F2571" s="1796">
        <f t="shared" ref="F2571" si="2308">+E2571*B2571</f>
        <v>271.40000000000003</v>
      </c>
      <c r="G2571" s="1784"/>
      <c r="H2571" s="1784"/>
      <c r="I2571" s="1784"/>
      <c r="J2571" s="1182"/>
      <c r="K2571" s="684">
        <f t="shared" si="2288"/>
        <v>1</v>
      </c>
      <c r="L2571" s="708">
        <v>1</v>
      </c>
      <c r="M2571" s="709">
        <f t="shared" si="2289"/>
        <v>1</v>
      </c>
      <c r="N2571" s="362">
        <f t="shared" si="2294"/>
        <v>1</v>
      </c>
      <c r="O2571" s="1763" t="str">
        <f t="shared" si="2295"/>
        <v>EMBAL_ADOS_1600x600x220mm</v>
      </c>
      <c r="P2571" s="1764" t="str">
        <f t="shared" si="2296"/>
        <v>Embalaje especial completamente cerrado para tablero adosado de 1600x600x220mm</v>
      </c>
      <c r="Q2571" s="120" t="str">
        <f t="shared" si="2297"/>
        <v>EMBAL_ADOS_1600x600x220mm</v>
      </c>
      <c r="R2571" s="185"/>
    </row>
    <row r="2572" spans="1:20" s="185" customFormat="1" ht="18" customHeight="1">
      <c r="A2572" s="1785"/>
      <c r="B2572" s="714"/>
      <c r="C2572" s="1893" t="s">
        <v>729</v>
      </c>
      <c r="D2572" s="173"/>
      <c r="E2572" s="1786"/>
      <c r="F2572" s="1787"/>
      <c r="G2572" s="710"/>
      <c r="H2572" s="710"/>
      <c r="I2572" s="710"/>
      <c r="J2572" s="711"/>
      <c r="K2572" s="684">
        <f t="shared" si="2288"/>
        <v>1</v>
      </c>
      <c r="L2572" s="708">
        <v>1</v>
      </c>
      <c r="M2572" s="684">
        <f t="shared" si="2289"/>
        <v>1</v>
      </c>
      <c r="N2572" s="362" t="str">
        <f t="shared" si="2294"/>
        <v/>
      </c>
      <c r="O2572" s="1763" t="str">
        <f t="shared" si="2295"/>
        <v/>
      </c>
      <c r="P2572" s="1764" t="str">
        <f t="shared" si="2296"/>
        <v/>
      </c>
      <c r="Q2572" s="120" t="str">
        <f t="shared" si="2297"/>
        <v/>
      </c>
    </row>
    <row r="2573" spans="1:20" s="695" customFormat="1" ht="18" customHeight="1">
      <c r="A2573" s="693"/>
      <c r="B2573" s="1794">
        <v>1</v>
      </c>
      <c r="C2573" s="1420" t="s">
        <v>316</v>
      </c>
      <c r="D2573" s="1790"/>
      <c r="E2573" s="1795"/>
      <c r="F2573" s="1796"/>
      <c r="G2573" s="696"/>
      <c r="H2573" s="696"/>
      <c r="I2573" s="696"/>
      <c r="J2573" s="697"/>
      <c r="K2573" s="684">
        <f t="shared" si="2288"/>
        <v>1</v>
      </c>
      <c r="L2573" s="708">
        <v>1</v>
      </c>
      <c r="M2573" s="684">
        <f t="shared" si="2289"/>
        <v>1</v>
      </c>
      <c r="N2573" s="362" t="str">
        <f t="shared" si="2294"/>
        <v/>
      </c>
      <c r="O2573" s="1763" t="str">
        <f t="shared" si="2295"/>
        <v/>
      </c>
      <c r="P2573" s="1764" t="str">
        <f t="shared" si="2296"/>
        <v/>
      </c>
      <c r="Q2573" s="120" t="str">
        <f t="shared" si="2297"/>
        <v/>
      </c>
      <c r="R2573" s="185"/>
    </row>
    <row r="2574" spans="1:20" s="185" customFormat="1" ht="18" customHeight="1">
      <c r="A2574" s="1785"/>
      <c r="B2574" s="714"/>
      <c r="C2574" s="1893" t="s">
        <v>729</v>
      </c>
      <c r="D2574" s="173"/>
      <c r="E2574" s="1786"/>
      <c r="F2574" s="1787"/>
      <c r="G2574" s="710"/>
      <c r="H2574" s="710"/>
      <c r="I2574" s="710"/>
      <c r="J2574" s="711"/>
      <c r="K2574" s="684">
        <f t="shared" si="2288"/>
        <v>1</v>
      </c>
      <c r="L2574" s="708">
        <v>1</v>
      </c>
      <c r="M2574" s="684">
        <f t="shared" si="2289"/>
        <v>1</v>
      </c>
      <c r="N2574" s="362" t="str">
        <f t="shared" si="2294"/>
        <v/>
      </c>
      <c r="O2574" s="1763" t="str">
        <f t="shared" si="2295"/>
        <v/>
      </c>
      <c r="P2574" s="1764" t="str">
        <f t="shared" si="2296"/>
        <v/>
      </c>
      <c r="Q2574" s="120" t="str">
        <f t="shared" si="2297"/>
        <v/>
      </c>
    </row>
    <row r="2575" spans="1:20" s="897" customFormat="1" ht="18" customHeight="1">
      <c r="A2575" s="693"/>
      <c r="B2575" s="895">
        <v>6</v>
      </c>
      <c r="C2575" s="1848" t="str">
        <f>VLOOKUP(D2575,base_datos,6,FALSE)</f>
        <v>Rotulado por circuito.</v>
      </c>
      <c r="D2575" s="1579" t="s">
        <v>3067</v>
      </c>
      <c r="E2575" s="1581">
        <f>VLOOKUP(D2575,base_datos,5,FALSE)</f>
        <v>0.7</v>
      </c>
      <c r="F2575" s="1581">
        <f t="shared" ref="F2575:F2580" si="2309">+E2575*B2575</f>
        <v>4.1999999999999993</v>
      </c>
      <c r="G2575" s="1772"/>
      <c r="H2575" s="1772"/>
      <c r="I2575" s="1772"/>
      <c r="J2575" s="896"/>
      <c r="K2575" s="684">
        <f t="shared" si="2288"/>
        <v>1</v>
      </c>
      <c r="L2575" s="708">
        <v>1</v>
      </c>
      <c r="M2575" s="684">
        <f t="shared" si="2289"/>
        <v>6</v>
      </c>
      <c r="N2575" s="362" t="str">
        <f t="shared" si="2294"/>
        <v/>
      </c>
      <c r="O2575" s="1763" t="str">
        <f t="shared" si="2295"/>
        <v/>
      </c>
      <c r="P2575" s="1764" t="str">
        <f t="shared" si="2296"/>
        <v/>
      </c>
      <c r="Q2575" s="120" t="str">
        <f t="shared" si="2297"/>
        <v/>
      </c>
    </row>
    <row r="2576" spans="1:20" s="897" customFormat="1" ht="18" customHeight="1">
      <c r="A2576" s="693"/>
      <c r="B2576" s="895">
        <v>1</v>
      </c>
      <c r="C2576" s="1848" t="str">
        <f>VLOOKUP(D2576,base_datos,6,FALSE)</f>
        <v>Rotulado para TAG - tablero de distribución.</v>
      </c>
      <c r="D2576" s="1579" t="s">
        <v>3066</v>
      </c>
      <c r="E2576" s="1581">
        <f>VLOOKUP(D2576,base_datos,5,FALSE)</f>
        <v>1.5</v>
      </c>
      <c r="F2576" s="1581">
        <f t="shared" si="2309"/>
        <v>1.5</v>
      </c>
      <c r="G2576" s="1772"/>
      <c r="H2576" s="1772"/>
      <c r="I2576" s="1772"/>
      <c r="J2576" s="896"/>
      <c r="K2576" s="684">
        <f t="shared" si="2288"/>
        <v>1</v>
      </c>
      <c r="L2576" s="708">
        <v>1</v>
      </c>
      <c r="M2576" s="684">
        <f t="shared" si="2289"/>
        <v>1</v>
      </c>
      <c r="N2576" s="362" t="str">
        <f t="shared" si="2294"/>
        <v/>
      </c>
      <c r="O2576" s="1763" t="str">
        <f t="shared" si="2295"/>
        <v/>
      </c>
      <c r="P2576" s="1764" t="str">
        <f t="shared" si="2296"/>
        <v/>
      </c>
      <c r="Q2576" s="120" t="str">
        <f t="shared" si="2297"/>
        <v/>
      </c>
    </row>
    <row r="2577" spans="1:18" s="1237" customFormat="1" ht="18" customHeight="1">
      <c r="A2577" s="1767"/>
      <c r="B2577" s="1773">
        <v>1</v>
      </c>
      <c r="C2577" s="1896" t="s">
        <v>11664</v>
      </c>
      <c r="D2577" s="1887"/>
      <c r="E2577" s="1581">
        <v>55</v>
      </c>
      <c r="F2577" s="1581">
        <f t="shared" si="2309"/>
        <v>55</v>
      </c>
      <c r="G2577" s="1774"/>
      <c r="H2577" s="1774"/>
      <c r="I2577" s="1774"/>
      <c r="J2577" s="1181"/>
      <c r="K2577" s="684">
        <f t="shared" si="2288"/>
        <v>1</v>
      </c>
      <c r="L2577" s="708">
        <v>1</v>
      </c>
      <c r="M2577" s="684">
        <f t="shared" si="2289"/>
        <v>1</v>
      </c>
      <c r="N2577" s="362" t="str">
        <f t="shared" si="2294"/>
        <v/>
      </c>
      <c r="O2577" s="1763" t="str">
        <f t="shared" si="2295"/>
        <v/>
      </c>
      <c r="P2577" s="1764" t="str">
        <f t="shared" si="2296"/>
        <v/>
      </c>
      <c r="Q2577" s="120" t="str">
        <f t="shared" si="2297"/>
        <v/>
      </c>
      <c r="R2577" s="1765"/>
    </row>
    <row r="2578" spans="1:18" s="1237" customFormat="1" ht="18" customHeight="1">
      <c r="A2578" s="1767"/>
      <c r="B2578" s="2093">
        <v>1</v>
      </c>
      <c r="C2578" s="694" t="s">
        <v>12552</v>
      </c>
      <c r="D2578" s="1888"/>
      <c r="E2578" s="1580">
        <f>E2580*15%</f>
        <v>22.5</v>
      </c>
      <c r="F2578" s="1581">
        <f t="shared" si="2309"/>
        <v>22.5</v>
      </c>
      <c r="G2578" s="1774"/>
      <c r="H2578" s="1774"/>
      <c r="I2578" s="1774"/>
      <c r="J2578" s="1181"/>
      <c r="K2578" s="684">
        <f t="shared" si="2288"/>
        <v>1</v>
      </c>
      <c r="L2578" s="708">
        <v>1</v>
      </c>
      <c r="M2578" s="709">
        <f t="shared" si="2289"/>
        <v>1</v>
      </c>
      <c r="N2578" s="362" t="str">
        <f t="shared" si="2294"/>
        <v/>
      </c>
      <c r="O2578" s="1763" t="str">
        <f t="shared" si="2295"/>
        <v/>
      </c>
      <c r="P2578" s="1764" t="str">
        <f t="shared" si="2296"/>
        <v/>
      </c>
      <c r="Q2578" s="120" t="str">
        <f t="shared" si="2297"/>
        <v/>
      </c>
      <c r="R2578" s="1765"/>
    </row>
    <row r="2579" spans="1:18" s="1237" customFormat="1" ht="18" customHeight="1">
      <c r="A2579" s="1767"/>
      <c r="B2579" s="1773">
        <v>1</v>
      </c>
      <c r="C2579" s="694" t="s">
        <v>12559</v>
      </c>
      <c r="D2579" s="1888"/>
      <c r="E2579" s="1999">
        <f>E2580*20%</f>
        <v>30</v>
      </c>
      <c r="F2579" s="1581">
        <f t="shared" si="2309"/>
        <v>30</v>
      </c>
      <c r="G2579" s="1774"/>
      <c r="H2579" s="1774"/>
      <c r="I2579" s="1774"/>
      <c r="J2579" s="1181"/>
      <c r="K2579" s="684">
        <f t="shared" si="2288"/>
        <v>1</v>
      </c>
      <c r="L2579" s="708">
        <v>1</v>
      </c>
      <c r="M2579" s="709">
        <f t="shared" si="2289"/>
        <v>1</v>
      </c>
      <c r="N2579" s="362" t="str">
        <f t="shared" si="2294"/>
        <v/>
      </c>
      <c r="O2579" s="1763" t="str">
        <f t="shared" si="2295"/>
        <v/>
      </c>
      <c r="P2579" s="1764" t="str">
        <f t="shared" si="2296"/>
        <v/>
      </c>
      <c r="Q2579" s="120" t="str">
        <f t="shared" si="2297"/>
        <v/>
      </c>
      <c r="R2579" s="1765"/>
    </row>
    <row r="2580" spans="1:18" s="1237" customFormat="1" ht="18" customHeight="1">
      <c r="A2580" s="1767"/>
      <c r="B2580" s="1773">
        <v>1</v>
      </c>
      <c r="C2580" s="1943" t="s">
        <v>12496</v>
      </c>
      <c r="D2580" s="1897"/>
      <c r="E2580" s="1581">
        <v>150</v>
      </c>
      <c r="F2580" s="1581">
        <f t="shared" si="2309"/>
        <v>150</v>
      </c>
      <c r="G2580" s="1774"/>
      <c r="H2580" s="1774"/>
      <c r="I2580" s="1774"/>
      <c r="J2580" s="1181"/>
      <c r="K2580" s="684">
        <f t="shared" si="2288"/>
        <v>1</v>
      </c>
      <c r="L2580" s="708">
        <v>1</v>
      </c>
      <c r="M2580" s="684">
        <f t="shared" si="2289"/>
        <v>1</v>
      </c>
      <c r="N2580" s="362" t="str">
        <f t="shared" si="2294"/>
        <v/>
      </c>
      <c r="O2580" s="1763" t="str">
        <f t="shared" si="2295"/>
        <v/>
      </c>
      <c r="P2580" s="1764" t="str">
        <f t="shared" si="2296"/>
        <v/>
      </c>
      <c r="Q2580" s="120" t="str">
        <f t="shared" si="2297"/>
        <v/>
      </c>
      <c r="R2580" s="1765"/>
    </row>
    <row r="2581" spans="1:18" s="20" customFormat="1" ht="18" customHeight="1" thickBot="1">
      <c r="A2581" s="699"/>
      <c r="B2581" s="1775"/>
      <c r="C2581" s="1776"/>
      <c r="D2581" s="1885"/>
      <c r="E2581" s="1981"/>
      <c r="F2581" s="1981"/>
      <c r="G2581" s="1777"/>
      <c r="H2581" s="1777"/>
      <c r="I2581" s="1777"/>
      <c r="J2581" s="1778"/>
      <c r="K2581" s="684"/>
      <c r="L2581" s="363"/>
      <c r="M2581" s="709"/>
      <c r="N2581" s="362" t="str">
        <f t="shared" si="2294"/>
        <v/>
      </c>
      <c r="O2581" s="1763" t="str">
        <f t="shared" si="2295"/>
        <v/>
      </c>
      <c r="P2581" s="1764" t="str">
        <f t="shared" si="2296"/>
        <v/>
      </c>
      <c r="Q2581" s="120" t="str">
        <f t="shared" si="2297"/>
        <v/>
      </c>
      <c r="R2581" s="1765"/>
    </row>
    <row r="2582" spans="1:18" s="120" customFormat="1" ht="18" customHeight="1" thickBot="1">
      <c r="A2582" s="1989">
        <v>43</v>
      </c>
      <c r="B2582" s="1852">
        <v>1</v>
      </c>
      <c r="C2582" s="1756" t="s">
        <v>12605</v>
      </c>
      <c r="D2582" s="1588"/>
      <c r="E2582" s="1589"/>
      <c r="F2582" s="1589"/>
      <c r="G2582" s="1757">
        <f>SUM(F2583:F2664)</f>
        <v>4642.4950000000008</v>
      </c>
      <c r="H2582" s="1758">
        <f>G2582*(1-$D$6)</f>
        <v>4642.4950000000008</v>
      </c>
      <c r="I2582" s="1757">
        <f>ROUNDUP(H2582*$D$5,0)</f>
        <v>15785</v>
      </c>
      <c r="J2582" s="1759">
        <f>+I2582*B2582</f>
        <v>15785</v>
      </c>
      <c r="K2582" s="1788">
        <f>B2582</f>
        <v>1</v>
      </c>
      <c r="L2582" s="363"/>
      <c r="M2582" s="684"/>
      <c r="N2582" s="362" t="str">
        <f t="shared" ref="N2582:N2614" si="2310">IF(O2582&lt;&gt;"",K2582*L2582*M2582,"")</f>
        <v/>
      </c>
      <c r="O2582" s="1763" t="str">
        <f t="shared" ref="O2582:O2614" si="2311">IF(D2582&lt;&gt;"",IF(VLOOKUP(D2582,base_datos,7,FALSE)&lt;&gt;"",VLOOKUP(D2582,base_datos,7,FALSE),""),"")</f>
        <v/>
      </c>
      <c r="P2582" s="1764" t="str">
        <f t="shared" ref="P2582:P2614" si="2312">IF(O2582&lt;&gt;"",VLOOKUP(D2582,base_datos,6,FALSE),"")</f>
        <v/>
      </c>
      <c r="Q2582" s="120" t="str">
        <f t="shared" ref="Q2582:Q2614" si="2313">IF(O2582&lt;&gt;"",D2582,"")</f>
        <v/>
      </c>
      <c r="R2582" s="185"/>
    </row>
    <row r="2583" spans="1:18" s="120" customFormat="1" ht="18" customHeight="1">
      <c r="A2583" s="685" t="s">
        <v>3064</v>
      </c>
      <c r="B2583" s="1903"/>
      <c r="C2583" s="1890"/>
      <c r="D2583" s="1904"/>
      <c r="E2583" s="1789"/>
      <c r="F2583" s="1780"/>
      <c r="G2583" s="686"/>
      <c r="H2583" s="710"/>
      <c r="I2583" s="686"/>
      <c r="J2583" s="1768"/>
      <c r="K2583" s="684">
        <f t="shared" ref="K2583:K2660" si="2314">+K2582</f>
        <v>1</v>
      </c>
      <c r="L2583" s="363">
        <v>1</v>
      </c>
      <c r="M2583" s="709">
        <f t="shared" ref="M2583:M2660" si="2315">IF(B2583="",1,B2583)</f>
        <v>1</v>
      </c>
      <c r="N2583" s="362" t="str">
        <f t="shared" si="2310"/>
        <v/>
      </c>
      <c r="O2583" s="1763" t="str">
        <f t="shared" si="2311"/>
        <v/>
      </c>
      <c r="P2583" s="1764" t="str">
        <f t="shared" si="2312"/>
        <v/>
      </c>
      <c r="Q2583" s="120" t="str">
        <f t="shared" si="2313"/>
        <v/>
      </c>
    </row>
    <row r="2584" spans="1:18" s="315" customFormat="1" ht="12" customHeight="1">
      <c r="A2584" s="687" t="s">
        <v>4021</v>
      </c>
      <c r="B2584" s="2096">
        <v>1</v>
      </c>
      <c r="C2584" s="1907" t="s">
        <v>5103</v>
      </c>
      <c r="D2584" s="1935"/>
      <c r="E2584" s="1786"/>
      <c r="F2584" s="1908">
        <f>SUM(F2586:F2590)*(B2584-1)</f>
        <v>0</v>
      </c>
      <c r="G2584" s="712"/>
      <c r="H2584" s="712"/>
      <c r="I2584" s="712"/>
      <c r="J2584" s="713"/>
      <c r="K2584" s="684">
        <f t="shared" si="2314"/>
        <v>1</v>
      </c>
      <c r="L2584" s="1909">
        <f>B2584</f>
        <v>1</v>
      </c>
      <c r="M2584" s="684">
        <f t="shared" si="2315"/>
        <v>1</v>
      </c>
      <c r="N2584" s="362" t="str">
        <f t="shared" si="2310"/>
        <v/>
      </c>
      <c r="O2584" s="1763" t="str">
        <f t="shared" si="2311"/>
        <v/>
      </c>
      <c r="P2584" s="1764" t="str">
        <f t="shared" si="2312"/>
        <v/>
      </c>
      <c r="Q2584" s="120" t="str">
        <f t="shared" si="2313"/>
        <v/>
      </c>
    </row>
    <row r="2585" spans="1:18" s="185" customFormat="1">
      <c r="A2585" s="687" t="s">
        <v>4136</v>
      </c>
      <c r="B2585" s="1910">
        <v>3</v>
      </c>
      <c r="C2585" s="1911" t="str">
        <f>VLOOKUP(D2585,base_datos,6,FALSE)</f>
        <v>Portalámpara + lampara tipo LED - color Rojo - alimentacion: 220-230Vac, d=22mm. - CL2-523R - línea compacta - marca ABB.</v>
      </c>
      <c r="D2585" s="1790" t="s">
        <v>2439</v>
      </c>
      <c r="E2585" s="1939">
        <f>VLOOKUP(D2585,base_datos,5,FALSE)</f>
        <v>12.299999999999999</v>
      </c>
      <c r="F2585" s="1912">
        <f>+E2585*B2585</f>
        <v>36.9</v>
      </c>
      <c r="G2585" s="710"/>
      <c r="H2585" s="710"/>
      <c r="I2585" s="710"/>
      <c r="J2585" s="711"/>
      <c r="K2585" s="684">
        <f t="shared" si="2314"/>
        <v>1</v>
      </c>
      <c r="L2585" s="1913">
        <f>L2583</f>
        <v>1</v>
      </c>
      <c r="M2585" s="684">
        <f t="shared" si="2315"/>
        <v>3</v>
      </c>
      <c r="N2585" s="362">
        <f t="shared" si="2310"/>
        <v>3</v>
      </c>
      <c r="O2585" s="1763" t="str">
        <f t="shared" si="2311"/>
        <v>1SFA619403R5231</v>
      </c>
      <c r="P2585" s="1764" t="str">
        <f t="shared" si="2312"/>
        <v>Portalámpara + lampara tipo LED - color Rojo - alimentacion: 220-230Vac, d=22mm. - CL2-523R - línea compacta - marca ABB.</v>
      </c>
      <c r="Q2585" s="120" t="str">
        <f t="shared" si="2313"/>
        <v>LAMP_ROJO_220V</v>
      </c>
    </row>
    <row r="2586" spans="1:18" s="185" customFormat="1">
      <c r="A2586" s="687"/>
      <c r="B2586" s="1910">
        <v>3</v>
      </c>
      <c r="C2586" s="1911" t="str">
        <f>VLOOKUP(D2586,base_datos,6,FALSE)</f>
        <v>Portalámpara + lampara tipo LED - color Verde - alimentacion: 220-230Vac, d=22mm. - CL2-523G - línea compacta - marca ABB.</v>
      </c>
      <c r="D2586" s="1790" t="s">
        <v>2440</v>
      </c>
      <c r="E2586" s="1939">
        <f>VLOOKUP(D2586,base_datos,5,FALSE)</f>
        <v>12.299999999999999</v>
      </c>
      <c r="F2586" s="1912">
        <f>+E2586*B2586</f>
        <v>36.9</v>
      </c>
      <c r="G2586" s="710"/>
      <c r="H2586" s="710"/>
      <c r="I2586" s="710"/>
      <c r="J2586" s="711"/>
      <c r="K2586" s="684">
        <f t="shared" si="2314"/>
        <v>1</v>
      </c>
      <c r="L2586" s="1913">
        <f>L2584</f>
        <v>1</v>
      </c>
      <c r="M2586" s="684">
        <f t="shared" si="2315"/>
        <v>3</v>
      </c>
      <c r="N2586" s="362">
        <f t="shared" si="2310"/>
        <v>3</v>
      </c>
      <c r="O2586" s="1763" t="str">
        <f t="shared" si="2311"/>
        <v>1SFA619403R5232</v>
      </c>
      <c r="P2586" s="1764" t="str">
        <f t="shared" si="2312"/>
        <v>Portalámpara + lampara tipo LED - color Verde - alimentacion: 220-230Vac, d=22mm. - CL2-523G - línea compacta - marca ABB.</v>
      </c>
      <c r="Q2586" s="120" t="str">
        <f t="shared" si="2313"/>
        <v>LAMP_VERDE_220V</v>
      </c>
    </row>
    <row r="2587" spans="1:18" s="1921" customFormat="1">
      <c r="A2587" s="687" t="s">
        <v>12356</v>
      </c>
      <c r="B2587" s="1914">
        <v>1</v>
      </c>
      <c r="C2587" s="1915" t="s">
        <v>3366</v>
      </c>
      <c r="D2587" s="1916"/>
      <c r="E2587" s="1917"/>
      <c r="F2587" s="1918"/>
      <c r="G2587" s="1919"/>
      <c r="H2587" s="1919"/>
      <c r="I2587" s="1919"/>
      <c r="J2587" s="1920"/>
      <c r="K2587" s="684">
        <f t="shared" si="2314"/>
        <v>1</v>
      </c>
      <c r="L2587" s="1913">
        <f>L2586</f>
        <v>1</v>
      </c>
      <c r="M2587" s="684">
        <f t="shared" si="2315"/>
        <v>1</v>
      </c>
      <c r="N2587" s="362" t="str">
        <f t="shared" si="2310"/>
        <v/>
      </c>
      <c r="O2587" s="1763" t="str">
        <f t="shared" si="2311"/>
        <v/>
      </c>
      <c r="P2587" s="1764" t="str">
        <f t="shared" si="2312"/>
        <v/>
      </c>
      <c r="Q2587" s="120" t="str">
        <f t="shared" si="2313"/>
        <v/>
      </c>
    </row>
    <row r="2588" spans="1:18" s="320" customFormat="1">
      <c r="A2588" s="687" t="s">
        <v>12538</v>
      </c>
      <c r="B2588" s="1922">
        <v>1</v>
      </c>
      <c r="C2588" s="721" t="str">
        <f>VLOOKUP(D2588,base_datos,6,FALSE)</f>
        <v>Rele auxiliar enchufable +4NA/NC (D2PR4B + base D2PA6), 220Vac - marca EATON.</v>
      </c>
      <c r="D2588" s="1579" t="s">
        <v>772</v>
      </c>
      <c r="E2588" s="1581">
        <f>VLOOKUP(D2588,base_datos,5,FALSE)</f>
        <v>27</v>
      </c>
      <c r="F2588" s="1923">
        <f>+E2588*B2588</f>
        <v>27</v>
      </c>
      <c r="G2588" s="1924"/>
      <c r="H2588" s="1924"/>
      <c r="I2588" s="1924"/>
      <c r="J2588" s="722"/>
      <c r="K2588" s="684">
        <f t="shared" si="2314"/>
        <v>1</v>
      </c>
      <c r="L2588" s="1913">
        <f>L2585</f>
        <v>1</v>
      </c>
      <c r="M2588" s="684">
        <f t="shared" si="2315"/>
        <v>1</v>
      </c>
      <c r="N2588" s="362">
        <f t="shared" si="2310"/>
        <v>1</v>
      </c>
      <c r="O2588" s="1763" t="str">
        <f t="shared" si="2311"/>
        <v>D2PR4B+D2PA6</v>
      </c>
      <c r="P2588" s="1764" t="str">
        <f t="shared" si="2312"/>
        <v>Rele auxiliar enchufable +4NA/NC (D2PR4B + base D2PA6), 220Vac - marca EATON.</v>
      </c>
      <c r="Q2588" s="120" t="str">
        <f t="shared" si="2313"/>
        <v>D2PR4B+D2PA6</v>
      </c>
    </row>
    <row r="2589" spans="1:18" s="320" customFormat="1">
      <c r="A2589" s="1767"/>
      <c r="B2589" s="2131">
        <v>1</v>
      </c>
      <c r="C2589" s="2132" t="s">
        <v>12558</v>
      </c>
      <c r="D2589" s="2133"/>
      <c r="E2589" s="2134">
        <v>32</v>
      </c>
      <c r="F2589" s="2134">
        <f>+E2589*B2589</f>
        <v>32</v>
      </c>
      <c r="G2589" s="1924"/>
      <c r="H2589" s="1924"/>
      <c r="I2589" s="1924"/>
      <c r="J2589" s="722"/>
      <c r="K2589" s="684">
        <f t="shared" si="2314"/>
        <v>1</v>
      </c>
      <c r="L2589" s="1913">
        <f>L2586</f>
        <v>1</v>
      </c>
      <c r="M2589" s="684">
        <f t="shared" si="2315"/>
        <v>1</v>
      </c>
      <c r="N2589" s="362" t="str">
        <f t="shared" si="2310"/>
        <v/>
      </c>
      <c r="O2589" s="1763" t="str">
        <f t="shared" si="2311"/>
        <v/>
      </c>
      <c r="P2589" s="1764" t="str">
        <f t="shared" si="2312"/>
        <v/>
      </c>
      <c r="Q2589" s="120" t="str">
        <f t="shared" si="2313"/>
        <v/>
      </c>
    </row>
    <row r="2590" spans="1:18" s="320" customFormat="1">
      <c r="A2590" s="687" t="s">
        <v>12551</v>
      </c>
      <c r="B2590" s="1922">
        <v>4</v>
      </c>
      <c r="C2590" s="721" t="str">
        <f>VLOOKUP(D2590,base_datos,6,FALSE)</f>
        <v>Base portafusibles + Fusibles de protección para control.</v>
      </c>
      <c r="D2590" s="1579" t="s">
        <v>453</v>
      </c>
      <c r="E2590" s="1581">
        <f>VLOOKUP(D2590,base_datos,5,FALSE)</f>
        <v>8.1750000000000007</v>
      </c>
      <c r="F2590" s="1923">
        <f>+E2590*B2590</f>
        <v>32.700000000000003</v>
      </c>
      <c r="G2590" s="1924"/>
      <c r="H2590" s="1924"/>
      <c r="I2590" s="1924"/>
      <c r="J2590" s="722"/>
      <c r="K2590" s="684">
        <f t="shared" si="2314"/>
        <v>1</v>
      </c>
      <c r="L2590" s="1913">
        <f>L2587</f>
        <v>1</v>
      </c>
      <c r="M2590" s="684">
        <f t="shared" si="2315"/>
        <v>4</v>
      </c>
      <c r="N2590" s="362" t="str">
        <f t="shared" si="2310"/>
        <v/>
      </c>
      <c r="O2590" s="1763" t="str">
        <f t="shared" si="2311"/>
        <v/>
      </c>
      <c r="P2590" s="1764" t="str">
        <f t="shared" si="2312"/>
        <v/>
      </c>
      <c r="Q2590" s="120" t="str">
        <f t="shared" si="2313"/>
        <v/>
      </c>
    </row>
    <row r="2591" spans="1:18" s="315" customFormat="1">
      <c r="A2591" s="687" t="s">
        <v>3542</v>
      </c>
      <c r="B2591" s="1906"/>
      <c r="C2591" s="1907"/>
      <c r="D2591" s="1935"/>
      <c r="E2591" s="1786"/>
      <c r="F2591" s="1936"/>
      <c r="G2591" s="712"/>
      <c r="H2591" s="712"/>
      <c r="I2591" s="712"/>
      <c r="J2591" s="713"/>
      <c r="K2591" s="684">
        <f t="shared" si="2314"/>
        <v>1</v>
      </c>
      <c r="L2591" s="1909">
        <f>B2591</f>
        <v>0</v>
      </c>
      <c r="M2591" s="684">
        <f t="shared" si="2315"/>
        <v>1</v>
      </c>
      <c r="N2591" s="362" t="str">
        <f t="shared" si="2310"/>
        <v/>
      </c>
      <c r="O2591" s="1763" t="str">
        <f t="shared" si="2311"/>
        <v/>
      </c>
      <c r="P2591" s="1764" t="str">
        <f t="shared" si="2312"/>
        <v/>
      </c>
      <c r="Q2591" s="120" t="str">
        <f t="shared" si="2313"/>
        <v/>
      </c>
    </row>
    <row r="2592" spans="1:18" s="185" customFormat="1" ht="13.5" customHeight="1">
      <c r="A2592" s="1771"/>
      <c r="B2592" s="1922"/>
      <c r="C2592" s="1956" t="s">
        <v>12368</v>
      </c>
      <c r="D2592" s="1579"/>
      <c r="E2592" s="1957"/>
      <c r="F2592" s="1958"/>
      <c r="G2592" s="710"/>
      <c r="H2592" s="710"/>
      <c r="I2592" s="710"/>
      <c r="J2592" s="711"/>
      <c r="K2592" s="684">
        <f t="shared" si="2314"/>
        <v>1</v>
      </c>
      <c r="L2592" s="708">
        <v>1</v>
      </c>
      <c r="M2592" s="684">
        <f t="shared" si="2315"/>
        <v>1</v>
      </c>
      <c r="N2592" s="362" t="str">
        <f t="shared" si="2310"/>
        <v/>
      </c>
      <c r="O2592" s="1763" t="str">
        <f t="shared" si="2311"/>
        <v/>
      </c>
      <c r="P2592" s="1764" t="str">
        <f t="shared" si="2312"/>
        <v/>
      </c>
      <c r="Q2592" s="120" t="str">
        <f t="shared" si="2313"/>
        <v/>
      </c>
    </row>
    <row r="2593" spans="1:18" s="120" customFormat="1" ht="18" customHeight="1">
      <c r="A2593" s="687"/>
      <c r="B2593" s="1781"/>
      <c r="C2593" s="1218" t="s">
        <v>3158</v>
      </c>
      <c r="D2593" s="1900"/>
      <c r="E2593" s="1791"/>
      <c r="F2593" s="1782"/>
      <c r="G2593" s="686"/>
      <c r="H2593" s="686"/>
      <c r="I2593" s="686"/>
      <c r="J2593" s="688"/>
      <c r="K2593" s="684">
        <f t="shared" si="2314"/>
        <v>1</v>
      </c>
      <c r="L2593" s="708">
        <v>1</v>
      </c>
      <c r="M2593" s="684">
        <f t="shared" si="2315"/>
        <v>1</v>
      </c>
      <c r="N2593" s="362" t="str">
        <f t="shared" si="2310"/>
        <v/>
      </c>
      <c r="O2593" s="1763" t="str">
        <f t="shared" si="2311"/>
        <v/>
      </c>
      <c r="P2593" s="1764" t="str">
        <f t="shared" si="2312"/>
        <v/>
      </c>
      <c r="Q2593" s="120" t="str">
        <f t="shared" si="2313"/>
        <v/>
      </c>
      <c r="R2593" s="185"/>
    </row>
    <row r="2594" spans="1:18" s="690" customFormat="1" ht="18" customHeight="1">
      <c r="A2594" s="687"/>
      <c r="B2594" s="2096">
        <v>1</v>
      </c>
      <c r="C2594" s="1420" t="str">
        <f>VLOOKUP(D2594,base_datos,6,FALSE)</f>
        <v>ITM Caja Moldeada 3x100A (reg.[0.7-1.0] In) - XT1B160-100A-3P-TMD - 25kA@230Vac, 18kA@415Vac, 18kA@250Vdc - marca ABB.</v>
      </c>
      <c r="D2594" s="1901" t="s">
        <v>4374</v>
      </c>
      <c r="E2594" s="1791">
        <f>VLOOKUP(D2594,base_datos,5,FALSE)</f>
        <v>129.57999999999998</v>
      </c>
      <c r="F2594" s="1782">
        <f>+E2594*B2594</f>
        <v>129.57999999999998</v>
      </c>
      <c r="G2594" s="1761"/>
      <c r="H2594" s="1761"/>
      <c r="I2594" s="1761"/>
      <c r="J2594" s="689"/>
      <c r="K2594" s="684">
        <f t="shared" si="2314"/>
        <v>1</v>
      </c>
      <c r="L2594" s="708">
        <v>1</v>
      </c>
      <c r="M2594" s="684">
        <f t="shared" si="2315"/>
        <v>1</v>
      </c>
      <c r="N2594" s="362">
        <f t="shared" si="2310"/>
        <v>1</v>
      </c>
      <c r="O2594" s="1763" t="str">
        <f t="shared" si="2311"/>
        <v>1SDA066807R1</v>
      </c>
      <c r="P2594" s="1764" t="str">
        <f t="shared" si="2312"/>
        <v>ITM Caja Moldeada 3x100A (reg.[0.7-1.0] In) - XT1B160-100A-3P-TMD - 25kA@230Vac, 18kA@415Vac, 18kA@250Vdc - marca ABB.</v>
      </c>
      <c r="Q2594" s="120" t="str">
        <f t="shared" si="2313"/>
        <v>XT1B160-100A-3P-TMD</v>
      </c>
      <c r="R2594" s="185"/>
    </row>
    <row r="2595" spans="1:18" s="695" customFormat="1" ht="18" customHeight="1">
      <c r="A2595" s="1771"/>
      <c r="B2595" s="1922">
        <v>1</v>
      </c>
      <c r="C2595" s="1848" t="str">
        <f t="shared" ref="C2595" si="2316">VLOOKUP(D2595,base_datos,6,FALSE)</f>
        <v>FC-CuAl_XT1 - Terminales + Cubrebornes - cables de cobre/aluminio hasta 1x95mm2 - 3 terminales (externos)</v>
      </c>
      <c r="D2595" s="1886" t="s">
        <v>956</v>
      </c>
      <c r="E2595" s="1795">
        <f t="shared" ref="E2595" si="2317">VLOOKUP(D2595,base_datos,5,FALSE)</f>
        <v>31.880000000000003</v>
      </c>
      <c r="F2595" s="1923">
        <f t="shared" ref="F2595" si="2318">+E2595*B2595</f>
        <v>31.880000000000003</v>
      </c>
      <c r="G2595" s="696"/>
      <c r="H2595" s="696"/>
      <c r="I2595" s="696"/>
      <c r="J2595" s="697"/>
      <c r="K2595" s="684">
        <f t="shared" si="2314"/>
        <v>1</v>
      </c>
      <c r="L2595" s="1913">
        <f>L2594</f>
        <v>1</v>
      </c>
      <c r="M2595" s="684">
        <f t="shared" ref="M2595" si="2319">IF(B2595="",1,B2595)</f>
        <v>1</v>
      </c>
      <c r="N2595" s="362">
        <f t="shared" si="2310"/>
        <v>1</v>
      </c>
      <c r="O2595" s="1763" t="str">
        <f t="shared" si="2311"/>
        <v>1SDA067155R1</v>
      </c>
      <c r="P2595" s="1764" t="str">
        <f t="shared" si="2312"/>
        <v>FC-CuAl_XT1 - Terminales + Cubrebornes - cables de cobre/aluminio hasta 1x95mm2 - 3 terminales (externos)</v>
      </c>
      <c r="Q2595" s="120" t="str">
        <f t="shared" si="2313"/>
        <v>FC-CuAl_XT1_3t</v>
      </c>
      <c r="R2595" s="185"/>
    </row>
    <row r="2596" spans="1:18" s="185" customFormat="1">
      <c r="A2596" s="1771"/>
      <c r="B2596" s="714"/>
      <c r="C2596" s="313" t="s">
        <v>729</v>
      </c>
      <c r="D2596" s="173"/>
      <c r="E2596" s="1786"/>
      <c r="F2596" s="1787"/>
      <c r="G2596" s="710"/>
      <c r="H2596" s="710"/>
      <c r="I2596" s="710"/>
      <c r="J2596" s="711"/>
      <c r="K2596" s="684">
        <f t="shared" si="2314"/>
        <v>1</v>
      </c>
      <c r="L2596" s="708">
        <v>1</v>
      </c>
      <c r="M2596" s="684">
        <f t="shared" si="2315"/>
        <v>1</v>
      </c>
      <c r="N2596" s="362" t="str">
        <f t="shared" si="2310"/>
        <v/>
      </c>
      <c r="O2596" s="1763" t="str">
        <f t="shared" si="2311"/>
        <v/>
      </c>
      <c r="P2596" s="1764" t="str">
        <f t="shared" si="2312"/>
        <v/>
      </c>
      <c r="Q2596" s="120" t="str">
        <f t="shared" si="2313"/>
        <v/>
      </c>
    </row>
    <row r="2597" spans="1:18" s="690" customFormat="1" ht="18" customHeight="1">
      <c r="A2597" s="1785"/>
      <c r="B2597" s="1851"/>
      <c r="C2597" s="1966" t="s">
        <v>9431</v>
      </c>
      <c r="D2597" s="1582"/>
      <c r="E2597" s="1780"/>
      <c r="F2597" s="1782"/>
      <c r="G2597" s="1761"/>
      <c r="H2597" s="1761"/>
      <c r="I2597" s="1761"/>
      <c r="J2597" s="689"/>
      <c r="K2597" s="684">
        <f t="shared" si="2314"/>
        <v>1</v>
      </c>
      <c r="L2597" s="708">
        <v>1</v>
      </c>
      <c r="M2597" s="709">
        <f t="shared" si="2315"/>
        <v>1</v>
      </c>
      <c r="N2597" s="362" t="str">
        <f t="shared" si="2310"/>
        <v/>
      </c>
      <c r="O2597" s="1763" t="str">
        <f t="shared" si="2311"/>
        <v/>
      </c>
      <c r="P2597" s="1764" t="str">
        <f t="shared" si="2312"/>
        <v/>
      </c>
      <c r="Q2597" s="120" t="str">
        <f t="shared" si="2313"/>
        <v/>
      </c>
      <c r="R2597" s="185"/>
    </row>
    <row r="2598" spans="1:18" s="690" customFormat="1" ht="18" customHeight="1">
      <c r="A2598" s="1785"/>
      <c r="B2598" s="1781">
        <v>2</v>
      </c>
      <c r="C2598" s="1960" t="str">
        <f t="shared" ref="C2598" si="2320">VLOOKUP(D2598,base_datos,6,FALSE)</f>
        <v>ITM Caja Moldeada 3x50A (reg.[0.7-1.0] In) - XT1B160-50A-3P-TMD - 25kA@230Vac, 18kA@415Vac, 18kA@250Vdc - marca ABB.</v>
      </c>
      <c r="D2598" s="1901" t="s">
        <v>4368</v>
      </c>
      <c r="E2598" s="1791">
        <f t="shared" ref="E2598" si="2321">VLOOKUP(D2598,base_datos,5,FALSE)</f>
        <v>120.37</v>
      </c>
      <c r="F2598" s="1782">
        <f t="shared" ref="F2598:F2599" si="2322">+E2598*B2598</f>
        <v>240.74</v>
      </c>
      <c r="G2598" s="1761"/>
      <c r="H2598" s="1761"/>
      <c r="I2598" s="1761"/>
      <c r="J2598" s="1783"/>
      <c r="K2598" s="684">
        <f t="shared" si="2314"/>
        <v>1</v>
      </c>
      <c r="L2598" s="708">
        <v>1</v>
      </c>
      <c r="M2598" s="709">
        <f t="shared" si="2315"/>
        <v>2</v>
      </c>
      <c r="N2598" s="362">
        <f t="shared" si="2310"/>
        <v>2</v>
      </c>
      <c r="O2598" s="1763" t="str">
        <f t="shared" si="2311"/>
        <v>1SDA066804R1</v>
      </c>
      <c r="P2598" s="1764" t="str">
        <f t="shared" si="2312"/>
        <v>ITM Caja Moldeada 3x50A (reg.[0.7-1.0] In) - XT1B160-50A-3P-TMD - 25kA@230Vac, 18kA@415Vac, 18kA@250Vdc - marca ABB.</v>
      </c>
      <c r="Q2598" s="120" t="str">
        <f t="shared" si="2313"/>
        <v>XT1B160-50A-3P-TMD</v>
      </c>
      <c r="R2598" s="185"/>
    </row>
    <row r="2599" spans="1:18" s="695" customFormat="1">
      <c r="A2599" s="687"/>
      <c r="B2599" s="1967">
        <v>1</v>
      </c>
      <c r="C2599" s="1946">
        <v>6</v>
      </c>
      <c r="D2599" s="1582"/>
      <c r="E2599" s="2000">
        <v>24</v>
      </c>
      <c r="F2599" s="1968">
        <f t="shared" si="2322"/>
        <v>24</v>
      </c>
      <c r="G2599" s="1969"/>
      <c r="H2599" s="1969"/>
      <c r="I2599" s="1969"/>
      <c r="J2599" s="1970"/>
      <c r="K2599" s="684">
        <f t="shared" si="2314"/>
        <v>1</v>
      </c>
      <c r="L2599" s="708">
        <v>1</v>
      </c>
      <c r="M2599" s="709">
        <f t="shared" si="2315"/>
        <v>1</v>
      </c>
      <c r="N2599" s="362" t="str">
        <f t="shared" si="2310"/>
        <v/>
      </c>
      <c r="O2599" s="1763" t="str">
        <f t="shared" si="2311"/>
        <v/>
      </c>
      <c r="P2599" s="1764" t="str">
        <f t="shared" si="2312"/>
        <v/>
      </c>
      <c r="Q2599" s="120" t="str">
        <f t="shared" si="2313"/>
        <v/>
      </c>
    </row>
    <row r="2600" spans="1:18" s="185" customFormat="1">
      <c r="A2600" s="1771"/>
      <c r="B2600" s="714"/>
      <c r="C2600" s="313" t="s">
        <v>729</v>
      </c>
      <c r="D2600" s="173"/>
      <c r="E2600" s="1786"/>
      <c r="F2600" s="1787"/>
      <c r="G2600" s="710"/>
      <c r="H2600" s="710"/>
      <c r="I2600" s="710"/>
      <c r="J2600" s="711"/>
      <c r="K2600" s="684">
        <f t="shared" si="2314"/>
        <v>1</v>
      </c>
      <c r="L2600" s="708">
        <v>1</v>
      </c>
      <c r="M2600" s="684">
        <f t="shared" ref="M2600" si="2323">IF(B2600="",1,B2600)</f>
        <v>1</v>
      </c>
      <c r="N2600" s="362" t="str">
        <f t="shared" ref="N2600" si="2324">IF(O2600&lt;&gt;"",K2600*L2600*M2600,"")</f>
        <v/>
      </c>
      <c r="O2600" s="1763" t="str">
        <f t="shared" ref="O2600" si="2325">IF(D2600&lt;&gt;"",IF(VLOOKUP(D2600,base_datos,7,FALSE)&lt;&gt;"",VLOOKUP(D2600,base_datos,7,FALSE),""),"")</f>
        <v/>
      </c>
      <c r="P2600" s="1764" t="str">
        <f t="shared" ref="P2600" si="2326">IF(O2600&lt;&gt;"",VLOOKUP(D2600,base_datos,6,FALSE),"")</f>
        <v/>
      </c>
      <c r="Q2600" s="120" t="str">
        <f t="shared" ref="Q2600" si="2327">IF(O2600&lt;&gt;"",D2600,"")</f>
        <v/>
      </c>
    </row>
    <row r="2601" spans="1:18" s="690" customFormat="1" ht="18" customHeight="1">
      <c r="A2601" s="1785"/>
      <c r="B2601" s="1851"/>
      <c r="C2601" s="1966" t="s">
        <v>12546</v>
      </c>
      <c r="D2601" s="1582"/>
      <c r="E2601" s="1780"/>
      <c r="F2601" s="1782"/>
      <c r="G2601" s="1761"/>
      <c r="H2601" s="1761"/>
      <c r="I2601" s="1761"/>
      <c r="J2601" s="689"/>
      <c r="K2601" s="684">
        <f t="shared" si="2314"/>
        <v>1</v>
      </c>
      <c r="L2601" s="708">
        <v>1</v>
      </c>
      <c r="M2601" s="709">
        <f t="shared" si="2315"/>
        <v>1</v>
      </c>
      <c r="N2601" s="362" t="str">
        <f t="shared" si="2310"/>
        <v/>
      </c>
      <c r="O2601" s="1763" t="str">
        <f t="shared" si="2311"/>
        <v/>
      </c>
      <c r="P2601" s="1764" t="str">
        <f t="shared" si="2312"/>
        <v/>
      </c>
      <c r="Q2601" s="120" t="str">
        <f t="shared" si="2313"/>
        <v/>
      </c>
      <c r="R2601" s="185"/>
    </row>
    <row r="2602" spans="1:18" s="690" customFormat="1" ht="18" customHeight="1">
      <c r="A2602" s="1785"/>
      <c r="B2602" s="1781">
        <v>5</v>
      </c>
      <c r="C2602" s="1960" t="str">
        <f t="shared" ref="C2602:C2606" si="2328">VLOOKUP(D2602,base_datos,6,FALSE)</f>
        <v>ITM Riel-Din 3x16A - S203-C-16A - 10kA@400Vac-IEC60947-2 - marca ABB.</v>
      </c>
      <c r="D2602" s="2007" t="s">
        <v>984</v>
      </c>
      <c r="E2602" s="1791">
        <f t="shared" ref="E2602:E2606" si="2329">VLOOKUP(D2602,base_datos,5,FALSE)</f>
        <v>32.72</v>
      </c>
      <c r="F2602" s="1782">
        <f t="shared" ref="F2602:F2607" si="2330">+E2602*B2602</f>
        <v>163.6</v>
      </c>
      <c r="G2602" s="1761"/>
      <c r="H2602" s="1761"/>
      <c r="I2602" s="1761"/>
      <c r="J2602" s="1783"/>
      <c r="K2602" s="684">
        <f t="shared" si="2314"/>
        <v>1</v>
      </c>
      <c r="L2602" s="708">
        <v>1</v>
      </c>
      <c r="M2602" s="709">
        <f t="shared" si="2315"/>
        <v>5</v>
      </c>
      <c r="N2602" s="362">
        <f t="shared" si="2310"/>
        <v>5</v>
      </c>
      <c r="O2602" s="1763" t="str">
        <f t="shared" si="2311"/>
        <v>2CDS253001R0164</v>
      </c>
      <c r="P2602" s="1764" t="str">
        <f t="shared" si="2312"/>
        <v>ITM Riel-Din 3x16A - S203-C-16A - 10kA@400Vac-IEC60947-2 - marca ABB.</v>
      </c>
      <c r="Q2602" s="120" t="str">
        <f t="shared" si="2313"/>
        <v>S203-C-16A</v>
      </c>
      <c r="R2602" s="185"/>
    </row>
    <row r="2603" spans="1:18" s="690" customFormat="1" ht="18" customHeight="1">
      <c r="A2603" s="1785"/>
      <c r="B2603" s="2023">
        <v>5</v>
      </c>
      <c r="C2603" s="2041" t="str">
        <f t="shared" si="2328"/>
        <v>Interruptor Diferencial 4x25A - 30mA - clase A (inmunizado) - FH204-A-25A-30mA - marca ABB.</v>
      </c>
      <c r="D2603" s="2006" t="s">
        <v>5327</v>
      </c>
      <c r="E2603" s="2025">
        <f t="shared" si="2329"/>
        <v>72.899999999999991</v>
      </c>
      <c r="F2603" s="2026">
        <f t="shared" si="2330"/>
        <v>364.49999999999994</v>
      </c>
      <c r="G2603" s="1761"/>
      <c r="H2603" s="1761"/>
      <c r="I2603" s="1761"/>
      <c r="J2603" s="1783"/>
      <c r="K2603" s="684">
        <f t="shared" si="2314"/>
        <v>1</v>
      </c>
      <c r="L2603" s="708">
        <v>1</v>
      </c>
      <c r="M2603" s="709">
        <f t="shared" si="2315"/>
        <v>5</v>
      </c>
      <c r="N2603" s="362">
        <f t="shared" si="2310"/>
        <v>5</v>
      </c>
      <c r="O2603" s="1763" t="str">
        <f t="shared" si="2311"/>
        <v>2CSF204102R1250</v>
      </c>
      <c r="P2603" s="1764" t="str">
        <f t="shared" si="2312"/>
        <v>Interruptor Diferencial 4x25A - 30mA - clase A (inmunizado) - FH204-A-25A-30mA - marca ABB.</v>
      </c>
      <c r="Q2603" s="120" t="str">
        <f t="shared" si="2313"/>
        <v>FH204-A-25A-30mA</v>
      </c>
      <c r="R2603" s="185"/>
    </row>
    <row r="2604" spans="1:18" s="690" customFormat="1" ht="18" customHeight="1">
      <c r="A2604" s="1785"/>
      <c r="B2604" s="1781">
        <v>10</v>
      </c>
      <c r="C2604" s="1960" t="str">
        <f t="shared" si="2328"/>
        <v>ITM Riel-Din 2x16A - S202-C-16A - 10kA@400Vac-IEC60947-2 - marca ABB.</v>
      </c>
      <c r="D2604" s="2007" t="s">
        <v>970</v>
      </c>
      <c r="E2604" s="1791">
        <f t="shared" si="2329"/>
        <v>17.96</v>
      </c>
      <c r="F2604" s="1782">
        <f t="shared" si="2330"/>
        <v>179.60000000000002</v>
      </c>
      <c r="G2604" s="1761"/>
      <c r="H2604" s="1761"/>
      <c r="I2604" s="1761"/>
      <c r="J2604" s="1783"/>
      <c r="K2604" s="684">
        <f t="shared" si="2314"/>
        <v>1</v>
      </c>
      <c r="L2604" s="708">
        <v>1</v>
      </c>
      <c r="M2604" s="709">
        <f t="shared" si="2315"/>
        <v>10</v>
      </c>
      <c r="N2604" s="362">
        <f t="shared" si="2310"/>
        <v>10</v>
      </c>
      <c r="O2604" s="1763" t="str">
        <f t="shared" si="2311"/>
        <v>2CDS252001R0164</v>
      </c>
      <c r="P2604" s="1764" t="str">
        <f t="shared" si="2312"/>
        <v>ITM Riel-Din 2x16A - S202-C-16A - 10kA@400Vac-IEC60947-2 - marca ABB.</v>
      </c>
      <c r="Q2604" s="120" t="str">
        <f t="shared" si="2313"/>
        <v>S202-C-16A</v>
      </c>
      <c r="R2604" s="185"/>
    </row>
    <row r="2605" spans="1:18" s="690" customFormat="1" ht="18" customHeight="1">
      <c r="A2605" s="1785"/>
      <c r="B2605" s="2023">
        <v>10</v>
      </c>
      <c r="C2605" s="2041" t="str">
        <f t="shared" si="2328"/>
        <v>Interruptor Diferencial 2x25A - 30mA - clase A (inmunizado) - FH202-A-25A-30mA - marca ABB.</v>
      </c>
      <c r="D2605" s="2006" t="s">
        <v>5318</v>
      </c>
      <c r="E2605" s="2025">
        <f t="shared" si="2329"/>
        <v>50</v>
      </c>
      <c r="F2605" s="2026">
        <f t="shared" si="2330"/>
        <v>500</v>
      </c>
      <c r="G2605" s="1761"/>
      <c r="H2605" s="1761"/>
      <c r="I2605" s="1761"/>
      <c r="J2605" s="1783"/>
      <c r="K2605" s="684">
        <f t="shared" si="2314"/>
        <v>1</v>
      </c>
      <c r="L2605" s="708">
        <v>1</v>
      </c>
      <c r="M2605" s="709">
        <f t="shared" si="2315"/>
        <v>10</v>
      </c>
      <c r="N2605" s="362">
        <f t="shared" si="2310"/>
        <v>10</v>
      </c>
      <c r="O2605" s="1763" t="str">
        <f t="shared" si="2311"/>
        <v>2CSF202102R1250</v>
      </c>
      <c r="P2605" s="1764" t="str">
        <f t="shared" si="2312"/>
        <v>Interruptor Diferencial 2x25A - 30mA - clase A (inmunizado) - FH202-A-25A-30mA - marca ABB.</v>
      </c>
      <c r="Q2605" s="120" t="str">
        <f t="shared" si="2313"/>
        <v>FH202-A-25A-30mA</v>
      </c>
      <c r="R2605" s="185"/>
    </row>
    <row r="2606" spans="1:18" s="690" customFormat="1" ht="18" customHeight="1">
      <c r="A2606" s="1785"/>
      <c r="B2606" s="1781">
        <v>1</v>
      </c>
      <c r="C2606" s="1960" t="str">
        <f t="shared" si="2328"/>
        <v>Espacio de reserva trifásica + interruptor diferencial - Riel-Din.</v>
      </c>
      <c r="D2606" s="2006" t="s">
        <v>2923</v>
      </c>
      <c r="E2606" s="1791">
        <f t="shared" si="2329"/>
        <v>2.5</v>
      </c>
      <c r="F2606" s="1782">
        <f t="shared" si="2330"/>
        <v>2.5</v>
      </c>
      <c r="G2606" s="1761"/>
      <c r="H2606" s="1761"/>
      <c r="I2606" s="1761"/>
      <c r="J2606" s="1783"/>
      <c r="K2606" s="684">
        <f t="shared" si="2314"/>
        <v>1</v>
      </c>
      <c r="L2606" s="708">
        <v>1</v>
      </c>
      <c r="M2606" s="709">
        <f t="shared" si="2315"/>
        <v>1</v>
      </c>
      <c r="N2606" s="362" t="str">
        <f t="shared" si="2310"/>
        <v/>
      </c>
      <c r="O2606" s="1763" t="str">
        <f t="shared" si="2311"/>
        <v/>
      </c>
      <c r="P2606" s="1764" t="str">
        <f t="shared" si="2312"/>
        <v/>
      </c>
      <c r="Q2606" s="120" t="str">
        <f t="shared" si="2313"/>
        <v/>
      </c>
      <c r="R2606" s="185"/>
    </row>
    <row r="2607" spans="1:18" s="695" customFormat="1">
      <c r="A2607" s="687"/>
      <c r="B2607" s="1967">
        <v>1</v>
      </c>
      <c r="C2607" s="1946">
        <v>30</v>
      </c>
      <c r="D2607" s="1582"/>
      <c r="E2607" s="2000">
        <v>81</v>
      </c>
      <c r="F2607" s="1968">
        <f t="shared" si="2330"/>
        <v>81</v>
      </c>
      <c r="G2607" s="1969"/>
      <c r="H2607" s="1969"/>
      <c r="I2607" s="1969"/>
      <c r="J2607" s="1970"/>
      <c r="K2607" s="684">
        <f t="shared" si="2314"/>
        <v>1</v>
      </c>
      <c r="L2607" s="708">
        <v>1</v>
      </c>
      <c r="M2607" s="709">
        <f t="shared" si="2315"/>
        <v>1</v>
      </c>
      <c r="N2607" s="362" t="str">
        <f t="shared" si="2310"/>
        <v/>
      </c>
      <c r="O2607" s="1763" t="str">
        <f t="shared" si="2311"/>
        <v/>
      </c>
      <c r="P2607" s="1764" t="str">
        <f t="shared" si="2312"/>
        <v/>
      </c>
      <c r="Q2607" s="120" t="str">
        <f t="shared" si="2313"/>
        <v/>
      </c>
    </row>
    <row r="2608" spans="1:18" s="185" customFormat="1">
      <c r="A2608" s="1785"/>
      <c r="B2608" s="714"/>
      <c r="C2608" s="1893" t="s">
        <v>729</v>
      </c>
      <c r="D2608" s="1941"/>
      <c r="E2608" s="1786"/>
      <c r="F2608" s="1787"/>
      <c r="G2608" s="710"/>
      <c r="H2608" s="710"/>
      <c r="I2608" s="710"/>
      <c r="J2608" s="711"/>
      <c r="K2608" s="684">
        <f t="shared" si="2314"/>
        <v>1</v>
      </c>
      <c r="L2608" s="708">
        <v>1</v>
      </c>
      <c r="M2608" s="709">
        <f t="shared" si="2315"/>
        <v>1</v>
      </c>
      <c r="N2608" s="362" t="str">
        <f t="shared" si="2310"/>
        <v/>
      </c>
      <c r="O2608" s="1763" t="str">
        <f t="shared" si="2311"/>
        <v/>
      </c>
      <c r="P2608" s="1764" t="str">
        <f t="shared" si="2312"/>
        <v/>
      </c>
      <c r="Q2608" s="120" t="str">
        <f t="shared" si="2313"/>
        <v/>
      </c>
    </row>
    <row r="2609" spans="1:18" s="690" customFormat="1" ht="18" customHeight="1">
      <c r="A2609" s="1785"/>
      <c r="B2609" s="1851"/>
      <c r="C2609" s="1966" t="s">
        <v>12547</v>
      </c>
      <c r="D2609" s="1582"/>
      <c r="E2609" s="1780"/>
      <c r="F2609" s="1782"/>
      <c r="G2609" s="1761"/>
      <c r="H2609" s="1761"/>
      <c r="I2609" s="1761"/>
      <c r="J2609" s="689"/>
      <c r="K2609" s="684">
        <f t="shared" si="2314"/>
        <v>1</v>
      </c>
      <c r="L2609" s="708">
        <v>1</v>
      </c>
      <c r="M2609" s="709">
        <f t="shared" si="2315"/>
        <v>1</v>
      </c>
      <c r="N2609" s="362" t="str">
        <f t="shared" si="2310"/>
        <v/>
      </c>
      <c r="O2609" s="1763" t="str">
        <f t="shared" si="2311"/>
        <v/>
      </c>
      <c r="P2609" s="1764" t="str">
        <f t="shared" si="2312"/>
        <v/>
      </c>
      <c r="Q2609" s="120" t="str">
        <f t="shared" si="2313"/>
        <v/>
      </c>
      <c r="R2609" s="185"/>
    </row>
    <row r="2610" spans="1:18" s="690" customFormat="1" ht="18" customHeight="1">
      <c r="A2610" s="1785"/>
      <c r="B2610" s="1781">
        <v>16</v>
      </c>
      <c r="C2610" s="1960" t="str">
        <f t="shared" ref="C2610:C2612" si="2331">VLOOKUP(D2610,base_datos,6,FALSE)</f>
        <v>ITM Riel-Din 2x16A - S202-C-16A - 10kA@400Vac-IEC60947-2 - marca ABB.</v>
      </c>
      <c r="D2610" s="2007" t="s">
        <v>970</v>
      </c>
      <c r="E2610" s="1791">
        <f t="shared" ref="E2610:E2612" si="2332">VLOOKUP(D2610,base_datos,5,FALSE)</f>
        <v>17.96</v>
      </c>
      <c r="F2610" s="1782">
        <f t="shared" ref="F2610:F2613" si="2333">+E2610*B2610</f>
        <v>287.36</v>
      </c>
      <c r="G2610" s="1761"/>
      <c r="H2610" s="1761"/>
      <c r="I2610" s="1761"/>
      <c r="J2610" s="1783"/>
      <c r="K2610" s="684">
        <f t="shared" si="2314"/>
        <v>1</v>
      </c>
      <c r="L2610" s="708">
        <v>1</v>
      </c>
      <c r="M2610" s="709">
        <f t="shared" si="2315"/>
        <v>16</v>
      </c>
      <c r="N2610" s="362">
        <f t="shared" si="2310"/>
        <v>16</v>
      </c>
      <c r="O2610" s="1763" t="str">
        <f t="shared" si="2311"/>
        <v>2CDS252001R0164</v>
      </c>
      <c r="P2610" s="1764" t="str">
        <f t="shared" si="2312"/>
        <v>ITM Riel-Din 2x16A - S202-C-16A - 10kA@400Vac-IEC60947-2 - marca ABB.</v>
      </c>
      <c r="Q2610" s="120" t="str">
        <f t="shared" si="2313"/>
        <v>S202-C-16A</v>
      </c>
      <c r="R2610" s="185"/>
    </row>
    <row r="2611" spans="1:18" s="690" customFormat="1" ht="18" customHeight="1">
      <c r="A2611" s="1785"/>
      <c r="B2611" s="2023">
        <v>16</v>
      </c>
      <c r="C2611" s="2041" t="str">
        <f t="shared" si="2331"/>
        <v>Interruptor Diferencial 2x25A - 30mA - clase A (inmunizado) - FH202-A-25A-30mA - marca ABB.</v>
      </c>
      <c r="D2611" s="2006" t="s">
        <v>5318</v>
      </c>
      <c r="E2611" s="2025">
        <f t="shared" si="2332"/>
        <v>50</v>
      </c>
      <c r="F2611" s="2026">
        <f t="shared" si="2333"/>
        <v>800</v>
      </c>
      <c r="G2611" s="1761"/>
      <c r="H2611" s="1761"/>
      <c r="I2611" s="1761"/>
      <c r="J2611" s="1783"/>
      <c r="K2611" s="684">
        <f t="shared" si="2314"/>
        <v>1</v>
      </c>
      <c r="L2611" s="708">
        <v>1</v>
      </c>
      <c r="M2611" s="709">
        <f t="shared" si="2315"/>
        <v>16</v>
      </c>
      <c r="N2611" s="362">
        <f t="shared" si="2310"/>
        <v>16</v>
      </c>
      <c r="O2611" s="1763" t="str">
        <f t="shared" si="2311"/>
        <v>2CSF202102R1250</v>
      </c>
      <c r="P2611" s="1764" t="str">
        <f t="shared" si="2312"/>
        <v>Interruptor Diferencial 2x25A - 30mA - clase A (inmunizado) - FH202-A-25A-30mA - marca ABB.</v>
      </c>
      <c r="Q2611" s="120" t="str">
        <f t="shared" si="2313"/>
        <v>FH202-A-25A-30mA</v>
      </c>
      <c r="R2611" s="185"/>
    </row>
    <row r="2612" spans="1:18" s="690" customFormat="1" ht="18" customHeight="1">
      <c r="A2612" s="1785"/>
      <c r="B2612" s="1781">
        <v>2</v>
      </c>
      <c r="C2612" s="1960" t="str">
        <f t="shared" si="2331"/>
        <v>Espacio de reserva trifásica + interruptor diferencial - Riel-Din.</v>
      </c>
      <c r="D2612" s="2006" t="s">
        <v>2923</v>
      </c>
      <c r="E2612" s="1791">
        <f t="shared" si="2332"/>
        <v>2.5</v>
      </c>
      <c r="F2612" s="1782">
        <f t="shared" si="2333"/>
        <v>5</v>
      </c>
      <c r="G2612" s="1761"/>
      <c r="H2612" s="1761"/>
      <c r="I2612" s="1761"/>
      <c r="J2612" s="1783"/>
      <c r="K2612" s="684">
        <f t="shared" si="2314"/>
        <v>1</v>
      </c>
      <c r="L2612" s="708">
        <v>1</v>
      </c>
      <c r="M2612" s="709">
        <f t="shared" si="2315"/>
        <v>2</v>
      </c>
      <c r="N2612" s="362" t="str">
        <f t="shared" si="2310"/>
        <v/>
      </c>
      <c r="O2612" s="1763" t="str">
        <f t="shared" si="2311"/>
        <v/>
      </c>
      <c r="P2612" s="1764" t="str">
        <f t="shared" si="2312"/>
        <v/>
      </c>
      <c r="Q2612" s="120" t="str">
        <f t="shared" si="2313"/>
        <v/>
      </c>
      <c r="R2612" s="185"/>
    </row>
    <row r="2613" spans="1:18" s="695" customFormat="1">
      <c r="A2613" s="687"/>
      <c r="B2613" s="1967">
        <v>1</v>
      </c>
      <c r="C2613" s="1946">
        <v>36</v>
      </c>
      <c r="D2613" s="1582"/>
      <c r="E2613" s="2000">
        <v>93</v>
      </c>
      <c r="F2613" s="1968">
        <f t="shared" si="2333"/>
        <v>93</v>
      </c>
      <c r="G2613" s="1969"/>
      <c r="H2613" s="1969"/>
      <c r="I2613" s="1969"/>
      <c r="J2613" s="1970"/>
      <c r="K2613" s="684">
        <f t="shared" si="2314"/>
        <v>1</v>
      </c>
      <c r="L2613" s="363">
        <v>1</v>
      </c>
      <c r="M2613" s="709">
        <f t="shared" si="2315"/>
        <v>1</v>
      </c>
      <c r="N2613" s="362" t="str">
        <f t="shared" si="2310"/>
        <v/>
      </c>
      <c r="O2613" s="1763" t="str">
        <f t="shared" si="2311"/>
        <v/>
      </c>
      <c r="P2613" s="1764" t="str">
        <f t="shared" si="2312"/>
        <v/>
      </c>
      <c r="Q2613" s="120" t="str">
        <f t="shared" si="2313"/>
        <v/>
      </c>
    </row>
    <row r="2614" spans="1:18" s="185" customFormat="1">
      <c r="A2614" s="1785"/>
      <c r="B2614" s="714"/>
      <c r="C2614" s="1893" t="s">
        <v>729</v>
      </c>
      <c r="D2614" s="1941"/>
      <c r="E2614" s="1786"/>
      <c r="F2614" s="1787"/>
      <c r="G2614" s="710"/>
      <c r="H2614" s="710"/>
      <c r="I2614" s="710"/>
      <c r="J2614" s="711"/>
      <c r="K2614" s="684">
        <f t="shared" si="2314"/>
        <v>1</v>
      </c>
      <c r="L2614" s="363">
        <v>1</v>
      </c>
      <c r="M2614" s="709">
        <f t="shared" si="2315"/>
        <v>1</v>
      </c>
      <c r="N2614" s="362" t="str">
        <f t="shared" si="2310"/>
        <v/>
      </c>
      <c r="O2614" s="1763" t="str">
        <f t="shared" si="2311"/>
        <v/>
      </c>
      <c r="P2614" s="1764" t="str">
        <f t="shared" si="2312"/>
        <v/>
      </c>
      <c r="Q2614" s="120" t="str">
        <f t="shared" si="2313"/>
        <v/>
      </c>
    </row>
    <row r="2615" spans="1:18" s="315" customFormat="1">
      <c r="A2615" s="1785"/>
      <c r="B2615" s="1906">
        <v>2</v>
      </c>
      <c r="C2615" s="1944" t="s">
        <v>13040</v>
      </c>
      <c r="D2615" s="1941"/>
      <c r="E2615" s="1786"/>
      <c r="F2615" s="1908">
        <f>SUM(F2616:F2621)*(B2615-1)</f>
        <v>52.984999999999999</v>
      </c>
      <c r="G2615" s="712"/>
      <c r="H2615" s="712"/>
      <c r="I2615" s="712"/>
      <c r="J2615" s="713"/>
      <c r="K2615" s="684">
        <f t="shared" si="2314"/>
        <v>1</v>
      </c>
      <c r="L2615" s="2224">
        <f>B2615</f>
        <v>2</v>
      </c>
      <c r="M2615" s="709">
        <f>IF(B2615="",1,B2615)</f>
        <v>2</v>
      </c>
      <c r="N2615" s="362" t="str">
        <f t="shared" ref="N2615:N2661" si="2334">IF(O2615&lt;&gt;"",K2615*L2615*M2615,"")</f>
        <v/>
      </c>
      <c r="O2615" s="1763" t="str">
        <f t="shared" ref="O2615:O2661" si="2335">IF(D2615&lt;&gt;"",IF(VLOOKUP(D2615,base_datos,7,FALSE)&lt;&gt;"",VLOOKUP(D2615,base_datos,7,FALSE),""),"")</f>
        <v/>
      </c>
      <c r="P2615" s="1764" t="str">
        <f t="shared" ref="P2615:P2661" si="2336">IF(O2615&lt;&gt;"",VLOOKUP(D2615,base_datos,6,FALSE),"")</f>
        <v/>
      </c>
      <c r="Q2615" s="120" t="str">
        <f t="shared" ref="Q2615:Q2661" si="2337">IF(O2615&lt;&gt;"",D2615,"")</f>
        <v/>
      </c>
    </row>
    <row r="2616" spans="1:18" s="690" customFormat="1" ht="18" customHeight="1">
      <c r="A2616" s="691"/>
      <c r="B2616" s="1781">
        <v>1</v>
      </c>
      <c r="C2616" s="1420" t="str">
        <f>VLOOKUP(D2616,base_datos,6,FALSE)</f>
        <v>Contactor 3x09A(AC-3) / 3x25A(AC-1) +1NA - AF09-30-10-13 - bobina 100-250Vac/dc - marca ABB.</v>
      </c>
      <c r="D2616" s="1901" t="s">
        <v>1447</v>
      </c>
      <c r="E2616" s="1791">
        <f>VLOOKUP(D2616,base_datos,5,FALSE)</f>
        <v>29.89</v>
      </c>
      <c r="F2616" s="1912">
        <f>+E2616*B2616</f>
        <v>29.89</v>
      </c>
      <c r="G2616" s="1761"/>
      <c r="H2616" s="1761"/>
      <c r="I2616" s="1761"/>
      <c r="J2616" s="1783"/>
      <c r="K2616" s="684">
        <f t="shared" si="2314"/>
        <v>1</v>
      </c>
      <c r="L2616" s="1913">
        <f>L2615</f>
        <v>2</v>
      </c>
      <c r="M2616" s="709">
        <f t="shared" ref="M2616:M2621" si="2338">IF(B2616="",1,B2616)</f>
        <v>1</v>
      </c>
      <c r="N2616" s="362">
        <f t="shared" si="2334"/>
        <v>2</v>
      </c>
      <c r="O2616" s="1763" t="str">
        <f t="shared" si="2335"/>
        <v>1SBL137001R1310</v>
      </c>
      <c r="P2616" s="1764" t="str">
        <f t="shared" si="2336"/>
        <v>Contactor 3x09A(AC-3) / 3x25A(AC-1) +1NA - AF09-30-10-13 - bobina 100-250Vac/dc - marca ABB.</v>
      </c>
      <c r="Q2616" s="120" t="str">
        <f t="shared" si="2337"/>
        <v>AF09-30-10-13_3p</v>
      </c>
      <c r="R2616" s="185"/>
    </row>
    <row r="2617" spans="1:18" s="690" customFormat="1" ht="18" customHeight="1">
      <c r="A2617" s="691"/>
      <c r="B2617" s="1922">
        <v>1</v>
      </c>
      <c r="C2617" s="1848" t="str">
        <f>VLOOKUP(D2617,base_datos,6,FALSE)</f>
        <v>Contacto auxiliar frontal 1NA para contactor AF09..AF16-30-10, frontal - Modelo CA4-10 - marca ABB.</v>
      </c>
      <c r="D2617" s="1901" t="s">
        <v>2718</v>
      </c>
      <c r="E2617" s="1791">
        <f>VLOOKUP(D2617,base_datos,5,FALSE)</f>
        <v>5.92</v>
      </c>
      <c r="F2617" s="1912">
        <f>+E2617*B2617</f>
        <v>5.92</v>
      </c>
      <c r="G2617" s="1761"/>
      <c r="H2617" s="1761"/>
      <c r="I2617" s="1761"/>
      <c r="J2617" s="1783"/>
      <c r="K2617" s="684">
        <f t="shared" si="2314"/>
        <v>1</v>
      </c>
      <c r="L2617" s="1913">
        <f t="shared" ref="L2617" si="2339">L2616</f>
        <v>2</v>
      </c>
      <c r="M2617" s="709">
        <f t="shared" si="2338"/>
        <v>1</v>
      </c>
      <c r="N2617" s="362">
        <f t="shared" si="2334"/>
        <v>2</v>
      </c>
      <c r="O2617" s="1763" t="str">
        <f t="shared" si="2335"/>
        <v>1SBN010110R1010</v>
      </c>
      <c r="P2617" s="1764" t="str">
        <f t="shared" si="2336"/>
        <v>Contacto auxiliar frontal 1NA para contactor AF09..AF16-30-10, frontal - Modelo CA4-10 - marca ABB.</v>
      </c>
      <c r="Q2617" s="120" t="str">
        <f t="shared" si="2337"/>
        <v>CA4-10</v>
      </c>
      <c r="R2617" s="185"/>
    </row>
    <row r="2618" spans="1:18" s="1921" customFormat="1">
      <c r="A2618" s="687"/>
      <c r="B2618" s="1914">
        <v>1</v>
      </c>
      <c r="C2618" s="1915" t="s">
        <v>3366</v>
      </c>
      <c r="D2618" s="1916"/>
      <c r="E2618" s="1917"/>
      <c r="F2618" s="1918"/>
      <c r="G2618" s="1919"/>
      <c r="H2618" s="1919"/>
      <c r="I2618" s="1919"/>
      <c r="J2618" s="1920"/>
      <c r="K2618" s="684">
        <f t="shared" si="2314"/>
        <v>1</v>
      </c>
      <c r="L2618" s="1913">
        <f>L2617</f>
        <v>2</v>
      </c>
      <c r="M2618" s="684">
        <f t="shared" si="2338"/>
        <v>1</v>
      </c>
      <c r="N2618" s="362" t="str">
        <f t="shared" si="2334"/>
        <v/>
      </c>
      <c r="O2618" s="1763" t="str">
        <f t="shared" si="2335"/>
        <v/>
      </c>
      <c r="P2618" s="1764" t="str">
        <f t="shared" si="2336"/>
        <v/>
      </c>
      <c r="Q2618" s="120" t="str">
        <f t="shared" si="2337"/>
        <v/>
      </c>
    </row>
    <row r="2619" spans="1:18" s="695" customFormat="1" ht="18" customHeight="1">
      <c r="A2619" s="693"/>
      <c r="B2619" s="1922">
        <v>1</v>
      </c>
      <c r="C2619" s="1848" t="str">
        <f t="shared" ref="C2619:C2621" si="2340">VLOOKUP(D2619,base_datos,6,FALSE)</f>
        <v>Base portafusibles + Fusibles de protección para control.</v>
      </c>
      <c r="D2619" s="1886" t="s">
        <v>453</v>
      </c>
      <c r="E2619" s="1795">
        <f t="shared" ref="E2619:E2621" si="2341">VLOOKUP(D2619,base_datos,5,FALSE)</f>
        <v>8.1750000000000007</v>
      </c>
      <c r="F2619" s="1923">
        <f t="shared" ref="F2619:F2621" si="2342">+E2619*B2619</f>
        <v>8.1750000000000007</v>
      </c>
      <c r="G2619" s="696"/>
      <c r="H2619" s="696"/>
      <c r="I2619" s="696"/>
      <c r="J2619" s="697"/>
      <c r="K2619" s="684">
        <f t="shared" si="2314"/>
        <v>1</v>
      </c>
      <c r="L2619" s="1913">
        <f>L2617</f>
        <v>2</v>
      </c>
      <c r="M2619" s="709">
        <f t="shared" si="2338"/>
        <v>1</v>
      </c>
      <c r="N2619" s="362" t="str">
        <f t="shared" si="2334"/>
        <v/>
      </c>
      <c r="O2619" s="1763" t="str">
        <f t="shared" si="2335"/>
        <v/>
      </c>
      <c r="P2619" s="1764" t="str">
        <f t="shared" si="2336"/>
        <v/>
      </c>
      <c r="Q2619" s="120" t="str">
        <f t="shared" si="2337"/>
        <v/>
      </c>
      <c r="R2619" s="185"/>
    </row>
    <row r="2620" spans="1:18" s="695" customFormat="1" ht="18" customHeight="1">
      <c r="A2620" s="1785"/>
      <c r="B2620" s="1922">
        <v>1</v>
      </c>
      <c r="C2620" s="1848" t="str">
        <f t="shared" si="2340"/>
        <v>Borne para neutro.</v>
      </c>
      <c r="D2620" s="1886" t="s">
        <v>436</v>
      </c>
      <c r="E2620" s="1795">
        <f t="shared" si="2341"/>
        <v>4</v>
      </c>
      <c r="F2620" s="1923">
        <f t="shared" si="2342"/>
        <v>4</v>
      </c>
      <c r="G2620" s="696"/>
      <c r="H2620" s="696"/>
      <c r="I2620" s="696"/>
      <c r="J2620" s="697"/>
      <c r="K2620" s="684">
        <f t="shared" si="2314"/>
        <v>1</v>
      </c>
      <c r="L2620" s="1913">
        <f t="shared" ref="L2620" si="2343">L2617</f>
        <v>2</v>
      </c>
      <c r="M2620" s="709">
        <f t="shared" si="2338"/>
        <v>1</v>
      </c>
      <c r="N2620" s="362" t="str">
        <f t="shared" ref="N2620" si="2344">IF(O2620&lt;&gt;"",K2620*L2620*M2620,"")</f>
        <v/>
      </c>
      <c r="O2620" s="1763" t="str">
        <f t="shared" ref="O2620" si="2345">IF(D2620&lt;&gt;"",IF(VLOOKUP(D2620,base_datos,7,FALSE)&lt;&gt;"",VLOOKUP(D2620,base_datos,7,FALSE),""),"")</f>
        <v/>
      </c>
      <c r="P2620" s="1764" t="str">
        <f t="shared" ref="P2620" si="2346">IF(O2620&lt;&gt;"",VLOOKUP(D2620,base_datos,6,FALSE),"")</f>
        <v/>
      </c>
      <c r="Q2620" s="120" t="str">
        <f t="shared" ref="Q2620" si="2347">IF(O2620&lt;&gt;"",D2620,"")</f>
        <v/>
      </c>
      <c r="R2620" s="185"/>
    </row>
    <row r="2621" spans="1:18" s="695" customFormat="1" ht="18" customHeight="1">
      <c r="A2621" s="693"/>
      <c r="B2621" s="1922">
        <v>2</v>
      </c>
      <c r="C2621" s="1848" t="str">
        <f t="shared" si="2340"/>
        <v>Borne 4mm2.</v>
      </c>
      <c r="D2621" s="1886" t="s">
        <v>437</v>
      </c>
      <c r="E2621" s="1795">
        <f t="shared" si="2341"/>
        <v>2.5</v>
      </c>
      <c r="F2621" s="1923">
        <f t="shared" si="2342"/>
        <v>5</v>
      </c>
      <c r="G2621" s="696"/>
      <c r="H2621" s="696"/>
      <c r="I2621" s="696"/>
      <c r="J2621" s="697"/>
      <c r="K2621" s="684">
        <f t="shared" si="2314"/>
        <v>1</v>
      </c>
      <c r="L2621" s="1913">
        <f>L2619</f>
        <v>2</v>
      </c>
      <c r="M2621" s="709">
        <f t="shared" si="2338"/>
        <v>2</v>
      </c>
      <c r="N2621" s="362" t="str">
        <f t="shared" si="2334"/>
        <v/>
      </c>
      <c r="O2621" s="1763" t="str">
        <f t="shared" si="2335"/>
        <v/>
      </c>
      <c r="P2621" s="1764" t="str">
        <f t="shared" si="2336"/>
        <v/>
      </c>
      <c r="Q2621" s="120" t="str">
        <f t="shared" si="2337"/>
        <v/>
      </c>
      <c r="R2621" s="185"/>
    </row>
    <row r="2622" spans="1:18" s="185" customFormat="1">
      <c r="A2622" s="692"/>
      <c r="B2622" s="714"/>
      <c r="C2622" s="1893" t="s">
        <v>729</v>
      </c>
      <c r="D2622" s="1941"/>
      <c r="E2622" s="1786"/>
      <c r="F2622" s="1787"/>
      <c r="G2622" s="710"/>
      <c r="H2622" s="710"/>
      <c r="I2622" s="710"/>
      <c r="J2622" s="711"/>
      <c r="K2622" s="684">
        <f t="shared" si="2314"/>
        <v>1</v>
      </c>
      <c r="L2622" s="363">
        <v>1</v>
      </c>
      <c r="M2622" s="709">
        <f>IF(B2622="",1,B2622)</f>
        <v>1</v>
      </c>
      <c r="N2622" s="362" t="str">
        <f t="shared" si="2334"/>
        <v/>
      </c>
      <c r="O2622" s="1763" t="str">
        <f t="shared" si="2335"/>
        <v/>
      </c>
      <c r="P2622" s="1764" t="str">
        <f t="shared" si="2336"/>
        <v/>
      </c>
      <c r="Q2622" s="120" t="str">
        <f t="shared" si="2337"/>
        <v/>
      </c>
    </row>
    <row r="2623" spans="1:18" s="2434" customFormat="1" ht="18" customHeight="1">
      <c r="A2623" s="2418"/>
      <c r="B2623" s="2419">
        <v>2</v>
      </c>
      <c r="C2623" s="2420" t="s">
        <v>13045</v>
      </c>
      <c r="D2623" s="2421"/>
      <c r="E2623" s="2422"/>
      <c r="F2623" s="2423">
        <f>SUM(F2624:F2628)*(B2623-1)</f>
        <v>33.855000000000004</v>
      </c>
      <c r="G2623" s="2424"/>
      <c r="H2623" s="2424"/>
      <c r="I2623" s="2424"/>
      <c r="J2623" s="2425"/>
      <c r="K2623" s="2426">
        <f>K2621</f>
        <v>1</v>
      </c>
      <c r="L2623" s="2427">
        <f>B2623</f>
        <v>2</v>
      </c>
      <c r="M2623" s="2428">
        <f t="shared" ref="M2623:M2625" si="2348">IF(B2623="",1,B2623)</f>
        <v>2</v>
      </c>
      <c r="N2623" s="2429" t="str">
        <f>IF(O2623&lt;&gt;"",K2623*L2623*M2623,"")</f>
        <v/>
      </c>
      <c r="O2623" s="2430" t="str">
        <f>IF(D2623&lt;&gt;"",IF(VLOOKUP(D2623,base_datos,7,FALSE)&lt;&gt;"",VLOOKUP(D2623,base_datos,7,FALSE),""),"")</f>
        <v/>
      </c>
      <c r="P2623" s="2431" t="str">
        <f>IF(O2623&lt;&gt;"",VLOOKUP(D2623,base_datos,6,FALSE),"")</f>
        <v/>
      </c>
      <c r="Q2623" s="2432" t="str">
        <f>IF(O2623&lt;&gt;"",D2623,"")</f>
        <v/>
      </c>
      <c r="R2623" s="2433"/>
    </row>
    <row r="2624" spans="1:18" s="2434" customFormat="1" ht="18" customHeight="1">
      <c r="A2624" s="2418"/>
      <c r="B2624" s="2435">
        <v>1</v>
      </c>
      <c r="C2624" s="2436" t="str">
        <f>VLOOKUP(D2624,base_datos,6,FALSE)</f>
        <v>Selector 3 posiciones mantenidos - 1-0-2 / M-0-A - maneta corta, contactos 2NA - C3SS1-10B-20 - compacto - marca ABB.</v>
      </c>
      <c r="D2624" s="2437" t="s">
        <v>1223</v>
      </c>
      <c r="E2624" s="2422">
        <f>VLOOKUP(D2624,base_datos,5,FALSE)</f>
        <v>16.680000000000003</v>
      </c>
      <c r="F2624" s="2438">
        <f t="shared" ref="F2624" si="2349">+E2624*B2624</f>
        <v>16.680000000000003</v>
      </c>
      <c r="G2624" s="2424"/>
      <c r="H2624" s="2424"/>
      <c r="I2624" s="2424"/>
      <c r="J2624" s="2425"/>
      <c r="K2624" s="2426">
        <f t="shared" ref="K2624:K2634" si="2350">K2622</f>
        <v>1</v>
      </c>
      <c r="L2624" s="2427">
        <f>L2623</f>
        <v>2</v>
      </c>
      <c r="M2624" s="2428">
        <f t="shared" si="2348"/>
        <v>1</v>
      </c>
      <c r="N2624" s="2429">
        <f>IF(O2624&lt;&gt;"",K2624*L2624*M2624,"")</f>
        <v>2</v>
      </c>
      <c r="O2624" s="2430" t="str">
        <f>IF(D2624&lt;&gt;"",IF(VLOOKUP(D2624,base_datos,7,FALSE)&lt;&gt;"",VLOOKUP(D2624,base_datos,7,FALSE),""),"")</f>
        <v>1SFA619210R1026</v>
      </c>
      <c r="P2624" s="2431" t="str">
        <f>IF(O2624&lt;&gt;"",VLOOKUP(D2624,base_datos,6,FALSE),"")</f>
        <v>Selector 3 posiciones mantenidos - 1-0-2 / M-0-A - maneta corta, contactos 2NA - C3SS1-10B-20 - compacto - marca ABB.</v>
      </c>
      <c r="Q2624" s="2432" t="str">
        <f>IF(O2624&lt;&gt;"",D2624,"")</f>
        <v>SEL_1-0-2</v>
      </c>
      <c r="R2624" s="2433"/>
    </row>
    <row r="2625" spans="1:18" s="2432" customFormat="1">
      <c r="A2625" s="2418"/>
      <c r="B2625" s="2435">
        <v>1</v>
      </c>
      <c r="C2625" s="2439" t="s">
        <v>3366</v>
      </c>
      <c r="D2625" s="2440"/>
      <c r="E2625" s="2422"/>
      <c r="F2625" s="2438"/>
      <c r="G2625" s="2441"/>
      <c r="H2625" s="2441"/>
      <c r="I2625" s="2441"/>
      <c r="J2625" s="2442"/>
      <c r="K2625" s="2426">
        <f t="shared" si="2350"/>
        <v>1</v>
      </c>
      <c r="L2625" s="2427">
        <f>L2626</f>
        <v>2</v>
      </c>
      <c r="M2625" s="2426">
        <f t="shared" si="2348"/>
        <v>1</v>
      </c>
      <c r="N2625" s="2429" t="str">
        <f t="shared" ref="N2625" si="2351">IF(O2625&lt;&gt;"",K2625*L2625*M2625,"")</f>
        <v/>
      </c>
      <c r="O2625" s="2430" t="str">
        <f t="shared" ref="O2625" si="2352">IF(D2625&lt;&gt;"",IF(VLOOKUP(D2625,base_datos,7,FALSE)&lt;&gt;"",VLOOKUP(D2625,base_datos,7,FALSE),""),"")</f>
        <v/>
      </c>
      <c r="P2625" s="2431" t="str">
        <f t="shared" ref="P2625" si="2353">IF(O2625&lt;&gt;"",VLOOKUP(D2625,base_datos,6,FALSE),"")</f>
        <v/>
      </c>
      <c r="Q2625" s="2432" t="str">
        <f t="shared" ref="Q2625" si="2354">IF(O2625&lt;&gt;"",D2625,"")</f>
        <v/>
      </c>
    </row>
    <row r="2626" spans="1:18" s="2450" customFormat="1" ht="18" customHeight="1">
      <c r="A2626" s="2443"/>
      <c r="B2626" s="2444">
        <v>1</v>
      </c>
      <c r="C2626" s="2445" t="str">
        <f t="shared" ref="C2626:C2628" si="2355">VLOOKUP(D2626,base_datos,6,FALSE)</f>
        <v>Base portafusibles + Fusibles de protección para control.</v>
      </c>
      <c r="D2626" s="2446" t="s">
        <v>453</v>
      </c>
      <c r="E2626" s="2447">
        <f t="shared" ref="E2626:E2628" si="2356">VLOOKUP(D2626,base_datos,5,FALSE)</f>
        <v>8.1750000000000007</v>
      </c>
      <c r="F2626" s="2438">
        <f>+E2626*B2626</f>
        <v>8.1750000000000007</v>
      </c>
      <c r="G2626" s="2448"/>
      <c r="H2626" s="2448"/>
      <c r="I2626" s="2448"/>
      <c r="J2626" s="2449"/>
      <c r="K2626" s="2426">
        <f t="shared" si="2350"/>
        <v>1</v>
      </c>
      <c r="L2626" s="2427">
        <f>L2624</f>
        <v>2</v>
      </c>
      <c r="M2626" s="2428">
        <f>IF(B2626="",1,B2626)</f>
        <v>1</v>
      </c>
      <c r="N2626" s="2429" t="str">
        <f>IF(O2626&lt;&gt;"",K2626*L2626*M2626,"")</f>
        <v/>
      </c>
      <c r="O2626" s="2430" t="str">
        <f>IF(D2626&lt;&gt;"",IF(VLOOKUP(D2626,base_datos,7,FALSE)&lt;&gt;"",VLOOKUP(D2626,base_datos,7,FALSE),""),"")</f>
        <v/>
      </c>
      <c r="P2626" s="2431" t="str">
        <f>IF(O2626&lt;&gt;"",VLOOKUP(D2626,base_datos,6,FALSE),"")</f>
        <v/>
      </c>
      <c r="Q2626" s="2432" t="str">
        <f>IF(O2626&lt;&gt;"",D2626,"")</f>
        <v/>
      </c>
      <c r="R2626" s="2433"/>
    </row>
    <row r="2627" spans="1:18" s="2450" customFormat="1" ht="18" customHeight="1">
      <c r="A2627" s="2443"/>
      <c r="B2627" s="2444">
        <v>1</v>
      </c>
      <c r="C2627" s="2445" t="str">
        <f t="shared" si="2355"/>
        <v>Borne para neutro.</v>
      </c>
      <c r="D2627" s="2451" t="s">
        <v>436</v>
      </c>
      <c r="E2627" s="2447">
        <f t="shared" si="2356"/>
        <v>4</v>
      </c>
      <c r="F2627" s="2438">
        <f t="shared" ref="F2627:F2628" si="2357">+E2627*B2627</f>
        <v>4</v>
      </c>
      <c r="G2627" s="2448"/>
      <c r="H2627" s="2448"/>
      <c r="I2627" s="2448"/>
      <c r="J2627" s="2449"/>
      <c r="K2627" s="2426">
        <f t="shared" si="2350"/>
        <v>1</v>
      </c>
      <c r="L2627" s="2427">
        <f>L2625</f>
        <v>2</v>
      </c>
      <c r="M2627" s="2428">
        <f t="shared" ref="M2627:M2629" si="2358">IF(B2627="",1,B2627)</f>
        <v>1</v>
      </c>
      <c r="N2627" s="2429" t="str">
        <f t="shared" ref="N2627:N2628" si="2359">IF(O2627&lt;&gt;"",K2627*L2627*M2627,"")</f>
        <v/>
      </c>
      <c r="O2627" s="2430" t="str">
        <f t="shared" ref="O2627:O2628" si="2360">IF(D2627&lt;&gt;"",IF(VLOOKUP(D2627,base_datos,7,FALSE)&lt;&gt;"",VLOOKUP(D2627,base_datos,7,FALSE),""),"")</f>
        <v/>
      </c>
      <c r="P2627" s="2431" t="str">
        <f t="shared" ref="P2627:P2628" si="2361">IF(O2627&lt;&gt;"",VLOOKUP(D2627,base_datos,6,FALSE),"")</f>
        <v/>
      </c>
      <c r="Q2627" s="2432" t="str">
        <f t="shared" ref="Q2627:Q2628" si="2362">IF(O2627&lt;&gt;"",D2627,"")</f>
        <v/>
      </c>
      <c r="R2627" s="2433"/>
    </row>
    <row r="2628" spans="1:18" s="2450" customFormat="1" ht="18" customHeight="1">
      <c r="A2628" s="2443"/>
      <c r="B2628" s="2444">
        <v>2</v>
      </c>
      <c r="C2628" s="2445" t="str">
        <f t="shared" si="2355"/>
        <v>Borne 4mm2.</v>
      </c>
      <c r="D2628" s="2446" t="s">
        <v>437</v>
      </c>
      <c r="E2628" s="2447">
        <f t="shared" si="2356"/>
        <v>2.5</v>
      </c>
      <c r="F2628" s="2438">
        <f t="shared" si="2357"/>
        <v>5</v>
      </c>
      <c r="G2628" s="2448"/>
      <c r="H2628" s="2448"/>
      <c r="I2628" s="2448"/>
      <c r="J2628" s="2449"/>
      <c r="K2628" s="2426">
        <f t="shared" si="2350"/>
        <v>1</v>
      </c>
      <c r="L2628" s="2427">
        <f t="shared" ref="L2628" si="2363">L2627</f>
        <v>2</v>
      </c>
      <c r="M2628" s="2428">
        <f t="shared" si="2358"/>
        <v>2</v>
      </c>
      <c r="N2628" s="2429" t="str">
        <f t="shared" si="2359"/>
        <v/>
      </c>
      <c r="O2628" s="2430" t="str">
        <f t="shared" si="2360"/>
        <v/>
      </c>
      <c r="P2628" s="2431" t="str">
        <f t="shared" si="2361"/>
        <v/>
      </c>
      <c r="Q2628" s="2432" t="str">
        <f t="shared" si="2362"/>
        <v/>
      </c>
      <c r="R2628" s="2433"/>
    </row>
    <row r="2629" spans="1:18" s="2433" customFormat="1">
      <c r="A2629" s="2418"/>
      <c r="B2629" s="2452"/>
      <c r="C2629" s="2453" t="s">
        <v>729</v>
      </c>
      <c r="D2629" s="2451"/>
      <c r="E2629" s="2454"/>
      <c r="F2629" s="2455"/>
      <c r="G2629" s="2456"/>
      <c r="H2629" s="2456"/>
      <c r="I2629" s="2456"/>
      <c r="J2629" s="2457"/>
      <c r="K2629" s="2426">
        <f t="shared" si="2350"/>
        <v>1</v>
      </c>
      <c r="L2629" s="2458">
        <v>1</v>
      </c>
      <c r="M2629" s="2426">
        <f t="shared" si="2358"/>
        <v>1</v>
      </c>
      <c r="N2629" s="2459" t="str">
        <f>IF(O2629&lt;&gt;"",K2629*L2629*M2629,"")</f>
        <v/>
      </c>
      <c r="O2629" s="2460" t="str">
        <f>IF(D2629&lt;&gt;"",IF(VLOOKUP(D2629,base_datos,7,FALSE)&lt;&gt;"",VLOOKUP(D2629,base_datos,7,FALSE),""),"")</f>
        <v/>
      </c>
      <c r="P2629" s="2461" t="str">
        <f>IF(O2629&lt;&gt;"",VLOOKUP(D2629,base_datos,6,FALSE),"")</f>
        <v/>
      </c>
      <c r="Q2629" s="2433" t="str">
        <f>IF(O2629&lt;&gt;"",D2629,"")</f>
        <v/>
      </c>
    </row>
    <row r="2630" spans="1:18" s="2450" customFormat="1" ht="18" customHeight="1">
      <c r="A2630" s="2462"/>
      <c r="B2630" s="2444">
        <v>1</v>
      </c>
      <c r="C2630" s="2445" t="str">
        <f>VLOOKUP(D2630,base_datos,6,FALSE)</f>
        <v>Rele auxiliar enchufable +4NA/NC (D2PR4B + base D2PA6), 220Vac - marca EATON.</v>
      </c>
      <c r="D2630" s="2446" t="s">
        <v>772</v>
      </c>
      <c r="E2630" s="2447">
        <f>VLOOKUP(D2630,base_datos,5,FALSE)</f>
        <v>27</v>
      </c>
      <c r="F2630" s="2438">
        <f>+E2630*B2630</f>
        <v>27</v>
      </c>
      <c r="G2630" s="2448"/>
      <c r="H2630" s="2448"/>
      <c r="I2630" s="2448"/>
      <c r="J2630" s="2449"/>
      <c r="K2630" s="2426">
        <f t="shared" si="2350"/>
        <v>1</v>
      </c>
      <c r="L2630" s="2463">
        <v>1</v>
      </c>
      <c r="M2630" s="2428">
        <f>IF(B2630="",1,B2630)</f>
        <v>1</v>
      </c>
      <c r="N2630" s="2429">
        <f>IF(O2630&lt;&gt;"",K2630*L2630*M2630,"")</f>
        <v>1</v>
      </c>
      <c r="O2630" s="2430" t="str">
        <f>IF(D2630&lt;&gt;"",IF(VLOOKUP(D2630,base_datos,7,FALSE)&lt;&gt;"",VLOOKUP(D2630,base_datos,7,FALSE),""),"")</f>
        <v>D2PR4B+D2PA6</v>
      </c>
      <c r="P2630" s="2431" t="str">
        <f>IF(O2630&lt;&gt;"",VLOOKUP(D2630,base_datos,6,FALSE),"")</f>
        <v>Rele auxiliar enchufable +4NA/NC (D2PR4B + base D2PA6), 220Vac - marca EATON.</v>
      </c>
      <c r="Q2630" s="2432" t="str">
        <f>IF(O2630&lt;&gt;"",D2630,"")</f>
        <v>D2PR4B+D2PA6</v>
      </c>
      <c r="R2630" s="2433"/>
    </row>
    <row r="2631" spans="1:18" s="2450" customFormat="1" ht="18" customHeight="1">
      <c r="A2631" s="2443"/>
      <c r="B2631" s="2444">
        <v>4</v>
      </c>
      <c r="C2631" s="2445" t="str">
        <f t="shared" ref="C2631:C2633" si="2364">VLOOKUP(D2631,base_datos,6,FALSE)</f>
        <v>Borne 4mm2.</v>
      </c>
      <c r="D2631" s="2446" t="s">
        <v>437</v>
      </c>
      <c r="E2631" s="2447">
        <f t="shared" ref="E2631:E2633" si="2365">VLOOKUP(D2631,base_datos,5,FALSE)</f>
        <v>2.5</v>
      </c>
      <c r="F2631" s="2438">
        <f t="shared" ref="F2631:F2633" si="2366">+E2631*B2631</f>
        <v>10</v>
      </c>
      <c r="G2631" s="2448"/>
      <c r="H2631" s="2448"/>
      <c r="I2631" s="2448"/>
      <c r="J2631" s="2449"/>
      <c r="K2631" s="2426">
        <f t="shared" si="2350"/>
        <v>1</v>
      </c>
      <c r="L2631" s="2463">
        <v>1</v>
      </c>
      <c r="M2631" s="2428">
        <f t="shared" ref="M2631:M2634" si="2367">IF(B2631="",1,B2631)</f>
        <v>4</v>
      </c>
      <c r="N2631" s="2429" t="str">
        <f t="shared" ref="N2631:N2633" si="2368">IF(O2631&lt;&gt;"",K2631*L2631*M2631,"")</f>
        <v/>
      </c>
      <c r="O2631" s="2430" t="str">
        <f t="shared" ref="O2631:O2633" si="2369">IF(D2631&lt;&gt;"",IF(VLOOKUP(D2631,base_datos,7,FALSE)&lt;&gt;"",VLOOKUP(D2631,base_datos,7,FALSE),""),"")</f>
        <v/>
      </c>
      <c r="P2631" s="2431" t="str">
        <f t="shared" ref="P2631:P2633" si="2370">IF(O2631&lt;&gt;"",VLOOKUP(D2631,base_datos,6,FALSE),"")</f>
        <v/>
      </c>
      <c r="Q2631" s="2432" t="str">
        <f t="shared" ref="Q2631:Q2633" si="2371">IF(O2631&lt;&gt;"",D2631,"")</f>
        <v/>
      </c>
      <c r="R2631" s="2433"/>
    </row>
    <row r="2632" spans="1:18" s="2450" customFormat="1" ht="18" customHeight="1">
      <c r="A2632" s="2443"/>
      <c r="B2632" s="2444">
        <v>1</v>
      </c>
      <c r="C2632" s="2445" t="str">
        <f t="shared" si="2364"/>
        <v>Base portafusibles + Fusibles de protección para control.</v>
      </c>
      <c r="D2632" s="2446" t="s">
        <v>453</v>
      </c>
      <c r="E2632" s="2447">
        <f t="shared" si="2365"/>
        <v>8.1750000000000007</v>
      </c>
      <c r="F2632" s="2438">
        <f t="shared" si="2366"/>
        <v>8.1750000000000007</v>
      </c>
      <c r="G2632" s="2448"/>
      <c r="H2632" s="2448"/>
      <c r="I2632" s="2448"/>
      <c r="J2632" s="2449"/>
      <c r="K2632" s="2426">
        <f t="shared" si="2350"/>
        <v>1</v>
      </c>
      <c r="L2632" s="2463">
        <v>1</v>
      </c>
      <c r="M2632" s="2428">
        <f t="shared" si="2367"/>
        <v>1</v>
      </c>
      <c r="N2632" s="2429" t="str">
        <f t="shared" si="2368"/>
        <v/>
      </c>
      <c r="O2632" s="2430" t="str">
        <f t="shared" si="2369"/>
        <v/>
      </c>
      <c r="P2632" s="2431" t="str">
        <f t="shared" si="2370"/>
        <v/>
      </c>
      <c r="Q2632" s="2432" t="str">
        <f t="shared" si="2371"/>
        <v/>
      </c>
      <c r="R2632" s="2433"/>
    </row>
    <row r="2633" spans="1:18" s="2450" customFormat="1" ht="18" customHeight="1">
      <c r="A2633" s="2443"/>
      <c r="B2633" s="2444">
        <v>1</v>
      </c>
      <c r="C2633" s="2445" t="str">
        <f t="shared" si="2364"/>
        <v>Borne para neutro.</v>
      </c>
      <c r="D2633" s="2451" t="s">
        <v>436</v>
      </c>
      <c r="E2633" s="2447">
        <f t="shared" si="2365"/>
        <v>4</v>
      </c>
      <c r="F2633" s="2438">
        <f t="shared" si="2366"/>
        <v>4</v>
      </c>
      <c r="G2633" s="2448"/>
      <c r="H2633" s="2448"/>
      <c r="I2633" s="2448"/>
      <c r="J2633" s="2449"/>
      <c r="K2633" s="2426">
        <f t="shared" si="2350"/>
        <v>1</v>
      </c>
      <c r="L2633" s="2427">
        <f t="shared" ref="L2633" si="2372">L2632</f>
        <v>1</v>
      </c>
      <c r="M2633" s="2428">
        <f t="shared" si="2367"/>
        <v>1</v>
      </c>
      <c r="N2633" s="2429" t="str">
        <f t="shared" si="2368"/>
        <v/>
      </c>
      <c r="O2633" s="2430" t="str">
        <f t="shared" si="2369"/>
        <v/>
      </c>
      <c r="P2633" s="2431" t="str">
        <f t="shared" si="2370"/>
        <v/>
      </c>
      <c r="Q2633" s="2432" t="str">
        <f t="shared" si="2371"/>
        <v/>
      </c>
      <c r="R2633" s="2433"/>
    </row>
    <row r="2634" spans="1:18" s="185" customFormat="1">
      <c r="A2634" s="687"/>
      <c r="B2634" s="714"/>
      <c r="C2634" s="313" t="s">
        <v>729</v>
      </c>
      <c r="D2634" s="36"/>
      <c r="E2634" s="1971"/>
      <c r="F2634" s="1787"/>
      <c r="G2634" s="710"/>
      <c r="H2634" s="710"/>
      <c r="I2634" s="710"/>
      <c r="J2634" s="711"/>
      <c r="K2634" s="684">
        <f t="shared" si="2350"/>
        <v>1</v>
      </c>
      <c r="L2634" s="708">
        <v>1</v>
      </c>
      <c r="M2634" s="684">
        <f t="shared" si="2367"/>
        <v>1</v>
      </c>
      <c r="N2634" s="1905" t="str">
        <f>IF(O2634&lt;&gt;"",K2634*L2634*M2634,"")</f>
        <v/>
      </c>
      <c r="O2634" s="1571" t="str">
        <f>IF(D2634&lt;&gt;"",IF(VLOOKUP(D2634,base_datos,7,FALSE)&lt;&gt;"",VLOOKUP(D2634,base_datos,7,FALSE),""),"")</f>
        <v/>
      </c>
      <c r="P2634" s="320" t="str">
        <f>IF(O2634&lt;&gt;"",VLOOKUP(D2634,base_datos,6,FALSE),"")</f>
        <v/>
      </c>
      <c r="Q2634" s="185" t="str">
        <f>IF(O2634&lt;&gt;"",D2634,"")</f>
        <v/>
      </c>
    </row>
    <row r="2635" spans="1:18" s="315" customFormat="1">
      <c r="A2635" s="1785"/>
      <c r="B2635" s="355">
        <v>5</v>
      </c>
      <c r="C2635" s="1944" t="s">
        <v>13041</v>
      </c>
      <c r="D2635" s="1941"/>
      <c r="E2635" s="1786"/>
      <c r="F2635" s="1908">
        <f>SUM(F2636:F2641)*(B2635-1)</f>
        <v>211.94</v>
      </c>
      <c r="G2635" s="712"/>
      <c r="H2635" s="712"/>
      <c r="I2635" s="712"/>
      <c r="J2635" s="713"/>
      <c r="K2635" s="684">
        <f>+K2622</f>
        <v>1</v>
      </c>
      <c r="L2635" s="2224">
        <f>B2635</f>
        <v>5</v>
      </c>
      <c r="M2635" s="709">
        <f>IF(B2635="",1,B2635)</f>
        <v>5</v>
      </c>
      <c r="N2635" s="362" t="str">
        <f t="shared" si="2334"/>
        <v/>
      </c>
      <c r="O2635" s="1763" t="str">
        <f t="shared" si="2335"/>
        <v/>
      </c>
      <c r="P2635" s="1764" t="str">
        <f t="shared" si="2336"/>
        <v/>
      </c>
      <c r="Q2635" s="120" t="str">
        <f t="shared" si="2337"/>
        <v/>
      </c>
    </row>
    <row r="2636" spans="1:18" s="690" customFormat="1" ht="18" customHeight="1">
      <c r="A2636" s="691"/>
      <c r="B2636" s="1781">
        <v>1</v>
      </c>
      <c r="C2636" s="1420" t="str">
        <f>VLOOKUP(D2636,base_datos,6,FALSE)</f>
        <v>Contactor 3x09A(AC-3) / 3x25A(AC-1) +1NA - AF09-30-10-13 - bobina 100-250Vac/dc - marca ABB.</v>
      </c>
      <c r="D2636" s="1901" t="s">
        <v>1447</v>
      </c>
      <c r="E2636" s="1791">
        <f>VLOOKUP(D2636,base_datos,5,FALSE)</f>
        <v>29.89</v>
      </c>
      <c r="F2636" s="1912">
        <f>+E2636*B2636</f>
        <v>29.89</v>
      </c>
      <c r="G2636" s="1761"/>
      <c r="H2636" s="1761"/>
      <c r="I2636" s="1761"/>
      <c r="J2636" s="1783"/>
      <c r="K2636" s="684">
        <f t="shared" si="2314"/>
        <v>1</v>
      </c>
      <c r="L2636" s="1913">
        <f>L2635</f>
        <v>5</v>
      </c>
      <c r="M2636" s="709">
        <f t="shared" ref="M2636:M2648" si="2373">IF(B2636="",1,B2636)</f>
        <v>1</v>
      </c>
      <c r="N2636" s="362">
        <f t="shared" si="2334"/>
        <v>5</v>
      </c>
      <c r="O2636" s="1763" t="str">
        <f t="shared" si="2335"/>
        <v>1SBL137001R1310</v>
      </c>
      <c r="P2636" s="1764" t="str">
        <f t="shared" si="2336"/>
        <v>Contactor 3x09A(AC-3) / 3x25A(AC-1) +1NA - AF09-30-10-13 - bobina 100-250Vac/dc - marca ABB.</v>
      </c>
      <c r="Q2636" s="120" t="str">
        <f t="shared" si="2337"/>
        <v>AF09-30-10-13_3p</v>
      </c>
      <c r="R2636" s="185"/>
    </row>
    <row r="2637" spans="1:18" s="690" customFormat="1" ht="18" customHeight="1">
      <c r="A2637" s="691"/>
      <c r="B2637" s="1922">
        <v>1</v>
      </c>
      <c r="C2637" s="1848" t="str">
        <f>VLOOKUP(D2637,base_datos,6,FALSE)</f>
        <v>Contacto auxiliar frontal 1NA para contactor AF09..AF16-30-10, frontal - Modelo CA4-10 - marca ABB.</v>
      </c>
      <c r="D2637" s="1901" t="s">
        <v>2718</v>
      </c>
      <c r="E2637" s="1791">
        <f>VLOOKUP(D2637,base_datos,5,FALSE)</f>
        <v>5.92</v>
      </c>
      <c r="F2637" s="1912">
        <f>+E2637*B2637</f>
        <v>5.92</v>
      </c>
      <c r="G2637" s="1761"/>
      <c r="H2637" s="1761"/>
      <c r="I2637" s="1761"/>
      <c r="J2637" s="1783"/>
      <c r="K2637" s="684">
        <f t="shared" si="2314"/>
        <v>1</v>
      </c>
      <c r="L2637" s="1913">
        <f t="shared" ref="L2637" si="2374">L2636</f>
        <v>5</v>
      </c>
      <c r="M2637" s="709">
        <f t="shared" si="2373"/>
        <v>1</v>
      </c>
      <c r="N2637" s="362">
        <f t="shared" ref="N2637:N2638" si="2375">IF(O2637&lt;&gt;"",K2637*L2637*M2637,"")</f>
        <v>5</v>
      </c>
      <c r="O2637" s="1763" t="str">
        <f t="shared" ref="O2637:O2638" si="2376">IF(D2637&lt;&gt;"",IF(VLOOKUP(D2637,base_datos,7,FALSE)&lt;&gt;"",VLOOKUP(D2637,base_datos,7,FALSE),""),"")</f>
        <v>1SBN010110R1010</v>
      </c>
      <c r="P2637" s="1764" t="str">
        <f t="shared" ref="P2637:P2638" si="2377">IF(O2637&lt;&gt;"",VLOOKUP(D2637,base_datos,6,FALSE),"")</f>
        <v>Contacto auxiliar frontal 1NA para contactor AF09..AF16-30-10, frontal - Modelo CA4-10 - marca ABB.</v>
      </c>
      <c r="Q2637" s="120" t="str">
        <f t="shared" ref="Q2637:Q2638" si="2378">IF(O2637&lt;&gt;"",D2637,"")</f>
        <v>CA4-10</v>
      </c>
      <c r="R2637" s="185"/>
    </row>
    <row r="2638" spans="1:18" s="1921" customFormat="1">
      <c r="A2638" s="687"/>
      <c r="B2638" s="1914">
        <v>1</v>
      </c>
      <c r="C2638" s="1915" t="s">
        <v>3366</v>
      </c>
      <c r="D2638" s="1916"/>
      <c r="E2638" s="1917"/>
      <c r="F2638" s="1918"/>
      <c r="G2638" s="1919"/>
      <c r="H2638" s="1919"/>
      <c r="I2638" s="1919"/>
      <c r="J2638" s="1920"/>
      <c r="K2638" s="684">
        <f t="shared" si="2314"/>
        <v>1</v>
      </c>
      <c r="L2638" s="1913">
        <f>L2637</f>
        <v>5</v>
      </c>
      <c r="M2638" s="684">
        <f t="shared" si="2373"/>
        <v>1</v>
      </c>
      <c r="N2638" s="362" t="str">
        <f t="shared" si="2375"/>
        <v/>
      </c>
      <c r="O2638" s="1763" t="str">
        <f t="shared" si="2376"/>
        <v/>
      </c>
      <c r="P2638" s="1764" t="str">
        <f t="shared" si="2377"/>
        <v/>
      </c>
      <c r="Q2638" s="120" t="str">
        <f t="shared" si="2378"/>
        <v/>
      </c>
    </row>
    <row r="2639" spans="1:18" s="695" customFormat="1" ht="18" customHeight="1">
      <c r="A2639" s="1785"/>
      <c r="B2639" s="1922">
        <v>1</v>
      </c>
      <c r="C2639" s="1848" t="str">
        <f t="shared" ref="C2639:C2641" si="2379">VLOOKUP(D2639,base_datos,6,FALSE)</f>
        <v>Base portafusibles + Fusibles de protección para control.</v>
      </c>
      <c r="D2639" s="1886" t="s">
        <v>453</v>
      </c>
      <c r="E2639" s="1795">
        <f t="shared" ref="E2639:E2641" si="2380">VLOOKUP(D2639,base_datos,5,FALSE)</f>
        <v>8.1750000000000007</v>
      </c>
      <c r="F2639" s="1923">
        <f t="shared" ref="F2639:F2641" si="2381">+E2639*B2639</f>
        <v>8.1750000000000007</v>
      </c>
      <c r="G2639" s="696"/>
      <c r="H2639" s="696"/>
      <c r="I2639" s="696"/>
      <c r="J2639" s="697"/>
      <c r="K2639" s="684">
        <f t="shared" si="2314"/>
        <v>1</v>
      </c>
      <c r="L2639" s="1913">
        <f>L2636</f>
        <v>5</v>
      </c>
      <c r="M2639" s="709">
        <f t="shared" si="2373"/>
        <v>1</v>
      </c>
      <c r="N2639" s="362" t="str">
        <f t="shared" si="2334"/>
        <v/>
      </c>
      <c r="O2639" s="1763" t="str">
        <f t="shared" si="2335"/>
        <v/>
      </c>
      <c r="P2639" s="1764" t="str">
        <f t="shared" si="2336"/>
        <v/>
      </c>
      <c r="Q2639" s="120" t="str">
        <f t="shared" si="2337"/>
        <v/>
      </c>
      <c r="R2639" s="185"/>
    </row>
    <row r="2640" spans="1:18" s="695" customFormat="1" ht="18" customHeight="1">
      <c r="A2640" s="1785"/>
      <c r="B2640" s="1922">
        <v>1</v>
      </c>
      <c r="C2640" s="1848" t="str">
        <f t="shared" si="2379"/>
        <v>Borne para neutro.</v>
      </c>
      <c r="D2640" s="1886" t="s">
        <v>436</v>
      </c>
      <c r="E2640" s="1795">
        <f t="shared" si="2380"/>
        <v>4</v>
      </c>
      <c r="F2640" s="1923">
        <f t="shared" si="2381"/>
        <v>4</v>
      </c>
      <c r="G2640" s="696"/>
      <c r="H2640" s="696"/>
      <c r="I2640" s="696"/>
      <c r="J2640" s="697"/>
      <c r="K2640" s="684">
        <f t="shared" si="2314"/>
        <v>1</v>
      </c>
      <c r="L2640" s="1913">
        <f t="shared" ref="L2640:L2641" si="2382">L2637</f>
        <v>5</v>
      </c>
      <c r="M2640" s="709">
        <f t="shared" si="2373"/>
        <v>1</v>
      </c>
      <c r="N2640" s="362" t="str">
        <f t="shared" si="2334"/>
        <v/>
      </c>
      <c r="O2640" s="1763" t="str">
        <f t="shared" si="2335"/>
        <v/>
      </c>
      <c r="P2640" s="1764" t="str">
        <f t="shared" si="2336"/>
        <v/>
      </c>
      <c r="Q2640" s="120" t="str">
        <f t="shared" si="2337"/>
        <v/>
      </c>
      <c r="R2640" s="185"/>
    </row>
    <row r="2641" spans="1:20" s="695" customFormat="1" ht="18" customHeight="1">
      <c r="A2641" s="1785"/>
      <c r="B2641" s="1922">
        <v>2</v>
      </c>
      <c r="C2641" s="1848" t="str">
        <f t="shared" si="2379"/>
        <v>Borne 4mm2.</v>
      </c>
      <c r="D2641" s="1886" t="s">
        <v>437</v>
      </c>
      <c r="E2641" s="1795">
        <f t="shared" si="2380"/>
        <v>2.5</v>
      </c>
      <c r="F2641" s="1923">
        <f t="shared" si="2381"/>
        <v>5</v>
      </c>
      <c r="G2641" s="696"/>
      <c r="H2641" s="696"/>
      <c r="I2641" s="696"/>
      <c r="J2641" s="697"/>
      <c r="K2641" s="684">
        <f t="shared" si="2314"/>
        <v>1</v>
      </c>
      <c r="L2641" s="1913">
        <f t="shared" si="2382"/>
        <v>5</v>
      </c>
      <c r="M2641" s="709">
        <f t="shared" si="2373"/>
        <v>2</v>
      </c>
      <c r="N2641" s="362" t="str">
        <f t="shared" si="2334"/>
        <v/>
      </c>
      <c r="O2641" s="1763" t="str">
        <f t="shared" si="2335"/>
        <v/>
      </c>
      <c r="P2641" s="1764" t="str">
        <f t="shared" si="2336"/>
        <v/>
      </c>
      <c r="Q2641" s="120" t="str">
        <f t="shared" si="2337"/>
        <v/>
      </c>
      <c r="R2641" s="185"/>
    </row>
    <row r="2642" spans="1:20" s="185" customFormat="1" ht="18" customHeight="1">
      <c r="A2642" s="1785"/>
      <c r="B2642" s="714"/>
      <c r="C2642" s="1893" t="s">
        <v>729</v>
      </c>
      <c r="D2642" s="173"/>
      <c r="E2642" s="1786"/>
      <c r="F2642" s="1787"/>
      <c r="G2642" s="710"/>
      <c r="H2642" s="710"/>
      <c r="I2642" s="710"/>
      <c r="J2642" s="711"/>
      <c r="K2642" s="684">
        <f t="shared" si="2314"/>
        <v>1</v>
      </c>
      <c r="L2642" s="708">
        <v>1</v>
      </c>
      <c r="M2642" s="709">
        <f t="shared" si="2373"/>
        <v>1</v>
      </c>
      <c r="N2642" s="362" t="str">
        <f t="shared" si="2334"/>
        <v/>
      </c>
      <c r="O2642" s="1763" t="str">
        <f t="shared" si="2335"/>
        <v/>
      </c>
      <c r="P2642" s="1764" t="str">
        <f t="shared" si="2336"/>
        <v/>
      </c>
      <c r="Q2642" s="120" t="str">
        <f t="shared" si="2337"/>
        <v/>
      </c>
    </row>
    <row r="2643" spans="1:20" s="315" customFormat="1" ht="12.75" customHeight="1">
      <c r="A2643" s="2271"/>
      <c r="B2643" s="2272">
        <v>1</v>
      </c>
      <c r="C2643" s="2281" t="s">
        <v>13366</v>
      </c>
      <c r="D2643" s="1935"/>
      <c r="E2643" s="2287"/>
      <c r="F2643" s="2257">
        <f>+SUM(F2644:F2647)*(B2643-1)</f>
        <v>0</v>
      </c>
      <c r="G2643" s="712"/>
      <c r="H2643" s="712"/>
      <c r="I2643" s="712"/>
      <c r="J2643" s="713"/>
      <c r="K2643" s="684">
        <f t="shared" si="2314"/>
        <v>1</v>
      </c>
      <c r="L2643" s="2258">
        <v>1</v>
      </c>
      <c r="M2643" s="120">
        <f t="shared" si="2373"/>
        <v>1</v>
      </c>
      <c r="N2643" s="112" t="str">
        <f t="shared" si="2334"/>
        <v/>
      </c>
      <c r="O2643" s="112" t="str">
        <f t="shared" si="2335"/>
        <v/>
      </c>
      <c r="P2643" s="120" t="str">
        <f t="shared" si="2336"/>
        <v/>
      </c>
      <c r="Q2643" s="120" t="str">
        <f t="shared" si="2337"/>
        <v/>
      </c>
      <c r="S2643" s="112" t="str">
        <f t="shared" ref="S2643:S2648" si="2383">IF(O2643&lt;&gt;"",VLOOKUP(D2643,base_datos,9,FALSE),"")</f>
        <v/>
      </c>
      <c r="T2643" s="2128"/>
    </row>
    <row r="2644" spans="1:20" s="690" customFormat="1" ht="18" customHeight="1">
      <c r="A2644" s="2273"/>
      <c r="B2644" s="1781">
        <v>1</v>
      </c>
      <c r="C2644" s="1420" t="str">
        <f t="shared" ref="C2644:C2647" si="2384">VLOOKUP(D2644,base_datos,6,FALSE)</f>
        <v>Calefactor resistivo 60W, modelo RACM - marca FANDIS.</v>
      </c>
      <c r="D2644" s="1899" t="s">
        <v>3298</v>
      </c>
      <c r="E2644" s="2288">
        <f t="shared" ref="E2644" si="2385">VLOOKUP(D2644,base_datos,5,FALSE)</f>
        <v>127.1</v>
      </c>
      <c r="F2644" s="1782">
        <f>+E2644*B2644</f>
        <v>127.1</v>
      </c>
      <c r="G2644" s="1761"/>
      <c r="H2644" s="1761"/>
      <c r="I2644" s="1761"/>
      <c r="J2644" s="689"/>
      <c r="K2644" s="684">
        <f t="shared" si="2314"/>
        <v>1</v>
      </c>
      <c r="L2644" s="2258">
        <v>1</v>
      </c>
      <c r="M2644" s="120">
        <f t="shared" si="2373"/>
        <v>1</v>
      </c>
      <c r="N2644" s="112">
        <f t="shared" si="2334"/>
        <v>1</v>
      </c>
      <c r="O2644" s="112" t="str">
        <f t="shared" si="2335"/>
        <v>RACM-60</v>
      </c>
      <c r="P2644" s="120" t="str">
        <f t="shared" si="2336"/>
        <v>Calefactor resistivo 60W, modelo RACM - marca FANDIS.</v>
      </c>
      <c r="Q2644" s="120" t="str">
        <f t="shared" si="2337"/>
        <v>CALEFACT-60W_FAND</v>
      </c>
      <c r="S2644" s="112" t="str">
        <f t="shared" si="2383"/>
        <v>FANDIS</v>
      </c>
      <c r="T2644" s="1765"/>
    </row>
    <row r="2645" spans="1:20" s="690" customFormat="1" ht="18" customHeight="1">
      <c r="A2645" s="2273"/>
      <c r="B2645" s="1781">
        <v>1</v>
      </c>
      <c r="C2645" s="1420" t="str">
        <f t="shared" si="2384"/>
        <v>Termostato para ventilación - 1NA - 230V - marca FANDIS.</v>
      </c>
      <c r="D2645" s="1899" t="s">
        <v>3294</v>
      </c>
      <c r="E2645" s="2288">
        <f t="shared" ref="E2645:E2647" si="2386">VLOOKUP(D2645,base_datos,5,FALSE)</f>
        <v>41.58</v>
      </c>
      <c r="F2645" s="1782">
        <f>+E2645*B2645</f>
        <v>41.58</v>
      </c>
      <c r="G2645" s="1761"/>
      <c r="H2645" s="1761"/>
      <c r="I2645" s="1761"/>
      <c r="J2645" s="689"/>
      <c r="K2645" s="684">
        <f t="shared" si="2314"/>
        <v>1</v>
      </c>
      <c r="L2645" s="2258">
        <v>1</v>
      </c>
      <c r="M2645" s="120">
        <f t="shared" si="2373"/>
        <v>1</v>
      </c>
      <c r="N2645" s="112">
        <f t="shared" si="2334"/>
        <v>1</v>
      </c>
      <c r="O2645" s="112" t="str">
        <f t="shared" si="2335"/>
        <v>TRT-10A230V-NO</v>
      </c>
      <c r="P2645" s="120" t="str">
        <f t="shared" si="2336"/>
        <v>Termostato para ventilación - 1NA - 230V - marca FANDIS.</v>
      </c>
      <c r="Q2645" s="120" t="str">
        <f t="shared" si="2337"/>
        <v>TRT-1NA</v>
      </c>
      <c r="S2645" s="112" t="str">
        <f t="shared" si="2383"/>
        <v>FANDIS</v>
      </c>
      <c r="T2645" s="1765"/>
    </row>
    <row r="2646" spans="1:20" s="320" customFormat="1" ht="12.75" customHeight="1">
      <c r="A2646" s="2274"/>
      <c r="B2646" s="2275">
        <v>1</v>
      </c>
      <c r="C2646" s="2282" t="str">
        <f t="shared" si="2384"/>
        <v>Base portafusibles + Fusibles de protección para control.</v>
      </c>
      <c r="D2646" s="1579" t="s">
        <v>453</v>
      </c>
      <c r="E2646" s="2289">
        <f t="shared" si="2386"/>
        <v>8.1750000000000007</v>
      </c>
      <c r="F2646" s="2264">
        <f>+E2646*B2646</f>
        <v>8.1750000000000007</v>
      </c>
      <c r="G2646" s="2276"/>
      <c r="H2646" s="2276"/>
      <c r="I2646" s="2276"/>
      <c r="J2646" s="722"/>
      <c r="K2646" s="684">
        <f t="shared" si="2314"/>
        <v>1</v>
      </c>
      <c r="L2646" s="2258">
        <v>1</v>
      </c>
      <c r="M2646" s="120">
        <f t="shared" si="2373"/>
        <v>1</v>
      </c>
      <c r="N2646" s="112" t="str">
        <f t="shared" si="2334"/>
        <v/>
      </c>
      <c r="O2646" s="112" t="str">
        <f t="shared" si="2335"/>
        <v/>
      </c>
      <c r="P2646" s="120" t="str">
        <f t="shared" si="2336"/>
        <v/>
      </c>
      <c r="Q2646" s="120" t="str">
        <f t="shared" si="2337"/>
        <v/>
      </c>
      <c r="R2646" s="185"/>
      <c r="S2646" s="112" t="str">
        <f t="shared" si="2383"/>
        <v/>
      </c>
      <c r="T2646" s="709"/>
    </row>
    <row r="2647" spans="1:20" s="320" customFormat="1" ht="12.75" customHeight="1">
      <c r="A2647" s="2274"/>
      <c r="B2647" s="2277">
        <v>1</v>
      </c>
      <c r="C2647" s="2282" t="str">
        <f t="shared" si="2384"/>
        <v>Borne 4mm2.</v>
      </c>
      <c r="D2647" s="1579" t="s">
        <v>437</v>
      </c>
      <c r="E2647" s="2260">
        <f t="shared" si="2386"/>
        <v>2.5</v>
      </c>
      <c r="F2647" s="2260">
        <f>+E2647*B2647</f>
        <v>2.5</v>
      </c>
      <c r="G2647" s="2276"/>
      <c r="H2647" s="2276"/>
      <c r="I2647" s="2276"/>
      <c r="J2647" s="722"/>
      <c r="K2647" s="684">
        <f t="shared" si="2314"/>
        <v>1</v>
      </c>
      <c r="L2647" s="2258">
        <v>1</v>
      </c>
      <c r="M2647" s="120">
        <f t="shared" si="2373"/>
        <v>1</v>
      </c>
      <c r="N2647" s="112" t="str">
        <f t="shared" si="2334"/>
        <v/>
      </c>
      <c r="O2647" s="112" t="str">
        <f t="shared" si="2335"/>
        <v/>
      </c>
      <c r="P2647" s="120" t="str">
        <f t="shared" si="2336"/>
        <v/>
      </c>
      <c r="Q2647" s="120" t="str">
        <f t="shared" si="2337"/>
        <v/>
      </c>
      <c r="R2647" s="185"/>
      <c r="S2647" s="112" t="str">
        <f t="shared" si="2383"/>
        <v/>
      </c>
      <c r="T2647" s="709"/>
    </row>
    <row r="2648" spans="1:20" s="185" customFormat="1" ht="12.75" customHeight="1">
      <c r="A2648" s="2262"/>
      <c r="B2648" s="1760"/>
      <c r="C2648" s="1893" t="s">
        <v>729</v>
      </c>
      <c r="D2648" s="169"/>
      <c r="E2648" s="2256"/>
      <c r="F2648" s="2278"/>
      <c r="G2648" s="710"/>
      <c r="H2648" s="710"/>
      <c r="I2648" s="710"/>
      <c r="J2648" s="711"/>
      <c r="K2648" s="684">
        <f t="shared" si="2314"/>
        <v>1</v>
      </c>
      <c r="L2648" s="2258">
        <v>1</v>
      </c>
      <c r="M2648" s="120">
        <f t="shared" si="2373"/>
        <v>1</v>
      </c>
      <c r="N2648" s="112" t="str">
        <f t="shared" si="2334"/>
        <v/>
      </c>
      <c r="O2648" s="112" t="str">
        <f t="shared" si="2335"/>
        <v/>
      </c>
      <c r="P2648" s="120" t="str">
        <f t="shared" si="2336"/>
        <v/>
      </c>
      <c r="Q2648" s="120" t="str">
        <f t="shared" si="2337"/>
        <v/>
      </c>
      <c r="S2648" s="112" t="str">
        <f t="shared" si="2383"/>
        <v/>
      </c>
      <c r="T2648" s="118"/>
    </row>
    <row r="2649" spans="1:20" s="1236" customFormat="1" ht="18" customHeight="1">
      <c r="A2649" s="1767"/>
      <c r="B2649" s="1853">
        <v>1</v>
      </c>
      <c r="C2649" s="1895" t="s">
        <v>12364</v>
      </c>
      <c r="D2649" s="1902"/>
      <c r="E2649" s="1792"/>
      <c r="F2649" s="1793"/>
      <c r="G2649" s="1784"/>
      <c r="H2649" s="1784"/>
      <c r="I2649" s="1784"/>
      <c r="J2649" s="1182"/>
      <c r="K2649" s="684">
        <f t="shared" si="2314"/>
        <v>1</v>
      </c>
      <c r="L2649" s="708">
        <v>1</v>
      </c>
      <c r="M2649" s="684">
        <f t="shared" si="2315"/>
        <v>1</v>
      </c>
      <c r="N2649" s="362" t="str">
        <f t="shared" si="2334"/>
        <v/>
      </c>
      <c r="O2649" s="1763" t="str">
        <f t="shared" si="2335"/>
        <v/>
      </c>
      <c r="P2649" s="1764" t="str">
        <f t="shared" si="2336"/>
        <v/>
      </c>
      <c r="Q2649" s="120" t="str">
        <f t="shared" si="2337"/>
        <v/>
      </c>
      <c r="R2649" s="185"/>
    </row>
    <row r="2650" spans="1:20" s="695" customFormat="1" ht="18" customHeight="1">
      <c r="A2650" s="693"/>
      <c r="B2650" s="1922">
        <v>1</v>
      </c>
      <c r="C2650" s="1848" t="str">
        <f t="shared" ref="C2650" si="2387">VLOOKUP(D2650,base_datos,6,FALSE)</f>
        <v>Placa lamicoid rotulación de 3mm de espesor, fondo negro y letras blancas.</v>
      </c>
      <c r="D2650" s="1886" t="s">
        <v>8570</v>
      </c>
      <c r="E2650" s="1795">
        <f t="shared" ref="E2650" si="2388">VLOOKUP(D2650,base_datos,5,FALSE)</f>
        <v>2.2000000000000002</v>
      </c>
      <c r="F2650" s="1796">
        <f t="shared" ref="F2650" si="2389">+E2650*B2650</f>
        <v>2.2000000000000002</v>
      </c>
      <c r="G2650" s="696"/>
      <c r="H2650" s="696"/>
      <c r="I2650" s="696"/>
      <c r="J2650" s="697"/>
      <c r="K2650" s="684">
        <f t="shared" si="2314"/>
        <v>1</v>
      </c>
      <c r="L2650" s="708">
        <v>1</v>
      </c>
      <c r="M2650" s="684">
        <f t="shared" si="2315"/>
        <v>1</v>
      </c>
      <c r="N2650" s="362">
        <f t="shared" si="2334"/>
        <v>1</v>
      </c>
      <c r="O2650" s="1763" t="str">
        <f t="shared" si="2335"/>
        <v>Placa lamicoid p/distr.</v>
      </c>
      <c r="P2650" s="1764" t="str">
        <f t="shared" si="2336"/>
        <v>Placa lamicoid rotulación de 3mm de espesor, fondo negro y letras blancas.</v>
      </c>
      <c r="Q2650" s="120" t="str">
        <f t="shared" si="2337"/>
        <v>Placa lamicoid p/distr.</v>
      </c>
      <c r="R2650" s="185"/>
    </row>
    <row r="2651" spans="1:20" s="1236" customFormat="1" ht="18" customHeight="1">
      <c r="A2651" s="1767"/>
      <c r="B2651" s="1853">
        <v>1</v>
      </c>
      <c r="C2651" s="1895" t="s">
        <v>12474</v>
      </c>
      <c r="D2651" s="1902"/>
      <c r="E2651" s="1792"/>
      <c r="F2651" s="1793"/>
      <c r="G2651" s="1784"/>
      <c r="H2651" s="1784"/>
      <c r="I2651" s="1784"/>
      <c r="J2651" s="1182"/>
      <c r="K2651" s="684">
        <f t="shared" si="2314"/>
        <v>1</v>
      </c>
      <c r="L2651" s="708">
        <v>1</v>
      </c>
      <c r="M2651" s="709">
        <f t="shared" si="2315"/>
        <v>1</v>
      </c>
      <c r="N2651" s="362" t="str">
        <f t="shared" si="2334"/>
        <v/>
      </c>
      <c r="O2651" s="1763" t="str">
        <f t="shared" si="2335"/>
        <v/>
      </c>
      <c r="P2651" s="1764" t="str">
        <f t="shared" si="2336"/>
        <v/>
      </c>
      <c r="Q2651" s="120" t="str">
        <f t="shared" si="2337"/>
        <v/>
      </c>
      <c r="R2651" s="185"/>
    </row>
    <row r="2652" spans="1:20" s="1236" customFormat="1" ht="18" customHeight="1">
      <c r="A2652" s="1767"/>
      <c r="B2652" s="1853">
        <v>1</v>
      </c>
      <c r="C2652" s="1848" t="str">
        <f>VLOOKUP(D2652,base_datos,6,FALSE)</f>
        <v>Embalaje especial completamente cerrado para tablero adosado de 1600x600x220mm</v>
      </c>
      <c r="D2652" s="1902" t="s">
        <v>12453</v>
      </c>
      <c r="E2652" s="1795">
        <f t="shared" ref="E2652" si="2390">VLOOKUP(D2652,base_datos,5,FALSE)</f>
        <v>271.40000000000003</v>
      </c>
      <c r="F2652" s="1796">
        <f t="shared" ref="F2652" si="2391">+E2652*B2652</f>
        <v>271.40000000000003</v>
      </c>
      <c r="G2652" s="1784"/>
      <c r="H2652" s="1784"/>
      <c r="I2652" s="1784"/>
      <c r="J2652" s="1182"/>
      <c r="K2652" s="684">
        <f t="shared" si="2314"/>
        <v>1</v>
      </c>
      <c r="L2652" s="708">
        <v>1</v>
      </c>
      <c r="M2652" s="709">
        <f t="shared" si="2315"/>
        <v>1</v>
      </c>
      <c r="N2652" s="362">
        <f t="shared" si="2334"/>
        <v>1</v>
      </c>
      <c r="O2652" s="1763" t="str">
        <f t="shared" si="2335"/>
        <v>EMBAL_ADOS_1600x600x220mm</v>
      </c>
      <c r="P2652" s="1764" t="str">
        <f t="shared" si="2336"/>
        <v>Embalaje especial completamente cerrado para tablero adosado de 1600x600x220mm</v>
      </c>
      <c r="Q2652" s="120" t="str">
        <f t="shared" si="2337"/>
        <v>EMBAL_ADOS_1600x600x220mm</v>
      </c>
      <c r="R2652" s="185"/>
    </row>
    <row r="2653" spans="1:20" s="185" customFormat="1" ht="18" customHeight="1">
      <c r="A2653" s="1785"/>
      <c r="B2653" s="714"/>
      <c r="C2653" s="1893" t="s">
        <v>729</v>
      </c>
      <c r="D2653" s="173"/>
      <c r="E2653" s="1786"/>
      <c r="F2653" s="1787"/>
      <c r="G2653" s="710"/>
      <c r="H2653" s="710"/>
      <c r="I2653" s="710"/>
      <c r="J2653" s="711"/>
      <c r="K2653" s="684">
        <f t="shared" si="2314"/>
        <v>1</v>
      </c>
      <c r="L2653" s="708">
        <v>1</v>
      </c>
      <c r="M2653" s="684">
        <f t="shared" si="2315"/>
        <v>1</v>
      </c>
      <c r="N2653" s="362" t="str">
        <f t="shared" si="2334"/>
        <v/>
      </c>
      <c r="O2653" s="1763" t="str">
        <f t="shared" si="2335"/>
        <v/>
      </c>
      <c r="P2653" s="1764" t="str">
        <f t="shared" si="2336"/>
        <v/>
      </c>
      <c r="Q2653" s="120" t="str">
        <f t="shared" si="2337"/>
        <v/>
      </c>
    </row>
    <row r="2654" spans="1:20" s="695" customFormat="1" ht="18" customHeight="1">
      <c r="A2654" s="693"/>
      <c r="B2654" s="1794">
        <v>1</v>
      </c>
      <c r="C2654" s="1420" t="s">
        <v>316</v>
      </c>
      <c r="D2654" s="1790"/>
      <c r="E2654" s="1795"/>
      <c r="F2654" s="1796"/>
      <c r="G2654" s="696"/>
      <c r="H2654" s="696"/>
      <c r="I2654" s="696"/>
      <c r="J2654" s="697"/>
      <c r="K2654" s="684">
        <f t="shared" si="2314"/>
        <v>1</v>
      </c>
      <c r="L2654" s="708">
        <v>1</v>
      </c>
      <c r="M2654" s="684">
        <f t="shared" si="2315"/>
        <v>1</v>
      </c>
      <c r="N2654" s="362" t="str">
        <f t="shared" si="2334"/>
        <v/>
      </c>
      <c r="O2654" s="1763" t="str">
        <f t="shared" si="2335"/>
        <v/>
      </c>
      <c r="P2654" s="1764" t="str">
        <f t="shared" si="2336"/>
        <v/>
      </c>
      <c r="Q2654" s="120" t="str">
        <f t="shared" si="2337"/>
        <v/>
      </c>
      <c r="R2654" s="185"/>
    </row>
    <row r="2655" spans="1:20" s="185" customFormat="1" ht="18" customHeight="1">
      <c r="A2655" s="1785"/>
      <c r="B2655" s="714"/>
      <c r="C2655" s="1893" t="s">
        <v>729</v>
      </c>
      <c r="D2655" s="173"/>
      <c r="E2655" s="1786"/>
      <c r="F2655" s="1787"/>
      <c r="G2655" s="710"/>
      <c r="H2655" s="710"/>
      <c r="I2655" s="710"/>
      <c r="J2655" s="711"/>
      <c r="K2655" s="684">
        <f t="shared" si="2314"/>
        <v>1</v>
      </c>
      <c r="L2655" s="708">
        <v>1</v>
      </c>
      <c r="M2655" s="684">
        <f t="shared" si="2315"/>
        <v>1</v>
      </c>
      <c r="N2655" s="362" t="str">
        <f t="shared" si="2334"/>
        <v/>
      </c>
      <c r="O2655" s="1763" t="str">
        <f t="shared" si="2335"/>
        <v/>
      </c>
      <c r="P2655" s="1764" t="str">
        <f t="shared" si="2336"/>
        <v/>
      </c>
      <c r="Q2655" s="120" t="str">
        <f t="shared" si="2337"/>
        <v/>
      </c>
    </row>
    <row r="2656" spans="1:20" s="897" customFormat="1" ht="18" customHeight="1">
      <c r="A2656" s="693"/>
      <c r="B2656" s="895">
        <v>70</v>
      </c>
      <c r="C2656" s="1848" t="str">
        <f>VLOOKUP(D2656,base_datos,6,FALSE)</f>
        <v>Rotulado por circuito.</v>
      </c>
      <c r="D2656" s="1579" t="s">
        <v>3067</v>
      </c>
      <c r="E2656" s="1581">
        <f>VLOOKUP(D2656,base_datos,5,FALSE)</f>
        <v>0.7</v>
      </c>
      <c r="F2656" s="1581">
        <f t="shared" ref="F2656:F2660" si="2392">+E2656*B2656</f>
        <v>49</v>
      </c>
      <c r="G2656" s="1772"/>
      <c r="H2656" s="1772"/>
      <c r="I2656" s="1772"/>
      <c r="J2656" s="896"/>
      <c r="K2656" s="684">
        <f t="shared" si="2314"/>
        <v>1</v>
      </c>
      <c r="L2656" s="708">
        <v>1</v>
      </c>
      <c r="M2656" s="684">
        <f t="shared" si="2315"/>
        <v>70</v>
      </c>
      <c r="N2656" s="362" t="str">
        <f t="shared" si="2334"/>
        <v/>
      </c>
      <c r="O2656" s="1763" t="str">
        <f t="shared" si="2335"/>
        <v/>
      </c>
      <c r="P2656" s="1764" t="str">
        <f t="shared" si="2336"/>
        <v/>
      </c>
      <c r="Q2656" s="120" t="str">
        <f t="shared" si="2337"/>
        <v/>
      </c>
    </row>
    <row r="2657" spans="1:18" s="897" customFormat="1" ht="18" customHeight="1">
      <c r="A2657" s="693"/>
      <c r="B2657" s="895">
        <v>2</v>
      </c>
      <c r="C2657" s="1848" t="str">
        <f>VLOOKUP(D2657,base_datos,6,FALSE)</f>
        <v>Rotulado para TAG - tablero de distribución.</v>
      </c>
      <c r="D2657" s="1579" t="s">
        <v>3066</v>
      </c>
      <c r="E2657" s="1581">
        <f>VLOOKUP(D2657,base_datos,5,FALSE)</f>
        <v>1.5</v>
      </c>
      <c r="F2657" s="1581">
        <f t="shared" si="2392"/>
        <v>3</v>
      </c>
      <c r="G2657" s="1772"/>
      <c r="H2657" s="1772"/>
      <c r="I2657" s="1772"/>
      <c r="J2657" s="896"/>
      <c r="K2657" s="684">
        <f t="shared" si="2314"/>
        <v>1</v>
      </c>
      <c r="L2657" s="708">
        <v>1</v>
      </c>
      <c r="M2657" s="684">
        <f t="shared" si="2315"/>
        <v>2</v>
      </c>
      <c r="N2657" s="362" t="str">
        <f t="shared" si="2334"/>
        <v/>
      </c>
      <c r="O2657" s="1763" t="str">
        <f t="shared" si="2335"/>
        <v/>
      </c>
      <c r="P2657" s="1764" t="str">
        <f t="shared" si="2336"/>
        <v/>
      </c>
      <c r="Q2657" s="120" t="str">
        <f t="shared" si="2337"/>
        <v/>
      </c>
    </row>
    <row r="2658" spans="1:18" s="1237" customFormat="1" ht="18" customHeight="1">
      <c r="A2658" s="1767"/>
      <c r="B2658" s="2093">
        <v>1</v>
      </c>
      <c r="C2658" s="694" t="s">
        <v>12552</v>
      </c>
      <c r="D2658" s="1888"/>
      <c r="E2658" s="1580">
        <f>E2660*15%</f>
        <v>34.5</v>
      </c>
      <c r="F2658" s="1581">
        <f t="shared" si="2392"/>
        <v>34.5</v>
      </c>
      <c r="G2658" s="1774"/>
      <c r="H2658" s="1774"/>
      <c r="I2658" s="1774"/>
      <c r="J2658" s="1181"/>
      <c r="K2658" s="684">
        <f t="shared" si="2314"/>
        <v>1</v>
      </c>
      <c r="L2658" s="708">
        <v>1</v>
      </c>
      <c r="M2658" s="709">
        <f t="shared" si="2315"/>
        <v>1</v>
      </c>
      <c r="N2658" s="362" t="str">
        <f t="shared" si="2334"/>
        <v/>
      </c>
      <c r="O2658" s="1763" t="str">
        <f t="shared" si="2335"/>
        <v/>
      </c>
      <c r="P2658" s="1764" t="str">
        <f t="shared" si="2336"/>
        <v/>
      </c>
      <c r="Q2658" s="120" t="str">
        <f t="shared" si="2337"/>
        <v/>
      </c>
      <c r="R2658" s="1765"/>
    </row>
    <row r="2659" spans="1:18" s="1237" customFormat="1" ht="18" customHeight="1">
      <c r="A2659" s="1767"/>
      <c r="B2659" s="1773">
        <v>1</v>
      </c>
      <c r="C2659" s="694" t="s">
        <v>12559</v>
      </c>
      <c r="D2659" s="1888"/>
      <c r="E2659" s="1999">
        <f>E2660*20%</f>
        <v>46</v>
      </c>
      <c r="F2659" s="1581">
        <f t="shared" si="2392"/>
        <v>46</v>
      </c>
      <c r="G2659" s="1774"/>
      <c r="H2659" s="1774"/>
      <c r="I2659" s="1774"/>
      <c r="J2659" s="1181"/>
      <c r="K2659" s="684">
        <f t="shared" si="2314"/>
        <v>1</v>
      </c>
      <c r="L2659" s="708">
        <v>1</v>
      </c>
      <c r="M2659" s="709">
        <f t="shared" si="2315"/>
        <v>1</v>
      </c>
      <c r="N2659" s="362" t="str">
        <f t="shared" si="2334"/>
        <v/>
      </c>
      <c r="O2659" s="1763" t="str">
        <f t="shared" si="2335"/>
        <v/>
      </c>
      <c r="P2659" s="1764" t="str">
        <f t="shared" si="2336"/>
        <v/>
      </c>
      <c r="Q2659" s="120" t="str">
        <f t="shared" si="2337"/>
        <v/>
      </c>
      <c r="R2659" s="1765"/>
    </row>
    <row r="2660" spans="1:18" s="1237" customFormat="1" ht="18" customHeight="1">
      <c r="A2660" s="1767"/>
      <c r="B2660" s="1773">
        <v>2</v>
      </c>
      <c r="C2660" s="1943" t="s">
        <v>12537</v>
      </c>
      <c r="D2660" s="1897"/>
      <c r="E2660" s="1581">
        <v>230</v>
      </c>
      <c r="F2660" s="1581">
        <f t="shared" si="2392"/>
        <v>460</v>
      </c>
      <c r="G2660" s="1774"/>
      <c r="H2660" s="1774"/>
      <c r="I2660" s="1774"/>
      <c r="J2660" s="1181"/>
      <c r="K2660" s="684">
        <f t="shared" si="2314"/>
        <v>1</v>
      </c>
      <c r="L2660" s="708">
        <v>1</v>
      </c>
      <c r="M2660" s="684">
        <f t="shared" si="2315"/>
        <v>2</v>
      </c>
      <c r="N2660" s="362" t="str">
        <f t="shared" si="2334"/>
        <v/>
      </c>
      <c r="O2660" s="1763" t="str">
        <f t="shared" si="2335"/>
        <v/>
      </c>
      <c r="P2660" s="1764" t="str">
        <f t="shared" si="2336"/>
        <v/>
      </c>
      <c r="Q2660" s="120" t="str">
        <f t="shared" si="2337"/>
        <v/>
      </c>
      <c r="R2660" s="1765"/>
    </row>
    <row r="2661" spans="1:18" s="2472" customFormat="1" ht="18" customHeight="1">
      <c r="A2661" s="2464"/>
      <c r="B2661" s="2465"/>
      <c r="C2661" s="2466" t="s">
        <v>13064</v>
      </c>
      <c r="D2661" s="2467"/>
      <c r="E2661" s="2468"/>
      <c r="F2661" s="2469"/>
      <c r="G2661" s="2470"/>
      <c r="H2661" s="2470"/>
      <c r="I2661" s="2470"/>
      <c r="J2661" s="2471"/>
      <c r="K2661" s="2426">
        <f t="shared" ref="K2661" si="2393">+K2659</f>
        <v>1</v>
      </c>
      <c r="L2661" s="2463">
        <v>1</v>
      </c>
      <c r="M2661" s="2428">
        <f>IF(B2661="",1,B2661)</f>
        <v>1</v>
      </c>
      <c r="N2661" s="2429" t="str">
        <f t="shared" si="2334"/>
        <v/>
      </c>
      <c r="O2661" s="2430" t="str">
        <f t="shared" si="2335"/>
        <v/>
      </c>
      <c r="P2661" s="2431" t="str">
        <f t="shared" si="2336"/>
        <v/>
      </c>
      <c r="Q2661" s="2432" t="str">
        <f t="shared" si="2337"/>
        <v/>
      </c>
      <c r="R2661" s="2433"/>
    </row>
    <row r="2662" spans="1:18" s="2472" customFormat="1" ht="18" customHeight="1">
      <c r="A2662" s="2464"/>
      <c r="B2662" s="2465"/>
      <c r="C2662" s="2466"/>
      <c r="D2662" s="2467"/>
      <c r="E2662" s="2468"/>
      <c r="F2662" s="2469"/>
      <c r="G2662" s="2470"/>
      <c r="H2662" s="2470"/>
      <c r="I2662" s="2470"/>
      <c r="J2662" s="2471"/>
      <c r="K2662" s="2426">
        <f t="shared" ref="K2662:K2664" si="2394">K2660</f>
        <v>1</v>
      </c>
      <c r="L2662" s="2463">
        <v>1</v>
      </c>
      <c r="M2662" s="2428">
        <f>IF(B2662="",1,B2662)</f>
        <v>1</v>
      </c>
      <c r="N2662" s="2429"/>
      <c r="O2662" s="2430"/>
      <c r="P2662" s="2431"/>
      <c r="Q2662" s="2432"/>
      <c r="R2662" s="2433"/>
    </row>
    <row r="2663" spans="1:18" s="2480" customFormat="1">
      <c r="A2663" s="2473"/>
      <c r="B2663" s="2474">
        <v>1</v>
      </c>
      <c r="C2663" s="2475" t="str">
        <f t="shared" ref="C2663:C2664" si="2395">VLOOKUP(D2663,base_datos,6,FALSE)</f>
        <v>FOTOCELDA 1800VA 220V N/C (NF) 10 LUX STIELECTRONICA</v>
      </c>
      <c r="D2663" s="2476" t="s">
        <v>3410</v>
      </c>
      <c r="E2663" s="2477">
        <f t="shared" ref="E2663:E2664" si="2396">VLOOKUP(D2663,base_datos,5,FALSE)</f>
        <v>27.6</v>
      </c>
      <c r="F2663" s="2455">
        <f t="shared" ref="F2663:F2664" si="2397">+E2663*B2663</f>
        <v>27.6</v>
      </c>
      <c r="G2663" s="2478"/>
      <c r="H2663" s="2478"/>
      <c r="I2663" s="2478"/>
      <c r="J2663" s="2479"/>
      <c r="K2663" s="2426">
        <f t="shared" si="2394"/>
        <v>1</v>
      </c>
      <c r="L2663" s="2463">
        <v>1</v>
      </c>
      <c r="M2663" s="2428">
        <f>IF(B2663="",1,B2663)</f>
        <v>1</v>
      </c>
      <c r="N2663" s="2429">
        <f>IF(O2663&lt;&gt;"",K2663*L2663*M2663,"")</f>
        <v>1</v>
      </c>
      <c r="O2663" s="2430" t="str">
        <f>IF(D2663&lt;&gt;"",IF(VLOOKUP(D2663,base_datos,7,FALSE)&lt;&gt;"",VLOOKUP(D2663,base_datos,7,FALSE),""),"")</f>
        <v>0400RTF82S</v>
      </c>
      <c r="P2663" s="2431" t="str">
        <f>IF(O2663&lt;&gt;"",VLOOKUP(D2663,base_datos,6,FALSE),"")</f>
        <v>FOTOCELDA 1800VA 220V N/C (NF) 10 LUX STIELECTRONICA</v>
      </c>
      <c r="Q2663" s="2432" t="str">
        <f>IF(O2663&lt;&gt;"",D2663,"")</f>
        <v>FOTOCELDA</v>
      </c>
    </row>
    <row r="2664" spans="1:18" s="2480" customFormat="1">
      <c r="A2664" s="2473"/>
      <c r="B2664" s="2474">
        <v>1</v>
      </c>
      <c r="C2664" s="2475" t="str">
        <f t="shared" si="2395"/>
        <v>BASE C/SOPORTE P/CONTROL FOTOCELDA P/ADOSAR STIELECTRONICA</v>
      </c>
      <c r="D2664" s="2476" t="s">
        <v>3411</v>
      </c>
      <c r="E2664" s="2477">
        <f t="shared" si="2396"/>
        <v>13.4</v>
      </c>
      <c r="F2664" s="2455">
        <f t="shared" si="2397"/>
        <v>13.4</v>
      </c>
      <c r="G2664" s="2478"/>
      <c r="H2664" s="2478"/>
      <c r="I2664" s="2478"/>
      <c r="J2664" s="2479"/>
      <c r="K2664" s="2426">
        <f t="shared" si="2394"/>
        <v>1</v>
      </c>
      <c r="L2664" s="2463">
        <v>1</v>
      </c>
      <c r="M2664" s="2428">
        <f>IF(B2664="",1,B2664)</f>
        <v>1</v>
      </c>
      <c r="N2664" s="2429">
        <f>IF(O2664&lt;&gt;"",K2664*L2664*M2664,"")</f>
        <v>1</v>
      </c>
      <c r="O2664" s="2430" t="str">
        <f>IF(D2664&lt;&gt;"",IF(VLOOKUP(D2664,base_datos,7,FALSE)&lt;&gt;"",VLOOKUP(D2664,base_datos,7,FALSE),""),"")</f>
        <v>0400TPLS476</v>
      </c>
      <c r="P2664" s="2431" t="str">
        <f>IF(O2664&lt;&gt;"",VLOOKUP(D2664,base_datos,6,FALSE),"")</f>
        <v>BASE C/SOPORTE P/CONTROL FOTOCELDA P/ADOSAR STIELECTRONICA</v>
      </c>
      <c r="Q2664" s="2432" t="str">
        <f>IF(O2664&lt;&gt;"",D2664,"")</f>
        <v>BASE_FOTOCELDA</v>
      </c>
    </row>
    <row r="2665" spans="1:18" s="20" customFormat="1" ht="18" customHeight="1" thickBot="1">
      <c r="A2665" s="699"/>
      <c r="B2665" s="1775"/>
      <c r="C2665" s="1776"/>
      <c r="D2665" s="1885"/>
      <c r="E2665" s="1981"/>
      <c r="F2665" s="1981"/>
      <c r="G2665" s="1777"/>
      <c r="H2665" s="1777"/>
      <c r="I2665" s="1777"/>
      <c r="J2665" s="1778"/>
      <c r="K2665" s="684"/>
      <c r="L2665" s="363"/>
      <c r="M2665" s="709"/>
      <c r="N2665" s="362" t="str">
        <f>IF(O2665&lt;&gt;"",K2665*L2665*M2665,"")</f>
        <v/>
      </c>
      <c r="O2665" s="1763" t="str">
        <f>IF(D2665&lt;&gt;"",IF(VLOOKUP(D2665,base_datos,7,FALSE)&lt;&gt;"",VLOOKUP(D2665,base_datos,7,FALSE),""),"")</f>
        <v/>
      </c>
      <c r="P2665" s="1764" t="str">
        <f>IF(O2665&lt;&gt;"",VLOOKUP(D2665,base_datos,6,FALSE),"")</f>
        <v/>
      </c>
      <c r="Q2665" s="120" t="str">
        <f>IF(O2665&lt;&gt;"",D2665,"")</f>
        <v/>
      </c>
      <c r="R2665" s="1765"/>
    </row>
    <row r="2666" spans="1:18" s="120" customFormat="1" ht="18" customHeight="1" thickBot="1">
      <c r="A2666" s="2233">
        <v>43.1</v>
      </c>
      <c r="B2666" s="1852">
        <v>1</v>
      </c>
      <c r="C2666" s="1756" t="s">
        <v>13055</v>
      </c>
      <c r="D2666" s="1588"/>
      <c r="E2666" s="1589"/>
      <c r="F2666" s="1589"/>
      <c r="G2666" s="1757">
        <f>SUM(F2667:F2680)</f>
        <v>351.9</v>
      </c>
      <c r="H2666" s="1758">
        <f>ROUNDUP(G2666*(1-$D$6),0)</f>
        <v>352</v>
      </c>
      <c r="I2666" s="1757">
        <f>ROUNDUP(H2666*$D$5,0)</f>
        <v>1197</v>
      </c>
      <c r="J2666" s="1759">
        <f>+I2666*B2666</f>
        <v>1197</v>
      </c>
      <c r="K2666" s="1788">
        <f>B2666</f>
        <v>1</v>
      </c>
      <c r="L2666" s="363"/>
      <c r="M2666" s="684"/>
      <c r="N2666" s="362"/>
      <c r="O2666" s="1763"/>
      <c r="P2666" s="1764"/>
      <c r="Q2666" s="120" t="str">
        <f t="shared" ref="Q2666:Q2667" si="2398">IF(O2666&lt;&gt;"",D2666,"")</f>
        <v/>
      </c>
      <c r="R2666" s="185"/>
    </row>
    <row r="2667" spans="1:18" s="120" customFormat="1">
      <c r="A2667" s="685" t="s">
        <v>3064</v>
      </c>
      <c r="B2667" s="1779"/>
      <c r="C2667" s="1954"/>
      <c r="D2667" s="2213"/>
      <c r="E2667" s="1789"/>
      <c r="F2667" s="1789"/>
      <c r="G2667" s="686"/>
      <c r="H2667" s="686"/>
      <c r="I2667" s="686"/>
      <c r="J2667" s="1768"/>
      <c r="K2667" s="684">
        <f t="shared" ref="K2667:K2679" si="2399">K2666</f>
        <v>1</v>
      </c>
      <c r="L2667" s="363">
        <v>1</v>
      </c>
      <c r="M2667" s="684">
        <f>IF(B2667="",1,B2667)</f>
        <v>1</v>
      </c>
      <c r="N2667" s="362" t="str">
        <f t="shared" ref="N2667" si="2400">IF(O2667&lt;&gt;"",K2667*L2667*M2667,"")</f>
        <v/>
      </c>
      <c r="O2667" s="1763" t="str">
        <f t="shared" ref="O2667" si="2401">IF(D2667&lt;&gt;"",IF(VLOOKUP(D2667,base_datos,7,FALSE)&lt;&gt;"",VLOOKUP(D2667,base_datos,7,FALSE),""),"")</f>
        <v/>
      </c>
      <c r="P2667" s="1764" t="str">
        <f t="shared" ref="P2667" si="2402">IF(O2667&lt;&gt;"",VLOOKUP(D2667,base_datos,6,FALSE),"")</f>
        <v/>
      </c>
      <c r="Q2667" s="120" t="str">
        <f t="shared" si="2398"/>
        <v/>
      </c>
    </row>
    <row r="2668" spans="1:18" s="690" customFormat="1" ht="18" customHeight="1">
      <c r="A2668" s="687" t="s">
        <v>4021</v>
      </c>
      <c r="B2668" s="2226">
        <v>7</v>
      </c>
      <c r="C2668" s="1954" t="s">
        <v>13056</v>
      </c>
      <c r="D2668" s="2110"/>
      <c r="E2668" s="1782"/>
      <c r="F2668" s="1908">
        <f>SUM(F2669:F2673)*(B2668-1)</f>
        <v>214.04999999999998</v>
      </c>
      <c r="G2668" s="1761"/>
      <c r="H2668" s="1761"/>
      <c r="I2668" s="1761"/>
      <c r="J2668" s="1783"/>
      <c r="K2668" s="684">
        <f t="shared" si="2399"/>
        <v>1</v>
      </c>
      <c r="L2668" s="2225">
        <f>B2668</f>
        <v>7</v>
      </c>
      <c r="M2668" s="709">
        <f t="shared" ref="M2668:M2670" si="2403">IF(B2668="",1,B2668)</f>
        <v>7</v>
      </c>
      <c r="N2668" s="362" t="str">
        <f>IF(O2668&lt;&gt;"",K2668*L2668*M2668,"")</f>
        <v/>
      </c>
      <c r="O2668" s="1763" t="str">
        <f>IF(D2668&lt;&gt;"",IF(VLOOKUP(D2668,base_datos,7,FALSE)&lt;&gt;"",VLOOKUP(D2668,base_datos,7,FALSE),""),"")</f>
        <v/>
      </c>
      <c r="P2668" s="1764" t="str">
        <f>IF(O2668&lt;&gt;"",VLOOKUP(D2668,base_datos,6,FALSE),"")</f>
        <v/>
      </c>
      <c r="Q2668" s="120" t="str">
        <f>IF(O2668&lt;&gt;"",D2668,"")</f>
        <v/>
      </c>
      <c r="R2668" s="185"/>
    </row>
    <row r="2669" spans="1:18" s="2434" customFormat="1" ht="18" customHeight="1">
      <c r="A2669" s="2418" t="s">
        <v>4136</v>
      </c>
      <c r="B2669" s="2435">
        <v>1</v>
      </c>
      <c r="C2669" s="2436" t="str">
        <f>VLOOKUP(D2669,base_datos,6,FALSE)</f>
        <v>Dado Interruptor unipolar de 16A,  250V, linea Magic 5001, marca BTICINO.</v>
      </c>
      <c r="D2669" s="2437" t="s">
        <v>13868</v>
      </c>
      <c r="E2669" s="2422">
        <f>VLOOKUP(D2669,base_datos,5,FALSE)</f>
        <v>8.5</v>
      </c>
      <c r="F2669" s="2438">
        <f t="shared" ref="F2669" si="2404">+E2669*B2669</f>
        <v>8.5</v>
      </c>
      <c r="G2669" s="2424"/>
      <c r="H2669" s="2424"/>
      <c r="I2669" s="2424"/>
      <c r="J2669" s="2425"/>
      <c r="K2669" s="2426">
        <f t="shared" si="2399"/>
        <v>1</v>
      </c>
      <c r="L2669" s="2427">
        <f>L2668</f>
        <v>7</v>
      </c>
      <c r="M2669" s="2428">
        <f t="shared" si="2403"/>
        <v>1</v>
      </c>
      <c r="N2669" s="2429" t="str">
        <f>IF(O2669&lt;&gt;"",K2669*L2669*M2669,"")</f>
        <v/>
      </c>
      <c r="O2669" s="2430" t="str">
        <f>IF(D2669&lt;&gt;"",IF(VLOOKUP(D2669,base_datos,7,FALSE)&lt;&gt;"",VLOOKUP(D2669,base_datos,7,FALSE),""),"")</f>
        <v/>
      </c>
      <c r="P2669" s="2431" t="str">
        <f>IF(O2669&lt;&gt;"",VLOOKUP(D2669,base_datos,6,FALSE),"")</f>
        <v/>
      </c>
      <c r="Q2669" s="2432" t="str">
        <f>IF(O2669&lt;&gt;"",D2669,"")</f>
        <v/>
      </c>
      <c r="R2669" s="2433"/>
    </row>
    <row r="2670" spans="1:18" s="120" customFormat="1">
      <c r="A2670" s="687"/>
      <c r="B2670" s="1781">
        <v>1</v>
      </c>
      <c r="C2670" s="1915" t="s">
        <v>3366</v>
      </c>
      <c r="D2670" s="314"/>
      <c r="E2670" s="1782"/>
      <c r="F2670" s="1923"/>
      <c r="G2670" s="686"/>
      <c r="H2670" s="686"/>
      <c r="I2670" s="686"/>
      <c r="J2670" s="688"/>
      <c r="K2670" s="684">
        <f>K2671</f>
        <v>1</v>
      </c>
      <c r="L2670" s="2225">
        <f>L2671</f>
        <v>7</v>
      </c>
      <c r="M2670" s="709">
        <f t="shared" si="2403"/>
        <v>1</v>
      </c>
      <c r="N2670" s="362" t="str">
        <f t="shared" ref="N2670" si="2405">IF(O2670&lt;&gt;"",K2670*L2670*M2670,"")</f>
        <v/>
      </c>
      <c r="O2670" s="1763" t="str">
        <f t="shared" ref="O2670" si="2406">IF(D2670&lt;&gt;"",IF(VLOOKUP(D2670,base_datos,7,FALSE)&lt;&gt;"",VLOOKUP(D2670,base_datos,7,FALSE),""),"")</f>
        <v/>
      </c>
      <c r="P2670" s="1764" t="str">
        <f t="shared" ref="P2670" si="2407">IF(O2670&lt;&gt;"",VLOOKUP(D2670,base_datos,6,FALSE),"")</f>
        <v/>
      </c>
      <c r="Q2670" s="120" t="str">
        <f t="shared" ref="Q2670" si="2408">IF(O2670&lt;&gt;"",D2670,"")</f>
        <v/>
      </c>
    </row>
    <row r="2671" spans="1:18" s="695" customFormat="1" ht="18" customHeight="1">
      <c r="A2671" s="693"/>
      <c r="B2671" s="1922">
        <v>1</v>
      </c>
      <c r="C2671" s="721" t="str">
        <f t="shared" ref="C2671" si="2409">VLOOKUP(D2671,base_datos,6,FALSE)</f>
        <v>Base portafusibles + Fusibles de protección para control.</v>
      </c>
      <c r="D2671" s="2222" t="s">
        <v>453</v>
      </c>
      <c r="E2671" s="1796">
        <f t="shared" ref="E2671" si="2410">VLOOKUP(D2671,base_datos,5,FALSE)</f>
        <v>8.1750000000000007</v>
      </c>
      <c r="F2671" s="1923">
        <f>+E2671*B2671</f>
        <v>8.1750000000000007</v>
      </c>
      <c r="G2671" s="696"/>
      <c r="H2671" s="696"/>
      <c r="I2671" s="696"/>
      <c r="J2671" s="697"/>
      <c r="K2671" s="684">
        <f>K2669</f>
        <v>1</v>
      </c>
      <c r="L2671" s="2225">
        <f>L2669</f>
        <v>7</v>
      </c>
      <c r="M2671" s="709">
        <f>IF(B2671="",1,B2671)</f>
        <v>1</v>
      </c>
      <c r="N2671" s="362" t="str">
        <f>IF(O2671&lt;&gt;"",K2671*L2671*M2671,"")</f>
        <v/>
      </c>
      <c r="O2671" s="1763" t="str">
        <f>IF(D2671&lt;&gt;"",IF(VLOOKUP(D2671,base_datos,7,FALSE)&lt;&gt;"",VLOOKUP(D2671,base_datos,7,FALSE),""),"")</f>
        <v/>
      </c>
      <c r="P2671" s="1764" t="str">
        <f>IF(O2671&lt;&gt;"",VLOOKUP(D2671,base_datos,6,FALSE),"")</f>
        <v/>
      </c>
      <c r="Q2671" s="120" t="str">
        <f>IF(O2671&lt;&gt;"",D2671,"")</f>
        <v/>
      </c>
      <c r="R2671" s="185"/>
    </row>
    <row r="2672" spans="1:18" s="695" customFormat="1" ht="18" customHeight="1">
      <c r="A2672" s="693"/>
      <c r="B2672" s="1922">
        <v>6</v>
      </c>
      <c r="C2672" s="721" t="str">
        <f>VLOOKUP(D2672,base_datos,6,FALSE)</f>
        <v>Borne 4mm2.</v>
      </c>
      <c r="D2672" s="2222" t="s">
        <v>437</v>
      </c>
      <c r="E2672" s="1796">
        <f>VLOOKUP(D2672,base_datos,5,FALSE)</f>
        <v>2.5</v>
      </c>
      <c r="F2672" s="1923">
        <f t="shared" ref="F2672:F2673" si="2411">+E2672*B2672</f>
        <v>15</v>
      </c>
      <c r="G2672" s="696"/>
      <c r="H2672" s="696"/>
      <c r="I2672" s="696"/>
      <c r="J2672" s="697"/>
      <c r="K2672" s="684">
        <f>K2670</f>
        <v>1</v>
      </c>
      <c r="L2672" s="708">
        <v>1</v>
      </c>
      <c r="M2672" s="709">
        <f>IF(B2672="",1,B2672)</f>
        <v>6</v>
      </c>
      <c r="N2672" s="362" t="str">
        <f>IF(O2672&lt;&gt;"",K2672*L2672*M2672,"")</f>
        <v/>
      </c>
      <c r="O2672" s="1763" t="str">
        <f>IF(D2672&lt;&gt;"",IF(VLOOKUP(D2672,base_datos,7,FALSE)&lt;&gt;"",VLOOKUP(D2672,base_datos,7,FALSE),""),"")</f>
        <v/>
      </c>
      <c r="P2672" s="1764" t="str">
        <f>IF(O2672&lt;&gt;"",VLOOKUP(D2672,base_datos,6,FALSE),"")</f>
        <v/>
      </c>
      <c r="Q2672" s="120" t="str">
        <f>IF(O2672&lt;&gt;"",D2672,"")</f>
        <v/>
      </c>
      <c r="R2672" s="185"/>
    </row>
    <row r="2673" spans="1:18" s="695" customFormat="1" ht="18" customHeight="1">
      <c r="A2673" s="693"/>
      <c r="B2673" s="1922">
        <v>1</v>
      </c>
      <c r="C2673" s="721" t="str">
        <f t="shared" ref="C2673" si="2412">VLOOKUP(D2673,base_datos,6,FALSE)</f>
        <v>Borne para neutro.</v>
      </c>
      <c r="D2673" s="36" t="s">
        <v>436</v>
      </c>
      <c r="E2673" s="1796">
        <f t="shared" ref="E2673" si="2413">VLOOKUP(D2673,base_datos,5,FALSE)</f>
        <v>4</v>
      </c>
      <c r="F2673" s="1923">
        <f t="shared" si="2411"/>
        <v>4</v>
      </c>
      <c r="G2673" s="696"/>
      <c r="H2673" s="696"/>
      <c r="I2673" s="696"/>
      <c r="J2673" s="697"/>
      <c r="K2673" s="684">
        <f t="shared" si="2399"/>
        <v>1</v>
      </c>
      <c r="L2673" s="2225">
        <f>L2670</f>
        <v>7</v>
      </c>
      <c r="M2673" s="709">
        <f t="shared" ref="M2673:M2679" si="2414">IF(B2673="",1,B2673)</f>
        <v>1</v>
      </c>
      <c r="N2673" s="362" t="str">
        <f t="shared" ref="N2673" si="2415">IF(O2673&lt;&gt;"",K2673*L2673*M2673,"")</f>
        <v/>
      </c>
      <c r="O2673" s="1763" t="str">
        <f t="shared" ref="O2673" si="2416">IF(D2673&lt;&gt;"",IF(VLOOKUP(D2673,base_datos,7,FALSE)&lt;&gt;"",VLOOKUP(D2673,base_datos,7,FALSE),""),"")</f>
        <v/>
      </c>
      <c r="P2673" s="1764" t="str">
        <f t="shared" ref="P2673" si="2417">IF(O2673&lt;&gt;"",VLOOKUP(D2673,base_datos,6,FALSE),"")</f>
        <v/>
      </c>
      <c r="Q2673" s="120" t="str">
        <f t="shared" ref="Q2673" si="2418">IF(O2673&lt;&gt;"",D2673,"")</f>
        <v/>
      </c>
      <c r="R2673" s="185"/>
    </row>
    <row r="2674" spans="1:18" s="185" customFormat="1">
      <c r="A2674" s="687"/>
      <c r="B2674" s="714"/>
      <c r="C2674" s="313" t="s">
        <v>729</v>
      </c>
      <c r="D2674" s="36"/>
      <c r="E2674" s="1971"/>
      <c r="F2674" s="1787"/>
      <c r="G2674" s="710"/>
      <c r="H2674" s="710"/>
      <c r="I2674" s="710"/>
      <c r="J2674" s="711"/>
      <c r="K2674" s="684">
        <f t="shared" si="2399"/>
        <v>1</v>
      </c>
      <c r="L2674" s="363">
        <v>1</v>
      </c>
      <c r="M2674" s="709">
        <f t="shared" si="2414"/>
        <v>1</v>
      </c>
      <c r="N2674" s="1905" t="str">
        <f>IF(O2674&lt;&gt;"",K2674*L2674*M2674,"")</f>
        <v/>
      </c>
      <c r="O2674" s="1571" t="str">
        <f>IF(D2674&lt;&gt;"",IF(VLOOKUP(D2674,base_datos,7,FALSE)&lt;&gt;"",VLOOKUP(D2674,base_datos,7,FALSE),""),"")</f>
        <v/>
      </c>
      <c r="P2674" s="320" t="str">
        <f>IF(O2674&lt;&gt;"",VLOOKUP(D2674,base_datos,6,FALSE),"")</f>
        <v/>
      </c>
      <c r="Q2674" s="185" t="str">
        <f>IF(O2674&lt;&gt;"",D2674,"")</f>
        <v/>
      </c>
    </row>
    <row r="2675" spans="1:18" s="695" customFormat="1" ht="18" customHeight="1">
      <c r="A2675" s="693"/>
      <c r="B2675" s="1922">
        <v>1</v>
      </c>
      <c r="C2675" s="721" t="str">
        <f t="shared" ref="C2675:C2676" si="2419">VLOOKUP(D2675,base_datos,6,FALSE)</f>
        <v>Base portafusibles + Fusibles de protección para control.</v>
      </c>
      <c r="D2675" s="2222" t="s">
        <v>453</v>
      </c>
      <c r="E2675" s="1796">
        <f t="shared" ref="E2675:E2676" si="2420">VLOOKUP(D2675,base_datos,5,FALSE)</f>
        <v>8.1750000000000007</v>
      </c>
      <c r="F2675" s="1581">
        <f t="shared" ref="F2675:F2676" si="2421">+E2675*B2675</f>
        <v>8.1750000000000007</v>
      </c>
      <c r="G2675" s="696"/>
      <c r="H2675" s="696"/>
      <c r="I2675" s="696"/>
      <c r="J2675" s="697"/>
      <c r="K2675" s="684">
        <f t="shared" si="2399"/>
        <v>1</v>
      </c>
      <c r="L2675" s="708">
        <v>1</v>
      </c>
      <c r="M2675" s="709">
        <f t="shared" si="2414"/>
        <v>1</v>
      </c>
      <c r="N2675" s="362" t="str">
        <f t="shared" ref="N2675:N2676" si="2422">IF(O2675&lt;&gt;"",K2675*L2675*M2675,"")</f>
        <v/>
      </c>
      <c r="O2675" s="1763" t="str">
        <f t="shared" ref="O2675:O2676" si="2423">IF(D2675&lt;&gt;"",IF(VLOOKUP(D2675,base_datos,7,FALSE)&lt;&gt;"",VLOOKUP(D2675,base_datos,7,FALSE),""),"")</f>
        <v/>
      </c>
      <c r="P2675" s="1764" t="str">
        <f t="shared" ref="P2675:P2676" si="2424">IF(O2675&lt;&gt;"",VLOOKUP(D2675,base_datos,6,FALSE),"")</f>
        <v/>
      </c>
      <c r="Q2675" s="120" t="str">
        <f t="shared" ref="Q2675:Q2676" si="2425">IF(O2675&lt;&gt;"",D2675,"")</f>
        <v/>
      </c>
      <c r="R2675" s="185"/>
    </row>
    <row r="2676" spans="1:18" s="695" customFormat="1" ht="18" customHeight="1">
      <c r="A2676" s="693"/>
      <c r="B2676" s="1922">
        <v>1</v>
      </c>
      <c r="C2676" s="721" t="str">
        <f t="shared" si="2419"/>
        <v>Borne para neutro.</v>
      </c>
      <c r="D2676" s="36" t="s">
        <v>436</v>
      </c>
      <c r="E2676" s="1796">
        <f t="shared" si="2420"/>
        <v>4</v>
      </c>
      <c r="F2676" s="1923">
        <f t="shared" si="2421"/>
        <v>4</v>
      </c>
      <c r="G2676" s="696"/>
      <c r="H2676" s="696"/>
      <c r="I2676" s="696"/>
      <c r="J2676" s="697"/>
      <c r="K2676" s="684">
        <f t="shared" si="2399"/>
        <v>1</v>
      </c>
      <c r="L2676" s="2225">
        <f t="shared" ref="L2676" si="2426">L2675</f>
        <v>1</v>
      </c>
      <c r="M2676" s="709">
        <f t="shared" si="2414"/>
        <v>1</v>
      </c>
      <c r="N2676" s="362" t="str">
        <f t="shared" si="2422"/>
        <v/>
      </c>
      <c r="O2676" s="1763" t="str">
        <f t="shared" si="2423"/>
        <v/>
      </c>
      <c r="P2676" s="1764" t="str">
        <f t="shared" si="2424"/>
        <v/>
      </c>
      <c r="Q2676" s="120" t="str">
        <f t="shared" si="2425"/>
        <v/>
      </c>
      <c r="R2676" s="185"/>
    </row>
    <row r="2677" spans="1:18" s="185" customFormat="1">
      <c r="A2677" s="687"/>
      <c r="B2677" s="714"/>
      <c r="C2677" s="313" t="s">
        <v>729</v>
      </c>
      <c r="D2677" s="36"/>
      <c r="E2677" s="1971"/>
      <c r="F2677" s="1787"/>
      <c r="G2677" s="710"/>
      <c r="H2677" s="710"/>
      <c r="I2677" s="710"/>
      <c r="J2677" s="711"/>
      <c r="K2677" s="684">
        <f t="shared" si="2399"/>
        <v>1</v>
      </c>
      <c r="L2677" s="708">
        <v>1</v>
      </c>
      <c r="M2677" s="709">
        <f t="shared" si="2414"/>
        <v>1</v>
      </c>
      <c r="N2677" s="1905" t="str">
        <f>IF(O2677&lt;&gt;"",K2677*L2677*M2677,"")</f>
        <v/>
      </c>
      <c r="O2677" s="1571" t="str">
        <f>IF(D2677&lt;&gt;"",IF(VLOOKUP(D2677,base_datos,7,FALSE)&lt;&gt;"",VLOOKUP(D2677,base_datos,7,FALSE),""),"")</f>
        <v/>
      </c>
      <c r="P2677" s="320" t="str">
        <f>IF(O2677&lt;&gt;"",VLOOKUP(D2677,base_datos,6,FALSE),"")</f>
        <v/>
      </c>
      <c r="Q2677" s="185" t="str">
        <f>IF(O2677&lt;&gt;"",D2677,"")</f>
        <v/>
      </c>
    </row>
    <row r="2678" spans="1:18" s="695" customFormat="1">
      <c r="A2678" s="691"/>
      <c r="B2678" s="2214">
        <v>1</v>
      </c>
      <c r="C2678" s="2215" t="s">
        <v>316</v>
      </c>
      <c r="D2678" s="2223"/>
      <c r="E2678" s="2227"/>
      <c r="F2678" s="2227"/>
      <c r="G2678" s="696"/>
      <c r="H2678" s="696"/>
      <c r="I2678" s="696"/>
      <c r="J2678" s="697"/>
      <c r="K2678" s="684">
        <f t="shared" si="2399"/>
        <v>1</v>
      </c>
      <c r="L2678" s="708">
        <v>1</v>
      </c>
      <c r="M2678" s="709">
        <f t="shared" si="2414"/>
        <v>1</v>
      </c>
      <c r="N2678" s="362" t="str">
        <f t="shared" ref="N2678:N2679" si="2427">IF(O2678&lt;&gt;"",K2678*L2678*M2678,"")</f>
        <v/>
      </c>
      <c r="O2678" s="1763" t="str">
        <f t="shared" ref="O2678:O2679" si="2428">IF(D2678&lt;&gt;"",IF(VLOOKUP(D2678,base_datos,7,FALSE)&lt;&gt;"",VLOOKUP(D2678,base_datos,7,FALSE),""),"")</f>
        <v/>
      </c>
      <c r="P2678" s="1764" t="str">
        <f t="shared" ref="P2678:P2679" si="2429">IF(O2678&lt;&gt;"",VLOOKUP(D2678,base_datos,6,FALSE),"")</f>
        <v/>
      </c>
      <c r="Q2678" s="120" t="str">
        <f t="shared" ref="Q2678:Q2679" si="2430">IF(O2678&lt;&gt;"",D2678,"")</f>
        <v/>
      </c>
    </row>
    <row r="2679" spans="1:18" s="1979" customFormat="1">
      <c r="A2679" s="698"/>
      <c r="B2679" s="1967">
        <v>1</v>
      </c>
      <c r="C2679" s="694" t="s">
        <v>13039</v>
      </c>
      <c r="D2679" s="2218"/>
      <c r="E2679" s="1968">
        <v>90</v>
      </c>
      <c r="F2679" s="1968">
        <f>+E2679*B2679</f>
        <v>90</v>
      </c>
      <c r="G2679" s="2216"/>
      <c r="H2679" s="2216"/>
      <c r="I2679" s="2216"/>
      <c r="J2679" s="2217"/>
      <c r="K2679" s="684">
        <f t="shared" si="2399"/>
        <v>1</v>
      </c>
      <c r="L2679" s="363">
        <v>1</v>
      </c>
      <c r="M2679" s="684">
        <f t="shared" si="2414"/>
        <v>1</v>
      </c>
      <c r="N2679" s="362" t="str">
        <f t="shared" si="2427"/>
        <v/>
      </c>
      <c r="O2679" s="1763" t="str">
        <f t="shared" si="2428"/>
        <v/>
      </c>
      <c r="P2679" s="1764" t="str">
        <f t="shared" si="2429"/>
        <v/>
      </c>
      <c r="Q2679" s="120" t="str">
        <f t="shared" si="2430"/>
        <v/>
      </c>
    </row>
    <row r="2680" spans="1:18" s="120" customFormat="1" ht="13.8" thickBot="1">
      <c r="A2680" s="699"/>
      <c r="B2680" s="1775"/>
      <c r="C2680" s="1776"/>
      <c r="D2680" s="1885"/>
      <c r="E2680" s="1981"/>
      <c r="F2680" s="1981"/>
      <c r="G2680" s="1777"/>
      <c r="H2680" s="1777"/>
      <c r="I2680" s="1777"/>
      <c r="J2680" s="1778"/>
      <c r="K2680" s="684"/>
      <c r="L2680" s="363"/>
      <c r="M2680" s="684"/>
      <c r="N2680" s="362"/>
      <c r="O2680" s="1763"/>
      <c r="P2680" s="1764"/>
    </row>
    <row r="2681" spans="1:18" s="120" customFormat="1" ht="18" customHeight="1" thickBot="1">
      <c r="A2681" s="1989">
        <v>44</v>
      </c>
      <c r="B2681" s="1852">
        <v>1</v>
      </c>
      <c r="C2681" s="1756" t="s">
        <v>12606</v>
      </c>
      <c r="D2681" s="1588"/>
      <c r="E2681" s="1589"/>
      <c r="F2681" s="1589"/>
      <c r="G2681" s="1757">
        <f>SUM(F2682:F2740)</f>
        <v>2640.5149999999999</v>
      </c>
      <c r="H2681" s="1758">
        <f>G2681*(1-$D$6)</f>
        <v>2640.5149999999999</v>
      </c>
      <c r="I2681" s="1757">
        <f>ROUNDUP(H2681*$D$5,0)</f>
        <v>8978</v>
      </c>
      <c r="J2681" s="1759">
        <f>+I2681*B2681</f>
        <v>8978</v>
      </c>
      <c r="K2681" s="1788">
        <f>B2681</f>
        <v>1</v>
      </c>
      <c r="L2681" s="363"/>
      <c r="M2681" s="684"/>
      <c r="N2681" s="362" t="str">
        <f t="shared" si="2294"/>
        <v/>
      </c>
      <c r="O2681" s="1763" t="str">
        <f t="shared" si="2295"/>
        <v/>
      </c>
      <c r="P2681" s="1764" t="str">
        <f t="shared" si="2296"/>
        <v/>
      </c>
      <c r="Q2681" s="120" t="str">
        <f t="shared" si="2297"/>
        <v/>
      </c>
      <c r="R2681" s="185"/>
    </row>
    <row r="2682" spans="1:18" s="120" customFormat="1" ht="18" customHeight="1">
      <c r="A2682" s="685" t="s">
        <v>3064</v>
      </c>
      <c r="B2682" s="1903"/>
      <c r="C2682" s="1890"/>
      <c r="D2682" s="1904"/>
      <c r="E2682" s="1789"/>
      <c r="F2682" s="1780"/>
      <c r="G2682" s="686"/>
      <c r="H2682" s="710"/>
      <c r="I2682" s="686"/>
      <c r="J2682" s="1768"/>
      <c r="K2682" s="684">
        <f t="shared" ref="K2682:K2740" si="2431">+K2681</f>
        <v>1</v>
      </c>
      <c r="L2682" s="363">
        <v>1</v>
      </c>
      <c r="M2682" s="709">
        <f t="shared" ref="M2682:M2740" si="2432">IF(B2682="",1,B2682)</f>
        <v>1</v>
      </c>
      <c r="N2682" s="362" t="str">
        <f t="shared" si="2294"/>
        <v/>
      </c>
      <c r="O2682" s="1763" t="str">
        <f t="shared" si="2295"/>
        <v/>
      </c>
      <c r="P2682" s="1764" t="str">
        <f t="shared" si="2296"/>
        <v/>
      </c>
      <c r="Q2682" s="120" t="str">
        <f t="shared" si="2297"/>
        <v/>
      </c>
    </row>
    <row r="2683" spans="1:18" s="315" customFormat="1" ht="12" customHeight="1">
      <c r="A2683" s="687" t="s">
        <v>4021</v>
      </c>
      <c r="B2683" s="2096">
        <v>1</v>
      </c>
      <c r="C2683" s="1907" t="s">
        <v>5103</v>
      </c>
      <c r="D2683" s="1935"/>
      <c r="E2683" s="1786"/>
      <c r="F2683" s="1908">
        <f>SUM(F2685:F2689)*(B2683-1)</f>
        <v>0</v>
      </c>
      <c r="G2683" s="712"/>
      <c r="H2683" s="712"/>
      <c r="I2683" s="712"/>
      <c r="J2683" s="713"/>
      <c r="K2683" s="684">
        <f t="shared" si="2431"/>
        <v>1</v>
      </c>
      <c r="L2683" s="1909">
        <f>B2683</f>
        <v>1</v>
      </c>
      <c r="M2683" s="684">
        <f t="shared" si="2432"/>
        <v>1</v>
      </c>
      <c r="N2683" s="362" t="str">
        <f t="shared" si="2294"/>
        <v/>
      </c>
      <c r="O2683" s="1763" t="str">
        <f t="shared" si="2295"/>
        <v/>
      </c>
      <c r="P2683" s="1764" t="str">
        <f t="shared" si="2296"/>
        <v/>
      </c>
      <c r="Q2683" s="120" t="str">
        <f t="shared" si="2297"/>
        <v/>
      </c>
    </row>
    <row r="2684" spans="1:18" s="185" customFormat="1">
      <c r="A2684" s="687" t="s">
        <v>4136</v>
      </c>
      <c r="B2684" s="1910">
        <v>3</v>
      </c>
      <c r="C2684" s="1911" t="str">
        <f>VLOOKUP(D2684,base_datos,6,FALSE)</f>
        <v>Portalámpara + lampara tipo LED - color Rojo - alimentacion: 220-230Vac, d=22mm. - CL2-523R - línea compacta - marca ABB.</v>
      </c>
      <c r="D2684" s="1790" t="s">
        <v>2439</v>
      </c>
      <c r="E2684" s="1939">
        <f>VLOOKUP(D2684,base_datos,5,FALSE)</f>
        <v>12.299999999999999</v>
      </c>
      <c r="F2684" s="1912">
        <f>+E2684*B2684</f>
        <v>36.9</v>
      </c>
      <c r="G2684" s="710"/>
      <c r="H2684" s="710"/>
      <c r="I2684" s="710"/>
      <c r="J2684" s="711"/>
      <c r="K2684" s="684">
        <f t="shared" si="2431"/>
        <v>1</v>
      </c>
      <c r="L2684" s="1913">
        <f>L2682</f>
        <v>1</v>
      </c>
      <c r="M2684" s="684">
        <f t="shared" si="2432"/>
        <v>3</v>
      </c>
      <c r="N2684" s="362">
        <f t="shared" si="2294"/>
        <v>3</v>
      </c>
      <c r="O2684" s="1763" t="str">
        <f t="shared" si="2295"/>
        <v>1SFA619403R5231</v>
      </c>
      <c r="P2684" s="1764" t="str">
        <f t="shared" si="2296"/>
        <v>Portalámpara + lampara tipo LED - color Rojo - alimentacion: 220-230Vac, d=22mm. - CL2-523R - línea compacta - marca ABB.</v>
      </c>
      <c r="Q2684" s="120" t="str">
        <f t="shared" si="2297"/>
        <v>LAMP_ROJO_220V</v>
      </c>
    </row>
    <row r="2685" spans="1:18" s="185" customFormat="1">
      <c r="A2685" s="687"/>
      <c r="B2685" s="1910">
        <v>3</v>
      </c>
      <c r="C2685" s="1911" t="str">
        <f>VLOOKUP(D2685,base_datos,6,FALSE)</f>
        <v>Portalámpara + lampara tipo LED - color Verde - alimentacion: 220-230Vac, d=22mm. - CL2-523G - línea compacta - marca ABB.</v>
      </c>
      <c r="D2685" s="1790" t="s">
        <v>2440</v>
      </c>
      <c r="E2685" s="1939">
        <f>VLOOKUP(D2685,base_datos,5,FALSE)</f>
        <v>12.299999999999999</v>
      </c>
      <c r="F2685" s="1912">
        <f>+E2685*B2685</f>
        <v>36.9</v>
      </c>
      <c r="G2685" s="710"/>
      <c r="H2685" s="710"/>
      <c r="I2685" s="710"/>
      <c r="J2685" s="711"/>
      <c r="K2685" s="684">
        <f t="shared" si="2431"/>
        <v>1</v>
      </c>
      <c r="L2685" s="1913">
        <f>L2683</f>
        <v>1</v>
      </c>
      <c r="M2685" s="684">
        <f t="shared" si="2432"/>
        <v>3</v>
      </c>
      <c r="N2685" s="362">
        <f t="shared" si="2294"/>
        <v>3</v>
      </c>
      <c r="O2685" s="1763" t="str">
        <f t="shared" si="2295"/>
        <v>1SFA619403R5232</v>
      </c>
      <c r="P2685" s="1764" t="str">
        <f t="shared" si="2296"/>
        <v>Portalámpara + lampara tipo LED - color Verde - alimentacion: 220-230Vac, d=22mm. - CL2-523G - línea compacta - marca ABB.</v>
      </c>
      <c r="Q2685" s="120" t="str">
        <f t="shared" si="2297"/>
        <v>LAMP_VERDE_220V</v>
      </c>
    </row>
    <row r="2686" spans="1:18" s="1921" customFormat="1">
      <c r="A2686" s="687" t="s">
        <v>12356</v>
      </c>
      <c r="B2686" s="1914">
        <v>1</v>
      </c>
      <c r="C2686" s="1915" t="s">
        <v>3366</v>
      </c>
      <c r="D2686" s="1916"/>
      <c r="E2686" s="1917"/>
      <c r="F2686" s="1918"/>
      <c r="G2686" s="1919"/>
      <c r="H2686" s="1919"/>
      <c r="I2686" s="1919"/>
      <c r="J2686" s="1920"/>
      <c r="K2686" s="684">
        <f t="shared" si="2431"/>
        <v>1</v>
      </c>
      <c r="L2686" s="1913">
        <f>L2685</f>
        <v>1</v>
      </c>
      <c r="M2686" s="684">
        <f t="shared" si="2432"/>
        <v>1</v>
      </c>
      <c r="N2686" s="362" t="str">
        <f t="shared" si="2294"/>
        <v/>
      </c>
      <c r="O2686" s="1763" t="str">
        <f t="shared" si="2295"/>
        <v/>
      </c>
      <c r="P2686" s="1764" t="str">
        <f t="shared" si="2296"/>
        <v/>
      </c>
      <c r="Q2686" s="120" t="str">
        <f t="shared" si="2297"/>
        <v/>
      </c>
    </row>
    <row r="2687" spans="1:18" s="320" customFormat="1">
      <c r="A2687" s="687" t="s">
        <v>12497</v>
      </c>
      <c r="B2687" s="1922">
        <v>1</v>
      </c>
      <c r="C2687" s="721" t="str">
        <f>VLOOKUP(D2687,base_datos,6,FALSE)</f>
        <v>Rele auxiliar enchufable +4NA/NC (D2PR4B + base D2PA6), 220Vac - marca EATON.</v>
      </c>
      <c r="D2687" s="1579" t="s">
        <v>772</v>
      </c>
      <c r="E2687" s="1581">
        <f>VLOOKUP(D2687,base_datos,5,FALSE)</f>
        <v>27</v>
      </c>
      <c r="F2687" s="1923">
        <f>+E2687*B2687</f>
        <v>27</v>
      </c>
      <c r="G2687" s="1924"/>
      <c r="H2687" s="1924"/>
      <c r="I2687" s="1924"/>
      <c r="J2687" s="722"/>
      <c r="K2687" s="684">
        <f t="shared" si="2431"/>
        <v>1</v>
      </c>
      <c r="L2687" s="1913">
        <f>L2684</f>
        <v>1</v>
      </c>
      <c r="M2687" s="684">
        <f t="shared" si="2432"/>
        <v>1</v>
      </c>
      <c r="N2687" s="362">
        <f t="shared" si="2294"/>
        <v>1</v>
      </c>
      <c r="O2687" s="1763" t="str">
        <f t="shared" si="2295"/>
        <v>D2PR4B+D2PA6</v>
      </c>
      <c r="P2687" s="1764" t="str">
        <f t="shared" si="2296"/>
        <v>Rele auxiliar enchufable +4NA/NC (D2PR4B + base D2PA6), 220Vac - marca EATON.</v>
      </c>
      <c r="Q2687" s="120" t="str">
        <f t="shared" si="2297"/>
        <v>D2PR4B+D2PA6</v>
      </c>
    </row>
    <row r="2688" spans="1:18" s="320" customFormat="1">
      <c r="A2688" s="1855"/>
      <c r="B2688" s="2131">
        <v>1</v>
      </c>
      <c r="C2688" s="2132" t="s">
        <v>12558</v>
      </c>
      <c r="D2688" s="2133"/>
      <c r="E2688" s="2134">
        <v>32</v>
      </c>
      <c r="F2688" s="2134">
        <f>+E2688*B2688</f>
        <v>32</v>
      </c>
      <c r="G2688" s="1924"/>
      <c r="H2688" s="1924"/>
      <c r="I2688" s="1924"/>
      <c r="J2688" s="722"/>
      <c r="K2688" s="684">
        <f t="shared" si="2431"/>
        <v>1</v>
      </c>
      <c r="L2688" s="1913">
        <f>L2685</f>
        <v>1</v>
      </c>
      <c r="M2688" s="684">
        <f t="shared" si="2432"/>
        <v>1</v>
      </c>
      <c r="N2688" s="362" t="str">
        <f t="shared" si="2294"/>
        <v/>
      </c>
      <c r="O2688" s="1763" t="str">
        <f t="shared" si="2295"/>
        <v/>
      </c>
      <c r="P2688" s="1764" t="str">
        <f t="shared" si="2296"/>
        <v/>
      </c>
      <c r="Q2688" s="120" t="str">
        <f t="shared" si="2297"/>
        <v/>
      </c>
    </row>
    <row r="2689" spans="1:18" s="320" customFormat="1">
      <c r="A2689" s="687" t="s">
        <v>12551</v>
      </c>
      <c r="B2689" s="1922">
        <v>4</v>
      </c>
      <c r="C2689" s="721" t="str">
        <f>VLOOKUP(D2689,base_datos,6,FALSE)</f>
        <v>Base portafusibles + Fusibles de protección para control.</v>
      </c>
      <c r="D2689" s="1579" t="s">
        <v>453</v>
      </c>
      <c r="E2689" s="1581">
        <f>VLOOKUP(D2689,base_datos,5,FALSE)</f>
        <v>8.1750000000000007</v>
      </c>
      <c r="F2689" s="1923">
        <f>+E2689*B2689</f>
        <v>32.700000000000003</v>
      </c>
      <c r="G2689" s="1924"/>
      <c r="H2689" s="1924"/>
      <c r="I2689" s="1924"/>
      <c r="J2689" s="722"/>
      <c r="K2689" s="684">
        <f t="shared" si="2431"/>
        <v>1</v>
      </c>
      <c r="L2689" s="1913">
        <f>L2686</f>
        <v>1</v>
      </c>
      <c r="M2689" s="684">
        <f t="shared" si="2432"/>
        <v>4</v>
      </c>
      <c r="N2689" s="362" t="str">
        <f t="shared" si="2294"/>
        <v/>
      </c>
      <c r="O2689" s="1763" t="str">
        <f t="shared" si="2295"/>
        <v/>
      </c>
      <c r="P2689" s="1764" t="str">
        <f t="shared" si="2296"/>
        <v/>
      </c>
      <c r="Q2689" s="120" t="str">
        <f t="shared" si="2297"/>
        <v/>
      </c>
    </row>
    <row r="2690" spans="1:18" s="315" customFormat="1">
      <c r="A2690" s="687" t="s">
        <v>3542</v>
      </c>
      <c r="B2690" s="1906"/>
      <c r="C2690" s="1907"/>
      <c r="D2690" s="1935"/>
      <c r="E2690" s="1786"/>
      <c r="F2690" s="1936"/>
      <c r="G2690" s="712"/>
      <c r="H2690" s="712"/>
      <c r="I2690" s="712"/>
      <c r="J2690" s="713"/>
      <c r="K2690" s="684">
        <f t="shared" si="2431"/>
        <v>1</v>
      </c>
      <c r="L2690" s="1909">
        <f>B2690</f>
        <v>0</v>
      </c>
      <c r="M2690" s="684">
        <f t="shared" si="2432"/>
        <v>1</v>
      </c>
      <c r="N2690" s="362" t="str">
        <f t="shared" si="2294"/>
        <v/>
      </c>
      <c r="O2690" s="1763" t="str">
        <f t="shared" si="2295"/>
        <v/>
      </c>
      <c r="P2690" s="1764" t="str">
        <f t="shared" si="2296"/>
        <v/>
      </c>
      <c r="Q2690" s="120" t="str">
        <f t="shared" si="2297"/>
        <v/>
      </c>
    </row>
    <row r="2691" spans="1:18" s="185" customFormat="1" ht="13.5" customHeight="1">
      <c r="A2691" s="1771"/>
      <c r="B2691" s="1922"/>
      <c r="C2691" s="1956" t="s">
        <v>12368</v>
      </c>
      <c r="D2691" s="1579"/>
      <c r="E2691" s="1957"/>
      <c r="F2691" s="1958"/>
      <c r="G2691" s="710"/>
      <c r="H2691" s="710"/>
      <c r="I2691" s="710"/>
      <c r="J2691" s="711"/>
      <c r="K2691" s="684">
        <f t="shared" si="2431"/>
        <v>1</v>
      </c>
      <c r="L2691" s="708">
        <v>1</v>
      </c>
      <c r="M2691" s="684">
        <f t="shared" si="2432"/>
        <v>1</v>
      </c>
      <c r="N2691" s="362" t="str">
        <f t="shared" si="2294"/>
        <v/>
      </c>
      <c r="O2691" s="1763" t="str">
        <f t="shared" si="2295"/>
        <v/>
      </c>
      <c r="P2691" s="1764" t="str">
        <f t="shared" si="2296"/>
        <v/>
      </c>
      <c r="Q2691" s="120" t="str">
        <f t="shared" si="2297"/>
        <v/>
      </c>
    </row>
    <row r="2692" spans="1:18" s="120" customFormat="1" ht="18" customHeight="1">
      <c r="A2692" s="1785"/>
      <c r="B2692" s="1781"/>
      <c r="C2692" s="1218" t="s">
        <v>3158</v>
      </c>
      <c r="D2692" s="1900"/>
      <c r="E2692" s="1791"/>
      <c r="F2692" s="1782"/>
      <c r="G2692" s="686"/>
      <c r="H2692" s="686"/>
      <c r="I2692" s="686"/>
      <c r="J2692" s="688"/>
      <c r="K2692" s="684">
        <f t="shared" si="2431"/>
        <v>1</v>
      </c>
      <c r="L2692" s="708">
        <v>1</v>
      </c>
      <c r="M2692" s="709">
        <f t="shared" si="2432"/>
        <v>1</v>
      </c>
      <c r="N2692" s="362" t="str">
        <f t="shared" si="2294"/>
        <v/>
      </c>
      <c r="O2692" s="1763" t="str">
        <f t="shared" si="2295"/>
        <v/>
      </c>
      <c r="P2692" s="1764" t="str">
        <f t="shared" si="2296"/>
        <v/>
      </c>
      <c r="Q2692" s="120" t="str">
        <f t="shared" si="2297"/>
        <v/>
      </c>
      <c r="R2692" s="185"/>
    </row>
    <row r="2693" spans="1:18" s="690" customFormat="1" ht="18" customHeight="1">
      <c r="A2693" s="1785"/>
      <c r="B2693" s="2096">
        <v>1</v>
      </c>
      <c r="C2693" s="1420" t="str">
        <f>VLOOKUP(D2693,base_datos,6,FALSE)</f>
        <v>ITM Caja Moldeada 3x20A (reg.[0.7-1.0] In) - XT1B160-20A-3P-TMD - 25kA@230Vac, 18kA@415Vac, 18kA@250Vdc - marca ABB.</v>
      </c>
      <c r="D2693" s="1901" t="s">
        <v>4360</v>
      </c>
      <c r="E2693" s="1791">
        <f>VLOOKUP(D2693,base_datos,5,FALSE)</f>
        <v>120.37</v>
      </c>
      <c r="F2693" s="1782">
        <f>+E2693*B2693</f>
        <v>120.37</v>
      </c>
      <c r="G2693" s="1761"/>
      <c r="H2693" s="1761"/>
      <c r="I2693" s="1761"/>
      <c r="J2693" s="689"/>
      <c r="K2693" s="684">
        <f t="shared" si="2431"/>
        <v>1</v>
      </c>
      <c r="L2693" s="708">
        <v>1</v>
      </c>
      <c r="M2693" s="709">
        <f t="shared" si="2432"/>
        <v>1</v>
      </c>
      <c r="N2693" s="362">
        <f t="shared" si="2294"/>
        <v>1</v>
      </c>
      <c r="O2693" s="1763" t="str">
        <f t="shared" si="2295"/>
        <v>1SDA066800R1</v>
      </c>
      <c r="P2693" s="1764" t="str">
        <f t="shared" si="2296"/>
        <v>ITM Caja Moldeada 3x20A (reg.[0.7-1.0] In) - XT1B160-20A-3P-TMD - 25kA@230Vac, 18kA@415Vac, 18kA@250Vdc - marca ABB.</v>
      </c>
      <c r="Q2693" s="120" t="str">
        <f t="shared" si="2297"/>
        <v>XT1B160-20A-3P-TMD</v>
      </c>
      <c r="R2693" s="185"/>
    </row>
    <row r="2694" spans="1:18" s="185" customFormat="1">
      <c r="A2694" s="1785"/>
      <c r="B2694" s="714"/>
      <c r="C2694" s="313" t="s">
        <v>729</v>
      </c>
      <c r="D2694" s="173"/>
      <c r="E2694" s="1786"/>
      <c r="F2694" s="1787"/>
      <c r="G2694" s="710"/>
      <c r="H2694" s="710"/>
      <c r="I2694" s="710"/>
      <c r="J2694" s="711"/>
      <c r="K2694" s="684">
        <f t="shared" si="2431"/>
        <v>1</v>
      </c>
      <c r="L2694" s="708">
        <v>1</v>
      </c>
      <c r="M2694" s="709">
        <f t="shared" si="2432"/>
        <v>1</v>
      </c>
      <c r="N2694" s="362" t="str">
        <f t="shared" si="2294"/>
        <v/>
      </c>
      <c r="O2694" s="1763" t="str">
        <f t="shared" si="2295"/>
        <v/>
      </c>
      <c r="P2694" s="1764" t="str">
        <f t="shared" si="2296"/>
        <v/>
      </c>
      <c r="Q2694" s="120" t="str">
        <f t="shared" si="2297"/>
        <v/>
      </c>
    </row>
    <row r="2695" spans="1:18" s="690" customFormat="1" ht="18" customHeight="1">
      <c r="A2695" s="687"/>
      <c r="B2695" s="1851"/>
      <c r="C2695" s="1966" t="s">
        <v>9431</v>
      </c>
      <c r="D2695" s="1582"/>
      <c r="E2695" s="1780"/>
      <c r="F2695" s="1782"/>
      <c r="G2695" s="1761"/>
      <c r="H2695" s="1761"/>
      <c r="I2695" s="1761"/>
      <c r="J2695" s="689"/>
      <c r="K2695" s="684">
        <f t="shared" si="2431"/>
        <v>1</v>
      </c>
      <c r="L2695" s="708">
        <v>1</v>
      </c>
      <c r="M2695" s="709">
        <f t="shared" si="2432"/>
        <v>1</v>
      </c>
      <c r="N2695" s="362" t="str">
        <f t="shared" ref="N2695:N2713" si="2433">IF(O2695&lt;&gt;"",K2695*L2695*M2695,"")</f>
        <v/>
      </c>
      <c r="O2695" s="1763" t="str">
        <f t="shared" ref="O2695:O2713" si="2434">IF(D2695&lt;&gt;"",IF(VLOOKUP(D2695,base_datos,7,FALSE)&lt;&gt;"",VLOOKUP(D2695,base_datos,7,FALSE),""),"")</f>
        <v/>
      </c>
      <c r="P2695" s="1764" t="str">
        <f t="shared" ref="P2695:P2713" si="2435">IF(O2695&lt;&gt;"",VLOOKUP(D2695,base_datos,6,FALSE),"")</f>
        <v/>
      </c>
      <c r="Q2695" s="120" t="str">
        <f t="shared" ref="Q2695:Q2713" si="2436">IF(O2695&lt;&gt;"",D2695,"")</f>
        <v/>
      </c>
      <c r="R2695" s="185"/>
    </row>
    <row r="2696" spans="1:18" s="690" customFormat="1" ht="18" customHeight="1">
      <c r="A2696" s="1785"/>
      <c r="B2696" s="1781">
        <v>2</v>
      </c>
      <c r="C2696" s="1960" t="str">
        <f t="shared" ref="C2696" si="2437">VLOOKUP(D2696,base_datos,6,FALSE)</f>
        <v>ITM Caja Moldeada 3x16A (reg.[0.7-1.0] In) - XT1B160-16A-3P-TMD - 25kA@230Vac, 18kA@415Vac, 18kA@250Vdc - marca ABB.</v>
      </c>
      <c r="D2696" s="1901" t="s">
        <v>4358</v>
      </c>
      <c r="E2696" s="1791">
        <f t="shared" ref="E2696" si="2438">VLOOKUP(D2696,base_datos,5,FALSE)</f>
        <v>120.37</v>
      </c>
      <c r="F2696" s="1782">
        <f t="shared" ref="F2696:F2697" si="2439">+E2696*B2696</f>
        <v>240.74</v>
      </c>
      <c r="G2696" s="1761"/>
      <c r="H2696" s="1761"/>
      <c r="I2696" s="1761"/>
      <c r="J2696" s="1783"/>
      <c r="K2696" s="684">
        <f t="shared" si="2431"/>
        <v>1</v>
      </c>
      <c r="L2696" s="708">
        <v>1</v>
      </c>
      <c r="M2696" s="709">
        <f t="shared" si="2432"/>
        <v>2</v>
      </c>
      <c r="N2696" s="362">
        <f t="shared" si="2433"/>
        <v>2</v>
      </c>
      <c r="O2696" s="1763" t="str">
        <f t="shared" si="2434"/>
        <v>1SDA066799R1</v>
      </c>
      <c r="P2696" s="1764" t="str">
        <f t="shared" si="2435"/>
        <v>ITM Caja Moldeada 3x16A (reg.[0.7-1.0] In) - XT1B160-16A-3P-TMD - 25kA@230Vac, 18kA@415Vac, 18kA@250Vdc - marca ABB.</v>
      </c>
      <c r="Q2696" s="120" t="str">
        <f t="shared" si="2436"/>
        <v>XT1B160-16A-3P-TMD</v>
      </c>
      <c r="R2696" s="185"/>
    </row>
    <row r="2697" spans="1:18" s="695" customFormat="1">
      <c r="A2697" s="1785"/>
      <c r="B2697" s="1967">
        <v>1</v>
      </c>
      <c r="C2697" s="1946">
        <v>6</v>
      </c>
      <c r="D2697" s="1582"/>
      <c r="E2697" s="2000">
        <v>24</v>
      </c>
      <c r="F2697" s="1968">
        <f t="shared" si="2439"/>
        <v>24</v>
      </c>
      <c r="G2697" s="1969"/>
      <c r="H2697" s="1969"/>
      <c r="I2697" s="1969"/>
      <c r="J2697" s="1970"/>
      <c r="K2697" s="684">
        <f t="shared" si="2431"/>
        <v>1</v>
      </c>
      <c r="L2697" s="708">
        <v>1</v>
      </c>
      <c r="M2697" s="709">
        <f t="shared" si="2432"/>
        <v>1</v>
      </c>
      <c r="N2697" s="362" t="str">
        <f t="shared" si="2433"/>
        <v/>
      </c>
      <c r="O2697" s="1763" t="str">
        <f t="shared" si="2434"/>
        <v/>
      </c>
      <c r="P2697" s="1764" t="str">
        <f t="shared" si="2435"/>
        <v/>
      </c>
      <c r="Q2697" s="120" t="str">
        <f t="shared" si="2436"/>
        <v/>
      </c>
    </row>
    <row r="2698" spans="1:18" s="185" customFormat="1">
      <c r="A2698" s="1785"/>
      <c r="B2698" s="714"/>
      <c r="C2698" s="313" t="s">
        <v>729</v>
      </c>
      <c r="D2698" s="173"/>
      <c r="E2698" s="1786"/>
      <c r="F2698" s="1787"/>
      <c r="G2698" s="710"/>
      <c r="H2698" s="710"/>
      <c r="I2698" s="710"/>
      <c r="J2698" s="711"/>
      <c r="K2698" s="684">
        <f t="shared" si="2431"/>
        <v>1</v>
      </c>
      <c r="L2698" s="708">
        <v>1</v>
      </c>
      <c r="M2698" s="709">
        <f t="shared" ref="M2698" si="2440">IF(B2698="",1,B2698)</f>
        <v>1</v>
      </c>
      <c r="N2698" s="362" t="str">
        <f t="shared" si="2433"/>
        <v/>
      </c>
      <c r="O2698" s="1763" t="str">
        <f t="shared" si="2434"/>
        <v/>
      </c>
      <c r="P2698" s="1764" t="str">
        <f t="shared" si="2435"/>
        <v/>
      </c>
      <c r="Q2698" s="120" t="str">
        <f t="shared" si="2436"/>
        <v/>
      </c>
    </row>
    <row r="2699" spans="1:18" s="690" customFormat="1" ht="18" customHeight="1">
      <c r="A2699" s="1785"/>
      <c r="B2699" s="1851"/>
      <c r="C2699" s="1966" t="s">
        <v>12546</v>
      </c>
      <c r="D2699" s="1582"/>
      <c r="E2699" s="1780"/>
      <c r="F2699" s="1782"/>
      <c r="G2699" s="1761"/>
      <c r="H2699" s="1761"/>
      <c r="I2699" s="1761"/>
      <c r="J2699" s="689"/>
      <c r="K2699" s="684">
        <f t="shared" si="2431"/>
        <v>1</v>
      </c>
      <c r="L2699" s="708">
        <v>1</v>
      </c>
      <c r="M2699" s="709">
        <f t="shared" si="2432"/>
        <v>1</v>
      </c>
      <c r="N2699" s="362" t="str">
        <f t="shared" si="2433"/>
        <v/>
      </c>
      <c r="O2699" s="1763" t="str">
        <f t="shared" si="2434"/>
        <v/>
      </c>
      <c r="P2699" s="1764" t="str">
        <f t="shared" si="2435"/>
        <v/>
      </c>
      <c r="Q2699" s="120" t="str">
        <f t="shared" si="2436"/>
        <v/>
      </c>
      <c r="R2699" s="185"/>
    </row>
    <row r="2700" spans="1:18" s="690" customFormat="1" ht="18" customHeight="1">
      <c r="A2700" s="1785"/>
      <c r="B2700" s="1781">
        <v>2</v>
      </c>
      <c r="C2700" s="1960" t="str">
        <f t="shared" ref="C2700:C2704" si="2441">VLOOKUP(D2700,base_datos,6,FALSE)</f>
        <v>ITM Riel-Din 3x16A - S203-C-16A - 10kA@400Vac-IEC60947-2 - marca ABB.</v>
      </c>
      <c r="D2700" s="2007" t="s">
        <v>984</v>
      </c>
      <c r="E2700" s="1791">
        <f t="shared" ref="E2700:E2704" si="2442">VLOOKUP(D2700,base_datos,5,FALSE)</f>
        <v>32.72</v>
      </c>
      <c r="F2700" s="1782">
        <f t="shared" ref="F2700:F2705" si="2443">+E2700*B2700</f>
        <v>65.44</v>
      </c>
      <c r="G2700" s="1761"/>
      <c r="H2700" s="1761"/>
      <c r="I2700" s="1761"/>
      <c r="J2700" s="1783"/>
      <c r="K2700" s="684">
        <f t="shared" si="2431"/>
        <v>1</v>
      </c>
      <c r="L2700" s="708">
        <v>1</v>
      </c>
      <c r="M2700" s="709">
        <f t="shared" si="2432"/>
        <v>2</v>
      </c>
      <c r="N2700" s="362">
        <f t="shared" si="2433"/>
        <v>2</v>
      </c>
      <c r="O2700" s="1763" t="str">
        <f t="shared" si="2434"/>
        <v>2CDS253001R0164</v>
      </c>
      <c r="P2700" s="1764" t="str">
        <f t="shared" si="2435"/>
        <v>ITM Riel-Din 3x16A - S203-C-16A - 10kA@400Vac-IEC60947-2 - marca ABB.</v>
      </c>
      <c r="Q2700" s="120" t="str">
        <f t="shared" si="2436"/>
        <v>S203-C-16A</v>
      </c>
      <c r="R2700" s="185"/>
    </row>
    <row r="2701" spans="1:18" s="690" customFormat="1" ht="18" customHeight="1">
      <c r="A2701" s="1785"/>
      <c r="B2701" s="2023">
        <v>2</v>
      </c>
      <c r="C2701" s="2041" t="str">
        <f t="shared" si="2441"/>
        <v>Interruptor Diferencial 4x25A - 30mA - clase A (inmunizado) - FH204-A-25A-30mA - marca ABB.</v>
      </c>
      <c r="D2701" s="2006" t="s">
        <v>5327</v>
      </c>
      <c r="E2701" s="2025">
        <f t="shared" si="2442"/>
        <v>72.899999999999991</v>
      </c>
      <c r="F2701" s="2026">
        <f t="shared" si="2443"/>
        <v>145.79999999999998</v>
      </c>
      <c r="G2701" s="1761"/>
      <c r="H2701" s="1761"/>
      <c r="I2701" s="1761"/>
      <c r="J2701" s="1783"/>
      <c r="K2701" s="684">
        <f t="shared" si="2431"/>
        <v>1</v>
      </c>
      <c r="L2701" s="708">
        <v>1</v>
      </c>
      <c r="M2701" s="709">
        <f t="shared" si="2432"/>
        <v>2</v>
      </c>
      <c r="N2701" s="362">
        <f t="shared" si="2433"/>
        <v>2</v>
      </c>
      <c r="O2701" s="1763" t="str">
        <f t="shared" si="2434"/>
        <v>2CSF204102R1250</v>
      </c>
      <c r="P2701" s="1764" t="str">
        <f t="shared" si="2435"/>
        <v>Interruptor Diferencial 4x25A - 30mA - clase A (inmunizado) - FH204-A-25A-30mA - marca ABB.</v>
      </c>
      <c r="Q2701" s="120" t="str">
        <f t="shared" si="2436"/>
        <v>FH204-A-25A-30mA</v>
      </c>
      <c r="R2701" s="185"/>
    </row>
    <row r="2702" spans="1:18" s="690" customFormat="1" ht="18" customHeight="1">
      <c r="A2702" s="1785"/>
      <c r="B2702" s="1781">
        <v>5</v>
      </c>
      <c r="C2702" s="1960" t="str">
        <f t="shared" si="2441"/>
        <v>ITM Riel-Din 2x16A - S202-C-16A - 10kA@400Vac-IEC60947-2 - marca ABB.</v>
      </c>
      <c r="D2702" s="2007" t="s">
        <v>970</v>
      </c>
      <c r="E2702" s="1791">
        <f t="shared" si="2442"/>
        <v>17.96</v>
      </c>
      <c r="F2702" s="1782">
        <f t="shared" si="2443"/>
        <v>89.800000000000011</v>
      </c>
      <c r="G2702" s="1761"/>
      <c r="H2702" s="1761"/>
      <c r="I2702" s="1761"/>
      <c r="J2702" s="1783"/>
      <c r="K2702" s="684">
        <f t="shared" si="2431"/>
        <v>1</v>
      </c>
      <c r="L2702" s="708">
        <v>1</v>
      </c>
      <c r="M2702" s="709">
        <f t="shared" si="2432"/>
        <v>5</v>
      </c>
      <c r="N2702" s="362">
        <f t="shared" si="2433"/>
        <v>5</v>
      </c>
      <c r="O2702" s="1763" t="str">
        <f t="shared" si="2434"/>
        <v>2CDS252001R0164</v>
      </c>
      <c r="P2702" s="1764" t="str">
        <f t="shared" si="2435"/>
        <v>ITM Riel-Din 2x16A - S202-C-16A - 10kA@400Vac-IEC60947-2 - marca ABB.</v>
      </c>
      <c r="Q2702" s="120" t="str">
        <f t="shared" si="2436"/>
        <v>S202-C-16A</v>
      </c>
      <c r="R2702" s="185"/>
    </row>
    <row r="2703" spans="1:18" s="690" customFormat="1" ht="18" customHeight="1">
      <c r="A2703" s="1785"/>
      <c r="B2703" s="2023">
        <v>5</v>
      </c>
      <c r="C2703" s="2041" t="str">
        <f t="shared" si="2441"/>
        <v>Interruptor Diferencial 2x25A - 30mA - clase A (inmunizado) - FH202-A-25A-30mA - marca ABB.</v>
      </c>
      <c r="D2703" s="2006" t="s">
        <v>5318</v>
      </c>
      <c r="E2703" s="2025">
        <f t="shared" si="2442"/>
        <v>50</v>
      </c>
      <c r="F2703" s="2026">
        <f t="shared" si="2443"/>
        <v>250</v>
      </c>
      <c r="G2703" s="1761"/>
      <c r="H2703" s="1761"/>
      <c r="I2703" s="1761"/>
      <c r="J2703" s="1783"/>
      <c r="K2703" s="684">
        <f t="shared" si="2431"/>
        <v>1</v>
      </c>
      <c r="L2703" s="708">
        <v>1</v>
      </c>
      <c r="M2703" s="709">
        <f t="shared" si="2432"/>
        <v>5</v>
      </c>
      <c r="N2703" s="362">
        <f t="shared" si="2433"/>
        <v>5</v>
      </c>
      <c r="O2703" s="1763" t="str">
        <f t="shared" si="2434"/>
        <v>2CSF202102R1250</v>
      </c>
      <c r="P2703" s="1764" t="str">
        <f t="shared" si="2435"/>
        <v>Interruptor Diferencial 2x25A - 30mA - clase A (inmunizado) - FH202-A-25A-30mA - marca ABB.</v>
      </c>
      <c r="Q2703" s="120" t="str">
        <f t="shared" si="2436"/>
        <v>FH202-A-25A-30mA</v>
      </c>
      <c r="R2703" s="185"/>
    </row>
    <row r="2704" spans="1:18" s="690" customFormat="1" ht="18" customHeight="1">
      <c r="A2704" s="1785"/>
      <c r="B2704" s="1781">
        <v>1</v>
      </c>
      <c r="C2704" s="1960" t="str">
        <f t="shared" si="2441"/>
        <v>Espacio de reserva trifásica + interruptor diferencial - Riel-Din.</v>
      </c>
      <c r="D2704" s="2006" t="s">
        <v>2923</v>
      </c>
      <c r="E2704" s="1791">
        <f t="shared" si="2442"/>
        <v>2.5</v>
      </c>
      <c r="F2704" s="1782">
        <f t="shared" si="2443"/>
        <v>2.5</v>
      </c>
      <c r="G2704" s="1761"/>
      <c r="H2704" s="1761"/>
      <c r="I2704" s="1761"/>
      <c r="J2704" s="1783"/>
      <c r="K2704" s="684">
        <f t="shared" si="2431"/>
        <v>1</v>
      </c>
      <c r="L2704" s="708">
        <v>1</v>
      </c>
      <c r="M2704" s="709">
        <f t="shared" si="2432"/>
        <v>1</v>
      </c>
      <c r="N2704" s="362" t="str">
        <f t="shared" si="2433"/>
        <v/>
      </c>
      <c r="O2704" s="1763" t="str">
        <f t="shared" si="2434"/>
        <v/>
      </c>
      <c r="P2704" s="1764" t="str">
        <f t="shared" si="2435"/>
        <v/>
      </c>
      <c r="Q2704" s="120" t="str">
        <f t="shared" si="2436"/>
        <v/>
      </c>
      <c r="R2704" s="185"/>
    </row>
    <row r="2705" spans="1:18" s="695" customFormat="1">
      <c r="A2705" s="687"/>
      <c r="B2705" s="1967">
        <v>1</v>
      </c>
      <c r="C2705" s="1946">
        <v>24</v>
      </c>
      <c r="D2705" s="1582"/>
      <c r="E2705" s="2000">
        <v>70</v>
      </c>
      <c r="F2705" s="1968">
        <f t="shared" si="2443"/>
        <v>70</v>
      </c>
      <c r="G2705" s="1969"/>
      <c r="H2705" s="1969"/>
      <c r="I2705" s="1969"/>
      <c r="J2705" s="1970"/>
      <c r="K2705" s="684">
        <f t="shared" si="2431"/>
        <v>1</v>
      </c>
      <c r="L2705" s="708">
        <v>1</v>
      </c>
      <c r="M2705" s="709">
        <f t="shared" si="2432"/>
        <v>1</v>
      </c>
      <c r="N2705" s="362" t="str">
        <f t="shared" si="2433"/>
        <v/>
      </c>
      <c r="O2705" s="1763" t="str">
        <f t="shared" si="2434"/>
        <v/>
      </c>
      <c r="P2705" s="1764" t="str">
        <f t="shared" si="2435"/>
        <v/>
      </c>
      <c r="Q2705" s="120" t="str">
        <f t="shared" si="2436"/>
        <v/>
      </c>
    </row>
    <row r="2706" spans="1:18" s="185" customFormat="1">
      <c r="A2706" s="1785"/>
      <c r="B2706" s="714"/>
      <c r="C2706" s="1893" t="s">
        <v>729</v>
      </c>
      <c r="D2706" s="1941"/>
      <c r="E2706" s="1786"/>
      <c r="F2706" s="1787"/>
      <c r="G2706" s="710"/>
      <c r="H2706" s="710"/>
      <c r="I2706" s="710"/>
      <c r="J2706" s="711"/>
      <c r="K2706" s="684">
        <f t="shared" si="2431"/>
        <v>1</v>
      </c>
      <c r="L2706" s="708">
        <v>1</v>
      </c>
      <c r="M2706" s="709">
        <f t="shared" si="2432"/>
        <v>1</v>
      </c>
      <c r="N2706" s="362" t="str">
        <f t="shared" si="2433"/>
        <v/>
      </c>
      <c r="O2706" s="1763" t="str">
        <f t="shared" si="2434"/>
        <v/>
      </c>
      <c r="P2706" s="1764" t="str">
        <f t="shared" si="2435"/>
        <v/>
      </c>
      <c r="Q2706" s="120" t="str">
        <f t="shared" si="2436"/>
        <v/>
      </c>
    </row>
    <row r="2707" spans="1:18" s="690" customFormat="1" ht="18" customHeight="1">
      <c r="A2707" s="1785"/>
      <c r="B2707" s="1851"/>
      <c r="C2707" s="1966" t="s">
        <v>12547</v>
      </c>
      <c r="D2707" s="1582"/>
      <c r="E2707" s="1780"/>
      <c r="F2707" s="1782"/>
      <c r="G2707" s="1761"/>
      <c r="H2707" s="1761"/>
      <c r="I2707" s="1761"/>
      <c r="J2707" s="689"/>
      <c r="K2707" s="684">
        <f t="shared" si="2431"/>
        <v>1</v>
      </c>
      <c r="L2707" s="708">
        <v>1</v>
      </c>
      <c r="M2707" s="709">
        <f t="shared" si="2432"/>
        <v>1</v>
      </c>
      <c r="N2707" s="362" t="str">
        <f t="shared" si="2433"/>
        <v/>
      </c>
      <c r="O2707" s="1763" t="str">
        <f t="shared" si="2434"/>
        <v/>
      </c>
      <c r="P2707" s="1764" t="str">
        <f t="shared" si="2435"/>
        <v/>
      </c>
      <c r="Q2707" s="120" t="str">
        <f t="shared" si="2436"/>
        <v/>
      </c>
      <c r="R2707" s="185"/>
    </row>
    <row r="2708" spans="1:18" s="2434" customFormat="1" ht="18" customHeight="1">
      <c r="A2708" s="2462"/>
      <c r="B2708" s="2435">
        <v>4</v>
      </c>
      <c r="C2708" s="2436" t="str">
        <f t="shared" ref="C2708" si="2444">VLOOKUP(D2708,base_datos,6,FALSE)</f>
        <v>ITM Caja Moldeada 3x16A (reg.[0.7-1.0] In) - XT1B160-16A-3P-TMD - 25kA@230Vac, 18kA@415Vac, 18kA@250Vdc - marca ABB.</v>
      </c>
      <c r="D2708" s="2484" t="s">
        <v>4358</v>
      </c>
      <c r="E2708" s="2482">
        <f t="shared" ref="E2708" si="2445">VLOOKUP(D2708,base_datos,5,FALSE)</f>
        <v>120.37</v>
      </c>
      <c r="F2708" s="2422">
        <f t="shared" ref="F2708" si="2446">+E2708*B2708</f>
        <v>481.48</v>
      </c>
      <c r="G2708" s="2424"/>
      <c r="H2708" s="2424"/>
      <c r="I2708" s="2424"/>
      <c r="J2708" s="2425"/>
      <c r="K2708" s="2426">
        <f t="shared" si="2431"/>
        <v>1</v>
      </c>
      <c r="L2708" s="2463">
        <v>1</v>
      </c>
      <c r="M2708" s="2428">
        <f t="shared" ref="M2708" si="2447">IF(B2708="",1,B2708)</f>
        <v>4</v>
      </c>
      <c r="N2708" s="2429">
        <f t="shared" si="2433"/>
        <v>4</v>
      </c>
      <c r="O2708" s="2430" t="str">
        <f t="shared" si="2434"/>
        <v>1SDA066799R1</v>
      </c>
      <c r="P2708" s="2431" t="str">
        <f t="shared" si="2435"/>
        <v>ITM Caja Moldeada 3x16A (reg.[0.7-1.0] In) - XT1B160-16A-3P-TMD - 25kA@230Vac, 18kA@415Vac, 18kA@250Vdc - marca ABB.</v>
      </c>
      <c r="Q2708" s="2432" t="str">
        <f t="shared" si="2436"/>
        <v>XT1B160-16A-3P-TMD</v>
      </c>
      <c r="R2708" s="2433"/>
    </row>
    <row r="2709" spans="1:18" s="690" customFormat="1" ht="18" customHeight="1">
      <c r="A2709" s="1785"/>
      <c r="B2709" s="1781">
        <v>1</v>
      </c>
      <c r="C2709" s="1960" t="str">
        <f t="shared" ref="C2709:C2711" si="2448">VLOOKUP(D2709,base_datos,6,FALSE)</f>
        <v>ITM Riel-Din 2x16A - S202-C-16A - 10kA@400Vac-IEC60947-2 - marca ABB.</v>
      </c>
      <c r="D2709" s="2007" t="s">
        <v>970</v>
      </c>
      <c r="E2709" s="1791">
        <f t="shared" ref="E2709:E2711" si="2449">VLOOKUP(D2709,base_datos,5,FALSE)</f>
        <v>17.96</v>
      </c>
      <c r="F2709" s="1782">
        <f t="shared" ref="F2709:F2712" si="2450">+E2709*B2709</f>
        <v>17.96</v>
      </c>
      <c r="G2709" s="1761"/>
      <c r="H2709" s="1761"/>
      <c r="I2709" s="1761"/>
      <c r="J2709" s="1783"/>
      <c r="K2709" s="684">
        <f t="shared" si="2431"/>
        <v>1</v>
      </c>
      <c r="L2709" s="708">
        <v>1</v>
      </c>
      <c r="M2709" s="709">
        <f t="shared" si="2432"/>
        <v>1</v>
      </c>
      <c r="N2709" s="362">
        <f t="shared" si="2433"/>
        <v>1</v>
      </c>
      <c r="O2709" s="1763" t="str">
        <f t="shared" si="2434"/>
        <v>2CDS252001R0164</v>
      </c>
      <c r="P2709" s="1764" t="str">
        <f t="shared" si="2435"/>
        <v>ITM Riel-Din 2x16A - S202-C-16A - 10kA@400Vac-IEC60947-2 - marca ABB.</v>
      </c>
      <c r="Q2709" s="120" t="str">
        <f t="shared" si="2436"/>
        <v>S202-C-16A</v>
      </c>
      <c r="R2709" s="185"/>
    </row>
    <row r="2710" spans="1:18" s="690" customFormat="1" ht="18" customHeight="1">
      <c r="A2710" s="1785"/>
      <c r="B2710" s="2023">
        <v>1</v>
      </c>
      <c r="C2710" s="2041" t="str">
        <f t="shared" si="2448"/>
        <v>Interruptor Diferencial 2x25A - 30mA - clase A (inmunizado) - FH202-A-25A-30mA - marca ABB.</v>
      </c>
      <c r="D2710" s="2006" t="s">
        <v>5318</v>
      </c>
      <c r="E2710" s="2025">
        <f t="shared" si="2449"/>
        <v>50</v>
      </c>
      <c r="F2710" s="2026">
        <f t="shared" si="2450"/>
        <v>50</v>
      </c>
      <c r="G2710" s="1761"/>
      <c r="H2710" s="1761"/>
      <c r="I2710" s="1761"/>
      <c r="J2710" s="1783"/>
      <c r="K2710" s="684">
        <f t="shared" si="2431"/>
        <v>1</v>
      </c>
      <c r="L2710" s="708">
        <v>1</v>
      </c>
      <c r="M2710" s="709">
        <f t="shared" si="2432"/>
        <v>1</v>
      </c>
      <c r="N2710" s="362">
        <f t="shared" si="2433"/>
        <v>1</v>
      </c>
      <c r="O2710" s="1763" t="str">
        <f t="shared" si="2434"/>
        <v>2CSF202102R1250</v>
      </c>
      <c r="P2710" s="1764" t="str">
        <f t="shared" si="2435"/>
        <v>Interruptor Diferencial 2x25A - 30mA - clase A (inmunizado) - FH202-A-25A-30mA - marca ABB.</v>
      </c>
      <c r="Q2710" s="120" t="str">
        <f t="shared" si="2436"/>
        <v>FH202-A-25A-30mA</v>
      </c>
      <c r="R2710" s="185"/>
    </row>
    <row r="2711" spans="1:18" s="690" customFormat="1" ht="18" customHeight="1">
      <c r="A2711" s="1785"/>
      <c r="B2711" s="1781">
        <v>2</v>
      </c>
      <c r="C2711" s="1960" t="str">
        <f t="shared" si="2448"/>
        <v>Espacio de reserva trifásica - Riel-Din.</v>
      </c>
      <c r="D2711" s="2006" t="s">
        <v>2921</v>
      </c>
      <c r="E2711" s="1791">
        <f t="shared" si="2449"/>
        <v>1.5</v>
      </c>
      <c r="F2711" s="1782">
        <f t="shared" si="2450"/>
        <v>3</v>
      </c>
      <c r="G2711" s="1761"/>
      <c r="H2711" s="1761"/>
      <c r="I2711" s="1761"/>
      <c r="J2711" s="1783"/>
      <c r="K2711" s="684">
        <f t="shared" si="2431"/>
        <v>1</v>
      </c>
      <c r="L2711" s="708">
        <v>1</v>
      </c>
      <c r="M2711" s="709">
        <f t="shared" si="2432"/>
        <v>2</v>
      </c>
      <c r="N2711" s="362" t="str">
        <f t="shared" si="2433"/>
        <v/>
      </c>
      <c r="O2711" s="1763" t="str">
        <f t="shared" si="2434"/>
        <v/>
      </c>
      <c r="P2711" s="1764" t="str">
        <f t="shared" si="2435"/>
        <v/>
      </c>
      <c r="Q2711" s="120" t="str">
        <f t="shared" si="2436"/>
        <v/>
      </c>
      <c r="R2711" s="185"/>
    </row>
    <row r="2712" spans="1:18" s="695" customFormat="1">
      <c r="A2712" s="687"/>
      <c r="B2712" s="1967">
        <v>1</v>
      </c>
      <c r="C2712" s="1946">
        <v>18</v>
      </c>
      <c r="D2712" s="1582"/>
      <c r="E2712" s="2000">
        <v>59</v>
      </c>
      <c r="F2712" s="1968">
        <f t="shared" si="2450"/>
        <v>59</v>
      </c>
      <c r="G2712" s="1969"/>
      <c r="H2712" s="1969"/>
      <c r="I2712" s="1969"/>
      <c r="J2712" s="1970"/>
      <c r="K2712" s="684">
        <f t="shared" si="2431"/>
        <v>1</v>
      </c>
      <c r="L2712" s="363">
        <v>1</v>
      </c>
      <c r="M2712" s="709">
        <f t="shared" si="2432"/>
        <v>1</v>
      </c>
      <c r="N2712" s="362" t="str">
        <f t="shared" si="2433"/>
        <v/>
      </c>
      <c r="O2712" s="1763" t="str">
        <f t="shared" si="2434"/>
        <v/>
      </c>
      <c r="P2712" s="1764" t="str">
        <f t="shared" si="2435"/>
        <v/>
      </c>
      <c r="Q2712" s="120" t="str">
        <f t="shared" si="2436"/>
        <v/>
      </c>
    </row>
    <row r="2713" spans="1:18" s="185" customFormat="1">
      <c r="A2713" s="1785"/>
      <c r="B2713" s="714"/>
      <c r="C2713" s="1893" t="s">
        <v>729</v>
      </c>
      <c r="D2713" s="1941"/>
      <c r="E2713" s="1786"/>
      <c r="F2713" s="1787"/>
      <c r="G2713" s="710"/>
      <c r="H2713" s="710"/>
      <c r="I2713" s="710"/>
      <c r="J2713" s="711"/>
      <c r="K2713" s="684">
        <f t="shared" si="2431"/>
        <v>1</v>
      </c>
      <c r="L2713" s="363">
        <v>1</v>
      </c>
      <c r="M2713" s="709">
        <f t="shared" si="2432"/>
        <v>1</v>
      </c>
      <c r="N2713" s="362" t="str">
        <f t="shared" si="2433"/>
        <v/>
      </c>
      <c r="O2713" s="1763" t="str">
        <f t="shared" si="2434"/>
        <v/>
      </c>
      <c r="P2713" s="1764" t="str">
        <f t="shared" si="2435"/>
        <v/>
      </c>
      <c r="Q2713" s="120" t="str">
        <f t="shared" si="2436"/>
        <v/>
      </c>
    </row>
    <row r="2714" spans="1:18" s="315" customFormat="1">
      <c r="A2714" s="1785"/>
      <c r="B2714" s="355">
        <v>2</v>
      </c>
      <c r="C2714" s="1944" t="s">
        <v>13041</v>
      </c>
      <c r="D2714" s="1941"/>
      <c r="E2714" s="1786"/>
      <c r="F2714" s="1908">
        <f>SUM(F2715:F2720)*(B2714-1)</f>
        <v>52.984999999999999</v>
      </c>
      <c r="G2714" s="712"/>
      <c r="H2714" s="712"/>
      <c r="I2714" s="712"/>
      <c r="J2714" s="713"/>
      <c r="K2714" s="684">
        <f t="shared" si="2431"/>
        <v>1</v>
      </c>
      <c r="L2714" s="2224">
        <f>B2714</f>
        <v>2</v>
      </c>
      <c r="M2714" s="709">
        <f>IF(B2714="",1,B2714)</f>
        <v>2</v>
      </c>
      <c r="N2714" s="362" t="str">
        <f t="shared" si="2294"/>
        <v/>
      </c>
      <c r="O2714" s="1763" t="str">
        <f t="shared" si="2295"/>
        <v/>
      </c>
      <c r="P2714" s="1764" t="str">
        <f t="shared" si="2296"/>
        <v/>
      </c>
      <c r="Q2714" s="120" t="str">
        <f t="shared" si="2297"/>
        <v/>
      </c>
    </row>
    <row r="2715" spans="1:18" s="690" customFormat="1" ht="18" customHeight="1">
      <c r="A2715" s="691"/>
      <c r="B2715" s="1781">
        <v>1</v>
      </c>
      <c r="C2715" s="1420" t="str">
        <f>VLOOKUP(D2715,base_datos,6,FALSE)</f>
        <v>Contactor 3x09A(AC-3) / 3x25A(AC-1) +1NA - AF09-30-10-13 - bobina 100-250Vac/dc - marca ABB.</v>
      </c>
      <c r="D2715" s="1901" t="s">
        <v>1447</v>
      </c>
      <c r="E2715" s="1791">
        <f>VLOOKUP(D2715,base_datos,5,FALSE)</f>
        <v>29.89</v>
      </c>
      <c r="F2715" s="1912">
        <f>+E2715*B2715</f>
        <v>29.89</v>
      </c>
      <c r="G2715" s="1761"/>
      <c r="H2715" s="1761"/>
      <c r="I2715" s="1761"/>
      <c r="J2715" s="1783"/>
      <c r="K2715" s="684">
        <f t="shared" si="2431"/>
        <v>1</v>
      </c>
      <c r="L2715" s="1913">
        <f>L2714</f>
        <v>2</v>
      </c>
      <c r="M2715" s="709">
        <f t="shared" ref="M2715:M2727" si="2451">IF(B2715="",1,B2715)</f>
        <v>1</v>
      </c>
      <c r="N2715" s="362">
        <f t="shared" si="2294"/>
        <v>2</v>
      </c>
      <c r="O2715" s="1763" t="str">
        <f t="shared" si="2295"/>
        <v>1SBL137001R1310</v>
      </c>
      <c r="P2715" s="1764" t="str">
        <f t="shared" si="2296"/>
        <v>Contactor 3x09A(AC-3) / 3x25A(AC-1) +1NA - AF09-30-10-13 - bobina 100-250Vac/dc - marca ABB.</v>
      </c>
      <c r="Q2715" s="120" t="str">
        <f t="shared" si="2297"/>
        <v>AF09-30-10-13_3p</v>
      </c>
      <c r="R2715" s="185"/>
    </row>
    <row r="2716" spans="1:18" s="690" customFormat="1" ht="18" customHeight="1">
      <c r="A2716" s="1785"/>
      <c r="B2716" s="1922">
        <v>1</v>
      </c>
      <c r="C2716" s="1848" t="str">
        <f>VLOOKUP(D2716,base_datos,6,FALSE)</f>
        <v>Contacto auxiliar frontal 1NA para contactor AF09..AF16-30-10, frontal - Modelo CA4-10 - marca ABB.</v>
      </c>
      <c r="D2716" s="1901" t="s">
        <v>2718</v>
      </c>
      <c r="E2716" s="1791">
        <f>VLOOKUP(D2716,base_datos,5,FALSE)</f>
        <v>5.92</v>
      </c>
      <c r="F2716" s="1912">
        <f>+E2716*B2716</f>
        <v>5.92</v>
      </c>
      <c r="G2716" s="1761"/>
      <c r="H2716" s="1761"/>
      <c r="I2716" s="1761"/>
      <c r="J2716" s="1783"/>
      <c r="K2716" s="684">
        <f t="shared" si="2431"/>
        <v>1</v>
      </c>
      <c r="L2716" s="1913">
        <f t="shared" ref="L2716" si="2452">L2715</f>
        <v>2</v>
      </c>
      <c r="M2716" s="709">
        <f t="shared" si="2451"/>
        <v>1</v>
      </c>
      <c r="N2716" s="362">
        <f t="shared" si="2294"/>
        <v>2</v>
      </c>
      <c r="O2716" s="1763" t="str">
        <f t="shared" si="2295"/>
        <v>1SBN010110R1010</v>
      </c>
      <c r="P2716" s="1764" t="str">
        <f t="shared" si="2296"/>
        <v>Contacto auxiliar frontal 1NA para contactor AF09..AF16-30-10, frontal - Modelo CA4-10 - marca ABB.</v>
      </c>
      <c r="Q2716" s="120" t="str">
        <f t="shared" si="2297"/>
        <v>CA4-10</v>
      </c>
      <c r="R2716" s="185"/>
    </row>
    <row r="2717" spans="1:18" s="1921" customFormat="1">
      <c r="A2717" s="687"/>
      <c r="B2717" s="1914">
        <v>1</v>
      </c>
      <c r="C2717" s="1915" t="s">
        <v>3366</v>
      </c>
      <c r="D2717" s="1916"/>
      <c r="E2717" s="1917"/>
      <c r="F2717" s="1918"/>
      <c r="G2717" s="1919"/>
      <c r="H2717" s="1919"/>
      <c r="I2717" s="1919"/>
      <c r="J2717" s="1920"/>
      <c r="K2717" s="684">
        <f t="shared" si="2431"/>
        <v>1</v>
      </c>
      <c r="L2717" s="1913">
        <f>L2716</f>
        <v>2</v>
      </c>
      <c r="M2717" s="684">
        <f t="shared" si="2451"/>
        <v>1</v>
      </c>
      <c r="N2717" s="362" t="str">
        <f t="shared" ref="N2717" si="2453">IF(O2717&lt;&gt;"",K2717*L2717*M2717,"")</f>
        <v/>
      </c>
      <c r="O2717" s="1763" t="str">
        <f t="shared" ref="O2717" si="2454">IF(D2717&lt;&gt;"",IF(VLOOKUP(D2717,base_datos,7,FALSE)&lt;&gt;"",VLOOKUP(D2717,base_datos,7,FALSE),""),"")</f>
        <v/>
      </c>
      <c r="P2717" s="1764" t="str">
        <f t="shared" ref="P2717" si="2455">IF(O2717&lt;&gt;"",VLOOKUP(D2717,base_datos,6,FALSE),"")</f>
        <v/>
      </c>
      <c r="Q2717" s="120" t="str">
        <f t="shared" ref="Q2717" si="2456">IF(O2717&lt;&gt;"",D2717,"")</f>
        <v/>
      </c>
    </row>
    <row r="2718" spans="1:18" s="695" customFormat="1" ht="18" customHeight="1">
      <c r="A2718" s="1785"/>
      <c r="B2718" s="1922">
        <v>1</v>
      </c>
      <c r="C2718" s="1848" t="str">
        <f t="shared" ref="C2718:C2720" si="2457">VLOOKUP(D2718,base_datos,6,FALSE)</f>
        <v>Base portafusibles + Fusibles de protección para control.</v>
      </c>
      <c r="D2718" s="1886" t="s">
        <v>453</v>
      </c>
      <c r="E2718" s="1795">
        <f t="shared" ref="E2718:E2720" si="2458">VLOOKUP(D2718,base_datos,5,FALSE)</f>
        <v>8.1750000000000007</v>
      </c>
      <c r="F2718" s="1923">
        <f t="shared" ref="F2718:F2720" si="2459">+E2718*B2718</f>
        <v>8.1750000000000007</v>
      </c>
      <c r="G2718" s="696"/>
      <c r="H2718" s="696"/>
      <c r="I2718" s="696"/>
      <c r="J2718" s="697"/>
      <c r="K2718" s="684">
        <f t="shared" si="2431"/>
        <v>1</v>
      </c>
      <c r="L2718" s="1913">
        <f>L2715</f>
        <v>2</v>
      </c>
      <c r="M2718" s="709">
        <f t="shared" si="2451"/>
        <v>1</v>
      </c>
      <c r="N2718" s="362" t="str">
        <f t="shared" si="2294"/>
        <v/>
      </c>
      <c r="O2718" s="1763" t="str">
        <f t="shared" si="2295"/>
        <v/>
      </c>
      <c r="P2718" s="1764" t="str">
        <f t="shared" si="2296"/>
        <v/>
      </c>
      <c r="Q2718" s="120" t="str">
        <f t="shared" si="2297"/>
        <v/>
      </c>
      <c r="R2718" s="185"/>
    </row>
    <row r="2719" spans="1:18" s="695" customFormat="1" ht="18" customHeight="1">
      <c r="A2719" s="1785"/>
      <c r="B2719" s="1922">
        <v>1</v>
      </c>
      <c r="C2719" s="1848" t="str">
        <f t="shared" si="2457"/>
        <v>Borne para neutro.</v>
      </c>
      <c r="D2719" s="1886" t="s">
        <v>436</v>
      </c>
      <c r="E2719" s="1795">
        <f t="shared" si="2458"/>
        <v>4</v>
      </c>
      <c r="F2719" s="1923">
        <f t="shared" si="2459"/>
        <v>4</v>
      </c>
      <c r="G2719" s="696"/>
      <c r="H2719" s="696"/>
      <c r="I2719" s="696"/>
      <c r="J2719" s="697"/>
      <c r="K2719" s="684">
        <f t="shared" si="2431"/>
        <v>1</v>
      </c>
      <c r="L2719" s="1913">
        <f>L2716</f>
        <v>2</v>
      </c>
      <c r="M2719" s="709">
        <f t="shared" si="2451"/>
        <v>1</v>
      </c>
      <c r="N2719" s="362" t="str">
        <f t="shared" si="2294"/>
        <v/>
      </c>
      <c r="O2719" s="1763" t="str">
        <f t="shared" si="2295"/>
        <v/>
      </c>
      <c r="P2719" s="1764" t="str">
        <f t="shared" si="2296"/>
        <v/>
      </c>
      <c r="Q2719" s="120" t="str">
        <f t="shared" si="2297"/>
        <v/>
      </c>
      <c r="R2719" s="185"/>
    </row>
    <row r="2720" spans="1:18" s="695" customFormat="1" ht="18" customHeight="1">
      <c r="A2720" s="1785"/>
      <c r="B2720" s="1922">
        <v>2</v>
      </c>
      <c r="C2720" s="1848" t="str">
        <f t="shared" si="2457"/>
        <v>Borne 4mm2.</v>
      </c>
      <c r="D2720" s="1886" t="s">
        <v>437</v>
      </c>
      <c r="E2720" s="1795">
        <f t="shared" si="2458"/>
        <v>2.5</v>
      </c>
      <c r="F2720" s="1923">
        <f t="shared" si="2459"/>
        <v>5</v>
      </c>
      <c r="G2720" s="696"/>
      <c r="H2720" s="696"/>
      <c r="I2720" s="696"/>
      <c r="J2720" s="697"/>
      <c r="K2720" s="684">
        <f t="shared" si="2431"/>
        <v>1</v>
      </c>
      <c r="L2720" s="1913">
        <f t="shared" ref="L2720" si="2460">L2719</f>
        <v>2</v>
      </c>
      <c r="M2720" s="709">
        <f t="shared" si="2451"/>
        <v>2</v>
      </c>
      <c r="N2720" s="362" t="str">
        <f t="shared" si="2294"/>
        <v/>
      </c>
      <c r="O2720" s="1763" t="str">
        <f t="shared" si="2295"/>
        <v/>
      </c>
      <c r="P2720" s="1764" t="str">
        <f t="shared" si="2296"/>
        <v/>
      </c>
      <c r="Q2720" s="120" t="str">
        <f t="shared" si="2297"/>
        <v/>
      </c>
      <c r="R2720" s="185"/>
    </row>
    <row r="2721" spans="1:20" s="185" customFormat="1" ht="18" customHeight="1">
      <c r="A2721" s="1785"/>
      <c r="B2721" s="714"/>
      <c r="C2721" s="1893" t="s">
        <v>729</v>
      </c>
      <c r="D2721" s="173"/>
      <c r="E2721" s="1786"/>
      <c r="F2721" s="1787"/>
      <c r="G2721" s="710"/>
      <c r="H2721" s="710"/>
      <c r="I2721" s="710"/>
      <c r="J2721" s="711"/>
      <c r="K2721" s="684">
        <f t="shared" si="2431"/>
        <v>1</v>
      </c>
      <c r="L2721" s="708">
        <v>1</v>
      </c>
      <c r="M2721" s="709">
        <f t="shared" si="2451"/>
        <v>1</v>
      </c>
      <c r="N2721" s="362" t="str">
        <f t="shared" si="2294"/>
        <v/>
      </c>
      <c r="O2721" s="1763" t="str">
        <f t="shared" si="2295"/>
        <v/>
      </c>
      <c r="P2721" s="1764" t="str">
        <f t="shared" si="2296"/>
        <v/>
      </c>
      <c r="Q2721" s="120" t="str">
        <f t="shared" si="2297"/>
        <v/>
      </c>
    </row>
    <row r="2722" spans="1:20" s="315" customFormat="1" ht="12.75" customHeight="1">
      <c r="A2722" s="2271"/>
      <c r="B2722" s="2272">
        <v>1</v>
      </c>
      <c r="C2722" s="2281" t="s">
        <v>13366</v>
      </c>
      <c r="D2722" s="1935"/>
      <c r="E2722" s="2287"/>
      <c r="F2722" s="2257">
        <f>+SUM(F2723:F2726)*(B2722-1)</f>
        <v>0</v>
      </c>
      <c r="G2722" s="712"/>
      <c r="H2722" s="712"/>
      <c r="I2722" s="712"/>
      <c r="J2722" s="713"/>
      <c r="K2722" s="684">
        <f t="shared" si="2431"/>
        <v>1</v>
      </c>
      <c r="L2722" s="2258">
        <v>1</v>
      </c>
      <c r="M2722" s="120">
        <f t="shared" si="2451"/>
        <v>1</v>
      </c>
      <c r="N2722" s="112" t="str">
        <f t="shared" ref="N2722:N2727" si="2461">IF(O2722&lt;&gt;"",K2722*L2722*M2722,"")</f>
        <v/>
      </c>
      <c r="O2722" s="112" t="str">
        <f t="shared" ref="O2722:O2727" si="2462">IF(D2722&lt;&gt;"",IF(VLOOKUP(D2722,base_datos,7,FALSE)&lt;&gt;"",VLOOKUP(D2722,base_datos,7,FALSE),""),"")</f>
        <v/>
      </c>
      <c r="P2722" s="120" t="str">
        <f t="shared" ref="P2722:P2727" si="2463">IF(O2722&lt;&gt;"",VLOOKUP(D2722,base_datos,6,FALSE),"")</f>
        <v/>
      </c>
      <c r="Q2722" s="120" t="str">
        <f t="shared" ref="Q2722:Q2727" si="2464">IF(O2722&lt;&gt;"",D2722,"")</f>
        <v/>
      </c>
      <c r="S2722" s="112" t="str">
        <f t="shared" ref="S2722:S2727" si="2465">IF(O2722&lt;&gt;"",VLOOKUP(D2722,base_datos,9,FALSE),"")</f>
        <v/>
      </c>
      <c r="T2722" s="2128"/>
    </row>
    <row r="2723" spans="1:20" s="690" customFormat="1" ht="18" customHeight="1">
      <c r="A2723" s="2273"/>
      <c r="B2723" s="1781">
        <v>1</v>
      </c>
      <c r="C2723" s="1420" t="str">
        <f t="shared" ref="C2723:C2726" si="2466">VLOOKUP(D2723,base_datos,6,FALSE)</f>
        <v>Calefactor resistivo 60W, modelo RACM - marca FANDIS.</v>
      </c>
      <c r="D2723" s="1899" t="s">
        <v>3298</v>
      </c>
      <c r="E2723" s="2288">
        <f t="shared" ref="E2723" si="2467">VLOOKUP(D2723,base_datos,5,FALSE)</f>
        <v>127.1</v>
      </c>
      <c r="F2723" s="1782">
        <f>+E2723*B2723</f>
        <v>127.1</v>
      </c>
      <c r="G2723" s="1761"/>
      <c r="H2723" s="1761"/>
      <c r="I2723" s="1761"/>
      <c r="J2723" s="689"/>
      <c r="K2723" s="684">
        <f t="shared" si="2431"/>
        <v>1</v>
      </c>
      <c r="L2723" s="2258">
        <v>1</v>
      </c>
      <c r="M2723" s="120">
        <f t="shared" si="2451"/>
        <v>1</v>
      </c>
      <c r="N2723" s="112">
        <f t="shared" si="2461"/>
        <v>1</v>
      </c>
      <c r="O2723" s="112" t="str">
        <f t="shared" si="2462"/>
        <v>RACM-60</v>
      </c>
      <c r="P2723" s="120" t="str">
        <f t="shared" si="2463"/>
        <v>Calefactor resistivo 60W, modelo RACM - marca FANDIS.</v>
      </c>
      <c r="Q2723" s="120" t="str">
        <f t="shared" si="2464"/>
        <v>CALEFACT-60W_FAND</v>
      </c>
      <c r="S2723" s="112" t="str">
        <f t="shared" si="2465"/>
        <v>FANDIS</v>
      </c>
      <c r="T2723" s="1765"/>
    </row>
    <row r="2724" spans="1:20" s="690" customFormat="1" ht="18" customHeight="1">
      <c r="A2724" s="2273"/>
      <c r="B2724" s="1781">
        <v>1</v>
      </c>
      <c r="C2724" s="1420" t="str">
        <f t="shared" si="2466"/>
        <v>Termostato para ventilación - 1NA - 230V - marca FANDIS.</v>
      </c>
      <c r="D2724" s="1899" t="s">
        <v>3294</v>
      </c>
      <c r="E2724" s="2288">
        <f t="shared" ref="E2724:E2726" si="2468">VLOOKUP(D2724,base_datos,5,FALSE)</f>
        <v>41.58</v>
      </c>
      <c r="F2724" s="1782">
        <f>+E2724*B2724</f>
        <v>41.58</v>
      </c>
      <c r="G2724" s="1761"/>
      <c r="H2724" s="1761"/>
      <c r="I2724" s="1761"/>
      <c r="J2724" s="689"/>
      <c r="K2724" s="684">
        <f t="shared" si="2431"/>
        <v>1</v>
      </c>
      <c r="L2724" s="2258">
        <v>1</v>
      </c>
      <c r="M2724" s="120">
        <f t="shared" si="2451"/>
        <v>1</v>
      </c>
      <c r="N2724" s="112">
        <f t="shared" si="2461"/>
        <v>1</v>
      </c>
      <c r="O2724" s="112" t="str">
        <f t="shared" si="2462"/>
        <v>TRT-10A230V-NO</v>
      </c>
      <c r="P2724" s="120" t="str">
        <f t="shared" si="2463"/>
        <v>Termostato para ventilación - 1NA - 230V - marca FANDIS.</v>
      </c>
      <c r="Q2724" s="120" t="str">
        <f t="shared" si="2464"/>
        <v>TRT-1NA</v>
      </c>
      <c r="S2724" s="112" t="str">
        <f t="shared" si="2465"/>
        <v>FANDIS</v>
      </c>
      <c r="T2724" s="1765"/>
    </row>
    <row r="2725" spans="1:20" s="320" customFormat="1" ht="12.75" customHeight="1">
      <c r="A2725" s="2274"/>
      <c r="B2725" s="2275">
        <v>1</v>
      </c>
      <c r="C2725" s="2282" t="str">
        <f t="shared" si="2466"/>
        <v>Base portafusibles + Fusibles de protección para control.</v>
      </c>
      <c r="D2725" s="1579" t="s">
        <v>453</v>
      </c>
      <c r="E2725" s="2289">
        <f t="shared" si="2468"/>
        <v>8.1750000000000007</v>
      </c>
      <c r="F2725" s="2264">
        <f>+E2725*B2725</f>
        <v>8.1750000000000007</v>
      </c>
      <c r="G2725" s="2276"/>
      <c r="H2725" s="2276"/>
      <c r="I2725" s="2276"/>
      <c r="J2725" s="722"/>
      <c r="K2725" s="684">
        <f t="shared" si="2431"/>
        <v>1</v>
      </c>
      <c r="L2725" s="2258">
        <v>1</v>
      </c>
      <c r="M2725" s="120">
        <f t="shared" si="2451"/>
        <v>1</v>
      </c>
      <c r="N2725" s="112" t="str">
        <f t="shared" si="2461"/>
        <v/>
      </c>
      <c r="O2725" s="112" t="str">
        <f t="shared" si="2462"/>
        <v/>
      </c>
      <c r="P2725" s="120" t="str">
        <f t="shared" si="2463"/>
        <v/>
      </c>
      <c r="Q2725" s="120" t="str">
        <f t="shared" si="2464"/>
        <v/>
      </c>
      <c r="R2725" s="185"/>
      <c r="S2725" s="112" t="str">
        <f t="shared" si="2465"/>
        <v/>
      </c>
      <c r="T2725" s="709"/>
    </row>
    <row r="2726" spans="1:20" s="320" customFormat="1" ht="12.75" customHeight="1">
      <c r="A2726" s="2274"/>
      <c r="B2726" s="2277">
        <v>1</v>
      </c>
      <c r="C2726" s="2282" t="str">
        <f t="shared" si="2466"/>
        <v>Borne 4mm2.</v>
      </c>
      <c r="D2726" s="1579" t="s">
        <v>437</v>
      </c>
      <c r="E2726" s="2260">
        <f t="shared" si="2468"/>
        <v>2.5</v>
      </c>
      <c r="F2726" s="2260">
        <f>+E2726*B2726</f>
        <v>2.5</v>
      </c>
      <c r="G2726" s="2276"/>
      <c r="H2726" s="2276"/>
      <c r="I2726" s="2276"/>
      <c r="J2726" s="722"/>
      <c r="K2726" s="684">
        <f t="shared" si="2431"/>
        <v>1</v>
      </c>
      <c r="L2726" s="2258">
        <v>1</v>
      </c>
      <c r="M2726" s="120">
        <f t="shared" si="2451"/>
        <v>1</v>
      </c>
      <c r="N2726" s="112" t="str">
        <f t="shared" si="2461"/>
        <v/>
      </c>
      <c r="O2726" s="112" t="str">
        <f t="shared" si="2462"/>
        <v/>
      </c>
      <c r="P2726" s="120" t="str">
        <f t="shared" si="2463"/>
        <v/>
      </c>
      <c r="Q2726" s="120" t="str">
        <f t="shared" si="2464"/>
        <v/>
      </c>
      <c r="R2726" s="185"/>
      <c r="S2726" s="112" t="str">
        <f t="shared" si="2465"/>
        <v/>
      </c>
      <c r="T2726" s="709"/>
    </row>
    <row r="2727" spans="1:20" s="185" customFormat="1" ht="12.75" customHeight="1">
      <c r="A2727" s="2262"/>
      <c r="B2727" s="1760"/>
      <c r="C2727" s="1893" t="s">
        <v>729</v>
      </c>
      <c r="D2727" s="169"/>
      <c r="E2727" s="2256"/>
      <c r="F2727" s="2278"/>
      <c r="G2727" s="710"/>
      <c r="H2727" s="710"/>
      <c r="I2727" s="710"/>
      <c r="J2727" s="711"/>
      <c r="K2727" s="684">
        <f t="shared" si="2431"/>
        <v>1</v>
      </c>
      <c r="L2727" s="2258">
        <v>1</v>
      </c>
      <c r="M2727" s="120">
        <f t="shared" si="2451"/>
        <v>1</v>
      </c>
      <c r="N2727" s="112" t="str">
        <f t="shared" si="2461"/>
        <v/>
      </c>
      <c r="O2727" s="112" t="str">
        <f t="shared" si="2462"/>
        <v/>
      </c>
      <c r="P2727" s="120" t="str">
        <f t="shared" si="2463"/>
        <v/>
      </c>
      <c r="Q2727" s="120" t="str">
        <f t="shared" si="2464"/>
        <v/>
      </c>
      <c r="S2727" s="112" t="str">
        <f t="shared" si="2465"/>
        <v/>
      </c>
      <c r="T2727" s="118"/>
    </row>
    <row r="2728" spans="1:20" s="1236" customFormat="1" ht="18" customHeight="1">
      <c r="A2728" s="1767"/>
      <c r="B2728" s="1853">
        <v>1</v>
      </c>
      <c r="C2728" s="1895" t="s">
        <v>12364</v>
      </c>
      <c r="D2728" s="1902"/>
      <c r="E2728" s="1792"/>
      <c r="F2728" s="1793"/>
      <c r="G2728" s="1784"/>
      <c r="H2728" s="1784"/>
      <c r="I2728" s="1784"/>
      <c r="J2728" s="1182"/>
      <c r="K2728" s="684">
        <f t="shared" si="2431"/>
        <v>1</v>
      </c>
      <c r="L2728" s="708">
        <v>1</v>
      </c>
      <c r="M2728" s="709">
        <f t="shared" si="2432"/>
        <v>1</v>
      </c>
      <c r="N2728" s="362" t="str">
        <f t="shared" ref="N2728:N2798" si="2469">IF(O2728&lt;&gt;"",K2728*L2728*M2728,"")</f>
        <v/>
      </c>
      <c r="O2728" s="1763" t="str">
        <f t="shared" ref="O2728:O2798" si="2470">IF(D2728&lt;&gt;"",IF(VLOOKUP(D2728,base_datos,7,FALSE)&lt;&gt;"",VLOOKUP(D2728,base_datos,7,FALSE),""),"")</f>
        <v/>
      </c>
      <c r="P2728" s="1764" t="str">
        <f t="shared" ref="P2728:P2798" si="2471">IF(O2728&lt;&gt;"",VLOOKUP(D2728,base_datos,6,FALSE),"")</f>
        <v/>
      </c>
      <c r="Q2728" s="120" t="str">
        <f t="shared" ref="Q2728:Q2798" si="2472">IF(O2728&lt;&gt;"",D2728,"")</f>
        <v/>
      </c>
      <c r="R2728" s="185"/>
    </row>
    <row r="2729" spans="1:20" s="695" customFormat="1" ht="18" customHeight="1">
      <c r="A2729" s="693"/>
      <c r="B2729" s="1922">
        <v>1</v>
      </c>
      <c r="C2729" s="1848" t="str">
        <f t="shared" ref="C2729" si="2473">VLOOKUP(D2729,base_datos,6,FALSE)</f>
        <v>Placa lamicoid rotulación de 3mm de espesor, fondo negro y letras blancas.</v>
      </c>
      <c r="D2729" s="1886" t="s">
        <v>8570</v>
      </c>
      <c r="E2729" s="1795">
        <f t="shared" ref="E2729" si="2474">VLOOKUP(D2729,base_datos,5,FALSE)</f>
        <v>2.2000000000000002</v>
      </c>
      <c r="F2729" s="1796">
        <f t="shared" ref="F2729" si="2475">+E2729*B2729</f>
        <v>2.2000000000000002</v>
      </c>
      <c r="G2729" s="696"/>
      <c r="H2729" s="696"/>
      <c r="I2729" s="696"/>
      <c r="J2729" s="697"/>
      <c r="K2729" s="684">
        <f t="shared" si="2431"/>
        <v>1</v>
      </c>
      <c r="L2729" s="708">
        <v>1</v>
      </c>
      <c r="M2729" s="709">
        <f t="shared" si="2432"/>
        <v>1</v>
      </c>
      <c r="N2729" s="362">
        <f t="shared" si="2469"/>
        <v>1</v>
      </c>
      <c r="O2729" s="1763" t="str">
        <f t="shared" si="2470"/>
        <v>Placa lamicoid p/distr.</v>
      </c>
      <c r="P2729" s="1764" t="str">
        <f t="shared" si="2471"/>
        <v>Placa lamicoid rotulación de 3mm de espesor, fondo negro y letras blancas.</v>
      </c>
      <c r="Q2729" s="120" t="str">
        <f t="shared" si="2472"/>
        <v>Placa lamicoid p/distr.</v>
      </c>
      <c r="R2729" s="185"/>
    </row>
    <row r="2730" spans="1:20" s="1236" customFormat="1" ht="18" customHeight="1">
      <c r="A2730" s="1767"/>
      <c r="B2730" s="1853">
        <v>1</v>
      </c>
      <c r="C2730" s="1895" t="s">
        <v>12474</v>
      </c>
      <c r="D2730" s="1902"/>
      <c r="E2730" s="1792"/>
      <c r="F2730" s="1793"/>
      <c r="G2730" s="1784"/>
      <c r="H2730" s="1784"/>
      <c r="I2730" s="1784"/>
      <c r="J2730" s="1182"/>
      <c r="K2730" s="684">
        <f t="shared" si="2431"/>
        <v>1</v>
      </c>
      <c r="L2730" s="708">
        <v>1</v>
      </c>
      <c r="M2730" s="709">
        <f t="shared" si="2432"/>
        <v>1</v>
      </c>
      <c r="N2730" s="362" t="str">
        <f t="shared" si="2469"/>
        <v/>
      </c>
      <c r="O2730" s="1763" t="str">
        <f t="shared" si="2470"/>
        <v/>
      </c>
      <c r="P2730" s="1764" t="str">
        <f t="shared" si="2471"/>
        <v/>
      </c>
      <c r="Q2730" s="120" t="str">
        <f t="shared" si="2472"/>
        <v/>
      </c>
      <c r="R2730" s="185"/>
    </row>
    <row r="2731" spans="1:20" s="1236" customFormat="1" ht="18" customHeight="1">
      <c r="A2731" s="1767"/>
      <c r="B2731" s="1853">
        <v>1</v>
      </c>
      <c r="C2731" s="1848" t="str">
        <f>VLOOKUP(D2731,base_datos,6,FALSE)</f>
        <v>Embalaje especial completamente cerrado para tablero adosado de 1600x600x220mm</v>
      </c>
      <c r="D2731" s="1902" t="s">
        <v>12453</v>
      </c>
      <c r="E2731" s="1795">
        <f t="shared" ref="E2731" si="2476">VLOOKUP(D2731,base_datos,5,FALSE)</f>
        <v>271.40000000000003</v>
      </c>
      <c r="F2731" s="1796">
        <f t="shared" ref="F2731" si="2477">+E2731*B2731</f>
        <v>271.40000000000003</v>
      </c>
      <c r="G2731" s="1784"/>
      <c r="H2731" s="1784"/>
      <c r="I2731" s="1784"/>
      <c r="J2731" s="1182"/>
      <c r="K2731" s="684">
        <f t="shared" si="2431"/>
        <v>1</v>
      </c>
      <c r="L2731" s="708">
        <v>1</v>
      </c>
      <c r="M2731" s="709">
        <f t="shared" si="2432"/>
        <v>1</v>
      </c>
      <c r="N2731" s="362">
        <f t="shared" si="2469"/>
        <v>1</v>
      </c>
      <c r="O2731" s="1763" t="str">
        <f t="shared" si="2470"/>
        <v>EMBAL_ADOS_1600x600x220mm</v>
      </c>
      <c r="P2731" s="1764" t="str">
        <f t="shared" si="2471"/>
        <v>Embalaje especial completamente cerrado para tablero adosado de 1600x600x220mm</v>
      </c>
      <c r="Q2731" s="120" t="str">
        <f t="shared" si="2472"/>
        <v>EMBAL_ADOS_1600x600x220mm</v>
      </c>
      <c r="R2731" s="185"/>
    </row>
    <row r="2732" spans="1:20" s="185" customFormat="1" ht="18" customHeight="1">
      <c r="A2732" s="1785"/>
      <c r="B2732" s="714"/>
      <c r="C2732" s="1893" t="s">
        <v>729</v>
      </c>
      <c r="D2732" s="173"/>
      <c r="E2732" s="1786"/>
      <c r="F2732" s="1787"/>
      <c r="G2732" s="710"/>
      <c r="H2732" s="710"/>
      <c r="I2732" s="710"/>
      <c r="J2732" s="711"/>
      <c r="K2732" s="684">
        <f t="shared" si="2431"/>
        <v>1</v>
      </c>
      <c r="L2732" s="708">
        <v>1</v>
      </c>
      <c r="M2732" s="709">
        <f t="shared" si="2432"/>
        <v>1</v>
      </c>
      <c r="N2732" s="362" t="str">
        <f t="shared" si="2469"/>
        <v/>
      </c>
      <c r="O2732" s="1763" t="str">
        <f t="shared" si="2470"/>
        <v/>
      </c>
      <c r="P2732" s="1764" t="str">
        <f t="shared" si="2471"/>
        <v/>
      </c>
      <c r="Q2732" s="120" t="str">
        <f t="shared" si="2472"/>
        <v/>
      </c>
    </row>
    <row r="2733" spans="1:20" s="695" customFormat="1" ht="18" customHeight="1">
      <c r="A2733" s="693"/>
      <c r="B2733" s="1794">
        <v>1</v>
      </c>
      <c r="C2733" s="1420" t="s">
        <v>316</v>
      </c>
      <c r="D2733" s="1790"/>
      <c r="E2733" s="1795"/>
      <c r="F2733" s="1796"/>
      <c r="G2733" s="696"/>
      <c r="H2733" s="696"/>
      <c r="I2733" s="696"/>
      <c r="J2733" s="697"/>
      <c r="K2733" s="684">
        <f t="shared" si="2431"/>
        <v>1</v>
      </c>
      <c r="L2733" s="708">
        <v>1</v>
      </c>
      <c r="M2733" s="709">
        <f t="shared" si="2432"/>
        <v>1</v>
      </c>
      <c r="N2733" s="362" t="str">
        <f t="shared" si="2469"/>
        <v/>
      </c>
      <c r="O2733" s="1763" t="str">
        <f t="shared" si="2470"/>
        <v/>
      </c>
      <c r="P2733" s="1764" t="str">
        <f t="shared" si="2471"/>
        <v/>
      </c>
      <c r="Q2733" s="120" t="str">
        <f t="shared" si="2472"/>
        <v/>
      </c>
      <c r="R2733" s="185"/>
    </row>
    <row r="2734" spans="1:20" s="185" customFormat="1" ht="18" customHeight="1">
      <c r="A2734" s="1785"/>
      <c r="B2734" s="714"/>
      <c r="C2734" s="1893" t="s">
        <v>729</v>
      </c>
      <c r="D2734" s="173"/>
      <c r="E2734" s="1786"/>
      <c r="F2734" s="1787"/>
      <c r="G2734" s="710"/>
      <c r="H2734" s="710"/>
      <c r="I2734" s="710"/>
      <c r="J2734" s="711"/>
      <c r="K2734" s="684">
        <f t="shared" si="2431"/>
        <v>1</v>
      </c>
      <c r="L2734" s="708">
        <v>1</v>
      </c>
      <c r="M2734" s="709">
        <f t="shared" si="2432"/>
        <v>1</v>
      </c>
      <c r="N2734" s="362" t="str">
        <f t="shared" si="2469"/>
        <v/>
      </c>
      <c r="O2734" s="1763" t="str">
        <f t="shared" si="2470"/>
        <v/>
      </c>
      <c r="P2734" s="1764" t="str">
        <f t="shared" si="2471"/>
        <v/>
      </c>
      <c r="Q2734" s="120" t="str">
        <f t="shared" si="2472"/>
        <v/>
      </c>
    </row>
    <row r="2735" spans="1:20" s="897" customFormat="1" ht="18" customHeight="1">
      <c r="A2735" s="693"/>
      <c r="B2735" s="895">
        <v>35</v>
      </c>
      <c r="C2735" s="1848" t="str">
        <f>VLOOKUP(D2735,base_datos,6,FALSE)</f>
        <v>Rotulado por circuito.</v>
      </c>
      <c r="D2735" s="1579" t="s">
        <v>3067</v>
      </c>
      <c r="E2735" s="1581">
        <f>VLOOKUP(D2735,base_datos,5,FALSE)</f>
        <v>0.7</v>
      </c>
      <c r="F2735" s="1581">
        <f t="shared" ref="F2735:F2739" si="2478">+E2735*B2735</f>
        <v>24.5</v>
      </c>
      <c r="G2735" s="1772"/>
      <c r="H2735" s="1772"/>
      <c r="I2735" s="1772"/>
      <c r="J2735" s="896"/>
      <c r="K2735" s="684">
        <f t="shared" si="2431"/>
        <v>1</v>
      </c>
      <c r="L2735" s="708">
        <v>1</v>
      </c>
      <c r="M2735" s="709">
        <f t="shared" si="2432"/>
        <v>35</v>
      </c>
      <c r="N2735" s="362" t="str">
        <f t="shared" si="2469"/>
        <v/>
      </c>
      <c r="O2735" s="1763" t="str">
        <f t="shared" si="2470"/>
        <v/>
      </c>
      <c r="P2735" s="1764" t="str">
        <f t="shared" si="2471"/>
        <v/>
      </c>
      <c r="Q2735" s="120" t="str">
        <f t="shared" si="2472"/>
        <v/>
      </c>
    </row>
    <row r="2736" spans="1:20" s="897" customFormat="1" ht="18" customHeight="1">
      <c r="A2736" s="693"/>
      <c r="B2736" s="895">
        <v>1</v>
      </c>
      <c r="C2736" s="1848" t="str">
        <f>VLOOKUP(D2736,base_datos,6,FALSE)</f>
        <v>Rotulado para TAG - tablero de distribución.</v>
      </c>
      <c r="D2736" s="1579" t="s">
        <v>3066</v>
      </c>
      <c r="E2736" s="1581">
        <f>VLOOKUP(D2736,base_datos,5,FALSE)</f>
        <v>1.5</v>
      </c>
      <c r="F2736" s="1581">
        <f t="shared" si="2478"/>
        <v>1.5</v>
      </c>
      <c r="G2736" s="1772"/>
      <c r="H2736" s="1772"/>
      <c r="I2736" s="1772"/>
      <c r="J2736" s="896"/>
      <c r="K2736" s="684">
        <f t="shared" si="2431"/>
        <v>1</v>
      </c>
      <c r="L2736" s="708">
        <v>1</v>
      </c>
      <c r="M2736" s="709">
        <f t="shared" si="2432"/>
        <v>1</v>
      </c>
      <c r="N2736" s="362" t="str">
        <f t="shared" si="2469"/>
        <v/>
      </c>
      <c r="O2736" s="1763" t="str">
        <f t="shared" si="2470"/>
        <v/>
      </c>
      <c r="P2736" s="1764" t="str">
        <f t="shared" si="2471"/>
        <v/>
      </c>
      <c r="Q2736" s="120" t="str">
        <f t="shared" si="2472"/>
        <v/>
      </c>
    </row>
    <row r="2737" spans="1:18" s="1237" customFormat="1" ht="18" customHeight="1">
      <c r="A2737" s="1767"/>
      <c r="B2737" s="2093">
        <v>1</v>
      </c>
      <c r="C2737" s="694" t="s">
        <v>12552</v>
      </c>
      <c r="D2737" s="1888"/>
      <c r="E2737" s="1580">
        <f>E2739*15%</f>
        <v>30</v>
      </c>
      <c r="F2737" s="1581">
        <f t="shared" si="2478"/>
        <v>30</v>
      </c>
      <c r="G2737" s="1774"/>
      <c r="H2737" s="1774"/>
      <c r="I2737" s="1774"/>
      <c r="J2737" s="1181"/>
      <c r="K2737" s="684">
        <f t="shared" si="2431"/>
        <v>1</v>
      </c>
      <c r="L2737" s="708">
        <v>1</v>
      </c>
      <c r="M2737" s="709">
        <f t="shared" si="2432"/>
        <v>1</v>
      </c>
      <c r="N2737" s="362" t="str">
        <f t="shared" si="2469"/>
        <v/>
      </c>
      <c r="O2737" s="1763" t="str">
        <f t="shared" si="2470"/>
        <v/>
      </c>
      <c r="P2737" s="1764" t="str">
        <f t="shared" si="2471"/>
        <v/>
      </c>
      <c r="Q2737" s="120" t="str">
        <f t="shared" si="2472"/>
        <v/>
      </c>
      <c r="R2737" s="1765"/>
    </row>
    <row r="2738" spans="1:18" s="1237" customFormat="1" ht="18" customHeight="1">
      <c r="A2738" s="1767"/>
      <c r="B2738" s="1773">
        <v>1</v>
      </c>
      <c r="C2738" s="694" t="s">
        <v>12559</v>
      </c>
      <c r="D2738" s="1888"/>
      <c r="E2738" s="1999">
        <f>E2739*20%</f>
        <v>40</v>
      </c>
      <c r="F2738" s="1581">
        <f t="shared" si="2478"/>
        <v>40</v>
      </c>
      <c r="G2738" s="1774"/>
      <c r="H2738" s="1774"/>
      <c r="I2738" s="1774"/>
      <c r="J2738" s="1181"/>
      <c r="K2738" s="684">
        <f t="shared" si="2431"/>
        <v>1</v>
      </c>
      <c r="L2738" s="708">
        <v>1</v>
      </c>
      <c r="M2738" s="709">
        <f t="shared" si="2432"/>
        <v>1</v>
      </c>
      <c r="N2738" s="362" t="str">
        <f t="shared" si="2469"/>
        <v/>
      </c>
      <c r="O2738" s="1763" t="str">
        <f t="shared" si="2470"/>
        <v/>
      </c>
      <c r="P2738" s="1764" t="str">
        <f t="shared" si="2471"/>
        <v/>
      </c>
      <c r="Q2738" s="120" t="str">
        <f t="shared" si="2472"/>
        <v/>
      </c>
      <c r="R2738" s="1765"/>
    </row>
    <row r="2739" spans="1:18" s="1237" customFormat="1" ht="18" customHeight="1">
      <c r="A2739" s="1767"/>
      <c r="B2739" s="1773">
        <v>1</v>
      </c>
      <c r="C2739" s="1943" t="s">
        <v>12504</v>
      </c>
      <c r="D2739" s="1897"/>
      <c r="E2739" s="1581">
        <v>200</v>
      </c>
      <c r="F2739" s="1581">
        <f t="shared" si="2478"/>
        <v>200</v>
      </c>
      <c r="G2739" s="1774"/>
      <c r="H2739" s="1774"/>
      <c r="I2739" s="1774"/>
      <c r="J2739" s="1181"/>
      <c r="K2739" s="684">
        <f t="shared" si="2431"/>
        <v>1</v>
      </c>
      <c r="L2739" s="708">
        <v>1</v>
      </c>
      <c r="M2739" s="709">
        <f t="shared" si="2432"/>
        <v>1</v>
      </c>
      <c r="N2739" s="362" t="str">
        <f t="shared" si="2469"/>
        <v/>
      </c>
      <c r="O2739" s="1763" t="str">
        <f t="shared" si="2470"/>
        <v/>
      </c>
      <c r="P2739" s="1764" t="str">
        <f t="shared" si="2471"/>
        <v/>
      </c>
      <c r="Q2739" s="120" t="str">
        <f t="shared" si="2472"/>
        <v/>
      </c>
      <c r="R2739" s="1765"/>
    </row>
    <row r="2740" spans="1:18" s="185" customFormat="1" ht="18" customHeight="1">
      <c r="A2740" s="1785"/>
      <c r="B2740" s="714"/>
      <c r="C2740" s="1893" t="s">
        <v>729</v>
      </c>
      <c r="D2740" s="173"/>
      <c r="E2740" s="1786"/>
      <c r="F2740" s="1787"/>
      <c r="G2740" s="710"/>
      <c r="H2740" s="710"/>
      <c r="I2740" s="710"/>
      <c r="J2740" s="711"/>
      <c r="K2740" s="684">
        <f t="shared" si="2431"/>
        <v>1</v>
      </c>
      <c r="L2740" s="708">
        <v>1</v>
      </c>
      <c r="M2740" s="709">
        <f t="shared" si="2432"/>
        <v>1</v>
      </c>
      <c r="N2740" s="362" t="str">
        <f t="shared" si="2469"/>
        <v/>
      </c>
      <c r="O2740" s="1763" t="str">
        <f t="shared" si="2470"/>
        <v/>
      </c>
      <c r="P2740" s="1764" t="str">
        <f t="shared" si="2471"/>
        <v/>
      </c>
      <c r="Q2740" s="120" t="str">
        <f t="shared" si="2472"/>
        <v/>
      </c>
    </row>
    <row r="2741" spans="1:18" s="120" customFormat="1" ht="18" customHeight="1" thickBot="1">
      <c r="A2741" s="1855"/>
      <c r="B2741" s="1854"/>
      <c r="C2741" s="1797"/>
      <c r="D2741" s="1889"/>
      <c r="E2741" s="1981"/>
      <c r="F2741" s="1981"/>
      <c r="G2741" s="1798"/>
      <c r="H2741" s="1798"/>
      <c r="I2741" s="1798"/>
      <c r="J2741" s="1799"/>
      <c r="K2741" s="1788"/>
      <c r="L2741" s="363"/>
      <c r="M2741" s="684"/>
      <c r="N2741" s="362" t="str">
        <f t="shared" si="2469"/>
        <v/>
      </c>
      <c r="O2741" s="1763" t="str">
        <f t="shared" si="2470"/>
        <v/>
      </c>
      <c r="P2741" s="1764" t="str">
        <f t="shared" si="2471"/>
        <v/>
      </c>
      <c r="Q2741" s="120" t="str">
        <f t="shared" si="2472"/>
        <v/>
      </c>
      <c r="R2741" s="185"/>
    </row>
    <row r="2742" spans="1:18" s="120" customFormat="1" ht="18" customHeight="1" thickBot="1">
      <c r="A2742" s="1989">
        <v>45</v>
      </c>
      <c r="B2742" s="1852">
        <v>1</v>
      </c>
      <c r="C2742" s="1756" t="s">
        <v>12607</v>
      </c>
      <c r="D2742" s="1588"/>
      <c r="E2742" s="1589"/>
      <c r="F2742" s="1589"/>
      <c r="G2742" s="1757">
        <f>SUM(F2743:F2804)</f>
        <v>2601.4549999999999</v>
      </c>
      <c r="H2742" s="1758">
        <f>G2742*(1-$D$6)</f>
        <v>2601.4549999999999</v>
      </c>
      <c r="I2742" s="1757">
        <f>ROUNDUP(H2742*$D$5,0)</f>
        <v>8845</v>
      </c>
      <c r="J2742" s="1759">
        <f>+I2742*B2742</f>
        <v>8845</v>
      </c>
      <c r="K2742" s="1788">
        <f>B2742</f>
        <v>1</v>
      </c>
      <c r="L2742" s="363"/>
      <c r="M2742" s="684"/>
      <c r="N2742" s="362" t="str">
        <f t="shared" si="2469"/>
        <v/>
      </c>
      <c r="O2742" s="1763" t="str">
        <f t="shared" si="2470"/>
        <v/>
      </c>
      <c r="P2742" s="1764" t="str">
        <f t="shared" si="2471"/>
        <v/>
      </c>
      <c r="Q2742" s="120" t="str">
        <f t="shared" si="2472"/>
        <v/>
      </c>
      <c r="R2742" s="185"/>
    </row>
    <row r="2743" spans="1:18" s="120" customFormat="1" ht="15.75" customHeight="1">
      <c r="A2743" s="685" t="s">
        <v>3064</v>
      </c>
      <c r="B2743" s="1779"/>
      <c r="C2743" s="1954"/>
      <c r="D2743" s="1955"/>
      <c r="E2743" s="1789"/>
      <c r="F2743" s="1789"/>
      <c r="G2743" s="686"/>
      <c r="H2743" s="686"/>
      <c r="I2743" s="686"/>
      <c r="J2743" s="1768"/>
      <c r="K2743" s="684">
        <f>K2742</f>
        <v>1</v>
      </c>
      <c r="L2743" s="363">
        <v>1</v>
      </c>
      <c r="M2743" s="684">
        <f>IF(B2743="",1,B2743)</f>
        <v>1</v>
      </c>
      <c r="N2743" s="362" t="str">
        <f t="shared" si="2469"/>
        <v/>
      </c>
      <c r="O2743" s="1763" t="str">
        <f t="shared" si="2470"/>
        <v/>
      </c>
      <c r="P2743" s="1764" t="str">
        <f t="shared" si="2471"/>
        <v/>
      </c>
      <c r="Q2743" s="120" t="str">
        <f t="shared" si="2472"/>
        <v/>
      </c>
    </row>
    <row r="2744" spans="1:18" s="315" customFormat="1" ht="12" customHeight="1">
      <c r="A2744" s="687" t="s">
        <v>4021</v>
      </c>
      <c r="B2744" s="2096">
        <v>1</v>
      </c>
      <c r="C2744" s="1907" t="s">
        <v>5103</v>
      </c>
      <c r="D2744" s="1935"/>
      <c r="E2744" s="1786"/>
      <c r="F2744" s="1908">
        <f>SUM(F2746:F2750)*(B2744-1)</f>
        <v>0</v>
      </c>
      <c r="G2744" s="712"/>
      <c r="H2744" s="712"/>
      <c r="I2744" s="712"/>
      <c r="J2744" s="713"/>
      <c r="K2744" s="684">
        <f t="shared" ref="K2744" si="2479">+K2743</f>
        <v>1</v>
      </c>
      <c r="L2744" s="1909">
        <f>B2744</f>
        <v>1</v>
      </c>
      <c r="M2744" s="684">
        <f t="shared" ref="M2744:M2752" si="2480">IF(B2744="",1,B2744)</f>
        <v>1</v>
      </c>
      <c r="N2744" s="362" t="str">
        <f t="shared" si="2469"/>
        <v/>
      </c>
      <c r="O2744" s="1763" t="str">
        <f t="shared" si="2470"/>
        <v/>
      </c>
      <c r="P2744" s="1764" t="str">
        <f t="shared" si="2471"/>
        <v/>
      </c>
      <c r="Q2744" s="120" t="str">
        <f t="shared" si="2472"/>
        <v/>
      </c>
    </row>
    <row r="2745" spans="1:18" s="185" customFormat="1">
      <c r="A2745" s="687" t="s">
        <v>4136</v>
      </c>
      <c r="B2745" s="1910">
        <v>3</v>
      </c>
      <c r="C2745" s="1911" t="str">
        <f>VLOOKUP(D2745,base_datos,6,FALSE)</f>
        <v>Portalámpara + lampara tipo LED - color Rojo - alimentacion: 220-230Vac, d=22mm. - CL2-523R - línea compacta - marca ABB.</v>
      </c>
      <c r="D2745" s="1790" t="s">
        <v>2439</v>
      </c>
      <c r="E2745" s="1939">
        <f>VLOOKUP(D2745,base_datos,5,FALSE)</f>
        <v>12.299999999999999</v>
      </c>
      <c r="F2745" s="1912">
        <f>+E2745*B2745</f>
        <v>36.9</v>
      </c>
      <c r="G2745" s="710"/>
      <c r="H2745" s="710"/>
      <c r="I2745" s="710"/>
      <c r="J2745" s="711"/>
      <c r="K2745" s="684">
        <f>+K2743</f>
        <v>1</v>
      </c>
      <c r="L2745" s="1913">
        <f>L2743</f>
        <v>1</v>
      </c>
      <c r="M2745" s="684">
        <f t="shared" si="2480"/>
        <v>3</v>
      </c>
      <c r="N2745" s="362">
        <f t="shared" si="2469"/>
        <v>3</v>
      </c>
      <c r="O2745" s="1763" t="str">
        <f t="shared" si="2470"/>
        <v>1SFA619403R5231</v>
      </c>
      <c r="P2745" s="1764" t="str">
        <f t="shared" si="2471"/>
        <v>Portalámpara + lampara tipo LED - color Rojo - alimentacion: 220-230Vac, d=22mm. - CL2-523R - línea compacta - marca ABB.</v>
      </c>
      <c r="Q2745" s="120" t="str">
        <f t="shared" si="2472"/>
        <v>LAMP_ROJO_220V</v>
      </c>
    </row>
    <row r="2746" spans="1:18" s="185" customFormat="1">
      <c r="A2746" s="687"/>
      <c r="B2746" s="1910">
        <v>3</v>
      </c>
      <c r="C2746" s="1911" t="str">
        <f>VLOOKUP(D2746,base_datos,6,FALSE)</f>
        <v>Portalámpara + lampara tipo LED - color Verde - alimentacion: 220-230Vac, d=22mm. - CL2-523G - línea compacta - marca ABB.</v>
      </c>
      <c r="D2746" s="1790" t="s">
        <v>2440</v>
      </c>
      <c r="E2746" s="1939">
        <f>VLOOKUP(D2746,base_datos,5,FALSE)</f>
        <v>12.299999999999999</v>
      </c>
      <c r="F2746" s="1912">
        <f>+E2746*B2746</f>
        <v>36.9</v>
      </c>
      <c r="G2746" s="710"/>
      <c r="H2746" s="710"/>
      <c r="I2746" s="710"/>
      <c r="J2746" s="711"/>
      <c r="K2746" s="684">
        <f>+K2744</f>
        <v>1</v>
      </c>
      <c r="L2746" s="1913">
        <f>L2744</f>
        <v>1</v>
      </c>
      <c r="M2746" s="684">
        <f t="shared" si="2480"/>
        <v>3</v>
      </c>
      <c r="N2746" s="362">
        <f t="shared" si="2469"/>
        <v>3</v>
      </c>
      <c r="O2746" s="1763" t="str">
        <f t="shared" si="2470"/>
        <v>1SFA619403R5232</v>
      </c>
      <c r="P2746" s="1764" t="str">
        <f t="shared" si="2471"/>
        <v>Portalámpara + lampara tipo LED - color Verde - alimentacion: 220-230Vac, d=22mm. - CL2-523G - línea compacta - marca ABB.</v>
      </c>
      <c r="Q2746" s="120" t="str">
        <f t="shared" si="2472"/>
        <v>LAMP_VERDE_220V</v>
      </c>
    </row>
    <row r="2747" spans="1:18" s="1921" customFormat="1">
      <c r="A2747" s="687" t="s">
        <v>12356</v>
      </c>
      <c r="B2747" s="1914">
        <v>1</v>
      </c>
      <c r="C2747" s="1915" t="s">
        <v>3366</v>
      </c>
      <c r="D2747" s="1916"/>
      <c r="E2747" s="1917"/>
      <c r="F2747" s="1918"/>
      <c r="G2747" s="1919"/>
      <c r="H2747" s="1919"/>
      <c r="I2747" s="1919"/>
      <c r="J2747" s="1920"/>
      <c r="K2747" s="684">
        <f t="shared" ref="K2747:K2802" si="2481">+K2745</f>
        <v>1</v>
      </c>
      <c r="L2747" s="1913">
        <f>L2746</f>
        <v>1</v>
      </c>
      <c r="M2747" s="684">
        <f t="shared" si="2480"/>
        <v>1</v>
      </c>
      <c r="N2747" s="362" t="str">
        <f t="shared" si="2469"/>
        <v/>
      </c>
      <c r="O2747" s="1763" t="str">
        <f t="shared" si="2470"/>
        <v/>
      </c>
      <c r="P2747" s="1764" t="str">
        <f t="shared" si="2471"/>
        <v/>
      </c>
      <c r="Q2747" s="120" t="str">
        <f t="shared" si="2472"/>
        <v/>
      </c>
    </row>
    <row r="2748" spans="1:18" s="320" customFormat="1">
      <c r="A2748" s="687" t="s">
        <v>12497</v>
      </c>
      <c r="B2748" s="1922">
        <v>1</v>
      </c>
      <c r="C2748" s="721" t="str">
        <f>VLOOKUP(D2748,base_datos,6,FALSE)</f>
        <v>Rele auxiliar enchufable +4NA/NC (D2PR4B + base D2PA6), 220Vac - marca EATON.</v>
      </c>
      <c r="D2748" s="1579" t="s">
        <v>772</v>
      </c>
      <c r="E2748" s="1581">
        <f>VLOOKUP(D2748,base_datos,5,FALSE)</f>
        <v>27</v>
      </c>
      <c r="F2748" s="1923">
        <f>+E2748*B2748</f>
        <v>27</v>
      </c>
      <c r="G2748" s="1924"/>
      <c r="H2748" s="1924"/>
      <c r="I2748" s="1924"/>
      <c r="J2748" s="722"/>
      <c r="K2748" s="684">
        <f t="shared" si="2481"/>
        <v>1</v>
      </c>
      <c r="L2748" s="1913">
        <f>L2745</f>
        <v>1</v>
      </c>
      <c r="M2748" s="684">
        <f t="shared" si="2480"/>
        <v>1</v>
      </c>
      <c r="N2748" s="362">
        <f t="shared" si="2469"/>
        <v>1</v>
      </c>
      <c r="O2748" s="1763" t="str">
        <f t="shared" si="2470"/>
        <v>D2PR4B+D2PA6</v>
      </c>
      <c r="P2748" s="1764" t="str">
        <f t="shared" si="2471"/>
        <v>Rele auxiliar enchufable +4NA/NC (D2PR4B + base D2PA6), 220Vac - marca EATON.</v>
      </c>
      <c r="Q2748" s="120" t="str">
        <f t="shared" si="2472"/>
        <v>D2PR4B+D2PA6</v>
      </c>
    </row>
    <row r="2749" spans="1:18" s="320" customFormat="1">
      <c r="A2749" s="1771"/>
      <c r="B2749" s="2131">
        <v>1</v>
      </c>
      <c r="C2749" s="2132" t="s">
        <v>12558</v>
      </c>
      <c r="D2749" s="2133"/>
      <c r="E2749" s="2134">
        <v>32</v>
      </c>
      <c r="F2749" s="2134">
        <f>+E2749*B2749</f>
        <v>32</v>
      </c>
      <c r="G2749" s="1924"/>
      <c r="H2749" s="1924"/>
      <c r="I2749" s="1924"/>
      <c r="J2749" s="722"/>
      <c r="K2749" s="684">
        <f t="shared" si="2481"/>
        <v>1</v>
      </c>
      <c r="L2749" s="1913">
        <f>L2746</f>
        <v>1</v>
      </c>
      <c r="M2749" s="684">
        <f t="shared" si="2480"/>
        <v>1</v>
      </c>
      <c r="N2749" s="362" t="str">
        <f t="shared" si="2469"/>
        <v/>
      </c>
      <c r="O2749" s="1763" t="str">
        <f t="shared" si="2470"/>
        <v/>
      </c>
      <c r="P2749" s="1764" t="str">
        <f t="shared" si="2471"/>
        <v/>
      </c>
      <c r="Q2749" s="120" t="str">
        <f t="shared" si="2472"/>
        <v/>
      </c>
    </row>
    <row r="2750" spans="1:18" s="320" customFormat="1">
      <c r="A2750" s="687" t="s">
        <v>12551</v>
      </c>
      <c r="B2750" s="1922">
        <v>4</v>
      </c>
      <c r="C2750" s="721" t="str">
        <f>VLOOKUP(D2750,base_datos,6,FALSE)</f>
        <v>Base portafusibles + Fusibles de protección para control.</v>
      </c>
      <c r="D2750" s="1579" t="s">
        <v>453</v>
      </c>
      <c r="E2750" s="1581">
        <f>VLOOKUP(D2750,base_datos,5,FALSE)</f>
        <v>8.1750000000000007</v>
      </c>
      <c r="F2750" s="1923">
        <f>+E2750*B2750</f>
        <v>32.700000000000003</v>
      </c>
      <c r="G2750" s="1924"/>
      <c r="H2750" s="1924"/>
      <c r="I2750" s="1924"/>
      <c r="J2750" s="722"/>
      <c r="K2750" s="684">
        <f t="shared" si="2481"/>
        <v>1</v>
      </c>
      <c r="L2750" s="1913">
        <f>L2747</f>
        <v>1</v>
      </c>
      <c r="M2750" s="684">
        <f t="shared" si="2480"/>
        <v>4</v>
      </c>
      <c r="N2750" s="362" t="str">
        <f t="shared" si="2469"/>
        <v/>
      </c>
      <c r="O2750" s="1763" t="str">
        <f t="shared" si="2470"/>
        <v/>
      </c>
      <c r="P2750" s="1764" t="str">
        <f t="shared" si="2471"/>
        <v/>
      </c>
      <c r="Q2750" s="120" t="str">
        <f t="shared" si="2472"/>
        <v/>
      </c>
    </row>
    <row r="2751" spans="1:18" s="315" customFormat="1">
      <c r="A2751" s="687" t="s">
        <v>3542</v>
      </c>
      <c r="B2751" s="1906"/>
      <c r="C2751" s="1907"/>
      <c r="D2751" s="1935"/>
      <c r="E2751" s="1786"/>
      <c r="F2751" s="1936"/>
      <c r="G2751" s="712"/>
      <c r="H2751" s="712"/>
      <c r="I2751" s="712"/>
      <c r="J2751" s="713"/>
      <c r="K2751" s="684">
        <f t="shared" si="2481"/>
        <v>1</v>
      </c>
      <c r="L2751" s="1909">
        <f>B2751</f>
        <v>0</v>
      </c>
      <c r="M2751" s="684">
        <f t="shared" si="2480"/>
        <v>1</v>
      </c>
      <c r="N2751" s="362" t="str">
        <f t="shared" si="2469"/>
        <v/>
      </c>
      <c r="O2751" s="1763" t="str">
        <f t="shared" si="2470"/>
        <v/>
      </c>
      <c r="P2751" s="1764" t="str">
        <f t="shared" si="2471"/>
        <v/>
      </c>
      <c r="Q2751" s="120" t="str">
        <f t="shared" si="2472"/>
        <v/>
      </c>
    </row>
    <row r="2752" spans="1:18" s="185" customFormat="1" ht="13.5" customHeight="1">
      <c r="A2752" s="1771"/>
      <c r="B2752" s="1922"/>
      <c r="C2752" s="1956" t="s">
        <v>12368</v>
      </c>
      <c r="D2752" s="1579"/>
      <c r="E2752" s="1957"/>
      <c r="F2752" s="1958"/>
      <c r="G2752" s="710"/>
      <c r="H2752" s="710"/>
      <c r="I2752" s="710"/>
      <c r="J2752" s="711"/>
      <c r="K2752" s="684">
        <f t="shared" si="2481"/>
        <v>1</v>
      </c>
      <c r="L2752" s="708">
        <v>1</v>
      </c>
      <c r="M2752" s="684">
        <f t="shared" si="2480"/>
        <v>1</v>
      </c>
      <c r="N2752" s="362" t="str">
        <f t="shared" si="2469"/>
        <v/>
      </c>
      <c r="O2752" s="1763" t="str">
        <f t="shared" si="2470"/>
        <v/>
      </c>
      <c r="P2752" s="1764" t="str">
        <f t="shared" si="2471"/>
        <v/>
      </c>
      <c r="Q2752" s="120" t="str">
        <f t="shared" si="2472"/>
        <v/>
      </c>
    </row>
    <row r="2753" spans="1:20" s="120" customFormat="1" ht="18" customHeight="1">
      <c r="A2753" s="1767"/>
      <c r="B2753" s="1779">
        <v>6</v>
      </c>
      <c r="C2753" s="1420" t="str">
        <f>VLOOKUP(D2753,base_datos,6,FALSE)</f>
        <v>Transformador de tensión monofásico 480 / 240 Vac - 50VA.</v>
      </c>
      <c r="D2753" s="1898" t="s">
        <v>8587</v>
      </c>
      <c r="E2753" s="1581">
        <f>VLOOKUP(D2753,base_datos,5,FALSE)</f>
        <v>76.8</v>
      </c>
      <c r="F2753" s="1581">
        <f>+E2753*B2753</f>
        <v>460.79999999999995</v>
      </c>
      <c r="G2753" s="686"/>
      <c r="H2753" s="686"/>
      <c r="I2753" s="686"/>
      <c r="J2753" s="1768"/>
      <c r="K2753" s="684">
        <f t="shared" si="2481"/>
        <v>1</v>
      </c>
      <c r="L2753" s="708">
        <v>1</v>
      </c>
      <c r="M2753" s="709">
        <f t="shared" ref="M2753:M2804" si="2482">IF(B2753="",1,B2753)</f>
        <v>6</v>
      </c>
      <c r="N2753" s="362" t="str">
        <f t="shared" si="2469"/>
        <v/>
      </c>
      <c r="O2753" s="1763" t="str">
        <f t="shared" si="2470"/>
        <v/>
      </c>
      <c r="P2753" s="1764" t="str">
        <f t="shared" si="2471"/>
        <v/>
      </c>
      <c r="Q2753" s="120" t="str">
        <f t="shared" si="2472"/>
        <v/>
      </c>
      <c r="R2753" s="185"/>
    </row>
    <row r="2754" spans="1:20" s="185" customFormat="1">
      <c r="A2754" s="687"/>
      <c r="B2754" s="1922"/>
      <c r="C2754" s="1956" t="s">
        <v>12368</v>
      </c>
      <c r="D2754" s="1579"/>
      <c r="E2754" s="1957"/>
      <c r="F2754" s="1958"/>
      <c r="G2754" s="710"/>
      <c r="H2754" s="710"/>
      <c r="I2754" s="710"/>
      <c r="J2754" s="711"/>
      <c r="K2754" s="684">
        <f t="shared" si="2481"/>
        <v>1</v>
      </c>
      <c r="L2754" s="708">
        <v>1</v>
      </c>
      <c r="M2754" s="709">
        <f t="shared" si="2482"/>
        <v>1</v>
      </c>
      <c r="N2754" s="362" t="str">
        <f t="shared" si="2469"/>
        <v/>
      </c>
      <c r="O2754" s="1763" t="str">
        <f t="shared" si="2470"/>
        <v/>
      </c>
      <c r="P2754" s="1764" t="str">
        <f t="shared" si="2471"/>
        <v/>
      </c>
      <c r="Q2754" s="120" t="str">
        <f t="shared" si="2472"/>
        <v/>
      </c>
    </row>
    <row r="2755" spans="1:20" s="120" customFormat="1">
      <c r="A2755" s="692"/>
      <c r="B2755" s="1781"/>
      <c r="C2755" s="1959" t="s">
        <v>12371</v>
      </c>
      <c r="D2755" s="173"/>
      <c r="E2755" s="1791"/>
      <c r="F2755" s="1782"/>
      <c r="G2755" s="686"/>
      <c r="H2755" s="686"/>
      <c r="I2755" s="686"/>
      <c r="J2755" s="688"/>
      <c r="K2755" s="684">
        <f t="shared" si="2481"/>
        <v>1</v>
      </c>
      <c r="L2755" s="363">
        <v>1</v>
      </c>
      <c r="M2755" s="709">
        <f t="shared" si="2482"/>
        <v>1</v>
      </c>
      <c r="N2755" s="362" t="str">
        <f t="shared" si="2469"/>
        <v/>
      </c>
      <c r="O2755" s="1763" t="str">
        <f t="shared" si="2470"/>
        <v/>
      </c>
      <c r="P2755" s="1764" t="str">
        <f t="shared" si="2471"/>
        <v/>
      </c>
      <c r="Q2755" s="120" t="str">
        <f t="shared" si="2472"/>
        <v/>
      </c>
      <c r="R2755" s="185"/>
    </row>
    <row r="2756" spans="1:20" s="690" customFormat="1" ht="18" customHeight="1">
      <c r="A2756" s="1767"/>
      <c r="B2756" s="2206">
        <v>1</v>
      </c>
      <c r="C2756" s="2207" t="s">
        <v>13028</v>
      </c>
      <c r="D2756" s="2208"/>
      <c r="E2756" s="2209">
        <v>212.15</v>
      </c>
      <c r="F2756" s="2210">
        <f t="shared" ref="F2756" si="2483">+E2756*B2756</f>
        <v>212.15</v>
      </c>
      <c r="G2756" s="1761"/>
      <c r="H2756" s="1761"/>
      <c r="I2756" s="1761"/>
      <c r="J2756" s="1783"/>
      <c r="K2756" s="684">
        <f t="shared" ref="K2756" si="2484">+K2753</f>
        <v>1</v>
      </c>
      <c r="L2756" s="708">
        <v>1</v>
      </c>
      <c r="M2756" s="709">
        <f t="shared" si="2482"/>
        <v>1</v>
      </c>
      <c r="N2756" s="362" t="str">
        <f t="shared" si="2469"/>
        <v/>
      </c>
      <c r="O2756" s="1763" t="str">
        <f t="shared" si="2470"/>
        <v/>
      </c>
      <c r="P2756" s="1764" t="str">
        <f t="shared" si="2471"/>
        <v/>
      </c>
      <c r="Q2756" s="120" t="str">
        <f t="shared" si="2472"/>
        <v/>
      </c>
      <c r="R2756" s="185"/>
    </row>
    <row r="2757" spans="1:20" s="185" customFormat="1">
      <c r="A2757" s="1961"/>
      <c r="B2757" s="714"/>
      <c r="C2757" s="1956" t="s">
        <v>12368</v>
      </c>
      <c r="D2757" s="2021"/>
      <c r="E2757" s="1786"/>
      <c r="F2757" s="1787"/>
      <c r="G2757" s="710"/>
      <c r="H2757" s="314"/>
      <c r="I2757" s="710"/>
      <c r="J2757" s="711"/>
      <c r="K2757" s="684">
        <f t="shared" si="2481"/>
        <v>1</v>
      </c>
      <c r="L2757" s="363">
        <v>1</v>
      </c>
      <c r="M2757" s="709">
        <f t="shared" si="2482"/>
        <v>1</v>
      </c>
      <c r="N2757" s="362" t="str">
        <f t="shared" si="2469"/>
        <v/>
      </c>
      <c r="O2757" s="1763" t="str">
        <f t="shared" si="2470"/>
        <v/>
      </c>
      <c r="P2757" s="1764" t="str">
        <f t="shared" si="2471"/>
        <v/>
      </c>
      <c r="Q2757" s="120" t="str">
        <f t="shared" si="2472"/>
        <v/>
      </c>
    </row>
    <row r="2758" spans="1:20" s="315" customFormat="1">
      <c r="A2758" s="1976"/>
      <c r="B2758" s="355"/>
      <c r="C2758" s="1944" t="s">
        <v>3063</v>
      </c>
      <c r="D2758" s="2022"/>
      <c r="E2758" s="1786"/>
      <c r="F2758" s="1787"/>
      <c r="G2758" s="712"/>
      <c r="H2758" s="118"/>
      <c r="I2758" s="712"/>
      <c r="J2758" s="713"/>
      <c r="K2758" s="684">
        <f t="shared" si="2481"/>
        <v>1</v>
      </c>
      <c r="L2758" s="708">
        <v>1</v>
      </c>
      <c r="M2758" s="709">
        <f t="shared" si="2482"/>
        <v>1</v>
      </c>
      <c r="N2758" s="362" t="str">
        <f t="shared" si="2469"/>
        <v/>
      </c>
      <c r="O2758" s="1763" t="str">
        <f t="shared" si="2470"/>
        <v/>
      </c>
      <c r="P2758" s="1764" t="str">
        <f t="shared" si="2471"/>
        <v/>
      </c>
      <c r="Q2758" s="120" t="str">
        <f t="shared" si="2472"/>
        <v/>
      </c>
    </row>
    <row r="2759" spans="1:20" s="1921" customFormat="1">
      <c r="A2759" s="1771"/>
      <c r="B2759" s="1962">
        <v>1</v>
      </c>
      <c r="C2759" s="1963" t="s">
        <v>12370</v>
      </c>
      <c r="D2759" s="2022"/>
      <c r="E2759" s="1917"/>
      <c r="F2759" s="1937"/>
      <c r="G2759" s="1919"/>
      <c r="H2759" s="1765"/>
      <c r="I2759" s="1919"/>
      <c r="J2759" s="1920"/>
      <c r="K2759" s="684">
        <f t="shared" si="2481"/>
        <v>1</v>
      </c>
      <c r="L2759" s="708">
        <v>1</v>
      </c>
      <c r="M2759" s="709">
        <f t="shared" si="2482"/>
        <v>1</v>
      </c>
      <c r="N2759" s="362" t="str">
        <f t="shared" si="2469"/>
        <v/>
      </c>
      <c r="O2759" s="1763" t="str">
        <f t="shared" si="2470"/>
        <v/>
      </c>
      <c r="P2759" s="1764" t="str">
        <f t="shared" si="2471"/>
        <v/>
      </c>
      <c r="Q2759" s="120" t="str">
        <f t="shared" si="2472"/>
        <v/>
      </c>
    </row>
    <row r="2760" spans="1:20" s="897" customFormat="1" ht="18" customHeight="1">
      <c r="A2760" s="687"/>
      <c r="B2760" s="1922">
        <v>6</v>
      </c>
      <c r="C2760" s="1964" t="str">
        <f t="shared" ref="C2760" si="2485">VLOOKUP(D2760,base_datos,6,FALSE)</f>
        <v>Borne 35mm2.</v>
      </c>
      <c r="D2760" s="1579" t="s">
        <v>8285</v>
      </c>
      <c r="E2760" s="1952">
        <f t="shared" ref="E2760" si="2486">VLOOKUP(D2760,base_datos,5,FALSE)</f>
        <v>15</v>
      </c>
      <c r="F2760" s="1580">
        <f>+E2760*B2760</f>
        <v>90</v>
      </c>
      <c r="G2760" s="1772"/>
      <c r="H2760" s="314"/>
      <c r="I2760" s="1772"/>
      <c r="J2760" s="896"/>
      <c r="K2760" s="684">
        <f t="shared" si="2481"/>
        <v>1</v>
      </c>
      <c r="L2760" s="363">
        <v>1</v>
      </c>
      <c r="M2760" s="709">
        <f t="shared" si="2482"/>
        <v>6</v>
      </c>
      <c r="N2760" s="362" t="str">
        <f t="shared" si="2469"/>
        <v/>
      </c>
      <c r="O2760" s="1763" t="str">
        <f t="shared" si="2470"/>
        <v/>
      </c>
      <c r="P2760" s="1764" t="str">
        <f t="shared" si="2471"/>
        <v/>
      </c>
      <c r="Q2760" s="120" t="str">
        <f t="shared" si="2472"/>
        <v/>
      </c>
      <c r="R2760" s="690"/>
      <c r="S2760" s="690"/>
    </row>
    <row r="2761" spans="1:20" s="185" customFormat="1">
      <c r="A2761" s="687"/>
      <c r="B2761" s="1922"/>
      <c r="C2761" s="1956" t="s">
        <v>12368</v>
      </c>
      <c r="D2761" s="1579"/>
      <c r="E2761" s="1957"/>
      <c r="F2761" s="1958"/>
      <c r="G2761" s="710"/>
      <c r="H2761" s="320"/>
      <c r="I2761" s="710"/>
      <c r="J2761" s="711"/>
      <c r="K2761" s="684">
        <f t="shared" si="2481"/>
        <v>1</v>
      </c>
      <c r="L2761" s="708">
        <v>1</v>
      </c>
      <c r="M2761" s="709">
        <f t="shared" si="2482"/>
        <v>1</v>
      </c>
      <c r="N2761" s="362" t="str">
        <f t="shared" si="2469"/>
        <v/>
      </c>
      <c r="O2761" s="1763" t="str">
        <f t="shared" si="2470"/>
        <v/>
      </c>
      <c r="P2761" s="1764" t="str">
        <f t="shared" si="2471"/>
        <v/>
      </c>
      <c r="Q2761" s="120" t="str">
        <f t="shared" si="2472"/>
        <v/>
      </c>
    </row>
    <row r="2762" spans="1:20" s="690" customFormat="1" ht="18" customHeight="1">
      <c r="A2762" s="687"/>
      <c r="B2762" s="1851"/>
      <c r="C2762" s="1894" t="s">
        <v>3377</v>
      </c>
      <c r="D2762" s="1582"/>
      <c r="E2762" s="1780"/>
      <c r="F2762" s="1782"/>
      <c r="G2762" s="1761"/>
      <c r="H2762" s="320"/>
      <c r="I2762" s="1761"/>
      <c r="J2762" s="689"/>
      <c r="K2762" s="684">
        <f t="shared" si="2481"/>
        <v>1</v>
      </c>
      <c r="L2762" s="708">
        <v>1</v>
      </c>
      <c r="M2762" s="709">
        <f t="shared" si="2482"/>
        <v>1</v>
      </c>
      <c r="N2762" s="362" t="str">
        <f t="shared" si="2469"/>
        <v/>
      </c>
      <c r="O2762" s="1763" t="str">
        <f t="shared" si="2470"/>
        <v/>
      </c>
      <c r="P2762" s="1764" t="str">
        <f t="shared" si="2471"/>
        <v/>
      </c>
      <c r="Q2762" s="120" t="str">
        <f t="shared" si="2472"/>
        <v/>
      </c>
      <c r="R2762" s="185"/>
    </row>
    <row r="2763" spans="1:20" s="690" customFormat="1">
      <c r="A2763" s="1961"/>
      <c r="B2763" s="1781">
        <v>2</v>
      </c>
      <c r="C2763" s="1420" t="str">
        <f>VLOOKUP(D2763,base_datos,6,FALSE)</f>
        <v>ITM Riel-Din 2x32A - S202-C-32A - 10kA@400Vac-IEC60947-2 - marca ABB.</v>
      </c>
      <c r="D2763" s="1790" t="s">
        <v>971</v>
      </c>
      <c r="E2763" s="1791">
        <f>VLOOKUP(D2763,base_datos,5,FALSE)</f>
        <v>17.930000000000003</v>
      </c>
      <c r="F2763" s="1782">
        <f>+E2763*B2763</f>
        <v>35.860000000000007</v>
      </c>
      <c r="G2763" s="1761"/>
      <c r="H2763" s="2114"/>
      <c r="I2763" s="1761"/>
      <c r="J2763" s="689"/>
      <c r="K2763" s="684">
        <f t="shared" si="2481"/>
        <v>1</v>
      </c>
      <c r="L2763" s="363">
        <v>1</v>
      </c>
      <c r="M2763" s="709">
        <f t="shared" si="2482"/>
        <v>2</v>
      </c>
      <c r="N2763" s="362">
        <f t="shared" si="2469"/>
        <v>2</v>
      </c>
      <c r="O2763" s="1763" t="str">
        <f t="shared" si="2470"/>
        <v>2CDS252001R0324</v>
      </c>
      <c r="P2763" s="1764" t="str">
        <f t="shared" si="2471"/>
        <v>ITM Riel-Din 2x32A - S202-C-32A - 10kA@400Vac-IEC60947-2 - marca ABB.</v>
      </c>
      <c r="Q2763" s="120" t="str">
        <f t="shared" si="2472"/>
        <v>S202-C-32A</v>
      </c>
      <c r="R2763" s="185"/>
    </row>
    <row r="2764" spans="1:20" s="185" customFormat="1">
      <c r="A2764" s="692"/>
      <c r="B2764" s="714"/>
      <c r="C2764" s="1956" t="s">
        <v>12368</v>
      </c>
      <c r="D2764" s="2021"/>
      <c r="E2764" s="1786"/>
      <c r="F2764" s="1787"/>
      <c r="G2764" s="710"/>
      <c r="H2764" s="314"/>
      <c r="I2764" s="710"/>
      <c r="J2764" s="711"/>
      <c r="K2764" s="684">
        <f t="shared" si="2481"/>
        <v>1</v>
      </c>
      <c r="L2764" s="363">
        <v>1</v>
      </c>
      <c r="M2764" s="709">
        <f t="shared" si="2482"/>
        <v>1</v>
      </c>
      <c r="N2764" s="362" t="str">
        <f t="shared" si="2469"/>
        <v/>
      </c>
      <c r="O2764" s="1763" t="str">
        <f t="shared" si="2470"/>
        <v/>
      </c>
      <c r="P2764" s="1764" t="str">
        <f t="shared" si="2471"/>
        <v/>
      </c>
      <c r="Q2764" s="120" t="str">
        <f t="shared" si="2472"/>
        <v/>
      </c>
    </row>
    <row r="2765" spans="1:20" s="315" customFormat="1">
      <c r="A2765" s="1785"/>
      <c r="B2765" s="355"/>
      <c r="C2765" s="1944" t="s">
        <v>3063</v>
      </c>
      <c r="D2765" s="2022"/>
      <c r="E2765" s="1786"/>
      <c r="F2765" s="1787"/>
      <c r="G2765" s="712"/>
      <c r="H2765" s="314"/>
      <c r="I2765" s="712"/>
      <c r="J2765" s="713"/>
      <c r="K2765" s="684">
        <f t="shared" si="2481"/>
        <v>1</v>
      </c>
      <c r="L2765" s="708">
        <v>1</v>
      </c>
      <c r="M2765" s="709">
        <f t="shared" si="2482"/>
        <v>1</v>
      </c>
      <c r="N2765" s="362" t="str">
        <f t="shared" si="2469"/>
        <v/>
      </c>
      <c r="O2765" s="1763" t="str">
        <f t="shared" si="2470"/>
        <v/>
      </c>
      <c r="P2765" s="1764" t="str">
        <f t="shared" si="2471"/>
        <v/>
      </c>
      <c r="Q2765" s="120" t="str">
        <f t="shared" si="2472"/>
        <v/>
      </c>
    </row>
    <row r="2766" spans="1:20" s="1921" customFormat="1">
      <c r="A2766" s="1961"/>
      <c r="B2766" s="1962">
        <v>1</v>
      </c>
      <c r="C2766" s="1963" t="s">
        <v>12372</v>
      </c>
      <c r="D2766" s="2022"/>
      <c r="E2766" s="1917"/>
      <c r="F2766" s="1937"/>
      <c r="G2766" s="1919"/>
      <c r="H2766" s="144"/>
      <c r="I2766" s="1919"/>
      <c r="J2766" s="1920"/>
      <c r="K2766" s="684">
        <f t="shared" si="2481"/>
        <v>1</v>
      </c>
      <c r="L2766" s="708">
        <v>1</v>
      </c>
      <c r="M2766" s="709">
        <f t="shared" si="2482"/>
        <v>1</v>
      </c>
      <c r="N2766" s="362" t="str">
        <f t="shared" si="2469"/>
        <v/>
      </c>
      <c r="O2766" s="1763" t="str">
        <f t="shared" si="2470"/>
        <v/>
      </c>
      <c r="P2766" s="1764" t="str">
        <f t="shared" si="2471"/>
        <v/>
      </c>
      <c r="Q2766" s="120" t="str">
        <f t="shared" si="2472"/>
        <v/>
      </c>
    </row>
    <row r="2767" spans="1:20" s="185" customFormat="1">
      <c r="A2767" s="1976"/>
      <c r="B2767" s="1977">
        <v>4</v>
      </c>
      <c r="C2767" s="721" t="str">
        <f>VLOOKUP(D2767,base_datos,6,FALSE)</f>
        <v>Borne 35mm2.</v>
      </c>
      <c r="D2767" s="173" t="s">
        <v>8285</v>
      </c>
      <c r="E2767" s="1978">
        <f t="shared" ref="E2767" si="2487">VLOOKUP(D2767,base_datos,5,FALSE)</f>
        <v>15</v>
      </c>
      <c r="F2767" s="1971">
        <f t="shared" ref="F2767" si="2488">+E2767*B2767</f>
        <v>60</v>
      </c>
      <c r="G2767" s="1965"/>
      <c r="H2767" s="1965"/>
      <c r="I2767" s="1965"/>
      <c r="J2767" s="711"/>
      <c r="K2767" s="684">
        <f t="shared" si="2481"/>
        <v>1</v>
      </c>
      <c r="L2767" s="363">
        <v>1</v>
      </c>
      <c r="M2767" s="709">
        <f t="shared" si="2482"/>
        <v>4</v>
      </c>
      <c r="N2767" s="362" t="str">
        <f t="shared" si="2469"/>
        <v/>
      </c>
      <c r="O2767" s="1763" t="str">
        <f t="shared" si="2470"/>
        <v/>
      </c>
      <c r="P2767" s="1764" t="str">
        <f t="shared" si="2471"/>
        <v/>
      </c>
      <c r="Q2767" s="120" t="str">
        <f t="shared" si="2472"/>
        <v/>
      </c>
      <c r="R2767" s="690"/>
      <c r="S2767" s="1979"/>
      <c r="T2767" s="1979"/>
    </row>
    <row r="2768" spans="1:20" s="185" customFormat="1">
      <c r="A2768" s="1771"/>
      <c r="B2768" s="1922"/>
      <c r="C2768" s="1956" t="s">
        <v>12368</v>
      </c>
      <c r="D2768" s="1579"/>
      <c r="E2768" s="1957"/>
      <c r="F2768" s="1958"/>
      <c r="G2768" s="710"/>
      <c r="H2768" s="710"/>
      <c r="I2768" s="710"/>
      <c r="J2768" s="711"/>
      <c r="K2768" s="684">
        <f t="shared" si="2481"/>
        <v>1</v>
      </c>
      <c r="L2768" s="708">
        <v>1</v>
      </c>
      <c r="M2768" s="709">
        <f t="shared" si="2482"/>
        <v>1</v>
      </c>
      <c r="N2768" s="362" t="str">
        <f t="shared" si="2469"/>
        <v/>
      </c>
      <c r="O2768" s="1763" t="str">
        <f t="shared" si="2470"/>
        <v/>
      </c>
      <c r="P2768" s="1764" t="str">
        <f t="shared" si="2471"/>
        <v/>
      </c>
      <c r="Q2768" s="120" t="str">
        <f t="shared" si="2472"/>
        <v/>
      </c>
    </row>
    <row r="2769" spans="1:18" s="120" customFormat="1">
      <c r="A2769" s="687"/>
      <c r="B2769" s="1781"/>
      <c r="C2769" s="1959" t="s">
        <v>12373</v>
      </c>
      <c r="D2769" s="173"/>
      <c r="E2769" s="1791"/>
      <c r="F2769" s="1782"/>
      <c r="G2769" s="686"/>
      <c r="H2769" s="686"/>
      <c r="I2769" s="686"/>
      <c r="J2769" s="688"/>
      <c r="K2769" s="684">
        <f t="shared" si="2481"/>
        <v>1</v>
      </c>
      <c r="L2769" s="363">
        <v>1</v>
      </c>
      <c r="M2769" s="709">
        <f t="shared" si="2482"/>
        <v>1</v>
      </c>
      <c r="N2769" s="362" t="str">
        <f t="shared" si="2469"/>
        <v/>
      </c>
      <c r="O2769" s="1763" t="str">
        <f t="shared" si="2470"/>
        <v/>
      </c>
      <c r="P2769" s="1764" t="str">
        <f t="shared" si="2471"/>
        <v/>
      </c>
      <c r="Q2769" s="120" t="str">
        <f t="shared" si="2472"/>
        <v/>
      </c>
      <c r="R2769" s="185"/>
    </row>
    <row r="2770" spans="1:18" s="185" customFormat="1">
      <c r="A2770" s="687"/>
      <c r="B2770" s="714"/>
      <c r="C2770" s="1956" t="s">
        <v>12368</v>
      </c>
      <c r="D2770" s="2018"/>
      <c r="E2770" s="1786"/>
      <c r="F2770" s="1787"/>
      <c r="G2770" s="710"/>
      <c r="H2770" s="710"/>
      <c r="I2770" s="710"/>
      <c r="J2770" s="711"/>
      <c r="K2770" s="684">
        <f t="shared" si="2481"/>
        <v>1</v>
      </c>
      <c r="L2770" s="708">
        <v>1</v>
      </c>
      <c r="M2770" s="709">
        <f t="shared" si="2482"/>
        <v>1</v>
      </c>
      <c r="N2770" s="362" t="str">
        <f t="shared" si="2469"/>
        <v/>
      </c>
      <c r="O2770" s="1763" t="str">
        <f t="shared" si="2470"/>
        <v/>
      </c>
      <c r="P2770" s="1764" t="str">
        <f t="shared" si="2471"/>
        <v/>
      </c>
      <c r="Q2770" s="120" t="str">
        <f t="shared" si="2472"/>
        <v/>
      </c>
    </row>
    <row r="2771" spans="1:18" s="315" customFormat="1">
      <c r="A2771" s="687"/>
      <c r="B2771" s="1906">
        <v>1</v>
      </c>
      <c r="C2771" s="1907" t="s">
        <v>12369</v>
      </c>
      <c r="D2771" s="2017"/>
      <c r="E2771" s="1786"/>
      <c r="F2771" s="1936">
        <f>SUM(F2772:F2773)*(B2771-1)</f>
        <v>0</v>
      </c>
      <c r="G2771" s="712"/>
      <c r="H2771" s="712"/>
      <c r="I2771" s="712"/>
      <c r="J2771" s="713"/>
      <c r="K2771" s="684">
        <f t="shared" si="2481"/>
        <v>1</v>
      </c>
      <c r="L2771" s="1909">
        <f>B2771</f>
        <v>1</v>
      </c>
      <c r="M2771" s="709">
        <f t="shared" si="2482"/>
        <v>1</v>
      </c>
      <c r="N2771" s="362" t="str">
        <f t="shared" si="2469"/>
        <v/>
      </c>
      <c r="O2771" s="1763" t="str">
        <f t="shared" si="2470"/>
        <v/>
      </c>
      <c r="P2771" s="1764" t="str">
        <f t="shared" si="2471"/>
        <v/>
      </c>
      <c r="Q2771" s="120" t="str">
        <f t="shared" si="2472"/>
        <v/>
      </c>
    </row>
    <row r="2772" spans="1:18" s="185" customFormat="1">
      <c r="A2772" s="1961"/>
      <c r="B2772" s="1910">
        <v>2</v>
      </c>
      <c r="C2772" s="1911" t="str">
        <f>VLOOKUP(D2772,base_datos,6,FALSE)</f>
        <v>ITM Riel-Din 2x32A - S202-C-32A - 10kA@400Vac-IEC60947-2 - marca ABB.</v>
      </c>
      <c r="D2772" s="1790" t="s">
        <v>971</v>
      </c>
      <c r="E2772" s="1787">
        <f>VLOOKUP(D2772,base_datos,5,FALSE)</f>
        <v>17.930000000000003</v>
      </c>
      <c r="F2772" s="1912">
        <f>+E2772*B2772</f>
        <v>35.860000000000007</v>
      </c>
      <c r="G2772" s="710"/>
      <c r="H2772" s="710"/>
      <c r="I2772" s="710"/>
      <c r="J2772" s="711"/>
      <c r="K2772" s="684">
        <f t="shared" si="2481"/>
        <v>1</v>
      </c>
      <c r="L2772" s="1913">
        <f>L2771</f>
        <v>1</v>
      </c>
      <c r="M2772" s="709">
        <f t="shared" si="2482"/>
        <v>2</v>
      </c>
      <c r="N2772" s="362">
        <f t="shared" si="2469"/>
        <v>2</v>
      </c>
      <c r="O2772" s="1763" t="str">
        <f t="shared" si="2470"/>
        <v>2CDS252001R0324</v>
      </c>
      <c r="P2772" s="1764" t="str">
        <f t="shared" si="2471"/>
        <v>ITM Riel-Din 2x32A - S202-C-32A - 10kA@400Vac-IEC60947-2 - marca ABB.</v>
      </c>
      <c r="Q2772" s="120" t="str">
        <f t="shared" si="2472"/>
        <v>S202-C-32A</v>
      </c>
    </row>
    <row r="2773" spans="1:18" s="1921" customFormat="1">
      <c r="A2773" s="1771"/>
      <c r="B2773" s="1914">
        <v>1</v>
      </c>
      <c r="C2773" s="1911" t="str">
        <f>VLOOKUP(D2773,base_datos,6,FALSE)</f>
        <v>Bloqueo mecánico para enclavamiento manual entre dos interruptores - Riel-Din.</v>
      </c>
      <c r="D2773" s="1790" t="s">
        <v>5954</v>
      </c>
      <c r="E2773" s="1787">
        <f>VLOOKUP(D2773,base_datos,5,FALSE)</f>
        <v>50</v>
      </c>
      <c r="F2773" s="1912">
        <f>+E2773*B2773</f>
        <v>50</v>
      </c>
      <c r="G2773" s="1919"/>
      <c r="H2773" s="1919"/>
      <c r="I2773" s="1919"/>
      <c r="J2773" s="1920"/>
      <c r="K2773" s="684">
        <f t="shared" si="2481"/>
        <v>1</v>
      </c>
      <c r="L2773" s="1913">
        <f>L2772</f>
        <v>1</v>
      </c>
      <c r="M2773" s="709">
        <f t="shared" si="2482"/>
        <v>1</v>
      </c>
      <c r="N2773" s="362" t="str">
        <f t="shared" si="2469"/>
        <v/>
      </c>
      <c r="O2773" s="1763" t="str">
        <f t="shared" si="2470"/>
        <v/>
      </c>
      <c r="P2773" s="1764" t="str">
        <f t="shared" si="2471"/>
        <v/>
      </c>
      <c r="Q2773" s="120" t="str">
        <f t="shared" si="2472"/>
        <v/>
      </c>
    </row>
    <row r="2774" spans="1:18" s="185" customFormat="1">
      <c r="A2774" s="687"/>
      <c r="B2774" s="714"/>
      <c r="C2774" s="1956" t="s">
        <v>12368</v>
      </c>
      <c r="D2774" s="173"/>
      <c r="E2774" s="1786"/>
      <c r="F2774" s="1787"/>
      <c r="G2774" s="710"/>
      <c r="H2774" s="710"/>
      <c r="I2774" s="710"/>
      <c r="J2774" s="711"/>
      <c r="K2774" s="684">
        <f t="shared" si="2481"/>
        <v>1</v>
      </c>
      <c r="L2774" s="363">
        <v>1</v>
      </c>
      <c r="M2774" s="709">
        <f t="shared" si="2482"/>
        <v>1</v>
      </c>
      <c r="N2774" s="362" t="str">
        <f t="shared" si="2469"/>
        <v/>
      </c>
      <c r="O2774" s="1763" t="str">
        <f t="shared" si="2470"/>
        <v/>
      </c>
      <c r="P2774" s="1764" t="str">
        <f t="shared" si="2471"/>
        <v/>
      </c>
      <c r="Q2774" s="120" t="str">
        <f t="shared" si="2472"/>
        <v/>
      </c>
    </row>
    <row r="2775" spans="1:18" s="690" customFormat="1">
      <c r="A2775" s="687"/>
      <c r="B2775" s="1851"/>
      <c r="C2775" s="1966" t="s">
        <v>2654</v>
      </c>
      <c r="D2775" s="1582"/>
      <c r="E2775" s="1780"/>
      <c r="F2775" s="1782"/>
      <c r="G2775" s="1761"/>
      <c r="H2775" s="1761"/>
      <c r="I2775" s="1761"/>
      <c r="J2775" s="689"/>
      <c r="K2775" s="684">
        <f t="shared" si="2481"/>
        <v>1</v>
      </c>
      <c r="L2775" s="363">
        <v>1</v>
      </c>
      <c r="M2775" s="709">
        <f t="shared" si="2482"/>
        <v>1</v>
      </c>
      <c r="N2775" s="362" t="str">
        <f t="shared" si="2469"/>
        <v/>
      </c>
      <c r="O2775" s="1763" t="str">
        <f t="shared" si="2470"/>
        <v/>
      </c>
      <c r="P2775" s="1764" t="str">
        <f t="shared" si="2471"/>
        <v/>
      </c>
      <c r="Q2775" s="120" t="str">
        <f t="shared" si="2472"/>
        <v/>
      </c>
      <c r="R2775" s="185"/>
    </row>
    <row r="2776" spans="1:18" s="690" customFormat="1">
      <c r="A2776" s="687"/>
      <c r="B2776" s="1781">
        <v>1</v>
      </c>
      <c r="C2776" s="1960" t="str">
        <f>VLOOKUP(D2776,base_datos,6,FALSE)</f>
        <v>ITM Riel-Din 2x20A - S202-C-20A - 10kA@400Vac-IEC60947-2 - marca ABB.</v>
      </c>
      <c r="D2776" s="1901" t="s">
        <v>969</v>
      </c>
      <c r="E2776" s="1791">
        <f>VLOOKUP(D2776,base_datos,5,FALSE)</f>
        <v>17.930000000000003</v>
      </c>
      <c r="F2776" s="1782">
        <f>+E2776*B2776</f>
        <v>17.930000000000003</v>
      </c>
      <c r="G2776" s="1761"/>
      <c r="H2776" s="1761"/>
      <c r="I2776" s="1761"/>
      <c r="J2776" s="689"/>
      <c r="K2776" s="684">
        <f t="shared" si="2481"/>
        <v>1</v>
      </c>
      <c r="L2776" s="363">
        <v>1</v>
      </c>
      <c r="M2776" s="709">
        <f t="shared" si="2482"/>
        <v>1</v>
      </c>
      <c r="N2776" s="362">
        <f t="shared" si="2469"/>
        <v>1</v>
      </c>
      <c r="O2776" s="1763" t="str">
        <f t="shared" si="2470"/>
        <v>2CDS252001R0204</v>
      </c>
      <c r="P2776" s="1764" t="str">
        <f t="shared" si="2471"/>
        <v>ITM Riel-Din 2x20A - S202-C-20A - 10kA@400Vac-IEC60947-2 - marca ABB.</v>
      </c>
      <c r="Q2776" s="120" t="str">
        <f t="shared" si="2472"/>
        <v>S202-C-20A</v>
      </c>
      <c r="R2776" s="185"/>
    </row>
    <row r="2777" spans="1:18" s="690" customFormat="1">
      <c r="A2777" s="687"/>
      <c r="B2777" s="1781">
        <v>4</v>
      </c>
      <c r="C2777" s="1960" t="str">
        <f>VLOOKUP(D2777,base_datos,6,FALSE)</f>
        <v>ITM Riel-Din 2x16A - S202-C-16A - 10kA@400Vac-IEC60947-2 - marca ABB.</v>
      </c>
      <c r="D2777" s="1901" t="s">
        <v>970</v>
      </c>
      <c r="E2777" s="1791">
        <f>VLOOKUP(D2777,base_datos,5,FALSE)</f>
        <v>17.96</v>
      </c>
      <c r="F2777" s="1782">
        <f>+E2777*B2777</f>
        <v>71.84</v>
      </c>
      <c r="G2777" s="1761"/>
      <c r="H2777" s="1761"/>
      <c r="I2777" s="1761"/>
      <c r="J2777" s="689"/>
      <c r="K2777" s="684">
        <f t="shared" si="2481"/>
        <v>1</v>
      </c>
      <c r="L2777" s="363">
        <v>1</v>
      </c>
      <c r="M2777" s="709">
        <f t="shared" si="2482"/>
        <v>4</v>
      </c>
      <c r="N2777" s="362">
        <f t="shared" si="2469"/>
        <v>4</v>
      </c>
      <c r="O2777" s="1763" t="str">
        <f t="shared" si="2470"/>
        <v>2CDS252001R0164</v>
      </c>
      <c r="P2777" s="1764" t="str">
        <f t="shared" si="2471"/>
        <v>ITM Riel-Din 2x16A - S202-C-16A - 10kA@400Vac-IEC60947-2 - marca ABB.</v>
      </c>
      <c r="Q2777" s="120" t="str">
        <f t="shared" si="2472"/>
        <v>S202-C-16A</v>
      </c>
      <c r="R2777" s="185"/>
    </row>
    <row r="2778" spans="1:18" s="690" customFormat="1">
      <c r="A2778" s="687"/>
      <c r="B2778" s="2023">
        <v>5</v>
      </c>
      <c r="C2778" s="2041" t="str">
        <f>VLOOKUP(D2778,base_datos,6,FALSE)</f>
        <v>Interruptor Diferencial 2x25A - 30mA - clase A-APR (alta inmunización) - F202-A APR-25A-30mA  - marca ABB.</v>
      </c>
      <c r="D2778" s="1901" t="s">
        <v>1135</v>
      </c>
      <c r="E2778" s="2025">
        <f>VLOOKUP(D2778,base_datos,5,FALSE)</f>
        <v>86.79</v>
      </c>
      <c r="F2778" s="2026">
        <f>+E2778*B2778</f>
        <v>433.95000000000005</v>
      </c>
      <c r="G2778" s="1761"/>
      <c r="H2778" s="1761"/>
      <c r="I2778" s="1761"/>
      <c r="J2778" s="689"/>
      <c r="K2778" s="684">
        <f t="shared" si="2481"/>
        <v>1</v>
      </c>
      <c r="L2778" s="363">
        <v>1</v>
      </c>
      <c r="M2778" s="709">
        <f t="shared" si="2482"/>
        <v>5</v>
      </c>
      <c r="N2778" s="362">
        <f t="shared" si="2469"/>
        <v>5</v>
      </c>
      <c r="O2778" s="1763" t="str">
        <f t="shared" si="2470"/>
        <v>2CSF202401R1250</v>
      </c>
      <c r="P2778" s="1764" t="str">
        <f t="shared" si="2471"/>
        <v>Interruptor Diferencial 2x25A - 30mA - clase A-APR (alta inmunización) - F202-A APR-25A-30mA  - marca ABB.</v>
      </c>
      <c r="Q2778" s="120" t="str">
        <f t="shared" si="2472"/>
        <v>F202-A APR-25A-30mA</v>
      </c>
      <c r="R2778" s="185"/>
    </row>
    <row r="2779" spans="1:18" s="690" customFormat="1">
      <c r="A2779" s="687"/>
      <c r="B2779" s="1781">
        <v>1</v>
      </c>
      <c r="C2779" s="1960" t="str">
        <f>VLOOKUP(D2779,base_datos,6,FALSE)</f>
        <v>Espacio de reserva monofasica + interruptor diferencial - Riel-Din.</v>
      </c>
      <c r="D2779" s="1901" t="s">
        <v>2926</v>
      </c>
      <c r="E2779" s="1791">
        <f>VLOOKUP(D2779,base_datos,5,FALSE)</f>
        <v>2.5</v>
      </c>
      <c r="F2779" s="1782">
        <f>+E2779*B2779</f>
        <v>2.5</v>
      </c>
      <c r="G2779" s="1761"/>
      <c r="H2779" s="1761"/>
      <c r="I2779" s="1761"/>
      <c r="J2779" s="689"/>
      <c r="K2779" s="684">
        <f t="shared" si="2481"/>
        <v>1</v>
      </c>
      <c r="L2779" s="363">
        <v>1</v>
      </c>
      <c r="M2779" s="709">
        <f t="shared" si="2482"/>
        <v>1</v>
      </c>
      <c r="N2779" s="362" t="str">
        <f t="shared" si="2469"/>
        <v/>
      </c>
      <c r="O2779" s="1763" t="str">
        <f t="shared" si="2470"/>
        <v/>
      </c>
      <c r="P2779" s="1764" t="str">
        <f t="shared" si="2471"/>
        <v/>
      </c>
      <c r="Q2779" s="120" t="str">
        <f t="shared" si="2472"/>
        <v/>
      </c>
      <c r="R2779" s="185"/>
    </row>
    <row r="2780" spans="1:18" s="695" customFormat="1">
      <c r="A2780" s="687"/>
      <c r="B2780" s="1967">
        <v>1</v>
      </c>
      <c r="C2780" s="1946">
        <v>12</v>
      </c>
      <c r="D2780" s="1582"/>
      <c r="E2780" s="2000">
        <v>63</v>
      </c>
      <c r="F2780" s="1968">
        <f t="shared" ref="F2780" si="2489">+E2780*B2780</f>
        <v>63</v>
      </c>
      <c r="G2780" s="1969"/>
      <c r="H2780" s="1969"/>
      <c r="I2780" s="1969"/>
      <c r="J2780" s="1970"/>
      <c r="K2780" s="684">
        <f t="shared" si="2481"/>
        <v>1</v>
      </c>
      <c r="L2780" s="363">
        <v>1</v>
      </c>
      <c r="M2780" s="709">
        <f t="shared" si="2482"/>
        <v>1</v>
      </c>
      <c r="N2780" s="362" t="str">
        <f t="shared" si="2469"/>
        <v/>
      </c>
      <c r="O2780" s="1763" t="str">
        <f t="shared" si="2470"/>
        <v/>
      </c>
      <c r="P2780" s="1764" t="str">
        <f t="shared" si="2471"/>
        <v/>
      </c>
      <c r="Q2780" s="120" t="str">
        <f t="shared" si="2472"/>
        <v/>
      </c>
    </row>
    <row r="2781" spans="1:18" s="185" customFormat="1">
      <c r="A2781" s="692"/>
      <c r="B2781" s="714"/>
      <c r="C2781" s="1893" t="s">
        <v>729</v>
      </c>
      <c r="D2781" s="2021"/>
      <c r="E2781" s="1786"/>
      <c r="F2781" s="1787"/>
      <c r="G2781" s="710"/>
      <c r="H2781" s="710"/>
      <c r="I2781" s="710"/>
      <c r="J2781" s="711"/>
      <c r="K2781" s="684">
        <f t="shared" si="2481"/>
        <v>1</v>
      </c>
      <c r="L2781" s="363">
        <v>1</v>
      </c>
      <c r="M2781" s="709">
        <f t="shared" si="2482"/>
        <v>1</v>
      </c>
      <c r="N2781" s="362" t="str">
        <f t="shared" si="2469"/>
        <v/>
      </c>
      <c r="O2781" s="1763" t="str">
        <f t="shared" si="2470"/>
        <v/>
      </c>
      <c r="P2781" s="1764" t="str">
        <f t="shared" si="2471"/>
        <v/>
      </c>
      <c r="Q2781" s="120" t="str">
        <f t="shared" si="2472"/>
        <v/>
      </c>
    </row>
    <row r="2782" spans="1:18" s="315" customFormat="1">
      <c r="A2782" s="1785"/>
      <c r="B2782" s="355"/>
      <c r="C2782" s="1944" t="s">
        <v>3063</v>
      </c>
      <c r="D2782" s="373"/>
      <c r="E2782" s="1786"/>
      <c r="F2782" s="1787"/>
      <c r="G2782" s="712"/>
      <c r="H2782" s="712"/>
      <c r="I2782" s="712"/>
      <c r="J2782" s="713"/>
      <c r="K2782" s="684">
        <f t="shared" si="2481"/>
        <v>1</v>
      </c>
      <c r="L2782" s="708">
        <v>1</v>
      </c>
      <c r="M2782" s="709">
        <f t="shared" si="2482"/>
        <v>1</v>
      </c>
      <c r="N2782" s="362" t="str">
        <f t="shared" si="2469"/>
        <v/>
      </c>
      <c r="O2782" s="1763" t="str">
        <f t="shared" si="2470"/>
        <v/>
      </c>
      <c r="P2782" s="1764" t="str">
        <f t="shared" si="2471"/>
        <v/>
      </c>
      <c r="Q2782" s="120" t="str">
        <f t="shared" si="2472"/>
        <v/>
      </c>
    </row>
    <row r="2783" spans="1:18" s="690" customFormat="1" ht="18" customHeight="1">
      <c r="A2783" s="691"/>
      <c r="B2783" s="1781">
        <v>1</v>
      </c>
      <c r="C2783" s="1420" t="str">
        <f>VLOOKUP(D2783,base_datos,6,FALSE)</f>
        <v>ITM Riel-Din 2x32A - S202-C-32A - 10kA@400Vac-IEC60947-2 - marca ABB.</v>
      </c>
      <c r="D2783" s="1790" t="s">
        <v>971</v>
      </c>
      <c r="E2783" s="1791">
        <f>VLOOKUP(D2783,base_datos,5,FALSE)</f>
        <v>17.930000000000003</v>
      </c>
      <c r="F2783" s="1782">
        <f t="shared" ref="F2783:F2784" si="2490">+E2783*B2783</f>
        <v>17.930000000000003</v>
      </c>
      <c r="G2783" s="1761"/>
      <c r="H2783" s="1761"/>
      <c r="I2783" s="1761"/>
      <c r="J2783" s="1783"/>
      <c r="K2783" s="684">
        <f t="shared" si="2481"/>
        <v>1</v>
      </c>
      <c r="L2783" s="708">
        <v>1</v>
      </c>
      <c r="M2783" s="709">
        <f t="shared" si="2482"/>
        <v>1</v>
      </c>
      <c r="N2783" s="362">
        <f t="shared" si="2469"/>
        <v>1</v>
      </c>
      <c r="O2783" s="1763" t="str">
        <f t="shared" si="2470"/>
        <v>2CDS252001R0324</v>
      </c>
      <c r="P2783" s="1764" t="str">
        <f t="shared" si="2471"/>
        <v>ITM Riel-Din 2x32A - S202-C-32A - 10kA@400Vac-IEC60947-2 - marca ABB.</v>
      </c>
      <c r="Q2783" s="120" t="str">
        <f t="shared" si="2472"/>
        <v>S202-C-32A</v>
      </c>
      <c r="R2783" s="185"/>
    </row>
    <row r="2784" spans="1:18" s="690" customFormat="1" ht="18" customHeight="1">
      <c r="A2784" s="691"/>
      <c r="B2784" s="1781">
        <v>2</v>
      </c>
      <c r="C2784" s="1420" t="str">
        <f>VLOOKUP(D2784,base_datos,6,FALSE)</f>
        <v>Protector de sobretensiones (Tipo 2) - OVR-T2_40-440_P-QS_1P - Un=230/400V, Uc=440V, Up=1.8kV - I_descarga=40kA - marca ABB.</v>
      </c>
      <c r="D2784" s="373" t="s">
        <v>6448</v>
      </c>
      <c r="E2784" s="1791">
        <f>VLOOKUP(D2784,base_datos,5,FALSE)</f>
        <v>75.59</v>
      </c>
      <c r="F2784" s="1782">
        <f t="shared" si="2490"/>
        <v>151.18</v>
      </c>
      <c r="G2784" s="1761"/>
      <c r="H2784" s="1761"/>
      <c r="I2784" s="1761"/>
      <c r="J2784" s="1783"/>
      <c r="K2784" s="684">
        <f t="shared" si="2481"/>
        <v>1</v>
      </c>
      <c r="L2784" s="708">
        <v>1</v>
      </c>
      <c r="M2784" s="709">
        <f t="shared" si="2482"/>
        <v>2</v>
      </c>
      <c r="N2784" s="362">
        <f t="shared" si="2469"/>
        <v>2</v>
      </c>
      <c r="O2784" s="1763" t="str">
        <f t="shared" si="2470"/>
        <v>2CTB803871R1200</v>
      </c>
      <c r="P2784" s="1764" t="str">
        <f t="shared" si="2471"/>
        <v>Protector de sobretensiones (Tipo 2) - OVR-T2_40-440_P-QS_1P - Un=230/400V, Uc=440V, Up=1.8kV - I_descarga=40kA - marca ABB.</v>
      </c>
      <c r="Q2784" s="120" t="str">
        <f t="shared" si="2472"/>
        <v>OVR-T2_40-440_P-QS_1P</v>
      </c>
      <c r="R2784" s="185"/>
    </row>
    <row r="2785" spans="1:20" s="185" customFormat="1" ht="18" customHeight="1">
      <c r="A2785" s="1785"/>
      <c r="B2785" s="714"/>
      <c r="C2785" s="1893" t="s">
        <v>729</v>
      </c>
      <c r="D2785" s="173"/>
      <c r="E2785" s="1786"/>
      <c r="F2785" s="1787"/>
      <c r="G2785" s="710"/>
      <c r="H2785" s="710"/>
      <c r="I2785" s="710"/>
      <c r="J2785" s="711"/>
      <c r="K2785" s="684">
        <f t="shared" si="2481"/>
        <v>1</v>
      </c>
      <c r="L2785" s="708">
        <v>1</v>
      </c>
      <c r="M2785" s="709">
        <f t="shared" si="2482"/>
        <v>1</v>
      </c>
      <c r="N2785" s="362" t="str">
        <f t="shared" si="2469"/>
        <v/>
      </c>
      <c r="O2785" s="1763" t="str">
        <f t="shared" si="2470"/>
        <v/>
      </c>
      <c r="P2785" s="1764" t="str">
        <f t="shared" si="2471"/>
        <v/>
      </c>
      <c r="Q2785" s="120" t="str">
        <f t="shared" si="2472"/>
        <v/>
      </c>
    </row>
    <row r="2786" spans="1:20" s="315" customFormat="1" ht="12.75" customHeight="1">
      <c r="A2786" s="2271"/>
      <c r="B2786" s="2272">
        <v>1</v>
      </c>
      <c r="C2786" s="2281" t="s">
        <v>13366</v>
      </c>
      <c r="D2786" s="1935"/>
      <c r="E2786" s="2287"/>
      <c r="F2786" s="2257">
        <f>+SUM(F2787:F2790)*(B2786-1)</f>
        <v>0</v>
      </c>
      <c r="G2786" s="712"/>
      <c r="H2786" s="712"/>
      <c r="I2786" s="712"/>
      <c r="J2786" s="713"/>
      <c r="K2786" s="684">
        <f t="shared" ref="K2786:K2791" si="2491">+K2785</f>
        <v>1</v>
      </c>
      <c r="L2786" s="2258">
        <v>1</v>
      </c>
      <c r="M2786" s="120">
        <f t="shared" si="2482"/>
        <v>1</v>
      </c>
      <c r="N2786" s="112" t="str">
        <f t="shared" si="2469"/>
        <v/>
      </c>
      <c r="O2786" s="112" t="str">
        <f t="shared" si="2470"/>
        <v/>
      </c>
      <c r="P2786" s="120" t="str">
        <f t="shared" si="2471"/>
        <v/>
      </c>
      <c r="Q2786" s="120" t="str">
        <f t="shared" si="2472"/>
        <v/>
      </c>
      <c r="S2786" s="112" t="str">
        <f t="shared" ref="S2786:S2791" si="2492">IF(O2786&lt;&gt;"",VLOOKUP(D2786,base_datos,9,FALSE),"")</f>
        <v/>
      </c>
      <c r="T2786" s="2128"/>
    </row>
    <row r="2787" spans="1:20" s="690" customFormat="1" ht="18" customHeight="1">
      <c r="A2787" s="2273"/>
      <c r="B2787" s="1781">
        <v>1</v>
      </c>
      <c r="C2787" s="1420" t="str">
        <f t="shared" ref="C2787:C2790" si="2493">VLOOKUP(D2787,base_datos,6,FALSE)</f>
        <v>Calefactor resistivo 60W, modelo RACM - marca FANDIS.</v>
      </c>
      <c r="D2787" s="1899" t="s">
        <v>3298</v>
      </c>
      <c r="E2787" s="2288">
        <f t="shared" ref="E2787" si="2494">VLOOKUP(D2787,base_datos,5,FALSE)</f>
        <v>127.1</v>
      </c>
      <c r="F2787" s="1782">
        <f>+E2787*B2787</f>
        <v>127.1</v>
      </c>
      <c r="G2787" s="1761"/>
      <c r="H2787" s="1761"/>
      <c r="I2787" s="1761"/>
      <c r="J2787" s="689"/>
      <c r="K2787" s="684">
        <f t="shared" si="2491"/>
        <v>1</v>
      </c>
      <c r="L2787" s="2258">
        <v>1</v>
      </c>
      <c r="M2787" s="120">
        <f t="shared" si="2482"/>
        <v>1</v>
      </c>
      <c r="N2787" s="112">
        <f t="shared" si="2469"/>
        <v>1</v>
      </c>
      <c r="O2787" s="112" t="str">
        <f t="shared" si="2470"/>
        <v>RACM-60</v>
      </c>
      <c r="P2787" s="120" t="str">
        <f t="shared" si="2471"/>
        <v>Calefactor resistivo 60W, modelo RACM - marca FANDIS.</v>
      </c>
      <c r="Q2787" s="120" t="str">
        <f t="shared" si="2472"/>
        <v>CALEFACT-60W_FAND</v>
      </c>
      <c r="S2787" s="112" t="str">
        <f t="shared" si="2492"/>
        <v>FANDIS</v>
      </c>
      <c r="T2787" s="1765"/>
    </row>
    <row r="2788" spans="1:20" s="690" customFormat="1" ht="18" customHeight="1">
      <c r="A2788" s="2273"/>
      <c r="B2788" s="1781">
        <v>1</v>
      </c>
      <c r="C2788" s="1420" t="str">
        <f t="shared" si="2493"/>
        <v>Termostato para ventilación - 1NA - 230V - marca FANDIS.</v>
      </c>
      <c r="D2788" s="1899" t="s">
        <v>3294</v>
      </c>
      <c r="E2788" s="2288">
        <f t="shared" ref="E2788:E2790" si="2495">VLOOKUP(D2788,base_datos,5,FALSE)</f>
        <v>41.58</v>
      </c>
      <c r="F2788" s="1782">
        <f>+E2788*B2788</f>
        <v>41.58</v>
      </c>
      <c r="G2788" s="1761"/>
      <c r="H2788" s="1761"/>
      <c r="I2788" s="1761"/>
      <c r="J2788" s="689"/>
      <c r="K2788" s="684">
        <f t="shared" si="2491"/>
        <v>1</v>
      </c>
      <c r="L2788" s="2258">
        <v>1</v>
      </c>
      <c r="M2788" s="120">
        <f t="shared" si="2482"/>
        <v>1</v>
      </c>
      <c r="N2788" s="112">
        <f t="shared" si="2469"/>
        <v>1</v>
      </c>
      <c r="O2788" s="112" t="str">
        <f t="shared" si="2470"/>
        <v>TRT-10A230V-NO</v>
      </c>
      <c r="P2788" s="120" t="str">
        <f t="shared" si="2471"/>
        <v>Termostato para ventilación - 1NA - 230V - marca FANDIS.</v>
      </c>
      <c r="Q2788" s="120" t="str">
        <f t="shared" si="2472"/>
        <v>TRT-1NA</v>
      </c>
      <c r="S2788" s="112" t="str">
        <f t="shared" si="2492"/>
        <v>FANDIS</v>
      </c>
      <c r="T2788" s="1765"/>
    </row>
    <row r="2789" spans="1:20" s="320" customFormat="1" ht="12.75" customHeight="1">
      <c r="A2789" s="2274"/>
      <c r="B2789" s="2275">
        <v>1</v>
      </c>
      <c r="C2789" s="2282" t="str">
        <f t="shared" si="2493"/>
        <v>Base portafusibles + Fusibles de protección para control.</v>
      </c>
      <c r="D2789" s="1579" t="s">
        <v>453</v>
      </c>
      <c r="E2789" s="2289">
        <f t="shared" si="2495"/>
        <v>8.1750000000000007</v>
      </c>
      <c r="F2789" s="2264">
        <f>+E2789*B2789</f>
        <v>8.1750000000000007</v>
      </c>
      <c r="G2789" s="2276"/>
      <c r="H2789" s="2276"/>
      <c r="I2789" s="2276"/>
      <c r="J2789" s="722"/>
      <c r="K2789" s="684">
        <f t="shared" si="2491"/>
        <v>1</v>
      </c>
      <c r="L2789" s="2258">
        <v>1</v>
      </c>
      <c r="M2789" s="120">
        <f t="shared" si="2482"/>
        <v>1</v>
      </c>
      <c r="N2789" s="112" t="str">
        <f t="shared" si="2469"/>
        <v/>
      </c>
      <c r="O2789" s="112" t="str">
        <f t="shared" si="2470"/>
        <v/>
      </c>
      <c r="P2789" s="120" t="str">
        <f t="shared" si="2471"/>
        <v/>
      </c>
      <c r="Q2789" s="120" t="str">
        <f t="shared" si="2472"/>
        <v/>
      </c>
      <c r="R2789" s="185"/>
      <c r="S2789" s="112" t="str">
        <f t="shared" si="2492"/>
        <v/>
      </c>
      <c r="T2789" s="709"/>
    </row>
    <row r="2790" spans="1:20" s="320" customFormat="1" ht="12.75" customHeight="1">
      <c r="A2790" s="2274"/>
      <c r="B2790" s="2277">
        <v>1</v>
      </c>
      <c r="C2790" s="2282" t="str">
        <f t="shared" si="2493"/>
        <v>Borne 4mm2.</v>
      </c>
      <c r="D2790" s="1579" t="s">
        <v>437</v>
      </c>
      <c r="E2790" s="2260">
        <f t="shared" si="2495"/>
        <v>2.5</v>
      </c>
      <c r="F2790" s="2260">
        <f>+E2790*B2790</f>
        <v>2.5</v>
      </c>
      <c r="G2790" s="2276"/>
      <c r="H2790" s="2276"/>
      <c r="I2790" s="2276"/>
      <c r="J2790" s="722"/>
      <c r="K2790" s="684">
        <f t="shared" si="2491"/>
        <v>1</v>
      </c>
      <c r="L2790" s="2258">
        <v>1</v>
      </c>
      <c r="M2790" s="120">
        <f t="shared" si="2482"/>
        <v>1</v>
      </c>
      <c r="N2790" s="112" t="str">
        <f t="shared" si="2469"/>
        <v/>
      </c>
      <c r="O2790" s="112" t="str">
        <f t="shared" si="2470"/>
        <v/>
      </c>
      <c r="P2790" s="120" t="str">
        <f t="shared" si="2471"/>
        <v/>
      </c>
      <c r="Q2790" s="120" t="str">
        <f t="shared" si="2472"/>
        <v/>
      </c>
      <c r="R2790" s="185"/>
      <c r="S2790" s="112" t="str">
        <f t="shared" si="2492"/>
        <v/>
      </c>
      <c r="T2790" s="709"/>
    </row>
    <row r="2791" spans="1:20" s="185" customFormat="1" ht="12.75" customHeight="1">
      <c r="A2791" s="2262"/>
      <c r="B2791" s="1760"/>
      <c r="C2791" s="1893" t="s">
        <v>729</v>
      </c>
      <c r="D2791" s="169"/>
      <c r="E2791" s="2256"/>
      <c r="F2791" s="2278"/>
      <c r="G2791" s="710"/>
      <c r="H2791" s="710"/>
      <c r="I2791" s="710"/>
      <c r="J2791" s="711"/>
      <c r="K2791" s="684">
        <f t="shared" si="2491"/>
        <v>1</v>
      </c>
      <c r="L2791" s="2258">
        <v>1</v>
      </c>
      <c r="M2791" s="120">
        <f t="shared" si="2482"/>
        <v>1</v>
      </c>
      <c r="N2791" s="112" t="str">
        <f t="shared" si="2469"/>
        <v/>
      </c>
      <c r="O2791" s="112" t="str">
        <f t="shared" si="2470"/>
        <v/>
      </c>
      <c r="P2791" s="120" t="str">
        <f t="shared" si="2471"/>
        <v/>
      </c>
      <c r="Q2791" s="120" t="str">
        <f t="shared" si="2472"/>
        <v/>
      </c>
      <c r="S2791" s="112" t="str">
        <f t="shared" si="2492"/>
        <v/>
      </c>
      <c r="T2791" s="118"/>
    </row>
    <row r="2792" spans="1:20" s="1236" customFormat="1" ht="16.5" customHeight="1">
      <c r="A2792" s="1767"/>
      <c r="B2792" s="1853">
        <v>1</v>
      </c>
      <c r="C2792" s="1895" t="s">
        <v>12364</v>
      </c>
      <c r="D2792" s="1902"/>
      <c r="E2792" s="1792"/>
      <c r="F2792" s="1793"/>
      <c r="G2792" s="1784"/>
      <c r="H2792" s="1784"/>
      <c r="I2792" s="1784"/>
      <c r="J2792" s="1182"/>
      <c r="K2792" s="684">
        <f>+K2784</f>
        <v>1</v>
      </c>
      <c r="L2792" s="708">
        <v>1</v>
      </c>
      <c r="M2792" s="684">
        <f t="shared" si="2482"/>
        <v>1</v>
      </c>
      <c r="N2792" s="362" t="str">
        <f t="shared" si="2469"/>
        <v/>
      </c>
      <c r="O2792" s="1763" t="str">
        <f t="shared" si="2470"/>
        <v/>
      </c>
      <c r="P2792" s="1764" t="str">
        <f t="shared" si="2471"/>
        <v/>
      </c>
      <c r="Q2792" s="120" t="str">
        <f t="shared" si="2472"/>
        <v/>
      </c>
      <c r="R2792" s="185"/>
    </row>
    <row r="2793" spans="1:20" s="695" customFormat="1" ht="18" customHeight="1">
      <c r="A2793" s="693"/>
      <c r="B2793" s="1922">
        <v>1</v>
      </c>
      <c r="C2793" s="1848" t="str">
        <f t="shared" ref="C2793" si="2496">VLOOKUP(D2793,base_datos,6,FALSE)</f>
        <v>Placa lamicoid rotulación de 3mm de espesor, fondo negro y letras blancas.</v>
      </c>
      <c r="D2793" s="1886" t="s">
        <v>8570</v>
      </c>
      <c r="E2793" s="1795">
        <f t="shared" ref="E2793" si="2497">VLOOKUP(D2793,base_datos,5,FALSE)</f>
        <v>2.2000000000000002</v>
      </c>
      <c r="F2793" s="1796">
        <f t="shared" ref="F2793" si="2498">+E2793*B2793</f>
        <v>2.2000000000000002</v>
      </c>
      <c r="G2793" s="696"/>
      <c r="H2793" s="696"/>
      <c r="I2793" s="696"/>
      <c r="J2793" s="697"/>
      <c r="K2793" s="684">
        <f>+K2785</f>
        <v>1</v>
      </c>
      <c r="L2793" s="708">
        <v>1</v>
      </c>
      <c r="M2793" s="684">
        <f t="shared" si="2482"/>
        <v>1</v>
      </c>
      <c r="N2793" s="362">
        <f t="shared" si="2469"/>
        <v>1</v>
      </c>
      <c r="O2793" s="1763" t="str">
        <f t="shared" si="2470"/>
        <v>Placa lamicoid p/distr.</v>
      </c>
      <c r="P2793" s="1764" t="str">
        <f t="shared" si="2471"/>
        <v>Placa lamicoid rotulación de 3mm de espesor, fondo negro y letras blancas.</v>
      </c>
      <c r="Q2793" s="120" t="str">
        <f t="shared" si="2472"/>
        <v>Placa lamicoid p/distr.</v>
      </c>
      <c r="R2793" s="185"/>
    </row>
    <row r="2794" spans="1:20" s="1236" customFormat="1" ht="18" customHeight="1">
      <c r="A2794" s="1767"/>
      <c r="B2794" s="1853">
        <v>1</v>
      </c>
      <c r="C2794" s="1895" t="s">
        <v>12474</v>
      </c>
      <c r="D2794" s="1902"/>
      <c r="E2794" s="1792"/>
      <c r="F2794" s="1793"/>
      <c r="G2794" s="1784"/>
      <c r="H2794" s="1784"/>
      <c r="I2794" s="1784"/>
      <c r="J2794" s="1182"/>
      <c r="K2794" s="684">
        <f t="shared" si="2481"/>
        <v>1</v>
      </c>
      <c r="L2794" s="708">
        <v>1</v>
      </c>
      <c r="M2794" s="709">
        <f t="shared" si="2482"/>
        <v>1</v>
      </c>
      <c r="N2794" s="362" t="str">
        <f t="shared" si="2469"/>
        <v/>
      </c>
      <c r="O2794" s="1763" t="str">
        <f t="shared" si="2470"/>
        <v/>
      </c>
      <c r="P2794" s="1764" t="str">
        <f t="shared" si="2471"/>
        <v/>
      </c>
      <c r="Q2794" s="120" t="str">
        <f t="shared" si="2472"/>
        <v/>
      </c>
      <c r="R2794" s="185"/>
    </row>
    <row r="2795" spans="1:20" s="1236" customFormat="1" ht="18" customHeight="1">
      <c r="A2795" s="1767"/>
      <c r="B2795" s="1853">
        <v>1</v>
      </c>
      <c r="C2795" s="1848" t="str">
        <f>VLOOKUP(D2795,base_datos,6,FALSE)</f>
        <v>Embalaje especial completamente cerrado para tablero adosado de 1600x600x220mm</v>
      </c>
      <c r="D2795" s="1902" t="s">
        <v>12453</v>
      </c>
      <c r="E2795" s="1795">
        <f t="shared" ref="E2795" si="2499">VLOOKUP(D2795,base_datos,5,FALSE)</f>
        <v>271.40000000000003</v>
      </c>
      <c r="F2795" s="1796">
        <f t="shared" ref="F2795" si="2500">+E2795*B2795</f>
        <v>271.40000000000003</v>
      </c>
      <c r="G2795" s="1784"/>
      <c r="H2795" s="1784"/>
      <c r="I2795" s="1784"/>
      <c r="J2795" s="1182"/>
      <c r="K2795" s="684">
        <f t="shared" si="2481"/>
        <v>1</v>
      </c>
      <c r="L2795" s="708">
        <v>1</v>
      </c>
      <c r="M2795" s="709">
        <f t="shared" si="2482"/>
        <v>1</v>
      </c>
      <c r="N2795" s="362">
        <f t="shared" si="2469"/>
        <v>1</v>
      </c>
      <c r="O2795" s="1763" t="str">
        <f t="shared" si="2470"/>
        <v>EMBAL_ADOS_1600x600x220mm</v>
      </c>
      <c r="P2795" s="1764" t="str">
        <f t="shared" si="2471"/>
        <v>Embalaje especial completamente cerrado para tablero adosado de 1600x600x220mm</v>
      </c>
      <c r="Q2795" s="120" t="str">
        <f t="shared" si="2472"/>
        <v>EMBAL_ADOS_1600x600x220mm</v>
      </c>
      <c r="R2795" s="185"/>
    </row>
    <row r="2796" spans="1:20" s="185" customFormat="1" ht="18" customHeight="1">
      <c r="A2796" s="1785"/>
      <c r="B2796" s="714"/>
      <c r="C2796" s="1893" t="s">
        <v>729</v>
      </c>
      <c r="D2796" s="173"/>
      <c r="E2796" s="1786"/>
      <c r="F2796" s="1787"/>
      <c r="G2796" s="710"/>
      <c r="H2796" s="710"/>
      <c r="I2796" s="710"/>
      <c r="J2796" s="711"/>
      <c r="K2796" s="684">
        <f t="shared" si="2481"/>
        <v>1</v>
      </c>
      <c r="L2796" s="708">
        <v>1</v>
      </c>
      <c r="M2796" s="684">
        <f t="shared" si="2482"/>
        <v>1</v>
      </c>
      <c r="N2796" s="362" t="str">
        <f t="shared" si="2469"/>
        <v/>
      </c>
      <c r="O2796" s="1763" t="str">
        <f t="shared" si="2470"/>
        <v/>
      </c>
      <c r="P2796" s="1764" t="str">
        <f t="shared" si="2471"/>
        <v/>
      </c>
      <c r="Q2796" s="120" t="str">
        <f t="shared" si="2472"/>
        <v/>
      </c>
    </row>
    <row r="2797" spans="1:20" s="1521" customFormat="1">
      <c r="A2797" s="1972"/>
      <c r="B2797" s="714">
        <v>1</v>
      </c>
      <c r="C2797" s="1960" t="str">
        <f>VLOOKUP(D2797,base_datos,6,FALSE)</f>
        <v>Barra a tierra aislada.</v>
      </c>
      <c r="D2797" s="1973" t="s">
        <v>2909</v>
      </c>
      <c r="E2797" s="1580">
        <f t="shared" ref="E2797" si="2501">VLOOKUP(D2797,base_datos,5,FALSE)</f>
        <v>15</v>
      </c>
      <c r="F2797" s="1581">
        <f t="shared" ref="F2797:F2804" si="2502">+E2797*B2797</f>
        <v>15</v>
      </c>
      <c r="G2797" s="1974"/>
      <c r="H2797" s="1974"/>
      <c r="I2797" s="1974"/>
      <c r="J2797" s="1975"/>
      <c r="K2797" s="684">
        <f t="shared" si="2481"/>
        <v>1</v>
      </c>
      <c r="L2797" s="363">
        <v>1</v>
      </c>
      <c r="M2797" s="709">
        <f t="shared" si="2482"/>
        <v>1</v>
      </c>
      <c r="N2797" s="362" t="str">
        <f t="shared" si="2469"/>
        <v/>
      </c>
      <c r="O2797" s="1763" t="str">
        <f t="shared" si="2470"/>
        <v/>
      </c>
      <c r="P2797" s="1764" t="str">
        <f t="shared" si="2471"/>
        <v/>
      </c>
      <c r="Q2797" s="120" t="str">
        <f t="shared" si="2472"/>
        <v/>
      </c>
      <c r="R2797" s="690"/>
      <c r="S2797" s="1237"/>
      <c r="T2797" s="1237"/>
    </row>
    <row r="2798" spans="1:20" s="695" customFormat="1" ht="18" customHeight="1">
      <c r="A2798" s="693"/>
      <c r="B2798" s="1794">
        <v>1</v>
      </c>
      <c r="C2798" s="1420" t="str">
        <f t="shared" ref="C2798" si="2503">VLOOKUP(D2798,base_datos,6,FALSE)</f>
        <v>Barra a tierra.</v>
      </c>
      <c r="D2798" s="1790" t="s">
        <v>8299</v>
      </c>
      <c r="E2798" s="1795">
        <f t="shared" ref="E2798" si="2504">VLOOKUP(D2798,base_datos,5,FALSE)</f>
        <v>10</v>
      </c>
      <c r="F2798" s="1796">
        <f t="shared" si="2502"/>
        <v>10</v>
      </c>
      <c r="G2798" s="696"/>
      <c r="H2798" s="696"/>
      <c r="I2798" s="696"/>
      <c r="J2798" s="697"/>
      <c r="K2798" s="684">
        <f t="shared" si="2481"/>
        <v>1</v>
      </c>
      <c r="L2798" s="708">
        <v>1</v>
      </c>
      <c r="M2798" s="709">
        <f t="shared" si="2482"/>
        <v>1</v>
      </c>
      <c r="N2798" s="362" t="str">
        <f t="shared" si="2469"/>
        <v/>
      </c>
      <c r="O2798" s="1763" t="str">
        <f t="shared" si="2470"/>
        <v/>
      </c>
      <c r="P2798" s="1764" t="str">
        <f t="shared" si="2471"/>
        <v/>
      </c>
      <c r="Q2798" s="120" t="str">
        <f t="shared" si="2472"/>
        <v/>
      </c>
      <c r="R2798" s="185"/>
    </row>
    <row r="2799" spans="1:20" s="185" customFormat="1" ht="18" customHeight="1">
      <c r="A2799" s="1785"/>
      <c r="B2799" s="714"/>
      <c r="C2799" s="1893" t="s">
        <v>729</v>
      </c>
      <c r="D2799" s="173"/>
      <c r="E2799" s="1786"/>
      <c r="F2799" s="1787"/>
      <c r="G2799" s="710"/>
      <c r="H2799" s="710"/>
      <c r="I2799" s="710"/>
      <c r="J2799" s="711"/>
      <c r="K2799" s="684">
        <f t="shared" si="2481"/>
        <v>1</v>
      </c>
      <c r="L2799" s="708">
        <v>1</v>
      </c>
      <c r="M2799" s="684">
        <f t="shared" ref="M2799" si="2505">IF(B2799="",1,B2799)</f>
        <v>1</v>
      </c>
      <c r="N2799" s="362" t="str">
        <f t="shared" ref="N2799" si="2506">IF(O2799&lt;&gt;"",K2799*L2799*M2799,"")</f>
        <v/>
      </c>
      <c r="O2799" s="1763" t="str">
        <f t="shared" ref="O2799" si="2507">IF(D2799&lt;&gt;"",IF(VLOOKUP(D2799,base_datos,7,FALSE)&lt;&gt;"",VLOOKUP(D2799,base_datos,7,FALSE),""),"")</f>
        <v/>
      </c>
      <c r="P2799" s="1764" t="str">
        <f t="shared" ref="P2799" si="2508">IF(O2799&lt;&gt;"",VLOOKUP(D2799,base_datos,6,FALSE),"")</f>
        <v/>
      </c>
      <c r="Q2799" s="120" t="str">
        <f t="shared" ref="Q2799" si="2509">IF(O2799&lt;&gt;"",D2799,"")</f>
        <v/>
      </c>
    </row>
    <row r="2800" spans="1:20" s="897" customFormat="1" ht="18" customHeight="1">
      <c r="A2800" s="693"/>
      <c r="B2800" s="895">
        <v>15</v>
      </c>
      <c r="C2800" s="721" t="str">
        <f>VLOOKUP(D2800,base_datos,6,FALSE)</f>
        <v>Rotulado por circuito.</v>
      </c>
      <c r="D2800" s="1579" t="s">
        <v>3067</v>
      </c>
      <c r="E2800" s="1580">
        <f>VLOOKUP(D2800,base_datos,5,FALSE)</f>
        <v>0.7</v>
      </c>
      <c r="F2800" s="1581">
        <f t="shared" si="2502"/>
        <v>10.5</v>
      </c>
      <c r="G2800" s="1772"/>
      <c r="H2800" s="1772"/>
      <c r="I2800" s="1772"/>
      <c r="J2800" s="896"/>
      <c r="K2800" s="684">
        <f>+K2797</f>
        <v>1</v>
      </c>
      <c r="L2800" s="708">
        <v>1</v>
      </c>
      <c r="M2800" s="709">
        <f t="shared" si="2482"/>
        <v>15</v>
      </c>
      <c r="N2800" s="362" t="str">
        <f t="shared" ref="N2800:N2805" si="2510">IF(O2800&lt;&gt;"",K2800*L2800*M2800,"")</f>
        <v/>
      </c>
      <c r="O2800" s="1763" t="str">
        <f t="shared" ref="O2800:O2805" si="2511">IF(D2800&lt;&gt;"",IF(VLOOKUP(D2800,base_datos,7,FALSE)&lt;&gt;"",VLOOKUP(D2800,base_datos,7,FALSE),""),"")</f>
        <v/>
      </c>
      <c r="P2800" s="1764" t="str">
        <f t="shared" ref="P2800:P2805" si="2512">IF(O2800&lt;&gt;"",VLOOKUP(D2800,base_datos,6,FALSE),"")</f>
        <v/>
      </c>
      <c r="Q2800" s="120" t="str">
        <f t="shared" ref="Q2800:Q2805" si="2513">IF(O2800&lt;&gt;"",D2800,"")</f>
        <v/>
      </c>
    </row>
    <row r="2801" spans="1:18" s="897" customFormat="1" ht="18" customHeight="1">
      <c r="A2801" s="693"/>
      <c r="B2801" s="895">
        <v>1</v>
      </c>
      <c r="C2801" s="721" t="str">
        <f>VLOOKUP(D2801,base_datos,6,FALSE)</f>
        <v>Rotulado para TAG - tablero de distribución.</v>
      </c>
      <c r="D2801" s="1579" t="s">
        <v>3066</v>
      </c>
      <c r="E2801" s="1580">
        <f>VLOOKUP(D2801,base_datos,5,FALSE)</f>
        <v>1.5</v>
      </c>
      <c r="F2801" s="1581">
        <f t="shared" si="2502"/>
        <v>1.5</v>
      </c>
      <c r="G2801" s="1772"/>
      <c r="H2801" s="1772"/>
      <c r="I2801" s="1772"/>
      <c r="J2801" s="896"/>
      <c r="K2801" s="684">
        <f>+K2798</f>
        <v>1</v>
      </c>
      <c r="L2801" s="708">
        <v>1</v>
      </c>
      <c r="M2801" s="709">
        <f t="shared" si="2482"/>
        <v>1</v>
      </c>
      <c r="N2801" s="362" t="str">
        <f t="shared" si="2510"/>
        <v/>
      </c>
      <c r="O2801" s="1763" t="str">
        <f t="shared" si="2511"/>
        <v/>
      </c>
      <c r="P2801" s="1764" t="str">
        <f t="shared" si="2512"/>
        <v/>
      </c>
      <c r="Q2801" s="120" t="str">
        <f t="shared" si="2513"/>
        <v/>
      </c>
    </row>
    <row r="2802" spans="1:18" s="1237" customFormat="1" ht="18" customHeight="1">
      <c r="A2802" s="1767"/>
      <c r="B2802" s="2093">
        <v>1</v>
      </c>
      <c r="C2802" s="694" t="s">
        <v>12552</v>
      </c>
      <c r="D2802" s="1888"/>
      <c r="E2802" s="1580">
        <f>E2804*15%</f>
        <v>27</v>
      </c>
      <c r="F2802" s="1581">
        <f t="shared" si="2502"/>
        <v>27</v>
      </c>
      <c r="G2802" s="1774"/>
      <c r="H2802" s="1774"/>
      <c r="I2802" s="1774"/>
      <c r="J2802" s="1181"/>
      <c r="K2802" s="684">
        <f t="shared" si="2481"/>
        <v>1</v>
      </c>
      <c r="L2802" s="708">
        <v>1</v>
      </c>
      <c r="M2802" s="709">
        <f t="shared" si="2482"/>
        <v>1</v>
      </c>
      <c r="N2802" s="362" t="str">
        <f t="shared" si="2510"/>
        <v/>
      </c>
      <c r="O2802" s="1763" t="str">
        <f t="shared" si="2511"/>
        <v/>
      </c>
      <c r="P2802" s="1764" t="str">
        <f t="shared" si="2512"/>
        <v/>
      </c>
      <c r="Q2802" s="120" t="str">
        <f t="shared" si="2513"/>
        <v/>
      </c>
      <c r="R2802" s="1765"/>
    </row>
    <row r="2803" spans="1:18" s="1237" customFormat="1" ht="18" customHeight="1">
      <c r="A2803" s="1767"/>
      <c r="B2803" s="1773">
        <v>1</v>
      </c>
      <c r="C2803" s="694" t="s">
        <v>12559</v>
      </c>
      <c r="D2803" s="1888"/>
      <c r="E2803" s="1999">
        <f>E2804*20%</f>
        <v>36</v>
      </c>
      <c r="F2803" s="1581">
        <f t="shared" si="2502"/>
        <v>36</v>
      </c>
      <c r="G2803" s="1774"/>
      <c r="H2803" s="1774"/>
      <c r="I2803" s="1774"/>
      <c r="J2803" s="1181"/>
      <c r="K2803" s="684">
        <f>+K2801</f>
        <v>1</v>
      </c>
      <c r="L2803" s="708">
        <v>1</v>
      </c>
      <c r="M2803" s="709">
        <f t="shared" si="2482"/>
        <v>1</v>
      </c>
      <c r="N2803" s="362" t="str">
        <f t="shared" si="2510"/>
        <v/>
      </c>
      <c r="O2803" s="1763" t="str">
        <f t="shared" si="2511"/>
        <v/>
      </c>
      <c r="P2803" s="1764" t="str">
        <f t="shared" si="2512"/>
        <v/>
      </c>
      <c r="Q2803" s="120" t="str">
        <f t="shared" si="2513"/>
        <v/>
      </c>
      <c r="R2803" s="1765"/>
    </row>
    <row r="2804" spans="1:18" s="1237" customFormat="1" ht="18" customHeight="1">
      <c r="A2804" s="1767"/>
      <c r="B2804" s="1773">
        <v>1</v>
      </c>
      <c r="C2804" s="694" t="s">
        <v>12498</v>
      </c>
      <c r="D2804" s="1888"/>
      <c r="E2804" s="1580">
        <v>180</v>
      </c>
      <c r="F2804" s="1581">
        <f t="shared" si="2502"/>
        <v>180</v>
      </c>
      <c r="G2804" s="1774"/>
      <c r="H2804" s="1774"/>
      <c r="I2804" s="1774"/>
      <c r="J2804" s="1181"/>
      <c r="K2804" s="684">
        <f>+K2801</f>
        <v>1</v>
      </c>
      <c r="L2804" s="708">
        <v>1</v>
      </c>
      <c r="M2804" s="709">
        <f t="shared" si="2482"/>
        <v>1</v>
      </c>
      <c r="N2804" s="362" t="str">
        <f t="shared" si="2510"/>
        <v/>
      </c>
      <c r="O2804" s="1763" t="str">
        <f t="shared" si="2511"/>
        <v/>
      </c>
      <c r="P2804" s="1764" t="str">
        <f t="shared" si="2512"/>
        <v/>
      </c>
      <c r="Q2804" s="120" t="str">
        <f t="shared" si="2513"/>
        <v/>
      </c>
      <c r="R2804" s="1765"/>
    </row>
    <row r="2805" spans="1:18" s="20" customFormat="1" ht="18" customHeight="1" thickBot="1">
      <c r="A2805" s="699"/>
      <c r="B2805" s="1775"/>
      <c r="C2805" s="1776"/>
      <c r="D2805" s="1885"/>
      <c r="E2805" s="1981"/>
      <c r="F2805" s="1981"/>
      <c r="G2805" s="1777"/>
      <c r="H2805" s="1777"/>
      <c r="I2805" s="1777"/>
      <c r="J2805" s="1778"/>
      <c r="K2805" s="684"/>
      <c r="L2805" s="363"/>
      <c r="M2805" s="709"/>
      <c r="N2805" s="362" t="str">
        <f t="shared" si="2510"/>
        <v/>
      </c>
      <c r="O2805" s="1763" t="str">
        <f t="shared" si="2511"/>
        <v/>
      </c>
      <c r="P2805" s="1764" t="str">
        <f t="shared" si="2512"/>
        <v/>
      </c>
      <c r="Q2805" s="120" t="str">
        <f t="shared" si="2513"/>
        <v/>
      </c>
      <c r="R2805" s="1765"/>
    </row>
    <row r="2806" spans="1:18" s="120" customFormat="1" ht="18" customHeight="1" thickBot="1">
      <c r="A2806" s="1989">
        <v>46</v>
      </c>
      <c r="B2806" s="1852">
        <v>1</v>
      </c>
      <c r="C2806" s="1756" t="s">
        <v>12500</v>
      </c>
      <c r="D2806" s="1588"/>
      <c r="E2806" s="1589"/>
      <c r="F2806" s="1589"/>
      <c r="G2806" s="1757">
        <f>SUM(F2807:F2941)</f>
        <v>10542.048738127545</v>
      </c>
      <c r="H2806" s="1758">
        <f>G2806*(1-$D$6)</f>
        <v>10542.048738127545</v>
      </c>
      <c r="I2806" s="1757">
        <f>ROUNDUP(H2806*$D$5,0)</f>
        <v>35843</v>
      </c>
      <c r="J2806" s="1759">
        <f>+I2806*B2806</f>
        <v>35843</v>
      </c>
      <c r="K2806" s="1788">
        <f>B2806</f>
        <v>1</v>
      </c>
      <c r="L2806" s="363"/>
      <c r="M2806" s="684"/>
      <c r="N2806" s="362" t="str">
        <f t="shared" ref="N2806:N2943" si="2514">IF(O2806&lt;&gt;"",K2806*L2806*M2806,"")</f>
        <v/>
      </c>
      <c r="O2806" s="1763" t="str">
        <f t="shared" ref="O2806:O2943" si="2515">IF(D2806&lt;&gt;"",IF(VLOOKUP(D2806,base_datos,7,FALSE)&lt;&gt;"",VLOOKUP(D2806,base_datos,7,FALSE),""),"")</f>
        <v/>
      </c>
      <c r="P2806" s="1764" t="str">
        <f t="shared" ref="P2806:P2943" si="2516">IF(O2806&lt;&gt;"",VLOOKUP(D2806,base_datos,6,FALSE),"")</f>
        <v/>
      </c>
      <c r="Q2806" s="120" t="str">
        <f t="shared" ref="Q2806:Q2943" si="2517">IF(O2806&lt;&gt;"",D2806,"")</f>
        <v/>
      </c>
      <c r="R2806" s="185"/>
    </row>
    <row r="2807" spans="1:18" s="120" customFormat="1" ht="18" customHeight="1">
      <c r="A2807" s="685" t="s">
        <v>3162</v>
      </c>
      <c r="B2807" s="1903"/>
      <c r="C2807" s="1890"/>
      <c r="D2807" s="1904"/>
      <c r="E2807" s="1789"/>
      <c r="F2807" s="1780"/>
      <c r="G2807" s="686"/>
      <c r="H2807" s="710"/>
      <c r="I2807" s="686"/>
      <c r="J2807" s="1768"/>
      <c r="K2807" s="684">
        <f t="shared" ref="K2807:K2808" si="2518">+K2806</f>
        <v>1</v>
      </c>
      <c r="L2807" s="363">
        <v>1</v>
      </c>
      <c r="M2807" s="709">
        <f t="shared" ref="M2807:M2941" si="2519">IF(B2807="",1,B2807)</f>
        <v>1</v>
      </c>
      <c r="N2807" s="362" t="str">
        <f t="shared" si="2514"/>
        <v/>
      </c>
      <c r="O2807" s="1763" t="str">
        <f t="shared" si="2515"/>
        <v/>
      </c>
      <c r="P2807" s="1764" t="str">
        <f t="shared" si="2516"/>
        <v/>
      </c>
      <c r="Q2807" s="120" t="str">
        <f t="shared" si="2517"/>
        <v/>
      </c>
    </row>
    <row r="2808" spans="1:18" s="315" customFormat="1" ht="12" customHeight="1">
      <c r="A2808" s="687" t="s">
        <v>4021</v>
      </c>
      <c r="B2808" s="2096">
        <v>1</v>
      </c>
      <c r="C2808" s="1907" t="s">
        <v>5103</v>
      </c>
      <c r="D2808" s="1935"/>
      <c r="E2808" s="1786"/>
      <c r="F2808" s="1908">
        <f>SUM(F2810:F2814)*(B2808-1)</f>
        <v>0</v>
      </c>
      <c r="G2808" s="712"/>
      <c r="H2808" s="712"/>
      <c r="I2808" s="712"/>
      <c r="J2808" s="713"/>
      <c r="K2808" s="684">
        <f t="shared" si="2518"/>
        <v>1</v>
      </c>
      <c r="L2808" s="1909">
        <f>B2808</f>
        <v>1</v>
      </c>
      <c r="M2808" s="684">
        <f t="shared" si="2519"/>
        <v>1</v>
      </c>
      <c r="N2808" s="362" t="str">
        <f t="shared" si="2514"/>
        <v/>
      </c>
      <c r="O2808" s="1763" t="str">
        <f t="shared" si="2515"/>
        <v/>
      </c>
      <c r="P2808" s="1764" t="str">
        <f t="shared" si="2516"/>
        <v/>
      </c>
      <c r="Q2808" s="120" t="str">
        <f t="shared" si="2517"/>
        <v/>
      </c>
    </row>
    <row r="2809" spans="1:18" s="185" customFormat="1">
      <c r="A2809" s="687" t="s">
        <v>4136</v>
      </c>
      <c r="B2809" s="1910">
        <v>3</v>
      </c>
      <c r="C2809" s="1911" t="str">
        <f>VLOOKUP(D2809,base_datos,6,FALSE)</f>
        <v>Portalámpara + lampara tipo LED - color Rojo - alimentacion: 220-230Vac, d=22mm. - CL2-523R - línea compacta - marca ABB.</v>
      </c>
      <c r="D2809" s="1790" t="s">
        <v>2439</v>
      </c>
      <c r="E2809" s="1939">
        <f>VLOOKUP(D2809,base_datos,5,FALSE)</f>
        <v>12.299999999999999</v>
      </c>
      <c r="F2809" s="1912">
        <f>+E2809*B2809</f>
        <v>36.9</v>
      </c>
      <c r="G2809" s="710"/>
      <c r="H2809" s="710"/>
      <c r="I2809" s="710"/>
      <c r="J2809" s="711"/>
      <c r="K2809" s="684">
        <f>+K2807</f>
        <v>1</v>
      </c>
      <c r="L2809" s="1913">
        <f>L2807</f>
        <v>1</v>
      </c>
      <c r="M2809" s="684">
        <f t="shared" si="2519"/>
        <v>3</v>
      </c>
      <c r="N2809" s="362">
        <f t="shared" si="2514"/>
        <v>3</v>
      </c>
      <c r="O2809" s="1763" t="str">
        <f t="shared" si="2515"/>
        <v>1SFA619403R5231</v>
      </c>
      <c r="P2809" s="1764" t="str">
        <f t="shared" si="2516"/>
        <v>Portalámpara + lampara tipo LED - color Rojo - alimentacion: 220-230Vac, d=22mm. - CL2-523R - línea compacta - marca ABB.</v>
      </c>
      <c r="Q2809" s="120" t="str">
        <f t="shared" si="2517"/>
        <v>LAMP_ROJO_220V</v>
      </c>
    </row>
    <row r="2810" spans="1:18" s="185" customFormat="1">
      <c r="A2810" s="687"/>
      <c r="B2810" s="1910">
        <v>3</v>
      </c>
      <c r="C2810" s="1911" t="str">
        <f>VLOOKUP(D2810,base_datos,6,FALSE)</f>
        <v>Portalámpara + lampara tipo LED - color Verde - alimentacion: 220-230Vac, d=22mm. - CL2-523G - línea compacta - marca ABB.</v>
      </c>
      <c r="D2810" s="1790" t="s">
        <v>2440</v>
      </c>
      <c r="E2810" s="1939">
        <f>VLOOKUP(D2810,base_datos,5,FALSE)</f>
        <v>12.299999999999999</v>
      </c>
      <c r="F2810" s="1912">
        <f>+E2810*B2810</f>
        <v>36.9</v>
      </c>
      <c r="G2810" s="710"/>
      <c r="H2810" s="710"/>
      <c r="I2810" s="710"/>
      <c r="J2810" s="711"/>
      <c r="K2810" s="684">
        <f>+K2808</f>
        <v>1</v>
      </c>
      <c r="L2810" s="1913">
        <f>L2808</f>
        <v>1</v>
      </c>
      <c r="M2810" s="684">
        <f t="shared" si="2519"/>
        <v>3</v>
      </c>
      <c r="N2810" s="362">
        <f t="shared" si="2514"/>
        <v>3</v>
      </c>
      <c r="O2810" s="1763" t="str">
        <f t="shared" si="2515"/>
        <v>1SFA619403R5232</v>
      </c>
      <c r="P2810" s="1764" t="str">
        <f t="shared" si="2516"/>
        <v>Portalámpara + lampara tipo LED - color Verde - alimentacion: 220-230Vac, d=22mm. - CL2-523G - línea compacta - marca ABB.</v>
      </c>
      <c r="Q2810" s="120" t="str">
        <f t="shared" si="2517"/>
        <v>LAMP_VERDE_220V</v>
      </c>
    </row>
    <row r="2811" spans="1:18" s="1921" customFormat="1">
      <c r="A2811" s="687" t="s">
        <v>12356</v>
      </c>
      <c r="B2811" s="1914">
        <v>1</v>
      </c>
      <c r="C2811" s="1915" t="s">
        <v>3366</v>
      </c>
      <c r="D2811" s="1916"/>
      <c r="E2811" s="1917"/>
      <c r="F2811" s="1918"/>
      <c r="G2811" s="1919"/>
      <c r="H2811" s="1919"/>
      <c r="I2811" s="1919"/>
      <c r="J2811" s="1920"/>
      <c r="K2811" s="684">
        <f t="shared" ref="K2811:K2819" si="2520">+K2809</f>
        <v>1</v>
      </c>
      <c r="L2811" s="1913">
        <f>L2810</f>
        <v>1</v>
      </c>
      <c r="M2811" s="684">
        <f t="shared" si="2519"/>
        <v>1</v>
      </c>
      <c r="N2811" s="362" t="str">
        <f t="shared" si="2514"/>
        <v/>
      </c>
      <c r="O2811" s="1763" t="str">
        <f t="shared" si="2515"/>
        <v/>
      </c>
      <c r="P2811" s="1764" t="str">
        <f t="shared" si="2516"/>
        <v/>
      </c>
      <c r="Q2811" s="120" t="str">
        <f t="shared" si="2517"/>
        <v/>
      </c>
    </row>
    <row r="2812" spans="1:18" s="320" customFormat="1">
      <c r="A2812" s="687" t="s">
        <v>12522</v>
      </c>
      <c r="B2812" s="1922">
        <v>1</v>
      </c>
      <c r="C2812" s="721" t="str">
        <f>VLOOKUP(D2812,base_datos,6,FALSE)</f>
        <v>Rele auxiliar enchufable +4NA/NC (D2PR4B + base D2PA6), 220Vac - marca EATON.</v>
      </c>
      <c r="D2812" s="1579" t="s">
        <v>772</v>
      </c>
      <c r="E2812" s="1581">
        <f>VLOOKUP(D2812,base_datos,5,FALSE)</f>
        <v>27</v>
      </c>
      <c r="F2812" s="1923">
        <f>+E2812*B2812</f>
        <v>27</v>
      </c>
      <c r="G2812" s="1924"/>
      <c r="H2812" s="1924"/>
      <c r="I2812" s="1924"/>
      <c r="J2812" s="722"/>
      <c r="K2812" s="684">
        <f t="shared" si="2520"/>
        <v>1</v>
      </c>
      <c r="L2812" s="1913">
        <f>L2809</f>
        <v>1</v>
      </c>
      <c r="M2812" s="684">
        <f t="shared" si="2519"/>
        <v>1</v>
      </c>
      <c r="N2812" s="362">
        <f t="shared" si="2514"/>
        <v>1</v>
      </c>
      <c r="O2812" s="1763" t="str">
        <f t="shared" si="2515"/>
        <v>D2PR4B+D2PA6</v>
      </c>
      <c r="P2812" s="1764" t="str">
        <f t="shared" si="2516"/>
        <v>Rele auxiliar enchufable +4NA/NC (D2PR4B + base D2PA6), 220Vac - marca EATON.</v>
      </c>
      <c r="Q2812" s="120" t="str">
        <f t="shared" si="2517"/>
        <v>D2PR4B+D2PA6</v>
      </c>
    </row>
    <row r="2813" spans="1:18" s="320" customFormat="1">
      <c r="A2813" s="1767"/>
      <c r="B2813" s="2131">
        <v>1</v>
      </c>
      <c r="C2813" s="2132" t="s">
        <v>12558</v>
      </c>
      <c r="D2813" s="2133"/>
      <c r="E2813" s="2134">
        <v>32</v>
      </c>
      <c r="F2813" s="2134">
        <f>+E2813*B2813</f>
        <v>32</v>
      </c>
      <c r="G2813" s="1924"/>
      <c r="H2813" s="1924"/>
      <c r="I2813" s="1924"/>
      <c r="J2813" s="722"/>
      <c r="K2813" s="684">
        <f t="shared" si="2520"/>
        <v>1</v>
      </c>
      <c r="L2813" s="1913">
        <f>L2810</f>
        <v>1</v>
      </c>
      <c r="M2813" s="684">
        <f t="shared" si="2519"/>
        <v>1</v>
      </c>
      <c r="N2813" s="362" t="str">
        <f t="shared" si="2514"/>
        <v/>
      </c>
      <c r="O2813" s="1763" t="str">
        <f t="shared" si="2515"/>
        <v/>
      </c>
      <c r="P2813" s="1764" t="str">
        <f t="shared" si="2516"/>
        <v/>
      </c>
      <c r="Q2813" s="120" t="str">
        <f t="shared" si="2517"/>
        <v/>
      </c>
    </row>
    <row r="2814" spans="1:18" s="320" customFormat="1">
      <c r="A2814" s="687" t="s">
        <v>12551</v>
      </c>
      <c r="B2814" s="1922">
        <v>4</v>
      </c>
      <c r="C2814" s="721" t="str">
        <f>VLOOKUP(D2814,base_datos,6,FALSE)</f>
        <v>Base portafusibles + Fusibles de protección para control.</v>
      </c>
      <c r="D2814" s="1579" t="s">
        <v>453</v>
      </c>
      <c r="E2814" s="1581">
        <f>VLOOKUP(D2814,base_datos,5,FALSE)</f>
        <v>8.1750000000000007</v>
      </c>
      <c r="F2814" s="1923">
        <f>+E2814*B2814</f>
        <v>32.700000000000003</v>
      </c>
      <c r="G2814" s="1924"/>
      <c r="H2814" s="1924"/>
      <c r="I2814" s="1924"/>
      <c r="J2814" s="722"/>
      <c r="K2814" s="684">
        <f t="shared" si="2520"/>
        <v>1</v>
      </c>
      <c r="L2814" s="1913">
        <f>L2811</f>
        <v>1</v>
      </c>
      <c r="M2814" s="684">
        <f t="shared" si="2519"/>
        <v>4</v>
      </c>
      <c r="N2814" s="362" t="str">
        <f t="shared" si="2514"/>
        <v/>
      </c>
      <c r="O2814" s="1763" t="str">
        <f t="shared" si="2515"/>
        <v/>
      </c>
      <c r="P2814" s="1764" t="str">
        <f t="shared" si="2516"/>
        <v/>
      </c>
      <c r="Q2814" s="120" t="str">
        <f t="shared" si="2517"/>
        <v/>
      </c>
    </row>
    <row r="2815" spans="1:18" s="315" customFormat="1">
      <c r="A2815" s="687" t="s">
        <v>3542</v>
      </c>
      <c r="B2815" s="1906"/>
      <c r="C2815" s="1907"/>
      <c r="D2815" s="1935"/>
      <c r="E2815" s="1786"/>
      <c r="F2815" s="1936"/>
      <c r="G2815" s="712"/>
      <c r="H2815" s="712"/>
      <c r="I2815" s="712"/>
      <c r="J2815" s="713"/>
      <c r="K2815" s="684">
        <f t="shared" si="2520"/>
        <v>1</v>
      </c>
      <c r="L2815" s="1909">
        <f>B2815</f>
        <v>0</v>
      </c>
      <c r="M2815" s="684">
        <f t="shared" si="2519"/>
        <v>1</v>
      </c>
      <c r="N2815" s="362" t="str">
        <f t="shared" si="2514"/>
        <v/>
      </c>
      <c r="O2815" s="1763" t="str">
        <f t="shared" si="2515"/>
        <v/>
      </c>
      <c r="P2815" s="1764" t="str">
        <f t="shared" si="2516"/>
        <v/>
      </c>
      <c r="Q2815" s="120" t="str">
        <f t="shared" si="2517"/>
        <v/>
      </c>
    </row>
    <row r="2816" spans="1:18" s="185" customFormat="1" ht="13.5" customHeight="1">
      <c r="A2816" s="2118"/>
      <c r="B2816" s="2086"/>
      <c r="C2816" s="1956" t="s">
        <v>12368</v>
      </c>
      <c r="D2816" s="1579"/>
      <c r="E2816" s="1957"/>
      <c r="F2816" s="1958"/>
      <c r="G2816" s="710"/>
      <c r="H2816" s="710"/>
      <c r="I2816" s="710"/>
      <c r="J2816" s="711"/>
      <c r="K2816" s="684">
        <f t="shared" si="2520"/>
        <v>1</v>
      </c>
      <c r="L2816" s="708">
        <v>1</v>
      </c>
      <c r="M2816" s="684">
        <f t="shared" si="2519"/>
        <v>1</v>
      </c>
      <c r="N2816" s="362" t="str">
        <f t="shared" si="2514"/>
        <v/>
      </c>
      <c r="O2816" s="1763" t="str">
        <f t="shared" si="2515"/>
        <v/>
      </c>
      <c r="P2816" s="1764" t="str">
        <f t="shared" si="2516"/>
        <v/>
      </c>
      <c r="Q2816" s="120" t="str">
        <f t="shared" si="2517"/>
        <v/>
      </c>
    </row>
    <row r="2817" spans="1:18" s="120" customFormat="1" ht="18" customHeight="1">
      <c r="A2817" s="1584"/>
      <c r="B2817" s="2038">
        <v>6</v>
      </c>
      <c r="C2817" s="2135" t="str">
        <f>VLOOKUP(D2817,base_datos,6,FALSE)</f>
        <v>Transformador de tensión monofásico 480 / 240 Vac - 50VA.</v>
      </c>
      <c r="D2817" s="1898" t="s">
        <v>8587</v>
      </c>
      <c r="E2817" s="1581">
        <f>VLOOKUP(D2817,base_datos,5,FALSE)</f>
        <v>76.8</v>
      </c>
      <c r="F2817" s="1581">
        <f>+E2817*B2817</f>
        <v>460.79999999999995</v>
      </c>
      <c r="G2817" s="686"/>
      <c r="H2817" s="686"/>
      <c r="I2817" s="686"/>
      <c r="J2817" s="1768"/>
      <c r="K2817" s="684">
        <f t="shared" si="2520"/>
        <v>1</v>
      </c>
      <c r="L2817" s="708">
        <v>1</v>
      </c>
      <c r="M2817" s="684">
        <f t="shared" si="2519"/>
        <v>6</v>
      </c>
      <c r="N2817" s="362" t="str">
        <f t="shared" si="2514"/>
        <v/>
      </c>
      <c r="O2817" s="1763" t="str">
        <f t="shared" si="2515"/>
        <v/>
      </c>
      <c r="P2817" s="1764" t="str">
        <f t="shared" si="2516"/>
        <v/>
      </c>
      <c r="Q2817" s="120" t="str">
        <f t="shared" si="2517"/>
        <v/>
      </c>
      <c r="R2817" s="185"/>
    </row>
    <row r="2818" spans="1:18" s="120" customFormat="1" ht="18" customHeight="1">
      <c r="A2818" s="1583"/>
      <c r="B2818" s="2038"/>
      <c r="C2818" s="2135"/>
      <c r="D2818" s="1898"/>
      <c r="E2818" s="1581"/>
      <c r="F2818" s="1581"/>
      <c r="G2818" s="686"/>
      <c r="H2818" s="686"/>
      <c r="I2818" s="686"/>
      <c r="J2818" s="1768"/>
      <c r="K2818" s="684">
        <f t="shared" si="2520"/>
        <v>1</v>
      </c>
      <c r="L2818" s="708">
        <v>1</v>
      </c>
      <c r="M2818" s="684">
        <f t="shared" si="2519"/>
        <v>1</v>
      </c>
      <c r="N2818" s="362" t="str">
        <f t="shared" si="2514"/>
        <v/>
      </c>
      <c r="O2818" s="1763" t="str">
        <f t="shared" si="2515"/>
        <v/>
      </c>
      <c r="P2818" s="1764" t="str">
        <f t="shared" si="2516"/>
        <v/>
      </c>
      <c r="Q2818" s="120" t="str">
        <f t="shared" si="2517"/>
        <v/>
      </c>
      <c r="R2818" s="185"/>
    </row>
    <row r="2819" spans="1:18" s="120" customFormat="1" ht="18" customHeight="1">
      <c r="A2819" s="1583"/>
      <c r="B2819" s="2137"/>
      <c r="C2819" s="2136" t="s">
        <v>729</v>
      </c>
      <c r="D2819" s="1927"/>
      <c r="E2819" s="1891"/>
      <c r="F2819" s="1789"/>
      <c r="G2819" s="686"/>
      <c r="H2819" s="686"/>
      <c r="I2819" s="686"/>
      <c r="J2819" s="1768"/>
      <c r="K2819" s="684">
        <f t="shared" si="2520"/>
        <v>1</v>
      </c>
      <c r="L2819" s="363">
        <v>1</v>
      </c>
      <c r="M2819" s="684">
        <f t="shared" si="2519"/>
        <v>1</v>
      </c>
      <c r="N2819" s="362" t="str">
        <f t="shared" si="2514"/>
        <v/>
      </c>
      <c r="O2819" s="1763" t="str">
        <f t="shared" si="2515"/>
        <v/>
      </c>
      <c r="P2819" s="1764" t="str">
        <f t="shared" si="2516"/>
        <v/>
      </c>
      <c r="Q2819" s="120" t="str">
        <f t="shared" si="2517"/>
        <v/>
      </c>
    </row>
    <row r="2820" spans="1:18" s="120" customFormat="1">
      <c r="A2820" s="687"/>
      <c r="B2820" s="2039"/>
      <c r="C2820" s="1959" t="s">
        <v>2477</v>
      </c>
      <c r="D2820" s="2138"/>
      <c r="E2820" s="1782"/>
      <c r="F2820" s="1782"/>
      <c r="G2820" s="686"/>
      <c r="H2820" s="686"/>
      <c r="I2820" s="686"/>
      <c r="J2820" s="688"/>
      <c r="K2820" s="684">
        <f>K2819</f>
        <v>1</v>
      </c>
      <c r="L2820" s="363">
        <v>1</v>
      </c>
      <c r="M2820" s="684">
        <f t="shared" si="2519"/>
        <v>1</v>
      </c>
      <c r="N2820" s="362" t="str">
        <f t="shared" si="2514"/>
        <v/>
      </c>
      <c r="O2820" s="1763" t="str">
        <f t="shared" ref="O2820" si="2521">IF(D2820&lt;&gt;"",IF(VLOOKUP(D2820,base_datos,7,FALSE)&lt;&gt;"",VLOOKUP(D2820,base_datos,7,FALSE),""),"")</f>
        <v/>
      </c>
      <c r="P2820" s="1764" t="str">
        <f t="shared" ref="P2820" si="2522">IF(O2820&lt;&gt;"",VLOOKUP(D2820,base_datos,6,FALSE),"")</f>
        <v/>
      </c>
      <c r="Q2820" s="120" t="str">
        <f t="shared" si="2517"/>
        <v/>
      </c>
    </row>
    <row r="2821" spans="1:18" s="315" customFormat="1" ht="12.75" customHeight="1">
      <c r="A2821" s="687"/>
      <c r="B2821" s="2139"/>
      <c r="C2821" s="2022"/>
      <c r="D2821" s="2140"/>
      <c r="E2821" s="1786"/>
      <c r="F2821" s="1971"/>
      <c r="G2821" s="712"/>
      <c r="H2821" s="712"/>
      <c r="I2821" s="712"/>
      <c r="J2821" s="713"/>
      <c r="K2821" s="684">
        <f>K2820</f>
        <v>1</v>
      </c>
      <c r="L2821" s="708">
        <v>1</v>
      </c>
      <c r="M2821" s="709"/>
      <c r="N2821" s="1905"/>
      <c r="O2821" s="320"/>
      <c r="P2821" s="320"/>
      <c r="Q2821" s="185" t="str">
        <f t="shared" si="2517"/>
        <v/>
      </c>
    </row>
    <row r="2822" spans="1:18" s="315" customFormat="1" ht="12.75" customHeight="1">
      <c r="A2822" s="692"/>
      <c r="B2822" s="2139"/>
      <c r="C2822" s="2022" t="s">
        <v>12638</v>
      </c>
      <c r="D2822" s="2140"/>
      <c r="E2822" s="1786"/>
      <c r="F2822" s="1971"/>
      <c r="G2822" s="710"/>
      <c r="H2822" s="710"/>
      <c r="I2822" s="710"/>
      <c r="J2822" s="832"/>
      <c r="K2822" s="684">
        <f t="shared" ref="K2822:K2885" si="2523">K2821</f>
        <v>1</v>
      </c>
      <c r="L2822" s="708">
        <v>1</v>
      </c>
      <c r="M2822" s="709">
        <f t="shared" ref="M2822:M2868" si="2524">IF(B2822="",1,B2822)</f>
        <v>1</v>
      </c>
      <c r="N2822" s="1905"/>
      <c r="O2822" s="185" t="str">
        <f t="shared" ref="O2822:O2830" si="2525">IF(D2822&lt;&gt;"",IF(VLOOKUP(D2822,base_datos,7,FALSE)&lt;&gt;"",VLOOKUP(D2822,base_datos,7,FALSE),""),"")</f>
        <v/>
      </c>
      <c r="P2822" s="185" t="str">
        <f t="shared" ref="P2822:P2830" si="2526">IF(O2822&lt;&gt;"",VLOOKUP(D2822,base_datos,6,FALSE),"")</f>
        <v/>
      </c>
      <c r="Q2822" s="185" t="str">
        <f t="shared" si="2517"/>
        <v/>
      </c>
    </row>
    <row r="2823" spans="1:18" s="315" customFormat="1" ht="12.75" customHeight="1">
      <c r="A2823" s="692"/>
      <c r="B2823" s="2139"/>
      <c r="C2823" s="2022" t="s">
        <v>3427</v>
      </c>
      <c r="D2823" s="2140"/>
      <c r="E2823" s="1786"/>
      <c r="F2823" s="1971"/>
      <c r="G2823" s="710"/>
      <c r="H2823" s="710"/>
      <c r="I2823" s="710"/>
      <c r="J2823" s="832"/>
      <c r="K2823" s="709">
        <f t="shared" si="2523"/>
        <v>1</v>
      </c>
      <c r="L2823" s="708">
        <v>1</v>
      </c>
      <c r="M2823" s="709">
        <f t="shared" si="2524"/>
        <v>1</v>
      </c>
      <c r="N2823" s="1905"/>
      <c r="O2823" s="185" t="str">
        <f t="shared" si="2525"/>
        <v/>
      </c>
      <c r="P2823" s="185" t="str">
        <f t="shared" si="2526"/>
        <v/>
      </c>
      <c r="Q2823" s="185" t="str">
        <f t="shared" si="2517"/>
        <v/>
      </c>
    </row>
    <row r="2824" spans="1:18" s="315" customFormat="1" ht="12.75" customHeight="1">
      <c r="A2824" s="692"/>
      <c r="B2824" s="2139"/>
      <c r="C2824" s="2022"/>
      <c r="D2824" s="2140"/>
      <c r="E2824" s="1786"/>
      <c r="F2824" s="1971"/>
      <c r="G2824" s="710"/>
      <c r="H2824" s="710"/>
      <c r="I2824" s="710"/>
      <c r="J2824" s="832"/>
      <c r="K2824" s="684">
        <f t="shared" si="2523"/>
        <v>1</v>
      </c>
      <c r="L2824" s="708">
        <v>1</v>
      </c>
      <c r="M2824" s="709">
        <f t="shared" si="2524"/>
        <v>1</v>
      </c>
      <c r="N2824" s="1905"/>
      <c r="O2824" s="185" t="str">
        <f t="shared" si="2525"/>
        <v/>
      </c>
      <c r="P2824" s="185" t="str">
        <f t="shared" si="2526"/>
        <v/>
      </c>
      <c r="Q2824" s="185" t="str">
        <f t="shared" si="2517"/>
        <v/>
      </c>
    </row>
    <row r="2825" spans="1:18" s="690" customFormat="1" ht="12.75" customHeight="1">
      <c r="A2825" s="1785"/>
      <c r="B2825" s="2139"/>
      <c r="C2825" s="2022" t="s">
        <v>3428</v>
      </c>
      <c r="D2825" s="2141"/>
      <c r="E2825" s="1971"/>
      <c r="F2825" s="1971"/>
      <c r="G2825" s="1761"/>
      <c r="H2825" s="1761"/>
      <c r="I2825" s="1761"/>
      <c r="J2825" s="1783"/>
      <c r="K2825" s="684">
        <f t="shared" si="2523"/>
        <v>1</v>
      </c>
      <c r="L2825" s="363">
        <v>1</v>
      </c>
      <c r="M2825" s="684">
        <f t="shared" si="2524"/>
        <v>1</v>
      </c>
      <c r="N2825" s="362" t="str">
        <f t="shared" ref="N2825:N2830" si="2527">IF(O2825&lt;&gt;"",K2825*L2825*M2825,"")</f>
        <v/>
      </c>
      <c r="O2825" s="1763" t="str">
        <f t="shared" si="2525"/>
        <v/>
      </c>
      <c r="P2825" s="1764" t="str">
        <f t="shared" si="2526"/>
        <v/>
      </c>
      <c r="Q2825" s="120" t="str">
        <f t="shared" si="2517"/>
        <v/>
      </c>
    </row>
    <row r="2826" spans="1:18" s="1236" customFormat="1" ht="12.75" customHeight="1">
      <c r="A2826" s="928"/>
      <c r="B2826" s="2142"/>
      <c r="C2826" s="2115"/>
      <c r="D2826" s="2141"/>
      <c r="E2826" s="1786"/>
      <c r="F2826" s="1971"/>
      <c r="G2826" s="1784"/>
      <c r="H2826" s="1784"/>
      <c r="I2826" s="1784"/>
      <c r="J2826" s="1182"/>
      <c r="K2826" s="709">
        <f t="shared" si="2523"/>
        <v>1</v>
      </c>
      <c r="L2826" s="708">
        <v>1</v>
      </c>
      <c r="M2826" s="684">
        <f t="shared" si="2524"/>
        <v>1</v>
      </c>
      <c r="N2826" s="362" t="str">
        <f t="shared" si="2527"/>
        <v/>
      </c>
      <c r="O2826" s="1763" t="str">
        <f t="shared" si="2525"/>
        <v/>
      </c>
      <c r="P2826" s="1764" t="str">
        <f t="shared" si="2526"/>
        <v/>
      </c>
      <c r="Q2826" s="120" t="str">
        <f t="shared" si="2517"/>
        <v/>
      </c>
    </row>
    <row r="2827" spans="1:18" s="1236" customFormat="1" ht="12.75" customHeight="1">
      <c r="A2827" s="928"/>
      <c r="B2827" s="2143">
        <f>B2867</f>
        <v>1</v>
      </c>
      <c r="C2827" s="2115" t="s">
        <v>12621</v>
      </c>
      <c r="D2827" s="2141"/>
      <c r="E2827" s="1786"/>
      <c r="F2827" s="1971"/>
      <c r="G2827" s="1784"/>
      <c r="H2827" s="1784"/>
      <c r="I2827" s="1784"/>
      <c r="J2827" s="1182"/>
      <c r="K2827" s="684">
        <f t="shared" si="2523"/>
        <v>1</v>
      </c>
      <c r="L2827" s="363">
        <v>1</v>
      </c>
      <c r="M2827" s="684">
        <f t="shared" si="2524"/>
        <v>1</v>
      </c>
      <c r="N2827" s="362" t="str">
        <f t="shared" si="2527"/>
        <v/>
      </c>
      <c r="O2827" s="1763" t="str">
        <f t="shared" si="2525"/>
        <v/>
      </c>
      <c r="P2827" s="1764" t="str">
        <f t="shared" si="2526"/>
        <v/>
      </c>
      <c r="Q2827" s="120" t="str">
        <f t="shared" si="2517"/>
        <v/>
      </c>
    </row>
    <row r="2828" spans="1:18" s="1236" customFormat="1" ht="12.75" customHeight="1">
      <c r="A2828" s="928"/>
      <c r="B2828" s="2139"/>
      <c r="C2828" s="2115" t="s">
        <v>3429</v>
      </c>
      <c r="D2828" s="2141"/>
      <c r="E2828" s="1786"/>
      <c r="F2828" s="1971"/>
      <c r="G2828" s="1784"/>
      <c r="H2828" s="1784"/>
      <c r="I2828" s="1784"/>
      <c r="J2828" s="1182"/>
      <c r="K2828" s="684">
        <f t="shared" si="2523"/>
        <v>1</v>
      </c>
      <c r="L2828" s="708">
        <v>1</v>
      </c>
      <c r="M2828" s="684">
        <f t="shared" si="2524"/>
        <v>1</v>
      </c>
      <c r="N2828" s="362" t="str">
        <f t="shared" si="2527"/>
        <v/>
      </c>
      <c r="O2828" s="1763" t="str">
        <f t="shared" si="2525"/>
        <v/>
      </c>
      <c r="P2828" s="1764" t="str">
        <f t="shared" si="2526"/>
        <v/>
      </c>
      <c r="Q2828" s="120" t="str">
        <f t="shared" si="2517"/>
        <v/>
      </c>
    </row>
    <row r="2829" spans="1:18" s="695" customFormat="1" ht="12.75" customHeight="1">
      <c r="A2829" s="693"/>
      <c r="B2829" s="2139"/>
      <c r="C2829" s="2116" t="str">
        <f>C2867</f>
        <v>ITM Caja Moldeada 3x100A (reg.[0.7-1.0] In) - XT2N160-100A-3P-TMA - 65kA@230Vac, 36kA@415Vac - marca ABB.</v>
      </c>
      <c r="D2829" s="2141"/>
      <c r="E2829" s="1786"/>
      <c r="F2829" s="1971"/>
      <c r="G2829" s="1969"/>
      <c r="H2829" s="1969"/>
      <c r="I2829" s="1969"/>
      <c r="J2829" s="1970"/>
      <c r="K2829" s="709">
        <f t="shared" si="2523"/>
        <v>1</v>
      </c>
      <c r="L2829" s="363">
        <v>1</v>
      </c>
      <c r="M2829" s="684">
        <f t="shared" si="2524"/>
        <v>1</v>
      </c>
      <c r="N2829" s="362" t="str">
        <f t="shared" si="2527"/>
        <v/>
      </c>
      <c r="O2829" s="1763" t="str">
        <f t="shared" si="2525"/>
        <v/>
      </c>
      <c r="P2829" s="1764" t="str">
        <f t="shared" si="2526"/>
        <v/>
      </c>
      <c r="Q2829" s="120" t="str">
        <f t="shared" si="2517"/>
        <v/>
      </c>
    </row>
    <row r="2830" spans="1:18" s="1236" customFormat="1" ht="12.75" customHeight="1">
      <c r="A2830" s="693"/>
      <c r="B2830" s="2139"/>
      <c r="C2830" s="2115" t="s">
        <v>3449</v>
      </c>
      <c r="D2830" s="2141"/>
      <c r="E2830" s="1786"/>
      <c r="F2830" s="1971"/>
      <c r="G2830" s="1784"/>
      <c r="H2830" s="1784"/>
      <c r="I2830" s="1784"/>
      <c r="J2830" s="1182"/>
      <c r="K2830" s="684">
        <f t="shared" si="2523"/>
        <v>1</v>
      </c>
      <c r="L2830" s="708">
        <v>1</v>
      </c>
      <c r="M2830" s="684">
        <f t="shared" si="2524"/>
        <v>1</v>
      </c>
      <c r="N2830" s="362" t="str">
        <f t="shared" si="2527"/>
        <v/>
      </c>
      <c r="O2830" s="1763" t="str">
        <f t="shared" si="2525"/>
        <v/>
      </c>
      <c r="P2830" s="1764" t="str">
        <f t="shared" si="2526"/>
        <v/>
      </c>
      <c r="Q2830" s="120" t="str">
        <f t="shared" si="2517"/>
        <v/>
      </c>
    </row>
    <row r="2831" spans="1:18" s="690" customFormat="1" ht="12.75" customHeight="1">
      <c r="A2831" s="693"/>
      <c r="B2831" s="2139"/>
      <c r="C2831" s="2115"/>
      <c r="D2831" s="2141"/>
      <c r="E2831" s="1786"/>
      <c r="F2831" s="1971"/>
      <c r="G2831" s="1761"/>
      <c r="H2831" s="1761"/>
      <c r="I2831" s="1761"/>
      <c r="J2831" s="1783"/>
      <c r="K2831" s="684">
        <f t="shared" si="2523"/>
        <v>1</v>
      </c>
      <c r="L2831" s="363">
        <v>1</v>
      </c>
      <c r="M2831" s="684">
        <f t="shared" si="2524"/>
        <v>1</v>
      </c>
      <c r="N2831" s="362" t="str">
        <f>IF(O2831&lt;&gt;"",K2831*L2831*M2831,"")</f>
        <v/>
      </c>
      <c r="O2831" s="1763" t="str">
        <f>IF(D2831&lt;&gt;"",IF(VLOOKUP(D2831,base_datos,7,FALSE)&lt;&gt;"",VLOOKUP(D2831,base_datos,7,FALSE),""),"")</f>
        <v/>
      </c>
      <c r="P2831" s="1764" t="str">
        <f>IF(O2831&lt;&gt;"",VLOOKUP(D2831,base_datos,6,FALSE),"")</f>
        <v/>
      </c>
      <c r="Q2831" s="120" t="str">
        <f t="shared" si="2517"/>
        <v/>
      </c>
    </row>
    <row r="2832" spans="1:18" s="1236" customFormat="1" ht="12.75" customHeight="1">
      <c r="A2832" s="928"/>
      <c r="B2832" s="2143">
        <f>B2868</f>
        <v>1</v>
      </c>
      <c r="C2832" s="2115" t="s">
        <v>12621</v>
      </c>
      <c r="D2832" s="2141"/>
      <c r="E2832" s="1786"/>
      <c r="F2832" s="1971"/>
      <c r="G2832" s="1784"/>
      <c r="H2832" s="1784"/>
      <c r="I2832" s="1784"/>
      <c r="J2832" s="1182"/>
      <c r="K2832" s="709">
        <f t="shared" si="2523"/>
        <v>1</v>
      </c>
      <c r="L2832" s="363">
        <v>1</v>
      </c>
      <c r="M2832" s="684">
        <f t="shared" si="2524"/>
        <v>1</v>
      </c>
      <c r="N2832" s="362" t="str">
        <f t="shared" ref="N2832:N2835" si="2528">IF(O2832&lt;&gt;"",K2832*L2832*M2832,"")</f>
        <v/>
      </c>
      <c r="O2832" s="1763" t="str">
        <f t="shared" ref="O2832:O2836" si="2529">IF(D2832&lt;&gt;"",IF(VLOOKUP(D2832,base_datos,7,FALSE)&lt;&gt;"",VLOOKUP(D2832,base_datos,7,FALSE),""),"")</f>
        <v/>
      </c>
      <c r="P2832" s="1764" t="str">
        <f t="shared" ref="P2832:P2836" si="2530">IF(O2832&lt;&gt;"",VLOOKUP(D2832,base_datos,6,FALSE),"")</f>
        <v/>
      </c>
      <c r="Q2832" s="120" t="str">
        <f t="shared" si="2517"/>
        <v/>
      </c>
    </row>
    <row r="2833" spans="1:17" s="1236" customFormat="1" ht="12.75" customHeight="1">
      <c r="A2833" s="928"/>
      <c r="B2833" s="2139"/>
      <c r="C2833" s="2115" t="s">
        <v>3429</v>
      </c>
      <c r="D2833" s="2141"/>
      <c r="E2833" s="1786"/>
      <c r="F2833" s="1971"/>
      <c r="G2833" s="1784"/>
      <c r="H2833" s="1784"/>
      <c r="I2833" s="1784"/>
      <c r="J2833" s="1182"/>
      <c r="K2833" s="684">
        <f t="shared" si="2523"/>
        <v>1</v>
      </c>
      <c r="L2833" s="708">
        <v>1</v>
      </c>
      <c r="M2833" s="684">
        <f t="shared" si="2524"/>
        <v>1</v>
      </c>
      <c r="N2833" s="362" t="str">
        <f t="shared" si="2528"/>
        <v/>
      </c>
      <c r="O2833" s="1763" t="str">
        <f t="shared" si="2529"/>
        <v/>
      </c>
      <c r="P2833" s="1764" t="str">
        <f t="shared" si="2530"/>
        <v/>
      </c>
      <c r="Q2833" s="120" t="str">
        <f t="shared" si="2517"/>
        <v/>
      </c>
    </row>
    <row r="2834" spans="1:17" s="695" customFormat="1" ht="12.75" customHeight="1">
      <c r="A2834" s="693"/>
      <c r="B2834" s="2139"/>
      <c r="C2834" s="2116" t="str">
        <f>C2868</f>
        <v>ITM Caja Moldeada 3x40A (reg.[0.7-1.0] In) - XT2N160-40A-3P-TMA - 65kA@230Vac, 36kA@415Vac - marca ABB.</v>
      </c>
      <c r="D2834" s="2141"/>
      <c r="E2834" s="1786"/>
      <c r="F2834" s="1971"/>
      <c r="G2834" s="1969"/>
      <c r="H2834" s="1969"/>
      <c r="I2834" s="1969"/>
      <c r="J2834" s="1970"/>
      <c r="K2834" s="684">
        <f t="shared" si="2523"/>
        <v>1</v>
      </c>
      <c r="L2834" s="363">
        <v>1</v>
      </c>
      <c r="M2834" s="684">
        <f t="shared" si="2524"/>
        <v>1</v>
      </c>
      <c r="N2834" s="362" t="str">
        <f t="shared" si="2528"/>
        <v/>
      </c>
      <c r="O2834" s="1763" t="str">
        <f t="shared" si="2529"/>
        <v/>
      </c>
      <c r="P2834" s="1764" t="str">
        <f t="shared" si="2530"/>
        <v/>
      </c>
      <c r="Q2834" s="120" t="str">
        <f t="shared" si="2517"/>
        <v/>
      </c>
    </row>
    <row r="2835" spans="1:17" s="1236" customFormat="1" ht="12.75" customHeight="1">
      <c r="A2835" s="693"/>
      <c r="B2835" s="2139"/>
      <c r="C2835" s="2115" t="s">
        <v>3449</v>
      </c>
      <c r="D2835" s="2141"/>
      <c r="E2835" s="1786"/>
      <c r="F2835" s="1971"/>
      <c r="G2835" s="1784"/>
      <c r="H2835" s="1784"/>
      <c r="I2835" s="1784"/>
      <c r="J2835" s="1182"/>
      <c r="K2835" s="709">
        <f t="shared" si="2523"/>
        <v>1</v>
      </c>
      <c r="L2835" s="708">
        <v>1</v>
      </c>
      <c r="M2835" s="684">
        <f t="shared" si="2524"/>
        <v>1</v>
      </c>
      <c r="N2835" s="362" t="str">
        <f t="shared" si="2528"/>
        <v/>
      </c>
      <c r="O2835" s="1763" t="str">
        <f t="shared" si="2529"/>
        <v/>
      </c>
      <c r="P2835" s="1764" t="str">
        <f t="shared" si="2530"/>
        <v/>
      </c>
      <c r="Q2835" s="120" t="str">
        <f t="shared" si="2517"/>
        <v/>
      </c>
    </row>
    <row r="2836" spans="1:17" s="185" customFormat="1" ht="12.75" customHeight="1">
      <c r="A2836" s="693"/>
      <c r="B2836" s="2139"/>
      <c r="C2836" s="2022"/>
      <c r="D2836" s="2140"/>
      <c r="E2836" s="1786"/>
      <c r="F2836" s="1971"/>
      <c r="G2836" s="710"/>
      <c r="H2836" s="710"/>
      <c r="I2836" s="710"/>
      <c r="J2836" s="711"/>
      <c r="K2836" s="684">
        <f t="shared" si="2523"/>
        <v>1</v>
      </c>
      <c r="L2836" s="708">
        <v>1</v>
      </c>
      <c r="M2836" s="684">
        <f t="shared" si="2524"/>
        <v>1</v>
      </c>
      <c r="N2836" s="1905" t="str">
        <f>IF(O2836&lt;&gt;"",K2836*L2836*M2836,"")</f>
        <v/>
      </c>
      <c r="O2836" s="320" t="str">
        <f t="shared" si="2529"/>
        <v/>
      </c>
      <c r="P2836" s="320" t="str">
        <f t="shared" si="2530"/>
        <v/>
      </c>
      <c r="Q2836" s="185" t="str">
        <f t="shared" si="2517"/>
        <v/>
      </c>
    </row>
    <row r="2837" spans="1:17" s="185" customFormat="1" ht="12.75" customHeight="1">
      <c r="A2837" s="693"/>
      <c r="B2837" s="2139"/>
      <c r="C2837" s="2022" t="s">
        <v>12622</v>
      </c>
      <c r="D2837" s="2140"/>
      <c r="E2837" s="1786"/>
      <c r="F2837" s="1971"/>
      <c r="G2837" s="710"/>
      <c r="H2837" s="710"/>
      <c r="I2837" s="710"/>
      <c r="J2837" s="711"/>
      <c r="K2837" s="684">
        <f t="shared" si="2523"/>
        <v>1</v>
      </c>
      <c r="L2837" s="708">
        <v>1</v>
      </c>
      <c r="M2837" s="684">
        <f t="shared" si="2524"/>
        <v>1</v>
      </c>
      <c r="N2837" s="1905" t="str">
        <f>IF(O2837&lt;&gt;"",K2837*L2837*M2837,"")</f>
        <v/>
      </c>
      <c r="O2837" s="320" t="str">
        <f t="shared" ref="O2837:O2849" si="2531">IF(D2837&lt;&gt;"",IF(VLOOKUP(D2837,base_datos,7,FALSE)&lt;&gt;"",VLOOKUP(D2837,base_datos,7,FALSE),""),"")</f>
        <v/>
      </c>
      <c r="P2837" s="320" t="str">
        <f t="shared" ref="P2837:P2849" si="2532">IF(O2837&lt;&gt;"",VLOOKUP(D2837,base_datos,6,FALSE),"")</f>
        <v/>
      </c>
      <c r="Q2837" s="185" t="str">
        <f t="shared" si="2517"/>
        <v/>
      </c>
    </row>
    <row r="2838" spans="1:17" s="185" customFormat="1" ht="12.75" customHeight="1">
      <c r="A2838" s="2027"/>
      <c r="B2838" s="2139"/>
      <c r="C2838" s="2022" t="s">
        <v>12623</v>
      </c>
      <c r="D2838" s="2017"/>
      <c r="E2838" s="1786"/>
      <c r="F2838" s="1971"/>
      <c r="G2838" s="710"/>
      <c r="H2838" s="710"/>
      <c r="I2838" s="710"/>
      <c r="J2838" s="711"/>
      <c r="K2838" s="709">
        <f t="shared" si="2523"/>
        <v>1</v>
      </c>
      <c r="L2838" s="363">
        <v>1</v>
      </c>
      <c r="M2838" s="684">
        <f t="shared" si="2524"/>
        <v>1</v>
      </c>
      <c r="N2838" s="1905" t="str">
        <f>IF(O2838&lt;&gt;"",K2838*L2838*M2838,"")</f>
        <v/>
      </c>
      <c r="O2838" s="320" t="str">
        <f t="shared" si="2531"/>
        <v/>
      </c>
      <c r="P2838" s="320" t="str">
        <f t="shared" si="2532"/>
        <v/>
      </c>
      <c r="Q2838" s="185" t="str">
        <f t="shared" si="2517"/>
        <v/>
      </c>
    </row>
    <row r="2839" spans="1:17" s="185" customFormat="1" ht="12.75" customHeight="1">
      <c r="A2839" s="2027"/>
      <c r="B2839" s="2139"/>
      <c r="C2839" s="2022" t="s">
        <v>12624</v>
      </c>
      <c r="D2839" s="2017"/>
      <c r="E2839" s="1786"/>
      <c r="F2839" s="1971"/>
      <c r="G2839" s="710"/>
      <c r="H2839" s="710"/>
      <c r="I2839" s="710"/>
      <c r="J2839" s="711"/>
      <c r="K2839" s="684">
        <f t="shared" si="2523"/>
        <v>1</v>
      </c>
      <c r="L2839" s="708">
        <v>1</v>
      </c>
      <c r="M2839" s="684">
        <f t="shared" si="2524"/>
        <v>1</v>
      </c>
      <c r="N2839" s="1905" t="str">
        <f t="shared" ref="N2839:N2849" si="2533">IF(O2839&lt;&gt;"",K2839*L2839*M2839,"")</f>
        <v/>
      </c>
      <c r="O2839" s="320" t="str">
        <f t="shared" si="2531"/>
        <v/>
      </c>
      <c r="P2839" s="320" t="str">
        <f t="shared" si="2532"/>
        <v/>
      </c>
      <c r="Q2839" s="185" t="str">
        <f t="shared" si="2517"/>
        <v/>
      </c>
    </row>
    <row r="2840" spans="1:17" s="315" customFormat="1" ht="12.75" customHeight="1">
      <c r="A2840" s="2027"/>
      <c r="B2840" s="2139"/>
      <c r="C2840" s="2022" t="s">
        <v>12625</v>
      </c>
      <c r="D2840" s="2017"/>
      <c r="E2840" s="1786"/>
      <c r="F2840" s="1971"/>
      <c r="G2840" s="712"/>
      <c r="H2840" s="712"/>
      <c r="I2840" s="712"/>
      <c r="J2840" s="713"/>
      <c r="K2840" s="684">
        <f t="shared" si="2523"/>
        <v>1</v>
      </c>
      <c r="L2840" s="363">
        <v>1</v>
      </c>
      <c r="M2840" s="684">
        <f t="shared" si="2524"/>
        <v>1</v>
      </c>
      <c r="N2840" s="1905" t="str">
        <f t="shared" si="2533"/>
        <v/>
      </c>
      <c r="O2840" s="320" t="str">
        <f t="shared" si="2531"/>
        <v/>
      </c>
      <c r="P2840" s="320" t="str">
        <f t="shared" si="2532"/>
        <v/>
      </c>
      <c r="Q2840" s="185" t="str">
        <f t="shared" si="2517"/>
        <v/>
      </c>
    </row>
    <row r="2841" spans="1:17" s="315" customFormat="1" ht="12.75" customHeight="1">
      <c r="A2841" s="2027"/>
      <c r="B2841" s="2139"/>
      <c r="C2841" s="2022" t="s">
        <v>12626</v>
      </c>
      <c r="D2841" s="2017"/>
      <c r="E2841" s="1786"/>
      <c r="F2841" s="1971"/>
      <c r="G2841" s="712"/>
      <c r="H2841" s="712"/>
      <c r="I2841" s="712"/>
      <c r="J2841" s="713"/>
      <c r="K2841" s="709">
        <f t="shared" si="2523"/>
        <v>1</v>
      </c>
      <c r="L2841" s="708">
        <v>1</v>
      </c>
      <c r="M2841" s="684">
        <f t="shared" si="2524"/>
        <v>1</v>
      </c>
      <c r="N2841" s="1905"/>
      <c r="O2841" s="320"/>
      <c r="P2841" s="320"/>
      <c r="Q2841" s="185"/>
    </row>
    <row r="2842" spans="1:17" s="315" customFormat="1" ht="12.75" customHeight="1">
      <c r="A2842" s="2027"/>
      <c r="B2842" s="2139"/>
      <c r="C2842" s="320"/>
      <c r="D2842" s="2017"/>
      <c r="E2842" s="1786"/>
      <c r="F2842" s="1971"/>
      <c r="G2842" s="712"/>
      <c r="H2842" s="712"/>
      <c r="I2842" s="712"/>
      <c r="J2842" s="1928"/>
      <c r="K2842" s="684">
        <f t="shared" si="2523"/>
        <v>1</v>
      </c>
      <c r="L2842" s="363">
        <v>1</v>
      </c>
      <c r="M2842" s="684">
        <f t="shared" si="2524"/>
        <v>1</v>
      </c>
      <c r="N2842" s="1905" t="str">
        <f t="shared" si="2533"/>
        <v/>
      </c>
      <c r="O2842" s="320" t="str">
        <f t="shared" si="2531"/>
        <v/>
      </c>
      <c r="P2842" s="320" t="str">
        <f t="shared" si="2532"/>
        <v/>
      </c>
      <c r="Q2842" s="185" t="str">
        <f t="shared" si="2517"/>
        <v/>
      </c>
    </row>
    <row r="2843" spans="1:17" s="1921" customFormat="1" ht="12.75" customHeight="1">
      <c r="A2843" s="2027"/>
      <c r="B2843" s="2139"/>
      <c r="C2843" s="320" t="s">
        <v>12627</v>
      </c>
      <c r="D2843" s="2017"/>
      <c r="E2843" s="1786"/>
      <c r="F2843" s="1971"/>
      <c r="G2843" s="2035"/>
      <c r="H2843" s="2035"/>
      <c r="I2843" s="2035"/>
      <c r="J2843" s="2036"/>
      <c r="K2843" s="684">
        <f t="shared" si="2523"/>
        <v>1</v>
      </c>
      <c r="L2843" s="708">
        <v>1</v>
      </c>
      <c r="M2843" s="684">
        <f t="shared" si="2524"/>
        <v>1</v>
      </c>
      <c r="N2843" s="1905" t="str">
        <f t="shared" si="2533"/>
        <v/>
      </c>
      <c r="O2843" s="320" t="str">
        <f t="shared" si="2531"/>
        <v/>
      </c>
      <c r="P2843" s="320" t="str">
        <f t="shared" si="2532"/>
        <v/>
      </c>
      <c r="Q2843" s="185" t="str">
        <f t="shared" si="2517"/>
        <v/>
      </c>
    </row>
    <row r="2844" spans="1:17" s="1921" customFormat="1" ht="12.75" customHeight="1">
      <c r="A2844" s="2027"/>
      <c r="B2844" s="2139"/>
      <c r="C2844" s="320" t="s">
        <v>12628</v>
      </c>
      <c r="D2844" s="2017"/>
      <c r="E2844" s="1786"/>
      <c r="F2844" s="1971"/>
      <c r="G2844" s="2035"/>
      <c r="H2844" s="2035"/>
      <c r="I2844" s="2035"/>
      <c r="J2844" s="2036"/>
      <c r="K2844" s="709">
        <f t="shared" si="2523"/>
        <v>1</v>
      </c>
      <c r="L2844" s="708">
        <v>1</v>
      </c>
      <c r="M2844" s="684">
        <f t="shared" si="2524"/>
        <v>1</v>
      </c>
      <c r="N2844" s="1905" t="str">
        <f t="shared" si="2533"/>
        <v/>
      </c>
      <c r="O2844" s="320" t="str">
        <f t="shared" ref="O2844" si="2534">IF(D2844&lt;&gt;"",IF(VLOOKUP(D2844,base_datos,7,FALSE)&lt;&gt;"",VLOOKUP(D2844,base_datos,7,FALSE),""),"")</f>
        <v/>
      </c>
      <c r="P2844" s="320" t="str">
        <f t="shared" ref="P2844" si="2535">IF(O2844&lt;&gt;"",VLOOKUP(D2844,base_datos,6,FALSE),"")</f>
        <v/>
      </c>
      <c r="Q2844" s="185" t="str">
        <f t="shared" si="2517"/>
        <v/>
      </c>
    </row>
    <row r="2845" spans="1:17" s="185" customFormat="1" ht="12.75" customHeight="1">
      <c r="A2845" s="912"/>
      <c r="B2845" s="2139"/>
      <c r="C2845" s="2117" t="s">
        <v>3431</v>
      </c>
      <c r="D2845" s="2017"/>
      <c r="E2845" s="1786"/>
      <c r="F2845" s="1971"/>
      <c r="G2845" s="710"/>
      <c r="H2845" s="710"/>
      <c r="I2845" s="710"/>
      <c r="J2845" s="711"/>
      <c r="K2845" s="684">
        <f t="shared" si="2523"/>
        <v>1</v>
      </c>
      <c r="L2845" s="363">
        <v>1</v>
      </c>
      <c r="M2845" s="684">
        <f t="shared" si="2524"/>
        <v>1</v>
      </c>
      <c r="N2845" s="1905" t="str">
        <f t="shared" si="2533"/>
        <v/>
      </c>
      <c r="O2845" s="185" t="str">
        <f t="shared" si="2531"/>
        <v/>
      </c>
      <c r="P2845" s="185" t="str">
        <f t="shared" si="2532"/>
        <v/>
      </c>
      <c r="Q2845" s="185" t="str">
        <f t="shared" si="2517"/>
        <v/>
      </c>
    </row>
    <row r="2846" spans="1:17" s="1921" customFormat="1" ht="12.75" customHeight="1">
      <c r="A2846" s="913"/>
      <c r="B2846" s="2139"/>
      <c r="C2846" s="2117" t="s">
        <v>3432</v>
      </c>
      <c r="D2846" s="2017"/>
      <c r="E2846" s="1786"/>
      <c r="F2846" s="1971"/>
      <c r="G2846" s="2035"/>
      <c r="H2846" s="2035"/>
      <c r="I2846" s="2035"/>
      <c r="J2846" s="2036"/>
      <c r="K2846" s="684">
        <f t="shared" si="2523"/>
        <v>1</v>
      </c>
      <c r="L2846" s="708">
        <v>1</v>
      </c>
      <c r="M2846" s="684">
        <f t="shared" si="2524"/>
        <v>1</v>
      </c>
      <c r="N2846" s="1905" t="str">
        <f t="shared" si="2533"/>
        <v/>
      </c>
      <c r="O2846" s="320" t="str">
        <f t="shared" si="2531"/>
        <v/>
      </c>
      <c r="P2846" s="320" t="str">
        <f t="shared" si="2532"/>
        <v/>
      </c>
      <c r="Q2846" s="185" t="str">
        <f t="shared" si="2517"/>
        <v/>
      </c>
    </row>
    <row r="2847" spans="1:17" s="185" customFormat="1" ht="12.75" customHeight="1">
      <c r="A2847" s="913"/>
      <c r="B2847" s="2139"/>
      <c r="C2847" s="2117" t="s">
        <v>3433</v>
      </c>
      <c r="D2847" s="2017"/>
      <c r="E2847" s="1786"/>
      <c r="F2847" s="1971"/>
      <c r="G2847" s="710"/>
      <c r="H2847" s="710"/>
      <c r="I2847" s="710"/>
      <c r="J2847" s="711"/>
      <c r="K2847" s="709">
        <f t="shared" si="2523"/>
        <v>1</v>
      </c>
      <c r="L2847" s="363">
        <v>1</v>
      </c>
      <c r="M2847" s="684">
        <f t="shared" si="2524"/>
        <v>1</v>
      </c>
      <c r="N2847" s="1905" t="str">
        <f t="shared" si="2533"/>
        <v/>
      </c>
      <c r="O2847" s="185" t="str">
        <f t="shared" si="2531"/>
        <v/>
      </c>
      <c r="P2847" s="185" t="str">
        <f t="shared" si="2532"/>
        <v/>
      </c>
      <c r="Q2847" s="185" t="str">
        <f t="shared" si="2517"/>
        <v/>
      </c>
    </row>
    <row r="2848" spans="1:17" s="1921" customFormat="1" ht="12.75" customHeight="1">
      <c r="A2848" s="1934"/>
      <c r="B2848" s="2139"/>
      <c r="C2848" s="2117" t="s">
        <v>3434</v>
      </c>
      <c r="D2848" s="2017"/>
      <c r="E2848" s="1786"/>
      <c r="F2848" s="1971"/>
      <c r="G2848" s="2035"/>
      <c r="H2848" s="2035"/>
      <c r="I2848" s="2035"/>
      <c r="J2848" s="2036"/>
      <c r="K2848" s="684">
        <f t="shared" si="2523"/>
        <v>1</v>
      </c>
      <c r="L2848" s="708">
        <v>1</v>
      </c>
      <c r="M2848" s="684">
        <f t="shared" si="2524"/>
        <v>1</v>
      </c>
      <c r="N2848" s="1905" t="str">
        <f t="shared" si="2533"/>
        <v/>
      </c>
      <c r="O2848" s="320" t="str">
        <f t="shared" si="2531"/>
        <v/>
      </c>
      <c r="P2848" s="320" t="str">
        <f t="shared" si="2532"/>
        <v/>
      </c>
      <c r="Q2848" s="185" t="str">
        <f t="shared" si="2517"/>
        <v/>
      </c>
    </row>
    <row r="2849" spans="1:17" s="1766" customFormat="1" ht="12.75" customHeight="1">
      <c r="A2849" s="1771"/>
      <c r="B2849" s="2139"/>
      <c r="C2849" s="2117" t="s">
        <v>3435</v>
      </c>
      <c r="D2849" s="2017"/>
      <c r="E2849" s="1786"/>
      <c r="F2849" s="1971"/>
      <c r="G2849" s="861"/>
      <c r="H2849" s="861"/>
      <c r="I2849" s="861"/>
      <c r="J2849" s="1762"/>
      <c r="K2849" s="684">
        <f t="shared" si="2523"/>
        <v>1</v>
      </c>
      <c r="L2849" s="363">
        <v>1</v>
      </c>
      <c r="M2849" s="684">
        <f t="shared" si="2524"/>
        <v>1</v>
      </c>
      <c r="N2849" s="1905" t="str">
        <f t="shared" si="2533"/>
        <v/>
      </c>
      <c r="O2849" s="320" t="str">
        <f t="shared" si="2531"/>
        <v/>
      </c>
      <c r="P2849" s="320" t="str">
        <f t="shared" si="2532"/>
        <v/>
      </c>
      <c r="Q2849" s="185" t="str">
        <f t="shared" si="2517"/>
        <v/>
      </c>
    </row>
    <row r="2850" spans="1:17" s="185" customFormat="1" ht="12.75" customHeight="1">
      <c r="A2850" s="1771"/>
      <c r="B2850" s="2139"/>
      <c r="C2850" s="320" t="s">
        <v>12629</v>
      </c>
      <c r="D2850" s="2017"/>
      <c r="E2850" s="1786"/>
      <c r="F2850" s="1971"/>
      <c r="G2850" s="710"/>
      <c r="H2850" s="710"/>
      <c r="I2850" s="710"/>
      <c r="J2850" s="832"/>
      <c r="K2850" s="709">
        <f t="shared" si="2523"/>
        <v>1</v>
      </c>
      <c r="L2850" s="708">
        <v>1</v>
      </c>
      <c r="M2850" s="684">
        <f t="shared" si="2524"/>
        <v>1</v>
      </c>
      <c r="N2850" s="1905" t="str">
        <f>IF(O2850&lt;&gt;"",K2850*L2850*M2850,"")</f>
        <v/>
      </c>
      <c r="O2850" s="320" t="str">
        <f>IF(D2850&lt;&gt;"",IF(VLOOKUP(D2850,base_datos,7,FALSE)&lt;&gt;"",VLOOKUP(D2850,base_datos,7,FALSE),""),"")</f>
        <v/>
      </c>
      <c r="P2850" s="320" t="str">
        <f>IF(O2850&lt;&gt;"",VLOOKUP(D2850,base_datos,6,FALSE),"")</f>
        <v/>
      </c>
      <c r="Q2850" s="185" t="str">
        <f t="shared" si="2517"/>
        <v/>
      </c>
    </row>
    <row r="2851" spans="1:17" s="185" customFormat="1" ht="12.75" customHeight="1">
      <c r="A2851" s="1771"/>
      <c r="B2851" s="2139"/>
      <c r="C2851" s="320" t="s">
        <v>12630</v>
      </c>
      <c r="D2851" s="2017"/>
      <c r="E2851" s="1786"/>
      <c r="F2851" s="1971"/>
      <c r="G2851" s="710"/>
      <c r="H2851" s="710"/>
      <c r="I2851" s="710"/>
      <c r="J2851" s="832"/>
      <c r="K2851" s="684">
        <f t="shared" si="2523"/>
        <v>1</v>
      </c>
      <c r="L2851" s="708">
        <v>1</v>
      </c>
      <c r="M2851" s="684">
        <f t="shared" si="2524"/>
        <v>1</v>
      </c>
      <c r="N2851" s="1905" t="str">
        <f>IF(O2851&lt;&gt;"",K2851*L2851*M2851,"")</f>
        <v/>
      </c>
      <c r="O2851" s="320" t="str">
        <f>IF(D2851&lt;&gt;"",IF(VLOOKUP(D2851,base_datos,7,FALSE)&lt;&gt;"",VLOOKUP(D2851,base_datos,7,FALSE),""),"")</f>
        <v/>
      </c>
      <c r="P2851" s="320" t="str">
        <f>IF(O2851&lt;&gt;"",VLOOKUP(D2851,base_datos,6,FALSE),"")</f>
        <v/>
      </c>
      <c r="Q2851" s="185" t="str">
        <f t="shared" si="2517"/>
        <v/>
      </c>
    </row>
    <row r="2852" spans="1:17" s="185" customFormat="1" ht="12.75" customHeight="1">
      <c r="A2852" s="1771"/>
      <c r="B2852" s="2139"/>
      <c r="C2852" s="2117" t="s">
        <v>6061</v>
      </c>
      <c r="D2852" s="2017"/>
      <c r="E2852" s="1786"/>
      <c r="F2852" s="1971"/>
      <c r="G2852" s="710"/>
      <c r="H2852" s="710"/>
      <c r="I2852" s="710"/>
      <c r="J2852" s="711"/>
      <c r="K2852" s="684">
        <f t="shared" si="2523"/>
        <v>1</v>
      </c>
      <c r="L2852" s="363">
        <v>1</v>
      </c>
      <c r="M2852" s="684">
        <f t="shared" si="2524"/>
        <v>1</v>
      </c>
      <c r="N2852" s="1905" t="str">
        <f>IF(O2852&lt;&gt;"",K2852*L2852*M2852,"")</f>
        <v/>
      </c>
      <c r="O2852" s="320" t="str">
        <f>IF(D2852&lt;&gt;"",IF(VLOOKUP(D2852,base_datos,7,FALSE)&lt;&gt;"",VLOOKUP(D2852,base_datos,7,FALSE),""),"")</f>
        <v/>
      </c>
      <c r="P2852" s="320" t="str">
        <f>IF(O2852&lt;&gt;"",VLOOKUP(D2852,base_datos,6,FALSE),"")</f>
        <v/>
      </c>
      <c r="Q2852" s="185" t="str">
        <f t="shared" si="2517"/>
        <v/>
      </c>
    </row>
    <row r="2853" spans="1:17" s="315" customFormat="1" ht="12.75" customHeight="1">
      <c r="A2853" s="2144"/>
      <c r="B2853" s="2145"/>
      <c r="C2853" s="2117" t="s">
        <v>6062</v>
      </c>
      <c r="D2853" s="2146"/>
      <c r="E2853" s="1795"/>
      <c r="F2853" s="1796"/>
      <c r="G2853" s="712"/>
      <c r="H2853" s="712"/>
      <c r="I2853" s="712"/>
      <c r="J2853" s="713"/>
      <c r="K2853" s="709">
        <f t="shared" si="2523"/>
        <v>1</v>
      </c>
      <c r="L2853" s="708">
        <v>1</v>
      </c>
      <c r="M2853" s="684">
        <f t="shared" si="2524"/>
        <v>1</v>
      </c>
      <c r="N2853" s="1905"/>
      <c r="O2853" s="320"/>
      <c r="P2853" s="320"/>
      <c r="Q2853" s="185" t="str">
        <f t="shared" si="2517"/>
        <v/>
      </c>
    </row>
    <row r="2854" spans="1:17" s="315" customFormat="1" ht="12.75" customHeight="1">
      <c r="A2854" s="2144"/>
      <c r="B2854" s="1906"/>
      <c r="C2854" s="2117" t="s">
        <v>624</v>
      </c>
      <c r="D2854" s="2017"/>
      <c r="E2854" s="1786"/>
      <c r="F2854" s="2029"/>
      <c r="G2854" s="712"/>
      <c r="H2854" s="712"/>
      <c r="I2854" s="712"/>
      <c r="J2854" s="713"/>
      <c r="K2854" s="684">
        <f t="shared" si="2523"/>
        <v>1</v>
      </c>
      <c r="L2854" s="363">
        <v>1</v>
      </c>
      <c r="M2854" s="684">
        <f t="shared" si="2524"/>
        <v>1</v>
      </c>
      <c r="N2854" s="1905" t="str">
        <f>IF(O2854&lt;&gt;"",K2854*L2854*M2854,"")</f>
        <v/>
      </c>
      <c r="O2854" s="185" t="str">
        <f t="shared" ref="O2854:O2868" si="2536">IF(D2854&lt;&gt;"",IF(VLOOKUP(D2854,base_datos,7,FALSE)&lt;&gt;"",VLOOKUP(D2854,base_datos,7,FALSE),""),"")</f>
        <v/>
      </c>
      <c r="P2854" s="185" t="str">
        <f t="shared" ref="P2854:P2868" si="2537">IF(O2854&lt;&gt;"",VLOOKUP(D2854,base_datos,6,FALSE),"")</f>
        <v/>
      </c>
      <c r="Q2854" s="185" t="str">
        <f t="shared" si="2517"/>
        <v/>
      </c>
    </row>
    <row r="2855" spans="1:17" s="315" customFormat="1" ht="12.75" customHeight="1">
      <c r="A2855" s="2144"/>
      <c r="B2855" s="1910"/>
      <c r="C2855" s="2117" t="s">
        <v>625</v>
      </c>
      <c r="D2855" s="2146"/>
      <c r="E2855" s="1796"/>
      <c r="F2855" s="1796"/>
      <c r="G2855" s="712"/>
      <c r="H2855" s="712"/>
      <c r="I2855" s="712"/>
      <c r="J2855" s="713"/>
      <c r="K2855" s="684">
        <f t="shared" si="2523"/>
        <v>1</v>
      </c>
      <c r="L2855" s="708">
        <v>1</v>
      </c>
      <c r="M2855" s="684">
        <f t="shared" si="2524"/>
        <v>1</v>
      </c>
      <c r="N2855" s="1905" t="str">
        <f>IF(O2855&lt;&gt;"",K2855*L2855*M2855,"")</f>
        <v/>
      </c>
      <c r="O2855" s="185" t="str">
        <f t="shared" si="2536"/>
        <v/>
      </c>
      <c r="P2855" s="185" t="str">
        <f t="shared" si="2537"/>
        <v/>
      </c>
      <c r="Q2855" s="185" t="str">
        <f t="shared" si="2517"/>
        <v/>
      </c>
    </row>
    <row r="2856" spans="1:17" s="315" customFormat="1" ht="12.75" customHeight="1">
      <c r="A2856" s="2027"/>
      <c r="B2856" s="1910"/>
      <c r="C2856" s="2117" t="s">
        <v>12631</v>
      </c>
      <c r="D2856" s="2146"/>
      <c r="E2856" s="1796"/>
      <c r="F2856" s="1796"/>
      <c r="G2856" s="710"/>
      <c r="H2856" s="710"/>
      <c r="I2856" s="710"/>
      <c r="J2856" s="832"/>
      <c r="K2856" s="684">
        <f t="shared" si="2523"/>
        <v>1</v>
      </c>
      <c r="L2856" s="363">
        <v>1</v>
      </c>
      <c r="M2856" s="684">
        <f t="shared" si="2524"/>
        <v>1</v>
      </c>
      <c r="N2856" s="1905"/>
      <c r="O2856" s="185" t="str">
        <f t="shared" si="2536"/>
        <v/>
      </c>
      <c r="P2856" s="185" t="str">
        <f t="shared" si="2537"/>
        <v/>
      </c>
      <c r="Q2856" s="185" t="str">
        <f t="shared" si="2517"/>
        <v/>
      </c>
    </row>
    <row r="2857" spans="1:17" s="185" customFormat="1" ht="12.75" customHeight="1">
      <c r="A2857" s="1785"/>
      <c r="B2857" s="1906"/>
      <c r="C2857" s="2120" t="s">
        <v>3853</v>
      </c>
      <c r="D2857" s="2017"/>
      <c r="E2857" s="1786"/>
      <c r="F2857" s="1971"/>
      <c r="G2857" s="710"/>
      <c r="H2857" s="710"/>
      <c r="I2857" s="710"/>
      <c r="J2857" s="711"/>
      <c r="K2857" s="709">
        <f t="shared" si="2523"/>
        <v>1</v>
      </c>
      <c r="L2857" s="708">
        <v>1</v>
      </c>
      <c r="M2857" s="684">
        <f t="shared" si="2524"/>
        <v>1</v>
      </c>
      <c r="N2857" s="1905" t="str">
        <f>IF(O2857&lt;&gt;"",K2857*L2857*M2857,"")</f>
        <v/>
      </c>
      <c r="O2857" s="320" t="str">
        <f t="shared" si="2536"/>
        <v/>
      </c>
      <c r="P2857" s="320" t="str">
        <f t="shared" si="2537"/>
        <v/>
      </c>
      <c r="Q2857" s="185" t="str">
        <f t="shared" si="2517"/>
        <v/>
      </c>
    </row>
    <row r="2858" spans="1:17" s="185" customFormat="1" ht="12.75" customHeight="1">
      <c r="A2858" s="1785"/>
      <c r="B2858" s="1910"/>
      <c r="C2858" s="2121" t="s">
        <v>12632</v>
      </c>
      <c r="D2858" s="518"/>
      <c r="E2858" s="1796"/>
      <c r="F2858" s="1796"/>
      <c r="G2858" s="710"/>
      <c r="H2858" s="710"/>
      <c r="I2858" s="710"/>
      <c r="J2858" s="711"/>
      <c r="K2858" s="684">
        <f t="shared" si="2523"/>
        <v>1</v>
      </c>
      <c r="L2858" s="363">
        <v>1</v>
      </c>
      <c r="M2858" s="684">
        <f t="shared" si="2524"/>
        <v>1</v>
      </c>
      <c r="N2858" s="1905" t="str">
        <f>IF(O2858&lt;&gt;"",K2858*L2858*M2858,"")</f>
        <v/>
      </c>
      <c r="O2858" s="320" t="str">
        <f t="shared" si="2536"/>
        <v/>
      </c>
      <c r="P2858" s="320" t="str">
        <f t="shared" si="2537"/>
        <v/>
      </c>
      <c r="Q2858" s="185" t="str">
        <f t="shared" si="2517"/>
        <v/>
      </c>
    </row>
    <row r="2859" spans="1:17" s="185" customFormat="1" ht="12.75" customHeight="1">
      <c r="A2859" s="1785"/>
      <c r="B2859" s="1910"/>
      <c r="C2859" s="2122" t="s">
        <v>12633</v>
      </c>
      <c r="D2859" s="144"/>
      <c r="E2859" s="1796"/>
      <c r="F2859" s="1796"/>
      <c r="G2859" s="710"/>
      <c r="H2859" s="710"/>
      <c r="I2859" s="710"/>
      <c r="J2859" s="711"/>
      <c r="K2859" s="684">
        <f t="shared" si="2523"/>
        <v>1</v>
      </c>
      <c r="L2859" s="708">
        <v>1</v>
      </c>
      <c r="M2859" s="684">
        <f t="shared" si="2524"/>
        <v>1</v>
      </c>
      <c r="N2859" s="1905" t="str">
        <f t="shared" ref="N2859:N2882" si="2538">IF(O2859&lt;&gt;"",K2859*L2859*M2859,"")</f>
        <v/>
      </c>
      <c r="O2859" s="320" t="str">
        <f t="shared" si="2536"/>
        <v/>
      </c>
      <c r="P2859" s="320" t="str">
        <f t="shared" si="2537"/>
        <v/>
      </c>
      <c r="Q2859" s="185" t="str">
        <f t="shared" si="2517"/>
        <v/>
      </c>
    </row>
    <row r="2860" spans="1:17" s="315" customFormat="1" ht="12.75" customHeight="1">
      <c r="A2860" s="1785"/>
      <c r="B2860" s="2147"/>
      <c r="C2860" s="2022" t="s">
        <v>12634</v>
      </c>
      <c r="D2860" s="2148"/>
      <c r="E2860" s="1787"/>
      <c r="F2860" s="1787"/>
      <c r="G2860" s="712"/>
      <c r="H2860" s="712"/>
      <c r="I2860" s="712"/>
      <c r="J2860" s="713"/>
      <c r="K2860" s="709">
        <f t="shared" si="2523"/>
        <v>1</v>
      </c>
      <c r="L2860" s="708">
        <v>1</v>
      </c>
      <c r="M2860" s="684">
        <f t="shared" si="2524"/>
        <v>1</v>
      </c>
      <c r="N2860" s="1905" t="str">
        <f t="shared" si="2538"/>
        <v/>
      </c>
      <c r="O2860" s="320" t="str">
        <f t="shared" si="2536"/>
        <v/>
      </c>
      <c r="P2860" s="320" t="str">
        <f t="shared" si="2537"/>
        <v/>
      </c>
      <c r="Q2860" s="185" t="str">
        <f t="shared" si="2517"/>
        <v/>
      </c>
    </row>
    <row r="2861" spans="1:17" s="315" customFormat="1" ht="12.75" customHeight="1">
      <c r="A2861" s="1785"/>
      <c r="B2861" s="2149"/>
      <c r="C2861" s="320" t="s">
        <v>12635</v>
      </c>
      <c r="D2861" s="2067"/>
      <c r="E2861" s="1917"/>
      <c r="F2861" s="1937"/>
      <c r="G2861" s="712"/>
      <c r="H2861" s="712"/>
      <c r="I2861" s="712"/>
      <c r="J2861" s="1928"/>
      <c r="K2861" s="684">
        <f t="shared" si="2523"/>
        <v>1</v>
      </c>
      <c r="L2861" s="708">
        <v>1</v>
      </c>
      <c r="M2861" s="709">
        <f t="shared" si="2524"/>
        <v>1</v>
      </c>
      <c r="N2861" s="1905" t="str">
        <f t="shared" si="2538"/>
        <v/>
      </c>
      <c r="O2861" s="320" t="str">
        <f t="shared" si="2536"/>
        <v/>
      </c>
      <c r="P2861" s="320" t="str">
        <f t="shared" si="2537"/>
        <v/>
      </c>
      <c r="Q2861" s="185" t="str">
        <f t="shared" si="2517"/>
        <v/>
      </c>
    </row>
    <row r="2862" spans="1:17" s="1921" customFormat="1" ht="12.75" customHeight="1">
      <c r="A2862" s="2037"/>
      <c r="B2862" s="1922"/>
      <c r="C2862" s="320" t="s">
        <v>12636</v>
      </c>
      <c r="D2862" s="2150"/>
      <c r="E2862" s="1580"/>
      <c r="F2862" s="1581"/>
      <c r="G2862" s="2035"/>
      <c r="H2862" s="2035"/>
      <c r="I2862" s="2035"/>
      <c r="J2862" s="2036"/>
      <c r="K2862" s="684">
        <f t="shared" si="2523"/>
        <v>1</v>
      </c>
      <c r="L2862" s="708">
        <v>1</v>
      </c>
      <c r="M2862" s="709">
        <f t="shared" si="2524"/>
        <v>1</v>
      </c>
      <c r="N2862" s="1905" t="str">
        <f t="shared" si="2538"/>
        <v/>
      </c>
      <c r="O2862" s="320" t="str">
        <f t="shared" si="2536"/>
        <v/>
      </c>
      <c r="P2862" s="320" t="str">
        <f t="shared" si="2537"/>
        <v/>
      </c>
      <c r="Q2862" s="185" t="str">
        <f t="shared" si="2517"/>
        <v/>
      </c>
    </row>
    <row r="2863" spans="1:17" s="185" customFormat="1" ht="12.75" customHeight="1">
      <c r="A2863" s="1771"/>
      <c r="B2863" s="2149"/>
      <c r="C2863" s="320" t="s">
        <v>12637</v>
      </c>
      <c r="D2863" s="2067"/>
      <c r="E2863" s="1917"/>
      <c r="F2863" s="1937"/>
      <c r="G2863" s="710"/>
      <c r="H2863" s="710"/>
      <c r="I2863" s="710"/>
      <c r="J2863" s="711"/>
      <c r="K2863" s="709">
        <f t="shared" si="2523"/>
        <v>1</v>
      </c>
      <c r="L2863" s="708">
        <v>1</v>
      </c>
      <c r="M2863" s="709">
        <f t="shared" si="2524"/>
        <v>1</v>
      </c>
      <c r="N2863" s="1905" t="str">
        <f t="shared" si="2538"/>
        <v/>
      </c>
      <c r="O2863" s="185" t="str">
        <f t="shared" si="2536"/>
        <v/>
      </c>
      <c r="P2863" s="185" t="str">
        <f t="shared" si="2537"/>
        <v/>
      </c>
      <c r="Q2863" s="185" t="str">
        <f t="shared" si="2517"/>
        <v/>
      </c>
    </row>
    <row r="2864" spans="1:17" s="1921" customFormat="1" ht="12.75" customHeight="1">
      <c r="A2864" s="1771"/>
      <c r="B2864" s="1922"/>
      <c r="C2864" s="102" t="s">
        <v>3447</v>
      </c>
      <c r="D2864" s="2150"/>
      <c r="E2864" s="1580"/>
      <c r="F2864" s="1581"/>
      <c r="G2864" s="2035"/>
      <c r="H2864" s="2035"/>
      <c r="I2864" s="2035"/>
      <c r="J2864" s="2036"/>
      <c r="K2864" s="684">
        <f t="shared" si="2523"/>
        <v>1</v>
      </c>
      <c r="L2864" s="708">
        <v>1</v>
      </c>
      <c r="M2864" s="709">
        <f t="shared" si="2524"/>
        <v>1</v>
      </c>
      <c r="N2864" s="1905" t="str">
        <f t="shared" si="2538"/>
        <v/>
      </c>
      <c r="O2864" s="320" t="str">
        <f t="shared" si="2536"/>
        <v/>
      </c>
      <c r="P2864" s="320" t="str">
        <f t="shared" si="2537"/>
        <v/>
      </c>
      <c r="Q2864" s="185" t="str">
        <f t="shared" si="2517"/>
        <v/>
      </c>
    </row>
    <row r="2865" spans="1:17" s="1921" customFormat="1" ht="12.75" customHeight="1">
      <c r="A2865" s="1771"/>
      <c r="B2865" s="1922"/>
      <c r="C2865" s="102"/>
      <c r="D2865" s="2150"/>
      <c r="E2865" s="1580"/>
      <c r="F2865" s="1581"/>
      <c r="G2865" s="2035"/>
      <c r="H2865" s="2035"/>
      <c r="I2865" s="2035"/>
      <c r="J2865" s="2036"/>
      <c r="K2865" s="684">
        <f t="shared" si="2523"/>
        <v>1</v>
      </c>
      <c r="L2865" s="708">
        <v>1</v>
      </c>
      <c r="M2865" s="709">
        <f t="shared" si="2524"/>
        <v>1</v>
      </c>
      <c r="N2865" s="1905" t="str">
        <f t="shared" si="2538"/>
        <v/>
      </c>
      <c r="O2865" s="320" t="str">
        <f t="shared" si="2536"/>
        <v/>
      </c>
      <c r="P2865" s="320" t="str">
        <f t="shared" si="2537"/>
        <v/>
      </c>
      <c r="Q2865" s="185" t="str">
        <f t="shared" si="2517"/>
        <v/>
      </c>
    </row>
    <row r="2866" spans="1:17" s="185" customFormat="1" ht="12.75" customHeight="1">
      <c r="A2866" s="1771"/>
      <c r="B2866" s="2151"/>
      <c r="C2866" s="2123" t="s">
        <v>729</v>
      </c>
      <c r="D2866" s="2152"/>
      <c r="E2866" s="1580"/>
      <c r="F2866" s="1580"/>
      <c r="G2866" s="710"/>
      <c r="H2866" s="710"/>
      <c r="I2866" s="710"/>
      <c r="J2866" s="711"/>
      <c r="K2866" s="709">
        <f t="shared" si="2523"/>
        <v>1</v>
      </c>
      <c r="L2866" s="708">
        <v>1</v>
      </c>
      <c r="M2866" s="709">
        <f t="shared" si="2524"/>
        <v>1</v>
      </c>
      <c r="N2866" s="1905" t="str">
        <f t="shared" si="2538"/>
        <v/>
      </c>
      <c r="O2866" s="185" t="str">
        <f t="shared" si="2536"/>
        <v/>
      </c>
      <c r="P2866" s="185" t="str">
        <f t="shared" si="2537"/>
        <v/>
      </c>
      <c r="Q2866" s="185" t="str">
        <f t="shared" si="2517"/>
        <v/>
      </c>
    </row>
    <row r="2867" spans="1:17" s="1766" customFormat="1" ht="12.75" customHeight="1">
      <c r="A2867" s="1771"/>
      <c r="B2867" s="895">
        <v>1</v>
      </c>
      <c r="C2867" s="721" t="str">
        <f>VLOOKUP(D2867,base_datos,6,FALSE)</f>
        <v>ITM Caja Moldeada 3x100A (reg.[0.7-1.0] In) - XT2N160-100A-3P-TMA - 65kA@230Vac, 36kA@415Vac - marca ABB.</v>
      </c>
      <c r="D2867" s="2295" t="s">
        <v>848</v>
      </c>
      <c r="E2867" s="1580">
        <f>VLOOKUP(D2867,base_datos,5,FALSE)</f>
        <v>213.75</v>
      </c>
      <c r="F2867" s="1581">
        <f>+E2867*B2867</f>
        <v>213.75</v>
      </c>
      <c r="G2867" s="861"/>
      <c r="H2867" s="861"/>
      <c r="I2867" s="861"/>
      <c r="J2867" s="1762"/>
      <c r="K2867" s="684">
        <f t="shared" si="2523"/>
        <v>1</v>
      </c>
      <c r="L2867" s="708">
        <v>1</v>
      </c>
      <c r="M2867" s="709">
        <f t="shared" si="2524"/>
        <v>1</v>
      </c>
      <c r="N2867" s="1905">
        <f t="shared" si="2538"/>
        <v>1</v>
      </c>
      <c r="O2867" s="320" t="str">
        <f t="shared" ref="O2867" si="2539">IF(D2867&lt;&gt;"",IF(VLOOKUP(D2867,base_datos,7,FALSE)&lt;&gt;"",VLOOKUP(D2867,base_datos,7,FALSE),""),"")</f>
        <v>1SDA067018R1</v>
      </c>
      <c r="P2867" s="320" t="str">
        <f t="shared" ref="P2867" si="2540">IF(O2867&lt;&gt;"",VLOOKUP(D2867,base_datos,6,FALSE),"")</f>
        <v>ITM Caja Moldeada 3x100A (reg.[0.7-1.0] In) - XT2N160-100A-3P-TMA - 65kA@230Vac, 36kA@415Vac - marca ABB.</v>
      </c>
      <c r="Q2867" s="185" t="str">
        <f t="shared" si="2517"/>
        <v>XT2N160-100A-3P-TMA</v>
      </c>
    </row>
    <row r="2868" spans="1:17" s="1766" customFormat="1" ht="12.75" customHeight="1">
      <c r="A2868" s="1771"/>
      <c r="B2868" s="895">
        <v>1</v>
      </c>
      <c r="C2868" s="721" t="str">
        <f>VLOOKUP(D2868,base_datos,6,FALSE)</f>
        <v>ITM Caja Moldeada 3x40A (reg.[0.7-1.0] In) - XT2N160-40A-3P-TMA - 65kA@230Vac, 36kA@415Vac - marca ABB.</v>
      </c>
      <c r="D2868" s="2295" t="s">
        <v>863</v>
      </c>
      <c r="E2868" s="1580">
        <f>VLOOKUP(D2868,base_datos,5,FALSE)</f>
        <v>207</v>
      </c>
      <c r="F2868" s="1581">
        <f>+E2868*B2868</f>
        <v>207</v>
      </c>
      <c r="G2868" s="861"/>
      <c r="H2868" s="861"/>
      <c r="I2868" s="861"/>
      <c r="J2868" s="1762"/>
      <c r="K2868" s="684">
        <f t="shared" si="2523"/>
        <v>1</v>
      </c>
      <c r="L2868" s="708">
        <v>1</v>
      </c>
      <c r="M2868" s="709">
        <f t="shared" si="2524"/>
        <v>1</v>
      </c>
      <c r="N2868" s="1905">
        <f t="shared" si="2538"/>
        <v>1</v>
      </c>
      <c r="O2868" s="320" t="str">
        <f t="shared" si="2536"/>
        <v>1SDA067014R1</v>
      </c>
      <c r="P2868" s="320" t="str">
        <f t="shared" si="2537"/>
        <v>ITM Caja Moldeada 3x40A (reg.[0.7-1.0] In) - XT2N160-40A-3P-TMA - 65kA@230Vac, 36kA@415Vac - marca ABB.</v>
      </c>
      <c r="Q2868" s="185" t="str">
        <f t="shared" si="2517"/>
        <v>XT2N160-40A-3P-TMA</v>
      </c>
    </row>
    <row r="2869" spans="1:17" s="185" customFormat="1" ht="12.75" customHeight="1">
      <c r="A2869" s="1771"/>
      <c r="B2869" s="1906"/>
      <c r="C2869" s="2124" t="s">
        <v>729</v>
      </c>
      <c r="D2869" s="2017"/>
      <c r="E2869" s="1786"/>
      <c r="F2869" s="2029"/>
      <c r="G2869" s="710"/>
      <c r="H2869" s="710"/>
      <c r="I2869" s="710"/>
      <c r="J2869" s="832"/>
      <c r="K2869" s="709">
        <f t="shared" si="2523"/>
        <v>1</v>
      </c>
      <c r="L2869" s="708">
        <v>1</v>
      </c>
      <c r="M2869" s="709">
        <f>IF(B2869="",1,B2869)</f>
        <v>1</v>
      </c>
      <c r="N2869" s="1905" t="str">
        <f t="shared" si="2538"/>
        <v/>
      </c>
      <c r="O2869" s="320" t="str">
        <f>IF(D2869&lt;&gt;"",IF(VLOOKUP(D2869,base_datos,7,FALSE)&lt;&gt;"",VLOOKUP(D2869,base_datos,7,FALSE),""),"")</f>
        <v/>
      </c>
      <c r="P2869" s="320" t="str">
        <f>IF(O2869&lt;&gt;"",VLOOKUP(D2869,base_datos,6,FALSE),"")</f>
        <v/>
      </c>
      <c r="Q2869" s="185" t="str">
        <f t="shared" si="2517"/>
        <v/>
      </c>
    </row>
    <row r="2870" spans="1:17" s="185" customFormat="1" ht="12.75" customHeight="1">
      <c r="A2870" s="1771"/>
      <c r="B2870" s="895">
        <v>1</v>
      </c>
      <c r="C2870" s="721" t="str">
        <f>VLOOKUP(D2870,base_datos,6,FALSE)</f>
        <v>MIR-H - XT1, XT2, XT3, XT4 - Grupo armazón para enclavamiento horizontal - marca ABB.</v>
      </c>
      <c r="D2870" s="550" t="s">
        <v>2258</v>
      </c>
      <c r="E2870" s="1580">
        <f>VLOOKUP(D2870,base_datos,5,FALSE)</f>
        <v>248.57999999999998</v>
      </c>
      <c r="F2870" s="1581">
        <f>+E2870*B2870</f>
        <v>248.57999999999998</v>
      </c>
      <c r="G2870" s="710"/>
      <c r="H2870" s="710"/>
      <c r="I2870" s="710"/>
      <c r="J2870" s="711"/>
      <c r="K2870" s="684">
        <f t="shared" si="2523"/>
        <v>1</v>
      </c>
      <c r="L2870" s="708">
        <v>1</v>
      </c>
      <c r="M2870" s="709">
        <f>IF(B2870="",1,B2870)</f>
        <v>1</v>
      </c>
      <c r="N2870" s="1905">
        <f t="shared" si="2538"/>
        <v>1</v>
      </c>
      <c r="O2870" s="320" t="str">
        <f>IF(D2870&lt;&gt;"",IF(VLOOKUP(D2870,base_datos,7,FALSE)&lt;&gt;"",VLOOKUP(D2870,base_datos,7,FALSE),""),"")</f>
        <v>1SDA066637R1</v>
      </c>
      <c r="P2870" s="320" t="str">
        <f>IF(O2870&lt;&gt;"",VLOOKUP(D2870,base_datos,6,FALSE),"")</f>
        <v>MIR-H - XT1, XT2, XT3, XT4 - Grupo armazón para enclavamiento horizontal - marca ABB.</v>
      </c>
      <c r="Q2870" s="185" t="str">
        <f t="shared" si="2517"/>
        <v>MIR-H_XT1-XT4</v>
      </c>
    </row>
    <row r="2871" spans="1:17" s="185" customFormat="1" ht="12.75" customHeight="1">
      <c r="A2871" s="1771"/>
      <c r="B2871" s="895">
        <v>1</v>
      </c>
      <c r="C2871" s="721" t="str">
        <f>VLOOKUP(D2871,base_datos,6,FALSE)</f>
        <v>Placa para enclavamiento XT2 (F) - marca ABB.</v>
      </c>
      <c r="D2871" s="550" t="s">
        <v>2270</v>
      </c>
      <c r="E2871" s="1580">
        <f>VLOOKUP(D2871,base_datos,5,FALSE)</f>
        <v>36.559999999999995</v>
      </c>
      <c r="F2871" s="1581">
        <f>+E2871*B2871</f>
        <v>36.559999999999995</v>
      </c>
      <c r="G2871" s="710"/>
      <c r="H2871" s="710"/>
      <c r="I2871" s="710"/>
      <c r="J2871" s="711"/>
      <c r="K2871" s="684">
        <f t="shared" si="2523"/>
        <v>1</v>
      </c>
      <c r="L2871" s="708">
        <v>1</v>
      </c>
      <c r="M2871" s="709">
        <f>IF(B2871="",1,B2871)</f>
        <v>1</v>
      </c>
      <c r="N2871" s="1905">
        <f t="shared" si="2538"/>
        <v>1</v>
      </c>
      <c r="O2871" s="320" t="str">
        <f>IF(D2871&lt;&gt;"",IF(VLOOKUP(D2871,base_datos,7,FALSE)&lt;&gt;"",VLOOKUP(D2871,base_datos,7,FALSE),""),"")</f>
        <v>1SDA066641R1</v>
      </c>
      <c r="P2871" s="320" t="str">
        <f>IF(O2871&lt;&gt;"",VLOOKUP(D2871,base_datos,6,FALSE),"")</f>
        <v>Placa para enclavamiento XT2 (F) - marca ABB.</v>
      </c>
      <c r="Q2871" s="185" t="str">
        <f t="shared" si="2517"/>
        <v>MIR-P_XT2-F</v>
      </c>
    </row>
    <row r="2872" spans="1:17" s="185" customFormat="1" ht="12.75" customHeight="1">
      <c r="A2872" s="1771"/>
      <c r="B2872" s="895">
        <v>1</v>
      </c>
      <c r="C2872" s="721" t="str">
        <f>VLOOKUP(D2872,base_datos,6,FALSE)</f>
        <v>Placa para enclavamiento XT2 (F) - marca ABB.</v>
      </c>
      <c r="D2872" s="550" t="s">
        <v>2270</v>
      </c>
      <c r="E2872" s="1580">
        <f>VLOOKUP(D2872,base_datos,5,FALSE)</f>
        <v>36.559999999999995</v>
      </c>
      <c r="F2872" s="1581">
        <f>+E2872*B2872</f>
        <v>36.559999999999995</v>
      </c>
      <c r="G2872" s="710"/>
      <c r="H2872" s="710"/>
      <c r="I2872" s="710"/>
      <c r="J2872" s="711"/>
      <c r="K2872" s="684">
        <f t="shared" si="2523"/>
        <v>1</v>
      </c>
      <c r="L2872" s="708">
        <v>1</v>
      </c>
      <c r="M2872" s="709">
        <f>IF(B2872="",1,B2872)</f>
        <v>1</v>
      </c>
      <c r="N2872" s="1905">
        <f t="shared" si="2538"/>
        <v>1</v>
      </c>
      <c r="O2872" s="320" t="str">
        <f>IF(D2872&lt;&gt;"",IF(VLOOKUP(D2872,base_datos,7,FALSE)&lt;&gt;"",VLOOKUP(D2872,base_datos,7,FALSE),""),"")</f>
        <v>1SDA066641R1</v>
      </c>
      <c r="P2872" s="320" t="str">
        <f>IF(O2872&lt;&gt;"",VLOOKUP(D2872,base_datos,6,FALSE),"")</f>
        <v>Placa para enclavamiento XT2 (F) - marca ABB.</v>
      </c>
      <c r="Q2872" s="185" t="str">
        <f t="shared" si="2517"/>
        <v>MIR-P_XT2-F</v>
      </c>
    </row>
    <row r="2873" spans="1:17" s="315" customFormat="1" ht="12.75" customHeight="1">
      <c r="A2873" s="2144"/>
      <c r="B2873" s="1906"/>
      <c r="C2873" s="2124" t="s">
        <v>729</v>
      </c>
      <c r="D2873" s="2017"/>
      <c r="E2873" s="1786"/>
      <c r="F2873" s="1971"/>
      <c r="G2873" s="712"/>
      <c r="H2873" s="712"/>
      <c r="I2873" s="712"/>
      <c r="J2873" s="713"/>
      <c r="K2873" s="684">
        <f t="shared" si="2523"/>
        <v>1</v>
      </c>
      <c r="L2873" s="708">
        <v>1</v>
      </c>
      <c r="M2873" s="709">
        <f>IF(B2873="",1,B2873)</f>
        <v>1</v>
      </c>
      <c r="N2873" s="1905" t="str">
        <f t="shared" si="2538"/>
        <v/>
      </c>
      <c r="O2873" s="320" t="str">
        <f>IF(D2873&lt;&gt;"",IF(VLOOKUP(D2873,base_datos,7,FALSE)&lt;&gt;"",VLOOKUP(D2873,base_datos,7,FALSE),""),"")</f>
        <v/>
      </c>
      <c r="P2873" s="320" t="str">
        <f>IF(O2873&lt;&gt;"",VLOOKUP(D2873,base_datos,6,FALSE),"")</f>
        <v/>
      </c>
      <c r="Q2873" s="185" t="str">
        <f t="shared" si="2517"/>
        <v/>
      </c>
    </row>
    <row r="2874" spans="1:17" s="315" customFormat="1" ht="12.75" customHeight="1">
      <c r="A2874" s="2144"/>
      <c r="B2874" s="895">
        <v>2</v>
      </c>
      <c r="C2874" s="721" t="str">
        <f>VLOOKUP(D2874,base_datos,6,FALSE)</f>
        <v>Mando motor con energía acumulada (MOE) - para XT2/XT4 - 220-250V AC/DC - (YM+YO+YC) - marca ABB.</v>
      </c>
      <c r="D2874" s="550" t="s">
        <v>1368</v>
      </c>
      <c r="E2874" s="1580">
        <f>VLOOKUP(D2874,base_datos,5,FALSE)</f>
        <v>595.84</v>
      </c>
      <c r="F2874" s="1581">
        <f>+E2874*B2874</f>
        <v>1191.68</v>
      </c>
      <c r="G2874" s="712"/>
      <c r="H2874" s="712"/>
      <c r="I2874" s="712"/>
      <c r="J2874" s="713"/>
      <c r="K2874" s="684">
        <f t="shared" si="2523"/>
        <v>1</v>
      </c>
      <c r="L2874" s="708">
        <v>1</v>
      </c>
      <c r="M2874" s="709">
        <f t="shared" ref="M2874:M2882" si="2541">IF(B2874="",1,B2874)</f>
        <v>2</v>
      </c>
      <c r="N2874" s="1905">
        <f t="shared" si="2538"/>
        <v>2</v>
      </c>
      <c r="O2874" s="185" t="str">
        <f t="shared" ref="O2874:O2882" si="2542">IF(D2874&lt;&gt;"",IF(VLOOKUP(D2874,base_datos,7,FALSE)&lt;&gt;"",VLOOKUP(D2874,base_datos,7,FALSE),""),"")</f>
        <v>1SDA066466R1</v>
      </c>
      <c r="P2874" s="185" t="str">
        <f t="shared" ref="P2874:P2882" si="2543">IF(O2874&lt;&gt;"",VLOOKUP(D2874,base_datos,6,FALSE),"")</f>
        <v>Mando motor con energía acumulada (MOE) - para XT2/XT4 - 220-250V AC/DC - (YM+YO+YC) - marca ABB.</v>
      </c>
      <c r="Q2874" s="185" t="str">
        <f t="shared" si="2517"/>
        <v>MOE_XT2-XT4</v>
      </c>
    </row>
    <row r="2875" spans="1:17" s="315" customFormat="1" ht="12.75" customHeight="1">
      <c r="A2875" s="2144"/>
      <c r="B2875" s="895">
        <v>4</v>
      </c>
      <c r="C2875" s="721" t="str">
        <f>VLOOKUP(D2875,base_datos,6,FALSE)</f>
        <v>1(Q) contacto conmutado de estado (NA/NC) / 1(SY) contacto por disparo de interruptor - XT1..XT4 - versión no cableada - marca ABB.</v>
      </c>
      <c r="D2875" s="550" t="s">
        <v>3240</v>
      </c>
      <c r="E2875" s="1580">
        <f>VLOOKUP(D2875,base_datos,5,FALSE)</f>
        <v>43.169999999999995</v>
      </c>
      <c r="F2875" s="1581">
        <f>+E2875*B2875</f>
        <v>172.67999999999998</v>
      </c>
      <c r="G2875" s="712"/>
      <c r="H2875" s="712"/>
      <c r="I2875" s="712"/>
      <c r="J2875" s="713"/>
      <c r="K2875" s="684">
        <f t="shared" si="2523"/>
        <v>1</v>
      </c>
      <c r="L2875" s="708">
        <v>1</v>
      </c>
      <c r="M2875" s="709">
        <f t="shared" si="2541"/>
        <v>4</v>
      </c>
      <c r="N2875" s="1905">
        <f t="shared" si="2538"/>
        <v>4</v>
      </c>
      <c r="O2875" s="185" t="str">
        <f t="shared" si="2542"/>
        <v>1SDA066422R1</v>
      </c>
      <c r="P2875" s="185" t="str">
        <f t="shared" si="2543"/>
        <v>1(Q) contacto conmutado de estado (NA/NC) / 1(SY) contacto por disparo de interruptor - XT1..XT4 - versión no cableada - marca ABB.</v>
      </c>
      <c r="Q2875" s="185" t="str">
        <f t="shared" si="2517"/>
        <v>1Q/1SY_XT1..XT4</v>
      </c>
    </row>
    <row r="2876" spans="1:17" s="315" customFormat="1" ht="12.75" customHeight="1">
      <c r="A2876" s="2144"/>
      <c r="B2876" s="714"/>
      <c r="C2876" s="2124" t="s">
        <v>729</v>
      </c>
      <c r="D2876" s="2018"/>
      <c r="E2876" s="1786"/>
      <c r="F2876" s="1787"/>
      <c r="G2876" s="712"/>
      <c r="H2876" s="712"/>
      <c r="I2876" s="712"/>
      <c r="J2876" s="713"/>
      <c r="K2876" s="684">
        <f t="shared" si="2523"/>
        <v>1</v>
      </c>
      <c r="L2876" s="708">
        <v>1</v>
      </c>
      <c r="M2876" s="709">
        <f t="shared" si="2541"/>
        <v>1</v>
      </c>
      <c r="N2876" s="1905" t="str">
        <f t="shared" si="2538"/>
        <v/>
      </c>
      <c r="O2876" s="185" t="str">
        <f t="shared" si="2542"/>
        <v/>
      </c>
      <c r="P2876" s="185" t="str">
        <f t="shared" si="2543"/>
        <v/>
      </c>
      <c r="Q2876" s="185" t="str">
        <f t="shared" si="2517"/>
        <v/>
      </c>
    </row>
    <row r="2877" spans="1:17" s="315" customFormat="1" ht="12.75" customHeight="1">
      <c r="A2877" s="2027"/>
      <c r="B2877" s="895">
        <v>1</v>
      </c>
      <c r="C2877" s="721" t="str">
        <f>VLOOKUP(D2877,base_datos,6,FALSE)</f>
        <v>Controlador de Conmutación Automática ATS022 - pantalla digital, con módulo de com. Modbus-RS485 para monitoreo - marca ABB.</v>
      </c>
      <c r="D2877" s="550" t="s">
        <v>754</v>
      </c>
      <c r="E2877" s="1580">
        <f>VLOOKUP(D2877,base_datos,5,FALSE)</f>
        <v>1342.96</v>
      </c>
      <c r="F2877" s="1581">
        <f>+E2877*B2877</f>
        <v>1342.96</v>
      </c>
      <c r="G2877" s="710"/>
      <c r="H2877" s="710"/>
      <c r="I2877" s="710"/>
      <c r="J2877" s="832"/>
      <c r="K2877" s="684">
        <f t="shared" si="2523"/>
        <v>1</v>
      </c>
      <c r="L2877" s="708">
        <v>1</v>
      </c>
      <c r="M2877" s="709">
        <f t="shared" si="2541"/>
        <v>1</v>
      </c>
      <c r="N2877" s="1905">
        <f t="shared" si="2538"/>
        <v>1</v>
      </c>
      <c r="O2877" s="185" t="str">
        <f t="shared" si="2542"/>
        <v>1SDA065524R1</v>
      </c>
      <c r="P2877" s="185" t="str">
        <f t="shared" si="2543"/>
        <v>Controlador de Conmutación Automática ATS022 - pantalla digital, con módulo de com. Modbus-RS485 para monitoreo - marca ABB.</v>
      </c>
      <c r="Q2877" s="185" t="str">
        <f t="shared" si="2517"/>
        <v>ATS022</v>
      </c>
    </row>
    <row r="2878" spans="1:17" s="185" customFormat="1" ht="12.75" customHeight="1">
      <c r="A2878" s="1785"/>
      <c r="B2878" s="895">
        <v>2</v>
      </c>
      <c r="C2878" s="721" t="str">
        <f>VLOOKUP(D2878,base_datos,6,FALSE)</f>
        <v>ITM Riel-Din 3x10A - S203-C-10A - 10kA@400Vac-IEC60947-2 - marca ABB.</v>
      </c>
      <c r="D2878" s="2150" t="s">
        <v>1964</v>
      </c>
      <c r="E2878" s="1580">
        <f>VLOOKUP(D2878,base_datos,5,FALSE)</f>
        <v>32.72</v>
      </c>
      <c r="F2878" s="1581">
        <f>+E2878*B2878</f>
        <v>65.44</v>
      </c>
      <c r="G2878" s="710"/>
      <c r="H2878" s="710"/>
      <c r="I2878" s="710"/>
      <c r="J2878" s="711"/>
      <c r="K2878" s="684">
        <f t="shared" si="2523"/>
        <v>1</v>
      </c>
      <c r="L2878" s="708">
        <v>1</v>
      </c>
      <c r="M2878" s="709">
        <f t="shared" si="2541"/>
        <v>2</v>
      </c>
      <c r="N2878" s="1905">
        <f t="shared" si="2538"/>
        <v>2</v>
      </c>
      <c r="O2878" s="320" t="str">
        <f t="shared" si="2542"/>
        <v>2CDS253001R0104</v>
      </c>
      <c r="P2878" s="320" t="str">
        <f t="shared" si="2543"/>
        <v>ITM Riel-Din 3x10A - S203-C-10A - 10kA@400Vac-IEC60947-2 - marca ABB.</v>
      </c>
      <c r="Q2878" s="185" t="str">
        <f t="shared" si="2517"/>
        <v>S203-C-10A</v>
      </c>
    </row>
    <row r="2879" spans="1:17" s="185" customFormat="1" ht="12.75" customHeight="1">
      <c r="A2879" s="1785"/>
      <c r="B2879" s="895">
        <v>1</v>
      </c>
      <c r="C2879" s="721" t="str">
        <f>VLOOKUP(D2879,base_datos,6,FALSE)</f>
        <v>Minicontactor de control DILER-22 / XTRM10A22B, 10A, 2NA+2NC, bobina 220Vac, marca EATON.</v>
      </c>
      <c r="D2879" s="2150" t="s">
        <v>773</v>
      </c>
      <c r="E2879" s="1580">
        <f>VLOOKUP(D2879,base_datos,5,FALSE)</f>
        <v>35</v>
      </c>
      <c r="F2879" s="1581">
        <f>+E2879*B2879</f>
        <v>35</v>
      </c>
      <c r="G2879" s="710"/>
      <c r="H2879" s="710"/>
      <c r="I2879" s="710"/>
      <c r="J2879" s="711"/>
      <c r="K2879" s="684">
        <f t="shared" si="2523"/>
        <v>1</v>
      </c>
      <c r="L2879" s="708">
        <v>1</v>
      </c>
      <c r="M2879" s="709">
        <f t="shared" si="2541"/>
        <v>1</v>
      </c>
      <c r="N2879" s="1905">
        <f t="shared" si="2538"/>
        <v>1</v>
      </c>
      <c r="O2879" s="320" t="str">
        <f t="shared" si="2542"/>
        <v>XTRM10A22B</v>
      </c>
      <c r="P2879" s="320" t="str">
        <f t="shared" si="2543"/>
        <v>Minicontactor de control DILER-22 / XTRM10A22B, 10A, 2NA+2NC, bobina 220Vac, marca EATON.</v>
      </c>
      <c r="Q2879" s="185" t="str">
        <f t="shared" si="2517"/>
        <v>XTRM10A22B</v>
      </c>
    </row>
    <row r="2880" spans="1:17" s="185" customFormat="1" ht="12.75" customHeight="1">
      <c r="A2880" s="1785"/>
      <c r="B2880" s="2153">
        <v>24</v>
      </c>
      <c r="C2880" s="721" t="str">
        <f>VLOOKUP(D2880,base_datos,6,FALSE)</f>
        <v>Borne 4mm2.</v>
      </c>
      <c r="D2880" s="2152" t="s">
        <v>437</v>
      </c>
      <c r="E2880" s="1580">
        <f>VLOOKUP(D2880,base_datos,5,FALSE)</f>
        <v>2.5</v>
      </c>
      <c r="F2880" s="1580">
        <f>+E2880*B2880</f>
        <v>60</v>
      </c>
      <c r="G2880" s="710"/>
      <c r="H2880" s="710"/>
      <c r="I2880" s="710"/>
      <c r="J2880" s="711"/>
      <c r="K2880" s="684">
        <f t="shared" si="2523"/>
        <v>1</v>
      </c>
      <c r="L2880" s="708">
        <v>1</v>
      </c>
      <c r="M2880" s="709">
        <f t="shared" si="2541"/>
        <v>24</v>
      </c>
      <c r="N2880" s="1905" t="str">
        <f t="shared" si="2538"/>
        <v/>
      </c>
      <c r="O2880" s="320" t="str">
        <f t="shared" si="2542"/>
        <v/>
      </c>
      <c r="P2880" s="320" t="str">
        <f t="shared" si="2543"/>
        <v/>
      </c>
      <c r="Q2880" s="185" t="str">
        <f t="shared" si="2517"/>
        <v/>
      </c>
    </row>
    <row r="2881" spans="1:18" s="185" customFormat="1" ht="12.75" customHeight="1">
      <c r="A2881" s="1785"/>
      <c r="B2881" s="2153">
        <v>4</v>
      </c>
      <c r="C2881" s="721" t="str">
        <f>VLOOKUP(D2881,base_datos,6,FALSE)</f>
        <v>Rele auxiliar enchufable +4NA/NC (D2PR4B + base D2PA6), 220Vac - marca EATON.</v>
      </c>
      <c r="D2881" s="2152" t="s">
        <v>772</v>
      </c>
      <c r="E2881" s="1580">
        <f>VLOOKUP(D2881,base_datos,5,FALSE)</f>
        <v>27</v>
      </c>
      <c r="F2881" s="1580">
        <f>+E2881*B2881</f>
        <v>108</v>
      </c>
      <c r="G2881" s="710"/>
      <c r="H2881" s="710"/>
      <c r="I2881" s="710"/>
      <c r="J2881" s="711"/>
      <c r="K2881" s="684">
        <f t="shared" si="2523"/>
        <v>1</v>
      </c>
      <c r="L2881" s="708">
        <v>1</v>
      </c>
      <c r="M2881" s="709">
        <f t="shared" si="2541"/>
        <v>4</v>
      </c>
      <c r="N2881" s="1905">
        <f t="shared" si="2538"/>
        <v>4</v>
      </c>
      <c r="O2881" s="320" t="str">
        <f t="shared" si="2542"/>
        <v>D2PR4B+D2PA6</v>
      </c>
      <c r="P2881" s="320" t="str">
        <f t="shared" si="2543"/>
        <v>Rele auxiliar enchufable +4NA/NC (D2PR4B + base D2PA6), 220Vac - marca EATON.</v>
      </c>
      <c r="Q2881" s="185" t="str">
        <f t="shared" si="2517"/>
        <v>D2PR4B+D2PA6</v>
      </c>
    </row>
    <row r="2882" spans="1:18" s="315" customFormat="1" ht="12.75" customHeight="1">
      <c r="A2882" s="1785"/>
      <c r="B2882" s="1977"/>
      <c r="C2882" s="2123" t="s">
        <v>729</v>
      </c>
      <c r="D2882" s="2018"/>
      <c r="E2882" s="1786"/>
      <c r="F2882" s="1787"/>
      <c r="G2882" s="712"/>
      <c r="H2882" s="712"/>
      <c r="I2882" s="712"/>
      <c r="J2882" s="713"/>
      <c r="K2882" s="684">
        <f t="shared" si="2523"/>
        <v>1</v>
      </c>
      <c r="L2882" s="708">
        <v>1</v>
      </c>
      <c r="M2882" s="709">
        <f t="shared" si="2541"/>
        <v>1</v>
      </c>
      <c r="N2882" s="1905" t="str">
        <f t="shared" si="2538"/>
        <v/>
      </c>
      <c r="O2882" s="320" t="str">
        <f t="shared" si="2542"/>
        <v/>
      </c>
      <c r="P2882" s="320" t="str">
        <f t="shared" si="2543"/>
        <v/>
      </c>
      <c r="Q2882" s="185" t="str">
        <f t="shared" si="2517"/>
        <v/>
      </c>
    </row>
    <row r="2883" spans="1:18" s="1766" customFormat="1" ht="18" customHeight="1">
      <c r="A2883" s="687"/>
      <c r="B2883" s="1769"/>
      <c r="C2883" s="1770" t="s">
        <v>11663</v>
      </c>
      <c r="D2883" s="1901"/>
      <c r="E2883" s="1581"/>
      <c r="F2883" s="1581"/>
      <c r="G2883" s="1761"/>
      <c r="H2883" s="1761"/>
      <c r="I2883" s="1761"/>
      <c r="J2883" s="1762"/>
      <c r="K2883" s="684">
        <f t="shared" si="2523"/>
        <v>1</v>
      </c>
      <c r="L2883" s="708">
        <v>1</v>
      </c>
      <c r="M2883" s="684">
        <f t="shared" si="2519"/>
        <v>1</v>
      </c>
      <c r="N2883" s="362" t="str">
        <f t="shared" si="2514"/>
        <v/>
      </c>
      <c r="O2883" s="1763" t="str">
        <f t="shared" si="2515"/>
        <v/>
      </c>
      <c r="P2883" s="1764" t="str">
        <f t="shared" si="2516"/>
        <v/>
      </c>
      <c r="Q2883" s="120" t="str">
        <f t="shared" si="2517"/>
        <v/>
      </c>
      <c r="R2883" s="1765"/>
    </row>
    <row r="2884" spans="1:18" s="1766" customFormat="1" ht="18" customHeight="1">
      <c r="A2884" s="687"/>
      <c r="B2884" s="1760">
        <v>1</v>
      </c>
      <c r="C2884" s="1892" t="str">
        <f t="shared" ref="C2884:C2888" si="2544">VLOOKUP(D2884,base_datos,6,FALSE)</f>
        <v>Analizador de Redes DIRIS-A30 - precisión (V, I) 0.2%, precisión de energía activa / reactiva: clase 0,5S / clase 2 - marca SOCOMEC.</v>
      </c>
      <c r="D2884" s="1898" t="s">
        <v>12164</v>
      </c>
      <c r="E2884" s="1581">
        <f t="shared" ref="E2884:E2888" si="2545">VLOOKUP(D2884,base_datos,5,FALSE)</f>
        <v>633.64</v>
      </c>
      <c r="F2884" s="1581">
        <f t="shared" ref="F2884:F2888" si="2546">+E2884*B2884</f>
        <v>633.64</v>
      </c>
      <c r="G2884" s="1761"/>
      <c r="H2884" s="1761"/>
      <c r="I2884" s="1761"/>
      <c r="J2884" s="1762"/>
      <c r="K2884" s="684">
        <f t="shared" si="2523"/>
        <v>1</v>
      </c>
      <c r="L2884" s="708">
        <v>1</v>
      </c>
      <c r="M2884" s="684">
        <f t="shared" si="2519"/>
        <v>1</v>
      </c>
      <c r="N2884" s="362">
        <f t="shared" si="2514"/>
        <v>1</v>
      </c>
      <c r="O2884" s="1763" t="str">
        <f t="shared" si="2515"/>
        <v>4825 0403</v>
      </c>
      <c r="P2884" s="1764" t="str">
        <f t="shared" si="2516"/>
        <v>Analizador de Redes DIRIS-A30 - precisión (V, I) 0.2%, precisión de energía activa / reactiva: clase 0,5S / clase 2 - marca SOCOMEC.</v>
      </c>
      <c r="Q2884" s="120" t="str">
        <f t="shared" si="2517"/>
        <v>DIRIS-A30</v>
      </c>
      <c r="R2884" s="1765"/>
    </row>
    <row r="2885" spans="1:18" s="1766" customFormat="1" ht="18" customHeight="1">
      <c r="A2885" s="687"/>
      <c r="B2885" s="1760">
        <v>1</v>
      </c>
      <c r="C2885" s="1990" t="str">
        <f t="shared" si="2544"/>
        <v>Módulo de comunicación RS 485 MODBUS, para Analizador de Red, DIRIS-A30, marca SOCOMEC.</v>
      </c>
      <c r="D2885" s="144" t="s">
        <v>12166</v>
      </c>
      <c r="E2885" s="1581">
        <f t="shared" si="2545"/>
        <v>115.64</v>
      </c>
      <c r="F2885" s="1581">
        <f t="shared" si="2546"/>
        <v>115.64</v>
      </c>
      <c r="G2885" s="1761"/>
      <c r="H2885" s="1761"/>
      <c r="I2885" s="1761"/>
      <c r="J2885" s="1762"/>
      <c r="K2885" s="684">
        <f t="shared" si="2523"/>
        <v>1</v>
      </c>
      <c r="L2885" s="708">
        <v>1</v>
      </c>
      <c r="M2885" s="709">
        <f t="shared" si="2519"/>
        <v>1</v>
      </c>
      <c r="N2885" s="362">
        <f t="shared" si="2514"/>
        <v>1</v>
      </c>
      <c r="O2885" s="1763" t="str">
        <f t="shared" si="2515"/>
        <v>4825 0092</v>
      </c>
      <c r="P2885" s="1764" t="str">
        <f t="shared" si="2516"/>
        <v>Módulo de comunicación RS 485 MODBUS, para Analizador de Red, DIRIS-A30, marca SOCOMEC.</v>
      </c>
      <c r="Q2885" s="120" t="str">
        <f t="shared" si="2517"/>
        <v>DIRIS-A30/Com</v>
      </c>
      <c r="R2885" s="1765"/>
    </row>
    <row r="2886" spans="1:18" s="1766" customFormat="1" ht="18" customHeight="1">
      <c r="A2886" s="687"/>
      <c r="B2886" s="1760">
        <f>3*B2884</f>
        <v>3</v>
      </c>
      <c r="C2886" s="1892" t="str">
        <f t="shared" si="2544"/>
        <v>Transformador de corriente de 100/5A</v>
      </c>
      <c r="D2886" s="1899" t="s">
        <v>143</v>
      </c>
      <c r="E2886" s="1581">
        <f t="shared" si="2545"/>
        <v>65</v>
      </c>
      <c r="F2886" s="1581">
        <f t="shared" si="2546"/>
        <v>195</v>
      </c>
      <c r="G2886" s="1761"/>
      <c r="H2886" s="1761"/>
      <c r="I2886" s="1761"/>
      <c r="J2886" s="1762"/>
      <c r="K2886" s="684">
        <f t="shared" ref="K2886:K2909" si="2547">K2885</f>
        <v>1</v>
      </c>
      <c r="L2886" s="708">
        <v>1</v>
      </c>
      <c r="M2886" s="684">
        <f t="shared" si="2519"/>
        <v>3</v>
      </c>
      <c r="N2886" s="362" t="str">
        <f t="shared" si="2514"/>
        <v/>
      </c>
      <c r="O2886" s="1763" t="str">
        <f t="shared" si="2515"/>
        <v/>
      </c>
      <c r="P2886" s="1764" t="str">
        <f t="shared" si="2516"/>
        <v/>
      </c>
      <c r="Q2886" s="120" t="str">
        <f t="shared" si="2517"/>
        <v/>
      </c>
      <c r="R2886" s="1765"/>
    </row>
    <row r="2887" spans="1:18" s="1766" customFormat="1" ht="18" customHeight="1">
      <c r="A2887" s="687"/>
      <c r="B2887" s="1760">
        <f>5*B2884</f>
        <v>5</v>
      </c>
      <c r="C2887" s="1892" t="str">
        <f t="shared" si="2544"/>
        <v>Base portafusibles + Fusibles de protección para control.</v>
      </c>
      <c r="D2887" s="1899" t="s">
        <v>453</v>
      </c>
      <c r="E2887" s="1581">
        <f t="shared" si="2545"/>
        <v>8.1750000000000007</v>
      </c>
      <c r="F2887" s="1581">
        <f t="shared" si="2546"/>
        <v>40.875</v>
      </c>
      <c r="G2887" s="1761"/>
      <c r="H2887" s="1761"/>
      <c r="I2887" s="1761"/>
      <c r="J2887" s="1762"/>
      <c r="K2887" s="684">
        <f t="shared" si="2547"/>
        <v>1</v>
      </c>
      <c r="L2887" s="708">
        <v>1</v>
      </c>
      <c r="M2887" s="684">
        <f t="shared" si="2519"/>
        <v>5</v>
      </c>
      <c r="N2887" s="362" t="str">
        <f t="shared" si="2514"/>
        <v/>
      </c>
      <c r="O2887" s="1763" t="str">
        <f t="shared" si="2515"/>
        <v/>
      </c>
      <c r="P2887" s="1764" t="str">
        <f t="shared" si="2516"/>
        <v/>
      </c>
      <c r="Q2887" s="120" t="str">
        <f t="shared" si="2517"/>
        <v/>
      </c>
      <c r="R2887" s="1765"/>
    </row>
    <row r="2888" spans="1:18" s="1766" customFormat="1" ht="18" customHeight="1">
      <c r="A2888" s="1771"/>
      <c r="B2888" s="1760">
        <f>6*B2884</f>
        <v>6</v>
      </c>
      <c r="C2888" s="1892" t="str">
        <f t="shared" si="2544"/>
        <v>Bornes seccionables de corriente.</v>
      </c>
      <c r="D2888" s="1899" t="s">
        <v>435</v>
      </c>
      <c r="E2888" s="1581">
        <f t="shared" si="2545"/>
        <v>12</v>
      </c>
      <c r="F2888" s="1581">
        <f t="shared" si="2546"/>
        <v>72</v>
      </c>
      <c r="G2888" s="1761"/>
      <c r="H2888" s="1761"/>
      <c r="I2888" s="1761"/>
      <c r="J2888" s="1762"/>
      <c r="K2888" s="684">
        <f t="shared" si="2547"/>
        <v>1</v>
      </c>
      <c r="L2888" s="708">
        <v>1</v>
      </c>
      <c r="M2888" s="684">
        <f t="shared" si="2519"/>
        <v>6</v>
      </c>
      <c r="N2888" s="362" t="str">
        <f t="shared" si="2514"/>
        <v/>
      </c>
      <c r="O2888" s="1763" t="str">
        <f t="shared" si="2515"/>
        <v/>
      </c>
      <c r="P2888" s="1764" t="str">
        <f t="shared" si="2516"/>
        <v/>
      </c>
      <c r="Q2888" s="120" t="str">
        <f t="shared" si="2517"/>
        <v/>
      </c>
      <c r="R2888" s="1765"/>
    </row>
    <row r="2889" spans="1:18" s="120" customFormat="1" ht="18" customHeight="1">
      <c r="A2889" s="1767"/>
      <c r="B2889" s="1925"/>
      <c r="C2889" s="1926" t="s">
        <v>729</v>
      </c>
      <c r="D2889" s="1927"/>
      <c r="E2889" s="1891"/>
      <c r="F2889" s="1789"/>
      <c r="G2889" s="686"/>
      <c r="H2889" s="686"/>
      <c r="I2889" s="686"/>
      <c r="J2889" s="1768"/>
      <c r="K2889" s="684">
        <f t="shared" si="2547"/>
        <v>1</v>
      </c>
      <c r="L2889" s="363">
        <v>1</v>
      </c>
      <c r="M2889" s="684">
        <f t="shared" si="2519"/>
        <v>1</v>
      </c>
      <c r="N2889" s="362" t="str">
        <f t="shared" si="2514"/>
        <v/>
      </c>
      <c r="O2889" s="1763" t="str">
        <f t="shared" si="2515"/>
        <v/>
      </c>
      <c r="P2889" s="1764" t="str">
        <f t="shared" si="2516"/>
        <v/>
      </c>
      <c r="Q2889" s="120" t="str">
        <f t="shared" si="2517"/>
        <v/>
      </c>
    </row>
    <row r="2890" spans="1:18" s="690" customFormat="1" ht="18" customHeight="1">
      <c r="A2890" s="2073"/>
      <c r="B2890" s="1851"/>
      <c r="C2890" s="1894" t="s">
        <v>3377</v>
      </c>
      <c r="D2890" s="1582"/>
      <c r="E2890" s="1780"/>
      <c r="F2890" s="1782"/>
      <c r="G2890" s="1761"/>
      <c r="H2890" s="1761"/>
      <c r="I2890" s="1761"/>
      <c r="J2890" s="689"/>
      <c r="K2890" s="684">
        <f t="shared" si="2547"/>
        <v>1</v>
      </c>
      <c r="L2890" s="708">
        <v>1</v>
      </c>
      <c r="M2890" s="684">
        <f t="shared" si="2519"/>
        <v>1</v>
      </c>
      <c r="N2890" s="362" t="str">
        <f t="shared" si="2514"/>
        <v/>
      </c>
      <c r="O2890" s="1763" t="str">
        <f t="shared" si="2515"/>
        <v/>
      </c>
      <c r="P2890" s="1764" t="str">
        <f t="shared" si="2516"/>
        <v/>
      </c>
      <c r="Q2890" s="120" t="str">
        <f t="shared" si="2517"/>
        <v/>
      </c>
      <c r="R2890" s="185"/>
    </row>
    <row r="2891" spans="1:18" s="690" customFormat="1" ht="18" customHeight="1">
      <c r="A2891" s="2073"/>
      <c r="B2891" s="1781">
        <v>1</v>
      </c>
      <c r="C2891" s="1420" t="str">
        <f t="shared" ref="C2891" si="2548">VLOOKUP(D2891,base_datos,6,FALSE)</f>
        <v>ITM Caja Moldeada 3x125A (reg.[0.7-1.0] In) - XT2N160-125A-3P-TMA - 65kA@230Vac, 36kA@415Vac - marca ABB.</v>
      </c>
      <c r="D2891" s="1901" t="s">
        <v>1325</v>
      </c>
      <c r="E2891" s="1791">
        <f>VLOOKUP(D2891,base_datos,5,FALSE)</f>
        <v>220.2</v>
      </c>
      <c r="F2891" s="1782">
        <f t="shared" ref="F2891:F2892" si="2549">+E2891*B2891</f>
        <v>220.2</v>
      </c>
      <c r="G2891" s="1951"/>
      <c r="H2891" s="1761"/>
      <c r="I2891" s="1761"/>
      <c r="J2891" s="1783"/>
      <c r="K2891" s="684">
        <f t="shared" si="2547"/>
        <v>1</v>
      </c>
      <c r="L2891" s="708">
        <v>1</v>
      </c>
      <c r="M2891" s="684">
        <f t="shared" si="2519"/>
        <v>1</v>
      </c>
      <c r="N2891" s="362">
        <f t="shared" si="2514"/>
        <v>1</v>
      </c>
      <c r="O2891" s="1763" t="str">
        <f t="shared" si="2515"/>
        <v>1SDA067019R1</v>
      </c>
      <c r="P2891" s="1764" t="str">
        <f t="shared" si="2516"/>
        <v>ITM Caja Moldeada 3x125A (reg.[0.7-1.0] In) - XT2N160-125A-3P-TMA - 65kA@230Vac, 36kA@415Vac - marca ABB.</v>
      </c>
      <c r="Q2891" s="120" t="str">
        <f t="shared" si="2517"/>
        <v>XT2N160-125A-3P-TMA</v>
      </c>
      <c r="R2891" s="185"/>
    </row>
    <row r="2892" spans="1:18" s="690" customFormat="1" ht="18" customHeight="1">
      <c r="A2892" s="691"/>
      <c r="B2892" s="1781">
        <v>1</v>
      </c>
      <c r="C2892" s="1420" t="s">
        <v>12501</v>
      </c>
      <c r="D2892" s="1901"/>
      <c r="E2892" s="1791">
        <v>200</v>
      </c>
      <c r="F2892" s="1782">
        <f t="shared" si="2549"/>
        <v>200</v>
      </c>
      <c r="G2892" s="1761"/>
      <c r="H2892" s="1761"/>
      <c r="I2892" s="1761"/>
      <c r="J2892" s="1783"/>
      <c r="K2892" s="684">
        <f t="shared" si="2547"/>
        <v>1</v>
      </c>
      <c r="L2892" s="708">
        <v>1</v>
      </c>
      <c r="M2892" s="684">
        <f t="shared" si="2519"/>
        <v>1</v>
      </c>
      <c r="N2892" s="362" t="str">
        <f t="shared" si="2514"/>
        <v/>
      </c>
      <c r="O2892" s="1763" t="str">
        <f t="shared" si="2515"/>
        <v/>
      </c>
      <c r="P2892" s="1764" t="str">
        <f t="shared" si="2516"/>
        <v/>
      </c>
      <c r="Q2892" s="120" t="str">
        <f t="shared" si="2517"/>
        <v/>
      </c>
      <c r="R2892" s="185"/>
    </row>
    <row r="2893" spans="1:18" s="690" customFormat="1" ht="18" customHeight="1">
      <c r="A2893" s="2073"/>
      <c r="B2893" s="1781"/>
      <c r="C2893" s="1420"/>
      <c r="D2893" s="1901"/>
      <c r="E2893" s="1791"/>
      <c r="F2893" s="1782"/>
      <c r="G2893" s="1951"/>
      <c r="H2893" s="1761"/>
      <c r="I2893" s="1761"/>
      <c r="J2893" s="1783"/>
      <c r="K2893" s="684">
        <f t="shared" si="2547"/>
        <v>1</v>
      </c>
      <c r="L2893" s="708">
        <v>1</v>
      </c>
      <c r="M2893" s="684">
        <f t="shared" si="2519"/>
        <v>1</v>
      </c>
      <c r="N2893" s="362" t="str">
        <f t="shared" si="2514"/>
        <v/>
      </c>
      <c r="O2893" s="1763" t="str">
        <f t="shared" si="2515"/>
        <v/>
      </c>
      <c r="P2893" s="1764" t="str">
        <f t="shared" si="2516"/>
        <v/>
      </c>
      <c r="Q2893" s="120" t="str">
        <f t="shared" si="2517"/>
        <v/>
      </c>
      <c r="R2893" s="185"/>
    </row>
    <row r="2894" spans="1:18" s="690" customFormat="1" ht="18" customHeight="1">
      <c r="A2894" s="2073"/>
      <c r="B2894" s="1781">
        <v>1</v>
      </c>
      <c r="C2894" s="1420" t="str">
        <f t="shared" ref="C2894:C2895" si="2550">VLOOKUP(D2894,base_datos,6,FALSE)</f>
        <v>ITM Caja Moldeada 3x63A (reg.[0.7-1.0] In) - XT2N160-63A-3P-TMA - 65kA@230Vac, 36kA@415Vac - marca ABB.</v>
      </c>
      <c r="D2894" s="1901" t="s">
        <v>849</v>
      </c>
      <c r="E2894" s="1791">
        <f>VLOOKUP(D2894,base_datos,5,FALSE)</f>
        <v>207</v>
      </c>
      <c r="F2894" s="1782">
        <f t="shared" ref="F2894:F2895" si="2551">+E2894*B2894</f>
        <v>207</v>
      </c>
      <c r="G2894" s="1951"/>
      <c r="H2894" s="1761"/>
      <c r="I2894" s="1761"/>
      <c r="J2894" s="1783"/>
      <c r="K2894" s="684">
        <f t="shared" si="2547"/>
        <v>1</v>
      </c>
      <c r="L2894" s="708">
        <v>1</v>
      </c>
      <c r="M2894" s="684">
        <f t="shared" si="2519"/>
        <v>1</v>
      </c>
      <c r="N2894" s="362">
        <f t="shared" si="2514"/>
        <v>1</v>
      </c>
      <c r="O2894" s="1763" t="str">
        <f t="shared" si="2515"/>
        <v>1SDA067016R1</v>
      </c>
      <c r="P2894" s="1764" t="str">
        <f t="shared" si="2516"/>
        <v>ITM Caja Moldeada 3x63A (reg.[0.7-1.0] In) - XT2N160-63A-3P-TMA - 65kA@230Vac, 36kA@415Vac - marca ABB.</v>
      </c>
      <c r="Q2894" s="120" t="str">
        <f t="shared" si="2517"/>
        <v>XT2N160-63A-3P-TMA</v>
      </c>
      <c r="R2894" s="185"/>
    </row>
    <row r="2895" spans="1:18" s="690" customFormat="1" ht="18" customHeight="1">
      <c r="A2895" s="2073"/>
      <c r="B2895" s="1781">
        <v>1</v>
      </c>
      <c r="C2895" s="1420" t="str">
        <f t="shared" si="2550"/>
        <v>ITM Caja Moldeada 3x40A (reg.[0.7-1.0] In) - XT2N160-40A-3P-TMA - 65kA@230Vac, 36kA@415Vac - marca ABB.</v>
      </c>
      <c r="D2895" s="1901" t="s">
        <v>12541</v>
      </c>
      <c r="E2895" s="1791">
        <f>VLOOKUP(D2895,base_datos,5,FALSE)</f>
        <v>207</v>
      </c>
      <c r="F2895" s="1782">
        <f t="shared" si="2551"/>
        <v>207</v>
      </c>
      <c r="G2895" s="1951"/>
      <c r="H2895" s="1761"/>
      <c r="I2895" s="1761"/>
      <c r="J2895" s="1783"/>
      <c r="K2895" s="684">
        <f t="shared" si="2547"/>
        <v>1</v>
      </c>
      <c r="L2895" s="708">
        <v>1</v>
      </c>
      <c r="M2895" s="684">
        <f t="shared" ref="M2895" si="2552">IF(B2895="",1,B2895)</f>
        <v>1</v>
      </c>
      <c r="N2895" s="362">
        <f t="shared" ref="N2895" si="2553">IF(O2895&lt;&gt;"",K2895*L2895*M2895,"")</f>
        <v>1</v>
      </c>
      <c r="O2895" s="1763" t="str">
        <f t="shared" ref="O2895" si="2554">IF(D2895&lt;&gt;"",IF(VLOOKUP(D2895,base_datos,7,FALSE)&lt;&gt;"",VLOOKUP(D2895,base_datos,7,FALSE),""),"")</f>
        <v>1SDA067014R1</v>
      </c>
      <c r="P2895" s="1764" t="str">
        <f t="shared" ref="P2895" si="2555">IF(O2895&lt;&gt;"",VLOOKUP(D2895,base_datos,6,FALSE),"")</f>
        <v>ITM Caja Moldeada 3x40A (reg.[0.7-1.0] In) - XT2N160-40A-3P-TMA - 65kA@230Vac, 36kA@415Vac - marca ABB.</v>
      </c>
      <c r="Q2895" s="120" t="str">
        <f t="shared" ref="Q2895" si="2556">IF(O2895&lt;&gt;"",D2895,"")</f>
        <v>XT2N160-40A-3P-Tma</v>
      </c>
      <c r="R2895" s="185"/>
    </row>
    <row r="2896" spans="1:18" s="690" customFormat="1" ht="18" customHeight="1">
      <c r="A2896" s="2073"/>
      <c r="B2896" s="1781">
        <v>1</v>
      </c>
      <c r="C2896" s="1420" t="str">
        <f t="shared" ref="C2896" si="2557">VLOOKUP(D2896,base_datos,6,FALSE)</f>
        <v>ITM Caja Moldeada 3x32A (reg.[0.7-1.0] In) - XT2N160-32A-3P-TMD - 65kA@230Vac, 36kA@415Vac - marca ABB.</v>
      </c>
      <c r="D2896" s="1901" t="s">
        <v>850</v>
      </c>
      <c r="E2896" s="1791">
        <f>VLOOKUP(D2896,base_datos,5,FALSE)</f>
        <v>207</v>
      </c>
      <c r="F2896" s="1782">
        <f t="shared" ref="F2896" si="2558">+E2896*B2896</f>
        <v>207</v>
      </c>
      <c r="G2896" s="1951"/>
      <c r="H2896" s="1761"/>
      <c r="I2896" s="1761"/>
      <c r="J2896" s="1783"/>
      <c r="K2896" s="684">
        <f t="shared" si="2547"/>
        <v>1</v>
      </c>
      <c r="L2896" s="708">
        <v>1</v>
      </c>
      <c r="M2896" s="684">
        <f t="shared" si="2519"/>
        <v>1</v>
      </c>
      <c r="N2896" s="362">
        <f t="shared" si="2514"/>
        <v>1</v>
      </c>
      <c r="O2896" s="1763" t="str">
        <f t="shared" si="2515"/>
        <v>1SDA067013R1</v>
      </c>
      <c r="P2896" s="1764" t="str">
        <f t="shared" si="2516"/>
        <v>ITM Caja Moldeada 3x32A (reg.[0.7-1.0] In) - XT2N160-32A-3P-TMD - 65kA@230Vac, 36kA@415Vac - marca ABB.</v>
      </c>
      <c r="Q2896" s="120" t="str">
        <f t="shared" si="2517"/>
        <v>XT2N160-32A-3P-TMD</v>
      </c>
      <c r="R2896" s="185"/>
    </row>
    <row r="2897" spans="1:20" s="690" customFormat="1" ht="18" customHeight="1">
      <c r="A2897" s="2073"/>
      <c r="B2897" s="1781">
        <v>1</v>
      </c>
      <c r="C2897" s="1420" t="str">
        <f t="shared" ref="C2897" si="2559">VLOOKUP(D2897,base_datos,6,FALSE)</f>
        <v>ITM Caja Moldeada 3x20A (reg.[0.7-1.0] In) - XT2N160-20A-3P-TMD - 65kA@230Vac, 36kA@415Vac - marca ABB.</v>
      </c>
      <c r="D2897" s="1901" t="s">
        <v>1331</v>
      </c>
      <c r="E2897" s="1791">
        <f>VLOOKUP(D2897,base_datos,5,FALSE)</f>
        <v>201.76999999999998</v>
      </c>
      <c r="F2897" s="1782">
        <f t="shared" ref="F2897" si="2560">+E2897*B2897</f>
        <v>201.76999999999998</v>
      </c>
      <c r="G2897" s="1951"/>
      <c r="H2897" s="1761"/>
      <c r="I2897" s="1761"/>
      <c r="J2897" s="1783"/>
      <c r="K2897" s="684">
        <f t="shared" si="2547"/>
        <v>1</v>
      </c>
      <c r="L2897" s="708">
        <v>1</v>
      </c>
      <c r="M2897" s="684">
        <f t="shared" si="2519"/>
        <v>1</v>
      </c>
      <c r="N2897" s="362">
        <f t="shared" si="2514"/>
        <v>1</v>
      </c>
      <c r="O2897" s="1763" t="str">
        <f t="shared" si="2515"/>
        <v>1SDA067011R1</v>
      </c>
      <c r="P2897" s="1764" t="str">
        <f t="shared" si="2516"/>
        <v>ITM Caja Moldeada 3x20A (reg.[0.7-1.0] In) - XT2N160-20A-3P-TMD - 65kA@230Vac, 36kA@415Vac - marca ABB.</v>
      </c>
      <c r="Q2897" s="120" t="str">
        <f t="shared" si="2517"/>
        <v>XT2N160-20A-3P-TMD</v>
      </c>
      <c r="R2897" s="185"/>
    </row>
    <row r="2898" spans="1:20" s="690" customFormat="1" ht="18" customHeight="1">
      <c r="A2898" s="1767"/>
      <c r="B2898" s="2023">
        <v>1</v>
      </c>
      <c r="C2898" s="2024" t="str">
        <f t="shared" ref="C2898" si="2561">VLOOKUP(D2898,base_datos,6,FALSE)</f>
        <v>Espacio de reserva trifásica - Caja moldeada.</v>
      </c>
      <c r="D2898" s="1901" t="s">
        <v>12502</v>
      </c>
      <c r="E2898" s="2025">
        <v>5</v>
      </c>
      <c r="F2898" s="2026">
        <f t="shared" ref="F2898" si="2562">+E2898*B2898</f>
        <v>5</v>
      </c>
      <c r="G2898" s="1761"/>
      <c r="H2898" s="1761"/>
      <c r="I2898" s="1761"/>
      <c r="J2898" s="1783"/>
      <c r="K2898" s="684">
        <f t="shared" si="2547"/>
        <v>1</v>
      </c>
      <c r="L2898" s="708">
        <v>1</v>
      </c>
      <c r="M2898" s="684">
        <f t="shared" si="2519"/>
        <v>1</v>
      </c>
      <c r="N2898" s="362" t="str">
        <f t="shared" si="2514"/>
        <v/>
      </c>
      <c r="O2898" s="1763" t="str">
        <f t="shared" si="2515"/>
        <v/>
      </c>
      <c r="P2898" s="1764" t="str">
        <f t="shared" si="2516"/>
        <v/>
      </c>
      <c r="Q2898" s="120" t="str">
        <f t="shared" si="2517"/>
        <v/>
      </c>
      <c r="R2898" s="185"/>
    </row>
    <row r="2899" spans="1:20" s="185" customFormat="1">
      <c r="A2899" s="692"/>
      <c r="B2899" s="714"/>
      <c r="C2899" s="1893" t="s">
        <v>729</v>
      </c>
      <c r="D2899" s="2021"/>
      <c r="E2899" s="1786"/>
      <c r="F2899" s="1787"/>
      <c r="G2899" s="710"/>
      <c r="H2899" s="710"/>
      <c r="I2899" s="710"/>
      <c r="J2899" s="711"/>
      <c r="K2899" s="684">
        <f t="shared" si="2547"/>
        <v>1</v>
      </c>
      <c r="L2899" s="363">
        <v>1</v>
      </c>
      <c r="M2899" s="684">
        <f t="shared" si="2519"/>
        <v>1</v>
      </c>
      <c r="N2899" s="362" t="str">
        <f t="shared" si="2514"/>
        <v/>
      </c>
      <c r="O2899" s="1763" t="str">
        <f t="shared" si="2515"/>
        <v/>
      </c>
      <c r="P2899" s="1764" t="str">
        <f t="shared" si="2516"/>
        <v/>
      </c>
      <c r="Q2899" s="120" t="str">
        <f t="shared" si="2517"/>
        <v/>
      </c>
    </row>
    <row r="2900" spans="1:20" s="690" customFormat="1">
      <c r="A2900" s="687"/>
      <c r="B2900" s="2043"/>
      <c r="C2900" s="1894" t="s">
        <v>12540</v>
      </c>
      <c r="D2900" s="231"/>
      <c r="E2900" s="1780"/>
      <c r="F2900" s="1782"/>
      <c r="G2900" s="1761"/>
      <c r="H2900" s="1761"/>
      <c r="I2900" s="1761"/>
      <c r="J2900" s="689"/>
      <c r="K2900" s="684">
        <f t="shared" si="2547"/>
        <v>1</v>
      </c>
      <c r="L2900" s="363">
        <v>1</v>
      </c>
      <c r="M2900" s="684">
        <f>IF(B2900="",1,B2900)</f>
        <v>1</v>
      </c>
      <c r="N2900" s="362" t="str">
        <f>IF(O2900&lt;&gt;"",K2900*L2900*M2900,"")</f>
        <v/>
      </c>
      <c r="O2900" s="1763" t="str">
        <f t="shared" ref="O2900:O2905" si="2563">IF(D2900&lt;&gt;"",IF(VLOOKUP(D2900,base_datos,7,FALSE)&lt;&gt;"",VLOOKUP(D2900,base_datos,7,FALSE),""),"")</f>
        <v/>
      </c>
      <c r="P2900" s="1764" t="str">
        <f t="shared" ref="P2900:P2905" si="2564">IF(O2900&lt;&gt;"",VLOOKUP(D2900,base_datos,6,FALSE),"")</f>
        <v/>
      </c>
      <c r="Q2900" s="120" t="str">
        <f>IF(O2900&lt;&gt;"",D2900,"")</f>
        <v/>
      </c>
    </row>
    <row r="2901" spans="1:20" s="185" customFormat="1">
      <c r="A2901" s="687"/>
      <c r="B2901" s="2087">
        <v>1</v>
      </c>
      <c r="C2901" s="1420" t="str">
        <f t="shared" ref="C2901:C2902" si="2565">VLOOKUP(D2901,base_datos,6,FALSE)</f>
        <v>Relé de protección diferencial RD2 - Reg.: 0.03 - 0.1 - 0.3 - 0.5 - 1 - 2A - Ue=230-400 Vac - marca ABB.</v>
      </c>
      <c r="D2901" s="2125" t="s">
        <v>6485</v>
      </c>
      <c r="E2901" s="1580">
        <f t="shared" ref="E2901:E2904" si="2566">VLOOKUP(D2901,base_datos,5,FALSE)</f>
        <v>239.45</v>
      </c>
      <c r="F2901" s="1971">
        <f t="shared" ref="F2901" si="2567">+E2901*B2901</f>
        <v>239.45</v>
      </c>
      <c r="G2901" s="1965"/>
      <c r="H2901" s="524"/>
      <c r="I2901" s="1965"/>
      <c r="J2901" s="711"/>
      <c r="K2901" s="684">
        <f t="shared" si="2547"/>
        <v>1</v>
      </c>
      <c r="L2901" s="363">
        <v>1</v>
      </c>
      <c r="M2901" s="684">
        <f>IF(B2901="",1,B2901)</f>
        <v>1</v>
      </c>
      <c r="N2901" s="362">
        <f>IF(O2901&lt;&gt;"",K2901*L2901*M2901,"")</f>
        <v>1</v>
      </c>
      <c r="O2901" s="1763" t="str">
        <f t="shared" si="2563"/>
        <v>2CSM142120R1201</v>
      </c>
      <c r="P2901" s="1764" t="str">
        <f t="shared" si="2564"/>
        <v>Relé de protección diferencial RD2 - Reg.: 0.03 - 0.1 - 0.3 - 0.5 - 1 - 2A - Ue=230-400 Vac - marca ABB.</v>
      </c>
      <c r="Q2901" s="120" t="str">
        <f>IF(O2901&lt;&gt;"",D2901,"")</f>
        <v>RD2</v>
      </c>
      <c r="R2901" s="690"/>
    </row>
    <row r="2902" spans="1:20" s="185" customFormat="1" ht="14.4">
      <c r="A2902" s="687"/>
      <c r="B2902" s="2087">
        <v>1</v>
      </c>
      <c r="C2902" s="1420" t="str">
        <f t="shared" si="2565"/>
        <v>Toroide diferencial TR2 (nucleo cerrado) - d=60mm, In_max=85A@IEC60947-2(anexo M) - marca ABB.</v>
      </c>
      <c r="D2902" s="2126" t="s">
        <v>1658</v>
      </c>
      <c r="E2902" s="1580">
        <f t="shared" si="2566"/>
        <v>101.33</v>
      </c>
      <c r="F2902" s="1971">
        <f>+E2902*B2902</f>
        <v>101.33</v>
      </c>
      <c r="G2902" s="1965"/>
      <c r="H2902" s="1965"/>
      <c r="I2902" s="1965"/>
      <c r="J2902" s="711"/>
      <c r="K2902" s="684">
        <f t="shared" si="2547"/>
        <v>1</v>
      </c>
      <c r="L2902" s="363">
        <v>1</v>
      </c>
      <c r="M2902" s="684">
        <f>IF(B2902="",1,B2902)</f>
        <v>1</v>
      </c>
      <c r="N2902" s="362">
        <f>IF(O2902&lt;&gt;"",K2902*L2902*M2902,"")</f>
        <v>1</v>
      </c>
      <c r="O2902" s="1763" t="str">
        <f t="shared" si="2563"/>
        <v>2CSG060100R1211</v>
      </c>
      <c r="P2902" s="1764" t="str">
        <f t="shared" si="2564"/>
        <v>Toroide diferencial TR2 (nucleo cerrado) - d=60mm, In_max=85A@IEC60947-2(anexo M) - marca ABB.</v>
      </c>
      <c r="Q2902" s="120" t="str">
        <f>IF(O2902&lt;&gt;"",D2902,"")</f>
        <v>TR2</v>
      </c>
      <c r="R2902" s="690"/>
    </row>
    <row r="2903" spans="1:20" s="185" customFormat="1">
      <c r="A2903" s="1578"/>
      <c r="B2903" s="2087">
        <v>1</v>
      </c>
      <c r="C2903" s="2127" t="str">
        <f t="shared" ref="C2903" si="2568">VLOOKUP(D2903,base_datos,6,FALSE)</f>
        <v>Borne 4mm2.</v>
      </c>
      <c r="D2903" s="731" t="s">
        <v>437</v>
      </c>
      <c r="E2903" s="1580">
        <f t="shared" si="2566"/>
        <v>2.5</v>
      </c>
      <c r="F2903" s="1971">
        <f t="shared" ref="F2903:F2904" si="2569">+E2903*B2903</f>
        <v>2.5</v>
      </c>
      <c r="G2903" s="1965"/>
      <c r="H2903" s="1965"/>
      <c r="I2903" s="1965"/>
      <c r="J2903" s="711"/>
      <c r="K2903" s="684">
        <f t="shared" si="2547"/>
        <v>1</v>
      </c>
      <c r="L2903" s="363">
        <v>1</v>
      </c>
      <c r="M2903" s="684">
        <f>IF(B2903="",1,B2903)</f>
        <v>1</v>
      </c>
      <c r="N2903" s="362" t="str">
        <f>IF(O2903&lt;&gt;"",K2903*L2903*M2903,"")</f>
        <v/>
      </c>
      <c r="O2903" s="1763" t="str">
        <f t="shared" si="2563"/>
        <v/>
      </c>
      <c r="P2903" s="1764" t="str">
        <f t="shared" si="2564"/>
        <v/>
      </c>
      <c r="Q2903" s="120" t="str">
        <f>IF(O2903&lt;&gt;"",D2903,"")</f>
        <v/>
      </c>
      <c r="R2903" s="690"/>
    </row>
    <row r="2904" spans="1:20" s="185" customFormat="1">
      <c r="A2904" s="1578"/>
      <c r="B2904" s="2087">
        <v>1</v>
      </c>
      <c r="C2904" s="2127" t="str">
        <f t="shared" ref="C2904" si="2570">VLOOKUP(D2904,base_datos,6,FALSE)</f>
        <v>Base portafusibles + Fusibles de protección para control.</v>
      </c>
      <c r="D2904" s="731" t="s">
        <v>453</v>
      </c>
      <c r="E2904" s="1580">
        <f t="shared" si="2566"/>
        <v>8.1750000000000007</v>
      </c>
      <c r="F2904" s="1971">
        <f t="shared" si="2569"/>
        <v>8.1750000000000007</v>
      </c>
      <c r="G2904" s="1965"/>
      <c r="H2904" s="1965"/>
      <c r="I2904" s="1965"/>
      <c r="J2904" s="711"/>
      <c r="K2904" s="684">
        <f t="shared" si="2547"/>
        <v>1</v>
      </c>
      <c r="L2904" s="363">
        <v>1</v>
      </c>
      <c r="M2904" s="684">
        <f>IF(B2904="",1,B2904)</f>
        <v>1</v>
      </c>
      <c r="N2904" s="362" t="str">
        <f>IF(O2904&lt;&gt;"",K2904*L2904*M2904,"")</f>
        <v/>
      </c>
      <c r="O2904" s="1763" t="str">
        <f t="shared" si="2563"/>
        <v/>
      </c>
      <c r="P2904" s="1764" t="str">
        <f t="shared" si="2564"/>
        <v/>
      </c>
      <c r="Q2904" s="120" t="str">
        <f>IF(O2904&lt;&gt;"",D2904,"")</f>
        <v/>
      </c>
      <c r="R2904" s="690"/>
    </row>
    <row r="2905" spans="1:20" s="185" customFormat="1">
      <c r="A2905" s="692"/>
      <c r="B2905" s="714"/>
      <c r="C2905" s="1893" t="s">
        <v>729</v>
      </c>
      <c r="D2905" s="2021"/>
      <c r="E2905" s="1786"/>
      <c r="F2905" s="1787"/>
      <c r="G2905" s="710"/>
      <c r="H2905" s="710"/>
      <c r="I2905" s="710"/>
      <c r="J2905" s="711"/>
      <c r="K2905" s="684">
        <f t="shared" si="2547"/>
        <v>1</v>
      </c>
      <c r="L2905" s="363">
        <v>1</v>
      </c>
      <c r="M2905" s="684">
        <f t="shared" ref="M2905" si="2571">IF(B2905="",1,B2905)</f>
        <v>1</v>
      </c>
      <c r="N2905" s="362" t="str">
        <f t="shared" ref="N2905" si="2572">IF(O2905&lt;&gt;"",K2905*L2905*M2905,"")</f>
        <v/>
      </c>
      <c r="O2905" s="1763" t="str">
        <f t="shared" si="2563"/>
        <v/>
      </c>
      <c r="P2905" s="1764" t="str">
        <f t="shared" si="2564"/>
        <v/>
      </c>
      <c r="Q2905" s="120" t="str">
        <f t="shared" ref="Q2905" si="2573">IF(O2905&lt;&gt;"",D2905,"")</f>
        <v/>
      </c>
    </row>
    <row r="2906" spans="1:20" s="315" customFormat="1">
      <c r="A2906" s="1785"/>
      <c r="B2906" s="355"/>
      <c r="C2906" s="1944" t="s">
        <v>3063</v>
      </c>
      <c r="D2906" s="2022"/>
      <c r="E2906" s="1786"/>
      <c r="F2906" s="1787"/>
      <c r="G2906" s="712"/>
      <c r="H2906" s="712"/>
      <c r="I2906" s="712"/>
      <c r="J2906" s="713"/>
      <c r="K2906" s="684">
        <f t="shared" si="2547"/>
        <v>1</v>
      </c>
      <c r="L2906" s="708">
        <v>1</v>
      </c>
      <c r="M2906" s="684">
        <f t="shared" si="2519"/>
        <v>1</v>
      </c>
      <c r="N2906" s="362" t="str">
        <f t="shared" si="2514"/>
        <v/>
      </c>
      <c r="O2906" s="1763" t="str">
        <f t="shared" si="2515"/>
        <v/>
      </c>
      <c r="P2906" s="1764" t="str">
        <f t="shared" si="2516"/>
        <v/>
      </c>
      <c r="Q2906" s="120" t="str">
        <f t="shared" si="2517"/>
        <v/>
      </c>
    </row>
    <row r="2907" spans="1:20" s="690" customFormat="1" ht="18" customHeight="1">
      <c r="A2907" s="691"/>
      <c r="B2907" s="1781">
        <v>1</v>
      </c>
      <c r="C2907" s="1420" t="str">
        <f>VLOOKUP(D2907,base_datos,6,FALSE)</f>
        <v>ITM Caja Moldeada 3x32A (reg.[0.7-1.0] In) - XT2N160-32A-3P-TMD - 65kA@230Vac, 36kA@415Vac - marca ABB.</v>
      </c>
      <c r="D2907" s="1901" t="s">
        <v>850</v>
      </c>
      <c r="E2907" s="1791">
        <f>VLOOKUP(D2907,base_datos,5,FALSE)</f>
        <v>207</v>
      </c>
      <c r="F2907" s="1782">
        <f t="shared" ref="F2907:F2908" si="2574">+E2907*B2907</f>
        <v>207</v>
      </c>
      <c r="G2907" s="1761"/>
      <c r="H2907" s="1761"/>
      <c r="I2907" s="1761"/>
      <c r="J2907" s="1783"/>
      <c r="K2907" s="684">
        <f t="shared" si="2547"/>
        <v>1</v>
      </c>
      <c r="L2907" s="708">
        <v>1</v>
      </c>
      <c r="M2907" s="684">
        <f t="shared" si="2519"/>
        <v>1</v>
      </c>
      <c r="N2907" s="362">
        <f t="shared" si="2514"/>
        <v>1</v>
      </c>
      <c r="O2907" s="1763" t="str">
        <f t="shared" si="2515"/>
        <v>1SDA067013R1</v>
      </c>
      <c r="P2907" s="1764" t="str">
        <f t="shared" si="2516"/>
        <v>ITM Caja Moldeada 3x32A (reg.[0.7-1.0] In) - XT2N160-32A-3P-TMD - 65kA@230Vac, 36kA@415Vac - marca ABB.</v>
      </c>
      <c r="Q2907" s="120" t="str">
        <f t="shared" si="2517"/>
        <v>XT2N160-32A-3P-TMD</v>
      </c>
      <c r="R2907" s="185"/>
    </row>
    <row r="2908" spans="1:20" s="690" customFormat="1" ht="18" customHeight="1">
      <c r="A2908" s="691"/>
      <c r="B2908" s="1781">
        <v>1</v>
      </c>
      <c r="C2908" s="1420" t="str">
        <f>VLOOKUP(D2908,base_datos,6,FALSE)</f>
        <v>Supresor contra sobretensiones (Tipo 1, UL 1449) - OVRHT3C504803D - I_max=50kA por fase, Un=480V,  MCOV=640V (L-G), VPR=2.5kV (L-G) - marca ABB.</v>
      </c>
      <c r="D2908" s="1901" t="s">
        <v>12357</v>
      </c>
      <c r="E2908" s="1791">
        <f>VLOOKUP(D2908,base_datos,5,FALSE)</f>
        <v>386.44</v>
      </c>
      <c r="F2908" s="1782">
        <f t="shared" si="2574"/>
        <v>386.44</v>
      </c>
      <c r="G2908" s="1761"/>
      <c r="H2908" s="1761"/>
      <c r="I2908" s="1761"/>
      <c r="J2908" s="1783"/>
      <c r="K2908" s="684">
        <f t="shared" si="2547"/>
        <v>1</v>
      </c>
      <c r="L2908" s="708">
        <v>1</v>
      </c>
      <c r="M2908" s="684">
        <f t="shared" si="2519"/>
        <v>1</v>
      </c>
      <c r="N2908" s="362">
        <f t="shared" si="2514"/>
        <v>1</v>
      </c>
      <c r="O2908" s="1763" t="str">
        <f t="shared" si="2515"/>
        <v>2CJC605480D0000</v>
      </c>
      <c r="P2908" s="1764" t="str">
        <f t="shared" si="2516"/>
        <v>Supresor contra sobretensiones (Tipo 1, UL 1449) - OVRHT3C504803D - I_max=50kA por fase, Un=480V,  MCOV=640V (L-G), VPR=2.5kV (L-G) - marca ABB.</v>
      </c>
      <c r="Q2908" s="120" t="str">
        <f t="shared" si="2517"/>
        <v>OVRHT3C504803D</v>
      </c>
      <c r="R2908" s="185"/>
    </row>
    <row r="2909" spans="1:20" s="185" customFormat="1">
      <c r="A2909" s="692"/>
      <c r="B2909" s="714"/>
      <c r="C2909" s="1893" t="s">
        <v>729</v>
      </c>
      <c r="D2909" s="2021"/>
      <c r="E2909" s="1786"/>
      <c r="F2909" s="1787"/>
      <c r="G2909" s="710"/>
      <c r="H2909" s="710"/>
      <c r="I2909" s="710"/>
      <c r="J2909" s="711"/>
      <c r="K2909" s="684">
        <f t="shared" si="2547"/>
        <v>1</v>
      </c>
      <c r="L2909" s="363">
        <v>1</v>
      </c>
      <c r="M2909" s="684">
        <f t="shared" si="2519"/>
        <v>1</v>
      </c>
      <c r="N2909" s="362" t="str">
        <f t="shared" si="2514"/>
        <v/>
      </c>
      <c r="O2909" s="1763" t="str">
        <f t="shared" si="2515"/>
        <v/>
      </c>
      <c r="P2909" s="1764" t="str">
        <f t="shared" si="2516"/>
        <v/>
      </c>
      <c r="Q2909" s="120" t="str">
        <f t="shared" si="2517"/>
        <v/>
      </c>
    </row>
    <row r="2910" spans="1:20" s="315" customFormat="1" ht="12.75" customHeight="1">
      <c r="A2910" s="2253"/>
      <c r="B2910" s="2254">
        <v>1</v>
      </c>
      <c r="C2910" s="82" t="s">
        <v>13364</v>
      </c>
      <c r="D2910" s="2255"/>
      <c r="E2910" s="2256"/>
      <c r="F2910" s="2257">
        <f>+SUM(F2911:F2919)*(B2910-1)</f>
        <v>0</v>
      </c>
      <c r="G2910" s="712"/>
      <c r="H2910" s="712"/>
      <c r="I2910" s="712"/>
      <c r="J2910" s="713"/>
      <c r="K2910" s="684">
        <f t="shared" ref="K2910:K2941" si="2575">+K2909</f>
        <v>1</v>
      </c>
      <c r="L2910" s="2258">
        <v>1</v>
      </c>
      <c r="M2910" s="120">
        <f t="shared" si="2519"/>
        <v>1</v>
      </c>
      <c r="N2910" s="112" t="str">
        <f t="shared" si="2514"/>
        <v/>
      </c>
      <c r="O2910" s="112" t="str">
        <f t="shared" si="2515"/>
        <v/>
      </c>
      <c r="P2910" s="120" t="str">
        <f t="shared" si="2516"/>
        <v/>
      </c>
      <c r="Q2910" s="120" t="str">
        <f t="shared" si="2517"/>
        <v/>
      </c>
      <c r="R2910" s="2128"/>
      <c r="S2910" s="112" t="str">
        <f t="shared" ref="S2910:S2926" si="2576">IF(O2910&lt;&gt;"",VLOOKUP(D2910,base_datos,9,FALSE),"")</f>
        <v/>
      </c>
      <c r="T2910" s="2128"/>
    </row>
    <row r="2911" spans="1:20" s="1921" customFormat="1" ht="12.75" customHeight="1">
      <c r="A2911" s="2253"/>
      <c r="B2911" s="2259">
        <f>B2912</f>
        <v>1</v>
      </c>
      <c r="C2911" s="81" t="str">
        <f>VLOOKUP(D2911,base_datos,6,FALSE)</f>
        <v>Lámpara fluorescente - 230V, 60Hz 13W - modelo CLG, marca FANDIS.</v>
      </c>
      <c r="D2911" s="144" t="s">
        <v>3406</v>
      </c>
      <c r="E2911" s="2283">
        <f>VLOOKUP(D2911,base_datos,5,FALSE)</f>
        <v>66.399999999999991</v>
      </c>
      <c r="F2911" s="2260">
        <f>+E2911*B2911</f>
        <v>66.399999999999991</v>
      </c>
      <c r="G2911" s="1919"/>
      <c r="H2911" s="1919"/>
      <c r="I2911" s="1919"/>
      <c r="J2911" s="1920"/>
      <c r="K2911" s="684">
        <f t="shared" si="2575"/>
        <v>1</v>
      </c>
      <c r="L2911" s="2258">
        <v>1</v>
      </c>
      <c r="M2911" s="120">
        <f t="shared" si="2519"/>
        <v>1</v>
      </c>
      <c r="N2911" s="112">
        <f t="shared" si="2514"/>
        <v>1</v>
      </c>
      <c r="O2911" s="112" t="str">
        <f t="shared" si="2515"/>
        <v>LAMP_FLUOR_FAND</v>
      </c>
      <c r="P2911" s="120" t="str">
        <f t="shared" si="2516"/>
        <v>Lámpara fluorescente - 230V, 60Hz 13W - modelo CLG, marca FANDIS.</v>
      </c>
      <c r="Q2911" s="120" t="str">
        <f t="shared" si="2517"/>
        <v>LAMP_FLUOR_FAND</v>
      </c>
      <c r="R2911" s="2261"/>
      <c r="S2911" s="112" t="str">
        <f t="shared" si="2576"/>
        <v>FANDIS</v>
      </c>
      <c r="T2911" s="2261"/>
    </row>
    <row r="2912" spans="1:20" s="185" customFormat="1" ht="12.75" customHeight="1">
      <c r="A2912" s="2262"/>
      <c r="B2912" s="2263">
        <v>1</v>
      </c>
      <c r="C2912" s="2279"/>
      <c r="D2912" s="2284"/>
      <c r="E2912" s="2260"/>
      <c r="F2912" s="2260"/>
      <c r="G2912" s="710"/>
      <c r="H2912" s="710"/>
      <c r="I2912" s="710"/>
      <c r="J2912" s="711"/>
      <c r="K2912" s="684">
        <f t="shared" si="2575"/>
        <v>1</v>
      </c>
      <c r="L2912" s="2258">
        <v>1</v>
      </c>
      <c r="M2912" s="120">
        <f t="shared" si="2519"/>
        <v>1</v>
      </c>
      <c r="N2912" s="112" t="str">
        <f t="shared" si="2514"/>
        <v/>
      </c>
      <c r="O2912" s="112" t="str">
        <f t="shared" si="2515"/>
        <v/>
      </c>
      <c r="P2912" s="120" t="str">
        <f t="shared" si="2516"/>
        <v/>
      </c>
      <c r="Q2912" s="120" t="str">
        <f t="shared" si="2517"/>
        <v/>
      </c>
      <c r="R2912" s="118"/>
      <c r="S2912" s="112" t="str">
        <f t="shared" si="2576"/>
        <v/>
      </c>
      <c r="T2912" s="118"/>
    </row>
    <row r="2913" spans="1:20" s="1921" customFormat="1" ht="12.75" customHeight="1">
      <c r="A2913" s="2262"/>
      <c r="B2913" s="2259">
        <f>B2914</f>
        <v>1</v>
      </c>
      <c r="C2913" s="81" t="str">
        <f>VLOOKUP(D2913,base_datos,6,FALSE)</f>
        <v>Switch de puerta - FC-001.</v>
      </c>
      <c r="D2913" s="2296" t="s">
        <v>3408</v>
      </c>
      <c r="E2913" s="2283">
        <f>VLOOKUP(D2913,base_datos,5,FALSE)</f>
        <v>47.6</v>
      </c>
      <c r="F2913" s="2260">
        <f>+E2913*B2913</f>
        <v>47.6</v>
      </c>
      <c r="G2913" s="1919"/>
      <c r="H2913" s="1919"/>
      <c r="I2913" s="1919"/>
      <c r="J2913" s="1920"/>
      <c r="K2913" s="684">
        <f t="shared" si="2575"/>
        <v>1</v>
      </c>
      <c r="L2913" s="2258">
        <v>1</v>
      </c>
      <c r="M2913" s="120">
        <f t="shared" si="2519"/>
        <v>1</v>
      </c>
      <c r="N2913" s="112">
        <f t="shared" si="2514"/>
        <v>1</v>
      </c>
      <c r="O2913" s="112" t="str">
        <f t="shared" si="2515"/>
        <v>LIMIT_SWITCH_FAND</v>
      </c>
      <c r="P2913" s="120" t="str">
        <f t="shared" si="2516"/>
        <v>Switch de puerta - FC-001.</v>
      </c>
      <c r="Q2913" s="120" t="str">
        <f t="shared" si="2517"/>
        <v>LIMIT_SWITCH_FAND</v>
      </c>
      <c r="R2913" s="2261"/>
      <c r="S2913" s="112" t="str">
        <f t="shared" si="2576"/>
        <v>FANDIS</v>
      </c>
      <c r="T2913" s="2261"/>
    </row>
    <row r="2914" spans="1:20" s="185" customFormat="1" ht="12.75" customHeight="1">
      <c r="A2914" s="2262"/>
      <c r="B2914" s="2263">
        <v>1</v>
      </c>
      <c r="C2914" s="2279"/>
      <c r="D2914" s="2284"/>
      <c r="E2914" s="2260"/>
      <c r="F2914" s="2260"/>
      <c r="G2914" s="710"/>
      <c r="H2914" s="710"/>
      <c r="I2914" s="710"/>
      <c r="J2914" s="711"/>
      <c r="K2914" s="684">
        <f t="shared" si="2575"/>
        <v>1</v>
      </c>
      <c r="L2914" s="2258">
        <v>1</v>
      </c>
      <c r="M2914" s="120">
        <f t="shared" si="2519"/>
        <v>1</v>
      </c>
      <c r="N2914" s="112" t="str">
        <f t="shared" si="2514"/>
        <v/>
      </c>
      <c r="O2914" s="112" t="str">
        <f t="shared" si="2515"/>
        <v/>
      </c>
      <c r="P2914" s="120" t="str">
        <f t="shared" si="2516"/>
        <v/>
      </c>
      <c r="Q2914" s="120" t="str">
        <f t="shared" si="2517"/>
        <v/>
      </c>
      <c r="R2914" s="118"/>
      <c r="S2914" s="112" t="str">
        <f t="shared" si="2576"/>
        <v/>
      </c>
      <c r="T2914" s="118"/>
    </row>
    <row r="2915" spans="1:20" s="185" customFormat="1" ht="12.75" customHeight="1">
      <c r="A2915" s="2262"/>
      <c r="B2915" s="2263">
        <v>1</v>
      </c>
      <c r="C2915" s="2279" t="str">
        <f>VLOOKUP(D2915,base_datos,6,FALSE)</f>
        <v>Contactor 3x09A(AC-3) 1NO+1NC - CTX3-9A - bobina 230Vac - marca Legrand.</v>
      </c>
      <c r="D2915" s="2284" t="s">
        <v>10823</v>
      </c>
      <c r="E2915" s="2283">
        <f>VLOOKUP(D2915,base_datos,5,FALSE)</f>
        <v>40.888738127544087</v>
      </c>
      <c r="F2915" s="2260">
        <f>+E2915*B2915</f>
        <v>40.888738127544087</v>
      </c>
      <c r="G2915" s="710"/>
      <c r="H2915" s="710"/>
      <c r="I2915" s="710"/>
      <c r="J2915" s="711"/>
      <c r="K2915" s="684">
        <f t="shared" si="2575"/>
        <v>1</v>
      </c>
      <c r="L2915" s="2258">
        <v>1</v>
      </c>
      <c r="M2915" s="120">
        <f t="shared" si="2519"/>
        <v>1</v>
      </c>
      <c r="N2915" s="112">
        <f t="shared" si="2514"/>
        <v>1</v>
      </c>
      <c r="O2915" s="112">
        <f t="shared" si="2515"/>
        <v>416086</v>
      </c>
      <c r="P2915" s="120" t="str">
        <f t="shared" si="2516"/>
        <v>Contactor 3x09A(AC-3) 1NO+1NC - CTX3-9A - bobina 230Vac - marca Legrand.</v>
      </c>
      <c r="Q2915" s="120" t="str">
        <f t="shared" si="2517"/>
        <v>CTX3-9A</v>
      </c>
      <c r="R2915" s="118"/>
      <c r="S2915" s="112" t="str">
        <f t="shared" si="2576"/>
        <v>Legrand</v>
      </c>
      <c r="T2915" s="118"/>
    </row>
    <row r="2916" spans="1:20" s="1921" customFormat="1" ht="12.75" customHeight="1">
      <c r="A2916" s="2262"/>
      <c r="B2916" s="2259">
        <v>1</v>
      </c>
      <c r="C2916" t="s">
        <v>3361</v>
      </c>
      <c r="D2916" s="2265"/>
      <c r="E2916" s="2285"/>
      <c r="F2916" s="2266"/>
      <c r="G2916" s="1919"/>
      <c r="H2916" s="1919"/>
      <c r="I2916" s="1919"/>
      <c r="J2916" s="1920"/>
      <c r="K2916" s="684">
        <f t="shared" si="2575"/>
        <v>1</v>
      </c>
      <c r="L2916" s="2258">
        <v>1</v>
      </c>
      <c r="M2916" s="120">
        <f t="shared" si="2519"/>
        <v>1</v>
      </c>
      <c r="N2916" s="112" t="str">
        <f t="shared" si="2514"/>
        <v/>
      </c>
      <c r="O2916" s="112" t="str">
        <f t="shared" si="2515"/>
        <v/>
      </c>
      <c r="P2916" s="120" t="str">
        <f t="shared" si="2516"/>
        <v/>
      </c>
      <c r="Q2916" s="120" t="str">
        <f t="shared" si="2517"/>
        <v/>
      </c>
      <c r="R2916" s="2261"/>
      <c r="S2916" s="112" t="str">
        <f t="shared" si="2576"/>
        <v/>
      </c>
      <c r="T2916" s="2261"/>
    </row>
    <row r="2917" spans="1:20" s="185" customFormat="1" ht="12.75" customHeight="1">
      <c r="A2917" s="2262"/>
      <c r="B2917" s="2263">
        <v>1</v>
      </c>
      <c r="C2917" s="2279" t="str">
        <f>VLOOKUP(D2917,base_datos,6,FALSE)</f>
        <v>Base portafusibles + Fusibles de protección para control.</v>
      </c>
      <c r="D2917" s="2267" t="s">
        <v>453</v>
      </c>
      <c r="E2917" s="2286">
        <f>VLOOKUP(D2917,base_datos,5,FALSE)</f>
        <v>8.1750000000000007</v>
      </c>
      <c r="F2917" s="2264">
        <f>+E2917*B2917</f>
        <v>8.1750000000000007</v>
      </c>
      <c r="G2917" s="710"/>
      <c r="H2917" s="710"/>
      <c r="I2917" s="710"/>
      <c r="J2917" s="711"/>
      <c r="K2917" s="684">
        <f t="shared" si="2575"/>
        <v>1</v>
      </c>
      <c r="L2917" s="2258">
        <v>1</v>
      </c>
      <c r="M2917" s="120">
        <f t="shared" si="2519"/>
        <v>1</v>
      </c>
      <c r="N2917" s="112" t="str">
        <f t="shared" si="2514"/>
        <v/>
      </c>
      <c r="O2917" s="112" t="str">
        <f t="shared" si="2515"/>
        <v/>
      </c>
      <c r="P2917" s="120" t="str">
        <f t="shared" si="2516"/>
        <v/>
      </c>
      <c r="Q2917" s="120" t="str">
        <f t="shared" si="2517"/>
        <v/>
      </c>
      <c r="R2917" s="118"/>
      <c r="S2917" s="112" t="str">
        <f t="shared" si="2576"/>
        <v/>
      </c>
      <c r="T2917" s="118"/>
    </row>
    <row r="2918" spans="1:20" s="320" customFormat="1" ht="12.75" customHeight="1">
      <c r="A2918" s="2262"/>
      <c r="B2918" s="2263">
        <v>1</v>
      </c>
      <c r="C2918" s="2279" t="str">
        <f>VLOOKUP(D2918,base_datos,6,FALSE)</f>
        <v>Borne 4mm2.</v>
      </c>
      <c r="D2918" s="2267" t="s">
        <v>437</v>
      </c>
      <c r="E2918" s="2286">
        <f>VLOOKUP(D2918,base_datos,5,FALSE)</f>
        <v>2.5</v>
      </c>
      <c r="F2918" s="2264">
        <f>+E2918*B2918</f>
        <v>2.5</v>
      </c>
      <c r="G2918" s="1924"/>
      <c r="H2918" s="1924"/>
      <c r="I2918" s="1924"/>
      <c r="J2918" s="722"/>
      <c r="K2918" s="684">
        <f t="shared" si="2575"/>
        <v>1</v>
      </c>
      <c r="L2918" s="2258">
        <v>1</v>
      </c>
      <c r="M2918" s="120">
        <f t="shared" si="2519"/>
        <v>1</v>
      </c>
      <c r="N2918" s="112" t="str">
        <f t="shared" si="2514"/>
        <v/>
      </c>
      <c r="O2918" s="112" t="str">
        <f t="shared" si="2515"/>
        <v/>
      </c>
      <c r="P2918" s="120" t="str">
        <f t="shared" si="2516"/>
        <v/>
      </c>
      <c r="Q2918" s="120" t="str">
        <f t="shared" si="2517"/>
        <v/>
      </c>
      <c r="R2918" s="709"/>
      <c r="S2918" s="112" t="str">
        <f t="shared" si="2576"/>
        <v/>
      </c>
      <c r="T2918" s="709"/>
    </row>
    <row r="2919" spans="1:20" s="320" customFormat="1" ht="12.75" customHeight="1">
      <c r="A2919" s="2262"/>
      <c r="B2919" s="2263">
        <v>1</v>
      </c>
      <c r="C2919" s="2279" t="str">
        <f>VLOOKUP(D2919,base_datos,6,FALSE)</f>
        <v>Borne para neutro.</v>
      </c>
      <c r="D2919" s="2267" t="s">
        <v>436</v>
      </c>
      <c r="E2919" s="2286">
        <f>VLOOKUP(D2919,base_datos,5,FALSE)</f>
        <v>4</v>
      </c>
      <c r="F2919" s="2264">
        <f>+E2919*B2919</f>
        <v>4</v>
      </c>
      <c r="G2919" s="1924"/>
      <c r="H2919" s="1924"/>
      <c r="I2919" s="1924"/>
      <c r="J2919" s="722"/>
      <c r="K2919" s="684">
        <f t="shared" si="2575"/>
        <v>1</v>
      </c>
      <c r="L2919" s="2258">
        <v>1</v>
      </c>
      <c r="M2919" s="120">
        <f t="shared" si="2519"/>
        <v>1</v>
      </c>
      <c r="N2919" s="112" t="str">
        <f t="shared" si="2514"/>
        <v/>
      </c>
      <c r="O2919" s="112" t="str">
        <f t="shared" si="2515"/>
        <v/>
      </c>
      <c r="P2919" s="120" t="str">
        <f t="shared" si="2516"/>
        <v/>
      </c>
      <c r="Q2919" s="120" t="str">
        <f t="shared" si="2517"/>
        <v/>
      </c>
      <c r="R2919" s="709"/>
      <c r="S2919" s="112" t="str">
        <f t="shared" si="2576"/>
        <v/>
      </c>
      <c r="T2919" s="709"/>
    </row>
    <row r="2920" spans="1:20" s="19" customFormat="1" ht="21.9" customHeight="1">
      <c r="A2920" s="2262"/>
      <c r="B2920" s="2268"/>
      <c r="C2920" s="1893" t="s">
        <v>729</v>
      </c>
      <c r="D2920" s="169"/>
      <c r="E2920" s="2269"/>
      <c r="F2920" s="2290"/>
      <c r="I2920" s="137"/>
      <c r="J2920" s="2270"/>
      <c r="K2920" s="684">
        <f t="shared" si="2575"/>
        <v>1</v>
      </c>
      <c r="L2920" s="2258">
        <v>1</v>
      </c>
      <c r="M2920" s="120">
        <f t="shared" si="2519"/>
        <v>1</v>
      </c>
      <c r="N2920" s="112" t="str">
        <f t="shared" si="2514"/>
        <v/>
      </c>
      <c r="O2920" s="112" t="str">
        <f t="shared" si="2515"/>
        <v/>
      </c>
      <c r="P2920" s="120" t="str">
        <f t="shared" si="2516"/>
        <v/>
      </c>
      <c r="Q2920" s="120" t="str">
        <f t="shared" si="2517"/>
        <v/>
      </c>
      <c r="R2920" s="161"/>
      <c r="S2920" s="112" t="str">
        <f t="shared" si="2576"/>
        <v/>
      </c>
      <c r="T2920" s="161"/>
    </row>
    <row r="2921" spans="1:20" s="315" customFormat="1" ht="12.75" customHeight="1">
      <c r="A2921" s="2271"/>
      <c r="B2921" s="2272">
        <v>1</v>
      </c>
      <c r="C2921" s="2281" t="s">
        <v>13366</v>
      </c>
      <c r="D2921" s="1935"/>
      <c r="E2921" s="2287"/>
      <c r="F2921" s="2257">
        <f>+SUM(F2922:F2925)*(B2921-1)</f>
        <v>0</v>
      </c>
      <c r="G2921" s="712"/>
      <c r="H2921" s="712"/>
      <c r="I2921" s="712"/>
      <c r="J2921" s="713"/>
      <c r="K2921" s="684">
        <f t="shared" si="2575"/>
        <v>1</v>
      </c>
      <c r="L2921" s="2258">
        <v>1</v>
      </c>
      <c r="M2921" s="120">
        <f t="shared" si="2519"/>
        <v>1</v>
      </c>
      <c r="N2921" s="112" t="str">
        <f t="shared" si="2514"/>
        <v/>
      </c>
      <c r="O2921" s="112" t="str">
        <f t="shared" si="2515"/>
        <v/>
      </c>
      <c r="P2921" s="120" t="str">
        <f t="shared" si="2516"/>
        <v/>
      </c>
      <c r="Q2921" s="120" t="str">
        <f t="shared" si="2517"/>
        <v/>
      </c>
      <c r="S2921" s="112" t="str">
        <f t="shared" si="2576"/>
        <v/>
      </c>
      <c r="T2921" s="2128"/>
    </row>
    <row r="2922" spans="1:20" s="690" customFormat="1" ht="18" customHeight="1">
      <c r="A2922" s="2273"/>
      <c r="B2922" s="1781">
        <v>1</v>
      </c>
      <c r="C2922" s="1420" t="str">
        <f t="shared" ref="C2922:C2925" si="2577">VLOOKUP(D2922,base_datos,6,FALSE)</f>
        <v>Calefactor resistivo 60W, modelo RACM - marca FANDIS.</v>
      </c>
      <c r="D2922" s="1899" t="s">
        <v>3298</v>
      </c>
      <c r="E2922" s="2288">
        <f t="shared" ref="E2922" si="2578">VLOOKUP(D2922,base_datos,5,FALSE)</f>
        <v>127.1</v>
      </c>
      <c r="F2922" s="1782">
        <f>+E2922*B2922</f>
        <v>127.1</v>
      </c>
      <c r="G2922" s="1761"/>
      <c r="H2922" s="1761"/>
      <c r="I2922" s="1761"/>
      <c r="J2922" s="689"/>
      <c r="K2922" s="684">
        <f t="shared" si="2575"/>
        <v>1</v>
      </c>
      <c r="L2922" s="2258">
        <v>1</v>
      </c>
      <c r="M2922" s="120">
        <f t="shared" si="2519"/>
        <v>1</v>
      </c>
      <c r="N2922" s="112">
        <f t="shared" si="2514"/>
        <v>1</v>
      </c>
      <c r="O2922" s="112" t="str">
        <f t="shared" si="2515"/>
        <v>RACM-60</v>
      </c>
      <c r="P2922" s="120" t="str">
        <f t="shared" si="2516"/>
        <v>Calefactor resistivo 60W, modelo RACM - marca FANDIS.</v>
      </c>
      <c r="Q2922" s="120" t="str">
        <f t="shared" si="2517"/>
        <v>CALEFACT-60W_FAND</v>
      </c>
      <c r="S2922" s="112" t="str">
        <f t="shared" si="2576"/>
        <v>FANDIS</v>
      </c>
      <c r="T2922" s="1765"/>
    </row>
    <row r="2923" spans="1:20" s="690" customFormat="1" ht="18" customHeight="1">
      <c r="A2923" s="2273"/>
      <c r="B2923" s="1781">
        <v>1</v>
      </c>
      <c r="C2923" s="1420" t="str">
        <f t="shared" si="2577"/>
        <v>Termostato para ventilación - 1NA - 230V - marca FANDIS.</v>
      </c>
      <c r="D2923" s="1899" t="s">
        <v>3294</v>
      </c>
      <c r="E2923" s="2288">
        <f t="shared" ref="E2923:E2925" si="2579">VLOOKUP(D2923,base_datos,5,FALSE)</f>
        <v>41.58</v>
      </c>
      <c r="F2923" s="1782">
        <f>+E2923*B2923</f>
        <v>41.58</v>
      </c>
      <c r="G2923" s="1761"/>
      <c r="H2923" s="1761"/>
      <c r="I2923" s="1761"/>
      <c r="J2923" s="689"/>
      <c r="K2923" s="684">
        <f t="shared" si="2575"/>
        <v>1</v>
      </c>
      <c r="L2923" s="2258">
        <v>1</v>
      </c>
      <c r="M2923" s="120">
        <f t="shared" si="2519"/>
        <v>1</v>
      </c>
      <c r="N2923" s="112">
        <f t="shared" si="2514"/>
        <v>1</v>
      </c>
      <c r="O2923" s="112" t="str">
        <f t="shared" si="2515"/>
        <v>TRT-10A230V-NO</v>
      </c>
      <c r="P2923" s="120" t="str">
        <f t="shared" si="2516"/>
        <v>Termostato para ventilación - 1NA - 230V - marca FANDIS.</v>
      </c>
      <c r="Q2923" s="120" t="str">
        <f t="shared" si="2517"/>
        <v>TRT-1NA</v>
      </c>
      <c r="S2923" s="112" t="str">
        <f t="shared" si="2576"/>
        <v>FANDIS</v>
      </c>
      <c r="T2923" s="1765"/>
    </row>
    <row r="2924" spans="1:20" s="320" customFormat="1" ht="12.75" customHeight="1">
      <c r="A2924" s="2274"/>
      <c r="B2924" s="2275">
        <v>1</v>
      </c>
      <c r="C2924" s="2282" t="str">
        <f t="shared" si="2577"/>
        <v>Base portafusibles + Fusibles de protección para control.</v>
      </c>
      <c r="D2924" s="1579" t="s">
        <v>453</v>
      </c>
      <c r="E2924" s="2289">
        <f t="shared" si="2579"/>
        <v>8.1750000000000007</v>
      </c>
      <c r="F2924" s="2264">
        <f>+E2924*B2924</f>
        <v>8.1750000000000007</v>
      </c>
      <c r="G2924" s="2276"/>
      <c r="H2924" s="2276"/>
      <c r="I2924" s="2276"/>
      <c r="J2924" s="722"/>
      <c r="K2924" s="684">
        <f t="shared" si="2575"/>
        <v>1</v>
      </c>
      <c r="L2924" s="2258">
        <v>1</v>
      </c>
      <c r="M2924" s="120">
        <f t="shared" si="2519"/>
        <v>1</v>
      </c>
      <c r="N2924" s="112" t="str">
        <f t="shared" si="2514"/>
        <v/>
      </c>
      <c r="O2924" s="112" t="str">
        <f t="shared" si="2515"/>
        <v/>
      </c>
      <c r="P2924" s="120" t="str">
        <f t="shared" si="2516"/>
        <v/>
      </c>
      <c r="Q2924" s="120" t="str">
        <f t="shared" si="2517"/>
        <v/>
      </c>
      <c r="R2924" s="185"/>
      <c r="S2924" s="112" t="str">
        <f t="shared" si="2576"/>
        <v/>
      </c>
      <c r="T2924" s="709"/>
    </row>
    <row r="2925" spans="1:20" s="320" customFormat="1" ht="12.75" customHeight="1">
      <c r="A2925" s="2274"/>
      <c r="B2925" s="2277">
        <v>1</v>
      </c>
      <c r="C2925" s="2282" t="str">
        <f t="shared" si="2577"/>
        <v>Borne 4mm2.</v>
      </c>
      <c r="D2925" s="1579" t="s">
        <v>437</v>
      </c>
      <c r="E2925" s="2260">
        <f t="shared" si="2579"/>
        <v>2.5</v>
      </c>
      <c r="F2925" s="2260">
        <f>+E2925*B2925</f>
        <v>2.5</v>
      </c>
      <c r="G2925" s="2276"/>
      <c r="H2925" s="2276"/>
      <c r="I2925" s="2276"/>
      <c r="J2925" s="722"/>
      <c r="K2925" s="684">
        <f t="shared" si="2575"/>
        <v>1</v>
      </c>
      <c r="L2925" s="2258">
        <v>1</v>
      </c>
      <c r="M2925" s="120">
        <f t="shared" si="2519"/>
        <v>1</v>
      </c>
      <c r="N2925" s="112" t="str">
        <f t="shared" si="2514"/>
        <v/>
      </c>
      <c r="O2925" s="112" t="str">
        <f t="shared" si="2515"/>
        <v/>
      </c>
      <c r="P2925" s="120" t="str">
        <f t="shared" si="2516"/>
        <v/>
      </c>
      <c r="Q2925" s="120" t="str">
        <f t="shared" si="2517"/>
        <v/>
      </c>
      <c r="R2925" s="185"/>
      <c r="S2925" s="112" t="str">
        <f t="shared" si="2576"/>
        <v/>
      </c>
      <c r="T2925" s="709"/>
    </row>
    <row r="2926" spans="1:20" s="185" customFormat="1" ht="12.75" customHeight="1">
      <c r="A2926" s="2262"/>
      <c r="B2926" s="1760"/>
      <c r="C2926" s="1893" t="s">
        <v>729</v>
      </c>
      <c r="D2926" s="169"/>
      <c r="E2926" s="2256"/>
      <c r="F2926" s="2278"/>
      <c r="G2926" s="710"/>
      <c r="H2926" s="710"/>
      <c r="I2926" s="710"/>
      <c r="J2926" s="711"/>
      <c r="K2926" s="684">
        <f t="shared" si="2575"/>
        <v>1</v>
      </c>
      <c r="L2926" s="2258">
        <v>1</v>
      </c>
      <c r="M2926" s="120">
        <f t="shared" si="2519"/>
        <v>1</v>
      </c>
      <c r="N2926" s="112" t="str">
        <f t="shared" si="2514"/>
        <v/>
      </c>
      <c r="O2926" s="112" t="str">
        <f t="shared" si="2515"/>
        <v/>
      </c>
      <c r="P2926" s="120" t="str">
        <f t="shared" si="2516"/>
        <v/>
      </c>
      <c r="Q2926" s="120" t="str">
        <f t="shared" si="2517"/>
        <v/>
      </c>
      <c r="S2926" s="112" t="str">
        <f t="shared" si="2576"/>
        <v/>
      </c>
      <c r="T2926" s="118"/>
    </row>
    <row r="2927" spans="1:20" s="1236" customFormat="1" ht="18" customHeight="1">
      <c r="A2927" s="1767"/>
      <c r="B2927" s="1853">
        <v>1</v>
      </c>
      <c r="C2927" s="1895" t="s">
        <v>12366</v>
      </c>
      <c r="D2927" s="1902"/>
      <c r="E2927" s="1792"/>
      <c r="F2927" s="1793"/>
      <c r="G2927" s="1784"/>
      <c r="H2927" s="1784"/>
      <c r="I2927" s="1784"/>
      <c r="J2927" s="1182"/>
      <c r="K2927" s="684">
        <f t="shared" si="2575"/>
        <v>1</v>
      </c>
      <c r="L2927" s="708">
        <v>1</v>
      </c>
      <c r="M2927" s="684">
        <f t="shared" si="2519"/>
        <v>1</v>
      </c>
      <c r="N2927" s="362" t="str">
        <f t="shared" si="2514"/>
        <v/>
      </c>
      <c r="O2927" s="1763" t="str">
        <f t="shared" si="2515"/>
        <v/>
      </c>
      <c r="P2927" s="1764" t="str">
        <f t="shared" si="2516"/>
        <v/>
      </c>
      <c r="Q2927" s="120" t="str">
        <f t="shared" si="2517"/>
        <v/>
      </c>
      <c r="R2927" s="185"/>
    </row>
    <row r="2928" spans="1:20" s="185" customFormat="1" ht="18" customHeight="1">
      <c r="A2928" s="1785"/>
      <c r="B2928" s="714"/>
      <c r="C2928" s="1893" t="s">
        <v>729</v>
      </c>
      <c r="D2928" s="173"/>
      <c r="E2928" s="1786"/>
      <c r="F2928" s="1787"/>
      <c r="G2928" s="710"/>
      <c r="H2928" s="710"/>
      <c r="I2928" s="710"/>
      <c r="J2928" s="711"/>
      <c r="K2928" s="684">
        <f t="shared" si="2575"/>
        <v>1</v>
      </c>
      <c r="L2928" s="708">
        <v>1</v>
      </c>
      <c r="M2928" s="684">
        <f t="shared" si="2519"/>
        <v>1</v>
      </c>
      <c r="N2928" s="362" t="str">
        <f t="shared" si="2514"/>
        <v/>
      </c>
      <c r="O2928" s="1763" t="str">
        <f t="shared" si="2515"/>
        <v/>
      </c>
      <c r="P2928" s="1764" t="str">
        <f t="shared" si="2516"/>
        <v/>
      </c>
      <c r="Q2928" s="120" t="str">
        <f t="shared" si="2517"/>
        <v/>
      </c>
    </row>
    <row r="2929" spans="1:18" s="1236" customFormat="1" ht="18" customHeight="1">
      <c r="A2929" s="1767"/>
      <c r="B2929" s="1853">
        <v>1</v>
      </c>
      <c r="C2929" s="1895" t="s">
        <v>12364</v>
      </c>
      <c r="D2929" s="1902"/>
      <c r="E2929" s="1792"/>
      <c r="F2929" s="1793"/>
      <c r="G2929" s="1784"/>
      <c r="H2929" s="1784"/>
      <c r="I2929" s="1784"/>
      <c r="J2929" s="1182"/>
      <c r="K2929" s="684">
        <f t="shared" si="2575"/>
        <v>1</v>
      </c>
      <c r="L2929" s="708">
        <v>1</v>
      </c>
      <c r="M2929" s="684">
        <f t="shared" si="2519"/>
        <v>1</v>
      </c>
      <c r="N2929" s="362" t="str">
        <f t="shared" si="2514"/>
        <v/>
      </c>
      <c r="O2929" s="1763" t="str">
        <f t="shared" si="2515"/>
        <v/>
      </c>
      <c r="P2929" s="1764" t="str">
        <f t="shared" si="2516"/>
        <v/>
      </c>
      <c r="Q2929" s="120" t="str">
        <f t="shared" si="2517"/>
        <v/>
      </c>
      <c r="R2929" s="185"/>
    </row>
    <row r="2930" spans="1:18" s="695" customFormat="1" ht="18" customHeight="1">
      <c r="A2930" s="693"/>
      <c r="B2930" s="1922">
        <v>1</v>
      </c>
      <c r="C2930" s="1848" t="str">
        <f t="shared" ref="C2930" si="2580">VLOOKUP(D2930,base_datos,6,FALSE)</f>
        <v>Placa lamicoid rotulación de 3mm de espesor, fondo negro y letras blancas.</v>
      </c>
      <c r="D2930" s="1886" t="s">
        <v>8570</v>
      </c>
      <c r="E2930" s="1795">
        <f t="shared" ref="E2930" si="2581">VLOOKUP(D2930,base_datos,5,FALSE)</f>
        <v>2.2000000000000002</v>
      </c>
      <c r="F2930" s="1796">
        <f t="shared" ref="F2930" si="2582">+E2930*B2930</f>
        <v>2.2000000000000002</v>
      </c>
      <c r="G2930" s="696"/>
      <c r="H2930" s="696"/>
      <c r="I2930" s="696"/>
      <c r="J2930" s="697"/>
      <c r="K2930" s="684">
        <f t="shared" si="2575"/>
        <v>1</v>
      </c>
      <c r="L2930" s="708">
        <v>1</v>
      </c>
      <c r="M2930" s="684">
        <f t="shared" si="2519"/>
        <v>1</v>
      </c>
      <c r="N2930" s="362">
        <f t="shared" si="2514"/>
        <v>1</v>
      </c>
      <c r="O2930" s="1763" t="str">
        <f t="shared" si="2515"/>
        <v>Placa lamicoid p/distr.</v>
      </c>
      <c r="P2930" s="1764" t="str">
        <f t="shared" si="2516"/>
        <v>Placa lamicoid rotulación de 3mm de espesor, fondo negro y letras blancas.</v>
      </c>
      <c r="Q2930" s="120" t="str">
        <f t="shared" si="2517"/>
        <v>Placa lamicoid p/distr.</v>
      </c>
      <c r="R2930" s="185"/>
    </row>
    <row r="2931" spans="1:18" s="1236" customFormat="1" ht="18" customHeight="1">
      <c r="A2931" s="1767"/>
      <c r="B2931" s="1853">
        <v>1</v>
      </c>
      <c r="C2931" s="1895" t="s">
        <v>12474</v>
      </c>
      <c r="D2931" s="1902"/>
      <c r="E2931" s="1792"/>
      <c r="F2931" s="1793"/>
      <c r="G2931" s="1784"/>
      <c r="H2931" s="1784"/>
      <c r="I2931" s="1784"/>
      <c r="J2931" s="1182"/>
      <c r="K2931" s="684">
        <f t="shared" si="2575"/>
        <v>1</v>
      </c>
      <c r="L2931" s="708">
        <v>1</v>
      </c>
      <c r="M2931" s="709">
        <f t="shared" si="2519"/>
        <v>1</v>
      </c>
      <c r="N2931" s="362" t="str">
        <f t="shared" si="2514"/>
        <v/>
      </c>
      <c r="O2931" s="1763" t="str">
        <f t="shared" si="2515"/>
        <v/>
      </c>
      <c r="P2931" s="1764" t="str">
        <f t="shared" si="2516"/>
        <v/>
      </c>
      <c r="Q2931" s="120" t="str">
        <f t="shared" si="2517"/>
        <v/>
      </c>
      <c r="R2931" s="185"/>
    </row>
    <row r="2932" spans="1:18" s="1236" customFormat="1" ht="18" customHeight="1">
      <c r="A2932" s="1767"/>
      <c r="B2932" s="1853">
        <v>1</v>
      </c>
      <c r="C2932" s="1848" t="str">
        <f>VLOOKUP(D2932,base_datos,6,FALSE)</f>
        <v>Embalaje especial completamente cerrado para tablero adosado de 1600x600x220mm</v>
      </c>
      <c r="D2932" s="1902" t="s">
        <v>12453</v>
      </c>
      <c r="E2932" s="1795">
        <f t="shared" ref="E2932" si="2583">VLOOKUP(D2932,base_datos,5,FALSE)</f>
        <v>271.40000000000003</v>
      </c>
      <c r="F2932" s="1796">
        <f t="shared" ref="F2932" si="2584">+E2932*B2932</f>
        <v>271.40000000000003</v>
      </c>
      <c r="G2932" s="1784"/>
      <c r="H2932" s="1784"/>
      <c r="I2932" s="1784"/>
      <c r="J2932" s="1182"/>
      <c r="K2932" s="684">
        <f t="shared" si="2575"/>
        <v>1</v>
      </c>
      <c r="L2932" s="708">
        <v>1</v>
      </c>
      <c r="M2932" s="709">
        <f t="shared" si="2519"/>
        <v>1</v>
      </c>
      <c r="N2932" s="362">
        <f t="shared" si="2514"/>
        <v>1</v>
      </c>
      <c r="O2932" s="1763" t="str">
        <f t="shared" si="2515"/>
        <v>EMBAL_ADOS_1600x600x220mm</v>
      </c>
      <c r="P2932" s="1764" t="str">
        <f t="shared" si="2516"/>
        <v>Embalaje especial completamente cerrado para tablero adosado de 1600x600x220mm</v>
      </c>
      <c r="Q2932" s="120" t="str">
        <f t="shared" si="2517"/>
        <v>EMBAL_ADOS_1600x600x220mm</v>
      </c>
      <c r="R2932" s="185"/>
    </row>
    <row r="2933" spans="1:18" s="185" customFormat="1" ht="18" customHeight="1">
      <c r="A2933" s="1785"/>
      <c r="B2933" s="714"/>
      <c r="C2933" s="1893" t="s">
        <v>729</v>
      </c>
      <c r="D2933" s="173"/>
      <c r="E2933" s="1786"/>
      <c r="F2933" s="1787"/>
      <c r="G2933" s="710"/>
      <c r="H2933" s="710"/>
      <c r="I2933" s="710"/>
      <c r="J2933" s="711"/>
      <c r="K2933" s="684">
        <f t="shared" si="2575"/>
        <v>1</v>
      </c>
      <c r="L2933" s="708">
        <v>1</v>
      </c>
      <c r="M2933" s="684">
        <f t="shared" si="2519"/>
        <v>1</v>
      </c>
      <c r="N2933" s="362" t="str">
        <f t="shared" si="2514"/>
        <v/>
      </c>
      <c r="O2933" s="1763" t="str">
        <f t="shared" si="2515"/>
        <v/>
      </c>
      <c r="P2933" s="1764" t="str">
        <f t="shared" si="2516"/>
        <v/>
      </c>
      <c r="Q2933" s="120" t="str">
        <f t="shared" si="2517"/>
        <v/>
      </c>
    </row>
    <row r="2934" spans="1:18" s="695" customFormat="1" ht="18" customHeight="1">
      <c r="A2934" s="693"/>
      <c r="B2934" s="1794">
        <v>1</v>
      </c>
      <c r="C2934" s="1420" t="s">
        <v>316</v>
      </c>
      <c r="D2934" s="1790"/>
      <c r="E2934" s="1795"/>
      <c r="F2934" s="1796"/>
      <c r="G2934" s="696"/>
      <c r="H2934" s="696"/>
      <c r="I2934" s="696"/>
      <c r="J2934" s="697"/>
      <c r="K2934" s="684">
        <f t="shared" si="2575"/>
        <v>1</v>
      </c>
      <c r="L2934" s="708">
        <v>1</v>
      </c>
      <c r="M2934" s="684">
        <f t="shared" si="2519"/>
        <v>1</v>
      </c>
      <c r="N2934" s="362" t="str">
        <f t="shared" si="2514"/>
        <v/>
      </c>
      <c r="O2934" s="1763" t="str">
        <f t="shared" si="2515"/>
        <v/>
      </c>
      <c r="P2934" s="1764" t="str">
        <f t="shared" si="2516"/>
        <v/>
      </c>
      <c r="Q2934" s="120" t="str">
        <f t="shared" si="2517"/>
        <v/>
      </c>
      <c r="R2934" s="185"/>
    </row>
    <row r="2935" spans="1:18" s="185" customFormat="1" ht="18" customHeight="1">
      <c r="A2935" s="1785"/>
      <c r="B2935" s="714"/>
      <c r="C2935" s="1893" t="s">
        <v>729</v>
      </c>
      <c r="D2935" s="173"/>
      <c r="E2935" s="1786"/>
      <c r="F2935" s="1787"/>
      <c r="G2935" s="710"/>
      <c r="H2935" s="710"/>
      <c r="I2935" s="710"/>
      <c r="J2935" s="711"/>
      <c r="K2935" s="684">
        <f t="shared" si="2575"/>
        <v>1</v>
      </c>
      <c r="L2935" s="708">
        <v>1</v>
      </c>
      <c r="M2935" s="684">
        <f t="shared" si="2519"/>
        <v>1</v>
      </c>
      <c r="N2935" s="362" t="str">
        <f t="shared" si="2514"/>
        <v/>
      </c>
      <c r="O2935" s="1763" t="str">
        <f t="shared" si="2515"/>
        <v/>
      </c>
      <c r="P2935" s="1764" t="str">
        <f t="shared" si="2516"/>
        <v/>
      </c>
      <c r="Q2935" s="120" t="str">
        <f t="shared" si="2517"/>
        <v/>
      </c>
    </row>
    <row r="2936" spans="1:18" s="897" customFormat="1" ht="18" customHeight="1">
      <c r="A2936" s="693"/>
      <c r="B2936" s="895">
        <v>10</v>
      </c>
      <c r="C2936" s="1848" t="str">
        <f>VLOOKUP(D2936,base_datos,6,FALSE)</f>
        <v>Rotulado por circuito.</v>
      </c>
      <c r="D2936" s="1579" t="s">
        <v>3067</v>
      </c>
      <c r="E2936" s="1581">
        <f>VLOOKUP(D2936,base_datos,5,FALSE)</f>
        <v>0.7</v>
      </c>
      <c r="F2936" s="1581">
        <f t="shared" ref="F2936:F2941" si="2585">+E2936*B2936</f>
        <v>7</v>
      </c>
      <c r="G2936" s="1772"/>
      <c r="H2936" s="1772"/>
      <c r="I2936" s="1772"/>
      <c r="J2936" s="896"/>
      <c r="K2936" s="684">
        <f t="shared" si="2575"/>
        <v>1</v>
      </c>
      <c r="L2936" s="708">
        <v>1</v>
      </c>
      <c r="M2936" s="684">
        <f t="shared" si="2519"/>
        <v>10</v>
      </c>
      <c r="N2936" s="362" t="str">
        <f t="shared" si="2514"/>
        <v/>
      </c>
      <c r="O2936" s="1763" t="str">
        <f t="shared" si="2515"/>
        <v/>
      </c>
      <c r="P2936" s="1764" t="str">
        <f t="shared" si="2516"/>
        <v/>
      </c>
      <c r="Q2936" s="120" t="str">
        <f t="shared" si="2517"/>
        <v/>
      </c>
    </row>
    <row r="2937" spans="1:18" s="897" customFormat="1" ht="18" customHeight="1">
      <c r="A2937" s="693"/>
      <c r="B2937" s="895">
        <v>1</v>
      </c>
      <c r="C2937" s="1848" t="str">
        <f>VLOOKUP(D2937,base_datos,6,FALSE)</f>
        <v>Rotulado para TAG - Gabinete autosoportado.</v>
      </c>
      <c r="D2937" s="1579" t="s">
        <v>12557</v>
      </c>
      <c r="E2937" s="1581">
        <f>VLOOKUP(D2937,base_datos,5,FALSE)</f>
        <v>3</v>
      </c>
      <c r="F2937" s="1581">
        <f t="shared" si="2585"/>
        <v>3</v>
      </c>
      <c r="G2937" s="1772"/>
      <c r="H2937" s="1772"/>
      <c r="I2937" s="1772"/>
      <c r="J2937" s="896"/>
      <c r="K2937" s="684">
        <f t="shared" si="2575"/>
        <v>1</v>
      </c>
      <c r="L2937" s="708">
        <v>1</v>
      </c>
      <c r="M2937" s="684">
        <f t="shared" si="2519"/>
        <v>1</v>
      </c>
      <c r="N2937" s="362" t="str">
        <f t="shared" si="2514"/>
        <v/>
      </c>
      <c r="O2937" s="1763" t="str">
        <f t="shared" si="2515"/>
        <v/>
      </c>
      <c r="P2937" s="1764" t="str">
        <f t="shared" si="2516"/>
        <v/>
      </c>
      <c r="Q2937" s="120" t="str">
        <f t="shared" si="2517"/>
        <v/>
      </c>
    </row>
    <row r="2938" spans="1:18" s="1237" customFormat="1" ht="18" customHeight="1">
      <c r="A2938" s="1767"/>
      <c r="B2938" s="1773">
        <v>1</v>
      </c>
      <c r="C2938" s="1896" t="s">
        <v>11664</v>
      </c>
      <c r="D2938" s="1887"/>
      <c r="E2938" s="1581">
        <v>300</v>
      </c>
      <c r="F2938" s="1581">
        <f t="shared" si="2585"/>
        <v>300</v>
      </c>
      <c r="G2938" s="1774"/>
      <c r="H2938" s="1774"/>
      <c r="I2938" s="1774"/>
      <c r="J2938" s="1181"/>
      <c r="K2938" s="684">
        <f t="shared" si="2575"/>
        <v>1</v>
      </c>
      <c r="L2938" s="708">
        <v>1</v>
      </c>
      <c r="M2938" s="684">
        <f t="shared" si="2519"/>
        <v>1</v>
      </c>
      <c r="N2938" s="362" t="str">
        <f t="shared" si="2514"/>
        <v/>
      </c>
      <c r="O2938" s="1763" t="str">
        <f t="shared" si="2515"/>
        <v/>
      </c>
      <c r="P2938" s="1764" t="str">
        <f t="shared" si="2516"/>
        <v/>
      </c>
      <c r="Q2938" s="120" t="str">
        <f t="shared" si="2517"/>
        <v/>
      </c>
      <c r="R2938" s="1765"/>
    </row>
    <row r="2939" spans="1:18" s="1237" customFormat="1" ht="18" customHeight="1">
      <c r="A2939" s="1767"/>
      <c r="B2939" s="2093">
        <v>1</v>
      </c>
      <c r="C2939" s="694" t="s">
        <v>12556</v>
      </c>
      <c r="D2939" s="1888"/>
      <c r="E2939" s="1580">
        <f>E2941*10%</f>
        <v>155</v>
      </c>
      <c r="F2939" s="1581">
        <f t="shared" si="2585"/>
        <v>155</v>
      </c>
      <c r="G2939" s="1774"/>
      <c r="H2939" s="1774"/>
      <c r="I2939" s="1774"/>
      <c r="J2939" s="1181"/>
      <c r="K2939" s="684">
        <f t="shared" si="2575"/>
        <v>1</v>
      </c>
      <c r="L2939" s="708">
        <v>1</v>
      </c>
      <c r="M2939" s="709">
        <f t="shared" si="2519"/>
        <v>1</v>
      </c>
      <c r="N2939" s="362" t="str">
        <f t="shared" si="2514"/>
        <v/>
      </c>
      <c r="O2939" s="1763" t="str">
        <f t="shared" si="2515"/>
        <v/>
      </c>
      <c r="P2939" s="1764" t="str">
        <f t="shared" si="2516"/>
        <v/>
      </c>
      <c r="Q2939" s="120" t="str">
        <f t="shared" si="2517"/>
        <v/>
      </c>
      <c r="R2939" s="1765"/>
    </row>
    <row r="2940" spans="1:18" s="1237" customFormat="1" ht="18" customHeight="1">
      <c r="A2940" s="1767"/>
      <c r="B2940" s="1773">
        <v>1</v>
      </c>
      <c r="C2940" s="694" t="s">
        <v>12559</v>
      </c>
      <c r="D2940" s="1888"/>
      <c r="E2940" s="1999">
        <f>E2941*20%</f>
        <v>310</v>
      </c>
      <c r="F2940" s="1581">
        <f t="shared" si="2585"/>
        <v>310</v>
      </c>
      <c r="G2940" s="1774"/>
      <c r="H2940" s="1774"/>
      <c r="I2940" s="1774"/>
      <c r="J2940" s="1181"/>
      <c r="K2940" s="684">
        <f t="shared" si="2575"/>
        <v>1</v>
      </c>
      <c r="L2940" s="708">
        <v>1</v>
      </c>
      <c r="M2940" s="709">
        <f t="shared" si="2519"/>
        <v>1</v>
      </c>
      <c r="N2940" s="362" t="str">
        <f t="shared" si="2514"/>
        <v/>
      </c>
      <c r="O2940" s="1763" t="str">
        <f t="shared" si="2515"/>
        <v/>
      </c>
      <c r="P2940" s="1764" t="str">
        <f t="shared" si="2516"/>
        <v/>
      </c>
      <c r="Q2940" s="120" t="str">
        <f t="shared" si="2517"/>
        <v/>
      </c>
      <c r="R2940" s="1765"/>
    </row>
    <row r="2941" spans="1:18" s="1237" customFormat="1" ht="18" customHeight="1">
      <c r="A2941" s="1767"/>
      <c r="B2941" s="1773">
        <v>1</v>
      </c>
      <c r="C2941" s="1943" t="s">
        <v>12555</v>
      </c>
      <c r="D2941" s="1897"/>
      <c r="E2941" s="1581">
        <v>1550</v>
      </c>
      <c r="F2941" s="1581">
        <f t="shared" si="2585"/>
        <v>1550</v>
      </c>
      <c r="G2941" s="1774"/>
      <c r="H2941" s="1774"/>
      <c r="I2941" s="1774"/>
      <c r="J2941" s="1181"/>
      <c r="K2941" s="684">
        <f t="shared" si="2575"/>
        <v>1</v>
      </c>
      <c r="L2941" s="708">
        <v>1</v>
      </c>
      <c r="M2941" s="684">
        <f t="shared" si="2519"/>
        <v>1</v>
      </c>
      <c r="N2941" s="362" t="str">
        <f t="shared" si="2514"/>
        <v/>
      </c>
      <c r="O2941" s="1763" t="str">
        <f t="shared" si="2515"/>
        <v/>
      </c>
      <c r="P2941" s="1764" t="str">
        <f t="shared" si="2516"/>
        <v/>
      </c>
      <c r="Q2941" s="120" t="str">
        <f t="shared" si="2517"/>
        <v/>
      </c>
      <c r="R2941" s="1765"/>
    </row>
    <row r="2942" spans="1:18" s="20" customFormat="1" ht="18" customHeight="1" thickBot="1">
      <c r="A2942" s="699"/>
      <c r="B2942" s="1775"/>
      <c r="C2942" s="1776"/>
      <c r="D2942" s="1885"/>
      <c r="E2942" s="1981"/>
      <c r="F2942" s="1981"/>
      <c r="G2942" s="1777"/>
      <c r="H2942" s="1777"/>
      <c r="I2942" s="1777"/>
      <c r="J2942" s="1778"/>
      <c r="K2942" s="684"/>
      <c r="L2942" s="363"/>
      <c r="M2942" s="709"/>
      <c r="N2942" s="362" t="str">
        <f t="shared" si="2514"/>
        <v/>
      </c>
      <c r="O2942" s="1763" t="str">
        <f t="shared" si="2515"/>
        <v/>
      </c>
      <c r="P2942" s="1764" t="str">
        <f t="shared" si="2516"/>
        <v/>
      </c>
      <c r="Q2942" s="120" t="str">
        <f t="shared" si="2517"/>
        <v/>
      </c>
      <c r="R2942" s="1765"/>
    </row>
    <row r="2943" spans="1:18" s="120" customFormat="1" ht="18" customHeight="1" thickBot="1">
      <c r="A2943" s="1989">
        <v>47</v>
      </c>
      <c r="B2943" s="1852">
        <v>1</v>
      </c>
      <c r="C2943" s="1756" t="s">
        <v>12608</v>
      </c>
      <c r="D2943" s="1588"/>
      <c r="E2943" s="1589"/>
      <c r="F2943" s="1589"/>
      <c r="G2943" s="1757">
        <f>SUM(F2944:F2988)</f>
        <v>2408.8399999999997</v>
      </c>
      <c r="H2943" s="1758">
        <f>G2943*(1-$D$6)</f>
        <v>2408.8399999999997</v>
      </c>
      <c r="I2943" s="1757">
        <f>ROUNDUP(H2943*$D$5,0)</f>
        <v>8191</v>
      </c>
      <c r="J2943" s="1759">
        <f>+I2943*B2943</f>
        <v>8191</v>
      </c>
      <c r="K2943" s="1788">
        <f>B2943</f>
        <v>1</v>
      </c>
      <c r="L2943" s="363"/>
      <c r="M2943" s="684"/>
      <c r="N2943" s="362" t="str">
        <f t="shared" si="2514"/>
        <v/>
      </c>
      <c r="O2943" s="1763" t="str">
        <f t="shared" si="2515"/>
        <v/>
      </c>
      <c r="P2943" s="1764" t="str">
        <f t="shared" si="2516"/>
        <v/>
      </c>
      <c r="Q2943" s="120" t="str">
        <f t="shared" si="2517"/>
        <v/>
      </c>
      <c r="R2943" s="185"/>
    </row>
    <row r="2944" spans="1:18" s="120" customFormat="1" ht="18" customHeight="1">
      <c r="A2944" s="685" t="s">
        <v>3064</v>
      </c>
      <c r="B2944" s="1903"/>
      <c r="C2944" s="1890"/>
      <c r="D2944" s="1904"/>
      <c r="E2944" s="1789"/>
      <c r="F2944" s="1780"/>
      <c r="G2944" s="686"/>
      <c r="H2944" s="710"/>
      <c r="I2944" s="686"/>
      <c r="J2944" s="1768"/>
      <c r="K2944" s="684">
        <f t="shared" ref="K2944:K2945" si="2586">+K2943</f>
        <v>1</v>
      </c>
      <c r="L2944" s="363">
        <v>1</v>
      </c>
      <c r="M2944" s="709">
        <f t="shared" ref="M2944:M2988" si="2587">IF(B2944="",1,B2944)</f>
        <v>1</v>
      </c>
      <c r="N2944" s="362" t="str">
        <f t="shared" ref="N2944:N2990" si="2588">IF(O2944&lt;&gt;"",K2944*L2944*M2944,"")</f>
        <v/>
      </c>
      <c r="O2944" s="1763" t="str">
        <f t="shared" ref="O2944:O2990" si="2589">IF(D2944&lt;&gt;"",IF(VLOOKUP(D2944,base_datos,7,FALSE)&lt;&gt;"",VLOOKUP(D2944,base_datos,7,FALSE),""),"")</f>
        <v/>
      </c>
      <c r="P2944" s="1764" t="str">
        <f t="shared" ref="P2944:P2990" si="2590">IF(O2944&lt;&gt;"",VLOOKUP(D2944,base_datos,6,FALSE),"")</f>
        <v/>
      </c>
      <c r="Q2944" s="120" t="str">
        <f t="shared" ref="Q2944:Q2990" si="2591">IF(O2944&lt;&gt;"",D2944,"")</f>
        <v/>
      </c>
    </row>
    <row r="2945" spans="1:18" s="315" customFormat="1" ht="12" customHeight="1">
      <c r="A2945" s="687" t="s">
        <v>4021</v>
      </c>
      <c r="B2945" s="2096">
        <v>1</v>
      </c>
      <c r="C2945" s="1907" t="s">
        <v>5103</v>
      </c>
      <c r="D2945" s="1935"/>
      <c r="E2945" s="1786"/>
      <c r="F2945" s="1908">
        <f>SUM(F2947:F2951)*(B2945-1)</f>
        <v>0</v>
      </c>
      <c r="G2945" s="712"/>
      <c r="H2945" s="712"/>
      <c r="I2945" s="712"/>
      <c r="J2945" s="713"/>
      <c r="K2945" s="684">
        <f t="shared" si="2586"/>
        <v>1</v>
      </c>
      <c r="L2945" s="1909">
        <f>B2945</f>
        <v>1</v>
      </c>
      <c r="M2945" s="684">
        <f t="shared" si="2587"/>
        <v>1</v>
      </c>
      <c r="N2945" s="362" t="str">
        <f t="shared" si="2588"/>
        <v/>
      </c>
      <c r="O2945" s="1763" t="str">
        <f t="shared" si="2589"/>
        <v/>
      </c>
      <c r="P2945" s="1764" t="str">
        <f t="shared" si="2590"/>
        <v/>
      </c>
      <c r="Q2945" s="120" t="str">
        <f t="shared" si="2591"/>
        <v/>
      </c>
    </row>
    <row r="2946" spans="1:18" s="185" customFormat="1">
      <c r="A2946" s="687" t="s">
        <v>4136</v>
      </c>
      <c r="B2946" s="1910">
        <v>3</v>
      </c>
      <c r="C2946" s="1911" t="str">
        <f>VLOOKUP(D2946,base_datos,6,FALSE)</f>
        <v>Portalámpara + lampara tipo LED - color Rojo - alimentacion: 220-230Vac, d=22mm. - CL2-523R - línea compacta - marca ABB.</v>
      </c>
      <c r="D2946" s="1790" t="s">
        <v>2439</v>
      </c>
      <c r="E2946" s="1939">
        <f>VLOOKUP(D2946,base_datos,5,FALSE)</f>
        <v>12.299999999999999</v>
      </c>
      <c r="F2946" s="1912">
        <f>+E2946*B2946</f>
        <v>36.9</v>
      </c>
      <c r="G2946" s="710"/>
      <c r="H2946" s="710"/>
      <c r="I2946" s="710"/>
      <c r="J2946" s="711"/>
      <c r="K2946" s="684">
        <f>+K2944</f>
        <v>1</v>
      </c>
      <c r="L2946" s="1913">
        <f>L2944</f>
        <v>1</v>
      </c>
      <c r="M2946" s="684">
        <f t="shared" si="2587"/>
        <v>3</v>
      </c>
      <c r="N2946" s="362">
        <f t="shared" si="2588"/>
        <v>3</v>
      </c>
      <c r="O2946" s="1763" t="str">
        <f t="shared" si="2589"/>
        <v>1SFA619403R5231</v>
      </c>
      <c r="P2946" s="1764" t="str">
        <f t="shared" si="2590"/>
        <v>Portalámpara + lampara tipo LED - color Rojo - alimentacion: 220-230Vac, d=22mm. - CL2-523R - línea compacta - marca ABB.</v>
      </c>
      <c r="Q2946" s="120" t="str">
        <f t="shared" si="2591"/>
        <v>LAMP_ROJO_220V</v>
      </c>
    </row>
    <row r="2947" spans="1:18" s="185" customFormat="1">
      <c r="A2947" s="687"/>
      <c r="B2947" s="1910">
        <v>3</v>
      </c>
      <c r="C2947" s="1911" t="str">
        <f>VLOOKUP(D2947,base_datos,6,FALSE)</f>
        <v>Portalámpara + lampara tipo LED - color Verde - alimentacion: 220-230Vac, d=22mm. - CL2-523G - línea compacta - marca ABB.</v>
      </c>
      <c r="D2947" s="1790" t="s">
        <v>2440</v>
      </c>
      <c r="E2947" s="1939">
        <f>VLOOKUP(D2947,base_datos,5,FALSE)</f>
        <v>12.299999999999999</v>
      </c>
      <c r="F2947" s="1912">
        <f>+E2947*B2947</f>
        <v>36.9</v>
      </c>
      <c r="G2947" s="710"/>
      <c r="H2947" s="710"/>
      <c r="I2947" s="710"/>
      <c r="J2947" s="711"/>
      <c r="K2947" s="684">
        <f t="shared" ref="K2947:K2986" si="2592">+K2945</f>
        <v>1</v>
      </c>
      <c r="L2947" s="1913">
        <f>L2945</f>
        <v>1</v>
      </c>
      <c r="M2947" s="684">
        <f t="shared" si="2587"/>
        <v>3</v>
      </c>
      <c r="N2947" s="362">
        <f t="shared" si="2588"/>
        <v>3</v>
      </c>
      <c r="O2947" s="1763" t="str">
        <f t="shared" si="2589"/>
        <v>1SFA619403R5232</v>
      </c>
      <c r="P2947" s="1764" t="str">
        <f t="shared" si="2590"/>
        <v>Portalámpara + lampara tipo LED - color Verde - alimentacion: 220-230Vac, d=22mm. - CL2-523G - línea compacta - marca ABB.</v>
      </c>
      <c r="Q2947" s="120" t="str">
        <f t="shared" si="2591"/>
        <v>LAMP_VERDE_220V</v>
      </c>
    </row>
    <row r="2948" spans="1:18" s="1921" customFormat="1">
      <c r="A2948" s="687" t="s">
        <v>12356</v>
      </c>
      <c r="B2948" s="1914">
        <v>1</v>
      </c>
      <c r="C2948" s="1915" t="s">
        <v>3366</v>
      </c>
      <c r="D2948" s="1916"/>
      <c r="E2948" s="1917"/>
      <c r="F2948" s="1918"/>
      <c r="G2948" s="1919"/>
      <c r="H2948" s="1919"/>
      <c r="I2948" s="1919"/>
      <c r="J2948" s="1920"/>
      <c r="K2948" s="684">
        <f t="shared" si="2592"/>
        <v>1</v>
      </c>
      <c r="L2948" s="1913">
        <f>L2947</f>
        <v>1</v>
      </c>
      <c r="M2948" s="684">
        <f t="shared" si="2587"/>
        <v>1</v>
      </c>
      <c r="N2948" s="362" t="str">
        <f t="shared" si="2588"/>
        <v/>
      </c>
      <c r="O2948" s="1763" t="str">
        <f t="shared" si="2589"/>
        <v/>
      </c>
      <c r="P2948" s="1764" t="str">
        <f t="shared" si="2590"/>
        <v/>
      </c>
      <c r="Q2948" s="120" t="str">
        <f t="shared" si="2591"/>
        <v/>
      </c>
    </row>
    <row r="2949" spans="1:18" s="320" customFormat="1">
      <c r="A2949" s="687" t="s">
        <v>12522</v>
      </c>
      <c r="B2949" s="1922">
        <v>1</v>
      </c>
      <c r="C2949" s="721" t="str">
        <f>VLOOKUP(D2949,base_datos,6,FALSE)</f>
        <v>Rele auxiliar enchufable +4NA/NC (D2PR4B + base D2PA6), 220Vac - marca EATON.</v>
      </c>
      <c r="D2949" s="1579" t="s">
        <v>772</v>
      </c>
      <c r="E2949" s="1581">
        <f>VLOOKUP(D2949,base_datos,5,FALSE)</f>
        <v>27</v>
      </c>
      <c r="F2949" s="1923">
        <f>+E2949*B2949</f>
        <v>27</v>
      </c>
      <c r="G2949" s="1924"/>
      <c r="H2949" s="1924"/>
      <c r="I2949" s="1924"/>
      <c r="J2949" s="722"/>
      <c r="K2949" s="684">
        <f t="shared" si="2592"/>
        <v>1</v>
      </c>
      <c r="L2949" s="1913">
        <f>L2946</f>
        <v>1</v>
      </c>
      <c r="M2949" s="684">
        <f t="shared" si="2587"/>
        <v>1</v>
      </c>
      <c r="N2949" s="362">
        <f t="shared" si="2588"/>
        <v>1</v>
      </c>
      <c r="O2949" s="1763" t="str">
        <f t="shared" si="2589"/>
        <v>D2PR4B+D2PA6</v>
      </c>
      <c r="P2949" s="1764" t="str">
        <f t="shared" si="2590"/>
        <v>Rele auxiliar enchufable +4NA/NC (D2PR4B + base D2PA6), 220Vac - marca EATON.</v>
      </c>
      <c r="Q2949" s="120" t="str">
        <f t="shared" si="2591"/>
        <v>D2PR4B+D2PA6</v>
      </c>
    </row>
    <row r="2950" spans="1:18" s="320" customFormat="1">
      <c r="A2950" s="1767"/>
      <c r="B2950" s="2131">
        <v>1</v>
      </c>
      <c r="C2950" s="2132" t="s">
        <v>12558</v>
      </c>
      <c r="D2950" s="2133"/>
      <c r="E2950" s="2134">
        <v>32</v>
      </c>
      <c r="F2950" s="2134">
        <f>+E2950*B2950</f>
        <v>32</v>
      </c>
      <c r="G2950" s="1924"/>
      <c r="H2950" s="1924"/>
      <c r="I2950" s="1924"/>
      <c r="J2950" s="722"/>
      <c r="K2950" s="684">
        <f t="shared" si="2592"/>
        <v>1</v>
      </c>
      <c r="L2950" s="1913">
        <f>L2947</f>
        <v>1</v>
      </c>
      <c r="M2950" s="684">
        <f t="shared" si="2587"/>
        <v>1</v>
      </c>
      <c r="N2950" s="362" t="str">
        <f t="shared" si="2588"/>
        <v/>
      </c>
      <c r="O2950" s="1763" t="str">
        <f t="shared" si="2589"/>
        <v/>
      </c>
      <c r="P2950" s="1764" t="str">
        <f t="shared" si="2590"/>
        <v/>
      </c>
      <c r="Q2950" s="120" t="str">
        <f t="shared" si="2591"/>
        <v/>
      </c>
    </row>
    <row r="2951" spans="1:18" s="320" customFormat="1">
      <c r="A2951" s="687" t="s">
        <v>12551</v>
      </c>
      <c r="B2951" s="1922">
        <v>4</v>
      </c>
      <c r="C2951" s="721" t="str">
        <f>VLOOKUP(D2951,base_datos,6,FALSE)</f>
        <v>Base portafusibles + Fusibles de protección para control.</v>
      </c>
      <c r="D2951" s="1579" t="s">
        <v>453</v>
      </c>
      <c r="E2951" s="1581">
        <f>VLOOKUP(D2951,base_datos,5,FALSE)</f>
        <v>8.1750000000000007</v>
      </c>
      <c r="F2951" s="1923">
        <f>+E2951*B2951</f>
        <v>32.700000000000003</v>
      </c>
      <c r="G2951" s="1924"/>
      <c r="H2951" s="1924"/>
      <c r="I2951" s="1924"/>
      <c r="J2951" s="722"/>
      <c r="K2951" s="684">
        <f t="shared" si="2592"/>
        <v>1</v>
      </c>
      <c r="L2951" s="1913">
        <f>L2948</f>
        <v>1</v>
      </c>
      <c r="M2951" s="684">
        <f t="shared" si="2587"/>
        <v>4</v>
      </c>
      <c r="N2951" s="362" t="str">
        <f t="shared" si="2588"/>
        <v/>
      </c>
      <c r="O2951" s="1763" t="str">
        <f t="shared" si="2589"/>
        <v/>
      </c>
      <c r="P2951" s="1764" t="str">
        <f t="shared" si="2590"/>
        <v/>
      </c>
      <c r="Q2951" s="120" t="str">
        <f t="shared" si="2591"/>
        <v/>
      </c>
    </row>
    <row r="2952" spans="1:18" s="315" customFormat="1">
      <c r="A2952" s="687" t="s">
        <v>3542</v>
      </c>
      <c r="B2952" s="1906"/>
      <c r="C2952" s="1907"/>
      <c r="D2952" s="1935"/>
      <c r="E2952" s="1786"/>
      <c r="F2952" s="1936"/>
      <c r="G2952" s="712"/>
      <c r="H2952" s="712"/>
      <c r="I2952" s="712"/>
      <c r="J2952" s="713"/>
      <c r="K2952" s="684">
        <f t="shared" si="2592"/>
        <v>1</v>
      </c>
      <c r="L2952" s="1909">
        <f>B2952</f>
        <v>0</v>
      </c>
      <c r="M2952" s="684">
        <f t="shared" si="2587"/>
        <v>1</v>
      </c>
      <c r="N2952" s="362" t="str">
        <f t="shared" si="2588"/>
        <v/>
      </c>
      <c r="O2952" s="1763" t="str">
        <f t="shared" si="2589"/>
        <v/>
      </c>
      <c r="P2952" s="1764" t="str">
        <f t="shared" si="2590"/>
        <v/>
      </c>
      <c r="Q2952" s="120" t="str">
        <f t="shared" si="2591"/>
        <v/>
      </c>
    </row>
    <row r="2953" spans="1:18" s="185" customFormat="1" ht="13.5" customHeight="1">
      <c r="A2953" s="1771"/>
      <c r="B2953" s="1922"/>
      <c r="C2953" s="1956" t="s">
        <v>12368</v>
      </c>
      <c r="D2953" s="1579"/>
      <c r="E2953" s="1957"/>
      <c r="F2953" s="1958"/>
      <c r="G2953" s="710"/>
      <c r="H2953" s="710"/>
      <c r="I2953" s="710"/>
      <c r="J2953" s="711"/>
      <c r="K2953" s="684">
        <f t="shared" si="2592"/>
        <v>1</v>
      </c>
      <c r="L2953" s="708">
        <v>1</v>
      </c>
      <c r="M2953" s="684">
        <f t="shared" si="2587"/>
        <v>1</v>
      </c>
      <c r="N2953" s="362" t="str">
        <f t="shared" si="2588"/>
        <v/>
      </c>
      <c r="O2953" s="1763" t="str">
        <f t="shared" si="2589"/>
        <v/>
      </c>
      <c r="P2953" s="1764" t="str">
        <f t="shared" si="2590"/>
        <v/>
      </c>
      <c r="Q2953" s="120" t="str">
        <f t="shared" si="2591"/>
        <v/>
      </c>
    </row>
    <row r="2954" spans="1:18" s="120" customFormat="1" ht="18" customHeight="1">
      <c r="A2954" s="1767"/>
      <c r="B2954" s="1781"/>
      <c r="C2954" s="1218" t="s">
        <v>3158</v>
      </c>
      <c r="D2954" s="1900"/>
      <c r="E2954" s="1791"/>
      <c r="F2954" s="1782"/>
      <c r="G2954" s="686"/>
      <c r="H2954" s="686"/>
      <c r="I2954" s="686"/>
      <c r="J2954" s="688"/>
      <c r="K2954" s="684">
        <f t="shared" si="2592"/>
        <v>1</v>
      </c>
      <c r="L2954" s="708">
        <v>1</v>
      </c>
      <c r="M2954" s="684">
        <f t="shared" si="2587"/>
        <v>1</v>
      </c>
      <c r="N2954" s="362" t="str">
        <f t="shared" si="2588"/>
        <v/>
      </c>
      <c r="O2954" s="1763" t="str">
        <f t="shared" si="2589"/>
        <v/>
      </c>
      <c r="P2954" s="1764" t="str">
        <f t="shared" si="2590"/>
        <v/>
      </c>
      <c r="Q2954" s="120" t="str">
        <f t="shared" si="2591"/>
        <v/>
      </c>
      <c r="R2954" s="185"/>
    </row>
    <row r="2955" spans="1:18" s="690" customFormat="1" ht="18" customHeight="1">
      <c r="A2955" s="1767"/>
      <c r="B2955" s="1781">
        <v>1</v>
      </c>
      <c r="C2955" s="1420" t="str">
        <f>VLOOKUP(D2955,base_datos,6,FALSE)</f>
        <v>ITM Caja Moldeada 3x40A (reg.[0.7-1.0] In) - XT1B160-40A-3P-TMD - 25kA@230Vac, 18kA@415Vac, 18kA@250Vdc - marca ABB.</v>
      </c>
      <c r="D2955" s="1901" t="s">
        <v>4366</v>
      </c>
      <c r="E2955" s="1791">
        <f>VLOOKUP(D2955,base_datos,5,FALSE)</f>
        <v>120.37</v>
      </c>
      <c r="F2955" s="1782">
        <f>+E2955*B2955</f>
        <v>120.37</v>
      </c>
      <c r="G2955" s="1761"/>
      <c r="H2955" s="1761"/>
      <c r="I2955" s="1761"/>
      <c r="J2955" s="689"/>
      <c r="K2955" s="684">
        <f t="shared" si="2592"/>
        <v>1</v>
      </c>
      <c r="L2955" s="708">
        <v>1</v>
      </c>
      <c r="M2955" s="684">
        <f t="shared" si="2587"/>
        <v>1</v>
      </c>
      <c r="N2955" s="362">
        <f t="shared" si="2588"/>
        <v>1</v>
      </c>
      <c r="O2955" s="1763" t="str">
        <f t="shared" si="2589"/>
        <v>1SDA066803R1</v>
      </c>
      <c r="P2955" s="1764" t="str">
        <f t="shared" si="2590"/>
        <v>ITM Caja Moldeada 3x40A (reg.[0.7-1.0] In) - XT1B160-40A-3P-TMD - 25kA@230Vac, 18kA@415Vac, 18kA@250Vdc - marca ABB.</v>
      </c>
      <c r="Q2955" s="120" t="str">
        <f t="shared" si="2591"/>
        <v>XT1B160-40A-3P-TMD</v>
      </c>
      <c r="R2955" s="185"/>
    </row>
    <row r="2956" spans="1:18" s="185" customFormat="1">
      <c r="A2956" s="1767"/>
      <c r="B2956" s="714"/>
      <c r="C2956" s="313" t="s">
        <v>729</v>
      </c>
      <c r="D2956" s="173"/>
      <c r="E2956" s="1786"/>
      <c r="F2956" s="1787"/>
      <c r="G2956" s="710"/>
      <c r="H2956" s="710"/>
      <c r="I2956" s="710"/>
      <c r="J2956" s="711"/>
      <c r="K2956" s="684">
        <f t="shared" si="2592"/>
        <v>1</v>
      </c>
      <c r="L2956" s="708">
        <v>1</v>
      </c>
      <c r="M2956" s="684">
        <f t="shared" si="2587"/>
        <v>1</v>
      </c>
      <c r="N2956" s="362" t="str">
        <f t="shared" si="2588"/>
        <v/>
      </c>
      <c r="O2956" s="1763" t="str">
        <f t="shared" si="2589"/>
        <v/>
      </c>
      <c r="P2956" s="1764" t="str">
        <f t="shared" si="2590"/>
        <v/>
      </c>
      <c r="Q2956" s="120" t="str">
        <f t="shared" si="2591"/>
        <v/>
      </c>
    </row>
    <row r="2957" spans="1:18" s="1766" customFormat="1" ht="18" customHeight="1">
      <c r="A2957" s="1767"/>
      <c r="B2957" s="1769"/>
      <c r="C2957" s="1770" t="s">
        <v>11663</v>
      </c>
      <c r="D2957" s="1901"/>
      <c r="E2957" s="1581"/>
      <c r="F2957" s="1581"/>
      <c r="G2957" s="1761"/>
      <c r="H2957" s="1761"/>
      <c r="I2957" s="1761"/>
      <c r="J2957" s="1762"/>
      <c r="K2957" s="684">
        <f t="shared" si="2592"/>
        <v>1</v>
      </c>
      <c r="L2957" s="708">
        <v>1</v>
      </c>
      <c r="M2957" s="684">
        <f t="shared" si="2587"/>
        <v>1</v>
      </c>
      <c r="N2957" s="362" t="str">
        <f t="shared" si="2588"/>
        <v/>
      </c>
      <c r="O2957" s="1763" t="str">
        <f t="shared" si="2589"/>
        <v/>
      </c>
      <c r="P2957" s="1764" t="str">
        <f t="shared" si="2590"/>
        <v/>
      </c>
      <c r="Q2957" s="120" t="str">
        <f t="shared" si="2591"/>
        <v/>
      </c>
      <c r="R2957" s="1765"/>
    </row>
    <row r="2958" spans="1:18" s="1766" customFormat="1" ht="18" customHeight="1">
      <c r="A2958" s="1767"/>
      <c r="B2958" s="1760">
        <v>1</v>
      </c>
      <c r="C2958" s="1892" t="str">
        <f t="shared" ref="C2958:C2962" si="2593">VLOOKUP(D2958,base_datos,6,FALSE)</f>
        <v>Analizador de Redes DIRIS-A30 - precisión (V, I) 0.2%, precisión de energía activa / reactiva: clase 0,5S / clase 2 - marca SOCOMEC.</v>
      </c>
      <c r="D2958" s="1898" t="s">
        <v>12164</v>
      </c>
      <c r="E2958" s="1581">
        <f t="shared" ref="E2958:E2962" si="2594">VLOOKUP(D2958,base_datos,5,FALSE)</f>
        <v>633.64</v>
      </c>
      <c r="F2958" s="1581">
        <f t="shared" ref="F2958:F2962" si="2595">+E2958*B2958</f>
        <v>633.64</v>
      </c>
      <c r="G2958" s="1761"/>
      <c r="H2958" s="1761"/>
      <c r="I2958" s="1761"/>
      <c r="J2958" s="1762"/>
      <c r="K2958" s="684">
        <f t="shared" si="2592"/>
        <v>1</v>
      </c>
      <c r="L2958" s="708">
        <v>1</v>
      </c>
      <c r="M2958" s="684">
        <f t="shared" si="2587"/>
        <v>1</v>
      </c>
      <c r="N2958" s="362">
        <f t="shared" si="2588"/>
        <v>1</v>
      </c>
      <c r="O2958" s="1763" t="str">
        <f t="shared" si="2589"/>
        <v>4825 0403</v>
      </c>
      <c r="P2958" s="1764" t="str">
        <f t="shared" si="2590"/>
        <v>Analizador de Redes DIRIS-A30 - precisión (V, I) 0.2%, precisión de energía activa / reactiva: clase 0,5S / clase 2 - marca SOCOMEC.</v>
      </c>
      <c r="Q2958" s="120" t="str">
        <f t="shared" si="2591"/>
        <v>DIRIS-A30</v>
      </c>
      <c r="R2958" s="1765"/>
    </row>
    <row r="2959" spans="1:18" s="1766" customFormat="1" ht="18" customHeight="1">
      <c r="A2959" s="687"/>
      <c r="B2959" s="1760">
        <v>1</v>
      </c>
      <c r="C2959" s="1990" t="str">
        <f t="shared" si="2593"/>
        <v>Módulo de comunicación RS 485 MODBUS, para Analizador de Red, DIRIS-A30, marca SOCOMEC.</v>
      </c>
      <c r="D2959" s="144" t="s">
        <v>12166</v>
      </c>
      <c r="E2959" s="1581">
        <f t="shared" si="2594"/>
        <v>115.64</v>
      </c>
      <c r="F2959" s="1581">
        <f t="shared" si="2595"/>
        <v>115.64</v>
      </c>
      <c r="G2959" s="1761"/>
      <c r="H2959" s="1761"/>
      <c r="I2959" s="1761"/>
      <c r="J2959" s="1762"/>
      <c r="K2959" s="684">
        <f>+K2955</f>
        <v>1</v>
      </c>
      <c r="L2959" s="708">
        <v>1</v>
      </c>
      <c r="M2959" s="709">
        <f t="shared" si="2587"/>
        <v>1</v>
      </c>
      <c r="N2959" s="362">
        <f t="shared" si="2588"/>
        <v>1</v>
      </c>
      <c r="O2959" s="1763" t="str">
        <f t="shared" si="2589"/>
        <v>4825 0092</v>
      </c>
      <c r="P2959" s="1764" t="str">
        <f t="shared" si="2590"/>
        <v>Módulo de comunicación RS 485 MODBUS, para Analizador de Red, DIRIS-A30, marca SOCOMEC.</v>
      </c>
      <c r="Q2959" s="120" t="str">
        <f t="shared" si="2591"/>
        <v>DIRIS-A30/Com</v>
      </c>
      <c r="R2959" s="1765"/>
    </row>
    <row r="2960" spans="1:18" s="1766" customFormat="1" ht="18" customHeight="1">
      <c r="A2960" s="1785"/>
      <c r="B2960" s="1760">
        <f>3*B2958</f>
        <v>3</v>
      </c>
      <c r="C2960" s="1892" t="str">
        <f t="shared" si="2593"/>
        <v>Transformador de corriente de 50/5A</v>
      </c>
      <c r="D2960" s="1899" t="s">
        <v>8260</v>
      </c>
      <c r="E2960" s="1581">
        <f t="shared" si="2594"/>
        <v>65</v>
      </c>
      <c r="F2960" s="1581">
        <f t="shared" si="2595"/>
        <v>195</v>
      </c>
      <c r="G2960" s="1761"/>
      <c r="H2960" s="1761"/>
      <c r="I2960" s="1761"/>
      <c r="J2960" s="1762"/>
      <c r="K2960" s="684">
        <f>+K2957</f>
        <v>1</v>
      </c>
      <c r="L2960" s="708">
        <v>1</v>
      </c>
      <c r="M2960" s="684">
        <f t="shared" si="2587"/>
        <v>3</v>
      </c>
      <c r="N2960" s="362" t="str">
        <f t="shared" si="2588"/>
        <v/>
      </c>
      <c r="O2960" s="1763" t="str">
        <f t="shared" si="2589"/>
        <v/>
      </c>
      <c r="P2960" s="1764" t="str">
        <f t="shared" si="2590"/>
        <v/>
      </c>
      <c r="Q2960" s="120" t="str">
        <f t="shared" si="2591"/>
        <v/>
      </c>
      <c r="R2960" s="1765"/>
    </row>
    <row r="2961" spans="1:20" s="1766" customFormat="1" ht="18" customHeight="1">
      <c r="A2961" s="1767"/>
      <c r="B2961" s="1760">
        <f>5*B2958</f>
        <v>5</v>
      </c>
      <c r="C2961" s="1892" t="str">
        <f t="shared" si="2593"/>
        <v>Base portafusibles + Fusibles de protección para control.</v>
      </c>
      <c r="D2961" s="1899" t="s">
        <v>453</v>
      </c>
      <c r="E2961" s="1581">
        <f t="shared" si="2594"/>
        <v>8.1750000000000007</v>
      </c>
      <c r="F2961" s="1581">
        <f t="shared" si="2595"/>
        <v>40.875</v>
      </c>
      <c r="G2961" s="1761"/>
      <c r="H2961" s="1761"/>
      <c r="I2961" s="1761"/>
      <c r="J2961" s="1762"/>
      <c r="K2961" s="684">
        <f>+K2958</f>
        <v>1</v>
      </c>
      <c r="L2961" s="708">
        <v>1</v>
      </c>
      <c r="M2961" s="684">
        <f t="shared" si="2587"/>
        <v>5</v>
      </c>
      <c r="N2961" s="362" t="str">
        <f t="shared" si="2588"/>
        <v/>
      </c>
      <c r="O2961" s="1763" t="str">
        <f t="shared" si="2589"/>
        <v/>
      </c>
      <c r="P2961" s="1764" t="str">
        <f t="shared" si="2590"/>
        <v/>
      </c>
      <c r="Q2961" s="120" t="str">
        <f t="shared" si="2591"/>
        <v/>
      </c>
      <c r="R2961" s="1765"/>
    </row>
    <row r="2962" spans="1:20" s="1766" customFormat="1" ht="18" customHeight="1">
      <c r="A2962" s="693"/>
      <c r="B2962" s="1760">
        <f>6*B2958</f>
        <v>6</v>
      </c>
      <c r="C2962" s="1892" t="str">
        <f t="shared" si="2593"/>
        <v>Bornes seccionables de corriente.</v>
      </c>
      <c r="D2962" s="1899" t="s">
        <v>435</v>
      </c>
      <c r="E2962" s="1581">
        <f t="shared" si="2594"/>
        <v>12</v>
      </c>
      <c r="F2962" s="1581">
        <f t="shared" si="2595"/>
        <v>72</v>
      </c>
      <c r="G2962" s="1761"/>
      <c r="H2962" s="1761"/>
      <c r="I2962" s="1761"/>
      <c r="J2962" s="1762"/>
      <c r="K2962" s="684">
        <f t="shared" si="2592"/>
        <v>1</v>
      </c>
      <c r="L2962" s="708">
        <v>1</v>
      </c>
      <c r="M2962" s="684">
        <f t="shared" si="2587"/>
        <v>6</v>
      </c>
      <c r="N2962" s="362" t="str">
        <f t="shared" si="2588"/>
        <v/>
      </c>
      <c r="O2962" s="1763" t="str">
        <f t="shared" si="2589"/>
        <v/>
      </c>
      <c r="P2962" s="1764" t="str">
        <f t="shared" si="2590"/>
        <v/>
      </c>
      <c r="Q2962" s="120" t="str">
        <f t="shared" si="2591"/>
        <v/>
      </c>
      <c r="R2962" s="1765"/>
    </row>
    <row r="2963" spans="1:20" s="185" customFormat="1" ht="18" customHeight="1">
      <c r="A2963" s="693"/>
      <c r="B2963" s="714"/>
      <c r="C2963" s="1893" t="s">
        <v>729</v>
      </c>
      <c r="D2963" s="173"/>
      <c r="E2963" s="1581"/>
      <c r="F2963" s="1581"/>
      <c r="G2963" s="710"/>
      <c r="H2963" s="710"/>
      <c r="I2963" s="710"/>
      <c r="J2963" s="711"/>
      <c r="K2963" s="684">
        <f t="shared" si="2592"/>
        <v>1</v>
      </c>
      <c r="L2963" s="708">
        <v>1</v>
      </c>
      <c r="M2963" s="684">
        <f t="shared" si="2587"/>
        <v>1</v>
      </c>
      <c r="N2963" s="362" t="str">
        <f t="shared" si="2588"/>
        <v/>
      </c>
      <c r="O2963" s="1763" t="str">
        <f t="shared" si="2589"/>
        <v/>
      </c>
      <c r="P2963" s="1764" t="str">
        <f t="shared" si="2590"/>
        <v/>
      </c>
      <c r="Q2963" s="120" t="str">
        <f t="shared" si="2591"/>
        <v/>
      </c>
      <c r="R2963" s="1765"/>
    </row>
    <row r="2964" spans="1:20" s="690" customFormat="1" ht="18" customHeight="1">
      <c r="A2964" s="1767"/>
      <c r="B2964" s="1851"/>
      <c r="C2964" s="1894" t="s">
        <v>3377</v>
      </c>
      <c r="D2964" s="1582"/>
      <c r="E2964" s="1780"/>
      <c r="F2964" s="1782"/>
      <c r="G2964" s="1761"/>
      <c r="H2964" s="1761"/>
      <c r="I2964" s="1761"/>
      <c r="J2964" s="689"/>
      <c r="K2964" s="684">
        <f t="shared" si="2592"/>
        <v>1</v>
      </c>
      <c r="L2964" s="708">
        <v>1</v>
      </c>
      <c r="M2964" s="684">
        <f t="shared" si="2587"/>
        <v>1</v>
      </c>
      <c r="N2964" s="362" t="str">
        <f t="shared" si="2588"/>
        <v/>
      </c>
      <c r="O2964" s="1763" t="str">
        <f t="shared" si="2589"/>
        <v/>
      </c>
      <c r="P2964" s="1764" t="str">
        <f t="shared" si="2590"/>
        <v/>
      </c>
      <c r="Q2964" s="120" t="str">
        <f t="shared" si="2591"/>
        <v/>
      </c>
      <c r="R2964" s="185"/>
    </row>
    <row r="2965" spans="1:20" s="690" customFormat="1" ht="18" customHeight="1">
      <c r="A2965" s="1767"/>
      <c r="B2965" s="1781">
        <v>1</v>
      </c>
      <c r="C2965" s="1420" t="str">
        <f t="shared" ref="C2965:C2966" si="2596">VLOOKUP(D2965,base_datos,6,FALSE)</f>
        <v>ITM Caja Moldeada 3x32A (reg.[0.7-1.0] In) - XT1B160-32A-3P-TMD - 25kA@230Vac, 18kA@415Vac, 18kA@250Vdc - marca ABB.</v>
      </c>
      <c r="D2965" s="1901" t="s">
        <v>4364</v>
      </c>
      <c r="E2965" s="1791">
        <f>VLOOKUP(D2965,base_datos,5,FALSE)</f>
        <v>120.37</v>
      </c>
      <c r="F2965" s="1782">
        <f t="shared" ref="F2965:F2966" si="2597">+E2965*B2965</f>
        <v>120.37</v>
      </c>
      <c r="G2965" s="1761"/>
      <c r="H2965" s="1761"/>
      <c r="I2965" s="1761"/>
      <c r="J2965" s="1783"/>
      <c r="K2965" s="684">
        <f t="shared" si="2592"/>
        <v>1</v>
      </c>
      <c r="L2965" s="708">
        <v>1</v>
      </c>
      <c r="M2965" s="684">
        <f t="shared" ref="M2965:M2966" si="2598">IF(B2965="",1,B2965)</f>
        <v>1</v>
      </c>
      <c r="N2965" s="362">
        <f t="shared" ref="N2965:N2966" si="2599">IF(O2965&lt;&gt;"",K2965*L2965*M2965,"")</f>
        <v>1</v>
      </c>
      <c r="O2965" s="1763" t="str">
        <f t="shared" ref="O2965:O2966" si="2600">IF(D2965&lt;&gt;"",IF(VLOOKUP(D2965,base_datos,7,FALSE)&lt;&gt;"",VLOOKUP(D2965,base_datos,7,FALSE),""),"")</f>
        <v>1SDA066802R1</v>
      </c>
      <c r="P2965" s="1764" t="str">
        <f t="shared" ref="P2965:P2966" si="2601">IF(O2965&lt;&gt;"",VLOOKUP(D2965,base_datos,6,FALSE),"")</f>
        <v>ITM Caja Moldeada 3x32A (reg.[0.7-1.0] In) - XT1B160-32A-3P-TMD - 25kA@230Vac, 18kA@415Vac, 18kA@250Vdc - marca ABB.</v>
      </c>
      <c r="Q2965" s="120" t="str">
        <f t="shared" ref="Q2965:Q2966" si="2602">IF(O2965&lt;&gt;"",D2965,"")</f>
        <v>XT1B160-32A-3P-TMD</v>
      </c>
      <c r="R2965" s="185"/>
    </row>
    <row r="2966" spans="1:20" s="690" customFormat="1" ht="18" customHeight="1">
      <c r="A2966" s="1767"/>
      <c r="B2966" s="1781">
        <v>1</v>
      </c>
      <c r="C2966" s="1420" t="str">
        <f t="shared" si="2596"/>
        <v>ITM Caja Moldeada 3x25A (reg.[0.7-1.0] In)  - XT1B160-25A-3P-TMD - 25kA@230Vac,18kA@415Vac, 18kA@250Vdc - marca ABB.</v>
      </c>
      <c r="D2966" s="1901" t="s">
        <v>4362</v>
      </c>
      <c r="E2966" s="1791">
        <f>VLOOKUP(D2966,base_datos,5,FALSE)</f>
        <v>120.37</v>
      </c>
      <c r="F2966" s="1782">
        <f t="shared" si="2597"/>
        <v>120.37</v>
      </c>
      <c r="G2966" s="1761"/>
      <c r="H2966" s="1761"/>
      <c r="I2966" s="1761"/>
      <c r="J2966" s="1783"/>
      <c r="K2966" s="684">
        <f t="shared" si="2592"/>
        <v>1</v>
      </c>
      <c r="L2966" s="708">
        <v>1</v>
      </c>
      <c r="M2966" s="684">
        <f t="shared" si="2598"/>
        <v>1</v>
      </c>
      <c r="N2966" s="362">
        <f t="shared" si="2599"/>
        <v>1</v>
      </c>
      <c r="O2966" s="1763" t="str">
        <f t="shared" si="2600"/>
        <v>1SDA066801R1</v>
      </c>
      <c r="P2966" s="1764" t="str">
        <f t="shared" si="2601"/>
        <v>ITM Caja Moldeada 3x25A (reg.[0.7-1.0] In)  - XT1B160-25A-3P-TMD - 25kA@230Vac,18kA@415Vac, 18kA@250Vdc - marca ABB.</v>
      </c>
      <c r="Q2966" s="120" t="str">
        <f t="shared" si="2602"/>
        <v>XT1B160-25A-3P-TMD</v>
      </c>
      <c r="R2966" s="185"/>
    </row>
    <row r="2967" spans="1:20" s="690" customFormat="1" ht="18" customHeight="1">
      <c r="A2967" s="1767"/>
      <c r="B2967" s="1781">
        <v>1</v>
      </c>
      <c r="C2967" s="1420" t="str">
        <f t="shared" ref="C2967:C2968" si="2603">VLOOKUP(D2967,base_datos,6,FALSE)</f>
        <v>ITM Caja Moldeada 3x20A (reg.[0.7-1.0] In) - XT1B160-20A-3P-TMD - 25kA@230Vac, 18kA@415Vac, 18kA@250Vdc - marca ABB.</v>
      </c>
      <c r="D2967" s="1901" t="s">
        <v>4360</v>
      </c>
      <c r="E2967" s="1791">
        <f>VLOOKUP(D2967,base_datos,5,FALSE)</f>
        <v>120.37</v>
      </c>
      <c r="F2967" s="1782">
        <f t="shared" ref="F2967:F2968" si="2604">+E2967*B2967</f>
        <v>120.37</v>
      </c>
      <c r="G2967" s="1761"/>
      <c r="H2967" s="1761"/>
      <c r="I2967" s="1761"/>
      <c r="J2967" s="1783"/>
      <c r="K2967" s="684">
        <f t="shared" si="2592"/>
        <v>1</v>
      </c>
      <c r="L2967" s="708">
        <v>1</v>
      </c>
      <c r="M2967" s="684">
        <f t="shared" si="2587"/>
        <v>1</v>
      </c>
      <c r="N2967" s="362">
        <f t="shared" si="2588"/>
        <v>1</v>
      </c>
      <c r="O2967" s="1763" t="str">
        <f t="shared" si="2589"/>
        <v>1SDA066800R1</v>
      </c>
      <c r="P2967" s="1764" t="str">
        <f t="shared" si="2590"/>
        <v>ITM Caja Moldeada 3x20A (reg.[0.7-1.0] In) - XT1B160-20A-3P-TMD - 25kA@230Vac, 18kA@415Vac, 18kA@250Vdc - marca ABB.</v>
      </c>
      <c r="Q2967" s="120" t="str">
        <f t="shared" si="2591"/>
        <v>XT1B160-20A-3P-TMD</v>
      </c>
      <c r="R2967" s="185"/>
    </row>
    <row r="2968" spans="1:20" s="690" customFormat="1" ht="18" customHeight="1">
      <c r="A2968" s="1767"/>
      <c r="B2968" s="1781">
        <v>1</v>
      </c>
      <c r="C2968" s="1420" t="str">
        <f t="shared" si="2603"/>
        <v>Espacio de reserva trifásica - Caja moldeada.</v>
      </c>
      <c r="D2968" s="1901" t="s">
        <v>2932</v>
      </c>
      <c r="E2968" s="1791">
        <f>VLOOKUP(D2968,base_datos,5,FALSE)</f>
        <v>15</v>
      </c>
      <c r="F2968" s="1782">
        <f t="shared" si="2604"/>
        <v>15</v>
      </c>
      <c r="G2968" s="1761"/>
      <c r="H2968" s="1761"/>
      <c r="I2968" s="1761"/>
      <c r="J2968" s="1783"/>
      <c r="K2968" s="684">
        <f t="shared" si="2592"/>
        <v>1</v>
      </c>
      <c r="L2968" s="708">
        <v>1</v>
      </c>
      <c r="M2968" s="684">
        <f t="shared" si="2587"/>
        <v>1</v>
      </c>
      <c r="N2968" s="362" t="str">
        <f t="shared" si="2588"/>
        <v/>
      </c>
      <c r="O2968" s="1763" t="str">
        <f t="shared" si="2589"/>
        <v/>
      </c>
      <c r="P2968" s="1764" t="str">
        <f t="shared" si="2590"/>
        <v/>
      </c>
      <c r="Q2968" s="120" t="str">
        <f t="shared" si="2591"/>
        <v/>
      </c>
      <c r="R2968" s="185"/>
    </row>
    <row r="2969" spans="1:20" s="185" customFormat="1" ht="18" customHeight="1">
      <c r="A2969" s="1785"/>
      <c r="B2969" s="714"/>
      <c r="C2969" s="1893" t="s">
        <v>729</v>
      </c>
      <c r="D2969" s="173"/>
      <c r="E2969" s="1786"/>
      <c r="F2969" s="1787"/>
      <c r="G2969" s="710"/>
      <c r="H2969" s="710"/>
      <c r="I2969" s="710"/>
      <c r="J2969" s="711"/>
      <c r="K2969" s="684">
        <f t="shared" si="2592"/>
        <v>1</v>
      </c>
      <c r="L2969" s="708">
        <v>1</v>
      </c>
      <c r="M2969" s="684">
        <f t="shared" si="2587"/>
        <v>1</v>
      </c>
      <c r="N2969" s="362" t="str">
        <f t="shared" si="2588"/>
        <v/>
      </c>
      <c r="O2969" s="1763" t="str">
        <f t="shared" si="2589"/>
        <v/>
      </c>
      <c r="P2969" s="1764" t="str">
        <f t="shared" si="2590"/>
        <v/>
      </c>
      <c r="Q2969" s="120" t="str">
        <f t="shared" si="2591"/>
        <v/>
      </c>
    </row>
    <row r="2970" spans="1:20" s="315" customFormat="1" ht="12.75" customHeight="1">
      <c r="A2970" s="2271"/>
      <c r="B2970" s="2272">
        <v>1</v>
      </c>
      <c r="C2970" s="2281" t="s">
        <v>13366</v>
      </c>
      <c r="D2970" s="1935"/>
      <c r="E2970" s="2287"/>
      <c r="F2970" s="2257">
        <f>+SUM(F2971:F2974)*(B2970-1)</f>
        <v>0</v>
      </c>
      <c r="G2970" s="712"/>
      <c r="H2970" s="712"/>
      <c r="I2970" s="712"/>
      <c r="J2970" s="713"/>
      <c r="K2970" s="684">
        <f t="shared" ref="K2970:K2975" si="2605">+K2969</f>
        <v>1</v>
      </c>
      <c r="L2970" s="2258">
        <v>1</v>
      </c>
      <c r="M2970" s="120">
        <f t="shared" si="2587"/>
        <v>1</v>
      </c>
      <c r="N2970" s="112" t="str">
        <f t="shared" si="2588"/>
        <v/>
      </c>
      <c r="O2970" s="112" t="str">
        <f t="shared" si="2589"/>
        <v/>
      </c>
      <c r="P2970" s="120" t="str">
        <f t="shared" si="2590"/>
        <v/>
      </c>
      <c r="Q2970" s="120" t="str">
        <f t="shared" si="2591"/>
        <v/>
      </c>
      <c r="S2970" s="112" t="str">
        <f t="shared" ref="S2970:S2975" si="2606">IF(O2970&lt;&gt;"",VLOOKUP(D2970,base_datos,9,FALSE),"")</f>
        <v/>
      </c>
      <c r="T2970" s="2128"/>
    </row>
    <row r="2971" spans="1:20" s="690" customFormat="1" ht="18" customHeight="1">
      <c r="A2971" s="2273"/>
      <c r="B2971" s="1781">
        <v>1</v>
      </c>
      <c r="C2971" s="1420" t="str">
        <f t="shared" ref="C2971:C2974" si="2607">VLOOKUP(D2971,base_datos,6,FALSE)</f>
        <v>Calefactor resistivo 60W, modelo RACM - marca FANDIS.</v>
      </c>
      <c r="D2971" s="1899" t="s">
        <v>3298</v>
      </c>
      <c r="E2971" s="2288">
        <f t="shared" ref="E2971" si="2608">VLOOKUP(D2971,base_datos,5,FALSE)</f>
        <v>127.1</v>
      </c>
      <c r="F2971" s="1782">
        <f>+E2971*B2971</f>
        <v>127.1</v>
      </c>
      <c r="G2971" s="1761"/>
      <c r="H2971" s="1761"/>
      <c r="I2971" s="1761"/>
      <c r="J2971" s="689"/>
      <c r="K2971" s="684">
        <f t="shared" si="2605"/>
        <v>1</v>
      </c>
      <c r="L2971" s="2258">
        <v>1</v>
      </c>
      <c r="M2971" s="120">
        <f t="shared" si="2587"/>
        <v>1</v>
      </c>
      <c r="N2971" s="112">
        <f t="shared" si="2588"/>
        <v>1</v>
      </c>
      <c r="O2971" s="112" t="str">
        <f t="shared" si="2589"/>
        <v>RACM-60</v>
      </c>
      <c r="P2971" s="120" t="str">
        <f t="shared" si="2590"/>
        <v>Calefactor resistivo 60W, modelo RACM - marca FANDIS.</v>
      </c>
      <c r="Q2971" s="120" t="str">
        <f t="shared" si="2591"/>
        <v>CALEFACT-60W_FAND</v>
      </c>
      <c r="S2971" s="112" t="str">
        <f t="shared" si="2606"/>
        <v>FANDIS</v>
      </c>
      <c r="T2971" s="1765"/>
    </row>
    <row r="2972" spans="1:20" s="690" customFormat="1" ht="18" customHeight="1">
      <c r="A2972" s="2273"/>
      <c r="B2972" s="1781">
        <v>1</v>
      </c>
      <c r="C2972" s="1420" t="str">
        <f t="shared" si="2607"/>
        <v>Termostato para ventilación - 1NA - 230V - marca FANDIS.</v>
      </c>
      <c r="D2972" s="1899" t="s">
        <v>3294</v>
      </c>
      <c r="E2972" s="2288">
        <f t="shared" ref="E2972:E2974" si="2609">VLOOKUP(D2972,base_datos,5,FALSE)</f>
        <v>41.58</v>
      </c>
      <c r="F2972" s="1782">
        <f>+E2972*B2972</f>
        <v>41.58</v>
      </c>
      <c r="G2972" s="1761"/>
      <c r="H2972" s="1761"/>
      <c r="I2972" s="1761"/>
      <c r="J2972" s="689"/>
      <c r="K2972" s="684">
        <f t="shared" si="2605"/>
        <v>1</v>
      </c>
      <c r="L2972" s="2258">
        <v>1</v>
      </c>
      <c r="M2972" s="120">
        <f t="shared" si="2587"/>
        <v>1</v>
      </c>
      <c r="N2972" s="112">
        <f t="shared" si="2588"/>
        <v>1</v>
      </c>
      <c r="O2972" s="112" t="str">
        <f t="shared" si="2589"/>
        <v>TRT-10A230V-NO</v>
      </c>
      <c r="P2972" s="120" t="str">
        <f t="shared" si="2590"/>
        <v>Termostato para ventilación - 1NA - 230V - marca FANDIS.</v>
      </c>
      <c r="Q2972" s="120" t="str">
        <f t="shared" si="2591"/>
        <v>TRT-1NA</v>
      </c>
      <c r="S2972" s="112" t="str">
        <f t="shared" si="2606"/>
        <v>FANDIS</v>
      </c>
      <c r="T2972" s="1765"/>
    </row>
    <row r="2973" spans="1:20" s="320" customFormat="1" ht="12.75" customHeight="1">
      <c r="A2973" s="2274"/>
      <c r="B2973" s="2275">
        <v>1</v>
      </c>
      <c r="C2973" s="2282" t="str">
        <f t="shared" si="2607"/>
        <v>Base portafusibles + Fusibles de protección para control.</v>
      </c>
      <c r="D2973" s="1579" t="s">
        <v>453</v>
      </c>
      <c r="E2973" s="2289">
        <f t="shared" si="2609"/>
        <v>8.1750000000000007</v>
      </c>
      <c r="F2973" s="2264">
        <f>+E2973*B2973</f>
        <v>8.1750000000000007</v>
      </c>
      <c r="G2973" s="2276"/>
      <c r="H2973" s="2276"/>
      <c r="I2973" s="2276"/>
      <c r="J2973" s="722"/>
      <c r="K2973" s="684">
        <f t="shared" si="2605"/>
        <v>1</v>
      </c>
      <c r="L2973" s="2258">
        <v>1</v>
      </c>
      <c r="M2973" s="120">
        <f t="shared" si="2587"/>
        <v>1</v>
      </c>
      <c r="N2973" s="112" t="str">
        <f t="shared" si="2588"/>
        <v/>
      </c>
      <c r="O2973" s="112" t="str">
        <f t="shared" si="2589"/>
        <v/>
      </c>
      <c r="P2973" s="120" t="str">
        <f t="shared" si="2590"/>
        <v/>
      </c>
      <c r="Q2973" s="120" t="str">
        <f t="shared" si="2591"/>
        <v/>
      </c>
      <c r="R2973" s="185"/>
      <c r="S2973" s="112" t="str">
        <f t="shared" si="2606"/>
        <v/>
      </c>
      <c r="T2973" s="709"/>
    </row>
    <row r="2974" spans="1:20" s="320" customFormat="1" ht="12.75" customHeight="1">
      <c r="A2974" s="2274"/>
      <c r="B2974" s="2277">
        <v>1</v>
      </c>
      <c r="C2974" s="2282" t="str">
        <f t="shared" si="2607"/>
        <v>Borne 4mm2.</v>
      </c>
      <c r="D2974" s="1579" t="s">
        <v>437</v>
      </c>
      <c r="E2974" s="2260">
        <f t="shared" si="2609"/>
        <v>2.5</v>
      </c>
      <c r="F2974" s="2260">
        <f>+E2974*B2974</f>
        <v>2.5</v>
      </c>
      <c r="G2974" s="2276"/>
      <c r="H2974" s="2276"/>
      <c r="I2974" s="2276"/>
      <c r="J2974" s="722"/>
      <c r="K2974" s="684">
        <f t="shared" si="2605"/>
        <v>1</v>
      </c>
      <c r="L2974" s="2258">
        <v>1</v>
      </c>
      <c r="M2974" s="120">
        <f t="shared" si="2587"/>
        <v>1</v>
      </c>
      <c r="N2974" s="112" t="str">
        <f t="shared" si="2588"/>
        <v/>
      </c>
      <c r="O2974" s="112" t="str">
        <f t="shared" si="2589"/>
        <v/>
      </c>
      <c r="P2974" s="120" t="str">
        <f t="shared" si="2590"/>
        <v/>
      </c>
      <c r="Q2974" s="120" t="str">
        <f t="shared" si="2591"/>
        <v/>
      </c>
      <c r="R2974" s="185"/>
      <c r="S2974" s="112" t="str">
        <f t="shared" si="2606"/>
        <v/>
      </c>
      <c r="T2974" s="709"/>
    </row>
    <row r="2975" spans="1:20" s="185" customFormat="1" ht="12.75" customHeight="1">
      <c r="A2975" s="2262"/>
      <c r="B2975" s="1760"/>
      <c r="C2975" s="1893" t="s">
        <v>729</v>
      </c>
      <c r="D2975" s="169"/>
      <c r="E2975" s="2256"/>
      <c r="F2975" s="2278"/>
      <c r="G2975" s="710"/>
      <c r="H2975" s="710"/>
      <c r="I2975" s="710"/>
      <c r="J2975" s="711"/>
      <c r="K2975" s="684">
        <f t="shared" si="2605"/>
        <v>1</v>
      </c>
      <c r="L2975" s="2258">
        <v>1</v>
      </c>
      <c r="M2975" s="120">
        <f t="shared" si="2587"/>
        <v>1</v>
      </c>
      <c r="N2975" s="112" t="str">
        <f t="shared" si="2588"/>
        <v/>
      </c>
      <c r="O2975" s="112" t="str">
        <f t="shared" si="2589"/>
        <v/>
      </c>
      <c r="P2975" s="120" t="str">
        <f t="shared" si="2590"/>
        <v/>
      </c>
      <c r="Q2975" s="120" t="str">
        <f t="shared" si="2591"/>
        <v/>
      </c>
      <c r="S2975" s="112" t="str">
        <f t="shared" si="2606"/>
        <v/>
      </c>
      <c r="T2975" s="118"/>
    </row>
    <row r="2976" spans="1:20" s="1236" customFormat="1" ht="18" customHeight="1">
      <c r="A2976" s="1767"/>
      <c r="B2976" s="1853">
        <v>1</v>
      </c>
      <c r="C2976" s="1895" t="s">
        <v>12364</v>
      </c>
      <c r="D2976" s="1902"/>
      <c r="E2976" s="1792"/>
      <c r="F2976" s="1793"/>
      <c r="G2976" s="1784"/>
      <c r="H2976" s="1784"/>
      <c r="I2976" s="1784"/>
      <c r="J2976" s="1182"/>
      <c r="K2976" s="684">
        <f>+K2968</f>
        <v>1</v>
      </c>
      <c r="L2976" s="708">
        <v>1</v>
      </c>
      <c r="M2976" s="684">
        <f t="shared" si="2587"/>
        <v>1</v>
      </c>
      <c r="N2976" s="362" t="str">
        <f t="shared" si="2588"/>
        <v/>
      </c>
      <c r="O2976" s="1763" t="str">
        <f t="shared" si="2589"/>
        <v/>
      </c>
      <c r="P2976" s="1764" t="str">
        <f t="shared" si="2590"/>
        <v/>
      </c>
      <c r="Q2976" s="120" t="str">
        <f t="shared" si="2591"/>
        <v/>
      </c>
      <c r="R2976" s="185"/>
    </row>
    <row r="2977" spans="1:18" s="695" customFormat="1" ht="18" customHeight="1">
      <c r="A2977" s="693"/>
      <c r="B2977" s="1922">
        <v>1</v>
      </c>
      <c r="C2977" s="1848" t="str">
        <f t="shared" ref="C2977" si="2610">VLOOKUP(D2977,base_datos,6,FALSE)</f>
        <v>Placa lamicoid rotulación de 3mm de espesor, fondo negro y letras blancas.</v>
      </c>
      <c r="D2977" s="1886" t="s">
        <v>8570</v>
      </c>
      <c r="E2977" s="1795">
        <f t="shared" ref="E2977" si="2611">VLOOKUP(D2977,base_datos,5,FALSE)</f>
        <v>2.2000000000000002</v>
      </c>
      <c r="F2977" s="1796">
        <f t="shared" ref="F2977" si="2612">+E2977*B2977</f>
        <v>2.2000000000000002</v>
      </c>
      <c r="G2977" s="696"/>
      <c r="H2977" s="696"/>
      <c r="I2977" s="696"/>
      <c r="J2977" s="697"/>
      <c r="K2977" s="684">
        <f>+K2969</f>
        <v>1</v>
      </c>
      <c r="L2977" s="708">
        <v>1</v>
      </c>
      <c r="M2977" s="684">
        <f t="shared" si="2587"/>
        <v>1</v>
      </c>
      <c r="N2977" s="362">
        <f t="shared" si="2588"/>
        <v>1</v>
      </c>
      <c r="O2977" s="1763" t="str">
        <f t="shared" si="2589"/>
        <v>Placa lamicoid p/distr.</v>
      </c>
      <c r="P2977" s="1764" t="str">
        <f t="shared" si="2590"/>
        <v>Placa lamicoid rotulación de 3mm de espesor, fondo negro y letras blancas.</v>
      </c>
      <c r="Q2977" s="120" t="str">
        <f t="shared" si="2591"/>
        <v>Placa lamicoid p/distr.</v>
      </c>
      <c r="R2977" s="185"/>
    </row>
    <row r="2978" spans="1:18" s="1236" customFormat="1" ht="18" customHeight="1">
      <c r="A2978" s="1767"/>
      <c r="B2978" s="1853">
        <v>1</v>
      </c>
      <c r="C2978" s="1895" t="s">
        <v>12474</v>
      </c>
      <c r="D2978" s="1902"/>
      <c r="E2978" s="1792"/>
      <c r="F2978" s="1793"/>
      <c r="G2978" s="1784"/>
      <c r="H2978" s="1784"/>
      <c r="I2978" s="1784"/>
      <c r="J2978" s="1182"/>
      <c r="K2978" s="684">
        <f t="shared" si="2592"/>
        <v>1</v>
      </c>
      <c r="L2978" s="708">
        <v>1</v>
      </c>
      <c r="M2978" s="709">
        <f t="shared" si="2587"/>
        <v>1</v>
      </c>
      <c r="N2978" s="362" t="str">
        <f t="shared" si="2588"/>
        <v/>
      </c>
      <c r="O2978" s="1763" t="str">
        <f t="shared" si="2589"/>
        <v/>
      </c>
      <c r="P2978" s="1764" t="str">
        <f t="shared" si="2590"/>
        <v/>
      </c>
      <c r="Q2978" s="120" t="str">
        <f t="shared" si="2591"/>
        <v/>
      </c>
      <c r="R2978" s="185"/>
    </row>
    <row r="2979" spans="1:18" s="1236" customFormat="1" ht="18" customHeight="1">
      <c r="A2979" s="1767"/>
      <c r="B2979" s="1853">
        <v>1</v>
      </c>
      <c r="C2979" s="1848" t="str">
        <f>VLOOKUP(D2979,base_datos,6,FALSE)</f>
        <v>Embalaje especial completamente cerrado para tablero adosado de 1600x600x220mm</v>
      </c>
      <c r="D2979" s="1902" t="s">
        <v>12453</v>
      </c>
      <c r="E2979" s="1795">
        <f t="shared" ref="E2979" si="2613">VLOOKUP(D2979,base_datos,5,FALSE)</f>
        <v>271.40000000000003</v>
      </c>
      <c r="F2979" s="1796">
        <f t="shared" ref="F2979" si="2614">+E2979*B2979</f>
        <v>271.40000000000003</v>
      </c>
      <c r="G2979" s="1784"/>
      <c r="H2979" s="1784"/>
      <c r="I2979" s="1784"/>
      <c r="J2979" s="1182"/>
      <c r="K2979" s="684">
        <f t="shared" si="2592"/>
        <v>1</v>
      </c>
      <c r="L2979" s="708">
        <v>1</v>
      </c>
      <c r="M2979" s="709">
        <f t="shared" si="2587"/>
        <v>1</v>
      </c>
      <c r="N2979" s="362">
        <f t="shared" si="2588"/>
        <v>1</v>
      </c>
      <c r="O2979" s="1763" t="str">
        <f t="shared" si="2589"/>
        <v>EMBAL_ADOS_1600x600x220mm</v>
      </c>
      <c r="P2979" s="1764" t="str">
        <f t="shared" si="2590"/>
        <v>Embalaje especial completamente cerrado para tablero adosado de 1600x600x220mm</v>
      </c>
      <c r="Q2979" s="120" t="str">
        <f t="shared" si="2591"/>
        <v>EMBAL_ADOS_1600x600x220mm</v>
      </c>
      <c r="R2979" s="185"/>
    </row>
    <row r="2980" spans="1:18" s="185" customFormat="1" ht="18" customHeight="1">
      <c r="A2980" s="1785"/>
      <c r="B2980" s="714"/>
      <c r="C2980" s="1893" t="s">
        <v>729</v>
      </c>
      <c r="D2980" s="173"/>
      <c r="E2980" s="1786"/>
      <c r="F2980" s="1787"/>
      <c r="G2980" s="710"/>
      <c r="H2980" s="710"/>
      <c r="I2980" s="710"/>
      <c r="J2980" s="711"/>
      <c r="K2980" s="684">
        <f t="shared" si="2592"/>
        <v>1</v>
      </c>
      <c r="L2980" s="708">
        <v>1</v>
      </c>
      <c r="M2980" s="684">
        <f t="shared" si="2587"/>
        <v>1</v>
      </c>
      <c r="N2980" s="362" t="str">
        <f t="shared" si="2588"/>
        <v/>
      </c>
      <c r="O2980" s="1763" t="str">
        <f t="shared" si="2589"/>
        <v/>
      </c>
      <c r="P2980" s="1764" t="str">
        <f t="shared" si="2590"/>
        <v/>
      </c>
      <c r="Q2980" s="120" t="str">
        <f t="shared" si="2591"/>
        <v/>
      </c>
    </row>
    <row r="2981" spans="1:18" s="695" customFormat="1" ht="18" customHeight="1">
      <c r="A2981" s="693"/>
      <c r="B2981" s="1794">
        <v>1</v>
      </c>
      <c r="C2981" s="1420" t="s">
        <v>316</v>
      </c>
      <c r="D2981" s="1790"/>
      <c r="E2981" s="1795"/>
      <c r="F2981" s="1796"/>
      <c r="G2981" s="696"/>
      <c r="H2981" s="696"/>
      <c r="I2981" s="696"/>
      <c r="J2981" s="697"/>
      <c r="K2981" s="684">
        <f t="shared" si="2592"/>
        <v>1</v>
      </c>
      <c r="L2981" s="708">
        <v>1</v>
      </c>
      <c r="M2981" s="684">
        <f t="shared" si="2587"/>
        <v>1</v>
      </c>
      <c r="N2981" s="362" t="str">
        <f t="shared" si="2588"/>
        <v/>
      </c>
      <c r="O2981" s="1763" t="str">
        <f t="shared" si="2589"/>
        <v/>
      </c>
      <c r="P2981" s="1764" t="str">
        <f t="shared" si="2590"/>
        <v/>
      </c>
      <c r="Q2981" s="120" t="str">
        <f t="shared" si="2591"/>
        <v/>
      </c>
      <c r="R2981" s="185"/>
    </row>
    <row r="2982" spans="1:18" s="185" customFormat="1" ht="18" customHeight="1">
      <c r="A2982" s="1785"/>
      <c r="B2982" s="714"/>
      <c r="C2982" s="1893" t="s">
        <v>729</v>
      </c>
      <c r="D2982" s="173"/>
      <c r="E2982" s="1786"/>
      <c r="F2982" s="1787"/>
      <c r="G2982" s="710"/>
      <c r="H2982" s="710"/>
      <c r="I2982" s="710"/>
      <c r="J2982" s="711"/>
      <c r="K2982" s="684">
        <f t="shared" si="2592"/>
        <v>1</v>
      </c>
      <c r="L2982" s="708">
        <v>1</v>
      </c>
      <c r="M2982" s="684">
        <f t="shared" si="2587"/>
        <v>1</v>
      </c>
      <c r="N2982" s="362" t="str">
        <f t="shared" si="2588"/>
        <v/>
      </c>
      <c r="O2982" s="1763" t="str">
        <f t="shared" si="2589"/>
        <v/>
      </c>
      <c r="P2982" s="1764" t="str">
        <f t="shared" si="2590"/>
        <v/>
      </c>
      <c r="Q2982" s="120" t="str">
        <f t="shared" si="2591"/>
        <v/>
      </c>
    </row>
    <row r="2983" spans="1:18" s="897" customFormat="1" ht="18" customHeight="1">
      <c r="A2983" s="693"/>
      <c r="B2983" s="895">
        <v>5</v>
      </c>
      <c r="C2983" s="1848" t="str">
        <f>VLOOKUP(D2983,base_datos,6,FALSE)</f>
        <v>Rotulado por circuito.</v>
      </c>
      <c r="D2983" s="1579" t="s">
        <v>3067</v>
      </c>
      <c r="E2983" s="1581">
        <f>VLOOKUP(D2983,base_datos,5,FALSE)</f>
        <v>0.7</v>
      </c>
      <c r="F2983" s="1581">
        <f t="shared" ref="F2983:F2988" si="2615">+E2983*B2983</f>
        <v>3.5</v>
      </c>
      <c r="G2983" s="1772"/>
      <c r="H2983" s="1772"/>
      <c r="I2983" s="1772"/>
      <c r="J2983" s="896"/>
      <c r="K2983" s="684">
        <f t="shared" si="2592"/>
        <v>1</v>
      </c>
      <c r="L2983" s="708">
        <v>1</v>
      </c>
      <c r="M2983" s="684">
        <f t="shared" si="2587"/>
        <v>5</v>
      </c>
      <c r="N2983" s="362" t="str">
        <f t="shared" si="2588"/>
        <v/>
      </c>
      <c r="O2983" s="1763" t="str">
        <f t="shared" si="2589"/>
        <v/>
      </c>
      <c r="P2983" s="1764" t="str">
        <f t="shared" si="2590"/>
        <v/>
      </c>
      <c r="Q2983" s="120" t="str">
        <f t="shared" si="2591"/>
        <v/>
      </c>
    </row>
    <row r="2984" spans="1:18" s="897" customFormat="1" ht="18" customHeight="1">
      <c r="A2984" s="693"/>
      <c r="B2984" s="895">
        <v>1</v>
      </c>
      <c r="C2984" s="1848" t="str">
        <f>VLOOKUP(D2984,base_datos,6,FALSE)</f>
        <v>Rotulado para TAG - tablero de distribución.</v>
      </c>
      <c r="D2984" s="1579" t="s">
        <v>3066</v>
      </c>
      <c r="E2984" s="1581">
        <f>VLOOKUP(D2984,base_datos,5,FALSE)</f>
        <v>1.5</v>
      </c>
      <c r="F2984" s="1581">
        <f t="shared" si="2615"/>
        <v>1.5</v>
      </c>
      <c r="G2984" s="1772"/>
      <c r="H2984" s="1772"/>
      <c r="I2984" s="1772"/>
      <c r="J2984" s="896"/>
      <c r="K2984" s="684">
        <f t="shared" si="2592"/>
        <v>1</v>
      </c>
      <c r="L2984" s="708">
        <v>1</v>
      </c>
      <c r="M2984" s="684">
        <f t="shared" si="2587"/>
        <v>1</v>
      </c>
      <c r="N2984" s="362" t="str">
        <f t="shared" si="2588"/>
        <v/>
      </c>
      <c r="O2984" s="1763" t="str">
        <f t="shared" si="2589"/>
        <v/>
      </c>
      <c r="P2984" s="1764" t="str">
        <f t="shared" si="2590"/>
        <v/>
      </c>
      <c r="Q2984" s="120" t="str">
        <f t="shared" si="2591"/>
        <v/>
      </c>
    </row>
    <row r="2985" spans="1:18" s="1237" customFormat="1" ht="18" customHeight="1">
      <c r="A2985" s="1767"/>
      <c r="B2985" s="1773">
        <v>1</v>
      </c>
      <c r="C2985" s="1896" t="s">
        <v>11664</v>
      </c>
      <c r="D2985" s="1887"/>
      <c r="E2985" s="1581">
        <v>63</v>
      </c>
      <c r="F2985" s="1581">
        <f t="shared" si="2615"/>
        <v>63</v>
      </c>
      <c r="G2985" s="1774"/>
      <c r="H2985" s="1774"/>
      <c r="I2985" s="1774"/>
      <c r="J2985" s="1181"/>
      <c r="K2985" s="684">
        <f t="shared" si="2592"/>
        <v>1</v>
      </c>
      <c r="L2985" s="708">
        <v>1</v>
      </c>
      <c r="M2985" s="684">
        <f t="shared" si="2587"/>
        <v>1</v>
      </c>
      <c r="N2985" s="362" t="str">
        <f t="shared" si="2588"/>
        <v/>
      </c>
      <c r="O2985" s="1763" t="str">
        <f t="shared" si="2589"/>
        <v/>
      </c>
      <c r="P2985" s="1764" t="str">
        <f t="shared" si="2590"/>
        <v/>
      </c>
      <c r="Q2985" s="120" t="str">
        <f t="shared" si="2591"/>
        <v/>
      </c>
      <c r="R2985" s="1765"/>
    </row>
    <row r="2986" spans="1:18" s="1237" customFormat="1" ht="18" customHeight="1">
      <c r="A2986" s="1767"/>
      <c r="B2986" s="2093">
        <v>1</v>
      </c>
      <c r="C2986" s="694" t="s">
        <v>12552</v>
      </c>
      <c r="D2986" s="1888"/>
      <c r="E2986" s="1580">
        <f>E2988*15%</f>
        <v>18.75</v>
      </c>
      <c r="F2986" s="1581">
        <f t="shared" si="2615"/>
        <v>18.75</v>
      </c>
      <c r="G2986" s="1774"/>
      <c r="H2986" s="1774"/>
      <c r="I2986" s="1774"/>
      <c r="J2986" s="1181"/>
      <c r="K2986" s="684">
        <f t="shared" si="2592"/>
        <v>1</v>
      </c>
      <c r="L2986" s="708">
        <v>1</v>
      </c>
      <c r="M2986" s="709">
        <f t="shared" si="2587"/>
        <v>1</v>
      </c>
      <c r="N2986" s="362" t="str">
        <f t="shared" si="2588"/>
        <v/>
      </c>
      <c r="O2986" s="1763" t="str">
        <f t="shared" si="2589"/>
        <v/>
      </c>
      <c r="P2986" s="1764" t="str">
        <f t="shared" si="2590"/>
        <v/>
      </c>
      <c r="Q2986" s="120" t="str">
        <f t="shared" si="2591"/>
        <v/>
      </c>
      <c r="R2986" s="1765"/>
    </row>
    <row r="2987" spans="1:18" s="1237" customFormat="1" ht="18" customHeight="1">
      <c r="A2987" s="1767"/>
      <c r="B2987" s="1773">
        <v>1</v>
      </c>
      <c r="C2987" s="694" t="s">
        <v>12559</v>
      </c>
      <c r="D2987" s="1888"/>
      <c r="E2987" s="1999">
        <f>E2988*20%</f>
        <v>25</v>
      </c>
      <c r="F2987" s="1581">
        <f t="shared" si="2615"/>
        <v>25</v>
      </c>
      <c r="G2987" s="1774"/>
      <c r="H2987" s="1774"/>
      <c r="I2987" s="1774"/>
      <c r="J2987" s="1181"/>
      <c r="K2987" s="684">
        <f>+K2985</f>
        <v>1</v>
      </c>
      <c r="L2987" s="708">
        <v>1</v>
      </c>
      <c r="M2987" s="709">
        <f t="shared" si="2587"/>
        <v>1</v>
      </c>
      <c r="N2987" s="362" t="str">
        <f t="shared" si="2588"/>
        <v/>
      </c>
      <c r="O2987" s="1763" t="str">
        <f t="shared" si="2589"/>
        <v/>
      </c>
      <c r="P2987" s="1764" t="str">
        <f t="shared" si="2590"/>
        <v/>
      </c>
      <c r="Q2987" s="120" t="str">
        <f t="shared" si="2591"/>
        <v/>
      </c>
      <c r="R2987" s="1765"/>
    </row>
    <row r="2988" spans="1:18" s="1237" customFormat="1" ht="18" customHeight="1">
      <c r="A2988" s="1767"/>
      <c r="B2988" s="1773">
        <v>1</v>
      </c>
      <c r="C2988" s="1943" t="s">
        <v>12503</v>
      </c>
      <c r="D2988" s="1897"/>
      <c r="E2988" s="1581">
        <v>125</v>
      </c>
      <c r="F2988" s="1581">
        <f t="shared" si="2615"/>
        <v>125</v>
      </c>
      <c r="G2988" s="1774"/>
      <c r="H2988" s="1774"/>
      <c r="I2988" s="1774"/>
      <c r="J2988" s="1181"/>
      <c r="K2988" s="684">
        <f>+K2985</f>
        <v>1</v>
      </c>
      <c r="L2988" s="708">
        <v>1</v>
      </c>
      <c r="M2988" s="684">
        <f t="shared" si="2587"/>
        <v>1</v>
      </c>
      <c r="N2988" s="362" t="str">
        <f t="shared" si="2588"/>
        <v/>
      </c>
      <c r="O2988" s="1763" t="str">
        <f t="shared" si="2589"/>
        <v/>
      </c>
      <c r="P2988" s="1764" t="str">
        <f t="shared" si="2590"/>
        <v/>
      </c>
      <c r="Q2988" s="120" t="str">
        <f t="shared" si="2591"/>
        <v/>
      </c>
      <c r="R2988" s="1765"/>
    </row>
    <row r="2989" spans="1:18" s="20" customFormat="1" ht="18" customHeight="1" thickBot="1">
      <c r="A2989" s="699"/>
      <c r="B2989" s="1775"/>
      <c r="C2989" s="1776"/>
      <c r="D2989" s="1885"/>
      <c r="E2989" s="1981"/>
      <c r="F2989" s="1981"/>
      <c r="G2989" s="1777"/>
      <c r="H2989" s="1777"/>
      <c r="I2989" s="1777"/>
      <c r="J2989" s="1778"/>
      <c r="K2989" s="684"/>
      <c r="L2989" s="363"/>
      <c r="M2989" s="709"/>
      <c r="N2989" s="362" t="str">
        <f t="shared" si="2588"/>
        <v/>
      </c>
      <c r="O2989" s="1763" t="str">
        <f t="shared" si="2589"/>
        <v/>
      </c>
      <c r="P2989" s="1764" t="str">
        <f t="shared" si="2590"/>
        <v/>
      </c>
      <c r="Q2989" s="120" t="str">
        <f t="shared" si="2591"/>
        <v/>
      </c>
      <c r="R2989" s="1765"/>
    </row>
    <row r="2990" spans="1:18" s="120" customFormat="1" ht="18" customHeight="1" thickBot="1">
      <c r="A2990" s="1989">
        <v>48</v>
      </c>
      <c r="B2990" s="1852">
        <v>1</v>
      </c>
      <c r="C2990" s="1756" t="s">
        <v>12609</v>
      </c>
      <c r="D2990" s="1588"/>
      <c r="E2990" s="1589"/>
      <c r="F2990" s="1589"/>
      <c r="G2990" s="1757">
        <f>SUM(F2991:F3035)</f>
        <v>2527.98</v>
      </c>
      <c r="H2990" s="1758">
        <f>G2990*(1-$D$6)</f>
        <v>2527.98</v>
      </c>
      <c r="I2990" s="1757">
        <f>ROUNDUP(H2990*$D$5,0)</f>
        <v>8596</v>
      </c>
      <c r="J2990" s="1759">
        <f>+I2990*B2990</f>
        <v>8596</v>
      </c>
      <c r="K2990" s="1788">
        <f>B2990</f>
        <v>1</v>
      </c>
      <c r="L2990" s="363"/>
      <c r="M2990" s="684"/>
      <c r="N2990" s="362" t="str">
        <f t="shared" si="2588"/>
        <v/>
      </c>
      <c r="O2990" s="1763" t="str">
        <f t="shared" si="2589"/>
        <v/>
      </c>
      <c r="P2990" s="1764" t="str">
        <f t="shared" si="2590"/>
        <v/>
      </c>
      <c r="Q2990" s="120" t="str">
        <f t="shared" si="2591"/>
        <v/>
      </c>
      <c r="R2990" s="185"/>
    </row>
    <row r="2991" spans="1:18" s="120" customFormat="1" ht="18" customHeight="1">
      <c r="A2991" s="685" t="s">
        <v>3064</v>
      </c>
      <c r="B2991" s="1903"/>
      <c r="C2991" s="1890"/>
      <c r="D2991" s="1904"/>
      <c r="E2991" s="1789"/>
      <c r="F2991" s="1780"/>
      <c r="G2991" s="686"/>
      <c r="H2991" s="710"/>
      <c r="I2991" s="686"/>
      <c r="J2991" s="1768"/>
      <c r="K2991" s="684">
        <f t="shared" ref="K2991:K2992" si="2616">+K2990</f>
        <v>1</v>
      </c>
      <c r="L2991" s="363">
        <v>1</v>
      </c>
      <c r="M2991" s="709">
        <f t="shared" ref="M2991:M3035" si="2617">IF(B2991="",1,B2991)</f>
        <v>1</v>
      </c>
      <c r="N2991" s="362" t="str">
        <f t="shared" ref="N2991:N3036" si="2618">IF(O2991&lt;&gt;"",K2991*L2991*M2991,"")</f>
        <v/>
      </c>
      <c r="O2991" s="1763" t="str">
        <f t="shared" ref="O2991:O3036" si="2619">IF(D2991&lt;&gt;"",IF(VLOOKUP(D2991,base_datos,7,FALSE)&lt;&gt;"",VLOOKUP(D2991,base_datos,7,FALSE),""),"")</f>
        <v/>
      </c>
      <c r="P2991" s="1764" t="str">
        <f t="shared" ref="P2991:P3036" si="2620">IF(O2991&lt;&gt;"",VLOOKUP(D2991,base_datos,6,FALSE),"")</f>
        <v/>
      </c>
      <c r="Q2991" s="120" t="str">
        <f t="shared" ref="Q2991:Q3036" si="2621">IF(O2991&lt;&gt;"",D2991,"")</f>
        <v/>
      </c>
    </row>
    <row r="2992" spans="1:18" s="315" customFormat="1" ht="12" customHeight="1">
      <c r="A2992" s="687" t="s">
        <v>4021</v>
      </c>
      <c r="B2992" s="2096">
        <v>1</v>
      </c>
      <c r="C2992" s="1907" t="s">
        <v>5103</v>
      </c>
      <c r="D2992" s="1935"/>
      <c r="E2992" s="1786"/>
      <c r="F2992" s="1908">
        <f>SUM(F2994:F2998)*(B2992-1)</f>
        <v>0</v>
      </c>
      <c r="G2992" s="712"/>
      <c r="H2992" s="712"/>
      <c r="I2992" s="712"/>
      <c r="J2992" s="713"/>
      <c r="K2992" s="684">
        <f t="shared" si="2616"/>
        <v>1</v>
      </c>
      <c r="L2992" s="1909">
        <f>B2992</f>
        <v>1</v>
      </c>
      <c r="M2992" s="684">
        <f t="shared" si="2617"/>
        <v>1</v>
      </c>
      <c r="N2992" s="362" t="str">
        <f t="shared" si="2618"/>
        <v/>
      </c>
      <c r="O2992" s="1763" t="str">
        <f t="shared" si="2619"/>
        <v/>
      </c>
      <c r="P2992" s="1764" t="str">
        <f t="shared" si="2620"/>
        <v/>
      </c>
      <c r="Q2992" s="120" t="str">
        <f t="shared" si="2621"/>
        <v/>
      </c>
    </row>
    <row r="2993" spans="1:18" s="185" customFormat="1">
      <c r="A2993" s="687" t="s">
        <v>4136</v>
      </c>
      <c r="B2993" s="1910">
        <v>3</v>
      </c>
      <c r="C2993" s="1911" t="str">
        <f>VLOOKUP(D2993,base_datos,6,FALSE)</f>
        <v>Portalámpara + lampara tipo LED - color Rojo - alimentacion: 220-230Vac, d=22mm. - CL2-523R - línea compacta - marca ABB.</v>
      </c>
      <c r="D2993" s="1790" t="s">
        <v>2439</v>
      </c>
      <c r="E2993" s="1939">
        <f>VLOOKUP(D2993,base_datos,5,FALSE)</f>
        <v>12.299999999999999</v>
      </c>
      <c r="F2993" s="1912">
        <f>+E2993*B2993</f>
        <v>36.9</v>
      </c>
      <c r="G2993" s="710"/>
      <c r="H2993" s="710"/>
      <c r="I2993" s="710"/>
      <c r="J2993" s="711"/>
      <c r="K2993" s="684">
        <f>+K2991</f>
        <v>1</v>
      </c>
      <c r="L2993" s="1913">
        <f>L2991</f>
        <v>1</v>
      </c>
      <c r="M2993" s="684">
        <f t="shared" si="2617"/>
        <v>3</v>
      </c>
      <c r="N2993" s="362">
        <f t="shared" si="2618"/>
        <v>3</v>
      </c>
      <c r="O2993" s="1763" t="str">
        <f t="shared" si="2619"/>
        <v>1SFA619403R5231</v>
      </c>
      <c r="P2993" s="1764" t="str">
        <f t="shared" si="2620"/>
        <v>Portalámpara + lampara tipo LED - color Rojo - alimentacion: 220-230Vac, d=22mm. - CL2-523R - línea compacta - marca ABB.</v>
      </c>
      <c r="Q2993" s="120" t="str">
        <f t="shared" si="2621"/>
        <v>LAMP_ROJO_220V</v>
      </c>
    </row>
    <row r="2994" spans="1:18" s="185" customFormat="1">
      <c r="A2994" s="687"/>
      <c r="B2994" s="1910">
        <v>3</v>
      </c>
      <c r="C2994" s="1911" t="str">
        <f>VLOOKUP(D2994,base_datos,6,FALSE)</f>
        <v>Portalámpara + lampara tipo LED - color Verde - alimentacion: 220-230Vac, d=22mm. - CL2-523G - línea compacta - marca ABB.</v>
      </c>
      <c r="D2994" s="1790" t="s">
        <v>2440</v>
      </c>
      <c r="E2994" s="1939">
        <f>VLOOKUP(D2994,base_datos,5,FALSE)</f>
        <v>12.299999999999999</v>
      </c>
      <c r="F2994" s="1912">
        <f>+E2994*B2994</f>
        <v>36.9</v>
      </c>
      <c r="G2994" s="710"/>
      <c r="H2994" s="710"/>
      <c r="I2994" s="710"/>
      <c r="J2994" s="711"/>
      <c r="K2994" s="684">
        <f t="shared" ref="K2994:K3033" si="2622">+K2992</f>
        <v>1</v>
      </c>
      <c r="L2994" s="1913">
        <f>L2992</f>
        <v>1</v>
      </c>
      <c r="M2994" s="684">
        <f t="shared" si="2617"/>
        <v>3</v>
      </c>
      <c r="N2994" s="362">
        <f t="shared" si="2618"/>
        <v>3</v>
      </c>
      <c r="O2994" s="1763" t="str">
        <f t="shared" si="2619"/>
        <v>1SFA619403R5232</v>
      </c>
      <c r="P2994" s="1764" t="str">
        <f t="shared" si="2620"/>
        <v>Portalámpara + lampara tipo LED - color Verde - alimentacion: 220-230Vac, d=22mm. - CL2-523G - línea compacta - marca ABB.</v>
      </c>
      <c r="Q2994" s="120" t="str">
        <f t="shared" si="2621"/>
        <v>LAMP_VERDE_220V</v>
      </c>
    </row>
    <row r="2995" spans="1:18" s="1921" customFormat="1">
      <c r="A2995" s="687" t="s">
        <v>12356</v>
      </c>
      <c r="B2995" s="1914">
        <v>1</v>
      </c>
      <c r="C2995" s="1915" t="s">
        <v>3366</v>
      </c>
      <c r="D2995" s="1916"/>
      <c r="E2995" s="1917"/>
      <c r="F2995" s="1918"/>
      <c r="G2995" s="1919"/>
      <c r="H2995" s="1919"/>
      <c r="I2995" s="1919"/>
      <c r="J2995" s="1920"/>
      <c r="K2995" s="684">
        <f t="shared" si="2622"/>
        <v>1</v>
      </c>
      <c r="L2995" s="1913">
        <f>L2994</f>
        <v>1</v>
      </c>
      <c r="M2995" s="684">
        <f t="shared" si="2617"/>
        <v>1</v>
      </c>
      <c r="N2995" s="362" t="str">
        <f t="shared" si="2618"/>
        <v/>
      </c>
      <c r="O2995" s="1763" t="str">
        <f t="shared" si="2619"/>
        <v/>
      </c>
      <c r="P2995" s="1764" t="str">
        <f t="shared" si="2620"/>
        <v/>
      </c>
      <c r="Q2995" s="120" t="str">
        <f t="shared" si="2621"/>
        <v/>
      </c>
    </row>
    <row r="2996" spans="1:18" s="320" customFormat="1">
      <c r="A2996" s="687" t="s">
        <v>12522</v>
      </c>
      <c r="B2996" s="1922">
        <v>1</v>
      </c>
      <c r="C2996" s="721" t="str">
        <f>VLOOKUP(D2996,base_datos,6,FALSE)</f>
        <v>Rele auxiliar enchufable +4NA/NC (D2PR4B + base D2PA6), 220Vac - marca EATON.</v>
      </c>
      <c r="D2996" s="1579" t="s">
        <v>772</v>
      </c>
      <c r="E2996" s="1581">
        <f>VLOOKUP(D2996,base_datos,5,FALSE)</f>
        <v>27</v>
      </c>
      <c r="F2996" s="1923">
        <f>+E2996*B2996</f>
        <v>27</v>
      </c>
      <c r="G2996" s="1924"/>
      <c r="H2996" s="1924"/>
      <c r="I2996" s="1924"/>
      <c r="J2996" s="722"/>
      <c r="K2996" s="684">
        <f t="shared" si="2622"/>
        <v>1</v>
      </c>
      <c r="L2996" s="1913">
        <f>L2993</f>
        <v>1</v>
      </c>
      <c r="M2996" s="684">
        <f t="shared" si="2617"/>
        <v>1</v>
      </c>
      <c r="N2996" s="362">
        <f t="shared" si="2618"/>
        <v>1</v>
      </c>
      <c r="O2996" s="1763" t="str">
        <f t="shared" si="2619"/>
        <v>D2PR4B+D2PA6</v>
      </c>
      <c r="P2996" s="1764" t="str">
        <f t="shared" si="2620"/>
        <v>Rele auxiliar enchufable +4NA/NC (D2PR4B + base D2PA6), 220Vac - marca EATON.</v>
      </c>
      <c r="Q2996" s="120" t="str">
        <f t="shared" si="2621"/>
        <v>D2PR4B+D2PA6</v>
      </c>
    </row>
    <row r="2997" spans="1:18" s="320" customFormat="1">
      <c r="A2997" s="1767"/>
      <c r="B2997" s="2131">
        <v>1</v>
      </c>
      <c r="C2997" s="2132" t="s">
        <v>12558</v>
      </c>
      <c r="D2997" s="2133"/>
      <c r="E2997" s="2134">
        <v>32</v>
      </c>
      <c r="F2997" s="2134">
        <f>+E2997*B2997</f>
        <v>32</v>
      </c>
      <c r="G2997" s="1924"/>
      <c r="H2997" s="1924"/>
      <c r="I2997" s="1924"/>
      <c r="J2997" s="722"/>
      <c r="K2997" s="684">
        <f t="shared" si="2622"/>
        <v>1</v>
      </c>
      <c r="L2997" s="1913">
        <f>L2994</f>
        <v>1</v>
      </c>
      <c r="M2997" s="684">
        <f t="shared" si="2617"/>
        <v>1</v>
      </c>
      <c r="N2997" s="362" t="str">
        <f t="shared" si="2618"/>
        <v/>
      </c>
      <c r="O2997" s="1763" t="str">
        <f t="shared" si="2619"/>
        <v/>
      </c>
      <c r="P2997" s="1764" t="str">
        <f t="shared" si="2620"/>
        <v/>
      </c>
      <c r="Q2997" s="120" t="str">
        <f t="shared" si="2621"/>
        <v/>
      </c>
    </row>
    <row r="2998" spans="1:18" s="320" customFormat="1">
      <c r="A2998" s="687" t="s">
        <v>12551</v>
      </c>
      <c r="B2998" s="1922">
        <v>4</v>
      </c>
      <c r="C2998" s="721" t="str">
        <f>VLOOKUP(D2998,base_datos,6,FALSE)</f>
        <v>Base portafusibles + Fusibles de protección para control.</v>
      </c>
      <c r="D2998" s="1579" t="s">
        <v>453</v>
      </c>
      <c r="E2998" s="1581">
        <f>VLOOKUP(D2998,base_datos,5,FALSE)</f>
        <v>8.1750000000000007</v>
      </c>
      <c r="F2998" s="1923">
        <f>+E2998*B2998</f>
        <v>32.700000000000003</v>
      </c>
      <c r="G2998" s="1924"/>
      <c r="H2998" s="1924"/>
      <c r="I2998" s="1924"/>
      <c r="J2998" s="722"/>
      <c r="K2998" s="684">
        <f t="shared" si="2622"/>
        <v>1</v>
      </c>
      <c r="L2998" s="1913">
        <f>L2995</f>
        <v>1</v>
      </c>
      <c r="M2998" s="684">
        <f t="shared" si="2617"/>
        <v>4</v>
      </c>
      <c r="N2998" s="362" t="str">
        <f t="shared" si="2618"/>
        <v/>
      </c>
      <c r="O2998" s="1763" t="str">
        <f t="shared" si="2619"/>
        <v/>
      </c>
      <c r="P2998" s="1764" t="str">
        <f t="shared" si="2620"/>
        <v/>
      </c>
      <c r="Q2998" s="120" t="str">
        <f t="shared" si="2621"/>
        <v/>
      </c>
    </row>
    <row r="2999" spans="1:18" s="315" customFormat="1">
      <c r="A2999" s="687" t="s">
        <v>3542</v>
      </c>
      <c r="B2999" s="1906"/>
      <c r="C2999" s="1907"/>
      <c r="D2999" s="1935"/>
      <c r="E2999" s="1786"/>
      <c r="F2999" s="1936"/>
      <c r="G2999" s="712"/>
      <c r="H2999" s="712"/>
      <c r="I2999" s="712"/>
      <c r="J2999" s="713"/>
      <c r="K2999" s="684">
        <f t="shared" si="2622"/>
        <v>1</v>
      </c>
      <c r="L2999" s="1909">
        <f>B2999</f>
        <v>0</v>
      </c>
      <c r="M2999" s="684">
        <f t="shared" si="2617"/>
        <v>1</v>
      </c>
      <c r="N2999" s="362" t="str">
        <f t="shared" si="2618"/>
        <v/>
      </c>
      <c r="O2999" s="1763" t="str">
        <f t="shared" si="2619"/>
        <v/>
      </c>
      <c r="P2999" s="1764" t="str">
        <f t="shared" si="2620"/>
        <v/>
      </c>
      <c r="Q2999" s="120" t="str">
        <f t="shared" si="2621"/>
        <v/>
      </c>
    </row>
    <row r="3000" spans="1:18" s="185" customFormat="1" ht="13.5" customHeight="1">
      <c r="A3000" s="1771"/>
      <c r="B3000" s="1922"/>
      <c r="C3000" s="1956" t="s">
        <v>12368</v>
      </c>
      <c r="D3000" s="1579"/>
      <c r="E3000" s="1957"/>
      <c r="F3000" s="1958"/>
      <c r="G3000" s="710"/>
      <c r="H3000" s="710"/>
      <c r="I3000" s="710"/>
      <c r="J3000" s="711"/>
      <c r="K3000" s="684">
        <f t="shared" si="2622"/>
        <v>1</v>
      </c>
      <c r="L3000" s="708">
        <v>1</v>
      </c>
      <c r="M3000" s="684">
        <f t="shared" si="2617"/>
        <v>1</v>
      </c>
      <c r="N3000" s="362" t="str">
        <f t="shared" si="2618"/>
        <v/>
      </c>
      <c r="O3000" s="1763" t="str">
        <f t="shared" si="2619"/>
        <v/>
      </c>
      <c r="P3000" s="1764" t="str">
        <f t="shared" si="2620"/>
        <v/>
      </c>
      <c r="Q3000" s="120" t="str">
        <f t="shared" si="2621"/>
        <v/>
      </c>
    </row>
    <row r="3001" spans="1:18" s="120" customFormat="1" ht="18" customHeight="1">
      <c r="A3001" s="1767"/>
      <c r="B3001" s="1781"/>
      <c r="C3001" s="1218" t="s">
        <v>3158</v>
      </c>
      <c r="D3001" s="1900"/>
      <c r="E3001" s="1791"/>
      <c r="F3001" s="1782"/>
      <c r="G3001" s="686"/>
      <c r="H3001" s="686"/>
      <c r="I3001" s="686"/>
      <c r="J3001" s="688"/>
      <c r="K3001" s="684">
        <f t="shared" si="2622"/>
        <v>1</v>
      </c>
      <c r="L3001" s="708">
        <v>1</v>
      </c>
      <c r="M3001" s="684">
        <f t="shared" si="2617"/>
        <v>1</v>
      </c>
      <c r="N3001" s="362" t="str">
        <f t="shared" si="2618"/>
        <v/>
      </c>
      <c r="O3001" s="1763" t="str">
        <f t="shared" si="2619"/>
        <v/>
      </c>
      <c r="P3001" s="1764" t="str">
        <f t="shared" si="2620"/>
        <v/>
      </c>
      <c r="Q3001" s="120" t="str">
        <f t="shared" si="2621"/>
        <v/>
      </c>
      <c r="R3001" s="185"/>
    </row>
    <row r="3002" spans="1:18" s="690" customFormat="1" ht="18" customHeight="1">
      <c r="A3002" s="1767"/>
      <c r="B3002" s="1781">
        <v>1</v>
      </c>
      <c r="C3002" s="1420" t="str">
        <f>VLOOKUP(D3002,base_datos,6,FALSE)</f>
        <v>ITM Caja Moldeada 3x32A (reg.[0.7-1.0] In) - XT1B160-32A-3P-TMD - 25kA@230Vac, 18kA@415Vac, 18kA@250Vdc - marca ABB.</v>
      </c>
      <c r="D3002" s="1901" t="s">
        <v>4364</v>
      </c>
      <c r="E3002" s="1791">
        <f>VLOOKUP(D3002,base_datos,5,FALSE)</f>
        <v>120.37</v>
      </c>
      <c r="F3002" s="1782">
        <f>+E3002*B3002</f>
        <v>120.37</v>
      </c>
      <c r="G3002" s="1761"/>
      <c r="H3002" s="1761"/>
      <c r="I3002" s="1761"/>
      <c r="J3002" s="689"/>
      <c r="K3002" s="684">
        <f t="shared" si="2622"/>
        <v>1</v>
      </c>
      <c r="L3002" s="708">
        <v>1</v>
      </c>
      <c r="M3002" s="684">
        <f t="shared" si="2617"/>
        <v>1</v>
      </c>
      <c r="N3002" s="362">
        <f t="shared" si="2618"/>
        <v>1</v>
      </c>
      <c r="O3002" s="1763" t="str">
        <f t="shared" si="2619"/>
        <v>1SDA066802R1</v>
      </c>
      <c r="P3002" s="1764" t="str">
        <f t="shared" si="2620"/>
        <v>ITM Caja Moldeada 3x32A (reg.[0.7-1.0] In) - XT1B160-32A-3P-TMD - 25kA@230Vac, 18kA@415Vac, 18kA@250Vdc - marca ABB.</v>
      </c>
      <c r="Q3002" s="120" t="str">
        <f t="shared" si="2621"/>
        <v>XT1B160-32A-3P-TMD</v>
      </c>
      <c r="R3002" s="185"/>
    </row>
    <row r="3003" spans="1:18" s="185" customFormat="1">
      <c r="A3003" s="1767"/>
      <c r="B3003" s="714"/>
      <c r="C3003" s="313" t="s">
        <v>729</v>
      </c>
      <c r="D3003" s="173"/>
      <c r="E3003" s="1786"/>
      <c r="F3003" s="1787"/>
      <c r="G3003" s="710"/>
      <c r="H3003" s="710"/>
      <c r="I3003" s="710"/>
      <c r="J3003" s="711"/>
      <c r="K3003" s="684">
        <f t="shared" si="2622"/>
        <v>1</v>
      </c>
      <c r="L3003" s="708">
        <v>1</v>
      </c>
      <c r="M3003" s="684">
        <f t="shared" si="2617"/>
        <v>1</v>
      </c>
      <c r="N3003" s="362" t="str">
        <f t="shared" si="2618"/>
        <v/>
      </c>
      <c r="O3003" s="1763" t="str">
        <f t="shared" si="2619"/>
        <v/>
      </c>
      <c r="P3003" s="1764" t="str">
        <f t="shared" si="2620"/>
        <v/>
      </c>
      <c r="Q3003" s="120" t="str">
        <f t="shared" si="2621"/>
        <v/>
      </c>
    </row>
    <row r="3004" spans="1:18" s="1766" customFormat="1" ht="18" customHeight="1">
      <c r="A3004" s="691"/>
      <c r="B3004" s="1769"/>
      <c r="C3004" s="1770" t="s">
        <v>11663</v>
      </c>
      <c r="D3004" s="1901"/>
      <c r="E3004" s="1581"/>
      <c r="F3004" s="1581"/>
      <c r="G3004" s="1761"/>
      <c r="H3004" s="1761"/>
      <c r="I3004" s="1761"/>
      <c r="J3004" s="1762"/>
      <c r="K3004" s="684">
        <f t="shared" si="2622"/>
        <v>1</v>
      </c>
      <c r="L3004" s="708">
        <v>1</v>
      </c>
      <c r="M3004" s="684">
        <f t="shared" si="2617"/>
        <v>1</v>
      </c>
      <c r="N3004" s="362" t="str">
        <f t="shared" si="2618"/>
        <v/>
      </c>
      <c r="O3004" s="1763" t="str">
        <f t="shared" si="2619"/>
        <v/>
      </c>
      <c r="P3004" s="1764" t="str">
        <f t="shared" si="2620"/>
        <v/>
      </c>
      <c r="Q3004" s="120" t="str">
        <f t="shared" si="2621"/>
        <v/>
      </c>
      <c r="R3004" s="1765"/>
    </row>
    <row r="3005" spans="1:18" s="1766" customFormat="1" ht="18" customHeight="1">
      <c r="A3005" s="1767"/>
      <c r="B3005" s="1760">
        <v>1</v>
      </c>
      <c r="C3005" s="1892" t="str">
        <f t="shared" ref="C3005:C3009" si="2623">VLOOKUP(D3005,base_datos,6,FALSE)</f>
        <v>Analizador de Redes DIRIS-A30 - precisión (V, I) 0.2%, precisión de energía activa / reactiva: clase 0,5S / clase 2 - marca SOCOMEC.</v>
      </c>
      <c r="D3005" s="1898" t="s">
        <v>12164</v>
      </c>
      <c r="E3005" s="1581">
        <f t="shared" ref="E3005:E3009" si="2624">VLOOKUP(D3005,base_datos,5,FALSE)</f>
        <v>633.64</v>
      </c>
      <c r="F3005" s="1581">
        <f t="shared" ref="F3005:F3009" si="2625">+E3005*B3005</f>
        <v>633.64</v>
      </c>
      <c r="G3005" s="1761"/>
      <c r="H3005" s="1761"/>
      <c r="I3005" s="1761"/>
      <c r="J3005" s="1762"/>
      <c r="K3005" s="684">
        <f t="shared" si="2622"/>
        <v>1</v>
      </c>
      <c r="L3005" s="708">
        <v>1</v>
      </c>
      <c r="M3005" s="684">
        <f t="shared" si="2617"/>
        <v>1</v>
      </c>
      <c r="N3005" s="362">
        <f t="shared" si="2618"/>
        <v>1</v>
      </c>
      <c r="O3005" s="1763" t="str">
        <f t="shared" si="2619"/>
        <v>4825 0403</v>
      </c>
      <c r="P3005" s="1764" t="str">
        <f t="shared" si="2620"/>
        <v>Analizador de Redes DIRIS-A30 - precisión (V, I) 0.2%, precisión de energía activa / reactiva: clase 0,5S / clase 2 - marca SOCOMEC.</v>
      </c>
      <c r="Q3005" s="120" t="str">
        <f t="shared" si="2621"/>
        <v>DIRIS-A30</v>
      </c>
      <c r="R3005" s="1765"/>
    </row>
    <row r="3006" spans="1:18" s="1766" customFormat="1" ht="18" customHeight="1">
      <c r="A3006" s="687"/>
      <c r="B3006" s="1760">
        <v>1</v>
      </c>
      <c r="C3006" s="1990" t="str">
        <f t="shared" si="2623"/>
        <v>Módulo de comunicación RS 485 MODBUS, para Analizador de Red, DIRIS-A30, marca SOCOMEC.</v>
      </c>
      <c r="D3006" s="144" t="s">
        <v>12166</v>
      </c>
      <c r="E3006" s="1581">
        <f t="shared" si="2624"/>
        <v>115.64</v>
      </c>
      <c r="F3006" s="1581">
        <f t="shared" si="2625"/>
        <v>115.64</v>
      </c>
      <c r="G3006" s="1761"/>
      <c r="H3006" s="1761"/>
      <c r="I3006" s="1761"/>
      <c r="J3006" s="1762"/>
      <c r="K3006" s="684">
        <f>+K3002</f>
        <v>1</v>
      </c>
      <c r="L3006" s="708">
        <v>1</v>
      </c>
      <c r="M3006" s="709">
        <f t="shared" si="2617"/>
        <v>1</v>
      </c>
      <c r="N3006" s="362">
        <f t="shared" si="2618"/>
        <v>1</v>
      </c>
      <c r="O3006" s="1763" t="str">
        <f t="shared" si="2619"/>
        <v>4825 0092</v>
      </c>
      <c r="P3006" s="1764" t="str">
        <f t="shared" si="2620"/>
        <v>Módulo de comunicación RS 485 MODBUS, para Analizador de Red, DIRIS-A30, marca SOCOMEC.</v>
      </c>
      <c r="Q3006" s="120" t="str">
        <f t="shared" si="2621"/>
        <v>DIRIS-A30/Com</v>
      </c>
      <c r="R3006" s="1765"/>
    </row>
    <row r="3007" spans="1:18" s="1766" customFormat="1" ht="18" customHeight="1">
      <c r="A3007" s="687"/>
      <c r="B3007" s="1760">
        <f>3*B3005</f>
        <v>3</v>
      </c>
      <c r="C3007" s="1892" t="str">
        <f t="shared" si="2623"/>
        <v>Transformador de corriente de 50/5A</v>
      </c>
      <c r="D3007" s="1899" t="s">
        <v>8260</v>
      </c>
      <c r="E3007" s="1581">
        <f t="shared" si="2624"/>
        <v>65</v>
      </c>
      <c r="F3007" s="1581">
        <f t="shared" si="2625"/>
        <v>195</v>
      </c>
      <c r="G3007" s="1761"/>
      <c r="H3007" s="1761"/>
      <c r="I3007" s="1761"/>
      <c r="J3007" s="1762"/>
      <c r="K3007" s="684">
        <f>+K3004</f>
        <v>1</v>
      </c>
      <c r="L3007" s="708">
        <v>1</v>
      </c>
      <c r="M3007" s="684">
        <f t="shared" si="2617"/>
        <v>3</v>
      </c>
      <c r="N3007" s="362" t="str">
        <f t="shared" si="2618"/>
        <v/>
      </c>
      <c r="O3007" s="1763" t="str">
        <f t="shared" si="2619"/>
        <v/>
      </c>
      <c r="P3007" s="1764" t="str">
        <f t="shared" si="2620"/>
        <v/>
      </c>
      <c r="Q3007" s="120" t="str">
        <f t="shared" si="2621"/>
        <v/>
      </c>
      <c r="R3007" s="1765"/>
    </row>
    <row r="3008" spans="1:18" s="1766" customFormat="1" ht="18" customHeight="1">
      <c r="A3008" s="687"/>
      <c r="B3008" s="1760">
        <f>5*B3005</f>
        <v>5</v>
      </c>
      <c r="C3008" s="1892" t="str">
        <f t="shared" si="2623"/>
        <v>Base portafusibles + Fusibles de protección para control.</v>
      </c>
      <c r="D3008" s="1899" t="s">
        <v>453</v>
      </c>
      <c r="E3008" s="1581">
        <f t="shared" si="2624"/>
        <v>8.1750000000000007</v>
      </c>
      <c r="F3008" s="1581">
        <f t="shared" si="2625"/>
        <v>40.875</v>
      </c>
      <c r="G3008" s="1761"/>
      <c r="H3008" s="1761"/>
      <c r="I3008" s="1761"/>
      <c r="J3008" s="1762"/>
      <c r="K3008" s="684">
        <f>+K3005</f>
        <v>1</v>
      </c>
      <c r="L3008" s="708">
        <v>1</v>
      </c>
      <c r="M3008" s="684">
        <f t="shared" si="2617"/>
        <v>5</v>
      </c>
      <c r="N3008" s="362" t="str">
        <f t="shared" si="2618"/>
        <v/>
      </c>
      <c r="O3008" s="1763" t="str">
        <f t="shared" si="2619"/>
        <v/>
      </c>
      <c r="P3008" s="1764" t="str">
        <f t="shared" si="2620"/>
        <v/>
      </c>
      <c r="Q3008" s="120" t="str">
        <f t="shared" si="2621"/>
        <v/>
      </c>
      <c r="R3008" s="1765"/>
    </row>
    <row r="3009" spans="1:20" s="1766" customFormat="1" ht="18" customHeight="1">
      <c r="A3009" s="1771"/>
      <c r="B3009" s="1760">
        <f>6*B3005</f>
        <v>6</v>
      </c>
      <c r="C3009" s="1892" t="str">
        <f t="shared" si="2623"/>
        <v>Bornes seccionables de corriente.</v>
      </c>
      <c r="D3009" s="1899" t="s">
        <v>435</v>
      </c>
      <c r="E3009" s="1581">
        <f t="shared" si="2624"/>
        <v>12</v>
      </c>
      <c r="F3009" s="1581">
        <f t="shared" si="2625"/>
        <v>72</v>
      </c>
      <c r="G3009" s="1761"/>
      <c r="H3009" s="1761"/>
      <c r="I3009" s="1761"/>
      <c r="J3009" s="1762"/>
      <c r="K3009" s="684">
        <f t="shared" si="2622"/>
        <v>1</v>
      </c>
      <c r="L3009" s="708">
        <v>1</v>
      </c>
      <c r="M3009" s="684">
        <f t="shared" si="2617"/>
        <v>6</v>
      </c>
      <c r="N3009" s="362" t="str">
        <f t="shared" si="2618"/>
        <v/>
      </c>
      <c r="O3009" s="1763" t="str">
        <f t="shared" si="2619"/>
        <v/>
      </c>
      <c r="P3009" s="1764" t="str">
        <f t="shared" si="2620"/>
        <v/>
      </c>
      <c r="Q3009" s="120" t="str">
        <f t="shared" si="2621"/>
        <v/>
      </c>
      <c r="R3009" s="1765"/>
    </row>
    <row r="3010" spans="1:20" s="185" customFormat="1" ht="18" customHeight="1">
      <c r="A3010" s="693"/>
      <c r="B3010" s="714"/>
      <c r="C3010" s="1893" t="s">
        <v>729</v>
      </c>
      <c r="D3010" s="173"/>
      <c r="E3010" s="1581"/>
      <c r="F3010" s="1581"/>
      <c r="G3010" s="710"/>
      <c r="H3010" s="710"/>
      <c r="I3010" s="710"/>
      <c r="J3010" s="711"/>
      <c r="K3010" s="684">
        <f t="shared" si="2622"/>
        <v>1</v>
      </c>
      <c r="L3010" s="708">
        <v>1</v>
      </c>
      <c r="M3010" s="684">
        <f t="shared" si="2617"/>
        <v>1</v>
      </c>
      <c r="N3010" s="362" t="str">
        <f t="shared" si="2618"/>
        <v/>
      </c>
      <c r="O3010" s="1763" t="str">
        <f t="shared" si="2619"/>
        <v/>
      </c>
      <c r="P3010" s="1764" t="str">
        <f t="shared" si="2620"/>
        <v/>
      </c>
      <c r="Q3010" s="120" t="str">
        <f t="shared" si="2621"/>
        <v/>
      </c>
      <c r="R3010" s="1765"/>
    </row>
    <row r="3011" spans="1:20" s="690" customFormat="1" ht="18" customHeight="1">
      <c r="A3011" s="1767"/>
      <c r="B3011" s="1851"/>
      <c r="C3011" s="1894" t="s">
        <v>3377</v>
      </c>
      <c r="D3011" s="1582"/>
      <c r="E3011" s="1780"/>
      <c r="F3011" s="1782"/>
      <c r="G3011" s="1761"/>
      <c r="H3011" s="1761"/>
      <c r="I3011" s="1761"/>
      <c r="J3011" s="689"/>
      <c r="K3011" s="684">
        <f t="shared" si="2622"/>
        <v>1</v>
      </c>
      <c r="L3011" s="708">
        <v>1</v>
      </c>
      <c r="M3011" s="684">
        <f t="shared" si="2617"/>
        <v>1</v>
      </c>
      <c r="N3011" s="362" t="str">
        <f t="shared" si="2618"/>
        <v/>
      </c>
      <c r="O3011" s="1763" t="str">
        <f t="shared" si="2619"/>
        <v/>
      </c>
      <c r="P3011" s="1764" t="str">
        <f t="shared" si="2620"/>
        <v/>
      </c>
      <c r="Q3011" s="120" t="str">
        <f t="shared" si="2621"/>
        <v/>
      </c>
      <c r="R3011" s="185"/>
    </row>
    <row r="3012" spans="1:20" s="690" customFormat="1" ht="18" customHeight="1">
      <c r="A3012" s="1767"/>
      <c r="B3012" s="1781">
        <v>1</v>
      </c>
      <c r="C3012" s="1420" t="str">
        <f t="shared" ref="C3012" si="2626">VLOOKUP(D3012,base_datos,6,FALSE)</f>
        <v>ITM Caja Moldeada 3x25A (reg.[0.7-1.0] In)  - XT1B160-25A-3P-TMD - 25kA@230Vac,18kA@415Vac, 18kA@250Vdc - marca ABB.</v>
      </c>
      <c r="D3012" s="1901" t="s">
        <v>4362</v>
      </c>
      <c r="E3012" s="1791">
        <f>VLOOKUP(D3012,base_datos,5,FALSE)</f>
        <v>120.37</v>
      </c>
      <c r="F3012" s="1782">
        <f t="shared" ref="F3012" si="2627">+E3012*B3012</f>
        <v>120.37</v>
      </c>
      <c r="G3012" s="1761"/>
      <c r="H3012" s="1761"/>
      <c r="I3012" s="1761"/>
      <c r="J3012" s="1783"/>
      <c r="K3012" s="684">
        <f t="shared" si="2622"/>
        <v>1</v>
      </c>
      <c r="L3012" s="708">
        <v>1</v>
      </c>
      <c r="M3012" s="684">
        <f t="shared" ref="M3012" si="2628">IF(B3012="",1,B3012)</f>
        <v>1</v>
      </c>
      <c r="N3012" s="362">
        <f t="shared" ref="N3012" si="2629">IF(O3012&lt;&gt;"",K3012*L3012*M3012,"")</f>
        <v>1</v>
      </c>
      <c r="O3012" s="1763" t="str">
        <f t="shared" ref="O3012" si="2630">IF(D3012&lt;&gt;"",IF(VLOOKUP(D3012,base_datos,7,FALSE)&lt;&gt;"",VLOOKUP(D3012,base_datos,7,FALSE),""),"")</f>
        <v>1SDA066801R1</v>
      </c>
      <c r="P3012" s="1764" t="str">
        <f t="shared" ref="P3012" si="2631">IF(O3012&lt;&gt;"",VLOOKUP(D3012,base_datos,6,FALSE),"")</f>
        <v>ITM Caja Moldeada 3x25A (reg.[0.7-1.0] In)  - XT1B160-25A-3P-TMD - 25kA@230Vac,18kA@415Vac, 18kA@250Vdc - marca ABB.</v>
      </c>
      <c r="Q3012" s="120" t="str">
        <f t="shared" ref="Q3012" si="2632">IF(O3012&lt;&gt;"",D3012,"")</f>
        <v>XT1B160-25A-3P-TMD</v>
      </c>
      <c r="R3012" s="185"/>
    </row>
    <row r="3013" spans="1:20" s="690" customFormat="1" ht="18" customHeight="1">
      <c r="A3013" s="1767"/>
      <c r="B3013" s="1781">
        <v>2</v>
      </c>
      <c r="C3013" s="1420" t="str">
        <f t="shared" ref="C3013:C3015" si="2633">VLOOKUP(D3013,base_datos,6,FALSE)</f>
        <v>ITM Caja Moldeada 3x20A (reg.[0.7-1.0] In) - XT1B160-20A-3P-TMD - 25kA@230Vac, 18kA@415Vac, 18kA@250Vdc - marca ABB.</v>
      </c>
      <c r="D3013" s="1901" t="s">
        <v>4360</v>
      </c>
      <c r="E3013" s="1791">
        <f>VLOOKUP(D3013,base_datos,5,FALSE)</f>
        <v>120.37</v>
      </c>
      <c r="F3013" s="1782">
        <f t="shared" ref="F3013:F3015" si="2634">+E3013*B3013</f>
        <v>240.74</v>
      </c>
      <c r="G3013" s="1761"/>
      <c r="H3013" s="1761"/>
      <c r="I3013" s="1761"/>
      <c r="J3013" s="1783"/>
      <c r="K3013" s="684">
        <f t="shared" si="2622"/>
        <v>1</v>
      </c>
      <c r="L3013" s="708">
        <v>1</v>
      </c>
      <c r="M3013" s="684">
        <f t="shared" si="2617"/>
        <v>2</v>
      </c>
      <c r="N3013" s="362">
        <f t="shared" si="2618"/>
        <v>2</v>
      </c>
      <c r="O3013" s="1763" t="str">
        <f t="shared" si="2619"/>
        <v>1SDA066800R1</v>
      </c>
      <c r="P3013" s="1764" t="str">
        <f t="shared" si="2620"/>
        <v>ITM Caja Moldeada 3x20A (reg.[0.7-1.0] In) - XT1B160-20A-3P-TMD - 25kA@230Vac, 18kA@415Vac, 18kA@250Vdc - marca ABB.</v>
      </c>
      <c r="Q3013" s="120" t="str">
        <f t="shared" si="2621"/>
        <v>XT1B160-20A-3P-TMD</v>
      </c>
      <c r="R3013" s="185"/>
    </row>
    <row r="3014" spans="1:20" s="690" customFormat="1" ht="18" customHeight="1">
      <c r="A3014" s="691"/>
      <c r="B3014" s="1781">
        <v>1</v>
      </c>
      <c r="C3014" s="1420" t="str">
        <f t="shared" si="2633"/>
        <v>Bobina de minima tension UVR-C 220...240 VAC - 220...250 VDC - A1..A2 - marca ABB.</v>
      </c>
      <c r="D3014" s="1901" t="s">
        <v>12433</v>
      </c>
      <c r="E3014" s="1791">
        <f>VLOOKUP(D3014,base_datos,5,FALSE)</f>
        <v>119.14</v>
      </c>
      <c r="F3014" s="1782">
        <f t="shared" si="2634"/>
        <v>119.14</v>
      </c>
      <c r="G3014" s="1761"/>
      <c r="H3014" s="1761"/>
      <c r="I3014" s="1761"/>
      <c r="J3014" s="1783"/>
      <c r="K3014" s="684">
        <f t="shared" si="2622"/>
        <v>1</v>
      </c>
      <c r="L3014" s="708">
        <v>1</v>
      </c>
      <c r="M3014" s="684">
        <f t="shared" si="2617"/>
        <v>1</v>
      </c>
      <c r="N3014" s="362">
        <f t="shared" si="2618"/>
        <v>1</v>
      </c>
      <c r="O3014" s="1763" t="str">
        <f t="shared" si="2619"/>
        <v>1SDA066146R1</v>
      </c>
      <c r="P3014" s="1764" t="str">
        <f t="shared" si="2620"/>
        <v>Bobina de minima tension UVR-C 220...240 VAC - 220...250 VDC - A1..A2 - marca ABB.</v>
      </c>
      <c r="Q3014" s="120" t="str">
        <f t="shared" si="2621"/>
        <v>UVR-C_A1_A2_240V</v>
      </c>
      <c r="R3014" s="185"/>
    </row>
    <row r="3015" spans="1:20" s="690" customFormat="1" ht="18" customHeight="1">
      <c r="A3015" s="1767"/>
      <c r="B3015" s="1781">
        <v>1</v>
      </c>
      <c r="C3015" s="1420" t="str">
        <f t="shared" si="2633"/>
        <v>Espacio de reserva trifásica - Caja moldeada.</v>
      </c>
      <c r="D3015" s="1901" t="s">
        <v>2932</v>
      </c>
      <c r="E3015" s="1791">
        <f>VLOOKUP(D3015,base_datos,5,FALSE)</f>
        <v>15</v>
      </c>
      <c r="F3015" s="1782">
        <f t="shared" si="2634"/>
        <v>15</v>
      </c>
      <c r="G3015" s="1761"/>
      <c r="H3015" s="1761"/>
      <c r="I3015" s="1761"/>
      <c r="J3015" s="1783"/>
      <c r="K3015" s="684">
        <f t="shared" si="2622"/>
        <v>1</v>
      </c>
      <c r="L3015" s="708">
        <v>1</v>
      </c>
      <c r="M3015" s="684">
        <f t="shared" si="2617"/>
        <v>1</v>
      </c>
      <c r="N3015" s="362" t="str">
        <f t="shared" si="2618"/>
        <v/>
      </c>
      <c r="O3015" s="1763" t="str">
        <f t="shared" si="2619"/>
        <v/>
      </c>
      <c r="P3015" s="1764" t="str">
        <f t="shared" si="2620"/>
        <v/>
      </c>
      <c r="Q3015" s="120" t="str">
        <f t="shared" si="2621"/>
        <v/>
      </c>
      <c r="R3015" s="185"/>
    </row>
    <row r="3016" spans="1:20" s="185" customFormat="1" ht="18" customHeight="1">
      <c r="A3016" s="1785"/>
      <c r="B3016" s="714"/>
      <c r="C3016" s="1893" t="s">
        <v>729</v>
      </c>
      <c r="D3016" s="173"/>
      <c r="E3016" s="1786"/>
      <c r="F3016" s="1787"/>
      <c r="G3016" s="710"/>
      <c r="H3016" s="710"/>
      <c r="I3016" s="710"/>
      <c r="J3016" s="711"/>
      <c r="K3016" s="684">
        <f t="shared" si="2622"/>
        <v>1</v>
      </c>
      <c r="L3016" s="708">
        <v>1</v>
      </c>
      <c r="M3016" s="684">
        <f t="shared" si="2617"/>
        <v>1</v>
      </c>
      <c r="N3016" s="362" t="str">
        <f t="shared" si="2618"/>
        <v/>
      </c>
      <c r="O3016" s="1763" t="str">
        <f t="shared" si="2619"/>
        <v/>
      </c>
      <c r="P3016" s="1764" t="str">
        <f t="shared" si="2620"/>
        <v/>
      </c>
      <c r="Q3016" s="120" t="str">
        <f t="shared" si="2621"/>
        <v/>
      </c>
    </row>
    <row r="3017" spans="1:20" s="315" customFormat="1" ht="12.75" customHeight="1">
      <c r="A3017" s="2271"/>
      <c r="B3017" s="2272">
        <v>1</v>
      </c>
      <c r="C3017" s="2281" t="s">
        <v>13366</v>
      </c>
      <c r="D3017" s="1935"/>
      <c r="E3017" s="2287"/>
      <c r="F3017" s="2257">
        <f>+SUM(F3018:F3021)*(B3017-1)</f>
        <v>0</v>
      </c>
      <c r="G3017" s="712"/>
      <c r="H3017" s="712"/>
      <c r="I3017" s="712"/>
      <c r="J3017" s="713"/>
      <c r="K3017" s="684">
        <f t="shared" ref="K3017:K3022" si="2635">+K3016</f>
        <v>1</v>
      </c>
      <c r="L3017" s="2258">
        <v>1</v>
      </c>
      <c r="M3017" s="120">
        <f t="shared" si="2617"/>
        <v>1</v>
      </c>
      <c r="N3017" s="112" t="str">
        <f t="shared" si="2618"/>
        <v/>
      </c>
      <c r="O3017" s="112" t="str">
        <f t="shared" si="2619"/>
        <v/>
      </c>
      <c r="P3017" s="120" t="str">
        <f t="shared" si="2620"/>
        <v/>
      </c>
      <c r="Q3017" s="120" t="str">
        <f t="shared" si="2621"/>
        <v/>
      </c>
      <c r="S3017" s="112" t="str">
        <f t="shared" ref="S3017:S3022" si="2636">IF(O3017&lt;&gt;"",VLOOKUP(D3017,base_datos,9,FALSE),"")</f>
        <v/>
      </c>
      <c r="T3017" s="2128"/>
    </row>
    <row r="3018" spans="1:20" s="690" customFormat="1" ht="18" customHeight="1">
      <c r="A3018" s="2273"/>
      <c r="B3018" s="1781">
        <v>1</v>
      </c>
      <c r="C3018" s="1420" t="str">
        <f t="shared" ref="C3018:C3021" si="2637">VLOOKUP(D3018,base_datos,6,FALSE)</f>
        <v>Calefactor resistivo 60W, modelo RACM - marca FANDIS.</v>
      </c>
      <c r="D3018" s="1899" t="s">
        <v>3298</v>
      </c>
      <c r="E3018" s="2288">
        <f t="shared" ref="E3018" si="2638">VLOOKUP(D3018,base_datos,5,FALSE)</f>
        <v>127.1</v>
      </c>
      <c r="F3018" s="1782">
        <f>+E3018*B3018</f>
        <v>127.1</v>
      </c>
      <c r="G3018" s="1761"/>
      <c r="H3018" s="1761"/>
      <c r="I3018" s="1761"/>
      <c r="J3018" s="689"/>
      <c r="K3018" s="684">
        <f t="shared" si="2635"/>
        <v>1</v>
      </c>
      <c r="L3018" s="2258">
        <v>1</v>
      </c>
      <c r="M3018" s="120">
        <f t="shared" si="2617"/>
        <v>1</v>
      </c>
      <c r="N3018" s="112">
        <f t="shared" si="2618"/>
        <v>1</v>
      </c>
      <c r="O3018" s="112" t="str">
        <f t="shared" si="2619"/>
        <v>RACM-60</v>
      </c>
      <c r="P3018" s="120" t="str">
        <f t="shared" si="2620"/>
        <v>Calefactor resistivo 60W, modelo RACM - marca FANDIS.</v>
      </c>
      <c r="Q3018" s="120" t="str">
        <f t="shared" si="2621"/>
        <v>CALEFACT-60W_FAND</v>
      </c>
      <c r="S3018" s="112" t="str">
        <f t="shared" si="2636"/>
        <v>FANDIS</v>
      </c>
      <c r="T3018" s="1765"/>
    </row>
    <row r="3019" spans="1:20" s="690" customFormat="1" ht="18" customHeight="1">
      <c r="A3019" s="2273"/>
      <c r="B3019" s="1781">
        <v>1</v>
      </c>
      <c r="C3019" s="1420" t="str">
        <f t="shared" si="2637"/>
        <v>Termostato para ventilación - 1NA - 230V - marca FANDIS.</v>
      </c>
      <c r="D3019" s="1899" t="s">
        <v>3294</v>
      </c>
      <c r="E3019" s="2288">
        <f t="shared" ref="E3019:E3021" si="2639">VLOOKUP(D3019,base_datos,5,FALSE)</f>
        <v>41.58</v>
      </c>
      <c r="F3019" s="1782">
        <f>+E3019*B3019</f>
        <v>41.58</v>
      </c>
      <c r="G3019" s="1761"/>
      <c r="H3019" s="1761"/>
      <c r="I3019" s="1761"/>
      <c r="J3019" s="689"/>
      <c r="K3019" s="684">
        <f t="shared" si="2635"/>
        <v>1</v>
      </c>
      <c r="L3019" s="2258">
        <v>1</v>
      </c>
      <c r="M3019" s="120">
        <f t="shared" si="2617"/>
        <v>1</v>
      </c>
      <c r="N3019" s="112">
        <f t="shared" si="2618"/>
        <v>1</v>
      </c>
      <c r="O3019" s="112" t="str">
        <f t="shared" si="2619"/>
        <v>TRT-10A230V-NO</v>
      </c>
      <c r="P3019" s="120" t="str">
        <f t="shared" si="2620"/>
        <v>Termostato para ventilación - 1NA - 230V - marca FANDIS.</v>
      </c>
      <c r="Q3019" s="120" t="str">
        <f t="shared" si="2621"/>
        <v>TRT-1NA</v>
      </c>
      <c r="S3019" s="112" t="str">
        <f t="shared" si="2636"/>
        <v>FANDIS</v>
      </c>
      <c r="T3019" s="1765"/>
    </row>
    <row r="3020" spans="1:20" s="320" customFormat="1" ht="12.75" customHeight="1">
      <c r="A3020" s="2274"/>
      <c r="B3020" s="2275">
        <v>1</v>
      </c>
      <c r="C3020" s="2282" t="str">
        <f t="shared" si="2637"/>
        <v>Base portafusibles + Fusibles de protección para control.</v>
      </c>
      <c r="D3020" s="1579" t="s">
        <v>453</v>
      </c>
      <c r="E3020" s="2289">
        <f t="shared" si="2639"/>
        <v>8.1750000000000007</v>
      </c>
      <c r="F3020" s="2264">
        <f>+E3020*B3020</f>
        <v>8.1750000000000007</v>
      </c>
      <c r="G3020" s="2276"/>
      <c r="H3020" s="2276"/>
      <c r="I3020" s="2276"/>
      <c r="J3020" s="722"/>
      <c r="K3020" s="684">
        <f t="shared" si="2635"/>
        <v>1</v>
      </c>
      <c r="L3020" s="2258">
        <v>1</v>
      </c>
      <c r="M3020" s="120">
        <f t="shared" si="2617"/>
        <v>1</v>
      </c>
      <c r="N3020" s="112" t="str">
        <f t="shared" si="2618"/>
        <v/>
      </c>
      <c r="O3020" s="112" t="str">
        <f t="shared" si="2619"/>
        <v/>
      </c>
      <c r="P3020" s="120" t="str">
        <f t="shared" si="2620"/>
        <v/>
      </c>
      <c r="Q3020" s="120" t="str">
        <f t="shared" si="2621"/>
        <v/>
      </c>
      <c r="R3020" s="185"/>
      <c r="S3020" s="112" t="str">
        <f t="shared" si="2636"/>
        <v/>
      </c>
      <c r="T3020" s="709"/>
    </row>
    <row r="3021" spans="1:20" s="320" customFormat="1" ht="12.75" customHeight="1">
      <c r="A3021" s="2274"/>
      <c r="B3021" s="2277">
        <v>1</v>
      </c>
      <c r="C3021" s="2282" t="str">
        <f t="shared" si="2637"/>
        <v>Borne 4mm2.</v>
      </c>
      <c r="D3021" s="1579" t="s">
        <v>437</v>
      </c>
      <c r="E3021" s="2260">
        <f t="shared" si="2639"/>
        <v>2.5</v>
      </c>
      <c r="F3021" s="2260">
        <f>+E3021*B3021</f>
        <v>2.5</v>
      </c>
      <c r="G3021" s="2276"/>
      <c r="H3021" s="2276"/>
      <c r="I3021" s="2276"/>
      <c r="J3021" s="722"/>
      <c r="K3021" s="684">
        <f t="shared" si="2635"/>
        <v>1</v>
      </c>
      <c r="L3021" s="2258">
        <v>1</v>
      </c>
      <c r="M3021" s="120">
        <f t="shared" si="2617"/>
        <v>1</v>
      </c>
      <c r="N3021" s="112" t="str">
        <f t="shared" si="2618"/>
        <v/>
      </c>
      <c r="O3021" s="112" t="str">
        <f t="shared" si="2619"/>
        <v/>
      </c>
      <c r="P3021" s="120" t="str">
        <f t="shared" si="2620"/>
        <v/>
      </c>
      <c r="Q3021" s="120" t="str">
        <f t="shared" si="2621"/>
        <v/>
      </c>
      <c r="R3021" s="185"/>
      <c r="S3021" s="112" t="str">
        <f t="shared" si="2636"/>
        <v/>
      </c>
      <c r="T3021" s="709"/>
    </row>
    <row r="3022" spans="1:20" s="185" customFormat="1" ht="12.75" customHeight="1">
      <c r="A3022" s="2262"/>
      <c r="B3022" s="1760"/>
      <c r="C3022" s="1893" t="s">
        <v>729</v>
      </c>
      <c r="D3022" s="169"/>
      <c r="E3022" s="2256"/>
      <c r="F3022" s="2278"/>
      <c r="G3022" s="710"/>
      <c r="H3022" s="710"/>
      <c r="I3022" s="710"/>
      <c r="J3022" s="711"/>
      <c r="K3022" s="684">
        <f t="shared" si="2635"/>
        <v>1</v>
      </c>
      <c r="L3022" s="2258">
        <v>1</v>
      </c>
      <c r="M3022" s="120">
        <f t="shared" si="2617"/>
        <v>1</v>
      </c>
      <c r="N3022" s="112" t="str">
        <f t="shared" si="2618"/>
        <v/>
      </c>
      <c r="O3022" s="112" t="str">
        <f t="shared" si="2619"/>
        <v/>
      </c>
      <c r="P3022" s="120" t="str">
        <f t="shared" si="2620"/>
        <v/>
      </c>
      <c r="Q3022" s="120" t="str">
        <f t="shared" si="2621"/>
        <v/>
      </c>
      <c r="S3022" s="112" t="str">
        <f t="shared" si="2636"/>
        <v/>
      </c>
      <c r="T3022" s="118"/>
    </row>
    <row r="3023" spans="1:20" s="1236" customFormat="1" ht="18" customHeight="1">
      <c r="A3023" s="1767"/>
      <c r="B3023" s="1853">
        <v>1</v>
      </c>
      <c r="C3023" s="1895" t="s">
        <v>12364</v>
      </c>
      <c r="D3023" s="1902"/>
      <c r="E3023" s="1792"/>
      <c r="F3023" s="1793"/>
      <c r="G3023" s="1784"/>
      <c r="H3023" s="1784"/>
      <c r="I3023" s="1784"/>
      <c r="J3023" s="1182"/>
      <c r="K3023" s="684">
        <f>+K3015</f>
        <v>1</v>
      </c>
      <c r="L3023" s="708">
        <v>1</v>
      </c>
      <c r="M3023" s="684">
        <f t="shared" si="2617"/>
        <v>1</v>
      </c>
      <c r="N3023" s="362" t="str">
        <f t="shared" si="2618"/>
        <v/>
      </c>
      <c r="O3023" s="1763" t="str">
        <f t="shared" si="2619"/>
        <v/>
      </c>
      <c r="P3023" s="1764" t="str">
        <f t="shared" si="2620"/>
        <v/>
      </c>
      <c r="Q3023" s="120" t="str">
        <f t="shared" si="2621"/>
        <v/>
      </c>
      <c r="R3023" s="185"/>
    </row>
    <row r="3024" spans="1:20" s="695" customFormat="1" ht="18" customHeight="1">
      <c r="A3024" s="693"/>
      <c r="B3024" s="1922">
        <v>1</v>
      </c>
      <c r="C3024" s="1848" t="str">
        <f t="shared" ref="C3024" si="2640">VLOOKUP(D3024,base_datos,6,FALSE)</f>
        <v>Placa lamicoid rotulación de 3mm de espesor, fondo negro y letras blancas.</v>
      </c>
      <c r="D3024" s="1886" t="s">
        <v>8570</v>
      </c>
      <c r="E3024" s="1795">
        <f t="shared" ref="E3024" si="2641">VLOOKUP(D3024,base_datos,5,FALSE)</f>
        <v>2.2000000000000002</v>
      </c>
      <c r="F3024" s="1796">
        <f t="shared" ref="F3024" si="2642">+E3024*B3024</f>
        <v>2.2000000000000002</v>
      </c>
      <c r="G3024" s="696"/>
      <c r="H3024" s="696"/>
      <c r="I3024" s="696"/>
      <c r="J3024" s="697"/>
      <c r="K3024" s="684">
        <f>+K3016</f>
        <v>1</v>
      </c>
      <c r="L3024" s="708">
        <v>1</v>
      </c>
      <c r="M3024" s="684">
        <f t="shared" si="2617"/>
        <v>1</v>
      </c>
      <c r="N3024" s="362">
        <f t="shared" si="2618"/>
        <v>1</v>
      </c>
      <c r="O3024" s="1763" t="str">
        <f t="shared" si="2619"/>
        <v>Placa lamicoid p/distr.</v>
      </c>
      <c r="P3024" s="1764" t="str">
        <f t="shared" si="2620"/>
        <v>Placa lamicoid rotulación de 3mm de espesor, fondo negro y letras blancas.</v>
      </c>
      <c r="Q3024" s="120" t="str">
        <f t="shared" si="2621"/>
        <v>Placa lamicoid p/distr.</v>
      </c>
      <c r="R3024" s="185"/>
    </row>
    <row r="3025" spans="1:18" s="1236" customFormat="1" ht="18" customHeight="1">
      <c r="A3025" s="1767"/>
      <c r="B3025" s="1853">
        <v>1</v>
      </c>
      <c r="C3025" s="1895" t="s">
        <v>12474</v>
      </c>
      <c r="D3025" s="1902"/>
      <c r="E3025" s="1792"/>
      <c r="F3025" s="1793"/>
      <c r="G3025" s="1784"/>
      <c r="H3025" s="1784"/>
      <c r="I3025" s="1784"/>
      <c r="J3025" s="1182"/>
      <c r="K3025" s="684">
        <f t="shared" si="2622"/>
        <v>1</v>
      </c>
      <c r="L3025" s="708">
        <v>1</v>
      </c>
      <c r="M3025" s="709">
        <f t="shared" si="2617"/>
        <v>1</v>
      </c>
      <c r="N3025" s="362" t="str">
        <f t="shared" si="2618"/>
        <v/>
      </c>
      <c r="O3025" s="1763" t="str">
        <f t="shared" si="2619"/>
        <v/>
      </c>
      <c r="P3025" s="1764" t="str">
        <f t="shared" si="2620"/>
        <v/>
      </c>
      <c r="Q3025" s="120" t="str">
        <f t="shared" si="2621"/>
        <v/>
      </c>
      <c r="R3025" s="185"/>
    </row>
    <row r="3026" spans="1:18" s="1236" customFormat="1" ht="18" customHeight="1">
      <c r="A3026" s="1767"/>
      <c r="B3026" s="1853">
        <v>1</v>
      </c>
      <c r="C3026" s="1848" t="str">
        <f>VLOOKUP(D3026,base_datos,6,FALSE)</f>
        <v>Embalaje especial completamente cerrado para tablero adosado de 1600x600x220mm</v>
      </c>
      <c r="D3026" s="1902" t="s">
        <v>12453</v>
      </c>
      <c r="E3026" s="1795">
        <f t="shared" ref="E3026" si="2643">VLOOKUP(D3026,base_datos,5,FALSE)</f>
        <v>271.40000000000003</v>
      </c>
      <c r="F3026" s="1796">
        <f t="shared" ref="F3026" si="2644">+E3026*B3026</f>
        <v>271.40000000000003</v>
      </c>
      <c r="G3026" s="1784"/>
      <c r="H3026" s="1784"/>
      <c r="I3026" s="1784"/>
      <c r="J3026" s="1182"/>
      <c r="K3026" s="684">
        <f t="shared" si="2622"/>
        <v>1</v>
      </c>
      <c r="L3026" s="708">
        <v>1</v>
      </c>
      <c r="M3026" s="709">
        <f t="shared" si="2617"/>
        <v>1</v>
      </c>
      <c r="N3026" s="362">
        <f t="shared" si="2618"/>
        <v>1</v>
      </c>
      <c r="O3026" s="1763" t="str">
        <f t="shared" si="2619"/>
        <v>EMBAL_ADOS_1600x600x220mm</v>
      </c>
      <c r="P3026" s="1764" t="str">
        <f t="shared" si="2620"/>
        <v>Embalaje especial completamente cerrado para tablero adosado de 1600x600x220mm</v>
      </c>
      <c r="Q3026" s="120" t="str">
        <f t="shared" si="2621"/>
        <v>EMBAL_ADOS_1600x600x220mm</v>
      </c>
      <c r="R3026" s="185"/>
    </row>
    <row r="3027" spans="1:18" s="185" customFormat="1" ht="18" customHeight="1">
      <c r="A3027" s="1785"/>
      <c r="B3027" s="714"/>
      <c r="C3027" s="1893" t="s">
        <v>729</v>
      </c>
      <c r="D3027" s="173"/>
      <c r="E3027" s="1786"/>
      <c r="F3027" s="1787"/>
      <c r="G3027" s="710"/>
      <c r="H3027" s="710"/>
      <c r="I3027" s="710"/>
      <c r="J3027" s="711"/>
      <c r="K3027" s="684">
        <f t="shared" si="2622"/>
        <v>1</v>
      </c>
      <c r="L3027" s="708">
        <v>1</v>
      </c>
      <c r="M3027" s="684">
        <f t="shared" si="2617"/>
        <v>1</v>
      </c>
      <c r="N3027" s="362" t="str">
        <f t="shared" si="2618"/>
        <v/>
      </c>
      <c r="O3027" s="1763" t="str">
        <f t="shared" si="2619"/>
        <v/>
      </c>
      <c r="P3027" s="1764" t="str">
        <f t="shared" si="2620"/>
        <v/>
      </c>
      <c r="Q3027" s="120" t="str">
        <f t="shared" si="2621"/>
        <v/>
      </c>
    </row>
    <row r="3028" spans="1:18" s="695" customFormat="1" ht="18" customHeight="1">
      <c r="A3028" s="693"/>
      <c r="B3028" s="1794">
        <v>1</v>
      </c>
      <c r="C3028" s="1420" t="s">
        <v>316</v>
      </c>
      <c r="D3028" s="1790"/>
      <c r="E3028" s="1795"/>
      <c r="F3028" s="1796"/>
      <c r="G3028" s="696"/>
      <c r="H3028" s="696"/>
      <c r="I3028" s="696"/>
      <c r="J3028" s="697"/>
      <c r="K3028" s="684">
        <f t="shared" si="2622"/>
        <v>1</v>
      </c>
      <c r="L3028" s="708">
        <v>1</v>
      </c>
      <c r="M3028" s="684">
        <f t="shared" si="2617"/>
        <v>1</v>
      </c>
      <c r="N3028" s="362" t="str">
        <f t="shared" si="2618"/>
        <v/>
      </c>
      <c r="O3028" s="1763" t="str">
        <f t="shared" si="2619"/>
        <v/>
      </c>
      <c r="P3028" s="1764" t="str">
        <f t="shared" si="2620"/>
        <v/>
      </c>
      <c r="Q3028" s="120" t="str">
        <f t="shared" si="2621"/>
        <v/>
      </c>
      <c r="R3028" s="185"/>
    </row>
    <row r="3029" spans="1:18" s="185" customFormat="1" ht="18" customHeight="1">
      <c r="A3029" s="1785"/>
      <c r="B3029" s="714"/>
      <c r="C3029" s="1893" t="s">
        <v>729</v>
      </c>
      <c r="D3029" s="173"/>
      <c r="E3029" s="1786"/>
      <c r="F3029" s="1787"/>
      <c r="G3029" s="710"/>
      <c r="H3029" s="710"/>
      <c r="I3029" s="710"/>
      <c r="J3029" s="711"/>
      <c r="K3029" s="684">
        <f t="shared" si="2622"/>
        <v>1</v>
      </c>
      <c r="L3029" s="708">
        <v>1</v>
      </c>
      <c r="M3029" s="684">
        <f t="shared" si="2617"/>
        <v>1</v>
      </c>
      <c r="N3029" s="362" t="str">
        <f t="shared" si="2618"/>
        <v/>
      </c>
      <c r="O3029" s="1763" t="str">
        <f t="shared" si="2619"/>
        <v/>
      </c>
      <c r="P3029" s="1764" t="str">
        <f t="shared" si="2620"/>
        <v/>
      </c>
      <c r="Q3029" s="120" t="str">
        <f t="shared" si="2621"/>
        <v/>
      </c>
    </row>
    <row r="3030" spans="1:18" s="897" customFormat="1" ht="18" customHeight="1">
      <c r="A3030" s="693"/>
      <c r="B3030" s="895">
        <v>5</v>
      </c>
      <c r="C3030" s="1848" t="str">
        <f>VLOOKUP(D3030,base_datos,6,FALSE)</f>
        <v>Rotulado por circuito.</v>
      </c>
      <c r="D3030" s="1579" t="s">
        <v>3067</v>
      </c>
      <c r="E3030" s="1581">
        <f>VLOOKUP(D3030,base_datos,5,FALSE)</f>
        <v>0.7</v>
      </c>
      <c r="F3030" s="1581">
        <f t="shared" ref="F3030:F3035" si="2645">+E3030*B3030</f>
        <v>3.5</v>
      </c>
      <c r="G3030" s="1772"/>
      <c r="H3030" s="1772"/>
      <c r="I3030" s="1772"/>
      <c r="J3030" s="896"/>
      <c r="K3030" s="684">
        <f t="shared" si="2622"/>
        <v>1</v>
      </c>
      <c r="L3030" s="708">
        <v>1</v>
      </c>
      <c r="M3030" s="684">
        <f t="shared" si="2617"/>
        <v>5</v>
      </c>
      <c r="N3030" s="362" t="str">
        <f t="shared" si="2618"/>
        <v/>
      </c>
      <c r="O3030" s="1763" t="str">
        <f t="shared" si="2619"/>
        <v/>
      </c>
      <c r="P3030" s="1764" t="str">
        <f t="shared" si="2620"/>
        <v/>
      </c>
      <c r="Q3030" s="120" t="str">
        <f t="shared" si="2621"/>
        <v/>
      </c>
    </row>
    <row r="3031" spans="1:18" s="897" customFormat="1" ht="18" customHeight="1">
      <c r="A3031" s="693"/>
      <c r="B3031" s="895">
        <v>1</v>
      </c>
      <c r="C3031" s="1848" t="str">
        <f>VLOOKUP(D3031,base_datos,6,FALSE)</f>
        <v>Rotulado para TAG - tablero de distribución.</v>
      </c>
      <c r="D3031" s="1579" t="s">
        <v>3066</v>
      </c>
      <c r="E3031" s="1581">
        <f>VLOOKUP(D3031,base_datos,5,FALSE)</f>
        <v>1.5</v>
      </c>
      <c r="F3031" s="1581">
        <f t="shared" si="2645"/>
        <v>1.5</v>
      </c>
      <c r="G3031" s="1772"/>
      <c r="H3031" s="1772"/>
      <c r="I3031" s="1772"/>
      <c r="J3031" s="896"/>
      <c r="K3031" s="684">
        <f t="shared" si="2622"/>
        <v>1</v>
      </c>
      <c r="L3031" s="708">
        <v>1</v>
      </c>
      <c r="M3031" s="684">
        <f t="shared" si="2617"/>
        <v>1</v>
      </c>
      <c r="N3031" s="362" t="str">
        <f t="shared" si="2618"/>
        <v/>
      </c>
      <c r="O3031" s="1763" t="str">
        <f t="shared" si="2619"/>
        <v/>
      </c>
      <c r="P3031" s="1764" t="str">
        <f t="shared" si="2620"/>
        <v/>
      </c>
      <c r="Q3031" s="120" t="str">
        <f t="shared" si="2621"/>
        <v/>
      </c>
    </row>
    <row r="3032" spans="1:18" s="1237" customFormat="1" ht="18" customHeight="1">
      <c r="A3032" s="1767"/>
      <c r="B3032" s="1773">
        <v>1</v>
      </c>
      <c r="C3032" s="1896" t="s">
        <v>11664</v>
      </c>
      <c r="D3032" s="1887"/>
      <c r="E3032" s="1581">
        <v>63</v>
      </c>
      <c r="F3032" s="1581">
        <f t="shared" si="2645"/>
        <v>63</v>
      </c>
      <c r="G3032" s="1774"/>
      <c r="H3032" s="1774"/>
      <c r="I3032" s="1774"/>
      <c r="J3032" s="1181"/>
      <c r="K3032" s="684">
        <f t="shared" si="2622"/>
        <v>1</v>
      </c>
      <c r="L3032" s="708">
        <v>1</v>
      </c>
      <c r="M3032" s="684">
        <f t="shared" si="2617"/>
        <v>1</v>
      </c>
      <c r="N3032" s="362" t="str">
        <f t="shared" si="2618"/>
        <v/>
      </c>
      <c r="O3032" s="1763" t="str">
        <f t="shared" si="2619"/>
        <v/>
      </c>
      <c r="P3032" s="1764" t="str">
        <f t="shared" si="2620"/>
        <v/>
      </c>
      <c r="Q3032" s="120" t="str">
        <f t="shared" si="2621"/>
        <v/>
      </c>
      <c r="R3032" s="1765"/>
    </row>
    <row r="3033" spans="1:18" s="1237" customFormat="1" ht="18" customHeight="1">
      <c r="A3033" s="1767"/>
      <c r="B3033" s="2093">
        <v>1</v>
      </c>
      <c r="C3033" s="694" t="s">
        <v>12552</v>
      </c>
      <c r="D3033" s="1888"/>
      <c r="E3033" s="1580">
        <f>E3035*15%</f>
        <v>18.75</v>
      </c>
      <c r="F3033" s="1581">
        <f t="shared" si="2645"/>
        <v>18.75</v>
      </c>
      <c r="G3033" s="1774"/>
      <c r="H3033" s="1774"/>
      <c r="I3033" s="1774"/>
      <c r="J3033" s="1181"/>
      <c r="K3033" s="684">
        <f t="shared" si="2622"/>
        <v>1</v>
      </c>
      <c r="L3033" s="708">
        <v>1</v>
      </c>
      <c r="M3033" s="709">
        <f t="shared" si="2617"/>
        <v>1</v>
      </c>
      <c r="N3033" s="362" t="str">
        <f t="shared" si="2618"/>
        <v/>
      </c>
      <c r="O3033" s="1763" t="str">
        <f t="shared" si="2619"/>
        <v/>
      </c>
      <c r="P3033" s="1764" t="str">
        <f t="shared" si="2620"/>
        <v/>
      </c>
      <c r="Q3033" s="120" t="str">
        <f t="shared" si="2621"/>
        <v/>
      </c>
      <c r="R3033" s="1765"/>
    </row>
    <row r="3034" spans="1:18" s="1237" customFormat="1" ht="18" customHeight="1">
      <c r="A3034" s="1767"/>
      <c r="B3034" s="1773">
        <v>1</v>
      </c>
      <c r="C3034" s="694" t="s">
        <v>12559</v>
      </c>
      <c r="D3034" s="1888"/>
      <c r="E3034" s="1999">
        <f>E3035*20%</f>
        <v>25</v>
      </c>
      <c r="F3034" s="1581">
        <f t="shared" si="2645"/>
        <v>25</v>
      </c>
      <c r="G3034" s="1774"/>
      <c r="H3034" s="1774"/>
      <c r="I3034" s="1774"/>
      <c r="J3034" s="1181"/>
      <c r="K3034" s="684">
        <f>+K3032</f>
        <v>1</v>
      </c>
      <c r="L3034" s="708">
        <v>1</v>
      </c>
      <c r="M3034" s="709">
        <f t="shared" si="2617"/>
        <v>1</v>
      </c>
      <c r="N3034" s="362" t="str">
        <f t="shared" si="2618"/>
        <v/>
      </c>
      <c r="O3034" s="1763" t="str">
        <f t="shared" si="2619"/>
        <v/>
      </c>
      <c r="P3034" s="1764" t="str">
        <f t="shared" si="2620"/>
        <v/>
      </c>
      <c r="Q3034" s="120" t="str">
        <f t="shared" si="2621"/>
        <v/>
      </c>
      <c r="R3034" s="1765"/>
    </row>
    <row r="3035" spans="1:18" s="1237" customFormat="1" ht="18" customHeight="1">
      <c r="A3035" s="1767"/>
      <c r="B3035" s="1773">
        <v>1</v>
      </c>
      <c r="C3035" s="1943" t="s">
        <v>12503</v>
      </c>
      <c r="D3035" s="1897"/>
      <c r="E3035" s="1581">
        <v>125</v>
      </c>
      <c r="F3035" s="1581">
        <f t="shared" si="2645"/>
        <v>125</v>
      </c>
      <c r="G3035" s="1774"/>
      <c r="H3035" s="1774"/>
      <c r="I3035" s="1774"/>
      <c r="J3035" s="1181"/>
      <c r="K3035" s="684">
        <f>+K3032</f>
        <v>1</v>
      </c>
      <c r="L3035" s="708">
        <v>1</v>
      </c>
      <c r="M3035" s="684">
        <f t="shared" si="2617"/>
        <v>1</v>
      </c>
      <c r="N3035" s="362" t="str">
        <f t="shared" si="2618"/>
        <v/>
      </c>
      <c r="O3035" s="1763" t="str">
        <f t="shared" si="2619"/>
        <v/>
      </c>
      <c r="P3035" s="1764" t="str">
        <f t="shared" si="2620"/>
        <v/>
      </c>
      <c r="Q3035" s="120" t="str">
        <f t="shared" si="2621"/>
        <v/>
      </c>
      <c r="R3035" s="1765"/>
    </row>
    <row r="3036" spans="1:18" s="20" customFormat="1" ht="18" customHeight="1" thickBot="1">
      <c r="A3036" s="699"/>
      <c r="B3036" s="1775"/>
      <c r="C3036" s="1776"/>
      <c r="D3036" s="1885"/>
      <c r="E3036" s="1981"/>
      <c r="F3036" s="1981"/>
      <c r="G3036" s="1777"/>
      <c r="H3036" s="1777"/>
      <c r="I3036" s="1777"/>
      <c r="J3036" s="1778"/>
      <c r="K3036" s="684"/>
      <c r="L3036" s="363"/>
      <c r="M3036" s="709"/>
      <c r="N3036" s="362" t="str">
        <f t="shared" si="2618"/>
        <v/>
      </c>
      <c r="O3036" s="1763" t="str">
        <f t="shared" si="2619"/>
        <v/>
      </c>
      <c r="P3036" s="1764" t="str">
        <f t="shared" si="2620"/>
        <v/>
      </c>
      <c r="Q3036" s="120" t="str">
        <f t="shared" si="2621"/>
        <v/>
      </c>
      <c r="R3036" s="1765"/>
    </row>
    <row r="3037" spans="1:18" s="120" customFormat="1" ht="18" customHeight="1" thickBot="1">
      <c r="A3037" s="1989">
        <v>49</v>
      </c>
      <c r="B3037" s="1852">
        <v>1</v>
      </c>
      <c r="C3037" s="1756" t="s">
        <v>12610</v>
      </c>
      <c r="D3037" s="1588"/>
      <c r="E3037" s="1589"/>
      <c r="F3037" s="1589"/>
      <c r="G3037" s="1757">
        <f>SUM(F3038:F3119)</f>
        <v>3909.5250000000001</v>
      </c>
      <c r="H3037" s="1758">
        <f>G3037*(1-$D$6)</f>
        <v>3909.5250000000001</v>
      </c>
      <c r="I3037" s="1757">
        <f>ROUNDUP(H3037*$D$5,0)</f>
        <v>13293</v>
      </c>
      <c r="J3037" s="1759">
        <f>+I3037*B3037</f>
        <v>13293</v>
      </c>
      <c r="K3037" s="1788">
        <f>B3037</f>
        <v>1</v>
      </c>
      <c r="L3037" s="363"/>
      <c r="M3037" s="684"/>
      <c r="N3037" s="362" t="str">
        <f t="shared" ref="N3037:N3102" si="2646">IF(O3037&lt;&gt;"",K3037*L3037*M3037,"")</f>
        <v/>
      </c>
      <c r="O3037" s="1763" t="str">
        <f t="shared" ref="O3037:O3102" si="2647">IF(D3037&lt;&gt;"",IF(VLOOKUP(D3037,base_datos,7,FALSE)&lt;&gt;"",VLOOKUP(D3037,base_datos,7,FALSE),""),"")</f>
        <v/>
      </c>
      <c r="P3037" s="1764" t="str">
        <f t="shared" ref="P3037:P3102" si="2648">IF(O3037&lt;&gt;"",VLOOKUP(D3037,base_datos,6,FALSE),"")</f>
        <v/>
      </c>
      <c r="Q3037" s="120" t="str">
        <f t="shared" ref="Q3037:Q3102" si="2649">IF(O3037&lt;&gt;"",D3037,"")</f>
        <v/>
      </c>
      <c r="R3037" s="185"/>
    </row>
    <row r="3038" spans="1:18" s="120" customFormat="1" ht="18" customHeight="1">
      <c r="A3038" s="685" t="s">
        <v>3064</v>
      </c>
      <c r="B3038" s="1903"/>
      <c r="C3038" s="1890"/>
      <c r="D3038" s="1904"/>
      <c r="E3038" s="1789"/>
      <c r="F3038" s="1780"/>
      <c r="G3038" s="686"/>
      <c r="H3038" s="710"/>
      <c r="I3038" s="686"/>
      <c r="J3038" s="1768"/>
      <c r="K3038" s="684">
        <f t="shared" ref="K3038:K3042" si="2650">+K3037</f>
        <v>1</v>
      </c>
      <c r="L3038" s="363">
        <v>1</v>
      </c>
      <c r="M3038" s="709">
        <f t="shared" ref="M3038:M3115" si="2651">IF(B3038="",1,B3038)</f>
        <v>1</v>
      </c>
      <c r="N3038" s="362" t="str">
        <f t="shared" si="2646"/>
        <v/>
      </c>
      <c r="O3038" s="1763" t="str">
        <f t="shared" si="2647"/>
        <v/>
      </c>
      <c r="P3038" s="1764" t="str">
        <f t="shared" si="2648"/>
        <v/>
      </c>
      <c r="Q3038" s="120" t="str">
        <f t="shared" si="2649"/>
        <v/>
      </c>
    </row>
    <row r="3039" spans="1:18" s="315" customFormat="1" ht="12" customHeight="1">
      <c r="A3039" s="687" t="s">
        <v>4021</v>
      </c>
      <c r="B3039" s="2096">
        <v>1</v>
      </c>
      <c r="C3039" s="1907" t="s">
        <v>5103</v>
      </c>
      <c r="D3039" s="1935"/>
      <c r="E3039" s="1786"/>
      <c r="F3039" s="1908">
        <f>SUM(F3041:F3045)*(B3039-1)</f>
        <v>0</v>
      </c>
      <c r="G3039" s="712"/>
      <c r="H3039" s="712"/>
      <c r="I3039" s="712"/>
      <c r="J3039" s="713"/>
      <c r="K3039" s="684">
        <f t="shared" si="2650"/>
        <v>1</v>
      </c>
      <c r="L3039" s="1909">
        <f>B3039</f>
        <v>1</v>
      </c>
      <c r="M3039" s="684">
        <f t="shared" si="2651"/>
        <v>1</v>
      </c>
      <c r="N3039" s="362" t="str">
        <f t="shared" si="2646"/>
        <v/>
      </c>
      <c r="O3039" s="1763" t="str">
        <f t="shared" si="2647"/>
        <v/>
      </c>
      <c r="P3039" s="1764" t="str">
        <f t="shared" si="2648"/>
        <v/>
      </c>
      <c r="Q3039" s="120" t="str">
        <f t="shared" si="2649"/>
        <v/>
      </c>
    </row>
    <row r="3040" spans="1:18" s="185" customFormat="1">
      <c r="A3040" s="687" t="s">
        <v>4136</v>
      </c>
      <c r="B3040" s="1910">
        <v>3</v>
      </c>
      <c r="C3040" s="1911" t="str">
        <f>VLOOKUP(D3040,base_datos,6,FALSE)</f>
        <v>Portalámpara + lampara tipo LED - color Rojo - alimentacion: 220-230Vac, d=22mm. - CL2-523R - línea compacta - marca ABB.</v>
      </c>
      <c r="D3040" s="1790" t="s">
        <v>2439</v>
      </c>
      <c r="E3040" s="1939">
        <f>VLOOKUP(D3040,base_datos,5,FALSE)</f>
        <v>12.299999999999999</v>
      </c>
      <c r="F3040" s="1912">
        <f>+E3040*B3040</f>
        <v>36.9</v>
      </c>
      <c r="G3040" s="710"/>
      <c r="H3040" s="710"/>
      <c r="I3040" s="710"/>
      <c r="J3040" s="711"/>
      <c r="K3040" s="684">
        <f>+K3038</f>
        <v>1</v>
      </c>
      <c r="L3040" s="1913">
        <f>L3038</f>
        <v>1</v>
      </c>
      <c r="M3040" s="684">
        <f t="shared" si="2651"/>
        <v>3</v>
      </c>
      <c r="N3040" s="362">
        <f t="shared" si="2646"/>
        <v>3</v>
      </c>
      <c r="O3040" s="1763" t="str">
        <f t="shared" si="2647"/>
        <v>1SFA619403R5231</v>
      </c>
      <c r="P3040" s="1764" t="str">
        <f t="shared" si="2648"/>
        <v>Portalámpara + lampara tipo LED - color Rojo - alimentacion: 220-230Vac, d=22mm. - CL2-523R - línea compacta - marca ABB.</v>
      </c>
      <c r="Q3040" s="120" t="str">
        <f t="shared" si="2649"/>
        <v>LAMP_ROJO_220V</v>
      </c>
    </row>
    <row r="3041" spans="1:18" s="185" customFormat="1">
      <c r="A3041" s="687"/>
      <c r="B3041" s="1910">
        <v>3</v>
      </c>
      <c r="C3041" s="1911" t="str">
        <f>VLOOKUP(D3041,base_datos,6,FALSE)</f>
        <v>Portalámpara + lampara tipo LED - color Verde - alimentacion: 220-230Vac, d=22mm. - CL2-523G - línea compacta - marca ABB.</v>
      </c>
      <c r="D3041" s="1790" t="s">
        <v>2440</v>
      </c>
      <c r="E3041" s="1939">
        <f>VLOOKUP(D3041,base_datos,5,FALSE)</f>
        <v>12.299999999999999</v>
      </c>
      <c r="F3041" s="1912">
        <f>+E3041*B3041</f>
        <v>36.9</v>
      </c>
      <c r="G3041" s="710"/>
      <c r="H3041" s="710"/>
      <c r="I3041" s="710"/>
      <c r="J3041" s="711"/>
      <c r="K3041" s="684">
        <f>+K3039</f>
        <v>1</v>
      </c>
      <c r="L3041" s="1913">
        <f>L3039</f>
        <v>1</v>
      </c>
      <c r="M3041" s="684">
        <f t="shared" si="2651"/>
        <v>3</v>
      </c>
      <c r="N3041" s="362">
        <f t="shared" si="2646"/>
        <v>3</v>
      </c>
      <c r="O3041" s="1763" t="str">
        <f t="shared" si="2647"/>
        <v>1SFA619403R5232</v>
      </c>
      <c r="P3041" s="1764" t="str">
        <f t="shared" si="2648"/>
        <v>Portalámpara + lampara tipo LED - color Verde - alimentacion: 220-230Vac, d=22mm. - CL2-523G - línea compacta - marca ABB.</v>
      </c>
      <c r="Q3041" s="120" t="str">
        <f t="shared" si="2649"/>
        <v>LAMP_VERDE_220V</v>
      </c>
    </row>
    <row r="3042" spans="1:18" s="1921" customFormat="1">
      <c r="A3042" s="687" t="s">
        <v>12356</v>
      </c>
      <c r="B3042" s="1914">
        <v>1</v>
      </c>
      <c r="C3042" s="1915" t="s">
        <v>3366</v>
      </c>
      <c r="D3042" s="1916"/>
      <c r="E3042" s="1917"/>
      <c r="F3042" s="1918"/>
      <c r="G3042" s="1919"/>
      <c r="H3042" s="1919"/>
      <c r="I3042" s="1919"/>
      <c r="J3042" s="1920"/>
      <c r="K3042" s="684">
        <f t="shared" si="2650"/>
        <v>1</v>
      </c>
      <c r="L3042" s="1913">
        <f>L3041</f>
        <v>1</v>
      </c>
      <c r="M3042" s="684">
        <f t="shared" si="2651"/>
        <v>1</v>
      </c>
      <c r="N3042" s="362" t="str">
        <f t="shared" si="2646"/>
        <v/>
      </c>
      <c r="O3042" s="1763" t="str">
        <f t="shared" si="2647"/>
        <v/>
      </c>
      <c r="P3042" s="1764" t="str">
        <f t="shared" si="2648"/>
        <v/>
      </c>
      <c r="Q3042" s="120" t="str">
        <f t="shared" si="2649"/>
        <v/>
      </c>
    </row>
    <row r="3043" spans="1:18" s="320" customFormat="1">
      <c r="A3043" s="687" t="s">
        <v>12367</v>
      </c>
      <c r="B3043" s="1922">
        <v>1</v>
      </c>
      <c r="C3043" s="721" t="str">
        <f>VLOOKUP(D3043,base_datos,6,FALSE)</f>
        <v>Rele auxiliar enchufable +4NA/NC (D2PR4B + base D2PA6), 220Vac - marca EATON.</v>
      </c>
      <c r="D3043" s="1579" t="s">
        <v>772</v>
      </c>
      <c r="E3043" s="1581">
        <f>VLOOKUP(D3043,base_datos,5,FALSE)</f>
        <v>27</v>
      </c>
      <c r="F3043" s="1923">
        <f>+E3043*B3043</f>
        <v>27</v>
      </c>
      <c r="G3043" s="1924"/>
      <c r="H3043" s="1924"/>
      <c r="I3043" s="1924"/>
      <c r="J3043" s="722"/>
      <c r="K3043" s="684">
        <f>+K3040</f>
        <v>1</v>
      </c>
      <c r="L3043" s="1913">
        <f>L3040</f>
        <v>1</v>
      </c>
      <c r="M3043" s="684">
        <f t="shared" si="2651"/>
        <v>1</v>
      </c>
      <c r="N3043" s="362">
        <f t="shared" si="2646"/>
        <v>1</v>
      </c>
      <c r="O3043" s="1763" t="str">
        <f t="shared" si="2647"/>
        <v>D2PR4B+D2PA6</v>
      </c>
      <c r="P3043" s="1764" t="str">
        <f t="shared" si="2648"/>
        <v>Rele auxiliar enchufable +4NA/NC (D2PR4B + base D2PA6), 220Vac - marca EATON.</v>
      </c>
      <c r="Q3043" s="120" t="str">
        <f t="shared" si="2649"/>
        <v>D2PR4B+D2PA6</v>
      </c>
    </row>
    <row r="3044" spans="1:18" s="320" customFormat="1">
      <c r="A3044" s="1767"/>
      <c r="B3044" s="2131">
        <v>1</v>
      </c>
      <c r="C3044" s="2132" t="s">
        <v>12558</v>
      </c>
      <c r="D3044" s="2133"/>
      <c r="E3044" s="2134">
        <v>32</v>
      </c>
      <c r="F3044" s="2134">
        <f>+E3044*B3044</f>
        <v>32</v>
      </c>
      <c r="G3044" s="1924"/>
      <c r="H3044" s="1924"/>
      <c r="I3044" s="1924"/>
      <c r="J3044" s="722"/>
      <c r="K3044" s="684">
        <f>+K3041</f>
        <v>1</v>
      </c>
      <c r="L3044" s="1913">
        <f>L3041</f>
        <v>1</v>
      </c>
      <c r="M3044" s="684">
        <f t="shared" si="2651"/>
        <v>1</v>
      </c>
      <c r="N3044" s="362" t="str">
        <f t="shared" si="2646"/>
        <v/>
      </c>
      <c r="O3044" s="1763" t="str">
        <f t="shared" si="2647"/>
        <v/>
      </c>
      <c r="P3044" s="1764" t="str">
        <f t="shared" si="2648"/>
        <v/>
      </c>
      <c r="Q3044" s="120" t="str">
        <f t="shared" si="2649"/>
        <v/>
      </c>
    </row>
    <row r="3045" spans="1:18" s="320" customFormat="1">
      <c r="A3045" s="687" t="s">
        <v>12551</v>
      </c>
      <c r="B3045" s="1922">
        <v>4</v>
      </c>
      <c r="C3045" s="721" t="str">
        <f>VLOOKUP(D3045,base_datos,6,FALSE)</f>
        <v>Base portafusibles + Fusibles de protección para control.</v>
      </c>
      <c r="D3045" s="1579" t="s">
        <v>453</v>
      </c>
      <c r="E3045" s="1581">
        <f>VLOOKUP(D3045,base_datos,5,FALSE)</f>
        <v>8.1750000000000007</v>
      </c>
      <c r="F3045" s="1923">
        <f>+E3045*B3045</f>
        <v>32.700000000000003</v>
      </c>
      <c r="G3045" s="1924"/>
      <c r="H3045" s="1924"/>
      <c r="I3045" s="1924"/>
      <c r="J3045" s="722"/>
      <c r="K3045" s="684">
        <f t="shared" ref="K3045:K3068" si="2652">+K3042</f>
        <v>1</v>
      </c>
      <c r="L3045" s="1913">
        <f>L3042</f>
        <v>1</v>
      </c>
      <c r="M3045" s="684">
        <f t="shared" si="2651"/>
        <v>4</v>
      </c>
      <c r="N3045" s="362" t="str">
        <f t="shared" si="2646"/>
        <v/>
      </c>
      <c r="O3045" s="1763" t="str">
        <f t="shared" si="2647"/>
        <v/>
      </c>
      <c r="P3045" s="1764" t="str">
        <f t="shared" si="2648"/>
        <v/>
      </c>
      <c r="Q3045" s="120" t="str">
        <f t="shared" si="2649"/>
        <v/>
      </c>
    </row>
    <row r="3046" spans="1:18" s="315" customFormat="1">
      <c r="A3046" s="687" t="s">
        <v>3542</v>
      </c>
      <c r="B3046" s="1906"/>
      <c r="C3046" s="1907"/>
      <c r="D3046" s="1935"/>
      <c r="E3046" s="1786"/>
      <c r="F3046" s="1936"/>
      <c r="G3046" s="712"/>
      <c r="H3046" s="712"/>
      <c r="I3046" s="712"/>
      <c r="J3046" s="713"/>
      <c r="K3046" s="684">
        <f t="shared" si="2652"/>
        <v>1</v>
      </c>
      <c r="L3046" s="1909">
        <f>B3046</f>
        <v>0</v>
      </c>
      <c r="M3046" s="684">
        <f t="shared" si="2651"/>
        <v>1</v>
      </c>
      <c r="N3046" s="362" t="str">
        <f t="shared" si="2646"/>
        <v/>
      </c>
      <c r="O3046" s="1763" t="str">
        <f t="shared" si="2647"/>
        <v/>
      </c>
      <c r="P3046" s="1764" t="str">
        <f t="shared" si="2648"/>
        <v/>
      </c>
      <c r="Q3046" s="120" t="str">
        <f t="shared" si="2649"/>
        <v/>
      </c>
    </row>
    <row r="3047" spans="1:18" s="185" customFormat="1" ht="13.5" customHeight="1">
      <c r="A3047" s="1771"/>
      <c r="B3047" s="1922"/>
      <c r="C3047" s="1956" t="s">
        <v>12368</v>
      </c>
      <c r="D3047" s="1579"/>
      <c r="E3047" s="1957"/>
      <c r="F3047" s="1958"/>
      <c r="G3047" s="710"/>
      <c r="H3047" s="710"/>
      <c r="I3047" s="710"/>
      <c r="J3047" s="711"/>
      <c r="K3047" s="684">
        <f t="shared" si="2652"/>
        <v>1</v>
      </c>
      <c r="L3047" s="708">
        <v>1</v>
      </c>
      <c r="M3047" s="684">
        <f t="shared" si="2651"/>
        <v>1</v>
      </c>
      <c r="N3047" s="362" t="str">
        <f t="shared" si="2646"/>
        <v/>
      </c>
      <c r="O3047" s="1763" t="str">
        <f t="shared" si="2647"/>
        <v/>
      </c>
      <c r="P3047" s="1764" t="str">
        <f t="shared" si="2648"/>
        <v/>
      </c>
      <c r="Q3047" s="120" t="str">
        <f t="shared" si="2649"/>
        <v/>
      </c>
    </row>
    <row r="3048" spans="1:18" s="120" customFormat="1" ht="18" customHeight="1">
      <c r="A3048" s="2073"/>
      <c r="B3048" s="1781"/>
      <c r="C3048" s="1218" t="s">
        <v>3158</v>
      </c>
      <c r="D3048" s="1900"/>
      <c r="E3048" s="1791"/>
      <c r="F3048" s="1782"/>
      <c r="G3048" s="686"/>
      <c r="H3048" s="686"/>
      <c r="I3048" s="686"/>
      <c r="J3048" s="688"/>
      <c r="K3048" s="684">
        <f t="shared" si="2652"/>
        <v>1</v>
      </c>
      <c r="L3048" s="708">
        <v>1</v>
      </c>
      <c r="M3048" s="709">
        <f t="shared" si="2651"/>
        <v>1</v>
      </c>
      <c r="N3048" s="362" t="str">
        <f t="shared" si="2646"/>
        <v/>
      </c>
      <c r="O3048" s="1763" t="str">
        <f t="shared" si="2647"/>
        <v/>
      </c>
      <c r="P3048" s="1764" t="str">
        <f t="shared" si="2648"/>
        <v/>
      </c>
      <c r="Q3048" s="120" t="str">
        <f t="shared" si="2649"/>
        <v/>
      </c>
      <c r="R3048" s="185"/>
    </row>
    <row r="3049" spans="1:18" s="690" customFormat="1" ht="18" customHeight="1">
      <c r="A3049" s="2073"/>
      <c r="B3049" s="2096">
        <v>1</v>
      </c>
      <c r="C3049" s="1420" t="str">
        <f>VLOOKUP(D3049,base_datos,6,FALSE)</f>
        <v>ITM Caja Moldeada 3x125A (reg.[0.7-1.0] In) - XT1B160-125A-3P-TMD - 25kA@230Vac, 18kA@415Vac, 18kA@250Vdc - marca ABB.</v>
      </c>
      <c r="D3049" s="1901" t="s">
        <v>12542</v>
      </c>
      <c r="E3049" s="1791">
        <f>VLOOKUP(D3049,base_datos,5,FALSE)</f>
        <v>163.07</v>
      </c>
      <c r="F3049" s="1782">
        <f>+E3049*B3049</f>
        <v>163.07</v>
      </c>
      <c r="G3049" s="1761"/>
      <c r="H3049" s="1761"/>
      <c r="I3049" s="1761"/>
      <c r="J3049" s="689"/>
      <c r="K3049" s="684">
        <f t="shared" si="2652"/>
        <v>1</v>
      </c>
      <c r="L3049" s="708">
        <v>1</v>
      </c>
      <c r="M3049" s="709">
        <f t="shared" si="2651"/>
        <v>1</v>
      </c>
      <c r="N3049" s="362">
        <f t="shared" si="2646"/>
        <v>1</v>
      </c>
      <c r="O3049" s="1763" t="str">
        <f t="shared" si="2647"/>
        <v>1SDA066808R1</v>
      </c>
      <c r="P3049" s="1764" t="str">
        <f t="shared" si="2648"/>
        <v>ITM Caja Moldeada 3x125A (reg.[0.7-1.0] In) - XT1B160-125A-3P-TMD - 25kA@230Vac, 18kA@415Vac, 18kA@250Vdc - marca ABB.</v>
      </c>
      <c r="Q3049" s="120" t="str">
        <f t="shared" si="2649"/>
        <v>XT1b160-125A-3P-TMD</v>
      </c>
      <c r="R3049" s="185"/>
    </row>
    <row r="3050" spans="1:18" s="185" customFormat="1">
      <c r="A3050" s="2073"/>
      <c r="B3050" s="714"/>
      <c r="C3050" s="313" t="s">
        <v>729</v>
      </c>
      <c r="D3050" s="173"/>
      <c r="E3050" s="1786"/>
      <c r="F3050" s="1787"/>
      <c r="G3050" s="710"/>
      <c r="H3050" s="710"/>
      <c r="I3050" s="710"/>
      <c r="J3050" s="711"/>
      <c r="K3050" s="684">
        <f t="shared" si="2652"/>
        <v>1</v>
      </c>
      <c r="L3050" s="708">
        <v>1</v>
      </c>
      <c r="M3050" s="709">
        <f t="shared" si="2651"/>
        <v>1</v>
      </c>
      <c r="N3050" s="362" t="str">
        <f t="shared" si="2646"/>
        <v/>
      </c>
      <c r="O3050" s="1763" t="str">
        <f t="shared" si="2647"/>
        <v/>
      </c>
      <c r="P3050" s="1764" t="str">
        <f t="shared" si="2648"/>
        <v/>
      </c>
      <c r="Q3050" s="120" t="str">
        <f t="shared" si="2649"/>
        <v/>
      </c>
    </row>
    <row r="3051" spans="1:18" s="690" customFormat="1" ht="18" customHeight="1">
      <c r="A3051" s="2073"/>
      <c r="B3051" s="1851"/>
      <c r="C3051" s="1966" t="s">
        <v>9431</v>
      </c>
      <c r="D3051" s="1582"/>
      <c r="E3051" s="1780"/>
      <c r="F3051" s="1782"/>
      <c r="G3051" s="1761"/>
      <c r="H3051" s="1761"/>
      <c r="I3051" s="1761"/>
      <c r="J3051" s="689"/>
      <c r="K3051" s="684">
        <f t="shared" si="2652"/>
        <v>1</v>
      </c>
      <c r="L3051" s="708">
        <v>1</v>
      </c>
      <c r="M3051" s="709">
        <f t="shared" si="2651"/>
        <v>1</v>
      </c>
      <c r="N3051" s="362" t="str">
        <f t="shared" si="2646"/>
        <v/>
      </c>
      <c r="O3051" s="1763" t="str">
        <f t="shared" si="2647"/>
        <v/>
      </c>
      <c r="P3051" s="1764" t="str">
        <f t="shared" si="2648"/>
        <v/>
      </c>
      <c r="Q3051" s="120" t="str">
        <f t="shared" si="2649"/>
        <v/>
      </c>
      <c r="R3051" s="185"/>
    </row>
    <row r="3052" spans="1:18" s="690" customFormat="1" ht="18" customHeight="1">
      <c r="A3052" s="2073"/>
      <c r="B3052" s="1781">
        <v>1</v>
      </c>
      <c r="C3052" s="1960" t="str">
        <f t="shared" ref="C3052" si="2653">VLOOKUP(D3052,base_datos,6,FALSE)</f>
        <v>ITM Caja Moldeada 3x100A (reg.[0.7-1.0] In) - XT1B160-100A-3P-TMD - 25kA@230Vac, 18kA@415Vac, 18kA@250Vdc - marca ABB.</v>
      </c>
      <c r="D3052" s="1901" t="s">
        <v>12550</v>
      </c>
      <c r="E3052" s="1791">
        <f t="shared" ref="E3052" si="2654">VLOOKUP(D3052,base_datos,5,FALSE)</f>
        <v>129.57999999999998</v>
      </c>
      <c r="F3052" s="1782">
        <f t="shared" ref="F3052" si="2655">+E3052*B3052</f>
        <v>129.57999999999998</v>
      </c>
      <c r="G3052" s="1761"/>
      <c r="H3052" s="1761"/>
      <c r="I3052" s="1761"/>
      <c r="J3052" s="1783"/>
      <c r="K3052" s="684">
        <f t="shared" si="2652"/>
        <v>1</v>
      </c>
      <c r="L3052" s="708">
        <v>1</v>
      </c>
      <c r="M3052" s="709">
        <f t="shared" si="2651"/>
        <v>1</v>
      </c>
      <c r="N3052" s="362">
        <f t="shared" si="2646"/>
        <v>1</v>
      </c>
      <c r="O3052" s="1763" t="str">
        <f t="shared" si="2647"/>
        <v>1SDA066807R1</v>
      </c>
      <c r="P3052" s="1764" t="str">
        <f t="shared" si="2648"/>
        <v>ITM Caja Moldeada 3x100A (reg.[0.7-1.0] In) - XT1B160-100A-3P-TMD - 25kA@230Vac, 18kA@415Vac, 18kA@250Vdc - marca ABB.</v>
      </c>
      <c r="Q3052" s="120" t="str">
        <f t="shared" si="2649"/>
        <v>XT1b160-100A-3P-TMD</v>
      </c>
      <c r="R3052" s="185"/>
    </row>
    <row r="3053" spans="1:18" s="690" customFormat="1" ht="18" customHeight="1">
      <c r="A3053" s="2073"/>
      <c r="B3053" s="1781">
        <v>1</v>
      </c>
      <c r="C3053" s="1960" t="str">
        <f t="shared" ref="C3053" si="2656">VLOOKUP(D3053,base_datos,6,FALSE)</f>
        <v>ITM Caja Moldeada 3x25A (reg.[0.7-1.0] In)  - XT1B160-25A-3P-TMD - 25kA@230Vac,18kA@415Vac, 18kA@250Vdc - marca ABB.</v>
      </c>
      <c r="D3053" s="1901" t="s">
        <v>12499</v>
      </c>
      <c r="E3053" s="1791">
        <f t="shared" ref="E3053" si="2657">VLOOKUP(D3053,base_datos,5,FALSE)</f>
        <v>120.37</v>
      </c>
      <c r="F3053" s="1782">
        <f t="shared" ref="F3053" si="2658">+E3053*B3053</f>
        <v>120.37</v>
      </c>
      <c r="G3053" s="1761"/>
      <c r="H3053" s="1761"/>
      <c r="I3053" s="1761"/>
      <c r="J3053" s="1783"/>
      <c r="K3053" s="684">
        <f t="shared" si="2652"/>
        <v>1</v>
      </c>
      <c r="L3053" s="708">
        <v>1</v>
      </c>
      <c r="M3053" s="709">
        <f t="shared" si="2651"/>
        <v>1</v>
      </c>
      <c r="N3053" s="362">
        <f t="shared" si="2646"/>
        <v>1</v>
      </c>
      <c r="O3053" s="1763" t="str">
        <f t="shared" si="2647"/>
        <v>1SDA066801R1</v>
      </c>
      <c r="P3053" s="1764" t="str">
        <f t="shared" si="2648"/>
        <v>ITM Caja Moldeada 3x25A (reg.[0.7-1.0] In)  - XT1B160-25A-3P-TMD - 25kA@230Vac,18kA@415Vac, 18kA@250Vdc - marca ABB.</v>
      </c>
      <c r="Q3053" s="120" t="str">
        <f t="shared" si="2649"/>
        <v>XT1b160-25A-3P-TMD</v>
      </c>
      <c r="R3053" s="185"/>
    </row>
    <row r="3054" spans="1:18" s="695" customFormat="1">
      <c r="A3054" s="2073"/>
      <c r="B3054" s="1967">
        <v>1</v>
      </c>
      <c r="C3054" s="1946">
        <v>6</v>
      </c>
      <c r="D3054" s="1582"/>
      <c r="E3054" s="2000">
        <v>30</v>
      </c>
      <c r="F3054" s="1968">
        <f t="shared" ref="F3054" si="2659">+E3054*B3054</f>
        <v>30</v>
      </c>
      <c r="G3054" s="1969"/>
      <c r="H3054" s="1969"/>
      <c r="I3054" s="1969"/>
      <c r="J3054" s="1970"/>
      <c r="K3054" s="684">
        <f t="shared" si="2652"/>
        <v>1</v>
      </c>
      <c r="L3054" s="708">
        <v>1</v>
      </c>
      <c r="M3054" s="709">
        <f t="shared" si="2651"/>
        <v>1</v>
      </c>
      <c r="N3054" s="362" t="str">
        <f t="shared" si="2646"/>
        <v/>
      </c>
      <c r="O3054" s="1763" t="str">
        <f t="shared" si="2647"/>
        <v/>
      </c>
      <c r="P3054" s="1764" t="str">
        <f t="shared" si="2648"/>
        <v/>
      </c>
      <c r="Q3054" s="120" t="str">
        <f t="shared" si="2649"/>
        <v/>
      </c>
    </row>
    <row r="3055" spans="1:18" s="185" customFormat="1">
      <c r="A3055" s="2073"/>
      <c r="B3055" s="714"/>
      <c r="C3055" s="313" t="s">
        <v>729</v>
      </c>
      <c r="D3055" s="173"/>
      <c r="E3055" s="1786"/>
      <c r="F3055" s="1787"/>
      <c r="G3055" s="710"/>
      <c r="H3055" s="710"/>
      <c r="I3055" s="710"/>
      <c r="J3055" s="711"/>
      <c r="K3055" s="684">
        <f t="shared" si="2652"/>
        <v>1</v>
      </c>
      <c r="L3055" s="708">
        <v>1</v>
      </c>
      <c r="M3055" s="709">
        <f t="shared" ref="M3055" si="2660">IF(B3055="",1,B3055)</f>
        <v>1</v>
      </c>
      <c r="N3055" s="362" t="str">
        <f t="shared" ref="N3055" si="2661">IF(O3055&lt;&gt;"",K3055*L3055*M3055,"")</f>
        <v/>
      </c>
      <c r="O3055" s="1763" t="str">
        <f t="shared" ref="O3055" si="2662">IF(D3055&lt;&gt;"",IF(VLOOKUP(D3055,base_datos,7,FALSE)&lt;&gt;"",VLOOKUP(D3055,base_datos,7,FALSE),""),"")</f>
        <v/>
      </c>
      <c r="P3055" s="1764" t="str">
        <f t="shared" ref="P3055" si="2663">IF(O3055&lt;&gt;"",VLOOKUP(D3055,base_datos,6,FALSE),"")</f>
        <v/>
      </c>
      <c r="Q3055" s="120" t="str">
        <f t="shared" ref="Q3055" si="2664">IF(O3055&lt;&gt;"",D3055,"")</f>
        <v/>
      </c>
    </row>
    <row r="3056" spans="1:18" s="690" customFormat="1" ht="18" customHeight="1">
      <c r="A3056" s="2073"/>
      <c r="B3056" s="1851"/>
      <c r="C3056" s="1966" t="s">
        <v>12546</v>
      </c>
      <c r="D3056" s="1582"/>
      <c r="E3056" s="1780"/>
      <c r="F3056" s="1782"/>
      <c r="G3056" s="1761"/>
      <c r="H3056" s="1761"/>
      <c r="I3056" s="1761"/>
      <c r="J3056" s="689"/>
      <c r="K3056" s="684">
        <f>+K3052</f>
        <v>1</v>
      </c>
      <c r="L3056" s="708">
        <v>1</v>
      </c>
      <c r="M3056" s="709">
        <f t="shared" si="2651"/>
        <v>1</v>
      </c>
      <c r="N3056" s="362" t="str">
        <f t="shared" si="2646"/>
        <v/>
      </c>
      <c r="O3056" s="1763" t="str">
        <f t="shared" si="2647"/>
        <v/>
      </c>
      <c r="P3056" s="1764" t="str">
        <f t="shared" si="2648"/>
        <v/>
      </c>
      <c r="Q3056" s="120" t="str">
        <f t="shared" si="2649"/>
        <v/>
      </c>
      <c r="R3056" s="185"/>
    </row>
    <row r="3057" spans="1:18" s="690" customFormat="1" ht="18" customHeight="1">
      <c r="A3057" s="2073"/>
      <c r="B3057" s="1781">
        <v>11</v>
      </c>
      <c r="C3057" s="1960" t="str">
        <f t="shared" ref="C3057:C3059" si="2665">VLOOKUP(D3057,base_datos,6,FALSE)</f>
        <v>ITM Riel-Din 2x16A - S202-C-16A - 10kA@400Vac-IEC60947-2 - marca ABB.</v>
      </c>
      <c r="D3057" s="2007" t="s">
        <v>970</v>
      </c>
      <c r="E3057" s="1791">
        <f t="shared" ref="E3057:E3059" si="2666">VLOOKUP(D3057,base_datos,5,FALSE)</f>
        <v>17.96</v>
      </c>
      <c r="F3057" s="1782">
        <f t="shared" ref="F3057:F3060" si="2667">+E3057*B3057</f>
        <v>197.56</v>
      </c>
      <c r="G3057" s="1761"/>
      <c r="H3057" s="1761"/>
      <c r="I3057" s="1761"/>
      <c r="J3057" s="1783"/>
      <c r="K3057" s="684">
        <f>+K3053</f>
        <v>1</v>
      </c>
      <c r="L3057" s="708">
        <v>1</v>
      </c>
      <c r="M3057" s="709">
        <f t="shared" si="2651"/>
        <v>11</v>
      </c>
      <c r="N3057" s="362">
        <f t="shared" si="2646"/>
        <v>11</v>
      </c>
      <c r="O3057" s="1763" t="str">
        <f t="shared" si="2647"/>
        <v>2CDS252001R0164</v>
      </c>
      <c r="P3057" s="1764" t="str">
        <f t="shared" si="2648"/>
        <v>ITM Riel-Din 2x16A - S202-C-16A - 10kA@400Vac-IEC60947-2 - marca ABB.</v>
      </c>
      <c r="Q3057" s="120" t="str">
        <f t="shared" si="2649"/>
        <v>S202-C-16A</v>
      </c>
      <c r="R3057" s="185"/>
    </row>
    <row r="3058" spans="1:18" s="690" customFormat="1" ht="18" customHeight="1">
      <c r="A3058" s="2073"/>
      <c r="B3058" s="2023">
        <v>11</v>
      </c>
      <c r="C3058" s="2041" t="str">
        <f t="shared" si="2665"/>
        <v>Interruptor Diferencial 2x25A - 30mA - clase A (inmunizado) - FH202-A-25A-30mA - marca ABB.</v>
      </c>
      <c r="D3058" s="2006" t="s">
        <v>5318</v>
      </c>
      <c r="E3058" s="2025">
        <f t="shared" si="2666"/>
        <v>50</v>
      </c>
      <c r="F3058" s="2026">
        <f t="shared" si="2667"/>
        <v>550</v>
      </c>
      <c r="G3058" s="1761"/>
      <c r="H3058" s="1761"/>
      <c r="I3058" s="1761"/>
      <c r="J3058" s="1783"/>
      <c r="K3058" s="684">
        <f>+K3054</f>
        <v>1</v>
      </c>
      <c r="L3058" s="708">
        <v>1</v>
      </c>
      <c r="M3058" s="709">
        <f t="shared" si="2651"/>
        <v>11</v>
      </c>
      <c r="N3058" s="362">
        <f t="shared" si="2646"/>
        <v>11</v>
      </c>
      <c r="O3058" s="1763" t="str">
        <f t="shared" si="2647"/>
        <v>2CSF202102R1250</v>
      </c>
      <c r="P3058" s="1764" t="str">
        <f t="shared" si="2648"/>
        <v>Interruptor Diferencial 2x25A - 30mA - clase A (inmunizado) - FH202-A-25A-30mA - marca ABB.</v>
      </c>
      <c r="Q3058" s="120" t="str">
        <f t="shared" si="2649"/>
        <v>FH202-A-25A-30mA</v>
      </c>
      <c r="R3058" s="185"/>
    </row>
    <row r="3059" spans="1:18" s="690" customFormat="1" ht="18" customHeight="1">
      <c r="A3059" s="2073"/>
      <c r="B3059" s="1781">
        <v>1</v>
      </c>
      <c r="C3059" s="1960" t="str">
        <f t="shared" si="2665"/>
        <v>Espacio de reserva trifásica + interruptor diferencial - Riel-Din.</v>
      </c>
      <c r="D3059" s="2006" t="s">
        <v>2923</v>
      </c>
      <c r="E3059" s="1791">
        <f t="shared" si="2666"/>
        <v>2.5</v>
      </c>
      <c r="F3059" s="1782">
        <f t="shared" si="2667"/>
        <v>2.5</v>
      </c>
      <c r="G3059" s="1761"/>
      <c r="H3059" s="1761"/>
      <c r="I3059" s="1761"/>
      <c r="J3059" s="1783"/>
      <c r="K3059" s="684">
        <f t="shared" si="2652"/>
        <v>1</v>
      </c>
      <c r="L3059" s="708">
        <v>1</v>
      </c>
      <c r="M3059" s="709">
        <f t="shared" si="2651"/>
        <v>1</v>
      </c>
      <c r="N3059" s="362" t="str">
        <f t="shared" si="2646"/>
        <v/>
      </c>
      <c r="O3059" s="1763" t="str">
        <f t="shared" si="2647"/>
        <v/>
      </c>
      <c r="P3059" s="1764" t="str">
        <f t="shared" si="2648"/>
        <v/>
      </c>
      <c r="Q3059" s="120" t="str">
        <f t="shared" si="2649"/>
        <v/>
      </c>
      <c r="R3059" s="185"/>
    </row>
    <row r="3060" spans="1:18" s="695" customFormat="1">
      <c r="A3060" s="2073"/>
      <c r="B3060" s="1967">
        <v>1</v>
      </c>
      <c r="C3060" s="1946">
        <v>24</v>
      </c>
      <c r="D3060" s="1582"/>
      <c r="E3060" s="2000">
        <v>90</v>
      </c>
      <c r="F3060" s="1968">
        <f t="shared" si="2667"/>
        <v>90</v>
      </c>
      <c r="G3060" s="1969"/>
      <c r="H3060" s="1969"/>
      <c r="I3060" s="1969"/>
      <c r="J3060" s="1970"/>
      <c r="K3060" s="684">
        <f t="shared" si="2652"/>
        <v>1</v>
      </c>
      <c r="L3060" s="708">
        <v>1</v>
      </c>
      <c r="M3060" s="709">
        <f t="shared" si="2651"/>
        <v>1</v>
      </c>
      <c r="N3060" s="362" t="str">
        <f t="shared" si="2646"/>
        <v/>
      </c>
      <c r="O3060" s="1763" t="str">
        <f t="shared" si="2647"/>
        <v/>
      </c>
      <c r="P3060" s="1764" t="str">
        <f t="shared" si="2648"/>
        <v/>
      </c>
      <c r="Q3060" s="120" t="str">
        <f t="shared" si="2649"/>
        <v/>
      </c>
    </row>
    <row r="3061" spans="1:18" s="185" customFormat="1">
      <c r="A3061" s="2073"/>
      <c r="B3061" s="714"/>
      <c r="C3061" s="1893" t="s">
        <v>729</v>
      </c>
      <c r="D3061" s="1941"/>
      <c r="E3061" s="1786"/>
      <c r="F3061" s="1787"/>
      <c r="G3061" s="710"/>
      <c r="H3061" s="710"/>
      <c r="I3061" s="710"/>
      <c r="J3061" s="711"/>
      <c r="K3061" s="684">
        <f t="shared" si="2652"/>
        <v>1</v>
      </c>
      <c r="L3061" s="708">
        <v>1</v>
      </c>
      <c r="M3061" s="709">
        <f t="shared" si="2651"/>
        <v>1</v>
      </c>
      <c r="N3061" s="362" t="str">
        <f t="shared" si="2646"/>
        <v/>
      </c>
      <c r="O3061" s="1763" t="str">
        <f t="shared" si="2647"/>
        <v/>
      </c>
      <c r="P3061" s="1764" t="str">
        <f t="shared" si="2648"/>
        <v/>
      </c>
      <c r="Q3061" s="120" t="str">
        <f t="shared" si="2649"/>
        <v/>
      </c>
    </row>
    <row r="3062" spans="1:18" s="690" customFormat="1" ht="18" customHeight="1">
      <c r="A3062" s="2073"/>
      <c r="B3062" s="1851"/>
      <c r="C3062" s="1966" t="s">
        <v>12547</v>
      </c>
      <c r="D3062" s="1582"/>
      <c r="E3062" s="1780"/>
      <c r="F3062" s="1782"/>
      <c r="G3062" s="1761"/>
      <c r="H3062" s="1761"/>
      <c r="I3062" s="1761"/>
      <c r="J3062" s="689"/>
      <c r="K3062" s="684">
        <f t="shared" si="2652"/>
        <v>1</v>
      </c>
      <c r="L3062" s="708">
        <v>1</v>
      </c>
      <c r="M3062" s="709">
        <f t="shared" si="2651"/>
        <v>1</v>
      </c>
      <c r="N3062" s="362" t="str">
        <f t="shared" si="2646"/>
        <v/>
      </c>
      <c r="O3062" s="1763" t="str">
        <f t="shared" si="2647"/>
        <v/>
      </c>
      <c r="P3062" s="1764" t="str">
        <f t="shared" si="2648"/>
        <v/>
      </c>
      <c r="Q3062" s="120" t="str">
        <f t="shared" si="2649"/>
        <v/>
      </c>
      <c r="R3062" s="185"/>
    </row>
    <row r="3063" spans="1:18" s="690" customFormat="1" ht="18" customHeight="1">
      <c r="A3063" s="2073"/>
      <c r="B3063" s="1781">
        <v>1</v>
      </c>
      <c r="C3063" s="1960" t="str">
        <f t="shared" ref="C3063:C3066" si="2668">VLOOKUP(D3063,base_datos,6,FALSE)</f>
        <v>ITM Caja Moldeada 3x80A (reg.[0.7-1.0] In) - XT1B160-80A-3P-TMD - 25kA@230Vac, 18kA@415Vac, 18kA@250Vdc - marca ABB.</v>
      </c>
      <c r="D3063" s="1901" t="s">
        <v>12543</v>
      </c>
      <c r="E3063" s="1791">
        <f t="shared" ref="E3063:E3066" si="2669">VLOOKUP(D3063,base_datos,5,FALSE)</f>
        <v>129.57999999999998</v>
      </c>
      <c r="F3063" s="1782">
        <f t="shared" ref="F3063:F3067" si="2670">+E3063*B3063</f>
        <v>129.57999999999998</v>
      </c>
      <c r="G3063" s="1761"/>
      <c r="H3063" s="1761"/>
      <c r="I3063" s="1761"/>
      <c r="J3063" s="1783"/>
      <c r="K3063" s="684">
        <f t="shared" si="2652"/>
        <v>1</v>
      </c>
      <c r="L3063" s="708">
        <v>1</v>
      </c>
      <c r="M3063" s="709">
        <f t="shared" si="2651"/>
        <v>1</v>
      </c>
      <c r="N3063" s="362">
        <f t="shared" si="2646"/>
        <v>1</v>
      </c>
      <c r="O3063" s="1763" t="str">
        <f t="shared" si="2647"/>
        <v>1SDA066806R1</v>
      </c>
      <c r="P3063" s="1764" t="str">
        <f t="shared" si="2648"/>
        <v>ITM Caja Moldeada 3x80A (reg.[0.7-1.0] In) - XT1B160-80A-3P-TMD - 25kA@230Vac, 18kA@415Vac, 18kA@250Vdc - marca ABB.</v>
      </c>
      <c r="Q3063" s="120" t="str">
        <f t="shared" si="2649"/>
        <v>XT1b160-80A-3P-TMD</v>
      </c>
      <c r="R3063" s="185"/>
    </row>
    <row r="3064" spans="1:18" s="690" customFormat="1" ht="18" customHeight="1">
      <c r="A3064" s="2073"/>
      <c r="B3064" s="1781">
        <v>14</v>
      </c>
      <c r="C3064" s="1960" t="str">
        <f t="shared" si="2668"/>
        <v>ITM Riel-Din 2x16A - S202-C-16A - 10kA@400Vac-IEC60947-2 - marca ABB.</v>
      </c>
      <c r="D3064" s="2007" t="s">
        <v>970</v>
      </c>
      <c r="E3064" s="1791">
        <f t="shared" si="2669"/>
        <v>17.96</v>
      </c>
      <c r="F3064" s="1782">
        <f t="shared" si="2670"/>
        <v>251.44</v>
      </c>
      <c r="G3064" s="1761"/>
      <c r="H3064" s="1761"/>
      <c r="I3064" s="1761"/>
      <c r="J3064" s="1783"/>
      <c r="K3064" s="684">
        <f t="shared" si="2652"/>
        <v>1</v>
      </c>
      <c r="L3064" s="708">
        <v>1</v>
      </c>
      <c r="M3064" s="709">
        <f t="shared" si="2651"/>
        <v>14</v>
      </c>
      <c r="N3064" s="362">
        <f t="shared" si="2646"/>
        <v>14</v>
      </c>
      <c r="O3064" s="1763" t="str">
        <f t="shared" si="2647"/>
        <v>2CDS252001R0164</v>
      </c>
      <c r="P3064" s="1764" t="str">
        <f t="shared" si="2648"/>
        <v>ITM Riel-Din 2x16A - S202-C-16A - 10kA@400Vac-IEC60947-2 - marca ABB.</v>
      </c>
      <c r="Q3064" s="120" t="str">
        <f t="shared" si="2649"/>
        <v>S202-C-16A</v>
      </c>
      <c r="R3064" s="185"/>
    </row>
    <row r="3065" spans="1:18" s="690" customFormat="1" ht="18" customHeight="1">
      <c r="A3065" s="2073"/>
      <c r="B3065" s="2023">
        <v>14</v>
      </c>
      <c r="C3065" s="2041" t="str">
        <f t="shared" si="2668"/>
        <v>Interruptor Diferencial 2x25A - 30mA - clase A (inmunizado) - FH202-A-25A-30mA - marca ABB.</v>
      </c>
      <c r="D3065" s="2006" t="s">
        <v>5318</v>
      </c>
      <c r="E3065" s="2025">
        <f t="shared" si="2669"/>
        <v>50</v>
      </c>
      <c r="F3065" s="2026">
        <f t="shared" si="2670"/>
        <v>700</v>
      </c>
      <c r="G3065" s="1761"/>
      <c r="H3065" s="1761"/>
      <c r="I3065" s="1761"/>
      <c r="J3065" s="1783"/>
      <c r="K3065" s="684">
        <f t="shared" si="2652"/>
        <v>1</v>
      </c>
      <c r="L3065" s="708">
        <v>1</v>
      </c>
      <c r="M3065" s="709">
        <f t="shared" si="2651"/>
        <v>14</v>
      </c>
      <c r="N3065" s="362">
        <f t="shared" si="2646"/>
        <v>14</v>
      </c>
      <c r="O3065" s="1763" t="str">
        <f t="shared" si="2647"/>
        <v>2CSF202102R1250</v>
      </c>
      <c r="P3065" s="1764" t="str">
        <f t="shared" si="2648"/>
        <v>Interruptor Diferencial 2x25A - 30mA - clase A (inmunizado) - FH202-A-25A-30mA - marca ABB.</v>
      </c>
      <c r="Q3065" s="120" t="str">
        <f t="shared" si="2649"/>
        <v>FH202-A-25A-30mA</v>
      </c>
      <c r="R3065" s="185"/>
    </row>
    <row r="3066" spans="1:18" s="690" customFormat="1" ht="18" customHeight="1">
      <c r="A3066" s="2073"/>
      <c r="B3066" s="1781">
        <v>2</v>
      </c>
      <c r="C3066" s="1960" t="str">
        <f t="shared" si="2668"/>
        <v>Espacio de reserva trifásica - Riel-Din.</v>
      </c>
      <c r="D3066" s="2006" t="s">
        <v>2921</v>
      </c>
      <c r="E3066" s="1791">
        <f t="shared" si="2669"/>
        <v>1.5</v>
      </c>
      <c r="F3066" s="1782">
        <f t="shared" si="2670"/>
        <v>3</v>
      </c>
      <c r="G3066" s="1761"/>
      <c r="H3066" s="1761"/>
      <c r="I3066" s="1761"/>
      <c r="J3066" s="1783"/>
      <c r="K3066" s="684">
        <f t="shared" si="2652"/>
        <v>1</v>
      </c>
      <c r="L3066" s="708">
        <v>1</v>
      </c>
      <c r="M3066" s="709">
        <f t="shared" si="2651"/>
        <v>2</v>
      </c>
      <c r="N3066" s="362" t="str">
        <f t="shared" si="2646"/>
        <v/>
      </c>
      <c r="O3066" s="1763" t="str">
        <f t="shared" si="2647"/>
        <v/>
      </c>
      <c r="P3066" s="1764" t="str">
        <f t="shared" si="2648"/>
        <v/>
      </c>
      <c r="Q3066" s="120" t="str">
        <f t="shared" si="2649"/>
        <v/>
      </c>
      <c r="R3066" s="185"/>
    </row>
    <row r="3067" spans="1:18" s="695" customFormat="1">
      <c r="A3067" s="2073"/>
      <c r="B3067" s="1967">
        <v>1</v>
      </c>
      <c r="C3067" s="1946">
        <v>18</v>
      </c>
      <c r="D3067" s="1582"/>
      <c r="E3067" s="2000">
        <v>59</v>
      </c>
      <c r="F3067" s="1968">
        <f t="shared" si="2670"/>
        <v>59</v>
      </c>
      <c r="G3067" s="1969"/>
      <c r="H3067" s="1969"/>
      <c r="I3067" s="1969"/>
      <c r="J3067" s="1970"/>
      <c r="K3067" s="684">
        <f t="shared" si="2652"/>
        <v>1</v>
      </c>
      <c r="L3067" s="363">
        <v>1</v>
      </c>
      <c r="M3067" s="709">
        <f t="shared" si="2651"/>
        <v>1</v>
      </c>
      <c r="N3067" s="362" t="str">
        <f t="shared" si="2646"/>
        <v/>
      </c>
      <c r="O3067" s="1763" t="str">
        <f t="shared" si="2647"/>
        <v/>
      </c>
      <c r="P3067" s="1764" t="str">
        <f t="shared" si="2648"/>
        <v/>
      </c>
      <c r="Q3067" s="120" t="str">
        <f t="shared" si="2649"/>
        <v/>
      </c>
    </row>
    <row r="3068" spans="1:18" s="185" customFormat="1">
      <c r="A3068" s="2073"/>
      <c r="B3068" s="714"/>
      <c r="C3068" s="1893" t="s">
        <v>729</v>
      </c>
      <c r="D3068" s="1941"/>
      <c r="E3068" s="1786"/>
      <c r="F3068" s="1787"/>
      <c r="G3068" s="710"/>
      <c r="H3068" s="710"/>
      <c r="I3068" s="710"/>
      <c r="J3068" s="711"/>
      <c r="K3068" s="684">
        <f t="shared" si="2652"/>
        <v>1</v>
      </c>
      <c r="L3068" s="363">
        <v>1</v>
      </c>
      <c r="M3068" s="709">
        <f t="shared" si="2651"/>
        <v>1</v>
      </c>
      <c r="N3068" s="362" t="str">
        <f t="shared" si="2646"/>
        <v/>
      </c>
      <c r="O3068" s="1763" t="str">
        <f t="shared" si="2647"/>
        <v/>
      </c>
      <c r="P3068" s="1764" t="str">
        <f t="shared" si="2648"/>
        <v/>
      </c>
      <c r="Q3068" s="120" t="str">
        <f t="shared" si="2649"/>
        <v/>
      </c>
    </row>
    <row r="3069" spans="1:18" s="315" customFormat="1">
      <c r="A3069" s="1785"/>
      <c r="B3069" s="1906">
        <v>1</v>
      </c>
      <c r="C3069" s="1944" t="s">
        <v>13040</v>
      </c>
      <c r="D3069" s="1941"/>
      <c r="E3069" s="1786"/>
      <c r="F3069" s="1908">
        <f>SUM(F3070:F3075)*(B3069-1)</f>
        <v>0</v>
      </c>
      <c r="G3069" s="712"/>
      <c r="H3069" s="712"/>
      <c r="I3069" s="712"/>
      <c r="J3069" s="713"/>
      <c r="K3069" s="684">
        <f t="shared" ref="K3069:K3115" si="2671">+K3067</f>
        <v>1</v>
      </c>
      <c r="L3069" s="2224">
        <f>B3069</f>
        <v>1</v>
      </c>
      <c r="M3069" s="709">
        <f>IF(B3069="",1,B3069)</f>
        <v>1</v>
      </c>
      <c r="N3069" s="362" t="str">
        <f t="shared" si="2646"/>
        <v/>
      </c>
      <c r="O3069" s="1763" t="str">
        <f t="shared" si="2647"/>
        <v/>
      </c>
      <c r="P3069" s="1764" t="str">
        <f t="shared" si="2648"/>
        <v/>
      </c>
      <c r="Q3069" s="120" t="str">
        <f t="shared" si="2649"/>
        <v/>
      </c>
    </row>
    <row r="3070" spans="1:18" s="690" customFormat="1" ht="18" customHeight="1">
      <c r="A3070" s="691"/>
      <c r="B3070" s="1781">
        <v>1</v>
      </c>
      <c r="C3070" s="1420" t="str">
        <f>VLOOKUP(D3070,base_datos,6,FALSE)</f>
        <v>Contactor 3x09A(AC-3) / 3x25A(AC-1) +1NA - AF09-30-10-13 - bobina 100-250Vac/dc - marca ABB.</v>
      </c>
      <c r="D3070" s="1901" t="s">
        <v>1447</v>
      </c>
      <c r="E3070" s="1791">
        <f>VLOOKUP(D3070,base_datos,5,FALSE)</f>
        <v>29.89</v>
      </c>
      <c r="F3070" s="1912">
        <f>+E3070*B3070</f>
        <v>29.89</v>
      </c>
      <c r="G3070" s="1761"/>
      <c r="H3070" s="1761"/>
      <c r="I3070" s="1761"/>
      <c r="J3070" s="1783"/>
      <c r="K3070" s="684">
        <f t="shared" si="2671"/>
        <v>1</v>
      </c>
      <c r="L3070" s="1913">
        <f>L3069</f>
        <v>1</v>
      </c>
      <c r="M3070" s="709">
        <f t="shared" ref="M3070:M3075" si="2672">IF(B3070="",1,B3070)</f>
        <v>1</v>
      </c>
      <c r="N3070" s="362">
        <f t="shared" si="2646"/>
        <v>1</v>
      </c>
      <c r="O3070" s="1763" t="str">
        <f t="shared" si="2647"/>
        <v>1SBL137001R1310</v>
      </c>
      <c r="P3070" s="1764" t="str">
        <f t="shared" si="2648"/>
        <v>Contactor 3x09A(AC-3) / 3x25A(AC-1) +1NA - AF09-30-10-13 - bobina 100-250Vac/dc - marca ABB.</v>
      </c>
      <c r="Q3070" s="120" t="str">
        <f t="shared" si="2649"/>
        <v>AF09-30-10-13_3p</v>
      </c>
      <c r="R3070" s="185"/>
    </row>
    <row r="3071" spans="1:18" s="690" customFormat="1" ht="18" customHeight="1">
      <c r="A3071" s="691"/>
      <c r="B3071" s="2229">
        <v>1</v>
      </c>
      <c r="C3071" s="2230" t="str">
        <f>VLOOKUP(D3071,base_datos,6,FALSE)</f>
        <v>Contacto auxiliar frontal 1NA para contactor AF09..AF16-30-10, frontal - Modelo CA4-10 - marca ABB.</v>
      </c>
      <c r="D3071" s="1901" t="s">
        <v>2718</v>
      </c>
      <c r="E3071" s="1791">
        <f>VLOOKUP(D3071,base_datos,5,FALSE)</f>
        <v>5.92</v>
      </c>
      <c r="F3071" s="1912">
        <f>+E3071*B3071</f>
        <v>5.92</v>
      </c>
      <c r="G3071" s="1761"/>
      <c r="H3071" s="1761"/>
      <c r="I3071" s="1761"/>
      <c r="J3071" s="1783"/>
      <c r="K3071" s="684">
        <f t="shared" si="2671"/>
        <v>1</v>
      </c>
      <c r="L3071" s="1913">
        <f t="shared" ref="L3071:L3074" si="2673">L3070</f>
        <v>1</v>
      </c>
      <c r="M3071" s="709">
        <f t="shared" si="2672"/>
        <v>1</v>
      </c>
      <c r="N3071" s="362">
        <f t="shared" si="2646"/>
        <v>1</v>
      </c>
      <c r="O3071" s="1763" t="str">
        <f t="shared" si="2647"/>
        <v>1SBN010110R1010</v>
      </c>
      <c r="P3071" s="1764" t="str">
        <f t="shared" si="2648"/>
        <v>Contacto auxiliar frontal 1NA para contactor AF09..AF16-30-10, frontal - Modelo CA4-10 - marca ABB.</v>
      </c>
      <c r="Q3071" s="120" t="str">
        <f t="shared" si="2649"/>
        <v>CA4-10</v>
      </c>
      <c r="R3071" s="185"/>
    </row>
    <row r="3072" spans="1:18" s="1921" customFormat="1">
      <c r="A3072" s="687"/>
      <c r="B3072" s="1914">
        <v>1</v>
      </c>
      <c r="C3072" s="1915" t="s">
        <v>3366</v>
      </c>
      <c r="D3072" s="1916"/>
      <c r="E3072" s="1917"/>
      <c r="F3072" s="1918"/>
      <c r="G3072" s="1919"/>
      <c r="H3072" s="1919"/>
      <c r="I3072" s="1919"/>
      <c r="J3072" s="1920"/>
      <c r="K3072" s="684">
        <f t="shared" si="2671"/>
        <v>1</v>
      </c>
      <c r="L3072" s="1913">
        <f t="shared" si="2673"/>
        <v>1</v>
      </c>
      <c r="M3072" s="684">
        <f t="shared" si="2672"/>
        <v>1</v>
      </c>
      <c r="N3072" s="362" t="str">
        <f t="shared" ref="N3072" si="2674">IF(O3072&lt;&gt;"",K3072*L3072*M3072,"")</f>
        <v/>
      </c>
      <c r="O3072" s="1763" t="str">
        <f t="shared" ref="O3072" si="2675">IF(D3072&lt;&gt;"",IF(VLOOKUP(D3072,base_datos,7,FALSE)&lt;&gt;"",VLOOKUP(D3072,base_datos,7,FALSE),""),"")</f>
        <v/>
      </c>
      <c r="P3072" s="1764" t="str">
        <f t="shared" ref="P3072" si="2676">IF(O3072&lt;&gt;"",VLOOKUP(D3072,base_datos,6,FALSE),"")</f>
        <v/>
      </c>
      <c r="Q3072" s="120" t="str">
        <f t="shared" ref="Q3072" si="2677">IF(O3072&lt;&gt;"",D3072,"")</f>
        <v/>
      </c>
    </row>
    <row r="3073" spans="1:18" s="695" customFormat="1" ht="18" customHeight="1">
      <c r="A3073" s="693"/>
      <c r="B3073" s="1922">
        <v>1</v>
      </c>
      <c r="C3073" s="1848" t="str">
        <f t="shared" ref="C3073:C3075" si="2678">VLOOKUP(D3073,base_datos,6,FALSE)</f>
        <v>Base portafusibles + Fusibles de protección para control.</v>
      </c>
      <c r="D3073" s="1886" t="s">
        <v>453</v>
      </c>
      <c r="E3073" s="1795">
        <f t="shared" ref="E3073:E3075" si="2679">VLOOKUP(D3073,base_datos,5,FALSE)</f>
        <v>8.1750000000000007</v>
      </c>
      <c r="F3073" s="1923">
        <f t="shared" ref="F3073:F3075" si="2680">+E3073*B3073</f>
        <v>8.1750000000000007</v>
      </c>
      <c r="G3073" s="696"/>
      <c r="H3073" s="696"/>
      <c r="I3073" s="696"/>
      <c r="J3073" s="697"/>
      <c r="K3073" s="684">
        <f t="shared" si="2671"/>
        <v>1</v>
      </c>
      <c r="L3073" s="1913">
        <f t="shared" si="2673"/>
        <v>1</v>
      </c>
      <c r="M3073" s="709">
        <f t="shared" si="2672"/>
        <v>1</v>
      </c>
      <c r="N3073" s="362" t="str">
        <f t="shared" si="2646"/>
        <v/>
      </c>
      <c r="O3073" s="1763" t="str">
        <f t="shared" si="2647"/>
        <v/>
      </c>
      <c r="P3073" s="1764" t="str">
        <f t="shared" si="2648"/>
        <v/>
      </c>
      <c r="Q3073" s="120" t="str">
        <f t="shared" si="2649"/>
        <v/>
      </c>
      <c r="R3073" s="185"/>
    </row>
    <row r="3074" spans="1:18" s="695" customFormat="1" ht="18" customHeight="1">
      <c r="A3074" s="1785"/>
      <c r="B3074" s="1922">
        <v>1</v>
      </c>
      <c r="C3074" s="1848" t="str">
        <f t="shared" si="2678"/>
        <v>Borne para neutro.</v>
      </c>
      <c r="D3074" s="1886" t="s">
        <v>436</v>
      </c>
      <c r="E3074" s="1795">
        <f t="shared" si="2679"/>
        <v>4</v>
      </c>
      <c r="F3074" s="1923">
        <f t="shared" si="2680"/>
        <v>4</v>
      </c>
      <c r="G3074" s="696"/>
      <c r="H3074" s="696"/>
      <c r="I3074" s="696"/>
      <c r="J3074" s="697"/>
      <c r="K3074" s="684">
        <f t="shared" si="2671"/>
        <v>1</v>
      </c>
      <c r="L3074" s="1913">
        <f t="shared" si="2673"/>
        <v>1</v>
      </c>
      <c r="M3074" s="709">
        <f t="shared" si="2672"/>
        <v>1</v>
      </c>
      <c r="N3074" s="362" t="str">
        <f t="shared" ref="N3074" si="2681">IF(O3074&lt;&gt;"",K3074*L3074*M3074,"")</f>
        <v/>
      </c>
      <c r="O3074" s="1763" t="str">
        <f t="shared" ref="O3074" si="2682">IF(D3074&lt;&gt;"",IF(VLOOKUP(D3074,base_datos,7,FALSE)&lt;&gt;"",VLOOKUP(D3074,base_datos,7,FALSE),""),"")</f>
        <v/>
      </c>
      <c r="P3074" s="1764" t="str">
        <f t="shared" ref="P3074" si="2683">IF(O3074&lt;&gt;"",VLOOKUP(D3074,base_datos,6,FALSE),"")</f>
        <v/>
      </c>
      <c r="Q3074" s="120" t="str">
        <f t="shared" ref="Q3074" si="2684">IF(O3074&lt;&gt;"",D3074,"")</f>
        <v/>
      </c>
      <c r="R3074" s="185"/>
    </row>
    <row r="3075" spans="1:18" s="695" customFormat="1" ht="18" customHeight="1">
      <c r="A3075" s="693"/>
      <c r="B3075" s="1922">
        <v>2</v>
      </c>
      <c r="C3075" s="1848" t="str">
        <f t="shared" si="2678"/>
        <v>Borne 4mm2.</v>
      </c>
      <c r="D3075" s="1886" t="s">
        <v>437</v>
      </c>
      <c r="E3075" s="1795">
        <f t="shared" si="2679"/>
        <v>2.5</v>
      </c>
      <c r="F3075" s="1923">
        <f t="shared" si="2680"/>
        <v>5</v>
      </c>
      <c r="G3075" s="696"/>
      <c r="H3075" s="696"/>
      <c r="I3075" s="696"/>
      <c r="J3075" s="697"/>
      <c r="K3075" s="684">
        <f>+K3072</f>
        <v>1</v>
      </c>
      <c r="L3075" s="1913">
        <f>L3073</f>
        <v>1</v>
      </c>
      <c r="M3075" s="709">
        <f t="shared" si="2672"/>
        <v>2</v>
      </c>
      <c r="N3075" s="362" t="str">
        <f t="shared" si="2646"/>
        <v/>
      </c>
      <c r="O3075" s="1763" t="str">
        <f t="shared" si="2647"/>
        <v/>
      </c>
      <c r="P3075" s="1764" t="str">
        <f t="shared" si="2648"/>
        <v/>
      </c>
      <c r="Q3075" s="120" t="str">
        <f t="shared" si="2649"/>
        <v/>
      </c>
      <c r="R3075" s="185"/>
    </row>
    <row r="3076" spans="1:18" s="185" customFormat="1">
      <c r="A3076" s="692"/>
      <c r="B3076" s="714"/>
      <c r="C3076" s="1893" t="s">
        <v>729</v>
      </c>
      <c r="D3076" s="1941"/>
      <c r="E3076" s="1786"/>
      <c r="F3076" s="1787"/>
      <c r="G3076" s="710"/>
      <c r="H3076" s="710"/>
      <c r="I3076" s="710"/>
      <c r="J3076" s="711"/>
      <c r="K3076" s="684">
        <f>+K3073</f>
        <v>1</v>
      </c>
      <c r="L3076" s="363">
        <v>1</v>
      </c>
      <c r="M3076" s="709">
        <f>IF(B3076="",1,B3076)</f>
        <v>1</v>
      </c>
      <c r="N3076" s="362" t="str">
        <f t="shared" si="2646"/>
        <v/>
      </c>
      <c r="O3076" s="1763" t="str">
        <f t="shared" si="2647"/>
        <v/>
      </c>
      <c r="P3076" s="1764" t="str">
        <f t="shared" si="2648"/>
        <v/>
      </c>
      <c r="Q3076" s="120" t="str">
        <f t="shared" si="2649"/>
        <v/>
      </c>
    </row>
    <row r="3077" spans="1:18" s="2434" customFormat="1" ht="18" customHeight="1">
      <c r="A3077" s="2418"/>
      <c r="B3077" s="2419">
        <v>1</v>
      </c>
      <c r="C3077" s="2420" t="s">
        <v>13045</v>
      </c>
      <c r="D3077" s="2421"/>
      <c r="E3077" s="2422"/>
      <c r="F3077" s="2423">
        <f>SUM(F3078:F3082)*(B3077-1)</f>
        <v>0</v>
      </c>
      <c r="G3077" s="2424"/>
      <c r="H3077" s="2424"/>
      <c r="I3077" s="2424"/>
      <c r="J3077" s="2425"/>
      <c r="K3077" s="2426">
        <f>K3075</f>
        <v>1</v>
      </c>
      <c r="L3077" s="2427">
        <f>B3077</f>
        <v>1</v>
      </c>
      <c r="M3077" s="2428">
        <f t="shared" ref="M3077:M3079" si="2685">IF(B3077="",1,B3077)</f>
        <v>1</v>
      </c>
      <c r="N3077" s="2429" t="str">
        <f>IF(O3077&lt;&gt;"",K3077*L3077*M3077,"")</f>
        <v/>
      </c>
      <c r="O3077" s="2430" t="str">
        <f>IF(D3077&lt;&gt;"",IF(VLOOKUP(D3077,base_datos,7,FALSE)&lt;&gt;"",VLOOKUP(D3077,base_datos,7,FALSE),""),"")</f>
        <v/>
      </c>
      <c r="P3077" s="2431" t="str">
        <f>IF(O3077&lt;&gt;"",VLOOKUP(D3077,base_datos,6,FALSE),"")</f>
        <v/>
      </c>
      <c r="Q3077" s="2432" t="str">
        <f>IF(O3077&lt;&gt;"",D3077,"")</f>
        <v/>
      </c>
      <c r="R3077" s="2433"/>
    </row>
    <row r="3078" spans="1:18" s="2434" customFormat="1" ht="18" customHeight="1">
      <c r="A3078" s="2418"/>
      <c r="B3078" s="2435">
        <v>1</v>
      </c>
      <c r="C3078" s="2436" t="str">
        <f>VLOOKUP(D3078,base_datos,6,FALSE)</f>
        <v>Selector 3 posiciones mantenidos - 1-0-2 / M-0-A - maneta corta, contactos 2NA - C3SS1-10B-20 - compacto - marca ABB.</v>
      </c>
      <c r="D3078" s="2437" t="s">
        <v>1223</v>
      </c>
      <c r="E3078" s="2422">
        <f>VLOOKUP(D3078,base_datos,5,FALSE)</f>
        <v>16.680000000000003</v>
      </c>
      <c r="F3078" s="2438">
        <f t="shared" ref="F3078" si="2686">+E3078*B3078</f>
        <v>16.680000000000003</v>
      </c>
      <c r="G3078" s="2424"/>
      <c r="H3078" s="2424"/>
      <c r="I3078" s="2424"/>
      <c r="J3078" s="2425"/>
      <c r="K3078" s="2426">
        <f t="shared" ref="K3078:K3088" si="2687">K3076</f>
        <v>1</v>
      </c>
      <c r="L3078" s="2427">
        <f>L3077</f>
        <v>1</v>
      </c>
      <c r="M3078" s="2428">
        <f t="shared" si="2685"/>
        <v>1</v>
      </c>
      <c r="N3078" s="2429">
        <f>IF(O3078&lt;&gt;"",K3078*L3078*M3078,"")</f>
        <v>1</v>
      </c>
      <c r="O3078" s="2430" t="str">
        <f>IF(D3078&lt;&gt;"",IF(VLOOKUP(D3078,base_datos,7,FALSE)&lt;&gt;"",VLOOKUP(D3078,base_datos,7,FALSE),""),"")</f>
        <v>1SFA619210R1026</v>
      </c>
      <c r="P3078" s="2431" t="str">
        <f>IF(O3078&lt;&gt;"",VLOOKUP(D3078,base_datos,6,FALSE),"")</f>
        <v>Selector 3 posiciones mantenidos - 1-0-2 / M-0-A - maneta corta, contactos 2NA - C3SS1-10B-20 - compacto - marca ABB.</v>
      </c>
      <c r="Q3078" s="2432" t="str">
        <f>IF(O3078&lt;&gt;"",D3078,"")</f>
        <v>SEL_1-0-2</v>
      </c>
      <c r="R3078" s="2433"/>
    </row>
    <row r="3079" spans="1:18" s="2432" customFormat="1">
      <c r="A3079" s="2418"/>
      <c r="B3079" s="2435">
        <v>1</v>
      </c>
      <c r="C3079" s="2439" t="s">
        <v>3366</v>
      </c>
      <c r="D3079" s="2440"/>
      <c r="E3079" s="2422"/>
      <c r="F3079" s="2438"/>
      <c r="G3079" s="2441"/>
      <c r="H3079" s="2441"/>
      <c r="I3079" s="2441"/>
      <c r="J3079" s="2442"/>
      <c r="K3079" s="2426">
        <f t="shared" si="2687"/>
        <v>1</v>
      </c>
      <c r="L3079" s="2427">
        <f>L3080</f>
        <v>1</v>
      </c>
      <c r="M3079" s="2426">
        <f t="shared" si="2685"/>
        <v>1</v>
      </c>
      <c r="N3079" s="2429" t="str">
        <f t="shared" ref="N3079" si="2688">IF(O3079&lt;&gt;"",K3079*L3079*M3079,"")</f>
        <v/>
      </c>
      <c r="O3079" s="2430" t="str">
        <f t="shared" ref="O3079" si="2689">IF(D3079&lt;&gt;"",IF(VLOOKUP(D3079,base_datos,7,FALSE)&lt;&gt;"",VLOOKUP(D3079,base_datos,7,FALSE),""),"")</f>
        <v/>
      </c>
      <c r="P3079" s="2431" t="str">
        <f t="shared" ref="P3079" si="2690">IF(O3079&lt;&gt;"",VLOOKUP(D3079,base_datos,6,FALSE),"")</f>
        <v/>
      </c>
      <c r="Q3079" s="2432" t="str">
        <f t="shared" ref="Q3079" si="2691">IF(O3079&lt;&gt;"",D3079,"")</f>
        <v/>
      </c>
    </row>
    <row r="3080" spans="1:18" s="2450" customFormat="1" ht="18" customHeight="1">
      <c r="A3080" s="2443"/>
      <c r="B3080" s="2444">
        <v>1</v>
      </c>
      <c r="C3080" s="2445" t="str">
        <f t="shared" ref="C3080:C3082" si="2692">VLOOKUP(D3080,base_datos,6,FALSE)</f>
        <v>Base portafusibles + Fusibles de protección para control.</v>
      </c>
      <c r="D3080" s="2446" t="s">
        <v>453</v>
      </c>
      <c r="E3080" s="2447">
        <f t="shared" ref="E3080:E3082" si="2693">VLOOKUP(D3080,base_datos,5,FALSE)</f>
        <v>8.1750000000000007</v>
      </c>
      <c r="F3080" s="2438">
        <f>+E3080*B3080</f>
        <v>8.1750000000000007</v>
      </c>
      <c r="G3080" s="2448"/>
      <c r="H3080" s="2448"/>
      <c r="I3080" s="2448"/>
      <c r="J3080" s="2449"/>
      <c r="K3080" s="2426">
        <f t="shared" si="2687"/>
        <v>1</v>
      </c>
      <c r="L3080" s="2427">
        <f>L3078</f>
        <v>1</v>
      </c>
      <c r="M3080" s="2428">
        <f>IF(B3080="",1,B3080)</f>
        <v>1</v>
      </c>
      <c r="N3080" s="2429" t="str">
        <f>IF(O3080&lt;&gt;"",K3080*L3080*M3080,"")</f>
        <v/>
      </c>
      <c r="O3080" s="2430" t="str">
        <f>IF(D3080&lt;&gt;"",IF(VLOOKUP(D3080,base_datos,7,FALSE)&lt;&gt;"",VLOOKUP(D3080,base_datos,7,FALSE),""),"")</f>
        <v/>
      </c>
      <c r="P3080" s="2431" t="str">
        <f>IF(O3080&lt;&gt;"",VLOOKUP(D3080,base_datos,6,FALSE),"")</f>
        <v/>
      </c>
      <c r="Q3080" s="2432" t="str">
        <f>IF(O3080&lt;&gt;"",D3080,"")</f>
        <v/>
      </c>
      <c r="R3080" s="2433"/>
    </row>
    <row r="3081" spans="1:18" s="2450" customFormat="1" ht="18" customHeight="1">
      <c r="A3081" s="2443"/>
      <c r="B3081" s="2444">
        <v>1</v>
      </c>
      <c r="C3081" s="2445" t="str">
        <f t="shared" si="2692"/>
        <v>Borne para neutro.</v>
      </c>
      <c r="D3081" s="2451" t="s">
        <v>436</v>
      </c>
      <c r="E3081" s="2447">
        <f t="shared" si="2693"/>
        <v>4</v>
      </c>
      <c r="F3081" s="2438">
        <f t="shared" ref="F3081:F3082" si="2694">+E3081*B3081</f>
        <v>4</v>
      </c>
      <c r="G3081" s="2448"/>
      <c r="H3081" s="2448"/>
      <c r="I3081" s="2448"/>
      <c r="J3081" s="2449"/>
      <c r="K3081" s="2426">
        <f t="shared" si="2687"/>
        <v>1</v>
      </c>
      <c r="L3081" s="2427">
        <f>L3079</f>
        <v>1</v>
      </c>
      <c r="M3081" s="2428">
        <f t="shared" ref="M3081:M3083" si="2695">IF(B3081="",1,B3081)</f>
        <v>1</v>
      </c>
      <c r="N3081" s="2429" t="str">
        <f t="shared" ref="N3081:N3082" si="2696">IF(O3081&lt;&gt;"",K3081*L3081*M3081,"")</f>
        <v/>
      </c>
      <c r="O3081" s="2430" t="str">
        <f t="shared" ref="O3081:O3082" si="2697">IF(D3081&lt;&gt;"",IF(VLOOKUP(D3081,base_datos,7,FALSE)&lt;&gt;"",VLOOKUP(D3081,base_datos,7,FALSE),""),"")</f>
        <v/>
      </c>
      <c r="P3081" s="2431" t="str">
        <f t="shared" ref="P3081:P3082" si="2698">IF(O3081&lt;&gt;"",VLOOKUP(D3081,base_datos,6,FALSE),"")</f>
        <v/>
      </c>
      <c r="Q3081" s="2432" t="str">
        <f t="shared" ref="Q3081:Q3082" si="2699">IF(O3081&lt;&gt;"",D3081,"")</f>
        <v/>
      </c>
      <c r="R3081" s="2433"/>
    </row>
    <row r="3082" spans="1:18" s="2450" customFormat="1" ht="18" customHeight="1">
      <c r="A3082" s="2443"/>
      <c r="B3082" s="2444">
        <v>2</v>
      </c>
      <c r="C3082" s="2445" t="str">
        <f t="shared" si="2692"/>
        <v>Borne 4mm2.</v>
      </c>
      <c r="D3082" s="2446" t="s">
        <v>437</v>
      </c>
      <c r="E3082" s="2447">
        <f t="shared" si="2693"/>
        <v>2.5</v>
      </c>
      <c r="F3082" s="2438">
        <f t="shared" si="2694"/>
        <v>5</v>
      </c>
      <c r="G3082" s="2448"/>
      <c r="H3082" s="2448"/>
      <c r="I3082" s="2448"/>
      <c r="J3082" s="2449"/>
      <c r="K3082" s="2426">
        <f t="shared" si="2687"/>
        <v>1</v>
      </c>
      <c r="L3082" s="2427">
        <f t="shared" ref="L3082" si="2700">L3081</f>
        <v>1</v>
      </c>
      <c r="M3082" s="2428">
        <f t="shared" si="2695"/>
        <v>2</v>
      </c>
      <c r="N3082" s="2429" t="str">
        <f t="shared" si="2696"/>
        <v/>
      </c>
      <c r="O3082" s="2430" t="str">
        <f t="shared" si="2697"/>
        <v/>
      </c>
      <c r="P3082" s="2431" t="str">
        <f t="shared" si="2698"/>
        <v/>
      </c>
      <c r="Q3082" s="2432" t="str">
        <f t="shared" si="2699"/>
        <v/>
      </c>
      <c r="R3082" s="2433"/>
    </row>
    <row r="3083" spans="1:18" s="2433" customFormat="1">
      <c r="A3083" s="2418"/>
      <c r="B3083" s="2452"/>
      <c r="C3083" s="2453" t="s">
        <v>729</v>
      </c>
      <c r="D3083" s="2451"/>
      <c r="E3083" s="2454"/>
      <c r="F3083" s="2455"/>
      <c r="G3083" s="2456"/>
      <c r="H3083" s="2456"/>
      <c r="I3083" s="2456"/>
      <c r="J3083" s="2457"/>
      <c r="K3083" s="2426">
        <f t="shared" si="2687"/>
        <v>1</v>
      </c>
      <c r="L3083" s="2458">
        <v>1</v>
      </c>
      <c r="M3083" s="2426">
        <f t="shared" si="2695"/>
        <v>1</v>
      </c>
      <c r="N3083" s="2459" t="str">
        <f>IF(O3083&lt;&gt;"",K3083*L3083*M3083,"")</f>
        <v/>
      </c>
      <c r="O3083" s="2460" t="str">
        <f>IF(D3083&lt;&gt;"",IF(VLOOKUP(D3083,base_datos,7,FALSE)&lt;&gt;"",VLOOKUP(D3083,base_datos,7,FALSE),""),"")</f>
        <v/>
      </c>
      <c r="P3083" s="2461" t="str">
        <f>IF(O3083&lt;&gt;"",VLOOKUP(D3083,base_datos,6,FALSE),"")</f>
        <v/>
      </c>
      <c r="Q3083" s="2433" t="str">
        <f>IF(O3083&lt;&gt;"",D3083,"")</f>
        <v/>
      </c>
    </row>
    <row r="3084" spans="1:18" s="2450" customFormat="1" ht="18" customHeight="1">
      <c r="A3084" s="2462"/>
      <c r="B3084" s="2444">
        <v>1</v>
      </c>
      <c r="C3084" s="2445" t="str">
        <f>VLOOKUP(D3084,base_datos,6,FALSE)</f>
        <v>Rele auxiliar enchufable +4NA/NC (D2PR4B + base D2PA6), 220Vac - marca EATON.</v>
      </c>
      <c r="D3084" s="2446" t="s">
        <v>772</v>
      </c>
      <c r="E3084" s="2447">
        <f>VLOOKUP(D3084,base_datos,5,FALSE)</f>
        <v>27</v>
      </c>
      <c r="F3084" s="2438">
        <f>+E3084*B3084</f>
        <v>27</v>
      </c>
      <c r="G3084" s="2448"/>
      <c r="H3084" s="2448"/>
      <c r="I3084" s="2448"/>
      <c r="J3084" s="2449"/>
      <c r="K3084" s="2426">
        <f t="shared" si="2687"/>
        <v>1</v>
      </c>
      <c r="L3084" s="2463">
        <v>1</v>
      </c>
      <c r="M3084" s="2428">
        <f>IF(B3084="",1,B3084)</f>
        <v>1</v>
      </c>
      <c r="N3084" s="2429">
        <f>IF(O3084&lt;&gt;"",K3084*L3084*M3084,"")</f>
        <v>1</v>
      </c>
      <c r="O3084" s="2430" t="str">
        <f>IF(D3084&lt;&gt;"",IF(VLOOKUP(D3084,base_datos,7,FALSE)&lt;&gt;"",VLOOKUP(D3084,base_datos,7,FALSE),""),"")</f>
        <v>D2PR4B+D2PA6</v>
      </c>
      <c r="P3084" s="2431" t="str">
        <f>IF(O3084&lt;&gt;"",VLOOKUP(D3084,base_datos,6,FALSE),"")</f>
        <v>Rele auxiliar enchufable +4NA/NC (D2PR4B + base D2PA6), 220Vac - marca EATON.</v>
      </c>
      <c r="Q3084" s="2432" t="str">
        <f>IF(O3084&lt;&gt;"",D3084,"")</f>
        <v>D2PR4B+D2PA6</v>
      </c>
      <c r="R3084" s="2433"/>
    </row>
    <row r="3085" spans="1:18" s="2450" customFormat="1" ht="18" customHeight="1">
      <c r="A3085" s="2443"/>
      <c r="B3085" s="2444">
        <v>4</v>
      </c>
      <c r="C3085" s="2445" t="str">
        <f t="shared" ref="C3085:C3087" si="2701">VLOOKUP(D3085,base_datos,6,FALSE)</f>
        <v>Borne 4mm2.</v>
      </c>
      <c r="D3085" s="2446" t="s">
        <v>437</v>
      </c>
      <c r="E3085" s="2447">
        <f t="shared" ref="E3085:E3087" si="2702">VLOOKUP(D3085,base_datos,5,FALSE)</f>
        <v>2.5</v>
      </c>
      <c r="F3085" s="2438">
        <f t="shared" ref="F3085:F3087" si="2703">+E3085*B3085</f>
        <v>10</v>
      </c>
      <c r="G3085" s="2448"/>
      <c r="H3085" s="2448"/>
      <c r="I3085" s="2448"/>
      <c r="J3085" s="2449"/>
      <c r="K3085" s="2426">
        <f t="shared" si="2687"/>
        <v>1</v>
      </c>
      <c r="L3085" s="2463">
        <v>1</v>
      </c>
      <c r="M3085" s="2428">
        <f t="shared" ref="M3085:M3088" si="2704">IF(B3085="",1,B3085)</f>
        <v>4</v>
      </c>
      <c r="N3085" s="2429" t="str">
        <f t="shared" ref="N3085:N3087" si="2705">IF(O3085&lt;&gt;"",K3085*L3085*M3085,"")</f>
        <v/>
      </c>
      <c r="O3085" s="2430" t="str">
        <f t="shared" ref="O3085:O3087" si="2706">IF(D3085&lt;&gt;"",IF(VLOOKUP(D3085,base_datos,7,FALSE)&lt;&gt;"",VLOOKUP(D3085,base_datos,7,FALSE),""),"")</f>
        <v/>
      </c>
      <c r="P3085" s="2431" t="str">
        <f t="shared" ref="P3085:P3087" si="2707">IF(O3085&lt;&gt;"",VLOOKUP(D3085,base_datos,6,FALSE),"")</f>
        <v/>
      </c>
      <c r="Q3085" s="2432" t="str">
        <f t="shared" ref="Q3085:Q3087" si="2708">IF(O3085&lt;&gt;"",D3085,"")</f>
        <v/>
      </c>
      <c r="R3085" s="2433"/>
    </row>
    <row r="3086" spans="1:18" s="2450" customFormat="1" ht="18" customHeight="1">
      <c r="A3086" s="2443"/>
      <c r="B3086" s="2444">
        <v>1</v>
      </c>
      <c r="C3086" s="2445" t="str">
        <f t="shared" si="2701"/>
        <v>Base portafusibles + Fusibles de protección para control.</v>
      </c>
      <c r="D3086" s="2446" t="s">
        <v>453</v>
      </c>
      <c r="E3086" s="2447">
        <f t="shared" si="2702"/>
        <v>8.1750000000000007</v>
      </c>
      <c r="F3086" s="2438">
        <f t="shared" si="2703"/>
        <v>8.1750000000000007</v>
      </c>
      <c r="G3086" s="2448"/>
      <c r="H3086" s="2448"/>
      <c r="I3086" s="2448"/>
      <c r="J3086" s="2449"/>
      <c r="K3086" s="2426">
        <f t="shared" si="2687"/>
        <v>1</v>
      </c>
      <c r="L3086" s="2463">
        <v>1</v>
      </c>
      <c r="M3086" s="2428">
        <f t="shared" si="2704"/>
        <v>1</v>
      </c>
      <c r="N3086" s="2429" t="str">
        <f t="shared" si="2705"/>
        <v/>
      </c>
      <c r="O3086" s="2430" t="str">
        <f t="shared" si="2706"/>
        <v/>
      </c>
      <c r="P3086" s="2431" t="str">
        <f t="shared" si="2707"/>
        <v/>
      </c>
      <c r="Q3086" s="2432" t="str">
        <f t="shared" si="2708"/>
        <v/>
      </c>
      <c r="R3086" s="2433"/>
    </row>
    <row r="3087" spans="1:18" s="2450" customFormat="1" ht="18" customHeight="1">
      <c r="A3087" s="2443"/>
      <c r="B3087" s="2444">
        <v>1</v>
      </c>
      <c r="C3087" s="2445" t="str">
        <f t="shared" si="2701"/>
        <v>Borne para neutro.</v>
      </c>
      <c r="D3087" s="2451" t="s">
        <v>436</v>
      </c>
      <c r="E3087" s="2447">
        <f t="shared" si="2702"/>
        <v>4</v>
      </c>
      <c r="F3087" s="2438">
        <f t="shared" si="2703"/>
        <v>4</v>
      </c>
      <c r="G3087" s="2448"/>
      <c r="H3087" s="2448"/>
      <c r="I3087" s="2448"/>
      <c r="J3087" s="2449"/>
      <c r="K3087" s="2426">
        <f t="shared" si="2687"/>
        <v>1</v>
      </c>
      <c r="L3087" s="2427">
        <f t="shared" ref="L3087" si="2709">L3086</f>
        <v>1</v>
      </c>
      <c r="M3087" s="2428">
        <f t="shared" si="2704"/>
        <v>1</v>
      </c>
      <c r="N3087" s="2429" t="str">
        <f t="shared" si="2705"/>
        <v/>
      </c>
      <c r="O3087" s="2430" t="str">
        <f t="shared" si="2706"/>
        <v/>
      </c>
      <c r="P3087" s="2431" t="str">
        <f t="shared" si="2707"/>
        <v/>
      </c>
      <c r="Q3087" s="2432" t="str">
        <f t="shared" si="2708"/>
        <v/>
      </c>
      <c r="R3087" s="2433"/>
    </row>
    <row r="3088" spans="1:18" s="185" customFormat="1">
      <c r="A3088" s="687"/>
      <c r="B3088" s="714"/>
      <c r="C3088" s="313" t="s">
        <v>729</v>
      </c>
      <c r="D3088" s="36"/>
      <c r="E3088" s="1971"/>
      <c r="F3088" s="1787"/>
      <c r="G3088" s="710"/>
      <c r="H3088" s="710"/>
      <c r="I3088" s="710"/>
      <c r="J3088" s="711"/>
      <c r="K3088" s="684">
        <f t="shared" si="2687"/>
        <v>1</v>
      </c>
      <c r="L3088" s="708">
        <v>1</v>
      </c>
      <c r="M3088" s="684">
        <f t="shared" si="2704"/>
        <v>1</v>
      </c>
      <c r="N3088" s="1905" t="str">
        <f>IF(O3088&lt;&gt;"",K3088*L3088*M3088,"")</f>
        <v/>
      </c>
      <c r="O3088" s="1571" t="str">
        <f>IF(D3088&lt;&gt;"",IF(VLOOKUP(D3088,base_datos,7,FALSE)&lt;&gt;"",VLOOKUP(D3088,base_datos,7,FALSE),""),"")</f>
        <v/>
      </c>
      <c r="P3088" s="320" t="str">
        <f>IF(O3088&lt;&gt;"",VLOOKUP(D3088,base_datos,6,FALSE),"")</f>
        <v/>
      </c>
      <c r="Q3088" s="185" t="str">
        <f>IF(O3088&lt;&gt;"",D3088,"")</f>
        <v/>
      </c>
    </row>
    <row r="3089" spans="1:20" s="315" customFormat="1" ht="18" customHeight="1">
      <c r="A3089" s="1785"/>
      <c r="B3089" s="355">
        <v>3</v>
      </c>
      <c r="C3089" s="1944" t="s">
        <v>13041</v>
      </c>
      <c r="D3089" s="1941"/>
      <c r="E3089" s="1786"/>
      <c r="F3089" s="1908">
        <f>SUM(F3090:F3095)*(B3089-1)</f>
        <v>105.97</v>
      </c>
      <c r="G3089" s="712"/>
      <c r="H3089" s="712"/>
      <c r="I3089" s="712"/>
      <c r="J3089" s="713"/>
      <c r="K3089" s="684">
        <f>+K3075</f>
        <v>1</v>
      </c>
      <c r="L3089" s="2224">
        <f>B3089</f>
        <v>3</v>
      </c>
      <c r="M3089" s="709">
        <f>IF(B3089="",1,B3089)</f>
        <v>3</v>
      </c>
      <c r="N3089" s="362" t="str">
        <f t="shared" si="2646"/>
        <v/>
      </c>
      <c r="O3089" s="1763" t="str">
        <f t="shared" si="2647"/>
        <v/>
      </c>
      <c r="P3089" s="1764" t="str">
        <f t="shared" si="2648"/>
        <v/>
      </c>
      <c r="Q3089" s="120" t="str">
        <f t="shared" si="2649"/>
        <v/>
      </c>
    </row>
    <row r="3090" spans="1:20" s="690" customFormat="1" ht="18" customHeight="1">
      <c r="A3090" s="691"/>
      <c r="B3090" s="1781">
        <v>1</v>
      </c>
      <c r="C3090" s="1420" t="str">
        <f>VLOOKUP(D3090,base_datos,6,FALSE)</f>
        <v>Contactor 3x09A(AC-3) / 3x25A(AC-1) +1NA - AF09-30-10-13 - bobina 100-250Vac/dc - marca ABB.</v>
      </c>
      <c r="D3090" s="1901" t="s">
        <v>1447</v>
      </c>
      <c r="E3090" s="1791">
        <f>VLOOKUP(D3090,base_datos,5,FALSE)</f>
        <v>29.89</v>
      </c>
      <c r="F3090" s="1912">
        <f>+E3090*B3090</f>
        <v>29.89</v>
      </c>
      <c r="G3090" s="1761"/>
      <c r="H3090" s="1761"/>
      <c r="I3090" s="1761"/>
      <c r="J3090" s="1783"/>
      <c r="K3090" s="684">
        <f>+K3076</f>
        <v>1</v>
      </c>
      <c r="L3090" s="1913">
        <f>L3089</f>
        <v>3</v>
      </c>
      <c r="M3090" s="709">
        <f t="shared" ref="M3090:M3102" si="2710">IF(B3090="",1,B3090)</f>
        <v>1</v>
      </c>
      <c r="N3090" s="362">
        <f t="shared" si="2646"/>
        <v>3</v>
      </c>
      <c r="O3090" s="1763" t="str">
        <f t="shared" si="2647"/>
        <v>1SBL137001R1310</v>
      </c>
      <c r="P3090" s="1764" t="str">
        <f t="shared" si="2648"/>
        <v>Contactor 3x09A(AC-3) / 3x25A(AC-1) +1NA - AF09-30-10-13 - bobina 100-250Vac/dc - marca ABB.</v>
      </c>
      <c r="Q3090" s="120" t="str">
        <f t="shared" si="2649"/>
        <v>AF09-30-10-13_3p</v>
      </c>
      <c r="R3090" s="185"/>
    </row>
    <row r="3091" spans="1:20" s="690" customFormat="1" ht="18" customHeight="1">
      <c r="A3091" s="691"/>
      <c r="B3091" s="2229">
        <v>1</v>
      </c>
      <c r="C3091" s="2230" t="str">
        <f>VLOOKUP(D3091,base_datos,6,FALSE)</f>
        <v>Contacto auxiliar frontal 1NA para contactor AF09..AF16-30-10, frontal - Modelo CA4-10 - marca ABB.</v>
      </c>
      <c r="D3091" s="1901" t="s">
        <v>2718</v>
      </c>
      <c r="E3091" s="1791">
        <f>VLOOKUP(D3091,base_datos,5,FALSE)</f>
        <v>5.92</v>
      </c>
      <c r="F3091" s="1912">
        <f>+E3091*B3091</f>
        <v>5.92</v>
      </c>
      <c r="G3091" s="1761"/>
      <c r="H3091" s="1761"/>
      <c r="I3091" s="1761"/>
      <c r="J3091" s="1783"/>
      <c r="K3091" s="684">
        <f t="shared" si="2671"/>
        <v>1</v>
      </c>
      <c r="L3091" s="1913">
        <f t="shared" ref="L3091" si="2711">L3090</f>
        <v>3</v>
      </c>
      <c r="M3091" s="709">
        <f t="shared" si="2710"/>
        <v>1</v>
      </c>
      <c r="N3091" s="362">
        <f t="shared" ref="N3091:N3092" si="2712">IF(O3091&lt;&gt;"",K3091*L3091*M3091,"")</f>
        <v>3</v>
      </c>
      <c r="O3091" s="1763" t="str">
        <f t="shared" ref="O3091:O3092" si="2713">IF(D3091&lt;&gt;"",IF(VLOOKUP(D3091,base_datos,7,FALSE)&lt;&gt;"",VLOOKUP(D3091,base_datos,7,FALSE),""),"")</f>
        <v>1SBN010110R1010</v>
      </c>
      <c r="P3091" s="1764" t="str">
        <f t="shared" ref="P3091:P3092" si="2714">IF(O3091&lt;&gt;"",VLOOKUP(D3091,base_datos,6,FALSE),"")</f>
        <v>Contacto auxiliar frontal 1NA para contactor AF09..AF16-30-10, frontal - Modelo CA4-10 - marca ABB.</v>
      </c>
      <c r="Q3091" s="120" t="str">
        <f t="shared" ref="Q3091:Q3092" si="2715">IF(O3091&lt;&gt;"",D3091,"")</f>
        <v>CA4-10</v>
      </c>
      <c r="R3091" s="185"/>
    </row>
    <row r="3092" spans="1:20" s="1921" customFormat="1">
      <c r="A3092" s="687"/>
      <c r="B3092" s="1914">
        <v>1</v>
      </c>
      <c r="C3092" s="1915" t="s">
        <v>3366</v>
      </c>
      <c r="D3092" s="1916"/>
      <c r="E3092" s="1917"/>
      <c r="F3092" s="1918"/>
      <c r="G3092" s="1919"/>
      <c r="H3092" s="1919"/>
      <c r="I3092" s="1919"/>
      <c r="J3092" s="1920"/>
      <c r="K3092" s="684">
        <f t="shared" si="2671"/>
        <v>1</v>
      </c>
      <c r="L3092" s="1913">
        <f>L3091</f>
        <v>3</v>
      </c>
      <c r="M3092" s="684">
        <f t="shared" si="2710"/>
        <v>1</v>
      </c>
      <c r="N3092" s="362" t="str">
        <f t="shared" si="2712"/>
        <v/>
      </c>
      <c r="O3092" s="1763" t="str">
        <f t="shared" si="2713"/>
        <v/>
      </c>
      <c r="P3092" s="1764" t="str">
        <f t="shared" si="2714"/>
        <v/>
      </c>
      <c r="Q3092" s="120" t="str">
        <f t="shared" si="2715"/>
        <v/>
      </c>
    </row>
    <row r="3093" spans="1:20" s="695" customFormat="1" ht="18" customHeight="1">
      <c r="A3093" s="1785"/>
      <c r="B3093" s="1922">
        <v>1</v>
      </c>
      <c r="C3093" s="1848" t="str">
        <f t="shared" ref="C3093:C3095" si="2716">VLOOKUP(D3093,base_datos,6,FALSE)</f>
        <v>Base portafusibles + Fusibles de protección para control.</v>
      </c>
      <c r="D3093" s="1886" t="s">
        <v>453</v>
      </c>
      <c r="E3093" s="1795">
        <f t="shared" ref="E3093:E3095" si="2717">VLOOKUP(D3093,base_datos,5,FALSE)</f>
        <v>8.1750000000000007</v>
      </c>
      <c r="F3093" s="1923">
        <f t="shared" ref="F3093:F3095" si="2718">+E3093*B3093</f>
        <v>8.1750000000000007</v>
      </c>
      <c r="G3093" s="696"/>
      <c r="H3093" s="696"/>
      <c r="I3093" s="696"/>
      <c r="J3093" s="697"/>
      <c r="K3093" s="684">
        <f t="shared" si="2671"/>
        <v>1</v>
      </c>
      <c r="L3093" s="1913">
        <f t="shared" ref="L3093:L3095" si="2719">L3092</f>
        <v>3</v>
      </c>
      <c r="M3093" s="709">
        <f t="shared" si="2710"/>
        <v>1</v>
      </c>
      <c r="N3093" s="362" t="str">
        <f t="shared" si="2646"/>
        <v/>
      </c>
      <c r="O3093" s="1763" t="str">
        <f t="shared" si="2647"/>
        <v/>
      </c>
      <c r="P3093" s="1764" t="str">
        <f t="shared" si="2648"/>
        <v/>
      </c>
      <c r="Q3093" s="120" t="str">
        <f t="shared" si="2649"/>
        <v/>
      </c>
      <c r="R3093" s="185"/>
    </row>
    <row r="3094" spans="1:20" s="695" customFormat="1" ht="18" customHeight="1">
      <c r="A3094" s="1785"/>
      <c r="B3094" s="1922">
        <v>1</v>
      </c>
      <c r="C3094" s="1848" t="str">
        <f t="shared" si="2716"/>
        <v>Borne para neutro.</v>
      </c>
      <c r="D3094" s="1886" t="s">
        <v>436</v>
      </c>
      <c r="E3094" s="1795">
        <f t="shared" si="2717"/>
        <v>4</v>
      </c>
      <c r="F3094" s="1923">
        <f t="shared" si="2718"/>
        <v>4</v>
      </c>
      <c r="G3094" s="696"/>
      <c r="H3094" s="696"/>
      <c r="I3094" s="696"/>
      <c r="J3094" s="697"/>
      <c r="K3094" s="684">
        <f t="shared" si="2671"/>
        <v>1</v>
      </c>
      <c r="L3094" s="1913">
        <f t="shared" si="2719"/>
        <v>3</v>
      </c>
      <c r="M3094" s="709">
        <f t="shared" si="2710"/>
        <v>1</v>
      </c>
      <c r="N3094" s="362" t="str">
        <f t="shared" si="2646"/>
        <v/>
      </c>
      <c r="O3094" s="1763" t="str">
        <f t="shared" si="2647"/>
        <v/>
      </c>
      <c r="P3094" s="1764" t="str">
        <f t="shared" si="2648"/>
        <v/>
      </c>
      <c r="Q3094" s="120" t="str">
        <f t="shared" si="2649"/>
        <v/>
      </c>
      <c r="R3094" s="185"/>
    </row>
    <row r="3095" spans="1:20" s="695" customFormat="1" ht="18" customHeight="1">
      <c r="A3095" s="1785"/>
      <c r="B3095" s="1922">
        <v>2</v>
      </c>
      <c r="C3095" s="1848" t="str">
        <f t="shared" si="2716"/>
        <v>Borne 4mm2.</v>
      </c>
      <c r="D3095" s="1886" t="s">
        <v>437</v>
      </c>
      <c r="E3095" s="1795">
        <f t="shared" si="2717"/>
        <v>2.5</v>
      </c>
      <c r="F3095" s="1923">
        <f t="shared" si="2718"/>
        <v>5</v>
      </c>
      <c r="G3095" s="696"/>
      <c r="H3095" s="696"/>
      <c r="I3095" s="696"/>
      <c r="J3095" s="697"/>
      <c r="K3095" s="684">
        <f t="shared" si="2671"/>
        <v>1</v>
      </c>
      <c r="L3095" s="1913">
        <f t="shared" si="2719"/>
        <v>3</v>
      </c>
      <c r="M3095" s="709">
        <f t="shared" si="2710"/>
        <v>2</v>
      </c>
      <c r="N3095" s="362" t="str">
        <f t="shared" si="2646"/>
        <v/>
      </c>
      <c r="O3095" s="1763" t="str">
        <f t="shared" si="2647"/>
        <v/>
      </c>
      <c r="P3095" s="1764" t="str">
        <f t="shared" si="2648"/>
        <v/>
      </c>
      <c r="Q3095" s="120" t="str">
        <f t="shared" si="2649"/>
        <v/>
      </c>
      <c r="R3095" s="185"/>
    </row>
    <row r="3096" spans="1:20" s="185" customFormat="1" ht="18" customHeight="1">
      <c r="A3096" s="1785"/>
      <c r="B3096" s="714"/>
      <c r="C3096" s="1893" t="s">
        <v>729</v>
      </c>
      <c r="D3096" s="173"/>
      <c r="E3096" s="1786"/>
      <c r="F3096" s="1787"/>
      <c r="G3096" s="710"/>
      <c r="H3096" s="710"/>
      <c r="I3096" s="710"/>
      <c r="J3096" s="711"/>
      <c r="K3096" s="684">
        <f t="shared" si="2671"/>
        <v>1</v>
      </c>
      <c r="L3096" s="708">
        <v>1</v>
      </c>
      <c r="M3096" s="709">
        <f t="shared" si="2710"/>
        <v>1</v>
      </c>
      <c r="N3096" s="362" t="str">
        <f t="shared" si="2646"/>
        <v/>
      </c>
      <c r="O3096" s="1763" t="str">
        <f t="shared" si="2647"/>
        <v/>
      </c>
      <c r="P3096" s="1764" t="str">
        <f t="shared" si="2648"/>
        <v/>
      </c>
      <c r="Q3096" s="120" t="str">
        <f t="shared" si="2649"/>
        <v/>
      </c>
    </row>
    <row r="3097" spans="1:20" s="315" customFormat="1" ht="12.75" customHeight="1">
      <c r="A3097" s="2271"/>
      <c r="B3097" s="2272">
        <v>1</v>
      </c>
      <c r="C3097" s="2281" t="s">
        <v>13366</v>
      </c>
      <c r="D3097" s="1935"/>
      <c r="E3097" s="2287"/>
      <c r="F3097" s="2257">
        <f>+SUM(F3098:F3101)*(B3097-1)</f>
        <v>0</v>
      </c>
      <c r="G3097" s="712"/>
      <c r="H3097" s="712"/>
      <c r="I3097" s="712"/>
      <c r="J3097" s="713"/>
      <c r="K3097" s="684">
        <f t="shared" ref="K3097:K3102" si="2720">+K3096</f>
        <v>1</v>
      </c>
      <c r="L3097" s="2258">
        <v>1</v>
      </c>
      <c r="M3097" s="120">
        <f t="shared" si="2710"/>
        <v>1</v>
      </c>
      <c r="N3097" s="112" t="str">
        <f t="shared" si="2646"/>
        <v/>
      </c>
      <c r="O3097" s="112" t="str">
        <f t="shared" si="2647"/>
        <v/>
      </c>
      <c r="P3097" s="120" t="str">
        <f t="shared" si="2648"/>
        <v/>
      </c>
      <c r="Q3097" s="120" t="str">
        <f t="shared" si="2649"/>
        <v/>
      </c>
      <c r="S3097" s="112" t="str">
        <f t="shared" ref="S3097:S3102" si="2721">IF(O3097&lt;&gt;"",VLOOKUP(D3097,base_datos,9,FALSE),"")</f>
        <v/>
      </c>
      <c r="T3097" s="2128"/>
    </row>
    <row r="3098" spans="1:20" s="690" customFormat="1" ht="18" customHeight="1">
      <c r="A3098" s="2273"/>
      <c r="B3098" s="1781">
        <v>1</v>
      </c>
      <c r="C3098" s="1420" t="str">
        <f t="shared" ref="C3098:C3101" si="2722">VLOOKUP(D3098,base_datos,6,FALSE)</f>
        <v>Calefactor resistivo 60W, modelo RACM - marca FANDIS.</v>
      </c>
      <c r="D3098" s="1899" t="s">
        <v>3298</v>
      </c>
      <c r="E3098" s="2288">
        <f t="shared" ref="E3098" si="2723">VLOOKUP(D3098,base_datos,5,FALSE)</f>
        <v>127.1</v>
      </c>
      <c r="F3098" s="1782">
        <f>+E3098*B3098</f>
        <v>127.1</v>
      </c>
      <c r="G3098" s="1761"/>
      <c r="H3098" s="1761"/>
      <c r="I3098" s="1761"/>
      <c r="J3098" s="689"/>
      <c r="K3098" s="684">
        <f t="shared" si="2720"/>
        <v>1</v>
      </c>
      <c r="L3098" s="2258">
        <v>1</v>
      </c>
      <c r="M3098" s="120">
        <f t="shared" si="2710"/>
        <v>1</v>
      </c>
      <c r="N3098" s="112">
        <f t="shared" si="2646"/>
        <v>1</v>
      </c>
      <c r="O3098" s="112" t="str">
        <f t="shared" si="2647"/>
        <v>RACM-60</v>
      </c>
      <c r="P3098" s="120" t="str">
        <f t="shared" si="2648"/>
        <v>Calefactor resistivo 60W, modelo RACM - marca FANDIS.</v>
      </c>
      <c r="Q3098" s="120" t="str">
        <f t="shared" si="2649"/>
        <v>CALEFACT-60W_FAND</v>
      </c>
      <c r="S3098" s="112" t="str">
        <f t="shared" si="2721"/>
        <v>FANDIS</v>
      </c>
      <c r="T3098" s="1765"/>
    </row>
    <row r="3099" spans="1:20" s="690" customFormat="1" ht="18" customHeight="1">
      <c r="A3099" s="2273"/>
      <c r="B3099" s="1781">
        <v>1</v>
      </c>
      <c r="C3099" s="1420" t="str">
        <f t="shared" si="2722"/>
        <v>Termostato para ventilación - 1NA - 230V - marca FANDIS.</v>
      </c>
      <c r="D3099" s="1899" t="s">
        <v>3294</v>
      </c>
      <c r="E3099" s="2288">
        <f t="shared" ref="E3099:E3101" si="2724">VLOOKUP(D3099,base_datos,5,FALSE)</f>
        <v>41.58</v>
      </c>
      <c r="F3099" s="1782">
        <f>+E3099*B3099</f>
        <v>41.58</v>
      </c>
      <c r="G3099" s="1761"/>
      <c r="H3099" s="1761"/>
      <c r="I3099" s="1761"/>
      <c r="J3099" s="689"/>
      <c r="K3099" s="684">
        <f t="shared" si="2720"/>
        <v>1</v>
      </c>
      <c r="L3099" s="2258">
        <v>1</v>
      </c>
      <c r="M3099" s="120">
        <f t="shared" si="2710"/>
        <v>1</v>
      </c>
      <c r="N3099" s="112">
        <f t="shared" si="2646"/>
        <v>1</v>
      </c>
      <c r="O3099" s="112" t="str">
        <f t="shared" si="2647"/>
        <v>TRT-10A230V-NO</v>
      </c>
      <c r="P3099" s="120" t="str">
        <f t="shared" si="2648"/>
        <v>Termostato para ventilación - 1NA - 230V - marca FANDIS.</v>
      </c>
      <c r="Q3099" s="120" t="str">
        <f t="shared" si="2649"/>
        <v>TRT-1NA</v>
      </c>
      <c r="S3099" s="112" t="str">
        <f t="shared" si="2721"/>
        <v>FANDIS</v>
      </c>
      <c r="T3099" s="1765"/>
    </row>
    <row r="3100" spans="1:20" s="320" customFormat="1" ht="12.75" customHeight="1">
      <c r="A3100" s="2274"/>
      <c r="B3100" s="2275">
        <v>1</v>
      </c>
      <c r="C3100" s="2282" t="str">
        <f t="shared" si="2722"/>
        <v>Base portafusibles + Fusibles de protección para control.</v>
      </c>
      <c r="D3100" s="1579" t="s">
        <v>453</v>
      </c>
      <c r="E3100" s="2289">
        <f t="shared" si="2724"/>
        <v>8.1750000000000007</v>
      </c>
      <c r="F3100" s="2264">
        <f>+E3100*B3100</f>
        <v>8.1750000000000007</v>
      </c>
      <c r="G3100" s="2276"/>
      <c r="H3100" s="2276"/>
      <c r="I3100" s="2276"/>
      <c r="J3100" s="722"/>
      <c r="K3100" s="684">
        <f t="shared" si="2720"/>
        <v>1</v>
      </c>
      <c r="L3100" s="2258">
        <v>1</v>
      </c>
      <c r="M3100" s="120">
        <f t="shared" si="2710"/>
        <v>1</v>
      </c>
      <c r="N3100" s="112" t="str">
        <f t="shared" si="2646"/>
        <v/>
      </c>
      <c r="O3100" s="112" t="str">
        <f t="shared" si="2647"/>
        <v/>
      </c>
      <c r="P3100" s="120" t="str">
        <f t="shared" si="2648"/>
        <v/>
      </c>
      <c r="Q3100" s="120" t="str">
        <f t="shared" si="2649"/>
        <v/>
      </c>
      <c r="R3100" s="185"/>
      <c r="S3100" s="112" t="str">
        <f t="shared" si="2721"/>
        <v/>
      </c>
      <c r="T3100" s="709"/>
    </row>
    <row r="3101" spans="1:20" s="320" customFormat="1" ht="12.75" customHeight="1">
      <c r="A3101" s="2274"/>
      <c r="B3101" s="2277">
        <v>1</v>
      </c>
      <c r="C3101" s="2282" t="str">
        <f t="shared" si="2722"/>
        <v>Borne 4mm2.</v>
      </c>
      <c r="D3101" s="1579" t="s">
        <v>437</v>
      </c>
      <c r="E3101" s="2260">
        <f t="shared" si="2724"/>
        <v>2.5</v>
      </c>
      <c r="F3101" s="2260">
        <f>+E3101*B3101</f>
        <v>2.5</v>
      </c>
      <c r="G3101" s="2276"/>
      <c r="H3101" s="2276"/>
      <c r="I3101" s="2276"/>
      <c r="J3101" s="722"/>
      <c r="K3101" s="684">
        <f t="shared" si="2720"/>
        <v>1</v>
      </c>
      <c r="L3101" s="2258">
        <v>1</v>
      </c>
      <c r="M3101" s="120">
        <f t="shared" si="2710"/>
        <v>1</v>
      </c>
      <c r="N3101" s="112" t="str">
        <f t="shared" si="2646"/>
        <v/>
      </c>
      <c r="O3101" s="112" t="str">
        <f t="shared" si="2647"/>
        <v/>
      </c>
      <c r="P3101" s="120" t="str">
        <f t="shared" si="2648"/>
        <v/>
      </c>
      <c r="Q3101" s="120" t="str">
        <f t="shared" si="2649"/>
        <v/>
      </c>
      <c r="R3101" s="185"/>
      <c r="S3101" s="112" t="str">
        <f t="shared" si="2721"/>
        <v/>
      </c>
      <c r="T3101" s="709"/>
    </row>
    <row r="3102" spans="1:20" s="185" customFormat="1" ht="12.75" customHeight="1">
      <c r="A3102" s="2262"/>
      <c r="B3102" s="1760"/>
      <c r="C3102" s="1893" t="s">
        <v>729</v>
      </c>
      <c r="D3102" s="169"/>
      <c r="E3102" s="2256"/>
      <c r="F3102" s="2278"/>
      <c r="G3102" s="710"/>
      <c r="H3102" s="710"/>
      <c r="I3102" s="710"/>
      <c r="J3102" s="711"/>
      <c r="K3102" s="684">
        <f t="shared" si="2720"/>
        <v>1</v>
      </c>
      <c r="L3102" s="2258">
        <v>1</v>
      </c>
      <c r="M3102" s="120">
        <f t="shared" si="2710"/>
        <v>1</v>
      </c>
      <c r="N3102" s="112" t="str">
        <f t="shared" si="2646"/>
        <v/>
      </c>
      <c r="O3102" s="112" t="str">
        <f t="shared" si="2647"/>
        <v/>
      </c>
      <c r="P3102" s="120" t="str">
        <f t="shared" si="2648"/>
        <v/>
      </c>
      <c r="Q3102" s="120" t="str">
        <f t="shared" si="2649"/>
        <v/>
      </c>
      <c r="S3102" s="112" t="str">
        <f t="shared" si="2721"/>
        <v/>
      </c>
      <c r="T3102" s="118"/>
    </row>
    <row r="3103" spans="1:20" s="185" customFormat="1" ht="18" customHeight="1">
      <c r="A3103" s="1785"/>
      <c r="B3103" s="714"/>
      <c r="C3103" s="1893"/>
      <c r="D3103" s="173"/>
      <c r="E3103" s="1786"/>
      <c r="F3103" s="1787"/>
      <c r="G3103" s="710"/>
      <c r="H3103" s="710"/>
      <c r="I3103" s="710"/>
      <c r="J3103" s="711"/>
      <c r="K3103" s="684">
        <f>+K3095</f>
        <v>1</v>
      </c>
      <c r="L3103" s="708">
        <v>1</v>
      </c>
      <c r="M3103" s="709">
        <f t="shared" si="2651"/>
        <v>1</v>
      </c>
      <c r="N3103" s="362" t="str">
        <f t="shared" ref="N3103:N3115" si="2725">IF(O3103&lt;&gt;"",K3103*L3103*M3103,"")</f>
        <v/>
      </c>
      <c r="O3103" s="1763" t="str">
        <f t="shared" ref="O3103:O3115" si="2726">IF(D3103&lt;&gt;"",IF(VLOOKUP(D3103,base_datos,7,FALSE)&lt;&gt;"",VLOOKUP(D3103,base_datos,7,FALSE),""),"")</f>
        <v/>
      </c>
      <c r="P3103" s="1764" t="str">
        <f t="shared" ref="P3103:P3115" si="2727">IF(O3103&lt;&gt;"",VLOOKUP(D3103,base_datos,6,FALSE),"")</f>
        <v/>
      </c>
      <c r="Q3103" s="120" t="str">
        <f t="shared" ref="Q3103:Q3115" si="2728">IF(O3103&lt;&gt;"",D3103,"")</f>
        <v/>
      </c>
    </row>
    <row r="3104" spans="1:20" s="1236" customFormat="1" ht="18" customHeight="1">
      <c r="A3104" s="1767"/>
      <c r="B3104" s="1853">
        <v>1</v>
      </c>
      <c r="C3104" s="1895" t="s">
        <v>12364</v>
      </c>
      <c r="D3104" s="1902"/>
      <c r="E3104" s="1792"/>
      <c r="F3104" s="1793"/>
      <c r="G3104" s="1784"/>
      <c r="H3104" s="1784"/>
      <c r="I3104" s="1784"/>
      <c r="J3104" s="1182"/>
      <c r="K3104" s="684">
        <f>+K3096</f>
        <v>1</v>
      </c>
      <c r="L3104" s="708">
        <v>1</v>
      </c>
      <c r="M3104" s="709">
        <f t="shared" si="2651"/>
        <v>1</v>
      </c>
      <c r="N3104" s="362" t="str">
        <f t="shared" si="2725"/>
        <v/>
      </c>
      <c r="O3104" s="1763" t="str">
        <f t="shared" si="2726"/>
        <v/>
      </c>
      <c r="P3104" s="1764" t="str">
        <f t="shared" si="2727"/>
        <v/>
      </c>
      <c r="Q3104" s="120" t="str">
        <f t="shared" si="2728"/>
        <v/>
      </c>
      <c r="R3104" s="185"/>
    </row>
    <row r="3105" spans="1:18" s="695" customFormat="1" ht="18" customHeight="1">
      <c r="A3105" s="693"/>
      <c r="B3105" s="1922">
        <v>1</v>
      </c>
      <c r="C3105" s="1848" t="str">
        <f t="shared" ref="C3105" si="2729">VLOOKUP(D3105,base_datos,6,FALSE)</f>
        <v>Placa lamicoid rotulación de 3mm de espesor, fondo negro y letras blancas.</v>
      </c>
      <c r="D3105" s="1886" t="s">
        <v>8570</v>
      </c>
      <c r="E3105" s="1795">
        <f t="shared" ref="E3105" si="2730">VLOOKUP(D3105,base_datos,5,FALSE)</f>
        <v>2.2000000000000002</v>
      </c>
      <c r="F3105" s="1796">
        <f t="shared" ref="F3105" si="2731">+E3105*B3105</f>
        <v>2.2000000000000002</v>
      </c>
      <c r="G3105" s="696"/>
      <c r="H3105" s="696"/>
      <c r="I3105" s="696"/>
      <c r="J3105" s="697"/>
      <c r="K3105" s="684">
        <f t="shared" si="2671"/>
        <v>1</v>
      </c>
      <c r="L3105" s="708">
        <v>1</v>
      </c>
      <c r="M3105" s="709">
        <f t="shared" si="2651"/>
        <v>1</v>
      </c>
      <c r="N3105" s="362">
        <f t="shared" si="2725"/>
        <v>1</v>
      </c>
      <c r="O3105" s="1763" t="str">
        <f t="shared" si="2726"/>
        <v>Placa lamicoid p/distr.</v>
      </c>
      <c r="P3105" s="1764" t="str">
        <f t="shared" si="2727"/>
        <v>Placa lamicoid rotulación de 3mm de espesor, fondo negro y letras blancas.</v>
      </c>
      <c r="Q3105" s="120" t="str">
        <f t="shared" si="2728"/>
        <v>Placa lamicoid p/distr.</v>
      </c>
      <c r="R3105" s="185"/>
    </row>
    <row r="3106" spans="1:18" s="1236" customFormat="1" ht="18" customHeight="1">
      <c r="A3106" s="1767"/>
      <c r="B3106" s="1853">
        <v>1</v>
      </c>
      <c r="C3106" s="1895" t="s">
        <v>12474</v>
      </c>
      <c r="D3106" s="1902"/>
      <c r="E3106" s="1792"/>
      <c r="F3106" s="1793"/>
      <c r="G3106" s="1784"/>
      <c r="H3106" s="1784"/>
      <c r="I3106" s="1784"/>
      <c r="J3106" s="1182"/>
      <c r="K3106" s="684">
        <f t="shared" si="2671"/>
        <v>1</v>
      </c>
      <c r="L3106" s="708">
        <v>1</v>
      </c>
      <c r="M3106" s="709">
        <f t="shared" si="2651"/>
        <v>1</v>
      </c>
      <c r="N3106" s="362" t="str">
        <f t="shared" si="2725"/>
        <v/>
      </c>
      <c r="O3106" s="1763" t="str">
        <f t="shared" si="2726"/>
        <v/>
      </c>
      <c r="P3106" s="1764" t="str">
        <f t="shared" si="2727"/>
        <v/>
      </c>
      <c r="Q3106" s="120" t="str">
        <f t="shared" si="2728"/>
        <v/>
      </c>
      <c r="R3106" s="185"/>
    </row>
    <row r="3107" spans="1:18" s="1236" customFormat="1" ht="18" customHeight="1">
      <c r="A3107" s="1767"/>
      <c r="B3107" s="1853">
        <v>1</v>
      </c>
      <c r="C3107" s="1848" t="str">
        <f>VLOOKUP(D3107,base_datos,6,FALSE)</f>
        <v>Embalaje especial completamente cerrado para tablero adosado de 1600x600x220mm</v>
      </c>
      <c r="D3107" s="1902" t="s">
        <v>12453</v>
      </c>
      <c r="E3107" s="1795">
        <f t="shared" ref="E3107" si="2732">VLOOKUP(D3107,base_datos,5,FALSE)</f>
        <v>271.40000000000003</v>
      </c>
      <c r="F3107" s="1796">
        <f t="shared" ref="F3107" si="2733">+E3107*B3107</f>
        <v>271.40000000000003</v>
      </c>
      <c r="G3107" s="1784"/>
      <c r="H3107" s="1784"/>
      <c r="I3107" s="1784"/>
      <c r="J3107" s="1182"/>
      <c r="K3107" s="684">
        <f t="shared" si="2671"/>
        <v>1</v>
      </c>
      <c r="L3107" s="708">
        <v>1</v>
      </c>
      <c r="M3107" s="709">
        <f t="shared" si="2651"/>
        <v>1</v>
      </c>
      <c r="N3107" s="362">
        <f t="shared" si="2725"/>
        <v>1</v>
      </c>
      <c r="O3107" s="1763" t="str">
        <f t="shared" si="2726"/>
        <v>EMBAL_ADOS_1600x600x220mm</v>
      </c>
      <c r="P3107" s="1764" t="str">
        <f t="shared" si="2727"/>
        <v>Embalaje especial completamente cerrado para tablero adosado de 1600x600x220mm</v>
      </c>
      <c r="Q3107" s="120" t="str">
        <f t="shared" si="2728"/>
        <v>EMBAL_ADOS_1600x600x220mm</v>
      </c>
      <c r="R3107" s="185"/>
    </row>
    <row r="3108" spans="1:18" s="185" customFormat="1" ht="18" customHeight="1">
      <c r="A3108" s="1785"/>
      <c r="B3108" s="714"/>
      <c r="C3108" s="1893" t="s">
        <v>729</v>
      </c>
      <c r="D3108" s="173"/>
      <c r="E3108" s="1786"/>
      <c r="F3108" s="1787"/>
      <c r="G3108" s="710"/>
      <c r="H3108" s="710"/>
      <c r="I3108" s="710"/>
      <c r="J3108" s="711"/>
      <c r="K3108" s="684">
        <f t="shared" si="2671"/>
        <v>1</v>
      </c>
      <c r="L3108" s="708">
        <v>1</v>
      </c>
      <c r="M3108" s="709">
        <f t="shared" si="2651"/>
        <v>1</v>
      </c>
      <c r="N3108" s="362" t="str">
        <f t="shared" si="2725"/>
        <v/>
      </c>
      <c r="O3108" s="1763" t="str">
        <f t="shared" si="2726"/>
        <v/>
      </c>
      <c r="P3108" s="1764" t="str">
        <f t="shared" si="2727"/>
        <v/>
      </c>
      <c r="Q3108" s="120" t="str">
        <f t="shared" si="2728"/>
        <v/>
      </c>
    </row>
    <row r="3109" spans="1:18" s="695" customFormat="1" ht="18" customHeight="1">
      <c r="A3109" s="693"/>
      <c r="B3109" s="1794">
        <v>1</v>
      </c>
      <c r="C3109" s="1420" t="s">
        <v>316</v>
      </c>
      <c r="D3109" s="1790"/>
      <c r="E3109" s="1795"/>
      <c r="F3109" s="1796"/>
      <c r="G3109" s="696"/>
      <c r="H3109" s="696"/>
      <c r="I3109" s="696"/>
      <c r="J3109" s="697"/>
      <c r="K3109" s="684">
        <f t="shared" si="2671"/>
        <v>1</v>
      </c>
      <c r="L3109" s="708">
        <v>1</v>
      </c>
      <c r="M3109" s="709">
        <f t="shared" si="2651"/>
        <v>1</v>
      </c>
      <c r="N3109" s="362" t="str">
        <f t="shared" si="2725"/>
        <v/>
      </c>
      <c r="O3109" s="1763" t="str">
        <f t="shared" si="2726"/>
        <v/>
      </c>
      <c r="P3109" s="1764" t="str">
        <f t="shared" si="2727"/>
        <v/>
      </c>
      <c r="Q3109" s="120" t="str">
        <f t="shared" si="2728"/>
        <v/>
      </c>
      <c r="R3109" s="185"/>
    </row>
    <row r="3110" spans="1:18" s="185" customFormat="1" ht="18" customHeight="1">
      <c r="A3110" s="1785"/>
      <c r="B3110" s="714"/>
      <c r="C3110" s="1893" t="s">
        <v>729</v>
      </c>
      <c r="D3110" s="173"/>
      <c r="E3110" s="1786"/>
      <c r="F3110" s="1787"/>
      <c r="G3110" s="710"/>
      <c r="H3110" s="710"/>
      <c r="I3110" s="710"/>
      <c r="J3110" s="711"/>
      <c r="K3110" s="684">
        <f t="shared" si="2671"/>
        <v>1</v>
      </c>
      <c r="L3110" s="708">
        <v>1</v>
      </c>
      <c r="M3110" s="709">
        <f t="shared" si="2651"/>
        <v>1</v>
      </c>
      <c r="N3110" s="362" t="str">
        <f t="shared" si="2725"/>
        <v/>
      </c>
      <c r="O3110" s="1763" t="str">
        <f t="shared" si="2726"/>
        <v/>
      </c>
      <c r="P3110" s="1764" t="str">
        <f t="shared" si="2727"/>
        <v/>
      </c>
      <c r="Q3110" s="120" t="str">
        <f t="shared" si="2728"/>
        <v/>
      </c>
    </row>
    <row r="3111" spans="1:18" s="897" customFormat="1" ht="18" customHeight="1">
      <c r="A3111" s="693"/>
      <c r="B3111" s="895">
        <v>15</v>
      </c>
      <c r="C3111" s="1848" t="str">
        <f>VLOOKUP(D3111,base_datos,6,FALSE)</f>
        <v>Rotulado por circuito.</v>
      </c>
      <c r="D3111" s="1579" t="s">
        <v>3067</v>
      </c>
      <c r="E3111" s="1581">
        <f>VLOOKUP(D3111,base_datos,5,FALSE)</f>
        <v>0.7</v>
      </c>
      <c r="F3111" s="1581">
        <f t="shared" ref="F3111:F3115" si="2734">+E3111*B3111</f>
        <v>10.5</v>
      </c>
      <c r="G3111" s="1772"/>
      <c r="H3111" s="1772"/>
      <c r="I3111" s="1772"/>
      <c r="J3111" s="896"/>
      <c r="K3111" s="684">
        <f t="shared" si="2671"/>
        <v>1</v>
      </c>
      <c r="L3111" s="708">
        <v>1</v>
      </c>
      <c r="M3111" s="709">
        <f t="shared" si="2651"/>
        <v>15</v>
      </c>
      <c r="N3111" s="362" t="str">
        <f t="shared" si="2725"/>
        <v/>
      </c>
      <c r="O3111" s="1763" t="str">
        <f t="shared" si="2726"/>
        <v/>
      </c>
      <c r="P3111" s="1764" t="str">
        <f t="shared" si="2727"/>
        <v/>
      </c>
      <c r="Q3111" s="120" t="str">
        <f t="shared" si="2728"/>
        <v/>
      </c>
    </row>
    <row r="3112" spans="1:18" s="897" customFormat="1" ht="18" customHeight="1">
      <c r="A3112" s="693"/>
      <c r="B3112" s="895">
        <v>1</v>
      </c>
      <c r="C3112" s="1848" t="str">
        <f>VLOOKUP(D3112,base_datos,6,FALSE)</f>
        <v>Rotulado para TAG - tablero de distribución.</v>
      </c>
      <c r="D3112" s="1579" t="s">
        <v>3066</v>
      </c>
      <c r="E3112" s="1581">
        <f>VLOOKUP(D3112,base_datos,5,FALSE)</f>
        <v>1.5</v>
      </c>
      <c r="F3112" s="1581">
        <f t="shared" si="2734"/>
        <v>1.5</v>
      </c>
      <c r="G3112" s="1772"/>
      <c r="H3112" s="1772"/>
      <c r="I3112" s="1772"/>
      <c r="J3112" s="896"/>
      <c r="K3112" s="684">
        <f t="shared" si="2671"/>
        <v>1</v>
      </c>
      <c r="L3112" s="708">
        <v>1</v>
      </c>
      <c r="M3112" s="709">
        <f t="shared" si="2651"/>
        <v>1</v>
      </c>
      <c r="N3112" s="362" t="str">
        <f t="shared" si="2725"/>
        <v/>
      </c>
      <c r="O3112" s="1763" t="str">
        <f t="shared" si="2726"/>
        <v/>
      </c>
      <c r="P3112" s="1764" t="str">
        <f t="shared" si="2727"/>
        <v/>
      </c>
      <c r="Q3112" s="120" t="str">
        <f t="shared" si="2728"/>
        <v/>
      </c>
    </row>
    <row r="3113" spans="1:18" s="1237" customFormat="1" ht="18" customHeight="1">
      <c r="A3113" s="1767"/>
      <c r="B3113" s="2093">
        <v>1</v>
      </c>
      <c r="C3113" s="694" t="s">
        <v>12552</v>
      </c>
      <c r="D3113" s="1888"/>
      <c r="E3113" s="1580">
        <f>E3115*15%</f>
        <v>33</v>
      </c>
      <c r="F3113" s="1581">
        <f t="shared" si="2734"/>
        <v>33</v>
      </c>
      <c r="G3113" s="1774"/>
      <c r="H3113" s="1774"/>
      <c r="I3113" s="1774"/>
      <c r="J3113" s="1181"/>
      <c r="K3113" s="684">
        <f t="shared" si="2671"/>
        <v>1</v>
      </c>
      <c r="L3113" s="708">
        <v>1</v>
      </c>
      <c r="M3113" s="709">
        <f t="shared" si="2651"/>
        <v>1</v>
      </c>
      <c r="N3113" s="362" t="str">
        <f t="shared" si="2725"/>
        <v/>
      </c>
      <c r="O3113" s="1763" t="str">
        <f t="shared" si="2726"/>
        <v/>
      </c>
      <c r="P3113" s="1764" t="str">
        <f t="shared" si="2727"/>
        <v/>
      </c>
      <c r="Q3113" s="120" t="str">
        <f t="shared" si="2728"/>
        <v/>
      </c>
      <c r="R3113" s="1765"/>
    </row>
    <row r="3114" spans="1:18" s="1237" customFormat="1" ht="18" customHeight="1">
      <c r="A3114" s="1767"/>
      <c r="B3114" s="1773">
        <v>1</v>
      </c>
      <c r="C3114" s="694" t="s">
        <v>12559</v>
      </c>
      <c r="D3114" s="1888"/>
      <c r="E3114" s="1999">
        <f>E3115*20%</f>
        <v>44</v>
      </c>
      <c r="F3114" s="1581">
        <f t="shared" si="2734"/>
        <v>44</v>
      </c>
      <c r="G3114" s="1774"/>
      <c r="H3114" s="1774"/>
      <c r="I3114" s="1774"/>
      <c r="J3114" s="1181"/>
      <c r="K3114" s="684">
        <f t="shared" si="2671"/>
        <v>1</v>
      </c>
      <c r="L3114" s="708">
        <v>1</v>
      </c>
      <c r="M3114" s="709">
        <f t="shared" si="2651"/>
        <v>1</v>
      </c>
      <c r="N3114" s="362" t="str">
        <f t="shared" si="2725"/>
        <v/>
      </c>
      <c r="O3114" s="1763" t="str">
        <f t="shared" si="2726"/>
        <v/>
      </c>
      <c r="P3114" s="1764" t="str">
        <f t="shared" si="2727"/>
        <v/>
      </c>
      <c r="Q3114" s="120" t="str">
        <f t="shared" si="2728"/>
        <v/>
      </c>
      <c r="R3114" s="1765"/>
    </row>
    <row r="3115" spans="1:18" s="1237" customFormat="1" ht="18" customHeight="1">
      <c r="A3115" s="1767"/>
      <c r="B3115" s="1773">
        <v>2</v>
      </c>
      <c r="C3115" s="1943" t="s">
        <v>12528</v>
      </c>
      <c r="D3115" s="1897"/>
      <c r="E3115" s="1581">
        <v>220</v>
      </c>
      <c r="F3115" s="1581">
        <f t="shared" si="2734"/>
        <v>440</v>
      </c>
      <c r="G3115" s="1774"/>
      <c r="H3115" s="1774"/>
      <c r="I3115" s="1774"/>
      <c r="J3115" s="1181"/>
      <c r="K3115" s="684">
        <f t="shared" si="2671"/>
        <v>1</v>
      </c>
      <c r="L3115" s="708">
        <v>1</v>
      </c>
      <c r="M3115" s="709">
        <f t="shared" si="2651"/>
        <v>2</v>
      </c>
      <c r="N3115" s="362" t="str">
        <f t="shared" si="2725"/>
        <v/>
      </c>
      <c r="O3115" s="1763" t="str">
        <f t="shared" si="2726"/>
        <v/>
      </c>
      <c r="P3115" s="1764" t="str">
        <f t="shared" si="2727"/>
        <v/>
      </c>
      <c r="Q3115" s="120" t="str">
        <f t="shared" si="2728"/>
        <v/>
      </c>
      <c r="R3115" s="1765"/>
    </row>
    <row r="3116" spans="1:18" s="2472" customFormat="1" ht="18" customHeight="1">
      <c r="A3116" s="2464"/>
      <c r="B3116" s="2465"/>
      <c r="C3116" s="2466" t="s">
        <v>12544</v>
      </c>
      <c r="D3116" s="2467"/>
      <c r="E3116" s="2468"/>
      <c r="F3116" s="2469"/>
      <c r="G3116" s="2470"/>
      <c r="H3116" s="2470"/>
      <c r="I3116" s="2470"/>
      <c r="J3116" s="2471"/>
      <c r="K3116" s="2426">
        <f>K3113</f>
        <v>1</v>
      </c>
      <c r="L3116" s="2463">
        <v>1</v>
      </c>
      <c r="M3116" s="2428">
        <f>IF(B3116="",1,B3116)</f>
        <v>1</v>
      </c>
      <c r="N3116" s="2429" t="str">
        <f>IF(O3116&lt;&gt;"",K3116*L3116*M3116,"")</f>
        <v/>
      </c>
      <c r="O3116" s="2430" t="str">
        <f>IF(D3116&lt;&gt;"",IF(VLOOKUP(D3116,base_datos,7,FALSE)&lt;&gt;"",VLOOKUP(D3116,base_datos,7,FALSE),""),"")</f>
        <v/>
      </c>
      <c r="P3116" s="2431" t="str">
        <f>IF(O3116&lt;&gt;"",VLOOKUP(D3116,base_datos,6,FALSE),"")</f>
        <v/>
      </c>
      <c r="Q3116" s="2432" t="str">
        <f>IF(O3116&lt;&gt;"",D3116,"")</f>
        <v/>
      </c>
      <c r="R3116" s="2433"/>
    </row>
    <row r="3117" spans="1:18" s="2472" customFormat="1" ht="18" customHeight="1">
      <c r="A3117" s="2464"/>
      <c r="B3117" s="2465"/>
      <c r="C3117" s="2466"/>
      <c r="D3117" s="2467"/>
      <c r="E3117" s="2468"/>
      <c r="F3117" s="2469"/>
      <c r="G3117" s="2470"/>
      <c r="H3117" s="2470"/>
      <c r="I3117" s="2470"/>
      <c r="J3117" s="2471"/>
      <c r="K3117" s="2426">
        <f>K3114</f>
        <v>1</v>
      </c>
      <c r="L3117" s="2463">
        <v>1</v>
      </c>
      <c r="M3117" s="2428">
        <f>IF(B3117="",1,B3117)</f>
        <v>1</v>
      </c>
      <c r="N3117" s="2429"/>
      <c r="O3117" s="2430"/>
      <c r="P3117" s="2431"/>
      <c r="Q3117" s="2432"/>
      <c r="R3117" s="2433"/>
    </row>
    <row r="3118" spans="1:18" s="2480" customFormat="1">
      <c r="A3118" s="2473"/>
      <c r="B3118" s="2474">
        <v>1</v>
      </c>
      <c r="C3118" s="2475" t="str">
        <f t="shared" ref="C3118:C3119" si="2735">VLOOKUP(D3118,base_datos,6,FALSE)</f>
        <v>FOTOCELDA 1800VA 220V N/C (NF) 10 LUX STIELECTRONICA</v>
      </c>
      <c r="D3118" s="2476" t="s">
        <v>3410</v>
      </c>
      <c r="E3118" s="2477">
        <f t="shared" ref="E3118:E3119" si="2736">VLOOKUP(D3118,base_datos,5,FALSE)</f>
        <v>27.6</v>
      </c>
      <c r="F3118" s="2455">
        <f t="shared" ref="F3118:F3119" si="2737">+E3118*B3118</f>
        <v>27.6</v>
      </c>
      <c r="G3118" s="2478"/>
      <c r="H3118" s="2478"/>
      <c r="I3118" s="2478"/>
      <c r="J3118" s="2479"/>
      <c r="K3118" s="2426">
        <f t="shared" ref="K3118:K3119" si="2738">K3116</f>
        <v>1</v>
      </c>
      <c r="L3118" s="2463">
        <v>1</v>
      </c>
      <c r="M3118" s="2428">
        <f>IF(B3118="",1,B3118)</f>
        <v>1</v>
      </c>
      <c r="N3118" s="2429">
        <f>IF(O3118&lt;&gt;"",K3118*L3118*M3118,"")</f>
        <v>1</v>
      </c>
      <c r="O3118" s="2430" t="str">
        <f>IF(D3118&lt;&gt;"",IF(VLOOKUP(D3118,base_datos,7,FALSE)&lt;&gt;"",VLOOKUP(D3118,base_datos,7,FALSE),""),"")</f>
        <v>0400RTF82S</v>
      </c>
      <c r="P3118" s="2431" t="str">
        <f>IF(O3118&lt;&gt;"",VLOOKUP(D3118,base_datos,6,FALSE),"")</f>
        <v>FOTOCELDA 1800VA 220V N/C (NF) 10 LUX STIELECTRONICA</v>
      </c>
      <c r="Q3118" s="2432" t="str">
        <f>IF(O3118&lt;&gt;"",D3118,"")</f>
        <v>FOTOCELDA</v>
      </c>
    </row>
    <row r="3119" spans="1:18" s="2480" customFormat="1">
      <c r="A3119" s="2473"/>
      <c r="B3119" s="2474">
        <v>1</v>
      </c>
      <c r="C3119" s="2475" t="str">
        <f t="shared" si="2735"/>
        <v>BASE C/SOPORTE P/CONTROL FOTOCELDA P/ADOSAR STIELECTRONICA</v>
      </c>
      <c r="D3119" s="2476" t="s">
        <v>3411</v>
      </c>
      <c r="E3119" s="2477">
        <f t="shared" si="2736"/>
        <v>13.4</v>
      </c>
      <c r="F3119" s="2455">
        <f t="shared" si="2737"/>
        <v>13.4</v>
      </c>
      <c r="G3119" s="2478"/>
      <c r="H3119" s="2478"/>
      <c r="I3119" s="2478"/>
      <c r="J3119" s="2479"/>
      <c r="K3119" s="2426">
        <f t="shared" si="2738"/>
        <v>1</v>
      </c>
      <c r="L3119" s="2463">
        <v>1</v>
      </c>
      <c r="M3119" s="2428">
        <f>IF(B3119="",1,B3119)</f>
        <v>1</v>
      </c>
      <c r="N3119" s="2429">
        <f>IF(O3119&lt;&gt;"",K3119*L3119*M3119,"")</f>
        <v>1</v>
      </c>
      <c r="O3119" s="2430" t="str">
        <f>IF(D3119&lt;&gt;"",IF(VLOOKUP(D3119,base_datos,7,FALSE)&lt;&gt;"",VLOOKUP(D3119,base_datos,7,FALSE),""),"")</f>
        <v>0400TPLS476</v>
      </c>
      <c r="P3119" s="2431" t="str">
        <f>IF(O3119&lt;&gt;"",VLOOKUP(D3119,base_datos,6,FALSE),"")</f>
        <v>BASE C/SOPORTE P/CONTROL FOTOCELDA P/ADOSAR STIELECTRONICA</v>
      </c>
      <c r="Q3119" s="2432" t="str">
        <f>IF(O3119&lt;&gt;"",D3119,"")</f>
        <v>BASE_FOTOCELDA</v>
      </c>
    </row>
    <row r="3120" spans="1:18" s="120" customFormat="1" ht="18" customHeight="1" thickBot="1">
      <c r="A3120" s="1855"/>
      <c r="B3120" s="1854"/>
      <c r="C3120" s="1797"/>
      <c r="D3120" s="1889"/>
      <c r="E3120" s="1981"/>
      <c r="F3120" s="1981"/>
      <c r="G3120" s="1798"/>
      <c r="H3120" s="1798"/>
      <c r="I3120" s="1798"/>
      <c r="J3120" s="1799"/>
      <c r="K3120" s="1788"/>
      <c r="L3120" s="363"/>
      <c r="M3120" s="684"/>
      <c r="N3120" s="362" t="str">
        <f t="shared" ref="N3120:N3190" si="2739">IF(O3120&lt;&gt;"",K3120*L3120*M3120,"")</f>
        <v/>
      </c>
      <c r="O3120" s="1763" t="str">
        <f t="shared" ref="O3120:O3190" si="2740">IF(D3120&lt;&gt;"",IF(VLOOKUP(D3120,base_datos,7,FALSE)&lt;&gt;"",VLOOKUP(D3120,base_datos,7,FALSE),""),"")</f>
        <v/>
      </c>
      <c r="P3120" s="1764" t="str">
        <f t="shared" ref="P3120:P3190" si="2741">IF(O3120&lt;&gt;"",VLOOKUP(D3120,base_datos,6,FALSE),"")</f>
        <v/>
      </c>
      <c r="Q3120" s="120" t="str">
        <f t="shared" ref="Q3120:Q3190" si="2742">IF(O3120&lt;&gt;"",D3120,"")</f>
        <v/>
      </c>
      <c r="R3120" s="185"/>
    </row>
    <row r="3121" spans="1:18" s="120" customFormat="1" ht="18" customHeight="1" thickBot="1">
      <c r="A3121" s="2233">
        <v>49.1</v>
      </c>
      <c r="B3121" s="1852">
        <v>1</v>
      </c>
      <c r="C3121" s="1756" t="s">
        <v>13057</v>
      </c>
      <c r="D3121" s="1588"/>
      <c r="E3121" s="1589"/>
      <c r="F3121" s="1589"/>
      <c r="G3121" s="1757">
        <f>SUM(F3122:F3135)</f>
        <v>97.85</v>
      </c>
      <c r="H3121" s="1758">
        <f>ROUNDUP(G3121*(1-$D$6),0)</f>
        <v>98</v>
      </c>
      <c r="I3121" s="1757">
        <f>ROUNDUP(H3121*$D$5,0)</f>
        <v>334</v>
      </c>
      <c r="J3121" s="1759">
        <f>+I3121*B3121</f>
        <v>334</v>
      </c>
      <c r="K3121" s="1788">
        <f>B3121</f>
        <v>1</v>
      </c>
      <c r="L3121" s="363"/>
      <c r="M3121" s="684"/>
      <c r="N3121" s="362"/>
      <c r="O3121" s="1763"/>
      <c r="P3121" s="1764"/>
      <c r="Q3121" s="120" t="str">
        <f t="shared" ref="Q3121:Q3122" si="2743">IF(O3121&lt;&gt;"",D3121,"")</f>
        <v/>
      </c>
      <c r="R3121" s="185"/>
    </row>
    <row r="3122" spans="1:18" s="120" customFormat="1">
      <c r="A3122" s="685" t="s">
        <v>3064</v>
      </c>
      <c r="B3122" s="1779"/>
      <c r="C3122" s="1954"/>
      <c r="D3122" s="2213"/>
      <c r="E3122" s="1789"/>
      <c r="F3122" s="1789"/>
      <c r="G3122" s="686"/>
      <c r="H3122" s="686"/>
      <c r="I3122" s="686"/>
      <c r="J3122" s="1768"/>
      <c r="K3122" s="684">
        <f t="shared" ref="K3122:K3134" si="2744">K3121</f>
        <v>1</v>
      </c>
      <c r="L3122" s="363">
        <v>1</v>
      </c>
      <c r="M3122" s="684">
        <f>IF(B3122="",1,B3122)</f>
        <v>1</v>
      </c>
      <c r="N3122" s="362" t="str">
        <f t="shared" ref="N3122" si="2745">IF(O3122&lt;&gt;"",K3122*L3122*M3122,"")</f>
        <v/>
      </c>
      <c r="O3122" s="1763" t="str">
        <f t="shared" ref="O3122" si="2746">IF(D3122&lt;&gt;"",IF(VLOOKUP(D3122,base_datos,7,FALSE)&lt;&gt;"",VLOOKUP(D3122,base_datos,7,FALSE),""),"")</f>
        <v/>
      </c>
      <c r="P3122" s="1764" t="str">
        <f t="shared" ref="P3122" si="2747">IF(O3122&lt;&gt;"",VLOOKUP(D3122,base_datos,6,FALSE),"")</f>
        <v/>
      </c>
      <c r="Q3122" s="120" t="str">
        <f t="shared" si="2743"/>
        <v/>
      </c>
    </row>
    <row r="3123" spans="1:18" s="690" customFormat="1" ht="18" customHeight="1">
      <c r="A3123" s="687" t="s">
        <v>4021</v>
      </c>
      <c r="B3123" s="2226">
        <v>1</v>
      </c>
      <c r="C3123" s="1954" t="s">
        <v>13058</v>
      </c>
      <c r="D3123" s="2110"/>
      <c r="E3123" s="1782"/>
      <c r="F3123" s="1908">
        <f>SUM(F3124:F3128)*(B3123-1)</f>
        <v>0</v>
      </c>
      <c r="G3123" s="1761"/>
      <c r="H3123" s="1761"/>
      <c r="I3123" s="1761"/>
      <c r="J3123" s="1783"/>
      <c r="K3123" s="684">
        <f t="shared" si="2744"/>
        <v>1</v>
      </c>
      <c r="L3123" s="2225">
        <f>B3123</f>
        <v>1</v>
      </c>
      <c r="M3123" s="709">
        <f t="shared" ref="M3123:M3125" si="2748">IF(B3123="",1,B3123)</f>
        <v>1</v>
      </c>
      <c r="N3123" s="362" t="str">
        <f>IF(O3123&lt;&gt;"",K3123*L3123*M3123,"")</f>
        <v/>
      </c>
      <c r="O3123" s="1763" t="str">
        <f>IF(D3123&lt;&gt;"",IF(VLOOKUP(D3123,base_datos,7,FALSE)&lt;&gt;"",VLOOKUP(D3123,base_datos,7,FALSE),""),"")</f>
        <v/>
      </c>
      <c r="P3123" s="1764" t="str">
        <f>IF(O3123&lt;&gt;"",VLOOKUP(D3123,base_datos,6,FALSE),"")</f>
        <v/>
      </c>
      <c r="Q3123" s="120" t="str">
        <f>IF(O3123&lt;&gt;"",D3123,"")</f>
        <v/>
      </c>
      <c r="R3123" s="185"/>
    </row>
    <row r="3124" spans="1:18" s="2434" customFormat="1" ht="18" customHeight="1">
      <c r="A3124" s="2418" t="s">
        <v>4136</v>
      </c>
      <c r="B3124" s="2435">
        <v>1</v>
      </c>
      <c r="C3124" s="2436" t="str">
        <f>VLOOKUP(D3124,base_datos,6,FALSE)</f>
        <v>Dado Interruptor unipolar de 16A,  250V, linea Magic 5001, marca BTICINO.</v>
      </c>
      <c r="D3124" s="2437" t="s">
        <v>13868</v>
      </c>
      <c r="E3124" s="2422">
        <f>VLOOKUP(D3124,base_datos,5,FALSE)</f>
        <v>8.5</v>
      </c>
      <c r="F3124" s="2438">
        <f t="shared" ref="F3124" si="2749">+E3124*B3124</f>
        <v>8.5</v>
      </c>
      <c r="G3124" s="2424"/>
      <c r="H3124" s="2424"/>
      <c r="I3124" s="2424"/>
      <c r="J3124" s="2425"/>
      <c r="K3124" s="2426">
        <f t="shared" si="2744"/>
        <v>1</v>
      </c>
      <c r="L3124" s="2427">
        <f>L3123</f>
        <v>1</v>
      </c>
      <c r="M3124" s="2428">
        <f t="shared" si="2748"/>
        <v>1</v>
      </c>
      <c r="N3124" s="2429" t="str">
        <f>IF(O3124&lt;&gt;"",K3124*L3124*M3124,"")</f>
        <v/>
      </c>
      <c r="O3124" s="2430" t="str">
        <f>IF(D3124&lt;&gt;"",IF(VLOOKUP(D3124,base_datos,7,FALSE)&lt;&gt;"",VLOOKUP(D3124,base_datos,7,FALSE),""),"")</f>
        <v/>
      </c>
      <c r="P3124" s="2431" t="str">
        <f>IF(O3124&lt;&gt;"",VLOOKUP(D3124,base_datos,6,FALSE),"")</f>
        <v/>
      </c>
      <c r="Q3124" s="2432" t="str">
        <f>IF(O3124&lt;&gt;"",D3124,"")</f>
        <v/>
      </c>
      <c r="R3124" s="2433"/>
    </row>
    <row r="3125" spans="1:18" s="120" customFormat="1">
      <c r="A3125" s="687"/>
      <c r="B3125" s="1781">
        <v>1</v>
      </c>
      <c r="C3125" s="1915" t="s">
        <v>3366</v>
      </c>
      <c r="D3125" s="314"/>
      <c r="E3125" s="1782"/>
      <c r="F3125" s="1923"/>
      <c r="G3125" s="686"/>
      <c r="H3125" s="686"/>
      <c r="I3125" s="686"/>
      <c r="J3125" s="688"/>
      <c r="K3125" s="684">
        <f>K3126</f>
        <v>1</v>
      </c>
      <c r="L3125" s="2225">
        <f>L3126</f>
        <v>1</v>
      </c>
      <c r="M3125" s="709">
        <f t="shared" si="2748"/>
        <v>1</v>
      </c>
      <c r="N3125" s="362" t="str">
        <f t="shared" ref="N3125" si="2750">IF(O3125&lt;&gt;"",K3125*L3125*M3125,"")</f>
        <v/>
      </c>
      <c r="O3125" s="1763" t="str">
        <f t="shared" ref="O3125" si="2751">IF(D3125&lt;&gt;"",IF(VLOOKUP(D3125,base_datos,7,FALSE)&lt;&gt;"",VLOOKUP(D3125,base_datos,7,FALSE),""),"")</f>
        <v/>
      </c>
      <c r="P3125" s="1764" t="str">
        <f t="shared" ref="P3125" si="2752">IF(O3125&lt;&gt;"",VLOOKUP(D3125,base_datos,6,FALSE),"")</f>
        <v/>
      </c>
      <c r="Q3125" s="120" t="str">
        <f t="shared" ref="Q3125" si="2753">IF(O3125&lt;&gt;"",D3125,"")</f>
        <v/>
      </c>
    </row>
    <row r="3126" spans="1:18" s="695" customFormat="1" ht="18" customHeight="1">
      <c r="A3126" s="693"/>
      <c r="B3126" s="1922">
        <v>1</v>
      </c>
      <c r="C3126" s="721" t="str">
        <f t="shared" ref="C3126" si="2754">VLOOKUP(D3126,base_datos,6,FALSE)</f>
        <v>Base portafusibles + Fusibles de protección para control.</v>
      </c>
      <c r="D3126" s="2222" t="s">
        <v>453</v>
      </c>
      <c r="E3126" s="1796">
        <f t="shared" ref="E3126" si="2755">VLOOKUP(D3126,base_datos,5,FALSE)</f>
        <v>8.1750000000000007</v>
      </c>
      <c r="F3126" s="1923">
        <f>+E3126*B3126</f>
        <v>8.1750000000000007</v>
      </c>
      <c r="G3126" s="696"/>
      <c r="H3126" s="696"/>
      <c r="I3126" s="696"/>
      <c r="J3126" s="697"/>
      <c r="K3126" s="684">
        <f>K3124</f>
        <v>1</v>
      </c>
      <c r="L3126" s="2225">
        <f>L3124</f>
        <v>1</v>
      </c>
      <c r="M3126" s="709">
        <f>IF(B3126="",1,B3126)</f>
        <v>1</v>
      </c>
      <c r="N3126" s="362" t="str">
        <f>IF(O3126&lt;&gt;"",K3126*L3126*M3126,"")</f>
        <v/>
      </c>
      <c r="O3126" s="1763" t="str">
        <f>IF(D3126&lt;&gt;"",IF(VLOOKUP(D3126,base_datos,7,FALSE)&lt;&gt;"",VLOOKUP(D3126,base_datos,7,FALSE),""),"")</f>
        <v/>
      </c>
      <c r="P3126" s="1764" t="str">
        <f>IF(O3126&lt;&gt;"",VLOOKUP(D3126,base_datos,6,FALSE),"")</f>
        <v/>
      </c>
      <c r="Q3126" s="120" t="str">
        <f>IF(O3126&lt;&gt;"",D3126,"")</f>
        <v/>
      </c>
      <c r="R3126" s="185"/>
    </row>
    <row r="3127" spans="1:18" s="695" customFormat="1" ht="18" customHeight="1">
      <c r="A3127" s="693"/>
      <c r="B3127" s="1922">
        <v>6</v>
      </c>
      <c r="C3127" s="721" t="str">
        <f>VLOOKUP(D3127,base_datos,6,FALSE)</f>
        <v>Borne 4mm2.</v>
      </c>
      <c r="D3127" s="2222" t="s">
        <v>437</v>
      </c>
      <c r="E3127" s="1796">
        <f>VLOOKUP(D3127,base_datos,5,FALSE)</f>
        <v>2.5</v>
      </c>
      <c r="F3127" s="1923">
        <f t="shared" ref="F3127:F3128" si="2756">+E3127*B3127</f>
        <v>15</v>
      </c>
      <c r="G3127" s="696"/>
      <c r="H3127" s="696"/>
      <c r="I3127" s="696"/>
      <c r="J3127" s="697"/>
      <c r="K3127" s="684">
        <f>K3125</f>
        <v>1</v>
      </c>
      <c r="L3127" s="708">
        <v>1</v>
      </c>
      <c r="M3127" s="709">
        <f>IF(B3127="",1,B3127)</f>
        <v>6</v>
      </c>
      <c r="N3127" s="362" t="str">
        <f>IF(O3127&lt;&gt;"",K3127*L3127*M3127,"")</f>
        <v/>
      </c>
      <c r="O3127" s="1763" t="str">
        <f>IF(D3127&lt;&gt;"",IF(VLOOKUP(D3127,base_datos,7,FALSE)&lt;&gt;"",VLOOKUP(D3127,base_datos,7,FALSE),""),"")</f>
        <v/>
      </c>
      <c r="P3127" s="1764" t="str">
        <f>IF(O3127&lt;&gt;"",VLOOKUP(D3127,base_datos,6,FALSE),"")</f>
        <v/>
      </c>
      <c r="Q3127" s="120" t="str">
        <f>IF(O3127&lt;&gt;"",D3127,"")</f>
        <v/>
      </c>
      <c r="R3127" s="185"/>
    </row>
    <row r="3128" spans="1:18" s="695" customFormat="1" ht="18" customHeight="1">
      <c r="A3128" s="693"/>
      <c r="B3128" s="1922">
        <v>1</v>
      </c>
      <c r="C3128" s="721" t="str">
        <f t="shared" ref="C3128" si="2757">VLOOKUP(D3128,base_datos,6,FALSE)</f>
        <v>Borne para neutro.</v>
      </c>
      <c r="D3128" s="36" t="s">
        <v>436</v>
      </c>
      <c r="E3128" s="1796">
        <f t="shared" ref="E3128" si="2758">VLOOKUP(D3128,base_datos,5,FALSE)</f>
        <v>4</v>
      </c>
      <c r="F3128" s="1923">
        <f t="shared" si="2756"/>
        <v>4</v>
      </c>
      <c r="G3128" s="696"/>
      <c r="H3128" s="696"/>
      <c r="I3128" s="696"/>
      <c r="J3128" s="697"/>
      <c r="K3128" s="684">
        <f t="shared" si="2744"/>
        <v>1</v>
      </c>
      <c r="L3128" s="2225">
        <f>L3125</f>
        <v>1</v>
      </c>
      <c r="M3128" s="709">
        <f t="shared" ref="M3128:M3134" si="2759">IF(B3128="",1,B3128)</f>
        <v>1</v>
      </c>
      <c r="N3128" s="362" t="str">
        <f t="shared" ref="N3128" si="2760">IF(O3128&lt;&gt;"",K3128*L3128*M3128,"")</f>
        <v/>
      </c>
      <c r="O3128" s="1763" t="str">
        <f t="shared" ref="O3128" si="2761">IF(D3128&lt;&gt;"",IF(VLOOKUP(D3128,base_datos,7,FALSE)&lt;&gt;"",VLOOKUP(D3128,base_datos,7,FALSE),""),"")</f>
        <v/>
      </c>
      <c r="P3128" s="1764" t="str">
        <f t="shared" ref="P3128" si="2762">IF(O3128&lt;&gt;"",VLOOKUP(D3128,base_datos,6,FALSE),"")</f>
        <v/>
      </c>
      <c r="Q3128" s="120" t="str">
        <f t="shared" ref="Q3128" si="2763">IF(O3128&lt;&gt;"",D3128,"")</f>
        <v/>
      </c>
      <c r="R3128" s="185"/>
    </row>
    <row r="3129" spans="1:18" s="185" customFormat="1">
      <c r="A3129" s="687"/>
      <c r="B3129" s="714"/>
      <c r="C3129" s="313" t="s">
        <v>729</v>
      </c>
      <c r="D3129" s="36"/>
      <c r="E3129" s="1971"/>
      <c r="F3129" s="1787"/>
      <c r="G3129" s="710"/>
      <c r="H3129" s="710"/>
      <c r="I3129" s="710"/>
      <c r="J3129" s="711"/>
      <c r="K3129" s="684">
        <f t="shared" si="2744"/>
        <v>1</v>
      </c>
      <c r="L3129" s="363">
        <v>1</v>
      </c>
      <c r="M3129" s="709">
        <f t="shared" si="2759"/>
        <v>1</v>
      </c>
      <c r="N3129" s="1905" t="str">
        <f>IF(O3129&lt;&gt;"",K3129*L3129*M3129,"")</f>
        <v/>
      </c>
      <c r="O3129" s="1571" t="str">
        <f>IF(D3129&lt;&gt;"",IF(VLOOKUP(D3129,base_datos,7,FALSE)&lt;&gt;"",VLOOKUP(D3129,base_datos,7,FALSE),""),"")</f>
        <v/>
      </c>
      <c r="P3129" s="320" t="str">
        <f>IF(O3129&lt;&gt;"",VLOOKUP(D3129,base_datos,6,FALSE),"")</f>
        <v/>
      </c>
      <c r="Q3129" s="185" t="str">
        <f>IF(O3129&lt;&gt;"",D3129,"")</f>
        <v/>
      </c>
    </row>
    <row r="3130" spans="1:18" s="695" customFormat="1" ht="18" customHeight="1">
      <c r="A3130" s="693"/>
      <c r="B3130" s="1922">
        <v>1</v>
      </c>
      <c r="C3130" s="721" t="str">
        <f t="shared" ref="C3130:C3131" si="2764">VLOOKUP(D3130,base_datos,6,FALSE)</f>
        <v>Base portafusibles + Fusibles de protección para control.</v>
      </c>
      <c r="D3130" s="2222" t="s">
        <v>453</v>
      </c>
      <c r="E3130" s="1796">
        <f t="shared" ref="E3130:E3131" si="2765">VLOOKUP(D3130,base_datos,5,FALSE)</f>
        <v>8.1750000000000007</v>
      </c>
      <c r="F3130" s="1581">
        <f t="shared" ref="F3130:F3131" si="2766">+E3130*B3130</f>
        <v>8.1750000000000007</v>
      </c>
      <c r="G3130" s="696"/>
      <c r="H3130" s="696"/>
      <c r="I3130" s="696"/>
      <c r="J3130" s="697"/>
      <c r="K3130" s="684">
        <f t="shared" si="2744"/>
        <v>1</v>
      </c>
      <c r="L3130" s="708">
        <v>1</v>
      </c>
      <c r="M3130" s="709">
        <f t="shared" si="2759"/>
        <v>1</v>
      </c>
      <c r="N3130" s="362" t="str">
        <f t="shared" ref="N3130:N3131" si="2767">IF(O3130&lt;&gt;"",K3130*L3130*M3130,"")</f>
        <v/>
      </c>
      <c r="O3130" s="1763" t="str">
        <f t="shared" ref="O3130:O3131" si="2768">IF(D3130&lt;&gt;"",IF(VLOOKUP(D3130,base_datos,7,FALSE)&lt;&gt;"",VLOOKUP(D3130,base_datos,7,FALSE),""),"")</f>
        <v/>
      </c>
      <c r="P3130" s="1764" t="str">
        <f t="shared" ref="P3130:P3131" si="2769">IF(O3130&lt;&gt;"",VLOOKUP(D3130,base_datos,6,FALSE),"")</f>
        <v/>
      </c>
      <c r="Q3130" s="120" t="str">
        <f t="shared" ref="Q3130:Q3131" si="2770">IF(O3130&lt;&gt;"",D3130,"")</f>
        <v/>
      </c>
      <c r="R3130" s="185"/>
    </row>
    <row r="3131" spans="1:18" s="695" customFormat="1" ht="18" customHeight="1">
      <c r="A3131" s="693"/>
      <c r="B3131" s="1922">
        <v>1</v>
      </c>
      <c r="C3131" s="721" t="str">
        <f t="shared" si="2764"/>
        <v>Borne para neutro.</v>
      </c>
      <c r="D3131" s="36" t="s">
        <v>436</v>
      </c>
      <c r="E3131" s="1796">
        <f t="shared" si="2765"/>
        <v>4</v>
      </c>
      <c r="F3131" s="1923">
        <f t="shared" si="2766"/>
        <v>4</v>
      </c>
      <c r="G3131" s="696"/>
      <c r="H3131" s="696"/>
      <c r="I3131" s="696"/>
      <c r="J3131" s="697"/>
      <c r="K3131" s="684">
        <f t="shared" si="2744"/>
        <v>1</v>
      </c>
      <c r="L3131" s="2225">
        <f t="shared" ref="L3131" si="2771">L3130</f>
        <v>1</v>
      </c>
      <c r="M3131" s="709">
        <f t="shared" si="2759"/>
        <v>1</v>
      </c>
      <c r="N3131" s="362" t="str">
        <f t="shared" si="2767"/>
        <v/>
      </c>
      <c r="O3131" s="1763" t="str">
        <f t="shared" si="2768"/>
        <v/>
      </c>
      <c r="P3131" s="1764" t="str">
        <f t="shared" si="2769"/>
        <v/>
      </c>
      <c r="Q3131" s="120" t="str">
        <f t="shared" si="2770"/>
        <v/>
      </c>
      <c r="R3131" s="185"/>
    </row>
    <row r="3132" spans="1:18" s="185" customFormat="1">
      <c r="A3132" s="687"/>
      <c r="B3132" s="714"/>
      <c r="C3132" s="313" t="s">
        <v>729</v>
      </c>
      <c r="D3132" s="36"/>
      <c r="E3132" s="1971"/>
      <c r="F3132" s="1787"/>
      <c r="G3132" s="710"/>
      <c r="H3132" s="710"/>
      <c r="I3132" s="710"/>
      <c r="J3132" s="711"/>
      <c r="K3132" s="684">
        <f t="shared" si="2744"/>
        <v>1</v>
      </c>
      <c r="L3132" s="708">
        <v>1</v>
      </c>
      <c r="M3132" s="709">
        <f t="shared" si="2759"/>
        <v>1</v>
      </c>
      <c r="N3132" s="1905" t="str">
        <f>IF(O3132&lt;&gt;"",K3132*L3132*M3132,"")</f>
        <v/>
      </c>
      <c r="O3132" s="1571" t="str">
        <f>IF(D3132&lt;&gt;"",IF(VLOOKUP(D3132,base_datos,7,FALSE)&lt;&gt;"",VLOOKUP(D3132,base_datos,7,FALSE),""),"")</f>
        <v/>
      </c>
      <c r="P3132" s="320" t="str">
        <f>IF(O3132&lt;&gt;"",VLOOKUP(D3132,base_datos,6,FALSE),"")</f>
        <v/>
      </c>
      <c r="Q3132" s="185" t="str">
        <f>IF(O3132&lt;&gt;"",D3132,"")</f>
        <v/>
      </c>
    </row>
    <row r="3133" spans="1:18" s="695" customFormat="1">
      <c r="A3133" s="691"/>
      <c r="B3133" s="2214">
        <v>1</v>
      </c>
      <c r="C3133" s="2215" t="s">
        <v>316</v>
      </c>
      <c r="D3133" s="2223"/>
      <c r="E3133" s="2227"/>
      <c r="F3133" s="2227"/>
      <c r="G3133" s="696"/>
      <c r="H3133" s="696"/>
      <c r="I3133" s="696"/>
      <c r="J3133" s="697"/>
      <c r="K3133" s="684">
        <f t="shared" si="2744"/>
        <v>1</v>
      </c>
      <c r="L3133" s="708">
        <v>1</v>
      </c>
      <c r="M3133" s="709">
        <f t="shared" si="2759"/>
        <v>1</v>
      </c>
      <c r="N3133" s="362" t="str">
        <f t="shared" ref="N3133:N3134" si="2772">IF(O3133&lt;&gt;"",K3133*L3133*M3133,"")</f>
        <v/>
      </c>
      <c r="O3133" s="1763" t="str">
        <f t="shared" ref="O3133:O3134" si="2773">IF(D3133&lt;&gt;"",IF(VLOOKUP(D3133,base_datos,7,FALSE)&lt;&gt;"",VLOOKUP(D3133,base_datos,7,FALSE),""),"")</f>
        <v/>
      </c>
      <c r="P3133" s="1764" t="str">
        <f t="shared" ref="P3133:P3134" si="2774">IF(O3133&lt;&gt;"",VLOOKUP(D3133,base_datos,6,FALSE),"")</f>
        <v/>
      </c>
      <c r="Q3133" s="120" t="str">
        <f t="shared" ref="Q3133:Q3134" si="2775">IF(O3133&lt;&gt;"",D3133,"")</f>
        <v/>
      </c>
    </row>
    <row r="3134" spans="1:18" s="1979" customFormat="1">
      <c r="A3134" s="698"/>
      <c r="B3134" s="1967">
        <v>1</v>
      </c>
      <c r="C3134" s="694" t="s">
        <v>13039</v>
      </c>
      <c r="D3134" s="2218"/>
      <c r="E3134" s="1968">
        <v>50</v>
      </c>
      <c r="F3134" s="1968">
        <f>+E3134*B3134</f>
        <v>50</v>
      </c>
      <c r="G3134" s="2216"/>
      <c r="H3134" s="2216"/>
      <c r="I3134" s="2216"/>
      <c r="J3134" s="2217"/>
      <c r="K3134" s="684">
        <f t="shared" si="2744"/>
        <v>1</v>
      </c>
      <c r="L3134" s="363">
        <v>1</v>
      </c>
      <c r="M3134" s="684">
        <f t="shared" si="2759"/>
        <v>1</v>
      </c>
      <c r="N3134" s="362" t="str">
        <f t="shared" si="2772"/>
        <v/>
      </c>
      <c r="O3134" s="1763" t="str">
        <f t="shared" si="2773"/>
        <v/>
      </c>
      <c r="P3134" s="1764" t="str">
        <f t="shared" si="2774"/>
        <v/>
      </c>
      <c r="Q3134" s="120" t="str">
        <f t="shared" si="2775"/>
        <v/>
      </c>
    </row>
    <row r="3135" spans="1:18" s="120" customFormat="1" ht="13.8" thickBot="1">
      <c r="A3135" s="699"/>
      <c r="B3135" s="1775"/>
      <c r="C3135" s="1776"/>
      <c r="D3135" s="1885"/>
      <c r="E3135" s="1981"/>
      <c r="F3135" s="1981"/>
      <c r="G3135" s="1777"/>
      <c r="H3135" s="1777"/>
      <c r="I3135" s="1777"/>
      <c r="J3135" s="1778"/>
      <c r="K3135" s="684"/>
      <c r="L3135" s="363"/>
      <c r="M3135" s="684"/>
      <c r="N3135" s="362"/>
      <c r="O3135" s="1763"/>
      <c r="P3135" s="1764"/>
    </row>
    <row r="3136" spans="1:18" s="120" customFormat="1" ht="18" customHeight="1" thickBot="1">
      <c r="A3136" s="2233">
        <v>49.2</v>
      </c>
      <c r="B3136" s="1852">
        <v>1</v>
      </c>
      <c r="C3136" s="1756" t="s">
        <v>13059</v>
      </c>
      <c r="D3136" s="1588"/>
      <c r="E3136" s="1589"/>
      <c r="F3136" s="1589"/>
      <c r="G3136" s="1757">
        <f>SUM(F3137:F3150)</f>
        <v>169.2</v>
      </c>
      <c r="H3136" s="1758">
        <f>ROUNDUP(G3136*(1-$D$6),0)</f>
        <v>170</v>
      </c>
      <c r="I3136" s="1757">
        <f>ROUNDUP(H3136*$D$5,0)</f>
        <v>578</v>
      </c>
      <c r="J3136" s="1759">
        <f>+I3136*B3136</f>
        <v>578</v>
      </c>
      <c r="K3136" s="1788">
        <f>B3136</f>
        <v>1</v>
      </c>
      <c r="L3136" s="363"/>
      <c r="M3136" s="684"/>
      <c r="N3136" s="362"/>
      <c r="O3136" s="1763"/>
      <c r="P3136" s="1764"/>
      <c r="Q3136" s="120" t="str">
        <f t="shared" ref="Q3136:Q3137" si="2776">IF(O3136&lt;&gt;"",D3136,"")</f>
        <v/>
      </c>
      <c r="R3136" s="185"/>
    </row>
    <row r="3137" spans="1:18" s="120" customFormat="1">
      <c r="A3137" s="685" t="s">
        <v>3064</v>
      </c>
      <c r="B3137" s="1779"/>
      <c r="C3137" s="1954"/>
      <c r="D3137" s="2213"/>
      <c r="E3137" s="1789"/>
      <c r="F3137" s="1789"/>
      <c r="G3137" s="686"/>
      <c r="H3137" s="686"/>
      <c r="I3137" s="686"/>
      <c r="J3137" s="1768"/>
      <c r="K3137" s="684">
        <f t="shared" ref="K3137:K3149" si="2777">K3136</f>
        <v>1</v>
      </c>
      <c r="L3137" s="363">
        <v>1</v>
      </c>
      <c r="M3137" s="684">
        <f>IF(B3137="",1,B3137)</f>
        <v>1</v>
      </c>
      <c r="N3137" s="362" t="str">
        <f t="shared" ref="N3137" si="2778">IF(O3137&lt;&gt;"",K3137*L3137*M3137,"")</f>
        <v/>
      </c>
      <c r="O3137" s="1763" t="str">
        <f t="shared" ref="O3137" si="2779">IF(D3137&lt;&gt;"",IF(VLOOKUP(D3137,base_datos,7,FALSE)&lt;&gt;"",VLOOKUP(D3137,base_datos,7,FALSE),""),"")</f>
        <v/>
      </c>
      <c r="P3137" s="1764" t="str">
        <f t="shared" ref="P3137" si="2780">IF(O3137&lt;&gt;"",VLOOKUP(D3137,base_datos,6,FALSE),"")</f>
        <v/>
      </c>
      <c r="Q3137" s="120" t="str">
        <f t="shared" si="2776"/>
        <v/>
      </c>
    </row>
    <row r="3138" spans="1:18" s="690" customFormat="1" ht="18" customHeight="1">
      <c r="A3138" s="687" t="s">
        <v>4021</v>
      </c>
      <c r="B3138" s="2226">
        <v>3</v>
      </c>
      <c r="C3138" s="1954" t="s">
        <v>13058</v>
      </c>
      <c r="D3138" s="2110"/>
      <c r="E3138" s="1782"/>
      <c r="F3138" s="1908">
        <f>SUM(F3139:F3143)*(B3138-1)</f>
        <v>71.349999999999994</v>
      </c>
      <c r="G3138" s="1761"/>
      <c r="H3138" s="1761"/>
      <c r="I3138" s="1761"/>
      <c r="J3138" s="1783"/>
      <c r="K3138" s="684">
        <f t="shared" si="2777"/>
        <v>1</v>
      </c>
      <c r="L3138" s="2225">
        <f>B3138</f>
        <v>3</v>
      </c>
      <c r="M3138" s="709">
        <f t="shared" ref="M3138:M3140" si="2781">IF(B3138="",1,B3138)</f>
        <v>3</v>
      </c>
      <c r="N3138" s="362" t="str">
        <f>IF(O3138&lt;&gt;"",K3138*L3138*M3138,"")</f>
        <v/>
      </c>
      <c r="O3138" s="1763" t="str">
        <f>IF(D3138&lt;&gt;"",IF(VLOOKUP(D3138,base_datos,7,FALSE)&lt;&gt;"",VLOOKUP(D3138,base_datos,7,FALSE),""),"")</f>
        <v/>
      </c>
      <c r="P3138" s="1764" t="str">
        <f>IF(O3138&lt;&gt;"",VLOOKUP(D3138,base_datos,6,FALSE),"")</f>
        <v/>
      </c>
      <c r="Q3138" s="120" t="str">
        <f>IF(O3138&lt;&gt;"",D3138,"")</f>
        <v/>
      </c>
      <c r="R3138" s="185"/>
    </row>
    <row r="3139" spans="1:18" s="2434" customFormat="1" ht="18" customHeight="1">
      <c r="A3139" s="2418" t="s">
        <v>4136</v>
      </c>
      <c r="B3139" s="2435">
        <v>1</v>
      </c>
      <c r="C3139" s="2436" t="str">
        <f>VLOOKUP(D3139,base_datos,6,FALSE)</f>
        <v>Dado Interruptor unipolar de 16A,  250V, linea Magic 5001, marca BTICINO.</v>
      </c>
      <c r="D3139" s="2437" t="s">
        <v>13868</v>
      </c>
      <c r="E3139" s="2422">
        <f>VLOOKUP(D3139,base_datos,5,FALSE)</f>
        <v>8.5</v>
      </c>
      <c r="F3139" s="2438">
        <f t="shared" ref="F3139" si="2782">+E3139*B3139</f>
        <v>8.5</v>
      </c>
      <c r="G3139" s="2424"/>
      <c r="H3139" s="2424"/>
      <c r="I3139" s="2424"/>
      <c r="J3139" s="2425"/>
      <c r="K3139" s="2426">
        <f t="shared" si="2777"/>
        <v>1</v>
      </c>
      <c r="L3139" s="2427">
        <f>L3138</f>
        <v>3</v>
      </c>
      <c r="M3139" s="2428">
        <f t="shared" si="2781"/>
        <v>1</v>
      </c>
      <c r="N3139" s="2429" t="str">
        <f>IF(O3139&lt;&gt;"",K3139*L3139*M3139,"")</f>
        <v/>
      </c>
      <c r="O3139" s="2430" t="str">
        <f>IF(D3139&lt;&gt;"",IF(VLOOKUP(D3139,base_datos,7,FALSE)&lt;&gt;"",VLOOKUP(D3139,base_datos,7,FALSE),""),"")</f>
        <v/>
      </c>
      <c r="P3139" s="2431" t="str">
        <f>IF(O3139&lt;&gt;"",VLOOKUP(D3139,base_datos,6,FALSE),"")</f>
        <v/>
      </c>
      <c r="Q3139" s="2432" t="str">
        <f>IF(O3139&lt;&gt;"",D3139,"")</f>
        <v/>
      </c>
      <c r="R3139" s="2433"/>
    </row>
    <row r="3140" spans="1:18" s="120" customFormat="1">
      <c r="A3140" s="687"/>
      <c r="B3140" s="1781">
        <v>1</v>
      </c>
      <c r="C3140" s="1915" t="s">
        <v>3366</v>
      </c>
      <c r="D3140" s="314"/>
      <c r="E3140" s="1782"/>
      <c r="F3140" s="1923"/>
      <c r="G3140" s="686"/>
      <c r="H3140" s="686"/>
      <c r="I3140" s="686"/>
      <c r="J3140" s="688"/>
      <c r="K3140" s="684">
        <f>K3141</f>
        <v>1</v>
      </c>
      <c r="L3140" s="2225">
        <f>L3141</f>
        <v>3</v>
      </c>
      <c r="M3140" s="709">
        <f t="shared" si="2781"/>
        <v>1</v>
      </c>
      <c r="N3140" s="362" t="str">
        <f t="shared" ref="N3140" si="2783">IF(O3140&lt;&gt;"",K3140*L3140*M3140,"")</f>
        <v/>
      </c>
      <c r="O3140" s="1763" t="str">
        <f t="shared" ref="O3140" si="2784">IF(D3140&lt;&gt;"",IF(VLOOKUP(D3140,base_datos,7,FALSE)&lt;&gt;"",VLOOKUP(D3140,base_datos,7,FALSE),""),"")</f>
        <v/>
      </c>
      <c r="P3140" s="1764" t="str">
        <f t="shared" ref="P3140" si="2785">IF(O3140&lt;&gt;"",VLOOKUP(D3140,base_datos,6,FALSE),"")</f>
        <v/>
      </c>
      <c r="Q3140" s="120" t="str">
        <f t="shared" ref="Q3140" si="2786">IF(O3140&lt;&gt;"",D3140,"")</f>
        <v/>
      </c>
    </row>
    <row r="3141" spans="1:18" s="695" customFormat="1" ht="18" customHeight="1">
      <c r="A3141" s="693"/>
      <c r="B3141" s="1922">
        <v>1</v>
      </c>
      <c r="C3141" s="721" t="str">
        <f t="shared" ref="C3141" si="2787">VLOOKUP(D3141,base_datos,6,FALSE)</f>
        <v>Base portafusibles + Fusibles de protección para control.</v>
      </c>
      <c r="D3141" s="2222" t="s">
        <v>453</v>
      </c>
      <c r="E3141" s="1796">
        <f t="shared" ref="E3141" si="2788">VLOOKUP(D3141,base_datos,5,FALSE)</f>
        <v>8.1750000000000007</v>
      </c>
      <c r="F3141" s="1923">
        <f>+E3141*B3141</f>
        <v>8.1750000000000007</v>
      </c>
      <c r="G3141" s="696"/>
      <c r="H3141" s="696"/>
      <c r="I3141" s="696"/>
      <c r="J3141" s="697"/>
      <c r="K3141" s="684">
        <f>K3139</f>
        <v>1</v>
      </c>
      <c r="L3141" s="2225">
        <f>L3139</f>
        <v>3</v>
      </c>
      <c r="M3141" s="709">
        <f>IF(B3141="",1,B3141)</f>
        <v>1</v>
      </c>
      <c r="N3141" s="362" t="str">
        <f>IF(O3141&lt;&gt;"",K3141*L3141*M3141,"")</f>
        <v/>
      </c>
      <c r="O3141" s="1763" t="str">
        <f>IF(D3141&lt;&gt;"",IF(VLOOKUP(D3141,base_datos,7,FALSE)&lt;&gt;"",VLOOKUP(D3141,base_datos,7,FALSE),""),"")</f>
        <v/>
      </c>
      <c r="P3141" s="1764" t="str">
        <f>IF(O3141&lt;&gt;"",VLOOKUP(D3141,base_datos,6,FALSE),"")</f>
        <v/>
      </c>
      <c r="Q3141" s="120" t="str">
        <f>IF(O3141&lt;&gt;"",D3141,"")</f>
        <v/>
      </c>
      <c r="R3141" s="185"/>
    </row>
    <row r="3142" spans="1:18" s="695" customFormat="1" ht="18" customHeight="1">
      <c r="A3142" s="693"/>
      <c r="B3142" s="1922">
        <v>6</v>
      </c>
      <c r="C3142" s="721" t="str">
        <f>VLOOKUP(D3142,base_datos,6,FALSE)</f>
        <v>Borne 4mm2.</v>
      </c>
      <c r="D3142" s="2222" t="s">
        <v>437</v>
      </c>
      <c r="E3142" s="1796">
        <f>VLOOKUP(D3142,base_datos,5,FALSE)</f>
        <v>2.5</v>
      </c>
      <c r="F3142" s="1923">
        <f t="shared" ref="F3142:F3143" si="2789">+E3142*B3142</f>
        <v>15</v>
      </c>
      <c r="G3142" s="696"/>
      <c r="H3142" s="696"/>
      <c r="I3142" s="696"/>
      <c r="J3142" s="697"/>
      <c r="K3142" s="684">
        <f>K3140</f>
        <v>1</v>
      </c>
      <c r="L3142" s="708">
        <v>1</v>
      </c>
      <c r="M3142" s="709">
        <f>IF(B3142="",1,B3142)</f>
        <v>6</v>
      </c>
      <c r="N3142" s="362" t="str">
        <f>IF(O3142&lt;&gt;"",K3142*L3142*M3142,"")</f>
        <v/>
      </c>
      <c r="O3142" s="1763" t="str">
        <f>IF(D3142&lt;&gt;"",IF(VLOOKUP(D3142,base_datos,7,FALSE)&lt;&gt;"",VLOOKUP(D3142,base_datos,7,FALSE),""),"")</f>
        <v/>
      </c>
      <c r="P3142" s="1764" t="str">
        <f>IF(O3142&lt;&gt;"",VLOOKUP(D3142,base_datos,6,FALSE),"")</f>
        <v/>
      </c>
      <c r="Q3142" s="120" t="str">
        <f>IF(O3142&lt;&gt;"",D3142,"")</f>
        <v/>
      </c>
      <c r="R3142" s="185"/>
    </row>
    <row r="3143" spans="1:18" s="695" customFormat="1" ht="18" customHeight="1">
      <c r="A3143" s="693"/>
      <c r="B3143" s="1922">
        <v>1</v>
      </c>
      <c r="C3143" s="721" t="str">
        <f t="shared" ref="C3143" si="2790">VLOOKUP(D3143,base_datos,6,FALSE)</f>
        <v>Borne para neutro.</v>
      </c>
      <c r="D3143" s="36" t="s">
        <v>436</v>
      </c>
      <c r="E3143" s="1796">
        <f t="shared" ref="E3143" si="2791">VLOOKUP(D3143,base_datos,5,FALSE)</f>
        <v>4</v>
      </c>
      <c r="F3143" s="1923">
        <f t="shared" si="2789"/>
        <v>4</v>
      </c>
      <c r="G3143" s="696"/>
      <c r="H3143" s="696"/>
      <c r="I3143" s="696"/>
      <c r="J3143" s="697"/>
      <c r="K3143" s="684">
        <f t="shared" si="2777"/>
        <v>1</v>
      </c>
      <c r="L3143" s="2225">
        <f>L3140</f>
        <v>3</v>
      </c>
      <c r="M3143" s="709">
        <f t="shared" ref="M3143:M3149" si="2792">IF(B3143="",1,B3143)</f>
        <v>1</v>
      </c>
      <c r="N3143" s="362" t="str">
        <f t="shared" ref="N3143" si="2793">IF(O3143&lt;&gt;"",K3143*L3143*M3143,"")</f>
        <v/>
      </c>
      <c r="O3143" s="1763" t="str">
        <f t="shared" ref="O3143" si="2794">IF(D3143&lt;&gt;"",IF(VLOOKUP(D3143,base_datos,7,FALSE)&lt;&gt;"",VLOOKUP(D3143,base_datos,7,FALSE),""),"")</f>
        <v/>
      </c>
      <c r="P3143" s="1764" t="str">
        <f t="shared" ref="P3143" si="2795">IF(O3143&lt;&gt;"",VLOOKUP(D3143,base_datos,6,FALSE),"")</f>
        <v/>
      </c>
      <c r="Q3143" s="120" t="str">
        <f t="shared" ref="Q3143" si="2796">IF(O3143&lt;&gt;"",D3143,"")</f>
        <v/>
      </c>
      <c r="R3143" s="185"/>
    </row>
    <row r="3144" spans="1:18" s="185" customFormat="1">
      <c r="A3144" s="687"/>
      <c r="B3144" s="714"/>
      <c r="C3144" s="313" t="s">
        <v>729</v>
      </c>
      <c r="D3144" s="36"/>
      <c r="E3144" s="1971"/>
      <c r="F3144" s="1787"/>
      <c r="G3144" s="710"/>
      <c r="H3144" s="710"/>
      <c r="I3144" s="710"/>
      <c r="J3144" s="711"/>
      <c r="K3144" s="684">
        <f t="shared" si="2777"/>
        <v>1</v>
      </c>
      <c r="L3144" s="363">
        <v>1</v>
      </c>
      <c r="M3144" s="709">
        <f t="shared" si="2792"/>
        <v>1</v>
      </c>
      <c r="N3144" s="1905" t="str">
        <f>IF(O3144&lt;&gt;"",K3144*L3144*M3144,"")</f>
        <v/>
      </c>
      <c r="O3144" s="1571" t="str">
        <f>IF(D3144&lt;&gt;"",IF(VLOOKUP(D3144,base_datos,7,FALSE)&lt;&gt;"",VLOOKUP(D3144,base_datos,7,FALSE),""),"")</f>
        <v/>
      </c>
      <c r="P3144" s="320" t="str">
        <f>IF(O3144&lt;&gt;"",VLOOKUP(D3144,base_datos,6,FALSE),"")</f>
        <v/>
      </c>
      <c r="Q3144" s="185" t="str">
        <f>IF(O3144&lt;&gt;"",D3144,"")</f>
        <v/>
      </c>
    </row>
    <row r="3145" spans="1:18" s="695" customFormat="1" ht="18" customHeight="1">
      <c r="A3145" s="693"/>
      <c r="B3145" s="1922">
        <v>1</v>
      </c>
      <c r="C3145" s="721" t="str">
        <f t="shared" ref="C3145:C3146" si="2797">VLOOKUP(D3145,base_datos,6,FALSE)</f>
        <v>Base portafusibles + Fusibles de protección para control.</v>
      </c>
      <c r="D3145" s="2222" t="s">
        <v>453</v>
      </c>
      <c r="E3145" s="1796">
        <f t="shared" ref="E3145:E3146" si="2798">VLOOKUP(D3145,base_datos,5,FALSE)</f>
        <v>8.1750000000000007</v>
      </c>
      <c r="F3145" s="1581">
        <f t="shared" ref="F3145:F3146" si="2799">+E3145*B3145</f>
        <v>8.1750000000000007</v>
      </c>
      <c r="G3145" s="696"/>
      <c r="H3145" s="696"/>
      <c r="I3145" s="696"/>
      <c r="J3145" s="697"/>
      <c r="K3145" s="684">
        <f t="shared" si="2777"/>
        <v>1</v>
      </c>
      <c r="L3145" s="708">
        <v>1</v>
      </c>
      <c r="M3145" s="709">
        <f t="shared" si="2792"/>
        <v>1</v>
      </c>
      <c r="N3145" s="362" t="str">
        <f t="shared" ref="N3145:N3146" si="2800">IF(O3145&lt;&gt;"",K3145*L3145*M3145,"")</f>
        <v/>
      </c>
      <c r="O3145" s="1763" t="str">
        <f t="shared" ref="O3145:O3146" si="2801">IF(D3145&lt;&gt;"",IF(VLOOKUP(D3145,base_datos,7,FALSE)&lt;&gt;"",VLOOKUP(D3145,base_datos,7,FALSE),""),"")</f>
        <v/>
      </c>
      <c r="P3145" s="1764" t="str">
        <f t="shared" ref="P3145:P3146" si="2802">IF(O3145&lt;&gt;"",VLOOKUP(D3145,base_datos,6,FALSE),"")</f>
        <v/>
      </c>
      <c r="Q3145" s="120" t="str">
        <f t="shared" ref="Q3145:Q3146" si="2803">IF(O3145&lt;&gt;"",D3145,"")</f>
        <v/>
      </c>
      <c r="R3145" s="185"/>
    </row>
    <row r="3146" spans="1:18" s="695" customFormat="1" ht="18" customHeight="1">
      <c r="A3146" s="693"/>
      <c r="B3146" s="1922">
        <v>1</v>
      </c>
      <c r="C3146" s="721" t="str">
        <f t="shared" si="2797"/>
        <v>Borne para neutro.</v>
      </c>
      <c r="D3146" s="36" t="s">
        <v>436</v>
      </c>
      <c r="E3146" s="1796">
        <f t="shared" si="2798"/>
        <v>4</v>
      </c>
      <c r="F3146" s="1923">
        <f t="shared" si="2799"/>
        <v>4</v>
      </c>
      <c r="G3146" s="696"/>
      <c r="H3146" s="696"/>
      <c r="I3146" s="696"/>
      <c r="J3146" s="697"/>
      <c r="K3146" s="684">
        <f t="shared" si="2777"/>
        <v>1</v>
      </c>
      <c r="L3146" s="2225">
        <f t="shared" ref="L3146" si="2804">L3145</f>
        <v>1</v>
      </c>
      <c r="M3146" s="709">
        <f t="shared" si="2792"/>
        <v>1</v>
      </c>
      <c r="N3146" s="362" t="str">
        <f t="shared" si="2800"/>
        <v/>
      </c>
      <c r="O3146" s="1763" t="str">
        <f t="shared" si="2801"/>
        <v/>
      </c>
      <c r="P3146" s="1764" t="str">
        <f t="shared" si="2802"/>
        <v/>
      </c>
      <c r="Q3146" s="120" t="str">
        <f t="shared" si="2803"/>
        <v/>
      </c>
      <c r="R3146" s="185"/>
    </row>
    <row r="3147" spans="1:18" s="185" customFormat="1">
      <c r="A3147" s="687"/>
      <c r="B3147" s="714"/>
      <c r="C3147" s="313" t="s">
        <v>729</v>
      </c>
      <c r="D3147" s="36"/>
      <c r="E3147" s="1971"/>
      <c r="F3147" s="1787"/>
      <c r="G3147" s="710"/>
      <c r="H3147" s="710"/>
      <c r="I3147" s="710"/>
      <c r="J3147" s="711"/>
      <c r="K3147" s="684">
        <f t="shared" si="2777"/>
        <v>1</v>
      </c>
      <c r="L3147" s="708">
        <v>1</v>
      </c>
      <c r="M3147" s="709">
        <f t="shared" si="2792"/>
        <v>1</v>
      </c>
      <c r="N3147" s="1905" t="str">
        <f>IF(O3147&lt;&gt;"",K3147*L3147*M3147,"")</f>
        <v/>
      </c>
      <c r="O3147" s="1571" t="str">
        <f>IF(D3147&lt;&gt;"",IF(VLOOKUP(D3147,base_datos,7,FALSE)&lt;&gt;"",VLOOKUP(D3147,base_datos,7,FALSE),""),"")</f>
        <v/>
      </c>
      <c r="P3147" s="320" t="str">
        <f>IF(O3147&lt;&gt;"",VLOOKUP(D3147,base_datos,6,FALSE),"")</f>
        <v/>
      </c>
      <c r="Q3147" s="185" t="str">
        <f>IF(O3147&lt;&gt;"",D3147,"")</f>
        <v/>
      </c>
    </row>
    <row r="3148" spans="1:18" s="695" customFormat="1">
      <c r="A3148" s="691"/>
      <c r="B3148" s="2214">
        <v>1</v>
      </c>
      <c r="C3148" s="2215" t="s">
        <v>316</v>
      </c>
      <c r="D3148" s="2223"/>
      <c r="E3148" s="2227"/>
      <c r="F3148" s="2227"/>
      <c r="G3148" s="696"/>
      <c r="H3148" s="696"/>
      <c r="I3148" s="696"/>
      <c r="J3148" s="697"/>
      <c r="K3148" s="684">
        <f t="shared" si="2777"/>
        <v>1</v>
      </c>
      <c r="L3148" s="708">
        <v>1</v>
      </c>
      <c r="M3148" s="709">
        <f t="shared" si="2792"/>
        <v>1</v>
      </c>
      <c r="N3148" s="362" t="str">
        <f t="shared" ref="N3148:N3149" si="2805">IF(O3148&lt;&gt;"",K3148*L3148*M3148,"")</f>
        <v/>
      </c>
      <c r="O3148" s="1763" t="str">
        <f t="shared" ref="O3148:O3149" si="2806">IF(D3148&lt;&gt;"",IF(VLOOKUP(D3148,base_datos,7,FALSE)&lt;&gt;"",VLOOKUP(D3148,base_datos,7,FALSE),""),"")</f>
        <v/>
      </c>
      <c r="P3148" s="1764" t="str">
        <f t="shared" ref="P3148:P3149" si="2807">IF(O3148&lt;&gt;"",VLOOKUP(D3148,base_datos,6,FALSE),"")</f>
        <v/>
      </c>
      <c r="Q3148" s="120" t="str">
        <f t="shared" ref="Q3148:Q3149" si="2808">IF(O3148&lt;&gt;"",D3148,"")</f>
        <v/>
      </c>
    </row>
    <row r="3149" spans="1:18" s="1979" customFormat="1">
      <c r="A3149" s="698"/>
      <c r="B3149" s="1967">
        <v>1</v>
      </c>
      <c r="C3149" s="694" t="s">
        <v>13039</v>
      </c>
      <c r="D3149" s="2218"/>
      <c r="E3149" s="1968">
        <v>50</v>
      </c>
      <c r="F3149" s="1968">
        <f>+E3149*B3149</f>
        <v>50</v>
      </c>
      <c r="G3149" s="2216"/>
      <c r="H3149" s="2216"/>
      <c r="I3149" s="2216"/>
      <c r="J3149" s="2217"/>
      <c r="K3149" s="684">
        <f t="shared" si="2777"/>
        <v>1</v>
      </c>
      <c r="L3149" s="363">
        <v>1</v>
      </c>
      <c r="M3149" s="684">
        <f t="shared" si="2792"/>
        <v>1</v>
      </c>
      <c r="N3149" s="362" t="str">
        <f t="shared" si="2805"/>
        <v/>
      </c>
      <c r="O3149" s="1763" t="str">
        <f t="shared" si="2806"/>
        <v/>
      </c>
      <c r="P3149" s="1764" t="str">
        <f t="shared" si="2807"/>
        <v/>
      </c>
      <c r="Q3149" s="120" t="str">
        <f t="shared" si="2808"/>
        <v/>
      </c>
    </row>
    <row r="3150" spans="1:18" s="120" customFormat="1" ht="13.8" thickBot="1">
      <c r="A3150" s="699"/>
      <c r="B3150" s="1775"/>
      <c r="C3150" s="1776"/>
      <c r="D3150" s="1885"/>
      <c r="E3150" s="1981"/>
      <c r="F3150" s="1981"/>
      <c r="G3150" s="1777"/>
      <c r="H3150" s="1777"/>
      <c r="I3150" s="1777"/>
      <c r="J3150" s="1778"/>
      <c r="K3150" s="684"/>
      <c r="L3150" s="363"/>
      <c r="M3150" s="684"/>
      <c r="N3150" s="362"/>
      <c r="O3150" s="1763"/>
      <c r="P3150" s="1764"/>
    </row>
    <row r="3151" spans="1:18" s="120" customFormat="1" ht="18" customHeight="1" thickBot="1">
      <c r="A3151" s="1989">
        <v>50</v>
      </c>
      <c r="B3151" s="1852">
        <v>1</v>
      </c>
      <c r="C3151" s="1756" t="s">
        <v>12611</v>
      </c>
      <c r="D3151" s="1588"/>
      <c r="E3151" s="1589"/>
      <c r="F3151" s="1589"/>
      <c r="G3151" s="1757">
        <f>SUM(F3152:F3225)</f>
        <v>2448.46</v>
      </c>
      <c r="H3151" s="1758">
        <f>G3151*(1-$D$6)</f>
        <v>2448.46</v>
      </c>
      <c r="I3151" s="1757">
        <f>ROUNDUP(H3151*$D$5,0)</f>
        <v>8325</v>
      </c>
      <c r="J3151" s="1759">
        <f>+I3151*B3151</f>
        <v>8325</v>
      </c>
      <c r="K3151" s="1788">
        <f>B3151</f>
        <v>1</v>
      </c>
      <c r="L3151" s="363"/>
      <c r="M3151" s="684"/>
      <c r="N3151" s="362" t="str">
        <f t="shared" si="2739"/>
        <v/>
      </c>
      <c r="O3151" s="1763" t="str">
        <f t="shared" si="2740"/>
        <v/>
      </c>
      <c r="P3151" s="1764" t="str">
        <f t="shared" si="2741"/>
        <v/>
      </c>
      <c r="Q3151" s="120" t="str">
        <f t="shared" si="2742"/>
        <v/>
      </c>
      <c r="R3151" s="185"/>
    </row>
    <row r="3152" spans="1:18" s="120" customFormat="1" ht="18" customHeight="1">
      <c r="A3152" s="685" t="s">
        <v>3064</v>
      </c>
      <c r="B3152" s="1903"/>
      <c r="C3152" s="1890"/>
      <c r="D3152" s="1904"/>
      <c r="E3152" s="1789"/>
      <c r="F3152" s="1780"/>
      <c r="G3152" s="686"/>
      <c r="H3152" s="710"/>
      <c r="I3152" s="686"/>
      <c r="J3152" s="1768"/>
      <c r="K3152" s="684">
        <f t="shared" ref="K3152:K3220" si="2809">+K3151</f>
        <v>1</v>
      </c>
      <c r="L3152" s="363">
        <v>1</v>
      </c>
      <c r="M3152" s="709">
        <f t="shared" ref="M3152:M3220" si="2810">IF(B3152="",1,B3152)</f>
        <v>1</v>
      </c>
      <c r="N3152" s="362" t="str">
        <f t="shared" si="2739"/>
        <v/>
      </c>
      <c r="O3152" s="1763" t="str">
        <f t="shared" si="2740"/>
        <v/>
      </c>
      <c r="P3152" s="1764" t="str">
        <f t="shared" si="2741"/>
        <v/>
      </c>
      <c r="Q3152" s="120" t="str">
        <f t="shared" si="2742"/>
        <v/>
      </c>
    </row>
    <row r="3153" spans="1:18" s="315" customFormat="1" ht="12" customHeight="1">
      <c r="A3153" s="687" t="s">
        <v>4021</v>
      </c>
      <c r="B3153" s="2096">
        <v>1</v>
      </c>
      <c r="C3153" s="1907" t="s">
        <v>5103</v>
      </c>
      <c r="D3153" s="1935"/>
      <c r="E3153" s="1786"/>
      <c r="F3153" s="1908">
        <f>SUM(F3155:F3159)*(B3153-1)</f>
        <v>0</v>
      </c>
      <c r="G3153" s="712"/>
      <c r="H3153" s="712"/>
      <c r="I3153" s="712"/>
      <c r="J3153" s="713"/>
      <c r="K3153" s="684">
        <f t="shared" si="2809"/>
        <v>1</v>
      </c>
      <c r="L3153" s="1909">
        <f>B3153</f>
        <v>1</v>
      </c>
      <c r="M3153" s="684">
        <f t="shared" si="2810"/>
        <v>1</v>
      </c>
      <c r="N3153" s="362" t="str">
        <f t="shared" si="2739"/>
        <v/>
      </c>
      <c r="O3153" s="1763" t="str">
        <f t="shared" si="2740"/>
        <v/>
      </c>
      <c r="P3153" s="1764" t="str">
        <f t="shared" si="2741"/>
        <v/>
      </c>
      <c r="Q3153" s="120" t="str">
        <f t="shared" si="2742"/>
        <v/>
      </c>
    </row>
    <row r="3154" spans="1:18" s="185" customFormat="1">
      <c r="A3154" s="687" t="s">
        <v>4136</v>
      </c>
      <c r="B3154" s="1910">
        <v>3</v>
      </c>
      <c r="C3154" s="1911" t="str">
        <f>VLOOKUP(D3154,base_datos,6,FALSE)</f>
        <v>Portalámpara + lampara tipo LED - color Rojo - alimentacion: 220-230Vac, d=22mm. - CL2-523R - línea compacta - marca ABB.</v>
      </c>
      <c r="D3154" s="1790" t="s">
        <v>2439</v>
      </c>
      <c r="E3154" s="1939">
        <f>VLOOKUP(D3154,base_datos,5,FALSE)</f>
        <v>12.299999999999999</v>
      </c>
      <c r="F3154" s="1912">
        <f>+E3154*B3154</f>
        <v>36.9</v>
      </c>
      <c r="G3154" s="710"/>
      <c r="H3154" s="710"/>
      <c r="I3154" s="710"/>
      <c r="J3154" s="711"/>
      <c r="K3154" s="684">
        <f t="shared" si="2809"/>
        <v>1</v>
      </c>
      <c r="L3154" s="1913">
        <f>L3152</f>
        <v>1</v>
      </c>
      <c r="M3154" s="684">
        <f t="shared" si="2810"/>
        <v>3</v>
      </c>
      <c r="N3154" s="362">
        <f t="shared" si="2739"/>
        <v>3</v>
      </c>
      <c r="O3154" s="1763" t="str">
        <f t="shared" si="2740"/>
        <v>1SFA619403R5231</v>
      </c>
      <c r="P3154" s="1764" t="str">
        <f t="shared" si="2741"/>
        <v>Portalámpara + lampara tipo LED - color Rojo - alimentacion: 220-230Vac, d=22mm. - CL2-523R - línea compacta - marca ABB.</v>
      </c>
      <c r="Q3154" s="120" t="str">
        <f t="shared" si="2742"/>
        <v>LAMP_ROJO_220V</v>
      </c>
    </row>
    <row r="3155" spans="1:18" s="185" customFormat="1">
      <c r="A3155" s="687"/>
      <c r="B3155" s="1910">
        <v>3</v>
      </c>
      <c r="C3155" s="1911" t="str">
        <f>VLOOKUP(D3155,base_datos,6,FALSE)</f>
        <v>Portalámpara + lampara tipo LED - color Verde - alimentacion: 220-230Vac, d=22mm. - CL2-523G - línea compacta - marca ABB.</v>
      </c>
      <c r="D3155" s="1790" t="s">
        <v>2440</v>
      </c>
      <c r="E3155" s="1939">
        <f>VLOOKUP(D3155,base_datos,5,FALSE)</f>
        <v>12.299999999999999</v>
      </c>
      <c r="F3155" s="1912">
        <f>+E3155*B3155</f>
        <v>36.9</v>
      </c>
      <c r="G3155" s="710"/>
      <c r="H3155" s="710"/>
      <c r="I3155" s="710"/>
      <c r="J3155" s="711"/>
      <c r="K3155" s="684">
        <f t="shared" si="2809"/>
        <v>1</v>
      </c>
      <c r="L3155" s="1913">
        <f>L3153</f>
        <v>1</v>
      </c>
      <c r="M3155" s="684">
        <f t="shared" si="2810"/>
        <v>3</v>
      </c>
      <c r="N3155" s="362">
        <f t="shared" si="2739"/>
        <v>3</v>
      </c>
      <c r="O3155" s="1763" t="str">
        <f t="shared" si="2740"/>
        <v>1SFA619403R5232</v>
      </c>
      <c r="P3155" s="1764" t="str">
        <f t="shared" si="2741"/>
        <v>Portalámpara + lampara tipo LED - color Verde - alimentacion: 220-230Vac, d=22mm. - CL2-523G - línea compacta - marca ABB.</v>
      </c>
      <c r="Q3155" s="120" t="str">
        <f t="shared" si="2742"/>
        <v>LAMP_VERDE_220V</v>
      </c>
    </row>
    <row r="3156" spans="1:18" s="1921" customFormat="1">
      <c r="A3156" s="687" t="s">
        <v>12356</v>
      </c>
      <c r="B3156" s="1914">
        <v>1</v>
      </c>
      <c r="C3156" s="1915" t="s">
        <v>3366</v>
      </c>
      <c r="D3156" s="1916"/>
      <c r="E3156" s="1917"/>
      <c r="F3156" s="1918"/>
      <c r="G3156" s="1919"/>
      <c r="H3156" s="1919"/>
      <c r="I3156" s="1919"/>
      <c r="J3156" s="1920"/>
      <c r="K3156" s="684">
        <f t="shared" si="2809"/>
        <v>1</v>
      </c>
      <c r="L3156" s="1913">
        <f>L3155</f>
        <v>1</v>
      </c>
      <c r="M3156" s="684">
        <f t="shared" si="2810"/>
        <v>1</v>
      </c>
      <c r="N3156" s="362" t="str">
        <f t="shared" si="2739"/>
        <v/>
      </c>
      <c r="O3156" s="1763" t="str">
        <f t="shared" si="2740"/>
        <v/>
      </c>
      <c r="P3156" s="1764" t="str">
        <f t="shared" si="2741"/>
        <v/>
      </c>
      <c r="Q3156" s="120" t="str">
        <f t="shared" si="2742"/>
        <v/>
      </c>
    </row>
    <row r="3157" spans="1:18" s="320" customFormat="1">
      <c r="A3157" s="687" t="s">
        <v>12367</v>
      </c>
      <c r="B3157" s="1922">
        <v>1</v>
      </c>
      <c r="C3157" s="721" t="str">
        <f>VLOOKUP(D3157,base_datos,6,FALSE)</f>
        <v>Rele auxiliar enchufable +4NA/NC (D2PR4B + base D2PA6), 220Vac - marca EATON.</v>
      </c>
      <c r="D3157" s="1579" t="s">
        <v>772</v>
      </c>
      <c r="E3157" s="1581">
        <f>VLOOKUP(D3157,base_datos,5,FALSE)</f>
        <v>27</v>
      </c>
      <c r="F3157" s="1923">
        <f>+E3157*B3157</f>
        <v>27</v>
      </c>
      <c r="G3157" s="1924"/>
      <c r="H3157" s="1924"/>
      <c r="I3157" s="1924"/>
      <c r="J3157" s="722"/>
      <c r="K3157" s="684">
        <f t="shared" si="2809"/>
        <v>1</v>
      </c>
      <c r="L3157" s="1913">
        <f>L3154</f>
        <v>1</v>
      </c>
      <c r="M3157" s="684">
        <f t="shared" si="2810"/>
        <v>1</v>
      </c>
      <c r="N3157" s="362">
        <f t="shared" si="2739"/>
        <v>1</v>
      </c>
      <c r="O3157" s="1763" t="str">
        <f t="shared" si="2740"/>
        <v>D2PR4B+D2PA6</v>
      </c>
      <c r="P3157" s="1764" t="str">
        <f t="shared" si="2741"/>
        <v>Rele auxiliar enchufable +4NA/NC (D2PR4B + base D2PA6), 220Vac - marca EATON.</v>
      </c>
      <c r="Q3157" s="120" t="str">
        <f t="shared" si="2742"/>
        <v>D2PR4B+D2PA6</v>
      </c>
    </row>
    <row r="3158" spans="1:18" s="320" customFormat="1">
      <c r="A3158" s="1767"/>
      <c r="B3158" s="2131">
        <v>1</v>
      </c>
      <c r="C3158" s="2132" t="s">
        <v>12558</v>
      </c>
      <c r="D3158" s="2133"/>
      <c r="E3158" s="2134">
        <v>32</v>
      </c>
      <c r="F3158" s="2134">
        <f>+E3158*B3158</f>
        <v>32</v>
      </c>
      <c r="G3158" s="1924"/>
      <c r="H3158" s="1924"/>
      <c r="I3158" s="1924"/>
      <c r="J3158" s="722"/>
      <c r="K3158" s="684">
        <f t="shared" si="2809"/>
        <v>1</v>
      </c>
      <c r="L3158" s="1913">
        <f>L3155</f>
        <v>1</v>
      </c>
      <c r="M3158" s="684">
        <f t="shared" si="2810"/>
        <v>1</v>
      </c>
      <c r="N3158" s="362" t="str">
        <f t="shared" si="2739"/>
        <v/>
      </c>
      <c r="O3158" s="1763" t="str">
        <f t="shared" si="2740"/>
        <v/>
      </c>
      <c r="P3158" s="1764" t="str">
        <f t="shared" si="2741"/>
        <v/>
      </c>
      <c r="Q3158" s="120" t="str">
        <f t="shared" si="2742"/>
        <v/>
      </c>
    </row>
    <row r="3159" spans="1:18" s="320" customFormat="1">
      <c r="A3159" s="687" t="s">
        <v>12551</v>
      </c>
      <c r="B3159" s="1922">
        <v>4</v>
      </c>
      <c r="C3159" s="721" t="str">
        <f>VLOOKUP(D3159,base_datos,6,FALSE)</f>
        <v>Base portafusibles + Fusibles de protección para control.</v>
      </c>
      <c r="D3159" s="1579" t="s">
        <v>453</v>
      </c>
      <c r="E3159" s="1581">
        <f>VLOOKUP(D3159,base_datos,5,FALSE)</f>
        <v>8.1750000000000007</v>
      </c>
      <c r="F3159" s="1923">
        <f>+E3159*B3159</f>
        <v>32.700000000000003</v>
      </c>
      <c r="G3159" s="1924"/>
      <c r="H3159" s="1924"/>
      <c r="I3159" s="1924"/>
      <c r="J3159" s="722"/>
      <c r="K3159" s="684">
        <f t="shared" si="2809"/>
        <v>1</v>
      </c>
      <c r="L3159" s="1913">
        <f>L3156</f>
        <v>1</v>
      </c>
      <c r="M3159" s="684">
        <f t="shared" si="2810"/>
        <v>4</v>
      </c>
      <c r="N3159" s="362" t="str">
        <f t="shared" si="2739"/>
        <v/>
      </c>
      <c r="O3159" s="1763" t="str">
        <f t="shared" si="2740"/>
        <v/>
      </c>
      <c r="P3159" s="1764" t="str">
        <f t="shared" si="2741"/>
        <v/>
      </c>
      <c r="Q3159" s="120" t="str">
        <f t="shared" si="2742"/>
        <v/>
      </c>
    </row>
    <row r="3160" spans="1:18" s="315" customFormat="1">
      <c r="A3160" s="687" t="s">
        <v>3542</v>
      </c>
      <c r="B3160" s="1906"/>
      <c r="C3160" s="1907"/>
      <c r="D3160" s="1935"/>
      <c r="E3160" s="1786"/>
      <c r="F3160" s="1936"/>
      <c r="G3160" s="712"/>
      <c r="H3160" s="712"/>
      <c r="I3160" s="712"/>
      <c r="J3160" s="713"/>
      <c r="K3160" s="684">
        <f t="shared" si="2809"/>
        <v>1</v>
      </c>
      <c r="L3160" s="1909">
        <f>B3160</f>
        <v>0</v>
      </c>
      <c r="M3160" s="684">
        <f t="shared" si="2810"/>
        <v>1</v>
      </c>
      <c r="N3160" s="362" t="str">
        <f t="shared" si="2739"/>
        <v/>
      </c>
      <c r="O3160" s="1763" t="str">
        <f t="shared" si="2740"/>
        <v/>
      </c>
      <c r="P3160" s="1764" t="str">
        <f t="shared" si="2741"/>
        <v/>
      </c>
      <c r="Q3160" s="120" t="str">
        <f t="shared" si="2742"/>
        <v/>
      </c>
    </row>
    <row r="3161" spans="1:18" s="185" customFormat="1" ht="13.5" customHeight="1">
      <c r="A3161" s="1771"/>
      <c r="B3161" s="1922"/>
      <c r="C3161" s="1956" t="s">
        <v>12368</v>
      </c>
      <c r="D3161" s="1579"/>
      <c r="E3161" s="1957"/>
      <c r="F3161" s="1958"/>
      <c r="G3161" s="710"/>
      <c r="H3161" s="710"/>
      <c r="I3161" s="710"/>
      <c r="J3161" s="711"/>
      <c r="K3161" s="684">
        <f t="shared" si="2809"/>
        <v>1</v>
      </c>
      <c r="L3161" s="708">
        <v>1</v>
      </c>
      <c r="M3161" s="684">
        <f t="shared" si="2810"/>
        <v>1</v>
      </c>
      <c r="N3161" s="362" t="str">
        <f t="shared" si="2739"/>
        <v/>
      </c>
      <c r="O3161" s="1763" t="str">
        <f t="shared" si="2740"/>
        <v/>
      </c>
      <c r="P3161" s="1764" t="str">
        <f t="shared" si="2741"/>
        <v/>
      </c>
      <c r="Q3161" s="120" t="str">
        <f t="shared" si="2742"/>
        <v/>
      </c>
    </row>
    <row r="3162" spans="1:18" s="120" customFormat="1" ht="18" customHeight="1">
      <c r="A3162" s="2073"/>
      <c r="B3162" s="1781"/>
      <c r="C3162" s="1218" t="s">
        <v>3158</v>
      </c>
      <c r="D3162" s="1900"/>
      <c r="E3162" s="1791"/>
      <c r="F3162" s="1782"/>
      <c r="G3162" s="686"/>
      <c r="H3162" s="686"/>
      <c r="I3162" s="686"/>
      <c r="J3162" s="688"/>
      <c r="K3162" s="684">
        <f t="shared" si="2809"/>
        <v>1</v>
      </c>
      <c r="L3162" s="708">
        <v>1</v>
      </c>
      <c r="M3162" s="684">
        <f t="shared" si="2810"/>
        <v>1</v>
      </c>
      <c r="N3162" s="362" t="str">
        <f t="shared" si="2739"/>
        <v/>
      </c>
      <c r="O3162" s="1763" t="str">
        <f t="shared" si="2740"/>
        <v/>
      </c>
      <c r="P3162" s="1764" t="str">
        <f t="shared" si="2741"/>
        <v/>
      </c>
      <c r="Q3162" s="120" t="str">
        <f t="shared" si="2742"/>
        <v/>
      </c>
      <c r="R3162" s="185"/>
    </row>
    <row r="3163" spans="1:18" s="690" customFormat="1" ht="18" customHeight="1">
      <c r="A3163" s="687"/>
      <c r="B3163" s="2096">
        <v>1</v>
      </c>
      <c r="C3163" s="1420" t="str">
        <f>VLOOKUP(D3163,base_datos,6,FALSE)</f>
        <v>ITM Caja Moldeada 3x25A (reg.[0.7-1.0] In)  - XT1B160-25A-3P-TMD - 25kA@230Vac,18kA@415Vac, 18kA@250Vdc - marca ABB.</v>
      </c>
      <c r="D3163" s="1901" t="s">
        <v>4362</v>
      </c>
      <c r="E3163" s="1791">
        <f>VLOOKUP(D3163,base_datos,5,FALSE)</f>
        <v>120.37</v>
      </c>
      <c r="F3163" s="1782">
        <f>+E3163*B3163</f>
        <v>120.37</v>
      </c>
      <c r="G3163" s="1761"/>
      <c r="H3163" s="1761"/>
      <c r="I3163" s="1761"/>
      <c r="J3163" s="689"/>
      <c r="K3163" s="684">
        <f t="shared" si="2809"/>
        <v>1</v>
      </c>
      <c r="L3163" s="708">
        <v>1</v>
      </c>
      <c r="M3163" s="684">
        <f t="shared" si="2810"/>
        <v>1</v>
      </c>
      <c r="N3163" s="362">
        <f t="shared" si="2739"/>
        <v>1</v>
      </c>
      <c r="O3163" s="1763" t="str">
        <f t="shared" si="2740"/>
        <v>1SDA066801R1</v>
      </c>
      <c r="P3163" s="1764" t="str">
        <f t="shared" si="2741"/>
        <v>ITM Caja Moldeada 3x25A (reg.[0.7-1.0] In)  - XT1B160-25A-3P-TMD - 25kA@230Vac,18kA@415Vac, 18kA@250Vdc - marca ABB.</v>
      </c>
      <c r="Q3163" s="120" t="str">
        <f t="shared" si="2742"/>
        <v>XT1B160-25A-3P-TMD</v>
      </c>
      <c r="R3163" s="185"/>
    </row>
    <row r="3164" spans="1:18" s="185" customFormat="1">
      <c r="A3164" s="1771"/>
      <c r="B3164" s="714"/>
      <c r="C3164" s="313" t="s">
        <v>729</v>
      </c>
      <c r="D3164" s="173"/>
      <c r="E3164" s="1786"/>
      <c r="F3164" s="1787"/>
      <c r="G3164" s="710"/>
      <c r="H3164" s="710"/>
      <c r="I3164" s="710"/>
      <c r="J3164" s="711"/>
      <c r="K3164" s="684">
        <f t="shared" si="2809"/>
        <v>1</v>
      </c>
      <c r="L3164" s="708">
        <v>1</v>
      </c>
      <c r="M3164" s="684">
        <f t="shared" si="2810"/>
        <v>1</v>
      </c>
      <c r="N3164" s="362" t="str">
        <f t="shared" si="2739"/>
        <v/>
      </c>
      <c r="O3164" s="1763" t="str">
        <f t="shared" si="2740"/>
        <v/>
      </c>
      <c r="P3164" s="1764" t="str">
        <f t="shared" si="2741"/>
        <v/>
      </c>
      <c r="Q3164" s="120" t="str">
        <f t="shared" si="2742"/>
        <v/>
      </c>
    </row>
    <row r="3165" spans="1:18" s="690" customFormat="1" ht="18" customHeight="1">
      <c r="A3165" s="1771"/>
      <c r="B3165" s="1851"/>
      <c r="C3165" s="1966" t="s">
        <v>9431</v>
      </c>
      <c r="D3165" s="1582"/>
      <c r="E3165" s="1780"/>
      <c r="F3165" s="1782"/>
      <c r="G3165" s="1761"/>
      <c r="H3165" s="1761"/>
      <c r="I3165" s="1761"/>
      <c r="J3165" s="689"/>
      <c r="K3165" s="684">
        <f t="shared" si="2809"/>
        <v>1</v>
      </c>
      <c r="L3165" s="708">
        <v>1</v>
      </c>
      <c r="M3165" s="709">
        <f t="shared" si="2810"/>
        <v>1</v>
      </c>
      <c r="N3165" s="362" t="str">
        <f t="shared" si="2739"/>
        <v/>
      </c>
      <c r="O3165" s="1763" t="str">
        <f t="shared" si="2740"/>
        <v/>
      </c>
      <c r="P3165" s="1764" t="str">
        <f t="shared" si="2741"/>
        <v/>
      </c>
      <c r="Q3165" s="120" t="str">
        <f t="shared" si="2742"/>
        <v/>
      </c>
      <c r="R3165" s="185"/>
    </row>
    <row r="3166" spans="1:18" s="690" customFormat="1" ht="18" customHeight="1">
      <c r="A3166" s="2073"/>
      <c r="B3166" s="1781">
        <v>2</v>
      </c>
      <c r="C3166" s="1960" t="str">
        <f t="shared" ref="C3166" si="2811">VLOOKUP(D3166,base_datos,6,FALSE)</f>
        <v>ITM Caja Moldeada 3x20A (reg.[0.7-1.0] In) - XT1B160-20A-3P-TMD - 25kA@230Vac, 18kA@415Vac, 18kA@250Vdc - marca ABB.</v>
      </c>
      <c r="D3166" s="1901" t="s">
        <v>4360</v>
      </c>
      <c r="E3166" s="1791">
        <f t="shared" ref="E3166" si="2812">VLOOKUP(D3166,base_datos,5,FALSE)</f>
        <v>120.37</v>
      </c>
      <c r="F3166" s="1782">
        <f t="shared" ref="F3166:F3167" si="2813">+E3166*B3166</f>
        <v>240.74</v>
      </c>
      <c r="G3166" s="1761"/>
      <c r="H3166" s="1761"/>
      <c r="I3166" s="1761"/>
      <c r="J3166" s="1783"/>
      <c r="K3166" s="684">
        <f t="shared" si="2809"/>
        <v>1</v>
      </c>
      <c r="L3166" s="708">
        <v>1</v>
      </c>
      <c r="M3166" s="709">
        <f t="shared" si="2810"/>
        <v>2</v>
      </c>
      <c r="N3166" s="362">
        <f t="shared" si="2739"/>
        <v>2</v>
      </c>
      <c r="O3166" s="1763" t="str">
        <f t="shared" si="2740"/>
        <v>1SDA066800R1</v>
      </c>
      <c r="P3166" s="1764" t="str">
        <f t="shared" si="2741"/>
        <v>ITM Caja Moldeada 3x20A (reg.[0.7-1.0] In) - XT1B160-20A-3P-TMD - 25kA@230Vac, 18kA@415Vac, 18kA@250Vdc - marca ABB.</v>
      </c>
      <c r="Q3166" s="120" t="str">
        <f t="shared" si="2742"/>
        <v>XT1B160-20A-3P-TMD</v>
      </c>
      <c r="R3166" s="185"/>
    </row>
    <row r="3167" spans="1:18" s="695" customFormat="1">
      <c r="A3167" s="2073"/>
      <c r="B3167" s="1967">
        <v>1</v>
      </c>
      <c r="C3167" s="1946">
        <v>6</v>
      </c>
      <c r="D3167" s="1582"/>
      <c r="E3167" s="2000">
        <v>30</v>
      </c>
      <c r="F3167" s="1968">
        <f t="shared" si="2813"/>
        <v>30</v>
      </c>
      <c r="G3167" s="1969"/>
      <c r="H3167" s="1969"/>
      <c r="I3167" s="1969"/>
      <c r="J3167" s="1970"/>
      <c r="K3167" s="684">
        <f t="shared" si="2809"/>
        <v>1</v>
      </c>
      <c r="L3167" s="708">
        <v>1</v>
      </c>
      <c r="M3167" s="709">
        <f t="shared" si="2810"/>
        <v>1</v>
      </c>
      <c r="N3167" s="362" t="str">
        <f t="shared" si="2739"/>
        <v/>
      </c>
      <c r="O3167" s="1763" t="str">
        <f t="shared" si="2740"/>
        <v/>
      </c>
      <c r="P3167" s="1764" t="str">
        <f t="shared" si="2741"/>
        <v/>
      </c>
      <c r="Q3167" s="120" t="str">
        <f t="shared" si="2742"/>
        <v/>
      </c>
    </row>
    <row r="3168" spans="1:18" s="185" customFormat="1">
      <c r="A3168" s="1771"/>
      <c r="B3168" s="714"/>
      <c r="C3168" s="313" t="s">
        <v>729</v>
      </c>
      <c r="D3168" s="173"/>
      <c r="E3168" s="1786"/>
      <c r="F3168" s="1787"/>
      <c r="G3168" s="710"/>
      <c r="H3168" s="710"/>
      <c r="I3168" s="710"/>
      <c r="J3168" s="711"/>
      <c r="K3168" s="684">
        <f t="shared" si="2809"/>
        <v>1</v>
      </c>
      <c r="L3168" s="708">
        <v>1</v>
      </c>
      <c r="M3168" s="684">
        <f t="shared" ref="M3168" si="2814">IF(B3168="",1,B3168)</f>
        <v>1</v>
      </c>
      <c r="N3168" s="362" t="str">
        <f t="shared" ref="N3168" si="2815">IF(O3168&lt;&gt;"",K3168*L3168*M3168,"")</f>
        <v/>
      </c>
      <c r="O3168" s="1763" t="str">
        <f t="shared" ref="O3168" si="2816">IF(D3168&lt;&gt;"",IF(VLOOKUP(D3168,base_datos,7,FALSE)&lt;&gt;"",VLOOKUP(D3168,base_datos,7,FALSE),""),"")</f>
        <v/>
      </c>
      <c r="P3168" s="1764" t="str">
        <f t="shared" ref="P3168" si="2817">IF(O3168&lt;&gt;"",VLOOKUP(D3168,base_datos,6,FALSE),"")</f>
        <v/>
      </c>
      <c r="Q3168" s="120" t="str">
        <f t="shared" ref="Q3168" si="2818">IF(O3168&lt;&gt;"",D3168,"")</f>
        <v/>
      </c>
    </row>
    <row r="3169" spans="1:18" s="690" customFormat="1" ht="18" customHeight="1">
      <c r="A3169" s="2073"/>
      <c r="B3169" s="1851"/>
      <c r="C3169" s="1966" t="s">
        <v>12546</v>
      </c>
      <c r="D3169" s="1582"/>
      <c r="E3169" s="1780"/>
      <c r="F3169" s="1782"/>
      <c r="G3169" s="1761"/>
      <c r="H3169" s="1761"/>
      <c r="I3169" s="1761"/>
      <c r="J3169" s="689"/>
      <c r="K3169" s="684">
        <f>+K3167</f>
        <v>1</v>
      </c>
      <c r="L3169" s="708">
        <v>1</v>
      </c>
      <c r="M3169" s="709">
        <f t="shared" si="2810"/>
        <v>1</v>
      </c>
      <c r="N3169" s="362" t="str">
        <f t="shared" si="2739"/>
        <v/>
      </c>
      <c r="O3169" s="1763" t="str">
        <f t="shared" si="2740"/>
        <v/>
      </c>
      <c r="P3169" s="1764" t="str">
        <f t="shared" si="2741"/>
        <v/>
      </c>
      <c r="Q3169" s="120" t="str">
        <f t="shared" si="2742"/>
        <v/>
      </c>
      <c r="R3169" s="185"/>
    </row>
    <row r="3170" spans="1:18" s="690" customFormat="1" ht="18" customHeight="1">
      <c r="A3170" s="2073"/>
      <c r="B3170" s="1781">
        <v>1</v>
      </c>
      <c r="C3170" s="1960" t="str">
        <f t="shared" ref="C3170:C3171" si="2819">VLOOKUP(D3170,base_datos,6,FALSE)</f>
        <v>ITM Riel-Din 3x16A - S203-C-16A - 10kA@400Vac-IEC60947-2 - marca ABB.</v>
      </c>
      <c r="D3170" s="2007" t="s">
        <v>984</v>
      </c>
      <c r="E3170" s="1791">
        <f t="shared" ref="E3170:E3171" si="2820">VLOOKUP(D3170,base_datos,5,FALSE)</f>
        <v>32.72</v>
      </c>
      <c r="F3170" s="1782">
        <f t="shared" ref="F3170:F3171" si="2821">+E3170*B3170</f>
        <v>32.72</v>
      </c>
      <c r="G3170" s="1761"/>
      <c r="H3170" s="1761"/>
      <c r="I3170" s="1761"/>
      <c r="J3170" s="1783"/>
      <c r="K3170" s="684">
        <f t="shared" si="2809"/>
        <v>1</v>
      </c>
      <c r="L3170" s="708">
        <v>1</v>
      </c>
      <c r="M3170" s="709">
        <f t="shared" ref="M3170:M3171" si="2822">IF(B3170="",1,B3170)</f>
        <v>1</v>
      </c>
      <c r="N3170" s="362">
        <f t="shared" si="2739"/>
        <v>1</v>
      </c>
      <c r="O3170" s="1763" t="str">
        <f t="shared" si="2740"/>
        <v>2CDS253001R0164</v>
      </c>
      <c r="P3170" s="1764" t="str">
        <f t="shared" si="2741"/>
        <v>ITM Riel-Din 3x16A - S203-C-16A - 10kA@400Vac-IEC60947-2 - marca ABB.</v>
      </c>
      <c r="Q3170" s="120" t="str">
        <f t="shared" si="2742"/>
        <v>S203-C-16A</v>
      </c>
      <c r="R3170" s="185"/>
    </row>
    <row r="3171" spans="1:18" s="690" customFormat="1" ht="18" customHeight="1">
      <c r="A3171" s="2073"/>
      <c r="B3171" s="2023">
        <v>1</v>
      </c>
      <c r="C3171" s="2041" t="str">
        <f t="shared" si="2819"/>
        <v>Interruptor Diferencial 4x25A - 30mA - clase A (inmunizado) - FH204-A-25A-30mA - marca ABB.</v>
      </c>
      <c r="D3171" s="2006" t="s">
        <v>5327</v>
      </c>
      <c r="E3171" s="2025">
        <f t="shared" si="2820"/>
        <v>72.899999999999991</v>
      </c>
      <c r="F3171" s="2026">
        <f t="shared" si="2821"/>
        <v>72.899999999999991</v>
      </c>
      <c r="G3171" s="1761"/>
      <c r="H3171" s="1761"/>
      <c r="I3171" s="1761"/>
      <c r="J3171" s="1783"/>
      <c r="K3171" s="684">
        <f t="shared" si="2809"/>
        <v>1</v>
      </c>
      <c r="L3171" s="708">
        <v>1</v>
      </c>
      <c r="M3171" s="709">
        <f t="shared" si="2822"/>
        <v>1</v>
      </c>
      <c r="N3171" s="362">
        <f t="shared" si="2739"/>
        <v>1</v>
      </c>
      <c r="O3171" s="1763" t="str">
        <f t="shared" si="2740"/>
        <v>2CSF204102R1250</v>
      </c>
      <c r="P3171" s="1764" t="str">
        <f t="shared" si="2741"/>
        <v>Interruptor Diferencial 4x25A - 30mA - clase A (inmunizado) - FH204-A-25A-30mA - marca ABB.</v>
      </c>
      <c r="Q3171" s="120" t="str">
        <f t="shared" si="2742"/>
        <v>FH204-A-25A-30mA</v>
      </c>
      <c r="R3171" s="185"/>
    </row>
    <row r="3172" spans="1:18" s="690" customFormat="1" ht="18" customHeight="1">
      <c r="A3172" s="2073"/>
      <c r="B3172" s="1781">
        <v>3</v>
      </c>
      <c r="C3172" s="1960" t="str">
        <f t="shared" ref="C3172:C3174" si="2823">VLOOKUP(D3172,base_datos,6,FALSE)</f>
        <v>ITM Riel-Din 2x16A - S202-C-16A - 10kA@400Vac-IEC60947-2 - marca ABB.</v>
      </c>
      <c r="D3172" s="2007" t="s">
        <v>970</v>
      </c>
      <c r="E3172" s="1791">
        <f t="shared" ref="E3172:E3174" si="2824">VLOOKUP(D3172,base_datos,5,FALSE)</f>
        <v>17.96</v>
      </c>
      <c r="F3172" s="1782">
        <f t="shared" ref="F3172:F3175" si="2825">+E3172*B3172</f>
        <v>53.88</v>
      </c>
      <c r="G3172" s="1761"/>
      <c r="H3172" s="1761"/>
      <c r="I3172" s="1761"/>
      <c r="J3172" s="1783"/>
      <c r="K3172" s="684">
        <f t="shared" si="2809"/>
        <v>1</v>
      </c>
      <c r="L3172" s="708">
        <v>1</v>
      </c>
      <c r="M3172" s="709">
        <f t="shared" si="2810"/>
        <v>3</v>
      </c>
      <c r="N3172" s="362">
        <f t="shared" si="2739"/>
        <v>3</v>
      </c>
      <c r="O3172" s="1763" t="str">
        <f t="shared" si="2740"/>
        <v>2CDS252001R0164</v>
      </c>
      <c r="P3172" s="1764" t="str">
        <f t="shared" si="2741"/>
        <v>ITM Riel-Din 2x16A - S202-C-16A - 10kA@400Vac-IEC60947-2 - marca ABB.</v>
      </c>
      <c r="Q3172" s="120" t="str">
        <f t="shared" si="2742"/>
        <v>S202-C-16A</v>
      </c>
      <c r="R3172" s="185"/>
    </row>
    <row r="3173" spans="1:18" s="690" customFormat="1" ht="18" customHeight="1">
      <c r="A3173" s="2073"/>
      <c r="B3173" s="2023">
        <v>11</v>
      </c>
      <c r="C3173" s="2041" t="str">
        <f t="shared" si="2823"/>
        <v>Interruptor Diferencial 2x25A - 30mA - clase A (inmunizado) - FH202-A-25A-30mA - marca ABB.</v>
      </c>
      <c r="D3173" s="2006" t="s">
        <v>5318</v>
      </c>
      <c r="E3173" s="2025">
        <f t="shared" si="2824"/>
        <v>50</v>
      </c>
      <c r="F3173" s="2026">
        <f t="shared" si="2825"/>
        <v>550</v>
      </c>
      <c r="G3173" s="1761"/>
      <c r="H3173" s="1761"/>
      <c r="I3173" s="1761"/>
      <c r="J3173" s="1783"/>
      <c r="K3173" s="684">
        <f t="shared" si="2809"/>
        <v>1</v>
      </c>
      <c r="L3173" s="708">
        <v>1</v>
      </c>
      <c r="M3173" s="709">
        <f t="shared" si="2810"/>
        <v>11</v>
      </c>
      <c r="N3173" s="362">
        <f t="shared" si="2739"/>
        <v>11</v>
      </c>
      <c r="O3173" s="1763" t="str">
        <f t="shared" si="2740"/>
        <v>2CSF202102R1250</v>
      </c>
      <c r="P3173" s="1764" t="str">
        <f t="shared" si="2741"/>
        <v>Interruptor Diferencial 2x25A - 30mA - clase A (inmunizado) - FH202-A-25A-30mA - marca ABB.</v>
      </c>
      <c r="Q3173" s="120" t="str">
        <f t="shared" si="2742"/>
        <v>FH202-A-25A-30mA</v>
      </c>
      <c r="R3173" s="185"/>
    </row>
    <row r="3174" spans="1:18" s="690" customFormat="1" ht="18" customHeight="1">
      <c r="A3174" s="2073"/>
      <c r="B3174" s="1781">
        <v>1</v>
      </c>
      <c r="C3174" s="1960" t="str">
        <f t="shared" si="2823"/>
        <v>Espacio de reserva trifásica + interruptor diferencial - Riel-Din.</v>
      </c>
      <c r="D3174" s="2006" t="s">
        <v>2923</v>
      </c>
      <c r="E3174" s="1791">
        <f t="shared" si="2824"/>
        <v>2.5</v>
      </c>
      <c r="F3174" s="1782">
        <f t="shared" si="2825"/>
        <v>2.5</v>
      </c>
      <c r="G3174" s="1761"/>
      <c r="H3174" s="1761"/>
      <c r="I3174" s="1761"/>
      <c r="J3174" s="1783"/>
      <c r="K3174" s="684">
        <f t="shared" si="2809"/>
        <v>1</v>
      </c>
      <c r="L3174" s="708">
        <v>1</v>
      </c>
      <c r="M3174" s="709">
        <f t="shared" si="2810"/>
        <v>1</v>
      </c>
      <c r="N3174" s="362" t="str">
        <f t="shared" si="2739"/>
        <v/>
      </c>
      <c r="O3174" s="1763" t="str">
        <f t="shared" si="2740"/>
        <v/>
      </c>
      <c r="P3174" s="1764" t="str">
        <f t="shared" si="2741"/>
        <v/>
      </c>
      <c r="Q3174" s="120" t="str">
        <f t="shared" si="2742"/>
        <v/>
      </c>
      <c r="R3174" s="185"/>
    </row>
    <row r="3175" spans="1:18" s="695" customFormat="1">
      <c r="A3175" s="2073"/>
      <c r="B3175" s="1967">
        <v>1</v>
      </c>
      <c r="C3175" s="1946">
        <v>8</v>
      </c>
      <c r="D3175" s="1582"/>
      <c r="E3175" s="2000">
        <v>40</v>
      </c>
      <c r="F3175" s="1968">
        <f t="shared" si="2825"/>
        <v>40</v>
      </c>
      <c r="G3175" s="1969"/>
      <c r="H3175" s="1969"/>
      <c r="I3175" s="1969"/>
      <c r="J3175" s="1970"/>
      <c r="K3175" s="684">
        <f t="shared" si="2809"/>
        <v>1</v>
      </c>
      <c r="L3175" s="708">
        <v>1</v>
      </c>
      <c r="M3175" s="709">
        <f t="shared" si="2810"/>
        <v>1</v>
      </c>
      <c r="N3175" s="362" t="str">
        <f t="shared" si="2739"/>
        <v/>
      </c>
      <c r="O3175" s="1763" t="str">
        <f t="shared" si="2740"/>
        <v/>
      </c>
      <c r="P3175" s="1764" t="str">
        <f t="shared" si="2741"/>
        <v/>
      </c>
      <c r="Q3175" s="120" t="str">
        <f t="shared" si="2742"/>
        <v/>
      </c>
    </row>
    <row r="3176" spans="1:18" s="185" customFormat="1">
      <c r="A3176" s="2073"/>
      <c r="B3176" s="714"/>
      <c r="C3176" s="1893" t="s">
        <v>729</v>
      </c>
      <c r="D3176" s="1941"/>
      <c r="E3176" s="1786"/>
      <c r="F3176" s="1787"/>
      <c r="G3176" s="710"/>
      <c r="H3176" s="710"/>
      <c r="I3176" s="710"/>
      <c r="J3176" s="711"/>
      <c r="K3176" s="684">
        <f t="shared" si="2809"/>
        <v>1</v>
      </c>
      <c r="L3176" s="708">
        <v>1</v>
      </c>
      <c r="M3176" s="709">
        <f t="shared" si="2810"/>
        <v>1</v>
      </c>
      <c r="N3176" s="362" t="str">
        <f t="shared" si="2739"/>
        <v/>
      </c>
      <c r="O3176" s="1763" t="str">
        <f t="shared" si="2740"/>
        <v/>
      </c>
      <c r="P3176" s="1764" t="str">
        <f t="shared" si="2741"/>
        <v/>
      </c>
      <c r="Q3176" s="120" t="str">
        <f t="shared" si="2742"/>
        <v/>
      </c>
    </row>
    <row r="3177" spans="1:18" s="690" customFormat="1" ht="18" customHeight="1">
      <c r="A3177" s="2073"/>
      <c r="B3177" s="1851"/>
      <c r="C3177" s="1966" t="s">
        <v>12547</v>
      </c>
      <c r="D3177" s="1582"/>
      <c r="E3177" s="1780"/>
      <c r="F3177" s="1782"/>
      <c r="G3177" s="1761"/>
      <c r="H3177" s="1761"/>
      <c r="I3177" s="1761"/>
      <c r="J3177" s="689"/>
      <c r="K3177" s="684">
        <f t="shared" si="2809"/>
        <v>1</v>
      </c>
      <c r="L3177" s="708">
        <v>1</v>
      </c>
      <c r="M3177" s="709">
        <f t="shared" si="2810"/>
        <v>1</v>
      </c>
      <c r="N3177" s="362" t="str">
        <f t="shared" si="2739"/>
        <v/>
      </c>
      <c r="O3177" s="1763" t="str">
        <f t="shared" si="2740"/>
        <v/>
      </c>
      <c r="P3177" s="1764" t="str">
        <f t="shared" si="2741"/>
        <v/>
      </c>
      <c r="Q3177" s="120" t="str">
        <f t="shared" si="2742"/>
        <v/>
      </c>
      <c r="R3177" s="185"/>
    </row>
    <row r="3178" spans="1:18" s="690" customFormat="1" ht="18" customHeight="1">
      <c r="A3178" s="2073"/>
      <c r="B3178" s="1781">
        <v>3</v>
      </c>
      <c r="C3178" s="1960" t="str">
        <f t="shared" ref="C3178:C3180" si="2826">VLOOKUP(D3178,base_datos,6,FALSE)</f>
        <v>ITM Riel-Din 2x16A - S202-C-16A - 10kA@400Vac-IEC60947-2 - marca ABB.</v>
      </c>
      <c r="D3178" s="2007" t="s">
        <v>970</v>
      </c>
      <c r="E3178" s="1791">
        <f t="shared" ref="E3178:E3180" si="2827">VLOOKUP(D3178,base_datos,5,FALSE)</f>
        <v>17.96</v>
      </c>
      <c r="F3178" s="1782">
        <f t="shared" ref="F3178:F3181" si="2828">+E3178*B3178</f>
        <v>53.88</v>
      </c>
      <c r="G3178" s="1761"/>
      <c r="H3178" s="1761"/>
      <c r="I3178" s="1761"/>
      <c r="J3178" s="1783"/>
      <c r="K3178" s="684">
        <f t="shared" si="2809"/>
        <v>1</v>
      </c>
      <c r="L3178" s="708">
        <v>1</v>
      </c>
      <c r="M3178" s="709">
        <f t="shared" si="2810"/>
        <v>3</v>
      </c>
      <c r="N3178" s="362">
        <f t="shared" si="2739"/>
        <v>3</v>
      </c>
      <c r="O3178" s="1763" t="str">
        <f t="shared" si="2740"/>
        <v>2CDS252001R0164</v>
      </c>
      <c r="P3178" s="1764" t="str">
        <f t="shared" si="2741"/>
        <v>ITM Riel-Din 2x16A - S202-C-16A - 10kA@400Vac-IEC60947-2 - marca ABB.</v>
      </c>
      <c r="Q3178" s="120" t="str">
        <f t="shared" si="2742"/>
        <v>S202-C-16A</v>
      </c>
      <c r="R3178" s="185"/>
    </row>
    <row r="3179" spans="1:18" s="690" customFormat="1" ht="18" customHeight="1">
      <c r="A3179" s="2073"/>
      <c r="B3179" s="2023">
        <v>3</v>
      </c>
      <c r="C3179" s="2041" t="str">
        <f t="shared" si="2826"/>
        <v>Interruptor Diferencial 2x25A - 30mA - clase A (inmunizado) - FH202-A-25A-30mA - marca ABB.</v>
      </c>
      <c r="D3179" s="2006" t="s">
        <v>5318</v>
      </c>
      <c r="E3179" s="2025">
        <f t="shared" si="2827"/>
        <v>50</v>
      </c>
      <c r="F3179" s="2026">
        <f t="shared" si="2828"/>
        <v>150</v>
      </c>
      <c r="G3179" s="1761"/>
      <c r="H3179" s="1761"/>
      <c r="I3179" s="1761"/>
      <c r="J3179" s="1783"/>
      <c r="K3179" s="684">
        <f t="shared" si="2809"/>
        <v>1</v>
      </c>
      <c r="L3179" s="708">
        <v>1</v>
      </c>
      <c r="M3179" s="709">
        <f t="shared" si="2810"/>
        <v>3</v>
      </c>
      <c r="N3179" s="362">
        <f t="shared" si="2739"/>
        <v>3</v>
      </c>
      <c r="O3179" s="1763" t="str">
        <f t="shared" si="2740"/>
        <v>2CSF202102R1250</v>
      </c>
      <c r="P3179" s="1764" t="str">
        <f t="shared" si="2741"/>
        <v>Interruptor Diferencial 2x25A - 30mA - clase A (inmunizado) - FH202-A-25A-30mA - marca ABB.</v>
      </c>
      <c r="Q3179" s="120" t="str">
        <f t="shared" si="2742"/>
        <v>FH202-A-25A-30mA</v>
      </c>
      <c r="R3179" s="185"/>
    </row>
    <row r="3180" spans="1:18" s="690" customFormat="1" ht="18" customHeight="1">
      <c r="A3180" s="2073"/>
      <c r="B3180" s="1781">
        <v>1</v>
      </c>
      <c r="C3180" s="1960" t="str">
        <f t="shared" si="2826"/>
        <v>Espacio de reserva trifásica - Riel-Din.</v>
      </c>
      <c r="D3180" s="2006" t="s">
        <v>2921</v>
      </c>
      <c r="E3180" s="1791">
        <f t="shared" si="2827"/>
        <v>1.5</v>
      </c>
      <c r="F3180" s="1782">
        <f t="shared" si="2828"/>
        <v>1.5</v>
      </c>
      <c r="G3180" s="1761"/>
      <c r="H3180" s="1761"/>
      <c r="I3180" s="1761"/>
      <c r="J3180" s="1783"/>
      <c r="K3180" s="684">
        <f t="shared" si="2809"/>
        <v>1</v>
      </c>
      <c r="L3180" s="708">
        <v>1</v>
      </c>
      <c r="M3180" s="709">
        <f t="shared" si="2810"/>
        <v>1</v>
      </c>
      <c r="N3180" s="362" t="str">
        <f t="shared" si="2739"/>
        <v/>
      </c>
      <c r="O3180" s="1763" t="str">
        <f t="shared" si="2740"/>
        <v/>
      </c>
      <c r="P3180" s="1764" t="str">
        <f t="shared" si="2741"/>
        <v/>
      </c>
      <c r="Q3180" s="120" t="str">
        <f t="shared" si="2742"/>
        <v/>
      </c>
      <c r="R3180" s="185"/>
    </row>
    <row r="3181" spans="1:18" s="695" customFormat="1">
      <c r="A3181" s="2073"/>
      <c r="B3181" s="1967">
        <v>1</v>
      </c>
      <c r="C3181" s="1946">
        <v>8</v>
      </c>
      <c r="D3181" s="1582"/>
      <c r="E3181" s="2000">
        <v>40</v>
      </c>
      <c r="F3181" s="1968">
        <f t="shared" si="2828"/>
        <v>40</v>
      </c>
      <c r="G3181" s="1969"/>
      <c r="H3181" s="1969"/>
      <c r="I3181" s="1969"/>
      <c r="J3181" s="1970"/>
      <c r="K3181" s="684">
        <f t="shared" si="2809"/>
        <v>1</v>
      </c>
      <c r="L3181" s="363">
        <v>1</v>
      </c>
      <c r="M3181" s="709">
        <f t="shared" si="2810"/>
        <v>1</v>
      </c>
      <c r="N3181" s="362" t="str">
        <f t="shared" si="2739"/>
        <v/>
      </c>
      <c r="O3181" s="1763" t="str">
        <f t="shared" si="2740"/>
        <v/>
      </c>
      <c r="P3181" s="1764" t="str">
        <f t="shared" si="2741"/>
        <v/>
      </c>
      <c r="Q3181" s="120" t="str">
        <f t="shared" si="2742"/>
        <v/>
      </c>
    </row>
    <row r="3182" spans="1:18" s="185" customFormat="1">
      <c r="A3182" s="2073"/>
      <c r="B3182" s="714"/>
      <c r="C3182" s="1893" t="s">
        <v>729</v>
      </c>
      <c r="D3182" s="1941"/>
      <c r="E3182" s="1786"/>
      <c r="F3182" s="1787"/>
      <c r="G3182" s="710"/>
      <c r="H3182" s="710"/>
      <c r="I3182" s="710"/>
      <c r="J3182" s="711"/>
      <c r="K3182" s="684">
        <f t="shared" si="2809"/>
        <v>1</v>
      </c>
      <c r="L3182" s="363">
        <v>1</v>
      </c>
      <c r="M3182" s="709">
        <f t="shared" si="2810"/>
        <v>1</v>
      </c>
      <c r="N3182" s="362" t="str">
        <f t="shared" si="2739"/>
        <v/>
      </c>
      <c r="O3182" s="1763" t="str">
        <f t="shared" si="2740"/>
        <v/>
      </c>
      <c r="P3182" s="1764" t="str">
        <f t="shared" si="2741"/>
        <v/>
      </c>
      <c r="Q3182" s="120" t="str">
        <f t="shared" si="2742"/>
        <v/>
      </c>
    </row>
    <row r="3183" spans="1:18" s="315" customFormat="1">
      <c r="A3183" s="1785"/>
      <c r="B3183" s="1906">
        <v>1</v>
      </c>
      <c r="C3183" s="1944" t="s">
        <v>13040</v>
      </c>
      <c r="D3183" s="1941"/>
      <c r="E3183" s="1786"/>
      <c r="F3183" s="1908">
        <f>SUM(F3184:F3189)*(B3183-1)</f>
        <v>0</v>
      </c>
      <c r="G3183" s="712"/>
      <c r="H3183" s="712"/>
      <c r="I3183" s="712"/>
      <c r="J3183" s="713"/>
      <c r="K3183" s="684">
        <f t="shared" si="2809"/>
        <v>1</v>
      </c>
      <c r="L3183" s="2224">
        <f>B3183</f>
        <v>1</v>
      </c>
      <c r="M3183" s="709">
        <f>IF(B3183="",1,B3183)</f>
        <v>1</v>
      </c>
      <c r="N3183" s="362" t="str">
        <f t="shared" si="2739"/>
        <v/>
      </c>
      <c r="O3183" s="1763" t="str">
        <f t="shared" si="2740"/>
        <v/>
      </c>
      <c r="P3183" s="1764" t="str">
        <f t="shared" si="2741"/>
        <v/>
      </c>
      <c r="Q3183" s="120" t="str">
        <f t="shared" si="2742"/>
        <v/>
      </c>
    </row>
    <row r="3184" spans="1:18" s="690" customFormat="1" ht="18" customHeight="1">
      <c r="A3184" s="691"/>
      <c r="B3184" s="1781">
        <v>1</v>
      </c>
      <c r="C3184" s="1420" t="str">
        <f>VLOOKUP(D3184,base_datos,6,FALSE)</f>
        <v>Contactor 3x09A(AC-3) / 3x25A(AC-1) +1NA - AF09-30-10-13 - bobina 100-250Vac/dc - marca ABB.</v>
      </c>
      <c r="D3184" s="1901" t="s">
        <v>1447</v>
      </c>
      <c r="E3184" s="1791">
        <f>VLOOKUP(D3184,base_datos,5,FALSE)</f>
        <v>29.89</v>
      </c>
      <c r="F3184" s="1912">
        <f>+E3184*B3184</f>
        <v>29.89</v>
      </c>
      <c r="G3184" s="1761"/>
      <c r="H3184" s="1761"/>
      <c r="I3184" s="1761"/>
      <c r="J3184" s="1783"/>
      <c r="K3184" s="684">
        <f t="shared" si="2809"/>
        <v>1</v>
      </c>
      <c r="L3184" s="1913">
        <f>L3183</f>
        <v>1</v>
      </c>
      <c r="M3184" s="709">
        <f t="shared" ref="M3184:M3189" si="2829">IF(B3184="",1,B3184)</f>
        <v>1</v>
      </c>
      <c r="N3184" s="362">
        <f t="shared" si="2739"/>
        <v>1</v>
      </c>
      <c r="O3184" s="1763" t="str">
        <f t="shared" si="2740"/>
        <v>1SBL137001R1310</v>
      </c>
      <c r="P3184" s="1764" t="str">
        <f t="shared" si="2741"/>
        <v>Contactor 3x09A(AC-3) / 3x25A(AC-1) +1NA - AF09-30-10-13 - bobina 100-250Vac/dc - marca ABB.</v>
      </c>
      <c r="Q3184" s="120" t="str">
        <f t="shared" si="2742"/>
        <v>AF09-30-10-13_3p</v>
      </c>
      <c r="R3184" s="185"/>
    </row>
    <row r="3185" spans="1:18" s="690" customFormat="1" ht="18" customHeight="1">
      <c r="A3185" s="691"/>
      <c r="B3185" s="1922">
        <v>1</v>
      </c>
      <c r="C3185" s="1848" t="str">
        <f>VLOOKUP(D3185,base_datos,6,FALSE)</f>
        <v>Contacto auxiliar frontal 1NA para contactor AF09..AF16-30-10, frontal - Modelo CA4-10 - marca ABB.</v>
      </c>
      <c r="D3185" s="1901" t="s">
        <v>2718</v>
      </c>
      <c r="E3185" s="1791">
        <f>VLOOKUP(D3185,base_datos,5,FALSE)</f>
        <v>5.92</v>
      </c>
      <c r="F3185" s="1912">
        <f>+E3185*B3185</f>
        <v>5.92</v>
      </c>
      <c r="G3185" s="1761"/>
      <c r="H3185" s="1761"/>
      <c r="I3185" s="1761"/>
      <c r="J3185" s="1783"/>
      <c r="K3185" s="684">
        <f t="shared" si="2809"/>
        <v>1</v>
      </c>
      <c r="L3185" s="1913">
        <f t="shared" ref="L3185:L3187" si="2830">L3184</f>
        <v>1</v>
      </c>
      <c r="M3185" s="709">
        <f t="shared" si="2829"/>
        <v>1</v>
      </c>
      <c r="N3185" s="362">
        <f t="shared" si="2739"/>
        <v>1</v>
      </c>
      <c r="O3185" s="1763" t="str">
        <f t="shared" si="2740"/>
        <v>1SBN010110R1010</v>
      </c>
      <c r="P3185" s="1764" t="str">
        <f t="shared" si="2741"/>
        <v>Contacto auxiliar frontal 1NA para contactor AF09..AF16-30-10, frontal - Modelo CA4-10 - marca ABB.</v>
      </c>
      <c r="Q3185" s="120" t="str">
        <f t="shared" si="2742"/>
        <v>CA4-10</v>
      </c>
      <c r="R3185" s="185"/>
    </row>
    <row r="3186" spans="1:18" s="1921" customFormat="1">
      <c r="A3186" s="687"/>
      <c r="B3186" s="1914">
        <v>1</v>
      </c>
      <c r="C3186" s="1915" t="s">
        <v>3366</v>
      </c>
      <c r="D3186" s="1916"/>
      <c r="E3186" s="1917"/>
      <c r="F3186" s="1918"/>
      <c r="G3186" s="1919"/>
      <c r="H3186" s="1919"/>
      <c r="I3186" s="1919"/>
      <c r="J3186" s="1920"/>
      <c r="K3186" s="684">
        <f t="shared" si="2809"/>
        <v>1</v>
      </c>
      <c r="L3186" s="1913">
        <f t="shared" si="2830"/>
        <v>1</v>
      </c>
      <c r="M3186" s="684">
        <f t="shared" si="2829"/>
        <v>1</v>
      </c>
      <c r="N3186" s="362" t="str">
        <f t="shared" ref="N3186" si="2831">IF(O3186&lt;&gt;"",K3186*L3186*M3186,"")</f>
        <v/>
      </c>
      <c r="O3186" s="1763" t="str">
        <f t="shared" ref="O3186" si="2832">IF(D3186&lt;&gt;"",IF(VLOOKUP(D3186,base_datos,7,FALSE)&lt;&gt;"",VLOOKUP(D3186,base_datos,7,FALSE),""),"")</f>
        <v/>
      </c>
      <c r="P3186" s="1764" t="str">
        <f t="shared" ref="P3186" si="2833">IF(O3186&lt;&gt;"",VLOOKUP(D3186,base_datos,6,FALSE),"")</f>
        <v/>
      </c>
      <c r="Q3186" s="120" t="str">
        <f t="shared" ref="Q3186" si="2834">IF(O3186&lt;&gt;"",D3186,"")</f>
        <v/>
      </c>
    </row>
    <row r="3187" spans="1:18" s="695" customFormat="1" ht="18" customHeight="1">
      <c r="A3187" s="693"/>
      <c r="B3187" s="1922">
        <v>1</v>
      </c>
      <c r="C3187" s="1848" t="str">
        <f t="shared" ref="C3187:C3189" si="2835">VLOOKUP(D3187,base_datos,6,FALSE)</f>
        <v>Base portafusibles + Fusibles de protección para control.</v>
      </c>
      <c r="D3187" s="1886" t="s">
        <v>453</v>
      </c>
      <c r="E3187" s="1795">
        <f t="shared" ref="E3187:E3189" si="2836">VLOOKUP(D3187,base_datos,5,FALSE)</f>
        <v>8.1750000000000007</v>
      </c>
      <c r="F3187" s="1923">
        <f t="shared" ref="F3187:F3189" si="2837">+E3187*B3187</f>
        <v>8.1750000000000007</v>
      </c>
      <c r="G3187" s="696"/>
      <c r="H3187" s="696"/>
      <c r="I3187" s="696"/>
      <c r="J3187" s="697"/>
      <c r="K3187" s="684">
        <f t="shared" si="2809"/>
        <v>1</v>
      </c>
      <c r="L3187" s="1913">
        <f t="shared" si="2830"/>
        <v>1</v>
      </c>
      <c r="M3187" s="709">
        <f t="shared" si="2829"/>
        <v>1</v>
      </c>
      <c r="N3187" s="362" t="str">
        <f t="shared" si="2739"/>
        <v/>
      </c>
      <c r="O3187" s="1763" t="str">
        <f t="shared" si="2740"/>
        <v/>
      </c>
      <c r="P3187" s="1764" t="str">
        <f t="shared" si="2741"/>
        <v/>
      </c>
      <c r="Q3187" s="120" t="str">
        <f t="shared" si="2742"/>
        <v/>
      </c>
      <c r="R3187" s="185"/>
    </row>
    <row r="3188" spans="1:18" s="695" customFormat="1" ht="18" customHeight="1">
      <c r="A3188" s="693"/>
      <c r="B3188" s="1922">
        <v>1</v>
      </c>
      <c r="C3188" s="1848" t="str">
        <f t="shared" ref="C3188" si="2838">VLOOKUP(D3188,base_datos,6,FALSE)</f>
        <v>Borne para neutro.</v>
      </c>
      <c r="D3188" s="1886" t="s">
        <v>436</v>
      </c>
      <c r="E3188" s="1795">
        <f t="shared" ref="E3188" si="2839">VLOOKUP(D3188,base_datos,5,FALSE)</f>
        <v>4</v>
      </c>
      <c r="F3188" s="1923">
        <f t="shared" ref="F3188" si="2840">+E3188*B3188</f>
        <v>4</v>
      </c>
      <c r="G3188" s="696"/>
      <c r="H3188" s="696"/>
      <c r="I3188" s="696"/>
      <c r="J3188" s="697"/>
      <c r="K3188" s="684">
        <f t="shared" si="2809"/>
        <v>1</v>
      </c>
      <c r="L3188" s="1913">
        <f>L3186</f>
        <v>1</v>
      </c>
      <c r="M3188" s="709">
        <f t="shared" ref="M3188" si="2841">IF(B3188="",1,B3188)</f>
        <v>1</v>
      </c>
      <c r="N3188" s="362" t="str">
        <f t="shared" ref="N3188" si="2842">IF(O3188&lt;&gt;"",K3188*L3188*M3188,"")</f>
        <v/>
      </c>
      <c r="O3188" s="1763" t="str">
        <f t="shared" ref="O3188" si="2843">IF(D3188&lt;&gt;"",IF(VLOOKUP(D3188,base_datos,7,FALSE)&lt;&gt;"",VLOOKUP(D3188,base_datos,7,FALSE),""),"")</f>
        <v/>
      </c>
      <c r="P3188" s="1764" t="str">
        <f t="shared" ref="P3188" si="2844">IF(O3188&lt;&gt;"",VLOOKUP(D3188,base_datos,6,FALSE),"")</f>
        <v/>
      </c>
      <c r="Q3188" s="120" t="str">
        <f t="shared" ref="Q3188" si="2845">IF(O3188&lt;&gt;"",D3188,"")</f>
        <v/>
      </c>
      <c r="R3188" s="185"/>
    </row>
    <row r="3189" spans="1:18" s="695" customFormat="1" ht="18" customHeight="1">
      <c r="A3189" s="693"/>
      <c r="B3189" s="1922">
        <v>2</v>
      </c>
      <c r="C3189" s="1848" t="str">
        <f t="shared" si="2835"/>
        <v>Borne 4mm2.</v>
      </c>
      <c r="D3189" s="1886" t="s">
        <v>437</v>
      </c>
      <c r="E3189" s="1795">
        <f t="shared" si="2836"/>
        <v>2.5</v>
      </c>
      <c r="F3189" s="1923">
        <f t="shared" si="2837"/>
        <v>5</v>
      </c>
      <c r="G3189" s="696"/>
      <c r="H3189" s="696"/>
      <c r="I3189" s="696"/>
      <c r="J3189" s="697"/>
      <c r="K3189" s="684">
        <f t="shared" si="2809"/>
        <v>1</v>
      </c>
      <c r="L3189" s="1913">
        <f>L3187</f>
        <v>1</v>
      </c>
      <c r="M3189" s="709">
        <f t="shared" si="2829"/>
        <v>2</v>
      </c>
      <c r="N3189" s="362" t="str">
        <f t="shared" si="2739"/>
        <v/>
      </c>
      <c r="O3189" s="1763" t="str">
        <f t="shared" si="2740"/>
        <v/>
      </c>
      <c r="P3189" s="1764" t="str">
        <f t="shared" si="2741"/>
        <v/>
      </c>
      <c r="Q3189" s="120" t="str">
        <f t="shared" si="2742"/>
        <v/>
      </c>
      <c r="R3189" s="185"/>
    </row>
    <row r="3190" spans="1:18" s="185" customFormat="1">
      <c r="A3190" s="692"/>
      <c r="B3190" s="714"/>
      <c r="C3190" s="1893" t="s">
        <v>729</v>
      </c>
      <c r="D3190" s="1941"/>
      <c r="E3190" s="1786"/>
      <c r="F3190" s="1787"/>
      <c r="G3190" s="710"/>
      <c r="H3190" s="710"/>
      <c r="I3190" s="710"/>
      <c r="J3190" s="711"/>
      <c r="K3190" s="684">
        <f t="shared" si="2809"/>
        <v>1</v>
      </c>
      <c r="L3190" s="363">
        <v>1</v>
      </c>
      <c r="M3190" s="709">
        <f>IF(B3190="",1,B3190)</f>
        <v>1</v>
      </c>
      <c r="N3190" s="362" t="str">
        <f t="shared" si="2739"/>
        <v/>
      </c>
      <c r="O3190" s="1763" t="str">
        <f t="shared" si="2740"/>
        <v/>
      </c>
      <c r="P3190" s="1764" t="str">
        <f t="shared" si="2741"/>
        <v/>
      </c>
      <c r="Q3190" s="120" t="str">
        <f t="shared" si="2742"/>
        <v/>
      </c>
    </row>
    <row r="3191" spans="1:18" s="2434" customFormat="1" ht="18" customHeight="1">
      <c r="A3191" s="2418"/>
      <c r="B3191" s="2419">
        <v>1</v>
      </c>
      <c r="C3191" s="2420" t="s">
        <v>13045</v>
      </c>
      <c r="D3191" s="2421"/>
      <c r="E3191" s="2422"/>
      <c r="F3191" s="2423">
        <f>SUM(F3192:F3196)*(B3191-1)</f>
        <v>0</v>
      </c>
      <c r="G3191" s="2424"/>
      <c r="H3191" s="2424"/>
      <c r="I3191" s="2424"/>
      <c r="J3191" s="2425"/>
      <c r="K3191" s="2426">
        <f>K3189</f>
        <v>1</v>
      </c>
      <c r="L3191" s="2427">
        <f>B3191</f>
        <v>1</v>
      </c>
      <c r="M3191" s="2428">
        <f t="shared" ref="M3191:M3193" si="2846">IF(B3191="",1,B3191)</f>
        <v>1</v>
      </c>
      <c r="N3191" s="2429" t="str">
        <f>IF(O3191&lt;&gt;"",K3191*L3191*M3191,"")</f>
        <v/>
      </c>
      <c r="O3191" s="2430" t="str">
        <f>IF(D3191&lt;&gt;"",IF(VLOOKUP(D3191,base_datos,7,FALSE)&lt;&gt;"",VLOOKUP(D3191,base_datos,7,FALSE),""),"")</f>
        <v/>
      </c>
      <c r="P3191" s="2431" t="str">
        <f>IF(O3191&lt;&gt;"",VLOOKUP(D3191,base_datos,6,FALSE),"")</f>
        <v/>
      </c>
      <c r="Q3191" s="2432" t="str">
        <f>IF(O3191&lt;&gt;"",D3191,"")</f>
        <v/>
      </c>
      <c r="R3191" s="2433"/>
    </row>
    <row r="3192" spans="1:18" s="2434" customFormat="1" ht="18" customHeight="1">
      <c r="A3192" s="2418"/>
      <c r="B3192" s="2435">
        <v>1</v>
      </c>
      <c r="C3192" s="2436" t="str">
        <f>VLOOKUP(D3192,base_datos,6,FALSE)</f>
        <v>Selector 3 posiciones mantenidos - 1-0-2 / M-0-A - maneta corta, contactos 2NA - C3SS1-10B-20 - compacto - marca ABB.</v>
      </c>
      <c r="D3192" s="2437" t="s">
        <v>1223</v>
      </c>
      <c r="E3192" s="2422">
        <f>VLOOKUP(D3192,base_datos,5,FALSE)</f>
        <v>16.680000000000003</v>
      </c>
      <c r="F3192" s="2438">
        <f t="shared" ref="F3192" si="2847">+E3192*B3192</f>
        <v>16.680000000000003</v>
      </c>
      <c r="G3192" s="2424"/>
      <c r="H3192" s="2424"/>
      <c r="I3192" s="2424"/>
      <c r="J3192" s="2425"/>
      <c r="K3192" s="2426">
        <f t="shared" ref="K3192:K3202" si="2848">K3190</f>
        <v>1</v>
      </c>
      <c r="L3192" s="2427">
        <f>L3191</f>
        <v>1</v>
      </c>
      <c r="M3192" s="2428">
        <f t="shared" si="2846"/>
        <v>1</v>
      </c>
      <c r="N3192" s="2429">
        <f>IF(O3192&lt;&gt;"",K3192*L3192*M3192,"")</f>
        <v>1</v>
      </c>
      <c r="O3192" s="2430" t="str">
        <f>IF(D3192&lt;&gt;"",IF(VLOOKUP(D3192,base_datos,7,FALSE)&lt;&gt;"",VLOOKUP(D3192,base_datos,7,FALSE),""),"")</f>
        <v>1SFA619210R1026</v>
      </c>
      <c r="P3192" s="2431" t="str">
        <f>IF(O3192&lt;&gt;"",VLOOKUP(D3192,base_datos,6,FALSE),"")</f>
        <v>Selector 3 posiciones mantenidos - 1-0-2 / M-0-A - maneta corta, contactos 2NA - C3SS1-10B-20 - compacto - marca ABB.</v>
      </c>
      <c r="Q3192" s="2432" t="str">
        <f>IF(O3192&lt;&gt;"",D3192,"")</f>
        <v>SEL_1-0-2</v>
      </c>
      <c r="R3192" s="2433"/>
    </row>
    <row r="3193" spans="1:18" s="2432" customFormat="1">
      <c r="A3193" s="2418"/>
      <c r="B3193" s="2435">
        <v>1</v>
      </c>
      <c r="C3193" s="2439" t="s">
        <v>3366</v>
      </c>
      <c r="D3193" s="2440"/>
      <c r="E3193" s="2422"/>
      <c r="F3193" s="2438"/>
      <c r="G3193" s="2441"/>
      <c r="H3193" s="2441"/>
      <c r="I3193" s="2441"/>
      <c r="J3193" s="2442"/>
      <c r="K3193" s="2426">
        <f t="shared" si="2848"/>
        <v>1</v>
      </c>
      <c r="L3193" s="2427">
        <f>L3194</f>
        <v>1</v>
      </c>
      <c r="M3193" s="2426">
        <f t="shared" si="2846"/>
        <v>1</v>
      </c>
      <c r="N3193" s="2429" t="str">
        <f t="shared" ref="N3193" si="2849">IF(O3193&lt;&gt;"",K3193*L3193*M3193,"")</f>
        <v/>
      </c>
      <c r="O3193" s="2430" t="str">
        <f t="shared" ref="O3193" si="2850">IF(D3193&lt;&gt;"",IF(VLOOKUP(D3193,base_datos,7,FALSE)&lt;&gt;"",VLOOKUP(D3193,base_datos,7,FALSE),""),"")</f>
        <v/>
      </c>
      <c r="P3193" s="2431" t="str">
        <f t="shared" ref="P3193" si="2851">IF(O3193&lt;&gt;"",VLOOKUP(D3193,base_datos,6,FALSE),"")</f>
        <v/>
      </c>
      <c r="Q3193" s="2432" t="str">
        <f t="shared" ref="Q3193" si="2852">IF(O3193&lt;&gt;"",D3193,"")</f>
        <v/>
      </c>
    </row>
    <row r="3194" spans="1:18" s="2450" customFormat="1" ht="18" customHeight="1">
      <c r="A3194" s="2443"/>
      <c r="B3194" s="2444">
        <v>1</v>
      </c>
      <c r="C3194" s="2445" t="str">
        <f t="shared" ref="C3194:C3196" si="2853">VLOOKUP(D3194,base_datos,6,FALSE)</f>
        <v>Base portafusibles + Fusibles de protección para control.</v>
      </c>
      <c r="D3194" s="2446" t="s">
        <v>453</v>
      </c>
      <c r="E3194" s="2447">
        <f t="shared" ref="E3194:E3196" si="2854">VLOOKUP(D3194,base_datos,5,FALSE)</f>
        <v>8.1750000000000007</v>
      </c>
      <c r="F3194" s="2438">
        <f>+E3194*B3194</f>
        <v>8.1750000000000007</v>
      </c>
      <c r="G3194" s="2448"/>
      <c r="H3194" s="2448"/>
      <c r="I3194" s="2448"/>
      <c r="J3194" s="2449"/>
      <c r="K3194" s="2426">
        <f t="shared" si="2848"/>
        <v>1</v>
      </c>
      <c r="L3194" s="2427">
        <f>L3192</f>
        <v>1</v>
      </c>
      <c r="M3194" s="2428">
        <f>IF(B3194="",1,B3194)</f>
        <v>1</v>
      </c>
      <c r="N3194" s="2429" t="str">
        <f>IF(O3194&lt;&gt;"",K3194*L3194*M3194,"")</f>
        <v/>
      </c>
      <c r="O3194" s="2430" t="str">
        <f>IF(D3194&lt;&gt;"",IF(VLOOKUP(D3194,base_datos,7,FALSE)&lt;&gt;"",VLOOKUP(D3194,base_datos,7,FALSE),""),"")</f>
        <v/>
      </c>
      <c r="P3194" s="2431" t="str">
        <f>IF(O3194&lt;&gt;"",VLOOKUP(D3194,base_datos,6,FALSE),"")</f>
        <v/>
      </c>
      <c r="Q3194" s="2432" t="str">
        <f>IF(O3194&lt;&gt;"",D3194,"")</f>
        <v/>
      </c>
      <c r="R3194" s="2433"/>
    </row>
    <row r="3195" spans="1:18" s="2450" customFormat="1" ht="18" customHeight="1">
      <c r="A3195" s="2443"/>
      <c r="B3195" s="2444">
        <v>1</v>
      </c>
      <c r="C3195" s="2445" t="str">
        <f t="shared" si="2853"/>
        <v>Borne para neutro.</v>
      </c>
      <c r="D3195" s="2451" t="s">
        <v>436</v>
      </c>
      <c r="E3195" s="2447">
        <f t="shared" si="2854"/>
        <v>4</v>
      </c>
      <c r="F3195" s="2438">
        <f t="shared" ref="F3195:F3196" si="2855">+E3195*B3195</f>
        <v>4</v>
      </c>
      <c r="G3195" s="2448"/>
      <c r="H3195" s="2448"/>
      <c r="I3195" s="2448"/>
      <c r="J3195" s="2449"/>
      <c r="K3195" s="2426">
        <f t="shared" si="2848"/>
        <v>1</v>
      </c>
      <c r="L3195" s="2427">
        <f>L3193</f>
        <v>1</v>
      </c>
      <c r="M3195" s="2428">
        <f t="shared" ref="M3195:M3197" si="2856">IF(B3195="",1,B3195)</f>
        <v>1</v>
      </c>
      <c r="N3195" s="2429" t="str">
        <f t="shared" ref="N3195:N3196" si="2857">IF(O3195&lt;&gt;"",K3195*L3195*M3195,"")</f>
        <v/>
      </c>
      <c r="O3195" s="2430" t="str">
        <f t="shared" ref="O3195:O3196" si="2858">IF(D3195&lt;&gt;"",IF(VLOOKUP(D3195,base_datos,7,FALSE)&lt;&gt;"",VLOOKUP(D3195,base_datos,7,FALSE),""),"")</f>
        <v/>
      </c>
      <c r="P3195" s="2431" t="str">
        <f t="shared" ref="P3195:P3196" si="2859">IF(O3195&lt;&gt;"",VLOOKUP(D3195,base_datos,6,FALSE),"")</f>
        <v/>
      </c>
      <c r="Q3195" s="2432" t="str">
        <f t="shared" ref="Q3195:Q3196" si="2860">IF(O3195&lt;&gt;"",D3195,"")</f>
        <v/>
      </c>
      <c r="R3195" s="2433"/>
    </row>
    <row r="3196" spans="1:18" s="2450" customFormat="1" ht="18" customHeight="1">
      <c r="A3196" s="2443"/>
      <c r="B3196" s="2444">
        <v>2</v>
      </c>
      <c r="C3196" s="2445" t="str">
        <f t="shared" si="2853"/>
        <v>Borne 4mm2.</v>
      </c>
      <c r="D3196" s="2446" t="s">
        <v>437</v>
      </c>
      <c r="E3196" s="2447">
        <f t="shared" si="2854"/>
        <v>2.5</v>
      </c>
      <c r="F3196" s="2438">
        <f t="shared" si="2855"/>
        <v>5</v>
      </c>
      <c r="G3196" s="2448"/>
      <c r="H3196" s="2448"/>
      <c r="I3196" s="2448"/>
      <c r="J3196" s="2449"/>
      <c r="K3196" s="2426">
        <f t="shared" si="2848"/>
        <v>1</v>
      </c>
      <c r="L3196" s="2427">
        <f t="shared" ref="L3196" si="2861">L3195</f>
        <v>1</v>
      </c>
      <c r="M3196" s="2428">
        <f t="shared" si="2856"/>
        <v>2</v>
      </c>
      <c r="N3196" s="2429" t="str">
        <f t="shared" si="2857"/>
        <v/>
      </c>
      <c r="O3196" s="2430" t="str">
        <f t="shared" si="2858"/>
        <v/>
      </c>
      <c r="P3196" s="2431" t="str">
        <f t="shared" si="2859"/>
        <v/>
      </c>
      <c r="Q3196" s="2432" t="str">
        <f t="shared" si="2860"/>
        <v/>
      </c>
      <c r="R3196" s="2433"/>
    </row>
    <row r="3197" spans="1:18" s="2433" customFormat="1">
      <c r="A3197" s="2418"/>
      <c r="B3197" s="2452"/>
      <c r="C3197" s="2453" t="s">
        <v>729</v>
      </c>
      <c r="D3197" s="2451"/>
      <c r="E3197" s="2454"/>
      <c r="F3197" s="2455"/>
      <c r="G3197" s="2456"/>
      <c r="H3197" s="2456"/>
      <c r="I3197" s="2456"/>
      <c r="J3197" s="2457"/>
      <c r="K3197" s="2426">
        <f t="shared" si="2848"/>
        <v>1</v>
      </c>
      <c r="L3197" s="2458">
        <v>1</v>
      </c>
      <c r="M3197" s="2426">
        <f t="shared" si="2856"/>
        <v>1</v>
      </c>
      <c r="N3197" s="2459" t="str">
        <f>IF(O3197&lt;&gt;"",K3197*L3197*M3197,"")</f>
        <v/>
      </c>
      <c r="O3197" s="2460" t="str">
        <f>IF(D3197&lt;&gt;"",IF(VLOOKUP(D3197,base_datos,7,FALSE)&lt;&gt;"",VLOOKUP(D3197,base_datos,7,FALSE),""),"")</f>
        <v/>
      </c>
      <c r="P3197" s="2461" t="str">
        <f>IF(O3197&lt;&gt;"",VLOOKUP(D3197,base_datos,6,FALSE),"")</f>
        <v/>
      </c>
      <c r="Q3197" s="2433" t="str">
        <f>IF(O3197&lt;&gt;"",D3197,"")</f>
        <v/>
      </c>
    </row>
    <row r="3198" spans="1:18" s="2450" customFormat="1" ht="18" customHeight="1">
      <c r="A3198" s="2462"/>
      <c r="B3198" s="2444">
        <v>1</v>
      </c>
      <c r="C3198" s="2445" t="str">
        <f>VLOOKUP(D3198,base_datos,6,FALSE)</f>
        <v>Rele auxiliar enchufable +4NA/NC (D2PR4B + base D2PA6), 220Vac - marca EATON.</v>
      </c>
      <c r="D3198" s="2446" t="s">
        <v>772</v>
      </c>
      <c r="E3198" s="2447">
        <f>VLOOKUP(D3198,base_datos,5,FALSE)</f>
        <v>27</v>
      </c>
      <c r="F3198" s="2438">
        <f>+E3198*B3198</f>
        <v>27</v>
      </c>
      <c r="G3198" s="2448"/>
      <c r="H3198" s="2448"/>
      <c r="I3198" s="2448"/>
      <c r="J3198" s="2449"/>
      <c r="K3198" s="2426">
        <f t="shared" si="2848"/>
        <v>1</v>
      </c>
      <c r="L3198" s="2463">
        <v>1</v>
      </c>
      <c r="M3198" s="2428">
        <f>IF(B3198="",1,B3198)</f>
        <v>1</v>
      </c>
      <c r="N3198" s="2429">
        <f>IF(O3198&lt;&gt;"",K3198*L3198*M3198,"")</f>
        <v>1</v>
      </c>
      <c r="O3198" s="2430" t="str">
        <f>IF(D3198&lt;&gt;"",IF(VLOOKUP(D3198,base_datos,7,FALSE)&lt;&gt;"",VLOOKUP(D3198,base_datos,7,FALSE),""),"")</f>
        <v>D2PR4B+D2PA6</v>
      </c>
      <c r="P3198" s="2431" t="str">
        <f>IF(O3198&lt;&gt;"",VLOOKUP(D3198,base_datos,6,FALSE),"")</f>
        <v>Rele auxiliar enchufable +4NA/NC (D2PR4B + base D2PA6), 220Vac - marca EATON.</v>
      </c>
      <c r="Q3198" s="2432" t="str">
        <f>IF(O3198&lt;&gt;"",D3198,"")</f>
        <v>D2PR4B+D2PA6</v>
      </c>
      <c r="R3198" s="2433"/>
    </row>
    <row r="3199" spans="1:18" s="2450" customFormat="1" ht="18" customHeight="1">
      <c r="A3199" s="2443"/>
      <c r="B3199" s="2444">
        <v>4</v>
      </c>
      <c r="C3199" s="2445" t="str">
        <f t="shared" ref="C3199:C3201" si="2862">VLOOKUP(D3199,base_datos,6,FALSE)</f>
        <v>Borne 4mm2.</v>
      </c>
      <c r="D3199" s="2446" t="s">
        <v>437</v>
      </c>
      <c r="E3199" s="2447">
        <f t="shared" ref="E3199:E3201" si="2863">VLOOKUP(D3199,base_datos,5,FALSE)</f>
        <v>2.5</v>
      </c>
      <c r="F3199" s="2438">
        <f t="shared" ref="F3199:F3201" si="2864">+E3199*B3199</f>
        <v>10</v>
      </c>
      <c r="G3199" s="2448"/>
      <c r="H3199" s="2448"/>
      <c r="I3199" s="2448"/>
      <c r="J3199" s="2449"/>
      <c r="K3199" s="2426">
        <f t="shared" si="2848"/>
        <v>1</v>
      </c>
      <c r="L3199" s="2463">
        <v>1</v>
      </c>
      <c r="M3199" s="2428">
        <f t="shared" ref="M3199:M3202" si="2865">IF(B3199="",1,B3199)</f>
        <v>4</v>
      </c>
      <c r="N3199" s="2429" t="str">
        <f t="shared" ref="N3199:N3201" si="2866">IF(O3199&lt;&gt;"",K3199*L3199*M3199,"")</f>
        <v/>
      </c>
      <c r="O3199" s="2430" t="str">
        <f t="shared" ref="O3199:O3201" si="2867">IF(D3199&lt;&gt;"",IF(VLOOKUP(D3199,base_datos,7,FALSE)&lt;&gt;"",VLOOKUP(D3199,base_datos,7,FALSE),""),"")</f>
        <v/>
      </c>
      <c r="P3199" s="2431" t="str">
        <f t="shared" ref="P3199:P3201" si="2868">IF(O3199&lt;&gt;"",VLOOKUP(D3199,base_datos,6,FALSE),"")</f>
        <v/>
      </c>
      <c r="Q3199" s="2432" t="str">
        <f t="shared" ref="Q3199:Q3201" si="2869">IF(O3199&lt;&gt;"",D3199,"")</f>
        <v/>
      </c>
      <c r="R3199" s="2433"/>
    </row>
    <row r="3200" spans="1:18" s="2450" customFormat="1" ht="18" customHeight="1">
      <c r="A3200" s="2443"/>
      <c r="B3200" s="2444">
        <v>1</v>
      </c>
      <c r="C3200" s="2445" t="str">
        <f t="shared" si="2862"/>
        <v>Base portafusibles + Fusibles de protección para control.</v>
      </c>
      <c r="D3200" s="2446" t="s">
        <v>453</v>
      </c>
      <c r="E3200" s="2447">
        <f t="shared" si="2863"/>
        <v>8.1750000000000007</v>
      </c>
      <c r="F3200" s="2438">
        <f t="shared" si="2864"/>
        <v>8.1750000000000007</v>
      </c>
      <c r="G3200" s="2448"/>
      <c r="H3200" s="2448"/>
      <c r="I3200" s="2448"/>
      <c r="J3200" s="2449"/>
      <c r="K3200" s="2426">
        <f t="shared" si="2848"/>
        <v>1</v>
      </c>
      <c r="L3200" s="2463">
        <v>1</v>
      </c>
      <c r="M3200" s="2428">
        <f t="shared" si="2865"/>
        <v>1</v>
      </c>
      <c r="N3200" s="2429" t="str">
        <f t="shared" si="2866"/>
        <v/>
      </c>
      <c r="O3200" s="2430" t="str">
        <f t="shared" si="2867"/>
        <v/>
      </c>
      <c r="P3200" s="2431" t="str">
        <f t="shared" si="2868"/>
        <v/>
      </c>
      <c r="Q3200" s="2432" t="str">
        <f t="shared" si="2869"/>
        <v/>
      </c>
      <c r="R3200" s="2433"/>
    </row>
    <row r="3201" spans="1:20" s="2450" customFormat="1" ht="18" customHeight="1">
      <c r="A3201" s="2443"/>
      <c r="B3201" s="2444">
        <v>1</v>
      </c>
      <c r="C3201" s="2445" t="str">
        <f t="shared" si="2862"/>
        <v>Borne para neutro.</v>
      </c>
      <c r="D3201" s="2451" t="s">
        <v>436</v>
      </c>
      <c r="E3201" s="2447">
        <f t="shared" si="2863"/>
        <v>4</v>
      </c>
      <c r="F3201" s="2438">
        <f t="shared" si="2864"/>
        <v>4</v>
      </c>
      <c r="G3201" s="2448"/>
      <c r="H3201" s="2448"/>
      <c r="I3201" s="2448"/>
      <c r="J3201" s="2449"/>
      <c r="K3201" s="2426">
        <f t="shared" si="2848"/>
        <v>1</v>
      </c>
      <c r="L3201" s="2427">
        <f t="shared" ref="L3201" si="2870">L3200</f>
        <v>1</v>
      </c>
      <c r="M3201" s="2428">
        <f t="shared" si="2865"/>
        <v>1</v>
      </c>
      <c r="N3201" s="2429" t="str">
        <f t="shared" si="2866"/>
        <v/>
      </c>
      <c r="O3201" s="2430" t="str">
        <f t="shared" si="2867"/>
        <v/>
      </c>
      <c r="P3201" s="2431" t="str">
        <f t="shared" si="2868"/>
        <v/>
      </c>
      <c r="Q3201" s="2432" t="str">
        <f t="shared" si="2869"/>
        <v/>
      </c>
      <c r="R3201" s="2433"/>
    </row>
    <row r="3202" spans="1:20" s="2433" customFormat="1">
      <c r="A3202" s="2418"/>
      <c r="B3202" s="2452"/>
      <c r="C3202" s="2453" t="s">
        <v>729</v>
      </c>
      <c r="D3202" s="2451"/>
      <c r="E3202" s="2454"/>
      <c r="F3202" s="2455"/>
      <c r="G3202" s="2456"/>
      <c r="H3202" s="2456"/>
      <c r="I3202" s="2456"/>
      <c r="J3202" s="2457"/>
      <c r="K3202" s="2426">
        <f t="shared" si="2848"/>
        <v>1</v>
      </c>
      <c r="L3202" s="2463">
        <v>1</v>
      </c>
      <c r="M3202" s="2426">
        <f t="shared" si="2865"/>
        <v>1</v>
      </c>
      <c r="N3202" s="2459" t="str">
        <f>IF(O3202&lt;&gt;"",K3202*L3202*M3202,"")</f>
        <v/>
      </c>
      <c r="O3202" s="2460" t="str">
        <f>IF(D3202&lt;&gt;"",IF(VLOOKUP(D3202,base_datos,7,FALSE)&lt;&gt;"",VLOOKUP(D3202,base_datos,7,FALSE),""),"")</f>
        <v/>
      </c>
      <c r="P3202" s="2461" t="str">
        <f>IF(O3202&lt;&gt;"",VLOOKUP(D3202,base_datos,6,FALSE),"")</f>
        <v/>
      </c>
      <c r="Q3202" s="2433" t="str">
        <f>IF(O3202&lt;&gt;"",D3202,"")</f>
        <v/>
      </c>
    </row>
    <row r="3203" spans="1:20" s="315" customFormat="1" ht="12.75" customHeight="1">
      <c r="A3203" s="2271"/>
      <c r="B3203" s="2272">
        <v>1</v>
      </c>
      <c r="C3203" s="2281" t="s">
        <v>13366</v>
      </c>
      <c r="D3203" s="1935"/>
      <c r="E3203" s="2287"/>
      <c r="F3203" s="2257">
        <f>+SUM(F3204:F3207)*(B3203-1)</f>
        <v>0</v>
      </c>
      <c r="G3203" s="712"/>
      <c r="H3203" s="712"/>
      <c r="I3203" s="712"/>
      <c r="J3203" s="713"/>
      <c r="K3203" s="684">
        <f>+K3190</f>
        <v>1</v>
      </c>
      <c r="L3203" s="2258">
        <v>1</v>
      </c>
      <c r="M3203" s="120">
        <f t="shared" ref="M3203:M3208" si="2871">IF(B3203="",1,B3203)</f>
        <v>1</v>
      </c>
      <c r="N3203" s="112" t="str">
        <f t="shared" ref="N3203:N3208" si="2872">IF(O3203&lt;&gt;"",K3203*L3203*M3203,"")</f>
        <v/>
      </c>
      <c r="O3203" s="112" t="str">
        <f t="shared" ref="O3203:O3208" si="2873">IF(D3203&lt;&gt;"",IF(VLOOKUP(D3203,base_datos,7,FALSE)&lt;&gt;"",VLOOKUP(D3203,base_datos,7,FALSE),""),"")</f>
        <v/>
      </c>
      <c r="P3203" s="120" t="str">
        <f t="shared" ref="P3203:P3208" si="2874">IF(O3203&lt;&gt;"",VLOOKUP(D3203,base_datos,6,FALSE),"")</f>
        <v/>
      </c>
      <c r="Q3203" s="120" t="str">
        <f t="shared" ref="Q3203:Q3208" si="2875">IF(O3203&lt;&gt;"",D3203,"")</f>
        <v/>
      </c>
      <c r="S3203" s="112" t="str">
        <f t="shared" ref="S3203:S3208" si="2876">IF(O3203&lt;&gt;"",VLOOKUP(D3203,base_datos,9,FALSE),"")</f>
        <v/>
      </c>
      <c r="T3203" s="2128"/>
    </row>
    <row r="3204" spans="1:20" s="690" customFormat="1" ht="18" customHeight="1">
      <c r="A3204" s="2273"/>
      <c r="B3204" s="1781">
        <v>1</v>
      </c>
      <c r="C3204" s="1420" t="str">
        <f t="shared" ref="C3204:C3207" si="2877">VLOOKUP(D3204,base_datos,6,FALSE)</f>
        <v>Calefactor resistivo 60W, modelo RACM - marca FANDIS.</v>
      </c>
      <c r="D3204" s="1899" t="s">
        <v>3298</v>
      </c>
      <c r="E3204" s="2288">
        <f t="shared" ref="E3204" si="2878">VLOOKUP(D3204,base_datos,5,FALSE)</f>
        <v>127.1</v>
      </c>
      <c r="F3204" s="1782">
        <f>+E3204*B3204</f>
        <v>127.1</v>
      </c>
      <c r="G3204" s="1761"/>
      <c r="H3204" s="1761"/>
      <c r="I3204" s="1761"/>
      <c r="J3204" s="689"/>
      <c r="K3204" s="684">
        <f t="shared" si="2809"/>
        <v>1</v>
      </c>
      <c r="L3204" s="2258">
        <v>1</v>
      </c>
      <c r="M3204" s="120">
        <f t="shared" si="2871"/>
        <v>1</v>
      </c>
      <c r="N3204" s="112">
        <f t="shared" si="2872"/>
        <v>1</v>
      </c>
      <c r="O3204" s="112" t="str">
        <f t="shared" si="2873"/>
        <v>RACM-60</v>
      </c>
      <c r="P3204" s="120" t="str">
        <f t="shared" si="2874"/>
        <v>Calefactor resistivo 60W, modelo RACM - marca FANDIS.</v>
      </c>
      <c r="Q3204" s="120" t="str">
        <f t="shared" si="2875"/>
        <v>CALEFACT-60W_FAND</v>
      </c>
      <c r="S3204" s="112" t="str">
        <f t="shared" si="2876"/>
        <v>FANDIS</v>
      </c>
      <c r="T3204" s="1765"/>
    </row>
    <row r="3205" spans="1:20" s="690" customFormat="1" ht="18" customHeight="1">
      <c r="A3205" s="2273"/>
      <c r="B3205" s="1781">
        <v>1</v>
      </c>
      <c r="C3205" s="1420" t="str">
        <f t="shared" si="2877"/>
        <v>Termostato para ventilación - 1NA - 230V - marca FANDIS.</v>
      </c>
      <c r="D3205" s="1899" t="s">
        <v>3294</v>
      </c>
      <c r="E3205" s="2288">
        <f t="shared" ref="E3205:E3207" si="2879">VLOOKUP(D3205,base_datos,5,FALSE)</f>
        <v>41.58</v>
      </c>
      <c r="F3205" s="1782">
        <f>+E3205*B3205</f>
        <v>41.58</v>
      </c>
      <c r="G3205" s="1761"/>
      <c r="H3205" s="1761"/>
      <c r="I3205" s="1761"/>
      <c r="J3205" s="689"/>
      <c r="K3205" s="684">
        <f t="shared" si="2809"/>
        <v>1</v>
      </c>
      <c r="L3205" s="2258">
        <v>1</v>
      </c>
      <c r="M3205" s="120">
        <f t="shared" si="2871"/>
        <v>1</v>
      </c>
      <c r="N3205" s="112">
        <f t="shared" si="2872"/>
        <v>1</v>
      </c>
      <c r="O3205" s="112" t="str">
        <f t="shared" si="2873"/>
        <v>TRT-10A230V-NO</v>
      </c>
      <c r="P3205" s="120" t="str">
        <f t="shared" si="2874"/>
        <v>Termostato para ventilación - 1NA - 230V - marca FANDIS.</v>
      </c>
      <c r="Q3205" s="120" t="str">
        <f t="shared" si="2875"/>
        <v>TRT-1NA</v>
      </c>
      <c r="S3205" s="112" t="str">
        <f t="shared" si="2876"/>
        <v>FANDIS</v>
      </c>
      <c r="T3205" s="1765"/>
    </row>
    <row r="3206" spans="1:20" s="320" customFormat="1" ht="12.75" customHeight="1">
      <c r="A3206" s="2274"/>
      <c r="B3206" s="2275">
        <v>1</v>
      </c>
      <c r="C3206" s="2282" t="str">
        <f t="shared" si="2877"/>
        <v>Base portafusibles + Fusibles de protección para control.</v>
      </c>
      <c r="D3206" s="1579" t="s">
        <v>453</v>
      </c>
      <c r="E3206" s="2289">
        <f t="shared" si="2879"/>
        <v>8.1750000000000007</v>
      </c>
      <c r="F3206" s="2264">
        <f>+E3206*B3206</f>
        <v>8.1750000000000007</v>
      </c>
      <c r="G3206" s="2276"/>
      <c r="H3206" s="2276"/>
      <c r="I3206" s="2276"/>
      <c r="J3206" s="722"/>
      <c r="K3206" s="684">
        <f t="shared" si="2809"/>
        <v>1</v>
      </c>
      <c r="L3206" s="2258">
        <v>1</v>
      </c>
      <c r="M3206" s="120">
        <f t="shared" si="2871"/>
        <v>1</v>
      </c>
      <c r="N3206" s="112" t="str">
        <f t="shared" si="2872"/>
        <v/>
      </c>
      <c r="O3206" s="112" t="str">
        <f t="shared" si="2873"/>
        <v/>
      </c>
      <c r="P3206" s="120" t="str">
        <f t="shared" si="2874"/>
        <v/>
      </c>
      <c r="Q3206" s="120" t="str">
        <f t="shared" si="2875"/>
        <v/>
      </c>
      <c r="R3206" s="185"/>
      <c r="S3206" s="112" t="str">
        <f t="shared" si="2876"/>
        <v/>
      </c>
      <c r="T3206" s="709"/>
    </row>
    <row r="3207" spans="1:20" s="320" customFormat="1" ht="12.75" customHeight="1">
      <c r="A3207" s="2274"/>
      <c r="B3207" s="2277">
        <v>1</v>
      </c>
      <c r="C3207" s="2282" t="str">
        <f t="shared" si="2877"/>
        <v>Borne 4mm2.</v>
      </c>
      <c r="D3207" s="1579" t="s">
        <v>437</v>
      </c>
      <c r="E3207" s="2260">
        <f t="shared" si="2879"/>
        <v>2.5</v>
      </c>
      <c r="F3207" s="2260">
        <f>+E3207*B3207</f>
        <v>2.5</v>
      </c>
      <c r="G3207" s="2276"/>
      <c r="H3207" s="2276"/>
      <c r="I3207" s="2276"/>
      <c r="J3207" s="722"/>
      <c r="K3207" s="684">
        <f t="shared" si="2809"/>
        <v>1</v>
      </c>
      <c r="L3207" s="2258">
        <v>1</v>
      </c>
      <c r="M3207" s="120">
        <f t="shared" si="2871"/>
        <v>1</v>
      </c>
      <c r="N3207" s="112" t="str">
        <f t="shared" si="2872"/>
        <v/>
      </c>
      <c r="O3207" s="112" t="str">
        <f t="shared" si="2873"/>
        <v/>
      </c>
      <c r="P3207" s="120" t="str">
        <f t="shared" si="2874"/>
        <v/>
      </c>
      <c r="Q3207" s="120" t="str">
        <f t="shared" si="2875"/>
        <v/>
      </c>
      <c r="R3207" s="185"/>
      <c r="S3207" s="112" t="str">
        <f t="shared" si="2876"/>
        <v/>
      </c>
      <c r="T3207" s="709"/>
    </row>
    <row r="3208" spans="1:20" s="185" customFormat="1" ht="12.75" customHeight="1">
      <c r="A3208" s="2262"/>
      <c r="B3208" s="1760"/>
      <c r="C3208" s="1893" t="s">
        <v>729</v>
      </c>
      <c r="D3208" s="169"/>
      <c r="E3208" s="2256"/>
      <c r="F3208" s="2278"/>
      <c r="G3208" s="710"/>
      <c r="H3208" s="710"/>
      <c r="I3208" s="710"/>
      <c r="J3208" s="711"/>
      <c r="K3208" s="684">
        <f t="shared" si="2809"/>
        <v>1</v>
      </c>
      <c r="L3208" s="2258">
        <v>1</v>
      </c>
      <c r="M3208" s="120">
        <f t="shared" si="2871"/>
        <v>1</v>
      </c>
      <c r="N3208" s="112" t="str">
        <f t="shared" si="2872"/>
        <v/>
      </c>
      <c r="O3208" s="112" t="str">
        <f t="shared" si="2873"/>
        <v/>
      </c>
      <c r="P3208" s="120" t="str">
        <f t="shared" si="2874"/>
        <v/>
      </c>
      <c r="Q3208" s="120" t="str">
        <f t="shared" si="2875"/>
        <v/>
      </c>
      <c r="S3208" s="112" t="str">
        <f t="shared" si="2876"/>
        <v/>
      </c>
      <c r="T3208" s="118"/>
    </row>
    <row r="3209" spans="1:20" s="1236" customFormat="1" ht="18" customHeight="1">
      <c r="A3209" s="1767"/>
      <c r="B3209" s="1853">
        <v>1</v>
      </c>
      <c r="C3209" s="1895" t="s">
        <v>12364</v>
      </c>
      <c r="D3209" s="1902"/>
      <c r="E3209" s="1792"/>
      <c r="F3209" s="1793"/>
      <c r="G3209" s="1784"/>
      <c r="H3209" s="1784"/>
      <c r="I3209" s="1784"/>
      <c r="J3209" s="1182"/>
      <c r="K3209" s="684">
        <f t="shared" si="2809"/>
        <v>1</v>
      </c>
      <c r="L3209" s="708">
        <v>1</v>
      </c>
      <c r="M3209" s="684">
        <f t="shared" si="2810"/>
        <v>1</v>
      </c>
      <c r="N3209" s="362" t="str">
        <f t="shared" ref="N3209:N3221" si="2880">IF(O3209&lt;&gt;"",K3209*L3209*M3209,"")</f>
        <v/>
      </c>
      <c r="O3209" s="1763" t="str">
        <f t="shared" ref="O3209:O3221" si="2881">IF(D3209&lt;&gt;"",IF(VLOOKUP(D3209,base_datos,7,FALSE)&lt;&gt;"",VLOOKUP(D3209,base_datos,7,FALSE),""),"")</f>
        <v/>
      </c>
      <c r="P3209" s="1764" t="str">
        <f t="shared" ref="P3209:P3221" si="2882">IF(O3209&lt;&gt;"",VLOOKUP(D3209,base_datos,6,FALSE),"")</f>
        <v/>
      </c>
      <c r="Q3209" s="120" t="str">
        <f t="shared" ref="Q3209:Q3221" si="2883">IF(O3209&lt;&gt;"",D3209,"")</f>
        <v/>
      </c>
      <c r="R3209" s="185"/>
    </row>
    <row r="3210" spans="1:20" s="695" customFormat="1" ht="18" customHeight="1">
      <c r="A3210" s="693"/>
      <c r="B3210" s="1922">
        <v>1</v>
      </c>
      <c r="C3210" s="1848" t="str">
        <f t="shared" ref="C3210" si="2884">VLOOKUP(D3210,base_datos,6,FALSE)</f>
        <v>Placa lamicoid rotulación de 3mm de espesor, fondo negro y letras blancas.</v>
      </c>
      <c r="D3210" s="1886" t="s">
        <v>8570</v>
      </c>
      <c r="E3210" s="1795">
        <f t="shared" ref="E3210" si="2885">VLOOKUP(D3210,base_datos,5,FALSE)</f>
        <v>2.2000000000000002</v>
      </c>
      <c r="F3210" s="1796">
        <f t="shared" ref="F3210" si="2886">+E3210*B3210</f>
        <v>2.2000000000000002</v>
      </c>
      <c r="G3210" s="696"/>
      <c r="H3210" s="696"/>
      <c r="I3210" s="696"/>
      <c r="J3210" s="697"/>
      <c r="K3210" s="684">
        <f t="shared" si="2809"/>
        <v>1</v>
      </c>
      <c r="L3210" s="708">
        <v>1</v>
      </c>
      <c r="M3210" s="684">
        <f t="shared" si="2810"/>
        <v>1</v>
      </c>
      <c r="N3210" s="362">
        <f t="shared" si="2880"/>
        <v>1</v>
      </c>
      <c r="O3210" s="1763" t="str">
        <f t="shared" si="2881"/>
        <v>Placa lamicoid p/distr.</v>
      </c>
      <c r="P3210" s="1764" t="str">
        <f t="shared" si="2882"/>
        <v>Placa lamicoid rotulación de 3mm de espesor, fondo negro y letras blancas.</v>
      </c>
      <c r="Q3210" s="120" t="str">
        <f t="shared" si="2883"/>
        <v>Placa lamicoid p/distr.</v>
      </c>
      <c r="R3210" s="185"/>
    </row>
    <row r="3211" spans="1:20" s="1236" customFormat="1" ht="18" customHeight="1">
      <c r="A3211" s="1767"/>
      <c r="B3211" s="1853">
        <v>1</v>
      </c>
      <c r="C3211" s="1895" t="s">
        <v>12474</v>
      </c>
      <c r="D3211" s="1902"/>
      <c r="E3211" s="1792"/>
      <c r="F3211" s="1793"/>
      <c r="G3211" s="1784"/>
      <c r="H3211" s="1784"/>
      <c r="I3211" s="1784"/>
      <c r="J3211" s="1182"/>
      <c r="K3211" s="684">
        <f t="shared" si="2809"/>
        <v>1</v>
      </c>
      <c r="L3211" s="708">
        <v>1</v>
      </c>
      <c r="M3211" s="709">
        <f t="shared" si="2810"/>
        <v>1</v>
      </c>
      <c r="N3211" s="362" t="str">
        <f t="shared" si="2880"/>
        <v/>
      </c>
      <c r="O3211" s="1763" t="str">
        <f t="shared" si="2881"/>
        <v/>
      </c>
      <c r="P3211" s="1764" t="str">
        <f t="shared" si="2882"/>
        <v/>
      </c>
      <c r="Q3211" s="120" t="str">
        <f t="shared" si="2883"/>
        <v/>
      </c>
      <c r="R3211" s="185"/>
    </row>
    <row r="3212" spans="1:20" s="1236" customFormat="1" ht="18" customHeight="1">
      <c r="A3212" s="1767"/>
      <c r="B3212" s="1853">
        <v>1</v>
      </c>
      <c r="C3212" s="1848" t="str">
        <f>VLOOKUP(D3212,base_datos,6,FALSE)</f>
        <v>Embalaje especial completamente cerrado para tablero adosado de 1600x600x220mm</v>
      </c>
      <c r="D3212" s="1902" t="s">
        <v>12453</v>
      </c>
      <c r="E3212" s="1795">
        <f t="shared" ref="E3212" si="2887">VLOOKUP(D3212,base_datos,5,FALSE)</f>
        <v>271.40000000000003</v>
      </c>
      <c r="F3212" s="1796">
        <f t="shared" ref="F3212" si="2888">+E3212*B3212</f>
        <v>271.40000000000003</v>
      </c>
      <c r="G3212" s="1784"/>
      <c r="H3212" s="1784"/>
      <c r="I3212" s="1784"/>
      <c r="J3212" s="1182"/>
      <c r="K3212" s="684">
        <f t="shared" si="2809"/>
        <v>1</v>
      </c>
      <c r="L3212" s="708">
        <v>1</v>
      </c>
      <c r="M3212" s="709">
        <f t="shared" si="2810"/>
        <v>1</v>
      </c>
      <c r="N3212" s="362">
        <f t="shared" si="2880"/>
        <v>1</v>
      </c>
      <c r="O3212" s="1763" t="str">
        <f t="shared" si="2881"/>
        <v>EMBAL_ADOS_1600x600x220mm</v>
      </c>
      <c r="P3212" s="1764" t="str">
        <f t="shared" si="2882"/>
        <v>Embalaje especial completamente cerrado para tablero adosado de 1600x600x220mm</v>
      </c>
      <c r="Q3212" s="120" t="str">
        <f t="shared" si="2883"/>
        <v>EMBAL_ADOS_1600x600x220mm</v>
      </c>
      <c r="R3212" s="185"/>
    </row>
    <row r="3213" spans="1:20" s="185" customFormat="1" ht="18" customHeight="1">
      <c r="A3213" s="1785"/>
      <c r="B3213" s="714"/>
      <c r="C3213" s="1893" t="s">
        <v>729</v>
      </c>
      <c r="D3213" s="173"/>
      <c r="E3213" s="1786"/>
      <c r="F3213" s="1787"/>
      <c r="G3213" s="710"/>
      <c r="H3213" s="710"/>
      <c r="I3213" s="710"/>
      <c r="J3213" s="711"/>
      <c r="K3213" s="684">
        <f t="shared" si="2809"/>
        <v>1</v>
      </c>
      <c r="L3213" s="708">
        <v>1</v>
      </c>
      <c r="M3213" s="684">
        <f t="shared" si="2810"/>
        <v>1</v>
      </c>
      <c r="N3213" s="362" t="str">
        <f t="shared" si="2880"/>
        <v/>
      </c>
      <c r="O3213" s="1763" t="str">
        <f t="shared" si="2881"/>
        <v/>
      </c>
      <c r="P3213" s="1764" t="str">
        <f t="shared" si="2882"/>
        <v/>
      </c>
      <c r="Q3213" s="120" t="str">
        <f t="shared" si="2883"/>
        <v/>
      </c>
    </row>
    <row r="3214" spans="1:20" s="695" customFormat="1" ht="18" customHeight="1">
      <c r="A3214" s="693"/>
      <c r="B3214" s="1794">
        <v>1</v>
      </c>
      <c r="C3214" s="1420" t="s">
        <v>316</v>
      </c>
      <c r="D3214" s="1790"/>
      <c r="E3214" s="1795"/>
      <c r="F3214" s="1796"/>
      <c r="G3214" s="696"/>
      <c r="H3214" s="696"/>
      <c r="I3214" s="696"/>
      <c r="J3214" s="697"/>
      <c r="K3214" s="684">
        <f t="shared" si="2809"/>
        <v>1</v>
      </c>
      <c r="L3214" s="708">
        <v>1</v>
      </c>
      <c r="M3214" s="684">
        <f t="shared" si="2810"/>
        <v>1</v>
      </c>
      <c r="N3214" s="362" t="str">
        <f t="shared" si="2880"/>
        <v/>
      </c>
      <c r="O3214" s="1763" t="str">
        <f t="shared" si="2881"/>
        <v/>
      </c>
      <c r="P3214" s="1764" t="str">
        <f t="shared" si="2882"/>
        <v/>
      </c>
      <c r="Q3214" s="120" t="str">
        <f t="shared" si="2883"/>
        <v/>
      </c>
      <c r="R3214" s="185"/>
    </row>
    <row r="3215" spans="1:20" s="185" customFormat="1" ht="18" customHeight="1">
      <c r="A3215" s="1785"/>
      <c r="B3215" s="714"/>
      <c r="C3215" s="1893" t="s">
        <v>729</v>
      </c>
      <c r="D3215" s="173"/>
      <c r="E3215" s="1786"/>
      <c r="F3215" s="1787"/>
      <c r="G3215" s="710"/>
      <c r="H3215" s="710"/>
      <c r="I3215" s="710"/>
      <c r="J3215" s="711"/>
      <c r="K3215" s="684">
        <f t="shared" si="2809"/>
        <v>1</v>
      </c>
      <c r="L3215" s="708">
        <v>1</v>
      </c>
      <c r="M3215" s="684">
        <f t="shared" si="2810"/>
        <v>1</v>
      </c>
      <c r="N3215" s="362" t="str">
        <f t="shared" si="2880"/>
        <v/>
      </c>
      <c r="O3215" s="1763" t="str">
        <f t="shared" si="2881"/>
        <v/>
      </c>
      <c r="P3215" s="1764" t="str">
        <f t="shared" si="2882"/>
        <v/>
      </c>
      <c r="Q3215" s="120" t="str">
        <f t="shared" si="2883"/>
        <v/>
      </c>
    </row>
    <row r="3216" spans="1:20" s="897" customFormat="1" ht="18" customHeight="1">
      <c r="A3216" s="693"/>
      <c r="B3216" s="895">
        <v>15</v>
      </c>
      <c r="C3216" s="1848" t="str">
        <f>VLOOKUP(D3216,base_datos,6,FALSE)</f>
        <v>Rotulado por circuito.</v>
      </c>
      <c r="D3216" s="1579" t="s">
        <v>3067</v>
      </c>
      <c r="E3216" s="1581">
        <f>VLOOKUP(D3216,base_datos,5,FALSE)</f>
        <v>0.7</v>
      </c>
      <c r="F3216" s="1581">
        <f t="shared" ref="F3216:F3220" si="2889">+E3216*B3216</f>
        <v>10.5</v>
      </c>
      <c r="G3216" s="1772"/>
      <c r="H3216" s="1772"/>
      <c r="I3216" s="1772"/>
      <c r="J3216" s="896"/>
      <c r="K3216" s="684">
        <f t="shared" si="2809"/>
        <v>1</v>
      </c>
      <c r="L3216" s="708">
        <v>1</v>
      </c>
      <c r="M3216" s="684">
        <f t="shared" si="2810"/>
        <v>15</v>
      </c>
      <c r="N3216" s="362" t="str">
        <f t="shared" si="2880"/>
        <v/>
      </c>
      <c r="O3216" s="1763" t="str">
        <f t="shared" si="2881"/>
        <v/>
      </c>
      <c r="P3216" s="1764" t="str">
        <f t="shared" si="2882"/>
        <v/>
      </c>
      <c r="Q3216" s="120" t="str">
        <f t="shared" si="2883"/>
        <v/>
      </c>
    </row>
    <row r="3217" spans="1:18" s="897" customFormat="1" ht="18" customHeight="1">
      <c r="A3217" s="693"/>
      <c r="B3217" s="895">
        <v>1</v>
      </c>
      <c r="C3217" s="1848" t="str">
        <f>VLOOKUP(D3217,base_datos,6,FALSE)</f>
        <v>Rotulado para TAG - tablero de distribución.</v>
      </c>
      <c r="D3217" s="1579" t="s">
        <v>3066</v>
      </c>
      <c r="E3217" s="1581">
        <f>VLOOKUP(D3217,base_datos,5,FALSE)</f>
        <v>1.5</v>
      </c>
      <c r="F3217" s="1581">
        <f t="shared" si="2889"/>
        <v>1.5</v>
      </c>
      <c r="G3217" s="1772"/>
      <c r="H3217" s="1772"/>
      <c r="I3217" s="1772"/>
      <c r="J3217" s="896"/>
      <c r="K3217" s="684">
        <f t="shared" si="2809"/>
        <v>1</v>
      </c>
      <c r="L3217" s="708">
        <v>1</v>
      </c>
      <c r="M3217" s="684">
        <f t="shared" si="2810"/>
        <v>1</v>
      </c>
      <c r="N3217" s="362" t="str">
        <f t="shared" si="2880"/>
        <v/>
      </c>
      <c r="O3217" s="1763" t="str">
        <f t="shared" si="2881"/>
        <v/>
      </c>
      <c r="P3217" s="1764" t="str">
        <f t="shared" si="2882"/>
        <v/>
      </c>
      <c r="Q3217" s="120" t="str">
        <f t="shared" si="2883"/>
        <v/>
      </c>
    </row>
    <row r="3218" spans="1:18" s="1237" customFormat="1" ht="18" customHeight="1">
      <c r="A3218" s="1767"/>
      <c r="B3218" s="2093">
        <v>1</v>
      </c>
      <c r="C3218" s="694" t="s">
        <v>12552</v>
      </c>
      <c r="D3218" s="1888"/>
      <c r="E3218" s="1580">
        <f>E3220*15%</f>
        <v>22.5</v>
      </c>
      <c r="F3218" s="1581">
        <f t="shared" si="2889"/>
        <v>22.5</v>
      </c>
      <c r="G3218" s="1774"/>
      <c r="H3218" s="1774"/>
      <c r="I3218" s="1774"/>
      <c r="J3218" s="1181"/>
      <c r="K3218" s="684">
        <f t="shared" si="2809"/>
        <v>1</v>
      </c>
      <c r="L3218" s="708">
        <v>1</v>
      </c>
      <c r="M3218" s="709">
        <f t="shared" si="2810"/>
        <v>1</v>
      </c>
      <c r="N3218" s="362" t="str">
        <f t="shared" si="2880"/>
        <v/>
      </c>
      <c r="O3218" s="1763" t="str">
        <f t="shared" si="2881"/>
        <v/>
      </c>
      <c r="P3218" s="1764" t="str">
        <f t="shared" si="2882"/>
        <v/>
      </c>
      <c r="Q3218" s="120" t="str">
        <f t="shared" si="2883"/>
        <v/>
      </c>
      <c r="R3218" s="1765"/>
    </row>
    <row r="3219" spans="1:18" s="1237" customFormat="1" ht="18" customHeight="1">
      <c r="A3219" s="1767"/>
      <c r="B3219" s="1773">
        <v>1</v>
      </c>
      <c r="C3219" s="694" t="s">
        <v>12559</v>
      </c>
      <c r="D3219" s="1888"/>
      <c r="E3219" s="1999">
        <f>E3220*20%</f>
        <v>30</v>
      </c>
      <c r="F3219" s="1581">
        <f t="shared" si="2889"/>
        <v>30</v>
      </c>
      <c r="G3219" s="1774"/>
      <c r="H3219" s="1774"/>
      <c r="I3219" s="1774"/>
      <c r="J3219" s="1181"/>
      <c r="K3219" s="684">
        <f t="shared" si="2809"/>
        <v>1</v>
      </c>
      <c r="L3219" s="708">
        <v>1</v>
      </c>
      <c r="M3219" s="709">
        <f t="shared" si="2810"/>
        <v>1</v>
      </c>
      <c r="N3219" s="362" t="str">
        <f t="shared" si="2880"/>
        <v/>
      </c>
      <c r="O3219" s="1763" t="str">
        <f t="shared" si="2881"/>
        <v/>
      </c>
      <c r="P3219" s="1764" t="str">
        <f t="shared" si="2882"/>
        <v/>
      </c>
      <c r="Q3219" s="120" t="str">
        <f t="shared" si="2883"/>
        <v/>
      </c>
      <c r="R3219" s="1765"/>
    </row>
    <row r="3220" spans="1:18" s="1237" customFormat="1" ht="18" customHeight="1">
      <c r="A3220" s="1767"/>
      <c r="B3220" s="1773">
        <v>1</v>
      </c>
      <c r="C3220" s="1943" t="s">
        <v>12488</v>
      </c>
      <c r="D3220" s="1897"/>
      <c r="E3220" s="1581">
        <v>150</v>
      </c>
      <c r="F3220" s="1581">
        <f t="shared" si="2889"/>
        <v>150</v>
      </c>
      <c r="G3220" s="1774"/>
      <c r="H3220" s="1774"/>
      <c r="I3220" s="1774"/>
      <c r="J3220" s="1181"/>
      <c r="K3220" s="684">
        <f t="shared" si="2809"/>
        <v>1</v>
      </c>
      <c r="L3220" s="708">
        <v>1</v>
      </c>
      <c r="M3220" s="684">
        <f t="shared" si="2810"/>
        <v>1</v>
      </c>
      <c r="N3220" s="362" t="str">
        <f t="shared" si="2880"/>
        <v/>
      </c>
      <c r="O3220" s="1763" t="str">
        <f t="shared" si="2881"/>
        <v/>
      </c>
      <c r="P3220" s="1764" t="str">
        <f t="shared" si="2882"/>
        <v/>
      </c>
      <c r="Q3220" s="120" t="str">
        <f t="shared" si="2883"/>
        <v/>
      </c>
      <c r="R3220" s="1765"/>
    </row>
    <row r="3221" spans="1:18" s="1979" customFormat="1">
      <c r="A3221" s="698"/>
      <c r="B3221" s="1967">
        <v>1</v>
      </c>
      <c r="C3221" s="694" t="s">
        <v>13039</v>
      </c>
      <c r="D3221" s="2218"/>
      <c r="E3221" s="1968">
        <v>50</v>
      </c>
      <c r="F3221" s="1968">
        <f>+E3221*B3221</f>
        <v>50</v>
      </c>
      <c r="G3221" s="2216"/>
      <c r="H3221" s="2216"/>
      <c r="I3221" s="2216"/>
      <c r="J3221" s="2217"/>
      <c r="K3221" s="684">
        <f t="shared" ref="K3221:K3225" si="2890">K3219</f>
        <v>1</v>
      </c>
      <c r="L3221" s="363">
        <v>1</v>
      </c>
      <c r="M3221" s="684">
        <f t="shared" ref="M3221" si="2891">IF(B3221="",1,B3221)</f>
        <v>1</v>
      </c>
      <c r="N3221" s="362" t="str">
        <f t="shared" si="2880"/>
        <v/>
      </c>
      <c r="O3221" s="1763" t="str">
        <f t="shared" si="2881"/>
        <v/>
      </c>
      <c r="P3221" s="1764" t="str">
        <f t="shared" si="2882"/>
        <v/>
      </c>
      <c r="Q3221" s="120" t="str">
        <f t="shared" si="2883"/>
        <v/>
      </c>
    </row>
    <row r="3222" spans="1:18" s="2472" customFormat="1" ht="18" customHeight="1">
      <c r="A3222" s="2464"/>
      <c r="B3222" s="2465"/>
      <c r="C3222" s="2466" t="s">
        <v>12516</v>
      </c>
      <c r="D3222" s="2467"/>
      <c r="E3222" s="2468"/>
      <c r="F3222" s="2469"/>
      <c r="G3222" s="2470"/>
      <c r="H3222" s="2470"/>
      <c r="I3222" s="2470"/>
      <c r="J3222" s="2471"/>
      <c r="K3222" s="2426">
        <f t="shared" si="2890"/>
        <v>1</v>
      </c>
      <c r="L3222" s="2463">
        <v>1</v>
      </c>
      <c r="M3222" s="2428">
        <f>IF(B3222="",1,B3222)</f>
        <v>1</v>
      </c>
      <c r="N3222" s="2429" t="str">
        <f>IF(O3222&lt;&gt;"",K3222*L3222*M3222,"")</f>
        <v/>
      </c>
      <c r="O3222" s="2430" t="str">
        <f>IF(D3222&lt;&gt;"",IF(VLOOKUP(D3222,base_datos,7,FALSE)&lt;&gt;"",VLOOKUP(D3222,base_datos,7,FALSE),""),"")</f>
        <v/>
      </c>
      <c r="P3222" s="2431" t="str">
        <f>IF(O3222&lt;&gt;"",VLOOKUP(D3222,base_datos,6,FALSE),"")</f>
        <v/>
      </c>
      <c r="Q3222" s="2432" t="str">
        <f>IF(O3222&lt;&gt;"",D3222,"")</f>
        <v/>
      </c>
      <c r="R3222" s="2433"/>
    </row>
    <row r="3223" spans="1:18" s="2472" customFormat="1" ht="18" customHeight="1">
      <c r="A3223" s="2464"/>
      <c r="B3223" s="2465"/>
      <c r="C3223" s="2466"/>
      <c r="D3223" s="2467"/>
      <c r="E3223" s="2468"/>
      <c r="F3223" s="2469"/>
      <c r="G3223" s="2470"/>
      <c r="H3223" s="2470"/>
      <c r="I3223" s="2470"/>
      <c r="J3223" s="2471"/>
      <c r="K3223" s="2426">
        <f t="shared" si="2890"/>
        <v>1</v>
      </c>
      <c r="L3223" s="2463">
        <v>1</v>
      </c>
      <c r="M3223" s="2428">
        <f>IF(B3223="",1,B3223)</f>
        <v>1</v>
      </c>
      <c r="N3223" s="2429"/>
      <c r="O3223" s="2430"/>
      <c r="P3223" s="2431"/>
      <c r="Q3223" s="2432"/>
      <c r="R3223" s="2433"/>
    </row>
    <row r="3224" spans="1:18" s="2480" customFormat="1">
      <c r="A3224" s="2473"/>
      <c r="B3224" s="2474">
        <v>1</v>
      </c>
      <c r="C3224" s="2475" t="str">
        <f t="shared" ref="C3224:C3225" si="2892">VLOOKUP(D3224,base_datos,6,FALSE)</f>
        <v>FOTOCELDA 1800VA 220V N/C (NF) 10 LUX STIELECTRONICA</v>
      </c>
      <c r="D3224" s="2476" t="s">
        <v>3410</v>
      </c>
      <c r="E3224" s="2477">
        <f t="shared" ref="E3224:E3225" si="2893">VLOOKUP(D3224,base_datos,5,FALSE)</f>
        <v>27.6</v>
      </c>
      <c r="F3224" s="2455">
        <f t="shared" ref="F3224:F3225" si="2894">+E3224*B3224</f>
        <v>27.6</v>
      </c>
      <c r="G3224" s="2478"/>
      <c r="H3224" s="2478"/>
      <c r="I3224" s="2478"/>
      <c r="J3224" s="2479"/>
      <c r="K3224" s="2426">
        <f t="shared" si="2890"/>
        <v>1</v>
      </c>
      <c r="L3224" s="2463">
        <v>1</v>
      </c>
      <c r="M3224" s="2428">
        <f>IF(B3224="",1,B3224)</f>
        <v>1</v>
      </c>
      <c r="N3224" s="2429">
        <f>IF(O3224&lt;&gt;"",K3224*L3224*M3224,"")</f>
        <v>1</v>
      </c>
      <c r="O3224" s="2430" t="str">
        <f>IF(D3224&lt;&gt;"",IF(VLOOKUP(D3224,base_datos,7,FALSE)&lt;&gt;"",VLOOKUP(D3224,base_datos,7,FALSE),""),"")</f>
        <v>0400RTF82S</v>
      </c>
      <c r="P3224" s="2431" t="str">
        <f>IF(O3224&lt;&gt;"",VLOOKUP(D3224,base_datos,6,FALSE),"")</f>
        <v>FOTOCELDA 1800VA 220V N/C (NF) 10 LUX STIELECTRONICA</v>
      </c>
      <c r="Q3224" s="2432" t="str">
        <f>IF(O3224&lt;&gt;"",D3224,"")</f>
        <v>FOTOCELDA</v>
      </c>
    </row>
    <row r="3225" spans="1:18" s="2480" customFormat="1">
      <c r="A3225" s="2473"/>
      <c r="B3225" s="2474">
        <v>1</v>
      </c>
      <c r="C3225" s="2475" t="str">
        <f t="shared" si="2892"/>
        <v>BASE C/SOPORTE P/CONTROL FOTOCELDA P/ADOSAR STIELECTRONICA</v>
      </c>
      <c r="D3225" s="2476" t="s">
        <v>3411</v>
      </c>
      <c r="E3225" s="2477">
        <f t="shared" si="2893"/>
        <v>13.4</v>
      </c>
      <c r="F3225" s="2455">
        <f t="shared" si="2894"/>
        <v>13.4</v>
      </c>
      <c r="G3225" s="2478"/>
      <c r="H3225" s="2478"/>
      <c r="I3225" s="2478"/>
      <c r="J3225" s="2479"/>
      <c r="K3225" s="2426">
        <f t="shared" si="2890"/>
        <v>1</v>
      </c>
      <c r="L3225" s="2463">
        <v>1</v>
      </c>
      <c r="M3225" s="2428">
        <f>IF(B3225="",1,B3225)</f>
        <v>1</v>
      </c>
      <c r="N3225" s="2429">
        <f>IF(O3225&lt;&gt;"",K3225*L3225*M3225,"")</f>
        <v>1</v>
      </c>
      <c r="O3225" s="2430" t="str">
        <f>IF(D3225&lt;&gt;"",IF(VLOOKUP(D3225,base_datos,7,FALSE)&lt;&gt;"",VLOOKUP(D3225,base_datos,7,FALSE),""),"")</f>
        <v>0400TPLS476</v>
      </c>
      <c r="P3225" s="2431" t="str">
        <f>IF(O3225&lt;&gt;"",VLOOKUP(D3225,base_datos,6,FALSE),"")</f>
        <v>BASE C/SOPORTE P/CONTROL FOTOCELDA P/ADOSAR STIELECTRONICA</v>
      </c>
      <c r="Q3225" s="2432" t="str">
        <f>IF(O3225&lt;&gt;"",D3225,"")</f>
        <v>BASE_FOTOCELDA</v>
      </c>
    </row>
    <row r="3226" spans="1:18" s="120" customFormat="1" ht="13.8" thickBot="1">
      <c r="A3226" s="699"/>
      <c r="B3226" s="1775"/>
      <c r="C3226" s="1776"/>
      <c r="D3226" s="1885"/>
      <c r="E3226" s="1981"/>
      <c r="F3226" s="1981"/>
      <c r="G3226" s="1777"/>
      <c r="H3226" s="1777"/>
      <c r="I3226" s="1777"/>
      <c r="J3226" s="1778"/>
      <c r="K3226" s="684"/>
      <c r="L3226" s="363"/>
      <c r="M3226" s="684"/>
      <c r="N3226" s="362"/>
      <c r="O3226" s="1763"/>
      <c r="P3226" s="1764"/>
    </row>
    <row r="3227" spans="1:18" s="120" customFormat="1" ht="18" customHeight="1" thickBot="1">
      <c r="A3227" s="1989">
        <v>51</v>
      </c>
      <c r="B3227" s="1852">
        <v>1</v>
      </c>
      <c r="C3227" s="1756" t="s">
        <v>12612</v>
      </c>
      <c r="D3227" s="1588"/>
      <c r="E3227" s="1589"/>
      <c r="F3227" s="1589"/>
      <c r="G3227" s="1757">
        <f>SUM(F3228:F3268)</f>
        <v>2338.5650000000001</v>
      </c>
      <c r="H3227" s="1758">
        <f>G3227*(1-$D$6)</f>
        <v>2338.5650000000001</v>
      </c>
      <c r="I3227" s="1757">
        <f>ROUNDUP(H3227*$D$5,0)</f>
        <v>7952</v>
      </c>
      <c r="J3227" s="1759">
        <f>+I3227*B3227</f>
        <v>7952</v>
      </c>
      <c r="K3227" s="1788">
        <f>B3227</f>
        <v>1</v>
      </c>
      <c r="L3227" s="363"/>
      <c r="M3227" s="684"/>
      <c r="N3227" s="362" t="str">
        <f t="shared" ref="N3227:N3259" si="2895">IF(O3227&lt;&gt;"",K3227*L3227*M3227,"")</f>
        <v/>
      </c>
      <c r="O3227" s="1763" t="str">
        <f t="shared" ref="O3227:O3259" si="2896">IF(D3227&lt;&gt;"",IF(VLOOKUP(D3227,base_datos,7,FALSE)&lt;&gt;"",VLOOKUP(D3227,base_datos,7,FALSE),""),"")</f>
        <v/>
      </c>
      <c r="P3227" s="1764" t="str">
        <f t="shared" ref="P3227:P3259" si="2897">IF(O3227&lt;&gt;"",VLOOKUP(D3227,base_datos,6,FALSE),"")</f>
        <v/>
      </c>
      <c r="Q3227" s="120" t="str">
        <f t="shared" ref="Q3227:Q3259" si="2898">IF(O3227&lt;&gt;"",D3227,"")</f>
        <v/>
      </c>
      <c r="R3227" s="185"/>
    </row>
    <row r="3228" spans="1:18" s="120" customFormat="1" ht="18" customHeight="1">
      <c r="A3228" s="685" t="s">
        <v>3064</v>
      </c>
      <c r="B3228" s="1903"/>
      <c r="C3228" s="1890"/>
      <c r="D3228" s="1904"/>
      <c r="E3228" s="1789"/>
      <c r="F3228" s="1780"/>
      <c r="G3228" s="686"/>
      <c r="H3228" s="710"/>
      <c r="I3228" s="686"/>
      <c r="J3228" s="1768"/>
      <c r="K3228" s="684">
        <f t="shared" ref="K3228:K3268" si="2899">+K3227</f>
        <v>1</v>
      </c>
      <c r="L3228" s="363">
        <v>1</v>
      </c>
      <c r="M3228" s="709">
        <f t="shared" ref="M3228:M3248" si="2900">IF(B3228="",1,B3228)</f>
        <v>1</v>
      </c>
      <c r="N3228" s="362" t="str">
        <f t="shared" si="2895"/>
        <v/>
      </c>
      <c r="O3228" s="1763" t="str">
        <f t="shared" si="2896"/>
        <v/>
      </c>
      <c r="P3228" s="1764" t="str">
        <f t="shared" si="2897"/>
        <v/>
      </c>
      <c r="Q3228" s="120" t="str">
        <f t="shared" si="2898"/>
        <v/>
      </c>
    </row>
    <row r="3229" spans="1:18" s="315" customFormat="1" ht="12" customHeight="1">
      <c r="A3229" s="687" t="s">
        <v>4021</v>
      </c>
      <c r="B3229" s="2096">
        <v>1</v>
      </c>
      <c r="C3229" s="1907" t="s">
        <v>5103</v>
      </c>
      <c r="D3229" s="1935"/>
      <c r="E3229" s="1786"/>
      <c r="F3229" s="1908">
        <f>SUM(F3231:F3235)*(B3229-1)</f>
        <v>0</v>
      </c>
      <c r="G3229" s="712"/>
      <c r="H3229" s="712"/>
      <c r="I3229" s="712"/>
      <c r="J3229" s="713"/>
      <c r="K3229" s="684">
        <f t="shared" si="2899"/>
        <v>1</v>
      </c>
      <c r="L3229" s="1909">
        <f>B3229</f>
        <v>1</v>
      </c>
      <c r="M3229" s="684">
        <f t="shared" si="2900"/>
        <v>1</v>
      </c>
      <c r="N3229" s="362" t="str">
        <f t="shared" si="2895"/>
        <v/>
      </c>
      <c r="O3229" s="1763" t="str">
        <f t="shared" si="2896"/>
        <v/>
      </c>
      <c r="P3229" s="1764" t="str">
        <f t="shared" si="2897"/>
        <v/>
      </c>
      <c r="Q3229" s="120" t="str">
        <f t="shared" si="2898"/>
        <v/>
      </c>
    </row>
    <row r="3230" spans="1:18" s="185" customFormat="1">
      <c r="A3230" s="687" t="s">
        <v>4136</v>
      </c>
      <c r="B3230" s="1910">
        <v>3</v>
      </c>
      <c r="C3230" s="1911" t="str">
        <f>VLOOKUP(D3230,base_datos,6,FALSE)</f>
        <v>Portalámpara + lampara tipo LED - color Rojo - alimentacion: 220-230Vac, d=22mm. - CL2-523R - línea compacta - marca ABB.</v>
      </c>
      <c r="D3230" s="1790" t="s">
        <v>2439</v>
      </c>
      <c r="E3230" s="1939">
        <f>VLOOKUP(D3230,base_datos,5,FALSE)</f>
        <v>12.299999999999999</v>
      </c>
      <c r="F3230" s="1912">
        <f>+E3230*B3230</f>
        <v>36.9</v>
      </c>
      <c r="G3230" s="710"/>
      <c r="H3230" s="710"/>
      <c r="I3230" s="710"/>
      <c r="J3230" s="711"/>
      <c r="K3230" s="684">
        <f>+K3228</f>
        <v>1</v>
      </c>
      <c r="L3230" s="1913">
        <f>L3228</f>
        <v>1</v>
      </c>
      <c r="M3230" s="684">
        <f t="shared" si="2900"/>
        <v>3</v>
      </c>
      <c r="N3230" s="362">
        <f t="shared" si="2895"/>
        <v>3</v>
      </c>
      <c r="O3230" s="1763" t="str">
        <f t="shared" si="2896"/>
        <v>1SFA619403R5231</v>
      </c>
      <c r="P3230" s="1764" t="str">
        <f t="shared" si="2897"/>
        <v>Portalámpara + lampara tipo LED - color Rojo - alimentacion: 220-230Vac, d=22mm. - CL2-523R - línea compacta - marca ABB.</v>
      </c>
      <c r="Q3230" s="120" t="str">
        <f t="shared" si="2898"/>
        <v>LAMP_ROJO_220V</v>
      </c>
    </row>
    <row r="3231" spans="1:18" s="185" customFormat="1">
      <c r="A3231" s="687"/>
      <c r="B3231" s="1910">
        <v>3</v>
      </c>
      <c r="C3231" s="1911" t="str">
        <f>VLOOKUP(D3231,base_datos,6,FALSE)</f>
        <v>Portalámpara + lampara tipo LED - color Verde - alimentacion: 220-230Vac, d=22mm. - CL2-523G - línea compacta - marca ABB.</v>
      </c>
      <c r="D3231" s="1790" t="s">
        <v>2440</v>
      </c>
      <c r="E3231" s="1939">
        <f>VLOOKUP(D3231,base_datos,5,FALSE)</f>
        <v>12.299999999999999</v>
      </c>
      <c r="F3231" s="1912">
        <f>+E3231*B3231</f>
        <v>36.9</v>
      </c>
      <c r="G3231" s="710"/>
      <c r="H3231" s="710"/>
      <c r="I3231" s="710"/>
      <c r="J3231" s="711"/>
      <c r="K3231" s="684">
        <f>+K3229</f>
        <v>1</v>
      </c>
      <c r="L3231" s="1913">
        <f>L3229</f>
        <v>1</v>
      </c>
      <c r="M3231" s="684">
        <f t="shared" si="2900"/>
        <v>3</v>
      </c>
      <c r="N3231" s="362">
        <f t="shared" si="2895"/>
        <v>3</v>
      </c>
      <c r="O3231" s="1763" t="str">
        <f t="shared" si="2896"/>
        <v>1SFA619403R5232</v>
      </c>
      <c r="P3231" s="1764" t="str">
        <f t="shared" si="2897"/>
        <v>Portalámpara + lampara tipo LED - color Verde - alimentacion: 220-230Vac, d=22mm. - CL2-523G - línea compacta - marca ABB.</v>
      </c>
      <c r="Q3231" s="120" t="str">
        <f t="shared" si="2898"/>
        <v>LAMP_VERDE_220V</v>
      </c>
    </row>
    <row r="3232" spans="1:18" s="1921" customFormat="1">
      <c r="A3232" s="687" t="s">
        <v>12356</v>
      </c>
      <c r="B3232" s="1914">
        <v>1</v>
      </c>
      <c r="C3232" s="1915" t="s">
        <v>3366</v>
      </c>
      <c r="D3232" s="1916"/>
      <c r="E3232" s="1917"/>
      <c r="F3232" s="1918"/>
      <c r="G3232" s="1919"/>
      <c r="H3232" s="1919"/>
      <c r="I3232" s="1919"/>
      <c r="J3232" s="1920"/>
      <c r="K3232" s="684">
        <f t="shared" si="2899"/>
        <v>1</v>
      </c>
      <c r="L3232" s="1913">
        <f>L3231</f>
        <v>1</v>
      </c>
      <c r="M3232" s="684">
        <f t="shared" si="2900"/>
        <v>1</v>
      </c>
      <c r="N3232" s="362" t="str">
        <f t="shared" si="2895"/>
        <v/>
      </c>
      <c r="O3232" s="1763" t="str">
        <f t="shared" si="2896"/>
        <v/>
      </c>
      <c r="P3232" s="1764" t="str">
        <f t="shared" si="2897"/>
        <v/>
      </c>
      <c r="Q3232" s="120" t="str">
        <f t="shared" si="2898"/>
        <v/>
      </c>
    </row>
    <row r="3233" spans="1:18" s="320" customFormat="1">
      <c r="A3233" s="687" t="s">
        <v>12505</v>
      </c>
      <c r="B3233" s="1922">
        <v>1</v>
      </c>
      <c r="C3233" s="721" t="str">
        <f>VLOOKUP(D3233,base_datos,6,FALSE)</f>
        <v>Rele auxiliar enchufable +4NA/NC (D2PR4B + base D2PA6), 220Vac - marca EATON.</v>
      </c>
      <c r="D3233" s="1579" t="s">
        <v>772</v>
      </c>
      <c r="E3233" s="1581">
        <f>VLOOKUP(D3233,base_datos,5,FALSE)</f>
        <v>27</v>
      </c>
      <c r="F3233" s="1923">
        <f>+E3233*B3233</f>
        <v>27</v>
      </c>
      <c r="G3233" s="1924"/>
      <c r="H3233" s="1924"/>
      <c r="I3233" s="1924"/>
      <c r="J3233" s="722"/>
      <c r="K3233" s="684">
        <f t="shared" si="2899"/>
        <v>1</v>
      </c>
      <c r="L3233" s="1913">
        <f>L3230</f>
        <v>1</v>
      </c>
      <c r="M3233" s="684">
        <f t="shared" si="2900"/>
        <v>1</v>
      </c>
      <c r="N3233" s="362">
        <f t="shared" si="2895"/>
        <v>1</v>
      </c>
      <c r="O3233" s="1763" t="str">
        <f t="shared" si="2896"/>
        <v>D2PR4B+D2PA6</v>
      </c>
      <c r="P3233" s="1764" t="str">
        <f t="shared" si="2897"/>
        <v>Rele auxiliar enchufable +4NA/NC (D2PR4B + base D2PA6), 220Vac - marca EATON.</v>
      </c>
      <c r="Q3233" s="120" t="str">
        <f t="shared" si="2898"/>
        <v>D2PR4B+D2PA6</v>
      </c>
    </row>
    <row r="3234" spans="1:18" s="320" customFormat="1">
      <c r="A3234" s="1767"/>
      <c r="B3234" s="2131">
        <v>1</v>
      </c>
      <c r="C3234" s="2132" t="s">
        <v>12558</v>
      </c>
      <c r="D3234" s="2133"/>
      <c r="E3234" s="2134">
        <v>32</v>
      </c>
      <c r="F3234" s="2134">
        <f>+E3234*B3234</f>
        <v>32</v>
      </c>
      <c r="G3234" s="1924"/>
      <c r="H3234" s="1924"/>
      <c r="I3234" s="1924"/>
      <c r="J3234" s="722"/>
      <c r="K3234" s="684">
        <f t="shared" si="2899"/>
        <v>1</v>
      </c>
      <c r="L3234" s="1913">
        <f>L3231</f>
        <v>1</v>
      </c>
      <c r="M3234" s="684">
        <f t="shared" si="2900"/>
        <v>1</v>
      </c>
      <c r="N3234" s="362" t="str">
        <f t="shared" si="2895"/>
        <v/>
      </c>
      <c r="O3234" s="1763" t="str">
        <f t="shared" si="2896"/>
        <v/>
      </c>
      <c r="P3234" s="1764" t="str">
        <f t="shared" si="2897"/>
        <v/>
      </c>
      <c r="Q3234" s="120" t="str">
        <f t="shared" si="2898"/>
        <v/>
      </c>
    </row>
    <row r="3235" spans="1:18" s="320" customFormat="1">
      <c r="A3235" s="687" t="s">
        <v>12551</v>
      </c>
      <c r="B3235" s="1922">
        <v>4</v>
      </c>
      <c r="C3235" s="721" t="str">
        <f>VLOOKUP(D3235,base_datos,6,FALSE)</f>
        <v>Base portafusibles + Fusibles de protección para control.</v>
      </c>
      <c r="D3235" s="1579" t="s">
        <v>453</v>
      </c>
      <c r="E3235" s="1581">
        <f>VLOOKUP(D3235,base_datos,5,FALSE)</f>
        <v>8.1750000000000007</v>
      </c>
      <c r="F3235" s="1923">
        <f>+E3235*B3235</f>
        <v>32.700000000000003</v>
      </c>
      <c r="G3235" s="1924"/>
      <c r="H3235" s="1924"/>
      <c r="I3235" s="1924"/>
      <c r="J3235" s="722"/>
      <c r="K3235" s="684">
        <f t="shared" si="2899"/>
        <v>1</v>
      </c>
      <c r="L3235" s="1913">
        <f>L3232</f>
        <v>1</v>
      </c>
      <c r="M3235" s="684">
        <f t="shared" si="2900"/>
        <v>4</v>
      </c>
      <c r="N3235" s="362" t="str">
        <f t="shared" si="2895"/>
        <v/>
      </c>
      <c r="O3235" s="1763" t="str">
        <f t="shared" si="2896"/>
        <v/>
      </c>
      <c r="P3235" s="1764" t="str">
        <f t="shared" si="2897"/>
        <v/>
      </c>
      <c r="Q3235" s="120" t="str">
        <f t="shared" si="2898"/>
        <v/>
      </c>
    </row>
    <row r="3236" spans="1:18" s="315" customFormat="1">
      <c r="A3236" s="687" t="s">
        <v>3542</v>
      </c>
      <c r="B3236" s="1906"/>
      <c r="C3236" s="1907"/>
      <c r="D3236" s="1935"/>
      <c r="E3236" s="1786"/>
      <c r="F3236" s="1936"/>
      <c r="G3236" s="712"/>
      <c r="H3236" s="712"/>
      <c r="I3236" s="712"/>
      <c r="J3236" s="713"/>
      <c r="K3236" s="684">
        <f t="shared" si="2899"/>
        <v>1</v>
      </c>
      <c r="L3236" s="1909">
        <f>B3236</f>
        <v>0</v>
      </c>
      <c r="M3236" s="684">
        <f t="shared" si="2900"/>
        <v>1</v>
      </c>
      <c r="N3236" s="362" t="str">
        <f t="shared" si="2895"/>
        <v/>
      </c>
      <c r="O3236" s="1763" t="str">
        <f t="shared" si="2896"/>
        <v/>
      </c>
      <c r="P3236" s="1764" t="str">
        <f t="shared" si="2897"/>
        <v/>
      </c>
      <c r="Q3236" s="120" t="str">
        <f t="shared" si="2898"/>
        <v/>
      </c>
    </row>
    <row r="3237" spans="1:18" s="185" customFormat="1" ht="13.5" customHeight="1">
      <c r="A3237" s="2073"/>
      <c r="B3237" s="1922"/>
      <c r="C3237" s="1956" t="s">
        <v>12368</v>
      </c>
      <c r="D3237" s="1579"/>
      <c r="E3237" s="1957"/>
      <c r="F3237" s="1958"/>
      <c r="G3237" s="710"/>
      <c r="H3237" s="710"/>
      <c r="I3237" s="710"/>
      <c r="J3237" s="711"/>
      <c r="K3237" s="684">
        <f t="shared" si="2899"/>
        <v>1</v>
      </c>
      <c r="L3237" s="708">
        <v>1</v>
      </c>
      <c r="M3237" s="684">
        <f t="shared" si="2900"/>
        <v>1</v>
      </c>
      <c r="N3237" s="362" t="str">
        <f t="shared" si="2895"/>
        <v/>
      </c>
      <c r="O3237" s="1763" t="str">
        <f t="shared" si="2896"/>
        <v/>
      </c>
      <c r="P3237" s="1764" t="str">
        <f t="shared" si="2897"/>
        <v/>
      </c>
      <c r="Q3237" s="120" t="str">
        <f t="shared" si="2898"/>
        <v/>
      </c>
    </row>
    <row r="3238" spans="1:18" s="120" customFormat="1" ht="18" customHeight="1">
      <c r="A3238" s="1767"/>
      <c r="B3238" s="1781"/>
      <c r="C3238" s="1218" t="s">
        <v>3158</v>
      </c>
      <c r="D3238" s="1900"/>
      <c r="E3238" s="1791"/>
      <c r="F3238" s="1782"/>
      <c r="G3238" s="686"/>
      <c r="H3238" s="686"/>
      <c r="I3238" s="686"/>
      <c r="J3238" s="688"/>
      <c r="K3238" s="684">
        <f t="shared" si="2899"/>
        <v>1</v>
      </c>
      <c r="L3238" s="708">
        <v>1</v>
      </c>
      <c r="M3238" s="709">
        <f t="shared" si="2900"/>
        <v>1</v>
      </c>
      <c r="N3238" s="362" t="str">
        <f t="shared" si="2895"/>
        <v/>
      </c>
      <c r="O3238" s="1763" t="str">
        <f t="shared" si="2896"/>
        <v/>
      </c>
      <c r="P3238" s="1764" t="str">
        <f t="shared" si="2897"/>
        <v/>
      </c>
      <c r="Q3238" s="120" t="str">
        <f t="shared" si="2898"/>
        <v/>
      </c>
      <c r="R3238" s="185"/>
    </row>
    <row r="3239" spans="1:18" s="690" customFormat="1" ht="18" customHeight="1">
      <c r="A3239" s="687"/>
      <c r="B3239" s="1781">
        <v>1</v>
      </c>
      <c r="C3239" s="1420" t="str">
        <f>VLOOKUP(D3239,base_datos,6,FALSE)</f>
        <v>ITM Caja Moldeada 3x100A (reg.[0.7-1.0] In) - XT1B160-100A-3P-TMD - 25kA@230Vac, 18kA@415Vac, 18kA@250Vdc - marca ABB.</v>
      </c>
      <c r="D3239" s="1901" t="s">
        <v>4374</v>
      </c>
      <c r="E3239" s="1791">
        <f>VLOOKUP(D3239,base_datos,5,FALSE)</f>
        <v>129.57999999999998</v>
      </c>
      <c r="F3239" s="1782">
        <f>+E3239*B3239</f>
        <v>129.57999999999998</v>
      </c>
      <c r="G3239" s="1761"/>
      <c r="H3239" s="1761"/>
      <c r="I3239" s="1761"/>
      <c r="J3239" s="689"/>
      <c r="K3239" s="684">
        <f t="shared" si="2899"/>
        <v>1</v>
      </c>
      <c r="L3239" s="708">
        <v>1</v>
      </c>
      <c r="M3239" s="709">
        <f t="shared" si="2900"/>
        <v>1</v>
      </c>
      <c r="N3239" s="362">
        <f t="shared" si="2895"/>
        <v>1</v>
      </c>
      <c r="O3239" s="1763" t="str">
        <f t="shared" si="2896"/>
        <v>1SDA066807R1</v>
      </c>
      <c r="P3239" s="1764" t="str">
        <f t="shared" si="2897"/>
        <v>ITM Caja Moldeada 3x100A (reg.[0.7-1.0] In) - XT1B160-100A-3P-TMD - 25kA@230Vac, 18kA@415Vac, 18kA@250Vdc - marca ABB.</v>
      </c>
      <c r="Q3239" s="120" t="str">
        <f t="shared" si="2898"/>
        <v>XT1B160-100A-3P-TMD</v>
      </c>
      <c r="R3239" s="185"/>
    </row>
    <row r="3240" spans="1:18" s="695" customFormat="1" ht="18" customHeight="1">
      <c r="A3240" s="687"/>
      <c r="B3240" s="1922">
        <v>1</v>
      </c>
      <c r="C3240" s="1848" t="str">
        <f t="shared" ref="C3240" si="2901">VLOOKUP(D3240,base_datos,6,FALSE)</f>
        <v>FC-CuAl_XT1 - Terminales + Cubrebornes - cables de cobre/aluminio hasta 1x95mm2 - 3 terminales (externos)</v>
      </c>
      <c r="D3240" s="1886" t="s">
        <v>956</v>
      </c>
      <c r="E3240" s="1795">
        <f t="shared" ref="E3240" si="2902">VLOOKUP(D3240,base_datos,5,FALSE)</f>
        <v>31.880000000000003</v>
      </c>
      <c r="F3240" s="1796">
        <f t="shared" ref="F3240" si="2903">+E3240*B3240</f>
        <v>31.880000000000003</v>
      </c>
      <c r="G3240" s="696"/>
      <c r="H3240" s="696"/>
      <c r="I3240" s="696"/>
      <c r="J3240" s="697"/>
      <c r="K3240" s="684">
        <f t="shared" si="2899"/>
        <v>1</v>
      </c>
      <c r="L3240" s="708">
        <v>1</v>
      </c>
      <c r="M3240" s="709">
        <f t="shared" si="2900"/>
        <v>1</v>
      </c>
      <c r="N3240" s="362">
        <f t="shared" ref="N3240" si="2904">IF(O3240&lt;&gt;"",K3240*L3240*M3240,"")</f>
        <v>1</v>
      </c>
      <c r="O3240" s="1763" t="str">
        <f t="shared" ref="O3240" si="2905">IF(D3240&lt;&gt;"",IF(VLOOKUP(D3240,base_datos,7,FALSE)&lt;&gt;"",VLOOKUP(D3240,base_datos,7,FALSE),""),"")</f>
        <v>1SDA067155R1</v>
      </c>
      <c r="P3240" s="1764" t="str">
        <f t="shared" ref="P3240" si="2906">IF(O3240&lt;&gt;"",VLOOKUP(D3240,base_datos,6,FALSE),"")</f>
        <v>FC-CuAl_XT1 - Terminales + Cubrebornes - cables de cobre/aluminio hasta 1x95mm2 - 3 terminales (externos)</v>
      </c>
      <c r="Q3240" s="120" t="str">
        <f t="shared" ref="Q3240" si="2907">IF(O3240&lt;&gt;"",D3240,"")</f>
        <v>FC-CuAl_XT1_3t</v>
      </c>
      <c r="R3240" s="185"/>
    </row>
    <row r="3241" spans="1:18" s="185" customFormat="1" ht="18" customHeight="1">
      <c r="A3241" s="2073"/>
      <c r="B3241" s="714"/>
      <c r="C3241" s="1893" t="s">
        <v>729</v>
      </c>
      <c r="D3241" s="173"/>
      <c r="E3241" s="1581"/>
      <c r="F3241" s="1581"/>
      <c r="G3241" s="710"/>
      <c r="H3241" s="710"/>
      <c r="I3241" s="710"/>
      <c r="J3241" s="711"/>
      <c r="K3241" s="684">
        <f t="shared" si="2899"/>
        <v>1</v>
      </c>
      <c r="L3241" s="708">
        <v>1</v>
      </c>
      <c r="M3241" s="709">
        <f t="shared" si="2900"/>
        <v>1</v>
      </c>
      <c r="N3241" s="362" t="str">
        <f t="shared" si="2895"/>
        <v/>
      </c>
      <c r="O3241" s="1763" t="str">
        <f t="shared" si="2896"/>
        <v/>
      </c>
      <c r="P3241" s="1764" t="str">
        <f t="shared" si="2897"/>
        <v/>
      </c>
      <c r="Q3241" s="120" t="str">
        <f t="shared" si="2898"/>
        <v/>
      </c>
      <c r="R3241" s="1765"/>
    </row>
    <row r="3242" spans="1:18" s="315" customFormat="1">
      <c r="A3242" s="687"/>
      <c r="B3242" s="1932">
        <v>2</v>
      </c>
      <c r="C3242" s="1933" t="str">
        <f t="shared" ref="C3242" si="2908">VLOOKUP(D3242,base_datos,6,FALSE)</f>
        <v>2(Q) contacto conmutado de estado (NA/NC) + 1(SY) contacto por disparo de interruptor - XT1..XT4 - versión cableada - marca ABB.</v>
      </c>
      <c r="D3242" s="1790" t="s">
        <v>3244</v>
      </c>
      <c r="E3242" s="1939">
        <f t="shared" ref="E3242" si="2909">VLOOKUP(D3242,base_datos,5,FALSE)</f>
        <v>132.1</v>
      </c>
      <c r="F3242" s="1940">
        <f t="shared" ref="F3242" si="2910">+E3242*B3242</f>
        <v>264.2</v>
      </c>
      <c r="G3242" s="712"/>
      <c r="H3242" s="712"/>
      <c r="I3242" s="712"/>
      <c r="J3242" s="713"/>
      <c r="K3242" s="684">
        <f t="shared" si="2899"/>
        <v>1</v>
      </c>
      <c r="L3242" s="708">
        <v>1</v>
      </c>
      <c r="M3242" s="709">
        <f t="shared" si="2900"/>
        <v>2</v>
      </c>
      <c r="N3242" s="362">
        <f t="shared" si="2895"/>
        <v>2</v>
      </c>
      <c r="O3242" s="1763" t="str">
        <f t="shared" si="2896"/>
        <v>1SDA066433R1</v>
      </c>
      <c r="P3242" s="1764" t="str">
        <f t="shared" si="2897"/>
        <v>2(Q) contacto conmutado de estado (NA/NC) + 1(SY) contacto por disparo de interruptor - XT1..XT4 - versión cableada - marca ABB.</v>
      </c>
      <c r="Q3242" s="120" t="str">
        <f t="shared" si="2898"/>
        <v>2Q+1SY_XT1..XT4</v>
      </c>
    </row>
    <row r="3243" spans="1:18" s="185" customFormat="1" ht="18" customHeight="1">
      <c r="A3243" s="2073"/>
      <c r="B3243" s="714"/>
      <c r="C3243" s="1893" t="s">
        <v>729</v>
      </c>
      <c r="D3243" s="173"/>
      <c r="E3243" s="1581"/>
      <c r="F3243" s="1581"/>
      <c r="G3243" s="710"/>
      <c r="H3243" s="710"/>
      <c r="I3243" s="710"/>
      <c r="J3243" s="711"/>
      <c r="K3243" s="684">
        <f t="shared" si="2899"/>
        <v>1</v>
      </c>
      <c r="L3243" s="708">
        <v>1</v>
      </c>
      <c r="M3243" s="709">
        <f t="shared" ref="M3243" si="2911">IF(B3243="",1,B3243)</f>
        <v>1</v>
      </c>
      <c r="N3243" s="362" t="str">
        <f t="shared" ref="N3243" si="2912">IF(O3243&lt;&gt;"",K3243*L3243*M3243,"")</f>
        <v/>
      </c>
      <c r="O3243" s="1763" t="str">
        <f t="shared" ref="O3243" si="2913">IF(D3243&lt;&gt;"",IF(VLOOKUP(D3243,base_datos,7,FALSE)&lt;&gt;"",VLOOKUP(D3243,base_datos,7,FALSE),""),"")</f>
        <v/>
      </c>
      <c r="P3243" s="1764" t="str">
        <f t="shared" ref="P3243" si="2914">IF(O3243&lt;&gt;"",VLOOKUP(D3243,base_datos,6,FALSE),"")</f>
        <v/>
      </c>
      <c r="Q3243" s="120" t="str">
        <f t="shared" ref="Q3243" si="2915">IF(O3243&lt;&gt;"",D3243,"")</f>
        <v/>
      </c>
      <c r="R3243" s="1765"/>
    </row>
    <row r="3244" spans="1:18" s="690" customFormat="1" ht="18" customHeight="1">
      <c r="A3244" s="2073"/>
      <c r="B3244" s="1851"/>
      <c r="C3244" s="1894" t="s">
        <v>3377</v>
      </c>
      <c r="D3244" s="1582"/>
      <c r="E3244" s="1780"/>
      <c r="F3244" s="1782"/>
      <c r="G3244" s="2493" t="s">
        <v>14159</v>
      </c>
      <c r="H3244" s="2493"/>
      <c r="I3244" s="2493"/>
      <c r="J3244" s="2494"/>
      <c r="K3244" s="684">
        <f t="shared" si="2899"/>
        <v>1</v>
      </c>
      <c r="L3244" s="708">
        <v>1</v>
      </c>
      <c r="M3244" s="709">
        <f t="shared" si="2900"/>
        <v>1</v>
      </c>
      <c r="N3244" s="362" t="str">
        <f t="shared" si="2895"/>
        <v/>
      </c>
      <c r="O3244" s="1763" t="str">
        <f t="shared" si="2896"/>
        <v/>
      </c>
      <c r="P3244" s="1764" t="str">
        <f t="shared" si="2897"/>
        <v/>
      </c>
      <c r="Q3244" s="120" t="str">
        <f t="shared" si="2898"/>
        <v/>
      </c>
      <c r="R3244" s="185"/>
    </row>
    <row r="3245" spans="1:18" s="2434" customFormat="1" ht="18" customHeight="1">
      <c r="A3245" s="2464"/>
      <c r="B3245" s="2435">
        <v>5</v>
      </c>
      <c r="C3245" s="2475" t="str">
        <f t="shared" ref="C3245" si="2916">VLOOKUP(D3245,base_datos,6,FALSE)</f>
        <v>ITM Caja Moldeada 2x25A - A1N/P125-25A-2P-TMF - 50kA@230Vac, 36kA@400Vac, 10kA@125Vdc - marca ABB.</v>
      </c>
      <c r="D3245" s="2484" t="s">
        <v>1174</v>
      </c>
      <c r="E3245" s="2482">
        <f>VLOOKUP(D3245,base_datos,5,FALSE)</f>
        <v>59.769999999999996</v>
      </c>
      <c r="F3245" s="2422">
        <f t="shared" ref="F3245" si="2917">+E3245*B3245</f>
        <v>298.84999999999997</v>
      </c>
      <c r="G3245" s="2485"/>
      <c r="H3245" s="2424"/>
      <c r="I3245" s="2424"/>
      <c r="J3245" s="2425"/>
      <c r="K3245" s="684">
        <f t="shared" si="2899"/>
        <v>1</v>
      </c>
      <c r="L3245" s="2463">
        <v>1</v>
      </c>
      <c r="M3245" s="2428">
        <f t="shared" si="2900"/>
        <v>5</v>
      </c>
      <c r="N3245" s="2429">
        <f t="shared" si="2895"/>
        <v>5</v>
      </c>
      <c r="O3245" s="2430" t="str">
        <f t="shared" si="2896"/>
        <v>1SDA069553R1</v>
      </c>
      <c r="P3245" s="2431" t="str">
        <f t="shared" si="2897"/>
        <v>ITM Caja Moldeada 2x25A - A1N/P125-25A-2P-TMF - 50kA@230Vac, 36kA@400Vac, 10kA@125Vdc - marca ABB.</v>
      </c>
      <c r="Q3245" s="2432" t="str">
        <f t="shared" si="2898"/>
        <v>A1N/P125-25A-2P-TMF</v>
      </c>
      <c r="R3245" s="2433"/>
    </row>
    <row r="3246" spans="1:18" s="2434" customFormat="1" ht="18" customHeight="1">
      <c r="A3246" s="2464"/>
      <c r="B3246" s="2435">
        <v>3</v>
      </c>
      <c r="C3246" s="2475" t="str">
        <f t="shared" ref="C3246" si="2918">VLOOKUP(D3246,base_datos,6,FALSE)</f>
        <v>ITM Caja Moldeada 2x20A - A1N/P125-20A-2P-TMF - 50kA@230Vac, 36kA@400Vac, 10kA@125Vdc - marca ABB.</v>
      </c>
      <c r="D3246" s="2484" t="s">
        <v>1173</v>
      </c>
      <c r="E3246" s="2482">
        <f>VLOOKUP(D3246,base_datos,5,FALSE)</f>
        <v>59.769999999999996</v>
      </c>
      <c r="F3246" s="2422">
        <f t="shared" ref="F3246" si="2919">+E3246*B3246</f>
        <v>179.31</v>
      </c>
      <c r="G3246" s="2485"/>
      <c r="H3246" s="2424"/>
      <c r="I3246" s="2424"/>
      <c r="J3246" s="2425"/>
      <c r="K3246" s="684">
        <f t="shared" si="2899"/>
        <v>1</v>
      </c>
      <c r="L3246" s="2463">
        <v>1</v>
      </c>
      <c r="M3246" s="2428">
        <f t="shared" si="2900"/>
        <v>3</v>
      </c>
      <c r="N3246" s="2429">
        <f t="shared" si="2895"/>
        <v>3</v>
      </c>
      <c r="O3246" s="2430" t="str">
        <f t="shared" si="2896"/>
        <v>1SDA069552R1</v>
      </c>
      <c r="P3246" s="2431" t="str">
        <f t="shared" si="2897"/>
        <v>ITM Caja Moldeada 2x20A - A1N/P125-20A-2P-TMF - 50kA@230Vac, 36kA@400Vac, 10kA@125Vdc - marca ABB.</v>
      </c>
      <c r="Q3246" s="2432" t="str">
        <f t="shared" si="2898"/>
        <v>A1N/P125-20A-2P-TMF</v>
      </c>
      <c r="R3246" s="2433"/>
    </row>
    <row r="3247" spans="1:18" s="2434" customFormat="1" ht="18" customHeight="1">
      <c r="A3247" s="2464"/>
      <c r="B3247" s="2435">
        <v>7</v>
      </c>
      <c r="C3247" s="2475" t="str">
        <f t="shared" ref="C3247:C3248" si="2920">VLOOKUP(D3247,base_datos,6,FALSE)</f>
        <v>ITM Caja Moldeada 2x16A - A1N/P125-16A-2P-TMF - 50kA@230Vac, 36kA@400Vac, 10kA@125Vdc - marca ABB.</v>
      </c>
      <c r="D3247" s="2484" t="s">
        <v>1172</v>
      </c>
      <c r="E3247" s="2482">
        <f>VLOOKUP(D3247,base_datos,5,FALSE)</f>
        <v>59.769999999999996</v>
      </c>
      <c r="F3247" s="2422">
        <f t="shared" ref="F3247:F3248" si="2921">+E3247*B3247</f>
        <v>418.39</v>
      </c>
      <c r="G3247" s="2485"/>
      <c r="H3247" s="2424"/>
      <c r="I3247" s="2424"/>
      <c r="J3247" s="2425"/>
      <c r="K3247" s="684">
        <f t="shared" si="2899"/>
        <v>1</v>
      </c>
      <c r="L3247" s="2463">
        <v>1</v>
      </c>
      <c r="M3247" s="2428">
        <f t="shared" si="2900"/>
        <v>7</v>
      </c>
      <c r="N3247" s="2429">
        <f t="shared" si="2895"/>
        <v>7</v>
      </c>
      <c r="O3247" s="2430" t="str">
        <f t="shared" si="2896"/>
        <v>1SDA069551R1</v>
      </c>
      <c r="P3247" s="2431" t="str">
        <f t="shared" si="2897"/>
        <v>ITM Caja Moldeada 2x16A - A1N/P125-16A-2P-TMF - 50kA@230Vac, 36kA@400Vac, 10kA@125Vdc - marca ABB.</v>
      </c>
      <c r="Q3247" s="2432" t="str">
        <f t="shared" si="2898"/>
        <v>A1N/P125-16A-2P-TMF</v>
      </c>
      <c r="R3247" s="2433"/>
    </row>
    <row r="3248" spans="1:18" s="690" customFormat="1" ht="18" customHeight="1">
      <c r="A3248" s="1767"/>
      <c r="B3248" s="1781">
        <v>1</v>
      </c>
      <c r="C3248" s="1420" t="str">
        <f t="shared" si="2920"/>
        <v>Espacio de reserva monofasica - Riel-Din.</v>
      </c>
      <c r="D3248" s="1901" t="s">
        <v>1042</v>
      </c>
      <c r="E3248" s="1791">
        <v>5</v>
      </c>
      <c r="F3248" s="1782">
        <f t="shared" si="2921"/>
        <v>5</v>
      </c>
      <c r="G3248" s="1761"/>
      <c r="H3248" s="1761"/>
      <c r="I3248" s="1761"/>
      <c r="J3248" s="1783"/>
      <c r="K3248" s="684">
        <f t="shared" si="2899"/>
        <v>1</v>
      </c>
      <c r="L3248" s="708">
        <v>1</v>
      </c>
      <c r="M3248" s="709">
        <f t="shared" si="2900"/>
        <v>1</v>
      </c>
      <c r="N3248" s="362" t="str">
        <f t="shared" si="2895"/>
        <v/>
      </c>
      <c r="O3248" s="1763" t="str">
        <f t="shared" si="2896"/>
        <v/>
      </c>
      <c r="P3248" s="1764" t="str">
        <f t="shared" si="2897"/>
        <v/>
      </c>
      <c r="Q3248" s="120" t="str">
        <f t="shared" si="2898"/>
        <v/>
      </c>
      <c r="R3248" s="185"/>
    </row>
    <row r="3249" spans="1:20" s="185" customFormat="1">
      <c r="A3249" s="692"/>
      <c r="B3249" s="714"/>
      <c r="C3249" s="1893" t="s">
        <v>729</v>
      </c>
      <c r="D3249" s="2021"/>
      <c r="E3249" s="1786"/>
      <c r="F3249" s="1787"/>
      <c r="G3249" s="710"/>
      <c r="H3249" s="710"/>
      <c r="I3249" s="710"/>
      <c r="J3249" s="711"/>
      <c r="K3249" s="684">
        <f t="shared" si="2899"/>
        <v>1</v>
      </c>
      <c r="L3249" s="363">
        <v>1</v>
      </c>
      <c r="M3249" s="709">
        <f>IF(B3249="",1,B3249)</f>
        <v>1</v>
      </c>
      <c r="N3249" s="362" t="str">
        <f t="shared" si="2895"/>
        <v/>
      </c>
      <c r="O3249" s="1763" t="str">
        <f t="shared" si="2896"/>
        <v/>
      </c>
      <c r="P3249" s="1764" t="str">
        <f t="shared" si="2897"/>
        <v/>
      </c>
      <c r="Q3249" s="120" t="str">
        <f t="shared" si="2898"/>
        <v/>
      </c>
    </row>
    <row r="3250" spans="1:20" s="315" customFormat="1" ht="12.75" customHeight="1">
      <c r="A3250" s="2271"/>
      <c r="B3250" s="2272">
        <v>1</v>
      </c>
      <c r="C3250" s="2281" t="s">
        <v>13366</v>
      </c>
      <c r="D3250" s="1935"/>
      <c r="E3250" s="2287"/>
      <c r="F3250" s="2257">
        <f>+SUM(F3251:F3254)*(B3250-1)</f>
        <v>0</v>
      </c>
      <c r="G3250" s="712"/>
      <c r="H3250" s="712"/>
      <c r="I3250" s="712"/>
      <c r="J3250" s="713"/>
      <c r="K3250" s="684">
        <f t="shared" si="2899"/>
        <v>1</v>
      </c>
      <c r="L3250" s="2258">
        <v>1</v>
      </c>
      <c r="M3250" s="120">
        <f t="shared" ref="M3250:M3255" si="2922">IF(B3250="",1,B3250)</f>
        <v>1</v>
      </c>
      <c r="N3250" s="112" t="str">
        <f t="shared" si="2895"/>
        <v/>
      </c>
      <c r="O3250" s="112" t="str">
        <f t="shared" si="2896"/>
        <v/>
      </c>
      <c r="P3250" s="120" t="str">
        <f t="shared" si="2897"/>
        <v/>
      </c>
      <c r="Q3250" s="120" t="str">
        <f t="shared" si="2898"/>
        <v/>
      </c>
      <c r="S3250" s="112" t="str">
        <f t="shared" ref="S3250:S3255" si="2923">IF(O3250&lt;&gt;"",VLOOKUP(D3250,base_datos,9,FALSE),"")</f>
        <v/>
      </c>
      <c r="T3250" s="2128"/>
    </row>
    <row r="3251" spans="1:20" s="690" customFormat="1" ht="18" customHeight="1">
      <c r="A3251" s="2273"/>
      <c r="B3251" s="1781">
        <v>1</v>
      </c>
      <c r="C3251" s="1420" t="str">
        <f t="shared" ref="C3251:C3254" si="2924">VLOOKUP(D3251,base_datos,6,FALSE)</f>
        <v>Calefactor resistivo 60W, modelo RACM - marca FANDIS.</v>
      </c>
      <c r="D3251" s="1899" t="s">
        <v>3298</v>
      </c>
      <c r="E3251" s="2288">
        <f t="shared" ref="E3251" si="2925">VLOOKUP(D3251,base_datos,5,FALSE)</f>
        <v>127.1</v>
      </c>
      <c r="F3251" s="1782">
        <f>+E3251*B3251</f>
        <v>127.1</v>
      </c>
      <c r="G3251" s="1761"/>
      <c r="H3251" s="1761"/>
      <c r="I3251" s="1761"/>
      <c r="J3251" s="689"/>
      <c r="K3251" s="684">
        <f t="shared" si="2899"/>
        <v>1</v>
      </c>
      <c r="L3251" s="2258">
        <v>1</v>
      </c>
      <c r="M3251" s="120">
        <f t="shared" si="2922"/>
        <v>1</v>
      </c>
      <c r="N3251" s="112">
        <f t="shared" si="2895"/>
        <v>1</v>
      </c>
      <c r="O3251" s="112" t="str">
        <f t="shared" si="2896"/>
        <v>RACM-60</v>
      </c>
      <c r="P3251" s="120" t="str">
        <f t="shared" si="2897"/>
        <v>Calefactor resistivo 60W, modelo RACM - marca FANDIS.</v>
      </c>
      <c r="Q3251" s="120" t="str">
        <f t="shared" si="2898"/>
        <v>CALEFACT-60W_FAND</v>
      </c>
      <c r="S3251" s="112" t="str">
        <f t="shared" si="2923"/>
        <v>FANDIS</v>
      </c>
      <c r="T3251" s="1765"/>
    </row>
    <row r="3252" spans="1:20" s="690" customFormat="1" ht="18" customHeight="1">
      <c r="A3252" s="2273"/>
      <c r="B3252" s="1781">
        <v>1</v>
      </c>
      <c r="C3252" s="1420" t="str">
        <f t="shared" si="2924"/>
        <v>Termostato para ventilación - 1NA - 230V - marca FANDIS.</v>
      </c>
      <c r="D3252" s="1899" t="s">
        <v>3294</v>
      </c>
      <c r="E3252" s="2288">
        <f t="shared" ref="E3252:E3254" si="2926">VLOOKUP(D3252,base_datos,5,FALSE)</f>
        <v>41.58</v>
      </c>
      <c r="F3252" s="1782">
        <f>+E3252*B3252</f>
        <v>41.58</v>
      </c>
      <c r="G3252" s="1761"/>
      <c r="H3252" s="1761"/>
      <c r="I3252" s="1761"/>
      <c r="J3252" s="689"/>
      <c r="K3252" s="684">
        <f t="shared" si="2899"/>
        <v>1</v>
      </c>
      <c r="L3252" s="2258">
        <v>1</v>
      </c>
      <c r="M3252" s="120">
        <f t="shared" si="2922"/>
        <v>1</v>
      </c>
      <c r="N3252" s="112">
        <f t="shared" si="2895"/>
        <v>1</v>
      </c>
      <c r="O3252" s="112" t="str">
        <f t="shared" si="2896"/>
        <v>TRT-10A230V-NO</v>
      </c>
      <c r="P3252" s="120" t="str">
        <f t="shared" si="2897"/>
        <v>Termostato para ventilación - 1NA - 230V - marca FANDIS.</v>
      </c>
      <c r="Q3252" s="120" t="str">
        <f t="shared" si="2898"/>
        <v>TRT-1NA</v>
      </c>
      <c r="S3252" s="112" t="str">
        <f t="shared" si="2923"/>
        <v>FANDIS</v>
      </c>
      <c r="T3252" s="1765"/>
    </row>
    <row r="3253" spans="1:20" s="320" customFormat="1" ht="12.75" customHeight="1">
      <c r="A3253" s="2274"/>
      <c r="B3253" s="2275">
        <v>1</v>
      </c>
      <c r="C3253" s="2282" t="str">
        <f t="shared" si="2924"/>
        <v>Base portafusibles + Fusibles de protección para control.</v>
      </c>
      <c r="D3253" s="1579" t="s">
        <v>453</v>
      </c>
      <c r="E3253" s="2289">
        <f t="shared" si="2926"/>
        <v>8.1750000000000007</v>
      </c>
      <c r="F3253" s="2264">
        <f>+E3253*B3253</f>
        <v>8.1750000000000007</v>
      </c>
      <c r="G3253" s="2276"/>
      <c r="H3253" s="2276"/>
      <c r="I3253" s="2276"/>
      <c r="J3253" s="722"/>
      <c r="K3253" s="684">
        <f t="shared" si="2899"/>
        <v>1</v>
      </c>
      <c r="L3253" s="2258">
        <v>1</v>
      </c>
      <c r="M3253" s="120">
        <f t="shared" si="2922"/>
        <v>1</v>
      </c>
      <c r="N3253" s="112" t="str">
        <f t="shared" si="2895"/>
        <v/>
      </c>
      <c r="O3253" s="112" t="str">
        <f t="shared" si="2896"/>
        <v/>
      </c>
      <c r="P3253" s="120" t="str">
        <f t="shared" si="2897"/>
        <v/>
      </c>
      <c r="Q3253" s="120" t="str">
        <f t="shared" si="2898"/>
        <v/>
      </c>
      <c r="R3253" s="185"/>
      <c r="S3253" s="112" t="str">
        <f t="shared" si="2923"/>
        <v/>
      </c>
      <c r="T3253" s="709"/>
    </row>
    <row r="3254" spans="1:20" s="320" customFormat="1" ht="12.75" customHeight="1">
      <c r="A3254" s="2274"/>
      <c r="B3254" s="2277">
        <v>1</v>
      </c>
      <c r="C3254" s="2282" t="str">
        <f t="shared" si="2924"/>
        <v>Borne 4mm2.</v>
      </c>
      <c r="D3254" s="1579" t="s">
        <v>437</v>
      </c>
      <c r="E3254" s="2260">
        <f t="shared" si="2926"/>
        <v>2.5</v>
      </c>
      <c r="F3254" s="2260">
        <f>+E3254*B3254</f>
        <v>2.5</v>
      </c>
      <c r="G3254" s="2276"/>
      <c r="H3254" s="2276"/>
      <c r="I3254" s="2276"/>
      <c r="J3254" s="722"/>
      <c r="K3254" s="684">
        <f t="shared" si="2899"/>
        <v>1</v>
      </c>
      <c r="L3254" s="2258">
        <v>1</v>
      </c>
      <c r="M3254" s="120">
        <f t="shared" si="2922"/>
        <v>1</v>
      </c>
      <c r="N3254" s="112" t="str">
        <f t="shared" si="2895"/>
        <v/>
      </c>
      <c r="O3254" s="112" t="str">
        <f t="shared" si="2896"/>
        <v/>
      </c>
      <c r="P3254" s="120" t="str">
        <f t="shared" si="2897"/>
        <v/>
      </c>
      <c r="Q3254" s="120" t="str">
        <f t="shared" si="2898"/>
        <v/>
      </c>
      <c r="R3254" s="185"/>
      <c r="S3254" s="112" t="str">
        <f t="shared" si="2923"/>
        <v/>
      </c>
      <c r="T3254" s="709"/>
    </row>
    <row r="3255" spans="1:20" s="185" customFormat="1" ht="12.75" customHeight="1">
      <c r="A3255" s="2262"/>
      <c r="B3255" s="1760"/>
      <c r="C3255" s="1893" t="s">
        <v>729</v>
      </c>
      <c r="D3255" s="169"/>
      <c r="E3255" s="2256"/>
      <c r="F3255" s="2278"/>
      <c r="G3255" s="710"/>
      <c r="H3255" s="710"/>
      <c r="I3255" s="710"/>
      <c r="J3255" s="711"/>
      <c r="K3255" s="684">
        <f t="shared" si="2899"/>
        <v>1</v>
      </c>
      <c r="L3255" s="2258">
        <v>1</v>
      </c>
      <c r="M3255" s="120">
        <f t="shared" si="2922"/>
        <v>1</v>
      </c>
      <c r="N3255" s="112" t="str">
        <f t="shared" si="2895"/>
        <v/>
      </c>
      <c r="O3255" s="112" t="str">
        <f t="shared" si="2896"/>
        <v/>
      </c>
      <c r="P3255" s="120" t="str">
        <f t="shared" si="2897"/>
        <v/>
      </c>
      <c r="Q3255" s="120" t="str">
        <f t="shared" si="2898"/>
        <v/>
      </c>
      <c r="S3255" s="112" t="str">
        <f t="shared" si="2923"/>
        <v/>
      </c>
      <c r="T3255" s="118"/>
    </row>
    <row r="3256" spans="1:20" s="1236" customFormat="1" ht="18" customHeight="1">
      <c r="A3256" s="1767"/>
      <c r="B3256" s="1853">
        <v>1</v>
      </c>
      <c r="C3256" s="1895" t="s">
        <v>12364</v>
      </c>
      <c r="D3256" s="1902"/>
      <c r="E3256" s="1792"/>
      <c r="F3256" s="1793"/>
      <c r="G3256" s="1784"/>
      <c r="H3256" s="1784"/>
      <c r="I3256" s="1784"/>
      <c r="J3256" s="1182"/>
      <c r="K3256" s="684">
        <f t="shared" si="2899"/>
        <v>1</v>
      </c>
      <c r="L3256" s="708">
        <v>1</v>
      </c>
      <c r="M3256" s="709">
        <f t="shared" ref="M3256:M3268" si="2927">IF(B3256="",1,B3256)</f>
        <v>1</v>
      </c>
      <c r="N3256" s="362" t="str">
        <f t="shared" si="2895"/>
        <v/>
      </c>
      <c r="O3256" s="1763" t="str">
        <f t="shared" si="2896"/>
        <v/>
      </c>
      <c r="P3256" s="1764" t="str">
        <f t="shared" si="2897"/>
        <v/>
      </c>
      <c r="Q3256" s="120" t="str">
        <f t="shared" si="2898"/>
        <v/>
      </c>
      <c r="R3256" s="185"/>
    </row>
    <row r="3257" spans="1:20" s="695" customFormat="1" ht="18" customHeight="1">
      <c r="A3257" s="693"/>
      <c r="B3257" s="1922">
        <v>1</v>
      </c>
      <c r="C3257" s="1848" t="str">
        <f t="shared" ref="C3257" si="2928">VLOOKUP(D3257,base_datos,6,FALSE)</f>
        <v>Placa lamicoid rotulación de 3mm de espesor, fondo negro y letras blancas.</v>
      </c>
      <c r="D3257" s="1886" t="s">
        <v>8570</v>
      </c>
      <c r="E3257" s="1795">
        <f t="shared" ref="E3257" si="2929">VLOOKUP(D3257,base_datos,5,FALSE)</f>
        <v>2.2000000000000002</v>
      </c>
      <c r="F3257" s="1796">
        <f t="shared" ref="F3257" si="2930">+E3257*B3257</f>
        <v>2.2000000000000002</v>
      </c>
      <c r="G3257" s="696"/>
      <c r="H3257" s="696"/>
      <c r="I3257" s="696"/>
      <c r="J3257" s="697"/>
      <c r="K3257" s="684">
        <f t="shared" si="2899"/>
        <v>1</v>
      </c>
      <c r="L3257" s="708">
        <v>1</v>
      </c>
      <c r="M3257" s="709">
        <f t="shared" si="2927"/>
        <v>1</v>
      </c>
      <c r="N3257" s="362">
        <f t="shared" si="2895"/>
        <v>1</v>
      </c>
      <c r="O3257" s="1763" t="str">
        <f t="shared" si="2896"/>
        <v>Placa lamicoid p/distr.</v>
      </c>
      <c r="P3257" s="1764" t="str">
        <f t="shared" si="2897"/>
        <v>Placa lamicoid rotulación de 3mm de espesor, fondo negro y letras blancas.</v>
      </c>
      <c r="Q3257" s="120" t="str">
        <f t="shared" si="2898"/>
        <v>Placa lamicoid p/distr.</v>
      </c>
      <c r="R3257" s="185"/>
    </row>
    <row r="3258" spans="1:20" s="1236" customFormat="1" ht="18" customHeight="1">
      <c r="A3258" s="1767"/>
      <c r="B3258" s="1853">
        <v>1</v>
      </c>
      <c r="C3258" s="1895" t="s">
        <v>12474</v>
      </c>
      <c r="D3258" s="1902"/>
      <c r="E3258" s="1792"/>
      <c r="F3258" s="1793"/>
      <c r="G3258" s="1784"/>
      <c r="H3258" s="1784"/>
      <c r="I3258" s="1784"/>
      <c r="J3258" s="1182"/>
      <c r="K3258" s="684">
        <f t="shared" si="2899"/>
        <v>1</v>
      </c>
      <c r="L3258" s="708">
        <v>1</v>
      </c>
      <c r="M3258" s="709">
        <f t="shared" si="2927"/>
        <v>1</v>
      </c>
      <c r="N3258" s="362" t="str">
        <f t="shared" si="2895"/>
        <v/>
      </c>
      <c r="O3258" s="1763" t="str">
        <f t="shared" si="2896"/>
        <v/>
      </c>
      <c r="P3258" s="1764" t="str">
        <f t="shared" si="2897"/>
        <v/>
      </c>
      <c r="Q3258" s="120" t="str">
        <f t="shared" si="2898"/>
        <v/>
      </c>
      <c r="R3258" s="185"/>
    </row>
    <row r="3259" spans="1:20" s="1236" customFormat="1" ht="18" customHeight="1">
      <c r="A3259" s="1767"/>
      <c r="B3259" s="1853">
        <v>1</v>
      </c>
      <c r="C3259" s="1848" t="str">
        <f>VLOOKUP(D3259,base_datos,6,FALSE)</f>
        <v>Embalaje especial completamente cerrado para tablero adosado de 1600x600x220mm</v>
      </c>
      <c r="D3259" s="1902" t="s">
        <v>12453</v>
      </c>
      <c r="E3259" s="1795">
        <f t="shared" ref="E3259" si="2931">VLOOKUP(D3259,base_datos,5,FALSE)</f>
        <v>271.40000000000003</v>
      </c>
      <c r="F3259" s="1796">
        <f t="shared" ref="F3259" si="2932">+E3259*B3259</f>
        <v>271.40000000000003</v>
      </c>
      <c r="G3259" s="1784"/>
      <c r="H3259" s="1784"/>
      <c r="I3259" s="1784"/>
      <c r="J3259" s="1182"/>
      <c r="K3259" s="684">
        <f t="shared" si="2899"/>
        <v>1</v>
      </c>
      <c r="L3259" s="708">
        <v>1</v>
      </c>
      <c r="M3259" s="709">
        <f t="shared" si="2927"/>
        <v>1</v>
      </c>
      <c r="N3259" s="362">
        <f t="shared" si="2895"/>
        <v>1</v>
      </c>
      <c r="O3259" s="1763" t="str">
        <f t="shared" si="2896"/>
        <v>EMBAL_ADOS_1600x600x220mm</v>
      </c>
      <c r="P3259" s="1764" t="str">
        <f t="shared" si="2897"/>
        <v>Embalaje especial completamente cerrado para tablero adosado de 1600x600x220mm</v>
      </c>
      <c r="Q3259" s="120" t="str">
        <f t="shared" si="2898"/>
        <v>EMBAL_ADOS_1600x600x220mm</v>
      </c>
      <c r="R3259" s="185"/>
    </row>
    <row r="3260" spans="1:20" s="185" customFormat="1" ht="18" customHeight="1">
      <c r="A3260" s="1785"/>
      <c r="B3260" s="714"/>
      <c r="C3260" s="1893" t="s">
        <v>729</v>
      </c>
      <c r="D3260" s="173"/>
      <c r="E3260" s="1786"/>
      <c r="F3260" s="1787"/>
      <c r="G3260" s="710"/>
      <c r="H3260" s="710"/>
      <c r="I3260" s="710"/>
      <c r="J3260" s="711"/>
      <c r="K3260" s="684">
        <f t="shared" si="2899"/>
        <v>1</v>
      </c>
      <c r="L3260" s="708">
        <v>1</v>
      </c>
      <c r="M3260" s="709">
        <f t="shared" si="2927"/>
        <v>1</v>
      </c>
      <c r="N3260" s="362" t="str">
        <f t="shared" ref="N3260:N3299" si="2933">IF(O3260&lt;&gt;"",K3260*L3260*M3260,"")</f>
        <v/>
      </c>
      <c r="O3260" s="1763" t="str">
        <f t="shared" ref="O3260:O3299" si="2934">IF(D3260&lt;&gt;"",IF(VLOOKUP(D3260,base_datos,7,FALSE)&lt;&gt;"",VLOOKUP(D3260,base_datos,7,FALSE),""),"")</f>
        <v/>
      </c>
      <c r="P3260" s="1764" t="str">
        <f t="shared" ref="P3260:P3299" si="2935">IF(O3260&lt;&gt;"",VLOOKUP(D3260,base_datos,6,FALSE),"")</f>
        <v/>
      </c>
      <c r="Q3260" s="120" t="str">
        <f t="shared" ref="Q3260:Q3299" si="2936">IF(O3260&lt;&gt;"",D3260,"")</f>
        <v/>
      </c>
    </row>
    <row r="3261" spans="1:20" s="695" customFormat="1" ht="18" customHeight="1">
      <c r="A3261" s="693"/>
      <c r="B3261" s="1794">
        <v>1</v>
      </c>
      <c r="C3261" s="1420" t="str">
        <f t="shared" ref="C3261" si="2937">VLOOKUP(D3261,base_datos,6,FALSE)</f>
        <v>Barra a tierra.</v>
      </c>
      <c r="D3261" s="1790" t="s">
        <v>8299</v>
      </c>
      <c r="E3261" s="1795">
        <f t="shared" ref="E3261" si="2938">VLOOKUP(D3261,base_datos,5,FALSE)</f>
        <v>10</v>
      </c>
      <c r="F3261" s="1796">
        <f t="shared" ref="F3261:F3268" si="2939">+E3261*B3261</f>
        <v>10</v>
      </c>
      <c r="G3261" s="696"/>
      <c r="H3261" s="696"/>
      <c r="I3261" s="696"/>
      <c r="J3261" s="697"/>
      <c r="K3261" s="684">
        <f t="shared" si="2899"/>
        <v>1</v>
      </c>
      <c r="L3261" s="708">
        <v>1</v>
      </c>
      <c r="M3261" s="709">
        <f t="shared" si="2927"/>
        <v>1</v>
      </c>
      <c r="N3261" s="362" t="str">
        <f t="shared" si="2933"/>
        <v/>
      </c>
      <c r="O3261" s="1763" t="str">
        <f t="shared" si="2934"/>
        <v/>
      </c>
      <c r="P3261" s="1764" t="str">
        <f t="shared" si="2935"/>
        <v/>
      </c>
      <c r="Q3261" s="120" t="str">
        <f t="shared" si="2936"/>
        <v/>
      </c>
      <c r="R3261" s="185"/>
    </row>
    <row r="3262" spans="1:20" s="185" customFormat="1" ht="18" customHeight="1">
      <c r="A3262" s="1785"/>
      <c r="B3262" s="714"/>
      <c r="C3262" s="1893" t="s">
        <v>729</v>
      </c>
      <c r="D3262" s="173"/>
      <c r="E3262" s="1786"/>
      <c r="F3262" s="1787"/>
      <c r="G3262" s="710"/>
      <c r="H3262" s="710"/>
      <c r="I3262" s="710"/>
      <c r="J3262" s="711"/>
      <c r="K3262" s="684">
        <f t="shared" si="2899"/>
        <v>1</v>
      </c>
      <c r="L3262" s="708">
        <v>1</v>
      </c>
      <c r="M3262" s="709">
        <f t="shared" ref="M3262" si="2940">IF(B3262="",1,B3262)</f>
        <v>1</v>
      </c>
      <c r="N3262" s="362" t="str">
        <f t="shared" si="2933"/>
        <v/>
      </c>
      <c r="O3262" s="1763" t="str">
        <f t="shared" si="2934"/>
        <v/>
      </c>
      <c r="P3262" s="1764" t="str">
        <f t="shared" si="2935"/>
        <v/>
      </c>
      <c r="Q3262" s="120" t="str">
        <f t="shared" si="2936"/>
        <v/>
      </c>
    </row>
    <row r="3263" spans="1:20" s="897" customFormat="1" ht="18" customHeight="1">
      <c r="A3263" s="693"/>
      <c r="B3263" s="895">
        <v>17</v>
      </c>
      <c r="C3263" s="721" t="str">
        <f>VLOOKUP(D3263,base_datos,6,FALSE)</f>
        <v>Rotulado por circuito.</v>
      </c>
      <c r="D3263" s="1579" t="s">
        <v>3067</v>
      </c>
      <c r="E3263" s="1580">
        <f>VLOOKUP(D3263,base_datos,5,FALSE)</f>
        <v>0.7</v>
      </c>
      <c r="F3263" s="1581">
        <f t="shared" si="2939"/>
        <v>11.899999999999999</v>
      </c>
      <c r="G3263" s="1772"/>
      <c r="H3263" s="1772"/>
      <c r="I3263" s="1772"/>
      <c r="J3263" s="896"/>
      <c r="K3263" s="684">
        <f t="shared" si="2899"/>
        <v>1</v>
      </c>
      <c r="L3263" s="708">
        <v>1</v>
      </c>
      <c r="M3263" s="709">
        <f t="shared" si="2927"/>
        <v>17</v>
      </c>
      <c r="N3263" s="362" t="str">
        <f t="shared" si="2933"/>
        <v/>
      </c>
      <c r="O3263" s="1763" t="str">
        <f t="shared" si="2934"/>
        <v/>
      </c>
      <c r="P3263" s="1764" t="str">
        <f t="shared" si="2935"/>
        <v/>
      </c>
      <c r="Q3263" s="120" t="str">
        <f t="shared" si="2936"/>
        <v/>
      </c>
    </row>
    <row r="3264" spans="1:20" s="897" customFormat="1" ht="18" customHeight="1">
      <c r="A3264" s="693"/>
      <c r="B3264" s="895">
        <v>1</v>
      </c>
      <c r="C3264" s="721" t="str">
        <f>VLOOKUP(D3264,base_datos,6,FALSE)</f>
        <v>Rotulado para TAG - tablero de distribución.</v>
      </c>
      <c r="D3264" s="1579" t="s">
        <v>3066</v>
      </c>
      <c r="E3264" s="1580">
        <f>VLOOKUP(D3264,base_datos,5,FALSE)</f>
        <v>1.5</v>
      </c>
      <c r="F3264" s="1581">
        <f t="shared" si="2939"/>
        <v>1.5</v>
      </c>
      <c r="G3264" s="1772"/>
      <c r="H3264" s="1772"/>
      <c r="I3264" s="1772"/>
      <c r="J3264" s="896"/>
      <c r="K3264" s="684">
        <f t="shared" si="2899"/>
        <v>1</v>
      </c>
      <c r="L3264" s="708">
        <v>1</v>
      </c>
      <c r="M3264" s="709">
        <f t="shared" si="2927"/>
        <v>1</v>
      </c>
      <c r="N3264" s="362" t="str">
        <f t="shared" si="2933"/>
        <v/>
      </c>
      <c r="O3264" s="1763" t="str">
        <f t="shared" si="2934"/>
        <v/>
      </c>
      <c r="P3264" s="1764" t="str">
        <f t="shared" si="2935"/>
        <v/>
      </c>
      <c r="Q3264" s="120" t="str">
        <f t="shared" si="2936"/>
        <v/>
      </c>
    </row>
    <row r="3265" spans="1:18" s="1237" customFormat="1" ht="18" customHeight="1">
      <c r="A3265" s="1767"/>
      <c r="B3265" s="1773">
        <v>1</v>
      </c>
      <c r="C3265" s="1946">
        <v>30</v>
      </c>
      <c r="D3265" s="1887"/>
      <c r="E3265" s="1580">
        <v>140</v>
      </c>
      <c r="F3265" s="1581">
        <f t="shared" si="2939"/>
        <v>140</v>
      </c>
      <c r="G3265" s="1774"/>
      <c r="H3265" s="1774"/>
      <c r="I3265" s="1774"/>
      <c r="J3265" s="1181"/>
      <c r="K3265" s="684">
        <f t="shared" si="2899"/>
        <v>1</v>
      </c>
      <c r="L3265" s="708">
        <v>1</v>
      </c>
      <c r="M3265" s="709">
        <f t="shared" si="2927"/>
        <v>1</v>
      </c>
      <c r="N3265" s="362" t="str">
        <f t="shared" si="2933"/>
        <v/>
      </c>
      <c r="O3265" s="1763" t="str">
        <f t="shared" si="2934"/>
        <v/>
      </c>
      <c r="P3265" s="1764" t="str">
        <f t="shared" si="2935"/>
        <v/>
      </c>
      <c r="Q3265" s="120" t="str">
        <f t="shared" si="2936"/>
        <v/>
      </c>
      <c r="R3265" s="1765"/>
    </row>
    <row r="3266" spans="1:18" s="1237" customFormat="1" ht="18" customHeight="1">
      <c r="A3266" s="1767"/>
      <c r="B3266" s="2093">
        <v>1</v>
      </c>
      <c r="C3266" s="694" t="s">
        <v>12552</v>
      </c>
      <c r="D3266" s="1888"/>
      <c r="E3266" s="1580">
        <f>E3268*15%</f>
        <v>25.5</v>
      </c>
      <c r="F3266" s="1581">
        <f t="shared" si="2939"/>
        <v>25.5</v>
      </c>
      <c r="G3266" s="1774"/>
      <c r="H3266" s="1774"/>
      <c r="I3266" s="1774"/>
      <c r="J3266" s="1181"/>
      <c r="K3266" s="684">
        <f t="shared" si="2899"/>
        <v>1</v>
      </c>
      <c r="L3266" s="708">
        <v>1</v>
      </c>
      <c r="M3266" s="709">
        <f t="shared" si="2927"/>
        <v>1</v>
      </c>
      <c r="N3266" s="362" t="str">
        <f t="shared" si="2933"/>
        <v/>
      </c>
      <c r="O3266" s="1763" t="str">
        <f t="shared" si="2934"/>
        <v/>
      </c>
      <c r="P3266" s="1764" t="str">
        <f t="shared" si="2935"/>
        <v/>
      </c>
      <c r="Q3266" s="120" t="str">
        <f t="shared" si="2936"/>
        <v/>
      </c>
      <c r="R3266" s="1765"/>
    </row>
    <row r="3267" spans="1:18" s="1237" customFormat="1" ht="18" customHeight="1">
      <c r="A3267" s="1767"/>
      <c r="B3267" s="1773">
        <v>1</v>
      </c>
      <c r="C3267" s="694" t="s">
        <v>12559</v>
      </c>
      <c r="D3267" s="1888"/>
      <c r="E3267" s="1999">
        <f>E3268*20%</f>
        <v>34</v>
      </c>
      <c r="F3267" s="1581">
        <f t="shared" si="2939"/>
        <v>34</v>
      </c>
      <c r="G3267" s="1774"/>
      <c r="H3267" s="1774"/>
      <c r="I3267" s="1774"/>
      <c r="J3267" s="1181"/>
      <c r="K3267" s="684">
        <f t="shared" si="2899"/>
        <v>1</v>
      </c>
      <c r="L3267" s="708">
        <v>1</v>
      </c>
      <c r="M3267" s="709">
        <f t="shared" si="2927"/>
        <v>1</v>
      </c>
      <c r="N3267" s="362" t="str">
        <f t="shared" si="2933"/>
        <v/>
      </c>
      <c r="O3267" s="1763" t="str">
        <f t="shared" si="2934"/>
        <v/>
      </c>
      <c r="P3267" s="1764" t="str">
        <f t="shared" si="2935"/>
        <v/>
      </c>
      <c r="Q3267" s="120" t="str">
        <f t="shared" si="2936"/>
        <v/>
      </c>
      <c r="R3267" s="1765"/>
    </row>
    <row r="3268" spans="1:18" s="1237" customFormat="1" ht="18" customHeight="1">
      <c r="A3268" s="1767"/>
      <c r="B3268" s="1773">
        <v>1</v>
      </c>
      <c r="C3268" s="694" t="s">
        <v>12506</v>
      </c>
      <c r="D3268" s="1888"/>
      <c r="E3268" s="1581">
        <v>170</v>
      </c>
      <c r="F3268" s="1581">
        <f t="shared" si="2939"/>
        <v>170</v>
      </c>
      <c r="G3268" s="1774"/>
      <c r="H3268" s="1774"/>
      <c r="I3268" s="1774"/>
      <c r="J3268" s="1181"/>
      <c r="K3268" s="684">
        <f t="shared" si="2899"/>
        <v>1</v>
      </c>
      <c r="L3268" s="708">
        <v>1</v>
      </c>
      <c r="M3268" s="709">
        <f t="shared" si="2927"/>
        <v>1</v>
      </c>
      <c r="N3268" s="362" t="str">
        <f t="shared" si="2933"/>
        <v/>
      </c>
      <c r="O3268" s="1763" t="str">
        <f t="shared" si="2934"/>
        <v/>
      </c>
      <c r="P3268" s="1764" t="str">
        <f t="shared" si="2935"/>
        <v/>
      </c>
      <c r="Q3268" s="120" t="str">
        <f t="shared" si="2936"/>
        <v/>
      </c>
      <c r="R3268" s="1765"/>
    </row>
    <row r="3269" spans="1:18" s="120" customFormat="1" ht="18" customHeight="1" thickBot="1">
      <c r="A3269" s="1855"/>
      <c r="B3269" s="1854"/>
      <c r="C3269" s="1797"/>
      <c r="D3269" s="1889"/>
      <c r="E3269" s="1981"/>
      <c r="F3269" s="1981"/>
      <c r="G3269" s="1798"/>
      <c r="H3269" s="1798"/>
      <c r="I3269" s="1798"/>
      <c r="J3269" s="1799"/>
      <c r="K3269" s="1788"/>
      <c r="L3269" s="363"/>
      <c r="M3269" s="684"/>
      <c r="N3269" s="362" t="str">
        <f t="shared" si="2933"/>
        <v/>
      </c>
      <c r="O3269" s="1763" t="str">
        <f t="shared" si="2934"/>
        <v/>
      </c>
      <c r="P3269" s="1764" t="str">
        <f t="shared" si="2935"/>
        <v/>
      </c>
      <c r="Q3269" s="120" t="str">
        <f t="shared" si="2936"/>
        <v/>
      </c>
      <c r="R3269" s="185"/>
    </row>
    <row r="3270" spans="1:18" s="120" customFormat="1" ht="18" customHeight="1" thickBot="1">
      <c r="A3270" s="1989">
        <v>52</v>
      </c>
      <c r="B3270" s="1852">
        <v>1</v>
      </c>
      <c r="C3270" s="1756" t="s">
        <v>12613</v>
      </c>
      <c r="D3270" s="1588"/>
      <c r="E3270" s="1589"/>
      <c r="F3270" s="1589"/>
      <c r="G3270" s="1757">
        <f>SUM(F3271:F3347)</f>
        <v>2258.6950000000006</v>
      </c>
      <c r="H3270" s="1758">
        <f>G3270*(1-$D$6)</f>
        <v>2258.6950000000006</v>
      </c>
      <c r="I3270" s="1757">
        <f>ROUNDUP(H3270*$D$5,0)</f>
        <v>7680</v>
      </c>
      <c r="J3270" s="1759">
        <f>+I3270*B3270</f>
        <v>7680</v>
      </c>
      <c r="K3270" s="1788">
        <f>B3270</f>
        <v>1</v>
      </c>
      <c r="L3270" s="363"/>
      <c r="M3270" s="684"/>
      <c r="N3270" s="362" t="str">
        <f t="shared" si="2933"/>
        <v/>
      </c>
      <c r="O3270" s="1763" t="str">
        <f t="shared" si="2934"/>
        <v/>
      </c>
      <c r="P3270" s="1764" t="str">
        <f t="shared" si="2935"/>
        <v/>
      </c>
      <c r="Q3270" s="120" t="str">
        <f t="shared" si="2936"/>
        <v/>
      </c>
      <c r="R3270" s="185"/>
    </row>
    <row r="3271" spans="1:18" s="120" customFormat="1" ht="18.75" customHeight="1">
      <c r="A3271" s="685" t="s">
        <v>3064</v>
      </c>
      <c r="B3271" s="1903"/>
      <c r="C3271" s="1890"/>
      <c r="D3271" s="1904"/>
      <c r="E3271" s="1789"/>
      <c r="F3271" s="1780"/>
      <c r="G3271" s="686"/>
      <c r="H3271" s="710"/>
      <c r="I3271" s="686"/>
      <c r="J3271" s="1768"/>
      <c r="K3271" s="684">
        <f t="shared" ref="K3271:K3347" si="2941">+K3270</f>
        <v>1</v>
      </c>
      <c r="L3271" s="363">
        <v>1</v>
      </c>
      <c r="M3271" s="709">
        <f t="shared" ref="M3271:M3347" si="2942">IF(B3271="",1,B3271)</f>
        <v>1</v>
      </c>
      <c r="N3271" s="362" t="str">
        <f t="shared" si="2933"/>
        <v/>
      </c>
      <c r="O3271" s="1763" t="str">
        <f t="shared" si="2934"/>
        <v/>
      </c>
      <c r="P3271" s="1764" t="str">
        <f t="shared" si="2935"/>
        <v/>
      </c>
      <c r="Q3271" s="120" t="str">
        <f t="shared" si="2936"/>
        <v/>
      </c>
    </row>
    <row r="3272" spans="1:18" s="315" customFormat="1" ht="12" customHeight="1">
      <c r="A3272" s="687" t="s">
        <v>4021</v>
      </c>
      <c r="B3272" s="2096">
        <v>1</v>
      </c>
      <c r="C3272" s="1907" t="s">
        <v>5103</v>
      </c>
      <c r="D3272" s="1935"/>
      <c r="E3272" s="1786"/>
      <c r="F3272" s="1908">
        <f>SUM(F3274:F3278)*(B3272-1)</f>
        <v>0</v>
      </c>
      <c r="G3272" s="712"/>
      <c r="H3272" s="712"/>
      <c r="I3272" s="712"/>
      <c r="J3272" s="713"/>
      <c r="K3272" s="684">
        <f t="shared" si="2941"/>
        <v>1</v>
      </c>
      <c r="L3272" s="1909">
        <f>B3272</f>
        <v>1</v>
      </c>
      <c r="M3272" s="684">
        <f t="shared" si="2942"/>
        <v>1</v>
      </c>
      <c r="N3272" s="362" t="str">
        <f t="shared" si="2933"/>
        <v/>
      </c>
      <c r="O3272" s="1763" t="str">
        <f t="shared" si="2934"/>
        <v/>
      </c>
      <c r="P3272" s="1764" t="str">
        <f t="shared" si="2935"/>
        <v/>
      </c>
      <c r="Q3272" s="120" t="str">
        <f t="shared" si="2936"/>
        <v/>
      </c>
    </row>
    <row r="3273" spans="1:18" s="185" customFormat="1">
      <c r="A3273" s="687" t="s">
        <v>4136</v>
      </c>
      <c r="B3273" s="1910">
        <v>3</v>
      </c>
      <c r="C3273" s="1911" t="str">
        <f>VLOOKUP(D3273,base_datos,6,FALSE)</f>
        <v>Portalámpara + lampara tipo LED - color Rojo - alimentacion: 220-230Vac, d=22mm. - CL2-523R - línea compacta - marca ABB.</v>
      </c>
      <c r="D3273" s="1790" t="s">
        <v>2439</v>
      </c>
      <c r="E3273" s="1939">
        <f>VLOOKUP(D3273,base_datos,5,FALSE)</f>
        <v>12.299999999999999</v>
      </c>
      <c r="F3273" s="1912">
        <f>+E3273*B3273</f>
        <v>36.9</v>
      </c>
      <c r="G3273" s="710"/>
      <c r="H3273" s="710"/>
      <c r="I3273" s="710"/>
      <c r="J3273" s="711"/>
      <c r="K3273" s="684">
        <f t="shared" si="2941"/>
        <v>1</v>
      </c>
      <c r="L3273" s="1913">
        <f>L3271</f>
        <v>1</v>
      </c>
      <c r="M3273" s="684">
        <f t="shared" si="2942"/>
        <v>3</v>
      </c>
      <c r="N3273" s="362">
        <f t="shared" si="2933"/>
        <v>3</v>
      </c>
      <c r="O3273" s="1763" t="str">
        <f t="shared" si="2934"/>
        <v>1SFA619403R5231</v>
      </c>
      <c r="P3273" s="1764" t="str">
        <f t="shared" si="2935"/>
        <v>Portalámpara + lampara tipo LED - color Rojo - alimentacion: 220-230Vac, d=22mm. - CL2-523R - línea compacta - marca ABB.</v>
      </c>
      <c r="Q3273" s="120" t="str">
        <f t="shared" si="2936"/>
        <v>LAMP_ROJO_220V</v>
      </c>
    </row>
    <row r="3274" spans="1:18" s="185" customFormat="1">
      <c r="A3274" s="687"/>
      <c r="B3274" s="1910">
        <v>3</v>
      </c>
      <c r="C3274" s="1911" t="str">
        <f>VLOOKUP(D3274,base_datos,6,FALSE)</f>
        <v>Portalámpara + lampara tipo LED - color Verde - alimentacion: 220-230Vac, d=22mm. - CL2-523G - línea compacta - marca ABB.</v>
      </c>
      <c r="D3274" s="1790" t="s">
        <v>2440</v>
      </c>
      <c r="E3274" s="1939">
        <f>VLOOKUP(D3274,base_datos,5,FALSE)</f>
        <v>12.299999999999999</v>
      </c>
      <c r="F3274" s="1912">
        <f>+E3274*B3274</f>
        <v>36.9</v>
      </c>
      <c r="G3274" s="710"/>
      <c r="H3274" s="710"/>
      <c r="I3274" s="710"/>
      <c r="J3274" s="711"/>
      <c r="K3274" s="684">
        <f t="shared" si="2941"/>
        <v>1</v>
      </c>
      <c r="L3274" s="1913">
        <f>L3272</f>
        <v>1</v>
      </c>
      <c r="M3274" s="684">
        <f t="shared" si="2942"/>
        <v>3</v>
      </c>
      <c r="N3274" s="362">
        <f t="shared" si="2933"/>
        <v>3</v>
      </c>
      <c r="O3274" s="1763" t="str">
        <f t="shared" si="2934"/>
        <v>1SFA619403R5232</v>
      </c>
      <c r="P3274" s="1764" t="str">
        <f t="shared" si="2935"/>
        <v>Portalámpara + lampara tipo LED - color Verde - alimentacion: 220-230Vac, d=22mm. - CL2-523G - línea compacta - marca ABB.</v>
      </c>
      <c r="Q3274" s="120" t="str">
        <f t="shared" si="2936"/>
        <v>LAMP_VERDE_220V</v>
      </c>
    </row>
    <row r="3275" spans="1:18" s="1921" customFormat="1">
      <c r="A3275" s="687" t="s">
        <v>12356</v>
      </c>
      <c r="B3275" s="1914">
        <v>1</v>
      </c>
      <c r="C3275" s="1915" t="s">
        <v>3366</v>
      </c>
      <c r="D3275" s="1916"/>
      <c r="E3275" s="1917"/>
      <c r="F3275" s="1918"/>
      <c r="G3275" s="1919"/>
      <c r="H3275" s="1919"/>
      <c r="I3275" s="1919"/>
      <c r="J3275" s="1920"/>
      <c r="K3275" s="684">
        <f t="shared" si="2941"/>
        <v>1</v>
      </c>
      <c r="L3275" s="1913">
        <f>L3274</f>
        <v>1</v>
      </c>
      <c r="M3275" s="684">
        <f t="shared" si="2942"/>
        <v>1</v>
      </c>
      <c r="N3275" s="362" t="str">
        <f t="shared" si="2933"/>
        <v/>
      </c>
      <c r="O3275" s="1763" t="str">
        <f t="shared" si="2934"/>
        <v/>
      </c>
      <c r="P3275" s="1764" t="str">
        <f t="shared" si="2935"/>
        <v/>
      </c>
      <c r="Q3275" s="120" t="str">
        <f t="shared" si="2936"/>
        <v/>
      </c>
    </row>
    <row r="3276" spans="1:18" s="320" customFormat="1">
      <c r="A3276" s="687" t="s">
        <v>12507</v>
      </c>
      <c r="B3276" s="1922">
        <v>1</v>
      </c>
      <c r="C3276" s="721" t="str">
        <f>VLOOKUP(D3276,base_datos,6,FALSE)</f>
        <v>Rele auxiliar enchufable +4NA/NC (D2PR4B + base D2PA6), 220Vac - marca EATON.</v>
      </c>
      <c r="D3276" s="1579" t="s">
        <v>772</v>
      </c>
      <c r="E3276" s="1581">
        <f>VLOOKUP(D3276,base_datos,5,FALSE)</f>
        <v>27</v>
      </c>
      <c r="F3276" s="1923">
        <f>+E3276*B3276</f>
        <v>27</v>
      </c>
      <c r="G3276" s="1924"/>
      <c r="H3276" s="1924"/>
      <c r="I3276" s="1924"/>
      <c r="J3276" s="722"/>
      <c r="K3276" s="684">
        <f t="shared" si="2941"/>
        <v>1</v>
      </c>
      <c r="L3276" s="1913">
        <f>L3273</f>
        <v>1</v>
      </c>
      <c r="M3276" s="684">
        <f t="shared" si="2942"/>
        <v>1</v>
      </c>
      <c r="N3276" s="362">
        <f t="shared" si="2933"/>
        <v>1</v>
      </c>
      <c r="O3276" s="1763" t="str">
        <f t="shared" si="2934"/>
        <v>D2PR4B+D2PA6</v>
      </c>
      <c r="P3276" s="1764" t="str">
        <f t="shared" si="2935"/>
        <v>Rele auxiliar enchufable +4NA/NC (D2PR4B + base D2PA6), 220Vac - marca EATON.</v>
      </c>
      <c r="Q3276" s="120" t="str">
        <f t="shared" si="2936"/>
        <v>D2PR4B+D2PA6</v>
      </c>
    </row>
    <row r="3277" spans="1:18" s="320" customFormat="1">
      <c r="A3277" s="1767"/>
      <c r="B3277" s="2131">
        <v>1</v>
      </c>
      <c r="C3277" s="2132" t="s">
        <v>12558</v>
      </c>
      <c r="D3277" s="2133"/>
      <c r="E3277" s="2134">
        <v>32</v>
      </c>
      <c r="F3277" s="2134">
        <f>+E3277*B3277</f>
        <v>32</v>
      </c>
      <c r="G3277" s="1924"/>
      <c r="H3277" s="1924"/>
      <c r="I3277" s="1924"/>
      <c r="J3277" s="722"/>
      <c r="K3277" s="684">
        <f t="shared" si="2941"/>
        <v>1</v>
      </c>
      <c r="L3277" s="1913">
        <f>L3274</f>
        <v>1</v>
      </c>
      <c r="M3277" s="684">
        <f t="shared" si="2942"/>
        <v>1</v>
      </c>
      <c r="N3277" s="362" t="str">
        <f t="shared" si="2933"/>
        <v/>
      </c>
      <c r="O3277" s="1763" t="str">
        <f t="shared" si="2934"/>
        <v/>
      </c>
      <c r="P3277" s="1764" t="str">
        <f t="shared" si="2935"/>
        <v/>
      </c>
      <c r="Q3277" s="120" t="str">
        <f t="shared" si="2936"/>
        <v/>
      </c>
    </row>
    <row r="3278" spans="1:18" s="320" customFormat="1">
      <c r="A3278" s="687" t="s">
        <v>12551</v>
      </c>
      <c r="B3278" s="1922">
        <v>4</v>
      </c>
      <c r="C3278" s="721" t="str">
        <f>VLOOKUP(D3278,base_datos,6,FALSE)</f>
        <v>Base portafusibles + Fusibles de protección para control.</v>
      </c>
      <c r="D3278" s="1579" t="s">
        <v>453</v>
      </c>
      <c r="E3278" s="1581">
        <f>VLOOKUP(D3278,base_datos,5,FALSE)</f>
        <v>8.1750000000000007</v>
      </c>
      <c r="F3278" s="1923">
        <f>+E3278*B3278</f>
        <v>32.700000000000003</v>
      </c>
      <c r="G3278" s="1924"/>
      <c r="H3278" s="1924"/>
      <c r="I3278" s="1924"/>
      <c r="J3278" s="722"/>
      <c r="K3278" s="684">
        <f t="shared" si="2941"/>
        <v>1</v>
      </c>
      <c r="L3278" s="1913">
        <f>L3275</f>
        <v>1</v>
      </c>
      <c r="M3278" s="684">
        <f t="shared" si="2942"/>
        <v>4</v>
      </c>
      <c r="N3278" s="362" t="str">
        <f t="shared" si="2933"/>
        <v/>
      </c>
      <c r="O3278" s="1763" t="str">
        <f t="shared" si="2934"/>
        <v/>
      </c>
      <c r="P3278" s="1764" t="str">
        <f t="shared" si="2935"/>
        <v/>
      </c>
      <c r="Q3278" s="120" t="str">
        <f t="shared" si="2936"/>
        <v/>
      </c>
    </row>
    <row r="3279" spans="1:18" s="315" customFormat="1">
      <c r="A3279" s="687" t="s">
        <v>3542</v>
      </c>
      <c r="B3279" s="1906"/>
      <c r="C3279" s="1907"/>
      <c r="D3279" s="1935"/>
      <c r="E3279" s="1786"/>
      <c r="F3279" s="1936"/>
      <c r="G3279" s="712"/>
      <c r="H3279" s="712"/>
      <c r="I3279" s="712"/>
      <c r="J3279" s="713"/>
      <c r="K3279" s="684">
        <f t="shared" si="2941"/>
        <v>1</v>
      </c>
      <c r="L3279" s="1909">
        <f>B3279</f>
        <v>0</v>
      </c>
      <c r="M3279" s="684">
        <f t="shared" si="2942"/>
        <v>1</v>
      </c>
      <c r="N3279" s="362" t="str">
        <f t="shared" si="2933"/>
        <v/>
      </c>
      <c r="O3279" s="1763" t="str">
        <f t="shared" si="2934"/>
        <v/>
      </c>
      <c r="P3279" s="1764" t="str">
        <f t="shared" si="2935"/>
        <v/>
      </c>
      <c r="Q3279" s="120" t="str">
        <f t="shared" si="2936"/>
        <v/>
      </c>
    </row>
    <row r="3280" spans="1:18" s="120" customFormat="1" ht="18" customHeight="1">
      <c r="A3280" s="2073"/>
      <c r="B3280" s="1925"/>
      <c r="C3280" s="1926" t="s">
        <v>729</v>
      </c>
      <c r="D3280" s="1927"/>
      <c r="E3280" s="1891"/>
      <c r="F3280" s="1789"/>
      <c r="G3280" s="686"/>
      <c r="H3280" s="686"/>
      <c r="I3280" s="686"/>
      <c r="J3280" s="1768"/>
      <c r="K3280" s="684">
        <f t="shared" si="2941"/>
        <v>1</v>
      </c>
      <c r="L3280" s="363">
        <v>1</v>
      </c>
      <c r="M3280" s="684">
        <f t="shared" si="2942"/>
        <v>1</v>
      </c>
      <c r="N3280" s="362" t="str">
        <f t="shared" si="2933"/>
        <v/>
      </c>
      <c r="O3280" s="1763" t="str">
        <f t="shared" si="2934"/>
        <v/>
      </c>
      <c r="P3280" s="1764" t="str">
        <f t="shared" si="2935"/>
        <v/>
      </c>
      <c r="Q3280" s="120" t="str">
        <f t="shared" si="2936"/>
        <v/>
      </c>
    </row>
    <row r="3281" spans="1:18" s="120" customFormat="1" ht="18" customHeight="1">
      <c r="A3281" s="2073"/>
      <c r="B3281" s="1781"/>
      <c r="C3281" s="1218" t="s">
        <v>3158</v>
      </c>
      <c r="D3281" s="1900"/>
      <c r="E3281" s="1791"/>
      <c r="F3281" s="1782"/>
      <c r="G3281" s="686"/>
      <c r="H3281" s="686"/>
      <c r="I3281" s="686"/>
      <c r="J3281" s="688"/>
      <c r="K3281" s="684">
        <f t="shared" si="2941"/>
        <v>1</v>
      </c>
      <c r="L3281" s="708">
        <v>1</v>
      </c>
      <c r="M3281" s="684">
        <f t="shared" si="2942"/>
        <v>1</v>
      </c>
      <c r="N3281" s="362" t="str">
        <f t="shared" si="2933"/>
        <v/>
      </c>
      <c r="O3281" s="1763" t="str">
        <f t="shared" si="2934"/>
        <v/>
      </c>
      <c r="P3281" s="1764" t="str">
        <f t="shared" si="2935"/>
        <v/>
      </c>
      <c r="Q3281" s="120" t="str">
        <f t="shared" si="2936"/>
        <v/>
      </c>
      <c r="R3281" s="185"/>
    </row>
    <row r="3282" spans="1:18" s="690" customFormat="1" ht="18" customHeight="1">
      <c r="A3282" s="2073"/>
      <c r="B3282" s="2096">
        <v>1</v>
      </c>
      <c r="C3282" s="1420" t="str">
        <f>VLOOKUP(D3282,base_datos,6,FALSE)</f>
        <v>ITM Caja Moldeada 3x32A (reg.[0.7-1.0] In) - XT1B160-32A-3P-TMD - 25kA@230Vac, 18kA@415Vac, 18kA@250Vdc - marca ABB.</v>
      </c>
      <c r="D3282" s="1901" t="s">
        <v>4364</v>
      </c>
      <c r="E3282" s="1791">
        <f>VLOOKUP(D3282,base_datos,5,FALSE)</f>
        <v>120.37</v>
      </c>
      <c r="F3282" s="1782">
        <f>+E3282*B3282</f>
        <v>120.37</v>
      </c>
      <c r="G3282" s="1761"/>
      <c r="H3282" s="1761"/>
      <c r="I3282" s="1761"/>
      <c r="J3282" s="689"/>
      <c r="K3282" s="684">
        <f t="shared" si="2941"/>
        <v>1</v>
      </c>
      <c r="L3282" s="708">
        <v>1</v>
      </c>
      <c r="M3282" s="684">
        <f t="shared" si="2942"/>
        <v>1</v>
      </c>
      <c r="N3282" s="362">
        <f t="shared" si="2933"/>
        <v>1</v>
      </c>
      <c r="O3282" s="1763" t="str">
        <f t="shared" si="2934"/>
        <v>1SDA066802R1</v>
      </c>
      <c r="P3282" s="1764" t="str">
        <f t="shared" si="2935"/>
        <v>ITM Caja Moldeada 3x32A (reg.[0.7-1.0] In) - XT1B160-32A-3P-TMD - 25kA@230Vac, 18kA@415Vac, 18kA@250Vdc - marca ABB.</v>
      </c>
      <c r="Q3282" s="120" t="str">
        <f t="shared" si="2936"/>
        <v>XT1B160-32A-3P-TMD</v>
      </c>
      <c r="R3282" s="185"/>
    </row>
    <row r="3283" spans="1:18" s="185" customFormat="1" ht="18" customHeight="1">
      <c r="A3283" s="2073"/>
      <c r="B3283" s="714"/>
      <c r="C3283" s="1893" t="s">
        <v>729</v>
      </c>
      <c r="D3283" s="173"/>
      <c r="E3283" s="1581"/>
      <c r="F3283" s="1581"/>
      <c r="G3283" s="710"/>
      <c r="H3283" s="710"/>
      <c r="I3283" s="710"/>
      <c r="J3283" s="711"/>
      <c r="K3283" s="684">
        <f t="shared" si="2941"/>
        <v>1</v>
      </c>
      <c r="L3283" s="708">
        <v>1</v>
      </c>
      <c r="M3283" s="684">
        <f t="shared" si="2942"/>
        <v>1</v>
      </c>
      <c r="N3283" s="362" t="str">
        <f t="shared" si="2933"/>
        <v/>
      </c>
      <c r="O3283" s="1763" t="str">
        <f t="shared" si="2934"/>
        <v/>
      </c>
      <c r="P3283" s="1764" t="str">
        <f t="shared" si="2935"/>
        <v/>
      </c>
      <c r="Q3283" s="120" t="str">
        <f t="shared" si="2936"/>
        <v/>
      </c>
      <c r="R3283" s="1765"/>
    </row>
    <row r="3284" spans="1:18" s="690" customFormat="1" ht="18" customHeight="1">
      <c r="A3284" s="2073"/>
      <c r="B3284" s="1851"/>
      <c r="C3284" s="1966" t="s">
        <v>9431</v>
      </c>
      <c r="D3284" s="1582"/>
      <c r="E3284" s="1780"/>
      <c r="F3284" s="1782"/>
      <c r="G3284" s="1761"/>
      <c r="H3284" s="1761"/>
      <c r="I3284" s="314"/>
      <c r="J3284" s="689"/>
      <c r="K3284" s="684">
        <f t="shared" si="2941"/>
        <v>1</v>
      </c>
      <c r="L3284" s="708">
        <v>1</v>
      </c>
      <c r="M3284" s="709">
        <f t="shared" si="2942"/>
        <v>1</v>
      </c>
      <c r="N3284" s="362" t="str">
        <f t="shared" si="2933"/>
        <v/>
      </c>
      <c r="O3284" s="1763" t="str">
        <f t="shared" si="2934"/>
        <v/>
      </c>
      <c r="P3284" s="1764" t="str">
        <f t="shared" si="2935"/>
        <v/>
      </c>
      <c r="Q3284" s="120" t="str">
        <f t="shared" si="2936"/>
        <v/>
      </c>
      <c r="R3284" s="185"/>
    </row>
    <row r="3285" spans="1:18" s="690" customFormat="1" ht="18" customHeight="1">
      <c r="A3285" s="2073"/>
      <c r="B3285" s="1781">
        <v>1</v>
      </c>
      <c r="C3285" s="1960" t="str">
        <f t="shared" ref="C3285" si="2943">VLOOKUP(D3285,base_datos,6,FALSE)</f>
        <v>ITM Caja Moldeada 3x20A (reg.[0.7-1.0] In) - XT1B160-20A-3P-TMD - 25kA@230Vac, 18kA@415Vac, 18kA@250Vdc - marca ABB.</v>
      </c>
      <c r="D3285" s="1901" t="s">
        <v>4360</v>
      </c>
      <c r="E3285" s="1791">
        <f t="shared" ref="E3285" si="2944">VLOOKUP(D3285,base_datos,5,FALSE)</f>
        <v>120.37</v>
      </c>
      <c r="F3285" s="1782">
        <f t="shared" ref="F3285" si="2945">+E3285*B3285</f>
        <v>120.37</v>
      </c>
      <c r="G3285" s="1761"/>
      <c r="H3285" s="1761"/>
      <c r="I3285" s="1571"/>
      <c r="J3285" s="1783"/>
      <c r="K3285" s="684">
        <f t="shared" si="2941"/>
        <v>1</v>
      </c>
      <c r="L3285" s="708">
        <v>1</v>
      </c>
      <c r="M3285" s="709">
        <f t="shared" ref="M3285" si="2946">IF(B3285="",1,B3285)</f>
        <v>1</v>
      </c>
      <c r="N3285" s="362">
        <f t="shared" si="2933"/>
        <v>1</v>
      </c>
      <c r="O3285" s="1763" t="str">
        <f t="shared" si="2934"/>
        <v>1SDA066800R1</v>
      </c>
      <c r="P3285" s="1764" t="str">
        <f t="shared" si="2935"/>
        <v>ITM Caja Moldeada 3x20A (reg.[0.7-1.0] In) - XT1B160-20A-3P-TMD - 25kA@230Vac, 18kA@415Vac, 18kA@250Vdc - marca ABB.</v>
      </c>
      <c r="Q3285" s="120" t="str">
        <f t="shared" si="2936"/>
        <v>XT1B160-20A-3P-TMD</v>
      </c>
      <c r="R3285" s="185"/>
    </row>
    <row r="3286" spans="1:18" s="690" customFormat="1" ht="18" customHeight="1">
      <c r="A3286" s="2073"/>
      <c r="B3286" s="1781">
        <v>1</v>
      </c>
      <c r="C3286" s="1960" t="str">
        <f t="shared" ref="C3286" si="2947">VLOOKUP(D3286,base_datos,6,FALSE)</f>
        <v>ITM Caja Moldeada 3x16A (reg.[0.7-1.0] In) - XT1B160-16A-3P-TMD - 25kA@230Vac, 18kA@415Vac, 18kA@250Vdc - marca ABB.</v>
      </c>
      <c r="D3286" s="1901" t="s">
        <v>4358</v>
      </c>
      <c r="E3286" s="1791">
        <f t="shared" ref="E3286" si="2948">VLOOKUP(D3286,base_datos,5,FALSE)</f>
        <v>120.37</v>
      </c>
      <c r="F3286" s="1782">
        <f t="shared" ref="F3286:F3287" si="2949">+E3286*B3286</f>
        <v>120.37</v>
      </c>
      <c r="G3286" s="1761"/>
      <c r="H3286" s="1761"/>
      <c r="I3286" s="320"/>
      <c r="J3286" s="1783"/>
      <c r="K3286" s="684">
        <f t="shared" si="2941"/>
        <v>1</v>
      </c>
      <c r="L3286" s="708">
        <v>1</v>
      </c>
      <c r="M3286" s="709">
        <f t="shared" si="2942"/>
        <v>1</v>
      </c>
      <c r="N3286" s="362">
        <f t="shared" si="2933"/>
        <v>1</v>
      </c>
      <c r="O3286" s="1763" t="str">
        <f t="shared" si="2934"/>
        <v>1SDA066799R1</v>
      </c>
      <c r="P3286" s="1764" t="str">
        <f t="shared" si="2935"/>
        <v>ITM Caja Moldeada 3x16A (reg.[0.7-1.0] In) - XT1B160-16A-3P-TMD - 25kA@230Vac, 18kA@415Vac, 18kA@250Vdc - marca ABB.</v>
      </c>
      <c r="Q3286" s="120" t="str">
        <f t="shared" si="2936"/>
        <v>XT1B160-16A-3P-TMD</v>
      </c>
      <c r="R3286" s="185"/>
    </row>
    <row r="3287" spans="1:18" s="695" customFormat="1">
      <c r="A3287" s="2073"/>
      <c r="B3287" s="1967">
        <v>1</v>
      </c>
      <c r="C3287" s="1946">
        <v>6</v>
      </c>
      <c r="D3287" s="1582"/>
      <c r="E3287" s="2000">
        <v>30</v>
      </c>
      <c r="F3287" s="1968">
        <f t="shared" si="2949"/>
        <v>30</v>
      </c>
      <c r="G3287" s="1969"/>
      <c r="H3287" s="1969"/>
      <c r="I3287" s="320"/>
      <c r="J3287" s="1970"/>
      <c r="K3287" s="684">
        <f t="shared" si="2941"/>
        <v>1</v>
      </c>
      <c r="L3287" s="708">
        <v>1</v>
      </c>
      <c r="M3287" s="709">
        <f t="shared" si="2942"/>
        <v>1</v>
      </c>
      <c r="N3287" s="362" t="str">
        <f t="shared" si="2933"/>
        <v/>
      </c>
      <c r="O3287" s="1763" t="str">
        <f t="shared" si="2934"/>
        <v/>
      </c>
      <c r="P3287" s="1764" t="str">
        <f t="shared" si="2935"/>
        <v/>
      </c>
      <c r="Q3287" s="120" t="str">
        <f t="shared" si="2936"/>
        <v/>
      </c>
    </row>
    <row r="3288" spans="1:18" s="185" customFormat="1" ht="18" customHeight="1">
      <c r="A3288" s="2073"/>
      <c r="B3288" s="714"/>
      <c r="C3288" s="1893" t="s">
        <v>729</v>
      </c>
      <c r="D3288" s="173"/>
      <c r="E3288" s="1581"/>
      <c r="F3288" s="1581"/>
      <c r="G3288" s="710"/>
      <c r="H3288" s="710"/>
      <c r="I3288" s="710"/>
      <c r="J3288" s="711"/>
      <c r="K3288" s="684">
        <f t="shared" si="2941"/>
        <v>1</v>
      </c>
      <c r="L3288" s="708">
        <v>1</v>
      </c>
      <c r="M3288" s="684">
        <f t="shared" ref="M3288" si="2950">IF(B3288="",1,B3288)</f>
        <v>1</v>
      </c>
      <c r="N3288" s="362" t="str">
        <f t="shared" ref="N3288" si="2951">IF(O3288&lt;&gt;"",K3288*L3288*M3288,"")</f>
        <v/>
      </c>
      <c r="O3288" s="1763" t="str">
        <f t="shared" ref="O3288" si="2952">IF(D3288&lt;&gt;"",IF(VLOOKUP(D3288,base_datos,7,FALSE)&lt;&gt;"",VLOOKUP(D3288,base_datos,7,FALSE),""),"")</f>
        <v/>
      </c>
      <c r="P3288" s="1764" t="str">
        <f t="shared" ref="P3288" si="2953">IF(O3288&lt;&gt;"",VLOOKUP(D3288,base_datos,6,FALSE),"")</f>
        <v/>
      </c>
      <c r="Q3288" s="120" t="str">
        <f t="shared" ref="Q3288" si="2954">IF(O3288&lt;&gt;"",D3288,"")</f>
        <v/>
      </c>
      <c r="R3288" s="1765"/>
    </row>
    <row r="3289" spans="1:18" s="690" customFormat="1" ht="18" customHeight="1">
      <c r="A3289" s="2073"/>
      <c r="B3289" s="1851"/>
      <c r="C3289" s="1966" t="s">
        <v>12546</v>
      </c>
      <c r="D3289" s="1582"/>
      <c r="E3289" s="1780"/>
      <c r="F3289" s="1782"/>
      <c r="G3289" s="1761"/>
      <c r="H3289" s="1761"/>
      <c r="I3289" s="2114"/>
      <c r="J3289" s="689"/>
      <c r="K3289" s="684">
        <f t="shared" si="2941"/>
        <v>1</v>
      </c>
      <c r="L3289" s="708">
        <v>1</v>
      </c>
      <c r="M3289" s="709">
        <f t="shared" si="2942"/>
        <v>1</v>
      </c>
      <c r="N3289" s="362" t="str">
        <f t="shared" si="2933"/>
        <v/>
      </c>
      <c r="O3289" s="1763" t="str">
        <f t="shared" si="2934"/>
        <v/>
      </c>
      <c r="P3289" s="1764" t="str">
        <f t="shared" si="2935"/>
        <v/>
      </c>
      <c r="Q3289" s="120" t="str">
        <f t="shared" si="2936"/>
        <v/>
      </c>
      <c r="R3289" s="185"/>
    </row>
    <row r="3290" spans="1:18" s="690" customFormat="1" ht="18" customHeight="1">
      <c r="A3290" s="2073"/>
      <c r="B3290" s="1781">
        <v>5</v>
      </c>
      <c r="C3290" s="1960" t="str">
        <f t="shared" ref="C3290:C3292" si="2955">VLOOKUP(D3290,base_datos,6,FALSE)</f>
        <v>ITM Riel-Din 2x16A - S202-C-16A - 10kA@400Vac-IEC60947-2 - marca ABB.</v>
      </c>
      <c r="D3290" s="2007" t="s">
        <v>970</v>
      </c>
      <c r="E3290" s="1791">
        <f t="shared" ref="E3290:E3292" si="2956">VLOOKUP(D3290,base_datos,5,FALSE)</f>
        <v>17.96</v>
      </c>
      <c r="F3290" s="1782">
        <f t="shared" ref="F3290:F3293" si="2957">+E3290*B3290</f>
        <v>89.800000000000011</v>
      </c>
      <c r="G3290" s="1761"/>
      <c r="H3290" s="1761"/>
      <c r="I3290" s="2114"/>
      <c r="J3290" s="1783"/>
      <c r="K3290" s="684">
        <f t="shared" si="2941"/>
        <v>1</v>
      </c>
      <c r="L3290" s="708">
        <v>1</v>
      </c>
      <c r="M3290" s="709">
        <f t="shared" si="2942"/>
        <v>5</v>
      </c>
      <c r="N3290" s="362">
        <f t="shared" si="2933"/>
        <v>5</v>
      </c>
      <c r="O3290" s="1763" t="str">
        <f t="shared" si="2934"/>
        <v>2CDS252001R0164</v>
      </c>
      <c r="P3290" s="1764" t="str">
        <f t="shared" si="2935"/>
        <v>ITM Riel-Din 2x16A - S202-C-16A - 10kA@400Vac-IEC60947-2 - marca ABB.</v>
      </c>
      <c r="Q3290" s="120" t="str">
        <f t="shared" si="2936"/>
        <v>S202-C-16A</v>
      </c>
      <c r="R3290" s="185"/>
    </row>
    <row r="3291" spans="1:18" s="690" customFormat="1" ht="18" customHeight="1">
      <c r="A3291" s="2073"/>
      <c r="B3291" s="2023">
        <v>5</v>
      </c>
      <c r="C3291" s="2041" t="str">
        <f t="shared" si="2955"/>
        <v>Interruptor Diferencial 2x25A - 30mA - clase A (inmunizado) - FH202-A-25A-30mA - marca ABB.</v>
      </c>
      <c r="D3291" s="2006" t="s">
        <v>5318</v>
      </c>
      <c r="E3291" s="2025">
        <f t="shared" si="2956"/>
        <v>50</v>
      </c>
      <c r="F3291" s="2026">
        <f t="shared" si="2957"/>
        <v>250</v>
      </c>
      <c r="G3291" s="1761"/>
      <c r="H3291" s="1761"/>
      <c r="I3291" s="1765"/>
      <c r="J3291" s="1783"/>
      <c r="K3291" s="684">
        <f t="shared" si="2941"/>
        <v>1</v>
      </c>
      <c r="L3291" s="708">
        <v>1</v>
      </c>
      <c r="M3291" s="709">
        <f t="shared" si="2942"/>
        <v>5</v>
      </c>
      <c r="N3291" s="362">
        <f t="shared" si="2933"/>
        <v>5</v>
      </c>
      <c r="O3291" s="1763" t="str">
        <f t="shared" si="2934"/>
        <v>2CSF202102R1250</v>
      </c>
      <c r="P3291" s="1764" t="str">
        <f t="shared" si="2935"/>
        <v>Interruptor Diferencial 2x25A - 30mA - clase A (inmunizado) - FH202-A-25A-30mA - marca ABB.</v>
      </c>
      <c r="Q3291" s="120" t="str">
        <f t="shared" si="2936"/>
        <v>FH202-A-25A-30mA</v>
      </c>
      <c r="R3291" s="185"/>
    </row>
    <row r="3292" spans="1:18" s="690" customFormat="1" ht="18" customHeight="1">
      <c r="A3292" s="1785"/>
      <c r="B3292" s="1781">
        <v>1</v>
      </c>
      <c r="C3292" s="1960" t="str">
        <f t="shared" si="2955"/>
        <v>Espacio de reserva trifásica + interruptor diferencial - Riel-Din.</v>
      </c>
      <c r="D3292" s="2006" t="s">
        <v>2923</v>
      </c>
      <c r="E3292" s="1791">
        <f t="shared" si="2956"/>
        <v>2.5</v>
      </c>
      <c r="F3292" s="1782">
        <f t="shared" si="2957"/>
        <v>2.5</v>
      </c>
      <c r="G3292" s="1761"/>
      <c r="H3292" s="1761"/>
      <c r="I3292" s="2128"/>
      <c r="J3292" s="1783"/>
      <c r="K3292" s="684">
        <f t="shared" si="2941"/>
        <v>1</v>
      </c>
      <c r="L3292" s="708">
        <v>1</v>
      </c>
      <c r="M3292" s="709">
        <f t="shared" si="2942"/>
        <v>1</v>
      </c>
      <c r="N3292" s="362" t="str">
        <f t="shared" si="2933"/>
        <v/>
      </c>
      <c r="O3292" s="1763" t="str">
        <f t="shared" si="2934"/>
        <v/>
      </c>
      <c r="P3292" s="1764" t="str">
        <f t="shared" si="2935"/>
        <v/>
      </c>
      <c r="Q3292" s="120" t="str">
        <f t="shared" si="2936"/>
        <v/>
      </c>
      <c r="R3292" s="185"/>
    </row>
    <row r="3293" spans="1:18" s="695" customFormat="1">
      <c r="A3293" s="691"/>
      <c r="B3293" s="1967">
        <v>1</v>
      </c>
      <c r="C3293" s="1946">
        <v>12</v>
      </c>
      <c r="D3293" s="1582"/>
      <c r="E3293" s="2000">
        <v>70</v>
      </c>
      <c r="F3293" s="1968">
        <f t="shared" si="2957"/>
        <v>70</v>
      </c>
      <c r="G3293" s="1969"/>
      <c r="H3293" s="1969"/>
      <c r="I3293" s="1571"/>
      <c r="J3293" s="1970"/>
      <c r="K3293" s="684">
        <f t="shared" si="2941"/>
        <v>1</v>
      </c>
      <c r="L3293" s="708">
        <v>1</v>
      </c>
      <c r="M3293" s="709">
        <f t="shared" si="2942"/>
        <v>1</v>
      </c>
      <c r="N3293" s="362" t="str">
        <f t="shared" si="2933"/>
        <v/>
      </c>
      <c r="O3293" s="1763" t="str">
        <f t="shared" si="2934"/>
        <v/>
      </c>
      <c r="P3293" s="1764" t="str">
        <f t="shared" si="2935"/>
        <v/>
      </c>
      <c r="Q3293" s="120" t="str">
        <f t="shared" si="2936"/>
        <v/>
      </c>
    </row>
    <row r="3294" spans="1:18" s="185" customFormat="1">
      <c r="A3294" s="691"/>
      <c r="B3294" s="714"/>
      <c r="C3294" s="1893" t="s">
        <v>729</v>
      </c>
      <c r="D3294" s="1941"/>
      <c r="E3294" s="1786"/>
      <c r="F3294" s="1787"/>
      <c r="G3294" s="710"/>
      <c r="H3294" s="710"/>
      <c r="I3294" s="320"/>
      <c r="J3294" s="711"/>
      <c r="K3294" s="684">
        <f t="shared" si="2941"/>
        <v>1</v>
      </c>
      <c r="L3294" s="708">
        <v>1</v>
      </c>
      <c r="M3294" s="709">
        <f t="shared" si="2942"/>
        <v>1</v>
      </c>
      <c r="N3294" s="362" t="str">
        <f t="shared" si="2933"/>
        <v/>
      </c>
      <c r="O3294" s="1763" t="str">
        <f t="shared" si="2934"/>
        <v/>
      </c>
      <c r="P3294" s="1764" t="str">
        <f t="shared" si="2935"/>
        <v/>
      </c>
      <c r="Q3294" s="120" t="str">
        <f t="shared" si="2936"/>
        <v/>
      </c>
    </row>
    <row r="3295" spans="1:18" s="690" customFormat="1" ht="18" customHeight="1">
      <c r="A3295" s="692"/>
      <c r="B3295" s="1851"/>
      <c r="C3295" s="1966" t="s">
        <v>12547</v>
      </c>
      <c r="D3295" s="1582"/>
      <c r="E3295" s="1780"/>
      <c r="F3295" s="1782"/>
      <c r="G3295" s="1761"/>
      <c r="H3295" s="1761"/>
      <c r="I3295" s="320"/>
      <c r="J3295" s="689"/>
      <c r="K3295" s="684">
        <f t="shared" si="2941"/>
        <v>1</v>
      </c>
      <c r="L3295" s="708">
        <v>1</v>
      </c>
      <c r="M3295" s="709">
        <f t="shared" si="2942"/>
        <v>1</v>
      </c>
      <c r="N3295" s="362" t="str">
        <f t="shared" si="2933"/>
        <v/>
      </c>
      <c r="O3295" s="1763" t="str">
        <f t="shared" si="2934"/>
        <v/>
      </c>
      <c r="P3295" s="1764" t="str">
        <f t="shared" si="2935"/>
        <v/>
      </c>
      <c r="Q3295" s="120" t="str">
        <f t="shared" si="2936"/>
        <v/>
      </c>
      <c r="R3295" s="185"/>
    </row>
    <row r="3296" spans="1:18" s="2434" customFormat="1" ht="18" customHeight="1">
      <c r="A3296" s="2462"/>
      <c r="B3296" s="2435">
        <v>1</v>
      </c>
      <c r="C3296" s="2436" t="str">
        <f t="shared" ref="C3296:C3297" si="2958">VLOOKUP(D3296,base_datos,6,FALSE)</f>
        <v>ITM Caja Moldeada 3x16A (reg.[0.7-1.0] In) - XT1B160-16A-3P-TMD - 25kA@230Vac, 18kA@415Vac, 18kA@250Vdc - marca ABB.</v>
      </c>
      <c r="D3296" s="2484" t="s">
        <v>4358</v>
      </c>
      <c r="E3296" s="2482">
        <f t="shared" ref="E3296:E3297" si="2959">VLOOKUP(D3296,base_datos,5,FALSE)</f>
        <v>120.37</v>
      </c>
      <c r="F3296" s="2422">
        <f t="shared" ref="F3296:F3297" si="2960">+E3296*B3296</f>
        <v>120.37</v>
      </c>
      <c r="G3296" s="2424"/>
      <c r="H3296" s="2424"/>
      <c r="I3296" s="2491"/>
      <c r="J3296" s="2425"/>
      <c r="K3296" s="2426">
        <f t="shared" si="2941"/>
        <v>1</v>
      </c>
      <c r="L3296" s="2463">
        <v>1</v>
      </c>
      <c r="M3296" s="2428">
        <f t="shared" ref="M3296:M3297" si="2961">IF(B3296="",1,B3296)</f>
        <v>1</v>
      </c>
      <c r="N3296" s="2429">
        <f t="shared" si="2933"/>
        <v>1</v>
      </c>
      <c r="O3296" s="2430" t="str">
        <f t="shared" si="2934"/>
        <v>1SDA066799R1</v>
      </c>
      <c r="P3296" s="2431" t="str">
        <f t="shared" si="2935"/>
        <v>ITM Caja Moldeada 3x16A (reg.[0.7-1.0] In) - XT1B160-16A-3P-TMD - 25kA@230Vac, 18kA@415Vac, 18kA@250Vdc - marca ABB.</v>
      </c>
      <c r="Q3296" s="2432" t="str">
        <f t="shared" si="2936"/>
        <v>XT1B160-16A-3P-TMD</v>
      </c>
      <c r="R3296" s="2433"/>
    </row>
    <row r="3297" spans="1:18" s="2434" customFormat="1" ht="18" customHeight="1">
      <c r="A3297" s="2489"/>
      <c r="B3297" s="2435">
        <v>2</v>
      </c>
      <c r="C3297" s="2436" t="str">
        <f t="shared" si="2958"/>
        <v>ITM Caja Moldeada 2x16A - A1N/P125-16A-2P-TMF - 50kA@230Vac, 36kA@400Vac, 10kA@125Vdc - marca ABB.</v>
      </c>
      <c r="D3297" s="2483" t="s">
        <v>1172</v>
      </c>
      <c r="E3297" s="2482">
        <f t="shared" si="2959"/>
        <v>59.769999999999996</v>
      </c>
      <c r="F3297" s="2422">
        <f t="shared" si="2960"/>
        <v>119.53999999999999</v>
      </c>
      <c r="G3297" s="2424"/>
      <c r="H3297" s="2424"/>
      <c r="I3297" s="2490"/>
      <c r="J3297" s="2425"/>
      <c r="K3297" s="2426">
        <f>+K3295</f>
        <v>1</v>
      </c>
      <c r="L3297" s="2463">
        <v>1</v>
      </c>
      <c r="M3297" s="2428">
        <f t="shared" si="2961"/>
        <v>2</v>
      </c>
      <c r="N3297" s="2429">
        <f t="shared" ref="N3297" si="2962">IF(O3297&lt;&gt;"",K3297*L3297*M3297,"")</f>
        <v>2</v>
      </c>
      <c r="O3297" s="2430" t="str">
        <f t="shared" ref="O3297" si="2963">IF(D3297&lt;&gt;"",IF(VLOOKUP(D3297,base_datos,7,FALSE)&lt;&gt;"",VLOOKUP(D3297,base_datos,7,FALSE),""),"")</f>
        <v>1SDA069551R1</v>
      </c>
      <c r="P3297" s="2431" t="str">
        <f t="shared" ref="P3297" si="2964">IF(O3297&lt;&gt;"",VLOOKUP(D3297,base_datos,6,FALSE),"")</f>
        <v>ITM Caja Moldeada 2x16A - A1N/P125-16A-2P-TMF - 50kA@230Vac, 36kA@400Vac, 10kA@125Vdc - marca ABB.</v>
      </c>
      <c r="Q3297" s="2432" t="str">
        <f t="shared" ref="Q3297" si="2965">IF(O3297&lt;&gt;"",D3297,"")</f>
        <v>A1N/P125-16A-2P-TMF</v>
      </c>
      <c r="R3297" s="2433"/>
    </row>
    <row r="3298" spans="1:18" s="690" customFormat="1" ht="18" customHeight="1">
      <c r="A3298" s="691"/>
      <c r="B3298" s="1781">
        <v>2</v>
      </c>
      <c r="C3298" s="1960" t="str">
        <f t="shared" ref="C3298:C3299" si="2966">VLOOKUP(D3298,base_datos,6,FALSE)</f>
        <v>ITM Riel-Din 2x16A - S202-C-16A - 10kA@400Vac-IEC60947-2 - marca ABB.</v>
      </c>
      <c r="D3298" s="2007" t="s">
        <v>970</v>
      </c>
      <c r="E3298" s="1791">
        <f t="shared" ref="E3298:E3299" si="2967">VLOOKUP(D3298,base_datos,5,FALSE)</f>
        <v>17.96</v>
      </c>
      <c r="F3298" s="1782">
        <f t="shared" ref="F3298:F3300" si="2968">+E3298*B3298</f>
        <v>35.92</v>
      </c>
      <c r="G3298" s="1761"/>
      <c r="H3298" s="1761"/>
      <c r="I3298" s="2114"/>
      <c r="J3298" s="1783"/>
      <c r="K3298" s="684">
        <f>+K3296</f>
        <v>1</v>
      </c>
      <c r="L3298" s="708">
        <v>1</v>
      </c>
      <c r="M3298" s="709">
        <f t="shared" si="2942"/>
        <v>2</v>
      </c>
      <c r="N3298" s="362">
        <f t="shared" si="2933"/>
        <v>2</v>
      </c>
      <c r="O3298" s="1763" t="str">
        <f t="shared" si="2934"/>
        <v>2CDS252001R0164</v>
      </c>
      <c r="P3298" s="1764" t="str">
        <f t="shared" si="2935"/>
        <v>ITM Riel-Din 2x16A - S202-C-16A - 10kA@400Vac-IEC60947-2 - marca ABB.</v>
      </c>
      <c r="Q3298" s="120" t="str">
        <f t="shared" si="2936"/>
        <v>S202-C-16A</v>
      </c>
      <c r="R3298" s="185"/>
    </row>
    <row r="3299" spans="1:18" s="690" customFormat="1" ht="18" customHeight="1">
      <c r="A3299" s="691"/>
      <c r="B3299" s="1781">
        <v>1</v>
      </c>
      <c r="C3299" s="1960" t="str">
        <f t="shared" si="2966"/>
        <v>Espacio de reserva trifásica - Riel-Din.</v>
      </c>
      <c r="D3299" s="2006" t="s">
        <v>2921</v>
      </c>
      <c r="E3299" s="1791">
        <f t="shared" si="2967"/>
        <v>1.5</v>
      </c>
      <c r="F3299" s="1782">
        <f t="shared" si="2968"/>
        <v>1.5</v>
      </c>
      <c r="G3299" s="1761"/>
      <c r="H3299" s="1761"/>
      <c r="I3299" s="118"/>
      <c r="J3299" s="1783"/>
      <c r="K3299" s="684">
        <f t="shared" si="2941"/>
        <v>1</v>
      </c>
      <c r="L3299" s="708">
        <v>1</v>
      </c>
      <c r="M3299" s="709">
        <f t="shared" si="2942"/>
        <v>1</v>
      </c>
      <c r="N3299" s="362" t="str">
        <f t="shared" si="2933"/>
        <v/>
      </c>
      <c r="O3299" s="1763" t="str">
        <f t="shared" si="2934"/>
        <v/>
      </c>
      <c r="P3299" s="1764" t="str">
        <f t="shared" si="2935"/>
        <v/>
      </c>
      <c r="Q3299" s="120" t="str">
        <f t="shared" si="2936"/>
        <v/>
      </c>
      <c r="R3299" s="185"/>
    </row>
    <row r="3300" spans="1:18" s="695" customFormat="1">
      <c r="A3300" s="693"/>
      <c r="B3300" s="1967">
        <v>1</v>
      </c>
      <c r="C3300" s="1946">
        <v>18</v>
      </c>
      <c r="D3300" s="1582"/>
      <c r="E3300" s="2000">
        <v>75</v>
      </c>
      <c r="F3300" s="1968">
        <f t="shared" si="2968"/>
        <v>75</v>
      </c>
      <c r="G3300" s="1969"/>
      <c r="H3300" s="1969"/>
      <c r="I3300" s="139"/>
      <c r="J3300" s="1970"/>
      <c r="K3300" s="684">
        <f t="shared" si="2941"/>
        <v>1</v>
      </c>
      <c r="L3300" s="363">
        <v>1</v>
      </c>
      <c r="M3300" s="709">
        <f t="shared" si="2942"/>
        <v>1</v>
      </c>
      <c r="N3300" s="362" t="str">
        <f t="shared" ref="N3300:N3348" si="2969">IF(O3300&lt;&gt;"",K3300*L3300*M3300,"")</f>
        <v/>
      </c>
      <c r="O3300" s="1763" t="str">
        <f t="shared" ref="O3300:O3348" si="2970">IF(D3300&lt;&gt;"",IF(VLOOKUP(D3300,base_datos,7,FALSE)&lt;&gt;"",VLOOKUP(D3300,base_datos,7,FALSE),""),"")</f>
        <v/>
      </c>
      <c r="P3300" s="1764" t="str">
        <f t="shared" ref="P3300:P3348" si="2971">IF(O3300&lt;&gt;"",VLOOKUP(D3300,base_datos,6,FALSE),"")</f>
        <v/>
      </c>
      <c r="Q3300" s="120" t="str">
        <f t="shared" ref="Q3300:Q3348" si="2972">IF(O3300&lt;&gt;"",D3300,"")</f>
        <v/>
      </c>
    </row>
    <row r="3301" spans="1:18" s="185" customFormat="1">
      <c r="A3301" s="693"/>
      <c r="B3301" s="714"/>
      <c r="C3301" s="1893" t="s">
        <v>729</v>
      </c>
      <c r="D3301" s="1941"/>
      <c r="E3301" s="1786"/>
      <c r="F3301" s="1787"/>
      <c r="G3301" s="710"/>
      <c r="H3301" s="710"/>
      <c r="I3301" s="2129"/>
      <c r="J3301" s="711"/>
      <c r="K3301" s="684">
        <f t="shared" si="2941"/>
        <v>1</v>
      </c>
      <c r="L3301" s="363">
        <v>1</v>
      </c>
      <c r="M3301" s="709">
        <f t="shared" si="2942"/>
        <v>1</v>
      </c>
      <c r="N3301" s="362" t="str">
        <f t="shared" si="2969"/>
        <v/>
      </c>
      <c r="O3301" s="1763" t="str">
        <f t="shared" si="2970"/>
        <v/>
      </c>
      <c r="P3301" s="1764" t="str">
        <f t="shared" si="2971"/>
        <v/>
      </c>
      <c r="Q3301" s="120" t="str">
        <f t="shared" si="2972"/>
        <v/>
      </c>
    </row>
    <row r="3302" spans="1:18" s="315" customFormat="1">
      <c r="A3302" s="1785"/>
      <c r="B3302" s="1906">
        <v>1</v>
      </c>
      <c r="C3302" s="1944" t="s">
        <v>13040</v>
      </c>
      <c r="D3302" s="1941"/>
      <c r="E3302" s="1786"/>
      <c r="F3302" s="1908">
        <f>SUM(F3303:F3308)*(B3302-1)</f>
        <v>0</v>
      </c>
      <c r="G3302" s="712"/>
      <c r="H3302" s="712"/>
      <c r="I3302" s="712"/>
      <c r="J3302" s="713"/>
      <c r="K3302" s="684">
        <f t="shared" si="2941"/>
        <v>1</v>
      </c>
      <c r="L3302" s="2224">
        <f>B3302</f>
        <v>1</v>
      </c>
      <c r="M3302" s="709">
        <f>IF(B3302="",1,B3302)</f>
        <v>1</v>
      </c>
      <c r="N3302" s="362" t="str">
        <f t="shared" si="2969"/>
        <v/>
      </c>
      <c r="O3302" s="1763" t="str">
        <f t="shared" si="2970"/>
        <v/>
      </c>
      <c r="P3302" s="1764" t="str">
        <f t="shared" si="2971"/>
        <v/>
      </c>
      <c r="Q3302" s="120" t="str">
        <f t="shared" si="2972"/>
        <v/>
      </c>
    </row>
    <row r="3303" spans="1:18" s="690" customFormat="1" ht="18" customHeight="1">
      <c r="A3303" s="691"/>
      <c r="B3303" s="1781">
        <v>1</v>
      </c>
      <c r="C3303" s="1420" t="str">
        <f>VLOOKUP(D3303,base_datos,6,FALSE)</f>
        <v>Contactor 3x09A(AC-3) / 3x25A(AC-1) +1NA - AF09-30-10-13 - bobina 100-250Vac/dc - marca ABB.</v>
      </c>
      <c r="D3303" s="1901" t="s">
        <v>1447</v>
      </c>
      <c r="E3303" s="1791">
        <f>VLOOKUP(D3303,base_datos,5,FALSE)</f>
        <v>29.89</v>
      </c>
      <c r="F3303" s="1912">
        <f>+E3303*B3303</f>
        <v>29.89</v>
      </c>
      <c r="G3303" s="1761"/>
      <c r="H3303" s="1761"/>
      <c r="I3303" s="1761"/>
      <c r="J3303" s="1783"/>
      <c r="K3303" s="684">
        <f t="shared" si="2941"/>
        <v>1</v>
      </c>
      <c r="L3303" s="1913">
        <f>L3302</f>
        <v>1</v>
      </c>
      <c r="M3303" s="709">
        <f t="shared" ref="M3303:M3308" si="2973">IF(B3303="",1,B3303)</f>
        <v>1</v>
      </c>
      <c r="N3303" s="362">
        <f t="shared" si="2969"/>
        <v>1</v>
      </c>
      <c r="O3303" s="1763" t="str">
        <f t="shared" si="2970"/>
        <v>1SBL137001R1310</v>
      </c>
      <c r="P3303" s="1764" t="str">
        <f t="shared" si="2971"/>
        <v>Contactor 3x09A(AC-3) / 3x25A(AC-1) +1NA - AF09-30-10-13 - bobina 100-250Vac/dc - marca ABB.</v>
      </c>
      <c r="Q3303" s="120" t="str">
        <f t="shared" si="2972"/>
        <v>AF09-30-10-13_3p</v>
      </c>
      <c r="R3303" s="185"/>
    </row>
    <row r="3304" spans="1:18" s="690" customFormat="1" ht="18" customHeight="1">
      <c r="A3304" s="691"/>
      <c r="B3304" s="2229">
        <v>1</v>
      </c>
      <c r="C3304" s="2230" t="str">
        <f>VLOOKUP(D3304,base_datos,6,FALSE)</f>
        <v>Contacto auxiliar frontal 1NA para contactor AF09..AF16-30-10, frontal - Modelo CA4-10 - marca ABB.</v>
      </c>
      <c r="D3304" s="1901" t="s">
        <v>2718</v>
      </c>
      <c r="E3304" s="1791">
        <f>VLOOKUP(D3304,base_datos,5,FALSE)</f>
        <v>5.92</v>
      </c>
      <c r="F3304" s="1912">
        <f>+E3304*B3304</f>
        <v>5.92</v>
      </c>
      <c r="G3304" s="1761"/>
      <c r="H3304" s="1761"/>
      <c r="I3304" s="1761"/>
      <c r="J3304" s="1783"/>
      <c r="K3304" s="684">
        <f t="shared" si="2941"/>
        <v>1</v>
      </c>
      <c r="L3304" s="1913">
        <f t="shared" ref="L3304:L3307" si="2974">L3303</f>
        <v>1</v>
      </c>
      <c r="M3304" s="709">
        <f t="shared" si="2973"/>
        <v>1</v>
      </c>
      <c r="N3304" s="362">
        <f t="shared" si="2969"/>
        <v>1</v>
      </c>
      <c r="O3304" s="1763" t="str">
        <f t="shared" si="2970"/>
        <v>1SBN010110R1010</v>
      </c>
      <c r="P3304" s="1764" t="str">
        <f t="shared" si="2971"/>
        <v>Contacto auxiliar frontal 1NA para contactor AF09..AF16-30-10, frontal - Modelo CA4-10 - marca ABB.</v>
      </c>
      <c r="Q3304" s="120" t="str">
        <f t="shared" si="2972"/>
        <v>CA4-10</v>
      </c>
      <c r="R3304" s="185"/>
    </row>
    <row r="3305" spans="1:18" s="1921" customFormat="1">
      <c r="A3305" s="687"/>
      <c r="B3305" s="1914">
        <v>1</v>
      </c>
      <c r="C3305" s="1915" t="s">
        <v>3366</v>
      </c>
      <c r="D3305" s="1916"/>
      <c r="E3305" s="1917"/>
      <c r="F3305" s="1918"/>
      <c r="G3305" s="1919"/>
      <c r="H3305" s="1919"/>
      <c r="I3305" s="1919"/>
      <c r="J3305" s="1920"/>
      <c r="K3305" s="684">
        <f t="shared" si="2941"/>
        <v>1</v>
      </c>
      <c r="L3305" s="1913">
        <f t="shared" si="2974"/>
        <v>1</v>
      </c>
      <c r="M3305" s="684">
        <f t="shared" si="2973"/>
        <v>1</v>
      </c>
      <c r="N3305" s="362" t="str">
        <f t="shared" si="2969"/>
        <v/>
      </c>
      <c r="O3305" s="1763" t="str">
        <f t="shared" si="2970"/>
        <v/>
      </c>
      <c r="P3305" s="1764" t="str">
        <f t="shared" si="2971"/>
        <v/>
      </c>
      <c r="Q3305" s="120" t="str">
        <f t="shared" si="2972"/>
        <v/>
      </c>
    </row>
    <row r="3306" spans="1:18" s="695" customFormat="1" ht="18" customHeight="1">
      <c r="A3306" s="693"/>
      <c r="B3306" s="1922">
        <v>1</v>
      </c>
      <c r="C3306" s="1848" t="str">
        <f t="shared" ref="C3306:C3308" si="2975">VLOOKUP(D3306,base_datos,6,FALSE)</f>
        <v>Base portafusibles + Fusibles de protección para control.</v>
      </c>
      <c r="D3306" s="1886" t="s">
        <v>453</v>
      </c>
      <c r="E3306" s="1795">
        <f t="shared" ref="E3306:E3308" si="2976">VLOOKUP(D3306,base_datos,5,FALSE)</f>
        <v>8.1750000000000007</v>
      </c>
      <c r="F3306" s="1923">
        <f t="shared" ref="F3306:F3308" si="2977">+E3306*B3306</f>
        <v>8.1750000000000007</v>
      </c>
      <c r="G3306" s="696"/>
      <c r="H3306" s="696"/>
      <c r="I3306" s="696"/>
      <c r="J3306" s="697"/>
      <c r="K3306" s="684">
        <f t="shared" si="2941"/>
        <v>1</v>
      </c>
      <c r="L3306" s="1913">
        <f t="shared" si="2974"/>
        <v>1</v>
      </c>
      <c r="M3306" s="709">
        <f t="shared" si="2973"/>
        <v>1</v>
      </c>
      <c r="N3306" s="362" t="str">
        <f t="shared" si="2969"/>
        <v/>
      </c>
      <c r="O3306" s="1763" t="str">
        <f t="shared" si="2970"/>
        <v/>
      </c>
      <c r="P3306" s="1764" t="str">
        <f t="shared" si="2971"/>
        <v/>
      </c>
      <c r="Q3306" s="120" t="str">
        <f t="shared" si="2972"/>
        <v/>
      </c>
      <c r="R3306" s="185"/>
    </row>
    <row r="3307" spans="1:18" s="695" customFormat="1" ht="18" customHeight="1">
      <c r="A3307" s="1785"/>
      <c r="B3307" s="1922">
        <v>1</v>
      </c>
      <c r="C3307" s="1848" t="str">
        <f t="shared" si="2975"/>
        <v>Borne para neutro.</v>
      </c>
      <c r="D3307" s="1886" t="s">
        <v>436</v>
      </c>
      <c r="E3307" s="1795">
        <f t="shared" si="2976"/>
        <v>4</v>
      </c>
      <c r="F3307" s="1923">
        <f t="shared" si="2977"/>
        <v>4</v>
      </c>
      <c r="G3307" s="696"/>
      <c r="H3307" s="696"/>
      <c r="I3307" s="696"/>
      <c r="J3307" s="697"/>
      <c r="K3307" s="684">
        <f t="shared" si="2941"/>
        <v>1</v>
      </c>
      <c r="L3307" s="1913">
        <f t="shared" si="2974"/>
        <v>1</v>
      </c>
      <c r="M3307" s="709">
        <f t="shared" si="2973"/>
        <v>1</v>
      </c>
      <c r="N3307" s="362" t="str">
        <f t="shared" ref="N3307" si="2978">IF(O3307&lt;&gt;"",K3307*L3307*M3307,"")</f>
        <v/>
      </c>
      <c r="O3307" s="1763" t="str">
        <f t="shared" ref="O3307" si="2979">IF(D3307&lt;&gt;"",IF(VLOOKUP(D3307,base_datos,7,FALSE)&lt;&gt;"",VLOOKUP(D3307,base_datos,7,FALSE),""),"")</f>
        <v/>
      </c>
      <c r="P3307" s="1764" t="str">
        <f t="shared" ref="P3307" si="2980">IF(O3307&lt;&gt;"",VLOOKUP(D3307,base_datos,6,FALSE),"")</f>
        <v/>
      </c>
      <c r="Q3307" s="120" t="str">
        <f t="shared" ref="Q3307" si="2981">IF(O3307&lt;&gt;"",D3307,"")</f>
        <v/>
      </c>
      <c r="R3307" s="185"/>
    </row>
    <row r="3308" spans="1:18" s="695" customFormat="1" ht="18" customHeight="1">
      <c r="A3308" s="693"/>
      <c r="B3308" s="1922">
        <v>2</v>
      </c>
      <c r="C3308" s="1848" t="str">
        <f t="shared" si="2975"/>
        <v>Borne 4mm2.</v>
      </c>
      <c r="D3308" s="1886" t="s">
        <v>437</v>
      </c>
      <c r="E3308" s="1795">
        <f t="shared" si="2976"/>
        <v>2.5</v>
      </c>
      <c r="F3308" s="1923">
        <f t="shared" si="2977"/>
        <v>5</v>
      </c>
      <c r="G3308" s="696"/>
      <c r="H3308" s="696"/>
      <c r="I3308" s="696"/>
      <c r="J3308" s="697"/>
      <c r="K3308" s="684">
        <f t="shared" si="2941"/>
        <v>1</v>
      </c>
      <c r="L3308" s="1913">
        <f>L3306</f>
        <v>1</v>
      </c>
      <c r="M3308" s="709">
        <f t="shared" si="2973"/>
        <v>2</v>
      </c>
      <c r="N3308" s="362" t="str">
        <f t="shared" si="2969"/>
        <v/>
      </c>
      <c r="O3308" s="1763" t="str">
        <f t="shared" si="2970"/>
        <v/>
      </c>
      <c r="P3308" s="1764" t="str">
        <f t="shared" si="2971"/>
        <v/>
      </c>
      <c r="Q3308" s="120" t="str">
        <f t="shared" si="2972"/>
        <v/>
      </c>
      <c r="R3308" s="185"/>
    </row>
    <row r="3309" spans="1:18" s="185" customFormat="1" ht="13.5" customHeight="1">
      <c r="A3309" s="692"/>
      <c r="B3309" s="714"/>
      <c r="C3309" s="1893" t="s">
        <v>729</v>
      </c>
      <c r="D3309" s="1941"/>
      <c r="E3309" s="1786"/>
      <c r="F3309" s="1787"/>
      <c r="G3309" s="710"/>
      <c r="H3309" s="710"/>
      <c r="I3309" s="710"/>
      <c r="J3309" s="711"/>
      <c r="K3309" s="684">
        <f t="shared" si="2941"/>
        <v>1</v>
      </c>
      <c r="L3309" s="363">
        <v>1</v>
      </c>
      <c r="M3309" s="709">
        <f>IF(B3309="",1,B3309)</f>
        <v>1</v>
      </c>
      <c r="N3309" s="362" t="str">
        <f t="shared" si="2969"/>
        <v/>
      </c>
      <c r="O3309" s="1763" t="str">
        <f t="shared" si="2970"/>
        <v/>
      </c>
      <c r="P3309" s="1764" t="str">
        <f t="shared" si="2971"/>
        <v/>
      </c>
      <c r="Q3309" s="120" t="str">
        <f t="shared" si="2972"/>
        <v/>
      </c>
    </row>
    <row r="3310" spans="1:18" s="2434" customFormat="1" ht="18" customHeight="1">
      <c r="A3310" s="2418"/>
      <c r="B3310" s="2419">
        <v>1</v>
      </c>
      <c r="C3310" s="2420" t="s">
        <v>13045</v>
      </c>
      <c r="D3310" s="2421"/>
      <c r="E3310" s="2422"/>
      <c r="F3310" s="2423">
        <f>SUM(F3311:F3315)*(B3310-1)</f>
        <v>0</v>
      </c>
      <c r="G3310" s="2424"/>
      <c r="H3310" s="2424"/>
      <c r="I3310" s="2424"/>
      <c r="J3310" s="2425"/>
      <c r="K3310" s="2426">
        <f>K3308</f>
        <v>1</v>
      </c>
      <c r="L3310" s="2427">
        <f>B3310</f>
        <v>1</v>
      </c>
      <c r="M3310" s="2428">
        <f t="shared" ref="M3310:M3312" si="2982">IF(B3310="",1,B3310)</f>
        <v>1</v>
      </c>
      <c r="N3310" s="2429" t="str">
        <f>IF(O3310&lt;&gt;"",K3310*L3310*M3310,"")</f>
        <v/>
      </c>
      <c r="O3310" s="2430" t="str">
        <f>IF(D3310&lt;&gt;"",IF(VLOOKUP(D3310,base_datos,7,FALSE)&lt;&gt;"",VLOOKUP(D3310,base_datos,7,FALSE),""),"")</f>
        <v/>
      </c>
      <c r="P3310" s="2431" t="str">
        <f>IF(O3310&lt;&gt;"",VLOOKUP(D3310,base_datos,6,FALSE),"")</f>
        <v/>
      </c>
      <c r="Q3310" s="2432" t="str">
        <f>IF(O3310&lt;&gt;"",D3310,"")</f>
        <v/>
      </c>
      <c r="R3310" s="2433"/>
    </row>
    <row r="3311" spans="1:18" s="2434" customFormat="1" ht="18" customHeight="1">
      <c r="A3311" s="2418"/>
      <c r="B3311" s="2435">
        <v>1</v>
      </c>
      <c r="C3311" s="2436" t="str">
        <f>VLOOKUP(D3311,base_datos,6,FALSE)</f>
        <v>Selector 3 posiciones mantenidos - 1-0-2 / M-0-A - maneta corta, contactos 2NA - C3SS1-10B-20 - compacto - marca ABB.</v>
      </c>
      <c r="D3311" s="2437" t="s">
        <v>1223</v>
      </c>
      <c r="E3311" s="2422">
        <f>VLOOKUP(D3311,base_datos,5,FALSE)</f>
        <v>16.680000000000003</v>
      </c>
      <c r="F3311" s="2438">
        <f t="shared" ref="F3311" si="2983">+E3311*B3311</f>
        <v>16.680000000000003</v>
      </c>
      <c r="G3311" s="2424"/>
      <c r="H3311" s="2424"/>
      <c r="I3311" s="2424"/>
      <c r="J3311" s="2425"/>
      <c r="K3311" s="2426">
        <f t="shared" ref="K3311:K3321" si="2984">K3309</f>
        <v>1</v>
      </c>
      <c r="L3311" s="2427">
        <f>L3310</f>
        <v>1</v>
      </c>
      <c r="M3311" s="2428">
        <f t="shared" si="2982"/>
        <v>1</v>
      </c>
      <c r="N3311" s="2429">
        <f>IF(O3311&lt;&gt;"",K3311*L3311*M3311,"")</f>
        <v>1</v>
      </c>
      <c r="O3311" s="2430" t="str">
        <f>IF(D3311&lt;&gt;"",IF(VLOOKUP(D3311,base_datos,7,FALSE)&lt;&gt;"",VLOOKUP(D3311,base_datos,7,FALSE),""),"")</f>
        <v>1SFA619210R1026</v>
      </c>
      <c r="P3311" s="2431" t="str">
        <f>IF(O3311&lt;&gt;"",VLOOKUP(D3311,base_datos,6,FALSE),"")</f>
        <v>Selector 3 posiciones mantenidos - 1-0-2 / M-0-A - maneta corta, contactos 2NA - C3SS1-10B-20 - compacto - marca ABB.</v>
      </c>
      <c r="Q3311" s="2432" t="str">
        <f>IF(O3311&lt;&gt;"",D3311,"")</f>
        <v>SEL_1-0-2</v>
      </c>
      <c r="R3311" s="2433"/>
    </row>
    <row r="3312" spans="1:18" s="2432" customFormat="1">
      <c r="A3312" s="2418"/>
      <c r="B3312" s="2435">
        <v>1</v>
      </c>
      <c r="C3312" s="2439" t="s">
        <v>3366</v>
      </c>
      <c r="D3312" s="2440"/>
      <c r="E3312" s="2422"/>
      <c r="F3312" s="2438"/>
      <c r="G3312" s="2441"/>
      <c r="H3312" s="2441"/>
      <c r="I3312" s="2441"/>
      <c r="J3312" s="2442"/>
      <c r="K3312" s="2426">
        <f t="shared" si="2984"/>
        <v>1</v>
      </c>
      <c r="L3312" s="2427">
        <f>L3313</f>
        <v>1</v>
      </c>
      <c r="M3312" s="2426">
        <f t="shared" si="2982"/>
        <v>1</v>
      </c>
      <c r="N3312" s="2429" t="str">
        <f t="shared" ref="N3312" si="2985">IF(O3312&lt;&gt;"",K3312*L3312*M3312,"")</f>
        <v/>
      </c>
      <c r="O3312" s="2430" t="str">
        <f t="shared" ref="O3312" si="2986">IF(D3312&lt;&gt;"",IF(VLOOKUP(D3312,base_datos,7,FALSE)&lt;&gt;"",VLOOKUP(D3312,base_datos,7,FALSE),""),"")</f>
        <v/>
      </c>
      <c r="P3312" s="2431" t="str">
        <f t="shared" ref="P3312" si="2987">IF(O3312&lt;&gt;"",VLOOKUP(D3312,base_datos,6,FALSE),"")</f>
        <v/>
      </c>
      <c r="Q3312" s="2432" t="str">
        <f t="shared" ref="Q3312" si="2988">IF(O3312&lt;&gt;"",D3312,"")</f>
        <v/>
      </c>
    </row>
    <row r="3313" spans="1:18" s="2450" customFormat="1" ht="18" customHeight="1">
      <c r="A3313" s="2443"/>
      <c r="B3313" s="2444">
        <v>1</v>
      </c>
      <c r="C3313" s="2445" t="str">
        <f t="shared" ref="C3313:C3315" si="2989">VLOOKUP(D3313,base_datos,6,FALSE)</f>
        <v>Base portafusibles + Fusibles de protección para control.</v>
      </c>
      <c r="D3313" s="2446" t="s">
        <v>453</v>
      </c>
      <c r="E3313" s="2447">
        <f t="shared" ref="E3313:E3315" si="2990">VLOOKUP(D3313,base_datos,5,FALSE)</f>
        <v>8.1750000000000007</v>
      </c>
      <c r="F3313" s="2438">
        <f>+E3313*B3313</f>
        <v>8.1750000000000007</v>
      </c>
      <c r="G3313" s="2448"/>
      <c r="H3313" s="2448"/>
      <c r="I3313" s="2448"/>
      <c r="J3313" s="2449"/>
      <c r="K3313" s="2426">
        <f t="shared" si="2984"/>
        <v>1</v>
      </c>
      <c r="L3313" s="2427">
        <f>L3311</f>
        <v>1</v>
      </c>
      <c r="M3313" s="2428">
        <f>IF(B3313="",1,B3313)</f>
        <v>1</v>
      </c>
      <c r="N3313" s="2429" t="str">
        <f>IF(O3313&lt;&gt;"",K3313*L3313*M3313,"")</f>
        <v/>
      </c>
      <c r="O3313" s="2430" t="str">
        <f>IF(D3313&lt;&gt;"",IF(VLOOKUP(D3313,base_datos,7,FALSE)&lt;&gt;"",VLOOKUP(D3313,base_datos,7,FALSE),""),"")</f>
        <v/>
      </c>
      <c r="P3313" s="2431" t="str">
        <f>IF(O3313&lt;&gt;"",VLOOKUP(D3313,base_datos,6,FALSE),"")</f>
        <v/>
      </c>
      <c r="Q3313" s="2432" t="str">
        <f>IF(O3313&lt;&gt;"",D3313,"")</f>
        <v/>
      </c>
      <c r="R3313" s="2433"/>
    </row>
    <row r="3314" spans="1:18" s="2450" customFormat="1" ht="18" customHeight="1">
      <c r="A3314" s="2443"/>
      <c r="B3314" s="2444">
        <v>1</v>
      </c>
      <c r="C3314" s="2445" t="str">
        <f t="shared" si="2989"/>
        <v>Borne para neutro.</v>
      </c>
      <c r="D3314" s="2451" t="s">
        <v>436</v>
      </c>
      <c r="E3314" s="2447">
        <f t="shared" si="2990"/>
        <v>4</v>
      </c>
      <c r="F3314" s="2438">
        <f t="shared" ref="F3314:F3315" si="2991">+E3314*B3314</f>
        <v>4</v>
      </c>
      <c r="G3314" s="2448"/>
      <c r="H3314" s="2448"/>
      <c r="I3314" s="2448"/>
      <c r="J3314" s="2449"/>
      <c r="K3314" s="2426">
        <f t="shared" si="2984"/>
        <v>1</v>
      </c>
      <c r="L3314" s="2427">
        <f>L3312</f>
        <v>1</v>
      </c>
      <c r="M3314" s="2428">
        <f t="shared" ref="M3314:M3316" si="2992">IF(B3314="",1,B3314)</f>
        <v>1</v>
      </c>
      <c r="N3314" s="2429" t="str">
        <f t="shared" ref="N3314:N3315" si="2993">IF(O3314&lt;&gt;"",K3314*L3314*M3314,"")</f>
        <v/>
      </c>
      <c r="O3314" s="2430" t="str">
        <f t="shared" ref="O3314:O3315" si="2994">IF(D3314&lt;&gt;"",IF(VLOOKUP(D3314,base_datos,7,FALSE)&lt;&gt;"",VLOOKUP(D3314,base_datos,7,FALSE),""),"")</f>
        <v/>
      </c>
      <c r="P3314" s="2431" t="str">
        <f t="shared" ref="P3314:P3315" si="2995">IF(O3314&lt;&gt;"",VLOOKUP(D3314,base_datos,6,FALSE),"")</f>
        <v/>
      </c>
      <c r="Q3314" s="2432" t="str">
        <f t="shared" ref="Q3314:Q3315" si="2996">IF(O3314&lt;&gt;"",D3314,"")</f>
        <v/>
      </c>
      <c r="R3314" s="2433"/>
    </row>
    <row r="3315" spans="1:18" s="2450" customFormat="1" ht="18" customHeight="1">
      <c r="A3315" s="2443"/>
      <c r="B3315" s="2444">
        <v>2</v>
      </c>
      <c r="C3315" s="2445" t="str">
        <f t="shared" si="2989"/>
        <v>Borne 4mm2.</v>
      </c>
      <c r="D3315" s="2446" t="s">
        <v>437</v>
      </c>
      <c r="E3315" s="2447">
        <f t="shared" si="2990"/>
        <v>2.5</v>
      </c>
      <c r="F3315" s="2438">
        <f t="shared" si="2991"/>
        <v>5</v>
      </c>
      <c r="G3315" s="2448"/>
      <c r="H3315" s="2448"/>
      <c r="I3315" s="2448"/>
      <c r="J3315" s="2449"/>
      <c r="K3315" s="2426">
        <f t="shared" si="2984"/>
        <v>1</v>
      </c>
      <c r="L3315" s="2427">
        <f t="shared" ref="L3315" si="2997">L3314</f>
        <v>1</v>
      </c>
      <c r="M3315" s="2428">
        <f t="shared" si="2992"/>
        <v>2</v>
      </c>
      <c r="N3315" s="2429" t="str">
        <f t="shared" si="2993"/>
        <v/>
      </c>
      <c r="O3315" s="2430" t="str">
        <f t="shared" si="2994"/>
        <v/>
      </c>
      <c r="P3315" s="2431" t="str">
        <f t="shared" si="2995"/>
        <v/>
      </c>
      <c r="Q3315" s="2432" t="str">
        <f t="shared" si="2996"/>
        <v/>
      </c>
      <c r="R3315" s="2433"/>
    </row>
    <row r="3316" spans="1:18" s="2433" customFormat="1">
      <c r="A3316" s="2418"/>
      <c r="B3316" s="2452"/>
      <c r="C3316" s="2453" t="s">
        <v>729</v>
      </c>
      <c r="D3316" s="2451"/>
      <c r="E3316" s="2454"/>
      <c r="F3316" s="2455"/>
      <c r="G3316" s="2456"/>
      <c r="H3316" s="2456"/>
      <c r="I3316" s="2456"/>
      <c r="J3316" s="2457"/>
      <c r="K3316" s="2426">
        <f t="shared" si="2984"/>
        <v>1</v>
      </c>
      <c r="L3316" s="2458">
        <v>1</v>
      </c>
      <c r="M3316" s="2426">
        <f t="shared" si="2992"/>
        <v>1</v>
      </c>
      <c r="N3316" s="2459" t="str">
        <f>IF(O3316&lt;&gt;"",K3316*L3316*M3316,"")</f>
        <v/>
      </c>
      <c r="O3316" s="2460" t="str">
        <f>IF(D3316&lt;&gt;"",IF(VLOOKUP(D3316,base_datos,7,FALSE)&lt;&gt;"",VLOOKUP(D3316,base_datos,7,FALSE),""),"")</f>
        <v/>
      </c>
      <c r="P3316" s="2461" t="str">
        <f>IF(O3316&lt;&gt;"",VLOOKUP(D3316,base_datos,6,FALSE),"")</f>
        <v/>
      </c>
      <c r="Q3316" s="2433" t="str">
        <f>IF(O3316&lt;&gt;"",D3316,"")</f>
        <v/>
      </c>
    </row>
    <row r="3317" spans="1:18" s="2450" customFormat="1" ht="18" customHeight="1">
      <c r="A3317" s="2462"/>
      <c r="B3317" s="2444">
        <v>1</v>
      </c>
      <c r="C3317" s="2445" t="str">
        <f>VLOOKUP(D3317,base_datos,6,FALSE)</f>
        <v>Rele auxiliar enchufable +4NA/NC (D2PR4B + base D2PA6), 220Vac - marca EATON.</v>
      </c>
      <c r="D3317" s="2446" t="s">
        <v>772</v>
      </c>
      <c r="E3317" s="2447">
        <f>VLOOKUP(D3317,base_datos,5,FALSE)</f>
        <v>27</v>
      </c>
      <c r="F3317" s="2438">
        <f>+E3317*B3317</f>
        <v>27</v>
      </c>
      <c r="G3317" s="2448"/>
      <c r="H3317" s="2448"/>
      <c r="I3317" s="2448"/>
      <c r="J3317" s="2449"/>
      <c r="K3317" s="2426">
        <f t="shared" si="2984"/>
        <v>1</v>
      </c>
      <c r="L3317" s="2463">
        <v>1</v>
      </c>
      <c r="M3317" s="2428">
        <f>IF(B3317="",1,B3317)</f>
        <v>1</v>
      </c>
      <c r="N3317" s="2429">
        <f>IF(O3317&lt;&gt;"",K3317*L3317*M3317,"")</f>
        <v>1</v>
      </c>
      <c r="O3317" s="2430" t="str">
        <f>IF(D3317&lt;&gt;"",IF(VLOOKUP(D3317,base_datos,7,FALSE)&lt;&gt;"",VLOOKUP(D3317,base_datos,7,FALSE),""),"")</f>
        <v>D2PR4B+D2PA6</v>
      </c>
      <c r="P3317" s="2431" t="str">
        <f>IF(O3317&lt;&gt;"",VLOOKUP(D3317,base_datos,6,FALSE),"")</f>
        <v>Rele auxiliar enchufable +4NA/NC (D2PR4B + base D2PA6), 220Vac - marca EATON.</v>
      </c>
      <c r="Q3317" s="2432" t="str">
        <f>IF(O3317&lt;&gt;"",D3317,"")</f>
        <v>D2PR4B+D2PA6</v>
      </c>
      <c r="R3317" s="2433"/>
    </row>
    <row r="3318" spans="1:18" s="2450" customFormat="1" ht="18" customHeight="1">
      <c r="A3318" s="2443"/>
      <c r="B3318" s="2444">
        <v>4</v>
      </c>
      <c r="C3318" s="2445" t="str">
        <f t="shared" ref="C3318:C3320" si="2998">VLOOKUP(D3318,base_datos,6,FALSE)</f>
        <v>Borne 4mm2.</v>
      </c>
      <c r="D3318" s="2446" t="s">
        <v>437</v>
      </c>
      <c r="E3318" s="2447">
        <f t="shared" ref="E3318:E3320" si="2999">VLOOKUP(D3318,base_datos,5,FALSE)</f>
        <v>2.5</v>
      </c>
      <c r="F3318" s="2438">
        <f t="shared" ref="F3318:F3320" si="3000">+E3318*B3318</f>
        <v>10</v>
      </c>
      <c r="G3318" s="2448"/>
      <c r="H3318" s="2448"/>
      <c r="I3318" s="2448"/>
      <c r="J3318" s="2449"/>
      <c r="K3318" s="2426">
        <f t="shared" si="2984"/>
        <v>1</v>
      </c>
      <c r="L3318" s="2463">
        <v>1</v>
      </c>
      <c r="M3318" s="2428">
        <f t="shared" ref="M3318:M3321" si="3001">IF(B3318="",1,B3318)</f>
        <v>4</v>
      </c>
      <c r="N3318" s="2429" t="str">
        <f t="shared" ref="N3318:N3320" si="3002">IF(O3318&lt;&gt;"",K3318*L3318*M3318,"")</f>
        <v/>
      </c>
      <c r="O3318" s="2430" t="str">
        <f t="shared" ref="O3318:O3320" si="3003">IF(D3318&lt;&gt;"",IF(VLOOKUP(D3318,base_datos,7,FALSE)&lt;&gt;"",VLOOKUP(D3318,base_datos,7,FALSE),""),"")</f>
        <v/>
      </c>
      <c r="P3318" s="2431" t="str">
        <f t="shared" ref="P3318:P3320" si="3004">IF(O3318&lt;&gt;"",VLOOKUP(D3318,base_datos,6,FALSE),"")</f>
        <v/>
      </c>
      <c r="Q3318" s="2432" t="str">
        <f t="shared" ref="Q3318:Q3320" si="3005">IF(O3318&lt;&gt;"",D3318,"")</f>
        <v/>
      </c>
      <c r="R3318" s="2433"/>
    </row>
    <row r="3319" spans="1:18" s="2450" customFormat="1" ht="18" customHeight="1">
      <c r="A3319" s="2443"/>
      <c r="B3319" s="2444">
        <v>1</v>
      </c>
      <c r="C3319" s="2445" t="str">
        <f t="shared" si="2998"/>
        <v>Base portafusibles + Fusibles de protección para control.</v>
      </c>
      <c r="D3319" s="2446" t="s">
        <v>453</v>
      </c>
      <c r="E3319" s="2447">
        <f t="shared" si="2999"/>
        <v>8.1750000000000007</v>
      </c>
      <c r="F3319" s="2438">
        <f t="shared" si="3000"/>
        <v>8.1750000000000007</v>
      </c>
      <c r="G3319" s="2448"/>
      <c r="H3319" s="2448"/>
      <c r="I3319" s="2448"/>
      <c r="J3319" s="2449"/>
      <c r="K3319" s="2426">
        <f t="shared" si="2984"/>
        <v>1</v>
      </c>
      <c r="L3319" s="2463">
        <v>1</v>
      </c>
      <c r="M3319" s="2428">
        <f t="shared" si="3001"/>
        <v>1</v>
      </c>
      <c r="N3319" s="2429" t="str">
        <f t="shared" si="3002"/>
        <v/>
      </c>
      <c r="O3319" s="2430" t="str">
        <f t="shared" si="3003"/>
        <v/>
      </c>
      <c r="P3319" s="2431" t="str">
        <f t="shared" si="3004"/>
        <v/>
      </c>
      <c r="Q3319" s="2432" t="str">
        <f t="shared" si="3005"/>
        <v/>
      </c>
      <c r="R3319" s="2433"/>
    </row>
    <row r="3320" spans="1:18" s="2450" customFormat="1" ht="18" customHeight="1">
      <c r="A3320" s="2443"/>
      <c r="B3320" s="2444">
        <v>1</v>
      </c>
      <c r="C3320" s="2445" t="str">
        <f t="shared" si="2998"/>
        <v>Borne para neutro.</v>
      </c>
      <c r="D3320" s="2451" t="s">
        <v>436</v>
      </c>
      <c r="E3320" s="2447">
        <f t="shared" si="2999"/>
        <v>4</v>
      </c>
      <c r="F3320" s="2438">
        <f t="shared" si="3000"/>
        <v>4</v>
      </c>
      <c r="G3320" s="2448"/>
      <c r="H3320" s="2448"/>
      <c r="I3320" s="2448"/>
      <c r="J3320" s="2449"/>
      <c r="K3320" s="2426">
        <f t="shared" si="2984"/>
        <v>1</v>
      </c>
      <c r="L3320" s="2427">
        <f t="shared" ref="L3320" si="3006">L3319</f>
        <v>1</v>
      </c>
      <c r="M3320" s="2428">
        <f t="shared" si="3001"/>
        <v>1</v>
      </c>
      <c r="N3320" s="2429" t="str">
        <f t="shared" si="3002"/>
        <v/>
      </c>
      <c r="O3320" s="2430" t="str">
        <f t="shared" si="3003"/>
        <v/>
      </c>
      <c r="P3320" s="2431" t="str">
        <f t="shared" si="3004"/>
        <v/>
      </c>
      <c r="Q3320" s="2432" t="str">
        <f t="shared" si="3005"/>
        <v/>
      </c>
      <c r="R3320" s="2433"/>
    </row>
    <row r="3321" spans="1:18" s="185" customFormat="1">
      <c r="A3321" s="687"/>
      <c r="B3321" s="714"/>
      <c r="C3321" s="313" t="s">
        <v>729</v>
      </c>
      <c r="D3321" s="36"/>
      <c r="E3321" s="1971"/>
      <c r="F3321" s="1787"/>
      <c r="G3321" s="710"/>
      <c r="H3321" s="710"/>
      <c r="I3321" s="710"/>
      <c r="J3321" s="711"/>
      <c r="K3321" s="684">
        <f t="shared" si="2984"/>
        <v>1</v>
      </c>
      <c r="L3321" s="708">
        <v>1</v>
      </c>
      <c r="M3321" s="684">
        <f t="shared" si="3001"/>
        <v>1</v>
      </c>
      <c r="N3321" s="1905" t="str">
        <f>IF(O3321&lt;&gt;"",K3321*L3321*M3321,"")</f>
        <v/>
      </c>
      <c r="O3321" s="1571" t="str">
        <f>IF(D3321&lt;&gt;"",IF(VLOOKUP(D3321,base_datos,7,FALSE)&lt;&gt;"",VLOOKUP(D3321,base_datos,7,FALSE),""),"")</f>
        <v/>
      </c>
      <c r="P3321" s="320" t="str">
        <f>IF(O3321&lt;&gt;"",VLOOKUP(D3321,base_datos,6,FALSE),"")</f>
        <v/>
      </c>
      <c r="Q3321" s="185" t="str">
        <f>IF(O3321&lt;&gt;"",D3321,"")</f>
        <v/>
      </c>
    </row>
    <row r="3322" spans="1:18" s="315" customFormat="1">
      <c r="A3322" s="1785"/>
      <c r="B3322" s="1906">
        <v>1</v>
      </c>
      <c r="C3322" s="1944" t="s">
        <v>13041</v>
      </c>
      <c r="D3322" s="1941"/>
      <c r="E3322" s="1786"/>
      <c r="F3322" s="1908">
        <f>SUM(F3323:F3328)*(B3322-1)</f>
        <v>0</v>
      </c>
      <c r="G3322" s="712"/>
      <c r="H3322" s="712"/>
      <c r="I3322" s="712"/>
      <c r="J3322" s="713"/>
      <c r="K3322" s="684">
        <f>+K3309</f>
        <v>1</v>
      </c>
      <c r="L3322" s="2224">
        <f>B3322</f>
        <v>1</v>
      </c>
      <c r="M3322" s="709">
        <f>IF(B3322="",1,B3322)</f>
        <v>1</v>
      </c>
      <c r="N3322" s="362" t="str">
        <f t="shared" si="2969"/>
        <v/>
      </c>
      <c r="O3322" s="1763" t="str">
        <f t="shared" si="2970"/>
        <v/>
      </c>
      <c r="P3322" s="1764" t="str">
        <f t="shared" si="2971"/>
        <v/>
      </c>
      <c r="Q3322" s="120" t="str">
        <f t="shared" si="2972"/>
        <v/>
      </c>
    </row>
    <row r="3323" spans="1:18" s="690" customFormat="1" ht="18" customHeight="1">
      <c r="A3323" s="691"/>
      <c r="B3323" s="1781">
        <v>1</v>
      </c>
      <c r="C3323" s="1420" t="str">
        <f>VLOOKUP(D3323,base_datos,6,FALSE)</f>
        <v>Contactor 3x09A(AC-3) / 3x25A(AC-1) +1NA - AF09-30-10-13 - bobina 100-250Vac/dc - marca ABB.</v>
      </c>
      <c r="D3323" s="1901" t="s">
        <v>1447</v>
      </c>
      <c r="E3323" s="1791">
        <f>VLOOKUP(D3323,base_datos,5,FALSE)</f>
        <v>29.89</v>
      </c>
      <c r="F3323" s="1912">
        <f>+E3323*B3323</f>
        <v>29.89</v>
      </c>
      <c r="G3323" s="1761"/>
      <c r="H3323" s="1761"/>
      <c r="I3323" s="1761"/>
      <c r="J3323" s="1783"/>
      <c r="K3323" s="684">
        <f t="shared" si="2941"/>
        <v>1</v>
      </c>
      <c r="L3323" s="1913">
        <f>L3322</f>
        <v>1</v>
      </c>
      <c r="M3323" s="709">
        <f t="shared" ref="M3323:M3335" si="3007">IF(B3323="",1,B3323)</f>
        <v>1</v>
      </c>
      <c r="N3323" s="362">
        <f t="shared" si="2969"/>
        <v>1</v>
      </c>
      <c r="O3323" s="1763" t="str">
        <f t="shared" si="2970"/>
        <v>1SBL137001R1310</v>
      </c>
      <c r="P3323" s="1764" t="str">
        <f t="shared" si="2971"/>
        <v>Contactor 3x09A(AC-3) / 3x25A(AC-1) +1NA - AF09-30-10-13 - bobina 100-250Vac/dc - marca ABB.</v>
      </c>
      <c r="Q3323" s="120" t="str">
        <f t="shared" si="2972"/>
        <v>AF09-30-10-13_3p</v>
      </c>
      <c r="R3323" s="185"/>
    </row>
    <row r="3324" spans="1:18" s="690" customFormat="1" ht="18" customHeight="1">
      <c r="A3324" s="691"/>
      <c r="B3324" s="2229">
        <v>1</v>
      </c>
      <c r="C3324" s="2230" t="str">
        <f>VLOOKUP(D3324,base_datos,6,FALSE)</f>
        <v>Contacto auxiliar frontal 1NA para contactor AF09..AF16-30-10, frontal - Modelo CA4-10 - marca ABB.</v>
      </c>
      <c r="D3324" s="1901" t="s">
        <v>2718</v>
      </c>
      <c r="E3324" s="1791">
        <f>VLOOKUP(D3324,base_datos,5,FALSE)</f>
        <v>5.92</v>
      </c>
      <c r="F3324" s="1912">
        <f>+E3324*B3324</f>
        <v>5.92</v>
      </c>
      <c r="G3324" s="1761"/>
      <c r="H3324" s="1761"/>
      <c r="I3324" s="1761"/>
      <c r="J3324" s="1783"/>
      <c r="K3324" s="684">
        <f t="shared" si="2941"/>
        <v>1</v>
      </c>
      <c r="L3324" s="1913">
        <f t="shared" ref="L3324" si="3008">L3323</f>
        <v>1</v>
      </c>
      <c r="M3324" s="709">
        <f t="shared" si="3007"/>
        <v>1</v>
      </c>
      <c r="N3324" s="362">
        <f t="shared" si="2969"/>
        <v>1</v>
      </c>
      <c r="O3324" s="1763" t="str">
        <f t="shared" si="2970"/>
        <v>1SBN010110R1010</v>
      </c>
      <c r="P3324" s="1764" t="str">
        <f t="shared" si="2971"/>
        <v>Contacto auxiliar frontal 1NA para contactor AF09..AF16-30-10, frontal - Modelo CA4-10 - marca ABB.</v>
      </c>
      <c r="Q3324" s="120" t="str">
        <f t="shared" si="2972"/>
        <v>CA4-10</v>
      </c>
      <c r="R3324" s="185"/>
    </row>
    <row r="3325" spans="1:18" s="1921" customFormat="1">
      <c r="A3325" s="687"/>
      <c r="B3325" s="1914">
        <v>1</v>
      </c>
      <c r="C3325" s="1915" t="s">
        <v>3366</v>
      </c>
      <c r="D3325" s="1916"/>
      <c r="E3325" s="1917"/>
      <c r="F3325" s="1918"/>
      <c r="G3325" s="1919"/>
      <c r="H3325" s="1919"/>
      <c r="I3325" s="1919"/>
      <c r="J3325" s="1920"/>
      <c r="K3325" s="684">
        <f t="shared" si="2941"/>
        <v>1</v>
      </c>
      <c r="L3325" s="1913">
        <f>L3324</f>
        <v>1</v>
      </c>
      <c r="M3325" s="684">
        <f t="shared" si="3007"/>
        <v>1</v>
      </c>
      <c r="N3325" s="362" t="str">
        <f t="shared" si="2969"/>
        <v/>
      </c>
      <c r="O3325" s="1763" t="str">
        <f t="shared" si="2970"/>
        <v/>
      </c>
      <c r="P3325" s="1764" t="str">
        <f t="shared" si="2971"/>
        <v/>
      </c>
      <c r="Q3325" s="120" t="str">
        <f t="shared" si="2972"/>
        <v/>
      </c>
    </row>
    <row r="3326" spans="1:18" s="695" customFormat="1" ht="18" customHeight="1">
      <c r="A3326" s="1785"/>
      <c r="B3326" s="1922">
        <v>1</v>
      </c>
      <c r="C3326" s="1848" t="str">
        <f t="shared" ref="C3326:C3328" si="3009">VLOOKUP(D3326,base_datos,6,FALSE)</f>
        <v>Base portafusibles + Fusibles de protección para control.</v>
      </c>
      <c r="D3326" s="1886" t="s">
        <v>453</v>
      </c>
      <c r="E3326" s="1795">
        <f t="shared" ref="E3326:E3328" si="3010">VLOOKUP(D3326,base_datos,5,FALSE)</f>
        <v>8.1750000000000007</v>
      </c>
      <c r="F3326" s="1923">
        <f t="shared" ref="F3326:F3328" si="3011">+E3326*B3326</f>
        <v>8.1750000000000007</v>
      </c>
      <c r="G3326" s="696"/>
      <c r="H3326" s="696"/>
      <c r="I3326" s="696"/>
      <c r="J3326" s="697"/>
      <c r="K3326" s="684">
        <f t="shared" si="2941"/>
        <v>1</v>
      </c>
      <c r="L3326" s="1913">
        <f t="shared" ref="L3326:L3328" si="3012">L3325</f>
        <v>1</v>
      </c>
      <c r="M3326" s="709">
        <f t="shared" si="3007"/>
        <v>1</v>
      </c>
      <c r="N3326" s="362" t="str">
        <f t="shared" si="2969"/>
        <v/>
      </c>
      <c r="O3326" s="1763" t="str">
        <f t="shared" si="2970"/>
        <v/>
      </c>
      <c r="P3326" s="1764" t="str">
        <f t="shared" si="2971"/>
        <v/>
      </c>
      <c r="Q3326" s="120" t="str">
        <f t="shared" si="2972"/>
        <v/>
      </c>
      <c r="R3326" s="185"/>
    </row>
    <row r="3327" spans="1:18" s="695" customFormat="1" ht="18" customHeight="1">
      <c r="A3327" s="1785"/>
      <c r="B3327" s="1922">
        <v>1</v>
      </c>
      <c r="C3327" s="1848" t="str">
        <f t="shared" si="3009"/>
        <v>Borne para neutro.</v>
      </c>
      <c r="D3327" s="1886" t="s">
        <v>436</v>
      </c>
      <c r="E3327" s="1795">
        <f t="shared" si="3010"/>
        <v>4</v>
      </c>
      <c r="F3327" s="1923">
        <f t="shared" si="3011"/>
        <v>4</v>
      </c>
      <c r="G3327" s="696"/>
      <c r="H3327" s="696"/>
      <c r="I3327" s="696"/>
      <c r="J3327" s="697"/>
      <c r="K3327" s="684">
        <f t="shared" si="2941"/>
        <v>1</v>
      </c>
      <c r="L3327" s="1913">
        <f t="shared" si="3012"/>
        <v>1</v>
      </c>
      <c r="M3327" s="709">
        <f t="shared" si="3007"/>
        <v>1</v>
      </c>
      <c r="N3327" s="362" t="str">
        <f t="shared" si="2969"/>
        <v/>
      </c>
      <c r="O3327" s="1763" t="str">
        <f t="shared" si="2970"/>
        <v/>
      </c>
      <c r="P3327" s="1764" t="str">
        <f t="shared" si="2971"/>
        <v/>
      </c>
      <c r="Q3327" s="120" t="str">
        <f t="shared" si="2972"/>
        <v/>
      </c>
      <c r="R3327" s="185"/>
    </row>
    <row r="3328" spans="1:18" s="695" customFormat="1" ht="18" customHeight="1">
      <c r="A3328" s="1785"/>
      <c r="B3328" s="1922">
        <v>2</v>
      </c>
      <c r="C3328" s="1848" t="str">
        <f t="shared" si="3009"/>
        <v>Borne 4mm2.</v>
      </c>
      <c r="D3328" s="1886" t="s">
        <v>437</v>
      </c>
      <c r="E3328" s="1795">
        <f t="shared" si="3010"/>
        <v>2.5</v>
      </c>
      <c r="F3328" s="1923">
        <f t="shared" si="3011"/>
        <v>5</v>
      </c>
      <c r="G3328" s="696"/>
      <c r="H3328" s="696"/>
      <c r="I3328" s="696"/>
      <c r="J3328" s="697"/>
      <c r="K3328" s="684">
        <f t="shared" si="2941"/>
        <v>1</v>
      </c>
      <c r="L3328" s="1913">
        <f t="shared" si="3012"/>
        <v>1</v>
      </c>
      <c r="M3328" s="709">
        <f t="shared" si="3007"/>
        <v>2</v>
      </c>
      <c r="N3328" s="362" t="str">
        <f t="shared" si="2969"/>
        <v/>
      </c>
      <c r="O3328" s="1763" t="str">
        <f t="shared" si="2970"/>
        <v/>
      </c>
      <c r="P3328" s="1764" t="str">
        <f t="shared" si="2971"/>
        <v/>
      </c>
      <c r="Q3328" s="120" t="str">
        <f t="shared" si="2972"/>
        <v/>
      </c>
      <c r="R3328" s="185"/>
    </row>
    <row r="3329" spans="1:20" s="185" customFormat="1" ht="18" customHeight="1">
      <c r="A3329" s="1785"/>
      <c r="B3329" s="714"/>
      <c r="C3329" s="1893" t="s">
        <v>729</v>
      </c>
      <c r="D3329" s="173"/>
      <c r="E3329" s="1786"/>
      <c r="F3329" s="1787"/>
      <c r="G3329" s="710"/>
      <c r="H3329" s="710"/>
      <c r="I3329" s="710"/>
      <c r="J3329" s="711"/>
      <c r="K3329" s="684">
        <f t="shared" si="2941"/>
        <v>1</v>
      </c>
      <c r="L3329" s="708">
        <v>1</v>
      </c>
      <c r="M3329" s="709">
        <f t="shared" si="3007"/>
        <v>1</v>
      </c>
      <c r="N3329" s="362" t="str">
        <f t="shared" si="2969"/>
        <v/>
      </c>
      <c r="O3329" s="1763" t="str">
        <f t="shared" si="2970"/>
        <v/>
      </c>
      <c r="P3329" s="1764" t="str">
        <f t="shared" si="2971"/>
        <v/>
      </c>
      <c r="Q3329" s="120" t="str">
        <f t="shared" si="2972"/>
        <v/>
      </c>
    </row>
    <row r="3330" spans="1:20" s="315" customFormat="1" ht="12.75" customHeight="1">
      <c r="A3330" s="2271"/>
      <c r="B3330" s="2272">
        <v>1</v>
      </c>
      <c r="C3330" s="2281" t="s">
        <v>13366</v>
      </c>
      <c r="D3330" s="1935"/>
      <c r="E3330" s="2287"/>
      <c r="F3330" s="2257">
        <f>+SUM(F3331:F3334)*(B3330-1)</f>
        <v>0</v>
      </c>
      <c r="G3330" s="712"/>
      <c r="H3330" s="712"/>
      <c r="I3330" s="712"/>
      <c r="J3330" s="713"/>
      <c r="K3330" s="684">
        <f t="shared" si="2941"/>
        <v>1</v>
      </c>
      <c r="L3330" s="2258">
        <v>1</v>
      </c>
      <c r="M3330" s="120">
        <f t="shared" si="3007"/>
        <v>1</v>
      </c>
      <c r="N3330" s="112" t="str">
        <f t="shared" si="2969"/>
        <v/>
      </c>
      <c r="O3330" s="112" t="str">
        <f t="shared" si="2970"/>
        <v/>
      </c>
      <c r="P3330" s="120" t="str">
        <f t="shared" si="2971"/>
        <v/>
      </c>
      <c r="Q3330" s="120" t="str">
        <f t="shared" si="2972"/>
        <v/>
      </c>
      <c r="S3330" s="112" t="str">
        <f t="shared" ref="S3330:S3335" si="3013">IF(O3330&lt;&gt;"",VLOOKUP(D3330,base_datos,9,FALSE),"")</f>
        <v/>
      </c>
      <c r="T3330" s="2128"/>
    </row>
    <row r="3331" spans="1:20" s="690" customFormat="1" ht="18" customHeight="1">
      <c r="A3331" s="2273"/>
      <c r="B3331" s="1781">
        <v>1</v>
      </c>
      <c r="C3331" s="1420" t="str">
        <f t="shared" ref="C3331:C3334" si="3014">VLOOKUP(D3331,base_datos,6,FALSE)</f>
        <v>Calefactor resistivo 60W, modelo RACM - marca FANDIS.</v>
      </c>
      <c r="D3331" s="1899" t="s">
        <v>3298</v>
      </c>
      <c r="E3331" s="2288">
        <f t="shared" ref="E3331:E3334" si="3015">VLOOKUP(D3331,base_datos,5,FALSE)</f>
        <v>127.1</v>
      </c>
      <c r="F3331" s="1782">
        <f>+E3331*B3331</f>
        <v>127.1</v>
      </c>
      <c r="G3331" s="1761"/>
      <c r="H3331" s="1761"/>
      <c r="I3331" s="1761"/>
      <c r="J3331" s="689"/>
      <c r="K3331" s="684">
        <f t="shared" si="2941"/>
        <v>1</v>
      </c>
      <c r="L3331" s="2258">
        <v>1</v>
      </c>
      <c r="M3331" s="120">
        <f t="shared" si="3007"/>
        <v>1</v>
      </c>
      <c r="N3331" s="112">
        <f t="shared" si="2969"/>
        <v>1</v>
      </c>
      <c r="O3331" s="112" t="str">
        <f t="shared" si="2970"/>
        <v>RACM-60</v>
      </c>
      <c r="P3331" s="120" t="str">
        <f t="shared" si="2971"/>
        <v>Calefactor resistivo 60W, modelo RACM - marca FANDIS.</v>
      </c>
      <c r="Q3331" s="120" t="str">
        <f t="shared" si="2972"/>
        <v>CALEFACT-60W_FAND</v>
      </c>
      <c r="S3331" s="112" t="str">
        <f t="shared" si="3013"/>
        <v>FANDIS</v>
      </c>
      <c r="T3331" s="1765"/>
    </row>
    <row r="3332" spans="1:20" s="690" customFormat="1" ht="18" customHeight="1">
      <c r="A3332" s="2273"/>
      <c r="B3332" s="1781">
        <v>1</v>
      </c>
      <c r="C3332" s="1420" t="str">
        <f t="shared" si="3014"/>
        <v>Termostato para ventilación - 1NA - 230V - marca FANDIS.</v>
      </c>
      <c r="D3332" s="1899" t="s">
        <v>3294</v>
      </c>
      <c r="E3332" s="2288">
        <f t="shared" si="3015"/>
        <v>41.58</v>
      </c>
      <c r="F3332" s="1782">
        <f>+E3332*B3332</f>
        <v>41.58</v>
      </c>
      <c r="G3332" s="1761"/>
      <c r="H3332" s="1761"/>
      <c r="I3332" s="1761"/>
      <c r="J3332" s="689"/>
      <c r="K3332" s="684">
        <f t="shared" si="2941"/>
        <v>1</v>
      </c>
      <c r="L3332" s="2258">
        <v>1</v>
      </c>
      <c r="M3332" s="120">
        <f t="shared" si="3007"/>
        <v>1</v>
      </c>
      <c r="N3332" s="112">
        <f t="shared" si="2969"/>
        <v>1</v>
      </c>
      <c r="O3332" s="112" t="str">
        <f t="shared" si="2970"/>
        <v>TRT-10A230V-NO</v>
      </c>
      <c r="P3332" s="120" t="str">
        <f t="shared" si="2971"/>
        <v>Termostato para ventilación - 1NA - 230V - marca FANDIS.</v>
      </c>
      <c r="Q3332" s="120" t="str">
        <f t="shared" si="2972"/>
        <v>TRT-1NA</v>
      </c>
      <c r="S3332" s="112" t="str">
        <f t="shared" si="3013"/>
        <v>FANDIS</v>
      </c>
      <c r="T3332" s="1765"/>
    </row>
    <row r="3333" spans="1:20" s="320" customFormat="1" ht="12.75" customHeight="1">
      <c r="A3333" s="2274"/>
      <c r="B3333" s="2275">
        <v>1</v>
      </c>
      <c r="C3333" s="2282" t="str">
        <f t="shared" si="3014"/>
        <v>Base portafusibles + Fusibles de protección para control.</v>
      </c>
      <c r="D3333" s="1579" t="s">
        <v>453</v>
      </c>
      <c r="E3333" s="2289">
        <f t="shared" si="3015"/>
        <v>8.1750000000000007</v>
      </c>
      <c r="F3333" s="2264">
        <f>+E3333*B3333</f>
        <v>8.1750000000000007</v>
      </c>
      <c r="G3333" s="2276"/>
      <c r="H3333" s="2276"/>
      <c r="I3333" s="2276"/>
      <c r="J3333" s="722"/>
      <c r="K3333" s="684">
        <f t="shared" si="2941"/>
        <v>1</v>
      </c>
      <c r="L3333" s="2258">
        <v>1</v>
      </c>
      <c r="M3333" s="120">
        <f t="shared" si="3007"/>
        <v>1</v>
      </c>
      <c r="N3333" s="112" t="str">
        <f t="shared" si="2969"/>
        <v/>
      </c>
      <c r="O3333" s="112" t="str">
        <f t="shared" si="2970"/>
        <v/>
      </c>
      <c r="P3333" s="120" t="str">
        <f t="shared" si="2971"/>
        <v/>
      </c>
      <c r="Q3333" s="120" t="str">
        <f t="shared" si="2972"/>
        <v/>
      </c>
      <c r="R3333" s="185"/>
      <c r="S3333" s="112" t="str">
        <f t="shared" si="3013"/>
        <v/>
      </c>
      <c r="T3333" s="709"/>
    </row>
    <row r="3334" spans="1:20" s="320" customFormat="1" ht="12.75" customHeight="1">
      <c r="A3334" s="2274"/>
      <c r="B3334" s="2277">
        <v>1</v>
      </c>
      <c r="C3334" s="2282" t="str">
        <f t="shared" si="3014"/>
        <v>Borne 4mm2.</v>
      </c>
      <c r="D3334" s="1579" t="s">
        <v>437</v>
      </c>
      <c r="E3334" s="2260">
        <f t="shared" si="3015"/>
        <v>2.5</v>
      </c>
      <c r="F3334" s="2260">
        <f>+E3334*B3334</f>
        <v>2.5</v>
      </c>
      <c r="G3334" s="2276"/>
      <c r="H3334" s="2276"/>
      <c r="I3334" s="2276"/>
      <c r="J3334" s="722"/>
      <c r="K3334" s="684">
        <f t="shared" si="2941"/>
        <v>1</v>
      </c>
      <c r="L3334" s="2258">
        <v>1</v>
      </c>
      <c r="M3334" s="120">
        <f t="shared" si="3007"/>
        <v>1</v>
      </c>
      <c r="N3334" s="112" t="str">
        <f t="shared" si="2969"/>
        <v/>
      </c>
      <c r="O3334" s="112" t="str">
        <f t="shared" si="2970"/>
        <v/>
      </c>
      <c r="P3334" s="120" t="str">
        <f t="shared" si="2971"/>
        <v/>
      </c>
      <c r="Q3334" s="120" t="str">
        <f t="shared" si="2972"/>
        <v/>
      </c>
      <c r="R3334" s="185"/>
      <c r="S3334" s="112" t="str">
        <f t="shared" si="3013"/>
        <v/>
      </c>
      <c r="T3334" s="709"/>
    </row>
    <row r="3335" spans="1:20" s="185" customFormat="1" ht="12.75" customHeight="1">
      <c r="A3335" s="2262"/>
      <c r="B3335" s="1760"/>
      <c r="C3335" s="1893" t="s">
        <v>729</v>
      </c>
      <c r="D3335" s="169"/>
      <c r="E3335" s="2256"/>
      <c r="F3335" s="2278"/>
      <c r="G3335" s="710"/>
      <c r="H3335" s="710"/>
      <c r="I3335" s="710"/>
      <c r="J3335" s="711"/>
      <c r="K3335" s="684">
        <f t="shared" si="2941"/>
        <v>1</v>
      </c>
      <c r="L3335" s="2258">
        <v>1</v>
      </c>
      <c r="M3335" s="120">
        <f t="shared" si="3007"/>
        <v>1</v>
      </c>
      <c r="N3335" s="112" t="str">
        <f t="shared" si="2969"/>
        <v/>
      </c>
      <c r="O3335" s="112" t="str">
        <f t="shared" si="2970"/>
        <v/>
      </c>
      <c r="P3335" s="120" t="str">
        <f t="shared" si="2971"/>
        <v/>
      </c>
      <c r="Q3335" s="120" t="str">
        <f t="shared" si="2972"/>
        <v/>
      </c>
      <c r="S3335" s="112" t="str">
        <f t="shared" si="3013"/>
        <v/>
      </c>
      <c r="T3335" s="118"/>
    </row>
    <row r="3336" spans="1:20" s="1236" customFormat="1" ht="18" customHeight="1">
      <c r="A3336" s="1767"/>
      <c r="B3336" s="1853">
        <v>1</v>
      </c>
      <c r="C3336" s="1895" t="s">
        <v>12364</v>
      </c>
      <c r="D3336" s="1902"/>
      <c r="E3336" s="1792"/>
      <c r="F3336" s="1793"/>
      <c r="G3336" s="1784"/>
      <c r="H3336" s="1784"/>
      <c r="I3336" s="1784"/>
      <c r="J3336" s="1182"/>
      <c r="K3336" s="684">
        <f t="shared" si="2941"/>
        <v>1</v>
      </c>
      <c r="L3336" s="708">
        <v>1</v>
      </c>
      <c r="M3336" s="684">
        <f t="shared" si="2942"/>
        <v>1</v>
      </c>
      <c r="N3336" s="362" t="str">
        <f t="shared" si="2969"/>
        <v/>
      </c>
      <c r="O3336" s="1763" t="str">
        <f t="shared" si="2970"/>
        <v/>
      </c>
      <c r="P3336" s="1764" t="str">
        <f t="shared" si="2971"/>
        <v/>
      </c>
      <c r="Q3336" s="120" t="str">
        <f t="shared" si="2972"/>
        <v/>
      </c>
      <c r="R3336" s="185"/>
    </row>
    <row r="3337" spans="1:20" s="695" customFormat="1" ht="18" customHeight="1">
      <c r="A3337" s="693"/>
      <c r="B3337" s="1922">
        <v>1</v>
      </c>
      <c r="C3337" s="1848" t="str">
        <f t="shared" ref="C3337" si="3016">VLOOKUP(D3337,base_datos,6,FALSE)</f>
        <v>Placa lamicoid rotulación de 3mm de espesor, fondo negro y letras blancas.</v>
      </c>
      <c r="D3337" s="1886" t="s">
        <v>8570</v>
      </c>
      <c r="E3337" s="1795">
        <f t="shared" ref="E3337" si="3017">VLOOKUP(D3337,base_datos,5,FALSE)</f>
        <v>2.2000000000000002</v>
      </c>
      <c r="F3337" s="1796">
        <f t="shared" ref="F3337" si="3018">+E3337*B3337</f>
        <v>2.2000000000000002</v>
      </c>
      <c r="G3337" s="696"/>
      <c r="H3337" s="696"/>
      <c r="I3337" s="696"/>
      <c r="J3337" s="697"/>
      <c r="K3337" s="684">
        <f t="shared" si="2941"/>
        <v>1</v>
      </c>
      <c r="L3337" s="708">
        <v>1</v>
      </c>
      <c r="M3337" s="684">
        <f t="shared" si="2942"/>
        <v>1</v>
      </c>
      <c r="N3337" s="362">
        <f t="shared" si="2969"/>
        <v>1</v>
      </c>
      <c r="O3337" s="1763" t="str">
        <f t="shared" si="2970"/>
        <v>Placa lamicoid p/distr.</v>
      </c>
      <c r="P3337" s="1764" t="str">
        <f t="shared" si="2971"/>
        <v>Placa lamicoid rotulación de 3mm de espesor, fondo negro y letras blancas.</v>
      </c>
      <c r="Q3337" s="120" t="str">
        <f t="shared" si="2972"/>
        <v>Placa lamicoid p/distr.</v>
      </c>
      <c r="R3337" s="185"/>
    </row>
    <row r="3338" spans="1:20" s="1236" customFormat="1" ht="18" customHeight="1">
      <c r="A3338" s="1767"/>
      <c r="B3338" s="1853">
        <v>1</v>
      </c>
      <c r="C3338" s="1895" t="s">
        <v>12474</v>
      </c>
      <c r="D3338" s="1902"/>
      <c r="E3338" s="1792"/>
      <c r="F3338" s="1793"/>
      <c r="G3338" s="1784"/>
      <c r="H3338" s="1784"/>
      <c r="I3338" s="1784"/>
      <c r="J3338" s="1182"/>
      <c r="K3338" s="684">
        <f t="shared" si="2941"/>
        <v>1</v>
      </c>
      <c r="L3338" s="708">
        <v>1</v>
      </c>
      <c r="M3338" s="709">
        <f t="shared" si="2942"/>
        <v>1</v>
      </c>
      <c r="N3338" s="362" t="str">
        <f t="shared" si="2969"/>
        <v/>
      </c>
      <c r="O3338" s="1763" t="str">
        <f t="shared" si="2970"/>
        <v/>
      </c>
      <c r="P3338" s="1764" t="str">
        <f t="shared" si="2971"/>
        <v/>
      </c>
      <c r="Q3338" s="120" t="str">
        <f t="shared" si="2972"/>
        <v/>
      </c>
      <c r="R3338" s="185"/>
    </row>
    <row r="3339" spans="1:20" s="1236" customFormat="1" ht="18" customHeight="1">
      <c r="A3339" s="1767"/>
      <c r="B3339" s="1853">
        <v>1</v>
      </c>
      <c r="C3339" s="1848" t="str">
        <f>VLOOKUP(D3339,base_datos,6,FALSE)</f>
        <v>Embalaje especial completamente cerrado para tablero adosado de 1600x600x220mm</v>
      </c>
      <c r="D3339" s="1902" t="s">
        <v>12453</v>
      </c>
      <c r="E3339" s="1795">
        <f t="shared" ref="E3339" si="3019">VLOOKUP(D3339,base_datos,5,FALSE)</f>
        <v>271.40000000000003</v>
      </c>
      <c r="F3339" s="1796">
        <f t="shared" ref="F3339" si="3020">+E3339*B3339</f>
        <v>271.40000000000003</v>
      </c>
      <c r="G3339" s="1784"/>
      <c r="H3339" s="1784"/>
      <c r="I3339" s="1784"/>
      <c r="J3339" s="1182"/>
      <c r="K3339" s="684">
        <f t="shared" si="2941"/>
        <v>1</v>
      </c>
      <c r="L3339" s="708">
        <v>1</v>
      </c>
      <c r="M3339" s="709">
        <f t="shared" si="2942"/>
        <v>1</v>
      </c>
      <c r="N3339" s="362">
        <f t="shared" si="2969"/>
        <v>1</v>
      </c>
      <c r="O3339" s="1763" t="str">
        <f t="shared" si="2970"/>
        <v>EMBAL_ADOS_1600x600x220mm</v>
      </c>
      <c r="P3339" s="1764" t="str">
        <f t="shared" si="2971"/>
        <v>Embalaje especial completamente cerrado para tablero adosado de 1600x600x220mm</v>
      </c>
      <c r="Q3339" s="120" t="str">
        <f t="shared" si="2972"/>
        <v>EMBAL_ADOS_1600x600x220mm</v>
      </c>
      <c r="R3339" s="185"/>
    </row>
    <row r="3340" spans="1:20" s="185" customFormat="1" ht="18" customHeight="1">
      <c r="A3340" s="1785"/>
      <c r="B3340" s="714"/>
      <c r="C3340" s="1893" t="s">
        <v>729</v>
      </c>
      <c r="D3340" s="173"/>
      <c r="E3340" s="1786"/>
      <c r="F3340" s="1787"/>
      <c r="G3340" s="710"/>
      <c r="H3340" s="710"/>
      <c r="I3340" s="710"/>
      <c r="J3340" s="711"/>
      <c r="K3340" s="684">
        <f t="shared" si="2941"/>
        <v>1</v>
      </c>
      <c r="L3340" s="708">
        <v>1</v>
      </c>
      <c r="M3340" s="684">
        <f t="shared" si="2942"/>
        <v>1</v>
      </c>
      <c r="N3340" s="362" t="str">
        <f t="shared" si="2969"/>
        <v/>
      </c>
      <c r="O3340" s="1763" t="str">
        <f t="shared" si="2970"/>
        <v/>
      </c>
      <c r="P3340" s="1764" t="str">
        <f t="shared" si="2971"/>
        <v/>
      </c>
      <c r="Q3340" s="120" t="str">
        <f t="shared" si="2972"/>
        <v/>
      </c>
    </row>
    <row r="3341" spans="1:20" s="695" customFormat="1" ht="18" customHeight="1">
      <c r="A3341" s="693"/>
      <c r="B3341" s="1794">
        <v>1</v>
      </c>
      <c r="C3341" s="1420" t="str">
        <f t="shared" ref="C3341" si="3021">VLOOKUP(D3341,base_datos,6,FALSE)</f>
        <v>Barra a tierra.</v>
      </c>
      <c r="D3341" s="1790" t="s">
        <v>8299</v>
      </c>
      <c r="E3341" s="1795">
        <f t="shared" ref="E3341" si="3022">VLOOKUP(D3341,base_datos,5,FALSE)</f>
        <v>10</v>
      </c>
      <c r="F3341" s="1796">
        <f t="shared" ref="F3341:F3347" si="3023">+E3341*B3341</f>
        <v>10</v>
      </c>
      <c r="G3341" s="696"/>
      <c r="H3341" s="696"/>
      <c r="I3341" s="696"/>
      <c r="J3341" s="697"/>
      <c r="K3341" s="684">
        <f t="shared" si="2941"/>
        <v>1</v>
      </c>
      <c r="L3341" s="708">
        <v>1</v>
      </c>
      <c r="M3341" s="684">
        <f t="shared" si="2942"/>
        <v>1</v>
      </c>
      <c r="N3341" s="362" t="str">
        <f t="shared" si="2969"/>
        <v/>
      </c>
      <c r="O3341" s="1763" t="str">
        <f t="shared" si="2970"/>
        <v/>
      </c>
      <c r="P3341" s="1764" t="str">
        <f t="shared" si="2971"/>
        <v/>
      </c>
      <c r="Q3341" s="120" t="str">
        <f t="shared" si="2972"/>
        <v/>
      </c>
      <c r="R3341" s="185"/>
    </row>
    <row r="3342" spans="1:20" s="185" customFormat="1" ht="18" customHeight="1">
      <c r="A3342" s="1785"/>
      <c r="B3342" s="714"/>
      <c r="C3342" s="1893" t="s">
        <v>729</v>
      </c>
      <c r="D3342" s="173"/>
      <c r="E3342" s="1786"/>
      <c r="F3342" s="1787"/>
      <c r="G3342" s="710"/>
      <c r="H3342" s="710"/>
      <c r="I3342" s="710"/>
      <c r="J3342" s="711"/>
      <c r="K3342" s="684">
        <f t="shared" si="2941"/>
        <v>1</v>
      </c>
      <c r="L3342" s="708">
        <v>1</v>
      </c>
      <c r="M3342" s="684">
        <f t="shared" ref="M3342" si="3024">IF(B3342="",1,B3342)</f>
        <v>1</v>
      </c>
      <c r="N3342" s="362" t="str">
        <f t="shared" si="2969"/>
        <v/>
      </c>
      <c r="O3342" s="1763" t="str">
        <f t="shared" si="2970"/>
        <v/>
      </c>
      <c r="P3342" s="1764" t="str">
        <f t="shared" si="2971"/>
        <v/>
      </c>
      <c r="Q3342" s="120" t="str">
        <f t="shared" si="2972"/>
        <v/>
      </c>
    </row>
    <row r="3343" spans="1:20" s="897" customFormat="1" ht="18" customHeight="1">
      <c r="A3343" s="693"/>
      <c r="B3343" s="895">
        <v>20</v>
      </c>
      <c r="C3343" s="721" t="str">
        <f>VLOOKUP(D3343,base_datos,6,FALSE)</f>
        <v>Rotulado por circuito.</v>
      </c>
      <c r="D3343" s="1579" t="s">
        <v>3067</v>
      </c>
      <c r="E3343" s="1580">
        <f>VLOOKUP(D3343,base_datos,5,FALSE)</f>
        <v>0.7</v>
      </c>
      <c r="F3343" s="1581">
        <f t="shared" si="3023"/>
        <v>14</v>
      </c>
      <c r="G3343" s="1772"/>
      <c r="H3343" s="1772"/>
      <c r="I3343" s="1772"/>
      <c r="J3343" s="896"/>
      <c r="K3343" s="684">
        <f t="shared" si="2941"/>
        <v>1</v>
      </c>
      <c r="L3343" s="708">
        <v>1</v>
      </c>
      <c r="M3343" s="684">
        <f t="shared" si="2942"/>
        <v>20</v>
      </c>
      <c r="N3343" s="362" t="str">
        <f t="shared" si="2969"/>
        <v/>
      </c>
      <c r="O3343" s="1763" t="str">
        <f t="shared" si="2970"/>
        <v/>
      </c>
      <c r="P3343" s="1764" t="str">
        <f t="shared" si="2971"/>
        <v/>
      </c>
      <c r="Q3343" s="120" t="str">
        <f t="shared" si="2972"/>
        <v/>
      </c>
    </row>
    <row r="3344" spans="1:20" s="897" customFormat="1" ht="18" customHeight="1">
      <c r="A3344" s="693"/>
      <c r="B3344" s="895">
        <v>1</v>
      </c>
      <c r="C3344" s="721" t="str">
        <f>VLOOKUP(D3344,base_datos,6,FALSE)</f>
        <v>Rotulado para TAG - tablero de distribución.</v>
      </c>
      <c r="D3344" s="1579" t="s">
        <v>3066</v>
      </c>
      <c r="E3344" s="1580">
        <f>VLOOKUP(D3344,base_datos,5,FALSE)</f>
        <v>1.5</v>
      </c>
      <c r="F3344" s="1581">
        <f t="shared" si="3023"/>
        <v>1.5</v>
      </c>
      <c r="G3344" s="1772"/>
      <c r="H3344" s="1772"/>
      <c r="I3344" s="1772"/>
      <c r="J3344" s="896"/>
      <c r="K3344" s="684">
        <f t="shared" si="2941"/>
        <v>1</v>
      </c>
      <c r="L3344" s="708">
        <v>1</v>
      </c>
      <c r="M3344" s="684">
        <f t="shared" si="2942"/>
        <v>1</v>
      </c>
      <c r="N3344" s="362" t="str">
        <f t="shared" si="2969"/>
        <v/>
      </c>
      <c r="O3344" s="1763" t="str">
        <f t="shared" si="2970"/>
        <v/>
      </c>
      <c r="P3344" s="1764" t="str">
        <f t="shared" si="2971"/>
        <v/>
      </c>
      <c r="Q3344" s="120" t="str">
        <f t="shared" si="2972"/>
        <v/>
      </c>
    </row>
    <row r="3345" spans="1:18" s="1237" customFormat="1" ht="18" customHeight="1">
      <c r="A3345" s="1767"/>
      <c r="B3345" s="2093">
        <v>1</v>
      </c>
      <c r="C3345" s="694" t="s">
        <v>12552</v>
      </c>
      <c r="D3345" s="1888"/>
      <c r="E3345" s="1580">
        <f>E3347*15%</f>
        <v>30</v>
      </c>
      <c r="F3345" s="1581">
        <f t="shared" si="3023"/>
        <v>30</v>
      </c>
      <c r="G3345" s="1774"/>
      <c r="H3345" s="1774"/>
      <c r="I3345" s="1774"/>
      <c r="J3345" s="1181"/>
      <c r="K3345" s="684">
        <f t="shared" si="2941"/>
        <v>1</v>
      </c>
      <c r="L3345" s="708">
        <v>1</v>
      </c>
      <c r="M3345" s="709">
        <f t="shared" si="2942"/>
        <v>1</v>
      </c>
      <c r="N3345" s="362" t="str">
        <f t="shared" si="2969"/>
        <v/>
      </c>
      <c r="O3345" s="1763" t="str">
        <f t="shared" si="2970"/>
        <v/>
      </c>
      <c r="P3345" s="1764" t="str">
        <f t="shared" si="2971"/>
        <v/>
      </c>
      <c r="Q3345" s="120" t="str">
        <f t="shared" si="2972"/>
        <v/>
      </c>
      <c r="R3345" s="1765"/>
    </row>
    <row r="3346" spans="1:18" s="1237" customFormat="1" ht="18" customHeight="1">
      <c r="A3346" s="1767"/>
      <c r="B3346" s="1773">
        <v>1</v>
      </c>
      <c r="C3346" s="694" t="s">
        <v>12559</v>
      </c>
      <c r="D3346" s="1888"/>
      <c r="E3346" s="1999">
        <f>E3347*20%</f>
        <v>40</v>
      </c>
      <c r="F3346" s="1581">
        <f t="shared" si="3023"/>
        <v>40</v>
      </c>
      <c r="G3346" s="1774"/>
      <c r="H3346" s="1774"/>
      <c r="I3346" s="1774"/>
      <c r="J3346" s="1181"/>
      <c r="K3346" s="684">
        <f t="shared" si="2941"/>
        <v>1</v>
      </c>
      <c r="L3346" s="708">
        <v>1</v>
      </c>
      <c r="M3346" s="709">
        <f t="shared" si="2942"/>
        <v>1</v>
      </c>
      <c r="N3346" s="362" t="str">
        <f t="shared" si="2969"/>
        <v/>
      </c>
      <c r="O3346" s="1763" t="str">
        <f t="shared" si="2970"/>
        <v/>
      </c>
      <c r="P3346" s="1764" t="str">
        <f t="shared" si="2971"/>
        <v/>
      </c>
      <c r="Q3346" s="120" t="str">
        <f t="shared" si="2972"/>
        <v/>
      </c>
      <c r="R3346" s="1765"/>
    </row>
    <row r="3347" spans="1:18" s="1237" customFormat="1" ht="18" customHeight="1">
      <c r="A3347" s="1767"/>
      <c r="B3347" s="1773">
        <v>1</v>
      </c>
      <c r="C3347" s="694" t="s">
        <v>12506</v>
      </c>
      <c r="D3347" s="1888"/>
      <c r="E3347" s="1581">
        <v>200</v>
      </c>
      <c r="F3347" s="1581">
        <f t="shared" si="3023"/>
        <v>200</v>
      </c>
      <c r="G3347" s="1774"/>
      <c r="H3347" s="1774"/>
      <c r="I3347" s="1774"/>
      <c r="J3347" s="1181"/>
      <c r="K3347" s="684">
        <f t="shared" si="2941"/>
        <v>1</v>
      </c>
      <c r="L3347" s="708">
        <v>1</v>
      </c>
      <c r="M3347" s="684">
        <f t="shared" si="2942"/>
        <v>1</v>
      </c>
      <c r="N3347" s="362" t="str">
        <f t="shared" si="2969"/>
        <v/>
      </c>
      <c r="O3347" s="1763" t="str">
        <f t="shared" si="2970"/>
        <v/>
      </c>
      <c r="P3347" s="1764" t="str">
        <f t="shared" si="2971"/>
        <v/>
      </c>
      <c r="Q3347" s="120" t="str">
        <f t="shared" si="2972"/>
        <v/>
      </c>
      <c r="R3347" s="1765"/>
    </row>
    <row r="3348" spans="1:18" s="120" customFormat="1" ht="18" customHeight="1" thickBot="1">
      <c r="A3348" s="1855"/>
      <c r="B3348" s="1854"/>
      <c r="C3348" s="1797"/>
      <c r="D3348" s="1889"/>
      <c r="E3348" s="1981"/>
      <c r="F3348" s="1981"/>
      <c r="G3348" s="1798"/>
      <c r="H3348" s="1798"/>
      <c r="I3348" s="1798"/>
      <c r="J3348" s="1799"/>
      <c r="K3348" s="1788"/>
      <c r="L3348" s="363"/>
      <c r="M3348" s="684"/>
      <c r="N3348" s="362" t="str">
        <f t="shared" si="2969"/>
        <v/>
      </c>
      <c r="O3348" s="1763" t="str">
        <f t="shared" si="2970"/>
        <v/>
      </c>
      <c r="P3348" s="1764" t="str">
        <f t="shared" si="2971"/>
        <v/>
      </c>
      <c r="Q3348" s="120" t="str">
        <f t="shared" si="2972"/>
        <v/>
      </c>
      <c r="R3348" s="185"/>
    </row>
    <row r="3349" spans="1:18" s="120" customFormat="1" ht="18" customHeight="1" thickBot="1">
      <c r="A3349" s="1989">
        <v>53</v>
      </c>
      <c r="B3349" s="1852">
        <v>1</v>
      </c>
      <c r="C3349" s="1756" t="s">
        <v>12614</v>
      </c>
      <c r="D3349" s="1588"/>
      <c r="E3349" s="1589"/>
      <c r="F3349" s="1589"/>
      <c r="G3349" s="1757">
        <f>SUM(F3350:F3396)</f>
        <v>1611.075</v>
      </c>
      <c r="H3349" s="1758">
        <f>G3349*(1-$D$6)</f>
        <v>1611.075</v>
      </c>
      <c r="I3349" s="1757">
        <f>ROUNDUP(H3349*$D$5,0)</f>
        <v>5478</v>
      </c>
      <c r="J3349" s="1759">
        <f>+I3349*B3349</f>
        <v>5478</v>
      </c>
      <c r="K3349" s="1788">
        <f>B3349</f>
        <v>1</v>
      </c>
      <c r="L3349" s="363"/>
      <c r="M3349" s="684"/>
      <c r="N3349" s="362" t="str">
        <f t="shared" ref="N3349:N3362" si="3025">IF(O3349&lt;&gt;"",K3349*L3349*M3349,"")</f>
        <v/>
      </c>
      <c r="O3349" s="1763" t="str">
        <f t="shared" ref="O3349:O3362" si="3026">IF(D3349&lt;&gt;"",IF(VLOOKUP(D3349,base_datos,7,FALSE)&lt;&gt;"",VLOOKUP(D3349,base_datos,7,FALSE),""),"")</f>
        <v/>
      </c>
      <c r="P3349" s="1764" t="str">
        <f t="shared" ref="P3349:P3362" si="3027">IF(O3349&lt;&gt;"",VLOOKUP(D3349,base_datos,6,FALSE),"")</f>
        <v/>
      </c>
      <c r="Q3349" s="120" t="str">
        <f t="shared" ref="Q3349:Q3362" si="3028">IF(O3349&lt;&gt;"",D3349,"")</f>
        <v/>
      </c>
      <c r="R3349" s="185"/>
    </row>
    <row r="3350" spans="1:18" s="120" customFormat="1" ht="18" customHeight="1">
      <c r="A3350" s="685" t="s">
        <v>3064</v>
      </c>
      <c r="B3350" s="1903"/>
      <c r="C3350" s="1890"/>
      <c r="D3350" s="1904"/>
      <c r="E3350" s="1789"/>
      <c r="F3350" s="1780"/>
      <c r="G3350" s="686"/>
      <c r="H3350" s="710"/>
      <c r="I3350" s="686"/>
      <c r="J3350" s="1768"/>
      <c r="K3350" s="684">
        <f t="shared" ref="K3350:K3396" si="3029">+K3349</f>
        <v>1</v>
      </c>
      <c r="L3350" s="363">
        <v>1</v>
      </c>
      <c r="M3350" s="709">
        <f t="shared" ref="M3350:M3396" si="3030">IF(B3350="",1,B3350)</f>
        <v>1</v>
      </c>
      <c r="N3350" s="362" t="str">
        <f t="shared" si="3025"/>
        <v/>
      </c>
      <c r="O3350" s="1763" t="str">
        <f t="shared" si="3026"/>
        <v/>
      </c>
      <c r="P3350" s="1764" t="str">
        <f t="shared" si="3027"/>
        <v/>
      </c>
      <c r="Q3350" s="120" t="str">
        <f t="shared" si="3028"/>
        <v/>
      </c>
    </row>
    <row r="3351" spans="1:18" s="315" customFormat="1" ht="12" customHeight="1">
      <c r="A3351" s="687" t="s">
        <v>4021</v>
      </c>
      <c r="B3351" s="2096">
        <v>1</v>
      </c>
      <c r="C3351" s="1907" t="s">
        <v>5103</v>
      </c>
      <c r="D3351" s="1935"/>
      <c r="E3351" s="1786"/>
      <c r="F3351" s="1908">
        <f>SUM(F3353:F3357)*(B3351-1)</f>
        <v>0</v>
      </c>
      <c r="G3351" s="712"/>
      <c r="H3351" s="712"/>
      <c r="I3351" s="712"/>
      <c r="J3351" s="713"/>
      <c r="K3351" s="684">
        <f t="shared" si="3029"/>
        <v>1</v>
      </c>
      <c r="L3351" s="1909">
        <f>B3351</f>
        <v>1</v>
      </c>
      <c r="M3351" s="684">
        <f t="shared" si="3030"/>
        <v>1</v>
      </c>
      <c r="N3351" s="362" t="str">
        <f t="shared" si="3025"/>
        <v/>
      </c>
      <c r="O3351" s="1763" t="str">
        <f t="shared" si="3026"/>
        <v/>
      </c>
      <c r="P3351" s="1764" t="str">
        <f t="shared" si="3027"/>
        <v/>
      </c>
      <c r="Q3351" s="120" t="str">
        <f t="shared" si="3028"/>
        <v/>
      </c>
    </row>
    <row r="3352" spans="1:18" s="185" customFormat="1">
      <c r="A3352" s="687" t="s">
        <v>4136</v>
      </c>
      <c r="B3352" s="1910">
        <v>3</v>
      </c>
      <c r="C3352" s="1911" t="str">
        <f>VLOOKUP(D3352,base_datos,6,FALSE)</f>
        <v>Portalámpara + lampara tipo LED - color Rojo - alimentacion: 220-230Vac, d=22mm. - CL2-523R - línea compacta - marca ABB.</v>
      </c>
      <c r="D3352" s="1790" t="s">
        <v>2439</v>
      </c>
      <c r="E3352" s="1939">
        <f>VLOOKUP(D3352,base_datos,5,FALSE)</f>
        <v>12.299999999999999</v>
      </c>
      <c r="F3352" s="1912">
        <f>+E3352*B3352</f>
        <v>36.9</v>
      </c>
      <c r="G3352" s="710"/>
      <c r="H3352" s="710"/>
      <c r="I3352" s="710"/>
      <c r="J3352" s="711"/>
      <c r="K3352" s="684">
        <f>+K3350</f>
        <v>1</v>
      </c>
      <c r="L3352" s="1913">
        <f>L3350</f>
        <v>1</v>
      </c>
      <c r="M3352" s="684">
        <f t="shared" si="3030"/>
        <v>3</v>
      </c>
      <c r="N3352" s="362">
        <f t="shared" si="3025"/>
        <v>3</v>
      </c>
      <c r="O3352" s="1763" t="str">
        <f t="shared" si="3026"/>
        <v>1SFA619403R5231</v>
      </c>
      <c r="P3352" s="1764" t="str">
        <f t="shared" si="3027"/>
        <v>Portalámpara + lampara tipo LED - color Rojo - alimentacion: 220-230Vac, d=22mm. - CL2-523R - línea compacta - marca ABB.</v>
      </c>
      <c r="Q3352" s="120" t="str">
        <f t="shared" si="3028"/>
        <v>LAMP_ROJO_220V</v>
      </c>
    </row>
    <row r="3353" spans="1:18" s="185" customFormat="1">
      <c r="A3353" s="687"/>
      <c r="B3353" s="1910">
        <v>3</v>
      </c>
      <c r="C3353" s="1911" t="str">
        <f>VLOOKUP(D3353,base_datos,6,FALSE)</f>
        <v>Portalámpara + lampara tipo LED - color Verde - alimentacion: 220-230Vac, d=22mm. - CL2-523G - línea compacta - marca ABB.</v>
      </c>
      <c r="D3353" s="1790" t="s">
        <v>2440</v>
      </c>
      <c r="E3353" s="1939">
        <f>VLOOKUP(D3353,base_datos,5,FALSE)</f>
        <v>12.299999999999999</v>
      </c>
      <c r="F3353" s="1912">
        <f>+E3353*B3353</f>
        <v>36.9</v>
      </c>
      <c r="G3353" s="710"/>
      <c r="H3353" s="710"/>
      <c r="I3353" s="710"/>
      <c r="J3353" s="711"/>
      <c r="K3353" s="684">
        <f>+K3351</f>
        <v>1</v>
      </c>
      <c r="L3353" s="1913">
        <f>L3351</f>
        <v>1</v>
      </c>
      <c r="M3353" s="684">
        <f t="shared" si="3030"/>
        <v>3</v>
      </c>
      <c r="N3353" s="362">
        <f t="shared" si="3025"/>
        <v>3</v>
      </c>
      <c r="O3353" s="1763" t="str">
        <f t="shared" si="3026"/>
        <v>1SFA619403R5232</v>
      </c>
      <c r="P3353" s="1764" t="str">
        <f t="shared" si="3027"/>
        <v>Portalámpara + lampara tipo LED - color Verde - alimentacion: 220-230Vac, d=22mm. - CL2-523G - línea compacta - marca ABB.</v>
      </c>
      <c r="Q3353" s="120" t="str">
        <f t="shared" si="3028"/>
        <v>LAMP_VERDE_220V</v>
      </c>
    </row>
    <row r="3354" spans="1:18" s="1921" customFormat="1">
      <c r="A3354" s="687" t="s">
        <v>12356</v>
      </c>
      <c r="B3354" s="1914">
        <v>1</v>
      </c>
      <c r="C3354" s="1915" t="s">
        <v>3366</v>
      </c>
      <c r="D3354" s="1916"/>
      <c r="E3354" s="1917"/>
      <c r="F3354" s="1918"/>
      <c r="G3354" s="1919"/>
      <c r="H3354" s="1919"/>
      <c r="I3354" s="1919"/>
      <c r="J3354" s="1920"/>
      <c r="K3354" s="684">
        <f t="shared" si="3029"/>
        <v>1</v>
      </c>
      <c r="L3354" s="1913">
        <f>L3353</f>
        <v>1</v>
      </c>
      <c r="M3354" s="684">
        <f t="shared" si="3030"/>
        <v>1</v>
      </c>
      <c r="N3354" s="362" t="str">
        <f t="shared" si="3025"/>
        <v/>
      </c>
      <c r="O3354" s="1763" t="str">
        <f t="shared" si="3026"/>
        <v/>
      </c>
      <c r="P3354" s="1764" t="str">
        <f t="shared" si="3027"/>
        <v/>
      </c>
      <c r="Q3354" s="120" t="str">
        <f t="shared" si="3028"/>
        <v/>
      </c>
    </row>
    <row r="3355" spans="1:18" s="320" customFormat="1">
      <c r="A3355" s="687" t="s">
        <v>12507</v>
      </c>
      <c r="B3355" s="1922">
        <v>1</v>
      </c>
      <c r="C3355" s="721" t="str">
        <f>VLOOKUP(D3355,base_datos,6,FALSE)</f>
        <v>Rele auxiliar enchufable +4NA/NC (D2PR4B + base D2PA6), 220Vac - marca EATON.</v>
      </c>
      <c r="D3355" s="1579" t="s">
        <v>772</v>
      </c>
      <c r="E3355" s="1581">
        <f>VLOOKUP(D3355,base_datos,5,FALSE)</f>
        <v>27</v>
      </c>
      <c r="F3355" s="1923">
        <f>+E3355*B3355</f>
        <v>27</v>
      </c>
      <c r="G3355" s="1924"/>
      <c r="H3355" s="1924"/>
      <c r="I3355" s="1924"/>
      <c r="J3355" s="722"/>
      <c r="K3355" s="684">
        <f t="shared" si="3029"/>
        <v>1</v>
      </c>
      <c r="L3355" s="1913">
        <f>L3352</f>
        <v>1</v>
      </c>
      <c r="M3355" s="684">
        <f t="shared" si="3030"/>
        <v>1</v>
      </c>
      <c r="N3355" s="362">
        <f t="shared" si="3025"/>
        <v>1</v>
      </c>
      <c r="O3355" s="1763" t="str">
        <f t="shared" si="3026"/>
        <v>D2PR4B+D2PA6</v>
      </c>
      <c r="P3355" s="1764" t="str">
        <f t="shared" si="3027"/>
        <v>Rele auxiliar enchufable +4NA/NC (D2PR4B + base D2PA6), 220Vac - marca EATON.</v>
      </c>
      <c r="Q3355" s="120" t="str">
        <f t="shared" si="3028"/>
        <v>D2PR4B+D2PA6</v>
      </c>
    </row>
    <row r="3356" spans="1:18" s="320" customFormat="1">
      <c r="A3356" s="1767"/>
      <c r="B3356" s="2131">
        <v>1</v>
      </c>
      <c r="C3356" s="2132" t="s">
        <v>12558</v>
      </c>
      <c r="D3356" s="2133"/>
      <c r="E3356" s="2134">
        <v>32</v>
      </c>
      <c r="F3356" s="2134">
        <f>+E3356*B3356</f>
        <v>32</v>
      </c>
      <c r="G3356" s="1924"/>
      <c r="H3356" s="1924"/>
      <c r="I3356" s="1924"/>
      <c r="J3356" s="722"/>
      <c r="K3356" s="684">
        <f t="shared" si="3029"/>
        <v>1</v>
      </c>
      <c r="L3356" s="1913">
        <f>L3353</f>
        <v>1</v>
      </c>
      <c r="M3356" s="684">
        <f t="shared" si="3030"/>
        <v>1</v>
      </c>
      <c r="N3356" s="362" t="str">
        <f t="shared" si="3025"/>
        <v/>
      </c>
      <c r="O3356" s="1763" t="str">
        <f t="shared" si="3026"/>
        <v/>
      </c>
      <c r="P3356" s="1764" t="str">
        <f t="shared" si="3027"/>
        <v/>
      </c>
      <c r="Q3356" s="120" t="str">
        <f t="shared" si="3028"/>
        <v/>
      </c>
    </row>
    <row r="3357" spans="1:18" s="320" customFormat="1">
      <c r="A3357" s="687" t="s">
        <v>12551</v>
      </c>
      <c r="B3357" s="1922">
        <v>4</v>
      </c>
      <c r="C3357" s="721" t="str">
        <f>VLOOKUP(D3357,base_datos,6,FALSE)</f>
        <v>Base portafusibles + Fusibles de protección para control.</v>
      </c>
      <c r="D3357" s="1579" t="s">
        <v>453</v>
      </c>
      <c r="E3357" s="1581">
        <f>VLOOKUP(D3357,base_datos,5,FALSE)</f>
        <v>8.1750000000000007</v>
      </c>
      <c r="F3357" s="1923">
        <f>+E3357*B3357</f>
        <v>32.700000000000003</v>
      </c>
      <c r="G3357" s="1924"/>
      <c r="H3357" s="1924"/>
      <c r="I3357" s="1924"/>
      <c r="J3357" s="722"/>
      <c r="K3357" s="684">
        <f t="shared" si="3029"/>
        <v>1</v>
      </c>
      <c r="L3357" s="1913">
        <f>L3354</f>
        <v>1</v>
      </c>
      <c r="M3357" s="684">
        <f t="shared" si="3030"/>
        <v>4</v>
      </c>
      <c r="N3357" s="362" t="str">
        <f t="shared" si="3025"/>
        <v/>
      </c>
      <c r="O3357" s="1763" t="str">
        <f t="shared" si="3026"/>
        <v/>
      </c>
      <c r="P3357" s="1764" t="str">
        <f t="shared" si="3027"/>
        <v/>
      </c>
      <c r="Q3357" s="120" t="str">
        <f t="shared" si="3028"/>
        <v/>
      </c>
    </row>
    <row r="3358" spans="1:18" s="315" customFormat="1">
      <c r="A3358" s="687" t="s">
        <v>3542</v>
      </c>
      <c r="B3358" s="1906"/>
      <c r="C3358" s="1907"/>
      <c r="D3358" s="1935"/>
      <c r="E3358" s="1786"/>
      <c r="F3358" s="1782"/>
      <c r="G3358" s="712"/>
      <c r="H3358" s="712"/>
      <c r="I3358" s="712"/>
      <c r="J3358" s="713"/>
      <c r="K3358" s="684">
        <f t="shared" si="3029"/>
        <v>1</v>
      </c>
      <c r="L3358" s="1909">
        <f>B3358</f>
        <v>0</v>
      </c>
      <c r="M3358" s="684">
        <f t="shared" si="3030"/>
        <v>1</v>
      </c>
      <c r="N3358" s="362" t="str">
        <f t="shared" si="3025"/>
        <v/>
      </c>
      <c r="O3358" s="1763" t="str">
        <f t="shared" si="3026"/>
        <v/>
      </c>
      <c r="P3358" s="1764" t="str">
        <f t="shared" si="3027"/>
        <v/>
      </c>
      <c r="Q3358" s="120" t="str">
        <f t="shared" si="3028"/>
        <v/>
      </c>
    </row>
    <row r="3359" spans="1:18" s="120" customFormat="1" ht="18" customHeight="1">
      <c r="A3359" s="2073"/>
      <c r="B3359" s="1925"/>
      <c r="C3359" s="1926" t="s">
        <v>729</v>
      </c>
      <c r="D3359" s="1927"/>
      <c r="E3359" s="1891"/>
      <c r="F3359" s="1789"/>
      <c r="G3359" s="686"/>
      <c r="H3359" s="686"/>
      <c r="I3359" s="686"/>
      <c r="J3359" s="1768"/>
      <c r="K3359" s="684">
        <f t="shared" si="3029"/>
        <v>1</v>
      </c>
      <c r="L3359" s="363">
        <v>1</v>
      </c>
      <c r="M3359" s="684">
        <f t="shared" si="3030"/>
        <v>1</v>
      </c>
      <c r="N3359" s="362" t="str">
        <f t="shared" si="3025"/>
        <v/>
      </c>
      <c r="O3359" s="1763" t="str">
        <f t="shared" si="3026"/>
        <v/>
      </c>
      <c r="P3359" s="1764" t="str">
        <f t="shared" si="3027"/>
        <v/>
      </c>
      <c r="Q3359" s="120" t="str">
        <f t="shared" si="3028"/>
        <v/>
      </c>
    </row>
    <row r="3360" spans="1:18" s="120" customFormat="1" ht="18" customHeight="1">
      <c r="A3360" s="693"/>
      <c r="B3360" s="1781"/>
      <c r="C3360" s="1218" t="s">
        <v>3158</v>
      </c>
      <c r="D3360" s="1900"/>
      <c r="E3360" s="1791"/>
      <c r="F3360" s="1782"/>
      <c r="G3360" s="686"/>
      <c r="H3360" s="686"/>
      <c r="I3360" s="686"/>
      <c r="J3360" s="688"/>
      <c r="K3360" s="684">
        <f t="shared" si="3029"/>
        <v>1</v>
      </c>
      <c r="L3360" s="708">
        <v>1</v>
      </c>
      <c r="M3360" s="684">
        <f t="shared" si="3030"/>
        <v>1</v>
      </c>
      <c r="N3360" s="362" t="str">
        <f t="shared" si="3025"/>
        <v/>
      </c>
      <c r="O3360" s="1763" t="str">
        <f t="shared" si="3026"/>
        <v/>
      </c>
      <c r="P3360" s="1764" t="str">
        <f t="shared" si="3027"/>
        <v/>
      </c>
      <c r="Q3360" s="120" t="str">
        <f t="shared" si="3028"/>
        <v/>
      </c>
      <c r="R3360" s="185"/>
    </row>
    <row r="3361" spans="1:18" s="690" customFormat="1" ht="18" customHeight="1">
      <c r="A3361" s="693"/>
      <c r="B3361" s="2096">
        <v>1</v>
      </c>
      <c r="C3361" s="1420" t="str">
        <f>VLOOKUP(D3361,base_datos,6,FALSE)</f>
        <v>ITM Caja Moldeada 3x20A (reg.[0.7-1.0] In) - XT1B160-20A-3P-TMD - 25kA@230Vac, 18kA@415Vac, 18kA@250Vdc - marca ABB.</v>
      </c>
      <c r="D3361" s="1901" t="s">
        <v>4360</v>
      </c>
      <c r="E3361" s="1791">
        <f>VLOOKUP(D3361,base_datos,5,FALSE)</f>
        <v>120.37</v>
      </c>
      <c r="F3361" s="1782">
        <f>+E3361*B3361</f>
        <v>120.37</v>
      </c>
      <c r="G3361" s="1761"/>
      <c r="H3361" s="1761"/>
      <c r="I3361" s="1761"/>
      <c r="J3361" s="689"/>
      <c r="K3361" s="684">
        <f t="shared" si="3029"/>
        <v>1</v>
      </c>
      <c r="L3361" s="708">
        <v>1</v>
      </c>
      <c r="M3361" s="684">
        <f t="shared" si="3030"/>
        <v>1</v>
      </c>
      <c r="N3361" s="362">
        <f t="shared" si="3025"/>
        <v>1</v>
      </c>
      <c r="O3361" s="1763" t="str">
        <f t="shared" si="3026"/>
        <v>1SDA066800R1</v>
      </c>
      <c r="P3361" s="1764" t="str">
        <f t="shared" si="3027"/>
        <v>ITM Caja Moldeada 3x20A (reg.[0.7-1.0] In) - XT1B160-20A-3P-TMD - 25kA@230Vac, 18kA@415Vac, 18kA@250Vdc - marca ABB.</v>
      </c>
      <c r="Q3361" s="120" t="str">
        <f t="shared" si="3028"/>
        <v>XT1B160-20A-3P-TMD</v>
      </c>
      <c r="R3361" s="185"/>
    </row>
    <row r="3362" spans="1:18" s="185" customFormat="1" ht="18" customHeight="1">
      <c r="A3362" s="693"/>
      <c r="B3362" s="714"/>
      <c r="C3362" s="1893" t="s">
        <v>729</v>
      </c>
      <c r="D3362" s="173"/>
      <c r="E3362" s="1581"/>
      <c r="F3362" s="1581"/>
      <c r="G3362" s="710"/>
      <c r="H3362" s="710"/>
      <c r="I3362" s="710"/>
      <c r="J3362" s="711"/>
      <c r="K3362" s="684">
        <f t="shared" si="3029"/>
        <v>1</v>
      </c>
      <c r="L3362" s="708">
        <v>1</v>
      </c>
      <c r="M3362" s="684">
        <f t="shared" si="3030"/>
        <v>1</v>
      </c>
      <c r="N3362" s="362" t="str">
        <f t="shared" si="3025"/>
        <v/>
      </c>
      <c r="O3362" s="1763" t="str">
        <f t="shared" si="3026"/>
        <v/>
      </c>
      <c r="P3362" s="1764" t="str">
        <f t="shared" si="3027"/>
        <v/>
      </c>
      <c r="Q3362" s="120" t="str">
        <f t="shared" si="3028"/>
        <v/>
      </c>
      <c r="R3362" s="1765"/>
    </row>
    <row r="3363" spans="1:18" s="690" customFormat="1" ht="18" customHeight="1">
      <c r="A3363" s="693"/>
      <c r="B3363" s="1851"/>
      <c r="C3363" s="1966" t="s">
        <v>9431</v>
      </c>
      <c r="D3363" s="1582"/>
      <c r="E3363" s="1780"/>
      <c r="F3363" s="1782"/>
      <c r="G3363" s="1761"/>
      <c r="H3363" s="1761"/>
      <c r="I3363" s="314"/>
      <c r="J3363" s="689"/>
      <c r="K3363" s="684">
        <f t="shared" si="3029"/>
        <v>1</v>
      </c>
      <c r="L3363" s="708">
        <v>1</v>
      </c>
      <c r="M3363" s="684">
        <f t="shared" si="3030"/>
        <v>1</v>
      </c>
      <c r="N3363" s="362" t="str">
        <f t="shared" ref="N3363:N3384" si="3031">IF(O3363&lt;&gt;"",K3363*L3363*M3363,"")</f>
        <v/>
      </c>
      <c r="O3363" s="1763" t="str">
        <f t="shared" ref="O3363:O3384" si="3032">IF(D3363&lt;&gt;"",IF(VLOOKUP(D3363,base_datos,7,FALSE)&lt;&gt;"",VLOOKUP(D3363,base_datos,7,FALSE),""),"")</f>
        <v/>
      </c>
      <c r="P3363" s="1764" t="str">
        <f t="shared" ref="P3363:P3384" si="3033">IF(O3363&lt;&gt;"",VLOOKUP(D3363,base_datos,6,FALSE),"")</f>
        <v/>
      </c>
      <c r="Q3363" s="120" t="str">
        <f t="shared" ref="Q3363:Q3384" si="3034">IF(O3363&lt;&gt;"",D3363,"")</f>
        <v/>
      </c>
      <c r="R3363" s="185"/>
    </row>
    <row r="3364" spans="1:18" s="690" customFormat="1" ht="18" customHeight="1">
      <c r="A3364" s="2073"/>
      <c r="B3364" s="1781">
        <v>2</v>
      </c>
      <c r="C3364" s="1960" t="str">
        <f t="shared" ref="C3364" si="3035">VLOOKUP(D3364,base_datos,6,FALSE)</f>
        <v>ITM Caja Moldeada 3x16A (reg.[0.7-1.0] In) - XT1B160-16A-3P-TMD - 25kA@230Vac, 18kA@415Vac, 18kA@250Vdc - marca ABB.</v>
      </c>
      <c r="D3364" s="1901" t="s">
        <v>4358</v>
      </c>
      <c r="E3364" s="1791">
        <f t="shared" ref="E3364" si="3036">VLOOKUP(D3364,base_datos,5,FALSE)</f>
        <v>120.37</v>
      </c>
      <c r="F3364" s="1782">
        <f t="shared" ref="F3364:F3365" si="3037">+E3364*B3364</f>
        <v>240.74</v>
      </c>
      <c r="G3364" s="1761"/>
      <c r="H3364" s="1761"/>
      <c r="I3364" s="320"/>
      <c r="J3364" s="1783"/>
      <c r="K3364" s="684">
        <f t="shared" si="3029"/>
        <v>1</v>
      </c>
      <c r="L3364" s="708">
        <v>1</v>
      </c>
      <c r="M3364" s="684">
        <f t="shared" si="3030"/>
        <v>2</v>
      </c>
      <c r="N3364" s="362">
        <f t="shared" si="3031"/>
        <v>2</v>
      </c>
      <c r="O3364" s="1763" t="str">
        <f t="shared" si="3032"/>
        <v>1SDA066799R1</v>
      </c>
      <c r="P3364" s="1764" t="str">
        <f t="shared" si="3033"/>
        <v>ITM Caja Moldeada 3x16A (reg.[0.7-1.0] In) - XT1B160-16A-3P-TMD - 25kA@230Vac, 18kA@415Vac, 18kA@250Vdc - marca ABB.</v>
      </c>
      <c r="Q3364" s="120" t="str">
        <f t="shared" si="3034"/>
        <v>XT1B160-16A-3P-TMD</v>
      </c>
      <c r="R3364" s="185"/>
    </row>
    <row r="3365" spans="1:18" s="695" customFormat="1">
      <c r="A3365" s="693"/>
      <c r="B3365" s="1967">
        <v>1</v>
      </c>
      <c r="C3365" s="1946">
        <v>6</v>
      </c>
      <c r="D3365" s="1582"/>
      <c r="E3365" s="2000">
        <v>30</v>
      </c>
      <c r="F3365" s="1968">
        <f t="shared" si="3037"/>
        <v>30</v>
      </c>
      <c r="G3365" s="1969"/>
      <c r="H3365" s="1969"/>
      <c r="I3365" s="320"/>
      <c r="J3365" s="1970"/>
      <c r="K3365" s="684">
        <f t="shared" si="3029"/>
        <v>1</v>
      </c>
      <c r="L3365" s="708">
        <v>1</v>
      </c>
      <c r="M3365" s="684">
        <f t="shared" si="3030"/>
        <v>1</v>
      </c>
      <c r="N3365" s="362" t="str">
        <f t="shared" si="3031"/>
        <v/>
      </c>
      <c r="O3365" s="1763" t="str">
        <f t="shared" si="3032"/>
        <v/>
      </c>
      <c r="P3365" s="1764" t="str">
        <f t="shared" si="3033"/>
        <v/>
      </c>
      <c r="Q3365" s="120" t="str">
        <f t="shared" si="3034"/>
        <v/>
      </c>
    </row>
    <row r="3366" spans="1:18" s="185" customFormat="1" ht="18" customHeight="1">
      <c r="A3366" s="693"/>
      <c r="B3366" s="714"/>
      <c r="C3366" s="1893" t="s">
        <v>729</v>
      </c>
      <c r="D3366" s="173"/>
      <c r="E3366" s="1581"/>
      <c r="F3366" s="1581"/>
      <c r="G3366" s="710"/>
      <c r="H3366" s="710"/>
      <c r="I3366" s="710"/>
      <c r="J3366" s="711"/>
      <c r="K3366" s="684">
        <f t="shared" si="3029"/>
        <v>1</v>
      </c>
      <c r="L3366" s="708">
        <v>1</v>
      </c>
      <c r="M3366" s="684">
        <f t="shared" si="3030"/>
        <v>1</v>
      </c>
      <c r="N3366" s="362" t="str">
        <f t="shared" si="3031"/>
        <v/>
      </c>
      <c r="O3366" s="1763" t="str">
        <f t="shared" si="3032"/>
        <v/>
      </c>
      <c r="P3366" s="1764" t="str">
        <f t="shared" si="3033"/>
        <v/>
      </c>
      <c r="Q3366" s="120" t="str">
        <f t="shared" si="3034"/>
        <v/>
      </c>
      <c r="R3366" s="1765"/>
    </row>
    <row r="3367" spans="1:18" s="690" customFormat="1" ht="18" customHeight="1">
      <c r="A3367" s="693"/>
      <c r="B3367" s="1851"/>
      <c r="C3367" s="1966" t="s">
        <v>12546</v>
      </c>
      <c r="D3367" s="1582"/>
      <c r="E3367" s="1780"/>
      <c r="F3367" s="1782"/>
      <c r="G3367" s="1761"/>
      <c r="H3367" s="1761"/>
      <c r="I3367" s="2114"/>
      <c r="J3367" s="689"/>
      <c r="K3367" s="684">
        <f t="shared" si="3029"/>
        <v>1</v>
      </c>
      <c r="L3367" s="708">
        <v>1</v>
      </c>
      <c r="M3367" s="684">
        <f t="shared" si="3030"/>
        <v>1</v>
      </c>
      <c r="N3367" s="362" t="str">
        <f t="shared" si="3031"/>
        <v/>
      </c>
      <c r="O3367" s="1763" t="str">
        <f t="shared" si="3032"/>
        <v/>
      </c>
      <c r="P3367" s="1764" t="str">
        <f t="shared" si="3033"/>
        <v/>
      </c>
      <c r="Q3367" s="120" t="str">
        <f t="shared" si="3034"/>
        <v/>
      </c>
      <c r="R3367" s="185"/>
    </row>
    <row r="3368" spans="1:18" s="690" customFormat="1" ht="18" customHeight="1">
      <c r="A3368" s="693"/>
      <c r="B3368" s="1781">
        <v>3</v>
      </c>
      <c r="C3368" s="1960" t="str">
        <f t="shared" ref="C3368:C3370" si="3038">VLOOKUP(D3368,base_datos,6,FALSE)</f>
        <v>ITM Riel-Din 2x16A - S202-C-16A - 10kA@400Vac-IEC60947-2 - marca ABB.</v>
      </c>
      <c r="D3368" s="2007" t="s">
        <v>970</v>
      </c>
      <c r="E3368" s="1791">
        <f t="shared" ref="E3368:E3370" si="3039">VLOOKUP(D3368,base_datos,5,FALSE)</f>
        <v>17.96</v>
      </c>
      <c r="F3368" s="1782">
        <f t="shared" ref="F3368:F3371" si="3040">+E3368*B3368</f>
        <v>53.88</v>
      </c>
      <c r="G3368" s="1761"/>
      <c r="H3368" s="1761"/>
      <c r="I3368" s="2114"/>
      <c r="J3368" s="1783"/>
      <c r="K3368" s="684">
        <f t="shared" si="3029"/>
        <v>1</v>
      </c>
      <c r="L3368" s="708">
        <v>1</v>
      </c>
      <c r="M3368" s="684">
        <f t="shared" si="3030"/>
        <v>3</v>
      </c>
      <c r="N3368" s="362">
        <f t="shared" si="3031"/>
        <v>3</v>
      </c>
      <c r="O3368" s="1763" t="str">
        <f t="shared" si="3032"/>
        <v>2CDS252001R0164</v>
      </c>
      <c r="P3368" s="1764" t="str">
        <f t="shared" si="3033"/>
        <v>ITM Riel-Din 2x16A - S202-C-16A - 10kA@400Vac-IEC60947-2 - marca ABB.</v>
      </c>
      <c r="Q3368" s="120" t="str">
        <f t="shared" si="3034"/>
        <v>S202-C-16A</v>
      </c>
      <c r="R3368" s="185"/>
    </row>
    <row r="3369" spans="1:18" s="690" customFormat="1" ht="18" customHeight="1">
      <c r="A3369" s="693"/>
      <c r="B3369" s="2023">
        <v>3</v>
      </c>
      <c r="C3369" s="2041" t="str">
        <f t="shared" si="3038"/>
        <v>Interruptor Diferencial 2x25A - 30mA - clase A (inmunizado) - FH202-A-25A-30mA - marca ABB.</v>
      </c>
      <c r="D3369" s="2006" t="s">
        <v>5318</v>
      </c>
      <c r="E3369" s="2025">
        <f t="shared" si="3039"/>
        <v>50</v>
      </c>
      <c r="F3369" s="2026">
        <f t="shared" si="3040"/>
        <v>150</v>
      </c>
      <c r="G3369" s="1761"/>
      <c r="H3369" s="1761"/>
      <c r="I3369" s="1765"/>
      <c r="J3369" s="1783"/>
      <c r="K3369" s="684">
        <f t="shared" si="3029"/>
        <v>1</v>
      </c>
      <c r="L3369" s="708">
        <v>1</v>
      </c>
      <c r="M3369" s="684">
        <f t="shared" si="3030"/>
        <v>3</v>
      </c>
      <c r="N3369" s="362">
        <f t="shared" si="3031"/>
        <v>3</v>
      </c>
      <c r="O3369" s="1763" t="str">
        <f t="shared" si="3032"/>
        <v>2CSF202102R1250</v>
      </c>
      <c r="P3369" s="1764" t="str">
        <f t="shared" si="3033"/>
        <v>Interruptor Diferencial 2x25A - 30mA - clase A (inmunizado) - FH202-A-25A-30mA - marca ABB.</v>
      </c>
      <c r="Q3369" s="120" t="str">
        <f t="shared" si="3034"/>
        <v>FH202-A-25A-30mA</v>
      </c>
      <c r="R3369" s="185"/>
    </row>
    <row r="3370" spans="1:18" s="690" customFormat="1" ht="18" customHeight="1">
      <c r="A3370" s="693"/>
      <c r="B3370" s="1781">
        <v>1</v>
      </c>
      <c r="C3370" s="1960" t="str">
        <f t="shared" si="3038"/>
        <v>Espacio de reserva trifásica + interruptor diferencial - Riel-Din.</v>
      </c>
      <c r="D3370" s="2006" t="s">
        <v>2923</v>
      </c>
      <c r="E3370" s="1791">
        <f t="shared" si="3039"/>
        <v>2.5</v>
      </c>
      <c r="F3370" s="1782">
        <f t="shared" si="3040"/>
        <v>2.5</v>
      </c>
      <c r="G3370" s="1761"/>
      <c r="H3370" s="1761"/>
      <c r="I3370" s="2128"/>
      <c r="J3370" s="1783"/>
      <c r="K3370" s="684">
        <f t="shared" si="3029"/>
        <v>1</v>
      </c>
      <c r="L3370" s="708">
        <v>1</v>
      </c>
      <c r="M3370" s="684">
        <f t="shared" si="3030"/>
        <v>1</v>
      </c>
      <c r="N3370" s="362" t="str">
        <f t="shared" si="3031"/>
        <v/>
      </c>
      <c r="O3370" s="1763" t="str">
        <f t="shared" si="3032"/>
        <v/>
      </c>
      <c r="P3370" s="1764" t="str">
        <f t="shared" si="3033"/>
        <v/>
      </c>
      <c r="Q3370" s="120" t="str">
        <f t="shared" si="3034"/>
        <v/>
      </c>
      <c r="R3370" s="185"/>
    </row>
    <row r="3371" spans="1:18" s="695" customFormat="1">
      <c r="A3371" s="693"/>
      <c r="B3371" s="1967">
        <v>1</v>
      </c>
      <c r="C3371" s="1946">
        <v>8</v>
      </c>
      <c r="D3371" s="1582"/>
      <c r="E3371" s="2000">
        <v>40</v>
      </c>
      <c r="F3371" s="1968">
        <f t="shared" si="3040"/>
        <v>40</v>
      </c>
      <c r="G3371" s="1969"/>
      <c r="H3371" s="1969"/>
      <c r="I3371" s="1571"/>
      <c r="J3371" s="1970"/>
      <c r="K3371" s="684">
        <f t="shared" si="3029"/>
        <v>1</v>
      </c>
      <c r="L3371" s="708">
        <v>1</v>
      </c>
      <c r="M3371" s="684">
        <f t="shared" si="3030"/>
        <v>1</v>
      </c>
      <c r="N3371" s="362" t="str">
        <f t="shared" si="3031"/>
        <v/>
      </c>
      <c r="O3371" s="1763" t="str">
        <f t="shared" si="3032"/>
        <v/>
      </c>
      <c r="P3371" s="1764" t="str">
        <f t="shared" si="3033"/>
        <v/>
      </c>
      <c r="Q3371" s="120" t="str">
        <f t="shared" si="3034"/>
        <v/>
      </c>
    </row>
    <row r="3372" spans="1:18" s="185" customFormat="1">
      <c r="A3372" s="693"/>
      <c r="B3372" s="714"/>
      <c r="C3372" s="1893" t="s">
        <v>729</v>
      </c>
      <c r="D3372" s="1941"/>
      <c r="E3372" s="1786"/>
      <c r="F3372" s="1787"/>
      <c r="G3372" s="710"/>
      <c r="H3372" s="710"/>
      <c r="I3372" s="320"/>
      <c r="J3372" s="711"/>
      <c r="K3372" s="684">
        <f t="shared" si="3029"/>
        <v>1</v>
      </c>
      <c r="L3372" s="708">
        <v>1</v>
      </c>
      <c r="M3372" s="684">
        <f t="shared" si="3030"/>
        <v>1</v>
      </c>
      <c r="N3372" s="362" t="str">
        <f t="shared" si="3031"/>
        <v/>
      </c>
      <c r="O3372" s="1763" t="str">
        <f t="shared" si="3032"/>
        <v/>
      </c>
      <c r="P3372" s="1764" t="str">
        <f t="shared" si="3033"/>
        <v/>
      </c>
      <c r="Q3372" s="120" t="str">
        <f t="shared" si="3034"/>
        <v/>
      </c>
    </row>
    <row r="3373" spans="1:18" s="690" customFormat="1" ht="18" customHeight="1">
      <c r="A3373" s="693"/>
      <c r="B3373" s="1851"/>
      <c r="C3373" s="1966" t="s">
        <v>12547</v>
      </c>
      <c r="D3373" s="1582"/>
      <c r="E3373" s="1780"/>
      <c r="F3373" s="1782"/>
      <c r="G3373" s="1761"/>
      <c r="H3373" s="1761"/>
      <c r="I3373" s="320"/>
      <c r="J3373" s="689"/>
      <c r="K3373" s="684">
        <f t="shared" si="3029"/>
        <v>1</v>
      </c>
      <c r="L3373" s="708">
        <v>1</v>
      </c>
      <c r="M3373" s="684">
        <f t="shared" si="3030"/>
        <v>1</v>
      </c>
      <c r="N3373" s="362" t="str">
        <f t="shared" si="3031"/>
        <v/>
      </c>
      <c r="O3373" s="1763" t="str">
        <f t="shared" si="3032"/>
        <v/>
      </c>
      <c r="P3373" s="1764" t="str">
        <f t="shared" si="3033"/>
        <v/>
      </c>
      <c r="Q3373" s="120" t="str">
        <f t="shared" si="3034"/>
        <v/>
      </c>
      <c r="R3373" s="185"/>
    </row>
    <row r="3374" spans="1:18" s="2434" customFormat="1" ht="18" customHeight="1">
      <c r="A3374" s="2443"/>
      <c r="B3374" s="2435">
        <v>1</v>
      </c>
      <c r="C3374" s="2436" t="str">
        <f t="shared" ref="C3374" si="3041">VLOOKUP(D3374,base_datos,6,FALSE)</f>
        <v>ITM Caja Moldeada 2x16A - A1N/P125-16A-2P-TMF - 50kA@230Vac, 36kA@400Vac, 10kA@125Vdc - marca ABB.</v>
      </c>
      <c r="D3374" s="2483" t="s">
        <v>1172</v>
      </c>
      <c r="E3374" s="2482">
        <f t="shared" ref="E3374" si="3042">VLOOKUP(D3374,base_datos,5,FALSE)</f>
        <v>59.769999999999996</v>
      </c>
      <c r="F3374" s="2422">
        <f t="shared" ref="F3374" si="3043">+E3374*B3374</f>
        <v>59.769999999999996</v>
      </c>
      <c r="G3374" s="2424"/>
      <c r="H3374" s="2424"/>
      <c r="I3374" s="2490"/>
      <c r="J3374" s="2425"/>
      <c r="K3374" s="2426">
        <f>+K3372</f>
        <v>1</v>
      </c>
      <c r="L3374" s="2463">
        <v>1</v>
      </c>
      <c r="M3374" s="2426">
        <f t="shared" ref="M3374" si="3044">IF(B3374="",1,B3374)</f>
        <v>1</v>
      </c>
      <c r="N3374" s="2429">
        <f t="shared" ref="N3374" si="3045">IF(O3374&lt;&gt;"",K3374*L3374*M3374,"")</f>
        <v>1</v>
      </c>
      <c r="O3374" s="2430" t="str">
        <f t="shared" ref="O3374" si="3046">IF(D3374&lt;&gt;"",IF(VLOOKUP(D3374,base_datos,7,FALSE)&lt;&gt;"",VLOOKUP(D3374,base_datos,7,FALSE),""),"")</f>
        <v>1SDA069551R1</v>
      </c>
      <c r="P3374" s="2431" t="str">
        <f t="shared" ref="P3374" si="3047">IF(O3374&lt;&gt;"",VLOOKUP(D3374,base_datos,6,FALSE),"")</f>
        <v>ITM Caja Moldeada 2x16A - A1N/P125-16A-2P-TMF - 50kA@230Vac, 36kA@400Vac, 10kA@125Vdc - marca ABB.</v>
      </c>
      <c r="Q3374" s="2432" t="str">
        <f t="shared" ref="Q3374" si="3048">IF(O3374&lt;&gt;"",D3374,"")</f>
        <v>A1N/P125-16A-2P-TMF</v>
      </c>
      <c r="R3374" s="2433"/>
    </row>
    <row r="3375" spans="1:18" s="690" customFormat="1" ht="18" customHeight="1">
      <c r="A3375" s="693"/>
      <c r="B3375" s="1781">
        <v>1</v>
      </c>
      <c r="C3375" s="1960" t="str">
        <f t="shared" ref="C3375:C3376" si="3049">VLOOKUP(D3375,base_datos,6,FALSE)</f>
        <v>ITM Riel-Din 2x16A - S202-C-16A - 10kA@400Vac-IEC60947-2 - marca ABB.</v>
      </c>
      <c r="D3375" s="2007" t="s">
        <v>970</v>
      </c>
      <c r="E3375" s="1791">
        <f t="shared" ref="E3375:E3376" si="3050">VLOOKUP(D3375,base_datos,5,FALSE)</f>
        <v>17.96</v>
      </c>
      <c r="F3375" s="1782">
        <f t="shared" ref="F3375:F3377" si="3051">+E3375*B3375</f>
        <v>17.96</v>
      </c>
      <c r="G3375" s="1761"/>
      <c r="H3375" s="1761"/>
      <c r="I3375" s="2114"/>
      <c r="J3375" s="1783"/>
      <c r="K3375" s="684">
        <f>+K3373</f>
        <v>1</v>
      </c>
      <c r="L3375" s="708">
        <v>1</v>
      </c>
      <c r="M3375" s="684">
        <f t="shared" si="3030"/>
        <v>1</v>
      </c>
      <c r="N3375" s="362">
        <f t="shared" si="3031"/>
        <v>1</v>
      </c>
      <c r="O3375" s="1763" t="str">
        <f t="shared" si="3032"/>
        <v>2CDS252001R0164</v>
      </c>
      <c r="P3375" s="1764" t="str">
        <f t="shared" si="3033"/>
        <v>ITM Riel-Din 2x16A - S202-C-16A - 10kA@400Vac-IEC60947-2 - marca ABB.</v>
      </c>
      <c r="Q3375" s="120" t="str">
        <f t="shared" si="3034"/>
        <v>S202-C-16A</v>
      </c>
      <c r="R3375" s="185"/>
    </row>
    <row r="3376" spans="1:18" s="690" customFormat="1" ht="18" customHeight="1">
      <c r="A3376" s="693"/>
      <c r="B3376" s="1781">
        <v>1</v>
      </c>
      <c r="C3376" s="1960" t="str">
        <f t="shared" si="3049"/>
        <v>Espacio de reserva monofasica - Riel-Din.</v>
      </c>
      <c r="D3376" s="2006" t="s">
        <v>1042</v>
      </c>
      <c r="E3376" s="1791">
        <f t="shared" si="3050"/>
        <v>1.5</v>
      </c>
      <c r="F3376" s="1782">
        <f t="shared" si="3051"/>
        <v>1.5</v>
      </c>
      <c r="G3376" s="1761"/>
      <c r="H3376" s="1761"/>
      <c r="I3376" s="118"/>
      <c r="J3376" s="1783"/>
      <c r="K3376" s="684">
        <f t="shared" si="3029"/>
        <v>1</v>
      </c>
      <c r="L3376" s="708">
        <v>1</v>
      </c>
      <c r="M3376" s="684">
        <f t="shared" si="3030"/>
        <v>1</v>
      </c>
      <c r="N3376" s="362" t="str">
        <f t="shared" si="3031"/>
        <v/>
      </c>
      <c r="O3376" s="1763" t="str">
        <f t="shared" si="3032"/>
        <v/>
      </c>
      <c r="P3376" s="1764" t="str">
        <f t="shared" si="3033"/>
        <v/>
      </c>
      <c r="Q3376" s="120" t="str">
        <f t="shared" si="3034"/>
        <v/>
      </c>
      <c r="R3376" s="185"/>
    </row>
    <row r="3377" spans="1:20" s="695" customFormat="1">
      <c r="A3377" s="693"/>
      <c r="B3377" s="1967">
        <v>1</v>
      </c>
      <c r="C3377" s="1946">
        <v>8</v>
      </c>
      <c r="D3377" s="1582"/>
      <c r="E3377" s="2000">
        <v>40</v>
      </c>
      <c r="F3377" s="1968">
        <f t="shared" si="3051"/>
        <v>40</v>
      </c>
      <c r="G3377" s="1969"/>
      <c r="H3377" s="1969"/>
      <c r="I3377" s="139"/>
      <c r="J3377" s="1970"/>
      <c r="K3377" s="684">
        <f t="shared" si="3029"/>
        <v>1</v>
      </c>
      <c r="L3377" s="363">
        <v>1</v>
      </c>
      <c r="M3377" s="684">
        <f t="shared" si="3030"/>
        <v>1</v>
      </c>
      <c r="N3377" s="362" t="str">
        <f t="shared" si="3031"/>
        <v/>
      </c>
      <c r="O3377" s="1763" t="str">
        <f t="shared" si="3032"/>
        <v/>
      </c>
      <c r="P3377" s="1764" t="str">
        <f t="shared" si="3033"/>
        <v/>
      </c>
      <c r="Q3377" s="120" t="str">
        <f t="shared" si="3034"/>
        <v/>
      </c>
    </row>
    <row r="3378" spans="1:20" s="185" customFormat="1">
      <c r="A3378" s="693"/>
      <c r="B3378" s="714"/>
      <c r="C3378" s="1893" t="s">
        <v>729</v>
      </c>
      <c r="D3378" s="1941"/>
      <c r="E3378" s="1786"/>
      <c r="F3378" s="1787"/>
      <c r="G3378" s="710"/>
      <c r="H3378" s="710"/>
      <c r="I3378" s="2129"/>
      <c r="J3378" s="711"/>
      <c r="K3378" s="684">
        <f t="shared" si="3029"/>
        <v>1</v>
      </c>
      <c r="L3378" s="363">
        <v>1</v>
      </c>
      <c r="M3378" s="684">
        <f t="shared" si="3030"/>
        <v>1</v>
      </c>
      <c r="N3378" s="362" t="str">
        <f t="shared" si="3031"/>
        <v/>
      </c>
      <c r="O3378" s="1763" t="str">
        <f t="shared" si="3032"/>
        <v/>
      </c>
      <c r="P3378" s="1764" t="str">
        <f t="shared" si="3033"/>
        <v/>
      </c>
      <c r="Q3378" s="120" t="str">
        <f t="shared" si="3034"/>
        <v/>
      </c>
    </row>
    <row r="3379" spans="1:20" s="315" customFormat="1" ht="12.75" customHeight="1">
      <c r="A3379" s="2271"/>
      <c r="B3379" s="2272">
        <v>1</v>
      </c>
      <c r="C3379" s="2281" t="s">
        <v>13366</v>
      </c>
      <c r="D3379" s="1935"/>
      <c r="E3379" s="2287"/>
      <c r="F3379" s="2257">
        <f>+SUM(F3380:F3383)*(B3379-1)</f>
        <v>0</v>
      </c>
      <c r="G3379" s="712"/>
      <c r="H3379" s="712"/>
      <c r="I3379" s="712"/>
      <c r="J3379" s="713"/>
      <c r="K3379" s="684">
        <f t="shared" si="3029"/>
        <v>1</v>
      </c>
      <c r="L3379" s="2258">
        <v>1</v>
      </c>
      <c r="M3379" s="684">
        <f t="shared" si="3030"/>
        <v>1</v>
      </c>
      <c r="N3379" s="112" t="str">
        <f t="shared" si="3031"/>
        <v/>
      </c>
      <c r="O3379" s="112" t="str">
        <f t="shared" si="3032"/>
        <v/>
      </c>
      <c r="P3379" s="120" t="str">
        <f t="shared" si="3033"/>
        <v/>
      </c>
      <c r="Q3379" s="120" t="str">
        <f t="shared" si="3034"/>
        <v/>
      </c>
      <c r="S3379" s="112" t="str">
        <f t="shared" ref="S3379:S3384" si="3052">IF(O3379&lt;&gt;"",VLOOKUP(D3379,base_datos,9,FALSE),"")</f>
        <v/>
      </c>
      <c r="T3379" s="2128"/>
    </row>
    <row r="3380" spans="1:20" s="690" customFormat="1" ht="18" customHeight="1">
      <c r="A3380" s="2273"/>
      <c r="B3380" s="1781">
        <v>1</v>
      </c>
      <c r="C3380" s="1420" t="str">
        <f t="shared" ref="C3380:C3383" si="3053">VLOOKUP(D3380,base_datos,6,FALSE)</f>
        <v>Calefactor resistivo 60W, modelo RACM - marca FANDIS.</v>
      </c>
      <c r="D3380" s="1899" t="s">
        <v>3298</v>
      </c>
      <c r="E3380" s="2288">
        <f t="shared" ref="E3380:E3383" si="3054">VLOOKUP(D3380,base_datos,5,FALSE)</f>
        <v>127.1</v>
      </c>
      <c r="F3380" s="1782">
        <f>+E3380*B3380</f>
        <v>127.1</v>
      </c>
      <c r="G3380" s="1761"/>
      <c r="H3380" s="1761"/>
      <c r="I3380" s="1761"/>
      <c r="J3380" s="689"/>
      <c r="K3380" s="684">
        <f t="shared" si="3029"/>
        <v>1</v>
      </c>
      <c r="L3380" s="2258">
        <v>1</v>
      </c>
      <c r="M3380" s="684">
        <f t="shared" si="3030"/>
        <v>1</v>
      </c>
      <c r="N3380" s="112">
        <f t="shared" si="3031"/>
        <v>1</v>
      </c>
      <c r="O3380" s="112" t="str">
        <f t="shared" si="3032"/>
        <v>RACM-60</v>
      </c>
      <c r="P3380" s="120" t="str">
        <f t="shared" si="3033"/>
        <v>Calefactor resistivo 60W, modelo RACM - marca FANDIS.</v>
      </c>
      <c r="Q3380" s="120" t="str">
        <f t="shared" si="3034"/>
        <v>CALEFACT-60W_FAND</v>
      </c>
      <c r="S3380" s="112" t="str">
        <f t="shared" si="3052"/>
        <v>FANDIS</v>
      </c>
      <c r="T3380" s="1765"/>
    </row>
    <row r="3381" spans="1:20" s="690" customFormat="1" ht="18" customHeight="1">
      <c r="A3381" s="2273"/>
      <c r="B3381" s="1781">
        <v>1</v>
      </c>
      <c r="C3381" s="1420" t="str">
        <f t="shared" si="3053"/>
        <v>Termostato para ventilación - 1NA - 230V - marca FANDIS.</v>
      </c>
      <c r="D3381" s="1899" t="s">
        <v>3294</v>
      </c>
      <c r="E3381" s="2288">
        <f t="shared" si="3054"/>
        <v>41.58</v>
      </c>
      <c r="F3381" s="1782">
        <f>+E3381*B3381</f>
        <v>41.58</v>
      </c>
      <c r="G3381" s="1761"/>
      <c r="H3381" s="1761"/>
      <c r="I3381" s="1761"/>
      <c r="J3381" s="689"/>
      <c r="K3381" s="684">
        <f t="shared" si="3029"/>
        <v>1</v>
      </c>
      <c r="L3381" s="2258">
        <v>1</v>
      </c>
      <c r="M3381" s="684">
        <f t="shared" si="3030"/>
        <v>1</v>
      </c>
      <c r="N3381" s="112">
        <f t="shared" si="3031"/>
        <v>1</v>
      </c>
      <c r="O3381" s="112" t="str">
        <f t="shared" si="3032"/>
        <v>TRT-10A230V-NO</v>
      </c>
      <c r="P3381" s="120" t="str">
        <f t="shared" si="3033"/>
        <v>Termostato para ventilación - 1NA - 230V - marca FANDIS.</v>
      </c>
      <c r="Q3381" s="120" t="str">
        <f t="shared" si="3034"/>
        <v>TRT-1NA</v>
      </c>
      <c r="S3381" s="112" t="str">
        <f t="shared" si="3052"/>
        <v>FANDIS</v>
      </c>
      <c r="T3381" s="1765"/>
    </row>
    <row r="3382" spans="1:20" s="320" customFormat="1" ht="12.75" customHeight="1">
      <c r="A3382" s="2274"/>
      <c r="B3382" s="2275">
        <v>1</v>
      </c>
      <c r="C3382" s="2282" t="str">
        <f t="shared" si="3053"/>
        <v>Base portafusibles + Fusibles de protección para control.</v>
      </c>
      <c r="D3382" s="1579" t="s">
        <v>453</v>
      </c>
      <c r="E3382" s="2289">
        <f t="shared" si="3054"/>
        <v>8.1750000000000007</v>
      </c>
      <c r="F3382" s="2264">
        <f>+E3382*B3382</f>
        <v>8.1750000000000007</v>
      </c>
      <c r="G3382" s="2276"/>
      <c r="H3382" s="2276"/>
      <c r="I3382" s="2276"/>
      <c r="J3382" s="722"/>
      <c r="K3382" s="684">
        <f t="shared" si="3029"/>
        <v>1</v>
      </c>
      <c r="L3382" s="2258">
        <v>1</v>
      </c>
      <c r="M3382" s="684">
        <f t="shared" si="3030"/>
        <v>1</v>
      </c>
      <c r="N3382" s="112" t="str">
        <f t="shared" si="3031"/>
        <v/>
      </c>
      <c r="O3382" s="112" t="str">
        <f t="shared" si="3032"/>
        <v/>
      </c>
      <c r="P3382" s="120" t="str">
        <f t="shared" si="3033"/>
        <v/>
      </c>
      <c r="Q3382" s="120" t="str">
        <f t="shared" si="3034"/>
        <v/>
      </c>
      <c r="R3382" s="185"/>
      <c r="S3382" s="112" t="str">
        <f t="shared" si="3052"/>
        <v/>
      </c>
      <c r="T3382" s="709"/>
    </row>
    <row r="3383" spans="1:20" s="320" customFormat="1" ht="12.75" customHeight="1">
      <c r="A3383" s="2274"/>
      <c r="B3383" s="2277">
        <v>1</v>
      </c>
      <c r="C3383" s="2282" t="str">
        <f t="shared" si="3053"/>
        <v>Borne 4mm2.</v>
      </c>
      <c r="D3383" s="1579" t="s">
        <v>437</v>
      </c>
      <c r="E3383" s="2260">
        <f t="shared" si="3054"/>
        <v>2.5</v>
      </c>
      <c r="F3383" s="2260">
        <f>+E3383*B3383</f>
        <v>2.5</v>
      </c>
      <c r="G3383" s="2276"/>
      <c r="H3383" s="2276"/>
      <c r="I3383" s="2276"/>
      <c r="J3383" s="722"/>
      <c r="K3383" s="684">
        <f t="shared" si="3029"/>
        <v>1</v>
      </c>
      <c r="L3383" s="2258">
        <v>1</v>
      </c>
      <c r="M3383" s="684">
        <f t="shared" si="3030"/>
        <v>1</v>
      </c>
      <c r="N3383" s="112" t="str">
        <f t="shared" si="3031"/>
        <v/>
      </c>
      <c r="O3383" s="112" t="str">
        <f t="shared" si="3032"/>
        <v/>
      </c>
      <c r="P3383" s="120" t="str">
        <f t="shared" si="3033"/>
        <v/>
      </c>
      <c r="Q3383" s="120" t="str">
        <f t="shared" si="3034"/>
        <v/>
      </c>
      <c r="R3383" s="185"/>
      <c r="S3383" s="112" t="str">
        <f t="shared" si="3052"/>
        <v/>
      </c>
      <c r="T3383" s="709"/>
    </row>
    <row r="3384" spans="1:20" s="185" customFormat="1" ht="12.75" customHeight="1">
      <c r="A3384" s="2262"/>
      <c r="B3384" s="1760"/>
      <c r="C3384" s="1893" t="s">
        <v>729</v>
      </c>
      <c r="D3384" s="169"/>
      <c r="E3384" s="2256"/>
      <c r="F3384" s="2278"/>
      <c r="G3384" s="710"/>
      <c r="H3384" s="710"/>
      <c r="I3384" s="710"/>
      <c r="J3384" s="711"/>
      <c r="K3384" s="684">
        <f t="shared" si="3029"/>
        <v>1</v>
      </c>
      <c r="L3384" s="2258">
        <v>1</v>
      </c>
      <c r="M3384" s="684">
        <f t="shared" si="3030"/>
        <v>1</v>
      </c>
      <c r="N3384" s="112" t="str">
        <f t="shared" si="3031"/>
        <v/>
      </c>
      <c r="O3384" s="112" t="str">
        <f t="shared" si="3032"/>
        <v/>
      </c>
      <c r="P3384" s="120" t="str">
        <f t="shared" si="3033"/>
        <v/>
      </c>
      <c r="Q3384" s="120" t="str">
        <f t="shared" si="3034"/>
        <v/>
      </c>
      <c r="S3384" s="112" t="str">
        <f t="shared" si="3052"/>
        <v/>
      </c>
      <c r="T3384" s="118"/>
    </row>
    <row r="3385" spans="1:20" s="1236" customFormat="1" ht="16.5" customHeight="1">
      <c r="A3385" s="1767"/>
      <c r="B3385" s="1853">
        <v>1</v>
      </c>
      <c r="C3385" s="1895" t="s">
        <v>12364</v>
      </c>
      <c r="D3385" s="1902"/>
      <c r="E3385" s="1792"/>
      <c r="F3385" s="1793"/>
      <c r="G3385" s="1784"/>
      <c r="H3385" s="1784"/>
      <c r="I3385" s="1784"/>
      <c r="J3385" s="1182"/>
      <c r="K3385" s="684">
        <f t="shared" si="3029"/>
        <v>1</v>
      </c>
      <c r="L3385" s="708">
        <v>1</v>
      </c>
      <c r="M3385" s="684">
        <f t="shared" si="3030"/>
        <v>1</v>
      </c>
      <c r="N3385" s="362" t="str">
        <f t="shared" ref="N3385:N3397" si="3055">IF(O3385&lt;&gt;"",K3385*L3385*M3385,"")</f>
        <v/>
      </c>
      <c r="O3385" s="1763" t="str">
        <f t="shared" ref="O3385:O3397" si="3056">IF(D3385&lt;&gt;"",IF(VLOOKUP(D3385,base_datos,7,FALSE)&lt;&gt;"",VLOOKUP(D3385,base_datos,7,FALSE),""),"")</f>
        <v/>
      </c>
      <c r="P3385" s="1764" t="str">
        <f t="shared" ref="P3385:P3397" si="3057">IF(O3385&lt;&gt;"",VLOOKUP(D3385,base_datos,6,FALSE),"")</f>
        <v/>
      </c>
      <c r="Q3385" s="120" t="str">
        <f t="shared" ref="Q3385:Q3397" si="3058">IF(O3385&lt;&gt;"",D3385,"")</f>
        <v/>
      </c>
      <c r="R3385" s="185"/>
    </row>
    <row r="3386" spans="1:20" s="695" customFormat="1" ht="18" customHeight="1">
      <c r="A3386" s="693"/>
      <c r="B3386" s="1922">
        <v>1</v>
      </c>
      <c r="C3386" s="1848" t="str">
        <f t="shared" ref="C3386" si="3059">VLOOKUP(D3386,base_datos,6,FALSE)</f>
        <v>Placa lamicoid rotulación de 3mm de espesor, fondo negro y letras blancas.</v>
      </c>
      <c r="D3386" s="1886" t="s">
        <v>8570</v>
      </c>
      <c r="E3386" s="1795">
        <f t="shared" ref="E3386" si="3060">VLOOKUP(D3386,base_datos,5,FALSE)</f>
        <v>2.2000000000000002</v>
      </c>
      <c r="F3386" s="1796">
        <f t="shared" ref="F3386" si="3061">+E3386*B3386</f>
        <v>2.2000000000000002</v>
      </c>
      <c r="G3386" s="696"/>
      <c r="H3386" s="696"/>
      <c r="I3386" s="696"/>
      <c r="J3386" s="697"/>
      <c r="K3386" s="684">
        <f t="shared" si="3029"/>
        <v>1</v>
      </c>
      <c r="L3386" s="708">
        <v>1</v>
      </c>
      <c r="M3386" s="684">
        <f t="shared" si="3030"/>
        <v>1</v>
      </c>
      <c r="N3386" s="362">
        <f t="shared" si="3055"/>
        <v>1</v>
      </c>
      <c r="O3386" s="1763" t="str">
        <f t="shared" si="3056"/>
        <v>Placa lamicoid p/distr.</v>
      </c>
      <c r="P3386" s="1764" t="str">
        <f t="shared" si="3057"/>
        <v>Placa lamicoid rotulación de 3mm de espesor, fondo negro y letras blancas.</v>
      </c>
      <c r="Q3386" s="120" t="str">
        <f t="shared" si="3058"/>
        <v>Placa lamicoid p/distr.</v>
      </c>
      <c r="R3386" s="185"/>
    </row>
    <row r="3387" spans="1:20" s="1236" customFormat="1" ht="18" customHeight="1">
      <c r="A3387" s="1767"/>
      <c r="B3387" s="1853">
        <v>1</v>
      </c>
      <c r="C3387" s="1895" t="s">
        <v>12474</v>
      </c>
      <c r="D3387" s="1902"/>
      <c r="E3387" s="1792"/>
      <c r="F3387" s="1793"/>
      <c r="G3387" s="1784"/>
      <c r="H3387" s="1784"/>
      <c r="I3387" s="1784"/>
      <c r="J3387" s="1182"/>
      <c r="K3387" s="684">
        <f t="shared" si="3029"/>
        <v>1</v>
      </c>
      <c r="L3387" s="708">
        <v>1</v>
      </c>
      <c r="M3387" s="684">
        <f t="shared" si="3030"/>
        <v>1</v>
      </c>
      <c r="N3387" s="362" t="str">
        <f t="shared" si="3055"/>
        <v/>
      </c>
      <c r="O3387" s="1763" t="str">
        <f t="shared" si="3056"/>
        <v/>
      </c>
      <c r="P3387" s="1764" t="str">
        <f t="shared" si="3057"/>
        <v/>
      </c>
      <c r="Q3387" s="120" t="str">
        <f t="shared" si="3058"/>
        <v/>
      </c>
      <c r="R3387" s="185"/>
    </row>
    <row r="3388" spans="1:20" s="1236" customFormat="1" ht="18" customHeight="1">
      <c r="A3388" s="1767"/>
      <c r="B3388" s="1853">
        <v>1</v>
      </c>
      <c r="C3388" s="1848" t="str">
        <f>VLOOKUP(D3388,base_datos,6,FALSE)</f>
        <v>Embalaje especial completamente cerrado para tablero adosado de 1600x600x220mm</v>
      </c>
      <c r="D3388" s="1902" t="s">
        <v>12453</v>
      </c>
      <c r="E3388" s="1795">
        <f t="shared" ref="E3388" si="3062">VLOOKUP(D3388,base_datos,5,FALSE)</f>
        <v>271.40000000000003</v>
      </c>
      <c r="F3388" s="1796">
        <f t="shared" ref="F3388" si="3063">+E3388*B3388</f>
        <v>271.40000000000003</v>
      </c>
      <c r="G3388" s="1784"/>
      <c r="H3388" s="1784"/>
      <c r="I3388" s="1784"/>
      <c r="J3388" s="1182"/>
      <c r="K3388" s="684">
        <f t="shared" si="3029"/>
        <v>1</v>
      </c>
      <c r="L3388" s="708">
        <v>1</v>
      </c>
      <c r="M3388" s="684">
        <f t="shared" si="3030"/>
        <v>1</v>
      </c>
      <c r="N3388" s="362">
        <f t="shared" si="3055"/>
        <v>1</v>
      </c>
      <c r="O3388" s="1763" t="str">
        <f t="shared" si="3056"/>
        <v>EMBAL_ADOS_1600x600x220mm</v>
      </c>
      <c r="P3388" s="1764" t="str">
        <f t="shared" si="3057"/>
        <v>Embalaje especial completamente cerrado para tablero adosado de 1600x600x220mm</v>
      </c>
      <c r="Q3388" s="120" t="str">
        <f t="shared" si="3058"/>
        <v>EMBAL_ADOS_1600x600x220mm</v>
      </c>
      <c r="R3388" s="185"/>
    </row>
    <row r="3389" spans="1:20" s="185" customFormat="1" ht="18" customHeight="1">
      <c r="A3389" s="1785"/>
      <c r="B3389" s="714"/>
      <c r="C3389" s="1893" t="s">
        <v>729</v>
      </c>
      <c r="D3389" s="173"/>
      <c r="E3389" s="1786"/>
      <c r="F3389" s="1787"/>
      <c r="G3389" s="710"/>
      <c r="H3389" s="710"/>
      <c r="I3389" s="710"/>
      <c r="J3389" s="711"/>
      <c r="K3389" s="684">
        <f t="shared" si="3029"/>
        <v>1</v>
      </c>
      <c r="L3389" s="708">
        <v>1</v>
      </c>
      <c r="M3389" s="684">
        <f t="shared" si="3030"/>
        <v>1</v>
      </c>
      <c r="N3389" s="362" t="str">
        <f t="shared" si="3055"/>
        <v/>
      </c>
      <c r="O3389" s="1763" t="str">
        <f t="shared" si="3056"/>
        <v/>
      </c>
      <c r="P3389" s="1764" t="str">
        <f t="shared" si="3057"/>
        <v/>
      </c>
      <c r="Q3389" s="120" t="str">
        <f t="shared" si="3058"/>
        <v/>
      </c>
    </row>
    <row r="3390" spans="1:20" s="695" customFormat="1" ht="18" customHeight="1">
      <c r="A3390" s="693"/>
      <c r="B3390" s="1794">
        <v>1</v>
      </c>
      <c r="C3390" s="1420" t="str">
        <f t="shared" ref="C3390" si="3064">VLOOKUP(D3390,base_datos,6,FALSE)</f>
        <v>Barra a tierra.</v>
      </c>
      <c r="D3390" s="1790" t="s">
        <v>8299</v>
      </c>
      <c r="E3390" s="1795">
        <f t="shared" ref="E3390" si="3065">VLOOKUP(D3390,base_datos,5,FALSE)</f>
        <v>10</v>
      </c>
      <c r="F3390" s="1796">
        <f t="shared" ref="F3390:F3396" si="3066">+E3390*B3390</f>
        <v>10</v>
      </c>
      <c r="G3390" s="696"/>
      <c r="H3390" s="696"/>
      <c r="I3390" s="696"/>
      <c r="J3390" s="697"/>
      <c r="K3390" s="684">
        <f t="shared" si="3029"/>
        <v>1</v>
      </c>
      <c r="L3390" s="708">
        <v>1</v>
      </c>
      <c r="M3390" s="684">
        <f t="shared" si="3030"/>
        <v>1</v>
      </c>
      <c r="N3390" s="362" t="str">
        <f t="shared" si="3055"/>
        <v/>
      </c>
      <c r="O3390" s="1763" t="str">
        <f t="shared" si="3056"/>
        <v/>
      </c>
      <c r="P3390" s="1764" t="str">
        <f t="shared" si="3057"/>
        <v/>
      </c>
      <c r="Q3390" s="120" t="str">
        <f t="shared" si="3058"/>
        <v/>
      </c>
      <c r="R3390" s="185"/>
    </row>
    <row r="3391" spans="1:20" s="185" customFormat="1" ht="18" customHeight="1">
      <c r="A3391" s="1785"/>
      <c r="B3391" s="714"/>
      <c r="C3391" s="1893" t="s">
        <v>729</v>
      </c>
      <c r="D3391" s="173"/>
      <c r="E3391" s="1786"/>
      <c r="F3391" s="1787"/>
      <c r="G3391" s="710"/>
      <c r="H3391" s="710"/>
      <c r="I3391" s="710"/>
      <c r="J3391" s="711"/>
      <c r="K3391" s="684">
        <f t="shared" si="3029"/>
        <v>1</v>
      </c>
      <c r="L3391" s="708">
        <v>1</v>
      </c>
      <c r="M3391" s="684">
        <f t="shared" si="3030"/>
        <v>1</v>
      </c>
      <c r="N3391" s="362" t="str">
        <f t="shared" si="3055"/>
        <v/>
      </c>
      <c r="O3391" s="1763" t="str">
        <f t="shared" si="3056"/>
        <v/>
      </c>
      <c r="P3391" s="1764" t="str">
        <f t="shared" si="3057"/>
        <v/>
      </c>
      <c r="Q3391" s="120" t="str">
        <f t="shared" si="3058"/>
        <v/>
      </c>
    </row>
    <row r="3392" spans="1:20" s="897" customFormat="1" ht="18" customHeight="1">
      <c r="A3392" s="693"/>
      <c r="B3392" s="895">
        <v>12</v>
      </c>
      <c r="C3392" s="721" t="str">
        <f>VLOOKUP(D3392,base_datos,6,FALSE)</f>
        <v>Rotulado por circuito.</v>
      </c>
      <c r="D3392" s="1579" t="s">
        <v>3067</v>
      </c>
      <c r="E3392" s="1580">
        <f>VLOOKUP(D3392,base_datos,5,FALSE)</f>
        <v>0.7</v>
      </c>
      <c r="F3392" s="1581">
        <f t="shared" si="3066"/>
        <v>8.3999999999999986</v>
      </c>
      <c r="G3392" s="1772"/>
      <c r="H3392" s="1772"/>
      <c r="I3392" s="1772"/>
      <c r="J3392" s="896"/>
      <c r="K3392" s="684">
        <f t="shared" si="3029"/>
        <v>1</v>
      </c>
      <c r="L3392" s="708">
        <v>1</v>
      </c>
      <c r="M3392" s="684">
        <f t="shared" si="3030"/>
        <v>12</v>
      </c>
      <c r="N3392" s="362" t="str">
        <f t="shared" si="3055"/>
        <v/>
      </c>
      <c r="O3392" s="1763" t="str">
        <f t="shared" si="3056"/>
        <v/>
      </c>
      <c r="P3392" s="1764" t="str">
        <f t="shared" si="3057"/>
        <v/>
      </c>
      <c r="Q3392" s="120" t="str">
        <f t="shared" si="3058"/>
        <v/>
      </c>
    </row>
    <row r="3393" spans="1:18" s="897" customFormat="1" ht="18" customHeight="1">
      <c r="A3393" s="693"/>
      <c r="B3393" s="895">
        <v>1</v>
      </c>
      <c r="C3393" s="721" t="str">
        <f>VLOOKUP(D3393,base_datos,6,FALSE)</f>
        <v>Rotulado para TAG - tablero de distribución.</v>
      </c>
      <c r="D3393" s="1579" t="s">
        <v>3066</v>
      </c>
      <c r="E3393" s="1580">
        <f>VLOOKUP(D3393,base_datos,5,FALSE)</f>
        <v>1.5</v>
      </c>
      <c r="F3393" s="1581">
        <f t="shared" si="3066"/>
        <v>1.5</v>
      </c>
      <c r="G3393" s="1772"/>
      <c r="H3393" s="1772"/>
      <c r="I3393" s="1772"/>
      <c r="J3393" s="896"/>
      <c r="K3393" s="684">
        <f t="shared" si="3029"/>
        <v>1</v>
      </c>
      <c r="L3393" s="708">
        <v>1</v>
      </c>
      <c r="M3393" s="684">
        <f t="shared" si="3030"/>
        <v>1</v>
      </c>
      <c r="N3393" s="362" t="str">
        <f t="shared" si="3055"/>
        <v/>
      </c>
      <c r="O3393" s="1763" t="str">
        <f t="shared" si="3056"/>
        <v/>
      </c>
      <c r="P3393" s="1764" t="str">
        <f t="shared" si="3057"/>
        <v/>
      </c>
      <c r="Q3393" s="120" t="str">
        <f t="shared" si="3058"/>
        <v/>
      </c>
    </row>
    <row r="3394" spans="1:18" s="1237" customFormat="1" ht="18" customHeight="1">
      <c r="A3394" s="1767"/>
      <c r="B3394" s="2093">
        <v>1</v>
      </c>
      <c r="C3394" s="694" t="s">
        <v>12552</v>
      </c>
      <c r="D3394" s="1888"/>
      <c r="E3394" s="1580">
        <f>E3396*15%</f>
        <v>24</v>
      </c>
      <c r="F3394" s="1581">
        <f t="shared" si="3066"/>
        <v>24</v>
      </c>
      <c r="G3394" s="1774"/>
      <c r="H3394" s="1774"/>
      <c r="I3394" s="1774"/>
      <c r="J3394" s="1181"/>
      <c r="K3394" s="684">
        <f t="shared" si="3029"/>
        <v>1</v>
      </c>
      <c r="L3394" s="708">
        <v>1</v>
      </c>
      <c r="M3394" s="684">
        <f t="shared" si="3030"/>
        <v>1</v>
      </c>
      <c r="N3394" s="362" t="str">
        <f t="shared" si="3055"/>
        <v/>
      </c>
      <c r="O3394" s="1763" t="str">
        <f t="shared" si="3056"/>
        <v/>
      </c>
      <c r="P3394" s="1764" t="str">
        <f t="shared" si="3057"/>
        <v/>
      </c>
      <c r="Q3394" s="120" t="str">
        <f t="shared" si="3058"/>
        <v/>
      </c>
      <c r="R3394" s="1765"/>
    </row>
    <row r="3395" spans="1:18" s="1237" customFormat="1" ht="18" customHeight="1">
      <c r="A3395" s="1767"/>
      <c r="B3395" s="1773">
        <v>1</v>
      </c>
      <c r="C3395" s="694" t="s">
        <v>12559</v>
      </c>
      <c r="D3395" s="1888"/>
      <c r="E3395" s="1999">
        <f>E3396*20%</f>
        <v>32</v>
      </c>
      <c r="F3395" s="1581">
        <f t="shared" si="3066"/>
        <v>32</v>
      </c>
      <c r="G3395" s="1774"/>
      <c r="H3395" s="1774"/>
      <c r="I3395" s="1774"/>
      <c r="J3395" s="1181"/>
      <c r="K3395" s="684">
        <f t="shared" si="3029"/>
        <v>1</v>
      </c>
      <c r="L3395" s="708">
        <v>1</v>
      </c>
      <c r="M3395" s="684">
        <f t="shared" si="3030"/>
        <v>1</v>
      </c>
      <c r="N3395" s="362" t="str">
        <f t="shared" si="3055"/>
        <v/>
      </c>
      <c r="O3395" s="1763" t="str">
        <f t="shared" si="3056"/>
        <v/>
      </c>
      <c r="P3395" s="1764" t="str">
        <f t="shared" si="3057"/>
        <v/>
      </c>
      <c r="Q3395" s="120" t="str">
        <f t="shared" si="3058"/>
        <v/>
      </c>
      <c r="R3395" s="1765"/>
    </row>
    <row r="3396" spans="1:18" s="1237" customFormat="1" ht="18" customHeight="1">
      <c r="A3396" s="1767"/>
      <c r="B3396" s="1773">
        <v>1</v>
      </c>
      <c r="C3396" s="694" t="s">
        <v>12545</v>
      </c>
      <c r="D3396" s="1888"/>
      <c r="E3396" s="1999">
        <v>160</v>
      </c>
      <c r="F3396" s="1581">
        <f t="shared" si="3066"/>
        <v>160</v>
      </c>
      <c r="G3396" s="1774"/>
      <c r="H3396" s="1774"/>
      <c r="I3396" s="1774"/>
      <c r="J3396" s="1181"/>
      <c r="K3396" s="684">
        <f t="shared" si="3029"/>
        <v>1</v>
      </c>
      <c r="L3396" s="708">
        <v>1</v>
      </c>
      <c r="M3396" s="684">
        <f t="shared" si="3030"/>
        <v>1</v>
      </c>
      <c r="N3396" s="362" t="str">
        <f t="shared" si="3055"/>
        <v/>
      </c>
      <c r="O3396" s="1763" t="str">
        <f t="shared" si="3056"/>
        <v/>
      </c>
      <c r="P3396" s="1764" t="str">
        <f t="shared" si="3057"/>
        <v/>
      </c>
      <c r="Q3396" s="120" t="str">
        <f t="shared" si="3058"/>
        <v/>
      </c>
      <c r="R3396" s="1765"/>
    </row>
    <row r="3397" spans="1:18" s="120" customFormat="1" ht="18" customHeight="1" thickBot="1">
      <c r="A3397" s="1855"/>
      <c r="B3397" s="1854"/>
      <c r="C3397" s="1797"/>
      <c r="D3397" s="1889"/>
      <c r="E3397" s="1981"/>
      <c r="F3397" s="1981"/>
      <c r="G3397" s="1798"/>
      <c r="H3397" s="1798"/>
      <c r="I3397" s="1798"/>
      <c r="J3397" s="1799"/>
      <c r="K3397" s="1788"/>
      <c r="L3397" s="363"/>
      <c r="M3397" s="684"/>
      <c r="N3397" s="362" t="str">
        <f t="shared" si="3055"/>
        <v/>
      </c>
      <c r="O3397" s="1763" t="str">
        <f t="shared" si="3056"/>
        <v/>
      </c>
      <c r="P3397" s="1764" t="str">
        <f t="shared" si="3057"/>
        <v/>
      </c>
      <c r="Q3397" s="120" t="str">
        <f t="shared" si="3058"/>
        <v/>
      </c>
      <c r="R3397" s="185"/>
    </row>
    <row r="3398" spans="1:18" s="120" customFormat="1" ht="18" customHeight="1" thickBot="1">
      <c r="A3398" s="1989">
        <v>54</v>
      </c>
      <c r="B3398" s="1852">
        <v>1</v>
      </c>
      <c r="C3398" s="1756" t="s">
        <v>12615</v>
      </c>
      <c r="D3398" s="1588"/>
      <c r="E3398" s="1589"/>
      <c r="F3398" s="1589"/>
      <c r="G3398" s="1757">
        <f>SUM(F3399:F3458)</f>
        <v>2295.2649999999999</v>
      </c>
      <c r="H3398" s="1758">
        <f>G3398*(1-$D$6)</f>
        <v>2295.2649999999999</v>
      </c>
      <c r="I3398" s="1757">
        <f>ROUNDUP(H3398*$D$5,0)</f>
        <v>7804</v>
      </c>
      <c r="J3398" s="1759">
        <f>+I3398*B3398</f>
        <v>7804</v>
      </c>
      <c r="K3398" s="1788">
        <f>B3398</f>
        <v>1</v>
      </c>
      <c r="L3398" s="363"/>
      <c r="M3398" s="684"/>
      <c r="N3398" s="362" t="str">
        <f t="shared" ref="N3398:N3454" si="3067">IF(O3398&lt;&gt;"",K3398*L3398*M3398,"")</f>
        <v/>
      </c>
      <c r="O3398" s="1763" t="str">
        <f t="shared" ref="O3398:O3454" si="3068">IF(D3398&lt;&gt;"",IF(VLOOKUP(D3398,base_datos,7,FALSE)&lt;&gt;"",VLOOKUP(D3398,base_datos,7,FALSE),""),"")</f>
        <v/>
      </c>
      <c r="P3398" s="1764" t="str">
        <f t="shared" ref="P3398:P3454" si="3069">IF(O3398&lt;&gt;"",VLOOKUP(D3398,base_datos,6,FALSE),"")</f>
        <v/>
      </c>
      <c r="Q3398" s="120" t="str">
        <f t="shared" ref="Q3398:Q3454" si="3070">IF(O3398&lt;&gt;"",D3398,"")</f>
        <v/>
      </c>
      <c r="R3398" s="185"/>
    </row>
    <row r="3399" spans="1:18" s="120" customFormat="1" ht="15" customHeight="1">
      <c r="A3399" s="685" t="s">
        <v>3064</v>
      </c>
      <c r="B3399" s="2038"/>
      <c r="C3399" s="1954"/>
      <c r="D3399" s="1955"/>
      <c r="E3399" s="1789"/>
      <c r="F3399" s="1789"/>
      <c r="G3399" s="686"/>
      <c r="H3399" s="686"/>
      <c r="I3399" s="686"/>
      <c r="J3399" s="1768"/>
      <c r="K3399" s="684">
        <f>K3398</f>
        <v>1</v>
      </c>
      <c r="L3399" s="363">
        <v>1</v>
      </c>
      <c r="M3399" s="684">
        <f>IF(B3399="",1,B3399)</f>
        <v>1</v>
      </c>
      <c r="N3399" s="362" t="str">
        <f t="shared" si="3067"/>
        <v/>
      </c>
      <c r="O3399" s="1763" t="str">
        <f t="shared" si="3068"/>
        <v/>
      </c>
      <c r="P3399" s="1764" t="str">
        <f t="shared" si="3069"/>
        <v/>
      </c>
      <c r="Q3399" s="120" t="str">
        <f t="shared" si="3070"/>
        <v/>
      </c>
    </row>
    <row r="3400" spans="1:18" s="315" customFormat="1" ht="12" customHeight="1">
      <c r="A3400" s="687" t="s">
        <v>4021</v>
      </c>
      <c r="B3400" s="2096">
        <v>1</v>
      </c>
      <c r="C3400" s="1907" t="s">
        <v>5103</v>
      </c>
      <c r="D3400" s="1935"/>
      <c r="E3400" s="1786"/>
      <c r="F3400" s="1908">
        <f>SUM(F3402:F3406)*(B3400-1)</f>
        <v>0</v>
      </c>
      <c r="G3400" s="712"/>
      <c r="H3400" s="712"/>
      <c r="I3400" s="712"/>
      <c r="J3400" s="713"/>
      <c r="K3400" s="684">
        <f t="shared" ref="K3400:K3458" si="3071">K3399</f>
        <v>1</v>
      </c>
      <c r="L3400" s="1909">
        <f>B3400</f>
        <v>1</v>
      </c>
      <c r="M3400" s="684">
        <f t="shared" ref="M3400:M3458" si="3072">IF(B3400="",1,B3400)</f>
        <v>1</v>
      </c>
      <c r="N3400" s="362" t="str">
        <f t="shared" si="3067"/>
        <v/>
      </c>
      <c r="O3400" s="1763" t="str">
        <f t="shared" si="3068"/>
        <v/>
      </c>
      <c r="P3400" s="1764" t="str">
        <f t="shared" si="3069"/>
        <v/>
      </c>
      <c r="Q3400" s="120" t="str">
        <f t="shared" si="3070"/>
        <v/>
      </c>
    </row>
    <row r="3401" spans="1:18" s="185" customFormat="1">
      <c r="A3401" s="687" t="s">
        <v>4136</v>
      </c>
      <c r="B3401" s="1910">
        <v>3</v>
      </c>
      <c r="C3401" s="1911" t="str">
        <f>VLOOKUP(D3401,base_datos,6,FALSE)</f>
        <v>Portalámpara + lampara tipo LED - color Rojo - alimentacion: 220-230Vac, d=22mm. - CL2-523R - línea compacta - marca ABB.</v>
      </c>
      <c r="D3401" s="1790" t="s">
        <v>2439</v>
      </c>
      <c r="E3401" s="1939">
        <f>VLOOKUP(D3401,base_datos,5,FALSE)</f>
        <v>12.299999999999999</v>
      </c>
      <c r="F3401" s="1912">
        <f>+E3401*B3401</f>
        <v>36.9</v>
      </c>
      <c r="G3401" s="710"/>
      <c r="H3401" s="710"/>
      <c r="I3401" s="710"/>
      <c r="J3401" s="711"/>
      <c r="K3401" s="684">
        <f t="shared" si="3071"/>
        <v>1</v>
      </c>
      <c r="L3401" s="1913">
        <f>L3399</f>
        <v>1</v>
      </c>
      <c r="M3401" s="684">
        <f t="shared" si="3072"/>
        <v>3</v>
      </c>
      <c r="N3401" s="362">
        <f t="shared" si="3067"/>
        <v>3</v>
      </c>
      <c r="O3401" s="1763" t="str">
        <f t="shared" si="3068"/>
        <v>1SFA619403R5231</v>
      </c>
      <c r="P3401" s="1764" t="str">
        <f t="shared" si="3069"/>
        <v>Portalámpara + lampara tipo LED - color Rojo - alimentacion: 220-230Vac, d=22mm. - CL2-523R - línea compacta - marca ABB.</v>
      </c>
      <c r="Q3401" s="120" t="str">
        <f t="shared" si="3070"/>
        <v>LAMP_ROJO_220V</v>
      </c>
    </row>
    <row r="3402" spans="1:18" s="185" customFormat="1">
      <c r="A3402" s="687"/>
      <c r="B3402" s="1910">
        <v>3</v>
      </c>
      <c r="C3402" s="1911" t="str">
        <f>VLOOKUP(D3402,base_datos,6,FALSE)</f>
        <v>Portalámpara + lampara tipo LED - color Verde - alimentacion: 220-230Vac, d=22mm. - CL2-523G - línea compacta - marca ABB.</v>
      </c>
      <c r="D3402" s="1790" t="s">
        <v>2440</v>
      </c>
      <c r="E3402" s="1939">
        <f>VLOOKUP(D3402,base_datos,5,FALSE)</f>
        <v>12.299999999999999</v>
      </c>
      <c r="F3402" s="1912">
        <f>+E3402*B3402</f>
        <v>36.9</v>
      </c>
      <c r="G3402" s="710"/>
      <c r="H3402" s="710"/>
      <c r="I3402" s="710"/>
      <c r="J3402" s="711"/>
      <c r="K3402" s="684">
        <f t="shared" si="3071"/>
        <v>1</v>
      </c>
      <c r="L3402" s="1913">
        <f>L3400</f>
        <v>1</v>
      </c>
      <c r="M3402" s="684">
        <f t="shared" si="3072"/>
        <v>3</v>
      </c>
      <c r="N3402" s="362">
        <f t="shared" si="3067"/>
        <v>3</v>
      </c>
      <c r="O3402" s="1763" t="str">
        <f t="shared" si="3068"/>
        <v>1SFA619403R5232</v>
      </c>
      <c r="P3402" s="1764" t="str">
        <f t="shared" si="3069"/>
        <v>Portalámpara + lampara tipo LED - color Verde - alimentacion: 220-230Vac, d=22mm. - CL2-523G - línea compacta - marca ABB.</v>
      </c>
      <c r="Q3402" s="120" t="str">
        <f t="shared" si="3070"/>
        <v>LAMP_VERDE_220V</v>
      </c>
    </row>
    <row r="3403" spans="1:18" s="1921" customFormat="1">
      <c r="A3403" s="687" t="s">
        <v>12356</v>
      </c>
      <c r="B3403" s="1914">
        <v>1</v>
      </c>
      <c r="C3403" s="1915" t="s">
        <v>3366</v>
      </c>
      <c r="D3403" s="1916"/>
      <c r="E3403" s="1917"/>
      <c r="F3403" s="1918"/>
      <c r="G3403" s="1919"/>
      <c r="H3403" s="1919"/>
      <c r="I3403" s="1919"/>
      <c r="J3403" s="1920"/>
      <c r="K3403" s="684">
        <f t="shared" si="3071"/>
        <v>1</v>
      </c>
      <c r="L3403" s="1913">
        <f>L3402</f>
        <v>1</v>
      </c>
      <c r="M3403" s="684">
        <f t="shared" si="3072"/>
        <v>1</v>
      </c>
      <c r="N3403" s="362" t="str">
        <f t="shared" si="3067"/>
        <v/>
      </c>
      <c r="O3403" s="1763" t="str">
        <f t="shared" si="3068"/>
        <v/>
      </c>
      <c r="P3403" s="1764" t="str">
        <f t="shared" si="3069"/>
        <v/>
      </c>
      <c r="Q3403" s="120" t="str">
        <f t="shared" si="3070"/>
        <v/>
      </c>
    </row>
    <row r="3404" spans="1:18" s="320" customFormat="1">
      <c r="A3404" s="687" t="s">
        <v>12507</v>
      </c>
      <c r="B3404" s="1922">
        <v>1</v>
      </c>
      <c r="C3404" s="721" t="str">
        <f>VLOOKUP(D3404,base_datos,6,FALSE)</f>
        <v>Rele auxiliar enchufable +4NA/NC (D2PR4B + base D2PA6), 220Vac - marca EATON.</v>
      </c>
      <c r="D3404" s="1579" t="s">
        <v>772</v>
      </c>
      <c r="E3404" s="1581">
        <f>VLOOKUP(D3404,base_datos,5,FALSE)</f>
        <v>27</v>
      </c>
      <c r="F3404" s="1923">
        <f>+E3404*B3404</f>
        <v>27</v>
      </c>
      <c r="G3404" s="1924"/>
      <c r="H3404" s="1924"/>
      <c r="I3404" s="1924"/>
      <c r="J3404" s="722"/>
      <c r="K3404" s="684">
        <f t="shared" si="3071"/>
        <v>1</v>
      </c>
      <c r="L3404" s="1913">
        <f>L3401</f>
        <v>1</v>
      </c>
      <c r="M3404" s="684">
        <f t="shared" si="3072"/>
        <v>1</v>
      </c>
      <c r="N3404" s="362">
        <f t="shared" si="3067"/>
        <v>1</v>
      </c>
      <c r="O3404" s="1763" t="str">
        <f t="shared" si="3068"/>
        <v>D2PR4B+D2PA6</v>
      </c>
      <c r="P3404" s="1764" t="str">
        <f t="shared" si="3069"/>
        <v>Rele auxiliar enchufable +4NA/NC (D2PR4B + base D2PA6), 220Vac - marca EATON.</v>
      </c>
      <c r="Q3404" s="120" t="str">
        <f t="shared" si="3070"/>
        <v>D2PR4B+D2PA6</v>
      </c>
    </row>
    <row r="3405" spans="1:18" s="320" customFormat="1">
      <c r="A3405" s="1771"/>
      <c r="B3405" s="2131">
        <v>1</v>
      </c>
      <c r="C3405" s="2132" t="s">
        <v>12558</v>
      </c>
      <c r="D3405" s="2133"/>
      <c r="E3405" s="2134">
        <v>32</v>
      </c>
      <c r="F3405" s="2134">
        <f>+E3405*B3405</f>
        <v>32</v>
      </c>
      <c r="G3405" s="1924"/>
      <c r="H3405" s="1924"/>
      <c r="I3405" s="1924"/>
      <c r="J3405" s="722"/>
      <c r="K3405" s="684">
        <f t="shared" si="3071"/>
        <v>1</v>
      </c>
      <c r="L3405" s="1913">
        <f>L3402</f>
        <v>1</v>
      </c>
      <c r="M3405" s="684">
        <f t="shared" si="3072"/>
        <v>1</v>
      </c>
      <c r="N3405" s="362" t="str">
        <f t="shared" si="3067"/>
        <v/>
      </c>
      <c r="O3405" s="1763" t="str">
        <f t="shared" si="3068"/>
        <v/>
      </c>
      <c r="P3405" s="1764" t="str">
        <f t="shared" si="3069"/>
        <v/>
      </c>
      <c r="Q3405" s="120" t="str">
        <f t="shared" si="3070"/>
        <v/>
      </c>
    </row>
    <row r="3406" spans="1:18" s="320" customFormat="1">
      <c r="A3406" s="687" t="s">
        <v>12551</v>
      </c>
      <c r="B3406" s="1922">
        <v>4</v>
      </c>
      <c r="C3406" s="721" t="str">
        <f>VLOOKUP(D3406,base_datos,6,FALSE)</f>
        <v>Base portafusibles + Fusibles de protección para control.</v>
      </c>
      <c r="D3406" s="1579" t="s">
        <v>453</v>
      </c>
      <c r="E3406" s="1581">
        <f>VLOOKUP(D3406,base_datos,5,FALSE)</f>
        <v>8.1750000000000007</v>
      </c>
      <c r="F3406" s="1923">
        <f>+E3406*B3406</f>
        <v>32.700000000000003</v>
      </c>
      <c r="G3406" s="1924"/>
      <c r="H3406" s="1924"/>
      <c r="I3406" s="1924"/>
      <c r="J3406" s="722"/>
      <c r="K3406" s="684">
        <f t="shared" si="3071"/>
        <v>1</v>
      </c>
      <c r="L3406" s="1913">
        <f>L3403</f>
        <v>1</v>
      </c>
      <c r="M3406" s="684">
        <f t="shared" si="3072"/>
        <v>4</v>
      </c>
      <c r="N3406" s="362" t="str">
        <f t="shared" si="3067"/>
        <v/>
      </c>
      <c r="O3406" s="1763" t="str">
        <f t="shared" si="3068"/>
        <v/>
      </c>
      <c r="P3406" s="1764" t="str">
        <f t="shared" si="3069"/>
        <v/>
      </c>
      <c r="Q3406" s="120" t="str">
        <f t="shared" si="3070"/>
        <v/>
      </c>
    </row>
    <row r="3407" spans="1:18" s="315" customFormat="1">
      <c r="A3407" s="687" t="s">
        <v>3542</v>
      </c>
      <c r="B3407" s="1906"/>
      <c r="C3407" s="1907"/>
      <c r="D3407" s="1935"/>
      <c r="E3407" s="1786"/>
      <c r="F3407" s="1936"/>
      <c r="G3407" s="712"/>
      <c r="H3407" s="712"/>
      <c r="I3407" s="712"/>
      <c r="J3407" s="713"/>
      <c r="K3407" s="684">
        <f t="shared" si="3071"/>
        <v>1</v>
      </c>
      <c r="L3407" s="363">
        <v>1</v>
      </c>
      <c r="M3407" s="684">
        <f t="shared" si="3072"/>
        <v>1</v>
      </c>
      <c r="N3407" s="362" t="str">
        <f t="shared" si="3067"/>
        <v/>
      </c>
      <c r="O3407" s="1763" t="str">
        <f t="shared" si="3068"/>
        <v/>
      </c>
      <c r="P3407" s="1764" t="str">
        <f t="shared" si="3069"/>
        <v/>
      </c>
      <c r="Q3407" s="120" t="str">
        <f t="shared" si="3070"/>
        <v/>
      </c>
    </row>
    <row r="3408" spans="1:18" s="120" customFormat="1" ht="18" customHeight="1">
      <c r="A3408" s="2073"/>
      <c r="B3408" s="1925"/>
      <c r="C3408" s="1926" t="s">
        <v>729</v>
      </c>
      <c r="D3408" s="1927"/>
      <c r="E3408" s="1891"/>
      <c r="F3408" s="1789"/>
      <c r="G3408" s="686"/>
      <c r="H3408" s="686"/>
      <c r="I3408" s="686"/>
      <c r="J3408" s="1768"/>
      <c r="K3408" s="684">
        <f t="shared" si="3071"/>
        <v>1</v>
      </c>
      <c r="L3408" s="363">
        <v>1</v>
      </c>
      <c r="M3408" s="684">
        <f t="shared" si="3072"/>
        <v>1</v>
      </c>
      <c r="N3408" s="362" t="str">
        <f t="shared" si="3067"/>
        <v/>
      </c>
      <c r="O3408" s="1763" t="str">
        <f t="shared" si="3068"/>
        <v/>
      </c>
      <c r="P3408" s="1764" t="str">
        <f t="shared" si="3069"/>
        <v/>
      </c>
      <c r="Q3408" s="120" t="str">
        <f t="shared" si="3070"/>
        <v/>
      </c>
    </row>
    <row r="3409" spans="1:20" s="120" customFormat="1">
      <c r="A3409" s="692"/>
      <c r="B3409" s="2039"/>
      <c r="C3409" s="1959" t="s">
        <v>12371</v>
      </c>
      <c r="D3409" s="173"/>
      <c r="E3409" s="1791"/>
      <c r="F3409" s="1782"/>
      <c r="G3409" s="686"/>
      <c r="H3409" s="686"/>
      <c r="I3409" s="686"/>
      <c r="J3409" s="688"/>
      <c r="K3409" s="684">
        <f t="shared" si="3071"/>
        <v>1</v>
      </c>
      <c r="L3409" s="363">
        <v>1</v>
      </c>
      <c r="M3409" s="684">
        <f t="shared" si="3072"/>
        <v>1</v>
      </c>
      <c r="N3409" s="362" t="str">
        <f t="shared" si="3067"/>
        <v/>
      </c>
      <c r="O3409" s="1763" t="str">
        <f t="shared" si="3068"/>
        <v/>
      </c>
      <c r="P3409" s="1764" t="str">
        <f t="shared" si="3069"/>
        <v/>
      </c>
      <c r="Q3409" s="120" t="str">
        <f t="shared" si="3070"/>
        <v/>
      </c>
      <c r="R3409" s="185"/>
    </row>
    <row r="3410" spans="1:20" s="690" customFormat="1">
      <c r="A3410" s="1785"/>
      <c r="B3410" s="2039">
        <v>1</v>
      </c>
      <c r="C3410" s="1960" t="str">
        <f>VLOOKUP(D3410,base_datos,6,FALSE)</f>
        <v>ITM Caja Moldeada 3x40A (reg.[0.7-1.0] In) - XT1B160-40A-3P-TMD - 25kA@230Vac, 18kA@415Vac, 18kA@250Vdc - marca ABB.</v>
      </c>
      <c r="D3410" s="1901" t="s">
        <v>4366</v>
      </c>
      <c r="E3410" s="1791">
        <f>VLOOKUP(D3410,base_datos,5,FALSE)</f>
        <v>120.37</v>
      </c>
      <c r="F3410" s="1782">
        <f>+E3410*B3410</f>
        <v>120.37</v>
      </c>
      <c r="G3410" s="1761"/>
      <c r="H3410" s="1761"/>
      <c r="I3410" s="1761"/>
      <c r="J3410" s="689"/>
      <c r="K3410" s="684">
        <f t="shared" si="3071"/>
        <v>1</v>
      </c>
      <c r="L3410" s="363">
        <v>1</v>
      </c>
      <c r="M3410" s="684">
        <f t="shared" si="3072"/>
        <v>1</v>
      </c>
      <c r="N3410" s="362">
        <f t="shared" si="3067"/>
        <v>1</v>
      </c>
      <c r="O3410" s="1763" t="str">
        <f t="shared" si="3068"/>
        <v>1SDA066803R1</v>
      </c>
      <c r="P3410" s="1764" t="str">
        <f t="shared" si="3069"/>
        <v>ITM Caja Moldeada 3x40A (reg.[0.7-1.0] In) - XT1B160-40A-3P-TMD - 25kA@230Vac, 18kA@415Vac, 18kA@250Vdc - marca ABB.</v>
      </c>
      <c r="Q3410" s="120" t="str">
        <f t="shared" si="3070"/>
        <v>XT1B160-40A-3P-TMD</v>
      </c>
      <c r="R3410" s="185"/>
    </row>
    <row r="3411" spans="1:20" s="185" customFormat="1">
      <c r="A3411" s="1961"/>
      <c r="B3411" s="2087"/>
      <c r="C3411" s="1956" t="s">
        <v>12368</v>
      </c>
      <c r="D3411" s="2021"/>
      <c r="E3411" s="1786"/>
      <c r="F3411" s="1787"/>
      <c r="G3411" s="710"/>
      <c r="H3411" s="710"/>
      <c r="I3411" s="710"/>
      <c r="J3411" s="711"/>
      <c r="K3411" s="684">
        <f t="shared" si="3071"/>
        <v>1</v>
      </c>
      <c r="L3411" s="363">
        <v>1</v>
      </c>
      <c r="M3411" s="684">
        <f t="shared" si="3072"/>
        <v>1</v>
      </c>
      <c r="N3411" s="362" t="str">
        <f t="shared" si="3067"/>
        <v/>
      </c>
      <c r="O3411" s="1763" t="str">
        <f t="shared" si="3068"/>
        <v/>
      </c>
      <c r="P3411" s="1764" t="str">
        <f t="shared" si="3069"/>
        <v/>
      </c>
      <c r="Q3411" s="120" t="str">
        <f t="shared" si="3070"/>
        <v/>
      </c>
    </row>
    <row r="3412" spans="1:20" s="315" customFormat="1">
      <c r="A3412" s="1976"/>
      <c r="B3412" s="2028"/>
      <c r="C3412" s="1944" t="s">
        <v>3063</v>
      </c>
      <c r="D3412" s="2022"/>
      <c r="E3412" s="1786"/>
      <c r="F3412" s="1787"/>
      <c r="G3412" s="712"/>
      <c r="H3412" s="712"/>
      <c r="I3412" s="712"/>
      <c r="J3412" s="713"/>
      <c r="K3412" s="684">
        <f t="shared" si="3071"/>
        <v>1</v>
      </c>
      <c r="L3412" s="363">
        <v>1</v>
      </c>
      <c r="M3412" s="684">
        <f t="shared" si="3072"/>
        <v>1</v>
      </c>
      <c r="N3412" s="362" t="str">
        <f t="shared" si="3067"/>
        <v/>
      </c>
      <c r="O3412" s="1763" t="str">
        <f t="shared" si="3068"/>
        <v/>
      </c>
      <c r="P3412" s="1764" t="str">
        <f t="shared" si="3069"/>
        <v/>
      </c>
      <c r="Q3412" s="120" t="str">
        <f t="shared" si="3070"/>
        <v/>
      </c>
    </row>
    <row r="3413" spans="1:20" s="1921" customFormat="1">
      <c r="A3413" s="1771"/>
      <c r="B3413" s="2088">
        <v>1</v>
      </c>
      <c r="C3413" s="1963" t="s">
        <v>12370</v>
      </c>
      <c r="D3413" s="2022"/>
      <c r="E3413" s="1917"/>
      <c r="F3413" s="1937"/>
      <c r="G3413" s="1919"/>
      <c r="H3413" s="1919"/>
      <c r="I3413" s="1919"/>
      <c r="J3413" s="1920"/>
      <c r="K3413" s="684">
        <f t="shared" si="3071"/>
        <v>1</v>
      </c>
      <c r="L3413" s="363">
        <v>1</v>
      </c>
      <c r="M3413" s="684">
        <f t="shared" si="3072"/>
        <v>1</v>
      </c>
      <c r="N3413" s="362" t="str">
        <f t="shared" si="3067"/>
        <v/>
      </c>
      <c r="O3413" s="1763" t="str">
        <f t="shared" si="3068"/>
        <v/>
      </c>
      <c r="P3413" s="1764" t="str">
        <f t="shared" si="3069"/>
        <v/>
      </c>
      <c r="Q3413" s="120" t="str">
        <f t="shared" si="3070"/>
        <v/>
      </c>
    </row>
    <row r="3414" spans="1:20" s="897" customFormat="1" ht="27" customHeight="1">
      <c r="A3414" s="687"/>
      <c r="B3414" s="2086">
        <v>3</v>
      </c>
      <c r="C3414" s="1964" t="str">
        <f t="shared" ref="C3414" si="3073">VLOOKUP(D3414,base_datos,6,FALSE)</f>
        <v>Borne 35mm2.</v>
      </c>
      <c r="D3414" s="1579" t="s">
        <v>8285</v>
      </c>
      <c r="E3414" s="1952">
        <f t="shared" ref="E3414" si="3074">VLOOKUP(D3414,base_datos,5,FALSE)</f>
        <v>15</v>
      </c>
      <c r="F3414" s="1580">
        <f>+E3414*B3414</f>
        <v>45</v>
      </c>
      <c r="G3414" s="1772"/>
      <c r="H3414" s="1772"/>
      <c r="I3414" s="1772"/>
      <c r="J3414" s="896"/>
      <c r="K3414" s="684">
        <f t="shared" si="3071"/>
        <v>1</v>
      </c>
      <c r="L3414" s="363">
        <v>1</v>
      </c>
      <c r="M3414" s="684">
        <f t="shared" si="3072"/>
        <v>3</v>
      </c>
      <c r="N3414" s="362" t="str">
        <f t="shared" si="3067"/>
        <v/>
      </c>
      <c r="O3414" s="1763" t="str">
        <f t="shared" si="3068"/>
        <v/>
      </c>
      <c r="P3414" s="1764" t="str">
        <f t="shared" si="3069"/>
        <v/>
      </c>
      <c r="Q3414" s="120" t="str">
        <f t="shared" si="3070"/>
        <v/>
      </c>
      <c r="R3414" s="690"/>
      <c r="S3414" s="690"/>
    </row>
    <row r="3415" spans="1:20" s="185" customFormat="1">
      <c r="A3415" s="687"/>
      <c r="B3415" s="2086"/>
      <c r="C3415" s="1956" t="s">
        <v>12368</v>
      </c>
      <c r="D3415" s="1579"/>
      <c r="E3415" s="1957"/>
      <c r="F3415" s="1958"/>
      <c r="G3415" s="710"/>
      <c r="H3415" s="710"/>
      <c r="I3415" s="710"/>
      <c r="J3415" s="711"/>
      <c r="K3415" s="684">
        <f t="shared" si="3071"/>
        <v>1</v>
      </c>
      <c r="L3415" s="363">
        <v>1</v>
      </c>
      <c r="M3415" s="684">
        <f t="shared" si="3072"/>
        <v>1</v>
      </c>
      <c r="N3415" s="362" t="str">
        <f t="shared" si="3067"/>
        <v/>
      </c>
      <c r="O3415" s="1763" t="str">
        <f t="shared" si="3068"/>
        <v/>
      </c>
      <c r="P3415" s="1764" t="str">
        <f t="shared" si="3069"/>
        <v/>
      </c>
      <c r="Q3415" s="120" t="str">
        <f t="shared" si="3070"/>
        <v/>
      </c>
    </row>
    <row r="3416" spans="1:20" s="690" customFormat="1" ht="18" customHeight="1">
      <c r="A3416" s="687"/>
      <c r="B3416" s="2043"/>
      <c r="C3416" s="1894" t="s">
        <v>3377</v>
      </c>
      <c r="D3416" s="1582"/>
      <c r="E3416" s="1780"/>
      <c r="F3416" s="1782"/>
      <c r="G3416" s="1761"/>
      <c r="H3416" s="1772"/>
      <c r="I3416" s="1772"/>
      <c r="J3416" s="689"/>
      <c r="K3416" s="684">
        <f t="shared" si="3071"/>
        <v>1</v>
      </c>
      <c r="L3416" s="363">
        <v>1</v>
      </c>
      <c r="M3416" s="684">
        <f t="shared" si="3072"/>
        <v>1</v>
      </c>
      <c r="N3416" s="362" t="str">
        <f t="shared" si="3067"/>
        <v/>
      </c>
      <c r="O3416" s="1763" t="str">
        <f t="shared" si="3068"/>
        <v/>
      </c>
      <c r="P3416" s="1764" t="str">
        <f t="shared" si="3069"/>
        <v/>
      </c>
      <c r="Q3416" s="120" t="str">
        <f t="shared" si="3070"/>
        <v/>
      </c>
      <c r="R3416" s="185"/>
    </row>
    <row r="3417" spans="1:20" s="690" customFormat="1">
      <c r="A3417" s="1961"/>
      <c r="B3417" s="2039">
        <v>2</v>
      </c>
      <c r="C3417" s="1420" t="str">
        <f>VLOOKUP(D3417,base_datos,6,FALSE)</f>
        <v>ITM Riel-Din 3x32A - S203-C-32A - 10kA@400Vac-IEC60947-2 - marca ABB.</v>
      </c>
      <c r="D3417" s="1790" t="s">
        <v>981</v>
      </c>
      <c r="E3417" s="1791">
        <f>VLOOKUP(D3417,base_datos,5,FALSE)</f>
        <v>33.04</v>
      </c>
      <c r="F3417" s="1782">
        <f>+E3417*B3417</f>
        <v>66.08</v>
      </c>
      <c r="G3417" s="1761"/>
      <c r="H3417" s="710"/>
      <c r="I3417" s="710"/>
      <c r="J3417" s="689"/>
      <c r="K3417" s="684">
        <f t="shared" si="3071"/>
        <v>1</v>
      </c>
      <c r="L3417" s="708">
        <v>1</v>
      </c>
      <c r="M3417" s="684">
        <f t="shared" si="3072"/>
        <v>2</v>
      </c>
      <c r="N3417" s="362">
        <f t="shared" si="3067"/>
        <v>2</v>
      </c>
      <c r="O3417" s="1763" t="str">
        <f t="shared" si="3068"/>
        <v>2CDS253001R0324</v>
      </c>
      <c r="P3417" s="1764" t="str">
        <f t="shared" si="3069"/>
        <v>ITM Riel-Din 3x32A - S203-C-32A - 10kA@400Vac-IEC60947-2 - marca ABB.</v>
      </c>
      <c r="Q3417" s="120" t="str">
        <f t="shared" si="3070"/>
        <v>S203-C-32A</v>
      </c>
      <c r="R3417" s="185"/>
    </row>
    <row r="3418" spans="1:20" s="185" customFormat="1">
      <c r="A3418" s="692"/>
      <c r="B3418" s="2087"/>
      <c r="C3418" s="1956" t="s">
        <v>12368</v>
      </c>
      <c r="D3418" s="2021"/>
      <c r="E3418" s="1786"/>
      <c r="F3418" s="1787"/>
      <c r="G3418" s="710"/>
      <c r="H3418" s="1772"/>
      <c r="I3418" s="1772"/>
      <c r="J3418" s="711"/>
      <c r="K3418" s="684">
        <f t="shared" si="3071"/>
        <v>1</v>
      </c>
      <c r="L3418" s="708">
        <v>1</v>
      </c>
      <c r="M3418" s="684">
        <f t="shared" si="3072"/>
        <v>1</v>
      </c>
      <c r="N3418" s="362" t="str">
        <f t="shared" si="3067"/>
        <v/>
      </c>
      <c r="O3418" s="1763" t="str">
        <f t="shared" si="3068"/>
        <v/>
      </c>
      <c r="P3418" s="1764" t="str">
        <f t="shared" si="3069"/>
        <v/>
      </c>
      <c r="Q3418" s="120" t="str">
        <f t="shared" si="3070"/>
        <v/>
      </c>
    </row>
    <row r="3419" spans="1:20" s="315" customFormat="1">
      <c r="A3419" s="1785"/>
      <c r="B3419" s="2028"/>
      <c r="C3419" s="1944" t="s">
        <v>3063</v>
      </c>
      <c r="D3419" s="2022"/>
      <c r="E3419" s="1786"/>
      <c r="F3419" s="1787"/>
      <c r="G3419" s="712"/>
      <c r="H3419" s="710"/>
      <c r="I3419" s="710"/>
      <c r="J3419" s="713"/>
      <c r="K3419" s="684">
        <f t="shared" si="3071"/>
        <v>1</v>
      </c>
      <c r="L3419" s="708">
        <v>1</v>
      </c>
      <c r="M3419" s="684">
        <f t="shared" si="3072"/>
        <v>1</v>
      </c>
      <c r="N3419" s="362" t="str">
        <f t="shared" si="3067"/>
        <v/>
      </c>
      <c r="O3419" s="1763" t="str">
        <f t="shared" si="3068"/>
        <v/>
      </c>
      <c r="P3419" s="1764" t="str">
        <f t="shared" si="3069"/>
        <v/>
      </c>
      <c r="Q3419" s="120" t="str">
        <f t="shared" si="3070"/>
        <v/>
      </c>
    </row>
    <row r="3420" spans="1:20" s="1921" customFormat="1">
      <c r="A3420" s="1961"/>
      <c r="B3420" s="2088">
        <v>1</v>
      </c>
      <c r="C3420" s="1963" t="s">
        <v>12372</v>
      </c>
      <c r="D3420" s="1941"/>
      <c r="E3420" s="1917"/>
      <c r="F3420" s="1937"/>
      <c r="G3420" s="1919"/>
      <c r="H3420" s="1772"/>
      <c r="I3420" s="1772"/>
      <c r="J3420" s="1920"/>
      <c r="K3420" s="684">
        <f t="shared" si="3071"/>
        <v>1</v>
      </c>
      <c r="L3420" s="708">
        <v>1</v>
      </c>
      <c r="M3420" s="684">
        <f t="shared" si="3072"/>
        <v>1</v>
      </c>
      <c r="N3420" s="362" t="str">
        <f t="shared" si="3067"/>
        <v/>
      </c>
      <c r="O3420" s="1763" t="str">
        <f t="shared" si="3068"/>
        <v/>
      </c>
      <c r="P3420" s="1764" t="str">
        <f t="shared" si="3069"/>
        <v/>
      </c>
      <c r="Q3420" s="120" t="str">
        <f t="shared" si="3070"/>
        <v/>
      </c>
    </row>
    <row r="3421" spans="1:20" s="185" customFormat="1">
      <c r="A3421" s="1976"/>
      <c r="B3421" s="2089">
        <v>4</v>
      </c>
      <c r="C3421" s="721" t="str">
        <f>VLOOKUP(D3421,base_datos,6,FALSE)</f>
        <v>Borne 35mm2.</v>
      </c>
      <c r="D3421" s="173" t="s">
        <v>8285</v>
      </c>
      <c r="E3421" s="1978">
        <f t="shared" ref="E3421" si="3075">VLOOKUP(D3421,base_datos,5,FALSE)</f>
        <v>15</v>
      </c>
      <c r="F3421" s="1971">
        <f t="shared" ref="F3421" si="3076">+E3421*B3421</f>
        <v>60</v>
      </c>
      <c r="G3421" s="1965"/>
      <c r="H3421" s="710"/>
      <c r="I3421" s="710"/>
      <c r="J3421" s="711"/>
      <c r="K3421" s="684">
        <f t="shared" si="3071"/>
        <v>1</v>
      </c>
      <c r="L3421" s="363">
        <v>1</v>
      </c>
      <c r="M3421" s="684">
        <f t="shared" si="3072"/>
        <v>4</v>
      </c>
      <c r="N3421" s="362" t="str">
        <f t="shared" si="3067"/>
        <v/>
      </c>
      <c r="O3421" s="1763" t="str">
        <f t="shared" si="3068"/>
        <v/>
      </c>
      <c r="P3421" s="1764" t="str">
        <f t="shared" si="3069"/>
        <v/>
      </c>
      <c r="Q3421" s="120" t="str">
        <f t="shared" si="3070"/>
        <v/>
      </c>
      <c r="R3421" s="690"/>
      <c r="S3421" s="1979"/>
      <c r="T3421" s="1979"/>
    </row>
    <row r="3422" spans="1:20" s="185" customFormat="1">
      <c r="A3422" s="1771"/>
      <c r="B3422" s="2086"/>
      <c r="C3422" s="1956" t="s">
        <v>12368</v>
      </c>
      <c r="D3422" s="1579"/>
      <c r="E3422" s="1957"/>
      <c r="F3422" s="1958"/>
      <c r="G3422" s="710"/>
      <c r="H3422" s="1772"/>
      <c r="I3422" s="1772"/>
      <c r="J3422" s="711"/>
      <c r="K3422" s="684">
        <f t="shared" si="3071"/>
        <v>1</v>
      </c>
      <c r="L3422" s="708">
        <v>1</v>
      </c>
      <c r="M3422" s="684">
        <f t="shared" si="3072"/>
        <v>1</v>
      </c>
      <c r="N3422" s="362" t="str">
        <f t="shared" si="3067"/>
        <v/>
      </c>
      <c r="O3422" s="1763" t="str">
        <f t="shared" si="3068"/>
        <v/>
      </c>
      <c r="P3422" s="1764" t="str">
        <f t="shared" si="3069"/>
        <v/>
      </c>
      <c r="Q3422" s="120" t="str">
        <f t="shared" si="3070"/>
        <v/>
      </c>
    </row>
    <row r="3423" spans="1:20" s="120" customFormat="1">
      <c r="A3423" s="687"/>
      <c r="B3423" s="2039"/>
      <c r="C3423" s="1959" t="s">
        <v>12373</v>
      </c>
      <c r="D3423" s="173"/>
      <c r="E3423" s="1791"/>
      <c r="F3423" s="1782"/>
      <c r="G3423" s="686"/>
      <c r="H3423" s="710"/>
      <c r="I3423" s="710"/>
      <c r="J3423" s="688"/>
      <c r="K3423" s="684">
        <f t="shared" si="3071"/>
        <v>1</v>
      </c>
      <c r="L3423" s="363">
        <v>1</v>
      </c>
      <c r="M3423" s="684">
        <f t="shared" si="3072"/>
        <v>1</v>
      </c>
      <c r="N3423" s="362" t="str">
        <f t="shared" si="3067"/>
        <v/>
      </c>
      <c r="O3423" s="1763" t="str">
        <f t="shared" si="3068"/>
        <v/>
      </c>
      <c r="P3423" s="1764" t="str">
        <f t="shared" si="3069"/>
        <v/>
      </c>
      <c r="Q3423" s="120" t="str">
        <f t="shared" si="3070"/>
        <v/>
      </c>
      <c r="R3423" s="185"/>
    </row>
    <row r="3424" spans="1:20" s="185" customFormat="1">
      <c r="A3424" s="687"/>
      <c r="B3424" s="2087"/>
      <c r="C3424" s="1956" t="s">
        <v>12368</v>
      </c>
      <c r="D3424" s="2018"/>
      <c r="E3424" s="1786"/>
      <c r="F3424" s="1787"/>
      <c r="G3424" s="710"/>
      <c r="H3424" s="1772"/>
      <c r="I3424" s="1772"/>
      <c r="J3424" s="711"/>
      <c r="K3424" s="684">
        <f t="shared" si="3071"/>
        <v>1</v>
      </c>
      <c r="L3424" s="708">
        <v>1</v>
      </c>
      <c r="M3424" s="684">
        <f t="shared" si="3072"/>
        <v>1</v>
      </c>
      <c r="N3424" s="362" t="str">
        <f t="shared" si="3067"/>
        <v/>
      </c>
      <c r="O3424" s="1763" t="str">
        <f t="shared" si="3068"/>
        <v/>
      </c>
      <c r="P3424" s="1764" t="str">
        <f t="shared" si="3069"/>
        <v/>
      </c>
      <c r="Q3424" s="120" t="str">
        <f t="shared" si="3070"/>
        <v/>
      </c>
    </row>
    <row r="3425" spans="1:20" s="315" customFormat="1">
      <c r="A3425" s="687"/>
      <c r="B3425" s="2083">
        <v>1</v>
      </c>
      <c r="C3425" s="1907" t="s">
        <v>12369</v>
      </c>
      <c r="D3425" s="2017"/>
      <c r="E3425" s="1786"/>
      <c r="F3425" s="1936">
        <f>SUM(F3426:F3427)*(B3425-1)</f>
        <v>0</v>
      </c>
      <c r="G3425" s="712"/>
      <c r="H3425" s="710"/>
      <c r="I3425" s="710"/>
      <c r="J3425" s="713"/>
      <c r="K3425" s="684">
        <f t="shared" si="3071"/>
        <v>1</v>
      </c>
      <c r="L3425" s="1909">
        <f>B3425</f>
        <v>1</v>
      </c>
      <c r="M3425" s="684">
        <f t="shared" si="3072"/>
        <v>1</v>
      </c>
      <c r="N3425" s="362" t="str">
        <f t="shared" si="3067"/>
        <v/>
      </c>
      <c r="O3425" s="1763" t="str">
        <f t="shared" si="3068"/>
        <v/>
      </c>
      <c r="P3425" s="1764" t="str">
        <f t="shared" si="3069"/>
        <v/>
      </c>
      <c r="Q3425" s="120" t="str">
        <f t="shared" si="3070"/>
        <v/>
      </c>
    </row>
    <row r="3426" spans="1:20" s="185" customFormat="1">
      <c r="A3426" s="1961"/>
      <c r="B3426" s="2084">
        <v>2</v>
      </c>
      <c r="C3426" s="1911" t="str">
        <f>VLOOKUP(D3426,base_datos,6,FALSE)</f>
        <v>ITM Riel-Din 3x32A - S203-C-32A - 10kA@400Vac-IEC60947-2 - marca ABB.</v>
      </c>
      <c r="D3426" s="1790" t="s">
        <v>981</v>
      </c>
      <c r="E3426" s="1787">
        <f>VLOOKUP(D3426,base_datos,5,FALSE)</f>
        <v>33.04</v>
      </c>
      <c r="F3426" s="1912">
        <f>+E3426*B3426</f>
        <v>66.08</v>
      </c>
      <c r="G3426" s="710"/>
      <c r="H3426" s="1772"/>
      <c r="I3426" s="1772"/>
      <c r="J3426" s="711"/>
      <c r="K3426" s="684">
        <f t="shared" si="3071"/>
        <v>1</v>
      </c>
      <c r="L3426" s="1913">
        <f>L3425</f>
        <v>1</v>
      </c>
      <c r="M3426" s="684">
        <f t="shared" si="3072"/>
        <v>2</v>
      </c>
      <c r="N3426" s="362">
        <f t="shared" si="3067"/>
        <v>2</v>
      </c>
      <c r="O3426" s="1763" t="str">
        <f t="shared" si="3068"/>
        <v>2CDS253001R0324</v>
      </c>
      <c r="P3426" s="1764" t="str">
        <f t="shared" si="3069"/>
        <v>ITM Riel-Din 3x32A - S203-C-32A - 10kA@400Vac-IEC60947-2 - marca ABB.</v>
      </c>
      <c r="Q3426" s="120" t="str">
        <f t="shared" si="3070"/>
        <v>S203-C-32A</v>
      </c>
    </row>
    <row r="3427" spans="1:20" s="1921" customFormat="1">
      <c r="A3427" s="1771"/>
      <c r="B3427" s="2085">
        <v>1</v>
      </c>
      <c r="C3427" s="1911" t="str">
        <f>VLOOKUP(D3427,base_datos,6,FALSE)</f>
        <v>Bloqueo mecánico para enclavamiento manual entre dos interruptores - Riel-Din.</v>
      </c>
      <c r="D3427" s="1790" t="s">
        <v>5954</v>
      </c>
      <c r="E3427" s="1787">
        <f>VLOOKUP(D3427,base_datos,5,FALSE)</f>
        <v>50</v>
      </c>
      <c r="F3427" s="1912">
        <f>+E3427*B3427</f>
        <v>50</v>
      </c>
      <c r="G3427" s="1919"/>
      <c r="H3427" s="710"/>
      <c r="I3427" s="710"/>
      <c r="J3427" s="1920"/>
      <c r="K3427" s="684">
        <f t="shared" si="3071"/>
        <v>1</v>
      </c>
      <c r="L3427" s="1913">
        <f>L3426</f>
        <v>1</v>
      </c>
      <c r="M3427" s="684">
        <f t="shared" si="3072"/>
        <v>1</v>
      </c>
      <c r="N3427" s="362" t="str">
        <f t="shared" si="3067"/>
        <v/>
      </c>
      <c r="O3427" s="1763" t="str">
        <f t="shared" si="3068"/>
        <v/>
      </c>
      <c r="P3427" s="1764" t="str">
        <f t="shared" si="3069"/>
        <v/>
      </c>
      <c r="Q3427" s="120" t="str">
        <f t="shared" si="3070"/>
        <v/>
      </c>
    </row>
    <row r="3428" spans="1:20" s="185" customFormat="1">
      <c r="A3428" s="687"/>
      <c r="B3428" s="2087"/>
      <c r="C3428" s="1956" t="s">
        <v>12368</v>
      </c>
      <c r="D3428" s="173"/>
      <c r="E3428" s="1786"/>
      <c r="F3428" s="1787"/>
      <c r="G3428" s="710"/>
      <c r="H3428" s="1772"/>
      <c r="I3428" s="1772"/>
      <c r="J3428" s="711"/>
      <c r="K3428" s="684">
        <f t="shared" si="3071"/>
        <v>1</v>
      </c>
      <c r="L3428" s="363">
        <v>1</v>
      </c>
      <c r="M3428" s="684">
        <f t="shared" si="3072"/>
        <v>1</v>
      </c>
      <c r="N3428" s="362" t="str">
        <f t="shared" si="3067"/>
        <v/>
      </c>
      <c r="O3428" s="1763" t="str">
        <f t="shared" si="3068"/>
        <v/>
      </c>
      <c r="P3428" s="1764" t="str">
        <f t="shared" si="3069"/>
        <v/>
      </c>
      <c r="Q3428" s="120" t="str">
        <f t="shared" si="3070"/>
        <v/>
      </c>
    </row>
    <row r="3429" spans="1:20" s="690" customFormat="1">
      <c r="A3429" s="687"/>
      <c r="B3429" s="2043"/>
      <c r="C3429" s="1966" t="s">
        <v>2654</v>
      </c>
      <c r="D3429" s="1582"/>
      <c r="E3429" s="1780"/>
      <c r="F3429" s="1782"/>
      <c r="G3429" s="1761"/>
      <c r="H3429" s="710"/>
      <c r="I3429" s="710"/>
      <c r="J3429" s="689"/>
      <c r="K3429" s="684">
        <f t="shared" si="3071"/>
        <v>1</v>
      </c>
      <c r="L3429" s="363">
        <v>1</v>
      </c>
      <c r="M3429" s="684">
        <f t="shared" si="3072"/>
        <v>1</v>
      </c>
      <c r="N3429" s="362" t="str">
        <f t="shared" si="3067"/>
        <v/>
      </c>
      <c r="O3429" s="1763" t="str">
        <f t="shared" si="3068"/>
        <v/>
      </c>
      <c r="P3429" s="1764" t="str">
        <f t="shared" si="3069"/>
        <v/>
      </c>
      <c r="Q3429" s="120" t="str">
        <f t="shared" si="3070"/>
        <v/>
      </c>
      <c r="R3429" s="185"/>
    </row>
    <row r="3430" spans="1:20" s="690" customFormat="1">
      <c r="A3430" s="687"/>
      <c r="B3430" s="2039">
        <v>1</v>
      </c>
      <c r="C3430" s="1960" t="str">
        <f>VLOOKUP(D3430,base_datos,6,FALSE)</f>
        <v>ITM Riel-Din 2x40A - S202-C-40A - 10kA@400Vac-IEC60947-2 - marca ABB.</v>
      </c>
      <c r="D3430" s="1901" t="s">
        <v>1009</v>
      </c>
      <c r="E3430" s="1791">
        <f>VLOOKUP(D3430,base_datos,5,FALSE)</f>
        <v>23.59</v>
      </c>
      <c r="F3430" s="1782">
        <f>+E3430*B3430</f>
        <v>23.59</v>
      </c>
      <c r="G3430" s="1761"/>
      <c r="H3430" s="1772"/>
      <c r="I3430" s="1772"/>
      <c r="J3430" s="689"/>
      <c r="K3430" s="684">
        <f t="shared" si="3071"/>
        <v>1</v>
      </c>
      <c r="L3430" s="363">
        <v>1</v>
      </c>
      <c r="M3430" s="684">
        <f t="shared" si="3072"/>
        <v>1</v>
      </c>
      <c r="N3430" s="362">
        <f t="shared" ref="N3430" si="3077">IF(O3430&lt;&gt;"",K3430*L3430*M3430,"")</f>
        <v>1</v>
      </c>
      <c r="O3430" s="1763" t="str">
        <f t="shared" ref="O3430" si="3078">IF(D3430&lt;&gt;"",IF(VLOOKUP(D3430,base_datos,7,FALSE)&lt;&gt;"",VLOOKUP(D3430,base_datos,7,FALSE),""),"")</f>
        <v>2CDS252001R0404</v>
      </c>
      <c r="P3430" s="1764" t="str">
        <f t="shared" ref="P3430" si="3079">IF(O3430&lt;&gt;"",VLOOKUP(D3430,base_datos,6,FALSE),"")</f>
        <v>ITM Riel-Din 2x40A - S202-C-40A - 10kA@400Vac-IEC60947-2 - marca ABB.</v>
      </c>
      <c r="Q3430" s="120" t="str">
        <f t="shared" ref="Q3430" si="3080">IF(O3430&lt;&gt;"",D3430,"")</f>
        <v>S202-C-40A</v>
      </c>
      <c r="R3430" s="185"/>
    </row>
    <row r="3431" spans="1:20" s="690" customFormat="1">
      <c r="A3431" s="687"/>
      <c r="B3431" s="2039">
        <v>6</v>
      </c>
      <c r="C3431" s="1960" t="str">
        <f>VLOOKUP(D3431,base_datos,6,FALSE)</f>
        <v>ITM Riel-Din 2x16A - S202-C-16A - 10kA@400Vac-IEC60947-2 - marca ABB.</v>
      </c>
      <c r="D3431" s="1901" t="s">
        <v>970</v>
      </c>
      <c r="E3431" s="1791">
        <f>VLOOKUP(D3431,base_datos,5,FALSE)</f>
        <v>17.96</v>
      </c>
      <c r="F3431" s="1782">
        <f>+E3431*B3431</f>
        <v>107.76</v>
      </c>
      <c r="G3431" s="1761"/>
      <c r="H3431" s="710"/>
      <c r="I3431" s="710"/>
      <c r="J3431" s="689"/>
      <c r="K3431" s="684">
        <f t="shared" si="3071"/>
        <v>1</v>
      </c>
      <c r="L3431" s="363">
        <v>1</v>
      </c>
      <c r="M3431" s="684">
        <f t="shared" si="3072"/>
        <v>6</v>
      </c>
      <c r="N3431" s="362">
        <f t="shared" si="3067"/>
        <v>6</v>
      </c>
      <c r="O3431" s="1763" t="str">
        <f t="shared" si="3068"/>
        <v>2CDS252001R0164</v>
      </c>
      <c r="P3431" s="1764" t="str">
        <f t="shared" si="3069"/>
        <v>ITM Riel-Din 2x16A - S202-C-16A - 10kA@400Vac-IEC60947-2 - marca ABB.</v>
      </c>
      <c r="Q3431" s="120" t="str">
        <f t="shared" si="3070"/>
        <v>S202-C-16A</v>
      </c>
      <c r="R3431" s="185"/>
    </row>
    <row r="3432" spans="1:20" s="690" customFormat="1">
      <c r="A3432" s="687"/>
      <c r="B3432" s="836">
        <v>6</v>
      </c>
      <c r="C3432" s="2041" t="str">
        <f>VLOOKUP(D3432,base_datos,6,FALSE)</f>
        <v>Interruptor Diferencial 2x25A - 30mA - clase A-APR (alta inmunización) - F202-A APR-25A-30mA  - marca ABB.</v>
      </c>
      <c r="D3432" s="1901" t="s">
        <v>1135</v>
      </c>
      <c r="E3432" s="2025">
        <f>VLOOKUP(D3432,base_datos,5,FALSE)</f>
        <v>86.79</v>
      </c>
      <c r="F3432" s="2026">
        <f>+E3432*B3432</f>
        <v>520.74</v>
      </c>
      <c r="G3432" s="1761"/>
      <c r="H3432" s="1772"/>
      <c r="I3432" s="1772"/>
      <c r="J3432" s="689"/>
      <c r="K3432" s="684">
        <f t="shared" si="3071"/>
        <v>1</v>
      </c>
      <c r="L3432" s="363">
        <v>1</v>
      </c>
      <c r="M3432" s="684">
        <f t="shared" si="3072"/>
        <v>6</v>
      </c>
      <c r="N3432" s="362">
        <f t="shared" si="3067"/>
        <v>6</v>
      </c>
      <c r="O3432" s="1763" t="str">
        <f t="shared" si="3068"/>
        <v>2CSF202401R1250</v>
      </c>
      <c r="P3432" s="1764" t="str">
        <f t="shared" si="3069"/>
        <v>Interruptor Diferencial 2x25A - 30mA - clase A-APR (alta inmunización) - F202-A APR-25A-30mA  - marca ABB.</v>
      </c>
      <c r="Q3432" s="120" t="str">
        <f t="shared" si="3070"/>
        <v>F202-A APR-25A-30mA</v>
      </c>
      <c r="R3432" s="185"/>
    </row>
    <row r="3433" spans="1:20" s="690" customFormat="1">
      <c r="A3433" s="687"/>
      <c r="B3433" s="2039">
        <v>1</v>
      </c>
      <c r="C3433" s="1960" t="str">
        <f>VLOOKUP(D3433,base_datos,6,FALSE)</f>
        <v>Espacio de reserva monofasica + interruptor diferencial - Riel-Din.</v>
      </c>
      <c r="D3433" s="1901" t="s">
        <v>2926</v>
      </c>
      <c r="E3433" s="1791">
        <f>VLOOKUP(D3433,base_datos,5,FALSE)</f>
        <v>2.5</v>
      </c>
      <c r="F3433" s="1782">
        <f>+E3433*B3433</f>
        <v>2.5</v>
      </c>
      <c r="G3433" s="1761"/>
      <c r="H3433" s="710"/>
      <c r="I3433" s="710"/>
      <c r="J3433" s="689"/>
      <c r="K3433" s="684">
        <f t="shared" si="3071"/>
        <v>1</v>
      </c>
      <c r="L3433" s="363">
        <v>1</v>
      </c>
      <c r="M3433" s="684">
        <f t="shared" si="3072"/>
        <v>1</v>
      </c>
      <c r="N3433" s="362" t="str">
        <f t="shared" si="3067"/>
        <v/>
      </c>
      <c r="O3433" s="1763" t="str">
        <f t="shared" si="3068"/>
        <v/>
      </c>
      <c r="P3433" s="1764" t="str">
        <f t="shared" si="3069"/>
        <v/>
      </c>
      <c r="Q3433" s="120" t="str">
        <f t="shared" si="3070"/>
        <v/>
      </c>
      <c r="R3433" s="185"/>
    </row>
    <row r="3434" spans="1:20" s="695" customFormat="1">
      <c r="A3434" s="687"/>
      <c r="B3434" s="2045">
        <v>1</v>
      </c>
      <c r="C3434" s="1946">
        <v>18</v>
      </c>
      <c r="D3434" s="1582"/>
      <c r="E3434" s="2000">
        <v>70</v>
      </c>
      <c r="F3434" s="1968">
        <f t="shared" ref="F3434" si="3081">+E3434*B3434</f>
        <v>70</v>
      </c>
      <c r="G3434" s="1969"/>
      <c r="H3434" s="1772"/>
      <c r="I3434" s="1772"/>
      <c r="J3434" s="1970"/>
      <c r="K3434" s="684">
        <f t="shared" si="3071"/>
        <v>1</v>
      </c>
      <c r="L3434" s="363">
        <v>1</v>
      </c>
      <c r="M3434" s="684">
        <f t="shared" si="3072"/>
        <v>1</v>
      </c>
      <c r="N3434" s="362" t="str">
        <f t="shared" si="3067"/>
        <v/>
      </c>
      <c r="O3434" s="1763" t="str">
        <f t="shared" si="3068"/>
        <v/>
      </c>
      <c r="P3434" s="1764" t="str">
        <f t="shared" si="3069"/>
        <v/>
      </c>
      <c r="Q3434" s="120" t="str">
        <f t="shared" si="3070"/>
        <v/>
      </c>
    </row>
    <row r="3435" spans="1:20" s="185" customFormat="1">
      <c r="A3435" s="692"/>
      <c r="B3435" s="2087"/>
      <c r="C3435" s="1893" t="s">
        <v>729</v>
      </c>
      <c r="D3435" s="2021"/>
      <c r="E3435" s="1786"/>
      <c r="F3435" s="1787"/>
      <c r="G3435" s="710"/>
      <c r="H3435" s="710"/>
      <c r="I3435" s="710"/>
      <c r="J3435" s="711"/>
      <c r="K3435" s="684">
        <f t="shared" si="3071"/>
        <v>1</v>
      </c>
      <c r="L3435" s="363">
        <v>1</v>
      </c>
      <c r="M3435" s="684">
        <f t="shared" si="3072"/>
        <v>1</v>
      </c>
      <c r="N3435" s="362" t="str">
        <f t="shared" si="3067"/>
        <v/>
      </c>
      <c r="O3435" s="1763" t="str">
        <f t="shared" si="3068"/>
        <v/>
      </c>
      <c r="P3435" s="1764" t="str">
        <f t="shared" si="3069"/>
        <v/>
      </c>
      <c r="Q3435" s="120" t="str">
        <f t="shared" si="3070"/>
        <v/>
      </c>
    </row>
    <row r="3436" spans="1:20" s="315" customFormat="1">
      <c r="A3436" s="1785"/>
      <c r="B3436" s="2028"/>
      <c r="C3436" s="1944" t="s">
        <v>3063</v>
      </c>
      <c r="D3436" s="2022"/>
      <c r="E3436" s="1786"/>
      <c r="F3436" s="1787"/>
      <c r="G3436" s="712"/>
      <c r="H3436" s="1772"/>
      <c r="I3436" s="1772"/>
      <c r="J3436" s="713"/>
      <c r="K3436" s="684">
        <f t="shared" si="3071"/>
        <v>1</v>
      </c>
      <c r="L3436" s="708">
        <v>1</v>
      </c>
      <c r="M3436" s="684">
        <f t="shared" si="3072"/>
        <v>1</v>
      </c>
      <c r="N3436" s="362" t="str">
        <f t="shared" si="3067"/>
        <v/>
      </c>
      <c r="O3436" s="1763" t="str">
        <f t="shared" si="3068"/>
        <v/>
      </c>
      <c r="P3436" s="1764" t="str">
        <f t="shared" si="3069"/>
        <v/>
      </c>
      <c r="Q3436" s="120" t="str">
        <f t="shared" si="3070"/>
        <v/>
      </c>
    </row>
    <row r="3437" spans="1:20" s="690" customFormat="1" ht="18" customHeight="1">
      <c r="A3437" s="691"/>
      <c r="B3437" s="2039">
        <v>1</v>
      </c>
      <c r="C3437" s="1420" t="str">
        <f>VLOOKUP(D3437,base_datos,6,FALSE)</f>
        <v>ITM Riel-Din 3x32A - S203-C-32A - 10kA@400Vac-IEC60947-2 - marca ABB.</v>
      </c>
      <c r="D3437" s="1790" t="s">
        <v>981</v>
      </c>
      <c r="E3437" s="1791">
        <f>VLOOKUP(D3437,base_datos,5,FALSE)</f>
        <v>33.04</v>
      </c>
      <c r="F3437" s="1782">
        <f t="shared" ref="F3437:F3438" si="3082">+E3437*B3437</f>
        <v>33.04</v>
      </c>
      <c r="G3437" s="1761"/>
      <c r="H3437" s="710"/>
      <c r="I3437" s="710"/>
      <c r="J3437" s="1783"/>
      <c r="K3437" s="684">
        <f t="shared" si="3071"/>
        <v>1</v>
      </c>
      <c r="L3437" s="708">
        <v>1</v>
      </c>
      <c r="M3437" s="684">
        <f t="shared" si="3072"/>
        <v>1</v>
      </c>
      <c r="N3437" s="362">
        <f t="shared" si="3067"/>
        <v>1</v>
      </c>
      <c r="O3437" s="1763" t="str">
        <f t="shared" si="3068"/>
        <v>2CDS253001R0324</v>
      </c>
      <c r="P3437" s="1764" t="str">
        <f t="shared" si="3069"/>
        <v>ITM Riel-Din 3x32A - S203-C-32A - 10kA@400Vac-IEC60947-2 - marca ABB.</v>
      </c>
      <c r="Q3437" s="120" t="str">
        <f t="shared" si="3070"/>
        <v>S203-C-32A</v>
      </c>
      <c r="R3437" s="185"/>
    </row>
    <row r="3438" spans="1:20" s="690" customFormat="1" ht="18" customHeight="1">
      <c r="A3438" s="691"/>
      <c r="B3438" s="2039">
        <v>1</v>
      </c>
      <c r="C3438" s="1420" t="str">
        <f>VLOOKUP(D3438,base_datos,6,FALSE)</f>
        <v>Protector de sobretensiones (Tipo 2) - OVR-T2_3N_40-275_P_3P -  Uc=275V, Up=1.25kV - I_descarga=40kA - marca ABB.</v>
      </c>
      <c r="D3438" s="1901" t="s">
        <v>6455</v>
      </c>
      <c r="E3438" s="1791">
        <f>VLOOKUP(D3438,base_datos,5,FALSE)</f>
        <v>212.75</v>
      </c>
      <c r="F3438" s="1782">
        <f t="shared" si="3082"/>
        <v>212.75</v>
      </c>
      <c r="G3438" s="1761"/>
      <c r="H3438" s="1772"/>
      <c r="I3438" s="1772"/>
      <c r="J3438" s="1783"/>
      <c r="K3438" s="684">
        <f t="shared" si="3071"/>
        <v>1</v>
      </c>
      <c r="L3438" s="708">
        <v>1</v>
      </c>
      <c r="M3438" s="684">
        <f t="shared" si="3072"/>
        <v>1</v>
      </c>
      <c r="N3438" s="362">
        <f t="shared" si="3067"/>
        <v>1</v>
      </c>
      <c r="O3438" s="1763" t="str">
        <f t="shared" si="3068"/>
        <v>2CTB803873R2400</v>
      </c>
      <c r="P3438" s="1764" t="str">
        <f t="shared" si="3069"/>
        <v>Protector de sobretensiones (Tipo 2) - OVR-T2_3N_40-275_P_3P -  Uc=275V, Up=1.25kV - I_descarga=40kA - marca ABB.</v>
      </c>
      <c r="Q3438" s="120" t="str">
        <f t="shared" si="3070"/>
        <v>OVR T2 3L 40-275 P QS</v>
      </c>
      <c r="R3438" s="185"/>
    </row>
    <row r="3439" spans="1:20" s="185" customFormat="1" ht="18" customHeight="1">
      <c r="A3439" s="1785"/>
      <c r="B3439" s="2087"/>
      <c r="C3439" s="1893" t="s">
        <v>729</v>
      </c>
      <c r="D3439" s="173"/>
      <c r="E3439" s="1786"/>
      <c r="F3439" s="1787"/>
      <c r="G3439" s="710"/>
      <c r="H3439" s="710"/>
      <c r="I3439" s="710"/>
      <c r="J3439" s="711"/>
      <c r="K3439" s="684">
        <f t="shared" si="3071"/>
        <v>1</v>
      </c>
      <c r="L3439" s="708">
        <v>1</v>
      </c>
      <c r="M3439" s="684">
        <f t="shared" si="3072"/>
        <v>1</v>
      </c>
      <c r="N3439" s="362" t="str">
        <f t="shared" si="3067"/>
        <v/>
      </c>
      <c r="O3439" s="1763" t="str">
        <f t="shared" si="3068"/>
        <v/>
      </c>
      <c r="P3439" s="1764" t="str">
        <f t="shared" si="3069"/>
        <v/>
      </c>
      <c r="Q3439" s="120" t="str">
        <f t="shared" si="3070"/>
        <v/>
      </c>
    </row>
    <row r="3440" spans="1:20" s="315" customFormat="1" ht="12.75" customHeight="1">
      <c r="A3440" s="2271"/>
      <c r="B3440" s="2272">
        <v>1</v>
      </c>
      <c r="C3440" s="2281" t="s">
        <v>13366</v>
      </c>
      <c r="D3440" s="1935"/>
      <c r="E3440" s="2287"/>
      <c r="F3440" s="2257">
        <f>+SUM(F3441:F3444)*(B3440-1)</f>
        <v>0</v>
      </c>
      <c r="G3440" s="712"/>
      <c r="H3440" s="1772"/>
      <c r="I3440" s="1772"/>
      <c r="J3440" s="713"/>
      <c r="K3440" s="684">
        <f t="shared" si="3071"/>
        <v>1</v>
      </c>
      <c r="L3440" s="2258">
        <v>1</v>
      </c>
      <c r="M3440" s="684">
        <f t="shared" si="3072"/>
        <v>1</v>
      </c>
      <c r="N3440" s="112" t="str">
        <f t="shared" si="3067"/>
        <v/>
      </c>
      <c r="O3440" s="112" t="str">
        <f t="shared" si="3068"/>
        <v/>
      </c>
      <c r="P3440" s="120" t="str">
        <f t="shared" si="3069"/>
        <v/>
      </c>
      <c r="Q3440" s="120" t="str">
        <f t="shared" si="3070"/>
        <v/>
      </c>
      <c r="S3440" s="112" t="str">
        <f t="shared" ref="S3440:S3445" si="3083">IF(O3440&lt;&gt;"",VLOOKUP(D3440,base_datos,9,FALSE),"")</f>
        <v/>
      </c>
      <c r="T3440" s="2128"/>
    </row>
    <row r="3441" spans="1:20" s="690" customFormat="1" ht="18" customHeight="1">
      <c r="A3441" s="2273"/>
      <c r="B3441" s="1781">
        <v>1</v>
      </c>
      <c r="C3441" s="1420" t="str">
        <f t="shared" ref="C3441:C3444" si="3084">VLOOKUP(D3441,base_datos,6,FALSE)</f>
        <v>Calefactor resistivo 60W, modelo RACM - marca FANDIS.</v>
      </c>
      <c r="D3441" s="1899" t="s">
        <v>3298</v>
      </c>
      <c r="E3441" s="2288">
        <f t="shared" ref="E3441:E3444" si="3085">VLOOKUP(D3441,base_datos,5,FALSE)</f>
        <v>127.1</v>
      </c>
      <c r="F3441" s="1782">
        <f>+E3441*B3441</f>
        <v>127.1</v>
      </c>
      <c r="G3441" s="1761"/>
      <c r="H3441" s="710"/>
      <c r="I3441" s="710"/>
      <c r="J3441" s="689"/>
      <c r="K3441" s="684">
        <f t="shared" si="3071"/>
        <v>1</v>
      </c>
      <c r="L3441" s="2258">
        <v>1</v>
      </c>
      <c r="M3441" s="684">
        <f t="shared" si="3072"/>
        <v>1</v>
      </c>
      <c r="N3441" s="112">
        <f t="shared" si="3067"/>
        <v>1</v>
      </c>
      <c r="O3441" s="112" t="str">
        <f t="shared" si="3068"/>
        <v>RACM-60</v>
      </c>
      <c r="P3441" s="120" t="str">
        <f t="shared" si="3069"/>
        <v>Calefactor resistivo 60W, modelo RACM - marca FANDIS.</v>
      </c>
      <c r="Q3441" s="120" t="str">
        <f t="shared" si="3070"/>
        <v>CALEFACT-60W_FAND</v>
      </c>
      <c r="S3441" s="112" t="str">
        <f t="shared" si="3083"/>
        <v>FANDIS</v>
      </c>
      <c r="T3441" s="1765"/>
    </row>
    <row r="3442" spans="1:20" s="690" customFormat="1" ht="18" customHeight="1">
      <c r="A3442" s="2273"/>
      <c r="B3442" s="1781">
        <v>1</v>
      </c>
      <c r="C3442" s="1420" t="str">
        <f t="shared" si="3084"/>
        <v>Termostato para ventilación - 1NA - 230V - marca FANDIS.</v>
      </c>
      <c r="D3442" s="1899" t="s">
        <v>3294</v>
      </c>
      <c r="E3442" s="2288">
        <f t="shared" si="3085"/>
        <v>41.58</v>
      </c>
      <c r="F3442" s="1782">
        <f>+E3442*B3442</f>
        <v>41.58</v>
      </c>
      <c r="G3442" s="1761"/>
      <c r="H3442" s="1772"/>
      <c r="I3442" s="1772"/>
      <c r="J3442" s="689"/>
      <c r="K3442" s="684">
        <f t="shared" si="3071"/>
        <v>1</v>
      </c>
      <c r="L3442" s="2258">
        <v>1</v>
      </c>
      <c r="M3442" s="684">
        <f t="shared" si="3072"/>
        <v>1</v>
      </c>
      <c r="N3442" s="112">
        <f t="shared" si="3067"/>
        <v>1</v>
      </c>
      <c r="O3442" s="112" t="str">
        <f t="shared" si="3068"/>
        <v>TRT-10A230V-NO</v>
      </c>
      <c r="P3442" s="120" t="str">
        <f t="shared" si="3069"/>
        <v>Termostato para ventilación - 1NA - 230V - marca FANDIS.</v>
      </c>
      <c r="Q3442" s="120" t="str">
        <f t="shared" si="3070"/>
        <v>TRT-1NA</v>
      </c>
      <c r="S3442" s="112" t="str">
        <f t="shared" si="3083"/>
        <v>FANDIS</v>
      </c>
      <c r="T3442" s="1765"/>
    </row>
    <row r="3443" spans="1:20" s="320" customFormat="1" ht="12.75" customHeight="1">
      <c r="A3443" s="2274"/>
      <c r="B3443" s="2275">
        <v>1</v>
      </c>
      <c r="C3443" s="2282" t="str">
        <f t="shared" si="3084"/>
        <v>Base portafusibles + Fusibles de protección para control.</v>
      </c>
      <c r="D3443" s="1579" t="s">
        <v>453</v>
      </c>
      <c r="E3443" s="2289">
        <f t="shared" si="3085"/>
        <v>8.1750000000000007</v>
      </c>
      <c r="F3443" s="2264">
        <f>+E3443*B3443</f>
        <v>8.1750000000000007</v>
      </c>
      <c r="G3443" s="2276"/>
      <c r="H3443" s="710"/>
      <c r="I3443" s="710"/>
      <c r="J3443" s="722"/>
      <c r="K3443" s="684">
        <f t="shared" si="3071"/>
        <v>1</v>
      </c>
      <c r="L3443" s="2258">
        <v>1</v>
      </c>
      <c r="M3443" s="684">
        <f t="shared" si="3072"/>
        <v>1</v>
      </c>
      <c r="N3443" s="112" t="str">
        <f t="shared" si="3067"/>
        <v/>
      </c>
      <c r="O3443" s="112" t="str">
        <f t="shared" si="3068"/>
        <v/>
      </c>
      <c r="P3443" s="120" t="str">
        <f t="shared" si="3069"/>
        <v/>
      </c>
      <c r="Q3443" s="120" t="str">
        <f t="shared" si="3070"/>
        <v/>
      </c>
      <c r="R3443" s="185"/>
      <c r="S3443" s="112" t="str">
        <f t="shared" si="3083"/>
        <v/>
      </c>
      <c r="T3443" s="709"/>
    </row>
    <row r="3444" spans="1:20" s="320" customFormat="1" ht="12.75" customHeight="1">
      <c r="A3444" s="2274"/>
      <c r="B3444" s="2277">
        <v>1</v>
      </c>
      <c r="C3444" s="2282" t="str">
        <f t="shared" si="3084"/>
        <v>Borne 4mm2.</v>
      </c>
      <c r="D3444" s="1579" t="s">
        <v>437</v>
      </c>
      <c r="E3444" s="2260">
        <f t="shared" si="3085"/>
        <v>2.5</v>
      </c>
      <c r="F3444" s="2260">
        <f>+E3444*B3444</f>
        <v>2.5</v>
      </c>
      <c r="G3444" s="2276"/>
      <c r="H3444" s="1772"/>
      <c r="I3444" s="1772"/>
      <c r="J3444" s="722"/>
      <c r="K3444" s="684">
        <f t="shared" si="3071"/>
        <v>1</v>
      </c>
      <c r="L3444" s="2258">
        <v>1</v>
      </c>
      <c r="M3444" s="684">
        <f t="shared" si="3072"/>
        <v>1</v>
      </c>
      <c r="N3444" s="112" t="str">
        <f t="shared" si="3067"/>
        <v/>
      </c>
      <c r="O3444" s="112" t="str">
        <f t="shared" si="3068"/>
        <v/>
      </c>
      <c r="P3444" s="120" t="str">
        <f t="shared" si="3069"/>
        <v/>
      </c>
      <c r="Q3444" s="120" t="str">
        <f t="shared" si="3070"/>
        <v/>
      </c>
      <c r="R3444" s="185"/>
      <c r="S3444" s="112" t="str">
        <f t="shared" si="3083"/>
        <v/>
      </c>
      <c r="T3444" s="709"/>
    </row>
    <row r="3445" spans="1:20" s="185" customFormat="1" ht="12.75" customHeight="1">
      <c r="A3445" s="2262"/>
      <c r="B3445" s="1760"/>
      <c r="C3445" s="1893" t="s">
        <v>729</v>
      </c>
      <c r="D3445" s="169"/>
      <c r="E3445" s="2256"/>
      <c r="F3445" s="2278"/>
      <c r="G3445" s="710"/>
      <c r="H3445" s="710"/>
      <c r="I3445" s="710"/>
      <c r="J3445" s="711"/>
      <c r="K3445" s="684">
        <f t="shared" si="3071"/>
        <v>1</v>
      </c>
      <c r="L3445" s="2258">
        <v>1</v>
      </c>
      <c r="M3445" s="684">
        <f t="shared" si="3072"/>
        <v>1</v>
      </c>
      <c r="N3445" s="112" t="str">
        <f t="shared" si="3067"/>
        <v/>
      </c>
      <c r="O3445" s="112" t="str">
        <f t="shared" si="3068"/>
        <v/>
      </c>
      <c r="P3445" s="120" t="str">
        <f t="shared" si="3069"/>
        <v/>
      </c>
      <c r="Q3445" s="120" t="str">
        <f t="shared" si="3070"/>
        <v/>
      </c>
      <c r="S3445" s="112" t="str">
        <f t="shared" si="3083"/>
        <v/>
      </c>
      <c r="T3445" s="118"/>
    </row>
    <row r="3446" spans="1:20" s="1236" customFormat="1" ht="16.5" customHeight="1">
      <c r="A3446" s="1767"/>
      <c r="B3446" s="2090">
        <v>1</v>
      </c>
      <c r="C3446" s="1895" t="s">
        <v>12364</v>
      </c>
      <c r="D3446" s="1902"/>
      <c r="E3446" s="1792"/>
      <c r="F3446" s="1793"/>
      <c r="G3446" s="1784"/>
      <c r="H3446" s="1772"/>
      <c r="I3446" s="1772"/>
      <c r="J3446" s="1182"/>
      <c r="K3446" s="684">
        <f t="shared" si="3071"/>
        <v>1</v>
      </c>
      <c r="L3446" s="708">
        <v>1</v>
      </c>
      <c r="M3446" s="684">
        <f t="shared" si="3072"/>
        <v>1</v>
      </c>
      <c r="N3446" s="362" t="str">
        <f t="shared" si="3067"/>
        <v/>
      </c>
      <c r="O3446" s="1763" t="str">
        <f t="shared" si="3068"/>
        <v/>
      </c>
      <c r="P3446" s="1764" t="str">
        <f t="shared" si="3069"/>
        <v/>
      </c>
      <c r="Q3446" s="120" t="str">
        <f t="shared" si="3070"/>
        <v/>
      </c>
      <c r="R3446" s="185"/>
    </row>
    <row r="3447" spans="1:20" s="695" customFormat="1" ht="18" customHeight="1">
      <c r="A3447" s="693"/>
      <c r="B3447" s="2086">
        <v>1</v>
      </c>
      <c r="C3447" s="1848" t="str">
        <f t="shared" ref="C3447" si="3086">VLOOKUP(D3447,base_datos,6,FALSE)</f>
        <v>Placa lamicoid rotulación de 3mm de espesor, fondo negro y letras blancas.</v>
      </c>
      <c r="D3447" s="1886" t="s">
        <v>8570</v>
      </c>
      <c r="E3447" s="1795">
        <f t="shared" ref="E3447" si="3087">VLOOKUP(D3447,base_datos,5,FALSE)</f>
        <v>2.2000000000000002</v>
      </c>
      <c r="F3447" s="1796">
        <f t="shared" ref="F3447" si="3088">+E3447*B3447</f>
        <v>2.2000000000000002</v>
      </c>
      <c r="G3447" s="696"/>
      <c r="H3447" s="710"/>
      <c r="I3447" s="710"/>
      <c r="J3447" s="697"/>
      <c r="K3447" s="684">
        <f t="shared" si="3071"/>
        <v>1</v>
      </c>
      <c r="L3447" s="708">
        <v>1</v>
      </c>
      <c r="M3447" s="684">
        <f t="shared" si="3072"/>
        <v>1</v>
      </c>
      <c r="N3447" s="362">
        <f t="shared" si="3067"/>
        <v>1</v>
      </c>
      <c r="O3447" s="1763" t="str">
        <f t="shared" si="3068"/>
        <v>Placa lamicoid p/distr.</v>
      </c>
      <c r="P3447" s="1764" t="str">
        <f t="shared" si="3069"/>
        <v>Placa lamicoid rotulación de 3mm de espesor, fondo negro y letras blancas.</v>
      </c>
      <c r="Q3447" s="120" t="str">
        <f t="shared" si="3070"/>
        <v>Placa lamicoid p/distr.</v>
      </c>
      <c r="R3447" s="185"/>
    </row>
    <row r="3448" spans="1:20" s="1236" customFormat="1" ht="18" customHeight="1">
      <c r="A3448" s="1767"/>
      <c r="B3448" s="2090">
        <v>1</v>
      </c>
      <c r="C3448" s="1895" t="s">
        <v>12474</v>
      </c>
      <c r="D3448" s="1902"/>
      <c r="E3448" s="1792"/>
      <c r="F3448" s="1793"/>
      <c r="G3448" s="1784"/>
      <c r="H3448" s="1772"/>
      <c r="I3448" s="1772"/>
      <c r="J3448" s="1182"/>
      <c r="K3448" s="684">
        <f t="shared" si="3071"/>
        <v>1</v>
      </c>
      <c r="L3448" s="708">
        <v>1</v>
      </c>
      <c r="M3448" s="684">
        <f t="shared" si="3072"/>
        <v>1</v>
      </c>
      <c r="N3448" s="362" t="str">
        <f t="shared" si="3067"/>
        <v/>
      </c>
      <c r="O3448" s="1763" t="str">
        <f t="shared" si="3068"/>
        <v/>
      </c>
      <c r="P3448" s="1764" t="str">
        <f t="shared" si="3069"/>
        <v/>
      </c>
      <c r="Q3448" s="120" t="str">
        <f t="shared" si="3070"/>
        <v/>
      </c>
      <c r="R3448" s="185"/>
    </row>
    <row r="3449" spans="1:20" s="1236" customFormat="1" ht="18" customHeight="1">
      <c r="A3449" s="1767"/>
      <c r="B3449" s="2090">
        <v>1</v>
      </c>
      <c r="C3449" s="1848" t="str">
        <f>VLOOKUP(D3449,base_datos,6,FALSE)</f>
        <v>Embalaje especial completamente cerrado para tablero adosado de 1600x600x220mm</v>
      </c>
      <c r="D3449" s="1902" t="s">
        <v>12453</v>
      </c>
      <c r="E3449" s="1795">
        <f t="shared" ref="E3449" si="3089">VLOOKUP(D3449,base_datos,5,FALSE)</f>
        <v>271.40000000000003</v>
      </c>
      <c r="F3449" s="1796">
        <f t="shared" ref="F3449" si="3090">+E3449*B3449</f>
        <v>271.40000000000003</v>
      </c>
      <c r="G3449" s="1784"/>
      <c r="H3449" s="710"/>
      <c r="I3449" s="710"/>
      <c r="J3449" s="1182"/>
      <c r="K3449" s="684">
        <f t="shared" si="3071"/>
        <v>1</v>
      </c>
      <c r="L3449" s="708">
        <v>1</v>
      </c>
      <c r="M3449" s="684">
        <f t="shared" si="3072"/>
        <v>1</v>
      </c>
      <c r="N3449" s="362">
        <f t="shared" si="3067"/>
        <v>1</v>
      </c>
      <c r="O3449" s="1763" t="str">
        <f t="shared" si="3068"/>
        <v>EMBAL_ADOS_1600x600x220mm</v>
      </c>
      <c r="P3449" s="1764" t="str">
        <f t="shared" si="3069"/>
        <v>Embalaje especial completamente cerrado para tablero adosado de 1600x600x220mm</v>
      </c>
      <c r="Q3449" s="120" t="str">
        <f t="shared" si="3070"/>
        <v>EMBAL_ADOS_1600x600x220mm</v>
      </c>
      <c r="R3449" s="185"/>
    </row>
    <row r="3450" spans="1:20" s="185" customFormat="1" ht="18" customHeight="1">
      <c r="A3450" s="1785"/>
      <c r="B3450" s="2087"/>
      <c r="C3450" s="1893" t="s">
        <v>729</v>
      </c>
      <c r="D3450" s="173"/>
      <c r="E3450" s="1786"/>
      <c r="F3450" s="1787"/>
      <c r="G3450" s="710"/>
      <c r="H3450" s="1772"/>
      <c r="I3450" s="1772"/>
      <c r="J3450" s="711"/>
      <c r="K3450" s="684">
        <f t="shared" si="3071"/>
        <v>1</v>
      </c>
      <c r="L3450" s="708">
        <v>1</v>
      </c>
      <c r="M3450" s="684">
        <f t="shared" si="3072"/>
        <v>1</v>
      </c>
      <c r="N3450" s="362" t="str">
        <f t="shared" si="3067"/>
        <v/>
      </c>
      <c r="O3450" s="1763" t="str">
        <f t="shared" si="3068"/>
        <v/>
      </c>
      <c r="P3450" s="1764" t="str">
        <f t="shared" si="3069"/>
        <v/>
      </c>
      <c r="Q3450" s="120" t="str">
        <f t="shared" si="3070"/>
        <v/>
      </c>
    </row>
    <row r="3451" spans="1:20" s="1521" customFormat="1">
      <c r="A3451" s="1972"/>
      <c r="B3451" s="2087">
        <v>1</v>
      </c>
      <c r="C3451" s="1960" t="str">
        <f>VLOOKUP(D3451,base_datos,6,FALSE)</f>
        <v>Barra a tierra aislada.</v>
      </c>
      <c r="D3451" s="1973" t="s">
        <v>2911</v>
      </c>
      <c r="E3451" s="1580">
        <f t="shared" ref="E3451" si="3091">VLOOKUP(D3451,base_datos,5,FALSE)</f>
        <v>25</v>
      </c>
      <c r="F3451" s="1581">
        <f t="shared" ref="F3451:F3458" si="3092">+E3451*B3451</f>
        <v>25</v>
      </c>
      <c r="G3451" s="1974"/>
      <c r="H3451" s="710"/>
      <c r="I3451" s="710"/>
      <c r="J3451" s="1975"/>
      <c r="K3451" s="684">
        <f t="shared" si="3071"/>
        <v>1</v>
      </c>
      <c r="L3451" s="363">
        <v>1</v>
      </c>
      <c r="M3451" s="684">
        <f t="shared" si="3072"/>
        <v>1</v>
      </c>
      <c r="N3451" s="362" t="str">
        <f t="shared" si="3067"/>
        <v/>
      </c>
      <c r="O3451" s="1763" t="str">
        <f t="shared" si="3068"/>
        <v/>
      </c>
      <c r="P3451" s="1764" t="str">
        <f t="shared" si="3069"/>
        <v/>
      </c>
      <c r="Q3451" s="120" t="str">
        <f t="shared" si="3070"/>
        <v/>
      </c>
      <c r="R3451" s="690"/>
      <c r="S3451" s="1237"/>
      <c r="T3451" s="1237"/>
    </row>
    <row r="3452" spans="1:20" s="695" customFormat="1" ht="18" customHeight="1">
      <c r="A3452" s="693"/>
      <c r="B3452" s="2091">
        <v>1</v>
      </c>
      <c r="C3452" s="1420" t="str">
        <f t="shared" ref="C3452" si="3093">VLOOKUP(D3452,base_datos,6,FALSE)</f>
        <v>Barra a tierra.</v>
      </c>
      <c r="D3452" s="1790" t="s">
        <v>8299</v>
      </c>
      <c r="E3452" s="1795">
        <f t="shared" ref="E3452" si="3094">VLOOKUP(D3452,base_datos,5,FALSE)</f>
        <v>10</v>
      </c>
      <c r="F3452" s="1796">
        <f t="shared" si="3092"/>
        <v>10</v>
      </c>
      <c r="G3452" s="696"/>
      <c r="H3452" s="1772"/>
      <c r="I3452" s="1772"/>
      <c r="J3452" s="697"/>
      <c r="K3452" s="684">
        <f t="shared" si="3071"/>
        <v>1</v>
      </c>
      <c r="L3452" s="708">
        <v>1</v>
      </c>
      <c r="M3452" s="684">
        <f t="shared" si="3072"/>
        <v>1</v>
      </c>
      <c r="N3452" s="362" t="str">
        <f t="shared" si="3067"/>
        <v/>
      </c>
      <c r="O3452" s="1763" t="str">
        <f t="shared" si="3068"/>
        <v/>
      </c>
      <c r="P3452" s="1764" t="str">
        <f t="shared" si="3069"/>
        <v/>
      </c>
      <c r="Q3452" s="120" t="str">
        <f t="shared" si="3070"/>
        <v/>
      </c>
      <c r="R3452" s="185"/>
    </row>
    <row r="3453" spans="1:20" s="185" customFormat="1" ht="18" customHeight="1">
      <c r="A3453" s="1785"/>
      <c r="B3453" s="2087"/>
      <c r="C3453" s="1893" t="s">
        <v>729</v>
      </c>
      <c r="D3453" s="173"/>
      <c r="E3453" s="1786"/>
      <c r="F3453" s="1787"/>
      <c r="G3453" s="710"/>
      <c r="H3453" s="710"/>
      <c r="I3453" s="710"/>
      <c r="J3453" s="711"/>
      <c r="K3453" s="684">
        <f t="shared" si="3071"/>
        <v>1</v>
      </c>
      <c r="L3453" s="708">
        <v>1</v>
      </c>
      <c r="M3453" s="684">
        <f t="shared" si="3072"/>
        <v>1</v>
      </c>
      <c r="N3453" s="362" t="str">
        <f t="shared" si="3067"/>
        <v/>
      </c>
      <c r="O3453" s="1763" t="str">
        <f t="shared" si="3068"/>
        <v/>
      </c>
      <c r="P3453" s="1764" t="str">
        <f t="shared" si="3069"/>
        <v/>
      </c>
      <c r="Q3453" s="120" t="str">
        <f t="shared" si="3070"/>
        <v/>
      </c>
    </row>
    <row r="3454" spans="1:20" s="897" customFormat="1" ht="18" customHeight="1">
      <c r="A3454" s="693"/>
      <c r="B3454" s="2092">
        <v>20</v>
      </c>
      <c r="C3454" s="721" t="str">
        <f>VLOOKUP(D3454,base_datos,6,FALSE)</f>
        <v>Rotulado por circuito.</v>
      </c>
      <c r="D3454" s="1579" t="s">
        <v>3067</v>
      </c>
      <c r="E3454" s="1580">
        <f>VLOOKUP(D3454,base_datos,5,FALSE)</f>
        <v>0.7</v>
      </c>
      <c r="F3454" s="1581">
        <f t="shared" si="3092"/>
        <v>14</v>
      </c>
      <c r="G3454" s="1772"/>
      <c r="H3454" s="1772"/>
      <c r="I3454" s="1772"/>
      <c r="J3454" s="896"/>
      <c r="K3454" s="684">
        <f t="shared" si="3071"/>
        <v>1</v>
      </c>
      <c r="L3454" s="708">
        <v>1</v>
      </c>
      <c r="M3454" s="684">
        <f t="shared" si="3072"/>
        <v>20</v>
      </c>
      <c r="N3454" s="362" t="str">
        <f t="shared" si="3067"/>
        <v/>
      </c>
      <c r="O3454" s="1763" t="str">
        <f t="shared" si="3068"/>
        <v/>
      </c>
      <c r="P3454" s="1764" t="str">
        <f t="shared" si="3069"/>
        <v/>
      </c>
      <c r="Q3454" s="120" t="str">
        <f t="shared" si="3070"/>
        <v/>
      </c>
    </row>
    <row r="3455" spans="1:20" s="897" customFormat="1" ht="18" customHeight="1">
      <c r="A3455" s="693"/>
      <c r="B3455" s="2092">
        <v>1</v>
      </c>
      <c r="C3455" s="721" t="str">
        <f>VLOOKUP(D3455,base_datos,6,FALSE)</f>
        <v>Rotulado para TAG - tablero de distribución.</v>
      </c>
      <c r="D3455" s="1579" t="s">
        <v>3066</v>
      </c>
      <c r="E3455" s="1580">
        <f>VLOOKUP(D3455,base_datos,5,FALSE)</f>
        <v>1.5</v>
      </c>
      <c r="F3455" s="1581">
        <f t="shared" si="3092"/>
        <v>1.5</v>
      </c>
      <c r="G3455" s="1772"/>
      <c r="H3455" s="710"/>
      <c r="I3455" s="710"/>
      <c r="J3455" s="896"/>
      <c r="K3455" s="684">
        <f t="shared" si="3071"/>
        <v>1</v>
      </c>
      <c r="L3455" s="708">
        <v>1</v>
      </c>
      <c r="M3455" s="684">
        <f t="shared" si="3072"/>
        <v>1</v>
      </c>
      <c r="N3455" s="362" t="str">
        <f t="shared" ref="N3455:N3459" si="3095">IF(O3455&lt;&gt;"",K3455*L3455*M3455,"")</f>
        <v/>
      </c>
      <c r="O3455" s="1763" t="str">
        <f t="shared" ref="O3455:O3459" si="3096">IF(D3455&lt;&gt;"",IF(VLOOKUP(D3455,base_datos,7,FALSE)&lt;&gt;"",VLOOKUP(D3455,base_datos,7,FALSE),""),"")</f>
        <v/>
      </c>
      <c r="P3455" s="1764" t="str">
        <f t="shared" ref="P3455:P3459" si="3097">IF(O3455&lt;&gt;"",VLOOKUP(D3455,base_datos,6,FALSE),"")</f>
        <v/>
      </c>
      <c r="Q3455" s="120" t="str">
        <f t="shared" ref="Q3455:Q3459" si="3098">IF(O3455&lt;&gt;"",D3455,"")</f>
        <v/>
      </c>
    </row>
    <row r="3456" spans="1:20" s="1237" customFormat="1" ht="18" customHeight="1">
      <c r="A3456" s="1767"/>
      <c r="B3456" s="2093">
        <v>1</v>
      </c>
      <c r="C3456" s="694" t="s">
        <v>12552</v>
      </c>
      <c r="D3456" s="1888"/>
      <c r="E3456" s="1580">
        <f>E3458*15%</f>
        <v>27.599999999999998</v>
      </c>
      <c r="F3456" s="1581">
        <f t="shared" ref="F3456:F3457" si="3099">+E3456*B3456</f>
        <v>27.599999999999998</v>
      </c>
      <c r="G3456" s="1774"/>
      <c r="H3456" s="1772"/>
      <c r="I3456" s="1772"/>
      <c r="J3456" s="1181"/>
      <c r="K3456" s="684">
        <f t="shared" si="3071"/>
        <v>1</v>
      </c>
      <c r="L3456" s="708">
        <v>1</v>
      </c>
      <c r="M3456" s="684">
        <f t="shared" si="3072"/>
        <v>1</v>
      </c>
      <c r="N3456" s="362" t="str">
        <f t="shared" ref="N3456:N3457" si="3100">IF(O3456&lt;&gt;"",K3456*L3456*M3456,"")</f>
        <v/>
      </c>
      <c r="O3456" s="1763" t="str">
        <f t="shared" ref="O3456:O3457" si="3101">IF(D3456&lt;&gt;"",IF(VLOOKUP(D3456,base_datos,7,FALSE)&lt;&gt;"",VLOOKUP(D3456,base_datos,7,FALSE),""),"")</f>
        <v/>
      </c>
      <c r="P3456" s="1764" t="str">
        <f t="shared" ref="P3456:P3457" si="3102">IF(O3456&lt;&gt;"",VLOOKUP(D3456,base_datos,6,FALSE),"")</f>
        <v/>
      </c>
      <c r="Q3456" s="120" t="str">
        <f t="shared" ref="Q3456:Q3457" si="3103">IF(O3456&lt;&gt;"",D3456,"")</f>
        <v/>
      </c>
      <c r="R3456" s="1765"/>
    </row>
    <row r="3457" spans="1:18" s="1237" customFormat="1" ht="18" customHeight="1">
      <c r="A3457" s="1767"/>
      <c r="B3457" s="1773">
        <v>1</v>
      </c>
      <c r="C3457" s="694" t="s">
        <v>12559</v>
      </c>
      <c r="D3457" s="1888"/>
      <c r="E3457" s="1999">
        <f>E3458*20%</f>
        <v>36.800000000000004</v>
      </c>
      <c r="F3457" s="1581">
        <f t="shared" si="3099"/>
        <v>36.800000000000004</v>
      </c>
      <c r="G3457" s="1774"/>
      <c r="H3457" s="710"/>
      <c r="I3457" s="710"/>
      <c r="J3457" s="1181"/>
      <c r="K3457" s="684">
        <f t="shared" si="3071"/>
        <v>1</v>
      </c>
      <c r="L3457" s="708">
        <v>1</v>
      </c>
      <c r="M3457" s="684">
        <f t="shared" si="3072"/>
        <v>1</v>
      </c>
      <c r="N3457" s="362" t="str">
        <f t="shared" si="3100"/>
        <v/>
      </c>
      <c r="O3457" s="1763" t="str">
        <f t="shared" si="3101"/>
        <v/>
      </c>
      <c r="P3457" s="1764" t="str">
        <f t="shared" si="3102"/>
        <v/>
      </c>
      <c r="Q3457" s="120" t="str">
        <f t="shared" si="3103"/>
        <v/>
      </c>
      <c r="R3457" s="1765"/>
    </row>
    <row r="3458" spans="1:18" s="1237" customFormat="1" ht="18" customHeight="1">
      <c r="A3458" s="1767"/>
      <c r="B3458" s="2093">
        <v>1</v>
      </c>
      <c r="C3458" s="694" t="s">
        <v>12508</v>
      </c>
      <c r="D3458" s="1888"/>
      <c r="E3458" s="1580">
        <v>184</v>
      </c>
      <c r="F3458" s="1581">
        <f t="shared" si="3092"/>
        <v>184</v>
      </c>
      <c r="G3458" s="1774"/>
      <c r="H3458" s="1772"/>
      <c r="I3458" s="1772"/>
      <c r="J3458" s="1181"/>
      <c r="K3458" s="684">
        <f t="shared" si="3071"/>
        <v>1</v>
      </c>
      <c r="L3458" s="708">
        <v>1</v>
      </c>
      <c r="M3458" s="684">
        <f t="shared" si="3072"/>
        <v>1</v>
      </c>
      <c r="N3458" s="362" t="str">
        <f t="shared" si="3095"/>
        <v/>
      </c>
      <c r="O3458" s="1763" t="str">
        <f t="shared" si="3096"/>
        <v/>
      </c>
      <c r="P3458" s="1764" t="str">
        <f t="shared" si="3097"/>
        <v/>
      </c>
      <c r="Q3458" s="120" t="str">
        <f t="shared" si="3098"/>
        <v/>
      </c>
      <c r="R3458" s="1765"/>
    </row>
    <row r="3459" spans="1:18" s="1237" customFormat="1" ht="18" customHeight="1" thickBot="1">
      <c r="A3459" s="2074"/>
      <c r="B3459" s="2094"/>
      <c r="C3459" s="2075"/>
      <c r="D3459" s="2076"/>
      <c r="E3459" s="2077"/>
      <c r="F3459" s="2078"/>
      <c r="G3459" s="2079"/>
      <c r="H3459" s="2492"/>
      <c r="I3459" s="2492"/>
      <c r="J3459" s="2080"/>
      <c r="K3459" s="684"/>
      <c r="L3459" s="708"/>
      <c r="M3459" s="709"/>
      <c r="N3459" s="362" t="str">
        <f t="shared" si="3095"/>
        <v/>
      </c>
      <c r="O3459" s="1763" t="str">
        <f t="shared" si="3096"/>
        <v/>
      </c>
      <c r="P3459" s="1764" t="str">
        <f t="shared" si="3097"/>
        <v/>
      </c>
      <c r="Q3459" s="120" t="str">
        <f t="shared" si="3098"/>
        <v/>
      </c>
      <c r="R3459" s="1765"/>
    </row>
    <row r="3460" spans="1:18" s="1237" customFormat="1" ht="18" customHeight="1">
      <c r="A3460" s="2081"/>
      <c r="B3460" s="2002"/>
      <c r="C3460" s="2003"/>
      <c r="D3460" s="2004"/>
      <c r="E3460" s="2014"/>
      <c r="F3460" s="1952"/>
      <c r="G3460" s="1774"/>
      <c r="H3460" s="1772"/>
      <c r="I3460" s="1772"/>
      <c r="J3460" s="2082"/>
      <c r="K3460" s="684"/>
      <c r="L3460" s="708"/>
      <c r="M3460" s="709"/>
      <c r="N3460" s="362" t="str">
        <f t="shared" ref="N3460:N3511" si="3104">IF(O3460&lt;&gt;"",K3460*L3460*M3460,"")</f>
        <v/>
      </c>
      <c r="O3460" s="1763" t="str">
        <f t="shared" ref="O3460:O3511" si="3105">IF(D3460&lt;&gt;"",IF(VLOOKUP(D3460,base_datos,7,FALSE)&lt;&gt;"",VLOOKUP(D3460,base_datos,7,FALSE),""),"")</f>
        <v/>
      </c>
      <c r="P3460" s="1764" t="str">
        <f t="shared" ref="P3460:P3511" si="3106">IF(O3460&lt;&gt;"",VLOOKUP(D3460,base_datos,6,FALSE),"")</f>
        <v/>
      </c>
      <c r="Q3460" s="120" t="str">
        <f t="shared" ref="Q3460:Q3511" si="3107">IF(O3460&lt;&gt;"",D3460,"")</f>
        <v/>
      </c>
      <c r="R3460" s="1765"/>
    </row>
    <row r="3461" spans="1:18" s="1237" customFormat="1" ht="18" customHeight="1">
      <c r="A3461" s="2081"/>
      <c r="B3461" s="2002"/>
      <c r="C3461" s="2003"/>
      <c r="D3461" s="2004"/>
      <c r="E3461" s="2014"/>
      <c r="F3461" s="1952"/>
      <c r="G3461" s="1774"/>
      <c r="H3461" s="710"/>
      <c r="I3461" s="710"/>
      <c r="J3461" s="2082"/>
      <c r="K3461" s="684"/>
      <c r="L3461" s="708"/>
      <c r="M3461" s="709"/>
      <c r="N3461" s="362" t="str">
        <f t="shared" si="3104"/>
        <v/>
      </c>
      <c r="O3461" s="1763" t="str">
        <f t="shared" si="3105"/>
        <v/>
      </c>
      <c r="P3461" s="1764" t="str">
        <f t="shared" si="3106"/>
        <v/>
      </c>
      <c r="Q3461" s="120" t="str">
        <f t="shared" si="3107"/>
        <v/>
      </c>
      <c r="R3461" s="1765"/>
    </row>
    <row r="3462" spans="1:18" ht="18" customHeight="1">
      <c r="A3462" s="2095" t="s">
        <v>12510</v>
      </c>
      <c r="B3462" s="371"/>
      <c r="C3462" s="371"/>
      <c r="H3462" s="1772"/>
      <c r="I3462" s="1772"/>
      <c r="N3462" s="362" t="str">
        <f t="shared" si="3104"/>
        <v/>
      </c>
      <c r="O3462" s="1763" t="str">
        <f t="shared" si="3105"/>
        <v/>
      </c>
      <c r="P3462" s="1764" t="str">
        <f t="shared" si="3106"/>
        <v/>
      </c>
      <c r="Q3462" s="120" t="str">
        <f t="shared" si="3107"/>
        <v/>
      </c>
    </row>
    <row r="3463" spans="1:18">
      <c r="B3463" s="1590"/>
      <c r="C3463" s="929"/>
      <c r="H3463" s="710"/>
      <c r="I3463" s="710"/>
    </row>
    <row r="3464" spans="1:18">
      <c r="B3464" s="1590" t="s">
        <v>1564</v>
      </c>
      <c r="C3464" s="929" t="s">
        <v>3948</v>
      </c>
      <c r="H3464" s="1772"/>
      <c r="I3464" s="1772"/>
    </row>
    <row r="3465" spans="1:18">
      <c r="B3465" s="1590"/>
      <c r="C3465" s="929" t="s">
        <v>3949</v>
      </c>
      <c r="H3465" s="710"/>
      <c r="I3465" s="710"/>
    </row>
    <row r="3466" spans="1:18">
      <c r="B3466" s="1590"/>
      <c r="C3466" s="929"/>
      <c r="H3466" s="1772"/>
      <c r="I3466" s="1772"/>
    </row>
    <row r="3467" spans="1:18">
      <c r="B3467" s="1590" t="s">
        <v>2666</v>
      </c>
      <c r="C3467" s="929" t="s">
        <v>12511</v>
      </c>
      <c r="H3467" s="710"/>
      <c r="I3467" s="710"/>
    </row>
    <row r="3468" spans="1:18">
      <c r="B3468" s="1590"/>
      <c r="C3468" s="929" t="s">
        <v>2901</v>
      </c>
      <c r="H3468" s="1772"/>
      <c r="I3468" s="1772"/>
    </row>
    <row r="3469" spans="1:18">
      <c r="B3469" s="1590"/>
      <c r="C3469" s="929" t="s">
        <v>2902</v>
      </c>
      <c r="H3469" s="710"/>
      <c r="I3469" s="710"/>
    </row>
    <row r="3470" spans="1:18">
      <c r="B3470" s="1590"/>
      <c r="C3470" s="929"/>
      <c r="H3470" s="1772"/>
      <c r="I3470" s="1772"/>
    </row>
    <row r="3471" spans="1:18">
      <c r="B3471" s="1590" t="s">
        <v>1795</v>
      </c>
      <c r="C3471" s="929" t="s">
        <v>12561</v>
      </c>
      <c r="H3471" s="710"/>
      <c r="I3471" s="710"/>
    </row>
    <row r="3472" spans="1:18">
      <c r="B3472" s="1590"/>
      <c r="C3472" s="929" t="s">
        <v>12641</v>
      </c>
      <c r="H3472" s="1772"/>
      <c r="I3472" s="1772"/>
    </row>
    <row r="3473" spans="2:17">
      <c r="B3473" s="1590"/>
      <c r="C3473" s="929"/>
      <c r="H3473" s="710"/>
      <c r="I3473" s="710"/>
    </row>
    <row r="3474" spans="2:17">
      <c r="B3474" s="945" t="s">
        <v>1796</v>
      </c>
      <c r="C3474" s="1102" t="s">
        <v>12519</v>
      </c>
      <c r="H3474" s="1772"/>
      <c r="I3474" s="1772"/>
    </row>
    <row r="3475" spans="2:17">
      <c r="B3475" s="945"/>
      <c r="C3475" s="1102" t="s">
        <v>12518</v>
      </c>
      <c r="H3475" s="710"/>
      <c r="I3475" s="710"/>
    </row>
    <row r="3476" spans="2:17" ht="18" customHeight="1">
      <c r="B3476" s="349"/>
      <c r="C3476" s="1102" t="s">
        <v>12517</v>
      </c>
      <c r="H3476" s="1772"/>
      <c r="I3476" s="1772"/>
      <c r="N3476" s="362" t="str">
        <f>IF(O3476&lt;&gt;"",K3476*L3476*M3476,"")</f>
        <v/>
      </c>
      <c r="O3476" s="1763" t="str">
        <f>IF(D3476&lt;&gt;"",IF(VLOOKUP(D3476,base_datos,7,FALSE)&lt;&gt;"",VLOOKUP(D3476,base_datos,7,FALSE),""),"")</f>
        <v/>
      </c>
      <c r="P3476" s="1764" t="str">
        <f>IF(O3476&lt;&gt;"",VLOOKUP(D3476,base_datos,6,FALSE),"")</f>
        <v/>
      </c>
      <c r="Q3476" s="120" t="str">
        <f>IF(O3476&lt;&gt;"",D3476,"")</f>
        <v/>
      </c>
    </row>
    <row r="3477" spans="2:17" ht="18" customHeight="1">
      <c r="B3477" s="1751"/>
      <c r="C3477" s="1102"/>
      <c r="H3477" s="710"/>
      <c r="I3477" s="710"/>
      <c r="O3477" s="1763"/>
      <c r="P3477" s="1764"/>
    </row>
    <row r="3478" spans="2:17" ht="18" customHeight="1">
      <c r="B3478" s="1590" t="s">
        <v>3153</v>
      </c>
      <c r="C3478" s="1102" t="s">
        <v>13029</v>
      </c>
      <c r="H3478" s="1772"/>
      <c r="I3478" s="1772"/>
      <c r="N3478" s="362" t="str">
        <f t="shared" ref="N3478:N3492" si="3108">IF(O3478&lt;&gt;"",K3478*L3478*M3478,"")</f>
        <v/>
      </c>
      <c r="O3478" s="1763" t="str">
        <f t="shared" ref="O3478:O3492" si="3109">IF(D3478&lt;&gt;"",IF(VLOOKUP(D3478,base_datos,7,FALSE)&lt;&gt;"",VLOOKUP(D3478,base_datos,7,FALSE),""),"")</f>
        <v/>
      </c>
      <c r="P3478" s="1764" t="str">
        <f t="shared" ref="P3478:P3492" si="3110">IF(O3478&lt;&gt;"",VLOOKUP(D3478,base_datos,6,FALSE),"")</f>
        <v/>
      </c>
      <c r="Q3478" s="120" t="str">
        <f t="shared" ref="Q3478:Q3492" si="3111">IF(O3478&lt;&gt;"",D3478,"")</f>
        <v/>
      </c>
    </row>
    <row r="3479" spans="2:17" ht="18" customHeight="1">
      <c r="B3479" s="1751"/>
      <c r="C3479" s="371" t="s">
        <v>13367</v>
      </c>
      <c r="H3479" s="710"/>
      <c r="I3479" s="710"/>
      <c r="N3479" s="362" t="str">
        <f t="shared" si="3108"/>
        <v/>
      </c>
      <c r="O3479" s="1763" t="str">
        <f t="shared" si="3109"/>
        <v/>
      </c>
      <c r="P3479" s="1764" t="str">
        <f t="shared" si="3110"/>
        <v/>
      </c>
      <c r="Q3479" s="120" t="str">
        <f t="shared" si="3111"/>
        <v/>
      </c>
    </row>
    <row r="3480" spans="2:17" ht="18" customHeight="1">
      <c r="B3480" s="1751"/>
      <c r="C3480" s="371"/>
      <c r="H3480" s="1772"/>
      <c r="I3480" s="1772"/>
      <c r="N3480" s="362" t="str">
        <f t="shared" si="3108"/>
        <v/>
      </c>
      <c r="O3480" s="1763" t="str">
        <f t="shared" si="3109"/>
        <v/>
      </c>
      <c r="P3480" s="1764" t="str">
        <f t="shared" si="3110"/>
        <v/>
      </c>
      <c r="Q3480" s="120" t="str">
        <f t="shared" si="3111"/>
        <v/>
      </c>
    </row>
    <row r="3481" spans="2:17" ht="18" customHeight="1">
      <c r="B3481" s="1590" t="s">
        <v>3154</v>
      </c>
      <c r="C3481" s="1102" t="s">
        <v>13030</v>
      </c>
      <c r="H3481" s="710"/>
      <c r="I3481" s="710"/>
      <c r="N3481" s="362" t="str">
        <f t="shared" si="3108"/>
        <v/>
      </c>
      <c r="O3481" s="1763" t="str">
        <f t="shared" si="3109"/>
        <v/>
      </c>
      <c r="P3481" s="1764" t="str">
        <f t="shared" si="3110"/>
        <v/>
      </c>
      <c r="Q3481" s="120" t="str">
        <f t="shared" si="3111"/>
        <v/>
      </c>
    </row>
    <row r="3482" spans="2:17" ht="18" customHeight="1">
      <c r="B3482" s="1751"/>
      <c r="C3482" s="1102" t="s">
        <v>13031</v>
      </c>
      <c r="H3482" s="1772"/>
      <c r="I3482" s="1772"/>
      <c r="N3482" s="362" t="str">
        <f t="shared" si="3108"/>
        <v/>
      </c>
      <c r="O3482" s="1763" t="str">
        <f t="shared" si="3109"/>
        <v/>
      </c>
      <c r="P3482" s="1764" t="str">
        <f t="shared" si="3110"/>
        <v/>
      </c>
      <c r="Q3482" s="120" t="str">
        <f t="shared" si="3111"/>
        <v/>
      </c>
    </row>
    <row r="3483" spans="2:17" ht="18" customHeight="1">
      <c r="B3483" s="1751"/>
      <c r="C3483" s="371"/>
      <c r="H3483" s="710"/>
      <c r="I3483" s="710"/>
      <c r="N3483" s="362" t="str">
        <f t="shared" si="3108"/>
        <v/>
      </c>
      <c r="O3483" s="1763" t="str">
        <f t="shared" si="3109"/>
        <v/>
      </c>
      <c r="P3483" s="1764" t="str">
        <f t="shared" si="3110"/>
        <v/>
      </c>
      <c r="Q3483" s="120" t="str">
        <f t="shared" si="3111"/>
        <v/>
      </c>
    </row>
    <row r="3484" spans="2:17" ht="18" customHeight="1">
      <c r="B3484" s="1590" t="s">
        <v>3166</v>
      </c>
      <c r="C3484" s="1102" t="s">
        <v>12562</v>
      </c>
      <c r="H3484" s="1772"/>
      <c r="I3484" s="1772"/>
      <c r="N3484" s="362" t="str">
        <f t="shared" si="3108"/>
        <v/>
      </c>
      <c r="O3484" s="1763" t="str">
        <f t="shared" si="3109"/>
        <v/>
      </c>
      <c r="P3484" s="1764" t="str">
        <f t="shared" si="3110"/>
        <v/>
      </c>
      <c r="Q3484" s="120" t="str">
        <f t="shared" si="3111"/>
        <v/>
      </c>
    </row>
    <row r="3485" spans="2:17" ht="18" customHeight="1">
      <c r="B3485" s="1751"/>
      <c r="C3485" s="1102" t="s">
        <v>12514</v>
      </c>
      <c r="H3485" s="710"/>
      <c r="I3485" s="710"/>
      <c r="N3485" s="362" t="str">
        <f t="shared" si="3108"/>
        <v/>
      </c>
      <c r="O3485" s="1763" t="str">
        <f t="shared" si="3109"/>
        <v/>
      </c>
      <c r="P3485" s="1764" t="str">
        <f t="shared" si="3110"/>
        <v/>
      </c>
      <c r="Q3485" s="120" t="str">
        <f t="shared" si="3111"/>
        <v/>
      </c>
    </row>
    <row r="3486" spans="2:17" ht="18" customHeight="1">
      <c r="B3486" s="1751"/>
      <c r="C3486" s="1102" t="s">
        <v>11662</v>
      </c>
      <c r="N3486" s="362" t="str">
        <f t="shared" si="3108"/>
        <v/>
      </c>
      <c r="O3486" s="1763" t="str">
        <f t="shared" si="3109"/>
        <v/>
      </c>
      <c r="P3486" s="1764" t="str">
        <f t="shared" si="3110"/>
        <v/>
      </c>
      <c r="Q3486" s="120" t="str">
        <f t="shared" si="3111"/>
        <v/>
      </c>
    </row>
    <row r="3487" spans="2:17" ht="18" customHeight="1">
      <c r="B3487" s="1751"/>
      <c r="C3487" s="1102"/>
      <c r="O3487" s="1763"/>
      <c r="P3487" s="1764"/>
    </row>
    <row r="3488" spans="2:17" ht="18" customHeight="1">
      <c r="B3488" s="1590" t="s">
        <v>3155</v>
      </c>
      <c r="C3488" s="1102" t="s">
        <v>13065</v>
      </c>
      <c r="N3488" s="362" t="str">
        <f t="shared" si="3108"/>
        <v/>
      </c>
      <c r="O3488" s="1763" t="str">
        <f t="shared" si="3109"/>
        <v/>
      </c>
      <c r="P3488" s="1764" t="str">
        <f t="shared" si="3110"/>
        <v/>
      </c>
      <c r="Q3488" s="120" t="str">
        <f t="shared" si="3111"/>
        <v/>
      </c>
    </row>
    <row r="3489" spans="1:17" ht="18" customHeight="1">
      <c r="A3489" s="20"/>
      <c r="B3489" s="20"/>
      <c r="C3489" s="1752" t="s">
        <v>13035</v>
      </c>
      <c r="N3489" s="362" t="str">
        <f t="shared" si="3108"/>
        <v/>
      </c>
      <c r="O3489" s="1763" t="str">
        <f t="shared" si="3109"/>
        <v/>
      </c>
      <c r="P3489" s="1764" t="str">
        <f t="shared" si="3110"/>
        <v/>
      </c>
      <c r="Q3489" s="120" t="str">
        <f t="shared" si="3111"/>
        <v/>
      </c>
    </row>
    <row r="3490" spans="1:17" ht="18" customHeight="1">
      <c r="B3490" s="1751"/>
      <c r="C3490" s="371"/>
      <c r="D3490" s="20"/>
      <c r="O3490" s="1763"/>
      <c r="P3490" s="1764"/>
    </row>
    <row r="3491" spans="1:17" ht="18" customHeight="1">
      <c r="B3491" s="1590" t="s">
        <v>3776</v>
      </c>
      <c r="C3491" s="1102" t="s">
        <v>13036</v>
      </c>
      <c r="D3491" s="20"/>
      <c r="N3491" s="362" t="str">
        <f t="shared" si="3108"/>
        <v/>
      </c>
      <c r="O3491" s="1763" t="str">
        <f t="shared" si="3109"/>
        <v/>
      </c>
      <c r="P3491" s="1764" t="str">
        <f t="shared" si="3110"/>
        <v/>
      </c>
      <c r="Q3491" s="120" t="str">
        <f t="shared" si="3111"/>
        <v/>
      </c>
    </row>
    <row r="3492" spans="1:17" ht="18" customHeight="1">
      <c r="B3492" s="1751"/>
      <c r="C3492" s="1102" t="s">
        <v>13037</v>
      </c>
      <c r="D3492" s="20"/>
      <c r="N3492" s="362" t="str">
        <f t="shared" si="3108"/>
        <v/>
      </c>
      <c r="O3492" s="1763" t="str">
        <f t="shared" si="3109"/>
        <v/>
      </c>
      <c r="P3492" s="1764" t="str">
        <f t="shared" si="3110"/>
        <v/>
      </c>
      <c r="Q3492" s="120" t="str">
        <f t="shared" si="3111"/>
        <v/>
      </c>
    </row>
    <row r="3493" spans="1:17" ht="11.25" customHeight="1">
      <c r="B3493" s="1751"/>
      <c r="C3493" s="1102"/>
      <c r="D3493" s="20"/>
      <c r="O3493" s="1763"/>
      <c r="P3493" s="1764"/>
    </row>
    <row r="3494" spans="1:17">
      <c r="B3494" s="1590" t="s">
        <v>3775</v>
      </c>
      <c r="C3494" s="929" t="s">
        <v>12564</v>
      </c>
    </row>
    <row r="3495" spans="1:17">
      <c r="B3495" s="1590"/>
      <c r="C3495" s="929"/>
    </row>
    <row r="3496" spans="1:17">
      <c r="B3496" s="1590"/>
      <c r="C3496" s="1102"/>
    </row>
    <row r="3497" spans="1:17">
      <c r="B3497" s="1590" t="s">
        <v>3945</v>
      </c>
      <c r="C3497" s="2154" t="s">
        <v>12648</v>
      </c>
    </row>
    <row r="3498" spans="1:17">
      <c r="B3498" s="1590"/>
      <c r="C3498" s="2154" t="s">
        <v>12647</v>
      </c>
    </row>
    <row r="3499" spans="1:17">
      <c r="B3499" s="1590"/>
      <c r="C3499" s="929"/>
    </row>
    <row r="3500" spans="1:17">
      <c r="A3500" s="20"/>
      <c r="B3500" s="20"/>
      <c r="N3500" s="362" t="str">
        <f t="shared" si="3104"/>
        <v/>
      </c>
      <c r="O3500" s="1763" t="str">
        <f t="shared" si="3105"/>
        <v/>
      </c>
      <c r="P3500" s="1764" t="str">
        <f t="shared" si="3106"/>
        <v/>
      </c>
      <c r="Q3500" s="120" t="str">
        <f t="shared" si="3107"/>
        <v/>
      </c>
    </row>
    <row r="3501" spans="1:17">
      <c r="A3501" s="20"/>
      <c r="B3501" s="20"/>
      <c r="N3501" s="362" t="str">
        <f t="shared" si="3104"/>
        <v/>
      </c>
      <c r="O3501" s="1763" t="str">
        <f t="shared" si="3105"/>
        <v/>
      </c>
      <c r="P3501" s="1764" t="str">
        <f t="shared" si="3106"/>
        <v/>
      </c>
      <c r="Q3501" s="120" t="str">
        <f t="shared" si="3107"/>
        <v/>
      </c>
    </row>
    <row r="3502" spans="1:17">
      <c r="A3502" s="20"/>
      <c r="B3502" s="20"/>
      <c r="N3502" s="362" t="str">
        <f t="shared" si="3104"/>
        <v/>
      </c>
      <c r="O3502" s="1763" t="str">
        <f t="shared" si="3105"/>
        <v/>
      </c>
      <c r="P3502" s="1764" t="str">
        <f t="shared" si="3106"/>
        <v/>
      </c>
      <c r="Q3502" s="120" t="str">
        <f t="shared" si="3107"/>
        <v/>
      </c>
    </row>
    <row r="3503" spans="1:17">
      <c r="A3503" s="20"/>
      <c r="B3503" s="20"/>
      <c r="N3503" s="362" t="str">
        <f t="shared" si="3104"/>
        <v/>
      </c>
      <c r="O3503" s="1763" t="str">
        <f t="shared" si="3105"/>
        <v/>
      </c>
      <c r="P3503" s="1764" t="str">
        <f t="shared" si="3106"/>
        <v/>
      </c>
      <c r="Q3503" s="120" t="str">
        <f t="shared" si="3107"/>
        <v/>
      </c>
    </row>
    <row r="3504" spans="1:17">
      <c r="A3504" s="20"/>
      <c r="B3504" s="20"/>
      <c r="N3504" s="362" t="str">
        <f t="shared" si="3104"/>
        <v/>
      </c>
      <c r="O3504" s="1763" t="str">
        <f t="shared" si="3105"/>
        <v/>
      </c>
      <c r="P3504" s="1764" t="str">
        <f t="shared" si="3106"/>
        <v/>
      </c>
      <c r="Q3504" s="120" t="str">
        <f t="shared" si="3107"/>
        <v/>
      </c>
    </row>
    <row r="3505" spans="1:17">
      <c r="A3505" s="20"/>
      <c r="B3505" s="20"/>
      <c r="N3505" s="362" t="str">
        <f t="shared" si="3104"/>
        <v/>
      </c>
      <c r="O3505" s="1763" t="str">
        <f t="shared" si="3105"/>
        <v/>
      </c>
      <c r="P3505" s="1764" t="str">
        <f t="shared" si="3106"/>
        <v/>
      </c>
      <c r="Q3505" s="120" t="str">
        <f t="shared" si="3107"/>
        <v/>
      </c>
    </row>
    <row r="3506" spans="1:17">
      <c r="A3506" s="20"/>
      <c r="B3506" s="20"/>
      <c r="N3506" s="362" t="str">
        <f t="shared" si="3104"/>
        <v/>
      </c>
      <c r="O3506" s="1763" t="str">
        <f t="shared" si="3105"/>
        <v/>
      </c>
      <c r="P3506" s="1764" t="str">
        <f t="shared" si="3106"/>
        <v/>
      </c>
      <c r="Q3506" s="120" t="str">
        <f t="shared" si="3107"/>
        <v/>
      </c>
    </row>
    <row r="3507" spans="1:17">
      <c r="A3507" s="20"/>
      <c r="B3507" s="20"/>
      <c r="N3507" s="362" t="str">
        <f t="shared" si="3104"/>
        <v/>
      </c>
      <c r="O3507" s="1763" t="str">
        <f t="shared" si="3105"/>
        <v/>
      </c>
      <c r="P3507" s="1764" t="str">
        <f t="shared" si="3106"/>
        <v/>
      </c>
      <c r="Q3507" s="120" t="str">
        <f t="shared" si="3107"/>
        <v/>
      </c>
    </row>
    <row r="3508" spans="1:17">
      <c r="A3508" s="20"/>
      <c r="B3508" s="20"/>
      <c r="N3508" s="362" t="str">
        <f t="shared" si="3104"/>
        <v/>
      </c>
      <c r="O3508" s="1763" t="str">
        <f t="shared" si="3105"/>
        <v/>
      </c>
      <c r="P3508" s="1764" t="str">
        <f t="shared" si="3106"/>
        <v/>
      </c>
      <c r="Q3508" s="120" t="str">
        <f t="shared" si="3107"/>
        <v/>
      </c>
    </row>
    <row r="3509" spans="1:17">
      <c r="A3509" s="20"/>
      <c r="B3509" s="20"/>
      <c r="N3509" s="362" t="str">
        <f t="shared" si="3104"/>
        <v/>
      </c>
      <c r="O3509" s="1763" t="str">
        <f t="shared" si="3105"/>
        <v/>
      </c>
      <c r="P3509" s="1764" t="str">
        <f t="shared" si="3106"/>
        <v/>
      </c>
      <c r="Q3509" s="120" t="str">
        <f t="shared" si="3107"/>
        <v/>
      </c>
    </row>
    <row r="3510" spans="1:17">
      <c r="A3510" s="20"/>
      <c r="B3510" s="20"/>
      <c r="N3510" s="362" t="str">
        <f t="shared" si="3104"/>
        <v/>
      </c>
      <c r="O3510" s="1763" t="str">
        <f t="shared" si="3105"/>
        <v/>
      </c>
      <c r="P3510" s="1764" t="str">
        <f t="shared" si="3106"/>
        <v/>
      </c>
      <c r="Q3510" s="120" t="str">
        <f t="shared" si="3107"/>
        <v/>
      </c>
    </row>
    <row r="3511" spans="1:17">
      <c r="A3511" s="20"/>
      <c r="B3511" s="20"/>
      <c r="N3511" s="362" t="str">
        <f t="shared" si="3104"/>
        <v/>
      </c>
      <c r="O3511" s="1763" t="str">
        <f t="shared" si="3105"/>
        <v/>
      </c>
      <c r="P3511" s="1764" t="str">
        <f t="shared" si="3106"/>
        <v/>
      </c>
      <c r="Q3511" s="120" t="str">
        <f t="shared" si="3107"/>
        <v/>
      </c>
    </row>
    <row r="3512" spans="1:17">
      <c r="A3512" s="20"/>
      <c r="B3512" s="20"/>
      <c r="N3512" s="362" t="str">
        <f t="shared" ref="N3512:N3553" si="3112">IF(O3512&lt;&gt;"",K3512*L3512*M3512,"")</f>
        <v/>
      </c>
      <c r="O3512" s="1763" t="str">
        <f t="shared" ref="O3512:O3553" si="3113">IF(D3512&lt;&gt;"",IF(VLOOKUP(D3512,base_datos,7,FALSE)&lt;&gt;"",VLOOKUP(D3512,base_datos,7,FALSE),""),"")</f>
        <v/>
      </c>
      <c r="P3512" s="1764" t="str">
        <f t="shared" ref="P3512:P3553" si="3114">IF(O3512&lt;&gt;"",VLOOKUP(D3512,base_datos,6,FALSE),"")</f>
        <v/>
      </c>
      <c r="Q3512" s="120" t="str">
        <f t="shared" ref="Q3512:Q3553" si="3115">IF(O3512&lt;&gt;"",D3512,"")</f>
        <v/>
      </c>
    </row>
    <row r="3513" spans="1:17">
      <c r="A3513" s="20"/>
      <c r="B3513" s="20"/>
      <c r="N3513" s="362" t="str">
        <f t="shared" si="3112"/>
        <v/>
      </c>
      <c r="O3513" s="1763" t="str">
        <f t="shared" si="3113"/>
        <v/>
      </c>
      <c r="P3513" s="1764" t="str">
        <f t="shared" si="3114"/>
        <v/>
      </c>
      <c r="Q3513" s="120" t="str">
        <f t="shared" si="3115"/>
        <v/>
      </c>
    </row>
    <row r="3514" spans="1:17">
      <c r="A3514" s="20"/>
      <c r="B3514" s="20"/>
      <c r="N3514" s="362" t="str">
        <f t="shared" si="3112"/>
        <v/>
      </c>
      <c r="O3514" s="1763" t="str">
        <f t="shared" si="3113"/>
        <v/>
      </c>
      <c r="P3514" s="1764" t="str">
        <f t="shared" si="3114"/>
        <v/>
      </c>
      <c r="Q3514" s="120" t="str">
        <f t="shared" si="3115"/>
        <v/>
      </c>
    </row>
    <row r="3515" spans="1:17">
      <c r="A3515" s="20"/>
      <c r="B3515" s="20"/>
      <c r="N3515" s="362" t="str">
        <f t="shared" si="3112"/>
        <v/>
      </c>
      <c r="O3515" s="1763" t="str">
        <f t="shared" si="3113"/>
        <v/>
      </c>
      <c r="P3515" s="1764" t="str">
        <f t="shared" si="3114"/>
        <v/>
      </c>
      <c r="Q3515" s="120" t="str">
        <f t="shared" si="3115"/>
        <v/>
      </c>
    </row>
    <row r="3516" spans="1:17">
      <c r="A3516" s="20"/>
      <c r="B3516" s="20"/>
      <c r="N3516" s="362" t="str">
        <f t="shared" si="3112"/>
        <v/>
      </c>
      <c r="O3516" s="1763" t="str">
        <f t="shared" si="3113"/>
        <v/>
      </c>
      <c r="P3516" s="1764" t="str">
        <f t="shared" si="3114"/>
        <v/>
      </c>
      <c r="Q3516" s="120" t="str">
        <f t="shared" si="3115"/>
        <v/>
      </c>
    </row>
    <row r="3517" spans="1:17">
      <c r="A3517" s="20"/>
      <c r="B3517" s="20"/>
      <c r="N3517" s="362" t="str">
        <f t="shared" si="3112"/>
        <v/>
      </c>
      <c r="O3517" s="1763" t="str">
        <f t="shared" si="3113"/>
        <v/>
      </c>
      <c r="P3517" s="1764" t="str">
        <f t="shared" si="3114"/>
        <v/>
      </c>
      <c r="Q3517" s="120" t="str">
        <f t="shared" si="3115"/>
        <v/>
      </c>
    </row>
    <row r="3518" spans="1:17">
      <c r="A3518" s="20"/>
      <c r="B3518" s="20"/>
      <c r="N3518" s="362" t="str">
        <f t="shared" si="3112"/>
        <v/>
      </c>
      <c r="O3518" s="1763" t="str">
        <f t="shared" si="3113"/>
        <v/>
      </c>
      <c r="P3518" s="1764" t="str">
        <f t="shared" si="3114"/>
        <v/>
      </c>
      <c r="Q3518" s="120" t="str">
        <f t="shared" si="3115"/>
        <v/>
      </c>
    </row>
    <row r="3519" spans="1:17">
      <c r="A3519" s="20"/>
      <c r="B3519" s="20"/>
      <c r="N3519" s="362" t="str">
        <f t="shared" si="3112"/>
        <v/>
      </c>
      <c r="O3519" s="1763" t="str">
        <f t="shared" si="3113"/>
        <v/>
      </c>
      <c r="P3519" s="1764" t="str">
        <f t="shared" si="3114"/>
        <v/>
      </c>
      <c r="Q3519" s="120" t="str">
        <f t="shared" si="3115"/>
        <v/>
      </c>
    </row>
    <row r="3520" spans="1:17">
      <c r="A3520" s="20"/>
      <c r="B3520" s="20"/>
      <c r="N3520" s="362" t="str">
        <f t="shared" si="3112"/>
        <v/>
      </c>
      <c r="O3520" s="1763" t="str">
        <f t="shared" si="3113"/>
        <v/>
      </c>
      <c r="P3520" s="1764" t="str">
        <f t="shared" si="3114"/>
        <v/>
      </c>
      <c r="Q3520" s="120" t="str">
        <f t="shared" si="3115"/>
        <v/>
      </c>
    </row>
    <row r="3521" spans="1:17">
      <c r="A3521" s="20"/>
      <c r="B3521" s="20"/>
      <c r="N3521" s="362" t="str">
        <f t="shared" si="3112"/>
        <v/>
      </c>
      <c r="O3521" s="1763" t="str">
        <f t="shared" si="3113"/>
        <v/>
      </c>
      <c r="P3521" s="1764" t="str">
        <f t="shared" si="3114"/>
        <v/>
      </c>
      <c r="Q3521" s="120" t="str">
        <f t="shared" si="3115"/>
        <v/>
      </c>
    </row>
    <row r="3522" spans="1:17">
      <c r="A3522" s="20"/>
      <c r="B3522" s="20"/>
      <c r="N3522" s="362" t="str">
        <f t="shared" si="3112"/>
        <v/>
      </c>
      <c r="O3522" s="1763" t="str">
        <f t="shared" si="3113"/>
        <v/>
      </c>
      <c r="P3522" s="1764" t="str">
        <f t="shared" si="3114"/>
        <v/>
      </c>
      <c r="Q3522" s="120" t="str">
        <f t="shared" si="3115"/>
        <v/>
      </c>
    </row>
    <row r="3523" spans="1:17">
      <c r="A3523" s="20"/>
      <c r="B3523" s="20"/>
      <c r="N3523" s="362" t="str">
        <f t="shared" si="3112"/>
        <v/>
      </c>
      <c r="O3523" s="1763" t="str">
        <f t="shared" si="3113"/>
        <v/>
      </c>
      <c r="P3523" s="1764" t="str">
        <f t="shared" si="3114"/>
        <v/>
      </c>
      <c r="Q3523" s="120" t="str">
        <f t="shared" si="3115"/>
        <v/>
      </c>
    </row>
    <row r="3524" spans="1:17">
      <c r="A3524" s="20"/>
      <c r="B3524" s="20"/>
      <c r="N3524" s="362" t="str">
        <f t="shared" si="3112"/>
        <v/>
      </c>
      <c r="O3524" s="1763" t="str">
        <f t="shared" si="3113"/>
        <v/>
      </c>
      <c r="P3524" s="1764" t="str">
        <f t="shared" si="3114"/>
        <v/>
      </c>
      <c r="Q3524" s="120" t="str">
        <f t="shared" si="3115"/>
        <v/>
      </c>
    </row>
    <row r="3525" spans="1:17">
      <c r="A3525" s="20"/>
      <c r="B3525" s="20"/>
      <c r="N3525" s="362" t="str">
        <f t="shared" si="3112"/>
        <v/>
      </c>
      <c r="O3525" s="1763" t="str">
        <f t="shared" si="3113"/>
        <v/>
      </c>
      <c r="P3525" s="1764" t="str">
        <f t="shared" si="3114"/>
        <v/>
      </c>
      <c r="Q3525" s="120" t="str">
        <f t="shared" si="3115"/>
        <v/>
      </c>
    </row>
    <row r="3526" spans="1:17">
      <c r="A3526" s="20"/>
      <c r="B3526" s="20"/>
      <c r="N3526" s="362" t="str">
        <f t="shared" si="3112"/>
        <v/>
      </c>
      <c r="O3526" s="1763" t="str">
        <f t="shared" si="3113"/>
        <v/>
      </c>
      <c r="P3526" s="1764" t="str">
        <f t="shared" si="3114"/>
        <v/>
      </c>
      <c r="Q3526" s="120" t="str">
        <f t="shared" si="3115"/>
        <v/>
      </c>
    </row>
    <row r="3527" spans="1:17">
      <c r="A3527" s="20"/>
      <c r="B3527" s="20"/>
      <c r="N3527" s="362" t="str">
        <f t="shared" si="3112"/>
        <v/>
      </c>
      <c r="O3527" s="1763" t="str">
        <f t="shared" si="3113"/>
        <v/>
      </c>
      <c r="P3527" s="1764" t="str">
        <f t="shared" si="3114"/>
        <v/>
      </c>
      <c r="Q3527" s="120" t="str">
        <f t="shared" si="3115"/>
        <v/>
      </c>
    </row>
    <row r="3528" spans="1:17">
      <c r="A3528" s="20"/>
      <c r="B3528" s="20"/>
      <c r="N3528" s="362" t="str">
        <f t="shared" si="3112"/>
        <v/>
      </c>
      <c r="O3528" s="1763" t="str">
        <f t="shared" si="3113"/>
        <v/>
      </c>
      <c r="P3528" s="1764" t="str">
        <f t="shared" si="3114"/>
        <v/>
      </c>
      <c r="Q3528" s="120" t="str">
        <f t="shared" si="3115"/>
        <v/>
      </c>
    </row>
    <row r="3529" spans="1:17">
      <c r="A3529" s="20"/>
      <c r="B3529" s="20"/>
      <c r="N3529" s="362" t="str">
        <f t="shared" si="3112"/>
        <v/>
      </c>
      <c r="O3529" s="1763" t="str">
        <f t="shared" si="3113"/>
        <v/>
      </c>
      <c r="P3529" s="1764" t="str">
        <f t="shared" si="3114"/>
        <v/>
      </c>
      <c r="Q3529" s="120" t="str">
        <f t="shared" si="3115"/>
        <v/>
      </c>
    </row>
    <row r="3530" spans="1:17">
      <c r="A3530" s="20"/>
      <c r="B3530" s="20"/>
      <c r="N3530" s="362" t="str">
        <f t="shared" si="3112"/>
        <v/>
      </c>
      <c r="O3530" s="1763" t="str">
        <f t="shared" si="3113"/>
        <v/>
      </c>
      <c r="P3530" s="1764" t="str">
        <f t="shared" si="3114"/>
        <v/>
      </c>
      <c r="Q3530" s="120" t="str">
        <f t="shared" si="3115"/>
        <v/>
      </c>
    </row>
    <row r="3531" spans="1:17">
      <c r="A3531" s="20"/>
      <c r="B3531" s="20"/>
      <c r="N3531" s="362" t="str">
        <f t="shared" si="3112"/>
        <v/>
      </c>
      <c r="O3531" s="1763" t="str">
        <f t="shared" si="3113"/>
        <v/>
      </c>
      <c r="P3531" s="1764" t="str">
        <f t="shared" si="3114"/>
        <v/>
      </c>
      <c r="Q3531" s="120" t="str">
        <f t="shared" si="3115"/>
        <v/>
      </c>
    </row>
    <row r="3532" spans="1:17">
      <c r="A3532" s="20"/>
      <c r="B3532" s="20"/>
      <c r="N3532" s="362" t="str">
        <f t="shared" si="3112"/>
        <v/>
      </c>
      <c r="O3532" s="1763" t="str">
        <f t="shared" si="3113"/>
        <v/>
      </c>
      <c r="P3532" s="1764" t="str">
        <f t="shared" si="3114"/>
        <v/>
      </c>
      <c r="Q3532" s="120" t="str">
        <f t="shared" si="3115"/>
        <v/>
      </c>
    </row>
    <row r="3533" spans="1:17">
      <c r="A3533" s="20"/>
      <c r="B3533" s="20"/>
      <c r="N3533" s="362" t="str">
        <f t="shared" si="3112"/>
        <v/>
      </c>
      <c r="O3533" s="1763" t="str">
        <f t="shared" si="3113"/>
        <v/>
      </c>
      <c r="P3533" s="1764" t="str">
        <f t="shared" si="3114"/>
        <v/>
      </c>
      <c r="Q3533" s="120" t="str">
        <f t="shared" si="3115"/>
        <v/>
      </c>
    </row>
    <row r="3534" spans="1:17">
      <c r="A3534" s="20"/>
      <c r="B3534" s="20"/>
      <c r="N3534" s="362" t="str">
        <f t="shared" si="3112"/>
        <v/>
      </c>
      <c r="O3534" s="1763" t="str">
        <f t="shared" si="3113"/>
        <v/>
      </c>
      <c r="P3534" s="1764" t="str">
        <f t="shared" si="3114"/>
        <v/>
      </c>
      <c r="Q3534" s="120" t="str">
        <f t="shared" si="3115"/>
        <v/>
      </c>
    </row>
    <row r="3535" spans="1:17">
      <c r="A3535" s="20"/>
      <c r="B3535" s="20"/>
      <c r="N3535" s="362" t="str">
        <f t="shared" si="3112"/>
        <v/>
      </c>
      <c r="O3535" s="1763" t="str">
        <f t="shared" si="3113"/>
        <v/>
      </c>
      <c r="P3535" s="1764" t="str">
        <f t="shared" si="3114"/>
        <v/>
      </c>
      <c r="Q3535" s="120" t="str">
        <f t="shared" si="3115"/>
        <v/>
      </c>
    </row>
    <row r="3536" spans="1:17">
      <c r="A3536" s="20"/>
      <c r="B3536" s="20"/>
      <c r="N3536" s="362" t="str">
        <f t="shared" si="3112"/>
        <v/>
      </c>
      <c r="O3536" s="1763" t="str">
        <f t="shared" si="3113"/>
        <v/>
      </c>
      <c r="P3536" s="1764" t="str">
        <f t="shared" si="3114"/>
        <v/>
      </c>
      <c r="Q3536" s="120" t="str">
        <f t="shared" si="3115"/>
        <v/>
      </c>
    </row>
    <row r="3537" spans="1:17">
      <c r="A3537" s="20"/>
      <c r="B3537" s="20"/>
      <c r="N3537" s="362" t="str">
        <f t="shared" si="3112"/>
        <v/>
      </c>
      <c r="O3537" s="1763" t="str">
        <f t="shared" si="3113"/>
        <v/>
      </c>
      <c r="P3537" s="1764" t="str">
        <f t="shared" si="3114"/>
        <v/>
      </c>
      <c r="Q3537" s="120" t="str">
        <f t="shared" si="3115"/>
        <v/>
      </c>
    </row>
    <row r="3538" spans="1:17">
      <c r="A3538" s="20"/>
      <c r="B3538" s="20"/>
      <c r="N3538" s="362" t="str">
        <f t="shared" si="3112"/>
        <v/>
      </c>
      <c r="O3538" s="1763" t="str">
        <f t="shared" si="3113"/>
        <v/>
      </c>
      <c r="P3538" s="1764" t="str">
        <f t="shared" si="3114"/>
        <v/>
      </c>
      <c r="Q3538" s="120" t="str">
        <f t="shared" si="3115"/>
        <v/>
      </c>
    </row>
    <row r="3539" spans="1:17">
      <c r="A3539" s="20"/>
      <c r="B3539" s="20"/>
      <c r="N3539" s="362" t="str">
        <f t="shared" si="3112"/>
        <v/>
      </c>
      <c r="O3539" s="1763" t="str">
        <f t="shared" si="3113"/>
        <v/>
      </c>
      <c r="P3539" s="1764" t="str">
        <f t="shared" si="3114"/>
        <v/>
      </c>
      <c r="Q3539" s="120" t="str">
        <f t="shared" si="3115"/>
        <v/>
      </c>
    </row>
    <row r="3540" spans="1:17">
      <c r="A3540" s="20"/>
      <c r="B3540" s="20"/>
      <c r="N3540" s="362" t="str">
        <f t="shared" si="3112"/>
        <v/>
      </c>
      <c r="O3540" s="1763" t="str">
        <f t="shared" si="3113"/>
        <v/>
      </c>
      <c r="P3540" s="1764" t="str">
        <f t="shared" si="3114"/>
        <v/>
      </c>
      <c r="Q3540" s="120" t="str">
        <f t="shared" si="3115"/>
        <v/>
      </c>
    </row>
    <row r="3541" spans="1:17">
      <c r="A3541" s="20"/>
      <c r="B3541" s="20"/>
      <c r="N3541" s="362" t="str">
        <f t="shared" si="3112"/>
        <v/>
      </c>
      <c r="O3541" s="1763" t="str">
        <f t="shared" si="3113"/>
        <v/>
      </c>
      <c r="P3541" s="1764" t="str">
        <f t="shared" si="3114"/>
        <v/>
      </c>
      <c r="Q3541" s="120" t="str">
        <f t="shared" si="3115"/>
        <v/>
      </c>
    </row>
    <row r="3542" spans="1:17">
      <c r="A3542" s="20"/>
      <c r="B3542" s="20"/>
      <c r="N3542" s="362" t="str">
        <f t="shared" si="3112"/>
        <v/>
      </c>
      <c r="O3542" s="1763" t="str">
        <f t="shared" si="3113"/>
        <v/>
      </c>
      <c r="P3542" s="1764" t="str">
        <f t="shared" si="3114"/>
        <v/>
      </c>
      <c r="Q3542" s="120" t="str">
        <f t="shared" si="3115"/>
        <v/>
      </c>
    </row>
    <row r="3543" spans="1:17">
      <c r="A3543" s="20"/>
      <c r="B3543" s="20"/>
      <c r="N3543" s="362" t="str">
        <f t="shared" si="3112"/>
        <v/>
      </c>
      <c r="O3543" s="1763" t="str">
        <f t="shared" si="3113"/>
        <v/>
      </c>
      <c r="P3543" s="1764" t="str">
        <f t="shared" si="3114"/>
        <v/>
      </c>
      <c r="Q3543" s="120" t="str">
        <f t="shared" si="3115"/>
        <v/>
      </c>
    </row>
    <row r="3544" spans="1:17">
      <c r="A3544" s="20"/>
      <c r="B3544" s="20"/>
      <c r="N3544" s="362" t="str">
        <f t="shared" si="3112"/>
        <v/>
      </c>
      <c r="O3544" s="1763" t="str">
        <f t="shared" si="3113"/>
        <v/>
      </c>
      <c r="P3544" s="1764" t="str">
        <f t="shared" si="3114"/>
        <v/>
      </c>
      <c r="Q3544" s="120" t="str">
        <f t="shared" si="3115"/>
        <v/>
      </c>
    </row>
    <row r="3545" spans="1:17">
      <c r="A3545" s="20"/>
      <c r="B3545" s="20"/>
      <c r="N3545" s="362" t="str">
        <f t="shared" si="3112"/>
        <v/>
      </c>
      <c r="O3545" s="1763" t="str">
        <f t="shared" si="3113"/>
        <v/>
      </c>
      <c r="P3545" s="1764" t="str">
        <f t="shared" si="3114"/>
        <v/>
      </c>
      <c r="Q3545" s="120" t="str">
        <f t="shared" si="3115"/>
        <v/>
      </c>
    </row>
    <row r="3546" spans="1:17">
      <c r="A3546" s="20"/>
      <c r="B3546" s="20"/>
      <c r="N3546" s="362" t="str">
        <f t="shared" si="3112"/>
        <v/>
      </c>
      <c r="O3546" s="1763" t="str">
        <f t="shared" si="3113"/>
        <v/>
      </c>
      <c r="P3546" s="1764" t="str">
        <f t="shared" si="3114"/>
        <v/>
      </c>
      <c r="Q3546" s="120" t="str">
        <f t="shared" si="3115"/>
        <v/>
      </c>
    </row>
    <row r="3547" spans="1:17">
      <c r="A3547" s="20"/>
      <c r="B3547" s="20"/>
      <c r="N3547" s="362" t="str">
        <f t="shared" si="3112"/>
        <v/>
      </c>
      <c r="O3547" s="1763" t="str">
        <f t="shared" si="3113"/>
        <v/>
      </c>
      <c r="P3547" s="1764" t="str">
        <f t="shared" si="3114"/>
        <v/>
      </c>
      <c r="Q3547" s="120" t="str">
        <f t="shared" si="3115"/>
        <v/>
      </c>
    </row>
    <row r="3548" spans="1:17">
      <c r="A3548" s="20"/>
      <c r="B3548" s="20"/>
      <c r="N3548" s="362" t="str">
        <f t="shared" si="3112"/>
        <v/>
      </c>
      <c r="O3548" s="1763" t="str">
        <f t="shared" si="3113"/>
        <v/>
      </c>
      <c r="P3548" s="1764" t="str">
        <f t="shared" si="3114"/>
        <v/>
      </c>
      <c r="Q3548" s="120" t="str">
        <f t="shared" si="3115"/>
        <v/>
      </c>
    </row>
    <row r="3549" spans="1:17">
      <c r="A3549" s="20"/>
      <c r="B3549" s="20"/>
      <c r="N3549" s="362" t="str">
        <f t="shared" si="3112"/>
        <v/>
      </c>
      <c r="O3549" s="1763" t="str">
        <f t="shared" si="3113"/>
        <v/>
      </c>
      <c r="P3549" s="1764" t="str">
        <f t="shared" si="3114"/>
        <v/>
      </c>
      <c r="Q3549" s="120" t="str">
        <f t="shared" si="3115"/>
        <v/>
      </c>
    </row>
    <row r="3550" spans="1:17">
      <c r="A3550" s="20"/>
      <c r="B3550" s="20"/>
      <c r="N3550" s="362" t="str">
        <f t="shared" si="3112"/>
        <v/>
      </c>
      <c r="O3550" s="1763" t="str">
        <f t="shared" si="3113"/>
        <v/>
      </c>
      <c r="P3550" s="1764" t="str">
        <f t="shared" si="3114"/>
        <v/>
      </c>
      <c r="Q3550" s="120" t="str">
        <f t="shared" si="3115"/>
        <v/>
      </c>
    </row>
    <row r="3551" spans="1:17">
      <c r="A3551" s="20"/>
      <c r="B3551" s="20"/>
      <c r="N3551" s="362" t="str">
        <f t="shared" si="3112"/>
        <v/>
      </c>
      <c r="O3551" s="1763" t="str">
        <f t="shared" si="3113"/>
        <v/>
      </c>
      <c r="P3551" s="1764" t="str">
        <f t="shared" si="3114"/>
        <v/>
      </c>
      <c r="Q3551" s="120" t="str">
        <f t="shared" si="3115"/>
        <v/>
      </c>
    </row>
    <row r="3552" spans="1:17">
      <c r="A3552" s="20"/>
      <c r="B3552" s="20"/>
      <c r="N3552" s="362" t="str">
        <f t="shared" si="3112"/>
        <v/>
      </c>
      <c r="O3552" s="1763" t="str">
        <f t="shared" si="3113"/>
        <v/>
      </c>
      <c r="P3552" s="1764" t="str">
        <f t="shared" si="3114"/>
        <v/>
      </c>
      <c r="Q3552" s="120" t="str">
        <f t="shared" si="3115"/>
        <v/>
      </c>
    </row>
    <row r="3553" spans="1:17">
      <c r="A3553" s="20"/>
      <c r="B3553" s="20"/>
      <c r="N3553" s="362" t="str">
        <f t="shared" si="3112"/>
        <v/>
      </c>
      <c r="O3553" s="1763" t="str">
        <f t="shared" si="3113"/>
        <v/>
      </c>
      <c r="P3553" s="1764" t="str">
        <f t="shared" si="3114"/>
        <v/>
      </c>
      <c r="Q3553" s="120" t="str">
        <f t="shared" si="3115"/>
        <v/>
      </c>
    </row>
    <row r="3554" spans="1:17">
      <c r="A3554" s="20"/>
      <c r="B3554" s="20"/>
      <c r="N3554" s="362" t="str">
        <f t="shared" ref="N3554:N3574" si="3116">IF(O3554&lt;&gt;"",K3554*L3554*M3554,"")</f>
        <v/>
      </c>
      <c r="O3554" s="1763" t="str">
        <f t="shared" ref="O3554:O3574" si="3117">IF(D3554&lt;&gt;"",IF(VLOOKUP(D3554,base_datos,7,FALSE)&lt;&gt;"",VLOOKUP(D3554,base_datos,7,FALSE),""),"")</f>
        <v/>
      </c>
      <c r="P3554" s="1764"/>
      <c r="Q3554" s="120" t="str">
        <f t="shared" ref="Q3554:Q3561" si="3118">IF(O3554&lt;&gt;"",D3554,"")</f>
        <v/>
      </c>
    </row>
    <row r="3555" spans="1:17">
      <c r="A3555" s="20"/>
      <c r="B3555" s="20"/>
      <c r="N3555" s="362" t="str">
        <f t="shared" si="3116"/>
        <v/>
      </c>
      <c r="O3555" s="1763" t="str">
        <f t="shared" si="3117"/>
        <v/>
      </c>
      <c r="P3555" s="1764" t="str">
        <f t="shared" ref="P3555:P3574" si="3119">IF(O3555&lt;&gt;"",VLOOKUP(D3555,base_datos,6,FALSE),"")</f>
        <v/>
      </c>
      <c r="Q3555" s="120" t="str">
        <f t="shared" si="3118"/>
        <v/>
      </c>
    </row>
    <row r="3556" spans="1:17">
      <c r="A3556" s="20"/>
      <c r="B3556" s="20"/>
      <c r="N3556" s="362" t="str">
        <f t="shared" si="3116"/>
        <v/>
      </c>
      <c r="O3556" s="1763" t="str">
        <f t="shared" si="3117"/>
        <v/>
      </c>
      <c r="P3556" s="1764" t="str">
        <f t="shared" si="3119"/>
        <v/>
      </c>
      <c r="Q3556" s="120" t="str">
        <f t="shared" si="3118"/>
        <v/>
      </c>
    </row>
    <row r="3557" spans="1:17">
      <c r="A3557" s="20"/>
      <c r="B3557" s="20"/>
      <c r="N3557" s="362" t="str">
        <f t="shared" si="3116"/>
        <v/>
      </c>
      <c r="O3557" s="1763" t="str">
        <f t="shared" si="3117"/>
        <v/>
      </c>
      <c r="P3557" s="1764" t="str">
        <f t="shared" si="3119"/>
        <v/>
      </c>
      <c r="Q3557" s="120" t="str">
        <f t="shared" si="3118"/>
        <v/>
      </c>
    </row>
    <row r="3558" spans="1:17">
      <c r="A3558" s="20"/>
      <c r="B3558" s="20"/>
      <c r="N3558" s="362" t="str">
        <f t="shared" si="3116"/>
        <v/>
      </c>
      <c r="O3558" s="1763" t="str">
        <f t="shared" si="3117"/>
        <v/>
      </c>
      <c r="P3558" s="1764" t="str">
        <f t="shared" si="3119"/>
        <v/>
      </c>
      <c r="Q3558" s="120" t="str">
        <f t="shared" si="3118"/>
        <v/>
      </c>
    </row>
    <row r="3559" spans="1:17">
      <c r="A3559" s="20"/>
      <c r="B3559" s="20"/>
      <c r="N3559" s="362" t="str">
        <f t="shared" si="3116"/>
        <v/>
      </c>
      <c r="O3559" s="1763" t="str">
        <f t="shared" si="3117"/>
        <v/>
      </c>
      <c r="P3559" s="1764" t="str">
        <f t="shared" si="3119"/>
        <v/>
      </c>
      <c r="Q3559" s="120" t="str">
        <f t="shared" si="3118"/>
        <v/>
      </c>
    </row>
    <row r="3560" spans="1:17">
      <c r="A3560" s="20"/>
      <c r="B3560" s="20"/>
      <c r="N3560" s="362" t="str">
        <f t="shared" si="3116"/>
        <v/>
      </c>
      <c r="O3560" s="1763" t="str">
        <f t="shared" si="3117"/>
        <v/>
      </c>
      <c r="P3560" s="1764" t="str">
        <f t="shared" si="3119"/>
        <v/>
      </c>
      <c r="Q3560" s="120" t="str">
        <f t="shared" si="3118"/>
        <v/>
      </c>
    </row>
    <row r="3561" spans="1:17">
      <c r="A3561" s="20"/>
      <c r="B3561" s="20"/>
      <c r="N3561" s="362" t="str">
        <f t="shared" si="3116"/>
        <v/>
      </c>
      <c r="O3561" s="1763" t="str">
        <f t="shared" si="3117"/>
        <v/>
      </c>
      <c r="P3561" s="1764" t="str">
        <f t="shared" si="3119"/>
        <v/>
      </c>
      <c r="Q3561" s="120" t="str">
        <f t="shared" si="3118"/>
        <v/>
      </c>
    </row>
    <row r="3562" spans="1:17">
      <c r="A3562" s="20"/>
      <c r="B3562" s="20"/>
      <c r="N3562" s="362" t="str">
        <f t="shared" si="3116"/>
        <v/>
      </c>
      <c r="O3562" s="1763" t="str">
        <f t="shared" si="3117"/>
        <v/>
      </c>
      <c r="P3562" s="1764" t="str">
        <f t="shared" si="3119"/>
        <v/>
      </c>
    </row>
    <row r="3563" spans="1:17">
      <c r="A3563" s="20"/>
      <c r="B3563" s="20"/>
      <c r="N3563" s="362" t="str">
        <f t="shared" si="3116"/>
        <v/>
      </c>
      <c r="O3563" s="1763" t="str">
        <f t="shared" si="3117"/>
        <v/>
      </c>
      <c r="P3563" s="1764" t="str">
        <f t="shared" si="3119"/>
        <v/>
      </c>
    </row>
    <row r="3564" spans="1:17">
      <c r="A3564" s="20"/>
      <c r="B3564" s="20"/>
      <c r="N3564" s="362" t="str">
        <f t="shared" si="3116"/>
        <v/>
      </c>
      <c r="O3564" s="1763" t="str">
        <f t="shared" si="3117"/>
        <v/>
      </c>
      <c r="P3564" s="1764" t="str">
        <f t="shared" si="3119"/>
        <v/>
      </c>
    </row>
    <row r="3565" spans="1:17">
      <c r="A3565" s="20"/>
      <c r="B3565" s="20"/>
      <c r="N3565" s="362" t="str">
        <f t="shared" si="3116"/>
        <v/>
      </c>
      <c r="O3565" s="1763" t="str">
        <f t="shared" si="3117"/>
        <v/>
      </c>
      <c r="P3565" s="1764" t="str">
        <f t="shared" si="3119"/>
        <v/>
      </c>
    </row>
    <row r="3566" spans="1:17">
      <c r="A3566" s="20"/>
      <c r="B3566" s="20"/>
      <c r="N3566" s="362" t="str">
        <f t="shared" si="3116"/>
        <v/>
      </c>
      <c r="O3566" s="1763" t="str">
        <f t="shared" si="3117"/>
        <v/>
      </c>
      <c r="P3566" s="1764" t="str">
        <f t="shared" si="3119"/>
        <v/>
      </c>
    </row>
    <row r="3567" spans="1:17">
      <c r="A3567" s="20"/>
      <c r="B3567" s="20"/>
      <c r="N3567" s="362" t="str">
        <f t="shared" si="3116"/>
        <v/>
      </c>
      <c r="O3567" s="1763" t="str">
        <f t="shared" si="3117"/>
        <v/>
      </c>
      <c r="P3567" s="1764" t="str">
        <f t="shared" si="3119"/>
        <v/>
      </c>
    </row>
    <row r="3568" spans="1:17">
      <c r="A3568" s="20"/>
      <c r="B3568" s="20"/>
      <c r="N3568" s="362" t="str">
        <f t="shared" si="3116"/>
        <v/>
      </c>
      <c r="O3568" s="1763" t="str">
        <f t="shared" si="3117"/>
        <v/>
      </c>
      <c r="P3568" s="1764" t="str">
        <f t="shared" si="3119"/>
        <v/>
      </c>
    </row>
    <row r="3569" spans="1:16">
      <c r="A3569" s="20"/>
      <c r="B3569" s="20"/>
      <c r="N3569" s="362" t="str">
        <f t="shared" si="3116"/>
        <v/>
      </c>
      <c r="O3569" s="1763" t="str">
        <f t="shared" si="3117"/>
        <v/>
      </c>
      <c r="P3569" s="1764" t="str">
        <f t="shared" si="3119"/>
        <v/>
      </c>
    </row>
    <row r="3570" spans="1:16">
      <c r="A3570" s="20"/>
      <c r="B3570" s="20"/>
      <c r="N3570" s="362" t="str">
        <f t="shared" si="3116"/>
        <v/>
      </c>
      <c r="O3570" s="1763" t="str">
        <f t="shared" si="3117"/>
        <v/>
      </c>
      <c r="P3570" s="1764" t="str">
        <f t="shared" si="3119"/>
        <v/>
      </c>
    </row>
    <row r="3571" spans="1:16">
      <c r="A3571" s="20"/>
      <c r="B3571" s="20"/>
      <c r="N3571" s="362" t="str">
        <f t="shared" si="3116"/>
        <v/>
      </c>
      <c r="O3571" s="1763" t="str">
        <f t="shared" si="3117"/>
        <v/>
      </c>
      <c r="P3571" s="1764" t="str">
        <f t="shared" si="3119"/>
        <v/>
      </c>
    </row>
    <row r="3572" spans="1:16">
      <c r="A3572" s="20"/>
      <c r="B3572" s="20"/>
      <c r="N3572" s="362" t="str">
        <f t="shared" si="3116"/>
        <v/>
      </c>
      <c r="O3572" s="1763" t="str">
        <f t="shared" si="3117"/>
        <v/>
      </c>
      <c r="P3572" s="1764" t="str">
        <f t="shared" si="3119"/>
        <v/>
      </c>
    </row>
    <row r="3573" spans="1:16">
      <c r="A3573" s="20"/>
      <c r="B3573" s="20"/>
      <c r="N3573" s="362" t="str">
        <f t="shared" si="3116"/>
        <v/>
      </c>
      <c r="O3573" s="1763" t="str">
        <f t="shared" si="3117"/>
        <v/>
      </c>
      <c r="P3573" s="1764" t="str">
        <f t="shared" si="3119"/>
        <v/>
      </c>
    </row>
    <row r="3574" spans="1:16">
      <c r="A3574" s="20"/>
      <c r="B3574" s="20"/>
      <c r="N3574" s="362" t="str">
        <f t="shared" si="3116"/>
        <v/>
      </c>
      <c r="O3574" s="1763" t="str">
        <f t="shared" si="3117"/>
        <v/>
      </c>
      <c r="P3574" s="1764" t="str">
        <f t="shared" si="3119"/>
        <v/>
      </c>
    </row>
    <row r="3575" spans="1:16">
      <c r="A3575" s="20"/>
      <c r="B3575" s="20"/>
      <c r="N3575" s="362" t="str">
        <f t="shared" ref="N3575:N3586" si="3120">IF(O3575&lt;&gt;"",K3575*L3575*M3575,"")</f>
        <v/>
      </c>
      <c r="O3575" s="1763" t="str">
        <f t="shared" ref="O3575:O3586" si="3121">IF(D3575&lt;&gt;"",IF(VLOOKUP(D3575,base_datos,7,FALSE)&lt;&gt;"",VLOOKUP(D3575,base_datos,7,FALSE),""),"")</f>
        <v/>
      </c>
      <c r="P3575" s="1764" t="str">
        <f t="shared" ref="P3575:P3586" si="3122">IF(O3575&lt;&gt;"",VLOOKUP(D3575,base_datos,6,FALSE),"")</f>
        <v/>
      </c>
    </row>
    <row r="3576" spans="1:16">
      <c r="A3576" s="20"/>
      <c r="B3576" s="20"/>
      <c r="N3576" s="362" t="str">
        <f t="shared" si="3120"/>
        <v/>
      </c>
      <c r="O3576" s="1763" t="str">
        <f t="shared" si="3121"/>
        <v/>
      </c>
      <c r="P3576" s="1764" t="str">
        <f t="shared" si="3122"/>
        <v/>
      </c>
    </row>
    <row r="3577" spans="1:16">
      <c r="A3577" s="20"/>
      <c r="B3577" s="20"/>
      <c r="N3577" s="362" t="str">
        <f t="shared" si="3120"/>
        <v/>
      </c>
      <c r="O3577" s="1763" t="str">
        <f t="shared" si="3121"/>
        <v/>
      </c>
      <c r="P3577" s="1764" t="str">
        <f t="shared" si="3122"/>
        <v/>
      </c>
    </row>
    <row r="3578" spans="1:16">
      <c r="A3578" s="20"/>
      <c r="B3578" s="20"/>
      <c r="N3578" s="362" t="str">
        <f t="shared" si="3120"/>
        <v/>
      </c>
      <c r="O3578" s="1763" t="str">
        <f t="shared" si="3121"/>
        <v/>
      </c>
      <c r="P3578" s="1764" t="str">
        <f t="shared" si="3122"/>
        <v/>
      </c>
    </row>
    <row r="3579" spans="1:16">
      <c r="A3579" s="20"/>
      <c r="B3579" s="20"/>
      <c r="N3579" s="362" t="str">
        <f t="shared" si="3120"/>
        <v/>
      </c>
      <c r="O3579" s="1763" t="str">
        <f t="shared" si="3121"/>
        <v/>
      </c>
      <c r="P3579" s="1764" t="str">
        <f t="shared" si="3122"/>
        <v/>
      </c>
    </row>
    <row r="3580" spans="1:16">
      <c r="A3580" s="20"/>
      <c r="B3580" s="20"/>
      <c r="N3580" s="362" t="str">
        <f t="shared" si="3120"/>
        <v/>
      </c>
      <c r="O3580" s="1763" t="str">
        <f t="shared" si="3121"/>
        <v/>
      </c>
      <c r="P3580" s="1764" t="str">
        <f t="shared" si="3122"/>
        <v/>
      </c>
    </row>
    <row r="3581" spans="1:16">
      <c r="A3581" s="20"/>
      <c r="B3581" s="20"/>
      <c r="N3581" s="362" t="str">
        <f t="shared" si="3120"/>
        <v/>
      </c>
      <c r="O3581" s="1763" t="str">
        <f t="shared" si="3121"/>
        <v/>
      </c>
      <c r="P3581" s="1764" t="str">
        <f t="shared" si="3122"/>
        <v/>
      </c>
    </row>
    <row r="3582" spans="1:16">
      <c r="A3582" s="20"/>
      <c r="B3582" s="20"/>
      <c r="N3582" s="362" t="str">
        <f t="shared" si="3120"/>
        <v/>
      </c>
      <c r="O3582" s="1763" t="str">
        <f t="shared" si="3121"/>
        <v/>
      </c>
      <c r="P3582" s="1764" t="str">
        <f t="shared" si="3122"/>
        <v/>
      </c>
    </row>
    <row r="3583" spans="1:16">
      <c r="A3583" s="20"/>
      <c r="B3583" s="20"/>
      <c r="N3583" s="362" t="str">
        <f t="shared" si="3120"/>
        <v/>
      </c>
      <c r="O3583" s="1763" t="str">
        <f t="shared" si="3121"/>
        <v/>
      </c>
      <c r="P3583" s="1764" t="str">
        <f t="shared" si="3122"/>
        <v/>
      </c>
    </row>
    <row r="3584" spans="1:16">
      <c r="A3584" s="20"/>
      <c r="B3584" s="20"/>
      <c r="N3584" s="362" t="str">
        <f t="shared" si="3120"/>
        <v/>
      </c>
      <c r="O3584" s="1763" t="str">
        <f t="shared" si="3121"/>
        <v/>
      </c>
      <c r="P3584" s="1764" t="str">
        <f t="shared" si="3122"/>
        <v/>
      </c>
    </row>
    <row r="3585" spans="1:16">
      <c r="A3585" s="20"/>
      <c r="B3585" s="20"/>
      <c r="N3585" s="362" t="str">
        <f t="shared" si="3120"/>
        <v/>
      </c>
      <c r="O3585" s="1763" t="str">
        <f t="shared" si="3121"/>
        <v/>
      </c>
      <c r="P3585" s="1764" t="str">
        <f t="shared" si="3122"/>
        <v/>
      </c>
    </row>
    <row r="3586" spans="1:16">
      <c r="A3586" s="20"/>
      <c r="B3586" s="20"/>
      <c r="N3586" s="362" t="str">
        <f t="shared" si="3120"/>
        <v/>
      </c>
      <c r="O3586" s="1763" t="str">
        <f t="shared" si="3121"/>
        <v/>
      </c>
      <c r="P3586" s="1764" t="str">
        <f t="shared" si="3122"/>
        <v/>
      </c>
    </row>
    <row r="3587" spans="1:16">
      <c r="A3587" s="20"/>
      <c r="B3587" s="20"/>
    </row>
    <row r="3588" spans="1:16">
      <c r="A3588" s="20"/>
      <c r="B3588" s="20"/>
    </row>
    <row r="3589" spans="1:16">
      <c r="A3589" s="20"/>
      <c r="B3589" s="20"/>
    </row>
    <row r="3590" spans="1:16">
      <c r="A3590" s="20"/>
      <c r="B3590" s="20"/>
    </row>
    <row r="3591" spans="1:16">
      <c r="A3591" s="20"/>
      <c r="B3591" s="20"/>
    </row>
    <row r="3592" spans="1:16">
      <c r="A3592" s="20"/>
      <c r="B3592" s="20"/>
    </row>
    <row r="3593" spans="1:16">
      <c r="A3593" s="20"/>
      <c r="B3593" s="20"/>
    </row>
    <row r="3594" spans="1:16">
      <c r="A3594" s="20"/>
      <c r="B3594" s="20"/>
    </row>
    <row r="3595" spans="1:16">
      <c r="A3595" s="20"/>
      <c r="B3595" s="20"/>
    </row>
  </sheetData>
  <autoFilter ref="A7:J3586" xr:uid="{00000000-0009-0000-0000-000000000000}"/>
  <mergeCells count="19">
    <mergeCell ref="B1:C1"/>
    <mergeCell ref="G5:H6"/>
    <mergeCell ref="K5:N5"/>
    <mergeCell ref="K6:N6"/>
    <mergeCell ref="I1:J4"/>
    <mergeCell ref="B2:C2"/>
    <mergeCell ref="B3:C3"/>
    <mergeCell ref="B4:C4"/>
    <mergeCell ref="K1:L1"/>
    <mergeCell ref="K2:L2"/>
    <mergeCell ref="K3:L3"/>
    <mergeCell ref="K4:L4"/>
    <mergeCell ref="A5:A6"/>
    <mergeCell ref="I5:J5"/>
    <mergeCell ref="A7:A8"/>
    <mergeCell ref="B7:B8"/>
    <mergeCell ref="C7:C8"/>
    <mergeCell ref="D7:D8"/>
    <mergeCell ref="E5:F6"/>
  </mergeCells>
  <phoneticPr fontId="27" type="noConversion"/>
  <printOptions horizontalCentered="1"/>
  <pageMargins left="0" right="0.19685039370078741" top="0.19685039370078741" bottom="0.19685039370078741" header="0.51181102362204722" footer="0.51181102362204722"/>
  <pageSetup paperSize="9" scale="60" orientation="landscape" horizontalDpi="1200" verticalDpi="1200" r:id="rId1"/>
  <headerFooter scaleWithDoc="0"/>
  <ignoredErrors>
    <ignoredError sqref="F693 F322" formula="1"/>
  </ignoredErrors>
  <drawing r:id="rId2"/>
  <legacyDrawing r:id="rId3"/>
  <legacyDrawingHF r:id="rId4"/>
  <controls>
    <mc:AlternateContent xmlns:mc="http://schemas.openxmlformats.org/markup-compatibility/2006">
      <mc:Choice Requires="x14">
        <control shapeId="44906" r:id="rId5" name="ActBase_Button">
          <controlPr defaultSize="0" autoLine="0" r:id="rId6">
            <anchor moveWithCells="1">
              <from>
                <xdr:col>3</xdr:col>
                <xdr:colOff>76200</xdr:colOff>
                <xdr:row>0</xdr:row>
                <xdr:rowOff>68580</xdr:rowOff>
              </from>
              <to>
                <xdr:col>3</xdr:col>
                <xdr:colOff>929640</xdr:colOff>
                <xdr:row>3</xdr:row>
                <xdr:rowOff>167640</xdr:rowOff>
              </to>
            </anchor>
          </controlPr>
        </control>
      </mc:Choice>
      <mc:Fallback>
        <control shapeId="44906" r:id="rId5" name="ActBase_Button"/>
      </mc:Fallback>
    </mc:AlternateContent>
    <mc:AlternateContent xmlns:mc="http://schemas.openxmlformats.org/markup-compatibility/2006">
      <mc:Choice Requires="x14">
        <control shapeId="44757" r:id="rId7" name="Marca_ComboBox">
          <controlPr defaultSize="0" autoLine="0" listFillRange="'Datos(temp)'!E5:E10" r:id="rId8">
            <anchor moveWithCells="1">
              <from>
                <xdr:col>5</xdr:col>
                <xdr:colOff>525780</xdr:colOff>
                <xdr:row>2</xdr:row>
                <xdr:rowOff>121920</xdr:rowOff>
              </from>
              <to>
                <xdr:col>6</xdr:col>
                <xdr:colOff>746760</xdr:colOff>
                <xdr:row>3</xdr:row>
                <xdr:rowOff>121920</xdr:rowOff>
              </to>
            </anchor>
          </controlPr>
        </control>
      </mc:Choice>
      <mc:Fallback>
        <control shapeId="44757" r:id="rId7" name="Marca_ComboBox"/>
      </mc:Fallback>
    </mc:AlternateContent>
    <mc:AlternateContent xmlns:mc="http://schemas.openxmlformats.org/markup-compatibility/2006">
      <mc:Choice Requires="x14">
        <control shapeId="44755" r:id="rId9" name="CambMarca_Button">
          <controlPr defaultSize="0" autoLine="0" r:id="rId10">
            <anchor moveWithCells="1">
              <from>
                <xdr:col>5</xdr:col>
                <xdr:colOff>502920</xdr:colOff>
                <xdr:row>0</xdr:row>
                <xdr:rowOff>68580</xdr:rowOff>
              </from>
              <to>
                <xdr:col>6</xdr:col>
                <xdr:colOff>723900</xdr:colOff>
                <xdr:row>2</xdr:row>
                <xdr:rowOff>83820</xdr:rowOff>
              </to>
            </anchor>
          </controlPr>
        </control>
      </mc:Choice>
      <mc:Fallback>
        <control shapeId="44755" r:id="rId9" name="CambMarca_Button"/>
      </mc:Fallback>
    </mc:AlternateContent>
    <mc:AlternateContent xmlns:mc="http://schemas.openxmlformats.org/markup-compatibility/2006">
      <mc:Choice Requires="x14">
        <control shapeId="44078" r:id="rId11" name="RedPre_Button">
          <controlPr defaultSize="0" autoLine="0" r:id="rId12">
            <anchor moveWithCells="1">
              <from>
                <xdr:col>4</xdr:col>
                <xdr:colOff>45720</xdr:colOff>
                <xdr:row>0</xdr:row>
                <xdr:rowOff>76200</xdr:rowOff>
              </from>
              <to>
                <xdr:col>5</xdr:col>
                <xdr:colOff>411480</xdr:colOff>
                <xdr:row>3</xdr:row>
                <xdr:rowOff>167640</xdr:rowOff>
              </to>
            </anchor>
          </controlPr>
        </control>
      </mc:Choice>
      <mc:Fallback>
        <control shapeId="44078" r:id="rId11" name="RedPre_Button"/>
      </mc:Fallback>
    </mc:AlternateContent>
    <mc:AlternateContent xmlns:mc="http://schemas.openxmlformats.org/markup-compatibility/2006">
      <mc:Choice Requires="x14">
        <control shapeId="44909" r:id="rId13" name="Enumerar_Button">
          <controlPr defaultSize="0" autoLine="0" r:id="rId14">
            <anchor moveWithCells="1">
              <from>
                <xdr:col>3</xdr:col>
                <xdr:colOff>975360</xdr:colOff>
                <xdr:row>0</xdr:row>
                <xdr:rowOff>76200</xdr:rowOff>
              </from>
              <to>
                <xdr:col>3</xdr:col>
                <xdr:colOff>1722120</xdr:colOff>
                <xdr:row>1</xdr:row>
                <xdr:rowOff>160020</xdr:rowOff>
              </to>
            </anchor>
          </controlPr>
        </control>
      </mc:Choice>
      <mc:Fallback>
        <control shapeId="44909" r:id="rId13" name="Enumerar_Button"/>
      </mc:Fallback>
    </mc:AlternateContent>
    <mc:AlternateContent xmlns:mc="http://schemas.openxmlformats.org/markup-compatibility/2006">
      <mc:Choice Requires="x14">
        <control shapeId="524484" r:id="rId15" name="Contabilizar_Button">
          <controlPr defaultSize="0" autoLine="0" r:id="rId16">
            <anchor moveWithCells="1">
              <from>
                <xdr:col>3</xdr:col>
                <xdr:colOff>960120</xdr:colOff>
                <xdr:row>1</xdr:row>
                <xdr:rowOff>182880</xdr:rowOff>
              </from>
              <to>
                <xdr:col>3</xdr:col>
                <xdr:colOff>1722120</xdr:colOff>
                <xdr:row>3</xdr:row>
                <xdr:rowOff>160020</xdr:rowOff>
              </to>
            </anchor>
          </controlPr>
        </control>
      </mc:Choice>
      <mc:Fallback>
        <control shapeId="524484" r:id="rId15" name="Contabilizar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pageSetUpPr fitToPage="1"/>
  </sheetPr>
  <dimension ref="A1:AD8028"/>
  <sheetViews>
    <sheetView topLeftCell="A612" zoomScaleNormal="100" workbookViewId="0">
      <selection activeCell="B632" sqref="B632"/>
    </sheetView>
  </sheetViews>
  <sheetFormatPr baseColWidth="10" defaultColWidth="11.44140625" defaultRowHeight="13.2"/>
  <cols>
    <col min="1" max="1" width="9.33203125" style="19" customWidth="1"/>
    <col min="2" max="2" width="36.109375" style="135" customWidth="1"/>
    <col min="3" max="3" width="14.6640625" style="221" customWidth="1"/>
    <col min="4" max="4" width="14.6640625" style="200" customWidth="1"/>
    <col min="5" max="5" width="12.6640625" style="213" customWidth="1"/>
    <col min="6" max="6" width="14.6640625" style="148" customWidth="1"/>
    <col min="7" max="7" width="126.88671875" style="136" customWidth="1"/>
    <col min="8" max="8" width="20.44140625" style="19" customWidth="1"/>
    <col min="9" max="9" width="10" style="19" customWidth="1"/>
    <col min="10" max="10" width="10.109375" style="19" customWidth="1"/>
    <col min="11" max="11" width="9.5546875" style="19" bestFit="1" customWidth="1"/>
    <col min="12" max="16384" width="11.44140625" style="19"/>
  </cols>
  <sheetData>
    <row r="1" spans="1:11" s="112" customFormat="1">
      <c r="A1" s="370"/>
      <c r="B1" s="144"/>
      <c r="C1" s="215"/>
      <c r="D1" s="359"/>
      <c r="E1" s="215"/>
      <c r="F1" s="511"/>
      <c r="G1" s="145"/>
      <c r="H1" s="145"/>
      <c r="I1" s="315"/>
      <c r="J1" s="515"/>
      <c r="K1" s="452"/>
    </row>
    <row r="2" spans="1:11" s="112" customFormat="1" ht="17.399999999999999">
      <c r="A2" s="370"/>
      <c r="B2" s="1223" t="s">
        <v>4091</v>
      </c>
      <c r="C2" s="215"/>
      <c r="D2" s="359"/>
      <c r="E2" s="215"/>
      <c r="F2" s="511"/>
      <c r="G2" s="145"/>
      <c r="H2" s="145"/>
      <c r="I2" s="315"/>
      <c r="J2" s="515"/>
      <c r="K2" s="452"/>
    </row>
    <row r="3" spans="1:11" s="185" customFormat="1">
      <c r="A3" s="370"/>
      <c r="B3" s="144"/>
      <c r="C3" s="196"/>
      <c r="D3" s="230"/>
      <c r="E3" s="215"/>
      <c r="F3" s="316"/>
      <c r="G3" s="145"/>
      <c r="H3" s="145"/>
      <c r="I3" s="315"/>
      <c r="J3" s="315"/>
    </row>
    <row r="4" spans="1:11" ht="27.9" customHeight="1">
      <c r="A4" s="371"/>
      <c r="B4" s="1689" t="s">
        <v>10971</v>
      </c>
      <c r="C4" s="196"/>
      <c r="D4" s="229"/>
      <c r="E4" s="215"/>
      <c r="F4" s="316"/>
      <c r="G4" s="183"/>
      <c r="H4" s="315"/>
      <c r="I4" s="315"/>
      <c r="K4" s="185"/>
    </row>
    <row r="5" spans="1:11" ht="13.8" thickBot="1">
      <c r="A5" s="321"/>
      <c r="B5" s="139"/>
      <c r="C5" s="222"/>
      <c r="D5" s="206"/>
      <c r="E5" s="112"/>
      <c r="F5" s="154"/>
      <c r="G5" s="140"/>
      <c r="H5" s="185"/>
      <c r="I5" s="185"/>
      <c r="J5" s="185"/>
      <c r="K5" s="185"/>
    </row>
    <row r="6" spans="1:11" ht="20.100000000000001" customHeight="1">
      <c r="A6" s="349"/>
      <c r="B6" s="1345" t="s">
        <v>1025</v>
      </c>
      <c r="C6" s="1346" t="s">
        <v>1022</v>
      </c>
      <c r="D6" s="1347" t="s">
        <v>1023</v>
      </c>
      <c r="E6" s="1348" t="s">
        <v>1024</v>
      </c>
      <c r="F6" s="1348" t="s">
        <v>1027</v>
      </c>
      <c r="G6" s="1349" t="s">
        <v>1026</v>
      </c>
      <c r="H6" s="476"/>
      <c r="I6" s="112"/>
      <c r="J6" s="112"/>
      <c r="K6" s="185"/>
    </row>
    <row r="7" spans="1:11" ht="13.8">
      <c r="A7" s="349"/>
      <c r="B7" s="1702" t="s">
        <v>11565</v>
      </c>
      <c r="C7" s="2301">
        <v>0.22</v>
      </c>
      <c r="D7" s="2302">
        <v>0.25</v>
      </c>
      <c r="E7" s="2303">
        <v>0.14000000000000001</v>
      </c>
      <c r="F7" s="2303">
        <v>0.1</v>
      </c>
      <c r="G7" s="1350">
        <f>1-(1-C7)*(1-D7)*(1-E7)*(1-F7)</f>
        <v>0.54720999999999997</v>
      </c>
      <c r="H7" s="1705" t="s">
        <v>11567</v>
      </c>
      <c r="I7" s="112"/>
      <c r="J7" s="112"/>
      <c r="K7" s="185"/>
    </row>
    <row r="8" spans="1:11" s="185" customFormat="1" ht="13.8">
      <c r="A8" s="349"/>
      <c r="B8" s="1703" t="s">
        <v>11566</v>
      </c>
      <c r="C8" s="2301">
        <v>0.22</v>
      </c>
      <c r="D8" s="2302">
        <v>0.25</v>
      </c>
      <c r="E8" s="2303">
        <v>0.16</v>
      </c>
      <c r="F8" s="2303">
        <v>0.12</v>
      </c>
      <c r="G8" s="1350">
        <f t="shared" ref="G8:G11" si="0">1-(1-C8)*(1-D8)*(1-E8)*(1-F8)</f>
        <v>0.56756800000000007</v>
      </c>
      <c r="H8" s="1705" t="s">
        <v>4747</v>
      </c>
      <c r="I8" s="112"/>
      <c r="J8" s="112"/>
    </row>
    <row r="9" spans="1:11" s="185" customFormat="1" ht="14.4" thickBot="1">
      <c r="A9" s="349"/>
      <c r="B9" s="1704" t="s">
        <v>4980</v>
      </c>
      <c r="C9" s="1450">
        <v>0</v>
      </c>
      <c r="D9" s="1451">
        <v>0</v>
      </c>
      <c r="E9" s="1452">
        <v>0</v>
      </c>
      <c r="F9" s="1452">
        <v>0</v>
      </c>
      <c r="G9" s="1453">
        <f t="shared" ref="G9:G10" si="1">1-(1-C9)*(1-D9)*(1-E9)*(1-F9)</f>
        <v>0</v>
      </c>
      <c r="H9" s="1705" t="s">
        <v>11568</v>
      </c>
      <c r="I9" s="112"/>
      <c r="J9" s="112"/>
    </row>
    <row r="10" spans="1:11" s="185" customFormat="1" ht="14.4" thickBot="1">
      <c r="A10" s="349"/>
      <c r="B10" s="1704" t="s">
        <v>10969</v>
      </c>
      <c r="C10" s="1450">
        <v>0</v>
      </c>
      <c r="D10" s="1451">
        <v>0</v>
      </c>
      <c r="E10" s="1452">
        <v>0</v>
      </c>
      <c r="F10" s="1452">
        <v>0</v>
      </c>
      <c r="G10" s="1453">
        <f t="shared" si="1"/>
        <v>0</v>
      </c>
      <c r="H10" s="1705" t="s">
        <v>10970</v>
      </c>
      <c r="I10" s="112"/>
      <c r="J10" s="112"/>
    </row>
    <row r="11" spans="1:11" s="185" customFormat="1" ht="14.4" thickBot="1">
      <c r="A11" s="349"/>
      <c r="B11" s="1704" t="s">
        <v>10295</v>
      </c>
      <c r="C11" s="1450">
        <v>0</v>
      </c>
      <c r="D11" s="1451">
        <v>0</v>
      </c>
      <c r="E11" s="1452">
        <v>0</v>
      </c>
      <c r="F11" s="1452">
        <v>0</v>
      </c>
      <c r="G11" s="1453">
        <f t="shared" si="0"/>
        <v>0</v>
      </c>
      <c r="H11" s="1705" t="s">
        <v>10296</v>
      </c>
      <c r="I11" s="112"/>
      <c r="J11" s="112"/>
    </row>
    <row r="12" spans="1:11" ht="13.8">
      <c r="A12" s="321"/>
      <c r="B12" s="616"/>
      <c r="C12" s="617"/>
      <c r="D12" s="618"/>
      <c r="E12" s="619"/>
      <c r="F12" s="620"/>
      <c r="G12" s="621"/>
      <c r="H12" s="454"/>
      <c r="I12" s="185"/>
      <c r="J12" s="185"/>
      <c r="K12" s="185"/>
    </row>
    <row r="13" spans="1:11" ht="13.8">
      <c r="A13" s="321"/>
      <c r="B13" s="622" t="s">
        <v>2458</v>
      </c>
      <c r="C13" s="1331">
        <v>1.25</v>
      </c>
      <c r="D13" s="623"/>
      <c r="E13" s="619"/>
      <c r="F13" s="624"/>
      <c r="G13" s="625"/>
      <c r="H13" s="626"/>
      <c r="I13" s="185"/>
      <c r="J13" s="185"/>
      <c r="K13" s="185"/>
    </row>
    <row r="14" spans="1:11" ht="18" customHeight="1">
      <c r="A14" s="321"/>
      <c r="B14" s="622" t="s">
        <v>1028</v>
      </c>
      <c r="C14" s="627">
        <f>IF(D14="Fijo",1.67,IF(D14="Fijo proyectado",G_U/(1-G14),IF(dscto&lt;=0.25,1.67,G_U/(1-dscto))))</f>
        <v>2.2727272727272725</v>
      </c>
      <c r="D14" s="2537" t="s">
        <v>11657</v>
      </c>
      <c r="E14" s="2538"/>
      <c r="F14" s="1332" t="str">
        <f>IF(D14="Fijo","Dscto.max 25%",IF(D14="Fijo proyectado","Dscto.max =", "Factor(Dscto)"))</f>
        <v>Dscto.max =</v>
      </c>
      <c r="G14" s="1333">
        <v>0.45</v>
      </c>
      <c r="H14" s="626"/>
      <c r="I14" s="185"/>
      <c r="J14" s="185"/>
      <c r="K14" s="185"/>
    </row>
    <row r="15" spans="1:11" s="446" customFormat="1" ht="15.6">
      <c r="A15" s="447"/>
      <c r="B15" s="921" t="s">
        <v>3174</v>
      </c>
      <c r="C15" s="1330" t="s">
        <v>3222</v>
      </c>
      <c r="D15" s="628"/>
      <c r="E15" s="619"/>
      <c r="F15" s="620"/>
      <c r="G15" s="621"/>
      <c r="H15" s="454"/>
      <c r="I15" s="454"/>
      <c r="J15" s="454"/>
      <c r="K15" s="454"/>
    </row>
    <row r="16" spans="1:11">
      <c r="A16" s="321"/>
      <c r="B16" s="139"/>
      <c r="C16" s="240"/>
      <c r="D16" s="206"/>
      <c r="E16" s="112"/>
      <c r="F16" s="154"/>
      <c r="G16" s="140"/>
      <c r="H16" s="185"/>
      <c r="I16" s="185"/>
      <c r="J16" s="185"/>
      <c r="K16" s="185"/>
    </row>
    <row r="17" spans="1:13" ht="13.8">
      <c r="A17" s="515"/>
      <c r="B17" s="1225" t="s">
        <v>4092</v>
      </c>
      <c r="C17" s="1224">
        <v>3.35</v>
      </c>
      <c r="D17" s="230"/>
      <c r="E17" s="215"/>
      <c r="F17" s="511"/>
      <c r="G17" s="518"/>
      <c r="H17" s="144"/>
      <c r="I17" s="452"/>
      <c r="J17" s="515"/>
      <c r="K17" s="452"/>
      <c r="L17" s="191"/>
      <c r="M17" s="191"/>
    </row>
    <row r="18" spans="1:13" ht="13.8" thickBot="1">
      <c r="A18" s="321"/>
      <c r="B18" s="139"/>
      <c r="C18" s="240"/>
      <c r="D18" s="206"/>
      <c r="E18" s="112"/>
      <c r="F18" s="154"/>
      <c r="G18" s="140"/>
      <c r="H18" s="185"/>
      <c r="I18" s="185"/>
      <c r="J18" s="185"/>
      <c r="K18" s="185"/>
    </row>
    <row r="19" spans="1:13" s="20" customFormat="1" ht="19.5" customHeight="1" thickBot="1">
      <c r="B19" s="1334" t="s">
        <v>4152</v>
      </c>
      <c r="C19" s="1335" t="s">
        <v>313</v>
      </c>
      <c r="D19" s="1336" t="s">
        <v>36</v>
      </c>
      <c r="E19" s="1334" t="s">
        <v>4093</v>
      </c>
      <c r="F19" s="1337" t="s">
        <v>4151</v>
      </c>
      <c r="G19" s="1338" t="s">
        <v>4094</v>
      </c>
      <c r="H19" s="1339" t="s">
        <v>4153</v>
      </c>
      <c r="I19" s="1338" t="s">
        <v>1025</v>
      </c>
      <c r="J19" s="1338" t="s">
        <v>2445</v>
      </c>
      <c r="K19" s="1338" t="s">
        <v>740</v>
      </c>
    </row>
    <row r="20" spans="1:13" s="102" customFormat="1" ht="19.5" customHeight="1"/>
    <row r="21" spans="1:13" s="317" customFormat="1">
      <c r="A21" s="369"/>
      <c r="B21" s="1448" t="s">
        <v>6191</v>
      </c>
      <c r="C21" s="346" t="s">
        <v>2024</v>
      </c>
      <c r="D21" s="345"/>
      <c r="E21" s="343"/>
      <c r="F21" s="508"/>
      <c r="G21" s="351"/>
      <c r="H21" s="546"/>
      <c r="I21" s="546"/>
      <c r="J21" s="1449"/>
      <c r="K21" s="546"/>
    </row>
    <row r="22" spans="1:13" s="112" customFormat="1">
      <c r="A22" s="370"/>
      <c r="B22" s="144"/>
      <c r="C22" s="215"/>
      <c r="D22" s="359"/>
      <c r="E22" s="215"/>
      <c r="F22" s="511"/>
      <c r="G22" s="145"/>
      <c r="H22" s="145"/>
      <c r="I22" s="315"/>
      <c r="J22" s="515"/>
      <c r="K22" s="452"/>
    </row>
    <row r="23" spans="1:13" s="112" customFormat="1">
      <c r="A23" s="370"/>
      <c r="B23" s="144"/>
      <c r="C23" s="215"/>
      <c r="D23" s="359"/>
      <c r="E23" s="215"/>
      <c r="F23" s="511"/>
      <c r="G23" s="145"/>
      <c r="H23" s="145"/>
      <c r="I23" s="315"/>
      <c r="J23" s="515"/>
      <c r="K23" s="452"/>
    </row>
    <row r="24" spans="1:13">
      <c r="A24" s="369"/>
      <c r="B24" s="144" t="s">
        <v>6192</v>
      </c>
      <c r="C24" s="196">
        <v>20.400000000000002</v>
      </c>
      <c r="D24" s="230">
        <f>C24*(1-VLOOKUP(I24,descuentos,6,FALSE))*fcl/IF(dol_sol="dólar", TC,1)</f>
        <v>5.9848119402985054</v>
      </c>
      <c r="E24" s="215"/>
      <c r="F24" s="511">
        <f t="shared" ref="F24:F32" si="2">ROUNDUP(D24+E24,2)</f>
        <v>5.99</v>
      </c>
      <c r="G24" s="314" t="s">
        <v>6193</v>
      </c>
      <c r="H24" s="518" t="s">
        <v>13068</v>
      </c>
      <c r="I24" s="452" t="s">
        <v>11566</v>
      </c>
      <c r="J24" s="369" t="s">
        <v>753</v>
      </c>
      <c r="K24" s="452" t="s">
        <v>741</v>
      </c>
      <c r="L24" s="185"/>
    </row>
    <row r="25" spans="1:13">
      <c r="A25" s="369"/>
      <c r="B25" s="144" t="s">
        <v>6194</v>
      </c>
      <c r="C25" s="196">
        <v>16.200000000000003</v>
      </c>
      <c r="D25" s="230">
        <f>C25*(1-VLOOKUP(I25,descuentos,6,FALSE))*fcl/IF(dol_sol="dólar", TC,1)</f>
        <v>4.7526447761194026</v>
      </c>
      <c r="E25" s="215"/>
      <c r="F25" s="511">
        <f t="shared" si="2"/>
        <v>4.76</v>
      </c>
      <c r="G25" s="314" t="s">
        <v>6195</v>
      </c>
      <c r="H25" s="518" t="s">
        <v>13069</v>
      </c>
      <c r="I25" s="452" t="s">
        <v>11566</v>
      </c>
      <c r="J25" s="369" t="s">
        <v>753</v>
      </c>
      <c r="K25" s="452" t="s">
        <v>741</v>
      </c>
      <c r="L25" s="185"/>
    </row>
    <row r="26" spans="1:13">
      <c r="A26" s="369"/>
      <c r="B26" s="144" t="s">
        <v>1047</v>
      </c>
      <c r="C26" s="196">
        <v>16.200000000000003</v>
      </c>
      <c r="D26" s="230">
        <f t="shared" ref="D26:D32" si="3">C26*(1-VLOOKUP(I26,descuentos,6,FALSE))*fcl/IF(dol_sol="dólar", TC,1)</f>
        <v>4.7526447761194026</v>
      </c>
      <c r="E26" s="215"/>
      <c r="F26" s="511">
        <f t="shared" si="2"/>
        <v>4.76</v>
      </c>
      <c r="G26" s="314" t="s">
        <v>4154</v>
      </c>
      <c r="H26" s="518" t="s">
        <v>13070</v>
      </c>
      <c r="I26" s="452" t="s">
        <v>11566</v>
      </c>
      <c r="J26" s="369" t="s">
        <v>753</v>
      </c>
      <c r="K26" s="452" t="s">
        <v>741</v>
      </c>
      <c r="L26" s="185"/>
    </row>
    <row r="27" spans="1:13">
      <c r="A27" s="369"/>
      <c r="B27" s="144" t="s">
        <v>1048</v>
      </c>
      <c r="C27" s="196">
        <v>16.200000000000003</v>
      </c>
      <c r="D27" s="230">
        <f t="shared" si="3"/>
        <v>4.7526447761194026</v>
      </c>
      <c r="E27" s="215"/>
      <c r="F27" s="511">
        <f t="shared" si="2"/>
        <v>4.76</v>
      </c>
      <c r="G27" s="314" t="s">
        <v>4155</v>
      </c>
      <c r="H27" s="518" t="s">
        <v>13071</v>
      </c>
      <c r="I27" s="452" t="s">
        <v>11566</v>
      </c>
      <c r="J27" s="369" t="s">
        <v>753</v>
      </c>
      <c r="K27" s="452" t="s">
        <v>741</v>
      </c>
      <c r="L27" s="185"/>
    </row>
    <row r="28" spans="1:13">
      <c r="A28" s="369"/>
      <c r="B28" s="144" t="s">
        <v>1049</v>
      </c>
      <c r="C28" s="196">
        <v>16.200000000000003</v>
      </c>
      <c r="D28" s="230">
        <f t="shared" si="3"/>
        <v>4.7526447761194026</v>
      </c>
      <c r="E28" s="215"/>
      <c r="F28" s="511">
        <f t="shared" si="2"/>
        <v>4.76</v>
      </c>
      <c r="G28" s="314" t="s">
        <v>4156</v>
      </c>
      <c r="H28" s="518" t="s">
        <v>13072</v>
      </c>
      <c r="I28" s="452" t="s">
        <v>11566</v>
      </c>
      <c r="J28" s="369" t="s">
        <v>753</v>
      </c>
      <c r="K28" s="452" t="s">
        <v>741</v>
      </c>
      <c r="L28" s="185"/>
    </row>
    <row r="29" spans="1:13">
      <c r="A29" s="369"/>
      <c r="B29" s="144" t="s">
        <v>1050</v>
      </c>
      <c r="C29" s="196">
        <v>16.200000000000003</v>
      </c>
      <c r="D29" s="230">
        <f t="shared" si="3"/>
        <v>4.7526447761194026</v>
      </c>
      <c r="E29" s="215"/>
      <c r="F29" s="511">
        <f t="shared" si="2"/>
        <v>4.76</v>
      </c>
      <c r="G29" s="314" t="s">
        <v>4157</v>
      </c>
      <c r="H29" s="518" t="s">
        <v>13073</v>
      </c>
      <c r="I29" s="452" t="s">
        <v>11566</v>
      </c>
      <c r="J29" s="369" t="s">
        <v>753</v>
      </c>
      <c r="K29" s="452" t="s">
        <v>741</v>
      </c>
      <c r="L29" s="185"/>
    </row>
    <row r="30" spans="1:13">
      <c r="A30" s="369"/>
      <c r="B30" s="144" t="s">
        <v>1051</v>
      </c>
      <c r="C30" s="196">
        <v>18.400000000000002</v>
      </c>
      <c r="D30" s="230">
        <f t="shared" si="3"/>
        <v>5.3980656716417901</v>
      </c>
      <c r="E30" s="215"/>
      <c r="F30" s="511">
        <f t="shared" si="2"/>
        <v>5.3999999999999995</v>
      </c>
      <c r="G30" s="314" t="s">
        <v>4158</v>
      </c>
      <c r="H30" s="518" t="s">
        <v>13074</v>
      </c>
      <c r="I30" s="452" t="s">
        <v>11566</v>
      </c>
      <c r="J30" s="369" t="s">
        <v>753</v>
      </c>
      <c r="K30" s="452" t="s">
        <v>741</v>
      </c>
      <c r="L30" s="185"/>
    </row>
    <row r="31" spans="1:13">
      <c r="A31" s="369"/>
      <c r="B31" s="144" t="s">
        <v>1052</v>
      </c>
      <c r="C31" s="196">
        <v>22.6</v>
      </c>
      <c r="D31" s="230">
        <f t="shared" si="3"/>
        <v>6.6302328358208937</v>
      </c>
      <c r="E31" s="215"/>
      <c r="F31" s="511">
        <f t="shared" si="2"/>
        <v>6.64</v>
      </c>
      <c r="G31" s="314" t="s">
        <v>4159</v>
      </c>
      <c r="H31" s="518" t="s">
        <v>13075</v>
      </c>
      <c r="I31" s="452" t="s">
        <v>11566</v>
      </c>
      <c r="J31" s="369" t="s">
        <v>753</v>
      </c>
      <c r="K31" s="452" t="s">
        <v>741</v>
      </c>
      <c r="L31" s="185"/>
    </row>
    <row r="32" spans="1:13">
      <c r="A32" s="369"/>
      <c r="B32" s="144" t="s">
        <v>1156</v>
      </c>
      <c r="C32" s="196">
        <v>22.6</v>
      </c>
      <c r="D32" s="230">
        <f t="shared" si="3"/>
        <v>6.6302328358208937</v>
      </c>
      <c r="E32" s="215"/>
      <c r="F32" s="511">
        <f t="shared" si="2"/>
        <v>6.64</v>
      </c>
      <c r="G32" s="314" t="s">
        <v>4160</v>
      </c>
      <c r="H32" s="518" t="s">
        <v>13076</v>
      </c>
      <c r="I32" s="452" t="s">
        <v>11566</v>
      </c>
      <c r="J32" s="369" t="s">
        <v>753</v>
      </c>
      <c r="K32" s="452" t="s">
        <v>741</v>
      </c>
      <c r="L32" s="185"/>
    </row>
    <row r="33" spans="1:12">
      <c r="A33" s="369"/>
      <c r="B33" s="144"/>
      <c r="C33" s="196" t="s">
        <v>2024</v>
      </c>
      <c r="D33" s="230"/>
      <c r="E33" s="215"/>
      <c r="F33" s="511"/>
      <c r="G33" s="314"/>
      <c r="H33" s="518"/>
      <c r="I33" s="452"/>
      <c r="J33" s="369"/>
      <c r="K33" s="452"/>
      <c r="L33" s="185"/>
    </row>
    <row r="34" spans="1:12">
      <c r="A34" s="369"/>
      <c r="B34" s="144" t="s">
        <v>6158</v>
      </c>
      <c r="C34" s="196">
        <v>41.9</v>
      </c>
      <c r="D34" s="230">
        <f>C34*(1-VLOOKUP(I34,descuentos,6,FALSE))*fcl/IF(dol_sol="dólar", TC,1)</f>
        <v>12.292334328358203</v>
      </c>
      <c r="E34" s="215"/>
      <c r="F34" s="511">
        <f t="shared" ref="F34:F42" si="4">ROUNDUP(D34+E34,2)</f>
        <v>12.299999999999999</v>
      </c>
      <c r="G34" s="314" t="s">
        <v>6159</v>
      </c>
      <c r="H34" s="518" t="s">
        <v>13077</v>
      </c>
      <c r="I34" s="452" t="s">
        <v>11566</v>
      </c>
      <c r="J34" s="369" t="s">
        <v>753</v>
      </c>
      <c r="K34" s="452" t="s">
        <v>741</v>
      </c>
      <c r="L34" s="185"/>
    </row>
    <row r="35" spans="1:12">
      <c r="A35" s="369"/>
      <c r="B35" s="144" t="s">
        <v>6160</v>
      </c>
      <c r="C35" s="196">
        <v>26.900000000000002</v>
      </c>
      <c r="D35" s="230">
        <f>C35*(1-VLOOKUP(I35,descuentos,6,FALSE))*fcl/IF(dol_sol="dólar", TC,1)</f>
        <v>7.8917373134328335</v>
      </c>
      <c r="E35" s="215"/>
      <c r="F35" s="511">
        <f t="shared" si="4"/>
        <v>7.8999999999999995</v>
      </c>
      <c r="G35" s="314" t="s">
        <v>6161</v>
      </c>
      <c r="H35" s="518" t="s">
        <v>13078</v>
      </c>
      <c r="I35" s="452" t="s">
        <v>11566</v>
      </c>
      <c r="J35" s="369" t="s">
        <v>753</v>
      </c>
      <c r="K35" s="452" t="s">
        <v>741</v>
      </c>
      <c r="L35" s="185"/>
    </row>
    <row r="36" spans="1:12">
      <c r="A36" s="369"/>
      <c r="B36" s="144" t="s">
        <v>1053</v>
      </c>
      <c r="C36" s="196">
        <v>26.900000000000002</v>
      </c>
      <c r="D36" s="230">
        <f t="shared" ref="D36:D42" si="5">C36*(1-VLOOKUP(I36,descuentos,6,FALSE))*fcl/IF(dol_sol="dólar", TC,1)</f>
        <v>7.8917373134328335</v>
      </c>
      <c r="E36" s="215"/>
      <c r="F36" s="511">
        <f t="shared" si="4"/>
        <v>7.8999999999999995</v>
      </c>
      <c r="G36" s="314" t="s">
        <v>4161</v>
      </c>
      <c r="H36" s="518" t="s">
        <v>13079</v>
      </c>
      <c r="I36" s="452" t="s">
        <v>11566</v>
      </c>
      <c r="J36" s="369" t="s">
        <v>753</v>
      </c>
      <c r="K36" s="452" t="s">
        <v>741</v>
      </c>
      <c r="L36" s="185"/>
    </row>
    <row r="37" spans="1:12">
      <c r="A37" s="369"/>
      <c r="B37" s="144" t="s">
        <v>1054</v>
      </c>
      <c r="C37" s="196">
        <v>26.900000000000002</v>
      </c>
      <c r="D37" s="230">
        <f t="shared" si="5"/>
        <v>7.8917373134328335</v>
      </c>
      <c r="E37" s="215"/>
      <c r="F37" s="511">
        <f t="shared" si="4"/>
        <v>7.8999999999999995</v>
      </c>
      <c r="G37" s="314" t="s">
        <v>4162</v>
      </c>
      <c r="H37" s="518" t="s">
        <v>13080</v>
      </c>
      <c r="I37" s="452" t="s">
        <v>11566</v>
      </c>
      <c r="J37" s="369" t="s">
        <v>753</v>
      </c>
      <c r="K37" s="452" t="s">
        <v>741</v>
      </c>
      <c r="L37" s="185"/>
    </row>
    <row r="38" spans="1:12">
      <c r="A38" s="369"/>
      <c r="B38" s="144" t="s">
        <v>1055</v>
      </c>
      <c r="C38" s="196">
        <v>26.900000000000002</v>
      </c>
      <c r="D38" s="230">
        <f t="shared" si="5"/>
        <v>7.8917373134328335</v>
      </c>
      <c r="E38" s="215"/>
      <c r="F38" s="511">
        <f t="shared" si="4"/>
        <v>7.8999999999999995</v>
      </c>
      <c r="G38" s="314" t="s">
        <v>4163</v>
      </c>
      <c r="H38" s="518" t="s">
        <v>13081</v>
      </c>
      <c r="I38" s="452" t="s">
        <v>11566</v>
      </c>
      <c r="J38" s="369" t="s">
        <v>753</v>
      </c>
      <c r="K38" s="452" t="s">
        <v>741</v>
      </c>
      <c r="L38" s="185"/>
    </row>
    <row r="39" spans="1:12">
      <c r="A39" s="369"/>
      <c r="B39" s="144" t="s">
        <v>1056</v>
      </c>
      <c r="C39" s="196">
        <v>29.1</v>
      </c>
      <c r="D39" s="230">
        <f t="shared" si="5"/>
        <v>8.5371582089552227</v>
      </c>
      <c r="E39" s="215"/>
      <c r="F39" s="511">
        <f t="shared" si="4"/>
        <v>8.5399999999999991</v>
      </c>
      <c r="G39" s="314" t="s">
        <v>4164</v>
      </c>
      <c r="H39" s="518" t="s">
        <v>13082</v>
      </c>
      <c r="I39" s="452" t="s">
        <v>11566</v>
      </c>
      <c r="J39" s="369" t="s">
        <v>753</v>
      </c>
      <c r="K39" s="452" t="s">
        <v>741</v>
      </c>
      <c r="L39" s="185"/>
    </row>
    <row r="40" spans="1:12">
      <c r="A40" s="369"/>
      <c r="B40" s="144" t="s">
        <v>1057</v>
      </c>
      <c r="C40" s="196">
        <v>33.300000000000004</v>
      </c>
      <c r="D40" s="230">
        <f t="shared" si="5"/>
        <v>9.7693253731343273</v>
      </c>
      <c r="E40" s="215"/>
      <c r="F40" s="511">
        <f t="shared" si="4"/>
        <v>9.77</v>
      </c>
      <c r="G40" s="314" t="s">
        <v>4165</v>
      </c>
      <c r="H40" s="518" t="s">
        <v>13083</v>
      </c>
      <c r="I40" s="452" t="s">
        <v>11566</v>
      </c>
      <c r="J40" s="369" t="s">
        <v>753</v>
      </c>
      <c r="K40" s="452" t="s">
        <v>741</v>
      </c>
      <c r="L40" s="185"/>
    </row>
    <row r="41" spans="1:12">
      <c r="A41" s="369"/>
      <c r="B41" s="144" t="s">
        <v>1058</v>
      </c>
      <c r="C41" s="196">
        <v>37.6</v>
      </c>
      <c r="D41" s="230">
        <f t="shared" si="5"/>
        <v>11.030829850746263</v>
      </c>
      <c r="E41" s="215"/>
      <c r="F41" s="511">
        <f t="shared" si="4"/>
        <v>11.04</v>
      </c>
      <c r="G41" s="314" t="s">
        <v>4166</v>
      </c>
      <c r="H41" s="518" t="s">
        <v>13084</v>
      </c>
      <c r="I41" s="452" t="s">
        <v>11566</v>
      </c>
      <c r="J41" s="369" t="s">
        <v>753</v>
      </c>
      <c r="K41" s="452" t="s">
        <v>741</v>
      </c>
      <c r="L41" s="185"/>
    </row>
    <row r="42" spans="1:12">
      <c r="A42" s="369"/>
      <c r="B42" s="144" t="s">
        <v>1059</v>
      </c>
      <c r="C42" s="196">
        <v>48.300000000000004</v>
      </c>
      <c r="D42" s="230">
        <f t="shared" si="5"/>
        <v>14.1699223880597</v>
      </c>
      <c r="E42" s="215"/>
      <c r="F42" s="511">
        <f t="shared" si="4"/>
        <v>14.17</v>
      </c>
      <c r="G42" s="314" t="s">
        <v>4167</v>
      </c>
      <c r="H42" s="518" t="s">
        <v>13085</v>
      </c>
      <c r="I42" s="452" t="s">
        <v>11566</v>
      </c>
      <c r="J42" s="369" t="s">
        <v>753</v>
      </c>
      <c r="K42" s="452" t="s">
        <v>741</v>
      </c>
      <c r="L42" s="185"/>
    </row>
    <row r="43" spans="1:12">
      <c r="A43" s="369"/>
      <c r="B43" s="144"/>
      <c r="C43" s="196" t="s">
        <v>2024</v>
      </c>
      <c r="D43" s="230"/>
      <c r="E43" s="215"/>
      <c r="F43" s="511"/>
      <c r="G43" s="314"/>
      <c r="H43" s="518"/>
      <c r="I43" s="452"/>
      <c r="J43" s="369"/>
      <c r="K43" s="452"/>
      <c r="L43" s="185"/>
    </row>
    <row r="44" spans="1:12">
      <c r="A44" s="369"/>
      <c r="B44" s="144" t="s">
        <v>4777</v>
      </c>
      <c r="C44" s="196">
        <v>59</v>
      </c>
      <c r="D44" s="230">
        <f>C44*(1-VLOOKUP(I44,descuentos,6,FALSE))*fcl/IF(dol_sol="dólar", TC,1)</f>
        <v>17.30901492537313</v>
      </c>
      <c r="E44" s="215"/>
      <c r="F44" s="511">
        <f t="shared" ref="F44:F51" si="6">ROUNDUP(D44+E44,2)</f>
        <v>17.310000000000002</v>
      </c>
      <c r="G44" s="314" t="s">
        <v>4786</v>
      </c>
      <c r="H44" s="518" t="s">
        <v>13086</v>
      </c>
      <c r="I44" s="452" t="s">
        <v>11566</v>
      </c>
      <c r="J44" s="369" t="s">
        <v>753</v>
      </c>
      <c r="K44" s="452" t="s">
        <v>741</v>
      </c>
      <c r="L44" s="185"/>
    </row>
    <row r="45" spans="1:12">
      <c r="A45" s="369"/>
      <c r="B45" s="144" t="s">
        <v>1060</v>
      </c>
      <c r="C45" s="196">
        <v>59</v>
      </c>
      <c r="D45" s="230">
        <f t="shared" ref="D45:D51" si="7">C45*(1-VLOOKUP(I45,descuentos,6,FALSE))*fcl/IF(dol_sol="dólar", TC,1)</f>
        <v>17.30901492537313</v>
      </c>
      <c r="E45" s="215"/>
      <c r="F45" s="511">
        <f t="shared" si="6"/>
        <v>17.310000000000002</v>
      </c>
      <c r="G45" s="314" t="s">
        <v>4168</v>
      </c>
      <c r="H45" s="518" t="s">
        <v>13087</v>
      </c>
      <c r="I45" s="452" t="s">
        <v>11566</v>
      </c>
      <c r="J45" s="369" t="s">
        <v>753</v>
      </c>
      <c r="K45" s="452" t="s">
        <v>741</v>
      </c>
      <c r="L45" s="185"/>
    </row>
    <row r="46" spans="1:12">
      <c r="A46" s="369"/>
      <c r="B46" s="144" t="s">
        <v>1061</v>
      </c>
      <c r="C46" s="196">
        <v>59</v>
      </c>
      <c r="D46" s="230">
        <f t="shared" si="7"/>
        <v>17.30901492537313</v>
      </c>
      <c r="E46" s="215"/>
      <c r="F46" s="511">
        <f t="shared" si="6"/>
        <v>17.310000000000002</v>
      </c>
      <c r="G46" s="314" t="s">
        <v>4169</v>
      </c>
      <c r="H46" s="518" t="s">
        <v>13088</v>
      </c>
      <c r="I46" s="452" t="s">
        <v>11566</v>
      </c>
      <c r="J46" s="369" t="s">
        <v>753</v>
      </c>
      <c r="K46" s="452" t="s">
        <v>741</v>
      </c>
      <c r="L46" s="185"/>
    </row>
    <row r="47" spans="1:12">
      <c r="A47" s="369"/>
      <c r="B47" s="144" t="s">
        <v>1062</v>
      </c>
      <c r="C47" s="196">
        <v>59</v>
      </c>
      <c r="D47" s="230">
        <f t="shared" si="7"/>
        <v>17.30901492537313</v>
      </c>
      <c r="E47" s="215"/>
      <c r="F47" s="511">
        <f t="shared" si="6"/>
        <v>17.310000000000002</v>
      </c>
      <c r="G47" s="314" t="s">
        <v>4170</v>
      </c>
      <c r="H47" s="518" t="s">
        <v>13089</v>
      </c>
      <c r="I47" s="452" t="s">
        <v>11566</v>
      </c>
      <c r="J47" s="369" t="s">
        <v>753</v>
      </c>
      <c r="K47" s="452" t="s">
        <v>741</v>
      </c>
      <c r="L47" s="185"/>
    </row>
    <row r="48" spans="1:12">
      <c r="A48" s="369"/>
      <c r="B48" s="144" t="s">
        <v>1063</v>
      </c>
      <c r="C48" s="196">
        <v>63.300000000000004</v>
      </c>
      <c r="D48" s="230">
        <f t="shared" si="7"/>
        <v>18.57051940298507</v>
      </c>
      <c r="E48" s="215"/>
      <c r="F48" s="511">
        <f t="shared" si="6"/>
        <v>18.580000000000002</v>
      </c>
      <c r="G48" s="314" t="s">
        <v>4171</v>
      </c>
      <c r="H48" s="518" t="s">
        <v>13090</v>
      </c>
      <c r="I48" s="452" t="s">
        <v>11566</v>
      </c>
      <c r="J48" s="369" t="s">
        <v>753</v>
      </c>
      <c r="K48" s="452" t="s">
        <v>741</v>
      </c>
      <c r="L48" s="185"/>
    </row>
    <row r="49" spans="1:11" s="185" customFormat="1">
      <c r="A49" s="369"/>
      <c r="B49" s="144" t="s">
        <v>1064</v>
      </c>
      <c r="C49" s="196">
        <v>67.5</v>
      </c>
      <c r="D49" s="230">
        <f t="shared" si="7"/>
        <v>19.802686567164173</v>
      </c>
      <c r="E49" s="215"/>
      <c r="F49" s="511">
        <f t="shared" si="6"/>
        <v>19.810000000000002</v>
      </c>
      <c r="G49" s="314" t="s">
        <v>4172</v>
      </c>
      <c r="H49" s="518" t="s">
        <v>13091</v>
      </c>
      <c r="I49" s="452" t="s">
        <v>11566</v>
      </c>
      <c r="J49" s="369" t="s">
        <v>753</v>
      </c>
      <c r="K49" s="452" t="s">
        <v>741</v>
      </c>
    </row>
    <row r="50" spans="1:11" s="185" customFormat="1">
      <c r="A50" s="369"/>
      <c r="B50" s="144" t="s">
        <v>1065</v>
      </c>
      <c r="C50" s="196">
        <v>79.399999999999991</v>
      </c>
      <c r="D50" s="230">
        <f t="shared" si="7"/>
        <v>23.293826865671637</v>
      </c>
      <c r="E50" s="215"/>
      <c r="F50" s="511">
        <f t="shared" si="6"/>
        <v>23.3</v>
      </c>
      <c r="G50" s="314" t="s">
        <v>4173</v>
      </c>
      <c r="H50" s="518" t="s">
        <v>13092</v>
      </c>
      <c r="I50" s="452" t="s">
        <v>11566</v>
      </c>
      <c r="J50" s="369" t="s">
        <v>753</v>
      </c>
      <c r="K50" s="452" t="s">
        <v>741</v>
      </c>
    </row>
    <row r="51" spans="1:11" s="185" customFormat="1">
      <c r="A51" s="369"/>
      <c r="B51" s="144" t="s">
        <v>1066</v>
      </c>
      <c r="C51" s="196">
        <v>87.899999999999991</v>
      </c>
      <c r="D51" s="230">
        <f t="shared" si="7"/>
        <v>25.787498507462679</v>
      </c>
      <c r="E51" s="215"/>
      <c r="F51" s="511">
        <f t="shared" si="6"/>
        <v>25.790000000000003</v>
      </c>
      <c r="G51" s="314" t="s">
        <v>4174</v>
      </c>
      <c r="H51" s="518" t="s">
        <v>13093</v>
      </c>
      <c r="I51" s="452" t="s">
        <v>11566</v>
      </c>
      <c r="J51" s="369" t="s">
        <v>753</v>
      </c>
      <c r="K51" s="452" t="s">
        <v>741</v>
      </c>
    </row>
    <row r="52" spans="1:11" s="185" customFormat="1">
      <c r="A52" s="369"/>
      <c r="B52" s="144"/>
      <c r="C52" s="196" t="s">
        <v>2024</v>
      </c>
      <c r="D52" s="230"/>
      <c r="E52" s="215"/>
      <c r="F52" s="511"/>
      <c r="G52" s="314"/>
      <c r="H52" s="518"/>
      <c r="I52" s="452"/>
      <c r="J52" s="369"/>
      <c r="K52" s="452"/>
    </row>
    <row r="53" spans="1:11" s="317" customFormat="1">
      <c r="A53" s="369"/>
      <c r="B53" s="418" t="s">
        <v>6196</v>
      </c>
      <c r="C53" s="346">
        <v>120</v>
      </c>
      <c r="D53" s="345">
        <f t="shared" ref="D53:D59" si="8">C53*(1-VLOOKUP(I53,descuentos,6,FALSE))*fcl/IF(dol_sol="dólar", TC,1)</f>
        <v>35.204776119402972</v>
      </c>
      <c r="E53" s="343"/>
      <c r="F53" s="508">
        <f t="shared" ref="F53:F60" si="9">ROUNDUP(D53+E53,2)</f>
        <v>35.21</v>
      </c>
      <c r="G53" s="314" t="s">
        <v>6197</v>
      </c>
      <c r="H53" s="518" t="s">
        <v>13094</v>
      </c>
      <c r="I53" s="452" t="s">
        <v>11566</v>
      </c>
      <c r="J53" s="369" t="s">
        <v>753</v>
      </c>
      <c r="K53" s="452" t="s">
        <v>741</v>
      </c>
    </row>
    <row r="54" spans="1:11" s="317" customFormat="1">
      <c r="A54" s="369"/>
      <c r="B54" s="418" t="s">
        <v>6198</v>
      </c>
      <c r="C54" s="346">
        <v>81</v>
      </c>
      <c r="D54" s="345">
        <f t="shared" si="8"/>
        <v>23.763223880597007</v>
      </c>
      <c r="E54" s="343"/>
      <c r="F54" s="508">
        <f t="shared" si="9"/>
        <v>23.770000000000003</v>
      </c>
      <c r="G54" s="314" t="s">
        <v>6199</v>
      </c>
      <c r="H54" s="518" t="s">
        <v>13095</v>
      </c>
      <c r="I54" s="452" t="s">
        <v>11566</v>
      </c>
      <c r="J54" s="369" t="s">
        <v>753</v>
      </c>
      <c r="K54" s="452" t="s">
        <v>741</v>
      </c>
    </row>
    <row r="55" spans="1:11" s="317" customFormat="1">
      <c r="A55" s="369"/>
      <c r="B55" s="418" t="s">
        <v>6200</v>
      </c>
      <c r="C55" s="346">
        <v>81</v>
      </c>
      <c r="D55" s="345">
        <f t="shared" si="8"/>
        <v>23.763223880597007</v>
      </c>
      <c r="E55" s="343"/>
      <c r="F55" s="508">
        <f t="shared" si="9"/>
        <v>23.770000000000003</v>
      </c>
      <c r="G55" s="314" t="s">
        <v>6201</v>
      </c>
      <c r="H55" s="518" t="s">
        <v>13096</v>
      </c>
      <c r="I55" s="452" t="s">
        <v>11566</v>
      </c>
      <c r="J55" s="369" t="s">
        <v>753</v>
      </c>
      <c r="K55" s="452" t="s">
        <v>741</v>
      </c>
    </row>
    <row r="56" spans="1:11" s="317" customFormat="1">
      <c r="A56" s="369"/>
      <c r="B56" s="418" t="s">
        <v>6202</v>
      </c>
      <c r="C56" s="346">
        <v>97</v>
      </c>
      <c r="D56" s="345">
        <f t="shared" si="8"/>
        <v>28.457194029850736</v>
      </c>
      <c r="E56" s="343"/>
      <c r="F56" s="508">
        <f t="shared" si="9"/>
        <v>28.46</v>
      </c>
      <c r="G56" s="314" t="s">
        <v>6203</v>
      </c>
      <c r="H56" s="518" t="s">
        <v>13097</v>
      </c>
      <c r="I56" s="452" t="s">
        <v>11566</v>
      </c>
      <c r="J56" s="369" t="s">
        <v>753</v>
      </c>
      <c r="K56" s="452" t="s">
        <v>741</v>
      </c>
    </row>
    <row r="57" spans="1:11" s="317" customFormat="1">
      <c r="A57" s="369"/>
      <c r="B57" s="418" t="s">
        <v>6204</v>
      </c>
      <c r="C57" s="346">
        <v>88</v>
      </c>
      <c r="D57" s="345">
        <f t="shared" si="8"/>
        <v>25.816835820895513</v>
      </c>
      <c r="E57" s="343"/>
      <c r="F57" s="508">
        <f t="shared" si="9"/>
        <v>25.82</v>
      </c>
      <c r="G57" s="314" t="s">
        <v>6205</v>
      </c>
      <c r="H57" s="518" t="s">
        <v>13098</v>
      </c>
      <c r="I57" s="452" t="s">
        <v>11566</v>
      </c>
      <c r="J57" s="369" t="s">
        <v>753</v>
      </c>
      <c r="K57" s="452" t="s">
        <v>741</v>
      </c>
    </row>
    <row r="58" spans="1:11" s="317" customFormat="1">
      <c r="A58" s="369"/>
      <c r="B58" s="418" t="s">
        <v>6206</v>
      </c>
      <c r="C58" s="346">
        <v>100</v>
      </c>
      <c r="D58" s="345">
        <f t="shared" si="8"/>
        <v>29.337313432835813</v>
      </c>
      <c r="E58" s="343"/>
      <c r="F58" s="508">
        <f t="shared" si="9"/>
        <v>29.34</v>
      </c>
      <c r="G58" s="314" t="s">
        <v>6207</v>
      </c>
      <c r="H58" s="518" t="s">
        <v>13099</v>
      </c>
      <c r="I58" s="452" t="s">
        <v>11566</v>
      </c>
      <c r="J58" s="369" t="s">
        <v>753</v>
      </c>
      <c r="K58" s="452" t="s">
        <v>741</v>
      </c>
    </row>
    <row r="59" spans="1:11" s="317" customFormat="1">
      <c r="A59" s="369"/>
      <c r="B59" s="418" t="s">
        <v>9790</v>
      </c>
      <c r="C59" s="346">
        <v>160</v>
      </c>
      <c r="D59" s="345">
        <f t="shared" si="8"/>
        <v>46.939701492537303</v>
      </c>
      <c r="E59" s="343"/>
      <c r="F59" s="508">
        <f t="shared" si="9"/>
        <v>46.94</v>
      </c>
      <c r="G59" s="314" t="s">
        <v>9791</v>
      </c>
      <c r="H59" s="518" t="s">
        <v>13100</v>
      </c>
      <c r="I59" s="452" t="s">
        <v>11566</v>
      </c>
      <c r="J59" s="369" t="s">
        <v>753</v>
      </c>
      <c r="K59" s="452" t="s">
        <v>741</v>
      </c>
    </row>
    <row r="60" spans="1:11" s="317" customFormat="1">
      <c r="A60" s="369"/>
      <c r="B60" s="418" t="s">
        <v>9792</v>
      </c>
      <c r="C60" s="346">
        <v>168</v>
      </c>
      <c r="D60" s="345">
        <f t="shared" ref="D60" si="10">C60*(1-VLOOKUP(I60,descuentos,6,FALSE))*fcl/IF(dol_sol="dólar", TC,1)</f>
        <v>49.286686567164168</v>
      </c>
      <c r="E60" s="343"/>
      <c r="F60" s="508">
        <f t="shared" si="9"/>
        <v>49.29</v>
      </c>
      <c r="G60" s="314" t="s">
        <v>9793</v>
      </c>
      <c r="H60" s="518" t="s">
        <v>13101</v>
      </c>
      <c r="I60" s="452" t="s">
        <v>11566</v>
      </c>
      <c r="J60" s="369" t="s">
        <v>753</v>
      </c>
      <c r="K60" s="452" t="s">
        <v>741</v>
      </c>
    </row>
    <row r="61" spans="1:11" s="185" customFormat="1">
      <c r="A61" s="369"/>
      <c r="B61" s="144"/>
      <c r="C61" s="196" t="s">
        <v>2024</v>
      </c>
      <c r="D61" s="230"/>
      <c r="E61" s="215"/>
      <c r="F61" s="511"/>
      <c r="G61" s="314"/>
      <c r="H61" s="518"/>
      <c r="I61" s="452"/>
      <c r="J61" s="369"/>
      <c r="K61" s="452"/>
    </row>
    <row r="62" spans="1:11">
      <c r="A62" s="1456"/>
      <c r="B62" s="1457" t="s">
        <v>6208</v>
      </c>
      <c r="C62" s="196">
        <v>83</v>
      </c>
      <c r="D62" s="230">
        <f>C62*(1-VLOOKUP(I62,descuentos,6,FALSE))*fcl/IF(dol_sol="dólar", TC,1)</f>
        <v>24.349970149253728</v>
      </c>
      <c r="E62" s="215"/>
      <c r="F62" s="511">
        <f>ROUNDUP(D62+E62,2)</f>
        <v>24.35</v>
      </c>
      <c r="G62" s="314" t="s">
        <v>6209</v>
      </c>
      <c r="H62" s="518" t="s">
        <v>6210</v>
      </c>
      <c r="I62" s="452" t="s">
        <v>11566</v>
      </c>
      <c r="J62" s="369" t="s">
        <v>753</v>
      </c>
      <c r="K62" s="452" t="s">
        <v>741</v>
      </c>
    </row>
    <row r="63" spans="1:11">
      <c r="A63" s="1456"/>
      <c r="B63" s="1457" t="s">
        <v>6211</v>
      </c>
      <c r="C63" s="196">
        <v>83</v>
      </c>
      <c r="D63" s="230">
        <f>C63*(1-VLOOKUP(I63,descuentos,6,FALSE))*fcl/IF(dol_sol="dólar", TC,1)</f>
        <v>24.349970149253728</v>
      </c>
      <c r="E63" s="215"/>
      <c r="F63" s="511">
        <f>ROUNDUP(D63+E63,2)</f>
        <v>24.35</v>
      </c>
      <c r="G63" s="314" t="s">
        <v>6212</v>
      </c>
      <c r="H63" s="518" t="s">
        <v>6213</v>
      </c>
      <c r="I63" s="452" t="s">
        <v>11566</v>
      </c>
      <c r="J63" s="369" t="s">
        <v>753</v>
      </c>
      <c r="K63" s="452" t="s">
        <v>741</v>
      </c>
    </row>
    <row r="64" spans="1:11">
      <c r="A64" s="1456"/>
      <c r="B64" s="1457" t="s">
        <v>6214</v>
      </c>
      <c r="C64" s="196">
        <v>95</v>
      </c>
      <c r="D64" s="230">
        <f t="shared" ref="D64:D72" si="11">C64*(1-VLOOKUP(I64,descuentos,6,FALSE))*fcl/IF(dol_sol="dólar", TC,1)</f>
        <v>27.870447761194022</v>
      </c>
      <c r="E64" s="215"/>
      <c r="F64" s="511">
        <f t="shared" ref="F64:F72" si="12">ROUNDUP(D64+E64,2)</f>
        <v>27.880000000000003</v>
      </c>
      <c r="G64" s="314" t="s">
        <v>6215</v>
      </c>
      <c r="H64" s="518" t="s">
        <v>6216</v>
      </c>
      <c r="I64" s="452" t="s">
        <v>11566</v>
      </c>
      <c r="J64" s="369" t="s">
        <v>753</v>
      </c>
      <c r="K64" s="452" t="s">
        <v>741</v>
      </c>
    </row>
    <row r="65" spans="1:11">
      <c r="A65" s="1458"/>
      <c r="B65" s="1459" t="s">
        <v>6217</v>
      </c>
      <c r="C65" s="196">
        <v>99</v>
      </c>
      <c r="D65" s="230">
        <f t="shared" si="11"/>
        <v>29.043940298507454</v>
      </c>
      <c r="E65" s="215"/>
      <c r="F65" s="511">
        <f t="shared" si="12"/>
        <v>29.05</v>
      </c>
      <c r="G65" s="314" t="s">
        <v>6218</v>
      </c>
      <c r="H65" s="518" t="s">
        <v>6219</v>
      </c>
      <c r="I65" s="452" t="s">
        <v>11566</v>
      </c>
      <c r="J65" s="369" t="s">
        <v>753</v>
      </c>
      <c r="K65" s="452" t="s">
        <v>741</v>
      </c>
    </row>
    <row r="66" spans="1:11">
      <c r="A66" s="1458"/>
      <c r="B66" s="1459" t="s">
        <v>6220</v>
      </c>
      <c r="C66" s="196">
        <v>99</v>
      </c>
      <c r="D66" s="230">
        <f t="shared" si="11"/>
        <v>29.043940298507454</v>
      </c>
      <c r="E66" s="215"/>
      <c r="F66" s="511">
        <f t="shared" si="12"/>
        <v>29.05</v>
      </c>
      <c r="G66" s="314" t="s">
        <v>6221</v>
      </c>
      <c r="H66" s="518" t="s">
        <v>6222</v>
      </c>
      <c r="I66" s="452" t="s">
        <v>11566</v>
      </c>
      <c r="J66" s="369" t="s">
        <v>753</v>
      </c>
      <c r="K66" s="452" t="s">
        <v>741</v>
      </c>
    </row>
    <row r="67" spans="1:11">
      <c r="A67" s="1458"/>
      <c r="B67" s="1459" t="s">
        <v>6223</v>
      </c>
      <c r="C67" s="196">
        <v>99</v>
      </c>
      <c r="D67" s="230">
        <f>C67*(1-VLOOKUP(I67,descuentos,6,FALSE))*fcl/IF(dol_sol="dólar", TC,1)</f>
        <v>29.043940298507454</v>
      </c>
      <c r="E67" s="215"/>
      <c r="F67" s="511">
        <f>ROUNDUP(D67+E67,2)</f>
        <v>29.05</v>
      </c>
      <c r="G67" s="314" t="s">
        <v>6224</v>
      </c>
      <c r="H67" s="518" t="s">
        <v>6225</v>
      </c>
      <c r="I67" s="452" t="s">
        <v>11566</v>
      </c>
      <c r="J67" s="369" t="s">
        <v>753</v>
      </c>
      <c r="K67" s="452" t="s">
        <v>741</v>
      </c>
    </row>
    <row r="68" spans="1:11">
      <c r="A68" s="1458"/>
      <c r="B68" s="1459" t="s">
        <v>6226</v>
      </c>
      <c r="C68" s="196">
        <v>99</v>
      </c>
      <c r="D68" s="230">
        <f>C68*(1-VLOOKUP(I68,descuentos,6,FALSE))*fcl/IF(dol_sol="dólar", TC,1)</f>
        <v>29.043940298507454</v>
      </c>
      <c r="E68" s="215"/>
      <c r="F68" s="511">
        <f>ROUNDUP(D68+E68,2)</f>
        <v>29.05</v>
      </c>
      <c r="G68" s="314" t="s">
        <v>6227</v>
      </c>
      <c r="H68" s="518" t="s">
        <v>6228</v>
      </c>
      <c r="I68" s="452" t="s">
        <v>11566</v>
      </c>
      <c r="J68" s="369" t="s">
        <v>753</v>
      </c>
      <c r="K68" s="452" t="s">
        <v>741</v>
      </c>
    </row>
    <row r="69" spans="1:11">
      <c r="A69" s="1458"/>
      <c r="B69" s="1459" t="s">
        <v>6229</v>
      </c>
      <c r="C69" s="196">
        <v>99</v>
      </c>
      <c r="D69" s="230">
        <f>C69*(1-VLOOKUP(I69,descuentos,6,FALSE))*fcl/IF(dol_sol="dólar", TC,1)</f>
        <v>29.043940298507454</v>
      </c>
      <c r="E69" s="215"/>
      <c r="F69" s="511">
        <f>ROUNDUP(D69+E69,2)</f>
        <v>29.05</v>
      </c>
      <c r="G69" s="314" t="s">
        <v>6230</v>
      </c>
      <c r="H69" s="518" t="s">
        <v>6231</v>
      </c>
      <c r="I69" s="452" t="s">
        <v>11566</v>
      </c>
      <c r="J69" s="369" t="s">
        <v>753</v>
      </c>
      <c r="K69" s="452" t="s">
        <v>741</v>
      </c>
    </row>
    <row r="70" spans="1:11">
      <c r="A70" s="1460"/>
      <c r="B70" s="1461"/>
      <c r="C70" s="196" t="s">
        <v>2024</v>
      </c>
      <c r="D70" s="230"/>
      <c r="E70" s="215"/>
      <c r="F70" s="511"/>
      <c r="G70" s="314"/>
      <c r="H70" s="518"/>
      <c r="I70" s="452"/>
      <c r="J70" s="369"/>
      <c r="K70" s="452"/>
    </row>
    <row r="71" spans="1:11">
      <c r="A71" s="1460"/>
      <c r="B71" s="1461"/>
      <c r="C71" s="196" t="s">
        <v>2024</v>
      </c>
      <c r="D71" s="230"/>
      <c r="E71" s="215"/>
      <c r="F71" s="511"/>
      <c r="G71" s="314"/>
      <c r="H71" s="518"/>
      <c r="I71" s="452"/>
      <c r="J71" s="369"/>
      <c r="K71" s="452"/>
    </row>
    <row r="72" spans="1:11">
      <c r="A72" s="1456"/>
      <c r="B72" s="1457" t="s">
        <v>6232</v>
      </c>
      <c r="C72" s="196">
        <v>194</v>
      </c>
      <c r="D72" s="230">
        <f t="shared" si="11"/>
        <v>56.914388059701473</v>
      </c>
      <c r="E72" s="215"/>
      <c r="F72" s="511">
        <f t="shared" si="12"/>
        <v>56.919999999999995</v>
      </c>
      <c r="G72" s="314" t="s">
        <v>6233</v>
      </c>
      <c r="H72" s="518" t="s">
        <v>6234</v>
      </c>
      <c r="I72" s="452" t="s">
        <v>11566</v>
      </c>
      <c r="J72" s="369" t="s">
        <v>753</v>
      </c>
      <c r="K72" s="452" t="s">
        <v>741</v>
      </c>
    </row>
    <row r="73" spans="1:11">
      <c r="A73" s="1456"/>
      <c r="B73" s="1457" t="s">
        <v>6235</v>
      </c>
      <c r="C73" s="196">
        <v>194</v>
      </c>
      <c r="D73" s="230">
        <f>C73*(1-VLOOKUP(I73,descuentos,6,FALSE))*fcl/IF(dol_sol="dólar", TC,1)</f>
        <v>56.914388059701473</v>
      </c>
      <c r="E73" s="215"/>
      <c r="F73" s="511">
        <f>ROUNDUP(D73+E73,2)</f>
        <v>56.919999999999995</v>
      </c>
      <c r="G73" s="314" t="s">
        <v>6236</v>
      </c>
      <c r="H73" s="518" t="s">
        <v>6237</v>
      </c>
      <c r="I73" s="452" t="s">
        <v>11566</v>
      </c>
      <c r="J73" s="369" t="s">
        <v>753</v>
      </c>
      <c r="K73" s="452" t="s">
        <v>741</v>
      </c>
    </row>
    <row r="74" spans="1:11">
      <c r="A74" s="1456"/>
      <c r="B74" s="1457" t="s">
        <v>6238</v>
      </c>
      <c r="C74" s="196">
        <v>232</v>
      </c>
      <c r="D74" s="230">
        <f>C74*(1-VLOOKUP(I74,descuentos,6,FALSE))*fcl/IF(dol_sol="dólar", TC,1)</f>
        <v>68.062567164179086</v>
      </c>
      <c r="E74" s="215"/>
      <c r="F74" s="511">
        <f>ROUNDUP(D74+E74,2)</f>
        <v>68.070000000000007</v>
      </c>
      <c r="G74" s="314" t="s">
        <v>6239</v>
      </c>
      <c r="H74" s="518" t="s">
        <v>6240</v>
      </c>
      <c r="I74" s="452" t="s">
        <v>11566</v>
      </c>
      <c r="J74" s="369" t="s">
        <v>753</v>
      </c>
      <c r="K74" s="452" t="s">
        <v>741</v>
      </c>
    </row>
    <row r="75" spans="1:11">
      <c r="A75" s="1456"/>
      <c r="B75" s="1457" t="s">
        <v>6241</v>
      </c>
      <c r="C75" s="196">
        <v>252</v>
      </c>
      <c r="D75" s="230">
        <f>C75*(1-VLOOKUP(I75,descuentos,6,FALSE))*fcl/IF(dol_sol="dólar", TC,1)</f>
        <v>73.930029850746251</v>
      </c>
      <c r="E75" s="215"/>
      <c r="F75" s="511">
        <f>ROUNDUP(D75+E75,2)</f>
        <v>73.940000000000012</v>
      </c>
      <c r="G75" s="314" t="s">
        <v>6242</v>
      </c>
      <c r="H75" s="518" t="s">
        <v>6243</v>
      </c>
      <c r="I75" s="452" t="s">
        <v>11566</v>
      </c>
      <c r="J75" s="369" t="s">
        <v>753</v>
      </c>
      <c r="K75" s="452" t="s">
        <v>741</v>
      </c>
    </row>
    <row r="76" spans="1:11">
      <c r="A76" s="1458"/>
      <c r="B76" s="1459" t="s">
        <v>6244</v>
      </c>
      <c r="C76" s="196">
        <v>232</v>
      </c>
      <c r="D76" s="230">
        <f>C76*(1-VLOOKUP(I76,descuentos,6,FALSE))*fcl/IF(dol_sol="dólar", TC,1)</f>
        <v>68.062567164179086</v>
      </c>
      <c r="E76" s="215"/>
      <c r="F76" s="511">
        <f>ROUNDUP(D76+E76,2)</f>
        <v>68.070000000000007</v>
      </c>
      <c r="G76" s="314" t="s">
        <v>6245</v>
      </c>
      <c r="H76" s="518" t="s">
        <v>6246</v>
      </c>
      <c r="I76" s="452" t="s">
        <v>11566</v>
      </c>
      <c r="J76" s="369" t="s">
        <v>753</v>
      </c>
      <c r="K76" s="452" t="s">
        <v>741</v>
      </c>
    </row>
    <row r="77" spans="1:11">
      <c r="A77" s="1458"/>
      <c r="B77" s="1459" t="s">
        <v>6247</v>
      </c>
      <c r="C77" s="196">
        <v>245</v>
      </c>
      <c r="D77" s="230">
        <f>C77*(1-VLOOKUP(I77,descuentos,6,FALSE))*fcl/IF(dol_sol="dólar", TC,1)</f>
        <v>71.876417910447728</v>
      </c>
      <c r="E77" s="215"/>
      <c r="F77" s="511">
        <f>ROUNDUP(D77+E77,2)</f>
        <v>71.88000000000001</v>
      </c>
      <c r="G77" s="314" t="s">
        <v>6248</v>
      </c>
      <c r="H77" s="518" t="s">
        <v>1403</v>
      </c>
      <c r="I77" s="452" t="s">
        <v>11566</v>
      </c>
      <c r="J77" s="369" t="s">
        <v>753</v>
      </c>
      <c r="K77" s="452" t="s">
        <v>741</v>
      </c>
    </row>
    <row r="78" spans="1:11" s="185" customFormat="1">
      <c r="A78" s="369"/>
      <c r="B78" s="144"/>
      <c r="C78" s="196" t="s">
        <v>2024</v>
      </c>
      <c r="D78" s="230"/>
      <c r="E78" s="215"/>
      <c r="F78" s="511"/>
      <c r="G78" s="314"/>
      <c r="H78" s="518"/>
      <c r="I78" s="452"/>
      <c r="J78" s="369"/>
      <c r="K78" s="452"/>
    </row>
    <row r="79" spans="1:11" s="185" customFormat="1">
      <c r="A79" s="369"/>
      <c r="B79" s="144"/>
      <c r="C79" s="196" t="s">
        <v>2024</v>
      </c>
      <c r="D79" s="230"/>
      <c r="E79" s="215"/>
      <c r="F79" s="511"/>
      <c r="G79" s="314"/>
      <c r="H79" s="518"/>
      <c r="I79" s="452"/>
      <c r="J79" s="369"/>
      <c r="K79" s="452"/>
    </row>
    <row r="80" spans="1:11" s="185" customFormat="1">
      <c r="A80" s="1374"/>
      <c r="B80" s="144" t="s">
        <v>5177</v>
      </c>
      <c r="C80" s="196">
        <v>51</v>
      </c>
      <c r="D80" s="230">
        <f>C80*(1-VLOOKUP(I80,descuentos,6,FALSE))*fcl/TC</f>
        <v>14.962029850746264</v>
      </c>
      <c r="E80" s="215"/>
      <c r="F80" s="511">
        <f t="shared" ref="F80:F88" si="13">ROUNDUP(D80+E80,2)</f>
        <v>14.97</v>
      </c>
      <c r="G80" s="314" t="s">
        <v>5178</v>
      </c>
      <c r="H80" s="518" t="s">
        <v>13102</v>
      </c>
      <c r="I80" s="452" t="s">
        <v>11566</v>
      </c>
      <c r="J80" s="369" t="s">
        <v>753</v>
      </c>
      <c r="K80" s="452" t="s">
        <v>741</v>
      </c>
    </row>
    <row r="81" spans="1:11" s="185" customFormat="1">
      <c r="A81" s="1374"/>
      <c r="B81" s="144" t="s">
        <v>5179</v>
      </c>
      <c r="C81" s="196">
        <v>44</v>
      </c>
      <c r="D81" s="230">
        <f>C81*(1-VLOOKUP(I81,descuentos,6,FALSE))*fcl/TC</f>
        <v>12.908417910447756</v>
      </c>
      <c r="E81" s="215"/>
      <c r="F81" s="511">
        <f t="shared" si="13"/>
        <v>12.91</v>
      </c>
      <c r="G81" s="314" t="s">
        <v>5180</v>
      </c>
      <c r="H81" s="518" t="s">
        <v>13103</v>
      </c>
      <c r="I81" s="452" t="s">
        <v>11566</v>
      </c>
      <c r="J81" s="369" t="s">
        <v>753</v>
      </c>
      <c r="K81" s="452" t="s">
        <v>741</v>
      </c>
    </row>
    <row r="82" spans="1:11" s="185" customFormat="1">
      <c r="A82" s="1374"/>
      <c r="B82" s="144" t="s">
        <v>5181</v>
      </c>
      <c r="C82" s="196">
        <v>44</v>
      </c>
      <c r="D82" s="230">
        <f t="shared" ref="D82:D88" si="14">C82*(1-VLOOKUP(I82,descuentos,6,FALSE))*fcl/TC</f>
        <v>12.908417910447756</v>
      </c>
      <c r="E82" s="215"/>
      <c r="F82" s="511">
        <f t="shared" si="13"/>
        <v>12.91</v>
      </c>
      <c r="G82" s="314" t="s">
        <v>5182</v>
      </c>
      <c r="H82" s="518" t="s">
        <v>5183</v>
      </c>
      <c r="I82" s="452" t="s">
        <v>11566</v>
      </c>
      <c r="J82" s="369" t="s">
        <v>753</v>
      </c>
      <c r="K82" s="452" t="s">
        <v>741</v>
      </c>
    </row>
    <row r="83" spans="1:11" s="185" customFormat="1">
      <c r="A83" s="1374"/>
      <c r="B83" s="144" t="s">
        <v>5184</v>
      </c>
      <c r="C83" s="196">
        <v>44</v>
      </c>
      <c r="D83" s="230">
        <f t="shared" si="14"/>
        <v>12.908417910447756</v>
      </c>
      <c r="E83" s="215"/>
      <c r="F83" s="511">
        <f t="shared" si="13"/>
        <v>12.91</v>
      </c>
      <c r="G83" s="314" t="s">
        <v>5185</v>
      </c>
      <c r="H83" s="518" t="s">
        <v>13104</v>
      </c>
      <c r="I83" s="452" t="s">
        <v>11566</v>
      </c>
      <c r="J83" s="369" t="s">
        <v>753</v>
      </c>
      <c r="K83" s="452" t="s">
        <v>741</v>
      </c>
    </row>
    <row r="84" spans="1:11" s="185" customFormat="1">
      <c r="A84" s="1374"/>
      <c r="B84" s="144" t="s">
        <v>5186</v>
      </c>
      <c r="C84" s="196">
        <v>44</v>
      </c>
      <c r="D84" s="230">
        <f t="shared" si="14"/>
        <v>12.908417910447756</v>
      </c>
      <c r="E84" s="215"/>
      <c r="F84" s="511">
        <f t="shared" si="13"/>
        <v>12.91</v>
      </c>
      <c r="G84" s="314" t="s">
        <v>5187</v>
      </c>
      <c r="H84" s="518" t="s">
        <v>13105</v>
      </c>
      <c r="I84" s="452" t="s">
        <v>11566</v>
      </c>
      <c r="J84" s="369" t="s">
        <v>753</v>
      </c>
      <c r="K84" s="452" t="s">
        <v>741</v>
      </c>
    </row>
    <row r="85" spans="1:11">
      <c r="A85" s="1374"/>
      <c r="B85" s="144" t="s">
        <v>5188</v>
      </c>
      <c r="C85" s="196">
        <v>44</v>
      </c>
      <c r="D85" s="230">
        <f t="shared" si="14"/>
        <v>12.908417910447756</v>
      </c>
      <c r="E85" s="215"/>
      <c r="F85" s="511">
        <f t="shared" si="13"/>
        <v>12.91</v>
      </c>
      <c r="G85" s="314" t="s">
        <v>5189</v>
      </c>
      <c r="H85" s="518" t="s">
        <v>13106</v>
      </c>
      <c r="I85" s="452" t="s">
        <v>11566</v>
      </c>
      <c r="J85" s="369" t="s">
        <v>753</v>
      </c>
      <c r="K85" s="452" t="s">
        <v>741</v>
      </c>
    </row>
    <row r="86" spans="1:11">
      <c r="A86" s="1374"/>
      <c r="B86" s="144" t="s">
        <v>5190</v>
      </c>
      <c r="C86" s="196">
        <v>60</v>
      </c>
      <c r="D86" s="230">
        <f t="shared" si="14"/>
        <v>17.602388059701486</v>
      </c>
      <c r="E86" s="215"/>
      <c r="F86" s="511">
        <f t="shared" si="13"/>
        <v>17.610000000000003</v>
      </c>
      <c r="G86" s="314" t="s">
        <v>5191</v>
      </c>
      <c r="H86" s="518" t="s">
        <v>13107</v>
      </c>
      <c r="I86" s="452" t="s">
        <v>11566</v>
      </c>
      <c r="J86" s="369" t="s">
        <v>753</v>
      </c>
      <c r="K86" s="452" t="s">
        <v>741</v>
      </c>
    </row>
    <row r="87" spans="1:11">
      <c r="A87" s="1374"/>
      <c r="B87" s="144" t="s">
        <v>5192</v>
      </c>
      <c r="C87" s="196">
        <v>60</v>
      </c>
      <c r="D87" s="230">
        <f t="shared" si="14"/>
        <v>17.602388059701486</v>
      </c>
      <c r="E87" s="215"/>
      <c r="F87" s="511">
        <f t="shared" si="13"/>
        <v>17.610000000000003</v>
      </c>
      <c r="G87" s="314" t="s">
        <v>5193</v>
      </c>
      <c r="H87" s="518" t="s">
        <v>13108</v>
      </c>
      <c r="I87" s="452" t="s">
        <v>11566</v>
      </c>
      <c r="J87" s="369" t="s">
        <v>753</v>
      </c>
      <c r="K87" s="452" t="s">
        <v>741</v>
      </c>
    </row>
    <row r="88" spans="1:11" s="185" customFormat="1">
      <c r="A88" s="1374"/>
      <c r="B88" s="144" t="s">
        <v>5194</v>
      </c>
      <c r="C88" s="196">
        <v>60</v>
      </c>
      <c r="D88" s="230">
        <f t="shared" si="14"/>
        <v>17.602388059701486</v>
      </c>
      <c r="E88" s="215"/>
      <c r="F88" s="511">
        <f t="shared" si="13"/>
        <v>17.610000000000003</v>
      </c>
      <c r="G88" s="314" t="s">
        <v>5195</v>
      </c>
      <c r="H88" s="518" t="s">
        <v>13109</v>
      </c>
      <c r="I88" s="452" t="s">
        <v>11566</v>
      </c>
      <c r="J88" s="369" t="s">
        <v>753</v>
      </c>
      <c r="K88" s="452" t="s">
        <v>741</v>
      </c>
    </row>
    <row r="89" spans="1:11" s="185" customFormat="1">
      <c r="A89" s="369"/>
      <c r="B89" s="144"/>
      <c r="C89" s="1375" t="s">
        <v>2024</v>
      </c>
      <c r="D89" s="230"/>
      <c r="E89" s="215"/>
      <c r="F89" s="511"/>
      <c r="G89" s="314"/>
      <c r="H89" s="518"/>
      <c r="I89" s="452"/>
      <c r="J89" s="369"/>
      <c r="K89" s="452"/>
    </row>
    <row r="90" spans="1:11" s="185" customFormat="1">
      <c r="A90" s="369"/>
      <c r="B90" s="144" t="s">
        <v>9649</v>
      </c>
      <c r="C90" s="196">
        <v>35.4</v>
      </c>
      <c r="D90" s="230">
        <f>C90*(1-VLOOKUP(I90,descuentos,6,FALSE))*fcl/IF(dol_sol="dólar", TC,1)</f>
        <v>10.385408955223879</v>
      </c>
      <c r="E90" s="215"/>
      <c r="F90" s="511">
        <f t="shared" ref="F90:F98" si="15">ROUNDUP(D90+E90,2)</f>
        <v>10.39</v>
      </c>
      <c r="G90" s="314" t="s">
        <v>9650</v>
      </c>
      <c r="H90" s="518" t="s">
        <v>13110</v>
      </c>
      <c r="I90" s="452" t="s">
        <v>11566</v>
      </c>
      <c r="J90" s="369" t="s">
        <v>753</v>
      </c>
      <c r="K90" s="452" t="s">
        <v>741</v>
      </c>
    </row>
    <row r="91" spans="1:11" s="185" customFormat="1">
      <c r="A91" s="369"/>
      <c r="B91" s="144" t="s">
        <v>6249</v>
      </c>
      <c r="C91" s="196">
        <v>33.300000000000004</v>
      </c>
      <c r="D91" s="230">
        <f>C91*(1-VLOOKUP(I91,descuentos,6,FALSE))*fcl/IF(dol_sol="dólar", TC,1)</f>
        <v>9.7693253731343273</v>
      </c>
      <c r="E91" s="215"/>
      <c r="F91" s="511">
        <f t="shared" si="15"/>
        <v>9.77</v>
      </c>
      <c r="G91" s="314" t="s">
        <v>6250</v>
      </c>
      <c r="H91" s="518" t="s">
        <v>13111</v>
      </c>
      <c r="I91" s="452" t="s">
        <v>11566</v>
      </c>
      <c r="J91" s="369" t="s">
        <v>753</v>
      </c>
      <c r="K91" s="452" t="s">
        <v>741</v>
      </c>
    </row>
    <row r="92" spans="1:11" s="185" customFormat="1">
      <c r="A92" s="369"/>
      <c r="B92" s="144" t="s">
        <v>968</v>
      </c>
      <c r="C92" s="196">
        <v>33.300000000000004</v>
      </c>
      <c r="D92" s="230">
        <f t="shared" ref="D92:D98" si="16">C92*(1-VLOOKUP(I92,descuentos,6,FALSE))*fcl/IF(dol_sol="dólar", TC,1)</f>
        <v>9.7693253731343273</v>
      </c>
      <c r="E92" s="215"/>
      <c r="F92" s="511">
        <f t="shared" si="15"/>
        <v>9.77</v>
      </c>
      <c r="G92" s="314" t="s">
        <v>4175</v>
      </c>
      <c r="H92" s="518" t="s">
        <v>13112</v>
      </c>
      <c r="I92" s="452" t="s">
        <v>11566</v>
      </c>
      <c r="J92" s="369" t="s">
        <v>753</v>
      </c>
      <c r="K92" s="452" t="s">
        <v>741</v>
      </c>
    </row>
    <row r="93" spans="1:11" s="185" customFormat="1">
      <c r="A93" s="369"/>
      <c r="B93" s="144" t="s">
        <v>967</v>
      </c>
      <c r="C93" s="196">
        <v>33.300000000000004</v>
      </c>
      <c r="D93" s="230">
        <f t="shared" si="16"/>
        <v>9.7693253731343273</v>
      </c>
      <c r="E93" s="215"/>
      <c r="F93" s="511">
        <f t="shared" si="15"/>
        <v>9.77</v>
      </c>
      <c r="G93" s="314" t="s">
        <v>4176</v>
      </c>
      <c r="H93" s="518" t="s">
        <v>13113</v>
      </c>
      <c r="I93" s="452" t="s">
        <v>11566</v>
      </c>
      <c r="J93" s="369" t="s">
        <v>753</v>
      </c>
      <c r="K93" s="452" t="s">
        <v>741</v>
      </c>
    </row>
    <row r="94" spans="1:11" s="185" customFormat="1">
      <c r="A94" s="369"/>
      <c r="B94" s="144" t="s">
        <v>1003</v>
      </c>
      <c r="C94" s="196">
        <v>33.300000000000004</v>
      </c>
      <c r="D94" s="230">
        <f t="shared" si="16"/>
        <v>9.7693253731343273</v>
      </c>
      <c r="E94" s="215"/>
      <c r="F94" s="511">
        <f t="shared" si="15"/>
        <v>9.77</v>
      </c>
      <c r="G94" s="314" t="s">
        <v>4177</v>
      </c>
      <c r="H94" s="518" t="s">
        <v>13114</v>
      </c>
      <c r="I94" s="452" t="s">
        <v>11566</v>
      </c>
      <c r="J94" s="369" t="s">
        <v>753</v>
      </c>
      <c r="K94" s="452" t="s">
        <v>741</v>
      </c>
    </row>
    <row r="95" spans="1:11" s="185" customFormat="1">
      <c r="A95" s="369"/>
      <c r="B95" s="144" t="s">
        <v>1004</v>
      </c>
      <c r="C95" s="196">
        <v>35.4</v>
      </c>
      <c r="D95" s="230">
        <f t="shared" si="16"/>
        <v>10.385408955223879</v>
      </c>
      <c r="E95" s="215"/>
      <c r="F95" s="511">
        <f t="shared" si="15"/>
        <v>10.39</v>
      </c>
      <c r="G95" s="314" t="s">
        <v>4178</v>
      </c>
      <c r="H95" s="518" t="s">
        <v>13115</v>
      </c>
      <c r="I95" s="452" t="s">
        <v>11566</v>
      </c>
      <c r="J95" s="369" t="s">
        <v>753</v>
      </c>
      <c r="K95" s="452" t="s">
        <v>741</v>
      </c>
    </row>
    <row r="96" spans="1:11">
      <c r="A96" s="369"/>
      <c r="B96" s="144" t="s">
        <v>1005</v>
      </c>
      <c r="C96" s="196">
        <v>45.1</v>
      </c>
      <c r="D96" s="230">
        <f t="shared" si="16"/>
        <v>13.231128358208951</v>
      </c>
      <c r="E96" s="215"/>
      <c r="F96" s="511">
        <f t="shared" si="15"/>
        <v>13.24</v>
      </c>
      <c r="G96" s="314" t="s">
        <v>4179</v>
      </c>
      <c r="H96" s="518" t="s">
        <v>13116</v>
      </c>
      <c r="I96" s="452" t="s">
        <v>11566</v>
      </c>
      <c r="J96" s="369" t="s">
        <v>753</v>
      </c>
      <c r="K96" s="452" t="s">
        <v>741</v>
      </c>
    </row>
    <row r="97" spans="1:11">
      <c r="A97" s="369"/>
      <c r="B97" s="144" t="s">
        <v>1006</v>
      </c>
      <c r="C97" s="196">
        <v>45.1</v>
      </c>
      <c r="D97" s="230">
        <f t="shared" si="16"/>
        <v>13.231128358208951</v>
      </c>
      <c r="E97" s="215"/>
      <c r="F97" s="511">
        <f t="shared" si="15"/>
        <v>13.24</v>
      </c>
      <c r="G97" s="314" t="s">
        <v>4180</v>
      </c>
      <c r="H97" s="518" t="s">
        <v>13117</v>
      </c>
      <c r="I97" s="452" t="s">
        <v>11566</v>
      </c>
      <c r="J97" s="369" t="s">
        <v>753</v>
      </c>
      <c r="K97" s="452" t="s">
        <v>741</v>
      </c>
    </row>
    <row r="98" spans="1:11">
      <c r="A98" s="369"/>
      <c r="B98" s="144" t="s">
        <v>1007</v>
      </c>
      <c r="C98" s="196">
        <v>45.1</v>
      </c>
      <c r="D98" s="230">
        <f t="shared" si="16"/>
        <v>13.231128358208951</v>
      </c>
      <c r="E98" s="215"/>
      <c r="F98" s="511">
        <f t="shared" si="15"/>
        <v>13.24</v>
      </c>
      <c r="G98" s="314" t="s">
        <v>4181</v>
      </c>
      <c r="H98" s="518" t="s">
        <v>13118</v>
      </c>
      <c r="I98" s="452" t="s">
        <v>11566</v>
      </c>
      <c r="J98" s="369" t="s">
        <v>753</v>
      </c>
      <c r="K98" s="452" t="s">
        <v>741</v>
      </c>
    </row>
    <row r="99" spans="1:11" s="185" customFormat="1">
      <c r="A99" s="369"/>
      <c r="B99" s="144"/>
      <c r="C99" s="196" t="s">
        <v>2024</v>
      </c>
      <c r="D99" s="230"/>
      <c r="E99" s="215"/>
      <c r="F99" s="511"/>
      <c r="G99" s="314"/>
      <c r="H99" s="518"/>
      <c r="I99" s="452"/>
      <c r="J99" s="369"/>
      <c r="K99" s="452"/>
    </row>
    <row r="100" spans="1:11">
      <c r="A100" s="369"/>
      <c r="B100" s="144"/>
      <c r="C100" s="196" t="s">
        <v>2024</v>
      </c>
      <c r="D100" s="230"/>
      <c r="E100" s="215"/>
      <c r="F100" s="511"/>
      <c r="G100" s="314"/>
      <c r="H100" s="518"/>
      <c r="I100" s="452"/>
      <c r="J100" s="369"/>
      <c r="K100" s="452"/>
    </row>
    <row r="101" spans="1:11">
      <c r="A101" s="1614"/>
      <c r="B101" s="144" t="s">
        <v>12243</v>
      </c>
      <c r="C101" s="196">
        <v>52</v>
      </c>
      <c r="D101" s="230">
        <f>C101*(1-VLOOKUP(I101,descuentos,6,FALSE))*fcl/IF(dol_sol="dólar", TC,1)</f>
        <v>15.255402985074623</v>
      </c>
      <c r="E101" s="215"/>
      <c r="F101" s="511">
        <f t="shared" ref="F101:F108" si="17">ROUNDUP(D101+E101,2)</f>
        <v>15.26</v>
      </c>
      <c r="G101" s="314" t="s">
        <v>12244</v>
      </c>
      <c r="H101" s="518" t="s">
        <v>13119</v>
      </c>
      <c r="I101" s="452" t="s">
        <v>11566</v>
      </c>
      <c r="J101" s="369" t="s">
        <v>753</v>
      </c>
      <c r="K101" s="452" t="s">
        <v>741</v>
      </c>
    </row>
    <row r="102" spans="1:11">
      <c r="A102" s="1614"/>
      <c r="B102" s="144" t="s">
        <v>12245</v>
      </c>
      <c r="C102" s="196">
        <v>52</v>
      </c>
      <c r="D102" s="230">
        <f t="shared" ref="D102:D108" si="18">C102*(1-VLOOKUP(I102,descuentos,6,FALSE))*fcl/IF(dol_sol="dólar", TC,1)</f>
        <v>15.255402985074623</v>
      </c>
      <c r="E102" s="215"/>
      <c r="F102" s="511">
        <f t="shared" si="17"/>
        <v>15.26</v>
      </c>
      <c r="G102" s="314" t="s">
        <v>12246</v>
      </c>
      <c r="H102" s="518" t="s">
        <v>13120</v>
      </c>
      <c r="I102" s="452" t="s">
        <v>11566</v>
      </c>
      <c r="J102" s="369" t="s">
        <v>753</v>
      </c>
      <c r="K102" s="452" t="s">
        <v>741</v>
      </c>
    </row>
    <row r="103" spans="1:11">
      <c r="A103" s="1614"/>
      <c r="B103" s="144" t="s">
        <v>12247</v>
      </c>
      <c r="C103" s="196">
        <v>52</v>
      </c>
      <c r="D103" s="230">
        <f t="shared" si="18"/>
        <v>15.255402985074623</v>
      </c>
      <c r="E103" s="215"/>
      <c r="F103" s="511">
        <f t="shared" si="17"/>
        <v>15.26</v>
      </c>
      <c r="G103" s="314" t="s">
        <v>12248</v>
      </c>
      <c r="H103" s="518" t="s">
        <v>13121</v>
      </c>
      <c r="I103" s="452" t="s">
        <v>11566</v>
      </c>
      <c r="J103" s="369" t="s">
        <v>753</v>
      </c>
      <c r="K103" s="452" t="s">
        <v>741</v>
      </c>
    </row>
    <row r="104" spans="1:11">
      <c r="A104" s="1614"/>
      <c r="B104" s="144" t="s">
        <v>12249</v>
      </c>
      <c r="C104" s="196">
        <v>52</v>
      </c>
      <c r="D104" s="230">
        <f t="shared" si="18"/>
        <v>15.255402985074623</v>
      </c>
      <c r="E104" s="215"/>
      <c r="F104" s="511">
        <f t="shared" si="17"/>
        <v>15.26</v>
      </c>
      <c r="G104" s="314" t="s">
        <v>12250</v>
      </c>
      <c r="H104" s="518" t="s">
        <v>13122</v>
      </c>
      <c r="I104" s="452" t="s">
        <v>11566</v>
      </c>
      <c r="J104" s="369" t="s">
        <v>753</v>
      </c>
      <c r="K104" s="452" t="s">
        <v>741</v>
      </c>
    </row>
    <row r="105" spans="1:11">
      <c r="A105" s="1614"/>
      <c r="B105" s="144" t="s">
        <v>12251</v>
      </c>
      <c r="C105" s="196">
        <v>52</v>
      </c>
      <c r="D105" s="230">
        <f t="shared" si="18"/>
        <v>15.255402985074623</v>
      </c>
      <c r="E105" s="215"/>
      <c r="F105" s="511">
        <f t="shared" si="17"/>
        <v>15.26</v>
      </c>
      <c r="G105" s="314" t="s">
        <v>12252</v>
      </c>
      <c r="H105" s="518" t="s">
        <v>13123</v>
      </c>
      <c r="I105" s="452" t="s">
        <v>11566</v>
      </c>
      <c r="J105" s="369" t="s">
        <v>753</v>
      </c>
      <c r="K105" s="452" t="s">
        <v>741</v>
      </c>
    </row>
    <row r="106" spans="1:11">
      <c r="A106" s="1614"/>
      <c r="B106" s="144" t="s">
        <v>12253</v>
      </c>
      <c r="C106" s="196">
        <v>71</v>
      </c>
      <c r="D106" s="230">
        <f t="shared" si="18"/>
        <v>20.829492537313428</v>
      </c>
      <c r="E106" s="215"/>
      <c r="F106" s="511">
        <f t="shared" si="17"/>
        <v>20.830000000000002</v>
      </c>
      <c r="G106" s="314" t="s">
        <v>12254</v>
      </c>
      <c r="H106" s="518" t="s">
        <v>13124</v>
      </c>
      <c r="I106" s="452" t="s">
        <v>11566</v>
      </c>
      <c r="J106" s="369" t="s">
        <v>753</v>
      </c>
      <c r="K106" s="452" t="s">
        <v>741</v>
      </c>
    </row>
    <row r="107" spans="1:11">
      <c r="A107" s="1614"/>
      <c r="B107" s="144" t="s">
        <v>12255</v>
      </c>
      <c r="C107" s="196">
        <v>71</v>
      </c>
      <c r="D107" s="230">
        <f t="shared" si="18"/>
        <v>20.829492537313428</v>
      </c>
      <c r="E107" s="215"/>
      <c r="F107" s="511">
        <f t="shared" si="17"/>
        <v>20.830000000000002</v>
      </c>
      <c r="G107" s="314" t="s">
        <v>12256</v>
      </c>
      <c r="H107" s="518" t="s">
        <v>13125</v>
      </c>
      <c r="I107" s="452" t="s">
        <v>11566</v>
      </c>
      <c r="J107" s="369" t="s">
        <v>753</v>
      </c>
      <c r="K107" s="452" t="s">
        <v>741</v>
      </c>
    </row>
    <row r="108" spans="1:11">
      <c r="A108" s="1614"/>
      <c r="B108" s="144" t="s">
        <v>12257</v>
      </c>
      <c r="C108" s="196">
        <v>71</v>
      </c>
      <c r="D108" s="230">
        <f t="shared" si="18"/>
        <v>20.829492537313428</v>
      </c>
      <c r="E108" s="215"/>
      <c r="F108" s="511">
        <f t="shared" si="17"/>
        <v>20.830000000000002</v>
      </c>
      <c r="G108" s="314" t="s">
        <v>12258</v>
      </c>
      <c r="H108" s="518" t="s">
        <v>13126</v>
      </c>
      <c r="I108" s="452" t="s">
        <v>11566</v>
      </c>
      <c r="J108" s="369" t="s">
        <v>753</v>
      </c>
      <c r="K108" s="452" t="s">
        <v>741</v>
      </c>
    </row>
    <row r="109" spans="1:11">
      <c r="A109" s="369"/>
      <c r="B109" s="144"/>
      <c r="C109" s="196" t="s">
        <v>2024</v>
      </c>
      <c r="D109" s="230"/>
      <c r="E109" s="215"/>
      <c r="F109" s="511"/>
      <c r="G109" s="314"/>
      <c r="H109" s="518"/>
      <c r="I109" s="452"/>
      <c r="J109" s="369"/>
      <c r="K109" s="452"/>
    </row>
    <row r="110" spans="1:11" s="185" customFormat="1">
      <c r="A110" s="369"/>
      <c r="B110" s="144"/>
      <c r="C110" s="196" t="s">
        <v>2024</v>
      </c>
      <c r="D110" s="230"/>
      <c r="E110" s="215"/>
      <c r="F110" s="511"/>
      <c r="G110" s="314"/>
      <c r="H110" s="518"/>
      <c r="I110" s="452"/>
      <c r="J110" s="369"/>
      <c r="K110" s="452"/>
    </row>
    <row r="111" spans="1:11">
      <c r="A111" s="369"/>
      <c r="B111" s="144" t="s">
        <v>1437</v>
      </c>
      <c r="C111" s="196">
        <v>87</v>
      </c>
      <c r="D111" s="230">
        <f>C111*(1-VLOOKUP(I111,descuentos,6,FALSE))*fcl/IF(dol_sol="dólar", TC,1)</f>
        <v>25.523462686567157</v>
      </c>
      <c r="E111" s="215"/>
      <c r="F111" s="511">
        <f>ROUNDUP(D111+E111,2)</f>
        <v>25.53</v>
      </c>
      <c r="G111" s="314" t="s">
        <v>4176</v>
      </c>
      <c r="H111" s="1656" t="s">
        <v>1489</v>
      </c>
      <c r="I111" s="452" t="s">
        <v>11566</v>
      </c>
      <c r="J111" s="369" t="s">
        <v>753</v>
      </c>
      <c r="K111" s="452" t="s">
        <v>741</v>
      </c>
    </row>
    <row r="112" spans="1:11">
      <c r="A112" s="369"/>
      <c r="B112" s="144"/>
      <c r="C112" s="196" t="s">
        <v>2024</v>
      </c>
      <c r="D112" s="230"/>
      <c r="E112" s="215"/>
      <c r="F112" s="511"/>
      <c r="G112" s="314"/>
      <c r="H112" s="518"/>
      <c r="I112" s="452"/>
      <c r="J112" s="369"/>
      <c r="K112" s="452"/>
    </row>
    <row r="113" spans="1:11">
      <c r="A113" s="369"/>
      <c r="B113" s="144"/>
      <c r="C113" s="196" t="s">
        <v>2024</v>
      </c>
      <c r="D113" s="230"/>
      <c r="E113" s="215"/>
      <c r="F113" s="511"/>
      <c r="G113" s="314"/>
      <c r="H113" s="518"/>
      <c r="I113" s="452"/>
      <c r="J113" s="369"/>
      <c r="K113" s="452"/>
    </row>
    <row r="114" spans="1:11" s="185" customFormat="1">
      <c r="A114" s="1374"/>
      <c r="B114" s="144" t="s">
        <v>5196</v>
      </c>
      <c r="C114" s="196">
        <v>110</v>
      </c>
      <c r="D114" s="230">
        <f t="shared" ref="D114:D122" si="19">C114*(1-VLOOKUP(I114,descuentos,6,FALSE))*fcl/TC</f>
        <v>32.271044776119396</v>
      </c>
      <c r="E114" s="215"/>
      <c r="F114" s="511">
        <f t="shared" ref="F114:F122" si="20">ROUNDUP(D114+E114,2)</f>
        <v>32.28</v>
      </c>
      <c r="G114" s="314" t="s">
        <v>5197</v>
      </c>
      <c r="H114" s="518" t="s">
        <v>13127</v>
      </c>
      <c r="I114" s="452" t="s">
        <v>11566</v>
      </c>
      <c r="J114" s="369" t="s">
        <v>753</v>
      </c>
      <c r="K114" s="452" t="s">
        <v>741</v>
      </c>
    </row>
    <row r="115" spans="1:11" s="185" customFormat="1">
      <c r="A115" s="1374"/>
      <c r="B115" s="144" t="s">
        <v>5198</v>
      </c>
      <c r="C115" s="196">
        <v>75</v>
      </c>
      <c r="D115" s="230">
        <f t="shared" si="19"/>
        <v>22.00298507462686</v>
      </c>
      <c r="E115" s="215"/>
      <c r="F115" s="511">
        <f t="shared" si="20"/>
        <v>22.01</v>
      </c>
      <c r="G115" s="314" t="s">
        <v>5199</v>
      </c>
      <c r="H115" s="518" t="s">
        <v>13128</v>
      </c>
      <c r="I115" s="452" t="s">
        <v>11566</v>
      </c>
      <c r="J115" s="369" t="s">
        <v>753</v>
      </c>
      <c r="K115" s="452" t="s">
        <v>741</v>
      </c>
    </row>
    <row r="116" spans="1:11" s="185" customFormat="1">
      <c r="A116" s="1374"/>
      <c r="B116" s="144" t="s">
        <v>5200</v>
      </c>
      <c r="C116" s="196">
        <v>75</v>
      </c>
      <c r="D116" s="230">
        <f t="shared" si="19"/>
        <v>22.00298507462686</v>
      </c>
      <c r="E116" s="215"/>
      <c r="F116" s="511">
        <f t="shared" si="20"/>
        <v>22.01</v>
      </c>
      <c r="G116" s="314" t="s">
        <v>5201</v>
      </c>
      <c r="H116" s="518" t="s">
        <v>13129</v>
      </c>
      <c r="I116" s="452" t="s">
        <v>11566</v>
      </c>
      <c r="J116" s="369" t="s">
        <v>753</v>
      </c>
      <c r="K116" s="452" t="s">
        <v>741</v>
      </c>
    </row>
    <row r="117" spans="1:11" s="185" customFormat="1">
      <c r="A117" s="1374"/>
      <c r="B117" s="144" t="s">
        <v>5202</v>
      </c>
      <c r="C117" s="196">
        <v>96</v>
      </c>
      <c r="D117" s="230">
        <f t="shared" si="19"/>
        <v>28.163820895522377</v>
      </c>
      <c r="E117" s="215"/>
      <c r="F117" s="511">
        <f t="shared" si="20"/>
        <v>28.17</v>
      </c>
      <c r="G117" s="314" t="s">
        <v>5203</v>
      </c>
      <c r="H117" s="518" t="s">
        <v>13130</v>
      </c>
      <c r="I117" s="452" t="s">
        <v>11566</v>
      </c>
      <c r="J117" s="369" t="s">
        <v>753</v>
      </c>
      <c r="K117" s="452" t="s">
        <v>741</v>
      </c>
    </row>
    <row r="118" spans="1:11" s="185" customFormat="1">
      <c r="A118" s="1374"/>
      <c r="B118" s="144" t="s">
        <v>5204</v>
      </c>
      <c r="C118" s="196">
        <v>75</v>
      </c>
      <c r="D118" s="230">
        <f t="shared" si="19"/>
        <v>22.00298507462686</v>
      </c>
      <c r="E118" s="215"/>
      <c r="F118" s="511">
        <f t="shared" si="20"/>
        <v>22.01</v>
      </c>
      <c r="G118" s="314" t="s">
        <v>5205</v>
      </c>
      <c r="H118" s="518" t="s">
        <v>13131</v>
      </c>
      <c r="I118" s="452" t="s">
        <v>11566</v>
      </c>
      <c r="J118" s="369" t="s">
        <v>753</v>
      </c>
      <c r="K118" s="452" t="s">
        <v>741</v>
      </c>
    </row>
    <row r="119" spans="1:11">
      <c r="A119" s="1374"/>
      <c r="B119" s="144" t="s">
        <v>5206</v>
      </c>
      <c r="C119" s="196">
        <v>96</v>
      </c>
      <c r="D119" s="230">
        <f t="shared" si="19"/>
        <v>28.163820895522377</v>
      </c>
      <c r="E119" s="215"/>
      <c r="F119" s="511">
        <f t="shared" si="20"/>
        <v>28.17</v>
      </c>
      <c r="G119" s="314" t="s">
        <v>5207</v>
      </c>
      <c r="H119" s="518" t="s">
        <v>13132</v>
      </c>
      <c r="I119" s="452" t="s">
        <v>11566</v>
      </c>
      <c r="J119" s="369" t="s">
        <v>753</v>
      </c>
      <c r="K119" s="452" t="s">
        <v>741</v>
      </c>
    </row>
    <row r="120" spans="1:11">
      <c r="A120" s="1374"/>
      <c r="B120" s="144" t="s">
        <v>5208</v>
      </c>
      <c r="C120" s="196">
        <v>129</v>
      </c>
      <c r="D120" s="230">
        <f t="shared" si="19"/>
        <v>37.845134328358192</v>
      </c>
      <c r="E120" s="215"/>
      <c r="F120" s="511">
        <f t="shared" si="20"/>
        <v>37.85</v>
      </c>
      <c r="G120" s="314" t="s">
        <v>5209</v>
      </c>
      <c r="H120" s="518" t="s">
        <v>13133</v>
      </c>
      <c r="I120" s="452" t="s">
        <v>11566</v>
      </c>
      <c r="J120" s="369" t="s">
        <v>753</v>
      </c>
      <c r="K120" s="452" t="s">
        <v>741</v>
      </c>
    </row>
    <row r="121" spans="1:11">
      <c r="A121" s="1374"/>
      <c r="B121" s="144" t="s">
        <v>5210</v>
      </c>
      <c r="C121" s="196">
        <v>102</v>
      </c>
      <c r="D121" s="230">
        <f t="shared" si="19"/>
        <v>29.924059701492528</v>
      </c>
      <c r="E121" s="215"/>
      <c r="F121" s="511">
        <f t="shared" si="20"/>
        <v>29.930000000000003</v>
      </c>
      <c r="G121" s="314" t="s">
        <v>5211</v>
      </c>
      <c r="H121" s="518" t="s">
        <v>13134</v>
      </c>
      <c r="I121" s="452" t="s">
        <v>11566</v>
      </c>
      <c r="J121" s="369" t="s">
        <v>753</v>
      </c>
      <c r="K121" s="452" t="s">
        <v>741</v>
      </c>
    </row>
    <row r="122" spans="1:11" s="185" customFormat="1">
      <c r="A122" s="1374"/>
      <c r="B122" s="144" t="s">
        <v>5212</v>
      </c>
      <c r="C122" s="196">
        <v>129</v>
      </c>
      <c r="D122" s="230">
        <f t="shared" si="19"/>
        <v>37.845134328358192</v>
      </c>
      <c r="E122" s="215"/>
      <c r="F122" s="511">
        <f t="shared" si="20"/>
        <v>37.85</v>
      </c>
      <c r="G122" s="314" t="s">
        <v>5213</v>
      </c>
      <c r="H122" s="518" t="s">
        <v>13135</v>
      </c>
      <c r="I122" s="452" t="s">
        <v>11566</v>
      </c>
      <c r="J122" s="369" t="s">
        <v>753</v>
      </c>
      <c r="K122" s="452" t="s">
        <v>741</v>
      </c>
    </row>
    <row r="123" spans="1:11" s="185" customFormat="1">
      <c r="A123" s="369"/>
      <c r="B123" s="144"/>
      <c r="C123" s="1375" t="s">
        <v>2024</v>
      </c>
      <c r="D123" s="230"/>
      <c r="E123" s="215"/>
      <c r="F123" s="511"/>
      <c r="G123" s="314"/>
      <c r="H123" s="518"/>
      <c r="I123" s="452"/>
      <c r="J123" s="369"/>
      <c r="K123" s="452"/>
    </row>
    <row r="124" spans="1:11">
      <c r="A124" s="1376"/>
      <c r="B124" s="144" t="s">
        <v>6251</v>
      </c>
      <c r="C124" s="196">
        <v>95.399999999999991</v>
      </c>
      <c r="D124" s="230">
        <f>C124*(1-VLOOKUP(I124,descuentos,6,FALSE))*fcl/TC</f>
        <v>27.987797014925363</v>
      </c>
      <c r="E124" s="215"/>
      <c r="F124" s="511">
        <f t="shared" ref="F124:F137" si="21">ROUNDUP(D124+E124,2)</f>
        <v>27.990000000000002</v>
      </c>
      <c r="G124" s="314" t="s">
        <v>6252</v>
      </c>
      <c r="H124" s="518" t="s">
        <v>13136</v>
      </c>
      <c r="I124" s="452" t="s">
        <v>11566</v>
      </c>
      <c r="J124" s="369" t="s">
        <v>753</v>
      </c>
      <c r="K124" s="452" t="s">
        <v>741</v>
      </c>
    </row>
    <row r="125" spans="1:11">
      <c r="A125" s="1376"/>
      <c r="B125" s="144" t="s">
        <v>6253</v>
      </c>
      <c r="C125" s="196">
        <v>95.399999999999991</v>
      </c>
      <c r="D125" s="230">
        <f>C125*(1-VLOOKUP(I125,descuentos,6,FALSE))*fcl/TC</f>
        <v>27.987797014925363</v>
      </c>
      <c r="E125" s="215"/>
      <c r="F125" s="511">
        <f t="shared" si="21"/>
        <v>27.990000000000002</v>
      </c>
      <c r="G125" s="314" t="s">
        <v>6254</v>
      </c>
      <c r="H125" s="518" t="s">
        <v>13137</v>
      </c>
      <c r="I125" s="452" t="s">
        <v>11566</v>
      </c>
      <c r="J125" s="369" t="s">
        <v>753</v>
      </c>
      <c r="K125" s="452" t="s">
        <v>741</v>
      </c>
    </row>
    <row r="126" spans="1:11">
      <c r="A126" s="1376"/>
      <c r="B126" s="144" t="s">
        <v>5250</v>
      </c>
      <c r="C126" s="196">
        <v>73</v>
      </c>
      <c r="D126" s="230">
        <f>C126*(1-VLOOKUP(I126,descuentos,6,FALSE))*fcl/TC</f>
        <v>21.416238805970139</v>
      </c>
      <c r="E126" s="215"/>
      <c r="F126" s="511">
        <f t="shared" si="21"/>
        <v>21.42</v>
      </c>
      <c r="G126" s="314" t="s">
        <v>5251</v>
      </c>
      <c r="H126" s="518" t="s">
        <v>13138</v>
      </c>
      <c r="I126" s="452" t="s">
        <v>11566</v>
      </c>
      <c r="J126" s="369" t="s">
        <v>753</v>
      </c>
      <c r="K126" s="452" t="s">
        <v>741</v>
      </c>
    </row>
    <row r="127" spans="1:11">
      <c r="A127" s="369"/>
      <c r="B127" s="144" t="s">
        <v>1963</v>
      </c>
      <c r="C127" s="196">
        <v>61.2</v>
      </c>
      <c r="D127" s="230">
        <f t="shared" ref="D127:D134" si="22">C127*(1-VLOOKUP(I127,descuentos,6,FALSE))*fcl/IF(dol_sol="dólar", TC,1)</f>
        <v>17.954435820895519</v>
      </c>
      <c r="E127" s="215"/>
      <c r="F127" s="511">
        <f t="shared" si="21"/>
        <v>17.96</v>
      </c>
      <c r="G127" s="314" t="s">
        <v>4182</v>
      </c>
      <c r="H127" s="518" t="s">
        <v>13139</v>
      </c>
      <c r="I127" s="452" t="s">
        <v>11566</v>
      </c>
      <c r="J127" s="369" t="s">
        <v>753</v>
      </c>
      <c r="K127" s="452" t="s">
        <v>741</v>
      </c>
    </row>
    <row r="128" spans="1:11">
      <c r="A128" s="369"/>
      <c r="B128" s="144" t="s">
        <v>970</v>
      </c>
      <c r="C128" s="196">
        <v>61.2</v>
      </c>
      <c r="D128" s="230">
        <f t="shared" si="22"/>
        <v>17.954435820895519</v>
      </c>
      <c r="E128" s="215"/>
      <c r="F128" s="511">
        <f t="shared" si="21"/>
        <v>17.96</v>
      </c>
      <c r="G128" s="314" t="s">
        <v>4183</v>
      </c>
      <c r="H128" s="518" t="s">
        <v>13140</v>
      </c>
      <c r="I128" s="452" t="s">
        <v>11566</v>
      </c>
      <c r="J128" s="369" t="s">
        <v>753</v>
      </c>
      <c r="K128" s="452" t="s">
        <v>741</v>
      </c>
    </row>
    <row r="129" spans="1:11">
      <c r="A129" s="369"/>
      <c r="B129" s="144" t="s">
        <v>969</v>
      </c>
      <c r="C129" s="196">
        <v>61.1</v>
      </c>
      <c r="D129" s="230">
        <f t="shared" si="22"/>
        <v>17.925098507462682</v>
      </c>
      <c r="E129" s="215"/>
      <c r="F129" s="511">
        <f t="shared" si="21"/>
        <v>17.930000000000003</v>
      </c>
      <c r="G129" s="314" t="s">
        <v>4184</v>
      </c>
      <c r="H129" s="518" t="s">
        <v>13141</v>
      </c>
      <c r="I129" s="452" t="s">
        <v>11566</v>
      </c>
      <c r="J129" s="369" t="s">
        <v>753</v>
      </c>
      <c r="K129" s="452" t="s">
        <v>741</v>
      </c>
    </row>
    <row r="130" spans="1:11">
      <c r="A130" s="369"/>
      <c r="B130" s="144" t="s">
        <v>973</v>
      </c>
      <c r="C130" s="196">
        <v>61.1</v>
      </c>
      <c r="D130" s="230">
        <f t="shared" si="22"/>
        <v>17.925098507462682</v>
      </c>
      <c r="E130" s="215"/>
      <c r="F130" s="511">
        <f t="shared" si="21"/>
        <v>17.930000000000003</v>
      </c>
      <c r="G130" s="314" t="s">
        <v>4185</v>
      </c>
      <c r="H130" s="518" t="s">
        <v>13142</v>
      </c>
      <c r="I130" s="452" t="s">
        <v>11566</v>
      </c>
      <c r="J130" s="369" t="s">
        <v>753</v>
      </c>
      <c r="K130" s="452" t="s">
        <v>741</v>
      </c>
    </row>
    <row r="131" spans="1:11">
      <c r="A131" s="369"/>
      <c r="B131" s="144" t="s">
        <v>971</v>
      </c>
      <c r="C131" s="196">
        <v>61.1</v>
      </c>
      <c r="D131" s="230">
        <f t="shared" si="22"/>
        <v>17.925098507462682</v>
      </c>
      <c r="E131" s="215"/>
      <c r="F131" s="511">
        <f t="shared" si="21"/>
        <v>17.930000000000003</v>
      </c>
      <c r="G131" s="314" t="s">
        <v>4186</v>
      </c>
      <c r="H131" s="518" t="s">
        <v>13143</v>
      </c>
      <c r="I131" s="452" t="s">
        <v>11566</v>
      </c>
      <c r="J131" s="369" t="s">
        <v>753</v>
      </c>
      <c r="K131" s="452" t="s">
        <v>741</v>
      </c>
    </row>
    <row r="132" spans="1:11">
      <c r="A132" s="369"/>
      <c r="B132" s="144" t="s">
        <v>1009</v>
      </c>
      <c r="C132" s="196">
        <v>80.399999999999991</v>
      </c>
      <c r="D132" s="230">
        <f t="shared" si="22"/>
        <v>23.587199999999992</v>
      </c>
      <c r="E132" s="215"/>
      <c r="F132" s="511">
        <f t="shared" si="21"/>
        <v>23.59</v>
      </c>
      <c r="G132" s="314" t="s">
        <v>4187</v>
      </c>
      <c r="H132" s="518" t="s">
        <v>13144</v>
      </c>
      <c r="I132" s="452" t="s">
        <v>11566</v>
      </c>
      <c r="J132" s="369" t="s">
        <v>753</v>
      </c>
      <c r="K132" s="452" t="s">
        <v>741</v>
      </c>
    </row>
    <row r="133" spans="1:11">
      <c r="A133" s="369"/>
      <c r="B133" s="144" t="s">
        <v>972</v>
      </c>
      <c r="C133" s="196">
        <v>82.6</v>
      </c>
      <c r="D133" s="230">
        <f t="shared" si="22"/>
        <v>24.232620895522381</v>
      </c>
      <c r="E133" s="215"/>
      <c r="F133" s="511">
        <f t="shared" si="21"/>
        <v>24.240000000000002</v>
      </c>
      <c r="G133" s="314" t="s">
        <v>4188</v>
      </c>
      <c r="H133" s="518" t="s">
        <v>13145</v>
      </c>
      <c r="I133" s="452" t="s">
        <v>11566</v>
      </c>
      <c r="J133" s="369" t="s">
        <v>753</v>
      </c>
      <c r="K133" s="452" t="s">
        <v>741</v>
      </c>
    </row>
    <row r="134" spans="1:11">
      <c r="A134" s="369"/>
      <c r="B134" s="144" t="s">
        <v>1002</v>
      </c>
      <c r="C134" s="196">
        <v>82.6</v>
      </c>
      <c r="D134" s="230">
        <f t="shared" si="22"/>
        <v>24.232620895522381</v>
      </c>
      <c r="E134" s="215"/>
      <c r="F134" s="511">
        <f t="shared" si="21"/>
        <v>24.240000000000002</v>
      </c>
      <c r="G134" s="314" t="s">
        <v>4189</v>
      </c>
      <c r="H134" s="518" t="s">
        <v>13146</v>
      </c>
      <c r="I134" s="452" t="s">
        <v>11566</v>
      </c>
      <c r="J134" s="369" t="s">
        <v>753</v>
      </c>
      <c r="K134" s="452" t="s">
        <v>741</v>
      </c>
    </row>
    <row r="135" spans="1:11">
      <c r="A135" s="369"/>
      <c r="B135" s="144" t="s">
        <v>5252</v>
      </c>
      <c r="C135" s="196">
        <v>213.2</v>
      </c>
      <c r="D135" s="230">
        <f>C135*(1-VLOOKUP(I135,descuentos,6,FALSE))*fcl/IF(dol_sol="dólar", TC,1)</f>
        <v>62.547152238805943</v>
      </c>
      <c r="E135" s="215"/>
      <c r="F135" s="511">
        <f t="shared" si="21"/>
        <v>62.55</v>
      </c>
      <c r="G135" s="314" t="s">
        <v>5253</v>
      </c>
      <c r="H135" s="518" t="s">
        <v>5254</v>
      </c>
      <c r="I135" s="452" t="s">
        <v>11566</v>
      </c>
      <c r="J135" s="369" t="s">
        <v>753</v>
      </c>
      <c r="K135" s="452" t="s">
        <v>741</v>
      </c>
    </row>
    <row r="136" spans="1:11">
      <c r="A136" s="369"/>
      <c r="B136" s="144" t="s">
        <v>5255</v>
      </c>
      <c r="C136" s="196">
        <v>260.40000000000003</v>
      </c>
      <c r="D136" s="230">
        <f>C136*(1-VLOOKUP(I136,descuentos,6,FALSE))*fcl/IF(dol_sol="dólar", TC,1)</f>
        <v>76.394364179104471</v>
      </c>
      <c r="E136" s="215"/>
      <c r="F136" s="511">
        <f t="shared" si="21"/>
        <v>76.400000000000006</v>
      </c>
      <c r="G136" s="314" t="s">
        <v>5256</v>
      </c>
      <c r="H136" s="518" t="s">
        <v>5257</v>
      </c>
      <c r="I136" s="452" t="s">
        <v>11566</v>
      </c>
      <c r="J136" s="369" t="s">
        <v>753</v>
      </c>
      <c r="K136" s="452" t="s">
        <v>741</v>
      </c>
    </row>
    <row r="137" spans="1:11">
      <c r="A137" s="369"/>
      <c r="B137" s="144"/>
      <c r="C137" s="196" t="s">
        <v>2024</v>
      </c>
      <c r="D137" s="230"/>
      <c r="E137" s="215"/>
      <c r="F137" s="511">
        <f t="shared" si="21"/>
        <v>0</v>
      </c>
      <c r="G137" s="314"/>
      <c r="H137" s="518"/>
      <c r="I137" s="452"/>
      <c r="J137" s="369"/>
      <c r="K137" s="452"/>
    </row>
    <row r="138" spans="1:11">
      <c r="A138" s="369"/>
      <c r="B138" s="144"/>
      <c r="C138" s="196" t="s">
        <v>2024</v>
      </c>
      <c r="D138" s="230"/>
      <c r="E138" s="215"/>
      <c r="F138" s="511"/>
      <c r="G138" s="314"/>
      <c r="H138" s="518"/>
      <c r="I138" s="452"/>
      <c r="J138" s="369"/>
      <c r="K138" s="452"/>
    </row>
    <row r="139" spans="1:11">
      <c r="A139" s="369"/>
      <c r="B139" s="144" t="s">
        <v>9050</v>
      </c>
      <c r="C139" s="196">
        <v>115</v>
      </c>
      <c r="D139" s="230">
        <f>C139*(1-VLOOKUP(I139,descuentos,6,FALSE))*fcl/IF(dol_sol="dólar", TC,1)</f>
        <v>33.737910447761188</v>
      </c>
      <c r="E139" s="215"/>
      <c r="F139" s="511">
        <f>ROUNDUP(D139+E139,2)</f>
        <v>33.739999999999995</v>
      </c>
      <c r="G139" s="314" t="s">
        <v>9051</v>
      </c>
      <c r="H139" s="518" t="s">
        <v>13147</v>
      </c>
      <c r="I139" s="452" t="s">
        <v>11566</v>
      </c>
      <c r="J139" s="369" t="s">
        <v>753</v>
      </c>
      <c r="K139" s="452" t="s">
        <v>741</v>
      </c>
    </row>
    <row r="140" spans="1:11">
      <c r="A140" s="369"/>
      <c r="B140" s="144"/>
      <c r="C140" s="196" t="s">
        <v>2024</v>
      </c>
      <c r="D140" s="230"/>
      <c r="E140" s="215"/>
      <c r="F140" s="511"/>
      <c r="G140" s="314"/>
      <c r="H140" s="518"/>
      <c r="I140" s="452"/>
      <c r="J140" s="369"/>
      <c r="K140" s="452"/>
    </row>
    <row r="141" spans="1:11">
      <c r="A141" s="369"/>
      <c r="B141" s="144" t="s">
        <v>6255</v>
      </c>
      <c r="C141" s="196">
        <v>106</v>
      </c>
      <c r="D141" s="230">
        <f>C141*(1-VLOOKUP(I141,descuentos,6,FALSE))*fcl/IF(dol_sol="dólar", TC,1)</f>
        <v>31.09755223880596</v>
      </c>
      <c r="E141" s="215"/>
      <c r="F141" s="511">
        <f t="shared" ref="F141:F148" si="23">ROUNDUP(D141+E141,2)</f>
        <v>31.1</v>
      </c>
      <c r="G141" s="314" t="s">
        <v>6256</v>
      </c>
      <c r="H141" s="518" t="s">
        <v>13148</v>
      </c>
      <c r="I141" s="452" t="s">
        <v>11566</v>
      </c>
      <c r="J141" s="369" t="s">
        <v>753</v>
      </c>
      <c r="K141" s="452" t="s">
        <v>741</v>
      </c>
    </row>
    <row r="142" spans="1:11">
      <c r="A142" s="369"/>
      <c r="B142" s="144" t="s">
        <v>975</v>
      </c>
      <c r="C142" s="196">
        <v>106</v>
      </c>
      <c r="D142" s="230">
        <f t="shared" ref="D142:D148" si="24">C142*(1-VLOOKUP(I142,descuentos,6,FALSE))*fcl/IF(dol_sol="dólar", TC,1)</f>
        <v>31.09755223880596</v>
      </c>
      <c r="E142" s="215"/>
      <c r="F142" s="511">
        <f t="shared" si="23"/>
        <v>31.1</v>
      </c>
      <c r="G142" s="314" t="s">
        <v>4190</v>
      </c>
      <c r="H142" s="518" t="s">
        <v>13149</v>
      </c>
      <c r="I142" s="452" t="s">
        <v>11566</v>
      </c>
      <c r="J142" s="369" t="s">
        <v>753</v>
      </c>
      <c r="K142" s="452" t="s">
        <v>741</v>
      </c>
    </row>
    <row r="143" spans="1:11">
      <c r="A143" s="369"/>
      <c r="B143" s="144" t="s">
        <v>974</v>
      </c>
      <c r="C143" s="196">
        <v>106</v>
      </c>
      <c r="D143" s="230">
        <f t="shared" si="24"/>
        <v>31.09755223880596</v>
      </c>
      <c r="E143" s="215"/>
      <c r="F143" s="511">
        <f t="shared" si="23"/>
        <v>31.1</v>
      </c>
      <c r="G143" s="314" t="s">
        <v>4191</v>
      </c>
      <c r="H143" s="518" t="s">
        <v>13150</v>
      </c>
      <c r="I143" s="452" t="s">
        <v>11566</v>
      </c>
      <c r="J143" s="369" t="s">
        <v>753</v>
      </c>
      <c r="K143" s="452" t="s">
        <v>741</v>
      </c>
    </row>
    <row r="144" spans="1:11">
      <c r="A144" s="369"/>
      <c r="B144" s="144" t="s">
        <v>992</v>
      </c>
      <c r="C144" s="196">
        <v>106</v>
      </c>
      <c r="D144" s="230">
        <f t="shared" si="24"/>
        <v>31.09755223880596</v>
      </c>
      <c r="E144" s="215"/>
      <c r="F144" s="511">
        <f t="shared" si="23"/>
        <v>31.1</v>
      </c>
      <c r="G144" s="314" t="s">
        <v>4192</v>
      </c>
      <c r="H144" s="518" t="s">
        <v>13151</v>
      </c>
      <c r="I144" s="452" t="s">
        <v>11566</v>
      </c>
      <c r="J144" s="369" t="s">
        <v>753</v>
      </c>
      <c r="K144" s="452" t="s">
        <v>741</v>
      </c>
    </row>
    <row r="145" spans="1:11">
      <c r="A145" s="369"/>
      <c r="B145" s="144" t="s">
        <v>993</v>
      </c>
      <c r="C145" s="196">
        <v>106</v>
      </c>
      <c r="D145" s="230">
        <f t="shared" si="24"/>
        <v>31.09755223880596</v>
      </c>
      <c r="E145" s="215"/>
      <c r="F145" s="511">
        <f t="shared" si="23"/>
        <v>31.1</v>
      </c>
      <c r="G145" s="314" t="s">
        <v>4193</v>
      </c>
      <c r="H145" s="518" t="s">
        <v>13152</v>
      </c>
      <c r="I145" s="452" t="s">
        <v>11566</v>
      </c>
      <c r="J145" s="369" t="s">
        <v>753</v>
      </c>
      <c r="K145" s="452" t="s">
        <v>741</v>
      </c>
    </row>
    <row r="146" spans="1:11">
      <c r="A146" s="369"/>
      <c r="B146" s="144" t="s">
        <v>994</v>
      </c>
      <c r="C146" s="196">
        <v>139</v>
      </c>
      <c r="D146" s="230">
        <f t="shared" si="24"/>
        <v>40.778865671641775</v>
      </c>
      <c r="E146" s="215"/>
      <c r="F146" s="511">
        <f t="shared" si="23"/>
        <v>40.78</v>
      </c>
      <c r="G146" s="314" t="s">
        <v>4194</v>
      </c>
      <c r="H146" s="518" t="s">
        <v>13153</v>
      </c>
      <c r="I146" s="452" t="s">
        <v>11566</v>
      </c>
      <c r="J146" s="369" t="s">
        <v>753</v>
      </c>
      <c r="K146" s="452" t="s">
        <v>741</v>
      </c>
    </row>
    <row r="147" spans="1:11">
      <c r="A147" s="369"/>
      <c r="B147" s="144" t="s">
        <v>995</v>
      </c>
      <c r="C147" s="196">
        <v>139</v>
      </c>
      <c r="D147" s="230">
        <f t="shared" si="24"/>
        <v>40.778865671641775</v>
      </c>
      <c r="E147" s="215"/>
      <c r="F147" s="511">
        <f t="shared" si="23"/>
        <v>40.78</v>
      </c>
      <c r="G147" s="314" t="s">
        <v>4195</v>
      </c>
      <c r="H147" s="518" t="s">
        <v>13154</v>
      </c>
      <c r="I147" s="452" t="s">
        <v>11566</v>
      </c>
      <c r="J147" s="369" t="s">
        <v>753</v>
      </c>
      <c r="K147" s="452" t="s">
        <v>741</v>
      </c>
    </row>
    <row r="148" spans="1:11">
      <c r="A148" s="369"/>
      <c r="B148" s="144" t="s">
        <v>1010</v>
      </c>
      <c r="C148" s="196">
        <v>139</v>
      </c>
      <c r="D148" s="230">
        <f t="shared" si="24"/>
        <v>40.778865671641775</v>
      </c>
      <c r="E148" s="215"/>
      <c r="F148" s="511">
        <f t="shared" si="23"/>
        <v>40.78</v>
      </c>
      <c r="G148" s="314" t="s">
        <v>4196</v>
      </c>
      <c r="H148" s="518" t="s">
        <v>13155</v>
      </c>
      <c r="I148" s="452" t="s">
        <v>11566</v>
      </c>
      <c r="J148" s="369" t="s">
        <v>753</v>
      </c>
      <c r="K148" s="452" t="s">
        <v>741</v>
      </c>
    </row>
    <row r="149" spans="1:11">
      <c r="A149" s="369"/>
      <c r="B149" s="144"/>
      <c r="C149" s="196" t="s">
        <v>2024</v>
      </c>
      <c r="D149" s="230"/>
      <c r="E149" s="215"/>
      <c r="F149" s="511"/>
      <c r="G149" s="314"/>
      <c r="H149" s="518"/>
      <c r="I149" s="452"/>
      <c r="J149" s="369"/>
      <c r="K149" s="452"/>
    </row>
    <row r="150" spans="1:11">
      <c r="A150" s="369"/>
      <c r="B150" s="144"/>
      <c r="C150" s="196" t="s">
        <v>2024</v>
      </c>
      <c r="D150" s="230"/>
      <c r="E150" s="215"/>
      <c r="F150" s="511">
        <f t="shared" ref="F150:F168" si="25">ROUNDUP(D150+E150,2)</f>
        <v>0</v>
      </c>
      <c r="G150" s="314"/>
      <c r="H150" s="518"/>
      <c r="I150" s="452"/>
      <c r="J150" s="369"/>
      <c r="K150" s="452"/>
    </row>
    <row r="151" spans="1:11">
      <c r="A151" s="369"/>
      <c r="B151" s="144" t="s">
        <v>9052</v>
      </c>
      <c r="C151" s="196">
        <v>177</v>
      </c>
      <c r="D151" s="230">
        <f>C151*(1-VLOOKUP(I151,descuentos,6,FALSE))*fcl/IF(dol_sol="dólar", TC,1)</f>
        <v>51.927044776119388</v>
      </c>
      <c r="E151" s="215"/>
      <c r="F151" s="511">
        <f t="shared" si="25"/>
        <v>51.93</v>
      </c>
      <c r="G151" s="314" t="s">
        <v>9053</v>
      </c>
      <c r="H151" s="1656" t="s">
        <v>9054</v>
      </c>
      <c r="I151" s="452" t="s">
        <v>11566</v>
      </c>
      <c r="J151" s="369" t="s">
        <v>753</v>
      </c>
      <c r="K151" s="452" t="s">
        <v>741</v>
      </c>
    </row>
    <row r="152" spans="1:11">
      <c r="A152" s="369"/>
      <c r="B152" s="144" t="s">
        <v>977</v>
      </c>
      <c r="C152" s="196">
        <v>177</v>
      </c>
      <c r="D152" s="230">
        <f t="shared" ref="D152:D158" si="26">C152*(1-VLOOKUP(I152,descuentos,6,FALSE))*fcl/IF(dol_sol="dólar", TC,1)</f>
        <v>51.927044776119388</v>
      </c>
      <c r="E152" s="215"/>
      <c r="F152" s="511">
        <f t="shared" si="25"/>
        <v>51.93</v>
      </c>
      <c r="G152" s="314" t="s">
        <v>4197</v>
      </c>
      <c r="H152" s="1656" t="s">
        <v>1490</v>
      </c>
      <c r="I152" s="452" t="s">
        <v>11566</v>
      </c>
      <c r="J152" s="369" t="s">
        <v>753</v>
      </c>
      <c r="K152" s="452" t="s">
        <v>741</v>
      </c>
    </row>
    <row r="153" spans="1:11">
      <c r="A153" s="369"/>
      <c r="B153" s="144" t="s">
        <v>976</v>
      </c>
      <c r="C153" s="196">
        <v>177</v>
      </c>
      <c r="D153" s="230">
        <f t="shared" si="26"/>
        <v>51.927044776119388</v>
      </c>
      <c r="E153" s="215"/>
      <c r="F153" s="511">
        <f t="shared" si="25"/>
        <v>51.93</v>
      </c>
      <c r="G153" s="314" t="s">
        <v>4198</v>
      </c>
      <c r="H153" s="1656" t="s">
        <v>1491</v>
      </c>
      <c r="I153" s="452" t="s">
        <v>11566</v>
      </c>
      <c r="J153" s="369" t="s">
        <v>753</v>
      </c>
      <c r="K153" s="452" t="s">
        <v>741</v>
      </c>
    </row>
    <row r="154" spans="1:11">
      <c r="A154" s="369"/>
      <c r="B154" s="144" t="s">
        <v>978</v>
      </c>
      <c r="C154" s="196">
        <v>177</v>
      </c>
      <c r="D154" s="230">
        <f t="shared" si="26"/>
        <v>51.927044776119388</v>
      </c>
      <c r="E154" s="215"/>
      <c r="F154" s="511">
        <f t="shared" si="25"/>
        <v>51.93</v>
      </c>
      <c r="G154" s="314" t="s">
        <v>4199</v>
      </c>
      <c r="H154" s="1656" t="s">
        <v>1492</v>
      </c>
      <c r="I154" s="452" t="s">
        <v>11566</v>
      </c>
      <c r="J154" s="369" t="s">
        <v>753</v>
      </c>
      <c r="K154" s="452" t="s">
        <v>741</v>
      </c>
    </row>
    <row r="155" spans="1:11" s="317" customFormat="1">
      <c r="A155" s="369"/>
      <c r="B155" s="144" t="s">
        <v>996</v>
      </c>
      <c r="C155" s="196">
        <v>177</v>
      </c>
      <c r="D155" s="230">
        <f t="shared" si="26"/>
        <v>51.927044776119388</v>
      </c>
      <c r="E155" s="215"/>
      <c r="F155" s="511">
        <f t="shared" si="25"/>
        <v>51.93</v>
      </c>
      <c r="G155" s="314" t="s">
        <v>4200</v>
      </c>
      <c r="H155" s="1656" t="s">
        <v>1493</v>
      </c>
      <c r="I155" s="452" t="s">
        <v>11566</v>
      </c>
      <c r="J155" s="369" t="s">
        <v>753</v>
      </c>
      <c r="K155" s="452" t="s">
        <v>741</v>
      </c>
    </row>
    <row r="156" spans="1:11" s="317" customFormat="1">
      <c r="A156" s="369"/>
      <c r="B156" s="144" t="s">
        <v>1011</v>
      </c>
      <c r="C156" s="196">
        <v>213</v>
      </c>
      <c r="D156" s="230">
        <f t="shared" si="26"/>
        <v>62.488477611940276</v>
      </c>
      <c r="E156" s="215"/>
      <c r="F156" s="511">
        <f t="shared" si="25"/>
        <v>62.489999999999995</v>
      </c>
      <c r="G156" s="314" t="s">
        <v>4201</v>
      </c>
      <c r="H156" s="1656" t="s">
        <v>1494</v>
      </c>
      <c r="I156" s="452" t="s">
        <v>11566</v>
      </c>
      <c r="J156" s="369" t="s">
        <v>753</v>
      </c>
      <c r="K156" s="452" t="s">
        <v>741</v>
      </c>
    </row>
    <row r="157" spans="1:11" s="317" customFormat="1">
      <c r="A157" s="369"/>
      <c r="B157" s="144" t="s">
        <v>1012</v>
      </c>
      <c r="C157" s="196">
        <v>223</v>
      </c>
      <c r="D157" s="230">
        <f t="shared" si="26"/>
        <v>65.422208955223851</v>
      </c>
      <c r="E157" s="215"/>
      <c r="F157" s="511">
        <f t="shared" si="25"/>
        <v>65.430000000000007</v>
      </c>
      <c r="G157" s="314" t="s">
        <v>4202</v>
      </c>
      <c r="H157" s="1656" t="s">
        <v>1495</v>
      </c>
      <c r="I157" s="452" t="s">
        <v>11566</v>
      </c>
      <c r="J157" s="369" t="s">
        <v>753</v>
      </c>
      <c r="K157" s="452" t="s">
        <v>741</v>
      </c>
    </row>
    <row r="158" spans="1:11" s="317" customFormat="1">
      <c r="A158" s="369"/>
      <c r="B158" s="144" t="s">
        <v>1013</v>
      </c>
      <c r="C158" s="196">
        <v>223</v>
      </c>
      <c r="D158" s="230">
        <f t="shared" si="26"/>
        <v>65.422208955223851</v>
      </c>
      <c r="E158" s="215"/>
      <c r="F158" s="511">
        <f t="shared" si="25"/>
        <v>65.430000000000007</v>
      </c>
      <c r="G158" s="314" t="s">
        <v>4203</v>
      </c>
      <c r="H158" s="1656" t="s">
        <v>1496</v>
      </c>
      <c r="I158" s="452" t="s">
        <v>11566</v>
      </c>
      <c r="J158" s="369" t="s">
        <v>753</v>
      </c>
      <c r="K158" s="452" t="s">
        <v>741</v>
      </c>
    </row>
    <row r="159" spans="1:11" s="317" customFormat="1">
      <c r="A159" s="369"/>
      <c r="B159" s="144"/>
      <c r="C159" s="196" t="s">
        <v>2024</v>
      </c>
      <c r="D159" s="230"/>
      <c r="E159" s="215"/>
      <c r="F159" s="511">
        <f t="shared" si="25"/>
        <v>0</v>
      </c>
      <c r="G159" s="314"/>
      <c r="H159" s="518"/>
      <c r="I159" s="452"/>
      <c r="J159" s="369"/>
      <c r="K159" s="452"/>
    </row>
    <row r="160" spans="1:11" s="185" customFormat="1">
      <c r="A160" s="1374"/>
      <c r="B160" s="144" t="s">
        <v>5214</v>
      </c>
      <c r="C160" s="196">
        <v>170</v>
      </c>
      <c r="D160" s="230">
        <f t="shared" ref="D160:D168" si="27">C160*(1-VLOOKUP(I160,descuentos,6,FALSE))*fcl/TC</f>
        <v>49.873432835820886</v>
      </c>
      <c r="E160" s="215"/>
      <c r="F160" s="511">
        <f t="shared" si="25"/>
        <v>49.879999999999995</v>
      </c>
      <c r="G160" s="314" t="s">
        <v>5215</v>
      </c>
      <c r="H160" s="518" t="s">
        <v>13156</v>
      </c>
      <c r="I160" s="452" t="s">
        <v>11566</v>
      </c>
      <c r="J160" s="369" t="s">
        <v>753</v>
      </c>
      <c r="K160" s="452" t="s">
        <v>741</v>
      </c>
    </row>
    <row r="161" spans="1:11" s="185" customFormat="1">
      <c r="A161" s="1374"/>
      <c r="B161" s="144" t="s">
        <v>5216</v>
      </c>
      <c r="C161" s="196">
        <v>151</v>
      </c>
      <c r="D161" s="230">
        <f t="shared" si="27"/>
        <v>44.299343283582076</v>
      </c>
      <c r="E161" s="215"/>
      <c r="F161" s="511">
        <f t="shared" si="25"/>
        <v>44.3</v>
      </c>
      <c r="G161" s="314" t="s">
        <v>5217</v>
      </c>
      <c r="H161" s="518" t="s">
        <v>13157</v>
      </c>
      <c r="I161" s="452" t="s">
        <v>11566</v>
      </c>
      <c r="J161" s="369" t="s">
        <v>753</v>
      </c>
      <c r="K161" s="452" t="s">
        <v>741</v>
      </c>
    </row>
    <row r="162" spans="1:11" s="185" customFormat="1">
      <c r="A162" s="1374"/>
      <c r="B162" s="144" t="s">
        <v>5218</v>
      </c>
      <c r="C162" s="196">
        <v>151</v>
      </c>
      <c r="D162" s="230">
        <f t="shared" si="27"/>
        <v>44.299343283582076</v>
      </c>
      <c r="E162" s="215"/>
      <c r="F162" s="511">
        <f t="shared" si="25"/>
        <v>44.3</v>
      </c>
      <c r="G162" s="314" t="s">
        <v>5219</v>
      </c>
      <c r="H162" s="518" t="s">
        <v>13158</v>
      </c>
      <c r="I162" s="452" t="s">
        <v>11566</v>
      </c>
      <c r="J162" s="369" t="s">
        <v>753</v>
      </c>
      <c r="K162" s="452" t="s">
        <v>741</v>
      </c>
    </row>
    <row r="163" spans="1:11" s="185" customFormat="1">
      <c r="A163" s="1374"/>
      <c r="B163" s="144" t="s">
        <v>5220</v>
      </c>
      <c r="C163" s="196">
        <v>151</v>
      </c>
      <c r="D163" s="230">
        <f t="shared" si="27"/>
        <v>44.299343283582076</v>
      </c>
      <c r="E163" s="215"/>
      <c r="F163" s="511">
        <f t="shared" si="25"/>
        <v>44.3</v>
      </c>
      <c r="G163" s="314" t="s">
        <v>5221</v>
      </c>
      <c r="H163" s="518" t="s">
        <v>13159</v>
      </c>
      <c r="I163" s="452" t="s">
        <v>11566</v>
      </c>
      <c r="J163" s="369" t="s">
        <v>753</v>
      </c>
      <c r="K163" s="452" t="s">
        <v>741</v>
      </c>
    </row>
    <row r="164" spans="1:11" s="185" customFormat="1">
      <c r="A164" s="1374"/>
      <c r="B164" s="144" t="s">
        <v>5222</v>
      </c>
      <c r="C164" s="196">
        <v>151</v>
      </c>
      <c r="D164" s="230">
        <f t="shared" si="27"/>
        <v>44.299343283582076</v>
      </c>
      <c r="E164" s="215"/>
      <c r="F164" s="511">
        <f t="shared" si="25"/>
        <v>44.3</v>
      </c>
      <c r="G164" s="314" t="s">
        <v>5223</v>
      </c>
      <c r="H164" s="518" t="s">
        <v>13160</v>
      </c>
      <c r="I164" s="452" t="s">
        <v>11566</v>
      </c>
      <c r="J164" s="369" t="s">
        <v>753</v>
      </c>
      <c r="K164" s="452" t="s">
        <v>741</v>
      </c>
    </row>
    <row r="165" spans="1:11">
      <c r="A165" s="1374"/>
      <c r="B165" s="144" t="s">
        <v>5224</v>
      </c>
      <c r="C165" s="196">
        <v>151</v>
      </c>
      <c r="D165" s="230">
        <f t="shared" si="27"/>
        <v>44.299343283582076</v>
      </c>
      <c r="E165" s="215"/>
      <c r="F165" s="511">
        <f t="shared" si="25"/>
        <v>44.3</v>
      </c>
      <c r="G165" s="314" t="s">
        <v>5225</v>
      </c>
      <c r="H165" s="518" t="s">
        <v>13161</v>
      </c>
      <c r="I165" s="452" t="s">
        <v>11566</v>
      </c>
      <c r="J165" s="369" t="s">
        <v>753</v>
      </c>
      <c r="K165" s="452" t="s">
        <v>741</v>
      </c>
    </row>
    <row r="166" spans="1:11">
      <c r="A166" s="1374"/>
      <c r="B166" s="144" t="s">
        <v>5226</v>
      </c>
      <c r="C166" s="196">
        <v>213</v>
      </c>
      <c r="D166" s="230">
        <f t="shared" si="27"/>
        <v>62.488477611940276</v>
      </c>
      <c r="E166" s="215"/>
      <c r="F166" s="511">
        <f t="shared" si="25"/>
        <v>62.489999999999995</v>
      </c>
      <c r="G166" s="314" t="s">
        <v>5227</v>
      </c>
      <c r="H166" s="518" t="s">
        <v>13162</v>
      </c>
      <c r="I166" s="452" t="s">
        <v>11566</v>
      </c>
      <c r="J166" s="369" t="s">
        <v>753</v>
      </c>
      <c r="K166" s="452" t="s">
        <v>741</v>
      </c>
    </row>
    <row r="167" spans="1:11">
      <c r="A167" s="1374"/>
      <c r="B167" s="144" t="s">
        <v>5228</v>
      </c>
      <c r="C167" s="196">
        <v>213</v>
      </c>
      <c r="D167" s="230">
        <f t="shared" si="27"/>
        <v>62.488477611940276</v>
      </c>
      <c r="E167" s="215"/>
      <c r="F167" s="511">
        <f t="shared" si="25"/>
        <v>62.489999999999995</v>
      </c>
      <c r="G167" s="314" t="s">
        <v>5229</v>
      </c>
      <c r="H167" s="518" t="s">
        <v>13163</v>
      </c>
      <c r="I167" s="452" t="s">
        <v>11566</v>
      </c>
      <c r="J167" s="369" t="s">
        <v>753</v>
      </c>
      <c r="K167" s="452" t="s">
        <v>741</v>
      </c>
    </row>
    <row r="168" spans="1:11" s="185" customFormat="1">
      <c r="A168" s="1374"/>
      <c r="B168" s="144" t="s">
        <v>5230</v>
      </c>
      <c r="C168" s="196">
        <v>213</v>
      </c>
      <c r="D168" s="230">
        <f t="shared" si="27"/>
        <v>62.488477611940276</v>
      </c>
      <c r="E168" s="215"/>
      <c r="F168" s="511">
        <f t="shared" si="25"/>
        <v>62.489999999999995</v>
      </c>
      <c r="G168" s="314" t="s">
        <v>5231</v>
      </c>
      <c r="H168" s="518" t="s">
        <v>13164</v>
      </c>
      <c r="I168" s="452" t="s">
        <v>11566</v>
      </c>
      <c r="J168" s="369" t="s">
        <v>753</v>
      </c>
      <c r="K168" s="452" t="s">
        <v>741</v>
      </c>
    </row>
    <row r="169" spans="1:11" s="185" customFormat="1">
      <c r="A169" s="369"/>
      <c r="B169" s="144"/>
      <c r="C169" s="1375" t="s">
        <v>2024</v>
      </c>
      <c r="D169" s="230"/>
      <c r="E169" s="215"/>
      <c r="F169" s="511"/>
      <c r="G169" s="314"/>
      <c r="H169" s="518"/>
      <c r="I169" s="452"/>
      <c r="J169" s="369"/>
      <c r="K169" s="452"/>
    </row>
    <row r="170" spans="1:11">
      <c r="A170" s="1376"/>
      <c r="B170" s="144" t="s">
        <v>5258</v>
      </c>
      <c r="C170" s="196">
        <v>112.6</v>
      </c>
      <c r="D170" s="230">
        <f>C170*(1-VLOOKUP(I170,descuentos,6,FALSE))*fcl/TC</f>
        <v>33.033814925373122</v>
      </c>
      <c r="E170" s="215"/>
      <c r="F170" s="511">
        <f t="shared" ref="F170:F207" si="28">ROUNDUP(D170+E170,2)</f>
        <v>33.04</v>
      </c>
      <c r="G170" s="314" t="s">
        <v>5259</v>
      </c>
      <c r="H170" s="518" t="s">
        <v>13165</v>
      </c>
      <c r="I170" s="452" t="s">
        <v>11566</v>
      </c>
      <c r="J170" s="369" t="s">
        <v>753</v>
      </c>
      <c r="K170" s="452" t="s">
        <v>741</v>
      </c>
    </row>
    <row r="171" spans="1:11" s="317" customFormat="1">
      <c r="A171" s="369"/>
      <c r="B171" s="144" t="s">
        <v>1964</v>
      </c>
      <c r="C171" s="196">
        <v>111.5</v>
      </c>
      <c r="D171" s="230">
        <f t="shared" ref="D171:D180" si="29">C171*(1-VLOOKUP(I171,descuentos,6,FALSE))*fcl/IF(dol_sol="dólar", TC,1)</f>
        <v>32.711104477611926</v>
      </c>
      <c r="E171" s="215"/>
      <c r="F171" s="511">
        <f t="shared" si="28"/>
        <v>32.72</v>
      </c>
      <c r="G171" s="314" t="s">
        <v>4204</v>
      </c>
      <c r="H171" s="518" t="s">
        <v>13166</v>
      </c>
      <c r="I171" s="452" t="s">
        <v>11566</v>
      </c>
      <c r="J171" s="369" t="s">
        <v>753</v>
      </c>
      <c r="K171" s="452" t="s">
        <v>741</v>
      </c>
    </row>
    <row r="172" spans="1:11" s="317" customFormat="1">
      <c r="A172" s="369"/>
      <c r="B172" s="144" t="s">
        <v>984</v>
      </c>
      <c r="C172" s="196">
        <v>111.5</v>
      </c>
      <c r="D172" s="230">
        <f t="shared" si="29"/>
        <v>32.711104477611926</v>
      </c>
      <c r="E172" s="215"/>
      <c r="F172" s="511">
        <f t="shared" si="28"/>
        <v>32.72</v>
      </c>
      <c r="G172" s="314" t="s">
        <v>4205</v>
      </c>
      <c r="H172" s="518" t="s">
        <v>13167</v>
      </c>
      <c r="I172" s="452" t="s">
        <v>11566</v>
      </c>
      <c r="J172" s="369" t="s">
        <v>753</v>
      </c>
      <c r="K172" s="452" t="s">
        <v>741</v>
      </c>
    </row>
    <row r="173" spans="1:11" s="317" customFormat="1">
      <c r="A173" s="369"/>
      <c r="B173" s="144" t="s">
        <v>986</v>
      </c>
      <c r="C173" s="196">
        <v>111.5</v>
      </c>
      <c r="D173" s="230">
        <f t="shared" si="29"/>
        <v>32.711104477611926</v>
      </c>
      <c r="E173" s="215"/>
      <c r="F173" s="511">
        <f t="shared" si="28"/>
        <v>32.72</v>
      </c>
      <c r="G173" s="314" t="s">
        <v>4206</v>
      </c>
      <c r="H173" s="518" t="s">
        <v>13168</v>
      </c>
      <c r="I173" s="452" t="s">
        <v>11566</v>
      </c>
      <c r="J173" s="369" t="s">
        <v>753</v>
      </c>
      <c r="K173" s="452" t="s">
        <v>741</v>
      </c>
    </row>
    <row r="174" spans="1:11" s="317" customFormat="1">
      <c r="A174" s="369"/>
      <c r="B174" s="144" t="s">
        <v>989</v>
      </c>
      <c r="C174" s="196">
        <v>111.5</v>
      </c>
      <c r="D174" s="230">
        <f t="shared" si="29"/>
        <v>32.711104477611926</v>
      </c>
      <c r="E174" s="215"/>
      <c r="F174" s="511">
        <f t="shared" si="28"/>
        <v>32.72</v>
      </c>
      <c r="G174" s="314" t="s">
        <v>4207</v>
      </c>
      <c r="H174" s="518" t="s">
        <v>13169</v>
      </c>
      <c r="I174" s="452" t="s">
        <v>11566</v>
      </c>
      <c r="J174" s="369" t="s">
        <v>753</v>
      </c>
      <c r="K174" s="452" t="s">
        <v>741</v>
      </c>
    </row>
    <row r="175" spans="1:11" s="317" customFormat="1">
      <c r="A175" s="369"/>
      <c r="B175" s="144" t="s">
        <v>981</v>
      </c>
      <c r="C175" s="196">
        <v>112.6</v>
      </c>
      <c r="D175" s="230">
        <f t="shared" si="29"/>
        <v>33.033814925373122</v>
      </c>
      <c r="E175" s="215"/>
      <c r="F175" s="511">
        <f t="shared" si="28"/>
        <v>33.04</v>
      </c>
      <c r="G175" s="314" t="s">
        <v>4208</v>
      </c>
      <c r="H175" s="518" t="s">
        <v>13170</v>
      </c>
      <c r="I175" s="452" t="s">
        <v>11566</v>
      </c>
      <c r="J175" s="369" t="s">
        <v>753</v>
      </c>
      <c r="K175" s="452" t="s">
        <v>741</v>
      </c>
    </row>
    <row r="176" spans="1:11" s="317" customFormat="1">
      <c r="A176" s="369"/>
      <c r="B176" s="144" t="s">
        <v>997</v>
      </c>
      <c r="C176" s="196">
        <v>150</v>
      </c>
      <c r="D176" s="230">
        <f t="shared" si="29"/>
        <v>44.00597014925372</v>
      </c>
      <c r="E176" s="215"/>
      <c r="F176" s="511">
        <f t="shared" si="28"/>
        <v>44.01</v>
      </c>
      <c r="G176" s="314" t="s">
        <v>4209</v>
      </c>
      <c r="H176" s="518" t="s">
        <v>13171</v>
      </c>
      <c r="I176" s="452" t="s">
        <v>11566</v>
      </c>
      <c r="J176" s="369" t="s">
        <v>753</v>
      </c>
      <c r="K176" s="452" t="s">
        <v>741</v>
      </c>
    </row>
    <row r="177" spans="1:11" s="317" customFormat="1">
      <c r="A177" s="369"/>
      <c r="B177" s="144" t="s">
        <v>985</v>
      </c>
      <c r="C177" s="196">
        <v>150</v>
      </c>
      <c r="D177" s="230">
        <f t="shared" si="29"/>
        <v>44.00597014925372</v>
      </c>
      <c r="E177" s="215"/>
      <c r="F177" s="511">
        <f t="shared" si="28"/>
        <v>44.01</v>
      </c>
      <c r="G177" s="314" t="s">
        <v>4210</v>
      </c>
      <c r="H177" s="518" t="s">
        <v>13172</v>
      </c>
      <c r="I177" s="452" t="s">
        <v>11566</v>
      </c>
      <c r="J177" s="369" t="s">
        <v>753</v>
      </c>
      <c r="K177" s="452" t="s">
        <v>741</v>
      </c>
    </row>
    <row r="178" spans="1:11" s="317" customFormat="1">
      <c r="A178" s="369"/>
      <c r="B178" s="144" t="s">
        <v>982</v>
      </c>
      <c r="C178" s="196">
        <v>150</v>
      </c>
      <c r="D178" s="230">
        <f t="shared" si="29"/>
        <v>44.00597014925372</v>
      </c>
      <c r="E178" s="215"/>
      <c r="F178" s="511">
        <f t="shared" si="28"/>
        <v>44.01</v>
      </c>
      <c r="G178" s="314" t="s">
        <v>4211</v>
      </c>
      <c r="H178" s="518" t="s">
        <v>13173</v>
      </c>
      <c r="I178" s="452" t="s">
        <v>11566</v>
      </c>
      <c r="J178" s="369" t="s">
        <v>753</v>
      </c>
      <c r="K178" s="452" t="s">
        <v>741</v>
      </c>
    </row>
    <row r="179" spans="1:11">
      <c r="A179" s="369"/>
      <c r="B179" s="144" t="s">
        <v>5260</v>
      </c>
      <c r="C179" s="196">
        <v>320.40000000000003</v>
      </c>
      <c r="D179" s="230">
        <f t="shared" si="29"/>
        <v>93.996752238805968</v>
      </c>
      <c r="E179" s="215"/>
      <c r="F179" s="511">
        <f t="shared" si="28"/>
        <v>94</v>
      </c>
      <c r="G179" s="314" t="s">
        <v>5261</v>
      </c>
      <c r="H179" s="518" t="s">
        <v>5262</v>
      </c>
      <c r="I179" s="452" t="s">
        <v>11566</v>
      </c>
      <c r="J179" s="369" t="s">
        <v>753</v>
      </c>
      <c r="K179" s="452" t="s">
        <v>741</v>
      </c>
    </row>
    <row r="180" spans="1:11">
      <c r="A180" s="369"/>
      <c r="B180" s="144" t="s">
        <v>5263</v>
      </c>
      <c r="C180" s="196">
        <v>340.8</v>
      </c>
      <c r="D180" s="230">
        <f t="shared" si="29"/>
        <v>99.981564179104438</v>
      </c>
      <c r="E180" s="215"/>
      <c r="F180" s="511">
        <f t="shared" si="28"/>
        <v>99.990000000000009</v>
      </c>
      <c r="G180" s="314" t="s">
        <v>5264</v>
      </c>
      <c r="H180" s="518" t="s">
        <v>5265</v>
      </c>
      <c r="I180" s="452" t="s">
        <v>11566</v>
      </c>
      <c r="J180" s="369" t="s">
        <v>753</v>
      </c>
      <c r="K180" s="452" t="s">
        <v>741</v>
      </c>
    </row>
    <row r="181" spans="1:11" s="317" customFormat="1">
      <c r="A181" s="369"/>
      <c r="B181" s="144"/>
      <c r="C181" s="196" t="s">
        <v>2024</v>
      </c>
      <c r="D181" s="230"/>
      <c r="E181" s="215"/>
      <c r="F181" s="511">
        <f t="shared" si="28"/>
        <v>0</v>
      </c>
      <c r="G181" s="314"/>
      <c r="H181" s="518"/>
      <c r="I181" s="452"/>
      <c r="J181" s="369"/>
      <c r="K181" s="452"/>
    </row>
    <row r="182" spans="1:11" s="317" customFormat="1">
      <c r="A182" s="369"/>
      <c r="B182" s="144" t="s">
        <v>9055</v>
      </c>
      <c r="C182" s="196">
        <v>166</v>
      </c>
      <c r="D182" s="230">
        <f>C182*(1-VLOOKUP(I182,descuentos,6,FALSE))*fcl/IF(dol_sol="dólar", TC,1)</f>
        <v>48.699940298507457</v>
      </c>
      <c r="E182" s="215"/>
      <c r="F182" s="511">
        <f t="shared" si="28"/>
        <v>48.699999999999996</v>
      </c>
      <c r="G182" s="314" t="s">
        <v>12279</v>
      </c>
      <c r="H182" s="518" t="s">
        <v>13174</v>
      </c>
      <c r="I182" s="452" t="s">
        <v>11566</v>
      </c>
      <c r="J182" s="369" t="s">
        <v>753</v>
      </c>
      <c r="K182" s="452" t="s">
        <v>741</v>
      </c>
    </row>
    <row r="183" spans="1:11" s="317" customFormat="1">
      <c r="A183" s="369"/>
      <c r="B183" s="144" t="s">
        <v>988</v>
      </c>
      <c r="C183" s="196">
        <v>166</v>
      </c>
      <c r="D183" s="230">
        <f t="shared" ref="D183:D189" si="30">C183*(1-VLOOKUP(I183,descuentos,6,FALSE))*fcl/IF(dol_sol="dólar", TC,1)</f>
        <v>48.699940298507457</v>
      </c>
      <c r="E183" s="215"/>
      <c r="F183" s="511">
        <f t="shared" si="28"/>
        <v>48.699999999999996</v>
      </c>
      <c r="G183" s="314" t="s">
        <v>12280</v>
      </c>
      <c r="H183" s="518" t="s">
        <v>13175</v>
      </c>
      <c r="I183" s="452" t="s">
        <v>11566</v>
      </c>
      <c r="J183" s="369" t="s">
        <v>753</v>
      </c>
      <c r="K183" s="452" t="s">
        <v>741</v>
      </c>
    </row>
    <row r="184" spans="1:11" s="317" customFormat="1">
      <c r="A184" s="369"/>
      <c r="B184" s="144" t="s">
        <v>991</v>
      </c>
      <c r="C184" s="196">
        <v>166</v>
      </c>
      <c r="D184" s="230">
        <f t="shared" si="30"/>
        <v>48.699940298507457</v>
      </c>
      <c r="E184" s="215"/>
      <c r="F184" s="511">
        <f t="shared" si="28"/>
        <v>48.699999999999996</v>
      </c>
      <c r="G184" s="314" t="s">
        <v>12281</v>
      </c>
      <c r="H184" s="518" t="s">
        <v>13176</v>
      </c>
      <c r="I184" s="452" t="s">
        <v>11566</v>
      </c>
      <c r="J184" s="369" t="s">
        <v>753</v>
      </c>
      <c r="K184" s="452" t="s">
        <v>741</v>
      </c>
    </row>
    <row r="185" spans="1:11" s="317" customFormat="1">
      <c r="A185" s="369"/>
      <c r="B185" s="144" t="s">
        <v>998</v>
      </c>
      <c r="C185" s="196">
        <v>166</v>
      </c>
      <c r="D185" s="230">
        <f t="shared" si="30"/>
        <v>48.699940298507457</v>
      </c>
      <c r="E185" s="215"/>
      <c r="F185" s="511">
        <f t="shared" si="28"/>
        <v>48.699999999999996</v>
      </c>
      <c r="G185" s="314" t="s">
        <v>12282</v>
      </c>
      <c r="H185" s="518" t="s">
        <v>13177</v>
      </c>
      <c r="I185" s="452" t="s">
        <v>11566</v>
      </c>
      <c r="J185" s="369" t="s">
        <v>753</v>
      </c>
      <c r="K185" s="452" t="s">
        <v>741</v>
      </c>
    </row>
    <row r="186" spans="1:11" s="317" customFormat="1">
      <c r="A186" s="369"/>
      <c r="B186" s="144" t="s">
        <v>987</v>
      </c>
      <c r="C186" s="196">
        <v>166</v>
      </c>
      <c r="D186" s="230">
        <f t="shared" si="30"/>
        <v>48.699940298507457</v>
      </c>
      <c r="E186" s="215"/>
      <c r="F186" s="511">
        <f t="shared" si="28"/>
        <v>48.699999999999996</v>
      </c>
      <c r="G186" s="314" t="s">
        <v>12283</v>
      </c>
      <c r="H186" s="518" t="s">
        <v>13178</v>
      </c>
      <c r="I186" s="452" t="s">
        <v>11566</v>
      </c>
      <c r="J186" s="369" t="s">
        <v>753</v>
      </c>
      <c r="K186" s="452" t="s">
        <v>741</v>
      </c>
    </row>
    <row r="187" spans="1:11" s="317" customFormat="1">
      <c r="A187" s="369"/>
      <c r="B187" s="144" t="s">
        <v>999</v>
      </c>
      <c r="C187" s="196">
        <v>224</v>
      </c>
      <c r="D187" s="230">
        <f t="shared" si="30"/>
        <v>65.715582089552214</v>
      </c>
      <c r="E187" s="215"/>
      <c r="F187" s="511">
        <f t="shared" si="28"/>
        <v>65.72</v>
      </c>
      <c r="G187" s="314" t="s">
        <v>12284</v>
      </c>
      <c r="H187" s="518" t="s">
        <v>13179</v>
      </c>
      <c r="I187" s="452" t="s">
        <v>11566</v>
      </c>
      <c r="J187" s="369" t="s">
        <v>753</v>
      </c>
      <c r="K187" s="452" t="s">
        <v>741</v>
      </c>
    </row>
    <row r="188" spans="1:11" s="317" customFormat="1">
      <c r="A188" s="369"/>
      <c r="B188" s="144" t="s">
        <v>1000</v>
      </c>
      <c r="C188" s="196">
        <v>224</v>
      </c>
      <c r="D188" s="230">
        <f t="shared" si="30"/>
        <v>65.715582089552214</v>
      </c>
      <c r="E188" s="215"/>
      <c r="F188" s="511">
        <f t="shared" si="28"/>
        <v>65.72</v>
      </c>
      <c r="G188" s="314" t="s">
        <v>12285</v>
      </c>
      <c r="H188" s="518" t="s">
        <v>13180</v>
      </c>
      <c r="I188" s="452" t="s">
        <v>11566</v>
      </c>
      <c r="J188" s="369" t="s">
        <v>753</v>
      </c>
      <c r="K188" s="452" t="s">
        <v>741</v>
      </c>
    </row>
    <row r="189" spans="1:11" s="317" customFormat="1">
      <c r="A189" s="369"/>
      <c r="B189" s="144" t="s">
        <v>1001</v>
      </c>
      <c r="C189" s="196">
        <v>224</v>
      </c>
      <c r="D189" s="230">
        <f t="shared" si="30"/>
        <v>65.715582089552214</v>
      </c>
      <c r="E189" s="215"/>
      <c r="F189" s="511">
        <f t="shared" si="28"/>
        <v>65.72</v>
      </c>
      <c r="G189" s="314" t="s">
        <v>12286</v>
      </c>
      <c r="H189" s="518" t="s">
        <v>13181</v>
      </c>
      <c r="I189" s="452" t="s">
        <v>11566</v>
      </c>
      <c r="J189" s="369" t="s">
        <v>753</v>
      </c>
      <c r="K189" s="452" t="s">
        <v>741</v>
      </c>
    </row>
    <row r="190" spans="1:11" s="317" customFormat="1">
      <c r="A190" s="369"/>
      <c r="B190" s="144"/>
      <c r="C190" s="196" t="s">
        <v>2024</v>
      </c>
      <c r="D190" s="230"/>
      <c r="E190" s="215"/>
      <c r="F190" s="511">
        <f t="shared" si="28"/>
        <v>0</v>
      </c>
      <c r="G190" s="314"/>
      <c r="H190" s="518"/>
      <c r="I190" s="452"/>
      <c r="J190" s="369"/>
      <c r="K190" s="452"/>
    </row>
    <row r="191" spans="1:11" s="317" customFormat="1">
      <c r="A191" s="369"/>
      <c r="B191" s="144" t="s">
        <v>990</v>
      </c>
      <c r="C191" s="196">
        <v>279</v>
      </c>
      <c r="D191" s="230">
        <f t="shared" ref="D191:D197" si="31">C191*(1-VLOOKUP(I191,descuentos,6,FALSE))*fcl/IF(dol_sol="dólar", TC,1)</f>
        <v>81.851104477611912</v>
      </c>
      <c r="E191" s="215"/>
      <c r="F191" s="511">
        <f t="shared" si="28"/>
        <v>81.86</v>
      </c>
      <c r="G191" s="314" t="s">
        <v>4212</v>
      </c>
      <c r="H191" s="1656" t="s">
        <v>1497</v>
      </c>
      <c r="I191" s="452" t="s">
        <v>11566</v>
      </c>
      <c r="J191" s="369" t="s">
        <v>753</v>
      </c>
      <c r="K191" s="452" t="s">
        <v>741</v>
      </c>
    </row>
    <row r="192" spans="1:11" s="317" customFormat="1">
      <c r="A192" s="369"/>
      <c r="B192" s="144" t="s">
        <v>1017</v>
      </c>
      <c r="C192" s="196">
        <v>279</v>
      </c>
      <c r="D192" s="230">
        <f t="shared" si="31"/>
        <v>81.851104477611912</v>
      </c>
      <c r="E192" s="215"/>
      <c r="F192" s="511">
        <f t="shared" si="28"/>
        <v>81.86</v>
      </c>
      <c r="G192" s="314" t="s">
        <v>4213</v>
      </c>
      <c r="H192" s="1656" t="s">
        <v>1498</v>
      </c>
      <c r="I192" s="452" t="s">
        <v>11566</v>
      </c>
      <c r="J192" s="369" t="s">
        <v>753</v>
      </c>
      <c r="K192" s="452" t="s">
        <v>741</v>
      </c>
    </row>
    <row r="193" spans="1:11" s="317" customFormat="1">
      <c r="A193" s="369"/>
      <c r="B193" s="144" t="s">
        <v>1018</v>
      </c>
      <c r="C193" s="196">
        <v>279</v>
      </c>
      <c r="D193" s="230">
        <f t="shared" si="31"/>
        <v>81.851104477611912</v>
      </c>
      <c r="E193" s="215"/>
      <c r="F193" s="511">
        <f t="shared" si="28"/>
        <v>81.86</v>
      </c>
      <c r="G193" s="314" t="s">
        <v>4214</v>
      </c>
      <c r="H193" s="1656" t="s">
        <v>1499</v>
      </c>
      <c r="I193" s="452" t="s">
        <v>11566</v>
      </c>
      <c r="J193" s="369" t="s">
        <v>753</v>
      </c>
      <c r="K193" s="452" t="s">
        <v>741</v>
      </c>
    </row>
    <row r="194" spans="1:11" s="317" customFormat="1">
      <c r="A194" s="369"/>
      <c r="B194" s="144" t="s">
        <v>1019</v>
      </c>
      <c r="C194" s="196">
        <v>279</v>
      </c>
      <c r="D194" s="230">
        <f t="shared" si="31"/>
        <v>81.851104477611912</v>
      </c>
      <c r="E194" s="215"/>
      <c r="F194" s="511">
        <f t="shared" si="28"/>
        <v>81.86</v>
      </c>
      <c r="G194" s="314" t="s">
        <v>4215</v>
      </c>
      <c r="H194" s="1656" t="s">
        <v>1500</v>
      </c>
      <c r="I194" s="452" t="s">
        <v>11566</v>
      </c>
      <c r="J194" s="369" t="s">
        <v>753</v>
      </c>
      <c r="K194" s="452" t="s">
        <v>741</v>
      </c>
    </row>
    <row r="195" spans="1:11" s="317" customFormat="1">
      <c r="A195" s="369"/>
      <c r="B195" s="144" t="s">
        <v>1020</v>
      </c>
      <c r="C195" s="196">
        <v>360</v>
      </c>
      <c r="D195" s="230">
        <f t="shared" si="31"/>
        <v>105.61432835820894</v>
      </c>
      <c r="E195" s="215"/>
      <c r="F195" s="511">
        <f t="shared" si="28"/>
        <v>105.62</v>
      </c>
      <c r="G195" s="314" t="s">
        <v>4216</v>
      </c>
      <c r="H195" s="1656" t="s">
        <v>1501</v>
      </c>
      <c r="I195" s="452" t="s">
        <v>11566</v>
      </c>
      <c r="J195" s="369" t="s">
        <v>753</v>
      </c>
      <c r="K195" s="452" t="s">
        <v>741</v>
      </c>
    </row>
    <row r="196" spans="1:11" s="317" customFormat="1">
      <c r="A196" s="369"/>
      <c r="B196" s="144" t="s">
        <v>983</v>
      </c>
      <c r="C196" s="196">
        <v>378</v>
      </c>
      <c r="D196" s="230">
        <f t="shared" si="31"/>
        <v>110.89504477611936</v>
      </c>
      <c r="E196" s="215"/>
      <c r="F196" s="511">
        <f t="shared" si="28"/>
        <v>110.9</v>
      </c>
      <c r="G196" s="314" t="s">
        <v>4217</v>
      </c>
      <c r="H196" s="1656" t="s">
        <v>1502</v>
      </c>
      <c r="I196" s="452" t="s">
        <v>11566</v>
      </c>
      <c r="J196" s="369" t="s">
        <v>753</v>
      </c>
      <c r="K196" s="452" t="s">
        <v>741</v>
      </c>
    </row>
    <row r="197" spans="1:11" s="317" customFormat="1">
      <c r="A197" s="369"/>
      <c r="B197" s="144" t="s">
        <v>1021</v>
      </c>
      <c r="C197" s="196">
        <v>378</v>
      </c>
      <c r="D197" s="230">
        <f t="shared" si="31"/>
        <v>110.89504477611936</v>
      </c>
      <c r="E197" s="215"/>
      <c r="F197" s="511">
        <f t="shared" si="28"/>
        <v>110.9</v>
      </c>
      <c r="G197" s="314" t="s">
        <v>4218</v>
      </c>
      <c r="H197" s="1656" t="s">
        <v>1503</v>
      </c>
      <c r="I197" s="452" t="s">
        <v>11566</v>
      </c>
      <c r="J197" s="369" t="s">
        <v>753</v>
      </c>
      <c r="K197" s="452" t="s">
        <v>741</v>
      </c>
    </row>
    <row r="198" spans="1:11" s="317" customFormat="1">
      <c r="A198" s="369"/>
      <c r="B198" s="144"/>
      <c r="C198" s="196" t="s">
        <v>2024</v>
      </c>
      <c r="D198" s="230"/>
      <c r="E198" s="215"/>
      <c r="F198" s="511">
        <f t="shared" si="28"/>
        <v>0</v>
      </c>
      <c r="G198" s="314"/>
      <c r="H198" s="518"/>
      <c r="I198" s="452"/>
      <c r="J198" s="369"/>
      <c r="K198" s="452"/>
    </row>
    <row r="199" spans="1:11" s="185" customFormat="1">
      <c r="A199" s="1374"/>
      <c r="B199" s="144" t="s">
        <v>5232</v>
      </c>
      <c r="C199" s="196">
        <v>203</v>
      </c>
      <c r="D199" s="230">
        <f t="shared" ref="D199:D207" si="32">C199*(1-VLOOKUP(I199,descuentos,6,FALSE))*fcl/TC</f>
        <v>59.554746268656707</v>
      </c>
      <c r="E199" s="215"/>
      <c r="F199" s="511">
        <f t="shared" si="28"/>
        <v>59.559999999999995</v>
      </c>
      <c r="G199" s="314" t="s">
        <v>5233</v>
      </c>
      <c r="H199" s="518" t="s">
        <v>13182</v>
      </c>
      <c r="I199" s="452" t="s">
        <v>11566</v>
      </c>
      <c r="J199" s="369" t="s">
        <v>753</v>
      </c>
      <c r="K199" s="452" t="s">
        <v>741</v>
      </c>
    </row>
    <row r="200" spans="1:11" s="185" customFormat="1">
      <c r="A200" s="1374"/>
      <c r="B200" s="144" t="s">
        <v>5234</v>
      </c>
      <c r="C200" s="196">
        <v>165</v>
      </c>
      <c r="D200" s="230">
        <f t="shared" si="32"/>
        <v>48.406567164179087</v>
      </c>
      <c r="E200" s="215"/>
      <c r="F200" s="511">
        <f t="shared" si="28"/>
        <v>48.41</v>
      </c>
      <c r="G200" s="314" t="s">
        <v>5235</v>
      </c>
      <c r="H200" s="518" t="s">
        <v>13183</v>
      </c>
      <c r="I200" s="452" t="s">
        <v>11566</v>
      </c>
      <c r="J200" s="369" t="s">
        <v>753</v>
      </c>
      <c r="K200" s="452" t="s">
        <v>741</v>
      </c>
    </row>
    <row r="201" spans="1:11" s="185" customFormat="1">
      <c r="A201" s="1374"/>
      <c r="B201" s="144" t="s">
        <v>5236</v>
      </c>
      <c r="C201" s="196">
        <v>165</v>
      </c>
      <c r="D201" s="230">
        <f t="shared" si="32"/>
        <v>48.406567164179087</v>
      </c>
      <c r="E201" s="215"/>
      <c r="F201" s="511">
        <f t="shared" si="28"/>
        <v>48.41</v>
      </c>
      <c r="G201" s="314" t="s">
        <v>5237</v>
      </c>
      <c r="H201" s="518" t="s">
        <v>13184</v>
      </c>
      <c r="I201" s="452" t="s">
        <v>11566</v>
      </c>
      <c r="J201" s="369" t="s">
        <v>753</v>
      </c>
      <c r="K201" s="452" t="s">
        <v>741</v>
      </c>
    </row>
    <row r="202" spans="1:11" s="185" customFormat="1">
      <c r="A202" s="1374"/>
      <c r="B202" s="144" t="s">
        <v>5238</v>
      </c>
      <c r="C202" s="196">
        <v>165</v>
      </c>
      <c r="D202" s="230">
        <f t="shared" si="32"/>
        <v>48.406567164179087</v>
      </c>
      <c r="E202" s="215"/>
      <c r="F202" s="511">
        <f t="shared" si="28"/>
        <v>48.41</v>
      </c>
      <c r="G202" s="314" t="s">
        <v>5239</v>
      </c>
      <c r="H202" s="518" t="s">
        <v>13185</v>
      </c>
      <c r="I202" s="452" t="s">
        <v>11566</v>
      </c>
      <c r="J202" s="369" t="s">
        <v>753</v>
      </c>
      <c r="K202" s="452" t="s">
        <v>741</v>
      </c>
    </row>
    <row r="203" spans="1:11" s="185" customFormat="1">
      <c r="A203" s="1374"/>
      <c r="B203" s="144" t="s">
        <v>5240</v>
      </c>
      <c r="C203" s="196">
        <v>165</v>
      </c>
      <c r="D203" s="230">
        <f t="shared" si="32"/>
        <v>48.406567164179087</v>
      </c>
      <c r="E203" s="215"/>
      <c r="F203" s="511">
        <f t="shared" si="28"/>
        <v>48.41</v>
      </c>
      <c r="G203" s="314" t="s">
        <v>5241</v>
      </c>
      <c r="H203" s="518" t="s">
        <v>13186</v>
      </c>
      <c r="I203" s="452" t="s">
        <v>11566</v>
      </c>
      <c r="J203" s="369" t="s">
        <v>753</v>
      </c>
      <c r="K203" s="452" t="s">
        <v>741</v>
      </c>
    </row>
    <row r="204" spans="1:11">
      <c r="A204" s="1374"/>
      <c r="B204" s="144" t="s">
        <v>5242</v>
      </c>
      <c r="C204" s="196">
        <v>165</v>
      </c>
      <c r="D204" s="230">
        <f t="shared" si="32"/>
        <v>48.406567164179087</v>
      </c>
      <c r="E204" s="215"/>
      <c r="F204" s="511">
        <f t="shared" si="28"/>
        <v>48.41</v>
      </c>
      <c r="G204" s="314" t="s">
        <v>5243</v>
      </c>
      <c r="H204" s="518" t="s">
        <v>13187</v>
      </c>
      <c r="I204" s="452" t="s">
        <v>11566</v>
      </c>
      <c r="J204" s="369" t="s">
        <v>753</v>
      </c>
      <c r="K204" s="452" t="s">
        <v>741</v>
      </c>
    </row>
    <row r="205" spans="1:11">
      <c r="A205" s="1374"/>
      <c r="B205" s="144" t="s">
        <v>5244</v>
      </c>
      <c r="C205" s="196">
        <v>240</v>
      </c>
      <c r="D205" s="230">
        <f t="shared" si="32"/>
        <v>70.409552238805944</v>
      </c>
      <c r="E205" s="215"/>
      <c r="F205" s="511">
        <f t="shared" si="28"/>
        <v>70.410000000000011</v>
      </c>
      <c r="G205" s="314" t="s">
        <v>5245</v>
      </c>
      <c r="H205" s="518" t="s">
        <v>13188</v>
      </c>
      <c r="I205" s="452" t="s">
        <v>11566</v>
      </c>
      <c r="J205" s="369" t="s">
        <v>753</v>
      </c>
      <c r="K205" s="452" t="s">
        <v>741</v>
      </c>
    </row>
    <row r="206" spans="1:11">
      <c r="A206" s="1374"/>
      <c r="B206" s="144" t="s">
        <v>5246</v>
      </c>
      <c r="C206" s="196">
        <v>240</v>
      </c>
      <c r="D206" s="230">
        <f t="shared" si="32"/>
        <v>70.409552238805944</v>
      </c>
      <c r="E206" s="215"/>
      <c r="F206" s="511">
        <f t="shared" si="28"/>
        <v>70.410000000000011</v>
      </c>
      <c r="G206" s="314" t="s">
        <v>5247</v>
      </c>
      <c r="H206" s="518" t="s">
        <v>13189</v>
      </c>
      <c r="I206" s="452" t="s">
        <v>11566</v>
      </c>
      <c r="J206" s="369" t="s">
        <v>753</v>
      </c>
      <c r="K206" s="452" t="s">
        <v>741</v>
      </c>
    </row>
    <row r="207" spans="1:11" s="185" customFormat="1">
      <c r="A207" s="1374"/>
      <c r="B207" s="144" t="s">
        <v>5248</v>
      </c>
      <c r="C207" s="196">
        <v>240</v>
      </c>
      <c r="D207" s="230">
        <f t="shared" si="32"/>
        <v>70.409552238805944</v>
      </c>
      <c r="E207" s="215"/>
      <c r="F207" s="511">
        <f t="shared" si="28"/>
        <v>70.410000000000011</v>
      </c>
      <c r="G207" s="314" t="s">
        <v>5249</v>
      </c>
      <c r="H207" s="518" t="s">
        <v>13190</v>
      </c>
      <c r="I207" s="452" t="s">
        <v>11566</v>
      </c>
      <c r="J207" s="369" t="s">
        <v>753</v>
      </c>
      <c r="K207" s="452" t="s">
        <v>741</v>
      </c>
    </row>
    <row r="208" spans="1:11" s="185" customFormat="1">
      <c r="A208" s="369"/>
      <c r="B208" s="144"/>
      <c r="C208" s="196" t="s">
        <v>2024</v>
      </c>
      <c r="D208" s="230"/>
      <c r="E208" s="215"/>
      <c r="F208" s="511"/>
      <c r="G208" s="314"/>
      <c r="H208" s="518"/>
      <c r="I208" s="452"/>
      <c r="J208" s="369"/>
      <c r="K208" s="452"/>
    </row>
    <row r="209" spans="1:11" s="317" customFormat="1">
      <c r="A209" s="369"/>
      <c r="B209" s="418" t="s">
        <v>1965</v>
      </c>
      <c r="C209" s="346">
        <v>155</v>
      </c>
      <c r="D209" s="345">
        <f t="shared" ref="D209:D216" si="33">C209*(1-VLOOKUP(I209,descuentos,6,FALSE))*fcl/IF(dol_sol="dólar", TC,1)</f>
        <v>45.472835820895504</v>
      </c>
      <c r="E209" s="343"/>
      <c r="F209" s="508">
        <f t="shared" ref="F209:F217" si="34">ROUNDUP(D209+E209,2)</f>
        <v>45.48</v>
      </c>
      <c r="G209" s="351" t="s">
        <v>4219</v>
      </c>
      <c r="H209" s="518" t="s">
        <v>13191</v>
      </c>
      <c r="I209" s="452" t="s">
        <v>11566</v>
      </c>
      <c r="J209" s="369" t="s">
        <v>753</v>
      </c>
      <c r="K209" s="452" t="s">
        <v>741</v>
      </c>
    </row>
    <row r="210" spans="1:11" s="317" customFormat="1">
      <c r="A210" s="369"/>
      <c r="B210" s="418" t="s">
        <v>1966</v>
      </c>
      <c r="C210" s="346">
        <v>141</v>
      </c>
      <c r="D210" s="345">
        <f t="shared" si="33"/>
        <v>41.365611940298493</v>
      </c>
      <c r="E210" s="343"/>
      <c r="F210" s="508">
        <f t="shared" si="34"/>
        <v>41.37</v>
      </c>
      <c r="G210" s="351" t="s">
        <v>4220</v>
      </c>
      <c r="H210" s="518" t="s">
        <v>13192</v>
      </c>
      <c r="I210" s="452" t="s">
        <v>11566</v>
      </c>
      <c r="J210" s="369" t="s">
        <v>753</v>
      </c>
      <c r="K210" s="452" t="s">
        <v>741</v>
      </c>
    </row>
    <row r="211" spans="1:11" s="317" customFormat="1">
      <c r="A211" s="369"/>
      <c r="B211" s="418" t="s">
        <v>1967</v>
      </c>
      <c r="C211" s="346">
        <v>141</v>
      </c>
      <c r="D211" s="345">
        <f t="shared" si="33"/>
        <v>41.365611940298493</v>
      </c>
      <c r="E211" s="343"/>
      <c r="F211" s="508">
        <f t="shared" si="34"/>
        <v>41.37</v>
      </c>
      <c r="G211" s="351" t="s">
        <v>4221</v>
      </c>
      <c r="H211" s="518" t="s">
        <v>13193</v>
      </c>
      <c r="I211" s="452" t="s">
        <v>11566</v>
      </c>
      <c r="J211" s="369" t="s">
        <v>753</v>
      </c>
      <c r="K211" s="452" t="s">
        <v>741</v>
      </c>
    </row>
    <row r="212" spans="1:11" s="317" customFormat="1">
      <c r="A212" s="369"/>
      <c r="B212" s="418" t="s">
        <v>1968</v>
      </c>
      <c r="C212" s="346">
        <v>141</v>
      </c>
      <c r="D212" s="345">
        <f t="shared" si="33"/>
        <v>41.365611940298493</v>
      </c>
      <c r="E212" s="343"/>
      <c r="F212" s="508">
        <f t="shared" si="34"/>
        <v>41.37</v>
      </c>
      <c r="G212" s="351" t="s">
        <v>4222</v>
      </c>
      <c r="H212" s="518" t="s">
        <v>13194</v>
      </c>
      <c r="I212" s="452" t="s">
        <v>11566</v>
      </c>
      <c r="J212" s="369" t="s">
        <v>753</v>
      </c>
      <c r="K212" s="452" t="s">
        <v>741</v>
      </c>
    </row>
    <row r="213" spans="1:11" s="317" customFormat="1">
      <c r="A213" s="369"/>
      <c r="B213" s="418" t="s">
        <v>1969</v>
      </c>
      <c r="C213" s="346">
        <v>141</v>
      </c>
      <c r="D213" s="345">
        <f t="shared" si="33"/>
        <v>41.365611940298493</v>
      </c>
      <c r="E213" s="343"/>
      <c r="F213" s="508">
        <f t="shared" si="34"/>
        <v>41.37</v>
      </c>
      <c r="G213" s="351" t="s">
        <v>4223</v>
      </c>
      <c r="H213" s="518" t="s">
        <v>13195</v>
      </c>
      <c r="I213" s="452" t="s">
        <v>11566</v>
      </c>
      <c r="J213" s="369" t="s">
        <v>753</v>
      </c>
      <c r="K213" s="452" t="s">
        <v>741</v>
      </c>
    </row>
    <row r="214" spans="1:11" s="317" customFormat="1">
      <c r="A214" s="369"/>
      <c r="B214" s="418" t="s">
        <v>1970</v>
      </c>
      <c r="C214" s="346">
        <v>199</v>
      </c>
      <c r="D214" s="345">
        <f t="shared" si="33"/>
        <v>58.381253731343264</v>
      </c>
      <c r="E214" s="343"/>
      <c r="F214" s="508">
        <f t="shared" si="34"/>
        <v>58.39</v>
      </c>
      <c r="G214" s="351" t="s">
        <v>4224</v>
      </c>
      <c r="H214" s="518" t="s">
        <v>13196</v>
      </c>
      <c r="I214" s="452" t="s">
        <v>11566</v>
      </c>
      <c r="J214" s="369" t="s">
        <v>753</v>
      </c>
      <c r="K214" s="452" t="s">
        <v>741</v>
      </c>
    </row>
    <row r="215" spans="1:11" s="317" customFormat="1">
      <c r="A215" s="369"/>
      <c r="B215" s="418" t="s">
        <v>1971</v>
      </c>
      <c r="C215" s="346">
        <v>199</v>
      </c>
      <c r="D215" s="345">
        <f t="shared" si="33"/>
        <v>58.381253731343264</v>
      </c>
      <c r="E215" s="343"/>
      <c r="F215" s="508">
        <f t="shared" si="34"/>
        <v>58.39</v>
      </c>
      <c r="G215" s="351" t="s">
        <v>4225</v>
      </c>
      <c r="H215" s="518" t="s">
        <v>13197</v>
      </c>
      <c r="I215" s="452" t="s">
        <v>11566</v>
      </c>
      <c r="J215" s="369" t="s">
        <v>753</v>
      </c>
      <c r="K215" s="452" t="s">
        <v>741</v>
      </c>
    </row>
    <row r="216" spans="1:11" s="317" customFormat="1">
      <c r="A216" s="369"/>
      <c r="B216" s="418" t="s">
        <v>1972</v>
      </c>
      <c r="C216" s="346">
        <v>199</v>
      </c>
      <c r="D216" s="345">
        <f t="shared" si="33"/>
        <v>58.381253731343264</v>
      </c>
      <c r="E216" s="343"/>
      <c r="F216" s="508">
        <f t="shared" si="34"/>
        <v>58.39</v>
      </c>
      <c r="G216" s="351" t="s">
        <v>4226</v>
      </c>
      <c r="H216" s="518" t="s">
        <v>13198</v>
      </c>
      <c r="I216" s="452" t="s">
        <v>11566</v>
      </c>
      <c r="J216" s="369" t="s">
        <v>753</v>
      </c>
      <c r="K216" s="452" t="s">
        <v>741</v>
      </c>
    </row>
    <row r="217" spans="1:11" s="317" customFormat="1">
      <c r="A217" s="369"/>
      <c r="B217" s="144"/>
      <c r="C217" s="196" t="s">
        <v>2024</v>
      </c>
      <c r="D217" s="230"/>
      <c r="E217" s="215"/>
      <c r="F217" s="511">
        <f t="shared" si="34"/>
        <v>0</v>
      </c>
      <c r="G217" s="314"/>
      <c r="H217" s="518"/>
      <c r="I217" s="452"/>
      <c r="J217" s="369"/>
      <c r="K217" s="452"/>
    </row>
    <row r="218" spans="1:11" s="317" customFormat="1">
      <c r="A218" s="369"/>
      <c r="B218" s="144"/>
      <c r="C218" s="196" t="s">
        <v>2024</v>
      </c>
      <c r="D218" s="230"/>
      <c r="E218" s="215"/>
      <c r="F218" s="511"/>
      <c r="G218" s="314"/>
      <c r="H218" s="518"/>
      <c r="I218" s="452"/>
      <c r="J218" s="369"/>
      <c r="K218" s="452"/>
    </row>
    <row r="219" spans="1:11" s="317" customFormat="1">
      <c r="A219" s="369"/>
      <c r="B219" s="418" t="s">
        <v>9056</v>
      </c>
      <c r="C219" s="346">
        <v>226</v>
      </c>
      <c r="D219" s="345">
        <f>C219*(1-VLOOKUP(I219,descuentos,6,FALSE))*fcl/IF(dol_sol="dólar", TC,1)</f>
        <v>66.302328358208939</v>
      </c>
      <c r="E219" s="343"/>
      <c r="F219" s="508">
        <f>ROUNDUP(D219+E219,2)</f>
        <v>66.31</v>
      </c>
      <c r="G219" s="351" t="s">
        <v>9057</v>
      </c>
      <c r="H219" s="518" t="s">
        <v>13199</v>
      </c>
      <c r="I219" s="452" t="s">
        <v>11566</v>
      </c>
      <c r="J219" s="369" t="s">
        <v>753</v>
      </c>
      <c r="K219" s="452" t="s">
        <v>741</v>
      </c>
    </row>
    <row r="220" spans="1:11" s="317" customFormat="1">
      <c r="A220" s="369"/>
      <c r="B220" s="144"/>
      <c r="C220" s="196" t="s">
        <v>2024</v>
      </c>
      <c r="D220" s="230"/>
      <c r="E220" s="215"/>
      <c r="F220" s="511"/>
      <c r="G220" s="314"/>
      <c r="H220" s="518"/>
      <c r="I220" s="452"/>
      <c r="J220" s="369"/>
      <c r="K220" s="452"/>
    </row>
    <row r="221" spans="1:11" s="317" customFormat="1">
      <c r="A221" s="369"/>
      <c r="B221" s="144"/>
      <c r="C221" s="196" t="s">
        <v>2024</v>
      </c>
      <c r="D221" s="230"/>
      <c r="E221" s="215"/>
      <c r="F221" s="511"/>
      <c r="G221" s="314"/>
      <c r="H221" s="518"/>
      <c r="I221" s="452"/>
      <c r="J221" s="369"/>
      <c r="K221" s="452"/>
    </row>
    <row r="222" spans="1:11" s="317" customFormat="1">
      <c r="A222" s="369"/>
      <c r="B222" s="418" t="s">
        <v>6257</v>
      </c>
      <c r="C222" s="346">
        <v>207</v>
      </c>
      <c r="D222" s="345">
        <f>C222*(1-VLOOKUP(I222,descuentos,6,FALSE))*fcl/IF(dol_sol="dólar", TC,1)</f>
        <v>60.728238805970136</v>
      </c>
      <c r="E222" s="343"/>
      <c r="F222" s="508">
        <f t="shared" ref="F222:F239" si="35">ROUNDUP(D222+E222,2)</f>
        <v>60.73</v>
      </c>
      <c r="G222" s="351" t="s">
        <v>6258</v>
      </c>
      <c r="H222" s="518" t="s">
        <v>13200</v>
      </c>
      <c r="I222" s="452" t="s">
        <v>11566</v>
      </c>
      <c r="J222" s="369" t="s">
        <v>753</v>
      </c>
      <c r="K222" s="452" t="s">
        <v>741</v>
      </c>
    </row>
    <row r="223" spans="1:11" s="317" customFormat="1">
      <c r="A223" s="369"/>
      <c r="B223" s="418" t="s">
        <v>1973</v>
      </c>
      <c r="C223" s="346">
        <v>207</v>
      </c>
      <c r="D223" s="345">
        <f t="shared" ref="D223:D229" si="36">C223*(1-VLOOKUP(I223,descuentos,6,FALSE))*fcl/IF(dol_sol="dólar", TC,1)</f>
        <v>60.728238805970136</v>
      </c>
      <c r="E223" s="343"/>
      <c r="F223" s="508">
        <f t="shared" si="35"/>
        <v>60.73</v>
      </c>
      <c r="G223" s="351" t="s">
        <v>4227</v>
      </c>
      <c r="H223" s="518" t="s">
        <v>13201</v>
      </c>
      <c r="I223" s="452" t="s">
        <v>11566</v>
      </c>
      <c r="J223" s="369" t="s">
        <v>753</v>
      </c>
      <c r="K223" s="452" t="s">
        <v>741</v>
      </c>
    </row>
    <row r="224" spans="1:11" s="317" customFormat="1">
      <c r="A224" s="369"/>
      <c r="B224" s="418" t="s">
        <v>1974</v>
      </c>
      <c r="C224" s="346">
        <v>207</v>
      </c>
      <c r="D224" s="345">
        <f t="shared" si="36"/>
        <v>60.728238805970136</v>
      </c>
      <c r="E224" s="343"/>
      <c r="F224" s="508">
        <f t="shared" si="35"/>
        <v>60.73</v>
      </c>
      <c r="G224" s="351" t="s">
        <v>4228</v>
      </c>
      <c r="H224" s="518" t="s">
        <v>13202</v>
      </c>
      <c r="I224" s="452" t="s">
        <v>11566</v>
      </c>
      <c r="J224" s="369" t="s">
        <v>753</v>
      </c>
      <c r="K224" s="452" t="s">
        <v>741</v>
      </c>
    </row>
    <row r="225" spans="1:11">
      <c r="A225" s="369"/>
      <c r="B225" s="418" t="s">
        <v>1975</v>
      </c>
      <c r="C225" s="346">
        <v>207</v>
      </c>
      <c r="D225" s="345">
        <f t="shared" si="36"/>
        <v>60.728238805970136</v>
      </c>
      <c r="E225" s="343"/>
      <c r="F225" s="508">
        <f t="shared" si="35"/>
        <v>60.73</v>
      </c>
      <c r="G225" s="351" t="s">
        <v>4229</v>
      </c>
      <c r="H225" s="518" t="s">
        <v>13203</v>
      </c>
      <c r="I225" s="452" t="s">
        <v>11566</v>
      </c>
      <c r="J225" s="369" t="s">
        <v>753</v>
      </c>
      <c r="K225" s="452" t="s">
        <v>741</v>
      </c>
    </row>
    <row r="226" spans="1:11">
      <c r="A226" s="369"/>
      <c r="B226" s="418" t="s">
        <v>1976</v>
      </c>
      <c r="C226" s="346">
        <v>207</v>
      </c>
      <c r="D226" s="345">
        <f t="shared" si="36"/>
        <v>60.728238805970136</v>
      </c>
      <c r="E226" s="343"/>
      <c r="F226" s="508">
        <f t="shared" si="35"/>
        <v>60.73</v>
      </c>
      <c r="G226" s="351" t="s">
        <v>4230</v>
      </c>
      <c r="H226" s="518" t="s">
        <v>13204</v>
      </c>
      <c r="I226" s="452" t="s">
        <v>11566</v>
      </c>
      <c r="J226" s="369" t="s">
        <v>753</v>
      </c>
      <c r="K226" s="452" t="s">
        <v>741</v>
      </c>
    </row>
    <row r="227" spans="1:11">
      <c r="A227" s="369"/>
      <c r="B227" s="418" t="s">
        <v>1977</v>
      </c>
      <c r="C227" s="346">
        <v>295</v>
      </c>
      <c r="D227" s="345">
        <f t="shared" si="36"/>
        <v>86.545074626865642</v>
      </c>
      <c r="E227" s="343"/>
      <c r="F227" s="508">
        <f t="shared" si="35"/>
        <v>86.550000000000011</v>
      </c>
      <c r="G227" s="351" t="s">
        <v>4231</v>
      </c>
      <c r="H227" s="518" t="s">
        <v>13205</v>
      </c>
      <c r="I227" s="452" t="s">
        <v>11566</v>
      </c>
      <c r="J227" s="369" t="s">
        <v>753</v>
      </c>
      <c r="K227" s="452" t="s">
        <v>741</v>
      </c>
    </row>
    <row r="228" spans="1:11">
      <c r="A228" s="369"/>
      <c r="B228" s="418" t="s">
        <v>1978</v>
      </c>
      <c r="C228" s="346">
        <v>295</v>
      </c>
      <c r="D228" s="345">
        <f t="shared" si="36"/>
        <v>86.545074626865642</v>
      </c>
      <c r="E228" s="343"/>
      <c r="F228" s="508">
        <f t="shared" si="35"/>
        <v>86.550000000000011</v>
      </c>
      <c r="G228" s="351" t="s">
        <v>9058</v>
      </c>
      <c r="H228" s="518" t="s">
        <v>13206</v>
      </c>
      <c r="I228" s="452" t="s">
        <v>11566</v>
      </c>
      <c r="J228" s="369" t="s">
        <v>753</v>
      </c>
      <c r="K228" s="452" t="s">
        <v>741</v>
      </c>
    </row>
    <row r="229" spans="1:11" ht="12" customHeight="1">
      <c r="A229" s="369"/>
      <c r="B229" s="418" t="s">
        <v>1979</v>
      </c>
      <c r="C229" s="346">
        <v>295</v>
      </c>
      <c r="D229" s="345">
        <f t="shared" si="36"/>
        <v>86.545074626865642</v>
      </c>
      <c r="E229" s="343"/>
      <c r="F229" s="508">
        <f t="shared" si="35"/>
        <v>86.550000000000011</v>
      </c>
      <c r="G229" s="351" t="s">
        <v>9059</v>
      </c>
      <c r="H229" s="518" t="s">
        <v>13207</v>
      </c>
      <c r="I229" s="452" t="s">
        <v>11566</v>
      </c>
      <c r="J229" s="369" t="s">
        <v>753</v>
      </c>
      <c r="K229" s="452" t="s">
        <v>741</v>
      </c>
    </row>
    <row r="230" spans="1:11">
      <c r="A230" s="369"/>
      <c r="B230" s="144"/>
      <c r="C230" s="196" t="s">
        <v>2024</v>
      </c>
      <c r="D230" s="230"/>
      <c r="E230" s="215"/>
      <c r="F230" s="511">
        <f t="shared" si="35"/>
        <v>0</v>
      </c>
      <c r="G230" s="314"/>
      <c r="H230" s="518"/>
      <c r="I230" s="452"/>
      <c r="J230" s="369"/>
      <c r="K230" s="452"/>
    </row>
    <row r="231" spans="1:11">
      <c r="A231" s="369"/>
      <c r="B231" s="144"/>
      <c r="C231" s="196" t="s">
        <v>2024</v>
      </c>
      <c r="D231" s="230"/>
      <c r="E231" s="215"/>
      <c r="F231" s="511">
        <f t="shared" si="35"/>
        <v>0</v>
      </c>
      <c r="G231" s="314"/>
      <c r="H231" s="518"/>
      <c r="I231" s="452"/>
      <c r="J231" s="369"/>
      <c r="K231" s="452"/>
    </row>
    <row r="232" spans="1:11">
      <c r="A232" s="369"/>
      <c r="B232" s="418" t="s">
        <v>9060</v>
      </c>
      <c r="C232" s="196">
        <v>374</v>
      </c>
      <c r="D232" s="345">
        <f>C232*(1-VLOOKUP(I232,descuentos,6,FALSE))*fcl/IF(dol_sol="dólar", TC,1)</f>
        <v>109.72155223880594</v>
      </c>
      <c r="E232" s="343"/>
      <c r="F232" s="508">
        <f>ROUNDUP(D232+E232,2)</f>
        <v>109.73</v>
      </c>
      <c r="G232" s="351" t="s">
        <v>9061</v>
      </c>
      <c r="H232" s="518" t="s">
        <v>9062</v>
      </c>
      <c r="I232" s="452" t="s">
        <v>11566</v>
      </c>
      <c r="J232" s="369" t="s">
        <v>753</v>
      </c>
      <c r="K232" s="452" t="s">
        <v>741</v>
      </c>
    </row>
    <row r="233" spans="1:11">
      <c r="A233" s="369"/>
      <c r="B233" s="418" t="s">
        <v>9063</v>
      </c>
      <c r="C233" s="196">
        <v>374</v>
      </c>
      <c r="D233" s="345">
        <f t="shared" ref="D233:D239" si="37">C233*(1-VLOOKUP(I233,descuentos,6,FALSE))*fcl/IF(dol_sol="dólar", TC,1)</f>
        <v>109.72155223880594</v>
      </c>
      <c r="E233" s="343"/>
      <c r="F233" s="508">
        <f t="shared" si="35"/>
        <v>109.73</v>
      </c>
      <c r="G233" s="351" t="s">
        <v>9064</v>
      </c>
      <c r="H233" s="518" t="s">
        <v>9065</v>
      </c>
      <c r="I233" s="452" t="s">
        <v>11566</v>
      </c>
      <c r="J233" s="369" t="s">
        <v>753</v>
      </c>
      <c r="K233" s="452" t="s">
        <v>741</v>
      </c>
    </row>
    <row r="234" spans="1:11" s="317" customFormat="1">
      <c r="A234" s="369"/>
      <c r="B234" s="418" t="s">
        <v>9066</v>
      </c>
      <c r="C234" s="196">
        <v>374</v>
      </c>
      <c r="D234" s="345">
        <f t="shared" si="37"/>
        <v>109.72155223880594</v>
      </c>
      <c r="E234" s="343"/>
      <c r="F234" s="508">
        <f t="shared" si="35"/>
        <v>109.73</v>
      </c>
      <c r="G234" s="351" t="s">
        <v>9067</v>
      </c>
      <c r="H234" s="518" t="s">
        <v>9068</v>
      </c>
      <c r="I234" s="452" t="s">
        <v>11566</v>
      </c>
      <c r="J234" s="369" t="s">
        <v>753</v>
      </c>
      <c r="K234" s="452" t="s">
        <v>741</v>
      </c>
    </row>
    <row r="235" spans="1:11">
      <c r="A235" s="369"/>
      <c r="B235" s="418" t="s">
        <v>9069</v>
      </c>
      <c r="C235" s="196">
        <v>374</v>
      </c>
      <c r="D235" s="345">
        <f t="shared" si="37"/>
        <v>109.72155223880594</v>
      </c>
      <c r="E235" s="343"/>
      <c r="F235" s="508">
        <f t="shared" si="35"/>
        <v>109.73</v>
      </c>
      <c r="G235" s="351" t="s">
        <v>9070</v>
      </c>
      <c r="H235" s="518" t="s">
        <v>9071</v>
      </c>
      <c r="I235" s="452" t="s">
        <v>11566</v>
      </c>
      <c r="J235" s="369" t="s">
        <v>753</v>
      </c>
      <c r="K235" s="452" t="s">
        <v>741</v>
      </c>
    </row>
    <row r="236" spans="1:11">
      <c r="A236" s="369"/>
      <c r="B236" s="418" t="s">
        <v>9072</v>
      </c>
      <c r="C236" s="196">
        <v>374</v>
      </c>
      <c r="D236" s="345">
        <f t="shared" si="37"/>
        <v>109.72155223880594</v>
      </c>
      <c r="E236" s="343"/>
      <c r="F236" s="508">
        <f t="shared" si="35"/>
        <v>109.73</v>
      </c>
      <c r="G236" s="351" t="s">
        <v>9073</v>
      </c>
      <c r="H236" s="518" t="s">
        <v>9074</v>
      </c>
      <c r="I236" s="452" t="s">
        <v>11566</v>
      </c>
      <c r="J236" s="369" t="s">
        <v>753</v>
      </c>
      <c r="K236" s="452" t="s">
        <v>741</v>
      </c>
    </row>
    <row r="237" spans="1:11">
      <c r="A237" s="369"/>
      <c r="B237" s="418" t="s">
        <v>9075</v>
      </c>
      <c r="C237" s="196">
        <v>516</v>
      </c>
      <c r="D237" s="345">
        <f t="shared" si="37"/>
        <v>151.38053731343277</v>
      </c>
      <c r="E237" s="343"/>
      <c r="F237" s="508">
        <f t="shared" si="35"/>
        <v>151.38999999999999</v>
      </c>
      <c r="G237" s="351" t="s">
        <v>9076</v>
      </c>
      <c r="H237" s="518" t="s">
        <v>9077</v>
      </c>
      <c r="I237" s="452" t="s">
        <v>11566</v>
      </c>
      <c r="J237" s="369" t="s">
        <v>753</v>
      </c>
      <c r="K237" s="452" t="s">
        <v>741</v>
      </c>
    </row>
    <row r="238" spans="1:11">
      <c r="A238" s="369"/>
      <c r="B238" s="418" t="s">
        <v>9078</v>
      </c>
      <c r="C238" s="196">
        <v>541</v>
      </c>
      <c r="D238" s="345">
        <f t="shared" si="37"/>
        <v>158.71486567164175</v>
      </c>
      <c r="E238" s="343"/>
      <c r="F238" s="508">
        <f t="shared" si="35"/>
        <v>158.72</v>
      </c>
      <c r="G238" s="351" t="s">
        <v>9079</v>
      </c>
      <c r="H238" s="518" t="s">
        <v>9080</v>
      </c>
      <c r="I238" s="452" t="s">
        <v>11566</v>
      </c>
      <c r="J238" s="369" t="s">
        <v>753</v>
      </c>
      <c r="K238" s="452" t="s">
        <v>741</v>
      </c>
    </row>
    <row r="239" spans="1:11">
      <c r="A239" s="369"/>
      <c r="B239" s="418" t="s">
        <v>9081</v>
      </c>
      <c r="C239" s="196">
        <v>773</v>
      </c>
      <c r="D239" s="345">
        <f t="shared" si="37"/>
        <v>226.7774328358208</v>
      </c>
      <c r="E239" s="343"/>
      <c r="F239" s="508">
        <f t="shared" si="35"/>
        <v>226.78</v>
      </c>
      <c r="G239" s="351" t="s">
        <v>9082</v>
      </c>
      <c r="H239" s="518" t="s">
        <v>9083</v>
      </c>
      <c r="I239" s="452" t="s">
        <v>11566</v>
      </c>
      <c r="J239" s="369" t="s">
        <v>753</v>
      </c>
      <c r="K239" s="452" t="s">
        <v>741</v>
      </c>
    </row>
    <row r="240" spans="1:11">
      <c r="A240" s="369"/>
      <c r="B240" s="144"/>
      <c r="C240" s="196" t="s">
        <v>2024</v>
      </c>
      <c r="D240" s="230"/>
      <c r="E240" s="215"/>
      <c r="F240" s="511"/>
      <c r="G240" s="314"/>
      <c r="H240" s="518"/>
      <c r="I240" s="452"/>
      <c r="J240" s="369"/>
      <c r="K240" s="452"/>
    </row>
    <row r="241" spans="1:11">
      <c r="A241" s="369"/>
      <c r="B241" s="418" t="s">
        <v>9084</v>
      </c>
      <c r="C241" s="346">
        <v>350</v>
      </c>
      <c r="D241" s="345">
        <f>C241*(1-VLOOKUP(I241,descuentos,6,FALSE))*fcl/IF(dol_sol="dólar", TC,1)</f>
        <v>102.68059701492534</v>
      </c>
      <c r="E241" s="343"/>
      <c r="F241" s="508">
        <f t="shared" ref="F241:F248" si="38">ROUNDUP(D241+E241,2)</f>
        <v>102.69000000000001</v>
      </c>
      <c r="G241" s="351" t="s">
        <v>9085</v>
      </c>
      <c r="H241" s="1656" t="s">
        <v>9086</v>
      </c>
      <c r="I241" s="452" t="s">
        <v>11566</v>
      </c>
      <c r="J241" s="369" t="s">
        <v>753</v>
      </c>
      <c r="K241" s="452" t="s">
        <v>741</v>
      </c>
    </row>
    <row r="242" spans="1:11">
      <c r="A242" s="369"/>
      <c r="B242" s="418" t="s">
        <v>1980</v>
      </c>
      <c r="C242" s="346">
        <v>350</v>
      </c>
      <c r="D242" s="345">
        <f t="shared" ref="D242:D248" si="39">C242*(1-VLOOKUP(I242,descuentos,6,FALSE))*fcl/IF(dol_sol="dólar", TC,1)</f>
        <v>102.68059701492534</v>
      </c>
      <c r="E242" s="343"/>
      <c r="F242" s="508">
        <f t="shared" si="38"/>
        <v>102.69000000000001</v>
      </c>
      <c r="G242" s="351" t="s">
        <v>4232</v>
      </c>
      <c r="H242" s="1656" t="s">
        <v>1981</v>
      </c>
      <c r="I242" s="452" t="s">
        <v>11566</v>
      </c>
      <c r="J242" s="369" t="s">
        <v>753</v>
      </c>
      <c r="K242" s="452" t="s">
        <v>741</v>
      </c>
    </row>
    <row r="243" spans="1:11" s="317" customFormat="1">
      <c r="A243" s="369"/>
      <c r="B243" s="418" t="s">
        <v>1982</v>
      </c>
      <c r="C243" s="346">
        <v>350</v>
      </c>
      <c r="D243" s="345">
        <f t="shared" si="39"/>
        <v>102.68059701492534</v>
      </c>
      <c r="E243" s="343"/>
      <c r="F243" s="508">
        <f t="shared" si="38"/>
        <v>102.69000000000001</v>
      </c>
      <c r="G243" s="351" t="s">
        <v>4233</v>
      </c>
      <c r="H243" s="1656" t="s">
        <v>1983</v>
      </c>
      <c r="I243" s="452" t="s">
        <v>11566</v>
      </c>
      <c r="J243" s="369" t="s">
        <v>753</v>
      </c>
      <c r="K243" s="452" t="s">
        <v>741</v>
      </c>
    </row>
    <row r="244" spans="1:11">
      <c r="A244" s="369"/>
      <c r="B244" s="418" t="s">
        <v>1984</v>
      </c>
      <c r="C244" s="346">
        <v>350</v>
      </c>
      <c r="D244" s="345">
        <f t="shared" si="39"/>
        <v>102.68059701492534</v>
      </c>
      <c r="E244" s="343"/>
      <c r="F244" s="508">
        <f t="shared" si="38"/>
        <v>102.69000000000001</v>
      </c>
      <c r="G244" s="351" t="s">
        <v>4234</v>
      </c>
      <c r="H244" s="1656" t="s">
        <v>1985</v>
      </c>
      <c r="I244" s="452" t="s">
        <v>11566</v>
      </c>
      <c r="J244" s="369" t="s">
        <v>753</v>
      </c>
      <c r="K244" s="452" t="s">
        <v>741</v>
      </c>
    </row>
    <row r="245" spans="1:11">
      <c r="A245" s="369"/>
      <c r="B245" s="418" t="s">
        <v>1986</v>
      </c>
      <c r="C245" s="346">
        <v>350</v>
      </c>
      <c r="D245" s="345">
        <f t="shared" si="39"/>
        <v>102.68059701492534</v>
      </c>
      <c r="E245" s="343"/>
      <c r="F245" s="508">
        <f t="shared" si="38"/>
        <v>102.69000000000001</v>
      </c>
      <c r="G245" s="351" t="s">
        <v>4235</v>
      </c>
      <c r="H245" s="1656" t="s">
        <v>1987</v>
      </c>
      <c r="I245" s="452" t="s">
        <v>11566</v>
      </c>
      <c r="J245" s="369" t="s">
        <v>753</v>
      </c>
      <c r="K245" s="452" t="s">
        <v>741</v>
      </c>
    </row>
    <row r="246" spans="1:11">
      <c r="A246" s="369"/>
      <c r="B246" s="418" t="s">
        <v>1988</v>
      </c>
      <c r="C246" s="346">
        <v>483</v>
      </c>
      <c r="D246" s="345">
        <f t="shared" si="39"/>
        <v>141.69922388059697</v>
      </c>
      <c r="E246" s="343"/>
      <c r="F246" s="508">
        <f t="shared" si="38"/>
        <v>141.69999999999999</v>
      </c>
      <c r="G246" s="351" t="s">
        <v>4236</v>
      </c>
      <c r="H246" s="1656" t="s">
        <v>1989</v>
      </c>
      <c r="I246" s="452" t="s">
        <v>11566</v>
      </c>
      <c r="J246" s="369" t="s">
        <v>753</v>
      </c>
      <c r="K246" s="452" t="s">
        <v>741</v>
      </c>
    </row>
    <row r="247" spans="1:11">
      <c r="A247" s="369"/>
      <c r="B247" s="418" t="s">
        <v>1990</v>
      </c>
      <c r="C247" s="346">
        <v>507</v>
      </c>
      <c r="D247" s="345">
        <f t="shared" si="39"/>
        <v>148.74017910447756</v>
      </c>
      <c r="E247" s="343"/>
      <c r="F247" s="508">
        <f t="shared" si="38"/>
        <v>148.75</v>
      </c>
      <c r="G247" s="351" t="s">
        <v>9087</v>
      </c>
      <c r="H247" s="1656" t="s">
        <v>1991</v>
      </c>
      <c r="I247" s="452" t="s">
        <v>11566</v>
      </c>
      <c r="J247" s="369" t="s">
        <v>753</v>
      </c>
      <c r="K247" s="452" t="s">
        <v>741</v>
      </c>
    </row>
    <row r="248" spans="1:11">
      <c r="A248" s="369"/>
      <c r="B248" s="418" t="s">
        <v>1992</v>
      </c>
      <c r="C248" s="346">
        <v>507</v>
      </c>
      <c r="D248" s="345">
        <f t="shared" si="39"/>
        <v>148.74017910447756</v>
      </c>
      <c r="E248" s="343"/>
      <c r="F248" s="508">
        <f t="shared" si="38"/>
        <v>148.75</v>
      </c>
      <c r="G248" s="351" t="s">
        <v>9088</v>
      </c>
      <c r="H248" s="1656" t="s">
        <v>1993</v>
      </c>
      <c r="I248" s="452" t="s">
        <v>11566</v>
      </c>
      <c r="J248" s="369" t="s">
        <v>753</v>
      </c>
      <c r="K248" s="452" t="s">
        <v>741</v>
      </c>
    </row>
    <row r="249" spans="1:11" s="185" customFormat="1">
      <c r="A249" s="369"/>
      <c r="B249" s="144"/>
      <c r="C249" s="196" t="s">
        <v>2024</v>
      </c>
      <c r="D249" s="230"/>
      <c r="E249" s="215"/>
      <c r="F249" s="511"/>
      <c r="G249" s="314"/>
      <c r="H249" s="518"/>
      <c r="I249" s="452"/>
      <c r="J249" s="369"/>
      <c r="K249" s="452"/>
    </row>
    <row r="250" spans="1:11" s="185" customFormat="1">
      <c r="A250" s="369"/>
      <c r="B250" s="144"/>
      <c r="C250" s="196" t="s">
        <v>2024</v>
      </c>
      <c r="D250" s="230"/>
      <c r="E250" s="215"/>
      <c r="F250" s="511"/>
      <c r="G250" s="314"/>
      <c r="H250" s="518"/>
      <c r="I250" s="452"/>
      <c r="J250" s="369"/>
      <c r="K250" s="452"/>
    </row>
    <row r="251" spans="1:11" s="185" customFormat="1">
      <c r="A251" s="1376"/>
      <c r="B251" s="144" t="s">
        <v>6259</v>
      </c>
      <c r="C251" s="196">
        <v>55</v>
      </c>
      <c r="D251" s="230">
        <f>C251*(1-VLOOKUP(I251,descuentos,6,FALSE))*fcl/IF(dol_sol="dólar", TC,1)</f>
        <v>16.135522388059698</v>
      </c>
      <c r="E251" s="215"/>
      <c r="F251" s="511">
        <f>ROUNDUP(D251+E251,2)</f>
        <v>16.14</v>
      </c>
      <c r="G251" s="314" t="s">
        <v>6260</v>
      </c>
      <c r="H251" s="518" t="s">
        <v>6261</v>
      </c>
      <c r="I251" s="452" t="s">
        <v>11566</v>
      </c>
      <c r="J251" s="369" t="s">
        <v>753</v>
      </c>
      <c r="K251" s="452" t="s">
        <v>741</v>
      </c>
    </row>
    <row r="252" spans="1:11" s="185" customFormat="1">
      <c r="A252" s="1376"/>
      <c r="B252" s="144" t="s">
        <v>6262</v>
      </c>
      <c r="C252" s="196">
        <v>46</v>
      </c>
      <c r="D252" s="230">
        <f t="shared" ref="D252:D259" si="40">C252*(1-VLOOKUP(I252,descuentos,6,FALSE))*fcl/IF(dol_sol="dólar", TC,1)</f>
        <v>13.495164179104473</v>
      </c>
      <c r="E252" s="215"/>
      <c r="F252" s="511">
        <f t="shared" ref="F252:F259" si="41">ROUNDUP(D252+E252,2)</f>
        <v>13.5</v>
      </c>
      <c r="G252" s="314" t="s">
        <v>6263</v>
      </c>
      <c r="H252" s="518" t="s">
        <v>6264</v>
      </c>
      <c r="I252" s="452" t="s">
        <v>11566</v>
      </c>
      <c r="J252" s="369" t="s">
        <v>753</v>
      </c>
      <c r="K252" s="452" t="s">
        <v>741</v>
      </c>
    </row>
    <row r="253" spans="1:11" s="185" customFormat="1">
      <c r="A253" s="369"/>
      <c r="B253" s="144" t="s">
        <v>6265</v>
      </c>
      <c r="C253" s="196">
        <v>46</v>
      </c>
      <c r="D253" s="230">
        <f t="shared" si="40"/>
        <v>13.495164179104473</v>
      </c>
      <c r="E253" s="215"/>
      <c r="F253" s="511">
        <f t="shared" si="41"/>
        <v>13.5</v>
      </c>
      <c r="G253" s="314" t="s">
        <v>6266</v>
      </c>
      <c r="H253" s="518" t="s">
        <v>6267</v>
      </c>
      <c r="I253" s="452" t="s">
        <v>11566</v>
      </c>
      <c r="J253" s="369" t="s">
        <v>753</v>
      </c>
      <c r="K253" s="452" t="s">
        <v>741</v>
      </c>
    </row>
    <row r="254" spans="1:11" s="185" customFormat="1">
      <c r="A254" s="369"/>
      <c r="B254" s="144" t="s">
        <v>6268</v>
      </c>
      <c r="C254" s="196">
        <v>46</v>
      </c>
      <c r="D254" s="230">
        <f t="shared" si="40"/>
        <v>13.495164179104473</v>
      </c>
      <c r="E254" s="215"/>
      <c r="F254" s="511">
        <f t="shared" si="41"/>
        <v>13.5</v>
      </c>
      <c r="G254" s="314" t="s">
        <v>6269</v>
      </c>
      <c r="H254" s="518" t="s">
        <v>6270</v>
      </c>
      <c r="I254" s="452" t="s">
        <v>11566</v>
      </c>
      <c r="J254" s="369" t="s">
        <v>753</v>
      </c>
      <c r="K254" s="452" t="s">
        <v>741</v>
      </c>
    </row>
    <row r="255" spans="1:11" s="185" customFormat="1">
      <c r="A255" s="369"/>
      <c r="B255" s="144" t="s">
        <v>6271</v>
      </c>
      <c r="C255" s="196">
        <v>46</v>
      </c>
      <c r="D255" s="230">
        <f t="shared" si="40"/>
        <v>13.495164179104473</v>
      </c>
      <c r="E255" s="215"/>
      <c r="F255" s="511">
        <f t="shared" si="41"/>
        <v>13.5</v>
      </c>
      <c r="G255" s="314" t="s">
        <v>6272</v>
      </c>
      <c r="H255" s="518" t="s">
        <v>6273</v>
      </c>
      <c r="I255" s="452" t="s">
        <v>11566</v>
      </c>
      <c r="J255" s="369" t="s">
        <v>753</v>
      </c>
      <c r="K255" s="452" t="s">
        <v>741</v>
      </c>
    </row>
    <row r="256" spans="1:11" s="185" customFormat="1">
      <c r="A256" s="369"/>
      <c r="B256" s="144" t="s">
        <v>6274</v>
      </c>
      <c r="C256" s="196">
        <v>46</v>
      </c>
      <c r="D256" s="230">
        <f t="shared" si="40"/>
        <v>13.495164179104473</v>
      </c>
      <c r="E256" s="215"/>
      <c r="F256" s="511">
        <f t="shared" si="41"/>
        <v>13.5</v>
      </c>
      <c r="G256" s="314" t="s">
        <v>6275</v>
      </c>
      <c r="H256" s="518" t="s">
        <v>6276</v>
      </c>
      <c r="I256" s="452" t="s">
        <v>11566</v>
      </c>
      <c r="J256" s="369" t="s">
        <v>753</v>
      </c>
      <c r="K256" s="452" t="s">
        <v>741</v>
      </c>
    </row>
    <row r="257" spans="1:11">
      <c r="A257" s="369"/>
      <c r="B257" s="144" t="s">
        <v>6277</v>
      </c>
      <c r="C257" s="196">
        <v>65</v>
      </c>
      <c r="D257" s="230">
        <f t="shared" si="40"/>
        <v>19.069253731343277</v>
      </c>
      <c r="E257" s="215"/>
      <c r="F257" s="511">
        <f t="shared" si="41"/>
        <v>19.07</v>
      </c>
      <c r="G257" s="314" t="s">
        <v>6278</v>
      </c>
      <c r="H257" s="518" t="s">
        <v>6279</v>
      </c>
      <c r="I257" s="452" t="s">
        <v>11566</v>
      </c>
      <c r="J257" s="369" t="s">
        <v>753</v>
      </c>
      <c r="K257" s="452" t="s">
        <v>741</v>
      </c>
    </row>
    <row r="258" spans="1:11">
      <c r="A258" s="369"/>
      <c r="B258" s="144" t="s">
        <v>6280</v>
      </c>
      <c r="C258" s="196">
        <v>65</v>
      </c>
      <c r="D258" s="230">
        <f t="shared" si="40"/>
        <v>19.069253731343277</v>
      </c>
      <c r="E258" s="215"/>
      <c r="F258" s="511">
        <f t="shared" si="41"/>
        <v>19.07</v>
      </c>
      <c r="G258" s="314" t="s">
        <v>6281</v>
      </c>
      <c r="H258" s="518" t="s">
        <v>6282</v>
      </c>
      <c r="I258" s="452" t="s">
        <v>11566</v>
      </c>
      <c r="J258" s="369" t="s">
        <v>753</v>
      </c>
      <c r="K258" s="452" t="s">
        <v>741</v>
      </c>
    </row>
    <row r="259" spans="1:11">
      <c r="A259" s="369"/>
      <c r="B259" s="144" t="s">
        <v>6283</v>
      </c>
      <c r="C259" s="196">
        <v>65</v>
      </c>
      <c r="D259" s="230">
        <f t="shared" si="40"/>
        <v>19.069253731343277</v>
      </c>
      <c r="E259" s="215"/>
      <c r="F259" s="511">
        <f t="shared" si="41"/>
        <v>19.07</v>
      </c>
      <c r="G259" s="314" t="s">
        <v>6284</v>
      </c>
      <c r="H259" s="518" t="s">
        <v>6285</v>
      </c>
      <c r="I259" s="452" t="s">
        <v>11566</v>
      </c>
      <c r="J259" s="369" t="s">
        <v>753</v>
      </c>
      <c r="K259" s="452" t="s">
        <v>741</v>
      </c>
    </row>
    <row r="260" spans="1:11" s="185" customFormat="1">
      <c r="A260" s="369"/>
      <c r="B260" s="144"/>
      <c r="C260" s="196" t="s">
        <v>2024</v>
      </c>
      <c r="D260" s="230"/>
      <c r="E260" s="215"/>
      <c r="F260" s="511"/>
      <c r="G260" s="314"/>
      <c r="H260" s="518"/>
      <c r="I260" s="452"/>
      <c r="J260" s="369"/>
      <c r="K260" s="452"/>
    </row>
    <row r="261" spans="1:11" s="185" customFormat="1">
      <c r="A261" s="369"/>
      <c r="B261" s="144" t="s">
        <v>6286</v>
      </c>
      <c r="C261" s="196">
        <v>117</v>
      </c>
      <c r="D261" s="230">
        <f t="shared" ref="D261:D269" si="42">C261*(1-VLOOKUP(I261,descuentos,6,FALSE))*fcl/IF(dol_sol="dólar", TC,1)</f>
        <v>34.324656716417898</v>
      </c>
      <c r="E261" s="215"/>
      <c r="F261" s="511">
        <f t="shared" ref="F261:F269" si="43">ROUNDUP(D261+E261,2)</f>
        <v>34.33</v>
      </c>
      <c r="G261" s="314" t="s">
        <v>6287</v>
      </c>
      <c r="H261" s="518" t="s">
        <v>6288</v>
      </c>
      <c r="I261" s="452" t="s">
        <v>11566</v>
      </c>
      <c r="J261" s="369" t="s">
        <v>753</v>
      </c>
      <c r="K261" s="452" t="s">
        <v>741</v>
      </c>
    </row>
    <row r="262" spans="1:11" s="185" customFormat="1">
      <c r="A262" s="369"/>
      <c r="B262" s="144" t="s">
        <v>6289</v>
      </c>
      <c r="C262" s="196">
        <v>101</v>
      </c>
      <c r="D262" s="230">
        <f t="shared" si="42"/>
        <v>29.630686567164169</v>
      </c>
      <c r="E262" s="215"/>
      <c r="F262" s="511">
        <f t="shared" si="43"/>
        <v>29.64</v>
      </c>
      <c r="G262" s="314" t="s">
        <v>6290</v>
      </c>
      <c r="H262" s="518" t="s">
        <v>6291</v>
      </c>
      <c r="I262" s="452" t="s">
        <v>11566</v>
      </c>
      <c r="J262" s="369" t="s">
        <v>753</v>
      </c>
      <c r="K262" s="452" t="s">
        <v>741</v>
      </c>
    </row>
    <row r="263" spans="1:11" s="185" customFormat="1">
      <c r="A263" s="369"/>
      <c r="B263" s="144" t="s">
        <v>6292</v>
      </c>
      <c r="C263" s="196">
        <v>101</v>
      </c>
      <c r="D263" s="230">
        <f t="shared" si="42"/>
        <v>29.630686567164169</v>
      </c>
      <c r="E263" s="215"/>
      <c r="F263" s="511">
        <f t="shared" si="43"/>
        <v>29.64</v>
      </c>
      <c r="G263" s="314" t="s">
        <v>6293</v>
      </c>
      <c r="H263" s="518" t="s">
        <v>6294</v>
      </c>
      <c r="I263" s="452" t="s">
        <v>11566</v>
      </c>
      <c r="J263" s="369" t="s">
        <v>753</v>
      </c>
      <c r="K263" s="452" t="s">
        <v>741</v>
      </c>
    </row>
    <row r="264" spans="1:11" s="185" customFormat="1">
      <c r="A264" s="369"/>
      <c r="B264" s="144" t="s">
        <v>6295</v>
      </c>
      <c r="C264" s="196">
        <v>101</v>
      </c>
      <c r="D264" s="230">
        <f t="shared" si="42"/>
        <v>29.630686567164169</v>
      </c>
      <c r="E264" s="215"/>
      <c r="F264" s="511">
        <f t="shared" si="43"/>
        <v>29.64</v>
      </c>
      <c r="G264" s="314" t="s">
        <v>6296</v>
      </c>
      <c r="H264" s="518" t="s">
        <v>6297</v>
      </c>
      <c r="I264" s="452" t="s">
        <v>11566</v>
      </c>
      <c r="J264" s="369" t="s">
        <v>753</v>
      </c>
      <c r="K264" s="452" t="s">
        <v>741</v>
      </c>
    </row>
    <row r="265" spans="1:11" s="185" customFormat="1">
      <c r="A265" s="369"/>
      <c r="B265" s="144" t="s">
        <v>6298</v>
      </c>
      <c r="C265" s="196">
        <v>101</v>
      </c>
      <c r="D265" s="230">
        <f t="shared" si="42"/>
        <v>29.630686567164169</v>
      </c>
      <c r="E265" s="215"/>
      <c r="F265" s="511">
        <f t="shared" si="43"/>
        <v>29.64</v>
      </c>
      <c r="G265" s="314" t="s">
        <v>6299</v>
      </c>
      <c r="H265" s="518" t="s">
        <v>6300</v>
      </c>
      <c r="I265" s="452" t="s">
        <v>11566</v>
      </c>
      <c r="J265" s="369" t="s">
        <v>753</v>
      </c>
      <c r="K265" s="452" t="s">
        <v>741</v>
      </c>
    </row>
    <row r="266" spans="1:11" s="185" customFormat="1">
      <c r="A266" s="369"/>
      <c r="B266" s="144" t="s">
        <v>6301</v>
      </c>
      <c r="C266" s="196">
        <v>101</v>
      </c>
      <c r="D266" s="230">
        <f t="shared" si="42"/>
        <v>29.630686567164169</v>
      </c>
      <c r="E266" s="215"/>
      <c r="F266" s="511">
        <f t="shared" si="43"/>
        <v>29.64</v>
      </c>
      <c r="G266" s="314" t="s">
        <v>6302</v>
      </c>
      <c r="H266" s="518" t="s">
        <v>6303</v>
      </c>
      <c r="I266" s="452" t="s">
        <v>11566</v>
      </c>
      <c r="J266" s="369" t="s">
        <v>753</v>
      </c>
      <c r="K266" s="452" t="s">
        <v>741</v>
      </c>
    </row>
    <row r="267" spans="1:11">
      <c r="A267" s="369"/>
      <c r="B267" s="144" t="s">
        <v>6304</v>
      </c>
      <c r="C267" s="196">
        <v>137</v>
      </c>
      <c r="D267" s="230">
        <f t="shared" si="42"/>
        <v>40.192119402985064</v>
      </c>
      <c r="E267" s="215"/>
      <c r="F267" s="511">
        <f t="shared" si="43"/>
        <v>40.199999999999996</v>
      </c>
      <c r="G267" s="314" t="s">
        <v>6305</v>
      </c>
      <c r="H267" s="518" t="s">
        <v>6306</v>
      </c>
      <c r="I267" s="452" t="s">
        <v>11566</v>
      </c>
      <c r="J267" s="369" t="s">
        <v>753</v>
      </c>
      <c r="K267" s="452" t="s">
        <v>741</v>
      </c>
    </row>
    <row r="268" spans="1:11">
      <c r="A268" s="369"/>
      <c r="B268" s="144" t="s">
        <v>6307</v>
      </c>
      <c r="C268" s="196">
        <v>137</v>
      </c>
      <c r="D268" s="230">
        <f t="shared" si="42"/>
        <v>40.192119402985064</v>
      </c>
      <c r="E268" s="215"/>
      <c r="F268" s="511">
        <f t="shared" si="43"/>
        <v>40.199999999999996</v>
      </c>
      <c r="G268" s="314" t="s">
        <v>6308</v>
      </c>
      <c r="H268" s="518" t="s">
        <v>6309</v>
      </c>
      <c r="I268" s="452" t="s">
        <v>11566</v>
      </c>
      <c r="J268" s="369" t="s">
        <v>753</v>
      </c>
      <c r="K268" s="452" t="s">
        <v>741</v>
      </c>
    </row>
    <row r="269" spans="1:11">
      <c r="A269" s="369"/>
      <c r="B269" s="144" t="s">
        <v>6310</v>
      </c>
      <c r="C269" s="196">
        <v>137</v>
      </c>
      <c r="D269" s="230">
        <f t="shared" si="42"/>
        <v>40.192119402985064</v>
      </c>
      <c r="E269" s="215"/>
      <c r="F269" s="511">
        <f t="shared" si="43"/>
        <v>40.199999999999996</v>
      </c>
      <c r="G269" s="314" t="s">
        <v>6311</v>
      </c>
      <c r="H269" s="518" t="s">
        <v>6312</v>
      </c>
      <c r="I269" s="452" t="s">
        <v>11566</v>
      </c>
      <c r="J269" s="369" t="s">
        <v>753</v>
      </c>
      <c r="K269" s="452" t="s">
        <v>741</v>
      </c>
    </row>
    <row r="270" spans="1:11" s="185" customFormat="1">
      <c r="A270" s="369"/>
      <c r="B270" s="144"/>
      <c r="C270" s="196" t="s">
        <v>2024</v>
      </c>
      <c r="D270" s="230"/>
      <c r="E270" s="215"/>
      <c r="F270" s="511"/>
      <c r="G270" s="314"/>
      <c r="H270" s="518"/>
      <c r="I270" s="452"/>
      <c r="J270" s="369"/>
      <c r="K270" s="452"/>
    </row>
    <row r="271" spans="1:11" s="185" customFormat="1">
      <c r="A271" s="369"/>
      <c r="B271" s="144" t="s">
        <v>6313</v>
      </c>
      <c r="C271" s="196">
        <v>175</v>
      </c>
      <c r="D271" s="230">
        <f t="shared" ref="D271:D279" si="44">C271*(1-VLOOKUP(I271,descuentos,6,FALSE))*fcl/IF(dol_sol="dólar", TC,1)</f>
        <v>51.34029850746267</v>
      </c>
      <c r="E271" s="215"/>
      <c r="F271" s="511">
        <f t="shared" ref="F271:F279" si="45">ROUNDUP(D271+E271,2)</f>
        <v>51.35</v>
      </c>
      <c r="G271" s="314" t="s">
        <v>6314</v>
      </c>
      <c r="H271" s="518" t="s">
        <v>6315</v>
      </c>
      <c r="I271" s="452" t="s">
        <v>11566</v>
      </c>
      <c r="J271" s="369" t="s">
        <v>753</v>
      </c>
      <c r="K271" s="452" t="s">
        <v>741</v>
      </c>
    </row>
    <row r="272" spans="1:11" s="185" customFormat="1">
      <c r="A272" s="369"/>
      <c r="B272" s="144" t="s">
        <v>6316</v>
      </c>
      <c r="C272" s="196">
        <v>155</v>
      </c>
      <c r="D272" s="230">
        <f t="shared" si="44"/>
        <v>45.472835820895504</v>
      </c>
      <c r="E272" s="215"/>
      <c r="F272" s="511">
        <f t="shared" si="45"/>
        <v>45.48</v>
      </c>
      <c r="G272" s="314" t="s">
        <v>6317</v>
      </c>
      <c r="H272" s="518" t="s">
        <v>6318</v>
      </c>
      <c r="I272" s="452" t="s">
        <v>11566</v>
      </c>
      <c r="J272" s="369" t="s">
        <v>753</v>
      </c>
      <c r="K272" s="452" t="s">
        <v>741</v>
      </c>
    </row>
    <row r="273" spans="1:11" s="185" customFormat="1">
      <c r="A273" s="369"/>
      <c r="B273" s="144" t="s">
        <v>6319</v>
      </c>
      <c r="C273" s="196">
        <v>155</v>
      </c>
      <c r="D273" s="230">
        <f t="shared" si="44"/>
        <v>45.472835820895504</v>
      </c>
      <c r="E273" s="215"/>
      <c r="F273" s="511">
        <f t="shared" si="45"/>
        <v>45.48</v>
      </c>
      <c r="G273" s="314" t="s">
        <v>6320</v>
      </c>
      <c r="H273" s="518" t="s">
        <v>6321</v>
      </c>
      <c r="I273" s="452" t="s">
        <v>11566</v>
      </c>
      <c r="J273" s="369" t="s">
        <v>753</v>
      </c>
      <c r="K273" s="452" t="s">
        <v>741</v>
      </c>
    </row>
    <row r="274" spans="1:11" s="185" customFormat="1">
      <c r="A274" s="369"/>
      <c r="B274" s="144" t="s">
        <v>6322</v>
      </c>
      <c r="C274" s="196">
        <v>155</v>
      </c>
      <c r="D274" s="230">
        <f t="shared" si="44"/>
        <v>45.472835820895504</v>
      </c>
      <c r="E274" s="215"/>
      <c r="F274" s="511">
        <f t="shared" si="45"/>
        <v>45.48</v>
      </c>
      <c r="G274" s="314" t="s">
        <v>6323</v>
      </c>
      <c r="H274" s="518" t="s">
        <v>6324</v>
      </c>
      <c r="I274" s="452" t="s">
        <v>11566</v>
      </c>
      <c r="J274" s="369" t="s">
        <v>753</v>
      </c>
      <c r="K274" s="452" t="s">
        <v>741</v>
      </c>
    </row>
    <row r="275" spans="1:11" s="185" customFormat="1">
      <c r="A275" s="369"/>
      <c r="B275" s="144" t="s">
        <v>6325</v>
      </c>
      <c r="C275" s="196">
        <v>155</v>
      </c>
      <c r="D275" s="230">
        <f t="shared" si="44"/>
        <v>45.472835820895504</v>
      </c>
      <c r="E275" s="215"/>
      <c r="F275" s="511">
        <f t="shared" si="45"/>
        <v>45.48</v>
      </c>
      <c r="G275" s="314" t="s">
        <v>6326</v>
      </c>
      <c r="H275" s="518" t="s">
        <v>6327</v>
      </c>
      <c r="I275" s="452" t="s">
        <v>11566</v>
      </c>
      <c r="J275" s="369" t="s">
        <v>753</v>
      </c>
      <c r="K275" s="452" t="s">
        <v>741</v>
      </c>
    </row>
    <row r="276" spans="1:11" s="185" customFormat="1">
      <c r="A276" s="369"/>
      <c r="B276" s="144" t="s">
        <v>6328</v>
      </c>
      <c r="C276" s="196">
        <v>155</v>
      </c>
      <c r="D276" s="230">
        <f t="shared" si="44"/>
        <v>45.472835820895504</v>
      </c>
      <c r="E276" s="215"/>
      <c r="F276" s="511">
        <f t="shared" si="45"/>
        <v>45.48</v>
      </c>
      <c r="G276" s="314" t="s">
        <v>6329</v>
      </c>
      <c r="H276" s="518" t="s">
        <v>6330</v>
      </c>
      <c r="I276" s="452" t="s">
        <v>11566</v>
      </c>
      <c r="J276" s="369" t="s">
        <v>753</v>
      </c>
      <c r="K276" s="452" t="s">
        <v>741</v>
      </c>
    </row>
    <row r="277" spans="1:11">
      <c r="A277" s="369"/>
      <c r="B277" s="144" t="s">
        <v>6331</v>
      </c>
      <c r="C277" s="196">
        <v>218</v>
      </c>
      <c r="D277" s="230">
        <f t="shared" si="44"/>
        <v>63.955343283582067</v>
      </c>
      <c r="E277" s="215"/>
      <c r="F277" s="511">
        <f t="shared" si="45"/>
        <v>63.96</v>
      </c>
      <c r="G277" s="314" t="s">
        <v>6332</v>
      </c>
      <c r="H277" s="518" t="s">
        <v>6333</v>
      </c>
      <c r="I277" s="452" t="s">
        <v>11566</v>
      </c>
      <c r="J277" s="369" t="s">
        <v>753</v>
      </c>
      <c r="K277" s="452" t="s">
        <v>741</v>
      </c>
    </row>
    <row r="278" spans="1:11">
      <c r="A278" s="369"/>
      <c r="B278" s="144" t="s">
        <v>6334</v>
      </c>
      <c r="C278" s="196">
        <v>218</v>
      </c>
      <c r="D278" s="230">
        <f t="shared" si="44"/>
        <v>63.955343283582067</v>
      </c>
      <c r="E278" s="215"/>
      <c r="F278" s="511">
        <f t="shared" si="45"/>
        <v>63.96</v>
      </c>
      <c r="G278" s="314" t="s">
        <v>6335</v>
      </c>
      <c r="H278" s="518" t="s">
        <v>6336</v>
      </c>
      <c r="I278" s="452" t="s">
        <v>11566</v>
      </c>
      <c r="J278" s="369" t="s">
        <v>753</v>
      </c>
      <c r="K278" s="452" t="s">
        <v>741</v>
      </c>
    </row>
    <row r="279" spans="1:11">
      <c r="A279" s="369"/>
      <c r="B279" s="144" t="s">
        <v>6337</v>
      </c>
      <c r="C279" s="196">
        <v>218</v>
      </c>
      <c r="D279" s="230">
        <f t="shared" si="44"/>
        <v>63.955343283582067</v>
      </c>
      <c r="E279" s="215"/>
      <c r="F279" s="511">
        <f t="shared" si="45"/>
        <v>63.96</v>
      </c>
      <c r="G279" s="314" t="s">
        <v>6338</v>
      </c>
      <c r="H279" s="518" t="s">
        <v>6339</v>
      </c>
      <c r="I279" s="452" t="s">
        <v>11566</v>
      </c>
      <c r="J279" s="369" t="s">
        <v>753</v>
      </c>
      <c r="K279" s="452" t="s">
        <v>741</v>
      </c>
    </row>
    <row r="280" spans="1:11" s="185" customFormat="1">
      <c r="A280" s="369"/>
      <c r="B280" s="144"/>
      <c r="C280" s="196" t="s">
        <v>2024</v>
      </c>
      <c r="D280" s="230"/>
      <c r="E280" s="215"/>
      <c r="F280" s="511"/>
      <c r="G280" s="314"/>
      <c r="H280" s="518"/>
      <c r="I280" s="452"/>
      <c r="J280" s="369"/>
      <c r="K280" s="452"/>
    </row>
    <row r="281" spans="1:11" s="185" customFormat="1">
      <c r="A281" s="369"/>
      <c r="B281" s="144" t="s">
        <v>6340</v>
      </c>
      <c r="C281" s="196">
        <v>229</v>
      </c>
      <c r="D281" s="230">
        <f t="shared" ref="D281:D289" si="46">C281*(1-VLOOKUP(I281,descuentos,6,FALSE))*fcl/IF(dol_sol="dólar", TC,1)</f>
        <v>67.182447761194013</v>
      </c>
      <c r="E281" s="215"/>
      <c r="F281" s="511">
        <f t="shared" ref="F281:F289" si="47">ROUNDUP(D281+E281,2)</f>
        <v>67.190000000000012</v>
      </c>
      <c r="G281" s="314" t="s">
        <v>6341</v>
      </c>
      <c r="H281" s="518" t="s">
        <v>6342</v>
      </c>
      <c r="I281" s="452" t="s">
        <v>11566</v>
      </c>
      <c r="J281" s="369" t="s">
        <v>753</v>
      </c>
      <c r="K281" s="452" t="s">
        <v>741</v>
      </c>
    </row>
    <row r="282" spans="1:11" s="185" customFormat="1">
      <c r="A282" s="369"/>
      <c r="B282" s="144" t="s">
        <v>6343</v>
      </c>
      <c r="C282" s="196">
        <v>188</v>
      </c>
      <c r="D282" s="230">
        <f t="shared" si="46"/>
        <v>55.154149253731326</v>
      </c>
      <c r="E282" s="215"/>
      <c r="F282" s="511">
        <f t="shared" si="47"/>
        <v>55.16</v>
      </c>
      <c r="G282" s="314" t="s">
        <v>6344</v>
      </c>
      <c r="H282" s="518" t="s">
        <v>6345</v>
      </c>
      <c r="I282" s="452" t="s">
        <v>11566</v>
      </c>
      <c r="J282" s="369" t="s">
        <v>753</v>
      </c>
      <c r="K282" s="452" t="s">
        <v>741</v>
      </c>
    </row>
    <row r="283" spans="1:11" s="185" customFormat="1">
      <c r="A283" s="369"/>
      <c r="B283" s="144" t="s">
        <v>6346</v>
      </c>
      <c r="C283" s="196">
        <v>188</v>
      </c>
      <c r="D283" s="230">
        <f t="shared" si="46"/>
        <v>55.154149253731326</v>
      </c>
      <c r="E283" s="215"/>
      <c r="F283" s="511">
        <f t="shared" si="47"/>
        <v>55.16</v>
      </c>
      <c r="G283" s="314" t="s">
        <v>6347</v>
      </c>
      <c r="H283" s="518" t="s">
        <v>6348</v>
      </c>
      <c r="I283" s="452" t="s">
        <v>11566</v>
      </c>
      <c r="J283" s="369" t="s">
        <v>753</v>
      </c>
      <c r="K283" s="452" t="s">
        <v>741</v>
      </c>
    </row>
    <row r="284" spans="1:11" s="185" customFormat="1">
      <c r="A284" s="369"/>
      <c r="B284" s="144" t="s">
        <v>6349</v>
      </c>
      <c r="C284" s="196">
        <v>188</v>
      </c>
      <c r="D284" s="230">
        <f t="shared" si="46"/>
        <v>55.154149253731326</v>
      </c>
      <c r="E284" s="215"/>
      <c r="F284" s="511">
        <f t="shared" si="47"/>
        <v>55.16</v>
      </c>
      <c r="G284" s="314" t="s">
        <v>6350</v>
      </c>
      <c r="H284" s="518" t="s">
        <v>6351</v>
      </c>
      <c r="I284" s="452" t="s">
        <v>11566</v>
      </c>
      <c r="J284" s="369" t="s">
        <v>753</v>
      </c>
      <c r="K284" s="452" t="s">
        <v>741</v>
      </c>
    </row>
    <row r="285" spans="1:11" s="185" customFormat="1">
      <c r="A285" s="369"/>
      <c r="B285" s="144" t="s">
        <v>6352</v>
      </c>
      <c r="C285" s="196">
        <v>188</v>
      </c>
      <c r="D285" s="230">
        <f t="shared" si="46"/>
        <v>55.154149253731326</v>
      </c>
      <c r="E285" s="215"/>
      <c r="F285" s="511">
        <f t="shared" si="47"/>
        <v>55.16</v>
      </c>
      <c r="G285" s="314" t="s">
        <v>6353</v>
      </c>
      <c r="H285" s="518" t="s">
        <v>6354</v>
      </c>
      <c r="I285" s="452" t="s">
        <v>11566</v>
      </c>
      <c r="J285" s="369" t="s">
        <v>753</v>
      </c>
      <c r="K285" s="452" t="s">
        <v>741</v>
      </c>
    </row>
    <row r="286" spans="1:11" s="185" customFormat="1">
      <c r="A286" s="369"/>
      <c r="B286" s="144" t="s">
        <v>6355</v>
      </c>
      <c r="C286" s="196">
        <v>188</v>
      </c>
      <c r="D286" s="230">
        <f t="shared" si="46"/>
        <v>55.154149253731326</v>
      </c>
      <c r="E286" s="215"/>
      <c r="F286" s="511">
        <f t="shared" si="47"/>
        <v>55.16</v>
      </c>
      <c r="G286" s="314" t="s">
        <v>6356</v>
      </c>
      <c r="H286" s="518" t="s">
        <v>6357</v>
      </c>
      <c r="I286" s="452" t="s">
        <v>11566</v>
      </c>
      <c r="J286" s="369" t="s">
        <v>753</v>
      </c>
      <c r="K286" s="452" t="s">
        <v>741</v>
      </c>
    </row>
    <row r="287" spans="1:11">
      <c r="A287" s="369"/>
      <c r="B287" s="144" t="s">
        <v>6358</v>
      </c>
      <c r="C287" s="196">
        <v>272</v>
      </c>
      <c r="D287" s="230">
        <f t="shared" si="46"/>
        <v>79.797492537313417</v>
      </c>
      <c r="E287" s="215"/>
      <c r="F287" s="511">
        <f t="shared" si="47"/>
        <v>79.800000000000011</v>
      </c>
      <c r="G287" s="314" t="s">
        <v>6359</v>
      </c>
      <c r="H287" s="518" t="s">
        <v>6360</v>
      </c>
      <c r="I287" s="452" t="s">
        <v>11566</v>
      </c>
      <c r="J287" s="369" t="s">
        <v>753</v>
      </c>
      <c r="K287" s="452" t="s">
        <v>741</v>
      </c>
    </row>
    <row r="288" spans="1:11">
      <c r="A288" s="1376"/>
      <c r="B288" s="144" t="s">
        <v>6361</v>
      </c>
      <c r="C288" s="196">
        <v>272</v>
      </c>
      <c r="D288" s="230">
        <f t="shared" si="46"/>
        <v>79.797492537313417</v>
      </c>
      <c r="E288" s="215"/>
      <c r="F288" s="511">
        <f t="shared" si="47"/>
        <v>79.800000000000011</v>
      </c>
      <c r="G288" s="314" t="s">
        <v>6362</v>
      </c>
      <c r="H288" s="518" t="s">
        <v>6363</v>
      </c>
      <c r="I288" s="452" t="s">
        <v>11566</v>
      </c>
      <c r="J288" s="369" t="s">
        <v>753</v>
      </c>
      <c r="K288" s="452" t="s">
        <v>741</v>
      </c>
    </row>
    <row r="289" spans="1:11">
      <c r="A289" s="1376"/>
      <c r="B289" s="144" t="s">
        <v>6364</v>
      </c>
      <c r="C289" s="196">
        <v>272</v>
      </c>
      <c r="D289" s="230">
        <f t="shared" si="46"/>
        <v>79.797492537313417</v>
      </c>
      <c r="E289" s="215"/>
      <c r="F289" s="511">
        <f t="shared" si="47"/>
        <v>79.800000000000011</v>
      </c>
      <c r="G289" s="314" t="s">
        <v>6365</v>
      </c>
      <c r="H289" s="518" t="s">
        <v>6366</v>
      </c>
      <c r="I289" s="452" t="s">
        <v>11566</v>
      </c>
      <c r="J289" s="369" t="s">
        <v>753</v>
      </c>
      <c r="K289" s="452" t="s">
        <v>741</v>
      </c>
    </row>
    <row r="290" spans="1:11" s="185" customFormat="1">
      <c r="A290" s="369"/>
      <c r="B290" s="144"/>
      <c r="C290" s="196" t="s">
        <v>2024</v>
      </c>
      <c r="D290" s="230"/>
      <c r="E290" s="215"/>
      <c r="F290" s="511"/>
      <c r="G290" s="314"/>
      <c r="H290" s="518"/>
      <c r="I290" s="452"/>
      <c r="J290" s="369"/>
      <c r="K290" s="452"/>
    </row>
    <row r="291" spans="1:11" s="185" customFormat="1">
      <c r="A291" s="369"/>
      <c r="B291" s="144"/>
      <c r="C291" s="196" t="s">
        <v>2024</v>
      </c>
      <c r="D291" s="230"/>
      <c r="E291" s="215"/>
      <c r="F291" s="511"/>
      <c r="G291" s="314"/>
      <c r="H291" s="518"/>
      <c r="I291" s="452"/>
      <c r="J291" s="369"/>
      <c r="K291" s="452"/>
    </row>
    <row r="292" spans="1:11" s="185" customFormat="1">
      <c r="A292" s="369"/>
      <c r="B292" s="144" t="s">
        <v>6367</v>
      </c>
      <c r="C292" s="196">
        <v>46</v>
      </c>
      <c r="D292" s="230">
        <f t="shared" ref="D292:D298" si="48">C292*(1-VLOOKUP(I292,descuentos,6,FALSE))*fcl/IF(dol_sol="dólar", TC,1)</f>
        <v>13.495164179104473</v>
      </c>
      <c r="E292" s="215"/>
      <c r="F292" s="511">
        <f t="shared" ref="F292:F307" si="49">ROUNDUP(D292+E292,2)</f>
        <v>13.5</v>
      </c>
      <c r="G292" s="314" t="s">
        <v>6368</v>
      </c>
      <c r="H292" s="518" t="s">
        <v>6369</v>
      </c>
      <c r="I292" s="452" t="s">
        <v>11566</v>
      </c>
      <c r="J292" s="369" t="s">
        <v>753</v>
      </c>
      <c r="K292" s="452" t="s">
        <v>741</v>
      </c>
    </row>
    <row r="293" spans="1:11" s="185" customFormat="1">
      <c r="A293" s="369"/>
      <c r="B293" s="144" t="s">
        <v>6370</v>
      </c>
      <c r="C293" s="196">
        <v>46</v>
      </c>
      <c r="D293" s="230">
        <f t="shared" si="48"/>
        <v>13.495164179104473</v>
      </c>
      <c r="E293" s="215"/>
      <c r="F293" s="511">
        <f t="shared" si="49"/>
        <v>13.5</v>
      </c>
      <c r="G293" s="314" t="s">
        <v>6371</v>
      </c>
      <c r="H293" s="518" t="s">
        <v>6372</v>
      </c>
      <c r="I293" s="452" t="s">
        <v>11566</v>
      </c>
      <c r="J293" s="369" t="s">
        <v>753</v>
      </c>
      <c r="K293" s="452" t="s">
        <v>741</v>
      </c>
    </row>
    <row r="294" spans="1:11" s="185" customFormat="1">
      <c r="A294" s="369"/>
      <c r="B294" s="144" t="s">
        <v>6373</v>
      </c>
      <c r="C294" s="196">
        <v>46</v>
      </c>
      <c r="D294" s="230">
        <f t="shared" si="48"/>
        <v>13.495164179104473</v>
      </c>
      <c r="E294" s="215"/>
      <c r="F294" s="511">
        <f t="shared" si="49"/>
        <v>13.5</v>
      </c>
      <c r="G294" s="314" t="s">
        <v>6374</v>
      </c>
      <c r="H294" s="518" t="s">
        <v>6375</v>
      </c>
      <c r="I294" s="452" t="s">
        <v>11566</v>
      </c>
      <c r="J294" s="369" t="s">
        <v>753</v>
      </c>
      <c r="K294" s="452" t="s">
        <v>741</v>
      </c>
    </row>
    <row r="295" spans="1:11" s="185" customFormat="1">
      <c r="A295" s="369"/>
      <c r="B295" s="144" t="s">
        <v>6376</v>
      </c>
      <c r="C295" s="196">
        <v>46</v>
      </c>
      <c r="D295" s="230">
        <f t="shared" si="48"/>
        <v>13.495164179104473</v>
      </c>
      <c r="E295" s="215"/>
      <c r="F295" s="511">
        <f t="shared" si="49"/>
        <v>13.5</v>
      </c>
      <c r="G295" s="314" t="s">
        <v>6377</v>
      </c>
      <c r="H295" s="518" t="s">
        <v>6378</v>
      </c>
      <c r="I295" s="452" t="s">
        <v>11566</v>
      </c>
      <c r="J295" s="369" t="s">
        <v>753</v>
      </c>
      <c r="K295" s="452" t="s">
        <v>741</v>
      </c>
    </row>
    <row r="296" spans="1:11">
      <c r="A296" s="369"/>
      <c r="B296" s="144" t="s">
        <v>6379</v>
      </c>
      <c r="C296" s="196">
        <v>65</v>
      </c>
      <c r="D296" s="230">
        <f t="shared" si="48"/>
        <v>19.069253731343277</v>
      </c>
      <c r="E296" s="215"/>
      <c r="F296" s="511">
        <f t="shared" si="49"/>
        <v>19.07</v>
      </c>
      <c r="G296" s="314" t="s">
        <v>6380</v>
      </c>
      <c r="H296" s="518" t="s">
        <v>6381</v>
      </c>
      <c r="I296" s="452" t="s">
        <v>11566</v>
      </c>
      <c r="J296" s="369" t="s">
        <v>753</v>
      </c>
      <c r="K296" s="452" t="s">
        <v>741</v>
      </c>
    </row>
    <row r="297" spans="1:11">
      <c r="A297" s="369"/>
      <c r="B297" s="144" t="s">
        <v>6382</v>
      </c>
      <c r="C297" s="196">
        <v>65</v>
      </c>
      <c r="D297" s="230">
        <f t="shared" si="48"/>
        <v>19.069253731343277</v>
      </c>
      <c r="E297" s="215"/>
      <c r="F297" s="511">
        <f t="shared" si="49"/>
        <v>19.07</v>
      </c>
      <c r="G297" s="314" t="s">
        <v>6383</v>
      </c>
      <c r="H297" s="518" t="s">
        <v>6384</v>
      </c>
      <c r="I297" s="452" t="s">
        <v>11566</v>
      </c>
      <c r="J297" s="369" t="s">
        <v>753</v>
      </c>
      <c r="K297" s="452" t="s">
        <v>741</v>
      </c>
    </row>
    <row r="298" spans="1:11">
      <c r="A298" s="369"/>
      <c r="B298" s="144" t="s">
        <v>6385</v>
      </c>
      <c r="C298" s="196">
        <v>65</v>
      </c>
      <c r="D298" s="230">
        <f t="shared" si="48"/>
        <v>19.069253731343277</v>
      </c>
      <c r="E298" s="215"/>
      <c r="F298" s="511">
        <f t="shared" si="49"/>
        <v>19.07</v>
      </c>
      <c r="G298" s="314" t="s">
        <v>6386</v>
      </c>
      <c r="H298" s="518" t="s">
        <v>6387</v>
      </c>
      <c r="I298" s="452" t="s">
        <v>11566</v>
      </c>
      <c r="J298" s="369" t="s">
        <v>753</v>
      </c>
      <c r="K298" s="452" t="s">
        <v>741</v>
      </c>
    </row>
    <row r="299" spans="1:11">
      <c r="A299" s="369"/>
      <c r="B299" s="144"/>
      <c r="C299" s="196" t="s">
        <v>2024</v>
      </c>
      <c r="D299" s="230"/>
      <c r="E299" s="215"/>
      <c r="F299" s="511"/>
      <c r="G299" s="314"/>
      <c r="H299" s="518"/>
      <c r="I299" s="452"/>
      <c r="J299" s="369"/>
      <c r="K299" s="452"/>
    </row>
    <row r="300" spans="1:11" s="185" customFormat="1">
      <c r="A300" s="369"/>
      <c r="B300" s="144" t="s">
        <v>11150</v>
      </c>
      <c r="C300" s="196">
        <v>84</v>
      </c>
      <c r="D300" s="230">
        <f t="shared" ref="D300" si="50">C300*(1-VLOOKUP(I300,descuentos,6,FALSE))*fcl/IF(dol_sol="dólar", TC,1)</f>
        <v>24.643343283582084</v>
      </c>
      <c r="E300" s="215"/>
      <c r="F300" s="511">
        <f t="shared" si="49"/>
        <v>24.650000000000002</v>
      </c>
      <c r="G300" s="314" t="s">
        <v>11151</v>
      </c>
      <c r="H300" s="518" t="s">
        <v>11152</v>
      </c>
      <c r="I300" s="452" t="s">
        <v>11566</v>
      </c>
      <c r="J300" s="369" t="s">
        <v>753</v>
      </c>
      <c r="K300" s="452" t="s">
        <v>741</v>
      </c>
    </row>
    <row r="301" spans="1:11" s="185" customFormat="1">
      <c r="A301" s="369"/>
      <c r="B301" s="144" t="s">
        <v>6388</v>
      </c>
      <c r="C301" s="196">
        <v>84</v>
      </c>
      <c r="D301" s="230">
        <f t="shared" ref="D301:D307" si="51">C301*(1-VLOOKUP(I301,descuentos,6,FALSE))*fcl/IF(dol_sol="dólar", TC,1)</f>
        <v>24.643343283582084</v>
      </c>
      <c r="E301" s="215"/>
      <c r="F301" s="511">
        <f t="shared" si="49"/>
        <v>24.650000000000002</v>
      </c>
      <c r="G301" s="314" t="s">
        <v>6389</v>
      </c>
      <c r="H301" s="518" t="s">
        <v>5274</v>
      </c>
      <c r="I301" s="452" t="s">
        <v>11566</v>
      </c>
      <c r="J301" s="369" t="s">
        <v>753</v>
      </c>
      <c r="K301" s="452" t="s">
        <v>741</v>
      </c>
    </row>
    <row r="302" spans="1:11" s="185" customFormat="1">
      <c r="A302" s="369"/>
      <c r="B302" s="144" t="s">
        <v>6390</v>
      </c>
      <c r="C302" s="196">
        <v>84</v>
      </c>
      <c r="D302" s="230">
        <f t="shared" si="51"/>
        <v>24.643343283582084</v>
      </c>
      <c r="E302" s="215"/>
      <c r="F302" s="511">
        <f t="shared" si="49"/>
        <v>24.650000000000002</v>
      </c>
      <c r="G302" s="314" t="s">
        <v>6391</v>
      </c>
      <c r="H302" s="518" t="s">
        <v>5277</v>
      </c>
      <c r="I302" s="452" t="s">
        <v>11566</v>
      </c>
      <c r="J302" s="369" t="s">
        <v>753</v>
      </c>
      <c r="K302" s="452" t="s">
        <v>741</v>
      </c>
    </row>
    <row r="303" spans="1:11" s="185" customFormat="1">
      <c r="A303" s="369"/>
      <c r="B303" s="144" t="s">
        <v>6392</v>
      </c>
      <c r="C303" s="196">
        <v>84</v>
      </c>
      <c r="D303" s="230">
        <f t="shared" si="51"/>
        <v>24.643343283582084</v>
      </c>
      <c r="E303" s="215"/>
      <c r="F303" s="511">
        <f t="shared" si="49"/>
        <v>24.650000000000002</v>
      </c>
      <c r="G303" s="314" t="s">
        <v>6393</v>
      </c>
      <c r="H303" s="518" t="s">
        <v>5280</v>
      </c>
      <c r="I303" s="452" t="s">
        <v>11566</v>
      </c>
      <c r="J303" s="369" t="s">
        <v>753</v>
      </c>
      <c r="K303" s="452" t="s">
        <v>741</v>
      </c>
    </row>
    <row r="304" spans="1:11" s="185" customFormat="1">
      <c r="A304" s="369"/>
      <c r="B304" s="144" t="s">
        <v>6394</v>
      </c>
      <c r="C304" s="196">
        <v>84</v>
      </c>
      <c r="D304" s="230">
        <f t="shared" si="51"/>
        <v>24.643343283582084</v>
      </c>
      <c r="E304" s="215"/>
      <c r="F304" s="511">
        <f t="shared" si="49"/>
        <v>24.650000000000002</v>
      </c>
      <c r="G304" s="314" t="s">
        <v>6395</v>
      </c>
      <c r="H304" s="518" t="s">
        <v>5283</v>
      </c>
      <c r="I304" s="452" t="s">
        <v>11566</v>
      </c>
      <c r="J304" s="369" t="s">
        <v>753</v>
      </c>
      <c r="K304" s="452" t="s">
        <v>741</v>
      </c>
    </row>
    <row r="305" spans="1:11">
      <c r="A305" s="369"/>
      <c r="B305" s="144" t="s">
        <v>6396</v>
      </c>
      <c r="C305" s="196">
        <v>115.8</v>
      </c>
      <c r="D305" s="230">
        <f t="shared" si="51"/>
        <v>33.972608955223869</v>
      </c>
      <c r="E305" s="215"/>
      <c r="F305" s="511">
        <f t="shared" si="49"/>
        <v>33.979999999999997</v>
      </c>
      <c r="G305" s="314" t="s">
        <v>6397</v>
      </c>
      <c r="H305" s="518" t="s">
        <v>5286</v>
      </c>
      <c r="I305" s="452" t="s">
        <v>11566</v>
      </c>
      <c r="J305" s="369" t="s">
        <v>753</v>
      </c>
      <c r="K305" s="452" t="s">
        <v>741</v>
      </c>
    </row>
    <row r="306" spans="1:11">
      <c r="A306" s="369"/>
      <c r="B306" s="144" t="s">
        <v>6398</v>
      </c>
      <c r="C306" s="196">
        <v>115.8</v>
      </c>
      <c r="D306" s="230">
        <f t="shared" si="51"/>
        <v>33.972608955223869</v>
      </c>
      <c r="E306" s="215"/>
      <c r="F306" s="511">
        <f t="shared" si="49"/>
        <v>33.979999999999997</v>
      </c>
      <c r="G306" s="314" t="s">
        <v>6399</v>
      </c>
      <c r="H306" s="518" t="s">
        <v>5289</v>
      </c>
      <c r="I306" s="452" t="s">
        <v>11566</v>
      </c>
      <c r="J306" s="369" t="s">
        <v>753</v>
      </c>
      <c r="K306" s="452" t="s">
        <v>741</v>
      </c>
    </row>
    <row r="307" spans="1:11">
      <c r="A307" s="369"/>
      <c r="B307" s="144" t="s">
        <v>6400</v>
      </c>
      <c r="C307" s="196">
        <v>115.8</v>
      </c>
      <c r="D307" s="230">
        <f t="shared" si="51"/>
        <v>33.972608955223869</v>
      </c>
      <c r="E307" s="215"/>
      <c r="F307" s="511">
        <f t="shared" si="49"/>
        <v>33.979999999999997</v>
      </c>
      <c r="G307" s="314" t="s">
        <v>6401</v>
      </c>
      <c r="H307" s="518" t="s">
        <v>5292</v>
      </c>
      <c r="I307" s="452" t="s">
        <v>11566</v>
      </c>
      <c r="J307" s="369" t="s">
        <v>753</v>
      </c>
      <c r="K307" s="452" t="s">
        <v>741</v>
      </c>
    </row>
    <row r="308" spans="1:11" s="317" customFormat="1">
      <c r="A308" s="369"/>
      <c r="B308" s="144"/>
      <c r="C308" s="196" t="s">
        <v>2024</v>
      </c>
      <c r="D308" s="230"/>
      <c r="E308" s="215"/>
      <c r="F308" s="511"/>
      <c r="G308" s="314"/>
      <c r="H308" s="518"/>
      <c r="I308" s="452"/>
      <c r="J308" s="369"/>
      <c r="K308" s="452"/>
    </row>
    <row r="309" spans="1:11" s="185" customFormat="1">
      <c r="A309" s="369"/>
      <c r="B309" s="144" t="s">
        <v>11153</v>
      </c>
      <c r="C309" s="196">
        <v>132.19999999999999</v>
      </c>
      <c r="D309" s="230">
        <f t="shared" ref="D309" si="52">C309*(1-VLOOKUP(I309,descuentos,6,FALSE))*fcl/IF(dol_sol="dólar", TC,1)</f>
        <v>38.783928358208939</v>
      </c>
      <c r="E309" s="215"/>
      <c r="F309" s="511">
        <f t="shared" ref="F309:F316" si="53">ROUNDUP(D309+E309,2)</f>
        <v>38.79</v>
      </c>
      <c r="G309" s="314" t="s">
        <v>11154</v>
      </c>
      <c r="H309" s="518" t="s">
        <v>5295</v>
      </c>
      <c r="I309" s="452" t="s">
        <v>11566</v>
      </c>
      <c r="J309" s="369" t="s">
        <v>753</v>
      </c>
      <c r="K309" s="452" t="s">
        <v>741</v>
      </c>
    </row>
    <row r="310" spans="1:11" s="185" customFormat="1">
      <c r="A310" s="369"/>
      <c r="B310" s="144" t="s">
        <v>6402</v>
      </c>
      <c r="C310" s="196">
        <v>132.19999999999999</v>
      </c>
      <c r="D310" s="230">
        <f t="shared" ref="D310:D316" si="54">C310*(1-VLOOKUP(I310,descuentos,6,FALSE))*fcl/IF(dol_sol="dólar", TC,1)</f>
        <v>38.783928358208939</v>
      </c>
      <c r="E310" s="215"/>
      <c r="F310" s="511">
        <f t="shared" si="53"/>
        <v>38.79</v>
      </c>
      <c r="G310" s="314" t="s">
        <v>6403</v>
      </c>
      <c r="H310" s="518" t="s">
        <v>5298</v>
      </c>
      <c r="I310" s="452" t="s">
        <v>11566</v>
      </c>
      <c r="J310" s="369" t="s">
        <v>753</v>
      </c>
      <c r="K310" s="452" t="s">
        <v>741</v>
      </c>
    </row>
    <row r="311" spans="1:11" s="185" customFormat="1">
      <c r="A311" s="369"/>
      <c r="B311" s="144" t="s">
        <v>6404</v>
      </c>
      <c r="C311" s="196">
        <v>132.19999999999999</v>
      </c>
      <c r="D311" s="230">
        <f t="shared" si="54"/>
        <v>38.783928358208939</v>
      </c>
      <c r="E311" s="215"/>
      <c r="F311" s="511">
        <f t="shared" si="53"/>
        <v>38.79</v>
      </c>
      <c r="G311" s="314" t="s">
        <v>6405</v>
      </c>
      <c r="H311" s="518" t="s">
        <v>5301</v>
      </c>
      <c r="I311" s="452" t="s">
        <v>11566</v>
      </c>
      <c r="J311" s="369" t="s">
        <v>753</v>
      </c>
      <c r="K311" s="452" t="s">
        <v>741</v>
      </c>
    </row>
    <row r="312" spans="1:11" s="185" customFormat="1">
      <c r="A312" s="369"/>
      <c r="B312" s="144" t="s">
        <v>6406</v>
      </c>
      <c r="C312" s="196">
        <v>132.19999999999999</v>
      </c>
      <c r="D312" s="230">
        <f t="shared" si="54"/>
        <v>38.783928358208939</v>
      </c>
      <c r="E312" s="215"/>
      <c r="F312" s="511">
        <f t="shared" si="53"/>
        <v>38.79</v>
      </c>
      <c r="G312" s="314" t="s">
        <v>6407</v>
      </c>
      <c r="H312" s="518" t="s">
        <v>5304</v>
      </c>
      <c r="I312" s="452" t="s">
        <v>11566</v>
      </c>
      <c r="J312" s="369" t="s">
        <v>753</v>
      </c>
      <c r="K312" s="452" t="s">
        <v>741</v>
      </c>
    </row>
    <row r="313" spans="1:11" s="185" customFormat="1">
      <c r="A313" s="369"/>
      <c r="B313" s="144" t="s">
        <v>6408</v>
      </c>
      <c r="C313" s="196">
        <v>132.19999999999999</v>
      </c>
      <c r="D313" s="230">
        <f t="shared" si="54"/>
        <v>38.783928358208939</v>
      </c>
      <c r="E313" s="215"/>
      <c r="F313" s="511">
        <f t="shared" si="53"/>
        <v>38.79</v>
      </c>
      <c r="G313" s="314" t="s">
        <v>6409</v>
      </c>
      <c r="H313" s="518" t="s">
        <v>5307</v>
      </c>
      <c r="I313" s="452" t="s">
        <v>11566</v>
      </c>
      <c r="J313" s="369" t="s">
        <v>753</v>
      </c>
      <c r="K313" s="452" t="s">
        <v>741</v>
      </c>
    </row>
    <row r="314" spans="1:11">
      <c r="A314" s="369"/>
      <c r="B314" s="144" t="s">
        <v>6410</v>
      </c>
      <c r="C314" s="196">
        <v>186.79999999999998</v>
      </c>
      <c r="D314" s="230">
        <f t="shared" si="54"/>
        <v>54.80210149253729</v>
      </c>
      <c r="E314" s="215"/>
      <c r="F314" s="511">
        <f t="shared" si="53"/>
        <v>54.809999999999995</v>
      </c>
      <c r="G314" s="314" t="s">
        <v>6411</v>
      </c>
      <c r="H314" s="518" t="s">
        <v>5310</v>
      </c>
      <c r="I314" s="452" t="s">
        <v>11566</v>
      </c>
      <c r="J314" s="369" t="s">
        <v>753</v>
      </c>
      <c r="K314" s="452" t="s">
        <v>741</v>
      </c>
    </row>
    <row r="315" spans="1:11">
      <c r="A315" s="369"/>
      <c r="B315" s="144" t="s">
        <v>6412</v>
      </c>
      <c r="C315" s="196">
        <v>186.79999999999998</v>
      </c>
      <c r="D315" s="230">
        <f t="shared" si="54"/>
        <v>54.80210149253729</v>
      </c>
      <c r="E315" s="215"/>
      <c r="F315" s="511">
        <f t="shared" si="53"/>
        <v>54.809999999999995</v>
      </c>
      <c r="G315" s="314" t="s">
        <v>6413</v>
      </c>
      <c r="H315" s="518" t="s">
        <v>5313</v>
      </c>
      <c r="I315" s="452" t="s">
        <v>11566</v>
      </c>
      <c r="J315" s="369" t="s">
        <v>753</v>
      </c>
      <c r="K315" s="452" t="s">
        <v>741</v>
      </c>
    </row>
    <row r="316" spans="1:11">
      <c r="A316" s="369"/>
      <c r="B316" s="144" t="s">
        <v>6414</v>
      </c>
      <c r="C316" s="196">
        <v>186.79999999999998</v>
      </c>
      <c r="D316" s="230">
        <f t="shared" si="54"/>
        <v>54.80210149253729</v>
      </c>
      <c r="E316" s="215"/>
      <c r="F316" s="511">
        <f t="shared" si="53"/>
        <v>54.809999999999995</v>
      </c>
      <c r="G316" s="314" t="s">
        <v>6415</v>
      </c>
      <c r="H316" s="518" t="s">
        <v>5316</v>
      </c>
      <c r="I316" s="452" t="s">
        <v>11566</v>
      </c>
      <c r="J316" s="369" t="s">
        <v>753</v>
      </c>
      <c r="K316" s="452" t="s">
        <v>741</v>
      </c>
    </row>
    <row r="317" spans="1:11">
      <c r="A317" s="369"/>
      <c r="B317" s="144"/>
      <c r="C317" s="196" t="s">
        <v>2024</v>
      </c>
      <c r="D317" s="230"/>
      <c r="E317" s="215"/>
      <c r="F317" s="511"/>
      <c r="G317" s="314"/>
      <c r="H317" s="518"/>
      <c r="I317" s="452"/>
      <c r="J317" s="369"/>
      <c r="K317" s="452"/>
    </row>
    <row r="318" spans="1:11" s="317" customFormat="1">
      <c r="A318" s="369"/>
      <c r="B318" s="314"/>
      <c r="C318" s="196" t="s">
        <v>2024</v>
      </c>
      <c r="D318" s="230"/>
      <c r="E318" s="215"/>
      <c r="F318" s="511"/>
      <c r="G318" s="314"/>
      <c r="H318" s="518"/>
      <c r="I318" s="452"/>
      <c r="J318" s="369"/>
      <c r="K318" s="452"/>
    </row>
    <row r="319" spans="1:11" s="317" customFormat="1">
      <c r="A319" s="369"/>
      <c r="B319" s="318" t="s">
        <v>1392</v>
      </c>
      <c r="C319" s="196">
        <v>291</v>
      </c>
      <c r="D319" s="230">
        <f>C319*(1-VLOOKUP(I319,descuentos,6,FALSE))*fcl/IF(dol_sol="dólar", TC,1)</f>
        <v>85.37158208955222</v>
      </c>
      <c r="E319" s="215">
        <v>0</v>
      </c>
      <c r="F319" s="511">
        <f t="shared" ref="F319:F326" si="55">ROUNDUP(D319+E319,2)</f>
        <v>85.38000000000001</v>
      </c>
      <c r="G319" s="314" t="s">
        <v>5266</v>
      </c>
      <c r="H319" s="1656" t="s">
        <v>1402</v>
      </c>
      <c r="I319" s="452" t="s">
        <v>11566</v>
      </c>
      <c r="J319" s="369" t="s">
        <v>753</v>
      </c>
      <c r="K319" s="452" t="s">
        <v>741</v>
      </c>
    </row>
    <row r="320" spans="1:11" s="317" customFormat="1">
      <c r="A320" s="369"/>
      <c r="B320" s="318" t="s">
        <v>1394</v>
      </c>
      <c r="C320" s="196">
        <v>245</v>
      </c>
      <c r="D320" s="230">
        <f>C320*(1-VLOOKUP(I320,descuentos,6,FALSE))*fcl/IF(dol_sol="dólar", TC,1)</f>
        <v>71.876417910447728</v>
      </c>
      <c r="E320" s="215">
        <v>0</v>
      </c>
      <c r="F320" s="511">
        <f t="shared" si="55"/>
        <v>71.88000000000001</v>
      </c>
      <c r="G320" s="314" t="s">
        <v>5267</v>
      </c>
      <c r="H320" s="1656" t="s">
        <v>1403</v>
      </c>
      <c r="I320" s="452" t="s">
        <v>11566</v>
      </c>
      <c r="J320" s="369" t="s">
        <v>753</v>
      </c>
      <c r="K320" s="452" t="s">
        <v>741</v>
      </c>
    </row>
    <row r="321" spans="1:11" s="317" customFormat="1">
      <c r="A321" s="369"/>
      <c r="B321" s="314"/>
      <c r="C321" s="196" t="s">
        <v>2024</v>
      </c>
      <c r="D321" s="230"/>
      <c r="E321" s="215"/>
      <c r="F321" s="511">
        <f t="shared" si="55"/>
        <v>0</v>
      </c>
      <c r="G321" s="314"/>
      <c r="H321" s="518"/>
      <c r="I321" s="452"/>
      <c r="J321" s="369"/>
      <c r="K321" s="452"/>
    </row>
    <row r="322" spans="1:11" s="317" customFormat="1">
      <c r="A322" s="369"/>
      <c r="B322" s="318" t="s">
        <v>1398</v>
      </c>
      <c r="C322" s="196">
        <v>336</v>
      </c>
      <c r="D322" s="230">
        <f>C322*(1-VLOOKUP(I322,descuentos,6,FALSE))*fcl/IF(dol_sol="dólar", TC,1)</f>
        <v>98.573373134328335</v>
      </c>
      <c r="E322" s="215">
        <v>0</v>
      </c>
      <c r="F322" s="511">
        <f t="shared" si="55"/>
        <v>98.58</v>
      </c>
      <c r="G322" s="314" t="s">
        <v>5268</v>
      </c>
      <c r="H322" s="1656" t="s">
        <v>1400</v>
      </c>
      <c r="I322" s="452" t="s">
        <v>11566</v>
      </c>
      <c r="J322" s="369" t="s">
        <v>753</v>
      </c>
      <c r="K322" s="452" t="s">
        <v>741</v>
      </c>
    </row>
    <row r="323" spans="1:11" s="317" customFormat="1">
      <c r="A323" s="369"/>
      <c r="B323" s="318" t="s">
        <v>1399</v>
      </c>
      <c r="C323" s="196">
        <v>280</v>
      </c>
      <c r="D323" s="230">
        <f>C323*(1-VLOOKUP(I323,descuentos,6,FALSE))*fcl/IF(dol_sol="dólar", TC,1)</f>
        <v>82.144477611940275</v>
      </c>
      <c r="E323" s="215">
        <v>0</v>
      </c>
      <c r="F323" s="511">
        <f t="shared" si="55"/>
        <v>82.15</v>
      </c>
      <c r="G323" s="314" t="s">
        <v>5269</v>
      </c>
      <c r="H323" s="1656" t="s">
        <v>1401</v>
      </c>
      <c r="I323" s="452" t="s">
        <v>11566</v>
      </c>
      <c r="J323" s="369" t="s">
        <v>753</v>
      </c>
      <c r="K323" s="452" t="s">
        <v>741</v>
      </c>
    </row>
    <row r="324" spans="1:11" s="317" customFormat="1">
      <c r="A324" s="369"/>
      <c r="B324" s="314"/>
      <c r="C324" s="196" t="s">
        <v>2024</v>
      </c>
      <c r="D324" s="230"/>
      <c r="E324" s="215"/>
      <c r="F324" s="511"/>
      <c r="G324" s="314"/>
      <c r="H324" s="518"/>
      <c r="I324" s="452"/>
      <c r="J324" s="369"/>
      <c r="K324" s="452"/>
    </row>
    <row r="325" spans="1:11" s="317" customFormat="1">
      <c r="A325" s="369"/>
      <c r="B325" s="314" t="s">
        <v>1396</v>
      </c>
      <c r="C325" s="196">
        <v>556</v>
      </c>
      <c r="D325" s="230">
        <f>C325*(1-VLOOKUP(I325,descuentos,6,FALSE))*fcl/IF(dol_sol="dólar", TC,1)</f>
        <v>163.1154626865671</v>
      </c>
      <c r="E325" s="215">
        <v>0</v>
      </c>
      <c r="F325" s="511">
        <f t="shared" si="55"/>
        <v>163.12</v>
      </c>
      <c r="G325" s="314" t="s">
        <v>5270</v>
      </c>
      <c r="H325" s="1656" t="s">
        <v>1393</v>
      </c>
      <c r="I325" s="452" t="s">
        <v>11566</v>
      </c>
      <c r="J325" s="369" t="s">
        <v>753</v>
      </c>
      <c r="K325" s="452" t="s">
        <v>741</v>
      </c>
    </row>
    <row r="326" spans="1:11" s="317" customFormat="1">
      <c r="A326" s="369"/>
      <c r="B326" s="314" t="s">
        <v>1397</v>
      </c>
      <c r="C326" s="196">
        <v>463</v>
      </c>
      <c r="D326" s="230">
        <f>C326*(1-VLOOKUP(I326,descuentos,6,FALSE))*fcl/IF(dol_sol="dólar", TC,1)</f>
        <v>135.83176119402981</v>
      </c>
      <c r="E326" s="215">
        <v>0</v>
      </c>
      <c r="F326" s="511">
        <f t="shared" si="55"/>
        <v>135.84</v>
      </c>
      <c r="G326" s="314" t="s">
        <v>5271</v>
      </c>
      <c r="H326" s="1656" t="s">
        <v>1395</v>
      </c>
      <c r="I326" s="452" t="s">
        <v>11566</v>
      </c>
      <c r="J326" s="369" t="s">
        <v>753</v>
      </c>
      <c r="K326" s="452" t="s">
        <v>741</v>
      </c>
    </row>
    <row r="327" spans="1:11" s="317" customFormat="1">
      <c r="A327" s="369"/>
      <c r="B327" s="314"/>
      <c r="C327" s="196" t="s">
        <v>2024</v>
      </c>
      <c r="D327" s="230"/>
      <c r="E327" s="215"/>
      <c r="F327" s="511"/>
      <c r="G327" s="314"/>
      <c r="H327" s="518"/>
      <c r="I327" s="452"/>
      <c r="J327" s="369"/>
      <c r="K327" s="452"/>
    </row>
    <row r="328" spans="1:11" s="317" customFormat="1">
      <c r="A328" s="952"/>
      <c r="B328" s="144" t="s">
        <v>5272</v>
      </c>
      <c r="C328" s="196">
        <v>84</v>
      </c>
      <c r="D328" s="230">
        <f t="shared" ref="D328:D334" si="56">C328*(1-VLOOKUP(I328,descuentos,6,FALSE))*fcl/IF(dol_sol="dólar", TC,1)</f>
        <v>24.643343283582084</v>
      </c>
      <c r="E328" s="215">
        <v>0</v>
      </c>
      <c r="F328" s="511">
        <f t="shared" ref="F328:F334" si="57">ROUNDUP(D328+E328,2)</f>
        <v>24.650000000000002</v>
      </c>
      <c r="G328" s="314" t="s">
        <v>5273</v>
      </c>
      <c r="H328" s="518" t="s">
        <v>5274</v>
      </c>
      <c r="I328" s="452" t="s">
        <v>11566</v>
      </c>
      <c r="J328" s="369" t="s">
        <v>753</v>
      </c>
      <c r="K328" s="452" t="s">
        <v>741</v>
      </c>
    </row>
    <row r="329" spans="1:11" s="317" customFormat="1">
      <c r="A329" s="952"/>
      <c r="B329" s="144" t="s">
        <v>5275</v>
      </c>
      <c r="C329" s="196">
        <v>84</v>
      </c>
      <c r="D329" s="230">
        <f t="shared" si="56"/>
        <v>24.643343283582084</v>
      </c>
      <c r="E329" s="215">
        <v>0</v>
      </c>
      <c r="F329" s="511">
        <f t="shared" si="57"/>
        <v>24.650000000000002</v>
      </c>
      <c r="G329" s="314" t="s">
        <v>5276</v>
      </c>
      <c r="H329" s="518" t="s">
        <v>5277</v>
      </c>
      <c r="I329" s="452" t="s">
        <v>11566</v>
      </c>
      <c r="J329" s="369" t="s">
        <v>753</v>
      </c>
      <c r="K329" s="452" t="s">
        <v>741</v>
      </c>
    </row>
    <row r="330" spans="1:11" s="317" customFormat="1">
      <c r="A330" s="952"/>
      <c r="B330" s="144" t="s">
        <v>5278</v>
      </c>
      <c r="C330" s="196">
        <v>84</v>
      </c>
      <c r="D330" s="230">
        <f t="shared" si="56"/>
        <v>24.643343283582084</v>
      </c>
      <c r="E330" s="215">
        <v>0</v>
      </c>
      <c r="F330" s="511">
        <f t="shared" si="57"/>
        <v>24.650000000000002</v>
      </c>
      <c r="G330" s="314" t="s">
        <v>5279</v>
      </c>
      <c r="H330" s="518" t="s">
        <v>5280</v>
      </c>
      <c r="I330" s="452" t="s">
        <v>11566</v>
      </c>
      <c r="J330" s="369" t="s">
        <v>753</v>
      </c>
      <c r="K330" s="452" t="s">
        <v>741</v>
      </c>
    </row>
    <row r="331" spans="1:11" s="317" customFormat="1">
      <c r="A331" s="952"/>
      <c r="B331" s="144" t="s">
        <v>5281</v>
      </c>
      <c r="C331" s="196">
        <v>84</v>
      </c>
      <c r="D331" s="230">
        <f t="shared" si="56"/>
        <v>24.643343283582084</v>
      </c>
      <c r="E331" s="215">
        <v>0</v>
      </c>
      <c r="F331" s="511">
        <f t="shared" si="57"/>
        <v>24.650000000000002</v>
      </c>
      <c r="G331" s="314" t="s">
        <v>5282</v>
      </c>
      <c r="H331" s="518" t="s">
        <v>5283</v>
      </c>
      <c r="I331" s="452" t="s">
        <v>11566</v>
      </c>
      <c r="J331" s="369" t="s">
        <v>753</v>
      </c>
      <c r="K331" s="452" t="s">
        <v>741</v>
      </c>
    </row>
    <row r="332" spans="1:11" s="317" customFormat="1">
      <c r="A332" s="952"/>
      <c r="B332" s="144" t="s">
        <v>5284</v>
      </c>
      <c r="C332" s="196">
        <v>115.8</v>
      </c>
      <c r="D332" s="230">
        <f t="shared" si="56"/>
        <v>33.972608955223869</v>
      </c>
      <c r="E332" s="215">
        <v>0</v>
      </c>
      <c r="F332" s="511">
        <f t="shared" si="57"/>
        <v>33.979999999999997</v>
      </c>
      <c r="G332" s="314" t="s">
        <v>5285</v>
      </c>
      <c r="H332" s="518" t="s">
        <v>5286</v>
      </c>
      <c r="I332" s="452" t="s">
        <v>11566</v>
      </c>
      <c r="J332" s="369" t="s">
        <v>753</v>
      </c>
      <c r="K332" s="452" t="s">
        <v>741</v>
      </c>
    </row>
    <row r="333" spans="1:11" s="317" customFormat="1">
      <c r="A333" s="952"/>
      <c r="B333" s="144" t="s">
        <v>5287</v>
      </c>
      <c r="C333" s="196">
        <v>115.8</v>
      </c>
      <c r="D333" s="230">
        <f t="shared" si="56"/>
        <v>33.972608955223869</v>
      </c>
      <c r="E333" s="215">
        <v>0</v>
      </c>
      <c r="F333" s="511">
        <f t="shared" si="57"/>
        <v>33.979999999999997</v>
      </c>
      <c r="G333" s="314" t="s">
        <v>5288</v>
      </c>
      <c r="H333" s="518" t="s">
        <v>5289</v>
      </c>
      <c r="I333" s="452" t="s">
        <v>11566</v>
      </c>
      <c r="J333" s="369" t="s">
        <v>753</v>
      </c>
      <c r="K333" s="452" t="s">
        <v>741</v>
      </c>
    </row>
    <row r="334" spans="1:11" s="317" customFormat="1">
      <c r="A334" s="952"/>
      <c r="B334" s="144" t="s">
        <v>5290</v>
      </c>
      <c r="C334" s="196">
        <v>115.8</v>
      </c>
      <c r="D334" s="230">
        <f t="shared" si="56"/>
        <v>33.972608955223869</v>
      </c>
      <c r="E334" s="215">
        <v>0</v>
      </c>
      <c r="F334" s="511">
        <f t="shared" si="57"/>
        <v>33.979999999999997</v>
      </c>
      <c r="G334" s="314" t="s">
        <v>5291</v>
      </c>
      <c r="H334" s="518" t="s">
        <v>5292</v>
      </c>
      <c r="I334" s="452" t="s">
        <v>11566</v>
      </c>
      <c r="J334" s="369" t="s">
        <v>753</v>
      </c>
      <c r="K334" s="452" t="s">
        <v>741</v>
      </c>
    </row>
    <row r="335" spans="1:11" s="317" customFormat="1">
      <c r="A335" s="952"/>
      <c r="B335" s="314"/>
      <c r="C335" s="196" t="s">
        <v>2024</v>
      </c>
      <c r="D335" s="230"/>
      <c r="E335" s="215"/>
      <c r="F335" s="511"/>
      <c r="G335" s="314"/>
      <c r="H335" s="518"/>
      <c r="I335" s="452"/>
      <c r="J335" s="369"/>
      <c r="K335" s="452"/>
    </row>
    <row r="336" spans="1:11" s="317" customFormat="1">
      <c r="A336" s="952"/>
      <c r="B336" s="314"/>
      <c r="C336" s="196" t="s">
        <v>2024</v>
      </c>
      <c r="D336" s="230"/>
      <c r="E336" s="215"/>
      <c r="F336" s="511">
        <f t="shared" ref="F336:F344" si="58">ROUNDUP(D336+E336,2)</f>
        <v>0</v>
      </c>
      <c r="G336" s="314"/>
      <c r="H336" s="518"/>
      <c r="I336" s="452"/>
      <c r="J336" s="369"/>
      <c r="K336" s="452"/>
    </row>
    <row r="337" spans="1:11" s="317" customFormat="1">
      <c r="A337" s="952"/>
      <c r="B337" s="144" t="s">
        <v>5293</v>
      </c>
      <c r="C337" s="196">
        <v>132.19999999999999</v>
      </c>
      <c r="D337" s="230">
        <f t="shared" ref="D337:D344" si="59">C337*(1-VLOOKUP(I337,descuentos,6,FALSE))*fcl/IF(dol_sol="dólar", TC,1)</f>
        <v>38.783928358208939</v>
      </c>
      <c r="E337" s="215">
        <v>0</v>
      </c>
      <c r="F337" s="511">
        <f t="shared" si="58"/>
        <v>38.79</v>
      </c>
      <c r="G337" s="314" t="s">
        <v>5294</v>
      </c>
      <c r="H337" s="518" t="s">
        <v>5295</v>
      </c>
      <c r="I337" s="452" t="s">
        <v>11566</v>
      </c>
      <c r="J337" s="369" t="s">
        <v>753</v>
      </c>
      <c r="K337" s="452" t="s">
        <v>741</v>
      </c>
    </row>
    <row r="338" spans="1:11" s="317" customFormat="1">
      <c r="A338" s="952"/>
      <c r="B338" s="144" t="s">
        <v>5296</v>
      </c>
      <c r="C338" s="196">
        <v>132.19999999999999</v>
      </c>
      <c r="D338" s="230">
        <f t="shared" si="59"/>
        <v>38.783928358208939</v>
      </c>
      <c r="E338" s="215">
        <v>0</v>
      </c>
      <c r="F338" s="511">
        <f t="shared" si="58"/>
        <v>38.79</v>
      </c>
      <c r="G338" s="314" t="s">
        <v>5297</v>
      </c>
      <c r="H338" s="518" t="s">
        <v>5298</v>
      </c>
      <c r="I338" s="452" t="s">
        <v>11566</v>
      </c>
      <c r="J338" s="369" t="s">
        <v>753</v>
      </c>
      <c r="K338" s="452" t="s">
        <v>741</v>
      </c>
    </row>
    <row r="339" spans="1:11" s="317" customFormat="1">
      <c r="A339" s="952"/>
      <c r="B339" s="144" t="s">
        <v>5299</v>
      </c>
      <c r="C339" s="196">
        <v>132.19999999999999</v>
      </c>
      <c r="D339" s="230">
        <f t="shared" si="59"/>
        <v>38.783928358208939</v>
      </c>
      <c r="E339" s="215">
        <v>0</v>
      </c>
      <c r="F339" s="511">
        <f t="shared" si="58"/>
        <v>38.79</v>
      </c>
      <c r="G339" s="314" t="s">
        <v>5300</v>
      </c>
      <c r="H339" s="518" t="s">
        <v>5301</v>
      </c>
      <c r="I339" s="452" t="s">
        <v>11566</v>
      </c>
      <c r="J339" s="369" t="s">
        <v>753</v>
      </c>
      <c r="K339" s="452" t="s">
        <v>741</v>
      </c>
    </row>
    <row r="340" spans="1:11" s="317" customFormat="1">
      <c r="A340" s="952"/>
      <c r="B340" s="144" t="s">
        <v>5302</v>
      </c>
      <c r="C340" s="196">
        <v>132.19999999999999</v>
      </c>
      <c r="D340" s="230">
        <f t="shared" si="59"/>
        <v>38.783928358208939</v>
      </c>
      <c r="E340" s="215">
        <v>0</v>
      </c>
      <c r="F340" s="511">
        <f t="shared" si="58"/>
        <v>38.79</v>
      </c>
      <c r="G340" s="314" t="s">
        <v>5303</v>
      </c>
      <c r="H340" s="518" t="s">
        <v>5304</v>
      </c>
      <c r="I340" s="452" t="s">
        <v>11566</v>
      </c>
      <c r="J340" s="369" t="s">
        <v>753</v>
      </c>
      <c r="K340" s="452" t="s">
        <v>741</v>
      </c>
    </row>
    <row r="341" spans="1:11" s="317" customFormat="1">
      <c r="A341" s="952"/>
      <c r="B341" s="144" t="s">
        <v>5305</v>
      </c>
      <c r="C341" s="196">
        <v>132.19999999999999</v>
      </c>
      <c r="D341" s="230">
        <f t="shared" si="59"/>
        <v>38.783928358208939</v>
      </c>
      <c r="E341" s="215">
        <v>0</v>
      </c>
      <c r="F341" s="511">
        <f t="shared" si="58"/>
        <v>38.79</v>
      </c>
      <c r="G341" s="314" t="s">
        <v>5306</v>
      </c>
      <c r="H341" s="518" t="s">
        <v>5307</v>
      </c>
      <c r="I341" s="452" t="s">
        <v>11566</v>
      </c>
      <c r="J341" s="369" t="s">
        <v>753</v>
      </c>
      <c r="K341" s="452" t="s">
        <v>741</v>
      </c>
    </row>
    <row r="342" spans="1:11" s="317" customFormat="1">
      <c r="A342" s="952"/>
      <c r="B342" s="144" t="s">
        <v>5308</v>
      </c>
      <c r="C342" s="196">
        <v>186.79999999999998</v>
      </c>
      <c r="D342" s="230">
        <f t="shared" si="59"/>
        <v>54.80210149253729</v>
      </c>
      <c r="E342" s="215">
        <v>0</v>
      </c>
      <c r="F342" s="511">
        <f t="shared" si="58"/>
        <v>54.809999999999995</v>
      </c>
      <c r="G342" s="314" t="s">
        <v>5309</v>
      </c>
      <c r="H342" s="518" t="s">
        <v>5310</v>
      </c>
      <c r="I342" s="452" t="s">
        <v>11566</v>
      </c>
      <c r="J342" s="369" t="s">
        <v>753</v>
      </c>
      <c r="K342" s="452" t="s">
        <v>741</v>
      </c>
    </row>
    <row r="343" spans="1:11" s="317" customFormat="1">
      <c r="A343" s="952"/>
      <c r="B343" s="144" t="s">
        <v>5311</v>
      </c>
      <c r="C343" s="196">
        <v>186.79999999999998</v>
      </c>
      <c r="D343" s="230">
        <f t="shared" si="59"/>
        <v>54.80210149253729</v>
      </c>
      <c r="E343" s="215">
        <v>0</v>
      </c>
      <c r="F343" s="511">
        <f t="shared" si="58"/>
        <v>54.809999999999995</v>
      </c>
      <c r="G343" s="314" t="s">
        <v>5312</v>
      </c>
      <c r="H343" s="518" t="s">
        <v>5313</v>
      </c>
      <c r="I343" s="452" t="s">
        <v>11566</v>
      </c>
      <c r="J343" s="369" t="s">
        <v>753</v>
      </c>
      <c r="K343" s="452" t="s">
        <v>741</v>
      </c>
    </row>
    <row r="344" spans="1:11" s="317" customFormat="1">
      <c r="A344" s="952"/>
      <c r="B344" s="144" t="s">
        <v>5314</v>
      </c>
      <c r="C344" s="196">
        <v>186.79999999999998</v>
      </c>
      <c r="D344" s="230">
        <f t="shared" si="59"/>
        <v>54.80210149253729</v>
      </c>
      <c r="E344" s="215">
        <v>0</v>
      </c>
      <c r="F344" s="511">
        <f t="shared" si="58"/>
        <v>54.809999999999995</v>
      </c>
      <c r="G344" s="314" t="s">
        <v>5315</v>
      </c>
      <c r="H344" s="518" t="s">
        <v>5316</v>
      </c>
      <c r="I344" s="452" t="s">
        <v>11566</v>
      </c>
      <c r="J344" s="369" t="s">
        <v>753</v>
      </c>
      <c r="K344" s="452" t="s">
        <v>741</v>
      </c>
    </row>
    <row r="345" spans="1:11" s="317" customFormat="1">
      <c r="A345" s="369"/>
      <c r="B345" s="314"/>
      <c r="C345" s="196" t="s">
        <v>2024</v>
      </c>
      <c r="D345" s="230"/>
      <c r="E345" s="215"/>
      <c r="F345" s="511"/>
      <c r="G345" s="314"/>
      <c r="H345" s="518"/>
      <c r="I345" s="452"/>
      <c r="J345" s="369"/>
      <c r="K345" s="452"/>
    </row>
    <row r="346" spans="1:11" s="317" customFormat="1">
      <c r="A346" s="369"/>
      <c r="B346" s="314"/>
      <c r="C346" s="196" t="s">
        <v>2024</v>
      </c>
      <c r="D346" s="230"/>
      <c r="E346" s="215"/>
      <c r="F346" s="511"/>
      <c r="G346" s="314"/>
      <c r="H346" s="518"/>
      <c r="I346" s="452"/>
      <c r="J346" s="369"/>
      <c r="K346" s="452"/>
    </row>
    <row r="347" spans="1:11" s="317" customFormat="1">
      <c r="A347" s="369"/>
      <c r="B347" s="545" t="s">
        <v>1994</v>
      </c>
      <c r="C347" s="196" t="s">
        <v>2024</v>
      </c>
      <c r="D347" s="230"/>
      <c r="E347" s="215"/>
      <c r="F347" s="511">
        <f t="shared" ref="F347:F438" si="60">ROUNDUP(D347+E347,2)</f>
        <v>0</v>
      </c>
      <c r="G347" s="314"/>
      <c r="H347" s="518"/>
      <c r="I347" s="452"/>
      <c r="J347" s="369"/>
      <c r="K347" s="452"/>
    </row>
    <row r="348" spans="1:11" s="317" customFormat="1">
      <c r="A348" s="369"/>
      <c r="B348" s="314"/>
      <c r="C348" s="196" t="s">
        <v>2024</v>
      </c>
      <c r="D348" s="230"/>
      <c r="E348" s="215"/>
      <c r="F348" s="511">
        <f t="shared" si="60"/>
        <v>0</v>
      </c>
      <c r="G348" s="314"/>
      <c r="H348" s="518"/>
      <c r="I348" s="452"/>
      <c r="J348" s="369"/>
      <c r="K348" s="452"/>
    </row>
    <row r="349" spans="1:11" s="317" customFormat="1">
      <c r="A349" s="369"/>
      <c r="B349" s="314" t="s">
        <v>1103</v>
      </c>
      <c r="C349" s="196">
        <v>88.1</v>
      </c>
      <c r="D349" s="230">
        <f>C349*(1-VLOOKUP(I349,descuentos,6,FALSE))*fcl/IF(dol_sol="dólar", TC,1)</f>
        <v>25.846173134328346</v>
      </c>
      <c r="E349" s="215">
        <v>3</v>
      </c>
      <c r="F349" s="511">
        <f t="shared" si="60"/>
        <v>28.85</v>
      </c>
      <c r="G349" s="314" t="s">
        <v>1995</v>
      </c>
      <c r="H349" s="518" t="s">
        <v>1104</v>
      </c>
      <c r="I349" s="452" t="s">
        <v>11566</v>
      </c>
      <c r="J349" s="369" t="s">
        <v>753</v>
      </c>
      <c r="K349" s="452" t="s">
        <v>741</v>
      </c>
    </row>
    <row r="350" spans="1:11" s="317" customFormat="1">
      <c r="A350" s="369"/>
      <c r="B350" s="314" t="s">
        <v>1105</v>
      </c>
      <c r="C350" s="196">
        <v>109.39999999999999</v>
      </c>
      <c r="D350" s="230">
        <f>C350*(1-VLOOKUP(I350,descuentos,6,FALSE))*fcl/IF(dol_sol="dólar", TC,1)</f>
        <v>32.095020895522374</v>
      </c>
      <c r="E350" s="215">
        <v>3</v>
      </c>
      <c r="F350" s="511">
        <f t="shared" si="60"/>
        <v>35.1</v>
      </c>
      <c r="G350" s="314" t="s">
        <v>1996</v>
      </c>
      <c r="H350" s="518" t="s">
        <v>1107</v>
      </c>
      <c r="I350" s="452" t="s">
        <v>11566</v>
      </c>
      <c r="J350" s="369" t="s">
        <v>753</v>
      </c>
      <c r="K350" s="452" t="s">
        <v>741</v>
      </c>
    </row>
    <row r="351" spans="1:11" s="317" customFormat="1">
      <c r="A351" s="369"/>
      <c r="B351" s="314" t="s">
        <v>1106</v>
      </c>
      <c r="C351" s="196">
        <v>138</v>
      </c>
      <c r="D351" s="230">
        <f>C351*(1-VLOOKUP(I351,descuentos,6,FALSE))*fcl/IF(dol_sol="dólar", TC,1)</f>
        <v>40.485492537313419</v>
      </c>
      <c r="E351" s="215">
        <v>3</v>
      </c>
      <c r="F351" s="511">
        <f t="shared" si="60"/>
        <v>43.489999999999995</v>
      </c>
      <c r="G351" s="314" t="s">
        <v>1997</v>
      </c>
      <c r="H351" s="518" t="s">
        <v>1108</v>
      </c>
      <c r="I351" s="452" t="s">
        <v>11566</v>
      </c>
      <c r="J351" s="369" t="s">
        <v>753</v>
      </c>
      <c r="K351" s="452" t="s">
        <v>741</v>
      </c>
    </row>
    <row r="352" spans="1:11" s="317" customFormat="1">
      <c r="A352" s="369"/>
      <c r="B352" s="314"/>
      <c r="C352" s="196" t="s">
        <v>2024</v>
      </c>
      <c r="D352" s="230"/>
      <c r="E352" s="215"/>
      <c r="F352" s="511">
        <f t="shared" si="60"/>
        <v>0</v>
      </c>
      <c r="G352" s="314"/>
      <c r="H352" s="518"/>
      <c r="I352" s="452"/>
      <c r="J352" s="369"/>
      <c r="K352" s="452"/>
    </row>
    <row r="353" spans="1:11" s="317" customFormat="1">
      <c r="A353" s="369"/>
      <c r="B353" s="314" t="s">
        <v>1411</v>
      </c>
      <c r="C353" s="196">
        <v>205.9</v>
      </c>
      <c r="D353" s="230">
        <f>C353*(1-VLOOKUP(I353,descuentos,6,FALSE))*fcl/IF(dol_sol="dólar", TC,1)</f>
        <v>60.405528358208933</v>
      </c>
      <c r="E353" s="215">
        <v>3</v>
      </c>
      <c r="F353" s="511">
        <f t="shared" si="60"/>
        <v>63.41</v>
      </c>
      <c r="G353" s="314" t="s">
        <v>1998</v>
      </c>
      <c r="H353" s="518" t="s">
        <v>1412</v>
      </c>
      <c r="I353" s="452" t="s">
        <v>11566</v>
      </c>
      <c r="J353" s="369" t="s">
        <v>753</v>
      </c>
      <c r="K353" s="452" t="s">
        <v>741</v>
      </c>
    </row>
    <row r="354" spans="1:11" s="317" customFormat="1">
      <c r="A354" s="369"/>
      <c r="B354" s="314" t="s">
        <v>1413</v>
      </c>
      <c r="C354" s="196">
        <v>211.2</v>
      </c>
      <c r="D354" s="230">
        <f>C354*(1-VLOOKUP(I354,descuentos,6,FALSE))*fcl/IF(dol_sol="dólar", TC,1)</f>
        <v>61.960405970149232</v>
      </c>
      <c r="E354" s="215">
        <v>3</v>
      </c>
      <c r="F354" s="511">
        <f t="shared" si="60"/>
        <v>64.97</v>
      </c>
      <c r="G354" s="314" t="s">
        <v>1999</v>
      </c>
      <c r="H354" s="518" t="s">
        <v>1414</v>
      </c>
      <c r="I354" s="452" t="s">
        <v>11566</v>
      </c>
      <c r="J354" s="369" t="s">
        <v>753</v>
      </c>
      <c r="K354" s="452" t="s">
        <v>741</v>
      </c>
    </row>
    <row r="355" spans="1:11" s="317" customFormat="1">
      <c r="A355" s="369"/>
      <c r="B355" s="314"/>
      <c r="C355" s="196" t="s">
        <v>2024</v>
      </c>
      <c r="D355" s="230"/>
      <c r="E355" s="215"/>
      <c r="F355" s="511">
        <f t="shared" si="60"/>
        <v>0</v>
      </c>
      <c r="G355" s="314"/>
      <c r="H355" s="518"/>
      <c r="I355" s="452"/>
      <c r="J355" s="369"/>
      <c r="K355" s="452"/>
    </row>
    <row r="356" spans="1:11" s="317" customFormat="1">
      <c r="A356" s="369"/>
      <c r="B356" s="314"/>
      <c r="C356" s="196" t="s">
        <v>2024</v>
      </c>
      <c r="D356" s="230"/>
      <c r="E356" s="215"/>
      <c r="F356" s="511">
        <f t="shared" si="60"/>
        <v>0</v>
      </c>
      <c r="G356" s="314"/>
      <c r="H356" s="518"/>
      <c r="I356" s="452"/>
      <c r="J356" s="369"/>
      <c r="K356" s="452"/>
    </row>
    <row r="357" spans="1:11" s="317" customFormat="1">
      <c r="A357" s="369"/>
      <c r="B357" s="314" t="s">
        <v>1109</v>
      </c>
      <c r="C357" s="196">
        <v>227.2</v>
      </c>
      <c r="D357" s="230">
        <f>C357*(1-VLOOKUP(I357,descuentos,6,FALSE))*fcl/IF(dol_sol="dólar", TC,1)</f>
        <v>66.654376119402968</v>
      </c>
      <c r="E357" s="215">
        <v>6</v>
      </c>
      <c r="F357" s="511">
        <f t="shared" si="60"/>
        <v>72.660000000000011</v>
      </c>
      <c r="G357" s="314" t="s">
        <v>2000</v>
      </c>
      <c r="H357" s="518" t="s">
        <v>1112</v>
      </c>
      <c r="I357" s="452" t="s">
        <v>11566</v>
      </c>
      <c r="J357" s="369" t="s">
        <v>753</v>
      </c>
      <c r="K357" s="452" t="s">
        <v>741</v>
      </c>
    </row>
    <row r="358" spans="1:11" s="315" customFormat="1">
      <c r="A358" s="369"/>
      <c r="B358" s="314" t="s">
        <v>1110</v>
      </c>
      <c r="C358" s="196">
        <v>249.6</v>
      </c>
      <c r="D358" s="230">
        <f>C358*(1-VLOOKUP(I358,descuentos,6,FALSE))*fcl/IF(dol_sol="dólar", TC,1)</f>
        <v>73.225934328358179</v>
      </c>
      <c r="E358" s="215">
        <v>6</v>
      </c>
      <c r="F358" s="511">
        <f t="shared" si="60"/>
        <v>79.23</v>
      </c>
      <c r="G358" s="314" t="s">
        <v>2001</v>
      </c>
      <c r="H358" s="518" t="s">
        <v>1113</v>
      </c>
      <c r="I358" s="452" t="s">
        <v>11566</v>
      </c>
      <c r="J358" s="369" t="s">
        <v>753</v>
      </c>
      <c r="K358" s="452" t="s">
        <v>741</v>
      </c>
    </row>
    <row r="359" spans="1:11" s="317" customFormat="1">
      <c r="A359" s="369"/>
      <c r="B359" s="314" t="s">
        <v>1111</v>
      </c>
      <c r="C359" s="196">
        <v>284</v>
      </c>
      <c r="D359" s="230">
        <f>C359*(1-VLOOKUP(I359,descuentos,6,FALSE))*fcl/IF(dol_sol="dólar", TC,1)</f>
        <v>83.317970149253711</v>
      </c>
      <c r="E359" s="215">
        <v>6</v>
      </c>
      <c r="F359" s="511">
        <f t="shared" si="60"/>
        <v>89.320000000000007</v>
      </c>
      <c r="G359" s="314" t="s">
        <v>2002</v>
      </c>
      <c r="H359" s="518" t="s">
        <v>1114</v>
      </c>
      <c r="I359" s="452" t="s">
        <v>11566</v>
      </c>
      <c r="J359" s="369" t="s">
        <v>753</v>
      </c>
      <c r="K359" s="452" t="s">
        <v>741</v>
      </c>
    </row>
    <row r="360" spans="1:11" s="317" customFormat="1">
      <c r="A360" s="369"/>
      <c r="B360" s="314"/>
      <c r="C360" s="196" t="s">
        <v>2024</v>
      </c>
      <c r="D360" s="230"/>
      <c r="E360" s="215"/>
      <c r="F360" s="511">
        <f t="shared" si="60"/>
        <v>0</v>
      </c>
      <c r="G360" s="314"/>
      <c r="H360" s="518"/>
      <c r="I360" s="452"/>
      <c r="J360" s="369"/>
      <c r="K360" s="452"/>
    </row>
    <row r="361" spans="1:11" s="317" customFormat="1">
      <c r="A361" s="369"/>
      <c r="B361" s="314" t="s">
        <v>1115</v>
      </c>
      <c r="C361" s="196">
        <v>311.90000000000003</v>
      </c>
      <c r="D361" s="230">
        <f>C361*(1-VLOOKUP(I361,descuentos,6,FALSE))*fcl/IF(dol_sol="dólar", TC,1)</f>
        <v>91.503080597014886</v>
      </c>
      <c r="E361" s="215">
        <v>6</v>
      </c>
      <c r="F361" s="511">
        <f t="shared" si="60"/>
        <v>97.51</v>
      </c>
      <c r="G361" s="314" t="s">
        <v>2003</v>
      </c>
      <c r="H361" s="518" t="s">
        <v>1117</v>
      </c>
      <c r="I361" s="452" t="s">
        <v>11566</v>
      </c>
      <c r="J361" s="369" t="s">
        <v>753</v>
      </c>
      <c r="K361" s="452" t="s">
        <v>741</v>
      </c>
    </row>
    <row r="362" spans="1:11" s="317" customFormat="1">
      <c r="A362" s="369"/>
      <c r="B362" s="314" t="s">
        <v>1116</v>
      </c>
      <c r="C362" s="196">
        <v>357.6</v>
      </c>
      <c r="D362" s="230">
        <f>C362*(1-VLOOKUP(I362,descuentos,6,FALSE))*fcl/IF(dol_sol="dólar", TC,1)</f>
        <v>104.91023283582088</v>
      </c>
      <c r="E362" s="215">
        <v>6</v>
      </c>
      <c r="F362" s="511">
        <f t="shared" si="60"/>
        <v>110.92</v>
      </c>
      <c r="G362" s="314" t="s">
        <v>2004</v>
      </c>
      <c r="H362" s="518" t="s">
        <v>1118</v>
      </c>
      <c r="I362" s="452" t="s">
        <v>11566</v>
      </c>
      <c r="J362" s="369" t="s">
        <v>753</v>
      </c>
      <c r="K362" s="452" t="s">
        <v>741</v>
      </c>
    </row>
    <row r="363" spans="1:11" s="317" customFormat="1">
      <c r="A363" s="369"/>
      <c r="B363" s="314" t="s">
        <v>1415</v>
      </c>
      <c r="C363" s="234">
        <v>2395</v>
      </c>
      <c r="D363" s="230">
        <f>C363*(1-VLOOKUP(I363,descuentos,6,FALSE))*fcl/IF(dol_sol="dólar", TC,1)</f>
        <v>702.62865671641759</v>
      </c>
      <c r="E363" s="215">
        <v>6</v>
      </c>
      <c r="F363" s="511">
        <f t="shared" si="60"/>
        <v>708.63</v>
      </c>
      <c r="G363" s="314" t="s">
        <v>2005</v>
      </c>
      <c r="H363" s="518" t="s">
        <v>1416</v>
      </c>
      <c r="I363" s="452" t="s">
        <v>11566</v>
      </c>
      <c r="J363" s="369" t="s">
        <v>753</v>
      </c>
      <c r="K363" s="452" t="s">
        <v>741</v>
      </c>
    </row>
    <row r="364" spans="1:11" s="317" customFormat="1">
      <c r="A364" s="369"/>
      <c r="B364" s="314"/>
      <c r="C364" s="196" t="s">
        <v>2024</v>
      </c>
      <c r="D364" s="230"/>
      <c r="E364" s="215"/>
      <c r="F364" s="511"/>
      <c r="G364" s="314"/>
      <c r="H364" s="518"/>
      <c r="I364" s="452"/>
      <c r="J364" s="369"/>
      <c r="K364" s="452"/>
    </row>
    <row r="365" spans="1:11" s="33" customFormat="1">
      <c r="A365" s="447"/>
      <c r="B365" s="314"/>
      <c r="C365" s="196" t="s">
        <v>2024</v>
      </c>
      <c r="D365" s="230"/>
      <c r="E365" s="215"/>
      <c r="F365" s="511"/>
      <c r="G365" s="314"/>
      <c r="H365" s="518"/>
      <c r="I365" s="452"/>
      <c r="J365" s="369"/>
      <c r="K365" s="452"/>
    </row>
    <row r="366" spans="1:11" s="33" customFormat="1">
      <c r="A366" s="447"/>
      <c r="B366" s="545" t="s">
        <v>2006</v>
      </c>
      <c r="C366" s="196" t="s">
        <v>2024</v>
      </c>
      <c r="D366" s="230"/>
      <c r="E366" s="215"/>
      <c r="F366" s="511"/>
      <c r="G366" s="314"/>
      <c r="H366" s="518"/>
      <c r="I366" s="452"/>
      <c r="J366" s="369"/>
      <c r="K366" s="452"/>
    </row>
    <row r="367" spans="1:11" s="317" customFormat="1">
      <c r="A367" s="369"/>
      <c r="B367" s="545"/>
      <c r="C367" s="196" t="s">
        <v>2024</v>
      </c>
      <c r="D367" s="230"/>
      <c r="E367" s="215"/>
      <c r="F367" s="511"/>
      <c r="G367" s="314"/>
      <c r="H367" s="518"/>
      <c r="I367" s="452"/>
      <c r="J367" s="369"/>
      <c r="K367" s="452"/>
    </row>
    <row r="368" spans="1:11" s="317" customFormat="1">
      <c r="A368" s="369"/>
      <c r="B368" s="351" t="s">
        <v>2007</v>
      </c>
      <c r="C368" s="346">
        <v>198</v>
      </c>
      <c r="D368" s="345">
        <f>C368*(1-VLOOKUP(I368,descuentos,6,FALSE))*fcl/IF(dol_sol="dólar", TC,1)</f>
        <v>58.087880597014909</v>
      </c>
      <c r="E368" s="343">
        <v>3</v>
      </c>
      <c r="F368" s="508">
        <f t="shared" si="60"/>
        <v>61.089999999999996</v>
      </c>
      <c r="G368" s="351" t="s">
        <v>2008</v>
      </c>
      <c r="H368" s="518" t="s">
        <v>2009</v>
      </c>
      <c r="I368" s="452" t="s">
        <v>11566</v>
      </c>
      <c r="J368" s="369" t="s">
        <v>753</v>
      </c>
      <c r="K368" s="452" t="s">
        <v>741</v>
      </c>
    </row>
    <row r="369" spans="1:15" s="317" customFormat="1">
      <c r="A369" s="369"/>
      <c r="B369" s="351" t="s">
        <v>2010</v>
      </c>
      <c r="C369" s="346">
        <v>204</v>
      </c>
      <c r="D369" s="345">
        <f>C369*(1-VLOOKUP(I369,descuentos,6,FALSE))*fcl/IF(dol_sol="dólar", TC,1)</f>
        <v>59.848119402985056</v>
      </c>
      <c r="E369" s="343">
        <v>3</v>
      </c>
      <c r="F369" s="508">
        <f t="shared" si="60"/>
        <v>62.85</v>
      </c>
      <c r="G369" s="351" t="s">
        <v>2011</v>
      </c>
      <c r="H369" s="518" t="s">
        <v>2012</v>
      </c>
      <c r="I369" s="452" t="s">
        <v>11566</v>
      </c>
      <c r="J369" s="369" t="s">
        <v>753</v>
      </c>
      <c r="K369" s="452" t="s">
        <v>741</v>
      </c>
    </row>
    <row r="370" spans="1:15" s="317" customFormat="1">
      <c r="A370" s="369"/>
      <c r="B370" s="351" t="s">
        <v>2013</v>
      </c>
      <c r="C370" s="346">
        <v>207</v>
      </c>
      <c r="D370" s="345">
        <f>C370*(1-VLOOKUP(I370,descuentos,6,FALSE))*fcl/IF(dol_sol="dólar", TC,1)</f>
        <v>60.728238805970136</v>
      </c>
      <c r="E370" s="343">
        <v>3</v>
      </c>
      <c r="F370" s="508">
        <f t="shared" si="60"/>
        <v>63.73</v>
      </c>
      <c r="G370" s="351" t="s">
        <v>2014</v>
      </c>
      <c r="H370" s="518" t="s">
        <v>2015</v>
      </c>
      <c r="I370" s="452" t="s">
        <v>11566</v>
      </c>
      <c r="J370" s="369" t="s">
        <v>753</v>
      </c>
      <c r="K370" s="452" t="s">
        <v>741</v>
      </c>
    </row>
    <row r="371" spans="1:15" s="317" customFormat="1">
      <c r="A371" s="369"/>
      <c r="B371" s="314"/>
      <c r="C371" s="196" t="s">
        <v>2024</v>
      </c>
      <c r="D371" s="230"/>
      <c r="E371" s="215"/>
      <c r="F371" s="511">
        <f t="shared" si="60"/>
        <v>0</v>
      </c>
      <c r="G371" s="314"/>
      <c r="H371" s="518"/>
      <c r="I371" s="452"/>
      <c r="J371" s="369"/>
      <c r="K371" s="452"/>
    </row>
    <row r="372" spans="1:15" s="317" customFormat="1">
      <c r="A372" s="369"/>
      <c r="B372" s="351" t="s">
        <v>2016</v>
      </c>
      <c r="C372" s="346">
        <v>259</v>
      </c>
      <c r="D372" s="345">
        <f>C372*(1-VLOOKUP(I372,descuentos,6,FALSE))*fcl/IF(dol_sol="dólar", TC,1)</f>
        <v>75.983641791044761</v>
      </c>
      <c r="E372" s="343">
        <v>6</v>
      </c>
      <c r="F372" s="508">
        <f t="shared" si="60"/>
        <v>81.990000000000009</v>
      </c>
      <c r="G372" s="351" t="s">
        <v>2017</v>
      </c>
      <c r="H372" s="518" t="s">
        <v>2018</v>
      </c>
      <c r="I372" s="452" t="s">
        <v>11566</v>
      </c>
      <c r="J372" s="369" t="s">
        <v>753</v>
      </c>
      <c r="K372" s="452" t="s">
        <v>741</v>
      </c>
    </row>
    <row r="373" spans="1:15" s="317" customFormat="1">
      <c r="A373" s="369"/>
      <c r="B373" s="351" t="s">
        <v>2019</v>
      </c>
      <c r="C373" s="346">
        <v>272</v>
      </c>
      <c r="D373" s="345">
        <f>C373*(1-VLOOKUP(I373,descuentos,6,FALSE))*fcl/IF(dol_sol="dólar", TC,1)</f>
        <v>79.797492537313417</v>
      </c>
      <c r="E373" s="343">
        <v>6</v>
      </c>
      <c r="F373" s="508">
        <f t="shared" si="60"/>
        <v>85.800000000000011</v>
      </c>
      <c r="G373" s="351" t="s">
        <v>2020</v>
      </c>
      <c r="H373" s="518" t="s">
        <v>2021</v>
      </c>
      <c r="I373" s="452" t="s">
        <v>11566</v>
      </c>
      <c r="J373" s="369" t="s">
        <v>753</v>
      </c>
      <c r="K373" s="452" t="s">
        <v>741</v>
      </c>
    </row>
    <row r="374" spans="1:15" s="315" customFormat="1">
      <c r="A374" s="952"/>
      <c r="B374" s="351" t="s">
        <v>2022</v>
      </c>
      <c r="C374" s="346">
        <v>642</v>
      </c>
      <c r="D374" s="345">
        <f>C374*(1-VLOOKUP(I374,descuentos,6,FALSE))*fcl/IF(dol_sol="dólar", TC,1)</f>
        <v>188.34555223880591</v>
      </c>
      <c r="E374" s="343">
        <v>6</v>
      </c>
      <c r="F374" s="508">
        <f t="shared" si="60"/>
        <v>194.35</v>
      </c>
      <c r="G374" s="351" t="s">
        <v>2023</v>
      </c>
      <c r="H374" s="518" t="s">
        <v>13477</v>
      </c>
      <c r="I374" s="452" t="s">
        <v>11566</v>
      </c>
      <c r="J374" s="369" t="s">
        <v>753</v>
      </c>
      <c r="K374" s="452" t="s">
        <v>741</v>
      </c>
    </row>
    <row r="375" spans="1:15" s="317" customFormat="1">
      <c r="A375" s="369"/>
      <c r="B375" s="351"/>
      <c r="C375" s="346" t="s">
        <v>2024</v>
      </c>
      <c r="D375" s="345"/>
      <c r="E375" s="343"/>
      <c r="F375" s="508">
        <f t="shared" si="60"/>
        <v>0</v>
      </c>
      <c r="G375" s="351"/>
      <c r="H375" s="518"/>
      <c r="I375" s="452"/>
      <c r="J375" s="369"/>
      <c r="K375" s="452"/>
    </row>
    <row r="376" spans="1:15" s="317" customFormat="1">
      <c r="A376" s="369"/>
      <c r="B376" s="351" t="s">
        <v>2025</v>
      </c>
      <c r="C376" s="346">
        <v>327</v>
      </c>
      <c r="D376" s="345">
        <f>C376*(1-VLOOKUP(I376,descuentos,6,FALSE))*fcl/IF(dol_sol="dólar", TC,1)</f>
        <v>95.933014925373115</v>
      </c>
      <c r="E376" s="343">
        <v>6</v>
      </c>
      <c r="F376" s="508">
        <f t="shared" si="60"/>
        <v>101.94000000000001</v>
      </c>
      <c r="G376" s="351" t="s">
        <v>2026</v>
      </c>
      <c r="H376" s="518" t="s">
        <v>2027</v>
      </c>
      <c r="I376" s="452" t="s">
        <v>11566</v>
      </c>
      <c r="J376" s="369" t="s">
        <v>753</v>
      </c>
      <c r="K376" s="452" t="s">
        <v>741</v>
      </c>
    </row>
    <row r="377" spans="1:15" s="317" customFormat="1">
      <c r="A377" s="369"/>
      <c r="B377" s="351" t="s">
        <v>2028</v>
      </c>
      <c r="C377" s="346">
        <v>404</v>
      </c>
      <c r="D377" s="345">
        <f>C377*(1-VLOOKUP(I377,descuentos,6,FALSE))*fcl/IF(dol_sol="dólar", TC,1)</f>
        <v>118.52274626865668</v>
      </c>
      <c r="E377" s="343">
        <v>6</v>
      </c>
      <c r="F377" s="508">
        <f t="shared" si="60"/>
        <v>124.53</v>
      </c>
      <c r="G377" s="351" t="s">
        <v>2029</v>
      </c>
      <c r="H377" s="518" t="s">
        <v>2030</v>
      </c>
      <c r="I377" s="452" t="s">
        <v>11566</v>
      </c>
      <c r="J377" s="369" t="s">
        <v>753</v>
      </c>
      <c r="K377" s="452" t="s">
        <v>741</v>
      </c>
    </row>
    <row r="378" spans="1:15" s="317" customFormat="1">
      <c r="A378" s="369"/>
      <c r="B378" s="314"/>
      <c r="C378" s="196" t="s">
        <v>2024</v>
      </c>
      <c r="D378" s="230"/>
      <c r="E378" s="215"/>
      <c r="F378" s="511"/>
      <c r="G378" s="314"/>
      <c r="H378" s="518"/>
      <c r="I378" s="452"/>
      <c r="J378" s="369"/>
      <c r="K378" s="452"/>
    </row>
    <row r="379" spans="1:15" s="317" customFormat="1">
      <c r="A379" s="369"/>
      <c r="B379" s="314"/>
      <c r="C379" s="196" t="s">
        <v>2024</v>
      </c>
      <c r="D379" s="230"/>
      <c r="E379" s="215"/>
      <c r="F379" s="511"/>
      <c r="G379" s="314"/>
      <c r="H379" s="518"/>
      <c r="I379" s="452"/>
      <c r="J379" s="369"/>
      <c r="K379" s="452"/>
    </row>
    <row r="380" spans="1:15">
      <c r="A380" s="369"/>
      <c r="B380" s="545" t="s">
        <v>5317</v>
      </c>
      <c r="C380" s="196" t="s">
        <v>2024</v>
      </c>
      <c r="D380" s="230"/>
      <c r="E380" s="215"/>
      <c r="F380" s="511"/>
      <c r="G380" s="314"/>
      <c r="H380" s="518"/>
      <c r="I380" s="452"/>
      <c r="J380" s="369"/>
      <c r="K380" s="452"/>
      <c r="L380" s="191"/>
      <c r="M380" s="191"/>
      <c r="N380" s="191"/>
      <c r="O380" s="191"/>
    </row>
    <row r="381" spans="1:15" s="317" customFormat="1">
      <c r="A381" s="369"/>
      <c r="B381" s="314"/>
      <c r="C381" s="196" t="s">
        <v>2024</v>
      </c>
      <c r="D381" s="230"/>
      <c r="E381" s="215"/>
      <c r="F381" s="511"/>
      <c r="G381" s="314"/>
      <c r="H381" s="518"/>
      <c r="I381" s="452"/>
      <c r="J381" s="369"/>
      <c r="K381" s="452"/>
    </row>
    <row r="382" spans="1:15" s="317" customFormat="1">
      <c r="A382" s="1377"/>
      <c r="B382" s="1378" t="s">
        <v>5318</v>
      </c>
      <c r="C382" s="514">
        <v>160</v>
      </c>
      <c r="D382" s="230">
        <f>C382*(1-VLOOKUP(I382,descuentos,6,FALSE))*fcl/TC</f>
        <v>46.939701492537303</v>
      </c>
      <c r="E382" s="215">
        <v>3</v>
      </c>
      <c r="F382" s="511">
        <f t="shared" ref="F382:F388" si="61">ROUNDUP(D382+E382,1)</f>
        <v>50</v>
      </c>
      <c r="G382" s="314" t="s">
        <v>5319</v>
      </c>
      <c r="H382" s="518" t="s">
        <v>5320</v>
      </c>
      <c r="I382" s="452" t="s">
        <v>11566</v>
      </c>
      <c r="J382" s="369" t="s">
        <v>753</v>
      </c>
      <c r="K382" s="452" t="s">
        <v>741</v>
      </c>
    </row>
    <row r="383" spans="1:15" s="317" customFormat="1">
      <c r="A383" s="1377"/>
      <c r="B383" s="1378" t="s">
        <v>5321</v>
      </c>
      <c r="C383" s="514">
        <v>186</v>
      </c>
      <c r="D383" s="230">
        <f>C383*(1-VLOOKUP(I383,descuentos,6,FALSE))*fcl/TC</f>
        <v>54.567402985074601</v>
      </c>
      <c r="E383" s="215">
        <v>3</v>
      </c>
      <c r="F383" s="511">
        <f t="shared" si="61"/>
        <v>57.6</v>
      </c>
      <c r="G383" s="314" t="s">
        <v>5322</v>
      </c>
      <c r="H383" s="518" t="s">
        <v>5323</v>
      </c>
      <c r="I383" s="452" t="s">
        <v>11566</v>
      </c>
      <c r="J383" s="369" t="s">
        <v>753</v>
      </c>
      <c r="K383" s="452" t="s">
        <v>741</v>
      </c>
    </row>
    <row r="384" spans="1:15" s="317" customFormat="1">
      <c r="A384" s="1377"/>
      <c r="B384" s="1378" t="s">
        <v>5324</v>
      </c>
      <c r="C384" s="514">
        <v>223</v>
      </c>
      <c r="D384" s="230">
        <f>C384*(1-VLOOKUP(I384,descuentos,6,FALSE))*fcl/TC</f>
        <v>65.422208955223851</v>
      </c>
      <c r="E384" s="215">
        <v>3</v>
      </c>
      <c r="F384" s="511">
        <f t="shared" si="61"/>
        <v>68.5</v>
      </c>
      <c r="G384" s="314" t="s">
        <v>5325</v>
      </c>
      <c r="H384" s="518" t="s">
        <v>5326</v>
      </c>
      <c r="I384" s="452" t="s">
        <v>11566</v>
      </c>
      <c r="J384" s="369" t="s">
        <v>753</v>
      </c>
      <c r="K384" s="452" t="s">
        <v>741</v>
      </c>
    </row>
    <row r="385" spans="1:11" s="317" customFormat="1">
      <c r="A385" s="369"/>
      <c r="B385" s="314"/>
      <c r="C385" s="196" t="s">
        <v>2024</v>
      </c>
      <c r="D385" s="230"/>
      <c r="E385" s="215"/>
      <c r="F385" s="511"/>
      <c r="G385" s="314"/>
      <c r="H385" s="518"/>
      <c r="I385" s="452"/>
      <c r="J385" s="369"/>
      <c r="K385" s="452"/>
    </row>
    <row r="386" spans="1:11">
      <c r="A386" s="1377"/>
      <c r="B386" s="1378" t="s">
        <v>5327</v>
      </c>
      <c r="C386" s="514">
        <v>228</v>
      </c>
      <c r="D386" s="230">
        <f>C386*(1-VLOOKUP(I386,descuentos,6,FALSE))*fcl/TC</f>
        <v>66.88907462686565</v>
      </c>
      <c r="E386" s="215">
        <v>6</v>
      </c>
      <c r="F386" s="511">
        <f t="shared" si="61"/>
        <v>72.899999999999991</v>
      </c>
      <c r="G386" s="314" t="s">
        <v>5328</v>
      </c>
      <c r="H386" s="518" t="s">
        <v>5329</v>
      </c>
      <c r="I386" s="452" t="s">
        <v>11566</v>
      </c>
      <c r="J386" s="369" t="s">
        <v>753</v>
      </c>
      <c r="K386" s="452" t="s">
        <v>741</v>
      </c>
    </row>
    <row r="387" spans="1:11">
      <c r="A387" s="1377"/>
      <c r="B387" s="1378" t="s">
        <v>5330</v>
      </c>
      <c r="C387" s="514">
        <v>263</v>
      </c>
      <c r="D387" s="230">
        <f>C387*(1-VLOOKUP(I387,descuentos,6,FALSE))*fcl/TC</f>
        <v>77.157134328358183</v>
      </c>
      <c r="E387" s="215">
        <v>6</v>
      </c>
      <c r="F387" s="511">
        <f t="shared" si="61"/>
        <v>83.199999999999989</v>
      </c>
      <c r="G387" s="314" t="s">
        <v>5331</v>
      </c>
      <c r="H387" s="518" t="s">
        <v>5332</v>
      </c>
      <c r="I387" s="452" t="s">
        <v>11566</v>
      </c>
      <c r="J387" s="369" t="s">
        <v>753</v>
      </c>
      <c r="K387" s="452" t="s">
        <v>741</v>
      </c>
    </row>
    <row r="388" spans="1:11" s="317" customFormat="1">
      <c r="A388" s="1377"/>
      <c r="B388" s="1378" t="s">
        <v>5333</v>
      </c>
      <c r="C388" s="514">
        <v>302</v>
      </c>
      <c r="D388" s="230">
        <f>C388*(1-VLOOKUP(I388,descuentos,6,FALSE))*fcl/TC</f>
        <v>88.598686567164151</v>
      </c>
      <c r="E388" s="215">
        <v>6</v>
      </c>
      <c r="F388" s="511">
        <f t="shared" si="61"/>
        <v>94.6</v>
      </c>
      <c r="G388" s="314" t="s">
        <v>5334</v>
      </c>
      <c r="H388" s="518" t="s">
        <v>5335</v>
      </c>
      <c r="I388" s="452" t="s">
        <v>11566</v>
      </c>
      <c r="J388" s="369" t="s">
        <v>753</v>
      </c>
      <c r="K388" s="452" t="s">
        <v>741</v>
      </c>
    </row>
    <row r="389" spans="1:11" s="317" customFormat="1">
      <c r="A389" s="369"/>
      <c r="B389" s="314"/>
      <c r="C389" s="196" t="s">
        <v>2024</v>
      </c>
      <c r="D389" s="230"/>
      <c r="E389" s="215"/>
      <c r="F389" s="511"/>
      <c r="G389" s="314"/>
      <c r="H389" s="518"/>
      <c r="I389" s="452"/>
      <c r="J389" s="369"/>
      <c r="K389" s="452"/>
    </row>
    <row r="390" spans="1:11" s="317" customFormat="1">
      <c r="A390" s="369"/>
      <c r="B390" s="545" t="s">
        <v>2031</v>
      </c>
      <c r="C390" s="196" t="s">
        <v>2024</v>
      </c>
      <c r="D390" s="230"/>
      <c r="E390" s="215"/>
      <c r="F390" s="511"/>
      <c r="G390" s="314"/>
      <c r="H390" s="518"/>
      <c r="I390" s="452"/>
      <c r="J390" s="369"/>
      <c r="K390" s="452"/>
    </row>
    <row r="391" spans="1:11" s="317" customFormat="1">
      <c r="A391" s="369"/>
      <c r="B391" s="545"/>
      <c r="C391" s="196" t="s">
        <v>2024</v>
      </c>
      <c r="D391" s="230"/>
      <c r="E391" s="215"/>
      <c r="F391" s="511"/>
      <c r="G391" s="314"/>
      <c r="H391" s="518"/>
      <c r="I391" s="452"/>
      <c r="J391" s="369"/>
      <c r="K391" s="452"/>
    </row>
    <row r="392" spans="1:11" s="317" customFormat="1">
      <c r="A392" s="369"/>
      <c r="B392" s="314" t="s">
        <v>1119</v>
      </c>
      <c r="C392" s="196">
        <v>271.5</v>
      </c>
      <c r="D392" s="230">
        <f>C392*(1-VLOOKUP(I392,descuentos,6,FALSE))*fcl/IF(dol_sol="dólar", TC,1)</f>
        <v>79.650805970149236</v>
      </c>
      <c r="E392" s="215">
        <v>3</v>
      </c>
      <c r="F392" s="511">
        <f t="shared" si="60"/>
        <v>82.660000000000011</v>
      </c>
      <c r="G392" s="314" t="s">
        <v>2032</v>
      </c>
      <c r="H392" s="518" t="s">
        <v>1122</v>
      </c>
      <c r="I392" s="452" t="s">
        <v>11566</v>
      </c>
      <c r="J392" s="369" t="s">
        <v>753</v>
      </c>
      <c r="K392" s="452" t="s">
        <v>741</v>
      </c>
    </row>
    <row r="393" spans="1:11">
      <c r="A393" s="369"/>
      <c r="B393" s="314" t="s">
        <v>1120</v>
      </c>
      <c r="C393" s="196">
        <v>288.10000000000002</v>
      </c>
      <c r="D393" s="230">
        <f>C393*(1-VLOOKUP(I393,descuentos,6,FALSE))*fcl/IF(dol_sol="dólar", TC,1)</f>
        <v>84.52079999999998</v>
      </c>
      <c r="E393" s="215">
        <v>3</v>
      </c>
      <c r="F393" s="511">
        <f t="shared" si="60"/>
        <v>87.53</v>
      </c>
      <c r="G393" s="314" t="s">
        <v>2033</v>
      </c>
      <c r="H393" s="518" t="s">
        <v>1123</v>
      </c>
      <c r="I393" s="452" t="s">
        <v>11566</v>
      </c>
      <c r="J393" s="369" t="s">
        <v>753</v>
      </c>
      <c r="K393" s="452" t="s">
        <v>741</v>
      </c>
    </row>
    <row r="394" spans="1:11">
      <c r="A394" s="369"/>
      <c r="B394" s="314" t="s">
        <v>1121</v>
      </c>
      <c r="C394" s="196">
        <v>374.4</v>
      </c>
      <c r="D394" s="230">
        <f>C394*(1-VLOOKUP(I394,descuentos,6,FALSE))*fcl/IF(dol_sol="dólar", TC,1)</f>
        <v>109.83890149253729</v>
      </c>
      <c r="E394" s="215">
        <v>3</v>
      </c>
      <c r="F394" s="511">
        <f t="shared" si="60"/>
        <v>112.84</v>
      </c>
      <c r="G394" s="314" t="s">
        <v>2034</v>
      </c>
      <c r="H394" s="518" t="s">
        <v>1124</v>
      </c>
      <c r="I394" s="452" t="s">
        <v>11566</v>
      </c>
      <c r="J394" s="369" t="s">
        <v>753</v>
      </c>
      <c r="K394" s="452" t="s">
        <v>741</v>
      </c>
    </row>
    <row r="395" spans="1:11">
      <c r="A395" s="369"/>
      <c r="B395" s="314" t="s">
        <v>1419</v>
      </c>
      <c r="C395" s="196">
        <v>706.6</v>
      </c>
      <c r="D395" s="230">
        <f>C395*(1-VLOOKUP(I395,descuentos,6,FALSE))*fcl/IF(dol_sol="dólar", TC,1)</f>
        <v>207.29745671641786</v>
      </c>
      <c r="E395" s="215">
        <v>3</v>
      </c>
      <c r="F395" s="511">
        <f t="shared" si="60"/>
        <v>210.29999999999998</v>
      </c>
      <c r="G395" s="314" t="s">
        <v>2035</v>
      </c>
      <c r="H395" s="518" t="s">
        <v>1420</v>
      </c>
      <c r="I395" s="452" t="s">
        <v>11566</v>
      </c>
      <c r="J395" s="369" t="s">
        <v>753</v>
      </c>
      <c r="K395" s="452" t="s">
        <v>741</v>
      </c>
    </row>
    <row r="396" spans="1:11" s="317" customFormat="1">
      <c r="A396" s="369"/>
      <c r="B396" s="314" t="s">
        <v>1421</v>
      </c>
      <c r="C396" s="196">
        <v>882.7</v>
      </c>
      <c r="D396" s="230">
        <f>C396*(1-VLOOKUP(I396,descuentos,6,FALSE))*fcl/IF(dol_sol="dólar", TC,1)</f>
        <v>258.96046567164171</v>
      </c>
      <c r="E396" s="215">
        <v>3</v>
      </c>
      <c r="F396" s="511">
        <f t="shared" si="60"/>
        <v>261.96999999999997</v>
      </c>
      <c r="G396" s="314" t="s">
        <v>2036</v>
      </c>
      <c r="H396" s="518" t="s">
        <v>1422</v>
      </c>
      <c r="I396" s="452" t="s">
        <v>11566</v>
      </c>
      <c r="J396" s="369" t="s">
        <v>753</v>
      </c>
      <c r="K396" s="452" t="s">
        <v>741</v>
      </c>
    </row>
    <row r="397" spans="1:11" s="317" customFormat="1">
      <c r="A397" s="369"/>
      <c r="B397" s="314"/>
      <c r="C397" s="196" t="s">
        <v>2024</v>
      </c>
      <c r="D397" s="230"/>
      <c r="E397" s="215"/>
      <c r="F397" s="511"/>
      <c r="G397" s="314"/>
      <c r="H397" s="518"/>
      <c r="I397" s="452"/>
      <c r="J397" s="369"/>
      <c r="K397" s="452"/>
    </row>
    <row r="398" spans="1:11" s="315" customFormat="1">
      <c r="A398" s="369"/>
      <c r="B398" s="314" t="s">
        <v>1125</v>
      </c>
      <c r="C398" s="196">
        <v>424.40000000000003</v>
      </c>
      <c r="D398" s="230">
        <f t="shared" ref="D398:D403" si="62">C398*(1-VLOOKUP(I398,descuentos,6,FALSE))*fcl/IF(dol_sol="dólar", TC,1)</f>
        <v>124.5075582089552</v>
      </c>
      <c r="E398" s="215">
        <v>6</v>
      </c>
      <c r="F398" s="511">
        <f t="shared" si="60"/>
        <v>130.51</v>
      </c>
      <c r="G398" s="314" t="s">
        <v>2037</v>
      </c>
      <c r="H398" s="518" t="s">
        <v>1130</v>
      </c>
      <c r="I398" s="452" t="s">
        <v>11566</v>
      </c>
      <c r="J398" s="369" t="s">
        <v>753</v>
      </c>
      <c r="K398" s="452" t="s">
        <v>741</v>
      </c>
    </row>
    <row r="399" spans="1:11" s="315" customFormat="1">
      <c r="A399" s="369"/>
      <c r="B399" s="314" t="s">
        <v>1126</v>
      </c>
      <c r="C399" s="196">
        <v>460.5</v>
      </c>
      <c r="D399" s="230">
        <f t="shared" si="62"/>
        <v>135.0983283582089</v>
      </c>
      <c r="E399" s="215">
        <v>6</v>
      </c>
      <c r="F399" s="511">
        <f t="shared" si="60"/>
        <v>141.1</v>
      </c>
      <c r="G399" s="314" t="s">
        <v>2038</v>
      </c>
      <c r="H399" s="518" t="s">
        <v>1131</v>
      </c>
      <c r="I399" s="452" t="s">
        <v>11566</v>
      </c>
      <c r="J399" s="369" t="s">
        <v>753</v>
      </c>
      <c r="K399" s="452" t="s">
        <v>741</v>
      </c>
    </row>
    <row r="400" spans="1:11" s="315" customFormat="1">
      <c r="A400" s="369"/>
      <c r="B400" s="314" t="s">
        <v>1127</v>
      </c>
      <c r="C400" s="196">
        <v>713</v>
      </c>
      <c r="D400" s="230">
        <f t="shared" si="62"/>
        <v>209.17504477611936</v>
      </c>
      <c r="E400" s="215">
        <v>6</v>
      </c>
      <c r="F400" s="511">
        <f t="shared" si="60"/>
        <v>215.17999999999998</v>
      </c>
      <c r="G400" s="314" t="s">
        <v>2039</v>
      </c>
      <c r="H400" s="518" t="s">
        <v>1132</v>
      </c>
      <c r="I400" s="452" t="s">
        <v>11566</v>
      </c>
      <c r="J400" s="369" t="s">
        <v>753</v>
      </c>
      <c r="K400" s="452" t="s">
        <v>741</v>
      </c>
    </row>
    <row r="401" spans="1:15">
      <c r="A401" s="369"/>
      <c r="B401" s="314" t="s">
        <v>1128</v>
      </c>
      <c r="C401" s="196">
        <v>1551</v>
      </c>
      <c r="D401" s="230">
        <f t="shared" si="62"/>
        <v>455.02173134328348</v>
      </c>
      <c r="E401" s="215">
        <v>6</v>
      </c>
      <c r="F401" s="511">
        <f t="shared" si="60"/>
        <v>461.03</v>
      </c>
      <c r="G401" s="314" t="s">
        <v>2040</v>
      </c>
      <c r="H401" s="518" t="s">
        <v>1133</v>
      </c>
      <c r="I401" s="452" t="s">
        <v>11566</v>
      </c>
      <c r="J401" s="369" t="s">
        <v>753</v>
      </c>
      <c r="K401" s="452" t="s">
        <v>741</v>
      </c>
      <c r="L401" s="191"/>
      <c r="M401" s="191"/>
      <c r="N401" s="191"/>
      <c r="O401" s="191"/>
    </row>
    <row r="402" spans="1:15" s="315" customFormat="1">
      <c r="A402" s="369"/>
      <c r="B402" s="314" t="s">
        <v>1129</v>
      </c>
      <c r="C402" s="196">
        <v>1903.1</v>
      </c>
      <c r="D402" s="230">
        <f t="shared" si="62"/>
        <v>558.31841194029823</v>
      </c>
      <c r="E402" s="215">
        <v>6</v>
      </c>
      <c r="F402" s="511">
        <f t="shared" si="60"/>
        <v>564.31999999999994</v>
      </c>
      <c r="G402" s="314" t="s">
        <v>2041</v>
      </c>
      <c r="H402" s="518" t="s">
        <v>1134</v>
      </c>
      <c r="I402" s="452" t="s">
        <v>11566</v>
      </c>
      <c r="J402" s="369" t="s">
        <v>753</v>
      </c>
      <c r="K402" s="452" t="s">
        <v>741</v>
      </c>
    </row>
    <row r="403" spans="1:15">
      <c r="A403" s="369"/>
      <c r="B403" s="314" t="s">
        <v>1417</v>
      </c>
      <c r="C403" s="234">
        <v>4076</v>
      </c>
      <c r="D403" s="230">
        <f t="shared" si="62"/>
        <v>1195.7888955223877</v>
      </c>
      <c r="E403" s="215">
        <v>6</v>
      </c>
      <c r="F403" s="511">
        <f t="shared" si="60"/>
        <v>1201.79</v>
      </c>
      <c r="G403" s="314" t="s">
        <v>2042</v>
      </c>
      <c r="H403" s="518" t="s">
        <v>1418</v>
      </c>
      <c r="I403" s="452" t="s">
        <v>11566</v>
      </c>
      <c r="J403" s="369" t="s">
        <v>753</v>
      </c>
      <c r="K403" s="452" t="s">
        <v>741</v>
      </c>
      <c r="L403" s="191"/>
      <c r="M403" s="191"/>
      <c r="N403" s="191"/>
      <c r="O403" s="191"/>
    </row>
    <row r="404" spans="1:15">
      <c r="A404" s="369"/>
      <c r="B404" s="314"/>
      <c r="C404" s="196" t="s">
        <v>2024</v>
      </c>
      <c r="D404" s="230"/>
      <c r="E404" s="215"/>
      <c r="F404" s="511"/>
      <c r="G404" s="314"/>
      <c r="H404" s="518"/>
      <c r="I404" s="452"/>
      <c r="J404" s="369"/>
      <c r="K404" s="452"/>
      <c r="L404" s="191"/>
      <c r="M404" s="191"/>
      <c r="N404" s="191"/>
      <c r="O404" s="191"/>
    </row>
    <row r="405" spans="1:15" s="317" customFormat="1">
      <c r="A405" s="369"/>
      <c r="B405" s="314"/>
      <c r="C405" s="196" t="s">
        <v>2024</v>
      </c>
      <c r="D405" s="230"/>
      <c r="E405" s="215"/>
      <c r="F405" s="511"/>
      <c r="G405" s="314"/>
      <c r="H405" s="518"/>
      <c r="I405" s="452"/>
      <c r="J405" s="369"/>
      <c r="K405" s="452"/>
    </row>
    <row r="406" spans="1:15" s="315" customFormat="1">
      <c r="A406" s="369"/>
      <c r="B406" s="314" t="s">
        <v>6416</v>
      </c>
      <c r="C406" s="196">
        <v>385</v>
      </c>
      <c r="D406" s="230">
        <f>C406*(1-VLOOKUP(I406,descuentos,6,FALSE))*fcl/IF(dol_sol="dólar", TC,1)</f>
        <v>112.94865671641789</v>
      </c>
      <c r="E406" s="215">
        <v>3</v>
      </c>
      <c r="F406" s="511">
        <f>ROUNDUP(D406+E406,2)</f>
        <v>115.95</v>
      </c>
      <c r="G406" s="314" t="s">
        <v>6417</v>
      </c>
      <c r="H406" s="518" t="s">
        <v>6418</v>
      </c>
      <c r="I406" s="452" t="s">
        <v>11566</v>
      </c>
      <c r="J406" s="369" t="s">
        <v>753</v>
      </c>
      <c r="K406" s="452" t="s">
        <v>741</v>
      </c>
    </row>
    <row r="407" spans="1:15" s="315" customFormat="1">
      <c r="A407" s="369"/>
      <c r="B407" s="314" t="s">
        <v>6419</v>
      </c>
      <c r="C407" s="196">
        <v>409</v>
      </c>
      <c r="D407" s="230">
        <f>C407*(1-VLOOKUP(I407,descuentos,6,FALSE))*fcl/IF(dol_sol="dólar", TC,1)</f>
        <v>119.98961194029846</v>
      </c>
      <c r="E407" s="215">
        <v>3</v>
      </c>
      <c r="F407" s="511">
        <f>ROUNDUP(D407+E407,2)</f>
        <v>122.99000000000001</v>
      </c>
      <c r="G407" s="314" t="s">
        <v>6420</v>
      </c>
      <c r="H407" s="518" t="s">
        <v>6421</v>
      </c>
      <c r="I407" s="452" t="s">
        <v>11566</v>
      </c>
      <c r="J407" s="369" t="s">
        <v>753</v>
      </c>
      <c r="K407" s="452" t="s">
        <v>741</v>
      </c>
    </row>
    <row r="408" spans="1:15" s="315" customFormat="1">
      <c r="A408" s="369"/>
      <c r="B408" s="314" t="s">
        <v>6422</v>
      </c>
      <c r="C408" s="196">
        <v>533</v>
      </c>
      <c r="D408" s="230">
        <f>C408*(1-VLOOKUP(I408,descuentos,6,FALSE))*fcl/IF(dol_sol="dólar", TC,1)</f>
        <v>156.3678805970149</v>
      </c>
      <c r="E408" s="215">
        <v>3</v>
      </c>
      <c r="F408" s="511">
        <f>ROUNDUP(D408+E408,2)</f>
        <v>159.37</v>
      </c>
      <c r="G408" s="314" t="s">
        <v>6423</v>
      </c>
      <c r="H408" s="518" t="s">
        <v>6424</v>
      </c>
      <c r="I408" s="452" t="s">
        <v>11566</v>
      </c>
      <c r="J408" s="369" t="s">
        <v>753</v>
      </c>
      <c r="K408" s="452" t="s">
        <v>741</v>
      </c>
    </row>
    <row r="409" spans="1:15">
      <c r="A409" s="369"/>
      <c r="B409" s="314" t="s">
        <v>6425</v>
      </c>
      <c r="C409" s="196">
        <v>685</v>
      </c>
      <c r="D409" s="230">
        <f>C409*(1-VLOOKUP(I409,descuentos,6,FALSE))*fcl/IF(dol_sol="dólar", TC,1)</f>
        <v>200.9605970149253</v>
      </c>
      <c r="E409" s="215">
        <v>3</v>
      </c>
      <c r="F409" s="511">
        <f>ROUNDUP(D409+E409,2)</f>
        <v>203.97</v>
      </c>
      <c r="G409" s="314" t="s">
        <v>6426</v>
      </c>
      <c r="H409" s="518" t="s">
        <v>6427</v>
      </c>
      <c r="I409" s="452" t="s">
        <v>11566</v>
      </c>
      <c r="J409" s="369" t="s">
        <v>753</v>
      </c>
      <c r="K409" s="452" t="s">
        <v>741</v>
      </c>
      <c r="L409" s="191"/>
      <c r="M409" s="191"/>
      <c r="N409" s="191"/>
      <c r="O409" s="191"/>
    </row>
    <row r="410" spans="1:15" s="315" customFormat="1">
      <c r="A410" s="369"/>
      <c r="B410" s="314" t="s">
        <v>6428</v>
      </c>
      <c r="C410" s="196">
        <v>836</v>
      </c>
      <c r="D410" s="230">
        <f>C410*(1-VLOOKUP(I410,descuentos,6,FALSE))*fcl/IF(dol_sol="dólar", TC,1)</f>
        <v>245.25994029850739</v>
      </c>
      <c r="E410" s="215">
        <v>3</v>
      </c>
      <c r="F410" s="511">
        <f>ROUNDUP(D410+E410,2)</f>
        <v>248.26</v>
      </c>
      <c r="G410" s="314" t="s">
        <v>6429</v>
      </c>
      <c r="H410" s="518" t="s">
        <v>6430</v>
      </c>
      <c r="I410" s="452" t="s">
        <v>11566</v>
      </c>
      <c r="J410" s="369" t="s">
        <v>753</v>
      </c>
      <c r="K410" s="452" t="s">
        <v>741</v>
      </c>
    </row>
    <row r="411" spans="1:15">
      <c r="A411" s="369"/>
      <c r="B411" s="314"/>
      <c r="C411" s="196" t="s">
        <v>2024</v>
      </c>
      <c r="D411" s="230"/>
      <c r="E411" s="215"/>
      <c r="F411" s="511"/>
      <c r="G411" s="314"/>
      <c r="H411" s="518"/>
      <c r="I411" s="452"/>
      <c r="J411" s="369"/>
      <c r="K411" s="452"/>
      <c r="L411" s="191"/>
      <c r="M411" s="191"/>
      <c r="N411" s="191"/>
      <c r="O411" s="191"/>
    </row>
    <row r="412" spans="1:15">
      <c r="A412" s="369"/>
      <c r="B412" s="314"/>
      <c r="C412" s="196" t="s">
        <v>2024</v>
      </c>
      <c r="D412" s="230"/>
      <c r="E412" s="215"/>
      <c r="F412" s="511"/>
      <c r="G412" s="314"/>
      <c r="H412" s="518"/>
      <c r="I412" s="452"/>
      <c r="J412" s="369"/>
      <c r="K412" s="452"/>
      <c r="L412" s="191"/>
      <c r="M412" s="191"/>
      <c r="N412" s="191"/>
      <c r="O412" s="191"/>
    </row>
    <row r="413" spans="1:15" s="315" customFormat="1">
      <c r="A413" s="369"/>
      <c r="B413" s="314" t="s">
        <v>2051</v>
      </c>
      <c r="C413" s="196">
        <v>554</v>
      </c>
      <c r="D413" s="230">
        <f t="shared" ref="D413:D418" si="63">C413*(1-VLOOKUP(I413,descuentos,6,FALSE))*fcl/IF(dol_sol="dólar", TC,1)</f>
        <v>162.5287164179104</v>
      </c>
      <c r="E413" s="215">
        <v>6</v>
      </c>
      <c r="F413" s="511">
        <f t="shared" ref="F413:F418" si="64">ROUNDUP(D413+E413,2)</f>
        <v>168.53</v>
      </c>
      <c r="G413" s="314" t="s">
        <v>2052</v>
      </c>
      <c r="H413" s="518" t="s">
        <v>2053</v>
      </c>
      <c r="I413" s="452" t="s">
        <v>11566</v>
      </c>
      <c r="J413" s="369" t="s">
        <v>753</v>
      </c>
      <c r="K413" s="452" t="s">
        <v>741</v>
      </c>
    </row>
    <row r="414" spans="1:15" s="315" customFormat="1">
      <c r="A414" s="369"/>
      <c r="B414" s="314" t="s">
        <v>2054</v>
      </c>
      <c r="C414" s="196">
        <v>602</v>
      </c>
      <c r="D414" s="230">
        <f t="shared" si="63"/>
        <v>176.61062686567158</v>
      </c>
      <c r="E414" s="215">
        <v>6</v>
      </c>
      <c r="F414" s="511">
        <f t="shared" si="64"/>
        <v>182.62</v>
      </c>
      <c r="G414" s="314" t="s">
        <v>2055</v>
      </c>
      <c r="H414" s="518" t="s">
        <v>2056</v>
      </c>
      <c r="I414" s="452" t="s">
        <v>11566</v>
      </c>
      <c r="J414" s="369" t="s">
        <v>753</v>
      </c>
      <c r="K414" s="452" t="s">
        <v>741</v>
      </c>
    </row>
    <row r="415" spans="1:15" s="315" customFormat="1">
      <c r="A415" s="369"/>
      <c r="B415" s="314" t="s">
        <v>2057</v>
      </c>
      <c r="C415" s="196">
        <v>932</v>
      </c>
      <c r="D415" s="230">
        <f t="shared" si="63"/>
        <v>273.42376119402974</v>
      </c>
      <c r="E415" s="215">
        <v>6</v>
      </c>
      <c r="F415" s="511">
        <f t="shared" si="64"/>
        <v>279.43</v>
      </c>
      <c r="G415" s="314" t="s">
        <v>2058</v>
      </c>
      <c r="H415" s="518" t="s">
        <v>2059</v>
      </c>
      <c r="I415" s="452" t="s">
        <v>11566</v>
      </c>
      <c r="J415" s="369" t="s">
        <v>753</v>
      </c>
      <c r="K415" s="452" t="s">
        <v>741</v>
      </c>
    </row>
    <row r="416" spans="1:15">
      <c r="A416" s="369"/>
      <c r="B416" s="314" t="s">
        <v>2060</v>
      </c>
      <c r="C416" s="196">
        <v>1128</v>
      </c>
      <c r="D416" s="230">
        <f t="shared" si="63"/>
        <v>330.92489552238794</v>
      </c>
      <c r="E416" s="215">
        <v>6</v>
      </c>
      <c r="F416" s="511">
        <f t="shared" si="64"/>
        <v>336.93</v>
      </c>
      <c r="G416" s="314" t="s">
        <v>2061</v>
      </c>
      <c r="H416" s="518" t="s">
        <v>2062</v>
      </c>
      <c r="I416" s="452" t="s">
        <v>11566</v>
      </c>
      <c r="J416" s="369" t="s">
        <v>753</v>
      </c>
      <c r="K416" s="452" t="s">
        <v>741</v>
      </c>
      <c r="L416" s="191"/>
      <c r="M416" s="191"/>
      <c r="N416" s="191"/>
      <c r="O416" s="191"/>
    </row>
    <row r="417" spans="1:15" s="315" customFormat="1">
      <c r="A417" s="369"/>
      <c r="B417" s="314" t="s">
        <v>2063</v>
      </c>
      <c r="C417" s="196">
        <v>1383</v>
      </c>
      <c r="D417" s="230">
        <f t="shared" si="63"/>
        <v>405.73504477611931</v>
      </c>
      <c r="E417" s="215">
        <v>6</v>
      </c>
      <c r="F417" s="511">
        <f t="shared" si="64"/>
        <v>411.74</v>
      </c>
      <c r="G417" s="314" t="s">
        <v>2064</v>
      </c>
      <c r="H417" s="518" t="s">
        <v>2065</v>
      </c>
      <c r="I417" s="452" t="s">
        <v>11566</v>
      </c>
      <c r="J417" s="369" t="s">
        <v>753</v>
      </c>
      <c r="K417" s="452" t="s">
        <v>741</v>
      </c>
    </row>
    <row r="418" spans="1:15" s="315" customFormat="1">
      <c r="A418" s="369"/>
      <c r="B418" s="314" t="s">
        <v>2066</v>
      </c>
      <c r="C418" s="196">
        <v>3670</v>
      </c>
      <c r="D418" s="230">
        <f t="shared" si="63"/>
        <v>1076.6794029850741</v>
      </c>
      <c r="E418" s="215">
        <v>6</v>
      </c>
      <c r="F418" s="511">
        <f t="shared" si="64"/>
        <v>1082.68</v>
      </c>
      <c r="G418" s="314" t="s">
        <v>2067</v>
      </c>
      <c r="H418" s="518" t="s">
        <v>2068</v>
      </c>
      <c r="I418" s="452" t="s">
        <v>11566</v>
      </c>
      <c r="J418" s="369" t="s">
        <v>753</v>
      </c>
      <c r="K418" s="452" t="s">
        <v>741</v>
      </c>
    </row>
    <row r="419" spans="1:15">
      <c r="A419" s="369"/>
      <c r="B419" s="314"/>
      <c r="C419" s="196" t="s">
        <v>2024</v>
      </c>
      <c r="D419" s="230"/>
      <c r="E419" s="215"/>
      <c r="F419" s="511"/>
      <c r="G419" s="314"/>
      <c r="H419" s="518"/>
      <c r="I419" s="452"/>
      <c r="J419" s="369"/>
      <c r="K419" s="452"/>
      <c r="L419" s="191"/>
      <c r="M419" s="191"/>
      <c r="N419" s="191"/>
      <c r="O419" s="191"/>
    </row>
    <row r="420" spans="1:15">
      <c r="A420" s="369"/>
      <c r="B420" s="314"/>
      <c r="C420" s="196" t="s">
        <v>2024</v>
      </c>
      <c r="D420" s="230"/>
      <c r="E420" s="215"/>
      <c r="F420" s="511"/>
      <c r="G420" s="314"/>
      <c r="H420" s="518"/>
      <c r="I420" s="452"/>
      <c r="J420" s="369"/>
      <c r="K420" s="452"/>
      <c r="L420" s="191"/>
      <c r="M420" s="191"/>
      <c r="N420" s="191"/>
      <c r="O420" s="191"/>
    </row>
    <row r="421" spans="1:15">
      <c r="A421" s="369"/>
      <c r="B421" s="314"/>
      <c r="C421" s="196" t="s">
        <v>2024</v>
      </c>
      <c r="D421" s="230"/>
      <c r="E421" s="215"/>
      <c r="F421" s="511"/>
      <c r="G421" s="314"/>
      <c r="H421" s="518"/>
      <c r="I421" s="452"/>
      <c r="J421" s="369"/>
      <c r="K421" s="452"/>
      <c r="L421" s="191"/>
      <c r="M421" s="191"/>
      <c r="N421" s="191"/>
      <c r="O421" s="191"/>
    </row>
    <row r="422" spans="1:15" s="317" customFormat="1">
      <c r="A422" s="369"/>
      <c r="B422" s="545" t="s">
        <v>5336</v>
      </c>
      <c r="C422" s="196" t="s">
        <v>2024</v>
      </c>
      <c r="D422" s="230"/>
      <c r="E422" s="215"/>
      <c r="F422" s="511"/>
      <c r="G422" s="314"/>
      <c r="H422" s="518"/>
      <c r="I422" s="452"/>
      <c r="J422" s="369"/>
      <c r="K422" s="452"/>
    </row>
    <row r="423" spans="1:15">
      <c r="A423" s="369"/>
      <c r="B423" s="314"/>
      <c r="C423" s="196" t="s">
        <v>2024</v>
      </c>
      <c r="D423" s="230"/>
      <c r="E423" s="215"/>
      <c r="F423" s="511"/>
      <c r="G423" s="314"/>
      <c r="H423" s="518"/>
      <c r="I423" s="452"/>
      <c r="J423" s="369"/>
      <c r="K423" s="452"/>
      <c r="L423" s="191"/>
      <c r="M423" s="191"/>
      <c r="N423" s="191"/>
      <c r="O423" s="191"/>
    </row>
    <row r="424" spans="1:15">
      <c r="A424" s="369"/>
      <c r="B424" s="314" t="s">
        <v>1135</v>
      </c>
      <c r="C424" s="196">
        <v>285.60000000000002</v>
      </c>
      <c r="D424" s="230">
        <f>C424*(1-VLOOKUP(I424,descuentos,6,FALSE))*fcl/IF(dol_sol="dólar", TC,1)</f>
        <v>83.787367164179088</v>
      </c>
      <c r="E424" s="215">
        <v>3</v>
      </c>
      <c r="F424" s="511">
        <f t="shared" si="60"/>
        <v>86.79</v>
      </c>
      <c r="G424" s="314" t="s">
        <v>2043</v>
      </c>
      <c r="H424" s="518" t="s">
        <v>1143</v>
      </c>
      <c r="I424" s="452" t="s">
        <v>11566</v>
      </c>
      <c r="J424" s="369" t="s">
        <v>753</v>
      </c>
      <c r="K424" s="452" t="s">
        <v>741</v>
      </c>
      <c r="L424" s="191"/>
      <c r="M424" s="191"/>
      <c r="N424" s="191"/>
      <c r="O424" s="191"/>
    </row>
    <row r="425" spans="1:15">
      <c r="A425" s="369"/>
      <c r="B425" s="314" t="s">
        <v>1136</v>
      </c>
      <c r="C425" s="196">
        <v>308.70000000000005</v>
      </c>
      <c r="D425" s="230">
        <f>C425*(1-VLOOKUP(I425,descuentos,6,FALSE))*fcl/IF(dol_sol="dólar", TC,1)</f>
        <v>90.564286567164174</v>
      </c>
      <c r="E425" s="215">
        <v>3</v>
      </c>
      <c r="F425" s="511">
        <f t="shared" si="60"/>
        <v>93.570000000000007</v>
      </c>
      <c r="G425" s="314" t="s">
        <v>2044</v>
      </c>
      <c r="H425" s="518" t="s">
        <v>1144</v>
      </c>
      <c r="I425" s="452" t="s">
        <v>11566</v>
      </c>
      <c r="J425" s="369" t="s">
        <v>753</v>
      </c>
      <c r="K425" s="452" t="s">
        <v>741</v>
      </c>
      <c r="L425" s="191"/>
      <c r="M425" s="191"/>
      <c r="N425" s="191"/>
      <c r="O425" s="191"/>
    </row>
    <row r="426" spans="1:15" s="315" customFormat="1">
      <c r="A426" s="369"/>
      <c r="B426" s="314" t="s">
        <v>1137</v>
      </c>
      <c r="C426" s="196">
        <v>404.1</v>
      </c>
      <c r="D426" s="230">
        <f>C426*(1-VLOOKUP(I426,descuentos,6,FALSE))*fcl/IF(dol_sol="dólar", TC,1)</f>
        <v>118.55208358208952</v>
      </c>
      <c r="E426" s="215">
        <v>3</v>
      </c>
      <c r="F426" s="511">
        <f t="shared" si="60"/>
        <v>121.56</v>
      </c>
      <c r="G426" s="314" t="s">
        <v>2045</v>
      </c>
      <c r="H426" s="518" t="s">
        <v>1145</v>
      </c>
      <c r="I426" s="452" t="s">
        <v>11566</v>
      </c>
      <c r="J426" s="369" t="s">
        <v>753</v>
      </c>
      <c r="K426" s="452" t="s">
        <v>741</v>
      </c>
    </row>
    <row r="427" spans="1:15" s="315" customFormat="1">
      <c r="A427" s="369"/>
      <c r="B427" s="314"/>
      <c r="C427" s="196" t="s">
        <v>2024</v>
      </c>
      <c r="D427" s="230"/>
      <c r="E427" s="215"/>
      <c r="F427" s="511">
        <f t="shared" si="60"/>
        <v>0</v>
      </c>
      <c r="G427" s="314"/>
      <c r="H427" s="518"/>
      <c r="I427" s="452"/>
      <c r="J427" s="369"/>
      <c r="K427" s="452"/>
    </row>
    <row r="428" spans="1:15" s="315" customFormat="1">
      <c r="A428" s="369"/>
      <c r="B428" s="314" t="s">
        <v>1138</v>
      </c>
      <c r="C428" s="196">
        <v>438.8</v>
      </c>
      <c r="D428" s="230">
        <f>C428*(1-VLOOKUP(I428,descuentos,6,FALSE))*fcl/IF(dol_sol="dólar", TC,1)</f>
        <v>128.73213134328353</v>
      </c>
      <c r="E428" s="215">
        <v>6</v>
      </c>
      <c r="F428" s="511">
        <f t="shared" si="60"/>
        <v>134.73999999999998</v>
      </c>
      <c r="G428" s="314" t="s">
        <v>2046</v>
      </c>
      <c r="H428" s="518" t="s">
        <v>1146</v>
      </c>
      <c r="I428" s="452" t="s">
        <v>11566</v>
      </c>
      <c r="J428" s="369" t="s">
        <v>753</v>
      </c>
      <c r="K428" s="452" t="s">
        <v>741</v>
      </c>
    </row>
    <row r="429" spans="1:15" s="315" customFormat="1">
      <c r="A429" s="369"/>
      <c r="B429" s="314" t="s">
        <v>1139</v>
      </c>
      <c r="C429" s="196">
        <v>476.40000000000003</v>
      </c>
      <c r="D429" s="230">
        <f>C429*(1-VLOOKUP(I429,descuentos,6,FALSE))*fcl/IF(dol_sol="dólar", TC,1)</f>
        <v>139.76296119402983</v>
      </c>
      <c r="E429" s="215">
        <v>6</v>
      </c>
      <c r="F429" s="511">
        <f t="shared" si="60"/>
        <v>145.76999999999998</v>
      </c>
      <c r="G429" s="314" t="s">
        <v>2047</v>
      </c>
      <c r="H429" s="518" t="s">
        <v>1147</v>
      </c>
      <c r="I429" s="452" t="s">
        <v>11566</v>
      </c>
      <c r="J429" s="369" t="s">
        <v>753</v>
      </c>
      <c r="K429" s="452" t="s">
        <v>741</v>
      </c>
    </row>
    <row r="430" spans="1:15">
      <c r="A430" s="369"/>
      <c r="B430" s="314" t="s">
        <v>1140</v>
      </c>
      <c r="C430" s="196">
        <v>755.2</v>
      </c>
      <c r="D430" s="230">
        <f>C430*(1-VLOOKUP(I430,descuentos,6,FALSE))*fcl/IF(dol_sol="dólar", TC,1)</f>
        <v>221.55539104477603</v>
      </c>
      <c r="E430" s="215">
        <v>6</v>
      </c>
      <c r="F430" s="511">
        <f t="shared" si="60"/>
        <v>227.56</v>
      </c>
      <c r="G430" s="314" t="s">
        <v>2048</v>
      </c>
      <c r="H430" s="518" t="s">
        <v>1148</v>
      </c>
      <c r="I430" s="452" t="s">
        <v>11566</v>
      </c>
      <c r="J430" s="369" t="s">
        <v>753</v>
      </c>
      <c r="K430" s="452" t="s">
        <v>741</v>
      </c>
    </row>
    <row r="431" spans="1:15">
      <c r="A431" s="369"/>
      <c r="B431" s="314" t="s">
        <v>1141</v>
      </c>
      <c r="C431" s="196">
        <v>1638.3</v>
      </c>
      <c r="D431" s="230">
        <f>C431*(1-VLOOKUP(I431,descuentos,6,FALSE))*fcl/IF(dol_sol="dólar", TC,1)</f>
        <v>480.63320597014911</v>
      </c>
      <c r="E431" s="215">
        <v>6</v>
      </c>
      <c r="F431" s="511">
        <f t="shared" si="60"/>
        <v>486.64</v>
      </c>
      <c r="G431" s="314" t="s">
        <v>2049</v>
      </c>
      <c r="H431" s="518" t="s">
        <v>1149</v>
      </c>
      <c r="I431" s="452" t="s">
        <v>11566</v>
      </c>
      <c r="J431" s="369" t="s">
        <v>753</v>
      </c>
      <c r="K431" s="452" t="s">
        <v>741</v>
      </c>
    </row>
    <row r="432" spans="1:15" s="317" customFormat="1">
      <c r="A432" s="369"/>
      <c r="B432" s="314" t="s">
        <v>1142</v>
      </c>
      <c r="C432" s="196">
        <v>2010.8999999999999</v>
      </c>
      <c r="D432" s="230">
        <f>C432*(1-VLOOKUP(I432,descuentos,6,FALSE))*fcl/IF(dol_sol="dólar", TC,1)</f>
        <v>589.94403582089524</v>
      </c>
      <c r="E432" s="215">
        <v>6</v>
      </c>
      <c r="F432" s="511">
        <f t="shared" si="60"/>
        <v>595.95000000000005</v>
      </c>
      <c r="G432" s="314" t="s">
        <v>2050</v>
      </c>
      <c r="H432" s="518" t="s">
        <v>1150</v>
      </c>
      <c r="I432" s="452" t="s">
        <v>11566</v>
      </c>
      <c r="J432" s="369" t="s">
        <v>753</v>
      </c>
      <c r="K432" s="452" t="s">
        <v>741</v>
      </c>
    </row>
    <row r="433" spans="1:15" s="317" customFormat="1">
      <c r="A433" s="369"/>
      <c r="B433" s="314"/>
      <c r="C433" s="196" t="s">
        <v>2024</v>
      </c>
      <c r="D433" s="230"/>
      <c r="E433" s="215"/>
      <c r="F433" s="511">
        <f t="shared" si="60"/>
        <v>0</v>
      </c>
      <c r="G433" s="314"/>
      <c r="H433" s="518"/>
      <c r="I433" s="452"/>
      <c r="J433" s="369"/>
      <c r="K433" s="452"/>
    </row>
    <row r="434" spans="1:15" s="315" customFormat="1">
      <c r="A434" s="369"/>
      <c r="B434" s="351" t="s">
        <v>2051</v>
      </c>
      <c r="C434" s="346">
        <v>554</v>
      </c>
      <c r="D434" s="345">
        <f t="shared" ref="D434:D439" si="65">C434*(1-VLOOKUP(I434,descuentos,6,FALSE))*fcl/IF(dol_sol="dólar", TC,1)</f>
        <v>162.5287164179104</v>
      </c>
      <c r="E434" s="343">
        <v>6</v>
      </c>
      <c r="F434" s="508">
        <f t="shared" si="60"/>
        <v>168.53</v>
      </c>
      <c r="G434" s="351" t="s">
        <v>2052</v>
      </c>
      <c r="H434" s="506" t="s">
        <v>2053</v>
      </c>
      <c r="I434" s="452" t="s">
        <v>11566</v>
      </c>
      <c r="J434" s="369" t="s">
        <v>753</v>
      </c>
      <c r="K434" s="452" t="s">
        <v>741</v>
      </c>
    </row>
    <row r="435" spans="1:15" s="315" customFormat="1">
      <c r="A435" s="369"/>
      <c r="B435" s="351" t="s">
        <v>2054</v>
      </c>
      <c r="C435" s="346">
        <v>602</v>
      </c>
      <c r="D435" s="345">
        <f t="shared" si="65"/>
        <v>176.61062686567158</v>
      </c>
      <c r="E435" s="343">
        <v>6</v>
      </c>
      <c r="F435" s="508">
        <f t="shared" si="60"/>
        <v>182.62</v>
      </c>
      <c r="G435" s="351" t="s">
        <v>2055</v>
      </c>
      <c r="H435" s="506" t="s">
        <v>2056</v>
      </c>
      <c r="I435" s="452" t="s">
        <v>11566</v>
      </c>
      <c r="J435" s="369" t="s">
        <v>753</v>
      </c>
      <c r="K435" s="452" t="s">
        <v>741</v>
      </c>
    </row>
    <row r="436" spans="1:15" s="315" customFormat="1">
      <c r="A436" s="369"/>
      <c r="B436" s="351" t="s">
        <v>2057</v>
      </c>
      <c r="C436" s="346">
        <v>932</v>
      </c>
      <c r="D436" s="345">
        <f t="shared" si="65"/>
        <v>273.42376119402974</v>
      </c>
      <c r="E436" s="343">
        <v>6</v>
      </c>
      <c r="F436" s="508">
        <f t="shared" si="60"/>
        <v>279.43</v>
      </c>
      <c r="G436" s="351" t="s">
        <v>2058</v>
      </c>
      <c r="H436" s="506" t="s">
        <v>2059</v>
      </c>
      <c r="I436" s="452" t="s">
        <v>11566</v>
      </c>
      <c r="J436" s="369" t="s">
        <v>753</v>
      </c>
      <c r="K436" s="452" t="s">
        <v>741</v>
      </c>
    </row>
    <row r="437" spans="1:15" s="315" customFormat="1">
      <c r="A437" s="369"/>
      <c r="B437" s="351" t="s">
        <v>2060</v>
      </c>
      <c r="C437" s="346">
        <v>1128</v>
      </c>
      <c r="D437" s="345">
        <f t="shared" si="65"/>
        <v>330.92489552238794</v>
      </c>
      <c r="E437" s="343">
        <v>6</v>
      </c>
      <c r="F437" s="508">
        <f t="shared" si="60"/>
        <v>336.93</v>
      </c>
      <c r="G437" s="351" t="s">
        <v>2061</v>
      </c>
      <c r="H437" s="506" t="s">
        <v>2062</v>
      </c>
      <c r="I437" s="452" t="s">
        <v>11566</v>
      </c>
      <c r="J437" s="369" t="s">
        <v>753</v>
      </c>
      <c r="K437" s="452" t="s">
        <v>741</v>
      </c>
    </row>
    <row r="438" spans="1:15" s="315" customFormat="1">
      <c r="A438" s="369"/>
      <c r="B438" s="351" t="s">
        <v>2063</v>
      </c>
      <c r="C438" s="346">
        <v>1383</v>
      </c>
      <c r="D438" s="345">
        <f t="shared" si="65"/>
        <v>405.73504477611931</v>
      </c>
      <c r="E438" s="343">
        <v>6</v>
      </c>
      <c r="F438" s="508">
        <f t="shared" si="60"/>
        <v>411.74</v>
      </c>
      <c r="G438" s="351" t="s">
        <v>2064</v>
      </c>
      <c r="H438" s="506" t="s">
        <v>2065</v>
      </c>
      <c r="I438" s="452" t="s">
        <v>11566</v>
      </c>
      <c r="J438" s="369" t="s">
        <v>753</v>
      </c>
      <c r="K438" s="452" t="s">
        <v>741</v>
      </c>
    </row>
    <row r="439" spans="1:15" s="315" customFormat="1">
      <c r="A439" s="369"/>
      <c r="B439" s="351" t="s">
        <v>2066</v>
      </c>
      <c r="C439" s="234">
        <v>3670</v>
      </c>
      <c r="D439" s="345">
        <f t="shared" si="65"/>
        <v>1076.6794029850741</v>
      </c>
      <c r="E439" s="343">
        <v>6</v>
      </c>
      <c r="F439" s="508">
        <f t="shared" ref="F439:F452" si="66">ROUNDUP(D439+E439,2)</f>
        <v>1082.68</v>
      </c>
      <c r="G439" s="351" t="s">
        <v>2067</v>
      </c>
      <c r="H439" s="506" t="s">
        <v>2068</v>
      </c>
      <c r="I439" s="452" t="s">
        <v>11566</v>
      </c>
      <c r="J439" s="369" t="s">
        <v>753</v>
      </c>
      <c r="K439" s="452" t="s">
        <v>741</v>
      </c>
    </row>
    <row r="440" spans="1:15">
      <c r="A440" s="369"/>
      <c r="B440" s="351"/>
      <c r="C440" s="346" t="s">
        <v>2024</v>
      </c>
      <c r="D440" s="345"/>
      <c r="E440" s="343"/>
      <c r="F440" s="508">
        <f t="shared" si="66"/>
        <v>0</v>
      </c>
      <c r="G440" s="351"/>
      <c r="H440" s="506"/>
      <c r="I440" s="452"/>
      <c r="J440" s="369"/>
      <c r="K440" s="452"/>
      <c r="L440" s="191"/>
      <c r="M440" s="191"/>
      <c r="N440" s="191"/>
      <c r="O440" s="191"/>
    </row>
    <row r="441" spans="1:15" s="315" customFormat="1">
      <c r="A441" s="369"/>
      <c r="B441" s="314"/>
      <c r="C441" s="196" t="s">
        <v>2024</v>
      </c>
      <c r="D441" s="230"/>
      <c r="E441" s="215"/>
      <c r="F441" s="511">
        <f t="shared" si="66"/>
        <v>0</v>
      </c>
      <c r="G441" s="314"/>
      <c r="H441" s="518"/>
      <c r="I441" s="452"/>
      <c r="J441" s="369"/>
      <c r="K441" s="452"/>
    </row>
    <row r="442" spans="1:15" s="315" customFormat="1">
      <c r="A442" s="369"/>
      <c r="B442" s="545" t="s">
        <v>2069</v>
      </c>
      <c r="C442" s="196" t="s">
        <v>2024</v>
      </c>
      <c r="D442" s="230"/>
      <c r="E442" s="215"/>
      <c r="F442" s="511">
        <f t="shared" si="66"/>
        <v>0</v>
      </c>
      <c r="G442" s="314"/>
      <c r="H442" s="518"/>
      <c r="I442" s="452"/>
      <c r="J442" s="369"/>
      <c r="K442" s="452"/>
    </row>
    <row r="443" spans="1:15" s="315" customFormat="1">
      <c r="A443" s="369"/>
      <c r="B443" s="351" t="s">
        <v>13478</v>
      </c>
      <c r="C443" s="346">
        <v>723</v>
      </c>
      <c r="D443" s="345">
        <f>C443*(1-VLOOKUP(I443,descuentos,6,FALSE))*fcl/IF(dol_sol="dólar", TC,1)</f>
        <v>212.10877611940293</v>
      </c>
      <c r="E443" s="343">
        <v>6</v>
      </c>
      <c r="F443" s="508">
        <f t="shared" si="66"/>
        <v>218.10999999999999</v>
      </c>
      <c r="G443" s="351" t="s">
        <v>13479</v>
      </c>
      <c r="H443" s="518" t="s">
        <v>13480</v>
      </c>
      <c r="I443" s="452" t="s">
        <v>11566</v>
      </c>
      <c r="J443" s="369" t="s">
        <v>753</v>
      </c>
      <c r="K443" s="452" t="s">
        <v>741</v>
      </c>
    </row>
    <row r="444" spans="1:15" s="315" customFormat="1">
      <c r="A444" s="369"/>
      <c r="B444" s="314"/>
      <c r="C444" s="196" t="s">
        <v>2024</v>
      </c>
      <c r="D444" s="230"/>
      <c r="E444" s="215"/>
      <c r="F444" s="511">
        <f t="shared" si="66"/>
        <v>0</v>
      </c>
      <c r="G444" s="314"/>
      <c r="H444" s="518"/>
      <c r="I444" s="452"/>
      <c r="J444" s="369"/>
      <c r="K444" s="452"/>
    </row>
    <row r="445" spans="1:15" s="315" customFormat="1">
      <c r="A445" s="369"/>
      <c r="B445" s="351" t="s">
        <v>2070</v>
      </c>
      <c r="C445" s="346">
        <v>5443</v>
      </c>
      <c r="D445" s="345">
        <f>C445*(1-VLOOKUP(I445,descuentos,6,FALSE))*fcl/IF(dol_sol="dólar", TC,1)</f>
        <v>1596.8299701492533</v>
      </c>
      <c r="E445" s="343">
        <v>6</v>
      </c>
      <c r="F445" s="508">
        <f t="shared" si="66"/>
        <v>1602.83</v>
      </c>
      <c r="G445" s="351" t="s">
        <v>6431</v>
      </c>
      <c r="H445" s="518" t="s">
        <v>2071</v>
      </c>
      <c r="I445" s="452" t="s">
        <v>11566</v>
      </c>
      <c r="J445" s="369" t="s">
        <v>753</v>
      </c>
      <c r="K445" s="452" t="s">
        <v>741</v>
      </c>
    </row>
    <row r="446" spans="1:15" s="315" customFormat="1">
      <c r="A446" s="369"/>
      <c r="B446" s="351" t="s">
        <v>2072</v>
      </c>
      <c r="C446" s="346">
        <v>7456</v>
      </c>
      <c r="D446" s="345">
        <f>C446*(1-VLOOKUP(I446,descuentos,6,FALSE))*fcl/IF(dol_sol="dólar", TC,1)</f>
        <v>2187.3900895522379</v>
      </c>
      <c r="E446" s="343">
        <v>6</v>
      </c>
      <c r="F446" s="508">
        <f t="shared" si="66"/>
        <v>2193.4</v>
      </c>
      <c r="G446" s="351" t="s">
        <v>6432</v>
      </c>
      <c r="H446" s="518" t="s">
        <v>2073</v>
      </c>
      <c r="I446" s="452" t="s">
        <v>11566</v>
      </c>
      <c r="J446" s="369" t="s">
        <v>753</v>
      </c>
      <c r="K446" s="452" t="s">
        <v>741</v>
      </c>
    </row>
    <row r="447" spans="1:15" s="315" customFormat="1">
      <c r="A447" s="369"/>
      <c r="B447" s="351" t="s">
        <v>2074</v>
      </c>
      <c r="C447" s="346">
        <v>19879</v>
      </c>
      <c r="D447" s="345">
        <f>C447*(1-VLOOKUP(I447,descuentos,6,FALSE))*fcl/IF(dol_sol="dólar", TC,1)</f>
        <v>5831.9645373134308</v>
      </c>
      <c r="E447" s="343">
        <v>6</v>
      </c>
      <c r="F447" s="508">
        <f t="shared" si="66"/>
        <v>5837.97</v>
      </c>
      <c r="G447" s="351" t="s">
        <v>6433</v>
      </c>
      <c r="H447" s="518" t="s">
        <v>2075</v>
      </c>
      <c r="I447" s="452" t="s">
        <v>11566</v>
      </c>
      <c r="J447" s="369" t="s">
        <v>753</v>
      </c>
      <c r="K447" s="452" t="s">
        <v>741</v>
      </c>
    </row>
    <row r="448" spans="1:15" s="315" customFormat="1">
      <c r="A448" s="369"/>
      <c r="B448" s="314"/>
      <c r="C448" s="196" t="s">
        <v>2024</v>
      </c>
      <c r="D448" s="230"/>
      <c r="E448" s="215"/>
      <c r="F448" s="511">
        <f t="shared" si="66"/>
        <v>0</v>
      </c>
      <c r="G448" s="314"/>
      <c r="H448" s="518"/>
      <c r="I448" s="452"/>
      <c r="J448" s="369"/>
      <c r="K448" s="452"/>
    </row>
    <row r="449" spans="1:15" s="315" customFormat="1">
      <c r="A449" s="369"/>
      <c r="B449" s="351" t="s">
        <v>11000</v>
      </c>
      <c r="C449" s="346">
        <v>2982</v>
      </c>
      <c r="D449" s="345">
        <f>C449*(1-VLOOKUP(I449,descuentos,6,FALSE))*fcl/IF(dol_sol="dólar", TC,1)</f>
        <v>874.8386865671639</v>
      </c>
      <c r="E449" s="343">
        <v>6</v>
      </c>
      <c r="F449" s="508">
        <f t="shared" si="66"/>
        <v>880.84</v>
      </c>
      <c r="G449" s="351" t="s">
        <v>11001</v>
      </c>
      <c r="H449" s="518" t="s">
        <v>11002</v>
      </c>
      <c r="I449" s="452" t="s">
        <v>11566</v>
      </c>
      <c r="J449" s="369" t="s">
        <v>753</v>
      </c>
      <c r="K449" s="452" t="s">
        <v>741</v>
      </c>
    </row>
    <row r="450" spans="1:15" s="315" customFormat="1">
      <c r="A450" s="369"/>
      <c r="B450" s="351" t="s">
        <v>11003</v>
      </c>
      <c r="C450" s="346">
        <v>3231</v>
      </c>
      <c r="D450" s="345">
        <f>C450*(1-VLOOKUP(I450,descuentos,6,FALSE))*fcl/IF(dol_sol="dólar", TC,1)</f>
        <v>947.88859701492504</v>
      </c>
      <c r="E450" s="343">
        <v>6</v>
      </c>
      <c r="F450" s="508">
        <f t="shared" si="66"/>
        <v>953.89</v>
      </c>
      <c r="G450" s="351" t="s">
        <v>11004</v>
      </c>
      <c r="H450" s="518" t="s">
        <v>11005</v>
      </c>
      <c r="I450" s="452" t="s">
        <v>11566</v>
      </c>
      <c r="J450" s="369" t="s">
        <v>753</v>
      </c>
      <c r="K450" s="452" t="s">
        <v>741</v>
      </c>
    </row>
    <row r="451" spans="1:15" s="315" customFormat="1">
      <c r="A451" s="369"/>
      <c r="B451" s="351" t="s">
        <v>2076</v>
      </c>
      <c r="C451" s="346">
        <v>3479</v>
      </c>
      <c r="D451" s="345">
        <f>C451*(1-VLOOKUP(I451,descuentos,6,FALSE))*fcl/IF(dol_sol="dólar", TC,1)</f>
        <v>1020.6451343283579</v>
      </c>
      <c r="E451" s="343">
        <v>6</v>
      </c>
      <c r="F451" s="508">
        <f t="shared" si="66"/>
        <v>1026.6500000000001</v>
      </c>
      <c r="G451" s="351" t="s">
        <v>6434</v>
      </c>
      <c r="H451" s="518" t="s">
        <v>13369</v>
      </c>
      <c r="I451" s="452" t="s">
        <v>11566</v>
      </c>
      <c r="J451" s="369" t="s">
        <v>753</v>
      </c>
      <c r="K451" s="452" t="s">
        <v>741</v>
      </c>
    </row>
    <row r="452" spans="1:15">
      <c r="A452" s="369"/>
      <c r="B452" s="351" t="s">
        <v>2077</v>
      </c>
      <c r="C452" s="346">
        <v>19879</v>
      </c>
      <c r="D452" s="345">
        <f>C452*(1-VLOOKUP(I452,descuentos,6,FALSE))*fcl/IF(dol_sol="dólar", TC,1)</f>
        <v>5831.9645373134308</v>
      </c>
      <c r="E452" s="343">
        <v>12</v>
      </c>
      <c r="F452" s="508">
        <f t="shared" si="66"/>
        <v>5843.97</v>
      </c>
      <c r="G452" s="351" t="s">
        <v>6435</v>
      </c>
      <c r="H452" s="518" t="s">
        <v>2078</v>
      </c>
      <c r="I452" s="452" t="s">
        <v>11566</v>
      </c>
      <c r="J452" s="369" t="s">
        <v>753</v>
      </c>
      <c r="K452" s="452" t="s">
        <v>741</v>
      </c>
      <c r="L452" s="191"/>
      <c r="M452" s="191"/>
      <c r="N452" s="191"/>
      <c r="O452" s="191"/>
    </row>
    <row r="453" spans="1:15" s="102" customFormat="1">
      <c r="C453" s="102" t="s">
        <v>2024</v>
      </c>
      <c r="H453" s="194"/>
    </row>
    <row r="454" spans="1:15" s="315" customFormat="1">
      <c r="A454" s="369"/>
      <c r="B454" s="351" t="s">
        <v>9794</v>
      </c>
      <c r="C454" s="346">
        <v>723</v>
      </c>
      <c r="D454" s="345">
        <f>C454*(1-VLOOKUP(I454,descuentos,6,FALSE))*fcl/IF(dol_sol="dólar", TC,1)</f>
        <v>212.10877611940293</v>
      </c>
      <c r="E454" s="343">
        <v>6</v>
      </c>
      <c r="F454" s="508">
        <f t="shared" ref="F454:F462" si="67">ROUNDUP(D454+E454,2)</f>
        <v>218.10999999999999</v>
      </c>
      <c r="G454" s="351" t="s">
        <v>9795</v>
      </c>
      <c r="H454" s="518" t="s">
        <v>9796</v>
      </c>
      <c r="I454" s="452" t="s">
        <v>11566</v>
      </c>
      <c r="J454" s="369" t="s">
        <v>753</v>
      </c>
      <c r="K454" s="452" t="s">
        <v>741</v>
      </c>
    </row>
    <row r="455" spans="1:15" s="315" customFormat="1">
      <c r="A455" s="369"/>
      <c r="B455" s="351" t="s">
        <v>9797</v>
      </c>
      <c r="C455" s="346">
        <v>768</v>
      </c>
      <c r="D455" s="345">
        <f>C455*(1-VLOOKUP(I455,descuentos,6,FALSE))*fcl/IF(dol_sol="dólar", TC,1)</f>
        <v>225.31056716417902</v>
      </c>
      <c r="E455" s="343">
        <v>6</v>
      </c>
      <c r="F455" s="508">
        <f t="shared" si="67"/>
        <v>231.32</v>
      </c>
      <c r="G455" s="351" t="s">
        <v>9798</v>
      </c>
      <c r="H455" s="518" t="s">
        <v>9799</v>
      </c>
      <c r="I455" s="452" t="s">
        <v>11566</v>
      </c>
      <c r="J455" s="369" t="s">
        <v>753</v>
      </c>
      <c r="K455" s="452" t="s">
        <v>741</v>
      </c>
    </row>
    <row r="456" spans="1:15" s="315" customFormat="1">
      <c r="A456" s="102"/>
      <c r="B456" s="318" t="s">
        <v>9800</v>
      </c>
      <c r="C456" s="346">
        <v>2896</v>
      </c>
      <c r="D456" s="345">
        <f>C456*(1-VLOOKUP(I456,descuentos,6,FALSE))*fcl/IF(dol_sol="dólar", TC,1)</f>
        <v>849.60859701492507</v>
      </c>
      <c r="E456" s="343">
        <v>6</v>
      </c>
      <c r="F456" s="508">
        <f t="shared" si="67"/>
        <v>855.61</v>
      </c>
      <c r="G456" s="351" t="s">
        <v>9801</v>
      </c>
      <c r="H456" s="518" t="s">
        <v>10297</v>
      </c>
      <c r="I456" s="452" t="s">
        <v>11566</v>
      </c>
      <c r="J456" s="369" t="s">
        <v>753</v>
      </c>
      <c r="K456" s="452" t="s">
        <v>741</v>
      </c>
    </row>
    <row r="457" spans="1:15" s="315" customFormat="1">
      <c r="A457" s="102"/>
      <c r="B457" s="351" t="s">
        <v>9802</v>
      </c>
      <c r="C457" s="346">
        <v>3231</v>
      </c>
      <c r="D457" s="345">
        <f>C457*(1-VLOOKUP(I457,descuentos,6,FALSE))*fcl/IF(dol_sol="dólar", TC,1)</f>
        <v>947.88859701492504</v>
      </c>
      <c r="E457" s="343">
        <v>6</v>
      </c>
      <c r="F457" s="508">
        <f t="shared" si="67"/>
        <v>953.89</v>
      </c>
      <c r="G457" s="351" t="s">
        <v>6431</v>
      </c>
      <c r="H457" s="518" t="s">
        <v>9803</v>
      </c>
      <c r="I457" s="452" t="s">
        <v>11566</v>
      </c>
      <c r="J457" s="369" t="s">
        <v>753</v>
      </c>
      <c r="K457" s="452" t="s">
        <v>741</v>
      </c>
    </row>
    <row r="458" spans="1:15" s="315" customFormat="1">
      <c r="A458" s="369"/>
      <c r="B458" s="314"/>
      <c r="C458" s="196" t="s">
        <v>2024</v>
      </c>
      <c r="D458" s="230"/>
      <c r="E458" s="215"/>
      <c r="F458" s="511"/>
      <c r="G458" s="314"/>
      <c r="H458" s="518"/>
      <c r="I458" s="452"/>
      <c r="J458" s="369"/>
      <c r="K458" s="452"/>
    </row>
    <row r="459" spans="1:15" s="315" customFormat="1">
      <c r="A459" s="369"/>
      <c r="B459" s="545" t="s">
        <v>10298</v>
      </c>
      <c r="C459" s="196" t="s">
        <v>2024</v>
      </c>
      <c r="D459" s="230"/>
      <c r="E459" s="215"/>
      <c r="F459" s="511"/>
      <c r="G459" s="314"/>
      <c r="H459" s="518"/>
      <c r="I459" s="452"/>
      <c r="J459" s="369"/>
      <c r="K459" s="452"/>
    </row>
    <row r="460" spans="1:15" s="315" customFormat="1">
      <c r="A460" s="369"/>
      <c r="B460" s="314"/>
      <c r="C460" s="196" t="s">
        <v>2024</v>
      </c>
      <c r="D460" s="230"/>
      <c r="E460" s="215"/>
      <c r="F460" s="511"/>
      <c r="G460" s="314"/>
      <c r="H460" s="518"/>
      <c r="I460" s="452"/>
      <c r="J460" s="369"/>
      <c r="K460" s="452"/>
    </row>
    <row r="461" spans="1:15" s="315" customFormat="1">
      <c r="A461" s="369"/>
      <c r="B461" s="351" t="s">
        <v>10299</v>
      </c>
      <c r="C461" s="346">
        <v>1390</v>
      </c>
      <c r="D461" s="345">
        <f>C461*(1-VLOOKUP(I461,descuentos,6,FALSE))*fcl/IF(dol_sol="dólar", TC,1)</f>
        <v>407.78865671641773</v>
      </c>
      <c r="E461" s="343">
        <v>6</v>
      </c>
      <c r="F461" s="508">
        <f t="shared" si="67"/>
        <v>413.78999999999996</v>
      </c>
      <c r="G461" s="314" t="s">
        <v>10300</v>
      </c>
      <c r="H461" s="518" t="s">
        <v>10301</v>
      </c>
      <c r="I461" s="452" t="s">
        <v>11566</v>
      </c>
      <c r="J461" s="369" t="s">
        <v>753</v>
      </c>
      <c r="K461" s="452" t="s">
        <v>741</v>
      </c>
    </row>
    <row r="462" spans="1:15" s="315" customFormat="1">
      <c r="A462" s="369"/>
      <c r="B462" s="351" t="s">
        <v>10302</v>
      </c>
      <c r="C462" s="346">
        <v>1489</v>
      </c>
      <c r="D462" s="345">
        <f>C462*(1-VLOOKUP(I462,descuentos,6,FALSE))*fcl/IF(dol_sol="dólar", TC,1)</f>
        <v>436.83259701492523</v>
      </c>
      <c r="E462" s="343">
        <v>6</v>
      </c>
      <c r="F462" s="508">
        <f t="shared" si="67"/>
        <v>442.84</v>
      </c>
      <c r="G462" s="314" t="s">
        <v>10303</v>
      </c>
      <c r="H462" s="518" t="s">
        <v>10304</v>
      </c>
      <c r="I462" s="452" t="s">
        <v>11566</v>
      </c>
      <c r="J462" s="369" t="s">
        <v>753</v>
      </c>
      <c r="K462" s="452" t="s">
        <v>741</v>
      </c>
    </row>
    <row r="463" spans="1:15" s="185" customFormat="1">
      <c r="A463" s="369"/>
      <c r="B463" s="314"/>
      <c r="C463" s="196" t="s">
        <v>2024</v>
      </c>
      <c r="D463" s="230"/>
      <c r="E463" s="215"/>
      <c r="F463" s="511"/>
      <c r="G463" s="314"/>
      <c r="H463" s="518"/>
      <c r="I463" s="452"/>
      <c r="J463" s="369"/>
      <c r="K463" s="452"/>
      <c r="L463" s="102"/>
      <c r="M463" s="102"/>
      <c r="N463" s="102"/>
      <c r="O463" s="102"/>
    </row>
    <row r="464" spans="1:15" s="185" customFormat="1">
      <c r="A464" s="369"/>
      <c r="B464" s="1463" t="s">
        <v>6436</v>
      </c>
      <c r="C464" s="196" t="s">
        <v>2024</v>
      </c>
      <c r="D464" s="230"/>
      <c r="E464" s="215"/>
      <c r="F464" s="511"/>
      <c r="G464" s="314"/>
      <c r="H464" s="518"/>
      <c r="I464" s="452"/>
      <c r="J464" s="369"/>
      <c r="K464" s="452"/>
      <c r="L464" s="102"/>
      <c r="M464" s="102"/>
      <c r="N464" s="102"/>
      <c r="O464" s="102"/>
    </row>
    <row r="465" spans="1:15" s="185" customFormat="1">
      <c r="A465" s="369"/>
      <c r="B465" s="314"/>
      <c r="C465" s="196" t="s">
        <v>2024</v>
      </c>
      <c r="D465" s="230"/>
      <c r="E465" s="215"/>
      <c r="F465" s="511"/>
      <c r="G465" s="314"/>
      <c r="H465" s="518"/>
      <c r="I465" s="452"/>
      <c r="J465" s="369"/>
      <c r="K465" s="452"/>
      <c r="L465" s="102"/>
      <c r="M465" s="102"/>
      <c r="N465" s="102"/>
      <c r="O465" s="102"/>
    </row>
    <row r="466" spans="1:15" s="185" customFormat="1">
      <c r="A466" s="369"/>
      <c r="B466" s="314" t="s">
        <v>3223</v>
      </c>
      <c r="C466" s="196">
        <v>66.5</v>
      </c>
      <c r="D466" s="230">
        <f t="shared" ref="D466:D472" si="68">C466*(1-VLOOKUP(I466,descuentos,6,FALSE))*fcl/IF(dol_sol="dólar", TC,1)</f>
        <v>19.509313432835818</v>
      </c>
      <c r="E466" s="215">
        <v>1</v>
      </c>
      <c r="F466" s="511">
        <f t="shared" ref="F466:F472" si="69">ROUNDUP(D466+E466,2)</f>
        <v>20.51</v>
      </c>
      <c r="G466" s="314" t="s">
        <v>6437</v>
      </c>
      <c r="H466" s="518" t="s">
        <v>3224</v>
      </c>
      <c r="I466" s="452" t="s">
        <v>11566</v>
      </c>
      <c r="J466" s="369" t="s">
        <v>753</v>
      </c>
      <c r="K466" s="452" t="s">
        <v>741</v>
      </c>
      <c r="L466" s="102"/>
      <c r="M466" s="102"/>
      <c r="N466" s="102"/>
      <c r="O466" s="102"/>
    </row>
    <row r="467" spans="1:15" s="185" customFormat="1">
      <c r="A467" s="369"/>
      <c r="B467" s="314" t="s">
        <v>3225</v>
      </c>
      <c r="C467" s="196">
        <v>45.1</v>
      </c>
      <c r="D467" s="230">
        <f>C467*(1-VLOOKUP(I467,descuentos,6,FALSE))*fcl/IF(dol_sol="dólar", TC,1)</f>
        <v>13.231128358208951</v>
      </c>
      <c r="E467" s="215">
        <v>1</v>
      </c>
      <c r="F467" s="511">
        <f t="shared" si="69"/>
        <v>14.24</v>
      </c>
      <c r="G467" s="314" t="s">
        <v>6438</v>
      </c>
      <c r="H467" s="518" t="s">
        <v>3226</v>
      </c>
      <c r="I467" s="452" t="s">
        <v>11566</v>
      </c>
      <c r="J467" s="369" t="s">
        <v>753</v>
      </c>
      <c r="K467" s="452" t="s">
        <v>741</v>
      </c>
      <c r="L467" s="102"/>
      <c r="M467" s="102"/>
      <c r="N467" s="102"/>
      <c r="O467" s="102"/>
    </row>
    <row r="468" spans="1:15" s="185" customFormat="1">
      <c r="A468" s="369"/>
      <c r="B468" s="314" t="s">
        <v>3237</v>
      </c>
      <c r="C468" s="196">
        <v>61.6</v>
      </c>
      <c r="D468" s="230">
        <f t="shared" si="68"/>
        <v>18.07178507462686</v>
      </c>
      <c r="E468" s="215">
        <v>1</v>
      </c>
      <c r="F468" s="511">
        <f t="shared" si="69"/>
        <v>19.080000000000002</v>
      </c>
      <c r="G468" s="314" t="s">
        <v>3238</v>
      </c>
      <c r="H468" s="518" t="s">
        <v>6439</v>
      </c>
      <c r="I468" s="452" t="s">
        <v>11566</v>
      </c>
      <c r="J468" s="369" t="s">
        <v>753</v>
      </c>
      <c r="K468" s="452" t="s">
        <v>741</v>
      </c>
      <c r="L468" s="102"/>
      <c r="M468" s="102"/>
      <c r="N468" s="102"/>
      <c r="O468" s="102"/>
    </row>
    <row r="469" spans="1:15" s="185" customFormat="1">
      <c r="A469" s="369"/>
      <c r="B469" s="314" t="s">
        <v>6440</v>
      </c>
      <c r="C469" s="196">
        <v>61.6</v>
      </c>
      <c r="D469" s="230">
        <f t="shared" si="68"/>
        <v>18.07178507462686</v>
      </c>
      <c r="E469" s="215">
        <v>1</v>
      </c>
      <c r="F469" s="511">
        <f t="shared" si="69"/>
        <v>19.080000000000002</v>
      </c>
      <c r="G469" s="314" t="s">
        <v>6441</v>
      </c>
      <c r="H469" s="518" t="s">
        <v>6442</v>
      </c>
      <c r="I469" s="452" t="s">
        <v>11566</v>
      </c>
      <c r="J469" s="369" t="s">
        <v>753</v>
      </c>
      <c r="K469" s="452" t="s">
        <v>741</v>
      </c>
      <c r="L469" s="102"/>
      <c r="M469" s="102"/>
      <c r="N469" s="102"/>
      <c r="O469" s="102"/>
    </row>
    <row r="470" spans="1:15" s="185" customFormat="1">
      <c r="A470" s="369"/>
      <c r="B470" s="314" t="s">
        <v>6443</v>
      </c>
      <c r="C470" s="196">
        <v>48</v>
      </c>
      <c r="D470" s="230">
        <f t="shared" si="68"/>
        <v>14.081910447761189</v>
      </c>
      <c r="E470" s="215">
        <v>1</v>
      </c>
      <c r="F470" s="511">
        <f t="shared" si="69"/>
        <v>15.09</v>
      </c>
      <c r="G470" s="314" t="s">
        <v>6444</v>
      </c>
      <c r="H470" s="518" t="s">
        <v>3239</v>
      </c>
      <c r="I470" s="452" t="s">
        <v>11566</v>
      </c>
      <c r="J470" s="369" t="s">
        <v>753</v>
      </c>
      <c r="K470" s="452" t="s">
        <v>741</v>
      </c>
      <c r="L470" s="102"/>
      <c r="M470" s="102"/>
      <c r="N470" s="102"/>
      <c r="O470" s="102"/>
    </row>
    <row r="471" spans="1:15" s="185" customFormat="1">
      <c r="A471" s="369"/>
      <c r="B471" s="314" t="s">
        <v>3227</v>
      </c>
      <c r="C471" s="196">
        <v>152</v>
      </c>
      <c r="D471" s="230">
        <f t="shared" si="68"/>
        <v>44.592716417910431</v>
      </c>
      <c r="E471" s="215">
        <v>1</v>
      </c>
      <c r="F471" s="511">
        <f t="shared" si="69"/>
        <v>45.6</v>
      </c>
      <c r="G471" s="314" t="s">
        <v>3229</v>
      </c>
      <c r="H471" s="518" t="s">
        <v>3228</v>
      </c>
      <c r="I471" s="452" t="s">
        <v>11566</v>
      </c>
      <c r="J471" s="369" t="s">
        <v>753</v>
      </c>
      <c r="K471" s="452" t="s">
        <v>741</v>
      </c>
      <c r="L471" s="102"/>
      <c r="M471" s="102"/>
      <c r="N471" s="102"/>
      <c r="O471" s="102"/>
    </row>
    <row r="472" spans="1:15" s="185" customFormat="1">
      <c r="A472" s="369"/>
      <c r="B472" s="314" t="s">
        <v>3234</v>
      </c>
      <c r="C472" s="196">
        <v>160</v>
      </c>
      <c r="D472" s="230">
        <f t="shared" si="68"/>
        <v>46.939701492537303</v>
      </c>
      <c r="E472" s="215">
        <v>1</v>
      </c>
      <c r="F472" s="511">
        <f t="shared" si="69"/>
        <v>47.94</v>
      </c>
      <c r="G472" s="314" t="s">
        <v>3235</v>
      </c>
      <c r="H472" s="518" t="s">
        <v>3236</v>
      </c>
      <c r="I472" s="452" t="s">
        <v>11566</v>
      </c>
      <c r="J472" s="369" t="s">
        <v>753</v>
      </c>
      <c r="K472" s="452" t="s">
        <v>741</v>
      </c>
      <c r="L472" s="102"/>
      <c r="M472" s="102"/>
      <c r="N472" s="102"/>
      <c r="O472" s="102"/>
    </row>
    <row r="473" spans="1:15" s="185" customFormat="1">
      <c r="A473" s="369"/>
      <c r="B473" s="314"/>
      <c r="C473" s="196" t="s">
        <v>2024</v>
      </c>
      <c r="D473" s="230"/>
      <c r="E473" s="215"/>
      <c r="F473" s="511"/>
      <c r="G473" s="314"/>
      <c r="H473" s="518"/>
      <c r="I473" s="452"/>
      <c r="J473" s="369"/>
      <c r="K473" s="452"/>
      <c r="L473" s="102"/>
      <c r="M473" s="102"/>
      <c r="N473" s="102"/>
      <c r="O473" s="102"/>
    </row>
    <row r="474" spans="1:15" s="185" customFormat="1">
      <c r="A474" s="369"/>
      <c r="B474" s="314" t="s">
        <v>4237</v>
      </c>
      <c r="C474" s="196">
        <v>217</v>
      </c>
      <c r="D474" s="230">
        <f>C474*(1-VLOOKUP(I474,descuentos,6,FALSE))*fcl/IF(dol_sol="dólar", TC,1)</f>
        <v>63.661970149253719</v>
      </c>
      <c r="E474" s="215">
        <v>2</v>
      </c>
      <c r="F474" s="511">
        <f>ROUNDUP(D474+E474,2)</f>
        <v>65.67</v>
      </c>
      <c r="G474" s="314" t="s">
        <v>4238</v>
      </c>
      <c r="H474" s="518" t="s">
        <v>4239</v>
      </c>
      <c r="I474" s="452" t="s">
        <v>11566</v>
      </c>
      <c r="J474" s="369" t="s">
        <v>753</v>
      </c>
      <c r="K474" s="452" t="s">
        <v>741</v>
      </c>
      <c r="L474" s="102"/>
      <c r="M474" s="102"/>
      <c r="N474" s="102"/>
      <c r="O474" s="102"/>
    </row>
    <row r="475" spans="1:15" s="185" customFormat="1">
      <c r="A475" s="369"/>
      <c r="B475" s="314"/>
      <c r="C475" s="196" t="s">
        <v>2024</v>
      </c>
      <c r="D475" s="230"/>
      <c r="E475" s="215"/>
      <c r="F475" s="511"/>
      <c r="G475" s="314"/>
      <c r="H475" s="518"/>
      <c r="I475" s="452"/>
      <c r="J475" s="369"/>
      <c r="K475" s="452"/>
      <c r="L475" s="102"/>
      <c r="M475" s="102"/>
      <c r="N475" s="102"/>
      <c r="O475" s="102"/>
    </row>
    <row r="476" spans="1:15" s="315" customFormat="1">
      <c r="A476" s="369"/>
      <c r="B476" s="1379" t="s">
        <v>5337</v>
      </c>
      <c r="C476" s="346">
        <v>163</v>
      </c>
      <c r="D476" s="345">
        <f>C476*(1-VLOOKUP(I476,descuentos,6,FALSE))*fcl/TC</f>
        <v>47.819820895522376</v>
      </c>
      <c r="E476" s="343">
        <v>1</v>
      </c>
      <c r="F476" s="508">
        <f>ROUNDUP(D476+E476,2)</f>
        <v>48.82</v>
      </c>
      <c r="G476" s="1379" t="s">
        <v>5338</v>
      </c>
      <c r="H476" s="1657" t="s">
        <v>5339</v>
      </c>
      <c r="I476" s="1379" t="s">
        <v>11566</v>
      </c>
      <c r="J476" s="1380" t="s">
        <v>753</v>
      </c>
      <c r="K476" s="1379" t="s">
        <v>741</v>
      </c>
    </row>
    <row r="477" spans="1:15" s="315" customFormat="1">
      <c r="A477" s="369"/>
      <c r="C477" s="196" t="s">
        <v>2024</v>
      </c>
      <c r="D477" s="230"/>
      <c r="E477" s="215"/>
      <c r="F477" s="511"/>
      <c r="H477" s="145"/>
      <c r="J477" s="370"/>
    </row>
    <row r="478" spans="1:15" s="185" customFormat="1">
      <c r="A478" s="1464"/>
      <c r="B478" s="314" t="s">
        <v>6445</v>
      </c>
      <c r="C478" s="196">
        <v>23</v>
      </c>
      <c r="D478" s="230">
        <f>C478*(1-VLOOKUP(I478,descuentos,6,FALSE))*fcl/IF(dol_sol="dólar", TC,1)</f>
        <v>6.7475820895522363</v>
      </c>
      <c r="E478" s="215">
        <v>0</v>
      </c>
      <c r="F478" s="511">
        <f>ROUNDUP(D478+E478,2)</f>
        <v>6.75</v>
      </c>
      <c r="G478" s="314" t="s">
        <v>6446</v>
      </c>
      <c r="H478" s="518" t="s">
        <v>6447</v>
      </c>
      <c r="I478" s="452" t="s">
        <v>11566</v>
      </c>
      <c r="J478" s="369" t="s">
        <v>753</v>
      </c>
      <c r="K478" s="452" t="s">
        <v>741</v>
      </c>
      <c r="L478" s="102"/>
      <c r="M478" s="102"/>
      <c r="N478" s="102"/>
      <c r="O478" s="102"/>
    </row>
    <row r="479" spans="1:15" s="185" customFormat="1">
      <c r="A479" s="369"/>
      <c r="B479" s="314"/>
      <c r="C479" s="196" t="s">
        <v>2024</v>
      </c>
      <c r="D479" s="230"/>
      <c r="E479" s="215"/>
      <c r="F479" s="511"/>
      <c r="G479" s="314"/>
      <c r="H479" s="518"/>
      <c r="I479" s="452"/>
      <c r="J479" s="369"/>
      <c r="K479" s="452"/>
      <c r="L479" s="102"/>
      <c r="M479" s="102"/>
      <c r="N479" s="102"/>
      <c r="O479" s="102"/>
    </row>
    <row r="480" spans="1:15" s="185" customFormat="1">
      <c r="A480" s="369"/>
      <c r="B480" s="314" t="s">
        <v>12651</v>
      </c>
      <c r="C480" s="196">
        <v>4684.3</v>
      </c>
      <c r="D480" s="230">
        <f t="shared" ref="D480:D495" si="70">C480*(1-VLOOKUP(I480,descuentos,6,FALSE))*fcl/IF(dol_sol="dólar", TC,1)</f>
        <v>1374.2477731343279</v>
      </c>
      <c r="E480" s="215">
        <v>10</v>
      </c>
      <c r="F480" s="511">
        <f t="shared" ref="F480:F495" si="71">ROUNDUP(D480+E480,2)</f>
        <v>1384.25</v>
      </c>
      <c r="G480" s="314" t="s">
        <v>12652</v>
      </c>
      <c r="H480" s="452" t="s">
        <v>12653</v>
      </c>
      <c r="I480" s="452" t="s">
        <v>11566</v>
      </c>
      <c r="J480" s="369" t="s">
        <v>753</v>
      </c>
      <c r="K480" s="452" t="s">
        <v>741</v>
      </c>
      <c r="L480" s="102"/>
      <c r="M480" s="102"/>
      <c r="N480" s="102"/>
      <c r="O480" s="102"/>
    </row>
    <row r="481" spans="1:15" s="185" customFormat="1">
      <c r="A481" s="369"/>
      <c r="B481" s="314" t="s">
        <v>12654</v>
      </c>
      <c r="C481" s="196">
        <v>6206.8</v>
      </c>
      <c r="D481" s="230">
        <f t="shared" si="70"/>
        <v>1820.9083701492532</v>
      </c>
      <c r="E481" s="215">
        <v>10</v>
      </c>
      <c r="F481" s="511">
        <f t="shared" si="71"/>
        <v>1830.91</v>
      </c>
      <c r="G481" s="314" t="s">
        <v>12655</v>
      </c>
      <c r="H481" s="452" t="s">
        <v>12656</v>
      </c>
      <c r="I481" s="452" t="s">
        <v>11566</v>
      </c>
      <c r="J481" s="369" t="s">
        <v>753</v>
      </c>
      <c r="K481" s="452" t="s">
        <v>741</v>
      </c>
      <c r="L481" s="102"/>
      <c r="M481" s="102"/>
      <c r="N481" s="102"/>
      <c r="O481" s="102"/>
    </row>
    <row r="482" spans="1:15" s="185" customFormat="1">
      <c r="A482" s="369"/>
      <c r="B482" s="314" t="s">
        <v>12657</v>
      </c>
      <c r="C482" s="196">
        <v>1787.6</v>
      </c>
      <c r="D482" s="230">
        <f t="shared" si="70"/>
        <v>524.43381492537299</v>
      </c>
      <c r="E482" s="215">
        <v>10</v>
      </c>
      <c r="F482" s="511">
        <f t="shared" si="71"/>
        <v>534.43999999999994</v>
      </c>
      <c r="G482" s="314" t="s">
        <v>12658</v>
      </c>
      <c r="H482" s="452" t="s">
        <v>12659</v>
      </c>
      <c r="I482" s="452" t="s">
        <v>11566</v>
      </c>
      <c r="J482" s="369" t="s">
        <v>753</v>
      </c>
      <c r="K482" s="452" t="s">
        <v>741</v>
      </c>
      <c r="L482" s="102"/>
      <c r="M482" s="102"/>
      <c r="N482" s="102"/>
      <c r="O482" s="102"/>
    </row>
    <row r="483" spans="1:15" s="185" customFormat="1">
      <c r="A483" s="369"/>
      <c r="B483" s="314" t="s">
        <v>12660</v>
      </c>
      <c r="C483" s="196">
        <v>821.2</v>
      </c>
      <c r="D483" s="230">
        <f t="shared" si="70"/>
        <v>240.9180179104477</v>
      </c>
      <c r="E483" s="215">
        <v>10</v>
      </c>
      <c r="F483" s="511">
        <f t="shared" si="71"/>
        <v>250.92</v>
      </c>
      <c r="G483" s="314" t="s">
        <v>12661</v>
      </c>
      <c r="H483" s="452" t="s">
        <v>12662</v>
      </c>
      <c r="I483" s="452" t="s">
        <v>11566</v>
      </c>
      <c r="J483" s="369" t="s">
        <v>753</v>
      </c>
      <c r="K483" s="452" t="s">
        <v>741</v>
      </c>
      <c r="L483" s="102"/>
      <c r="M483" s="102"/>
      <c r="N483" s="102"/>
      <c r="O483" s="102"/>
    </row>
    <row r="484" spans="1:15" s="185" customFormat="1">
      <c r="A484" s="369"/>
      <c r="B484" s="314" t="s">
        <v>12663</v>
      </c>
      <c r="C484" s="196">
        <v>3938.7999999999997</v>
      </c>
      <c r="D484" s="230">
        <f t="shared" si="70"/>
        <v>1155.538101492537</v>
      </c>
      <c r="E484" s="215">
        <v>20</v>
      </c>
      <c r="F484" s="511">
        <f t="shared" si="71"/>
        <v>1175.54</v>
      </c>
      <c r="G484" s="314" t="s">
        <v>12664</v>
      </c>
      <c r="H484" s="452" t="s">
        <v>12665</v>
      </c>
      <c r="I484" s="452" t="s">
        <v>11566</v>
      </c>
      <c r="J484" s="369" t="s">
        <v>753</v>
      </c>
      <c r="K484" s="452" t="s">
        <v>741</v>
      </c>
      <c r="L484" s="102"/>
      <c r="M484" s="102"/>
      <c r="N484" s="102"/>
      <c r="O484" s="102"/>
    </row>
    <row r="485" spans="1:15" s="185" customFormat="1">
      <c r="A485" s="369"/>
      <c r="B485" s="314" t="s">
        <v>12666</v>
      </c>
      <c r="C485" s="196">
        <v>5684.4000000000005</v>
      </c>
      <c r="D485" s="230">
        <f t="shared" si="70"/>
        <v>1667.6502447761191</v>
      </c>
      <c r="E485" s="215">
        <v>20</v>
      </c>
      <c r="F485" s="511">
        <f t="shared" si="71"/>
        <v>1687.66</v>
      </c>
      <c r="G485" s="314" t="s">
        <v>12667</v>
      </c>
      <c r="H485" s="452" t="s">
        <v>12668</v>
      </c>
      <c r="I485" s="452" t="s">
        <v>11566</v>
      </c>
      <c r="J485" s="369" t="s">
        <v>753</v>
      </c>
      <c r="K485" s="452" t="s">
        <v>741</v>
      </c>
      <c r="L485" s="102"/>
      <c r="M485" s="102"/>
      <c r="N485" s="102"/>
      <c r="O485" s="102"/>
    </row>
    <row r="486" spans="1:15" s="185" customFormat="1">
      <c r="A486" s="369"/>
      <c r="B486" s="314" t="s">
        <v>12669</v>
      </c>
      <c r="C486" s="196">
        <v>7173.6</v>
      </c>
      <c r="D486" s="230">
        <f t="shared" si="70"/>
        <v>2104.5415164179099</v>
      </c>
      <c r="E486" s="215">
        <v>20</v>
      </c>
      <c r="F486" s="511">
        <f t="shared" si="71"/>
        <v>2124.5500000000002</v>
      </c>
      <c r="G486" s="314" t="s">
        <v>12670</v>
      </c>
      <c r="H486" s="452" t="s">
        <v>12671</v>
      </c>
      <c r="I486" s="452" t="s">
        <v>11566</v>
      </c>
      <c r="J486" s="369" t="s">
        <v>753</v>
      </c>
      <c r="K486" s="452" t="s">
        <v>741</v>
      </c>
      <c r="L486" s="102"/>
      <c r="M486" s="102"/>
      <c r="N486" s="102"/>
      <c r="O486" s="102"/>
    </row>
    <row r="487" spans="1:15" s="185" customFormat="1">
      <c r="A487" s="369"/>
      <c r="B487" s="314" t="s">
        <v>12672</v>
      </c>
      <c r="C487" s="196">
        <v>8946.2000000000007</v>
      </c>
      <c r="D487" s="230">
        <f t="shared" si="70"/>
        <v>2624.5747343283579</v>
      </c>
      <c r="E487" s="215">
        <v>20</v>
      </c>
      <c r="F487" s="511">
        <f t="shared" si="71"/>
        <v>2644.5800000000004</v>
      </c>
      <c r="G487" s="314" t="s">
        <v>12673</v>
      </c>
      <c r="H487" s="452" t="s">
        <v>12674</v>
      </c>
      <c r="I487" s="452" t="s">
        <v>11566</v>
      </c>
      <c r="J487" s="369" t="s">
        <v>753</v>
      </c>
      <c r="K487" s="452" t="s">
        <v>741</v>
      </c>
      <c r="L487" s="102"/>
      <c r="M487" s="102"/>
      <c r="N487" s="102"/>
      <c r="O487" s="102"/>
    </row>
    <row r="488" spans="1:15" s="185" customFormat="1">
      <c r="A488" s="369"/>
      <c r="B488" s="314" t="s">
        <v>12675</v>
      </c>
      <c r="C488" s="196">
        <v>4804.9000000000005</v>
      </c>
      <c r="D488" s="230">
        <f t="shared" si="70"/>
        <v>1409.628573134328</v>
      </c>
      <c r="E488" s="215">
        <v>20</v>
      </c>
      <c r="F488" s="511">
        <f t="shared" si="71"/>
        <v>1429.6299999999999</v>
      </c>
      <c r="G488" s="314" t="s">
        <v>12676</v>
      </c>
      <c r="H488" s="452" t="s">
        <v>12677</v>
      </c>
      <c r="I488" s="452" t="s">
        <v>11566</v>
      </c>
      <c r="J488" s="369" t="s">
        <v>753</v>
      </c>
      <c r="K488" s="452" t="s">
        <v>741</v>
      </c>
      <c r="L488" s="102"/>
      <c r="M488" s="102"/>
      <c r="N488" s="102"/>
      <c r="O488" s="102"/>
    </row>
    <row r="489" spans="1:15" s="185" customFormat="1">
      <c r="A489" s="369"/>
      <c r="B489" s="314" t="s">
        <v>12678</v>
      </c>
      <c r="C489" s="196">
        <v>7268.2000000000007</v>
      </c>
      <c r="D489" s="230">
        <f t="shared" si="70"/>
        <v>2132.294614925373</v>
      </c>
      <c r="E489" s="215">
        <v>20</v>
      </c>
      <c r="F489" s="511">
        <f t="shared" si="71"/>
        <v>2152.3000000000002</v>
      </c>
      <c r="G489" s="314" t="s">
        <v>12679</v>
      </c>
      <c r="H489" s="452" t="s">
        <v>12680</v>
      </c>
      <c r="I489" s="452" t="s">
        <v>11566</v>
      </c>
      <c r="J489" s="369" t="s">
        <v>753</v>
      </c>
      <c r="K489" s="452" t="s">
        <v>741</v>
      </c>
      <c r="L489" s="102"/>
      <c r="M489" s="102"/>
      <c r="N489" s="102"/>
      <c r="O489" s="102"/>
    </row>
    <row r="490" spans="1:15" s="185" customFormat="1">
      <c r="A490" s="369"/>
      <c r="B490" s="314" t="s">
        <v>12681</v>
      </c>
      <c r="C490" s="196">
        <v>8066.8</v>
      </c>
      <c r="D490" s="230">
        <f t="shared" si="70"/>
        <v>2366.5823999999993</v>
      </c>
      <c r="E490" s="215">
        <v>20</v>
      </c>
      <c r="F490" s="511">
        <f t="shared" si="71"/>
        <v>2386.59</v>
      </c>
      <c r="G490" s="314" t="s">
        <v>12682</v>
      </c>
      <c r="H490" s="452" t="s">
        <v>12683</v>
      </c>
      <c r="I490" s="452" t="s">
        <v>11566</v>
      </c>
      <c r="J490" s="369" t="s">
        <v>753</v>
      </c>
      <c r="K490" s="452" t="s">
        <v>741</v>
      </c>
      <c r="L490" s="102"/>
      <c r="M490" s="102"/>
      <c r="N490" s="102"/>
      <c r="O490" s="102"/>
    </row>
    <row r="491" spans="1:15" s="185" customFormat="1">
      <c r="A491" s="369"/>
      <c r="B491" s="314" t="s">
        <v>12684</v>
      </c>
      <c r="C491" s="196">
        <v>9785.7000000000007</v>
      </c>
      <c r="D491" s="230">
        <f t="shared" si="70"/>
        <v>2870.8614805970142</v>
      </c>
      <c r="E491" s="215">
        <v>20</v>
      </c>
      <c r="F491" s="511">
        <f t="shared" si="71"/>
        <v>2890.8700000000003</v>
      </c>
      <c r="G491" s="314" t="s">
        <v>12685</v>
      </c>
      <c r="H491" s="452" t="s">
        <v>12686</v>
      </c>
      <c r="I491" s="452" t="s">
        <v>11566</v>
      </c>
      <c r="J491" s="369" t="s">
        <v>753</v>
      </c>
      <c r="K491" s="452" t="s">
        <v>741</v>
      </c>
      <c r="L491" s="102"/>
      <c r="M491" s="102"/>
      <c r="N491" s="102"/>
      <c r="O491" s="102"/>
    </row>
    <row r="492" spans="1:15" s="185" customFormat="1">
      <c r="A492" s="369"/>
      <c r="B492" s="314" t="s">
        <v>12687</v>
      </c>
      <c r="C492" s="196">
        <v>178.7</v>
      </c>
      <c r="D492" s="230">
        <f t="shared" si="70"/>
        <v>52.425779104477584</v>
      </c>
      <c r="E492" s="215">
        <v>5</v>
      </c>
      <c r="F492" s="511">
        <f t="shared" si="71"/>
        <v>57.43</v>
      </c>
      <c r="G492" s="314" t="s">
        <v>12688</v>
      </c>
      <c r="H492" s="452" t="s">
        <v>12689</v>
      </c>
      <c r="I492" s="452" t="s">
        <v>11566</v>
      </c>
      <c r="J492" s="369" t="s">
        <v>753</v>
      </c>
      <c r="K492" s="452" t="s">
        <v>741</v>
      </c>
      <c r="L492" s="102"/>
      <c r="M492" s="102"/>
      <c r="N492" s="102"/>
      <c r="O492" s="102"/>
    </row>
    <row r="493" spans="1:15" s="185" customFormat="1">
      <c r="A493" s="369"/>
      <c r="B493" s="314" t="s">
        <v>12690</v>
      </c>
      <c r="C493" s="196">
        <v>2068</v>
      </c>
      <c r="D493" s="230">
        <f t="shared" si="70"/>
        <v>606.69564179104464</v>
      </c>
      <c r="E493" s="215">
        <v>10</v>
      </c>
      <c r="F493" s="511">
        <f t="shared" si="71"/>
        <v>616.70000000000005</v>
      </c>
      <c r="G493" s="314" t="s">
        <v>12691</v>
      </c>
      <c r="H493" s="452" t="s">
        <v>12692</v>
      </c>
      <c r="I493" s="452" t="s">
        <v>11566</v>
      </c>
      <c r="J493" s="369" t="s">
        <v>753</v>
      </c>
      <c r="K493" s="452" t="s">
        <v>741</v>
      </c>
      <c r="L493" s="102"/>
      <c r="M493" s="102"/>
      <c r="N493" s="102"/>
      <c r="O493" s="102"/>
    </row>
    <row r="494" spans="1:15" s="185" customFormat="1">
      <c r="A494" s="369"/>
      <c r="B494" s="314" t="s">
        <v>12693</v>
      </c>
      <c r="C494" s="196">
        <v>121</v>
      </c>
      <c r="D494" s="230">
        <f t="shared" ref="D494" si="72">C494*(1-VLOOKUP(I494,descuentos,6,FALSE))*fcl/IF(dol_sol="dólar", TC,1)</f>
        <v>35.498149253731334</v>
      </c>
      <c r="E494" s="215">
        <v>5</v>
      </c>
      <c r="F494" s="511">
        <f t="shared" si="71"/>
        <v>40.5</v>
      </c>
      <c r="G494" s="314" t="s">
        <v>12694</v>
      </c>
      <c r="H494" s="452" t="s">
        <v>12695</v>
      </c>
      <c r="I494" s="452" t="s">
        <v>11566</v>
      </c>
      <c r="J494" s="369" t="s">
        <v>753</v>
      </c>
      <c r="K494" s="452" t="s">
        <v>741</v>
      </c>
      <c r="L494" s="102"/>
      <c r="M494" s="102"/>
      <c r="N494" s="102"/>
      <c r="O494" s="102"/>
    </row>
    <row r="495" spans="1:15" s="185" customFormat="1">
      <c r="A495" s="369"/>
      <c r="B495" s="314" t="s">
        <v>12696</v>
      </c>
      <c r="C495" s="196">
        <v>121</v>
      </c>
      <c r="D495" s="230">
        <f t="shared" si="70"/>
        <v>35.498149253731334</v>
      </c>
      <c r="E495" s="215">
        <v>5</v>
      </c>
      <c r="F495" s="511">
        <f t="shared" si="71"/>
        <v>40.5</v>
      </c>
      <c r="G495" s="314" t="s">
        <v>12697</v>
      </c>
      <c r="H495" s="452" t="s">
        <v>12698</v>
      </c>
      <c r="I495" s="452" t="s">
        <v>11566</v>
      </c>
      <c r="J495" s="369" t="s">
        <v>753</v>
      </c>
      <c r="K495" s="452" t="s">
        <v>741</v>
      </c>
      <c r="L495" s="102"/>
      <c r="M495" s="102"/>
      <c r="N495" s="102"/>
      <c r="O495" s="102"/>
    </row>
    <row r="496" spans="1:15" s="185" customFormat="1">
      <c r="A496" s="369"/>
      <c r="B496" s="314"/>
      <c r="C496" s="196" t="s">
        <v>2024</v>
      </c>
      <c r="D496" s="230"/>
      <c r="E496" s="215"/>
      <c r="F496" s="511"/>
      <c r="G496" s="314"/>
      <c r="H496" s="518"/>
      <c r="I496" s="452"/>
      <c r="J496" s="369"/>
      <c r="K496" s="452"/>
      <c r="L496" s="102"/>
      <c r="M496" s="102"/>
      <c r="N496" s="102"/>
      <c r="O496" s="102"/>
    </row>
    <row r="497" spans="1:15" s="185" customFormat="1">
      <c r="A497" s="369"/>
      <c r="B497" s="1414" t="s">
        <v>6162</v>
      </c>
      <c r="C497" s="196" t="s">
        <v>2024</v>
      </c>
      <c r="D497" s="230"/>
      <c r="E497" s="215"/>
      <c r="F497" s="511"/>
      <c r="G497" s="314"/>
      <c r="H497" s="518"/>
      <c r="I497" s="452"/>
      <c r="J497" s="369"/>
      <c r="K497" s="452"/>
      <c r="L497" s="102"/>
      <c r="M497" s="102"/>
      <c r="N497" s="102"/>
      <c r="O497" s="102"/>
    </row>
    <row r="498" spans="1:15" s="102" customFormat="1">
      <c r="B498" s="314" t="s">
        <v>1219</v>
      </c>
      <c r="C498" s="196">
        <v>1031.5999999999999</v>
      </c>
      <c r="D498" s="230">
        <f>C498*(1-VLOOKUP(I498,descuentos,6,FALSE))*fcl/IF(dol_sol="dólar", TC,1)</f>
        <v>302.6437253731342</v>
      </c>
      <c r="E498" s="215">
        <v>10</v>
      </c>
      <c r="F498" s="511">
        <f>ROUNDUP(D498+E498,2)</f>
        <v>312.64999999999998</v>
      </c>
      <c r="G498" s="314" t="s">
        <v>4240</v>
      </c>
      <c r="H498" s="518" t="s">
        <v>1220</v>
      </c>
      <c r="I498" s="452" t="s">
        <v>11566</v>
      </c>
      <c r="J498" s="369" t="s">
        <v>753</v>
      </c>
      <c r="K498" s="452" t="s">
        <v>741</v>
      </c>
    </row>
    <row r="499" spans="1:15" s="102" customFormat="1">
      <c r="B499" s="314" t="s">
        <v>9089</v>
      </c>
      <c r="C499" s="196">
        <v>1031.5999999999999</v>
      </c>
      <c r="D499" s="230">
        <f>C499*(1-VLOOKUP(I499,descuentos,6,FALSE))*fcl/IF(dol_sol="dólar", TC,1)</f>
        <v>302.6437253731342</v>
      </c>
      <c r="E499" s="215">
        <v>10</v>
      </c>
      <c r="F499" s="511">
        <f>ROUNDUP(D499+E499,2)</f>
        <v>312.64999999999998</v>
      </c>
      <c r="G499" s="314" t="s">
        <v>9090</v>
      </c>
      <c r="H499" s="518" t="s">
        <v>1220</v>
      </c>
      <c r="I499" s="452" t="s">
        <v>11566</v>
      </c>
      <c r="J499" s="369" t="s">
        <v>753</v>
      </c>
      <c r="K499" s="452" t="s">
        <v>741</v>
      </c>
    </row>
    <row r="500" spans="1:15" s="102" customFormat="1">
      <c r="B500" s="314" t="s">
        <v>1218</v>
      </c>
      <c r="C500" s="196">
        <v>1226.8999999999999</v>
      </c>
      <c r="D500" s="230">
        <f>C500*(1-VLOOKUP(I500,descuentos,6,FALSE))*fcl/IF(dol_sol="dólar", TC,1)</f>
        <v>359.93949850746259</v>
      </c>
      <c r="E500" s="215">
        <v>10</v>
      </c>
      <c r="F500" s="511">
        <f>ROUNDUP(D500+E500,2)</f>
        <v>369.94</v>
      </c>
      <c r="G500" s="333" t="s">
        <v>4241</v>
      </c>
      <c r="H500" s="518" t="s">
        <v>1221</v>
      </c>
      <c r="I500" s="452" t="s">
        <v>11566</v>
      </c>
      <c r="J500" s="369" t="s">
        <v>753</v>
      </c>
      <c r="K500" s="452" t="s">
        <v>741</v>
      </c>
    </row>
    <row r="501" spans="1:15" s="102" customFormat="1">
      <c r="B501" s="314"/>
      <c r="C501" s="196" t="s">
        <v>2024</v>
      </c>
      <c r="D501" s="230"/>
      <c r="E501" s="215"/>
      <c r="F501" s="511"/>
      <c r="G501" s="314"/>
      <c r="H501" s="518"/>
      <c r="I501" s="452"/>
      <c r="J501" s="369"/>
      <c r="K501" s="452"/>
    </row>
    <row r="502" spans="1:15" s="185" customFormat="1">
      <c r="A502" s="369"/>
      <c r="B502" s="1414" t="s">
        <v>6163</v>
      </c>
      <c r="C502" s="196" t="s">
        <v>2024</v>
      </c>
      <c r="D502" s="230"/>
      <c r="E502" s="215"/>
      <c r="F502" s="511"/>
      <c r="G502" s="314"/>
      <c r="H502" s="518"/>
      <c r="I502" s="452"/>
      <c r="J502" s="369"/>
      <c r="K502" s="452"/>
      <c r="L502" s="102"/>
      <c r="M502" s="102"/>
      <c r="N502" s="102"/>
      <c r="O502" s="102"/>
    </row>
    <row r="503" spans="1:15" s="102" customFormat="1">
      <c r="B503" s="314" t="s">
        <v>12446</v>
      </c>
      <c r="C503" s="234">
        <v>817</v>
      </c>
      <c r="D503" s="230">
        <f t="shared" ref="D503" si="73">C503*(1-VLOOKUP(I503,descuentos,6,FALSE))*fcl/IF(dol_sol="dólar", TC,1)</f>
        <v>239.68585074626858</v>
      </c>
      <c r="E503" s="215">
        <v>5</v>
      </c>
      <c r="F503" s="511">
        <f t="shared" ref="F503" si="74">ROUNDUP(D503+E503,2)</f>
        <v>244.69</v>
      </c>
      <c r="G503" s="314" t="s">
        <v>12447</v>
      </c>
      <c r="H503" s="518" t="s">
        <v>12448</v>
      </c>
      <c r="I503" s="452" t="s">
        <v>11566</v>
      </c>
      <c r="J503" s="369" t="s">
        <v>753</v>
      </c>
      <c r="K503" s="452" t="s">
        <v>741</v>
      </c>
    </row>
    <row r="504" spans="1:15" s="102" customFormat="1">
      <c r="B504" s="314"/>
      <c r="C504" s="234" t="s">
        <v>2024</v>
      </c>
      <c r="D504" s="230"/>
      <c r="E504" s="215"/>
      <c r="F504" s="511"/>
      <c r="G504" s="314"/>
      <c r="H504" s="518"/>
      <c r="I504" s="452"/>
      <c r="J504" s="369"/>
      <c r="K504" s="452"/>
    </row>
    <row r="505" spans="1:15" s="102" customFormat="1">
      <c r="B505" s="314" t="s">
        <v>6448</v>
      </c>
      <c r="C505" s="196">
        <v>240.6</v>
      </c>
      <c r="D505" s="230">
        <f t="shared" ref="D505:D510" si="75">C505*(1-VLOOKUP(I505,descuentos,6,FALSE))*fcl/IF(dol_sol="dólar", TC,1)</f>
        <v>70.585576119402972</v>
      </c>
      <c r="E505" s="215">
        <v>5</v>
      </c>
      <c r="F505" s="511">
        <f t="shared" ref="F505:F512" si="76">ROUNDUP(D505+E505,2)</f>
        <v>75.59</v>
      </c>
      <c r="G505" s="314" t="s">
        <v>6449</v>
      </c>
      <c r="H505" s="518" t="s">
        <v>6450</v>
      </c>
      <c r="I505" s="452" t="s">
        <v>11566</v>
      </c>
      <c r="J505" s="369" t="s">
        <v>753</v>
      </c>
      <c r="K505" s="452" t="s">
        <v>741</v>
      </c>
    </row>
    <row r="506" spans="1:15" s="102" customFormat="1">
      <c r="B506" s="314" t="s">
        <v>10891</v>
      </c>
      <c r="C506" s="196">
        <v>1034</v>
      </c>
      <c r="D506" s="230">
        <f t="shared" si="75"/>
        <v>303.34782089552232</v>
      </c>
      <c r="E506" s="215">
        <v>5</v>
      </c>
      <c r="F506" s="511">
        <f t="shared" si="76"/>
        <v>308.34999999999997</v>
      </c>
      <c r="G506" s="547" t="s">
        <v>10892</v>
      </c>
      <c r="H506" s="518" t="s">
        <v>10893</v>
      </c>
      <c r="I506" s="452" t="s">
        <v>11566</v>
      </c>
      <c r="J506" s="369" t="s">
        <v>753</v>
      </c>
      <c r="K506" s="452" t="s">
        <v>741</v>
      </c>
    </row>
    <row r="507" spans="1:15" s="102" customFormat="1">
      <c r="B507" s="314" t="s">
        <v>6164</v>
      </c>
      <c r="C507" s="196">
        <v>407.6</v>
      </c>
      <c r="D507" s="230">
        <f t="shared" si="75"/>
        <v>119.57888955223878</v>
      </c>
      <c r="E507" s="215">
        <v>5</v>
      </c>
      <c r="F507" s="511">
        <f t="shared" si="76"/>
        <v>124.58</v>
      </c>
      <c r="G507" s="314" t="s">
        <v>6165</v>
      </c>
      <c r="H507" s="518" t="s">
        <v>5340</v>
      </c>
      <c r="I507" s="452" t="s">
        <v>11566</v>
      </c>
      <c r="J507" s="369" t="s">
        <v>753</v>
      </c>
      <c r="K507" s="452" t="s">
        <v>741</v>
      </c>
    </row>
    <row r="508" spans="1:15" s="1397" customFormat="1">
      <c r="A508" s="952"/>
      <c r="B508" s="318" t="s">
        <v>13481</v>
      </c>
      <c r="C508" s="234">
        <v>723</v>
      </c>
      <c r="D508" s="353">
        <f t="shared" ref="D508" si="77">C508*(1-VLOOKUP(I508,descuentos,6,FALSE))*fcl/IF(dol_sol="dólar", TC,1)</f>
        <v>212.10877611940293</v>
      </c>
      <c r="E508" s="1388">
        <v>5</v>
      </c>
      <c r="F508" s="517">
        <f t="shared" si="76"/>
        <v>217.10999999999999</v>
      </c>
      <c r="G508" s="318" t="s">
        <v>13482</v>
      </c>
      <c r="H508" s="518" t="s">
        <v>13483</v>
      </c>
      <c r="I508" s="544" t="s">
        <v>11566</v>
      </c>
      <c r="J508" s="952" t="s">
        <v>753</v>
      </c>
      <c r="K508" s="544" t="s">
        <v>741</v>
      </c>
      <c r="L508" s="1465"/>
      <c r="M508" s="1465"/>
      <c r="N508" s="1465"/>
      <c r="O508" s="1465"/>
    </row>
    <row r="509" spans="1:15" s="1397" customFormat="1">
      <c r="A509" s="952"/>
      <c r="B509" s="318" t="s">
        <v>6451</v>
      </c>
      <c r="C509" s="234">
        <v>688</v>
      </c>
      <c r="D509" s="353">
        <f t="shared" si="75"/>
        <v>201.84071641791039</v>
      </c>
      <c r="E509" s="1388">
        <v>5</v>
      </c>
      <c r="F509" s="517">
        <f t="shared" si="76"/>
        <v>206.85</v>
      </c>
      <c r="G509" s="318" t="s">
        <v>6452</v>
      </c>
      <c r="H509" s="1656" t="s">
        <v>6453</v>
      </c>
      <c r="I509" s="544" t="s">
        <v>11566</v>
      </c>
      <c r="J509" s="952" t="s">
        <v>753</v>
      </c>
      <c r="K509" s="544" t="s">
        <v>741</v>
      </c>
      <c r="L509" s="1465"/>
      <c r="M509" s="1465"/>
      <c r="N509" s="1465"/>
      <c r="O509" s="1465"/>
    </row>
    <row r="510" spans="1:15" s="1397" customFormat="1">
      <c r="A510" s="952"/>
      <c r="B510" s="318" t="s">
        <v>11665</v>
      </c>
      <c r="C510" s="234">
        <v>1884</v>
      </c>
      <c r="D510" s="353">
        <f t="shared" si="75"/>
        <v>552.71498507462661</v>
      </c>
      <c r="E510" s="1388">
        <v>5</v>
      </c>
      <c r="F510" s="517">
        <f t="shared" si="76"/>
        <v>557.72</v>
      </c>
      <c r="G510" s="318" t="s">
        <v>11666</v>
      </c>
      <c r="H510" s="1656" t="s">
        <v>11667</v>
      </c>
      <c r="I510" s="544" t="s">
        <v>11566</v>
      </c>
      <c r="J510" s="952" t="s">
        <v>753</v>
      </c>
      <c r="K510" s="544" t="s">
        <v>741</v>
      </c>
      <c r="L510" s="1465"/>
      <c r="M510" s="1465"/>
      <c r="N510" s="1465"/>
      <c r="O510" s="1465"/>
    </row>
    <row r="511" spans="1:15" s="1397" customFormat="1">
      <c r="A511" s="952"/>
      <c r="B511" s="318" t="s">
        <v>11668</v>
      </c>
      <c r="C511" s="234">
        <v>1033</v>
      </c>
      <c r="D511" s="353">
        <f t="shared" ref="D511:D512" si="78">C511*(1-VLOOKUP(I511,descuentos,6,FALSE))*fcl/IF(dol_sol="dólar", TC,1)</f>
        <v>303.05444776119396</v>
      </c>
      <c r="E511" s="1388">
        <v>5</v>
      </c>
      <c r="F511" s="517">
        <f t="shared" si="76"/>
        <v>308.06</v>
      </c>
      <c r="G511" s="318" t="s">
        <v>11669</v>
      </c>
      <c r="H511" s="1656" t="s">
        <v>11670</v>
      </c>
      <c r="I511" s="544" t="s">
        <v>11566</v>
      </c>
      <c r="J511" s="952" t="s">
        <v>753</v>
      </c>
      <c r="K511" s="544" t="s">
        <v>741</v>
      </c>
      <c r="L511" s="1465"/>
      <c r="M511" s="1465"/>
      <c r="N511" s="1465"/>
      <c r="O511" s="1465"/>
    </row>
    <row r="512" spans="1:15">
      <c r="A512" s="369"/>
      <c r="B512" s="314" t="s">
        <v>4242</v>
      </c>
      <c r="C512" s="196">
        <v>909.7</v>
      </c>
      <c r="D512" s="230">
        <f t="shared" si="78"/>
        <v>266.88154029850739</v>
      </c>
      <c r="E512" s="215">
        <v>20</v>
      </c>
      <c r="F512" s="511">
        <f t="shared" si="76"/>
        <v>286.89</v>
      </c>
      <c r="G512" s="314" t="s">
        <v>6454</v>
      </c>
      <c r="H512" s="518" t="s">
        <v>4243</v>
      </c>
      <c r="I512" s="452" t="s">
        <v>11566</v>
      </c>
      <c r="J512" s="369" t="s">
        <v>753</v>
      </c>
      <c r="K512" s="452" t="s">
        <v>741</v>
      </c>
      <c r="L512" s="191"/>
      <c r="M512" s="191"/>
      <c r="N512" s="191"/>
      <c r="O512" s="191"/>
    </row>
    <row r="513" spans="1:15">
      <c r="A513" s="369"/>
      <c r="B513" s="314"/>
      <c r="C513" s="196" t="s">
        <v>2024</v>
      </c>
      <c r="D513" s="230"/>
      <c r="E513" s="215"/>
      <c r="F513" s="511"/>
      <c r="G513" s="314"/>
      <c r="H513" s="518"/>
      <c r="I513" s="452"/>
      <c r="J513" s="369"/>
      <c r="K513" s="452"/>
      <c r="L513" s="191"/>
      <c r="M513" s="191"/>
      <c r="N513" s="191"/>
      <c r="O513" s="191"/>
    </row>
    <row r="514" spans="1:15">
      <c r="A514" s="369"/>
      <c r="B514" s="351" t="s">
        <v>6455</v>
      </c>
      <c r="C514" s="346">
        <v>657</v>
      </c>
      <c r="D514" s="345">
        <f>C514*(1-VLOOKUP(I514,descuentos,6,FALSE))*fcl/IF(dol_sol="dólar", TC,1)</f>
        <v>192.74614925373129</v>
      </c>
      <c r="E514" s="215">
        <v>20</v>
      </c>
      <c r="F514" s="511">
        <f>ROUNDUP(D514+E514,2)</f>
        <v>212.75</v>
      </c>
      <c r="G514" s="726" t="s">
        <v>6456</v>
      </c>
      <c r="H514" s="518" t="s">
        <v>6457</v>
      </c>
      <c r="I514" s="452" t="s">
        <v>11566</v>
      </c>
      <c r="J514" s="369" t="s">
        <v>753</v>
      </c>
      <c r="K514" s="452" t="s">
        <v>741</v>
      </c>
      <c r="L514" s="191"/>
      <c r="M514" s="191"/>
      <c r="N514" s="191"/>
      <c r="O514" s="191"/>
    </row>
    <row r="515" spans="1:15">
      <c r="A515" s="369"/>
      <c r="B515" s="351" t="s">
        <v>6458</v>
      </c>
      <c r="C515" s="724">
        <v>756</v>
      </c>
      <c r="D515" s="396">
        <f>C515*(1-VLOOKUP(I515,descuentos,6,FALSE))*fcl/IF(dol_sol="dólar", TC,1)</f>
        <v>221.79008955223873</v>
      </c>
      <c r="E515" s="549">
        <v>20</v>
      </c>
      <c r="F515" s="725">
        <f>ROUNDUP(D515+E515,2)</f>
        <v>241.79999999999998</v>
      </c>
      <c r="G515" s="333" t="s">
        <v>6459</v>
      </c>
      <c r="H515" s="518" t="s">
        <v>6460</v>
      </c>
      <c r="I515" s="452" t="s">
        <v>11566</v>
      </c>
      <c r="J515" s="369" t="s">
        <v>753</v>
      </c>
      <c r="K515" s="452" t="s">
        <v>741</v>
      </c>
      <c r="L515" s="191"/>
      <c r="M515" s="191"/>
      <c r="N515" s="191"/>
      <c r="O515" s="191"/>
    </row>
    <row r="516" spans="1:15">
      <c r="A516" s="369"/>
      <c r="B516" s="314"/>
      <c r="C516" s="196" t="s">
        <v>2024</v>
      </c>
      <c r="D516" s="230"/>
      <c r="E516" s="215"/>
      <c r="F516" s="511"/>
      <c r="G516" s="314"/>
      <c r="H516" s="518"/>
      <c r="I516" s="452"/>
      <c r="J516" s="369"/>
      <c r="K516" s="452"/>
      <c r="L516" s="191"/>
      <c r="M516" s="191"/>
      <c r="N516" s="191"/>
      <c r="O516" s="191"/>
    </row>
    <row r="517" spans="1:15">
      <c r="A517" s="369"/>
      <c r="B517" s="351" t="s">
        <v>13484</v>
      </c>
      <c r="C517" s="724">
        <v>3925</v>
      </c>
      <c r="D517" s="396">
        <f t="shared" ref="D517" si="79">C517*(1-VLOOKUP(I517,descuentos,6,FALSE))*fcl/IF(dol_sol="dólar", TC,1)</f>
        <v>1151.4895522388056</v>
      </c>
      <c r="E517" s="549">
        <v>20</v>
      </c>
      <c r="F517" s="725">
        <f t="shared" ref="F517" si="80">ROUNDUP(D517+E517,2)</f>
        <v>1171.49</v>
      </c>
      <c r="G517" s="314" t="s">
        <v>13485</v>
      </c>
      <c r="H517" s="518" t="s">
        <v>13486</v>
      </c>
      <c r="I517" s="452" t="s">
        <v>11566</v>
      </c>
      <c r="J517" s="369" t="s">
        <v>753</v>
      </c>
      <c r="K517" s="452" t="s">
        <v>741</v>
      </c>
      <c r="L517" s="191"/>
      <c r="M517" s="191"/>
      <c r="N517" s="191"/>
      <c r="O517" s="191"/>
    </row>
    <row r="518" spans="1:15">
      <c r="A518" s="369"/>
      <c r="B518" s="314"/>
      <c r="C518" s="196" t="s">
        <v>2024</v>
      </c>
      <c r="D518" s="215"/>
      <c r="E518" s="19"/>
      <c r="F518" s="511"/>
      <c r="G518" s="314"/>
      <c r="H518" s="518"/>
      <c r="I518" s="452"/>
      <c r="J518" s="369"/>
      <c r="K518" s="452"/>
      <c r="L518" s="191"/>
      <c r="M518" s="191"/>
      <c r="N518" s="191"/>
      <c r="O518" s="191"/>
    </row>
    <row r="519" spans="1:15">
      <c r="A519" s="369"/>
      <c r="B519" s="314"/>
      <c r="C519" s="196" t="s">
        <v>2024</v>
      </c>
      <c r="D519" s="230"/>
      <c r="E519" s="215"/>
      <c r="F519" s="511"/>
      <c r="G519" s="314"/>
      <c r="H519" s="518"/>
      <c r="I519" s="452"/>
      <c r="J519" s="369"/>
      <c r="K519" s="452"/>
      <c r="L519" s="191"/>
      <c r="M519" s="191"/>
      <c r="N519" s="191"/>
      <c r="O519" s="191"/>
    </row>
    <row r="520" spans="1:15">
      <c r="A520" s="369"/>
      <c r="B520" s="314"/>
      <c r="C520" s="314" t="s">
        <v>2024</v>
      </c>
      <c r="D520" s="314"/>
      <c r="E520" s="314"/>
      <c r="F520" s="314"/>
      <c r="G520" s="314"/>
      <c r="H520" s="1658"/>
      <c r="I520" s="314"/>
      <c r="J520" s="314"/>
      <c r="K520" s="314"/>
      <c r="L520" s="191"/>
      <c r="M520" s="191"/>
      <c r="N520" s="191"/>
      <c r="O520" s="191"/>
    </row>
    <row r="521" spans="1:15" s="185" customFormat="1">
      <c r="A521" s="369"/>
      <c r="B521" s="1466" t="s">
        <v>6461</v>
      </c>
      <c r="C521" s="196" t="s">
        <v>2024</v>
      </c>
      <c r="D521" s="230"/>
      <c r="E521" s="215"/>
      <c r="F521" s="511"/>
      <c r="G521" s="314"/>
      <c r="H521" s="518"/>
      <c r="I521" s="452"/>
      <c r="J521" s="369"/>
      <c r="K521" s="452"/>
      <c r="L521" s="102"/>
      <c r="M521" s="102"/>
      <c r="N521" s="102"/>
      <c r="O521" s="102"/>
    </row>
    <row r="522" spans="1:15" s="102" customFormat="1">
      <c r="B522" s="314" t="s">
        <v>6462</v>
      </c>
      <c r="C522" s="196">
        <v>4012.4</v>
      </c>
      <c r="D522" s="230">
        <f t="shared" ref="D522:D534" si="81">C522*(1-VLOOKUP(I522,descuentos,6,FALSE))*fcl/IF(dol_sol="dólar", TC,1)</f>
        <v>1177.1303641791042</v>
      </c>
      <c r="E522" s="215">
        <v>20</v>
      </c>
      <c r="F522" s="511">
        <f t="shared" ref="F522:F535" si="82">ROUNDUP(D522+E522,2)</f>
        <v>1197.1400000000001</v>
      </c>
      <c r="G522" s="314" t="s">
        <v>6463</v>
      </c>
      <c r="H522" s="518" t="s">
        <v>6464</v>
      </c>
      <c r="I522" s="452" t="s">
        <v>11566</v>
      </c>
      <c r="J522" s="369" t="s">
        <v>753</v>
      </c>
      <c r="K522" s="452" t="s">
        <v>741</v>
      </c>
    </row>
    <row r="523" spans="1:15" s="102" customFormat="1">
      <c r="B523" s="314" t="s">
        <v>6465</v>
      </c>
      <c r="C523" s="196">
        <v>4808</v>
      </c>
      <c r="D523" s="230">
        <f t="shared" si="81"/>
        <v>1410.5380298507459</v>
      </c>
      <c r="E523" s="215">
        <v>20</v>
      </c>
      <c r="F523" s="511">
        <f t="shared" si="82"/>
        <v>1430.54</v>
      </c>
      <c r="G523" s="314" t="s">
        <v>6466</v>
      </c>
      <c r="H523" s="518" t="s">
        <v>6467</v>
      </c>
      <c r="I523" s="452" t="s">
        <v>11566</v>
      </c>
      <c r="J523" s="369" t="s">
        <v>753</v>
      </c>
      <c r="K523" s="452" t="s">
        <v>741</v>
      </c>
    </row>
    <row r="524" spans="1:15" s="102" customFormat="1" ht="14.25" customHeight="1">
      <c r="B524" s="314" t="s">
        <v>6468</v>
      </c>
      <c r="C524" s="196">
        <v>5452</v>
      </c>
      <c r="D524" s="230">
        <f t="shared" ref="D524:D525" si="83">C524*(1-VLOOKUP(I524,descuentos,6,FALSE))*fcl/IF(dol_sol="dólar", TC,1)</f>
        <v>1599.4703283582082</v>
      </c>
      <c r="E524" s="215">
        <v>20</v>
      </c>
      <c r="F524" s="511">
        <f t="shared" si="82"/>
        <v>1619.48</v>
      </c>
      <c r="G524" s="314" t="s">
        <v>6469</v>
      </c>
      <c r="H524" s="518" t="s">
        <v>6470</v>
      </c>
      <c r="I524" s="452" t="s">
        <v>11566</v>
      </c>
      <c r="J524" s="369" t="s">
        <v>753</v>
      </c>
      <c r="K524" s="452" t="s">
        <v>741</v>
      </c>
    </row>
    <row r="525" spans="1:15" s="102" customFormat="1">
      <c r="A525" s="523"/>
      <c r="B525" s="314" t="s">
        <v>9706</v>
      </c>
      <c r="C525" s="196">
        <v>6465.7000000000007</v>
      </c>
      <c r="D525" s="230">
        <f t="shared" si="83"/>
        <v>1896.8626746268653</v>
      </c>
      <c r="E525" s="215">
        <v>20</v>
      </c>
      <c r="F525" s="511">
        <f t="shared" si="82"/>
        <v>1916.87</v>
      </c>
      <c r="G525" s="314" t="s">
        <v>12377</v>
      </c>
      <c r="H525" s="518" t="s">
        <v>9707</v>
      </c>
      <c r="I525" s="452" t="s">
        <v>11566</v>
      </c>
      <c r="J525" s="369" t="s">
        <v>753</v>
      </c>
      <c r="K525" s="452" t="s">
        <v>741</v>
      </c>
    </row>
    <row r="526" spans="1:15" s="102" customFormat="1">
      <c r="A526" s="523"/>
      <c r="B526" s="314" t="s">
        <v>9708</v>
      </c>
      <c r="C526" s="196">
        <v>7820.8</v>
      </c>
      <c r="D526" s="230">
        <f t="shared" si="81"/>
        <v>2294.4126089552233</v>
      </c>
      <c r="E526" s="215">
        <v>20</v>
      </c>
      <c r="F526" s="511">
        <f t="shared" si="82"/>
        <v>2314.42</v>
      </c>
      <c r="G526" s="314" t="s">
        <v>9652</v>
      </c>
      <c r="H526" s="518" t="s">
        <v>9651</v>
      </c>
      <c r="I526" s="452" t="s">
        <v>11566</v>
      </c>
      <c r="J526" s="369" t="s">
        <v>753</v>
      </c>
      <c r="K526" s="452" t="s">
        <v>741</v>
      </c>
    </row>
    <row r="527" spans="1:15" s="102" customFormat="1">
      <c r="A527" s="523"/>
      <c r="B527" s="314" t="s">
        <v>9875</v>
      </c>
      <c r="C527" s="196">
        <v>7821</v>
      </c>
      <c r="D527" s="230">
        <f t="shared" ref="D527" si="84">C527*(1-VLOOKUP(I527,descuentos,6,FALSE))*fcl/IF(dol_sol="dólar", TC,1)</f>
        <v>2294.4712835820887</v>
      </c>
      <c r="E527" s="215">
        <v>20</v>
      </c>
      <c r="F527" s="511">
        <f t="shared" si="82"/>
        <v>2314.48</v>
      </c>
      <c r="G527" s="314" t="s">
        <v>9876</v>
      </c>
      <c r="H527" s="518" t="s">
        <v>9877</v>
      </c>
      <c r="I527" s="452" t="s">
        <v>11566</v>
      </c>
      <c r="J527" s="369" t="s">
        <v>753</v>
      </c>
      <c r="K527" s="452" t="s">
        <v>741</v>
      </c>
    </row>
    <row r="528" spans="1:15" s="102" customFormat="1">
      <c r="B528" s="314" t="s">
        <v>6471</v>
      </c>
      <c r="C528" s="196">
        <v>9479</v>
      </c>
      <c r="D528" s="230">
        <f t="shared" si="81"/>
        <v>2780.8839402985068</v>
      </c>
      <c r="E528" s="215">
        <v>35</v>
      </c>
      <c r="F528" s="511">
        <f t="shared" si="82"/>
        <v>2815.8900000000003</v>
      </c>
      <c r="G528" s="314" t="s">
        <v>6472</v>
      </c>
      <c r="H528" s="518" t="s">
        <v>6473</v>
      </c>
      <c r="I528" s="452" t="s">
        <v>11566</v>
      </c>
      <c r="J528" s="369" t="s">
        <v>753</v>
      </c>
      <c r="K528" s="452" t="s">
        <v>741</v>
      </c>
    </row>
    <row r="529" spans="1:15" s="102" customFormat="1">
      <c r="B529" s="314" t="s">
        <v>6474</v>
      </c>
      <c r="C529" s="196">
        <v>11799.9</v>
      </c>
      <c r="D529" s="230">
        <f t="shared" si="81"/>
        <v>3461.7736477611925</v>
      </c>
      <c r="E529" s="215">
        <v>35</v>
      </c>
      <c r="F529" s="511">
        <f t="shared" si="82"/>
        <v>3496.78</v>
      </c>
      <c r="G529" s="314" t="s">
        <v>6475</v>
      </c>
      <c r="H529" s="518" t="s">
        <v>6476</v>
      </c>
      <c r="I529" s="452" t="s">
        <v>11566</v>
      </c>
      <c r="J529" s="369" t="s">
        <v>753</v>
      </c>
      <c r="K529" s="452" t="s">
        <v>741</v>
      </c>
    </row>
    <row r="530" spans="1:15" s="102" customFormat="1">
      <c r="B530" s="314" t="s">
        <v>6477</v>
      </c>
      <c r="C530" s="196">
        <v>15029.1</v>
      </c>
      <c r="D530" s="230">
        <f t="shared" si="81"/>
        <v>4409.1341731343273</v>
      </c>
      <c r="E530" s="215">
        <v>35</v>
      </c>
      <c r="F530" s="511">
        <f t="shared" si="82"/>
        <v>4444.1400000000003</v>
      </c>
      <c r="G530" s="314" t="s">
        <v>6478</v>
      </c>
      <c r="H530" s="518" t="s">
        <v>6479</v>
      </c>
      <c r="I530" s="452" t="s">
        <v>11566</v>
      </c>
      <c r="J530" s="369" t="s">
        <v>753</v>
      </c>
      <c r="K530" s="452" t="s">
        <v>741</v>
      </c>
    </row>
    <row r="531" spans="1:15" s="102" customFormat="1">
      <c r="B531" s="314"/>
      <c r="C531" s="196" t="s">
        <v>2024</v>
      </c>
      <c r="D531" s="230"/>
      <c r="E531" s="215"/>
      <c r="F531" s="511"/>
      <c r="G531" s="314"/>
      <c r="H531" s="518"/>
      <c r="I531" s="452"/>
      <c r="J531" s="369"/>
      <c r="K531" s="452"/>
    </row>
    <row r="532" spans="1:15" s="102" customFormat="1">
      <c r="A532" s="2297"/>
      <c r="B532" s="314" t="s">
        <v>13370</v>
      </c>
      <c r="C532" s="196">
        <v>5406</v>
      </c>
      <c r="D532" s="230">
        <f t="shared" ref="D532" si="85">C532*(1-VLOOKUP(I532,descuentos,6,FALSE))*fcl/IF(dol_sol="dólar", TC,1)</f>
        <v>1585.975164179104</v>
      </c>
      <c r="E532" s="215">
        <v>20</v>
      </c>
      <c r="F532" s="511">
        <f t="shared" ref="F532" si="86">ROUNDUP(D532+E532,2)</f>
        <v>1605.98</v>
      </c>
      <c r="G532" s="314" t="s">
        <v>13371</v>
      </c>
      <c r="H532" s="518" t="s">
        <v>13372</v>
      </c>
      <c r="I532" s="452" t="s">
        <v>11566</v>
      </c>
      <c r="J532" s="369" t="s">
        <v>753</v>
      </c>
      <c r="K532" s="452" t="s">
        <v>741</v>
      </c>
    </row>
    <row r="533" spans="1:15" s="102" customFormat="1">
      <c r="B533" s="314"/>
      <c r="C533" s="196" t="s">
        <v>2024</v>
      </c>
      <c r="D533" s="230"/>
      <c r="E533" s="215"/>
      <c r="F533" s="511"/>
      <c r="G533" s="314"/>
      <c r="H533" s="518"/>
      <c r="I533" s="452"/>
      <c r="J533" s="369"/>
      <c r="K533" s="452"/>
    </row>
    <row r="534" spans="1:15" s="102" customFormat="1">
      <c r="A534" s="1942"/>
      <c r="B534" s="314" t="s">
        <v>12357</v>
      </c>
      <c r="C534" s="196">
        <v>1187.6999999999998</v>
      </c>
      <c r="D534" s="230">
        <f t="shared" si="81"/>
        <v>348.43927164179087</v>
      </c>
      <c r="E534" s="215">
        <v>38</v>
      </c>
      <c r="F534" s="511">
        <f t="shared" si="82"/>
        <v>386.44</v>
      </c>
      <c r="G534" s="314" t="s">
        <v>12358</v>
      </c>
      <c r="H534" s="518" t="s">
        <v>12359</v>
      </c>
      <c r="I534" s="452" t="s">
        <v>11566</v>
      </c>
      <c r="J534" s="369" t="s">
        <v>753</v>
      </c>
      <c r="K534" s="452" t="s">
        <v>741</v>
      </c>
    </row>
    <row r="535" spans="1:15" s="102" customFormat="1">
      <c r="A535" s="1942"/>
      <c r="B535" s="314" t="s">
        <v>12360</v>
      </c>
      <c r="C535" s="196">
        <v>929.80000000000007</v>
      </c>
      <c r="D535" s="230">
        <f t="shared" ref="D535" si="87">C535*(1-VLOOKUP(I535,descuentos,6,FALSE))*fcl/IF(dol_sol="dólar", TC,1)</f>
        <v>272.77834029850737</v>
      </c>
      <c r="E535" s="215">
        <v>38</v>
      </c>
      <c r="F535" s="511">
        <f t="shared" si="82"/>
        <v>310.77999999999997</v>
      </c>
      <c r="G535" s="314" t="s">
        <v>12361</v>
      </c>
      <c r="H535" s="518" t="s">
        <v>12362</v>
      </c>
      <c r="I535" s="452" t="s">
        <v>11566</v>
      </c>
      <c r="J535" s="369" t="s">
        <v>753</v>
      </c>
      <c r="K535" s="452" t="s">
        <v>741</v>
      </c>
    </row>
    <row r="536" spans="1:15" s="102" customFormat="1">
      <c r="B536" s="314"/>
      <c r="C536" s="196" t="s">
        <v>2024</v>
      </c>
      <c r="D536" s="230"/>
      <c r="E536" s="215"/>
      <c r="F536" s="511"/>
      <c r="G536" s="314"/>
      <c r="H536" s="518"/>
      <c r="I536" s="452"/>
      <c r="J536" s="369"/>
      <c r="K536" s="452"/>
    </row>
    <row r="537" spans="1:15">
      <c r="A537" s="369"/>
      <c r="B537" s="314"/>
      <c r="C537" s="196" t="s">
        <v>2024</v>
      </c>
      <c r="D537" s="215"/>
      <c r="E537" s="19"/>
      <c r="F537" s="511"/>
      <c r="G537" s="314"/>
      <c r="H537" s="518"/>
      <c r="I537" s="452"/>
      <c r="J537" s="369"/>
      <c r="K537" s="452"/>
      <c r="L537" s="191"/>
      <c r="M537" s="191"/>
      <c r="N537" s="191"/>
      <c r="O537" s="191"/>
    </row>
    <row r="538" spans="1:15" s="102" customFormat="1">
      <c r="A538" s="1530"/>
      <c r="B538" s="314" t="s">
        <v>12230</v>
      </c>
      <c r="C538" s="196">
        <v>3097</v>
      </c>
      <c r="D538" s="230">
        <f t="shared" ref="D538:D539" si="88">C538*(1-VLOOKUP(I538,descuentos,6,FALSE))*fcl/IF(dol_sol="dólar", TC,1)</f>
        <v>908.57659701492514</v>
      </c>
      <c r="E538" s="215">
        <v>20</v>
      </c>
      <c r="F538" s="511">
        <f t="shared" ref="F538:F539" si="89">ROUNDUP(D538+E538,2)</f>
        <v>928.58</v>
      </c>
      <c r="G538" s="314" t="s">
        <v>12231</v>
      </c>
      <c r="H538" s="518" t="s">
        <v>12232</v>
      </c>
      <c r="I538" s="452" t="s">
        <v>11566</v>
      </c>
      <c r="J538" s="369" t="s">
        <v>753</v>
      </c>
      <c r="K538" s="452" t="s">
        <v>741</v>
      </c>
    </row>
    <row r="539" spans="1:15" s="102" customFormat="1">
      <c r="A539" s="1530"/>
      <c r="B539" s="314" t="s">
        <v>12233</v>
      </c>
      <c r="C539" s="196">
        <v>3600</v>
      </c>
      <c r="D539" s="230">
        <f t="shared" si="88"/>
        <v>1056.1432835820892</v>
      </c>
      <c r="E539" s="215">
        <v>20</v>
      </c>
      <c r="F539" s="511">
        <f t="shared" si="89"/>
        <v>1076.1500000000001</v>
      </c>
      <c r="G539" s="314" t="s">
        <v>12234</v>
      </c>
      <c r="H539" s="518" t="s">
        <v>12235</v>
      </c>
      <c r="I539" s="452" t="s">
        <v>11566</v>
      </c>
      <c r="J539" s="369" t="s">
        <v>753</v>
      </c>
      <c r="K539" s="452" t="s">
        <v>741</v>
      </c>
    </row>
    <row r="540" spans="1:15">
      <c r="A540" s="369"/>
      <c r="B540" s="314"/>
      <c r="C540" s="196" t="s">
        <v>2024</v>
      </c>
      <c r="D540" s="230"/>
      <c r="E540" s="215"/>
      <c r="F540" s="511"/>
      <c r="G540" s="314"/>
      <c r="H540" s="518"/>
      <c r="I540" s="452"/>
      <c r="J540" s="369"/>
      <c r="K540" s="452"/>
      <c r="L540" s="191"/>
      <c r="M540" s="191"/>
      <c r="N540" s="191"/>
      <c r="O540" s="191"/>
    </row>
    <row r="541" spans="1:15">
      <c r="A541" s="369"/>
      <c r="B541" s="314"/>
      <c r="C541" s="196" t="s">
        <v>2024</v>
      </c>
      <c r="D541" s="230"/>
      <c r="E541" s="215"/>
      <c r="F541" s="511"/>
      <c r="G541" s="314"/>
      <c r="H541" s="518"/>
      <c r="I541" s="452"/>
      <c r="J541" s="369"/>
      <c r="K541" s="452"/>
      <c r="L541" s="191"/>
      <c r="M541" s="191"/>
      <c r="N541" s="191"/>
      <c r="O541" s="191"/>
    </row>
    <row r="542" spans="1:15" s="185" customFormat="1">
      <c r="A542" s="369"/>
      <c r="B542" s="1466" t="s">
        <v>6480</v>
      </c>
      <c r="C542" s="196" t="s">
        <v>2024</v>
      </c>
      <c r="D542" s="230"/>
      <c r="E542" s="215"/>
      <c r="F542" s="511"/>
      <c r="G542" s="314"/>
      <c r="H542" s="518"/>
      <c r="I542" s="452"/>
      <c r="J542" s="369"/>
      <c r="K542" s="452"/>
      <c r="L542" s="102"/>
      <c r="M542" s="102"/>
      <c r="N542" s="102"/>
      <c r="O542" s="102"/>
    </row>
    <row r="543" spans="1:15" s="102" customFormat="1">
      <c r="B543" s="314" t="s">
        <v>6481</v>
      </c>
      <c r="C543" s="196">
        <v>3340</v>
      </c>
      <c r="D543" s="230">
        <f>C543*(1-VLOOKUP(I543,descuentos,6,FALSE))*fcl/IF(dol_sol="dólar", TC,1)</f>
        <v>979.86626865671622</v>
      </c>
      <c r="E543" s="215">
        <v>15</v>
      </c>
      <c r="F543" s="511">
        <f t="shared" ref="F543:F560" si="90">ROUNDUP(D543+E543,2)</f>
        <v>994.87</v>
      </c>
      <c r="G543" s="314" t="s">
        <v>11155</v>
      </c>
      <c r="H543" s="518" t="s">
        <v>6482</v>
      </c>
      <c r="I543" s="452" t="s">
        <v>11566</v>
      </c>
      <c r="J543" s="369" t="s">
        <v>753</v>
      </c>
      <c r="K543" s="452" t="s">
        <v>741</v>
      </c>
    </row>
    <row r="544" spans="1:15" s="102" customFormat="1">
      <c r="B544" s="314" t="s">
        <v>6483</v>
      </c>
      <c r="C544" s="196">
        <v>3809</v>
      </c>
      <c r="D544" s="230">
        <f>C544*(1-VLOOKUP(I544,descuentos,6,FALSE))*fcl/IF(dol_sol="dólar", TC,1)</f>
        <v>1117.4582686567162</v>
      </c>
      <c r="E544" s="215">
        <v>15</v>
      </c>
      <c r="F544" s="511">
        <f t="shared" si="90"/>
        <v>1132.46</v>
      </c>
      <c r="G544" s="314" t="s">
        <v>11156</v>
      </c>
      <c r="H544" s="518" t="s">
        <v>6484</v>
      </c>
      <c r="I544" s="452" t="s">
        <v>11566</v>
      </c>
      <c r="J544" s="369" t="s">
        <v>753</v>
      </c>
      <c r="K544" s="452" t="s">
        <v>741</v>
      </c>
    </row>
    <row r="545" spans="1:11" s="317" customFormat="1">
      <c r="A545" s="369"/>
      <c r="B545" s="314"/>
      <c r="C545" s="196" t="s">
        <v>2024</v>
      </c>
      <c r="D545" s="230"/>
      <c r="E545" s="215"/>
      <c r="F545" s="511">
        <f t="shared" si="90"/>
        <v>0</v>
      </c>
      <c r="G545" s="314"/>
      <c r="H545" s="518"/>
      <c r="I545" s="452"/>
      <c r="J545" s="369"/>
      <c r="K545" s="452"/>
    </row>
    <row r="546" spans="1:11" s="317" customFormat="1">
      <c r="A546" s="369"/>
      <c r="B546" s="233" t="s">
        <v>6485</v>
      </c>
      <c r="C546" s="196">
        <v>782.1</v>
      </c>
      <c r="D546" s="230">
        <f t="shared" ref="D546:D553" si="91">C546*(1-VLOOKUP(I546,descuentos,6,FALSE))*fcl/IF(dol_sol="dólar", TC,1)</f>
        <v>229.44712835820891</v>
      </c>
      <c r="E546" s="215">
        <v>10</v>
      </c>
      <c r="F546" s="511">
        <f t="shared" si="90"/>
        <v>239.45</v>
      </c>
      <c r="G546" s="314" t="s">
        <v>6486</v>
      </c>
      <c r="H546" s="518" t="s">
        <v>6487</v>
      </c>
      <c r="I546" s="452" t="s">
        <v>11566</v>
      </c>
      <c r="J546" s="369" t="s">
        <v>753</v>
      </c>
      <c r="K546" s="452" t="s">
        <v>741</v>
      </c>
    </row>
    <row r="547" spans="1:11" s="317" customFormat="1">
      <c r="A547" s="369"/>
      <c r="B547" s="232" t="s">
        <v>6488</v>
      </c>
      <c r="C547" s="196">
        <v>797.7</v>
      </c>
      <c r="D547" s="230">
        <f>C547*(1-VLOOKUP(I547,descuentos,6,FALSE))*fcl/IF(dol_sol="dólar", TC,1)</f>
        <v>234.0237492537313</v>
      </c>
      <c r="E547" s="215">
        <v>10</v>
      </c>
      <c r="F547" s="511">
        <f t="shared" si="90"/>
        <v>244.03</v>
      </c>
      <c r="G547" s="314" t="s">
        <v>6489</v>
      </c>
      <c r="H547" s="518" t="s">
        <v>6490</v>
      </c>
      <c r="I547" s="452" t="s">
        <v>11566</v>
      </c>
      <c r="J547" s="369" t="s">
        <v>753</v>
      </c>
      <c r="K547" s="452" t="s">
        <v>741</v>
      </c>
    </row>
    <row r="548" spans="1:11" s="317" customFormat="1">
      <c r="A548" s="369"/>
      <c r="B548" s="233" t="s">
        <v>13487</v>
      </c>
      <c r="C548" s="196">
        <v>1169</v>
      </c>
      <c r="D548" s="230">
        <f t="shared" ref="D548" si="92">C548*(1-VLOOKUP(I548,descuentos,6,FALSE))*fcl/IF(dol_sol="dólar", TC,1)</f>
        <v>342.95319402985064</v>
      </c>
      <c r="E548" s="215">
        <v>10</v>
      </c>
      <c r="F548" s="511">
        <f t="shared" si="90"/>
        <v>352.96</v>
      </c>
      <c r="G548" s="314" t="s">
        <v>13488</v>
      </c>
      <c r="H548" s="518" t="s">
        <v>13489</v>
      </c>
      <c r="I548" s="452" t="s">
        <v>11566</v>
      </c>
      <c r="J548" s="369" t="s">
        <v>753</v>
      </c>
      <c r="K548" s="452" t="s">
        <v>741</v>
      </c>
    </row>
    <row r="549" spans="1:11" s="317" customFormat="1">
      <c r="A549" s="369"/>
      <c r="B549" s="232" t="s">
        <v>13490</v>
      </c>
      <c r="C549" s="196">
        <v>1216</v>
      </c>
      <c r="D549" s="230">
        <f t="shared" ref="D549" si="93">C549*(1-VLOOKUP(I549,descuentos,6,FALSE))*fcl/IF(dol_sol="dólar", TC,1)</f>
        <v>356.74173134328345</v>
      </c>
      <c r="E549" s="215">
        <v>10</v>
      </c>
      <c r="F549" s="511">
        <f t="shared" si="90"/>
        <v>366.75</v>
      </c>
      <c r="G549" s="314" t="s">
        <v>13491</v>
      </c>
      <c r="H549" s="518" t="s">
        <v>13492</v>
      </c>
      <c r="I549" s="452" t="s">
        <v>11566</v>
      </c>
      <c r="J549" s="369" t="s">
        <v>753</v>
      </c>
      <c r="K549" s="452" t="s">
        <v>741</v>
      </c>
    </row>
    <row r="550" spans="1:11" s="317" customFormat="1">
      <c r="A550" s="369"/>
      <c r="B550" s="233" t="s">
        <v>1655</v>
      </c>
      <c r="C550" s="196">
        <v>277.20000000000005</v>
      </c>
      <c r="D550" s="230">
        <f t="shared" si="91"/>
        <v>81.323032835820882</v>
      </c>
      <c r="E550" s="215">
        <v>20</v>
      </c>
      <c r="F550" s="511">
        <f t="shared" si="90"/>
        <v>101.33</v>
      </c>
      <c r="G550" s="314" t="s">
        <v>1657</v>
      </c>
      <c r="H550" s="518" t="s">
        <v>1661</v>
      </c>
      <c r="I550" s="452" t="s">
        <v>11566</v>
      </c>
      <c r="J550" s="369" t="s">
        <v>753</v>
      </c>
      <c r="K550" s="452" t="s">
        <v>741</v>
      </c>
    </row>
    <row r="551" spans="1:11" s="317" customFormat="1">
      <c r="A551" s="369"/>
      <c r="B551" s="231" t="s">
        <v>1656</v>
      </c>
      <c r="C551" s="196">
        <v>244.9</v>
      </c>
      <c r="D551" s="230">
        <f t="shared" si="91"/>
        <v>71.847080597014909</v>
      </c>
      <c r="E551" s="215">
        <v>20</v>
      </c>
      <c r="F551" s="511">
        <f t="shared" si="90"/>
        <v>91.850000000000009</v>
      </c>
      <c r="G551" s="314" t="s">
        <v>2080</v>
      </c>
      <c r="H551" s="518" t="s">
        <v>1662</v>
      </c>
      <c r="I551" s="452" t="s">
        <v>11566</v>
      </c>
      <c r="J551" s="369" t="s">
        <v>753</v>
      </c>
      <c r="K551" s="452" t="s">
        <v>741</v>
      </c>
    </row>
    <row r="552" spans="1:11" s="317" customFormat="1">
      <c r="A552" s="369"/>
      <c r="B552" s="231" t="s">
        <v>1658</v>
      </c>
      <c r="C552" s="196">
        <v>277.20000000000005</v>
      </c>
      <c r="D552" s="230">
        <f t="shared" si="91"/>
        <v>81.323032835820882</v>
      </c>
      <c r="E552" s="215">
        <v>20</v>
      </c>
      <c r="F552" s="511">
        <f t="shared" si="90"/>
        <v>101.33</v>
      </c>
      <c r="G552" s="314" t="s">
        <v>2081</v>
      </c>
      <c r="H552" s="518" t="s">
        <v>1663</v>
      </c>
      <c r="I552" s="452" t="s">
        <v>11566</v>
      </c>
      <c r="J552" s="369" t="s">
        <v>753</v>
      </c>
      <c r="K552" s="452" t="s">
        <v>741</v>
      </c>
    </row>
    <row r="553" spans="1:11" s="317" customFormat="1">
      <c r="A553" s="369"/>
      <c r="B553" s="231" t="s">
        <v>1659</v>
      </c>
      <c r="C553" s="196">
        <v>385.20000000000005</v>
      </c>
      <c r="D553" s="230">
        <f t="shared" si="91"/>
        <v>113.00733134328357</v>
      </c>
      <c r="E553" s="215">
        <v>20</v>
      </c>
      <c r="F553" s="511">
        <f t="shared" si="90"/>
        <v>133.01</v>
      </c>
      <c r="G553" s="314" t="s">
        <v>2082</v>
      </c>
      <c r="H553" s="518" t="s">
        <v>1664</v>
      </c>
      <c r="I553" s="452" t="s">
        <v>11566</v>
      </c>
      <c r="J553" s="369" t="s">
        <v>753</v>
      </c>
      <c r="K553" s="452" t="s">
        <v>741</v>
      </c>
    </row>
    <row r="554" spans="1:11" s="317" customFormat="1">
      <c r="A554" s="369"/>
      <c r="B554" s="232" t="s">
        <v>1660</v>
      </c>
      <c r="C554" s="196">
        <v>474.20000000000005</v>
      </c>
      <c r="D554" s="230">
        <f t="shared" ref="D554" si="94">C554*(1-VLOOKUP(I554,descuentos,6,FALSE))*fcl/IF(dol_sol="dólar", TC,1)</f>
        <v>139.11754029850744</v>
      </c>
      <c r="E554" s="215">
        <v>20</v>
      </c>
      <c r="F554" s="511">
        <f t="shared" si="90"/>
        <v>159.12</v>
      </c>
      <c r="G554" s="314" t="s">
        <v>2083</v>
      </c>
      <c r="H554" s="518" t="s">
        <v>1665</v>
      </c>
      <c r="I554" s="452" t="s">
        <v>11566</v>
      </c>
      <c r="J554" s="369" t="s">
        <v>753</v>
      </c>
      <c r="K554" s="452" t="s">
        <v>741</v>
      </c>
    </row>
    <row r="555" spans="1:11" s="317" customFormat="1">
      <c r="A555" s="369"/>
      <c r="B555" s="314"/>
      <c r="C555" s="196" t="s">
        <v>2024</v>
      </c>
      <c r="D555" s="230"/>
      <c r="E555" s="215"/>
      <c r="F555" s="511">
        <f t="shared" si="90"/>
        <v>0</v>
      </c>
      <c r="G555" s="314"/>
      <c r="H555" s="518"/>
      <c r="I555" s="452"/>
      <c r="J555" s="369"/>
      <c r="K555" s="452"/>
    </row>
    <row r="556" spans="1:11" s="317" customFormat="1">
      <c r="A556" s="369"/>
      <c r="B556" s="314"/>
      <c r="C556" s="196" t="s">
        <v>2024</v>
      </c>
      <c r="D556" s="230"/>
      <c r="E556" s="215"/>
      <c r="F556" s="511">
        <f t="shared" si="90"/>
        <v>0</v>
      </c>
      <c r="G556" s="314"/>
      <c r="H556" s="518"/>
      <c r="I556" s="452"/>
      <c r="J556" s="369"/>
      <c r="K556" s="452"/>
    </row>
    <row r="557" spans="1:11" s="317" customFormat="1">
      <c r="A557" s="369"/>
      <c r="B557" s="233" t="s">
        <v>6491</v>
      </c>
      <c r="C557" s="196">
        <v>997.1</v>
      </c>
      <c r="D557" s="230">
        <f>C557*(1-VLOOKUP(I557,descuentos,6,FALSE))*fcl/IF(dol_sol="dólar", TC,1)</f>
        <v>292.52235223880592</v>
      </c>
      <c r="E557" s="215">
        <v>20</v>
      </c>
      <c r="F557" s="511">
        <f t="shared" si="90"/>
        <v>312.52999999999997</v>
      </c>
      <c r="G557" s="314" t="s">
        <v>6492</v>
      </c>
      <c r="H557" s="518" t="s">
        <v>6493</v>
      </c>
      <c r="I557" s="452" t="s">
        <v>11566</v>
      </c>
      <c r="J557" s="369" t="s">
        <v>753</v>
      </c>
      <c r="K557" s="452" t="s">
        <v>741</v>
      </c>
    </row>
    <row r="558" spans="1:11" s="317" customFormat="1">
      <c r="A558" s="369"/>
      <c r="B558" s="232" t="s">
        <v>2084</v>
      </c>
      <c r="C558" s="196">
        <v>1281</v>
      </c>
      <c r="D558" s="230">
        <f>C558*(1-VLOOKUP(I558,descuentos,6,FALSE))*fcl/IF(dol_sol="dólar", TC,1)</f>
        <v>375.81098507462667</v>
      </c>
      <c r="E558" s="215">
        <v>20</v>
      </c>
      <c r="F558" s="511">
        <f t="shared" si="90"/>
        <v>395.82</v>
      </c>
      <c r="G558" s="314" t="s">
        <v>2085</v>
      </c>
      <c r="H558" s="518" t="s">
        <v>2086</v>
      </c>
      <c r="I558" s="452" t="s">
        <v>11566</v>
      </c>
      <c r="J558" s="369" t="s">
        <v>753</v>
      </c>
      <c r="K558" s="452" t="s">
        <v>741</v>
      </c>
    </row>
    <row r="559" spans="1:11" s="317" customFormat="1">
      <c r="A559" s="369"/>
      <c r="B559" s="233" t="s">
        <v>1668</v>
      </c>
      <c r="C559" s="196">
        <v>1173</v>
      </c>
      <c r="D559" s="230">
        <f>C559*(1-VLOOKUP(I559,descuentos,6,FALSE))*fcl/IF(dol_sol="dólar", TC,1)</f>
        <v>344.12668656716409</v>
      </c>
      <c r="E559" s="215">
        <v>30</v>
      </c>
      <c r="F559" s="511">
        <f t="shared" si="90"/>
        <v>374.13</v>
      </c>
      <c r="G559" s="314" t="s">
        <v>2087</v>
      </c>
      <c r="H559" s="518" t="s">
        <v>1669</v>
      </c>
      <c r="I559" s="452" t="s">
        <v>11566</v>
      </c>
      <c r="J559" s="369" t="s">
        <v>753</v>
      </c>
      <c r="K559" s="452" t="s">
        <v>741</v>
      </c>
    </row>
    <row r="560" spans="1:11" s="317" customFormat="1">
      <c r="A560" s="369"/>
      <c r="B560" s="232" t="s">
        <v>1667</v>
      </c>
      <c r="C560" s="196">
        <v>1230.5999999999999</v>
      </c>
      <c r="D560" s="230">
        <f>C560*(1-VLOOKUP(I560,descuentos,6,FALSE))*fcl/IF(dol_sol="dólar", TC,1)</f>
        <v>361.0249791044775</v>
      </c>
      <c r="E560" s="215">
        <v>40</v>
      </c>
      <c r="F560" s="511">
        <f t="shared" si="90"/>
        <v>401.03</v>
      </c>
      <c r="G560" s="314" t="s">
        <v>2088</v>
      </c>
      <c r="H560" s="518" t="s">
        <v>1666</v>
      </c>
      <c r="I560" s="452" t="s">
        <v>11566</v>
      </c>
      <c r="J560" s="369" t="s">
        <v>753</v>
      </c>
      <c r="K560" s="452" t="s">
        <v>741</v>
      </c>
    </row>
    <row r="561" spans="1:15" s="317" customFormat="1">
      <c r="A561" s="369"/>
      <c r="B561" s="405"/>
      <c r="C561" s="406" t="s">
        <v>2024</v>
      </c>
      <c r="D561" s="407"/>
      <c r="E561" s="408"/>
      <c r="F561" s="409"/>
      <c r="G561" s="410"/>
      <c r="H561" s="1659"/>
      <c r="I561" s="548"/>
      <c r="J561" s="447"/>
      <c r="K561" s="434"/>
    </row>
    <row r="562" spans="1:15" s="317" customFormat="1">
      <c r="A562" s="369"/>
      <c r="B562" s="405"/>
      <c r="C562" s="406" t="s">
        <v>2024</v>
      </c>
      <c r="D562" s="407"/>
      <c r="E562" s="408"/>
      <c r="F562" s="409"/>
      <c r="G562" s="410"/>
      <c r="H562" s="1659"/>
      <c r="I562" s="548"/>
      <c r="J562" s="447"/>
      <c r="K562" s="434"/>
    </row>
    <row r="563" spans="1:15" s="317" customFormat="1">
      <c r="A563" s="369"/>
      <c r="B563" s="144" t="s">
        <v>6494</v>
      </c>
      <c r="C563" s="196">
        <v>2762.6</v>
      </c>
      <c r="D563" s="230">
        <f>C563*(1-VLOOKUP(I563,descuentos,6,FALSE))*fcl/IF(dol_sol="dólar", TC,1)</f>
        <v>810.47262089552203</v>
      </c>
      <c r="E563" s="215">
        <v>30</v>
      </c>
      <c r="F563" s="511">
        <f>ROUNDUP(D563+E563,2)</f>
        <v>840.48</v>
      </c>
      <c r="G563" s="314" t="s">
        <v>6495</v>
      </c>
      <c r="H563" s="518" t="s">
        <v>6496</v>
      </c>
      <c r="I563" s="452" t="s">
        <v>11566</v>
      </c>
      <c r="J563" s="515" t="s">
        <v>753</v>
      </c>
      <c r="K563" s="452" t="s">
        <v>741</v>
      </c>
    </row>
    <row r="564" spans="1:15" s="317" customFormat="1">
      <c r="A564" s="369"/>
      <c r="B564" s="314"/>
      <c r="C564" s="196" t="s">
        <v>2024</v>
      </c>
      <c r="D564" s="230"/>
      <c r="E564" s="215"/>
      <c r="F564" s="511"/>
      <c r="G564" s="314"/>
      <c r="H564" s="518"/>
      <c r="I564" s="452"/>
      <c r="J564" s="369"/>
      <c r="K564" s="452"/>
    </row>
    <row r="565" spans="1:15" s="317" customFormat="1">
      <c r="A565" s="369"/>
      <c r="B565" s="144" t="s">
        <v>4245</v>
      </c>
      <c r="C565" s="196">
        <v>1441</v>
      </c>
      <c r="D565" s="230">
        <f>C565*(1-VLOOKUP(I565,descuentos,6,FALSE))*fcl/TC</f>
        <v>422.750686567164</v>
      </c>
      <c r="E565" s="215">
        <v>10</v>
      </c>
      <c r="F565" s="511">
        <f>ROUNDUP(D565+E565,2)</f>
        <v>432.76</v>
      </c>
      <c r="G565" s="518" t="s">
        <v>4246</v>
      </c>
      <c r="H565" s="143" t="s">
        <v>4247</v>
      </c>
      <c r="I565" s="452" t="s">
        <v>11566</v>
      </c>
      <c r="J565" s="515" t="s">
        <v>753</v>
      </c>
      <c r="K565" s="452" t="s">
        <v>741</v>
      </c>
    </row>
    <row r="566" spans="1:15" s="317" customFormat="1">
      <c r="A566" s="369"/>
      <c r="B566" s="144" t="s">
        <v>4248</v>
      </c>
      <c r="C566" s="196">
        <v>1033</v>
      </c>
      <c r="D566" s="230">
        <f>C566*(1-VLOOKUP(I566,descuentos,6,FALSE))*fcl/TC</f>
        <v>303.05444776119396</v>
      </c>
      <c r="E566" s="215">
        <v>10</v>
      </c>
      <c r="F566" s="511">
        <f>ROUNDUP(D566+E566,2)</f>
        <v>313.06</v>
      </c>
      <c r="G566" s="518" t="s">
        <v>4249</v>
      </c>
      <c r="H566" s="143" t="s">
        <v>4250</v>
      </c>
      <c r="I566" s="452" t="s">
        <v>11566</v>
      </c>
      <c r="J566" s="515" t="s">
        <v>753</v>
      </c>
      <c r="K566" s="452" t="s">
        <v>741</v>
      </c>
    </row>
    <row r="567" spans="1:15" s="317" customFormat="1">
      <c r="A567" s="369"/>
      <c r="B567" s="144"/>
      <c r="C567" s="196" t="s">
        <v>2024</v>
      </c>
      <c r="D567" s="230"/>
      <c r="E567" s="215"/>
      <c r="F567" s="511"/>
      <c r="G567" s="518"/>
      <c r="H567" s="143"/>
      <c r="I567" s="452"/>
      <c r="J567" s="515"/>
      <c r="K567" s="452"/>
    </row>
    <row r="568" spans="1:15">
      <c r="A568" s="515"/>
      <c r="B568" s="144" t="s">
        <v>5341</v>
      </c>
      <c r="C568" s="196">
        <v>1196</v>
      </c>
      <c r="D568" s="230">
        <f>C568*(1-VLOOKUP(I568,descuentos,6,FALSE))*fcl/TC</f>
        <v>350.87426865671631</v>
      </c>
      <c r="E568" s="215">
        <v>10</v>
      </c>
      <c r="F568" s="511">
        <f>ROUNDUP(D568+E568,2)</f>
        <v>360.88</v>
      </c>
      <c r="G568" s="518" t="s">
        <v>5342</v>
      </c>
      <c r="H568" s="143" t="s">
        <v>5343</v>
      </c>
      <c r="I568" s="452" t="s">
        <v>11566</v>
      </c>
      <c r="J568" s="515" t="s">
        <v>753</v>
      </c>
      <c r="K568" s="452" t="s">
        <v>741</v>
      </c>
      <c r="L568" s="191"/>
      <c r="M568" s="191"/>
      <c r="N568" s="191"/>
      <c r="O568" s="191"/>
    </row>
    <row r="569" spans="1:15">
      <c r="A569" s="515"/>
      <c r="B569" s="144" t="s">
        <v>5344</v>
      </c>
      <c r="C569" s="196">
        <v>2485</v>
      </c>
      <c r="D569" s="230">
        <f>C569*(1-VLOOKUP(I569,descuentos,6,FALSE))*fcl/TC</f>
        <v>729.03223880596988</v>
      </c>
      <c r="E569" s="215">
        <v>10</v>
      </c>
      <c r="F569" s="511">
        <f>ROUNDUP(D569+E569,2)</f>
        <v>739.04</v>
      </c>
      <c r="G569" s="518" t="s">
        <v>5345</v>
      </c>
      <c r="H569" s="143" t="s">
        <v>5346</v>
      </c>
      <c r="I569" s="452" t="s">
        <v>11566</v>
      </c>
      <c r="J569" s="515" t="s">
        <v>753</v>
      </c>
      <c r="K569" s="452" t="s">
        <v>741</v>
      </c>
      <c r="L569" s="191"/>
      <c r="M569" s="191"/>
      <c r="N569" s="191"/>
      <c r="O569" s="191"/>
    </row>
    <row r="570" spans="1:15">
      <c r="A570" s="515"/>
      <c r="B570" s="144"/>
      <c r="C570" s="196" t="s">
        <v>2024</v>
      </c>
      <c r="D570" s="230"/>
      <c r="E570" s="215"/>
      <c r="F570" s="511"/>
      <c r="G570" s="518"/>
      <c r="H570" s="143"/>
      <c r="I570" s="452"/>
      <c r="J570" s="515"/>
      <c r="K570" s="452"/>
      <c r="L570" s="191"/>
      <c r="M570" s="191"/>
      <c r="N570" s="191"/>
      <c r="O570" s="191"/>
    </row>
    <row r="571" spans="1:15">
      <c r="A571" s="515"/>
      <c r="B571" s="144" t="s">
        <v>12699</v>
      </c>
      <c r="C571" s="196">
        <v>3482</v>
      </c>
      <c r="D571" s="230">
        <f>C571*(1-VLOOKUP(I571,descuentos,6,FALSE))*fcl/TC</f>
        <v>1021.5252537313429</v>
      </c>
      <c r="E571" s="215">
        <v>10</v>
      </c>
      <c r="F571" s="511">
        <f>ROUNDUP(D571+E571,2)</f>
        <v>1031.53</v>
      </c>
      <c r="G571" s="518" t="s">
        <v>12700</v>
      </c>
      <c r="H571" s="143" t="s">
        <v>12701</v>
      </c>
      <c r="I571" s="452" t="s">
        <v>11566</v>
      </c>
      <c r="J571" s="515" t="s">
        <v>753</v>
      </c>
      <c r="K571" s="452" t="s">
        <v>741</v>
      </c>
      <c r="L571" s="191"/>
      <c r="M571" s="191"/>
      <c r="N571" s="191"/>
      <c r="O571" s="191"/>
    </row>
    <row r="572" spans="1:15" s="317" customFormat="1">
      <c r="A572" s="369"/>
      <c r="B572" s="314"/>
      <c r="C572" s="196" t="s">
        <v>2024</v>
      </c>
      <c r="D572" s="230"/>
      <c r="E572" s="215"/>
      <c r="F572" s="511"/>
      <c r="G572" s="314"/>
      <c r="H572" s="518"/>
      <c r="I572" s="452"/>
      <c r="J572" s="369"/>
      <c r="K572" s="452"/>
    </row>
    <row r="573" spans="1:15" s="317" customFormat="1">
      <c r="A573" s="1469"/>
      <c r="B573" s="144" t="s">
        <v>13493</v>
      </c>
      <c r="C573" s="196">
        <v>676</v>
      </c>
      <c r="D573" s="230">
        <f>C573*(1-VLOOKUP(I573,descuentos,6,FALSE))*fcl/TC</f>
        <v>198.32023880597006</v>
      </c>
      <c r="E573" s="215">
        <v>10</v>
      </c>
      <c r="F573" s="511">
        <f>ROUNDUP(D573+E573,2)</f>
        <v>208.32999999999998</v>
      </c>
      <c r="G573" s="518" t="s">
        <v>13494</v>
      </c>
      <c r="H573" s="143" t="s">
        <v>13495</v>
      </c>
      <c r="I573" s="452" t="s">
        <v>11566</v>
      </c>
      <c r="J573" s="515" t="s">
        <v>753</v>
      </c>
      <c r="K573" s="452" t="s">
        <v>741</v>
      </c>
    </row>
    <row r="574" spans="1:15" s="317" customFormat="1">
      <c r="A574" s="369"/>
      <c r="B574" s="405"/>
      <c r="C574" s="406" t="s">
        <v>2024</v>
      </c>
      <c r="D574" s="407"/>
      <c r="E574" s="408"/>
      <c r="F574" s="409"/>
      <c r="G574" s="410"/>
      <c r="H574" s="1659"/>
      <c r="I574" s="548"/>
      <c r="J574" s="447"/>
      <c r="K574" s="434"/>
    </row>
    <row r="575" spans="1:15" s="317" customFormat="1">
      <c r="A575" s="515"/>
      <c r="B575" s="143" t="s">
        <v>9091</v>
      </c>
      <c r="C575" s="196">
        <v>169</v>
      </c>
      <c r="D575" s="230">
        <f>C575*(1-VLOOKUP(I575,descuentos,6,FALSE))*fcl/IF(dol_sol="dólar", TC,1)</f>
        <v>49.580059701492516</v>
      </c>
      <c r="E575" s="215">
        <v>5</v>
      </c>
      <c r="F575" s="511">
        <f>ROUNDUP(D575+E575,2)</f>
        <v>54.589999999999996</v>
      </c>
      <c r="G575" s="314" t="s">
        <v>9092</v>
      </c>
      <c r="H575" s="518" t="s">
        <v>9093</v>
      </c>
      <c r="I575" s="452" t="s">
        <v>11566</v>
      </c>
      <c r="J575" s="515" t="s">
        <v>753</v>
      </c>
      <c r="K575" s="452" t="s">
        <v>741</v>
      </c>
    </row>
    <row r="576" spans="1:15" s="317" customFormat="1">
      <c r="A576" s="369"/>
      <c r="B576" s="314"/>
      <c r="C576" s="196" t="s">
        <v>2024</v>
      </c>
      <c r="D576" s="230"/>
      <c r="E576" s="215"/>
      <c r="F576" s="511"/>
      <c r="G576" s="314"/>
      <c r="H576" s="518"/>
      <c r="I576" s="452"/>
      <c r="J576" s="369"/>
      <c r="K576" s="452"/>
    </row>
    <row r="577" spans="1:11" s="317" customFormat="1">
      <c r="A577" s="447"/>
      <c r="B577" s="143" t="s">
        <v>4251</v>
      </c>
      <c r="C577" s="196">
        <v>377</v>
      </c>
      <c r="D577" s="230">
        <f>C577*(1-VLOOKUP(I577,descuentos,6,FALSE))*fcl/IF(dol_sol="dólar", TC,1)</f>
        <v>110.60167164179101</v>
      </c>
      <c r="E577" s="215">
        <v>5</v>
      </c>
      <c r="F577" s="511">
        <f>ROUNDUP(D577+E577,2)</f>
        <v>115.61</v>
      </c>
      <c r="G577" s="314" t="s">
        <v>4252</v>
      </c>
      <c r="H577" s="518" t="s">
        <v>4253</v>
      </c>
      <c r="I577" s="452" t="s">
        <v>11566</v>
      </c>
      <c r="J577" s="515" t="s">
        <v>753</v>
      </c>
      <c r="K577" s="452" t="s">
        <v>741</v>
      </c>
    </row>
    <row r="578" spans="1:11" s="317" customFormat="1">
      <c r="A578" s="447"/>
      <c r="B578" s="143" t="s">
        <v>4254</v>
      </c>
      <c r="C578" s="196">
        <v>377</v>
      </c>
      <c r="D578" s="230">
        <f>C578*(1-VLOOKUP(I578,descuentos,6,FALSE))*fcl/IF(dol_sol="dólar", TC,1)</f>
        <v>110.60167164179101</v>
      </c>
      <c r="E578" s="215">
        <v>5</v>
      </c>
      <c r="F578" s="511">
        <f>ROUNDUP(D578+E578,2)</f>
        <v>115.61</v>
      </c>
      <c r="G578" s="314" t="s">
        <v>4255</v>
      </c>
      <c r="H578" s="518" t="s">
        <v>4256</v>
      </c>
      <c r="I578" s="452" t="s">
        <v>11566</v>
      </c>
      <c r="J578" s="515" t="s">
        <v>753</v>
      </c>
      <c r="K578" s="452" t="s">
        <v>741</v>
      </c>
    </row>
    <row r="579" spans="1:11" s="317" customFormat="1">
      <c r="A579" s="369"/>
      <c r="B579" s="143" t="s">
        <v>4257</v>
      </c>
      <c r="C579" s="196">
        <v>377</v>
      </c>
      <c r="D579" s="230">
        <f>C579*(1-VLOOKUP(I579,descuentos,6,FALSE))*fcl/IF(dol_sol="dólar", TC,1)</f>
        <v>110.60167164179101</v>
      </c>
      <c r="E579" s="215">
        <v>5</v>
      </c>
      <c r="F579" s="511">
        <f>ROUNDUP(D579+E579,2)</f>
        <v>115.61</v>
      </c>
      <c r="G579" s="314" t="s">
        <v>4258</v>
      </c>
      <c r="H579" s="518" t="s">
        <v>4259</v>
      </c>
      <c r="I579" s="452" t="s">
        <v>11566</v>
      </c>
      <c r="J579" s="515" t="s">
        <v>753</v>
      </c>
      <c r="K579" s="452" t="s">
        <v>741</v>
      </c>
    </row>
    <row r="580" spans="1:11" s="317" customFormat="1">
      <c r="A580" s="515"/>
      <c r="B580" s="143" t="s">
        <v>4260</v>
      </c>
      <c r="C580" s="196">
        <v>377</v>
      </c>
      <c r="D580" s="230">
        <f>C580*(1-VLOOKUP(I580,descuentos,6,FALSE))*fcl/IF(dol_sol="dólar", TC,1)</f>
        <v>110.60167164179101</v>
      </c>
      <c r="E580" s="215">
        <v>5</v>
      </c>
      <c r="F580" s="511">
        <f>ROUNDUP(D580+E580,2)</f>
        <v>115.61</v>
      </c>
      <c r="G580" s="314" t="s">
        <v>4261</v>
      </c>
      <c r="H580" s="518" t="s">
        <v>4262</v>
      </c>
      <c r="I580" s="452" t="s">
        <v>11566</v>
      </c>
      <c r="J580" s="515" t="s">
        <v>753</v>
      </c>
      <c r="K580" s="452" t="s">
        <v>741</v>
      </c>
    </row>
    <row r="581" spans="1:11" s="317" customFormat="1">
      <c r="A581" s="515"/>
      <c r="B581" s="143" t="s">
        <v>4263</v>
      </c>
      <c r="C581" s="196">
        <v>245</v>
      </c>
      <c r="D581" s="230">
        <f>C581*(1-VLOOKUP(I581,descuentos,6,FALSE))*fcl/IF(dol_sol="dólar", TC,1)</f>
        <v>71.876417910447728</v>
      </c>
      <c r="E581" s="215">
        <v>2</v>
      </c>
      <c r="F581" s="511">
        <f>ROUNDUP(D581+E581,2)</f>
        <v>73.88000000000001</v>
      </c>
      <c r="G581" s="314" t="s">
        <v>4264</v>
      </c>
      <c r="H581" s="518" t="s">
        <v>4265</v>
      </c>
      <c r="I581" s="452" t="s">
        <v>11566</v>
      </c>
      <c r="J581" s="515" t="s">
        <v>753</v>
      </c>
      <c r="K581" s="452" t="s">
        <v>741</v>
      </c>
    </row>
    <row r="582" spans="1:11" s="317" customFormat="1">
      <c r="A582" s="515"/>
      <c r="B582" s="314"/>
      <c r="C582" s="196" t="s">
        <v>2024</v>
      </c>
      <c r="D582" s="230"/>
      <c r="E582" s="215"/>
      <c r="F582" s="511"/>
      <c r="G582" s="314"/>
      <c r="H582" s="518"/>
      <c r="I582" s="452"/>
      <c r="J582" s="369"/>
      <c r="K582" s="452"/>
    </row>
    <row r="583" spans="1:11" s="317" customFormat="1">
      <c r="A583" s="447"/>
      <c r="B583" s="143" t="s">
        <v>4266</v>
      </c>
      <c r="C583" s="196">
        <v>412</v>
      </c>
      <c r="D583" s="230">
        <f>C583*(1-VLOOKUP(I583,descuentos,6,FALSE))*fcl/IF(dol_sol="dólar", TC,1)</f>
        <v>120.86973134328353</v>
      </c>
      <c r="E583" s="215">
        <v>5</v>
      </c>
      <c r="F583" s="511">
        <f>ROUNDUP(D583+E583,2)</f>
        <v>125.87</v>
      </c>
      <c r="G583" s="314" t="s">
        <v>4267</v>
      </c>
      <c r="H583" s="518" t="s">
        <v>4268</v>
      </c>
      <c r="I583" s="452" t="s">
        <v>11566</v>
      </c>
      <c r="J583" s="515" t="s">
        <v>753</v>
      </c>
      <c r="K583" s="452" t="s">
        <v>741</v>
      </c>
    </row>
    <row r="584" spans="1:11" s="317" customFormat="1">
      <c r="A584" s="369"/>
      <c r="B584" s="143" t="s">
        <v>4269</v>
      </c>
      <c r="C584" s="196">
        <v>412</v>
      </c>
      <c r="D584" s="230">
        <f>C584*(1-VLOOKUP(I584,descuentos,6,FALSE))*fcl/IF(dol_sol="dólar", TC,1)</f>
        <v>120.86973134328353</v>
      </c>
      <c r="E584" s="215">
        <v>5</v>
      </c>
      <c r="F584" s="511">
        <f>ROUNDUP(D584+E584,2)</f>
        <v>125.87</v>
      </c>
      <c r="G584" s="314" t="s">
        <v>4270</v>
      </c>
      <c r="H584" s="518" t="s">
        <v>4271</v>
      </c>
      <c r="I584" s="452" t="s">
        <v>11566</v>
      </c>
      <c r="J584" s="515" t="s">
        <v>753</v>
      </c>
      <c r="K584" s="452" t="s">
        <v>741</v>
      </c>
    </row>
    <row r="585" spans="1:11">
      <c r="A585" s="369"/>
      <c r="B585" s="143" t="s">
        <v>4272</v>
      </c>
      <c r="C585" s="196">
        <v>412</v>
      </c>
      <c r="D585" s="230">
        <f>C585*(1-VLOOKUP(I585,descuentos,6,FALSE))*fcl/IF(dol_sol="dólar", TC,1)</f>
        <v>120.86973134328353</v>
      </c>
      <c r="E585" s="215">
        <v>5</v>
      </c>
      <c r="F585" s="511">
        <f>ROUNDUP(D585+E585,2)</f>
        <v>125.87</v>
      </c>
      <c r="G585" s="314" t="s">
        <v>4273</v>
      </c>
      <c r="H585" s="518" t="s">
        <v>4274</v>
      </c>
      <c r="I585" s="452" t="s">
        <v>11566</v>
      </c>
      <c r="J585" s="515" t="s">
        <v>753</v>
      </c>
      <c r="K585" s="452" t="s">
        <v>741</v>
      </c>
    </row>
    <row r="586" spans="1:11">
      <c r="A586" s="369"/>
      <c r="B586" s="143" t="s">
        <v>4275</v>
      </c>
      <c r="C586" s="196">
        <v>412</v>
      </c>
      <c r="D586" s="230">
        <f>C586*(1-VLOOKUP(I586,descuentos,6,FALSE))*fcl/IF(dol_sol="dólar", TC,1)</f>
        <v>120.86973134328353</v>
      </c>
      <c r="E586" s="215">
        <v>5</v>
      </c>
      <c r="F586" s="511">
        <f>ROUNDUP(D586+E586,2)</f>
        <v>125.87</v>
      </c>
      <c r="G586" s="314" t="s">
        <v>4276</v>
      </c>
      <c r="H586" s="518" t="s">
        <v>4277</v>
      </c>
      <c r="I586" s="452" t="s">
        <v>11566</v>
      </c>
      <c r="J586" s="515" t="s">
        <v>753</v>
      </c>
      <c r="K586" s="452" t="s">
        <v>741</v>
      </c>
    </row>
    <row r="587" spans="1:11">
      <c r="A587" s="369"/>
      <c r="B587" s="143" t="s">
        <v>4278</v>
      </c>
      <c r="C587" s="196">
        <v>222</v>
      </c>
      <c r="D587" s="230">
        <f>C587*(1-VLOOKUP(I587,descuentos,6,FALSE))*fcl/IF(dol_sol="dólar", TC,1)</f>
        <v>65.128835820895503</v>
      </c>
      <c r="E587" s="215">
        <v>3</v>
      </c>
      <c r="F587" s="511">
        <f>ROUNDUP(D587+E587,2)</f>
        <v>68.13000000000001</v>
      </c>
      <c r="G587" s="314" t="s">
        <v>4279</v>
      </c>
      <c r="H587" s="518" t="s">
        <v>4280</v>
      </c>
      <c r="I587" s="452" t="s">
        <v>11566</v>
      </c>
      <c r="J587" s="515" t="s">
        <v>753</v>
      </c>
      <c r="K587" s="452" t="s">
        <v>741</v>
      </c>
    </row>
    <row r="588" spans="1:11">
      <c r="A588" s="369"/>
      <c r="B588" s="314"/>
      <c r="C588" s="196" t="s">
        <v>2024</v>
      </c>
      <c r="D588" s="230"/>
      <c r="E588" s="215"/>
      <c r="F588" s="511"/>
      <c r="G588" s="314"/>
      <c r="H588" s="518"/>
      <c r="I588" s="452"/>
      <c r="J588" s="369"/>
      <c r="K588" s="452"/>
    </row>
    <row r="589" spans="1:11">
      <c r="A589" s="515"/>
      <c r="B589" s="143" t="s">
        <v>3176</v>
      </c>
      <c r="C589" s="196">
        <v>503.90000000000003</v>
      </c>
      <c r="D589" s="230">
        <f>C589*(1-VLOOKUP(I589,descuentos,6,FALSE))*fcl/IF(dol_sol="dólar", TC,1)</f>
        <v>147.83072238805966</v>
      </c>
      <c r="E589" s="215">
        <v>10</v>
      </c>
      <c r="F589" s="511">
        <f>ROUNDUP(D589+E589,2)</f>
        <v>157.84</v>
      </c>
      <c r="G589" s="314" t="s">
        <v>4281</v>
      </c>
      <c r="H589" s="518" t="s">
        <v>3175</v>
      </c>
      <c r="I589" s="452" t="s">
        <v>11566</v>
      </c>
      <c r="J589" s="515" t="s">
        <v>753</v>
      </c>
      <c r="K589" s="452" t="s">
        <v>741</v>
      </c>
    </row>
    <row r="590" spans="1:11" s="317" customFormat="1">
      <c r="A590" s="515"/>
      <c r="B590" s="143"/>
      <c r="C590" s="196" t="s">
        <v>2024</v>
      </c>
      <c r="D590" s="230"/>
      <c r="E590" s="215"/>
      <c r="F590" s="511"/>
      <c r="G590" s="314"/>
      <c r="H590" s="518"/>
      <c r="I590" s="452"/>
      <c r="J590" s="515"/>
      <c r="K590" s="452"/>
    </row>
    <row r="591" spans="1:11">
      <c r="A591" s="1591"/>
      <c r="B591" s="143" t="s">
        <v>9432</v>
      </c>
      <c r="C591" s="196">
        <v>124</v>
      </c>
      <c r="D591" s="230">
        <f>C591*(1-VLOOKUP(I591,descuentos,6,FALSE))*fcl/IF(dol_sol="dólar", TC,1)</f>
        <v>36.378268656716408</v>
      </c>
      <c r="E591" s="215">
        <v>15</v>
      </c>
      <c r="F591" s="511">
        <f>ROUNDUP(D591+E591,2)</f>
        <v>51.379999999999995</v>
      </c>
      <c r="G591" s="314" t="s">
        <v>9433</v>
      </c>
      <c r="H591" s="518" t="s">
        <v>9434</v>
      </c>
      <c r="I591" s="452" t="s">
        <v>11566</v>
      </c>
      <c r="J591" s="515" t="s">
        <v>753</v>
      </c>
      <c r="K591" s="452" t="s">
        <v>741</v>
      </c>
    </row>
    <row r="592" spans="1:11">
      <c r="A592" s="1591"/>
      <c r="B592" s="143" t="s">
        <v>9435</v>
      </c>
      <c r="C592" s="196">
        <v>138</v>
      </c>
      <c r="D592" s="230">
        <f>C592*(1-VLOOKUP(I592,descuentos,6,FALSE))*fcl/IF(dol_sol="dólar", TC,1)</f>
        <v>40.485492537313419</v>
      </c>
      <c r="E592" s="215">
        <v>15</v>
      </c>
      <c r="F592" s="511">
        <f>ROUNDUP(D592+E592,2)</f>
        <v>55.489999999999995</v>
      </c>
      <c r="G592" s="314" t="s">
        <v>9436</v>
      </c>
      <c r="H592" s="518" t="s">
        <v>9437</v>
      </c>
      <c r="I592" s="452" t="s">
        <v>11566</v>
      </c>
      <c r="J592" s="515" t="s">
        <v>753</v>
      </c>
      <c r="K592" s="452" t="s">
        <v>741</v>
      </c>
    </row>
    <row r="593" spans="1:11" s="317" customFormat="1">
      <c r="A593" s="515"/>
      <c r="B593" s="143"/>
      <c r="C593" s="196" t="s">
        <v>2024</v>
      </c>
      <c r="D593" s="230"/>
      <c r="E593" s="215"/>
      <c r="F593" s="511"/>
      <c r="G593" s="314"/>
      <c r="H593" s="518"/>
      <c r="I593" s="452"/>
      <c r="J593" s="515"/>
      <c r="K593" s="452"/>
    </row>
    <row r="594" spans="1:11">
      <c r="A594" s="369"/>
      <c r="B594" s="143"/>
      <c r="C594" s="196" t="s">
        <v>2024</v>
      </c>
      <c r="D594" s="230"/>
      <c r="E594" s="215"/>
      <c r="F594" s="511"/>
      <c r="G594" s="314"/>
      <c r="H594" s="518"/>
      <c r="I594" s="452"/>
      <c r="J594" s="515"/>
      <c r="K594" s="452"/>
    </row>
    <row r="595" spans="1:11">
      <c r="A595" s="369"/>
      <c r="B595" s="143" t="s">
        <v>9094</v>
      </c>
      <c r="C595" s="196">
        <v>169</v>
      </c>
      <c r="D595" s="230">
        <f>C595*(1-VLOOKUP(I595,descuentos,6,FALSE))*fcl/IF(dol_sol="dólar", TC,1)</f>
        <v>49.580059701492516</v>
      </c>
      <c r="E595" s="215">
        <v>5</v>
      </c>
      <c r="F595" s="511">
        <f>ROUNDUP(D595+E595,2)</f>
        <v>54.589999999999996</v>
      </c>
      <c r="G595" s="314" t="s">
        <v>9095</v>
      </c>
      <c r="H595" s="518" t="s">
        <v>9096</v>
      </c>
      <c r="I595" s="452" t="s">
        <v>11566</v>
      </c>
      <c r="J595" s="515" t="s">
        <v>753</v>
      </c>
      <c r="K595" s="452" t="s">
        <v>741</v>
      </c>
    </row>
    <row r="596" spans="1:11">
      <c r="A596" s="369"/>
      <c r="B596" s="143" t="s">
        <v>9804</v>
      </c>
      <c r="C596" s="196">
        <v>169</v>
      </c>
      <c r="D596" s="230">
        <f>C596*(1-VLOOKUP(I596,descuentos,6,FALSE))*fcl/IF(dol_sol="dólar", TC,1)</f>
        <v>49.580059701492516</v>
      </c>
      <c r="E596" s="215">
        <v>5</v>
      </c>
      <c r="F596" s="511">
        <f>ROUNDUP(D596+E596,2)</f>
        <v>54.589999999999996</v>
      </c>
      <c r="G596" s="314" t="s">
        <v>9805</v>
      </c>
      <c r="H596" s="518" t="s">
        <v>9806</v>
      </c>
      <c r="I596" s="452" t="s">
        <v>11566</v>
      </c>
      <c r="J596" s="515" t="s">
        <v>753</v>
      </c>
      <c r="K596" s="452" t="s">
        <v>741</v>
      </c>
    </row>
    <row r="597" spans="1:11">
      <c r="A597" s="369"/>
      <c r="B597" s="143"/>
      <c r="C597" s="196" t="s">
        <v>2024</v>
      </c>
      <c r="D597" s="230"/>
      <c r="E597" s="215"/>
      <c r="F597" s="511"/>
      <c r="G597" s="314"/>
      <c r="H597" s="518"/>
      <c r="I597" s="452"/>
      <c r="J597" s="515"/>
      <c r="K597" s="452"/>
    </row>
    <row r="598" spans="1:11">
      <c r="A598" s="369"/>
      <c r="B598" s="143" t="s">
        <v>4282</v>
      </c>
      <c r="C598" s="196">
        <v>374</v>
      </c>
      <c r="D598" s="230">
        <f>C598*(1-VLOOKUP(I598,descuentos,6,FALSE))*fcl/IF(dol_sol="dólar", TC,1)</f>
        <v>109.72155223880594</v>
      </c>
      <c r="E598" s="215">
        <v>5</v>
      </c>
      <c r="F598" s="511">
        <f>ROUNDUP(D598+E598,2)</f>
        <v>114.73</v>
      </c>
      <c r="G598" s="314" t="s">
        <v>4283</v>
      </c>
      <c r="H598" s="518" t="s">
        <v>4284</v>
      </c>
      <c r="I598" s="452" t="s">
        <v>11566</v>
      </c>
      <c r="J598" s="515" t="s">
        <v>753</v>
      </c>
      <c r="K598" s="452" t="s">
        <v>741</v>
      </c>
    </row>
    <row r="599" spans="1:11" s="317" customFormat="1">
      <c r="A599" s="369"/>
      <c r="B599" s="143" t="s">
        <v>4263</v>
      </c>
      <c r="C599" s="196">
        <v>245</v>
      </c>
      <c r="D599" s="230">
        <f>C599*(1-VLOOKUP(I599,descuentos,6,FALSE))*fcl/IF(dol_sol="dólar", TC,1)</f>
        <v>71.876417910447728</v>
      </c>
      <c r="E599" s="215">
        <v>2</v>
      </c>
      <c r="F599" s="511">
        <f>ROUNDUP(D599+E599,2)</f>
        <v>73.88000000000001</v>
      </c>
      <c r="G599" s="314" t="s">
        <v>4264</v>
      </c>
      <c r="H599" s="518" t="s">
        <v>4265</v>
      </c>
      <c r="I599" s="452" t="s">
        <v>11566</v>
      </c>
      <c r="J599" s="515" t="s">
        <v>753</v>
      </c>
      <c r="K599" s="452" t="s">
        <v>741</v>
      </c>
    </row>
    <row r="600" spans="1:11">
      <c r="A600" s="369"/>
      <c r="B600" s="143" t="s">
        <v>4285</v>
      </c>
      <c r="C600" s="196">
        <v>17</v>
      </c>
      <c r="D600" s="230">
        <f>C600*(1-VLOOKUP(I600,descuentos,6,FALSE))*fcl/IF(dol_sol="dólar", TC,1)</f>
        <v>4.9873432835820886</v>
      </c>
      <c r="E600" s="215">
        <v>2</v>
      </c>
      <c r="F600" s="511">
        <f>ROUNDUP(D600+E600,2)</f>
        <v>6.99</v>
      </c>
      <c r="G600" s="314" t="s">
        <v>4286</v>
      </c>
      <c r="H600" s="518" t="s">
        <v>4287</v>
      </c>
      <c r="I600" s="452" t="s">
        <v>11566</v>
      </c>
      <c r="J600" s="515" t="s">
        <v>753</v>
      </c>
      <c r="K600" s="452" t="s">
        <v>741</v>
      </c>
    </row>
    <row r="601" spans="1:11">
      <c r="A601" s="369"/>
      <c r="B601" s="143" t="s">
        <v>4288</v>
      </c>
      <c r="C601" s="196">
        <v>17</v>
      </c>
      <c r="D601" s="230">
        <f>C601*(1-VLOOKUP(I601,descuentos,6,FALSE))*fcl/IF(dol_sol="dólar", TC,1)</f>
        <v>4.9873432835820886</v>
      </c>
      <c r="E601" s="215">
        <v>2</v>
      </c>
      <c r="F601" s="511">
        <f>ROUNDUP(D601+E601,2)</f>
        <v>6.99</v>
      </c>
      <c r="G601" s="314" t="s">
        <v>4289</v>
      </c>
      <c r="H601" s="518" t="s">
        <v>4290</v>
      </c>
      <c r="I601" s="452" t="s">
        <v>11566</v>
      </c>
      <c r="J601" s="515" t="s">
        <v>753</v>
      </c>
      <c r="K601" s="452" t="s">
        <v>741</v>
      </c>
    </row>
    <row r="602" spans="1:11">
      <c r="A602" s="369"/>
      <c r="B602" s="143" t="s">
        <v>4291</v>
      </c>
      <c r="C602" s="196">
        <v>17</v>
      </c>
      <c r="D602" s="230">
        <f>C602*(1-VLOOKUP(I602,descuentos,6,FALSE))*fcl/IF(dol_sol="dólar", TC,1)</f>
        <v>4.9873432835820886</v>
      </c>
      <c r="E602" s="215">
        <v>2</v>
      </c>
      <c r="F602" s="511">
        <f>ROUNDUP(D602+E602,2)</f>
        <v>6.99</v>
      </c>
      <c r="G602" s="314" t="s">
        <v>4292</v>
      </c>
      <c r="H602" s="518" t="s">
        <v>4293</v>
      </c>
      <c r="I602" s="452" t="s">
        <v>11566</v>
      </c>
      <c r="J602" s="515" t="s">
        <v>753</v>
      </c>
      <c r="K602" s="452" t="s">
        <v>741</v>
      </c>
    </row>
    <row r="603" spans="1:11" s="317" customFormat="1">
      <c r="A603" s="369"/>
      <c r="B603" s="143"/>
      <c r="C603" s="196" t="s">
        <v>2024</v>
      </c>
      <c r="D603" s="230"/>
      <c r="E603" s="215"/>
      <c r="F603" s="511"/>
      <c r="G603" s="314"/>
      <c r="H603" s="518"/>
      <c r="I603" s="452"/>
      <c r="J603" s="515"/>
      <c r="K603" s="452"/>
    </row>
    <row r="604" spans="1:11" s="317" customFormat="1">
      <c r="A604" s="369"/>
      <c r="B604" s="143" t="s">
        <v>4294</v>
      </c>
      <c r="C604" s="196">
        <v>412</v>
      </c>
      <c r="D604" s="230">
        <f>C604*(1-VLOOKUP(I604,descuentos,6,FALSE))*fcl/IF(dol_sol="dólar", TC,1)</f>
        <v>120.86973134328353</v>
      </c>
      <c r="E604" s="215">
        <v>6</v>
      </c>
      <c r="F604" s="511">
        <f>ROUNDUP(D604+E604,2)</f>
        <v>126.87</v>
      </c>
      <c r="G604" s="314" t="s">
        <v>4295</v>
      </c>
      <c r="H604" s="518" t="s">
        <v>4296</v>
      </c>
      <c r="I604" s="452" t="s">
        <v>11566</v>
      </c>
      <c r="J604" s="515" t="s">
        <v>753</v>
      </c>
      <c r="K604" s="452" t="s">
        <v>741</v>
      </c>
    </row>
    <row r="605" spans="1:11" s="317" customFormat="1">
      <c r="A605" s="369"/>
      <c r="B605" s="143" t="s">
        <v>4278</v>
      </c>
      <c r="C605" s="196">
        <v>222</v>
      </c>
      <c r="D605" s="230">
        <f>C605*(1-VLOOKUP(I605,descuentos,6,FALSE))*fcl/IF(dol_sol="dólar", TC,1)</f>
        <v>65.128835820895503</v>
      </c>
      <c r="E605" s="215">
        <v>3</v>
      </c>
      <c r="F605" s="511">
        <f>ROUNDUP(D605+E605,2)</f>
        <v>68.13000000000001</v>
      </c>
      <c r="G605" s="314" t="s">
        <v>4279</v>
      </c>
      <c r="H605" s="518" t="s">
        <v>4280</v>
      </c>
      <c r="I605" s="452" t="s">
        <v>11566</v>
      </c>
      <c r="J605" s="515" t="s">
        <v>753</v>
      </c>
      <c r="K605" s="452" t="s">
        <v>741</v>
      </c>
    </row>
    <row r="606" spans="1:11" s="317" customFormat="1">
      <c r="A606" s="369"/>
      <c r="B606" s="143" t="s">
        <v>4297</v>
      </c>
      <c r="C606" s="196">
        <v>17</v>
      </c>
      <c r="D606" s="230">
        <f>C606*(1-VLOOKUP(I606,descuentos,6,FALSE))*fcl/IF(dol_sol="dólar", TC,1)</f>
        <v>4.9873432835820886</v>
      </c>
      <c r="E606" s="215">
        <v>2</v>
      </c>
      <c r="F606" s="511">
        <f>ROUNDUP(D606+E606,2)</f>
        <v>6.99</v>
      </c>
      <c r="G606" s="314" t="s">
        <v>4298</v>
      </c>
      <c r="H606" s="518" t="s">
        <v>4299</v>
      </c>
      <c r="I606" s="452" t="s">
        <v>11566</v>
      </c>
      <c r="J606" s="515" t="s">
        <v>753</v>
      </c>
      <c r="K606" s="452" t="s">
        <v>741</v>
      </c>
    </row>
    <row r="607" spans="1:11" s="317" customFormat="1">
      <c r="A607" s="369"/>
      <c r="B607" s="143" t="s">
        <v>4300</v>
      </c>
      <c r="C607" s="196">
        <v>17</v>
      </c>
      <c r="D607" s="230">
        <f>C607*(1-VLOOKUP(I607,descuentos,6,FALSE))*fcl/IF(dol_sol="dólar", TC,1)</f>
        <v>4.9873432835820886</v>
      </c>
      <c r="E607" s="215">
        <v>2</v>
      </c>
      <c r="F607" s="511">
        <f>ROUNDUP(D607+E607,2)</f>
        <v>6.99</v>
      </c>
      <c r="G607" s="314" t="s">
        <v>4301</v>
      </c>
      <c r="H607" s="518" t="s">
        <v>4302</v>
      </c>
      <c r="I607" s="452" t="s">
        <v>11566</v>
      </c>
      <c r="J607" s="515" t="s">
        <v>753</v>
      </c>
      <c r="K607" s="452" t="s">
        <v>741</v>
      </c>
    </row>
    <row r="608" spans="1:11" s="317" customFormat="1">
      <c r="A608" s="369"/>
      <c r="B608" s="143" t="s">
        <v>4303</v>
      </c>
      <c r="C608" s="196">
        <v>17</v>
      </c>
      <c r="D608" s="230">
        <f>C608*(1-VLOOKUP(I608,descuentos,6,FALSE))*fcl/IF(dol_sol="dólar", TC,1)</f>
        <v>4.9873432835820886</v>
      </c>
      <c r="E608" s="215">
        <v>2</v>
      </c>
      <c r="F608" s="511">
        <f>ROUNDUP(D608+E608,2)</f>
        <v>6.99</v>
      </c>
      <c r="G608" s="314" t="s">
        <v>4304</v>
      </c>
      <c r="H608" s="518" t="s">
        <v>4305</v>
      </c>
      <c r="I608" s="452" t="s">
        <v>11566</v>
      </c>
      <c r="J608" s="515" t="s">
        <v>753</v>
      </c>
      <c r="K608" s="452" t="s">
        <v>741</v>
      </c>
    </row>
    <row r="609" spans="1:11" s="317" customFormat="1">
      <c r="A609" s="369"/>
      <c r="B609" s="143"/>
      <c r="C609" s="196" t="s">
        <v>2024</v>
      </c>
      <c r="D609" s="230"/>
      <c r="E609" s="215"/>
      <c r="F609" s="511"/>
      <c r="G609" s="314"/>
      <c r="H609" s="518"/>
      <c r="I609" s="452"/>
      <c r="J609" s="515"/>
      <c r="K609" s="452"/>
    </row>
    <row r="610" spans="1:11" s="317" customFormat="1">
      <c r="A610" s="369"/>
      <c r="B610" s="143" t="s">
        <v>3178</v>
      </c>
      <c r="C610" s="196">
        <v>540.20000000000005</v>
      </c>
      <c r="D610" s="230">
        <f>C610*(1-VLOOKUP(I610,descuentos,6,FALSE))*fcl/IF(dol_sol="dólar", TC,1)</f>
        <v>158.48016716417908</v>
      </c>
      <c r="E610" s="215">
        <v>10</v>
      </c>
      <c r="F610" s="511">
        <f>ROUNDUP(D610+E610,2)</f>
        <v>168.48999999999998</v>
      </c>
      <c r="G610" s="314" t="s">
        <v>4306</v>
      </c>
      <c r="H610" s="518" t="s">
        <v>3177</v>
      </c>
      <c r="I610" s="452" t="s">
        <v>11566</v>
      </c>
      <c r="J610" s="515" t="s">
        <v>753</v>
      </c>
      <c r="K610" s="452" t="s">
        <v>741</v>
      </c>
    </row>
    <row r="611" spans="1:11" s="315" customFormat="1">
      <c r="A611" s="369"/>
      <c r="B611" s="143"/>
      <c r="C611" s="196" t="s">
        <v>2024</v>
      </c>
      <c r="D611" s="230"/>
      <c r="E611" s="215"/>
      <c r="F611" s="511"/>
      <c r="G611" s="314"/>
      <c r="H611" s="518"/>
      <c r="I611" s="452"/>
      <c r="J611" s="515"/>
      <c r="K611" s="452"/>
    </row>
    <row r="612" spans="1:11" s="315" customFormat="1">
      <c r="A612" s="369"/>
      <c r="B612" s="143" t="s">
        <v>4307</v>
      </c>
      <c r="C612" s="196">
        <v>171.4</v>
      </c>
      <c r="D612" s="230">
        <f>C612*(1-VLOOKUP(I612,descuentos,6,FALSE))*fcl/IF(dol_sol="dólar", TC,1)</f>
        <v>50.284155223880589</v>
      </c>
      <c r="E612" s="215">
        <v>10</v>
      </c>
      <c r="F612" s="511">
        <f>ROUNDUP(D612+E612,2)</f>
        <v>60.29</v>
      </c>
      <c r="G612" s="314" t="s">
        <v>4308</v>
      </c>
      <c r="H612" s="518" t="s">
        <v>4309</v>
      </c>
      <c r="I612" s="452" t="s">
        <v>11566</v>
      </c>
      <c r="J612" s="515" t="s">
        <v>753</v>
      </c>
      <c r="K612" s="452" t="s">
        <v>741</v>
      </c>
    </row>
    <row r="613" spans="1:11" s="315" customFormat="1">
      <c r="A613" s="369"/>
      <c r="B613" s="143" t="s">
        <v>3533</v>
      </c>
      <c r="C613" s="196">
        <v>171.4</v>
      </c>
      <c r="D613" s="230">
        <f>C613*(1-VLOOKUP(I613,descuentos,6,FALSE))*fcl/IF(dol_sol="dólar", TC,1)</f>
        <v>50.284155223880589</v>
      </c>
      <c r="E613" s="215">
        <v>10</v>
      </c>
      <c r="F613" s="511">
        <f>ROUNDUP(D613+E613,2)</f>
        <v>60.29</v>
      </c>
      <c r="G613" s="314" t="s">
        <v>3534</v>
      </c>
      <c r="H613" s="518" t="s">
        <v>3535</v>
      </c>
      <c r="I613" s="452" t="s">
        <v>11566</v>
      </c>
      <c r="J613" s="515" t="s">
        <v>753</v>
      </c>
      <c r="K613" s="452" t="s">
        <v>741</v>
      </c>
    </row>
    <row r="614" spans="1:11" s="317" customFormat="1">
      <c r="A614" s="369"/>
      <c r="B614" s="143" t="s">
        <v>3180</v>
      </c>
      <c r="C614" s="196">
        <v>157.29999999999998</v>
      </c>
      <c r="D614" s="230">
        <f>C614*(1-VLOOKUP(I614,descuentos,6,FALSE))*fcl/IF(dol_sol="dólar", TC,1)</f>
        <v>46.147594029850723</v>
      </c>
      <c r="E614" s="215">
        <v>10</v>
      </c>
      <c r="F614" s="511">
        <f>ROUNDUP(D614+E614,2)</f>
        <v>56.15</v>
      </c>
      <c r="G614" s="314" t="s">
        <v>3181</v>
      </c>
      <c r="H614" s="518" t="s">
        <v>3179</v>
      </c>
      <c r="I614" s="452" t="s">
        <v>11566</v>
      </c>
      <c r="J614" s="515" t="s">
        <v>753</v>
      </c>
      <c r="K614" s="452" t="s">
        <v>741</v>
      </c>
    </row>
    <row r="615" spans="1:11" s="317" customFormat="1">
      <c r="A615" s="369"/>
      <c r="B615" s="143"/>
      <c r="C615" s="196" t="s">
        <v>2024</v>
      </c>
      <c r="D615" s="230"/>
      <c r="E615" s="215"/>
      <c r="F615" s="511"/>
      <c r="G615" s="314"/>
      <c r="H615" s="518"/>
      <c r="I615" s="452"/>
      <c r="J615" s="515"/>
      <c r="K615" s="452"/>
    </row>
    <row r="616" spans="1:11" s="317" customFormat="1">
      <c r="A616" s="369"/>
      <c r="B616" s="143" t="s">
        <v>13496</v>
      </c>
      <c r="C616" s="196">
        <v>433.90000000000003</v>
      </c>
      <c r="D616" s="230">
        <f>C616*(1-VLOOKUP(I616,descuentos,6,FALSE))*fcl/IF(dol_sol="dólar", TC,1)</f>
        <v>127.2946029850746</v>
      </c>
      <c r="E616" s="215">
        <v>10</v>
      </c>
      <c r="F616" s="511">
        <f>ROUNDUP(D616+E616,2)</f>
        <v>137.29999999999998</v>
      </c>
      <c r="G616" s="314" t="s">
        <v>13497</v>
      </c>
      <c r="H616" s="518" t="s">
        <v>13498</v>
      </c>
      <c r="I616" s="452" t="s">
        <v>11566</v>
      </c>
      <c r="J616" s="515" t="s">
        <v>753</v>
      </c>
      <c r="K616" s="452" t="s">
        <v>741</v>
      </c>
    </row>
    <row r="617" spans="1:11" s="317" customFormat="1">
      <c r="A617" s="369"/>
      <c r="B617" s="143"/>
      <c r="C617" s="196" t="s">
        <v>2024</v>
      </c>
      <c r="D617" s="230"/>
      <c r="E617" s="215"/>
      <c r="F617" s="511"/>
      <c r="G617" s="314"/>
      <c r="H617" s="518"/>
      <c r="I617" s="452"/>
      <c r="J617" s="515"/>
      <c r="K617" s="452"/>
    </row>
    <row r="618" spans="1:11" s="317" customFormat="1">
      <c r="A618" s="369"/>
      <c r="B618" s="143"/>
      <c r="C618" s="196" t="s">
        <v>2024</v>
      </c>
      <c r="D618" s="230"/>
      <c r="E618" s="215"/>
      <c r="F618" s="511"/>
      <c r="G618" s="314"/>
      <c r="H618" s="518"/>
      <c r="I618" s="452"/>
      <c r="J618" s="515"/>
      <c r="K618" s="452"/>
    </row>
    <row r="619" spans="1:11" s="317" customFormat="1">
      <c r="A619" s="369"/>
      <c r="B619" s="1448" t="s">
        <v>6497</v>
      </c>
      <c r="C619" s="346" t="s">
        <v>2024</v>
      </c>
      <c r="D619" s="345"/>
      <c r="E619" s="343"/>
      <c r="F619" s="508"/>
      <c r="G619" s="351"/>
      <c r="H619" s="506"/>
      <c r="I619" s="546"/>
      <c r="J619" s="1449"/>
      <c r="K619" s="546"/>
    </row>
    <row r="620" spans="1:11" s="317" customFormat="1">
      <c r="A620" s="369"/>
      <c r="B620" s="143"/>
      <c r="C620" s="196" t="s">
        <v>2024</v>
      </c>
      <c r="D620" s="230"/>
      <c r="E620" s="215"/>
      <c r="F620" s="511"/>
      <c r="G620" s="314"/>
      <c r="H620" s="518"/>
      <c r="I620" s="452"/>
      <c r="J620" s="515"/>
      <c r="K620" s="452"/>
    </row>
    <row r="621" spans="1:11" s="317" customFormat="1">
      <c r="A621" s="1467"/>
      <c r="B621" s="314" t="s">
        <v>6498</v>
      </c>
      <c r="C621" s="196">
        <v>134</v>
      </c>
      <c r="D621" s="230">
        <f t="shared" ref="D621:D629" si="95">C621*(1-VLOOKUP(I621,descuentos,6,FALSE))*fcl/IF(dol_sol="dólar", TC,1)</f>
        <v>41.162727272727274</v>
      </c>
      <c r="E621" s="417">
        <v>10</v>
      </c>
      <c r="F621" s="511">
        <f t="shared" ref="F621:F629" si="96">ROUNDUP(D621+E621,2)</f>
        <v>51.169999999999995</v>
      </c>
      <c r="G621" s="314" t="s">
        <v>13373</v>
      </c>
      <c r="H621" s="518" t="s">
        <v>6499</v>
      </c>
      <c r="I621" s="452" t="s">
        <v>11565</v>
      </c>
      <c r="J621" s="369" t="s">
        <v>753</v>
      </c>
      <c r="K621" s="452" t="s">
        <v>741</v>
      </c>
    </row>
    <row r="622" spans="1:11" s="317" customFormat="1">
      <c r="A622" s="1362"/>
      <c r="B622" s="314" t="s">
        <v>11671</v>
      </c>
      <c r="C622" s="196">
        <v>134</v>
      </c>
      <c r="D622" s="230">
        <f t="shared" ref="D622" si="97">C622*(1-VLOOKUP(I622,descuentos,6,FALSE))*fcl/IF(dol_sol="dólar", TC,1)</f>
        <v>41.162727272727274</v>
      </c>
      <c r="E622" s="417">
        <v>10</v>
      </c>
      <c r="F622" s="511">
        <f t="shared" si="96"/>
        <v>51.169999999999995</v>
      </c>
      <c r="G622" s="314" t="s">
        <v>11672</v>
      </c>
      <c r="H622" s="518" t="s">
        <v>11673</v>
      </c>
      <c r="I622" s="452" t="s">
        <v>11565</v>
      </c>
      <c r="J622" s="369" t="s">
        <v>753</v>
      </c>
      <c r="K622" s="452" t="s">
        <v>741</v>
      </c>
    </row>
    <row r="623" spans="1:11" s="317" customFormat="1">
      <c r="A623" s="1362"/>
      <c r="B623" s="314" t="s">
        <v>4787</v>
      </c>
      <c r="C623" s="196">
        <v>134</v>
      </c>
      <c r="D623" s="230">
        <f t="shared" si="95"/>
        <v>41.162727272727274</v>
      </c>
      <c r="E623" s="417">
        <v>10</v>
      </c>
      <c r="F623" s="511">
        <f t="shared" si="96"/>
        <v>51.169999999999995</v>
      </c>
      <c r="G623" s="314" t="s">
        <v>4788</v>
      </c>
      <c r="H623" s="518" t="s">
        <v>4789</v>
      </c>
      <c r="I623" s="452" t="s">
        <v>11565</v>
      </c>
      <c r="J623" s="369" t="s">
        <v>753</v>
      </c>
      <c r="K623" s="452" t="s">
        <v>741</v>
      </c>
    </row>
    <row r="624" spans="1:11" s="317" customFormat="1">
      <c r="A624" s="1362"/>
      <c r="B624" s="314" t="s">
        <v>6500</v>
      </c>
      <c r="C624" s="196">
        <v>134</v>
      </c>
      <c r="D624" s="230">
        <f t="shared" si="95"/>
        <v>41.162727272727274</v>
      </c>
      <c r="E624" s="417">
        <v>10</v>
      </c>
      <c r="F624" s="511">
        <f t="shared" si="96"/>
        <v>51.169999999999995</v>
      </c>
      <c r="G624" s="314" t="s">
        <v>6501</v>
      </c>
      <c r="H624" s="518" t="s">
        <v>6502</v>
      </c>
      <c r="I624" s="452" t="s">
        <v>11565</v>
      </c>
      <c r="J624" s="369" t="s">
        <v>753</v>
      </c>
      <c r="K624" s="452" t="s">
        <v>741</v>
      </c>
    </row>
    <row r="625" spans="1:11" s="317" customFormat="1">
      <c r="A625" s="1362"/>
      <c r="B625" s="314" t="s">
        <v>6503</v>
      </c>
      <c r="C625" s="196">
        <v>141</v>
      </c>
      <c r="D625" s="230">
        <f t="shared" ref="D625" si="98">C625*(1-VLOOKUP(I625,descuentos,6,FALSE))*fcl/IF(dol_sol="dólar", TC,1)</f>
        <v>43.31301899592944</v>
      </c>
      <c r="E625" s="417">
        <v>10</v>
      </c>
      <c r="F625" s="511">
        <f t="shared" si="96"/>
        <v>53.32</v>
      </c>
      <c r="G625" s="314" t="s">
        <v>6504</v>
      </c>
      <c r="H625" s="518" t="s">
        <v>6505</v>
      </c>
      <c r="I625" s="452" t="s">
        <v>11565</v>
      </c>
      <c r="J625" s="369" t="s">
        <v>753</v>
      </c>
      <c r="K625" s="452" t="s">
        <v>741</v>
      </c>
    </row>
    <row r="626" spans="1:11" s="317" customFormat="1">
      <c r="A626" s="1362"/>
      <c r="B626" s="314" t="s">
        <v>11674</v>
      </c>
      <c r="C626" s="196">
        <v>141</v>
      </c>
      <c r="D626" s="230">
        <f t="shared" si="95"/>
        <v>43.31301899592944</v>
      </c>
      <c r="E626" s="417">
        <v>10</v>
      </c>
      <c r="F626" s="511">
        <f t="shared" si="96"/>
        <v>53.32</v>
      </c>
      <c r="G626" s="314" t="s">
        <v>11675</v>
      </c>
      <c r="H626" s="518" t="s">
        <v>11676</v>
      </c>
      <c r="I626" s="452" t="s">
        <v>11565</v>
      </c>
      <c r="J626" s="369" t="s">
        <v>753</v>
      </c>
      <c r="K626" s="452" t="s">
        <v>741</v>
      </c>
    </row>
    <row r="627" spans="1:11" s="317" customFormat="1">
      <c r="A627" s="1362"/>
      <c r="B627" s="314" t="s">
        <v>9438</v>
      </c>
      <c r="C627" s="196">
        <v>141</v>
      </c>
      <c r="D627" s="230">
        <f t="shared" si="95"/>
        <v>43.31301899592944</v>
      </c>
      <c r="E627" s="417">
        <v>10</v>
      </c>
      <c r="F627" s="511">
        <f t="shared" si="96"/>
        <v>53.32</v>
      </c>
      <c r="G627" s="314" t="s">
        <v>9439</v>
      </c>
      <c r="H627" s="518" t="s">
        <v>9440</v>
      </c>
      <c r="I627" s="452" t="s">
        <v>11565</v>
      </c>
      <c r="J627" s="369" t="s">
        <v>753</v>
      </c>
      <c r="K627" s="452" t="s">
        <v>741</v>
      </c>
    </row>
    <row r="628" spans="1:11" s="317" customFormat="1">
      <c r="A628" s="1362"/>
      <c r="B628" s="314" t="s">
        <v>13374</v>
      </c>
      <c r="C628" s="196">
        <v>141</v>
      </c>
      <c r="D628" s="230">
        <f t="shared" ref="D628" si="99">C628*(1-VLOOKUP(I628,descuentos,6,FALSE))*fcl/IF(dol_sol="dólar", TC,1)</f>
        <v>43.31301899592944</v>
      </c>
      <c r="E628" s="417">
        <v>10</v>
      </c>
      <c r="F628" s="511">
        <f t="shared" si="96"/>
        <v>53.32</v>
      </c>
      <c r="G628" s="314" t="s">
        <v>13375</v>
      </c>
      <c r="H628" s="518" t="s">
        <v>13376</v>
      </c>
      <c r="I628" s="452" t="s">
        <v>11565</v>
      </c>
      <c r="J628" s="369" t="s">
        <v>753</v>
      </c>
      <c r="K628" s="452" t="s">
        <v>741</v>
      </c>
    </row>
    <row r="629" spans="1:11" s="317" customFormat="1">
      <c r="A629" s="1362"/>
      <c r="B629" s="314" t="s">
        <v>11157</v>
      </c>
      <c r="C629" s="196">
        <v>196</v>
      </c>
      <c r="D629" s="230">
        <f t="shared" si="95"/>
        <v>60.208168249660787</v>
      </c>
      <c r="E629" s="417">
        <v>10</v>
      </c>
      <c r="F629" s="511">
        <f t="shared" si="96"/>
        <v>70.210000000000008</v>
      </c>
      <c r="G629" s="314" t="s">
        <v>13377</v>
      </c>
      <c r="H629" s="518" t="s">
        <v>11158</v>
      </c>
      <c r="I629" s="452" t="s">
        <v>11565</v>
      </c>
      <c r="J629" s="369" t="s">
        <v>753</v>
      </c>
      <c r="K629" s="452" t="s">
        <v>741</v>
      </c>
    </row>
    <row r="630" spans="1:11" s="317" customFormat="1">
      <c r="A630" s="369"/>
      <c r="B630" s="143"/>
      <c r="C630" s="196" t="s">
        <v>2024</v>
      </c>
      <c r="D630" s="230"/>
      <c r="E630" s="215"/>
      <c r="F630" s="511"/>
      <c r="G630" s="314"/>
      <c r="H630" s="518"/>
      <c r="I630" s="452"/>
      <c r="J630" s="515"/>
      <c r="K630" s="452"/>
    </row>
    <row r="631" spans="1:11" s="317" customFormat="1">
      <c r="A631" s="369"/>
      <c r="B631" s="314" t="s">
        <v>3585</v>
      </c>
      <c r="C631" s="196">
        <v>163</v>
      </c>
      <c r="D631" s="230">
        <f>C631*(1-VLOOKUP(I631,descuentos,6,FALSE))*fcl/IF(dol_sol="dólar", TC,1)</f>
        <v>50.071078697421981</v>
      </c>
      <c r="E631" s="417">
        <v>10</v>
      </c>
      <c r="F631" s="511">
        <f t="shared" ref="F631:F768" si="100">ROUNDUP(D631+E631,2)</f>
        <v>60.08</v>
      </c>
      <c r="G631" s="314" t="s">
        <v>13378</v>
      </c>
      <c r="H631" s="518" t="s">
        <v>3586</v>
      </c>
      <c r="I631" s="452" t="s">
        <v>11565</v>
      </c>
      <c r="J631" s="369" t="s">
        <v>753</v>
      </c>
      <c r="K631" s="452" t="s">
        <v>741</v>
      </c>
    </row>
    <row r="632" spans="1:11" s="317" customFormat="1">
      <c r="A632" s="369"/>
      <c r="B632" s="314" t="s">
        <v>1172</v>
      </c>
      <c r="C632" s="196">
        <v>162</v>
      </c>
      <c r="D632" s="230">
        <f t="shared" ref="D632:D638" si="101">C632*(1-VLOOKUP(I632,descuentos,6,FALSE))*fcl/IF(dol_sol="dólar", TC,1)</f>
        <v>49.763894165535945</v>
      </c>
      <c r="E632" s="417">
        <v>10</v>
      </c>
      <c r="F632" s="511">
        <f t="shared" si="100"/>
        <v>59.769999999999996</v>
      </c>
      <c r="G632" s="314" t="s">
        <v>4310</v>
      </c>
      <c r="H632" s="518" t="s">
        <v>1179</v>
      </c>
      <c r="I632" s="452" t="s">
        <v>11565</v>
      </c>
      <c r="J632" s="369" t="s">
        <v>753</v>
      </c>
      <c r="K632" s="452" t="s">
        <v>741</v>
      </c>
    </row>
    <row r="633" spans="1:11" s="317" customFormat="1">
      <c r="A633" s="369"/>
      <c r="B633" s="314" t="s">
        <v>1173</v>
      </c>
      <c r="C633" s="196">
        <v>162</v>
      </c>
      <c r="D633" s="230">
        <f t="shared" si="101"/>
        <v>49.763894165535945</v>
      </c>
      <c r="E633" s="417">
        <v>10</v>
      </c>
      <c r="F633" s="511">
        <f t="shared" si="100"/>
        <v>59.769999999999996</v>
      </c>
      <c r="G633" s="314" t="s">
        <v>4311</v>
      </c>
      <c r="H633" s="518" t="s">
        <v>1180</v>
      </c>
      <c r="I633" s="452" t="s">
        <v>11565</v>
      </c>
      <c r="J633" s="369" t="s">
        <v>753</v>
      </c>
      <c r="K633" s="452" t="s">
        <v>741</v>
      </c>
    </row>
    <row r="634" spans="1:11" s="317" customFormat="1">
      <c r="A634" s="369"/>
      <c r="B634" s="314" t="s">
        <v>1174</v>
      </c>
      <c r="C634" s="196">
        <v>162</v>
      </c>
      <c r="D634" s="230">
        <f t="shared" si="101"/>
        <v>49.763894165535945</v>
      </c>
      <c r="E634" s="417">
        <v>10</v>
      </c>
      <c r="F634" s="511">
        <f t="shared" si="100"/>
        <v>59.769999999999996</v>
      </c>
      <c r="G634" s="314" t="s">
        <v>4312</v>
      </c>
      <c r="H634" s="518" t="s">
        <v>1181</v>
      </c>
      <c r="I634" s="452" t="s">
        <v>11565</v>
      </c>
      <c r="J634" s="369" t="s">
        <v>753</v>
      </c>
      <c r="K634" s="452" t="s">
        <v>741</v>
      </c>
    </row>
    <row r="635" spans="1:11" s="317" customFormat="1">
      <c r="A635" s="369"/>
      <c r="B635" s="314" t="s">
        <v>1175</v>
      </c>
      <c r="C635" s="196">
        <v>162</v>
      </c>
      <c r="D635" s="230">
        <f t="shared" si="101"/>
        <v>49.763894165535945</v>
      </c>
      <c r="E635" s="417">
        <v>10</v>
      </c>
      <c r="F635" s="511">
        <f t="shared" si="100"/>
        <v>59.769999999999996</v>
      </c>
      <c r="G635" s="314" t="s">
        <v>4313</v>
      </c>
      <c r="H635" s="518" t="s">
        <v>1182</v>
      </c>
      <c r="I635" s="452" t="s">
        <v>11565</v>
      </c>
      <c r="J635" s="369" t="s">
        <v>753</v>
      </c>
      <c r="K635" s="452" t="s">
        <v>741</v>
      </c>
    </row>
    <row r="636" spans="1:11" s="317" customFormat="1">
      <c r="A636" s="369"/>
      <c r="B636" s="314" t="s">
        <v>1176</v>
      </c>
      <c r="C636" s="196">
        <v>162</v>
      </c>
      <c r="D636" s="230">
        <f t="shared" si="101"/>
        <v>49.763894165535945</v>
      </c>
      <c r="E636" s="417">
        <v>10</v>
      </c>
      <c r="F636" s="511">
        <f t="shared" si="100"/>
        <v>59.769999999999996</v>
      </c>
      <c r="G636" s="314" t="s">
        <v>4314</v>
      </c>
      <c r="H636" s="518" t="s">
        <v>1183</v>
      </c>
      <c r="I636" s="452" t="s">
        <v>11565</v>
      </c>
      <c r="J636" s="369" t="s">
        <v>753</v>
      </c>
      <c r="K636" s="452" t="s">
        <v>741</v>
      </c>
    </row>
    <row r="637" spans="1:11" s="317" customFormat="1">
      <c r="A637" s="369"/>
      <c r="B637" s="318" t="s">
        <v>13499</v>
      </c>
      <c r="C637" s="196">
        <v>175</v>
      </c>
      <c r="D637" s="230">
        <f t="shared" si="101"/>
        <v>53.757293080054275</v>
      </c>
      <c r="E637" s="417">
        <v>10</v>
      </c>
      <c r="F637" s="511">
        <f t="shared" si="100"/>
        <v>63.76</v>
      </c>
      <c r="G637" s="314" t="s">
        <v>4315</v>
      </c>
      <c r="H637" s="518" t="s">
        <v>1184</v>
      </c>
      <c r="I637" s="452" t="s">
        <v>11565</v>
      </c>
      <c r="J637" s="369" t="s">
        <v>753</v>
      </c>
      <c r="K637" s="452" t="s">
        <v>741</v>
      </c>
    </row>
    <row r="638" spans="1:11" s="317" customFormat="1">
      <c r="A638" s="369"/>
      <c r="B638" s="314" t="s">
        <v>1178</v>
      </c>
      <c r="C638" s="196">
        <v>175</v>
      </c>
      <c r="D638" s="230">
        <f t="shared" si="101"/>
        <v>53.757293080054275</v>
      </c>
      <c r="E638" s="417">
        <v>10</v>
      </c>
      <c r="F638" s="511">
        <f t="shared" si="100"/>
        <v>63.76</v>
      </c>
      <c r="G638" s="314" t="s">
        <v>4316</v>
      </c>
      <c r="H638" s="518" t="s">
        <v>1185</v>
      </c>
      <c r="I638" s="452" t="s">
        <v>11565</v>
      </c>
      <c r="J638" s="369" t="s">
        <v>753</v>
      </c>
      <c r="K638" s="452" t="s">
        <v>741</v>
      </c>
    </row>
    <row r="639" spans="1:11" s="317" customFormat="1">
      <c r="A639" s="369"/>
      <c r="B639" s="547" t="s">
        <v>2089</v>
      </c>
      <c r="C639" s="196">
        <v>176</v>
      </c>
      <c r="D639" s="230">
        <f>C639*(1-VLOOKUP(I639,descuentos,6,FALSE))*fcl/IF(dol_sol="dólar", TC,1)</f>
        <v>54.064477611940291</v>
      </c>
      <c r="E639" s="417">
        <v>10</v>
      </c>
      <c r="F639" s="511">
        <f t="shared" si="100"/>
        <v>64.070000000000007</v>
      </c>
      <c r="G639" s="547" t="s">
        <v>4317</v>
      </c>
      <c r="H639" s="518" t="s">
        <v>2090</v>
      </c>
      <c r="I639" s="452" t="s">
        <v>11565</v>
      </c>
      <c r="J639" s="369" t="s">
        <v>753</v>
      </c>
      <c r="K639" s="452" t="s">
        <v>741</v>
      </c>
    </row>
    <row r="640" spans="1:11" s="317" customFormat="1">
      <c r="A640" s="369"/>
      <c r="B640" s="547" t="s">
        <v>2589</v>
      </c>
      <c r="C640" s="196">
        <v>176</v>
      </c>
      <c r="D640" s="230">
        <f>C640*(1-VLOOKUP(I640,descuentos,6,FALSE))*fcl/IF(dol_sol="dólar", TC,1)</f>
        <v>54.064477611940291</v>
      </c>
      <c r="E640" s="417">
        <v>10</v>
      </c>
      <c r="F640" s="511">
        <f t="shared" si="100"/>
        <v>64.070000000000007</v>
      </c>
      <c r="G640" s="547" t="s">
        <v>4318</v>
      </c>
      <c r="H640" s="518" t="s">
        <v>2590</v>
      </c>
      <c r="I640" s="452" t="s">
        <v>11565</v>
      </c>
      <c r="J640" s="369" t="s">
        <v>753</v>
      </c>
      <c r="K640" s="452" t="s">
        <v>741</v>
      </c>
    </row>
    <row r="641" spans="1:11" s="317" customFormat="1">
      <c r="A641" s="369"/>
      <c r="B641" s="547" t="s">
        <v>2591</v>
      </c>
      <c r="C641" s="196">
        <v>176</v>
      </c>
      <c r="D641" s="230">
        <f>C641*(1-VLOOKUP(I641,descuentos,6,FALSE))*fcl/IF(dol_sol="dólar", TC,1)</f>
        <v>54.064477611940291</v>
      </c>
      <c r="E641" s="417">
        <v>10</v>
      </c>
      <c r="F641" s="511">
        <f t="shared" si="100"/>
        <v>64.070000000000007</v>
      </c>
      <c r="G641" s="547" t="s">
        <v>4319</v>
      </c>
      <c r="H641" s="518" t="s">
        <v>2592</v>
      </c>
      <c r="I641" s="452" t="s">
        <v>11565</v>
      </c>
      <c r="J641" s="369" t="s">
        <v>753</v>
      </c>
      <c r="K641" s="452" t="s">
        <v>741</v>
      </c>
    </row>
    <row r="642" spans="1:11" s="317" customFormat="1">
      <c r="A642" s="369"/>
      <c r="B642" s="547" t="s">
        <v>2593</v>
      </c>
      <c r="C642" s="196">
        <v>176</v>
      </c>
      <c r="D642" s="230">
        <f>C642*(1-VLOOKUP(I642,descuentos,6,FALSE))*fcl/IF(dol_sol="dólar", TC,1)</f>
        <v>54.064477611940291</v>
      </c>
      <c r="E642" s="417">
        <v>10</v>
      </c>
      <c r="F642" s="511">
        <f t="shared" si="100"/>
        <v>64.070000000000007</v>
      </c>
      <c r="G642" s="547" t="s">
        <v>4320</v>
      </c>
      <c r="H642" s="518" t="s">
        <v>2594</v>
      </c>
      <c r="I642" s="452" t="s">
        <v>11565</v>
      </c>
      <c r="J642" s="369" t="s">
        <v>753</v>
      </c>
      <c r="K642" s="452" t="s">
        <v>741</v>
      </c>
    </row>
    <row r="643" spans="1:11" s="317" customFormat="1">
      <c r="A643" s="369"/>
      <c r="B643" s="547" t="s">
        <v>3531</v>
      </c>
      <c r="C643" s="196">
        <v>245</v>
      </c>
      <c r="D643" s="230">
        <f>C643*(1-VLOOKUP(I643,descuentos,6,FALSE))*fcl/IF(dol_sol="dólar", TC,1)</f>
        <v>75.260210312075984</v>
      </c>
      <c r="E643" s="417">
        <v>10</v>
      </c>
      <c r="F643" s="511">
        <f t="shared" si="100"/>
        <v>85.27000000000001</v>
      </c>
      <c r="G643" s="547" t="s">
        <v>4321</v>
      </c>
      <c r="H643" s="518" t="s">
        <v>3532</v>
      </c>
      <c r="I643" s="452" t="s">
        <v>11565</v>
      </c>
      <c r="J643" s="369" t="s">
        <v>753</v>
      </c>
      <c r="K643" s="452" t="s">
        <v>741</v>
      </c>
    </row>
    <row r="644" spans="1:11" s="317" customFormat="1">
      <c r="A644" s="369"/>
      <c r="B644" s="314"/>
      <c r="C644" s="196" t="s">
        <v>2024</v>
      </c>
      <c r="D644" s="230"/>
      <c r="E644" s="215"/>
      <c r="F644" s="511"/>
      <c r="G644" s="314"/>
      <c r="H644" s="518"/>
      <c r="I644" s="452"/>
      <c r="J644" s="369"/>
      <c r="K644" s="452"/>
    </row>
    <row r="645" spans="1:11" s="317" customFormat="1">
      <c r="A645" s="2304"/>
      <c r="B645" s="314" t="s">
        <v>1177</v>
      </c>
      <c r="C645" s="196">
        <v>166</v>
      </c>
      <c r="D645" s="230">
        <f t="shared" ref="D645" si="102">C645*(1-VLOOKUP(I645,descuentos,6,FALSE))*fcl/IF(dol_sol="dólar", TC,1)</f>
        <v>50.992632293080042</v>
      </c>
      <c r="E645" s="417">
        <v>10</v>
      </c>
      <c r="F645" s="511">
        <f t="shared" ref="F645" si="103">ROUNDUP(D645+E645,2)</f>
        <v>61</v>
      </c>
      <c r="G645" s="314" t="s">
        <v>4315</v>
      </c>
      <c r="H645" s="518" t="s">
        <v>13500</v>
      </c>
      <c r="I645" s="452" t="s">
        <v>11565</v>
      </c>
      <c r="J645" s="369" t="s">
        <v>753</v>
      </c>
      <c r="K645" s="452" t="s">
        <v>741</v>
      </c>
    </row>
    <row r="646" spans="1:11" s="317" customFormat="1">
      <c r="A646" s="369"/>
      <c r="B646" s="314"/>
      <c r="C646" s="196" t="s">
        <v>2024</v>
      </c>
      <c r="D646" s="230"/>
      <c r="E646" s="215"/>
      <c r="F646" s="511"/>
      <c r="G646" s="314"/>
      <c r="H646" s="518"/>
      <c r="I646" s="452"/>
      <c r="J646" s="369"/>
      <c r="K646" s="452"/>
    </row>
    <row r="647" spans="1:11" s="315" customFormat="1">
      <c r="A647" s="369"/>
      <c r="B647" s="314" t="s">
        <v>3529</v>
      </c>
      <c r="C647" s="196">
        <v>237</v>
      </c>
      <c r="D647" s="230">
        <f>C647*(1-VLOOKUP(I647,descuentos,6,FALSE))*fcl/IF(dol_sol="dólar", TC,1)</f>
        <v>72.802734056987788</v>
      </c>
      <c r="E647" s="417">
        <v>15</v>
      </c>
      <c r="F647" s="511">
        <f t="shared" si="100"/>
        <v>87.81</v>
      </c>
      <c r="G647" s="314" t="s">
        <v>4322</v>
      </c>
      <c r="H647" s="518" t="s">
        <v>3530</v>
      </c>
      <c r="I647" s="452" t="s">
        <v>11565</v>
      </c>
      <c r="J647" s="369" t="s">
        <v>753</v>
      </c>
      <c r="K647" s="452" t="s">
        <v>741</v>
      </c>
    </row>
    <row r="648" spans="1:11" s="315" customFormat="1">
      <c r="A648" s="369"/>
      <c r="B648" s="314" t="s">
        <v>9441</v>
      </c>
      <c r="C648" s="196">
        <v>244</v>
      </c>
      <c r="D648" s="230">
        <f t="shared" ref="D648" si="104">C648*(1-VLOOKUP(I648,descuentos,6,FALSE))*fcl/IF(dol_sol="dólar", TC,1)</f>
        <v>74.953025780189961</v>
      </c>
      <c r="E648" s="417">
        <v>15</v>
      </c>
      <c r="F648" s="511">
        <f t="shared" si="100"/>
        <v>89.960000000000008</v>
      </c>
      <c r="G648" s="314" t="s">
        <v>9442</v>
      </c>
      <c r="H648" s="518" t="s">
        <v>9443</v>
      </c>
      <c r="I648" s="452" t="s">
        <v>11565</v>
      </c>
      <c r="J648" s="369" t="s">
        <v>753</v>
      </c>
      <c r="K648" s="452" t="s">
        <v>741</v>
      </c>
    </row>
    <row r="649" spans="1:11" s="315" customFormat="1">
      <c r="A649" s="369"/>
      <c r="B649" s="314" t="s">
        <v>1186</v>
      </c>
      <c r="C649" s="196">
        <v>235</v>
      </c>
      <c r="D649" s="230">
        <f t="shared" ref="D649:D659" si="105">C649*(1-VLOOKUP(I649,descuentos,6,FALSE))*fcl/IF(dol_sol="dólar", TC,1)</f>
        <v>72.188364993215728</v>
      </c>
      <c r="E649" s="417">
        <v>15</v>
      </c>
      <c r="F649" s="511">
        <f t="shared" si="100"/>
        <v>87.190000000000012</v>
      </c>
      <c r="G649" s="314" t="s">
        <v>4323</v>
      </c>
      <c r="H649" s="518" t="s">
        <v>1195</v>
      </c>
      <c r="I649" s="452" t="s">
        <v>11565</v>
      </c>
      <c r="J649" s="369" t="s">
        <v>753</v>
      </c>
      <c r="K649" s="452" t="s">
        <v>741</v>
      </c>
    </row>
    <row r="650" spans="1:11" s="317" customFormat="1">
      <c r="A650" s="369"/>
      <c r="B650" s="314" t="s">
        <v>1187</v>
      </c>
      <c r="C650" s="196">
        <v>235</v>
      </c>
      <c r="D650" s="230">
        <f t="shared" si="105"/>
        <v>72.188364993215728</v>
      </c>
      <c r="E650" s="417">
        <v>15</v>
      </c>
      <c r="F650" s="511">
        <f t="shared" si="100"/>
        <v>87.190000000000012</v>
      </c>
      <c r="G650" s="314" t="s">
        <v>4324</v>
      </c>
      <c r="H650" s="518" t="s">
        <v>1196</v>
      </c>
      <c r="I650" s="452" t="s">
        <v>11565</v>
      </c>
      <c r="J650" s="369" t="s">
        <v>753</v>
      </c>
      <c r="K650" s="452" t="s">
        <v>741</v>
      </c>
    </row>
    <row r="651" spans="1:11" s="317" customFormat="1">
      <c r="A651" s="369"/>
      <c r="B651" s="314" t="s">
        <v>4775</v>
      </c>
      <c r="C651" s="196">
        <v>235</v>
      </c>
      <c r="D651" s="230">
        <f t="shared" si="105"/>
        <v>72.188364993215728</v>
      </c>
      <c r="E651" s="417">
        <v>15</v>
      </c>
      <c r="F651" s="511">
        <f t="shared" si="100"/>
        <v>87.190000000000012</v>
      </c>
      <c r="G651" s="314" t="s">
        <v>4790</v>
      </c>
      <c r="H651" s="518" t="s">
        <v>1197</v>
      </c>
      <c r="I651" s="452" t="s">
        <v>11565</v>
      </c>
      <c r="J651" s="369" t="s">
        <v>753</v>
      </c>
      <c r="K651" s="452" t="s">
        <v>741</v>
      </c>
    </row>
    <row r="652" spans="1:11" s="317" customFormat="1">
      <c r="A652" s="369"/>
      <c r="B652" s="314" t="s">
        <v>1188</v>
      </c>
      <c r="C652" s="196">
        <v>235</v>
      </c>
      <c r="D652" s="230">
        <f t="shared" si="105"/>
        <v>72.188364993215728</v>
      </c>
      <c r="E652" s="417">
        <v>15</v>
      </c>
      <c r="F652" s="511">
        <f t="shared" si="100"/>
        <v>87.190000000000012</v>
      </c>
      <c r="G652" s="314" t="s">
        <v>4325</v>
      </c>
      <c r="H652" s="518" t="s">
        <v>1198</v>
      </c>
      <c r="I652" s="452" t="s">
        <v>11565</v>
      </c>
      <c r="J652" s="369" t="s">
        <v>753</v>
      </c>
      <c r="K652" s="452" t="s">
        <v>741</v>
      </c>
    </row>
    <row r="653" spans="1:11" s="317" customFormat="1">
      <c r="A653" s="369"/>
      <c r="B653" s="314" t="s">
        <v>1189</v>
      </c>
      <c r="C653" s="196">
        <v>235</v>
      </c>
      <c r="D653" s="230">
        <f t="shared" si="105"/>
        <v>72.188364993215728</v>
      </c>
      <c r="E653" s="417">
        <v>15</v>
      </c>
      <c r="F653" s="511">
        <f t="shared" si="100"/>
        <v>87.190000000000012</v>
      </c>
      <c r="G653" s="314" t="s">
        <v>4326</v>
      </c>
      <c r="H653" s="518" t="s">
        <v>1199</v>
      </c>
      <c r="I653" s="452" t="s">
        <v>11565</v>
      </c>
      <c r="J653" s="369" t="s">
        <v>753</v>
      </c>
      <c r="K653" s="452" t="s">
        <v>741</v>
      </c>
    </row>
    <row r="654" spans="1:11" s="317" customFormat="1">
      <c r="A654" s="369"/>
      <c r="B654" s="314" t="s">
        <v>4774</v>
      </c>
      <c r="C654" s="196">
        <v>235</v>
      </c>
      <c r="D654" s="230">
        <f t="shared" si="105"/>
        <v>72.188364993215728</v>
      </c>
      <c r="E654" s="417">
        <v>15</v>
      </c>
      <c r="F654" s="511">
        <f t="shared" si="100"/>
        <v>87.190000000000012</v>
      </c>
      <c r="G654" s="314" t="s">
        <v>4791</v>
      </c>
      <c r="H654" s="518" t="s">
        <v>1200</v>
      </c>
      <c r="I654" s="452" t="s">
        <v>11565</v>
      </c>
      <c r="J654" s="369" t="s">
        <v>753</v>
      </c>
      <c r="K654" s="452" t="s">
        <v>741</v>
      </c>
    </row>
    <row r="655" spans="1:11" s="317" customFormat="1">
      <c r="A655" s="369"/>
      <c r="B655" s="314" t="s">
        <v>1190</v>
      </c>
      <c r="C655" s="196">
        <v>235</v>
      </c>
      <c r="D655" s="230">
        <f t="shared" si="105"/>
        <v>72.188364993215728</v>
      </c>
      <c r="E655" s="417">
        <v>15</v>
      </c>
      <c r="F655" s="511">
        <f t="shared" si="100"/>
        <v>87.190000000000012</v>
      </c>
      <c r="G655" s="314" t="s">
        <v>4327</v>
      </c>
      <c r="H655" s="518" t="s">
        <v>1201</v>
      </c>
      <c r="I655" s="452" t="s">
        <v>11565</v>
      </c>
      <c r="J655" s="369" t="s">
        <v>753</v>
      </c>
      <c r="K655" s="452" t="s">
        <v>741</v>
      </c>
    </row>
    <row r="656" spans="1:11" s="317" customFormat="1">
      <c r="A656" s="369"/>
      <c r="B656" s="314" t="s">
        <v>1191</v>
      </c>
      <c r="C656" s="196">
        <v>248</v>
      </c>
      <c r="D656" s="230">
        <f t="shared" si="105"/>
        <v>76.181763907734052</v>
      </c>
      <c r="E656" s="417">
        <v>15</v>
      </c>
      <c r="F656" s="511">
        <f t="shared" si="100"/>
        <v>91.190000000000012</v>
      </c>
      <c r="G656" s="314" t="s">
        <v>4328</v>
      </c>
      <c r="H656" s="518" t="s">
        <v>1202</v>
      </c>
      <c r="I656" s="452" t="s">
        <v>11565</v>
      </c>
      <c r="J656" s="369" t="s">
        <v>753</v>
      </c>
      <c r="K656" s="452" t="s">
        <v>741</v>
      </c>
    </row>
    <row r="657" spans="1:11" s="317" customFormat="1">
      <c r="A657" s="369"/>
      <c r="B657" s="314" t="s">
        <v>1192</v>
      </c>
      <c r="C657" s="196">
        <v>248</v>
      </c>
      <c r="D657" s="230">
        <f t="shared" si="105"/>
        <v>76.181763907734052</v>
      </c>
      <c r="E657" s="417">
        <v>15</v>
      </c>
      <c r="F657" s="511">
        <f t="shared" si="100"/>
        <v>91.190000000000012</v>
      </c>
      <c r="G657" s="314" t="s">
        <v>4329</v>
      </c>
      <c r="H657" s="518" t="s">
        <v>1203</v>
      </c>
      <c r="I657" s="452" t="s">
        <v>11565</v>
      </c>
      <c r="J657" s="369" t="s">
        <v>753</v>
      </c>
      <c r="K657" s="452" t="s">
        <v>741</v>
      </c>
    </row>
    <row r="658" spans="1:11" s="317" customFormat="1">
      <c r="A658" s="369"/>
      <c r="B658" s="314" t="s">
        <v>1193</v>
      </c>
      <c r="C658" s="196">
        <v>248</v>
      </c>
      <c r="D658" s="230">
        <f t="shared" si="105"/>
        <v>76.181763907734052</v>
      </c>
      <c r="E658" s="417">
        <v>15</v>
      </c>
      <c r="F658" s="511">
        <f t="shared" si="100"/>
        <v>91.190000000000012</v>
      </c>
      <c r="G658" s="314" t="s">
        <v>4330</v>
      </c>
      <c r="H658" s="518" t="s">
        <v>1204</v>
      </c>
      <c r="I658" s="452" t="s">
        <v>11565</v>
      </c>
      <c r="J658" s="369" t="s">
        <v>753</v>
      </c>
      <c r="K658" s="452" t="s">
        <v>741</v>
      </c>
    </row>
    <row r="659" spans="1:11" s="317" customFormat="1">
      <c r="A659" s="369"/>
      <c r="B659" s="314" t="s">
        <v>1194</v>
      </c>
      <c r="C659" s="196">
        <v>350</v>
      </c>
      <c r="D659" s="230">
        <f t="shared" si="105"/>
        <v>107.51458616010855</v>
      </c>
      <c r="E659" s="417">
        <v>15</v>
      </c>
      <c r="F659" s="511">
        <f t="shared" si="100"/>
        <v>122.52000000000001</v>
      </c>
      <c r="G659" s="314" t="s">
        <v>4331</v>
      </c>
      <c r="H659" s="518" t="s">
        <v>1205</v>
      </c>
      <c r="I659" s="452" t="s">
        <v>11565</v>
      </c>
      <c r="J659" s="369" t="s">
        <v>753</v>
      </c>
      <c r="K659" s="452" t="s">
        <v>741</v>
      </c>
    </row>
    <row r="660" spans="1:11" s="317" customFormat="1">
      <c r="A660" s="369"/>
      <c r="B660" s="314"/>
      <c r="C660" s="196" t="s">
        <v>2024</v>
      </c>
      <c r="D660" s="230"/>
      <c r="E660" s="215"/>
      <c r="F660" s="511"/>
      <c r="G660" s="314"/>
      <c r="H660" s="518"/>
      <c r="I660" s="452"/>
      <c r="J660" s="369"/>
      <c r="K660" s="452"/>
    </row>
    <row r="661" spans="1:11" s="315" customFormat="1">
      <c r="A661" s="369"/>
      <c r="B661" s="314"/>
      <c r="C661" s="196" t="s">
        <v>2024</v>
      </c>
      <c r="D661" s="230"/>
      <c r="E661" s="215"/>
      <c r="F661" s="511"/>
      <c r="G661" s="314"/>
      <c r="H661" s="518"/>
      <c r="I661" s="452"/>
      <c r="J661" s="369"/>
      <c r="K661" s="452"/>
    </row>
    <row r="662" spans="1:11" s="317" customFormat="1">
      <c r="A662" s="369"/>
      <c r="B662" s="314"/>
      <c r="C662" s="196" t="s">
        <v>2024</v>
      </c>
      <c r="D662" s="230"/>
      <c r="E662" s="215"/>
      <c r="F662" s="511"/>
      <c r="G662" s="314"/>
      <c r="H662" s="518"/>
      <c r="I662" s="452"/>
      <c r="J662" s="369"/>
      <c r="K662" s="452"/>
    </row>
    <row r="663" spans="1:11" s="317" customFormat="1">
      <c r="A663" s="369"/>
      <c r="B663" s="314" t="s">
        <v>3583</v>
      </c>
      <c r="C663" s="196">
        <v>333</v>
      </c>
      <c r="D663" s="230">
        <f>C663*(1-VLOOKUP(I663,descuentos,6,FALSE))*fcl/IF(dol_sol="dólar", TC,1)</f>
        <v>102.29244911804614</v>
      </c>
      <c r="E663" s="417">
        <v>15</v>
      </c>
      <c r="F663" s="511">
        <f t="shared" si="100"/>
        <v>117.30000000000001</v>
      </c>
      <c r="G663" s="314" t="s">
        <v>6506</v>
      </c>
      <c r="H663" s="518" t="s">
        <v>3584</v>
      </c>
      <c r="I663" s="452" t="s">
        <v>11565</v>
      </c>
      <c r="J663" s="369" t="s">
        <v>753</v>
      </c>
      <c r="K663" s="452" t="s">
        <v>741</v>
      </c>
    </row>
    <row r="664" spans="1:11" s="317" customFormat="1">
      <c r="A664" s="369"/>
      <c r="B664" s="314" t="s">
        <v>9444</v>
      </c>
      <c r="C664" s="196">
        <v>337</v>
      </c>
      <c r="D664" s="230">
        <f>C664*(1-VLOOKUP(I664,descuentos,6,FALSE))*fcl/IF(dol_sol="dólar", TC,1)</f>
        <v>103.52118724559023</v>
      </c>
      <c r="E664" s="417">
        <v>15</v>
      </c>
      <c r="F664" s="511">
        <f t="shared" si="100"/>
        <v>118.53</v>
      </c>
      <c r="G664" s="314" t="s">
        <v>9445</v>
      </c>
      <c r="H664" s="518" t="s">
        <v>9446</v>
      </c>
      <c r="I664" s="452" t="s">
        <v>11565</v>
      </c>
      <c r="J664" s="369" t="s">
        <v>753</v>
      </c>
      <c r="K664" s="452" t="s">
        <v>741</v>
      </c>
    </row>
    <row r="665" spans="1:11" s="317" customFormat="1">
      <c r="A665" s="369"/>
      <c r="B665" s="314" t="s">
        <v>2109</v>
      </c>
      <c r="C665" s="196">
        <v>333</v>
      </c>
      <c r="D665" s="230">
        <f t="shared" ref="D665:D675" si="106">C665*(1-VLOOKUP(I665,descuentos,6,FALSE))*fcl/IF(dol_sol="dólar", TC,1)</f>
        <v>102.29244911804614</v>
      </c>
      <c r="E665" s="417">
        <f t="shared" ref="E665:E675" si="107">E649</f>
        <v>15</v>
      </c>
      <c r="F665" s="511">
        <f t="shared" si="100"/>
        <v>117.30000000000001</v>
      </c>
      <c r="G665" s="314" t="s">
        <v>6507</v>
      </c>
      <c r="H665" s="518" t="s">
        <v>2110</v>
      </c>
      <c r="I665" s="452" t="s">
        <v>11565</v>
      </c>
      <c r="J665" s="369" t="s">
        <v>753</v>
      </c>
      <c r="K665" s="452" t="s">
        <v>741</v>
      </c>
    </row>
    <row r="666" spans="1:11" s="317" customFormat="1">
      <c r="A666" s="369"/>
      <c r="B666" s="314" t="s">
        <v>2111</v>
      </c>
      <c r="C666" s="196">
        <v>333</v>
      </c>
      <c r="D666" s="230">
        <f t="shared" si="106"/>
        <v>102.29244911804614</v>
      </c>
      <c r="E666" s="417">
        <f t="shared" si="107"/>
        <v>15</v>
      </c>
      <c r="F666" s="511">
        <f t="shared" si="100"/>
        <v>117.30000000000001</v>
      </c>
      <c r="G666" s="314" t="s">
        <v>6508</v>
      </c>
      <c r="H666" s="518" t="s">
        <v>2112</v>
      </c>
      <c r="I666" s="452" t="s">
        <v>11565</v>
      </c>
      <c r="J666" s="369" t="s">
        <v>753</v>
      </c>
      <c r="K666" s="452" t="s">
        <v>741</v>
      </c>
    </row>
    <row r="667" spans="1:11" s="317" customFormat="1">
      <c r="A667" s="369"/>
      <c r="B667" s="314" t="s">
        <v>4796</v>
      </c>
      <c r="C667" s="196">
        <v>333</v>
      </c>
      <c r="D667" s="230">
        <f t="shared" si="106"/>
        <v>102.29244911804614</v>
      </c>
      <c r="E667" s="417">
        <f t="shared" si="107"/>
        <v>15</v>
      </c>
      <c r="F667" s="511">
        <f t="shared" si="100"/>
        <v>117.30000000000001</v>
      </c>
      <c r="G667" s="314" t="s">
        <v>6509</v>
      </c>
      <c r="H667" s="518" t="s">
        <v>2113</v>
      </c>
      <c r="I667" s="452" t="s">
        <v>11565</v>
      </c>
      <c r="J667" s="369" t="s">
        <v>753</v>
      </c>
      <c r="K667" s="452" t="s">
        <v>741</v>
      </c>
    </row>
    <row r="668" spans="1:11" s="317" customFormat="1">
      <c r="A668" s="369"/>
      <c r="B668" s="314" t="s">
        <v>2114</v>
      </c>
      <c r="C668" s="196">
        <v>333</v>
      </c>
      <c r="D668" s="230">
        <f t="shared" si="106"/>
        <v>102.29244911804614</v>
      </c>
      <c r="E668" s="417">
        <f t="shared" si="107"/>
        <v>15</v>
      </c>
      <c r="F668" s="511">
        <f t="shared" si="100"/>
        <v>117.30000000000001</v>
      </c>
      <c r="G668" s="314" t="s">
        <v>6510</v>
      </c>
      <c r="H668" s="518" t="s">
        <v>2115</v>
      </c>
      <c r="I668" s="452" t="s">
        <v>11565</v>
      </c>
      <c r="J668" s="369" t="s">
        <v>753</v>
      </c>
      <c r="K668" s="452" t="s">
        <v>741</v>
      </c>
    </row>
    <row r="669" spans="1:11" s="317" customFormat="1">
      <c r="A669" s="369"/>
      <c r="B669" s="314" t="s">
        <v>2116</v>
      </c>
      <c r="C669" s="196">
        <v>333</v>
      </c>
      <c r="D669" s="230">
        <f t="shared" si="106"/>
        <v>102.29244911804614</v>
      </c>
      <c r="E669" s="417">
        <f t="shared" si="107"/>
        <v>15</v>
      </c>
      <c r="F669" s="511">
        <f t="shared" si="100"/>
        <v>117.30000000000001</v>
      </c>
      <c r="G669" s="314" t="s">
        <v>6511</v>
      </c>
      <c r="H669" s="518" t="s">
        <v>2117</v>
      </c>
      <c r="I669" s="452" t="s">
        <v>11565</v>
      </c>
      <c r="J669" s="369" t="s">
        <v>753</v>
      </c>
      <c r="K669" s="452" t="s">
        <v>741</v>
      </c>
    </row>
    <row r="670" spans="1:11" s="317" customFormat="1">
      <c r="A670" s="369"/>
      <c r="B670" s="314" t="s">
        <v>4797</v>
      </c>
      <c r="C670" s="196">
        <v>333</v>
      </c>
      <c r="D670" s="230">
        <f t="shared" si="106"/>
        <v>102.29244911804614</v>
      </c>
      <c r="E670" s="417">
        <f t="shared" si="107"/>
        <v>15</v>
      </c>
      <c r="F670" s="511">
        <f t="shared" si="100"/>
        <v>117.30000000000001</v>
      </c>
      <c r="G670" s="314" t="s">
        <v>6512</v>
      </c>
      <c r="H670" s="518" t="s">
        <v>2118</v>
      </c>
      <c r="I670" s="452" t="s">
        <v>11565</v>
      </c>
      <c r="J670" s="369" t="s">
        <v>753</v>
      </c>
      <c r="K670" s="452" t="s">
        <v>741</v>
      </c>
    </row>
    <row r="671" spans="1:11" s="317" customFormat="1">
      <c r="A671" s="369"/>
      <c r="B671" s="314" t="s">
        <v>2119</v>
      </c>
      <c r="C671" s="196">
        <v>350</v>
      </c>
      <c r="D671" s="230">
        <f t="shared" si="106"/>
        <v>107.51458616010855</v>
      </c>
      <c r="E671" s="417">
        <f t="shared" si="107"/>
        <v>15</v>
      </c>
      <c r="F671" s="511">
        <f t="shared" si="100"/>
        <v>122.52000000000001</v>
      </c>
      <c r="G671" s="314" t="s">
        <v>6513</v>
      </c>
      <c r="H671" s="518" t="s">
        <v>2120</v>
      </c>
      <c r="I671" s="452" t="s">
        <v>11565</v>
      </c>
      <c r="J671" s="369" t="s">
        <v>753</v>
      </c>
      <c r="K671" s="452" t="s">
        <v>741</v>
      </c>
    </row>
    <row r="672" spans="1:11" s="317" customFormat="1">
      <c r="A672" s="369"/>
      <c r="B672" s="314" t="s">
        <v>2121</v>
      </c>
      <c r="C672" s="196">
        <v>350</v>
      </c>
      <c r="D672" s="230">
        <f t="shared" si="106"/>
        <v>107.51458616010855</v>
      </c>
      <c r="E672" s="417">
        <f t="shared" si="107"/>
        <v>15</v>
      </c>
      <c r="F672" s="511">
        <f t="shared" si="100"/>
        <v>122.52000000000001</v>
      </c>
      <c r="G672" s="314" t="s">
        <v>6514</v>
      </c>
      <c r="H672" s="518" t="s">
        <v>2122</v>
      </c>
      <c r="I672" s="452" t="s">
        <v>11565</v>
      </c>
      <c r="J672" s="369" t="s">
        <v>753</v>
      </c>
      <c r="K672" s="452" t="s">
        <v>741</v>
      </c>
    </row>
    <row r="673" spans="1:11" s="317" customFormat="1">
      <c r="A673" s="369"/>
      <c r="B673" s="314" t="s">
        <v>2123</v>
      </c>
      <c r="C673" s="196">
        <v>350</v>
      </c>
      <c r="D673" s="230">
        <f t="shared" si="106"/>
        <v>107.51458616010855</v>
      </c>
      <c r="E673" s="417">
        <f t="shared" si="107"/>
        <v>15</v>
      </c>
      <c r="F673" s="511">
        <f t="shared" si="100"/>
        <v>122.52000000000001</v>
      </c>
      <c r="G673" s="314" t="s">
        <v>6515</v>
      </c>
      <c r="H673" s="518" t="s">
        <v>2124</v>
      </c>
      <c r="I673" s="452" t="s">
        <v>11565</v>
      </c>
      <c r="J673" s="369" t="s">
        <v>753</v>
      </c>
      <c r="K673" s="452" t="s">
        <v>741</v>
      </c>
    </row>
    <row r="674" spans="1:11" s="317" customFormat="1">
      <c r="A674" s="369"/>
      <c r="B674" s="314" t="s">
        <v>2125</v>
      </c>
      <c r="C674" s="196">
        <v>350</v>
      </c>
      <c r="D674" s="230">
        <f t="shared" si="106"/>
        <v>107.51458616010855</v>
      </c>
      <c r="E674" s="417">
        <f t="shared" si="107"/>
        <v>15</v>
      </c>
      <c r="F674" s="511">
        <f t="shared" si="100"/>
        <v>122.52000000000001</v>
      </c>
      <c r="G674" s="314" t="s">
        <v>6516</v>
      </c>
      <c r="H674" s="518" t="s">
        <v>2126</v>
      </c>
      <c r="I674" s="452" t="s">
        <v>11565</v>
      </c>
      <c r="J674" s="369" t="s">
        <v>753</v>
      </c>
      <c r="K674" s="452" t="s">
        <v>741</v>
      </c>
    </row>
    <row r="675" spans="1:11" s="317" customFormat="1">
      <c r="A675" s="369"/>
      <c r="B675" s="314" t="s">
        <v>2127</v>
      </c>
      <c r="C675" s="196">
        <v>424</v>
      </c>
      <c r="D675" s="230">
        <f t="shared" si="106"/>
        <v>130.24624151967436</v>
      </c>
      <c r="E675" s="417">
        <f t="shared" si="107"/>
        <v>15</v>
      </c>
      <c r="F675" s="511">
        <f t="shared" si="100"/>
        <v>145.25</v>
      </c>
      <c r="G675" s="314" t="s">
        <v>6517</v>
      </c>
      <c r="H675" s="518" t="s">
        <v>2128</v>
      </c>
      <c r="I675" s="452" t="s">
        <v>11565</v>
      </c>
      <c r="J675" s="369" t="s">
        <v>753</v>
      </c>
      <c r="K675" s="452" t="s">
        <v>741</v>
      </c>
    </row>
    <row r="676" spans="1:11" s="315" customFormat="1">
      <c r="A676" s="369"/>
      <c r="B676" s="314"/>
      <c r="C676" s="196" t="s">
        <v>2024</v>
      </c>
      <c r="D676" s="230"/>
      <c r="E676" s="215"/>
      <c r="F676" s="511"/>
      <c r="G676" s="314"/>
      <c r="H676" s="518"/>
      <c r="I676" s="452"/>
      <c r="J676" s="369"/>
      <c r="K676" s="452"/>
    </row>
    <row r="677" spans="1:11" s="317" customFormat="1">
      <c r="A677" s="369"/>
      <c r="B677" s="314" t="s">
        <v>9447</v>
      </c>
      <c r="C677" s="196">
        <v>350</v>
      </c>
      <c r="D677" s="230">
        <f t="shared" ref="D677" si="108">C677*(1-VLOOKUP(I677,descuentos,6,FALSE))*fcl/IF(dol_sol="dólar", TC,1)</f>
        <v>107.51458616010855</v>
      </c>
      <c r="E677" s="417">
        <f>E663</f>
        <v>15</v>
      </c>
      <c r="F677" s="511">
        <f t="shared" ref="F677:F689" si="109">ROUNDUP(D677+E677,2)</f>
        <v>122.52000000000001</v>
      </c>
      <c r="G677" s="314" t="s">
        <v>9448</v>
      </c>
      <c r="H677" s="518" t="s">
        <v>9449</v>
      </c>
      <c r="I677" s="452" t="s">
        <v>11565</v>
      </c>
      <c r="J677" s="369" t="s">
        <v>753</v>
      </c>
      <c r="K677" s="452" t="s">
        <v>741</v>
      </c>
    </row>
    <row r="678" spans="1:11" s="317" customFormat="1">
      <c r="A678" s="369"/>
      <c r="B678" s="314" t="s">
        <v>9450</v>
      </c>
      <c r="C678" s="196">
        <v>355</v>
      </c>
      <c r="D678" s="230">
        <f t="shared" ref="D678" si="110">C678*(1-VLOOKUP(I678,descuentos,6,FALSE))*fcl/IF(dol_sol="dólar", TC,1)</f>
        <v>109.05050881953866</v>
      </c>
      <c r="E678" s="417">
        <f>E664</f>
        <v>15</v>
      </c>
      <c r="F678" s="511">
        <f t="shared" si="109"/>
        <v>124.06</v>
      </c>
      <c r="G678" s="314" t="s">
        <v>9451</v>
      </c>
      <c r="H678" s="518" t="s">
        <v>9452</v>
      </c>
      <c r="I678" s="452" t="s">
        <v>11565</v>
      </c>
      <c r="J678" s="369" t="s">
        <v>753</v>
      </c>
      <c r="K678" s="452" t="s">
        <v>741</v>
      </c>
    </row>
    <row r="679" spans="1:11" s="317" customFormat="1">
      <c r="A679" s="369"/>
      <c r="B679" s="314" t="s">
        <v>6518</v>
      </c>
      <c r="C679" s="196">
        <v>350</v>
      </c>
      <c r="D679" s="230">
        <f t="shared" ref="D679:D689" si="111">C679*(1-VLOOKUP(I679,descuentos,6,FALSE))*fcl/IF(dol_sol="dólar", TC,1)</f>
        <v>107.51458616010855</v>
      </c>
      <c r="E679" s="417">
        <f>E665</f>
        <v>15</v>
      </c>
      <c r="F679" s="511">
        <f t="shared" si="109"/>
        <v>122.52000000000001</v>
      </c>
      <c r="G679" s="314" t="s">
        <v>6519</v>
      </c>
      <c r="H679" s="518" t="s">
        <v>6520</v>
      </c>
      <c r="I679" s="452" t="s">
        <v>11565</v>
      </c>
      <c r="J679" s="369" t="s">
        <v>753</v>
      </c>
      <c r="K679" s="452" t="s">
        <v>741</v>
      </c>
    </row>
    <row r="680" spans="1:11" s="317" customFormat="1">
      <c r="A680" s="369"/>
      <c r="B680" s="314" t="s">
        <v>6521</v>
      </c>
      <c r="C680" s="196">
        <v>350</v>
      </c>
      <c r="D680" s="230">
        <f t="shared" si="111"/>
        <v>107.51458616010855</v>
      </c>
      <c r="E680" s="417">
        <f t="shared" ref="E680:E689" si="112">E666</f>
        <v>15</v>
      </c>
      <c r="F680" s="511">
        <f t="shared" si="109"/>
        <v>122.52000000000001</v>
      </c>
      <c r="G680" s="314" t="s">
        <v>6522</v>
      </c>
      <c r="H680" s="518" t="s">
        <v>6523</v>
      </c>
      <c r="I680" s="452" t="s">
        <v>11565</v>
      </c>
      <c r="J680" s="369" t="s">
        <v>753</v>
      </c>
      <c r="K680" s="452" t="s">
        <v>741</v>
      </c>
    </row>
    <row r="681" spans="1:11" s="317" customFormat="1">
      <c r="A681" s="369"/>
      <c r="B681" s="314" t="s">
        <v>6524</v>
      </c>
      <c r="C681" s="196">
        <v>355</v>
      </c>
      <c r="D681" s="230">
        <f t="shared" si="111"/>
        <v>109.05050881953866</v>
      </c>
      <c r="E681" s="417">
        <f t="shared" si="112"/>
        <v>15</v>
      </c>
      <c r="F681" s="511">
        <f t="shared" si="109"/>
        <v>124.06</v>
      </c>
      <c r="G681" s="314" t="s">
        <v>6525</v>
      </c>
      <c r="H681" s="518" t="s">
        <v>6526</v>
      </c>
      <c r="I681" s="452" t="s">
        <v>11565</v>
      </c>
      <c r="J681" s="369" t="s">
        <v>753</v>
      </c>
      <c r="K681" s="452" t="s">
        <v>741</v>
      </c>
    </row>
    <row r="682" spans="1:11" s="317" customFormat="1">
      <c r="A682" s="369"/>
      <c r="B682" s="314" t="s">
        <v>6527</v>
      </c>
      <c r="C682" s="196">
        <v>350</v>
      </c>
      <c r="D682" s="230">
        <f t="shared" si="111"/>
        <v>107.51458616010855</v>
      </c>
      <c r="E682" s="417">
        <f t="shared" si="112"/>
        <v>15</v>
      </c>
      <c r="F682" s="511">
        <f t="shared" si="109"/>
        <v>122.52000000000001</v>
      </c>
      <c r="G682" s="314" t="s">
        <v>6528</v>
      </c>
      <c r="H682" s="518" t="s">
        <v>6529</v>
      </c>
      <c r="I682" s="452" t="s">
        <v>11565</v>
      </c>
      <c r="J682" s="369" t="s">
        <v>753</v>
      </c>
      <c r="K682" s="452" t="s">
        <v>741</v>
      </c>
    </row>
    <row r="683" spans="1:11" s="317" customFormat="1">
      <c r="A683" s="369"/>
      <c r="B683" s="314" t="s">
        <v>6530</v>
      </c>
      <c r="C683" s="196">
        <v>350</v>
      </c>
      <c r="D683" s="230">
        <f t="shared" si="111"/>
        <v>107.51458616010855</v>
      </c>
      <c r="E683" s="417">
        <f t="shared" si="112"/>
        <v>15</v>
      </c>
      <c r="F683" s="511">
        <f t="shared" si="109"/>
        <v>122.52000000000001</v>
      </c>
      <c r="G683" s="314" t="s">
        <v>6531</v>
      </c>
      <c r="H683" s="518" t="s">
        <v>6532</v>
      </c>
      <c r="I683" s="452" t="s">
        <v>11565</v>
      </c>
      <c r="J683" s="369" t="s">
        <v>753</v>
      </c>
      <c r="K683" s="452" t="s">
        <v>741</v>
      </c>
    </row>
    <row r="684" spans="1:11" s="317" customFormat="1">
      <c r="A684" s="369"/>
      <c r="B684" s="314" t="s">
        <v>6533</v>
      </c>
      <c r="C684" s="196">
        <v>355</v>
      </c>
      <c r="D684" s="230">
        <f t="shared" si="111"/>
        <v>109.05050881953866</v>
      </c>
      <c r="E684" s="417">
        <f t="shared" si="112"/>
        <v>15</v>
      </c>
      <c r="F684" s="511">
        <f t="shared" si="109"/>
        <v>124.06</v>
      </c>
      <c r="G684" s="314" t="s">
        <v>6534</v>
      </c>
      <c r="H684" s="518" t="s">
        <v>6535</v>
      </c>
      <c r="I684" s="452" t="s">
        <v>11565</v>
      </c>
      <c r="J684" s="369" t="s">
        <v>753</v>
      </c>
      <c r="K684" s="452" t="s">
        <v>741</v>
      </c>
    </row>
    <row r="685" spans="1:11" s="317" customFormat="1">
      <c r="A685" s="369"/>
      <c r="B685" s="314" t="s">
        <v>6536</v>
      </c>
      <c r="C685" s="196">
        <v>368</v>
      </c>
      <c r="D685" s="230">
        <f t="shared" si="111"/>
        <v>113.04390773405697</v>
      </c>
      <c r="E685" s="417">
        <f t="shared" si="112"/>
        <v>15</v>
      </c>
      <c r="F685" s="511">
        <f t="shared" si="109"/>
        <v>128.04999999999998</v>
      </c>
      <c r="G685" s="314" t="s">
        <v>6537</v>
      </c>
      <c r="H685" s="518" t="s">
        <v>6538</v>
      </c>
      <c r="I685" s="452" t="s">
        <v>11565</v>
      </c>
      <c r="J685" s="369" t="s">
        <v>753</v>
      </c>
      <c r="K685" s="452" t="s">
        <v>741</v>
      </c>
    </row>
    <row r="686" spans="1:11" s="317" customFormat="1">
      <c r="A686" s="369"/>
      <c r="B686" s="314" t="s">
        <v>6539</v>
      </c>
      <c r="C686" s="196">
        <v>368</v>
      </c>
      <c r="D686" s="230">
        <f t="shared" si="111"/>
        <v>113.04390773405697</v>
      </c>
      <c r="E686" s="417">
        <f t="shared" si="112"/>
        <v>15</v>
      </c>
      <c r="F686" s="511">
        <f t="shared" si="109"/>
        <v>128.04999999999998</v>
      </c>
      <c r="G686" s="314" t="s">
        <v>6540</v>
      </c>
      <c r="H686" s="518" t="s">
        <v>6541</v>
      </c>
      <c r="I686" s="452" t="s">
        <v>11565</v>
      </c>
      <c r="J686" s="369" t="s">
        <v>753</v>
      </c>
      <c r="K686" s="452" t="s">
        <v>741</v>
      </c>
    </row>
    <row r="687" spans="1:11" s="317" customFormat="1">
      <c r="A687" s="369"/>
      <c r="B687" s="314" t="s">
        <v>6542</v>
      </c>
      <c r="C687" s="196">
        <v>368</v>
      </c>
      <c r="D687" s="230">
        <f t="shared" si="111"/>
        <v>113.04390773405697</v>
      </c>
      <c r="E687" s="417">
        <f t="shared" si="112"/>
        <v>15</v>
      </c>
      <c r="F687" s="511">
        <f t="shared" si="109"/>
        <v>128.04999999999998</v>
      </c>
      <c r="G687" s="314" t="s">
        <v>6543</v>
      </c>
      <c r="H687" s="518" t="s">
        <v>6544</v>
      </c>
      <c r="I687" s="452" t="s">
        <v>11565</v>
      </c>
      <c r="J687" s="369" t="s">
        <v>753</v>
      </c>
      <c r="K687" s="452" t="s">
        <v>741</v>
      </c>
    </row>
    <row r="688" spans="1:11" s="317" customFormat="1">
      <c r="A688" s="369"/>
      <c r="B688" s="314" t="s">
        <v>6545</v>
      </c>
      <c r="C688" s="196">
        <v>368</v>
      </c>
      <c r="D688" s="230">
        <f t="shared" si="111"/>
        <v>113.04390773405697</v>
      </c>
      <c r="E688" s="417">
        <f t="shared" si="112"/>
        <v>15</v>
      </c>
      <c r="F688" s="511">
        <f t="shared" si="109"/>
        <v>128.04999999999998</v>
      </c>
      <c r="G688" s="314" t="s">
        <v>6546</v>
      </c>
      <c r="H688" s="518" t="s">
        <v>6547</v>
      </c>
      <c r="I688" s="452" t="s">
        <v>11565</v>
      </c>
      <c r="J688" s="369" t="s">
        <v>753</v>
      </c>
      <c r="K688" s="452" t="s">
        <v>741</v>
      </c>
    </row>
    <row r="689" spans="1:11" s="317" customFormat="1">
      <c r="A689" s="369"/>
      <c r="B689" s="314" t="s">
        <v>6548</v>
      </c>
      <c r="C689" s="196">
        <v>487</v>
      </c>
      <c r="D689" s="230">
        <f t="shared" si="111"/>
        <v>149.59886702849388</v>
      </c>
      <c r="E689" s="417">
        <f t="shared" si="112"/>
        <v>15</v>
      </c>
      <c r="F689" s="511">
        <f t="shared" si="109"/>
        <v>164.6</v>
      </c>
      <c r="G689" s="314" t="s">
        <v>6549</v>
      </c>
      <c r="H689" s="518" t="s">
        <v>6550</v>
      </c>
      <c r="I689" s="452" t="s">
        <v>11565</v>
      </c>
      <c r="J689" s="369" t="s">
        <v>753</v>
      </c>
      <c r="K689" s="452" t="s">
        <v>741</v>
      </c>
    </row>
    <row r="690" spans="1:11" s="317" customFormat="1">
      <c r="A690" s="369"/>
      <c r="B690" s="314"/>
      <c r="C690" s="196" t="s">
        <v>2024</v>
      </c>
      <c r="D690" s="230"/>
      <c r="E690" s="215"/>
      <c r="F690" s="511"/>
      <c r="G690" s="314"/>
      <c r="H690" s="518"/>
      <c r="I690" s="452"/>
      <c r="J690" s="369"/>
      <c r="K690" s="452"/>
    </row>
    <row r="691" spans="1:11" s="315" customFormat="1">
      <c r="A691" s="369"/>
      <c r="B691" s="351" t="s">
        <v>9453</v>
      </c>
      <c r="C691" s="346">
        <v>304</v>
      </c>
      <c r="D691" s="345">
        <f t="shared" ref="D691" si="113">C691*(1-VLOOKUP(I691,descuentos,6,FALSE))*fcl/IF(dol_sol="dólar", TC,1)</f>
        <v>93.384097693351421</v>
      </c>
      <c r="E691" s="417">
        <v>20</v>
      </c>
      <c r="F691" s="508">
        <f t="shared" ref="F691:F702" si="114">ROUNDUP(D691+E691,2)</f>
        <v>113.39</v>
      </c>
      <c r="G691" s="351" t="s">
        <v>9454</v>
      </c>
      <c r="H691" s="518" t="s">
        <v>9455</v>
      </c>
      <c r="I691" s="452" t="s">
        <v>11565</v>
      </c>
      <c r="J691" s="369" t="s">
        <v>753</v>
      </c>
      <c r="K691" s="452" t="s">
        <v>741</v>
      </c>
    </row>
    <row r="692" spans="1:11" s="315" customFormat="1">
      <c r="A692" s="369"/>
      <c r="B692" s="351" t="s">
        <v>2091</v>
      </c>
      <c r="C692" s="346">
        <v>300</v>
      </c>
      <c r="D692" s="345">
        <f t="shared" ref="D692:D702" si="115">C692*(1-VLOOKUP(I692,descuentos,6,FALSE))*fcl/IF(dol_sol="dólar", TC,1)</f>
        <v>92.155359565807331</v>
      </c>
      <c r="E692" s="417">
        <v>20</v>
      </c>
      <c r="F692" s="508">
        <f t="shared" si="114"/>
        <v>112.16000000000001</v>
      </c>
      <c r="G692" s="351" t="s">
        <v>4332</v>
      </c>
      <c r="H692" s="518" t="s">
        <v>2092</v>
      </c>
      <c r="I692" s="452" t="s">
        <v>11565</v>
      </c>
      <c r="J692" s="369" t="s">
        <v>753</v>
      </c>
      <c r="K692" s="452" t="s">
        <v>741</v>
      </c>
    </row>
    <row r="693" spans="1:11" s="315" customFormat="1">
      <c r="A693" s="369"/>
      <c r="B693" s="351" t="s">
        <v>2093</v>
      </c>
      <c r="C693" s="346">
        <v>300</v>
      </c>
      <c r="D693" s="345">
        <f t="shared" si="115"/>
        <v>92.155359565807331</v>
      </c>
      <c r="E693" s="417">
        <v>20</v>
      </c>
      <c r="F693" s="508">
        <f t="shared" si="114"/>
        <v>112.16000000000001</v>
      </c>
      <c r="G693" s="351" t="s">
        <v>4333</v>
      </c>
      <c r="H693" s="518" t="s">
        <v>2094</v>
      </c>
      <c r="I693" s="452" t="s">
        <v>11565</v>
      </c>
      <c r="J693" s="369" t="s">
        <v>753</v>
      </c>
      <c r="K693" s="452" t="s">
        <v>741</v>
      </c>
    </row>
    <row r="694" spans="1:11" s="317" customFormat="1">
      <c r="A694" s="369"/>
      <c r="B694" s="351" t="s">
        <v>4792</v>
      </c>
      <c r="C694" s="346">
        <v>304</v>
      </c>
      <c r="D694" s="345">
        <f t="shared" si="115"/>
        <v>93.384097693351421</v>
      </c>
      <c r="E694" s="417">
        <v>20</v>
      </c>
      <c r="F694" s="508">
        <f t="shared" si="114"/>
        <v>113.39</v>
      </c>
      <c r="G694" s="351" t="s">
        <v>4793</v>
      </c>
      <c r="H694" s="518" t="s">
        <v>6551</v>
      </c>
      <c r="I694" s="452" t="s">
        <v>11565</v>
      </c>
      <c r="J694" s="369" t="s">
        <v>753</v>
      </c>
      <c r="K694" s="452" t="s">
        <v>741</v>
      </c>
    </row>
    <row r="695" spans="1:11" s="317" customFormat="1">
      <c r="A695" s="369"/>
      <c r="B695" s="351" t="s">
        <v>2095</v>
      </c>
      <c r="C695" s="346">
        <v>300</v>
      </c>
      <c r="D695" s="345">
        <f t="shared" si="115"/>
        <v>92.155359565807331</v>
      </c>
      <c r="E695" s="417">
        <v>20</v>
      </c>
      <c r="F695" s="508">
        <f t="shared" si="114"/>
        <v>112.16000000000001</v>
      </c>
      <c r="G695" s="351" t="s">
        <v>4334</v>
      </c>
      <c r="H695" s="518" t="s">
        <v>2096</v>
      </c>
      <c r="I695" s="452" t="s">
        <v>11565</v>
      </c>
      <c r="J695" s="369" t="s">
        <v>753</v>
      </c>
      <c r="K695" s="452" t="s">
        <v>741</v>
      </c>
    </row>
    <row r="696" spans="1:11" s="317" customFormat="1">
      <c r="A696" s="369"/>
      <c r="B696" s="351" t="s">
        <v>2097</v>
      </c>
      <c r="C696" s="346">
        <v>300</v>
      </c>
      <c r="D696" s="345">
        <f t="shared" si="115"/>
        <v>92.155359565807331</v>
      </c>
      <c r="E696" s="417">
        <v>20</v>
      </c>
      <c r="F696" s="508">
        <f t="shared" si="114"/>
        <v>112.16000000000001</v>
      </c>
      <c r="G696" s="351" t="s">
        <v>4335</v>
      </c>
      <c r="H696" s="518" t="s">
        <v>2098</v>
      </c>
      <c r="I696" s="452" t="s">
        <v>11565</v>
      </c>
      <c r="J696" s="369" t="s">
        <v>753</v>
      </c>
      <c r="K696" s="452" t="s">
        <v>741</v>
      </c>
    </row>
    <row r="697" spans="1:11" s="317" customFormat="1">
      <c r="A697" s="369"/>
      <c r="B697" s="351" t="s">
        <v>4794</v>
      </c>
      <c r="C697" s="346">
        <v>304</v>
      </c>
      <c r="D697" s="345">
        <f t="shared" si="115"/>
        <v>93.384097693351421</v>
      </c>
      <c r="E697" s="417">
        <v>20</v>
      </c>
      <c r="F697" s="508">
        <f t="shared" si="114"/>
        <v>113.39</v>
      </c>
      <c r="G697" s="351" t="s">
        <v>4795</v>
      </c>
      <c r="H697" s="518" t="s">
        <v>6552</v>
      </c>
      <c r="I697" s="452" t="s">
        <v>11565</v>
      </c>
      <c r="J697" s="369" t="s">
        <v>753</v>
      </c>
      <c r="K697" s="452" t="s">
        <v>741</v>
      </c>
    </row>
    <row r="698" spans="1:11" s="317" customFormat="1">
      <c r="A698" s="369"/>
      <c r="B698" s="351" t="s">
        <v>2099</v>
      </c>
      <c r="C698" s="346">
        <v>316</v>
      </c>
      <c r="D698" s="345">
        <f t="shared" si="115"/>
        <v>97.070312075983722</v>
      </c>
      <c r="E698" s="417">
        <v>20</v>
      </c>
      <c r="F698" s="508">
        <f t="shared" si="114"/>
        <v>117.08</v>
      </c>
      <c r="G698" s="351" t="s">
        <v>4336</v>
      </c>
      <c r="H698" s="518" t="s">
        <v>2100</v>
      </c>
      <c r="I698" s="452" t="s">
        <v>11565</v>
      </c>
      <c r="J698" s="369" t="s">
        <v>753</v>
      </c>
      <c r="K698" s="452" t="s">
        <v>741</v>
      </c>
    </row>
    <row r="699" spans="1:11" s="317" customFormat="1">
      <c r="A699" s="369"/>
      <c r="B699" s="351" t="s">
        <v>2101</v>
      </c>
      <c r="C699" s="346">
        <v>316</v>
      </c>
      <c r="D699" s="345">
        <f t="shared" si="115"/>
        <v>97.070312075983722</v>
      </c>
      <c r="E699" s="417">
        <v>20</v>
      </c>
      <c r="F699" s="508">
        <f t="shared" si="114"/>
        <v>117.08</v>
      </c>
      <c r="G699" s="351" t="s">
        <v>4337</v>
      </c>
      <c r="H699" s="518" t="s">
        <v>2102</v>
      </c>
      <c r="I699" s="452" t="s">
        <v>11565</v>
      </c>
      <c r="J699" s="369" t="s">
        <v>753</v>
      </c>
      <c r="K699" s="452" t="s">
        <v>741</v>
      </c>
    </row>
    <row r="700" spans="1:11" s="317" customFormat="1">
      <c r="A700" s="369"/>
      <c r="B700" s="351" t="s">
        <v>2103</v>
      </c>
      <c r="C700" s="346">
        <v>316</v>
      </c>
      <c r="D700" s="345">
        <f t="shared" si="115"/>
        <v>97.070312075983722</v>
      </c>
      <c r="E700" s="417">
        <v>20</v>
      </c>
      <c r="F700" s="508">
        <f t="shared" si="114"/>
        <v>117.08</v>
      </c>
      <c r="G700" s="351" t="s">
        <v>4338</v>
      </c>
      <c r="H700" s="518" t="s">
        <v>2104</v>
      </c>
      <c r="I700" s="452" t="s">
        <v>11565</v>
      </c>
      <c r="J700" s="369" t="s">
        <v>753</v>
      </c>
      <c r="K700" s="452" t="s">
        <v>741</v>
      </c>
    </row>
    <row r="701" spans="1:11" s="317" customFormat="1">
      <c r="A701" s="369"/>
      <c r="B701" s="351" t="s">
        <v>2105</v>
      </c>
      <c r="C701" s="346">
        <v>316</v>
      </c>
      <c r="D701" s="345">
        <f t="shared" si="115"/>
        <v>97.070312075983722</v>
      </c>
      <c r="E701" s="417">
        <v>20</v>
      </c>
      <c r="F701" s="508">
        <f t="shared" si="114"/>
        <v>117.08</v>
      </c>
      <c r="G701" s="351" t="s">
        <v>4339</v>
      </c>
      <c r="H701" s="518" t="s">
        <v>2106</v>
      </c>
      <c r="I701" s="452" t="s">
        <v>11565</v>
      </c>
      <c r="J701" s="369" t="s">
        <v>753</v>
      </c>
      <c r="K701" s="452" t="s">
        <v>741</v>
      </c>
    </row>
    <row r="702" spans="1:11" s="317" customFormat="1">
      <c r="A702" s="369"/>
      <c r="B702" s="351" t="s">
        <v>2107</v>
      </c>
      <c r="C702" s="346">
        <v>348</v>
      </c>
      <c r="D702" s="345">
        <f t="shared" si="115"/>
        <v>106.90021709633648</v>
      </c>
      <c r="E702" s="417">
        <v>20</v>
      </c>
      <c r="F702" s="508">
        <f t="shared" si="114"/>
        <v>126.91000000000001</v>
      </c>
      <c r="G702" s="351" t="s">
        <v>4340</v>
      </c>
      <c r="H702" s="518" t="s">
        <v>2108</v>
      </c>
      <c r="I702" s="452" t="s">
        <v>11565</v>
      </c>
      <c r="J702" s="369" t="s">
        <v>753</v>
      </c>
      <c r="K702" s="452" t="s">
        <v>741</v>
      </c>
    </row>
    <row r="703" spans="1:11" s="317" customFormat="1">
      <c r="A703" s="369"/>
      <c r="B703" s="314"/>
      <c r="C703" s="196" t="s">
        <v>2024</v>
      </c>
      <c r="D703" s="230"/>
      <c r="E703" s="215"/>
      <c r="F703" s="511"/>
      <c r="G703" s="314"/>
      <c r="H703" s="518"/>
      <c r="I703" s="452"/>
      <c r="J703" s="369"/>
      <c r="K703" s="452"/>
    </row>
    <row r="704" spans="1:11" s="317" customFormat="1">
      <c r="A704" s="369"/>
      <c r="B704" s="351" t="s">
        <v>9456</v>
      </c>
      <c r="C704" s="346">
        <v>421</v>
      </c>
      <c r="D704" s="345">
        <f t="shared" ref="D704" si="116">C704*(1-VLOOKUP(I704,descuentos,6,FALSE))*fcl/IF(dol_sol="dólar", TC,1)</f>
        <v>129.32468792401627</v>
      </c>
      <c r="E704" s="417">
        <v>20</v>
      </c>
      <c r="F704" s="508">
        <f t="shared" ref="F704:F715" si="117">ROUNDUP(D704+E704,2)</f>
        <v>149.32999999999998</v>
      </c>
      <c r="G704" s="351" t="s">
        <v>9457</v>
      </c>
      <c r="H704" s="518" t="s">
        <v>9458</v>
      </c>
      <c r="I704" s="452" t="s">
        <v>11565</v>
      </c>
      <c r="J704" s="369" t="s">
        <v>753</v>
      </c>
      <c r="K704" s="452" t="s">
        <v>741</v>
      </c>
    </row>
    <row r="705" spans="1:11" s="317" customFormat="1">
      <c r="A705" s="369"/>
      <c r="B705" s="351" t="s">
        <v>3470</v>
      </c>
      <c r="C705" s="346">
        <v>415</v>
      </c>
      <c r="D705" s="345">
        <f t="shared" ref="D705:D715" si="118">C705*(1-VLOOKUP(I705,descuentos,6,FALSE))*fcl/IF(dol_sol="dólar", TC,1)</f>
        <v>127.48158073270014</v>
      </c>
      <c r="E705" s="417">
        <v>20</v>
      </c>
      <c r="F705" s="508">
        <f t="shared" si="117"/>
        <v>147.48999999999998</v>
      </c>
      <c r="G705" s="351" t="s">
        <v>4798</v>
      </c>
      <c r="H705" s="518" t="s">
        <v>3479</v>
      </c>
      <c r="I705" s="452" t="s">
        <v>11565</v>
      </c>
      <c r="J705" s="369" t="s">
        <v>753</v>
      </c>
      <c r="K705" s="452" t="s">
        <v>741</v>
      </c>
    </row>
    <row r="706" spans="1:11" s="317" customFormat="1">
      <c r="A706" s="369"/>
      <c r="B706" s="351" t="s">
        <v>3471</v>
      </c>
      <c r="C706" s="346">
        <v>415</v>
      </c>
      <c r="D706" s="345">
        <f t="shared" si="118"/>
        <v>127.48158073270014</v>
      </c>
      <c r="E706" s="417">
        <v>20</v>
      </c>
      <c r="F706" s="508">
        <f t="shared" si="117"/>
        <v>147.48999999999998</v>
      </c>
      <c r="G706" s="351" t="s">
        <v>4799</v>
      </c>
      <c r="H706" s="518" t="s">
        <v>3480</v>
      </c>
      <c r="I706" s="452" t="s">
        <v>11565</v>
      </c>
      <c r="J706" s="369" t="s">
        <v>753</v>
      </c>
      <c r="K706" s="452" t="s">
        <v>741</v>
      </c>
    </row>
    <row r="707" spans="1:11" s="317" customFormat="1">
      <c r="A707" s="369"/>
      <c r="B707" s="351" t="s">
        <v>4800</v>
      </c>
      <c r="C707" s="346">
        <v>415</v>
      </c>
      <c r="D707" s="345">
        <f t="shared" si="118"/>
        <v>127.48158073270014</v>
      </c>
      <c r="E707" s="417">
        <v>20</v>
      </c>
      <c r="F707" s="508">
        <f t="shared" si="117"/>
        <v>147.48999999999998</v>
      </c>
      <c r="G707" s="351" t="s">
        <v>4801</v>
      </c>
      <c r="H707" s="518" t="s">
        <v>3481</v>
      </c>
      <c r="I707" s="452" t="s">
        <v>11565</v>
      </c>
      <c r="J707" s="369" t="s">
        <v>753</v>
      </c>
      <c r="K707" s="452" t="s">
        <v>741</v>
      </c>
    </row>
    <row r="708" spans="1:11" s="317" customFormat="1">
      <c r="A708" s="369"/>
      <c r="B708" s="351" t="s">
        <v>3472</v>
      </c>
      <c r="C708" s="346">
        <v>415</v>
      </c>
      <c r="D708" s="345">
        <f t="shared" si="118"/>
        <v>127.48158073270014</v>
      </c>
      <c r="E708" s="417">
        <v>20</v>
      </c>
      <c r="F708" s="508">
        <f t="shared" si="117"/>
        <v>147.48999999999998</v>
      </c>
      <c r="G708" s="351" t="s">
        <v>4802</v>
      </c>
      <c r="H708" s="518" t="s">
        <v>3482</v>
      </c>
      <c r="I708" s="452" t="s">
        <v>11565</v>
      </c>
      <c r="J708" s="369" t="s">
        <v>753</v>
      </c>
      <c r="K708" s="452" t="s">
        <v>741</v>
      </c>
    </row>
    <row r="709" spans="1:11" s="317" customFormat="1">
      <c r="A709" s="369"/>
      <c r="B709" s="351" t="s">
        <v>3473</v>
      </c>
      <c r="C709" s="346">
        <v>415</v>
      </c>
      <c r="D709" s="345">
        <f t="shared" si="118"/>
        <v>127.48158073270014</v>
      </c>
      <c r="E709" s="417">
        <v>20</v>
      </c>
      <c r="F709" s="508">
        <f t="shared" si="117"/>
        <v>147.48999999999998</v>
      </c>
      <c r="G709" s="351" t="s">
        <v>4803</v>
      </c>
      <c r="H709" s="518" t="s">
        <v>3483</v>
      </c>
      <c r="I709" s="452" t="s">
        <v>11565</v>
      </c>
      <c r="J709" s="369" t="s">
        <v>753</v>
      </c>
      <c r="K709" s="452" t="s">
        <v>741</v>
      </c>
    </row>
    <row r="710" spans="1:11" s="317" customFormat="1">
      <c r="A710" s="369"/>
      <c r="B710" s="351" t="s">
        <v>4804</v>
      </c>
      <c r="C710" s="346">
        <v>415</v>
      </c>
      <c r="D710" s="345">
        <f t="shared" si="118"/>
        <v>127.48158073270014</v>
      </c>
      <c r="E710" s="417">
        <v>20</v>
      </c>
      <c r="F710" s="508">
        <f t="shared" si="117"/>
        <v>147.48999999999998</v>
      </c>
      <c r="G710" s="351" t="s">
        <v>4805</v>
      </c>
      <c r="H710" s="518" t="s">
        <v>3484</v>
      </c>
      <c r="I710" s="452" t="s">
        <v>11565</v>
      </c>
      <c r="J710" s="369" t="s">
        <v>753</v>
      </c>
      <c r="K710" s="452" t="s">
        <v>741</v>
      </c>
    </row>
    <row r="711" spans="1:11" s="317" customFormat="1">
      <c r="A711" s="369"/>
      <c r="B711" s="351" t="s">
        <v>3474</v>
      </c>
      <c r="C711" s="346">
        <v>437</v>
      </c>
      <c r="D711" s="345">
        <f t="shared" si="118"/>
        <v>134.23964043419267</v>
      </c>
      <c r="E711" s="417">
        <v>20</v>
      </c>
      <c r="F711" s="508">
        <f t="shared" si="117"/>
        <v>154.23999999999998</v>
      </c>
      <c r="G711" s="351" t="s">
        <v>4806</v>
      </c>
      <c r="H711" s="518" t="s">
        <v>3485</v>
      </c>
      <c r="I711" s="452" t="s">
        <v>11565</v>
      </c>
      <c r="J711" s="369" t="s">
        <v>753</v>
      </c>
      <c r="K711" s="452" t="s">
        <v>741</v>
      </c>
    </row>
    <row r="712" spans="1:11" s="317" customFormat="1">
      <c r="A712" s="369"/>
      <c r="B712" s="351" t="s">
        <v>3475</v>
      </c>
      <c r="C712" s="346">
        <v>437</v>
      </c>
      <c r="D712" s="345">
        <f t="shared" si="118"/>
        <v>134.23964043419267</v>
      </c>
      <c r="E712" s="417">
        <v>20</v>
      </c>
      <c r="F712" s="508">
        <f t="shared" si="117"/>
        <v>154.23999999999998</v>
      </c>
      <c r="G712" s="351" t="s">
        <v>4807</v>
      </c>
      <c r="H712" s="518" t="s">
        <v>3486</v>
      </c>
      <c r="I712" s="452" t="s">
        <v>11565</v>
      </c>
      <c r="J712" s="369" t="s">
        <v>753</v>
      </c>
      <c r="K712" s="452" t="s">
        <v>741</v>
      </c>
    </row>
    <row r="713" spans="1:11" s="317" customFormat="1">
      <c r="A713" s="369"/>
      <c r="B713" s="351" t="s">
        <v>3476</v>
      </c>
      <c r="C713" s="346">
        <v>437</v>
      </c>
      <c r="D713" s="345">
        <f t="shared" si="118"/>
        <v>134.23964043419267</v>
      </c>
      <c r="E713" s="417">
        <v>20</v>
      </c>
      <c r="F713" s="508">
        <f t="shared" si="117"/>
        <v>154.23999999999998</v>
      </c>
      <c r="G713" s="351" t="s">
        <v>4808</v>
      </c>
      <c r="H713" s="518" t="s">
        <v>3487</v>
      </c>
      <c r="I713" s="452" t="s">
        <v>11565</v>
      </c>
      <c r="J713" s="369" t="s">
        <v>753</v>
      </c>
      <c r="K713" s="452" t="s">
        <v>741</v>
      </c>
    </row>
    <row r="714" spans="1:11" s="317" customFormat="1">
      <c r="A714" s="369"/>
      <c r="B714" s="351" t="s">
        <v>3477</v>
      </c>
      <c r="C714" s="346">
        <v>437</v>
      </c>
      <c r="D714" s="345">
        <f t="shared" si="118"/>
        <v>134.23964043419267</v>
      </c>
      <c r="E714" s="417">
        <v>20</v>
      </c>
      <c r="F714" s="508">
        <f t="shared" si="117"/>
        <v>154.23999999999998</v>
      </c>
      <c r="G714" s="351" t="s">
        <v>4809</v>
      </c>
      <c r="H714" s="518" t="s">
        <v>3488</v>
      </c>
      <c r="I714" s="452" t="s">
        <v>11565</v>
      </c>
      <c r="J714" s="369" t="s">
        <v>753</v>
      </c>
      <c r="K714" s="452" t="s">
        <v>741</v>
      </c>
    </row>
    <row r="715" spans="1:11" s="317" customFormat="1">
      <c r="A715" s="369"/>
      <c r="B715" s="351" t="s">
        <v>3478</v>
      </c>
      <c r="C715" s="346">
        <v>482</v>
      </c>
      <c r="D715" s="345">
        <f t="shared" si="118"/>
        <v>148.06294436906376</v>
      </c>
      <c r="E715" s="417">
        <v>20</v>
      </c>
      <c r="F715" s="508">
        <f t="shared" si="117"/>
        <v>168.07</v>
      </c>
      <c r="G715" s="351" t="s">
        <v>4810</v>
      </c>
      <c r="H715" s="518" t="s">
        <v>3489</v>
      </c>
      <c r="I715" s="452" t="s">
        <v>11565</v>
      </c>
      <c r="J715" s="369" t="s">
        <v>753</v>
      </c>
      <c r="K715" s="452" t="s">
        <v>741</v>
      </c>
    </row>
    <row r="716" spans="1:11" s="317" customFormat="1">
      <c r="A716" s="369"/>
      <c r="B716" s="314"/>
      <c r="C716" s="196" t="s">
        <v>2024</v>
      </c>
      <c r="D716" s="230"/>
      <c r="E716" s="215"/>
      <c r="F716" s="511"/>
      <c r="G716" s="314"/>
      <c r="H716" s="518"/>
      <c r="I716" s="452"/>
      <c r="J716" s="369"/>
      <c r="K716" s="452"/>
    </row>
    <row r="717" spans="1:11" s="317" customFormat="1">
      <c r="A717" s="369"/>
      <c r="B717" s="351" t="s">
        <v>9459</v>
      </c>
      <c r="C717" s="346">
        <v>437</v>
      </c>
      <c r="D717" s="345">
        <f t="shared" ref="D717" si="119">C717*(1-VLOOKUP(I717,descuentos,6,FALSE))*fcl/IF(dol_sol="dólar", TC,1)</f>
        <v>134.23964043419267</v>
      </c>
      <c r="E717" s="417">
        <v>20</v>
      </c>
      <c r="F717" s="511">
        <f t="shared" ref="F717:F728" si="120">ROUNDUP(D717+E717,2)</f>
        <v>154.23999999999998</v>
      </c>
      <c r="G717" s="351" t="s">
        <v>9460</v>
      </c>
      <c r="H717" s="518" t="s">
        <v>9461</v>
      </c>
      <c r="I717" s="452" t="s">
        <v>11565</v>
      </c>
      <c r="J717" s="369" t="s">
        <v>753</v>
      </c>
      <c r="K717" s="452" t="s">
        <v>741</v>
      </c>
    </row>
    <row r="718" spans="1:11" s="317" customFormat="1">
      <c r="A718" s="369"/>
      <c r="B718" s="351" t="s">
        <v>6553</v>
      </c>
      <c r="C718" s="346">
        <v>437</v>
      </c>
      <c r="D718" s="345">
        <f t="shared" ref="D718:D727" si="121">C718*(1-VLOOKUP(I718,descuentos,6,FALSE))*fcl/IF(dol_sol="dólar", TC,1)</f>
        <v>134.23964043419267</v>
      </c>
      <c r="E718" s="417">
        <v>20</v>
      </c>
      <c r="F718" s="511">
        <f t="shared" si="120"/>
        <v>154.23999999999998</v>
      </c>
      <c r="G718" s="351" t="s">
        <v>6554</v>
      </c>
      <c r="H718" s="518" t="s">
        <v>6555</v>
      </c>
      <c r="I718" s="452" t="s">
        <v>11565</v>
      </c>
      <c r="J718" s="369" t="s">
        <v>753</v>
      </c>
      <c r="K718" s="452" t="s">
        <v>741</v>
      </c>
    </row>
    <row r="719" spans="1:11" s="317" customFormat="1">
      <c r="A719" s="369"/>
      <c r="B719" s="351" t="s">
        <v>6556</v>
      </c>
      <c r="C719" s="346">
        <v>437</v>
      </c>
      <c r="D719" s="345">
        <f t="shared" si="121"/>
        <v>134.23964043419267</v>
      </c>
      <c r="E719" s="417">
        <v>20</v>
      </c>
      <c r="F719" s="511">
        <f t="shared" si="120"/>
        <v>154.23999999999998</v>
      </c>
      <c r="G719" s="351" t="s">
        <v>6557</v>
      </c>
      <c r="H719" s="518" t="s">
        <v>6558</v>
      </c>
      <c r="I719" s="452" t="s">
        <v>11565</v>
      </c>
      <c r="J719" s="369" t="s">
        <v>753</v>
      </c>
      <c r="K719" s="452" t="s">
        <v>741</v>
      </c>
    </row>
    <row r="720" spans="1:11" s="317" customFormat="1">
      <c r="A720" s="369"/>
      <c r="B720" s="351" t="s">
        <v>6559</v>
      </c>
      <c r="C720" s="346">
        <v>443</v>
      </c>
      <c r="D720" s="345">
        <f t="shared" si="121"/>
        <v>136.0827476255088</v>
      </c>
      <c r="E720" s="417">
        <v>20</v>
      </c>
      <c r="F720" s="511">
        <f t="shared" si="120"/>
        <v>156.09</v>
      </c>
      <c r="G720" s="351" t="s">
        <v>6560</v>
      </c>
      <c r="H720" s="518" t="s">
        <v>6561</v>
      </c>
      <c r="I720" s="452" t="s">
        <v>11565</v>
      </c>
      <c r="J720" s="369" t="s">
        <v>753</v>
      </c>
      <c r="K720" s="452" t="s">
        <v>741</v>
      </c>
    </row>
    <row r="721" spans="1:11" s="317" customFormat="1">
      <c r="A721" s="369"/>
      <c r="B721" s="351" t="s">
        <v>6562</v>
      </c>
      <c r="C721" s="346">
        <v>437</v>
      </c>
      <c r="D721" s="345">
        <f t="shared" si="121"/>
        <v>134.23964043419267</v>
      </c>
      <c r="E721" s="417">
        <v>20</v>
      </c>
      <c r="F721" s="511">
        <f t="shared" si="120"/>
        <v>154.23999999999998</v>
      </c>
      <c r="G721" s="351" t="s">
        <v>6563</v>
      </c>
      <c r="H721" s="518" t="s">
        <v>6564</v>
      </c>
      <c r="I721" s="452" t="s">
        <v>11565</v>
      </c>
      <c r="J721" s="369" t="s">
        <v>753</v>
      </c>
      <c r="K721" s="452" t="s">
        <v>741</v>
      </c>
    </row>
    <row r="722" spans="1:11" s="317" customFormat="1">
      <c r="A722" s="369"/>
      <c r="B722" s="351" t="s">
        <v>6565</v>
      </c>
      <c r="C722" s="346">
        <v>437</v>
      </c>
      <c r="D722" s="345">
        <f t="shared" si="121"/>
        <v>134.23964043419267</v>
      </c>
      <c r="E722" s="417">
        <v>20</v>
      </c>
      <c r="F722" s="511">
        <f t="shared" si="120"/>
        <v>154.23999999999998</v>
      </c>
      <c r="G722" s="351" t="s">
        <v>6566</v>
      </c>
      <c r="H722" s="518" t="s">
        <v>6567</v>
      </c>
      <c r="I722" s="452" t="s">
        <v>11565</v>
      </c>
      <c r="J722" s="369" t="s">
        <v>753</v>
      </c>
      <c r="K722" s="452" t="s">
        <v>741</v>
      </c>
    </row>
    <row r="723" spans="1:11" s="317" customFormat="1">
      <c r="A723" s="369"/>
      <c r="B723" s="351" t="s">
        <v>6568</v>
      </c>
      <c r="C723" s="346">
        <v>443</v>
      </c>
      <c r="D723" s="345">
        <f t="shared" si="121"/>
        <v>136.0827476255088</v>
      </c>
      <c r="E723" s="417">
        <v>20</v>
      </c>
      <c r="F723" s="511">
        <f t="shared" si="120"/>
        <v>156.09</v>
      </c>
      <c r="G723" s="351" t="s">
        <v>6569</v>
      </c>
      <c r="H723" s="518" t="s">
        <v>6570</v>
      </c>
      <c r="I723" s="452" t="s">
        <v>11565</v>
      </c>
      <c r="J723" s="369" t="s">
        <v>753</v>
      </c>
      <c r="K723" s="452" t="s">
        <v>741</v>
      </c>
    </row>
    <row r="724" spans="1:11" s="317" customFormat="1">
      <c r="A724" s="369"/>
      <c r="B724" s="351" t="s">
        <v>6571</v>
      </c>
      <c r="C724" s="346">
        <v>460</v>
      </c>
      <c r="D724" s="345">
        <f t="shared" si="121"/>
        <v>141.3048846675712</v>
      </c>
      <c r="E724" s="417">
        <v>20</v>
      </c>
      <c r="F724" s="511">
        <f t="shared" si="120"/>
        <v>161.31</v>
      </c>
      <c r="G724" s="351" t="s">
        <v>6572</v>
      </c>
      <c r="H724" s="518" t="s">
        <v>6573</v>
      </c>
      <c r="I724" s="452" t="s">
        <v>11565</v>
      </c>
      <c r="J724" s="369" t="s">
        <v>753</v>
      </c>
      <c r="K724" s="452" t="s">
        <v>741</v>
      </c>
    </row>
    <row r="725" spans="1:11" s="317" customFormat="1">
      <c r="A725" s="369"/>
      <c r="B725" s="351" t="s">
        <v>6574</v>
      </c>
      <c r="C725" s="346">
        <v>460</v>
      </c>
      <c r="D725" s="345">
        <f t="shared" si="121"/>
        <v>141.3048846675712</v>
      </c>
      <c r="E725" s="417">
        <v>20</v>
      </c>
      <c r="F725" s="511">
        <f t="shared" si="120"/>
        <v>161.31</v>
      </c>
      <c r="G725" s="351" t="s">
        <v>6575</v>
      </c>
      <c r="H725" s="518" t="s">
        <v>6576</v>
      </c>
      <c r="I725" s="452" t="s">
        <v>11565</v>
      </c>
      <c r="J725" s="369" t="s">
        <v>753</v>
      </c>
      <c r="K725" s="452" t="s">
        <v>741</v>
      </c>
    </row>
    <row r="726" spans="1:11" s="317" customFormat="1">
      <c r="A726" s="369"/>
      <c r="B726" s="351" t="s">
        <v>6577</v>
      </c>
      <c r="C726" s="346">
        <v>460</v>
      </c>
      <c r="D726" s="345">
        <f t="shared" si="121"/>
        <v>141.3048846675712</v>
      </c>
      <c r="E726" s="417">
        <v>20</v>
      </c>
      <c r="F726" s="511">
        <f t="shared" si="120"/>
        <v>161.31</v>
      </c>
      <c r="G726" s="351" t="s">
        <v>6578</v>
      </c>
      <c r="H726" s="518" t="s">
        <v>6579</v>
      </c>
      <c r="I726" s="452" t="s">
        <v>11565</v>
      </c>
      <c r="J726" s="369" t="s">
        <v>753</v>
      </c>
      <c r="K726" s="452" t="s">
        <v>741</v>
      </c>
    </row>
    <row r="727" spans="1:11" s="317" customFormat="1">
      <c r="A727" s="369"/>
      <c r="B727" s="351" t="s">
        <v>6580</v>
      </c>
      <c r="C727" s="346">
        <v>460</v>
      </c>
      <c r="D727" s="345">
        <f t="shared" si="121"/>
        <v>141.3048846675712</v>
      </c>
      <c r="E727" s="417">
        <v>20</v>
      </c>
      <c r="F727" s="511">
        <f t="shared" si="120"/>
        <v>161.31</v>
      </c>
      <c r="G727" s="351" t="s">
        <v>6581</v>
      </c>
      <c r="H727" s="518" t="s">
        <v>6582</v>
      </c>
      <c r="I727" s="452" t="s">
        <v>11565</v>
      </c>
      <c r="J727" s="369" t="s">
        <v>753</v>
      </c>
      <c r="K727" s="452" t="s">
        <v>741</v>
      </c>
    </row>
    <row r="728" spans="1:11" s="317" customFormat="1">
      <c r="A728" s="369"/>
      <c r="B728" s="351" t="s">
        <v>9462</v>
      </c>
      <c r="C728" s="346">
        <v>506</v>
      </c>
      <c r="D728" s="345">
        <f t="shared" ref="D728" si="122">C728*(1-VLOOKUP(I728,descuentos,6,FALSE))*fcl/IF(dol_sol="dólar", TC,1)</f>
        <v>155.43537313432833</v>
      </c>
      <c r="E728" s="417">
        <v>20</v>
      </c>
      <c r="F728" s="511">
        <f t="shared" si="120"/>
        <v>175.44</v>
      </c>
      <c r="G728" s="351" t="s">
        <v>9463</v>
      </c>
      <c r="H728" s="518" t="s">
        <v>9464</v>
      </c>
      <c r="I728" s="452" t="s">
        <v>11565</v>
      </c>
      <c r="J728" s="369" t="s">
        <v>753</v>
      </c>
      <c r="K728" s="452" t="s">
        <v>741</v>
      </c>
    </row>
    <row r="729" spans="1:11" s="317" customFormat="1">
      <c r="A729" s="369"/>
      <c r="B729" s="314"/>
      <c r="C729" s="196" t="s">
        <v>2024</v>
      </c>
      <c r="D729" s="230"/>
      <c r="E729" s="215"/>
      <c r="F729" s="511"/>
      <c r="G729" s="314"/>
      <c r="H729" s="518"/>
      <c r="I729" s="452"/>
      <c r="J729" s="369"/>
      <c r="K729" s="452"/>
    </row>
    <row r="730" spans="1:11" s="317" customFormat="1">
      <c r="A730" s="369"/>
      <c r="B730" s="314" t="s">
        <v>5347</v>
      </c>
      <c r="C730" s="196">
        <v>517</v>
      </c>
      <c r="D730" s="230">
        <f>C730*(1-VLOOKUP(I730,descuentos,6,FALSE))*fcl/IF(dol_sol="dólar", TC,1)</f>
        <v>158.81440298507462</v>
      </c>
      <c r="E730" s="215">
        <f>D730/8</f>
        <v>19.851800373134328</v>
      </c>
      <c r="F730" s="511">
        <f>ROUNDUP(D730+E730,2)</f>
        <v>178.67</v>
      </c>
      <c r="G730" s="314" t="s">
        <v>5348</v>
      </c>
      <c r="H730" s="518" t="s">
        <v>5349</v>
      </c>
      <c r="I730" s="452" t="s">
        <v>11565</v>
      </c>
      <c r="J730" s="369" t="s">
        <v>753</v>
      </c>
      <c r="K730" s="452" t="s">
        <v>741</v>
      </c>
    </row>
    <row r="731" spans="1:11" s="317" customFormat="1">
      <c r="A731" s="369"/>
      <c r="B731" s="314" t="s">
        <v>5350</v>
      </c>
      <c r="C731" s="196">
        <v>517</v>
      </c>
      <c r="D731" s="230">
        <f>C731*(1-VLOOKUP(I731,descuentos,6,FALSE))*fcl/IF(dol_sol="dólar", TC,1)</f>
        <v>158.81440298507462</v>
      </c>
      <c r="E731" s="215">
        <f>D731/8</f>
        <v>19.851800373134328</v>
      </c>
      <c r="F731" s="511">
        <f>ROUNDUP(D731+E731,2)</f>
        <v>178.67</v>
      </c>
      <c r="G731" s="314" t="s">
        <v>5351</v>
      </c>
      <c r="H731" s="518" t="s">
        <v>5352</v>
      </c>
      <c r="I731" s="452" t="s">
        <v>11565</v>
      </c>
      <c r="J731" s="369" t="s">
        <v>753</v>
      </c>
      <c r="K731" s="452" t="s">
        <v>741</v>
      </c>
    </row>
    <row r="732" spans="1:11" s="317" customFormat="1">
      <c r="A732" s="369"/>
      <c r="B732" s="314" t="s">
        <v>5353</v>
      </c>
      <c r="C732" s="196">
        <v>549</v>
      </c>
      <c r="D732" s="230">
        <f>C732*(1-VLOOKUP(I732,descuentos,6,FALSE))*fcl/IF(dol_sol="dólar", TC,1)</f>
        <v>168.6443080054274</v>
      </c>
      <c r="E732" s="215">
        <f>D732/8</f>
        <v>21.080538500678426</v>
      </c>
      <c r="F732" s="511">
        <f>ROUNDUP(D732+E732,2)</f>
        <v>189.73</v>
      </c>
      <c r="G732" s="314" t="s">
        <v>5354</v>
      </c>
      <c r="H732" s="518" t="s">
        <v>5355</v>
      </c>
      <c r="I732" s="452" t="s">
        <v>11565</v>
      </c>
      <c r="J732" s="369" t="s">
        <v>753</v>
      </c>
      <c r="K732" s="452" t="s">
        <v>741</v>
      </c>
    </row>
    <row r="733" spans="1:11" s="317" customFormat="1">
      <c r="A733" s="369"/>
      <c r="B733" s="314" t="s">
        <v>5356</v>
      </c>
      <c r="C733" s="196">
        <v>549</v>
      </c>
      <c r="D733" s="230">
        <f>C733*(1-VLOOKUP(I733,descuentos,6,FALSE))*fcl/IF(dol_sol="dólar", TC,1)</f>
        <v>168.6443080054274</v>
      </c>
      <c r="E733" s="215">
        <f>D733/8</f>
        <v>21.080538500678426</v>
      </c>
      <c r="F733" s="511">
        <f>ROUNDUP(D733+E733,2)</f>
        <v>189.73</v>
      </c>
      <c r="G733" s="314" t="s">
        <v>5357</v>
      </c>
      <c r="H733" s="518" t="s">
        <v>5358</v>
      </c>
      <c r="I733" s="452" t="s">
        <v>11565</v>
      </c>
      <c r="J733" s="369" t="s">
        <v>753</v>
      </c>
      <c r="K733" s="452" t="s">
        <v>741</v>
      </c>
    </row>
    <row r="734" spans="1:11" s="317" customFormat="1">
      <c r="A734" s="369"/>
      <c r="B734" s="314" t="s">
        <v>5359</v>
      </c>
      <c r="C734" s="196">
        <v>549</v>
      </c>
      <c r="D734" s="230">
        <f>C734*(1-VLOOKUP(I734,descuentos,6,FALSE))*fcl/IF(dol_sol="dólar", TC,1)</f>
        <v>168.6443080054274</v>
      </c>
      <c r="E734" s="215">
        <f>D734/8</f>
        <v>21.080538500678426</v>
      </c>
      <c r="F734" s="511">
        <f>ROUNDUP(D734+E734,2)</f>
        <v>189.73</v>
      </c>
      <c r="G734" s="314" t="s">
        <v>5360</v>
      </c>
      <c r="H734" s="518" t="s">
        <v>5361</v>
      </c>
      <c r="I734" s="452" t="s">
        <v>11565</v>
      </c>
      <c r="J734" s="369" t="s">
        <v>753</v>
      </c>
      <c r="K734" s="452" t="s">
        <v>741</v>
      </c>
    </row>
    <row r="735" spans="1:11" s="317" customFormat="1">
      <c r="A735" s="369"/>
      <c r="B735" s="314"/>
      <c r="C735" s="196" t="s">
        <v>2024</v>
      </c>
      <c r="D735" s="230"/>
      <c r="E735" s="215"/>
      <c r="F735" s="511"/>
      <c r="G735" s="314"/>
      <c r="H735" s="518"/>
      <c r="I735" s="452"/>
      <c r="J735" s="369"/>
      <c r="K735" s="452"/>
    </row>
    <row r="736" spans="1:11" s="317" customFormat="1">
      <c r="A736" s="369"/>
      <c r="B736" s="351" t="s">
        <v>2129</v>
      </c>
      <c r="C736" s="346">
        <v>646</v>
      </c>
      <c r="D736" s="345">
        <f>C736*(1-VLOOKUP(I736,descuentos,6,FALSE))*fcl/IF(dol_sol="dólar", TC,1)</f>
        <v>198.44120759837173</v>
      </c>
      <c r="E736" s="343">
        <f>D736/8</f>
        <v>24.805150949796467</v>
      </c>
      <c r="F736" s="508">
        <f t="shared" si="100"/>
        <v>223.25</v>
      </c>
      <c r="G736" s="351" t="s">
        <v>4341</v>
      </c>
      <c r="H736" s="518" t="s">
        <v>2130</v>
      </c>
      <c r="I736" s="452" t="s">
        <v>11565</v>
      </c>
      <c r="J736" s="369" t="s">
        <v>753</v>
      </c>
      <c r="K736" s="452" t="s">
        <v>741</v>
      </c>
    </row>
    <row r="737" spans="1:11" s="317" customFormat="1">
      <c r="A737" s="369"/>
      <c r="B737" s="351" t="s">
        <v>2131</v>
      </c>
      <c r="C737" s="346">
        <v>646</v>
      </c>
      <c r="D737" s="345">
        <f>C737*(1-VLOOKUP(I737,descuentos,6,FALSE))*fcl/IF(dol_sol="dólar", TC,1)</f>
        <v>198.44120759837173</v>
      </c>
      <c r="E737" s="343">
        <f>D737/8</f>
        <v>24.805150949796467</v>
      </c>
      <c r="F737" s="508">
        <f t="shared" si="100"/>
        <v>223.25</v>
      </c>
      <c r="G737" s="351" t="s">
        <v>4342</v>
      </c>
      <c r="H737" s="518" t="s">
        <v>2132</v>
      </c>
      <c r="I737" s="452" t="s">
        <v>11565</v>
      </c>
      <c r="J737" s="369" t="s">
        <v>753</v>
      </c>
      <c r="K737" s="452" t="s">
        <v>741</v>
      </c>
    </row>
    <row r="738" spans="1:11" s="317" customFormat="1">
      <c r="A738" s="369"/>
      <c r="B738" s="351" t="s">
        <v>2133</v>
      </c>
      <c r="C738" s="346">
        <v>688</v>
      </c>
      <c r="D738" s="345">
        <f>C738*(1-VLOOKUP(I738,descuentos,6,FALSE))*fcl/IF(dol_sol="dólar", TC,1)</f>
        <v>211.34295793758477</v>
      </c>
      <c r="E738" s="343">
        <f>D738/8</f>
        <v>26.417869742198096</v>
      </c>
      <c r="F738" s="508">
        <f t="shared" si="100"/>
        <v>237.76999999999998</v>
      </c>
      <c r="G738" s="351" t="s">
        <v>4343</v>
      </c>
      <c r="H738" s="518" t="s">
        <v>2134</v>
      </c>
      <c r="I738" s="452" t="s">
        <v>11565</v>
      </c>
      <c r="J738" s="369" t="s">
        <v>753</v>
      </c>
      <c r="K738" s="452" t="s">
        <v>741</v>
      </c>
    </row>
    <row r="739" spans="1:11" s="317" customFormat="1">
      <c r="A739" s="369"/>
      <c r="B739" s="351" t="s">
        <v>2135</v>
      </c>
      <c r="C739" s="346">
        <v>688</v>
      </c>
      <c r="D739" s="345">
        <f>C739*(1-VLOOKUP(I739,descuentos,6,FALSE))*fcl/IF(dol_sol="dólar", TC,1)</f>
        <v>211.34295793758477</v>
      </c>
      <c r="E739" s="343">
        <f>D739/8</f>
        <v>26.417869742198096</v>
      </c>
      <c r="F739" s="508">
        <f t="shared" si="100"/>
        <v>237.76999999999998</v>
      </c>
      <c r="G739" s="351" t="s">
        <v>4344</v>
      </c>
      <c r="H739" s="518" t="s">
        <v>2136</v>
      </c>
      <c r="I739" s="452" t="s">
        <v>11565</v>
      </c>
      <c r="J739" s="369" t="s">
        <v>753</v>
      </c>
      <c r="K739" s="452" t="s">
        <v>741</v>
      </c>
    </row>
    <row r="740" spans="1:11" s="317" customFormat="1">
      <c r="A740" s="369"/>
      <c r="B740" s="351" t="s">
        <v>2137</v>
      </c>
      <c r="C740" s="346">
        <v>688</v>
      </c>
      <c r="D740" s="345">
        <f>C740*(1-VLOOKUP(I740,descuentos,6,FALSE))*fcl/IF(dol_sol="dólar", TC,1)</f>
        <v>211.34295793758477</v>
      </c>
      <c r="E740" s="343">
        <f>D740/8</f>
        <v>26.417869742198096</v>
      </c>
      <c r="F740" s="508">
        <f t="shared" si="100"/>
        <v>237.76999999999998</v>
      </c>
      <c r="G740" s="351" t="s">
        <v>4345</v>
      </c>
      <c r="H740" s="518" t="s">
        <v>2138</v>
      </c>
      <c r="I740" s="452" t="s">
        <v>11565</v>
      </c>
      <c r="J740" s="369" t="s">
        <v>753</v>
      </c>
      <c r="K740" s="452" t="s">
        <v>741</v>
      </c>
    </row>
    <row r="741" spans="1:11" s="317" customFormat="1">
      <c r="A741" s="369"/>
      <c r="B741" s="314"/>
      <c r="C741" s="196" t="s">
        <v>2024</v>
      </c>
      <c r="D741" s="230"/>
      <c r="E741" s="215"/>
      <c r="F741" s="511">
        <f t="shared" si="100"/>
        <v>0</v>
      </c>
      <c r="G741" s="314"/>
      <c r="H741" s="518"/>
      <c r="I741" s="452"/>
      <c r="J741" s="369"/>
      <c r="K741" s="452"/>
    </row>
    <row r="742" spans="1:11" s="317" customFormat="1">
      <c r="A742" s="369"/>
      <c r="B742" s="314"/>
      <c r="C742" s="196" t="s">
        <v>2024</v>
      </c>
      <c r="D742" s="230"/>
      <c r="E742" s="215"/>
      <c r="F742" s="511">
        <f t="shared" si="100"/>
        <v>0</v>
      </c>
      <c r="G742" s="314"/>
      <c r="H742" s="518"/>
      <c r="I742" s="452"/>
      <c r="J742" s="369"/>
      <c r="K742" s="452"/>
    </row>
    <row r="743" spans="1:11" s="317" customFormat="1">
      <c r="A743" s="369"/>
      <c r="B743" s="351" t="s">
        <v>2139</v>
      </c>
      <c r="C743" s="196">
        <v>464</v>
      </c>
      <c r="D743" s="230">
        <f>C743*(1-VLOOKUP(I743,descuentos,6,FALSE))*fcl/IF(dol_sol="dólar", TC,1)</f>
        <v>142.53362279511532</v>
      </c>
      <c r="E743" s="215">
        <f>D743/8</f>
        <v>17.816702849389415</v>
      </c>
      <c r="F743" s="511">
        <f t="shared" si="100"/>
        <v>160.35999999999999</v>
      </c>
      <c r="G743" s="314" t="s">
        <v>4346</v>
      </c>
      <c r="H743" s="518" t="s">
        <v>2140</v>
      </c>
      <c r="I743" s="452" t="s">
        <v>11565</v>
      </c>
      <c r="J743" s="369" t="s">
        <v>753</v>
      </c>
      <c r="K743" s="452" t="s">
        <v>741</v>
      </c>
    </row>
    <row r="744" spans="1:11" s="317" customFormat="1">
      <c r="A744" s="369"/>
      <c r="B744" s="314" t="s">
        <v>1206</v>
      </c>
      <c r="C744" s="196">
        <v>480</v>
      </c>
      <c r="D744" s="230">
        <f>C744*(1-VLOOKUP(I744,descuentos,6,FALSE))*fcl/IF(dol_sol="dólar", TC,1)</f>
        <v>147.44857530529171</v>
      </c>
      <c r="E744" s="215">
        <f>D744/8</f>
        <v>18.431071913161464</v>
      </c>
      <c r="F744" s="511">
        <f t="shared" si="100"/>
        <v>165.88</v>
      </c>
      <c r="G744" s="314" t="s">
        <v>4347</v>
      </c>
      <c r="H744" s="518" t="s">
        <v>1209</v>
      </c>
      <c r="I744" s="452" t="s">
        <v>11565</v>
      </c>
      <c r="J744" s="369" t="s">
        <v>753</v>
      </c>
      <c r="K744" s="452" t="s">
        <v>741</v>
      </c>
    </row>
    <row r="745" spans="1:11" s="317" customFormat="1">
      <c r="A745" s="369"/>
      <c r="B745" s="314" t="s">
        <v>1207</v>
      </c>
      <c r="C745" s="196">
        <v>560</v>
      </c>
      <c r="D745" s="230">
        <f>C745*(1-VLOOKUP(I745,descuentos,6,FALSE))*fcl/IF(dol_sol="dólar", TC,1)</f>
        <v>172.02333785617367</v>
      </c>
      <c r="E745" s="215">
        <f>D745/8</f>
        <v>21.502917232021709</v>
      </c>
      <c r="F745" s="511">
        <f t="shared" si="100"/>
        <v>193.53</v>
      </c>
      <c r="G745" s="314" t="s">
        <v>4348</v>
      </c>
      <c r="H745" s="518" t="s">
        <v>1210</v>
      </c>
      <c r="I745" s="452" t="s">
        <v>11565</v>
      </c>
      <c r="J745" s="369" t="s">
        <v>753</v>
      </c>
      <c r="K745" s="452" t="s">
        <v>741</v>
      </c>
    </row>
    <row r="746" spans="1:11" s="317" customFormat="1">
      <c r="A746" s="369"/>
      <c r="B746" s="314" t="s">
        <v>1208</v>
      </c>
      <c r="C746" s="196">
        <v>580</v>
      </c>
      <c r="D746" s="230">
        <f>C746*(1-VLOOKUP(I746,descuentos,6,FALSE))*fcl/IF(dol_sol="dólar", TC,1)</f>
        <v>178.16702849389412</v>
      </c>
      <c r="E746" s="215">
        <f>D746/8</f>
        <v>22.270878561736765</v>
      </c>
      <c r="F746" s="511">
        <f t="shared" si="100"/>
        <v>200.44</v>
      </c>
      <c r="G746" s="314" t="s">
        <v>4349</v>
      </c>
      <c r="H746" s="518" t="s">
        <v>1211</v>
      </c>
      <c r="I746" s="452" t="s">
        <v>11565</v>
      </c>
      <c r="J746" s="369" t="s">
        <v>753</v>
      </c>
      <c r="K746" s="452" t="s">
        <v>741</v>
      </c>
    </row>
    <row r="747" spans="1:11" s="317" customFormat="1">
      <c r="A747" s="369"/>
      <c r="B747" s="314"/>
      <c r="C747" s="196" t="s">
        <v>2024</v>
      </c>
      <c r="D747" s="230"/>
      <c r="E747" s="215"/>
      <c r="F747" s="511"/>
      <c r="G747" s="314"/>
      <c r="H747" s="518"/>
      <c r="I747" s="452"/>
      <c r="J747" s="369"/>
      <c r="K747" s="452"/>
    </row>
    <row r="748" spans="1:11" s="317" customFormat="1">
      <c r="A748" s="369"/>
      <c r="B748" s="314"/>
      <c r="C748" s="196" t="s">
        <v>2024</v>
      </c>
      <c r="D748" s="230"/>
      <c r="E748" s="215"/>
      <c r="F748" s="511"/>
      <c r="G748" s="314"/>
      <c r="H748" s="518"/>
      <c r="I748" s="452"/>
      <c r="J748" s="369"/>
      <c r="K748" s="452"/>
    </row>
    <row r="749" spans="1:11" s="317" customFormat="1">
      <c r="A749" s="515"/>
      <c r="B749" s="1363" t="s">
        <v>4811</v>
      </c>
      <c r="C749" s="1364">
        <v>561</v>
      </c>
      <c r="D749" s="230">
        <f>C749*(1-VLOOKUP(I749,descuentos,6,FALSE))*fcl/IF(dol_sol="dólar", TC,1)</f>
        <v>172.33052238805968</v>
      </c>
      <c r="E749" s="549">
        <v>10</v>
      </c>
      <c r="F749" s="511">
        <f>ROUNDUP(D749+E749,2)</f>
        <v>182.34</v>
      </c>
      <c r="G749" s="1363" t="s">
        <v>4812</v>
      </c>
      <c r="H749" s="518" t="s">
        <v>4813</v>
      </c>
      <c r="I749" s="452" t="s">
        <v>11565</v>
      </c>
      <c r="J749" s="369" t="s">
        <v>753</v>
      </c>
      <c r="K749" s="452" t="s">
        <v>741</v>
      </c>
    </row>
    <row r="750" spans="1:11" s="317" customFormat="1">
      <c r="A750" s="515"/>
      <c r="B750" s="1363" t="s">
        <v>4814</v>
      </c>
      <c r="C750" s="1364">
        <v>597</v>
      </c>
      <c r="D750" s="230">
        <f>C750*(1-VLOOKUP(I750,descuentos,6,FALSE))*fcl/IF(dol_sol="dólar", TC,1)</f>
        <v>183.38916553595655</v>
      </c>
      <c r="E750" s="549">
        <v>15</v>
      </c>
      <c r="F750" s="511">
        <f>ROUNDUP(D750+E750,2)</f>
        <v>198.39</v>
      </c>
      <c r="G750" s="1363" t="s">
        <v>4815</v>
      </c>
      <c r="H750" s="518" t="s">
        <v>4816</v>
      </c>
      <c r="I750" s="452" t="s">
        <v>11565</v>
      </c>
      <c r="J750" s="369" t="s">
        <v>753</v>
      </c>
      <c r="K750" s="452" t="s">
        <v>741</v>
      </c>
    </row>
    <row r="751" spans="1:11" s="317" customFormat="1">
      <c r="A751" s="515"/>
      <c r="B751" s="1363" t="s">
        <v>4817</v>
      </c>
      <c r="C751" s="1364">
        <v>597</v>
      </c>
      <c r="D751" s="230">
        <f>C751*(1-VLOOKUP(I751,descuentos,6,FALSE))*fcl/IF(dol_sol="dólar", TC,1)</f>
        <v>183.38916553595655</v>
      </c>
      <c r="E751" s="549">
        <v>15</v>
      </c>
      <c r="F751" s="511">
        <f>ROUNDUP(D751+E751,2)</f>
        <v>198.39</v>
      </c>
      <c r="G751" s="1363" t="s">
        <v>4818</v>
      </c>
      <c r="H751" s="518" t="s">
        <v>4819</v>
      </c>
      <c r="I751" s="452" t="s">
        <v>11565</v>
      </c>
      <c r="J751" s="369" t="s">
        <v>753</v>
      </c>
      <c r="K751" s="452" t="s">
        <v>741</v>
      </c>
    </row>
    <row r="752" spans="1:11" s="317" customFormat="1">
      <c r="A752" s="369"/>
      <c r="B752" s="314"/>
      <c r="C752" s="196" t="s">
        <v>2024</v>
      </c>
      <c r="D752" s="230"/>
      <c r="E752" s="215"/>
      <c r="F752" s="511"/>
      <c r="G752" s="314"/>
      <c r="H752" s="518"/>
      <c r="I752" s="452"/>
      <c r="J752" s="369"/>
      <c r="K752" s="452"/>
    </row>
    <row r="753" spans="1:11" s="317" customFormat="1">
      <c r="A753" s="515"/>
      <c r="B753" s="314" t="s">
        <v>4820</v>
      </c>
      <c r="C753" s="196">
        <v>534</v>
      </c>
      <c r="D753" s="230">
        <f>C753*(1-VLOOKUP(I753,descuentos,6,FALSE))*fcl/IF(dol_sol="dólar", TC,1)</f>
        <v>164.03654002713702</v>
      </c>
      <c r="E753" s="549">
        <f>E743</f>
        <v>17.816702849389415</v>
      </c>
      <c r="F753" s="511">
        <f>ROUNDUP(D753+E753,2)</f>
        <v>181.85999999999999</v>
      </c>
      <c r="G753" s="314" t="s">
        <v>4821</v>
      </c>
      <c r="H753" s="518" t="s">
        <v>4822</v>
      </c>
      <c r="I753" s="452" t="s">
        <v>11565</v>
      </c>
      <c r="J753" s="369" t="s">
        <v>753</v>
      </c>
      <c r="K753" s="452" t="s">
        <v>741</v>
      </c>
    </row>
    <row r="754" spans="1:11" s="317" customFormat="1">
      <c r="A754" s="515"/>
      <c r="B754" s="314" t="s">
        <v>2141</v>
      </c>
      <c r="C754" s="196">
        <v>660</v>
      </c>
      <c r="D754" s="230">
        <f>C754*(1-VLOOKUP(I754,descuentos,6,FALSE))*fcl/IF(dol_sol="dólar", TC,1)</f>
        <v>202.74179104477611</v>
      </c>
      <c r="E754" s="549">
        <f>E744</f>
        <v>18.431071913161464</v>
      </c>
      <c r="F754" s="511">
        <f t="shared" si="100"/>
        <v>221.17999999999998</v>
      </c>
      <c r="G754" s="314" t="s">
        <v>4350</v>
      </c>
      <c r="H754" s="518" t="s">
        <v>2142</v>
      </c>
      <c r="I754" s="452" t="s">
        <v>11565</v>
      </c>
      <c r="J754" s="369" t="s">
        <v>753</v>
      </c>
      <c r="K754" s="452" t="s">
        <v>741</v>
      </c>
    </row>
    <row r="755" spans="1:11" s="317" customFormat="1">
      <c r="A755" s="515"/>
      <c r="B755" s="314" t="s">
        <v>2143</v>
      </c>
      <c r="C755" s="196">
        <v>702</v>
      </c>
      <c r="D755" s="230">
        <f>C755*(1-VLOOKUP(I755,descuentos,6,FALSE))*fcl/IF(dol_sol="dólar", TC,1)</f>
        <v>215.64354138398915</v>
      </c>
      <c r="E755" s="549">
        <f>E745</f>
        <v>21.502917232021709</v>
      </c>
      <c r="F755" s="511">
        <f t="shared" si="100"/>
        <v>237.14999999999998</v>
      </c>
      <c r="G755" s="314" t="s">
        <v>4351</v>
      </c>
      <c r="H755" s="518" t="s">
        <v>2144</v>
      </c>
      <c r="I755" s="452" t="s">
        <v>11565</v>
      </c>
      <c r="J755" s="369" t="s">
        <v>753</v>
      </c>
      <c r="K755" s="452" t="s">
        <v>741</v>
      </c>
    </row>
    <row r="756" spans="1:11" s="317" customFormat="1">
      <c r="A756" s="515"/>
      <c r="B756" s="314" t="s">
        <v>2145</v>
      </c>
      <c r="C756" s="196">
        <v>702</v>
      </c>
      <c r="D756" s="230">
        <f>C756*(1-VLOOKUP(I756,descuentos,6,FALSE))*fcl/IF(dol_sol="dólar", TC,1)</f>
        <v>215.64354138398915</v>
      </c>
      <c r="E756" s="549">
        <f>E746</f>
        <v>22.270878561736765</v>
      </c>
      <c r="F756" s="511">
        <f t="shared" si="100"/>
        <v>237.92</v>
      </c>
      <c r="G756" s="314" t="s">
        <v>4352</v>
      </c>
      <c r="H756" s="518" t="s">
        <v>2146</v>
      </c>
      <c r="I756" s="452" t="s">
        <v>11565</v>
      </c>
      <c r="J756" s="369" t="s">
        <v>753</v>
      </c>
      <c r="K756" s="452" t="s">
        <v>741</v>
      </c>
    </row>
    <row r="757" spans="1:11" s="317" customFormat="1">
      <c r="A757" s="515"/>
      <c r="B757" s="314"/>
      <c r="C757" s="196" t="s">
        <v>2024</v>
      </c>
      <c r="D757" s="230"/>
      <c r="E757" s="215"/>
      <c r="F757" s="511">
        <f t="shared" si="100"/>
        <v>0</v>
      </c>
      <c r="G757" s="314"/>
      <c r="H757" s="518"/>
      <c r="I757" s="452"/>
      <c r="J757" s="369"/>
      <c r="K757" s="452"/>
    </row>
    <row r="758" spans="1:11" s="317" customFormat="1">
      <c r="A758" s="515"/>
      <c r="B758" s="351" t="s">
        <v>4823</v>
      </c>
      <c r="C758" s="346">
        <v>667</v>
      </c>
      <c r="D758" s="230">
        <f>C758*(1-VLOOKUP(I758,descuentos,6,FALSE))*fcl/IF(dol_sol="dólar", TC,1)</f>
        <v>204.89208276797828</v>
      </c>
      <c r="E758" s="549">
        <f>E748</f>
        <v>0</v>
      </c>
      <c r="F758" s="511">
        <f t="shared" si="100"/>
        <v>204.89999999999998</v>
      </c>
      <c r="G758" s="351" t="s">
        <v>4824</v>
      </c>
      <c r="H758" s="518" t="s">
        <v>4825</v>
      </c>
      <c r="I758" s="452" t="s">
        <v>11565</v>
      </c>
      <c r="J758" s="369" t="s">
        <v>753</v>
      </c>
      <c r="K758" s="452" t="s">
        <v>741</v>
      </c>
    </row>
    <row r="759" spans="1:11" s="317" customFormat="1">
      <c r="A759" s="515"/>
      <c r="B759" s="351" t="s">
        <v>4826</v>
      </c>
      <c r="C759" s="346">
        <v>824</v>
      </c>
      <c r="D759" s="230">
        <f>C759*(1-VLOOKUP(I759,descuentos,6,FALSE))*fcl/IF(dol_sol="dólar", TC,1)</f>
        <v>253.12005427408411</v>
      </c>
      <c r="E759" s="549">
        <f>E749</f>
        <v>10</v>
      </c>
      <c r="F759" s="511">
        <f>ROUNDUP(D759+E759,2)</f>
        <v>263.13</v>
      </c>
      <c r="G759" s="351" t="s">
        <v>4827</v>
      </c>
      <c r="H759" s="518" t="s">
        <v>4828</v>
      </c>
      <c r="I759" s="452" t="s">
        <v>11565</v>
      </c>
      <c r="J759" s="369" t="s">
        <v>753</v>
      </c>
      <c r="K759" s="452" t="s">
        <v>741</v>
      </c>
    </row>
    <row r="760" spans="1:11" s="317" customFormat="1">
      <c r="A760" s="515"/>
      <c r="B760" s="351" t="s">
        <v>4829</v>
      </c>
      <c r="C760" s="346">
        <v>877</v>
      </c>
      <c r="D760" s="230">
        <f>C760*(1-VLOOKUP(I760,descuentos,6,FALSE))*fcl/IF(dol_sol="dólar", TC,1)</f>
        <v>269.40083446404338</v>
      </c>
      <c r="E760" s="549">
        <f>E750</f>
        <v>15</v>
      </c>
      <c r="F760" s="511">
        <f>ROUNDUP(D760+E760,2)</f>
        <v>284.40999999999997</v>
      </c>
      <c r="G760" s="351" t="s">
        <v>4830</v>
      </c>
      <c r="H760" s="518" t="s">
        <v>4831</v>
      </c>
      <c r="I760" s="452" t="s">
        <v>11565</v>
      </c>
      <c r="J760" s="369" t="s">
        <v>753</v>
      </c>
      <c r="K760" s="452" t="s">
        <v>741</v>
      </c>
    </row>
    <row r="761" spans="1:11" s="317" customFormat="1">
      <c r="A761" s="369"/>
      <c r="B761" s="351" t="s">
        <v>4832</v>
      </c>
      <c r="C761" s="346">
        <v>877</v>
      </c>
      <c r="D761" s="230">
        <f>C761*(1-VLOOKUP(I761,descuentos,6,FALSE))*fcl/IF(dol_sol="dólar", TC,1)</f>
        <v>269.40083446404338</v>
      </c>
      <c r="E761" s="549">
        <f>E751</f>
        <v>15</v>
      </c>
      <c r="F761" s="511">
        <f>ROUNDUP(D761+E761,2)</f>
        <v>284.40999999999997</v>
      </c>
      <c r="G761" s="351" t="s">
        <v>4833</v>
      </c>
      <c r="H761" s="518" t="s">
        <v>4834</v>
      </c>
      <c r="I761" s="452" t="s">
        <v>11565</v>
      </c>
      <c r="J761" s="369"/>
      <c r="K761" s="452"/>
    </row>
    <row r="762" spans="1:11" s="317" customFormat="1">
      <c r="A762" s="369"/>
      <c r="B762" s="314"/>
      <c r="C762" s="196" t="s">
        <v>2024</v>
      </c>
      <c r="D762" s="230"/>
      <c r="E762" s="215"/>
      <c r="F762" s="511"/>
      <c r="G762" s="314"/>
      <c r="H762" s="518"/>
      <c r="I762" s="452"/>
      <c r="J762" s="369"/>
      <c r="K762" s="452"/>
    </row>
    <row r="763" spans="1:11" s="317" customFormat="1">
      <c r="A763" s="515"/>
      <c r="B763" s="314"/>
      <c r="C763" s="196" t="s">
        <v>2024</v>
      </c>
      <c r="D763" s="230"/>
      <c r="E763" s="215"/>
      <c r="F763" s="511"/>
      <c r="G763" s="314"/>
      <c r="H763" s="518"/>
      <c r="I763" s="452"/>
      <c r="J763" s="369"/>
      <c r="K763" s="452"/>
    </row>
    <row r="764" spans="1:11" s="317" customFormat="1">
      <c r="A764" s="515"/>
      <c r="B764" s="314"/>
      <c r="C764" s="196" t="s">
        <v>2024</v>
      </c>
      <c r="D764" s="230"/>
      <c r="E764" s="215"/>
      <c r="F764" s="511"/>
      <c r="G764" s="314"/>
      <c r="H764" s="518"/>
      <c r="I764" s="452"/>
      <c r="J764" s="369"/>
      <c r="K764" s="452"/>
    </row>
    <row r="765" spans="1:11" s="317" customFormat="1">
      <c r="A765" s="515"/>
      <c r="B765" s="314" t="s">
        <v>1212</v>
      </c>
      <c r="C765" s="196">
        <v>1471</v>
      </c>
      <c r="D765" s="230">
        <f>C765*(1-VLOOKUP(I765,descuentos,6,FALSE))*fcl/IF(dol_sol="dólar", TC,1)</f>
        <v>451.86844640434191</v>
      </c>
      <c r="E765" s="215">
        <f>D765/8</f>
        <v>56.483555800542739</v>
      </c>
      <c r="F765" s="511">
        <f t="shared" si="100"/>
        <v>508.36</v>
      </c>
      <c r="G765" s="314" t="s">
        <v>4353</v>
      </c>
      <c r="H765" s="518" t="s">
        <v>1213</v>
      </c>
      <c r="I765" s="452" t="s">
        <v>11565</v>
      </c>
      <c r="J765" s="369" t="s">
        <v>753</v>
      </c>
      <c r="K765" s="452" t="s">
        <v>741</v>
      </c>
    </row>
    <row r="766" spans="1:11" s="317" customFormat="1">
      <c r="A766" s="515"/>
      <c r="B766" s="314" t="s">
        <v>1216</v>
      </c>
      <c r="C766" s="196">
        <v>1495</v>
      </c>
      <c r="D766" s="230">
        <f>C766*(1-VLOOKUP(I766,descuentos,6,FALSE))*fcl/IF(dol_sol="dólar", TC,1)</f>
        <v>459.24087516960651</v>
      </c>
      <c r="E766" s="215">
        <f>D766/8</f>
        <v>57.405109396200814</v>
      </c>
      <c r="F766" s="511">
        <f t="shared" si="100"/>
        <v>516.65</v>
      </c>
      <c r="G766" s="314" t="s">
        <v>4354</v>
      </c>
      <c r="H766" s="518" t="s">
        <v>1214</v>
      </c>
      <c r="I766" s="452" t="s">
        <v>11565</v>
      </c>
      <c r="J766" s="369" t="s">
        <v>753</v>
      </c>
      <c r="K766" s="452" t="s">
        <v>741</v>
      </c>
    </row>
    <row r="767" spans="1:11" s="317" customFormat="1">
      <c r="A767" s="515"/>
      <c r="B767" s="314" t="s">
        <v>1217</v>
      </c>
      <c r="C767" s="196">
        <v>1601</v>
      </c>
      <c r="D767" s="230">
        <f>C767*(1-VLOOKUP(I767,descuentos,6,FALSE))*fcl/IF(dol_sol="dólar", TC,1)</f>
        <v>491.80243554952506</v>
      </c>
      <c r="E767" s="215">
        <f>D767/8</f>
        <v>61.475304443690632</v>
      </c>
      <c r="F767" s="511">
        <f t="shared" si="100"/>
        <v>553.28</v>
      </c>
      <c r="G767" s="314" t="s">
        <v>4355</v>
      </c>
      <c r="H767" s="518" t="s">
        <v>1215</v>
      </c>
      <c r="I767" s="452" t="s">
        <v>11565</v>
      </c>
      <c r="J767" s="369" t="s">
        <v>753</v>
      </c>
      <c r="K767" s="452" t="s">
        <v>741</v>
      </c>
    </row>
    <row r="768" spans="1:11" s="317" customFormat="1">
      <c r="A768" s="515"/>
      <c r="B768" s="351" t="s">
        <v>2147</v>
      </c>
      <c r="C768" s="346">
        <v>2120</v>
      </c>
      <c r="D768" s="345">
        <f>C768*(1-VLOOKUP(I768,descuentos,6,FALSE))*fcl/IF(dol_sol="dólar", TC,1)</f>
        <v>651.23120759837161</v>
      </c>
      <c r="E768" s="343">
        <f>D768/8</f>
        <v>81.403900949796451</v>
      </c>
      <c r="F768" s="508">
        <f t="shared" si="100"/>
        <v>732.64</v>
      </c>
      <c r="G768" s="351" t="s">
        <v>4356</v>
      </c>
      <c r="H768" s="518" t="s">
        <v>2148</v>
      </c>
      <c r="I768" s="452" t="s">
        <v>11565</v>
      </c>
      <c r="J768" s="369" t="s">
        <v>753</v>
      </c>
      <c r="K768" s="452" t="s">
        <v>741</v>
      </c>
    </row>
    <row r="769" spans="1:11" s="317" customFormat="1">
      <c r="A769" s="369"/>
      <c r="B769" s="314"/>
      <c r="C769" s="196" t="s">
        <v>2024</v>
      </c>
      <c r="D769" s="230"/>
      <c r="E769" s="215"/>
      <c r="F769" s="511"/>
      <c r="G769" s="314"/>
      <c r="H769" s="518"/>
      <c r="I769" s="452"/>
      <c r="J769" s="369"/>
      <c r="K769" s="452"/>
    </row>
    <row r="770" spans="1:11" s="317" customFormat="1">
      <c r="A770" s="369"/>
      <c r="B770" s="233"/>
      <c r="C770" s="196" t="s">
        <v>2024</v>
      </c>
      <c r="D770" s="230"/>
      <c r="E770" s="215"/>
      <c r="F770" s="511"/>
      <c r="G770" s="314"/>
      <c r="H770" s="518"/>
      <c r="I770" s="452"/>
      <c r="J770" s="369"/>
      <c r="K770" s="452"/>
    </row>
    <row r="771" spans="1:11" s="317" customFormat="1">
      <c r="A771" s="369"/>
      <c r="B771" s="550" t="s">
        <v>1166</v>
      </c>
      <c r="C771" s="196">
        <v>89</v>
      </c>
      <c r="D771" s="230">
        <f>C771*(1-VLOOKUP(I771,descuentos,6,FALSE))*fcl/IF(dol_sol="dólar", TC,1)</f>
        <v>27.339423337856168</v>
      </c>
      <c r="E771" s="215">
        <v>3</v>
      </c>
      <c r="F771" s="511">
        <f t="shared" ref="F771:F802" si="123">ROUNDUP(D771+E771,2)</f>
        <v>30.34</v>
      </c>
      <c r="G771" s="518" t="s">
        <v>4835</v>
      </c>
      <c r="H771" s="518" t="s">
        <v>1169</v>
      </c>
      <c r="I771" s="452" t="s">
        <v>11565</v>
      </c>
      <c r="J771" s="515" t="s">
        <v>753</v>
      </c>
      <c r="K771" s="452" t="s">
        <v>741</v>
      </c>
    </row>
    <row r="772" spans="1:11" s="317" customFormat="1">
      <c r="A772" s="369"/>
      <c r="B772" s="550" t="s">
        <v>1167</v>
      </c>
      <c r="C772" s="196">
        <v>186</v>
      </c>
      <c r="D772" s="230">
        <f>C772*(1-VLOOKUP(I772,descuentos,6,FALSE))*fcl/IF(dol_sol="dólar", TC,1)</f>
        <v>57.136322930800532</v>
      </c>
      <c r="E772" s="215">
        <v>5</v>
      </c>
      <c r="F772" s="511">
        <f t="shared" si="123"/>
        <v>62.14</v>
      </c>
      <c r="G772" s="518" t="s">
        <v>4837</v>
      </c>
      <c r="H772" s="518" t="s">
        <v>1170</v>
      </c>
      <c r="I772" s="452" t="s">
        <v>11565</v>
      </c>
      <c r="J772" s="515" t="s">
        <v>753</v>
      </c>
      <c r="K772" s="452" t="s">
        <v>741</v>
      </c>
    </row>
    <row r="773" spans="1:11" s="317" customFormat="1">
      <c r="A773" s="369"/>
      <c r="B773" s="550" t="s">
        <v>1168</v>
      </c>
      <c r="C773" s="196">
        <v>260</v>
      </c>
      <c r="D773" s="230">
        <f>C773*(1-VLOOKUP(I773,descuentos,6,FALSE))*fcl/IF(dol_sol="dólar", TC,1)</f>
        <v>79.867978290366352</v>
      </c>
      <c r="E773" s="215">
        <v>7</v>
      </c>
      <c r="F773" s="511">
        <f t="shared" si="123"/>
        <v>86.87</v>
      </c>
      <c r="G773" s="518" t="s">
        <v>4839</v>
      </c>
      <c r="H773" s="518" t="s">
        <v>1171</v>
      </c>
      <c r="I773" s="452" t="s">
        <v>11565</v>
      </c>
      <c r="J773" s="515" t="s">
        <v>753</v>
      </c>
      <c r="K773" s="452" t="s">
        <v>741</v>
      </c>
    </row>
    <row r="774" spans="1:11" s="317" customFormat="1">
      <c r="A774" s="515"/>
      <c r="B774" s="550" t="s">
        <v>2153</v>
      </c>
      <c r="C774" s="196">
        <v>371</v>
      </c>
      <c r="D774" s="230">
        <f>C774*(1-VLOOKUP(I774,descuentos,6,FALSE))*fcl/IF(dol_sol="dólar", TC,1)</f>
        <v>113.96546132971505</v>
      </c>
      <c r="E774" s="215">
        <v>7</v>
      </c>
      <c r="F774" s="511">
        <f t="shared" si="123"/>
        <v>120.97</v>
      </c>
      <c r="G774" s="518" t="s">
        <v>4840</v>
      </c>
      <c r="H774" s="518" t="s">
        <v>1039</v>
      </c>
      <c r="I774" s="452" t="s">
        <v>11565</v>
      </c>
      <c r="J774" s="515" t="s">
        <v>753</v>
      </c>
      <c r="K774" s="452" t="s">
        <v>741</v>
      </c>
    </row>
    <row r="775" spans="1:11" s="315" customFormat="1">
      <c r="A775" s="515"/>
      <c r="B775" s="550"/>
      <c r="C775" s="196" t="s">
        <v>2024</v>
      </c>
      <c r="D775" s="230"/>
      <c r="E775" s="215"/>
      <c r="F775" s="511"/>
      <c r="G775" s="518"/>
      <c r="H775" s="518"/>
      <c r="I775" s="452"/>
      <c r="J775" s="515"/>
      <c r="K775" s="452"/>
    </row>
    <row r="776" spans="1:11" s="317" customFormat="1">
      <c r="A776" s="369"/>
      <c r="B776" s="551" t="s">
        <v>2149</v>
      </c>
      <c r="C776" s="346">
        <v>118</v>
      </c>
      <c r="D776" s="345">
        <f>C776*(1-VLOOKUP(I776,descuentos,6,FALSE))*fcl/IF(dol_sol="dólar", TC,1)</f>
        <v>36.247774762550883</v>
      </c>
      <c r="E776" s="343">
        <v>4</v>
      </c>
      <c r="F776" s="508">
        <f>ROUNDUP(D776+E776,2)</f>
        <v>40.25</v>
      </c>
      <c r="G776" s="506" t="s">
        <v>4836</v>
      </c>
      <c r="H776" s="518" t="s">
        <v>2150</v>
      </c>
      <c r="I776" s="452" t="s">
        <v>11565</v>
      </c>
      <c r="J776" s="515" t="s">
        <v>753</v>
      </c>
      <c r="K776" s="452" t="s">
        <v>741</v>
      </c>
    </row>
    <row r="777" spans="1:11" s="317" customFormat="1">
      <c r="A777" s="369"/>
      <c r="B777" s="551" t="s">
        <v>2151</v>
      </c>
      <c r="C777" s="346">
        <v>247</v>
      </c>
      <c r="D777" s="345">
        <f>C777*(1-VLOOKUP(I777,descuentos,6,FALSE))*fcl/IF(dol_sol="dólar", TC,1)</f>
        <v>75.874579375848029</v>
      </c>
      <c r="E777" s="343">
        <v>6</v>
      </c>
      <c r="F777" s="508">
        <f>ROUNDUP(D777+E777,2)</f>
        <v>81.88000000000001</v>
      </c>
      <c r="G777" s="506" t="s">
        <v>4838</v>
      </c>
      <c r="H777" s="518" t="s">
        <v>2152</v>
      </c>
      <c r="I777" s="452" t="s">
        <v>11565</v>
      </c>
      <c r="J777" s="515" t="s">
        <v>753</v>
      </c>
      <c r="K777" s="452" t="s">
        <v>741</v>
      </c>
    </row>
    <row r="778" spans="1:11" s="317" customFormat="1">
      <c r="A778" s="369"/>
      <c r="B778" s="551" t="s">
        <v>2154</v>
      </c>
      <c r="C778" s="346">
        <v>290</v>
      </c>
      <c r="D778" s="345">
        <f>C778*(1-VLOOKUP(I778,descuentos,6,FALSE))*fcl/IF(dol_sol="dólar", TC,1)</f>
        <v>89.083514246947061</v>
      </c>
      <c r="E778" s="343">
        <v>8</v>
      </c>
      <c r="F778" s="508">
        <f>ROUNDUP(D778+E778,2)</f>
        <v>97.09</v>
      </c>
      <c r="G778" s="506" t="s">
        <v>4841</v>
      </c>
      <c r="H778" s="518" t="s">
        <v>2155</v>
      </c>
      <c r="I778" s="452" t="s">
        <v>11565</v>
      </c>
      <c r="J778" s="515" t="s">
        <v>753</v>
      </c>
      <c r="K778" s="452" t="s">
        <v>741</v>
      </c>
    </row>
    <row r="779" spans="1:11" s="317" customFormat="1">
      <c r="A779" s="515"/>
      <c r="B779" s="551" t="s">
        <v>2156</v>
      </c>
      <c r="C779" s="346">
        <v>414</v>
      </c>
      <c r="D779" s="345">
        <f>C779*(1-VLOOKUP(I779,descuentos,6,FALSE))*fcl/IF(dol_sol="dólar", TC,1)</f>
        <v>127.17439620081409</v>
      </c>
      <c r="E779" s="343">
        <v>8</v>
      </c>
      <c r="F779" s="508">
        <f>ROUNDUP(D779+E779,2)</f>
        <v>135.17999999999998</v>
      </c>
      <c r="G779" s="506" t="s">
        <v>4842</v>
      </c>
      <c r="H779" s="518" t="s">
        <v>2157</v>
      </c>
      <c r="I779" s="452" t="s">
        <v>11565</v>
      </c>
      <c r="J779" s="515" t="s">
        <v>753</v>
      </c>
      <c r="K779" s="452" t="s">
        <v>741</v>
      </c>
    </row>
    <row r="780" spans="1:11" s="317" customFormat="1">
      <c r="A780" s="369"/>
      <c r="B780" s="552"/>
      <c r="C780" s="196" t="s">
        <v>2024</v>
      </c>
      <c r="D780" s="230"/>
      <c r="E780" s="215"/>
      <c r="F780" s="511"/>
      <c r="G780" s="518"/>
      <c r="H780" s="518"/>
      <c r="I780" s="452"/>
      <c r="J780" s="515"/>
      <c r="K780" s="452"/>
    </row>
    <row r="781" spans="1:11" s="317" customFormat="1">
      <c r="A781" s="515"/>
      <c r="B781" s="518"/>
      <c r="C781" s="196" t="s">
        <v>2024</v>
      </c>
      <c r="D781" s="230"/>
      <c r="E781" s="215"/>
      <c r="F781" s="511"/>
      <c r="G781" s="518"/>
      <c r="H781" s="518"/>
      <c r="I781" s="452"/>
      <c r="J781" s="515"/>
      <c r="K781" s="452"/>
    </row>
    <row r="782" spans="1:11" s="317" customFormat="1">
      <c r="A782" s="369"/>
      <c r="B782" s="518" t="s">
        <v>1697</v>
      </c>
      <c r="C782" s="196">
        <v>201</v>
      </c>
      <c r="D782" s="230">
        <f t="shared" ref="D782:D784" si="124">C782*(1-VLOOKUP(I782,descuentos,6,FALSE))*fcl/IF(dol_sol="dólar", TC,1)</f>
        <v>61.7440909090909</v>
      </c>
      <c r="E782" s="215">
        <v>15</v>
      </c>
      <c r="F782" s="511">
        <f t="shared" ref="F782:F785" si="125">ROUNDUP(D782+E782,2)</f>
        <v>76.75</v>
      </c>
      <c r="G782" s="314" t="s">
        <v>4843</v>
      </c>
      <c r="H782" s="518" t="s">
        <v>1698</v>
      </c>
      <c r="I782" s="452" t="s">
        <v>11565</v>
      </c>
      <c r="J782" s="369" t="s">
        <v>753</v>
      </c>
      <c r="K782" s="452" t="s">
        <v>741</v>
      </c>
    </row>
    <row r="783" spans="1:11" s="317" customFormat="1">
      <c r="A783" s="369"/>
      <c r="B783" s="518" t="s">
        <v>9653</v>
      </c>
      <c r="C783" s="196">
        <v>201</v>
      </c>
      <c r="D783" s="230">
        <f t="shared" ref="D783" si="126">C783*(1-VLOOKUP(I783,descuentos,6,FALSE))*fcl/IF(dol_sol="dólar", TC,1)</f>
        <v>61.7440909090909</v>
      </c>
      <c r="E783" s="215">
        <v>15</v>
      </c>
      <c r="F783" s="511">
        <f t="shared" si="125"/>
        <v>76.75</v>
      </c>
      <c r="G783" s="314" t="s">
        <v>9654</v>
      </c>
      <c r="H783" s="518" t="s">
        <v>9655</v>
      </c>
      <c r="I783" s="452" t="s">
        <v>11565</v>
      </c>
      <c r="J783" s="369" t="s">
        <v>753</v>
      </c>
      <c r="K783" s="452" t="s">
        <v>741</v>
      </c>
    </row>
    <row r="784" spans="1:11" s="317" customFormat="1">
      <c r="A784" s="369"/>
      <c r="B784" s="518" t="s">
        <v>1699</v>
      </c>
      <c r="C784" s="196">
        <v>280</v>
      </c>
      <c r="D784" s="230">
        <f t="shared" si="124"/>
        <v>86.011668928086834</v>
      </c>
      <c r="E784" s="215">
        <v>15</v>
      </c>
      <c r="F784" s="511">
        <f t="shared" si="125"/>
        <v>101.02000000000001</v>
      </c>
      <c r="G784" s="314" t="s">
        <v>4844</v>
      </c>
      <c r="H784" s="518" t="s">
        <v>1700</v>
      </c>
      <c r="I784" s="452" t="s">
        <v>11565</v>
      </c>
      <c r="J784" s="369" t="s">
        <v>753</v>
      </c>
      <c r="K784" s="452" t="s">
        <v>741</v>
      </c>
    </row>
    <row r="785" spans="1:11" s="317" customFormat="1">
      <c r="A785" s="369"/>
      <c r="B785" s="518" t="s">
        <v>9656</v>
      </c>
      <c r="C785" s="196">
        <v>273</v>
      </c>
      <c r="D785" s="230">
        <f t="shared" ref="D785" si="127">C785*(1-VLOOKUP(I785,descuentos,6,FALSE))*fcl/IF(dol_sol="dólar", TC,1)</f>
        <v>83.861377204884647</v>
      </c>
      <c r="E785" s="215">
        <v>15</v>
      </c>
      <c r="F785" s="511">
        <f t="shared" si="125"/>
        <v>98.87</v>
      </c>
      <c r="G785" s="314" t="s">
        <v>9657</v>
      </c>
      <c r="H785" s="518" t="s">
        <v>9658</v>
      </c>
      <c r="I785" s="452" t="s">
        <v>11565</v>
      </c>
      <c r="J785" s="369" t="s">
        <v>753</v>
      </c>
      <c r="K785" s="452" t="s">
        <v>741</v>
      </c>
    </row>
    <row r="786" spans="1:11" s="317" customFormat="1">
      <c r="A786" s="515"/>
      <c r="B786" s="518"/>
      <c r="C786" s="196" t="s">
        <v>2024</v>
      </c>
      <c r="D786" s="230"/>
      <c r="E786" s="215"/>
      <c r="F786" s="511"/>
      <c r="G786" s="518"/>
      <c r="H786" s="518"/>
      <c r="I786" s="452"/>
      <c r="J786" s="515"/>
      <c r="K786" s="452"/>
    </row>
    <row r="787" spans="1:11" s="317" customFormat="1">
      <c r="A787" s="369"/>
      <c r="B787" s="518" t="s">
        <v>12433</v>
      </c>
      <c r="C787" s="196">
        <v>339</v>
      </c>
      <c r="D787" s="230">
        <f t="shared" ref="D787" si="128">C787*(1-VLOOKUP(I787,descuentos,6,FALSE))*fcl/IF(dol_sol="dólar", TC,1)</f>
        <v>104.13555630936226</v>
      </c>
      <c r="E787" s="215">
        <v>15</v>
      </c>
      <c r="F787" s="511">
        <f t="shared" ref="F787" si="129">ROUNDUP(D787+E787,2)</f>
        <v>119.14</v>
      </c>
      <c r="G787" s="314" t="s">
        <v>12434</v>
      </c>
      <c r="H787" s="518" t="s">
        <v>12435</v>
      </c>
      <c r="I787" s="452" t="s">
        <v>11565</v>
      </c>
      <c r="J787" s="369" t="s">
        <v>753</v>
      </c>
      <c r="K787" s="452" t="s">
        <v>741</v>
      </c>
    </row>
    <row r="788" spans="1:11" s="317" customFormat="1">
      <c r="A788" s="515"/>
      <c r="B788" s="518"/>
      <c r="C788" s="196" t="s">
        <v>2024</v>
      </c>
      <c r="D788" s="230"/>
      <c r="E788" s="215"/>
      <c r="F788" s="511"/>
      <c r="G788" s="518"/>
      <c r="H788" s="518"/>
      <c r="I788" s="452"/>
      <c r="J788" s="515"/>
      <c r="K788" s="452"/>
    </row>
    <row r="789" spans="1:11" s="317" customFormat="1">
      <c r="A789" s="369"/>
      <c r="B789" s="506" t="s">
        <v>4357</v>
      </c>
      <c r="C789" s="196">
        <v>115</v>
      </c>
      <c r="D789" s="230">
        <f t="shared" ref="D789:D795" si="130">C789*(1-VLOOKUP(I789,descuentos,6,FALSE))*fcl/IF(dol_sol="dólar", TC,1)</f>
        <v>35.3262211668928</v>
      </c>
      <c r="E789" s="215">
        <v>2</v>
      </c>
      <c r="F789" s="511">
        <f t="shared" si="123"/>
        <v>37.33</v>
      </c>
      <c r="G789" s="518" t="s">
        <v>6583</v>
      </c>
      <c r="H789" s="518" t="s">
        <v>3170</v>
      </c>
      <c r="I789" s="452" t="s">
        <v>11565</v>
      </c>
      <c r="J789" s="369" t="s">
        <v>753</v>
      </c>
      <c r="K789" s="452" t="s">
        <v>741</v>
      </c>
    </row>
    <row r="790" spans="1:11" s="317" customFormat="1">
      <c r="A790" s="369"/>
      <c r="B790" s="518" t="s">
        <v>3587</v>
      </c>
      <c r="C790" s="196">
        <v>210</v>
      </c>
      <c r="D790" s="230">
        <f t="shared" si="130"/>
        <v>64.508751696065119</v>
      </c>
      <c r="E790" s="215">
        <v>4</v>
      </c>
      <c r="F790" s="511">
        <f t="shared" si="123"/>
        <v>68.510000000000005</v>
      </c>
      <c r="G790" s="518" t="s">
        <v>6584</v>
      </c>
      <c r="H790" s="518" t="s">
        <v>3588</v>
      </c>
      <c r="I790" s="452" t="s">
        <v>11565</v>
      </c>
      <c r="J790" s="369" t="s">
        <v>753</v>
      </c>
      <c r="K790" s="452" t="s">
        <v>741</v>
      </c>
    </row>
    <row r="791" spans="1:11" s="317" customFormat="1">
      <c r="A791" s="369"/>
      <c r="B791" s="518" t="s">
        <v>3589</v>
      </c>
      <c r="C791" s="196">
        <v>208</v>
      </c>
      <c r="D791" s="230">
        <f t="shared" si="130"/>
        <v>63.89438263229308</v>
      </c>
      <c r="E791" s="215">
        <v>4</v>
      </c>
      <c r="F791" s="511">
        <f t="shared" si="123"/>
        <v>67.900000000000006</v>
      </c>
      <c r="G791" s="518" t="s">
        <v>6585</v>
      </c>
      <c r="H791" s="518" t="s">
        <v>1701</v>
      </c>
      <c r="I791" s="452" t="s">
        <v>11565</v>
      </c>
      <c r="J791" s="369" t="s">
        <v>753</v>
      </c>
      <c r="K791" s="452" t="s">
        <v>741</v>
      </c>
    </row>
    <row r="792" spans="1:11" s="317" customFormat="1">
      <c r="A792" s="369"/>
      <c r="B792" s="518" t="s">
        <v>1702</v>
      </c>
      <c r="C792" s="196">
        <v>225</v>
      </c>
      <c r="D792" s="230">
        <f t="shared" si="130"/>
        <v>69.116519674355487</v>
      </c>
      <c r="E792" s="215">
        <v>4</v>
      </c>
      <c r="F792" s="511">
        <f t="shared" si="123"/>
        <v>73.12</v>
      </c>
      <c r="G792" s="518" t="s">
        <v>6586</v>
      </c>
      <c r="H792" s="518" t="s">
        <v>1703</v>
      </c>
      <c r="I792" s="452" t="s">
        <v>11565</v>
      </c>
      <c r="J792" s="369" t="s">
        <v>753</v>
      </c>
      <c r="K792" s="452" t="s">
        <v>741</v>
      </c>
    </row>
    <row r="793" spans="1:11" s="317" customFormat="1">
      <c r="A793" s="369"/>
      <c r="B793" s="518" t="s">
        <v>6587</v>
      </c>
      <c r="C793" s="196">
        <v>279</v>
      </c>
      <c r="D793" s="230">
        <f>C793*(1-VLOOKUP(I793,descuentos,6,FALSE))*fcl/IF(dol_sol="dólar", TC,1)</f>
        <v>85.704484396200812</v>
      </c>
      <c r="E793" s="215">
        <v>4</v>
      </c>
      <c r="F793" s="511">
        <f>ROUNDUP(D793+E793,2)</f>
        <v>89.710000000000008</v>
      </c>
      <c r="G793" s="518" t="s">
        <v>6588</v>
      </c>
      <c r="H793" s="518" t="s">
        <v>6589</v>
      </c>
      <c r="I793" s="452" t="s">
        <v>11565</v>
      </c>
      <c r="J793" s="369" t="s">
        <v>753</v>
      </c>
      <c r="K793" s="452" t="s">
        <v>741</v>
      </c>
    </row>
    <row r="794" spans="1:11" s="317" customFormat="1">
      <c r="A794" s="369"/>
      <c r="B794" s="518" t="s">
        <v>3590</v>
      </c>
      <c r="C794" s="196">
        <v>279</v>
      </c>
      <c r="D794" s="230">
        <f t="shared" si="130"/>
        <v>85.704484396200812</v>
      </c>
      <c r="E794" s="215">
        <v>4</v>
      </c>
      <c r="F794" s="511">
        <f t="shared" si="123"/>
        <v>89.710000000000008</v>
      </c>
      <c r="G794" s="518" t="s">
        <v>6590</v>
      </c>
      <c r="H794" s="518" t="s">
        <v>3167</v>
      </c>
      <c r="I794" s="452" t="s">
        <v>11565</v>
      </c>
      <c r="J794" s="369" t="s">
        <v>753</v>
      </c>
      <c r="K794" s="452" t="s">
        <v>741</v>
      </c>
    </row>
    <row r="795" spans="1:11" s="317" customFormat="1">
      <c r="A795" s="369"/>
      <c r="B795" s="518" t="s">
        <v>3168</v>
      </c>
      <c r="C795" s="196">
        <v>489</v>
      </c>
      <c r="D795" s="230">
        <f t="shared" si="130"/>
        <v>150.21323609226593</v>
      </c>
      <c r="E795" s="215">
        <v>4</v>
      </c>
      <c r="F795" s="511">
        <f t="shared" si="123"/>
        <v>154.22</v>
      </c>
      <c r="G795" s="518" t="s">
        <v>6591</v>
      </c>
      <c r="H795" s="518" t="s">
        <v>3169</v>
      </c>
      <c r="I795" s="452" t="s">
        <v>11565</v>
      </c>
      <c r="J795" s="369" t="s">
        <v>753</v>
      </c>
      <c r="K795" s="452" t="s">
        <v>741</v>
      </c>
    </row>
    <row r="796" spans="1:11" s="317" customFormat="1">
      <c r="A796" s="369"/>
      <c r="B796" s="518"/>
      <c r="C796" s="196" t="s">
        <v>2024</v>
      </c>
      <c r="D796" s="230"/>
      <c r="E796" s="215"/>
      <c r="F796" s="511"/>
      <c r="G796" s="314"/>
      <c r="H796" s="518"/>
      <c r="I796" s="452"/>
      <c r="J796" s="369"/>
      <c r="K796" s="452"/>
    </row>
    <row r="797" spans="1:11" s="317" customFormat="1">
      <c r="A797" s="1464"/>
      <c r="B797" s="518" t="s">
        <v>9465</v>
      </c>
      <c r="C797" s="196">
        <v>249</v>
      </c>
      <c r="D797" s="345">
        <f>C797*(1-VLOOKUP(I797,descuentos,6,FALSE))*fcl/IF(dol_sol="dólar", TC,1)</f>
        <v>76.488948439620074</v>
      </c>
      <c r="E797" s="549">
        <v>15</v>
      </c>
      <c r="F797" s="508">
        <f>ROUNDUP(D797+E797,2)</f>
        <v>91.490000000000009</v>
      </c>
      <c r="G797" s="314" t="s">
        <v>9466</v>
      </c>
      <c r="H797" s="518" t="s">
        <v>9467</v>
      </c>
      <c r="I797" s="452" t="s">
        <v>11565</v>
      </c>
      <c r="J797" s="369" t="s">
        <v>753</v>
      </c>
      <c r="K797" s="452" t="s">
        <v>741</v>
      </c>
    </row>
    <row r="798" spans="1:11" s="317" customFormat="1">
      <c r="A798" s="1464"/>
      <c r="B798" s="518" t="s">
        <v>9468</v>
      </c>
      <c r="C798" s="196">
        <v>442</v>
      </c>
      <c r="D798" s="345">
        <f>C798*(1-VLOOKUP(I798,descuentos,6,FALSE))*fcl/IF(dol_sol="dólar", TC,1)</f>
        <v>135.77556309362279</v>
      </c>
      <c r="E798" s="549">
        <v>20</v>
      </c>
      <c r="F798" s="508">
        <f>ROUNDUP(D798+E798,2)</f>
        <v>155.78</v>
      </c>
      <c r="G798" s="314" t="s">
        <v>9469</v>
      </c>
      <c r="H798" s="518" t="s">
        <v>9470</v>
      </c>
      <c r="I798" s="452" t="s">
        <v>11565</v>
      </c>
      <c r="J798" s="369" t="s">
        <v>753</v>
      </c>
      <c r="K798" s="452" t="s">
        <v>741</v>
      </c>
    </row>
    <row r="799" spans="1:11" s="317" customFormat="1">
      <c r="A799" s="369"/>
      <c r="B799" s="518"/>
      <c r="C799" s="196" t="s">
        <v>2024</v>
      </c>
      <c r="D799" s="230"/>
      <c r="E799" s="215"/>
      <c r="F799" s="511"/>
      <c r="G799" s="518"/>
      <c r="H799" s="518"/>
      <c r="I799" s="452"/>
      <c r="J799" s="515"/>
      <c r="K799" s="452"/>
    </row>
    <row r="800" spans="1:11">
      <c r="A800" s="1470"/>
      <c r="B800" s="566" t="s">
        <v>2158</v>
      </c>
      <c r="C800" s="560">
        <v>85</v>
      </c>
      <c r="D800" s="229">
        <f>C800*(1-VLOOKUP(I800,descuentos,6,FALSE))*fcl/IF(dol_sol="dólar", TC,1)</f>
        <v>26.11068521031207</v>
      </c>
      <c r="E800" s="215">
        <v>4</v>
      </c>
      <c r="F800" s="511">
        <f>ROUNDUP(D800+E800,2)</f>
        <v>30.12</v>
      </c>
      <c r="G800" s="518" t="s">
        <v>9471</v>
      </c>
      <c r="H800" s="566" t="s">
        <v>6759</v>
      </c>
      <c r="I800" s="562" t="s">
        <v>11565</v>
      </c>
      <c r="J800" s="558" t="s">
        <v>753</v>
      </c>
      <c r="K800" s="562" t="s">
        <v>741</v>
      </c>
    </row>
    <row r="801" spans="1:11" s="317" customFormat="1">
      <c r="A801" s="369"/>
      <c r="B801" s="518" t="s">
        <v>9472</v>
      </c>
      <c r="C801" s="196">
        <v>85</v>
      </c>
      <c r="D801" s="230">
        <f>C801*(1-VLOOKUP(I801,descuentos,6,FALSE))*fcl/IF(dol_sol="dólar", TC,1)</f>
        <v>26.11068521031207</v>
      </c>
      <c r="E801" s="215">
        <v>4</v>
      </c>
      <c r="F801" s="511">
        <f>ROUNDUP(D801+E801,2)</f>
        <v>30.12</v>
      </c>
      <c r="G801" s="518" t="s">
        <v>9473</v>
      </c>
      <c r="H801" s="518" t="s">
        <v>6592</v>
      </c>
      <c r="I801" s="452" t="s">
        <v>11565</v>
      </c>
      <c r="J801" s="369" t="s">
        <v>753</v>
      </c>
      <c r="K801" s="452" t="s">
        <v>741</v>
      </c>
    </row>
    <row r="802" spans="1:11" s="317" customFormat="1">
      <c r="A802" s="369"/>
      <c r="B802" s="518" t="s">
        <v>6593</v>
      </c>
      <c r="C802" s="196">
        <v>49</v>
      </c>
      <c r="D802" s="230">
        <f>C802*(1-VLOOKUP(I802,descuentos,6,FALSE))*fcl/IF(dol_sol="dólar", TC,1)</f>
        <v>15.052042062415197</v>
      </c>
      <c r="E802" s="215">
        <v>4</v>
      </c>
      <c r="F802" s="511">
        <f t="shared" si="123"/>
        <v>19.060000000000002</v>
      </c>
      <c r="G802" s="518" t="s">
        <v>6594</v>
      </c>
      <c r="H802" s="518" t="s">
        <v>6595</v>
      </c>
      <c r="I802" s="452" t="s">
        <v>11565</v>
      </c>
      <c r="J802" s="369" t="s">
        <v>753</v>
      </c>
      <c r="K802" s="452" t="s">
        <v>741</v>
      </c>
    </row>
    <row r="803" spans="1:11" s="317" customFormat="1">
      <c r="A803" s="369"/>
      <c r="B803" s="518"/>
      <c r="C803" s="196" t="s">
        <v>2024</v>
      </c>
      <c r="D803" s="230"/>
      <c r="E803" s="215"/>
      <c r="F803" s="511"/>
      <c r="G803" s="518"/>
      <c r="H803" s="518"/>
      <c r="I803" s="452"/>
      <c r="J803" s="369"/>
      <c r="K803" s="452"/>
    </row>
    <row r="804" spans="1:11" s="317" customFormat="1">
      <c r="A804" s="369"/>
      <c r="B804" s="518"/>
      <c r="C804" s="196" t="s">
        <v>2024</v>
      </c>
      <c r="D804" s="230"/>
      <c r="E804" s="215"/>
      <c r="F804" s="511"/>
      <c r="G804" s="518"/>
      <c r="H804" s="518"/>
      <c r="I804" s="452"/>
      <c r="J804" s="369"/>
      <c r="K804" s="452"/>
    </row>
    <row r="805" spans="1:11" s="317" customFormat="1">
      <c r="A805" s="369"/>
      <c r="B805" s="518"/>
      <c r="C805" s="196" t="s">
        <v>2024</v>
      </c>
      <c r="D805" s="230"/>
      <c r="E805" s="215"/>
      <c r="F805" s="511"/>
      <c r="G805" s="518"/>
      <c r="H805" s="518"/>
      <c r="I805" s="452"/>
      <c r="J805" s="369"/>
      <c r="K805" s="452"/>
    </row>
    <row r="806" spans="1:11" s="317" customFormat="1">
      <c r="A806" s="369"/>
      <c r="B806" s="518"/>
      <c r="C806" s="196" t="s">
        <v>2024</v>
      </c>
      <c r="D806" s="230"/>
      <c r="E806" s="215"/>
      <c r="F806" s="511"/>
      <c r="G806" s="518"/>
      <c r="H806" s="518"/>
      <c r="I806" s="452"/>
      <c r="J806" s="369"/>
      <c r="K806" s="452"/>
    </row>
    <row r="807" spans="1:11" s="317" customFormat="1">
      <c r="A807" s="369"/>
      <c r="B807" s="518"/>
      <c r="C807" s="196" t="s">
        <v>2024</v>
      </c>
      <c r="D807" s="230"/>
      <c r="E807" s="215"/>
      <c r="F807" s="511"/>
      <c r="G807" s="518"/>
      <c r="H807" s="518"/>
      <c r="I807" s="452"/>
      <c r="J807" s="369"/>
      <c r="K807" s="452"/>
    </row>
    <row r="808" spans="1:11" s="317" customFormat="1">
      <c r="A808" s="369"/>
      <c r="B808" s="314" t="s">
        <v>4358</v>
      </c>
      <c r="C808" s="196">
        <v>343</v>
      </c>
      <c r="D808" s="230">
        <f t="shared" ref="D808:D818" si="131">C808*(1-VLOOKUP(I808,descuentos,6,FALSE))*fcl/IF(dol_sol="dólar", TC,1)</f>
        <v>105.36429443690638</v>
      </c>
      <c r="E808" s="417">
        <v>15</v>
      </c>
      <c r="F808" s="511">
        <f t="shared" ref="F808:F871" si="132">ROUNDUP(D808+E808,2)</f>
        <v>120.37</v>
      </c>
      <c r="G808" s="314" t="s">
        <v>6596</v>
      </c>
      <c r="H808" s="518" t="s">
        <v>4359</v>
      </c>
      <c r="I808" s="452" t="s">
        <v>11565</v>
      </c>
      <c r="J808" s="369" t="s">
        <v>753</v>
      </c>
      <c r="K808" s="452" t="s">
        <v>741</v>
      </c>
    </row>
    <row r="809" spans="1:11" s="317" customFormat="1">
      <c r="A809" s="369"/>
      <c r="B809" s="314" t="s">
        <v>4360</v>
      </c>
      <c r="C809" s="196">
        <v>343</v>
      </c>
      <c r="D809" s="230">
        <f t="shared" si="131"/>
        <v>105.36429443690638</v>
      </c>
      <c r="E809" s="417">
        <v>15</v>
      </c>
      <c r="F809" s="511">
        <f t="shared" si="132"/>
        <v>120.37</v>
      </c>
      <c r="G809" s="314" t="s">
        <v>6597</v>
      </c>
      <c r="H809" s="518" t="s">
        <v>4361</v>
      </c>
      <c r="I809" s="452" t="s">
        <v>11565</v>
      </c>
      <c r="J809" s="369" t="s">
        <v>753</v>
      </c>
      <c r="K809" s="452" t="s">
        <v>741</v>
      </c>
    </row>
    <row r="810" spans="1:11" s="317" customFormat="1">
      <c r="A810" s="369"/>
      <c r="B810" s="314" t="s">
        <v>4362</v>
      </c>
      <c r="C810" s="196">
        <v>343</v>
      </c>
      <c r="D810" s="230">
        <f t="shared" si="131"/>
        <v>105.36429443690638</v>
      </c>
      <c r="E810" s="417">
        <v>15</v>
      </c>
      <c r="F810" s="511">
        <f t="shared" si="132"/>
        <v>120.37</v>
      </c>
      <c r="G810" s="314" t="s">
        <v>6598</v>
      </c>
      <c r="H810" s="518" t="s">
        <v>4363</v>
      </c>
      <c r="I810" s="452" t="s">
        <v>11565</v>
      </c>
      <c r="J810" s="369" t="s">
        <v>753</v>
      </c>
      <c r="K810" s="452" t="s">
        <v>741</v>
      </c>
    </row>
    <row r="811" spans="1:11" s="317" customFormat="1">
      <c r="A811" s="369"/>
      <c r="B811" s="314" t="s">
        <v>4364</v>
      </c>
      <c r="C811" s="196">
        <v>343</v>
      </c>
      <c r="D811" s="230">
        <f t="shared" si="131"/>
        <v>105.36429443690638</v>
      </c>
      <c r="E811" s="417">
        <v>15</v>
      </c>
      <c r="F811" s="511">
        <f t="shared" si="132"/>
        <v>120.37</v>
      </c>
      <c r="G811" s="314" t="s">
        <v>6599</v>
      </c>
      <c r="H811" s="518" t="s">
        <v>4365</v>
      </c>
      <c r="I811" s="452" t="s">
        <v>11565</v>
      </c>
      <c r="J811" s="369" t="s">
        <v>753</v>
      </c>
      <c r="K811" s="452" t="s">
        <v>741</v>
      </c>
    </row>
    <row r="812" spans="1:11" s="317" customFormat="1">
      <c r="A812" s="369"/>
      <c r="B812" s="314" t="s">
        <v>4366</v>
      </c>
      <c r="C812" s="196">
        <v>343</v>
      </c>
      <c r="D812" s="230">
        <f t="shared" si="131"/>
        <v>105.36429443690638</v>
      </c>
      <c r="E812" s="417">
        <v>15</v>
      </c>
      <c r="F812" s="511">
        <f t="shared" si="132"/>
        <v>120.37</v>
      </c>
      <c r="G812" s="314" t="s">
        <v>6600</v>
      </c>
      <c r="H812" s="518" t="s">
        <v>4367</v>
      </c>
      <c r="I812" s="452" t="s">
        <v>11565</v>
      </c>
      <c r="J812" s="369" t="s">
        <v>753</v>
      </c>
      <c r="K812" s="452" t="s">
        <v>741</v>
      </c>
    </row>
    <row r="813" spans="1:11" s="317" customFormat="1">
      <c r="A813" s="369"/>
      <c r="B813" s="314" t="s">
        <v>4368</v>
      </c>
      <c r="C813" s="196">
        <v>343</v>
      </c>
      <c r="D813" s="230">
        <f t="shared" si="131"/>
        <v>105.36429443690638</v>
      </c>
      <c r="E813" s="417">
        <v>15</v>
      </c>
      <c r="F813" s="511">
        <f t="shared" si="132"/>
        <v>120.37</v>
      </c>
      <c r="G813" s="314" t="s">
        <v>6601</v>
      </c>
      <c r="H813" s="518" t="s">
        <v>4369</v>
      </c>
      <c r="I813" s="452" t="s">
        <v>11565</v>
      </c>
      <c r="J813" s="369" t="s">
        <v>753</v>
      </c>
      <c r="K813" s="452" t="s">
        <v>741</v>
      </c>
    </row>
    <row r="814" spans="1:11" s="317" customFormat="1">
      <c r="A814" s="369"/>
      <c r="B814" s="314" t="s">
        <v>4370</v>
      </c>
      <c r="C814" s="196">
        <v>343</v>
      </c>
      <c r="D814" s="230">
        <f t="shared" si="131"/>
        <v>105.36429443690638</v>
      </c>
      <c r="E814" s="417">
        <v>15</v>
      </c>
      <c r="F814" s="511">
        <f t="shared" si="132"/>
        <v>120.37</v>
      </c>
      <c r="G814" s="314" t="s">
        <v>6602</v>
      </c>
      <c r="H814" s="518" t="s">
        <v>4371</v>
      </c>
      <c r="I814" s="452" t="s">
        <v>11565</v>
      </c>
      <c r="J814" s="369" t="s">
        <v>753</v>
      </c>
      <c r="K814" s="452" t="s">
        <v>741</v>
      </c>
    </row>
    <row r="815" spans="1:11" s="317" customFormat="1">
      <c r="A815" s="369"/>
      <c r="B815" s="314" t="s">
        <v>4372</v>
      </c>
      <c r="C815" s="196">
        <v>373</v>
      </c>
      <c r="D815" s="230">
        <f t="shared" si="131"/>
        <v>114.57983039348709</v>
      </c>
      <c r="E815" s="417">
        <v>15</v>
      </c>
      <c r="F815" s="511">
        <f t="shared" si="132"/>
        <v>129.57999999999998</v>
      </c>
      <c r="G815" s="314" t="s">
        <v>6603</v>
      </c>
      <c r="H815" s="518" t="s">
        <v>4373</v>
      </c>
      <c r="I815" s="452" t="s">
        <v>11565</v>
      </c>
      <c r="J815" s="369" t="s">
        <v>753</v>
      </c>
      <c r="K815" s="452" t="s">
        <v>741</v>
      </c>
    </row>
    <row r="816" spans="1:11" s="317" customFormat="1">
      <c r="A816" s="369"/>
      <c r="B816" s="314" t="s">
        <v>4374</v>
      </c>
      <c r="C816" s="196">
        <v>373</v>
      </c>
      <c r="D816" s="230">
        <f t="shared" si="131"/>
        <v>114.57983039348709</v>
      </c>
      <c r="E816" s="417">
        <v>15</v>
      </c>
      <c r="F816" s="511">
        <f t="shared" si="132"/>
        <v>129.57999999999998</v>
      </c>
      <c r="G816" s="314" t="s">
        <v>6604</v>
      </c>
      <c r="H816" s="518" t="s">
        <v>4375</v>
      </c>
      <c r="I816" s="452" t="s">
        <v>11565</v>
      </c>
      <c r="J816" s="369" t="s">
        <v>753</v>
      </c>
      <c r="K816" s="452" t="s">
        <v>741</v>
      </c>
    </row>
    <row r="817" spans="1:11" s="317" customFormat="1">
      <c r="A817" s="369"/>
      <c r="B817" s="314" t="s">
        <v>4376</v>
      </c>
      <c r="C817" s="196">
        <v>482</v>
      </c>
      <c r="D817" s="230">
        <f t="shared" si="131"/>
        <v>148.06294436906376</v>
      </c>
      <c r="E817" s="417">
        <v>15</v>
      </c>
      <c r="F817" s="511">
        <f t="shared" si="132"/>
        <v>163.07</v>
      </c>
      <c r="G817" s="314" t="s">
        <v>6605</v>
      </c>
      <c r="H817" s="518" t="s">
        <v>4377</v>
      </c>
      <c r="I817" s="452" t="s">
        <v>11565</v>
      </c>
      <c r="J817" s="369" t="s">
        <v>753</v>
      </c>
      <c r="K817" s="452" t="s">
        <v>741</v>
      </c>
    </row>
    <row r="818" spans="1:11" s="317" customFormat="1">
      <c r="A818" s="369"/>
      <c r="B818" s="314" t="s">
        <v>4378</v>
      </c>
      <c r="C818" s="196">
        <v>548</v>
      </c>
      <c r="D818" s="230">
        <f t="shared" si="131"/>
        <v>168.33712347354137</v>
      </c>
      <c r="E818" s="417">
        <v>15</v>
      </c>
      <c r="F818" s="511">
        <f t="shared" si="132"/>
        <v>183.34</v>
      </c>
      <c r="G818" s="314" t="s">
        <v>6606</v>
      </c>
      <c r="H818" s="518" t="s">
        <v>4379</v>
      </c>
      <c r="I818" s="452" t="s">
        <v>11565</v>
      </c>
      <c r="J818" s="369" t="s">
        <v>753</v>
      </c>
      <c r="K818" s="452" t="s">
        <v>741</v>
      </c>
    </row>
    <row r="819" spans="1:11" s="317" customFormat="1">
      <c r="A819" s="369"/>
      <c r="B819" s="314"/>
      <c r="C819" s="196" t="s">
        <v>2024</v>
      </c>
      <c r="D819" s="230"/>
      <c r="E819" s="215"/>
      <c r="F819" s="511"/>
      <c r="G819" s="314"/>
      <c r="H819" s="518"/>
      <c r="I819" s="452"/>
      <c r="J819" s="369"/>
      <c r="K819" s="452"/>
    </row>
    <row r="820" spans="1:11" s="317" customFormat="1">
      <c r="A820" s="369"/>
      <c r="B820" s="314"/>
      <c r="C820" s="196" t="s">
        <v>2024</v>
      </c>
      <c r="D820" s="230"/>
      <c r="E820" s="215"/>
      <c r="F820" s="511"/>
      <c r="G820" s="314"/>
      <c r="H820" s="518"/>
      <c r="I820" s="452"/>
      <c r="J820" s="369"/>
      <c r="K820" s="452"/>
    </row>
    <row r="821" spans="1:11" s="315" customFormat="1">
      <c r="A821" s="369"/>
      <c r="B821" s="314" t="s">
        <v>836</v>
      </c>
      <c r="C821" s="196">
        <v>471</v>
      </c>
      <c r="D821" s="230">
        <f t="shared" ref="D821:D829" si="133">C821*(1-VLOOKUP(I821,descuentos,6,FALSE))*fcl/IF(dol_sol="dólar", TC,1)</f>
        <v>144.68391451831749</v>
      </c>
      <c r="E821" s="549">
        <f t="shared" ref="E821:E829" si="134">E810</f>
        <v>15</v>
      </c>
      <c r="F821" s="511">
        <f t="shared" si="132"/>
        <v>159.69</v>
      </c>
      <c r="G821" s="314" t="s">
        <v>4380</v>
      </c>
      <c r="H821" s="518" t="s">
        <v>841</v>
      </c>
      <c r="I821" s="452" t="s">
        <v>11565</v>
      </c>
      <c r="J821" s="369" t="s">
        <v>753</v>
      </c>
      <c r="K821" s="452" t="s">
        <v>741</v>
      </c>
    </row>
    <row r="822" spans="1:11" s="317" customFormat="1">
      <c r="A822" s="369"/>
      <c r="B822" s="314" t="s">
        <v>1389</v>
      </c>
      <c r="C822" s="196">
        <v>471</v>
      </c>
      <c r="D822" s="230">
        <f t="shared" si="133"/>
        <v>144.68391451831749</v>
      </c>
      <c r="E822" s="549">
        <f t="shared" si="134"/>
        <v>15</v>
      </c>
      <c r="F822" s="511">
        <f t="shared" si="132"/>
        <v>159.69</v>
      </c>
      <c r="G822" s="314" t="s">
        <v>4381</v>
      </c>
      <c r="H822" s="518" t="s">
        <v>1387</v>
      </c>
      <c r="I822" s="452" t="s">
        <v>11565</v>
      </c>
      <c r="J822" s="369" t="s">
        <v>753</v>
      </c>
      <c r="K822" s="452" t="s">
        <v>741</v>
      </c>
    </row>
    <row r="823" spans="1:11" s="317" customFormat="1">
      <c r="A823" s="369"/>
      <c r="B823" s="314" t="s">
        <v>1390</v>
      </c>
      <c r="C823" s="196">
        <v>471</v>
      </c>
      <c r="D823" s="230">
        <f t="shared" si="133"/>
        <v>144.68391451831749</v>
      </c>
      <c r="E823" s="549">
        <f t="shared" si="134"/>
        <v>15</v>
      </c>
      <c r="F823" s="511">
        <f t="shared" si="132"/>
        <v>159.69</v>
      </c>
      <c r="G823" s="314" t="s">
        <v>4382</v>
      </c>
      <c r="H823" s="518" t="s">
        <v>1388</v>
      </c>
      <c r="I823" s="452" t="s">
        <v>11565</v>
      </c>
      <c r="J823" s="369" t="s">
        <v>753</v>
      </c>
      <c r="K823" s="452" t="s">
        <v>741</v>
      </c>
    </row>
    <row r="824" spans="1:11" s="317" customFormat="1">
      <c r="A824" s="369"/>
      <c r="B824" s="314" t="s">
        <v>838</v>
      </c>
      <c r="C824" s="196">
        <v>471</v>
      </c>
      <c r="D824" s="230">
        <f t="shared" si="133"/>
        <v>144.68391451831749</v>
      </c>
      <c r="E824" s="549">
        <f t="shared" si="134"/>
        <v>15</v>
      </c>
      <c r="F824" s="511">
        <f t="shared" si="132"/>
        <v>159.69</v>
      </c>
      <c r="G824" s="314" t="s">
        <v>4383</v>
      </c>
      <c r="H824" s="518" t="s">
        <v>843</v>
      </c>
      <c r="I824" s="452" t="s">
        <v>11565</v>
      </c>
      <c r="J824" s="369" t="s">
        <v>753</v>
      </c>
      <c r="K824" s="452" t="s">
        <v>741</v>
      </c>
    </row>
    <row r="825" spans="1:11" s="317" customFormat="1">
      <c r="A825" s="369"/>
      <c r="B825" s="314" t="s">
        <v>835</v>
      </c>
      <c r="C825" s="196">
        <v>471</v>
      </c>
      <c r="D825" s="230">
        <f t="shared" si="133"/>
        <v>144.68391451831749</v>
      </c>
      <c r="E825" s="549">
        <f t="shared" si="134"/>
        <v>15</v>
      </c>
      <c r="F825" s="511">
        <f t="shared" si="132"/>
        <v>159.69</v>
      </c>
      <c r="G825" s="314" t="s">
        <v>4384</v>
      </c>
      <c r="H825" s="518" t="s">
        <v>840</v>
      </c>
      <c r="I825" s="452" t="s">
        <v>11565</v>
      </c>
      <c r="J825" s="369" t="s">
        <v>753</v>
      </c>
      <c r="K825" s="452" t="s">
        <v>741</v>
      </c>
    </row>
    <row r="826" spans="1:11" s="317" customFormat="1">
      <c r="A826" s="369"/>
      <c r="B826" s="314" t="s">
        <v>834</v>
      </c>
      <c r="C826" s="196">
        <v>494</v>
      </c>
      <c r="D826" s="230">
        <f t="shared" si="133"/>
        <v>151.74915875169606</v>
      </c>
      <c r="E826" s="549">
        <f t="shared" si="134"/>
        <v>15</v>
      </c>
      <c r="F826" s="511">
        <f t="shared" si="132"/>
        <v>166.75</v>
      </c>
      <c r="G826" s="314" t="s">
        <v>4385</v>
      </c>
      <c r="H826" s="518" t="s">
        <v>839</v>
      </c>
      <c r="I826" s="452" t="s">
        <v>11565</v>
      </c>
      <c r="J826" s="369" t="s">
        <v>753</v>
      </c>
      <c r="K826" s="452" t="s">
        <v>741</v>
      </c>
    </row>
    <row r="827" spans="1:11" s="317" customFormat="1">
      <c r="A827" s="369"/>
      <c r="B827" s="314" t="s">
        <v>1407</v>
      </c>
      <c r="C827" s="196">
        <v>494</v>
      </c>
      <c r="D827" s="230">
        <f t="shared" si="133"/>
        <v>151.74915875169606</v>
      </c>
      <c r="E827" s="549">
        <f t="shared" si="134"/>
        <v>15</v>
      </c>
      <c r="F827" s="511">
        <f t="shared" si="132"/>
        <v>166.75</v>
      </c>
      <c r="G827" s="314" t="s">
        <v>4386</v>
      </c>
      <c r="H827" s="518" t="s">
        <v>1408</v>
      </c>
      <c r="I827" s="452" t="s">
        <v>11565</v>
      </c>
      <c r="J827" s="369" t="s">
        <v>753</v>
      </c>
      <c r="K827" s="452" t="s">
        <v>741</v>
      </c>
    </row>
    <row r="828" spans="1:11" s="317" customFormat="1">
      <c r="A828" s="369"/>
      <c r="B828" s="314" t="s">
        <v>837</v>
      </c>
      <c r="C828" s="196">
        <v>542</v>
      </c>
      <c r="D828" s="230">
        <f t="shared" si="133"/>
        <v>166.49401628222523</v>
      </c>
      <c r="E828" s="549">
        <f t="shared" si="134"/>
        <v>15</v>
      </c>
      <c r="F828" s="511">
        <f t="shared" si="132"/>
        <v>181.5</v>
      </c>
      <c r="G828" s="314" t="s">
        <v>4387</v>
      </c>
      <c r="H828" s="518" t="s">
        <v>842</v>
      </c>
      <c r="I828" s="452" t="s">
        <v>11565</v>
      </c>
      <c r="J828" s="369" t="s">
        <v>753</v>
      </c>
      <c r="K828" s="452" t="s">
        <v>741</v>
      </c>
    </row>
    <row r="829" spans="1:11" s="317" customFormat="1">
      <c r="A829" s="369"/>
      <c r="B829" s="314" t="s">
        <v>1409</v>
      </c>
      <c r="C829" s="196">
        <v>593</v>
      </c>
      <c r="D829" s="230">
        <f t="shared" si="133"/>
        <v>182.16042740841246</v>
      </c>
      <c r="E829" s="549">
        <f t="shared" si="134"/>
        <v>15</v>
      </c>
      <c r="F829" s="511">
        <f t="shared" si="132"/>
        <v>197.17</v>
      </c>
      <c r="G829" s="314" t="s">
        <v>4388</v>
      </c>
      <c r="H829" s="518" t="s">
        <v>1410</v>
      </c>
      <c r="I829" s="452" t="s">
        <v>11565</v>
      </c>
      <c r="J829" s="369" t="s">
        <v>753</v>
      </c>
      <c r="K829" s="452" t="s">
        <v>741</v>
      </c>
    </row>
    <row r="830" spans="1:11" s="317" customFormat="1">
      <c r="A830" s="369"/>
      <c r="B830" s="314"/>
      <c r="C830" s="196" t="s">
        <v>2024</v>
      </c>
      <c r="D830" s="230"/>
      <c r="E830" s="215"/>
      <c r="F830" s="511"/>
      <c r="G830" s="314"/>
      <c r="H830" s="518"/>
      <c r="I830" s="452"/>
      <c r="J830" s="369"/>
      <c r="K830" s="452"/>
    </row>
    <row r="831" spans="1:11" s="317" customFormat="1">
      <c r="A831" s="369"/>
      <c r="B831" s="314" t="s">
        <v>1317</v>
      </c>
      <c r="C831" s="196">
        <v>608</v>
      </c>
      <c r="D831" s="230">
        <f t="shared" ref="D831:D838" si="135">C831*(1-VLOOKUP(I831,descuentos,6,FALSE))*fcl/IF(dol_sol="dólar", TC,1)</f>
        <v>186.76819538670284</v>
      </c>
      <c r="E831" s="417">
        <v>15</v>
      </c>
      <c r="F831" s="511">
        <f t="shared" si="132"/>
        <v>201.76999999999998</v>
      </c>
      <c r="G831" s="314" t="s">
        <v>4389</v>
      </c>
      <c r="H831" s="518" t="s">
        <v>1320</v>
      </c>
      <c r="I831" s="452" t="s">
        <v>11565</v>
      </c>
      <c r="J831" s="369" t="s">
        <v>753</v>
      </c>
      <c r="K831" s="452" t="s">
        <v>741</v>
      </c>
    </row>
    <row r="832" spans="1:11" s="317" customFormat="1">
      <c r="A832" s="369"/>
      <c r="B832" s="314" t="s">
        <v>1316</v>
      </c>
      <c r="C832" s="196">
        <v>608</v>
      </c>
      <c r="D832" s="230">
        <f t="shared" si="135"/>
        <v>186.76819538670284</v>
      </c>
      <c r="E832" s="417">
        <v>15</v>
      </c>
      <c r="F832" s="511">
        <f t="shared" si="132"/>
        <v>201.76999999999998</v>
      </c>
      <c r="G832" s="314" t="s">
        <v>4390</v>
      </c>
      <c r="H832" s="518" t="s">
        <v>1321</v>
      </c>
      <c r="I832" s="452" t="s">
        <v>11565</v>
      </c>
      <c r="J832" s="369" t="s">
        <v>753</v>
      </c>
      <c r="K832" s="452" t="s">
        <v>741</v>
      </c>
    </row>
    <row r="833" spans="1:11" s="317" customFormat="1">
      <c r="A833" s="369"/>
      <c r="B833" s="314" t="s">
        <v>1319</v>
      </c>
      <c r="C833" s="196">
        <v>608</v>
      </c>
      <c r="D833" s="230">
        <f t="shared" si="135"/>
        <v>186.76819538670284</v>
      </c>
      <c r="E833" s="417">
        <v>15</v>
      </c>
      <c r="F833" s="511">
        <f t="shared" si="132"/>
        <v>201.76999999999998</v>
      </c>
      <c r="G833" s="314" t="s">
        <v>4391</v>
      </c>
      <c r="H833" s="518" t="s">
        <v>1322</v>
      </c>
      <c r="I833" s="452" t="s">
        <v>11565</v>
      </c>
      <c r="J833" s="369" t="s">
        <v>753</v>
      </c>
      <c r="K833" s="452" t="s">
        <v>741</v>
      </c>
    </row>
    <row r="834" spans="1:11" s="317" customFormat="1">
      <c r="A834" s="369"/>
      <c r="B834" s="314" t="s">
        <v>798</v>
      </c>
      <c r="C834" s="196">
        <v>608</v>
      </c>
      <c r="D834" s="230">
        <f t="shared" si="135"/>
        <v>186.76819538670284</v>
      </c>
      <c r="E834" s="417">
        <v>15</v>
      </c>
      <c r="F834" s="511">
        <f t="shared" si="132"/>
        <v>201.76999999999998</v>
      </c>
      <c r="G834" s="314" t="s">
        <v>4392</v>
      </c>
      <c r="H834" s="518" t="s">
        <v>797</v>
      </c>
      <c r="I834" s="452" t="s">
        <v>11565</v>
      </c>
      <c r="J834" s="369" t="s">
        <v>753</v>
      </c>
      <c r="K834" s="452" t="s">
        <v>741</v>
      </c>
    </row>
    <row r="835" spans="1:11" s="317" customFormat="1">
      <c r="A835" s="369"/>
      <c r="B835" s="314" t="s">
        <v>796</v>
      </c>
      <c r="C835" s="196">
        <v>630</v>
      </c>
      <c r="D835" s="230">
        <f t="shared" si="135"/>
        <v>193.52625508819534</v>
      </c>
      <c r="E835" s="417">
        <v>15</v>
      </c>
      <c r="F835" s="511">
        <f t="shared" si="132"/>
        <v>208.53</v>
      </c>
      <c r="G835" s="314" t="s">
        <v>4393</v>
      </c>
      <c r="H835" s="518" t="s">
        <v>795</v>
      </c>
      <c r="I835" s="452" t="s">
        <v>11565</v>
      </c>
      <c r="J835" s="369" t="s">
        <v>753</v>
      </c>
      <c r="K835" s="452" t="s">
        <v>741</v>
      </c>
    </row>
    <row r="836" spans="1:11" s="317" customFormat="1">
      <c r="A836" s="369"/>
      <c r="B836" s="314" t="s">
        <v>799</v>
      </c>
      <c r="C836" s="196">
        <v>630</v>
      </c>
      <c r="D836" s="230">
        <f t="shared" si="135"/>
        <v>193.52625508819534</v>
      </c>
      <c r="E836" s="417">
        <v>15</v>
      </c>
      <c r="F836" s="511">
        <f t="shared" si="132"/>
        <v>208.53</v>
      </c>
      <c r="G836" s="314" t="s">
        <v>4394</v>
      </c>
      <c r="H836" s="518" t="s">
        <v>800</v>
      </c>
      <c r="I836" s="452" t="s">
        <v>11565</v>
      </c>
      <c r="J836" s="369" t="s">
        <v>753</v>
      </c>
      <c r="K836" s="452" t="s">
        <v>741</v>
      </c>
    </row>
    <row r="837" spans="1:11" s="317" customFormat="1">
      <c r="A837" s="369"/>
      <c r="B837" s="314" t="s">
        <v>1315</v>
      </c>
      <c r="C837" s="196">
        <v>662</v>
      </c>
      <c r="D837" s="230">
        <f t="shared" si="135"/>
        <v>203.35616010854812</v>
      </c>
      <c r="E837" s="417">
        <v>15</v>
      </c>
      <c r="F837" s="511">
        <f t="shared" si="132"/>
        <v>218.35999999999999</v>
      </c>
      <c r="G837" s="314" t="s">
        <v>4395</v>
      </c>
      <c r="H837" s="518" t="s">
        <v>1323</v>
      </c>
      <c r="I837" s="452" t="s">
        <v>11565</v>
      </c>
      <c r="J837" s="369" t="s">
        <v>753</v>
      </c>
      <c r="K837" s="452" t="s">
        <v>741</v>
      </c>
    </row>
    <row r="838" spans="1:11" s="317" customFormat="1">
      <c r="A838" s="369"/>
      <c r="B838" s="314" t="s">
        <v>1318</v>
      </c>
      <c r="C838" s="196">
        <v>692</v>
      </c>
      <c r="D838" s="230">
        <f t="shared" si="135"/>
        <v>212.57169606512889</v>
      </c>
      <c r="E838" s="417">
        <v>15</v>
      </c>
      <c r="F838" s="511">
        <f t="shared" si="132"/>
        <v>227.57999999999998</v>
      </c>
      <c r="G838" s="314" t="s">
        <v>4396</v>
      </c>
      <c r="H838" s="518" t="s">
        <v>1324</v>
      </c>
      <c r="I838" s="452" t="s">
        <v>11565</v>
      </c>
      <c r="J838" s="369" t="s">
        <v>753</v>
      </c>
      <c r="K838" s="452" t="s">
        <v>741</v>
      </c>
    </row>
    <row r="839" spans="1:11" s="317" customFormat="1">
      <c r="A839" s="369"/>
      <c r="B839" s="314"/>
      <c r="C839" s="196" t="s">
        <v>2024</v>
      </c>
      <c r="D839" s="230"/>
      <c r="E839" s="215"/>
      <c r="F839" s="511"/>
      <c r="G839" s="314"/>
      <c r="H839" s="518"/>
      <c r="I839" s="452"/>
      <c r="J839" s="369"/>
      <c r="K839" s="452"/>
    </row>
    <row r="840" spans="1:11" s="317" customFormat="1">
      <c r="A840" s="369"/>
      <c r="B840" s="518"/>
      <c r="C840" s="196" t="s">
        <v>2024</v>
      </c>
      <c r="D840" s="230"/>
      <c r="E840" s="215"/>
      <c r="F840" s="511"/>
      <c r="G840" s="314"/>
      <c r="H840" s="518"/>
      <c r="I840" s="452"/>
      <c r="J840" s="369"/>
      <c r="K840" s="452"/>
    </row>
    <row r="841" spans="1:11">
      <c r="A841" s="369"/>
      <c r="B841" s="314"/>
      <c r="C841" s="196" t="s">
        <v>2024</v>
      </c>
      <c r="D841" s="230"/>
      <c r="E841" s="215"/>
      <c r="F841" s="511"/>
      <c r="G841" s="314"/>
      <c r="H841" s="518"/>
      <c r="I841" s="452"/>
      <c r="J841" s="369"/>
      <c r="K841" s="452"/>
    </row>
    <row r="842" spans="1:11" s="317" customFormat="1">
      <c r="A842" s="369"/>
      <c r="B842" s="351" t="s">
        <v>2870</v>
      </c>
      <c r="C842" s="346">
        <v>448</v>
      </c>
      <c r="D842" s="345">
        <f t="shared" ref="D842:D852" si="136">C842*(1-VLOOKUP(I842,descuentos,6,FALSE))*fcl/IF(dol_sol="dólar", TC,1)</f>
        <v>137.61867028493893</v>
      </c>
      <c r="E842" s="417">
        <v>20</v>
      </c>
      <c r="F842" s="508">
        <f t="shared" si="132"/>
        <v>157.62</v>
      </c>
      <c r="G842" s="351" t="s">
        <v>4397</v>
      </c>
      <c r="H842" s="518" t="s">
        <v>2873</v>
      </c>
      <c r="I842" s="452" t="s">
        <v>11565</v>
      </c>
      <c r="J842" s="369" t="s">
        <v>753</v>
      </c>
      <c r="K842" s="452" t="s">
        <v>741</v>
      </c>
    </row>
    <row r="843" spans="1:11" s="315" customFormat="1">
      <c r="A843" s="369"/>
      <c r="B843" s="351" t="s">
        <v>2869</v>
      </c>
      <c r="C843" s="346">
        <v>448</v>
      </c>
      <c r="D843" s="345">
        <f t="shared" si="136"/>
        <v>137.61867028493893</v>
      </c>
      <c r="E843" s="417">
        <v>20</v>
      </c>
      <c r="F843" s="508">
        <f t="shared" si="132"/>
        <v>157.62</v>
      </c>
      <c r="G843" s="351" t="s">
        <v>4398</v>
      </c>
      <c r="H843" s="518" t="s">
        <v>2872</v>
      </c>
      <c r="I843" s="452" t="s">
        <v>11565</v>
      </c>
      <c r="J843" s="369" t="s">
        <v>753</v>
      </c>
      <c r="K843" s="452" t="s">
        <v>741</v>
      </c>
    </row>
    <row r="844" spans="1:11" s="317" customFormat="1">
      <c r="A844" s="369"/>
      <c r="B844" s="351" t="s">
        <v>2868</v>
      </c>
      <c r="C844" s="346">
        <v>448</v>
      </c>
      <c r="D844" s="345">
        <f t="shared" si="136"/>
        <v>137.61867028493893</v>
      </c>
      <c r="E844" s="417">
        <v>20</v>
      </c>
      <c r="F844" s="508">
        <f t="shared" si="132"/>
        <v>157.62</v>
      </c>
      <c r="G844" s="351" t="s">
        <v>4399</v>
      </c>
      <c r="H844" s="518" t="s">
        <v>2871</v>
      </c>
      <c r="I844" s="452" t="s">
        <v>11565</v>
      </c>
      <c r="J844" s="369" t="s">
        <v>753</v>
      </c>
      <c r="K844" s="452" t="s">
        <v>741</v>
      </c>
    </row>
    <row r="845" spans="1:11" s="317" customFormat="1">
      <c r="A845" s="369"/>
      <c r="B845" s="351" t="s">
        <v>1433</v>
      </c>
      <c r="C845" s="346">
        <v>448</v>
      </c>
      <c r="D845" s="345">
        <f t="shared" si="136"/>
        <v>137.61867028493893</v>
      </c>
      <c r="E845" s="417">
        <v>20</v>
      </c>
      <c r="F845" s="508">
        <f t="shared" si="132"/>
        <v>157.62</v>
      </c>
      <c r="G845" s="351" t="s">
        <v>4400</v>
      </c>
      <c r="H845" s="518" t="s">
        <v>1434</v>
      </c>
      <c r="I845" s="452" t="s">
        <v>11565</v>
      </c>
      <c r="J845" s="369" t="s">
        <v>753</v>
      </c>
      <c r="K845" s="452" t="s">
        <v>741</v>
      </c>
    </row>
    <row r="846" spans="1:11" s="317" customFormat="1">
      <c r="A846" s="369"/>
      <c r="B846" s="351" t="s">
        <v>2159</v>
      </c>
      <c r="C846" s="346">
        <v>448</v>
      </c>
      <c r="D846" s="345">
        <f t="shared" si="136"/>
        <v>137.61867028493893</v>
      </c>
      <c r="E846" s="417">
        <v>20</v>
      </c>
      <c r="F846" s="508">
        <f t="shared" si="132"/>
        <v>157.62</v>
      </c>
      <c r="G846" s="351" t="s">
        <v>4401</v>
      </c>
      <c r="H846" s="518" t="s">
        <v>2160</v>
      </c>
      <c r="I846" s="452" t="s">
        <v>11565</v>
      </c>
      <c r="J846" s="369" t="s">
        <v>753</v>
      </c>
      <c r="K846" s="452" t="s">
        <v>741</v>
      </c>
    </row>
    <row r="847" spans="1:11" s="317" customFormat="1">
      <c r="A847" s="369"/>
      <c r="B847" s="351" t="s">
        <v>2161</v>
      </c>
      <c r="C847" s="346">
        <v>448</v>
      </c>
      <c r="D847" s="345">
        <f t="shared" si="136"/>
        <v>137.61867028493893</v>
      </c>
      <c r="E847" s="417">
        <v>20</v>
      </c>
      <c r="F847" s="508">
        <f t="shared" si="132"/>
        <v>157.62</v>
      </c>
      <c r="G847" s="351" t="s">
        <v>4402</v>
      </c>
      <c r="H847" s="518" t="s">
        <v>2162</v>
      </c>
      <c r="I847" s="452" t="s">
        <v>11565</v>
      </c>
      <c r="J847" s="369" t="s">
        <v>753</v>
      </c>
      <c r="K847" s="452" t="s">
        <v>741</v>
      </c>
    </row>
    <row r="848" spans="1:11" s="317" customFormat="1">
      <c r="A848" s="369"/>
      <c r="B848" s="351" t="s">
        <v>2163</v>
      </c>
      <c r="C848" s="346">
        <v>448</v>
      </c>
      <c r="D848" s="345">
        <f t="shared" si="136"/>
        <v>137.61867028493893</v>
      </c>
      <c r="E848" s="417">
        <v>20</v>
      </c>
      <c r="F848" s="508">
        <f t="shared" si="132"/>
        <v>157.62</v>
      </c>
      <c r="G848" s="351" t="s">
        <v>4403</v>
      </c>
      <c r="H848" s="518" t="s">
        <v>2164</v>
      </c>
      <c r="I848" s="452" t="s">
        <v>11565</v>
      </c>
      <c r="J848" s="369" t="s">
        <v>753</v>
      </c>
      <c r="K848" s="452" t="s">
        <v>741</v>
      </c>
    </row>
    <row r="849" spans="1:11" s="317" customFormat="1">
      <c r="A849" s="369"/>
      <c r="B849" s="351" t="s">
        <v>1429</v>
      </c>
      <c r="C849" s="346">
        <v>482</v>
      </c>
      <c r="D849" s="345">
        <f t="shared" si="136"/>
        <v>148.06294436906376</v>
      </c>
      <c r="E849" s="417">
        <v>20</v>
      </c>
      <c r="F849" s="508">
        <f t="shared" si="132"/>
        <v>168.07</v>
      </c>
      <c r="G849" s="351" t="s">
        <v>4404</v>
      </c>
      <c r="H849" s="518" t="s">
        <v>1430</v>
      </c>
      <c r="I849" s="452" t="s">
        <v>11565</v>
      </c>
      <c r="J849" s="369" t="s">
        <v>753</v>
      </c>
      <c r="K849" s="452" t="s">
        <v>741</v>
      </c>
    </row>
    <row r="850" spans="1:11" s="317" customFormat="1">
      <c r="A850" s="369"/>
      <c r="B850" s="351" t="s">
        <v>2165</v>
      </c>
      <c r="C850" s="346">
        <v>482</v>
      </c>
      <c r="D850" s="345">
        <f t="shared" si="136"/>
        <v>148.06294436906376</v>
      </c>
      <c r="E850" s="417">
        <v>20</v>
      </c>
      <c r="F850" s="508">
        <f t="shared" si="132"/>
        <v>168.07</v>
      </c>
      <c r="G850" s="351" t="s">
        <v>4405</v>
      </c>
      <c r="H850" s="518" t="s">
        <v>2166</v>
      </c>
      <c r="I850" s="452" t="s">
        <v>11565</v>
      </c>
      <c r="J850" s="369" t="s">
        <v>753</v>
      </c>
      <c r="K850" s="452" t="s">
        <v>741</v>
      </c>
    </row>
    <row r="851" spans="1:11" s="317" customFormat="1">
      <c r="A851" s="369"/>
      <c r="B851" s="351" t="s">
        <v>2167</v>
      </c>
      <c r="C851" s="346">
        <v>606</v>
      </c>
      <c r="D851" s="345">
        <f t="shared" si="136"/>
        <v>186.15382632293077</v>
      </c>
      <c r="E851" s="417">
        <v>20</v>
      </c>
      <c r="F851" s="508">
        <f t="shared" si="132"/>
        <v>206.16</v>
      </c>
      <c r="G851" s="351" t="s">
        <v>4406</v>
      </c>
      <c r="H851" s="518" t="s">
        <v>2168</v>
      </c>
      <c r="I851" s="452" t="s">
        <v>11565</v>
      </c>
      <c r="J851" s="369" t="s">
        <v>753</v>
      </c>
      <c r="K851" s="452" t="s">
        <v>741</v>
      </c>
    </row>
    <row r="852" spans="1:11" s="317" customFormat="1">
      <c r="A852" s="369"/>
      <c r="B852" s="351" t="s">
        <v>2169</v>
      </c>
      <c r="C852" s="346">
        <v>713</v>
      </c>
      <c r="D852" s="345">
        <f t="shared" si="136"/>
        <v>219.02257123473538</v>
      </c>
      <c r="E852" s="417">
        <v>20</v>
      </c>
      <c r="F852" s="508">
        <f t="shared" si="132"/>
        <v>239.03</v>
      </c>
      <c r="G852" s="351" t="s">
        <v>4407</v>
      </c>
      <c r="H852" s="518" t="s">
        <v>2170</v>
      </c>
      <c r="I852" s="452" t="s">
        <v>11565</v>
      </c>
      <c r="J852" s="369" t="s">
        <v>753</v>
      </c>
      <c r="K852" s="452" t="s">
        <v>741</v>
      </c>
    </row>
    <row r="853" spans="1:11" s="317" customFormat="1">
      <c r="A853" s="369"/>
      <c r="B853" s="314"/>
      <c r="C853" s="196" t="s">
        <v>2024</v>
      </c>
      <c r="D853" s="230"/>
      <c r="E853" s="215"/>
      <c r="F853" s="511">
        <f t="shared" si="132"/>
        <v>0</v>
      </c>
      <c r="G853" s="314"/>
      <c r="H853" s="518"/>
      <c r="I853" s="452"/>
      <c r="J853" s="369"/>
      <c r="K853" s="452"/>
    </row>
    <row r="854" spans="1:11" s="317" customFormat="1">
      <c r="A854" s="369"/>
      <c r="B854" s="314"/>
      <c r="C854" s="196" t="s">
        <v>2024</v>
      </c>
      <c r="D854" s="230"/>
      <c r="E854" s="215"/>
      <c r="F854" s="511">
        <f t="shared" si="132"/>
        <v>0</v>
      </c>
      <c r="G854" s="314"/>
      <c r="H854" s="518"/>
      <c r="I854" s="452"/>
      <c r="J854" s="369"/>
      <c r="K854" s="452"/>
    </row>
    <row r="855" spans="1:11" s="315" customFormat="1">
      <c r="A855" s="369"/>
      <c r="B855" s="351" t="s">
        <v>2171</v>
      </c>
      <c r="C855" s="346">
        <v>612</v>
      </c>
      <c r="D855" s="345">
        <f t="shared" ref="D855:D863" si="137">C855*(1-VLOOKUP(I855,descuentos,6,FALSE))*fcl/IF(dol_sol="dólar", TC,1)</f>
        <v>187.9969335142469</v>
      </c>
      <c r="E855" s="549">
        <f>E845</f>
        <v>20</v>
      </c>
      <c r="F855" s="508">
        <f t="shared" si="132"/>
        <v>208</v>
      </c>
      <c r="G855" s="351" t="s">
        <v>4408</v>
      </c>
      <c r="H855" s="518" t="s">
        <v>2173</v>
      </c>
      <c r="I855" s="452" t="s">
        <v>11565</v>
      </c>
      <c r="J855" s="369" t="s">
        <v>753</v>
      </c>
      <c r="K855" s="452" t="s">
        <v>741</v>
      </c>
    </row>
    <row r="856" spans="1:11" s="315" customFormat="1">
      <c r="A856" s="369"/>
      <c r="B856" s="351" t="s">
        <v>1435</v>
      </c>
      <c r="C856" s="346">
        <v>612</v>
      </c>
      <c r="D856" s="345">
        <f t="shared" si="137"/>
        <v>187.9969335142469</v>
      </c>
      <c r="E856" s="549">
        <f t="shared" ref="E856:E863" si="138">E845</f>
        <v>20</v>
      </c>
      <c r="F856" s="508">
        <f t="shared" si="132"/>
        <v>208</v>
      </c>
      <c r="G856" s="351" t="s">
        <v>4409</v>
      </c>
      <c r="H856" s="518" t="s">
        <v>1436</v>
      </c>
      <c r="I856" s="452" t="s">
        <v>11565</v>
      </c>
      <c r="J856" s="369" t="s">
        <v>753</v>
      </c>
      <c r="K856" s="452" t="s">
        <v>741</v>
      </c>
    </row>
    <row r="857" spans="1:11" s="317" customFormat="1">
      <c r="A857" s="369"/>
      <c r="B857" s="351" t="s">
        <v>2174</v>
      </c>
      <c r="C857" s="346">
        <v>612</v>
      </c>
      <c r="D857" s="345">
        <f t="shared" si="137"/>
        <v>187.9969335142469</v>
      </c>
      <c r="E857" s="549">
        <f t="shared" si="138"/>
        <v>20</v>
      </c>
      <c r="F857" s="508">
        <f t="shared" si="132"/>
        <v>208</v>
      </c>
      <c r="G857" s="351" t="s">
        <v>4410</v>
      </c>
      <c r="H857" s="518" t="s">
        <v>2176</v>
      </c>
      <c r="I857" s="452" t="s">
        <v>11565</v>
      </c>
      <c r="J857" s="369" t="s">
        <v>753</v>
      </c>
      <c r="K857" s="452" t="s">
        <v>741</v>
      </c>
    </row>
    <row r="858" spans="1:11" s="317" customFormat="1">
      <c r="A858" s="369"/>
      <c r="B858" s="351" t="s">
        <v>2177</v>
      </c>
      <c r="C858" s="346">
        <v>612</v>
      </c>
      <c r="D858" s="345">
        <f t="shared" si="137"/>
        <v>187.9969335142469</v>
      </c>
      <c r="E858" s="549">
        <f t="shared" si="138"/>
        <v>20</v>
      </c>
      <c r="F858" s="508">
        <f t="shared" si="132"/>
        <v>208</v>
      </c>
      <c r="G858" s="351" t="s">
        <v>4411</v>
      </c>
      <c r="H858" s="518" t="s">
        <v>2179</v>
      </c>
      <c r="I858" s="452" t="s">
        <v>11565</v>
      </c>
      <c r="J858" s="369" t="s">
        <v>753</v>
      </c>
      <c r="K858" s="452" t="s">
        <v>741</v>
      </c>
    </row>
    <row r="859" spans="1:11" s="317" customFormat="1">
      <c r="A859" s="369"/>
      <c r="B859" s="351" t="s">
        <v>2180</v>
      </c>
      <c r="C859" s="346">
        <v>612</v>
      </c>
      <c r="D859" s="345">
        <f t="shared" si="137"/>
        <v>187.9969335142469</v>
      </c>
      <c r="E859" s="549">
        <f t="shared" si="138"/>
        <v>20</v>
      </c>
      <c r="F859" s="508">
        <f t="shared" si="132"/>
        <v>208</v>
      </c>
      <c r="G859" s="351" t="s">
        <v>4412</v>
      </c>
      <c r="H859" s="518" t="s">
        <v>2182</v>
      </c>
      <c r="I859" s="452" t="s">
        <v>11565</v>
      </c>
      <c r="J859" s="369" t="s">
        <v>753</v>
      </c>
      <c r="K859" s="452" t="s">
        <v>741</v>
      </c>
    </row>
    <row r="860" spans="1:11" s="317" customFormat="1">
      <c r="A860" s="369"/>
      <c r="B860" s="351" t="s">
        <v>1431</v>
      </c>
      <c r="C860" s="346">
        <v>641</v>
      </c>
      <c r="D860" s="345">
        <f t="shared" si="137"/>
        <v>196.90528493894166</v>
      </c>
      <c r="E860" s="549">
        <f t="shared" si="138"/>
        <v>20</v>
      </c>
      <c r="F860" s="508">
        <f t="shared" si="132"/>
        <v>216.91</v>
      </c>
      <c r="G860" s="351" t="s">
        <v>4413</v>
      </c>
      <c r="H860" s="518" t="s">
        <v>1432</v>
      </c>
      <c r="I860" s="452" t="s">
        <v>11565</v>
      </c>
      <c r="J860" s="369" t="s">
        <v>753</v>
      </c>
      <c r="K860" s="452" t="s">
        <v>741</v>
      </c>
    </row>
    <row r="861" spans="1:11" s="317" customFormat="1">
      <c r="A861" s="369"/>
      <c r="B861" s="351" t="s">
        <v>2183</v>
      </c>
      <c r="C861" s="346">
        <v>641</v>
      </c>
      <c r="D861" s="345">
        <f t="shared" si="137"/>
        <v>196.90528493894166</v>
      </c>
      <c r="E861" s="549">
        <f t="shared" si="138"/>
        <v>20</v>
      </c>
      <c r="F861" s="508">
        <f t="shared" si="132"/>
        <v>216.91</v>
      </c>
      <c r="G861" s="351" t="s">
        <v>4414</v>
      </c>
      <c r="H861" s="518" t="s">
        <v>2185</v>
      </c>
      <c r="I861" s="452" t="s">
        <v>11565</v>
      </c>
      <c r="J861" s="369" t="s">
        <v>753</v>
      </c>
      <c r="K861" s="452" t="s">
        <v>741</v>
      </c>
    </row>
    <row r="862" spans="1:11" s="317" customFormat="1">
      <c r="A862" s="369"/>
      <c r="B862" s="351" t="s">
        <v>2186</v>
      </c>
      <c r="C862" s="346">
        <v>705</v>
      </c>
      <c r="D862" s="345">
        <f t="shared" si="137"/>
        <v>216.5650949796472</v>
      </c>
      <c r="E862" s="549">
        <f t="shared" si="138"/>
        <v>20</v>
      </c>
      <c r="F862" s="508">
        <f t="shared" si="132"/>
        <v>236.57</v>
      </c>
      <c r="G862" s="351" t="s">
        <v>4415</v>
      </c>
      <c r="H862" s="518" t="s">
        <v>2187</v>
      </c>
      <c r="I862" s="452" t="s">
        <v>11565</v>
      </c>
      <c r="J862" s="369" t="s">
        <v>753</v>
      </c>
      <c r="K862" s="452" t="s">
        <v>741</v>
      </c>
    </row>
    <row r="863" spans="1:11" s="317" customFormat="1">
      <c r="A863" s="369"/>
      <c r="B863" s="351" t="s">
        <v>2188</v>
      </c>
      <c r="C863" s="346">
        <v>770</v>
      </c>
      <c r="D863" s="345">
        <f t="shared" si="137"/>
        <v>236.53208955223877</v>
      </c>
      <c r="E863" s="549">
        <f t="shared" si="138"/>
        <v>20</v>
      </c>
      <c r="F863" s="508">
        <f t="shared" si="132"/>
        <v>256.53999999999996</v>
      </c>
      <c r="G863" s="351" t="s">
        <v>4416</v>
      </c>
      <c r="H863" s="518" t="s">
        <v>2189</v>
      </c>
      <c r="I863" s="452" t="s">
        <v>11565</v>
      </c>
      <c r="J863" s="369" t="s">
        <v>753</v>
      </c>
      <c r="K863" s="452" t="s">
        <v>741</v>
      </c>
    </row>
    <row r="864" spans="1:11" s="317" customFormat="1">
      <c r="A864" s="369"/>
      <c r="B864" s="314"/>
      <c r="C864" s="196" t="s">
        <v>2024</v>
      </c>
      <c r="D864" s="230"/>
      <c r="E864" s="215"/>
      <c r="F864" s="511">
        <f t="shared" si="132"/>
        <v>0</v>
      </c>
      <c r="G864" s="314"/>
      <c r="H864" s="518"/>
      <c r="I864" s="452"/>
      <c r="J864" s="369"/>
      <c r="K864" s="452"/>
    </row>
    <row r="865" spans="1:11" s="317" customFormat="1">
      <c r="A865" s="369"/>
      <c r="B865" s="351" t="s">
        <v>2851</v>
      </c>
      <c r="C865" s="346">
        <v>796</v>
      </c>
      <c r="D865" s="345">
        <f t="shared" ref="D865:D872" si="139">C865*(1-VLOOKUP(I865,descuentos,6,FALSE))*fcl/IF(dol_sol="dólar", TC,1)</f>
        <v>244.51888738127542</v>
      </c>
      <c r="E865" s="549">
        <f t="shared" ref="E865:E872" si="140">E855</f>
        <v>20</v>
      </c>
      <c r="F865" s="508">
        <f t="shared" si="132"/>
        <v>264.52</v>
      </c>
      <c r="G865" s="351" t="s">
        <v>4417</v>
      </c>
      <c r="H865" s="518" t="s">
        <v>2860</v>
      </c>
      <c r="I865" s="452" t="s">
        <v>11565</v>
      </c>
      <c r="J865" s="369" t="s">
        <v>753</v>
      </c>
      <c r="K865" s="452" t="s">
        <v>741</v>
      </c>
    </row>
    <row r="866" spans="1:11" s="317" customFormat="1">
      <c r="A866" s="369"/>
      <c r="B866" s="351" t="s">
        <v>2852</v>
      </c>
      <c r="C866" s="346">
        <v>796</v>
      </c>
      <c r="D866" s="345">
        <f t="shared" si="139"/>
        <v>244.51888738127542</v>
      </c>
      <c r="E866" s="549">
        <f t="shared" si="140"/>
        <v>20</v>
      </c>
      <c r="F866" s="508">
        <f t="shared" si="132"/>
        <v>264.52</v>
      </c>
      <c r="G866" s="351" t="s">
        <v>4418</v>
      </c>
      <c r="H866" s="518" t="s">
        <v>2861</v>
      </c>
      <c r="I866" s="452" t="s">
        <v>11565</v>
      </c>
      <c r="J866" s="369" t="s">
        <v>753</v>
      </c>
      <c r="K866" s="452" t="s">
        <v>741</v>
      </c>
    </row>
    <row r="867" spans="1:11" s="317" customFormat="1">
      <c r="A867" s="369"/>
      <c r="B867" s="351" t="s">
        <v>2853</v>
      </c>
      <c r="C867" s="346">
        <v>796</v>
      </c>
      <c r="D867" s="345">
        <f t="shared" si="139"/>
        <v>244.51888738127542</v>
      </c>
      <c r="E867" s="549">
        <f t="shared" si="140"/>
        <v>20</v>
      </c>
      <c r="F867" s="508">
        <f t="shared" si="132"/>
        <v>264.52</v>
      </c>
      <c r="G867" s="351" t="s">
        <v>4419</v>
      </c>
      <c r="H867" s="518" t="s">
        <v>2862</v>
      </c>
      <c r="I867" s="452" t="s">
        <v>11565</v>
      </c>
      <c r="J867" s="369" t="s">
        <v>753</v>
      </c>
      <c r="K867" s="452" t="s">
        <v>741</v>
      </c>
    </row>
    <row r="868" spans="1:11" s="317" customFormat="1">
      <c r="A868" s="369"/>
      <c r="B868" s="351" t="s">
        <v>2854</v>
      </c>
      <c r="C868" s="346">
        <v>796</v>
      </c>
      <c r="D868" s="345">
        <f t="shared" si="139"/>
        <v>244.51888738127542</v>
      </c>
      <c r="E868" s="549">
        <f t="shared" si="140"/>
        <v>20</v>
      </c>
      <c r="F868" s="508">
        <f t="shared" si="132"/>
        <v>264.52</v>
      </c>
      <c r="G868" s="351" t="s">
        <v>12702</v>
      </c>
      <c r="H868" s="518" t="s">
        <v>2863</v>
      </c>
      <c r="I868" s="452" t="s">
        <v>11565</v>
      </c>
      <c r="J868" s="369" t="s">
        <v>753</v>
      </c>
      <c r="K868" s="452" t="s">
        <v>741</v>
      </c>
    </row>
    <row r="869" spans="1:11" s="317" customFormat="1">
      <c r="A869" s="369"/>
      <c r="B869" s="351" t="s">
        <v>2855</v>
      </c>
      <c r="C869" s="346">
        <v>808</v>
      </c>
      <c r="D869" s="345">
        <f t="shared" si="139"/>
        <v>248.20510176390772</v>
      </c>
      <c r="E869" s="549">
        <f t="shared" si="140"/>
        <v>20</v>
      </c>
      <c r="F869" s="508">
        <f t="shared" si="132"/>
        <v>268.20999999999998</v>
      </c>
      <c r="G869" s="351" t="s">
        <v>4420</v>
      </c>
      <c r="H869" s="518" t="s">
        <v>2864</v>
      </c>
      <c r="I869" s="452" t="s">
        <v>11565</v>
      </c>
      <c r="J869" s="369" t="s">
        <v>753</v>
      </c>
      <c r="K869" s="452" t="s">
        <v>741</v>
      </c>
    </row>
    <row r="870" spans="1:11" s="317" customFormat="1">
      <c r="A870" s="369"/>
      <c r="B870" s="351" t="s">
        <v>2856</v>
      </c>
      <c r="C870" s="346">
        <v>808</v>
      </c>
      <c r="D870" s="345">
        <f t="shared" si="139"/>
        <v>248.20510176390772</v>
      </c>
      <c r="E870" s="549">
        <f t="shared" si="140"/>
        <v>20</v>
      </c>
      <c r="F870" s="508">
        <f t="shared" si="132"/>
        <v>268.20999999999998</v>
      </c>
      <c r="G870" s="351" t="s">
        <v>4421</v>
      </c>
      <c r="H870" s="518" t="s">
        <v>2865</v>
      </c>
      <c r="I870" s="452" t="s">
        <v>11565</v>
      </c>
      <c r="J870" s="369" t="s">
        <v>753</v>
      </c>
      <c r="K870" s="452" t="s">
        <v>741</v>
      </c>
    </row>
    <row r="871" spans="1:11" s="317" customFormat="1">
      <c r="A871" s="369"/>
      <c r="B871" s="351" t="s">
        <v>2857</v>
      </c>
      <c r="C871" s="346">
        <v>841</v>
      </c>
      <c r="D871" s="345">
        <f t="shared" si="139"/>
        <v>258.34219131614651</v>
      </c>
      <c r="E871" s="549">
        <f t="shared" si="140"/>
        <v>20</v>
      </c>
      <c r="F871" s="508">
        <f t="shared" si="132"/>
        <v>278.34999999999997</v>
      </c>
      <c r="G871" s="351" t="s">
        <v>4422</v>
      </c>
      <c r="H871" s="518" t="s">
        <v>2866</v>
      </c>
      <c r="I871" s="452" t="s">
        <v>11565</v>
      </c>
      <c r="J871" s="369" t="s">
        <v>753</v>
      </c>
      <c r="K871" s="452" t="s">
        <v>741</v>
      </c>
    </row>
    <row r="872" spans="1:11" s="317" customFormat="1">
      <c r="A872" s="369"/>
      <c r="B872" s="351" t="s">
        <v>2858</v>
      </c>
      <c r="C872" s="346">
        <v>952</v>
      </c>
      <c r="D872" s="345">
        <f t="shared" si="139"/>
        <v>292.43967435549524</v>
      </c>
      <c r="E872" s="549">
        <f t="shared" si="140"/>
        <v>20</v>
      </c>
      <c r="F872" s="508">
        <f t="shared" ref="F872:F935" si="141">ROUNDUP(D872+E872,2)</f>
        <v>312.44</v>
      </c>
      <c r="G872" s="351" t="s">
        <v>4423</v>
      </c>
      <c r="H872" s="518" t="s">
        <v>2867</v>
      </c>
      <c r="I872" s="452" t="s">
        <v>11565</v>
      </c>
      <c r="J872" s="369" t="s">
        <v>753</v>
      </c>
      <c r="K872" s="452" t="s">
        <v>741</v>
      </c>
    </row>
    <row r="873" spans="1:11" s="317" customFormat="1">
      <c r="A873" s="369"/>
      <c r="B873" s="314"/>
      <c r="C873" s="196" t="s">
        <v>2024</v>
      </c>
      <c r="D873" s="230"/>
      <c r="E873" s="215"/>
      <c r="F873" s="511">
        <f t="shared" si="141"/>
        <v>0</v>
      </c>
      <c r="G873" s="314"/>
      <c r="H873" s="518"/>
      <c r="I873" s="452"/>
      <c r="J873" s="369"/>
      <c r="K873" s="452"/>
    </row>
    <row r="874" spans="1:11" s="317" customFormat="1">
      <c r="A874" s="369"/>
      <c r="B874" s="314"/>
      <c r="C874" s="196" t="s">
        <v>2024</v>
      </c>
      <c r="D874" s="230"/>
      <c r="E874" s="215"/>
      <c r="F874" s="511">
        <f t="shared" si="141"/>
        <v>0</v>
      </c>
      <c r="G874" s="314"/>
      <c r="H874" s="518"/>
      <c r="I874" s="452"/>
      <c r="J874" s="369"/>
      <c r="K874" s="452"/>
    </row>
    <row r="875" spans="1:11" s="317" customFormat="1">
      <c r="A875" s="369"/>
      <c r="B875" s="314"/>
      <c r="C875" s="196" t="s">
        <v>2024</v>
      </c>
      <c r="D875" s="230"/>
      <c r="E875" s="215"/>
      <c r="F875" s="511"/>
      <c r="G875" s="314"/>
      <c r="H875" s="518"/>
      <c r="I875" s="452"/>
      <c r="J875" s="369"/>
      <c r="K875" s="452"/>
    </row>
    <row r="876" spans="1:11" s="317" customFormat="1">
      <c r="A876" s="369" t="s">
        <v>11159</v>
      </c>
      <c r="B876" s="314" t="s">
        <v>6607</v>
      </c>
      <c r="C876" s="196">
        <v>625</v>
      </c>
      <c r="D876" s="230">
        <f>C876*(1-VLOOKUP(I876,descuentos,6,FALSE))*fcl/IF(dol_sol="dólar", TC,1)</f>
        <v>191.99033242876524</v>
      </c>
      <c r="E876" s="417">
        <v>15</v>
      </c>
      <c r="F876" s="511">
        <f>ROUNDUP(D876+E876,2)</f>
        <v>207</v>
      </c>
      <c r="G876" s="314" t="s">
        <v>11115</v>
      </c>
      <c r="H876" s="518" t="s">
        <v>6608</v>
      </c>
      <c r="I876" s="452" t="s">
        <v>11565</v>
      </c>
      <c r="J876" s="369" t="s">
        <v>753</v>
      </c>
      <c r="K876" s="452" t="s">
        <v>741</v>
      </c>
    </row>
    <row r="877" spans="1:11" s="317" customFormat="1">
      <c r="A877" s="369" t="s">
        <v>11159</v>
      </c>
      <c r="B877" s="314" t="s">
        <v>11116</v>
      </c>
      <c r="C877" s="196">
        <v>625</v>
      </c>
      <c r="D877" s="230">
        <f>C877*(1-VLOOKUP(I877,descuentos,6,FALSE))*fcl/IF(dol_sol="dólar", TC,1)</f>
        <v>191.99033242876524</v>
      </c>
      <c r="E877" s="417">
        <v>15</v>
      </c>
      <c r="F877" s="511">
        <f>ROUNDUP(D877+E877,2)</f>
        <v>207</v>
      </c>
      <c r="G877" s="314" t="s">
        <v>11117</v>
      </c>
      <c r="H877" s="518" t="s">
        <v>11118</v>
      </c>
      <c r="I877" s="452" t="s">
        <v>11565</v>
      </c>
      <c r="J877" s="369" t="s">
        <v>753</v>
      </c>
      <c r="K877" s="452" t="s">
        <v>741</v>
      </c>
    </row>
    <row r="878" spans="1:11" s="317" customFormat="1">
      <c r="A878" s="369" t="s">
        <v>11159</v>
      </c>
      <c r="B878" s="314" t="s">
        <v>11119</v>
      </c>
      <c r="C878" s="196">
        <v>647</v>
      </c>
      <c r="D878" s="230">
        <f>C878*(1-VLOOKUP(I878,descuentos,6,FALSE))*fcl/IF(dol_sol="dólar", TC,1)</f>
        <v>198.74839213025777</v>
      </c>
      <c r="E878" s="417">
        <v>15</v>
      </c>
      <c r="F878" s="511">
        <f>ROUNDUP(D878+E878,2)</f>
        <v>213.75</v>
      </c>
      <c r="G878" s="314" t="s">
        <v>11120</v>
      </c>
      <c r="H878" s="518" t="s">
        <v>11121</v>
      </c>
      <c r="I878" s="452" t="s">
        <v>11565</v>
      </c>
      <c r="J878" s="369" t="s">
        <v>753</v>
      </c>
      <c r="K878" s="452" t="s">
        <v>741</v>
      </c>
    </row>
    <row r="879" spans="1:11" s="317" customFormat="1">
      <c r="A879" s="369" t="s">
        <v>11159</v>
      </c>
      <c r="B879" s="314" t="s">
        <v>11122</v>
      </c>
      <c r="C879" s="196">
        <v>647</v>
      </c>
      <c r="D879" s="230">
        <f>C879*(1-VLOOKUP(I879,descuentos,6,FALSE))*fcl/IF(dol_sol="dólar", TC,1)</f>
        <v>198.74839213025777</v>
      </c>
      <c r="E879" s="417">
        <v>15</v>
      </c>
      <c r="F879" s="511">
        <f>ROUNDUP(D879+E879,2)</f>
        <v>213.75</v>
      </c>
      <c r="G879" s="314" t="s">
        <v>11123</v>
      </c>
      <c r="H879" s="518" t="s">
        <v>11124</v>
      </c>
      <c r="I879" s="452" t="s">
        <v>11565</v>
      </c>
      <c r="J879" s="369" t="s">
        <v>753</v>
      </c>
      <c r="K879" s="452" t="s">
        <v>741</v>
      </c>
    </row>
    <row r="880" spans="1:11" s="317" customFormat="1">
      <c r="A880" s="369"/>
      <c r="B880" s="518"/>
      <c r="C880" s="196" t="s">
        <v>2024</v>
      </c>
      <c r="D880" s="230"/>
      <c r="E880" s="215"/>
      <c r="F880" s="511"/>
      <c r="G880" s="314"/>
      <c r="H880" s="518"/>
      <c r="I880" s="452"/>
      <c r="J880" s="369"/>
      <c r="K880" s="452"/>
    </row>
    <row r="881" spans="1:11" s="317" customFormat="1">
      <c r="A881" s="369"/>
      <c r="B881" s="314"/>
      <c r="C881" s="196" t="s">
        <v>2024</v>
      </c>
      <c r="D881" s="230"/>
      <c r="E881" s="215"/>
      <c r="F881" s="511"/>
      <c r="G881" s="314"/>
      <c r="H881" s="518"/>
      <c r="I881" s="452"/>
      <c r="J881" s="369"/>
      <c r="K881" s="452"/>
    </row>
    <row r="882" spans="1:11" s="317" customFormat="1">
      <c r="A882" s="369"/>
      <c r="B882" s="314" t="s">
        <v>844</v>
      </c>
      <c r="C882" s="196">
        <v>608</v>
      </c>
      <c r="D882" s="230">
        <f t="shared" ref="D882:D892" si="142">C882*(1-VLOOKUP(I882,descuentos,6,FALSE))*fcl/IF(dol_sol="dólar", TC,1)</f>
        <v>186.76819538670284</v>
      </c>
      <c r="E882" s="417">
        <v>15</v>
      </c>
      <c r="F882" s="511">
        <f t="shared" si="141"/>
        <v>201.76999999999998</v>
      </c>
      <c r="G882" s="314" t="s">
        <v>4424</v>
      </c>
      <c r="H882" s="518" t="s">
        <v>853</v>
      </c>
      <c r="I882" s="452" t="s">
        <v>11565</v>
      </c>
      <c r="J882" s="369" t="s">
        <v>753</v>
      </c>
      <c r="K882" s="452" t="s">
        <v>741</v>
      </c>
    </row>
    <row r="883" spans="1:11" s="317" customFormat="1">
      <c r="A883" s="369"/>
      <c r="B883" s="314" t="s">
        <v>1331</v>
      </c>
      <c r="C883" s="196">
        <v>608</v>
      </c>
      <c r="D883" s="230">
        <f t="shared" si="142"/>
        <v>186.76819538670284</v>
      </c>
      <c r="E883" s="417">
        <v>15</v>
      </c>
      <c r="F883" s="511">
        <f t="shared" si="141"/>
        <v>201.76999999999998</v>
      </c>
      <c r="G883" s="314" t="s">
        <v>4425</v>
      </c>
      <c r="H883" s="518" t="s">
        <v>1332</v>
      </c>
      <c r="I883" s="452" t="s">
        <v>11565</v>
      </c>
      <c r="J883" s="369" t="s">
        <v>753</v>
      </c>
      <c r="K883" s="452" t="s">
        <v>741</v>
      </c>
    </row>
    <row r="884" spans="1:11" s="317" customFormat="1">
      <c r="A884" s="369"/>
      <c r="B884" s="314" t="s">
        <v>851</v>
      </c>
      <c r="C884" s="196">
        <v>608</v>
      </c>
      <c r="D884" s="230">
        <f t="shared" si="142"/>
        <v>186.76819538670284</v>
      </c>
      <c r="E884" s="417">
        <v>15</v>
      </c>
      <c r="F884" s="511">
        <f t="shared" si="141"/>
        <v>201.76999999999998</v>
      </c>
      <c r="G884" s="314" t="s">
        <v>4426</v>
      </c>
      <c r="H884" s="518" t="s">
        <v>859</v>
      </c>
      <c r="I884" s="452" t="s">
        <v>11565</v>
      </c>
      <c r="J884" s="369" t="s">
        <v>753</v>
      </c>
      <c r="K884" s="452" t="s">
        <v>741</v>
      </c>
    </row>
    <row r="885" spans="1:11" s="317" customFormat="1">
      <c r="A885" s="369"/>
      <c r="B885" s="314" t="s">
        <v>850</v>
      </c>
      <c r="C885" s="196">
        <v>625</v>
      </c>
      <c r="D885" s="230">
        <f t="shared" si="142"/>
        <v>191.99033242876524</v>
      </c>
      <c r="E885" s="417">
        <v>15</v>
      </c>
      <c r="F885" s="511">
        <f t="shared" si="141"/>
        <v>207</v>
      </c>
      <c r="G885" s="314" t="s">
        <v>4427</v>
      </c>
      <c r="H885" s="518" t="s">
        <v>862</v>
      </c>
      <c r="I885" s="452" t="s">
        <v>11565</v>
      </c>
      <c r="J885" s="369" t="s">
        <v>753</v>
      </c>
      <c r="K885" s="452" t="s">
        <v>741</v>
      </c>
    </row>
    <row r="886" spans="1:11" s="317" customFormat="1">
      <c r="A886" s="369"/>
      <c r="B886" s="314" t="s">
        <v>863</v>
      </c>
      <c r="C886" s="196">
        <v>625</v>
      </c>
      <c r="D886" s="230">
        <f t="shared" si="142"/>
        <v>191.99033242876524</v>
      </c>
      <c r="E886" s="417">
        <v>15</v>
      </c>
      <c r="F886" s="511">
        <f t="shared" si="141"/>
        <v>207</v>
      </c>
      <c r="G886" s="314" t="s">
        <v>4428</v>
      </c>
      <c r="H886" s="518" t="s">
        <v>860</v>
      </c>
      <c r="I886" s="452" t="s">
        <v>11565</v>
      </c>
      <c r="J886" s="369" t="s">
        <v>753</v>
      </c>
      <c r="K886" s="452" t="s">
        <v>741</v>
      </c>
    </row>
    <row r="887" spans="1:11" s="317" customFormat="1">
      <c r="A887" s="369"/>
      <c r="B887" s="314" t="s">
        <v>847</v>
      </c>
      <c r="C887" s="196">
        <v>625</v>
      </c>
      <c r="D887" s="230">
        <f t="shared" si="142"/>
        <v>191.99033242876524</v>
      </c>
      <c r="E887" s="417">
        <v>15</v>
      </c>
      <c r="F887" s="511">
        <f t="shared" si="141"/>
        <v>207</v>
      </c>
      <c r="G887" s="314" t="s">
        <v>4429</v>
      </c>
      <c r="H887" s="518" t="s">
        <v>856</v>
      </c>
      <c r="I887" s="452" t="s">
        <v>11565</v>
      </c>
      <c r="J887" s="369" t="s">
        <v>753</v>
      </c>
      <c r="K887" s="452" t="s">
        <v>741</v>
      </c>
    </row>
    <row r="888" spans="1:11" s="317" customFormat="1">
      <c r="A888" s="369"/>
      <c r="B888" s="314" t="s">
        <v>849</v>
      </c>
      <c r="C888" s="196">
        <v>625</v>
      </c>
      <c r="D888" s="230">
        <f t="shared" si="142"/>
        <v>191.99033242876524</v>
      </c>
      <c r="E888" s="417">
        <v>15</v>
      </c>
      <c r="F888" s="511">
        <f t="shared" si="141"/>
        <v>207</v>
      </c>
      <c r="G888" s="314" t="s">
        <v>4430</v>
      </c>
      <c r="H888" s="518" t="s">
        <v>858</v>
      </c>
      <c r="I888" s="452" t="s">
        <v>11565</v>
      </c>
      <c r="J888" s="369" t="s">
        <v>753</v>
      </c>
      <c r="K888" s="452" t="s">
        <v>741</v>
      </c>
    </row>
    <row r="889" spans="1:11" s="317" customFormat="1">
      <c r="A889" s="369"/>
      <c r="B889" s="314" t="s">
        <v>2198</v>
      </c>
      <c r="C889" s="196">
        <v>647</v>
      </c>
      <c r="D889" s="230">
        <f t="shared" si="142"/>
        <v>198.74839213025777</v>
      </c>
      <c r="E889" s="417">
        <v>15</v>
      </c>
      <c r="F889" s="511">
        <f t="shared" si="141"/>
        <v>213.75</v>
      </c>
      <c r="G889" s="314" t="s">
        <v>4431</v>
      </c>
      <c r="H889" s="518" t="s">
        <v>2655</v>
      </c>
      <c r="I889" s="452" t="s">
        <v>11565</v>
      </c>
      <c r="J889" s="369" t="s">
        <v>753</v>
      </c>
      <c r="K889" s="452" t="s">
        <v>741</v>
      </c>
    </row>
    <row r="890" spans="1:11" s="317" customFormat="1">
      <c r="A890" s="369"/>
      <c r="B890" s="314" t="s">
        <v>848</v>
      </c>
      <c r="C890" s="196">
        <v>647</v>
      </c>
      <c r="D890" s="230">
        <f t="shared" si="142"/>
        <v>198.74839213025777</v>
      </c>
      <c r="E890" s="417">
        <v>15</v>
      </c>
      <c r="F890" s="511">
        <f t="shared" si="141"/>
        <v>213.75</v>
      </c>
      <c r="G890" s="314" t="s">
        <v>4432</v>
      </c>
      <c r="H890" s="518" t="s">
        <v>857</v>
      </c>
      <c r="I890" s="452" t="s">
        <v>11565</v>
      </c>
      <c r="J890" s="369" t="s">
        <v>753</v>
      </c>
      <c r="K890" s="452" t="s">
        <v>741</v>
      </c>
    </row>
    <row r="891" spans="1:11" s="317" customFormat="1">
      <c r="A891" s="369"/>
      <c r="B891" s="314" t="s">
        <v>1325</v>
      </c>
      <c r="C891" s="196">
        <v>668</v>
      </c>
      <c r="D891" s="230">
        <f t="shared" si="142"/>
        <v>205.19926729986432</v>
      </c>
      <c r="E891" s="417">
        <v>15</v>
      </c>
      <c r="F891" s="511">
        <f t="shared" si="141"/>
        <v>220.2</v>
      </c>
      <c r="G891" s="314" t="s">
        <v>4433</v>
      </c>
      <c r="H891" s="518" t="s">
        <v>1326</v>
      </c>
      <c r="I891" s="452" t="s">
        <v>11565</v>
      </c>
      <c r="J891" s="369" t="s">
        <v>753</v>
      </c>
      <c r="K891" s="452" t="s">
        <v>741</v>
      </c>
    </row>
    <row r="892" spans="1:11" s="317" customFormat="1">
      <c r="A892" s="369"/>
      <c r="B892" s="314" t="s">
        <v>852</v>
      </c>
      <c r="C892" s="196">
        <v>697</v>
      </c>
      <c r="D892" s="230">
        <f t="shared" si="142"/>
        <v>214.10761872455899</v>
      </c>
      <c r="E892" s="417">
        <v>15</v>
      </c>
      <c r="F892" s="511">
        <f t="shared" si="141"/>
        <v>229.10999999999999</v>
      </c>
      <c r="G892" s="314" t="s">
        <v>4434</v>
      </c>
      <c r="H892" s="518" t="s">
        <v>861</v>
      </c>
      <c r="I892" s="452" t="s">
        <v>11565</v>
      </c>
      <c r="J892" s="369" t="s">
        <v>753</v>
      </c>
      <c r="K892" s="452" t="s">
        <v>741</v>
      </c>
    </row>
    <row r="893" spans="1:11" s="317" customFormat="1">
      <c r="A893" s="369"/>
      <c r="B893" s="314"/>
      <c r="C893" s="196" t="s">
        <v>2024</v>
      </c>
      <c r="D893" s="230"/>
      <c r="E893" s="215"/>
      <c r="F893" s="511">
        <f t="shared" si="141"/>
        <v>0</v>
      </c>
      <c r="G893" s="314"/>
      <c r="H893" s="518"/>
      <c r="I893" s="452"/>
      <c r="J893" s="369"/>
      <c r="K893" s="452"/>
    </row>
    <row r="894" spans="1:11" s="317" customFormat="1">
      <c r="A894" s="369"/>
      <c r="B894" s="351" t="s">
        <v>2845</v>
      </c>
      <c r="C894" s="346">
        <v>812</v>
      </c>
      <c r="D894" s="345">
        <f t="shared" ref="D894:D904" si="143">C894*(1-VLOOKUP(I894,descuentos,6,FALSE))*fcl/IF(dol_sol="dólar", TC,1)</f>
        <v>249.43383989145178</v>
      </c>
      <c r="E894" s="417">
        <v>20</v>
      </c>
      <c r="F894" s="508">
        <f t="shared" si="141"/>
        <v>269.44</v>
      </c>
      <c r="G894" s="351" t="s">
        <v>4435</v>
      </c>
      <c r="H894" s="518" t="s">
        <v>2848</v>
      </c>
      <c r="I894" s="452" t="s">
        <v>11565</v>
      </c>
      <c r="J894" s="369" t="s">
        <v>753</v>
      </c>
      <c r="K894" s="452" t="s">
        <v>741</v>
      </c>
    </row>
    <row r="895" spans="1:11" s="317" customFormat="1">
      <c r="A895" s="369"/>
      <c r="B895" s="351" t="s">
        <v>2846</v>
      </c>
      <c r="C895" s="346">
        <v>812</v>
      </c>
      <c r="D895" s="345">
        <f t="shared" si="143"/>
        <v>249.43383989145178</v>
      </c>
      <c r="E895" s="417">
        <v>20</v>
      </c>
      <c r="F895" s="508">
        <f t="shared" si="141"/>
        <v>269.44</v>
      </c>
      <c r="G895" s="351" t="s">
        <v>4436</v>
      </c>
      <c r="H895" s="518" t="s">
        <v>2849</v>
      </c>
      <c r="I895" s="452" t="s">
        <v>11565</v>
      </c>
      <c r="J895" s="369" t="s">
        <v>753</v>
      </c>
      <c r="K895" s="452" t="s">
        <v>741</v>
      </c>
    </row>
    <row r="896" spans="1:11" s="317" customFormat="1">
      <c r="A896" s="369"/>
      <c r="B896" s="351" t="s">
        <v>2847</v>
      </c>
      <c r="C896" s="346">
        <v>812</v>
      </c>
      <c r="D896" s="345">
        <f t="shared" si="143"/>
        <v>249.43383989145178</v>
      </c>
      <c r="E896" s="417">
        <v>20</v>
      </c>
      <c r="F896" s="508">
        <f t="shared" si="141"/>
        <v>269.44</v>
      </c>
      <c r="G896" s="351" t="s">
        <v>4437</v>
      </c>
      <c r="H896" s="518" t="s">
        <v>2850</v>
      </c>
      <c r="I896" s="452" t="s">
        <v>11565</v>
      </c>
      <c r="J896" s="369" t="s">
        <v>753</v>
      </c>
      <c r="K896" s="452" t="s">
        <v>741</v>
      </c>
    </row>
    <row r="897" spans="1:11" s="317" customFormat="1">
      <c r="A897" s="369"/>
      <c r="B897" s="351" t="s">
        <v>2190</v>
      </c>
      <c r="C897" s="346">
        <v>812</v>
      </c>
      <c r="D897" s="345">
        <f t="shared" si="143"/>
        <v>249.43383989145178</v>
      </c>
      <c r="E897" s="417">
        <v>20</v>
      </c>
      <c r="F897" s="508">
        <f t="shared" si="141"/>
        <v>269.44</v>
      </c>
      <c r="G897" s="351" t="s">
        <v>4438</v>
      </c>
      <c r="H897" s="518" t="s">
        <v>2191</v>
      </c>
      <c r="I897" s="452" t="s">
        <v>11565</v>
      </c>
      <c r="J897" s="369" t="s">
        <v>753</v>
      </c>
      <c r="K897" s="452" t="s">
        <v>741</v>
      </c>
    </row>
    <row r="898" spans="1:11" s="317" customFormat="1">
      <c r="A898" s="369"/>
      <c r="B898" s="351" t="s">
        <v>2192</v>
      </c>
      <c r="C898" s="346">
        <v>812</v>
      </c>
      <c r="D898" s="345">
        <f t="shared" si="143"/>
        <v>249.43383989145178</v>
      </c>
      <c r="E898" s="417">
        <v>20</v>
      </c>
      <c r="F898" s="508">
        <f t="shared" si="141"/>
        <v>269.44</v>
      </c>
      <c r="G898" s="351" t="s">
        <v>4439</v>
      </c>
      <c r="H898" s="518" t="s">
        <v>2193</v>
      </c>
      <c r="I898" s="452" t="s">
        <v>11565</v>
      </c>
      <c r="J898" s="369" t="s">
        <v>753</v>
      </c>
      <c r="K898" s="452" t="s">
        <v>741</v>
      </c>
    </row>
    <row r="899" spans="1:11" s="317" customFormat="1">
      <c r="A899" s="369"/>
      <c r="B899" s="351" t="s">
        <v>2194</v>
      </c>
      <c r="C899" s="346">
        <v>812</v>
      </c>
      <c r="D899" s="345">
        <f t="shared" si="143"/>
        <v>249.43383989145178</v>
      </c>
      <c r="E899" s="417">
        <v>20</v>
      </c>
      <c r="F899" s="508">
        <f t="shared" si="141"/>
        <v>269.44</v>
      </c>
      <c r="G899" s="351" t="s">
        <v>4440</v>
      </c>
      <c r="H899" s="518" t="s">
        <v>2195</v>
      </c>
      <c r="I899" s="452" t="s">
        <v>11565</v>
      </c>
      <c r="J899" s="369" t="s">
        <v>753</v>
      </c>
      <c r="K899" s="452" t="s">
        <v>741</v>
      </c>
    </row>
    <row r="900" spans="1:11" s="317" customFormat="1">
      <c r="A900" s="369"/>
      <c r="B900" s="351" t="s">
        <v>2196</v>
      </c>
      <c r="C900" s="346">
        <v>812</v>
      </c>
      <c r="D900" s="345">
        <f t="shared" si="143"/>
        <v>249.43383989145178</v>
      </c>
      <c r="E900" s="417">
        <v>20</v>
      </c>
      <c r="F900" s="508">
        <f t="shared" si="141"/>
        <v>269.44</v>
      </c>
      <c r="G900" s="351" t="s">
        <v>4441</v>
      </c>
      <c r="H900" s="518" t="s">
        <v>2197</v>
      </c>
      <c r="I900" s="452" t="s">
        <v>11565</v>
      </c>
      <c r="J900" s="369" t="s">
        <v>753</v>
      </c>
      <c r="K900" s="452" t="s">
        <v>741</v>
      </c>
    </row>
    <row r="901" spans="1:11" s="317" customFormat="1">
      <c r="A901" s="369"/>
      <c r="B901" s="351" t="s">
        <v>2199</v>
      </c>
      <c r="C901" s="346">
        <v>840</v>
      </c>
      <c r="D901" s="345">
        <f t="shared" si="143"/>
        <v>258.03500678426047</v>
      </c>
      <c r="E901" s="417">
        <v>20</v>
      </c>
      <c r="F901" s="508">
        <f t="shared" si="141"/>
        <v>278.03999999999996</v>
      </c>
      <c r="G901" s="351" t="s">
        <v>4442</v>
      </c>
      <c r="H901" s="518" t="s">
        <v>2200</v>
      </c>
      <c r="I901" s="452" t="s">
        <v>11565</v>
      </c>
      <c r="J901" s="369" t="s">
        <v>753</v>
      </c>
      <c r="K901" s="452" t="s">
        <v>741</v>
      </c>
    </row>
    <row r="902" spans="1:11" s="317" customFormat="1">
      <c r="A902" s="369"/>
      <c r="B902" s="351" t="s">
        <v>2201</v>
      </c>
      <c r="C902" s="346">
        <v>840</v>
      </c>
      <c r="D902" s="345">
        <f t="shared" si="143"/>
        <v>258.03500678426047</v>
      </c>
      <c r="E902" s="417">
        <v>20</v>
      </c>
      <c r="F902" s="508">
        <f t="shared" si="141"/>
        <v>278.03999999999996</v>
      </c>
      <c r="G902" s="351" t="s">
        <v>4443</v>
      </c>
      <c r="H902" s="518" t="s">
        <v>2202</v>
      </c>
      <c r="I902" s="452" t="s">
        <v>11565</v>
      </c>
      <c r="J902" s="369" t="s">
        <v>753</v>
      </c>
      <c r="K902" s="452" t="s">
        <v>741</v>
      </c>
    </row>
    <row r="903" spans="1:11" s="317" customFormat="1">
      <c r="A903" s="369"/>
      <c r="B903" s="351" t="s">
        <v>2817</v>
      </c>
      <c r="C903" s="346">
        <v>868</v>
      </c>
      <c r="D903" s="345">
        <f t="shared" si="143"/>
        <v>266.63617367706917</v>
      </c>
      <c r="E903" s="417">
        <v>20</v>
      </c>
      <c r="F903" s="508">
        <f t="shared" si="141"/>
        <v>286.64</v>
      </c>
      <c r="G903" s="351" t="s">
        <v>4444</v>
      </c>
      <c r="H903" s="518" t="s">
        <v>2815</v>
      </c>
      <c r="I903" s="452" t="s">
        <v>11565</v>
      </c>
      <c r="J903" s="369" t="s">
        <v>753</v>
      </c>
      <c r="K903" s="452" t="s">
        <v>741</v>
      </c>
    </row>
    <row r="904" spans="1:11" s="317" customFormat="1">
      <c r="A904" s="369"/>
      <c r="B904" s="351" t="s">
        <v>2818</v>
      </c>
      <c r="C904" s="346">
        <v>906</v>
      </c>
      <c r="D904" s="345">
        <f t="shared" si="143"/>
        <v>278.30918588873811</v>
      </c>
      <c r="E904" s="417">
        <v>20</v>
      </c>
      <c r="F904" s="508">
        <f t="shared" si="141"/>
        <v>298.31</v>
      </c>
      <c r="G904" s="351" t="s">
        <v>6609</v>
      </c>
      <c r="H904" s="518" t="s">
        <v>2816</v>
      </c>
      <c r="I904" s="452" t="s">
        <v>11565</v>
      </c>
      <c r="J904" s="369" t="s">
        <v>753</v>
      </c>
      <c r="K904" s="452" t="s">
        <v>741</v>
      </c>
    </row>
    <row r="905" spans="1:11" s="317" customFormat="1">
      <c r="A905" s="369"/>
      <c r="B905" s="314"/>
      <c r="C905" s="196" t="s">
        <v>2024</v>
      </c>
      <c r="D905" s="230"/>
      <c r="E905" s="215"/>
      <c r="F905" s="511">
        <f t="shared" si="141"/>
        <v>0</v>
      </c>
      <c r="G905" s="314"/>
      <c r="H905" s="518"/>
      <c r="I905" s="452"/>
      <c r="J905" s="369"/>
      <c r="K905" s="452"/>
    </row>
    <row r="906" spans="1:11" s="317" customFormat="1">
      <c r="A906" s="369"/>
      <c r="B906" s="314"/>
      <c r="C906" s="196" t="s">
        <v>2024</v>
      </c>
      <c r="D906" s="230"/>
      <c r="E906" s="215"/>
      <c r="F906" s="511">
        <f t="shared" si="141"/>
        <v>0</v>
      </c>
      <c r="G906" s="314"/>
      <c r="H906" s="518"/>
      <c r="I906" s="452"/>
      <c r="J906" s="369"/>
      <c r="K906" s="452"/>
    </row>
    <row r="907" spans="1:11" s="317" customFormat="1">
      <c r="A907" s="369"/>
      <c r="B907" s="518" t="s">
        <v>9097</v>
      </c>
      <c r="C907" s="196">
        <v>688</v>
      </c>
      <c r="D907" s="230">
        <f>C907*(1-VLOOKUP(I907,descuentos,6,FALSE))*fcl/IF(dol_sol="dólar", TC,1)</f>
        <v>211.34295793758477</v>
      </c>
      <c r="E907" s="417">
        <v>15</v>
      </c>
      <c r="F907" s="511">
        <f>ROUNDUP(D907+E907,2)</f>
        <v>226.35</v>
      </c>
      <c r="G907" s="314" t="s">
        <v>9098</v>
      </c>
      <c r="H907" s="518" t="s">
        <v>9099</v>
      </c>
      <c r="I907" s="452" t="s">
        <v>11565</v>
      </c>
      <c r="J907" s="369" t="s">
        <v>753</v>
      </c>
      <c r="K907" s="452" t="s">
        <v>741</v>
      </c>
    </row>
    <row r="908" spans="1:11" s="317" customFormat="1">
      <c r="A908" s="369"/>
      <c r="B908" s="518" t="s">
        <v>1328</v>
      </c>
      <c r="C908" s="196">
        <v>639</v>
      </c>
      <c r="D908" s="230">
        <f t="shared" ref="D908:D918" si="144">C908*(1-VLOOKUP(I908,descuentos,6,FALSE))*fcl/IF(dol_sol="dólar", TC,1)</f>
        <v>196.29091587516959</v>
      </c>
      <c r="E908" s="417">
        <v>15</v>
      </c>
      <c r="F908" s="511">
        <f t="shared" si="141"/>
        <v>211.29999999999998</v>
      </c>
      <c r="G908" s="314" t="s">
        <v>4445</v>
      </c>
      <c r="H908" s="518" t="s">
        <v>1329</v>
      </c>
      <c r="I908" s="452" t="s">
        <v>11565</v>
      </c>
      <c r="J908" s="369" t="s">
        <v>753</v>
      </c>
      <c r="K908" s="452" t="s">
        <v>741</v>
      </c>
    </row>
    <row r="909" spans="1:11" s="317" customFormat="1">
      <c r="A909" s="369"/>
      <c r="B909" s="518" t="s">
        <v>1330</v>
      </c>
      <c r="C909" s="196">
        <v>639</v>
      </c>
      <c r="D909" s="230">
        <f t="shared" si="144"/>
        <v>196.29091587516959</v>
      </c>
      <c r="E909" s="417">
        <v>15</v>
      </c>
      <c r="F909" s="511">
        <f t="shared" si="141"/>
        <v>211.29999999999998</v>
      </c>
      <c r="G909" s="314" t="s">
        <v>4446</v>
      </c>
      <c r="H909" s="518" t="s">
        <v>1340</v>
      </c>
      <c r="I909" s="452" t="s">
        <v>11565</v>
      </c>
      <c r="J909" s="369" t="s">
        <v>753</v>
      </c>
      <c r="K909" s="452" t="s">
        <v>741</v>
      </c>
    </row>
    <row r="910" spans="1:11" s="317" customFormat="1">
      <c r="A910" s="369"/>
      <c r="B910" s="518" t="s">
        <v>1333</v>
      </c>
      <c r="C910" s="196">
        <v>639</v>
      </c>
      <c r="D910" s="230">
        <f t="shared" si="144"/>
        <v>196.29091587516959</v>
      </c>
      <c r="E910" s="417">
        <v>15</v>
      </c>
      <c r="F910" s="511">
        <f t="shared" si="141"/>
        <v>211.29999999999998</v>
      </c>
      <c r="G910" s="314" t="s">
        <v>4447</v>
      </c>
      <c r="H910" s="518" t="s">
        <v>1341</v>
      </c>
      <c r="I910" s="452" t="s">
        <v>11565</v>
      </c>
      <c r="J910" s="369" t="s">
        <v>753</v>
      </c>
      <c r="K910" s="452" t="s">
        <v>741</v>
      </c>
    </row>
    <row r="911" spans="1:11" s="317" customFormat="1">
      <c r="A911" s="369"/>
      <c r="B911" s="518" t="s">
        <v>821</v>
      </c>
      <c r="C911" s="196">
        <v>639</v>
      </c>
      <c r="D911" s="230">
        <f t="shared" si="144"/>
        <v>196.29091587516959</v>
      </c>
      <c r="E911" s="417">
        <v>15</v>
      </c>
      <c r="F911" s="511">
        <f t="shared" si="141"/>
        <v>211.29999999999998</v>
      </c>
      <c r="G911" s="314" t="s">
        <v>4448</v>
      </c>
      <c r="H911" s="518" t="s">
        <v>1327</v>
      </c>
      <c r="I911" s="452" t="s">
        <v>11565</v>
      </c>
      <c r="J911" s="369" t="s">
        <v>753</v>
      </c>
      <c r="K911" s="452" t="s">
        <v>741</v>
      </c>
    </row>
    <row r="912" spans="1:11" s="317" customFormat="1">
      <c r="A912" s="369"/>
      <c r="B912" s="518" t="s">
        <v>1334</v>
      </c>
      <c r="C912" s="196">
        <v>639</v>
      </c>
      <c r="D912" s="230">
        <f t="shared" si="144"/>
        <v>196.29091587516959</v>
      </c>
      <c r="E912" s="417">
        <v>15</v>
      </c>
      <c r="F912" s="511">
        <f t="shared" si="141"/>
        <v>211.29999999999998</v>
      </c>
      <c r="G912" s="314" t="s">
        <v>4449</v>
      </c>
      <c r="H912" s="518" t="s">
        <v>1342</v>
      </c>
      <c r="I912" s="452" t="s">
        <v>11565</v>
      </c>
      <c r="J912" s="369" t="s">
        <v>753</v>
      </c>
      <c r="K912" s="452" t="s">
        <v>741</v>
      </c>
    </row>
    <row r="913" spans="1:11" s="317" customFormat="1">
      <c r="A913" s="369"/>
      <c r="B913" s="518" t="s">
        <v>1335</v>
      </c>
      <c r="C913" s="196">
        <v>639</v>
      </c>
      <c r="D913" s="230">
        <f t="shared" si="144"/>
        <v>196.29091587516959</v>
      </c>
      <c r="E913" s="417">
        <v>15</v>
      </c>
      <c r="F913" s="511">
        <f t="shared" si="141"/>
        <v>211.29999999999998</v>
      </c>
      <c r="G913" s="314" t="s">
        <v>4450</v>
      </c>
      <c r="H913" s="518" t="s">
        <v>1343</v>
      </c>
      <c r="I913" s="452" t="s">
        <v>11565</v>
      </c>
      <c r="J913" s="369" t="s">
        <v>753</v>
      </c>
      <c r="K913" s="452" t="s">
        <v>741</v>
      </c>
    </row>
    <row r="914" spans="1:11" s="317" customFormat="1">
      <c r="A914" s="369"/>
      <c r="B914" s="518" t="s">
        <v>1336</v>
      </c>
      <c r="C914" s="196">
        <v>639</v>
      </c>
      <c r="D914" s="230">
        <f t="shared" si="144"/>
        <v>196.29091587516959</v>
      </c>
      <c r="E914" s="417">
        <v>15</v>
      </c>
      <c r="F914" s="511">
        <f t="shared" si="141"/>
        <v>211.29999999999998</v>
      </c>
      <c r="G914" s="314" t="s">
        <v>4451</v>
      </c>
      <c r="H914" s="518" t="s">
        <v>1344</v>
      </c>
      <c r="I914" s="452" t="s">
        <v>11565</v>
      </c>
      <c r="J914" s="369" t="s">
        <v>753</v>
      </c>
      <c r="K914" s="452" t="s">
        <v>741</v>
      </c>
    </row>
    <row r="915" spans="1:11" s="317" customFormat="1">
      <c r="A915" s="369"/>
      <c r="B915" s="518" t="s">
        <v>1337</v>
      </c>
      <c r="C915" s="196">
        <v>644</v>
      </c>
      <c r="D915" s="230">
        <f t="shared" si="144"/>
        <v>197.82683853459972</v>
      </c>
      <c r="E915" s="417">
        <v>15</v>
      </c>
      <c r="F915" s="511">
        <f t="shared" si="141"/>
        <v>212.82999999999998</v>
      </c>
      <c r="G915" s="314" t="s">
        <v>4452</v>
      </c>
      <c r="H915" s="518" t="s">
        <v>1345</v>
      </c>
      <c r="I915" s="452" t="s">
        <v>11565</v>
      </c>
      <c r="J915" s="369" t="s">
        <v>753</v>
      </c>
      <c r="K915" s="452" t="s">
        <v>741</v>
      </c>
    </row>
    <row r="916" spans="1:11" s="317" customFormat="1">
      <c r="A916" s="369"/>
      <c r="B916" s="314" t="s">
        <v>866</v>
      </c>
      <c r="C916" s="196">
        <v>644</v>
      </c>
      <c r="D916" s="230">
        <f t="shared" si="144"/>
        <v>197.82683853459972</v>
      </c>
      <c r="E916" s="417">
        <v>15</v>
      </c>
      <c r="F916" s="511">
        <f t="shared" si="141"/>
        <v>212.82999999999998</v>
      </c>
      <c r="G916" s="314" t="s">
        <v>4453</v>
      </c>
      <c r="H916" s="518" t="s">
        <v>869</v>
      </c>
      <c r="I916" s="452" t="s">
        <v>11565</v>
      </c>
      <c r="J916" s="369" t="s">
        <v>753</v>
      </c>
      <c r="K916" s="452" t="s">
        <v>741</v>
      </c>
    </row>
    <row r="917" spans="1:11" s="317" customFormat="1">
      <c r="A917" s="369"/>
      <c r="B917" s="314" t="s">
        <v>1338</v>
      </c>
      <c r="C917" s="196">
        <v>743</v>
      </c>
      <c r="D917" s="230">
        <f t="shared" si="144"/>
        <v>228.23810719131612</v>
      </c>
      <c r="E917" s="417">
        <v>15</v>
      </c>
      <c r="F917" s="511">
        <f t="shared" si="141"/>
        <v>243.23999999999998</v>
      </c>
      <c r="G917" s="314" t="s">
        <v>4454</v>
      </c>
      <c r="H917" s="518" t="s">
        <v>1346</v>
      </c>
      <c r="I917" s="452" t="s">
        <v>11565</v>
      </c>
      <c r="J917" s="369" t="s">
        <v>753</v>
      </c>
      <c r="K917" s="452" t="s">
        <v>741</v>
      </c>
    </row>
    <row r="918" spans="1:11" s="317" customFormat="1">
      <c r="A918" s="369"/>
      <c r="B918" s="314" t="s">
        <v>1339</v>
      </c>
      <c r="C918" s="196">
        <v>862</v>
      </c>
      <c r="D918" s="230">
        <f t="shared" si="144"/>
        <v>264.79306648575306</v>
      </c>
      <c r="E918" s="417">
        <v>15</v>
      </c>
      <c r="F918" s="511">
        <f t="shared" si="141"/>
        <v>279.8</v>
      </c>
      <c r="G918" s="314" t="s">
        <v>4455</v>
      </c>
      <c r="H918" s="518" t="s">
        <v>1347</v>
      </c>
      <c r="I918" s="452" t="s">
        <v>11565</v>
      </c>
      <c r="J918" s="369" t="s">
        <v>753</v>
      </c>
      <c r="K918" s="452" t="s">
        <v>741</v>
      </c>
    </row>
    <row r="919" spans="1:11" s="317" customFormat="1">
      <c r="A919" s="369"/>
      <c r="B919" s="314"/>
      <c r="C919" s="196" t="s">
        <v>2024</v>
      </c>
      <c r="D919" s="230"/>
      <c r="E919" s="215"/>
      <c r="F919" s="511"/>
      <c r="G919" s="314"/>
      <c r="H919" s="518"/>
      <c r="I919" s="452"/>
      <c r="J919" s="369"/>
      <c r="K919" s="452"/>
    </row>
    <row r="920" spans="1:11" s="317" customFormat="1">
      <c r="A920" s="369"/>
      <c r="B920" s="314"/>
      <c r="C920" s="196" t="s">
        <v>2024</v>
      </c>
      <c r="D920" s="230"/>
      <c r="E920" s="215"/>
      <c r="F920" s="511"/>
      <c r="G920" s="314"/>
      <c r="H920" s="518"/>
      <c r="I920" s="452"/>
      <c r="J920" s="369"/>
      <c r="K920" s="452"/>
    </row>
    <row r="921" spans="1:11" s="317" customFormat="1">
      <c r="A921" s="369"/>
      <c r="B921" s="506" t="s">
        <v>9100</v>
      </c>
      <c r="C921" s="346">
        <v>892</v>
      </c>
      <c r="D921" s="345">
        <f>C921*(1-VLOOKUP(I921,descuentos,6,FALSE))*fcl/IF(dol_sol="dólar", TC,1)</f>
        <v>274.00860244233377</v>
      </c>
      <c r="E921" s="417">
        <v>20</v>
      </c>
      <c r="F921" s="508">
        <f>ROUNDUP(D921+E921,2)</f>
        <v>294.01</v>
      </c>
      <c r="G921" s="351" t="s">
        <v>9101</v>
      </c>
      <c r="H921" s="518" t="s">
        <v>9102</v>
      </c>
      <c r="I921" s="452" t="s">
        <v>11565</v>
      </c>
      <c r="J921" s="369" t="s">
        <v>753</v>
      </c>
      <c r="K921" s="452" t="s">
        <v>741</v>
      </c>
    </row>
    <row r="922" spans="1:11" s="317" customFormat="1">
      <c r="A922" s="369"/>
      <c r="B922" s="506" t="s">
        <v>9103</v>
      </c>
      <c r="C922" s="346">
        <v>892</v>
      </c>
      <c r="D922" s="345">
        <f>C922*(1-VLOOKUP(I922,descuentos,6,FALSE))*fcl/IF(dol_sol="dólar", TC,1)</f>
        <v>274.00860244233377</v>
      </c>
      <c r="E922" s="417">
        <v>20</v>
      </c>
      <c r="F922" s="508">
        <f>ROUNDUP(D922+E922,2)</f>
        <v>294.01</v>
      </c>
      <c r="G922" s="351" t="s">
        <v>9104</v>
      </c>
      <c r="H922" s="518" t="s">
        <v>9105</v>
      </c>
      <c r="I922" s="452" t="s">
        <v>11565</v>
      </c>
      <c r="J922" s="369" t="s">
        <v>753</v>
      </c>
      <c r="K922" s="452" t="s">
        <v>741</v>
      </c>
    </row>
    <row r="923" spans="1:11" s="317" customFormat="1">
      <c r="A923" s="369"/>
      <c r="B923" s="506" t="s">
        <v>2203</v>
      </c>
      <c r="C923" s="346">
        <v>892</v>
      </c>
      <c r="D923" s="345">
        <f t="shared" ref="D923:D932" si="145">C923*(1-VLOOKUP(I923,descuentos,6,FALSE))*fcl/IF(dol_sol="dólar", TC,1)</f>
        <v>274.00860244233377</v>
      </c>
      <c r="E923" s="417">
        <v>20</v>
      </c>
      <c r="F923" s="508">
        <f t="shared" si="141"/>
        <v>294.01</v>
      </c>
      <c r="G923" s="351" t="s">
        <v>4456</v>
      </c>
      <c r="H923" s="518" t="s">
        <v>2204</v>
      </c>
      <c r="I923" s="452" t="s">
        <v>11565</v>
      </c>
      <c r="J923" s="369" t="s">
        <v>753</v>
      </c>
      <c r="K923" s="452" t="s">
        <v>741</v>
      </c>
    </row>
    <row r="924" spans="1:11" s="317" customFormat="1">
      <c r="A924" s="369"/>
      <c r="B924" s="506" t="s">
        <v>9709</v>
      </c>
      <c r="C924" s="346">
        <v>892</v>
      </c>
      <c r="D924" s="345">
        <f t="shared" ref="D924" si="146">C924*(1-VLOOKUP(I924,descuentos,6,FALSE))*fcl/IF(dol_sol="dólar", TC,1)</f>
        <v>274.00860244233377</v>
      </c>
      <c r="E924" s="417">
        <v>20</v>
      </c>
      <c r="F924" s="508">
        <f t="shared" si="141"/>
        <v>294.01</v>
      </c>
      <c r="G924" s="351" t="s">
        <v>9710</v>
      </c>
      <c r="H924" s="518" t="s">
        <v>9711</v>
      </c>
      <c r="I924" s="452" t="s">
        <v>11565</v>
      </c>
      <c r="J924" s="369" t="s">
        <v>753</v>
      </c>
      <c r="K924" s="452" t="s">
        <v>741</v>
      </c>
    </row>
    <row r="925" spans="1:11" s="317" customFormat="1">
      <c r="A925" s="369"/>
      <c r="B925" s="506" t="s">
        <v>2205</v>
      </c>
      <c r="C925" s="346">
        <v>892</v>
      </c>
      <c r="D925" s="345">
        <f t="shared" si="145"/>
        <v>274.00860244233377</v>
      </c>
      <c r="E925" s="417">
        <v>20</v>
      </c>
      <c r="F925" s="508">
        <f t="shared" si="141"/>
        <v>294.01</v>
      </c>
      <c r="G925" s="351" t="s">
        <v>4457</v>
      </c>
      <c r="H925" s="518" t="s">
        <v>2206</v>
      </c>
      <c r="I925" s="452" t="s">
        <v>11565</v>
      </c>
      <c r="J925" s="369" t="s">
        <v>753</v>
      </c>
      <c r="K925" s="452" t="s">
        <v>741</v>
      </c>
    </row>
    <row r="926" spans="1:11" s="317" customFormat="1">
      <c r="A926" s="369"/>
      <c r="B926" s="506" t="s">
        <v>2207</v>
      </c>
      <c r="C926" s="346">
        <v>892</v>
      </c>
      <c r="D926" s="345">
        <f t="shared" si="145"/>
        <v>274.00860244233377</v>
      </c>
      <c r="E926" s="417">
        <v>20</v>
      </c>
      <c r="F926" s="508">
        <f t="shared" si="141"/>
        <v>294.01</v>
      </c>
      <c r="G926" s="351" t="s">
        <v>4458</v>
      </c>
      <c r="H926" s="518" t="s">
        <v>2208</v>
      </c>
      <c r="I926" s="452" t="s">
        <v>11565</v>
      </c>
      <c r="J926" s="369" t="s">
        <v>753</v>
      </c>
      <c r="K926" s="452" t="s">
        <v>741</v>
      </c>
    </row>
    <row r="927" spans="1:11" s="317" customFormat="1">
      <c r="A927" s="369"/>
      <c r="B927" s="506" t="s">
        <v>2209</v>
      </c>
      <c r="C927" s="346">
        <v>892</v>
      </c>
      <c r="D927" s="345">
        <f t="shared" si="145"/>
        <v>274.00860244233377</v>
      </c>
      <c r="E927" s="417">
        <v>20</v>
      </c>
      <c r="F927" s="508">
        <f t="shared" si="141"/>
        <v>294.01</v>
      </c>
      <c r="G927" s="351" t="s">
        <v>4459</v>
      </c>
      <c r="H927" s="518" t="s">
        <v>2210</v>
      </c>
      <c r="I927" s="452" t="s">
        <v>11565</v>
      </c>
      <c r="J927" s="369" t="s">
        <v>753</v>
      </c>
      <c r="K927" s="452" t="s">
        <v>741</v>
      </c>
    </row>
    <row r="928" spans="1:11" s="317" customFormat="1">
      <c r="A928" s="369"/>
      <c r="B928" s="506" t="s">
        <v>2211</v>
      </c>
      <c r="C928" s="346">
        <v>892</v>
      </c>
      <c r="D928" s="345">
        <f t="shared" si="145"/>
        <v>274.00860244233377</v>
      </c>
      <c r="E928" s="417">
        <v>20</v>
      </c>
      <c r="F928" s="508">
        <f t="shared" si="141"/>
        <v>294.01</v>
      </c>
      <c r="G928" s="351" t="s">
        <v>4460</v>
      </c>
      <c r="H928" s="518" t="s">
        <v>2212</v>
      </c>
      <c r="I928" s="452" t="s">
        <v>11565</v>
      </c>
      <c r="J928" s="369" t="s">
        <v>753</v>
      </c>
      <c r="K928" s="452" t="s">
        <v>741</v>
      </c>
    </row>
    <row r="929" spans="1:11" s="317" customFormat="1">
      <c r="A929" s="369"/>
      <c r="B929" s="506" t="s">
        <v>2213</v>
      </c>
      <c r="C929" s="346">
        <v>921</v>
      </c>
      <c r="D929" s="345">
        <f t="shared" si="145"/>
        <v>282.9169538670285</v>
      </c>
      <c r="E929" s="417">
        <v>20</v>
      </c>
      <c r="F929" s="508">
        <f t="shared" si="141"/>
        <v>302.92</v>
      </c>
      <c r="G929" s="351" t="s">
        <v>4461</v>
      </c>
      <c r="H929" s="518" t="s">
        <v>2214</v>
      </c>
      <c r="I929" s="452" t="s">
        <v>11565</v>
      </c>
      <c r="J929" s="369" t="s">
        <v>753</v>
      </c>
      <c r="K929" s="452" t="s">
        <v>741</v>
      </c>
    </row>
    <row r="930" spans="1:11" s="317" customFormat="1">
      <c r="A930" s="369"/>
      <c r="B930" s="351" t="s">
        <v>2215</v>
      </c>
      <c r="C930" s="346">
        <v>921</v>
      </c>
      <c r="D930" s="345">
        <f t="shared" si="145"/>
        <v>282.9169538670285</v>
      </c>
      <c r="E930" s="417">
        <v>20</v>
      </c>
      <c r="F930" s="508">
        <f t="shared" si="141"/>
        <v>302.92</v>
      </c>
      <c r="G930" s="351" t="s">
        <v>4462</v>
      </c>
      <c r="H930" s="518" t="s">
        <v>2216</v>
      </c>
      <c r="I930" s="452" t="s">
        <v>11565</v>
      </c>
      <c r="J930" s="369" t="s">
        <v>753</v>
      </c>
      <c r="K930" s="452" t="s">
        <v>741</v>
      </c>
    </row>
    <row r="931" spans="1:11" s="317" customFormat="1">
      <c r="A931" s="369"/>
      <c r="B931" s="351" t="s">
        <v>3126</v>
      </c>
      <c r="C931" s="346">
        <v>976</v>
      </c>
      <c r="D931" s="345">
        <f t="shared" si="145"/>
        <v>299.81210312075984</v>
      </c>
      <c r="E931" s="417">
        <v>20</v>
      </c>
      <c r="F931" s="508">
        <f t="shared" si="141"/>
        <v>319.82</v>
      </c>
      <c r="G931" s="351" t="s">
        <v>4463</v>
      </c>
      <c r="H931" s="518" t="s">
        <v>3127</v>
      </c>
      <c r="I931" s="452" t="s">
        <v>11565</v>
      </c>
      <c r="J931" s="369" t="s">
        <v>753</v>
      </c>
      <c r="K931" s="452" t="s">
        <v>741</v>
      </c>
    </row>
    <row r="932" spans="1:11" s="317" customFormat="1">
      <c r="A932" s="369"/>
      <c r="B932" s="351" t="s">
        <v>3128</v>
      </c>
      <c r="C932" s="346">
        <v>1009</v>
      </c>
      <c r="D932" s="345">
        <f t="shared" si="145"/>
        <v>309.94919267299861</v>
      </c>
      <c r="E932" s="417">
        <v>20</v>
      </c>
      <c r="F932" s="508">
        <f t="shared" si="141"/>
        <v>329.95</v>
      </c>
      <c r="G932" s="351" t="s">
        <v>4464</v>
      </c>
      <c r="H932" s="518" t="s">
        <v>3129</v>
      </c>
      <c r="I932" s="452" t="s">
        <v>11565</v>
      </c>
      <c r="J932" s="369" t="s">
        <v>753</v>
      </c>
      <c r="K932" s="452" t="s">
        <v>741</v>
      </c>
    </row>
    <row r="933" spans="1:11" s="317" customFormat="1">
      <c r="A933" s="369"/>
      <c r="B933" s="314"/>
      <c r="C933" s="196" t="s">
        <v>2024</v>
      </c>
      <c r="D933" s="230"/>
      <c r="E933" s="215"/>
      <c r="F933" s="511">
        <f t="shared" si="141"/>
        <v>0</v>
      </c>
      <c r="G933" s="314"/>
      <c r="H933" s="518"/>
      <c r="I933" s="452"/>
      <c r="J933" s="369"/>
      <c r="K933" s="452"/>
    </row>
    <row r="934" spans="1:11" s="317" customFormat="1">
      <c r="A934" s="369"/>
      <c r="B934" s="314"/>
      <c r="C934" s="196" t="s">
        <v>2024</v>
      </c>
      <c r="D934" s="230"/>
      <c r="E934" s="215"/>
      <c r="F934" s="511">
        <f t="shared" si="141"/>
        <v>0</v>
      </c>
      <c r="G934" s="314"/>
      <c r="H934" s="518"/>
      <c r="I934" s="452"/>
      <c r="J934" s="369"/>
      <c r="K934" s="452"/>
    </row>
    <row r="935" spans="1:11" s="317" customFormat="1">
      <c r="A935" s="369"/>
      <c r="B935" s="314" t="s">
        <v>2658</v>
      </c>
      <c r="C935" s="196">
        <v>791</v>
      </c>
      <c r="D935" s="230">
        <f t="shared" ref="D935:D945" si="147">C935*(1-VLOOKUP(I935,descuentos,6,FALSE))*fcl/IF(dol_sol="dólar", TC,1)</f>
        <v>242.98296472184529</v>
      </c>
      <c r="E935" s="417">
        <v>15</v>
      </c>
      <c r="F935" s="511">
        <f t="shared" si="141"/>
        <v>257.99</v>
      </c>
      <c r="G935" s="314" t="s">
        <v>4465</v>
      </c>
      <c r="H935" s="518" t="s">
        <v>2605</v>
      </c>
      <c r="I935" s="452" t="s">
        <v>11565</v>
      </c>
      <c r="J935" s="369" t="s">
        <v>753</v>
      </c>
      <c r="K935" s="452" t="s">
        <v>741</v>
      </c>
    </row>
    <row r="936" spans="1:11" s="317" customFormat="1">
      <c r="A936" s="369"/>
      <c r="B936" s="314" t="s">
        <v>2659</v>
      </c>
      <c r="C936" s="196">
        <v>791</v>
      </c>
      <c r="D936" s="230">
        <f t="shared" si="147"/>
        <v>242.98296472184529</v>
      </c>
      <c r="E936" s="417">
        <v>15</v>
      </c>
      <c r="F936" s="511">
        <f t="shared" ref="F936:F1035" si="148">ROUNDUP(D936+E936,2)</f>
        <v>257.99</v>
      </c>
      <c r="G936" s="314" t="s">
        <v>4466</v>
      </c>
      <c r="H936" s="518" t="s">
        <v>2604</v>
      </c>
      <c r="I936" s="452" t="s">
        <v>11565</v>
      </c>
      <c r="J936" s="369" t="s">
        <v>753</v>
      </c>
      <c r="K936" s="452" t="s">
        <v>741</v>
      </c>
    </row>
    <row r="937" spans="1:11" s="317" customFormat="1">
      <c r="A937" s="369"/>
      <c r="B937" s="314" t="s">
        <v>2660</v>
      </c>
      <c r="C937" s="196">
        <v>791</v>
      </c>
      <c r="D937" s="230">
        <f t="shared" si="147"/>
        <v>242.98296472184529</v>
      </c>
      <c r="E937" s="417">
        <v>15</v>
      </c>
      <c r="F937" s="511">
        <f t="shared" si="148"/>
        <v>257.99</v>
      </c>
      <c r="G937" s="314" t="s">
        <v>4467</v>
      </c>
      <c r="H937" s="518" t="s">
        <v>2603</v>
      </c>
      <c r="I937" s="452" t="s">
        <v>11565</v>
      </c>
      <c r="J937" s="369" t="s">
        <v>753</v>
      </c>
      <c r="K937" s="452" t="s">
        <v>741</v>
      </c>
    </row>
    <row r="938" spans="1:11" s="317" customFormat="1">
      <c r="A938" s="369"/>
      <c r="B938" s="314" t="s">
        <v>2661</v>
      </c>
      <c r="C938" s="196">
        <v>791</v>
      </c>
      <c r="D938" s="230">
        <f t="shared" si="147"/>
        <v>242.98296472184529</v>
      </c>
      <c r="E938" s="417">
        <v>15</v>
      </c>
      <c r="F938" s="511">
        <f t="shared" si="148"/>
        <v>257.99</v>
      </c>
      <c r="G938" s="314" t="s">
        <v>4468</v>
      </c>
      <c r="H938" s="518" t="s">
        <v>2602</v>
      </c>
      <c r="I938" s="452" t="s">
        <v>11565</v>
      </c>
      <c r="J938" s="369" t="s">
        <v>753</v>
      </c>
      <c r="K938" s="452" t="s">
        <v>741</v>
      </c>
    </row>
    <row r="939" spans="1:11" s="317" customFormat="1">
      <c r="A939" s="369"/>
      <c r="B939" s="314" t="s">
        <v>2583</v>
      </c>
      <c r="C939" s="196">
        <v>791</v>
      </c>
      <c r="D939" s="230">
        <f t="shared" si="147"/>
        <v>242.98296472184529</v>
      </c>
      <c r="E939" s="417">
        <v>15</v>
      </c>
      <c r="F939" s="511">
        <f t="shared" si="148"/>
        <v>257.99</v>
      </c>
      <c r="G939" s="314" t="s">
        <v>4469</v>
      </c>
      <c r="H939" s="518" t="s">
        <v>2584</v>
      </c>
      <c r="I939" s="452" t="s">
        <v>11565</v>
      </c>
      <c r="J939" s="369" t="s">
        <v>753</v>
      </c>
      <c r="K939" s="452" t="s">
        <v>741</v>
      </c>
    </row>
    <row r="940" spans="1:11" s="317" customFormat="1">
      <c r="A940" s="369"/>
      <c r="B940" s="314" t="s">
        <v>2601</v>
      </c>
      <c r="C940" s="196">
        <v>791</v>
      </c>
      <c r="D940" s="230">
        <f t="shared" si="147"/>
        <v>242.98296472184529</v>
      </c>
      <c r="E940" s="417">
        <v>15</v>
      </c>
      <c r="F940" s="511">
        <f t="shared" si="148"/>
        <v>257.99</v>
      </c>
      <c r="G940" s="314" t="s">
        <v>4470</v>
      </c>
      <c r="H940" s="518" t="s">
        <v>2606</v>
      </c>
      <c r="I940" s="452" t="s">
        <v>11565</v>
      </c>
      <c r="J940" s="369" t="s">
        <v>753</v>
      </c>
      <c r="K940" s="452" t="s">
        <v>741</v>
      </c>
    </row>
    <row r="941" spans="1:11" s="317" customFormat="1">
      <c r="A941" s="369"/>
      <c r="B941" s="314" t="s">
        <v>2581</v>
      </c>
      <c r="C941" s="196">
        <v>791</v>
      </c>
      <c r="D941" s="230">
        <f t="shared" si="147"/>
        <v>242.98296472184529</v>
      </c>
      <c r="E941" s="417">
        <v>15</v>
      </c>
      <c r="F941" s="511">
        <f t="shared" si="148"/>
        <v>257.99</v>
      </c>
      <c r="G941" s="314" t="s">
        <v>4471</v>
      </c>
      <c r="H941" s="518" t="s">
        <v>2582</v>
      </c>
      <c r="I941" s="452" t="s">
        <v>11565</v>
      </c>
      <c r="J941" s="369" t="s">
        <v>753</v>
      </c>
      <c r="K941" s="452" t="s">
        <v>741</v>
      </c>
    </row>
    <row r="942" spans="1:11" s="317" customFormat="1">
      <c r="A942" s="369"/>
      <c r="B942" s="314" t="s">
        <v>2599</v>
      </c>
      <c r="C942" s="196">
        <v>808</v>
      </c>
      <c r="D942" s="230">
        <f t="shared" si="147"/>
        <v>248.20510176390772</v>
      </c>
      <c r="E942" s="417">
        <v>15</v>
      </c>
      <c r="F942" s="511">
        <f t="shared" si="148"/>
        <v>263.20999999999998</v>
      </c>
      <c r="G942" s="314" t="s">
        <v>4472</v>
      </c>
      <c r="H942" s="518" t="s">
        <v>2600</v>
      </c>
      <c r="I942" s="452" t="s">
        <v>11565</v>
      </c>
      <c r="J942" s="369" t="s">
        <v>753</v>
      </c>
      <c r="K942" s="452" t="s">
        <v>741</v>
      </c>
    </row>
    <row r="943" spans="1:11" s="317" customFormat="1">
      <c r="A943" s="369"/>
      <c r="B943" s="314" t="s">
        <v>2598</v>
      </c>
      <c r="C943" s="196">
        <v>808</v>
      </c>
      <c r="D943" s="230">
        <f t="shared" si="147"/>
        <v>248.20510176390772</v>
      </c>
      <c r="E943" s="417">
        <v>15</v>
      </c>
      <c r="F943" s="511">
        <f t="shared" si="148"/>
        <v>263.20999999999998</v>
      </c>
      <c r="G943" s="314" t="s">
        <v>4473</v>
      </c>
      <c r="H943" s="518" t="s">
        <v>2597</v>
      </c>
      <c r="I943" s="452" t="s">
        <v>11565</v>
      </c>
      <c r="J943" s="369" t="s">
        <v>753</v>
      </c>
      <c r="K943" s="452" t="s">
        <v>741</v>
      </c>
    </row>
    <row r="944" spans="1:11" s="317" customFormat="1">
      <c r="A944" s="369"/>
      <c r="B944" s="314" t="s">
        <v>2595</v>
      </c>
      <c r="C944" s="196">
        <v>1422</v>
      </c>
      <c r="D944" s="230">
        <f t="shared" si="147"/>
        <v>436.81640434192667</v>
      </c>
      <c r="E944" s="417">
        <v>15</v>
      </c>
      <c r="F944" s="511">
        <f t="shared" si="148"/>
        <v>451.82</v>
      </c>
      <c r="G944" s="314" t="s">
        <v>4474</v>
      </c>
      <c r="H944" s="518" t="s">
        <v>2596</v>
      </c>
      <c r="I944" s="452" t="s">
        <v>11565</v>
      </c>
      <c r="J944" s="369" t="s">
        <v>753</v>
      </c>
      <c r="K944" s="452" t="s">
        <v>741</v>
      </c>
    </row>
    <row r="945" spans="1:11" s="317" customFormat="1">
      <c r="A945" s="369"/>
      <c r="B945" s="314" t="s">
        <v>2579</v>
      </c>
      <c r="C945" s="196">
        <v>1488</v>
      </c>
      <c r="D945" s="230">
        <f t="shared" si="147"/>
        <v>457.09058344640425</v>
      </c>
      <c r="E945" s="417">
        <v>15</v>
      </c>
      <c r="F945" s="511">
        <f t="shared" si="148"/>
        <v>472.09999999999997</v>
      </c>
      <c r="G945" s="314" t="s">
        <v>4475</v>
      </c>
      <c r="H945" s="518" t="s">
        <v>2580</v>
      </c>
      <c r="I945" s="452" t="s">
        <v>11565</v>
      </c>
      <c r="J945" s="369" t="s">
        <v>753</v>
      </c>
      <c r="K945" s="452" t="s">
        <v>741</v>
      </c>
    </row>
    <row r="946" spans="1:11" s="317" customFormat="1">
      <c r="A946" s="369"/>
      <c r="B946" s="314"/>
      <c r="C946" s="196" t="s">
        <v>2024</v>
      </c>
      <c r="D946" s="230"/>
      <c r="E946" s="417"/>
      <c r="F946" s="511"/>
      <c r="G946" s="314"/>
      <c r="H946" s="518"/>
      <c r="I946" s="452"/>
      <c r="J946" s="369"/>
      <c r="K946" s="452"/>
    </row>
    <row r="947" spans="1:11" s="317" customFormat="1">
      <c r="A947" s="369"/>
      <c r="B947" s="314"/>
      <c r="C947" s="196" t="s">
        <v>2024</v>
      </c>
      <c r="D947" s="230"/>
      <c r="E947" s="215"/>
      <c r="F947" s="511"/>
      <c r="G947" s="314"/>
      <c r="H947" s="518"/>
      <c r="I947" s="452"/>
      <c r="J947" s="369"/>
      <c r="K947" s="452"/>
    </row>
    <row r="948" spans="1:11" s="317" customFormat="1">
      <c r="A948" s="1362"/>
      <c r="B948" s="351" t="s">
        <v>6610</v>
      </c>
      <c r="C948" s="346">
        <v>1235</v>
      </c>
      <c r="D948" s="345">
        <f>C948*(1-VLOOKUP(I948,descuentos,6,FALSE))*fcl/IF(dol_sol="dólar", TC,1)</f>
        <v>379.37289687924016</v>
      </c>
      <c r="E948" s="417">
        <v>20</v>
      </c>
      <c r="F948" s="508">
        <f>ROUNDUP(D948+E948,2)</f>
        <v>399.38</v>
      </c>
      <c r="G948" s="351" t="s">
        <v>6611</v>
      </c>
      <c r="H948" s="518" t="s">
        <v>6612</v>
      </c>
      <c r="I948" s="452" t="s">
        <v>11565</v>
      </c>
      <c r="J948" s="369" t="s">
        <v>753</v>
      </c>
      <c r="K948" s="452" t="s">
        <v>741</v>
      </c>
    </row>
    <row r="949" spans="1:11" s="317" customFormat="1">
      <c r="A949" s="369"/>
      <c r="B949" s="351" t="s">
        <v>2885</v>
      </c>
      <c r="C949" s="346">
        <v>1235</v>
      </c>
      <c r="D949" s="345">
        <f t="shared" ref="D949:D956" si="149">C949*(1-VLOOKUP(I949,descuentos,6,FALSE))*fcl/IF(dol_sol="dólar", TC,1)</f>
        <v>379.37289687924016</v>
      </c>
      <c r="E949" s="417">
        <v>20</v>
      </c>
      <c r="F949" s="508">
        <f t="shared" si="148"/>
        <v>399.38</v>
      </c>
      <c r="G949" s="351" t="s">
        <v>6613</v>
      </c>
      <c r="H949" s="518" t="s">
        <v>2791</v>
      </c>
      <c r="I949" s="452" t="s">
        <v>11565</v>
      </c>
      <c r="J949" s="369" t="s">
        <v>753</v>
      </c>
      <c r="K949" s="452" t="s">
        <v>741</v>
      </c>
    </row>
    <row r="950" spans="1:11" s="317" customFormat="1">
      <c r="A950" s="369"/>
      <c r="B950" s="351" t="s">
        <v>2587</v>
      </c>
      <c r="C950" s="346">
        <v>1235</v>
      </c>
      <c r="D950" s="345">
        <f t="shared" si="149"/>
        <v>379.37289687924016</v>
      </c>
      <c r="E950" s="417">
        <v>20</v>
      </c>
      <c r="F950" s="508">
        <f t="shared" si="148"/>
        <v>399.38</v>
      </c>
      <c r="G950" s="351" t="s">
        <v>4476</v>
      </c>
      <c r="H950" s="518" t="s">
        <v>2588</v>
      </c>
      <c r="I950" s="452" t="s">
        <v>11565</v>
      </c>
      <c r="J950" s="369" t="s">
        <v>753</v>
      </c>
      <c r="K950" s="452" t="s">
        <v>741</v>
      </c>
    </row>
    <row r="951" spans="1:11" s="317" customFormat="1">
      <c r="A951" s="369"/>
      <c r="B951" s="351" t="s">
        <v>2797</v>
      </c>
      <c r="C951" s="346">
        <v>1235</v>
      </c>
      <c r="D951" s="345">
        <f t="shared" si="149"/>
        <v>379.37289687924016</v>
      </c>
      <c r="E951" s="417">
        <v>20</v>
      </c>
      <c r="F951" s="508">
        <f t="shared" si="148"/>
        <v>399.38</v>
      </c>
      <c r="G951" s="351" t="s">
        <v>4477</v>
      </c>
      <c r="H951" s="518" t="s">
        <v>2790</v>
      </c>
      <c r="I951" s="452" t="s">
        <v>11565</v>
      </c>
      <c r="J951" s="369" t="s">
        <v>753</v>
      </c>
      <c r="K951" s="452" t="s">
        <v>741</v>
      </c>
    </row>
    <row r="952" spans="1:11" s="317" customFormat="1">
      <c r="A952" s="369"/>
      <c r="B952" s="351" t="s">
        <v>2798</v>
      </c>
      <c r="C952" s="346">
        <v>1235</v>
      </c>
      <c r="D952" s="345">
        <f t="shared" si="149"/>
        <v>379.37289687924016</v>
      </c>
      <c r="E952" s="417">
        <v>20</v>
      </c>
      <c r="F952" s="508">
        <f t="shared" si="148"/>
        <v>399.38</v>
      </c>
      <c r="G952" s="351" t="s">
        <v>4478</v>
      </c>
      <c r="H952" s="518" t="s">
        <v>2792</v>
      </c>
      <c r="I952" s="452" t="s">
        <v>11565</v>
      </c>
      <c r="J952" s="369" t="s">
        <v>753</v>
      </c>
      <c r="K952" s="452" t="s">
        <v>741</v>
      </c>
    </row>
    <row r="953" spans="1:11" s="317" customFormat="1">
      <c r="A953" s="369"/>
      <c r="B953" s="351" t="s">
        <v>2799</v>
      </c>
      <c r="C953" s="346">
        <v>1300</v>
      </c>
      <c r="D953" s="345">
        <f t="shared" si="149"/>
        <v>399.33989145183176</v>
      </c>
      <c r="E953" s="417">
        <v>20</v>
      </c>
      <c r="F953" s="508">
        <f t="shared" si="148"/>
        <v>419.34</v>
      </c>
      <c r="G953" s="351" t="s">
        <v>4479</v>
      </c>
      <c r="H953" s="518" t="s">
        <v>2793</v>
      </c>
      <c r="I953" s="452" t="s">
        <v>11565</v>
      </c>
      <c r="J953" s="369" t="s">
        <v>753</v>
      </c>
      <c r="K953" s="452" t="s">
        <v>741</v>
      </c>
    </row>
    <row r="954" spans="1:11" s="317" customFormat="1">
      <c r="A954" s="369"/>
      <c r="B954" s="351" t="s">
        <v>2800</v>
      </c>
      <c r="C954" s="346">
        <v>1300</v>
      </c>
      <c r="D954" s="345">
        <f t="shared" si="149"/>
        <v>399.33989145183176</v>
      </c>
      <c r="E954" s="417">
        <v>20</v>
      </c>
      <c r="F954" s="508">
        <f t="shared" si="148"/>
        <v>419.34</v>
      </c>
      <c r="G954" s="351" t="s">
        <v>4480</v>
      </c>
      <c r="H954" s="518" t="s">
        <v>2794</v>
      </c>
      <c r="I954" s="452" t="s">
        <v>11565</v>
      </c>
      <c r="J954" s="369" t="s">
        <v>753</v>
      </c>
      <c r="K954" s="452" t="s">
        <v>741</v>
      </c>
    </row>
    <row r="955" spans="1:11" s="317" customFormat="1">
      <c r="A955" s="369"/>
      <c r="B955" s="351" t="s">
        <v>2801</v>
      </c>
      <c r="C955" s="346">
        <v>1707</v>
      </c>
      <c r="D955" s="345">
        <f t="shared" si="149"/>
        <v>524.3639959294436</v>
      </c>
      <c r="E955" s="417">
        <v>20</v>
      </c>
      <c r="F955" s="508">
        <f t="shared" si="148"/>
        <v>544.37</v>
      </c>
      <c r="G955" s="351" t="s">
        <v>4481</v>
      </c>
      <c r="H955" s="518" t="s">
        <v>2795</v>
      </c>
      <c r="I955" s="452" t="s">
        <v>11565</v>
      </c>
      <c r="J955" s="369" t="s">
        <v>753</v>
      </c>
      <c r="K955" s="452" t="s">
        <v>741</v>
      </c>
    </row>
    <row r="956" spans="1:11" s="317" customFormat="1">
      <c r="A956" s="369"/>
      <c r="B956" s="351" t="s">
        <v>2802</v>
      </c>
      <c r="C956" s="346">
        <v>1803</v>
      </c>
      <c r="D956" s="345">
        <f t="shared" si="149"/>
        <v>553.85371099050201</v>
      </c>
      <c r="E956" s="417">
        <v>20</v>
      </c>
      <c r="F956" s="508">
        <f t="shared" si="148"/>
        <v>573.86</v>
      </c>
      <c r="G956" s="351" t="s">
        <v>4482</v>
      </c>
      <c r="H956" s="518" t="s">
        <v>2796</v>
      </c>
      <c r="I956" s="452" t="s">
        <v>11565</v>
      </c>
      <c r="J956" s="369" t="s">
        <v>753</v>
      </c>
      <c r="K956" s="452" t="s">
        <v>741</v>
      </c>
    </row>
    <row r="957" spans="1:11" s="315" customFormat="1">
      <c r="A957" s="369"/>
      <c r="B957" s="314"/>
      <c r="C957" s="196" t="s">
        <v>2024</v>
      </c>
      <c r="D957" s="230"/>
      <c r="E957" s="215"/>
      <c r="F957" s="511"/>
      <c r="G957" s="314"/>
      <c r="H957" s="518"/>
      <c r="I957" s="452"/>
      <c r="J957" s="369"/>
      <c r="K957" s="452"/>
    </row>
    <row r="958" spans="1:11" s="317" customFormat="1">
      <c r="A958" s="1822"/>
      <c r="B958" s="314" t="s">
        <v>12131</v>
      </c>
      <c r="C958" s="196">
        <v>1150</v>
      </c>
      <c r="D958" s="230">
        <f t="shared" ref="D958:D968" si="150">C958*(1-VLOOKUP(I958,descuentos,6,FALSE))*fcl/IF(dol_sol="dólar", TC,1)</f>
        <v>353.2622116689281</v>
      </c>
      <c r="E958" s="417">
        <v>15</v>
      </c>
      <c r="F958" s="511">
        <f t="shared" ref="F958:F968" si="151">ROUNDUP(D958+E958,2)</f>
        <v>368.27</v>
      </c>
      <c r="G958" s="314" t="s">
        <v>12132</v>
      </c>
      <c r="H958" s="518" t="s">
        <v>12133</v>
      </c>
      <c r="I958" s="452" t="s">
        <v>11565</v>
      </c>
      <c r="J958" s="369" t="s">
        <v>753</v>
      </c>
      <c r="K958" s="452" t="s">
        <v>741</v>
      </c>
    </row>
    <row r="959" spans="1:11" s="317" customFormat="1">
      <c r="A959" s="1822"/>
      <c r="B959" s="314" t="s">
        <v>12134</v>
      </c>
      <c r="C959" s="196">
        <v>1150</v>
      </c>
      <c r="D959" s="230">
        <f t="shared" si="150"/>
        <v>353.2622116689281</v>
      </c>
      <c r="E959" s="417">
        <v>15</v>
      </c>
      <c r="F959" s="511">
        <f t="shared" si="151"/>
        <v>368.27</v>
      </c>
      <c r="G959" s="314" t="s">
        <v>12135</v>
      </c>
      <c r="H959" s="518" t="s">
        <v>12136</v>
      </c>
      <c r="I959" s="452" t="s">
        <v>11565</v>
      </c>
      <c r="J959" s="369" t="s">
        <v>753</v>
      </c>
      <c r="K959" s="452" t="s">
        <v>741</v>
      </c>
    </row>
    <row r="960" spans="1:11" s="317" customFormat="1">
      <c r="A960" s="1822"/>
      <c r="B960" s="314" t="s">
        <v>12137</v>
      </c>
      <c r="C960" s="196">
        <v>1150</v>
      </c>
      <c r="D960" s="230">
        <f t="shared" si="150"/>
        <v>353.2622116689281</v>
      </c>
      <c r="E960" s="417">
        <v>15</v>
      </c>
      <c r="F960" s="511">
        <f t="shared" si="151"/>
        <v>368.27</v>
      </c>
      <c r="G960" s="314" t="s">
        <v>12138</v>
      </c>
      <c r="H960" s="518" t="s">
        <v>12139</v>
      </c>
      <c r="I960" s="452" t="s">
        <v>11565</v>
      </c>
      <c r="J960" s="369" t="s">
        <v>753</v>
      </c>
      <c r="K960" s="452" t="s">
        <v>741</v>
      </c>
    </row>
    <row r="961" spans="1:11" s="317" customFormat="1">
      <c r="A961" s="1822"/>
      <c r="B961" s="314" t="s">
        <v>12140</v>
      </c>
      <c r="C961" s="196">
        <v>1150</v>
      </c>
      <c r="D961" s="230">
        <f t="shared" si="150"/>
        <v>353.2622116689281</v>
      </c>
      <c r="E961" s="417">
        <v>15</v>
      </c>
      <c r="F961" s="511">
        <f t="shared" si="151"/>
        <v>368.27</v>
      </c>
      <c r="G961" s="314" t="s">
        <v>12141</v>
      </c>
      <c r="H961" s="518" t="s">
        <v>12142</v>
      </c>
      <c r="I961" s="452" t="s">
        <v>11565</v>
      </c>
      <c r="J961" s="369" t="s">
        <v>753</v>
      </c>
      <c r="K961" s="452" t="s">
        <v>741</v>
      </c>
    </row>
    <row r="962" spans="1:11" s="317" customFormat="1">
      <c r="A962" s="1822"/>
      <c r="B962" s="314" t="s">
        <v>12143</v>
      </c>
      <c r="C962" s="196">
        <v>1150</v>
      </c>
      <c r="D962" s="230">
        <f t="shared" si="150"/>
        <v>353.2622116689281</v>
      </c>
      <c r="E962" s="417">
        <v>15</v>
      </c>
      <c r="F962" s="511">
        <f t="shared" si="151"/>
        <v>368.27</v>
      </c>
      <c r="G962" s="314" t="s">
        <v>12144</v>
      </c>
      <c r="H962" s="518" t="s">
        <v>12145</v>
      </c>
      <c r="I962" s="452" t="s">
        <v>11565</v>
      </c>
      <c r="J962" s="369" t="s">
        <v>753</v>
      </c>
      <c r="K962" s="452" t="s">
        <v>741</v>
      </c>
    </row>
    <row r="963" spans="1:11" s="317" customFormat="1">
      <c r="A963" s="1822"/>
      <c r="B963" s="314" t="s">
        <v>12146</v>
      </c>
      <c r="C963" s="196">
        <v>1150</v>
      </c>
      <c r="D963" s="230">
        <f t="shared" si="150"/>
        <v>353.2622116689281</v>
      </c>
      <c r="E963" s="417">
        <v>15</v>
      </c>
      <c r="F963" s="511">
        <f t="shared" si="151"/>
        <v>368.27</v>
      </c>
      <c r="G963" s="314" t="s">
        <v>12147</v>
      </c>
      <c r="H963" s="518" t="s">
        <v>12148</v>
      </c>
      <c r="I963" s="452" t="s">
        <v>11565</v>
      </c>
      <c r="J963" s="369" t="s">
        <v>753</v>
      </c>
      <c r="K963" s="452" t="s">
        <v>741</v>
      </c>
    </row>
    <row r="964" spans="1:11" s="317" customFormat="1">
      <c r="A964" s="1822"/>
      <c r="B964" s="314" t="s">
        <v>12149</v>
      </c>
      <c r="C964" s="196">
        <v>1150</v>
      </c>
      <c r="D964" s="230">
        <f t="shared" si="150"/>
        <v>353.2622116689281</v>
      </c>
      <c r="E964" s="417">
        <v>15</v>
      </c>
      <c r="F964" s="511">
        <f t="shared" si="151"/>
        <v>368.27</v>
      </c>
      <c r="G964" s="314" t="s">
        <v>12150</v>
      </c>
      <c r="H964" s="518" t="s">
        <v>12151</v>
      </c>
      <c r="I964" s="452" t="s">
        <v>11565</v>
      </c>
      <c r="J964" s="369" t="s">
        <v>753</v>
      </c>
      <c r="K964" s="452" t="s">
        <v>741</v>
      </c>
    </row>
    <row r="965" spans="1:11" s="317" customFormat="1">
      <c r="A965" s="1822"/>
      <c r="B965" s="314" t="s">
        <v>12152</v>
      </c>
      <c r="C965" s="196">
        <v>1212</v>
      </c>
      <c r="D965" s="230">
        <f t="shared" si="150"/>
        <v>372.30765264586154</v>
      </c>
      <c r="E965" s="417">
        <v>15</v>
      </c>
      <c r="F965" s="511">
        <f t="shared" si="151"/>
        <v>387.31</v>
      </c>
      <c r="G965" s="314" t="s">
        <v>12153</v>
      </c>
      <c r="H965" s="518" t="s">
        <v>12154</v>
      </c>
      <c r="I965" s="452" t="s">
        <v>11565</v>
      </c>
      <c r="J965" s="369" t="s">
        <v>753</v>
      </c>
      <c r="K965" s="452" t="s">
        <v>741</v>
      </c>
    </row>
    <row r="966" spans="1:11" s="317" customFormat="1">
      <c r="A966" s="1822"/>
      <c r="B966" s="314" t="s">
        <v>12155</v>
      </c>
      <c r="C966" s="196">
        <v>1212</v>
      </c>
      <c r="D966" s="230">
        <f t="shared" si="150"/>
        <v>372.30765264586154</v>
      </c>
      <c r="E966" s="417">
        <v>15</v>
      </c>
      <c r="F966" s="511">
        <f t="shared" si="151"/>
        <v>387.31</v>
      </c>
      <c r="G966" s="314" t="s">
        <v>12156</v>
      </c>
      <c r="H966" s="518" t="s">
        <v>12157</v>
      </c>
      <c r="I966" s="452" t="s">
        <v>11565</v>
      </c>
      <c r="J966" s="369" t="s">
        <v>753</v>
      </c>
      <c r="K966" s="452" t="s">
        <v>741</v>
      </c>
    </row>
    <row r="967" spans="1:11" s="317" customFormat="1">
      <c r="A967" s="1822"/>
      <c r="B967" s="314" t="s">
        <v>12158</v>
      </c>
      <c r="C967" s="196">
        <v>1384</v>
      </c>
      <c r="D967" s="230">
        <f t="shared" si="150"/>
        <v>425.14339213025778</v>
      </c>
      <c r="E967" s="417">
        <v>15</v>
      </c>
      <c r="F967" s="511">
        <f t="shared" si="151"/>
        <v>440.15</v>
      </c>
      <c r="G967" s="314" t="s">
        <v>12159</v>
      </c>
      <c r="H967" s="518" t="s">
        <v>12160</v>
      </c>
      <c r="I967" s="452" t="s">
        <v>11565</v>
      </c>
      <c r="J967" s="369" t="s">
        <v>753</v>
      </c>
      <c r="K967" s="452" t="s">
        <v>741</v>
      </c>
    </row>
    <row r="968" spans="1:11" s="317" customFormat="1">
      <c r="A968" s="1822"/>
      <c r="B968" s="314" t="s">
        <v>12161</v>
      </c>
      <c r="C968" s="196">
        <v>1481</v>
      </c>
      <c r="D968" s="230">
        <f t="shared" si="150"/>
        <v>454.94029172320211</v>
      </c>
      <c r="E968" s="417">
        <v>15</v>
      </c>
      <c r="F968" s="511">
        <f t="shared" si="151"/>
        <v>469.95</v>
      </c>
      <c r="G968" s="314" t="s">
        <v>12162</v>
      </c>
      <c r="H968" s="518" t="s">
        <v>12163</v>
      </c>
      <c r="I968" s="452" t="s">
        <v>11565</v>
      </c>
      <c r="J968" s="369" t="s">
        <v>753</v>
      </c>
      <c r="K968" s="452" t="s">
        <v>741</v>
      </c>
    </row>
    <row r="969" spans="1:11" s="315" customFormat="1">
      <c r="A969" s="369"/>
      <c r="B969" s="314"/>
      <c r="C969" s="196" t="s">
        <v>2024</v>
      </c>
      <c r="D969" s="230"/>
      <c r="E969" s="215"/>
      <c r="F969" s="511"/>
      <c r="G969" s="314"/>
      <c r="H969" s="518"/>
      <c r="I969" s="452"/>
      <c r="J969" s="369"/>
      <c r="K969" s="452"/>
    </row>
    <row r="970" spans="1:11" s="315" customFormat="1">
      <c r="A970" s="369"/>
      <c r="B970" s="314"/>
      <c r="C970" s="196" t="s">
        <v>2024</v>
      </c>
      <c r="D970" s="230"/>
      <c r="E970" s="215"/>
      <c r="F970" s="511"/>
      <c r="G970" s="314"/>
      <c r="H970" s="518"/>
      <c r="I970" s="452"/>
      <c r="J970" s="369"/>
      <c r="K970" s="452"/>
    </row>
    <row r="971" spans="1:11" s="317" customFormat="1">
      <c r="A971" s="1822"/>
      <c r="B971" s="314" t="s">
        <v>13379</v>
      </c>
      <c r="C971" s="196">
        <v>1495</v>
      </c>
      <c r="D971" s="230">
        <f t="shared" ref="D971:D972" si="152">C971*(1-VLOOKUP(I971,descuentos,6,FALSE))*fcl/IF(dol_sol="dólar", TC,1)</f>
        <v>459.24087516960651</v>
      </c>
      <c r="E971" s="417">
        <v>15</v>
      </c>
      <c r="F971" s="511">
        <f t="shared" ref="F971:F972" si="153">ROUNDUP(D971+E971,2)</f>
        <v>474.25</v>
      </c>
      <c r="G971" s="314" t="s">
        <v>13380</v>
      </c>
      <c r="H971" s="518" t="s">
        <v>13381</v>
      </c>
      <c r="I971" s="452" t="s">
        <v>11565</v>
      </c>
      <c r="J971" s="369" t="s">
        <v>753</v>
      </c>
      <c r="K971" s="452" t="s">
        <v>741</v>
      </c>
    </row>
    <row r="972" spans="1:11" s="317" customFormat="1">
      <c r="A972" s="1822"/>
      <c r="B972" s="314" t="s">
        <v>13382</v>
      </c>
      <c r="C972" s="196">
        <v>1495</v>
      </c>
      <c r="D972" s="230">
        <f t="shared" si="152"/>
        <v>459.24087516960651</v>
      </c>
      <c r="E972" s="417">
        <v>15</v>
      </c>
      <c r="F972" s="511">
        <f t="shared" si="153"/>
        <v>474.25</v>
      </c>
      <c r="G972" s="314" t="s">
        <v>13383</v>
      </c>
      <c r="H972" s="518" t="s">
        <v>13384</v>
      </c>
      <c r="I972" s="452" t="s">
        <v>11565</v>
      </c>
      <c r="J972" s="369" t="s">
        <v>753</v>
      </c>
      <c r="K972" s="452" t="s">
        <v>741</v>
      </c>
    </row>
    <row r="973" spans="1:11" s="315" customFormat="1">
      <c r="A973" s="369"/>
      <c r="C973" s="196" t="s">
        <v>2024</v>
      </c>
      <c r="D973" s="230"/>
      <c r="E973" s="215"/>
      <c r="F973" s="511"/>
      <c r="G973" s="314"/>
      <c r="H973" s="518"/>
      <c r="I973" s="452"/>
      <c r="J973" s="369"/>
      <c r="K973" s="452"/>
    </row>
    <row r="974" spans="1:11" s="317" customFormat="1" ht="35.25" customHeight="1">
      <c r="A974" s="369"/>
      <c r="B974" s="1468" t="s">
        <v>6614</v>
      </c>
      <c r="C974" s="196" t="s">
        <v>2024</v>
      </c>
      <c r="D974" s="230"/>
      <c r="E974" s="215"/>
      <c r="F974" s="511"/>
      <c r="G974" s="314"/>
      <c r="H974" s="518"/>
      <c r="I974" s="452"/>
      <c r="J974" s="369"/>
      <c r="K974" s="452"/>
    </row>
    <row r="975" spans="1:11" s="317" customFormat="1">
      <c r="A975" s="1467"/>
      <c r="B975" s="351" t="s">
        <v>6615</v>
      </c>
      <c r="C975" s="346">
        <v>3133</v>
      </c>
      <c r="D975" s="345">
        <f t="shared" ref="D975:D984" si="154">C975*(1-VLOOKUP(I975,descuentos,6,FALSE))*fcl/IF(dol_sol="dólar", TC,1)</f>
        <v>962.40913839891448</v>
      </c>
      <c r="E975" s="215">
        <f t="shared" ref="E975:E983" si="155">D975/8</f>
        <v>120.30114229986431</v>
      </c>
      <c r="F975" s="508">
        <f t="shared" ref="F975:F984" si="156">ROUNDUP(D975+E975,2)</f>
        <v>1082.72</v>
      </c>
      <c r="G975" s="351" t="s">
        <v>6616</v>
      </c>
      <c r="H975" s="518" t="s">
        <v>6617</v>
      </c>
      <c r="I975" s="452" t="s">
        <v>11565</v>
      </c>
      <c r="J975" s="369" t="s">
        <v>753</v>
      </c>
      <c r="K975" s="452" t="s">
        <v>741</v>
      </c>
    </row>
    <row r="976" spans="1:11" s="317" customFormat="1">
      <c r="A976" s="1467"/>
      <c r="B976" s="1592" t="s">
        <v>9807</v>
      </c>
      <c r="C976" s="346">
        <v>2962</v>
      </c>
      <c r="D976" s="345">
        <f t="shared" ref="D976" si="157">C976*(1-VLOOKUP(I976,descuentos,6,FALSE))*fcl/IF(dol_sol="dólar", TC,1)</f>
        <v>909.88058344640422</v>
      </c>
      <c r="E976" s="215">
        <f t="shared" si="155"/>
        <v>113.73507293080053</v>
      </c>
      <c r="F976" s="508">
        <f t="shared" si="156"/>
        <v>1023.62</v>
      </c>
      <c r="G976" s="351" t="s">
        <v>9808</v>
      </c>
      <c r="H976" s="518" t="s">
        <v>9809</v>
      </c>
      <c r="I976" s="452" t="s">
        <v>11565</v>
      </c>
      <c r="J976" s="369" t="s">
        <v>753</v>
      </c>
      <c r="K976" s="452" t="s">
        <v>741</v>
      </c>
    </row>
    <row r="977" spans="1:11" s="317" customFormat="1">
      <c r="A977" s="1467"/>
      <c r="B977" s="1592" t="s">
        <v>9474</v>
      </c>
      <c r="C977" s="346">
        <v>2878</v>
      </c>
      <c r="D977" s="345">
        <f t="shared" si="154"/>
        <v>884.07708276797825</v>
      </c>
      <c r="E977" s="215">
        <f t="shared" si="155"/>
        <v>110.50963534599728</v>
      </c>
      <c r="F977" s="508">
        <f t="shared" si="156"/>
        <v>994.59</v>
      </c>
      <c r="G977" s="351" t="s">
        <v>9475</v>
      </c>
      <c r="H977" s="518" t="s">
        <v>9476</v>
      </c>
      <c r="I977" s="452" t="s">
        <v>11565</v>
      </c>
      <c r="J977" s="369" t="s">
        <v>753</v>
      </c>
      <c r="K977" s="452" t="s">
        <v>741</v>
      </c>
    </row>
    <row r="978" spans="1:11" s="317" customFormat="1">
      <c r="A978" s="1467"/>
      <c r="B978" s="1592" t="s">
        <v>9810</v>
      </c>
      <c r="C978" s="346">
        <v>2810</v>
      </c>
      <c r="D978" s="345">
        <f t="shared" ref="D978" si="158">C978*(1-VLOOKUP(I978,descuentos,6,FALSE))*fcl/IF(dol_sol="dólar", TC,1)</f>
        <v>863.18853459972865</v>
      </c>
      <c r="E978" s="215">
        <f t="shared" si="155"/>
        <v>107.89856682496608</v>
      </c>
      <c r="F978" s="508">
        <f t="shared" si="156"/>
        <v>971.09</v>
      </c>
      <c r="G978" s="351" t="s">
        <v>9811</v>
      </c>
      <c r="H978" s="518" t="s">
        <v>9812</v>
      </c>
      <c r="I978" s="452" t="s">
        <v>11565</v>
      </c>
      <c r="J978" s="369" t="s">
        <v>753</v>
      </c>
      <c r="K978" s="452" t="s">
        <v>741</v>
      </c>
    </row>
    <row r="979" spans="1:11" s="317" customFormat="1">
      <c r="A979" s="1467"/>
      <c r="B979" s="351" t="s">
        <v>9477</v>
      </c>
      <c r="C979" s="346">
        <v>2810</v>
      </c>
      <c r="D979" s="345">
        <f t="shared" ref="D979" si="159">C979*(1-VLOOKUP(I979,descuentos,6,FALSE))*fcl/IF(dol_sol="dólar", TC,1)</f>
        <v>863.18853459972865</v>
      </c>
      <c r="E979" s="215">
        <f t="shared" si="155"/>
        <v>107.89856682496608</v>
      </c>
      <c r="F979" s="508">
        <f t="shared" si="156"/>
        <v>971.09</v>
      </c>
      <c r="G979" s="351" t="s">
        <v>9478</v>
      </c>
      <c r="H979" s="518" t="s">
        <v>9479</v>
      </c>
      <c r="I979" s="452" t="s">
        <v>11565</v>
      </c>
      <c r="J979" s="369" t="s">
        <v>753</v>
      </c>
      <c r="K979" s="452" t="s">
        <v>741</v>
      </c>
    </row>
    <row r="980" spans="1:11" s="317" customFormat="1">
      <c r="A980" s="1467"/>
      <c r="B980" s="351" t="s">
        <v>6618</v>
      </c>
      <c r="C980" s="346">
        <v>637</v>
      </c>
      <c r="D980" s="345">
        <f t="shared" si="154"/>
        <v>195.67654681139754</v>
      </c>
      <c r="E980" s="215">
        <f t="shared" si="155"/>
        <v>24.459568351424693</v>
      </c>
      <c r="F980" s="508">
        <f t="shared" si="156"/>
        <v>220.14</v>
      </c>
      <c r="G980" s="351" t="s">
        <v>6619</v>
      </c>
      <c r="H980" s="518" t="s">
        <v>6620</v>
      </c>
      <c r="I980" s="452" t="s">
        <v>11565</v>
      </c>
      <c r="J980" s="369" t="s">
        <v>753</v>
      </c>
      <c r="K980" s="452" t="s">
        <v>741</v>
      </c>
    </row>
    <row r="981" spans="1:11" s="317" customFormat="1">
      <c r="A981" s="1467"/>
      <c r="B981" s="351" t="s">
        <v>6621</v>
      </c>
      <c r="C981" s="346">
        <v>258</v>
      </c>
      <c r="D981" s="345">
        <f t="shared" si="154"/>
        <v>79.253609226594293</v>
      </c>
      <c r="E981" s="215">
        <f t="shared" si="155"/>
        <v>9.9067011533242866</v>
      </c>
      <c r="F981" s="508">
        <f t="shared" si="156"/>
        <v>89.17</v>
      </c>
      <c r="G981" s="351" t="s">
        <v>6622</v>
      </c>
      <c r="H981" s="518" t="s">
        <v>6623</v>
      </c>
      <c r="I981" s="452" t="s">
        <v>11565</v>
      </c>
      <c r="J981" s="369" t="s">
        <v>753</v>
      </c>
      <c r="K981" s="452" t="s">
        <v>741</v>
      </c>
    </row>
    <row r="982" spans="1:11" s="317" customFormat="1">
      <c r="A982" s="1467"/>
      <c r="B982" s="351" t="s">
        <v>6624</v>
      </c>
      <c r="C982" s="346">
        <v>265</v>
      </c>
      <c r="D982" s="345">
        <f t="shared" si="154"/>
        <v>81.403900949796451</v>
      </c>
      <c r="E982" s="215">
        <f t="shared" si="155"/>
        <v>10.175487618724556</v>
      </c>
      <c r="F982" s="508">
        <f t="shared" si="156"/>
        <v>91.58</v>
      </c>
      <c r="G982" s="351" t="s">
        <v>6625</v>
      </c>
      <c r="H982" s="518" t="s">
        <v>6626</v>
      </c>
      <c r="I982" s="452" t="s">
        <v>11565</v>
      </c>
      <c r="J982" s="369" t="s">
        <v>753</v>
      </c>
      <c r="K982" s="452" t="s">
        <v>741</v>
      </c>
    </row>
    <row r="983" spans="1:11" s="317" customFormat="1">
      <c r="A983" s="1467"/>
      <c r="B983" s="351" t="s">
        <v>6627</v>
      </c>
      <c r="C983" s="346">
        <v>617</v>
      </c>
      <c r="D983" s="345">
        <f t="shared" si="154"/>
        <v>189.53285617367709</v>
      </c>
      <c r="E983" s="215">
        <f t="shared" si="155"/>
        <v>23.691607021709636</v>
      </c>
      <c r="F983" s="508">
        <f t="shared" si="156"/>
        <v>213.23</v>
      </c>
      <c r="G983" s="351" t="s">
        <v>6628</v>
      </c>
      <c r="H983" s="518" t="s">
        <v>6629</v>
      </c>
      <c r="I983" s="452" t="s">
        <v>11565</v>
      </c>
      <c r="J983" s="369" t="s">
        <v>753</v>
      </c>
      <c r="K983" s="452" t="s">
        <v>741</v>
      </c>
    </row>
    <row r="984" spans="1:11" s="317" customFormat="1">
      <c r="A984" s="1467"/>
      <c r="B984" s="518" t="s">
        <v>1368</v>
      </c>
      <c r="C984" s="196">
        <v>1842</v>
      </c>
      <c r="D984" s="230">
        <f t="shared" si="154"/>
        <v>565.83390773405699</v>
      </c>
      <c r="E984" s="215">
        <v>30</v>
      </c>
      <c r="F984" s="511">
        <f t="shared" si="156"/>
        <v>595.84</v>
      </c>
      <c r="G984" s="314" t="s">
        <v>3519</v>
      </c>
      <c r="H984" s="518" t="s">
        <v>1369</v>
      </c>
      <c r="I984" s="452" t="s">
        <v>11565</v>
      </c>
      <c r="J984" s="369" t="s">
        <v>753</v>
      </c>
      <c r="K984" s="452" t="s">
        <v>741</v>
      </c>
    </row>
    <row r="985" spans="1:11" s="317" customFormat="1">
      <c r="A985" s="369"/>
      <c r="B985" s="518"/>
      <c r="C985" s="196" t="s">
        <v>2024</v>
      </c>
      <c r="D985" s="230"/>
      <c r="E985" s="215"/>
      <c r="F985" s="511"/>
      <c r="G985" s="314"/>
      <c r="H985" s="518"/>
      <c r="I985" s="452"/>
      <c r="J985" s="369"/>
      <c r="K985" s="452"/>
    </row>
    <row r="986" spans="1:11" s="317" customFormat="1">
      <c r="A986" s="369"/>
      <c r="B986" s="314"/>
      <c r="C986" s="196" t="s">
        <v>2024</v>
      </c>
      <c r="D986" s="345"/>
      <c r="E986" s="215"/>
      <c r="F986" s="508"/>
      <c r="G986" s="314"/>
      <c r="H986" s="518"/>
      <c r="I986" s="452"/>
      <c r="J986" s="369"/>
      <c r="K986" s="452"/>
    </row>
    <row r="987" spans="1:11" s="317" customFormat="1">
      <c r="A987" s="369"/>
      <c r="B987" s="314" t="s">
        <v>870</v>
      </c>
      <c r="C987" s="196">
        <v>905</v>
      </c>
      <c r="D987" s="230">
        <f>C987*(1-VLOOKUP(I987,descuentos,6,FALSE))*fcl/IF(dol_sol="dólar", TC,1)</f>
        <v>278.00200135685208</v>
      </c>
      <c r="E987" s="215">
        <f>D987/8</f>
        <v>34.75025016960651</v>
      </c>
      <c r="F987" s="511">
        <f t="shared" si="148"/>
        <v>312.76</v>
      </c>
      <c r="G987" s="314" t="s">
        <v>4483</v>
      </c>
      <c r="H987" s="518" t="s">
        <v>873</v>
      </c>
      <c r="I987" s="452" t="s">
        <v>11565</v>
      </c>
      <c r="J987" s="369" t="s">
        <v>753</v>
      </c>
      <c r="K987" s="452" t="s">
        <v>741</v>
      </c>
    </row>
    <row r="988" spans="1:11" s="317" customFormat="1">
      <c r="A988" s="369"/>
      <c r="B988" s="314" t="s">
        <v>871</v>
      </c>
      <c r="C988" s="196">
        <v>926</v>
      </c>
      <c r="D988" s="230">
        <f>C988*(1-VLOOKUP(I988,descuentos,6,FALSE))*fcl/IF(dol_sol="dólar", TC,1)</f>
        <v>284.45287652645857</v>
      </c>
      <c r="E988" s="215">
        <f>D988/8</f>
        <v>35.556609565807321</v>
      </c>
      <c r="F988" s="511">
        <f t="shared" si="148"/>
        <v>320.01</v>
      </c>
      <c r="G988" s="314" t="s">
        <v>4484</v>
      </c>
      <c r="H988" s="518" t="s">
        <v>874</v>
      </c>
      <c r="I988" s="452" t="s">
        <v>11565</v>
      </c>
      <c r="J988" s="369" t="s">
        <v>753</v>
      </c>
      <c r="K988" s="452" t="s">
        <v>741</v>
      </c>
    </row>
    <row r="989" spans="1:11" s="317" customFormat="1">
      <c r="A989" s="369"/>
      <c r="B989" s="314"/>
      <c r="C989" s="196" t="s">
        <v>2024</v>
      </c>
      <c r="D989" s="230"/>
      <c r="E989" s="215"/>
      <c r="F989" s="511"/>
      <c r="G989" s="314"/>
      <c r="H989" s="518"/>
      <c r="I989" s="452"/>
      <c r="J989" s="369"/>
      <c r="K989" s="452"/>
    </row>
    <row r="990" spans="1:11" s="317" customFormat="1">
      <c r="A990" s="369"/>
      <c r="B990" s="314" t="s">
        <v>819</v>
      </c>
      <c r="C990" s="196">
        <v>1182</v>
      </c>
      <c r="D990" s="230">
        <f>C990*(1-VLOOKUP(I990,descuentos,6,FALSE))*fcl/IF(dol_sol="dólar", TC,1)</f>
        <v>363.09211668928089</v>
      </c>
      <c r="E990" s="215">
        <f>D990/8</f>
        <v>45.386514586160111</v>
      </c>
      <c r="F990" s="511">
        <f t="shared" si="148"/>
        <v>408.48</v>
      </c>
      <c r="G990" s="314" t="s">
        <v>4486</v>
      </c>
      <c r="H990" s="518" t="s">
        <v>820</v>
      </c>
      <c r="I990" s="452" t="s">
        <v>11565</v>
      </c>
      <c r="J990" s="369" t="s">
        <v>753</v>
      </c>
      <c r="K990" s="452" t="s">
        <v>741</v>
      </c>
    </row>
    <row r="991" spans="1:11" s="317" customFormat="1">
      <c r="A991" s="369"/>
      <c r="B991" s="314" t="s">
        <v>872</v>
      </c>
      <c r="C991" s="196">
        <v>1222</v>
      </c>
      <c r="D991" s="230">
        <f>C991*(1-VLOOKUP(I991,descuentos,6,FALSE))*fcl/IF(dol_sol="dólar", TC,1)</f>
        <v>375.37949796472179</v>
      </c>
      <c r="E991" s="215">
        <f>D991/8</f>
        <v>46.922437245590224</v>
      </c>
      <c r="F991" s="511">
        <f t="shared" si="148"/>
        <v>422.31</v>
      </c>
      <c r="G991" s="314" t="s">
        <v>4487</v>
      </c>
      <c r="H991" s="518" t="s">
        <v>875</v>
      </c>
      <c r="I991" s="452" t="s">
        <v>11565</v>
      </c>
      <c r="J991" s="369" t="s">
        <v>753</v>
      </c>
      <c r="K991" s="452" t="s">
        <v>741</v>
      </c>
    </row>
    <row r="992" spans="1:11" s="317" customFormat="1">
      <c r="A992" s="369"/>
      <c r="B992" s="314"/>
      <c r="C992" s="196" t="s">
        <v>2024</v>
      </c>
      <c r="D992" s="230"/>
      <c r="E992" s="215"/>
      <c r="F992" s="511"/>
      <c r="G992" s="314"/>
      <c r="H992" s="518"/>
      <c r="I992" s="452"/>
      <c r="J992" s="369"/>
      <c r="K992" s="452"/>
    </row>
    <row r="993" spans="1:11" s="317" customFormat="1">
      <c r="A993" s="369"/>
      <c r="B993" s="351" t="s">
        <v>2217</v>
      </c>
      <c r="C993" s="346">
        <v>1177</v>
      </c>
      <c r="D993" s="345">
        <f>C993*(1-VLOOKUP(I993,descuentos,6,FALSE))*fcl/IF(dol_sol="dólar", TC,1)</f>
        <v>361.55619402985076</v>
      </c>
      <c r="E993" s="343">
        <f>D993/8</f>
        <v>45.194524253731345</v>
      </c>
      <c r="F993" s="508">
        <f>ROUNDUP(D993+E993,2)</f>
        <v>406.76</v>
      </c>
      <c r="G993" s="351" t="s">
        <v>6630</v>
      </c>
      <c r="H993" s="518" t="s">
        <v>2218</v>
      </c>
      <c r="I993" s="452" t="s">
        <v>11565</v>
      </c>
      <c r="J993" s="369" t="s">
        <v>753</v>
      </c>
      <c r="K993" s="452" t="s">
        <v>741</v>
      </c>
    </row>
    <row r="994" spans="1:11" s="317" customFormat="1">
      <c r="A994" s="369"/>
      <c r="B994" s="351" t="s">
        <v>2219</v>
      </c>
      <c r="C994" s="346">
        <v>1201</v>
      </c>
      <c r="D994" s="345">
        <f>C994*(1-VLOOKUP(I994,descuentos,6,FALSE))*fcl/IF(dol_sol="dólar", TC,1)</f>
        <v>368.9286227951153</v>
      </c>
      <c r="E994" s="343">
        <f>D994/8</f>
        <v>46.116077849389413</v>
      </c>
      <c r="F994" s="508">
        <f>ROUNDUP(D994+E994,2)</f>
        <v>415.05</v>
      </c>
      <c r="G994" s="351" t="s">
        <v>4485</v>
      </c>
      <c r="H994" s="518" t="s">
        <v>2220</v>
      </c>
      <c r="I994" s="452" t="s">
        <v>11565</v>
      </c>
      <c r="J994" s="369" t="s">
        <v>753</v>
      </c>
      <c r="K994" s="452" t="s">
        <v>741</v>
      </c>
    </row>
    <row r="995" spans="1:11" s="317" customFormat="1">
      <c r="A995" s="369"/>
      <c r="B995" s="351"/>
      <c r="C995" s="346" t="s">
        <v>2024</v>
      </c>
      <c r="D995" s="345"/>
      <c r="E995" s="343"/>
      <c r="F995" s="508"/>
      <c r="G995" s="351"/>
      <c r="H995" s="518"/>
      <c r="I995" s="452"/>
      <c r="J995" s="369"/>
      <c r="K995" s="452"/>
    </row>
    <row r="996" spans="1:11" s="317" customFormat="1">
      <c r="A996" s="369"/>
      <c r="B996" s="351" t="s">
        <v>2221</v>
      </c>
      <c r="C996" s="346">
        <v>1587</v>
      </c>
      <c r="D996" s="345">
        <f>C996*(1-VLOOKUP(I996,descuentos,6,FALSE))*fcl/IF(dol_sol="dólar", TC,1)</f>
        <v>487.50185210312071</v>
      </c>
      <c r="E996" s="343">
        <f>D996/8</f>
        <v>60.937731512890089</v>
      </c>
      <c r="F996" s="508">
        <f t="shared" si="148"/>
        <v>548.43999999999994</v>
      </c>
      <c r="G996" s="351" t="s">
        <v>4488</v>
      </c>
      <c r="H996" s="518" t="s">
        <v>2222</v>
      </c>
      <c r="I996" s="452" t="s">
        <v>11565</v>
      </c>
      <c r="J996" s="369" t="s">
        <v>753</v>
      </c>
      <c r="K996" s="452" t="s">
        <v>741</v>
      </c>
    </row>
    <row r="997" spans="1:11" s="317" customFormat="1">
      <c r="A997" s="369"/>
      <c r="B997" s="314"/>
      <c r="C997" s="196" t="s">
        <v>2024</v>
      </c>
      <c r="D997" s="230"/>
      <c r="E997" s="215"/>
      <c r="F997" s="511"/>
      <c r="G997" s="314"/>
      <c r="H997" s="518"/>
      <c r="I997" s="452"/>
      <c r="J997" s="369"/>
      <c r="K997" s="452"/>
    </row>
    <row r="998" spans="1:11" s="317" customFormat="1">
      <c r="A998" s="369"/>
      <c r="B998" s="314"/>
      <c r="C998" s="196" t="s">
        <v>2024</v>
      </c>
      <c r="D998" s="230"/>
      <c r="E998" s="215"/>
      <c r="F998" s="511"/>
      <c r="G998" s="314"/>
      <c r="H998" s="518"/>
      <c r="I998" s="452"/>
      <c r="J998" s="369"/>
      <c r="K998" s="452"/>
    </row>
    <row r="999" spans="1:11" s="317" customFormat="1">
      <c r="A999" s="369"/>
      <c r="B999" s="314" t="s">
        <v>13208</v>
      </c>
      <c r="C999" s="196">
        <v>856</v>
      </c>
      <c r="D999" s="230">
        <f>C999*(1-VLOOKUP(I999,descuentos,6,FALSE))*fcl/IF(dol_sol="dólar", TC,1)</f>
        <v>262.94995929443689</v>
      </c>
      <c r="E999" s="215">
        <f>D999/8</f>
        <v>32.868744911804612</v>
      </c>
      <c r="F999" s="511">
        <f>ROUNDUP(D999+E999,2)</f>
        <v>295.82</v>
      </c>
      <c r="G999" s="314" t="s">
        <v>13209</v>
      </c>
      <c r="H999" s="518" t="s">
        <v>13210</v>
      </c>
      <c r="I999" s="452" t="s">
        <v>11565</v>
      </c>
      <c r="J999" s="369" t="s">
        <v>753</v>
      </c>
      <c r="K999" s="452" t="s">
        <v>741</v>
      </c>
    </row>
    <row r="1000" spans="1:11" s="317" customFormat="1">
      <c r="A1000" s="369"/>
      <c r="B1000" s="314" t="s">
        <v>13211</v>
      </c>
      <c r="C1000" s="196">
        <v>856</v>
      </c>
      <c r="D1000" s="230">
        <f>C1000*(1-VLOOKUP(I1000,descuentos,6,FALSE))*fcl/IF(dol_sol="dólar", TC,1)</f>
        <v>262.94995929443689</v>
      </c>
      <c r="E1000" s="215">
        <f>D1000/8</f>
        <v>32.868744911804612</v>
      </c>
      <c r="F1000" s="511">
        <f>ROUNDUP(D1000+E1000,2)</f>
        <v>295.82</v>
      </c>
      <c r="G1000" s="314" t="s">
        <v>13212</v>
      </c>
      <c r="H1000" s="518" t="s">
        <v>13213</v>
      </c>
      <c r="I1000" s="452" t="s">
        <v>11565</v>
      </c>
      <c r="J1000" s="369" t="s">
        <v>753</v>
      </c>
      <c r="K1000" s="452" t="s">
        <v>741</v>
      </c>
    </row>
    <row r="1001" spans="1:11" s="317" customFormat="1">
      <c r="A1001" s="369"/>
      <c r="B1001" s="314" t="s">
        <v>4845</v>
      </c>
      <c r="C1001" s="196">
        <v>856</v>
      </c>
      <c r="D1001" s="230">
        <f>C1001*(1-VLOOKUP(I1001,descuentos,6,FALSE))*fcl/IF(dol_sol="dólar", TC,1)</f>
        <v>262.94995929443689</v>
      </c>
      <c r="E1001" s="215">
        <f>D1001/8</f>
        <v>32.868744911804612</v>
      </c>
      <c r="F1001" s="511">
        <f>ROUNDUP(D1001+E1001,2)</f>
        <v>295.82</v>
      </c>
      <c r="G1001" s="314" t="s">
        <v>4846</v>
      </c>
      <c r="H1001" s="518" t="s">
        <v>4847</v>
      </c>
      <c r="I1001" s="452" t="s">
        <v>11565</v>
      </c>
      <c r="J1001" s="369" t="s">
        <v>753</v>
      </c>
      <c r="K1001" s="452" t="s">
        <v>741</v>
      </c>
    </row>
    <row r="1002" spans="1:11" s="317" customFormat="1">
      <c r="A1002" s="369"/>
      <c r="B1002" s="314" t="s">
        <v>886</v>
      </c>
      <c r="C1002" s="196">
        <v>856</v>
      </c>
      <c r="D1002" s="230">
        <f t="shared" ref="D1002:D1008" si="160">C1002*(1-VLOOKUP(I1002,descuentos,6,FALSE))*fcl/IF(dol_sol="dólar", TC,1)</f>
        <v>262.94995929443689</v>
      </c>
      <c r="E1002" s="215">
        <f t="shared" ref="E1002:E1008" si="161">D1002/8</f>
        <v>32.868744911804612</v>
      </c>
      <c r="F1002" s="511">
        <f t="shared" si="148"/>
        <v>295.82</v>
      </c>
      <c r="G1002" s="314" t="s">
        <v>4489</v>
      </c>
      <c r="H1002" s="518" t="s">
        <v>902</v>
      </c>
      <c r="I1002" s="452" t="s">
        <v>11565</v>
      </c>
      <c r="J1002" s="369" t="s">
        <v>753</v>
      </c>
      <c r="K1002" s="452" t="s">
        <v>741</v>
      </c>
    </row>
    <row r="1003" spans="1:11" s="317" customFormat="1">
      <c r="A1003" s="369"/>
      <c r="B1003" s="314" t="s">
        <v>884</v>
      </c>
      <c r="C1003" s="196">
        <v>914</v>
      </c>
      <c r="D1003" s="230">
        <f t="shared" si="160"/>
        <v>280.7666621438263</v>
      </c>
      <c r="E1003" s="215">
        <f t="shared" si="161"/>
        <v>35.095832767978287</v>
      </c>
      <c r="F1003" s="511">
        <f t="shared" si="148"/>
        <v>315.87</v>
      </c>
      <c r="G1003" s="314" t="s">
        <v>4490</v>
      </c>
      <c r="H1003" s="518" t="s">
        <v>900</v>
      </c>
      <c r="I1003" s="452" t="s">
        <v>11565</v>
      </c>
      <c r="J1003" s="369" t="s">
        <v>753</v>
      </c>
      <c r="K1003" s="452" t="s">
        <v>741</v>
      </c>
    </row>
    <row r="1004" spans="1:11" s="317" customFormat="1">
      <c r="A1004" s="369"/>
      <c r="B1004" s="314" t="s">
        <v>881</v>
      </c>
      <c r="C1004" s="196">
        <v>914</v>
      </c>
      <c r="D1004" s="230">
        <f t="shared" si="160"/>
        <v>280.7666621438263</v>
      </c>
      <c r="E1004" s="215">
        <f t="shared" si="161"/>
        <v>35.095832767978287</v>
      </c>
      <c r="F1004" s="511">
        <f t="shared" si="148"/>
        <v>315.87</v>
      </c>
      <c r="G1004" s="314" t="s">
        <v>4491</v>
      </c>
      <c r="H1004" s="518" t="s">
        <v>896</v>
      </c>
      <c r="I1004" s="452" t="s">
        <v>11565</v>
      </c>
      <c r="J1004" s="369" t="s">
        <v>753</v>
      </c>
      <c r="K1004" s="452" t="s">
        <v>741</v>
      </c>
    </row>
    <row r="1005" spans="1:11" s="317" customFormat="1">
      <c r="A1005" s="369"/>
      <c r="B1005" s="314" t="s">
        <v>3707</v>
      </c>
      <c r="C1005" s="196">
        <v>971</v>
      </c>
      <c r="D1005" s="230">
        <f>C1005*(1-VLOOKUP(I1005,descuentos,6,FALSE))*fcl/IF(dol_sol="dólar", TC,1)</f>
        <v>298.27618046132972</v>
      </c>
      <c r="E1005" s="215">
        <f t="shared" si="161"/>
        <v>37.284522557666214</v>
      </c>
      <c r="F1005" s="511">
        <f t="shared" si="148"/>
        <v>335.57</v>
      </c>
      <c r="G1005" s="314" t="s">
        <v>4492</v>
      </c>
      <c r="H1005" s="518" t="s">
        <v>3708</v>
      </c>
      <c r="I1005" s="452" t="s">
        <v>11565</v>
      </c>
      <c r="J1005" s="369" t="s">
        <v>753</v>
      </c>
      <c r="K1005" s="452" t="s">
        <v>741</v>
      </c>
    </row>
    <row r="1006" spans="1:11" s="317" customFormat="1">
      <c r="A1006" s="369"/>
      <c r="B1006" s="314" t="s">
        <v>888</v>
      </c>
      <c r="C1006" s="196">
        <v>971</v>
      </c>
      <c r="D1006" s="230">
        <f t="shared" si="160"/>
        <v>298.27618046132972</v>
      </c>
      <c r="E1006" s="215">
        <f t="shared" si="161"/>
        <v>37.284522557666214</v>
      </c>
      <c r="F1006" s="511">
        <f t="shared" si="148"/>
        <v>335.57</v>
      </c>
      <c r="G1006" s="314" t="s">
        <v>4493</v>
      </c>
      <c r="H1006" s="518" t="s">
        <v>904</v>
      </c>
      <c r="I1006" s="452" t="s">
        <v>11565</v>
      </c>
      <c r="J1006" s="369" t="s">
        <v>753</v>
      </c>
      <c r="K1006" s="452" t="s">
        <v>741</v>
      </c>
    </row>
    <row r="1007" spans="1:11" s="317" customFormat="1">
      <c r="A1007" s="369"/>
      <c r="B1007" s="314" t="s">
        <v>879</v>
      </c>
      <c r="C1007" s="196">
        <v>971</v>
      </c>
      <c r="D1007" s="230">
        <f t="shared" si="160"/>
        <v>298.27618046132972</v>
      </c>
      <c r="E1007" s="215">
        <f t="shared" si="161"/>
        <v>37.284522557666214</v>
      </c>
      <c r="F1007" s="511">
        <f t="shared" si="148"/>
        <v>335.57</v>
      </c>
      <c r="G1007" s="314" t="s">
        <v>4494</v>
      </c>
      <c r="H1007" s="518" t="s">
        <v>894</v>
      </c>
      <c r="I1007" s="452" t="s">
        <v>11565</v>
      </c>
      <c r="J1007" s="369" t="s">
        <v>753</v>
      </c>
      <c r="K1007" s="452" t="s">
        <v>741</v>
      </c>
    </row>
    <row r="1008" spans="1:11" s="317" customFormat="1">
      <c r="A1008" s="369"/>
      <c r="B1008" s="314" t="s">
        <v>885</v>
      </c>
      <c r="C1008" s="196">
        <v>1027</v>
      </c>
      <c r="D1008" s="230">
        <f t="shared" si="160"/>
        <v>315.47851424694704</v>
      </c>
      <c r="E1008" s="215">
        <f t="shared" si="161"/>
        <v>39.43481428086838</v>
      </c>
      <c r="F1008" s="511">
        <f t="shared" si="148"/>
        <v>354.92</v>
      </c>
      <c r="G1008" s="314" t="s">
        <v>4495</v>
      </c>
      <c r="H1008" s="518" t="s">
        <v>901</v>
      </c>
      <c r="I1008" s="452" t="s">
        <v>11565</v>
      </c>
      <c r="J1008" s="369" t="s">
        <v>753</v>
      </c>
      <c r="K1008" s="452" t="s">
        <v>741</v>
      </c>
    </row>
    <row r="1009" spans="1:11" s="317" customFormat="1">
      <c r="A1009" s="369"/>
      <c r="B1009" s="314"/>
      <c r="C1009" s="196" t="s">
        <v>2024</v>
      </c>
      <c r="D1009" s="230"/>
      <c r="E1009" s="215"/>
      <c r="F1009" s="511"/>
      <c r="G1009" s="553"/>
      <c r="H1009" s="518"/>
      <c r="I1009" s="452"/>
      <c r="J1009" s="369"/>
      <c r="K1009" s="452"/>
    </row>
    <row r="1010" spans="1:11" s="317" customFormat="1">
      <c r="A1010" s="369"/>
      <c r="B1010" s="314"/>
      <c r="C1010" s="196" t="s">
        <v>2024</v>
      </c>
      <c r="D1010" s="230"/>
      <c r="E1010" s="215"/>
      <c r="F1010" s="511"/>
      <c r="G1010" s="314"/>
      <c r="H1010" s="518"/>
      <c r="I1010" s="452"/>
      <c r="J1010" s="369"/>
      <c r="K1010" s="452"/>
    </row>
    <row r="1011" spans="1:11" s="317" customFormat="1">
      <c r="A1011" s="369"/>
      <c r="B1011" s="351" t="s">
        <v>13214</v>
      </c>
      <c r="C1011" s="346">
        <v>1114</v>
      </c>
      <c r="D1011" s="345">
        <f t="shared" ref="D1011:D1018" si="162">C1011*(1-VLOOKUP(I1011,descuentos,6,FALSE))*fcl/IF(dol_sol="dólar", TC,1)</f>
        <v>342.20356852103117</v>
      </c>
      <c r="E1011" s="343">
        <f>D1011/8</f>
        <v>42.775446065128897</v>
      </c>
      <c r="F1011" s="508">
        <f>ROUNDUP(D1011+E1011,2)</f>
        <v>384.98</v>
      </c>
      <c r="G1011" s="351" t="s">
        <v>13215</v>
      </c>
      <c r="H1011" s="506" t="s">
        <v>6631</v>
      </c>
      <c r="I1011" s="452" t="s">
        <v>11565</v>
      </c>
      <c r="J1011" s="369" t="s">
        <v>753</v>
      </c>
      <c r="K1011" s="452" t="s">
        <v>741</v>
      </c>
    </row>
    <row r="1012" spans="1:11" s="317" customFormat="1">
      <c r="A1012" s="369"/>
      <c r="B1012" s="351" t="s">
        <v>4848</v>
      </c>
      <c r="C1012" s="346">
        <v>1114</v>
      </c>
      <c r="D1012" s="345">
        <f t="shared" si="162"/>
        <v>342.20356852103117</v>
      </c>
      <c r="E1012" s="343">
        <f>D1012/8</f>
        <v>42.775446065128897</v>
      </c>
      <c r="F1012" s="508">
        <f t="shared" si="148"/>
        <v>384.98</v>
      </c>
      <c r="G1012" s="351" t="s">
        <v>4849</v>
      </c>
      <c r="H1012" s="506" t="s">
        <v>4850</v>
      </c>
      <c r="I1012" s="452" t="s">
        <v>11565</v>
      </c>
      <c r="J1012" s="369" t="s">
        <v>753</v>
      </c>
      <c r="K1012" s="452" t="s">
        <v>741</v>
      </c>
    </row>
    <row r="1013" spans="1:11" s="317" customFormat="1">
      <c r="A1013" s="369"/>
      <c r="B1013" s="351" t="s">
        <v>4851</v>
      </c>
      <c r="C1013" s="346">
        <v>1114</v>
      </c>
      <c r="D1013" s="345">
        <f t="shared" si="162"/>
        <v>342.20356852103117</v>
      </c>
      <c r="E1013" s="343">
        <f>D1013/8</f>
        <v>42.775446065128897</v>
      </c>
      <c r="F1013" s="508">
        <f>ROUNDUP(D1013+E1013,2)</f>
        <v>384.98</v>
      </c>
      <c r="G1013" s="351" t="s">
        <v>4852</v>
      </c>
      <c r="H1013" s="506" t="s">
        <v>4853</v>
      </c>
      <c r="I1013" s="452" t="s">
        <v>11565</v>
      </c>
      <c r="J1013" s="369" t="s">
        <v>753</v>
      </c>
      <c r="K1013" s="452" t="s">
        <v>741</v>
      </c>
    </row>
    <row r="1014" spans="1:11" s="317" customFormat="1">
      <c r="A1014" s="369"/>
      <c r="B1014" s="351" t="s">
        <v>3702</v>
      </c>
      <c r="C1014" s="346">
        <v>1114</v>
      </c>
      <c r="D1014" s="345">
        <f t="shared" si="162"/>
        <v>342.20356852103117</v>
      </c>
      <c r="E1014" s="343">
        <f t="shared" ref="E1014:E1048" si="163">D1014/8</f>
        <v>42.775446065128897</v>
      </c>
      <c r="F1014" s="508">
        <f t="shared" si="148"/>
        <v>384.98</v>
      </c>
      <c r="G1014" s="351" t="s">
        <v>4854</v>
      </c>
      <c r="H1014" s="506" t="s">
        <v>3714</v>
      </c>
      <c r="I1014" s="452" t="s">
        <v>11565</v>
      </c>
      <c r="J1014" s="369" t="s">
        <v>753</v>
      </c>
      <c r="K1014" s="452" t="s">
        <v>741</v>
      </c>
    </row>
    <row r="1015" spans="1:11">
      <c r="A1015" s="369"/>
      <c r="B1015" s="351" t="s">
        <v>3703</v>
      </c>
      <c r="C1015" s="346">
        <v>1187</v>
      </c>
      <c r="D1015" s="345">
        <f t="shared" si="162"/>
        <v>364.6280393487109</v>
      </c>
      <c r="E1015" s="343">
        <f t="shared" si="163"/>
        <v>45.578504918588862</v>
      </c>
      <c r="F1015" s="508">
        <f t="shared" si="148"/>
        <v>410.21</v>
      </c>
      <c r="G1015" s="351" t="s">
        <v>4855</v>
      </c>
      <c r="H1015" s="506" t="s">
        <v>3713</v>
      </c>
      <c r="I1015" s="452" t="s">
        <v>11565</v>
      </c>
      <c r="J1015" s="369" t="s">
        <v>753</v>
      </c>
      <c r="K1015" s="452" t="s">
        <v>741</v>
      </c>
    </row>
    <row r="1016" spans="1:11" s="317" customFormat="1">
      <c r="A1016" s="369"/>
      <c r="B1016" s="351" t="s">
        <v>3704</v>
      </c>
      <c r="C1016" s="346">
        <v>1187</v>
      </c>
      <c r="D1016" s="345">
        <f t="shared" si="162"/>
        <v>364.6280393487109</v>
      </c>
      <c r="E1016" s="343">
        <f t="shared" si="163"/>
        <v>45.578504918588862</v>
      </c>
      <c r="F1016" s="508">
        <f t="shared" si="148"/>
        <v>410.21</v>
      </c>
      <c r="G1016" s="351" t="s">
        <v>4856</v>
      </c>
      <c r="H1016" s="506" t="s">
        <v>3712</v>
      </c>
      <c r="I1016" s="452" t="s">
        <v>11565</v>
      </c>
      <c r="J1016" s="369" t="s">
        <v>753</v>
      </c>
      <c r="K1016" s="452" t="s">
        <v>741</v>
      </c>
    </row>
    <row r="1017" spans="1:11" s="317" customFormat="1">
      <c r="A1017" s="369"/>
      <c r="B1017" s="351" t="s">
        <v>3709</v>
      </c>
      <c r="C1017" s="346">
        <v>1261</v>
      </c>
      <c r="D1017" s="345">
        <f t="shared" si="162"/>
        <v>387.35969470827672</v>
      </c>
      <c r="E1017" s="343">
        <f t="shared" si="163"/>
        <v>48.41996183853459</v>
      </c>
      <c r="F1017" s="508">
        <f t="shared" si="148"/>
        <v>435.78</v>
      </c>
      <c r="G1017" s="351" t="s">
        <v>4857</v>
      </c>
      <c r="H1017" s="506" t="s">
        <v>3711</v>
      </c>
      <c r="I1017" s="452" t="s">
        <v>11565</v>
      </c>
      <c r="J1017" s="369" t="s">
        <v>753</v>
      </c>
      <c r="K1017" s="452" t="s">
        <v>741</v>
      </c>
    </row>
    <row r="1018" spans="1:11" s="317" customFormat="1">
      <c r="A1018" s="369"/>
      <c r="B1018" s="351" t="s">
        <v>3705</v>
      </c>
      <c r="C1018" s="346">
        <v>1261</v>
      </c>
      <c r="D1018" s="345">
        <f t="shared" si="162"/>
        <v>387.35969470827672</v>
      </c>
      <c r="E1018" s="343">
        <f t="shared" si="163"/>
        <v>48.41996183853459</v>
      </c>
      <c r="F1018" s="508">
        <f t="shared" si="148"/>
        <v>435.78</v>
      </c>
      <c r="G1018" s="351" t="s">
        <v>4858</v>
      </c>
      <c r="H1018" s="506" t="s">
        <v>3706</v>
      </c>
      <c r="I1018" s="452" t="s">
        <v>11565</v>
      </c>
      <c r="J1018" s="369" t="s">
        <v>753</v>
      </c>
      <c r="K1018" s="452" t="s">
        <v>741</v>
      </c>
    </row>
    <row r="1019" spans="1:11" s="317" customFormat="1">
      <c r="A1019" s="369"/>
      <c r="B1019" s="351" t="s">
        <v>3074</v>
      </c>
      <c r="C1019" s="346">
        <v>1261</v>
      </c>
      <c r="D1019" s="345">
        <f t="shared" ref="D1019:D1038" si="164">C1019*(1-VLOOKUP(I1019,descuentos,6,FALSE))*fcl/IF(dol_sol="dólar", TC,1)</f>
        <v>387.35969470827672</v>
      </c>
      <c r="E1019" s="343">
        <f t="shared" si="163"/>
        <v>48.41996183853459</v>
      </c>
      <c r="F1019" s="508">
        <f t="shared" si="148"/>
        <v>435.78</v>
      </c>
      <c r="G1019" s="351" t="s">
        <v>4859</v>
      </c>
      <c r="H1019" s="506" t="s">
        <v>3075</v>
      </c>
      <c r="I1019" s="452" t="s">
        <v>11565</v>
      </c>
      <c r="J1019" s="369" t="s">
        <v>753</v>
      </c>
      <c r="K1019" s="452" t="s">
        <v>741</v>
      </c>
    </row>
    <row r="1020" spans="1:11" s="317" customFormat="1">
      <c r="A1020" s="369"/>
      <c r="B1020" s="351" t="s">
        <v>2899</v>
      </c>
      <c r="C1020" s="346">
        <v>1335</v>
      </c>
      <c r="D1020" s="345">
        <f t="shared" si="164"/>
        <v>410.0913500678426</v>
      </c>
      <c r="E1020" s="343">
        <f t="shared" si="163"/>
        <v>51.261418758480325</v>
      </c>
      <c r="F1020" s="508">
        <f t="shared" si="148"/>
        <v>461.36</v>
      </c>
      <c r="G1020" s="351" t="s">
        <v>4860</v>
      </c>
      <c r="H1020" s="506" t="s">
        <v>3076</v>
      </c>
      <c r="I1020" s="452" t="s">
        <v>11565</v>
      </c>
      <c r="J1020" s="369" t="s">
        <v>753</v>
      </c>
      <c r="K1020" s="452" t="s">
        <v>741</v>
      </c>
    </row>
    <row r="1021" spans="1:11">
      <c r="A1021" s="369"/>
      <c r="B1021" s="314"/>
      <c r="C1021" s="196" t="s">
        <v>2024</v>
      </c>
      <c r="D1021" s="230"/>
      <c r="E1021" s="215"/>
      <c r="F1021" s="511"/>
      <c r="G1021" s="314"/>
      <c r="H1021" s="518"/>
      <c r="I1021" s="452"/>
      <c r="J1021" s="369"/>
      <c r="K1021" s="452"/>
    </row>
    <row r="1022" spans="1:11" s="317" customFormat="1">
      <c r="A1022" s="369" t="s">
        <v>11159</v>
      </c>
      <c r="B1022" s="351" t="s">
        <v>11125</v>
      </c>
      <c r="C1022" s="346">
        <v>914</v>
      </c>
      <c r="D1022" s="345">
        <f>C1022*(1-VLOOKUP(I1022,descuentos,6,FALSE))*fcl/IF(dol_sol="dólar", TC,1)</f>
        <v>280.7666621438263</v>
      </c>
      <c r="E1022" s="343">
        <f>D1022/8</f>
        <v>35.095832767978287</v>
      </c>
      <c r="F1022" s="508">
        <f>ROUNDUP(D1022+E1022,2)</f>
        <v>315.87</v>
      </c>
      <c r="G1022" s="351" t="s">
        <v>11126</v>
      </c>
      <c r="H1022" s="506" t="s">
        <v>11127</v>
      </c>
      <c r="I1022" s="452" t="s">
        <v>11565</v>
      </c>
      <c r="J1022" s="369" t="s">
        <v>753</v>
      </c>
      <c r="K1022" s="452" t="s">
        <v>741</v>
      </c>
    </row>
    <row r="1023" spans="1:11" s="317" customFormat="1">
      <c r="A1023" s="369" t="s">
        <v>11159</v>
      </c>
      <c r="B1023" s="351" t="s">
        <v>11128</v>
      </c>
      <c r="C1023" s="346">
        <v>914</v>
      </c>
      <c r="D1023" s="345">
        <f>C1023*(1-VLOOKUP(I1023,descuentos,6,FALSE))*fcl/IF(dol_sol="dólar", TC,1)</f>
        <v>280.7666621438263</v>
      </c>
      <c r="E1023" s="343">
        <f>D1023/8</f>
        <v>35.095832767978287</v>
      </c>
      <c r="F1023" s="508">
        <f>ROUNDUP(D1023+E1023,2)</f>
        <v>315.87</v>
      </c>
      <c r="G1023" s="351" t="s">
        <v>11129</v>
      </c>
      <c r="H1023" s="506" t="s">
        <v>11130</v>
      </c>
      <c r="I1023" s="452" t="s">
        <v>11565</v>
      </c>
      <c r="J1023" s="369" t="s">
        <v>753</v>
      </c>
      <c r="K1023" s="452" t="s">
        <v>741</v>
      </c>
    </row>
    <row r="1024" spans="1:11" s="317" customFormat="1">
      <c r="A1024" s="369" t="s">
        <v>11159</v>
      </c>
      <c r="B1024" s="351" t="s">
        <v>6632</v>
      </c>
      <c r="C1024" s="346">
        <v>971</v>
      </c>
      <c r="D1024" s="345">
        <f>C1024*(1-VLOOKUP(I1024,descuentos,6,FALSE))*fcl/IF(dol_sol="dólar", TC,1)</f>
        <v>298.27618046132972</v>
      </c>
      <c r="E1024" s="343">
        <f>D1024/8</f>
        <v>37.284522557666214</v>
      </c>
      <c r="F1024" s="508">
        <f>ROUNDUP(D1024+E1024,2)</f>
        <v>335.57</v>
      </c>
      <c r="G1024" s="351" t="s">
        <v>11131</v>
      </c>
      <c r="H1024" s="506" t="s">
        <v>6633</v>
      </c>
      <c r="I1024" s="452" t="s">
        <v>11565</v>
      </c>
      <c r="J1024" s="369" t="s">
        <v>753</v>
      </c>
      <c r="K1024" s="452" t="s">
        <v>741</v>
      </c>
    </row>
    <row r="1025" spans="1:11" s="315" customFormat="1">
      <c r="A1025" s="369"/>
      <c r="B1025" s="314"/>
      <c r="C1025" s="196" t="s">
        <v>2024</v>
      </c>
      <c r="D1025" s="230"/>
      <c r="E1025" s="215"/>
      <c r="F1025" s="511"/>
      <c r="G1025" s="314"/>
      <c r="H1025" s="518"/>
      <c r="I1025" s="452"/>
      <c r="J1025" s="369"/>
      <c r="K1025" s="452"/>
    </row>
    <row r="1026" spans="1:11" s="315" customFormat="1">
      <c r="A1026" s="369"/>
      <c r="B1026" s="314"/>
      <c r="C1026" s="196" t="s">
        <v>2024</v>
      </c>
      <c r="D1026" s="230"/>
      <c r="E1026" s="215"/>
      <c r="F1026" s="511"/>
      <c r="G1026" s="314"/>
      <c r="H1026" s="518"/>
      <c r="I1026" s="452"/>
      <c r="J1026" s="369"/>
      <c r="K1026" s="452"/>
    </row>
    <row r="1027" spans="1:11">
      <c r="A1027" s="369"/>
      <c r="B1027" s="314"/>
      <c r="C1027" s="196" t="s">
        <v>2024</v>
      </c>
      <c r="D1027" s="230"/>
      <c r="E1027" s="215"/>
      <c r="F1027" s="511"/>
      <c r="G1027" s="314"/>
      <c r="H1027" s="518"/>
      <c r="I1027" s="452"/>
      <c r="J1027" s="369"/>
      <c r="K1027" s="452"/>
    </row>
    <row r="1028" spans="1:11" s="185" customFormat="1">
      <c r="A1028" s="369"/>
      <c r="B1028" s="314" t="s">
        <v>13216</v>
      </c>
      <c r="C1028" s="196">
        <v>1005</v>
      </c>
      <c r="D1028" s="230">
        <f>C1028*(1-VLOOKUP(I1028,descuentos,6,FALSE))*fcl/IF(dol_sol="dólar", TC,1)</f>
        <v>308.72045454545452</v>
      </c>
      <c r="E1028" s="215">
        <f>D1028/8</f>
        <v>38.590056818181814</v>
      </c>
      <c r="F1028" s="511">
        <f>ROUNDUP(D1028+E1028,2)</f>
        <v>347.32</v>
      </c>
      <c r="G1028" s="314" t="s">
        <v>13217</v>
      </c>
      <c r="H1028" s="518" t="s">
        <v>13218</v>
      </c>
      <c r="I1028" s="452" t="s">
        <v>11565</v>
      </c>
      <c r="J1028" s="369" t="s">
        <v>753</v>
      </c>
      <c r="K1028" s="452" t="s">
        <v>741</v>
      </c>
    </row>
    <row r="1029" spans="1:11" s="185" customFormat="1">
      <c r="A1029" s="369"/>
      <c r="B1029" s="314" t="s">
        <v>13219</v>
      </c>
      <c r="C1029" s="196">
        <v>1005</v>
      </c>
      <c r="D1029" s="230">
        <f>C1029*(1-VLOOKUP(I1029,descuentos,6,FALSE))*fcl/IF(dol_sol="dólar", TC,1)</f>
        <v>308.72045454545452</v>
      </c>
      <c r="E1029" s="215">
        <f>D1029/8</f>
        <v>38.590056818181814</v>
      </c>
      <c r="F1029" s="511">
        <f>ROUNDUP(D1029+E1029,2)</f>
        <v>347.32</v>
      </c>
      <c r="G1029" s="314" t="s">
        <v>13220</v>
      </c>
      <c r="H1029" s="518" t="s">
        <v>13221</v>
      </c>
      <c r="I1029" s="452" t="s">
        <v>11565</v>
      </c>
      <c r="J1029" s="369" t="s">
        <v>753</v>
      </c>
      <c r="K1029" s="452" t="s">
        <v>741</v>
      </c>
    </row>
    <row r="1030" spans="1:11" s="185" customFormat="1">
      <c r="A1030" s="369"/>
      <c r="B1030" s="314" t="s">
        <v>4861</v>
      </c>
      <c r="C1030" s="196">
        <v>1005</v>
      </c>
      <c r="D1030" s="230">
        <f>C1030*(1-VLOOKUP(I1030,descuentos,6,FALSE))*fcl/IF(dol_sol="dólar", TC,1)</f>
        <v>308.72045454545452</v>
      </c>
      <c r="E1030" s="215">
        <f>D1030/8</f>
        <v>38.590056818181814</v>
      </c>
      <c r="F1030" s="511">
        <f>ROUNDUP(D1030+E1030,2)</f>
        <v>347.32</v>
      </c>
      <c r="G1030" s="314" t="s">
        <v>4862</v>
      </c>
      <c r="H1030" s="518" t="s">
        <v>4863</v>
      </c>
      <c r="I1030" s="452" t="s">
        <v>11565</v>
      </c>
      <c r="J1030" s="369" t="s">
        <v>753</v>
      </c>
      <c r="K1030" s="452" t="s">
        <v>741</v>
      </c>
    </row>
    <row r="1031" spans="1:11" s="185" customFormat="1">
      <c r="A1031" s="369"/>
      <c r="B1031" s="314" t="s">
        <v>907</v>
      </c>
      <c r="C1031" s="196">
        <v>1005</v>
      </c>
      <c r="D1031" s="230">
        <f t="shared" si="164"/>
        <v>308.72045454545452</v>
      </c>
      <c r="E1031" s="215">
        <f t="shared" si="163"/>
        <v>38.590056818181814</v>
      </c>
      <c r="F1031" s="511">
        <f t="shared" si="148"/>
        <v>347.32</v>
      </c>
      <c r="G1031" s="314" t="s">
        <v>4496</v>
      </c>
      <c r="H1031" s="518" t="s">
        <v>899</v>
      </c>
      <c r="I1031" s="452" t="s">
        <v>11565</v>
      </c>
      <c r="J1031" s="369" t="s">
        <v>753</v>
      </c>
      <c r="K1031" s="452" t="s">
        <v>741</v>
      </c>
    </row>
    <row r="1032" spans="1:11" s="185" customFormat="1">
      <c r="A1032" s="369"/>
      <c r="B1032" s="314" t="s">
        <v>3320</v>
      </c>
      <c r="C1032" s="196">
        <v>1062</v>
      </c>
      <c r="D1032" s="230">
        <f>C1032*(1-VLOOKUP(I1032,descuentos,6,FALSE))*fcl/IF(dol_sol="dólar", TC,1)</f>
        <v>326.22997286295794</v>
      </c>
      <c r="E1032" s="215">
        <f t="shared" si="163"/>
        <v>40.778746607869742</v>
      </c>
      <c r="F1032" s="511">
        <f t="shared" si="148"/>
        <v>367.01</v>
      </c>
      <c r="G1032" s="314" t="s">
        <v>4497</v>
      </c>
      <c r="H1032" s="518" t="s">
        <v>3322</v>
      </c>
      <c r="I1032" s="452" t="s">
        <v>11565</v>
      </c>
      <c r="J1032" s="369" t="s">
        <v>753</v>
      </c>
      <c r="K1032" s="452" t="s">
        <v>741</v>
      </c>
    </row>
    <row r="1033" spans="1:11">
      <c r="A1033" s="369"/>
      <c r="B1033" s="314" t="s">
        <v>3321</v>
      </c>
      <c r="C1033" s="196">
        <v>1062</v>
      </c>
      <c r="D1033" s="230">
        <f t="shared" si="164"/>
        <v>326.22997286295794</v>
      </c>
      <c r="E1033" s="215">
        <f t="shared" si="163"/>
        <v>40.778746607869742</v>
      </c>
      <c r="F1033" s="511">
        <f t="shared" si="148"/>
        <v>367.01</v>
      </c>
      <c r="G1033" s="314" t="s">
        <v>4498</v>
      </c>
      <c r="H1033" s="518" t="s">
        <v>3323</v>
      </c>
      <c r="I1033" s="452" t="s">
        <v>11565</v>
      </c>
      <c r="J1033" s="369" t="s">
        <v>753</v>
      </c>
      <c r="K1033" s="452" t="s">
        <v>741</v>
      </c>
    </row>
    <row r="1034" spans="1:11">
      <c r="A1034" s="369"/>
      <c r="B1034" s="314" t="s">
        <v>3319</v>
      </c>
      <c r="C1034" s="196">
        <v>1119</v>
      </c>
      <c r="D1034" s="230">
        <f>C1034*(1-VLOOKUP(I1034,descuentos,6,FALSE))*fcl/IF(dol_sol="dólar", TC,1)</f>
        <v>343.73949118046136</v>
      </c>
      <c r="E1034" s="215">
        <f t="shared" si="163"/>
        <v>42.96743639755767</v>
      </c>
      <c r="F1034" s="511">
        <f t="shared" si="148"/>
        <v>386.71</v>
      </c>
      <c r="G1034" s="314" t="s">
        <v>4499</v>
      </c>
      <c r="H1034" s="518" t="s">
        <v>3324</v>
      </c>
      <c r="I1034" s="452" t="s">
        <v>11565</v>
      </c>
      <c r="J1034" s="369" t="s">
        <v>753</v>
      </c>
      <c r="K1034" s="452" t="s">
        <v>741</v>
      </c>
    </row>
    <row r="1035" spans="1:11">
      <c r="A1035" s="369"/>
      <c r="B1035" s="314" t="s">
        <v>890</v>
      </c>
      <c r="C1035" s="196">
        <v>1119</v>
      </c>
      <c r="D1035" s="230">
        <f t="shared" si="164"/>
        <v>343.73949118046136</v>
      </c>
      <c r="E1035" s="215">
        <f t="shared" si="163"/>
        <v>42.96743639755767</v>
      </c>
      <c r="F1035" s="511">
        <f t="shared" si="148"/>
        <v>386.71</v>
      </c>
      <c r="G1035" s="314" t="s">
        <v>4500</v>
      </c>
      <c r="H1035" s="518" t="s">
        <v>906</v>
      </c>
      <c r="I1035" s="452" t="s">
        <v>11565</v>
      </c>
      <c r="J1035" s="369" t="s">
        <v>753</v>
      </c>
      <c r="K1035" s="452" t="s">
        <v>741</v>
      </c>
    </row>
    <row r="1036" spans="1:11">
      <c r="A1036" s="369"/>
      <c r="B1036" s="314" t="s">
        <v>882</v>
      </c>
      <c r="C1036" s="196">
        <v>1119</v>
      </c>
      <c r="D1036" s="230">
        <f t="shared" si="164"/>
        <v>343.73949118046136</v>
      </c>
      <c r="E1036" s="215">
        <f t="shared" si="163"/>
        <v>42.96743639755767</v>
      </c>
      <c r="F1036" s="511">
        <f>ROUNDUP(D1036+E1036,2)</f>
        <v>386.71</v>
      </c>
      <c r="G1036" s="314" t="s">
        <v>4501</v>
      </c>
      <c r="H1036" s="518" t="s">
        <v>897</v>
      </c>
      <c r="I1036" s="452" t="s">
        <v>11565</v>
      </c>
      <c r="J1036" s="369" t="s">
        <v>753</v>
      </c>
      <c r="K1036" s="452" t="s">
        <v>741</v>
      </c>
    </row>
    <row r="1037" spans="1:11">
      <c r="A1037" s="369"/>
      <c r="B1037" s="314" t="s">
        <v>1352</v>
      </c>
      <c r="C1037" s="196">
        <v>1176</v>
      </c>
      <c r="D1037" s="230">
        <f t="shared" si="164"/>
        <v>361.24900949796466</v>
      </c>
      <c r="E1037" s="215">
        <f t="shared" si="163"/>
        <v>45.156126187245583</v>
      </c>
      <c r="F1037" s="511">
        <f>ROUNDUP(D1037+E1037,2)</f>
        <v>406.40999999999997</v>
      </c>
      <c r="G1037" s="314" t="s">
        <v>4502</v>
      </c>
      <c r="H1037" s="518" t="s">
        <v>1351</v>
      </c>
      <c r="I1037" s="452" t="s">
        <v>11565</v>
      </c>
      <c r="J1037" s="369" t="s">
        <v>753</v>
      </c>
      <c r="K1037" s="452" t="s">
        <v>741</v>
      </c>
    </row>
    <row r="1038" spans="1:11" s="317" customFormat="1">
      <c r="A1038" s="369"/>
      <c r="B1038" s="314" t="s">
        <v>883</v>
      </c>
      <c r="C1038" s="196">
        <v>1176</v>
      </c>
      <c r="D1038" s="230">
        <f t="shared" si="164"/>
        <v>361.24900949796466</v>
      </c>
      <c r="E1038" s="215">
        <f t="shared" si="163"/>
        <v>45.156126187245583</v>
      </c>
      <c r="F1038" s="511">
        <f>ROUNDUP(D1038+E1038,2)</f>
        <v>406.40999999999997</v>
      </c>
      <c r="G1038" s="314" t="s">
        <v>4503</v>
      </c>
      <c r="H1038" s="518" t="s">
        <v>898</v>
      </c>
      <c r="I1038" s="452" t="s">
        <v>11565</v>
      </c>
      <c r="J1038" s="369" t="s">
        <v>753</v>
      </c>
      <c r="K1038" s="452" t="s">
        <v>741</v>
      </c>
    </row>
    <row r="1039" spans="1:11" s="317" customFormat="1">
      <c r="A1039" s="369"/>
      <c r="B1039" s="314"/>
      <c r="C1039" s="196" t="s">
        <v>2024</v>
      </c>
      <c r="D1039" s="230"/>
      <c r="E1039" s="215"/>
      <c r="F1039" s="511"/>
      <c r="G1039" s="314"/>
      <c r="H1039" s="518"/>
      <c r="I1039" s="452"/>
      <c r="J1039" s="369"/>
      <c r="K1039" s="452"/>
    </row>
    <row r="1040" spans="1:11" s="185" customFormat="1">
      <c r="A1040" s="369"/>
      <c r="B1040" s="351" t="s">
        <v>4864</v>
      </c>
      <c r="C1040" s="346">
        <v>1306</v>
      </c>
      <c r="D1040" s="345">
        <f t="shared" ref="D1040:D1045" si="165">C1040*(1-VLOOKUP(I1040,descuentos,6,FALSE))*fcl/IF(dol_sol="dólar", TC,1)</f>
        <v>401.18299864314787</v>
      </c>
      <c r="E1040" s="343">
        <f t="shared" ref="E1040:E1045" si="166">D1040/8</f>
        <v>50.147874830393484</v>
      </c>
      <c r="F1040" s="508">
        <f t="shared" ref="F1040:F1045" si="167">ROUNDUP(D1040+E1040,2)</f>
        <v>451.34</v>
      </c>
      <c r="G1040" s="351" t="s">
        <v>4865</v>
      </c>
      <c r="H1040" s="506" t="s">
        <v>4866</v>
      </c>
      <c r="I1040" s="452" t="s">
        <v>11565</v>
      </c>
      <c r="J1040" s="369" t="s">
        <v>753</v>
      </c>
      <c r="K1040" s="452" t="s">
        <v>741</v>
      </c>
    </row>
    <row r="1041" spans="1:11" s="185" customFormat="1">
      <c r="A1041" s="369"/>
      <c r="B1041" s="351" t="s">
        <v>4867</v>
      </c>
      <c r="C1041" s="346">
        <v>1306</v>
      </c>
      <c r="D1041" s="345">
        <f t="shared" si="165"/>
        <v>401.18299864314787</v>
      </c>
      <c r="E1041" s="343">
        <f t="shared" si="166"/>
        <v>50.147874830393484</v>
      </c>
      <c r="F1041" s="508">
        <f t="shared" si="167"/>
        <v>451.34</v>
      </c>
      <c r="G1041" s="351" t="s">
        <v>4868</v>
      </c>
      <c r="H1041" s="506" t="s">
        <v>4869</v>
      </c>
      <c r="I1041" s="452" t="s">
        <v>11565</v>
      </c>
      <c r="J1041" s="369" t="s">
        <v>753</v>
      </c>
      <c r="K1041" s="452" t="s">
        <v>741</v>
      </c>
    </row>
    <row r="1042" spans="1:11" s="185" customFormat="1">
      <c r="A1042" s="369"/>
      <c r="B1042" s="351" t="s">
        <v>4870</v>
      </c>
      <c r="C1042" s="346">
        <v>1381</v>
      </c>
      <c r="D1042" s="345">
        <f t="shared" si="165"/>
        <v>424.22183853459967</v>
      </c>
      <c r="E1042" s="343">
        <f t="shared" si="166"/>
        <v>53.027729816824959</v>
      </c>
      <c r="F1042" s="508">
        <f t="shared" si="167"/>
        <v>477.25</v>
      </c>
      <c r="G1042" s="351" t="s">
        <v>4871</v>
      </c>
      <c r="H1042" s="506" t="s">
        <v>4872</v>
      </c>
      <c r="I1042" s="452" t="s">
        <v>11565</v>
      </c>
      <c r="J1042" s="369" t="s">
        <v>753</v>
      </c>
      <c r="K1042" s="452" t="s">
        <v>741</v>
      </c>
    </row>
    <row r="1043" spans="1:11">
      <c r="A1043" s="369"/>
      <c r="B1043" s="351" t="s">
        <v>4873</v>
      </c>
      <c r="C1043" s="346">
        <v>1381</v>
      </c>
      <c r="D1043" s="345">
        <f t="shared" si="165"/>
        <v>424.22183853459967</v>
      </c>
      <c r="E1043" s="343">
        <f t="shared" si="166"/>
        <v>53.027729816824959</v>
      </c>
      <c r="F1043" s="508">
        <f t="shared" si="167"/>
        <v>477.25</v>
      </c>
      <c r="G1043" s="351" t="s">
        <v>4874</v>
      </c>
      <c r="H1043" s="506" t="s">
        <v>4875</v>
      </c>
      <c r="I1043" s="452" t="s">
        <v>11565</v>
      </c>
      <c r="J1043" s="369" t="s">
        <v>753</v>
      </c>
      <c r="K1043" s="452" t="s">
        <v>741</v>
      </c>
    </row>
    <row r="1044" spans="1:11">
      <c r="A1044" s="369"/>
      <c r="B1044" s="351" t="s">
        <v>4876</v>
      </c>
      <c r="C1044" s="346">
        <v>1454</v>
      </c>
      <c r="D1044" s="345">
        <f t="shared" si="165"/>
        <v>446.64630936227945</v>
      </c>
      <c r="E1044" s="343">
        <f t="shared" si="166"/>
        <v>55.830788670284932</v>
      </c>
      <c r="F1044" s="508">
        <f t="shared" si="167"/>
        <v>502.48</v>
      </c>
      <c r="G1044" s="351" t="s">
        <v>4877</v>
      </c>
      <c r="H1044" s="506" t="s">
        <v>4878</v>
      </c>
      <c r="I1044" s="452" t="s">
        <v>11565</v>
      </c>
      <c r="J1044" s="369" t="s">
        <v>753</v>
      </c>
      <c r="K1044" s="452" t="s">
        <v>741</v>
      </c>
    </row>
    <row r="1045" spans="1:11">
      <c r="A1045" s="369"/>
      <c r="B1045" s="351" t="s">
        <v>4879</v>
      </c>
      <c r="C1045" s="346">
        <v>1454</v>
      </c>
      <c r="D1045" s="345">
        <f t="shared" si="165"/>
        <v>446.64630936227945</v>
      </c>
      <c r="E1045" s="343">
        <f t="shared" si="166"/>
        <v>55.830788670284932</v>
      </c>
      <c r="F1045" s="508">
        <f t="shared" si="167"/>
        <v>502.48</v>
      </c>
      <c r="G1045" s="351" t="s">
        <v>4880</v>
      </c>
      <c r="H1045" s="506" t="s">
        <v>4881</v>
      </c>
      <c r="I1045" s="452" t="s">
        <v>11565</v>
      </c>
      <c r="J1045" s="369" t="s">
        <v>753</v>
      </c>
      <c r="K1045" s="452" t="s">
        <v>741</v>
      </c>
    </row>
    <row r="1046" spans="1:11">
      <c r="A1046" s="369"/>
      <c r="B1046" s="351" t="s">
        <v>2223</v>
      </c>
      <c r="C1046" s="346">
        <v>1454</v>
      </c>
      <c r="D1046" s="345">
        <f>C1046*(1-VLOOKUP(I1046,descuentos,6,FALSE))*fcl/IF(dol_sol="dólar", TC,1)</f>
        <v>446.64630936227945</v>
      </c>
      <c r="E1046" s="343">
        <f>D1046/8</f>
        <v>55.830788670284932</v>
      </c>
      <c r="F1046" s="508">
        <f>ROUNDUP(D1046+E1046,2)</f>
        <v>502.48</v>
      </c>
      <c r="G1046" s="351" t="s">
        <v>4882</v>
      </c>
      <c r="H1046" s="506" t="s">
        <v>2224</v>
      </c>
      <c r="I1046" s="452" t="s">
        <v>11565</v>
      </c>
      <c r="J1046" s="369" t="s">
        <v>753</v>
      </c>
      <c r="K1046" s="452" t="s">
        <v>741</v>
      </c>
    </row>
    <row r="1047" spans="1:11">
      <c r="A1047" s="369"/>
      <c r="B1047" s="351" t="s">
        <v>4883</v>
      </c>
      <c r="C1047" s="346">
        <v>1529</v>
      </c>
      <c r="D1047" s="345">
        <f>C1047*(1-VLOOKUP(I1047,descuentos,6,FALSE))*fcl/IF(dol_sol="dólar", TC,1)</f>
        <v>469.68514925373131</v>
      </c>
      <c r="E1047" s="343">
        <f>D1047/8</f>
        <v>58.710643656716414</v>
      </c>
      <c r="F1047" s="508">
        <f>ROUNDUP(D1047+E1047,2)</f>
        <v>528.4</v>
      </c>
      <c r="G1047" s="351" t="s">
        <v>4884</v>
      </c>
      <c r="H1047" s="506" t="s">
        <v>4885</v>
      </c>
      <c r="I1047" s="452" t="s">
        <v>11565</v>
      </c>
      <c r="J1047" s="369" t="s">
        <v>753</v>
      </c>
      <c r="K1047" s="452" t="s">
        <v>741</v>
      </c>
    </row>
    <row r="1048" spans="1:11">
      <c r="A1048" s="369"/>
      <c r="B1048" s="351" t="s">
        <v>2225</v>
      </c>
      <c r="C1048" s="346">
        <v>1529</v>
      </c>
      <c r="D1048" s="345">
        <f>C1048*(1-VLOOKUP(I1048,descuentos,6,FALSE))*fcl/IF(dol_sol="dólar", TC,1)</f>
        <v>469.68514925373131</v>
      </c>
      <c r="E1048" s="343">
        <f t="shared" si="163"/>
        <v>58.710643656716414</v>
      </c>
      <c r="F1048" s="508">
        <f>ROUNDUP(D1048+E1048,2)</f>
        <v>528.4</v>
      </c>
      <c r="G1048" s="351" t="s">
        <v>4886</v>
      </c>
      <c r="H1048" s="506" t="s">
        <v>2226</v>
      </c>
      <c r="I1048" s="452" t="s">
        <v>11565</v>
      </c>
      <c r="J1048" s="369" t="s">
        <v>753</v>
      </c>
      <c r="K1048" s="452" t="s">
        <v>741</v>
      </c>
    </row>
    <row r="1049" spans="1:11">
      <c r="A1049" s="369"/>
      <c r="B1049" s="314"/>
      <c r="C1049" s="196" t="s">
        <v>2024</v>
      </c>
      <c r="D1049" s="230"/>
      <c r="E1049" s="215"/>
      <c r="F1049" s="511"/>
      <c r="G1049" s="314"/>
      <c r="H1049" s="518"/>
      <c r="I1049" s="452"/>
      <c r="J1049" s="369"/>
      <c r="K1049" s="452"/>
    </row>
    <row r="1050" spans="1:11">
      <c r="A1050" s="369"/>
      <c r="B1050" s="314"/>
      <c r="C1050" s="196" t="s">
        <v>2024</v>
      </c>
      <c r="D1050" s="230"/>
      <c r="E1050" s="215"/>
      <c r="F1050" s="511"/>
      <c r="G1050" s="314"/>
      <c r="H1050" s="518"/>
      <c r="I1050" s="452"/>
      <c r="J1050" s="369"/>
      <c r="K1050" s="452"/>
    </row>
    <row r="1051" spans="1:11">
      <c r="A1051" s="369"/>
      <c r="B1051" s="314" t="s">
        <v>9106</v>
      </c>
      <c r="C1051" s="196">
        <v>1255</v>
      </c>
      <c r="D1051" s="230">
        <f>C1051*(1-VLOOKUP(I1051,descuentos,6,FALSE))*fcl/IF(dol_sol="dólar", TC,1)</f>
        <v>385.51658751696056</v>
      </c>
      <c r="E1051" s="215">
        <f>D1051/8</f>
        <v>48.189573439620069</v>
      </c>
      <c r="F1051" s="511">
        <f t="shared" ref="F1051:F1058" si="168">ROUNDUP(D1051+E1051,2)</f>
        <v>433.71</v>
      </c>
      <c r="G1051" s="314" t="s">
        <v>9107</v>
      </c>
      <c r="H1051" s="518" t="s">
        <v>9108</v>
      </c>
      <c r="I1051" s="452" t="s">
        <v>11565</v>
      </c>
      <c r="J1051" s="369" t="s">
        <v>753</v>
      </c>
      <c r="K1051" s="452" t="s">
        <v>741</v>
      </c>
    </row>
    <row r="1052" spans="1:11">
      <c r="A1052" s="369"/>
      <c r="B1052" s="314" t="s">
        <v>9109</v>
      </c>
      <c r="C1052" s="196">
        <v>1312</v>
      </c>
      <c r="D1052" s="230">
        <f>C1052*(1-VLOOKUP(I1052,descuentos,6,FALSE))*fcl/IF(dol_sol="dólar", TC,1)</f>
        <v>403.02610583446398</v>
      </c>
      <c r="E1052" s="215">
        <f>D1052/8</f>
        <v>50.378263229307997</v>
      </c>
      <c r="F1052" s="511">
        <f t="shared" si="168"/>
        <v>453.40999999999997</v>
      </c>
      <c r="G1052" s="314" t="s">
        <v>9110</v>
      </c>
      <c r="H1052" s="518" t="s">
        <v>9111</v>
      </c>
      <c r="I1052" s="452" t="s">
        <v>11565</v>
      </c>
      <c r="J1052" s="369" t="s">
        <v>753</v>
      </c>
      <c r="K1052" s="452" t="s">
        <v>741</v>
      </c>
    </row>
    <row r="1053" spans="1:11">
      <c r="A1053" s="369"/>
      <c r="B1053" s="314" t="s">
        <v>5362</v>
      </c>
      <c r="C1053" s="196">
        <v>1312</v>
      </c>
      <c r="D1053" s="230">
        <f t="shared" ref="D1053:D1058" si="169">C1053*(1-VLOOKUP(I1053,descuentos,6,FALSE))*fcl/IF(dol_sol="dólar", TC,1)</f>
        <v>403.02610583446398</v>
      </c>
      <c r="E1053" s="215">
        <f t="shared" ref="E1053:E1058" si="170">D1053/8</f>
        <v>50.378263229307997</v>
      </c>
      <c r="F1053" s="511">
        <f t="shared" si="168"/>
        <v>453.40999999999997</v>
      </c>
      <c r="G1053" s="314" t="s">
        <v>5363</v>
      </c>
      <c r="H1053" s="518" t="s">
        <v>5364</v>
      </c>
      <c r="I1053" s="452" t="s">
        <v>11565</v>
      </c>
      <c r="J1053" s="369" t="s">
        <v>753</v>
      </c>
      <c r="K1053" s="452" t="s">
        <v>741</v>
      </c>
    </row>
    <row r="1054" spans="1:11">
      <c r="A1054" s="369"/>
      <c r="B1054" s="314" t="s">
        <v>6634</v>
      </c>
      <c r="C1054" s="196">
        <v>1370</v>
      </c>
      <c r="D1054" s="230">
        <f t="shared" si="169"/>
        <v>420.84280868385343</v>
      </c>
      <c r="E1054" s="215">
        <f t="shared" si="170"/>
        <v>52.605351085481679</v>
      </c>
      <c r="F1054" s="511">
        <f t="shared" si="168"/>
        <v>473.45</v>
      </c>
      <c r="G1054" s="314" t="s">
        <v>6635</v>
      </c>
      <c r="H1054" s="518" t="s">
        <v>6636</v>
      </c>
      <c r="I1054" s="452" t="s">
        <v>11565</v>
      </c>
      <c r="J1054" s="369" t="s">
        <v>753</v>
      </c>
      <c r="K1054" s="452" t="s">
        <v>741</v>
      </c>
    </row>
    <row r="1055" spans="1:11">
      <c r="A1055" s="369"/>
      <c r="B1055" s="314" t="s">
        <v>6637</v>
      </c>
      <c r="C1055" s="196">
        <v>1370</v>
      </c>
      <c r="D1055" s="230">
        <f t="shared" si="169"/>
        <v>420.84280868385343</v>
      </c>
      <c r="E1055" s="215">
        <f t="shared" si="170"/>
        <v>52.605351085481679</v>
      </c>
      <c r="F1055" s="511">
        <f t="shared" si="168"/>
        <v>473.45</v>
      </c>
      <c r="G1055" s="314" t="s">
        <v>6638</v>
      </c>
      <c r="H1055" s="518" t="s">
        <v>6639</v>
      </c>
      <c r="I1055" s="452" t="s">
        <v>11565</v>
      </c>
      <c r="J1055" s="369" t="s">
        <v>753</v>
      </c>
      <c r="K1055" s="452" t="s">
        <v>741</v>
      </c>
    </row>
    <row r="1056" spans="1:11">
      <c r="A1056" s="369"/>
      <c r="B1056" s="314" t="s">
        <v>1353</v>
      </c>
      <c r="C1056" s="196">
        <v>1561</v>
      </c>
      <c r="D1056" s="230">
        <f t="shared" si="169"/>
        <v>479.51505427408409</v>
      </c>
      <c r="E1056" s="215">
        <f t="shared" si="170"/>
        <v>59.939381784260512</v>
      </c>
      <c r="F1056" s="511">
        <f t="shared" si="168"/>
        <v>539.46</v>
      </c>
      <c r="G1056" s="314" t="s">
        <v>4504</v>
      </c>
      <c r="H1056" s="518" t="s">
        <v>1356</v>
      </c>
      <c r="I1056" s="452" t="s">
        <v>11565</v>
      </c>
      <c r="J1056" s="369" t="s">
        <v>753</v>
      </c>
      <c r="K1056" s="452" t="s">
        <v>741</v>
      </c>
    </row>
    <row r="1057" spans="1:11">
      <c r="A1057" s="369"/>
      <c r="B1057" s="314" t="s">
        <v>1354</v>
      </c>
      <c r="C1057" s="196">
        <v>1588</v>
      </c>
      <c r="D1057" s="230">
        <f t="shared" si="169"/>
        <v>487.80903663500669</v>
      </c>
      <c r="E1057" s="215">
        <f t="shared" si="170"/>
        <v>60.976129579375836</v>
      </c>
      <c r="F1057" s="511">
        <f t="shared" si="168"/>
        <v>548.79</v>
      </c>
      <c r="G1057" s="314" t="s">
        <v>4505</v>
      </c>
      <c r="H1057" s="518" t="s">
        <v>1357</v>
      </c>
      <c r="I1057" s="452" t="s">
        <v>11565</v>
      </c>
      <c r="J1057" s="369" t="s">
        <v>753</v>
      </c>
      <c r="K1057" s="452" t="s">
        <v>741</v>
      </c>
    </row>
    <row r="1058" spans="1:11">
      <c r="A1058" s="369"/>
      <c r="B1058" s="314" t="s">
        <v>1355</v>
      </c>
      <c r="C1058" s="196">
        <v>1588</v>
      </c>
      <c r="D1058" s="230">
        <f t="shared" si="169"/>
        <v>487.80903663500669</v>
      </c>
      <c r="E1058" s="215">
        <f t="shared" si="170"/>
        <v>60.976129579375836</v>
      </c>
      <c r="F1058" s="511">
        <f t="shared" si="168"/>
        <v>548.79</v>
      </c>
      <c r="G1058" s="314" t="s">
        <v>4506</v>
      </c>
      <c r="H1058" s="518" t="s">
        <v>1358</v>
      </c>
      <c r="I1058" s="452" t="s">
        <v>11565</v>
      </c>
      <c r="J1058" s="369" t="s">
        <v>753</v>
      </c>
      <c r="K1058" s="452" t="s">
        <v>741</v>
      </c>
    </row>
    <row r="1059" spans="1:11" s="317" customFormat="1">
      <c r="A1059" s="369"/>
      <c r="B1059" s="314"/>
      <c r="C1059" s="196" t="s">
        <v>2024</v>
      </c>
      <c r="D1059" s="230"/>
      <c r="E1059" s="215"/>
      <c r="F1059" s="511"/>
      <c r="G1059" s="314"/>
      <c r="H1059" s="518"/>
      <c r="I1059" s="452"/>
      <c r="J1059" s="369"/>
      <c r="K1059" s="452"/>
    </row>
    <row r="1060" spans="1:11">
      <c r="A1060" s="369"/>
      <c r="B1060" s="351" t="s">
        <v>6640</v>
      </c>
      <c r="C1060" s="346">
        <v>1779</v>
      </c>
      <c r="D1060" s="345">
        <f>C1060*(1-VLOOKUP(I1060,descuentos,6,FALSE))*fcl/IF(dol_sol="dólar", TC,1)</f>
        <v>546.48128222523735</v>
      </c>
      <c r="E1060" s="343">
        <f>D1060/8</f>
        <v>68.310160278154669</v>
      </c>
      <c r="F1060" s="508">
        <f>ROUNDUP(D1060+E1060,2)</f>
        <v>614.79999999999995</v>
      </c>
      <c r="G1060" s="351" t="s">
        <v>6641</v>
      </c>
      <c r="H1060" s="506" t="s">
        <v>6642</v>
      </c>
      <c r="I1060" s="452" t="s">
        <v>11565</v>
      </c>
      <c r="J1060" s="369" t="s">
        <v>753</v>
      </c>
      <c r="K1060" s="452" t="s">
        <v>741</v>
      </c>
    </row>
    <row r="1061" spans="1:11">
      <c r="A1061" s="369"/>
      <c r="B1061" s="351" t="s">
        <v>6643</v>
      </c>
      <c r="C1061" s="346">
        <v>1854</v>
      </c>
      <c r="D1061" s="345">
        <f>C1061*(1-VLOOKUP(I1061,descuentos,6,FALSE))*fcl/IF(dol_sol="dólar", TC,1)</f>
        <v>569.52012211668921</v>
      </c>
      <c r="E1061" s="343">
        <f>D1061/8</f>
        <v>71.190015264586151</v>
      </c>
      <c r="F1061" s="508">
        <f>ROUNDUP(D1061+E1061,2)</f>
        <v>640.72</v>
      </c>
      <c r="G1061" s="351" t="s">
        <v>6644</v>
      </c>
      <c r="H1061" s="506" t="s">
        <v>6645</v>
      </c>
      <c r="I1061" s="452" t="s">
        <v>11565</v>
      </c>
      <c r="J1061" s="369" t="s">
        <v>753</v>
      </c>
      <c r="K1061" s="452" t="s">
        <v>741</v>
      </c>
    </row>
    <row r="1062" spans="1:11">
      <c r="A1062" s="369"/>
      <c r="B1062" s="351"/>
      <c r="C1062" s="346" t="s">
        <v>2024</v>
      </c>
      <c r="D1062" s="345"/>
      <c r="E1062" s="343"/>
      <c r="F1062" s="508"/>
      <c r="G1062" s="351"/>
      <c r="H1062" s="506"/>
      <c r="I1062" s="452"/>
      <c r="J1062" s="369"/>
      <c r="K1062" s="452"/>
    </row>
    <row r="1063" spans="1:11">
      <c r="A1063" s="1822"/>
      <c r="B1063" s="314" t="s">
        <v>12183</v>
      </c>
      <c r="C1063" s="196">
        <v>1621</v>
      </c>
      <c r="D1063" s="230">
        <f t="shared" ref="D1063:D1065" si="171">C1063*(1-VLOOKUP(I1063,descuentos,6,FALSE))*fcl/IF(dol_sol="dólar", TC,1)</f>
        <v>497.94612618724557</v>
      </c>
      <c r="E1063" s="215">
        <f t="shared" ref="E1063:E1065" si="172">D1063/8</f>
        <v>62.243265773405696</v>
      </c>
      <c r="F1063" s="511">
        <f t="shared" ref="F1063:F1065" si="173">ROUNDUP(D1063+E1063,2)</f>
        <v>560.18999999999994</v>
      </c>
      <c r="G1063" s="314" t="s">
        <v>12184</v>
      </c>
      <c r="H1063" s="518" t="s">
        <v>12185</v>
      </c>
      <c r="I1063" s="452" t="s">
        <v>11565</v>
      </c>
      <c r="J1063" s="369" t="s">
        <v>753</v>
      </c>
      <c r="K1063" s="452" t="s">
        <v>741</v>
      </c>
    </row>
    <row r="1064" spans="1:11">
      <c r="A1064" s="1822"/>
      <c r="B1064" s="314" t="s">
        <v>12186</v>
      </c>
      <c r="C1064" s="196">
        <v>1677</v>
      </c>
      <c r="D1064" s="230">
        <f t="shared" si="171"/>
        <v>515.14845997286295</v>
      </c>
      <c r="E1064" s="215">
        <f t="shared" si="172"/>
        <v>64.393557496607869</v>
      </c>
      <c r="F1064" s="511">
        <f t="shared" si="173"/>
        <v>579.54999999999995</v>
      </c>
      <c r="G1064" s="314" t="s">
        <v>12187</v>
      </c>
      <c r="H1064" s="518" t="s">
        <v>12188</v>
      </c>
      <c r="I1064" s="452" t="s">
        <v>11565</v>
      </c>
      <c r="J1064" s="369" t="s">
        <v>753</v>
      </c>
      <c r="K1064" s="452" t="s">
        <v>741</v>
      </c>
    </row>
    <row r="1065" spans="1:11">
      <c r="A1065" s="1822"/>
      <c r="B1065" s="314" t="s">
        <v>12189</v>
      </c>
      <c r="C1065" s="196">
        <v>1677</v>
      </c>
      <c r="D1065" s="230">
        <f t="shared" si="171"/>
        <v>515.14845997286295</v>
      </c>
      <c r="E1065" s="215">
        <f t="shared" si="172"/>
        <v>64.393557496607869</v>
      </c>
      <c r="F1065" s="511">
        <f t="shared" si="173"/>
        <v>579.54999999999995</v>
      </c>
      <c r="G1065" s="314" t="s">
        <v>12190</v>
      </c>
      <c r="H1065" s="518" t="s">
        <v>12191</v>
      </c>
      <c r="I1065" s="452" t="s">
        <v>11565</v>
      </c>
      <c r="J1065" s="369" t="s">
        <v>753</v>
      </c>
      <c r="K1065" s="452" t="s">
        <v>741</v>
      </c>
    </row>
    <row r="1066" spans="1:11" s="317" customFormat="1">
      <c r="A1066" s="369"/>
      <c r="B1066" s="314"/>
      <c r="C1066" s="196" t="s">
        <v>2024</v>
      </c>
      <c r="D1066" s="230"/>
      <c r="E1066" s="215"/>
      <c r="F1066" s="511"/>
      <c r="G1066" s="314"/>
      <c r="H1066" s="518"/>
      <c r="I1066" s="452"/>
      <c r="J1066" s="369"/>
      <c r="K1066" s="452"/>
    </row>
    <row r="1067" spans="1:11">
      <c r="A1067" s="369"/>
      <c r="B1067" s="351"/>
      <c r="C1067" s="346" t="s">
        <v>2024</v>
      </c>
      <c r="D1067" s="345"/>
      <c r="E1067" s="343"/>
      <c r="F1067" s="508"/>
      <c r="G1067" s="351"/>
      <c r="H1067" s="506"/>
      <c r="I1067" s="452"/>
      <c r="J1067" s="369"/>
      <c r="K1067" s="452"/>
    </row>
    <row r="1068" spans="1:11" s="317" customFormat="1" ht="35.25" customHeight="1">
      <c r="A1068" s="369"/>
      <c r="B1068" s="1468" t="s">
        <v>6646</v>
      </c>
      <c r="C1068" s="196" t="s">
        <v>2024</v>
      </c>
      <c r="D1068" s="230"/>
      <c r="E1068" s="215"/>
      <c r="F1068" s="511"/>
      <c r="G1068" s="314"/>
      <c r="H1068" s="518"/>
      <c r="I1068" s="452"/>
      <c r="J1068" s="369"/>
      <c r="K1068" s="452"/>
    </row>
    <row r="1069" spans="1:11" s="317" customFormat="1">
      <c r="A1069" s="1467"/>
      <c r="B1069" s="351" t="s">
        <v>6647</v>
      </c>
      <c r="C1069" s="346">
        <v>3678</v>
      </c>
      <c r="D1069" s="345">
        <f t="shared" ref="D1069:D1078" si="174">C1069*(1-VLOOKUP(I1069,descuentos,6,FALSE))*fcl/IF(dol_sol="dólar", TC,1)</f>
        <v>1129.8247082767978</v>
      </c>
      <c r="E1069" s="343">
        <f t="shared" ref="E1069:E1077" si="175">D1069/8</f>
        <v>141.22808853459972</v>
      </c>
      <c r="F1069" s="508">
        <f t="shared" ref="F1069:F1078" si="176">ROUNDUP(D1069+E1069,2)</f>
        <v>1271.06</v>
      </c>
      <c r="G1069" s="351" t="s">
        <v>6648</v>
      </c>
      <c r="H1069" s="518" t="s">
        <v>6649</v>
      </c>
      <c r="I1069" s="452" t="s">
        <v>11565</v>
      </c>
      <c r="J1069" s="369" t="s">
        <v>753</v>
      </c>
      <c r="K1069" s="452" t="s">
        <v>741</v>
      </c>
    </row>
    <row r="1070" spans="1:11" s="317" customFormat="1">
      <c r="A1070" s="1467"/>
      <c r="B1070" s="1592" t="s">
        <v>9813</v>
      </c>
      <c r="C1070" s="346">
        <v>3391</v>
      </c>
      <c r="D1070" s="345">
        <f t="shared" ref="D1070" si="177">C1070*(1-VLOOKUP(I1070,descuentos,6,FALSE))*fcl/IF(dol_sol="dólar", TC,1)</f>
        <v>1041.6627476255087</v>
      </c>
      <c r="E1070" s="343">
        <f t="shared" si="175"/>
        <v>130.20784345318859</v>
      </c>
      <c r="F1070" s="508">
        <f t="shared" si="176"/>
        <v>1171.8799999999999</v>
      </c>
      <c r="G1070" s="351" t="s">
        <v>9814</v>
      </c>
      <c r="H1070" s="518" t="s">
        <v>9482</v>
      </c>
      <c r="I1070" s="452" t="s">
        <v>11565</v>
      </c>
      <c r="J1070" s="369" t="s">
        <v>753</v>
      </c>
      <c r="K1070" s="452" t="s">
        <v>741</v>
      </c>
    </row>
    <row r="1071" spans="1:11" s="317" customFormat="1">
      <c r="A1071" s="1467"/>
      <c r="B1071" s="1592" t="s">
        <v>9480</v>
      </c>
      <c r="C1071" s="346">
        <v>3391</v>
      </c>
      <c r="D1071" s="345">
        <f t="shared" si="174"/>
        <v>1041.6627476255087</v>
      </c>
      <c r="E1071" s="343">
        <f t="shared" si="175"/>
        <v>130.20784345318859</v>
      </c>
      <c r="F1071" s="508">
        <f t="shared" si="176"/>
        <v>1171.8799999999999</v>
      </c>
      <c r="G1071" s="351" t="s">
        <v>9481</v>
      </c>
      <c r="H1071" s="518" t="s">
        <v>9482</v>
      </c>
      <c r="I1071" s="452" t="s">
        <v>11565</v>
      </c>
      <c r="J1071" s="369" t="s">
        <v>753</v>
      </c>
      <c r="K1071" s="452" t="s">
        <v>741</v>
      </c>
    </row>
    <row r="1072" spans="1:11" s="317" customFormat="1">
      <c r="A1072" s="1467"/>
      <c r="B1072" s="1592" t="s">
        <v>9483</v>
      </c>
      <c r="C1072" s="346">
        <v>3066</v>
      </c>
      <c r="D1072" s="345">
        <f t="shared" ref="D1072" si="178">C1072*(1-VLOOKUP(I1072,descuentos,6,FALSE))*fcl/IF(dol_sol="dólar", TC,1)</f>
        <v>941.8277747625508</v>
      </c>
      <c r="E1072" s="343">
        <f t="shared" si="175"/>
        <v>117.72847184531885</v>
      </c>
      <c r="F1072" s="508">
        <f t="shared" si="176"/>
        <v>1059.56</v>
      </c>
      <c r="G1072" s="351" t="s">
        <v>9484</v>
      </c>
      <c r="H1072" s="518" t="s">
        <v>9485</v>
      </c>
      <c r="I1072" s="452" t="s">
        <v>11565</v>
      </c>
      <c r="J1072" s="369" t="s">
        <v>753</v>
      </c>
      <c r="K1072" s="452" t="s">
        <v>741</v>
      </c>
    </row>
    <row r="1073" spans="1:11" s="317" customFormat="1">
      <c r="A1073" s="1467"/>
      <c r="B1073" s="351" t="s">
        <v>6650</v>
      </c>
      <c r="C1073" s="346">
        <v>1084</v>
      </c>
      <c r="D1073" s="345">
        <f t="shared" si="174"/>
        <v>332.98803256445046</v>
      </c>
      <c r="E1073" s="343">
        <f t="shared" si="175"/>
        <v>41.623504070556308</v>
      </c>
      <c r="F1073" s="508">
        <f t="shared" si="176"/>
        <v>374.62</v>
      </c>
      <c r="G1073" s="351" t="s">
        <v>6651</v>
      </c>
      <c r="H1073" s="518" t="s">
        <v>6652</v>
      </c>
      <c r="I1073" s="452" t="s">
        <v>11565</v>
      </c>
      <c r="J1073" s="369" t="s">
        <v>753</v>
      </c>
      <c r="K1073" s="452" t="s">
        <v>741</v>
      </c>
    </row>
    <row r="1074" spans="1:11" s="317" customFormat="1">
      <c r="A1074" s="1467"/>
      <c r="B1074" s="351" t="s">
        <v>6653</v>
      </c>
      <c r="C1074" s="346">
        <v>349</v>
      </c>
      <c r="D1074" s="345">
        <f t="shared" si="174"/>
        <v>107.20740162822253</v>
      </c>
      <c r="E1074" s="343">
        <f t="shared" si="175"/>
        <v>13.400925203527816</v>
      </c>
      <c r="F1074" s="508">
        <f t="shared" si="176"/>
        <v>120.61</v>
      </c>
      <c r="G1074" s="351" t="s">
        <v>6654</v>
      </c>
      <c r="H1074" s="518" t="s">
        <v>6655</v>
      </c>
      <c r="I1074" s="452" t="s">
        <v>11565</v>
      </c>
      <c r="J1074" s="369" t="s">
        <v>753</v>
      </c>
      <c r="K1074" s="452" t="s">
        <v>741</v>
      </c>
    </row>
    <row r="1075" spans="1:11" s="317" customFormat="1">
      <c r="A1075" s="1467"/>
      <c r="B1075" s="351" t="s">
        <v>6656</v>
      </c>
      <c r="C1075" s="346">
        <v>411</v>
      </c>
      <c r="D1075" s="345">
        <f t="shared" si="174"/>
        <v>126.25284260515603</v>
      </c>
      <c r="E1075" s="343">
        <f t="shared" si="175"/>
        <v>15.781605325644504</v>
      </c>
      <c r="F1075" s="508">
        <f t="shared" si="176"/>
        <v>142.04</v>
      </c>
      <c r="G1075" s="351" t="s">
        <v>6657</v>
      </c>
      <c r="H1075" s="518" t="s">
        <v>6658</v>
      </c>
      <c r="I1075" s="452" t="s">
        <v>11565</v>
      </c>
      <c r="J1075" s="369" t="s">
        <v>753</v>
      </c>
      <c r="K1075" s="452" t="s">
        <v>741</v>
      </c>
    </row>
    <row r="1076" spans="1:11" s="317" customFormat="1">
      <c r="A1076" s="1467"/>
      <c r="B1076" s="351" t="s">
        <v>6624</v>
      </c>
      <c r="C1076" s="346">
        <v>265</v>
      </c>
      <c r="D1076" s="345">
        <f t="shared" si="174"/>
        <v>81.403900949796451</v>
      </c>
      <c r="E1076" s="343">
        <f t="shared" si="175"/>
        <v>10.175487618724556</v>
      </c>
      <c r="F1076" s="508">
        <f t="shared" si="176"/>
        <v>91.58</v>
      </c>
      <c r="G1076" s="351" t="s">
        <v>6659</v>
      </c>
      <c r="H1076" s="518" t="s">
        <v>6626</v>
      </c>
      <c r="I1076" s="452" t="s">
        <v>11565</v>
      </c>
      <c r="J1076" s="369" t="s">
        <v>753</v>
      </c>
      <c r="K1076" s="452" t="s">
        <v>741</v>
      </c>
    </row>
    <row r="1077" spans="1:11" s="317" customFormat="1">
      <c r="A1077" s="1467"/>
      <c r="B1077" s="351" t="s">
        <v>6627</v>
      </c>
      <c r="C1077" s="346">
        <v>617</v>
      </c>
      <c r="D1077" s="345">
        <f t="shared" si="174"/>
        <v>189.53285617367709</v>
      </c>
      <c r="E1077" s="343">
        <f t="shared" si="175"/>
        <v>23.691607021709636</v>
      </c>
      <c r="F1077" s="508">
        <f t="shared" si="176"/>
        <v>213.23</v>
      </c>
      <c r="G1077" s="351" t="s">
        <v>6660</v>
      </c>
      <c r="H1077" s="518" t="s">
        <v>6629</v>
      </c>
      <c r="I1077" s="452" t="s">
        <v>11565</v>
      </c>
      <c r="J1077" s="369" t="s">
        <v>753</v>
      </c>
      <c r="K1077" s="452" t="s">
        <v>741</v>
      </c>
    </row>
    <row r="1078" spans="1:11" s="317" customFormat="1">
      <c r="A1078" s="1467"/>
      <c r="B1078" s="518" t="s">
        <v>1368</v>
      </c>
      <c r="C1078" s="196">
        <v>1842</v>
      </c>
      <c r="D1078" s="230">
        <f t="shared" si="174"/>
        <v>565.83390773405699</v>
      </c>
      <c r="E1078" s="215">
        <v>30</v>
      </c>
      <c r="F1078" s="511">
        <f t="shared" si="176"/>
        <v>595.84</v>
      </c>
      <c r="G1078" s="314" t="s">
        <v>3519</v>
      </c>
      <c r="H1078" s="518" t="s">
        <v>1369</v>
      </c>
      <c r="I1078" s="452" t="s">
        <v>11565</v>
      </c>
      <c r="J1078" s="369" t="s">
        <v>753</v>
      </c>
      <c r="K1078" s="452" t="s">
        <v>741</v>
      </c>
    </row>
    <row r="1079" spans="1:11" s="317" customFormat="1">
      <c r="A1079" s="369"/>
      <c r="B1079" s="314"/>
      <c r="C1079" s="196" t="s">
        <v>2024</v>
      </c>
      <c r="D1079" s="345"/>
      <c r="E1079" s="215"/>
      <c r="F1079" s="508"/>
      <c r="G1079" s="314"/>
      <c r="H1079" s="518"/>
      <c r="I1079" s="452"/>
      <c r="J1079" s="369"/>
      <c r="K1079" s="452"/>
    </row>
    <row r="1080" spans="1:11" s="317" customFormat="1">
      <c r="A1080" s="369"/>
      <c r="B1080" s="314"/>
      <c r="C1080" s="196" t="s">
        <v>2024</v>
      </c>
      <c r="D1080" s="230"/>
      <c r="E1080" s="215"/>
      <c r="F1080" s="511"/>
      <c r="G1080" s="314"/>
      <c r="H1080" s="518"/>
      <c r="I1080" s="452"/>
      <c r="J1080" s="369"/>
      <c r="K1080" s="452"/>
    </row>
    <row r="1081" spans="1:11" s="317" customFormat="1" ht="35.25" customHeight="1">
      <c r="A1081" s="369"/>
      <c r="B1081" s="1468" t="s">
        <v>6661</v>
      </c>
      <c r="C1081" s="196" t="s">
        <v>2024</v>
      </c>
      <c r="D1081" s="230"/>
      <c r="E1081" s="215"/>
      <c r="F1081" s="511"/>
      <c r="G1081" s="314"/>
      <c r="H1081" s="518"/>
      <c r="I1081" s="452"/>
      <c r="J1081" s="369"/>
      <c r="K1081" s="452"/>
    </row>
    <row r="1082" spans="1:11" s="317" customFormat="1">
      <c r="A1082" s="1467"/>
      <c r="B1082" s="351" t="s">
        <v>6662</v>
      </c>
      <c r="C1082" s="346">
        <v>3797</v>
      </c>
      <c r="D1082" s="345">
        <f t="shared" ref="D1082:D1089" si="179">C1082*(1-VLOOKUP(I1082,descuentos,6,FALSE))*fcl/IF(dol_sol="dólar", TC,1)</f>
        <v>1166.3796675712347</v>
      </c>
      <c r="E1082" s="343">
        <f t="shared" ref="E1082:E1088" si="180">D1082/8</f>
        <v>145.79745844640433</v>
      </c>
      <c r="F1082" s="508">
        <f t="shared" ref="F1082:F1089" si="181">ROUNDUP(D1082+E1082,2)</f>
        <v>1312.18</v>
      </c>
      <c r="G1082" s="351" t="s">
        <v>6663</v>
      </c>
      <c r="H1082" s="518" t="s">
        <v>6664</v>
      </c>
      <c r="I1082" s="452" t="s">
        <v>11565</v>
      </c>
      <c r="J1082" s="369" t="s">
        <v>753</v>
      </c>
      <c r="K1082" s="452" t="s">
        <v>741</v>
      </c>
    </row>
    <row r="1083" spans="1:11" s="317" customFormat="1">
      <c r="A1083" s="1467"/>
      <c r="B1083" s="1592" t="s">
        <v>9486</v>
      </c>
      <c r="C1083" s="346">
        <v>3510</v>
      </c>
      <c r="D1083" s="345">
        <f t="shared" ref="D1083" si="182">C1083*(1-VLOOKUP(I1083,descuentos,6,FALSE))*fcl/IF(dol_sol="dólar", TC,1)</f>
        <v>1078.2177069199458</v>
      </c>
      <c r="E1083" s="343">
        <f t="shared" si="180"/>
        <v>134.77721336499323</v>
      </c>
      <c r="F1083" s="508">
        <f t="shared" si="181"/>
        <v>1213</v>
      </c>
      <c r="G1083" s="351" t="s">
        <v>9487</v>
      </c>
      <c r="H1083" s="518" t="s">
        <v>9488</v>
      </c>
      <c r="I1083" s="452" t="s">
        <v>11565</v>
      </c>
      <c r="J1083" s="369" t="s">
        <v>753</v>
      </c>
      <c r="K1083" s="452" t="s">
        <v>741</v>
      </c>
    </row>
    <row r="1084" spans="1:11" s="317" customFormat="1">
      <c r="A1084" s="1467"/>
      <c r="B1084" s="351" t="s">
        <v>6650</v>
      </c>
      <c r="C1084" s="346">
        <v>1084</v>
      </c>
      <c r="D1084" s="345">
        <f t="shared" si="179"/>
        <v>332.98803256445046</v>
      </c>
      <c r="E1084" s="343">
        <f t="shared" si="180"/>
        <v>41.623504070556308</v>
      </c>
      <c r="F1084" s="508">
        <f t="shared" si="181"/>
        <v>374.62</v>
      </c>
      <c r="G1084" s="351" t="s">
        <v>6651</v>
      </c>
      <c r="H1084" s="518" t="s">
        <v>6652</v>
      </c>
      <c r="I1084" s="452" t="s">
        <v>11565</v>
      </c>
      <c r="J1084" s="369" t="s">
        <v>753</v>
      </c>
      <c r="K1084" s="452" t="s">
        <v>741</v>
      </c>
    </row>
    <row r="1085" spans="1:11" s="317" customFormat="1">
      <c r="A1085" s="1467"/>
      <c r="B1085" s="351" t="s">
        <v>6653</v>
      </c>
      <c r="C1085" s="346">
        <v>349</v>
      </c>
      <c r="D1085" s="345">
        <f t="shared" si="179"/>
        <v>107.20740162822253</v>
      </c>
      <c r="E1085" s="343">
        <f t="shared" si="180"/>
        <v>13.400925203527816</v>
      </c>
      <c r="F1085" s="508">
        <f t="shared" si="181"/>
        <v>120.61</v>
      </c>
      <c r="G1085" s="351" t="s">
        <v>6654</v>
      </c>
      <c r="H1085" s="518" t="s">
        <v>6655</v>
      </c>
      <c r="I1085" s="452" t="s">
        <v>11565</v>
      </c>
      <c r="J1085" s="369" t="s">
        <v>753</v>
      </c>
      <c r="K1085" s="452" t="s">
        <v>741</v>
      </c>
    </row>
    <row r="1086" spans="1:11" s="317" customFormat="1">
      <c r="A1086" s="1467"/>
      <c r="B1086" s="351" t="s">
        <v>6656</v>
      </c>
      <c r="C1086" s="346">
        <v>411</v>
      </c>
      <c r="D1086" s="345">
        <f t="shared" si="179"/>
        <v>126.25284260515603</v>
      </c>
      <c r="E1086" s="343">
        <f t="shared" si="180"/>
        <v>15.781605325644504</v>
      </c>
      <c r="F1086" s="508">
        <f t="shared" si="181"/>
        <v>142.04</v>
      </c>
      <c r="G1086" s="351" t="s">
        <v>6657</v>
      </c>
      <c r="H1086" s="518" t="s">
        <v>6658</v>
      </c>
      <c r="I1086" s="452" t="s">
        <v>11565</v>
      </c>
      <c r="J1086" s="369" t="s">
        <v>753</v>
      </c>
      <c r="K1086" s="452" t="s">
        <v>741</v>
      </c>
    </row>
    <row r="1087" spans="1:11" s="317" customFormat="1">
      <c r="A1087" s="1467"/>
      <c r="B1087" s="351" t="s">
        <v>6624</v>
      </c>
      <c r="C1087" s="346">
        <v>265</v>
      </c>
      <c r="D1087" s="345">
        <f t="shared" si="179"/>
        <v>81.403900949796451</v>
      </c>
      <c r="E1087" s="343">
        <f t="shared" si="180"/>
        <v>10.175487618724556</v>
      </c>
      <c r="F1087" s="508">
        <f t="shared" si="181"/>
        <v>91.58</v>
      </c>
      <c r="G1087" s="351" t="s">
        <v>6659</v>
      </c>
      <c r="H1087" s="518" t="s">
        <v>6626</v>
      </c>
      <c r="I1087" s="452" t="s">
        <v>11565</v>
      </c>
      <c r="J1087" s="369" t="s">
        <v>753</v>
      </c>
      <c r="K1087" s="452" t="s">
        <v>741</v>
      </c>
    </row>
    <row r="1088" spans="1:11" s="317" customFormat="1">
      <c r="A1088" s="1467"/>
      <c r="B1088" s="351" t="s">
        <v>6627</v>
      </c>
      <c r="C1088" s="346">
        <v>617</v>
      </c>
      <c r="D1088" s="345">
        <f t="shared" si="179"/>
        <v>189.53285617367709</v>
      </c>
      <c r="E1088" s="343">
        <f t="shared" si="180"/>
        <v>23.691607021709636</v>
      </c>
      <c r="F1088" s="508">
        <f t="shared" si="181"/>
        <v>213.23</v>
      </c>
      <c r="G1088" s="351" t="s">
        <v>6660</v>
      </c>
      <c r="H1088" s="518" t="s">
        <v>6629</v>
      </c>
      <c r="I1088" s="452" t="s">
        <v>11565</v>
      </c>
      <c r="J1088" s="369" t="s">
        <v>753</v>
      </c>
      <c r="K1088" s="452" t="s">
        <v>741</v>
      </c>
    </row>
    <row r="1089" spans="1:11" s="317" customFormat="1">
      <c r="A1089" s="1467"/>
      <c r="B1089" s="351" t="s">
        <v>1368</v>
      </c>
      <c r="C1089" s="346">
        <v>1842</v>
      </c>
      <c r="D1089" s="345">
        <f t="shared" si="179"/>
        <v>565.83390773405699</v>
      </c>
      <c r="E1089" s="343">
        <v>30</v>
      </c>
      <c r="F1089" s="508">
        <f t="shared" si="181"/>
        <v>595.84</v>
      </c>
      <c r="G1089" s="351" t="s">
        <v>3519</v>
      </c>
      <c r="H1089" s="518" t="s">
        <v>1369</v>
      </c>
      <c r="I1089" s="452" t="s">
        <v>11565</v>
      </c>
      <c r="J1089" s="369" t="s">
        <v>753</v>
      </c>
      <c r="K1089" s="452" t="s">
        <v>741</v>
      </c>
    </row>
    <row r="1090" spans="1:11" s="315" customFormat="1">
      <c r="A1090" s="369"/>
      <c r="B1090" s="314"/>
      <c r="C1090" s="196" t="s">
        <v>2024</v>
      </c>
      <c r="D1090" s="230"/>
      <c r="E1090" s="215"/>
      <c r="F1090" s="511"/>
      <c r="G1090" s="314"/>
      <c r="H1090" s="518"/>
      <c r="I1090" s="452"/>
      <c r="J1090" s="369"/>
      <c r="K1090" s="452"/>
    </row>
    <row r="1091" spans="1:11" s="317" customFormat="1">
      <c r="A1091" s="369"/>
      <c r="B1091" s="314"/>
      <c r="C1091" s="196" t="s">
        <v>2024</v>
      </c>
      <c r="D1091" s="230"/>
      <c r="E1091" s="215"/>
      <c r="F1091" s="511"/>
      <c r="G1091" s="314"/>
      <c r="H1091" s="518"/>
      <c r="I1091" s="452"/>
      <c r="J1091" s="369"/>
      <c r="K1091" s="452"/>
    </row>
    <row r="1092" spans="1:11" s="317" customFormat="1">
      <c r="A1092" s="369"/>
      <c r="B1092" s="314"/>
      <c r="C1092" s="196" t="s">
        <v>2024</v>
      </c>
      <c r="D1092" s="230"/>
      <c r="E1092" s="215"/>
      <c r="F1092" s="511"/>
      <c r="G1092" s="314"/>
      <c r="H1092" s="518"/>
      <c r="I1092" s="452"/>
      <c r="J1092" s="369"/>
      <c r="K1092" s="452"/>
    </row>
    <row r="1093" spans="1:11" s="317" customFormat="1">
      <c r="A1093" s="369"/>
      <c r="B1093" s="314"/>
      <c r="C1093" s="196" t="s">
        <v>2024</v>
      </c>
      <c r="D1093" s="230"/>
      <c r="E1093" s="215"/>
      <c r="F1093" s="511"/>
      <c r="G1093" s="314"/>
      <c r="H1093" s="518"/>
      <c r="I1093" s="452"/>
      <c r="J1093" s="369"/>
      <c r="K1093" s="452"/>
    </row>
    <row r="1094" spans="1:11" s="317" customFormat="1">
      <c r="A1094" s="369"/>
      <c r="B1094" s="233"/>
      <c r="C1094" s="196" t="s">
        <v>2024</v>
      </c>
      <c r="D1094" s="230"/>
      <c r="E1094" s="215"/>
      <c r="F1094" s="511"/>
      <c r="G1094" s="314"/>
      <c r="H1094" s="1545"/>
      <c r="I1094" s="452"/>
      <c r="J1094" s="369"/>
      <c r="K1094" s="452"/>
    </row>
    <row r="1095" spans="1:11" s="317" customFormat="1">
      <c r="A1095" s="369"/>
      <c r="B1095" s="231" t="s">
        <v>1460</v>
      </c>
      <c r="C1095" s="196">
        <v>1475</v>
      </c>
      <c r="D1095" s="230">
        <f>C1095*(1-VLOOKUP(I1095,descuentos,6,FALSE))*fcl/IF(dol_sol="dólar", TC,1)</f>
        <v>453.097184531886</v>
      </c>
      <c r="E1095" s="417">
        <v>15</v>
      </c>
      <c r="F1095" s="511">
        <f>ROUNDUP(D1095+E1095,2)</f>
        <v>468.09999999999997</v>
      </c>
      <c r="G1095" s="314" t="s">
        <v>4507</v>
      </c>
      <c r="H1095" s="518" t="s">
        <v>1459</v>
      </c>
      <c r="I1095" s="452" t="s">
        <v>11565</v>
      </c>
      <c r="J1095" s="369" t="s">
        <v>753</v>
      </c>
      <c r="K1095" s="452" t="s">
        <v>741</v>
      </c>
    </row>
    <row r="1096" spans="1:11" s="317" customFormat="1">
      <c r="A1096" s="369"/>
      <c r="B1096" s="231" t="s">
        <v>846</v>
      </c>
      <c r="C1096" s="196">
        <v>1475</v>
      </c>
      <c r="D1096" s="230">
        <f>C1096*(1-VLOOKUP(I1096,descuentos,6,FALSE))*fcl/IF(dol_sol="dólar", TC,1)</f>
        <v>453.097184531886</v>
      </c>
      <c r="E1096" s="417">
        <v>15</v>
      </c>
      <c r="F1096" s="511">
        <f>ROUNDUP(D1096+E1096,2)</f>
        <v>468.09999999999997</v>
      </c>
      <c r="G1096" s="314" t="s">
        <v>4508</v>
      </c>
      <c r="H1096" s="518" t="s">
        <v>855</v>
      </c>
      <c r="I1096" s="452" t="s">
        <v>11565</v>
      </c>
      <c r="J1096" s="369" t="s">
        <v>753</v>
      </c>
      <c r="K1096" s="452" t="s">
        <v>741</v>
      </c>
    </row>
    <row r="1097" spans="1:11" s="317" customFormat="1">
      <c r="A1097" s="369"/>
      <c r="B1097" s="231" t="s">
        <v>845</v>
      </c>
      <c r="C1097" s="196">
        <v>1475</v>
      </c>
      <c r="D1097" s="230">
        <f>C1097*(1-VLOOKUP(I1097,descuentos,6,FALSE))*fcl/IF(dol_sol="dólar", TC,1)</f>
        <v>453.097184531886</v>
      </c>
      <c r="E1097" s="417">
        <v>15</v>
      </c>
      <c r="F1097" s="511">
        <f>ROUNDUP(D1097+E1097,2)</f>
        <v>468.09999999999997</v>
      </c>
      <c r="G1097" s="314" t="s">
        <v>4509</v>
      </c>
      <c r="H1097" s="518" t="s">
        <v>854</v>
      </c>
      <c r="I1097" s="452" t="s">
        <v>11565</v>
      </c>
      <c r="J1097" s="369" t="s">
        <v>753</v>
      </c>
      <c r="K1097" s="452" t="s">
        <v>741</v>
      </c>
    </row>
    <row r="1098" spans="1:11" s="317" customFormat="1">
      <c r="A1098" s="369"/>
      <c r="B1098" s="231" t="s">
        <v>3306</v>
      </c>
      <c r="C1098" s="196">
        <v>1536</v>
      </c>
      <c r="D1098" s="230">
        <f>C1098*(1-VLOOKUP(I1098,descuentos,6,FALSE))*fcl/IF(dol_sol="dólar", TC,1)</f>
        <v>471.83544097693351</v>
      </c>
      <c r="E1098" s="417">
        <v>15</v>
      </c>
      <c r="F1098" s="511">
        <f>ROUNDUP(D1098+E1098,2)</f>
        <v>486.84</v>
      </c>
      <c r="G1098" s="314" t="s">
        <v>4510</v>
      </c>
      <c r="H1098" s="518" t="s">
        <v>3307</v>
      </c>
      <c r="I1098" s="452" t="s">
        <v>11565</v>
      </c>
      <c r="J1098" s="369" t="s">
        <v>753</v>
      </c>
      <c r="K1098" s="452" t="s">
        <v>741</v>
      </c>
    </row>
    <row r="1099" spans="1:11" s="317" customFormat="1">
      <c r="A1099" s="369"/>
      <c r="B1099" s="231"/>
      <c r="C1099" s="196" t="s">
        <v>2024</v>
      </c>
      <c r="D1099" s="230"/>
      <c r="E1099" s="215"/>
      <c r="F1099" s="511"/>
      <c r="G1099" s="314"/>
      <c r="H1099" s="518"/>
      <c r="I1099" s="452"/>
      <c r="J1099" s="369"/>
      <c r="K1099" s="452"/>
    </row>
    <row r="1100" spans="1:11" s="317" customFormat="1">
      <c r="A1100" s="369"/>
      <c r="B1100" s="231" t="s">
        <v>865</v>
      </c>
      <c r="C1100" s="196">
        <v>1772</v>
      </c>
      <c r="D1100" s="230">
        <f>C1100*(1-VLOOKUP(I1100,descuentos,6,FALSE))*fcl/IF(dol_sol="dólar", TC,1)</f>
        <v>544.33099050203521</v>
      </c>
      <c r="E1100" s="417">
        <v>15</v>
      </c>
      <c r="F1100" s="511">
        <f>ROUNDUP(D1100+E1100,2)</f>
        <v>559.34</v>
      </c>
      <c r="G1100" s="314" t="s">
        <v>4511</v>
      </c>
      <c r="H1100" s="518" t="s">
        <v>868</v>
      </c>
      <c r="I1100" s="452" t="s">
        <v>11565</v>
      </c>
      <c r="J1100" s="369" t="s">
        <v>753</v>
      </c>
      <c r="K1100" s="452" t="s">
        <v>741</v>
      </c>
    </row>
    <row r="1101" spans="1:11" s="317" customFormat="1">
      <c r="A1101" s="369"/>
      <c r="B1101" s="231" t="s">
        <v>864</v>
      </c>
      <c r="C1101" s="196">
        <v>1772</v>
      </c>
      <c r="D1101" s="230">
        <f>C1101*(1-VLOOKUP(I1101,descuentos,6,FALSE))*fcl/IF(dol_sol="dólar", TC,1)</f>
        <v>544.33099050203521</v>
      </c>
      <c r="E1101" s="417">
        <v>15</v>
      </c>
      <c r="F1101" s="511">
        <f>ROUNDUP(D1101+E1101,2)</f>
        <v>559.34</v>
      </c>
      <c r="G1101" s="314" t="s">
        <v>4512</v>
      </c>
      <c r="H1101" s="518" t="s">
        <v>867</v>
      </c>
      <c r="I1101" s="452" t="s">
        <v>11565</v>
      </c>
      <c r="J1101" s="369" t="s">
        <v>753</v>
      </c>
      <c r="K1101" s="452" t="s">
        <v>741</v>
      </c>
    </row>
    <row r="1102" spans="1:11" s="317" customFormat="1">
      <c r="A1102" s="369"/>
      <c r="B1102" s="231" t="s">
        <v>2783</v>
      </c>
      <c r="C1102" s="196">
        <v>1839</v>
      </c>
      <c r="D1102" s="230">
        <f>C1102*(1-VLOOKUP(I1102,descuentos,6,FALSE))*fcl/IF(dol_sol="dólar", TC,1)</f>
        <v>564.91235413839888</v>
      </c>
      <c r="E1102" s="417">
        <v>15</v>
      </c>
      <c r="F1102" s="511">
        <f>ROUNDUP(D1102+E1102,2)</f>
        <v>579.91999999999996</v>
      </c>
      <c r="G1102" s="314" t="s">
        <v>4513</v>
      </c>
      <c r="H1102" s="518" t="s">
        <v>2782</v>
      </c>
      <c r="I1102" s="452" t="s">
        <v>11565</v>
      </c>
      <c r="J1102" s="369" t="s">
        <v>753</v>
      </c>
      <c r="K1102" s="452" t="s">
        <v>741</v>
      </c>
    </row>
    <row r="1103" spans="1:11" s="317" customFormat="1">
      <c r="A1103" s="369"/>
      <c r="B1103" s="231"/>
      <c r="C1103" s="196" t="s">
        <v>2024</v>
      </c>
      <c r="D1103" s="230"/>
      <c r="E1103" s="215"/>
      <c r="F1103" s="511"/>
      <c r="G1103" s="314"/>
      <c r="H1103" s="518"/>
      <c r="I1103" s="452"/>
      <c r="J1103" s="369"/>
      <c r="K1103" s="452"/>
    </row>
    <row r="1104" spans="1:11" s="317" customFormat="1">
      <c r="A1104" s="369"/>
      <c r="B1104" s="231" t="s">
        <v>5365</v>
      </c>
      <c r="C1104" s="196">
        <v>1824</v>
      </c>
      <c r="D1104" s="230">
        <f>C1104*(1-VLOOKUP(I1104,descuentos,6,FALSE))*fcl/IF(dol_sol="dólar", TC,1)</f>
        <v>560.30458616010856</v>
      </c>
      <c r="E1104" s="417">
        <v>15</v>
      </c>
      <c r="F1104" s="511">
        <f>ROUNDUP(D1104+E1104,2)</f>
        <v>575.30999999999995</v>
      </c>
      <c r="G1104" s="314" t="s">
        <v>5366</v>
      </c>
      <c r="H1104" s="518" t="s">
        <v>5367</v>
      </c>
      <c r="I1104" s="452" t="s">
        <v>11565</v>
      </c>
      <c r="J1104" s="369" t="s">
        <v>753</v>
      </c>
      <c r="K1104" s="452" t="s">
        <v>741</v>
      </c>
    </row>
    <row r="1105" spans="1:11" s="317" customFormat="1">
      <c r="A1105" s="369"/>
      <c r="B1105" s="231" t="s">
        <v>5368</v>
      </c>
      <c r="C1105" s="196">
        <v>1824</v>
      </c>
      <c r="D1105" s="230">
        <f>C1105*(1-VLOOKUP(I1105,descuentos,6,FALSE))*fcl/IF(dol_sol="dólar", TC,1)</f>
        <v>560.30458616010856</v>
      </c>
      <c r="E1105" s="417">
        <v>15</v>
      </c>
      <c r="F1105" s="511">
        <f>ROUNDUP(D1105+E1105,2)</f>
        <v>575.30999999999995</v>
      </c>
      <c r="G1105" s="314" t="s">
        <v>5369</v>
      </c>
      <c r="H1105" s="518" t="s">
        <v>5370</v>
      </c>
      <c r="I1105" s="452" t="s">
        <v>11565</v>
      </c>
      <c r="J1105" s="369" t="s">
        <v>753</v>
      </c>
      <c r="K1105" s="452" t="s">
        <v>741</v>
      </c>
    </row>
    <row r="1106" spans="1:11" s="317" customFormat="1">
      <c r="A1106" s="369"/>
      <c r="B1106" s="231" t="s">
        <v>5371</v>
      </c>
      <c r="C1106" s="196">
        <v>1888</v>
      </c>
      <c r="D1106" s="230">
        <f>C1106*(1-VLOOKUP(I1106,descuentos,6,FALSE))*fcl/IF(dol_sol="dólar", TC,1)</f>
        <v>579.96439620081412</v>
      </c>
      <c r="E1106" s="417">
        <v>15</v>
      </c>
      <c r="F1106" s="511">
        <f>ROUNDUP(D1106+E1106,2)</f>
        <v>594.97</v>
      </c>
      <c r="G1106" s="314" t="s">
        <v>5372</v>
      </c>
      <c r="H1106" s="518" t="s">
        <v>5373</v>
      </c>
      <c r="I1106" s="452" t="s">
        <v>11565</v>
      </c>
      <c r="J1106" s="369" t="s">
        <v>753</v>
      </c>
      <c r="K1106" s="452" t="s">
        <v>741</v>
      </c>
    </row>
    <row r="1107" spans="1:11" s="317" customFormat="1">
      <c r="A1107" s="369"/>
      <c r="B1107" s="231"/>
      <c r="C1107" s="196" t="s">
        <v>2024</v>
      </c>
      <c r="D1107" s="230"/>
      <c r="E1107" s="215"/>
      <c r="F1107" s="511"/>
      <c r="G1107" s="314"/>
      <c r="H1107" s="518"/>
      <c r="I1107" s="452"/>
      <c r="J1107" s="369"/>
      <c r="K1107" s="452"/>
    </row>
    <row r="1108" spans="1:11" s="317" customFormat="1">
      <c r="A1108" s="369"/>
      <c r="B1108" s="231"/>
      <c r="C1108" s="196" t="s">
        <v>2024</v>
      </c>
      <c r="D1108" s="230"/>
      <c r="E1108" s="215"/>
      <c r="F1108" s="511"/>
      <c r="G1108" s="314"/>
      <c r="H1108" s="518"/>
      <c r="I1108" s="452"/>
      <c r="J1108" s="369"/>
      <c r="K1108" s="452"/>
    </row>
    <row r="1109" spans="1:11" s="317" customFormat="1">
      <c r="A1109" s="369"/>
      <c r="B1109" s="731" t="s">
        <v>2811</v>
      </c>
      <c r="C1109" s="346">
        <v>1916</v>
      </c>
      <c r="D1109" s="345">
        <f>C1109*(1-VLOOKUP(I1109,descuentos,6,FALSE))*fcl/IF(dol_sol="dólar", TC,1)</f>
        <v>588.5655630936227</v>
      </c>
      <c r="E1109" s="343">
        <v>20</v>
      </c>
      <c r="F1109" s="508">
        <f>ROUNDUP(D1109+E1109,2)</f>
        <v>608.56999999999994</v>
      </c>
      <c r="G1109" s="351" t="s">
        <v>4514</v>
      </c>
      <c r="H1109" s="506" t="s">
        <v>2809</v>
      </c>
      <c r="I1109" s="452" t="s">
        <v>11565</v>
      </c>
      <c r="J1109" s="369" t="s">
        <v>753</v>
      </c>
      <c r="K1109" s="452" t="s">
        <v>741</v>
      </c>
    </row>
    <row r="1110" spans="1:11" s="317" customFormat="1">
      <c r="A1110" s="369"/>
      <c r="B1110" s="731" t="s">
        <v>1427</v>
      </c>
      <c r="C1110" s="346">
        <v>1916</v>
      </c>
      <c r="D1110" s="345">
        <f>C1110*(1-VLOOKUP(I1110,descuentos,6,FALSE))*fcl/IF(dol_sol="dólar", TC,1)</f>
        <v>588.5655630936227</v>
      </c>
      <c r="E1110" s="343">
        <v>20</v>
      </c>
      <c r="F1110" s="508">
        <f>ROUNDUP(D1110+E1110,2)</f>
        <v>608.56999999999994</v>
      </c>
      <c r="G1110" s="351" t="s">
        <v>4515</v>
      </c>
      <c r="H1110" s="506" t="s">
        <v>1428</v>
      </c>
      <c r="I1110" s="452" t="s">
        <v>11565</v>
      </c>
      <c r="J1110" s="369" t="s">
        <v>753</v>
      </c>
      <c r="K1110" s="452" t="s">
        <v>741</v>
      </c>
    </row>
    <row r="1111" spans="1:11" s="317" customFormat="1">
      <c r="A1111" s="369"/>
      <c r="B1111" s="731" t="s">
        <v>2812</v>
      </c>
      <c r="C1111" s="346">
        <v>1996</v>
      </c>
      <c r="D1111" s="345">
        <f>C1111*(1-VLOOKUP(I1111,descuentos,6,FALSE))*fcl/IF(dol_sol="dólar", TC,1)</f>
        <v>613.14032564450474</v>
      </c>
      <c r="E1111" s="343">
        <v>20</v>
      </c>
      <c r="F1111" s="508">
        <f>ROUNDUP(D1111+E1111,2)</f>
        <v>633.15</v>
      </c>
      <c r="G1111" s="351" t="s">
        <v>4516</v>
      </c>
      <c r="H1111" s="506" t="s">
        <v>2810</v>
      </c>
      <c r="I1111" s="452" t="s">
        <v>11565</v>
      </c>
      <c r="J1111" s="369" t="s">
        <v>753</v>
      </c>
      <c r="K1111" s="452" t="s">
        <v>741</v>
      </c>
    </row>
    <row r="1112" spans="1:11" s="317" customFormat="1">
      <c r="A1112" s="369"/>
      <c r="B1112" s="231"/>
      <c r="C1112" s="196" t="s">
        <v>2024</v>
      </c>
      <c r="D1112" s="230"/>
      <c r="E1112" s="215"/>
      <c r="F1112" s="511"/>
      <c r="G1112" s="314"/>
      <c r="H1112" s="518"/>
      <c r="I1112" s="452"/>
      <c r="J1112" s="369"/>
      <c r="K1112" s="452"/>
    </row>
    <row r="1113" spans="1:11" s="317" customFormat="1">
      <c r="A1113" s="369"/>
      <c r="B1113" s="731" t="s">
        <v>2820</v>
      </c>
      <c r="C1113" s="346">
        <v>2303</v>
      </c>
      <c r="D1113" s="345">
        <f>C1113*(1-VLOOKUP(I1113,descuentos,6,FALSE))*fcl/IF(dol_sol="dólar", TC,1)</f>
        <v>707.4459769335142</v>
      </c>
      <c r="E1113" s="343">
        <v>20</v>
      </c>
      <c r="F1113" s="508">
        <f>ROUNDUP(D1113+E1113,2)</f>
        <v>727.45</v>
      </c>
      <c r="G1113" s="351" t="s">
        <v>4517</v>
      </c>
      <c r="H1113" s="506" t="s">
        <v>2824</v>
      </c>
      <c r="I1113" s="452" t="s">
        <v>11565</v>
      </c>
      <c r="J1113" s="369" t="s">
        <v>753</v>
      </c>
      <c r="K1113" s="452" t="s">
        <v>741</v>
      </c>
    </row>
    <row r="1114" spans="1:11" s="317" customFormat="1">
      <c r="A1114" s="369"/>
      <c r="B1114" s="731" t="s">
        <v>2819</v>
      </c>
      <c r="C1114" s="346">
        <v>2303</v>
      </c>
      <c r="D1114" s="345">
        <f>C1114*(1-VLOOKUP(I1114,descuentos,6,FALSE))*fcl/IF(dol_sol="dólar", TC,1)</f>
        <v>707.4459769335142</v>
      </c>
      <c r="E1114" s="343">
        <v>20</v>
      </c>
      <c r="F1114" s="508">
        <f>ROUNDUP(D1114+E1114,2)</f>
        <v>727.45</v>
      </c>
      <c r="G1114" s="351" t="s">
        <v>4518</v>
      </c>
      <c r="H1114" s="506" t="s">
        <v>2825</v>
      </c>
      <c r="I1114" s="452" t="s">
        <v>11565</v>
      </c>
      <c r="J1114" s="369" t="s">
        <v>753</v>
      </c>
      <c r="K1114" s="452" t="s">
        <v>741</v>
      </c>
    </row>
    <row r="1115" spans="1:11" s="317" customFormat="1">
      <c r="A1115" s="369"/>
      <c r="B1115" s="731" t="s">
        <v>2821</v>
      </c>
      <c r="C1115" s="346">
        <v>2391</v>
      </c>
      <c r="D1115" s="345">
        <f>C1115*(1-VLOOKUP(I1115,descuentos,6,FALSE))*fcl/IF(dol_sol="dólar", TC,1)</f>
        <v>734.47821573948443</v>
      </c>
      <c r="E1115" s="343">
        <v>20</v>
      </c>
      <c r="F1115" s="508">
        <f>ROUNDUP(D1115+E1115,2)</f>
        <v>754.48</v>
      </c>
      <c r="G1115" s="351" t="s">
        <v>4519</v>
      </c>
      <c r="H1115" s="506" t="s">
        <v>2826</v>
      </c>
      <c r="I1115" s="452" t="s">
        <v>11565</v>
      </c>
      <c r="J1115" s="369" t="s">
        <v>753</v>
      </c>
      <c r="K1115" s="452" t="s">
        <v>741</v>
      </c>
    </row>
    <row r="1116" spans="1:11" s="317" customFormat="1">
      <c r="A1116" s="369"/>
      <c r="B1116" s="231"/>
      <c r="C1116" s="196" t="s">
        <v>2024</v>
      </c>
      <c r="D1116" s="230"/>
      <c r="E1116" s="215"/>
      <c r="F1116" s="511"/>
      <c r="G1116" s="314"/>
      <c r="H1116" s="518"/>
      <c r="I1116" s="452"/>
      <c r="J1116" s="369"/>
      <c r="K1116" s="452"/>
    </row>
    <row r="1117" spans="1:11" s="317" customFormat="1">
      <c r="A1117" s="369"/>
      <c r="B1117" s="731" t="s">
        <v>2784</v>
      </c>
      <c r="C1117" s="346">
        <v>2372</v>
      </c>
      <c r="D1117" s="345">
        <f>C1117*(1-VLOOKUP(I1117,descuentos,6,FALSE))*fcl/IF(dol_sol="dólar", TC,1)</f>
        <v>728.64170963364984</v>
      </c>
      <c r="E1117" s="343">
        <v>20</v>
      </c>
      <c r="F1117" s="508">
        <f>ROUNDUP(D1117+E1117,2)</f>
        <v>748.65</v>
      </c>
      <c r="G1117" s="351" t="s">
        <v>4520</v>
      </c>
      <c r="H1117" s="506" t="s">
        <v>2787</v>
      </c>
      <c r="I1117" s="452" t="s">
        <v>11565</v>
      </c>
      <c r="J1117" s="369" t="s">
        <v>753</v>
      </c>
      <c r="K1117" s="452" t="s">
        <v>741</v>
      </c>
    </row>
    <row r="1118" spans="1:11" s="317" customFormat="1">
      <c r="A1118" s="369"/>
      <c r="B1118" s="731" t="s">
        <v>2785</v>
      </c>
      <c r="C1118" s="346">
        <v>2372</v>
      </c>
      <c r="D1118" s="345">
        <f>C1118*(1-VLOOKUP(I1118,descuentos,6,FALSE))*fcl/IF(dol_sol="dólar", TC,1)</f>
        <v>728.64170963364984</v>
      </c>
      <c r="E1118" s="343">
        <v>20</v>
      </c>
      <c r="F1118" s="508">
        <f>ROUNDUP(D1118+E1118,2)</f>
        <v>748.65</v>
      </c>
      <c r="G1118" s="351" t="s">
        <v>4521</v>
      </c>
      <c r="H1118" s="506" t="s">
        <v>2788</v>
      </c>
      <c r="I1118" s="452" t="s">
        <v>11565</v>
      </c>
      <c r="J1118" s="369" t="s">
        <v>753</v>
      </c>
      <c r="K1118" s="452" t="s">
        <v>741</v>
      </c>
    </row>
    <row r="1119" spans="1:11" s="317" customFormat="1">
      <c r="A1119" s="369"/>
      <c r="B1119" s="731" t="s">
        <v>2786</v>
      </c>
      <c r="C1119" s="346">
        <v>2454</v>
      </c>
      <c r="D1119" s="345">
        <f>C1119*(1-VLOOKUP(I1119,descuentos,6,FALSE))*fcl/IF(dol_sol="dólar", TC,1)</f>
        <v>753.83084124830384</v>
      </c>
      <c r="E1119" s="343">
        <v>20</v>
      </c>
      <c r="F1119" s="508">
        <f>ROUNDUP(D1119+E1119,2)</f>
        <v>773.84</v>
      </c>
      <c r="G1119" s="351" t="s">
        <v>4522</v>
      </c>
      <c r="H1119" s="506" t="s">
        <v>2789</v>
      </c>
      <c r="I1119" s="452" t="s">
        <v>11565</v>
      </c>
      <c r="J1119" s="369" t="s">
        <v>753</v>
      </c>
      <c r="K1119" s="452" t="s">
        <v>741</v>
      </c>
    </row>
    <row r="1120" spans="1:11" s="317" customFormat="1">
      <c r="A1120" s="369"/>
      <c r="B1120" s="231"/>
      <c r="C1120" s="196" t="s">
        <v>2024</v>
      </c>
      <c r="D1120" s="230"/>
      <c r="E1120" s="215"/>
      <c r="F1120" s="511"/>
      <c r="G1120" s="314"/>
      <c r="H1120" s="518"/>
      <c r="I1120" s="452"/>
      <c r="J1120" s="369"/>
      <c r="K1120" s="452"/>
    </row>
    <row r="1121" spans="1:11" s="317" customFormat="1">
      <c r="A1121" s="369"/>
      <c r="B1121" s="731" t="s">
        <v>6665</v>
      </c>
      <c r="C1121" s="346">
        <v>2845</v>
      </c>
      <c r="D1121" s="345">
        <f>C1121*(1-VLOOKUP(I1121,descuentos,6,FALSE))*fcl/IF(dol_sol="dólar", TC,1)</f>
        <v>873.93999321573938</v>
      </c>
      <c r="E1121" s="343">
        <v>20</v>
      </c>
      <c r="F1121" s="508">
        <f>ROUNDUP(D1121+E1121,2)</f>
        <v>893.93999999999994</v>
      </c>
      <c r="G1121" s="351" t="s">
        <v>6666</v>
      </c>
      <c r="H1121" s="506" t="s">
        <v>6667</v>
      </c>
      <c r="I1121" s="452" t="s">
        <v>11565</v>
      </c>
      <c r="J1121" s="369" t="s">
        <v>753</v>
      </c>
      <c r="K1121" s="452" t="s">
        <v>741</v>
      </c>
    </row>
    <row r="1122" spans="1:11" s="317" customFormat="1">
      <c r="A1122" s="369"/>
      <c r="B1122" s="731" t="s">
        <v>6668</v>
      </c>
      <c r="C1122" s="346">
        <v>2845</v>
      </c>
      <c r="D1122" s="345">
        <f>C1122*(1-VLOOKUP(I1122,descuentos,6,FALSE))*fcl/IF(dol_sol="dólar", TC,1)</f>
        <v>873.93999321573938</v>
      </c>
      <c r="E1122" s="343">
        <v>20</v>
      </c>
      <c r="F1122" s="508">
        <f>ROUNDUP(D1122+E1122,2)</f>
        <v>893.93999999999994</v>
      </c>
      <c r="G1122" s="351" t="s">
        <v>6669</v>
      </c>
      <c r="H1122" s="506" t="s">
        <v>6670</v>
      </c>
      <c r="I1122" s="452" t="s">
        <v>11565</v>
      </c>
      <c r="J1122" s="369" t="s">
        <v>753</v>
      </c>
      <c r="K1122" s="452" t="s">
        <v>741</v>
      </c>
    </row>
    <row r="1123" spans="1:11" s="317" customFormat="1">
      <c r="A1123" s="369"/>
      <c r="B1123" s="731" t="s">
        <v>6671</v>
      </c>
      <c r="C1123" s="346">
        <v>2945</v>
      </c>
      <c r="D1123" s="345">
        <f>C1123*(1-VLOOKUP(I1123,descuentos,6,FALSE))*fcl/IF(dol_sol="dólar", TC,1)</f>
        <v>904.65844640434193</v>
      </c>
      <c r="E1123" s="343">
        <v>20</v>
      </c>
      <c r="F1123" s="508">
        <f>ROUNDUP(D1123+E1123,2)</f>
        <v>924.66</v>
      </c>
      <c r="G1123" s="351" t="s">
        <v>6672</v>
      </c>
      <c r="H1123" s="506" t="s">
        <v>6673</v>
      </c>
      <c r="I1123" s="452" t="s">
        <v>11565</v>
      </c>
      <c r="J1123" s="369" t="s">
        <v>753</v>
      </c>
      <c r="K1123" s="452" t="s">
        <v>741</v>
      </c>
    </row>
    <row r="1124" spans="1:11" s="317" customFormat="1">
      <c r="A1124" s="369"/>
      <c r="B1124" s="231"/>
      <c r="C1124" s="196" t="s">
        <v>2024</v>
      </c>
      <c r="D1124" s="230"/>
      <c r="E1124" s="215"/>
      <c r="F1124" s="511"/>
      <c r="G1124" s="314"/>
      <c r="H1124" s="518"/>
      <c r="I1124" s="452"/>
      <c r="J1124" s="369"/>
      <c r="K1124" s="452"/>
    </row>
    <row r="1125" spans="1:11" s="317" customFormat="1">
      <c r="A1125" s="369"/>
      <c r="B1125" s="231"/>
      <c r="C1125" s="196" t="s">
        <v>2024</v>
      </c>
      <c r="D1125" s="230"/>
      <c r="E1125" s="215"/>
      <c r="F1125" s="511"/>
      <c r="G1125" s="314"/>
      <c r="H1125" s="518"/>
      <c r="I1125" s="452"/>
      <c r="J1125" s="369"/>
      <c r="K1125" s="452"/>
    </row>
    <row r="1126" spans="1:11" s="317" customFormat="1">
      <c r="A1126" s="369"/>
      <c r="B1126" s="231" t="s">
        <v>877</v>
      </c>
      <c r="C1126" s="196">
        <v>1769</v>
      </c>
      <c r="D1126" s="230">
        <f>C1126*(1-VLOOKUP(I1126,descuentos,6,FALSE))*fcl/IF(dol_sol="dólar", TC,1)</f>
        <v>543.40943690637721</v>
      </c>
      <c r="E1126" s="215">
        <f>D1126/8</f>
        <v>67.926179613297151</v>
      </c>
      <c r="F1126" s="511">
        <f>ROUNDUP(D1126+E1126,2)</f>
        <v>611.34</v>
      </c>
      <c r="G1126" s="314" t="s">
        <v>4523</v>
      </c>
      <c r="H1126" s="518" t="s">
        <v>892</v>
      </c>
      <c r="I1126" s="452" t="s">
        <v>11565</v>
      </c>
      <c r="J1126" s="369" t="s">
        <v>753</v>
      </c>
      <c r="K1126" s="452" t="s">
        <v>741</v>
      </c>
    </row>
    <row r="1127" spans="1:11" s="317" customFormat="1">
      <c r="A1127" s="369"/>
      <c r="B1127" s="231" t="s">
        <v>876</v>
      </c>
      <c r="C1127" s="196">
        <v>1769</v>
      </c>
      <c r="D1127" s="230">
        <f>C1127*(1-VLOOKUP(I1127,descuentos,6,FALSE))*fcl/IF(dol_sol="dólar", TC,1)</f>
        <v>543.40943690637721</v>
      </c>
      <c r="E1127" s="215">
        <f>D1127/8</f>
        <v>67.926179613297151</v>
      </c>
      <c r="F1127" s="511">
        <f>ROUNDUP(D1127+E1127,2)</f>
        <v>611.34</v>
      </c>
      <c r="G1127" s="314" t="s">
        <v>4524</v>
      </c>
      <c r="H1127" s="518" t="s">
        <v>891</v>
      </c>
      <c r="I1127" s="452" t="s">
        <v>11565</v>
      </c>
      <c r="J1127" s="369" t="s">
        <v>753</v>
      </c>
      <c r="K1127" s="452" t="s">
        <v>741</v>
      </c>
    </row>
    <row r="1128" spans="1:11" s="317" customFormat="1">
      <c r="A1128" s="369"/>
      <c r="B1128" s="231" t="s">
        <v>887</v>
      </c>
      <c r="C1128" s="196">
        <v>1861</v>
      </c>
      <c r="D1128" s="230">
        <f>C1128*(1-VLOOKUP(I1128,descuentos,6,FALSE))*fcl/IF(dol_sol="dólar", TC,1)</f>
        <v>571.67041383989147</v>
      </c>
      <c r="E1128" s="215">
        <f>D1128/8</f>
        <v>71.458801729986433</v>
      </c>
      <c r="F1128" s="511">
        <f>ROUNDUP(D1128+E1128,2)</f>
        <v>643.13</v>
      </c>
      <c r="G1128" s="314" t="s">
        <v>4525</v>
      </c>
      <c r="H1128" s="518" t="s">
        <v>903</v>
      </c>
      <c r="I1128" s="452" t="s">
        <v>11565</v>
      </c>
      <c r="J1128" s="369" t="s">
        <v>753</v>
      </c>
      <c r="K1128" s="452" t="s">
        <v>741</v>
      </c>
    </row>
    <row r="1129" spans="1:11" s="317" customFormat="1">
      <c r="A1129" s="369"/>
      <c r="B1129" s="231"/>
      <c r="C1129" s="196" t="s">
        <v>2024</v>
      </c>
      <c r="D1129" s="230"/>
      <c r="E1129" s="215"/>
      <c r="F1129" s="511"/>
      <c r="G1129" s="314"/>
      <c r="H1129" s="518"/>
      <c r="I1129" s="452"/>
      <c r="J1129" s="369"/>
      <c r="K1129" s="452"/>
    </row>
    <row r="1130" spans="1:11" s="317" customFormat="1">
      <c r="A1130" s="369"/>
      <c r="B1130" s="231" t="s">
        <v>889</v>
      </c>
      <c r="C1130" s="196">
        <v>1917</v>
      </c>
      <c r="D1130" s="230">
        <f>C1130*(1-VLOOKUP(I1130,descuentos,6,FALSE))*fcl/IF(dol_sol="dólar", TC,1)</f>
        <v>588.87274762550885</v>
      </c>
      <c r="E1130" s="215">
        <f>D1130/8</f>
        <v>73.609093453188606</v>
      </c>
      <c r="F1130" s="511">
        <f>ROUNDUP(D1130+E1130,2)</f>
        <v>662.49</v>
      </c>
      <c r="G1130" s="314" t="s">
        <v>4526</v>
      </c>
      <c r="H1130" s="518" t="s">
        <v>905</v>
      </c>
      <c r="I1130" s="452" t="s">
        <v>11565</v>
      </c>
      <c r="J1130" s="369" t="s">
        <v>753</v>
      </c>
      <c r="K1130" s="452" t="s">
        <v>741</v>
      </c>
    </row>
    <row r="1131" spans="1:11" s="317" customFormat="1">
      <c r="A1131" s="369"/>
      <c r="B1131" s="231" t="s">
        <v>878</v>
      </c>
      <c r="C1131" s="196">
        <v>1917</v>
      </c>
      <c r="D1131" s="230">
        <f>C1131*(1-VLOOKUP(I1131,descuentos,6,FALSE))*fcl/IF(dol_sol="dólar", TC,1)</f>
        <v>588.87274762550885</v>
      </c>
      <c r="E1131" s="215">
        <f>D1131/8</f>
        <v>73.609093453188606</v>
      </c>
      <c r="F1131" s="511">
        <f>ROUNDUP(D1131+E1131,2)</f>
        <v>662.49</v>
      </c>
      <c r="G1131" s="314" t="s">
        <v>4527</v>
      </c>
      <c r="H1131" s="518" t="s">
        <v>893</v>
      </c>
      <c r="I1131" s="452" t="s">
        <v>11565</v>
      </c>
      <c r="J1131" s="369" t="s">
        <v>753</v>
      </c>
      <c r="K1131" s="452" t="s">
        <v>741</v>
      </c>
    </row>
    <row r="1132" spans="1:11" s="317" customFormat="1">
      <c r="A1132" s="369"/>
      <c r="B1132" s="231" t="s">
        <v>880</v>
      </c>
      <c r="C1132" s="196">
        <v>2008</v>
      </c>
      <c r="D1132" s="230">
        <f>C1132*(1-VLOOKUP(I1132,descuentos,6,FALSE))*fcl/IF(dol_sol="dólar", TC,1)</f>
        <v>616.82654002713707</v>
      </c>
      <c r="E1132" s="215">
        <f>D1132/8</f>
        <v>77.103317503392134</v>
      </c>
      <c r="F1132" s="511">
        <f>ROUNDUP(D1132+E1132,2)</f>
        <v>693.93</v>
      </c>
      <c r="G1132" s="314" t="s">
        <v>4528</v>
      </c>
      <c r="H1132" s="518" t="s">
        <v>895</v>
      </c>
      <c r="I1132" s="452" t="s">
        <v>11565</v>
      </c>
      <c r="J1132" s="369" t="s">
        <v>753</v>
      </c>
      <c r="K1132" s="452" t="s">
        <v>741</v>
      </c>
    </row>
    <row r="1133" spans="1:11" s="317" customFormat="1">
      <c r="A1133" s="369"/>
      <c r="B1133" s="231"/>
      <c r="C1133" s="196" t="s">
        <v>2024</v>
      </c>
      <c r="D1133" s="230"/>
      <c r="E1133" s="215"/>
      <c r="F1133" s="511"/>
      <c r="G1133" s="314"/>
      <c r="H1133" s="518"/>
      <c r="I1133" s="452"/>
      <c r="J1133" s="369"/>
      <c r="K1133" s="452"/>
    </row>
    <row r="1134" spans="1:11" s="317" customFormat="1">
      <c r="A1134" s="369"/>
      <c r="B1134" s="231" t="s">
        <v>5374</v>
      </c>
      <c r="C1134" s="196">
        <v>2169</v>
      </c>
      <c r="D1134" s="230">
        <f>C1134*(1-VLOOKUP(I1134,descuentos,6,FALSE))*fcl/IF(dol_sol="dólar", TC,1)</f>
        <v>666.28324966078696</v>
      </c>
      <c r="E1134" s="215">
        <f>D1134/8</f>
        <v>83.285406207598371</v>
      </c>
      <c r="F1134" s="511">
        <f>ROUNDUP(D1134+E1134,2)</f>
        <v>749.56999999999994</v>
      </c>
      <c r="G1134" s="314" t="s">
        <v>5375</v>
      </c>
      <c r="H1134" s="518" t="s">
        <v>5376</v>
      </c>
      <c r="I1134" s="452" t="s">
        <v>11565</v>
      </c>
      <c r="J1134" s="369" t="s">
        <v>753</v>
      </c>
      <c r="K1134" s="452" t="s">
        <v>741</v>
      </c>
    </row>
    <row r="1135" spans="1:11" s="317" customFormat="1">
      <c r="A1135" s="369"/>
      <c r="B1135" s="231" t="s">
        <v>5377</v>
      </c>
      <c r="C1135" s="196">
        <v>2169</v>
      </c>
      <c r="D1135" s="230">
        <f>C1135*(1-VLOOKUP(I1135,descuentos,6,FALSE))*fcl/IF(dol_sol="dólar", TC,1)</f>
        <v>666.28324966078696</v>
      </c>
      <c r="E1135" s="215">
        <f>D1135/8</f>
        <v>83.285406207598371</v>
      </c>
      <c r="F1135" s="511">
        <f>ROUNDUP(D1135+E1135,2)</f>
        <v>749.56999999999994</v>
      </c>
      <c r="G1135" s="314" t="s">
        <v>5378</v>
      </c>
      <c r="H1135" s="518" t="s">
        <v>5379</v>
      </c>
      <c r="I1135" s="452" t="s">
        <v>11565</v>
      </c>
      <c r="J1135" s="369" t="s">
        <v>753</v>
      </c>
      <c r="K1135" s="452" t="s">
        <v>741</v>
      </c>
    </row>
    <row r="1136" spans="1:11" s="317" customFormat="1">
      <c r="A1136" s="369"/>
      <c r="B1136" s="231" t="s">
        <v>5380</v>
      </c>
      <c r="C1136" s="196">
        <v>2258</v>
      </c>
      <c r="D1136" s="230">
        <f>C1136*(1-VLOOKUP(I1136,descuentos,6,FALSE))*fcl/IF(dol_sol="dólar", TC,1)</f>
        <v>693.62267299864311</v>
      </c>
      <c r="E1136" s="215">
        <f>D1136/8</f>
        <v>86.702834124830389</v>
      </c>
      <c r="F1136" s="511">
        <f>ROUNDUP(D1136+E1136,2)</f>
        <v>780.33</v>
      </c>
      <c r="G1136" s="314" t="s">
        <v>5381</v>
      </c>
      <c r="H1136" s="518" t="s">
        <v>5382</v>
      </c>
      <c r="I1136" s="452" t="s">
        <v>11565</v>
      </c>
      <c r="J1136" s="369" t="s">
        <v>753</v>
      </c>
      <c r="K1136" s="452" t="s">
        <v>741</v>
      </c>
    </row>
    <row r="1137" spans="1:11" s="317" customFormat="1">
      <c r="A1137" s="369"/>
      <c r="B1137" s="231"/>
      <c r="C1137" s="196" t="s">
        <v>2024</v>
      </c>
      <c r="D1137" s="230"/>
      <c r="E1137" s="215"/>
      <c r="F1137" s="511"/>
      <c r="G1137" s="314"/>
      <c r="H1137" s="518"/>
      <c r="I1137" s="452"/>
      <c r="J1137" s="369"/>
      <c r="K1137" s="452"/>
    </row>
    <row r="1138" spans="1:11" s="317" customFormat="1">
      <c r="A1138" s="369"/>
      <c r="B1138" s="731" t="s">
        <v>4529</v>
      </c>
      <c r="C1138" s="346">
        <v>2298</v>
      </c>
      <c r="D1138" s="345">
        <f>C1138*(1-VLOOKUP(I1138,descuentos,6,FALSE))*fcl/IF(dol_sol="dólar", TC,1)</f>
        <v>705.91005427408402</v>
      </c>
      <c r="E1138" s="343">
        <f>D1138/8</f>
        <v>88.238756784260502</v>
      </c>
      <c r="F1138" s="508">
        <f>ROUNDUP(D1138+E1138,2)</f>
        <v>794.15</v>
      </c>
      <c r="G1138" s="351" t="s">
        <v>4530</v>
      </c>
      <c r="H1138" s="506" t="s">
        <v>4531</v>
      </c>
      <c r="I1138" s="452" t="s">
        <v>11565</v>
      </c>
      <c r="J1138" s="369" t="s">
        <v>753</v>
      </c>
      <c r="K1138" s="452" t="s">
        <v>741</v>
      </c>
    </row>
    <row r="1139" spans="1:11" s="317" customFormat="1">
      <c r="A1139" s="369"/>
      <c r="B1139" s="731" t="s">
        <v>2827</v>
      </c>
      <c r="C1139" s="346">
        <v>2298</v>
      </c>
      <c r="D1139" s="345">
        <f>C1139*(1-VLOOKUP(I1139,descuentos,6,FALSE))*fcl/IF(dol_sol="dólar", TC,1)</f>
        <v>705.91005427408402</v>
      </c>
      <c r="E1139" s="343">
        <f>D1139/8</f>
        <v>88.238756784260502</v>
      </c>
      <c r="F1139" s="508">
        <f>ROUNDUP(D1139+E1139,2)</f>
        <v>794.15</v>
      </c>
      <c r="G1139" s="351" t="s">
        <v>4532</v>
      </c>
      <c r="H1139" s="506" t="s">
        <v>2836</v>
      </c>
      <c r="I1139" s="452" t="s">
        <v>11565</v>
      </c>
      <c r="J1139" s="369" t="s">
        <v>753</v>
      </c>
      <c r="K1139" s="452" t="s">
        <v>741</v>
      </c>
    </row>
    <row r="1140" spans="1:11" s="317" customFormat="1">
      <c r="A1140" s="369"/>
      <c r="B1140" s="731" t="s">
        <v>2828</v>
      </c>
      <c r="C1140" s="346">
        <v>2298</v>
      </c>
      <c r="D1140" s="345">
        <f>C1140*(1-VLOOKUP(I1140,descuentos,6,FALSE))*fcl/IF(dol_sol="dólar", TC,1)</f>
        <v>705.91005427408402</v>
      </c>
      <c r="E1140" s="343">
        <f>D1140/8</f>
        <v>88.238756784260502</v>
      </c>
      <c r="F1140" s="508">
        <f>ROUNDUP(D1140+E1140,2)</f>
        <v>794.15</v>
      </c>
      <c r="G1140" s="351" t="s">
        <v>4533</v>
      </c>
      <c r="H1140" s="506" t="s">
        <v>2837</v>
      </c>
      <c r="I1140" s="452" t="s">
        <v>11565</v>
      </c>
      <c r="J1140" s="369" t="s">
        <v>753</v>
      </c>
      <c r="K1140" s="452" t="s">
        <v>741</v>
      </c>
    </row>
    <row r="1141" spans="1:11" s="317" customFormat="1">
      <c r="A1141" s="369"/>
      <c r="B1141" s="731" t="s">
        <v>2829</v>
      </c>
      <c r="C1141" s="346">
        <v>2417</v>
      </c>
      <c r="D1141" s="345">
        <f>C1141*(1-VLOOKUP(I1141,descuentos,6,FALSE))*fcl/IF(dol_sol="dólar", TC,1)</f>
        <v>742.46501356852104</v>
      </c>
      <c r="E1141" s="343">
        <f>D1141/8</f>
        <v>92.808126696065131</v>
      </c>
      <c r="F1141" s="508">
        <f>ROUNDUP(D1141+E1141,2)</f>
        <v>835.28</v>
      </c>
      <c r="G1141" s="351" t="s">
        <v>9112</v>
      </c>
      <c r="H1141" s="506" t="s">
        <v>2838</v>
      </c>
      <c r="I1141" s="452" t="s">
        <v>11565</v>
      </c>
      <c r="J1141" s="369" t="s">
        <v>753</v>
      </c>
      <c r="K1141" s="452" t="s">
        <v>741</v>
      </c>
    </row>
    <row r="1142" spans="1:11" s="317" customFormat="1">
      <c r="A1142" s="369"/>
      <c r="B1142" s="231"/>
      <c r="C1142" s="196" t="s">
        <v>2024</v>
      </c>
      <c r="D1142" s="230"/>
      <c r="E1142" s="215"/>
      <c r="F1142" s="511"/>
      <c r="G1142" s="314"/>
      <c r="H1142" s="518"/>
      <c r="I1142" s="452"/>
      <c r="J1142" s="369"/>
      <c r="K1142" s="452"/>
    </row>
    <row r="1143" spans="1:11" s="317" customFormat="1">
      <c r="A1143" s="369"/>
      <c r="B1143" s="731" t="s">
        <v>2830</v>
      </c>
      <c r="C1143" s="346">
        <v>2492</v>
      </c>
      <c r="D1143" s="345">
        <f>C1143*(1-VLOOKUP(I1143,descuentos,6,FALSE))*fcl/IF(dol_sol="dólar", TC,1)</f>
        <v>765.50385345997279</v>
      </c>
      <c r="E1143" s="343">
        <f>D1143/8</f>
        <v>95.687981682496599</v>
      </c>
      <c r="F1143" s="508">
        <f>ROUNDUP(D1143+E1143,2)</f>
        <v>861.2</v>
      </c>
      <c r="G1143" s="351" t="s">
        <v>4534</v>
      </c>
      <c r="H1143" s="506" t="s">
        <v>2839</v>
      </c>
      <c r="I1143" s="452" t="s">
        <v>11565</v>
      </c>
      <c r="J1143" s="369" t="s">
        <v>753</v>
      </c>
      <c r="K1143" s="452" t="s">
        <v>741</v>
      </c>
    </row>
    <row r="1144" spans="1:11" s="317" customFormat="1">
      <c r="A1144" s="369"/>
      <c r="B1144" s="731" t="s">
        <v>2831</v>
      </c>
      <c r="C1144" s="346">
        <v>2492</v>
      </c>
      <c r="D1144" s="345">
        <f>C1144*(1-VLOOKUP(I1144,descuentos,6,FALSE))*fcl/IF(dol_sol="dólar", TC,1)</f>
        <v>765.50385345997279</v>
      </c>
      <c r="E1144" s="343">
        <f>D1144/8</f>
        <v>95.687981682496599</v>
      </c>
      <c r="F1144" s="508">
        <f>ROUNDUP(D1144+E1144,2)</f>
        <v>861.2</v>
      </c>
      <c r="G1144" s="351" t="s">
        <v>4535</v>
      </c>
      <c r="H1144" s="506" t="s">
        <v>2840</v>
      </c>
      <c r="I1144" s="452" t="s">
        <v>11565</v>
      </c>
      <c r="J1144" s="369" t="s">
        <v>753</v>
      </c>
      <c r="K1144" s="452" t="s">
        <v>741</v>
      </c>
    </row>
    <row r="1145" spans="1:11" s="317" customFormat="1">
      <c r="A1145" s="369"/>
      <c r="B1145" s="731" t="s">
        <v>2832</v>
      </c>
      <c r="C1145" s="346">
        <v>2609</v>
      </c>
      <c r="D1145" s="345">
        <f>C1145*(1-VLOOKUP(I1145,descuentos,6,FALSE))*fcl/IF(dol_sol="dólar", TC,1)</f>
        <v>801.44444369063774</v>
      </c>
      <c r="E1145" s="343">
        <f>D1145/8</f>
        <v>100.18055546132972</v>
      </c>
      <c r="F1145" s="508">
        <f>ROUNDUP(D1145+E1145,2)</f>
        <v>901.63</v>
      </c>
      <c r="G1145" s="351" t="s">
        <v>9113</v>
      </c>
      <c r="H1145" s="506" t="s">
        <v>2841</v>
      </c>
      <c r="I1145" s="452" t="s">
        <v>11565</v>
      </c>
      <c r="J1145" s="369" t="s">
        <v>753</v>
      </c>
      <c r="K1145" s="452" t="s">
        <v>741</v>
      </c>
    </row>
    <row r="1146" spans="1:11" s="317" customFormat="1">
      <c r="A1146" s="369"/>
      <c r="B1146" s="231"/>
      <c r="C1146" s="196" t="s">
        <v>2024</v>
      </c>
      <c r="D1146" s="230"/>
      <c r="E1146" s="215"/>
      <c r="F1146" s="511"/>
      <c r="G1146" s="314"/>
      <c r="H1146" s="518"/>
      <c r="I1146" s="452"/>
      <c r="J1146" s="369"/>
      <c r="K1146" s="452"/>
    </row>
    <row r="1147" spans="1:11" s="317" customFormat="1">
      <c r="A1147" s="369"/>
      <c r="B1147" s="731" t="s">
        <v>2833</v>
      </c>
      <c r="C1147" s="346">
        <v>2818</v>
      </c>
      <c r="D1147" s="345">
        <f>C1147*(1-VLOOKUP(I1147,descuentos,6,FALSE))*fcl/IF(dol_sol="dólar", TC,1)</f>
        <v>865.64601085481684</v>
      </c>
      <c r="E1147" s="343">
        <f>D1147/8</f>
        <v>108.2057513568521</v>
      </c>
      <c r="F1147" s="508">
        <f>ROUNDUP(D1147+E1147,2)</f>
        <v>973.86</v>
      </c>
      <c r="G1147" s="351" t="s">
        <v>4536</v>
      </c>
      <c r="H1147" s="506" t="s">
        <v>2842</v>
      </c>
      <c r="I1147" s="452" t="s">
        <v>11565</v>
      </c>
      <c r="J1147" s="369" t="s">
        <v>753</v>
      </c>
      <c r="K1147" s="452" t="s">
        <v>741</v>
      </c>
    </row>
    <row r="1148" spans="1:11" s="317" customFormat="1">
      <c r="A1148" s="369"/>
      <c r="B1148" s="731" t="s">
        <v>2834</v>
      </c>
      <c r="C1148" s="346">
        <v>2818</v>
      </c>
      <c r="D1148" s="345">
        <f>C1148*(1-VLOOKUP(I1148,descuentos,6,FALSE))*fcl/IF(dol_sol="dólar", TC,1)</f>
        <v>865.64601085481684</v>
      </c>
      <c r="E1148" s="343">
        <f>D1148/8</f>
        <v>108.2057513568521</v>
      </c>
      <c r="F1148" s="508">
        <f>ROUNDUP(D1148+E1148,2)</f>
        <v>973.86</v>
      </c>
      <c r="G1148" s="351" t="s">
        <v>4537</v>
      </c>
      <c r="H1148" s="506" t="s">
        <v>2843</v>
      </c>
      <c r="I1148" s="452" t="s">
        <v>11565</v>
      </c>
      <c r="J1148" s="369" t="s">
        <v>753</v>
      </c>
      <c r="K1148" s="452" t="s">
        <v>741</v>
      </c>
    </row>
    <row r="1149" spans="1:11" s="317" customFormat="1">
      <c r="A1149" s="369"/>
      <c r="B1149" s="731" t="s">
        <v>2835</v>
      </c>
      <c r="C1149" s="346">
        <v>2936</v>
      </c>
      <c r="D1149" s="345">
        <f>C1149*(1-VLOOKUP(I1149,descuentos,6,FALSE))*fcl/IF(dol_sol="dólar", TC,1)</f>
        <v>901.89378561736771</v>
      </c>
      <c r="E1149" s="343">
        <f>D1149/8</f>
        <v>112.73672320217096</v>
      </c>
      <c r="F1149" s="508">
        <f>ROUNDUP(D1149+E1149,2)</f>
        <v>1014.64</v>
      </c>
      <c r="G1149" s="351" t="s">
        <v>4538</v>
      </c>
      <c r="H1149" s="506" t="s">
        <v>2844</v>
      </c>
      <c r="I1149" s="452" t="s">
        <v>11565</v>
      </c>
      <c r="J1149" s="369" t="s">
        <v>753</v>
      </c>
      <c r="K1149" s="452" t="s">
        <v>741</v>
      </c>
    </row>
    <row r="1150" spans="1:11" s="317" customFormat="1">
      <c r="A1150" s="369"/>
      <c r="B1150" s="231"/>
      <c r="C1150" s="196" t="s">
        <v>2024</v>
      </c>
      <c r="D1150" s="230"/>
      <c r="E1150" s="215"/>
      <c r="F1150" s="511"/>
      <c r="G1150" s="314"/>
      <c r="H1150" s="518"/>
      <c r="I1150" s="452"/>
      <c r="J1150" s="369"/>
      <c r="K1150" s="452"/>
    </row>
    <row r="1151" spans="1:11" s="317" customFormat="1">
      <c r="A1151" s="369"/>
      <c r="B1151" s="731" t="s">
        <v>6674</v>
      </c>
      <c r="C1151" s="346">
        <v>3143</v>
      </c>
      <c r="D1151" s="345">
        <f>C1151*(1-VLOOKUP(I1151,descuentos,6,FALSE))*fcl/IF(dol_sol="dólar", TC,1)</f>
        <v>965.48098371777462</v>
      </c>
      <c r="E1151" s="343">
        <f>D1151/8</f>
        <v>120.68512296472183</v>
      </c>
      <c r="F1151" s="508">
        <f>ROUNDUP(D1151+E1151,2)</f>
        <v>1086.17</v>
      </c>
      <c r="G1151" s="351" t="s">
        <v>6675</v>
      </c>
      <c r="H1151" s="506" t="s">
        <v>6676</v>
      </c>
      <c r="I1151" s="452" t="s">
        <v>11565</v>
      </c>
      <c r="J1151" s="369" t="s">
        <v>753</v>
      </c>
      <c r="K1151" s="452" t="s">
        <v>741</v>
      </c>
    </row>
    <row r="1152" spans="1:11" s="317" customFormat="1">
      <c r="A1152" s="369"/>
      <c r="B1152" s="731" t="s">
        <v>6677</v>
      </c>
      <c r="C1152" s="346">
        <v>3143</v>
      </c>
      <c r="D1152" s="345">
        <f>C1152*(1-VLOOKUP(I1152,descuentos,6,FALSE))*fcl/IF(dol_sol="dólar", TC,1)</f>
        <v>965.48098371777462</v>
      </c>
      <c r="E1152" s="343">
        <f>D1152/8</f>
        <v>120.68512296472183</v>
      </c>
      <c r="F1152" s="508">
        <f>ROUNDUP(D1152+E1152,2)</f>
        <v>1086.17</v>
      </c>
      <c r="G1152" s="351" t="s">
        <v>6678</v>
      </c>
      <c r="H1152" s="506" t="s">
        <v>6679</v>
      </c>
      <c r="I1152" s="452" t="s">
        <v>11565</v>
      </c>
      <c r="J1152" s="369" t="s">
        <v>753</v>
      </c>
      <c r="K1152" s="452" t="s">
        <v>741</v>
      </c>
    </row>
    <row r="1153" spans="1:11" s="317" customFormat="1">
      <c r="A1153" s="369"/>
      <c r="B1153" s="731" t="s">
        <v>6680</v>
      </c>
      <c r="C1153" s="346">
        <v>3263</v>
      </c>
      <c r="D1153" s="345">
        <f>C1153*(1-VLOOKUP(I1153,descuentos,6,FALSE))*fcl/IF(dol_sol="dólar", TC,1)</f>
        <v>1002.3431275440977</v>
      </c>
      <c r="E1153" s="343">
        <f>D1153/8</f>
        <v>125.29289094301221</v>
      </c>
      <c r="F1153" s="508">
        <f>ROUNDUP(D1153+E1153,2)</f>
        <v>1127.6400000000001</v>
      </c>
      <c r="G1153" s="351" t="s">
        <v>6681</v>
      </c>
      <c r="H1153" s="506" t="s">
        <v>6682</v>
      </c>
      <c r="I1153" s="452" t="s">
        <v>11565</v>
      </c>
      <c r="J1153" s="369" t="s">
        <v>753</v>
      </c>
      <c r="K1153" s="452" t="s">
        <v>741</v>
      </c>
    </row>
    <row r="1154" spans="1:11" s="317" customFormat="1">
      <c r="A1154" s="369"/>
      <c r="B1154" s="232"/>
      <c r="C1154" s="196" t="s">
        <v>2024</v>
      </c>
      <c r="D1154" s="230"/>
      <c r="E1154" s="215"/>
      <c r="F1154" s="511"/>
      <c r="G1154" s="314"/>
      <c r="H1154" s="1545"/>
      <c r="I1154" s="452"/>
      <c r="J1154" s="369"/>
      <c r="K1154" s="452"/>
    </row>
    <row r="1155" spans="1:11" s="317" customFormat="1">
      <c r="A1155" s="369"/>
      <c r="B1155" s="1381"/>
      <c r="C1155" s="655" t="s">
        <v>2024</v>
      </c>
      <c r="D1155" s="230"/>
      <c r="E1155" s="215"/>
      <c r="F1155" s="511"/>
      <c r="G1155" s="314"/>
      <c r="H1155" s="1545"/>
      <c r="I1155" s="452"/>
      <c r="J1155" s="369"/>
      <c r="K1155" s="452"/>
    </row>
    <row r="1156" spans="1:11" s="317" customFormat="1">
      <c r="A1156" s="369"/>
      <c r="B1156" s="1381"/>
      <c r="C1156" s="655" t="s">
        <v>2024</v>
      </c>
      <c r="D1156" s="230"/>
      <c r="E1156" s="215"/>
      <c r="F1156" s="511"/>
      <c r="G1156" s="314"/>
      <c r="H1156" s="1545"/>
      <c r="I1156" s="452"/>
      <c r="J1156" s="369"/>
      <c r="K1156" s="452"/>
    </row>
    <row r="1157" spans="1:11" s="317" customFormat="1" ht="13.8">
      <c r="A1157" s="369"/>
      <c r="B1157" s="1382" t="s">
        <v>5383</v>
      </c>
      <c r="C1157" s="655" t="s">
        <v>2024</v>
      </c>
      <c r="D1157" s="230"/>
      <c r="E1157" s="215"/>
      <c r="F1157" s="511"/>
      <c r="G1157" s="314"/>
      <c r="H1157" s="1545"/>
      <c r="I1157" s="452"/>
      <c r="J1157" s="369"/>
      <c r="K1157" s="452"/>
    </row>
    <row r="1158" spans="1:11" s="317" customFormat="1" ht="13.8">
      <c r="A1158" s="369"/>
      <c r="B1158" s="1382" t="s">
        <v>5384</v>
      </c>
      <c r="C1158" s="655" t="s">
        <v>2024</v>
      </c>
      <c r="D1158" s="230"/>
      <c r="E1158" s="215"/>
      <c r="F1158" s="511"/>
      <c r="G1158" s="314"/>
      <c r="H1158" s="1545"/>
      <c r="I1158" s="452"/>
      <c r="J1158" s="369"/>
      <c r="K1158" s="452"/>
    </row>
    <row r="1159" spans="1:11" s="317" customFormat="1">
      <c r="A1159" s="369"/>
      <c r="B1159" s="233"/>
      <c r="C1159" s="196" t="s">
        <v>2024</v>
      </c>
      <c r="D1159" s="230"/>
      <c r="E1159" s="215"/>
      <c r="F1159" s="511"/>
      <c r="G1159" s="314"/>
      <c r="H1159" s="1545"/>
      <c r="I1159" s="452"/>
      <c r="J1159" s="369"/>
      <c r="K1159" s="452"/>
    </row>
    <row r="1160" spans="1:11" s="317" customFormat="1">
      <c r="A1160" s="369"/>
      <c r="B1160" s="231" t="s">
        <v>5385</v>
      </c>
      <c r="C1160" s="196">
        <v>1910</v>
      </c>
      <c r="D1160" s="230">
        <f>C1160*(1-VLOOKUP(I1160,descuentos,6,FALSE))*fcl/IF(dol_sol="dólar", TC,1)</f>
        <v>586.72245590230659</v>
      </c>
      <c r="E1160" s="417">
        <v>15</v>
      </c>
      <c r="F1160" s="511">
        <f>ROUNDUP(D1160+E1160,2)</f>
        <v>601.73</v>
      </c>
      <c r="G1160" s="314" t="s">
        <v>5386</v>
      </c>
      <c r="H1160" s="518" t="s">
        <v>5387</v>
      </c>
      <c r="I1160" s="452" t="s">
        <v>11565</v>
      </c>
      <c r="J1160" s="369" t="s">
        <v>753</v>
      </c>
      <c r="K1160" s="452" t="s">
        <v>741</v>
      </c>
    </row>
    <row r="1161" spans="1:11" s="315" customFormat="1">
      <c r="A1161" s="369"/>
      <c r="B1161" s="231" t="s">
        <v>5388</v>
      </c>
      <c r="C1161" s="196">
        <v>1910</v>
      </c>
      <c r="D1161" s="230">
        <f>C1161*(1-VLOOKUP(I1161,descuentos,6,FALSE))*fcl/IF(dol_sol="dólar", TC,1)</f>
        <v>586.72245590230659</v>
      </c>
      <c r="E1161" s="417">
        <v>15</v>
      </c>
      <c r="F1161" s="511">
        <f>ROUNDUP(D1161+E1161,2)</f>
        <v>601.73</v>
      </c>
      <c r="G1161" s="314" t="s">
        <v>5389</v>
      </c>
      <c r="H1161" s="518" t="s">
        <v>5390</v>
      </c>
      <c r="I1161" s="452" t="s">
        <v>11565</v>
      </c>
      <c r="J1161" s="369" t="s">
        <v>753</v>
      </c>
      <c r="K1161" s="452" t="s">
        <v>741</v>
      </c>
    </row>
    <row r="1162" spans="1:11" s="315" customFormat="1">
      <c r="A1162" s="369"/>
      <c r="B1162" s="231" t="s">
        <v>5391</v>
      </c>
      <c r="C1162" s="196">
        <v>1971</v>
      </c>
      <c r="D1162" s="230">
        <f>C1162*(1-VLOOKUP(I1162,descuentos,6,FALSE))*fcl/IF(dol_sol="dólar", TC,1)</f>
        <v>605.46071234735405</v>
      </c>
      <c r="E1162" s="417">
        <v>15</v>
      </c>
      <c r="F1162" s="511">
        <f>ROUNDUP(D1162+E1162,2)</f>
        <v>620.47</v>
      </c>
      <c r="G1162" s="314" t="s">
        <v>5392</v>
      </c>
      <c r="H1162" s="518" t="s">
        <v>5393</v>
      </c>
      <c r="I1162" s="452" t="s">
        <v>11565</v>
      </c>
      <c r="J1162" s="369" t="s">
        <v>753</v>
      </c>
      <c r="K1162" s="452" t="s">
        <v>741</v>
      </c>
    </row>
    <row r="1163" spans="1:11" s="315" customFormat="1">
      <c r="A1163" s="369"/>
      <c r="B1163" s="231"/>
      <c r="C1163" s="196" t="s">
        <v>2024</v>
      </c>
      <c r="D1163" s="230"/>
      <c r="E1163" s="417"/>
      <c r="F1163" s="511"/>
      <c r="G1163" s="314"/>
      <c r="H1163" s="518"/>
      <c r="I1163" s="452"/>
      <c r="J1163" s="369"/>
      <c r="K1163" s="452"/>
    </row>
    <row r="1164" spans="1:11" s="315" customFormat="1">
      <c r="A1164" s="369"/>
      <c r="B1164" s="231" t="s">
        <v>6683</v>
      </c>
      <c r="C1164" s="196">
        <v>2358</v>
      </c>
      <c r="D1164" s="230">
        <f>C1164*(1-VLOOKUP(I1164,descuentos,6,FALSE))*fcl/IF(dol_sol="dólar", TC,1)</f>
        <v>724.34112618724555</v>
      </c>
      <c r="E1164" s="417">
        <v>15</v>
      </c>
      <c r="F1164" s="511">
        <f>ROUNDUP(D1164+E1164,2)</f>
        <v>739.35</v>
      </c>
      <c r="G1164" s="314" t="s">
        <v>6684</v>
      </c>
      <c r="H1164" s="518" t="s">
        <v>6685</v>
      </c>
      <c r="I1164" s="452" t="s">
        <v>11565</v>
      </c>
      <c r="J1164" s="369" t="s">
        <v>753</v>
      </c>
      <c r="K1164" s="452" t="s">
        <v>741</v>
      </c>
    </row>
    <row r="1165" spans="1:11" s="317" customFormat="1">
      <c r="A1165" s="369"/>
      <c r="B1165" s="231"/>
      <c r="C1165" s="196" t="s">
        <v>2024</v>
      </c>
      <c r="D1165" s="230"/>
      <c r="E1165" s="215"/>
      <c r="F1165" s="511"/>
      <c r="G1165" s="314"/>
      <c r="H1165" s="518"/>
      <c r="I1165" s="452"/>
      <c r="J1165" s="369"/>
      <c r="K1165" s="452"/>
    </row>
    <row r="1166" spans="1:11" s="315" customFormat="1">
      <c r="A1166" s="369"/>
      <c r="B1166" s="231" t="s">
        <v>5394</v>
      </c>
      <c r="C1166" s="196">
        <v>2211</v>
      </c>
      <c r="D1166" s="230">
        <f>C1166*(1-VLOOKUP(I1166,descuentos,6,FALSE))*fcl/IF(dol_sol="dólar", TC,1)</f>
        <v>679.18499999999995</v>
      </c>
      <c r="E1166" s="417">
        <v>15</v>
      </c>
      <c r="F1166" s="511">
        <f>ROUNDUP(D1166+E1166,2)</f>
        <v>694.18999999999994</v>
      </c>
      <c r="G1166" s="314" t="s">
        <v>6686</v>
      </c>
      <c r="H1166" s="518" t="s">
        <v>5395</v>
      </c>
      <c r="I1166" s="452" t="s">
        <v>11565</v>
      </c>
      <c r="J1166" s="369" t="s">
        <v>753</v>
      </c>
      <c r="K1166" s="452" t="s">
        <v>741</v>
      </c>
    </row>
    <row r="1167" spans="1:11" s="315" customFormat="1">
      <c r="A1167" s="369"/>
      <c r="B1167" s="231" t="s">
        <v>5396</v>
      </c>
      <c r="C1167" s="196">
        <v>2302</v>
      </c>
      <c r="D1167" s="230">
        <f>C1167*(1-VLOOKUP(I1167,descuentos,6,FALSE))*fcl/IF(dol_sol="dólar", TC,1)</f>
        <v>707.13879240162817</v>
      </c>
      <c r="E1167" s="417">
        <v>15</v>
      </c>
      <c r="F1167" s="511">
        <f>ROUNDUP(D1167+E1167,2)</f>
        <v>722.14</v>
      </c>
      <c r="G1167" s="314" t="s">
        <v>5397</v>
      </c>
      <c r="H1167" s="518" t="s">
        <v>5398</v>
      </c>
      <c r="I1167" s="452" t="s">
        <v>11565</v>
      </c>
      <c r="J1167" s="369" t="s">
        <v>753</v>
      </c>
      <c r="K1167" s="452" t="s">
        <v>741</v>
      </c>
    </row>
    <row r="1168" spans="1:11" s="317" customFormat="1">
      <c r="A1168" s="369"/>
      <c r="B1168" s="231"/>
      <c r="C1168" s="196" t="s">
        <v>2024</v>
      </c>
      <c r="D1168" s="230"/>
      <c r="E1168" s="215"/>
      <c r="F1168" s="511"/>
      <c r="G1168" s="314"/>
      <c r="H1168" s="518"/>
      <c r="I1168" s="452"/>
      <c r="J1168" s="369"/>
      <c r="K1168" s="452"/>
    </row>
    <row r="1169" spans="1:11" s="315" customFormat="1">
      <c r="A1169" s="369"/>
      <c r="B1169" s="231" t="s">
        <v>11677</v>
      </c>
      <c r="C1169" s="196">
        <v>2450</v>
      </c>
      <c r="D1169" s="230">
        <f>C1169*(1-VLOOKUP(I1169,descuentos,6,FALSE))*fcl/IF(dol_sol="dólar", TC,1)</f>
        <v>752.60210312075981</v>
      </c>
      <c r="E1169" s="417">
        <v>15</v>
      </c>
      <c r="F1169" s="511">
        <f>ROUNDUP(D1169+E1169,2)</f>
        <v>767.61</v>
      </c>
      <c r="G1169" s="314" t="s">
        <v>11678</v>
      </c>
      <c r="H1169" s="518" t="s">
        <v>11679</v>
      </c>
      <c r="I1169" s="452" t="s">
        <v>11565</v>
      </c>
      <c r="J1169" s="369" t="s">
        <v>753</v>
      </c>
      <c r="K1169" s="452" t="s">
        <v>741</v>
      </c>
    </row>
    <row r="1170" spans="1:11" s="317" customFormat="1">
      <c r="A1170" s="369"/>
      <c r="B1170" s="231"/>
      <c r="C1170" s="196" t="s">
        <v>2024</v>
      </c>
      <c r="D1170" s="230"/>
      <c r="E1170" s="215"/>
      <c r="F1170" s="511"/>
      <c r="G1170" s="314"/>
      <c r="H1170" s="518"/>
      <c r="I1170" s="452"/>
      <c r="J1170" s="369"/>
      <c r="K1170" s="452"/>
    </row>
    <row r="1171" spans="1:11" s="315" customFormat="1">
      <c r="A1171" s="369"/>
      <c r="B1171" s="231" t="s">
        <v>9114</v>
      </c>
      <c r="C1171" s="196">
        <v>2991</v>
      </c>
      <c r="D1171" s="230">
        <f>C1171*(1-VLOOKUP(I1171,descuentos,6,FALSE))*fcl/IF(dol_sol="dólar", TC,1)</f>
        <v>918.78893487109906</v>
      </c>
      <c r="E1171" s="417">
        <v>15</v>
      </c>
      <c r="F1171" s="511">
        <f>ROUNDUP(D1171+E1171,2)</f>
        <v>933.79</v>
      </c>
      <c r="G1171" s="314" t="s">
        <v>9115</v>
      </c>
      <c r="H1171" s="518" t="s">
        <v>9116</v>
      </c>
      <c r="I1171" s="452" t="s">
        <v>11565</v>
      </c>
      <c r="J1171" s="369" t="s">
        <v>753</v>
      </c>
      <c r="K1171" s="452" t="s">
        <v>741</v>
      </c>
    </row>
    <row r="1172" spans="1:11" s="317" customFormat="1">
      <c r="A1172" s="369"/>
      <c r="B1172" s="232"/>
      <c r="C1172" s="196" t="s">
        <v>2024</v>
      </c>
      <c r="D1172" s="230"/>
      <c r="E1172" s="215"/>
      <c r="F1172" s="511"/>
      <c r="G1172" s="314"/>
      <c r="H1172" s="518"/>
      <c r="I1172" s="452"/>
      <c r="J1172" s="369"/>
      <c r="K1172" s="452"/>
    </row>
    <row r="1173" spans="1:11" s="317" customFormat="1">
      <c r="A1173" s="369"/>
      <c r="B1173" s="314"/>
      <c r="C1173" s="196" t="s">
        <v>2024</v>
      </c>
      <c r="D1173" s="230"/>
      <c r="E1173" s="215"/>
      <c r="F1173" s="511"/>
      <c r="G1173" s="314"/>
      <c r="H1173" s="518"/>
      <c r="I1173" s="452"/>
      <c r="J1173" s="369"/>
      <c r="K1173" s="452"/>
    </row>
    <row r="1174" spans="1:11" s="317" customFormat="1">
      <c r="A1174" s="1469"/>
      <c r="B1174" s="314" t="s">
        <v>9659</v>
      </c>
      <c r="C1174" s="196">
        <v>2127</v>
      </c>
      <c r="D1174" s="230">
        <f>C1174*(1-VLOOKUP(I1174,descuentos,6,FALSE))*fcl/IF(dol_sol="dólar", TC,1)</f>
        <v>653.38149932157387</v>
      </c>
      <c r="E1174" s="417">
        <v>15</v>
      </c>
      <c r="F1174" s="511">
        <f>ROUNDUP(D1174+E1174,2)</f>
        <v>668.39</v>
      </c>
      <c r="G1174" s="314" t="s">
        <v>9660</v>
      </c>
      <c r="H1174" s="518" t="s">
        <v>9661</v>
      </c>
      <c r="I1174" s="452" t="s">
        <v>11565</v>
      </c>
      <c r="J1174" s="369" t="s">
        <v>753</v>
      </c>
      <c r="K1174" s="452" t="s">
        <v>741</v>
      </c>
    </row>
    <row r="1175" spans="1:11" s="317" customFormat="1">
      <c r="A1175" s="1469"/>
      <c r="B1175" s="314" t="s">
        <v>9662</v>
      </c>
      <c r="C1175" s="196">
        <v>2127</v>
      </c>
      <c r="D1175" s="230">
        <f>C1175*(1-VLOOKUP(I1175,descuentos,6,FALSE))*fcl/IF(dol_sol="dólar", TC,1)</f>
        <v>653.38149932157387</v>
      </c>
      <c r="E1175" s="417">
        <v>15</v>
      </c>
      <c r="F1175" s="511">
        <f>ROUNDUP(D1175+E1175,2)</f>
        <v>668.39</v>
      </c>
      <c r="G1175" s="314" t="s">
        <v>9663</v>
      </c>
      <c r="H1175" s="518" t="s">
        <v>9664</v>
      </c>
      <c r="I1175" s="452" t="s">
        <v>11565</v>
      </c>
      <c r="J1175" s="369" t="s">
        <v>753</v>
      </c>
      <c r="K1175" s="452" t="s">
        <v>741</v>
      </c>
    </row>
    <row r="1176" spans="1:11" s="317" customFormat="1">
      <c r="A1176" s="1469"/>
      <c r="B1176" s="314" t="s">
        <v>9665</v>
      </c>
      <c r="C1176" s="196">
        <v>2188</v>
      </c>
      <c r="D1176" s="230">
        <f>C1176*(1-VLOOKUP(I1176,descuentos,6,FALSE))*fcl/IF(dol_sol="dólar", TC,1)</f>
        <v>672.11975576662132</v>
      </c>
      <c r="E1176" s="417">
        <v>15</v>
      </c>
      <c r="F1176" s="511">
        <f>ROUNDUP(D1176+E1176,2)</f>
        <v>687.12</v>
      </c>
      <c r="G1176" s="314" t="s">
        <v>9666</v>
      </c>
      <c r="H1176" s="518" t="s">
        <v>9667</v>
      </c>
      <c r="I1176" s="452" t="s">
        <v>11565</v>
      </c>
      <c r="J1176" s="369" t="s">
        <v>753</v>
      </c>
      <c r="K1176" s="452" t="s">
        <v>741</v>
      </c>
    </row>
    <row r="1177" spans="1:11" s="317" customFormat="1">
      <c r="A1177" s="369"/>
      <c r="B1177" s="314"/>
      <c r="C1177" s="196" t="s">
        <v>2024</v>
      </c>
      <c r="D1177" s="230"/>
      <c r="E1177" s="215"/>
      <c r="F1177" s="511"/>
      <c r="G1177" s="314"/>
      <c r="H1177" s="518"/>
      <c r="I1177" s="452"/>
      <c r="J1177" s="369"/>
      <c r="K1177" s="452"/>
    </row>
    <row r="1178" spans="1:11" s="317" customFormat="1">
      <c r="A1178" s="1469"/>
      <c r="B1178" s="314" t="s">
        <v>6687</v>
      </c>
      <c r="C1178" s="196">
        <v>2568</v>
      </c>
      <c r="D1178" s="230">
        <f>C1178*(1-VLOOKUP(I1178,descuentos,6,FALSE))*fcl/IF(dol_sol="dólar", TC,1)</f>
        <v>788.84987788331068</v>
      </c>
      <c r="E1178" s="417">
        <v>15</v>
      </c>
      <c r="F1178" s="511">
        <f>ROUNDUP(D1178+E1178,2)</f>
        <v>803.85</v>
      </c>
      <c r="G1178" s="314" t="s">
        <v>6688</v>
      </c>
      <c r="H1178" s="518" t="s">
        <v>6689</v>
      </c>
      <c r="I1178" s="452" t="s">
        <v>11565</v>
      </c>
      <c r="J1178" s="369" t="s">
        <v>753</v>
      </c>
      <c r="K1178" s="452" t="s">
        <v>741</v>
      </c>
    </row>
    <row r="1179" spans="1:11" s="317" customFormat="1">
      <c r="A1179" s="1469"/>
      <c r="B1179" s="314" t="s">
        <v>6690</v>
      </c>
      <c r="C1179" s="196">
        <v>2568</v>
      </c>
      <c r="D1179" s="230">
        <f>C1179*(1-VLOOKUP(I1179,descuentos,6,FALSE))*fcl/IF(dol_sol="dólar", TC,1)</f>
        <v>788.84987788331068</v>
      </c>
      <c r="E1179" s="417">
        <v>15</v>
      </c>
      <c r="F1179" s="511">
        <f>ROUNDUP(D1179+E1179,2)</f>
        <v>803.85</v>
      </c>
      <c r="G1179" s="314" t="s">
        <v>6691</v>
      </c>
      <c r="H1179" s="518" t="s">
        <v>6692</v>
      </c>
      <c r="I1179" s="452" t="s">
        <v>11565</v>
      </c>
      <c r="J1179" s="369" t="s">
        <v>753</v>
      </c>
      <c r="K1179" s="452" t="s">
        <v>741</v>
      </c>
    </row>
    <row r="1180" spans="1:11" s="317" customFormat="1">
      <c r="A1180" s="369"/>
      <c r="B1180" s="314"/>
      <c r="C1180" s="655" t="s">
        <v>2024</v>
      </c>
      <c r="D1180" s="230"/>
      <c r="E1180" s="215"/>
      <c r="F1180" s="511"/>
      <c r="G1180" s="314"/>
      <c r="H1180" s="518"/>
      <c r="I1180" s="452"/>
      <c r="J1180" s="369"/>
      <c r="K1180" s="452"/>
    </row>
    <row r="1181" spans="1:11" s="317" customFormat="1">
      <c r="A1181" s="1469"/>
      <c r="B1181" s="314" t="s">
        <v>6693</v>
      </c>
      <c r="C1181" s="196">
        <v>3065</v>
      </c>
      <c r="D1181" s="230">
        <f>C1181*(1-VLOOKUP(I1181,descuentos,6,FALSE))*fcl/IF(dol_sol="dólar", TC,1)</f>
        <v>941.52059023066488</v>
      </c>
      <c r="E1181" s="417">
        <v>15</v>
      </c>
      <c r="F1181" s="511">
        <f>ROUNDUP(D1181+E1181,2)</f>
        <v>956.53</v>
      </c>
      <c r="G1181" s="314" t="s">
        <v>6694</v>
      </c>
      <c r="H1181" s="518" t="s">
        <v>6695</v>
      </c>
      <c r="I1181" s="452" t="s">
        <v>11565</v>
      </c>
      <c r="J1181" s="369" t="s">
        <v>753</v>
      </c>
      <c r="K1181" s="452" t="s">
        <v>741</v>
      </c>
    </row>
    <row r="1182" spans="1:11" s="317" customFormat="1">
      <c r="A1182" s="1469"/>
      <c r="B1182" s="314" t="s">
        <v>6696</v>
      </c>
      <c r="C1182" s="196">
        <v>3065</v>
      </c>
      <c r="D1182" s="230">
        <f>C1182*(1-VLOOKUP(I1182,descuentos,6,FALSE))*fcl/IF(dol_sol="dólar", TC,1)</f>
        <v>941.52059023066488</v>
      </c>
      <c r="E1182" s="417">
        <v>15</v>
      </c>
      <c r="F1182" s="511">
        <f>ROUNDUP(D1182+E1182,2)</f>
        <v>956.53</v>
      </c>
      <c r="G1182" s="314" t="s">
        <v>6697</v>
      </c>
      <c r="H1182" s="518" t="s">
        <v>6698</v>
      </c>
      <c r="I1182" s="452" t="s">
        <v>11565</v>
      </c>
      <c r="J1182" s="369" t="s">
        <v>753</v>
      </c>
      <c r="K1182" s="452" t="s">
        <v>741</v>
      </c>
    </row>
    <row r="1183" spans="1:11" s="317" customFormat="1">
      <c r="A1183" s="1469"/>
      <c r="B1183" s="314" t="s">
        <v>6699</v>
      </c>
      <c r="C1183" s="196">
        <v>3152</v>
      </c>
      <c r="D1183" s="230">
        <f>C1183*(1-VLOOKUP(I1183,descuentos,6,FALSE))*fcl/IF(dol_sol="dólar", TC,1)</f>
        <v>968.24564450474884</v>
      </c>
      <c r="E1183" s="417">
        <v>15</v>
      </c>
      <c r="F1183" s="511">
        <f>ROUNDUP(D1183+E1183,2)</f>
        <v>983.25</v>
      </c>
      <c r="G1183" s="314" t="s">
        <v>6700</v>
      </c>
      <c r="H1183" s="518" t="s">
        <v>6701</v>
      </c>
      <c r="I1183" s="452" t="s">
        <v>11565</v>
      </c>
      <c r="J1183" s="369" t="s">
        <v>753</v>
      </c>
      <c r="K1183" s="452" t="s">
        <v>741</v>
      </c>
    </row>
    <row r="1184" spans="1:11" s="315" customFormat="1">
      <c r="A1184" s="369"/>
      <c r="B1184" s="314"/>
      <c r="C1184" s="196" t="s">
        <v>2024</v>
      </c>
      <c r="D1184" s="230"/>
      <c r="E1184" s="215"/>
      <c r="F1184" s="511"/>
      <c r="G1184" s="314"/>
      <c r="H1184" s="518"/>
      <c r="I1184" s="452"/>
      <c r="J1184" s="369"/>
      <c r="K1184" s="452"/>
    </row>
    <row r="1185" spans="1:11" s="317" customFormat="1">
      <c r="A1185" s="1469"/>
      <c r="B1185" s="351" t="s">
        <v>6702</v>
      </c>
      <c r="C1185" s="346">
        <v>2580</v>
      </c>
      <c r="D1185" s="345">
        <f>C1185*(1-VLOOKUP(I1185,descuentos,6,FALSE))*fcl/IF(dol_sol="dólar", TC,1)</f>
        <v>792.5360922659429</v>
      </c>
      <c r="E1185" s="343">
        <f>D1185/8</f>
        <v>99.067011533242862</v>
      </c>
      <c r="F1185" s="508">
        <f>ROUNDUP(D1185+E1185,2)</f>
        <v>891.61</v>
      </c>
      <c r="G1185" s="351" t="s">
        <v>6703</v>
      </c>
      <c r="H1185" s="506" t="s">
        <v>6704</v>
      </c>
      <c r="I1185" s="452" t="s">
        <v>11565</v>
      </c>
      <c r="J1185" s="369" t="s">
        <v>753</v>
      </c>
      <c r="K1185" s="452" t="s">
        <v>741</v>
      </c>
    </row>
    <row r="1186" spans="1:11" s="315" customFormat="1">
      <c r="A1186" s="369"/>
      <c r="B1186" s="314"/>
      <c r="C1186" s="196" t="s">
        <v>2024</v>
      </c>
      <c r="D1186" s="230"/>
      <c r="E1186" s="215"/>
      <c r="F1186" s="511"/>
      <c r="G1186" s="314"/>
      <c r="H1186" s="518"/>
      <c r="I1186" s="452"/>
      <c r="J1186" s="369"/>
      <c r="K1186" s="452"/>
    </row>
    <row r="1187" spans="1:11" s="317" customFormat="1">
      <c r="A1187" s="1469"/>
      <c r="B1187" s="351" t="s">
        <v>9712</v>
      </c>
      <c r="C1187" s="346">
        <v>2872</v>
      </c>
      <c r="D1187" s="345">
        <f>C1187*(1-VLOOKUP(I1187,descuentos,6,FALSE))*fcl/IF(dol_sol="dólar", TC,1)</f>
        <v>882.23397557666215</v>
      </c>
      <c r="E1187" s="343">
        <f>D1187/8</f>
        <v>110.27924694708277</v>
      </c>
      <c r="F1187" s="508">
        <f>ROUNDUP(D1187+E1187,2)</f>
        <v>992.52</v>
      </c>
      <c r="G1187" s="351" t="s">
        <v>9713</v>
      </c>
      <c r="H1187" s="506" t="s">
        <v>9714</v>
      </c>
      <c r="I1187" s="452" t="s">
        <v>11565</v>
      </c>
      <c r="J1187" s="369" t="s">
        <v>753</v>
      </c>
      <c r="K1187" s="452" t="s">
        <v>741</v>
      </c>
    </row>
    <row r="1188" spans="1:11" s="315" customFormat="1">
      <c r="A1188" s="369"/>
      <c r="B1188" s="314"/>
      <c r="C1188" s="196" t="s">
        <v>2024</v>
      </c>
      <c r="D1188" s="230"/>
      <c r="E1188" s="215"/>
      <c r="F1188" s="511"/>
      <c r="G1188" s="314"/>
      <c r="H1188" s="518"/>
      <c r="I1188" s="452"/>
      <c r="J1188" s="369"/>
      <c r="K1188" s="452"/>
    </row>
    <row r="1189" spans="1:11" s="317" customFormat="1">
      <c r="A1189" s="1469"/>
      <c r="B1189" s="351" t="s">
        <v>6705</v>
      </c>
      <c r="C1189" s="346">
        <v>3161</v>
      </c>
      <c r="D1189" s="345">
        <f>C1189*(1-VLOOKUP(I1189,descuentos,6,FALSE))*fcl/IF(dol_sol="dólar", TC,1)</f>
        <v>971.01030529172306</v>
      </c>
      <c r="E1189" s="343">
        <f>D1189/8</f>
        <v>121.37628816146538</v>
      </c>
      <c r="F1189" s="508">
        <f>ROUNDUP(D1189+E1189,2)</f>
        <v>1092.3900000000001</v>
      </c>
      <c r="G1189" s="351" t="s">
        <v>6706</v>
      </c>
      <c r="H1189" s="506" t="s">
        <v>6707</v>
      </c>
      <c r="I1189" s="452" t="s">
        <v>11565</v>
      </c>
      <c r="J1189" s="369" t="s">
        <v>753</v>
      </c>
      <c r="K1189" s="452" t="s">
        <v>741</v>
      </c>
    </row>
    <row r="1190" spans="1:11" s="317" customFormat="1">
      <c r="A1190" s="1469"/>
      <c r="B1190" s="351" t="s">
        <v>6708</v>
      </c>
      <c r="C1190" s="346">
        <v>3161</v>
      </c>
      <c r="D1190" s="345">
        <f>C1190*(1-VLOOKUP(I1190,descuentos,6,FALSE))*fcl/IF(dol_sol="dólar", TC,1)</f>
        <v>971.01030529172306</v>
      </c>
      <c r="E1190" s="343">
        <f>D1190/8</f>
        <v>121.37628816146538</v>
      </c>
      <c r="F1190" s="508">
        <f>ROUNDUP(D1190+E1190,2)</f>
        <v>1092.3900000000001</v>
      </c>
      <c r="G1190" s="351" t="s">
        <v>6709</v>
      </c>
      <c r="H1190" s="506" t="s">
        <v>6710</v>
      </c>
      <c r="I1190" s="452" t="s">
        <v>11565</v>
      </c>
      <c r="J1190" s="369" t="s">
        <v>753</v>
      </c>
      <c r="K1190" s="452" t="s">
        <v>741</v>
      </c>
    </row>
    <row r="1191" spans="1:11" s="317" customFormat="1">
      <c r="A1191" s="1469"/>
      <c r="B1191" s="351" t="s">
        <v>6711</v>
      </c>
      <c r="C1191" s="346">
        <v>3161</v>
      </c>
      <c r="D1191" s="345">
        <f>C1191*(1-VLOOKUP(I1191,descuentos,6,FALSE))*fcl/IF(dol_sol="dólar", TC,1)</f>
        <v>971.01030529172306</v>
      </c>
      <c r="E1191" s="343">
        <f>D1191/8</f>
        <v>121.37628816146538</v>
      </c>
      <c r="F1191" s="508">
        <f>ROUNDUP(D1191+E1191,2)</f>
        <v>1092.3900000000001</v>
      </c>
      <c r="G1191" s="351" t="s">
        <v>6712</v>
      </c>
      <c r="H1191" s="506" t="s">
        <v>6713</v>
      </c>
      <c r="I1191" s="452" t="s">
        <v>11565</v>
      </c>
      <c r="J1191" s="369" t="s">
        <v>753</v>
      </c>
      <c r="K1191" s="452" t="s">
        <v>741</v>
      </c>
    </row>
    <row r="1192" spans="1:11" s="315" customFormat="1">
      <c r="A1192" s="369"/>
      <c r="B1192" s="314"/>
      <c r="C1192" s="196" t="s">
        <v>2024</v>
      </c>
      <c r="D1192" s="230"/>
      <c r="E1192" s="215"/>
      <c r="F1192" s="511"/>
      <c r="G1192" s="314"/>
      <c r="H1192" s="518"/>
      <c r="I1192" s="452"/>
      <c r="J1192" s="369"/>
      <c r="K1192" s="452"/>
    </row>
    <row r="1193" spans="1:11" s="317" customFormat="1">
      <c r="A1193" s="1469"/>
      <c r="B1193" s="351" t="s">
        <v>6714</v>
      </c>
      <c r="C1193" s="346">
        <v>3352</v>
      </c>
      <c r="D1193" s="345">
        <f>C1193*(1-VLOOKUP(I1193,descuentos,6,FALSE))*fcl/IF(dol_sol="dólar", TC,1)</f>
        <v>1029.6825508819536</v>
      </c>
      <c r="E1193" s="343">
        <f>D1193/8</f>
        <v>128.7103188602442</v>
      </c>
      <c r="F1193" s="508">
        <f>ROUNDUP(D1193+E1193,2)</f>
        <v>1158.4000000000001</v>
      </c>
      <c r="G1193" s="351" t="s">
        <v>6715</v>
      </c>
      <c r="H1193" s="506" t="s">
        <v>6716</v>
      </c>
      <c r="I1193" s="452" t="s">
        <v>11565</v>
      </c>
      <c r="J1193" s="369" t="s">
        <v>753</v>
      </c>
      <c r="K1193" s="452" t="s">
        <v>741</v>
      </c>
    </row>
    <row r="1194" spans="1:11" s="317" customFormat="1">
      <c r="A1194" s="1469"/>
      <c r="B1194" s="351" t="s">
        <v>6717</v>
      </c>
      <c r="C1194" s="346">
        <v>3352</v>
      </c>
      <c r="D1194" s="345">
        <f>C1194*(1-VLOOKUP(I1194,descuentos,6,FALSE))*fcl/IF(dol_sol="dólar", TC,1)</f>
        <v>1029.6825508819536</v>
      </c>
      <c r="E1194" s="343">
        <f>D1194/8</f>
        <v>128.7103188602442</v>
      </c>
      <c r="F1194" s="508">
        <f>ROUNDUP(D1194+E1194,2)</f>
        <v>1158.4000000000001</v>
      </c>
      <c r="G1194" s="351" t="s">
        <v>6718</v>
      </c>
      <c r="H1194" s="506" t="s">
        <v>6719</v>
      </c>
      <c r="I1194" s="452" t="s">
        <v>11565</v>
      </c>
      <c r="J1194" s="369" t="s">
        <v>753</v>
      </c>
      <c r="K1194" s="452" t="s">
        <v>741</v>
      </c>
    </row>
    <row r="1195" spans="1:11" s="317" customFormat="1">
      <c r="A1195" s="369"/>
      <c r="B1195" s="314"/>
      <c r="C1195" s="655" t="s">
        <v>2024</v>
      </c>
      <c r="D1195" s="230"/>
      <c r="E1195" s="215"/>
      <c r="F1195" s="511"/>
      <c r="G1195" s="314"/>
      <c r="H1195" s="518"/>
      <c r="I1195" s="452"/>
      <c r="J1195" s="369"/>
      <c r="K1195" s="452"/>
    </row>
    <row r="1196" spans="1:11" s="315" customFormat="1">
      <c r="A1196" s="1469"/>
      <c r="B1196" s="314" t="s">
        <v>6720</v>
      </c>
      <c r="C1196" s="196">
        <v>2522</v>
      </c>
      <c r="D1196" s="230">
        <f>C1196*(1-VLOOKUP(I1196,descuentos,6,FALSE))*fcl/IF(dol_sol="dólar", TC,1)</f>
        <v>774.71938941655344</v>
      </c>
      <c r="E1196" s="417">
        <v>15</v>
      </c>
      <c r="F1196" s="511">
        <f>ROUNDUP(D1196+E1196,2)</f>
        <v>789.72</v>
      </c>
      <c r="G1196" s="314" t="s">
        <v>6721</v>
      </c>
      <c r="H1196" s="518" t="s">
        <v>6722</v>
      </c>
      <c r="I1196" s="452" t="s">
        <v>11565</v>
      </c>
      <c r="J1196" s="369" t="s">
        <v>753</v>
      </c>
      <c r="K1196" s="452" t="s">
        <v>741</v>
      </c>
    </row>
    <row r="1197" spans="1:11" s="315" customFormat="1">
      <c r="A1197" s="1469"/>
      <c r="B1197" s="314" t="s">
        <v>6723</v>
      </c>
      <c r="C1197" s="196">
        <v>3278</v>
      </c>
      <c r="D1197" s="230">
        <f>C1197*(1-VLOOKUP(I1197,descuentos,6,FALSE))*fcl/IF(dol_sol="dólar", TC,1)</f>
        <v>1006.950895522388</v>
      </c>
      <c r="E1197" s="417">
        <v>15</v>
      </c>
      <c r="F1197" s="511">
        <f>ROUNDUP(D1197+E1197,2)</f>
        <v>1021.96</v>
      </c>
      <c r="G1197" s="314" t="s">
        <v>6724</v>
      </c>
      <c r="H1197" s="518" t="s">
        <v>6725</v>
      </c>
      <c r="I1197" s="452" t="s">
        <v>11565</v>
      </c>
      <c r="J1197" s="369" t="s">
        <v>753</v>
      </c>
      <c r="K1197" s="452" t="s">
        <v>741</v>
      </c>
    </row>
    <row r="1198" spans="1:11" s="315" customFormat="1">
      <c r="A1198" s="369"/>
      <c r="B1198" s="314"/>
      <c r="C1198" s="196" t="s">
        <v>2024</v>
      </c>
      <c r="D1198" s="230"/>
      <c r="E1198" s="215"/>
      <c r="F1198" s="511"/>
      <c r="G1198" s="314"/>
      <c r="H1198" s="518"/>
      <c r="I1198" s="452"/>
      <c r="J1198" s="369"/>
      <c r="K1198" s="452"/>
    </row>
    <row r="1199" spans="1:11" s="317" customFormat="1">
      <c r="A1199" s="369"/>
      <c r="B1199" s="233"/>
      <c r="C1199" s="196" t="s">
        <v>2024</v>
      </c>
      <c r="D1199" s="230"/>
      <c r="E1199" s="215"/>
      <c r="F1199" s="511"/>
      <c r="G1199" s="314"/>
      <c r="H1199" s="518"/>
      <c r="I1199" s="452"/>
      <c r="J1199" s="369"/>
      <c r="K1199" s="452"/>
    </row>
    <row r="1200" spans="1:11" s="317" customFormat="1">
      <c r="A1200" s="369"/>
      <c r="B1200" s="550" t="s">
        <v>823</v>
      </c>
      <c r="C1200" s="196">
        <v>22</v>
      </c>
      <c r="D1200" s="230">
        <f t="shared" ref="D1200:D1207" si="183">C1200*(1-VLOOKUP(I1200,descuentos,6,FALSE))*fcl/IF(dol_sol="dólar", TC,1)</f>
        <v>6.7580597014925363</v>
      </c>
      <c r="E1200" s="215">
        <v>3</v>
      </c>
      <c r="F1200" s="511">
        <f>ROUNDUP(D1200+E1200,2)</f>
        <v>9.76</v>
      </c>
      <c r="G1200" s="518" t="s">
        <v>4887</v>
      </c>
      <c r="H1200" s="518" t="s">
        <v>822</v>
      </c>
      <c r="I1200" s="452" t="s">
        <v>11565</v>
      </c>
      <c r="J1200" s="515" t="s">
        <v>753</v>
      </c>
      <c r="K1200" s="452" t="s">
        <v>741</v>
      </c>
    </row>
    <row r="1201" spans="1:11" s="317" customFormat="1">
      <c r="A1201" s="515"/>
      <c r="B1201" s="550" t="s">
        <v>956</v>
      </c>
      <c r="C1201" s="196">
        <v>94</v>
      </c>
      <c r="D1201" s="230">
        <f t="shared" si="183"/>
        <v>28.875345997286296</v>
      </c>
      <c r="E1201" s="215">
        <v>3</v>
      </c>
      <c r="F1201" s="511">
        <f>ROUNDUP(D1201+E1201,2)</f>
        <v>31.880000000000003</v>
      </c>
      <c r="G1201" s="518" t="s">
        <v>4889</v>
      </c>
      <c r="H1201" s="518" t="s">
        <v>824</v>
      </c>
      <c r="I1201" s="452" t="s">
        <v>11565</v>
      </c>
      <c r="J1201" s="515" t="s">
        <v>753</v>
      </c>
      <c r="K1201" s="452" t="s">
        <v>741</v>
      </c>
    </row>
    <row r="1202" spans="1:11" s="317" customFormat="1">
      <c r="A1202" s="515"/>
      <c r="B1202" s="550" t="s">
        <v>826</v>
      </c>
      <c r="C1202" s="196">
        <v>24</v>
      </c>
      <c r="D1202" s="230">
        <f t="shared" si="183"/>
        <v>7.3724287652645861</v>
      </c>
      <c r="E1202" s="215">
        <v>3</v>
      </c>
      <c r="F1202" s="511">
        <f>ROUNDUP(D1202+E1202,2)</f>
        <v>10.379999999999999</v>
      </c>
      <c r="G1202" s="518" t="s">
        <v>4891</v>
      </c>
      <c r="H1202" s="518" t="s">
        <v>825</v>
      </c>
      <c r="I1202" s="452" t="s">
        <v>11565</v>
      </c>
      <c r="J1202" s="515" t="s">
        <v>753</v>
      </c>
      <c r="K1202" s="452" t="s">
        <v>741</v>
      </c>
    </row>
    <row r="1203" spans="1:11" s="317" customFormat="1">
      <c r="A1203" s="515"/>
      <c r="B1203" s="550" t="s">
        <v>957</v>
      </c>
      <c r="C1203" s="196">
        <v>216</v>
      </c>
      <c r="D1203" s="230">
        <f t="shared" si="183"/>
        <v>66.351858887381283</v>
      </c>
      <c r="E1203" s="215">
        <v>3</v>
      </c>
      <c r="F1203" s="511">
        <f>ROUNDUP(D1203+E1203,2)</f>
        <v>69.36</v>
      </c>
      <c r="G1203" s="518" t="s">
        <v>4893</v>
      </c>
      <c r="H1203" s="518" t="s">
        <v>827</v>
      </c>
      <c r="I1203" s="452" t="s">
        <v>11565</v>
      </c>
      <c r="J1203" s="515" t="s">
        <v>753</v>
      </c>
      <c r="K1203" s="452" t="s">
        <v>741</v>
      </c>
    </row>
    <row r="1204" spans="1:11" s="317" customFormat="1">
      <c r="A1204" s="515"/>
      <c r="B1204" s="550" t="s">
        <v>828</v>
      </c>
      <c r="C1204" s="196">
        <v>48</v>
      </c>
      <c r="D1204" s="230">
        <f t="shared" si="183"/>
        <v>14.744857530529172</v>
      </c>
      <c r="E1204" s="215">
        <v>5</v>
      </c>
      <c r="F1204" s="511">
        <f>ROUNDUP(D1204+E1204,2)</f>
        <v>19.75</v>
      </c>
      <c r="G1204" s="518" t="s">
        <v>4895</v>
      </c>
      <c r="H1204" s="518" t="s">
        <v>829</v>
      </c>
      <c r="I1204" s="452" t="s">
        <v>11565</v>
      </c>
      <c r="J1204" s="515" t="s">
        <v>753</v>
      </c>
      <c r="K1204" s="452" t="s">
        <v>741</v>
      </c>
    </row>
    <row r="1205" spans="1:11" s="317" customFormat="1">
      <c r="A1205" s="515"/>
      <c r="B1205" s="550" t="s">
        <v>958</v>
      </c>
      <c r="C1205" s="196">
        <v>296</v>
      </c>
      <c r="D1205" s="230">
        <f t="shared" si="183"/>
        <v>90.926621438263226</v>
      </c>
      <c r="E1205" s="215">
        <v>5</v>
      </c>
      <c r="F1205" s="511">
        <f t="shared" ref="F1205:F1249" si="184">ROUNDUP(D1205+E1205,2)</f>
        <v>95.93</v>
      </c>
      <c r="G1205" s="518" t="s">
        <v>4897</v>
      </c>
      <c r="H1205" s="518" t="s">
        <v>830</v>
      </c>
      <c r="I1205" s="452" t="s">
        <v>11565</v>
      </c>
      <c r="J1205" s="515" t="s">
        <v>753</v>
      </c>
      <c r="K1205" s="452" t="s">
        <v>741</v>
      </c>
    </row>
    <row r="1206" spans="1:11" s="317" customFormat="1">
      <c r="A1206" s="515"/>
      <c r="B1206" s="550" t="s">
        <v>831</v>
      </c>
      <c r="C1206" s="196">
        <v>226</v>
      </c>
      <c r="D1206" s="230">
        <f t="shared" si="183"/>
        <v>69.42370420624151</v>
      </c>
      <c r="E1206" s="215">
        <v>5</v>
      </c>
      <c r="F1206" s="511">
        <f t="shared" si="184"/>
        <v>74.430000000000007</v>
      </c>
      <c r="G1206" s="518" t="s">
        <v>4899</v>
      </c>
      <c r="H1206" s="518" t="s">
        <v>832</v>
      </c>
      <c r="I1206" s="452" t="s">
        <v>11565</v>
      </c>
      <c r="J1206" s="515" t="s">
        <v>753</v>
      </c>
      <c r="K1206" s="452" t="s">
        <v>741</v>
      </c>
    </row>
    <row r="1207" spans="1:11" s="317" customFormat="1">
      <c r="A1207" s="515"/>
      <c r="B1207" s="550" t="s">
        <v>959</v>
      </c>
      <c r="C1207" s="196">
        <v>244</v>
      </c>
      <c r="D1207" s="230">
        <f t="shared" si="183"/>
        <v>74.953025780189961</v>
      </c>
      <c r="E1207" s="215">
        <v>5</v>
      </c>
      <c r="F1207" s="511">
        <f t="shared" si="184"/>
        <v>79.960000000000008</v>
      </c>
      <c r="G1207" s="518" t="s">
        <v>4901</v>
      </c>
      <c r="H1207" s="518" t="s">
        <v>833</v>
      </c>
      <c r="I1207" s="452" t="s">
        <v>11565</v>
      </c>
      <c r="J1207" s="515" t="s">
        <v>753</v>
      </c>
      <c r="K1207" s="452" t="s">
        <v>741</v>
      </c>
    </row>
    <row r="1208" spans="1:11" s="315" customFormat="1">
      <c r="A1208" s="515"/>
      <c r="B1208" s="550"/>
      <c r="C1208" s="196" t="s">
        <v>2024</v>
      </c>
      <c r="D1208" s="230"/>
      <c r="E1208" s="215"/>
      <c r="F1208" s="511"/>
      <c r="G1208" s="518"/>
      <c r="H1208" s="518"/>
      <c r="I1208" s="452"/>
      <c r="J1208" s="515"/>
      <c r="K1208" s="452"/>
    </row>
    <row r="1209" spans="1:11" s="317" customFormat="1">
      <c r="A1209" s="515"/>
      <c r="B1209" s="551" t="s">
        <v>2235</v>
      </c>
      <c r="C1209" s="234">
        <v>29</v>
      </c>
      <c r="D1209" s="345">
        <f t="shared" ref="D1209:D1216" si="185">C1209*(1-VLOOKUP(I1209,descuentos,6,FALSE))*fcl/IF(dol_sol="dólar", TC,1)</f>
        <v>8.9083514246947075</v>
      </c>
      <c r="E1209" s="343">
        <v>4</v>
      </c>
      <c r="F1209" s="508">
        <f t="shared" ref="F1209:F1216" si="186">ROUNDUP(D1209+E1209,2)</f>
        <v>12.91</v>
      </c>
      <c r="G1209" s="506" t="s">
        <v>4888</v>
      </c>
      <c r="H1209" s="518" t="s">
        <v>2236</v>
      </c>
      <c r="I1209" s="452" t="s">
        <v>11565</v>
      </c>
      <c r="J1209" s="515" t="s">
        <v>753</v>
      </c>
      <c r="K1209" s="452" t="s">
        <v>741</v>
      </c>
    </row>
    <row r="1210" spans="1:11" s="317" customFormat="1">
      <c r="A1210" s="515"/>
      <c r="B1210" s="551" t="s">
        <v>2237</v>
      </c>
      <c r="C1210" s="346">
        <v>127</v>
      </c>
      <c r="D1210" s="345">
        <f t="shared" si="185"/>
        <v>39.012435549525094</v>
      </c>
      <c r="E1210" s="343">
        <v>4</v>
      </c>
      <c r="F1210" s="508">
        <f t="shared" si="186"/>
        <v>43.019999999999996</v>
      </c>
      <c r="G1210" s="506" t="s">
        <v>4890</v>
      </c>
      <c r="H1210" s="518" t="s">
        <v>2238</v>
      </c>
      <c r="I1210" s="452" t="s">
        <v>11565</v>
      </c>
      <c r="J1210" s="515" t="s">
        <v>753</v>
      </c>
      <c r="K1210" s="452" t="s">
        <v>741</v>
      </c>
    </row>
    <row r="1211" spans="1:11" s="317" customFormat="1">
      <c r="A1211" s="515"/>
      <c r="B1211" s="551" t="s">
        <v>2239</v>
      </c>
      <c r="C1211" s="346">
        <v>32</v>
      </c>
      <c r="D1211" s="345">
        <f t="shared" si="185"/>
        <v>9.8299050203527809</v>
      </c>
      <c r="E1211" s="343">
        <v>4</v>
      </c>
      <c r="F1211" s="508">
        <f t="shared" si="186"/>
        <v>13.83</v>
      </c>
      <c r="G1211" s="506" t="s">
        <v>4892</v>
      </c>
      <c r="H1211" s="518" t="s">
        <v>2240</v>
      </c>
      <c r="I1211" s="452" t="s">
        <v>11565</v>
      </c>
      <c r="J1211" s="515" t="s">
        <v>753</v>
      </c>
      <c r="K1211" s="452" t="s">
        <v>741</v>
      </c>
    </row>
    <row r="1212" spans="1:11" s="317" customFormat="1">
      <c r="A1212" s="515"/>
      <c r="B1212" s="551" t="s">
        <v>2241</v>
      </c>
      <c r="C1212" s="346">
        <v>237</v>
      </c>
      <c r="D1212" s="345">
        <f t="shared" si="185"/>
        <v>72.802734056987788</v>
      </c>
      <c r="E1212" s="343">
        <v>4</v>
      </c>
      <c r="F1212" s="508">
        <f t="shared" si="186"/>
        <v>76.81</v>
      </c>
      <c r="G1212" s="506" t="s">
        <v>4894</v>
      </c>
      <c r="H1212" s="518" t="s">
        <v>2242</v>
      </c>
      <c r="I1212" s="452" t="s">
        <v>11565</v>
      </c>
      <c r="J1212" s="515" t="s">
        <v>753</v>
      </c>
      <c r="K1212" s="452" t="s">
        <v>741</v>
      </c>
    </row>
    <row r="1213" spans="1:11" s="317" customFormat="1">
      <c r="A1213" s="515"/>
      <c r="B1213" s="551" t="s">
        <v>2243</v>
      </c>
      <c r="C1213" s="346">
        <v>64</v>
      </c>
      <c r="D1213" s="345">
        <f t="shared" si="185"/>
        <v>19.659810040705562</v>
      </c>
      <c r="E1213" s="343">
        <v>6</v>
      </c>
      <c r="F1213" s="508">
        <f t="shared" si="186"/>
        <v>25.66</v>
      </c>
      <c r="G1213" s="506" t="s">
        <v>4896</v>
      </c>
      <c r="H1213" s="518" t="s">
        <v>2244</v>
      </c>
      <c r="I1213" s="452" t="s">
        <v>11565</v>
      </c>
      <c r="J1213" s="515" t="s">
        <v>753</v>
      </c>
      <c r="K1213" s="452" t="s">
        <v>741</v>
      </c>
    </row>
    <row r="1214" spans="1:11" s="317" customFormat="1">
      <c r="A1214" s="515"/>
      <c r="B1214" s="551" t="s">
        <v>2245</v>
      </c>
      <c r="C1214" s="346">
        <v>355</v>
      </c>
      <c r="D1214" s="345">
        <f t="shared" si="185"/>
        <v>109.05050881953866</v>
      </c>
      <c r="E1214" s="343">
        <v>6</v>
      </c>
      <c r="F1214" s="508">
        <f t="shared" si="186"/>
        <v>115.06</v>
      </c>
      <c r="G1214" s="506" t="s">
        <v>4898</v>
      </c>
      <c r="H1214" s="518" t="s">
        <v>2246</v>
      </c>
      <c r="I1214" s="452" t="s">
        <v>11565</v>
      </c>
      <c r="J1214" s="515" t="s">
        <v>753</v>
      </c>
      <c r="K1214" s="452" t="s">
        <v>741</v>
      </c>
    </row>
    <row r="1215" spans="1:11" s="317" customFormat="1">
      <c r="A1215" s="515"/>
      <c r="B1215" s="551" t="s">
        <v>2247</v>
      </c>
      <c r="C1215" s="346">
        <v>294</v>
      </c>
      <c r="D1215" s="345">
        <f t="shared" si="185"/>
        <v>90.312252374491166</v>
      </c>
      <c r="E1215" s="343">
        <v>6</v>
      </c>
      <c r="F1215" s="508">
        <f t="shared" si="186"/>
        <v>96.320000000000007</v>
      </c>
      <c r="G1215" s="506" t="s">
        <v>4900</v>
      </c>
      <c r="H1215" s="518" t="s">
        <v>2248</v>
      </c>
      <c r="I1215" s="452" t="s">
        <v>11565</v>
      </c>
      <c r="J1215" s="515" t="s">
        <v>753</v>
      </c>
      <c r="K1215" s="452" t="s">
        <v>741</v>
      </c>
    </row>
    <row r="1216" spans="1:11" s="317" customFormat="1">
      <c r="A1216" s="515"/>
      <c r="B1216" s="551" t="s">
        <v>2249</v>
      </c>
      <c r="C1216" s="346">
        <v>324</v>
      </c>
      <c r="D1216" s="345">
        <f t="shared" si="185"/>
        <v>99.527788331071889</v>
      </c>
      <c r="E1216" s="343">
        <v>6</v>
      </c>
      <c r="F1216" s="508">
        <f t="shared" si="186"/>
        <v>105.53</v>
      </c>
      <c r="G1216" s="506" t="s">
        <v>4902</v>
      </c>
      <c r="H1216" s="518" t="s">
        <v>2250</v>
      </c>
      <c r="I1216" s="452" t="s">
        <v>11565</v>
      </c>
      <c r="J1216" s="515" t="s">
        <v>753</v>
      </c>
      <c r="K1216" s="452" t="s">
        <v>741</v>
      </c>
    </row>
    <row r="1217" spans="1:11" s="317" customFormat="1">
      <c r="A1217" s="515"/>
      <c r="B1217" s="552"/>
      <c r="C1217" s="196" t="s">
        <v>2024</v>
      </c>
      <c r="D1217" s="230"/>
      <c r="E1217" s="215"/>
      <c r="F1217" s="511">
        <f t="shared" si="184"/>
        <v>0</v>
      </c>
      <c r="G1217" s="518"/>
      <c r="H1217" s="518"/>
      <c r="I1217" s="452"/>
      <c r="J1217" s="515"/>
      <c r="K1217" s="452"/>
    </row>
    <row r="1218" spans="1:11" s="317" customFormat="1">
      <c r="A1218" s="515"/>
      <c r="B1218" s="314"/>
      <c r="C1218" s="196" t="s">
        <v>2024</v>
      </c>
      <c r="D1218" s="230"/>
      <c r="E1218" s="215"/>
      <c r="F1218" s="511">
        <f t="shared" si="184"/>
        <v>0</v>
      </c>
      <c r="G1218" s="314"/>
      <c r="H1218" s="518"/>
      <c r="I1218" s="452"/>
      <c r="J1218" s="369"/>
      <c r="K1218" s="452"/>
    </row>
    <row r="1219" spans="1:11" s="317" customFormat="1">
      <c r="A1219" s="369"/>
      <c r="B1219" s="518" t="s">
        <v>3367</v>
      </c>
      <c r="C1219" s="196">
        <v>224</v>
      </c>
      <c r="D1219" s="230">
        <f t="shared" ref="D1219:D1233" si="187">C1219*(1-VLOOKUP(I1219,descuentos,6,FALSE))*fcl/IF(dol_sol="dólar", TC,1)</f>
        <v>68.809335142469465</v>
      </c>
      <c r="E1219" s="215">
        <v>15</v>
      </c>
      <c r="F1219" s="511">
        <f t="shared" si="184"/>
        <v>83.81</v>
      </c>
      <c r="G1219" s="314" t="s">
        <v>4903</v>
      </c>
      <c r="H1219" s="518" t="s">
        <v>3095</v>
      </c>
      <c r="I1219" s="452" t="s">
        <v>11565</v>
      </c>
      <c r="J1219" s="369" t="s">
        <v>753</v>
      </c>
      <c r="K1219" s="452" t="s">
        <v>741</v>
      </c>
    </row>
    <row r="1220" spans="1:11" s="317" customFormat="1">
      <c r="A1220" s="369"/>
      <c r="B1220" s="518" t="s">
        <v>6726</v>
      </c>
      <c r="C1220" s="196">
        <v>224</v>
      </c>
      <c r="D1220" s="230">
        <f>C1220*(1-VLOOKUP(I1220,descuentos,6,FALSE))*fcl/IF(dol_sol="dólar", TC,1)</f>
        <v>68.809335142469465</v>
      </c>
      <c r="E1220" s="215">
        <v>15</v>
      </c>
      <c r="F1220" s="511">
        <f>ROUNDUP(D1220+E1220,2)</f>
        <v>83.81</v>
      </c>
      <c r="G1220" s="314" t="s">
        <v>6727</v>
      </c>
      <c r="H1220" s="518" t="s">
        <v>6728</v>
      </c>
      <c r="I1220" s="452" t="s">
        <v>11565</v>
      </c>
      <c r="J1220" s="369" t="s">
        <v>753</v>
      </c>
      <c r="K1220" s="452" t="s">
        <v>741</v>
      </c>
    </row>
    <row r="1221" spans="1:11" s="317" customFormat="1">
      <c r="A1221" s="369"/>
      <c r="B1221" s="518" t="s">
        <v>5399</v>
      </c>
      <c r="C1221" s="196">
        <v>224</v>
      </c>
      <c r="D1221" s="230">
        <f>C1221*(1-VLOOKUP(I1221,descuentos,6,FALSE))*fcl/IF(dol_sol="dólar", TC,1)</f>
        <v>68.809335142469465</v>
      </c>
      <c r="E1221" s="215">
        <v>15</v>
      </c>
      <c r="F1221" s="511">
        <f t="shared" si="184"/>
        <v>83.81</v>
      </c>
      <c r="G1221" s="314" t="s">
        <v>5400</v>
      </c>
      <c r="H1221" s="518" t="s">
        <v>5401</v>
      </c>
      <c r="I1221" s="452" t="s">
        <v>11565</v>
      </c>
      <c r="J1221" s="369" t="s">
        <v>753</v>
      </c>
      <c r="K1221" s="452" t="s">
        <v>741</v>
      </c>
    </row>
    <row r="1222" spans="1:11" s="317" customFormat="1">
      <c r="A1222" s="369"/>
      <c r="B1222" s="518" t="s">
        <v>6729</v>
      </c>
      <c r="C1222" s="514">
        <v>376</v>
      </c>
      <c r="D1222" s="230">
        <f>C1222*(1-VLOOKUP(I1222,descuentos,6,FALSE))*fcl/IF(dol_sol="dólar", TC,1)</f>
        <v>115.50138398914518</v>
      </c>
      <c r="E1222" s="215">
        <v>15</v>
      </c>
      <c r="F1222" s="511">
        <f>ROUNDUP(D1222+E1222,2)</f>
        <v>130.51</v>
      </c>
      <c r="G1222" s="314" t="s">
        <v>6730</v>
      </c>
      <c r="H1222" s="518" t="s">
        <v>6731</v>
      </c>
      <c r="I1222" s="452" t="s">
        <v>11565</v>
      </c>
      <c r="J1222" s="369" t="s">
        <v>753</v>
      </c>
      <c r="K1222" s="452" t="s">
        <v>741</v>
      </c>
    </row>
    <row r="1223" spans="1:11" s="315" customFormat="1">
      <c r="A1223" s="369"/>
      <c r="B1223" s="518"/>
      <c r="C1223" s="196" t="s">
        <v>2024</v>
      </c>
      <c r="D1223" s="230"/>
      <c r="E1223" s="215"/>
      <c r="F1223" s="511"/>
      <c r="G1223" s="314"/>
      <c r="H1223" s="518"/>
      <c r="I1223" s="452"/>
      <c r="J1223" s="369"/>
      <c r="K1223" s="452"/>
    </row>
    <row r="1224" spans="1:11" s="317" customFormat="1">
      <c r="A1224" s="369"/>
      <c r="B1224" s="518" t="s">
        <v>1367</v>
      </c>
      <c r="C1224" s="196">
        <v>923</v>
      </c>
      <c r="D1224" s="230">
        <f t="shared" si="187"/>
        <v>283.53132293080051</v>
      </c>
      <c r="E1224" s="215">
        <v>30</v>
      </c>
      <c r="F1224" s="511">
        <f t="shared" si="184"/>
        <v>313.53999999999996</v>
      </c>
      <c r="G1224" s="314" t="s">
        <v>3518</v>
      </c>
      <c r="H1224" s="518" t="s">
        <v>1366</v>
      </c>
      <c r="I1224" s="452" t="s">
        <v>11565</v>
      </c>
      <c r="J1224" s="369" t="s">
        <v>753</v>
      </c>
      <c r="K1224" s="452" t="s">
        <v>741</v>
      </c>
    </row>
    <row r="1225" spans="1:11" s="317" customFormat="1">
      <c r="A1225" s="369"/>
      <c r="B1225" s="518" t="s">
        <v>1368</v>
      </c>
      <c r="C1225" s="196">
        <v>1842</v>
      </c>
      <c r="D1225" s="230">
        <f t="shared" si="187"/>
        <v>565.83390773405699</v>
      </c>
      <c r="E1225" s="215">
        <v>30</v>
      </c>
      <c r="F1225" s="511">
        <f t="shared" si="184"/>
        <v>595.84</v>
      </c>
      <c r="G1225" s="314" t="s">
        <v>3519</v>
      </c>
      <c r="H1225" s="518" t="s">
        <v>1369</v>
      </c>
      <c r="I1225" s="452" t="s">
        <v>11565</v>
      </c>
      <c r="J1225" s="369" t="s">
        <v>753</v>
      </c>
      <c r="K1225" s="452" t="s">
        <v>741</v>
      </c>
    </row>
    <row r="1226" spans="1:11" s="317" customFormat="1">
      <c r="A1226" s="369"/>
      <c r="B1226" s="518"/>
      <c r="C1226" s="196" t="s">
        <v>2024</v>
      </c>
      <c r="D1226" s="230"/>
      <c r="E1226" s="215"/>
      <c r="F1226" s="511"/>
      <c r="G1226" s="314"/>
      <c r="H1226" s="518"/>
      <c r="I1226" s="452"/>
      <c r="J1226" s="369"/>
      <c r="K1226" s="452"/>
    </row>
    <row r="1227" spans="1:11" s="317" customFormat="1">
      <c r="A1227" s="369"/>
      <c r="B1227" s="518" t="s">
        <v>3240</v>
      </c>
      <c r="C1227" s="196">
        <v>121</v>
      </c>
      <c r="D1227" s="230">
        <f t="shared" si="187"/>
        <v>37.169328358208951</v>
      </c>
      <c r="E1227" s="215">
        <v>6</v>
      </c>
      <c r="F1227" s="511">
        <f t="shared" si="184"/>
        <v>43.169999999999995</v>
      </c>
      <c r="G1227" s="518" t="s">
        <v>6732</v>
      </c>
      <c r="H1227" s="518" t="s">
        <v>1370</v>
      </c>
      <c r="I1227" s="452" t="s">
        <v>11565</v>
      </c>
      <c r="J1227" s="369" t="s">
        <v>753</v>
      </c>
      <c r="K1227" s="452" t="s">
        <v>741</v>
      </c>
    </row>
    <row r="1228" spans="1:11" s="317" customFormat="1">
      <c r="A1228" s="369"/>
      <c r="B1228" s="518" t="s">
        <v>3242</v>
      </c>
      <c r="C1228" s="196">
        <v>262</v>
      </c>
      <c r="D1228" s="230">
        <f>C1228*(1-VLOOKUP(I1228,descuentos,6,FALSE))*fcl/IF(dol_sol="dólar", TC,1)</f>
        <v>80.482347354138383</v>
      </c>
      <c r="E1228" s="215">
        <v>4</v>
      </c>
      <c r="F1228" s="511">
        <f t="shared" si="184"/>
        <v>84.490000000000009</v>
      </c>
      <c r="G1228" s="518" t="s">
        <v>6733</v>
      </c>
      <c r="H1228" s="518" t="s">
        <v>3243</v>
      </c>
      <c r="I1228" s="452" t="s">
        <v>11565</v>
      </c>
      <c r="J1228" s="369" t="s">
        <v>753</v>
      </c>
      <c r="K1228" s="452" t="s">
        <v>741</v>
      </c>
    </row>
    <row r="1229" spans="1:11" s="317" customFormat="1">
      <c r="A1229" s="369"/>
      <c r="B1229" s="518" t="s">
        <v>3244</v>
      </c>
      <c r="C1229" s="196">
        <v>417</v>
      </c>
      <c r="D1229" s="230">
        <f t="shared" si="187"/>
        <v>128.09594979647218</v>
      </c>
      <c r="E1229" s="215">
        <v>4</v>
      </c>
      <c r="F1229" s="511">
        <f t="shared" si="184"/>
        <v>132.1</v>
      </c>
      <c r="G1229" s="518" t="s">
        <v>6734</v>
      </c>
      <c r="H1229" s="518" t="s">
        <v>1371</v>
      </c>
      <c r="I1229" s="452" t="s">
        <v>11565</v>
      </c>
      <c r="J1229" s="369" t="s">
        <v>753</v>
      </c>
      <c r="K1229" s="452" t="s">
        <v>741</v>
      </c>
    </row>
    <row r="1230" spans="1:11" s="317" customFormat="1">
      <c r="A1230" s="369"/>
      <c r="B1230" s="518" t="s">
        <v>2251</v>
      </c>
      <c r="C1230" s="196">
        <v>417</v>
      </c>
      <c r="D1230" s="230">
        <f t="shared" si="187"/>
        <v>128.09594979647218</v>
      </c>
      <c r="E1230" s="215">
        <v>4</v>
      </c>
      <c r="F1230" s="511">
        <f t="shared" si="184"/>
        <v>132.1</v>
      </c>
      <c r="G1230" s="518" t="s">
        <v>6735</v>
      </c>
      <c r="H1230" s="518" t="s">
        <v>2252</v>
      </c>
      <c r="I1230" s="452" t="s">
        <v>11565</v>
      </c>
      <c r="J1230" s="369" t="s">
        <v>753</v>
      </c>
      <c r="K1230" s="452" t="s">
        <v>741</v>
      </c>
    </row>
    <row r="1231" spans="1:11" s="317" customFormat="1">
      <c r="A1231" s="369"/>
      <c r="B1231" s="518" t="s">
        <v>2253</v>
      </c>
      <c r="C1231" s="196">
        <v>417</v>
      </c>
      <c r="D1231" s="230">
        <f>C1231*(1-VLOOKUP(I1231,descuentos,6,FALSE))*fcl/IF(dol_sol="dólar", TC,1)</f>
        <v>128.09594979647218</v>
      </c>
      <c r="E1231" s="215">
        <v>4</v>
      </c>
      <c r="F1231" s="511">
        <f t="shared" si="184"/>
        <v>132.1</v>
      </c>
      <c r="G1231" s="518" t="s">
        <v>6736</v>
      </c>
      <c r="H1231" s="518" t="s">
        <v>2254</v>
      </c>
      <c r="I1231" s="452" t="s">
        <v>11565</v>
      </c>
      <c r="J1231" s="369" t="s">
        <v>753</v>
      </c>
      <c r="K1231" s="452" t="s">
        <v>741</v>
      </c>
    </row>
    <row r="1232" spans="1:11" s="317" customFormat="1">
      <c r="A1232" s="369"/>
      <c r="B1232" s="518" t="s">
        <v>2255</v>
      </c>
      <c r="C1232" s="196">
        <v>417</v>
      </c>
      <c r="D1232" s="230">
        <f t="shared" si="187"/>
        <v>128.09594979647218</v>
      </c>
      <c r="E1232" s="215">
        <v>4</v>
      </c>
      <c r="F1232" s="511">
        <f t="shared" si="184"/>
        <v>132.1</v>
      </c>
      <c r="G1232" s="518" t="s">
        <v>6737</v>
      </c>
      <c r="H1232" s="518" t="s">
        <v>2256</v>
      </c>
      <c r="I1232" s="452" t="s">
        <v>11565</v>
      </c>
      <c r="J1232" s="369" t="s">
        <v>753</v>
      </c>
      <c r="K1232" s="452" t="s">
        <v>741</v>
      </c>
    </row>
    <row r="1233" spans="1:11" s="317" customFormat="1">
      <c r="A1233" s="369"/>
      <c r="B1233" s="518" t="s">
        <v>1373</v>
      </c>
      <c r="C1233" s="196">
        <v>121</v>
      </c>
      <c r="D1233" s="230">
        <f t="shared" si="187"/>
        <v>37.169328358208951</v>
      </c>
      <c r="E1233" s="215">
        <v>4</v>
      </c>
      <c r="F1233" s="511">
        <f t="shared" si="184"/>
        <v>41.169999999999995</v>
      </c>
      <c r="G1233" s="518" t="s">
        <v>2257</v>
      </c>
      <c r="H1233" s="518" t="s">
        <v>1372</v>
      </c>
      <c r="I1233" s="452" t="s">
        <v>11565</v>
      </c>
      <c r="J1233" s="369"/>
      <c r="K1233" s="452"/>
    </row>
    <row r="1234" spans="1:11" s="315" customFormat="1">
      <c r="A1234" s="369"/>
      <c r="B1234" s="518"/>
      <c r="C1234" s="196" t="s">
        <v>2024</v>
      </c>
      <c r="D1234" s="230"/>
      <c r="E1234" s="215"/>
      <c r="F1234" s="511">
        <f t="shared" si="184"/>
        <v>0</v>
      </c>
      <c r="G1234" s="314"/>
      <c r="H1234" s="518"/>
      <c r="I1234" s="452"/>
      <c r="J1234" s="369"/>
      <c r="K1234" s="452"/>
    </row>
    <row r="1235" spans="1:11" s="317" customFormat="1">
      <c r="A1235" s="369"/>
      <c r="B1235" s="554" t="s">
        <v>2258</v>
      </c>
      <c r="C1235" s="346">
        <v>679</v>
      </c>
      <c r="D1235" s="345">
        <f t="shared" ref="D1235:D1240" si="188">C1235*(1-VLOOKUP(I1235,descuentos,6,FALSE))*fcl/IF(dol_sol="dólar", TC,1)</f>
        <v>208.57829715061055</v>
      </c>
      <c r="E1235" s="343">
        <v>40</v>
      </c>
      <c r="F1235" s="508">
        <f t="shared" si="184"/>
        <v>248.57999999999998</v>
      </c>
      <c r="G1235" s="518" t="s">
        <v>2259</v>
      </c>
      <c r="H1235" s="518" t="s">
        <v>2260</v>
      </c>
      <c r="I1235" s="452" t="s">
        <v>11565</v>
      </c>
      <c r="J1235" s="369" t="s">
        <v>753</v>
      </c>
      <c r="K1235" s="452" t="s">
        <v>741</v>
      </c>
    </row>
    <row r="1236" spans="1:11" ht="12" customHeight="1">
      <c r="A1236" s="369"/>
      <c r="B1236" s="552" t="s">
        <v>2261</v>
      </c>
      <c r="C1236" s="346">
        <v>629</v>
      </c>
      <c r="D1236" s="345">
        <f t="shared" si="188"/>
        <v>193.21907055630933</v>
      </c>
      <c r="E1236" s="343">
        <v>40</v>
      </c>
      <c r="F1236" s="508">
        <f t="shared" si="184"/>
        <v>233.22</v>
      </c>
      <c r="G1236" s="518" t="s">
        <v>2262</v>
      </c>
      <c r="H1236" s="518" t="s">
        <v>2263</v>
      </c>
      <c r="I1236" s="452" t="s">
        <v>11565</v>
      </c>
      <c r="J1236" s="369" t="s">
        <v>753</v>
      </c>
      <c r="K1236" s="452" t="s">
        <v>741</v>
      </c>
    </row>
    <row r="1237" spans="1:11">
      <c r="A1237" s="369"/>
      <c r="B1237" s="554" t="s">
        <v>2264</v>
      </c>
      <c r="C1237" s="196">
        <v>119</v>
      </c>
      <c r="D1237" s="230">
        <f t="shared" si="188"/>
        <v>36.554959294436905</v>
      </c>
      <c r="E1237" s="215">
        <v>0</v>
      </c>
      <c r="F1237" s="511">
        <f t="shared" si="184"/>
        <v>36.559999999999995</v>
      </c>
      <c r="G1237" s="518" t="s">
        <v>2265</v>
      </c>
      <c r="H1237" s="518" t="s">
        <v>2266</v>
      </c>
      <c r="I1237" s="452" t="s">
        <v>11565</v>
      </c>
      <c r="J1237" s="369" t="s">
        <v>753</v>
      </c>
      <c r="K1237" s="452" t="s">
        <v>741</v>
      </c>
    </row>
    <row r="1238" spans="1:11">
      <c r="A1238" s="369"/>
      <c r="B1238" s="552" t="s">
        <v>2267</v>
      </c>
      <c r="C1238" s="196">
        <v>119</v>
      </c>
      <c r="D1238" s="230">
        <f t="shared" si="188"/>
        <v>36.554959294436905</v>
      </c>
      <c r="E1238" s="215">
        <v>0</v>
      </c>
      <c r="F1238" s="511">
        <f t="shared" si="184"/>
        <v>36.559999999999995</v>
      </c>
      <c r="G1238" s="518" t="s">
        <v>2268</v>
      </c>
      <c r="H1238" s="518" t="s">
        <v>2269</v>
      </c>
      <c r="I1238" s="452" t="s">
        <v>11565</v>
      </c>
      <c r="J1238" s="369" t="s">
        <v>753</v>
      </c>
      <c r="K1238" s="452" t="s">
        <v>741</v>
      </c>
    </row>
    <row r="1239" spans="1:11">
      <c r="A1239" s="369"/>
      <c r="B1239" s="554" t="s">
        <v>2270</v>
      </c>
      <c r="C1239" s="196">
        <v>119</v>
      </c>
      <c r="D1239" s="230">
        <f t="shared" si="188"/>
        <v>36.554959294436905</v>
      </c>
      <c r="E1239" s="215">
        <v>0</v>
      </c>
      <c r="F1239" s="511">
        <f t="shared" si="184"/>
        <v>36.559999999999995</v>
      </c>
      <c r="G1239" s="518" t="s">
        <v>2271</v>
      </c>
      <c r="H1239" s="518" t="s">
        <v>2272</v>
      </c>
      <c r="I1239" s="452" t="s">
        <v>11565</v>
      </c>
      <c r="J1239" s="369" t="s">
        <v>753</v>
      </c>
      <c r="K1239" s="452" t="s">
        <v>741</v>
      </c>
    </row>
    <row r="1240" spans="1:11">
      <c r="A1240" s="369"/>
      <c r="B1240" s="552" t="s">
        <v>2273</v>
      </c>
      <c r="C1240" s="196">
        <v>119</v>
      </c>
      <c r="D1240" s="230">
        <f t="shared" si="188"/>
        <v>36.554959294436905</v>
      </c>
      <c r="E1240" s="215">
        <v>0</v>
      </c>
      <c r="F1240" s="511">
        <f t="shared" si="184"/>
        <v>36.559999999999995</v>
      </c>
      <c r="G1240" s="518" t="s">
        <v>2274</v>
      </c>
      <c r="H1240" s="518" t="s">
        <v>2275</v>
      </c>
      <c r="I1240" s="452" t="s">
        <v>11565</v>
      </c>
      <c r="J1240" s="369" t="s">
        <v>753</v>
      </c>
      <c r="K1240" s="452" t="s">
        <v>741</v>
      </c>
    </row>
    <row r="1241" spans="1:11" s="185" customFormat="1">
      <c r="A1241" s="369"/>
      <c r="B1241" s="518"/>
      <c r="C1241" s="196" t="s">
        <v>2024</v>
      </c>
      <c r="D1241" s="230"/>
      <c r="E1241" s="215"/>
      <c r="F1241" s="511">
        <f t="shared" si="184"/>
        <v>0</v>
      </c>
      <c r="G1241" s="518"/>
      <c r="H1241" s="518"/>
      <c r="I1241" s="452"/>
      <c r="J1241" s="369"/>
      <c r="K1241" s="452"/>
    </row>
    <row r="1242" spans="1:11" s="317" customFormat="1">
      <c r="A1242" s="369"/>
      <c r="B1242" s="518"/>
      <c r="C1242" s="196" t="s">
        <v>2024</v>
      </c>
      <c r="D1242" s="230"/>
      <c r="E1242" s="215"/>
      <c r="F1242" s="511"/>
      <c r="G1242" s="314"/>
      <c r="H1242" s="518"/>
      <c r="I1242" s="452"/>
      <c r="J1242" s="369"/>
      <c r="K1242" s="452"/>
    </row>
    <row r="1243" spans="1:11" s="317" customFormat="1">
      <c r="A1243" s="369"/>
      <c r="B1243" s="2305" t="s">
        <v>13501</v>
      </c>
      <c r="C1243" s="2306">
        <v>410</v>
      </c>
      <c r="D1243" s="230">
        <f t="shared" ref="D1243" si="189">C1243*(1-VLOOKUP(I1243,descuentos,6,FALSE))*fcl/IF(dol_sol="dólar", TC,1)</f>
        <v>125.94565807327</v>
      </c>
      <c r="E1243" s="215">
        <v>6</v>
      </c>
      <c r="F1243" s="511">
        <f t="shared" ref="F1243:F1246" si="190">ROUNDUP(D1243+E1243,2)</f>
        <v>131.94999999999999</v>
      </c>
      <c r="G1243" s="518" t="s">
        <v>13502</v>
      </c>
      <c r="H1243" s="518" t="s">
        <v>13503</v>
      </c>
      <c r="I1243" s="452" t="s">
        <v>11565</v>
      </c>
      <c r="J1243" s="369" t="s">
        <v>753</v>
      </c>
      <c r="K1243" s="452" t="s">
        <v>741</v>
      </c>
    </row>
    <row r="1244" spans="1:11" s="317" customFormat="1">
      <c r="A1244" s="369"/>
      <c r="B1244" s="2305" t="s">
        <v>13504</v>
      </c>
      <c r="C1244" s="2306">
        <v>462</v>
      </c>
      <c r="D1244" s="230">
        <f>C1244*(1-VLOOKUP(I1244,descuentos,6,FALSE))*fcl/IF(dol_sol="dólar", TC,1)</f>
        <v>141.91925373134328</v>
      </c>
      <c r="E1244" s="215">
        <v>4</v>
      </c>
      <c r="F1244" s="511">
        <f t="shared" si="190"/>
        <v>145.91999999999999</v>
      </c>
      <c r="G1244" s="518" t="s">
        <v>13505</v>
      </c>
      <c r="H1244" s="518" t="s">
        <v>13506</v>
      </c>
      <c r="I1244" s="452" t="s">
        <v>11565</v>
      </c>
      <c r="J1244" s="369" t="s">
        <v>753</v>
      </c>
      <c r="K1244" s="452" t="s">
        <v>741</v>
      </c>
    </row>
    <row r="1245" spans="1:11" s="317" customFormat="1">
      <c r="A1245" s="369"/>
      <c r="B1245" s="2305" t="s">
        <v>13507</v>
      </c>
      <c r="C1245" s="2306">
        <v>499</v>
      </c>
      <c r="D1245" s="230">
        <f t="shared" ref="D1245" si="191">C1245*(1-VLOOKUP(I1245,descuentos,6,FALSE))*fcl/IF(dol_sol="dólar", TC,1)</f>
        <v>153.28508141112619</v>
      </c>
      <c r="E1245" s="215">
        <v>4</v>
      </c>
      <c r="F1245" s="511">
        <f t="shared" si="190"/>
        <v>157.29</v>
      </c>
      <c r="G1245" s="518" t="s">
        <v>13508</v>
      </c>
      <c r="H1245" s="518" t="s">
        <v>13509</v>
      </c>
      <c r="I1245" s="452" t="s">
        <v>11565</v>
      </c>
      <c r="J1245" s="369" t="s">
        <v>753</v>
      </c>
      <c r="K1245" s="452" t="s">
        <v>741</v>
      </c>
    </row>
    <row r="1246" spans="1:11" s="317" customFormat="1">
      <c r="A1246" s="369"/>
      <c r="B1246" s="2305" t="s">
        <v>13510</v>
      </c>
      <c r="C1246" s="2306">
        <v>482</v>
      </c>
      <c r="D1246" s="230">
        <f t="shared" ref="D1246" si="192">C1246*(1-VLOOKUP(I1246,descuentos,6,FALSE))*fcl/IF(dol_sol="dólar", TC,1)</f>
        <v>148.06294436906376</v>
      </c>
      <c r="E1246" s="215">
        <v>4</v>
      </c>
      <c r="F1246" s="511">
        <f t="shared" si="190"/>
        <v>152.07</v>
      </c>
      <c r="G1246" s="518" t="s">
        <v>13511</v>
      </c>
      <c r="H1246" s="518" t="s">
        <v>13512</v>
      </c>
      <c r="I1246" s="452" t="s">
        <v>11565</v>
      </c>
      <c r="J1246" s="369" t="s">
        <v>753</v>
      </c>
      <c r="K1246" s="452" t="s">
        <v>741</v>
      </c>
    </row>
    <row r="1247" spans="1:11">
      <c r="A1247" s="369"/>
      <c r="B1247" s="518"/>
      <c r="C1247" s="196" t="s">
        <v>2024</v>
      </c>
      <c r="D1247" s="230"/>
      <c r="E1247" s="215"/>
      <c r="F1247" s="511">
        <f t="shared" si="184"/>
        <v>0</v>
      </c>
      <c r="G1247" s="518"/>
      <c r="H1247" s="518"/>
      <c r="I1247" s="452"/>
      <c r="J1247" s="369"/>
      <c r="K1247" s="452"/>
    </row>
    <row r="1248" spans="1:11">
      <c r="A1248" s="369"/>
      <c r="B1248" s="518" t="s">
        <v>6738</v>
      </c>
      <c r="C1248" s="196">
        <v>1545</v>
      </c>
      <c r="D1248" s="230">
        <f>C1248*(1-VLOOKUP(I1248,descuentos,6,FALSE))*fcl/IF(dol_sol="dólar", TC,1)</f>
        <v>474.60010176390767</v>
      </c>
      <c r="E1248" s="215">
        <v>20</v>
      </c>
      <c r="F1248" s="511">
        <f t="shared" si="184"/>
        <v>494.61</v>
      </c>
      <c r="G1248" s="314" t="s">
        <v>6739</v>
      </c>
      <c r="H1248" s="518" t="s">
        <v>1704</v>
      </c>
      <c r="I1248" s="452" t="s">
        <v>11565</v>
      </c>
      <c r="J1248" s="369" t="s">
        <v>753</v>
      </c>
      <c r="K1248" s="452" t="s">
        <v>741</v>
      </c>
    </row>
    <row r="1249" spans="1:11" s="317" customFormat="1">
      <c r="A1249" s="369"/>
      <c r="B1249" s="518" t="s">
        <v>6740</v>
      </c>
      <c r="C1249" s="196">
        <v>2805</v>
      </c>
      <c r="D1249" s="230">
        <f>C1249*(1-VLOOKUP(I1249,descuentos,6,FALSE))*fcl/IF(dol_sol="dólar", TC,1)</f>
        <v>861.65261194029847</v>
      </c>
      <c r="E1249" s="215">
        <v>20</v>
      </c>
      <c r="F1249" s="511">
        <f t="shared" si="184"/>
        <v>881.66</v>
      </c>
      <c r="G1249" s="314" t="s">
        <v>6741</v>
      </c>
      <c r="H1249" s="518" t="s">
        <v>1705</v>
      </c>
      <c r="I1249" s="452" t="s">
        <v>11565</v>
      </c>
      <c r="J1249" s="369" t="s">
        <v>753</v>
      </c>
      <c r="K1249" s="452" t="s">
        <v>741</v>
      </c>
    </row>
    <row r="1250" spans="1:11" s="317" customFormat="1">
      <c r="A1250" s="369"/>
      <c r="B1250" s="518"/>
      <c r="C1250" s="196" t="s">
        <v>2024</v>
      </c>
      <c r="D1250" s="230"/>
      <c r="E1250" s="215"/>
      <c r="F1250" s="511"/>
      <c r="G1250" s="314"/>
      <c r="H1250" s="518"/>
      <c r="I1250" s="452"/>
      <c r="J1250" s="369"/>
      <c r="K1250" s="452"/>
    </row>
    <row r="1251" spans="1:11" s="102" customFormat="1">
      <c r="B1251" s="315" t="s">
        <v>6742</v>
      </c>
      <c r="C1251" s="196">
        <v>2387</v>
      </c>
      <c r="D1251" s="230">
        <f>C1251*(1-VLOOKUP(I1251,descuentos,6,FALSE))*fcl/IF(dol_sol="dólar", TC,1)</f>
        <v>733.24947761194028</v>
      </c>
      <c r="E1251" s="215">
        <v>20</v>
      </c>
      <c r="F1251" s="511">
        <f>ROUNDUP(D1251+E1251,2)</f>
        <v>753.25</v>
      </c>
      <c r="G1251" s="314" t="s">
        <v>6743</v>
      </c>
      <c r="H1251" s="145" t="s">
        <v>6744</v>
      </c>
      <c r="I1251" s="452" t="s">
        <v>11565</v>
      </c>
      <c r="J1251" s="515" t="s">
        <v>753</v>
      </c>
      <c r="K1251" s="452" t="s">
        <v>741</v>
      </c>
    </row>
    <row r="1252" spans="1:11" s="102" customFormat="1">
      <c r="B1252" s="315" t="s">
        <v>6745</v>
      </c>
      <c r="C1252" s="196">
        <v>3742</v>
      </c>
      <c r="D1252" s="230">
        <f>C1252*(1-VLOOKUP(I1252,descuentos,6,FALSE))*fcl/IF(dol_sol="dólar", TC,1)</f>
        <v>1149.4845183175032</v>
      </c>
      <c r="E1252" s="215">
        <v>20</v>
      </c>
      <c r="F1252" s="511">
        <f>ROUNDUP(D1252+E1252,2)</f>
        <v>1169.49</v>
      </c>
      <c r="G1252" s="314" t="s">
        <v>6746</v>
      </c>
      <c r="H1252" s="145" t="s">
        <v>6747</v>
      </c>
      <c r="I1252" s="452" t="s">
        <v>11565</v>
      </c>
      <c r="J1252" s="515" t="s">
        <v>753</v>
      </c>
      <c r="K1252" s="452" t="s">
        <v>741</v>
      </c>
    </row>
    <row r="1253" spans="1:11">
      <c r="A1253" s="369"/>
      <c r="B1253" s="518"/>
      <c r="C1253" s="196" t="s">
        <v>2024</v>
      </c>
      <c r="D1253" s="230"/>
      <c r="E1253" s="215"/>
      <c r="F1253" s="511"/>
      <c r="G1253" s="518"/>
      <c r="H1253" s="518"/>
      <c r="I1253" s="452"/>
      <c r="J1253" s="369"/>
      <c r="K1253" s="452"/>
    </row>
    <row r="1254" spans="1:11" s="317" customFormat="1">
      <c r="A1254" s="369"/>
      <c r="B1254" s="518"/>
      <c r="C1254" s="196" t="s">
        <v>2024</v>
      </c>
      <c r="D1254" s="230"/>
      <c r="E1254" s="215"/>
      <c r="F1254" s="511"/>
      <c r="G1254" s="314"/>
      <c r="H1254" s="518"/>
      <c r="I1254" s="452"/>
      <c r="J1254" s="369"/>
      <c r="K1254" s="452"/>
    </row>
    <row r="1255" spans="1:11" s="317" customFormat="1">
      <c r="A1255" s="1464"/>
      <c r="B1255" s="518" t="s">
        <v>5402</v>
      </c>
      <c r="C1255" s="196">
        <v>272</v>
      </c>
      <c r="D1255" s="345">
        <f>C1255*(1-VLOOKUP(I1255,descuentos,6,FALSE))*fcl/IF(dol_sol="dólar", TC,1)</f>
        <v>83.554192672998639</v>
      </c>
      <c r="E1255" s="549">
        <v>15</v>
      </c>
      <c r="F1255" s="508">
        <f>ROUNDUP(D1255+E1255,2)</f>
        <v>98.56</v>
      </c>
      <c r="G1255" s="314" t="s">
        <v>6748</v>
      </c>
      <c r="H1255" s="518" t="s">
        <v>5403</v>
      </c>
      <c r="I1255" s="452" t="s">
        <v>11565</v>
      </c>
      <c r="J1255" s="369" t="s">
        <v>753</v>
      </c>
      <c r="K1255" s="452" t="s">
        <v>741</v>
      </c>
    </row>
    <row r="1256" spans="1:11" s="317" customFormat="1">
      <c r="A1256" s="1464"/>
      <c r="B1256" s="518" t="s">
        <v>5404</v>
      </c>
      <c r="C1256" s="196">
        <v>272</v>
      </c>
      <c r="D1256" s="345">
        <f>C1256*(1-VLOOKUP(I1256,descuentos,6,FALSE))*fcl/IF(dol_sol="dólar", TC,1)</f>
        <v>83.554192672998639</v>
      </c>
      <c r="E1256" s="549">
        <v>20</v>
      </c>
      <c r="F1256" s="508">
        <f>ROUNDUP(D1256+E1256,2)</f>
        <v>103.56</v>
      </c>
      <c r="G1256" s="314" t="s">
        <v>6749</v>
      </c>
      <c r="H1256" s="518" t="s">
        <v>5405</v>
      </c>
      <c r="I1256" s="452" t="s">
        <v>11565</v>
      </c>
      <c r="J1256" s="369" t="s">
        <v>753</v>
      </c>
      <c r="K1256" s="452" t="s">
        <v>741</v>
      </c>
    </row>
    <row r="1257" spans="1:11" s="102" customFormat="1">
      <c r="C1257" s="102" t="s">
        <v>2024</v>
      </c>
      <c r="H1257" s="194"/>
    </row>
    <row r="1258" spans="1:11" s="317" customFormat="1">
      <c r="A1258" s="1464"/>
      <c r="B1258" s="518" t="s">
        <v>6750</v>
      </c>
      <c r="C1258" s="196">
        <v>64</v>
      </c>
      <c r="D1258" s="345">
        <f>C1258*(1-VLOOKUP(I1258,descuentos,6,FALSE))*fcl/IF(dol_sol="dólar", TC,1)</f>
        <v>19.659810040705562</v>
      </c>
      <c r="E1258" s="549">
        <v>6</v>
      </c>
      <c r="F1258" s="508">
        <f>ROUNDUP(D1258+E1258,2)</f>
        <v>25.66</v>
      </c>
      <c r="G1258" s="314" t="s">
        <v>6751</v>
      </c>
      <c r="H1258" s="518" t="s">
        <v>6752</v>
      </c>
      <c r="I1258" s="452" t="s">
        <v>11565</v>
      </c>
      <c r="J1258" s="369" t="s">
        <v>753</v>
      </c>
      <c r="K1258" s="452" t="s">
        <v>741</v>
      </c>
    </row>
    <row r="1259" spans="1:11" s="317" customFormat="1">
      <c r="A1259" s="369"/>
      <c r="B1259" s="518"/>
      <c r="C1259" s="196" t="s">
        <v>2024</v>
      </c>
      <c r="D1259" s="230"/>
      <c r="E1259" s="215"/>
      <c r="F1259" s="511"/>
      <c r="G1259" s="314"/>
      <c r="H1259" s="518"/>
      <c r="I1259" s="452"/>
      <c r="J1259" s="369"/>
      <c r="K1259" s="452"/>
    </row>
    <row r="1260" spans="1:11">
      <c r="A1260" s="1470"/>
      <c r="B1260" s="566" t="s">
        <v>9117</v>
      </c>
      <c r="C1260" s="560">
        <v>56</v>
      </c>
      <c r="D1260" s="229">
        <f>C1260*(1-VLOOKUP(I1260,descuentos,6,FALSE))*fcl/IF(dol_sol="dólar", TC,1)</f>
        <v>17.202333785617366</v>
      </c>
      <c r="E1260" s="215">
        <v>4</v>
      </c>
      <c r="F1260" s="511">
        <f>ROUNDUP(D1260+E1260,2)</f>
        <v>21.21</v>
      </c>
      <c r="G1260" s="518" t="s">
        <v>9118</v>
      </c>
      <c r="H1260" s="1660" t="s">
        <v>9119</v>
      </c>
      <c r="I1260" s="562" t="s">
        <v>11565</v>
      </c>
      <c r="J1260" s="558" t="s">
        <v>753</v>
      </c>
      <c r="K1260" s="562" t="s">
        <v>741</v>
      </c>
    </row>
    <row r="1261" spans="1:11">
      <c r="A1261" s="1470"/>
      <c r="B1261" s="566" t="s">
        <v>6753</v>
      </c>
      <c r="C1261" s="560">
        <v>85</v>
      </c>
      <c r="D1261" s="229">
        <f>C1261*(1-VLOOKUP(I1261,descuentos,6,FALSE))*fcl/IF(dol_sol="dólar", TC,1)</f>
        <v>26.11068521031207</v>
      </c>
      <c r="E1261" s="215">
        <v>4</v>
      </c>
      <c r="F1261" s="511">
        <f>ROUNDUP(D1261+E1261,2)</f>
        <v>30.12</v>
      </c>
      <c r="G1261" s="518" t="s">
        <v>6754</v>
      </c>
      <c r="H1261" s="566" t="s">
        <v>6755</v>
      </c>
      <c r="I1261" s="562" t="s">
        <v>11565</v>
      </c>
      <c r="J1261" s="558" t="s">
        <v>753</v>
      </c>
      <c r="K1261" s="562" t="s">
        <v>741</v>
      </c>
    </row>
    <row r="1262" spans="1:11">
      <c r="A1262" s="1470"/>
      <c r="B1262" s="566" t="s">
        <v>6756</v>
      </c>
      <c r="C1262" s="560">
        <v>85</v>
      </c>
      <c r="D1262" s="229">
        <f>C1262*(1-VLOOKUP(I1262,descuentos,6,FALSE))*fcl/IF(dol_sol="dólar", TC,1)</f>
        <v>26.11068521031207</v>
      </c>
      <c r="E1262" s="215">
        <v>4</v>
      </c>
      <c r="F1262" s="511">
        <f>ROUNDUP(D1262+E1262,2)</f>
        <v>30.12</v>
      </c>
      <c r="G1262" s="518" t="s">
        <v>6757</v>
      </c>
      <c r="H1262" s="1660" t="s">
        <v>6758</v>
      </c>
      <c r="I1262" s="562" t="s">
        <v>11565</v>
      </c>
      <c r="J1262" s="558" t="s">
        <v>753</v>
      </c>
      <c r="K1262" s="562" t="s">
        <v>741</v>
      </c>
    </row>
    <row r="1263" spans="1:11" s="317" customFormat="1">
      <c r="A1263" s="369"/>
      <c r="B1263" s="518"/>
      <c r="C1263" s="196" t="s">
        <v>2024</v>
      </c>
      <c r="D1263" s="230"/>
      <c r="E1263" s="215"/>
      <c r="F1263" s="511"/>
      <c r="G1263" s="314"/>
      <c r="H1263" s="518"/>
      <c r="I1263" s="452"/>
      <c r="J1263" s="369"/>
      <c r="K1263" s="452"/>
    </row>
    <row r="1264" spans="1:11">
      <c r="A1264" s="1470"/>
      <c r="B1264" s="566" t="s">
        <v>9120</v>
      </c>
      <c r="C1264" s="560">
        <v>84</v>
      </c>
      <c r="D1264" s="229">
        <f>C1264*(1-VLOOKUP(I1264,descuentos,6,FALSE))*fcl/IF(dol_sol="dólar", TC,1)</f>
        <v>25.803500678426047</v>
      </c>
      <c r="E1264" s="215">
        <v>8</v>
      </c>
      <c r="F1264" s="511">
        <f>ROUNDUP(D1264+E1264,2)</f>
        <v>33.809999999999995</v>
      </c>
      <c r="G1264" s="518" t="s">
        <v>9121</v>
      </c>
      <c r="H1264" s="566" t="s">
        <v>9122</v>
      </c>
      <c r="I1264" s="562" t="s">
        <v>11565</v>
      </c>
      <c r="J1264" s="558" t="s">
        <v>753</v>
      </c>
      <c r="K1264" s="562" t="s">
        <v>741</v>
      </c>
    </row>
    <row r="1265" spans="1:11">
      <c r="A1265" s="1470"/>
      <c r="B1265" s="566" t="s">
        <v>9123</v>
      </c>
      <c r="C1265" s="560">
        <v>84</v>
      </c>
      <c r="D1265" s="229">
        <f>C1265*(1-VLOOKUP(I1265,descuentos,6,FALSE))*fcl/IF(dol_sol="dólar", TC,1)</f>
        <v>25.803500678426047</v>
      </c>
      <c r="E1265" s="215">
        <v>8</v>
      </c>
      <c r="F1265" s="511">
        <f>ROUNDUP(D1265+E1265,2)</f>
        <v>33.809999999999995</v>
      </c>
      <c r="G1265" s="518" t="s">
        <v>9124</v>
      </c>
      <c r="H1265" s="566" t="s">
        <v>9125</v>
      </c>
      <c r="I1265" s="562" t="s">
        <v>11565</v>
      </c>
      <c r="J1265" s="558" t="s">
        <v>753</v>
      </c>
      <c r="K1265" s="562" t="s">
        <v>741</v>
      </c>
    </row>
    <row r="1266" spans="1:11" s="317" customFormat="1">
      <c r="A1266" s="369"/>
      <c r="B1266" s="518"/>
      <c r="C1266" s="196" t="s">
        <v>2024</v>
      </c>
      <c r="D1266" s="230"/>
      <c r="E1266" s="215"/>
      <c r="F1266" s="511"/>
      <c r="G1266" s="314"/>
      <c r="H1266" s="518"/>
      <c r="I1266" s="452"/>
      <c r="J1266" s="369"/>
      <c r="K1266" s="452"/>
    </row>
    <row r="1267" spans="1:11">
      <c r="A1267" s="1470"/>
      <c r="B1267" s="566" t="s">
        <v>6760</v>
      </c>
      <c r="C1267" s="560">
        <v>1034</v>
      </c>
      <c r="D1267" s="229">
        <f>C1267*(1-VLOOKUP(I1267,descuentos,6,FALSE))*fcl/IF(dol_sol="dólar", TC,1)</f>
        <v>317.62880597014924</v>
      </c>
      <c r="E1267" s="215">
        <v>10</v>
      </c>
      <c r="F1267" s="511">
        <f>ROUNDUP(D1267+E1267,2)</f>
        <v>327.63</v>
      </c>
      <c r="G1267" s="518" t="s">
        <v>6761</v>
      </c>
      <c r="H1267" s="566" t="s">
        <v>6762</v>
      </c>
      <c r="I1267" s="562" t="s">
        <v>11565</v>
      </c>
      <c r="J1267" s="558" t="s">
        <v>753</v>
      </c>
      <c r="K1267" s="562" t="s">
        <v>741</v>
      </c>
    </row>
    <row r="1268" spans="1:11" s="317" customFormat="1">
      <c r="A1268" s="369"/>
      <c r="B1268" s="518"/>
      <c r="C1268" s="196" t="s">
        <v>2024</v>
      </c>
      <c r="D1268" s="230"/>
      <c r="E1268" s="215"/>
      <c r="F1268" s="511"/>
      <c r="G1268" s="314"/>
      <c r="H1268" s="518"/>
      <c r="I1268" s="452"/>
      <c r="J1268" s="369"/>
      <c r="K1268" s="452"/>
    </row>
    <row r="1269" spans="1:11" s="317" customFormat="1" ht="12" customHeight="1">
      <c r="A1269" s="369"/>
      <c r="B1269" s="518" t="s">
        <v>6763</v>
      </c>
      <c r="C1269" s="196">
        <v>192</v>
      </c>
      <c r="D1269" s="345">
        <f>C1269*(1-VLOOKUP(I1269,descuentos,6,FALSE))*fcl/IF(dol_sol="dólar", TC,1)</f>
        <v>58.979430122116689</v>
      </c>
      <c r="E1269" s="549">
        <v>6</v>
      </c>
      <c r="F1269" s="508">
        <f>ROUNDUP(D1269+E1269,2)</f>
        <v>64.98</v>
      </c>
      <c r="G1269" s="314" t="s">
        <v>6764</v>
      </c>
      <c r="H1269" s="518" t="s">
        <v>6765</v>
      </c>
      <c r="I1269" s="452" t="s">
        <v>11565</v>
      </c>
      <c r="J1269" s="369" t="s">
        <v>753</v>
      </c>
      <c r="K1269" s="452" t="s">
        <v>741</v>
      </c>
    </row>
    <row r="1270" spans="1:11" s="317" customFormat="1" ht="12" customHeight="1">
      <c r="A1270" s="369"/>
      <c r="B1270" s="518" t="s">
        <v>6766</v>
      </c>
      <c r="C1270" s="196">
        <v>192</v>
      </c>
      <c r="D1270" s="345">
        <f>C1270*(1-VLOOKUP(I1270,descuentos,6,FALSE))*fcl/IF(dol_sol="dólar", TC,1)</f>
        <v>58.979430122116689</v>
      </c>
      <c r="E1270" s="549">
        <v>6</v>
      </c>
      <c r="F1270" s="508">
        <f>ROUNDUP(D1270+E1270,2)</f>
        <v>64.98</v>
      </c>
      <c r="G1270" s="314" t="s">
        <v>6767</v>
      </c>
      <c r="H1270" s="518" t="s">
        <v>6768</v>
      </c>
      <c r="I1270" s="452" t="s">
        <v>11565</v>
      </c>
      <c r="J1270" s="369" t="s">
        <v>753</v>
      </c>
      <c r="K1270" s="452" t="s">
        <v>741</v>
      </c>
    </row>
    <row r="1271" spans="1:11" s="317" customFormat="1">
      <c r="A1271" s="369"/>
      <c r="B1271" s="518"/>
      <c r="C1271" s="196" t="s">
        <v>2024</v>
      </c>
      <c r="D1271" s="230"/>
      <c r="E1271" s="215"/>
      <c r="F1271" s="511"/>
      <c r="G1271" s="314"/>
      <c r="H1271" s="518"/>
      <c r="I1271" s="452"/>
      <c r="J1271" s="369"/>
      <c r="K1271" s="452"/>
    </row>
    <row r="1272" spans="1:11" s="317" customFormat="1">
      <c r="A1272" s="369"/>
      <c r="B1272" s="518"/>
      <c r="C1272" s="196" t="s">
        <v>2024</v>
      </c>
      <c r="D1272" s="230"/>
      <c r="E1272" s="215"/>
      <c r="F1272" s="511"/>
      <c r="G1272" s="314"/>
      <c r="H1272" s="1661"/>
      <c r="I1272" s="1620"/>
      <c r="J1272" s="369"/>
      <c r="K1272" s="452"/>
    </row>
    <row r="1273" spans="1:11" s="317" customFormat="1">
      <c r="A1273" s="369"/>
      <c r="B1273" s="314"/>
      <c r="C1273" s="196" t="s">
        <v>2024</v>
      </c>
      <c r="D1273" s="230"/>
      <c r="E1273" s="215"/>
      <c r="F1273" s="511"/>
      <c r="G1273" s="314"/>
      <c r="H1273" s="1661"/>
      <c r="I1273" s="1620"/>
      <c r="J1273" s="369"/>
      <c r="K1273" s="452"/>
    </row>
    <row r="1274" spans="1:11" s="317" customFormat="1">
      <c r="A1274" s="369"/>
      <c r="B1274" s="233"/>
      <c r="C1274" s="196" t="s">
        <v>2024</v>
      </c>
      <c r="D1274" s="230"/>
      <c r="E1274" s="215"/>
      <c r="F1274" s="511"/>
      <c r="G1274" s="314"/>
      <c r="H1274" s="518"/>
      <c r="I1274" s="452"/>
      <c r="J1274" s="369"/>
      <c r="K1274" s="452"/>
    </row>
    <row r="1275" spans="1:11" s="317" customFormat="1">
      <c r="A1275" s="369"/>
      <c r="B1275" s="231" t="s">
        <v>9878</v>
      </c>
      <c r="C1275" s="196">
        <v>1182</v>
      </c>
      <c r="D1275" s="230">
        <f>C1275*(1-VLOOKUP(I1275,descuentos,6,FALSE))*fcl/IF(dol_sol="dólar", TC,1)</f>
        <v>363.09211668928089</v>
      </c>
      <c r="E1275" s="215">
        <v>20</v>
      </c>
      <c r="F1275" s="511">
        <f>ROUNDUP(D1275+E1275,2)</f>
        <v>383.09999999999997</v>
      </c>
      <c r="G1275" s="314" t="s">
        <v>9879</v>
      </c>
      <c r="H1275" s="518" t="s">
        <v>9880</v>
      </c>
      <c r="I1275" s="452" t="s">
        <v>11565</v>
      </c>
      <c r="J1275" s="369" t="s">
        <v>753</v>
      </c>
      <c r="K1275" s="452" t="s">
        <v>741</v>
      </c>
    </row>
    <row r="1276" spans="1:11" s="317" customFormat="1">
      <c r="A1276" s="369"/>
      <c r="B1276" s="231" t="s">
        <v>9881</v>
      </c>
      <c r="C1276" s="196">
        <v>1182</v>
      </c>
      <c r="D1276" s="230">
        <f>C1276*(1-VLOOKUP(I1276,descuentos,6,FALSE))*fcl/IF(dol_sol="dólar", TC,1)</f>
        <v>363.09211668928089</v>
      </c>
      <c r="E1276" s="215">
        <v>20</v>
      </c>
      <c r="F1276" s="511">
        <f>ROUNDUP(D1276+E1276,2)</f>
        <v>383.09999999999997</v>
      </c>
      <c r="G1276" s="314" t="s">
        <v>9882</v>
      </c>
      <c r="H1276" s="518" t="s">
        <v>9883</v>
      </c>
      <c r="I1276" s="452" t="s">
        <v>11565</v>
      </c>
      <c r="J1276" s="369" t="s">
        <v>753</v>
      </c>
      <c r="K1276" s="452" t="s">
        <v>741</v>
      </c>
    </row>
    <row r="1277" spans="1:11" s="317" customFormat="1">
      <c r="A1277" s="369"/>
      <c r="B1277" s="231" t="s">
        <v>6769</v>
      </c>
      <c r="C1277" s="196">
        <v>1252</v>
      </c>
      <c r="D1277" s="230">
        <f>C1277*(1-VLOOKUP(I1277,descuentos,6,FALSE))*fcl/IF(dol_sol="dólar", TC,1)</f>
        <v>384.59503392130256</v>
      </c>
      <c r="E1277" s="215">
        <v>20</v>
      </c>
      <c r="F1277" s="511">
        <f>ROUNDUP(D1277+E1277,2)</f>
        <v>404.59999999999997</v>
      </c>
      <c r="G1277" s="314" t="s">
        <v>9884</v>
      </c>
      <c r="H1277" s="518" t="s">
        <v>6770</v>
      </c>
      <c r="I1277" s="452" t="s">
        <v>11565</v>
      </c>
      <c r="J1277" s="369" t="s">
        <v>753</v>
      </c>
      <c r="K1277" s="452" t="s">
        <v>741</v>
      </c>
    </row>
    <row r="1278" spans="1:11" s="317" customFormat="1">
      <c r="A1278" s="369"/>
      <c r="B1278" s="231"/>
      <c r="C1278" s="196" t="s">
        <v>2024</v>
      </c>
      <c r="D1278" s="230"/>
      <c r="E1278" s="215"/>
      <c r="F1278" s="511"/>
      <c r="G1278" s="314"/>
      <c r="H1278" s="518"/>
      <c r="I1278" s="452"/>
      <c r="J1278" s="369"/>
      <c r="K1278" s="452"/>
    </row>
    <row r="1279" spans="1:11" s="317" customFormat="1">
      <c r="A1279" s="369"/>
      <c r="B1279" s="731" t="s">
        <v>6771</v>
      </c>
      <c r="C1279" s="346">
        <v>1536</v>
      </c>
      <c r="D1279" s="345">
        <f>C1279*(1-VLOOKUP(I1279,descuentos,6,FALSE))*fcl/IF(dol_sol="dólar", TC,1)</f>
        <v>471.83544097693351</v>
      </c>
      <c r="E1279" s="343">
        <v>30</v>
      </c>
      <c r="F1279" s="508">
        <f>ROUNDUP(D1279+E1279,2)</f>
        <v>501.84</v>
      </c>
      <c r="G1279" s="351" t="s">
        <v>9885</v>
      </c>
      <c r="H1279" s="518" t="s">
        <v>6772</v>
      </c>
      <c r="I1279" s="452" t="s">
        <v>11565</v>
      </c>
      <c r="J1279" s="369" t="s">
        <v>753</v>
      </c>
      <c r="K1279" s="452" t="s">
        <v>741</v>
      </c>
    </row>
    <row r="1280" spans="1:11" s="317" customFormat="1">
      <c r="A1280" s="369"/>
      <c r="B1280" s="731" t="s">
        <v>6773</v>
      </c>
      <c r="C1280" s="346">
        <v>1536</v>
      </c>
      <c r="D1280" s="345">
        <f>C1280*(1-VLOOKUP(I1280,descuentos,6,FALSE))*fcl/IF(dol_sol="dólar", TC,1)</f>
        <v>471.83544097693351</v>
      </c>
      <c r="E1280" s="343">
        <v>30</v>
      </c>
      <c r="F1280" s="508">
        <f>ROUNDUP(D1280+E1280,2)</f>
        <v>501.84</v>
      </c>
      <c r="G1280" s="351" t="s">
        <v>9886</v>
      </c>
      <c r="H1280" s="518" t="s">
        <v>6774</v>
      </c>
      <c r="I1280" s="452" t="s">
        <v>11565</v>
      </c>
      <c r="J1280" s="369" t="s">
        <v>753</v>
      </c>
      <c r="K1280" s="452" t="s">
        <v>741</v>
      </c>
    </row>
    <row r="1281" spans="1:11" s="317" customFormat="1">
      <c r="A1281" s="369"/>
      <c r="B1281" s="731" t="s">
        <v>6775</v>
      </c>
      <c r="C1281" s="346">
        <v>1628</v>
      </c>
      <c r="D1281" s="345">
        <f>C1281*(1-VLOOKUP(I1281,descuentos,6,FALSE))*fcl/IF(dol_sol="dólar", TC,1)</f>
        <v>500.09641791044777</v>
      </c>
      <c r="E1281" s="343">
        <v>30</v>
      </c>
      <c r="F1281" s="508">
        <f>ROUNDUP(D1281+E1281,2)</f>
        <v>530.1</v>
      </c>
      <c r="G1281" s="351" t="s">
        <v>9887</v>
      </c>
      <c r="H1281" s="518" t="s">
        <v>6776</v>
      </c>
      <c r="I1281" s="452" t="s">
        <v>11565</v>
      </c>
      <c r="J1281" s="369" t="s">
        <v>753</v>
      </c>
      <c r="K1281" s="452" t="s">
        <v>741</v>
      </c>
    </row>
    <row r="1282" spans="1:11" s="317" customFormat="1">
      <c r="A1282" s="369"/>
      <c r="B1282" s="231"/>
      <c r="C1282" s="196" t="s">
        <v>2024</v>
      </c>
      <c r="D1282" s="230"/>
      <c r="E1282" s="215"/>
      <c r="F1282" s="511"/>
      <c r="G1282" s="314"/>
      <c r="H1282" s="518"/>
      <c r="I1282" s="452"/>
      <c r="J1282" s="369"/>
      <c r="K1282" s="452"/>
    </row>
    <row r="1283" spans="1:11" s="317" customFormat="1">
      <c r="A1283" s="369"/>
      <c r="B1283" s="231" t="s">
        <v>4904</v>
      </c>
      <c r="C1283" s="196">
        <v>2270</v>
      </c>
      <c r="D1283" s="230">
        <f>C1283*(1-VLOOKUP(I1283,descuentos,6,FALSE))*fcl/IF(dol_sol="dólar", TC,1)</f>
        <v>697.30888738127544</v>
      </c>
      <c r="E1283" s="215">
        <f>D1283/8</f>
        <v>87.16361092265943</v>
      </c>
      <c r="F1283" s="511">
        <f>ROUNDUP(D1283+E1283,2)</f>
        <v>784.48</v>
      </c>
      <c r="G1283" s="314" t="s">
        <v>4905</v>
      </c>
      <c r="H1283" s="518" t="s">
        <v>4906</v>
      </c>
      <c r="I1283" s="452" t="s">
        <v>11565</v>
      </c>
      <c r="J1283" s="369" t="s">
        <v>753</v>
      </c>
      <c r="K1283" s="452" t="s">
        <v>741</v>
      </c>
    </row>
    <row r="1284" spans="1:11" s="317" customFormat="1">
      <c r="A1284" s="369"/>
      <c r="B1284" s="231" t="s">
        <v>4907</v>
      </c>
      <c r="C1284" s="196">
        <v>2270</v>
      </c>
      <c r="D1284" s="230">
        <f>C1284*(1-VLOOKUP(I1284,descuentos,6,FALSE))*fcl/IF(dol_sol="dólar", TC,1)</f>
        <v>697.30888738127544</v>
      </c>
      <c r="E1284" s="215">
        <f>D1284/8</f>
        <v>87.16361092265943</v>
      </c>
      <c r="F1284" s="511">
        <f>ROUNDUP(D1284+E1284,2)</f>
        <v>784.48</v>
      </c>
      <c r="G1284" s="314" t="s">
        <v>4908</v>
      </c>
      <c r="H1284" s="518" t="s">
        <v>4909</v>
      </c>
      <c r="I1284" s="452" t="s">
        <v>11565</v>
      </c>
      <c r="J1284" s="369" t="s">
        <v>753</v>
      </c>
      <c r="K1284" s="452" t="s">
        <v>741</v>
      </c>
    </row>
    <row r="1285" spans="1:11" s="317" customFormat="1">
      <c r="A1285" s="369"/>
      <c r="B1285" s="231" t="s">
        <v>3302</v>
      </c>
      <c r="C1285" s="196">
        <v>2510</v>
      </c>
      <c r="D1285" s="230">
        <f>C1285*(1-VLOOKUP(I1285,descuentos,6,FALSE))*fcl/IF(dol_sol="dólar", TC,1)</f>
        <v>771.03317503392111</v>
      </c>
      <c r="E1285" s="215">
        <f>D1285/8</f>
        <v>96.379146879240139</v>
      </c>
      <c r="F1285" s="511">
        <f>ROUNDUP(D1285+E1285,2)</f>
        <v>867.42</v>
      </c>
      <c r="G1285" s="314" t="s">
        <v>4576</v>
      </c>
      <c r="H1285" s="518" t="s">
        <v>3303</v>
      </c>
      <c r="I1285" s="452" t="s">
        <v>11565</v>
      </c>
      <c r="J1285" s="369" t="s">
        <v>753</v>
      </c>
      <c r="K1285" s="452" t="s">
        <v>741</v>
      </c>
    </row>
    <row r="1286" spans="1:11" s="317" customFormat="1">
      <c r="A1286" s="369"/>
      <c r="B1286" s="231"/>
      <c r="C1286" s="196" t="s">
        <v>2024</v>
      </c>
      <c r="D1286" s="230"/>
      <c r="E1286" s="215"/>
      <c r="F1286" s="511"/>
      <c r="G1286" s="314"/>
      <c r="H1286" s="518"/>
      <c r="I1286" s="452"/>
      <c r="J1286" s="369"/>
      <c r="K1286" s="452"/>
    </row>
    <row r="1287" spans="1:11" s="317" customFormat="1">
      <c r="A1287" s="369"/>
      <c r="B1287" s="231" t="s">
        <v>4910</v>
      </c>
      <c r="C1287" s="196">
        <v>2476</v>
      </c>
      <c r="D1287" s="230">
        <f>C1287*(1-VLOOKUP(I1287,descuentos,6,FALSE))*fcl/IF(dol_sol="dólar", TC,1)</f>
        <v>760.58890094979643</v>
      </c>
      <c r="E1287" s="215">
        <f>D1287/8</f>
        <v>95.073612618724553</v>
      </c>
      <c r="F1287" s="511">
        <f>ROUNDUP(D1287+E1287,2)</f>
        <v>855.67</v>
      </c>
      <c r="G1287" s="314" t="s">
        <v>4911</v>
      </c>
      <c r="H1287" s="518" t="s">
        <v>4912</v>
      </c>
      <c r="I1287" s="452" t="s">
        <v>11565</v>
      </c>
      <c r="J1287" s="369" t="s">
        <v>753</v>
      </c>
      <c r="K1287" s="452" t="s">
        <v>741</v>
      </c>
    </row>
    <row r="1288" spans="1:11" s="317" customFormat="1">
      <c r="A1288" s="369"/>
      <c r="B1288" s="231" t="s">
        <v>4913</v>
      </c>
      <c r="C1288" s="196">
        <v>2476</v>
      </c>
      <c r="D1288" s="230">
        <f>C1288*(1-VLOOKUP(I1288,descuentos,6,FALSE))*fcl/IF(dol_sol="dólar", TC,1)</f>
        <v>760.58890094979643</v>
      </c>
      <c r="E1288" s="215">
        <f>D1288/8</f>
        <v>95.073612618724553</v>
      </c>
      <c r="F1288" s="511">
        <f>ROUNDUP(D1288+E1288,2)</f>
        <v>855.67</v>
      </c>
      <c r="G1288" s="314" t="s">
        <v>4914</v>
      </c>
      <c r="H1288" s="518" t="s">
        <v>4915</v>
      </c>
      <c r="I1288" s="452" t="s">
        <v>11565</v>
      </c>
      <c r="J1288" s="369" t="s">
        <v>753</v>
      </c>
      <c r="K1288" s="452" t="s">
        <v>741</v>
      </c>
    </row>
    <row r="1289" spans="1:11" s="317" customFormat="1">
      <c r="A1289" s="369"/>
      <c r="B1289" s="231" t="s">
        <v>3304</v>
      </c>
      <c r="C1289" s="196">
        <v>2935</v>
      </c>
      <c r="D1289" s="230">
        <f>C1289*(1-VLOOKUP(I1289,descuentos,6,FALSE))*fcl/IF(dol_sol="dólar", TC,1)</f>
        <v>901.58660108548167</v>
      </c>
      <c r="E1289" s="215">
        <f>D1289/8</f>
        <v>112.69832513568521</v>
      </c>
      <c r="F1289" s="511">
        <f>ROUNDUP(D1289+E1289,2)</f>
        <v>1014.29</v>
      </c>
      <c r="G1289" s="314" t="s">
        <v>4577</v>
      </c>
      <c r="H1289" s="518" t="s">
        <v>3305</v>
      </c>
      <c r="I1289" s="452" t="s">
        <v>11565</v>
      </c>
      <c r="J1289" s="369" t="s">
        <v>753</v>
      </c>
      <c r="K1289" s="452" t="s">
        <v>741</v>
      </c>
    </row>
    <row r="1290" spans="1:11" s="317" customFormat="1">
      <c r="A1290" s="369"/>
      <c r="B1290" s="231"/>
      <c r="C1290" s="196" t="s">
        <v>2024</v>
      </c>
      <c r="D1290" s="230"/>
      <c r="E1290" s="215"/>
      <c r="F1290" s="511"/>
      <c r="G1290" s="314"/>
      <c r="H1290" s="518"/>
      <c r="I1290" s="452"/>
      <c r="J1290" s="369"/>
      <c r="K1290" s="452"/>
    </row>
    <row r="1291" spans="1:11" s="317" customFormat="1">
      <c r="A1291" s="369"/>
      <c r="B1291" s="231" t="s">
        <v>13222</v>
      </c>
      <c r="C1291" s="196">
        <v>2695</v>
      </c>
      <c r="D1291" s="230">
        <f>C1291*(1-VLOOKUP(I1291,descuentos,6,FALSE))*fcl/IF(dol_sol="dólar", TC,1)</f>
        <v>827.86231343283578</v>
      </c>
      <c r="E1291" s="215">
        <f>D1291/8</f>
        <v>103.48278917910447</v>
      </c>
      <c r="F1291" s="511">
        <f>ROUNDUP(D1291+E1291,2)</f>
        <v>931.35</v>
      </c>
      <c r="G1291" s="314" t="s">
        <v>13223</v>
      </c>
      <c r="H1291" s="518" t="s">
        <v>13224</v>
      </c>
      <c r="I1291" s="452" t="s">
        <v>11565</v>
      </c>
      <c r="J1291" s="369" t="s">
        <v>753</v>
      </c>
      <c r="K1291" s="452" t="s">
        <v>741</v>
      </c>
    </row>
    <row r="1292" spans="1:11" s="317" customFormat="1">
      <c r="A1292" s="369"/>
      <c r="B1292" s="231"/>
      <c r="C1292" s="196" t="s">
        <v>2024</v>
      </c>
      <c r="D1292" s="230"/>
      <c r="E1292" s="215"/>
      <c r="F1292" s="511"/>
      <c r="G1292" s="314"/>
      <c r="H1292" s="518"/>
      <c r="I1292" s="452"/>
      <c r="J1292" s="369"/>
      <c r="K1292" s="452"/>
    </row>
    <row r="1293" spans="1:11" s="317" customFormat="1">
      <c r="A1293" s="369"/>
      <c r="B1293" s="731" t="s">
        <v>4916</v>
      </c>
      <c r="C1293" s="346">
        <v>2949</v>
      </c>
      <c r="D1293" s="345">
        <f>C1293*(1-VLOOKUP(I1293,descuentos,6,FALSE))*fcl/IF(dol_sol="dólar", TC,1)</f>
        <v>905.88718453188596</v>
      </c>
      <c r="E1293" s="343">
        <f>D1293/8</f>
        <v>113.23589806648575</v>
      </c>
      <c r="F1293" s="508">
        <f>ROUNDUP(D1293+E1293,2)</f>
        <v>1019.13</v>
      </c>
      <c r="G1293" s="351" t="s">
        <v>4917</v>
      </c>
      <c r="H1293" s="506" t="s">
        <v>4918</v>
      </c>
      <c r="I1293" s="452" t="s">
        <v>11565</v>
      </c>
      <c r="J1293" s="369" t="s">
        <v>753</v>
      </c>
      <c r="K1293" s="452" t="s">
        <v>741</v>
      </c>
    </row>
    <row r="1294" spans="1:11" s="317" customFormat="1">
      <c r="A1294" s="369"/>
      <c r="B1294" s="731" t="s">
        <v>4919</v>
      </c>
      <c r="C1294" s="346">
        <v>2949</v>
      </c>
      <c r="D1294" s="345">
        <f>C1294*(1-VLOOKUP(I1294,descuentos,6,FALSE))*fcl/IF(dol_sol="dólar", TC,1)</f>
        <v>905.88718453188596</v>
      </c>
      <c r="E1294" s="343">
        <f>D1294/8</f>
        <v>113.23589806648575</v>
      </c>
      <c r="F1294" s="508">
        <f>ROUNDUP(D1294+E1294,2)</f>
        <v>1019.13</v>
      </c>
      <c r="G1294" s="351" t="s">
        <v>4920</v>
      </c>
      <c r="H1294" s="506" t="s">
        <v>4921</v>
      </c>
      <c r="I1294" s="452" t="s">
        <v>11565</v>
      </c>
      <c r="J1294" s="369" t="s">
        <v>753</v>
      </c>
      <c r="K1294" s="452" t="s">
        <v>741</v>
      </c>
    </row>
    <row r="1295" spans="1:11" s="317" customFormat="1">
      <c r="A1295" s="369"/>
      <c r="B1295" s="731" t="s">
        <v>4922</v>
      </c>
      <c r="C1295" s="346">
        <v>3264</v>
      </c>
      <c r="D1295" s="345">
        <f>C1295*(1-VLOOKUP(I1295,descuentos,6,FALSE))*fcl/IF(dol_sol="dólar", TC,1)</f>
        <v>1002.6503120759837</v>
      </c>
      <c r="E1295" s="343">
        <f>D1295/8</f>
        <v>125.33128900949797</v>
      </c>
      <c r="F1295" s="508">
        <f>ROUNDUP(D1295+E1295,2)</f>
        <v>1127.99</v>
      </c>
      <c r="G1295" s="351" t="s">
        <v>4923</v>
      </c>
      <c r="H1295" s="506" t="s">
        <v>4924</v>
      </c>
      <c r="I1295" s="452" t="s">
        <v>11565</v>
      </c>
      <c r="J1295" s="369" t="s">
        <v>753</v>
      </c>
      <c r="K1295" s="452" t="s">
        <v>741</v>
      </c>
    </row>
    <row r="1296" spans="1:11" s="317" customFormat="1">
      <c r="A1296" s="369"/>
      <c r="B1296" s="231"/>
      <c r="C1296" s="196" t="s">
        <v>2024</v>
      </c>
      <c r="D1296" s="230"/>
      <c r="E1296" s="215"/>
      <c r="F1296" s="511"/>
      <c r="G1296" s="314"/>
      <c r="H1296" s="518"/>
      <c r="I1296" s="452"/>
      <c r="J1296" s="369"/>
      <c r="K1296" s="452"/>
    </row>
    <row r="1297" spans="1:11" s="317" customFormat="1">
      <c r="A1297" s="369"/>
      <c r="B1297" s="731" t="s">
        <v>4925</v>
      </c>
      <c r="C1297" s="346">
        <v>3218</v>
      </c>
      <c r="D1297" s="345">
        <f>C1297*(1-VLOOKUP(I1297,descuentos,6,FALSE))*fcl/IF(dol_sol="dólar", TC,1)</f>
        <v>988.51982360922648</v>
      </c>
      <c r="E1297" s="343">
        <f>D1297/8</f>
        <v>123.56497795115331</v>
      </c>
      <c r="F1297" s="508">
        <f>ROUNDUP(D1297+E1297,2)</f>
        <v>1112.0899999999999</v>
      </c>
      <c r="G1297" s="351" t="s">
        <v>4926</v>
      </c>
      <c r="H1297" s="506" t="s">
        <v>4927</v>
      </c>
      <c r="I1297" s="452" t="s">
        <v>11565</v>
      </c>
      <c r="J1297" s="369" t="s">
        <v>753</v>
      </c>
      <c r="K1297" s="452" t="s">
        <v>741</v>
      </c>
    </row>
    <row r="1298" spans="1:11" s="317" customFormat="1">
      <c r="A1298" s="369"/>
      <c r="B1298" s="731" t="s">
        <v>4928</v>
      </c>
      <c r="C1298" s="346">
        <v>3218</v>
      </c>
      <c r="D1298" s="345">
        <f>C1298*(1-VLOOKUP(I1298,descuentos,6,FALSE))*fcl/IF(dol_sol="dólar", TC,1)</f>
        <v>988.51982360922648</v>
      </c>
      <c r="E1298" s="343">
        <f>D1298/8</f>
        <v>123.56497795115331</v>
      </c>
      <c r="F1298" s="508">
        <f>ROUNDUP(D1298+E1298,2)</f>
        <v>1112.0899999999999</v>
      </c>
      <c r="G1298" s="351" t="s">
        <v>4929</v>
      </c>
      <c r="H1298" s="506" t="s">
        <v>4930</v>
      </c>
      <c r="I1298" s="452" t="s">
        <v>11565</v>
      </c>
      <c r="J1298" s="369" t="s">
        <v>753</v>
      </c>
      <c r="K1298" s="452" t="s">
        <v>741</v>
      </c>
    </row>
    <row r="1299" spans="1:11" s="317" customFormat="1">
      <c r="A1299" s="369"/>
      <c r="B1299" s="731" t="s">
        <v>4931</v>
      </c>
      <c r="C1299" s="346">
        <v>3816</v>
      </c>
      <c r="D1299" s="345">
        <f>C1299*(1-VLOOKUP(I1299,descuentos,6,FALSE))*fcl/IF(dol_sol="dólar", TC,1)</f>
        <v>1172.216173677069</v>
      </c>
      <c r="E1299" s="343">
        <f>D1299/8</f>
        <v>146.52702170963363</v>
      </c>
      <c r="F1299" s="508">
        <f>ROUNDUP(D1299+E1299,2)</f>
        <v>1318.75</v>
      </c>
      <c r="G1299" s="351" t="s">
        <v>4932</v>
      </c>
      <c r="H1299" s="506" t="s">
        <v>4933</v>
      </c>
      <c r="I1299" s="452" t="s">
        <v>11565</v>
      </c>
      <c r="J1299" s="369" t="s">
        <v>753</v>
      </c>
      <c r="K1299" s="452" t="s">
        <v>741</v>
      </c>
    </row>
    <row r="1300" spans="1:11" s="317" customFormat="1">
      <c r="A1300" s="369"/>
      <c r="B1300" s="231"/>
      <c r="C1300" s="196" t="s">
        <v>2024</v>
      </c>
      <c r="D1300" s="230"/>
      <c r="E1300" s="215"/>
      <c r="F1300" s="511"/>
      <c r="G1300" s="314"/>
      <c r="H1300" s="518"/>
      <c r="I1300" s="452"/>
      <c r="J1300" s="369"/>
      <c r="K1300" s="452"/>
    </row>
    <row r="1301" spans="1:11" s="317" customFormat="1">
      <c r="A1301" s="369"/>
      <c r="B1301" s="231" t="s">
        <v>6777</v>
      </c>
      <c r="C1301" s="196">
        <v>3332</v>
      </c>
      <c r="D1301" s="230">
        <f>C1301*(1-VLOOKUP(I1301,descuentos,6,FALSE))*fcl/IF(dol_sol="dólar", TC,1)</f>
        <v>1023.5388602442333</v>
      </c>
      <c r="E1301" s="215">
        <f>D1301/8</f>
        <v>127.94235753052916</v>
      </c>
      <c r="F1301" s="511">
        <f>ROUNDUP(D1301+E1301,2)</f>
        <v>1151.49</v>
      </c>
      <c r="G1301" s="314" t="s">
        <v>10305</v>
      </c>
      <c r="H1301" s="518" t="s">
        <v>6778</v>
      </c>
      <c r="I1301" s="452" t="s">
        <v>11565</v>
      </c>
      <c r="J1301" s="369" t="s">
        <v>753</v>
      </c>
      <c r="K1301" s="452" t="s">
        <v>741</v>
      </c>
    </row>
    <row r="1302" spans="1:11" s="317" customFormat="1">
      <c r="A1302" s="369"/>
      <c r="B1302" s="231" t="s">
        <v>10306</v>
      </c>
      <c r="C1302" s="196">
        <v>4610</v>
      </c>
      <c r="D1302" s="230">
        <f>C1302*(1-VLOOKUP(I1302,descuentos,6,FALSE))*fcl/IF(dol_sol="dólar", TC,1)</f>
        <v>1416.1206919945726</v>
      </c>
      <c r="E1302" s="215">
        <f>D1302/8</f>
        <v>177.01508649932157</v>
      </c>
      <c r="F1302" s="511">
        <f>ROUNDUP(D1302+E1302,2)</f>
        <v>1593.14</v>
      </c>
      <c r="G1302" s="314" t="s">
        <v>10307</v>
      </c>
      <c r="H1302" s="518" t="s">
        <v>10308</v>
      </c>
      <c r="I1302" s="452" t="s">
        <v>11565</v>
      </c>
      <c r="J1302" s="369" t="s">
        <v>753</v>
      </c>
      <c r="K1302" s="452" t="s">
        <v>741</v>
      </c>
    </row>
    <row r="1303" spans="1:11" s="317" customFormat="1">
      <c r="A1303" s="369"/>
      <c r="B1303" s="231"/>
      <c r="C1303" s="196" t="s">
        <v>2024</v>
      </c>
      <c r="D1303" s="230"/>
      <c r="E1303" s="215"/>
      <c r="F1303" s="511"/>
      <c r="G1303" s="314"/>
      <c r="H1303" s="518"/>
      <c r="I1303" s="452"/>
      <c r="J1303" s="369"/>
      <c r="K1303" s="452"/>
    </row>
    <row r="1304" spans="1:11" s="317" customFormat="1">
      <c r="A1304" s="369"/>
      <c r="B1304" s="231" t="s">
        <v>13225</v>
      </c>
      <c r="C1304" s="196">
        <v>3585</v>
      </c>
      <c r="D1304" s="230">
        <f>C1304*(1-VLOOKUP(I1304,descuentos,6,FALSE))*fcl/IF(dol_sol="dólar", TC,1)</f>
        <v>1101.2565468113976</v>
      </c>
      <c r="E1304" s="215">
        <f>D1304/8</f>
        <v>137.6570683514247</v>
      </c>
      <c r="F1304" s="511">
        <f>ROUNDUP(D1304+E1304,2)</f>
        <v>1238.92</v>
      </c>
      <c r="G1304" s="314" t="s">
        <v>13226</v>
      </c>
      <c r="H1304" s="518" t="s">
        <v>13227</v>
      </c>
      <c r="I1304" s="452" t="s">
        <v>11565</v>
      </c>
      <c r="J1304" s="369" t="s">
        <v>753</v>
      </c>
      <c r="K1304" s="452" t="s">
        <v>741</v>
      </c>
    </row>
    <row r="1305" spans="1:11" s="317" customFormat="1">
      <c r="A1305" s="369"/>
      <c r="B1305" s="231" t="s">
        <v>11680</v>
      </c>
      <c r="C1305" s="196">
        <v>5609</v>
      </c>
      <c r="D1305" s="230">
        <f>C1305*(1-VLOOKUP(I1305,descuentos,6,FALSE))*fcl/IF(dol_sol="dólar", TC,1)</f>
        <v>1722.9980393487108</v>
      </c>
      <c r="E1305" s="215">
        <f>D1305/8</f>
        <v>215.37475491858885</v>
      </c>
      <c r="F1305" s="511">
        <f>ROUNDUP(D1305+E1305,2)</f>
        <v>1938.3799999999999</v>
      </c>
      <c r="G1305" s="314" t="s">
        <v>11681</v>
      </c>
      <c r="H1305" s="518" t="s">
        <v>11682</v>
      </c>
      <c r="I1305" s="452" t="s">
        <v>11565</v>
      </c>
      <c r="J1305" s="369" t="s">
        <v>753</v>
      </c>
      <c r="K1305" s="452" t="s">
        <v>741</v>
      </c>
    </row>
    <row r="1306" spans="1:11" s="317" customFormat="1">
      <c r="A1306" s="369"/>
      <c r="B1306" s="232"/>
      <c r="C1306" s="196" t="s">
        <v>2024</v>
      </c>
      <c r="D1306" s="230"/>
      <c r="E1306" s="215"/>
      <c r="F1306" s="511"/>
      <c r="G1306" s="314"/>
      <c r="H1306" s="518"/>
      <c r="I1306" s="452"/>
      <c r="J1306" s="369"/>
      <c r="K1306" s="452"/>
    </row>
    <row r="1307" spans="1:11" s="317" customFormat="1">
      <c r="A1307" s="369"/>
      <c r="B1307" s="314"/>
      <c r="C1307" s="196" t="s">
        <v>2024</v>
      </c>
      <c r="D1307" s="230"/>
      <c r="E1307" s="215"/>
      <c r="F1307" s="511"/>
      <c r="G1307" s="314"/>
      <c r="H1307" s="518"/>
      <c r="I1307" s="452"/>
      <c r="J1307" s="369"/>
      <c r="K1307" s="452"/>
    </row>
    <row r="1308" spans="1:11" s="317" customFormat="1">
      <c r="A1308" s="369"/>
      <c r="B1308" s="518"/>
      <c r="C1308" s="196" t="s">
        <v>2024</v>
      </c>
      <c r="D1308" s="230"/>
      <c r="E1308" s="215"/>
      <c r="F1308" s="511"/>
      <c r="G1308" s="314"/>
      <c r="H1308" s="518"/>
      <c r="I1308" s="452"/>
      <c r="J1308" s="369"/>
      <c r="K1308" s="452"/>
    </row>
    <row r="1309" spans="1:11" s="317" customFormat="1">
      <c r="A1309" s="369"/>
      <c r="B1309" s="314"/>
      <c r="C1309" s="196" t="s">
        <v>2024</v>
      </c>
      <c r="D1309" s="230"/>
      <c r="E1309" s="215"/>
      <c r="F1309" s="511"/>
      <c r="G1309" s="314"/>
      <c r="H1309" s="518"/>
      <c r="I1309" s="452"/>
      <c r="J1309" s="369"/>
      <c r="K1309" s="452"/>
    </row>
    <row r="1310" spans="1:11" s="317" customFormat="1">
      <c r="A1310" s="369"/>
      <c r="B1310" s="314" t="s">
        <v>1067</v>
      </c>
      <c r="C1310" s="196">
        <v>1839</v>
      </c>
      <c r="D1310" s="230">
        <f>C1310*(1-VLOOKUP(I1310,descuentos,6,FALSE))*fcl/IF(dol_sol="dólar", TC,1)</f>
        <v>564.91235413839888</v>
      </c>
      <c r="E1310" s="215">
        <f>D1310/8</f>
        <v>70.61404426729986</v>
      </c>
      <c r="F1310" s="511">
        <f>ROUNDUP(D1310+E1310,2)</f>
        <v>635.53</v>
      </c>
      <c r="G1310" s="314" t="s">
        <v>4539</v>
      </c>
      <c r="H1310" s="518" t="s">
        <v>1068</v>
      </c>
      <c r="I1310" s="452" t="s">
        <v>11565</v>
      </c>
      <c r="J1310" s="369" t="s">
        <v>753</v>
      </c>
      <c r="K1310" s="452" t="s">
        <v>741</v>
      </c>
    </row>
    <row r="1311" spans="1:11" s="317" customFormat="1">
      <c r="A1311" s="369"/>
      <c r="B1311" s="314" t="s">
        <v>13513</v>
      </c>
      <c r="C1311" s="196">
        <v>2386</v>
      </c>
      <c r="D1311" s="230">
        <f>C1311*(1-VLOOKUP(I1311,descuentos,6,FALSE))*fcl/IF(dol_sol="dólar", TC,1)</f>
        <v>732.94229308005424</v>
      </c>
      <c r="E1311" s="215">
        <f>D1311/8</f>
        <v>91.61778663500678</v>
      </c>
      <c r="F1311" s="511">
        <f>ROUNDUP(D1311+E1311,2)</f>
        <v>824.56999999999994</v>
      </c>
      <c r="G1311" s="314" t="s">
        <v>13514</v>
      </c>
      <c r="H1311" s="518" t="s">
        <v>13515</v>
      </c>
      <c r="I1311" s="452" t="s">
        <v>11565</v>
      </c>
      <c r="J1311" s="369" t="s">
        <v>753</v>
      </c>
      <c r="K1311" s="452" t="s">
        <v>741</v>
      </c>
    </row>
    <row r="1312" spans="1:11" s="317" customFormat="1">
      <c r="A1312" s="369" t="s">
        <v>11159</v>
      </c>
      <c r="B1312" s="314" t="s">
        <v>11683</v>
      </c>
      <c r="C1312" s="196">
        <v>1835</v>
      </c>
      <c r="D1312" s="230">
        <f>C1312*(1-VLOOKUP(I1312,descuentos,6,FALSE))*fcl/IF(dol_sol="dólar", TC,1)</f>
        <v>563.68361601085485</v>
      </c>
      <c r="E1312" s="215">
        <f>D1312/8</f>
        <v>70.460452001356856</v>
      </c>
      <c r="F1312" s="511">
        <f>ROUNDUP(D1312+E1312,2)</f>
        <v>634.15</v>
      </c>
      <c r="G1312" s="314" t="s">
        <v>11684</v>
      </c>
      <c r="H1312" s="518" t="s">
        <v>11685</v>
      </c>
      <c r="I1312" s="452" t="s">
        <v>11565</v>
      </c>
      <c r="J1312" s="369" t="s">
        <v>753</v>
      </c>
      <c r="K1312" s="452" t="s">
        <v>741</v>
      </c>
    </row>
    <row r="1313" spans="1:11" s="317" customFormat="1">
      <c r="A1313" s="369"/>
      <c r="B1313" s="314"/>
      <c r="C1313" s="196" t="s">
        <v>2024</v>
      </c>
      <c r="D1313" s="230"/>
      <c r="E1313" s="215"/>
      <c r="F1313" s="511"/>
      <c r="G1313" s="314"/>
      <c r="H1313" s="518"/>
      <c r="I1313" s="452"/>
      <c r="J1313" s="369"/>
      <c r="K1313" s="452"/>
    </row>
    <row r="1314" spans="1:11" s="317" customFormat="1">
      <c r="A1314" s="369"/>
      <c r="B1314" s="314" t="s">
        <v>1069</v>
      </c>
      <c r="C1314" s="196">
        <v>2090</v>
      </c>
      <c r="D1314" s="230">
        <f>C1314*(1-VLOOKUP(I1314,descuentos,6,FALSE))*fcl/IF(dol_sol="dólar", TC,1)</f>
        <v>642.01567164179107</v>
      </c>
      <c r="E1314" s="215">
        <f>D1314/8</f>
        <v>80.251958955223884</v>
      </c>
      <c r="F1314" s="511">
        <f>ROUNDUP(D1314+E1314,2)</f>
        <v>722.27</v>
      </c>
      <c r="G1314" s="314" t="s">
        <v>4540</v>
      </c>
      <c r="H1314" s="518" t="s">
        <v>1070</v>
      </c>
      <c r="I1314" s="452" t="s">
        <v>11565</v>
      </c>
      <c r="J1314" s="369" t="s">
        <v>753</v>
      </c>
      <c r="K1314" s="452" t="s">
        <v>741</v>
      </c>
    </row>
    <row r="1315" spans="1:11" s="317" customFormat="1">
      <c r="A1315" s="369" t="s">
        <v>11159</v>
      </c>
      <c r="B1315" s="314" t="s">
        <v>11686</v>
      </c>
      <c r="C1315" s="196">
        <v>2105</v>
      </c>
      <c r="D1315" s="230">
        <f>C1315*(1-VLOOKUP(I1315,descuentos,6,FALSE))*fcl/IF(dol_sol="dólar", TC,1)</f>
        <v>646.6234396200814</v>
      </c>
      <c r="E1315" s="215">
        <f>D1315/8</f>
        <v>80.827929952510175</v>
      </c>
      <c r="F1315" s="511">
        <f>ROUNDUP(D1315+E1315,2)</f>
        <v>727.46</v>
      </c>
      <c r="G1315" s="314" t="s">
        <v>11687</v>
      </c>
      <c r="H1315" s="518" t="s">
        <v>11688</v>
      </c>
      <c r="I1315" s="452" t="s">
        <v>11565</v>
      </c>
      <c r="J1315" s="369" t="s">
        <v>753</v>
      </c>
      <c r="K1315" s="452" t="s">
        <v>741</v>
      </c>
    </row>
    <row r="1316" spans="1:11" s="317" customFormat="1">
      <c r="A1316" s="369"/>
      <c r="B1316" s="314"/>
      <c r="C1316" s="196" t="s">
        <v>2024</v>
      </c>
      <c r="D1316" s="230"/>
      <c r="E1316" s="215"/>
      <c r="F1316" s="511"/>
      <c r="G1316" s="314"/>
      <c r="H1316" s="518"/>
      <c r="I1316" s="452"/>
      <c r="J1316" s="369"/>
      <c r="K1316" s="452"/>
    </row>
    <row r="1317" spans="1:11" s="317" customFormat="1">
      <c r="A1317" s="369"/>
      <c r="B1317" s="314" t="s">
        <v>5412</v>
      </c>
      <c r="C1317" s="196">
        <v>2233</v>
      </c>
      <c r="D1317" s="230">
        <f>C1317*(1-VLOOKUP(I1317,descuentos,6,FALSE))*fcl/IF(dol_sol="dólar", TC,1)</f>
        <v>685.94305970149253</v>
      </c>
      <c r="E1317" s="215">
        <f>D1317/8</f>
        <v>85.742882462686566</v>
      </c>
      <c r="F1317" s="511">
        <f>ROUNDUP(D1317+E1317,2)</f>
        <v>771.68999999999994</v>
      </c>
      <c r="G1317" s="314" t="s">
        <v>5413</v>
      </c>
      <c r="H1317" s="518" t="s">
        <v>5414</v>
      </c>
      <c r="I1317" s="452" t="s">
        <v>11565</v>
      </c>
      <c r="J1317" s="369" t="s">
        <v>753</v>
      </c>
      <c r="K1317" s="452" t="s">
        <v>741</v>
      </c>
    </row>
    <row r="1318" spans="1:11" s="317" customFormat="1">
      <c r="A1318" s="369"/>
      <c r="B1318" s="314"/>
      <c r="C1318" s="196" t="s">
        <v>2024</v>
      </c>
      <c r="D1318" s="230"/>
      <c r="E1318" s="215"/>
      <c r="F1318" s="511"/>
      <c r="G1318" s="314"/>
      <c r="H1318" s="518"/>
      <c r="I1318" s="452"/>
      <c r="J1318" s="369"/>
      <c r="K1318" s="452"/>
    </row>
    <row r="1319" spans="1:11" s="317" customFormat="1">
      <c r="A1319" s="369" t="s">
        <v>11159</v>
      </c>
      <c r="B1319" s="314" t="s">
        <v>9489</v>
      </c>
      <c r="C1319" s="196">
        <v>2035</v>
      </c>
      <c r="D1319" s="230">
        <f>C1319*(1-VLOOKUP(I1319,descuentos,6,FALSE))*fcl/IF(dol_sol="dólar", TC,1)</f>
        <v>625.12052238805961</v>
      </c>
      <c r="E1319" s="215">
        <f>D1319/8</f>
        <v>78.140065298507452</v>
      </c>
      <c r="F1319" s="511">
        <f>ROUNDUP(D1319+E1319,2)</f>
        <v>703.27</v>
      </c>
      <c r="G1319" s="314" t="s">
        <v>11689</v>
      </c>
      <c r="H1319" s="518" t="s">
        <v>9490</v>
      </c>
      <c r="I1319" s="452" t="s">
        <v>11565</v>
      </c>
      <c r="J1319" s="369" t="s">
        <v>753</v>
      </c>
      <c r="K1319" s="452" t="s">
        <v>741</v>
      </c>
    </row>
    <row r="1320" spans="1:11" s="317" customFormat="1">
      <c r="A1320" s="369"/>
      <c r="B1320" s="314"/>
      <c r="C1320" s="196" t="s">
        <v>2024</v>
      </c>
      <c r="D1320" s="230"/>
      <c r="E1320" s="215"/>
      <c r="F1320" s="511"/>
      <c r="G1320" s="314"/>
      <c r="H1320" s="518"/>
      <c r="I1320" s="452"/>
      <c r="J1320" s="369"/>
      <c r="K1320" s="452"/>
    </row>
    <row r="1321" spans="1:11" s="317" customFormat="1">
      <c r="A1321" s="369"/>
      <c r="B1321" s="314" t="s">
        <v>6779</v>
      </c>
      <c r="C1321" s="196">
        <v>2047</v>
      </c>
      <c r="D1321" s="230">
        <f>C1321*(1-VLOOKUP(I1321,descuentos,6,FALSE))*fcl/IF(dol_sol="dólar", TC,1)</f>
        <v>628.80673677069194</v>
      </c>
      <c r="E1321" s="215">
        <f>D1321/8</f>
        <v>78.600842096336493</v>
      </c>
      <c r="F1321" s="511">
        <f>ROUNDUP(D1321+E1321,2)</f>
        <v>707.41</v>
      </c>
      <c r="G1321" s="314" t="s">
        <v>6780</v>
      </c>
      <c r="H1321" s="518" t="s">
        <v>6781</v>
      </c>
      <c r="I1321" s="452" t="s">
        <v>11565</v>
      </c>
      <c r="J1321" s="369" t="s">
        <v>753</v>
      </c>
      <c r="K1321" s="452" t="s">
        <v>741</v>
      </c>
    </row>
    <row r="1322" spans="1:11" s="317" customFormat="1">
      <c r="A1322" s="369"/>
      <c r="B1322" s="314" t="s">
        <v>1071</v>
      </c>
      <c r="C1322" s="196">
        <v>1938</v>
      </c>
      <c r="D1322" s="230">
        <f>C1322*(1-VLOOKUP(I1322,descuentos,6,FALSE))*fcl/IF(dol_sol="dólar", TC,1)</f>
        <v>595.32362279511528</v>
      </c>
      <c r="E1322" s="215">
        <f>D1322/8</f>
        <v>74.415452849389411</v>
      </c>
      <c r="F1322" s="511">
        <f>ROUNDUP(D1322+E1322,2)</f>
        <v>669.74</v>
      </c>
      <c r="G1322" s="314" t="s">
        <v>4541</v>
      </c>
      <c r="H1322" s="518" t="s">
        <v>1072</v>
      </c>
      <c r="I1322" s="452" t="s">
        <v>11565</v>
      </c>
      <c r="J1322" s="369" t="s">
        <v>753</v>
      </c>
      <c r="K1322" s="452" t="s">
        <v>741</v>
      </c>
    </row>
    <row r="1323" spans="1:11" s="317" customFormat="1">
      <c r="A1323" s="369"/>
      <c r="B1323" s="314" t="s">
        <v>1078</v>
      </c>
      <c r="C1323" s="196">
        <v>2561</v>
      </c>
      <c r="D1323" s="230">
        <f>C1323*(1-VLOOKUP(I1323,descuentos,6,FALSE))*fcl/IF(dol_sol="dólar", TC,1)</f>
        <v>786.69958616010842</v>
      </c>
      <c r="E1323" s="215">
        <f>D1323/8</f>
        <v>98.337448270013553</v>
      </c>
      <c r="F1323" s="511">
        <f>ROUNDUP(D1323+E1323,2)</f>
        <v>885.04</v>
      </c>
      <c r="G1323" s="314" t="s">
        <v>4542</v>
      </c>
      <c r="H1323" s="518" t="s">
        <v>1076</v>
      </c>
      <c r="I1323" s="452" t="s">
        <v>11565</v>
      </c>
      <c r="J1323" s="369" t="s">
        <v>753</v>
      </c>
      <c r="K1323" s="452" t="s">
        <v>741</v>
      </c>
    </row>
    <row r="1324" spans="1:11" s="317" customFormat="1">
      <c r="A1324" s="369"/>
      <c r="B1324" s="314"/>
      <c r="C1324" s="196" t="s">
        <v>2024</v>
      </c>
      <c r="D1324" s="230"/>
      <c r="E1324" s="215"/>
      <c r="F1324" s="511"/>
      <c r="G1324" s="314"/>
      <c r="H1324" s="518"/>
      <c r="I1324" s="452"/>
      <c r="J1324" s="369"/>
      <c r="K1324" s="452"/>
    </row>
    <row r="1325" spans="1:11" s="317" customFormat="1">
      <c r="A1325" s="369"/>
      <c r="B1325" s="314" t="s">
        <v>13228</v>
      </c>
      <c r="C1325" s="196">
        <v>2263</v>
      </c>
      <c r="D1325" s="230">
        <f>C1325*(1-VLOOKUP(I1325,descuentos,6,FALSE))*fcl/IF(dol_sol="dólar", TC,1)</f>
        <v>695.1585956580733</v>
      </c>
      <c r="E1325" s="215">
        <f>D1325/8</f>
        <v>86.894824457259162</v>
      </c>
      <c r="F1325" s="511">
        <f>ROUNDUP(D1325+E1325,2)</f>
        <v>782.06</v>
      </c>
      <c r="G1325" s="314" t="s">
        <v>13229</v>
      </c>
      <c r="H1325" s="518" t="s">
        <v>13230</v>
      </c>
      <c r="I1325" s="452" t="s">
        <v>11565</v>
      </c>
      <c r="J1325" s="369" t="s">
        <v>753</v>
      </c>
      <c r="K1325" s="452" t="s">
        <v>741</v>
      </c>
    </row>
    <row r="1326" spans="1:11" s="317" customFormat="1">
      <c r="A1326" s="369"/>
      <c r="B1326" s="314" t="s">
        <v>1073</v>
      </c>
      <c r="C1326" s="196">
        <v>2156</v>
      </c>
      <c r="D1326" s="230">
        <f>C1326*(1-VLOOKUP(I1326,descuentos,6,FALSE))*fcl/IF(dol_sol="dólar", TC,1)</f>
        <v>662.2898507462686</v>
      </c>
      <c r="E1326" s="215">
        <f>D1326/8</f>
        <v>82.786231343283575</v>
      </c>
      <c r="F1326" s="511">
        <f>ROUNDUP(D1326+E1326,2)</f>
        <v>745.08</v>
      </c>
      <c r="G1326" s="314" t="s">
        <v>4543</v>
      </c>
      <c r="H1326" s="518" t="s">
        <v>1074</v>
      </c>
      <c r="I1326" s="452" t="s">
        <v>11565</v>
      </c>
      <c r="J1326" s="369" t="s">
        <v>753</v>
      </c>
      <c r="K1326" s="452" t="s">
        <v>741</v>
      </c>
    </row>
    <row r="1327" spans="1:11" s="317" customFormat="1">
      <c r="A1327" s="369"/>
      <c r="B1327" s="314" t="s">
        <v>1075</v>
      </c>
      <c r="C1327" s="196">
        <v>2991</v>
      </c>
      <c r="D1327" s="230">
        <f>C1327*(1-VLOOKUP(I1327,descuentos,6,FALSE))*fcl/IF(dol_sol="dólar", TC,1)</f>
        <v>918.78893487109906</v>
      </c>
      <c r="E1327" s="215">
        <f>D1327/8</f>
        <v>114.84861685888738</v>
      </c>
      <c r="F1327" s="511">
        <f>ROUNDUP(D1327+E1327,2)</f>
        <v>1033.6400000000001</v>
      </c>
      <c r="G1327" s="314" t="s">
        <v>4544</v>
      </c>
      <c r="H1327" s="518" t="s">
        <v>1077</v>
      </c>
      <c r="I1327" s="452" t="s">
        <v>11565</v>
      </c>
      <c r="J1327" s="369" t="s">
        <v>753</v>
      </c>
      <c r="K1327" s="452" t="s">
        <v>741</v>
      </c>
    </row>
    <row r="1328" spans="1:11" s="317" customFormat="1">
      <c r="A1328" s="369"/>
      <c r="B1328" s="314"/>
      <c r="C1328" s="196" t="s">
        <v>2024</v>
      </c>
      <c r="D1328" s="230"/>
      <c r="E1328" s="215"/>
      <c r="F1328" s="511"/>
      <c r="G1328" s="314"/>
      <c r="H1328" s="518"/>
      <c r="I1328" s="452"/>
      <c r="J1328" s="369"/>
      <c r="K1328" s="452"/>
    </row>
    <row r="1329" spans="1:11" s="317" customFormat="1">
      <c r="A1329" s="369" t="s">
        <v>11159</v>
      </c>
      <c r="B1329" s="314" t="s">
        <v>11690</v>
      </c>
      <c r="C1329" s="196">
        <v>2263</v>
      </c>
      <c r="D1329" s="230">
        <f>C1329*(1-VLOOKUP(I1329,descuentos,6,FALSE))*fcl/IF(dol_sol="dólar", TC,1)</f>
        <v>695.1585956580733</v>
      </c>
      <c r="E1329" s="215">
        <f>D1329/8</f>
        <v>86.894824457259162</v>
      </c>
      <c r="F1329" s="511">
        <f>ROUNDUP(D1329+E1329,2)</f>
        <v>782.06</v>
      </c>
      <c r="G1329" s="314" t="s">
        <v>11691</v>
      </c>
      <c r="H1329" s="518" t="s">
        <v>11692</v>
      </c>
      <c r="I1329" s="452" t="s">
        <v>11565</v>
      </c>
      <c r="J1329" s="369" t="s">
        <v>753</v>
      </c>
      <c r="K1329" s="452" t="s">
        <v>741</v>
      </c>
    </row>
    <row r="1330" spans="1:11" s="317" customFormat="1">
      <c r="A1330" s="369"/>
      <c r="B1330" s="314"/>
      <c r="C1330" s="196" t="s">
        <v>2024</v>
      </c>
      <c r="D1330" s="230"/>
      <c r="E1330" s="215"/>
      <c r="F1330" s="511"/>
      <c r="G1330" s="314"/>
      <c r="H1330" s="518"/>
      <c r="I1330" s="452"/>
      <c r="J1330" s="369"/>
      <c r="K1330" s="452"/>
    </row>
    <row r="1331" spans="1:11" s="317" customFormat="1">
      <c r="A1331" s="369"/>
      <c r="B1331" s="314" t="s">
        <v>10309</v>
      </c>
      <c r="C1331" s="196">
        <v>2646</v>
      </c>
      <c r="D1331" s="230">
        <f>C1331*(1-VLOOKUP(I1331,descuentos,6,FALSE))*fcl/IF(dol_sol="dólar", TC,1)</f>
        <v>812.81027137042054</v>
      </c>
      <c r="E1331" s="215">
        <f>D1331/8</f>
        <v>101.60128392130257</v>
      </c>
      <c r="F1331" s="511">
        <f>ROUNDUP(D1331+E1331,2)</f>
        <v>914.42</v>
      </c>
      <c r="G1331" s="314" t="s">
        <v>10310</v>
      </c>
      <c r="H1331" s="518" t="s">
        <v>10311</v>
      </c>
      <c r="I1331" s="452" t="s">
        <v>11565</v>
      </c>
      <c r="J1331" s="369" t="s">
        <v>753</v>
      </c>
      <c r="K1331" s="452" t="s">
        <v>741</v>
      </c>
    </row>
    <row r="1332" spans="1:11" s="317" customFormat="1">
      <c r="A1332" s="369"/>
      <c r="B1332" s="351" t="s">
        <v>2903</v>
      </c>
      <c r="C1332" s="346">
        <v>2646</v>
      </c>
      <c r="D1332" s="345">
        <f>C1332*(1-VLOOKUP(I1332,descuentos,6,FALSE))*fcl/IF(dol_sol="dólar", TC,1)</f>
        <v>812.81027137042054</v>
      </c>
      <c r="E1332" s="343">
        <f>D1332/8</f>
        <v>101.60128392130257</v>
      </c>
      <c r="F1332" s="508">
        <f>ROUNDUP(D1332+E1332,2)</f>
        <v>914.42</v>
      </c>
      <c r="G1332" s="351" t="s">
        <v>4545</v>
      </c>
      <c r="H1332" s="518" t="s">
        <v>2904</v>
      </c>
      <c r="I1332" s="452" t="s">
        <v>11565</v>
      </c>
      <c r="J1332" s="369" t="s">
        <v>753</v>
      </c>
      <c r="K1332" s="452" t="s">
        <v>741</v>
      </c>
    </row>
    <row r="1333" spans="1:11" s="317" customFormat="1">
      <c r="A1333" s="369"/>
      <c r="B1333" s="351" t="s">
        <v>4934</v>
      </c>
      <c r="C1333" s="346">
        <v>3320</v>
      </c>
      <c r="D1333" s="345">
        <f>C1333*(1-VLOOKUP(I1333,descuentos,6,FALSE))*fcl/IF(dol_sol="dólar", TC,1)</f>
        <v>1019.8526458616011</v>
      </c>
      <c r="E1333" s="343">
        <f>D1333/8</f>
        <v>127.48158073270014</v>
      </c>
      <c r="F1333" s="508">
        <f>ROUNDUP(D1333+E1333,2)</f>
        <v>1147.3399999999999</v>
      </c>
      <c r="G1333" s="351" t="s">
        <v>4935</v>
      </c>
      <c r="H1333" s="518" t="s">
        <v>4936</v>
      </c>
      <c r="I1333" s="452" t="s">
        <v>11565</v>
      </c>
      <c r="J1333" s="369" t="s">
        <v>753</v>
      </c>
      <c r="K1333" s="452" t="s">
        <v>741</v>
      </c>
    </row>
    <row r="1334" spans="1:11" s="317" customFormat="1">
      <c r="A1334" s="369"/>
      <c r="B1334" s="351" t="s">
        <v>2276</v>
      </c>
      <c r="C1334" s="346">
        <v>2941</v>
      </c>
      <c r="D1334" s="345">
        <f>C1334*(1-VLOOKUP(I1334,descuentos,6,FALSE))*fcl/IF(dol_sol="dólar", TC,1)</f>
        <v>903.42970827679778</v>
      </c>
      <c r="E1334" s="343">
        <f>D1334/8</f>
        <v>112.92871353459972</v>
      </c>
      <c r="F1334" s="508">
        <f>ROUNDUP(D1334+E1334,2)</f>
        <v>1016.36</v>
      </c>
      <c r="G1334" s="351" t="s">
        <v>4546</v>
      </c>
      <c r="H1334" s="518" t="s">
        <v>2277</v>
      </c>
      <c r="I1334" s="452" t="s">
        <v>11565</v>
      </c>
      <c r="J1334" s="369" t="s">
        <v>753</v>
      </c>
      <c r="K1334" s="452" t="s">
        <v>741</v>
      </c>
    </row>
    <row r="1335" spans="1:11" s="317" customFormat="1">
      <c r="A1335" s="369"/>
      <c r="B1335" s="351" t="s">
        <v>2278</v>
      </c>
      <c r="C1335" s="346">
        <v>3872</v>
      </c>
      <c r="D1335" s="345">
        <f>C1335*(1-VLOOKUP(I1335,descuentos,6,FALSE))*fcl/IF(dol_sol="dólar", TC,1)</f>
        <v>1189.4185074626864</v>
      </c>
      <c r="E1335" s="343">
        <f>D1335/8</f>
        <v>148.6773134328358</v>
      </c>
      <c r="F1335" s="508">
        <f>ROUNDUP(D1335+E1335,2)</f>
        <v>1338.1</v>
      </c>
      <c r="G1335" s="351" t="s">
        <v>4547</v>
      </c>
      <c r="H1335" s="518" t="s">
        <v>2279</v>
      </c>
      <c r="I1335" s="452" t="s">
        <v>11565</v>
      </c>
      <c r="J1335" s="369" t="s">
        <v>753</v>
      </c>
      <c r="K1335" s="452" t="s">
        <v>741</v>
      </c>
    </row>
    <row r="1336" spans="1:11" s="317" customFormat="1">
      <c r="A1336" s="369"/>
      <c r="B1336" s="314"/>
      <c r="C1336" s="196" t="s">
        <v>2024</v>
      </c>
      <c r="D1336" s="230"/>
      <c r="E1336" s="215"/>
      <c r="F1336" s="511"/>
      <c r="G1336" s="314"/>
      <c r="H1336" s="518"/>
      <c r="I1336" s="452"/>
      <c r="J1336" s="369"/>
      <c r="K1336" s="452"/>
    </row>
    <row r="1337" spans="1:11" s="317" customFormat="1">
      <c r="A1337" s="369"/>
      <c r="B1337" s="314" t="s">
        <v>13385</v>
      </c>
      <c r="C1337" s="196">
        <v>2509</v>
      </c>
      <c r="D1337" s="230">
        <f>C1337*(1-VLOOKUP(I1337,descuentos,6,FALSE))*fcl/IF(dol_sol="dólar", TC,1)</f>
        <v>770.72599050203519</v>
      </c>
      <c r="E1337" s="215">
        <f>D1337/8</f>
        <v>96.340748812754399</v>
      </c>
      <c r="F1337" s="511">
        <f>ROUNDUP(D1337+E1337,2)</f>
        <v>867.06999999999994</v>
      </c>
      <c r="G1337" s="314" t="s">
        <v>13386</v>
      </c>
      <c r="H1337" s="518" t="s">
        <v>13387</v>
      </c>
      <c r="I1337" s="452" t="s">
        <v>11565</v>
      </c>
      <c r="J1337" s="369" t="s">
        <v>753</v>
      </c>
      <c r="K1337" s="452" t="s">
        <v>741</v>
      </c>
    </row>
    <row r="1338" spans="1:11" s="317" customFormat="1">
      <c r="A1338" s="369"/>
      <c r="B1338" s="314" t="s">
        <v>1359</v>
      </c>
      <c r="C1338" s="196">
        <v>2516</v>
      </c>
      <c r="D1338" s="230">
        <f>C1338*(1-VLOOKUP(I1338,descuentos,6,FALSE))*fcl/IF(dol_sol="dólar", TC,1)</f>
        <v>772.87628222523733</v>
      </c>
      <c r="E1338" s="215">
        <f>D1338/8</f>
        <v>96.609535278154667</v>
      </c>
      <c r="F1338" s="511">
        <f>ROUNDUP(D1338+E1338,2)</f>
        <v>869.49</v>
      </c>
      <c r="G1338" s="314" t="s">
        <v>4548</v>
      </c>
      <c r="H1338" s="518" t="s">
        <v>1362</v>
      </c>
      <c r="I1338" s="452" t="s">
        <v>11565</v>
      </c>
      <c r="J1338" s="369" t="s">
        <v>753</v>
      </c>
      <c r="K1338" s="452" t="s">
        <v>741</v>
      </c>
    </row>
    <row r="1339" spans="1:11">
      <c r="A1339" s="369"/>
      <c r="B1339" s="314" t="s">
        <v>1360</v>
      </c>
      <c r="C1339" s="196">
        <v>3413</v>
      </c>
      <c r="D1339" s="230">
        <f>C1339*(1-VLOOKUP(I1339,descuentos,6,FALSE))*fcl/IF(dol_sol="dólar", TC,1)</f>
        <v>1048.4208073270013</v>
      </c>
      <c r="E1339" s="215">
        <f>D1339/8</f>
        <v>131.05260091587516</v>
      </c>
      <c r="F1339" s="511">
        <f>ROUNDUP(D1339+E1339,2)</f>
        <v>1179.48</v>
      </c>
      <c r="G1339" s="314" t="s">
        <v>4549</v>
      </c>
      <c r="H1339" s="518" t="s">
        <v>1361</v>
      </c>
      <c r="I1339" s="452" t="s">
        <v>11565</v>
      </c>
      <c r="J1339" s="369" t="s">
        <v>753</v>
      </c>
      <c r="K1339" s="452" t="s">
        <v>741</v>
      </c>
    </row>
    <row r="1340" spans="1:11" s="317" customFormat="1">
      <c r="A1340" s="369"/>
      <c r="B1340" s="314"/>
      <c r="C1340" s="196" t="s">
        <v>2024</v>
      </c>
      <c r="D1340" s="230"/>
      <c r="E1340" s="215"/>
      <c r="F1340" s="511"/>
      <c r="G1340" s="314"/>
      <c r="H1340" s="518"/>
      <c r="I1340" s="452"/>
      <c r="J1340" s="369"/>
      <c r="K1340" s="452"/>
    </row>
    <row r="1341" spans="1:11" s="317" customFormat="1">
      <c r="A1341" s="369"/>
      <c r="B1341" s="314"/>
      <c r="C1341" s="196" t="s">
        <v>2024</v>
      </c>
      <c r="D1341" s="230"/>
      <c r="E1341" s="215"/>
      <c r="F1341" s="511"/>
      <c r="G1341" s="314"/>
      <c r="H1341" s="518"/>
      <c r="I1341" s="452"/>
      <c r="J1341" s="369"/>
      <c r="K1341" s="452"/>
    </row>
    <row r="1342" spans="1:11" s="317" customFormat="1" ht="35.25" customHeight="1">
      <c r="A1342" s="369"/>
      <c r="B1342" s="1468" t="s">
        <v>6782</v>
      </c>
      <c r="C1342" s="196" t="s">
        <v>2024</v>
      </c>
      <c r="D1342" s="230"/>
      <c r="E1342" s="215"/>
      <c r="F1342" s="511"/>
      <c r="G1342" s="314"/>
      <c r="H1342" s="518"/>
      <c r="I1342" s="452"/>
      <c r="J1342" s="369"/>
      <c r="K1342" s="452"/>
    </row>
    <row r="1343" spans="1:11" s="317" customFormat="1">
      <c r="A1343" s="1467"/>
      <c r="B1343" s="351" t="s">
        <v>6783</v>
      </c>
      <c r="C1343" s="346">
        <v>3818</v>
      </c>
      <c r="D1343" s="345">
        <f t="shared" ref="D1343:D1351" si="193">C1343*(1-VLOOKUP(I1343,descuentos,6,FALSE))*fcl/IF(dol_sol="dólar", TC,1)</f>
        <v>1172.8305427408411</v>
      </c>
      <c r="E1343" s="343">
        <f t="shared" ref="E1343:E1351" si="194">D1343/8</f>
        <v>146.60381784260514</v>
      </c>
      <c r="F1343" s="508">
        <f>ROUNDUP(D1343+E1343,2)</f>
        <v>1319.44</v>
      </c>
      <c r="G1343" s="314" t="s">
        <v>6784</v>
      </c>
      <c r="H1343" s="518" t="s">
        <v>6785</v>
      </c>
      <c r="I1343" s="452" t="s">
        <v>11565</v>
      </c>
      <c r="J1343" s="369" t="s">
        <v>753</v>
      </c>
      <c r="K1343" s="452" t="s">
        <v>741</v>
      </c>
    </row>
    <row r="1344" spans="1:11" s="317" customFormat="1">
      <c r="A1344" s="1467"/>
      <c r="B1344" s="1592" t="s">
        <v>9491</v>
      </c>
      <c r="C1344" s="346">
        <v>3706</v>
      </c>
      <c r="D1344" s="345">
        <f t="shared" si="193"/>
        <v>1138.4258751696066</v>
      </c>
      <c r="E1344" s="343">
        <f t="shared" si="194"/>
        <v>142.30323439620082</v>
      </c>
      <c r="F1344" s="508">
        <f>ROUNDUP(D1344+E1344,2)</f>
        <v>1280.73</v>
      </c>
      <c r="G1344" s="314" t="s">
        <v>9492</v>
      </c>
      <c r="H1344" s="518" t="s">
        <v>6899</v>
      </c>
      <c r="I1344" s="452" t="s">
        <v>11565</v>
      </c>
      <c r="J1344" s="369" t="s">
        <v>753</v>
      </c>
      <c r="K1344" s="452" t="s">
        <v>741</v>
      </c>
    </row>
    <row r="1345" spans="1:11" s="317" customFormat="1">
      <c r="A1345" s="1467"/>
      <c r="B1345" s="351" t="s">
        <v>9493</v>
      </c>
      <c r="C1345" s="346">
        <v>3379</v>
      </c>
      <c r="D1345" s="345">
        <f t="shared" ref="D1345" si="195">C1345*(1-VLOOKUP(I1345,descuentos,6,FALSE))*fcl/IF(dol_sol="dólar", TC,1)</f>
        <v>1037.9765332428765</v>
      </c>
      <c r="E1345" s="343">
        <f t="shared" si="194"/>
        <v>129.74706665535956</v>
      </c>
      <c r="F1345" s="508">
        <f>ROUNDUP(D1345+E1345,2)</f>
        <v>1167.73</v>
      </c>
      <c r="G1345" s="314" t="s">
        <v>9494</v>
      </c>
      <c r="H1345" s="518" t="s">
        <v>6890</v>
      </c>
      <c r="I1345" s="452" t="s">
        <v>11565</v>
      </c>
      <c r="J1345" s="369" t="s">
        <v>753</v>
      </c>
      <c r="K1345" s="452" t="s">
        <v>741</v>
      </c>
    </row>
    <row r="1346" spans="1:11" s="317" customFormat="1">
      <c r="A1346" s="1467"/>
      <c r="B1346" s="351" t="s">
        <v>6786</v>
      </c>
      <c r="C1346" s="346">
        <v>1241</v>
      </c>
      <c r="D1346" s="345">
        <f t="shared" si="193"/>
        <v>381.21600407055632</v>
      </c>
      <c r="E1346" s="343">
        <f t="shared" si="194"/>
        <v>47.65200050881954</v>
      </c>
      <c r="F1346" s="508">
        <f t="shared" ref="F1346:F1351" si="196">ROUNDUP(D1346+E1346,2)</f>
        <v>428.87</v>
      </c>
      <c r="G1346" s="351" t="s">
        <v>6787</v>
      </c>
      <c r="H1346" s="518" t="s">
        <v>6788</v>
      </c>
      <c r="I1346" s="452" t="s">
        <v>11565</v>
      </c>
      <c r="J1346" s="369" t="s">
        <v>753</v>
      </c>
      <c r="K1346" s="452" t="s">
        <v>741</v>
      </c>
    </row>
    <row r="1347" spans="1:11" s="317" customFormat="1">
      <c r="A1347" s="1467"/>
      <c r="B1347" s="351" t="s">
        <v>6789</v>
      </c>
      <c r="C1347" s="346">
        <v>937</v>
      </c>
      <c r="D1347" s="345">
        <f t="shared" si="193"/>
        <v>287.83190637720486</v>
      </c>
      <c r="E1347" s="343">
        <f t="shared" si="194"/>
        <v>35.978988297150607</v>
      </c>
      <c r="F1347" s="508">
        <f t="shared" si="196"/>
        <v>323.82</v>
      </c>
      <c r="G1347" s="351" t="s">
        <v>6790</v>
      </c>
      <c r="H1347" s="518" t="s">
        <v>6791</v>
      </c>
      <c r="I1347" s="452" t="s">
        <v>11565</v>
      </c>
      <c r="J1347" s="369" t="s">
        <v>753</v>
      </c>
      <c r="K1347" s="452" t="s">
        <v>741</v>
      </c>
    </row>
    <row r="1348" spans="1:11" s="317" customFormat="1">
      <c r="A1348" s="1467"/>
      <c r="B1348" s="518" t="s">
        <v>1282</v>
      </c>
      <c r="C1348" s="196">
        <v>479</v>
      </c>
      <c r="D1348" s="230">
        <f>C1348*(1-VLOOKUP(I1348,descuentos,6,FALSE))*fcl/IF(dol_sol="dólar", TC,1)</f>
        <v>147.14139077340567</v>
      </c>
      <c r="E1348" s="215">
        <v>8</v>
      </c>
      <c r="F1348" s="511">
        <f t="shared" si="196"/>
        <v>155.14999999999998</v>
      </c>
      <c r="G1348" s="518" t="s">
        <v>2304</v>
      </c>
      <c r="H1348" s="518" t="s">
        <v>1281</v>
      </c>
      <c r="I1348" s="452" t="s">
        <v>11565</v>
      </c>
      <c r="J1348" s="369" t="s">
        <v>753</v>
      </c>
      <c r="K1348" s="452" t="s">
        <v>741</v>
      </c>
    </row>
    <row r="1349" spans="1:11" s="317" customFormat="1">
      <c r="A1349" s="1467"/>
      <c r="B1349" s="518" t="s">
        <v>1229</v>
      </c>
      <c r="C1349" s="196">
        <v>2382</v>
      </c>
      <c r="D1349" s="230">
        <f>C1349*(1-VLOOKUP(I1349,descuentos,6,FALSE))*fcl/IF(dol_sol="dólar", TC,1)</f>
        <v>731.71355495251009</v>
      </c>
      <c r="E1349" s="215">
        <v>25</v>
      </c>
      <c r="F1349" s="511">
        <f t="shared" si="196"/>
        <v>756.72</v>
      </c>
      <c r="G1349" s="314" t="s">
        <v>2298</v>
      </c>
      <c r="H1349" s="518" t="s">
        <v>1230</v>
      </c>
      <c r="I1349" s="452" t="s">
        <v>11565</v>
      </c>
      <c r="J1349" s="369" t="s">
        <v>753</v>
      </c>
      <c r="K1349" s="452" t="s">
        <v>741</v>
      </c>
    </row>
    <row r="1350" spans="1:11" s="317" customFormat="1">
      <c r="A1350" s="1467"/>
      <c r="B1350" s="518" t="s">
        <v>4954</v>
      </c>
      <c r="C1350" s="196">
        <v>269</v>
      </c>
      <c r="D1350" s="230">
        <f>C1350*(1-VLOOKUP(I1350,descuentos,6,FALSE))*fcl/IF(dol_sol="dólar", TC,1)</f>
        <v>82.632639077340571</v>
      </c>
      <c r="E1350" s="215">
        <v>15</v>
      </c>
      <c r="F1350" s="511">
        <f t="shared" si="196"/>
        <v>97.64</v>
      </c>
      <c r="G1350" s="518" t="s">
        <v>4955</v>
      </c>
      <c r="H1350" s="518" t="s">
        <v>1706</v>
      </c>
      <c r="I1350" s="452" t="s">
        <v>11565</v>
      </c>
      <c r="J1350" s="369" t="s">
        <v>753</v>
      </c>
      <c r="K1350" s="452" t="s">
        <v>741</v>
      </c>
    </row>
    <row r="1351" spans="1:11" s="317" customFormat="1">
      <c r="A1351" s="1467"/>
      <c r="B1351" s="351" t="s">
        <v>6792</v>
      </c>
      <c r="C1351" s="346">
        <v>166</v>
      </c>
      <c r="D1351" s="345">
        <f t="shared" si="193"/>
        <v>50.992632293080042</v>
      </c>
      <c r="E1351" s="343">
        <f t="shared" si="194"/>
        <v>6.3740790366350053</v>
      </c>
      <c r="F1351" s="508">
        <f t="shared" si="196"/>
        <v>57.37</v>
      </c>
      <c r="G1351" s="351" t="s">
        <v>6793</v>
      </c>
      <c r="H1351" s="518" t="s">
        <v>6794</v>
      </c>
      <c r="I1351" s="452" t="s">
        <v>11565</v>
      </c>
      <c r="J1351" s="369" t="s">
        <v>753</v>
      </c>
      <c r="K1351" s="452" t="s">
        <v>741</v>
      </c>
    </row>
    <row r="1352" spans="1:11" s="317" customFormat="1">
      <c r="A1352" s="369"/>
      <c r="B1352" s="314"/>
      <c r="C1352" s="196" t="s">
        <v>2024</v>
      </c>
      <c r="D1352" s="345"/>
      <c r="E1352" s="343"/>
      <c r="F1352" s="508"/>
      <c r="G1352" s="314"/>
      <c r="H1352" s="518"/>
      <c r="I1352" s="452"/>
      <c r="J1352" s="369"/>
      <c r="K1352" s="452"/>
    </row>
    <row r="1353" spans="1:11" s="317" customFormat="1">
      <c r="A1353" s="369"/>
      <c r="B1353" s="314"/>
      <c r="C1353" s="196" t="s">
        <v>2024</v>
      </c>
      <c r="D1353" s="230"/>
      <c r="E1353" s="215"/>
      <c r="F1353" s="511"/>
      <c r="G1353" s="314"/>
      <c r="H1353" s="518"/>
      <c r="I1353" s="452"/>
      <c r="J1353" s="369"/>
      <c r="K1353" s="452"/>
    </row>
    <row r="1354" spans="1:11" s="317" customFormat="1" ht="35.25" customHeight="1">
      <c r="A1354" s="369"/>
      <c r="B1354" s="1468" t="s">
        <v>6795</v>
      </c>
      <c r="C1354" s="196" t="s">
        <v>2024</v>
      </c>
      <c r="D1354" s="230"/>
      <c r="E1354" s="215"/>
      <c r="F1354" s="511"/>
      <c r="G1354" s="314"/>
      <c r="H1354" s="518"/>
      <c r="I1354" s="452"/>
      <c r="J1354" s="369"/>
      <c r="K1354" s="452"/>
    </row>
    <row r="1355" spans="1:11" s="317" customFormat="1">
      <c r="A1355" s="1467"/>
      <c r="B1355" s="351" t="s">
        <v>6796</v>
      </c>
      <c r="C1355" s="346">
        <v>4717</v>
      </c>
      <c r="D1355" s="345">
        <f t="shared" ref="D1355:D1362" si="197">C1355*(1-VLOOKUP(I1355,descuentos,6,FALSE))*fcl/IF(dol_sol="dólar", TC,1)</f>
        <v>1448.989436906377</v>
      </c>
      <c r="E1355" s="343">
        <f>D1355/8</f>
        <v>181.12367961329713</v>
      </c>
      <c r="F1355" s="508">
        <f>ROUNDUP(D1355+E1355,2)</f>
        <v>1630.12</v>
      </c>
      <c r="G1355" s="314" t="s">
        <v>6797</v>
      </c>
      <c r="H1355" s="518" t="s">
        <v>6798</v>
      </c>
      <c r="I1355" s="452" t="s">
        <v>11565</v>
      </c>
      <c r="J1355" s="369" t="s">
        <v>753</v>
      </c>
      <c r="K1355" s="452" t="s">
        <v>741</v>
      </c>
    </row>
    <row r="1356" spans="1:11" s="317" customFormat="1">
      <c r="A1356" s="1467"/>
      <c r="B1356" s="351" t="s">
        <v>9888</v>
      </c>
      <c r="C1356" s="346">
        <v>4595</v>
      </c>
      <c r="D1356" s="345">
        <f t="shared" ref="D1356" si="198">C1356*(1-VLOOKUP(I1356,descuentos,6,FALSE))*fcl/IF(dol_sol="dólar", TC,1)</f>
        <v>1411.5129240162821</v>
      </c>
      <c r="E1356" s="343">
        <f>D1356/8</f>
        <v>176.43911550203526</v>
      </c>
      <c r="F1356" s="508">
        <f>ROUNDUP(D1356+E1356,2)</f>
        <v>1587.96</v>
      </c>
      <c r="G1356" s="314" t="s">
        <v>9889</v>
      </c>
      <c r="H1356" s="518" t="s">
        <v>2878</v>
      </c>
      <c r="I1356" s="452" t="s">
        <v>11565</v>
      </c>
      <c r="J1356" s="369" t="s">
        <v>753</v>
      </c>
      <c r="K1356" s="452" t="s">
        <v>741</v>
      </c>
    </row>
    <row r="1357" spans="1:11" s="317" customFormat="1">
      <c r="A1357" s="1467"/>
      <c r="B1357" s="351" t="s">
        <v>6799</v>
      </c>
      <c r="C1357" s="346">
        <v>1392</v>
      </c>
      <c r="D1357" s="345">
        <f t="shared" si="197"/>
        <v>427.6008683853459</v>
      </c>
      <c r="E1357" s="343">
        <f>D1357/8</f>
        <v>53.450108548168238</v>
      </c>
      <c r="F1357" s="508">
        <f t="shared" ref="F1357:F1362" si="199">ROUNDUP(D1357+E1357,2)</f>
        <v>481.06</v>
      </c>
      <c r="G1357" s="351" t="s">
        <v>6800</v>
      </c>
      <c r="H1357" s="518" t="s">
        <v>6801</v>
      </c>
      <c r="I1357" s="452" t="s">
        <v>11565</v>
      </c>
      <c r="J1357" s="369" t="s">
        <v>753</v>
      </c>
      <c r="K1357" s="452" t="s">
        <v>741</v>
      </c>
    </row>
    <row r="1358" spans="1:11" s="317" customFormat="1">
      <c r="A1358" s="1467"/>
      <c r="B1358" s="351" t="s">
        <v>6802</v>
      </c>
      <c r="C1358" s="346">
        <v>998</v>
      </c>
      <c r="D1358" s="345">
        <f t="shared" si="197"/>
        <v>306.57016282225237</v>
      </c>
      <c r="E1358" s="343">
        <f>D1358/8</f>
        <v>38.321270352781546</v>
      </c>
      <c r="F1358" s="508">
        <f t="shared" si="199"/>
        <v>344.9</v>
      </c>
      <c r="G1358" s="351" t="s">
        <v>6790</v>
      </c>
      <c r="H1358" s="518" t="s">
        <v>6803</v>
      </c>
      <c r="I1358" s="452" t="s">
        <v>11565</v>
      </c>
      <c r="J1358" s="369" t="s">
        <v>753</v>
      </c>
      <c r="K1358" s="452" t="s">
        <v>741</v>
      </c>
    </row>
    <row r="1359" spans="1:11" s="317" customFormat="1">
      <c r="A1359" s="1467"/>
      <c r="B1359" s="518" t="s">
        <v>1282</v>
      </c>
      <c r="C1359" s="196">
        <v>479</v>
      </c>
      <c r="D1359" s="230">
        <f t="shared" si="197"/>
        <v>147.14139077340567</v>
      </c>
      <c r="E1359" s="215">
        <v>8</v>
      </c>
      <c r="F1359" s="511">
        <f t="shared" si="199"/>
        <v>155.14999999999998</v>
      </c>
      <c r="G1359" s="518" t="s">
        <v>2304</v>
      </c>
      <c r="H1359" s="518" t="s">
        <v>1281</v>
      </c>
      <c r="I1359" s="452" t="s">
        <v>11565</v>
      </c>
      <c r="J1359" s="369" t="s">
        <v>753</v>
      </c>
      <c r="K1359" s="452" t="s">
        <v>741</v>
      </c>
    </row>
    <row r="1360" spans="1:11" s="317" customFormat="1">
      <c r="A1360" s="1467"/>
      <c r="B1360" s="518" t="s">
        <v>1229</v>
      </c>
      <c r="C1360" s="196">
        <v>2382</v>
      </c>
      <c r="D1360" s="230">
        <f t="shared" si="197"/>
        <v>731.71355495251009</v>
      </c>
      <c r="E1360" s="215">
        <v>25</v>
      </c>
      <c r="F1360" s="511">
        <f t="shared" si="199"/>
        <v>756.72</v>
      </c>
      <c r="G1360" s="314" t="s">
        <v>2298</v>
      </c>
      <c r="H1360" s="518" t="s">
        <v>1230</v>
      </c>
      <c r="I1360" s="452" t="s">
        <v>11565</v>
      </c>
      <c r="J1360" s="369" t="s">
        <v>753</v>
      </c>
      <c r="K1360" s="452" t="s">
        <v>741</v>
      </c>
    </row>
    <row r="1361" spans="1:11" s="317" customFormat="1">
      <c r="A1361" s="1467"/>
      <c r="B1361" s="518" t="s">
        <v>4954</v>
      </c>
      <c r="C1361" s="196">
        <v>269</v>
      </c>
      <c r="D1361" s="230">
        <f t="shared" si="197"/>
        <v>82.632639077340571</v>
      </c>
      <c r="E1361" s="215">
        <v>15</v>
      </c>
      <c r="F1361" s="511">
        <f t="shared" si="199"/>
        <v>97.64</v>
      </c>
      <c r="G1361" s="518" t="s">
        <v>4955</v>
      </c>
      <c r="H1361" s="518" t="s">
        <v>1706</v>
      </c>
      <c r="I1361" s="452" t="s">
        <v>11565</v>
      </c>
      <c r="J1361" s="369" t="s">
        <v>753</v>
      </c>
      <c r="K1361" s="452" t="s">
        <v>741</v>
      </c>
    </row>
    <row r="1362" spans="1:11" s="317" customFormat="1">
      <c r="A1362" s="1467"/>
      <c r="B1362" s="351" t="s">
        <v>6792</v>
      </c>
      <c r="C1362" s="346">
        <v>166</v>
      </c>
      <c r="D1362" s="345">
        <f t="shared" si="197"/>
        <v>50.992632293080042</v>
      </c>
      <c r="E1362" s="343">
        <f>D1362/8</f>
        <v>6.3740790366350053</v>
      </c>
      <c r="F1362" s="508">
        <f t="shared" si="199"/>
        <v>57.37</v>
      </c>
      <c r="G1362" s="351" t="s">
        <v>6793</v>
      </c>
      <c r="H1362" s="518" t="s">
        <v>6794</v>
      </c>
      <c r="I1362" s="452" t="s">
        <v>11565</v>
      </c>
      <c r="J1362" s="369" t="s">
        <v>753</v>
      </c>
      <c r="K1362" s="452" t="s">
        <v>741</v>
      </c>
    </row>
    <row r="1363" spans="1:11" s="317" customFormat="1">
      <c r="A1363" s="369"/>
      <c r="B1363" s="314"/>
      <c r="C1363" s="196" t="s">
        <v>2024</v>
      </c>
      <c r="D1363" s="345"/>
      <c r="E1363" s="343"/>
      <c r="F1363" s="508"/>
      <c r="G1363" s="314"/>
      <c r="H1363" s="518"/>
      <c r="I1363" s="452"/>
      <c r="J1363" s="369"/>
      <c r="K1363" s="452"/>
    </row>
    <row r="1364" spans="1:11" s="317" customFormat="1">
      <c r="A1364" s="369"/>
      <c r="B1364" s="314"/>
      <c r="C1364" s="196" t="s">
        <v>2024</v>
      </c>
      <c r="D1364" s="230"/>
      <c r="E1364" s="215"/>
      <c r="F1364" s="511"/>
      <c r="G1364" s="314"/>
      <c r="H1364" s="518"/>
      <c r="I1364" s="452"/>
      <c r="J1364" s="369"/>
      <c r="K1364" s="452"/>
    </row>
    <row r="1365" spans="1:11" s="317" customFormat="1">
      <c r="A1365" s="369"/>
      <c r="B1365" s="314"/>
      <c r="C1365" s="196" t="s">
        <v>2024</v>
      </c>
      <c r="D1365" s="230"/>
      <c r="E1365" s="215"/>
      <c r="F1365" s="511"/>
      <c r="G1365" s="314"/>
      <c r="H1365" s="518"/>
      <c r="I1365" s="452"/>
      <c r="J1365" s="369"/>
      <c r="K1365" s="452"/>
    </row>
    <row r="1366" spans="1:11" s="317" customFormat="1">
      <c r="A1366" s="369"/>
      <c r="B1366" s="314" t="s">
        <v>6804</v>
      </c>
      <c r="C1366" s="196">
        <v>3435</v>
      </c>
      <c r="D1366" s="230">
        <f>C1366*(1-VLOOKUP(I1366,descuentos,6,FALSE))*fcl/IF(dol_sol="dólar", TC,1)</f>
        <v>1055.1788670284936</v>
      </c>
      <c r="E1366" s="215">
        <f>D1366/8</f>
        <v>131.89735837856171</v>
      </c>
      <c r="F1366" s="511">
        <f>ROUNDUP(D1366+E1366,2)</f>
        <v>1187.08</v>
      </c>
      <c r="G1366" s="314" t="s">
        <v>6805</v>
      </c>
      <c r="H1366" s="518" t="s">
        <v>6806</v>
      </c>
      <c r="I1366" s="452" t="s">
        <v>11565</v>
      </c>
      <c r="J1366" s="369" t="s">
        <v>753</v>
      </c>
      <c r="K1366" s="452" t="s">
        <v>741</v>
      </c>
    </row>
    <row r="1367" spans="1:11" s="317" customFormat="1">
      <c r="A1367" s="369"/>
      <c r="B1367" s="314" t="s">
        <v>1079</v>
      </c>
      <c r="C1367" s="196">
        <v>4584</v>
      </c>
      <c r="D1367" s="230">
        <f>C1367*(1-VLOOKUP(I1367,descuentos,6,FALSE))*fcl/IF(dol_sol="dólar", TC,1)</f>
        <v>1408.1338941655358</v>
      </c>
      <c r="E1367" s="215">
        <f>D1367/8</f>
        <v>176.01673677069198</v>
      </c>
      <c r="F1367" s="511">
        <f>ROUNDUP(D1367+E1367,2)</f>
        <v>1584.16</v>
      </c>
      <c r="G1367" s="314" t="s">
        <v>4550</v>
      </c>
      <c r="H1367" s="518" t="s">
        <v>1080</v>
      </c>
      <c r="I1367" s="452" t="s">
        <v>11565</v>
      </c>
      <c r="J1367" s="369" t="s">
        <v>753</v>
      </c>
      <c r="K1367" s="452" t="s">
        <v>741</v>
      </c>
    </row>
    <row r="1368" spans="1:11" s="317" customFormat="1">
      <c r="A1368" s="369"/>
      <c r="B1368" s="314" t="s">
        <v>1082</v>
      </c>
      <c r="C1368" s="196">
        <v>6244</v>
      </c>
      <c r="D1368" s="230">
        <f>C1368*(1-VLOOKUP(I1368,descuentos,6,FALSE))*fcl/IF(dol_sol="dólar", TC,1)</f>
        <v>1918.0602170963364</v>
      </c>
      <c r="E1368" s="215">
        <f>D1368/8</f>
        <v>239.75752713704205</v>
      </c>
      <c r="F1368" s="511">
        <f>ROUNDUP(D1368+E1368,2)</f>
        <v>2157.8200000000002</v>
      </c>
      <c r="G1368" s="314" t="s">
        <v>4551</v>
      </c>
      <c r="H1368" s="518" t="s">
        <v>1083</v>
      </c>
      <c r="I1368" s="452" t="s">
        <v>11565</v>
      </c>
      <c r="J1368" s="369" t="s">
        <v>753</v>
      </c>
      <c r="K1368" s="452" t="s">
        <v>741</v>
      </c>
    </row>
    <row r="1369" spans="1:11" s="317" customFormat="1">
      <c r="A1369" s="369"/>
      <c r="B1369" s="314"/>
      <c r="C1369" s="196" t="s">
        <v>2024</v>
      </c>
      <c r="D1369" s="230"/>
      <c r="E1369" s="215"/>
      <c r="F1369" s="511"/>
      <c r="G1369" s="314"/>
      <c r="H1369" s="518"/>
      <c r="I1369" s="452"/>
      <c r="J1369" s="369"/>
      <c r="K1369" s="452"/>
    </row>
    <row r="1370" spans="1:11" s="350" customFormat="1">
      <c r="A1370" s="1362"/>
      <c r="B1370" s="351" t="s">
        <v>4937</v>
      </c>
      <c r="C1370" s="346">
        <v>5536</v>
      </c>
      <c r="D1370" s="345">
        <f>C1370*(1-VLOOKUP(I1370,descuentos,6,FALSE))*fcl/IF(dol_sol="dólar", TC,1)</f>
        <v>1700.5735685210311</v>
      </c>
      <c r="E1370" s="343">
        <f>D1370/8</f>
        <v>212.57169606512889</v>
      </c>
      <c r="F1370" s="508">
        <f>ROUNDUP(D1370+E1370,2)</f>
        <v>1913.15</v>
      </c>
      <c r="G1370" s="351" t="s">
        <v>4938</v>
      </c>
      <c r="H1370" s="518" t="s">
        <v>4939</v>
      </c>
      <c r="I1370" s="452" t="s">
        <v>11565</v>
      </c>
      <c r="J1370" s="369" t="s">
        <v>753</v>
      </c>
      <c r="K1370" s="452" t="s">
        <v>741</v>
      </c>
    </row>
    <row r="1371" spans="1:11" s="317" customFormat="1">
      <c r="A1371" s="1362"/>
      <c r="B1371" s="351" t="s">
        <v>4940</v>
      </c>
      <c r="C1371" s="346">
        <v>7562</v>
      </c>
      <c r="D1371" s="345">
        <f>C1371*(1-VLOOKUP(I1371,descuentos,6,FALSE))*fcl/IF(dol_sol="dólar", TC,1)</f>
        <v>2322.9294301221166</v>
      </c>
      <c r="E1371" s="343">
        <f>D1371/8</f>
        <v>290.36617876526458</v>
      </c>
      <c r="F1371" s="508">
        <f>ROUNDUP(D1371+E1371,2)</f>
        <v>2613.3000000000002</v>
      </c>
      <c r="G1371" s="351" t="s">
        <v>4941</v>
      </c>
      <c r="H1371" s="518" t="s">
        <v>4942</v>
      </c>
      <c r="I1371" s="452" t="s">
        <v>11565</v>
      </c>
      <c r="J1371" s="369" t="s">
        <v>753</v>
      </c>
      <c r="K1371" s="452" t="s">
        <v>741</v>
      </c>
    </row>
    <row r="1372" spans="1:11" s="317" customFormat="1">
      <c r="A1372" s="369"/>
      <c r="B1372" s="314"/>
      <c r="C1372" s="196" t="s">
        <v>2024</v>
      </c>
      <c r="D1372" s="230"/>
      <c r="E1372" s="215"/>
      <c r="F1372" s="511"/>
      <c r="G1372" s="314"/>
      <c r="H1372" s="518"/>
      <c r="I1372" s="452"/>
      <c r="J1372" s="369"/>
      <c r="K1372" s="452"/>
    </row>
    <row r="1373" spans="1:11" s="350" customFormat="1">
      <c r="A1373" s="369"/>
      <c r="B1373" s="314" t="s">
        <v>6807</v>
      </c>
      <c r="C1373" s="196">
        <v>6264</v>
      </c>
      <c r="D1373" s="230">
        <f>C1373*(1-VLOOKUP(I1373,descuentos,6,FALSE))*fcl/IF(dol_sol="dólar", TC,1)</f>
        <v>1924.2039077340569</v>
      </c>
      <c r="E1373" s="215">
        <f>D1373/8</f>
        <v>240.52548846675711</v>
      </c>
      <c r="F1373" s="511">
        <f>ROUNDUP(D1373+E1373,2)</f>
        <v>2164.73</v>
      </c>
      <c r="G1373" s="314" t="s">
        <v>6808</v>
      </c>
      <c r="H1373" s="518" t="s">
        <v>6809</v>
      </c>
      <c r="I1373" s="452" t="s">
        <v>11565</v>
      </c>
      <c r="J1373" s="369" t="s">
        <v>753</v>
      </c>
      <c r="K1373" s="452" t="s">
        <v>741</v>
      </c>
    </row>
    <row r="1374" spans="1:11" s="350" customFormat="1">
      <c r="A1374" s="369"/>
      <c r="B1374" s="314"/>
      <c r="C1374" s="196" t="s">
        <v>2024</v>
      </c>
      <c r="D1374" s="230"/>
      <c r="E1374" s="215"/>
      <c r="F1374" s="511"/>
      <c r="G1374" s="314"/>
      <c r="H1374" s="518"/>
      <c r="I1374" s="452"/>
      <c r="J1374" s="369"/>
      <c r="K1374" s="452"/>
    </row>
    <row r="1375" spans="1:11" s="317" customFormat="1">
      <c r="A1375" s="952"/>
      <c r="B1375" s="518" t="s">
        <v>13388</v>
      </c>
      <c r="C1375" s="196">
        <v>6600</v>
      </c>
      <c r="D1375" s="230">
        <f>C1375*(1-VLOOKUP(I1375,descuentos,6,FALSE))*fcl/IF(dol_sol="dólar", TC,1)</f>
        <v>2027.417910447761</v>
      </c>
      <c r="E1375" s="215">
        <f>D1375/8</f>
        <v>253.42723880597012</v>
      </c>
      <c r="F1375" s="511">
        <f>ROUNDUP(D1375+E1375,2)</f>
        <v>2280.8500000000004</v>
      </c>
      <c r="G1375" s="314" t="s">
        <v>13389</v>
      </c>
      <c r="H1375" s="518" t="s">
        <v>13390</v>
      </c>
      <c r="I1375" s="452" t="s">
        <v>11565</v>
      </c>
      <c r="J1375" s="369" t="s">
        <v>753</v>
      </c>
      <c r="K1375" s="452" t="s">
        <v>741</v>
      </c>
    </row>
    <row r="1376" spans="1:11" s="317" customFormat="1">
      <c r="A1376" s="369"/>
      <c r="B1376" s="314"/>
      <c r="C1376" s="196" t="s">
        <v>2024</v>
      </c>
      <c r="D1376" s="230"/>
      <c r="E1376" s="215"/>
      <c r="F1376" s="511"/>
      <c r="G1376" s="314"/>
      <c r="H1376" s="518"/>
      <c r="I1376" s="452"/>
      <c r="J1376" s="369"/>
      <c r="K1376" s="452"/>
    </row>
    <row r="1377" spans="1:11" s="350" customFormat="1">
      <c r="A1377" s="369"/>
      <c r="B1377" s="314" t="s">
        <v>11569</v>
      </c>
      <c r="C1377" s="196">
        <v>3695</v>
      </c>
      <c r="D1377" s="230">
        <f>C1377*(1-VLOOKUP(I1377,descuentos,6,FALSE))*fcl/IF(dol_sol="dólar", TC,1)</f>
        <v>1135.0468453188601</v>
      </c>
      <c r="E1377" s="215">
        <f>D1377/8</f>
        <v>141.88085566485751</v>
      </c>
      <c r="F1377" s="511">
        <f>ROUNDUP(D1377+E1377,2)</f>
        <v>1276.93</v>
      </c>
      <c r="G1377" s="314" t="s">
        <v>11570</v>
      </c>
      <c r="H1377" s="518" t="s">
        <v>11571</v>
      </c>
      <c r="I1377" s="452" t="s">
        <v>11565</v>
      </c>
      <c r="J1377" s="369" t="s">
        <v>753</v>
      </c>
      <c r="K1377" s="452" t="s">
        <v>741</v>
      </c>
    </row>
    <row r="1378" spans="1:11" s="350" customFormat="1">
      <c r="A1378" s="369"/>
      <c r="B1378" s="314" t="s">
        <v>1084</v>
      </c>
      <c r="C1378" s="196">
        <v>5629</v>
      </c>
      <c r="D1378" s="230">
        <f>C1378*(1-VLOOKUP(I1378,descuentos,6,FALSE))*fcl/IF(dol_sol="dólar", TC,1)</f>
        <v>1729.1417299864313</v>
      </c>
      <c r="E1378" s="215">
        <f>D1378/8</f>
        <v>216.14271624830391</v>
      </c>
      <c r="F1378" s="511">
        <f>ROUNDUP(D1378+E1378,2)</f>
        <v>1945.29</v>
      </c>
      <c r="G1378" s="314" t="s">
        <v>4552</v>
      </c>
      <c r="H1378" s="518" t="s">
        <v>1081</v>
      </c>
      <c r="I1378" s="452" t="s">
        <v>11565</v>
      </c>
      <c r="J1378" s="369" t="s">
        <v>753</v>
      </c>
      <c r="K1378" s="452" t="s">
        <v>741</v>
      </c>
    </row>
    <row r="1379" spans="1:11" s="317" customFormat="1">
      <c r="A1379" s="369"/>
      <c r="B1379" s="314" t="s">
        <v>1085</v>
      </c>
      <c r="C1379" s="196">
        <v>6636</v>
      </c>
      <c r="D1379" s="230">
        <f>C1379*(1-VLOOKUP(I1379,descuentos,6,FALSE))*fcl/IF(dol_sol="dólar", TC,1)</f>
        <v>2038.4765535956581</v>
      </c>
      <c r="E1379" s="215">
        <f>D1379/8</f>
        <v>254.80956919945726</v>
      </c>
      <c r="F1379" s="511">
        <f>ROUNDUP(D1379+E1379,2)</f>
        <v>2293.2900000000004</v>
      </c>
      <c r="G1379" s="314" t="s">
        <v>4553</v>
      </c>
      <c r="H1379" s="518" t="s">
        <v>1086</v>
      </c>
      <c r="I1379" s="452" t="s">
        <v>11565</v>
      </c>
      <c r="J1379" s="369" t="s">
        <v>753</v>
      </c>
      <c r="K1379" s="452" t="s">
        <v>741</v>
      </c>
    </row>
    <row r="1380" spans="1:11" s="317" customFormat="1">
      <c r="A1380" s="369"/>
      <c r="B1380" s="314"/>
      <c r="C1380" s="196" t="s">
        <v>2024</v>
      </c>
      <c r="D1380" s="230"/>
      <c r="E1380" s="215"/>
      <c r="F1380" s="511"/>
      <c r="G1380" s="314"/>
      <c r="H1380" s="518"/>
      <c r="I1380" s="452"/>
      <c r="J1380" s="369"/>
      <c r="K1380" s="452"/>
    </row>
    <row r="1381" spans="1:11" s="350" customFormat="1">
      <c r="A1381" s="369"/>
      <c r="B1381" s="351" t="s">
        <v>2280</v>
      </c>
      <c r="C1381" s="346">
        <v>7034</v>
      </c>
      <c r="D1381" s="345">
        <f>C1381*(1-VLOOKUP(I1381,descuentos,6,FALSE))*fcl/IF(dol_sol="dólar", TC,1)</f>
        <v>2160.7359972862955</v>
      </c>
      <c r="E1381" s="343">
        <f>D1381/8</f>
        <v>270.09199966078694</v>
      </c>
      <c r="F1381" s="508">
        <f>ROUNDUP(D1381+E1381,2)</f>
        <v>2430.8300000000004</v>
      </c>
      <c r="G1381" s="351" t="s">
        <v>4554</v>
      </c>
      <c r="H1381" s="518" t="s">
        <v>2281</v>
      </c>
      <c r="I1381" s="452" t="s">
        <v>11565</v>
      </c>
      <c r="J1381" s="369" t="s">
        <v>753</v>
      </c>
      <c r="K1381" s="452" t="s">
        <v>741</v>
      </c>
    </row>
    <row r="1382" spans="1:11" s="317" customFormat="1">
      <c r="A1382" s="369"/>
      <c r="B1382" s="351" t="s">
        <v>2282</v>
      </c>
      <c r="C1382" s="346">
        <v>8051</v>
      </c>
      <c r="D1382" s="345">
        <f>C1382*(1-VLOOKUP(I1382,descuentos,6,FALSE))*fcl/IF(dol_sol="dólar", TC,1)</f>
        <v>2473.1426662143826</v>
      </c>
      <c r="E1382" s="343">
        <f>D1382/8</f>
        <v>309.14283327679783</v>
      </c>
      <c r="F1382" s="508">
        <f>ROUNDUP(D1382+E1382,2)</f>
        <v>2782.2900000000004</v>
      </c>
      <c r="G1382" s="351" t="s">
        <v>4555</v>
      </c>
      <c r="H1382" s="518" t="s">
        <v>2283</v>
      </c>
      <c r="I1382" s="452" t="s">
        <v>11565</v>
      </c>
      <c r="J1382" s="369" t="s">
        <v>753</v>
      </c>
      <c r="K1382" s="452" t="s">
        <v>741</v>
      </c>
    </row>
    <row r="1383" spans="1:11" s="315" customFormat="1">
      <c r="A1383" s="369"/>
      <c r="B1383" s="314"/>
      <c r="C1383" s="196" t="s">
        <v>2024</v>
      </c>
      <c r="D1383" s="230"/>
      <c r="E1383" s="215"/>
      <c r="F1383" s="511"/>
      <c r="G1383" s="314"/>
      <c r="H1383" s="518"/>
      <c r="I1383" s="452"/>
      <c r="J1383" s="369"/>
      <c r="K1383" s="452"/>
    </row>
    <row r="1384" spans="1:11" s="317" customFormat="1">
      <c r="A1384" s="372"/>
      <c r="B1384" s="506" t="s">
        <v>13391</v>
      </c>
      <c r="C1384" s="346">
        <v>8056</v>
      </c>
      <c r="D1384" s="345">
        <f>C1384*(1-VLOOKUP(I1384,descuentos,6,FALSE))*fcl/IF(dol_sol="dólar", TC,1)</f>
        <v>2474.6785888738123</v>
      </c>
      <c r="E1384" s="343">
        <f>D1384/8</f>
        <v>309.33482360922653</v>
      </c>
      <c r="F1384" s="508">
        <f>ROUNDUP(D1384+E1384,2)</f>
        <v>2784.0200000000004</v>
      </c>
      <c r="G1384" s="351" t="s">
        <v>13392</v>
      </c>
      <c r="H1384" s="506" t="s">
        <v>13393</v>
      </c>
      <c r="I1384" s="546" t="s">
        <v>11565</v>
      </c>
      <c r="J1384" s="372" t="s">
        <v>753</v>
      </c>
      <c r="K1384" s="546" t="s">
        <v>741</v>
      </c>
    </row>
    <row r="1385" spans="1:11" s="317" customFormat="1">
      <c r="A1385" s="369"/>
      <c r="B1385" s="314"/>
      <c r="C1385" s="196" t="s">
        <v>2024</v>
      </c>
      <c r="D1385" s="230"/>
      <c r="E1385" s="215"/>
      <c r="F1385" s="511"/>
      <c r="G1385" s="314"/>
      <c r="H1385" s="518"/>
      <c r="I1385" s="452"/>
      <c r="J1385" s="369"/>
      <c r="K1385" s="452"/>
    </row>
    <row r="1386" spans="1:11" s="317" customFormat="1">
      <c r="A1386" s="369"/>
      <c r="B1386" s="314"/>
      <c r="C1386" s="196" t="s">
        <v>2024</v>
      </c>
      <c r="D1386" s="230"/>
      <c r="E1386" s="215"/>
      <c r="F1386" s="511"/>
      <c r="G1386" s="314"/>
      <c r="H1386" s="518"/>
      <c r="I1386" s="452"/>
      <c r="J1386" s="369"/>
      <c r="K1386" s="452"/>
    </row>
    <row r="1387" spans="1:11" s="317" customFormat="1" ht="35.25" customHeight="1">
      <c r="A1387" s="369"/>
      <c r="B1387" s="1468" t="s">
        <v>6810</v>
      </c>
      <c r="C1387" s="196" t="s">
        <v>2024</v>
      </c>
      <c r="D1387" s="230"/>
      <c r="E1387" s="215"/>
      <c r="F1387" s="511"/>
      <c r="G1387" s="314"/>
      <c r="H1387" s="518"/>
      <c r="I1387" s="452"/>
      <c r="J1387" s="369"/>
      <c r="K1387" s="452"/>
    </row>
    <row r="1388" spans="1:11" s="317" customFormat="1">
      <c r="A1388" s="1467"/>
      <c r="B1388" s="351" t="s">
        <v>6811</v>
      </c>
      <c r="C1388" s="346">
        <v>8436</v>
      </c>
      <c r="D1388" s="230">
        <f t="shared" ref="D1388:D1394" si="200">C1388*(1-VLOOKUP(I1388,descuentos,6,FALSE))*fcl/IF(dol_sol="dólar", TC,1)</f>
        <v>2591.4087109905022</v>
      </c>
      <c r="E1388" s="215">
        <f>D1388/8</f>
        <v>323.92608887381277</v>
      </c>
      <c r="F1388" s="511">
        <f t="shared" ref="F1388:F1394" si="201">ROUNDUP(D1388+E1388,2)</f>
        <v>2915.34</v>
      </c>
      <c r="G1388" s="314" t="s">
        <v>6812</v>
      </c>
      <c r="H1388" s="518" t="s">
        <v>6813</v>
      </c>
      <c r="I1388" s="452" t="s">
        <v>11565</v>
      </c>
      <c r="J1388" s="369" t="s">
        <v>753</v>
      </c>
      <c r="K1388" s="452" t="s">
        <v>741</v>
      </c>
    </row>
    <row r="1389" spans="1:11" s="317" customFormat="1">
      <c r="A1389" s="1467"/>
      <c r="B1389" s="1592" t="s">
        <v>9495</v>
      </c>
      <c r="C1389" s="346">
        <v>8295</v>
      </c>
      <c r="D1389" s="230">
        <f t="shared" ref="D1389" si="202">C1389*(1-VLOOKUP(I1389,descuentos,6,FALSE))*fcl/IF(dol_sol="dólar", TC,1)</f>
        <v>2548.0956919945725</v>
      </c>
      <c r="E1389" s="215">
        <f>D1389/8</f>
        <v>318.51196149932156</v>
      </c>
      <c r="F1389" s="511">
        <f t="shared" si="201"/>
        <v>2866.61</v>
      </c>
      <c r="G1389" s="314" t="s">
        <v>9496</v>
      </c>
      <c r="H1389" s="518" t="s">
        <v>9497</v>
      </c>
      <c r="I1389" s="452" t="s">
        <v>11565</v>
      </c>
      <c r="J1389" s="369" t="s">
        <v>753</v>
      </c>
      <c r="K1389" s="452" t="s">
        <v>741</v>
      </c>
    </row>
    <row r="1390" spans="1:11" s="317" customFormat="1">
      <c r="A1390" s="1467"/>
      <c r="B1390" s="351" t="s">
        <v>6814</v>
      </c>
      <c r="C1390" s="346">
        <v>5226</v>
      </c>
      <c r="D1390" s="230">
        <f t="shared" si="200"/>
        <v>1605.3463636363635</v>
      </c>
      <c r="E1390" s="215">
        <f>D1390/8</f>
        <v>200.66829545454544</v>
      </c>
      <c r="F1390" s="511">
        <f t="shared" si="201"/>
        <v>1806.02</v>
      </c>
      <c r="G1390" s="351" t="s">
        <v>6815</v>
      </c>
      <c r="H1390" s="518" t="s">
        <v>6816</v>
      </c>
      <c r="I1390" s="452" t="s">
        <v>11565</v>
      </c>
      <c r="J1390" s="369" t="s">
        <v>753</v>
      </c>
      <c r="K1390" s="452" t="s">
        <v>741</v>
      </c>
    </row>
    <row r="1391" spans="1:11" s="317" customFormat="1">
      <c r="A1391" s="1467"/>
      <c r="B1391" s="351" t="s">
        <v>6817</v>
      </c>
      <c r="C1391" s="346">
        <v>1656</v>
      </c>
      <c r="D1391" s="230">
        <f t="shared" si="200"/>
        <v>508.69758480325635</v>
      </c>
      <c r="E1391" s="215">
        <f>D1391/8</f>
        <v>63.587198100407043</v>
      </c>
      <c r="F1391" s="511">
        <f t="shared" si="201"/>
        <v>572.29</v>
      </c>
      <c r="G1391" s="351" t="s">
        <v>6818</v>
      </c>
      <c r="H1391" s="518" t="s">
        <v>6819</v>
      </c>
      <c r="I1391" s="452" t="s">
        <v>11565</v>
      </c>
      <c r="J1391" s="369" t="s">
        <v>753</v>
      </c>
      <c r="K1391" s="452" t="s">
        <v>741</v>
      </c>
    </row>
    <row r="1392" spans="1:11" s="317" customFormat="1">
      <c r="A1392" s="1467"/>
      <c r="B1392" s="518" t="s">
        <v>4954</v>
      </c>
      <c r="C1392" s="196">
        <v>269</v>
      </c>
      <c r="D1392" s="230">
        <f t="shared" si="200"/>
        <v>82.632639077340571</v>
      </c>
      <c r="E1392" s="215">
        <v>15</v>
      </c>
      <c r="F1392" s="511">
        <f t="shared" si="201"/>
        <v>97.64</v>
      </c>
      <c r="G1392" s="518" t="s">
        <v>4955</v>
      </c>
      <c r="H1392" s="518" t="s">
        <v>1706</v>
      </c>
      <c r="I1392" s="452" t="s">
        <v>11565</v>
      </c>
      <c r="J1392" s="369" t="s">
        <v>753</v>
      </c>
      <c r="K1392" s="452" t="s">
        <v>741</v>
      </c>
    </row>
    <row r="1393" spans="1:11" s="317" customFormat="1">
      <c r="A1393" s="1467"/>
      <c r="B1393" s="518" t="s">
        <v>1282</v>
      </c>
      <c r="C1393" s="196">
        <v>479</v>
      </c>
      <c r="D1393" s="230">
        <f t="shared" si="200"/>
        <v>147.14139077340567</v>
      </c>
      <c r="E1393" s="215">
        <v>8</v>
      </c>
      <c r="F1393" s="511">
        <f t="shared" si="201"/>
        <v>155.14999999999998</v>
      </c>
      <c r="G1393" s="518" t="s">
        <v>2304</v>
      </c>
      <c r="H1393" s="518" t="s">
        <v>1281</v>
      </c>
      <c r="I1393" s="452" t="s">
        <v>11565</v>
      </c>
      <c r="J1393" s="369" t="s">
        <v>753</v>
      </c>
      <c r="K1393" s="452" t="s">
        <v>741</v>
      </c>
    </row>
    <row r="1394" spans="1:11" s="317" customFormat="1">
      <c r="A1394" s="1467"/>
      <c r="B1394" s="518" t="s">
        <v>1231</v>
      </c>
      <c r="C1394" s="196">
        <v>4633</v>
      </c>
      <c r="D1394" s="230">
        <f t="shared" si="200"/>
        <v>1423.1859362279511</v>
      </c>
      <c r="E1394" s="215">
        <v>35</v>
      </c>
      <c r="F1394" s="511">
        <f t="shared" si="201"/>
        <v>1458.19</v>
      </c>
      <c r="G1394" s="314" t="s">
        <v>2299</v>
      </c>
      <c r="H1394" s="518" t="s">
        <v>1232</v>
      </c>
      <c r="I1394" s="452" t="s">
        <v>11565</v>
      </c>
      <c r="J1394" s="369" t="s">
        <v>753</v>
      </c>
      <c r="K1394" s="452" t="s">
        <v>741</v>
      </c>
    </row>
    <row r="1395" spans="1:11" s="317" customFormat="1">
      <c r="A1395" s="369"/>
      <c r="B1395" s="314"/>
      <c r="C1395" s="196" t="s">
        <v>2024</v>
      </c>
      <c r="D1395" s="345"/>
      <c r="E1395" s="343"/>
      <c r="F1395" s="508"/>
      <c r="G1395" s="314"/>
      <c r="H1395" s="518"/>
      <c r="I1395" s="452"/>
      <c r="J1395" s="369"/>
      <c r="K1395" s="452"/>
    </row>
    <row r="1396" spans="1:11" s="317" customFormat="1">
      <c r="A1396" s="369"/>
      <c r="B1396" s="314"/>
      <c r="C1396" s="196" t="s">
        <v>2024</v>
      </c>
      <c r="D1396" s="230"/>
      <c r="E1396" s="215"/>
      <c r="F1396" s="511"/>
      <c r="G1396" s="314"/>
      <c r="H1396" s="518"/>
      <c r="I1396" s="452"/>
      <c r="J1396" s="369"/>
      <c r="K1396" s="452"/>
    </row>
    <row r="1397" spans="1:11" s="317" customFormat="1">
      <c r="A1397" s="369"/>
      <c r="B1397" s="314"/>
      <c r="C1397" s="196" t="s">
        <v>2024</v>
      </c>
      <c r="D1397" s="230"/>
      <c r="E1397" s="215"/>
      <c r="F1397" s="511">
        <f t="shared" ref="F1397:F1423" si="203">ROUNDUP(D1397+E1397,2)</f>
        <v>0</v>
      </c>
      <c r="G1397" s="314"/>
      <c r="H1397" s="518"/>
      <c r="I1397" s="452"/>
      <c r="J1397" s="369"/>
      <c r="K1397" s="452"/>
    </row>
    <row r="1398" spans="1:11" s="317" customFormat="1">
      <c r="A1398" s="369"/>
      <c r="B1398" s="314" t="s">
        <v>6820</v>
      </c>
      <c r="C1398" s="196">
        <v>6671</v>
      </c>
      <c r="D1398" s="230">
        <f>C1398*(1-VLOOKUP(I1398,descuentos,6,FALSE))*fcl/IF(dol_sol="dólar", TC,1)</f>
        <v>2049.228012211669</v>
      </c>
      <c r="E1398" s="215">
        <f>D1398/8</f>
        <v>256.15350152645863</v>
      </c>
      <c r="F1398" s="511">
        <f t="shared" si="203"/>
        <v>2305.3900000000003</v>
      </c>
      <c r="G1398" s="314" t="s">
        <v>11693</v>
      </c>
      <c r="H1398" s="518" t="s">
        <v>6821</v>
      </c>
      <c r="I1398" s="452" t="s">
        <v>11565</v>
      </c>
      <c r="J1398" s="369" t="s">
        <v>753</v>
      </c>
      <c r="K1398" s="452" t="s">
        <v>741</v>
      </c>
    </row>
    <row r="1399" spans="1:11" s="317" customFormat="1">
      <c r="A1399" s="369"/>
      <c r="B1399" s="314" t="s">
        <v>1091</v>
      </c>
      <c r="C1399" s="196">
        <v>8502</v>
      </c>
      <c r="D1399" s="230">
        <f>C1399*(1-VLOOKUP(I1399,descuentos,6,FALSE))*fcl/IF(dol_sol="dólar", TC,1)</f>
        <v>2611.6828900949795</v>
      </c>
      <c r="E1399" s="215">
        <f>D1399/8</f>
        <v>326.46036126187244</v>
      </c>
      <c r="F1399" s="511">
        <f t="shared" si="203"/>
        <v>2938.15</v>
      </c>
      <c r="G1399" s="314" t="s">
        <v>11694</v>
      </c>
      <c r="H1399" s="518" t="s">
        <v>1087</v>
      </c>
      <c r="I1399" s="452" t="s">
        <v>11565</v>
      </c>
      <c r="J1399" s="369" t="s">
        <v>753</v>
      </c>
      <c r="K1399" s="452" t="s">
        <v>741</v>
      </c>
    </row>
    <row r="1400" spans="1:11" s="317" customFormat="1">
      <c r="A1400" s="369"/>
      <c r="B1400" s="314" t="s">
        <v>1092</v>
      </c>
      <c r="C1400" s="196">
        <v>11505</v>
      </c>
      <c r="D1400" s="230">
        <f>C1400*(1-VLOOKUP(I1400,descuentos,6,FALSE))*fcl/IF(dol_sol="dólar", TC,1)</f>
        <v>3534.1580393487111</v>
      </c>
      <c r="E1400" s="215">
        <f>D1400/8</f>
        <v>441.76975491858889</v>
      </c>
      <c r="F1400" s="511">
        <f t="shared" si="203"/>
        <v>3975.9300000000003</v>
      </c>
      <c r="G1400" s="314" t="s">
        <v>11695</v>
      </c>
      <c r="H1400" s="518" t="s">
        <v>1088</v>
      </c>
      <c r="I1400" s="452" t="s">
        <v>11565</v>
      </c>
      <c r="J1400" s="369" t="s">
        <v>753</v>
      </c>
      <c r="K1400" s="452" t="s">
        <v>741</v>
      </c>
    </row>
    <row r="1401" spans="1:11" s="317" customFormat="1">
      <c r="A1401" s="369"/>
      <c r="B1401" s="314"/>
      <c r="C1401" s="196" t="s">
        <v>2024</v>
      </c>
      <c r="D1401" s="230"/>
      <c r="E1401" s="215"/>
      <c r="F1401" s="511">
        <f t="shared" si="203"/>
        <v>0</v>
      </c>
      <c r="G1401" s="314"/>
      <c r="H1401" s="518"/>
      <c r="I1401" s="452"/>
      <c r="J1401" s="369"/>
      <c r="K1401" s="452"/>
    </row>
    <row r="1402" spans="1:11" s="317" customFormat="1">
      <c r="A1402" s="369"/>
      <c r="B1402" s="351" t="s">
        <v>6822</v>
      </c>
      <c r="C1402" s="346">
        <v>8538</v>
      </c>
      <c r="D1402" s="345">
        <f>C1402*(1-VLOOKUP(I1402,descuentos,6,FALSE))*fcl/IF(dol_sol="dólar", TC,1)</f>
        <v>2622.7415332428764</v>
      </c>
      <c r="E1402" s="343">
        <f>D1402/8</f>
        <v>327.84269165535954</v>
      </c>
      <c r="F1402" s="508">
        <f t="shared" si="203"/>
        <v>2950.59</v>
      </c>
      <c r="G1402" s="351" t="s">
        <v>6823</v>
      </c>
      <c r="H1402" s="518" t="s">
        <v>6824</v>
      </c>
      <c r="I1402" s="452" t="s">
        <v>11565</v>
      </c>
      <c r="J1402" s="369" t="s">
        <v>753</v>
      </c>
      <c r="K1402" s="452" t="s">
        <v>741</v>
      </c>
    </row>
    <row r="1403" spans="1:11" s="317" customFormat="1">
      <c r="A1403" s="369"/>
      <c r="B1403" s="351" t="s">
        <v>2284</v>
      </c>
      <c r="C1403" s="346">
        <v>10594</v>
      </c>
      <c r="D1403" s="345">
        <f>C1403*(1-VLOOKUP(I1403,descuentos,6,FALSE))*fcl/IF(dol_sol="dólar", TC,1)</f>
        <v>3254.3129308005427</v>
      </c>
      <c r="E1403" s="343">
        <f>D1403/8</f>
        <v>406.78911635006784</v>
      </c>
      <c r="F1403" s="508">
        <f t="shared" si="203"/>
        <v>3661.11</v>
      </c>
      <c r="G1403" s="351" t="s">
        <v>4556</v>
      </c>
      <c r="H1403" s="518" t="s">
        <v>2285</v>
      </c>
      <c r="I1403" s="452" t="s">
        <v>11565</v>
      </c>
      <c r="J1403" s="369" t="s">
        <v>753</v>
      </c>
      <c r="K1403" s="452" t="s">
        <v>741</v>
      </c>
    </row>
    <row r="1404" spans="1:11" s="317" customFormat="1">
      <c r="A1404" s="369"/>
      <c r="B1404" s="351" t="s">
        <v>6825</v>
      </c>
      <c r="C1404" s="346">
        <v>14659</v>
      </c>
      <c r="D1404" s="345">
        <f>C1404*(1-VLOOKUP(I1404,descuentos,6,FALSE))*fcl/IF(dol_sol="dólar", TC,1)</f>
        <v>4503.0180529172321</v>
      </c>
      <c r="E1404" s="343">
        <f>D1404/8</f>
        <v>562.87725661465402</v>
      </c>
      <c r="F1404" s="508">
        <f t="shared" si="203"/>
        <v>5065.9000000000005</v>
      </c>
      <c r="G1404" s="351" t="s">
        <v>6826</v>
      </c>
      <c r="H1404" s="518" t="s">
        <v>6827</v>
      </c>
      <c r="I1404" s="452" t="s">
        <v>11565</v>
      </c>
      <c r="J1404" s="369" t="s">
        <v>753</v>
      </c>
      <c r="K1404" s="452" t="s">
        <v>741</v>
      </c>
    </row>
    <row r="1405" spans="1:11" s="317" customFormat="1" ht="13.5" customHeight="1">
      <c r="A1405" s="369"/>
      <c r="B1405" s="314"/>
      <c r="C1405" s="196" t="s">
        <v>2024</v>
      </c>
      <c r="D1405" s="230"/>
      <c r="E1405" s="215"/>
      <c r="F1405" s="511">
        <f t="shared" si="203"/>
        <v>0</v>
      </c>
      <c r="G1405" s="314"/>
      <c r="H1405" s="518"/>
      <c r="I1405" s="452"/>
      <c r="J1405" s="369"/>
      <c r="K1405" s="452"/>
    </row>
    <row r="1406" spans="1:11" s="317" customFormat="1">
      <c r="A1406" s="369"/>
      <c r="B1406" s="314" t="s">
        <v>13231</v>
      </c>
      <c r="C1406" s="196">
        <v>7673</v>
      </c>
      <c r="D1406" s="230">
        <f>C1406*(1-VLOOKUP(I1406,descuentos,6,FALSE))*fcl/IF(dol_sol="dólar", TC,1)</f>
        <v>2357.0269131614655</v>
      </c>
      <c r="E1406" s="215">
        <f>D1406/8</f>
        <v>294.62836414518318</v>
      </c>
      <c r="F1406" s="511">
        <f t="shared" si="203"/>
        <v>2651.6600000000003</v>
      </c>
      <c r="G1406" s="314" t="s">
        <v>13232</v>
      </c>
      <c r="H1406" s="518" t="s">
        <v>13233</v>
      </c>
      <c r="I1406" s="452" t="s">
        <v>11565</v>
      </c>
      <c r="J1406" s="369" t="s">
        <v>753</v>
      </c>
      <c r="K1406" s="452" t="s">
        <v>741</v>
      </c>
    </row>
    <row r="1407" spans="1:11" s="317" customFormat="1">
      <c r="A1407" s="369"/>
      <c r="B1407" s="314" t="s">
        <v>1093</v>
      </c>
      <c r="C1407" s="196">
        <v>8980</v>
      </c>
      <c r="D1407" s="230">
        <f>C1407*(1-VLOOKUP(I1407,descuentos,6,FALSE))*fcl/IF(dol_sol="dólar", TC,1)</f>
        <v>2758.517096336499</v>
      </c>
      <c r="E1407" s="215">
        <f>D1407/8</f>
        <v>344.81463704206237</v>
      </c>
      <c r="F1407" s="511">
        <f t="shared" si="203"/>
        <v>3103.34</v>
      </c>
      <c r="G1407" s="314" t="s">
        <v>4557</v>
      </c>
      <c r="H1407" s="518" t="s">
        <v>1089</v>
      </c>
      <c r="I1407" s="452" t="s">
        <v>11565</v>
      </c>
      <c r="J1407" s="369" t="s">
        <v>753</v>
      </c>
      <c r="K1407" s="452" t="s">
        <v>741</v>
      </c>
    </row>
    <row r="1408" spans="1:11" s="317" customFormat="1">
      <c r="A1408" s="369"/>
      <c r="B1408" s="314" t="s">
        <v>1094</v>
      </c>
      <c r="C1408" s="196">
        <v>11887</v>
      </c>
      <c r="D1408" s="230">
        <f>C1408*(1-VLOOKUP(I1408,descuentos,6,FALSE))*fcl/IF(dol_sol="dólar", TC,1)</f>
        <v>3651.5025305291715</v>
      </c>
      <c r="E1408" s="215">
        <f>D1408/8</f>
        <v>456.43781631614644</v>
      </c>
      <c r="F1408" s="511">
        <f t="shared" si="203"/>
        <v>4107.95</v>
      </c>
      <c r="G1408" s="314" t="s">
        <v>4558</v>
      </c>
      <c r="H1408" s="518" t="s">
        <v>1090</v>
      </c>
      <c r="I1408" s="452" t="s">
        <v>11565</v>
      </c>
      <c r="J1408" s="369" t="s">
        <v>753</v>
      </c>
      <c r="K1408" s="452" t="s">
        <v>741</v>
      </c>
    </row>
    <row r="1409" spans="1:11" s="317" customFormat="1">
      <c r="A1409" s="369"/>
      <c r="B1409" s="314"/>
      <c r="C1409" s="196" t="s">
        <v>2024</v>
      </c>
      <c r="D1409" s="230"/>
      <c r="E1409" s="215"/>
      <c r="F1409" s="511">
        <f t="shared" si="203"/>
        <v>0</v>
      </c>
      <c r="G1409" s="314"/>
      <c r="H1409" s="518"/>
      <c r="I1409" s="452"/>
      <c r="J1409" s="369"/>
      <c r="K1409" s="452"/>
    </row>
    <row r="1410" spans="1:11" s="317" customFormat="1">
      <c r="A1410" s="369"/>
      <c r="B1410" s="314" t="s">
        <v>6828</v>
      </c>
      <c r="C1410" s="196">
        <v>10937</v>
      </c>
      <c r="D1410" s="230">
        <f>C1410*(1-VLOOKUP(I1410,descuentos,6,FALSE))*fcl/IF(dol_sol="dólar", TC,1)</f>
        <v>3359.677225237449</v>
      </c>
      <c r="E1410" s="215">
        <f>D1410/8</f>
        <v>419.95965315468112</v>
      </c>
      <c r="F1410" s="511">
        <f t="shared" si="203"/>
        <v>3779.6400000000003</v>
      </c>
      <c r="G1410" s="314" t="s">
        <v>6829</v>
      </c>
      <c r="H1410" s="518" t="s">
        <v>6830</v>
      </c>
      <c r="I1410" s="452" t="s">
        <v>11565</v>
      </c>
      <c r="J1410" s="369" t="s">
        <v>753</v>
      </c>
      <c r="K1410" s="452" t="s">
        <v>741</v>
      </c>
    </row>
    <row r="1411" spans="1:11" s="317" customFormat="1">
      <c r="A1411" s="369"/>
      <c r="B1411" s="314"/>
      <c r="C1411" s="196" t="s">
        <v>2024</v>
      </c>
      <c r="D1411" s="230"/>
      <c r="E1411" s="215"/>
      <c r="F1411" s="511">
        <f t="shared" si="203"/>
        <v>0</v>
      </c>
      <c r="G1411" s="314"/>
      <c r="H1411" s="518"/>
      <c r="I1411" s="452"/>
      <c r="J1411" s="369"/>
      <c r="K1411" s="452"/>
    </row>
    <row r="1412" spans="1:11">
      <c r="A1412" s="369"/>
      <c r="B1412" s="314" t="s">
        <v>6831</v>
      </c>
      <c r="C1412" s="196">
        <v>7672</v>
      </c>
      <c r="D1412" s="230">
        <f>C1412*(1-VLOOKUP(I1412,descuentos,6,FALSE))*fcl/IF(dol_sol="dólar", TC,1)</f>
        <v>2356.7197286295791</v>
      </c>
      <c r="E1412" s="215">
        <f>D1412/8</f>
        <v>294.58996607869739</v>
      </c>
      <c r="F1412" s="511">
        <f t="shared" si="203"/>
        <v>2651.3100000000004</v>
      </c>
      <c r="G1412" s="314" t="s">
        <v>6832</v>
      </c>
      <c r="H1412" s="518" t="s">
        <v>6833</v>
      </c>
      <c r="I1412" s="452" t="s">
        <v>11565</v>
      </c>
      <c r="J1412" s="369" t="s">
        <v>753</v>
      </c>
      <c r="K1412" s="452" t="s">
        <v>741</v>
      </c>
    </row>
    <row r="1413" spans="1:11">
      <c r="A1413" s="369"/>
      <c r="B1413" s="314" t="s">
        <v>1095</v>
      </c>
      <c r="C1413" s="196">
        <v>9579</v>
      </c>
      <c r="D1413" s="230">
        <f>C1413*(1-VLOOKUP(I1413,descuentos,6,FALSE))*fcl/IF(dol_sol="dólar", TC,1)</f>
        <v>2942.5206309362279</v>
      </c>
      <c r="E1413" s="215">
        <f>D1413/8</f>
        <v>367.81507886702849</v>
      </c>
      <c r="F1413" s="511">
        <f t="shared" si="203"/>
        <v>3310.34</v>
      </c>
      <c r="G1413" s="314" t="s">
        <v>4559</v>
      </c>
      <c r="H1413" s="518" t="s">
        <v>1099</v>
      </c>
      <c r="I1413" s="452" t="s">
        <v>11565</v>
      </c>
      <c r="J1413" s="369" t="s">
        <v>753</v>
      </c>
      <c r="K1413" s="452" t="s">
        <v>741</v>
      </c>
    </row>
    <row r="1414" spans="1:11">
      <c r="A1414" s="369"/>
      <c r="B1414" s="314" t="s">
        <v>11696</v>
      </c>
      <c r="C1414" s="196">
        <v>10263</v>
      </c>
      <c r="D1414" s="230">
        <f>C1414*(1-VLOOKUP(I1414,descuentos,6,FALSE))*fcl/IF(dol_sol="dólar", TC,1)</f>
        <v>3152.6348507462681</v>
      </c>
      <c r="E1414" s="215">
        <f>D1414/8</f>
        <v>394.07935634328351</v>
      </c>
      <c r="F1414" s="511">
        <f t="shared" si="203"/>
        <v>3546.7200000000003</v>
      </c>
      <c r="G1414" s="314" t="s">
        <v>11697</v>
      </c>
      <c r="H1414" s="518" t="s">
        <v>3448</v>
      </c>
      <c r="I1414" s="452" t="s">
        <v>11565</v>
      </c>
      <c r="J1414" s="369" t="s">
        <v>753</v>
      </c>
      <c r="K1414" s="452" t="s">
        <v>741</v>
      </c>
    </row>
    <row r="1415" spans="1:11">
      <c r="A1415" s="369"/>
      <c r="B1415" s="314" t="s">
        <v>1096</v>
      </c>
      <c r="C1415" s="196">
        <v>12677</v>
      </c>
      <c r="D1415" s="230">
        <f>C1415*(1-VLOOKUP(I1415,descuentos,6,FALSE))*fcl/IF(dol_sol="dólar", TC,1)</f>
        <v>3894.1783107191309</v>
      </c>
      <c r="E1415" s="215">
        <f>D1415/8</f>
        <v>486.77228883989136</v>
      </c>
      <c r="F1415" s="511">
        <f t="shared" si="203"/>
        <v>4380.96</v>
      </c>
      <c r="G1415" s="314" t="s">
        <v>4561</v>
      </c>
      <c r="H1415" s="518" t="s">
        <v>1100</v>
      </c>
      <c r="I1415" s="452" t="s">
        <v>11565</v>
      </c>
      <c r="J1415" s="369" t="s">
        <v>753</v>
      </c>
      <c r="K1415" s="452" t="s">
        <v>741</v>
      </c>
    </row>
    <row r="1416" spans="1:11">
      <c r="A1416" s="369"/>
      <c r="B1416" s="314"/>
      <c r="C1416" s="196" t="s">
        <v>2024</v>
      </c>
      <c r="D1416" s="230"/>
      <c r="E1416" s="215"/>
      <c r="F1416" s="511">
        <f t="shared" si="203"/>
        <v>0</v>
      </c>
      <c r="G1416" s="314"/>
      <c r="H1416" s="518"/>
      <c r="I1416" s="452"/>
      <c r="J1416" s="369"/>
      <c r="K1416" s="452"/>
    </row>
    <row r="1417" spans="1:11">
      <c r="A1417" s="369"/>
      <c r="B1417" s="351" t="s">
        <v>6834</v>
      </c>
      <c r="C1417" s="346">
        <v>9818</v>
      </c>
      <c r="D1417" s="345">
        <f>C1417*(1-VLOOKUP(I1417,descuentos,6,FALSE))*fcl/IF(dol_sol="dólar", TC,1)</f>
        <v>3015.9377340569872</v>
      </c>
      <c r="E1417" s="343">
        <f>D1417/8</f>
        <v>376.9922167571234</v>
      </c>
      <c r="F1417" s="508">
        <f t="shared" si="203"/>
        <v>3392.9300000000003</v>
      </c>
      <c r="G1417" s="351" t="s">
        <v>6835</v>
      </c>
      <c r="H1417" s="518" t="s">
        <v>6836</v>
      </c>
      <c r="I1417" s="452" t="s">
        <v>11565</v>
      </c>
      <c r="J1417" s="369" t="s">
        <v>753</v>
      </c>
      <c r="K1417" s="452" t="s">
        <v>741</v>
      </c>
    </row>
    <row r="1418" spans="1:11">
      <c r="A1418" s="369"/>
      <c r="B1418" s="351" t="s">
        <v>2286</v>
      </c>
      <c r="C1418" s="346">
        <v>12182</v>
      </c>
      <c r="D1418" s="345">
        <f>C1418*(1-VLOOKUP(I1418,descuentos,6,FALSE))*fcl/IF(dol_sol="dólar", TC,1)</f>
        <v>3742.1219674355489</v>
      </c>
      <c r="E1418" s="343">
        <f>D1418/8</f>
        <v>467.76524592944361</v>
      </c>
      <c r="F1418" s="508">
        <f t="shared" si="203"/>
        <v>4209.8900000000003</v>
      </c>
      <c r="G1418" s="351" t="s">
        <v>4560</v>
      </c>
      <c r="H1418" s="518" t="s">
        <v>2287</v>
      </c>
      <c r="I1418" s="452" t="s">
        <v>11565</v>
      </c>
      <c r="J1418" s="369" t="s">
        <v>753</v>
      </c>
      <c r="K1418" s="452" t="s">
        <v>741</v>
      </c>
    </row>
    <row r="1419" spans="1:11">
      <c r="A1419" s="369"/>
      <c r="B1419" s="351" t="s">
        <v>6837</v>
      </c>
      <c r="C1419" s="346">
        <v>16124</v>
      </c>
      <c r="D1419" s="345">
        <f>C1419*(1-VLOOKUP(I1419,descuentos,6,FALSE))*fcl/IF(dol_sol="dólar", TC,1)</f>
        <v>4953.0433921302574</v>
      </c>
      <c r="E1419" s="343">
        <f>D1419/8</f>
        <v>619.13042401628218</v>
      </c>
      <c r="F1419" s="508">
        <f t="shared" si="203"/>
        <v>5572.18</v>
      </c>
      <c r="G1419" s="351" t="s">
        <v>6838</v>
      </c>
      <c r="H1419" s="518" t="s">
        <v>6839</v>
      </c>
      <c r="I1419" s="452" t="s">
        <v>11565</v>
      </c>
      <c r="J1419" s="369" t="s">
        <v>753</v>
      </c>
      <c r="K1419" s="452" t="s">
        <v>741</v>
      </c>
    </row>
    <row r="1420" spans="1:11">
      <c r="A1420" s="369"/>
      <c r="B1420" s="314"/>
      <c r="C1420" s="196" t="s">
        <v>2024</v>
      </c>
      <c r="D1420" s="230"/>
      <c r="E1420" s="215"/>
      <c r="F1420" s="511">
        <f t="shared" si="203"/>
        <v>0</v>
      </c>
      <c r="G1420" s="314"/>
      <c r="H1420" s="518"/>
      <c r="I1420" s="452"/>
      <c r="J1420" s="369"/>
      <c r="K1420" s="452"/>
    </row>
    <row r="1421" spans="1:11">
      <c r="A1421" s="369"/>
      <c r="B1421" s="314" t="s">
        <v>1097</v>
      </c>
      <c r="C1421" s="196">
        <v>9742</v>
      </c>
      <c r="D1421" s="230">
        <f>C1421*(1-VLOOKUP(I1421,descuentos,6,FALSE))*fcl/IF(dol_sol="dólar", TC,1)</f>
        <v>2992.5917096336493</v>
      </c>
      <c r="E1421" s="215">
        <f>D1421/8</f>
        <v>374.07396370420616</v>
      </c>
      <c r="F1421" s="511">
        <f t="shared" si="203"/>
        <v>3366.67</v>
      </c>
      <c r="G1421" s="314" t="s">
        <v>4562</v>
      </c>
      <c r="H1421" s="518" t="s">
        <v>1101</v>
      </c>
      <c r="I1421" s="452" t="s">
        <v>11565</v>
      </c>
      <c r="J1421" s="369" t="s">
        <v>753</v>
      </c>
      <c r="K1421" s="452" t="s">
        <v>741</v>
      </c>
    </row>
    <row r="1422" spans="1:11">
      <c r="A1422" s="369"/>
      <c r="B1422" s="314" t="s">
        <v>1098</v>
      </c>
      <c r="C1422" s="196">
        <v>13225</v>
      </c>
      <c r="D1422" s="230">
        <f>C1422*(1-VLOOKUP(I1422,descuentos,6,FALSE))*fcl/IF(dol_sol="dólar", TC,1)</f>
        <v>4062.5154341926723</v>
      </c>
      <c r="E1422" s="215">
        <f>D1422/8</f>
        <v>507.81442927408403</v>
      </c>
      <c r="F1422" s="511">
        <f t="shared" si="203"/>
        <v>4570.33</v>
      </c>
      <c r="G1422" s="314" t="s">
        <v>4563</v>
      </c>
      <c r="H1422" s="518" t="s">
        <v>1102</v>
      </c>
      <c r="I1422" s="452" t="s">
        <v>11565</v>
      </c>
      <c r="J1422" s="369" t="s">
        <v>753</v>
      </c>
      <c r="K1422" s="452" t="s">
        <v>741</v>
      </c>
    </row>
    <row r="1423" spans="1:11" s="317" customFormat="1">
      <c r="A1423" s="369"/>
      <c r="B1423" s="314"/>
      <c r="C1423" s="196" t="s">
        <v>2024</v>
      </c>
      <c r="D1423" s="230"/>
      <c r="E1423" s="215"/>
      <c r="F1423" s="511">
        <f t="shared" si="203"/>
        <v>0</v>
      </c>
      <c r="G1423" s="314"/>
      <c r="H1423" s="518"/>
      <c r="I1423" s="452"/>
      <c r="J1423" s="369"/>
      <c r="K1423" s="452"/>
    </row>
    <row r="1424" spans="1:11" s="317" customFormat="1">
      <c r="A1424" s="369"/>
      <c r="B1424" s="314"/>
      <c r="C1424" s="196" t="s">
        <v>2024</v>
      </c>
      <c r="D1424" s="230"/>
      <c r="E1424" s="215"/>
      <c r="F1424" s="511"/>
      <c r="G1424" s="314"/>
      <c r="H1424" s="518"/>
      <c r="I1424" s="452"/>
      <c r="J1424" s="369"/>
      <c r="K1424" s="452"/>
    </row>
    <row r="1425" spans="1:11" s="317" customFormat="1" ht="35.25" customHeight="1">
      <c r="A1425" s="369"/>
      <c r="B1425" s="1468" t="s">
        <v>6840</v>
      </c>
      <c r="C1425" s="196" t="s">
        <v>2024</v>
      </c>
      <c r="D1425" s="230"/>
      <c r="E1425" s="215"/>
      <c r="F1425" s="511"/>
      <c r="G1425" s="314"/>
      <c r="H1425" s="518"/>
      <c r="I1425" s="452"/>
      <c r="J1425" s="369"/>
      <c r="K1425" s="452"/>
    </row>
    <row r="1426" spans="1:11" s="317" customFormat="1">
      <c r="A1426" s="1467"/>
      <c r="B1426" s="351" t="s">
        <v>6841</v>
      </c>
      <c r="C1426" s="346">
        <v>11895</v>
      </c>
      <c r="D1426" s="230">
        <f t="shared" ref="D1426:D1433" si="204">C1426*(1-VLOOKUP(I1426,descuentos,6,FALSE))*fcl/IF(dol_sol="dólar", TC,1)</f>
        <v>3653.9600067842603</v>
      </c>
      <c r="E1426" s="215">
        <f>D1426/8</f>
        <v>456.74500084803253</v>
      </c>
      <c r="F1426" s="511">
        <f t="shared" ref="F1426:F1433" si="205">ROUNDUP(D1426+E1426,2)</f>
        <v>4110.71</v>
      </c>
      <c r="G1426" s="351" t="s">
        <v>6842</v>
      </c>
      <c r="H1426" s="518" t="s">
        <v>6843</v>
      </c>
      <c r="I1426" s="452" t="s">
        <v>11565</v>
      </c>
      <c r="J1426" s="369" t="s">
        <v>753</v>
      </c>
      <c r="K1426" s="452" t="s">
        <v>741</v>
      </c>
    </row>
    <row r="1427" spans="1:11" s="317" customFormat="1">
      <c r="A1427" s="1467"/>
      <c r="B1427" s="1592" t="s">
        <v>9498</v>
      </c>
      <c r="C1427" s="1593">
        <v>16712</v>
      </c>
      <c r="D1427" s="1594">
        <f t="shared" ref="D1427" si="206">C1427*(1-VLOOKUP(I1427,descuentos,6,FALSE))*fcl/IF(dol_sol="dólar", TC,1)</f>
        <v>5133.6678968792403</v>
      </c>
      <c r="E1427" s="1595">
        <f>D1427/8</f>
        <v>641.70848710990504</v>
      </c>
      <c r="F1427" s="1596">
        <f t="shared" si="205"/>
        <v>5775.38</v>
      </c>
      <c r="G1427" s="351" t="s">
        <v>9499</v>
      </c>
      <c r="H1427" s="518" t="s">
        <v>9500</v>
      </c>
      <c r="I1427" s="452" t="s">
        <v>11565</v>
      </c>
      <c r="J1427" s="369" t="s">
        <v>753</v>
      </c>
      <c r="K1427" s="452" t="s">
        <v>741</v>
      </c>
    </row>
    <row r="1428" spans="1:11" s="317" customFormat="1">
      <c r="A1428" s="1467"/>
      <c r="B1428" s="1592" t="s">
        <v>9501</v>
      </c>
      <c r="C1428" s="1593">
        <v>12198</v>
      </c>
      <c r="D1428" s="1594">
        <f t="shared" ref="D1428" si="207">C1428*(1-VLOOKUP(I1428,descuentos,6,FALSE))*fcl/IF(dol_sol="dólar", TC,1)</f>
        <v>3747.036919945725</v>
      </c>
      <c r="E1428" s="1595">
        <f>D1428/8</f>
        <v>468.37961499321563</v>
      </c>
      <c r="F1428" s="1596">
        <f t="shared" si="205"/>
        <v>4215.42</v>
      </c>
      <c r="G1428" s="351" t="s">
        <v>9502</v>
      </c>
      <c r="H1428" s="518" t="s">
        <v>2887</v>
      </c>
      <c r="I1428" s="452" t="s">
        <v>11565</v>
      </c>
      <c r="J1428" s="369" t="s">
        <v>753</v>
      </c>
      <c r="K1428" s="452" t="s">
        <v>741</v>
      </c>
    </row>
    <row r="1429" spans="1:11" s="317" customFormat="1">
      <c r="A1429" s="1467"/>
      <c r="B1429" s="351" t="s">
        <v>6844</v>
      </c>
      <c r="C1429" s="346">
        <v>5030</v>
      </c>
      <c r="D1429" s="230">
        <f t="shared" si="204"/>
        <v>1545.1381953867026</v>
      </c>
      <c r="E1429" s="215">
        <f>D1429/8</f>
        <v>193.14227442333782</v>
      </c>
      <c r="F1429" s="511">
        <f t="shared" si="205"/>
        <v>1738.29</v>
      </c>
      <c r="G1429" s="351" t="s">
        <v>6845</v>
      </c>
      <c r="H1429" s="518" t="s">
        <v>6846</v>
      </c>
      <c r="I1429" s="452" t="s">
        <v>11565</v>
      </c>
      <c r="J1429" s="369" t="s">
        <v>753</v>
      </c>
      <c r="K1429" s="452" t="s">
        <v>741</v>
      </c>
    </row>
    <row r="1430" spans="1:11" s="317" customFormat="1">
      <c r="A1430" s="1467"/>
      <c r="B1430" s="351" t="s">
        <v>6847</v>
      </c>
      <c r="C1430" s="346">
        <v>815</v>
      </c>
      <c r="D1430" s="230">
        <f t="shared" si="204"/>
        <v>250.35539348710989</v>
      </c>
      <c r="E1430" s="215">
        <f>D1430/8</f>
        <v>31.294424185888737</v>
      </c>
      <c r="F1430" s="511">
        <f t="shared" si="205"/>
        <v>281.64999999999998</v>
      </c>
      <c r="G1430" s="351" t="s">
        <v>6848</v>
      </c>
      <c r="H1430" s="518" t="s">
        <v>6849</v>
      </c>
      <c r="I1430" s="452" t="s">
        <v>11565</v>
      </c>
      <c r="J1430" s="369" t="s">
        <v>753</v>
      </c>
      <c r="K1430" s="452" t="s">
        <v>741</v>
      </c>
    </row>
    <row r="1431" spans="1:11" s="317" customFormat="1">
      <c r="A1431" s="1467"/>
      <c r="B1431" s="518" t="s">
        <v>1241</v>
      </c>
      <c r="C1431" s="196">
        <v>529</v>
      </c>
      <c r="D1431" s="230">
        <f t="shared" si="204"/>
        <v>162.50061736770689</v>
      </c>
      <c r="E1431" s="215">
        <v>15</v>
      </c>
      <c r="F1431" s="511">
        <f t="shared" si="205"/>
        <v>177.51</v>
      </c>
      <c r="G1431" s="518" t="s">
        <v>4960</v>
      </c>
      <c r="H1431" s="518" t="s">
        <v>1243</v>
      </c>
      <c r="I1431" s="452" t="s">
        <v>11565</v>
      </c>
      <c r="J1431" s="369" t="s">
        <v>753</v>
      </c>
      <c r="K1431" s="452" t="s">
        <v>741</v>
      </c>
    </row>
    <row r="1432" spans="1:11" s="317" customFormat="1">
      <c r="A1432" s="1467"/>
      <c r="B1432" s="518" t="s">
        <v>1295</v>
      </c>
      <c r="C1432" s="196">
        <v>272</v>
      </c>
      <c r="D1432" s="230">
        <f t="shared" si="204"/>
        <v>83.554192672998639</v>
      </c>
      <c r="E1432" s="215">
        <v>8</v>
      </c>
      <c r="F1432" s="511">
        <f t="shared" si="205"/>
        <v>91.56</v>
      </c>
      <c r="G1432" s="518" t="s">
        <v>2306</v>
      </c>
      <c r="H1432" s="518" t="s">
        <v>1296</v>
      </c>
      <c r="I1432" s="452" t="s">
        <v>11565</v>
      </c>
      <c r="J1432" s="369" t="s">
        <v>753</v>
      </c>
      <c r="K1432" s="452" t="s">
        <v>741</v>
      </c>
    </row>
    <row r="1433" spans="1:11" s="317" customFormat="1">
      <c r="A1433" s="1467"/>
      <c r="B1433" s="518" t="s">
        <v>1247</v>
      </c>
      <c r="C1433" s="196">
        <v>3174</v>
      </c>
      <c r="D1433" s="230">
        <f t="shared" si="204"/>
        <v>975.00370420624142</v>
      </c>
      <c r="E1433" s="215">
        <v>15</v>
      </c>
      <c r="F1433" s="511">
        <f t="shared" si="205"/>
        <v>990.01</v>
      </c>
      <c r="G1433" s="518" t="s">
        <v>2300</v>
      </c>
      <c r="H1433" s="518" t="s">
        <v>1242</v>
      </c>
      <c r="I1433" s="452" t="s">
        <v>11565</v>
      </c>
      <c r="J1433" s="369" t="s">
        <v>753</v>
      </c>
      <c r="K1433" s="452" t="s">
        <v>741</v>
      </c>
    </row>
    <row r="1434" spans="1:11" s="317" customFormat="1">
      <c r="A1434" s="369"/>
      <c r="B1434" s="314"/>
      <c r="C1434" s="196" t="s">
        <v>2024</v>
      </c>
      <c r="D1434" s="345"/>
      <c r="E1434" s="343"/>
      <c r="F1434" s="508"/>
      <c r="G1434" s="314"/>
      <c r="H1434" s="518"/>
      <c r="I1434" s="452"/>
      <c r="J1434" s="369"/>
      <c r="K1434" s="452"/>
    </row>
    <row r="1435" spans="1:11" s="317" customFormat="1">
      <c r="A1435" s="369"/>
      <c r="B1435" s="314"/>
      <c r="C1435" s="196" t="s">
        <v>2024</v>
      </c>
      <c r="D1435" s="230"/>
      <c r="E1435" s="215"/>
      <c r="F1435" s="511"/>
      <c r="G1435" s="314"/>
      <c r="H1435" s="518"/>
      <c r="I1435" s="452"/>
      <c r="J1435" s="369"/>
      <c r="K1435" s="452"/>
    </row>
    <row r="1436" spans="1:11" s="317" customFormat="1" ht="35.25" customHeight="1">
      <c r="A1436" s="369"/>
      <c r="B1436" s="1468" t="s">
        <v>6850</v>
      </c>
      <c r="C1436" s="196" t="s">
        <v>2024</v>
      </c>
      <c r="D1436" s="230"/>
      <c r="E1436" s="215"/>
      <c r="F1436" s="511"/>
      <c r="G1436" s="314"/>
      <c r="H1436" s="518"/>
      <c r="I1436" s="452"/>
      <c r="J1436" s="369"/>
      <c r="K1436" s="452"/>
    </row>
    <row r="1437" spans="1:11" s="317" customFormat="1">
      <c r="A1437" s="1467"/>
      <c r="B1437" s="351" t="s">
        <v>6851</v>
      </c>
      <c r="C1437" s="346">
        <v>11895</v>
      </c>
      <c r="D1437" s="230">
        <f t="shared" ref="D1437:D1444" si="208">C1437*(1-VLOOKUP(I1437,descuentos,6,FALSE))*fcl/IF(dol_sol="dólar", TC,1)</f>
        <v>3653.9600067842603</v>
      </c>
      <c r="E1437" s="215">
        <f>D1437/8</f>
        <v>456.74500084803253</v>
      </c>
      <c r="F1437" s="511">
        <f t="shared" ref="F1437:F1444" si="209">ROUNDUP(D1437+E1437,2)</f>
        <v>4110.71</v>
      </c>
      <c r="G1437" s="351" t="s">
        <v>6852</v>
      </c>
      <c r="H1437" s="518" t="s">
        <v>6843</v>
      </c>
      <c r="I1437" s="452" t="s">
        <v>11565</v>
      </c>
      <c r="J1437" s="369" t="s">
        <v>753</v>
      </c>
      <c r="K1437" s="452" t="s">
        <v>741</v>
      </c>
    </row>
    <row r="1438" spans="1:11" s="317" customFormat="1">
      <c r="A1438" s="1467"/>
      <c r="B1438" s="351" t="s">
        <v>9890</v>
      </c>
      <c r="C1438" s="346">
        <v>10566</v>
      </c>
      <c r="D1438" s="230">
        <f t="shared" ref="D1438" si="210">C1438*(1-VLOOKUP(I1438,descuentos,6,FALSE))*fcl/IF(dol_sol="dólar", TC,1)</f>
        <v>3245.7117639077337</v>
      </c>
      <c r="E1438" s="215">
        <f>D1438/8</f>
        <v>405.71397048846671</v>
      </c>
      <c r="F1438" s="511">
        <f t="shared" si="209"/>
        <v>3651.4300000000003</v>
      </c>
      <c r="G1438" s="351" t="s">
        <v>9504</v>
      </c>
      <c r="H1438" s="518" t="s">
        <v>9505</v>
      </c>
      <c r="I1438" s="452" t="s">
        <v>11565</v>
      </c>
      <c r="J1438" s="369" t="s">
        <v>753</v>
      </c>
      <c r="K1438" s="452" t="s">
        <v>741</v>
      </c>
    </row>
    <row r="1439" spans="1:11" s="317" customFormat="1">
      <c r="A1439" s="1467"/>
      <c r="B1439" s="1592" t="s">
        <v>9503</v>
      </c>
      <c r="C1439" s="346">
        <v>10566</v>
      </c>
      <c r="D1439" s="230">
        <f t="shared" ref="D1439" si="211">C1439*(1-VLOOKUP(I1439,descuentos,6,FALSE))*fcl/IF(dol_sol="dólar", TC,1)</f>
        <v>3245.7117639077337</v>
      </c>
      <c r="E1439" s="215">
        <f>D1439/8</f>
        <v>405.71397048846671</v>
      </c>
      <c r="F1439" s="511">
        <f t="shared" si="209"/>
        <v>3651.4300000000003</v>
      </c>
      <c r="G1439" s="351" t="s">
        <v>9504</v>
      </c>
      <c r="H1439" s="518" t="s">
        <v>9505</v>
      </c>
      <c r="I1439" s="452" t="s">
        <v>11565</v>
      </c>
      <c r="J1439" s="369" t="s">
        <v>753</v>
      </c>
      <c r="K1439" s="452" t="s">
        <v>741</v>
      </c>
    </row>
    <row r="1440" spans="1:11" s="317" customFormat="1">
      <c r="A1440" s="1467"/>
      <c r="B1440" s="351" t="s">
        <v>6844</v>
      </c>
      <c r="C1440" s="346">
        <v>5030</v>
      </c>
      <c r="D1440" s="230">
        <f t="shared" si="208"/>
        <v>1545.1381953867026</v>
      </c>
      <c r="E1440" s="215">
        <f>D1440/8</f>
        <v>193.14227442333782</v>
      </c>
      <c r="F1440" s="511">
        <f t="shared" si="209"/>
        <v>1738.29</v>
      </c>
      <c r="G1440" s="351" t="s">
        <v>6845</v>
      </c>
      <c r="H1440" s="518" t="s">
        <v>6846</v>
      </c>
      <c r="I1440" s="452" t="s">
        <v>11565</v>
      </c>
      <c r="J1440" s="369" t="s">
        <v>753</v>
      </c>
      <c r="K1440" s="452" t="s">
        <v>741</v>
      </c>
    </row>
    <row r="1441" spans="1:11" s="317" customFormat="1">
      <c r="A1441" s="1467"/>
      <c r="B1441" s="351" t="s">
        <v>6847</v>
      </c>
      <c r="C1441" s="346">
        <v>815</v>
      </c>
      <c r="D1441" s="230">
        <f t="shared" si="208"/>
        <v>250.35539348710989</v>
      </c>
      <c r="E1441" s="215">
        <f>D1441/8</f>
        <v>31.294424185888737</v>
      </c>
      <c r="F1441" s="511">
        <f t="shared" si="209"/>
        <v>281.64999999999998</v>
      </c>
      <c r="G1441" s="351" t="s">
        <v>6848</v>
      </c>
      <c r="H1441" s="518" t="s">
        <v>6849</v>
      </c>
      <c r="I1441" s="452" t="s">
        <v>11565</v>
      </c>
      <c r="J1441" s="369" t="s">
        <v>753</v>
      </c>
      <c r="K1441" s="452" t="s">
        <v>741</v>
      </c>
    </row>
    <row r="1442" spans="1:11" s="317" customFormat="1">
      <c r="A1442" s="1467"/>
      <c r="B1442" s="518" t="s">
        <v>1241</v>
      </c>
      <c r="C1442" s="196">
        <v>529</v>
      </c>
      <c r="D1442" s="230">
        <f t="shared" si="208"/>
        <v>162.50061736770689</v>
      </c>
      <c r="E1442" s="215">
        <v>15</v>
      </c>
      <c r="F1442" s="511">
        <f t="shared" si="209"/>
        <v>177.51</v>
      </c>
      <c r="G1442" s="518" t="s">
        <v>4960</v>
      </c>
      <c r="H1442" s="518" t="s">
        <v>1243</v>
      </c>
      <c r="I1442" s="452" t="s">
        <v>11565</v>
      </c>
      <c r="J1442" s="369" t="s">
        <v>753</v>
      </c>
      <c r="K1442" s="452" t="s">
        <v>741</v>
      </c>
    </row>
    <row r="1443" spans="1:11" s="317" customFormat="1">
      <c r="A1443" s="1467"/>
      <c r="B1443" s="518" t="s">
        <v>1295</v>
      </c>
      <c r="C1443" s="196">
        <v>272</v>
      </c>
      <c r="D1443" s="230">
        <f t="shared" si="208"/>
        <v>83.554192672998639</v>
      </c>
      <c r="E1443" s="215">
        <v>8</v>
      </c>
      <c r="F1443" s="511">
        <f t="shared" si="209"/>
        <v>91.56</v>
      </c>
      <c r="G1443" s="518" t="s">
        <v>2306</v>
      </c>
      <c r="H1443" s="518" t="s">
        <v>1296</v>
      </c>
      <c r="I1443" s="452" t="s">
        <v>11565</v>
      </c>
      <c r="J1443" s="369" t="s">
        <v>753</v>
      </c>
      <c r="K1443" s="452" t="s">
        <v>741</v>
      </c>
    </row>
    <row r="1444" spans="1:11" s="317" customFormat="1">
      <c r="A1444" s="1467"/>
      <c r="B1444" s="518" t="s">
        <v>1247</v>
      </c>
      <c r="C1444" s="196">
        <v>3174</v>
      </c>
      <c r="D1444" s="230">
        <f t="shared" si="208"/>
        <v>975.00370420624142</v>
      </c>
      <c r="E1444" s="215">
        <v>15</v>
      </c>
      <c r="F1444" s="511">
        <f t="shared" si="209"/>
        <v>990.01</v>
      </c>
      <c r="G1444" s="518" t="s">
        <v>2300</v>
      </c>
      <c r="H1444" s="518" t="s">
        <v>1242</v>
      </c>
      <c r="I1444" s="452" t="s">
        <v>11565</v>
      </c>
      <c r="J1444" s="369" t="s">
        <v>753</v>
      </c>
      <c r="K1444" s="452" t="s">
        <v>741</v>
      </c>
    </row>
    <row r="1445" spans="1:11" s="317" customFormat="1">
      <c r="A1445" s="369"/>
      <c r="B1445" s="314"/>
      <c r="C1445" s="196" t="s">
        <v>2024</v>
      </c>
      <c r="D1445" s="345"/>
      <c r="E1445" s="343"/>
      <c r="F1445" s="508"/>
      <c r="G1445" s="314"/>
      <c r="H1445" s="518"/>
      <c r="I1445" s="452"/>
      <c r="J1445" s="369"/>
      <c r="K1445" s="452"/>
    </row>
    <row r="1446" spans="1:11" s="317" customFormat="1">
      <c r="A1446" s="369"/>
      <c r="B1446" s="314"/>
      <c r="C1446" s="196" t="s">
        <v>2024</v>
      </c>
      <c r="D1446" s="230"/>
      <c r="E1446" s="215"/>
      <c r="F1446" s="511"/>
      <c r="G1446" s="314"/>
      <c r="H1446" s="518"/>
      <c r="I1446" s="452"/>
      <c r="J1446" s="369"/>
      <c r="K1446" s="452"/>
    </row>
    <row r="1447" spans="1:11" s="317" customFormat="1">
      <c r="A1447" s="369"/>
      <c r="B1447" s="314" t="s">
        <v>1509</v>
      </c>
      <c r="C1447" s="196">
        <v>17649</v>
      </c>
      <c r="D1447" s="230">
        <f>C1447*(1-VLOOKUP(I1447,descuentos,6,FALSE))*fcl/IF(dol_sol="dólar", TC,1)</f>
        <v>5421.4998032564445</v>
      </c>
      <c r="E1447" s="417">
        <v>450</v>
      </c>
      <c r="F1447" s="511">
        <f>ROUNDUP(D1447+E1447,2)</f>
        <v>5871.5</v>
      </c>
      <c r="G1447" s="314" t="s">
        <v>4564</v>
      </c>
      <c r="H1447" s="518" t="s">
        <v>1510</v>
      </c>
      <c r="I1447" s="452" t="s">
        <v>11565</v>
      </c>
      <c r="J1447" s="369" t="s">
        <v>753</v>
      </c>
      <c r="K1447" s="452" t="s">
        <v>741</v>
      </c>
    </row>
    <row r="1448" spans="1:11" s="317" customFormat="1">
      <c r="A1448" s="369"/>
      <c r="B1448" s="314" t="s">
        <v>1511</v>
      </c>
      <c r="C1448" s="196">
        <v>19936</v>
      </c>
      <c r="D1448" s="230">
        <f>C1448*(1-VLOOKUP(I1448,descuentos,6,FALSE))*fcl/IF(dol_sol="dólar", TC,1)</f>
        <v>6124.0308276797823</v>
      </c>
      <c r="E1448" s="417">
        <v>450</v>
      </c>
      <c r="F1448" s="511">
        <f>ROUNDUP(D1448+E1448,2)</f>
        <v>6574.04</v>
      </c>
      <c r="G1448" s="314" t="s">
        <v>4565</v>
      </c>
      <c r="H1448" s="518" t="s">
        <v>1512</v>
      </c>
      <c r="I1448" s="452" t="s">
        <v>11565</v>
      </c>
      <c r="J1448" s="369" t="s">
        <v>753</v>
      </c>
      <c r="K1448" s="452" t="s">
        <v>741</v>
      </c>
    </row>
    <row r="1449" spans="1:11" s="317" customFormat="1">
      <c r="A1449" s="369"/>
      <c r="B1449" s="314"/>
      <c r="C1449" s="196" t="s">
        <v>2024</v>
      </c>
      <c r="D1449" s="230"/>
      <c r="E1449" s="215"/>
      <c r="F1449" s="511"/>
      <c r="G1449" s="314"/>
      <c r="H1449" s="518"/>
      <c r="I1449" s="452"/>
      <c r="J1449" s="369"/>
      <c r="K1449" s="452"/>
    </row>
    <row r="1450" spans="1:11" s="317" customFormat="1">
      <c r="A1450" s="369"/>
      <c r="B1450" s="314"/>
      <c r="C1450" s="196" t="s">
        <v>2024</v>
      </c>
      <c r="D1450" s="230"/>
      <c r="E1450" s="215"/>
      <c r="F1450" s="511"/>
      <c r="G1450" s="314"/>
      <c r="H1450" s="518"/>
      <c r="I1450" s="452"/>
      <c r="J1450" s="369"/>
      <c r="K1450" s="452"/>
    </row>
    <row r="1451" spans="1:11" s="317" customFormat="1">
      <c r="A1451" s="369"/>
      <c r="B1451" s="314"/>
      <c r="C1451" s="196" t="s">
        <v>2024</v>
      </c>
      <c r="D1451" s="230"/>
      <c r="E1451" s="215"/>
      <c r="F1451" s="511"/>
      <c r="G1451" s="314"/>
      <c r="H1451" s="518"/>
      <c r="I1451" s="452"/>
      <c r="J1451" s="369"/>
      <c r="K1451" s="452"/>
    </row>
    <row r="1452" spans="1:11" s="317" customFormat="1">
      <c r="A1452" s="369"/>
      <c r="B1452" s="314"/>
      <c r="C1452" s="196" t="s">
        <v>2024</v>
      </c>
      <c r="D1452" s="230"/>
      <c r="E1452" s="215"/>
      <c r="F1452" s="511"/>
      <c r="G1452" s="314"/>
      <c r="H1452" s="518"/>
      <c r="I1452" s="452"/>
      <c r="J1452" s="369"/>
      <c r="K1452" s="452"/>
    </row>
    <row r="1453" spans="1:11" s="317" customFormat="1">
      <c r="A1453" s="369"/>
      <c r="B1453" s="680" t="s">
        <v>2569</v>
      </c>
      <c r="C1453" s="196" t="s">
        <v>2024</v>
      </c>
      <c r="D1453" s="230"/>
      <c r="E1453" s="215"/>
      <c r="F1453" s="511"/>
      <c r="G1453" s="314"/>
      <c r="H1453" s="518"/>
      <c r="I1453" s="452"/>
      <c r="J1453" s="369"/>
      <c r="K1453" s="452"/>
    </row>
    <row r="1454" spans="1:11" s="317" customFormat="1">
      <c r="A1454" s="369"/>
      <c r="B1454" s="314"/>
      <c r="C1454" s="196" t="s">
        <v>2024</v>
      </c>
      <c r="D1454" s="230"/>
      <c r="E1454" s="215"/>
      <c r="F1454" s="511"/>
      <c r="G1454" s="314"/>
      <c r="H1454" s="518"/>
      <c r="I1454" s="452"/>
      <c r="J1454" s="369"/>
      <c r="K1454" s="452"/>
    </row>
    <row r="1455" spans="1:11" s="317" customFormat="1">
      <c r="A1455" s="1613"/>
      <c r="B1455" s="351" t="s">
        <v>9668</v>
      </c>
      <c r="C1455" s="346">
        <v>3409</v>
      </c>
      <c r="D1455" s="345">
        <f>C1455*(1-VLOOKUP(I1455,descuentos,6,FALSE))*fcl/IF(dol_sol="dólar", TC,1)</f>
        <v>1047.1920691994571</v>
      </c>
      <c r="E1455" s="343">
        <f>D1455/8</f>
        <v>130.89900864993214</v>
      </c>
      <c r="F1455" s="508">
        <f>ROUNDUP(D1455+E1455,2)</f>
        <v>1178.0999999999999</v>
      </c>
      <c r="G1455" s="351" t="s">
        <v>9669</v>
      </c>
      <c r="H1455" s="506" t="s">
        <v>9670</v>
      </c>
      <c r="I1455" s="546" t="s">
        <v>11565</v>
      </c>
      <c r="J1455" s="372" t="s">
        <v>753</v>
      </c>
      <c r="K1455" s="452" t="s">
        <v>741</v>
      </c>
    </row>
    <row r="1456" spans="1:11" s="315" customFormat="1">
      <c r="A1456" s="369"/>
      <c r="B1456" s="314"/>
      <c r="C1456" s="196" t="s">
        <v>2024</v>
      </c>
      <c r="D1456" s="230"/>
      <c r="E1456" s="215"/>
      <c r="F1456" s="511"/>
      <c r="G1456" s="314"/>
      <c r="H1456" s="518"/>
      <c r="I1456" s="452"/>
      <c r="J1456" s="369"/>
      <c r="K1456" s="452"/>
    </row>
    <row r="1457" spans="1:11" s="317" customFormat="1">
      <c r="A1457" s="1613"/>
      <c r="B1457" s="351" t="s">
        <v>9671</v>
      </c>
      <c r="C1457" s="346">
        <v>3409</v>
      </c>
      <c r="D1457" s="345">
        <f>C1457*(1-VLOOKUP(I1457,descuentos,6,FALSE))*fcl/IF(dol_sol="dólar", TC,1)</f>
        <v>1047.1920691994571</v>
      </c>
      <c r="E1457" s="343">
        <f>D1457/8</f>
        <v>130.89900864993214</v>
      </c>
      <c r="F1457" s="508">
        <f>ROUNDUP(D1457+E1457,2)</f>
        <v>1178.0999999999999</v>
      </c>
      <c r="G1457" s="351" t="s">
        <v>9672</v>
      </c>
      <c r="H1457" s="506" t="s">
        <v>9670</v>
      </c>
      <c r="I1457" s="546" t="s">
        <v>11565</v>
      </c>
      <c r="J1457" s="372" t="s">
        <v>753</v>
      </c>
      <c r="K1457" s="452" t="s">
        <v>741</v>
      </c>
    </row>
    <row r="1458" spans="1:11" s="317" customFormat="1">
      <c r="A1458" s="369"/>
      <c r="B1458" s="314"/>
      <c r="C1458" s="196" t="s">
        <v>2024</v>
      </c>
      <c r="D1458" s="230"/>
      <c r="E1458" s="215"/>
      <c r="F1458" s="511"/>
      <c r="G1458" s="314"/>
      <c r="H1458" s="518"/>
      <c r="I1458" s="452"/>
      <c r="J1458" s="369"/>
      <c r="K1458" s="452"/>
    </row>
    <row r="1459" spans="1:11" s="317" customFormat="1">
      <c r="A1459" s="1614"/>
      <c r="B1459" s="351" t="s">
        <v>9673</v>
      </c>
      <c r="C1459" s="346">
        <v>2880</v>
      </c>
      <c r="D1459" s="345">
        <f>C1459*(1-VLOOKUP(I1459,descuentos,6,FALSE))*fcl/IF(dol_sol="dólar", TC,1)</f>
        <v>884.69145183175021</v>
      </c>
      <c r="E1459" s="343">
        <f>D1459/8</f>
        <v>110.58643147896878</v>
      </c>
      <c r="F1459" s="508">
        <f>ROUNDUP(D1459+E1459,2)</f>
        <v>995.28</v>
      </c>
      <c r="G1459" s="351" t="s">
        <v>9674</v>
      </c>
      <c r="H1459" s="506" t="s">
        <v>9675</v>
      </c>
      <c r="I1459" s="546" t="s">
        <v>11565</v>
      </c>
      <c r="J1459" s="372" t="s">
        <v>753</v>
      </c>
      <c r="K1459" s="452" t="s">
        <v>741</v>
      </c>
    </row>
    <row r="1460" spans="1:11" s="317" customFormat="1">
      <c r="A1460" s="1615"/>
      <c r="B1460" s="351" t="s">
        <v>9676</v>
      </c>
      <c r="C1460" s="346">
        <v>3572</v>
      </c>
      <c r="D1460" s="345">
        <f>C1460*(1-VLOOKUP(I1460,descuentos,6,FALSE))*fcl/IF(dol_sol="dólar", TC,1)</f>
        <v>1097.263147896879</v>
      </c>
      <c r="E1460" s="343">
        <f>D1460/8</f>
        <v>137.15789348710987</v>
      </c>
      <c r="F1460" s="508">
        <f>ROUNDUP(D1460+E1460,2)</f>
        <v>1234.43</v>
      </c>
      <c r="G1460" s="351" t="s">
        <v>9677</v>
      </c>
      <c r="H1460" s="506" t="s">
        <v>9678</v>
      </c>
      <c r="I1460" s="546" t="s">
        <v>11565</v>
      </c>
      <c r="J1460" s="372" t="s">
        <v>753</v>
      </c>
      <c r="K1460" s="452" t="s">
        <v>741</v>
      </c>
    </row>
    <row r="1461" spans="1:11" s="317" customFormat="1">
      <c r="A1461" s="369"/>
      <c r="B1461" s="314"/>
      <c r="C1461" s="196" t="s">
        <v>2024</v>
      </c>
      <c r="D1461" s="230"/>
      <c r="E1461" s="215"/>
      <c r="F1461" s="511"/>
      <c r="G1461" s="314"/>
      <c r="H1461" s="518"/>
      <c r="I1461" s="452"/>
      <c r="J1461" s="369"/>
      <c r="K1461" s="452"/>
    </row>
    <row r="1462" spans="1:11" s="317" customFormat="1">
      <c r="A1462" s="369"/>
      <c r="B1462" s="314" t="s">
        <v>911</v>
      </c>
      <c r="C1462" s="196">
        <v>2264</v>
      </c>
      <c r="D1462" s="230">
        <f>C1462*(1-VLOOKUP(I1462,descuentos,6,FALSE))*fcl/IF(dol_sol="dólar", TC,1)</f>
        <v>695.46578018995933</v>
      </c>
      <c r="E1462" s="215">
        <f>D1462/8</f>
        <v>86.933222523744917</v>
      </c>
      <c r="F1462" s="511">
        <f>ROUNDUP(D1462+E1462,2)</f>
        <v>782.4</v>
      </c>
      <c r="G1462" s="314" t="s">
        <v>4566</v>
      </c>
      <c r="H1462" s="518" t="s">
        <v>910</v>
      </c>
      <c r="I1462" s="452" t="s">
        <v>11565</v>
      </c>
      <c r="J1462" s="369" t="s">
        <v>753</v>
      </c>
      <c r="K1462" s="452" t="s">
        <v>741</v>
      </c>
    </row>
    <row r="1463" spans="1:11" s="317" customFormat="1">
      <c r="A1463" s="369"/>
      <c r="B1463" s="314" t="s">
        <v>908</v>
      </c>
      <c r="C1463" s="196">
        <v>2562</v>
      </c>
      <c r="D1463" s="230">
        <f>C1463*(1-VLOOKUP(I1463,descuentos,6,FALSE))*fcl/IF(dol_sol="dólar", TC,1)</f>
        <v>787.00677069199446</v>
      </c>
      <c r="E1463" s="215">
        <f>D1463/8</f>
        <v>98.375846336499308</v>
      </c>
      <c r="F1463" s="511">
        <f>ROUNDUP(D1463+E1463,2)</f>
        <v>885.39</v>
      </c>
      <c r="G1463" s="314" t="s">
        <v>4567</v>
      </c>
      <c r="H1463" s="518" t="s">
        <v>909</v>
      </c>
      <c r="I1463" s="452" t="s">
        <v>11565</v>
      </c>
      <c r="J1463" s="369" t="s">
        <v>753</v>
      </c>
      <c r="K1463" s="452" t="s">
        <v>741</v>
      </c>
    </row>
    <row r="1464" spans="1:11" s="317" customFormat="1">
      <c r="A1464" s="369"/>
      <c r="B1464" s="314" t="s">
        <v>4568</v>
      </c>
      <c r="C1464" s="196">
        <v>2676</v>
      </c>
      <c r="D1464" s="230">
        <f>C1464*(1-VLOOKUP(I1464,descuentos,6,FALSE))*fcl/IF(dol_sol="dólar", TC,1)</f>
        <v>822.0258073270013</v>
      </c>
      <c r="E1464" s="215">
        <f>D1464/8</f>
        <v>102.75322591587516</v>
      </c>
      <c r="F1464" s="511">
        <f>ROUNDUP(D1464+E1464,2)</f>
        <v>924.78</v>
      </c>
      <c r="G1464" s="314" t="s">
        <v>4569</v>
      </c>
      <c r="H1464" s="518" t="s">
        <v>4570</v>
      </c>
      <c r="I1464" s="452" t="s">
        <v>11565</v>
      </c>
      <c r="J1464" s="369" t="s">
        <v>753</v>
      </c>
      <c r="K1464" s="452" t="s">
        <v>741</v>
      </c>
    </row>
    <row r="1465" spans="1:11" s="317" customFormat="1">
      <c r="A1465" s="369"/>
      <c r="B1465" s="314"/>
      <c r="C1465" s="196" t="s">
        <v>2024</v>
      </c>
      <c r="D1465" s="230"/>
      <c r="E1465" s="215"/>
      <c r="F1465" s="511"/>
      <c r="G1465" s="314"/>
      <c r="H1465" s="518"/>
      <c r="I1465" s="452"/>
      <c r="J1465" s="369"/>
      <c r="K1465" s="452"/>
    </row>
    <row r="1466" spans="1:11" s="317" customFormat="1">
      <c r="A1466" s="1362"/>
      <c r="B1466" s="314" t="s">
        <v>6853</v>
      </c>
      <c r="C1466" s="196">
        <v>3348</v>
      </c>
      <c r="D1466" s="230">
        <f>C1466*(1-VLOOKUP(I1466,descuentos,6,FALSE))*fcl/IF(dol_sol="dólar", TC,1)</f>
        <v>1028.4538127544097</v>
      </c>
      <c r="E1466" s="215">
        <f>D1466/8</f>
        <v>128.55672659430121</v>
      </c>
      <c r="F1466" s="511">
        <f>ROUNDUP(D1466+E1466,2)</f>
        <v>1157.02</v>
      </c>
      <c r="G1466" s="314" t="s">
        <v>6854</v>
      </c>
      <c r="H1466" s="518" t="s">
        <v>6855</v>
      </c>
      <c r="I1466" s="452" t="s">
        <v>11565</v>
      </c>
      <c r="J1466" s="369" t="s">
        <v>753</v>
      </c>
      <c r="K1466" s="452" t="s">
        <v>741</v>
      </c>
    </row>
    <row r="1467" spans="1:11" s="317" customFormat="1">
      <c r="A1467" s="369"/>
      <c r="B1467" s="314"/>
      <c r="C1467" s="196" t="s">
        <v>2024</v>
      </c>
      <c r="D1467" s="230"/>
      <c r="E1467" s="215"/>
      <c r="F1467" s="511"/>
      <c r="G1467" s="314"/>
      <c r="H1467" s="518"/>
      <c r="I1467" s="452"/>
      <c r="J1467" s="369"/>
      <c r="K1467" s="452"/>
    </row>
    <row r="1468" spans="1:11" s="317" customFormat="1">
      <c r="A1468" s="369"/>
      <c r="B1468" s="351" t="s">
        <v>2888</v>
      </c>
      <c r="C1468" s="346">
        <v>2813</v>
      </c>
      <c r="D1468" s="345">
        <f>C1468*(1-VLOOKUP(I1468,descuentos,6,FALSE))*fcl/IF(dol_sol="dólar", TC,1)</f>
        <v>864.11008819538665</v>
      </c>
      <c r="E1468" s="343">
        <f>D1468/8</f>
        <v>108.01376102442333</v>
      </c>
      <c r="F1468" s="508">
        <f>ROUNDUP(D1468+E1468,2)</f>
        <v>972.13</v>
      </c>
      <c r="G1468" s="351" t="s">
        <v>4571</v>
      </c>
      <c r="H1468" s="506" t="s">
        <v>2890</v>
      </c>
      <c r="I1468" s="546" t="s">
        <v>11565</v>
      </c>
      <c r="J1468" s="372" t="s">
        <v>753</v>
      </c>
      <c r="K1468" s="452" t="s">
        <v>741</v>
      </c>
    </row>
    <row r="1469" spans="1:11" s="317" customFormat="1">
      <c r="A1469" s="1469"/>
      <c r="B1469" s="351" t="s">
        <v>6856</v>
      </c>
      <c r="C1469" s="346">
        <v>2921</v>
      </c>
      <c r="D1469" s="345">
        <f>C1469*(1-VLOOKUP(I1469,descuentos,6,FALSE))*fcl/IF(dol_sol="dólar", TC,1)</f>
        <v>897.28601763907727</v>
      </c>
      <c r="E1469" s="343">
        <f>D1469/8</f>
        <v>112.16075220488466</v>
      </c>
      <c r="F1469" s="508">
        <f>ROUNDUP(D1469+E1469,2)</f>
        <v>1009.45</v>
      </c>
      <c r="G1469" s="351" t="s">
        <v>6857</v>
      </c>
      <c r="H1469" s="506" t="s">
        <v>6858</v>
      </c>
      <c r="I1469" s="546" t="s">
        <v>11565</v>
      </c>
      <c r="J1469" s="372" t="s">
        <v>753</v>
      </c>
      <c r="K1469" s="452" t="s">
        <v>741</v>
      </c>
    </row>
    <row r="1470" spans="1:11" s="317" customFormat="1">
      <c r="A1470" s="369"/>
      <c r="B1470" s="351" t="s">
        <v>2889</v>
      </c>
      <c r="C1470" s="346">
        <v>3193</v>
      </c>
      <c r="D1470" s="345">
        <f>C1470*(1-VLOOKUP(I1470,descuentos,6,FALSE))*fcl/IF(dol_sol="dólar", TC,1)</f>
        <v>980.8402103120759</v>
      </c>
      <c r="E1470" s="343">
        <f>D1470/8</f>
        <v>122.60502628900949</v>
      </c>
      <c r="F1470" s="508">
        <f>ROUNDUP(D1470+E1470,2)</f>
        <v>1103.45</v>
      </c>
      <c r="G1470" s="351" t="s">
        <v>4572</v>
      </c>
      <c r="H1470" s="506" t="s">
        <v>2891</v>
      </c>
      <c r="I1470" s="546" t="s">
        <v>11565</v>
      </c>
      <c r="J1470" s="372" t="s">
        <v>753</v>
      </c>
      <c r="K1470" s="452" t="s">
        <v>741</v>
      </c>
    </row>
    <row r="1471" spans="1:11" s="317" customFormat="1">
      <c r="A1471" s="369"/>
      <c r="B1471" s="351" t="s">
        <v>6853</v>
      </c>
      <c r="C1471" s="346">
        <v>3348</v>
      </c>
      <c r="D1471" s="345">
        <f>C1471*(1-VLOOKUP(I1471,descuentos,6,FALSE))*fcl/IF(dol_sol="dólar", TC,1)</f>
        <v>1028.4538127544097</v>
      </c>
      <c r="E1471" s="343">
        <f>D1471/8</f>
        <v>128.55672659430121</v>
      </c>
      <c r="F1471" s="508">
        <f>ROUNDUP(D1471+E1471,2)</f>
        <v>1157.02</v>
      </c>
      <c r="G1471" s="351" t="s">
        <v>6854</v>
      </c>
      <c r="H1471" s="506" t="s">
        <v>6855</v>
      </c>
      <c r="I1471" s="546" t="s">
        <v>11565</v>
      </c>
      <c r="J1471" s="372" t="s">
        <v>753</v>
      </c>
      <c r="K1471" s="452" t="s">
        <v>741</v>
      </c>
    </row>
    <row r="1472" spans="1:11" s="317" customFormat="1">
      <c r="A1472" s="369"/>
      <c r="B1472" s="314"/>
      <c r="C1472" s="196" t="s">
        <v>2024</v>
      </c>
      <c r="D1472" s="230"/>
      <c r="E1472" s="215"/>
      <c r="F1472" s="511"/>
      <c r="G1472" s="314"/>
      <c r="H1472" s="518"/>
      <c r="I1472" s="452"/>
      <c r="J1472" s="369"/>
      <c r="K1472" s="452"/>
    </row>
    <row r="1473" spans="1:11" s="317" customFormat="1">
      <c r="A1473" s="1614"/>
      <c r="B1473" s="314" t="s">
        <v>12213</v>
      </c>
      <c r="C1473" s="196">
        <v>2886</v>
      </c>
      <c r="D1473" s="230">
        <f>C1473*(1-VLOOKUP(I1473,descuentos,6,FALSE))*fcl/IF(dol_sol="dólar", TC,1)</f>
        <v>886.53455902306644</v>
      </c>
      <c r="E1473" s="215">
        <f>D1473/8</f>
        <v>110.8168198778833</v>
      </c>
      <c r="F1473" s="511">
        <f>ROUNDUP(D1473+E1473,2)</f>
        <v>997.36</v>
      </c>
      <c r="G1473" s="314" t="s">
        <v>12214</v>
      </c>
      <c r="H1473" s="518" t="s">
        <v>12215</v>
      </c>
      <c r="I1473" s="452" t="s">
        <v>11565</v>
      </c>
      <c r="J1473" s="369" t="s">
        <v>753</v>
      </c>
      <c r="K1473" s="452" t="s">
        <v>741</v>
      </c>
    </row>
    <row r="1474" spans="1:11" s="317" customFormat="1">
      <c r="A1474" s="369"/>
      <c r="B1474" s="351" t="s">
        <v>6859</v>
      </c>
      <c r="C1474" s="346">
        <v>3619</v>
      </c>
      <c r="D1474" s="345">
        <f>C1474*(1-VLOOKUP(I1474,descuentos,6,FALSE))*fcl/IF(dol_sol="dólar", TC,1)</f>
        <v>1111.7008208955224</v>
      </c>
      <c r="E1474" s="343">
        <f>D1474/8</f>
        <v>138.9626026119403</v>
      </c>
      <c r="F1474" s="508">
        <f>ROUNDUP(D1474+E1474,2)</f>
        <v>1250.67</v>
      </c>
      <c r="G1474" s="351" t="s">
        <v>6860</v>
      </c>
      <c r="H1474" s="506" t="s">
        <v>6861</v>
      </c>
      <c r="I1474" s="546" t="s">
        <v>11565</v>
      </c>
      <c r="J1474" s="372" t="s">
        <v>753</v>
      </c>
      <c r="K1474" s="452" t="s">
        <v>741</v>
      </c>
    </row>
    <row r="1475" spans="1:11" s="317" customFormat="1">
      <c r="A1475" s="369"/>
      <c r="B1475" s="314"/>
      <c r="C1475" s="196" t="s">
        <v>2024</v>
      </c>
      <c r="D1475" s="230"/>
      <c r="E1475" s="215"/>
      <c r="F1475" s="511"/>
      <c r="G1475" s="314"/>
      <c r="H1475" s="518"/>
      <c r="I1475" s="452"/>
      <c r="J1475" s="369"/>
      <c r="K1475" s="452"/>
    </row>
    <row r="1476" spans="1:11" s="317" customFormat="1">
      <c r="A1476" s="369"/>
      <c r="B1476" s="314"/>
      <c r="C1476" s="196" t="s">
        <v>2024</v>
      </c>
      <c r="D1476" s="230"/>
      <c r="E1476" s="215"/>
      <c r="F1476" s="511"/>
      <c r="G1476" s="314"/>
      <c r="H1476" s="518"/>
      <c r="I1476" s="452"/>
      <c r="J1476" s="369"/>
      <c r="K1476" s="452"/>
    </row>
    <row r="1477" spans="1:11" s="317" customFormat="1">
      <c r="A1477" s="369"/>
      <c r="B1477" s="314" t="s">
        <v>913</v>
      </c>
      <c r="C1477" s="196">
        <v>2514</v>
      </c>
      <c r="D1477" s="230">
        <f>C1477*(1-VLOOKUP(I1477,descuentos,6,FALSE))*fcl/IF(dol_sol="dólar", TC,1)</f>
        <v>772.26191316146537</v>
      </c>
      <c r="E1477" s="215">
        <f>D1477/8</f>
        <v>96.532739145183172</v>
      </c>
      <c r="F1477" s="511">
        <f>ROUNDUP(D1477+E1477,2)</f>
        <v>868.8</v>
      </c>
      <c r="G1477" s="314" t="s">
        <v>4573</v>
      </c>
      <c r="H1477" s="518" t="s">
        <v>9126</v>
      </c>
      <c r="I1477" s="452" t="s">
        <v>11565</v>
      </c>
      <c r="J1477" s="369" t="s">
        <v>753</v>
      </c>
      <c r="K1477" s="452" t="s">
        <v>741</v>
      </c>
    </row>
    <row r="1478" spans="1:11" s="317" customFormat="1">
      <c r="A1478" s="369"/>
      <c r="B1478" s="314" t="s">
        <v>912</v>
      </c>
      <c r="C1478" s="196">
        <v>2514</v>
      </c>
      <c r="D1478" s="230">
        <f>C1478*(1-VLOOKUP(I1478,descuentos,6,FALSE))*fcl/IF(dol_sol="dólar", TC,1)</f>
        <v>772.26191316146537</v>
      </c>
      <c r="E1478" s="215">
        <f>D1478/8</f>
        <v>96.532739145183172</v>
      </c>
      <c r="F1478" s="511">
        <f>ROUNDUP(D1478+E1478,2)</f>
        <v>868.8</v>
      </c>
      <c r="G1478" s="314" t="s">
        <v>4574</v>
      </c>
      <c r="H1478" s="518" t="s">
        <v>914</v>
      </c>
      <c r="I1478" s="452" t="s">
        <v>11565</v>
      </c>
      <c r="J1478" s="369" t="s">
        <v>753</v>
      </c>
      <c r="K1478" s="452" t="s">
        <v>741</v>
      </c>
    </row>
    <row r="1479" spans="1:11" s="317" customFormat="1">
      <c r="A1479" s="369"/>
      <c r="B1479" s="314" t="s">
        <v>6870</v>
      </c>
      <c r="C1479" s="196">
        <v>2623</v>
      </c>
      <c r="D1479" s="230">
        <f>C1479*(1-VLOOKUP(I1479,descuentos,6,FALSE))*fcl/IF(dol_sol="dólar", TC,1)</f>
        <v>805.74502713704203</v>
      </c>
      <c r="E1479" s="215">
        <f>D1479/8</f>
        <v>100.71812839213025</v>
      </c>
      <c r="F1479" s="511">
        <f>ROUNDUP(D1479+E1479,2)</f>
        <v>906.47</v>
      </c>
      <c r="G1479" s="314" t="s">
        <v>13516</v>
      </c>
      <c r="H1479" s="518" t="s">
        <v>6872</v>
      </c>
      <c r="I1479" s="452" t="s">
        <v>11565</v>
      </c>
      <c r="J1479" s="369" t="s">
        <v>753</v>
      </c>
      <c r="K1479" s="452" t="s">
        <v>741</v>
      </c>
    </row>
    <row r="1480" spans="1:11" s="317" customFormat="1">
      <c r="A1480" s="369"/>
      <c r="B1480" s="314" t="s">
        <v>811</v>
      </c>
      <c r="C1480" s="196">
        <v>3040</v>
      </c>
      <c r="D1480" s="230">
        <f>C1480*(1-VLOOKUP(I1480,descuentos,6,FALSE))*fcl/IF(dol_sol="dólar", TC,1)</f>
        <v>933.84097693351407</v>
      </c>
      <c r="E1480" s="215">
        <f>D1480/8</f>
        <v>116.73012211668926</v>
      </c>
      <c r="F1480" s="511">
        <f t="shared" ref="F1480:F1623" si="212">ROUNDUP(D1480+E1480,2)</f>
        <v>1050.58</v>
      </c>
      <c r="G1480" s="314" t="s">
        <v>4575</v>
      </c>
      <c r="H1480" s="518" t="s">
        <v>812</v>
      </c>
      <c r="I1480" s="452" t="s">
        <v>11565</v>
      </c>
      <c r="J1480" s="369" t="s">
        <v>753</v>
      </c>
      <c r="K1480" s="452" t="s">
        <v>741</v>
      </c>
    </row>
    <row r="1481" spans="1:11" s="317" customFormat="1">
      <c r="A1481" s="369"/>
      <c r="B1481" s="314"/>
      <c r="C1481" s="196" t="s">
        <v>2024</v>
      </c>
      <c r="D1481" s="230"/>
      <c r="E1481" s="215"/>
      <c r="F1481" s="511">
        <f t="shared" si="212"/>
        <v>0</v>
      </c>
      <c r="G1481" s="314"/>
      <c r="H1481" s="518"/>
      <c r="I1481" s="452"/>
      <c r="J1481" s="369"/>
      <c r="K1481" s="452"/>
    </row>
    <row r="1482" spans="1:11" s="317" customFormat="1">
      <c r="A1482" s="369"/>
      <c r="B1482" s="314" t="s">
        <v>6862</v>
      </c>
      <c r="C1482" s="196">
        <v>2699</v>
      </c>
      <c r="D1482" s="230">
        <f>C1482*(1-VLOOKUP(I1482,descuentos,6,FALSE))*fcl/IF(dol_sol="dólar", TC,1)</f>
        <v>829.09105156037981</v>
      </c>
      <c r="E1482" s="215">
        <f>D1482/8</f>
        <v>103.63638144504748</v>
      </c>
      <c r="F1482" s="511">
        <f>ROUNDUP(D1482+E1482,2)</f>
        <v>932.73</v>
      </c>
      <c r="G1482" s="314" t="s">
        <v>6863</v>
      </c>
      <c r="H1482" s="518" t="s">
        <v>6864</v>
      </c>
      <c r="I1482" s="452" t="s">
        <v>11565</v>
      </c>
      <c r="J1482" s="369" t="s">
        <v>753</v>
      </c>
      <c r="K1482" s="452" t="s">
        <v>741</v>
      </c>
    </row>
    <row r="1483" spans="1:11" s="317" customFormat="1">
      <c r="A1483" s="369"/>
      <c r="B1483" s="314" t="s">
        <v>817</v>
      </c>
      <c r="C1483" s="196">
        <v>2699</v>
      </c>
      <c r="D1483" s="230">
        <f>C1483*(1-VLOOKUP(I1483,descuentos,6,FALSE))*fcl/IF(dol_sol="dólar", TC,1)</f>
        <v>829.09105156037981</v>
      </c>
      <c r="E1483" s="215">
        <f>D1483/8</f>
        <v>103.63638144504748</v>
      </c>
      <c r="F1483" s="511">
        <f t="shared" si="212"/>
        <v>932.73</v>
      </c>
      <c r="G1483" s="314" t="s">
        <v>4578</v>
      </c>
      <c r="H1483" s="518" t="s">
        <v>818</v>
      </c>
      <c r="I1483" s="452" t="s">
        <v>11565</v>
      </c>
      <c r="J1483" s="369" t="s">
        <v>753</v>
      </c>
      <c r="K1483" s="452" t="s">
        <v>741</v>
      </c>
    </row>
    <row r="1484" spans="1:11" s="317" customFormat="1">
      <c r="A1484" s="369"/>
      <c r="B1484" s="314" t="s">
        <v>816</v>
      </c>
      <c r="C1484" s="196">
        <v>3465</v>
      </c>
      <c r="D1484" s="230">
        <f>C1484*(1-VLOOKUP(I1484,descuentos,6,FALSE))*fcl/IF(dol_sol="dólar", TC,1)</f>
        <v>1064.3944029850745</v>
      </c>
      <c r="E1484" s="215">
        <f>D1484/8</f>
        <v>133.04930037313432</v>
      </c>
      <c r="F1484" s="511">
        <f t="shared" si="212"/>
        <v>1197.45</v>
      </c>
      <c r="G1484" s="314" t="s">
        <v>4579</v>
      </c>
      <c r="H1484" s="518" t="s">
        <v>815</v>
      </c>
      <c r="I1484" s="452" t="s">
        <v>11565</v>
      </c>
      <c r="J1484" s="369" t="s">
        <v>753</v>
      </c>
      <c r="K1484" s="452" t="s">
        <v>741</v>
      </c>
    </row>
    <row r="1485" spans="1:11" s="317" customFormat="1">
      <c r="A1485" s="369"/>
      <c r="B1485" s="314"/>
      <c r="C1485" s="196" t="s">
        <v>2024</v>
      </c>
      <c r="D1485" s="230"/>
      <c r="E1485" s="215"/>
      <c r="F1485" s="511">
        <f t="shared" si="212"/>
        <v>0</v>
      </c>
      <c r="G1485" s="314"/>
      <c r="H1485" s="518"/>
      <c r="I1485" s="452"/>
      <c r="J1485" s="369"/>
      <c r="K1485" s="452"/>
    </row>
    <row r="1486" spans="1:11" s="317" customFormat="1">
      <c r="A1486" s="1383"/>
      <c r="B1486" s="314" t="s">
        <v>13394</v>
      </c>
      <c r="C1486" s="196">
        <v>2955</v>
      </c>
      <c r="D1486" s="230">
        <f>C1486*(1-VLOOKUP(I1486,descuentos,6,FALSE))*fcl/IF(dol_sol="dólar", TC,1)</f>
        <v>907.73029172320219</v>
      </c>
      <c r="E1486" s="215">
        <f>D1486/8</f>
        <v>113.46628646540027</v>
      </c>
      <c r="F1486" s="511">
        <f>ROUNDUP(D1486+E1486,2)</f>
        <v>1021.2</v>
      </c>
      <c r="G1486" s="314" t="s">
        <v>13395</v>
      </c>
      <c r="H1486" s="518" t="s">
        <v>5415</v>
      </c>
      <c r="I1486" s="452" t="s">
        <v>11565</v>
      </c>
      <c r="J1486" s="369" t="s">
        <v>753</v>
      </c>
      <c r="K1486" s="452" t="s">
        <v>741</v>
      </c>
    </row>
    <row r="1487" spans="1:11" s="317" customFormat="1">
      <c r="A1487" s="369"/>
      <c r="B1487" s="314" t="s">
        <v>1350</v>
      </c>
      <c r="C1487" s="196">
        <v>2955</v>
      </c>
      <c r="D1487" s="230">
        <f>C1487*(1-VLOOKUP(I1487,descuentos,6,FALSE))*fcl/IF(dol_sol="dólar", TC,1)</f>
        <v>907.73029172320219</v>
      </c>
      <c r="E1487" s="215">
        <f>D1487/8</f>
        <v>113.46628646540027</v>
      </c>
      <c r="F1487" s="511">
        <f>ROUNDUP(D1487+E1487,2)</f>
        <v>1021.2</v>
      </c>
      <c r="G1487" s="314" t="s">
        <v>4580</v>
      </c>
      <c r="H1487" s="518" t="s">
        <v>1364</v>
      </c>
      <c r="I1487" s="452" t="s">
        <v>11565</v>
      </c>
      <c r="J1487" s="369" t="s">
        <v>753</v>
      </c>
      <c r="K1487" s="452" t="s">
        <v>741</v>
      </c>
    </row>
    <row r="1488" spans="1:11" s="317" customFormat="1">
      <c r="A1488" s="1383"/>
      <c r="B1488" s="314" t="s">
        <v>6865</v>
      </c>
      <c r="C1488" s="196">
        <v>3066</v>
      </c>
      <c r="D1488" s="230">
        <f>C1488*(1-VLOOKUP(I1488,descuentos,6,FALSE))*fcl/IF(dol_sol="dólar", TC,1)</f>
        <v>941.8277747625508</v>
      </c>
      <c r="E1488" s="215">
        <f>D1488/8</f>
        <v>117.72847184531885</v>
      </c>
      <c r="F1488" s="511">
        <f t="shared" si="212"/>
        <v>1059.56</v>
      </c>
      <c r="G1488" s="314" t="s">
        <v>6866</v>
      </c>
      <c r="H1488" s="518" t="s">
        <v>6867</v>
      </c>
      <c r="I1488" s="452" t="s">
        <v>11565</v>
      </c>
      <c r="J1488" s="369" t="s">
        <v>753</v>
      </c>
      <c r="K1488" s="452" t="s">
        <v>741</v>
      </c>
    </row>
    <row r="1489" spans="1:11" s="317" customFormat="1">
      <c r="A1489" s="369"/>
      <c r="B1489" s="314" t="s">
        <v>1363</v>
      </c>
      <c r="C1489" s="196">
        <v>3648</v>
      </c>
      <c r="D1489" s="230">
        <f>C1489*(1-VLOOKUP(I1489,descuentos,6,FALSE))*fcl/IF(dol_sol="dólar", TC,1)</f>
        <v>1120.6091723202171</v>
      </c>
      <c r="E1489" s="215">
        <f>D1489/8</f>
        <v>140.07614654002714</v>
      </c>
      <c r="F1489" s="511">
        <f t="shared" si="212"/>
        <v>1260.69</v>
      </c>
      <c r="G1489" s="314" t="s">
        <v>4581</v>
      </c>
      <c r="H1489" s="518" t="s">
        <v>1365</v>
      </c>
      <c r="I1489" s="452" t="s">
        <v>11565</v>
      </c>
      <c r="J1489" s="369" t="s">
        <v>753</v>
      </c>
      <c r="K1489" s="452" t="s">
        <v>741</v>
      </c>
    </row>
    <row r="1490" spans="1:11" s="317" customFormat="1">
      <c r="A1490" s="369"/>
      <c r="B1490" s="314"/>
      <c r="C1490" s="196" t="s">
        <v>2024</v>
      </c>
      <c r="D1490" s="230"/>
      <c r="E1490" s="215"/>
      <c r="F1490" s="511"/>
      <c r="G1490" s="314"/>
      <c r="H1490" s="518"/>
      <c r="I1490" s="452"/>
      <c r="J1490" s="369"/>
      <c r="K1490" s="452"/>
    </row>
    <row r="1491" spans="1:11" s="317" customFormat="1">
      <c r="A1491" s="1469"/>
      <c r="B1491" s="351" t="s">
        <v>6868</v>
      </c>
      <c r="C1491" s="346">
        <v>3830</v>
      </c>
      <c r="D1491" s="345">
        <f>C1491*(1-VLOOKUP(I1491,descuentos,6,FALSE))*fcl/IF(dol_sol="dólar", TC,1)</f>
        <v>1176.5167571234733</v>
      </c>
      <c r="E1491" s="343">
        <f>D1491/8</f>
        <v>147.06459464043417</v>
      </c>
      <c r="F1491" s="508">
        <f t="shared" si="212"/>
        <v>1323.59</v>
      </c>
      <c r="G1491" s="351" t="s">
        <v>9815</v>
      </c>
      <c r="H1491" s="518" t="s">
        <v>6869</v>
      </c>
      <c r="I1491" s="452" t="s">
        <v>11565</v>
      </c>
      <c r="J1491" s="369" t="s">
        <v>753</v>
      </c>
      <c r="K1491" s="452" t="s">
        <v>741</v>
      </c>
    </row>
    <row r="1492" spans="1:11" s="317" customFormat="1">
      <c r="A1492" s="369"/>
      <c r="B1492" s="144"/>
      <c r="C1492" s="196" t="s">
        <v>2024</v>
      </c>
      <c r="D1492" s="230"/>
      <c r="E1492" s="215"/>
      <c r="F1492" s="511">
        <f t="shared" si="212"/>
        <v>0</v>
      </c>
      <c r="G1492" s="314"/>
      <c r="H1492" s="518"/>
      <c r="I1492" s="452"/>
      <c r="J1492" s="369"/>
      <c r="K1492" s="452"/>
    </row>
    <row r="1493" spans="1:11" s="317" customFormat="1">
      <c r="A1493" s="1469"/>
      <c r="B1493" s="351" t="s">
        <v>6870</v>
      </c>
      <c r="C1493" s="346">
        <v>2623</v>
      </c>
      <c r="D1493" s="345">
        <f>C1493*(1-VLOOKUP(I1493,descuentos,6,FALSE))*fcl/IF(dol_sol="dólar", TC,1)</f>
        <v>805.74502713704203</v>
      </c>
      <c r="E1493" s="343">
        <f>D1493/8</f>
        <v>100.71812839213025</v>
      </c>
      <c r="F1493" s="508">
        <f>ROUNDUP(D1493+E1493,2)</f>
        <v>906.47</v>
      </c>
      <c r="G1493" s="351" t="s">
        <v>6871</v>
      </c>
      <c r="H1493" s="518" t="s">
        <v>6872</v>
      </c>
      <c r="I1493" s="452" t="s">
        <v>11565</v>
      </c>
      <c r="J1493" s="369" t="s">
        <v>753</v>
      </c>
      <c r="K1493" s="452" t="s">
        <v>741</v>
      </c>
    </row>
    <row r="1494" spans="1:11" s="317" customFormat="1">
      <c r="A1494" s="369"/>
      <c r="B1494" s="144"/>
      <c r="C1494" s="196" t="s">
        <v>2024</v>
      </c>
      <c r="D1494" s="230"/>
      <c r="E1494" s="215"/>
      <c r="F1494" s="511">
        <f>ROUNDUP(D1494+E1494,2)</f>
        <v>0</v>
      </c>
      <c r="G1494" s="314"/>
      <c r="H1494" s="518"/>
      <c r="I1494" s="452"/>
      <c r="J1494" s="369"/>
      <c r="K1494" s="452"/>
    </row>
    <row r="1495" spans="1:11" s="317" customFormat="1">
      <c r="A1495" s="369"/>
      <c r="B1495" s="144" t="s">
        <v>6873</v>
      </c>
      <c r="C1495" s="196">
        <v>3162</v>
      </c>
      <c r="D1495" s="230">
        <v>1037.9353880877736</v>
      </c>
      <c r="E1495" s="343">
        <f>D1495/8</f>
        <v>129.7419235109717</v>
      </c>
      <c r="F1495" s="508">
        <f>ROUNDUP(D1495+E1495,2)</f>
        <v>1167.68</v>
      </c>
      <c r="G1495" s="314" t="s">
        <v>6874</v>
      </c>
      <c r="H1495" s="518" t="s">
        <v>6875</v>
      </c>
      <c r="I1495" s="452" t="s">
        <v>11565</v>
      </c>
      <c r="J1495" s="369" t="s">
        <v>753</v>
      </c>
      <c r="K1495" s="452" t="s">
        <v>741</v>
      </c>
    </row>
    <row r="1496" spans="1:11" s="317" customFormat="1">
      <c r="A1496" s="369"/>
      <c r="B1496" s="144"/>
      <c r="C1496" s="196" t="s">
        <v>2024</v>
      </c>
      <c r="D1496" s="230"/>
      <c r="E1496" s="215"/>
      <c r="F1496" s="511">
        <f t="shared" si="212"/>
        <v>0</v>
      </c>
      <c r="G1496" s="314"/>
      <c r="H1496" s="518"/>
      <c r="I1496" s="452"/>
      <c r="J1496" s="369"/>
      <c r="K1496" s="452"/>
    </row>
    <row r="1497" spans="1:11" s="317" customFormat="1">
      <c r="A1497" s="369"/>
      <c r="B1497" s="351" t="s">
        <v>3716</v>
      </c>
      <c r="C1497" s="346">
        <v>3136</v>
      </c>
      <c r="D1497" s="345">
        <f t="shared" ref="D1497:D1502" si="213">C1497*(1-VLOOKUP(I1497,descuentos,6,FALSE))*fcl/IF(dol_sol="dólar", TC,1)</f>
        <v>963.33069199457259</v>
      </c>
      <c r="E1497" s="343">
        <f t="shared" ref="E1497:E1502" si="214">D1497/8</f>
        <v>120.41633649932157</v>
      </c>
      <c r="F1497" s="508">
        <f>ROUNDUP(D1497+E1497,2)</f>
        <v>1083.75</v>
      </c>
      <c r="G1497" s="351" t="s">
        <v>4582</v>
      </c>
      <c r="H1497" s="518" t="s">
        <v>2905</v>
      </c>
      <c r="I1497" s="452" t="s">
        <v>11565</v>
      </c>
      <c r="J1497" s="369" t="s">
        <v>753</v>
      </c>
      <c r="K1497" s="452" t="s">
        <v>741</v>
      </c>
    </row>
    <row r="1498" spans="1:11" s="317" customFormat="1">
      <c r="A1498" s="1469"/>
      <c r="B1498" s="351" t="s">
        <v>6876</v>
      </c>
      <c r="C1498" s="346">
        <v>3246</v>
      </c>
      <c r="D1498" s="345">
        <f t="shared" si="213"/>
        <v>997.12099050203528</v>
      </c>
      <c r="E1498" s="343">
        <f t="shared" si="214"/>
        <v>124.64012381275441</v>
      </c>
      <c r="F1498" s="508">
        <f t="shared" si="212"/>
        <v>1121.77</v>
      </c>
      <c r="G1498" s="351" t="s">
        <v>6877</v>
      </c>
      <c r="H1498" s="518" t="s">
        <v>6878</v>
      </c>
      <c r="I1498" s="452" t="s">
        <v>11565</v>
      </c>
      <c r="J1498" s="369" t="s">
        <v>753</v>
      </c>
      <c r="K1498" s="452" t="s">
        <v>741</v>
      </c>
    </row>
    <row r="1499" spans="1:11" s="317" customFormat="1">
      <c r="A1499" s="369"/>
      <c r="B1499" s="351" t="s">
        <v>2906</v>
      </c>
      <c r="C1499" s="346">
        <v>3136</v>
      </c>
      <c r="D1499" s="345">
        <f t="shared" si="213"/>
        <v>963.33069199457259</v>
      </c>
      <c r="E1499" s="343">
        <f t="shared" si="214"/>
        <v>120.41633649932157</v>
      </c>
      <c r="F1499" s="508">
        <f>ROUNDUP(D1499+E1499,2)</f>
        <v>1083.75</v>
      </c>
      <c r="G1499" s="351" t="s">
        <v>4583</v>
      </c>
      <c r="H1499" s="518" t="s">
        <v>3715</v>
      </c>
      <c r="I1499" s="452" t="s">
        <v>11565</v>
      </c>
      <c r="J1499" s="369" t="s">
        <v>753</v>
      </c>
      <c r="K1499" s="452" t="s">
        <v>741</v>
      </c>
    </row>
    <row r="1500" spans="1:11" s="317" customFormat="1">
      <c r="A1500" s="1469"/>
      <c r="B1500" s="351" t="s">
        <v>6879</v>
      </c>
      <c r="C1500" s="346">
        <v>3246</v>
      </c>
      <c r="D1500" s="345">
        <f t="shared" si="213"/>
        <v>997.12099050203528</v>
      </c>
      <c r="E1500" s="343">
        <f t="shared" si="214"/>
        <v>124.64012381275441</v>
      </c>
      <c r="F1500" s="508">
        <f t="shared" si="212"/>
        <v>1121.77</v>
      </c>
      <c r="G1500" s="351" t="s">
        <v>6880</v>
      </c>
      <c r="H1500" s="518" t="s">
        <v>6881</v>
      </c>
      <c r="I1500" s="452" t="s">
        <v>11565</v>
      </c>
      <c r="J1500" s="369" t="s">
        <v>753</v>
      </c>
      <c r="K1500" s="452" t="s">
        <v>741</v>
      </c>
    </row>
    <row r="1501" spans="1:11" s="315" customFormat="1">
      <c r="A1501" s="369"/>
      <c r="B1501" s="351" t="s">
        <v>3100</v>
      </c>
      <c r="C1501" s="346">
        <v>3805</v>
      </c>
      <c r="D1501" s="345">
        <f t="shared" si="213"/>
        <v>1168.8371438263227</v>
      </c>
      <c r="E1501" s="343">
        <f t="shared" si="214"/>
        <v>146.10464297829034</v>
      </c>
      <c r="F1501" s="508">
        <f>ROUNDUP(D1501+E1501,2)</f>
        <v>1314.95</v>
      </c>
      <c r="G1501" s="351" t="s">
        <v>4584</v>
      </c>
      <c r="H1501" s="518" t="s">
        <v>3101</v>
      </c>
      <c r="I1501" s="452" t="s">
        <v>11565</v>
      </c>
      <c r="J1501" s="369" t="s">
        <v>753</v>
      </c>
      <c r="K1501" s="452" t="s">
        <v>741</v>
      </c>
    </row>
    <row r="1502" spans="1:11" s="315" customFormat="1">
      <c r="A1502" s="1469"/>
      <c r="B1502" s="351" t="s">
        <v>6882</v>
      </c>
      <c r="C1502" s="346">
        <v>3927</v>
      </c>
      <c r="D1502" s="345">
        <f t="shared" si="213"/>
        <v>1206.3136567164179</v>
      </c>
      <c r="E1502" s="343">
        <f t="shared" si="214"/>
        <v>150.78920708955224</v>
      </c>
      <c r="F1502" s="508">
        <f t="shared" si="212"/>
        <v>1357.11</v>
      </c>
      <c r="G1502" s="351" t="s">
        <v>6883</v>
      </c>
      <c r="H1502" s="518" t="s">
        <v>6884</v>
      </c>
      <c r="I1502" s="452" t="s">
        <v>11565</v>
      </c>
      <c r="J1502" s="369" t="s">
        <v>753</v>
      </c>
      <c r="K1502" s="452" t="s">
        <v>741</v>
      </c>
    </row>
    <row r="1503" spans="1:11" s="317" customFormat="1">
      <c r="A1503" s="369"/>
      <c r="B1503" s="314"/>
      <c r="C1503" s="196" t="s">
        <v>2024</v>
      </c>
      <c r="D1503" s="230"/>
      <c r="E1503" s="215"/>
      <c r="F1503" s="511">
        <f t="shared" si="212"/>
        <v>0</v>
      </c>
      <c r="G1503" s="314"/>
      <c r="H1503" s="518"/>
      <c r="I1503" s="452"/>
      <c r="J1503" s="369"/>
      <c r="K1503" s="452"/>
    </row>
    <row r="1504" spans="1:11" s="317" customFormat="1">
      <c r="A1504" s="369"/>
      <c r="B1504" s="351" t="s">
        <v>6885</v>
      </c>
      <c r="C1504" s="346">
        <v>3379</v>
      </c>
      <c r="D1504" s="345">
        <f t="shared" ref="D1504:D1509" si="215">C1504*(1-VLOOKUP(I1504,descuentos,6,FALSE))*fcl/IF(dol_sol="dólar", TC,1)</f>
        <v>1037.9765332428765</v>
      </c>
      <c r="E1504" s="343">
        <f t="shared" ref="E1504:E1509" si="216">D1504/8</f>
        <v>129.74706665535956</v>
      </c>
      <c r="F1504" s="508">
        <f t="shared" si="212"/>
        <v>1167.73</v>
      </c>
      <c r="G1504" s="351" t="s">
        <v>6886</v>
      </c>
      <c r="H1504" s="518" t="s">
        <v>3115</v>
      </c>
      <c r="I1504" s="452" t="s">
        <v>11565</v>
      </c>
      <c r="J1504" s="369" t="s">
        <v>753</v>
      </c>
      <c r="K1504" s="452" t="s">
        <v>741</v>
      </c>
    </row>
    <row r="1505" spans="1:11" s="317" customFormat="1">
      <c r="A1505" s="1469"/>
      <c r="B1505" s="351" t="s">
        <v>6887</v>
      </c>
      <c r="C1505" s="346">
        <v>3488</v>
      </c>
      <c r="D1505" s="345">
        <f t="shared" si="215"/>
        <v>1071.459647218453</v>
      </c>
      <c r="E1505" s="343">
        <f t="shared" si="216"/>
        <v>133.93245590230663</v>
      </c>
      <c r="F1505" s="508">
        <f>ROUNDUP(D1505+E1505,2)</f>
        <v>1205.4000000000001</v>
      </c>
      <c r="G1505" s="351" t="s">
        <v>6888</v>
      </c>
      <c r="H1505" s="518" t="s">
        <v>6889</v>
      </c>
      <c r="I1505" s="452" t="s">
        <v>11565</v>
      </c>
      <c r="J1505" s="369" t="s">
        <v>753</v>
      </c>
      <c r="K1505" s="452" t="s">
        <v>741</v>
      </c>
    </row>
    <row r="1506" spans="1:11" s="317" customFormat="1">
      <c r="A1506" s="369"/>
      <c r="B1506" s="351" t="s">
        <v>3114</v>
      </c>
      <c r="C1506" s="346">
        <v>3379</v>
      </c>
      <c r="D1506" s="345">
        <f t="shared" si="215"/>
        <v>1037.9765332428765</v>
      </c>
      <c r="E1506" s="343">
        <f t="shared" si="216"/>
        <v>129.74706665535956</v>
      </c>
      <c r="F1506" s="508">
        <f>ROUNDUP(D1506+E1506,2)</f>
        <v>1167.73</v>
      </c>
      <c r="G1506" s="351" t="s">
        <v>4585</v>
      </c>
      <c r="H1506" s="518" t="s">
        <v>6890</v>
      </c>
      <c r="I1506" s="452" t="s">
        <v>11565</v>
      </c>
      <c r="J1506" s="369" t="s">
        <v>753</v>
      </c>
      <c r="K1506" s="452" t="s">
        <v>741</v>
      </c>
    </row>
    <row r="1507" spans="1:11" s="317" customFormat="1">
      <c r="A1507" s="1469"/>
      <c r="B1507" s="351" t="s">
        <v>6891</v>
      </c>
      <c r="C1507" s="346">
        <v>3488</v>
      </c>
      <c r="D1507" s="345">
        <f t="shared" si="215"/>
        <v>1071.459647218453</v>
      </c>
      <c r="E1507" s="343">
        <f t="shared" si="216"/>
        <v>133.93245590230663</v>
      </c>
      <c r="F1507" s="508">
        <f t="shared" si="212"/>
        <v>1205.4000000000001</v>
      </c>
      <c r="G1507" s="351" t="s">
        <v>6892</v>
      </c>
      <c r="H1507" s="518" t="s">
        <v>6893</v>
      </c>
      <c r="I1507" s="452" t="s">
        <v>11565</v>
      </c>
      <c r="J1507" s="369" t="s">
        <v>753</v>
      </c>
      <c r="K1507" s="452" t="s">
        <v>741</v>
      </c>
    </row>
    <row r="1508" spans="1:11" s="317" customFormat="1">
      <c r="A1508" s="369"/>
      <c r="B1508" s="351" t="s">
        <v>3098</v>
      </c>
      <c r="C1508" s="346">
        <v>4358</v>
      </c>
      <c r="D1508" s="345">
        <f t="shared" si="215"/>
        <v>1338.7101899592942</v>
      </c>
      <c r="E1508" s="343">
        <f t="shared" si="216"/>
        <v>167.33877374491178</v>
      </c>
      <c r="F1508" s="508">
        <f>ROUNDUP(D1508+E1508,2)</f>
        <v>1506.05</v>
      </c>
      <c r="G1508" s="351" t="s">
        <v>4586</v>
      </c>
      <c r="H1508" s="518" t="s">
        <v>3099</v>
      </c>
      <c r="I1508" s="452" t="s">
        <v>11565</v>
      </c>
      <c r="J1508" s="369" t="s">
        <v>753</v>
      </c>
      <c r="K1508" s="452" t="s">
        <v>741</v>
      </c>
    </row>
    <row r="1509" spans="1:11" s="317" customFormat="1">
      <c r="A1509" s="1469"/>
      <c r="B1509" s="351" t="s">
        <v>6894</v>
      </c>
      <c r="C1509" s="346">
        <v>4481</v>
      </c>
      <c r="D1509" s="345">
        <f t="shared" si="215"/>
        <v>1376.4938873812753</v>
      </c>
      <c r="E1509" s="343">
        <f t="shared" si="216"/>
        <v>172.06173592265941</v>
      </c>
      <c r="F1509" s="508">
        <f t="shared" si="212"/>
        <v>1548.56</v>
      </c>
      <c r="G1509" s="351" t="s">
        <v>6895</v>
      </c>
      <c r="H1509" s="518" t="s">
        <v>6896</v>
      </c>
      <c r="I1509" s="452" t="s">
        <v>11565</v>
      </c>
      <c r="J1509" s="369" t="s">
        <v>753</v>
      </c>
      <c r="K1509" s="452" t="s">
        <v>741</v>
      </c>
    </row>
    <row r="1510" spans="1:11" s="317" customFormat="1">
      <c r="A1510" s="369"/>
      <c r="B1510" s="144"/>
      <c r="C1510" s="196" t="s">
        <v>2024</v>
      </c>
      <c r="D1510" s="230"/>
      <c r="E1510" s="215"/>
      <c r="F1510" s="511">
        <f t="shared" si="212"/>
        <v>0</v>
      </c>
      <c r="G1510" s="314"/>
      <c r="H1510" s="518"/>
      <c r="I1510" s="452"/>
      <c r="J1510" s="369"/>
      <c r="K1510" s="452"/>
    </row>
    <row r="1511" spans="1:11" s="317" customFormat="1">
      <c r="A1511" s="369"/>
      <c r="B1511" s="351" t="s">
        <v>6897</v>
      </c>
      <c r="C1511" s="346">
        <v>3706</v>
      </c>
      <c r="D1511" s="345">
        <f>C1511*(1-VLOOKUP(I1511,descuentos,6,FALSE))*fcl/IF(dol_sol="dólar", TC,1)</f>
        <v>1138.4258751696066</v>
      </c>
      <c r="E1511" s="343">
        <f>D1511/8</f>
        <v>142.30323439620082</v>
      </c>
      <c r="F1511" s="508">
        <f t="shared" si="212"/>
        <v>1280.73</v>
      </c>
      <c r="G1511" s="351" t="s">
        <v>6898</v>
      </c>
      <c r="H1511" s="518" t="s">
        <v>6899</v>
      </c>
      <c r="I1511" s="452" t="s">
        <v>11565</v>
      </c>
      <c r="J1511" s="369" t="s">
        <v>753</v>
      </c>
      <c r="K1511" s="452" t="s">
        <v>741</v>
      </c>
    </row>
    <row r="1512" spans="1:11" s="317" customFormat="1">
      <c r="A1512" s="369"/>
      <c r="B1512" s="351" t="s">
        <v>2877</v>
      </c>
      <c r="C1512" s="346">
        <v>4595</v>
      </c>
      <c r="D1512" s="345">
        <f>C1512*(1-VLOOKUP(I1512,descuentos,6,FALSE))*fcl/IF(dol_sol="dólar", TC,1)</f>
        <v>1411.5129240162821</v>
      </c>
      <c r="E1512" s="343">
        <f>D1512/8</f>
        <v>176.43911550203526</v>
      </c>
      <c r="F1512" s="508">
        <f t="shared" si="212"/>
        <v>1587.96</v>
      </c>
      <c r="G1512" s="351" t="s">
        <v>4587</v>
      </c>
      <c r="H1512" s="518" t="s">
        <v>2878</v>
      </c>
      <c r="I1512" s="452" t="s">
        <v>11565</v>
      </c>
      <c r="J1512" s="369" t="s">
        <v>753</v>
      </c>
      <c r="K1512" s="452" t="s">
        <v>741</v>
      </c>
    </row>
    <row r="1513" spans="1:11" s="317" customFormat="1">
      <c r="A1513" s="369"/>
      <c r="B1513" s="144"/>
      <c r="C1513" s="196" t="s">
        <v>2024</v>
      </c>
      <c r="D1513" s="230"/>
      <c r="E1513" s="215"/>
      <c r="F1513" s="511">
        <f t="shared" si="212"/>
        <v>0</v>
      </c>
      <c r="G1513" s="314"/>
      <c r="H1513" s="518"/>
      <c r="I1513" s="452"/>
      <c r="J1513" s="369"/>
      <c r="K1513" s="452"/>
    </row>
    <row r="1514" spans="1:11" s="317" customFormat="1">
      <c r="A1514" s="369"/>
      <c r="B1514" s="351" t="s">
        <v>9816</v>
      </c>
      <c r="C1514" s="346">
        <v>3155</v>
      </c>
      <c r="D1514" s="345">
        <f>C1514*(1-VLOOKUP(I1514,descuentos,6,FALSE))*fcl/IF(dol_sol="dólar", TC,1)</f>
        <v>969.16719810040695</v>
      </c>
      <c r="E1514" s="343">
        <f>D1514/8</f>
        <v>121.14589976255087</v>
      </c>
      <c r="F1514" s="508">
        <f t="shared" si="212"/>
        <v>1090.32</v>
      </c>
      <c r="G1514" s="351" t="s">
        <v>12203</v>
      </c>
      <c r="H1514" s="518" t="s">
        <v>9817</v>
      </c>
      <c r="I1514" s="452" t="s">
        <v>11565</v>
      </c>
      <c r="J1514" s="369" t="s">
        <v>753</v>
      </c>
      <c r="K1514" s="452" t="s">
        <v>741</v>
      </c>
    </row>
    <row r="1515" spans="1:11" s="317" customFormat="1">
      <c r="A1515" s="369"/>
      <c r="B1515" s="351" t="s">
        <v>6900</v>
      </c>
      <c r="C1515" s="346">
        <v>3967</v>
      </c>
      <c r="D1515" s="345">
        <f>C1515*(1-VLOOKUP(I1515,descuentos,6,FALSE))*fcl/IF(dol_sol="dólar", TC,1)</f>
        <v>1218.6010379918587</v>
      </c>
      <c r="E1515" s="343">
        <f>D1515/8</f>
        <v>152.32512974898233</v>
      </c>
      <c r="F1515" s="508">
        <f t="shared" si="212"/>
        <v>1370.93</v>
      </c>
      <c r="G1515" s="351" t="s">
        <v>12204</v>
      </c>
      <c r="H1515" s="518" t="s">
        <v>6901</v>
      </c>
      <c r="I1515" s="452" t="s">
        <v>11565</v>
      </c>
      <c r="J1515" s="369" t="s">
        <v>753</v>
      </c>
      <c r="K1515" s="452" t="s">
        <v>741</v>
      </c>
    </row>
    <row r="1516" spans="1:11" s="317" customFormat="1">
      <c r="A1516" s="369"/>
      <c r="B1516" s="351" t="s">
        <v>6902</v>
      </c>
      <c r="C1516" s="346">
        <v>4832</v>
      </c>
      <c r="D1516" s="345">
        <f>C1516*(1-VLOOKUP(I1516,descuentos,6,FALSE))*fcl/IF(dol_sol="dólar", TC,1)</f>
        <v>1484.31565807327</v>
      </c>
      <c r="E1516" s="343">
        <f>D1516/8</f>
        <v>185.53945725915875</v>
      </c>
      <c r="F1516" s="508">
        <f t="shared" si="212"/>
        <v>1669.86</v>
      </c>
      <c r="G1516" s="351" t="s">
        <v>12205</v>
      </c>
      <c r="H1516" s="518" t="s">
        <v>6903</v>
      </c>
      <c r="I1516" s="452" t="s">
        <v>11565</v>
      </c>
      <c r="J1516" s="369" t="s">
        <v>753</v>
      </c>
      <c r="K1516" s="452" t="s">
        <v>741</v>
      </c>
    </row>
    <row r="1517" spans="1:11" s="315" customFormat="1">
      <c r="A1517" s="369"/>
      <c r="B1517" s="144"/>
      <c r="C1517" s="196" t="s">
        <v>2024</v>
      </c>
      <c r="D1517" s="230"/>
      <c r="E1517" s="215"/>
      <c r="F1517" s="511">
        <f t="shared" si="212"/>
        <v>0</v>
      </c>
      <c r="G1517" s="314"/>
      <c r="H1517" s="518"/>
      <c r="I1517" s="452"/>
      <c r="J1517" s="369"/>
      <c r="K1517" s="452"/>
    </row>
    <row r="1518" spans="1:11" s="315" customFormat="1">
      <c r="A1518" s="369"/>
      <c r="B1518" s="144"/>
      <c r="C1518" s="196" t="s">
        <v>2024</v>
      </c>
      <c r="D1518" s="230"/>
      <c r="E1518" s="215"/>
      <c r="F1518" s="511">
        <f t="shared" si="212"/>
        <v>0</v>
      </c>
      <c r="G1518" s="314"/>
      <c r="H1518" s="518"/>
      <c r="I1518" s="452"/>
      <c r="J1518" s="369"/>
      <c r="K1518" s="452"/>
    </row>
    <row r="1519" spans="1:11" s="317" customFormat="1">
      <c r="A1519" s="369"/>
      <c r="B1519" s="518" t="s">
        <v>915</v>
      </c>
      <c r="C1519" s="196">
        <v>3855</v>
      </c>
      <c r="D1519" s="230">
        <f>C1519*(1-VLOOKUP(I1519,descuentos,6,FALSE))*fcl/IF(dol_sol="dólar", TC,1)</f>
        <v>1184.1963704206241</v>
      </c>
      <c r="E1519" s="215">
        <f>D1519/8</f>
        <v>148.02454630257802</v>
      </c>
      <c r="F1519" s="511">
        <f t="shared" si="212"/>
        <v>1332.23</v>
      </c>
      <c r="G1519" s="314" t="s">
        <v>4588</v>
      </c>
      <c r="H1519" s="518" t="s">
        <v>917</v>
      </c>
      <c r="I1519" s="452" t="s">
        <v>11565</v>
      </c>
      <c r="J1519" s="369" t="s">
        <v>753</v>
      </c>
      <c r="K1519" s="452" t="s">
        <v>741</v>
      </c>
    </row>
    <row r="1520" spans="1:11" s="317" customFormat="1">
      <c r="A1520" s="369"/>
      <c r="B1520" s="518" t="s">
        <v>809</v>
      </c>
      <c r="C1520" s="196">
        <v>5023</v>
      </c>
      <c r="D1520" s="230">
        <f>C1520*(1-VLOOKUP(I1520,descuentos,6,FALSE))*fcl/IF(dol_sol="dólar", TC,1)</f>
        <v>1542.9879036635007</v>
      </c>
      <c r="E1520" s="215">
        <f>D1520/8</f>
        <v>192.87348795793758</v>
      </c>
      <c r="F1520" s="511">
        <f t="shared" si="212"/>
        <v>1735.87</v>
      </c>
      <c r="G1520" s="314" t="s">
        <v>4589</v>
      </c>
      <c r="H1520" s="518" t="s">
        <v>810</v>
      </c>
      <c r="I1520" s="452" t="s">
        <v>11565</v>
      </c>
      <c r="J1520" s="369" t="s">
        <v>753</v>
      </c>
      <c r="K1520" s="452" t="s">
        <v>741</v>
      </c>
    </row>
    <row r="1521" spans="1:11" s="317" customFormat="1">
      <c r="A1521" s="369"/>
      <c r="B1521" s="518" t="s">
        <v>13517</v>
      </c>
      <c r="C1521" s="196">
        <v>5174</v>
      </c>
      <c r="D1521" s="230">
        <f>C1521*(1-VLOOKUP(I1521,descuentos,6,FALSE))*fcl/IF(dol_sol="dólar", TC,1)</f>
        <v>1589.3727679782905</v>
      </c>
      <c r="E1521" s="215">
        <f>D1521/8</f>
        <v>198.67159599728632</v>
      </c>
      <c r="F1521" s="511">
        <f t="shared" si="212"/>
        <v>1788.05</v>
      </c>
      <c r="G1521" s="314" t="s">
        <v>13518</v>
      </c>
      <c r="H1521" s="518" t="s">
        <v>13519</v>
      </c>
      <c r="I1521" s="452" t="s">
        <v>11565</v>
      </c>
      <c r="J1521" s="369" t="s">
        <v>753</v>
      </c>
      <c r="K1521" s="452" t="s">
        <v>741</v>
      </c>
    </row>
    <row r="1522" spans="1:11" s="317" customFormat="1">
      <c r="A1522" s="369"/>
      <c r="B1522" s="518" t="s">
        <v>3368</v>
      </c>
      <c r="C1522" s="196">
        <v>6710</v>
      </c>
      <c r="D1522" s="230">
        <f>C1522*(1-VLOOKUP(I1522,descuentos,6,FALSE))*fcl/IF(dol_sol="dólar", TC,1)</f>
        <v>2061.2082089552237</v>
      </c>
      <c r="E1522" s="215">
        <f>D1522/8</f>
        <v>257.65102611940296</v>
      </c>
      <c r="F1522" s="511">
        <f t="shared" si="212"/>
        <v>2318.86</v>
      </c>
      <c r="G1522" s="314" t="s">
        <v>4590</v>
      </c>
      <c r="H1522" s="518" t="s">
        <v>3369</v>
      </c>
      <c r="I1522" s="452" t="s">
        <v>11565</v>
      </c>
      <c r="J1522" s="369" t="s">
        <v>753</v>
      </c>
      <c r="K1522" s="452" t="s">
        <v>741</v>
      </c>
    </row>
    <row r="1523" spans="1:11" s="317" customFormat="1">
      <c r="A1523" s="369"/>
      <c r="B1523" s="518" t="s">
        <v>6904</v>
      </c>
      <c r="C1523" s="196">
        <v>6871</v>
      </c>
      <c r="D1523" s="230">
        <f>C1523*(1-VLOOKUP(I1523,descuentos,6,FALSE))*fcl/IF(dol_sol="dólar", TC,1)</f>
        <v>2110.6649185888737</v>
      </c>
      <c r="E1523" s="215">
        <f>D1523/8</f>
        <v>263.83311482360921</v>
      </c>
      <c r="F1523" s="511">
        <f>ROUNDUP(D1523+E1523,2)</f>
        <v>2374.5</v>
      </c>
      <c r="G1523" s="314" t="s">
        <v>6905</v>
      </c>
      <c r="H1523" s="518" t="s">
        <v>6906</v>
      </c>
      <c r="I1523" s="452" t="s">
        <v>11565</v>
      </c>
      <c r="J1523" s="369" t="s">
        <v>753</v>
      </c>
      <c r="K1523" s="452" t="s">
        <v>741</v>
      </c>
    </row>
    <row r="1524" spans="1:11" s="317" customFormat="1">
      <c r="A1524" s="369"/>
      <c r="B1524" s="518"/>
      <c r="C1524" s="196" t="s">
        <v>2024</v>
      </c>
      <c r="D1524" s="230"/>
      <c r="E1524" s="215"/>
      <c r="F1524" s="511">
        <f t="shared" si="212"/>
        <v>0</v>
      </c>
      <c r="G1524" s="314"/>
      <c r="H1524" s="518"/>
      <c r="I1524" s="452"/>
      <c r="J1524" s="369"/>
      <c r="K1524" s="452"/>
    </row>
    <row r="1525" spans="1:11" s="317" customFormat="1">
      <c r="A1525" s="369"/>
      <c r="B1525" s="518" t="s">
        <v>916</v>
      </c>
      <c r="C1525" s="196">
        <v>4116</v>
      </c>
      <c r="D1525" s="230">
        <f t="shared" ref="D1525:D1530" si="217">C1525*(1-VLOOKUP(I1525,descuentos,6,FALSE))*fcl/IF(dol_sol="dólar", TC,1)</f>
        <v>1264.3715332428765</v>
      </c>
      <c r="E1525" s="215">
        <f t="shared" ref="E1525:E1535" si="218">D1525/8</f>
        <v>158.04644165535956</v>
      </c>
      <c r="F1525" s="511">
        <f t="shared" si="212"/>
        <v>1422.42</v>
      </c>
      <c r="G1525" s="314" t="s">
        <v>4591</v>
      </c>
      <c r="H1525" s="518" t="s">
        <v>918</v>
      </c>
      <c r="I1525" s="452" t="s">
        <v>11565</v>
      </c>
      <c r="J1525" s="369" t="s">
        <v>753</v>
      </c>
      <c r="K1525" s="452" t="s">
        <v>741</v>
      </c>
    </row>
    <row r="1526" spans="1:11" s="317" customFormat="1">
      <c r="A1526" s="369"/>
      <c r="B1526" s="518" t="s">
        <v>814</v>
      </c>
      <c r="C1526" s="196">
        <v>6203</v>
      </c>
      <c r="D1526" s="230">
        <f t="shared" si="217"/>
        <v>1905.4656512890092</v>
      </c>
      <c r="E1526" s="215">
        <f>D1526/8</f>
        <v>238.18320641112615</v>
      </c>
      <c r="F1526" s="511">
        <f>ROUNDUP(D1526+E1526,2)</f>
        <v>2143.65</v>
      </c>
      <c r="G1526" s="314" t="s">
        <v>4592</v>
      </c>
      <c r="H1526" s="518" t="s">
        <v>813</v>
      </c>
      <c r="I1526" s="452" t="s">
        <v>11565</v>
      </c>
      <c r="J1526" s="369" t="s">
        <v>753</v>
      </c>
      <c r="K1526" s="452" t="s">
        <v>741</v>
      </c>
    </row>
    <row r="1527" spans="1:11" s="317" customFormat="1">
      <c r="A1527" s="1469"/>
      <c r="B1527" s="518" t="s">
        <v>6907</v>
      </c>
      <c r="C1527" s="196">
        <v>6342</v>
      </c>
      <c r="D1527" s="230">
        <f t="shared" si="217"/>
        <v>1948.1643012211666</v>
      </c>
      <c r="E1527" s="215">
        <f t="shared" si="218"/>
        <v>243.52053765264583</v>
      </c>
      <c r="F1527" s="511">
        <f t="shared" si="212"/>
        <v>2191.69</v>
      </c>
      <c r="G1527" s="314" t="s">
        <v>6908</v>
      </c>
      <c r="H1527" s="518" t="s">
        <v>6909</v>
      </c>
      <c r="I1527" s="452" t="s">
        <v>11565</v>
      </c>
      <c r="J1527" s="369" t="s">
        <v>753</v>
      </c>
      <c r="K1527" s="452" t="s">
        <v>741</v>
      </c>
    </row>
    <row r="1528" spans="1:11" s="317" customFormat="1">
      <c r="A1528" s="369"/>
      <c r="B1528" s="518" t="s">
        <v>2570</v>
      </c>
      <c r="C1528" s="196">
        <v>7099</v>
      </c>
      <c r="D1528" s="230">
        <f t="shared" si="217"/>
        <v>2180.7029918588873</v>
      </c>
      <c r="E1528" s="215">
        <f>D1528/8</f>
        <v>272.58787398236092</v>
      </c>
      <c r="F1528" s="511">
        <f>ROUNDUP(D1528+E1528,2)</f>
        <v>2453.3000000000002</v>
      </c>
      <c r="G1528" s="314" t="s">
        <v>4594</v>
      </c>
      <c r="H1528" s="518" t="s">
        <v>2572</v>
      </c>
      <c r="I1528" s="452" t="s">
        <v>11565</v>
      </c>
      <c r="J1528" s="369" t="s">
        <v>753</v>
      </c>
      <c r="K1528" s="452" t="s">
        <v>741</v>
      </c>
    </row>
    <row r="1529" spans="1:11" s="317" customFormat="1">
      <c r="A1529" s="369"/>
      <c r="B1529" s="518" t="s">
        <v>11059</v>
      </c>
      <c r="C1529" s="196">
        <v>11404</v>
      </c>
      <c r="D1529" s="230">
        <f t="shared" si="217"/>
        <v>3503.1324016282229</v>
      </c>
      <c r="E1529" s="215">
        <f>D1529/8</f>
        <v>437.89155020352786</v>
      </c>
      <c r="F1529" s="511">
        <f>ROUNDUP(D1529+E1529,2)</f>
        <v>3941.03</v>
      </c>
      <c r="G1529" s="314" t="s">
        <v>11060</v>
      </c>
      <c r="H1529" s="518" t="s">
        <v>11061</v>
      </c>
      <c r="I1529" s="452" t="s">
        <v>11565</v>
      </c>
      <c r="J1529" s="369" t="s">
        <v>753</v>
      </c>
      <c r="K1529" s="452" t="s">
        <v>741</v>
      </c>
    </row>
    <row r="1530" spans="1:11" s="317" customFormat="1">
      <c r="A1530" s="369"/>
      <c r="B1530" s="351" t="s">
        <v>13234</v>
      </c>
      <c r="C1530" s="346">
        <v>4487</v>
      </c>
      <c r="D1530" s="345">
        <f t="shared" si="217"/>
        <v>1378.3369945725915</v>
      </c>
      <c r="E1530" s="343">
        <f>D1530/8</f>
        <v>172.29212432157394</v>
      </c>
      <c r="F1530" s="508">
        <f t="shared" ref="F1530" si="219">ROUNDUP(D1530+E1530,2)</f>
        <v>1550.6299999999999</v>
      </c>
      <c r="G1530" s="351" t="s">
        <v>13235</v>
      </c>
      <c r="H1530" s="518" t="s">
        <v>13236</v>
      </c>
      <c r="I1530" s="452" t="s">
        <v>11565</v>
      </c>
      <c r="J1530" s="369" t="s">
        <v>753</v>
      </c>
      <c r="K1530" s="452" t="s">
        <v>741</v>
      </c>
    </row>
    <row r="1531" spans="1:11" s="317" customFormat="1">
      <c r="A1531" s="369"/>
      <c r="B1531" s="518"/>
      <c r="C1531" s="196" t="s">
        <v>2024</v>
      </c>
      <c r="D1531" s="230"/>
      <c r="E1531" s="215"/>
      <c r="F1531" s="511">
        <f>ROUNDUP(D1531+E1531,2)</f>
        <v>0</v>
      </c>
      <c r="G1531" s="314"/>
      <c r="H1531" s="518"/>
      <c r="I1531" s="452"/>
      <c r="J1531" s="369"/>
      <c r="K1531" s="452"/>
    </row>
    <row r="1532" spans="1:11" s="317" customFormat="1">
      <c r="A1532" s="369"/>
      <c r="B1532" s="518" t="s">
        <v>6910</v>
      </c>
      <c r="C1532" s="196">
        <v>4219</v>
      </c>
      <c r="D1532" s="230">
        <f>C1532*(1-VLOOKUP(I1532,descuentos,6,FALSE))*fcl/IF(dol_sol="dólar", TC,1)</f>
        <v>1296.0115400271368</v>
      </c>
      <c r="E1532" s="215">
        <f>D1532/8</f>
        <v>162.0014425033921</v>
      </c>
      <c r="F1532" s="511">
        <f>ROUNDUP(D1532+E1532,2)</f>
        <v>1458.02</v>
      </c>
      <c r="G1532" s="314" t="s">
        <v>6911</v>
      </c>
      <c r="H1532" s="518" t="s">
        <v>6912</v>
      </c>
      <c r="I1532" s="452" t="s">
        <v>11565</v>
      </c>
      <c r="J1532" s="369" t="s">
        <v>753</v>
      </c>
      <c r="K1532" s="452" t="s">
        <v>741</v>
      </c>
    </row>
    <row r="1533" spans="1:11" s="317" customFormat="1">
      <c r="A1533" s="369"/>
      <c r="B1533" s="518" t="s">
        <v>2575</v>
      </c>
      <c r="C1533" s="196">
        <v>6875</v>
      </c>
      <c r="D1533" s="230">
        <f>C1533*(1-VLOOKUP(I1533,descuentos,6,FALSE))*fcl/IF(dol_sol="dólar", TC,1)</f>
        <v>2111.8936567164178</v>
      </c>
      <c r="E1533" s="215">
        <f t="shared" si="218"/>
        <v>263.98670708955223</v>
      </c>
      <c r="F1533" s="511">
        <f t="shared" si="212"/>
        <v>2375.8900000000003</v>
      </c>
      <c r="G1533" s="314" t="s">
        <v>4593</v>
      </c>
      <c r="H1533" s="518" t="s">
        <v>2576</v>
      </c>
      <c r="I1533" s="452" t="s">
        <v>11565</v>
      </c>
      <c r="J1533" s="369" t="s">
        <v>753</v>
      </c>
      <c r="K1533" s="452" t="s">
        <v>741</v>
      </c>
    </row>
    <row r="1534" spans="1:11" s="317" customFormat="1">
      <c r="A1534" s="369"/>
      <c r="B1534" s="518" t="s">
        <v>9127</v>
      </c>
      <c r="C1534" s="196">
        <v>7020</v>
      </c>
      <c r="D1534" s="230">
        <f>C1534*(1-VLOOKUP(I1534,descuentos,6,FALSE))*fcl/IF(dol_sol="dólar", TC,1)</f>
        <v>2156.4354138398917</v>
      </c>
      <c r="E1534" s="215">
        <f>D1534/8</f>
        <v>269.55442672998646</v>
      </c>
      <c r="F1534" s="511">
        <f>ROUNDUP(D1534+E1534,2)</f>
        <v>2425.9900000000002</v>
      </c>
      <c r="G1534" s="314" t="s">
        <v>9128</v>
      </c>
      <c r="H1534" s="518" t="s">
        <v>9129</v>
      </c>
      <c r="I1534" s="452" t="s">
        <v>11565</v>
      </c>
      <c r="J1534" s="369" t="s">
        <v>753</v>
      </c>
      <c r="K1534" s="452" t="s">
        <v>741</v>
      </c>
    </row>
    <row r="1535" spans="1:11" s="317" customFormat="1">
      <c r="A1535" s="369"/>
      <c r="B1535" s="518" t="s">
        <v>2577</v>
      </c>
      <c r="C1535" s="196">
        <v>7819</v>
      </c>
      <c r="D1535" s="230">
        <f>C1535*(1-VLOOKUP(I1535,descuentos,6,FALSE))*fcl/IF(dol_sol="dólar", TC,1)</f>
        <v>2401.8758548168248</v>
      </c>
      <c r="E1535" s="215">
        <f t="shared" si="218"/>
        <v>300.2344818521031</v>
      </c>
      <c r="F1535" s="511">
        <f t="shared" si="212"/>
        <v>2702.1200000000003</v>
      </c>
      <c r="G1535" s="314" t="s">
        <v>4595</v>
      </c>
      <c r="H1535" s="518" t="s">
        <v>2578</v>
      </c>
      <c r="I1535" s="452" t="s">
        <v>11565</v>
      </c>
      <c r="J1535" s="369" t="s">
        <v>753</v>
      </c>
      <c r="K1535" s="452" t="s">
        <v>741</v>
      </c>
    </row>
    <row r="1536" spans="1:11" s="317" customFormat="1">
      <c r="A1536" s="369"/>
      <c r="B1536" s="518"/>
      <c r="C1536" s="196" t="s">
        <v>2024</v>
      </c>
      <c r="D1536" s="230"/>
      <c r="E1536" s="215"/>
      <c r="F1536" s="511">
        <f t="shared" si="212"/>
        <v>0</v>
      </c>
      <c r="G1536" s="314"/>
      <c r="H1536" s="518"/>
      <c r="I1536" s="452"/>
      <c r="J1536" s="369"/>
      <c r="K1536" s="452"/>
    </row>
    <row r="1537" spans="1:11" s="317" customFormat="1">
      <c r="A1537" s="372"/>
      <c r="B1537" s="506" t="s">
        <v>3070</v>
      </c>
      <c r="C1537" s="346">
        <v>4521</v>
      </c>
      <c r="D1537" s="345">
        <f>C1537*(1-VLOOKUP(I1537,descuentos,6,FALSE))*fcl/IF(dol_sol="dólar", TC,1)</f>
        <v>1388.7812686567165</v>
      </c>
      <c r="E1537" s="343">
        <f>D1537/8</f>
        <v>173.59765858208957</v>
      </c>
      <c r="F1537" s="508">
        <f t="shared" si="212"/>
        <v>1562.3799999999999</v>
      </c>
      <c r="G1537" s="351" t="s">
        <v>4596</v>
      </c>
      <c r="H1537" s="506" t="s">
        <v>3072</v>
      </c>
      <c r="I1537" s="546" t="s">
        <v>11565</v>
      </c>
      <c r="J1537" s="372" t="s">
        <v>753</v>
      </c>
      <c r="K1537" s="546" t="s">
        <v>741</v>
      </c>
    </row>
    <row r="1538" spans="1:11" s="317" customFormat="1">
      <c r="A1538" s="372"/>
      <c r="B1538" s="506" t="s">
        <v>2897</v>
      </c>
      <c r="C1538" s="346">
        <v>6027</v>
      </c>
      <c r="D1538" s="345">
        <f>C1538*(1-VLOOKUP(I1538,descuentos,6,FALSE))*fcl/IF(dol_sol="dólar", TC,1)</f>
        <v>1851.401173677069</v>
      </c>
      <c r="E1538" s="343">
        <f>D1538/8</f>
        <v>231.42514670963362</v>
      </c>
      <c r="F1538" s="508">
        <f t="shared" si="212"/>
        <v>2082.8300000000004</v>
      </c>
      <c r="G1538" s="351" t="s">
        <v>4597</v>
      </c>
      <c r="H1538" s="506" t="s">
        <v>3073</v>
      </c>
      <c r="I1538" s="546" t="s">
        <v>11565</v>
      </c>
      <c r="J1538" s="372" t="s">
        <v>753</v>
      </c>
      <c r="K1538" s="546" t="s">
        <v>741</v>
      </c>
    </row>
    <row r="1539" spans="1:11" s="317" customFormat="1">
      <c r="A1539" s="369"/>
      <c r="B1539" s="518" t="s">
        <v>13520</v>
      </c>
      <c r="C1539" s="196">
        <v>6209</v>
      </c>
      <c r="D1539" s="230">
        <f>C1539*(1-VLOOKUP(I1539,descuentos,6,FALSE))*fcl/IF(dol_sol="dólar", TC,1)</f>
        <v>1907.3087584803252</v>
      </c>
      <c r="E1539" s="215">
        <f>D1539/8</f>
        <v>238.41359481004065</v>
      </c>
      <c r="F1539" s="511">
        <f t="shared" si="212"/>
        <v>2145.73</v>
      </c>
      <c r="G1539" s="314" t="s">
        <v>13521</v>
      </c>
      <c r="H1539" s="518" t="s">
        <v>13522</v>
      </c>
      <c r="I1539" s="452" t="s">
        <v>11565</v>
      </c>
      <c r="J1539" s="369" t="s">
        <v>753</v>
      </c>
      <c r="K1539" s="452" t="s">
        <v>741</v>
      </c>
    </row>
    <row r="1540" spans="1:11" s="317" customFormat="1">
      <c r="A1540" s="372"/>
      <c r="B1540" s="506" t="s">
        <v>4943</v>
      </c>
      <c r="C1540" s="346">
        <v>8045</v>
      </c>
      <c r="D1540" s="345">
        <f>C1540*(1-VLOOKUP(I1540,descuentos,6,FALSE))*fcl/IF(dol_sol="dólar", TC,1)</f>
        <v>2471.2995590230666</v>
      </c>
      <c r="E1540" s="343">
        <f>D1540/8</f>
        <v>308.91244487788333</v>
      </c>
      <c r="F1540" s="508">
        <f>ROUNDUP(D1540+E1540,2)</f>
        <v>2780.2200000000003</v>
      </c>
      <c r="G1540" s="351" t="s">
        <v>4944</v>
      </c>
      <c r="H1540" s="506" t="s">
        <v>4945</v>
      </c>
      <c r="I1540" s="546" t="s">
        <v>11565</v>
      </c>
      <c r="J1540" s="372" t="s">
        <v>753</v>
      </c>
      <c r="K1540" s="546" t="s">
        <v>741</v>
      </c>
    </row>
    <row r="1541" spans="1:11" s="317" customFormat="1">
      <c r="A1541" s="372"/>
      <c r="B1541" s="506"/>
      <c r="C1541" s="346" t="s">
        <v>2024</v>
      </c>
      <c r="D1541" s="345"/>
      <c r="E1541" s="343"/>
      <c r="F1541" s="508">
        <f t="shared" si="212"/>
        <v>0</v>
      </c>
      <c r="G1541" s="351"/>
      <c r="H1541" s="506"/>
      <c r="I1541" s="546"/>
      <c r="J1541" s="372"/>
      <c r="K1541" s="546"/>
    </row>
    <row r="1542" spans="1:11" s="317" customFormat="1">
      <c r="A1542" s="372"/>
      <c r="B1542" s="506" t="s">
        <v>3077</v>
      </c>
      <c r="C1542" s="346">
        <v>4847</v>
      </c>
      <c r="D1542" s="345">
        <f>C1542*(1-VLOOKUP(I1542,descuentos,6,FALSE))*fcl/IF(dol_sol="dólar", TC,1)</f>
        <v>1488.9234260515602</v>
      </c>
      <c r="E1542" s="343">
        <f>D1542/8</f>
        <v>186.11542825644503</v>
      </c>
      <c r="F1542" s="508">
        <f t="shared" si="212"/>
        <v>1675.04</v>
      </c>
      <c r="G1542" s="351" t="s">
        <v>4598</v>
      </c>
      <c r="H1542" s="506" t="s">
        <v>3078</v>
      </c>
      <c r="I1542" s="546" t="s">
        <v>11565</v>
      </c>
      <c r="J1542" s="372" t="s">
        <v>753</v>
      </c>
      <c r="K1542" s="546" t="s">
        <v>741</v>
      </c>
    </row>
    <row r="1543" spans="1:11" s="317" customFormat="1">
      <c r="A1543" s="372"/>
      <c r="B1543" s="506" t="s">
        <v>1313</v>
      </c>
      <c r="C1543" s="346">
        <v>7455</v>
      </c>
      <c r="D1543" s="345">
        <f>C1543*(1-VLOOKUP(I1543,descuentos,6,FALSE))*fcl/IF(dol_sol="dólar", TC,1)</f>
        <v>2290.0606852103119</v>
      </c>
      <c r="E1543" s="343">
        <f>D1543/8</f>
        <v>286.25758565128899</v>
      </c>
      <c r="F1543" s="508">
        <f>ROUNDUP(D1543+E1543,2)</f>
        <v>2576.3200000000002</v>
      </c>
      <c r="G1543" s="351" t="s">
        <v>4599</v>
      </c>
      <c r="H1543" s="1662" t="s">
        <v>1314</v>
      </c>
      <c r="I1543" s="546" t="s">
        <v>11565</v>
      </c>
      <c r="J1543" s="372" t="s">
        <v>753</v>
      </c>
      <c r="K1543" s="546" t="s">
        <v>741</v>
      </c>
    </row>
    <row r="1544" spans="1:11" s="317" customFormat="1">
      <c r="A1544" s="1469"/>
      <c r="B1544" s="506" t="s">
        <v>6913</v>
      </c>
      <c r="C1544" s="346">
        <v>7596</v>
      </c>
      <c r="D1544" s="345">
        <f>C1544*(1-VLOOKUP(I1544,descuentos,6,FALSE))*fcl/IF(dol_sol="dólar", TC,1)</f>
        <v>2333.3737042062412</v>
      </c>
      <c r="E1544" s="343">
        <f>D1544/8</f>
        <v>291.67171302578015</v>
      </c>
      <c r="F1544" s="508">
        <f t="shared" si="212"/>
        <v>2625.05</v>
      </c>
      <c r="G1544" s="351" t="s">
        <v>6914</v>
      </c>
      <c r="H1544" s="506" t="s">
        <v>6915</v>
      </c>
      <c r="I1544" s="546" t="s">
        <v>11565</v>
      </c>
      <c r="J1544" s="372" t="s">
        <v>753</v>
      </c>
      <c r="K1544" s="546" t="s">
        <v>741</v>
      </c>
    </row>
    <row r="1545" spans="1:11" s="317" customFormat="1">
      <c r="A1545" s="372"/>
      <c r="B1545" s="506" t="s">
        <v>3113</v>
      </c>
      <c r="C1545" s="346">
        <v>8532</v>
      </c>
      <c r="D1545" s="345">
        <f>C1545*(1-VLOOKUP(I1545,descuentos,6,FALSE))*fcl/IF(dol_sol="dólar", TC,1)</f>
        <v>2620.8984260515604</v>
      </c>
      <c r="E1545" s="343">
        <f>D1545/8</f>
        <v>327.61230325644505</v>
      </c>
      <c r="F1545" s="508">
        <f t="shared" si="212"/>
        <v>2948.5200000000004</v>
      </c>
      <c r="G1545" s="351" t="s">
        <v>4600</v>
      </c>
      <c r="H1545" s="506" t="s">
        <v>3112</v>
      </c>
      <c r="I1545" s="546" t="s">
        <v>11565</v>
      </c>
      <c r="J1545" s="372" t="s">
        <v>753</v>
      </c>
      <c r="K1545" s="546" t="s">
        <v>741</v>
      </c>
    </row>
    <row r="1546" spans="1:11" s="317" customFormat="1">
      <c r="A1546" s="372"/>
      <c r="B1546" s="506"/>
      <c r="C1546" s="346" t="s">
        <v>2024</v>
      </c>
      <c r="D1546" s="345"/>
      <c r="E1546" s="343"/>
      <c r="F1546" s="508">
        <f t="shared" si="212"/>
        <v>0</v>
      </c>
      <c r="G1546" s="351"/>
      <c r="H1546" s="506"/>
      <c r="I1546" s="546"/>
      <c r="J1546" s="372"/>
      <c r="K1546" s="546"/>
    </row>
    <row r="1547" spans="1:11" s="317" customFormat="1">
      <c r="A1547" s="372"/>
      <c r="B1547" s="506" t="s">
        <v>2884</v>
      </c>
      <c r="C1547" s="346">
        <v>8295</v>
      </c>
      <c r="D1547" s="345">
        <f>C1547*(1-VLOOKUP(I1547,descuentos,6,FALSE))*fcl/IF(dol_sol="dólar", TC,1)</f>
        <v>2548.0956919945725</v>
      </c>
      <c r="E1547" s="343">
        <f>D1547/8</f>
        <v>318.51196149932156</v>
      </c>
      <c r="F1547" s="508">
        <f t="shared" si="212"/>
        <v>2866.61</v>
      </c>
      <c r="G1547" s="351" t="s">
        <v>4601</v>
      </c>
      <c r="H1547" s="1662" t="s">
        <v>9497</v>
      </c>
      <c r="I1547" s="546" t="s">
        <v>11565</v>
      </c>
      <c r="J1547" s="372" t="s">
        <v>753</v>
      </c>
      <c r="K1547" s="546" t="s">
        <v>741</v>
      </c>
    </row>
    <row r="1548" spans="1:11" s="317" customFormat="1">
      <c r="A1548" s="372"/>
      <c r="B1548" s="506" t="s">
        <v>6916</v>
      </c>
      <c r="C1548" s="346">
        <v>9598</v>
      </c>
      <c r="D1548" s="345">
        <f>C1548*(1-VLOOKUP(I1548,descuentos,6,FALSE))*fcl/IF(dol_sol="dólar", TC,1)</f>
        <v>2948.3571370420623</v>
      </c>
      <c r="E1548" s="343">
        <f>D1548/8</f>
        <v>368.54464213025778</v>
      </c>
      <c r="F1548" s="508">
        <f t="shared" si="212"/>
        <v>3316.9100000000003</v>
      </c>
      <c r="G1548" s="351" t="s">
        <v>6917</v>
      </c>
      <c r="H1548" s="506" t="s">
        <v>6918</v>
      </c>
      <c r="I1548" s="546" t="s">
        <v>11565</v>
      </c>
      <c r="J1548" s="372" t="s">
        <v>753</v>
      </c>
      <c r="K1548" s="546" t="s">
        <v>741</v>
      </c>
    </row>
    <row r="1549" spans="1:11" s="317" customFormat="1">
      <c r="A1549" s="372"/>
      <c r="B1549" s="506"/>
      <c r="C1549" s="346" t="s">
        <v>2024</v>
      </c>
      <c r="D1549" s="345"/>
      <c r="E1549" s="343"/>
      <c r="F1549" s="508">
        <f>ROUNDUP(D1549+E1549,2)</f>
        <v>0</v>
      </c>
      <c r="G1549" s="351"/>
      <c r="H1549" s="506"/>
      <c r="I1549" s="546"/>
      <c r="J1549" s="372"/>
      <c r="K1549" s="546"/>
    </row>
    <row r="1550" spans="1:11" s="317" customFormat="1">
      <c r="A1550" s="372"/>
      <c r="B1550" s="506" t="s">
        <v>6919</v>
      </c>
      <c r="C1550" s="346">
        <v>5241</v>
      </c>
      <c r="D1550" s="345">
        <f>C1550*(1-VLOOKUP(I1550,descuentos,6,FALSE))*fcl/IF(dol_sol="dólar", TC,1)</f>
        <v>1609.954131614654</v>
      </c>
      <c r="E1550" s="343">
        <f>D1550/8</f>
        <v>201.24426645183175</v>
      </c>
      <c r="F1550" s="508">
        <f>ROUNDUP(D1550+E1550,2)</f>
        <v>1811.2</v>
      </c>
      <c r="G1550" s="351" t="s">
        <v>6920</v>
      </c>
      <c r="H1550" s="506" t="s">
        <v>6921</v>
      </c>
      <c r="I1550" s="546" t="s">
        <v>11565</v>
      </c>
      <c r="J1550" s="372" t="s">
        <v>753</v>
      </c>
      <c r="K1550" s="546" t="s">
        <v>741</v>
      </c>
    </row>
    <row r="1551" spans="1:11" s="317" customFormat="1">
      <c r="A1551" s="372"/>
      <c r="B1551" s="506" t="s">
        <v>6922</v>
      </c>
      <c r="C1551" s="346">
        <v>8477</v>
      </c>
      <c r="D1551" s="345">
        <f>C1551*(1-VLOOKUP(I1551,descuentos,6,FALSE))*fcl/IF(dol_sol="dólar", TC,1)</f>
        <v>2604.0032767978287</v>
      </c>
      <c r="E1551" s="343">
        <f>D1551/8</f>
        <v>325.50040959972858</v>
      </c>
      <c r="F1551" s="508">
        <f>ROUNDUP(D1551+E1551,2)</f>
        <v>2929.51</v>
      </c>
      <c r="G1551" s="351" t="s">
        <v>6923</v>
      </c>
      <c r="H1551" s="506" t="s">
        <v>6924</v>
      </c>
      <c r="I1551" s="546" t="s">
        <v>11565</v>
      </c>
      <c r="J1551" s="372" t="s">
        <v>753</v>
      </c>
      <c r="K1551" s="546" t="s">
        <v>741</v>
      </c>
    </row>
    <row r="1552" spans="1:11" s="317" customFormat="1">
      <c r="A1552" s="369"/>
      <c r="B1552" s="518"/>
      <c r="C1552" s="196" t="s">
        <v>2024</v>
      </c>
      <c r="D1552" s="230"/>
      <c r="E1552" s="215"/>
      <c r="F1552" s="511"/>
      <c r="G1552" s="314"/>
      <c r="H1552" s="518"/>
      <c r="I1552" s="452"/>
      <c r="J1552" s="369"/>
      <c r="K1552" s="452"/>
    </row>
    <row r="1553" spans="1:11" s="317" customFormat="1">
      <c r="A1553" s="369"/>
      <c r="B1553" s="518"/>
      <c r="C1553" s="196" t="s">
        <v>2024</v>
      </c>
      <c r="D1553" s="230"/>
      <c r="E1553" s="215"/>
      <c r="F1553" s="511"/>
      <c r="G1553" s="314"/>
      <c r="H1553" s="518"/>
      <c r="I1553" s="452"/>
      <c r="J1553" s="369"/>
      <c r="K1553" s="452"/>
    </row>
    <row r="1554" spans="1:11" s="317" customFormat="1">
      <c r="A1554" s="369"/>
      <c r="B1554" s="518" t="s">
        <v>920</v>
      </c>
      <c r="C1554" s="196">
        <v>7253</v>
      </c>
      <c r="D1554" s="230">
        <f>C1554*(1-VLOOKUP(I1554,descuentos,6,FALSE))*fcl/IF(dol_sol="dólar", TC,1)</f>
        <v>2228.009409769335</v>
      </c>
      <c r="E1554" s="215">
        <f>D1554/8</f>
        <v>278.50117622116687</v>
      </c>
      <c r="F1554" s="511">
        <f t="shared" si="212"/>
        <v>2506.5200000000004</v>
      </c>
      <c r="G1554" s="314" t="s">
        <v>11698</v>
      </c>
      <c r="H1554" s="518" t="s">
        <v>923</v>
      </c>
      <c r="I1554" s="452" t="s">
        <v>11565</v>
      </c>
      <c r="J1554" s="369" t="s">
        <v>753</v>
      </c>
      <c r="K1554" s="452" t="s">
        <v>741</v>
      </c>
    </row>
    <row r="1555" spans="1:11" s="317" customFormat="1">
      <c r="A1555" s="369"/>
      <c r="B1555" s="518" t="s">
        <v>921</v>
      </c>
      <c r="C1555" s="196">
        <v>7416</v>
      </c>
      <c r="D1555" s="230">
        <f>C1555*(1-VLOOKUP(I1555,descuentos,6,FALSE))*fcl/IF(dol_sol="dólar", TC,1)</f>
        <v>2278.0804884667568</v>
      </c>
      <c r="E1555" s="215">
        <f>D1555/8</f>
        <v>284.7600610583446</v>
      </c>
      <c r="F1555" s="511">
        <f t="shared" si="212"/>
        <v>2562.8500000000004</v>
      </c>
      <c r="G1555" s="314" t="s">
        <v>11699</v>
      </c>
      <c r="H1555" s="518" t="s">
        <v>924</v>
      </c>
      <c r="I1555" s="452" t="s">
        <v>11565</v>
      </c>
      <c r="J1555" s="369" t="s">
        <v>753</v>
      </c>
      <c r="K1555" s="452" t="s">
        <v>741</v>
      </c>
    </row>
    <row r="1556" spans="1:11" s="317" customFormat="1">
      <c r="A1556" s="369"/>
      <c r="B1556" s="518" t="s">
        <v>2288</v>
      </c>
      <c r="C1556" s="196">
        <v>9021</v>
      </c>
      <c r="D1556" s="230">
        <f>C1556*(1-VLOOKUP(I1556,descuentos,6,FALSE))*fcl/IF(dol_sol="dólar", TC,1)</f>
        <v>2771.1116621438259</v>
      </c>
      <c r="E1556" s="215">
        <f>D1556/8</f>
        <v>346.38895776797824</v>
      </c>
      <c r="F1556" s="511">
        <f t="shared" si="212"/>
        <v>3117.51</v>
      </c>
      <c r="G1556" s="314" t="s">
        <v>11700</v>
      </c>
      <c r="H1556" s="518" t="s">
        <v>2289</v>
      </c>
      <c r="I1556" s="452" t="s">
        <v>11565</v>
      </c>
      <c r="J1556" s="369" t="s">
        <v>753</v>
      </c>
      <c r="K1556" s="452" t="s">
        <v>741</v>
      </c>
    </row>
    <row r="1557" spans="1:11" s="317" customFormat="1">
      <c r="A1557" s="369"/>
      <c r="B1557" s="518" t="s">
        <v>919</v>
      </c>
      <c r="C1557" s="196">
        <v>12198</v>
      </c>
      <c r="D1557" s="230">
        <f>C1557*(1-VLOOKUP(I1557,descuentos,6,FALSE))*fcl/IF(dol_sol="dólar", TC,1)</f>
        <v>3747.036919945725</v>
      </c>
      <c r="E1557" s="215">
        <f>D1557/8</f>
        <v>468.37961499321563</v>
      </c>
      <c r="F1557" s="511">
        <f>ROUNDUP(D1557+E1557,2)</f>
        <v>4215.42</v>
      </c>
      <c r="G1557" s="314" t="s">
        <v>11701</v>
      </c>
      <c r="H1557" s="518" t="s">
        <v>922</v>
      </c>
      <c r="I1557" s="452" t="s">
        <v>11565</v>
      </c>
      <c r="J1557" s="369" t="s">
        <v>753</v>
      </c>
      <c r="K1557" s="452" t="s">
        <v>741</v>
      </c>
    </row>
    <row r="1558" spans="1:11" s="317" customFormat="1">
      <c r="A1558" s="1464"/>
      <c r="B1558" s="518" t="s">
        <v>6925</v>
      </c>
      <c r="C1558" s="196">
        <v>14726</v>
      </c>
      <c r="D1558" s="230">
        <f>C1558*(1-VLOOKUP(I1558,descuentos,6,FALSE))*fcl/IF(dol_sol="dólar", TC,1)</f>
        <v>4523.5994165535958</v>
      </c>
      <c r="E1558" s="215">
        <f>D1558/8</f>
        <v>565.44992706919948</v>
      </c>
      <c r="F1558" s="511">
        <f>ROUNDUP(D1558+E1558,2)</f>
        <v>5089.05</v>
      </c>
      <c r="G1558" s="314" t="s">
        <v>11702</v>
      </c>
      <c r="H1558" s="518" t="s">
        <v>6926</v>
      </c>
      <c r="I1558" s="452" t="s">
        <v>11565</v>
      </c>
      <c r="J1558" s="369" t="s">
        <v>753</v>
      </c>
      <c r="K1558" s="452" t="s">
        <v>741</v>
      </c>
    </row>
    <row r="1559" spans="1:11" s="317" customFormat="1">
      <c r="A1559" s="369"/>
      <c r="B1559" s="518"/>
      <c r="C1559" s="196" t="s">
        <v>2024</v>
      </c>
      <c r="D1559" s="230"/>
      <c r="E1559" s="215"/>
      <c r="F1559" s="511"/>
      <c r="G1559" s="314"/>
      <c r="H1559" s="518"/>
      <c r="I1559" s="452"/>
      <c r="J1559" s="369"/>
      <c r="K1559" s="452"/>
    </row>
    <row r="1560" spans="1:11" s="317" customFormat="1">
      <c r="A1560" s="1556"/>
      <c r="B1560" s="518" t="s">
        <v>9679</v>
      </c>
      <c r="C1560" s="196">
        <v>13545</v>
      </c>
      <c r="D1560" s="230">
        <f>C1560*(1-VLOOKUP(I1560,descuentos,6,FALSE))*fcl/IF(dol_sol="dólar", TC,1)</f>
        <v>4160.8144843962009</v>
      </c>
      <c r="E1560" s="215">
        <f>D1560/8</f>
        <v>520.10181054952511</v>
      </c>
      <c r="F1560" s="511">
        <f>ROUNDUP(D1560+E1560,2)</f>
        <v>4680.92</v>
      </c>
      <c r="G1560" s="314" t="s">
        <v>9680</v>
      </c>
      <c r="H1560" s="518" t="s">
        <v>9681</v>
      </c>
      <c r="I1560" s="452" t="s">
        <v>11565</v>
      </c>
      <c r="J1560" s="369" t="s">
        <v>753</v>
      </c>
      <c r="K1560" s="452" t="s">
        <v>741</v>
      </c>
    </row>
    <row r="1561" spans="1:11" s="317" customFormat="1">
      <c r="A1561" s="369"/>
      <c r="B1561" s="518"/>
      <c r="C1561" s="196" t="s">
        <v>2024</v>
      </c>
      <c r="D1561" s="230"/>
      <c r="E1561" s="215"/>
      <c r="F1561" s="511"/>
      <c r="G1561" s="314"/>
      <c r="H1561" s="518"/>
      <c r="I1561" s="452"/>
      <c r="J1561" s="369"/>
      <c r="K1561" s="452"/>
    </row>
    <row r="1562" spans="1:11" s="317" customFormat="1">
      <c r="A1562" s="369"/>
      <c r="B1562" s="518" t="s">
        <v>6927</v>
      </c>
      <c r="C1562" s="196">
        <v>7887</v>
      </c>
      <c r="D1562" s="230">
        <f>C1562*(1-VLOOKUP(I1562,descuentos,6,FALSE))*fcl/IF(dol_sol="dólar", TC,1)</f>
        <v>2422.7644029850744</v>
      </c>
      <c r="E1562" s="417">
        <v>300</v>
      </c>
      <c r="F1562" s="511">
        <f>ROUNDUP(D1562+E1562,2)</f>
        <v>2722.7700000000004</v>
      </c>
      <c r="G1562" s="314" t="s">
        <v>6928</v>
      </c>
      <c r="H1562" s="518" t="s">
        <v>6929</v>
      </c>
      <c r="I1562" s="452" t="s">
        <v>11565</v>
      </c>
      <c r="J1562" s="369" t="s">
        <v>753</v>
      </c>
      <c r="K1562" s="452" t="s">
        <v>741</v>
      </c>
    </row>
    <row r="1563" spans="1:11" s="317" customFormat="1">
      <c r="A1563" s="369"/>
      <c r="B1563" s="518" t="s">
        <v>6930</v>
      </c>
      <c r="C1563" s="196">
        <v>8418</v>
      </c>
      <c r="D1563" s="230">
        <f>C1563*(1-VLOOKUP(I1563,descuentos,6,FALSE))*fcl/IF(dol_sol="dólar", TC,1)</f>
        <v>2585.8793894165533</v>
      </c>
      <c r="E1563" s="417">
        <v>400</v>
      </c>
      <c r="F1563" s="511">
        <f t="shared" si="212"/>
        <v>2985.88</v>
      </c>
      <c r="G1563" s="314" t="s">
        <v>6931</v>
      </c>
      <c r="H1563" s="518" t="s">
        <v>6932</v>
      </c>
      <c r="I1563" s="452" t="s">
        <v>11565</v>
      </c>
      <c r="J1563" s="369" t="s">
        <v>753</v>
      </c>
      <c r="K1563" s="452" t="s">
        <v>741</v>
      </c>
    </row>
    <row r="1564" spans="1:11" s="317" customFormat="1">
      <c r="A1564" s="369"/>
      <c r="B1564" s="518" t="s">
        <v>5416</v>
      </c>
      <c r="C1564" s="196">
        <v>9239</v>
      </c>
      <c r="D1564" s="230">
        <f>C1564*(1-VLOOKUP(I1564,descuentos,6,FALSE))*fcl/IF(dol_sol="dólar", TC,1)</f>
        <v>2838.0778900949795</v>
      </c>
      <c r="E1564" s="417">
        <v>400</v>
      </c>
      <c r="F1564" s="511">
        <f t="shared" si="212"/>
        <v>3238.0800000000004</v>
      </c>
      <c r="G1564" s="314" t="s">
        <v>6933</v>
      </c>
      <c r="H1564" s="518" t="s">
        <v>5417</v>
      </c>
      <c r="I1564" s="452" t="s">
        <v>11565</v>
      </c>
      <c r="J1564" s="369" t="s">
        <v>753</v>
      </c>
      <c r="K1564" s="452" t="s">
        <v>741</v>
      </c>
    </row>
    <row r="1565" spans="1:11" s="317" customFormat="1">
      <c r="A1565" s="369"/>
      <c r="B1565" s="518" t="s">
        <v>2573</v>
      </c>
      <c r="C1565" s="196">
        <v>13216</v>
      </c>
      <c r="D1565" s="230">
        <f>C1565*(1-VLOOKUP(I1565,descuentos,6,FALSE))*fcl/IF(dol_sol="dólar", TC,1)</f>
        <v>4059.7507734056981</v>
      </c>
      <c r="E1565" s="417">
        <v>400</v>
      </c>
      <c r="F1565" s="511">
        <f t="shared" si="212"/>
        <v>4459.76</v>
      </c>
      <c r="G1565" s="314" t="s">
        <v>4603</v>
      </c>
      <c r="H1565" s="518" t="s">
        <v>2574</v>
      </c>
      <c r="I1565" s="452" t="s">
        <v>11565</v>
      </c>
      <c r="J1565" s="369" t="s">
        <v>753</v>
      </c>
      <c r="K1565" s="452" t="s">
        <v>741</v>
      </c>
    </row>
    <row r="1566" spans="1:11" s="315" customFormat="1">
      <c r="A1566" s="369"/>
      <c r="B1566" s="518"/>
      <c r="C1566" s="196" t="s">
        <v>2024</v>
      </c>
      <c r="D1566" s="230"/>
      <c r="E1566" s="215"/>
      <c r="F1566" s="511"/>
      <c r="G1566" s="314"/>
      <c r="H1566" s="518"/>
      <c r="I1566" s="452"/>
      <c r="J1566" s="369"/>
      <c r="K1566" s="452"/>
    </row>
    <row r="1567" spans="1:11" s="317" customFormat="1">
      <c r="A1567" s="1376"/>
      <c r="B1567" s="518" t="s">
        <v>12308</v>
      </c>
      <c r="C1567" s="196">
        <v>10916</v>
      </c>
      <c r="D1567" s="230">
        <f>C1567*(1-VLOOKUP(I1567,descuentos,6,FALSE))*fcl/IF(dol_sol="dólar", TC,1)</f>
        <v>3353.2263500678423</v>
      </c>
      <c r="E1567" s="417">
        <v>400</v>
      </c>
      <c r="F1567" s="511">
        <f>ROUNDUP(D1567+E1567,2)</f>
        <v>3753.23</v>
      </c>
      <c r="G1567" s="314" t="s">
        <v>12309</v>
      </c>
      <c r="H1567" s="518" t="s">
        <v>12310</v>
      </c>
      <c r="I1567" s="452" t="s">
        <v>11565</v>
      </c>
      <c r="J1567" s="369" t="s">
        <v>753</v>
      </c>
      <c r="K1567" s="452" t="s">
        <v>741</v>
      </c>
    </row>
    <row r="1568" spans="1:11" s="317" customFormat="1">
      <c r="A1568" s="1376"/>
      <c r="B1568" s="518" t="s">
        <v>6934</v>
      </c>
      <c r="C1568" s="196">
        <v>12169</v>
      </c>
      <c r="D1568" s="230">
        <f>C1568*(1-VLOOKUP(I1568,descuentos,6,FALSE))*fcl/IF(dol_sol="dólar", TC,1)</f>
        <v>3738.1285685210305</v>
      </c>
      <c r="E1568" s="417">
        <v>400</v>
      </c>
      <c r="F1568" s="511">
        <f>ROUNDUP(D1568+E1568,2)</f>
        <v>4138.13</v>
      </c>
      <c r="G1568" s="314" t="s">
        <v>6935</v>
      </c>
      <c r="H1568" s="518" t="s">
        <v>6936</v>
      </c>
      <c r="I1568" s="452" t="s">
        <v>11565</v>
      </c>
      <c r="J1568" s="369" t="s">
        <v>753</v>
      </c>
      <c r="K1568" s="452" t="s">
        <v>741</v>
      </c>
    </row>
    <row r="1569" spans="1:11" s="317" customFormat="1">
      <c r="A1569" s="1614"/>
      <c r="B1569" s="506" t="s">
        <v>12206</v>
      </c>
      <c r="C1569" s="346">
        <v>12431</v>
      </c>
      <c r="D1569" s="345">
        <f>C1569*(1-VLOOKUP(I1569,descuentos,6,FALSE))*fcl/IF(dol_sol="dólar", TC,1)</f>
        <v>3818.6109158751688</v>
      </c>
      <c r="E1569" s="343">
        <v>400</v>
      </c>
      <c r="F1569" s="508">
        <f>ROUNDUP(D1569+E1569,2)</f>
        <v>4218.62</v>
      </c>
      <c r="G1569" s="351" t="s">
        <v>12212</v>
      </c>
      <c r="H1569" s="1849" t="s">
        <v>12207</v>
      </c>
      <c r="I1569" s="546" t="s">
        <v>11565</v>
      </c>
      <c r="J1569" s="372" t="s">
        <v>753</v>
      </c>
      <c r="K1569" s="546" t="s">
        <v>741</v>
      </c>
    </row>
    <row r="1570" spans="1:11" s="317" customFormat="1">
      <c r="A1570" s="1614"/>
      <c r="B1570" s="506" t="s">
        <v>13237</v>
      </c>
      <c r="C1570" s="346">
        <v>13759</v>
      </c>
      <c r="D1570" s="345">
        <f>C1570*(1-VLOOKUP(I1570,descuentos,6,FALSE))*fcl/IF(dol_sol="dólar", TC,1)</f>
        <v>4226.5519742198094</v>
      </c>
      <c r="E1570" s="343">
        <v>400</v>
      </c>
      <c r="F1570" s="508">
        <f>ROUNDUP(D1570+E1570,2)</f>
        <v>4626.5600000000004</v>
      </c>
      <c r="G1570" s="351" t="s">
        <v>13238</v>
      </c>
      <c r="H1570" s="1849" t="s">
        <v>13239</v>
      </c>
      <c r="I1570" s="546" t="s">
        <v>11565</v>
      </c>
      <c r="J1570" s="372" t="s">
        <v>753</v>
      </c>
      <c r="K1570" s="546" t="s">
        <v>741</v>
      </c>
    </row>
    <row r="1571" spans="1:11" s="317" customFormat="1">
      <c r="A1571" s="369"/>
      <c r="B1571" s="518"/>
      <c r="C1571" s="196" t="s">
        <v>2024</v>
      </c>
      <c r="D1571" s="230"/>
      <c r="E1571" s="215"/>
      <c r="F1571" s="511"/>
      <c r="G1571" s="314"/>
      <c r="H1571" s="518"/>
      <c r="I1571" s="452"/>
      <c r="J1571" s="369"/>
      <c r="K1571" s="452"/>
    </row>
    <row r="1572" spans="1:11" s="317" customFormat="1">
      <c r="A1572" s="369"/>
      <c r="B1572" s="506" t="s">
        <v>3102</v>
      </c>
      <c r="C1572" s="346">
        <v>9066</v>
      </c>
      <c r="D1572" s="345">
        <f t="shared" ref="D1572:D1577" si="220">C1572*(1-VLOOKUP(I1572,descuentos,6,FALSE))*fcl/IF(dol_sol="dólar", TC,1)</f>
        <v>2784.9349660786966</v>
      </c>
      <c r="E1572" s="343">
        <v>300</v>
      </c>
      <c r="F1572" s="508">
        <f t="shared" si="212"/>
        <v>3084.94</v>
      </c>
      <c r="G1572" s="351" t="s">
        <v>4604</v>
      </c>
      <c r="H1572" s="506" t="s">
        <v>3103</v>
      </c>
      <c r="I1572" s="546" t="s">
        <v>11565</v>
      </c>
      <c r="J1572" s="372" t="s">
        <v>753</v>
      </c>
      <c r="K1572" s="546" t="s">
        <v>741</v>
      </c>
    </row>
    <row r="1573" spans="1:11" s="317" customFormat="1">
      <c r="A1573" s="369"/>
      <c r="B1573" s="506" t="s">
        <v>2895</v>
      </c>
      <c r="C1573" s="346">
        <v>9283</v>
      </c>
      <c r="D1573" s="345">
        <f t="shared" si="220"/>
        <v>2851.5940094979642</v>
      </c>
      <c r="E1573" s="343">
        <v>400</v>
      </c>
      <c r="F1573" s="508">
        <f t="shared" si="212"/>
        <v>3251.6000000000004</v>
      </c>
      <c r="G1573" s="351" t="s">
        <v>4605</v>
      </c>
      <c r="H1573" s="506" t="s">
        <v>2896</v>
      </c>
      <c r="I1573" s="546" t="s">
        <v>11565</v>
      </c>
      <c r="J1573" s="372" t="s">
        <v>753</v>
      </c>
      <c r="K1573" s="546" t="s">
        <v>741</v>
      </c>
    </row>
    <row r="1574" spans="1:11" s="317" customFormat="1">
      <c r="A1574" s="369"/>
      <c r="B1574" s="506" t="s">
        <v>3104</v>
      </c>
      <c r="C1574" s="346">
        <v>11339</v>
      </c>
      <c r="D1574" s="345">
        <f t="shared" si="220"/>
        <v>3483.1654070556301</v>
      </c>
      <c r="E1574" s="343">
        <v>400</v>
      </c>
      <c r="F1574" s="508">
        <f t="shared" si="212"/>
        <v>3883.17</v>
      </c>
      <c r="G1574" s="351" t="s">
        <v>4606</v>
      </c>
      <c r="H1574" s="506" t="s">
        <v>3105</v>
      </c>
      <c r="I1574" s="546" t="s">
        <v>11565</v>
      </c>
      <c r="J1574" s="372" t="s">
        <v>753</v>
      </c>
      <c r="K1574" s="546" t="s">
        <v>741</v>
      </c>
    </row>
    <row r="1575" spans="1:11" s="317" customFormat="1">
      <c r="A1575" s="369"/>
      <c r="B1575" s="506" t="s">
        <v>12311</v>
      </c>
      <c r="C1575" s="346">
        <v>12668</v>
      </c>
      <c r="D1575" s="345">
        <f t="shared" si="220"/>
        <v>3891.4136499321567</v>
      </c>
      <c r="E1575" s="343">
        <v>400</v>
      </c>
      <c r="F1575" s="508">
        <f t="shared" si="212"/>
        <v>4291.42</v>
      </c>
      <c r="G1575" s="351" t="s">
        <v>12312</v>
      </c>
      <c r="H1575" s="506" t="s">
        <v>12313</v>
      </c>
      <c r="I1575" s="546" t="s">
        <v>11565</v>
      </c>
      <c r="J1575" s="372" t="s">
        <v>753</v>
      </c>
      <c r="K1575" s="546" t="s">
        <v>741</v>
      </c>
    </row>
    <row r="1576" spans="1:11" s="350" customFormat="1">
      <c r="A1576" s="369"/>
      <c r="B1576" s="506" t="s">
        <v>2886</v>
      </c>
      <c r="C1576" s="346">
        <v>12198</v>
      </c>
      <c r="D1576" s="345">
        <f t="shared" si="220"/>
        <v>3747.036919945725</v>
      </c>
      <c r="E1576" s="343">
        <v>400</v>
      </c>
      <c r="F1576" s="508">
        <f t="shared" si="212"/>
        <v>4147.04</v>
      </c>
      <c r="G1576" s="351" t="s">
        <v>4607</v>
      </c>
      <c r="H1576" s="506" t="s">
        <v>2887</v>
      </c>
      <c r="I1576" s="546" t="s">
        <v>11565</v>
      </c>
      <c r="J1576" s="372" t="s">
        <v>753</v>
      </c>
      <c r="K1576" s="546" t="s">
        <v>741</v>
      </c>
    </row>
    <row r="1577" spans="1:11" s="350" customFormat="1">
      <c r="A1577" s="369"/>
      <c r="B1577" s="506" t="s">
        <v>9506</v>
      </c>
      <c r="C1577" s="346">
        <v>13527</v>
      </c>
      <c r="D1577" s="345">
        <f t="shared" si="220"/>
        <v>4155.2851628222525</v>
      </c>
      <c r="E1577" s="343">
        <v>400</v>
      </c>
      <c r="F1577" s="508">
        <f t="shared" si="212"/>
        <v>4555.29</v>
      </c>
      <c r="G1577" s="351" t="s">
        <v>9507</v>
      </c>
      <c r="H1577" s="506" t="s">
        <v>9508</v>
      </c>
      <c r="I1577" s="546" t="s">
        <v>11565</v>
      </c>
      <c r="J1577" s="372" t="s">
        <v>753</v>
      </c>
      <c r="K1577" s="546" t="s">
        <v>741</v>
      </c>
    </row>
    <row r="1578" spans="1:11" s="317" customFormat="1">
      <c r="A1578" s="369"/>
      <c r="B1578" s="518"/>
      <c r="C1578" s="196" t="s">
        <v>2024</v>
      </c>
      <c r="D1578" s="230"/>
      <c r="E1578" s="215"/>
      <c r="F1578" s="511"/>
      <c r="G1578" s="314"/>
      <c r="H1578" s="518"/>
      <c r="I1578" s="452"/>
      <c r="J1578" s="369"/>
      <c r="K1578" s="452"/>
    </row>
    <row r="1579" spans="1:11" s="350" customFormat="1">
      <c r="A1579" s="1556"/>
      <c r="B1579" s="506" t="s">
        <v>9682</v>
      </c>
      <c r="C1579" s="346">
        <v>13545</v>
      </c>
      <c r="D1579" s="345">
        <f>C1579*(1-VLOOKUP(I1579,descuentos,6,FALSE))*fcl/IF(dol_sol="dólar", TC,1)</f>
        <v>4160.8144843962009</v>
      </c>
      <c r="E1579" s="343">
        <v>400</v>
      </c>
      <c r="F1579" s="508">
        <f t="shared" ref="F1579" si="221">ROUNDUP(D1579+E1579,2)</f>
        <v>4560.8200000000006</v>
      </c>
      <c r="G1579" s="351" t="s">
        <v>9683</v>
      </c>
      <c r="H1579" s="506" t="s">
        <v>9684</v>
      </c>
      <c r="I1579" s="546" t="s">
        <v>11565</v>
      </c>
      <c r="J1579" s="372" t="s">
        <v>753</v>
      </c>
      <c r="K1579" s="546" t="s">
        <v>741</v>
      </c>
    </row>
    <row r="1580" spans="1:11" s="317" customFormat="1">
      <c r="A1580" s="369"/>
      <c r="B1580" s="518"/>
      <c r="C1580" s="196" t="s">
        <v>2024</v>
      </c>
      <c r="D1580" s="230"/>
      <c r="E1580" s="215"/>
      <c r="F1580" s="511"/>
      <c r="G1580" s="314"/>
      <c r="H1580" s="518"/>
      <c r="I1580" s="452"/>
      <c r="J1580" s="369"/>
      <c r="K1580" s="452"/>
    </row>
    <row r="1581" spans="1:11" s="317" customFormat="1">
      <c r="A1581" s="369"/>
      <c r="B1581" s="518" t="s">
        <v>1307</v>
      </c>
      <c r="C1581" s="196">
        <v>8224</v>
      </c>
      <c r="D1581" s="230">
        <f>C1581*(1-VLOOKUP(I1581,descuentos,6,FALSE))*fcl/IF(dol_sol="dólar", TC,1)</f>
        <v>2526.2855902306642</v>
      </c>
      <c r="E1581" s="215">
        <f>D1581/8</f>
        <v>315.78569877883302</v>
      </c>
      <c r="F1581" s="511">
        <f t="shared" si="212"/>
        <v>2842.0800000000004</v>
      </c>
      <c r="G1581" s="314" t="s">
        <v>4608</v>
      </c>
      <c r="H1581" s="518" t="s">
        <v>1310</v>
      </c>
      <c r="I1581" s="452" t="s">
        <v>11565</v>
      </c>
      <c r="J1581" s="369" t="s">
        <v>753</v>
      </c>
      <c r="K1581" s="452" t="s">
        <v>741</v>
      </c>
    </row>
    <row r="1582" spans="1:11" s="317" customFormat="1">
      <c r="A1582" s="369"/>
      <c r="B1582" s="518" t="s">
        <v>1308</v>
      </c>
      <c r="C1582" s="196">
        <v>8417</v>
      </c>
      <c r="D1582" s="230">
        <f>C1582*(1-VLOOKUP(I1582,descuentos,6,FALSE))*fcl/IF(dol_sol="dólar", TC,1)</f>
        <v>2585.5722048846678</v>
      </c>
      <c r="E1582" s="215">
        <f>D1582/8</f>
        <v>323.19652561058348</v>
      </c>
      <c r="F1582" s="511">
        <f t="shared" si="212"/>
        <v>2908.7700000000004</v>
      </c>
      <c r="G1582" s="314" t="s">
        <v>4609</v>
      </c>
      <c r="H1582" s="518" t="s">
        <v>1311</v>
      </c>
      <c r="I1582" s="452" t="s">
        <v>11565</v>
      </c>
      <c r="J1582" s="369" t="s">
        <v>753</v>
      </c>
      <c r="K1582" s="452" t="s">
        <v>741</v>
      </c>
    </row>
    <row r="1583" spans="1:11" s="317" customFormat="1">
      <c r="A1583" s="369"/>
      <c r="B1583" s="518" t="s">
        <v>3456</v>
      </c>
      <c r="C1583" s="196">
        <v>10263</v>
      </c>
      <c r="D1583" s="230">
        <f>C1583*(1-VLOOKUP(I1583,descuentos,6,FALSE))*fcl/IF(dol_sol="dólar", TC,1)</f>
        <v>3152.6348507462681</v>
      </c>
      <c r="E1583" s="215">
        <f>D1583/8</f>
        <v>394.07935634328351</v>
      </c>
      <c r="F1583" s="511">
        <f t="shared" si="212"/>
        <v>3546.7200000000003</v>
      </c>
      <c r="G1583" s="314" t="s">
        <v>4610</v>
      </c>
      <c r="H1583" s="518" t="s">
        <v>3448</v>
      </c>
      <c r="I1583" s="452" t="s">
        <v>11565</v>
      </c>
      <c r="J1583" s="369" t="s">
        <v>753</v>
      </c>
      <c r="K1583" s="452" t="s">
        <v>741</v>
      </c>
    </row>
    <row r="1584" spans="1:11" s="350" customFormat="1">
      <c r="A1584" s="369"/>
      <c r="B1584" s="518" t="s">
        <v>1309</v>
      </c>
      <c r="C1584" s="196">
        <v>13342</v>
      </c>
      <c r="D1584" s="230">
        <f>C1584*(1-VLOOKUP(I1584,descuentos,6,FALSE))*fcl/IF(dol_sol="dólar", TC,1)</f>
        <v>4098.456024423338</v>
      </c>
      <c r="E1584" s="417">
        <v>400</v>
      </c>
      <c r="F1584" s="511">
        <f t="shared" si="212"/>
        <v>4498.46</v>
      </c>
      <c r="G1584" s="314" t="s">
        <v>4611</v>
      </c>
      <c r="H1584" s="518" t="s">
        <v>1312</v>
      </c>
      <c r="I1584" s="452" t="s">
        <v>11565</v>
      </c>
      <c r="J1584" s="369" t="s">
        <v>753</v>
      </c>
      <c r="K1584" s="452" t="s">
        <v>741</v>
      </c>
    </row>
    <row r="1585" spans="1:11" s="350" customFormat="1">
      <c r="A1585" s="1464"/>
      <c r="B1585" s="518" t="s">
        <v>6937</v>
      </c>
      <c r="C1585" s="196">
        <v>15872</v>
      </c>
      <c r="D1585" s="230">
        <f>C1585*(1-VLOOKUP(I1585,descuentos,6,FALSE))*fcl/IF(dol_sol="dólar", TC,1)</f>
        <v>4875.6328900949793</v>
      </c>
      <c r="E1585" s="417">
        <v>400</v>
      </c>
      <c r="F1585" s="511">
        <f>ROUNDUP(D1585+E1585,2)</f>
        <v>5275.64</v>
      </c>
      <c r="G1585" s="314" t="s">
        <v>6938</v>
      </c>
      <c r="H1585" s="518" t="s">
        <v>6939</v>
      </c>
      <c r="I1585" s="452" t="s">
        <v>11565</v>
      </c>
      <c r="J1585" s="369" t="s">
        <v>753</v>
      </c>
      <c r="K1585" s="452" t="s">
        <v>741</v>
      </c>
    </row>
    <row r="1586" spans="1:11" s="315" customFormat="1">
      <c r="A1586" s="369"/>
      <c r="B1586" s="518"/>
      <c r="C1586" s="196" t="s">
        <v>2024</v>
      </c>
      <c r="D1586" s="230"/>
      <c r="E1586" s="215"/>
      <c r="F1586" s="511"/>
      <c r="G1586" s="314"/>
      <c r="H1586" s="518"/>
      <c r="I1586" s="452"/>
      <c r="J1586" s="369"/>
      <c r="K1586" s="452"/>
    </row>
    <row r="1587" spans="1:11" s="317" customFormat="1">
      <c r="A1587" s="1614"/>
      <c r="B1587" s="518" t="s">
        <v>12299</v>
      </c>
      <c r="C1587" s="196">
        <v>13311</v>
      </c>
      <c r="D1587" s="230">
        <f>C1587*(1-VLOOKUP(I1587,descuentos,6,FALSE))*fcl/IF(dol_sol="dólar", TC,1)</f>
        <v>4088.9333039348708</v>
      </c>
      <c r="E1587" s="215">
        <f>D1587/8</f>
        <v>511.11666299185885</v>
      </c>
      <c r="F1587" s="511">
        <f t="shared" ref="F1587:F1589" si="222">ROUNDUP(D1587+E1587,2)</f>
        <v>4600.05</v>
      </c>
      <c r="G1587" s="351" t="s">
        <v>12300</v>
      </c>
      <c r="H1587" s="518" t="s">
        <v>12301</v>
      </c>
      <c r="I1587" s="452" t="s">
        <v>11565</v>
      </c>
      <c r="J1587" s="369" t="s">
        <v>753</v>
      </c>
      <c r="K1587" s="452" t="s">
        <v>741</v>
      </c>
    </row>
    <row r="1588" spans="1:11" s="317" customFormat="1">
      <c r="A1588" s="1614"/>
      <c r="B1588" s="518" t="s">
        <v>12297</v>
      </c>
      <c r="C1588" s="196">
        <v>13599</v>
      </c>
      <c r="D1588" s="230">
        <f>C1588*(1-VLOOKUP(I1588,descuentos,6,FALSE))*fcl/IF(dol_sol="dólar", TC,1)</f>
        <v>4177.4024491180462</v>
      </c>
      <c r="E1588" s="215">
        <f>D1588/8</f>
        <v>522.17530613975578</v>
      </c>
      <c r="F1588" s="511">
        <f t="shared" si="222"/>
        <v>4699.58</v>
      </c>
      <c r="G1588" s="351" t="s">
        <v>12302</v>
      </c>
      <c r="H1588" s="518" t="s">
        <v>12298</v>
      </c>
      <c r="I1588" s="452" t="s">
        <v>11565</v>
      </c>
      <c r="J1588" s="369" t="s">
        <v>753</v>
      </c>
      <c r="K1588" s="452" t="s">
        <v>741</v>
      </c>
    </row>
    <row r="1589" spans="1:11" s="1697" customFormat="1">
      <c r="A1589" s="952"/>
      <c r="B1589" s="1656" t="s">
        <v>13240</v>
      </c>
      <c r="C1589" s="234">
        <v>13599</v>
      </c>
      <c r="D1589" s="353">
        <f>C1589*(1-VLOOKUP(I1589,descuentos,6,FALSE))*fcl/IF(dol_sol="dólar", TC,1)</f>
        <v>4177.4024491180462</v>
      </c>
      <c r="E1589" s="1388">
        <f>D1589/8</f>
        <v>522.17530613975578</v>
      </c>
      <c r="F1589" s="517">
        <f t="shared" si="222"/>
        <v>4699.58</v>
      </c>
      <c r="G1589" s="318" t="s">
        <v>13241</v>
      </c>
      <c r="H1589" s="1656" t="s">
        <v>12298</v>
      </c>
      <c r="I1589" s="544" t="s">
        <v>11565</v>
      </c>
      <c r="J1589" s="952" t="s">
        <v>753</v>
      </c>
      <c r="K1589" s="544" t="s">
        <v>741</v>
      </c>
    </row>
    <row r="1590" spans="1:11" s="1697" customFormat="1">
      <c r="A1590" s="952"/>
      <c r="B1590" s="1656" t="s">
        <v>13242</v>
      </c>
      <c r="C1590" s="234">
        <v>19239</v>
      </c>
      <c r="D1590" s="353">
        <f>C1590*(1-VLOOKUP(I1590,descuentos,6,FALSE))*fcl/IF(dol_sol="dólar", TC,1)</f>
        <v>5909.9232089552233</v>
      </c>
      <c r="E1590" s="1388">
        <v>400</v>
      </c>
      <c r="F1590" s="517">
        <f>ROUNDUP(D1590+E1590,2)</f>
        <v>6309.93</v>
      </c>
      <c r="G1590" s="318" t="s">
        <v>13243</v>
      </c>
      <c r="H1590" s="1656" t="s">
        <v>13244</v>
      </c>
      <c r="I1590" s="544" t="s">
        <v>11565</v>
      </c>
      <c r="J1590" s="952" t="s">
        <v>753</v>
      </c>
      <c r="K1590" s="544" t="s">
        <v>741</v>
      </c>
    </row>
    <row r="1591" spans="1:11" s="317" customFormat="1">
      <c r="A1591" s="1614"/>
      <c r="B1591" s="518" t="s">
        <v>13245</v>
      </c>
      <c r="C1591" s="196">
        <v>18417</v>
      </c>
      <c r="D1591" s="230">
        <f>C1591*(1-VLOOKUP(I1591,descuentos,6,FALSE))*fcl/IF(dol_sol="dólar", TC,1)</f>
        <v>5657.4175237449126</v>
      </c>
      <c r="E1591" s="215">
        <f>D1591/8</f>
        <v>707.17719046811408</v>
      </c>
      <c r="F1591" s="511">
        <f>ROUNDUP(D1591+E1591,2)</f>
        <v>6364.6</v>
      </c>
      <c r="G1591" s="351" t="s">
        <v>13246</v>
      </c>
      <c r="H1591" s="518" t="s">
        <v>13247</v>
      </c>
      <c r="I1591" s="452" t="s">
        <v>11565</v>
      </c>
      <c r="J1591" s="369" t="s">
        <v>753</v>
      </c>
      <c r="K1591" s="452" t="s">
        <v>741</v>
      </c>
    </row>
    <row r="1592" spans="1:11" s="317" customFormat="1">
      <c r="A1592" s="369"/>
      <c r="B1592" s="518"/>
      <c r="C1592" s="196" t="s">
        <v>2024</v>
      </c>
      <c r="D1592" s="230"/>
      <c r="E1592" s="215"/>
      <c r="F1592" s="511"/>
      <c r="G1592" s="314"/>
      <c r="H1592" s="518"/>
      <c r="I1592" s="452"/>
      <c r="J1592" s="369"/>
      <c r="K1592" s="452"/>
    </row>
    <row r="1593" spans="1:11" s="317" customFormat="1">
      <c r="A1593" s="1376"/>
      <c r="B1593" s="506" t="s">
        <v>9130</v>
      </c>
      <c r="C1593" s="346">
        <v>9887</v>
      </c>
      <c r="D1593" s="345">
        <f>C1593*(1-VLOOKUP(I1593,descuentos,6,FALSE))*fcl/IF(dol_sol="dólar", TC,1)</f>
        <v>3037.1334667571232</v>
      </c>
      <c r="E1593" s="343">
        <v>400</v>
      </c>
      <c r="F1593" s="508">
        <f>ROUNDUP(D1593+E1593,2)</f>
        <v>3437.1400000000003</v>
      </c>
      <c r="G1593" s="351" t="s">
        <v>9131</v>
      </c>
      <c r="H1593" s="506" t="s">
        <v>9132</v>
      </c>
      <c r="I1593" s="546" t="s">
        <v>11565</v>
      </c>
      <c r="J1593" s="372" t="s">
        <v>753</v>
      </c>
      <c r="K1593" s="546" t="s">
        <v>741</v>
      </c>
    </row>
    <row r="1594" spans="1:11" s="317" customFormat="1">
      <c r="A1594" s="1376"/>
      <c r="B1594" s="506" t="s">
        <v>12703</v>
      </c>
      <c r="C1594" s="346">
        <v>10566</v>
      </c>
      <c r="D1594" s="345">
        <f>C1594*(1-VLOOKUP(I1594,descuentos,6,FALSE))*fcl/IF(dol_sol="dólar", TC,1)</f>
        <v>3245.7117639077337</v>
      </c>
      <c r="E1594" s="343">
        <v>400</v>
      </c>
      <c r="F1594" s="508">
        <f>ROUNDUP(D1594+E1594,2)</f>
        <v>3645.7200000000003</v>
      </c>
      <c r="G1594" s="351" t="s">
        <v>12704</v>
      </c>
      <c r="H1594" s="506" t="s">
        <v>9505</v>
      </c>
      <c r="I1594" s="546" t="s">
        <v>11565</v>
      </c>
      <c r="J1594" s="372" t="s">
        <v>753</v>
      </c>
      <c r="K1594" s="546" t="s">
        <v>741</v>
      </c>
    </row>
    <row r="1595" spans="1:11" s="317" customFormat="1">
      <c r="A1595" s="1376"/>
      <c r="B1595" s="506" t="s">
        <v>6940</v>
      </c>
      <c r="C1595" s="346">
        <v>11617</v>
      </c>
      <c r="D1595" s="345">
        <f>C1595*(1-VLOOKUP(I1595,descuentos,6,FALSE))*fcl/IF(dol_sol="dólar", TC,1)</f>
        <v>3568.5627069199454</v>
      </c>
      <c r="E1595" s="343">
        <v>400</v>
      </c>
      <c r="F1595" s="508">
        <f>ROUNDUP(D1595+E1595,2)</f>
        <v>3968.57</v>
      </c>
      <c r="G1595" s="351" t="s">
        <v>6941</v>
      </c>
      <c r="H1595" s="506" t="s">
        <v>6942</v>
      </c>
      <c r="I1595" s="546" t="s">
        <v>11565</v>
      </c>
      <c r="J1595" s="372" t="s">
        <v>753</v>
      </c>
      <c r="K1595" s="546" t="s">
        <v>741</v>
      </c>
    </row>
    <row r="1596" spans="1:11" s="317" customFormat="1">
      <c r="A1596" s="1376"/>
      <c r="B1596" s="506" t="s">
        <v>6943</v>
      </c>
      <c r="C1596" s="346">
        <v>16712</v>
      </c>
      <c r="D1596" s="345">
        <f>C1596*(1-VLOOKUP(I1596,descuentos,6,FALSE))*fcl/IF(dol_sol="dólar", TC,1)</f>
        <v>5133.6678968792403</v>
      </c>
      <c r="E1596" s="343">
        <v>400</v>
      </c>
      <c r="F1596" s="508">
        <f>ROUNDUP(D1596+E1596,2)</f>
        <v>5533.67</v>
      </c>
      <c r="G1596" s="351" t="s">
        <v>6944</v>
      </c>
      <c r="H1596" s="506" t="s">
        <v>9500</v>
      </c>
      <c r="I1596" s="546" t="s">
        <v>11565</v>
      </c>
      <c r="J1596" s="372" t="s">
        <v>753</v>
      </c>
      <c r="K1596" s="546" t="s">
        <v>741</v>
      </c>
    </row>
    <row r="1597" spans="1:11" s="317" customFormat="1">
      <c r="A1597" s="369"/>
      <c r="B1597" s="518"/>
      <c r="C1597" s="196" t="s">
        <v>2024</v>
      </c>
      <c r="D1597" s="230"/>
      <c r="E1597" s="215"/>
      <c r="F1597" s="511"/>
      <c r="G1597" s="314"/>
      <c r="H1597" s="518"/>
      <c r="I1597" s="452"/>
      <c r="J1597" s="369"/>
      <c r="K1597" s="452"/>
    </row>
    <row r="1598" spans="1:11" s="317" customFormat="1">
      <c r="A1598" s="1376"/>
      <c r="B1598" s="506" t="s">
        <v>6945</v>
      </c>
      <c r="C1598" s="346">
        <v>16392</v>
      </c>
      <c r="D1598" s="345">
        <f>C1598*(1-VLOOKUP(I1598,descuentos,6,FALSE))*fcl/IF(dol_sol="dólar", TC,1)</f>
        <v>5035.3688466757121</v>
      </c>
      <c r="E1598" s="343">
        <v>400</v>
      </c>
      <c r="F1598" s="508">
        <f>ROUNDUP(D1598+E1598,2)</f>
        <v>5435.37</v>
      </c>
      <c r="G1598" s="351" t="s">
        <v>6946</v>
      </c>
      <c r="H1598" s="506" t="s">
        <v>6947</v>
      </c>
      <c r="I1598" s="546" t="s">
        <v>11565</v>
      </c>
      <c r="J1598" s="372" t="s">
        <v>753</v>
      </c>
      <c r="K1598" s="546" t="s">
        <v>741</v>
      </c>
    </row>
    <row r="1599" spans="1:11" s="317" customFormat="1">
      <c r="A1599" s="1376"/>
      <c r="B1599" s="506" t="s">
        <v>6948</v>
      </c>
      <c r="C1599" s="346">
        <v>20727</v>
      </c>
      <c r="D1599" s="345">
        <f>C1599*(1-VLOOKUP(I1599,descuentos,6,FALSE))*fcl/IF(dol_sol="dólar", TC,1)</f>
        <v>6367.0137924016271</v>
      </c>
      <c r="E1599" s="343">
        <v>400</v>
      </c>
      <c r="F1599" s="508">
        <f>ROUNDUP(D1599+E1599,2)</f>
        <v>6767.02</v>
      </c>
      <c r="G1599" s="351" t="s">
        <v>6949</v>
      </c>
      <c r="H1599" s="506" t="s">
        <v>6950</v>
      </c>
      <c r="I1599" s="546" t="s">
        <v>11565</v>
      </c>
      <c r="J1599" s="372" t="s">
        <v>753</v>
      </c>
      <c r="K1599" s="546" t="s">
        <v>741</v>
      </c>
    </row>
    <row r="1600" spans="1:11" s="317" customFormat="1">
      <c r="A1600" s="1376"/>
      <c r="B1600" s="506"/>
      <c r="C1600" s="346" t="s">
        <v>2024</v>
      </c>
      <c r="D1600" s="345"/>
      <c r="E1600" s="343"/>
      <c r="F1600" s="508"/>
      <c r="G1600" s="351"/>
      <c r="H1600" s="506"/>
      <c r="I1600" s="546"/>
      <c r="J1600" s="372"/>
      <c r="K1600" s="546"/>
    </row>
    <row r="1601" spans="1:11" s="317" customFormat="1">
      <c r="A1601" s="369"/>
      <c r="B1601" s="518" t="s">
        <v>6951</v>
      </c>
      <c r="C1601" s="196">
        <v>8958</v>
      </c>
      <c r="D1601" s="230">
        <f>C1601*(1-VLOOKUP(I1601,descuentos,6,FALSE))*fcl/IF(dol_sol="dólar", TC,1)</f>
        <v>2751.7590366350069</v>
      </c>
      <c r="E1601" s="417">
        <v>400</v>
      </c>
      <c r="F1601" s="511">
        <f>ROUNDUP(D1601+E1601,2)</f>
        <v>3151.76</v>
      </c>
      <c r="G1601" s="314" t="s">
        <v>6952</v>
      </c>
      <c r="H1601" s="518" t="s">
        <v>6953</v>
      </c>
      <c r="I1601" s="452" t="s">
        <v>11565</v>
      </c>
      <c r="J1601" s="369" t="s">
        <v>753</v>
      </c>
      <c r="K1601" s="452" t="s">
        <v>741</v>
      </c>
    </row>
    <row r="1602" spans="1:11" s="317" customFormat="1">
      <c r="A1602" s="369"/>
      <c r="B1602" s="518" t="s">
        <v>6954</v>
      </c>
      <c r="C1602" s="196">
        <v>10916</v>
      </c>
      <c r="D1602" s="230">
        <f>C1602*(1-VLOOKUP(I1602,descuentos,6,FALSE))*fcl/IF(dol_sol="dólar", TC,1)</f>
        <v>3353.2263500678423</v>
      </c>
      <c r="E1602" s="417">
        <v>400</v>
      </c>
      <c r="F1602" s="511">
        <f>ROUNDUP(D1602+E1602,2)</f>
        <v>3753.23</v>
      </c>
      <c r="G1602" s="314" t="s">
        <v>6955</v>
      </c>
      <c r="H1602" s="518" t="s">
        <v>6956</v>
      </c>
      <c r="I1602" s="452" t="s">
        <v>11565</v>
      </c>
      <c r="J1602" s="369" t="s">
        <v>753</v>
      </c>
      <c r="K1602" s="452" t="s">
        <v>741</v>
      </c>
    </row>
    <row r="1603" spans="1:11" s="317" customFormat="1">
      <c r="A1603" s="369"/>
      <c r="B1603" s="518" t="s">
        <v>2822</v>
      </c>
      <c r="C1603" s="196">
        <v>13247</v>
      </c>
      <c r="D1603" s="230">
        <f>C1603*(1-VLOOKUP(I1603,descuentos,6,FALSE))*fcl/IF(dol_sol="dólar", TC,1)</f>
        <v>4069.2734938941658</v>
      </c>
      <c r="E1603" s="417">
        <v>400</v>
      </c>
      <c r="F1603" s="511">
        <f t="shared" si="212"/>
        <v>4469.2800000000007</v>
      </c>
      <c r="G1603" s="314" t="s">
        <v>4612</v>
      </c>
      <c r="H1603" s="518" t="s">
        <v>2823</v>
      </c>
      <c r="I1603" s="452" t="s">
        <v>11565</v>
      </c>
      <c r="J1603" s="369" t="s">
        <v>753</v>
      </c>
      <c r="K1603" s="452" t="s">
        <v>741</v>
      </c>
    </row>
    <row r="1604" spans="1:11" s="317" customFormat="1">
      <c r="A1604" s="369"/>
      <c r="B1604" s="518" t="s">
        <v>2586</v>
      </c>
      <c r="C1604" s="196">
        <v>14654</v>
      </c>
      <c r="D1604" s="230">
        <f>C1604*(1-VLOOKUP(I1604,descuentos,6,FALSE))*fcl/IF(dol_sol="dólar", TC,1)</f>
        <v>4501.4821302578021</v>
      </c>
      <c r="E1604" s="417">
        <v>400</v>
      </c>
      <c r="F1604" s="511">
        <f t="shared" si="212"/>
        <v>4901.49</v>
      </c>
      <c r="G1604" s="314" t="s">
        <v>4613</v>
      </c>
      <c r="H1604" s="518" t="s">
        <v>2585</v>
      </c>
      <c r="I1604" s="452" t="s">
        <v>11565</v>
      </c>
      <c r="J1604" s="369" t="s">
        <v>753</v>
      </c>
      <c r="K1604" s="452" t="s">
        <v>741</v>
      </c>
    </row>
    <row r="1605" spans="1:11" s="317" customFormat="1">
      <c r="A1605" s="369"/>
      <c r="B1605" s="518"/>
      <c r="C1605" s="196" t="s">
        <v>2024</v>
      </c>
      <c r="D1605" s="230"/>
      <c r="E1605" s="215"/>
      <c r="F1605" s="511"/>
      <c r="G1605" s="314"/>
      <c r="H1605" s="518"/>
      <c r="I1605" s="452"/>
      <c r="J1605" s="369"/>
      <c r="K1605" s="452"/>
    </row>
    <row r="1606" spans="1:11" s="317" customFormat="1">
      <c r="A1606" s="369"/>
      <c r="B1606" s="506" t="s">
        <v>3108</v>
      </c>
      <c r="C1606" s="346">
        <v>10309</v>
      </c>
      <c r="D1606" s="345">
        <f>C1606*(1-VLOOKUP(I1606,descuentos,6,FALSE))*fcl/IF(dol_sol="dólar", TC,1)</f>
        <v>3166.7653392130251</v>
      </c>
      <c r="E1606" s="343">
        <v>300</v>
      </c>
      <c r="F1606" s="508">
        <f t="shared" si="212"/>
        <v>3466.7700000000004</v>
      </c>
      <c r="G1606" s="351" t="s">
        <v>4614</v>
      </c>
      <c r="H1606" s="506" t="s">
        <v>3109</v>
      </c>
      <c r="I1606" s="546" t="s">
        <v>11565</v>
      </c>
      <c r="J1606" s="372" t="s">
        <v>753</v>
      </c>
      <c r="K1606" s="546" t="s">
        <v>741</v>
      </c>
    </row>
    <row r="1607" spans="1:11" s="317" customFormat="1">
      <c r="A1607" s="369"/>
      <c r="B1607" s="506" t="s">
        <v>3106</v>
      </c>
      <c r="C1607" s="346">
        <v>10564</v>
      </c>
      <c r="D1607" s="345">
        <f>C1607*(1-VLOOKUP(I1607,descuentos,6,FALSE))*fcl/IF(dol_sol="dólar", TC,1)</f>
        <v>3245.0973948439619</v>
      </c>
      <c r="E1607" s="343">
        <v>400</v>
      </c>
      <c r="F1607" s="508">
        <f t="shared" si="212"/>
        <v>3645.1000000000004</v>
      </c>
      <c r="G1607" s="351" t="s">
        <v>4615</v>
      </c>
      <c r="H1607" s="506" t="s">
        <v>3107</v>
      </c>
      <c r="I1607" s="546" t="s">
        <v>11565</v>
      </c>
      <c r="J1607" s="372" t="s">
        <v>753</v>
      </c>
      <c r="K1607" s="546" t="s">
        <v>741</v>
      </c>
    </row>
    <row r="1608" spans="1:11" s="317" customFormat="1">
      <c r="A1608" s="369"/>
      <c r="B1608" s="506" t="s">
        <v>3110</v>
      </c>
      <c r="C1608" s="346">
        <v>12928</v>
      </c>
      <c r="D1608" s="345">
        <f>C1608*(1-VLOOKUP(I1608,descuentos,6,FALSE))*fcl/IF(dol_sol="dólar", TC,1)</f>
        <v>3971.2816282225235</v>
      </c>
      <c r="E1608" s="343">
        <v>500</v>
      </c>
      <c r="F1608" s="508">
        <f t="shared" si="212"/>
        <v>4471.29</v>
      </c>
      <c r="G1608" s="351" t="s">
        <v>13523</v>
      </c>
      <c r="H1608" s="506" t="s">
        <v>3111</v>
      </c>
      <c r="I1608" s="546" t="s">
        <v>11565</v>
      </c>
      <c r="J1608" s="372" t="s">
        <v>753</v>
      </c>
      <c r="K1608" s="546" t="s">
        <v>741</v>
      </c>
    </row>
    <row r="1609" spans="1:11" s="317" customFormat="1">
      <c r="A1609" s="369"/>
      <c r="B1609" s="506" t="s">
        <v>2893</v>
      </c>
      <c r="C1609" s="346">
        <v>16870</v>
      </c>
      <c r="D1609" s="345">
        <f>C1609*(1-VLOOKUP(I1609,descuentos,6,FALSE))*fcl/IF(dol_sol="dólar", TC,1)</f>
        <v>5182.2030529172316</v>
      </c>
      <c r="E1609" s="343">
        <v>500</v>
      </c>
      <c r="F1609" s="508">
        <f t="shared" si="212"/>
        <v>5682.21</v>
      </c>
      <c r="G1609" s="351" t="s">
        <v>4616</v>
      </c>
      <c r="H1609" s="506" t="s">
        <v>2892</v>
      </c>
      <c r="I1609" s="546" t="s">
        <v>11565</v>
      </c>
      <c r="J1609" s="372" t="s">
        <v>753</v>
      </c>
      <c r="K1609" s="546" t="s">
        <v>741</v>
      </c>
    </row>
    <row r="1610" spans="1:11" s="317" customFormat="1">
      <c r="A1610" s="369"/>
      <c r="B1610" s="518"/>
      <c r="C1610" s="196" t="s">
        <v>2024</v>
      </c>
      <c r="D1610" s="230"/>
      <c r="E1610" s="215"/>
      <c r="F1610" s="511"/>
      <c r="G1610" s="314"/>
      <c r="H1610" s="518"/>
      <c r="I1610" s="452"/>
      <c r="J1610" s="369"/>
      <c r="K1610" s="452"/>
    </row>
    <row r="1611" spans="1:11" s="317" customFormat="1">
      <c r="A1611" s="369"/>
      <c r="B1611" s="506" t="s">
        <v>2882</v>
      </c>
      <c r="C1611" s="346">
        <v>12039</v>
      </c>
      <c r="D1611" s="345">
        <f>C1611*(1-VLOOKUP(I1611,descuentos,6,FALSE))*fcl/IF(dol_sol="dólar", TC,1)</f>
        <v>3698.1945793758478</v>
      </c>
      <c r="E1611" s="343">
        <v>400</v>
      </c>
      <c r="F1611" s="508">
        <f t="shared" si="212"/>
        <v>4098.2</v>
      </c>
      <c r="G1611" s="351" t="s">
        <v>4617</v>
      </c>
      <c r="H1611" s="506" t="s">
        <v>2883</v>
      </c>
      <c r="I1611" s="546" t="s">
        <v>11565</v>
      </c>
      <c r="J1611" s="372" t="s">
        <v>753</v>
      </c>
      <c r="K1611" s="546" t="s">
        <v>741</v>
      </c>
    </row>
    <row r="1612" spans="1:11" s="317" customFormat="1">
      <c r="A1612" s="369"/>
      <c r="B1612" s="506" t="s">
        <v>6957</v>
      </c>
      <c r="C1612" s="346">
        <v>13247</v>
      </c>
      <c r="D1612" s="345">
        <f>C1612*(1-VLOOKUP(I1612,descuentos,6,FALSE))*fcl/IF(dol_sol="dólar", TC,1)</f>
        <v>4069.2734938941658</v>
      </c>
      <c r="E1612" s="343">
        <v>400</v>
      </c>
      <c r="F1612" s="508">
        <f>ROUNDUP(D1612+E1612,2)</f>
        <v>4469.2800000000007</v>
      </c>
      <c r="G1612" s="351" t="s">
        <v>6958</v>
      </c>
      <c r="H1612" s="506" t="s">
        <v>2823</v>
      </c>
      <c r="I1612" s="546" t="s">
        <v>11565</v>
      </c>
      <c r="J1612" s="372" t="s">
        <v>753</v>
      </c>
      <c r="K1612" s="546" t="s">
        <v>741</v>
      </c>
    </row>
    <row r="1613" spans="1:11" s="317" customFormat="1">
      <c r="A1613" s="369"/>
      <c r="B1613" s="506" t="s">
        <v>6959</v>
      </c>
      <c r="C1613" s="346">
        <v>14576</v>
      </c>
      <c r="D1613" s="345">
        <f>C1613*(1-VLOOKUP(I1613,descuentos,6,FALSE))*fcl/IF(dol_sol="dólar", TC,1)</f>
        <v>4477.5217367706919</v>
      </c>
      <c r="E1613" s="417">
        <v>500</v>
      </c>
      <c r="F1613" s="508">
        <f t="shared" si="212"/>
        <v>4977.5300000000007</v>
      </c>
      <c r="G1613" s="351" t="s">
        <v>6960</v>
      </c>
      <c r="H1613" s="506" t="s">
        <v>6961</v>
      </c>
      <c r="I1613" s="452" t="s">
        <v>11565</v>
      </c>
      <c r="J1613" s="369" t="s">
        <v>753</v>
      </c>
      <c r="K1613" s="452" t="s">
        <v>741</v>
      </c>
    </row>
    <row r="1614" spans="1:11" s="317" customFormat="1">
      <c r="A1614" s="369"/>
      <c r="B1614" s="506" t="s">
        <v>6962</v>
      </c>
      <c r="C1614" s="346">
        <v>19869</v>
      </c>
      <c r="D1614" s="345">
        <f>C1614*(1-VLOOKUP(I1614,descuentos,6,FALSE))*fcl/IF(dol_sol="dólar", TC,1)</f>
        <v>6103.4494640434186</v>
      </c>
      <c r="E1614" s="417">
        <v>500</v>
      </c>
      <c r="F1614" s="508">
        <f>ROUNDUP(D1614+E1614,2)</f>
        <v>6603.45</v>
      </c>
      <c r="G1614" s="351" t="s">
        <v>6963</v>
      </c>
      <c r="H1614" s="506" t="s">
        <v>6964</v>
      </c>
      <c r="I1614" s="452" t="s">
        <v>11565</v>
      </c>
      <c r="J1614" s="369" t="s">
        <v>753</v>
      </c>
      <c r="K1614" s="452" t="s">
        <v>741</v>
      </c>
    </row>
    <row r="1615" spans="1:11" s="315" customFormat="1">
      <c r="A1615" s="369"/>
      <c r="B1615" s="518"/>
      <c r="C1615" s="196" t="s">
        <v>2024</v>
      </c>
      <c r="D1615" s="230"/>
      <c r="E1615" s="215"/>
      <c r="F1615" s="511"/>
      <c r="G1615" s="314"/>
      <c r="H1615" s="518"/>
      <c r="I1615" s="452"/>
      <c r="J1615" s="369"/>
      <c r="K1615" s="452"/>
    </row>
    <row r="1616" spans="1:11" s="317" customFormat="1">
      <c r="A1616" s="369"/>
      <c r="B1616" s="506" t="s">
        <v>6965</v>
      </c>
      <c r="C1616" s="346">
        <v>15717</v>
      </c>
      <c r="D1616" s="345">
        <f>C1616*(1-VLOOKUP(I1616,descuentos,6,FALSE))*fcl/IF(dol_sol="dólar", TC,1)</f>
        <v>4828.0192876526453</v>
      </c>
      <c r="E1616" s="343">
        <v>300</v>
      </c>
      <c r="F1616" s="508">
        <f>ROUNDUP(D1616+E1616,2)</f>
        <v>5128.0200000000004</v>
      </c>
      <c r="G1616" s="351" t="s">
        <v>6966</v>
      </c>
      <c r="H1616" s="506" t="s">
        <v>6967</v>
      </c>
      <c r="I1616" s="546" t="s">
        <v>11565</v>
      </c>
      <c r="J1616" s="372" t="s">
        <v>753</v>
      </c>
      <c r="K1616" s="546" t="s">
        <v>741</v>
      </c>
    </row>
    <row r="1617" spans="1:11" s="317" customFormat="1">
      <c r="A1617" s="369"/>
      <c r="B1617" s="506" t="s">
        <v>6968</v>
      </c>
      <c r="C1617" s="346">
        <v>16830</v>
      </c>
      <c r="D1617" s="345">
        <f>C1617*(1-VLOOKUP(I1617,descuentos,6,FALSE))*fcl/IF(dol_sol="dólar", TC,1)</f>
        <v>5169.9156716417901</v>
      </c>
      <c r="E1617" s="343">
        <v>400</v>
      </c>
      <c r="F1617" s="508">
        <f>ROUNDUP(D1617+E1617,2)</f>
        <v>5569.92</v>
      </c>
      <c r="G1617" s="351" t="s">
        <v>6969</v>
      </c>
      <c r="H1617" s="506" t="s">
        <v>6970</v>
      </c>
      <c r="I1617" s="546" t="s">
        <v>11565</v>
      </c>
      <c r="J1617" s="372" t="s">
        <v>753</v>
      </c>
      <c r="K1617" s="546" t="s">
        <v>741</v>
      </c>
    </row>
    <row r="1618" spans="1:11" s="317" customFormat="1">
      <c r="A1618" s="369"/>
      <c r="B1618" s="506" t="s">
        <v>6971</v>
      </c>
      <c r="C1618" s="346">
        <v>17197</v>
      </c>
      <c r="D1618" s="345">
        <f>C1618*(1-VLOOKUP(I1618,descuentos,6,FALSE))*fcl/IF(dol_sol="dólar", TC,1)</f>
        <v>5282.6523948439617</v>
      </c>
      <c r="E1618" s="343">
        <v>400</v>
      </c>
      <c r="F1618" s="508">
        <f>ROUNDUP(D1618+E1618,2)</f>
        <v>5682.66</v>
      </c>
      <c r="G1618" s="351" t="s">
        <v>6972</v>
      </c>
      <c r="H1618" s="506" t="s">
        <v>6973</v>
      </c>
      <c r="I1618" s="546" t="s">
        <v>11565</v>
      </c>
      <c r="J1618" s="372" t="s">
        <v>753</v>
      </c>
      <c r="K1618" s="546" t="s">
        <v>741</v>
      </c>
    </row>
    <row r="1619" spans="1:11" s="317" customFormat="1">
      <c r="A1619" s="369"/>
      <c r="B1619" s="506" t="s">
        <v>6974</v>
      </c>
      <c r="C1619" s="346">
        <v>24065</v>
      </c>
      <c r="D1619" s="345">
        <f>C1619*(1-VLOOKUP(I1619,descuentos,6,FALSE))*fcl/IF(dol_sol="dólar", TC,1)</f>
        <v>7392.3957598371762</v>
      </c>
      <c r="E1619" s="343">
        <v>400</v>
      </c>
      <c r="F1619" s="508">
        <f>ROUNDUP(D1619+E1619,2)</f>
        <v>7792.4000000000005</v>
      </c>
      <c r="G1619" s="351" t="s">
        <v>6975</v>
      </c>
      <c r="H1619" s="506" t="s">
        <v>6976</v>
      </c>
      <c r="I1619" s="546" t="s">
        <v>11565</v>
      </c>
      <c r="J1619" s="372" t="s">
        <v>753</v>
      </c>
      <c r="K1619" s="546" t="s">
        <v>741</v>
      </c>
    </row>
    <row r="1620" spans="1:11" s="315" customFormat="1">
      <c r="A1620" s="369"/>
      <c r="B1620" s="518"/>
      <c r="C1620" s="196" t="s">
        <v>2024</v>
      </c>
      <c r="D1620" s="230"/>
      <c r="E1620" s="215"/>
      <c r="F1620" s="511"/>
      <c r="G1620" s="314"/>
      <c r="H1620" s="518"/>
      <c r="I1620" s="452"/>
      <c r="J1620" s="369"/>
      <c r="K1620" s="452"/>
    </row>
    <row r="1621" spans="1:11" s="317" customFormat="1">
      <c r="A1621" s="369"/>
      <c r="B1621" s="518"/>
      <c r="C1621" s="196" t="s">
        <v>2024</v>
      </c>
      <c r="D1621" s="230"/>
      <c r="E1621" s="215"/>
      <c r="F1621" s="511"/>
      <c r="G1621" s="314"/>
      <c r="H1621" s="518"/>
      <c r="I1621" s="452"/>
      <c r="J1621" s="369"/>
      <c r="K1621" s="452"/>
    </row>
    <row r="1622" spans="1:11" s="317" customFormat="1">
      <c r="A1622" s="369"/>
      <c r="B1622" s="554"/>
      <c r="C1622" s="196" t="s">
        <v>2024</v>
      </c>
      <c r="D1622" s="230"/>
      <c r="E1622" s="215"/>
      <c r="F1622" s="511"/>
      <c r="G1622" s="314"/>
      <c r="H1622" s="518"/>
      <c r="I1622" s="452"/>
      <c r="J1622" s="369"/>
      <c r="K1622" s="452"/>
    </row>
    <row r="1623" spans="1:11" s="317" customFormat="1">
      <c r="A1623" s="515"/>
      <c r="B1623" s="550" t="s">
        <v>960</v>
      </c>
      <c r="C1623" s="196">
        <v>248</v>
      </c>
      <c r="D1623" s="230">
        <f t="shared" ref="D1623:D1628" si="223">C1623*(1-VLOOKUP(I1623,descuentos,6,FALSE))*fcl/IF(dol_sol="dólar", TC,1)</f>
        <v>76.181763907734052</v>
      </c>
      <c r="E1623" s="215">
        <v>10</v>
      </c>
      <c r="F1623" s="511">
        <f t="shared" si="212"/>
        <v>86.190000000000012</v>
      </c>
      <c r="G1623" s="518" t="s">
        <v>6977</v>
      </c>
      <c r="H1623" s="518" t="s">
        <v>961</v>
      </c>
      <c r="I1623" s="452" t="s">
        <v>11565</v>
      </c>
      <c r="J1623" s="515" t="s">
        <v>753</v>
      </c>
      <c r="K1623" s="452" t="s">
        <v>741</v>
      </c>
    </row>
    <row r="1624" spans="1:11" s="315" customFormat="1">
      <c r="A1624" s="515"/>
      <c r="B1624" s="550" t="s">
        <v>4947</v>
      </c>
      <c r="C1624" s="196">
        <v>260</v>
      </c>
      <c r="D1624" s="230">
        <f t="shared" si="223"/>
        <v>79.867978290366352</v>
      </c>
      <c r="E1624" s="215">
        <v>10</v>
      </c>
      <c r="F1624" s="511">
        <f t="shared" ref="F1624:F1712" si="224">ROUNDUP(D1624+E1624,2)</f>
        <v>89.87</v>
      </c>
      <c r="G1624" s="518" t="s">
        <v>4948</v>
      </c>
      <c r="H1624" s="518" t="s">
        <v>1171</v>
      </c>
      <c r="I1624" s="452" t="s">
        <v>11565</v>
      </c>
      <c r="J1624" s="515" t="s">
        <v>753</v>
      </c>
      <c r="K1624" s="452" t="s">
        <v>741</v>
      </c>
    </row>
    <row r="1625" spans="1:11" s="317" customFormat="1">
      <c r="A1625" s="515"/>
      <c r="B1625" s="550" t="s">
        <v>962</v>
      </c>
      <c r="C1625" s="196">
        <v>371</v>
      </c>
      <c r="D1625" s="230">
        <f t="shared" si="223"/>
        <v>113.96546132971505</v>
      </c>
      <c r="E1625" s="215">
        <v>10</v>
      </c>
      <c r="F1625" s="511">
        <f t="shared" si="224"/>
        <v>123.97</v>
      </c>
      <c r="G1625" s="518" t="s">
        <v>6978</v>
      </c>
      <c r="H1625" s="518" t="s">
        <v>1039</v>
      </c>
      <c r="I1625" s="452" t="s">
        <v>11565</v>
      </c>
      <c r="J1625" s="515" t="s">
        <v>753</v>
      </c>
      <c r="K1625" s="452" t="s">
        <v>741</v>
      </c>
    </row>
    <row r="1626" spans="1:11" s="317" customFormat="1">
      <c r="A1626" s="515"/>
      <c r="B1626" s="550" t="s">
        <v>963</v>
      </c>
      <c r="C1626" s="196">
        <v>857</v>
      </c>
      <c r="D1626" s="230">
        <f t="shared" si="223"/>
        <v>263.25714382632293</v>
      </c>
      <c r="E1626" s="215">
        <v>15</v>
      </c>
      <c r="F1626" s="511">
        <f t="shared" si="224"/>
        <v>278.26</v>
      </c>
      <c r="G1626" s="518" t="s">
        <v>6979</v>
      </c>
      <c r="H1626" s="518" t="s">
        <v>1565</v>
      </c>
      <c r="I1626" s="452" t="s">
        <v>11565</v>
      </c>
      <c r="J1626" s="515" t="s">
        <v>753</v>
      </c>
      <c r="K1626" s="452" t="s">
        <v>741</v>
      </c>
    </row>
    <row r="1627" spans="1:11" s="317" customFormat="1">
      <c r="A1627" s="515"/>
      <c r="B1627" s="550" t="s">
        <v>6980</v>
      </c>
      <c r="C1627" s="196">
        <v>1143</v>
      </c>
      <c r="D1627" s="230">
        <f>C1627*(1-VLOOKUP(I1627,descuentos,6,FALSE))*fcl/IF(dol_sol="dólar", TC,1)</f>
        <v>351.1119199457259</v>
      </c>
      <c r="E1627" s="215">
        <v>15</v>
      </c>
      <c r="F1627" s="511">
        <f>ROUNDUP(D1627+E1627,2)</f>
        <v>366.12</v>
      </c>
      <c r="G1627" s="518" t="s">
        <v>6981</v>
      </c>
      <c r="H1627" s="518" t="s">
        <v>6982</v>
      </c>
      <c r="I1627" s="452" t="s">
        <v>11565</v>
      </c>
      <c r="J1627" s="515" t="s">
        <v>753</v>
      </c>
      <c r="K1627" s="452" t="s">
        <v>741</v>
      </c>
    </row>
    <row r="1628" spans="1:11" s="317" customFormat="1">
      <c r="A1628" s="515"/>
      <c r="B1628" s="550" t="s">
        <v>964</v>
      </c>
      <c r="C1628" s="196">
        <v>916</v>
      </c>
      <c r="D1628" s="230">
        <f t="shared" si="223"/>
        <v>281.38103120759837</v>
      </c>
      <c r="E1628" s="215">
        <v>15</v>
      </c>
      <c r="F1628" s="511">
        <f t="shared" si="224"/>
        <v>296.39</v>
      </c>
      <c r="G1628" s="518" t="s">
        <v>6983</v>
      </c>
      <c r="H1628" s="518" t="s">
        <v>965</v>
      </c>
      <c r="I1628" s="452" t="s">
        <v>11565</v>
      </c>
      <c r="J1628" s="515" t="s">
        <v>753</v>
      </c>
      <c r="K1628" s="452" t="s">
        <v>741</v>
      </c>
    </row>
    <row r="1629" spans="1:11" s="315" customFormat="1">
      <c r="A1629" s="515"/>
      <c r="B1629" s="550"/>
      <c r="C1629" s="196" t="s">
        <v>2024</v>
      </c>
      <c r="D1629" s="230"/>
      <c r="E1629" s="215"/>
      <c r="F1629" s="511"/>
      <c r="G1629" s="518"/>
      <c r="H1629" s="518"/>
      <c r="I1629" s="452"/>
      <c r="J1629" s="515"/>
      <c r="K1629" s="452"/>
    </row>
    <row r="1630" spans="1:11" s="317" customFormat="1">
      <c r="A1630" s="515"/>
      <c r="B1630" s="551" t="s">
        <v>2290</v>
      </c>
      <c r="C1630" s="346">
        <v>330</v>
      </c>
      <c r="D1630" s="345">
        <f t="shared" ref="D1630:D1635" si="225">C1630*(1-VLOOKUP(I1630,descuentos,6,FALSE))*fcl/IF(dol_sol="dólar", TC,1)</f>
        <v>101.37089552238805</v>
      </c>
      <c r="E1630" s="343">
        <v>12</v>
      </c>
      <c r="F1630" s="508">
        <f t="shared" ref="F1630:F1635" si="226">ROUNDUP(D1630+E1630,2)</f>
        <v>113.38000000000001</v>
      </c>
      <c r="G1630" s="506" t="s">
        <v>4946</v>
      </c>
      <c r="H1630" s="518" t="s">
        <v>2291</v>
      </c>
      <c r="I1630" s="452" t="s">
        <v>11565</v>
      </c>
      <c r="J1630" s="515" t="s">
        <v>753</v>
      </c>
      <c r="K1630" s="452" t="s">
        <v>741</v>
      </c>
    </row>
    <row r="1631" spans="1:11" s="317" customFormat="1">
      <c r="A1631" s="515"/>
      <c r="B1631" s="551" t="s">
        <v>4949</v>
      </c>
      <c r="C1631" s="346">
        <v>290</v>
      </c>
      <c r="D1631" s="345">
        <f t="shared" si="225"/>
        <v>89.083514246947061</v>
      </c>
      <c r="E1631" s="343">
        <v>12</v>
      </c>
      <c r="F1631" s="508">
        <f t="shared" si="226"/>
        <v>101.09</v>
      </c>
      <c r="G1631" s="506" t="s">
        <v>4950</v>
      </c>
      <c r="H1631" s="518" t="s">
        <v>2155</v>
      </c>
      <c r="I1631" s="452" t="s">
        <v>11565</v>
      </c>
      <c r="J1631" s="515" t="s">
        <v>753</v>
      </c>
      <c r="K1631" s="452" t="s">
        <v>741</v>
      </c>
    </row>
    <row r="1632" spans="1:11" s="317" customFormat="1">
      <c r="A1632" s="515"/>
      <c r="B1632" s="551" t="s">
        <v>2292</v>
      </c>
      <c r="C1632" s="346">
        <v>414</v>
      </c>
      <c r="D1632" s="345">
        <f t="shared" si="225"/>
        <v>127.17439620081409</v>
      </c>
      <c r="E1632" s="343">
        <v>12</v>
      </c>
      <c r="F1632" s="508">
        <f t="shared" si="226"/>
        <v>139.17999999999998</v>
      </c>
      <c r="G1632" s="506" t="s">
        <v>4951</v>
      </c>
      <c r="H1632" s="518" t="s">
        <v>2157</v>
      </c>
      <c r="I1632" s="452" t="s">
        <v>11565</v>
      </c>
      <c r="J1632" s="515" t="s">
        <v>753</v>
      </c>
      <c r="K1632" s="452" t="s">
        <v>741</v>
      </c>
    </row>
    <row r="1633" spans="1:11" s="317" customFormat="1">
      <c r="A1633" s="515"/>
      <c r="B1633" s="551" t="s">
        <v>2293</v>
      </c>
      <c r="C1633" s="346">
        <v>1115</v>
      </c>
      <c r="D1633" s="345">
        <f t="shared" si="225"/>
        <v>342.51075305291721</v>
      </c>
      <c r="E1633" s="343">
        <v>18</v>
      </c>
      <c r="F1633" s="508">
        <f t="shared" si="226"/>
        <v>360.52</v>
      </c>
      <c r="G1633" s="506" t="s">
        <v>4952</v>
      </c>
      <c r="H1633" s="518" t="s">
        <v>2294</v>
      </c>
      <c r="I1633" s="452" t="s">
        <v>11565</v>
      </c>
      <c r="J1633" s="515" t="s">
        <v>753</v>
      </c>
      <c r="K1633" s="452" t="s">
        <v>741</v>
      </c>
    </row>
    <row r="1634" spans="1:11" s="317" customFormat="1">
      <c r="A1634" s="515"/>
      <c r="B1634" s="551" t="s">
        <v>6984</v>
      </c>
      <c r="C1634" s="346">
        <v>1486</v>
      </c>
      <c r="D1634" s="345">
        <f t="shared" si="225"/>
        <v>456.47621438263224</v>
      </c>
      <c r="E1634" s="343">
        <v>18</v>
      </c>
      <c r="F1634" s="508">
        <f t="shared" si="226"/>
        <v>474.48</v>
      </c>
      <c r="G1634" s="506" t="s">
        <v>6985</v>
      </c>
      <c r="H1634" s="518" t="s">
        <v>6986</v>
      </c>
      <c r="I1634" s="452" t="s">
        <v>11565</v>
      </c>
      <c r="J1634" s="515" t="s">
        <v>753</v>
      </c>
      <c r="K1634" s="452" t="s">
        <v>741</v>
      </c>
    </row>
    <row r="1635" spans="1:11" s="317" customFormat="1">
      <c r="A1635" s="515"/>
      <c r="B1635" s="551" t="s">
        <v>2295</v>
      </c>
      <c r="C1635" s="346">
        <v>1221</v>
      </c>
      <c r="D1635" s="345">
        <f t="shared" si="225"/>
        <v>375.07231343283576</v>
      </c>
      <c r="E1635" s="343">
        <v>18</v>
      </c>
      <c r="F1635" s="508">
        <f t="shared" si="226"/>
        <v>393.08</v>
      </c>
      <c r="G1635" s="506" t="s">
        <v>4953</v>
      </c>
      <c r="H1635" s="518" t="s">
        <v>2296</v>
      </c>
      <c r="I1635" s="452" t="s">
        <v>11565</v>
      </c>
      <c r="J1635" s="515" t="s">
        <v>753</v>
      </c>
      <c r="K1635" s="452" t="s">
        <v>741</v>
      </c>
    </row>
    <row r="1636" spans="1:11" s="317" customFormat="1">
      <c r="A1636" s="515"/>
      <c r="B1636" s="552"/>
      <c r="C1636" s="196" t="s">
        <v>2024</v>
      </c>
      <c r="D1636" s="230"/>
      <c r="E1636" s="215"/>
      <c r="F1636" s="511">
        <f t="shared" si="224"/>
        <v>0</v>
      </c>
      <c r="G1636" s="518"/>
      <c r="H1636" s="518"/>
      <c r="I1636" s="452"/>
      <c r="J1636" s="515"/>
      <c r="K1636" s="452"/>
    </row>
    <row r="1637" spans="1:11" s="317" customFormat="1">
      <c r="A1637" s="369"/>
      <c r="B1637" s="518"/>
      <c r="C1637" s="196" t="s">
        <v>2024</v>
      </c>
      <c r="D1637" s="230"/>
      <c r="E1637" s="215"/>
      <c r="F1637" s="511">
        <f t="shared" si="224"/>
        <v>0</v>
      </c>
      <c r="G1637" s="314"/>
      <c r="H1637" s="518"/>
      <c r="I1637" s="452"/>
      <c r="J1637" s="369"/>
      <c r="K1637" s="452"/>
    </row>
    <row r="1638" spans="1:11" s="317" customFormat="1">
      <c r="A1638" s="369"/>
      <c r="B1638" s="518"/>
      <c r="C1638" s="196" t="s">
        <v>2024</v>
      </c>
      <c r="D1638" s="230"/>
      <c r="E1638" s="215"/>
      <c r="F1638" s="511"/>
      <c r="G1638" s="314"/>
      <c r="H1638" s="518"/>
      <c r="I1638" s="452"/>
      <c r="J1638" s="369"/>
      <c r="K1638" s="452"/>
    </row>
    <row r="1639" spans="1:11" s="317" customFormat="1">
      <c r="A1639" s="369"/>
      <c r="B1639" s="518" t="s">
        <v>4954</v>
      </c>
      <c r="C1639" s="196">
        <v>269</v>
      </c>
      <c r="D1639" s="230">
        <f t="shared" ref="D1639:D1645" si="227">C1639*(1-VLOOKUP(I1639,descuentos,6,FALSE))*fcl/IF(dol_sol="dólar", TC,1)</f>
        <v>82.632639077340571</v>
      </c>
      <c r="E1639" s="215">
        <v>15</v>
      </c>
      <c r="F1639" s="511">
        <f t="shared" si="224"/>
        <v>97.64</v>
      </c>
      <c r="G1639" s="518" t="s">
        <v>4955</v>
      </c>
      <c r="H1639" s="518" t="s">
        <v>1706</v>
      </c>
      <c r="I1639" s="452" t="s">
        <v>11565</v>
      </c>
      <c r="J1639" s="369" t="s">
        <v>753</v>
      </c>
      <c r="K1639" s="452" t="s">
        <v>741</v>
      </c>
    </row>
    <row r="1640" spans="1:11" s="317" customFormat="1">
      <c r="A1640" s="369"/>
      <c r="B1640" s="518" t="s">
        <v>6987</v>
      </c>
      <c r="C1640" s="196">
        <v>269</v>
      </c>
      <c r="D1640" s="230">
        <f>C1640*(1-VLOOKUP(I1640,descuentos,6,FALSE))*fcl/IF(dol_sol="dólar", TC,1)</f>
        <v>82.632639077340571</v>
      </c>
      <c r="E1640" s="215">
        <v>15</v>
      </c>
      <c r="F1640" s="511">
        <f>ROUNDUP(D1640+E1640,2)</f>
        <v>97.64</v>
      </c>
      <c r="G1640" s="518" t="s">
        <v>6988</v>
      </c>
      <c r="H1640" s="518" t="s">
        <v>6989</v>
      </c>
      <c r="I1640" s="452" t="s">
        <v>11565</v>
      </c>
      <c r="J1640" s="369" t="s">
        <v>753</v>
      </c>
      <c r="K1640" s="452" t="s">
        <v>741</v>
      </c>
    </row>
    <row r="1641" spans="1:11" s="317" customFormat="1">
      <c r="A1641" s="369"/>
      <c r="B1641" s="518" t="s">
        <v>5418</v>
      </c>
      <c r="C1641" s="196">
        <v>271</v>
      </c>
      <c r="D1641" s="230">
        <f t="shared" si="227"/>
        <v>83.247008141112616</v>
      </c>
      <c r="E1641" s="215">
        <v>15</v>
      </c>
      <c r="F1641" s="511">
        <f t="shared" si="224"/>
        <v>98.25</v>
      </c>
      <c r="G1641" s="518" t="s">
        <v>5419</v>
      </c>
      <c r="H1641" s="518" t="s">
        <v>5420</v>
      </c>
      <c r="I1641" s="452" t="s">
        <v>11565</v>
      </c>
      <c r="J1641" s="369" t="s">
        <v>753</v>
      </c>
      <c r="K1641" s="452" t="s">
        <v>741</v>
      </c>
    </row>
    <row r="1642" spans="1:11" s="317" customFormat="1">
      <c r="A1642" s="369"/>
      <c r="B1642" s="518" t="s">
        <v>4956</v>
      </c>
      <c r="C1642" s="196">
        <v>271</v>
      </c>
      <c r="D1642" s="230">
        <f t="shared" si="227"/>
        <v>83.247008141112616</v>
      </c>
      <c r="E1642" s="215">
        <v>15</v>
      </c>
      <c r="F1642" s="511">
        <f t="shared" si="224"/>
        <v>98.25</v>
      </c>
      <c r="G1642" s="518" t="s">
        <v>4957</v>
      </c>
      <c r="H1642" s="518" t="s">
        <v>4958</v>
      </c>
      <c r="I1642" s="452" t="s">
        <v>11565</v>
      </c>
      <c r="J1642" s="369" t="s">
        <v>753</v>
      </c>
      <c r="K1642" s="452" t="s">
        <v>741</v>
      </c>
    </row>
    <row r="1643" spans="1:11" s="317" customFormat="1">
      <c r="A1643" s="369"/>
      <c r="B1643" s="518" t="s">
        <v>1229</v>
      </c>
      <c r="C1643" s="196">
        <v>2382</v>
      </c>
      <c r="D1643" s="230">
        <f t="shared" si="227"/>
        <v>731.71355495251009</v>
      </c>
      <c r="E1643" s="215">
        <v>25</v>
      </c>
      <c r="F1643" s="511">
        <f t="shared" si="224"/>
        <v>756.72</v>
      </c>
      <c r="G1643" s="314" t="s">
        <v>2298</v>
      </c>
      <c r="H1643" s="518" t="s">
        <v>1230</v>
      </c>
      <c r="I1643" s="452" t="s">
        <v>11565</v>
      </c>
      <c r="J1643" s="369" t="s">
        <v>753</v>
      </c>
      <c r="K1643" s="452" t="s">
        <v>741</v>
      </c>
    </row>
    <row r="1644" spans="1:11" s="317" customFormat="1">
      <c r="A1644" s="369"/>
      <c r="B1644" s="518" t="s">
        <v>1231</v>
      </c>
      <c r="C1644" s="196">
        <v>4633</v>
      </c>
      <c r="D1644" s="230">
        <f t="shared" si="227"/>
        <v>1423.1859362279511</v>
      </c>
      <c r="E1644" s="215">
        <v>35</v>
      </c>
      <c r="F1644" s="511">
        <f t="shared" si="224"/>
        <v>1458.19</v>
      </c>
      <c r="G1644" s="314" t="s">
        <v>2299</v>
      </c>
      <c r="H1644" s="518" t="s">
        <v>1232</v>
      </c>
      <c r="I1644" s="452" t="s">
        <v>11565</v>
      </c>
      <c r="J1644" s="369" t="s">
        <v>753</v>
      </c>
      <c r="K1644" s="452" t="s">
        <v>741</v>
      </c>
    </row>
    <row r="1645" spans="1:11" s="317" customFormat="1">
      <c r="A1645" s="369"/>
      <c r="B1645" s="518" t="s">
        <v>6990</v>
      </c>
      <c r="C1645" s="196">
        <v>513</v>
      </c>
      <c r="D1645" s="230">
        <f t="shared" si="227"/>
        <v>157.5856648575305</v>
      </c>
      <c r="E1645" s="215">
        <v>15</v>
      </c>
      <c r="F1645" s="511">
        <f t="shared" si="224"/>
        <v>172.59</v>
      </c>
      <c r="G1645" s="518" t="s">
        <v>4959</v>
      </c>
      <c r="H1645" s="518" t="s">
        <v>1249</v>
      </c>
      <c r="I1645" s="452" t="s">
        <v>11565</v>
      </c>
      <c r="J1645" s="369" t="s">
        <v>753</v>
      </c>
      <c r="K1645" s="452" t="s">
        <v>741</v>
      </c>
    </row>
    <row r="1646" spans="1:11" s="317" customFormat="1">
      <c r="A1646" s="369"/>
      <c r="B1646" s="518" t="s">
        <v>13524</v>
      </c>
      <c r="C1646" s="196">
        <v>399</v>
      </c>
      <c r="D1646" s="230">
        <f t="shared" ref="D1646" si="228">C1646*(1-VLOOKUP(I1646,descuentos,6,FALSE))*fcl/IF(dol_sol="dólar", TC,1)</f>
        <v>122.56662822252375</v>
      </c>
      <c r="E1646" s="215">
        <v>15</v>
      </c>
      <c r="F1646" s="511">
        <f t="shared" si="224"/>
        <v>137.57</v>
      </c>
      <c r="G1646" s="518" t="s">
        <v>13525</v>
      </c>
      <c r="H1646" s="518" t="s">
        <v>13526</v>
      </c>
      <c r="I1646" s="452" t="s">
        <v>11565</v>
      </c>
      <c r="J1646" s="369" t="s">
        <v>753</v>
      </c>
      <c r="K1646" s="452" t="s">
        <v>741</v>
      </c>
    </row>
    <row r="1647" spans="1:11" s="317" customFormat="1">
      <c r="A1647" s="369"/>
      <c r="B1647" s="518" t="s">
        <v>6991</v>
      </c>
      <c r="C1647" s="196">
        <v>511</v>
      </c>
      <c r="D1647" s="230">
        <f>C1647*(1-VLOOKUP(I1647,descuentos,6,FALSE))*fcl/IF(dol_sol="dólar", TC,1)</f>
        <v>156.97129579375846</v>
      </c>
      <c r="E1647" s="215">
        <v>15</v>
      </c>
      <c r="F1647" s="511">
        <f t="shared" si="224"/>
        <v>171.98</v>
      </c>
      <c r="G1647" s="314" t="s">
        <v>6992</v>
      </c>
      <c r="H1647" s="518" t="s">
        <v>6993</v>
      </c>
      <c r="I1647" s="452" t="s">
        <v>11565</v>
      </c>
      <c r="J1647" s="369" t="s">
        <v>753</v>
      </c>
      <c r="K1647" s="452" t="s">
        <v>741</v>
      </c>
    </row>
    <row r="1648" spans="1:11" s="317" customFormat="1">
      <c r="A1648" s="1471"/>
      <c r="B1648" s="518" t="s">
        <v>6994</v>
      </c>
      <c r="C1648" s="196">
        <v>2025</v>
      </c>
      <c r="D1648" s="230">
        <f>C1648*(1-VLOOKUP(I1648,descuentos,6,FALSE))*fcl/IF(dol_sol="dólar", TC,1)</f>
        <v>622.04867706919947</v>
      </c>
      <c r="E1648" s="215">
        <v>15</v>
      </c>
      <c r="F1648" s="511">
        <f>ROUNDUP(D1648+E1648,2)</f>
        <v>637.04999999999995</v>
      </c>
      <c r="G1648" s="314" t="s">
        <v>6995</v>
      </c>
      <c r="H1648" s="518" t="s">
        <v>6996</v>
      </c>
      <c r="I1648" s="452" t="s">
        <v>11565</v>
      </c>
      <c r="J1648" s="369" t="s">
        <v>753</v>
      </c>
      <c r="K1648" s="452" t="s">
        <v>741</v>
      </c>
    </row>
    <row r="1649" spans="1:11" s="317" customFormat="1">
      <c r="A1649" s="369"/>
      <c r="B1649" s="518"/>
      <c r="C1649" s="196" t="s">
        <v>2024</v>
      </c>
      <c r="D1649" s="230"/>
      <c r="E1649" s="215"/>
      <c r="F1649" s="511"/>
      <c r="G1649" s="314"/>
      <c r="H1649" s="518"/>
      <c r="I1649" s="452"/>
      <c r="J1649" s="369"/>
      <c r="K1649" s="452"/>
    </row>
    <row r="1650" spans="1:11" s="317" customFormat="1">
      <c r="A1650" s="369"/>
      <c r="B1650" s="518"/>
      <c r="C1650" s="196" t="s">
        <v>2024</v>
      </c>
      <c r="D1650" s="230"/>
      <c r="E1650" s="215"/>
      <c r="F1650" s="511"/>
      <c r="G1650" s="314"/>
      <c r="H1650" s="518"/>
      <c r="I1650" s="452"/>
      <c r="J1650" s="369"/>
      <c r="K1650" s="452"/>
    </row>
    <row r="1651" spans="1:11" s="317" customFormat="1">
      <c r="A1651" s="454"/>
      <c r="B1651" s="473"/>
      <c r="C1651" s="474" t="s">
        <v>2024</v>
      </c>
      <c r="D1651" s="475"/>
      <c r="E1651" s="476"/>
      <c r="F1651" s="482"/>
      <c r="G1651" s="483"/>
      <c r="H1651" s="473"/>
      <c r="I1651" s="454"/>
      <c r="J1651" s="454"/>
      <c r="K1651" s="454"/>
    </row>
    <row r="1652" spans="1:11" s="317" customFormat="1">
      <c r="A1652" s="369"/>
      <c r="B1652" s="518" t="s">
        <v>1247</v>
      </c>
      <c r="C1652" s="196">
        <v>3174</v>
      </c>
      <c r="D1652" s="230">
        <f>C1652*(1-VLOOKUP(I1652,descuentos,6,FALSE))*fcl/IF(dol_sol="dólar", TC,1)</f>
        <v>975.00370420624142</v>
      </c>
      <c r="E1652" s="215">
        <v>15</v>
      </c>
      <c r="F1652" s="511">
        <f t="shared" si="224"/>
        <v>990.01</v>
      </c>
      <c r="G1652" s="518" t="s">
        <v>2300</v>
      </c>
      <c r="H1652" s="518" t="s">
        <v>1242</v>
      </c>
      <c r="I1652" s="452" t="s">
        <v>11565</v>
      </c>
      <c r="J1652" s="369" t="s">
        <v>753</v>
      </c>
      <c r="K1652" s="452" t="s">
        <v>741</v>
      </c>
    </row>
    <row r="1653" spans="1:11" s="317" customFormat="1">
      <c r="A1653" s="369"/>
      <c r="B1653" s="518" t="s">
        <v>1241</v>
      </c>
      <c r="C1653" s="196">
        <v>529</v>
      </c>
      <c r="D1653" s="230">
        <f>C1653*(1-VLOOKUP(I1653,descuentos,6,FALSE))*fcl/IF(dol_sol="dólar", TC,1)</f>
        <v>162.50061736770689</v>
      </c>
      <c r="E1653" s="215">
        <v>15</v>
      </c>
      <c r="F1653" s="511">
        <f t="shared" si="224"/>
        <v>177.51</v>
      </c>
      <c r="G1653" s="518" t="s">
        <v>4960</v>
      </c>
      <c r="H1653" s="518" t="s">
        <v>1243</v>
      </c>
      <c r="I1653" s="452" t="s">
        <v>11565</v>
      </c>
      <c r="J1653" s="369" t="s">
        <v>753</v>
      </c>
      <c r="K1653" s="452" t="s">
        <v>741</v>
      </c>
    </row>
    <row r="1654" spans="1:11" s="317" customFormat="1">
      <c r="A1654" s="369"/>
      <c r="B1654" s="518" t="s">
        <v>1248</v>
      </c>
      <c r="C1654" s="196">
        <v>529</v>
      </c>
      <c r="D1654" s="230">
        <f>C1654*(1-VLOOKUP(I1654,descuentos,6,FALSE))*fcl/IF(dol_sol="dólar", TC,1)</f>
        <v>162.50061736770689</v>
      </c>
      <c r="E1654" s="215">
        <v>15</v>
      </c>
      <c r="F1654" s="511">
        <f t="shared" si="224"/>
        <v>177.51</v>
      </c>
      <c r="G1654" s="518" t="s">
        <v>4961</v>
      </c>
      <c r="H1654" s="518" t="s">
        <v>1244</v>
      </c>
      <c r="I1654" s="452" t="s">
        <v>11565</v>
      </c>
      <c r="J1654" s="369" t="s">
        <v>753</v>
      </c>
      <c r="K1654" s="452" t="s">
        <v>741</v>
      </c>
    </row>
    <row r="1655" spans="1:11" s="317" customFormat="1">
      <c r="A1655" s="369"/>
      <c r="B1655" s="518" t="s">
        <v>1245</v>
      </c>
      <c r="C1655" s="196">
        <v>585</v>
      </c>
      <c r="D1655" s="230">
        <f>C1655*(1-VLOOKUP(I1655,descuentos,6,FALSE))*fcl/IF(dol_sol="dólar", TC,1)</f>
        <v>179.70295115332428</v>
      </c>
      <c r="E1655" s="215">
        <v>15</v>
      </c>
      <c r="F1655" s="511">
        <f t="shared" si="224"/>
        <v>194.70999999999998</v>
      </c>
      <c r="G1655" s="518" t="s">
        <v>4962</v>
      </c>
      <c r="H1655" s="518" t="s">
        <v>1246</v>
      </c>
      <c r="I1655" s="452" t="s">
        <v>11565</v>
      </c>
      <c r="J1655" s="369" t="s">
        <v>753</v>
      </c>
      <c r="K1655" s="452" t="s">
        <v>741</v>
      </c>
    </row>
    <row r="1656" spans="1:11" s="317" customFormat="1">
      <c r="A1656" s="1471"/>
      <c r="B1656" s="518" t="s">
        <v>6997</v>
      </c>
      <c r="C1656" s="196">
        <v>760</v>
      </c>
      <c r="D1656" s="230">
        <f>C1656*(1-VLOOKUP(I1656,descuentos,6,FALSE))*fcl/IF(dol_sol="dólar", TC,1)</f>
        <v>233.46024423337852</v>
      </c>
      <c r="E1656" s="215">
        <v>15</v>
      </c>
      <c r="F1656" s="511">
        <f>ROUNDUP(D1656+E1656,2)</f>
        <v>248.47</v>
      </c>
      <c r="G1656" s="314" t="s">
        <v>6998</v>
      </c>
      <c r="H1656" s="518" t="s">
        <v>2737</v>
      </c>
      <c r="I1656" s="452" t="s">
        <v>11565</v>
      </c>
      <c r="J1656" s="369" t="s">
        <v>753</v>
      </c>
      <c r="K1656" s="452" t="s">
        <v>741</v>
      </c>
    </row>
    <row r="1657" spans="1:11" s="317" customFormat="1">
      <c r="A1657" s="454"/>
      <c r="B1657" s="473"/>
      <c r="C1657" s="474" t="s">
        <v>2024</v>
      </c>
      <c r="D1657" s="475"/>
      <c r="E1657" s="476"/>
      <c r="F1657" s="482"/>
      <c r="G1657" s="483"/>
      <c r="H1657" s="473"/>
      <c r="I1657" s="454"/>
      <c r="J1657" s="454"/>
      <c r="K1657" s="454"/>
    </row>
    <row r="1658" spans="1:11" s="317" customFormat="1">
      <c r="A1658" s="369"/>
      <c r="B1658" s="518"/>
      <c r="C1658" s="196" t="s">
        <v>2024</v>
      </c>
      <c r="D1658" s="230"/>
      <c r="E1658" s="215"/>
      <c r="F1658" s="511">
        <f t="shared" si="224"/>
        <v>0</v>
      </c>
      <c r="G1658"/>
      <c r="H1658" s="518"/>
      <c r="I1658" s="452"/>
      <c r="J1658" s="369"/>
      <c r="K1658" s="452"/>
    </row>
    <row r="1659" spans="1:11" s="317" customFormat="1">
      <c r="A1659" s="369"/>
      <c r="B1659" s="518" t="s">
        <v>1707</v>
      </c>
      <c r="C1659" s="196">
        <v>552</v>
      </c>
      <c r="D1659" s="230">
        <f>C1659*(1-VLOOKUP(I1659,descuentos,6,FALSE))*fcl/IF(dol_sol="dólar", TC,1)</f>
        <v>169.56586160108549</v>
      </c>
      <c r="E1659" s="215">
        <v>15</v>
      </c>
      <c r="F1659" s="511">
        <f t="shared" si="224"/>
        <v>184.57</v>
      </c>
      <c r="G1659" s="518" t="s">
        <v>4963</v>
      </c>
      <c r="H1659" s="518" t="s">
        <v>1708</v>
      </c>
      <c r="I1659" s="452" t="s">
        <v>11565</v>
      </c>
      <c r="J1659" s="369" t="s">
        <v>753</v>
      </c>
      <c r="K1659" s="452" t="s">
        <v>741</v>
      </c>
    </row>
    <row r="1660" spans="1:11">
      <c r="A1660" s="369"/>
      <c r="B1660" s="518" t="s">
        <v>1709</v>
      </c>
      <c r="C1660" s="196">
        <v>552</v>
      </c>
      <c r="D1660" s="230">
        <f>C1660*(1-VLOOKUP(I1660,descuentos,6,FALSE))*fcl/IF(dol_sol="dólar", TC,1)</f>
        <v>169.56586160108549</v>
      </c>
      <c r="E1660" s="215">
        <v>15</v>
      </c>
      <c r="F1660" s="511">
        <f t="shared" si="224"/>
        <v>184.57</v>
      </c>
      <c r="G1660" s="518" t="s">
        <v>4964</v>
      </c>
      <c r="H1660" s="518" t="s">
        <v>1710</v>
      </c>
      <c r="I1660" s="452" t="s">
        <v>11565</v>
      </c>
      <c r="J1660" s="369" t="s">
        <v>753</v>
      </c>
      <c r="K1660" s="452" t="s">
        <v>741</v>
      </c>
    </row>
    <row r="1661" spans="1:11">
      <c r="A1661" s="369"/>
      <c r="B1661" s="518" t="s">
        <v>1711</v>
      </c>
      <c r="C1661" s="196">
        <v>614</v>
      </c>
      <c r="D1661" s="230">
        <f>C1661*(1-VLOOKUP(I1661,descuentos,6,FALSE))*fcl/IF(dol_sol="dólar", TC,1)</f>
        <v>188.61130257801895</v>
      </c>
      <c r="E1661" s="215">
        <v>15</v>
      </c>
      <c r="F1661" s="511">
        <f t="shared" si="224"/>
        <v>203.62</v>
      </c>
      <c r="G1661" s="518" t="s">
        <v>4965</v>
      </c>
      <c r="H1661" s="518" t="s">
        <v>1712</v>
      </c>
      <c r="I1661" s="452" t="s">
        <v>11565</v>
      </c>
      <c r="J1661" s="369" t="s">
        <v>753</v>
      </c>
      <c r="K1661" s="452" t="s">
        <v>741</v>
      </c>
    </row>
    <row r="1662" spans="1:11">
      <c r="A1662" s="369"/>
      <c r="B1662" s="518"/>
      <c r="C1662" s="196" t="s">
        <v>2024</v>
      </c>
      <c r="D1662" s="230"/>
      <c r="E1662" s="215"/>
      <c r="F1662" s="511">
        <f t="shared" si="224"/>
        <v>0</v>
      </c>
      <c r="G1662" s="518"/>
      <c r="H1662" s="518"/>
      <c r="I1662" s="452"/>
      <c r="J1662" s="369"/>
      <c r="K1662" s="452"/>
    </row>
    <row r="1663" spans="1:11" s="317" customFormat="1">
      <c r="A1663" s="369"/>
      <c r="B1663" s="518" t="s">
        <v>6999</v>
      </c>
      <c r="C1663" s="196">
        <v>198</v>
      </c>
      <c r="D1663" s="230">
        <f>C1663*(1-VLOOKUP(I1663,descuentos,6,FALSE))*fcl/IF(dol_sol="dólar", TC,1)</f>
        <v>60.822537313432832</v>
      </c>
      <c r="E1663" s="215">
        <v>15</v>
      </c>
      <c r="F1663" s="511">
        <f>ROUNDUP(D1663+E1663,2)</f>
        <v>75.83</v>
      </c>
      <c r="G1663" s="518" t="s">
        <v>9509</v>
      </c>
      <c r="H1663" s="518" t="s">
        <v>7000</v>
      </c>
      <c r="I1663" s="452" t="s">
        <v>11565</v>
      </c>
      <c r="J1663" s="369" t="s">
        <v>753</v>
      </c>
      <c r="K1663" s="452" t="s">
        <v>741</v>
      </c>
    </row>
    <row r="1664" spans="1:11" s="317" customFormat="1">
      <c r="A1664" s="1464"/>
      <c r="B1664" s="518" t="s">
        <v>5406</v>
      </c>
      <c r="C1664" s="196">
        <v>487</v>
      </c>
      <c r="D1664" s="345">
        <f>C1664*(1-VLOOKUP(I1664,descuentos,6,FALSE))*fcl/IF(dol_sol="dólar", TC,1)</f>
        <v>149.59886702849388</v>
      </c>
      <c r="E1664" s="549">
        <v>20</v>
      </c>
      <c r="F1664" s="508">
        <f>ROUNDUP(D1664+E1664,2)</f>
        <v>169.6</v>
      </c>
      <c r="G1664" s="314" t="s">
        <v>7001</v>
      </c>
      <c r="H1664" s="518" t="s">
        <v>5407</v>
      </c>
      <c r="I1664" s="452" t="s">
        <v>11565</v>
      </c>
      <c r="J1664" s="369" t="s">
        <v>753</v>
      </c>
      <c r="K1664" s="452" t="s">
        <v>741</v>
      </c>
    </row>
    <row r="1665" spans="1:11" s="317" customFormat="1">
      <c r="A1665" s="1464"/>
      <c r="B1665" s="518" t="s">
        <v>5408</v>
      </c>
      <c r="C1665" s="196">
        <v>503</v>
      </c>
      <c r="D1665" s="345">
        <f>C1665*(1-VLOOKUP(I1665,descuentos,6,FALSE))*fcl/IF(dol_sol="dólar", TC,1)</f>
        <v>154.51381953867028</v>
      </c>
      <c r="E1665" s="549">
        <v>20</v>
      </c>
      <c r="F1665" s="508">
        <f>ROUNDUP(D1665+E1665,2)</f>
        <v>174.51999999999998</v>
      </c>
      <c r="G1665" s="314" t="s">
        <v>7002</v>
      </c>
      <c r="H1665" s="518" t="s">
        <v>5409</v>
      </c>
      <c r="I1665" s="452" t="s">
        <v>11565</v>
      </c>
      <c r="J1665" s="369" t="s">
        <v>753</v>
      </c>
      <c r="K1665" s="452" t="s">
        <v>741</v>
      </c>
    </row>
    <row r="1666" spans="1:11" s="317" customFormat="1">
      <c r="A1666" s="1464"/>
      <c r="B1666" s="518" t="s">
        <v>5410</v>
      </c>
      <c r="C1666" s="196">
        <v>515</v>
      </c>
      <c r="D1666" s="345">
        <f>C1666*(1-VLOOKUP(I1666,descuentos,6,FALSE))*fcl/IF(dol_sol="dólar", TC,1)</f>
        <v>158.20003392130258</v>
      </c>
      <c r="E1666" s="549">
        <v>25</v>
      </c>
      <c r="F1666" s="508">
        <f>ROUNDUP(D1666+E1666,2)</f>
        <v>183.20999999999998</v>
      </c>
      <c r="G1666" s="314" t="s">
        <v>7003</v>
      </c>
      <c r="H1666" s="518" t="s">
        <v>5411</v>
      </c>
      <c r="I1666" s="452" t="s">
        <v>11565</v>
      </c>
      <c r="J1666" s="369" t="s">
        <v>753</v>
      </c>
      <c r="K1666" s="452" t="s">
        <v>741</v>
      </c>
    </row>
    <row r="1667" spans="1:11" s="317" customFormat="1">
      <c r="A1667" s="369"/>
      <c r="B1667" s="518"/>
      <c r="C1667" s="196" t="s">
        <v>2024</v>
      </c>
      <c r="D1667" s="230"/>
      <c r="E1667" s="215"/>
      <c r="F1667" s="511"/>
      <c r="G1667" s="518"/>
      <c r="H1667" s="518"/>
      <c r="I1667" s="452"/>
      <c r="J1667" s="369"/>
      <c r="K1667" s="452"/>
    </row>
    <row r="1668" spans="1:11" s="317" customFormat="1">
      <c r="A1668" s="1464"/>
      <c r="B1668" s="518" t="s">
        <v>7004</v>
      </c>
      <c r="C1668" s="196">
        <v>114</v>
      </c>
      <c r="D1668" s="345">
        <f>C1668*(1-VLOOKUP(I1668,descuentos,6,FALSE))*fcl/IF(dol_sol="dólar", TC,1)</f>
        <v>35.019036635006785</v>
      </c>
      <c r="E1668" s="549">
        <v>10</v>
      </c>
      <c r="F1668" s="508">
        <f>ROUNDUP(D1668+E1668,2)</f>
        <v>45.019999999999996</v>
      </c>
      <c r="G1668" s="314" t="s">
        <v>7005</v>
      </c>
      <c r="H1668" s="518" t="s">
        <v>7006</v>
      </c>
      <c r="I1668" s="452" t="s">
        <v>11565</v>
      </c>
      <c r="J1668" s="369" t="s">
        <v>753</v>
      </c>
      <c r="K1668" s="452" t="s">
        <v>741</v>
      </c>
    </row>
    <row r="1669" spans="1:11" s="317" customFormat="1">
      <c r="A1669" s="369"/>
      <c r="B1669" s="518"/>
      <c r="C1669" s="196" t="s">
        <v>2024</v>
      </c>
      <c r="D1669" s="230"/>
      <c r="E1669" s="215"/>
      <c r="F1669" s="511"/>
      <c r="G1669" s="314"/>
      <c r="H1669" s="518"/>
      <c r="I1669" s="452"/>
      <c r="J1669" s="369"/>
      <c r="K1669" s="452"/>
    </row>
    <row r="1670" spans="1:11">
      <c r="A1670" s="1470"/>
      <c r="B1670" s="566" t="s">
        <v>7007</v>
      </c>
      <c r="C1670" s="560">
        <v>272</v>
      </c>
      <c r="D1670" s="229">
        <f>C1670*(1-VLOOKUP(I1670,descuentos,6,FALSE))*fcl/IF(dol_sol="dólar", TC,1)</f>
        <v>83.554192672998639</v>
      </c>
      <c r="E1670" s="215">
        <v>8</v>
      </c>
      <c r="F1670" s="511">
        <f>ROUNDUP(D1670+E1670,2)</f>
        <v>91.56</v>
      </c>
      <c r="G1670" s="518" t="s">
        <v>7008</v>
      </c>
      <c r="H1670" s="566" t="s">
        <v>7009</v>
      </c>
      <c r="I1670" s="562" t="s">
        <v>11565</v>
      </c>
      <c r="J1670" s="558" t="s">
        <v>753</v>
      </c>
      <c r="K1670" s="562" t="s">
        <v>741</v>
      </c>
    </row>
    <row r="1671" spans="1:11">
      <c r="A1671" s="1470"/>
      <c r="B1671" s="566" t="s">
        <v>7010</v>
      </c>
      <c r="C1671" s="560">
        <v>286</v>
      </c>
      <c r="D1671" s="229">
        <f>C1671*(1-VLOOKUP(I1671,descuentos,6,FALSE))*fcl/IF(dol_sol="dólar", TC,1)</f>
        <v>87.85477611940297</v>
      </c>
      <c r="E1671" s="215">
        <v>8</v>
      </c>
      <c r="F1671" s="511">
        <f>ROUNDUP(D1671+E1671,2)</f>
        <v>95.86</v>
      </c>
      <c r="G1671" s="518" t="s">
        <v>7011</v>
      </c>
      <c r="H1671" s="566" t="s">
        <v>7012</v>
      </c>
      <c r="I1671" s="562" t="s">
        <v>11565</v>
      </c>
      <c r="J1671" s="558" t="s">
        <v>753</v>
      </c>
      <c r="K1671" s="562" t="s">
        <v>741</v>
      </c>
    </row>
    <row r="1672" spans="1:11">
      <c r="A1672" s="1470"/>
      <c r="B1672" s="566" t="s">
        <v>7013</v>
      </c>
      <c r="C1672" s="560">
        <v>301</v>
      </c>
      <c r="D1672" s="229">
        <f>C1672*(1-VLOOKUP(I1672,descuentos,6,FALSE))*fcl/IF(dol_sol="dólar", TC,1)</f>
        <v>92.462544097693353</v>
      </c>
      <c r="E1672" s="215">
        <v>10</v>
      </c>
      <c r="F1672" s="511">
        <f>ROUNDUP(D1672+E1672,2)</f>
        <v>102.47</v>
      </c>
      <c r="G1672" s="518" t="s">
        <v>7014</v>
      </c>
      <c r="H1672" s="566" t="s">
        <v>7015</v>
      </c>
      <c r="I1672" s="562" t="s">
        <v>11565</v>
      </c>
      <c r="J1672" s="558" t="s">
        <v>753</v>
      </c>
      <c r="K1672" s="562" t="s">
        <v>741</v>
      </c>
    </row>
    <row r="1673" spans="1:11">
      <c r="A1673" s="1470"/>
      <c r="B1673" s="566" t="s">
        <v>7016</v>
      </c>
      <c r="C1673" s="560">
        <v>179</v>
      </c>
      <c r="D1673" s="229">
        <f>C1673*(1-VLOOKUP(I1673,descuentos,6,FALSE))*fcl/IF(dol_sol="dólar", TC,1)</f>
        <v>54.986031207598373</v>
      </c>
      <c r="E1673" s="215">
        <v>10</v>
      </c>
      <c r="F1673" s="511">
        <f>ROUNDUP(D1673+E1673,2)</f>
        <v>64.990000000000009</v>
      </c>
      <c r="G1673" s="518" t="s">
        <v>7017</v>
      </c>
      <c r="H1673" s="566" t="s">
        <v>7018</v>
      </c>
      <c r="I1673" s="562" t="s">
        <v>11565</v>
      </c>
      <c r="J1673" s="558" t="s">
        <v>753</v>
      </c>
      <c r="K1673" s="562" t="s">
        <v>741</v>
      </c>
    </row>
    <row r="1674" spans="1:11">
      <c r="A1674" s="369"/>
      <c r="B1674" s="518"/>
      <c r="C1674" s="196" t="s">
        <v>2024</v>
      </c>
      <c r="D1674" s="230"/>
      <c r="E1674" s="215"/>
      <c r="F1674" s="511">
        <f t="shared" si="224"/>
        <v>0</v>
      </c>
      <c r="G1674" s="518"/>
      <c r="H1674" s="518"/>
      <c r="I1674" s="452"/>
      <c r="J1674" s="369"/>
      <c r="K1674" s="452"/>
    </row>
    <row r="1675" spans="1:11">
      <c r="A1675" s="1470"/>
      <c r="B1675" s="566" t="s">
        <v>7019</v>
      </c>
      <c r="C1675" s="560">
        <v>1299</v>
      </c>
      <c r="D1675" s="229">
        <f>C1675*(1-VLOOKUP(I1675,descuentos,6,FALSE))*fcl/IF(dol_sol="dólar", TC,1)</f>
        <v>399.03270691994572</v>
      </c>
      <c r="E1675" s="215">
        <v>10</v>
      </c>
      <c r="F1675" s="511">
        <f t="shared" si="224"/>
        <v>409.03999999999996</v>
      </c>
      <c r="G1675" s="518" t="s">
        <v>7020</v>
      </c>
      <c r="H1675" s="566" t="s">
        <v>7021</v>
      </c>
      <c r="I1675" s="562" t="s">
        <v>11565</v>
      </c>
      <c r="J1675" s="558" t="s">
        <v>753</v>
      </c>
      <c r="K1675" s="562" t="s">
        <v>741</v>
      </c>
    </row>
    <row r="1676" spans="1:11">
      <c r="A1676" s="1373"/>
      <c r="B1676" s="566" t="s">
        <v>7022</v>
      </c>
      <c r="C1676" s="560">
        <v>4310</v>
      </c>
      <c r="D1676" s="229">
        <f>C1676*(1-VLOOKUP(I1676,descuentos,6,FALSE))*fcl/IF(dol_sol="dólar", TC,1)</f>
        <v>1323.9653324287651</v>
      </c>
      <c r="E1676" s="215">
        <v>20</v>
      </c>
      <c r="F1676" s="511">
        <f>ROUNDUP(D1676+E1676,2)</f>
        <v>1343.97</v>
      </c>
      <c r="G1676" s="518" t="s">
        <v>7023</v>
      </c>
      <c r="H1676" s="566" t="s">
        <v>7024</v>
      </c>
      <c r="I1676" s="562" t="s">
        <v>11565</v>
      </c>
      <c r="J1676" s="558" t="s">
        <v>753</v>
      </c>
      <c r="K1676" s="562" t="s">
        <v>741</v>
      </c>
    </row>
    <row r="1677" spans="1:11" s="185" customFormat="1">
      <c r="A1677" s="1373"/>
      <c r="B1677" s="566" t="s">
        <v>7025</v>
      </c>
      <c r="C1677" s="560">
        <v>4373</v>
      </c>
      <c r="D1677" s="229">
        <f>C1677*(1-VLOOKUP(I1677,descuentos,6,FALSE))*fcl/IF(dol_sol="dólar", TC,1)</f>
        <v>1343.3179579375847</v>
      </c>
      <c r="E1677" s="215">
        <v>20</v>
      </c>
      <c r="F1677" s="511">
        <f>ROUNDUP(D1677+E1677,2)</f>
        <v>1363.32</v>
      </c>
      <c r="G1677" s="518" t="s">
        <v>7026</v>
      </c>
      <c r="H1677" s="566" t="s">
        <v>7027</v>
      </c>
      <c r="I1677" s="562" t="s">
        <v>11565</v>
      </c>
      <c r="J1677" s="558" t="s">
        <v>753</v>
      </c>
      <c r="K1677" s="562" t="s">
        <v>741</v>
      </c>
    </row>
    <row r="1678" spans="1:11" s="185" customFormat="1">
      <c r="A1678" s="515"/>
      <c r="B1678" s="566"/>
      <c r="C1678" s="560" t="s">
        <v>2024</v>
      </c>
      <c r="D1678" s="229"/>
      <c r="E1678" s="215"/>
      <c r="F1678" s="511"/>
      <c r="G1678" s="518"/>
      <c r="H1678" s="566"/>
      <c r="I1678" s="562"/>
      <c r="J1678" s="558"/>
      <c r="K1678" s="562"/>
    </row>
    <row r="1679" spans="1:11" s="317" customFormat="1">
      <c r="A1679" s="369"/>
      <c r="B1679" s="518"/>
      <c r="C1679" s="196" t="s">
        <v>2024</v>
      </c>
      <c r="D1679" s="230"/>
      <c r="E1679" s="215"/>
      <c r="F1679" s="511"/>
      <c r="G1679" s="314"/>
      <c r="H1679" s="518"/>
      <c r="I1679" s="452"/>
      <c r="J1679" s="369"/>
      <c r="K1679" s="452"/>
    </row>
    <row r="1680" spans="1:11" s="317" customFormat="1">
      <c r="A1680" s="369"/>
      <c r="B1680" s="2307" t="s">
        <v>13527</v>
      </c>
      <c r="C1680" s="2308">
        <v>568</v>
      </c>
      <c r="D1680" s="230">
        <f t="shared" ref="D1680" si="229">C1680*(1-VLOOKUP(I1680,descuentos,6,FALSE))*fcl/IF(dol_sol="dólar", TC,1)</f>
        <v>174.48081411126188</v>
      </c>
      <c r="E1680" s="215">
        <v>6</v>
      </c>
      <c r="F1680" s="511">
        <f t="shared" ref="F1680:F1682" si="230">ROUNDUP(D1680+E1680,2)</f>
        <v>180.48999999999998</v>
      </c>
      <c r="G1680" s="518" t="s">
        <v>13528</v>
      </c>
      <c r="H1680" s="518" t="s">
        <v>13529</v>
      </c>
      <c r="I1680" s="452" t="s">
        <v>11565</v>
      </c>
      <c r="J1680" s="369" t="s">
        <v>753</v>
      </c>
      <c r="K1680" s="452" t="s">
        <v>741</v>
      </c>
    </row>
    <row r="1681" spans="1:11" s="317" customFormat="1">
      <c r="A1681" s="369"/>
      <c r="B1681" s="2307" t="s">
        <v>13530</v>
      </c>
      <c r="C1681" s="2308">
        <v>779</v>
      </c>
      <c r="D1681" s="230">
        <f>C1681*(1-VLOOKUP(I1681,descuentos,6,FALSE))*fcl/IF(dol_sol="dólar", TC,1)</f>
        <v>239.29675033921299</v>
      </c>
      <c r="E1681" s="215">
        <v>4</v>
      </c>
      <c r="F1681" s="511">
        <f t="shared" si="230"/>
        <v>243.29999999999998</v>
      </c>
      <c r="G1681" s="518" t="s">
        <v>13531</v>
      </c>
      <c r="H1681" s="518" t="s">
        <v>13532</v>
      </c>
      <c r="I1681" s="452" t="s">
        <v>11565</v>
      </c>
      <c r="J1681" s="369" t="s">
        <v>753</v>
      </c>
      <c r="K1681" s="452" t="s">
        <v>741</v>
      </c>
    </row>
    <row r="1682" spans="1:11" s="317" customFormat="1">
      <c r="A1682" s="369"/>
      <c r="B1682" s="2307" t="s">
        <v>13533</v>
      </c>
      <c r="C1682" s="2308">
        <v>227</v>
      </c>
      <c r="D1682" s="230">
        <f>C1682*(1-VLOOKUP(I1682,descuentos,6,FALSE))*fcl/IF(dol_sol="dólar", TC,1)</f>
        <v>69.730888738127533</v>
      </c>
      <c r="E1682" s="215">
        <v>4</v>
      </c>
      <c r="F1682" s="511">
        <f t="shared" si="230"/>
        <v>73.740000000000009</v>
      </c>
      <c r="G1682" s="518" t="s">
        <v>13534</v>
      </c>
      <c r="H1682" s="518" t="s">
        <v>13535</v>
      </c>
      <c r="I1682" s="452" t="s">
        <v>11565</v>
      </c>
      <c r="J1682" s="369" t="s">
        <v>753</v>
      </c>
      <c r="K1682" s="452" t="s">
        <v>741</v>
      </c>
    </row>
    <row r="1683" spans="1:11" s="185" customFormat="1">
      <c r="A1683" s="515"/>
      <c r="B1683" s="566"/>
      <c r="C1683" s="560" t="s">
        <v>2024</v>
      </c>
      <c r="D1683" s="229"/>
      <c r="E1683" s="215"/>
      <c r="F1683" s="511"/>
      <c r="G1683" s="518"/>
      <c r="H1683" s="566"/>
      <c r="I1683" s="562"/>
      <c r="J1683" s="558"/>
      <c r="K1683" s="562"/>
    </row>
    <row r="1684" spans="1:11">
      <c r="A1684" s="369"/>
      <c r="B1684" s="518"/>
      <c r="C1684" s="196" t="s">
        <v>2024</v>
      </c>
      <c r="D1684" s="230"/>
      <c r="E1684" s="215"/>
      <c r="F1684" s="511">
        <f>ROUNDUP(D1684+E1684,2)</f>
        <v>0</v>
      </c>
      <c r="G1684" s="518"/>
      <c r="H1684" s="518"/>
      <c r="I1684" s="452"/>
      <c r="J1684" s="369"/>
      <c r="K1684" s="452"/>
    </row>
    <row r="1685" spans="1:11">
      <c r="A1685" s="369"/>
      <c r="B1685" s="518" t="s">
        <v>1284</v>
      </c>
      <c r="C1685" s="196">
        <v>240</v>
      </c>
      <c r="D1685" s="230">
        <f>C1685*(1-VLOOKUP(I1685,descuentos,6,FALSE))*fcl/IF(dol_sol="dólar", TC,1)</f>
        <v>73.724287652645856</v>
      </c>
      <c r="E1685" s="215">
        <v>8</v>
      </c>
      <c r="F1685" s="511">
        <f t="shared" si="224"/>
        <v>81.73</v>
      </c>
      <c r="G1685" s="518" t="s">
        <v>7028</v>
      </c>
      <c r="H1685" s="518" t="s">
        <v>1283</v>
      </c>
      <c r="I1685" s="452" t="s">
        <v>11565</v>
      </c>
      <c r="J1685" s="369" t="s">
        <v>753</v>
      </c>
      <c r="K1685" s="452" t="s">
        <v>741</v>
      </c>
    </row>
    <row r="1686" spans="1:11">
      <c r="A1686" s="369"/>
      <c r="B1686" s="518" t="s">
        <v>1282</v>
      </c>
      <c r="C1686" s="196">
        <v>479</v>
      </c>
      <c r="D1686" s="230">
        <f>C1686*(1-VLOOKUP(I1686,descuentos,6,FALSE))*fcl/IF(dol_sol="dólar", TC,1)</f>
        <v>147.14139077340567</v>
      </c>
      <c r="E1686" s="215">
        <v>8</v>
      </c>
      <c r="F1686" s="511">
        <f t="shared" si="224"/>
        <v>155.14999999999998</v>
      </c>
      <c r="G1686" s="518" t="s">
        <v>2304</v>
      </c>
      <c r="H1686" s="518" t="s">
        <v>1281</v>
      </c>
      <c r="I1686" s="452" t="s">
        <v>11565</v>
      </c>
      <c r="J1686" s="369" t="s">
        <v>753</v>
      </c>
      <c r="K1686" s="452" t="s">
        <v>741</v>
      </c>
    </row>
    <row r="1687" spans="1:11">
      <c r="A1687" s="369"/>
      <c r="B1687" s="518" t="s">
        <v>1293</v>
      </c>
      <c r="C1687" s="196">
        <v>302</v>
      </c>
      <c r="D1687" s="230">
        <f>C1687*(1-VLOOKUP(I1687,descuentos,6,FALSE))*fcl/IF(dol_sol="dólar", TC,1)</f>
        <v>92.769728629579376</v>
      </c>
      <c r="E1687" s="215">
        <v>8</v>
      </c>
      <c r="F1687" s="511">
        <f t="shared" si="224"/>
        <v>100.77000000000001</v>
      </c>
      <c r="G1687" s="518" t="s">
        <v>2305</v>
      </c>
      <c r="H1687" s="518" t="s">
        <v>1294</v>
      </c>
      <c r="I1687" s="452" t="s">
        <v>11565</v>
      </c>
      <c r="J1687" s="369" t="s">
        <v>753</v>
      </c>
      <c r="K1687" s="452" t="s">
        <v>741</v>
      </c>
    </row>
    <row r="1688" spans="1:11">
      <c r="A1688" s="369"/>
      <c r="B1688" s="518" t="s">
        <v>1295</v>
      </c>
      <c r="C1688" s="196">
        <v>272</v>
      </c>
      <c r="D1688" s="230">
        <f>C1688*(1-VLOOKUP(I1688,descuentos,6,FALSE))*fcl/IF(dol_sol="dólar", TC,1)</f>
        <v>83.554192672998639</v>
      </c>
      <c r="E1688" s="215">
        <v>8</v>
      </c>
      <c r="F1688" s="511">
        <f t="shared" si="224"/>
        <v>91.56</v>
      </c>
      <c r="G1688" s="518" t="s">
        <v>2306</v>
      </c>
      <c r="H1688" s="518" t="s">
        <v>1296</v>
      </c>
      <c r="I1688" s="452" t="s">
        <v>11565</v>
      </c>
      <c r="J1688" s="369" t="s">
        <v>753</v>
      </c>
      <c r="K1688" s="452" t="s">
        <v>741</v>
      </c>
    </row>
    <row r="1689" spans="1:11">
      <c r="A1689" s="369"/>
      <c r="B1689" s="518"/>
      <c r="C1689" s="196" t="s">
        <v>2024</v>
      </c>
      <c r="D1689" s="230"/>
      <c r="E1689" s="215"/>
      <c r="F1689" s="511">
        <f t="shared" si="224"/>
        <v>0</v>
      </c>
      <c r="G1689" s="518"/>
      <c r="H1689" s="518"/>
      <c r="I1689" s="452"/>
      <c r="J1689" s="369"/>
      <c r="K1689" s="452"/>
    </row>
    <row r="1690" spans="1:11">
      <c r="A1690" s="369"/>
      <c r="B1690" s="518" t="s">
        <v>1285</v>
      </c>
      <c r="C1690" s="555">
        <v>284</v>
      </c>
      <c r="D1690" s="230">
        <f>C1690*(1-VLOOKUP(I1690,descuentos,6,FALSE))*fcl/IF(dol_sol="dólar", TC,1)</f>
        <v>87.240407055630939</v>
      </c>
      <c r="E1690" s="215">
        <v>8</v>
      </c>
      <c r="F1690" s="511">
        <f t="shared" si="224"/>
        <v>95.25</v>
      </c>
      <c r="G1690" s="518" t="s">
        <v>2307</v>
      </c>
      <c r="H1690" s="518" t="s">
        <v>1286</v>
      </c>
      <c r="I1690" s="452" t="s">
        <v>11565</v>
      </c>
      <c r="J1690" s="369" t="s">
        <v>753</v>
      </c>
      <c r="K1690" s="452"/>
    </row>
    <row r="1691" spans="1:11">
      <c r="A1691" s="369"/>
      <c r="B1691" s="518" t="s">
        <v>1287</v>
      </c>
      <c r="C1691" s="555">
        <v>132</v>
      </c>
      <c r="D1691" s="230">
        <f>C1691*(1-VLOOKUP(I1691,descuentos,6,FALSE))*fcl/IF(dol_sol="dólar", TC,1)</f>
        <v>40.548358208955221</v>
      </c>
      <c r="E1691" s="215">
        <v>8</v>
      </c>
      <c r="F1691" s="511">
        <f t="shared" si="224"/>
        <v>48.55</v>
      </c>
      <c r="G1691" s="518" t="s">
        <v>2308</v>
      </c>
      <c r="H1691" s="518" t="s">
        <v>1288</v>
      </c>
      <c r="I1691" s="452" t="s">
        <v>11565</v>
      </c>
      <c r="J1691" s="369" t="s">
        <v>753</v>
      </c>
      <c r="K1691" s="452"/>
    </row>
    <row r="1692" spans="1:11">
      <c r="A1692" s="369"/>
      <c r="B1692" s="518" t="s">
        <v>1289</v>
      </c>
      <c r="C1692" s="555">
        <v>362</v>
      </c>
      <c r="D1692" s="230">
        <f>C1692*(1-VLOOKUP(I1692,descuentos,6,FALSE))*fcl/IF(dol_sol="dólar", TC,1)</f>
        <v>111.20080054274084</v>
      </c>
      <c r="E1692" s="215">
        <v>8</v>
      </c>
      <c r="F1692" s="511">
        <f t="shared" si="224"/>
        <v>119.21000000000001</v>
      </c>
      <c r="G1692" s="518" t="s">
        <v>2309</v>
      </c>
      <c r="H1692" s="518" t="s">
        <v>1291</v>
      </c>
      <c r="I1692" s="452" t="s">
        <v>11565</v>
      </c>
      <c r="J1692" s="369" t="s">
        <v>753</v>
      </c>
      <c r="K1692" s="452"/>
    </row>
    <row r="1693" spans="1:11">
      <c r="A1693" s="369"/>
      <c r="B1693" s="518" t="s">
        <v>1290</v>
      </c>
      <c r="C1693" s="555">
        <v>302</v>
      </c>
      <c r="D1693" s="230">
        <f>C1693*(1-VLOOKUP(I1693,descuentos,6,FALSE))*fcl/IF(dol_sol="dólar", TC,1)</f>
        <v>92.769728629579376</v>
      </c>
      <c r="E1693" s="215">
        <v>8</v>
      </c>
      <c r="F1693" s="511">
        <f t="shared" si="224"/>
        <v>100.77000000000001</v>
      </c>
      <c r="G1693" s="518" t="s">
        <v>2310</v>
      </c>
      <c r="H1693" s="518" t="s">
        <v>1292</v>
      </c>
      <c r="I1693" s="452" t="s">
        <v>11565</v>
      </c>
      <c r="J1693" s="369" t="s">
        <v>753</v>
      </c>
      <c r="K1693" s="452"/>
    </row>
    <row r="1694" spans="1:11">
      <c r="A1694" s="369"/>
      <c r="B1694" s="518"/>
      <c r="C1694" s="196" t="s">
        <v>2024</v>
      </c>
      <c r="D1694" s="230"/>
      <c r="E1694" s="215"/>
      <c r="F1694" s="511">
        <f t="shared" si="224"/>
        <v>0</v>
      </c>
      <c r="G1694" s="518"/>
      <c r="H1694" s="518"/>
      <c r="I1694" s="452"/>
      <c r="J1694" s="369"/>
      <c r="K1694" s="452"/>
    </row>
    <row r="1695" spans="1:11">
      <c r="A1695" s="369"/>
      <c r="B1695" s="518" t="s">
        <v>7029</v>
      </c>
      <c r="C1695" s="196">
        <v>253</v>
      </c>
      <c r="D1695" s="230">
        <f>C1695*(1-VLOOKUP(I1695,descuentos,6,FALSE))*fcl/IF(dol_sol="dólar", TC,1)</f>
        <v>77.717686567164165</v>
      </c>
      <c r="E1695" s="215">
        <v>10</v>
      </c>
      <c r="F1695" s="511">
        <f>ROUNDUP(D1695+E1695,2)</f>
        <v>87.72</v>
      </c>
      <c r="G1695" s="518" t="s">
        <v>7030</v>
      </c>
      <c r="H1695" s="518" t="s">
        <v>7031</v>
      </c>
      <c r="I1695" s="452" t="s">
        <v>11565</v>
      </c>
      <c r="J1695" s="369" t="s">
        <v>753</v>
      </c>
      <c r="K1695" s="452" t="s">
        <v>741</v>
      </c>
    </row>
    <row r="1696" spans="1:11">
      <c r="A1696" s="369"/>
      <c r="B1696" s="518" t="s">
        <v>7032</v>
      </c>
      <c r="C1696" s="196">
        <v>410</v>
      </c>
      <c r="D1696" s="230">
        <f>C1696*(1-VLOOKUP(I1696,descuentos,6,FALSE))*fcl/IF(dol_sol="dólar", TC,1)</f>
        <v>125.94565807327</v>
      </c>
      <c r="E1696" s="215">
        <v>10</v>
      </c>
      <c r="F1696" s="511">
        <f>ROUNDUP(D1696+E1696,2)</f>
        <v>135.94999999999999</v>
      </c>
      <c r="G1696" s="518" t="s">
        <v>7033</v>
      </c>
      <c r="H1696" s="518" t="s">
        <v>7034</v>
      </c>
      <c r="I1696" s="452" t="s">
        <v>11565</v>
      </c>
      <c r="J1696" s="369" t="s">
        <v>753</v>
      </c>
      <c r="K1696" s="452" t="s">
        <v>741</v>
      </c>
    </row>
    <row r="1697" spans="1:11">
      <c r="A1697" s="369"/>
      <c r="B1697" s="518"/>
      <c r="C1697" s="196" t="s">
        <v>2024</v>
      </c>
      <c r="D1697" s="230"/>
      <c r="E1697" s="215"/>
      <c r="F1697" s="511">
        <f t="shared" si="224"/>
        <v>0</v>
      </c>
      <c r="G1697" s="314"/>
      <c r="H1697" s="518"/>
      <c r="I1697" s="452"/>
      <c r="J1697" s="369"/>
      <c r="K1697" s="452"/>
    </row>
    <row r="1698" spans="1:11" ht="12" customHeight="1">
      <c r="A1698" s="369"/>
      <c r="B1698" s="518"/>
      <c r="C1698" s="196" t="s">
        <v>2024</v>
      </c>
      <c r="D1698" s="230"/>
      <c r="E1698" s="215"/>
      <c r="F1698" s="511">
        <f t="shared" si="224"/>
        <v>0</v>
      </c>
      <c r="G1698" s="518"/>
      <c r="H1698" s="518"/>
      <c r="I1698" s="452"/>
      <c r="J1698" s="369"/>
      <c r="K1698" s="452"/>
    </row>
    <row r="1699" spans="1:11">
      <c r="A1699" s="369"/>
      <c r="B1699" s="554" t="s">
        <v>1713</v>
      </c>
      <c r="C1699" s="346">
        <v>866</v>
      </c>
      <c r="D1699" s="345">
        <f t="shared" ref="D1699:D1706" si="231">C1699*(1-VLOOKUP(I1699,descuentos,6,FALSE))*fcl/IF(dol_sol="dólar", TC,1)</f>
        <v>266.02180461329715</v>
      </c>
      <c r="E1699" s="343">
        <v>60</v>
      </c>
      <c r="F1699" s="508">
        <f t="shared" si="224"/>
        <v>326.02999999999997</v>
      </c>
      <c r="G1699" s="518" t="s">
        <v>2311</v>
      </c>
      <c r="H1699" s="518" t="s">
        <v>1714</v>
      </c>
      <c r="I1699" s="452" t="s">
        <v>11565</v>
      </c>
      <c r="J1699" s="369" t="s">
        <v>753</v>
      </c>
      <c r="K1699" s="452" t="s">
        <v>741</v>
      </c>
    </row>
    <row r="1700" spans="1:11">
      <c r="A1700" s="369"/>
      <c r="B1700" s="552" t="s">
        <v>1715</v>
      </c>
      <c r="C1700" s="346">
        <v>886</v>
      </c>
      <c r="D1700" s="345">
        <f t="shared" si="231"/>
        <v>272.1654952510176</v>
      </c>
      <c r="E1700" s="343">
        <v>60</v>
      </c>
      <c r="F1700" s="508">
        <f t="shared" si="224"/>
        <v>332.17</v>
      </c>
      <c r="G1700" s="518" t="s">
        <v>2312</v>
      </c>
      <c r="H1700" s="518" t="s">
        <v>1716</v>
      </c>
      <c r="I1700" s="452" t="s">
        <v>11565</v>
      </c>
      <c r="J1700" s="369" t="s">
        <v>753</v>
      </c>
      <c r="K1700" s="452" t="s">
        <v>741</v>
      </c>
    </row>
    <row r="1701" spans="1:11">
      <c r="A1701" s="369"/>
      <c r="B1701" s="554" t="s">
        <v>1717</v>
      </c>
      <c r="C1701" s="196">
        <v>436</v>
      </c>
      <c r="D1701" s="230">
        <f t="shared" si="231"/>
        <v>133.93245590230663</v>
      </c>
      <c r="E1701" s="215">
        <v>0</v>
      </c>
      <c r="F1701" s="511">
        <f t="shared" si="224"/>
        <v>133.94</v>
      </c>
      <c r="G1701" s="518" t="s">
        <v>2313</v>
      </c>
      <c r="H1701" s="518" t="s">
        <v>1718</v>
      </c>
      <c r="I1701" s="452" t="s">
        <v>11565</v>
      </c>
      <c r="J1701" s="369" t="s">
        <v>753</v>
      </c>
      <c r="K1701" s="452" t="s">
        <v>741</v>
      </c>
    </row>
    <row r="1702" spans="1:11">
      <c r="A1702" s="369"/>
      <c r="B1702" s="550" t="s">
        <v>1719</v>
      </c>
      <c r="C1702" s="196">
        <v>444</v>
      </c>
      <c r="D1702" s="230">
        <f t="shared" si="231"/>
        <v>136.38993215739484</v>
      </c>
      <c r="E1702" s="215">
        <v>0</v>
      </c>
      <c r="F1702" s="511">
        <f t="shared" si="224"/>
        <v>136.38999999999999</v>
      </c>
      <c r="G1702" s="518" t="s">
        <v>2314</v>
      </c>
      <c r="H1702" s="518" t="s">
        <v>1720</v>
      </c>
      <c r="I1702" s="452" t="s">
        <v>11565</v>
      </c>
      <c r="J1702" s="369" t="s">
        <v>753</v>
      </c>
      <c r="K1702" s="452" t="s">
        <v>741</v>
      </c>
    </row>
    <row r="1703" spans="1:11">
      <c r="A1703" s="369"/>
      <c r="B1703" s="550" t="s">
        <v>1721</v>
      </c>
      <c r="C1703" s="196">
        <v>444</v>
      </c>
      <c r="D1703" s="230">
        <f t="shared" si="231"/>
        <v>136.38993215739484</v>
      </c>
      <c r="E1703" s="215">
        <v>0</v>
      </c>
      <c r="F1703" s="511">
        <f t="shared" si="224"/>
        <v>136.38999999999999</v>
      </c>
      <c r="G1703" s="518" t="s">
        <v>2315</v>
      </c>
      <c r="H1703" s="518" t="s">
        <v>1722</v>
      </c>
      <c r="I1703" s="452" t="s">
        <v>11565</v>
      </c>
      <c r="J1703" s="369" t="s">
        <v>753</v>
      </c>
      <c r="K1703" s="452" t="s">
        <v>741</v>
      </c>
    </row>
    <row r="1704" spans="1:11">
      <c r="A1704" s="369"/>
      <c r="B1704" s="550" t="s">
        <v>1723</v>
      </c>
      <c r="C1704" s="196">
        <v>436</v>
      </c>
      <c r="D1704" s="230">
        <f t="shared" si="231"/>
        <v>133.93245590230663</v>
      </c>
      <c r="E1704" s="215">
        <v>0</v>
      </c>
      <c r="F1704" s="511">
        <f t="shared" si="224"/>
        <v>133.94</v>
      </c>
      <c r="G1704" s="518" t="s">
        <v>2316</v>
      </c>
      <c r="H1704" s="518" t="s">
        <v>1724</v>
      </c>
      <c r="I1704" s="452" t="s">
        <v>11565</v>
      </c>
      <c r="J1704" s="369" t="s">
        <v>753</v>
      </c>
      <c r="K1704" s="452" t="s">
        <v>741</v>
      </c>
    </row>
    <row r="1705" spans="1:11">
      <c r="A1705" s="369"/>
      <c r="B1705" s="550" t="s">
        <v>1725</v>
      </c>
      <c r="C1705" s="196">
        <v>444</v>
      </c>
      <c r="D1705" s="230">
        <f t="shared" si="231"/>
        <v>136.38993215739484</v>
      </c>
      <c r="E1705" s="215">
        <v>0</v>
      </c>
      <c r="F1705" s="511">
        <f t="shared" si="224"/>
        <v>136.38999999999999</v>
      </c>
      <c r="G1705" s="518" t="s">
        <v>2317</v>
      </c>
      <c r="H1705" s="518" t="s">
        <v>1726</v>
      </c>
      <c r="I1705" s="452" t="s">
        <v>11565</v>
      </c>
      <c r="J1705" s="369" t="s">
        <v>753</v>
      </c>
      <c r="K1705" s="452" t="s">
        <v>741</v>
      </c>
    </row>
    <row r="1706" spans="1:11">
      <c r="A1706" s="369"/>
      <c r="B1706" s="552" t="s">
        <v>1727</v>
      </c>
      <c r="C1706" s="196">
        <v>444</v>
      </c>
      <c r="D1706" s="230">
        <f t="shared" si="231"/>
        <v>136.38993215739484</v>
      </c>
      <c r="E1706" s="215">
        <v>0</v>
      </c>
      <c r="F1706" s="511">
        <f t="shared" si="224"/>
        <v>136.38999999999999</v>
      </c>
      <c r="G1706" s="518" t="s">
        <v>2318</v>
      </c>
      <c r="H1706" s="518" t="s">
        <v>1728</v>
      </c>
      <c r="I1706" s="452" t="s">
        <v>11565</v>
      </c>
      <c r="J1706" s="369" t="s">
        <v>753</v>
      </c>
      <c r="K1706" s="452" t="s">
        <v>741</v>
      </c>
    </row>
    <row r="1707" spans="1:11">
      <c r="A1707" s="369"/>
      <c r="B1707" s="518"/>
      <c r="C1707" s="196" t="s">
        <v>2024</v>
      </c>
      <c r="D1707" s="230"/>
      <c r="E1707" s="215"/>
      <c r="F1707" s="511">
        <f t="shared" si="224"/>
        <v>0</v>
      </c>
      <c r="G1707" s="518"/>
      <c r="H1707" s="518"/>
      <c r="I1707" s="452"/>
      <c r="J1707" s="369"/>
      <c r="K1707" s="452"/>
    </row>
    <row r="1708" spans="1:11">
      <c r="A1708" s="369"/>
      <c r="B1708" s="554" t="s">
        <v>1729</v>
      </c>
      <c r="C1708" s="196">
        <v>1009</v>
      </c>
      <c r="D1708" s="230">
        <f>C1708*(1-VLOOKUP(I1708,descuentos,6,FALSE))*fcl/IF(dol_sol="dólar", TC,1)</f>
        <v>309.94919267299861</v>
      </c>
      <c r="E1708" s="215">
        <v>100</v>
      </c>
      <c r="F1708" s="511">
        <f t="shared" si="224"/>
        <v>409.95</v>
      </c>
      <c r="G1708" s="518" t="s">
        <v>2319</v>
      </c>
      <c r="H1708" s="518" t="s">
        <v>1730</v>
      </c>
      <c r="I1708" s="452" t="s">
        <v>11565</v>
      </c>
      <c r="J1708" s="369" t="s">
        <v>753</v>
      </c>
      <c r="K1708" s="452" t="s">
        <v>741</v>
      </c>
    </row>
    <row r="1709" spans="1:11">
      <c r="A1709" s="369"/>
      <c r="B1709" s="552" t="s">
        <v>1731</v>
      </c>
      <c r="C1709" s="196">
        <v>1014</v>
      </c>
      <c r="D1709" s="230">
        <f>C1709*(1-VLOOKUP(I1709,descuentos,6,FALSE))*fcl/IF(dol_sol="dólar", TC,1)</f>
        <v>311.48511533242873</v>
      </c>
      <c r="E1709" s="215">
        <v>100</v>
      </c>
      <c r="F1709" s="511">
        <f t="shared" si="224"/>
        <v>411.49</v>
      </c>
      <c r="G1709" s="518" t="s">
        <v>2320</v>
      </c>
      <c r="H1709" s="518" t="s">
        <v>1732</v>
      </c>
      <c r="I1709" s="452" t="s">
        <v>11565</v>
      </c>
      <c r="J1709" s="369" t="s">
        <v>753</v>
      </c>
      <c r="K1709" s="452" t="s">
        <v>741</v>
      </c>
    </row>
    <row r="1710" spans="1:11">
      <c r="A1710" s="369"/>
      <c r="B1710" s="518"/>
      <c r="C1710" s="196" t="s">
        <v>2024</v>
      </c>
      <c r="D1710" s="230"/>
      <c r="E1710" s="215"/>
      <c r="F1710" s="511">
        <f t="shared" si="224"/>
        <v>0</v>
      </c>
      <c r="G1710" s="518"/>
      <c r="H1710" s="518"/>
      <c r="I1710" s="452"/>
      <c r="J1710" s="369"/>
      <c r="K1710" s="452"/>
    </row>
    <row r="1711" spans="1:11">
      <c r="A1711" s="369"/>
      <c r="B1711" s="554" t="s">
        <v>2321</v>
      </c>
      <c r="C1711" s="196">
        <v>487</v>
      </c>
      <c r="D1711" s="230">
        <f>C1711*(1-VLOOKUP(I1711,descuentos,6,FALSE))*fcl/IF(dol_sol="dólar", TC,1)</f>
        <v>149.59886702849388</v>
      </c>
      <c r="E1711" s="215"/>
      <c r="F1711" s="511">
        <f t="shared" si="224"/>
        <v>149.6</v>
      </c>
      <c r="G1711" s="518" t="s">
        <v>2322</v>
      </c>
      <c r="H1711" s="518" t="s">
        <v>2323</v>
      </c>
      <c r="I1711" s="452" t="s">
        <v>11565</v>
      </c>
      <c r="J1711" s="369" t="s">
        <v>753</v>
      </c>
      <c r="K1711" s="452" t="s">
        <v>741</v>
      </c>
    </row>
    <row r="1712" spans="1:11">
      <c r="A1712" s="369"/>
      <c r="B1712" s="552" t="s">
        <v>2324</v>
      </c>
      <c r="C1712" s="196">
        <v>495</v>
      </c>
      <c r="D1712" s="230">
        <f>C1712*(1-VLOOKUP(I1712,descuentos,6,FALSE))*fcl/IF(dol_sol="dólar", TC,1)</f>
        <v>152.05634328358207</v>
      </c>
      <c r="E1712" s="215">
        <v>100</v>
      </c>
      <c r="F1712" s="511">
        <f t="shared" si="224"/>
        <v>252.06</v>
      </c>
      <c r="G1712" s="518" t="s">
        <v>2325</v>
      </c>
      <c r="H1712" s="518" t="s">
        <v>2326</v>
      </c>
      <c r="I1712" s="452" t="s">
        <v>11565</v>
      </c>
      <c r="J1712" s="369" t="s">
        <v>753</v>
      </c>
      <c r="K1712" s="452" t="s">
        <v>741</v>
      </c>
    </row>
    <row r="1713" spans="1:11">
      <c r="A1713" s="369"/>
      <c r="B1713" s="518"/>
      <c r="C1713" s="196" t="s">
        <v>2024</v>
      </c>
      <c r="D1713" s="230"/>
      <c r="E1713" s="215"/>
      <c r="F1713" s="511"/>
      <c r="G1713" s="518"/>
      <c r="H1713" s="518"/>
      <c r="I1713" s="452"/>
      <c r="J1713" s="369"/>
      <c r="K1713" s="452"/>
    </row>
    <row r="1714" spans="1:11" s="102" customFormat="1">
      <c r="A1714" s="1530"/>
      <c r="B1714" s="315" t="s">
        <v>9685</v>
      </c>
      <c r="C1714" s="196">
        <v>4012</v>
      </c>
      <c r="D1714" s="230">
        <f>C1714*(1-VLOOKUP(I1714,descuentos,6,FALSE))*fcl/IF(dol_sol="dólar", TC,1)</f>
        <v>1232.42434192673</v>
      </c>
      <c r="E1714" s="215">
        <v>30</v>
      </c>
      <c r="F1714" s="511">
        <f>ROUNDUP(D1714+E1714,2)</f>
        <v>1262.43</v>
      </c>
      <c r="G1714" s="314" t="s">
        <v>9686</v>
      </c>
      <c r="H1714" s="145" t="s">
        <v>9687</v>
      </c>
      <c r="I1714" s="452" t="s">
        <v>11565</v>
      </c>
      <c r="J1714" s="515" t="s">
        <v>753</v>
      </c>
      <c r="K1714" s="452" t="s">
        <v>741</v>
      </c>
    </row>
    <row r="1715" spans="1:11" s="102" customFormat="1">
      <c r="B1715" s="315" t="s">
        <v>7035</v>
      </c>
      <c r="C1715" s="196">
        <v>4934</v>
      </c>
      <c r="D1715" s="230">
        <f>C1715*(1-VLOOKUP(I1715,descuentos,6,FALSE))*fcl/IF(dol_sol="dólar", TC,1)</f>
        <v>1515.6484803256444</v>
      </c>
      <c r="E1715" s="215">
        <v>30</v>
      </c>
      <c r="F1715" s="511">
        <f>ROUNDUP(D1715+E1715,2)</f>
        <v>1545.65</v>
      </c>
      <c r="G1715" s="314" t="s">
        <v>7036</v>
      </c>
      <c r="H1715" s="145" t="s">
        <v>7037</v>
      </c>
      <c r="I1715" s="452" t="s">
        <v>11565</v>
      </c>
      <c r="J1715" s="515" t="s">
        <v>753</v>
      </c>
      <c r="K1715" s="452" t="s">
        <v>741</v>
      </c>
    </row>
    <row r="1716" spans="1:11" s="102" customFormat="1">
      <c r="B1716" s="315"/>
      <c r="C1716" s="196" t="s">
        <v>2024</v>
      </c>
      <c r="D1716" s="230"/>
      <c r="E1716" s="215"/>
      <c r="F1716" s="511"/>
      <c r="G1716" s="314"/>
      <c r="H1716" s="145"/>
      <c r="I1716" s="452"/>
      <c r="J1716" s="515"/>
      <c r="K1716" s="452"/>
    </row>
    <row r="1717" spans="1:11">
      <c r="A1717" s="369"/>
      <c r="B1717" s="550" t="s">
        <v>12705</v>
      </c>
      <c r="C1717" s="234">
        <v>8229</v>
      </c>
      <c r="D1717" s="230">
        <f>C1717*(1-VLOOKUP(I1717,descuentos,6,FALSE))*fcl/IF(dol_sol="dólar", TC,1)</f>
        <v>2527.8215128900947</v>
      </c>
      <c r="E1717" s="417">
        <v>400</v>
      </c>
      <c r="F1717" s="511">
        <f t="shared" ref="F1717" si="232">ROUNDUP(D1717+E1717,2)</f>
        <v>2927.8300000000004</v>
      </c>
      <c r="G1717" s="314" t="s">
        <v>12706</v>
      </c>
      <c r="H1717" s="1656" t="s">
        <v>928</v>
      </c>
      <c r="I1717" s="452" t="s">
        <v>11565</v>
      </c>
      <c r="J1717" s="369" t="s">
        <v>753</v>
      </c>
      <c r="K1717" s="452" t="s">
        <v>741</v>
      </c>
    </row>
    <row r="1718" spans="1:11" s="102" customFormat="1">
      <c r="B1718" s="315"/>
      <c r="C1718" s="196" t="s">
        <v>2024</v>
      </c>
      <c r="D1718" s="230"/>
      <c r="E1718" s="215"/>
      <c r="F1718" s="511"/>
      <c r="G1718" s="314"/>
      <c r="H1718" s="145"/>
      <c r="I1718" s="452"/>
      <c r="J1718" s="515"/>
      <c r="K1718" s="452"/>
    </row>
    <row r="1719" spans="1:11">
      <c r="A1719" s="1462"/>
      <c r="B1719" s="518" t="s">
        <v>1559</v>
      </c>
      <c r="C1719" s="655">
        <v>8443</v>
      </c>
      <c r="D1719" s="230">
        <f>C1719*(1-VLOOKUP(I1719,descuentos,6,FALSE))*fcl/IF(dol_sol="dólar", TC,1)</f>
        <v>2593.5590027137041</v>
      </c>
      <c r="E1719" s="417">
        <v>400</v>
      </c>
      <c r="F1719" s="511">
        <f>ROUNDUP(D1719+E1719,2)</f>
        <v>2993.5600000000004</v>
      </c>
      <c r="G1719" s="314" t="s">
        <v>1560</v>
      </c>
      <c r="H1719" s="518" t="s">
        <v>1561</v>
      </c>
      <c r="I1719" s="452" t="s">
        <v>11565</v>
      </c>
      <c r="J1719" s="369" t="s">
        <v>753</v>
      </c>
      <c r="K1719" s="452" t="s">
        <v>741</v>
      </c>
    </row>
    <row r="1720" spans="1:11">
      <c r="A1720" s="1462"/>
      <c r="B1720" s="518" t="s">
        <v>11132</v>
      </c>
      <c r="C1720" s="196">
        <v>11481</v>
      </c>
      <c r="D1720" s="230">
        <f>C1720*(1-VLOOKUP(I1720,descuentos,6,FALSE))*fcl/IF(dol_sol="dólar", TC,1)</f>
        <v>3526.7856105834462</v>
      </c>
      <c r="E1720" s="417">
        <v>400</v>
      </c>
      <c r="F1720" s="511">
        <f>ROUNDUP(D1720+E1720,2)</f>
        <v>3926.7900000000004</v>
      </c>
      <c r="G1720" s="314" t="s">
        <v>11133</v>
      </c>
      <c r="H1720" s="518" t="s">
        <v>11134</v>
      </c>
      <c r="I1720" s="452" t="s">
        <v>11565</v>
      </c>
      <c r="J1720" s="369" t="s">
        <v>753</v>
      </c>
      <c r="K1720" s="452" t="s">
        <v>741</v>
      </c>
    </row>
    <row r="1721" spans="1:11">
      <c r="A1721" s="369"/>
      <c r="B1721" s="518"/>
      <c r="C1721" s="196" t="s">
        <v>2024</v>
      </c>
      <c r="D1721" s="230"/>
      <c r="E1721" s="215"/>
      <c r="F1721" s="511"/>
      <c r="G1721" s="518"/>
      <c r="H1721" s="518"/>
      <c r="I1721" s="452"/>
      <c r="J1721" s="369"/>
      <c r="K1721" s="452"/>
    </row>
    <row r="1722" spans="1:11">
      <c r="A1722" s="1472"/>
      <c r="B1722" s="518" t="s">
        <v>7038</v>
      </c>
      <c r="C1722" s="196">
        <v>9784</v>
      </c>
      <c r="D1722" s="230">
        <f>C1722*(1-VLOOKUP(I1722,descuentos,6,FALSE))*fcl/IF(dol_sol="dólar", TC,1)</f>
        <v>3005.4934599728626</v>
      </c>
      <c r="E1722" s="417">
        <v>400</v>
      </c>
      <c r="F1722" s="511">
        <f>ROUNDUP(D1722+E1722,2)</f>
        <v>3405.5</v>
      </c>
      <c r="G1722" s="314" t="s">
        <v>7039</v>
      </c>
      <c r="H1722" s="518" t="s">
        <v>7040</v>
      </c>
      <c r="I1722" s="452" t="s">
        <v>11565</v>
      </c>
      <c r="J1722" s="369" t="s">
        <v>753</v>
      </c>
      <c r="K1722" s="452" t="s">
        <v>741</v>
      </c>
    </row>
    <row r="1723" spans="1:11">
      <c r="A1723" s="1472"/>
      <c r="B1723" s="518" t="s">
        <v>9688</v>
      </c>
      <c r="C1723" s="196">
        <v>12822</v>
      </c>
      <c r="D1723" s="230">
        <f>C1723*(1-VLOOKUP(I1723,descuentos,6,FALSE))*fcl/IF(dol_sol="dólar", TC,1)</f>
        <v>3938.7200678426047</v>
      </c>
      <c r="E1723" s="417">
        <v>400</v>
      </c>
      <c r="F1723" s="511">
        <f>ROUNDUP(D1723+E1723,2)</f>
        <v>4338.7300000000005</v>
      </c>
      <c r="G1723" s="314" t="s">
        <v>9689</v>
      </c>
      <c r="H1723" s="518" t="s">
        <v>9690</v>
      </c>
      <c r="I1723" s="452" t="s">
        <v>11565</v>
      </c>
      <c r="J1723" s="369" t="s">
        <v>753</v>
      </c>
      <c r="K1723" s="452" t="s">
        <v>741</v>
      </c>
    </row>
    <row r="1724" spans="1:11">
      <c r="A1724" s="369"/>
      <c r="B1724" s="518"/>
      <c r="C1724" s="196" t="s">
        <v>2024</v>
      </c>
      <c r="D1724" s="230"/>
      <c r="E1724" s="215"/>
      <c r="F1724" s="511"/>
      <c r="G1724" s="518"/>
      <c r="H1724" s="518"/>
      <c r="I1724" s="452"/>
      <c r="J1724" s="369"/>
      <c r="K1724" s="452"/>
    </row>
    <row r="1725" spans="1:11" s="1397" customFormat="1">
      <c r="A1725" s="952"/>
      <c r="B1725" s="1656" t="s">
        <v>13536</v>
      </c>
      <c r="C1725" s="234">
        <v>12230</v>
      </c>
      <c r="D1725" s="353">
        <f>C1725*(1-VLOOKUP(I1725,descuentos,6,FALSE))*fcl/IF(dol_sol="dólar", TC,1)</f>
        <v>3756.8668249660786</v>
      </c>
      <c r="E1725" s="1388">
        <v>400</v>
      </c>
      <c r="F1725" s="517">
        <f>ROUNDUP(D1725+E1725,2)</f>
        <v>4156.87</v>
      </c>
      <c r="G1725" s="318" t="s">
        <v>13537</v>
      </c>
      <c r="H1725" s="1656" t="s">
        <v>13538</v>
      </c>
      <c r="I1725" s="544" t="s">
        <v>11565</v>
      </c>
      <c r="J1725" s="952" t="s">
        <v>753</v>
      </c>
      <c r="K1725" s="544" t="s">
        <v>741</v>
      </c>
    </row>
    <row r="1726" spans="1:11" s="1397" customFormat="1">
      <c r="A1726" s="952"/>
      <c r="B1726" s="1656" t="s">
        <v>13539</v>
      </c>
      <c r="C1726" s="234">
        <v>16028</v>
      </c>
      <c r="D1726" s="353">
        <f>C1726*(1-VLOOKUP(I1726,descuentos,6,FALSE))*fcl/IF(dol_sol="dólar", TC,1)</f>
        <v>4923.5536770691997</v>
      </c>
      <c r="E1726" s="1388">
        <v>400</v>
      </c>
      <c r="F1726" s="517">
        <f>ROUNDUP(D1726+E1726,2)</f>
        <v>5323.56</v>
      </c>
      <c r="G1726" s="318" t="s">
        <v>13540</v>
      </c>
      <c r="H1726" s="1656" t="s">
        <v>13541</v>
      </c>
      <c r="I1726" s="544" t="s">
        <v>11565</v>
      </c>
      <c r="J1726" s="952" t="s">
        <v>753</v>
      </c>
      <c r="K1726" s="544" t="s">
        <v>741</v>
      </c>
    </row>
    <row r="1727" spans="1:11">
      <c r="A1727" s="369"/>
      <c r="B1727" s="518"/>
      <c r="C1727" s="196" t="s">
        <v>2024</v>
      </c>
      <c r="D1727" s="230"/>
      <c r="E1727" s="215"/>
      <c r="F1727" s="511"/>
      <c r="G1727" s="518"/>
      <c r="H1727" s="518"/>
      <c r="I1727" s="452"/>
      <c r="J1727" s="369"/>
      <c r="K1727" s="452"/>
    </row>
    <row r="1728" spans="1:11">
      <c r="A1728" s="1462"/>
      <c r="B1728" s="518" t="s">
        <v>7041</v>
      </c>
      <c r="C1728" s="655">
        <v>9044</v>
      </c>
      <c r="D1728" s="230">
        <f>C1728*(1-VLOOKUP(I1728,descuentos,6,FALSE))*fcl/IF(dol_sol="dólar", TC,1)</f>
        <v>2778.1769063772044</v>
      </c>
      <c r="E1728" s="417">
        <v>400</v>
      </c>
      <c r="F1728" s="511">
        <f>ROUNDUP(D1728+E1728,2)</f>
        <v>3178.1800000000003</v>
      </c>
      <c r="G1728" s="314" t="s">
        <v>7042</v>
      </c>
      <c r="H1728" s="518" t="s">
        <v>7043</v>
      </c>
      <c r="I1728" s="452" t="s">
        <v>11565</v>
      </c>
      <c r="J1728" s="369" t="s">
        <v>753</v>
      </c>
      <c r="K1728" s="452" t="s">
        <v>741</v>
      </c>
    </row>
    <row r="1729" spans="1:11">
      <c r="A1729" s="1462"/>
      <c r="B1729" s="518" t="s">
        <v>7044</v>
      </c>
      <c r="C1729" s="196">
        <v>12082</v>
      </c>
      <c r="D1729" s="230">
        <f>C1729*(1-VLOOKUP(I1729,descuentos,6,FALSE))*fcl/IF(dol_sol="dólar", TC,1)</f>
        <v>3711.403514246947</v>
      </c>
      <c r="E1729" s="417">
        <v>400</v>
      </c>
      <c r="F1729" s="511">
        <f>ROUNDUP(D1729+E1729,2)</f>
        <v>4111.41</v>
      </c>
      <c r="G1729" s="314" t="s">
        <v>7045</v>
      </c>
      <c r="H1729" s="518" t="s">
        <v>7046</v>
      </c>
      <c r="I1729" s="452" t="s">
        <v>11565</v>
      </c>
      <c r="J1729" s="369" t="s">
        <v>753</v>
      </c>
      <c r="K1729" s="452" t="s">
        <v>741</v>
      </c>
    </row>
    <row r="1730" spans="1:11" s="185" customFormat="1">
      <c r="A1730" s="369"/>
      <c r="B1730" s="518"/>
      <c r="C1730" s="196" t="s">
        <v>2024</v>
      </c>
      <c r="D1730" s="230"/>
      <c r="E1730" s="215"/>
      <c r="F1730" s="511"/>
      <c r="G1730" s="314"/>
      <c r="H1730" s="518"/>
      <c r="I1730" s="452"/>
      <c r="J1730" s="369"/>
      <c r="K1730" s="452"/>
    </row>
    <row r="1731" spans="1:11">
      <c r="A1731" s="1462"/>
      <c r="B1731" s="518" t="s">
        <v>7047</v>
      </c>
      <c r="C1731" s="655">
        <v>11305</v>
      </c>
      <c r="D1731" s="230">
        <f>C1731*(1-VLOOKUP(I1731,descuentos,6,FALSE))*fcl/IF(dol_sol="dólar", TC,1)</f>
        <v>3472.721132971506</v>
      </c>
      <c r="E1731" s="417">
        <v>400</v>
      </c>
      <c r="F1731" s="511">
        <f>ROUNDUP(D1731+E1731,2)</f>
        <v>3872.73</v>
      </c>
      <c r="G1731" s="314" t="s">
        <v>7048</v>
      </c>
      <c r="H1731" s="518" t="s">
        <v>7049</v>
      </c>
      <c r="I1731" s="452" t="s">
        <v>11565</v>
      </c>
      <c r="J1731" s="369" t="s">
        <v>753</v>
      </c>
      <c r="K1731" s="452" t="s">
        <v>741</v>
      </c>
    </row>
    <row r="1732" spans="1:11">
      <c r="A1732" s="1462"/>
      <c r="B1732" s="518" t="s">
        <v>7050</v>
      </c>
      <c r="C1732" s="196">
        <v>15103</v>
      </c>
      <c r="D1732" s="230">
        <f>C1732*(1-VLOOKUP(I1732,descuentos,6,FALSE))*fcl/IF(dol_sol="dólar", TC,1)</f>
        <v>4639.4079850746266</v>
      </c>
      <c r="E1732" s="417">
        <v>400</v>
      </c>
      <c r="F1732" s="511">
        <f>ROUNDUP(D1732+E1732,2)</f>
        <v>5039.41</v>
      </c>
      <c r="G1732" s="314" t="s">
        <v>7051</v>
      </c>
      <c r="H1732" s="518" t="s">
        <v>7052</v>
      </c>
      <c r="I1732" s="452" t="s">
        <v>11565</v>
      </c>
      <c r="J1732" s="369" t="s">
        <v>753</v>
      </c>
      <c r="K1732" s="452" t="s">
        <v>741</v>
      </c>
    </row>
    <row r="1733" spans="1:11">
      <c r="A1733" s="369"/>
      <c r="B1733" s="518"/>
      <c r="C1733" s="196" t="s">
        <v>2024</v>
      </c>
      <c r="D1733" s="230"/>
      <c r="E1733" s="215"/>
      <c r="F1733" s="511"/>
      <c r="G1733" s="314"/>
      <c r="H1733" s="518"/>
      <c r="I1733" s="452"/>
      <c r="J1733" s="369"/>
      <c r="K1733" s="452"/>
    </row>
    <row r="1734" spans="1:11">
      <c r="A1734" s="1462"/>
      <c r="B1734" s="518" t="s">
        <v>7053</v>
      </c>
      <c r="C1734" s="196">
        <v>14350</v>
      </c>
      <c r="D1734" s="230">
        <f>C1734*(1-VLOOKUP(I1734,descuentos,6,FALSE))*fcl/IF(dol_sol="dólar", TC,1)</f>
        <v>4408.0980325644505</v>
      </c>
      <c r="E1734" s="417">
        <v>400</v>
      </c>
      <c r="F1734" s="511">
        <f>ROUNDUP(D1734+E1734,2)</f>
        <v>4808.1000000000004</v>
      </c>
      <c r="G1734" s="314" t="s">
        <v>11135</v>
      </c>
      <c r="H1734" s="518" t="s">
        <v>7054</v>
      </c>
      <c r="I1734" s="452" t="s">
        <v>11565</v>
      </c>
      <c r="J1734" s="369" t="s">
        <v>753</v>
      </c>
      <c r="K1734" s="452" t="s">
        <v>741</v>
      </c>
    </row>
    <row r="1735" spans="1:11">
      <c r="A1735" s="369"/>
      <c r="B1735" s="518"/>
      <c r="C1735" s="196" t="s">
        <v>2024</v>
      </c>
      <c r="D1735" s="230"/>
      <c r="E1735" s="215"/>
      <c r="F1735" s="511"/>
      <c r="G1735" s="518"/>
      <c r="H1735" s="518"/>
      <c r="I1735" s="452"/>
      <c r="J1735" s="369"/>
      <c r="K1735" s="452"/>
    </row>
    <row r="1736" spans="1:11">
      <c r="A1736" s="369"/>
      <c r="B1736" s="518"/>
      <c r="C1736" s="196" t="s">
        <v>2024</v>
      </c>
      <c r="D1736" s="230"/>
      <c r="E1736" s="215"/>
      <c r="F1736" s="511"/>
      <c r="G1736" s="314"/>
      <c r="H1736" s="518"/>
      <c r="I1736" s="452"/>
      <c r="J1736" s="369"/>
      <c r="K1736" s="452"/>
    </row>
    <row r="1737" spans="1:11">
      <c r="A1737" s="369"/>
      <c r="B1737" s="554"/>
      <c r="C1737" s="196" t="s">
        <v>2024</v>
      </c>
      <c r="D1737" s="230"/>
      <c r="E1737" s="215"/>
      <c r="F1737" s="511"/>
      <c r="G1737" s="314"/>
      <c r="H1737" s="518"/>
      <c r="I1737" s="452"/>
      <c r="J1737" s="369"/>
      <c r="K1737" s="452"/>
    </row>
    <row r="1738" spans="1:11">
      <c r="A1738" s="369"/>
      <c r="B1738" s="550" t="s">
        <v>1559</v>
      </c>
      <c r="C1738" s="196">
        <v>8443</v>
      </c>
      <c r="D1738" s="230">
        <f>C1738*(1-VLOOKUP(I1738,descuentos,6,FALSE))*fcl/IF(dol_sol="dólar", TC,1)</f>
        <v>2593.5590027137041</v>
      </c>
      <c r="E1738" s="417">
        <v>400</v>
      </c>
      <c r="F1738" s="511">
        <f t="shared" ref="F1738:F1760" si="233">ROUNDUP(D1738+E1738,2)</f>
        <v>2993.5600000000004</v>
      </c>
      <c r="G1738" s="314" t="s">
        <v>1560</v>
      </c>
      <c r="H1738" s="518" t="s">
        <v>1561</v>
      </c>
      <c r="I1738" s="452" t="s">
        <v>11565</v>
      </c>
      <c r="J1738" s="369" t="s">
        <v>753</v>
      </c>
      <c r="K1738" s="452" t="s">
        <v>741</v>
      </c>
    </row>
    <row r="1739" spans="1:11">
      <c r="A1739" s="369"/>
      <c r="B1739" s="550" t="s">
        <v>1553</v>
      </c>
      <c r="C1739" s="196">
        <v>11459</v>
      </c>
      <c r="D1739" s="230">
        <f>C1739*(1-VLOOKUP(I1739,descuentos,6,FALSE))*fcl/IF(dol_sol="dólar", TC,1)</f>
        <v>3520.0275508819541</v>
      </c>
      <c r="E1739" s="417">
        <v>400</v>
      </c>
      <c r="F1739" s="511">
        <f t="shared" si="233"/>
        <v>3920.03</v>
      </c>
      <c r="G1739" s="314" t="s">
        <v>1554</v>
      </c>
      <c r="H1739" s="518" t="s">
        <v>1557</v>
      </c>
      <c r="I1739" s="452" t="s">
        <v>11565</v>
      </c>
      <c r="J1739" s="369" t="s">
        <v>753</v>
      </c>
      <c r="K1739" s="452" t="s">
        <v>741</v>
      </c>
    </row>
    <row r="1740" spans="1:11">
      <c r="A1740" s="369"/>
      <c r="B1740" s="550" t="s">
        <v>1555</v>
      </c>
      <c r="C1740" s="196">
        <v>18060</v>
      </c>
      <c r="D1740" s="230">
        <f>C1740*(1-VLOOKUP(I1740,descuentos,6,FALSE))*fcl/IF(dol_sol="dólar", TC,1)</f>
        <v>5547.7526458616012</v>
      </c>
      <c r="E1740" s="417">
        <v>500</v>
      </c>
      <c r="F1740" s="511">
        <f t="shared" si="233"/>
        <v>6047.76</v>
      </c>
      <c r="G1740" s="314" t="s">
        <v>1556</v>
      </c>
      <c r="H1740" s="518" t="s">
        <v>1558</v>
      </c>
      <c r="I1740" s="452" t="s">
        <v>11565</v>
      </c>
      <c r="J1740" s="369" t="s">
        <v>753</v>
      </c>
      <c r="K1740" s="452" t="s">
        <v>741</v>
      </c>
    </row>
    <row r="1741" spans="1:11">
      <c r="A1741" s="369"/>
      <c r="B1741" s="550" t="s">
        <v>9133</v>
      </c>
      <c r="C1741" s="196">
        <v>19515</v>
      </c>
      <c r="D1741" s="230">
        <f>C1741*(1-VLOOKUP(I1741,descuentos,6,FALSE))*fcl/IF(dol_sol="dólar", TC,1)</f>
        <v>5994.7061397557663</v>
      </c>
      <c r="E1741" s="417">
        <v>500</v>
      </c>
      <c r="F1741" s="511">
        <f t="shared" si="233"/>
        <v>6494.71</v>
      </c>
      <c r="G1741" s="314" t="s">
        <v>9134</v>
      </c>
      <c r="H1741" s="518" t="s">
        <v>9135</v>
      </c>
      <c r="I1741" s="452" t="s">
        <v>11565</v>
      </c>
      <c r="J1741" s="369" t="s">
        <v>753</v>
      </c>
      <c r="K1741" s="452" t="s">
        <v>741</v>
      </c>
    </row>
    <row r="1742" spans="1:11">
      <c r="A1742" s="369"/>
      <c r="B1742" s="550"/>
      <c r="C1742" s="196" t="s">
        <v>2024</v>
      </c>
      <c r="D1742" s="230"/>
      <c r="E1742" s="417"/>
      <c r="F1742" s="511"/>
      <c r="G1742" s="314"/>
      <c r="H1742" s="518"/>
      <c r="I1742" s="452"/>
      <c r="J1742" s="369"/>
      <c r="K1742" s="452"/>
    </row>
    <row r="1743" spans="1:11">
      <c r="A1743" s="1597"/>
      <c r="B1743" s="550" t="s">
        <v>9510</v>
      </c>
      <c r="C1743" s="196">
        <v>14463</v>
      </c>
      <c r="D1743" s="230">
        <f>C1743*(1-VLOOKUP(I1743,descuentos,6,FALSE))*fcl/IF(dol_sol="dólar", TC,1)</f>
        <v>4442.8098846675712</v>
      </c>
      <c r="E1743" s="417">
        <v>400</v>
      </c>
      <c r="F1743" s="511">
        <f t="shared" ref="F1743" si="234">ROUNDUP(D1743+E1743,2)</f>
        <v>4842.8100000000004</v>
      </c>
      <c r="G1743" s="314" t="s">
        <v>9511</v>
      </c>
      <c r="H1743" s="518" t="s">
        <v>9512</v>
      </c>
      <c r="I1743" s="452" t="s">
        <v>11565</v>
      </c>
      <c r="J1743" s="369" t="s">
        <v>753</v>
      </c>
      <c r="K1743" s="452" t="s">
        <v>741</v>
      </c>
    </row>
    <row r="1744" spans="1:11">
      <c r="A1744" s="369"/>
      <c r="B1744" s="550"/>
      <c r="C1744" s="196" t="s">
        <v>2024</v>
      </c>
      <c r="D1744" s="230"/>
      <c r="E1744" s="215"/>
      <c r="F1744" s="511">
        <f t="shared" si="233"/>
        <v>0</v>
      </c>
      <c r="G1744" s="314"/>
      <c r="H1744" s="518"/>
      <c r="I1744" s="452"/>
      <c r="J1744" s="369"/>
      <c r="K1744" s="452"/>
    </row>
    <row r="1745" spans="1:11">
      <c r="A1745" s="369"/>
      <c r="B1745" s="550" t="s">
        <v>926</v>
      </c>
      <c r="C1745" s="234">
        <v>8229</v>
      </c>
      <c r="D1745" s="230">
        <f t="shared" ref="D1745:D1749" si="235">C1745*(1-VLOOKUP(I1745,descuentos,6,FALSE))*fcl/IF(dol_sol="dólar", TC,1)</f>
        <v>2527.8215128900947</v>
      </c>
      <c r="E1745" s="417">
        <v>400</v>
      </c>
      <c r="F1745" s="511">
        <f t="shared" si="233"/>
        <v>2927.8300000000004</v>
      </c>
      <c r="G1745" s="314" t="s">
        <v>1463</v>
      </c>
      <c r="H1745" s="1656" t="s">
        <v>928</v>
      </c>
      <c r="I1745" s="452" t="s">
        <v>11565</v>
      </c>
      <c r="J1745" s="369" t="s">
        <v>753</v>
      </c>
      <c r="K1745" s="452" t="s">
        <v>741</v>
      </c>
    </row>
    <row r="1746" spans="1:11">
      <c r="A1746" s="369"/>
      <c r="B1746" s="550" t="s">
        <v>931</v>
      </c>
      <c r="C1746" s="381">
        <v>8808</v>
      </c>
      <c r="D1746" s="230">
        <f t="shared" si="235"/>
        <v>2705.6813568521029</v>
      </c>
      <c r="E1746" s="417">
        <v>400</v>
      </c>
      <c r="F1746" s="511">
        <f t="shared" si="233"/>
        <v>3105.69</v>
      </c>
      <c r="G1746" s="314" t="s">
        <v>1464</v>
      </c>
      <c r="H1746" s="1656" t="s">
        <v>930</v>
      </c>
      <c r="I1746" s="452" t="s">
        <v>11565</v>
      </c>
      <c r="J1746" s="369" t="s">
        <v>753</v>
      </c>
      <c r="K1746" s="452" t="s">
        <v>741</v>
      </c>
    </row>
    <row r="1747" spans="1:11">
      <c r="A1747" s="369"/>
      <c r="B1747" s="550" t="s">
        <v>925</v>
      </c>
      <c r="C1747" s="196">
        <v>9455</v>
      </c>
      <c r="D1747" s="230">
        <f t="shared" si="235"/>
        <v>2904.4297489823607</v>
      </c>
      <c r="E1747" s="417">
        <v>400</v>
      </c>
      <c r="F1747" s="511">
        <f t="shared" si="233"/>
        <v>3304.4300000000003</v>
      </c>
      <c r="G1747" s="314" t="s">
        <v>1465</v>
      </c>
      <c r="H1747" s="518" t="s">
        <v>804</v>
      </c>
      <c r="I1747" s="452" t="s">
        <v>11565</v>
      </c>
      <c r="J1747" s="369" t="s">
        <v>753</v>
      </c>
      <c r="K1747" s="452" t="s">
        <v>741</v>
      </c>
    </row>
    <row r="1748" spans="1:11">
      <c r="A1748" s="369"/>
      <c r="B1748" s="550" t="s">
        <v>927</v>
      </c>
      <c r="C1748" s="196">
        <v>10253</v>
      </c>
      <c r="D1748" s="230">
        <f t="shared" si="235"/>
        <v>3149.5630054274084</v>
      </c>
      <c r="E1748" s="417">
        <v>400</v>
      </c>
      <c r="F1748" s="511">
        <f t="shared" si="233"/>
        <v>3549.57</v>
      </c>
      <c r="G1748" s="314" t="s">
        <v>1466</v>
      </c>
      <c r="H1748" s="518" t="s">
        <v>929</v>
      </c>
      <c r="I1748" s="452" t="s">
        <v>11565</v>
      </c>
      <c r="J1748" s="369" t="s">
        <v>753</v>
      </c>
      <c r="K1748" s="452" t="s">
        <v>741</v>
      </c>
    </row>
    <row r="1749" spans="1:11">
      <c r="A1749" s="369"/>
      <c r="B1749" s="550" t="s">
        <v>1562</v>
      </c>
      <c r="C1749" s="196">
        <v>12183</v>
      </c>
      <c r="D1749" s="230">
        <f t="shared" si="235"/>
        <v>3742.4291519674348</v>
      </c>
      <c r="E1749" s="417">
        <v>400</v>
      </c>
      <c r="F1749" s="511">
        <f t="shared" si="233"/>
        <v>4142.43</v>
      </c>
      <c r="G1749" s="314" t="s">
        <v>3247</v>
      </c>
      <c r="H1749" s="518" t="s">
        <v>1563</v>
      </c>
      <c r="I1749" s="452" t="s">
        <v>11565</v>
      </c>
      <c r="J1749" s="369" t="s">
        <v>753</v>
      </c>
      <c r="K1749" s="452" t="s">
        <v>741</v>
      </c>
    </row>
    <row r="1750" spans="1:11">
      <c r="A1750" s="369"/>
      <c r="B1750" s="550"/>
      <c r="C1750" s="196" t="s">
        <v>2024</v>
      </c>
      <c r="D1750" s="230"/>
      <c r="E1750" s="215"/>
      <c r="F1750" s="511">
        <f t="shared" si="233"/>
        <v>0</v>
      </c>
      <c r="G1750" s="314"/>
      <c r="H1750" s="518"/>
      <c r="I1750" s="452"/>
      <c r="J1750" s="369"/>
      <c r="K1750" s="452"/>
    </row>
    <row r="1751" spans="1:11">
      <c r="A1751" s="369"/>
      <c r="B1751" s="550" t="s">
        <v>13396</v>
      </c>
      <c r="C1751" s="196">
        <v>9917</v>
      </c>
      <c r="D1751" s="230">
        <f t="shared" ref="D1751:D1756" si="236">C1751*(1-VLOOKUP(I1751,descuentos,6,FALSE))*fcl/IF(dol_sol="dólar", TC,1)</f>
        <v>3046.3490027137041</v>
      </c>
      <c r="E1751" s="417">
        <v>400</v>
      </c>
      <c r="F1751" s="511">
        <f t="shared" si="233"/>
        <v>3446.3500000000004</v>
      </c>
      <c r="G1751" s="314" t="s">
        <v>13397</v>
      </c>
      <c r="H1751" s="518" t="s">
        <v>13398</v>
      </c>
      <c r="I1751" s="452" t="s">
        <v>11565</v>
      </c>
      <c r="J1751" s="369" t="s">
        <v>753</v>
      </c>
      <c r="K1751" s="452" t="s">
        <v>741</v>
      </c>
    </row>
    <row r="1752" spans="1:11" s="1397" customFormat="1">
      <c r="A1752" s="952"/>
      <c r="B1752" s="1474" t="s">
        <v>13542</v>
      </c>
      <c r="C1752" s="234">
        <v>9465</v>
      </c>
      <c r="D1752" s="353">
        <f t="shared" si="236"/>
        <v>2907.5015943012208</v>
      </c>
      <c r="E1752" s="1388">
        <v>400</v>
      </c>
      <c r="F1752" s="517">
        <f t="shared" si="233"/>
        <v>3307.51</v>
      </c>
      <c r="G1752" s="318" t="s">
        <v>13543</v>
      </c>
      <c r="H1752" s="1656" t="s">
        <v>13544</v>
      </c>
      <c r="I1752" s="544" t="s">
        <v>11565</v>
      </c>
      <c r="J1752" s="952" t="s">
        <v>753</v>
      </c>
      <c r="K1752" s="544" t="s">
        <v>741</v>
      </c>
    </row>
    <row r="1753" spans="1:11">
      <c r="A1753" s="369"/>
      <c r="B1753" s="550" t="s">
        <v>3246</v>
      </c>
      <c r="C1753" s="196">
        <v>10455</v>
      </c>
      <c r="D1753" s="230">
        <f t="shared" si="236"/>
        <v>3211.6142808683853</v>
      </c>
      <c r="E1753" s="417">
        <v>400</v>
      </c>
      <c r="F1753" s="511">
        <f t="shared" si="233"/>
        <v>3611.6200000000003</v>
      </c>
      <c r="G1753" s="314" t="s">
        <v>3248</v>
      </c>
      <c r="H1753" s="518" t="s">
        <v>3249</v>
      </c>
      <c r="I1753" s="452" t="s">
        <v>11565</v>
      </c>
      <c r="J1753" s="369" t="s">
        <v>753</v>
      </c>
      <c r="K1753" s="452" t="s">
        <v>741</v>
      </c>
    </row>
    <row r="1754" spans="1:11">
      <c r="A1754" s="369"/>
      <c r="B1754" s="550" t="s">
        <v>13545</v>
      </c>
      <c r="C1754" s="196">
        <v>13068</v>
      </c>
      <c r="D1754" s="230">
        <f t="shared" si="236"/>
        <v>4014.2874626865669</v>
      </c>
      <c r="E1754" s="417">
        <v>400</v>
      </c>
      <c r="F1754" s="511">
        <f t="shared" si="233"/>
        <v>4414.29</v>
      </c>
      <c r="G1754" s="314" t="s">
        <v>13546</v>
      </c>
      <c r="H1754" s="518" t="s">
        <v>13547</v>
      </c>
      <c r="I1754" s="452" t="s">
        <v>11565</v>
      </c>
      <c r="J1754" s="369" t="s">
        <v>753</v>
      </c>
      <c r="K1754" s="452" t="s">
        <v>741</v>
      </c>
    </row>
    <row r="1755" spans="1:11">
      <c r="A1755" s="369"/>
      <c r="B1755" s="550" t="s">
        <v>7055</v>
      </c>
      <c r="C1755" s="196">
        <v>12950</v>
      </c>
      <c r="D1755" s="230">
        <f t="shared" si="236"/>
        <v>3978.0396879240157</v>
      </c>
      <c r="E1755" s="417">
        <v>400</v>
      </c>
      <c r="F1755" s="511">
        <f t="shared" si="233"/>
        <v>4378.04</v>
      </c>
      <c r="G1755" s="314" t="s">
        <v>7056</v>
      </c>
      <c r="H1755" s="518" t="s">
        <v>7057</v>
      </c>
      <c r="I1755" s="452" t="s">
        <v>11565</v>
      </c>
      <c r="J1755" s="369" t="s">
        <v>753</v>
      </c>
      <c r="K1755" s="452" t="s">
        <v>741</v>
      </c>
    </row>
    <row r="1756" spans="1:11">
      <c r="A1756" s="369"/>
      <c r="B1756" s="550" t="s">
        <v>11703</v>
      </c>
      <c r="C1756" s="196">
        <v>16185</v>
      </c>
      <c r="D1756" s="230">
        <f t="shared" si="236"/>
        <v>4971.7816485753046</v>
      </c>
      <c r="E1756" s="417">
        <v>400</v>
      </c>
      <c r="F1756" s="511">
        <f t="shared" si="233"/>
        <v>5371.79</v>
      </c>
      <c r="G1756" s="314" t="s">
        <v>11704</v>
      </c>
      <c r="H1756" s="518" t="s">
        <v>11705</v>
      </c>
      <c r="I1756" s="452" t="s">
        <v>11565</v>
      </c>
      <c r="J1756" s="369" t="s">
        <v>753</v>
      </c>
      <c r="K1756" s="452" t="s">
        <v>741</v>
      </c>
    </row>
    <row r="1757" spans="1:11">
      <c r="A1757" s="369"/>
      <c r="B1757" s="550"/>
      <c r="C1757" s="196" t="s">
        <v>2024</v>
      </c>
      <c r="D1757" s="230"/>
      <c r="E1757" s="215"/>
      <c r="F1757" s="511">
        <f t="shared" si="233"/>
        <v>0</v>
      </c>
      <c r="G1757" s="314"/>
      <c r="H1757" s="518"/>
      <c r="I1757" s="452"/>
      <c r="J1757" s="369"/>
      <c r="K1757" s="452"/>
    </row>
    <row r="1758" spans="1:11">
      <c r="A1758" s="369"/>
      <c r="B1758" s="550" t="s">
        <v>3250</v>
      </c>
      <c r="C1758" s="196">
        <v>17191</v>
      </c>
      <c r="D1758" s="230">
        <f>C1758*(1-VLOOKUP(I1758,descuentos,6,FALSE))*fcl/IF(dol_sol="dólar", TC,1)</f>
        <v>5280.8092876526462</v>
      </c>
      <c r="E1758" s="417">
        <v>500</v>
      </c>
      <c r="F1758" s="511">
        <f t="shared" si="233"/>
        <v>5780.81</v>
      </c>
      <c r="G1758" s="314" t="s">
        <v>3500</v>
      </c>
      <c r="H1758" s="518" t="s">
        <v>3251</v>
      </c>
      <c r="I1758" s="452" t="s">
        <v>11565</v>
      </c>
      <c r="J1758" s="369" t="s">
        <v>753</v>
      </c>
      <c r="K1758" s="452" t="s">
        <v>741</v>
      </c>
    </row>
    <row r="1759" spans="1:11">
      <c r="A1759" s="369"/>
      <c r="B1759" s="550" t="s">
        <v>11706</v>
      </c>
      <c r="C1759" s="196">
        <v>24102</v>
      </c>
      <c r="D1759" s="230">
        <f>C1759*(1-VLOOKUP(I1759,descuentos,6,FALSE))*fcl/IF(dol_sol="dólar", TC,1)</f>
        <v>7403.7615875169595</v>
      </c>
      <c r="E1759" s="417">
        <v>500</v>
      </c>
      <c r="F1759" s="511">
        <f t="shared" si="233"/>
        <v>7903.77</v>
      </c>
      <c r="G1759" s="314" t="s">
        <v>11707</v>
      </c>
      <c r="H1759" s="518" t="s">
        <v>11708</v>
      </c>
      <c r="I1759" s="452" t="s">
        <v>11565</v>
      </c>
      <c r="J1759" s="369" t="s">
        <v>753</v>
      </c>
      <c r="K1759" s="452" t="s">
        <v>741</v>
      </c>
    </row>
    <row r="1760" spans="1:11">
      <c r="A1760" s="369"/>
      <c r="B1760" s="550" t="s">
        <v>3501</v>
      </c>
      <c r="C1760" s="196">
        <v>27611</v>
      </c>
      <c r="D1760" s="230">
        <f>C1760*(1-VLOOKUP(I1760,descuentos,6,FALSE))*fcl/IF(dol_sol="dólar", TC,1)</f>
        <v>8481.6721099050192</v>
      </c>
      <c r="E1760" s="417">
        <v>600</v>
      </c>
      <c r="F1760" s="511">
        <f t="shared" si="233"/>
        <v>9081.68</v>
      </c>
      <c r="G1760" s="314" t="s">
        <v>3502</v>
      </c>
      <c r="H1760" s="518" t="s">
        <v>3499</v>
      </c>
      <c r="I1760" s="452" t="s">
        <v>11565</v>
      </c>
      <c r="J1760" s="369" t="s">
        <v>753</v>
      </c>
      <c r="K1760" s="452" t="s">
        <v>741</v>
      </c>
    </row>
    <row r="1761" spans="1:11">
      <c r="A1761" s="369"/>
      <c r="B1761" s="552"/>
      <c r="C1761" s="196" t="s">
        <v>2024</v>
      </c>
      <c r="D1761" s="230"/>
      <c r="E1761" s="215"/>
      <c r="F1761" s="511"/>
      <c r="G1761" s="314"/>
      <c r="H1761" s="518"/>
      <c r="I1761" s="452"/>
      <c r="J1761" s="369"/>
      <c r="K1761" s="452"/>
    </row>
    <row r="1762" spans="1:11">
      <c r="A1762" s="369"/>
      <c r="B1762" s="518"/>
      <c r="C1762" s="196" t="s">
        <v>2024</v>
      </c>
      <c r="D1762" s="230"/>
      <c r="E1762" s="215"/>
      <c r="F1762" s="511"/>
      <c r="G1762" s="314"/>
      <c r="H1762" s="518"/>
      <c r="I1762" s="452"/>
      <c r="J1762" s="369"/>
      <c r="K1762" s="452"/>
    </row>
    <row r="1763" spans="1:11">
      <c r="A1763" s="369"/>
      <c r="B1763" s="518"/>
      <c r="C1763" s="196" t="s">
        <v>2024</v>
      </c>
      <c r="D1763" s="230"/>
      <c r="E1763" s="215"/>
      <c r="F1763" s="511"/>
      <c r="G1763" s="314"/>
      <c r="H1763" s="518"/>
      <c r="I1763" s="452"/>
      <c r="J1763" s="369"/>
      <c r="K1763" s="452"/>
    </row>
    <row r="1764" spans="1:11">
      <c r="A1764" s="1556"/>
      <c r="B1764" s="518" t="s">
        <v>9513</v>
      </c>
      <c r="C1764" s="196">
        <v>17854</v>
      </c>
      <c r="D1764" s="230">
        <f>C1764*(1-VLOOKUP(I1764,descuentos,6,FALSE))*fcl/IF(dol_sol="dólar", TC,1)</f>
        <v>5484.4726322930801</v>
      </c>
      <c r="E1764" s="417">
        <v>500</v>
      </c>
      <c r="F1764" s="511">
        <f>ROUNDUP(D1764+E1764,2)</f>
        <v>5984.4800000000005</v>
      </c>
      <c r="G1764" s="314" t="s">
        <v>9514</v>
      </c>
      <c r="H1764" s="518" t="s">
        <v>9515</v>
      </c>
      <c r="I1764" s="452" t="s">
        <v>11565</v>
      </c>
      <c r="J1764" s="369" t="s">
        <v>753</v>
      </c>
      <c r="K1764" s="452" t="s">
        <v>741</v>
      </c>
    </row>
    <row r="1765" spans="1:11">
      <c r="A1765" s="369"/>
      <c r="B1765" s="518"/>
      <c r="C1765" s="196" t="s">
        <v>2024</v>
      </c>
      <c r="D1765" s="230"/>
      <c r="E1765" s="215"/>
      <c r="F1765" s="511"/>
      <c r="G1765" s="314"/>
      <c r="H1765" s="518"/>
      <c r="I1765" s="452"/>
      <c r="J1765" s="369"/>
      <c r="K1765" s="452"/>
    </row>
    <row r="1766" spans="1:11">
      <c r="A1766" s="1556"/>
      <c r="B1766" s="518" t="s">
        <v>9136</v>
      </c>
      <c r="C1766" s="196">
        <v>20770</v>
      </c>
      <c r="D1766" s="230">
        <f>C1766*(1-VLOOKUP(I1766,descuentos,6,FALSE))*fcl/IF(dol_sol="dólar", TC,1)</f>
        <v>6380.2227272727268</v>
      </c>
      <c r="E1766" s="417">
        <v>500</v>
      </c>
      <c r="F1766" s="511">
        <f>ROUNDUP(D1766+E1766,2)</f>
        <v>6880.2300000000005</v>
      </c>
      <c r="G1766" s="314" t="s">
        <v>9137</v>
      </c>
      <c r="H1766" s="518" t="s">
        <v>9138</v>
      </c>
      <c r="I1766" s="452" t="s">
        <v>11565</v>
      </c>
      <c r="J1766" s="369" t="s">
        <v>753</v>
      </c>
      <c r="K1766" s="452" t="s">
        <v>741</v>
      </c>
    </row>
    <row r="1767" spans="1:11">
      <c r="A1767" s="369"/>
      <c r="B1767" s="518"/>
      <c r="C1767" s="196" t="s">
        <v>2024</v>
      </c>
      <c r="D1767" s="230"/>
      <c r="E1767" s="215"/>
      <c r="F1767" s="511"/>
      <c r="G1767" s="314"/>
      <c r="H1767" s="518"/>
      <c r="I1767" s="452"/>
      <c r="J1767" s="369"/>
      <c r="K1767" s="452"/>
    </row>
    <row r="1768" spans="1:11" s="185" customFormat="1">
      <c r="A1768" s="369"/>
      <c r="B1768" s="518" t="s">
        <v>13548</v>
      </c>
      <c r="C1768" s="196">
        <v>11232</v>
      </c>
      <c r="D1768" s="230">
        <f t="shared" ref="D1768:D1775" si="237">C1768*(1-VLOOKUP(I1768,descuentos,6,FALSE))*fcl/IF(dol_sol="dólar", TC,1)</f>
        <v>3450.2966621438263</v>
      </c>
      <c r="E1768" s="215">
        <v>400</v>
      </c>
      <c r="F1768" s="511">
        <f t="shared" ref="F1768" si="238">ROUNDUP(D1768+E1768,2)</f>
        <v>3850.3</v>
      </c>
      <c r="G1768" s="314" t="s">
        <v>13549</v>
      </c>
      <c r="H1768" s="518" t="s">
        <v>13550</v>
      </c>
      <c r="I1768" s="452" t="s">
        <v>11565</v>
      </c>
      <c r="J1768" s="369" t="s">
        <v>753</v>
      </c>
      <c r="K1768" s="452" t="s">
        <v>741</v>
      </c>
    </row>
    <row r="1769" spans="1:11" s="185" customFormat="1">
      <c r="A1769" s="369"/>
      <c r="B1769" s="518" t="s">
        <v>13551</v>
      </c>
      <c r="C1769" s="196">
        <v>12148</v>
      </c>
      <c r="D1769" s="230">
        <f t="shared" si="237"/>
        <v>3731.6776933514243</v>
      </c>
      <c r="E1769" s="215">
        <v>400</v>
      </c>
      <c r="F1769" s="511">
        <f>ROUNDUP(D1769+E1769,2)</f>
        <v>4131.68</v>
      </c>
      <c r="G1769" s="314" t="s">
        <v>13552</v>
      </c>
      <c r="H1769" s="518" t="s">
        <v>13553</v>
      </c>
      <c r="I1769" s="452" t="s">
        <v>11565</v>
      </c>
      <c r="J1769" s="369" t="s">
        <v>753</v>
      </c>
      <c r="K1769" s="452" t="s">
        <v>741</v>
      </c>
    </row>
    <row r="1770" spans="1:11" s="185" customFormat="1">
      <c r="A1770" s="369"/>
      <c r="B1770" s="518" t="s">
        <v>1303</v>
      </c>
      <c r="C1770" s="196">
        <v>11847</v>
      </c>
      <c r="D1770" s="230">
        <f t="shared" si="237"/>
        <v>3639.2151492537309</v>
      </c>
      <c r="E1770" s="215">
        <v>400</v>
      </c>
      <c r="F1770" s="511">
        <f t="shared" ref="F1770:F1803" si="239">ROUNDUP(D1770+E1770,2)</f>
        <v>4039.2200000000003</v>
      </c>
      <c r="G1770" s="314" t="s">
        <v>1467</v>
      </c>
      <c r="H1770" s="518" t="s">
        <v>1304</v>
      </c>
      <c r="I1770" s="452" t="s">
        <v>11565</v>
      </c>
      <c r="J1770" s="369" t="s">
        <v>753</v>
      </c>
      <c r="K1770" s="452" t="s">
        <v>741</v>
      </c>
    </row>
    <row r="1771" spans="1:11" s="185" customFormat="1">
      <c r="A1771" s="369"/>
      <c r="B1771" s="518" t="s">
        <v>13554</v>
      </c>
      <c r="C1771" s="196">
        <v>12762</v>
      </c>
      <c r="D1771" s="230">
        <f t="shared" si="237"/>
        <v>3920.2889959294434</v>
      </c>
      <c r="E1771" s="215">
        <v>400</v>
      </c>
      <c r="F1771" s="511">
        <f>ROUNDUP(D1771+E1771,2)</f>
        <v>4320.29</v>
      </c>
      <c r="G1771" s="314" t="s">
        <v>13555</v>
      </c>
      <c r="H1771" s="518" t="s">
        <v>13556</v>
      </c>
      <c r="I1771" s="452" t="s">
        <v>11565</v>
      </c>
      <c r="J1771" s="369" t="s">
        <v>753</v>
      </c>
      <c r="K1771" s="452" t="s">
        <v>741</v>
      </c>
    </row>
    <row r="1772" spans="1:11">
      <c r="A1772" s="369"/>
      <c r="B1772" s="518" t="s">
        <v>805</v>
      </c>
      <c r="C1772" s="196">
        <v>12493</v>
      </c>
      <c r="D1772" s="230">
        <f t="shared" si="237"/>
        <v>3837.6563568521028</v>
      </c>
      <c r="E1772" s="417">
        <v>400</v>
      </c>
      <c r="F1772" s="511">
        <f>ROUNDUP(D1772+E1772,2)</f>
        <v>4237.66</v>
      </c>
      <c r="G1772" s="314" t="s">
        <v>1469</v>
      </c>
      <c r="H1772" s="518" t="s">
        <v>966</v>
      </c>
      <c r="I1772" s="452" t="s">
        <v>11565</v>
      </c>
      <c r="J1772" s="369" t="s">
        <v>753</v>
      </c>
      <c r="K1772" s="452" t="s">
        <v>741</v>
      </c>
    </row>
    <row r="1773" spans="1:11">
      <c r="A1773" s="369"/>
      <c r="B1773" s="518" t="s">
        <v>11160</v>
      </c>
      <c r="C1773" s="196">
        <v>13291</v>
      </c>
      <c r="D1773" s="230">
        <f t="shared" si="237"/>
        <v>4082.7896132971505</v>
      </c>
      <c r="E1773" s="417">
        <v>400</v>
      </c>
      <c r="F1773" s="511">
        <f>ROUNDUP(D1773+E1773,2)</f>
        <v>4482.79</v>
      </c>
      <c r="G1773" s="314" t="s">
        <v>11161</v>
      </c>
      <c r="H1773" s="518" t="s">
        <v>11162</v>
      </c>
      <c r="I1773" s="452" t="s">
        <v>11565</v>
      </c>
      <c r="J1773" s="369" t="s">
        <v>753</v>
      </c>
      <c r="K1773" s="452" t="s">
        <v>741</v>
      </c>
    </row>
    <row r="1774" spans="1:11">
      <c r="A1774" s="369"/>
      <c r="B1774" s="518" t="s">
        <v>13557</v>
      </c>
      <c r="C1774" s="196">
        <v>15284</v>
      </c>
      <c r="D1774" s="230">
        <f t="shared" ref="D1774" si="240">C1774*(1-VLOOKUP(I1774,descuentos,6,FALSE))*fcl/IF(dol_sol="dólar", TC,1)</f>
        <v>4695.0083853459964</v>
      </c>
      <c r="E1774" s="417">
        <v>400</v>
      </c>
      <c r="F1774" s="511">
        <f>ROUNDUP(D1774+E1774,2)</f>
        <v>5095.01</v>
      </c>
      <c r="G1774" s="314" t="s">
        <v>13558</v>
      </c>
      <c r="H1774" s="518" t="s">
        <v>13559</v>
      </c>
      <c r="I1774" s="452" t="s">
        <v>11565</v>
      </c>
      <c r="J1774" s="369" t="s">
        <v>753</v>
      </c>
      <c r="K1774" s="452" t="s">
        <v>741</v>
      </c>
    </row>
    <row r="1775" spans="1:11">
      <c r="A1775" s="369"/>
      <c r="B1775" s="518" t="s">
        <v>11163</v>
      </c>
      <c r="C1775" s="196">
        <v>15186</v>
      </c>
      <c r="D1775" s="230">
        <f t="shared" si="237"/>
        <v>4664.9043012211669</v>
      </c>
      <c r="E1775" s="417">
        <v>400</v>
      </c>
      <c r="F1775" s="511">
        <f>ROUNDUP(D1775+E1775,2)</f>
        <v>5064.91</v>
      </c>
      <c r="G1775" s="314" t="s">
        <v>11164</v>
      </c>
      <c r="H1775" s="518" t="s">
        <v>11165</v>
      </c>
      <c r="I1775" s="452" t="s">
        <v>11565</v>
      </c>
      <c r="J1775" s="369" t="s">
        <v>753</v>
      </c>
      <c r="K1775" s="452" t="s">
        <v>741</v>
      </c>
    </row>
    <row r="1776" spans="1:11" s="185" customFormat="1">
      <c r="A1776" s="369"/>
      <c r="B1776" s="518"/>
      <c r="C1776" s="196" t="s">
        <v>2024</v>
      </c>
      <c r="D1776" s="230"/>
      <c r="E1776" s="215"/>
      <c r="F1776" s="511"/>
      <c r="G1776" s="314"/>
      <c r="H1776" s="518"/>
      <c r="I1776" s="452"/>
      <c r="J1776" s="369"/>
      <c r="K1776" s="452"/>
    </row>
    <row r="1777" spans="1:11">
      <c r="A1777" s="372"/>
      <c r="B1777" s="506" t="s">
        <v>13560</v>
      </c>
      <c r="C1777" s="346">
        <v>14039</v>
      </c>
      <c r="D1777" s="345">
        <f>C1777*(1-VLOOKUP(I1777,descuentos,6,FALSE))*fcl/IF(dol_sol="dólar", TC,1)</f>
        <v>4312.563643147897</v>
      </c>
      <c r="E1777" s="556">
        <v>500</v>
      </c>
      <c r="F1777" s="508">
        <f>ROUNDUP(D1777+E1777,2)</f>
        <v>4812.5700000000006</v>
      </c>
      <c r="G1777" s="351" t="s">
        <v>13561</v>
      </c>
      <c r="H1777" s="506" t="s">
        <v>13562</v>
      </c>
      <c r="I1777" s="546" t="s">
        <v>11565</v>
      </c>
      <c r="J1777" s="372" t="s">
        <v>753</v>
      </c>
      <c r="K1777" s="546" t="s">
        <v>741</v>
      </c>
    </row>
    <row r="1778" spans="1:11" s="185" customFormat="1">
      <c r="A1778" s="369"/>
      <c r="B1778" s="518" t="s">
        <v>12707</v>
      </c>
      <c r="C1778" s="196">
        <v>15184</v>
      </c>
      <c r="D1778" s="230">
        <f>C1778*(1-VLOOKUP(I1778,descuentos,6,FALSE))*fcl/IF(dol_sol="dólar", TC,1)</f>
        <v>4664.289932157395</v>
      </c>
      <c r="E1778" s="215">
        <v>400</v>
      </c>
      <c r="F1778" s="511">
        <f>ROUNDUP(D1778+E1778,2)</f>
        <v>5064.29</v>
      </c>
      <c r="G1778" s="314" t="s">
        <v>13563</v>
      </c>
      <c r="H1778" s="518" t="s">
        <v>12708</v>
      </c>
      <c r="I1778" s="452" t="s">
        <v>11565</v>
      </c>
      <c r="J1778" s="369" t="s">
        <v>753</v>
      </c>
      <c r="K1778" s="452" t="s">
        <v>741</v>
      </c>
    </row>
    <row r="1779" spans="1:11" s="185" customFormat="1">
      <c r="A1779" s="369"/>
      <c r="B1779" s="518" t="s">
        <v>1306</v>
      </c>
      <c r="C1779" s="196">
        <v>14807</v>
      </c>
      <c r="D1779" s="230">
        <f>C1779*(1-VLOOKUP(I1779,descuentos,6,FALSE))*fcl/IF(dol_sol="dólar", TC,1)</f>
        <v>4548.4813636363633</v>
      </c>
      <c r="E1779" s="215">
        <v>500</v>
      </c>
      <c r="F1779" s="511">
        <f>ROUNDUP(D1779+E1779,2)</f>
        <v>5048.49</v>
      </c>
      <c r="G1779" s="314" t="s">
        <v>1468</v>
      </c>
      <c r="H1779" s="518" t="s">
        <v>1305</v>
      </c>
      <c r="I1779" s="452" t="s">
        <v>11565</v>
      </c>
      <c r="J1779" s="369" t="s">
        <v>753</v>
      </c>
      <c r="K1779" s="452" t="s">
        <v>741</v>
      </c>
    </row>
    <row r="1780" spans="1:11" s="185" customFormat="1">
      <c r="A1780" s="369"/>
      <c r="B1780" s="518" t="s">
        <v>13564</v>
      </c>
      <c r="C1780" s="196">
        <v>15952</v>
      </c>
      <c r="D1780" s="230">
        <f t="shared" ref="D1780" si="241">C1780*(1-VLOOKUP(I1780,descuentos,6,FALSE))*fcl/IF(dol_sol="dólar", TC,1)</f>
        <v>4900.2076526458613</v>
      </c>
      <c r="E1780" s="215">
        <v>400</v>
      </c>
      <c r="F1780" s="511">
        <f>ROUNDUP(D1780+E1780,2)</f>
        <v>5300.21</v>
      </c>
      <c r="G1780" s="314" t="s">
        <v>13565</v>
      </c>
      <c r="H1780" s="518" t="s">
        <v>13566</v>
      </c>
      <c r="I1780" s="452" t="s">
        <v>11565</v>
      </c>
      <c r="J1780" s="369" t="s">
        <v>753</v>
      </c>
      <c r="K1780" s="452" t="s">
        <v>741</v>
      </c>
    </row>
    <row r="1781" spans="1:11" s="185" customFormat="1">
      <c r="A1781" s="369"/>
      <c r="B1781" s="518" t="s">
        <v>1276</v>
      </c>
      <c r="C1781" s="196">
        <v>15616</v>
      </c>
      <c r="D1781" s="230">
        <f>C1781*(1-VLOOKUP(I1781,descuentos,6,FALSE))*fcl/IF(dol_sol="dólar", TC,1)</f>
        <v>4796.9936499321575</v>
      </c>
      <c r="E1781" s="215">
        <v>500</v>
      </c>
      <c r="F1781" s="511">
        <f t="shared" si="239"/>
        <v>5297</v>
      </c>
      <c r="G1781" s="314" t="s">
        <v>1470</v>
      </c>
      <c r="H1781" s="518" t="s">
        <v>1277</v>
      </c>
      <c r="I1781" s="452" t="s">
        <v>11565</v>
      </c>
      <c r="J1781" s="369" t="s">
        <v>753</v>
      </c>
      <c r="K1781" s="452" t="s">
        <v>741</v>
      </c>
    </row>
    <row r="1782" spans="1:11" s="185" customFormat="1">
      <c r="A1782" s="369"/>
      <c r="B1782" s="518" t="s">
        <v>13567</v>
      </c>
      <c r="C1782" s="196">
        <v>16761</v>
      </c>
      <c r="D1782" s="230">
        <f t="shared" ref="D1782" si="242">C1782*(1-VLOOKUP(I1782,descuentos,6,FALSE))*fcl/IF(dol_sol="dólar", TC,1)</f>
        <v>5148.7199389416546</v>
      </c>
      <c r="E1782" s="215">
        <v>400</v>
      </c>
      <c r="F1782" s="511">
        <f>ROUNDUP(D1782+E1782,2)</f>
        <v>5548.72</v>
      </c>
      <c r="G1782" s="314" t="s">
        <v>13568</v>
      </c>
      <c r="H1782" s="518" t="s">
        <v>13569</v>
      </c>
      <c r="I1782" s="452" t="s">
        <v>11565</v>
      </c>
      <c r="J1782" s="369" t="s">
        <v>753</v>
      </c>
      <c r="K1782" s="452" t="s">
        <v>741</v>
      </c>
    </row>
    <row r="1783" spans="1:11">
      <c r="A1783" s="372"/>
      <c r="B1783" s="506" t="s">
        <v>13570</v>
      </c>
      <c r="C1783" s="346">
        <v>34820</v>
      </c>
      <c r="D1783" s="345">
        <f>C1783*(1-VLOOKUP(I1783,descuentos,6,FALSE))*fcl/IF(dol_sol="dólar", TC,1)</f>
        <v>10696.165400271369</v>
      </c>
      <c r="E1783" s="556">
        <v>500</v>
      </c>
      <c r="F1783" s="508">
        <f t="shared" ref="F1783" si="243">ROUNDUP(D1783+E1783,2)</f>
        <v>11196.17</v>
      </c>
      <c r="G1783" s="351" t="s">
        <v>13571</v>
      </c>
      <c r="H1783" s="506" t="s">
        <v>13572</v>
      </c>
      <c r="I1783" s="546" t="s">
        <v>11565</v>
      </c>
      <c r="J1783" s="372" t="s">
        <v>753</v>
      </c>
      <c r="K1783" s="546" t="s">
        <v>741</v>
      </c>
    </row>
    <row r="1784" spans="1:11" s="185" customFormat="1">
      <c r="A1784" s="369"/>
      <c r="B1784" s="518"/>
      <c r="C1784" s="196" t="s">
        <v>2024</v>
      </c>
      <c r="D1784" s="230"/>
      <c r="E1784" s="215"/>
      <c r="F1784" s="511">
        <f t="shared" si="239"/>
        <v>0</v>
      </c>
      <c r="G1784" s="314"/>
      <c r="H1784" s="518"/>
      <c r="I1784" s="452"/>
      <c r="J1784" s="369"/>
      <c r="K1784" s="452"/>
    </row>
    <row r="1785" spans="1:11" s="185" customFormat="1">
      <c r="A1785" s="369"/>
      <c r="B1785" s="518"/>
      <c r="C1785" s="196" t="s">
        <v>2024</v>
      </c>
      <c r="D1785" s="230"/>
      <c r="E1785" s="215"/>
      <c r="F1785" s="511"/>
      <c r="G1785" s="314"/>
      <c r="H1785" s="518"/>
      <c r="I1785" s="452"/>
      <c r="J1785" s="369"/>
      <c r="K1785" s="452"/>
    </row>
    <row r="1786" spans="1:11">
      <c r="A1786" s="369"/>
      <c r="B1786" s="518"/>
      <c r="C1786" s="196" t="s">
        <v>2024</v>
      </c>
      <c r="D1786" s="230"/>
      <c r="E1786" s="215"/>
      <c r="F1786" s="511">
        <f t="shared" si="239"/>
        <v>0</v>
      </c>
      <c r="G1786" s="314"/>
      <c r="H1786" s="518"/>
      <c r="I1786" s="452"/>
      <c r="J1786" s="369"/>
      <c r="K1786" s="452"/>
    </row>
    <row r="1787" spans="1:11" s="185" customFormat="1">
      <c r="A1787" s="369"/>
      <c r="B1787" s="518" t="s">
        <v>7058</v>
      </c>
      <c r="C1787" s="196">
        <v>13373</v>
      </c>
      <c r="D1787" s="230">
        <f>C1787*(1-VLOOKUP(I1787,descuentos,6,FALSE))*fcl/IF(dol_sol="dólar", TC,1)</f>
        <v>4107.9787449118039</v>
      </c>
      <c r="E1787" s="417">
        <v>400</v>
      </c>
      <c r="F1787" s="511">
        <f t="shared" si="239"/>
        <v>4507.9800000000005</v>
      </c>
      <c r="G1787" s="314" t="s">
        <v>7059</v>
      </c>
      <c r="H1787" s="518" t="s">
        <v>7060</v>
      </c>
      <c r="I1787" s="452" t="s">
        <v>11565</v>
      </c>
      <c r="J1787" s="369" t="s">
        <v>753</v>
      </c>
      <c r="K1787" s="452" t="s">
        <v>741</v>
      </c>
    </row>
    <row r="1788" spans="1:11" s="185" customFormat="1">
      <c r="A1788" s="369"/>
      <c r="B1788" s="518" t="s">
        <v>1348</v>
      </c>
      <c r="C1788" s="196">
        <v>12458</v>
      </c>
      <c r="D1788" s="230">
        <f t="shared" ref="D1788:D1794" si="244">C1788*(1-VLOOKUP(I1788,descuentos,6,FALSE))*fcl/IF(dol_sol="dólar", TC,1)</f>
        <v>3826.9048982360914</v>
      </c>
      <c r="E1788" s="417">
        <v>400</v>
      </c>
      <c r="F1788" s="511">
        <f t="shared" si="239"/>
        <v>4226.91</v>
      </c>
      <c r="G1788" s="314" t="s">
        <v>1471</v>
      </c>
      <c r="H1788" s="518" t="s">
        <v>1349</v>
      </c>
      <c r="I1788" s="452" t="s">
        <v>11565</v>
      </c>
      <c r="J1788" s="369" t="s">
        <v>753</v>
      </c>
      <c r="K1788" s="452" t="s">
        <v>741</v>
      </c>
    </row>
    <row r="1789" spans="1:11">
      <c r="A1789" s="369"/>
      <c r="B1789" s="518" t="s">
        <v>946</v>
      </c>
      <c r="C1789" s="196">
        <v>13667</v>
      </c>
      <c r="D1789" s="230">
        <f t="shared" si="244"/>
        <v>4198.2909972862954</v>
      </c>
      <c r="E1789" s="417">
        <v>400</v>
      </c>
      <c r="F1789" s="511">
        <f t="shared" si="239"/>
        <v>4598.3</v>
      </c>
      <c r="G1789" s="314" t="s">
        <v>1472</v>
      </c>
      <c r="H1789" s="518" t="s">
        <v>949</v>
      </c>
      <c r="I1789" s="452" t="s">
        <v>11565</v>
      </c>
      <c r="J1789" s="369" t="s">
        <v>753</v>
      </c>
      <c r="K1789" s="452" t="s">
        <v>741</v>
      </c>
    </row>
    <row r="1790" spans="1:11">
      <c r="A1790" s="369"/>
      <c r="B1790" s="518" t="s">
        <v>947</v>
      </c>
      <c r="C1790" s="196">
        <v>13430</v>
      </c>
      <c r="D1790" s="230">
        <f t="shared" si="244"/>
        <v>4125.4882632293074</v>
      </c>
      <c r="E1790" s="417">
        <v>400</v>
      </c>
      <c r="F1790" s="511">
        <f t="shared" si="239"/>
        <v>4525.49</v>
      </c>
      <c r="G1790" s="314" t="s">
        <v>1473</v>
      </c>
      <c r="H1790" s="518" t="s">
        <v>950</v>
      </c>
      <c r="I1790" s="452" t="s">
        <v>11565</v>
      </c>
      <c r="J1790" s="369" t="s">
        <v>753</v>
      </c>
      <c r="K1790" s="452" t="s">
        <v>741</v>
      </c>
    </row>
    <row r="1791" spans="1:11">
      <c r="A1791" s="952"/>
      <c r="B1791" s="518" t="s">
        <v>13573</v>
      </c>
      <c r="C1791" s="196">
        <v>17774</v>
      </c>
      <c r="D1791" s="230">
        <f t="shared" si="244"/>
        <v>5459.8978697421981</v>
      </c>
      <c r="E1791" s="417">
        <v>400</v>
      </c>
      <c r="F1791" s="511">
        <f t="shared" si="239"/>
        <v>5859.9000000000005</v>
      </c>
      <c r="G1791" s="314" t="s">
        <v>13574</v>
      </c>
      <c r="H1791" s="518" t="s">
        <v>13575</v>
      </c>
      <c r="I1791" s="452" t="s">
        <v>11565</v>
      </c>
      <c r="J1791" s="369" t="s">
        <v>753</v>
      </c>
      <c r="K1791" s="452" t="s">
        <v>741</v>
      </c>
    </row>
    <row r="1792" spans="1:11">
      <c r="A1792" s="1464"/>
      <c r="B1792" s="518" t="s">
        <v>7061</v>
      </c>
      <c r="C1792" s="196">
        <v>15456</v>
      </c>
      <c r="D1792" s="230">
        <f t="shared" ref="D1792" si="245">C1792*(1-VLOOKUP(I1792,descuentos,6,FALSE))*fcl/IF(dol_sol="dólar", TC,1)</f>
        <v>4747.8441248303934</v>
      </c>
      <c r="E1792" s="417">
        <v>400</v>
      </c>
      <c r="F1792" s="511">
        <f t="shared" si="239"/>
        <v>5147.8500000000004</v>
      </c>
      <c r="G1792" s="314" t="s">
        <v>7062</v>
      </c>
      <c r="H1792" s="518" t="s">
        <v>7063</v>
      </c>
      <c r="I1792" s="452" t="s">
        <v>11565</v>
      </c>
      <c r="J1792" s="369" t="s">
        <v>753</v>
      </c>
      <c r="K1792" s="452" t="s">
        <v>741</v>
      </c>
    </row>
    <row r="1793" spans="1:11">
      <c r="A1793" s="369"/>
      <c r="B1793" s="1656" t="s">
        <v>948</v>
      </c>
      <c r="C1793" s="196">
        <v>13996</v>
      </c>
      <c r="D1793" s="230">
        <f t="shared" si="244"/>
        <v>4299.3547082767973</v>
      </c>
      <c r="E1793" s="417">
        <v>400</v>
      </c>
      <c r="F1793" s="511">
        <f t="shared" si="239"/>
        <v>4699.3600000000006</v>
      </c>
      <c r="G1793" s="314" t="s">
        <v>1474</v>
      </c>
      <c r="H1793" s="518" t="s">
        <v>951</v>
      </c>
      <c r="I1793" s="452" t="s">
        <v>11565</v>
      </c>
      <c r="J1793" s="369" t="s">
        <v>753</v>
      </c>
      <c r="K1793" s="452" t="s">
        <v>741</v>
      </c>
    </row>
    <row r="1794" spans="1:11">
      <c r="A1794" s="1473"/>
      <c r="B1794" s="518" t="s">
        <v>7064</v>
      </c>
      <c r="C1794" s="196">
        <v>14963</v>
      </c>
      <c r="D1794" s="230">
        <f t="shared" si="244"/>
        <v>4596.4021506105828</v>
      </c>
      <c r="E1794" s="417">
        <v>400</v>
      </c>
      <c r="F1794" s="511">
        <f t="shared" si="239"/>
        <v>4996.41</v>
      </c>
      <c r="G1794" s="314" t="s">
        <v>7065</v>
      </c>
      <c r="H1794" s="518" t="s">
        <v>7066</v>
      </c>
      <c r="I1794" s="452" t="s">
        <v>11565</v>
      </c>
      <c r="J1794" s="369" t="s">
        <v>753</v>
      </c>
      <c r="K1794" s="452" t="s">
        <v>741</v>
      </c>
    </row>
    <row r="1795" spans="1:11">
      <c r="A1795" s="369"/>
      <c r="B1795" s="518"/>
      <c r="C1795" s="196" t="s">
        <v>2024</v>
      </c>
      <c r="D1795" s="230"/>
      <c r="E1795" s="215"/>
      <c r="F1795" s="511">
        <f t="shared" si="239"/>
        <v>0</v>
      </c>
      <c r="G1795" s="314"/>
      <c r="H1795" s="518"/>
      <c r="I1795" s="452"/>
      <c r="J1795" s="369"/>
      <c r="K1795" s="452"/>
    </row>
    <row r="1796" spans="1:11">
      <c r="A1796" s="1383"/>
      <c r="B1796" s="506" t="s">
        <v>6166</v>
      </c>
      <c r="C1796" s="346">
        <v>15571</v>
      </c>
      <c r="D1796" s="345">
        <f t="shared" ref="D1796:D1803" si="246">C1796*(1-VLOOKUP(I1796,descuentos,6,FALSE))*fcl/IF(dol_sol="dólar", TC,1)</f>
        <v>4783.1703459972859</v>
      </c>
      <c r="E1796" s="417">
        <v>500</v>
      </c>
      <c r="F1796" s="508">
        <f t="shared" si="239"/>
        <v>5283.18</v>
      </c>
      <c r="G1796" s="351" t="s">
        <v>6167</v>
      </c>
      <c r="H1796" s="506" t="s">
        <v>6168</v>
      </c>
      <c r="I1796" s="546" t="s">
        <v>11565</v>
      </c>
      <c r="J1796" s="372" t="s">
        <v>753</v>
      </c>
      <c r="K1796" s="546" t="s">
        <v>741</v>
      </c>
    </row>
    <row r="1797" spans="1:11">
      <c r="A1797" s="1383"/>
      <c r="B1797" s="506" t="s">
        <v>6169</v>
      </c>
      <c r="C1797" s="346">
        <v>17083</v>
      </c>
      <c r="D1797" s="345">
        <f t="shared" si="246"/>
        <v>5247.6333582089546</v>
      </c>
      <c r="E1797" s="417">
        <v>500</v>
      </c>
      <c r="F1797" s="508">
        <f t="shared" si="239"/>
        <v>5747.64</v>
      </c>
      <c r="G1797" s="351" t="s">
        <v>6170</v>
      </c>
      <c r="H1797" s="506" t="s">
        <v>6171</v>
      </c>
      <c r="I1797" s="546" t="s">
        <v>11565</v>
      </c>
      <c r="J1797" s="372" t="s">
        <v>753</v>
      </c>
      <c r="K1797" s="546" t="s">
        <v>741</v>
      </c>
    </row>
    <row r="1798" spans="1:11">
      <c r="A1798" s="369"/>
      <c r="B1798" s="506" t="s">
        <v>3325</v>
      </c>
      <c r="C1798" s="346">
        <v>18175</v>
      </c>
      <c r="D1798" s="345">
        <f t="shared" si="246"/>
        <v>5583.0788670284928</v>
      </c>
      <c r="E1798" s="417">
        <v>500</v>
      </c>
      <c r="F1798" s="508">
        <f t="shared" si="239"/>
        <v>6083.08</v>
      </c>
      <c r="G1798" s="351" t="s">
        <v>3326</v>
      </c>
      <c r="H1798" s="506" t="s">
        <v>3327</v>
      </c>
      <c r="I1798" s="546" t="s">
        <v>11565</v>
      </c>
      <c r="J1798" s="372" t="s">
        <v>753</v>
      </c>
      <c r="K1798" s="546" t="s">
        <v>741</v>
      </c>
    </row>
    <row r="1799" spans="1:11" ht="13.5" customHeight="1">
      <c r="A1799" s="369"/>
      <c r="B1799" s="506" t="s">
        <v>3116</v>
      </c>
      <c r="C1799" s="346">
        <v>17809</v>
      </c>
      <c r="D1799" s="345">
        <f t="shared" si="246"/>
        <v>5470.6493283582076</v>
      </c>
      <c r="E1799" s="417">
        <v>500</v>
      </c>
      <c r="F1799" s="508">
        <f t="shared" si="239"/>
        <v>5970.6500000000005</v>
      </c>
      <c r="G1799" s="351" t="s">
        <v>3117</v>
      </c>
      <c r="H1799" s="506" t="s">
        <v>3118</v>
      </c>
      <c r="I1799" s="546" t="s">
        <v>11565</v>
      </c>
      <c r="J1799" s="372" t="s">
        <v>753</v>
      </c>
      <c r="K1799" s="546" t="s">
        <v>741</v>
      </c>
    </row>
    <row r="1800" spans="1:11">
      <c r="A1800" s="369"/>
      <c r="B1800" s="506" t="s">
        <v>4966</v>
      </c>
      <c r="C1800" s="346">
        <v>22832</v>
      </c>
      <c r="D1800" s="345">
        <f t="shared" si="246"/>
        <v>7013.6372320217097</v>
      </c>
      <c r="E1800" s="556">
        <v>600</v>
      </c>
      <c r="F1800" s="508">
        <f t="shared" si="239"/>
        <v>7613.64</v>
      </c>
      <c r="G1800" s="351" t="s">
        <v>4967</v>
      </c>
      <c r="H1800" s="506" t="s">
        <v>4968</v>
      </c>
      <c r="I1800" s="546" t="s">
        <v>11565</v>
      </c>
      <c r="J1800" s="372" t="s">
        <v>753</v>
      </c>
      <c r="K1800" s="546" t="s">
        <v>741</v>
      </c>
    </row>
    <row r="1801" spans="1:11">
      <c r="A1801" s="369"/>
      <c r="B1801" s="506" t="s">
        <v>7067</v>
      </c>
      <c r="C1801" s="346">
        <v>18227</v>
      </c>
      <c r="D1801" s="345">
        <f t="shared" si="246"/>
        <v>5599.0524626865672</v>
      </c>
      <c r="E1801" s="417">
        <v>500</v>
      </c>
      <c r="F1801" s="508">
        <f t="shared" si="239"/>
        <v>6099.06</v>
      </c>
      <c r="G1801" s="351" t="s">
        <v>7068</v>
      </c>
      <c r="H1801" s="506" t="s">
        <v>7069</v>
      </c>
      <c r="I1801" s="546" t="s">
        <v>11565</v>
      </c>
      <c r="J1801" s="372" t="s">
        <v>753</v>
      </c>
      <c r="K1801" s="546" t="s">
        <v>741</v>
      </c>
    </row>
    <row r="1802" spans="1:11">
      <c r="A1802" s="369"/>
      <c r="B1802" s="506" t="s">
        <v>5421</v>
      </c>
      <c r="C1802" s="346">
        <v>19320</v>
      </c>
      <c r="D1802" s="345">
        <f t="shared" si="246"/>
        <v>5934.8051560379909</v>
      </c>
      <c r="E1802" s="417">
        <v>500</v>
      </c>
      <c r="F1802" s="508">
        <f t="shared" si="239"/>
        <v>6434.81</v>
      </c>
      <c r="G1802" s="351" t="s">
        <v>5422</v>
      </c>
      <c r="H1802" s="506" t="s">
        <v>5423</v>
      </c>
      <c r="I1802" s="546" t="s">
        <v>11565</v>
      </c>
      <c r="J1802" s="372" t="s">
        <v>753</v>
      </c>
      <c r="K1802" s="546" t="s">
        <v>741</v>
      </c>
    </row>
    <row r="1803" spans="1:11">
      <c r="A1803" s="369"/>
      <c r="B1803" s="506" t="s">
        <v>4969</v>
      </c>
      <c r="C1803" s="346">
        <v>26402</v>
      </c>
      <c r="D1803" s="345">
        <f t="shared" si="246"/>
        <v>8110.2860108548166</v>
      </c>
      <c r="E1803" s="556">
        <v>600</v>
      </c>
      <c r="F1803" s="508">
        <f t="shared" si="239"/>
        <v>8710.2900000000009</v>
      </c>
      <c r="G1803" s="351" t="s">
        <v>4970</v>
      </c>
      <c r="H1803" s="506" t="s">
        <v>4971</v>
      </c>
      <c r="I1803" s="546" t="s">
        <v>11565</v>
      </c>
      <c r="J1803" s="372" t="s">
        <v>753</v>
      </c>
      <c r="K1803" s="546" t="s">
        <v>741</v>
      </c>
    </row>
    <row r="1804" spans="1:11" s="185" customFormat="1">
      <c r="A1804" s="369"/>
      <c r="B1804" s="518"/>
      <c r="C1804" s="196" t="s">
        <v>2024</v>
      </c>
      <c r="D1804" s="230"/>
      <c r="E1804" s="215"/>
      <c r="F1804" s="511"/>
      <c r="G1804" s="314"/>
      <c r="H1804" s="518"/>
      <c r="I1804" s="452"/>
      <c r="J1804" s="369"/>
      <c r="K1804" s="452"/>
    </row>
    <row r="1805" spans="1:11">
      <c r="A1805" s="1383"/>
      <c r="B1805" s="506" t="s">
        <v>9763</v>
      </c>
      <c r="C1805" s="346">
        <v>19644</v>
      </c>
      <c r="D1805" s="345">
        <f t="shared" ref="D1805" si="247">C1805*(1-VLOOKUP(I1805,descuentos,6,FALSE))*fcl/IF(dol_sol="dólar", TC,1)</f>
        <v>6034.3329443690627</v>
      </c>
      <c r="E1805" s="417">
        <v>500</v>
      </c>
      <c r="F1805" s="508">
        <f t="shared" ref="F1805:F1806" si="248">ROUNDUP(D1805+E1805,2)</f>
        <v>6534.34</v>
      </c>
      <c r="G1805" s="351" t="s">
        <v>6170</v>
      </c>
      <c r="H1805" s="506" t="s">
        <v>9764</v>
      </c>
      <c r="I1805" s="546" t="s">
        <v>11565</v>
      </c>
      <c r="J1805" s="372" t="s">
        <v>753</v>
      </c>
      <c r="K1805" s="546" t="s">
        <v>741</v>
      </c>
    </row>
    <row r="1806" spans="1:11">
      <c r="A1806" s="369"/>
      <c r="B1806" s="1617" t="s">
        <v>9765</v>
      </c>
      <c r="C1806" s="196">
        <v>3640</v>
      </c>
      <c r="D1806" s="230">
        <f>C1806*(1-VLOOKUP(I1806,descuentos,6,FALSE))*fcl/IF(dol_sol="dólar", TC,1)</f>
        <v>1118.1516960651288</v>
      </c>
      <c r="E1806" s="417">
        <v>80</v>
      </c>
      <c r="F1806" s="511">
        <f t="shared" si="248"/>
        <v>1198.1600000000001</v>
      </c>
      <c r="G1806" s="314" t="s">
        <v>9766</v>
      </c>
      <c r="H1806" s="518" t="s">
        <v>9767</v>
      </c>
      <c r="I1806" s="452" t="s">
        <v>11565</v>
      </c>
      <c r="J1806" s="369" t="s">
        <v>753</v>
      </c>
      <c r="K1806" s="452" t="s">
        <v>741</v>
      </c>
    </row>
    <row r="1807" spans="1:11">
      <c r="A1807" s="506"/>
      <c r="B1807" s="506"/>
      <c r="C1807" s="346" t="s">
        <v>2024</v>
      </c>
      <c r="D1807" s="345"/>
      <c r="E1807" s="417"/>
      <c r="F1807" s="508"/>
      <c r="G1807" s="351"/>
      <c r="H1807" s="506"/>
      <c r="I1807" s="546"/>
      <c r="J1807" s="372"/>
      <c r="K1807" s="546"/>
    </row>
    <row r="1808" spans="1:11" ht="13.5" customHeight="1">
      <c r="A1808" s="1471"/>
      <c r="B1808" s="506" t="s">
        <v>9139</v>
      </c>
      <c r="C1808" s="346">
        <v>19222</v>
      </c>
      <c r="D1808" s="345">
        <f>C1808*(1-VLOOKUP(I1808,descuentos,6,FALSE))*fcl/IF(dol_sol="dólar", TC,1)</f>
        <v>5904.7010719131613</v>
      </c>
      <c r="E1808" s="417">
        <v>500</v>
      </c>
      <c r="F1808" s="508">
        <f>ROUNDUP(D1808+E1808,2)</f>
        <v>6404.71</v>
      </c>
      <c r="G1808" s="351" t="s">
        <v>9140</v>
      </c>
      <c r="H1808" s="506" t="s">
        <v>9141</v>
      </c>
      <c r="I1808" s="546" t="s">
        <v>11565</v>
      </c>
      <c r="J1808" s="372" t="s">
        <v>753</v>
      </c>
      <c r="K1808" s="546" t="s">
        <v>741</v>
      </c>
    </row>
    <row r="1809" spans="1:11" s="185" customFormat="1">
      <c r="A1809" s="369"/>
      <c r="B1809" s="518"/>
      <c r="C1809" s="196" t="s">
        <v>2024</v>
      </c>
      <c r="D1809" s="230"/>
      <c r="E1809" s="215"/>
      <c r="F1809" s="511"/>
      <c r="G1809" s="314"/>
      <c r="H1809" s="518"/>
      <c r="I1809" s="452"/>
      <c r="J1809" s="369"/>
      <c r="K1809" s="452"/>
    </row>
    <row r="1810" spans="1:11" ht="13.5" customHeight="1">
      <c r="A1810" s="1471"/>
      <c r="B1810" s="506" t="s">
        <v>7070</v>
      </c>
      <c r="C1810" s="346">
        <v>18703</v>
      </c>
      <c r="D1810" s="345">
        <f>C1810*(1-VLOOKUP(I1810,descuentos,6,FALSE))*fcl/IF(dol_sol="dólar", TC,1)</f>
        <v>5745.2722998643139</v>
      </c>
      <c r="E1810" s="417">
        <v>500</v>
      </c>
      <c r="F1810" s="508">
        <f>ROUNDUP(D1810+E1810,2)</f>
        <v>6245.2800000000007</v>
      </c>
      <c r="G1810" s="351" t="s">
        <v>7071</v>
      </c>
      <c r="H1810" s="506" t="s">
        <v>7072</v>
      </c>
      <c r="I1810" s="546" t="s">
        <v>11565</v>
      </c>
      <c r="J1810" s="372" t="s">
        <v>753</v>
      </c>
      <c r="K1810" s="546" t="s">
        <v>741</v>
      </c>
    </row>
    <row r="1811" spans="1:11">
      <c r="A1811" s="369"/>
      <c r="B1811" s="518"/>
      <c r="C1811" s="196" t="s">
        <v>2024</v>
      </c>
      <c r="D1811" s="230"/>
      <c r="E1811" s="215"/>
      <c r="F1811" s="511">
        <f>ROUNDUP(D1811+E1811,2)</f>
        <v>0</v>
      </c>
      <c r="G1811" s="314"/>
      <c r="H1811" s="518"/>
      <c r="I1811" s="452"/>
      <c r="J1811" s="369"/>
      <c r="K1811" s="553"/>
    </row>
    <row r="1812" spans="1:11" ht="12" customHeight="1">
      <c r="A1812" s="1376"/>
      <c r="B1812" s="506" t="s">
        <v>7073</v>
      </c>
      <c r="C1812" s="346">
        <v>25963</v>
      </c>
      <c r="D1812" s="345">
        <f>C1812*(1-VLOOKUP(I1812,descuentos,6,FALSE))*fcl/IF(dol_sol="dólar", TC,1)</f>
        <v>7975.4320013568513</v>
      </c>
      <c r="E1812" s="556">
        <v>600</v>
      </c>
      <c r="F1812" s="508">
        <f>ROUNDUP(D1812+E1812,2)</f>
        <v>8575.44</v>
      </c>
      <c r="G1812" s="351" t="s">
        <v>7074</v>
      </c>
      <c r="H1812" s="506" t="s">
        <v>7075</v>
      </c>
      <c r="I1812" s="546" t="s">
        <v>11565</v>
      </c>
      <c r="J1812" s="372" t="s">
        <v>753</v>
      </c>
      <c r="K1812" s="546" t="s">
        <v>741</v>
      </c>
    </row>
    <row r="1813" spans="1:11" s="185" customFormat="1" ht="12" customHeight="1">
      <c r="A1813" s="369"/>
      <c r="B1813" s="518"/>
      <c r="C1813" s="196" t="s">
        <v>2024</v>
      </c>
      <c r="D1813" s="230"/>
      <c r="E1813" s="215"/>
      <c r="F1813" s="511"/>
      <c r="G1813" s="314"/>
      <c r="H1813" s="518"/>
      <c r="I1813" s="452"/>
      <c r="J1813" s="369"/>
      <c r="K1813" s="452"/>
    </row>
    <row r="1814" spans="1:11" ht="12" customHeight="1">
      <c r="A1814" s="1471"/>
      <c r="B1814" s="506" t="s">
        <v>7076</v>
      </c>
      <c r="C1814" s="346">
        <v>27107</v>
      </c>
      <c r="D1814" s="345">
        <f>C1814*(1-VLOOKUP(I1814,descuentos,6,FALSE))*fcl/IF(dol_sol="dólar", TC,1)</f>
        <v>8326.8511058344629</v>
      </c>
      <c r="E1814" s="556">
        <v>600</v>
      </c>
      <c r="F1814" s="508">
        <f>ROUNDUP(D1814+E1814,2)</f>
        <v>8926.86</v>
      </c>
      <c r="G1814" s="351" t="s">
        <v>7077</v>
      </c>
      <c r="H1814" s="506" t="s">
        <v>7078</v>
      </c>
      <c r="I1814" s="546" t="s">
        <v>11565</v>
      </c>
      <c r="J1814" s="372" t="s">
        <v>753</v>
      </c>
      <c r="K1814" s="546" t="s">
        <v>741</v>
      </c>
    </row>
    <row r="1815" spans="1:11" s="185" customFormat="1" ht="12" customHeight="1">
      <c r="A1815" s="369"/>
      <c r="B1815" s="518"/>
      <c r="C1815" s="196" t="s">
        <v>2024</v>
      </c>
      <c r="D1815" s="230"/>
      <c r="E1815" s="215"/>
      <c r="F1815" s="511"/>
      <c r="G1815" s="314"/>
      <c r="H1815" s="518"/>
      <c r="I1815" s="452"/>
      <c r="J1815" s="369"/>
      <c r="K1815" s="452"/>
    </row>
    <row r="1816" spans="1:11">
      <c r="A1816" s="369"/>
      <c r="B1816" s="518"/>
      <c r="C1816" s="196" t="s">
        <v>2024</v>
      </c>
      <c r="D1816" s="230"/>
      <c r="E1816" s="215"/>
      <c r="F1816" s="511"/>
      <c r="G1816" s="314"/>
      <c r="H1816" s="518"/>
      <c r="I1816" s="452"/>
      <c r="J1816" s="369"/>
      <c r="K1816" s="452"/>
    </row>
    <row r="1817" spans="1:11">
      <c r="A1817" s="369"/>
      <c r="B1817" s="518" t="s">
        <v>13248</v>
      </c>
      <c r="C1817" s="196">
        <v>14875</v>
      </c>
      <c r="D1817" s="230">
        <f>C1817*(1-VLOOKUP(I1817,descuentos,6,FALSE))*fcl/IF(dol_sol="dólar", TC,1)</f>
        <v>4569.3699118046134</v>
      </c>
      <c r="E1817" s="417">
        <v>500</v>
      </c>
      <c r="F1817" s="511">
        <f>ROUNDUP(D1817+E1817,2)</f>
        <v>5069.37</v>
      </c>
      <c r="G1817" s="314" t="s">
        <v>13249</v>
      </c>
      <c r="H1817" s="518" t="s">
        <v>13250</v>
      </c>
      <c r="I1817" s="452" t="s">
        <v>11565</v>
      </c>
      <c r="J1817" s="369" t="s">
        <v>753</v>
      </c>
      <c r="K1817" s="452" t="s">
        <v>741</v>
      </c>
    </row>
    <row r="1818" spans="1:11">
      <c r="A1818" s="369"/>
      <c r="B1818" s="518" t="s">
        <v>13251</v>
      </c>
      <c r="C1818" s="196">
        <v>15846</v>
      </c>
      <c r="D1818" s="230">
        <f>C1818*(1-VLOOKUP(I1818,descuentos,6,FALSE))*fcl/IF(dol_sol="dólar", TC,1)</f>
        <v>4867.6460922659426</v>
      </c>
      <c r="E1818" s="417">
        <v>500</v>
      </c>
      <c r="F1818" s="511">
        <f>ROUNDUP(D1818+E1818,2)</f>
        <v>5367.6500000000005</v>
      </c>
      <c r="G1818" s="314" t="s">
        <v>13252</v>
      </c>
      <c r="H1818" s="518" t="s">
        <v>13253</v>
      </c>
      <c r="I1818" s="452" t="s">
        <v>11565</v>
      </c>
      <c r="J1818" s="369" t="s">
        <v>753</v>
      </c>
      <c r="K1818" s="452" t="s">
        <v>741</v>
      </c>
    </row>
    <row r="1819" spans="1:11">
      <c r="A1819" s="369"/>
      <c r="B1819" s="518" t="s">
        <v>932</v>
      </c>
      <c r="C1819" s="196">
        <v>18925</v>
      </c>
      <c r="D1819" s="230">
        <f>C1819*(1-VLOOKUP(I1819,descuentos,6,FALSE))*fcl/IF(dol_sol="dólar", TC,1)</f>
        <v>5813.4672659430125</v>
      </c>
      <c r="E1819" s="417">
        <v>500</v>
      </c>
      <c r="F1819" s="511">
        <f>ROUNDUP(D1819+E1819,2)</f>
        <v>6313.47</v>
      </c>
      <c r="G1819" s="314" t="s">
        <v>3130</v>
      </c>
      <c r="H1819" s="518" t="s">
        <v>933</v>
      </c>
      <c r="I1819" s="452" t="s">
        <v>11565</v>
      </c>
      <c r="J1819" s="369" t="s">
        <v>753</v>
      </c>
      <c r="K1819" s="452" t="s">
        <v>741</v>
      </c>
    </row>
    <row r="1820" spans="1:11">
      <c r="A1820" s="369"/>
      <c r="B1820" s="518" t="s">
        <v>937</v>
      </c>
      <c r="C1820" s="196">
        <v>17623</v>
      </c>
      <c r="D1820" s="230">
        <f>C1820*(1-VLOOKUP(I1820,descuentos,6,FALSE))*fcl/IF(dol_sol="dólar", TC,1)</f>
        <v>5413.5130054274086</v>
      </c>
      <c r="E1820" s="417">
        <v>500</v>
      </c>
      <c r="F1820" s="511">
        <f>ROUNDUP(D1820+E1820,2)</f>
        <v>5913.52</v>
      </c>
      <c r="G1820" s="314" t="s">
        <v>3131</v>
      </c>
      <c r="H1820" s="518" t="s">
        <v>936</v>
      </c>
      <c r="I1820" s="452" t="s">
        <v>11565</v>
      </c>
      <c r="J1820" s="369" t="s">
        <v>753</v>
      </c>
      <c r="K1820" s="452" t="s">
        <v>741</v>
      </c>
    </row>
    <row r="1821" spans="1:11">
      <c r="A1821" s="369"/>
      <c r="B1821" s="518" t="s">
        <v>939</v>
      </c>
      <c r="C1821" s="196">
        <v>24799</v>
      </c>
      <c r="D1821" s="230">
        <f>C1821*(1-VLOOKUP(I1821,descuentos,6,FALSE))*fcl/IF(dol_sol="dólar", TC,1)</f>
        <v>7617.8692062415184</v>
      </c>
      <c r="E1821" s="417">
        <v>500</v>
      </c>
      <c r="F1821" s="511">
        <f>ROUNDUP(D1821+E1821,2)</f>
        <v>8117.87</v>
      </c>
      <c r="G1821" s="314" t="s">
        <v>7079</v>
      </c>
      <c r="H1821" s="518" t="s">
        <v>938</v>
      </c>
      <c r="I1821" s="452" t="s">
        <v>11565</v>
      </c>
      <c r="J1821" s="369" t="s">
        <v>753</v>
      </c>
      <c r="K1821" s="452" t="s">
        <v>741</v>
      </c>
    </row>
    <row r="1822" spans="1:11">
      <c r="A1822" s="369"/>
      <c r="B1822" s="518"/>
      <c r="C1822" s="196" t="s">
        <v>2024</v>
      </c>
      <c r="D1822" s="230"/>
      <c r="E1822" s="417"/>
      <c r="F1822" s="511"/>
      <c r="G1822" s="314"/>
      <c r="H1822" s="518"/>
      <c r="I1822" s="452"/>
      <c r="J1822" s="369"/>
      <c r="K1822" s="452"/>
    </row>
    <row r="1823" spans="1:11">
      <c r="A1823" s="1383"/>
      <c r="B1823" s="518" t="s">
        <v>5424</v>
      </c>
      <c r="C1823" s="196">
        <v>19310</v>
      </c>
      <c r="D1823" s="230">
        <f>C1823*(1-VLOOKUP(I1823,descuentos,6,FALSE))*fcl/IF(dol_sol="dólar", TC,1)</f>
        <v>5931.7333107191316</v>
      </c>
      <c r="E1823" s="556">
        <v>600</v>
      </c>
      <c r="F1823" s="511">
        <f t="shared" ref="F1823:F1838" si="249">ROUNDUP(D1823+E1823,2)</f>
        <v>6531.74</v>
      </c>
      <c r="G1823" s="314" t="s">
        <v>5425</v>
      </c>
      <c r="H1823" s="518" t="s">
        <v>5426</v>
      </c>
      <c r="I1823" s="452" t="s">
        <v>11565</v>
      </c>
      <c r="J1823" s="369" t="s">
        <v>753</v>
      </c>
      <c r="K1823" s="452" t="s">
        <v>741</v>
      </c>
    </row>
    <row r="1824" spans="1:11">
      <c r="A1824" s="369"/>
      <c r="B1824" s="506" t="s">
        <v>9516</v>
      </c>
      <c r="C1824" s="346">
        <v>27727</v>
      </c>
      <c r="D1824" s="345">
        <f>C1824*(1-VLOOKUP(I1824,descuentos,6,FALSE))*fcl/IF(dol_sol="dólar", TC,1)</f>
        <v>8517.3055156037972</v>
      </c>
      <c r="E1824" s="556">
        <v>600</v>
      </c>
      <c r="F1824" s="508">
        <f t="shared" si="249"/>
        <v>9117.31</v>
      </c>
      <c r="G1824" s="351" t="s">
        <v>7521</v>
      </c>
      <c r="H1824" s="506" t="s">
        <v>7520</v>
      </c>
      <c r="I1824" s="546" t="s">
        <v>11565</v>
      </c>
      <c r="J1824" s="372" t="s">
        <v>753</v>
      </c>
      <c r="K1824" s="546" t="s">
        <v>741</v>
      </c>
    </row>
    <row r="1825" spans="1:11" s="185" customFormat="1">
      <c r="A1825" s="369"/>
      <c r="B1825" s="518"/>
      <c r="C1825" s="196" t="s">
        <v>2024</v>
      </c>
      <c r="D1825" s="230"/>
      <c r="E1825" s="215"/>
      <c r="F1825" s="511">
        <f t="shared" si="249"/>
        <v>0</v>
      </c>
      <c r="G1825" s="314"/>
      <c r="H1825" s="518"/>
      <c r="I1825" s="452"/>
      <c r="J1825" s="369"/>
      <c r="K1825" s="452"/>
    </row>
    <row r="1826" spans="1:11">
      <c r="A1826" s="369"/>
      <c r="B1826" s="506" t="s">
        <v>9142</v>
      </c>
      <c r="C1826" s="346">
        <v>18593</v>
      </c>
      <c r="D1826" s="345">
        <f>C1826*(1-VLOOKUP(I1826,descuentos,6,FALSE))*fcl/IF(dol_sol="dólar", TC,1)</f>
        <v>5711.4820013568524</v>
      </c>
      <c r="E1826" s="556">
        <v>600</v>
      </c>
      <c r="F1826" s="508">
        <f t="shared" si="249"/>
        <v>6311.49</v>
      </c>
      <c r="G1826" s="351" t="s">
        <v>9143</v>
      </c>
      <c r="H1826" s="506" t="s">
        <v>9144</v>
      </c>
      <c r="I1826" s="546" t="s">
        <v>11565</v>
      </c>
      <c r="J1826" s="372" t="s">
        <v>753</v>
      </c>
      <c r="K1826" s="546" t="s">
        <v>741</v>
      </c>
    </row>
    <row r="1827" spans="1:11">
      <c r="A1827" s="369"/>
      <c r="B1827" s="506" t="s">
        <v>7080</v>
      </c>
      <c r="C1827" s="346">
        <v>19737</v>
      </c>
      <c r="D1827" s="345">
        <f>C1827*(1-VLOOKUP(I1827,descuentos,6,FALSE))*fcl/IF(dol_sol="dólar", TC,1)</f>
        <v>6062.9011058344631</v>
      </c>
      <c r="E1827" s="556">
        <v>600</v>
      </c>
      <c r="F1827" s="508">
        <f t="shared" si="249"/>
        <v>6662.91</v>
      </c>
      <c r="G1827" s="351" t="s">
        <v>7081</v>
      </c>
      <c r="H1827" s="506" t="s">
        <v>7082</v>
      </c>
      <c r="I1827" s="546" t="s">
        <v>11565</v>
      </c>
      <c r="J1827" s="372" t="s">
        <v>753</v>
      </c>
      <c r="K1827" s="546" t="s">
        <v>741</v>
      </c>
    </row>
    <row r="1828" spans="1:11">
      <c r="A1828" s="369"/>
      <c r="B1828" s="506" t="s">
        <v>5427</v>
      </c>
      <c r="C1828" s="346">
        <v>19808</v>
      </c>
      <c r="D1828" s="345">
        <f>C1828*(1-VLOOKUP(I1828,descuentos,6,FALSE))*fcl/IF(dol_sol="dólar", TC,1)</f>
        <v>6084.7112075983714</v>
      </c>
      <c r="E1828" s="556">
        <v>600</v>
      </c>
      <c r="F1828" s="508">
        <f t="shared" si="249"/>
        <v>6684.72</v>
      </c>
      <c r="G1828" s="351" t="s">
        <v>5428</v>
      </c>
      <c r="H1828" s="506" t="s">
        <v>5429</v>
      </c>
      <c r="I1828" s="546" t="s">
        <v>11565</v>
      </c>
      <c r="J1828" s="372" t="s">
        <v>753</v>
      </c>
      <c r="K1828" s="546" t="s">
        <v>741</v>
      </c>
    </row>
    <row r="1829" spans="1:11">
      <c r="A1829" s="369"/>
      <c r="B1829" s="506" t="s">
        <v>5430</v>
      </c>
      <c r="C1829" s="346">
        <v>20952</v>
      </c>
      <c r="D1829" s="345">
        <f>C1829*(1-VLOOKUP(I1829,descuentos,6,FALSE))*fcl/IF(dol_sol="dólar", TC,1)</f>
        <v>6436.130312075984</v>
      </c>
      <c r="E1829" s="556">
        <v>600</v>
      </c>
      <c r="F1829" s="508">
        <f t="shared" si="249"/>
        <v>7036.14</v>
      </c>
      <c r="G1829" s="351" t="s">
        <v>5431</v>
      </c>
      <c r="H1829" s="506" t="s">
        <v>5432</v>
      </c>
      <c r="I1829" s="546" t="s">
        <v>11565</v>
      </c>
      <c r="J1829" s="372" t="s">
        <v>753</v>
      </c>
      <c r="K1829" s="546" t="s">
        <v>741</v>
      </c>
    </row>
    <row r="1830" spans="1:11">
      <c r="A1830" s="369"/>
      <c r="B1830" s="506" t="s">
        <v>3316</v>
      </c>
      <c r="C1830" s="346">
        <v>23656</v>
      </c>
      <c r="D1830" s="345">
        <f t="shared" ref="D1830:D1836" si="250">C1830*(1-VLOOKUP(I1830,descuentos,6,FALSE))*fcl/IF(dol_sol="dólar", TC,1)</f>
        <v>7266.7572862957932</v>
      </c>
      <c r="E1830" s="556">
        <v>600</v>
      </c>
      <c r="F1830" s="508">
        <f t="shared" si="249"/>
        <v>7866.76</v>
      </c>
      <c r="G1830" s="351" t="s">
        <v>3317</v>
      </c>
      <c r="H1830" s="506" t="s">
        <v>3318</v>
      </c>
      <c r="I1830" s="546" t="s">
        <v>11565</v>
      </c>
      <c r="J1830" s="372" t="s">
        <v>753</v>
      </c>
      <c r="K1830" s="546" t="s">
        <v>741</v>
      </c>
    </row>
    <row r="1831" spans="1:11">
      <c r="A1831" s="369"/>
      <c r="B1831" s="506" t="s">
        <v>5433</v>
      </c>
      <c r="C1831" s="346">
        <v>24801</v>
      </c>
      <c r="D1831" s="345">
        <f>C1831*(1-VLOOKUP(I1831,descuentos,6,FALSE))*fcl/IF(dol_sol="dólar", TC,1)</f>
        <v>7618.4835753052912</v>
      </c>
      <c r="E1831" s="556">
        <v>600</v>
      </c>
      <c r="F1831" s="508">
        <f t="shared" si="249"/>
        <v>8218.49</v>
      </c>
      <c r="G1831" s="351" t="s">
        <v>5434</v>
      </c>
      <c r="H1831" s="506" t="s">
        <v>5435</v>
      </c>
      <c r="I1831" s="546" t="s">
        <v>11565</v>
      </c>
      <c r="J1831" s="372" t="s">
        <v>753</v>
      </c>
      <c r="K1831" s="546" t="s">
        <v>741</v>
      </c>
    </row>
    <row r="1832" spans="1:11" ht="12" customHeight="1">
      <c r="A1832" s="369"/>
      <c r="B1832" s="506" t="s">
        <v>2327</v>
      </c>
      <c r="C1832" s="346">
        <v>22037</v>
      </c>
      <c r="D1832" s="345">
        <f t="shared" si="250"/>
        <v>6769.4255291723202</v>
      </c>
      <c r="E1832" s="556">
        <v>600</v>
      </c>
      <c r="F1832" s="508">
        <f t="shared" si="249"/>
        <v>7369.43</v>
      </c>
      <c r="G1832" s="351" t="s">
        <v>2328</v>
      </c>
      <c r="H1832" s="506" t="s">
        <v>2329</v>
      </c>
      <c r="I1832" s="546" t="s">
        <v>11565</v>
      </c>
      <c r="J1832" s="372" t="s">
        <v>753</v>
      </c>
      <c r="K1832" s="546" t="s">
        <v>741</v>
      </c>
    </row>
    <row r="1833" spans="1:11">
      <c r="A1833" s="1469"/>
      <c r="B1833" s="506" t="s">
        <v>2330</v>
      </c>
      <c r="C1833" s="346">
        <v>22931</v>
      </c>
      <c r="D1833" s="345">
        <f t="shared" si="250"/>
        <v>7044.0485006784247</v>
      </c>
      <c r="E1833" s="556">
        <v>600</v>
      </c>
      <c r="F1833" s="508">
        <f t="shared" si="249"/>
        <v>7644.05</v>
      </c>
      <c r="G1833" s="351" t="s">
        <v>2331</v>
      </c>
      <c r="H1833" s="506" t="s">
        <v>2332</v>
      </c>
      <c r="I1833" s="546" t="s">
        <v>11565</v>
      </c>
      <c r="J1833" s="372" t="s">
        <v>753</v>
      </c>
      <c r="K1833" s="546" t="s">
        <v>741</v>
      </c>
    </row>
    <row r="1834" spans="1:11">
      <c r="A1834" s="369"/>
      <c r="B1834" s="506" t="s">
        <v>2333</v>
      </c>
      <c r="C1834" s="346">
        <v>33514</v>
      </c>
      <c r="D1834" s="345">
        <f t="shared" si="250"/>
        <v>10294.982401628222</v>
      </c>
      <c r="E1834" s="556">
        <v>600</v>
      </c>
      <c r="F1834" s="508">
        <f t="shared" si="249"/>
        <v>10894.99</v>
      </c>
      <c r="G1834" s="351" t="s">
        <v>2334</v>
      </c>
      <c r="H1834" s="506" t="s">
        <v>2335</v>
      </c>
      <c r="I1834" s="546" t="s">
        <v>11565</v>
      </c>
      <c r="J1834" s="372" t="s">
        <v>753</v>
      </c>
      <c r="K1834" s="546" t="s">
        <v>741</v>
      </c>
    </row>
    <row r="1835" spans="1:11">
      <c r="A1835" s="1469"/>
      <c r="B1835" s="506" t="s">
        <v>2336</v>
      </c>
      <c r="C1835" s="346">
        <v>34659</v>
      </c>
      <c r="D1835" s="345">
        <f t="shared" si="250"/>
        <v>10646.708690637719</v>
      </c>
      <c r="E1835" s="556">
        <v>600</v>
      </c>
      <c r="F1835" s="508">
        <f t="shared" si="249"/>
        <v>11246.710000000001</v>
      </c>
      <c r="G1835" s="351" t="s">
        <v>2337</v>
      </c>
      <c r="H1835" s="506" t="s">
        <v>2338</v>
      </c>
      <c r="I1835" s="546" t="s">
        <v>11565</v>
      </c>
      <c r="J1835" s="372" t="s">
        <v>753</v>
      </c>
      <c r="K1835" s="546" t="s">
        <v>741</v>
      </c>
    </row>
    <row r="1836" spans="1:11">
      <c r="A1836" s="369"/>
      <c r="B1836" s="506" t="s">
        <v>2339</v>
      </c>
      <c r="C1836" s="346">
        <v>40775</v>
      </c>
      <c r="D1836" s="345">
        <f t="shared" si="250"/>
        <v>12525.449287652646</v>
      </c>
      <c r="E1836" s="556">
        <v>600</v>
      </c>
      <c r="F1836" s="508">
        <f t="shared" si="249"/>
        <v>13125.45</v>
      </c>
      <c r="G1836" s="351" t="s">
        <v>2340</v>
      </c>
      <c r="H1836" s="506" t="s">
        <v>2341</v>
      </c>
      <c r="I1836" s="546" t="s">
        <v>11565</v>
      </c>
      <c r="J1836" s="372" t="s">
        <v>753</v>
      </c>
      <c r="K1836" s="546" t="s">
        <v>741</v>
      </c>
    </row>
    <row r="1837" spans="1:11" s="185" customFormat="1">
      <c r="A1837" s="369"/>
      <c r="B1837" s="518"/>
      <c r="C1837" s="196" t="s">
        <v>2024</v>
      </c>
      <c r="D1837" s="230"/>
      <c r="E1837" s="215"/>
      <c r="F1837" s="511">
        <f t="shared" si="249"/>
        <v>0</v>
      </c>
      <c r="G1837" s="314"/>
      <c r="H1837" s="518"/>
      <c r="I1837" s="452"/>
      <c r="J1837" s="369"/>
      <c r="K1837" s="452"/>
    </row>
    <row r="1838" spans="1:11">
      <c r="A1838" s="369"/>
      <c r="B1838" s="506" t="s">
        <v>7083</v>
      </c>
      <c r="C1838" s="346">
        <v>31489</v>
      </c>
      <c r="D1838" s="345">
        <f>C1838*(1-VLOOKUP(I1838,descuentos,6,FALSE))*fcl/IF(dol_sol="dólar", TC,1)</f>
        <v>9672.9337245590232</v>
      </c>
      <c r="E1838" s="556">
        <v>600</v>
      </c>
      <c r="F1838" s="508">
        <f t="shared" si="249"/>
        <v>10272.94</v>
      </c>
      <c r="G1838" s="351" t="s">
        <v>7084</v>
      </c>
      <c r="H1838" s="506" t="s">
        <v>7085</v>
      </c>
      <c r="I1838" s="546" t="s">
        <v>11565</v>
      </c>
      <c r="J1838" s="372" t="s">
        <v>753</v>
      </c>
      <c r="K1838" s="546" t="s">
        <v>741</v>
      </c>
    </row>
    <row r="1839" spans="1:11">
      <c r="A1839" s="369"/>
      <c r="B1839" s="506"/>
      <c r="C1839" s="346" t="s">
        <v>2024</v>
      </c>
      <c r="D1839" s="345"/>
      <c r="E1839" s="556"/>
      <c r="F1839" s="508"/>
      <c r="G1839" s="351"/>
      <c r="H1839" s="506"/>
      <c r="I1839" s="546"/>
      <c r="J1839" s="372"/>
      <c r="K1839" s="546"/>
    </row>
    <row r="1840" spans="1:11" ht="12" customHeight="1">
      <c r="A1840" s="1362"/>
      <c r="B1840" s="506" t="s">
        <v>11016</v>
      </c>
      <c r="C1840" s="346">
        <v>16213</v>
      </c>
      <c r="D1840" s="345">
        <f t="shared" ref="D1840:D1846" si="251">C1840*(1-VLOOKUP(I1840,descuentos,6,FALSE))*fcl/IF(dol_sol="dólar", TC,1)</f>
        <v>4980.3828154681132</v>
      </c>
      <c r="E1840" s="556">
        <v>600</v>
      </c>
      <c r="F1840" s="508">
        <f t="shared" ref="F1840:F1847" si="252">ROUNDUP(D1840+E1840,2)</f>
        <v>5580.39</v>
      </c>
      <c r="G1840" s="351" t="s">
        <v>11017</v>
      </c>
      <c r="H1840" s="506" t="s">
        <v>11018</v>
      </c>
      <c r="I1840" s="546" t="s">
        <v>11565</v>
      </c>
      <c r="J1840" s="372" t="s">
        <v>753</v>
      </c>
      <c r="K1840" s="546" t="s">
        <v>741</v>
      </c>
    </row>
    <row r="1841" spans="1:11" ht="12" customHeight="1">
      <c r="A1841" s="1362"/>
      <c r="B1841" s="506" t="s">
        <v>11019</v>
      </c>
      <c r="C1841" s="346">
        <v>20266</v>
      </c>
      <c r="D1841" s="345">
        <f t="shared" si="251"/>
        <v>6225.4017232021706</v>
      </c>
      <c r="E1841" s="556">
        <v>600</v>
      </c>
      <c r="F1841" s="508">
        <f t="shared" si="252"/>
        <v>6825.41</v>
      </c>
      <c r="G1841" s="351" t="s">
        <v>11020</v>
      </c>
      <c r="H1841" s="506" t="s">
        <v>11021</v>
      </c>
      <c r="I1841" s="546" t="s">
        <v>11565</v>
      </c>
      <c r="J1841" s="372" t="s">
        <v>753</v>
      </c>
      <c r="K1841" s="546" t="s">
        <v>741</v>
      </c>
    </row>
    <row r="1842" spans="1:11" ht="12" customHeight="1">
      <c r="A1842" s="1362"/>
      <c r="B1842" s="506" t="s">
        <v>11022</v>
      </c>
      <c r="C1842" s="346">
        <v>19383</v>
      </c>
      <c r="D1842" s="345">
        <f t="shared" si="251"/>
        <v>5954.1577815468099</v>
      </c>
      <c r="E1842" s="556">
        <v>600</v>
      </c>
      <c r="F1842" s="508">
        <f t="shared" si="252"/>
        <v>6554.16</v>
      </c>
      <c r="G1842" s="351" t="s">
        <v>11023</v>
      </c>
      <c r="H1842" s="506" t="s">
        <v>11024</v>
      </c>
      <c r="I1842" s="546" t="s">
        <v>11565</v>
      </c>
      <c r="J1842" s="372" t="s">
        <v>753</v>
      </c>
      <c r="K1842" s="546" t="s">
        <v>741</v>
      </c>
    </row>
    <row r="1843" spans="1:11" ht="12" customHeight="1">
      <c r="A1843" s="1362"/>
      <c r="B1843" s="506" t="s">
        <v>7086</v>
      </c>
      <c r="C1843" s="346">
        <v>24229</v>
      </c>
      <c r="D1843" s="345">
        <f t="shared" si="251"/>
        <v>7442.7740230664849</v>
      </c>
      <c r="E1843" s="556">
        <v>600</v>
      </c>
      <c r="F1843" s="508">
        <f t="shared" si="252"/>
        <v>8042.7800000000007</v>
      </c>
      <c r="G1843" s="351" t="s">
        <v>7087</v>
      </c>
      <c r="H1843" s="506" t="s">
        <v>7088</v>
      </c>
      <c r="I1843" s="546" t="s">
        <v>11565</v>
      </c>
      <c r="J1843" s="372" t="s">
        <v>753</v>
      </c>
      <c r="K1843" s="546" t="s">
        <v>741</v>
      </c>
    </row>
    <row r="1844" spans="1:11" ht="12" customHeight="1">
      <c r="A1844" s="1362"/>
      <c r="B1844" s="506" t="s">
        <v>9818</v>
      </c>
      <c r="C1844" s="346">
        <v>22224</v>
      </c>
      <c r="D1844" s="345">
        <f t="shared" si="251"/>
        <v>6826.8690366350065</v>
      </c>
      <c r="E1844" s="556">
        <v>600</v>
      </c>
      <c r="F1844" s="508">
        <f t="shared" si="252"/>
        <v>7426.87</v>
      </c>
      <c r="G1844" s="351" t="s">
        <v>9819</v>
      </c>
      <c r="H1844" s="506" t="s">
        <v>9820</v>
      </c>
      <c r="I1844" s="546" t="s">
        <v>11565</v>
      </c>
      <c r="J1844" s="372" t="s">
        <v>753</v>
      </c>
      <c r="K1844" s="546" t="s">
        <v>741</v>
      </c>
    </row>
    <row r="1845" spans="1:11" ht="12" customHeight="1">
      <c r="A1845" s="1362"/>
      <c r="B1845" s="506" t="s">
        <v>13254</v>
      </c>
      <c r="C1845" s="346">
        <v>23141</v>
      </c>
      <c r="D1845" s="345">
        <f t="shared" ref="D1845" si="253">C1845*(1-VLOOKUP(I1845,descuentos,6,FALSE))*fcl/IF(dol_sol="dólar", TC,1)</f>
        <v>7108.5572523744904</v>
      </c>
      <c r="E1845" s="556">
        <v>600</v>
      </c>
      <c r="F1845" s="508">
        <f t="shared" si="252"/>
        <v>7708.56</v>
      </c>
      <c r="G1845" s="351" t="s">
        <v>13255</v>
      </c>
      <c r="H1845" s="506" t="s">
        <v>13256</v>
      </c>
      <c r="I1845" s="546" t="s">
        <v>11565</v>
      </c>
      <c r="J1845" s="372" t="s">
        <v>753</v>
      </c>
      <c r="K1845" s="546" t="s">
        <v>741</v>
      </c>
    </row>
    <row r="1846" spans="1:11" ht="12" customHeight="1">
      <c r="A1846" s="1362"/>
      <c r="B1846" s="506" t="s">
        <v>7089</v>
      </c>
      <c r="C1846" s="346">
        <v>27780</v>
      </c>
      <c r="D1846" s="345">
        <f t="shared" si="251"/>
        <v>8533.586295793757</v>
      </c>
      <c r="E1846" s="556">
        <v>600</v>
      </c>
      <c r="F1846" s="508">
        <f t="shared" si="252"/>
        <v>9133.59</v>
      </c>
      <c r="G1846" s="351" t="s">
        <v>7090</v>
      </c>
      <c r="H1846" s="506" t="s">
        <v>7091</v>
      </c>
      <c r="I1846" s="546" t="s">
        <v>11565</v>
      </c>
      <c r="J1846" s="372" t="s">
        <v>753</v>
      </c>
      <c r="K1846" s="546" t="s">
        <v>741</v>
      </c>
    </row>
    <row r="1847" spans="1:11" ht="12" customHeight="1">
      <c r="A1847" s="1362"/>
      <c r="B1847" s="506" t="s">
        <v>13257</v>
      </c>
      <c r="C1847" s="346">
        <v>28422</v>
      </c>
      <c r="D1847" s="345">
        <f t="shared" ref="D1847" si="254">C1847*(1-VLOOKUP(I1847,descuentos,6,FALSE))*fcl/IF(dol_sol="dólar", TC,1)</f>
        <v>8730.7987652645861</v>
      </c>
      <c r="E1847" s="556">
        <v>600</v>
      </c>
      <c r="F1847" s="508">
        <f t="shared" si="252"/>
        <v>9330.8000000000011</v>
      </c>
      <c r="G1847" s="351" t="s">
        <v>13258</v>
      </c>
      <c r="H1847" s="506" t="s">
        <v>13259</v>
      </c>
      <c r="I1847" s="546" t="s">
        <v>11565</v>
      </c>
      <c r="J1847" s="372" t="s">
        <v>753</v>
      </c>
      <c r="K1847" s="546" t="s">
        <v>741</v>
      </c>
    </row>
    <row r="1848" spans="1:11" s="317" customFormat="1">
      <c r="A1848" s="369"/>
      <c r="B1848" s="314"/>
      <c r="C1848" s="196" t="s">
        <v>2024</v>
      </c>
      <c r="D1848" s="230"/>
      <c r="E1848" s="215"/>
      <c r="F1848" s="511"/>
      <c r="G1848" s="314"/>
      <c r="H1848" s="518"/>
      <c r="I1848" s="452"/>
      <c r="J1848" s="369"/>
      <c r="K1848" s="452"/>
    </row>
    <row r="1849" spans="1:11" s="317" customFormat="1">
      <c r="A1849" s="369"/>
      <c r="B1849" s="351" t="s">
        <v>7092</v>
      </c>
      <c r="C1849" s="346">
        <v>1809</v>
      </c>
      <c r="D1849" s="345">
        <f>C1849*(1-VLOOKUP(I1849,descuentos,6,FALSE))*fcl/IF(dol_sol="dólar", TC,1)</f>
        <v>555.69681818181812</v>
      </c>
      <c r="E1849" s="343">
        <f>D1849/8</f>
        <v>69.462102272727265</v>
      </c>
      <c r="F1849" s="508">
        <f>ROUNDUP(D1849+E1849,2)</f>
        <v>625.16</v>
      </c>
      <c r="G1849" s="351" t="s">
        <v>7093</v>
      </c>
      <c r="H1849" s="518" t="s">
        <v>7094</v>
      </c>
      <c r="I1849" s="452" t="s">
        <v>11565</v>
      </c>
      <c r="J1849" s="369" t="s">
        <v>753</v>
      </c>
      <c r="K1849" s="452" t="s">
        <v>741</v>
      </c>
    </row>
    <row r="1850" spans="1:11" s="317" customFormat="1">
      <c r="A1850" s="369"/>
      <c r="B1850" s="351"/>
      <c r="C1850" s="346" t="s">
        <v>2024</v>
      </c>
      <c r="D1850" s="345"/>
      <c r="E1850" s="343"/>
      <c r="F1850" s="508"/>
      <c r="G1850" s="351"/>
      <c r="H1850" s="518"/>
      <c r="I1850" s="452"/>
      <c r="J1850" s="369"/>
      <c r="K1850" s="452"/>
    </row>
    <row r="1851" spans="1:11" s="317" customFormat="1">
      <c r="A1851" s="369"/>
      <c r="B1851" s="351" t="s">
        <v>7095</v>
      </c>
      <c r="C1851" s="346">
        <v>614</v>
      </c>
      <c r="D1851" s="345">
        <f>C1851*(1-VLOOKUP(I1851,descuentos,6,FALSE))*fcl/IF(dol_sol="dólar", TC,1)</f>
        <v>188.61130257801895</v>
      </c>
      <c r="E1851" s="343">
        <f>D1851/8</f>
        <v>23.576412822252369</v>
      </c>
      <c r="F1851" s="508">
        <f>ROUNDUP(D1851+E1851,2)</f>
        <v>212.19</v>
      </c>
      <c r="G1851" s="351" t="s">
        <v>7096</v>
      </c>
      <c r="H1851" s="518" t="s">
        <v>7097</v>
      </c>
      <c r="I1851" s="452" t="s">
        <v>11565</v>
      </c>
      <c r="J1851" s="369" t="s">
        <v>753</v>
      </c>
      <c r="K1851" s="452" t="s">
        <v>741</v>
      </c>
    </row>
    <row r="1852" spans="1:11" s="317" customFormat="1">
      <c r="A1852" s="369"/>
      <c r="B1852" s="314"/>
      <c r="C1852" s="196" t="s">
        <v>2024</v>
      </c>
      <c r="D1852" s="230"/>
      <c r="E1852" s="215"/>
      <c r="F1852" s="511"/>
      <c r="G1852" s="314"/>
      <c r="H1852" s="518"/>
      <c r="I1852" s="452"/>
      <c r="J1852" s="369"/>
      <c r="K1852" s="452"/>
    </row>
    <row r="1853" spans="1:11" s="317" customFormat="1">
      <c r="A1853" s="369"/>
      <c r="B1853" s="314"/>
      <c r="C1853" s="196" t="s">
        <v>2024</v>
      </c>
      <c r="D1853" s="345"/>
      <c r="E1853" s="343"/>
      <c r="F1853" s="508"/>
      <c r="G1853" s="314"/>
      <c r="H1853" s="518"/>
      <c r="I1853" s="452"/>
      <c r="J1853" s="369"/>
      <c r="K1853" s="452"/>
    </row>
    <row r="1854" spans="1:11" s="317" customFormat="1">
      <c r="A1854" s="369"/>
      <c r="B1854" s="314"/>
      <c r="C1854" s="196" t="s">
        <v>2024</v>
      </c>
      <c r="D1854" s="345"/>
      <c r="E1854" s="343"/>
      <c r="F1854" s="508"/>
      <c r="G1854" s="314"/>
      <c r="H1854" s="518"/>
      <c r="I1854" s="452"/>
      <c r="J1854" s="369"/>
      <c r="K1854" s="452"/>
    </row>
    <row r="1855" spans="1:11">
      <c r="A1855" s="1822"/>
      <c r="B1855" s="506" t="s">
        <v>12179</v>
      </c>
      <c r="C1855" s="346">
        <v>27507</v>
      </c>
      <c r="D1855" s="345">
        <f>C1855*(1-VLOOKUP(I1855,descuentos,6,FALSE))*fcl/IF(dol_sol="dólar", TC,1)</f>
        <v>8449.7249185888741</v>
      </c>
      <c r="E1855" s="417">
        <v>600</v>
      </c>
      <c r="F1855" s="508">
        <f>ROUNDUP(D1855+E1855,2)</f>
        <v>9049.73</v>
      </c>
      <c r="G1855" s="351" t="s">
        <v>12180</v>
      </c>
      <c r="H1855" s="506" t="s">
        <v>12181</v>
      </c>
      <c r="I1855" s="546" t="s">
        <v>11565</v>
      </c>
      <c r="J1855" s="372" t="s">
        <v>753</v>
      </c>
      <c r="K1855" s="546" t="s">
        <v>741</v>
      </c>
    </row>
    <row r="1856" spans="1:11">
      <c r="A1856" s="369"/>
      <c r="B1856" s="506" t="s">
        <v>7098</v>
      </c>
      <c r="C1856" s="346">
        <v>34383</v>
      </c>
      <c r="D1856" s="345">
        <f>C1856*(1-VLOOKUP(I1856,descuentos,6,FALSE))*fcl/IF(dol_sol="dólar", TC,1)</f>
        <v>10561.925759837177</v>
      </c>
      <c r="E1856" s="417">
        <v>600</v>
      </c>
      <c r="F1856" s="508">
        <f>ROUNDUP(D1856+E1856,2)</f>
        <v>11161.93</v>
      </c>
      <c r="G1856" s="351" t="s">
        <v>7099</v>
      </c>
      <c r="H1856" s="506" t="s">
        <v>7100</v>
      </c>
      <c r="I1856" s="546" t="s">
        <v>11565</v>
      </c>
      <c r="J1856" s="372" t="s">
        <v>753</v>
      </c>
      <c r="K1856" s="546" t="s">
        <v>741</v>
      </c>
    </row>
    <row r="1857" spans="1:11">
      <c r="A1857" s="369"/>
      <c r="B1857" s="506"/>
      <c r="C1857" s="346" t="s">
        <v>2024</v>
      </c>
      <c r="D1857" s="345"/>
      <c r="E1857" s="417"/>
      <c r="F1857" s="508"/>
      <c r="G1857" s="351"/>
      <c r="H1857" s="506"/>
      <c r="I1857" s="546"/>
      <c r="J1857" s="372"/>
      <c r="K1857" s="546"/>
    </row>
    <row r="1858" spans="1:11">
      <c r="A1858" s="369"/>
      <c r="B1858" s="506" t="s">
        <v>2874</v>
      </c>
      <c r="C1858" s="346">
        <v>30270</v>
      </c>
      <c r="D1858" s="345">
        <f>C1858*(1-VLOOKUP(I1858,descuentos,6,FALSE))*fcl/IF(dol_sol="dólar", TC,1)</f>
        <v>9298.4757801899596</v>
      </c>
      <c r="E1858" s="556">
        <v>600</v>
      </c>
      <c r="F1858" s="508">
        <f t="shared" ref="F1858:F1878" si="255">ROUNDUP(D1858+E1858,2)</f>
        <v>9898.48</v>
      </c>
      <c r="G1858" s="351" t="s">
        <v>2875</v>
      </c>
      <c r="H1858" s="506" t="s">
        <v>2876</v>
      </c>
      <c r="I1858" s="546" t="s">
        <v>11565</v>
      </c>
      <c r="J1858" s="372" t="s">
        <v>753</v>
      </c>
      <c r="K1858" s="546" t="s">
        <v>741</v>
      </c>
    </row>
    <row r="1859" spans="1:11">
      <c r="A1859" s="369"/>
      <c r="B1859" s="506" t="s">
        <v>7101</v>
      </c>
      <c r="C1859" s="346">
        <v>31414</v>
      </c>
      <c r="D1859" s="345">
        <f>C1859*(1-VLOOKUP(I1859,descuentos,6,FALSE))*fcl/IF(dol_sol="dólar", TC,1)</f>
        <v>9649.8948846675703</v>
      </c>
      <c r="E1859" s="556">
        <v>600</v>
      </c>
      <c r="F1859" s="508">
        <f t="shared" si="255"/>
        <v>10249.9</v>
      </c>
      <c r="G1859" s="351" t="s">
        <v>7102</v>
      </c>
      <c r="H1859" s="506" t="s">
        <v>7103</v>
      </c>
      <c r="I1859" s="546" t="s">
        <v>11565</v>
      </c>
      <c r="J1859" s="372" t="s">
        <v>753</v>
      </c>
      <c r="K1859" s="546" t="s">
        <v>741</v>
      </c>
    </row>
    <row r="1860" spans="1:11">
      <c r="A1860" s="369"/>
      <c r="B1860" s="506" t="s">
        <v>2879</v>
      </c>
      <c r="C1860" s="346">
        <v>38733</v>
      </c>
      <c r="D1860" s="345">
        <f>C1860*(1-VLOOKUP(I1860,descuentos,6,FALSE))*fcl/IF(dol_sol="dólar", TC,1)</f>
        <v>11898.178473541384</v>
      </c>
      <c r="E1860" s="556">
        <v>600</v>
      </c>
      <c r="F1860" s="508">
        <f t="shared" si="255"/>
        <v>12498.18</v>
      </c>
      <c r="G1860" s="351" t="s">
        <v>2880</v>
      </c>
      <c r="H1860" s="506" t="s">
        <v>2881</v>
      </c>
      <c r="I1860" s="546" t="s">
        <v>11565</v>
      </c>
      <c r="J1860" s="372" t="s">
        <v>753</v>
      </c>
      <c r="K1860" s="546" t="s">
        <v>741</v>
      </c>
    </row>
    <row r="1861" spans="1:11">
      <c r="A1861" s="369"/>
      <c r="B1861" s="506" t="s">
        <v>7104</v>
      </c>
      <c r="C1861" s="346">
        <v>39876</v>
      </c>
      <c r="D1861" s="345">
        <f>C1861*(1-VLOOKUP(I1861,descuentos,6,FALSE))*fcl/IF(dol_sol="dólar", TC,1)</f>
        <v>12249.290393487108</v>
      </c>
      <c r="E1861" s="556">
        <v>600</v>
      </c>
      <c r="F1861" s="508">
        <f t="shared" si="255"/>
        <v>12849.300000000001</v>
      </c>
      <c r="G1861" s="351" t="s">
        <v>7105</v>
      </c>
      <c r="H1861" s="506" t="s">
        <v>7106</v>
      </c>
      <c r="I1861" s="546" t="s">
        <v>11565</v>
      </c>
      <c r="J1861" s="372" t="s">
        <v>753</v>
      </c>
      <c r="K1861" s="546" t="s">
        <v>741</v>
      </c>
    </row>
    <row r="1862" spans="1:11">
      <c r="A1862" s="369"/>
      <c r="B1862" s="506" t="s">
        <v>7107</v>
      </c>
      <c r="C1862" s="346">
        <v>45992</v>
      </c>
      <c r="D1862" s="345">
        <f>C1862*(1-VLOOKUP(I1862,descuentos,6,FALSE))*fcl/IF(dol_sol="dólar", TC,1)</f>
        <v>14128.030990502035</v>
      </c>
      <c r="E1862" s="556">
        <v>600</v>
      </c>
      <c r="F1862" s="508">
        <f t="shared" si="255"/>
        <v>14728.04</v>
      </c>
      <c r="G1862" s="351" t="s">
        <v>7108</v>
      </c>
      <c r="H1862" s="506" t="s">
        <v>7109</v>
      </c>
      <c r="I1862" s="546" t="s">
        <v>11565</v>
      </c>
      <c r="J1862" s="372" t="s">
        <v>753</v>
      </c>
      <c r="K1862" s="546" t="s">
        <v>741</v>
      </c>
    </row>
    <row r="1863" spans="1:11" s="185" customFormat="1">
      <c r="A1863" s="369"/>
      <c r="B1863" s="518"/>
      <c r="C1863" s="196" t="s">
        <v>2024</v>
      </c>
      <c r="D1863" s="230"/>
      <c r="E1863" s="215"/>
      <c r="F1863" s="511">
        <f t="shared" si="255"/>
        <v>0</v>
      </c>
      <c r="G1863" s="314"/>
      <c r="H1863" s="518"/>
      <c r="I1863" s="452"/>
      <c r="J1863" s="369"/>
      <c r="K1863" s="452"/>
    </row>
    <row r="1864" spans="1:11" s="185" customFormat="1">
      <c r="A1864" s="369"/>
      <c r="B1864" s="518"/>
      <c r="C1864" s="196" t="s">
        <v>2024</v>
      </c>
      <c r="D1864" s="230"/>
      <c r="E1864" s="215"/>
      <c r="F1864" s="511">
        <f t="shared" si="255"/>
        <v>0</v>
      </c>
      <c r="G1864" s="314"/>
      <c r="H1864" s="518"/>
      <c r="I1864" s="452"/>
      <c r="J1864" s="369"/>
      <c r="K1864" s="452"/>
    </row>
    <row r="1865" spans="1:11">
      <c r="A1865" s="369"/>
      <c r="B1865" s="518" t="s">
        <v>934</v>
      </c>
      <c r="C1865" s="196">
        <v>27175</v>
      </c>
      <c r="D1865" s="230">
        <f>C1865*(1-VLOOKUP(I1865,descuentos,6,FALSE))*fcl/IF(dol_sol="dólar", TC,1)</f>
        <v>8347.739654002713</v>
      </c>
      <c r="E1865" s="417">
        <v>600</v>
      </c>
      <c r="F1865" s="511">
        <f t="shared" si="255"/>
        <v>8947.74</v>
      </c>
      <c r="G1865" s="314" t="s">
        <v>1475</v>
      </c>
      <c r="H1865" s="518" t="s">
        <v>935</v>
      </c>
      <c r="I1865" s="452" t="s">
        <v>11565</v>
      </c>
      <c r="J1865" s="369" t="s">
        <v>753</v>
      </c>
      <c r="K1865" s="452" t="s">
        <v>741</v>
      </c>
    </row>
    <row r="1866" spans="1:11">
      <c r="A1866" s="369"/>
      <c r="B1866" s="518" t="s">
        <v>9145</v>
      </c>
      <c r="C1866" s="196">
        <v>30393</v>
      </c>
      <c r="D1866" s="230">
        <f>C1866*(1-VLOOKUP(I1866,descuentos,6,FALSE))*fcl/IF(dol_sol="dólar", TC,1)</f>
        <v>9336.2594776119404</v>
      </c>
      <c r="E1866" s="417">
        <v>600</v>
      </c>
      <c r="F1866" s="511">
        <f t="shared" si="255"/>
        <v>9936.26</v>
      </c>
      <c r="G1866" s="314" t="s">
        <v>9146</v>
      </c>
      <c r="H1866" s="518" t="s">
        <v>9147</v>
      </c>
      <c r="I1866" s="452" t="s">
        <v>11565</v>
      </c>
      <c r="J1866" s="369" t="s">
        <v>753</v>
      </c>
      <c r="K1866" s="452" t="s">
        <v>741</v>
      </c>
    </row>
    <row r="1867" spans="1:11">
      <c r="A1867" s="369"/>
      <c r="B1867" s="518" t="s">
        <v>941</v>
      </c>
      <c r="C1867" s="196">
        <v>43610</v>
      </c>
      <c r="D1867" s="230">
        <f>C1867*(1-VLOOKUP(I1867,descuentos,6,FALSE))*fcl/IF(dol_sol="dólar", TC,1)</f>
        <v>13396.317435549525</v>
      </c>
      <c r="E1867" s="417">
        <v>600</v>
      </c>
      <c r="F1867" s="511">
        <f t="shared" si="255"/>
        <v>13996.32</v>
      </c>
      <c r="G1867" s="314" t="s">
        <v>1476</v>
      </c>
      <c r="H1867" s="518" t="s">
        <v>940</v>
      </c>
      <c r="I1867" s="452" t="s">
        <v>11565</v>
      </c>
      <c r="J1867" s="369" t="s">
        <v>753</v>
      </c>
      <c r="K1867" s="452" t="s">
        <v>741</v>
      </c>
    </row>
    <row r="1868" spans="1:11">
      <c r="A1868" s="369"/>
      <c r="B1868" s="518" t="s">
        <v>10179</v>
      </c>
      <c r="C1868" s="196">
        <v>44526</v>
      </c>
      <c r="D1868" s="230">
        <f>C1868*(1-VLOOKUP(I1868,descuentos,6,FALSE))*fcl/IF(dol_sol="dólar", TC,1)</f>
        <v>13677.698466757121</v>
      </c>
      <c r="E1868" s="417">
        <v>600</v>
      </c>
      <c r="F1868" s="511">
        <f t="shared" si="255"/>
        <v>14277.7</v>
      </c>
      <c r="G1868" s="314" t="s">
        <v>10180</v>
      </c>
      <c r="H1868" s="518" t="s">
        <v>10181</v>
      </c>
      <c r="I1868" s="452" t="s">
        <v>11565</v>
      </c>
      <c r="J1868" s="369" t="s">
        <v>753</v>
      </c>
      <c r="K1868" s="452" t="s">
        <v>741</v>
      </c>
    </row>
    <row r="1869" spans="1:11">
      <c r="A1869" s="1469"/>
      <c r="B1869" s="506" t="s">
        <v>10182</v>
      </c>
      <c r="C1869" s="346">
        <v>51511</v>
      </c>
      <c r="D1869" s="345">
        <f t="shared" ref="D1869" si="256">C1869*(1-VLOOKUP(I1869,descuentos,6,FALSE))*fcl/IF(dol_sol="dólar", TC,1)</f>
        <v>15823.382421981003</v>
      </c>
      <c r="E1869" s="556">
        <v>600</v>
      </c>
      <c r="F1869" s="508">
        <f t="shared" si="255"/>
        <v>16423.39</v>
      </c>
      <c r="G1869" s="351" t="s">
        <v>10183</v>
      </c>
      <c r="H1869" s="506" t="s">
        <v>10184</v>
      </c>
      <c r="I1869" s="546" t="s">
        <v>11565</v>
      </c>
      <c r="J1869" s="372" t="s">
        <v>753</v>
      </c>
      <c r="K1869" s="546" t="s">
        <v>741</v>
      </c>
    </row>
    <row r="1870" spans="1:11" s="185" customFormat="1">
      <c r="A1870" s="369"/>
      <c r="B1870" s="518"/>
      <c r="C1870" s="196" t="s">
        <v>2024</v>
      </c>
      <c r="D1870" s="230"/>
      <c r="E1870" s="215"/>
      <c r="F1870" s="511"/>
      <c r="G1870" s="314"/>
      <c r="H1870" s="518"/>
      <c r="I1870" s="452"/>
      <c r="J1870" s="369"/>
      <c r="K1870" s="452"/>
    </row>
    <row r="1871" spans="1:11">
      <c r="A1871" s="369"/>
      <c r="B1871" s="518"/>
      <c r="C1871" s="196" t="s">
        <v>2024</v>
      </c>
      <c r="D1871" s="230"/>
      <c r="E1871" s="215"/>
      <c r="F1871" s="511">
        <f t="shared" si="255"/>
        <v>0</v>
      </c>
      <c r="G1871" s="314"/>
      <c r="H1871" s="518"/>
      <c r="I1871" s="452"/>
      <c r="J1871" s="369"/>
      <c r="K1871" s="452"/>
    </row>
    <row r="1872" spans="1:11">
      <c r="A1872" s="369"/>
      <c r="B1872" s="506" t="s">
        <v>3310</v>
      </c>
      <c r="C1872" s="346">
        <v>36846</v>
      </c>
      <c r="D1872" s="345">
        <f>C1872*(1-VLOOKUP(I1872,descuentos,6,FALSE))*fcl/IF(dol_sol="dólar", TC,1)</f>
        <v>11318.521261872456</v>
      </c>
      <c r="E1872" s="417">
        <v>700</v>
      </c>
      <c r="F1872" s="508">
        <f t="shared" si="255"/>
        <v>12018.53</v>
      </c>
      <c r="G1872" s="351" t="s">
        <v>3311</v>
      </c>
      <c r="H1872" s="506" t="s">
        <v>3312</v>
      </c>
      <c r="I1872" s="546" t="s">
        <v>11565</v>
      </c>
      <c r="J1872" s="372" t="s">
        <v>753</v>
      </c>
      <c r="K1872" s="546" t="s">
        <v>741</v>
      </c>
    </row>
    <row r="1873" spans="1:11">
      <c r="A1873" s="1469"/>
      <c r="B1873" s="518" t="s">
        <v>9821</v>
      </c>
      <c r="C1873" s="196">
        <v>54511</v>
      </c>
      <c r="D1873" s="230">
        <f>C1873*(1-VLOOKUP(I1873,descuentos,6,FALSE))*fcl/IF(dol_sol="dólar", TC,1)</f>
        <v>16744.936017639076</v>
      </c>
      <c r="E1873" s="417">
        <v>600</v>
      </c>
      <c r="F1873" s="511">
        <f t="shared" si="255"/>
        <v>17344.939999999999</v>
      </c>
      <c r="G1873" s="314" t="s">
        <v>9822</v>
      </c>
      <c r="H1873" s="518" t="s">
        <v>9823</v>
      </c>
      <c r="I1873" s="452" t="s">
        <v>11565</v>
      </c>
      <c r="J1873" s="369" t="s">
        <v>753</v>
      </c>
      <c r="K1873" s="452" t="s">
        <v>741</v>
      </c>
    </row>
    <row r="1874" spans="1:11">
      <c r="A1874" s="369"/>
      <c r="B1874" s="518"/>
      <c r="C1874" s="196" t="s">
        <v>2024</v>
      </c>
      <c r="D1874" s="230"/>
      <c r="E1874" s="215"/>
      <c r="F1874" s="511">
        <f t="shared" si="255"/>
        <v>0</v>
      </c>
      <c r="G1874" s="314"/>
      <c r="H1874" s="518"/>
      <c r="I1874" s="452"/>
      <c r="J1874" s="369"/>
      <c r="K1874" s="452"/>
    </row>
    <row r="1875" spans="1:11">
      <c r="A1875" s="369"/>
      <c r="B1875" s="518" t="s">
        <v>944</v>
      </c>
      <c r="C1875" s="196">
        <v>30277</v>
      </c>
      <c r="D1875" s="230">
        <f>C1875*(1-VLOOKUP(I1875,descuentos,6,FALSE))*fcl/IF(dol_sol="dólar", TC,1)</f>
        <v>9300.6260719131606</v>
      </c>
      <c r="E1875" s="417">
        <v>600</v>
      </c>
      <c r="F1875" s="511">
        <f t="shared" si="255"/>
        <v>9900.630000000001</v>
      </c>
      <c r="G1875" s="314" t="s">
        <v>1477</v>
      </c>
      <c r="H1875" s="518" t="s">
        <v>942</v>
      </c>
      <c r="I1875" s="452" t="s">
        <v>11565</v>
      </c>
      <c r="J1875" s="369" t="s">
        <v>753</v>
      </c>
      <c r="K1875" s="452" t="s">
        <v>741</v>
      </c>
    </row>
    <row r="1876" spans="1:11">
      <c r="A1876" s="369"/>
      <c r="B1876" s="518" t="s">
        <v>945</v>
      </c>
      <c r="C1876" s="196">
        <v>44621</v>
      </c>
      <c r="D1876" s="230">
        <f>C1876*(1-VLOOKUP(I1876,descuentos,6,FALSE))*fcl/IF(dol_sol="dólar", TC,1)</f>
        <v>13706.880997286296</v>
      </c>
      <c r="E1876" s="417">
        <v>600</v>
      </c>
      <c r="F1876" s="511">
        <f t="shared" si="255"/>
        <v>14306.89</v>
      </c>
      <c r="G1876" s="314" t="s">
        <v>1478</v>
      </c>
      <c r="H1876" s="518" t="s">
        <v>943</v>
      </c>
      <c r="I1876" s="452" t="s">
        <v>11565</v>
      </c>
      <c r="J1876" s="369" t="s">
        <v>753</v>
      </c>
      <c r="K1876" s="452" t="s">
        <v>741</v>
      </c>
    </row>
    <row r="1877" spans="1:11">
      <c r="A1877" s="369"/>
      <c r="B1877" s="518" t="s">
        <v>9715</v>
      </c>
      <c r="C1877" s="196">
        <v>31194</v>
      </c>
      <c r="D1877" s="230">
        <f>C1877*(1-VLOOKUP(I1877,descuentos,6,FALSE))*fcl/IF(dol_sol="dólar", TC,1)</f>
        <v>9582.3142876526454</v>
      </c>
      <c r="E1877" s="417">
        <v>600</v>
      </c>
      <c r="F1877" s="511">
        <f t="shared" si="255"/>
        <v>10182.32</v>
      </c>
      <c r="G1877" s="314" t="s">
        <v>9716</v>
      </c>
      <c r="H1877" s="518" t="s">
        <v>9717</v>
      </c>
      <c r="I1877" s="452" t="s">
        <v>11565</v>
      </c>
      <c r="J1877" s="369" t="s">
        <v>753</v>
      </c>
      <c r="K1877" s="452" t="s">
        <v>741</v>
      </c>
    </row>
    <row r="1878" spans="1:11">
      <c r="A1878" s="369"/>
      <c r="B1878" s="518" t="s">
        <v>9718</v>
      </c>
      <c r="C1878" s="196">
        <v>49061</v>
      </c>
      <c r="D1878" s="230">
        <f>C1878*(1-VLOOKUP(I1878,descuentos,6,FALSE))*fcl/IF(dol_sol="dólar", TC,1)</f>
        <v>15070.780318860243</v>
      </c>
      <c r="E1878" s="417">
        <v>600</v>
      </c>
      <c r="F1878" s="511">
        <f t="shared" si="255"/>
        <v>15670.79</v>
      </c>
      <c r="G1878" s="314" t="s">
        <v>9719</v>
      </c>
      <c r="H1878" s="518" t="s">
        <v>9720</v>
      </c>
      <c r="I1878" s="452" t="s">
        <v>11565</v>
      </c>
      <c r="J1878" s="369" t="s">
        <v>753</v>
      </c>
      <c r="K1878" s="452" t="s">
        <v>741</v>
      </c>
    </row>
    <row r="1879" spans="1:11" s="102" customFormat="1">
      <c r="C1879" s="102" t="s">
        <v>2024</v>
      </c>
      <c r="H1879" s="194"/>
    </row>
    <row r="1880" spans="1:11" s="102" customFormat="1">
      <c r="C1880" s="102" t="s">
        <v>2024</v>
      </c>
      <c r="H1880" s="194"/>
    </row>
    <row r="1881" spans="1:11">
      <c r="A1881" s="369"/>
      <c r="B1881" s="518" t="s">
        <v>9148</v>
      </c>
      <c r="C1881" s="196">
        <v>37848</v>
      </c>
      <c r="D1881" s="230">
        <f>C1881*(1-VLOOKUP(I1881,descuentos,6,FALSE))*fcl/IF(dol_sol="dólar", TC,1)</f>
        <v>11626.320162822252</v>
      </c>
      <c r="E1881" s="417">
        <v>600</v>
      </c>
      <c r="F1881" s="511">
        <f>ROUNDUP(D1881+E1881,2)</f>
        <v>12226.33</v>
      </c>
      <c r="G1881" s="314" t="s">
        <v>9728</v>
      </c>
      <c r="H1881" s="518" t="s">
        <v>9149</v>
      </c>
      <c r="I1881" s="452" t="s">
        <v>11565</v>
      </c>
      <c r="J1881" s="369" t="s">
        <v>753</v>
      </c>
      <c r="K1881" s="452" t="s">
        <v>741</v>
      </c>
    </row>
    <row r="1882" spans="1:11">
      <c r="A1882" s="369"/>
      <c r="B1882" s="518"/>
      <c r="C1882" s="196" t="s">
        <v>2024</v>
      </c>
      <c r="D1882" s="230"/>
      <c r="E1882" s="417"/>
      <c r="F1882" s="511"/>
      <c r="G1882" s="314"/>
      <c r="H1882" s="518"/>
      <c r="I1882" s="452"/>
      <c r="J1882" s="369"/>
      <c r="K1882" s="452"/>
    </row>
    <row r="1883" spans="1:11">
      <c r="A1883" s="369"/>
      <c r="B1883" s="506" t="s">
        <v>7110</v>
      </c>
      <c r="C1883" s="346">
        <v>21410</v>
      </c>
      <c r="D1883" s="345">
        <f>C1883*(1-VLOOKUP(I1883,descuentos,6,FALSE))*fcl/IF(dol_sol="dólar", TC,1)</f>
        <v>6576.8208276797832</v>
      </c>
      <c r="E1883" s="417">
        <v>600</v>
      </c>
      <c r="F1883" s="508">
        <f>ROUNDUP(D1883+E1883,2)</f>
        <v>7176.83</v>
      </c>
      <c r="G1883" s="351" t="s">
        <v>7111</v>
      </c>
      <c r="H1883" s="506" t="s">
        <v>7112</v>
      </c>
      <c r="I1883" s="546" t="s">
        <v>11565</v>
      </c>
      <c r="J1883" s="372" t="s">
        <v>753</v>
      </c>
      <c r="K1883" s="546" t="s">
        <v>741</v>
      </c>
    </row>
    <row r="1884" spans="1:11">
      <c r="A1884" s="369"/>
      <c r="B1884" s="506" t="s">
        <v>7113</v>
      </c>
      <c r="C1884" s="346">
        <v>25374</v>
      </c>
      <c r="D1884" s="345">
        <f>C1884*(1-VLOOKUP(I1884,descuentos,6,FALSE))*fcl/IF(dol_sol="dólar", TC,1)</f>
        <v>7794.500312075982</v>
      </c>
      <c r="E1884" s="417">
        <v>600</v>
      </c>
      <c r="F1884" s="508">
        <f>ROUNDUP(D1884+E1884,2)</f>
        <v>8394.51</v>
      </c>
      <c r="G1884" s="351" t="s">
        <v>7114</v>
      </c>
      <c r="H1884" s="506" t="s">
        <v>7115</v>
      </c>
      <c r="I1884" s="546" t="s">
        <v>11565</v>
      </c>
      <c r="J1884" s="372" t="s">
        <v>753</v>
      </c>
      <c r="K1884" s="546" t="s">
        <v>741</v>
      </c>
    </row>
    <row r="1885" spans="1:11">
      <c r="A1885" s="369"/>
      <c r="B1885" s="506" t="s">
        <v>7116</v>
      </c>
      <c r="C1885" s="346">
        <v>28925</v>
      </c>
      <c r="D1885" s="345">
        <f>C1885*(1-VLOOKUP(I1885,descuentos,6,FALSE))*fcl/IF(dol_sol="dólar", TC,1)</f>
        <v>8885.312584803256</v>
      </c>
      <c r="E1885" s="417">
        <v>600</v>
      </c>
      <c r="F1885" s="508">
        <f>ROUNDUP(D1885+E1885,2)</f>
        <v>9485.32</v>
      </c>
      <c r="G1885" s="351" t="s">
        <v>7117</v>
      </c>
      <c r="H1885" s="506" t="s">
        <v>7118</v>
      </c>
      <c r="I1885" s="546" t="s">
        <v>11565</v>
      </c>
      <c r="J1885" s="372" t="s">
        <v>753</v>
      </c>
      <c r="K1885" s="546" t="s">
        <v>741</v>
      </c>
    </row>
    <row r="1886" spans="1:11">
      <c r="A1886" s="369"/>
      <c r="B1886" s="506" t="s">
        <v>7119</v>
      </c>
      <c r="C1886" s="346">
        <v>35527</v>
      </c>
      <c r="D1886" s="345">
        <f>C1886*(1-VLOOKUP(I1886,descuentos,6,FALSE))*fcl/IF(dol_sol="dólar", TC,1)</f>
        <v>10913.344864314789</v>
      </c>
      <c r="E1886" s="417">
        <v>600</v>
      </c>
      <c r="F1886" s="508">
        <f>ROUNDUP(D1886+E1886,2)</f>
        <v>11513.35</v>
      </c>
      <c r="G1886" s="351" t="s">
        <v>7120</v>
      </c>
      <c r="H1886" s="506" t="s">
        <v>7121</v>
      </c>
      <c r="I1886" s="546" t="s">
        <v>11565</v>
      </c>
      <c r="J1886" s="372" t="s">
        <v>753</v>
      </c>
      <c r="K1886" s="546" t="s">
        <v>741</v>
      </c>
    </row>
    <row r="1887" spans="1:11" s="102" customFormat="1">
      <c r="C1887" s="102" t="s">
        <v>2024</v>
      </c>
      <c r="H1887" s="194"/>
    </row>
    <row r="1888" spans="1:11">
      <c r="A1888" s="369"/>
      <c r="B1888" s="506" t="s">
        <v>7122</v>
      </c>
      <c r="C1888" s="346">
        <v>38992</v>
      </c>
      <c r="D1888" s="345">
        <f>C1888*(1-VLOOKUP(I1888,descuentos,6,FALSE))*fcl/IF(dol_sol="dólar", TC,1)</f>
        <v>11977.739267299865</v>
      </c>
      <c r="E1888" s="417">
        <v>700</v>
      </c>
      <c r="F1888" s="508">
        <f>ROUNDUP(D1888+E1888,2)</f>
        <v>12677.74</v>
      </c>
      <c r="G1888" s="351" t="s">
        <v>7123</v>
      </c>
      <c r="H1888" s="506" t="s">
        <v>7124</v>
      </c>
      <c r="I1888" s="546" t="s">
        <v>11565</v>
      </c>
      <c r="J1888" s="372" t="s">
        <v>753</v>
      </c>
      <c r="K1888" s="546" t="s">
        <v>741</v>
      </c>
    </row>
    <row r="1889" spans="1:11">
      <c r="A1889" s="369"/>
      <c r="B1889" s="506" t="s">
        <v>7125</v>
      </c>
      <c r="C1889" s="346">
        <v>61326</v>
      </c>
      <c r="D1889" s="345">
        <f>C1889*(1-VLOOKUP(I1889,descuentos,6,FALSE))*fcl/IF(dol_sol="dólar", TC,1)</f>
        <v>18838.398602442332</v>
      </c>
      <c r="E1889" s="417">
        <v>700</v>
      </c>
      <c r="F1889" s="508">
        <f>ROUNDUP(D1889+E1889,2)</f>
        <v>19538.399999999998</v>
      </c>
      <c r="G1889" s="351" t="s">
        <v>7126</v>
      </c>
      <c r="H1889" s="506" t="s">
        <v>7127</v>
      </c>
      <c r="I1889" s="546" t="s">
        <v>11565</v>
      </c>
      <c r="J1889" s="372" t="s">
        <v>753</v>
      </c>
      <c r="K1889" s="546" t="s">
        <v>741</v>
      </c>
    </row>
    <row r="1890" spans="1:11">
      <c r="A1890" s="369"/>
      <c r="B1890" s="518"/>
      <c r="C1890" s="196" t="s">
        <v>2024</v>
      </c>
      <c r="D1890" s="230"/>
      <c r="E1890" s="215"/>
      <c r="F1890" s="511">
        <f>ROUNDUP(D1890+E1890,2)</f>
        <v>0</v>
      </c>
      <c r="G1890" s="314"/>
      <c r="H1890" s="518"/>
      <c r="I1890" s="452"/>
      <c r="J1890" s="369"/>
      <c r="K1890" s="452"/>
    </row>
    <row r="1891" spans="1:11">
      <c r="A1891" s="369"/>
      <c r="B1891" s="506" t="s">
        <v>7128</v>
      </c>
      <c r="C1891" s="346">
        <v>43374</v>
      </c>
      <c r="D1891" s="345">
        <f>C1891*(1-VLOOKUP(I1891,descuentos,6,FALSE))*fcl/IF(dol_sol="dólar", TC,1)</f>
        <v>13323.821886024423</v>
      </c>
      <c r="E1891" s="417">
        <v>700</v>
      </c>
      <c r="F1891" s="508">
        <f>ROUNDUP(D1891+E1891,2)</f>
        <v>14023.83</v>
      </c>
      <c r="G1891" s="351" t="s">
        <v>7129</v>
      </c>
      <c r="H1891" s="506" t="s">
        <v>7130</v>
      </c>
      <c r="I1891" s="546" t="s">
        <v>11565</v>
      </c>
      <c r="J1891" s="372" t="s">
        <v>753</v>
      </c>
      <c r="K1891" s="546" t="s">
        <v>741</v>
      </c>
    </row>
    <row r="1892" spans="1:11" s="102" customFormat="1">
      <c r="C1892" s="102" t="s">
        <v>2024</v>
      </c>
      <c r="H1892" s="194"/>
    </row>
    <row r="1893" spans="1:11">
      <c r="A1893" s="369"/>
      <c r="B1893" s="518"/>
      <c r="C1893" s="196" t="s">
        <v>2024</v>
      </c>
      <c r="D1893" s="230"/>
      <c r="E1893" s="215"/>
      <c r="F1893" s="511">
        <f t="shared" ref="F1893:F1903" si="257">ROUNDUP(D1893+E1893,2)</f>
        <v>0</v>
      </c>
      <c r="G1893" s="314"/>
      <c r="H1893" s="518"/>
      <c r="I1893" s="452"/>
      <c r="J1893" s="369"/>
      <c r="K1893" s="452"/>
    </row>
    <row r="1894" spans="1:11">
      <c r="A1894" s="369"/>
      <c r="B1894" s="732" t="s">
        <v>2741</v>
      </c>
      <c r="C1894" s="196">
        <v>44542</v>
      </c>
      <c r="D1894" s="230">
        <f t="shared" ref="D1894:D1903" si="258">C1894*(1-VLOOKUP(I1894,descuentos,6,FALSE))*fcl/IF(dol_sol="dólar", TC,1)</f>
        <v>13682.6134192673</v>
      </c>
      <c r="E1894" s="417">
        <v>600</v>
      </c>
      <c r="F1894" s="511">
        <f t="shared" si="257"/>
        <v>14282.62</v>
      </c>
      <c r="G1894" s="314" t="s">
        <v>2744</v>
      </c>
      <c r="H1894" s="518" t="s">
        <v>2740</v>
      </c>
      <c r="I1894" s="452" t="s">
        <v>11565</v>
      </c>
      <c r="J1894" s="369" t="s">
        <v>753</v>
      </c>
      <c r="K1894" s="452" t="s">
        <v>741</v>
      </c>
    </row>
    <row r="1895" spans="1:11">
      <c r="A1895" s="369"/>
      <c r="B1895" s="733" t="s">
        <v>2742</v>
      </c>
      <c r="C1895" s="196">
        <v>52891</v>
      </c>
      <c r="D1895" s="230">
        <f t="shared" si="258"/>
        <v>16247.297075983717</v>
      </c>
      <c r="E1895" s="417">
        <v>600</v>
      </c>
      <c r="F1895" s="511">
        <f t="shared" si="257"/>
        <v>16847.3</v>
      </c>
      <c r="G1895" s="314" t="s">
        <v>2745</v>
      </c>
      <c r="H1895" s="518" t="s">
        <v>2739</v>
      </c>
      <c r="I1895" s="452" t="s">
        <v>11565</v>
      </c>
      <c r="J1895" s="369" t="s">
        <v>753</v>
      </c>
      <c r="K1895" s="452" t="s">
        <v>741</v>
      </c>
    </row>
    <row r="1896" spans="1:11">
      <c r="A1896" s="369"/>
      <c r="B1896" s="550" t="s">
        <v>9891</v>
      </c>
      <c r="C1896" s="196">
        <v>34951</v>
      </c>
      <c r="D1896" s="230">
        <f t="shared" si="258"/>
        <v>10736.406573948439</v>
      </c>
      <c r="E1896" s="417">
        <v>600</v>
      </c>
      <c r="F1896" s="511">
        <f>ROUNDUP(D1896+E1896,2)</f>
        <v>11336.41</v>
      </c>
      <c r="G1896" s="314" t="s">
        <v>9892</v>
      </c>
      <c r="H1896" s="518" t="s">
        <v>9893</v>
      </c>
      <c r="I1896" s="452" t="s">
        <v>11565</v>
      </c>
      <c r="J1896" s="369" t="s">
        <v>753</v>
      </c>
      <c r="K1896" s="452" t="s">
        <v>741</v>
      </c>
    </row>
    <row r="1897" spans="1:11">
      <c r="A1897" s="369"/>
      <c r="B1897" s="550" t="s">
        <v>9721</v>
      </c>
      <c r="C1897" s="196">
        <v>35873</v>
      </c>
      <c r="D1897" s="230">
        <f t="shared" si="258"/>
        <v>11019.630712347353</v>
      </c>
      <c r="E1897" s="417">
        <v>600</v>
      </c>
      <c r="F1897" s="511">
        <f>ROUNDUP(D1897+E1897,2)</f>
        <v>11619.64</v>
      </c>
      <c r="G1897" s="314" t="s">
        <v>9722</v>
      </c>
      <c r="H1897" s="518" t="s">
        <v>9723</v>
      </c>
      <c r="I1897" s="452" t="s">
        <v>11565</v>
      </c>
      <c r="J1897" s="369" t="s">
        <v>753</v>
      </c>
      <c r="K1897" s="452" t="s">
        <v>741</v>
      </c>
    </row>
    <row r="1898" spans="1:11">
      <c r="A1898" s="369"/>
      <c r="B1898" s="550" t="s">
        <v>9724</v>
      </c>
      <c r="C1898" s="196">
        <v>56421</v>
      </c>
      <c r="D1898" s="230">
        <f t="shared" si="258"/>
        <v>17331.658473541382</v>
      </c>
      <c r="E1898" s="417">
        <v>600</v>
      </c>
      <c r="F1898" s="511">
        <f>ROUNDUP(D1898+E1898,2)</f>
        <v>17931.66</v>
      </c>
      <c r="G1898" s="314" t="s">
        <v>9725</v>
      </c>
      <c r="H1898" s="518" t="s">
        <v>9726</v>
      </c>
      <c r="I1898" s="452" t="s">
        <v>11565</v>
      </c>
      <c r="J1898" s="369" t="s">
        <v>753</v>
      </c>
      <c r="K1898" s="452" t="s">
        <v>741</v>
      </c>
    </row>
    <row r="1899" spans="1:11">
      <c r="A1899" s="369"/>
      <c r="B1899" s="734" t="s">
        <v>2743</v>
      </c>
      <c r="C1899" s="196">
        <v>95960</v>
      </c>
      <c r="D1899" s="230">
        <f t="shared" si="258"/>
        <v>29477.427679782901</v>
      </c>
      <c r="E1899" s="417">
        <v>700</v>
      </c>
      <c r="F1899" s="511">
        <f t="shared" si="257"/>
        <v>30177.429999999997</v>
      </c>
      <c r="G1899" s="314" t="s">
        <v>2746</v>
      </c>
      <c r="H1899" s="518" t="s">
        <v>2738</v>
      </c>
      <c r="I1899" s="452" t="s">
        <v>11565</v>
      </c>
      <c r="J1899" s="369" t="s">
        <v>753</v>
      </c>
      <c r="K1899" s="452" t="s">
        <v>741</v>
      </c>
    </row>
    <row r="1900" spans="1:11">
      <c r="A1900" s="369"/>
      <c r="B1900" s="550" t="s">
        <v>2803</v>
      </c>
      <c r="C1900" s="196">
        <v>5710</v>
      </c>
      <c r="D1900" s="230">
        <f t="shared" si="258"/>
        <v>1754.0236770691995</v>
      </c>
      <c r="E1900" s="417">
        <v>50</v>
      </c>
      <c r="F1900" s="511">
        <f t="shared" si="257"/>
        <v>1804.03</v>
      </c>
      <c r="G1900" s="314" t="s">
        <v>2804</v>
      </c>
      <c r="H1900" s="518" t="s">
        <v>2805</v>
      </c>
      <c r="I1900" s="452" t="s">
        <v>11565</v>
      </c>
      <c r="J1900" s="369" t="s">
        <v>753</v>
      </c>
      <c r="K1900" s="452" t="s">
        <v>741</v>
      </c>
    </row>
    <row r="1901" spans="1:11">
      <c r="A1901" s="369"/>
      <c r="B1901" s="550" t="s">
        <v>9894</v>
      </c>
      <c r="C1901" s="196">
        <v>5283</v>
      </c>
      <c r="D1901" s="230">
        <f t="shared" si="258"/>
        <v>1622.8558819538669</v>
      </c>
      <c r="E1901" s="417">
        <v>80</v>
      </c>
      <c r="F1901" s="511">
        <f t="shared" si="257"/>
        <v>1702.86</v>
      </c>
      <c r="G1901" s="314" t="s">
        <v>9895</v>
      </c>
      <c r="H1901" s="518" t="s">
        <v>9896</v>
      </c>
      <c r="I1901" s="452" t="s">
        <v>11565</v>
      </c>
      <c r="J1901" s="369" t="s">
        <v>753</v>
      </c>
      <c r="K1901" s="452" t="s">
        <v>741</v>
      </c>
    </row>
    <row r="1902" spans="1:11">
      <c r="A1902" s="369"/>
      <c r="B1902" s="550" t="s">
        <v>9897</v>
      </c>
      <c r="C1902" s="196">
        <v>5804</v>
      </c>
      <c r="D1902" s="230">
        <f t="shared" si="258"/>
        <v>1782.8990230664854</v>
      </c>
      <c r="E1902" s="417">
        <v>80</v>
      </c>
      <c r="F1902" s="511">
        <f t="shared" si="257"/>
        <v>1862.9</v>
      </c>
      <c r="G1902" s="314" t="s">
        <v>9898</v>
      </c>
      <c r="H1902" s="518" t="s">
        <v>9727</v>
      </c>
      <c r="I1902" s="452" t="s">
        <v>11565</v>
      </c>
      <c r="J1902" s="369" t="s">
        <v>753</v>
      </c>
      <c r="K1902" s="452" t="s">
        <v>741</v>
      </c>
    </row>
    <row r="1903" spans="1:11">
      <c r="A1903" s="369"/>
      <c r="B1903" s="552" t="s">
        <v>2806</v>
      </c>
      <c r="C1903" s="196">
        <v>7255</v>
      </c>
      <c r="D1903" s="230">
        <f t="shared" si="258"/>
        <v>2228.6237788331068</v>
      </c>
      <c r="E1903" s="417">
        <v>80</v>
      </c>
      <c r="F1903" s="511">
        <f t="shared" si="257"/>
        <v>2308.63</v>
      </c>
      <c r="G1903" s="314" t="s">
        <v>2808</v>
      </c>
      <c r="H1903" s="518" t="s">
        <v>2807</v>
      </c>
      <c r="I1903" s="452" t="s">
        <v>11565</v>
      </c>
      <c r="J1903" s="369" t="s">
        <v>753</v>
      </c>
      <c r="K1903" s="452" t="s">
        <v>741</v>
      </c>
    </row>
    <row r="1904" spans="1:11">
      <c r="A1904" s="369"/>
      <c r="B1904" s="518"/>
      <c r="C1904" s="196" t="s">
        <v>2024</v>
      </c>
      <c r="D1904" s="230"/>
      <c r="E1904" s="215"/>
      <c r="F1904" s="511"/>
      <c r="G1904" s="314"/>
      <c r="H1904" s="518"/>
      <c r="I1904" s="452"/>
      <c r="J1904" s="369"/>
      <c r="K1904" s="452"/>
    </row>
    <row r="1905" spans="1:11">
      <c r="A1905" s="1362"/>
      <c r="B1905" s="518" t="s">
        <v>5436</v>
      </c>
      <c r="C1905" s="196">
        <v>82839</v>
      </c>
      <c r="D1905" s="230">
        <f>C1905*(1-VLOOKUP(I1905,descuentos,6,FALSE))*fcl/IF(dol_sol="dólar", TC,1)</f>
        <v>25446.859436906376</v>
      </c>
      <c r="E1905" s="417">
        <v>600</v>
      </c>
      <c r="F1905" s="511">
        <f>ROUNDUP(D1905+E1905,2)</f>
        <v>26046.859999999997</v>
      </c>
      <c r="G1905" s="314" t="s">
        <v>5437</v>
      </c>
      <c r="H1905" s="518" t="s">
        <v>5438</v>
      </c>
      <c r="I1905" s="452" t="s">
        <v>11565</v>
      </c>
      <c r="J1905" s="369" t="s">
        <v>753</v>
      </c>
      <c r="K1905" s="452" t="s">
        <v>741</v>
      </c>
    </row>
    <row r="1906" spans="1:11">
      <c r="A1906" s="369"/>
      <c r="B1906" s="518"/>
      <c r="C1906" s="196" t="s">
        <v>2024</v>
      </c>
      <c r="D1906" s="230"/>
      <c r="E1906" s="215"/>
      <c r="F1906" s="511"/>
      <c r="G1906" s="314"/>
      <c r="H1906" s="518"/>
      <c r="I1906" s="452"/>
      <c r="J1906" s="369"/>
      <c r="K1906" s="452"/>
    </row>
    <row r="1907" spans="1:11">
      <c r="A1907" s="369"/>
      <c r="B1907" s="518"/>
      <c r="C1907" s="196" t="s">
        <v>2024</v>
      </c>
      <c r="D1907" s="230"/>
      <c r="E1907" s="215"/>
      <c r="F1907" s="511"/>
      <c r="G1907" s="314"/>
      <c r="H1907" s="518"/>
      <c r="I1907" s="452"/>
      <c r="J1907" s="369"/>
      <c r="K1907" s="452"/>
    </row>
    <row r="1908" spans="1:11">
      <c r="A1908" s="1464"/>
      <c r="B1908" s="518" t="s">
        <v>7131</v>
      </c>
      <c r="C1908" s="196">
        <v>438</v>
      </c>
      <c r="D1908" s="230">
        <f>C1908*(1-VLOOKUP(I1908,descuentos,6,FALSE))*fcl/IF(dol_sol="dólar", TC,1)</f>
        <v>134.54682496607867</v>
      </c>
      <c r="E1908" s="215">
        <v>10</v>
      </c>
      <c r="F1908" s="511">
        <f>ROUNDUP(D1908+E1908,2)</f>
        <v>144.54999999999998</v>
      </c>
      <c r="G1908" s="518" t="s">
        <v>7132</v>
      </c>
      <c r="H1908" s="518" t="s">
        <v>5439</v>
      </c>
      <c r="I1908" s="452" t="s">
        <v>11565</v>
      </c>
      <c r="J1908" s="515" t="s">
        <v>753</v>
      </c>
      <c r="K1908" s="452" t="s">
        <v>741</v>
      </c>
    </row>
    <row r="1909" spans="1:11">
      <c r="A1909" s="1464"/>
      <c r="B1909" s="518" t="s">
        <v>7133</v>
      </c>
      <c r="C1909" s="196">
        <v>488</v>
      </c>
      <c r="D1909" s="230">
        <f>C1909*(1-VLOOKUP(I1909,descuentos,6,FALSE))*fcl/IF(dol_sol="dólar", TC,1)</f>
        <v>149.90605156037992</v>
      </c>
      <c r="E1909" s="215">
        <v>10</v>
      </c>
      <c r="F1909" s="511">
        <f>ROUNDUP(D1909+E1909,2)</f>
        <v>159.91</v>
      </c>
      <c r="G1909" s="518" t="s">
        <v>7134</v>
      </c>
      <c r="H1909" s="518" t="s">
        <v>5440</v>
      </c>
      <c r="I1909" s="452" t="s">
        <v>11565</v>
      </c>
      <c r="J1909" s="515" t="s">
        <v>753</v>
      </c>
      <c r="K1909" s="452" t="s">
        <v>741</v>
      </c>
    </row>
    <row r="1910" spans="1:11" s="20" customFormat="1" ht="12" customHeight="1">
      <c r="A1910" s="558"/>
      <c r="B1910" s="566"/>
      <c r="C1910" s="560" t="s">
        <v>2024</v>
      </c>
      <c r="D1910" s="229"/>
      <c r="E1910" s="215"/>
      <c r="F1910" s="561"/>
      <c r="G1910" s="314"/>
      <c r="H1910" s="566"/>
      <c r="I1910" s="562"/>
      <c r="J1910" s="558"/>
      <c r="K1910" s="562"/>
    </row>
    <row r="1911" spans="1:11">
      <c r="A1911" s="1470"/>
      <c r="B1911" s="566" t="s">
        <v>7137</v>
      </c>
      <c r="C1911" s="560">
        <v>103</v>
      </c>
      <c r="D1911" s="229">
        <f>C1911*(1-VLOOKUP(I1911,descuentos,6,FALSE))*fcl/IF(dol_sol="dólar", TC,1)</f>
        <v>31.640006784260514</v>
      </c>
      <c r="E1911" s="215">
        <v>0</v>
      </c>
      <c r="F1911" s="561">
        <f>ROUNDUP(D1911+E1911,2)</f>
        <v>31.650000000000002</v>
      </c>
      <c r="G1911" s="518" t="s">
        <v>7135</v>
      </c>
      <c r="H1911" s="566" t="s">
        <v>7136</v>
      </c>
      <c r="I1911" s="562" t="s">
        <v>11565</v>
      </c>
      <c r="J1911" s="558" t="s">
        <v>753</v>
      </c>
      <c r="K1911" s="562" t="s">
        <v>741</v>
      </c>
    </row>
    <row r="1912" spans="1:11">
      <c r="A1912" s="1470"/>
      <c r="B1912" s="566" t="s">
        <v>9824</v>
      </c>
      <c r="C1912" s="560">
        <v>248</v>
      </c>
      <c r="D1912" s="229">
        <f>C1912*(1-VLOOKUP(I1912,descuentos,6,FALSE))*fcl/IF(dol_sol="dólar", TC,1)</f>
        <v>76.181763907734052</v>
      </c>
      <c r="E1912" s="215">
        <v>0</v>
      </c>
      <c r="F1912" s="561">
        <f>ROUNDUP(D1912+E1912,2)</f>
        <v>76.190000000000012</v>
      </c>
      <c r="G1912" s="518" t="s">
        <v>9825</v>
      </c>
      <c r="H1912" s="566" t="s">
        <v>4977</v>
      </c>
      <c r="I1912" s="562" t="s">
        <v>11565</v>
      </c>
      <c r="J1912" s="558" t="s">
        <v>753</v>
      </c>
      <c r="K1912" s="562" t="s">
        <v>741</v>
      </c>
    </row>
    <row r="1913" spans="1:11">
      <c r="A1913" s="369"/>
      <c r="B1913" s="566"/>
      <c r="C1913" s="196" t="s">
        <v>2024</v>
      </c>
      <c r="D1913" s="230"/>
      <c r="E1913" s="215"/>
      <c r="F1913" s="511"/>
      <c r="G1913" s="314"/>
      <c r="H1913" s="518"/>
      <c r="I1913" s="452"/>
      <c r="J1913" s="369"/>
      <c r="K1913" s="452"/>
    </row>
    <row r="1914" spans="1:11">
      <c r="A1914" s="369"/>
      <c r="B1914" s="518"/>
      <c r="C1914" s="196" t="s">
        <v>2024</v>
      </c>
      <c r="D1914" s="230"/>
      <c r="E1914" s="215"/>
      <c r="F1914" s="511"/>
      <c r="G1914" s="314"/>
      <c r="H1914" s="518"/>
      <c r="I1914" s="452"/>
      <c r="J1914" s="369"/>
      <c r="K1914" s="452"/>
    </row>
    <row r="1915" spans="1:11">
      <c r="A1915" s="369"/>
      <c r="B1915" s="554"/>
      <c r="C1915" s="196" t="s">
        <v>2024</v>
      </c>
      <c r="D1915" s="230"/>
      <c r="E1915" s="215"/>
      <c r="F1915" s="511"/>
      <c r="G1915" s="314"/>
      <c r="H1915" s="518"/>
      <c r="I1915" s="452"/>
      <c r="J1915" s="369"/>
      <c r="K1915" s="452"/>
    </row>
    <row r="1916" spans="1:11">
      <c r="A1916" s="369"/>
      <c r="B1916" s="550" t="s">
        <v>1234</v>
      </c>
      <c r="C1916" s="196">
        <v>538</v>
      </c>
      <c r="D1916" s="230">
        <f t="shared" ref="D1916:D1920" si="259">C1916*(1-VLOOKUP(I1916,descuentos,6,FALSE))*fcl/IF(dol_sol="dólar", TC,1)</f>
        <v>165.26527815468114</v>
      </c>
      <c r="E1916" s="215">
        <v>10</v>
      </c>
      <c r="F1916" s="511">
        <f t="shared" ref="F1916:F1976" si="260">ROUNDUP(D1916+E1916,2)</f>
        <v>175.26999999999998</v>
      </c>
      <c r="G1916" s="518" t="s">
        <v>4972</v>
      </c>
      <c r="H1916" s="518" t="s">
        <v>806</v>
      </c>
      <c r="I1916" s="452" t="s">
        <v>11565</v>
      </c>
      <c r="J1916" s="515" t="s">
        <v>753</v>
      </c>
      <c r="K1916" s="452" t="s">
        <v>741</v>
      </c>
    </row>
    <row r="1917" spans="1:11">
      <c r="A1917" s="369"/>
      <c r="B1917" s="550" t="s">
        <v>1233</v>
      </c>
      <c r="C1917" s="196">
        <v>538</v>
      </c>
      <c r="D1917" s="230">
        <f t="shared" si="259"/>
        <v>165.26527815468114</v>
      </c>
      <c r="E1917" s="215">
        <v>10</v>
      </c>
      <c r="F1917" s="511">
        <f t="shared" si="260"/>
        <v>175.26999999999998</v>
      </c>
      <c r="G1917" s="518" t="s">
        <v>4973</v>
      </c>
      <c r="H1917" s="518" t="s">
        <v>808</v>
      </c>
      <c r="I1917" s="452" t="s">
        <v>11565</v>
      </c>
      <c r="J1917" s="515" t="s">
        <v>753</v>
      </c>
      <c r="K1917" s="452" t="s">
        <v>741</v>
      </c>
    </row>
    <row r="1918" spans="1:11">
      <c r="A1918" s="515"/>
      <c r="B1918" s="550" t="s">
        <v>953</v>
      </c>
      <c r="C1918" s="196">
        <v>3087</v>
      </c>
      <c r="D1918" s="230">
        <f t="shared" si="259"/>
        <v>948.27864993215735</v>
      </c>
      <c r="E1918" s="215">
        <v>15</v>
      </c>
      <c r="F1918" s="511">
        <f t="shared" si="260"/>
        <v>963.28</v>
      </c>
      <c r="G1918" s="518" t="s">
        <v>1238</v>
      </c>
      <c r="H1918" s="518" t="s">
        <v>807</v>
      </c>
      <c r="I1918" s="452" t="s">
        <v>11565</v>
      </c>
      <c r="J1918" s="515" t="s">
        <v>753</v>
      </c>
      <c r="K1918" s="452" t="s">
        <v>741</v>
      </c>
    </row>
    <row r="1919" spans="1:11">
      <c r="A1919" s="515"/>
      <c r="B1919" s="550" t="s">
        <v>954</v>
      </c>
      <c r="C1919" s="196">
        <v>3239</v>
      </c>
      <c r="D1919" s="230">
        <f t="shared" si="259"/>
        <v>994.97069877883291</v>
      </c>
      <c r="E1919" s="215">
        <v>15</v>
      </c>
      <c r="F1919" s="511">
        <f t="shared" si="260"/>
        <v>1009.98</v>
      </c>
      <c r="G1919" s="518" t="s">
        <v>1239</v>
      </c>
      <c r="H1919" s="518" t="s">
        <v>952</v>
      </c>
      <c r="I1919" s="452" t="s">
        <v>11565</v>
      </c>
      <c r="J1919" s="515" t="s">
        <v>753</v>
      </c>
      <c r="K1919" s="452" t="s">
        <v>741</v>
      </c>
    </row>
    <row r="1920" spans="1:11">
      <c r="A1920" s="515"/>
      <c r="B1920" s="550" t="s">
        <v>1235</v>
      </c>
      <c r="C1920" s="196">
        <v>603</v>
      </c>
      <c r="D1920" s="230">
        <f t="shared" si="259"/>
        <v>185.23227272727271</v>
      </c>
      <c r="E1920" s="215">
        <v>10</v>
      </c>
      <c r="F1920" s="511">
        <f t="shared" si="260"/>
        <v>195.23999999999998</v>
      </c>
      <c r="G1920" s="518" t="s">
        <v>1240</v>
      </c>
      <c r="H1920" s="518" t="s">
        <v>955</v>
      </c>
      <c r="I1920" s="452" t="s">
        <v>11565</v>
      </c>
      <c r="J1920" s="515" t="s">
        <v>753</v>
      </c>
      <c r="K1920" s="452" t="s">
        <v>741</v>
      </c>
    </row>
    <row r="1921" spans="1:11">
      <c r="A1921" s="515"/>
      <c r="B1921" s="550"/>
      <c r="C1921" s="196" t="s">
        <v>2024</v>
      </c>
      <c r="D1921" s="230"/>
      <c r="E1921" s="215"/>
      <c r="F1921" s="511">
        <f t="shared" si="260"/>
        <v>0</v>
      </c>
      <c r="G1921" s="518"/>
      <c r="H1921" s="518"/>
      <c r="I1921" s="452"/>
      <c r="J1921" s="515"/>
      <c r="K1921" s="452"/>
    </row>
    <row r="1922" spans="1:11">
      <c r="A1922" s="515"/>
      <c r="B1922" s="550" t="s">
        <v>2735</v>
      </c>
      <c r="C1922" s="196">
        <v>760</v>
      </c>
      <c r="D1922" s="230">
        <f>C1922*(1-VLOOKUP(I1922,descuentos,6,FALSE))*fcl/IF(dol_sol="dólar", TC,1)</f>
        <v>233.46024423337852</v>
      </c>
      <c r="E1922" s="215">
        <v>10</v>
      </c>
      <c r="F1922" s="511">
        <f t="shared" si="260"/>
        <v>243.47</v>
      </c>
      <c r="G1922" s="518" t="s">
        <v>2736</v>
      </c>
      <c r="H1922" s="518" t="s">
        <v>2737</v>
      </c>
      <c r="I1922" s="452" t="s">
        <v>11565</v>
      </c>
      <c r="J1922" s="515" t="s">
        <v>753</v>
      </c>
      <c r="K1922" s="452" t="s">
        <v>741</v>
      </c>
    </row>
    <row r="1923" spans="1:11">
      <c r="A1923" s="515"/>
      <c r="B1923" s="550"/>
      <c r="C1923" s="196" t="s">
        <v>2024</v>
      </c>
      <c r="D1923" s="230"/>
      <c r="E1923" s="215"/>
      <c r="F1923" s="511">
        <f t="shared" si="260"/>
        <v>0</v>
      </c>
      <c r="G1923" s="518"/>
      <c r="H1923" s="518"/>
      <c r="I1923" s="452"/>
      <c r="J1923" s="515"/>
      <c r="K1923" s="452"/>
    </row>
    <row r="1924" spans="1:11">
      <c r="A1924" s="369"/>
      <c r="B1924" s="550" t="s">
        <v>5441</v>
      </c>
      <c r="C1924" s="196">
        <v>539</v>
      </c>
      <c r="D1924" s="230">
        <f>C1924*(1-VLOOKUP(I1924,descuentos,6,FALSE))*fcl/IF(dol_sol="dólar", TC,1)</f>
        <v>165.57246268656715</v>
      </c>
      <c r="E1924" s="215">
        <v>10</v>
      </c>
      <c r="F1924" s="511">
        <f t="shared" si="260"/>
        <v>175.57999999999998</v>
      </c>
      <c r="G1924" s="518" t="s">
        <v>5442</v>
      </c>
      <c r="H1924" s="518" t="s">
        <v>5443</v>
      </c>
      <c r="I1924" s="452" t="s">
        <v>11565</v>
      </c>
      <c r="J1924" s="515" t="s">
        <v>753</v>
      </c>
      <c r="K1924" s="452" t="s">
        <v>741</v>
      </c>
    </row>
    <row r="1925" spans="1:11">
      <c r="A1925" s="515"/>
      <c r="B1925" s="550"/>
      <c r="C1925" s="196" t="s">
        <v>2024</v>
      </c>
      <c r="D1925" s="230"/>
      <c r="E1925" s="215"/>
      <c r="F1925" s="511">
        <f t="shared" si="260"/>
        <v>0</v>
      </c>
      <c r="G1925" s="518"/>
      <c r="H1925" s="518"/>
      <c r="I1925" s="452"/>
      <c r="J1925" s="515"/>
      <c r="K1925" s="452"/>
    </row>
    <row r="1926" spans="1:11">
      <c r="A1926" s="515"/>
      <c r="B1926" s="550"/>
      <c r="C1926" s="196" t="s">
        <v>2024</v>
      </c>
      <c r="D1926" s="230"/>
      <c r="E1926" s="215"/>
      <c r="F1926" s="511">
        <f t="shared" si="260"/>
        <v>0</v>
      </c>
      <c r="G1926" s="518"/>
      <c r="H1926" s="518"/>
      <c r="I1926" s="452"/>
      <c r="J1926" s="515"/>
      <c r="K1926" s="452"/>
    </row>
    <row r="1927" spans="1:11">
      <c r="A1927" s="515"/>
      <c r="B1927" s="1474" t="s">
        <v>7138</v>
      </c>
      <c r="C1927" s="196" t="s">
        <v>2024</v>
      </c>
      <c r="D1927" s="230">
        <v>0</v>
      </c>
      <c r="E1927" s="215">
        <v>5</v>
      </c>
      <c r="F1927" s="511">
        <f t="shared" si="260"/>
        <v>5</v>
      </c>
      <c r="G1927" s="518" t="s">
        <v>7139</v>
      </c>
      <c r="H1927" s="518"/>
      <c r="I1927" s="452"/>
      <c r="J1927" s="515"/>
      <c r="K1927" s="452"/>
    </row>
    <row r="1928" spans="1:11">
      <c r="A1928" s="515"/>
      <c r="B1928" s="1474" t="s">
        <v>7140</v>
      </c>
      <c r="C1928" s="196" t="s">
        <v>2024</v>
      </c>
      <c r="D1928" s="230">
        <v>0</v>
      </c>
      <c r="E1928" s="215">
        <v>5</v>
      </c>
      <c r="F1928" s="511">
        <f>ROUNDUP(D1928+E1928,2)</f>
        <v>5</v>
      </c>
      <c r="G1928" s="518" t="s">
        <v>7141</v>
      </c>
      <c r="H1928" s="518"/>
      <c r="I1928" s="452"/>
      <c r="J1928" s="515"/>
      <c r="K1928" s="452"/>
    </row>
    <row r="1929" spans="1:11">
      <c r="A1929" s="515"/>
      <c r="B1929" s="550" t="s">
        <v>2342</v>
      </c>
      <c r="C1929" s="196">
        <v>286</v>
      </c>
      <c r="D1929" s="230">
        <f>C1929*(1-VLOOKUP(I1929,descuentos,6,FALSE))*fcl/IF(dol_sol="dólar", TC,1)</f>
        <v>87.85477611940297</v>
      </c>
      <c r="E1929" s="215">
        <v>5</v>
      </c>
      <c r="F1929" s="511">
        <f t="shared" si="260"/>
        <v>92.86</v>
      </c>
      <c r="G1929" s="518" t="s">
        <v>2343</v>
      </c>
      <c r="H1929" s="518" t="s">
        <v>2344</v>
      </c>
      <c r="I1929" s="452" t="s">
        <v>11565</v>
      </c>
      <c r="J1929" s="515" t="s">
        <v>753</v>
      </c>
      <c r="K1929" s="452" t="s">
        <v>741</v>
      </c>
    </row>
    <row r="1930" spans="1:11">
      <c r="A1930" s="515"/>
      <c r="B1930" s="550" t="s">
        <v>2747</v>
      </c>
      <c r="C1930" s="196">
        <v>286</v>
      </c>
      <c r="D1930" s="230">
        <f>C1930*(1-VLOOKUP(I1930,descuentos,6,FALSE))*fcl/IF(dol_sol="dólar", TC,1)</f>
        <v>87.85477611940297</v>
      </c>
      <c r="E1930" s="215">
        <v>5</v>
      </c>
      <c r="F1930" s="511">
        <f t="shared" si="260"/>
        <v>92.86</v>
      </c>
      <c r="G1930" s="518" t="s">
        <v>2749</v>
      </c>
      <c r="H1930" s="518" t="s">
        <v>2345</v>
      </c>
      <c r="I1930" s="452" t="s">
        <v>11565</v>
      </c>
      <c r="J1930" s="515" t="s">
        <v>753</v>
      </c>
      <c r="K1930" s="452" t="s">
        <v>741</v>
      </c>
    </row>
    <row r="1931" spans="1:11">
      <c r="A1931" s="515"/>
      <c r="B1931" s="550" t="s">
        <v>2748</v>
      </c>
      <c r="C1931" s="196">
        <v>758</v>
      </c>
      <c r="D1931" s="230">
        <f>C1931*(1-VLOOKUP(I1931,descuentos,6,FALSE))*fcl/IF(dol_sol="dólar", TC,1)</f>
        <v>232.8458751696065</v>
      </c>
      <c r="E1931" s="215">
        <v>5</v>
      </c>
      <c r="F1931" s="511">
        <f t="shared" si="260"/>
        <v>237.85</v>
      </c>
      <c r="G1931" s="518" t="s">
        <v>2751</v>
      </c>
      <c r="H1931" s="518" t="s">
        <v>2750</v>
      </c>
      <c r="I1931" s="452" t="s">
        <v>11565</v>
      </c>
      <c r="J1931" s="515" t="s">
        <v>753</v>
      </c>
      <c r="K1931" s="452" t="s">
        <v>741</v>
      </c>
    </row>
    <row r="1932" spans="1:11">
      <c r="A1932" s="515"/>
      <c r="B1932" s="550" t="s">
        <v>2752</v>
      </c>
      <c r="C1932" s="196">
        <v>271</v>
      </c>
      <c r="D1932" s="230">
        <f>C1932*(1-VLOOKUP(I1932,descuentos,6,FALSE))*fcl/IF(dol_sol="dólar", TC,1)</f>
        <v>83.247008141112616</v>
      </c>
      <c r="E1932" s="215">
        <v>5</v>
      </c>
      <c r="F1932" s="511">
        <f t="shared" si="260"/>
        <v>88.25</v>
      </c>
      <c r="G1932" s="518" t="s">
        <v>2753</v>
      </c>
      <c r="H1932" s="518" t="s">
        <v>2754</v>
      </c>
      <c r="I1932" s="452" t="s">
        <v>11565</v>
      </c>
      <c r="J1932" s="515" t="s">
        <v>753</v>
      </c>
      <c r="K1932" s="452" t="s">
        <v>741</v>
      </c>
    </row>
    <row r="1933" spans="1:11">
      <c r="A1933" s="515"/>
      <c r="B1933" s="550"/>
      <c r="C1933" s="196" t="s">
        <v>2024</v>
      </c>
      <c r="D1933" s="230"/>
      <c r="E1933" s="215"/>
      <c r="F1933" s="511">
        <f>ROUNDUP(D1933+E1933,2)</f>
        <v>0</v>
      </c>
      <c r="G1933" s="518"/>
      <c r="H1933" s="518"/>
      <c r="I1933" s="452"/>
      <c r="J1933" s="515"/>
      <c r="K1933" s="452"/>
    </row>
    <row r="1934" spans="1:11">
      <c r="A1934" s="1470"/>
      <c r="B1934" s="550" t="s">
        <v>7142</v>
      </c>
      <c r="C1934" s="196">
        <v>1671</v>
      </c>
      <c r="D1934" s="230">
        <f>C1934*(1-VLOOKUP(I1934,descuentos,6,FALSE))*fcl/IF(dol_sol="dólar", TC,1)</f>
        <v>513.30535278154684</v>
      </c>
      <c r="E1934" s="215">
        <v>5</v>
      </c>
      <c r="F1934" s="511">
        <f>ROUNDUP(D1934+E1934,2)</f>
        <v>518.30999999999995</v>
      </c>
      <c r="G1934" s="518" t="s">
        <v>7143</v>
      </c>
      <c r="H1934" s="518" t="s">
        <v>7144</v>
      </c>
      <c r="I1934" s="452" t="s">
        <v>11565</v>
      </c>
      <c r="J1934" s="515" t="s">
        <v>753</v>
      </c>
      <c r="K1934" s="452" t="s">
        <v>741</v>
      </c>
    </row>
    <row r="1935" spans="1:11">
      <c r="A1935" s="1470"/>
      <c r="B1935" s="550" t="s">
        <v>7145</v>
      </c>
      <c r="C1935" s="196">
        <v>1671</v>
      </c>
      <c r="D1935" s="230">
        <f>C1935*(1-VLOOKUP(I1935,descuentos,6,FALSE))*fcl/IF(dol_sol="dólar", TC,1)</f>
        <v>513.30535278154684</v>
      </c>
      <c r="E1935" s="215">
        <v>5</v>
      </c>
      <c r="F1935" s="511">
        <f>ROUNDUP(D1935+E1935,2)</f>
        <v>518.30999999999995</v>
      </c>
      <c r="G1935" s="518" t="s">
        <v>7146</v>
      </c>
      <c r="H1935" s="518" t="s">
        <v>7147</v>
      </c>
      <c r="I1935" s="452" t="s">
        <v>11565</v>
      </c>
      <c r="J1935" s="515" t="s">
        <v>753</v>
      </c>
      <c r="K1935" s="452" t="s">
        <v>741</v>
      </c>
    </row>
    <row r="1936" spans="1:11">
      <c r="A1936" s="515"/>
      <c r="B1936" s="550"/>
      <c r="C1936" s="196" t="s">
        <v>2024</v>
      </c>
      <c r="D1936" s="230"/>
      <c r="E1936" s="215"/>
      <c r="F1936" s="511">
        <f t="shared" si="260"/>
        <v>0</v>
      </c>
      <c r="G1936" s="518"/>
      <c r="H1936" s="518"/>
      <c r="I1936" s="452"/>
      <c r="J1936" s="515"/>
      <c r="K1936" s="452"/>
    </row>
    <row r="1937" spans="1:11">
      <c r="A1937" s="515"/>
      <c r="B1937" s="550" t="s">
        <v>2346</v>
      </c>
      <c r="C1937" s="196">
        <v>1771</v>
      </c>
      <c r="D1937" s="230">
        <f t="shared" ref="D1937:D1942" si="261">C1937*(1-VLOOKUP(I1937,descuentos,6,FALSE))*fcl/IF(dol_sol="dólar", TC,1)</f>
        <v>544.02380597014928</v>
      </c>
      <c r="E1937" s="215">
        <v>10</v>
      </c>
      <c r="F1937" s="511">
        <f t="shared" si="260"/>
        <v>554.03</v>
      </c>
      <c r="G1937" s="518" t="s">
        <v>2347</v>
      </c>
      <c r="H1937" s="518" t="s">
        <v>2348</v>
      </c>
      <c r="I1937" s="452" t="s">
        <v>11565</v>
      </c>
      <c r="J1937" s="515" t="s">
        <v>753</v>
      </c>
      <c r="K1937" s="452" t="s">
        <v>741</v>
      </c>
    </row>
    <row r="1938" spans="1:11">
      <c r="A1938" s="515"/>
      <c r="B1938" s="550" t="s">
        <v>2349</v>
      </c>
      <c r="C1938" s="196">
        <v>4866</v>
      </c>
      <c r="D1938" s="230">
        <f t="shared" si="261"/>
        <v>1494.7599321573946</v>
      </c>
      <c r="E1938" s="215">
        <v>10</v>
      </c>
      <c r="F1938" s="511">
        <f t="shared" si="260"/>
        <v>1504.76</v>
      </c>
      <c r="G1938" s="518" t="s">
        <v>2350</v>
      </c>
      <c r="H1938" s="518" t="s">
        <v>2351</v>
      </c>
      <c r="I1938" s="452" t="s">
        <v>11565</v>
      </c>
      <c r="J1938" s="515" t="s">
        <v>753</v>
      </c>
      <c r="K1938" s="452" t="s">
        <v>741</v>
      </c>
    </row>
    <row r="1939" spans="1:11">
      <c r="A1939" s="515"/>
      <c r="B1939" s="550" t="s">
        <v>2352</v>
      </c>
      <c r="C1939" s="196">
        <v>1771</v>
      </c>
      <c r="D1939" s="230">
        <f t="shared" si="261"/>
        <v>544.02380597014928</v>
      </c>
      <c r="E1939" s="215">
        <v>10</v>
      </c>
      <c r="F1939" s="511">
        <f t="shared" si="260"/>
        <v>554.03</v>
      </c>
      <c r="G1939" s="518" t="s">
        <v>2353</v>
      </c>
      <c r="H1939" s="518" t="s">
        <v>2354</v>
      </c>
      <c r="I1939" s="452" t="s">
        <v>11565</v>
      </c>
      <c r="J1939" s="515" t="s">
        <v>753</v>
      </c>
      <c r="K1939" s="452" t="s">
        <v>741</v>
      </c>
    </row>
    <row r="1940" spans="1:11">
      <c r="A1940" s="515"/>
      <c r="B1940" s="550" t="s">
        <v>2355</v>
      </c>
      <c r="C1940" s="196">
        <v>4866</v>
      </c>
      <c r="D1940" s="230">
        <f t="shared" si="261"/>
        <v>1494.7599321573946</v>
      </c>
      <c r="E1940" s="215">
        <v>10</v>
      </c>
      <c r="F1940" s="511">
        <f t="shared" si="260"/>
        <v>1504.76</v>
      </c>
      <c r="G1940" s="518" t="s">
        <v>2356</v>
      </c>
      <c r="H1940" s="518" t="s">
        <v>2357</v>
      </c>
      <c r="I1940" s="452" t="s">
        <v>11565</v>
      </c>
      <c r="J1940" s="515" t="s">
        <v>753</v>
      </c>
      <c r="K1940" s="452" t="s">
        <v>741</v>
      </c>
    </row>
    <row r="1941" spans="1:11">
      <c r="A1941" s="515"/>
      <c r="B1941" s="550" t="s">
        <v>2358</v>
      </c>
      <c r="C1941" s="196">
        <v>1771</v>
      </c>
      <c r="D1941" s="230">
        <f t="shared" si="261"/>
        <v>544.02380597014928</v>
      </c>
      <c r="E1941" s="215">
        <v>10</v>
      </c>
      <c r="F1941" s="511">
        <f t="shared" si="260"/>
        <v>554.03</v>
      </c>
      <c r="G1941" s="518" t="s">
        <v>2359</v>
      </c>
      <c r="H1941" s="518" t="s">
        <v>2360</v>
      </c>
      <c r="I1941" s="452" t="s">
        <v>11565</v>
      </c>
      <c r="J1941" s="515" t="s">
        <v>753</v>
      </c>
      <c r="K1941" s="452" t="s">
        <v>741</v>
      </c>
    </row>
    <row r="1942" spans="1:11">
      <c r="A1942" s="515"/>
      <c r="B1942" s="550" t="s">
        <v>2361</v>
      </c>
      <c r="C1942" s="196">
        <v>4866</v>
      </c>
      <c r="D1942" s="230">
        <f t="shared" si="261"/>
        <v>1494.7599321573946</v>
      </c>
      <c r="E1942" s="215">
        <v>10</v>
      </c>
      <c r="F1942" s="511">
        <f t="shared" si="260"/>
        <v>1504.76</v>
      </c>
      <c r="G1942" s="518" t="s">
        <v>2362</v>
      </c>
      <c r="H1942" s="518" t="s">
        <v>2363</v>
      </c>
      <c r="I1942" s="452" t="s">
        <v>11565</v>
      </c>
      <c r="J1942" s="515" t="s">
        <v>753</v>
      </c>
      <c r="K1942" s="452" t="s">
        <v>741</v>
      </c>
    </row>
    <row r="1943" spans="1:11">
      <c r="A1943" s="1470"/>
      <c r="B1943" s="550" t="s">
        <v>7148</v>
      </c>
      <c r="C1943" s="196">
        <v>1809</v>
      </c>
      <c r="D1943" s="230">
        <f>C1943*(1-VLOOKUP(I1943,descuentos,6,FALSE))*fcl/IF(dol_sol="dólar", TC,1)</f>
        <v>555.69681818181812</v>
      </c>
      <c r="E1943" s="215">
        <v>10</v>
      </c>
      <c r="F1943" s="511">
        <f>ROUNDUP(D1943+E1943,2)</f>
        <v>565.70000000000005</v>
      </c>
      <c r="G1943" s="518" t="s">
        <v>7149</v>
      </c>
      <c r="H1943" s="518" t="s">
        <v>4976</v>
      </c>
      <c r="I1943" s="452" t="s">
        <v>11565</v>
      </c>
      <c r="J1943" s="515" t="s">
        <v>753</v>
      </c>
      <c r="K1943" s="452" t="s">
        <v>741</v>
      </c>
    </row>
    <row r="1944" spans="1:11">
      <c r="A1944" s="515"/>
      <c r="B1944" s="550"/>
      <c r="C1944" s="196" t="s">
        <v>2024</v>
      </c>
      <c r="D1944" s="230"/>
      <c r="E1944" s="215"/>
      <c r="F1944" s="511">
        <f t="shared" si="260"/>
        <v>0</v>
      </c>
      <c r="G1944" s="518"/>
      <c r="H1944" s="518"/>
      <c r="I1944" s="452"/>
      <c r="J1944" s="515"/>
      <c r="K1944" s="452"/>
    </row>
    <row r="1945" spans="1:11">
      <c r="A1945" s="515"/>
      <c r="B1945" s="550" t="s">
        <v>2364</v>
      </c>
      <c r="C1945" s="196">
        <v>672</v>
      </c>
      <c r="D1945" s="230">
        <f>C1945*(1-VLOOKUP(I1945,descuentos,6,FALSE))*fcl/IF(dol_sol="dólar", TC,1)</f>
        <v>206.42800542740838</v>
      </c>
      <c r="E1945" s="215">
        <v>10</v>
      </c>
      <c r="F1945" s="511">
        <f t="shared" si="260"/>
        <v>216.42999999999998</v>
      </c>
      <c r="G1945" s="518" t="s">
        <v>3513</v>
      </c>
      <c r="H1945" s="518" t="s">
        <v>3510</v>
      </c>
      <c r="I1945" s="452" t="s">
        <v>11565</v>
      </c>
      <c r="J1945" s="515" t="s">
        <v>753</v>
      </c>
      <c r="K1945" s="452" t="s">
        <v>741</v>
      </c>
    </row>
    <row r="1946" spans="1:11">
      <c r="A1946" s="515"/>
      <c r="B1946" s="550" t="s">
        <v>2365</v>
      </c>
      <c r="C1946" s="196">
        <v>672</v>
      </c>
      <c r="D1946" s="230">
        <f>C1946*(1-VLOOKUP(I1946,descuentos,6,FALSE))*fcl/IF(dol_sol="dólar", TC,1)</f>
        <v>206.42800542740838</v>
      </c>
      <c r="E1946" s="215">
        <v>10</v>
      </c>
      <c r="F1946" s="511">
        <f t="shared" si="260"/>
        <v>216.42999999999998</v>
      </c>
      <c r="G1946" s="518" t="s">
        <v>3514</v>
      </c>
      <c r="H1946" s="518" t="s">
        <v>3511</v>
      </c>
      <c r="I1946" s="452" t="s">
        <v>11565</v>
      </c>
      <c r="J1946" s="515" t="s">
        <v>753</v>
      </c>
      <c r="K1946" s="452" t="s">
        <v>741</v>
      </c>
    </row>
    <row r="1947" spans="1:11">
      <c r="A1947" s="515"/>
      <c r="B1947" s="550" t="s">
        <v>2366</v>
      </c>
      <c r="C1947" s="196">
        <v>672</v>
      </c>
      <c r="D1947" s="230">
        <f>C1947*(1-VLOOKUP(I1947,descuentos,6,FALSE))*fcl/IF(dol_sol="dólar", TC,1)</f>
        <v>206.42800542740838</v>
      </c>
      <c r="E1947" s="215">
        <v>10</v>
      </c>
      <c r="F1947" s="511">
        <f t="shared" si="260"/>
        <v>216.42999999999998</v>
      </c>
      <c r="G1947" s="518" t="s">
        <v>3515</v>
      </c>
      <c r="H1947" s="518" t="s">
        <v>3512</v>
      </c>
      <c r="I1947" s="452" t="s">
        <v>11565</v>
      </c>
      <c r="J1947" s="515" t="s">
        <v>753</v>
      </c>
      <c r="K1947" s="452" t="s">
        <v>741</v>
      </c>
    </row>
    <row r="1948" spans="1:11">
      <c r="A1948" s="515"/>
      <c r="B1948" s="550"/>
      <c r="C1948" s="196" t="s">
        <v>2024</v>
      </c>
      <c r="D1948" s="230"/>
      <c r="E1948" s="215"/>
      <c r="F1948" s="511">
        <f t="shared" si="260"/>
        <v>0</v>
      </c>
      <c r="G1948" s="518"/>
      <c r="H1948" s="518"/>
      <c r="I1948" s="452"/>
      <c r="J1948" s="515"/>
      <c r="K1948" s="452"/>
    </row>
    <row r="1949" spans="1:11">
      <c r="A1949" s="515"/>
      <c r="B1949" s="550" t="s">
        <v>2367</v>
      </c>
      <c r="C1949" s="196">
        <v>9220</v>
      </c>
      <c r="D1949" s="230">
        <f>C1949*(1-VLOOKUP(I1949,descuentos,6,FALSE))*fcl/IF(dol_sol="dólar", TC,1)</f>
        <v>2832.2413839891451</v>
      </c>
      <c r="E1949" s="215">
        <v>200</v>
      </c>
      <c r="F1949" s="511">
        <f t="shared" si="260"/>
        <v>3032.25</v>
      </c>
      <c r="G1949" s="518" t="s">
        <v>2368</v>
      </c>
      <c r="H1949" s="518" t="s">
        <v>2369</v>
      </c>
      <c r="I1949" s="452" t="s">
        <v>11565</v>
      </c>
      <c r="J1949" s="515" t="s">
        <v>753</v>
      </c>
      <c r="K1949" s="452" t="s">
        <v>741</v>
      </c>
    </row>
    <row r="1950" spans="1:11">
      <c r="A1950" s="515"/>
      <c r="B1950" s="550" t="s">
        <v>2370</v>
      </c>
      <c r="C1950" s="196">
        <v>11320</v>
      </c>
      <c r="D1950" s="230">
        <f>C1950*(1-VLOOKUP(I1950,descuentos,6,FALSE))*fcl/IF(dol_sol="dólar", TC,1)</f>
        <v>3477.3289009497962</v>
      </c>
      <c r="E1950" s="215">
        <v>300</v>
      </c>
      <c r="F1950" s="511">
        <f t="shared" si="260"/>
        <v>3777.3300000000004</v>
      </c>
      <c r="G1950" s="557" t="s">
        <v>3509</v>
      </c>
      <c r="H1950" s="518" t="s">
        <v>2371</v>
      </c>
      <c r="I1950" s="452" t="s">
        <v>11565</v>
      </c>
      <c r="J1950" s="515" t="s">
        <v>753</v>
      </c>
      <c r="K1950" s="452" t="s">
        <v>741</v>
      </c>
    </row>
    <row r="1951" spans="1:11" s="185" customFormat="1">
      <c r="A1951" s="515"/>
      <c r="B1951" s="550"/>
      <c r="C1951" s="196" t="s">
        <v>2024</v>
      </c>
      <c r="D1951" s="230"/>
      <c r="E1951" s="215"/>
      <c r="F1951" s="511"/>
      <c r="G1951" s="518"/>
      <c r="H1951" s="518"/>
      <c r="I1951" s="452"/>
      <c r="J1951" s="515"/>
      <c r="K1951" s="452"/>
    </row>
    <row r="1952" spans="1:11">
      <c r="A1952" s="1475"/>
      <c r="B1952" s="550" t="s">
        <v>7150</v>
      </c>
      <c r="C1952" s="196">
        <v>4987</v>
      </c>
      <c r="D1952" s="230">
        <f>C1952*(1-VLOOKUP(I1952,descuentos,6,FALSE))*fcl/IF(dol_sol="dólar", TC,1)</f>
        <v>1531.9292605156038</v>
      </c>
      <c r="E1952" s="215">
        <v>5</v>
      </c>
      <c r="F1952" s="511">
        <f t="shared" si="260"/>
        <v>1536.93</v>
      </c>
      <c r="G1952" s="518" t="s">
        <v>7151</v>
      </c>
      <c r="H1952" s="518" t="s">
        <v>7152</v>
      </c>
      <c r="I1952" s="452" t="s">
        <v>11565</v>
      </c>
      <c r="J1952" s="515" t="s">
        <v>753</v>
      </c>
      <c r="K1952" s="452" t="s">
        <v>741</v>
      </c>
    </row>
    <row r="1953" spans="1:11" s="185" customFormat="1">
      <c r="A1953" s="515"/>
      <c r="B1953" s="550"/>
      <c r="C1953" s="196" t="s">
        <v>2024</v>
      </c>
      <c r="D1953" s="230"/>
      <c r="E1953" s="215"/>
      <c r="F1953" s="511"/>
      <c r="G1953" s="518"/>
      <c r="H1953" s="518"/>
      <c r="I1953" s="452"/>
      <c r="J1953" s="515"/>
      <c r="K1953" s="452"/>
    </row>
    <row r="1954" spans="1:11">
      <c r="A1954" s="1475"/>
      <c r="B1954" s="550" t="s">
        <v>13576</v>
      </c>
      <c r="C1954" s="196">
        <v>763</v>
      </c>
      <c r="D1954" s="230">
        <f>C1954*(1-VLOOKUP(I1954,descuentos,6,FALSE))*fcl/IF(dol_sol="dólar", TC,1)</f>
        <v>234.38179782903657</v>
      </c>
      <c r="E1954" s="215">
        <v>5</v>
      </c>
      <c r="F1954" s="511">
        <f t="shared" ref="F1954" si="262">ROUNDUP(D1954+E1954,2)</f>
        <v>239.39</v>
      </c>
      <c r="G1954" s="518" t="s">
        <v>13577</v>
      </c>
      <c r="H1954" s="518" t="s">
        <v>13578</v>
      </c>
      <c r="I1954" s="452" t="s">
        <v>11565</v>
      </c>
      <c r="J1954" s="515" t="s">
        <v>753</v>
      </c>
      <c r="K1954" s="452" t="s">
        <v>741</v>
      </c>
    </row>
    <row r="1955" spans="1:11" s="185" customFormat="1">
      <c r="A1955" s="515"/>
      <c r="B1955" s="550"/>
      <c r="C1955" s="196" t="s">
        <v>2024</v>
      </c>
      <c r="D1955" s="230"/>
      <c r="E1955" s="215"/>
      <c r="F1955" s="511"/>
      <c r="G1955" s="518"/>
      <c r="H1955" s="518"/>
      <c r="I1955" s="452"/>
      <c r="J1955" s="515"/>
      <c r="K1955" s="452"/>
    </row>
    <row r="1956" spans="1:11">
      <c r="A1956" s="515"/>
      <c r="B1956" s="550" t="s">
        <v>9899</v>
      </c>
      <c r="C1956" s="196">
        <v>1809</v>
      </c>
      <c r="D1956" s="230">
        <f t="shared" ref="D1956" si="263">C1956*(1-VLOOKUP(I1956,descuentos,6,FALSE))*fcl/IF(dol_sol="dólar", TC,1)</f>
        <v>555.69681818181812</v>
      </c>
      <c r="E1956" s="215">
        <v>10</v>
      </c>
      <c r="F1956" s="511">
        <f t="shared" ref="F1956:F1957" si="264">ROUNDUP(D1956+E1956,2)</f>
        <v>565.70000000000005</v>
      </c>
      <c r="G1956" s="518" t="s">
        <v>9900</v>
      </c>
      <c r="H1956" s="518" t="s">
        <v>9901</v>
      </c>
      <c r="I1956" s="452" t="s">
        <v>11565</v>
      </c>
      <c r="J1956" s="515" t="s">
        <v>753</v>
      </c>
      <c r="K1956" s="452" t="s">
        <v>741</v>
      </c>
    </row>
    <row r="1957" spans="1:11">
      <c r="A1957" s="515"/>
      <c r="B1957" s="552"/>
      <c r="C1957" s="196" t="s">
        <v>2024</v>
      </c>
      <c r="D1957" s="230"/>
      <c r="E1957" s="215"/>
      <c r="F1957" s="511">
        <f t="shared" si="264"/>
        <v>0</v>
      </c>
      <c r="G1957" s="518"/>
      <c r="H1957" s="518"/>
      <c r="I1957" s="452"/>
      <c r="J1957" s="515"/>
      <c r="K1957" s="452"/>
    </row>
    <row r="1958" spans="1:11">
      <c r="A1958" s="515"/>
      <c r="B1958" s="518"/>
      <c r="C1958" s="196" t="s">
        <v>2024</v>
      </c>
      <c r="D1958" s="230"/>
      <c r="E1958" s="215"/>
      <c r="F1958" s="511">
        <f t="shared" si="260"/>
        <v>0</v>
      </c>
      <c r="G1958" s="518"/>
      <c r="H1958" s="518"/>
      <c r="I1958" s="452"/>
      <c r="J1958" s="515"/>
      <c r="K1958" s="452"/>
    </row>
    <row r="1959" spans="1:11">
      <c r="A1959" s="515" t="s">
        <v>2757</v>
      </c>
      <c r="B1959" s="559" t="s">
        <v>2755</v>
      </c>
      <c r="C1959" s="560">
        <v>510</v>
      </c>
      <c r="D1959" s="229">
        <f t="shared" ref="D1959:D1971" si="265">C1959*(1-VLOOKUP(I1959,descuentos,6,FALSE))*fcl/IF(dol_sol="dólar", TC,1)</f>
        <v>156.66411126187245</v>
      </c>
      <c r="E1959" s="215">
        <v>80</v>
      </c>
      <c r="F1959" s="561">
        <f t="shared" si="260"/>
        <v>236.67</v>
      </c>
      <c r="G1959" s="518" t="s">
        <v>2763</v>
      </c>
      <c r="H1959" s="566" t="s">
        <v>2372</v>
      </c>
      <c r="I1959" s="562" t="s">
        <v>11565</v>
      </c>
      <c r="J1959" s="558" t="s">
        <v>753</v>
      </c>
      <c r="K1959" s="562" t="s">
        <v>741</v>
      </c>
    </row>
    <row r="1960" spans="1:11">
      <c r="A1960" s="515"/>
      <c r="B1960" s="563" t="s">
        <v>2756</v>
      </c>
      <c r="C1960" s="196">
        <v>537</v>
      </c>
      <c r="D1960" s="229">
        <f t="shared" si="265"/>
        <v>164.9580936227951</v>
      </c>
      <c r="E1960" s="215">
        <v>80</v>
      </c>
      <c r="F1960" s="561">
        <f t="shared" si="260"/>
        <v>244.95999999999998</v>
      </c>
      <c r="G1960" s="518" t="s">
        <v>2764</v>
      </c>
      <c r="H1960" s="518" t="s">
        <v>2373</v>
      </c>
      <c r="I1960" s="452" t="s">
        <v>11565</v>
      </c>
      <c r="J1960" s="369" t="s">
        <v>753</v>
      </c>
      <c r="K1960" s="452" t="s">
        <v>741</v>
      </c>
    </row>
    <row r="1961" spans="1:11">
      <c r="A1961" s="515"/>
      <c r="B1961" s="563" t="s">
        <v>2766</v>
      </c>
      <c r="C1961" s="196">
        <v>560</v>
      </c>
      <c r="D1961" s="229">
        <f t="shared" si="265"/>
        <v>172.02333785617367</v>
      </c>
      <c r="E1961" s="215">
        <v>80</v>
      </c>
      <c r="F1961" s="561">
        <f t="shared" si="260"/>
        <v>252.03</v>
      </c>
      <c r="G1961" s="518" t="s">
        <v>2770</v>
      </c>
      <c r="H1961" s="518" t="s">
        <v>2767</v>
      </c>
      <c r="I1961" s="452" t="s">
        <v>11565</v>
      </c>
      <c r="J1961" s="369" t="s">
        <v>753</v>
      </c>
      <c r="K1961" s="452" t="s">
        <v>741</v>
      </c>
    </row>
    <row r="1962" spans="1:11">
      <c r="A1962" s="515"/>
      <c r="B1962" s="563" t="s">
        <v>2768</v>
      </c>
      <c r="C1962" s="196">
        <v>560</v>
      </c>
      <c r="D1962" s="229">
        <f t="shared" si="265"/>
        <v>172.02333785617367</v>
      </c>
      <c r="E1962" s="215">
        <v>80</v>
      </c>
      <c r="F1962" s="561">
        <f t="shared" si="260"/>
        <v>252.03</v>
      </c>
      <c r="G1962" s="518" t="s">
        <v>2769</v>
      </c>
      <c r="H1962" s="518" t="s">
        <v>2771</v>
      </c>
      <c r="I1962" s="452" t="s">
        <v>11565</v>
      </c>
      <c r="J1962" s="369" t="s">
        <v>753</v>
      </c>
      <c r="K1962" s="452" t="s">
        <v>741</v>
      </c>
    </row>
    <row r="1963" spans="1:11" s="20" customFormat="1" ht="12" customHeight="1">
      <c r="A1963" s="558" t="s">
        <v>2758</v>
      </c>
      <c r="B1963" s="559" t="s">
        <v>2374</v>
      </c>
      <c r="C1963" s="560">
        <v>503</v>
      </c>
      <c r="D1963" s="229">
        <f t="shared" si="265"/>
        <v>154.51381953867028</v>
      </c>
      <c r="E1963" s="215"/>
      <c r="F1963" s="561">
        <f t="shared" si="260"/>
        <v>154.51999999999998</v>
      </c>
      <c r="G1963" s="564" t="s">
        <v>2760</v>
      </c>
      <c r="H1963" s="566" t="s">
        <v>2375</v>
      </c>
      <c r="I1963" s="562" t="s">
        <v>11565</v>
      </c>
      <c r="J1963" s="558" t="s">
        <v>753</v>
      </c>
      <c r="K1963" s="562" t="s">
        <v>741</v>
      </c>
    </row>
    <row r="1964" spans="1:11">
      <c r="A1964" s="369"/>
      <c r="B1964" s="563" t="s">
        <v>2376</v>
      </c>
      <c r="C1964" s="560">
        <v>503</v>
      </c>
      <c r="D1964" s="229">
        <f t="shared" si="265"/>
        <v>154.51381953867028</v>
      </c>
      <c r="E1964" s="215"/>
      <c r="F1964" s="561">
        <f t="shared" si="260"/>
        <v>154.51999999999998</v>
      </c>
      <c r="G1964" s="564" t="s">
        <v>2761</v>
      </c>
      <c r="H1964" s="566" t="s">
        <v>2377</v>
      </c>
      <c r="I1964" s="562" t="s">
        <v>11565</v>
      </c>
      <c r="J1964" s="558" t="s">
        <v>753</v>
      </c>
      <c r="K1964" s="562" t="s">
        <v>741</v>
      </c>
    </row>
    <row r="1965" spans="1:11" s="20" customFormat="1" ht="12" customHeight="1">
      <c r="A1965" s="558"/>
      <c r="B1965" s="565" t="s">
        <v>2378</v>
      </c>
      <c r="C1965" s="560">
        <v>503</v>
      </c>
      <c r="D1965" s="229">
        <f t="shared" si="265"/>
        <v>154.51381953867028</v>
      </c>
      <c r="E1965" s="215"/>
      <c r="F1965" s="561">
        <f t="shared" si="260"/>
        <v>154.51999999999998</v>
      </c>
      <c r="G1965" s="564" t="s">
        <v>2762</v>
      </c>
      <c r="H1965" s="566" t="s">
        <v>2379</v>
      </c>
      <c r="I1965" s="562" t="s">
        <v>11565</v>
      </c>
      <c r="J1965" s="558" t="s">
        <v>753</v>
      </c>
      <c r="K1965" s="562" t="s">
        <v>741</v>
      </c>
    </row>
    <row r="1966" spans="1:11" s="20" customFormat="1" ht="12" customHeight="1">
      <c r="A1966" s="558" t="s">
        <v>2759</v>
      </c>
      <c r="B1966" s="559" t="s">
        <v>2773</v>
      </c>
      <c r="C1966" s="560">
        <v>457</v>
      </c>
      <c r="D1966" s="229">
        <f t="shared" si="265"/>
        <v>140.38333107191315</v>
      </c>
      <c r="E1966" s="215">
        <v>20</v>
      </c>
      <c r="F1966" s="561">
        <f t="shared" si="260"/>
        <v>160.38999999999999</v>
      </c>
      <c r="G1966" s="566" t="s">
        <v>2765</v>
      </c>
      <c r="H1966" s="566" t="s">
        <v>2380</v>
      </c>
      <c r="I1966" s="562" t="s">
        <v>11565</v>
      </c>
      <c r="J1966" s="558" t="s">
        <v>753</v>
      </c>
      <c r="K1966" s="562" t="s">
        <v>741</v>
      </c>
    </row>
    <row r="1967" spans="1:11" s="20" customFormat="1" ht="12" customHeight="1">
      <c r="A1967" s="558"/>
      <c r="B1967" s="563" t="s">
        <v>2778</v>
      </c>
      <c r="C1967" s="560">
        <v>1369</v>
      </c>
      <c r="D1967" s="229">
        <f t="shared" si="265"/>
        <v>420.5356241519674</v>
      </c>
      <c r="E1967" s="215">
        <v>20</v>
      </c>
      <c r="F1967" s="561">
        <f t="shared" si="260"/>
        <v>440.53999999999996</v>
      </c>
      <c r="G1967" s="566" t="s">
        <v>2780</v>
      </c>
      <c r="H1967" s="566" t="s">
        <v>2381</v>
      </c>
      <c r="I1967" s="562" t="s">
        <v>11565</v>
      </c>
      <c r="J1967" s="558" t="s">
        <v>753</v>
      </c>
      <c r="K1967" s="562" t="s">
        <v>741</v>
      </c>
    </row>
    <row r="1968" spans="1:11" s="20" customFormat="1" ht="12" customHeight="1">
      <c r="A1968" s="558"/>
      <c r="B1968" s="563" t="s">
        <v>2779</v>
      </c>
      <c r="C1968" s="560">
        <v>1443</v>
      </c>
      <c r="D1968" s="229">
        <f t="shared" si="265"/>
        <v>443.26727951153322</v>
      </c>
      <c r="E1968" s="215">
        <v>20</v>
      </c>
      <c r="F1968" s="561">
        <f t="shared" si="260"/>
        <v>463.27</v>
      </c>
      <c r="G1968" s="566" t="s">
        <v>2781</v>
      </c>
      <c r="H1968" s="566" t="s">
        <v>2774</v>
      </c>
      <c r="I1968" s="562" t="s">
        <v>11565</v>
      </c>
      <c r="J1968" s="558" t="s">
        <v>753</v>
      </c>
      <c r="K1968" s="562" t="s">
        <v>741</v>
      </c>
    </row>
    <row r="1969" spans="1:11" s="20" customFormat="1" ht="12" customHeight="1">
      <c r="A1969" s="558" t="s">
        <v>2772</v>
      </c>
      <c r="B1969" s="559" t="s">
        <v>2775</v>
      </c>
      <c r="C1969" s="560">
        <v>454</v>
      </c>
      <c r="D1969" s="229">
        <f t="shared" si="265"/>
        <v>139.46177747625507</v>
      </c>
      <c r="E1969" s="215">
        <v>20</v>
      </c>
      <c r="F1969" s="561">
        <f t="shared" si="260"/>
        <v>159.47</v>
      </c>
      <c r="G1969" s="566" t="s">
        <v>2776</v>
      </c>
      <c r="H1969" s="566" t="s">
        <v>2777</v>
      </c>
      <c r="I1969" s="562" t="s">
        <v>11565</v>
      </c>
      <c r="J1969" s="558" t="s">
        <v>753</v>
      </c>
      <c r="K1969" s="562" t="s">
        <v>741</v>
      </c>
    </row>
    <row r="1970" spans="1:11" s="20" customFormat="1" ht="12" customHeight="1">
      <c r="A1970" s="558"/>
      <c r="B1970" s="563" t="s">
        <v>2778</v>
      </c>
      <c r="C1970" s="560">
        <v>1369</v>
      </c>
      <c r="D1970" s="229">
        <f t="shared" si="265"/>
        <v>420.5356241519674</v>
      </c>
      <c r="E1970" s="215">
        <v>20</v>
      </c>
      <c r="F1970" s="561">
        <f t="shared" si="260"/>
        <v>440.53999999999996</v>
      </c>
      <c r="G1970" s="566" t="s">
        <v>2780</v>
      </c>
      <c r="H1970" s="566" t="s">
        <v>2381</v>
      </c>
      <c r="I1970" s="562" t="s">
        <v>11565</v>
      </c>
      <c r="J1970" s="558" t="s">
        <v>753</v>
      </c>
      <c r="K1970" s="562" t="s">
        <v>741</v>
      </c>
    </row>
    <row r="1971" spans="1:11" s="20" customFormat="1" ht="12" customHeight="1">
      <c r="A1971" s="558"/>
      <c r="B1971" s="565" t="s">
        <v>2779</v>
      </c>
      <c r="C1971" s="560">
        <v>1443</v>
      </c>
      <c r="D1971" s="229">
        <f t="shared" si="265"/>
        <v>443.26727951153322</v>
      </c>
      <c r="E1971" s="215">
        <v>20</v>
      </c>
      <c r="F1971" s="561">
        <f t="shared" si="260"/>
        <v>463.27</v>
      </c>
      <c r="G1971" s="566" t="s">
        <v>2781</v>
      </c>
      <c r="H1971" s="566" t="s">
        <v>2774</v>
      </c>
      <c r="I1971" s="562" t="s">
        <v>11565</v>
      </c>
      <c r="J1971" s="558" t="s">
        <v>753</v>
      </c>
      <c r="K1971" s="562" t="s">
        <v>741</v>
      </c>
    </row>
    <row r="1972" spans="1:11" s="20" customFormat="1" ht="12" customHeight="1">
      <c r="A1972" s="558"/>
      <c r="B1972" s="518"/>
      <c r="C1972" s="196" t="s">
        <v>2024</v>
      </c>
      <c r="D1972" s="230"/>
      <c r="E1972" s="215"/>
      <c r="F1972" s="511">
        <f t="shared" si="260"/>
        <v>0</v>
      </c>
      <c r="G1972" s="518"/>
      <c r="H1972" s="518"/>
      <c r="I1972" s="452"/>
      <c r="J1972" s="369"/>
      <c r="K1972" s="452"/>
    </row>
    <row r="1973" spans="1:11" s="20" customFormat="1" ht="12" customHeight="1">
      <c r="A1973" s="558"/>
      <c r="B1973" s="559" t="s">
        <v>2382</v>
      </c>
      <c r="C1973" s="560">
        <v>1773</v>
      </c>
      <c r="D1973" s="229">
        <f>C1973*(1-VLOOKUP(I1973,descuentos,6,FALSE))*fcl/IF(dol_sol="dólar", TC,1)</f>
        <v>544.63817503392124</v>
      </c>
      <c r="E1973" s="215">
        <v>50</v>
      </c>
      <c r="F1973" s="561">
        <f t="shared" si="260"/>
        <v>594.64</v>
      </c>
      <c r="G1973" s="314" t="s">
        <v>7153</v>
      </c>
      <c r="H1973" s="566" t="s">
        <v>2383</v>
      </c>
      <c r="I1973" s="562" t="s">
        <v>11565</v>
      </c>
      <c r="J1973" s="558" t="s">
        <v>753</v>
      </c>
      <c r="K1973" s="562" t="s">
        <v>741</v>
      </c>
    </row>
    <row r="1974" spans="1:11">
      <c r="A1974" s="369"/>
      <c r="B1974" s="565" t="s">
        <v>2384</v>
      </c>
      <c r="C1974" s="560">
        <v>1773</v>
      </c>
      <c r="D1974" s="229">
        <f>C1974*(1-VLOOKUP(I1974,descuentos,6,FALSE))*fcl/IF(dol_sol="dólar", TC,1)</f>
        <v>544.63817503392124</v>
      </c>
      <c r="E1974" s="215">
        <v>50</v>
      </c>
      <c r="F1974" s="561">
        <f t="shared" si="260"/>
        <v>594.64</v>
      </c>
      <c r="G1974" s="314" t="s">
        <v>7154</v>
      </c>
      <c r="H1974" s="566" t="s">
        <v>2385</v>
      </c>
      <c r="I1974" s="562" t="s">
        <v>11565</v>
      </c>
      <c r="J1974" s="558" t="s">
        <v>753</v>
      </c>
      <c r="K1974" s="562" t="s">
        <v>741</v>
      </c>
    </row>
    <row r="1975" spans="1:11" s="20" customFormat="1" ht="12" customHeight="1">
      <c r="A1975" s="558"/>
      <c r="B1975" s="563" t="s">
        <v>2386</v>
      </c>
      <c r="C1975" s="560">
        <v>2135</v>
      </c>
      <c r="D1975" s="229">
        <f>C1975*(1-VLOOKUP(I1975,descuentos,6,FALSE))*fcl/IF(dol_sol="dólar", TC,1)</f>
        <v>655.83897557666216</v>
      </c>
      <c r="E1975" s="215">
        <v>60</v>
      </c>
      <c r="F1975" s="561">
        <f t="shared" si="260"/>
        <v>715.84</v>
      </c>
      <c r="G1975" s="314" t="s">
        <v>2387</v>
      </c>
      <c r="H1975" s="566" t="s">
        <v>2388</v>
      </c>
      <c r="I1975" s="562" t="s">
        <v>11565</v>
      </c>
      <c r="J1975" s="558" t="s">
        <v>753</v>
      </c>
      <c r="K1975" s="562" t="s">
        <v>741</v>
      </c>
    </row>
    <row r="1976" spans="1:11" s="20" customFormat="1" ht="12" customHeight="1">
      <c r="A1976" s="558"/>
      <c r="B1976" s="565" t="s">
        <v>2389</v>
      </c>
      <c r="C1976" s="560">
        <v>2757</v>
      </c>
      <c r="D1976" s="229">
        <f>C1976*(1-VLOOKUP(I1976,descuentos,6,FALSE))*fcl/IF(dol_sol="dólar", TC,1)</f>
        <v>846.90775440976927</v>
      </c>
      <c r="E1976" s="215">
        <v>80</v>
      </c>
      <c r="F1976" s="561">
        <f t="shared" si="260"/>
        <v>926.91</v>
      </c>
      <c r="G1976" s="314" t="s">
        <v>2390</v>
      </c>
      <c r="H1976" s="566" t="s">
        <v>2391</v>
      </c>
      <c r="I1976" s="562" t="s">
        <v>11565</v>
      </c>
      <c r="J1976" s="558" t="s">
        <v>753</v>
      </c>
      <c r="K1976" s="562" t="s">
        <v>741</v>
      </c>
    </row>
    <row r="1977" spans="1:11" s="120" customFormat="1" ht="12" customHeight="1">
      <c r="A1977" s="558"/>
      <c r="B1977" s="566"/>
      <c r="C1977" s="560" t="s">
        <v>2024</v>
      </c>
      <c r="D1977" s="229"/>
      <c r="E1977" s="215"/>
      <c r="F1977" s="561"/>
      <c r="G1977" s="314"/>
      <c r="H1977" s="566"/>
      <c r="I1977" s="562"/>
      <c r="J1977" s="558"/>
      <c r="K1977" s="562"/>
    </row>
    <row r="1978" spans="1:11" s="120" customFormat="1" ht="12" customHeight="1">
      <c r="A1978" s="558"/>
      <c r="B1978" s="566"/>
      <c r="C1978" s="560" t="s">
        <v>2024</v>
      </c>
      <c r="D1978" s="229"/>
      <c r="E1978" s="215"/>
      <c r="F1978" s="561"/>
      <c r="G1978" s="314"/>
      <c r="H1978" s="566"/>
      <c r="I1978" s="562"/>
      <c r="J1978" s="558"/>
      <c r="K1978" s="562"/>
    </row>
    <row r="1979" spans="1:11" s="120" customFormat="1" ht="12" customHeight="1">
      <c r="A1979" s="558"/>
      <c r="B1979" s="566"/>
      <c r="C1979" s="560" t="s">
        <v>2024</v>
      </c>
      <c r="D1979" s="229"/>
      <c r="E1979" s="215"/>
      <c r="F1979" s="561"/>
      <c r="G1979" s="314"/>
      <c r="H1979" s="566"/>
      <c r="I1979" s="562"/>
      <c r="J1979" s="558"/>
      <c r="K1979" s="562"/>
    </row>
    <row r="1980" spans="1:11" s="317" customFormat="1">
      <c r="A1980" s="1362"/>
      <c r="B1980" s="314" t="s">
        <v>12709</v>
      </c>
      <c r="C1980" s="196">
        <v>31154</v>
      </c>
      <c r="D1980" s="230">
        <f t="shared" ref="D1980" si="266">C1980*(1-VLOOKUP(I1980,descuentos,6,FALSE))*fcl/IF(dol_sol="dólar", TC,1)</f>
        <v>9570.026906377203</v>
      </c>
      <c r="E1980" s="1605">
        <v>600</v>
      </c>
      <c r="F1980" s="511">
        <f>ROUNDUP(D1980+E1980,2)</f>
        <v>10170.030000000001</v>
      </c>
      <c r="G1980" s="314" t="s">
        <v>12710</v>
      </c>
      <c r="H1980" s="518" t="s">
        <v>12711</v>
      </c>
      <c r="I1980" s="452" t="s">
        <v>11565</v>
      </c>
      <c r="J1980" s="369" t="s">
        <v>753</v>
      </c>
      <c r="K1980" s="452" t="s">
        <v>741</v>
      </c>
    </row>
    <row r="1981" spans="1:11" s="120" customFormat="1" ht="12" customHeight="1">
      <c r="A1981" s="558"/>
      <c r="B1981" s="566"/>
      <c r="C1981" s="560" t="s">
        <v>2024</v>
      </c>
      <c r="D1981" s="229"/>
      <c r="E1981" s="215"/>
      <c r="F1981" s="561"/>
      <c r="G1981" s="314"/>
      <c r="H1981" s="566"/>
      <c r="I1981" s="562"/>
      <c r="J1981" s="558"/>
      <c r="K1981" s="562"/>
    </row>
    <row r="1982" spans="1:11" s="120" customFormat="1" ht="12" customHeight="1">
      <c r="A1982" s="558"/>
      <c r="B1982" s="566"/>
      <c r="C1982" s="560" t="s">
        <v>2024</v>
      </c>
      <c r="D1982" s="229"/>
      <c r="E1982" s="215"/>
      <c r="F1982" s="561"/>
      <c r="G1982" s="314"/>
      <c r="H1982" s="566"/>
      <c r="I1982" s="562"/>
      <c r="J1982" s="558"/>
      <c r="K1982" s="562"/>
    </row>
    <row r="1983" spans="1:11" s="20" customFormat="1" ht="12" customHeight="1">
      <c r="A1983" s="1706"/>
      <c r="B1983" s="1707"/>
      <c r="C1983" s="1708" t="s">
        <v>2024</v>
      </c>
      <c r="D1983" s="1709"/>
      <c r="E1983" s="1542"/>
      <c r="F1983" s="1710"/>
      <c r="G1983" s="1711"/>
      <c r="H1983" s="1707"/>
      <c r="I1983" s="1712"/>
      <c r="J1983" s="1706"/>
      <c r="K1983" s="1712"/>
    </row>
    <row r="1984" spans="1:11" s="120" customFormat="1" ht="12" customHeight="1">
      <c r="A1984" s="558"/>
      <c r="B1984" s="566"/>
      <c r="C1984" s="560" t="s">
        <v>2024</v>
      </c>
      <c r="D1984" s="229"/>
      <c r="E1984" s="215"/>
      <c r="F1984" s="561"/>
      <c r="G1984" s="314"/>
      <c r="H1984" s="566"/>
      <c r="I1984" s="562"/>
      <c r="J1984" s="558"/>
      <c r="K1984" s="562"/>
    </row>
    <row r="1985" spans="1:11" s="317" customFormat="1" ht="35.25" customHeight="1">
      <c r="A1985" s="369"/>
      <c r="B1985" s="1468" t="s">
        <v>9150</v>
      </c>
      <c r="C1985" s="196" t="s">
        <v>2024</v>
      </c>
      <c r="D1985" s="230"/>
      <c r="E1985" s="215"/>
      <c r="F1985" s="511"/>
      <c r="G1985" s="314"/>
      <c r="H1985" s="518"/>
      <c r="I1985" s="452"/>
      <c r="J1985" s="369"/>
      <c r="K1985" s="452"/>
    </row>
    <row r="1986" spans="1:11" s="317" customFormat="1">
      <c r="A1986" s="1467"/>
      <c r="B1986" s="351" t="s">
        <v>9151</v>
      </c>
      <c r="C1986" s="346">
        <v>102225</v>
      </c>
      <c r="D1986" s="345">
        <f>C1986*(1-VLOOKUP(I1986,descuentos,6,FALSE))*fcl/IF(dol_sol="dólar", TC,1)</f>
        <v>31401.938772048841</v>
      </c>
      <c r="E1986" s="556">
        <v>600</v>
      </c>
      <c r="F1986" s="508">
        <f>ROUNDUP(D1986+E1986,2)</f>
        <v>32001.94</v>
      </c>
      <c r="G1986" s="351" t="s">
        <v>9152</v>
      </c>
      <c r="H1986" s="518" t="s">
        <v>9153</v>
      </c>
      <c r="I1986" s="452" t="s">
        <v>11565</v>
      </c>
      <c r="J1986" s="369" t="s">
        <v>753</v>
      </c>
      <c r="K1986" s="452" t="s">
        <v>741</v>
      </c>
    </row>
    <row r="1987" spans="1:11" s="317" customFormat="1">
      <c r="A1987" s="1467"/>
      <c r="B1987" s="550" t="s">
        <v>9154</v>
      </c>
      <c r="C1987" s="196">
        <v>8259</v>
      </c>
      <c r="D1987" s="230">
        <f>C1987*(1-VLOOKUP(I1987,descuentos,6,FALSE))*fcl/IF(dol_sol="dólar", TC,1)</f>
        <v>2537.0370488466756</v>
      </c>
      <c r="E1987" s="417">
        <v>50</v>
      </c>
      <c r="F1987" s="511">
        <f>ROUNDUP(D1987+E1987,2)</f>
        <v>2587.0400000000004</v>
      </c>
      <c r="G1987" s="314" t="s">
        <v>9155</v>
      </c>
      <c r="H1987" s="518" t="s">
        <v>9156</v>
      </c>
      <c r="I1987" s="452" t="s">
        <v>11565</v>
      </c>
      <c r="J1987" s="369" t="s">
        <v>753</v>
      </c>
      <c r="K1987" s="452" t="s">
        <v>741</v>
      </c>
    </row>
    <row r="1988" spans="1:11" s="317" customFormat="1">
      <c r="A1988" s="369"/>
      <c r="B1988" s="314"/>
      <c r="C1988" s="196" t="s">
        <v>2024</v>
      </c>
      <c r="D1988" s="345"/>
      <c r="E1988" s="343"/>
      <c r="F1988" s="508"/>
      <c r="G1988" s="314"/>
      <c r="H1988" s="518"/>
      <c r="I1988" s="452"/>
      <c r="J1988" s="369"/>
      <c r="K1988" s="452"/>
    </row>
    <row r="1989" spans="1:11" s="317" customFormat="1">
      <c r="A1989" s="369"/>
      <c r="B1989" s="314"/>
      <c r="C1989" s="196" t="s">
        <v>2024</v>
      </c>
      <c r="D1989" s="345"/>
      <c r="E1989" s="343"/>
      <c r="F1989" s="508"/>
      <c r="G1989" s="314"/>
      <c r="H1989" s="518"/>
      <c r="I1989" s="452"/>
      <c r="J1989" s="369"/>
      <c r="K1989" s="452"/>
    </row>
    <row r="1990" spans="1:11" s="317" customFormat="1">
      <c r="A1990" s="1467"/>
      <c r="B1990" s="1621" t="s">
        <v>9826</v>
      </c>
      <c r="C1990" s="346">
        <v>98029</v>
      </c>
      <c r="D1990" s="345">
        <f t="shared" ref="D1990" si="267">C1990*(1-VLOOKUP(I1990,descuentos,6,FALSE))*fcl/IF(dol_sol="dólar", TC,1)</f>
        <v>30112.992476255087</v>
      </c>
      <c r="E1990" s="556">
        <v>600</v>
      </c>
      <c r="F1990" s="508">
        <f>ROUNDUP(D1990+E1990,2)</f>
        <v>30713</v>
      </c>
      <c r="G1990" s="351" t="s">
        <v>9827</v>
      </c>
      <c r="H1990" s="518" t="s">
        <v>9828</v>
      </c>
      <c r="I1990" s="452" t="s">
        <v>11565</v>
      </c>
      <c r="J1990" s="369" t="s">
        <v>753</v>
      </c>
      <c r="K1990" s="452" t="s">
        <v>741</v>
      </c>
    </row>
    <row r="1991" spans="1:11" s="317" customFormat="1">
      <c r="A1991" s="369"/>
      <c r="B1991" s="314"/>
      <c r="C1991" s="196" t="s">
        <v>2024</v>
      </c>
      <c r="D1991" s="345"/>
      <c r="E1991" s="343"/>
      <c r="F1991" s="508"/>
      <c r="G1991" s="314"/>
      <c r="H1991" s="518"/>
      <c r="I1991" s="452"/>
      <c r="J1991" s="369"/>
      <c r="K1991" s="452"/>
    </row>
    <row r="1992" spans="1:11" s="317" customFormat="1">
      <c r="A1992" s="369"/>
      <c r="B1992" s="314"/>
      <c r="C1992" s="196" t="s">
        <v>2024</v>
      </c>
      <c r="D1992" s="345"/>
      <c r="E1992" s="343"/>
      <c r="F1992" s="508"/>
      <c r="G1992" s="314"/>
      <c r="H1992" s="518"/>
      <c r="I1992" s="452"/>
      <c r="J1992" s="369"/>
      <c r="K1992" s="452"/>
    </row>
    <row r="1993" spans="1:11" s="317" customFormat="1">
      <c r="A1993" s="369"/>
      <c r="B1993" s="314"/>
      <c r="C1993" s="196" t="s">
        <v>2024</v>
      </c>
      <c r="D1993" s="230"/>
      <c r="E1993" s="215"/>
      <c r="F1993" s="511"/>
      <c r="G1993" s="314"/>
      <c r="H1993" s="518"/>
      <c r="I1993" s="452"/>
      <c r="J1993" s="369"/>
      <c r="K1993" s="452"/>
    </row>
    <row r="1994" spans="1:11" s="317" customFormat="1" ht="35.25" customHeight="1">
      <c r="A1994" s="369"/>
      <c r="B1994" s="1468" t="s">
        <v>9829</v>
      </c>
      <c r="C1994" s="196" t="s">
        <v>2024</v>
      </c>
      <c r="D1994" s="230"/>
      <c r="E1994" s="215"/>
      <c r="F1994" s="511"/>
      <c r="G1994" s="314"/>
      <c r="H1994" s="518"/>
      <c r="I1994" s="452"/>
      <c r="J1994" s="369"/>
      <c r="K1994" s="452"/>
    </row>
    <row r="1995" spans="1:11" s="317" customFormat="1">
      <c r="A1995" s="1467"/>
      <c r="B1995" s="1621" t="s">
        <v>9830</v>
      </c>
      <c r="C1995" s="346">
        <v>112448</v>
      </c>
      <c r="D1995" s="345">
        <f t="shared" ref="D1995" si="268">C1995*(1-VLOOKUP(I1995,descuentos,6,FALSE))*fcl/IF(dol_sol="dólar", TC,1)</f>
        <v>34542.286241519672</v>
      </c>
      <c r="E1995" s="556">
        <v>600</v>
      </c>
      <c r="F1995" s="508">
        <f>ROUNDUP(D1995+E1995,2)</f>
        <v>35142.29</v>
      </c>
      <c r="G1995" s="351" t="s">
        <v>9831</v>
      </c>
      <c r="H1995" s="518" t="s">
        <v>9832</v>
      </c>
      <c r="I1995" s="452" t="s">
        <v>11565</v>
      </c>
      <c r="J1995" s="369" t="s">
        <v>753</v>
      </c>
      <c r="K1995" s="452" t="s">
        <v>741</v>
      </c>
    </row>
    <row r="1996" spans="1:11" s="317" customFormat="1">
      <c r="A1996" s="1467"/>
      <c r="B1996" s="1622" t="s">
        <v>9833</v>
      </c>
      <c r="C1996" s="196">
        <v>10324</v>
      </c>
      <c r="D1996" s="230">
        <f>C1996*(1-VLOOKUP(I1996,descuentos,6,FALSE))*fcl/IF(dol_sol="dólar", TC,1)</f>
        <v>3171.3731071913157</v>
      </c>
      <c r="E1996" s="417">
        <v>50</v>
      </c>
      <c r="F1996" s="511">
        <f>ROUNDUP(D1996+E1996,2)</f>
        <v>3221.38</v>
      </c>
      <c r="G1996" s="314" t="s">
        <v>9834</v>
      </c>
      <c r="H1996" s="518" t="s">
        <v>9835</v>
      </c>
      <c r="I1996" s="452" t="s">
        <v>11565</v>
      </c>
      <c r="J1996" s="369" t="s">
        <v>753</v>
      </c>
      <c r="K1996" s="452" t="s">
        <v>741</v>
      </c>
    </row>
    <row r="1997" spans="1:11" s="317" customFormat="1">
      <c r="A1997" s="1467"/>
      <c r="B1997" s="1621" t="s">
        <v>7162</v>
      </c>
      <c r="C1997" s="346">
        <v>729</v>
      </c>
      <c r="D1997" s="345">
        <f t="shared" ref="D1997:D2004" si="269">C1997*(1-VLOOKUP(I1997,descuentos,6,FALSE))*fcl/IF(dol_sol="dólar", TC,1)</f>
        <v>223.93752374491177</v>
      </c>
      <c r="E1997" s="343">
        <f t="shared" ref="E1997:E2002" si="270">D1997/8</f>
        <v>27.992190468113971</v>
      </c>
      <c r="F1997" s="508">
        <f t="shared" ref="F1997:F2004" si="271">ROUNDUP(D1997+E1997,2)</f>
        <v>251.92999999999998</v>
      </c>
      <c r="G1997" s="351" t="s">
        <v>7163</v>
      </c>
      <c r="H1997" s="518" t="s">
        <v>7164</v>
      </c>
      <c r="I1997" s="452" t="s">
        <v>11565</v>
      </c>
      <c r="J1997" s="369" t="s">
        <v>753</v>
      </c>
      <c r="K1997" s="452" t="s">
        <v>741</v>
      </c>
    </row>
    <row r="1998" spans="1:11" s="317" customFormat="1">
      <c r="A1998" s="1467"/>
      <c r="B1998" s="1621" t="s">
        <v>7165</v>
      </c>
      <c r="C1998" s="346">
        <v>334</v>
      </c>
      <c r="D1998" s="345">
        <f t="shared" si="269"/>
        <v>102.59963364993216</v>
      </c>
      <c r="E1998" s="343">
        <f t="shared" si="270"/>
        <v>12.82495420624152</v>
      </c>
      <c r="F1998" s="508">
        <f t="shared" si="271"/>
        <v>115.43</v>
      </c>
      <c r="G1998" s="351" t="s">
        <v>7166</v>
      </c>
      <c r="H1998" s="518" t="s">
        <v>7167</v>
      </c>
      <c r="I1998" s="452" t="s">
        <v>11565</v>
      </c>
      <c r="J1998" s="369" t="s">
        <v>753</v>
      </c>
      <c r="K1998" s="452" t="s">
        <v>741</v>
      </c>
    </row>
    <row r="1999" spans="1:11" s="317" customFormat="1">
      <c r="A1999" s="1467"/>
      <c r="B1999" s="1621" t="s">
        <v>7168</v>
      </c>
      <c r="C1999" s="346">
        <v>633</v>
      </c>
      <c r="D1999" s="345">
        <f t="shared" si="269"/>
        <v>194.44780868385348</v>
      </c>
      <c r="E1999" s="343">
        <f t="shared" si="270"/>
        <v>24.305976085481685</v>
      </c>
      <c r="F1999" s="508">
        <f t="shared" si="271"/>
        <v>218.76</v>
      </c>
      <c r="G1999" s="351" t="s">
        <v>7169</v>
      </c>
      <c r="H1999" s="518" t="s">
        <v>7170</v>
      </c>
      <c r="I1999" s="452" t="s">
        <v>11565</v>
      </c>
      <c r="J1999" s="369" t="s">
        <v>753</v>
      </c>
      <c r="K1999" s="452" t="s">
        <v>741</v>
      </c>
    </row>
    <row r="2000" spans="1:11" s="317" customFormat="1">
      <c r="A2000" s="1467"/>
      <c r="B2000" s="1621" t="s">
        <v>7171</v>
      </c>
      <c r="C2000" s="346">
        <v>110</v>
      </c>
      <c r="D2000" s="345">
        <f t="shared" si="269"/>
        <v>33.790298507462687</v>
      </c>
      <c r="E2000" s="343">
        <f t="shared" si="270"/>
        <v>4.2237873134328359</v>
      </c>
      <c r="F2000" s="508">
        <f t="shared" si="271"/>
        <v>38.019999999999996</v>
      </c>
      <c r="G2000" s="351" t="s">
        <v>7172</v>
      </c>
      <c r="H2000" s="518" t="s">
        <v>7173</v>
      </c>
      <c r="I2000" s="452" t="s">
        <v>11565</v>
      </c>
      <c r="J2000" s="369" t="s">
        <v>753</v>
      </c>
      <c r="K2000" s="452" t="s">
        <v>741</v>
      </c>
    </row>
    <row r="2001" spans="1:11" s="317" customFormat="1">
      <c r="A2001" s="1467"/>
      <c r="B2001" s="1621" t="s">
        <v>7174</v>
      </c>
      <c r="C2001" s="346">
        <v>239</v>
      </c>
      <c r="D2001" s="345">
        <f t="shared" si="269"/>
        <v>73.417103120759833</v>
      </c>
      <c r="E2001" s="343">
        <f t="shared" si="270"/>
        <v>9.1771378900949792</v>
      </c>
      <c r="F2001" s="508">
        <f t="shared" si="271"/>
        <v>82.600000000000009</v>
      </c>
      <c r="G2001" s="351" t="s">
        <v>7175</v>
      </c>
      <c r="H2001" s="518" t="s">
        <v>7176</v>
      </c>
      <c r="I2001" s="452" t="s">
        <v>11565</v>
      </c>
      <c r="J2001" s="369" t="s">
        <v>753</v>
      </c>
      <c r="K2001" s="452" t="s">
        <v>741</v>
      </c>
    </row>
    <row r="2002" spans="1:11" s="317" customFormat="1">
      <c r="A2002" s="1467"/>
      <c r="B2002" s="1621" t="s">
        <v>7177</v>
      </c>
      <c r="C2002" s="346">
        <v>1671</v>
      </c>
      <c r="D2002" s="345">
        <f t="shared" si="269"/>
        <v>513.30535278154684</v>
      </c>
      <c r="E2002" s="343">
        <f t="shared" si="270"/>
        <v>64.163169097693356</v>
      </c>
      <c r="F2002" s="508">
        <f t="shared" si="271"/>
        <v>577.47</v>
      </c>
      <c r="G2002" s="351" t="s">
        <v>7178</v>
      </c>
      <c r="H2002" s="518" t="s">
        <v>7144</v>
      </c>
      <c r="I2002" s="452" t="s">
        <v>11565</v>
      </c>
      <c r="J2002" s="369" t="s">
        <v>753</v>
      </c>
      <c r="K2002" s="452" t="s">
        <v>741</v>
      </c>
    </row>
    <row r="2003" spans="1:11" s="317" customFormat="1">
      <c r="A2003" s="1467"/>
      <c r="B2003" s="1622" t="s">
        <v>4974</v>
      </c>
      <c r="C2003" s="196">
        <v>1809</v>
      </c>
      <c r="D2003" s="230">
        <f t="shared" si="269"/>
        <v>555.69681818181812</v>
      </c>
      <c r="E2003" s="215">
        <v>10</v>
      </c>
      <c r="F2003" s="511">
        <f t="shared" si="271"/>
        <v>565.70000000000005</v>
      </c>
      <c r="G2003" s="518" t="s">
        <v>4975</v>
      </c>
      <c r="H2003" s="518" t="s">
        <v>4976</v>
      </c>
      <c r="I2003" s="452" t="s">
        <v>11565</v>
      </c>
      <c r="J2003" s="369" t="s">
        <v>753</v>
      </c>
      <c r="K2003" s="452" t="s">
        <v>741</v>
      </c>
    </row>
    <row r="2004" spans="1:11" s="317" customFormat="1">
      <c r="A2004" s="1467"/>
      <c r="B2004" s="1622" t="s">
        <v>9836</v>
      </c>
      <c r="C2004" s="196">
        <v>4866</v>
      </c>
      <c r="D2004" s="230">
        <f t="shared" si="269"/>
        <v>1494.7599321573946</v>
      </c>
      <c r="E2004" s="215">
        <v>10</v>
      </c>
      <c r="F2004" s="511">
        <f t="shared" si="271"/>
        <v>1504.76</v>
      </c>
      <c r="G2004" s="518" t="s">
        <v>9837</v>
      </c>
      <c r="H2004" s="518" t="s">
        <v>9838</v>
      </c>
      <c r="I2004" s="452" t="s">
        <v>11565</v>
      </c>
      <c r="J2004" s="369" t="s">
        <v>753</v>
      </c>
      <c r="K2004" s="452" t="s">
        <v>741</v>
      </c>
    </row>
    <row r="2005" spans="1:11" s="317" customFormat="1">
      <c r="A2005" s="369"/>
      <c r="B2005" s="314"/>
      <c r="C2005" s="196" t="s">
        <v>2024</v>
      </c>
      <c r="D2005" s="345"/>
      <c r="E2005" s="343"/>
      <c r="F2005" s="508"/>
      <c r="G2005" s="314"/>
      <c r="H2005" s="518"/>
      <c r="I2005" s="452"/>
      <c r="J2005" s="369"/>
      <c r="K2005" s="452"/>
    </row>
    <row r="2006" spans="1:11" s="317" customFormat="1">
      <c r="A2006" s="369"/>
      <c r="B2006" s="314"/>
      <c r="C2006" s="196" t="s">
        <v>2024</v>
      </c>
      <c r="D2006" s="345"/>
      <c r="E2006" s="343"/>
      <c r="F2006" s="508"/>
      <c r="G2006" s="314"/>
      <c r="H2006" s="518"/>
      <c r="I2006" s="452"/>
      <c r="J2006" s="369"/>
      <c r="K2006" s="452"/>
    </row>
    <row r="2007" spans="1:11" s="317" customFormat="1">
      <c r="A2007" s="369"/>
      <c r="B2007" s="314"/>
      <c r="C2007" s="196" t="s">
        <v>2024</v>
      </c>
      <c r="D2007" s="230"/>
      <c r="E2007" s="215"/>
      <c r="F2007" s="511"/>
      <c r="G2007" s="314"/>
      <c r="H2007" s="518"/>
      <c r="I2007" s="452"/>
      <c r="J2007" s="369"/>
      <c r="K2007" s="452"/>
    </row>
    <row r="2008" spans="1:11" s="317" customFormat="1" ht="35.25" customHeight="1">
      <c r="A2008" s="369"/>
      <c r="B2008" s="1468" t="s">
        <v>7179</v>
      </c>
      <c r="C2008" s="196" t="s">
        <v>2024</v>
      </c>
      <c r="D2008" s="230"/>
      <c r="E2008" s="215"/>
      <c r="F2008" s="511"/>
      <c r="G2008" s="314"/>
      <c r="H2008" s="518"/>
      <c r="I2008" s="452"/>
      <c r="J2008" s="369"/>
      <c r="K2008" s="452"/>
    </row>
    <row r="2009" spans="1:11" s="317" customFormat="1">
      <c r="A2009" s="1467"/>
      <c r="B2009" s="351" t="s">
        <v>7180</v>
      </c>
      <c r="C2009" s="346">
        <v>47890</v>
      </c>
      <c r="D2009" s="345">
        <f t="shared" ref="D2009:D2019" si="272">C2009*(1-VLOOKUP(I2009,descuentos,6,FALSE))*fcl/IF(dol_sol="dólar", TC,1)</f>
        <v>14711.067232021709</v>
      </c>
      <c r="E2009" s="556">
        <v>600</v>
      </c>
      <c r="F2009" s="508">
        <f>ROUNDUP(D2009+E2009,2)</f>
        <v>15311.07</v>
      </c>
      <c r="G2009" s="351" t="s">
        <v>7181</v>
      </c>
      <c r="H2009" s="518" t="s">
        <v>7182</v>
      </c>
      <c r="I2009" s="452" t="s">
        <v>11565</v>
      </c>
      <c r="J2009" s="369" t="s">
        <v>753</v>
      </c>
      <c r="K2009" s="452" t="s">
        <v>741</v>
      </c>
    </row>
    <row r="2010" spans="1:11" s="317" customFormat="1">
      <c r="A2010" s="1467"/>
      <c r="B2010" s="1592" t="s">
        <v>9519</v>
      </c>
      <c r="C2010" s="346">
        <v>39540</v>
      </c>
      <c r="D2010" s="345">
        <f t="shared" ref="D2010" si="273">C2010*(1-VLOOKUP(I2010,descuentos,6,FALSE))*fcl/IF(dol_sol="dólar", TC,1)</f>
        <v>12146.076390773405</v>
      </c>
      <c r="E2010" s="556">
        <v>600</v>
      </c>
      <c r="F2010" s="508">
        <f>ROUNDUP(D2010+E2010,2)</f>
        <v>12746.08</v>
      </c>
      <c r="G2010" s="351" t="s">
        <v>7099</v>
      </c>
      <c r="H2010" s="518" t="s">
        <v>9520</v>
      </c>
      <c r="I2010" s="452" t="s">
        <v>11565</v>
      </c>
      <c r="J2010" s="369" t="s">
        <v>753</v>
      </c>
      <c r="K2010" s="452" t="s">
        <v>741</v>
      </c>
    </row>
    <row r="2011" spans="1:11" s="317" customFormat="1">
      <c r="A2011" s="1467"/>
      <c r="B2011" s="550" t="s">
        <v>2803</v>
      </c>
      <c r="C2011" s="196">
        <v>5710</v>
      </c>
      <c r="D2011" s="230">
        <f>C2011*(1-VLOOKUP(I2011,descuentos,6,FALSE))*fcl/IF(dol_sol="dólar", TC,1)</f>
        <v>1754.0236770691995</v>
      </c>
      <c r="E2011" s="417">
        <v>50</v>
      </c>
      <c r="F2011" s="511">
        <f>ROUNDUP(D2011+E2011,2)</f>
        <v>1804.03</v>
      </c>
      <c r="G2011" s="314" t="s">
        <v>2804</v>
      </c>
      <c r="H2011" s="518" t="s">
        <v>2805</v>
      </c>
      <c r="I2011" s="452" t="s">
        <v>11565</v>
      </c>
      <c r="J2011" s="369" t="s">
        <v>753</v>
      </c>
      <c r="K2011" s="452" t="s">
        <v>741</v>
      </c>
    </row>
    <row r="2012" spans="1:11" s="317" customFormat="1">
      <c r="A2012" s="1467"/>
      <c r="B2012" s="351" t="s">
        <v>7162</v>
      </c>
      <c r="C2012" s="346">
        <v>729</v>
      </c>
      <c r="D2012" s="345">
        <f t="shared" si="272"/>
        <v>223.93752374491177</v>
      </c>
      <c r="E2012" s="343">
        <f t="shared" ref="E2012:E2017" si="274">D2012/8</f>
        <v>27.992190468113971</v>
      </c>
      <c r="F2012" s="508">
        <f t="shared" ref="F2012:F2019" si="275">ROUNDUP(D2012+E2012,2)</f>
        <v>251.92999999999998</v>
      </c>
      <c r="G2012" s="351" t="s">
        <v>7163</v>
      </c>
      <c r="H2012" s="518" t="s">
        <v>7164</v>
      </c>
      <c r="I2012" s="452" t="s">
        <v>11565</v>
      </c>
      <c r="J2012" s="369" t="s">
        <v>753</v>
      </c>
      <c r="K2012" s="452" t="s">
        <v>741</v>
      </c>
    </row>
    <row r="2013" spans="1:11" s="317" customFormat="1">
      <c r="A2013" s="1467"/>
      <c r="B2013" s="351" t="s">
        <v>7165</v>
      </c>
      <c r="C2013" s="346">
        <v>334</v>
      </c>
      <c r="D2013" s="345">
        <f t="shared" si="272"/>
        <v>102.59963364993216</v>
      </c>
      <c r="E2013" s="343">
        <f t="shared" si="274"/>
        <v>12.82495420624152</v>
      </c>
      <c r="F2013" s="508">
        <f t="shared" si="275"/>
        <v>115.43</v>
      </c>
      <c r="G2013" s="351" t="s">
        <v>7166</v>
      </c>
      <c r="H2013" s="518" t="s">
        <v>7167</v>
      </c>
      <c r="I2013" s="452" t="s">
        <v>11565</v>
      </c>
      <c r="J2013" s="369" t="s">
        <v>753</v>
      </c>
      <c r="K2013" s="452" t="s">
        <v>741</v>
      </c>
    </row>
    <row r="2014" spans="1:11" s="317" customFormat="1">
      <c r="A2014" s="1467"/>
      <c r="B2014" s="351" t="s">
        <v>7168</v>
      </c>
      <c r="C2014" s="346">
        <v>633</v>
      </c>
      <c r="D2014" s="345">
        <f t="shared" si="272"/>
        <v>194.44780868385348</v>
      </c>
      <c r="E2014" s="343">
        <f t="shared" si="274"/>
        <v>24.305976085481685</v>
      </c>
      <c r="F2014" s="508">
        <f t="shared" si="275"/>
        <v>218.76</v>
      </c>
      <c r="G2014" s="351" t="s">
        <v>7169</v>
      </c>
      <c r="H2014" s="518" t="s">
        <v>7170</v>
      </c>
      <c r="I2014" s="452" t="s">
        <v>11565</v>
      </c>
      <c r="J2014" s="369" t="s">
        <v>753</v>
      </c>
      <c r="K2014" s="452" t="s">
        <v>741</v>
      </c>
    </row>
    <row r="2015" spans="1:11" s="317" customFormat="1">
      <c r="A2015" s="1467"/>
      <c r="B2015" s="351" t="s">
        <v>7171</v>
      </c>
      <c r="C2015" s="346">
        <v>110</v>
      </c>
      <c r="D2015" s="345">
        <f t="shared" si="272"/>
        <v>33.790298507462687</v>
      </c>
      <c r="E2015" s="343">
        <f t="shared" si="274"/>
        <v>4.2237873134328359</v>
      </c>
      <c r="F2015" s="508">
        <f t="shared" si="275"/>
        <v>38.019999999999996</v>
      </c>
      <c r="G2015" s="351" t="s">
        <v>7172</v>
      </c>
      <c r="H2015" s="518" t="s">
        <v>7173</v>
      </c>
      <c r="I2015" s="452" t="s">
        <v>11565</v>
      </c>
      <c r="J2015" s="369" t="s">
        <v>753</v>
      </c>
      <c r="K2015" s="452" t="s">
        <v>741</v>
      </c>
    </row>
    <row r="2016" spans="1:11" s="317" customFormat="1">
      <c r="A2016" s="1467"/>
      <c r="B2016" s="351" t="s">
        <v>7174</v>
      </c>
      <c r="C2016" s="346">
        <v>239</v>
      </c>
      <c r="D2016" s="345">
        <f t="shared" si="272"/>
        <v>73.417103120759833</v>
      </c>
      <c r="E2016" s="343">
        <f t="shared" si="274"/>
        <v>9.1771378900949792</v>
      </c>
      <c r="F2016" s="508">
        <f t="shared" si="275"/>
        <v>82.600000000000009</v>
      </c>
      <c r="G2016" s="351" t="s">
        <v>7175</v>
      </c>
      <c r="H2016" s="518" t="s">
        <v>7176</v>
      </c>
      <c r="I2016" s="452" t="s">
        <v>11565</v>
      </c>
      <c r="J2016" s="369" t="s">
        <v>753</v>
      </c>
      <c r="K2016" s="452" t="s">
        <v>741</v>
      </c>
    </row>
    <row r="2017" spans="1:11" s="317" customFormat="1">
      <c r="A2017" s="1467"/>
      <c r="B2017" s="351" t="s">
        <v>7177</v>
      </c>
      <c r="C2017" s="346">
        <v>1671</v>
      </c>
      <c r="D2017" s="345">
        <f t="shared" si="272"/>
        <v>513.30535278154684</v>
      </c>
      <c r="E2017" s="343">
        <f t="shared" si="274"/>
        <v>64.163169097693356</v>
      </c>
      <c r="F2017" s="508">
        <f t="shared" si="275"/>
        <v>577.47</v>
      </c>
      <c r="G2017" s="351" t="s">
        <v>7178</v>
      </c>
      <c r="H2017" s="518" t="s">
        <v>7144</v>
      </c>
      <c r="I2017" s="452" t="s">
        <v>11565</v>
      </c>
      <c r="J2017" s="369" t="s">
        <v>753</v>
      </c>
      <c r="K2017" s="452" t="s">
        <v>741</v>
      </c>
    </row>
    <row r="2018" spans="1:11" s="317" customFormat="1">
      <c r="A2018" s="1467"/>
      <c r="B2018" s="550" t="s">
        <v>4974</v>
      </c>
      <c r="C2018" s="196">
        <v>1809</v>
      </c>
      <c r="D2018" s="230">
        <f t="shared" si="272"/>
        <v>555.69681818181812</v>
      </c>
      <c r="E2018" s="215">
        <v>10</v>
      </c>
      <c r="F2018" s="511">
        <f t="shared" si="275"/>
        <v>565.70000000000005</v>
      </c>
      <c r="G2018" s="518" t="s">
        <v>4975</v>
      </c>
      <c r="H2018" s="518" t="s">
        <v>4976</v>
      </c>
      <c r="I2018" s="452" t="s">
        <v>11565</v>
      </c>
      <c r="J2018" s="369" t="s">
        <v>753</v>
      </c>
      <c r="K2018" s="452" t="s">
        <v>741</v>
      </c>
    </row>
    <row r="2019" spans="1:11" s="317" customFormat="1">
      <c r="A2019" s="1467"/>
      <c r="B2019" s="550" t="s">
        <v>2355</v>
      </c>
      <c r="C2019" s="196">
        <v>4866</v>
      </c>
      <c r="D2019" s="230">
        <f t="shared" si="272"/>
        <v>1494.7599321573946</v>
      </c>
      <c r="E2019" s="215">
        <v>10</v>
      </c>
      <c r="F2019" s="511">
        <f t="shared" si="275"/>
        <v>1504.76</v>
      </c>
      <c r="G2019" s="518" t="s">
        <v>2356</v>
      </c>
      <c r="H2019" s="518" t="s">
        <v>2357</v>
      </c>
      <c r="I2019" s="452" t="s">
        <v>11565</v>
      </c>
      <c r="J2019" s="369" t="s">
        <v>753</v>
      </c>
      <c r="K2019" s="452" t="s">
        <v>741</v>
      </c>
    </row>
    <row r="2020" spans="1:11" s="317" customFormat="1">
      <c r="A2020" s="369"/>
      <c r="B2020" s="314"/>
      <c r="C2020" s="196" t="s">
        <v>2024</v>
      </c>
      <c r="D2020" s="345"/>
      <c r="E2020" s="343"/>
      <c r="F2020" s="508"/>
      <c r="G2020" s="314"/>
      <c r="H2020" s="518"/>
      <c r="I2020" s="452"/>
      <c r="J2020" s="369"/>
      <c r="K2020" s="452"/>
    </row>
    <row r="2021" spans="1:11" s="317" customFormat="1">
      <c r="A2021" s="369"/>
      <c r="B2021" s="314"/>
      <c r="C2021" s="196" t="s">
        <v>2024</v>
      </c>
      <c r="D2021" s="345"/>
      <c r="E2021" s="343"/>
      <c r="F2021" s="508"/>
      <c r="G2021" s="314"/>
      <c r="H2021" s="518"/>
      <c r="I2021" s="452"/>
      <c r="J2021" s="369"/>
      <c r="K2021" s="452"/>
    </row>
    <row r="2022" spans="1:11" s="317" customFormat="1">
      <c r="A2022" s="369"/>
      <c r="B2022" s="314"/>
      <c r="C2022" s="196" t="s">
        <v>2024</v>
      </c>
      <c r="D2022" s="230"/>
      <c r="E2022" s="215"/>
      <c r="F2022" s="511"/>
      <c r="G2022" s="314"/>
      <c r="H2022" s="518"/>
      <c r="I2022" s="452"/>
      <c r="J2022" s="369"/>
      <c r="K2022" s="452"/>
    </row>
    <row r="2023" spans="1:11" s="317" customFormat="1" ht="35.25" customHeight="1">
      <c r="A2023" s="369"/>
      <c r="B2023" s="1468" t="s">
        <v>9157</v>
      </c>
      <c r="C2023" s="196" t="s">
        <v>2024</v>
      </c>
      <c r="D2023" s="230"/>
      <c r="E2023" s="215"/>
      <c r="F2023" s="511"/>
      <c r="G2023" s="314"/>
      <c r="H2023" s="518"/>
      <c r="I2023" s="452"/>
      <c r="J2023" s="369"/>
      <c r="K2023" s="452"/>
    </row>
    <row r="2024" spans="1:11" s="317" customFormat="1">
      <c r="A2024" s="1467"/>
      <c r="B2024" s="351" t="s">
        <v>9158</v>
      </c>
      <c r="C2024" s="346">
        <v>36010</v>
      </c>
      <c r="D2024" s="345">
        <f>C2024*(1-VLOOKUP(I2024,descuentos,6,FALSE))*fcl/IF(dol_sol="dólar", TC,1)</f>
        <v>11061.714993215739</v>
      </c>
      <c r="E2024" s="556">
        <v>600</v>
      </c>
      <c r="F2024" s="508">
        <f t="shared" ref="F2024:F2033" si="276">ROUNDUP(D2024+E2024,2)</f>
        <v>11661.72</v>
      </c>
      <c r="G2024" s="351" t="s">
        <v>9159</v>
      </c>
      <c r="H2024" s="518" t="s">
        <v>9160</v>
      </c>
      <c r="I2024" s="452" t="s">
        <v>11565</v>
      </c>
      <c r="J2024" s="369" t="s">
        <v>753</v>
      </c>
      <c r="K2024" s="452" t="s">
        <v>741</v>
      </c>
    </row>
    <row r="2025" spans="1:11" s="317" customFormat="1">
      <c r="A2025" s="1467"/>
      <c r="B2025" s="550" t="s">
        <v>9161</v>
      </c>
      <c r="C2025" s="196">
        <v>4568</v>
      </c>
      <c r="D2025" s="230">
        <f>C2025*(1-VLOOKUP(I2025,descuentos,6,FALSE))*fcl/IF(dol_sol="dólar", TC,1)</f>
        <v>1403.2189416553595</v>
      </c>
      <c r="E2025" s="417">
        <v>50</v>
      </c>
      <c r="F2025" s="511">
        <f t="shared" si="276"/>
        <v>1453.22</v>
      </c>
      <c r="G2025" s="314" t="s">
        <v>9162</v>
      </c>
      <c r="H2025" s="518" t="s">
        <v>9163</v>
      </c>
      <c r="I2025" s="452" t="s">
        <v>11565</v>
      </c>
      <c r="J2025" s="369" t="s">
        <v>753</v>
      </c>
      <c r="K2025" s="452" t="s">
        <v>741</v>
      </c>
    </row>
    <row r="2026" spans="1:11" s="317" customFormat="1">
      <c r="A2026" s="1467"/>
      <c r="B2026" s="351" t="s">
        <v>7162</v>
      </c>
      <c r="C2026" s="346">
        <v>729</v>
      </c>
      <c r="D2026" s="345">
        <f t="shared" ref="D2026:D2033" si="277">C2026*(1-VLOOKUP(I2026,descuentos,6,FALSE))*fcl/IF(dol_sol="dólar", TC,1)</f>
        <v>223.93752374491177</v>
      </c>
      <c r="E2026" s="343">
        <f t="shared" ref="E2026:E2031" si="278">D2026/8</f>
        <v>27.992190468113971</v>
      </c>
      <c r="F2026" s="508">
        <f t="shared" si="276"/>
        <v>251.92999999999998</v>
      </c>
      <c r="G2026" s="351" t="s">
        <v>7163</v>
      </c>
      <c r="H2026" s="518" t="s">
        <v>7164</v>
      </c>
      <c r="I2026" s="452" t="s">
        <v>11565</v>
      </c>
      <c r="J2026" s="369" t="s">
        <v>753</v>
      </c>
      <c r="K2026" s="452" t="s">
        <v>741</v>
      </c>
    </row>
    <row r="2027" spans="1:11" s="317" customFormat="1">
      <c r="A2027" s="1467"/>
      <c r="B2027" s="351" t="s">
        <v>7165</v>
      </c>
      <c r="C2027" s="346">
        <v>334</v>
      </c>
      <c r="D2027" s="345">
        <f t="shared" si="277"/>
        <v>102.59963364993216</v>
      </c>
      <c r="E2027" s="343">
        <f t="shared" si="278"/>
        <v>12.82495420624152</v>
      </c>
      <c r="F2027" s="508">
        <f t="shared" si="276"/>
        <v>115.43</v>
      </c>
      <c r="G2027" s="351" t="s">
        <v>7166</v>
      </c>
      <c r="H2027" s="518" t="s">
        <v>7167</v>
      </c>
      <c r="I2027" s="452" t="s">
        <v>11565</v>
      </c>
      <c r="J2027" s="369" t="s">
        <v>753</v>
      </c>
      <c r="K2027" s="452" t="s">
        <v>741</v>
      </c>
    </row>
    <row r="2028" spans="1:11" s="317" customFormat="1">
      <c r="A2028" s="1467"/>
      <c r="B2028" s="351" t="s">
        <v>7168</v>
      </c>
      <c r="C2028" s="346">
        <v>633</v>
      </c>
      <c r="D2028" s="345">
        <f t="shared" si="277"/>
        <v>194.44780868385348</v>
      </c>
      <c r="E2028" s="343">
        <f t="shared" si="278"/>
        <v>24.305976085481685</v>
      </c>
      <c r="F2028" s="508">
        <f t="shared" si="276"/>
        <v>218.76</v>
      </c>
      <c r="G2028" s="351" t="s">
        <v>7169</v>
      </c>
      <c r="H2028" s="518" t="s">
        <v>7170</v>
      </c>
      <c r="I2028" s="452" t="s">
        <v>11565</v>
      </c>
      <c r="J2028" s="369" t="s">
        <v>753</v>
      </c>
      <c r="K2028" s="452" t="s">
        <v>741</v>
      </c>
    </row>
    <row r="2029" spans="1:11" s="317" customFormat="1">
      <c r="A2029" s="1467"/>
      <c r="B2029" s="351" t="s">
        <v>7171</v>
      </c>
      <c r="C2029" s="346">
        <v>110</v>
      </c>
      <c r="D2029" s="345">
        <f t="shared" si="277"/>
        <v>33.790298507462687</v>
      </c>
      <c r="E2029" s="343">
        <f t="shared" si="278"/>
        <v>4.2237873134328359</v>
      </c>
      <c r="F2029" s="508">
        <f t="shared" si="276"/>
        <v>38.019999999999996</v>
      </c>
      <c r="G2029" s="351" t="s">
        <v>7172</v>
      </c>
      <c r="H2029" s="518" t="s">
        <v>7173</v>
      </c>
      <c r="I2029" s="452" t="s">
        <v>11565</v>
      </c>
      <c r="J2029" s="369" t="s">
        <v>753</v>
      </c>
      <c r="K2029" s="452" t="s">
        <v>741</v>
      </c>
    </row>
    <row r="2030" spans="1:11" s="317" customFormat="1">
      <c r="A2030" s="1467"/>
      <c r="B2030" s="351" t="s">
        <v>7174</v>
      </c>
      <c r="C2030" s="346">
        <v>239</v>
      </c>
      <c r="D2030" s="345">
        <f t="shared" si="277"/>
        <v>73.417103120759833</v>
      </c>
      <c r="E2030" s="343">
        <f t="shared" si="278"/>
        <v>9.1771378900949792</v>
      </c>
      <c r="F2030" s="508">
        <f t="shared" si="276"/>
        <v>82.600000000000009</v>
      </c>
      <c r="G2030" s="351" t="s">
        <v>7175</v>
      </c>
      <c r="H2030" s="518" t="s">
        <v>7176</v>
      </c>
      <c r="I2030" s="452" t="s">
        <v>11565</v>
      </c>
      <c r="J2030" s="369" t="s">
        <v>753</v>
      </c>
      <c r="K2030" s="452" t="s">
        <v>741</v>
      </c>
    </row>
    <row r="2031" spans="1:11" s="317" customFormat="1">
      <c r="A2031" s="1467"/>
      <c r="B2031" s="351" t="s">
        <v>7177</v>
      </c>
      <c r="C2031" s="346">
        <v>1671</v>
      </c>
      <c r="D2031" s="345">
        <f t="shared" si="277"/>
        <v>513.30535278154684</v>
      </c>
      <c r="E2031" s="343">
        <f t="shared" si="278"/>
        <v>64.163169097693356</v>
      </c>
      <c r="F2031" s="508">
        <f t="shared" si="276"/>
        <v>577.47</v>
      </c>
      <c r="G2031" s="351" t="s">
        <v>7178</v>
      </c>
      <c r="H2031" s="518" t="s">
        <v>7144</v>
      </c>
      <c r="I2031" s="452" t="s">
        <v>11565</v>
      </c>
      <c r="J2031" s="369" t="s">
        <v>753</v>
      </c>
      <c r="K2031" s="452" t="s">
        <v>741</v>
      </c>
    </row>
    <row r="2032" spans="1:11" s="317" customFormat="1">
      <c r="A2032" s="1467"/>
      <c r="B2032" s="550" t="s">
        <v>4974</v>
      </c>
      <c r="C2032" s="196">
        <v>1809</v>
      </c>
      <c r="D2032" s="230">
        <f t="shared" si="277"/>
        <v>555.69681818181812</v>
      </c>
      <c r="E2032" s="215">
        <v>10</v>
      </c>
      <c r="F2032" s="511">
        <f t="shared" si="276"/>
        <v>565.70000000000005</v>
      </c>
      <c r="G2032" s="518" t="s">
        <v>4975</v>
      </c>
      <c r="H2032" s="518" t="s">
        <v>4976</v>
      </c>
      <c r="I2032" s="452" t="s">
        <v>11565</v>
      </c>
      <c r="J2032" s="369" t="s">
        <v>753</v>
      </c>
      <c r="K2032" s="452" t="s">
        <v>741</v>
      </c>
    </row>
    <row r="2033" spans="1:11" s="317" customFormat="1">
      <c r="A2033" s="1467"/>
      <c r="B2033" s="550" t="s">
        <v>2355</v>
      </c>
      <c r="C2033" s="196">
        <v>4866</v>
      </c>
      <c r="D2033" s="230">
        <f t="shared" si="277"/>
        <v>1494.7599321573946</v>
      </c>
      <c r="E2033" s="215">
        <v>10</v>
      </c>
      <c r="F2033" s="511">
        <f t="shared" si="276"/>
        <v>1504.76</v>
      </c>
      <c r="G2033" s="518" t="s">
        <v>2356</v>
      </c>
      <c r="H2033" s="518" t="s">
        <v>2357</v>
      </c>
      <c r="I2033" s="452" t="s">
        <v>11565</v>
      </c>
      <c r="J2033" s="369" t="s">
        <v>753</v>
      </c>
      <c r="K2033" s="452" t="s">
        <v>741</v>
      </c>
    </row>
    <row r="2034" spans="1:11" s="317" customFormat="1">
      <c r="A2034" s="369"/>
      <c r="B2034" s="314"/>
      <c r="C2034" s="196" t="s">
        <v>2024</v>
      </c>
      <c r="D2034" s="345"/>
      <c r="E2034" s="343"/>
      <c r="F2034" s="508"/>
      <c r="G2034" s="314"/>
      <c r="H2034" s="518"/>
      <c r="I2034" s="452"/>
      <c r="J2034" s="369"/>
      <c r="K2034" s="452"/>
    </row>
    <row r="2035" spans="1:11" s="317" customFormat="1">
      <c r="A2035" s="369"/>
      <c r="B2035" s="314"/>
      <c r="C2035" s="196" t="s">
        <v>2024</v>
      </c>
      <c r="D2035" s="345"/>
      <c r="E2035" s="343"/>
      <c r="F2035" s="508"/>
      <c r="G2035" s="314"/>
      <c r="H2035" s="518"/>
      <c r="I2035" s="452"/>
      <c r="J2035" s="369"/>
      <c r="K2035" s="452"/>
    </row>
    <row r="2036" spans="1:11" s="317" customFormat="1">
      <c r="A2036" s="369"/>
      <c r="B2036" s="314"/>
      <c r="C2036" s="196" t="s">
        <v>2024</v>
      </c>
      <c r="D2036" s="230"/>
      <c r="E2036" s="215"/>
      <c r="F2036" s="511"/>
      <c r="G2036" s="314"/>
      <c r="H2036" s="518"/>
      <c r="I2036" s="452"/>
      <c r="J2036" s="369"/>
      <c r="K2036" s="452"/>
    </row>
    <row r="2037" spans="1:11" s="317" customFormat="1" ht="35.25" customHeight="1">
      <c r="A2037" s="369"/>
      <c r="B2037" s="1468" t="s">
        <v>9839</v>
      </c>
      <c r="C2037" s="196" t="s">
        <v>2024</v>
      </c>
      <c r="D2037" s="230"/>
      <c r="E2037" s="215"/>
      <c r="F2037" s="511"/>
      <c r="G2037" s="314"/>
      <c r="H2037" s="518"/>
      <c r="I2037" s="452"/>
      <c r="J2037" s="369"/>
      <c r="K2037" s="452"/>
    </row>
    <row r="2038" spans="1:11" s="317" customFormat="1">
      <c r="A2038" s="1467"/>
      <c r="B2038" s="1592" t="s">
        <v>9840</v>
      </c>
      <c r="C2038" s="346">
        <v>31946</v>
      </c>
      <c r="D2038" s="345">
        <f t="shared" ref="D2038" si="279">C2038*(1-VLOOKUP(I2038,descuentos,6,FALSE))*fcl/IF(dol_sol="dólar", TC,1)</f>
        <v>9813.317055630936</v>
      </c>
      <c r="E2038" s="556">
        <v>600</v>
      </c>
      <c r="F2038" s="508">
        <f>ROUNDUP(D2038+E2038,2)</f>
        <v>10413.32</v>
      </c>
      <c r="G2038" s="351" t="s">
        <v>7090</v>
      </c>
      <c r="H2038" s="518" t="s">
        <v>9841</v>
      </c>
      <c r="I2038" s="452" t="s">
        <v>11565</v>
      </c>
      <c r="J2038" s="369" t="s">
        <v>753</v>
      </c>
      <c r="K2038" s="452" t="s">
        <v>741</v>
      </c>
    </row>
    <row r="2039" spans="1:11" s="317" customFormat="1">
      <c r="A2039" s="1467"/>
      <c r="B2039" s="550" t="s">
        <v>9842</v>
      </c>
      <c r="C2039" s="196">
        <v>4817</v>
      </c>
      <c r="D2039" s="230">
        <f>C2039*(1-VLOOKUP(I2039,descuentos,6,FALSE))*fcl/IF(dol_sol="dólar", TC,1)</f>
        <v>1479.7078900949796</v>
      </c>
      <c r="E2039" s="417">
        <v>50</v>
      </c>
      <c r="F2039" s="511">
        <f>ROUNDUP(D2039+E2039,2)</f>
        <v>1529.71</v>
      </c>
      <c r="G2039" s="314" t="s">
        <v>9843</v>
      </c>
      <c r="H2039" s="518" t="s">
        <v>7161</v>
      </c>
      <c r="I2039" s="452" t="s">
        <v>11565</v>
      </c>
      <c r="J2039" s="369" t="s">
        <v>753</v>
      </c>
      <c r="K2039" s="452" t="s">
        <v>741</v>
      </c>
    </row>
    <row r="2040" spans="1:11" s="317" customFormat="1">
      <c r="A2040" s="1467"/>
      <c r="B2040" s="351" t="s">
        <v>7162</v>
      </c>
      <c r="C2040" s="346">
        <v>729</v>
      </c>
      <c r="D2040" s="345">
        <f t="shared" ref="D2040:D2047" si="280">C2040*(1-VLOOKUP(I2040,descuentos,6,FALSE))*fcl/IF(dol_sol="dólar", TC,1)</f>
        <v>223.93752374491177</v>
      </c>
      <c r="E2040" s="343">
        <f t="shared" ref="E2040:E2045" si="281">D2040/8</f>
        <v>27.992190468113971</v>
      </c>
      <c r="F2040" s="508">
        <f t="shared" ref="F2040:F2047" si="282">ROUNDUP(D2040+E2040,2)</f>
        <v>251.92999999999998</v>
      </c>
      <c r="G2040" s="351" t="s">
        <v>7163</v>
      </c>
      <c r="H2040" s="518" t="s">
        <v>7164</v>
      </c>
      <c r="I2040" s="452" t="s">
        <v>11565</v>
      </c>
      <c r="J2040" s="369" t="s">
        <v>753</v>
      </c>
      <c r="K2040" s="452" t="s">
        <v>741</v>
      </c>
    </row>
    <row r="2041" spans="1:11" s="317" customFormat="1">
      <c r="A2041" s="1467"/>
      <c r="B2041" s="351" t="s">
        <v>7165</v>
      </c>
      <c r="C2041" s="346">
        <v>334</v>
      </c>
      <c r="D2041" s="345">
        <f t="shared" si="280"/>
        <v>102.59963364993216</v>
      </c>
      <c r="E2041" s="343">
        <f t="shared" si="281"/>
        <v>12.82495420624152</v>
      </c>
      <c r="F2041" s="508">
        <f t="shared" si="282"/>
        <v>115.43</v>
      </c>
      <c r="G2041" s="351" t="s">
        <v>7166</v>
      </c>
      <c r="H2041" s="518" t="s">
        <v>7167</v>
      </c>
      <c r="I2041" s="452" t="s">
        <v>11565</v>
      </c>
      <c r="J2041" s="369" t="s">
        <v>753</v>
      </c>
      <c r="K2041" s="452" t="s">
        <v>741</v>
      </c>
    </row>
    <row r="2042" spans="1:11" s="317" customFormat="1">
      <c r="A2042" s="1467"/>
      <c r="B2042" s="351" t="s">
        <v>7168</v>
      </c>
      <c r="C2042" s="346">
        <v>633</v>
      </c>
      <c r="D2042" s="345">
        <f t="shared" si="280"/>
        <v>194.44780868385348</v>
      </c>
      <c r="E2042" s="343">
        <f t="shared" si="281"/>
        <v>24.305976085481685</v>
      </c>
      <c r="F2042" s="508">
        <f t="shared" si="282"/>
        <v>218.76</v>
      </c>
      <c r="G2042" s="351" t="s">
        <v>7169</v>
      </c>
      <c r="H2042" s="518" t="s">
        <v>7170</v>
      </c>
      <c r="I2042" s="452" t="s">
        <v>11565</v>
      </c>
      <c r="J2042" s="369" t="s">
        <v>753</v>
      </c>
      <c r="K2042" s="452" t="s">
        <v>741</v>
      </c>
    </row>
    <row r="2043" spans="1:11" s="317" customFormat="1">
      <c r="A2043" s="1467"/>
      <c r="B2043" s="351" t="s">
        <v>7171</v>
      </c>
      <c r="C2043" s="346">
        <v>110</v>
      </c>
      <c r="D2043" s="345">
        <f t="shared" si="280"/>
        <v>33.790298507462687</v>
      </c>
      <c r="E2043" s="343">
        <f t="shared" si="281"/>
        <v>4.2237873134328359</v>
      </c>
      <c r="F2043" s="508">
        <f t="shared" si="282"/>
        <v>38.019999999999996</v>
      </c>
      <c r="G2043" s="351" t="s">
        <v>7172</v>
      </c>
      <c r="H2043" s="518" t="s">
        <v>7173</v>
      </c>
      <c r="I2043" s="452" t="s">
        <v>11565</v>
      </c>
      <c r="J2043" s="369" t="s">
        <v>753</v>
      </c>
      <c r="K2043" s="452" t="s">
        <v>741</v>
      </c>
    </row>
    <row r="2044" spans="1:11" s="317" customFormat="1">
      <c r="A2044" s="1467"/>
      <c r="B2044" s="351" t="s">
        <v>7174</v>
      </c>
      <c r="C2044" s="346">
        <v>239</v>
      </c>
      <c r="D2044" s="345">
        <f t="shared" si="280"/>
        <v>73.417103120759833</v>
      </c>
      <c r="E2044" s="343">
        <f t="shared" si="281"/>
        <v>9.1771378900949792</v>
      </c>
      <c r="F2044" s="508">
        <f t="shared" si="282"/>
        <v>82.600000000000009</v>
      </c>
      <c r="G2044" s="351" t="s">
        <v>7175</v>
      </c>
      <c r="H2044" s="518" t="s">
        <v>7176</v>
      </c>
      <c r="I2044" s="452" t="s">
        <v>11565</v>
      </c>
      <c r="J2044" s="369" t="s">
        <v>753</v>
      </c>
      <c r="K2044" s="452" t="s">
        <v>741</v>
      </c>
    </row>
    <row r="2045" spans="1:11" s="317" customFormat="1">
      <c r="A2045" s="1467"/>
      <c r="B2045" s="351" t="s">
        <v>7177</v>
      </c>
      <c r="C2045" s="346">
        <v>1671</v>
      </c>
      <c r="D2045" s="345">
        <f t="shared" si="280"/>
        <v>513.30535278154684</v>
      </c>
      <c r="E2045" s="343">
        <f t="shared" si="281"/>
        <v>64.163169097693356</v>
      </c>
      <c r="F2045" s="508">
        <f t="shared" si="282"/>
        <v>577.47</v>
      </c>
      <c r="G2045" s="351" t="s">
        <v>7178</v>
      </c>
      <c r="H2045" s="518" t="s">
        <v>7144</v>
      </c>
      <c r="I2045" s="452" t="s">
        <v>11565</v>
      </c>
      <c r="J2045" s="369" t="s">
        <v>753</v>
      </c>
      <c r="K2045" s="452" t="s">
        <v>741</v>
      </c>
    </row>
    <row r="2046" spans="1:11" s="317" customFormat="1">
      <c r="A2046" s="1467"/>
      <c r="B2046" s="550" t="s">
        <v>4974</v>
      </c>
      <c r="C2046" s="196">
        <v>1809</v>
      </c>
      <c r="D2046" s="230">
        <f t="shared" si="280"/>
        <v>555.69681818181812</v>
      </c>
      <c r="E2046" s="215">
        <v>10</v>
      </c>
      <c r="F2046" s="511">
        <f t="shared" si="282"/>
        <v>565.70000000000005</v>
      </c>
      <c r="G2046" s="518" t="s">
        <v>4975</v>
      </c>
      <c r="H2046" s="518" t="s">
        <v>4976</v>
      </c>
      <c r="I2046" s="452" t="s">
        <v>11565</v>
      </c>
      <c r="J2046" s="369" t="s">
        <v>753</v>
      </c>
      <c r="K2046" s="452" t="s">
        <v>741</v>
      </c>
    </row>
    <row r="2047" spans="1:11" s="317" customFormat="1">
      <c r="A2047" s="1467"/>
      <c r="B2047" s="550" t="s">
        <v>2355</v>
      </c>
      <c r="C2047" s="196">
        <v>4866</v>
      </c>
      <c r="D2047" s="230">
        <f t="shared" si="280"/>
        <v>1494.7599321573946</v>
      </c>
      <c r="E2047" s="215">
        <v>10</v>
      </c>
      <c r="F2047" s="511">
        <f t="shared" si="282"/>
        <v>1504.76</v>
      </c>
      <c r="G2047" s="518" t="s">
        <v>2356</v>
      </c>
      <c r="H2047" s="518" t="s">
        <v>2357</v>
      </c>
      <c r="I2047" s="452" t="s">
        <v>11565</v>
      </c>
      <c r="J2047" s="369" t="s">
        <v>753</v>
      </c>
      <c r="K2047" s="452" t="s">
        <v>741</v>
      </c>
    </row>
    <row r="2048" spans="1:11" s="317" customFormat="1">
      <c r="A2048" s="369"/>
      <c r="B2048" s="314"/>
      <c r="C2048" s="196" t="s">
        <v>2024</v>
      </c>
      <c r="D2048" s="345"/>
      <c r="E2048" s="343"/>
      <c r="F2048" s="508"/>
      <c r="G2048" s="314"/>
      <c r="H2048" s="518"/>
      <c r="I2048" s="452"/>
      <c r="J2048" s="369"/>
      <c r="K2048" s="452"/>
    </row>
    <row r="2049" spans="1:11" s="317" customFormat="1">
      <c r="A2049" s="369"/>
      <c r="B2049" s="314"/>
      <c r="C2049" s="196" t="s">
        <v>2024</v>
      </c>
      <c r="D2049" s="345"/>
      <c r="E2049" s="343"/>
      <c r="F2049" s="508"/>
      <c r="G2049" s="314"/>
      <c r="H2049" s="518"/>
      <c r="I2049" s="452"/>
      <c r="J2049" s="369"/>
      <c r="K2049" s="452"/>
    </row>
    <row r="2050" spans="1:11" s="317" customFormat="1">
      <c r="A2050" s="369"/>
      <c r="B2050" s="314"/>
      <c r="C2050" s="196" t="s">
        <v>2024</v>
      </c>
      <c r="D2050" s="230"/>
      <c r="E2050" s="215"/>
      <c r="F2050" s="511"/>
      <c r="G2050" s="314"/>
      <c r="H2050" s="518"/>
      <c r="I2050" s="452"/>
      <c r="J2050" s="369"/>
      <c r="K2050" s="452"/>
    </row>
    <row r="2051" spans="1:11" s="317" customFormat="1" ht="35.25" customHeight="1">
      <c r="A2051" s="369"/>
      <c r="B2051" s="1468" t="s">
        <v>7155</v>
      </c>
      <c r="C2051" s="196" t="s">
        <v>2024</v>
      </c>
      <c r="D2051" s="230"/>
      <c r="E2051" s="215"/>
      <c r="F2051" s="511"/>
      <c r="G2051" s="314"/>
      <c r="H2051" s="518"/>
      <c r="I2051" s="452"/>
      <c r="J2051" s="369"/>
      <c r="K2051" s="452"/>
    </row>
    <row r="2052" spans="1:11" s="317" customFormat="1">
      <c r="A2052" s="1467"/>
      <c r="B2052" s="351" t="s">
        <v>7156</v>
      </c>
      <c r="C2052" s="346">
        <v>36213</v>
      </c>
      <c r="D2052" s="345">
        <f>C2052*(1-VLOOKUP(I2052,descuentos,6,FALSE))*fcl/IF(dol_sol="dólar", TC,1)</f>
        <v>11124.073453188603</v>
      </c>
      <c r="E2052" s="556">
        <v>600</v>
      </c>
      <c r="F2052" s="508">
        <f>ROUNDUP(D2052+E2052,2)</f>
        <v>11724.08</v>
      </c>
      <c r="G2052" s="351" t="s">
        <v>7157</v>
      </c>
      <c r="H2052" s="518" t="s">
        <v>7158</v>
      </c>
      <c r="I2052" s="452" t="s">
        <v>11565</v>
      </c>
      <c r="J2052" s="369" t="s">
        <v>753</v>
      </c>
      <c r="K2052" s="452" t="s">
        <v>741</v>
      </c>
    </row>
    <row r="2053" spans="1:11" s="317" customFormat="1">
      <c r="A2053" s="1467"/>
      <c r="B2053" s="1592" t="s">
        <v>9517</v>
      </c>
      <c r="C2053" s="346">
        <v>27863</v>
      </c>
      <c r="D2053" s="345">
        <f t="shared" ref="D2053" si="283">C2053*(1-VLOOKUP(I2053,descuentos,6,FALSE))*fcl/IF(dol_sol="dólar", TC,1)</f>
        <v>8559.0826119402973</v>
      </c>
      <c r="E2053" s="556">
        <v>600</v>
      </c>
      <c r="F2053" s="508">
        <f>ROUNDUP(D2053+E2053,2)</f>
        <v>9159.09</v>
      </c>
      <c r="G2053" s="351" t="s">
        <v>7087</v>
      </c>
      <c r="H2053" s="518" t="s">
        <v>9518</v>
      </c>
      <c r="I2053" s="452" t="s">
        <v>11565</v>
      </c>
      <c r="J2053" s="369" t="s">
        <v>753</v>
      </c>
      <c r="K2053" s="452" t="s">
        <v>741</v>
      </c>
    </row>
    <row r="2054" spans="1:11" s="317" customFormat="1">
      <c r="A2054" s="1467"/>
      <c r="B2054" s="351" t="s">
        <v>7159</v>
      </c>
      <c r="C2054" s="346">
        <v>4817</v>
      </c>
      <c r="D2054" s="345">
        <f t="shared" ref="D2054:D2062" si="284">C2054*(1-VLOOKUP(I2054,descuentos,6,FALSE))*fcl/IF(dol_sol="dólar", TC,1)</f>
        <v>1479.7078900949796</v>
      </c>
      <c r="E2054" s="556">
        <v>600</v>
      </c>
      <c r="F2054" s="508">
        <f t="shared" ref="F2054:F2062" si="285">ROUNDUP(D2054+E2054,2)</f>
        <v>2079.71</v>
      </c>
      <c r="G2054" s="351" t="s">
        <v>7160</v>
      </c>
      <c r="H2054" s="518" t="s">
        <v>7161</v>
      </c>
      <c r="I2054" s="452" t="s">
        <v>11565</v>
      </c>
      <c r="J2054" s="369" t="s">
        <v>753</v>
      </c>
      <c r="K2054" s="452" t="s">
        <v>741</v>
      </c>
    </row>
    <row r="2055" spans="1:11" s="317" customFormat="1">
      <c r="A2055" s="1467"/>
      <c r="B2055" s="351" t="s">
        <v>7162</v>
      </c>
      <c r="C2055" s="346">
        <v>729</v>
      </c>
      <c r="D2055" s="345">
        <f t="shared" si="284"/>
        <v>223.93752374491177</v>
      </c>
      <c r="E2055" s="343">
        <f t="shared" ref="E2055:E2060" si="286">D2055/8</f>
        <v>27.992190468113971</v>
      </c>
      <c r="F2055" s="508">
        <f t="shared" si="285"/>
        <v>251.92999999999998</v>
      </c>
      <c r="G2055" s="351" t="s">
        <v>7163</v>
      </c>
      <c r="H2055" s="518" t="s">
        <v>7164</v>
      </c>
      <c r="I2055" s="452" t="s">
        <v>11565</v>
      </c>
      <c r="J2055" s="369" t="s">
        <v>753</v>
      </c>
      <c r="K2055" s="452" t="s">
        <v>741</v>
      </c>
    </row>
    <row r="2056" spans="1:11" s="317" customFormat="1">
      <c r="A2056" s="1467"/>
      <c r="B2056" s="351" t="s">
        <v>7165</v>
      </c>
      <c r="C2056" s="346">
        <v>334</v>
      </c>
      <c r="D2056" s="345">
        <f t="shared" si="284"/>
        <v>102.59963364993216</v>
      </c>
      <c r="E2056" s="343">
        <f t="shared" si="286"/>
        <v>12.82495420624152</v>
      </c>
      <c r="F2056" s="508">
        <f t="shared" si="285"/>
        <v>115.43</v>
      </c>
      <c r="G2056" s="351" t="s">
        <v>7166</v>
      </c>
      <c r="H2056" s="518" t="s">
        <v>7167</v>
      </c>
      <c r="I2056" s="452" t="s">
        <v>11565</v>
      </c>
      <c r="J2056" s="369" t="s">
        <v>753</v>
      </c>
      <c r="K2056" s="452" t="s">
        <v>741</v>
      </c>
    </row>
    <row r="2057" spans="1:11" s="317" customFormat="1">
      <c r="A2057" s="1467"/>
      <c r="B2057" s="351" t="s">
        <v>7168</v>
      </c>
      <c r="C2057" s="346">
        <v>633</v>
      </c>
      <c r="D2057" s="345">
        <f t="shared" si="284"/>
        <v>194.44780868385348</v>
      </c>
      <c r="E2057" s="343">
        <f t="shared" si="286"/>
        <v>24.305976085481685</v>
      </c>
      <c r="F2057" s="508">
        <f t="shared" si="285"/>
        <v>218.76</v>
      </c>
      <c r="G2057" s="351" t="s">
        <v>7169</v>
      </c>
      <c r="H2057" s="518" t="s">
        <v>7170</v>
      </c>
      <c r="I2057" s="452" t="s">
        <v>11565</v>
      </c>
      <c r="J2057" s="369" t="s">
        <v>753</v>
      </c>
      <c r="K2057" s="452" t="s">
        <v>741</v>
      </c>
    </row>
    <row r="2058" spans="1:11" s="317" customFormat="1">
      <c r="A2058" s="1467"/>
      <c r="B2058" s="351" t="s">
        <v>7171</v>
      </c>
      <c r="C2058" s="346">
        <v>110</v>
      </c>
      <c r="D2058" s="345">
        <f t="shared" si="284"/>
        <v>33.790298507462687</v>
      </c>
      <c r="E2058" s="343">
        <f t="shared" si="286"/>
        <v>4.2237873134328359</v>
      </c>
      <c r="F2058" s="508">
        <f t="shared" si="285"/>
        <v>38.019999999999996</v>
      </c>
      <c r="G2058" s="351" t="s">
        <v>7172</v>
      </c>
      <c r="H2058" s="518" t="s">
        <v>7173</v>
      </c>
      <c r="I2058" s="452" t="s">
        <v>11565</v>
      </c>
      <c r="J2058" s="369" t="s">
        <v>753</v>
      </c>
      <c r="K2058" s="452" t="s">
        <v>741</v>
      </c>
    </row>
    <row r="2059" spans="1:11" s="317" customFormat="1">
      <c r="A2059" s="1467"/>
      <c r="B2059" s="351" t="s">
        <v>7174</v>
      </c>
      <c r="C2059" s="346">
        <v>239</v>
      </c>
      <c r="D2059" s="345">
        <f t="shared" si="284"/>
        <v>73.417103120759833</v>
      </c>
      <c r="E2059" s="343">
        <f t="shared" si="286"/>
        <v>9.1771378900949792</v>
      </c>
      <c r="F2059" s="508">
        <f t="shared" si="285"/>
        <v>82.600000000000009</v>
      </c>
      <c r="G2059" s="351" t="s">
        <v>7175</v>
      </c>
      <c r="H2059" s="518" t="s">
        <v>7176</v>
      </c>
      <c r="I2059" s="452" t="s">
        <v>11565</v>
      </c>
      <c r="J2059" s="369" t="s">
        <v>753</v>
      </c>
      <c r="K2059" s="452" t="s">
        <v>741</v>
      </c>
    </row>
    <row r="2060" spans="1:11" s="317" customFormat="1">
      <c r="A2060" s="1467"/>
      <c r="B2060" s="351" t="s">
        <v>7177</v>
      </c>
      <c r="C2060" s="346">
        <v>1671</v>
      </c>
      <c r="D2060" s="345">
        <f t="shared" si="284"/>
        <v>513.30535278154684</v>
      </c>
      <c r="E2060" s="343">
        <f t="shared" si="286"/>
        <v>64.163169097693356</v>
      </c>
      <c r="F2060" s="508">
        <f t="shared" si="285"/>
        <v>577.47</v>
      </c>
      <c r="G2060" s="351" t="s">
        <v>7178</v>
      </c>
      <c r="H2060" s="518" t="s">
        <v>7144</v>
      </c>
      <c r="I2060" s="452" t="s">
        <v>11565</v>
      </c>
      <c r="J2060" s="369" t="s">
        <v>753</v>
      </c>
      <c r="K2060" s="452" t="s">
        <v>741</v>
      </c>
    </row>
    <row r="2061" spans="1:11" s="317" customFormat="1">
      <c r="A2061" s="1467"/>
      <c r="B2061" s="550" t="s">
        <v>4974</v>
      </c>
      <c r="C2061" s="196">
        <v>1809</v>
      </c>
      <c r="D2061" s="230">
        <f t="shared" si="284"/>
        <v>555.69681818181812</v>
      </c>
      <c r="E2061" s="215">
        <v>10</v>
      </c>
      <c r="F2061" s="511">
        <f t="shared" si="285"/>
        <v>565.70000000000005</v>
      </c>
      <c r="G2061" s="518" t="s">
        <v>4975</v>
      </c>
      <c r="H2061" s="518" t="s">
        <v>4976</v>
      </c>
      <c r="I2061" s="452" t="s">
        <v>11565</v>
      </c>
      <c r="J2061" s="369" t="s">
        <v>753</v>
      </c>
      <c r="K2061" s="452" t="s">
        <v>741</v>
      </c>
    </row>
    <row r="2062" spans="1:11" s="317" customFormat="1">
      <c r="A2062" s="1467"/>
      <c r="B2062" s="550" t="s">
        <v>2355</v>
      </c>
      <c r="C2062" s="196">
        <v>4866</v>
      </c>
      <c r="D2062" s="230">
        <f t="shared" si="284"/>
        <v>1494.7599321573946</v>
      </c>
      <c r="E2062" s="215">
        <v>10</v>
      </c>
      <c r="F2062" s="511">
        <f t="shared" si="285"/>
        <v>1504.76</v>
      </c>
      <c r="G2062" s="518" t="s">
        <v>2356</v>
      </c>
      <c r="H2062" s="518" t="s">
        <v>2357</v>
      </c>
      <c r="I2062" s="452" t="s">
        <v>11565</v>
      </c>
      <c r="J2062" s="369" t="s">
        <v>753</v>
      </c>
      <c r="K2062" s="452" t="s">
        <v>741</v>
      </c>
    </row>
    <row r="2063" spans="1:11" s="317" customFormat="1">
      <c r="A2063" s="369"/>
      <c r="B2063" s="314"/>
      <c r="C2063" s="196" t="s">
        <v>2024</v>
      </c>
      <c r="D2063" s="345"/>
      <c r="E2063" s="343"/>
      <c r="F2063" s="508"/>
      <c r="G2063" s="314"/>
      <c r="H2063" s="518"/>
      <c r="I2063" s="452"/>
      <c r="J2063" s="369"/>
      <c r="K2063" s="452"/>
    </row>
    <row r="2064" spans="1:11" s="317" customFormat="1">
      <c r="A2064" s="369"/>
      <c r="B2064" s="314"/>
      <c r="C2064" s="196" t="s">
        <v>2024</v>
      </c>
      <c r="D2064" s="230"/>
      <c r="E2064" s="215"/>
      <c r="F2064" s="511"/>
      <c r="G2064" s="314"/>
      <c r="H2064" s="518"/>
      <c r="I2064" s="452"/>
      <c r="J2064" s="369"/>
      <c r="K2064" s="452"/>
    </row>
    <row r="2065" spans="1:11" s="317" customFormat="1" ht="43.5" customHeight="1">
      <c r="A2065" s="369"/>
      <c r="B2065" s="1468" t="s">
        <v>9844</v>
      </c>
      <c r="C2065" s="196" t="s">
        <v>2024</v>
      </c>
      <c r="D2065" s="230"/>
      <c r="E2065" s="215"/>
      <c r="F2065" s="511"/>
      <c r="G2065" s="314"/>
      <c r="H2065" s="518"/>
      <c r="I2065" s="452"/>
      <c r="J2065" s="369"/>
      <c r="K2065" s="452"/>
    </row>
    <row r="2066" spans="1:11" s="317" customFormat="1">
      <c r="A2066" s="1467"/>
      <c r="B2066" s="1592" t="s">
        <v>9845</v>
      </c>
      <c r="C2066" s="346">
        <v>21865</v>
      </c>
      <c r="D2066" s="345">
        <f t="shared" ref="D2066" si="287">C2066*(1-VLOOKUP(I2066,descuentos,6,FALSE))*fcl/IF(dol_sol="dólar", TC,1)</f>
        <v>6716.5897896879233</v>
      </c>
      <c r="E2066" s="556">
        <v>600</v>
      </c>
      <c r="F2066" s="508">
        <f>ROUNDUP(D2066+E2066,2)</f>
        <v>7316.59</v>
      </c>
      <c r="G2066" s="351" t="s">
        <v>9846</v>
      </c>
      <c r="H2066" s="518" t="s">
        <v>9847</v>
      </c>
      <c r="I2066" s="452" t="s">
        <v>11565</v>
      </c>
      <c r="J2066" s="369" t="s">
        <v>753</v>
      </c>
      <c r="K2066" s="452" t="s">
        <v>741</v>
      </c>
    </row>
    <row r="2067" spans="1:11" s="317" customFormat="1">
      <c r="A2067" s="1467"/>
      <c r="B2067" s="550" t="s">
        <v>9848</v>
      </c>
      <c r="C2067" s="196">
        <v>4817</v>
      </c>
      <c r="D2067" s="230">
        <f>C2067*(1-VLOOKUP(I2067,descuentos,6,FALSE))*fcl/IF(dol_sol="dólar", TC,1)</f>
        <v>1479.7078900949796</v>
      </c>
      <c r="E2067" s="417">
        <v>50</v>
      </c>
      <c r="F2067" s="511">
        <f>ROUNDUP(D2067+E2067,2)</f>
        <v>1529.71</v>
      </c>
      <c r="G2067" s="314" t="s">
        <v>9849</v>
      </c>
      <c r="H2067" s="518" t="s">
        <v>7161</v>
      </c>
      <c r="I2067" s="452" t="s">
        <v>11565</v>
      </c>
      <c r="J2067" s="369" t="s">
        <v>753</v>
      </c>
      <c r="K2067" s="452" t="s">
        <v>741</v>
      </c>
    </row>
    <row r="2068" spans="1:11" s="317" customFormat="1">
      <c r="A2068" s="1467"/>
      <c r="B2068" s="550" t="s">
        <v>1234</v>
      </c>
      <c r="C2068" s="196">
        <v>538</v>
      </c>
      <c r="D2068" s="230">
        <f t="shared" ref="D2068:D2077" si="288">C2068*(1-VLOOKUP(I2068,descuentos,6,FALSE))*fcl/IF(dol_sol="dólar", TC,1)</f>
        <v>165.26527815468114</v>
      </c>
      <c r="E2068" s="215">
        <v>10</v>
      </c>
      <c r="F2068" s="511">
        <f t="shared" ref="F2068:F2077" si="289">ROUNDUP(D2068+E2068,2)</f>
        <v>175.26999999999998</v>
      </c>
      <c r="G2068" s="518" t="s">
        <v>4972</v>
      </c>
      <c r="H2068" s="518" t="s">
        <v>806</v>
      </c>
      <c r="I2068" s="452" t="s">
        <v>11565</v>
      </c>
      <c r="J2068" s="369" t="s">
        <v>753</v>
      </c>
      <c r="K2068" s="452" t="s">
        <v>741</v>
      </c>
    </row>
    <row r="2069" spans="1:11" s="317" customFormat="1">
      <c r="A2069" s="1467"/>
      <c r="B2069" s="550" t="s">
        <v>1233</v>
      </c>
      <c r="C2069" s="196">
        <v>538</v>
      </c>
      <c r="D2069" s="230">
        <f t="shared" si="288"/>
        <v>165.26527815468114</v>
      </c>
      <c r="E2069" s="215">
        <v>10</v>
      </c>
      <c r="F2069" s="511">
        <f t="shared" si="289"/>
        <v>175.26999999999998</v>
      </c>
      <c r="G2069" s="518" t="s">
        <v>4973</v>
      </c>
      <c r="H2069" s="518" t="s">
        <v>808</v>
      </c>
      <c r="I2069" s="452" t="s">
        <v>11565</v>
      </c>
      <c r="J2069" s="369" t="s">
        <v>753</v>
      </c>
      <c r="K2069" s="452" t="s">
        <v>741</v>
      </c>
    </row>
    <row r="2070" spans="1:11" s="317" customFormat="1">
      <c r="A2070" s="1467"/>
      <c r="B2070" s="550" t="s">
        <v>954</v>
      </c>
      <c r="C2070" s="196">
        <v>3239</v>
      </c>
      <c r="D2070" s="230">
        <f t="shared" si="288"/>
        <v>994.97069877883291</v>
      </c>
      <c r="E2070" s="215">
        <v>15</v>
      </c>
      <c r="F2070" s="511">
        <f t="shared" si="289"/>
        <v>1009.98</v>
      </c>
      <c r="G2070" s="518" t="s">
        <v>1239</v>
      </c>
      <c r="H2070" s="518" t="s">
        <v>952</v>
      </c>
      <c r="I2070" s="452" t="s">
        <v>11565</v>
      </c>
      <c r="J2070" s="369" t="s">
        <v>753</v>
      </c>
      <c r="K2070" s="452" t="s">
        <v>741</v>
      </c>
    </row>
    <row r="2071" spans="1:11" s="317" customFormat="1">
      <c r="A2071" s="1467"/>
      <c r="B2071" s="351" t="s">
        <v>7162</v>
      </c>
      <c r="C2071" s="346">
        <v>729</v>
      </c>
      <c r="D2071" s="345">
        <f t="shared" si="288"/>
        <v>223.93752374491177</v>
      </c>
      <c r="E2071" s="343">
        <f>D2071/8</f>
        <v>27.992190468113971</v>
      </c>
      <c r="F2071" s="508">
        <f t="shared" si="289"/>
        <v>251.92999999999998</v>
      </c>
      <c r="G2071" s="351" t="s">
        <v>7183</v>
      </c>
      <c r="H2071" s="518" t="s">
        <v>7164</v>
      </c>
      <c r="I2071" s="452" t="s">
        <v>11565</v>
      </c>
      <c r="J2071" s="369" t="s">
        <v>753</v>
      </c>
      <c r="K2071" s="452" t="s">
        <v>741</v>
      </c>
    </row>
    <row r="2072" spans="1:11" s="317" customFormat="1">
      <c r="A2072" s="1467"/>
      <c r="B2072" s="351" t="s">
        <v>7165</v>
      </c>
      <c r="C2072" s="346">
        <v>334</v>
      </c>
      <c r="D2072" s="345">
        <f t="shared" si="288"/>
        <v>102.59963364993216</v>
      </c>
      <c r="E2072" s="343">
        <f>D2072/8</f>
        <v>12.82495420624152</v>
      </c>
      <c r="F2072" s="508">
        <f t="shared" si="289"/>
        <v>115.43</v>
      </c>
      <c r="G2072" s="351" t="s">
        <v>7184</v>
      </c>
      <c r="H2072" s="518" t="s">
        <v>7167</v>
      </c>
      <c r="I2072" s="452" t="s">
        <v>11565</v>
      </c>
      <c r="J2072" s="369" t="s">
        <v>753</v>
      </c>
      <c r="K2072" s="452" t="s">
        <v>741</v>
      </c>
    </row>
    <row r="2073" spans="1:11" s="317" customFormat="1">
      <c r="A2073" s="1467"/>
      <c r="B2073" s="351" t="s">
        <v>7168</v>
      </c>
      <c r="C2073" s="346">
        <v>633</v>
      </c>
      <c r="D2073" s="345">
        <f t="shared" si="288"/>
        <v>194.44780868385348</v>
      </c>
      <c r="E2073" s="343">
        <f>D2073/8</f>
        <v>24.305976085481685</v>
      </c>
      <c r="F2073" s="508">
        <f t="shared" si="289"/>
        <v>218.76</v>
      </c>
      <c r="G2073" s="351" t="s">
        <v>7169</v>
      </c>
      <c r="H2073" s="518" t="s">
        <v>7170</v>
      </c>
      <c r="I2073" s="452" t="s">
        <v>11565</v>
      </c>
      <c r="J2073" s="369" t="s">
        <v>753</v>
      </c>
      <c r="K2073" s="452" t="s">
        <v>741</v>
      </c>
    </row>
    <row r="2074" spans="1:11" s="317" customFormat="1">
      <c r="A2074" s="1467"/>
      <c r="B2074" s="351" t="s">
        <v>7171</v>
      </c>
      <c r="C2074" s="346">
        <v>110</v>
      </c>
      <c r="D2074" s="345">
        <f t="shared" si="288"/>
        <v>33.790298507462687</v>
      </c>
      <c r="E2074" s="343">
        <f>D2074/8</f>
        <v>4.2237873134328359</v>
      </c>
      <c r="F2074" s="508">
        <f t="shared" si="289"/>
        <v>38.019999999999996</v>
      </c>
      <c r="G2074" s="351" t="s">
        <v>7172</v>
      </c>
      <c r="H2074" s="518" t="s">
        <v>7173</v>
      </c>
      <c r="I2074" s="452" t="s">
        <v>11565</v>
      </c>
      <c r="J2074" s="369" t="s">
        <v>753</v>
      </c>
      <c r="K2074" s="452" t="s">
        <v>741</v>
      </c>
    </row>
    <row r="2075" spans="1:11" s="317" customFormat="1">
      <c r="A2075" s="1467"/>
      <c r="B2075" s="559" t="s">
        <v>2755</v>
      </c>
      <c r="C2075" s="560">
        <v>510</v>
      </c>
      <c r="D2075" s="229">
        <f t="shared" si="288"/>
        <v>156.66411126187245</v>
      </c>
      <c r="E2075" s="215">
        <v>80</v>
      </c>
      <c r="F2075" s="561">
        <f t="shared" si="289"/>
        <v>236.67</v>
      </c>
      <c r="G2075" s="518" t="s">
        <v>2763</v>
      </c>
      <c r="H2075" s="518" t="s">
        <v>2372</v>
      </c>
      <c r="I2075" s="452" t="s">
        <v>11565</v>
      </c>
      <c r="J2075" s="369" t="s">
        <v>753</v>
      </c>
      <c r="K2075" s="452" t="s">
        <v>741</v>
      </c>
    </row>
    <row r="2076" spans="1:11" s="317" customFormat="1">
      <c r="A2076" s="1467"/>
      <c r="B2076" s="563" t="s">
        <v>2778</v>
      </c>
      <c r="C2076" s="560">
        <v>1369</v>
      </c>
      <c r="D2076" s="229">
        <f t="shared" si="288"/>
        <v>420.5356241519674</v>
      </c>
      <c r="E2076" s="215">
        <v>20</v>
      </c>
      <c r="F2076" s="561">
        <f t="shared" si="289"/>
        <v>440.53999999999996</v>
      </c>
      <c r="G2076" s="566" t="s">
        <v>2780</v>
      </c>
      <c r="H2076" s="518" t="s">
        <v>2381</v>
      </c>
      <c r="I2076" s="452" t="s">
        <v>11565</v>
      </c>
      <c r="J2076" s="369" t="s">
        <v>753</v>
      </c>
      <c r="K2076" s="452" t="s">
        <v>741</v>
      </c>
    </row>
    <row r="2077" spans="1:11" s="317" customFormat="1">
      <c r="A2077" s="1467"/>
      <c r="B2077" s="565" t="s">
        <v>2779</v>
      </c>
      <c r="C2077" s="560">
        <v>1443</v>
      </c>
      <c r="D2077" s="229">
        <f t="shared" si="288"/>
        <v>443.26727951153322</v>
      </c>
      <c r="E2077" s="215">
        <v>20</v>
      </c>
      <c r="F2077" s="561">
        <f t="shared" si="289"/>
        <v>463.27</v>
      </c>
      <c r="G2077" s="566" t="s">
        <v>2781</v>
      </c>
      <c r="H2077" s="518" t="s">
        <v>2774</v>
      </c>
      <c r="I2077" s="452" t="s">
        <v>11565</v>
      </c>
      <c r="J2077" s="369" t="s">
        <v>753</v>
      </c>
      <c r="K2077" s="452" t="s">
        <v>741</v>
      </c>
    </row>
    <row r="2078" spans="1:11" s="20" customFormat="1" ht="12" customHeight="1">
      <c r="A2078" s="558"/>
      <c r="B2078" s="566"/>
      <c r="C2078" s="560" t="s">
        <v>2024</v>
      </c>
      <c r="D2078" s="229"/>
      <c r="E2078" s="215"/>
      <c r="F2078" s="561"/>
      <c r="G2078" s="314"/>
      <c r="H2078" s="566"/>
      <c r="I2078" s="562"/>
      <c r="J2078" s="558"/>
      <c r="K2078" s="562"/>
    </row>
    <row r="2079" spans="1:11" s="20" customFormat="1" ht="12" customHeight="1">
      <c r="A2079" s="558"/>
      <c r="B2079" s="566"/>
      <c r="C2079" s="560" t="s">
        <v>2024</v>
      </c>
      <c r="D2079" s="229"/>
      <c r="E2079" s="215"/>
      <c r="F2079" s="561"/>
      <c r="G2079" s="314"/>
      <c r="H2079" s="566"/>
      <c r="I2079" s="562"/>
      <c r="J2079" s="558"/>
      <c r="K2079" s="562"/>
    </row>
    <row r="2080" spans="1:11" s="317" customFormat="1" ht="43.5" customHeight="1">
      <c r="A2080" s="369"/>
      <c r="B2080" s="1468" t="s">
        <v>9850</v>
      </c>
      <c r="C2080" s="196" t="s">
        <v>2024</v>
      </c>
      <c r="D2080" s="230"/>
      <c r="E2080" s="215"/>
      <c r="F2080" s="511"/>
      <c r="G2080" s="314"/>
      <c r="H2080" s="518"/>
      <c r="I2080" s="452"/>
      <c r="J2080" s="369"/>
      <c r="K2080" s="452"/>
    </row>
    <row r="2081" spans="1:11" s="317" customFormat="1">
      <c r="A2081" s="1467"/>
      <c r="B2081" s="1592" t="s">
        <v>9851</v>
      </c>
      <c r="C2081" s="346">
        <v>21160</v>
      </c>
      <c r="D2081" s="345">
        <f t="shared" ref="D2081" si="290">C2081*(1-VLOOKUP(I2081,descuentos,6,FALSE))*fcl/IF(dol_sol="dólar", TC,1)</f>
        <v>6500.024694708276</v>
      </c>
      <c r="E2081" s="556">
        <v>600</v>
      </c>
      <c r="F2081" s="508">
        <f>ROUNDUP(D2081+E2081,2)</f>
        <v>7100.0300000000007</v>
      </c>
      <c r="G2081" s="351" t="s">
        <v>9852</v>
      </c>
      <c r="H2081" s="518" t="s">
        <v>9853</v>
      </c>
      <c r="I2081" s="452" t="s">
        <v>11565</v>
      </c>
      <c r="J2081" s="369" t="s">
        <v>753</v>
      </c>
      <c r="K2081" s="452" t="s">
        <v>741</v>
      </c>
    </row>
    <row r="2082" spans="1:11" s="317" customFormat="1">
      <c r="A2082" s="1467"/>
      <c r="B2082" s="550" t="s">
        <v>9854</v>
      </c>
      <c r="C2082" s="196">
        <v>4817</v>
      </c>
      <c r="D2082" s="230">
        <f>C2082*(1-VLOOKUP(I2082,descuentos,6,FALSE))*fcl/IF(dol_sol="dólar", TC,1)</f>
        <v>1479.7078900949796</v>
      </c>
      <c r="E2082" s="417">
        <v>50</v>
      </c>
      <c r="F2082" s="511">
        <f>ROUNDUP(D2082+E2082,2)</f>
        <v>1529.71</v>
      </c>
      <c r="G2082" s="314" t="s">
        <v>9855</v>
      </c>
      <c r="H2082" s="518" t="s">
        <v>7161</v>
      </c>
      <c r="I2082" s="452" t="s">
        <v>11565</v>
      </c>
      <c r="J2082" s="369" t="s">
        <v>753</v>
      </c>
      <c r="K2082" s="452" t="s">
        <v>741</v>
      </c>
    </row>
    <row r="2083" spans="1:11" s="317" customFormat="1">
      <c r="A2083" s="1467"/>
      <c r="B2083" s="550" t="s">
        <v>1234</v>
      </c>
      <c r="C2083" s="196">
        <v>538</v>
      </c>
      <c r="D2083" s="230">
        <f t="shared" ref="D2083:D2092" si="291">C2083*(1-VLOOKUP(I2083,descuentos,6,FALSE))*fcl/IF(dol_sol="dólar", TC,1)</f>
        <v>165.26527815468114</v>
      </c>
      <c r="E2083" s="215">
        <v>10</v>
      </c>
      <c r="F2083" s="511">
        <f t="shared" ref="F2083:F2092" si="292">ROUNDUP(D2083+E2083,2)</f>
        <v>175.26999999999998</v>
      </c>
      <c r="G2083" s="518" t="s">
        <v>4972</v>
      </c>
      <c r="H2083" s="518" t="s">
        <v>806</v>
      </c>
      <c r="I2083" s="452" t="s">
        <v>11565</v>
      </c>
      <c r="J2083" s="369" t="s">
        <v>753</v>
      </c>
      <c r="K2083" s="452" t="s">
        <v>741</v>
      </c>
    </row>
    <row r="2084" spans="1:11" s="317" customFormat="1">
      <c r="A2084" s="1467"/>
      <c r="B2084" s="550" t="s">
        <v>1233</v>
      </c>
      <c r="C2084" s="196">
        <v>538</v>
      </c>
      <c r="D2084" s="230">
        <f t="shared" si="291"/>
        <v>165.26527815468114</v>
      </c>
      <c r="E2084" s="215">
        <v>10</v>
      </c>
      <c r="F2084" s="511">
        <f t="shared" si="292"/>
        <v>175.26999999999998</v>
      </c>
      <c r="G2084" s="518" t="s">
        <v>4973</v>
      </c>
      <c r="H2084" s="518" t="s">
        <v>808</v>
      </c>
      <c r="I2084" s="452" t="s">
        <v>11565</v>
      </c>
      <c r="J2084" s="369" t="s">
        <v>753</v>
      </c>
      <c r="K2084" s="452" t="s">
        <v>741</v>
      </c>
    </row>
    <row r="2085" spans="1:11" s="317" customFormat="1">
      <c r="A2085" s="1467"/>
      <c r="B2085" s="550" t="s">
        <v>954</v>
      </c>
      <c r="C2085" s="196">
        <v>3239</v>
      </c>
      <c r="D2085" s="230">
        <f t="shared" si="291"/>
        <v>994.97069877883291</v>
      </c>
      <c r="E2085" s="215">
        <v>15</v>
      </c>
      <c r="F2085" s="511">
        <f t="shared" si="292"/>
        <v>1009.98</v>
      </c>
      <c r="G2085" s="518" t="s">
        <v>1239</v>
      </c>
      <c r="H2085" s="518" t="s">
        <v>952</v>
      </c>
      <c r="I2085" s="452" t="s">
        <v>11565</v>
      </c>
      <c r="J2085" s="369" t="s">
        <v>753</v>
      </c>
      <c r="K2085" s="452" t="s">
        <v>741</v>
      </c>
    </row>
    <row r="2086" spans="1:11" s="317" customFormat="1">
      <c r="A2086" s="1467"/>
      <c r="B2086" s="351" t="s">
        <v>7162</v>
      </c>
      <c r="C2086" s="346">
        <v>729</v>
      </c>
      <c r="D2086" s="345">
        <f t="shared" si="291"/>
        <v>223.93752374491177</v>
      </c>
      <c r="E2086" s="343">
        <f>D2086/8</f>
        <v>27.992190468113971</v>
      </c>
      <c r="F2086" s="508">
        <f t="shared" si="292"/>
        <v>251.92999999999998</v>
      </c>
      <c r="G2086" s="351" t="s">
        <v>7183</v>
      </c>
      <c r="H2086" s="518" t="s">
        <v>7164</v>
      </c>
      <c r="I2086" s="452" t="s">
        <v>11565</v>
      </c>
      <c r="J2086" s="369" t="s">
        <v>753</v>
      </c>
      <c r="K2086" s="452" t="s">
        <v>741</v>
      </c>
    </row>
    <row r="2087" spans="1:11" s="317" customFormat="1">
      <c r="A2087" s="1467"/>
      <c r="B2087" s="351" t="s">
        <v>7165</v>
      </c>
      <c r="C2087" s="346">
        <v>334</v>
      </c>
      <c r="D2087" s="345">
        <f t="shared" si="291"/>
        <v>102.59963364993216</v>
      </c>
      <c r="E2087" s="343">
        <f>D2087/8</f>
        <v>12.82495420624152</v>
      </c>
      <c r="F2087" s="508">
        <f t="shared" si="292"/>
        <v>115.43</v>
      </c>
      <c r="G2087" s="351" t="s">
        <v>7184</v>
      </c>
      <c r="H2087" s="518" t="s">
        <v>7167</v>
      </c>
      <c r="I2087" s="452" t="s">
        <v>11565</v>
      </c>
      <c r="J2087" s="369" t="s">
        <v>753</v>
      </c>
      <c r="K2087" s="452" t="s">
        <v>741</v>
      </c>
    </row>
    <row r="2088" spans="1:11" s="317" customFormat="1">
      <c r="A2088" s="1467"/>
      <c r="B2088" s="351" t="s">
        <v>7168</v>
      </c>
      <c r="C2088" s="346">
        <v>633</v>
      </c>
      <c r="D2088" s="345">
        <f t="shared" si="291"/>
        <v>194.44780868385348</v>
      </c>
      <c r="E2088" s="343">
        <f>D2088/8</f>
        <v>24.305976085481685</v>
      </c>
      <c r="F2088" s="508">
        <f t="shared" si="292"/>
        <v>218.76</v>
      </c>
      <c r="G2088" s="351" t="s">
        <v>7169</v>
      </c>
      <c r="H2088" s="518" t="s">
        <v>7170</v>
      </c>
      <c r="I2088" s="452" t="s">
        <v>11565</v>
      </c>
      <c r="J2088" s="369" t="s">
        <v>753</v>
      </c>
      <c r="K2088" s="452" t="s">
        <v>741</v>
      </c>
    </row>
    <row r="2089" spans="1:11" s="317" customFormat="1">
      <c r="A2089" s="1467"/>
      <c r="B2089" s="351" t="s">
        <v>7171</v>
      </c>
      <c r="C2089" s="346">
        <v>110</v>
      </c>
      <c r="D2089" s="345">
        <f t="shared" si="291"/>
        <v>33.790298507462687</v>
      </c>
      <c r="E2089" s="343">
        <f>D2089/8</f>
        <v>4.2237873134328359</v>
      </c>
      <c r="F2089" s="508">
        <f t="shared" si="292"/>
        <v>38.019999999999996</v>
      </c>
      <c r="G2089" s="351" t="s">
        <v>7172</v>
      </c>
      <c r="H2089" s="518" t="s">
        <v>7173</v>
      </c>
      <c r="I2089" s="452" t="s">
        <v>11565</v>
      </c>
      <c r="J2089" s="369" t="s">
        <v>753</v>
      </c>
      <c r="K2089" s="452" t="s">
        <v>741</v>
      </c>
    </row>
    <row r="2090" spans="1:11" s="317" customFormat="1">
      <c r="A2090" s="1467"/>
      <c r="B2090" s="559" t="s">
        <v>2755</v>
      </c>
      <c r="C2090" s="560">
        <v>510</v>
      </c>
      <c r="D2090" s="229">
        <f t="shared" si="291"/>
        <v>156.66411126187245</v>
      </c>
      <c r="E2090" s="215">
        <v>80</v>
      </c>
      <c r="F2090" s="561">
        <f t="shared" si="292"/>
        <v>236.67</v>
      </c>
      <c r="G2090" s="518" t="s">
        <v>2763</v>
      </c>
      <c r="H2090" s="518" t="s">
        <v>2372</v>
      </c>
      <c r="I2090" s="452" t="s">
        <v>11565</v>
      </c>
      <c r="J2090" s="369" t="s">
        <v>753</v>
      </c>
      <c r="K2090" s="452" t="s">
        <v>741</v>
      </c>
    </row>
    <row r="2091" spans="1:11" s="317" customFormat="1">
      <c r="A2091" s="1467"/>
      <c r="B2091" s="563" t="s">
        <v>2778</v>
      </c>
      <c r="C2091" s="560">
        <v>1369</v>
      </c>
      <c r="D2091" s="229">
        <f t="shared" si="291"/>
        <v>420.5356241519674</v>
      </c>
      <c r="E2091" s="215">
        <v>20</v>
      </c>
      <c r="F2091" s="561">
        <f t="shared" si="292"/>
        <v>440.53999999999996</v>
      </c>
      <c r="G2091" s="566" t="s">
        <v>2780</v>
      </c>
      <c r="H2091" s="518" t="s">
        <v>2381</v>
      </c>
      <c r="I2091" s="452" t="s">
        <v>11565</v>
      </c>
      <c r="J2091" s="369" t="s">
        <v>753</v>
      </c>
      <c r="K2091" s="452" t="s">
        <v>741</v>
      </c>
    </row>
    <row r="2092" spans="1:11" s="317" customFormat="1">
      <c r="A2092" s="1467"/>
      <c r="B2092" s="565" t="s">
        <v>2779</v>
      </c>
      <c r="C2092" s="560">
        <v>1443</v>
      </c>
      <c r="D2092" s="229">
        <f t="shared" si="291"/>
        <v>443.26727951153322</v>
      </c>
      <c r="E2092" s="215">
        <v>20</v>
      </c>
      <c r="F2092" s="561">
        <f t="shared" si="292"/>
        <v>463.27</v>
      </c>
      <c r="G2092" s="566" t="s">
        <v>2781</v>
      </c>
      <c r="H2092" s="518" t="s">
        <v>2774</v>
      </c>
      <c r="I2092" s="452" t="s">
        <v>11565</v>
      </c>
      <c r="J2092" s="369" t="s">
        <v>753</v>
      </c>
      <c r="K2092" s="452" t="s">
        <v>741</v>
      </c>
    </row>
    <row r="2093" spans="1:11" s="20" customFormat="1" ht="12" customHeight="1">
      <c r="A2093" s="558"/>
      <c r="B2093" s="566"/>
      <c r="C2093" s="560" t="s">
        <v>2024</v>
      </c>
      <c r="D2093" s="229"/>
      <c r="E2093" s="215"/>
      <c r="F2093" s="561"/>
      <c r="G2093" s="314"/>
      <c r="H2093" s="566"/>
      <c r="I2093" s="562"/>
      <c r="J2093" s="558"/>
      <c r="K2093" s="562"/>
    </row>
    <row r="2094" spans="1:11" s="120" customFormat="1" ht="12" customHeight="1">
      <c r="A2094" s="558"/>
      <c r="B2094" s="566"/>
      <c r="C2094" s="560" t="s">
        <v>2024</v>
      </c>
      <c r="D2094" s="229"/>
      <c r="E2094" s="215"/>
      <c r="F2094" s="561"/>
      <c r="G2094" s="314"/>
      <c r="H2094" s="566"/>
      <c r="I2094" s="562"/>
      <c r="J2094" s="558"/>
      <c r="K2094" s="562"/>
    </row>
    <row r="2095" spans="1:11" s="120" customFormat="1" ht="12" customHeight="1">
      <c r="A2095" s="558"/>
      <c r="B2095" s="566"/>
      <c r="C2095" s="560" t="s">
        <v>2024</v>
      </c>
      <c r="D2095" s="229"/>
      <c r="E2095" s="215"/>
      <c r="F2095" s="561"/>
      <c r="G2095" s="314"/>
      <c r="H2095" s="566"/>
      <c r="I2095" s="562"/>
      <c r="J2095" s="558"/>
      <c r="K2095" s="562"/>
    </row>
    <row r="2096" spans="1:11" s="120" customFormat="1" ht="12" customHeight="1">
      <c r="A2096" s="558"/>
      <c r="B2096" s="566"/>
      <c r="C2096" s="560" t="s">
        <v>2024</v>
      </c>
      <c r="D2096" s="229"/>
      <c r="E2096" s="215"/>
      <c r="F2096" s="561"/>
      <c r="G2096" s="314"/>
      <c r="H2096" s="566"/>
      <c r="I2096" s="562"/>
      <c r="J2096" s="558"/>
      <c r="K2096" s="562"/>
    </row>
    <row r="2097" spans="1:11" s="102" customFormat="1">
      <c r="B2097" s="1476" t="s">
        <v>7185</v>
      </c>
      <c r="C2097" s="196" t="s">
        <v>2024</v>
      </c>
      <c r="D2097" s="230"/>
      <c r="E2097" s="215"/>
      <c r="F2097" s="511"/>
      <c r="G2097" s="314"/>
      <c r="H2097" s="145"/>
      <c r="I2097" s="452"/>
      <c r="J2097" s="515"/>
      <c r="K2097" s="452"/>
    </row>
    <row r="2098" spans="1:11" s="102" customFormat="1">
      <c r="B2098" s="1477" t="s">
        <v>7186</v>
      </c>
      <c r="C2098" s="196" t="s">
        <v>2024</v>
      </c>
      <c r="D2098" s="230"/>
      <c r="E2098" s="215"/>
      <c r="F2098" s="511"/>
      <c r="G2098" s="314"/>
      <c r="H2098" s="145"/>
      <c r="I2098" s="452"/>
      <c r="J2098" s="515"/>
      <c r="K2098" s="452"/>
    </row>
    <row r="2099" spans="1:11" s="102" customFormat="1">
      <c r="B2099" s="1477"/>
      <c r="C2099" s="196" t="s">
        <v>2024</v>
      </c>
      <c r="D2099" s="230"/>
      <c r="E2099" s="215"/>
      <c r="F2099" s="511"/>
      <c r="G2099" s="314"/>
      <c r="H2099" s="145"/>
      <c r="I2099" s="452"/>
      <c r="J2099" s="515"/>
      <c r="K2099" s="452"/>
    </row>
    <row r="2100" spans="1:11" s="102" customFormat="1">
      <c r="B2100" s="1477"/>
      <c r="C2100" s="196" t="s">
        <v>2024</v>
      </c>
      <c r="D2100" s="230"/>
      <c r="E2100" s="215"/>
      <c r="F2100" s="511"/>
      <c r="G2100" s="314"/>
      <c r="H2100" s="145"/>
      <c r="I2100" s="452"/>
      <c r="J2100" s="515"/>
      <c r="K2100" s="452"/>
    </row>
    <row r="2101" spans="1:11" s="317" customFormat="1">
      <c r="A2101" s="369"/>
      <c r="B2101" s="314" t="s">
        <v>2227</v>
      </c>
      <c r="C2101" s="196">
        <v>387</v>
      </c>
      <c r="D2101" s="230">
        <f>C2101*(1-VLOOKUP(I2101,descuentos,6,FALSE))*fcl/IF(dol_sol="dólar", TC,1)</f>
        <v>118.88041383989145</v>
      </c>
      <c r="E2101" s="215">
        <f>D2101/8</f>
        <v>14.860051729986431</v>
      </c>
      <c r="F2101" s="511">
        <f>ROUNDUP(D2101+E2101,2)</f>
        <v>133.75</v>
      </c>
      <c r="G2101" s="314" t="s">
        <v>9164</v>
      </c>
      <c r="H2101" s="518" t="s">
        <v>2228</v>
      </c>
      <c r="I2101" s="452" t="s">
        <v>11565</v>
      </c>
      <c r="J2101" s="369" t="s">
        <v>753</v>
      </c>
      <c r="K2101" s="452" t="s">
        <v>741</v>
      </c>
    </row>
    <row r="2102" spans="1:11" s="317" customFormat="1">
      <c r="A2102" s="369"/>
      <c r="B2102" s="314" t="s">
        <v>2231</v>
      </c>
      <c r="C2102" s="196">
        <v>823</v>
      </c>
      <c r="D2102" s="230">
        <f>C2102*(1-VLOOKUP(I2102,descuentos,6,FALSE))*fcl/IF(dol_sol="dólar", TC,1)</f>
        <v>252.81286974219807</v>
      </c>
      <c r="E2102" s="215">
        <f>D2102/8</f>
        <v>31.601608717774759</v>
      </c>
      <c r="F2102" s="511">
        <f>ROUNDUP(D2102+E2102,2)</f>
        <v>284.42</v>
      </c>
      <c r="G2102" s="314" t="s">
        <v>9165</v>
      </c>
      <c r="H2102" s="518" t="s">
        <v>2232</v>
      </c>
      <c r="I2102" s="452" t="s">
        <v>11565</v>
      </c>
      <c r="J2102" s="369" t="s">
        <v>753</v>
      </c>
      <c r="K2102" s="452" t="s">
        <v>741</v>
      </c>
    </row>
    <row r="2103" spans="1:11" s="317" customFormat="1">
      <c r="A2103" s="369"/>
      <c r="B2103" s="314"/>
      <c r="C2103" s="196" t="s">
        <v>2024</v>
      </c>
      <c r="D2103" s="230"/>
      <c r="E2103" s="215"/>
      <c r="F2103" s="511"/>
      <c r="G2103" s="314"/>
      <c r="H2103" s="518"/>
      <c r="I2103" s="452"/>
      <c r="J2103" s="369"/>
      <c r="K2103" s="452"/>
    </row>
    <row r="2104" spans="1:11" s="317" customFormat="1">
      <c r="A2104" s="369"/>
      <c r="B2104" s="351" t="s">
        <v>2229</v>
      </c>
      <c r="C2104" s="346">
        <v>501</v>
      </c>
      <c r="D2104" s="230">
        <f>C2104*(1-VLOOKUP(I2104,descuentos,6,FALSE))*fcl/IF(dol_sol="dólar", TC,1)</f>
        <v>153.8994504748982</v>
      </c>
      <c r="E2104" s="215">
        <f>D2104/8</f>
        <v>19.237431309362275</v>
      </c>
      <c r="F2104" s="511">
        <f>ROUNDUP(D2104+E2104,2)</f>
        <v>173.14</v>
      </c>
      <c r="G2104" s="351" t="s">
        <v>9166</v>
      </c>
      <c r="H2104" s="518" t="s">
        <v>2230</v>
      </c>
      <c r="I2104" s="452" t="s">
        <v>11565</v>
      </c>
      <c r="J2104" s="369" t="s">
        <v>753</v>
      </c>
      <c r="K2104" s="452" t="s">
        <v>741</v>
      </c>
    </row>
    <row r="2105" spans="1:11" s="317" customFormat="1">
      <c r="A2105" s="369"/>
      <c r="B2105" s="351" t="s">
        <v>2233</v>
      </c>
      <c r="C2105" s="346">
        <v>1071</v>
      </c>
      <c r="D2105" s="230">
        <f>C2105*(1-VLOOKUP(I2105,descuentos,6,FALSE))*fcl/IF(dol_sol="dólar", TC,1)</f>
        <v>328.99463364993215</v>
      </c>
      <c r="E2105" s="215">
        <f>D2105/8</f>
        <v>41.124329206241519</v>
      </c>
      <c r="F2105" s="511">
        <f>ROUNDUP(D2105+E2105,2)</f>
        <v>370.12</v>
      </c>
      <c r="G2105" s="351" t="s">
        <v>9167</v>
      </c>
      <c r="H2105" s="518" t="s">
        <v>2234</v>
      </c>
      <c r="I2105" s="452" t="s">
        <v>11565</v>
      </c>
      <c r="J2105" s="369" t="s">
        <v>753</v>
      </c>
      <c r="K2105" s="452" t="s">
        <v>741</v>
      </c>
    </row>
    <row r="2106" spans="1:11" s="317" customFormat="1">
      <c r="A2106" s="369"/>
      <c r="B2106" s="314"/>
      <c r="C2106" s="196" t="s">
        <v>2024</v>
      </c>
      <c r="D2106" s="230"/>
      <c r="E2106" s="215"/>
      <c r="F2106" s="511"/>
      <c r="G2106" s="314"/>
      <c r="H2106" s="518"/>
      <c r="I2106" s="452"/>
      <c r="J2106" s="369"/>
      <c r="K2106" s="452"/>
    </row>
    <row r="2107" spans="1:11" s="317" customFormat="1">
      <c r="A2107" s="369"/>
      <c r="B2107" s="314" t="s">
        <v>10185</v>
      </c>
      <c r="C2107" s="196">
        <v>2347</v>
      </c>
      <c r="D2107" s="230">
        <f>C2107*(1-VLOOKUP(I2107,descuentos,6,FALSE))*fcl/IF(dol_sol="dólar", TC,1)</f>
        <v>720.96209633649926</v>
      </c>
      <c r="E2107" s="215">
        <f>D2107/8</f>
        <v>90.120262042062407</v>
      </c>
      <c r="F2107" s="511">
        <f>ROUNDUP(D2107+E2107,2)</f>
        <v>811.09</v>
      </c>
      <c r="G2107" s="314" t="s">
        <v>9169</v>
      </c>
      <c r="H2107" s="518" t="s">
        <v>9170</v>
      </c>
      <c r="I2107" s="452" t="s">
        <v>11565</v>
      </c>
      <c r="J2107" s="369" t="s">
        <v>753</v>
      </c>
      <c r="K2107" s="452" t="s">
        <v>741</v>
      </c>
    </row>
    <row r="2108" spans="1:11" s="317" customFormat="1">
      <c r="A2108" s="369"/>
      <c r="B2108" s="314" t="s">
        <v>7187</v>
      </c>
      <c r="C2108" s="196">
        <v>2607</v>
      </c>
      <c r="D2108" s="230">
        <f t="shared" ref="D2108:D2115" si="293">C2108*(1-VLOOKUP(I2108,descuentos,6,FALSE))*fcl/IF(dol_sol="dólar", TC,1)</f>
        <v>800.83007462686567</v>
      </c>
      <c r="E2108" s="215">
        <f t="shared" ref="E2108:E2115" si="294">D2108/8</f>
        <v>100.10375932835821</v>
      </c>
      <c r="F2108" s="511">
        <f t="shared" ref="F2108:F2115" si="295">ROUNDUP(D2108+E2108,2)</f>
        <v>900.93999999999994</v>
      </c>
      <c r="G2108" s="314" t="s">
        <v>7188</v>
      </c>
      <c r="H2108" s="518" t="s">
        <v>7189</v>
      </c>
      <c r="I2108" s="452" t="s">
        <v>11565</v>
      </c>
      <c r="J2108" s="369" t="s">
        <v>753</v>
      </c>
      <c r="K2108" s="452" t="s">
        <v>741</v>
      </c>
    </row>
    <row r="2109" spans="1:11" s="317" customFormat="1">
      <c r="A2109" s="369"/>
      <c r="B2109" s="314" t="s">
        <v>7190</v>
      </c>
      <c r="C2109" s="196">
        <v>3003</v>
      </c>
      <c r="D2109" s="230">
        <f t="shared" si="293"/>
        <v>922.47514925373127</v>
      </c>
      <c r="E2109" s="215">
        <f t="shared" si="294"/>
        <v>115.30939365671641</v>
      </c>
      <c r="F2109" s="511">
        <f t="shared" si="295"/>
        <v>1037.79</v>
      </c>
      <c r="G2109" s="314" t="s">
        <v>7191</v>
      </c>
      <c r="H2109" s="518" t="s">
        <v>7192</v>
      </c>
      <c r="I2109" s="452" t="s">
        <v>11565</v>
      </c>
      <c r="J2109" s="369" t="s">
        <v>753</v>
      </c>
      <c r="K2109" s="452" t="s">
        <v>741</v>
      </c>
    </row>
    <row r="2110" spans="1:11" s="317" customFormat="1">
      <c r="A2110" s="369"/>
      <c r="B2110" s="314" t="s">
        <v>7193</v>
      </c>
      <c r="C2110" s="196">
        <v>2831</v>
      </c>
      <c r="D2110" s="230">
        <f t="shared" si="293"/>
        <v>869.63940976933509</v>
      </c>
      <c r="E2110" s="215">
        <f t="shared" si="294"/>
        <v>108.70492622116689</v>
      </c>
      <c r="F2110" s="511">
        <f t="shared" si="295"/>
        <v>978.35</v>
      </c>
      <c r="G2110" s="314" t="s">
        <v>7194</v>
      </c>
      <c r="H2110" s="518" t="s">
        <v>7195</v>
      </c>
      <c r="I2110" s="452" t="s">
        <v>11565</v>
      </c>
      <c r="J2110" s="369" t="s">
        <v>753</v>
      </c>
      <c r="K2110" s="452" t="s">
        <v>741</v>
      </c>
    </row>
    <row r="2111" spans="1:11" s="317" customFormat="1">
      <c r="A2111" s="369"/>
      <c r="B2111" s="314" t="s">
        <v>7196</v>
      </c>
      <c r="C2111" s="196">
        <v>4330</v>
      </c>
      <c r="D2111" s="230">
        <f t="shared" si="293"/>
        <v>1330.1090230664859</v>
      </c>
      <c r="E2111" s="215">
        <f t="shared" si="294"/>
        <v>166.26362788331073</v>
      </c>
      <c r="F2111" s="511">
        <f t="shared" si="295"/>
        <v>1496.3799999999999</v>
      </c>
      <c r="G2111" s="314" t="s">
        <v>7197</v>
      </c>
      <c r="H2111" s="518" t="s">
        <v>7198</v>
      </c>
      <c r="I2111" s="452" t="s">
        <v>11565</v>
      </c>
      <c r="J2111" s="369" t="s">
        <v>753</v>
      </c>
      <c r="K2111" s="452" t="s">
        <v>741</v>
      </c>
    </row>
    <row r="2112" spans="1:11" s="317" customFormat="1">
      <c r="A2112" s="369"/>
      <c r="B2112" s="314" t="s">
        <v>7199</v>
      </c>
      <c r="C2112" s="196">
        <v>4531</v>
      </c>
      <c r="D2112" s="230">
        <f t="shared" si="293"/>
        <v>1391.8531139755767</v>
      </c>
      <c r="E2112" s="215">
        <f t="shared" si="294"/>
        <v>173.98163924694708</v>
      </c>
      <c r="F2112" s="511">
        <f t="shared" si="295"/>
        <v>1565.84</v>
      </c>
      <c r="G2112" s="314" t="s">
        <v>7200</v>
      </c>
      <c r="H2112" s="518" t="s">
        <v>7201</v>
      </c>
      <c r="I2112" s="452" t="s">
        <v>11565</v>
      </c>
      <c r="J2112" s="369" t="s">
        <v>753</v>
      </c>
      <c r="K2112" s="452" t="s">
        <v>741</v>
      </c>
    </row>
    <row r="2113" spans="1:11" s="317" customFormat="1">
      <c r="A2113" s="369"/>
      <c r="B2113" s="314" t="s">
        <v>7202</v>
      </c>
      <c r="C2113" s="196">
        <v>4947</v>
      </c>
      <c r="D2113" s="230">
        <f t="shared" si="293"/>
        <v>1519.6418792401628</v>
      </c>
      <c r="E2113" s="215">
        <f t="shared" si="294"/>
        <v>189.95523490502035</v>
      </c>
      <c r="F2113" s="511">
        <f t="shared" si="295"/>
        <v>1709.6</v>
      </c>
      <c r="G2113" s="314" t="s">
        <v>7203</v>
      </c>
      <c r="H2113" s="518" t="s">
        <v>7204</v>
      </c>
      <c r="I2113" s="452" t="s">
        <v>11565</v>
      </c>
      <c r="J2113" s="369" t="s">
        <v>753</v>
      </c>
      <c r="K2113" s="452" t="s">
        <v>741</v>
      </c>
    </row>
    <row r="2114" spans="1:11" s="317" customFormat="1">
      <c r="A2114" s="369"/>
      <c r="B2114" s="314" t="s">
        <v>7205</v>
      </c>
      <c r="C2114" s="196">
        <v>5854</v>
      </c>
      <c r="D2114" s="230">
        <f t="shared" si="293"/>
        <v>1798.258249660787</v>
      </c>
      <c r="E2114" s="215">
        <f t="shared" si="294"/>
        <v>224.78228120759837</v>
      </c>
      <c r="F2114" s="511">
        <f t="shared" si="295"/>
        <v>2023.05</v>
      </c>
      <c r="G2114" s="314" t="s">
        <v>7206</v>
      </c>
      <c r="H2114" s="518" t="s">
        <v>7207</v>
      </c>
      <c r="I2114" s="452" t="s">
        <v>11565</v>
      </c>
      <c r="J2114" s="369" t="s">
        <v>753</v>
      </c>
      <c r="K2114" s="452" t="s">
        <v>741</v>
      </c>
    </row>
    <row r="2115" spans="1:11" s="317" customFormat="1">
      <c r="A2115" s="369"/>
      <c r="B2115" s="314" t="s">
        <v>7208</v>
      </c>
      <c r="C2115" s="196">
        <v>8121</v>
      </c>
      <c r="D2115" s="230">
        <f t="shared" si="293"/>
        <v>2494.6455834464036</v>
      </c>
      <c r="E2115" s="215">
        <f t="shared" si="294"/>
        <v>311.83069793080045</v>
      </c>
      <c r="F2115" s="511">
        <f t="shared" si="295"/>
        <v>2806.48</v>
      </c>
      <c r="G2115" s="314" t="s">
        <v>7209</v>
      </c>
      <c r="H2115" s="518" t="s">
        <v>7210</v>
      </c>
      <c r="I2115" s="452" t="s">
        <v>11565</v>
      </c>
      <c r="J2115" s="369" t="s">
        <v>753</v>
      </c>
      <c r="K2115" s="452" t="s">
        <v>741</v>
      </c>
    </row>
    <row r="2116" spans="1:11" s="317" customFormat="1">
      <c r="A2116" s="369"/>
      <c r="B2116" s="314"/>
      <c r="C2116" s="196" t="s">
        <v>2024</v>
      </c>
      <c r="D2116" s="230"/>
      <c r="E2116" s="215"/>
      <c r="F2116" s="511"/>
      <c r="G2116" s="314"/>
      <c r="H2116" s="518"/>
      <c r="I2116" s="452"/>
      <c r="J2116" s="369"/>
      <c r="K2116" s="452"/>
    </row>
    <row r="2117" spans="1:11" s="317" customFormat="1">
      <c r="A2117" s="369"/>
      <c r="B2117" s="351" t="s">
        <v>9168</v>
      </c>
      <c r="C2117" s="346">
        <v>3051</v>
      </c>
      <c r="D2117" s="345">
        <f t="shared" ref="D2117:D2125" si="296">C2117*(1-VLOOKUP(I2117,descuentos,6,FALSE))*fcl/IF(dol_sol="dólar", TC,1)</f>
        <v>937.22000678426059</v>
      </c>
      <c r="E2117" s="343">
        <f t="shared" ref="E2117:E2125" si="297">D2117/8</f>
        <v>117.15250084803257</v>
      </c>
      <c r="F2117" s="508">
        <f t="shared" ref="F2117:F2125" si="298">ROUNDUP(D2117+E2117,2)</f>
        <v>1054.3799999999999</v>
      </c>
      <c r="G2117" s="351" t="s">
        <v>9171</v>
      </c>
      <c r="H2117" s="506" t="s">
        <v>9172</v>
      </c>
      <c r="I2117" s="452" t="s">
        <v>11565</v>
      </c>
      <c r="J2117" s="369" t="s">
        <v>753</v>
      </c>
      <c r="K2117" s="452" t="s">
        <v>741</v>
      </c>
    </row>
    <row r="2118" spans="1:11" s="317" customFormat="1">
      <c r="A2118" s="369"/>
      <c r="B2118" s="351" t="s">
        <v>7226</v>
      </c>
      <c r="C2118" s="346">
        <v>3389</v>
      </c>
      <c r="D2118" s="345">
        <f t="shared" si="296"/>
        <v>1041.0483785617366</v>
      </c>
      <c r="E2118" s="343">
        <f t="shared" si="297"/>
        <v>130.13104732021708</v>
      </c>
      <c r="F2118" s="508">
        <f t="shared" si="298"/>
        <v>1171.18</v>
      </c>
      <c r="G2118" s="351" t="s">
        <v>7227</v>
      </c>
      <c r="H2118" s="506" t="s">
        <v>7228</v>
      </c>
      <c r="I2118" s="452" t="s">
        <v>11565</v>
      </c>
      <c r="J2118" s="369" t="s">
        <v>753</v>
      </c>
      <c r="K2118" s="452" t="s">
        <v>741</v>
      </c>
    </row>
    <row r="2119" spans="1:11" s="317" customFormat="1">
      <c r="A2119" s="369"/>
      <c r="B2119" s="351" t="s">
        <v>7229</v>
      </c>
      <c r="C2119" s="346">
        <v>3903</v>
      </c>
      <c r="D2119" s="345">
        <f t="shared" si="296"/>
        <v>1198.941227951153</v>
      </c>
      <c r="E2119" s="343">
        <f t="shared" si="297"/>
        <v>149.86765349389412</v>
      </c>
      <c r="F2119" s="508">
        <f t="shared" si="298"/>
        <v>1348.81</v>
      </c>
      <c r="G2119" s="351" t="s">
        <v>7230</v>
      </c>
      <c r="H2119" s="506" t="s">
        <v>7231</v>
      </c>
      <c r="I2119" s="452" t="s">
        <v>11565</v>
      </c>
      <c r="J2119" s="369" t="s">
        <v>753</v>
      </c>
      <c r="K2119" s="452" t="s">
        <v>741</v>
      </c>
    </row>
    <row r="2120" spans="1:11" s="317" customFormat="1">
      <c r="A2120" s="369"/>
      <c r="B2120" s="351" t="s">
        <v>7232</v>
      </c>
      <c r="C2120" s="346">
        <v>3540</v>
      </c>
      <c r="D2120" s="345">
        <f t="shared" si="296"/>
        <v>1087.4332428765263</v>
      </c>
      <c r="E2120" s="343">
        <f t="shared" si="297"/>
        <v>135.92915535956578</v>
      </c>
      <c r="F2120" s="508">
        <f t="shared" si="298"/>
        <v>1223.3699999999999</v>
      </c>
      <c r="G2120" s="351" t="s">
        <v>7233</v>
      </c>
      <c r="H2120" s="506" t="s">
        <v>7234</v>
      </c>
      <c r="I2120" s="452" t="s">
        <v>11565</v>
      </c>
      <c r="J2120" s="369" t="s">
        <v>753</v>
      </c>
      <c r="K2120" s="452" t="s">
        <v>741</v>
      </c>
    </row>
    <row r="2121" spans="1:11" s="317" customFormat="1">
      <c r="A2121" s="369"/>
      <c r="B2121" s="351" t="s">
        <v>7235</v>
      </c>
      <c r="C2121" s="346">
        <v>5411</v>
      </c>
      <c r="D2121" s="345">
        <f t="shared" si="296"/>
        <v>1662.175502035278</v>
      </c>
      <c r="E2121" s="343">
        <f t="shared" si="297"/>
        <v>207.77193775440975</v>
      </c>
      <c r="F2121" s="508">
        <f t="shared" si="298"/>
        <v>1869.95</v>
      </c>
      <c r="G2121" s="351" t="s">
        <v>7236</v>
      </c>
      <c r="H2121" s="506" t="s">
        <v>7237</v>
      </c>
      <c r="I2121" s="452" t="s">
        <v>11565</v>
      </c>
      <c r="J2121" s="369" t="s">
        <v>753</v>
      </c>
      <c r="K2121" s="452" t="s">
        <v>741</v>
      </c>
    </row>
    <row r="2122" spans="1:11" s="317" customFormat="1">
      <c r="A2122" s="369"/>
      <c r="B2122" s="351" t="s">
        <v>7238</v>
      </c>
      <c r="C2122" s="346">
        <v>5663</v>
      </c>
      <c r="D2122" s="345">
        <f t="shared" si="296"/>
        <v>1739.5860040705561</v>
      </c>
      <c r="E2122" s="343">
        <f t="shared" si="297"/>
        <v>217.44825050881951</v>
      </c>
      <c r="F2122" s="508">
        <f t="shared" si="298"/>
        <v>1957.04</v>
      </c>
      <c r="G2122" s="351" t="s">
        <v>7239</v>
      </c>
      <c r="H2122" s="506" t="s">
        <v>7240</v>
      </c>
      <c r="I2122" s="452" t="s">
        <v>11565</v>
      </c>
      <c r="J2122" s="369" t="s">
        <v>753</v>
      </c>
      <c r="K2122" s="452" t="s">
        <v>741</v>
      </c>
    </row>
    <row r="2123" spans="1:11" s="317" customFormat="1">
      <c r="A2123" s="369"/>
      <c r="B2123" s="351" t="s">
        <v>7241</v>
      </c>
      <c r="C2123" s="346">
        <v>6330</v>
      </c>
      <c r="D2123" s="345">
        <f t="shared" si="296"/>
        <v>1944.4780868385344</v>
      </c>
      <c r="E2123" s="343">
        <f t="shared" si="297"/>
        <v>243.0597608548168</v>
      </c>
      <c r="F2123" s="508">
        <f t="shared" si="298"/>
        <v>2187.5400000000004</v>
      </c>
      <c r="G2123" s="351" t="s">
        <v>7242</v>
      </c>
      <c r="H2123" s="506" t="s">
        <v>7243</v>
      </c>
      <c r="I2123" s="452" t="s">
        <v>11565</v>
      </c>
      <c r="J2123" s="369" t="s">
        <v>753</v>
      </c>
      <c r="K2123" s="452" t="s">
        <v>741</v>
      </c>
    </row>
    <row r="2124" spans="1:11" s="317" customFormat="1">
      <c r="A2124" s="369"/>
      <c r="B2124" s="351" t="s">
        <v>7244</v>
      </c>
      <c r="C2124" s="346">
        <v>7493</v>
      </c>
      <c r="D2124" s="345">
        <f t="shared" si="296"/>
        <v>2301.7336974219807</v>
      </c>
      <c r="E2124" s="343">
        <f t="shared" si="297"/>
        <v>287.71671217774758</v>
      </c>
      <c r="F2124" s="508">
        <f t="shared" si="298"/>
        <v>2589.46</v>
      </c>
      <c r="G2124" s="351" t="s">
        <v>7245</v>
      </c>
      <c r="H2124" s="506" t="s">
        <v>7246</v>
      </c>
      <c r="I2124" s="452" t="s">
        <v>11565</v>
      </c>
      <c r="J2124" s="369" t="s">
        <v>753</v>
      </c>
      <c r="K2124" s="452" t="s">
        <v>741</v>
      </c>
    </row>
    <row r="2125" spans="1:11" s="317" customFormat="1">
      <c r="A2125" s="369"/>
      <c r="B2125" s="351" t="s">
        <v>7247</v>
      </c>
      <c r="C2125" s="346">
        <v>10394</v>
      </c>
      <c r="D2125" s="345">
        <f t="shared" si="296"/>
        <v>3192.8760244233381</v>
      </c>
      <c r="E2125" s="343">
        <f t="shared" si="297"/>
        <v>399.10950305291726</v>
      </c>
      <c r="F2125" s="508">
        <f t="shared" si="298"/>
        <v>3591.9900000000002</v>
      </c>
      <c r="G2125" s="351" t="s">
        <v>7248</v>
      </c>
      <c r="H2125" s="506" t="s">
        <v>7249</v>
      </c>
      <c r="I2125" s="452" t="s">
        <v>11565</v>
      </c>
      <c r="J2125" s="369" t="s">
        <v>753</v>
      </c>
      <c r="K2125" s="452" t="s">
        <v>741</v>
      </c>
    </row>
    <row r="2126" spans="1:11" s="317" customFormat="1">
      <c r="A2126" s="369"/>
      <c r="B2126" s="314"/>
      <c r="C2126" s="196" t="s">
        <v>2024</v>
      </c>
      <c r="D2126" s="230"/>
      <c r="E2126" s="215"/>
      <c r="F2126" s="511"/>
      <c r="G2126" s="314"/>
      <c r="H2126" s="518"/>
      <c r="I2126" s="452"/>
      <c r="J2126" s="369"/>
      <c r="K2126" s="452"/>
    </row>
    <row r="2127" spans="1:11" s="317" customFormat="1">
      <c r="A2127" s="369"/>
      <c r="B2127" s="314" t="s">
        <v>7211</v>
      </c>
      <c r="C2127" s="196">
        <v>11780</v>
      </c>
      <c r="D2127" s="230">
        <f>C2127*(1-VLOOKUP(I2127,descuentos,6,FALSE))*fcl/IF(dol_sol="dólar", TC,1)</f>
        <v>3618.6337856173677</v>
      </c>
      <c r="E2127" s="215">
        <f>D2127/8</f>
        <v>452.32922320217097</v>
      </c>
      <c r="F2127" s="511">
        <f>ROUNDUP(D2127+E2127,2)</f>
        <v>4070.9700000000003</v>
      </c>
      <c r="G2127" s="314" t="s">
        <v>7212</v>
      </c>
      <c r="H2127" s="518" t="s">
        <v>7213</v>
      </c>
      <c r="I2127" s="452" t="s">
        <v>11565</v>
      </c>
      <c r="J2127" s="369" t="s">
        <v>753</v>
      </c>
      <c r="K2127" s="452" t="s">
        <v>741</v>
      </c>
    </row>
    <row r="2128" spans="1:11" s="317" customFormat="1">
      <c r="A2128" s="369"/>
      <c r="B2128" s="314"/>
      <c r="C2128" s="196" t="s">
        <v>2024</v>
      </c>
      <c r="D2128" s="230"/>
      <c r="E2128" s="215"/>
      <c r="F2128" s="511"/>
      <c r="G2128" s="314"/>
      <c r="H2128" s="518"/>
      <c r="I2128" s="452"/>
      <c r="J2128" s="369"/>
      <c r="K2128" s="452"/>
    </row>
    <row r="2129" spans="1:11" s="317" customFormat="1">
      <c r="A2129" s="369"/>
      <c r="B2129" s="314" t="s">
        <v>7214</v>
      </c>
      <c r="C2129" s="196">
        <v>15957</v>
      </c>
      <c r="D2129" s="230">
        <f>C2129*(1-VLOOKUP(I2129,descuentos,6,FALSE))*fcl/IF(dol_sol="dólar", TC,1)</f>
        <v>4901.7435753052905</v>
      </c>
      <c r="E2129" s="215">
        <f>D2129/8</f>
        <v>612.71794691316131</v>
      </c>
      <c r="F2129" s="511">
        <f>ROUNDUP(D2129+E2129,2)</f>
        <v>5514.47</v>
      </c>
      <c r="G2129" s="314" t="s">
        <v>7215</v>
      </c>
      <c r="H2129" s="518" t="s">
        <v>7216</v>
      </c>
      <c r="I2129" s="452" t="s">
        <v>11565</v>
      </c>
      <c r="J2129" s="369" t="s">
        <v>753</v>
      </c>
      <c r="K2129" s="452" t="s">
        <v>741</v>
      </c>
    </row>
    <row r="2130" spans="1:11" s="317" customFormat="1">
      <c r="A2130" s="369"/>
      <c r="B2130" s="314" t="s">
        <v>7217</v>
      </c>
      <c r="C2130" s="196">
        <v>21348</v>
      </c>
      <c r="D2130" s="230">
        <f>C2130*(1-VLOOKUP(I2130,descuentos,6,FALSE))*fcl/IF(dol_sol="dólar", TC,1)</f>
        <v>6557.7753867028487</v>
      </c>
      <c r="E2130" s="215">
        <f>D2130/8</f>
        <v>819.72192333785608</v>
      </c>
      <c r="F2130" s="511">
        <f>ROUNDUP(D2130+E2130,2)</f>
        <v>7377.5</v>
      </c>
      <c r="G2130" s="314" t="s">
        <v>7218</v>
      </c>
      <c r="H2130" s="518" t="s">
        <v>7219</v>
      </c>
      <c r="I2130" s="452" t="s">
        <v>11565</v>
      </c>
      <c r="J2130" s="369" t="s">
        <v>753</v>
      </c>
      <c r="K2130" s="452" t="s">
        <v>741</v>
      </c>
    </row>
    <row r="2131" spans="1:11" s="317" customFormat="1">
      <c r="A2131" s="369"/>
      <c r="B2131" s="314"/>
      <c r="C2131" s="196" t="s">
        <v>2024</v>
      </c>
      <c r="D2131" s="230"/>
      <c r="E2131" s="215"/>
      <c r="F2131" s="511"/>
      <c r="G2131" s="314"/>
      <c r="H2131" s="518"/>
      <c r="I2131" s="452"/>
      <c r="J2131" s="369"/>
      <c r="K2131" s="452"/>
    </row>
    <row r="2132" spans="1:11" s="317" customFormat="1">
      <c r="A2132" s="369"/>
      <c r="B2132" s="314" t="s">
        <v>7220</v>
      </c>
      <c r="C2132" s="196">
        <v>18543</v>
      </c>
      <c r="D2132" s="230">
        <f>C2132*(1-VLOOKUP(I2132,descuentos,6,FALSE))*fcl/IF(dol_sol="dólar", TC,1)</f>
        <v>5696.1227747625499</v>
      </c>
      <c r="E2132" s="215">
        <f>D2132/8</f>
        <v>712.01534684531873</v>
      </c>
      <c r="F2132" s="511">
        <f>ROUNDUP(D2132+E2132,2)</f>
        <v>6408.14</v>
      </c>
      <c r="G2132" s="314" t="s">
        <v>7221</v>
      </c>
      <c r="H2132" s="518" t="s">
        <v>7222</v>
      </c>
      <c r="I2132" s="452" t="s">
        <v>11565</v>
      </c>
      <c r="J2132" s="369" t="s">
        <v>753</v>
      </c>
      <c r="K2132" s="452" t="s">
        <v>741</v>
      </c>
    </row>
    <row r="2133" spans="1:11" s="317" customFormat="1">
      <c r="A2133" s="369"/>
      <c r="B2133" s="314" t="s">
        <v>7223</v>
      </c>
      <c r="C2133" s="196">
        <v>25378</v>
      </c>
      <c r="D2133" s="230">
        <f>C2133*(1-VLOOKUP(I2133,descuentos,6,FALSE))*fcl/IF(dol_sol="dólar", TC,1)</f>
        <v>7795.7290502035275</v>
      </c>
      <c r="E2133" s="215">
        <f>D2133/8</f>
        <v>974.46613127544094</v>
      </c>
      <c r="F2133" s="511">
        <f>ROUNDUP(D2133+E2133,2)</f>
        <v>8770.2000000000007</v>
      </c>
      <c r="G2133" s="314" t="s">
        <v>7224</v>
      </c>
      <c r="H2133" s="518" t="s">
        <v>7225</v>
      </c>
      <c r="I2133" s="452" t="s">
        <v>11565</v>
      </c>
      <c r="J2133" s="369" t="s">
        <v>753</v>
      </c>
      <c r="K2133" s="452" t="s">
        <v>741</v>
      </c>
    </row>
    <row r="2134" spans="1:11" s="317" customFormat="1">
      <c r="A2134" s="369"/>
      <c r="B2134" s="314"/>
      <c r="C2134" s="196" t="s">
        <v>2024</v>
      </c>
      <c r="D2134" s="230"/>
      <c r="E2134" s="215"/>
      <c r="F2134" s="511"/>
      <c r="G2134" s="314"/>
      <c r="H2134" s="518"/>
      <c r="I2134" s="452"/>
      <c r="J2134" s="369"/>
      <c r="K2134" s="452"/>
    </row>
    <row r="2135" spans="1:11" s="102" customFormat="1">
      <c r="B2135" s="1477"/>
      <c r="C2135" s="196" t="s">
        <v>2024</v>
      </c>
      <c r="D2135" s="230"/>
      <c r="E2135" s="215"/>
      <c r="F2135" s="511"/>
      <c r="G2135" s="314"/>
      <c r="H2135" s="145"/>
      <c r="I2135" s="452"/>
      <c r="J2135" s="515"/>
      <c r="K2135" s="452"/>
    </row>
    <row r="2136" spans="1:11" s="317" customFormat="1">
      <c r="A2136" s="369"/>
      <c r="B2136" s="351" t="s">
        <v>7250</v>
      </c>
      <c r="C2136" s="346">
        <v>14726</v>
      </c>
      <c r="D2136" s="345">
        <f>C2136*(1-VLOOKUP(I2136,descuentos,6,FALSE))*fcl/IF(dol_sol="dólar", TC,1)</f>
        <v>4523.5994165535958</v>
      </c>
      <c r="E2136" s="343">
        <f>D2136/8</f>
        <v>565.44992706919948</v>
      </c>
      <c r="F2136" s="508">
        <f>ROUNDUP(D2136+E2136,2)</f>
        <v>5089.05</v>
      </c>
      <c r="G2136" s="351" t="s">
        <v>7251</v>
      </c>
      <c r="H2136" s="506" t="s">
        <v>7252</v>
      </c>
      <c r="I2136" s="452" t="s">
        <v>11565</v>
      </c>
      <c r="J2136" s="369" t="s">
        <v>753</v>
      </c>
      <c r="K2136" s="452" t="s">
        <v>741</v>
      </c>
    </row>
    <row r="2137" spans="1:11" s="315" customFormat="1">
      <c r="A2137" s="369"/>
      <c r="B2137" s="314"/>
      <c r="C2137" s="196" t="s">
        <v>2024</v>
      </c>
      <c r="D2137" s="230"/>
      <c r="E2137" s="215"/>
      <c r="F2137" s="511"/>
      <c r="G2137" s="314"/>
      <c r="H2137" s="518"/>
      <c r="I2137" s="452"/>
      <c r="J2137" s="369"/>
      <c r="K2137" s="452"/>
    </row>
    <row r="2138" spans="1:11" s="317" customFormat="1">
      <c r="A2138" s="369"/>
      <c r="B2138" s="351" t="s">
        <v>9173</v>
      </c>
      <c r="C2138" s="346">
        <v>11355</v>
      </c>
      <c r="D2138" s="345">
        <f>C2138*(1-VLOOKUP(I2138,descuentos,6,FALSE))*fcl/IF(dol_sol="dólar", TC,1)</f>
        <v>3488.0803595658072</v>
      </c>
      <c r="E2138" s="343">
        <f>D2138/8</f>
        <v>436.01004494572589</v>
      </c>
      <c r="F2138" s="508">
        <f>ROUNDUP(D2138+E2138,2)</f>
        <v>3924.1000000000004</v>
      </c>
      <c r="G2138" s="351" t="s">
        <v>9174</v>
      </c>
      <c r="H2138" s="506" t="s">
        <v>9175</v>
      </c>
      <c r="I2138" s="452" t="s">
        <v>11565</v>
      </c>
      <c r="J2138" s="369" t="s">
        <v>753</v>
      </c>
      <c r="K2138" s="452" t="s">
        <v>741</v>
      </c>
    </row>
    <row r="2139" spans="1:11" s="317" customFormat="1">
      <c r="A2139" s="369"/>
      <c r="B2139" s="351" t="s">
        <v>9176</v>
      </c>
      <c r="C2139" s="346">
        <v>16863</v>
      </c>
      <c r="D2139" s="345">
        <f>C2139*(1-VLOOKUP(I2139,descuentos,6,FALSE))*fcl/IF(dol_sol="dólar", TC,1)</f>
        <v>5180.0527611940297</v>
      </c>
      <c r="E2139" s="343">
        <f>D2139/8</f>
        <v>647.50659514925371</v>
      </c>
      <c r="F2139" s="508">
        <f>ROUNDUP(D2139+E2139,2)</f>
        <v>5827.56</v>
      </c>
      <c r="G2139" s="351" t="s">
        <v>9177</v>
      </c>
      <c r="H2139" s="506" t="s">
        <v>9178</v>
      </c>
      <c r="I2139" s="452" t="s">
        <v>11565</v>
      </c>
      <c r="J2139" s="369" t="s">
        <v>753</v>
      </c>
      <c r="K2139" s="452" t="s">
        <v>741</v>
      </c>
    </row>
    <row r="2140" spans="1:11" s="317" customFormat="1">
      <c r="A2140" s="369"/>
      <c r="B2140" s="351" t="s">
        <v>7253</v>
      </c>
      <c r="C2140" s="346">
        <v>19947</v>
      </c>
      <c r="D2140" s="345">
        <f>C2140*(1-VLOOKUP(I2140,descuentos,6,FALSE))*fcl/IF(dol_sol="dólar", TC,1)</f>
        <v>6127.4098575305279</v>
      </c>
      <c r="E2140" s="343">
        <f>D2140/8</f>
        <v>765.92623219131599</v>
      </c>
      <c r="F2140" s="508">
        <f>ROUNDUP(D2140+E2140,2)</f>
        <v>6893.34</v>
      </c>
      <c r="G2140" s="351" t="s">
        <v>7254</v>
      </c>
      <c r="H2140" s="506" t="s">
        <v>7255</v>
      </c>
      <c r="I2140" s="452" t="s">
        <v>11565</v>
      </c>
      <c r="J2140" s="369" t="s">
        <v>753</v>
      </c>
      <c r="K2140" s="452" t="s">
        <v>741</v>
      </c>
    </row>
    <row r="2141" spans="1:11" s="317" customFormat="1">
      <c r="A2141" s="369"/>
      <c r="B2141" s="351" t="s">
        <v>7256</v>
      </c>
      <c r="C2141" s="346">
        <v>26684</v>
      </c>
      <c r="D2141" s="345">
        <f>C2141*(1-VLOOKUP(I2141,descuentos,6,FALSE))*fcl/IF(dol_sol="dólar", TC,1)</f>
        <v>8196.912048846676</v>
      </c>
      <c r="E2141" s="343">
        <f>D2141/8</f>
        <v>1024.6140061058345</v>
      </c>
      <c r="F2141" s="508">
        <f>ROUNDUP(D2141+E2141,2)</f>
        <v>9221.5300000000007</v>
      </c>
      <c r="G2141" s="351" t="s">
        <v>7257</v>
      </c>
      <c r="H2141" s="506" t="s">
        <v>7258</v>
      </c>
      <c r="I2141" s="452" t="s">
        <v>11565</v>
      </c>
      <c r="J2141" s="369" t="s">
        <v>753</v>
      </c>
      <c r="K2141" s="452" t="s">
        <v>741</v>
      </c>
    </row>
    <row r="2142" spans="1:11" s="315" customFormat="1">
      <c r="A2142" s="369"/>
      <c r="B2142" s="314"/>
      <c r="C2142" s="196" t="s">
        <v>2024</v>
      </c>
      <c r="D2142" s="230"/>
      <c r="E2142" s="215"/>
      <c r="F2142" s="511"/>
      <c r="G2142" s="314"/>
      <c r="H2142" s="518"/>
      <c r="I2142" s="452"/>
      <c r="J2142" s="369"/>
      <c r="K2142" s="452"/>
    </row>
    <row r="2143" spans="1:11" s="317" customFormat="1">
      <c r="A2143" s="369"/>
      <c r="B2143" s="351" t="s">
        <v>7259</v>
      </c>
      <c r="C2143" s="346">
        <v>23178</v>
      </c>
      <c r="D2143" s="345">
        <f>C2143*(1-VLOOKUP(I2143,descuentos,6,FALSE))*fcl/IF(dol_sol="dólar", TC,1)</f>
        <v>7119.9230800542728</v>
      </c>
      <c r="E2143" s="343">
        <f>D2143/8</f>
        <v>889.99038500678409</v>
      </c>
      <c r="F2143" s="508">
        <f>ROUNDUP(D2143+E2143,2)</f>
        <v>8009.92</v>
      </c>
      <c r="G2143" s="351" t="s">
        <v>7260</v>
      </c>
      <c r="H2143" s="506" t="s">
        <v>7261</v>
      </c>
      <c r="I2143" s="452" t="s">
        <v>11565</v>
      </c>
      <c r="J2143" s="369" t="s">
        <v>753</v>
      </c>
      <c r="K2143" s="452" t="s">
        <v>741</v>
      </c>
    </row>
    <row r="2144" spans="1:11" s="317" customFormat="1">
      <c r="A2144" s="369"/>
      <c r="B2144" s="351" t="s">
        <v>7262</v>
      </c>
      <c r="C2144" s="346">
        <v>31722</v>
      </c>
      <c r="D2144" s="345">
        <f>C2144*(1-VLOOKUP(I2144,descuentos,6,FALSE))*fcl/IF(dol_sol="dólar", TC,1)</f>
        <v>9744.5077204884656</v>
      </c>
      <c r="E2144" s="343">
        <f>D2144/8</f>
        <v>1218.0634650610582</v>
      </c>
      <c r="F2144" s="508">
        <f>ROUNDUP(D2144+E2144,2)</f>
        <v>10962.58</v>
      </c>
      <c r="G2144" s="351" t="s">
        <v>7263</v>
      </c>
      <c r="H2144" s="506" t="s">
        <v>7264</v>
      </c>
      <c r="I2144" s="452" t="s">
        <v>11565</v>
      </c>
      <c r="J2144" s="369" t="s">
        <v>753</v>
      </c>
      <c r="K2144" s="452" t="s">
        <v>741</v>
      </c>
    </row>
    <row r="2145" spans="1:11" s="317" customFormat="1">
      <c r="A2145" s="369"/>
      <c r="B2145" s="314"/>
      <c r="C2145" s="196" t="s">
        <v>2024</v>
      </c>
      <c r="D2145" s="230"/>
      <c r="E2145" s="215"/>
      <c r="F2145" s="511"/>
      <c r="G2145" s="314"/>
      <c r="H2145" s="518"/>
      <c r="I2145" s="452"/>
      <c r="J2145" s="369"/>
      <c r="K2145" s="452"/>
    </row>
    <row r="2146" spans="1:11" s="102" customFormat="1">
      <c r="B2146" s="1476" t="s">
        <v>7185</v>
      </c>
      <c r="C2146" s="196" t="s">
        <v>2024</v>
      </c>
      <c r="D2146" s="230"/>
      <c r="E2146" s="215"/>
      <c r="F2146" s="511"/>
      <c r="G2146" s="314"/>
      <c r="H2146" s="145"/>
      <c r="I2146" s="452"/>
      <c r="J2146" s="515"/>
      <c r="K2146" s="452"/>
    </row>
    <row r="2147" spans="1:11" s="102" customFormat="1">
      <c r="B2147" s="1477"/>
      <c r="C2147" s="196" t="s">
        <v>2024</v>
      </c>
      <c r="D2147" s="230"/>
      <c r="E2147" s="215"/>
      <c r="F2147" s="511"/>
      <c r="G2147" s="314"/>
      <c r="H2147" s="145"/>
      <c r="I2147" s="452"/>
      <c r="J2147" s="515"/>
      <c r="K2147" s="452"/>
    </row>
    <row r="2148" spans="1:11" s="1391" customFormat="1" ht="12" customHeight="1">
      <c r="A2148" s="1384"/>
      <c r="B2148" s="1385"/>
      <c r="C2148" s="1386" t="s">
        <v>2024</v>
      </c>
      <c r="D2148" s="1387"/>
      <c r="E2148" s="1388"/>
      <c r="F2148" s="1389"/>
      <c r="G2148" s="318"/>
      <c r="H2148" s="1385"/>
      <c r="I2148" s="1390"/>
      <c r="J2148" s="1384"/>
      <c r="K2148" s="1390"/>
    </row>
    <row r="2149" spans="1:11" s="20" customFormat="1" ht="12" customHeight="1">
      <c r="A2149" s="558"/>
      <c r="B2149" s="144"/>
      <c r="C2149" s="196" t="s">
        <v>2024</v>
      </c>
      <c r="D2149" s="230"/>
      <c r="E2149" s="219"/>
      <c r="F2149" s="511"/>
      <c r="G2149" s="314"/>
      <c r="H2149" s="518"/>
      <c r="I2149" s="452"/>
      <c r="J2149" s="369"/>
      <c r="K2149" s="452"/>
    </row>
    <row r="2150" spans="1:11" s="20" customFormat="1" ht="12" customHeight="1">
      <c r="A2150" s="558"/>
      <c r="B2150" s="144"/>
      <c r="C2150" s="196" t="s">
        <v>2024</v>
      </c>
      <c r="D2150" s="230"/>
      <c r="E2150" s="219"/>
      <c r="F2150" s="511"/>
      <c r="G2150" s="314"/>
      <c r="H2150" s="518"/>
      <c r="I2150" s="452"/>
      <c r="J2150" s="369"/>
      <c r="K2150" s="452"/>
    </row>
    <row r="2151" spans="1:11">
      <c r="A2151" s="369"/>
      <c r="B2151" s="144" t="s">
        <v>4618</v>
      </c>
      <c r="C2151" s="196">
        <v>158</v>
      </c>
      <c r="D2151" s="230">
        <f>C2151*(1-VLOOKUP(I2151,descuentos,6,FALSE))*fcl/IF(dol_sol="dólar", TC,1)</f>
        <v>48.535156037991861</v>
      </c>
      <c r="E2151" s="215">
        <v>9</v>
      </c>
      <c r="F2151" s="511">
        <f>ROUNDUP(D2151+E2151,2)</f>
        <v>57.54</v>
      </c>
      <c r="G2151" s="314" t="s">
        <v>4619</v>
      </c>
      <c r="H2151" s="518" t="s">
        <v>4620</v>
      </c>
      <c r="I2151" s="452" t="s">
        <v>11565</v>
      </c>
      <c r="J2151" s="369" t="s">
        <v>753</v>
      </c>
      <c r="K2151" s="452" t="s">
        <v>741</v>
      </c>
    </row>
    <row r="2152" spans="1:11" s="1397" customFormat="1">
      <c r="A2152" s="952"/>
      <c r="B2152" s="1377"/>
      <c r="C2152" s="234" t="s">
        <v>2024</v>
      </c>
      <c r="D2152" s="353"/>
      <c r="E2152" s="1396"/>
      <c r="F2152" s="517"/>
      <c r="G2152" s="318"/>
      <c r="H2152" s="1656"/>
      <c r="I2152" s="544"/>
      <c r="J2152" s="952"/>
      <c r="K2152" s="544"/>
    </row>
    <row r="2153" spans="1:11">
      <c r="A2153" s="369"/>
      <c r="B2153" s="144" t="s">
        <v>7265</v>
      </c>
      <c r="C2153" s="196">
        <v>158</v>
      </c>
      <c r="D2153" s="230">
        <f>2.27*fcl</f>
        <v>5.1590909090909083</v>
      </c>
      <c r="E2153" s="215">
        <v>2</v>
      </c>
      <c r="F2153" s="511">
        <f>ROUNDUP(D2153+E2153,2)</f>
        <v>7.16</v>
      </c>
      <c r="G2153" s="314" t="s">
        <v>7266</v>
      </c>
      <c r="H2153" s="518" t="s">
        <v>4620</v>
      </c>
      <c r="I2153" s="452" t="s">
        <v>11565</v>
      </c>
      <c r="J2153" s="369" t="s">
        <v>753</v>
      </c>
      <c r="K2153" s="452" t="s">
        <v>741</v>
      </c>
    </row>
    <row r="2154" spans="1:11" s="1397" customFormat="1">
      <c r="A2154" s="952"/>
      <c r="B2154" s="1377"/>
      <c r="C2154" s="234" t="s">
        <v>2024</v>
      </c>
      <c r="D2154" s="353"/>
      <c r="E2154" s="1396"/>
      <c r="F2154" s="517"/>
      <c r="G2154" s="318"/>
      <c r="H2154" s="1656"/>
      <c r="I2154" s="544"/>
      <c r="J2154" s="952"/>
      <c r="K2154" s="544"/>
    </row>
    <row r="2155" spans="1:11">
      <c r="A2155" s="515"/>
      <c r="B2155" s="518"/>
      <c r="C2155" s="196" t="s">
        <v>2024</v>
      </c>
      <c r="D2155" s="230"/>
      <c r="E2155" s="215"/>
      <c r="F2155" s="511">
        <f t="shared" ref="F2155:F2156" si="299">ROUNDUP(D2155+E2155,2)</f>
        <v>0</v>
      </c>
      <c r="G2155" s="518"/>
      <c r="H2155" s="518"/>
      <c r="I2155" s="452"/>
      <c r="J2155" s="515"/>
      <c r="K2155" s="452"/>
    </row>
    <row r="2156" spans="1:11">
      <c r="A2156" s="369"/>
      <c r="B2156" s="144" t="s">
        <v>9521</v>
      </c>
      <c r="C2156" s="196">
        <v>266</v>
      </c>
      <c r="D2156" s="230">
        <f>C2156*(1-VLOOKUP(I2156,descuentos,6,FALSE))*fcl/IF(dol_sol="dólar", TC,1)</f>
        <v>81.711085481682488</v>
      </c>
      <c r="E2156" s="215">
        <v>6</v>
      </c>
      <c r="F2156" s="511">
        <f t="shared" si="299"/>
        <v>87.72</v>
      </c>
      <c r="G2156" s="314" t="s">
        <v>9522</v>
      </c>
      <c r="H2156" s="518" t="s">
        <v>9523</v>
      </c>
      <c r="I2156" s="452" t="s">
        <v>11565</v>
      </c>
      <c r="J2156" s="369" t="s">
        <v>753</v>
      </c>
      <c r="K2156" s="452" t="s">
        <v>741</v>
      </c>
    </row>
    <row r="2157" spans="1:11">
      <c r="A2157" s="369"/>
      <c r="B2157" s="144"/>
      <c r="C2157" s="196" t="s">
        <v>2024</v>
      </c>
      <c r="D2157" s="230"/>
      <c r="E2157" s="219"/>
      <c r="F2157" s="511"/>
      <c r="G2157" s="314"/>
      <c r="H2157" s="518"/>
      <c r="I2157" s="452"/>
      <c r="J2157" s="369"/>
      <c r="K2157" s="452"/>
    </row>
    <row r="2158" spans="1:11">
      <c r="A2158" s="369"/>
      <c r="B2158" s="144" t="s">
        <v>1514</v>
      </c>
      <c r="C2158" s="196">
        <v>129</v>
      </c>
      <c r="D2158" s="230">
        <f>C2158*(1-VLOOKUP(I2158,descuentos,6,FALSE))*fcl/IF(dol_sol="dólar", TC,1)</f>
        <v>39.626804613297146</v>
      </c>
      <c r="E2158" s="215">
        <v>8</v>
      </c>
      <c r="F2158" s="511">
        <f t="shared" ref="F2158:F2264" si="300">ROUNDUP(D2158+E2158,2)</f>
        <v>47.629999999999995</v>
      </c>
      <c r="G2158" s="314" t="s">
        <v>1520</v>
      </c>
      <c r="H2158" s="518" t="s">
        <v>1515</v>
      </c>
      <c r="I2158" s="452" t="s">
        <v>11565</v>
      </c>
      <c r="J2158" s="369" t="s">
        <v>753</v>
      </c>
      <c r="K2158" s="452" t="s">
        <v>741</v>
      </c>
    </row>
    <row r="2159" spans="1:11">
      <c r="A2159" s="369"/>
      <c r="B2159" s="144" t="s">
        <v>1516</v>
      </c>
      <c r="C2159" s="196">
        <v>261</v>
      </c>
      <c r="D2159" s="230">
        <f>C2159*(1-VLOOKUP(I2159,descuentos,6,FALSE))*fcl/IF(dol_sol="dólar", TC,1)</f>
        <v>80.175162822252361</v>
      </c>
      <c r="E2159" s="215">
        <v>8</v>
      </c>
      <c r="F2159" s="511">
        <f t="shared" si="300"/>
        <v>88.18</v>
      </c>
      <c r="G2159" s="314" t="s">
        <v>1521</v>
      </c>
      <c r="H2159" s="518" t="s">
        <v>1535</v>
      </c>
      <c r="I2159" s="452" t="s">
        <v>11565</v>
      </c>
      <c r="J2159" s="369" t="s">
        <v>753</v>
      </c>
      <c r="K2159" s="452" t="s">
        <v>741</v>
      </c>
    </row>
    <row r="2160" spans="1:11">
      <c r="A2160" s="369"/>
      <c r="B2160" s="144" t="s">
        <v>1517</v>
      </c>
      <c r="C2160" s="196">
        <v>775</v>
      </c>
      <c r="D2160" s="230">
        <f>C2160*(1-VLOOKUP(I2160,descuentos,6,FALSE))*fcl/IF(dol_sol="dólar", TC,1)</f>
        <v>238.0680122116689</v>
      </c>
      <c r="E2160" s="220">
        <v>8</v>
      </c>
      <c r="F2160" s="511">
        <f t="shared" si="300"/>
        <v>246.07</v>
      </c>
      <c r="G2160" s="314" t="s">
        <v>1522</v>
      </c>
      <c r="H2160" s="518" t="s">
        <v>1536</v>
      </c>
      <c r="I2160" s="452" t="s">
        <v>11565</v>
      </c>
      <c r="J2160" s="369" t="s">
        <v>753</v>
      </c>
      <c r="K2160" s="452" t="s">
        <v>741</v>
      </c>
    </row>
    <row r="2161" spans="1:11">
      <c r="A2161" s="369"/>
      <c r="B2161" s="144" t="s">
        <v>1518</v>
      </c>
      <c r="C2161" s="196">
        <v>1086</v>
      </c>
      <c r="D2161" s="230">
        <f>C2161*(1-VLOOKUP(I2161,descuentos,6,FALSE))*fcl/IF(dol_sol="dólar", TC,1)</f>
        <v>333.60240162822248</v>
      </c>
      <c r="E2161" s="215">
        <v>10</v>
      </c>
      <c r="F2161" s="511">
        <f t="shared" si="300"/>
        <v>343.61</v>
      </c>
      <c r="G2161" s="314" t="s">
        <v>1523</v>
      </c>
      <c r="H2161" s="518" t="s">
        <v>1537</v>
      </c>
      <c r="I2161" s="452" t="s">
        <v>11565</v>
      </c>
      <c r="J2161" s="369" t="s">
        <v>753</v>
      </c>
      <c r="K2161" s="452" t="s">
        <v>741</v>
      </c>
    </row>
    <row r="2162" spans="1:11">
      <c r="A2162" s="369"/>
      <c r="B2162" s="144" t="s">
        <v>1519</v>
      </c>
      <c r="C2162" s="196">
        <v>1381</v>
      </c>
      <c r="D2162" s="230">
        <f>C2162*(1-VLOOKUP(I2162,descuentos,6,FALSE))*fcl/IF(dol_sol="dólar", TC,1)</f>
        <v>424.22183853459967</v>
      </c>
      <c r="E2162" s="215">
        <v>10</v>
      </c>
      <c r="F2162" s="511">
        <f t="shared" si="300"/>
        <v>434.23</v>
      </c>
      <c r="G2162" s="314" t="s">
        <v>1524</v>
      </c>
      <c r="H2162" s="518" t="s">
        <v>1538</v>
      </c>
      <c r="I2162" s="452" t="s">
        <v>11565</v>
      </c>
      <c r="J2162" s="369" t="s">
        <v>753</v>
      </c>
      <c r="K2162" s="452" t="s">
        <v>741</v>
      </c>
    </row>
    <row r="2163" spans="1:11">
      <c r="A2163" s="515"/>
      <c r="B2163" s="518"/>
      <c r="C2163" s="196" t="s">
        <v>2024</v>
      </c>
      <c r="D2163" s="230"/>
      <c r="E2163" s="215"/>
      <c r="F2163" s="511">
        <f t="shared" si="300"/>
        <v>0</v>
      </c>
      <c r="G2163" s="518"/>
      <c r="H2163" s="518"/>
      <c r="I2163" s="452"/>
      <c r="J2163" s="515"/>
      <c r="K2163" s="452"/>
    </row>
    <row r="2164" spans="1:11">
      <c r="A2164" s="369"/>
      <c r="B2164" s="144" t="s">
        <v>1526</v>
      </c>
      <c r="C2164" s="196">
        <v>180</v>
      </c>
      <c r="D2164" s="230">
        <f>C2164*(1-VLOOKUP(I2164,descuentos,6,FALSE))*fcl/IF(dol_sol="dólar", TC,1)</f>
        <v>55.293215739484388</v>
      </c>
      <c r="E2164" s="215">
        <v>15</v>
      </c>
      <c r="F2164" s="511">
        <f t="shared" si="300"/>
        <v>70.300000000000011</v>
      </c>
      <c r="G2164" s="314" t="s">
        <v>1527</v>
      </c>
      <c r="H2164" s="518" t="s">
        <v>1539</v>
      </c>
      <c r="I2164" s="452" t="s">
        <v>11565</v>
      </c>
      <c r="J2164" s="369" t="s">
        <v>753</v>
      </c>
      <c r="K2164" s="452" t="s">
        <v>741</v>
      </c>
    </row>
    <row r="2165" spans="1:11">
      <c r="A2165" s="369"/>
      <c r="B2165" s="144" t="s">
        <v>1525</v>
      </c>
      <c r="C2165" s="196">
        <v>368</v>
      </c>
      <c r="D2165" s="230">
        <f>C2165*(1-VLOOKUP(I2165,descuentos,6,FALSE))*fcl/IF(dol_sol="dólar", TC,1)</f>
        <v>113.04390773405697</v>
      </c>
      <c r="E2165" s="215">
        <v>15</v>
      </c>
      <c r="F2165" s="511">
        <f t="shared" si="300"/>
        <v>128.04999999999998</v>
      </c>
      <c r="G2165" s="314" t="s">
        <v>1528</v>
      </c>
      <c r="H2165" s="518" t="s">
        <v>1540</v>
      </c>
      <c r="I2165" s="452" t="s">
        <v>11565</v>
      </c>
      <c r="J2165" s="369" t="s">
        <v>753</v>
      </c>
      <c r="K2165" s="452" t="s">
        <v>741</v>
      </c>
    </row>
    <row r="2166" spans="1:11">
      <c r="A2166" s="369"/>
      <c r="B2166" s="144" t="s">
        <v>1529</v>
      </c>
      <c r="C2166" s="196">
        <v>927</v>
      </c>
      <c r="D2166" s="230">
        <f>C2166*(1-VLOOKUP(I2166,descuentos,6,FALSE))*fcl/IF(dol_sol="dólar", TC,1)</f>
        <v>284.7600610583446</v>
      </c>
      <c r="E2166" s="220">
        <v>15</v>
      </c>
      <c r="F2166" s="511">
        <f t="shared" si="300"/>
        <v>299.77</v>
      </c>
      <c r="G2166" s="314" t="s">
        <v>1530</v>
      </c>
      <c r="H2166" s="518" t="s">
        <v>1541</v>
      </c>
      <c r="I2166" s="452" t="s">
        <v>11565</v>
      </c>
      <c r="J2166" s="369" t="s">
        <v>753</v>
      </c>
      <c r="K2166" s="452" t="s">
        <v>741</v>
      </c>
    </row>
    <row r="2167" spans="1:11">
      <c r="A2167" s="369"/>
      <c r="B2167" s="144" t="s">
        <v>1531</v>
      </c>
      <c r="C2167" s="196">
        <v>1296</v>
      </c>
      <c r="D2167" s="230">
        <f>C2167*(1-VLOOKUP(I2167,descuentos,6,FALSE))*fcl/IF(dol_sol="dólar", TC,1)</f>
        <v>398.11115332428756</v>
      </c>
      <c r="E2167" s="215">
        <v>20</v>
      </c>
      <c r="F2167" s="511">
        <f t="shared" si="300"/>
        <v>418.12</v>
      </c>
      <c r="G2167" s="314" t="s">
        <v>1532</v>
      </c>
      <c r="H2167" s="518" t="s">
        <v>1542</v>
      </c>
      <c r="I2167" s="452" t="s">
        <v>11565</v>
      </c>
      <c r="J2167" s="369" t="s">
        <v>753</v>
      </c>
      <c r="K2167" s="452" t="s">
        <v>741</v>
      </c>
    </row>
    <row r="2168" spans="1:11">
      <c r="A2168" s="369"/>
      <c r="B2168" s="144" t="s">
        <v>1533</v>
      </c>
      <c r="C2168" s="196">
        <v>1655</v>
      </c>
      <c r="D2168" s="230">
        <f>C2168*(1-VLOOKUP(I2168,descuentos,6,FALSE))*fcl/IF(dol_sol="dólar", TC,1)</f>
        <v>508.39040027137042</v>
      </c>
      <c r="E2168" s="215">
        <v>20</v>
      </c>
      <c r="F2168" s="511">
        <f t="shared" si="300"/>
        <v>528.4</v>
      </c>
      <c r="G2168" s="314" t="s">
        <v>1534</v>
      </c>
      <c r="H2168" s="518" t="s">
        <v>1543</v>
      </c>
      <c r="I2168" s="452" t="s">
        <v>11565</v>
      </c>
      <c r="J2168" s="369" t="s">
        <v>753</v>
      </c>
      <c r="K2168" s="452" t="s">
        <v>741</v>
      </c>
    </row>
    <row r="2169" spans="1:11">
      <c r="A2169" s="369"/>
      <c r="B2169" s="144"/>
      <c r="C2169" s="446" t="s">
        <v>2024</v>
      </c>
      <c r="D2169" s="230"/>
      <c r="E2169" s="215"/>
      <c r="F2169" s="511">
        <f t="shared" si="300"/>
        <v>0</v>
      </c>
      <c r="G2169" s="314"/>
      <c r="H2169" s="518"/>
      <c r="I2169" s="452"/>
      <c r="J2169" s="369"/>
      <c r="K2169" s="452"/>
    </row>
    <row r="2170" spans="1:11">
      <c r="A2170" s="369"/>
      <c r="B2170" s="144" t="s">
        <v>11062</v>
      </c>
      <c r="C2170" s="196">
        <v>234</v>
      </c>
      <c r="D2170" s="230">
        <f>C2170*(1-VLOOKUP(I2170,descuentos,6,FALSE))*fcl/IF(dol_sol="dólar", TC,1)</f>
        <v>71.881180461329706</v>
      </c>
      <c r="E2170" s="215">
        <v>15</v>
      </c>
      <c r="F2170" s="511">
        <f t="shared" si="300"/>
        <v>86.89</v>
      </c>
      <c r="G2170" s="314" t="s">
        <v>11063</v>
      </c>
      <c r="H2170" s="518" t="s">
        <v>11064</v>
      </c>
      <c r="I2170" s="452" t="s">
        <v>11565</v>
      </c>
      <c r="J2170" s="369" t="s">
        <v>753</v>
      </c>
      <c r="K2170" s="452" t="s">
        <v>741</v>
      </c>
    </row>
    <row r="2171" spans="1:11">
      <c r="A2171" s="369"/>
      <c r="B2171" s="144" t="s">
        <v>11065</v>
      </c>
      <c r="C2171" s="196">
        <v>521</v>
      </c>
      <c r="D2171" s="230">
        <f>C2171*(1-VLOOKUP(I2171,descuentos,6,FALSE))*fcl/IF(dol_sol="dólar", TC,1)</f>
        <v>160.04314111261871</v>
      </c>
      <c r="E2171" s="215">
        <v>15</v>
      </c>
      <c r="F2171" s="511">
        <f t="shared" si="300"/>
        <v>175.04999999999998</v>
      </c>
      <c r="G2171" s="314" t="s">
        <v>11066</v>
      </c>
      <c r="H2171" s="518" t="s">
        <v>11067</v>
      </c>
      <c r="I2171" s="452" t="s">
        <v>11565</v>
      </c>
      <c r="J2171" s="369" t="s">
        <v>753</v>
      </c>
      <c r="K2171" s="452" t="s">
        <v>741</v>
      </c>
    </row>
    <row r="2172" spans="1:11">
      <c r="A2172" s="369"/>
      <c r="B2172" s="144" t="s">
        <v>11068</v>
      </c>
      <c r="C2172" s="196">
        <v>1765</v>
      </c>
      <c r="D2172" s="230">
        <f>C2172*(1-VLOOKUP(I2172,descuentos,6,FALSE))*fcl/IF(dol_sol="dólar", TC,1)</f>
        <v>542.18069877883306</v>
      </c>
      <c r="E2172" s="220">
        <v>15</v>
      </c>
      <c r="F2172" s="511">
        <f t="shared" si="300"/>
        <v>557.18999999999994</v>
      </c>
      <c r="G2172" s="314" t="s">
        <v>11069</v>
      </c>
      <c r="H2172" s="518" t="s">
        <v>11070</v>
      </c>
      <c r="I2172" s="452" t="s">
        <v>11565</v>
      </c>
      <c r="J2172" s="369" t="s">
        <v>753</v>
      </c>
      <c r="K2172" s="452" t="s">
        <v>741</v>
      </c>
    </row>
    <row r="2173" spans="1:11">
      <c r="A2173" s="369"/>
      <c r="B2173" s="144" t="s">
        <v>11071</v>
      </c>
      <c r="C2173" s="196">
        <v>2486</v>
      </c>
      <c r="D2173" s="230">
        <f>C2173*(1-VLOOKUP(I2173,descuentos,6,FALSE))*fcl/IF(dol_sol="dólar", TC,1)</f>
        <v>763.66074626865668</v>
      </c>
      <c r="E2173" s="215">
        <v>20</v>
      </c>
      <c r="F2173" s="511">
        <f t="shared" si="300"/>
        <v>783.67</v>
      </c>
      <c r="G2173" s="314" t="s">
        <v>11072</v>
      </c>
      <c r="H2173" s="518" t="s">
        <v>11073</v>
      </c>
      <c r="I2173" s="452" t="s">
        <v>11565</v>
      </c>
      <c r="J2173" s="369" t="s">
        <v>753</v>
      </c>
      <c r="K2173" s="452" t="s">
        <v>741</v>
      </c>
    </row>
    <row r="2174" spans="1:11">
      <c r="A2174" s="369"/>
      <c r="B2174" s="144" t="s">
        <v>11074</v>
      </c>
      <c r="C2174" s="196">
        <v>3645</v>
      </c>
      <c r="D2174" s="230">
        <f>C2174*(1-VLOOKUP(I2174,descuentos,6,FALSE))*fcl/IF(dol_sol="dólar", TC,1)</f>
        <v>1119.6876187245589</v>
      </c>
      <c r="E2174" s="215">
        <v>20</v>
      </c>
      <c r="F2174" s="511">
        <f t="shared" si="300"/>
        <v>1139.69</v>
      </c>
      <c r="G2174" s="314" t="s">
        <v>11075</v>
      </c>
      <c r="H2174" s="518" t="s">
        <v>11076</v>
      </c>
      <c r="I2174" s="452" t="s">
        <v>11565</v>
      </c>
      <c r="J2174" s="369" t="s">
        <v>753</v>
      </c>
      <c r="K2174" s="452" t="s">
        <v>741</v>
      </c>
    </row>
    <row r="2175" spans="1:11">
      <c r="A2175" s="515"/>
      <c r="B2175" s="518"/>
      <c r="C2175" s="196" t="s">
        <v>2024</v>
      </c>
      <c r="D2175" s="230"/>
      <c r="E2175" s="215"/>
      <c r="F2175" s="511">
        <f t="shared" si="300"/>
        <v>0</v>
      </c>
      <c r="G2175" s="518"/>
      <c r="H2175" s="518"/>
      <c r="I2175" s="452"/>
      <c r="J2175" s="515"/>
      <c r="K2175" s="452"/>
    </row>
    <row r="2176" spans="1:11">
      <c r="A2176" s="369"/>
      <c r="B2176" s="143" t="s">
        <v>754</v>
      </c>
      <c r="C2176" s="196">
        <v>4323</v>
      </c>
      <c r="D2176" s="230">
        <f t="shared" ref="D2176:D2192" si="301">C2176*(1-VLOOKUP(I2176,descuentos,6,FALSE))*fcl/IF(dol_sol="dólar", TC,1)</f>
        <v>1327.9587313432833</v>
      </c>
      <c r="E2176" s="215">
        <v>15</v>
      </c>
      <c r="F2176" s="511">
        <f t="shared" si="300"/>
        <v>1342.96</v>
      </c>
      <c r="G2176" s="314" t="s">
        <v>4621</v>
      </c>
      <c r="H2176" s="518" t="s">
        <v>755</v>
      </c>
      <c r="I2176" s="452" t="s">
        <v>11565</v>
      </c>
      <c r="J2176" s="369" t="s">
        <v>753</v>
      </c>
      <c r="K2176" s="452" t="s">
        <v>741</v>
      </c>
    </row>
    <row r="2177" spans="1:11">
      <c r="A2177" s="369"/>
      <c r="B2177" s="143"/>
      <c r="C2177" s="196" t="s">
        <v>2024</v>
      </c>
      <c r="D2177" s="230"/>
      <c r="E2177" s="215"/>
      <c r="F2177" s="511"/>
      <c r="G2177" s="314"/>
      <c r="H2177" s="518"/>
      <c r="I2177" s="452" t="s">
        <v>11565</v>
      </c>
      <c r="J2177" s="369"/>
      <c r="K2177" s="452"/>
    </row>
    <row r="2178" spans="1:11">
      <c r="A2178" s="369"/>
      <c r="B2178" s="144" t="s">
        <v>1547</v>
      </c>
      <c r="C2178" s="196">
        <v>1602</v>
      </c>
      <c r="D2178" s="230">
        <f t="shared" si="301"/>
        <v>492.10962008141109</v>
      </c>
      <c r="E2178" s="215">
        <v>80</v>
      </c>
      <c r="F2178" s="511">
        <f t="shared" si="300"/>
        <v>572.11</v>
      </c>
      <c r="G2178" s="314" t="s">
        <v>3328</v>
      </c>
      <c r="H2178" s="518" t="s">
        <v>1546</v>
      </c>
      <c r="I2178" s="452" t="s">
        <v>11565</v>
      </c>
      <c r="J2178" s="369" t="s">
        <v>753</v>
      </c>
      <c r="K2178" s="452" t="s">
        <v>741</v>
      </c>
    </row>
    <row r="2179" spans="1:11">
      <c r="A2179" s="369"/>
      <c r="B2179" s="144" t="s">
        <v>758</v>
      </c>
      <c r="C2179" s="196">
        <v>1708</v>
      </c>
      <c r="D2179" s="230">
        <f t="shared" si="301"/>
        <v>524.67118046132964</v>
      </c>
      <c r="E2179" s="215">
        <v>80</v>
      </c>
      <c r="F2179" s="511">
        <f t="shared" si="300"/>
        <v>604.67999999999995</v>
      </c>
      <c r="G2179" s="314" t="s">
        <v>3329</v>
      </c>
      <c r="H2179" s="518" t="s">
        <v>756</v>
      </c>
      <c r="I2179" s="452" t="s">
        <v>11565</v>
      </c>
      <c r="J2179" s="369" t="s">
        <v>753</v>
      </c>
      <c r="K2179" s="452" t="s">
        <v>741</v>
      </c>
    </row>
    <row r="2180" spans="1:11">
      <c r="A2180" s="369"/>
      <c r="B2180" s="144" t="s">
        <v>2392</v>
      </c>
      <c r="C2180" s="196">
        <v>1864</v>
      </c>
      <c r="D2180" s="230">
        <f t="shared" si="301"/>
        <v>572.59196743554946</v>
      </c>
      <c r="E2180" s="215">
        <v>80</v>
      </c>
      <c r="F2180" s="511">
        <f t="shared" si="300"/>
        <v>652.6</v>
      </c>
      <c r="G2180" s="314" t="s">
        <v>3330</v>
      </c>
      <c r="H2180" s="518" t="s">
        <v>2393</v>
      </c>
      <c r="I2180" s="452" t="s">
        <v>11565</v>
      </c>
      <c r="J2180" s="369" t="s">
        <v>753</v>
      </c>
      <c r="K2180" s="452" t="s">
        <v>741</v>
      </c>
    </row>
    <row r="2181" spans="1:11">
      <c r="A2181" s="369"/>
      <c r="B2181" s="144" t="s">
        <v>759</v>
      </c>
      <c r="C2181" s="196">
        <v>2051</v>
      </c>
      <c r="D2181" s="230">
        <f t="shared" si="301"/>
        <v>630.03547489823609</v>
      </c>
      <c r="E2181" s="215">
        <v>80</v>
      </c>
      <c r="F2181" s="511">
        <f t="shared" si="300"/>
        <v>710.04</v>
      </c>
      <c r="G2181" s="314" t="s">
        <v>3331</v>
      </c>
      <c r="H2181" s="518" t="s">
        <v>757</v>
      </c>
      <c r="I2181" s="452" t="s">
        <v>11565</v>
      </c>
      <c r="J2181" s="369" t="s">
        <v>753</v>
      </c>
      <c r="K2181" s="452" t="s">
        <v>741</v>
      </c>
    </row>
    <row r="2182" spans="1:11">
      <c r="A2182" s="369"/>
      <c r="B2182" s="144" t="s">
        <v>5594</v>
      </c>
      <c r="C2182" s="196">
        <v>2272</v>
      </c>
      <c r="D2182" s="230">
        <f>C2182*(1-VLOOKUP(I2182,descuentos,6,FALSE))*fcl/IF(dol_sol="dólar", TC,1)</f>
        <v>697.92325644504751</v>
      </c>
      <c r="E2182" s="215">
        <v>80</v>
      </c>
      <c r="F2182" s="511">
        <f>ROUNDUP(D2182+E2182,2)</f>
        <v>777.93</v>
      </c>
      <c r="G2182" s="314" t="s">
        <v>5595</v>
      </c>
      <c r="H2182" s="518" t="s">
        <v>9902</v>
      </c>
      <c r="I2182" s="452" t="s">
        <v>11565</v>
      </c>
      <c r="J2182" s="369" t="s">
        <v>753</v>
      </c>
      <c r="K2182" s="452" t="s">
        <v>741</v>
      </c>
    </row>
    <row r="2183" spans="1:11">
      <c r="A2183" s="369"/>
      <c r="B2183" s="144" t="s">
        <v>760</v>
      </c>
      <c r="C2183" s="196">
        <v>3345</v>
      </c>
      <c r="D2183" s="230">
        <f t="shared" si="301"/>
        <v>1027.5322591587517</v>
      </c>
      <c r="E2183" s="215">
        <v>80</v>
      </c>
      <c r="F2183" s="511">
        <f t="shared" si="300"/>
        <v>1107.54</v>
      </c>
      <c r="G2183" s="314" t="s">
        <v>3332</v>
      </c>
      <c r="H2183" s="518" t="s">
        <v>766</v>
      </c>
      <c r="I2183" s="452" t="s">
        <v>11565</v>
      </c>
      <c r="J2183" s="369" t="s">
        <v>753</v>
      </c>
      <c r="K2183" s="452" t="s">
        <v>741</v>
      </c>
    </row>
    <row r="2184" spans="1:11">
      <c r="A2184" s="369"/>
      <c r="B2184" s="144" t="s">
        <v>4622</v>
      </c>
      <c r="C2184" s="196">
        <v>3520</v>
      </c>
      <c r="D2184" s="230">
        <f>C2184*(1-VLOOKUP(I2184,descuentos,6,FALSE))*fcl/IF(dol_sol="dólar", TC,1)</f>
        <v>1081.289552238806</v>
      </c>
      <c r="E2184" s="215">
        <v>80</v>
      </c>
      <c r="F2184" s="511">
        <f t="shared" si="300"/>
        <v>1161.29</v>
      </c>
      <c r="G2184" s="314" t="s">
        <v>4623</v>
      </c>
      <c r="H2184" s="518" t="s">
        <v>767</v>
      </c>
      <c r="I2184" s="452" t="s">
        <v>11565</v>
      </c>
      <c r="J2184" s="369" t="s">
        <v>753</v>
      </c>
      <c r="K2184" s="452" t="s">
        <v>741</v>
      </c>
    </row>
    <row r="2185" spans="1:11">
      <c r="A2185" s="369"/>
      <c r="B2185" s="144" t="s">
        <v>761</v>
      </c>
      <c r="C2185" s="196">
        <v>3705</v>
      </c>
      <c r="D2185" s="230">
        <f t="shared" si="301"/>
        <v>1138.1186906377204</v>
      </c>
      <c r="E2185" s="215">
        <v>80</v>
      </c>
      <c r="F2185" s="511">
        <f t="shared" si="300"/>
        <v>1218.1199999999999</v>
      </c>
      <c r="G2185" s="314" t="s">
        <v>3333</v>
      </c>
      <c r="H2185" s="518" t="s">
        <v>7267</v>
      </c>
      <c r="I2185" s="452" t="s">
        <v>11565</v>
      </c>
      <c r="J2185" s="369" t="s">
        <v>753</v>
      </c>
      <c r="K2185" s="452" t="s">
        <v>741</v>
      </c>
    </row>
    <row r="2186" spans="1:11">
      <c r="A2186" s="369"/>
      <c r="B2186" s="144" t="s">
        <v>1404</v>
      </c>
      <c r="C2186" s="196">
        <v>4873</v>
      </c>
      <c r="D2186" s="230">
        <f t="shared" si="301"/>
        <v>1496.9102238805967</v>
      </c>
      <c r="E2186" s="215">
        <v>100</v>
      </c>
      <c r="F2186" s="511">
        <f t="shared" si="300"/>
        <v>1596.92</v>
      </c>
      <c r="G2186" s="314" t="s">
        <v>3334</v>
      </c>
      <c r="H2186" s="518" t="s">
        <v>1551</v>
      </c>
      <c r="I2186" s="452" t="s">
        <v>11565</v>
      </c>
      <c r="J2186" s="369" t="s">
        <v>753</v>
      </c>
      <c r="K2186" s="452" t="s">
        <v>741</v>
      </c>
    </row>
    <row r="2187" spans="1:11">
      <c r="A2187" s="369"/>
      <c r="B2187" s="144" t="s">
        <v>762</v>
      </c>
      <c r="C2187" s="196">
        <v>5624</v>
      </c>
      <c r="D2187" s="230">
        <f t="shared" si="301"/>
        <v>1727.6058073270012</v>
      </c>
      <c r="E2187" s="215">
        <v>100</v>
      </c>
      <c r="F2187" s="511">
        <f t="shared" si="300"/>
        <v>1827.61</v>
      </c>
      <c r="G2187" s="314" t="s">
        <v>3335</v>
      </c>
      <c r="H2187" s="518" t="s">
        <v>1552</v>
      </c>
      <c r="I2187" s="452" t="s">
        <v>11565</v>
      </c>
      <c r="J2187" s="369" t="s">
        <v>753</v>
      </c>
      <c r="K2187" s="452" t="s">
        <v>741</v>
      </c>
    </row>
    <row r="2188" spans="1:11">
      <c r="A2188" s="369"/>
      <c r="B2188" s="144" t="s">
        <v>787</v>
      </c>
      <c r="C2188" s="196">
        <v>8581</v>
      </c>
      <c r="D2188" s="230">
        <f t="shared" si="301"/>
        <v>2635.9504681139751</v>
      </c>
      <c r="E2188" s="220">
        <v>100</v>
      </c>
      <c r="F2188" s="511">
        <f t="shared" si="300"/>
        <v>2735.96</v>
      </c>
      <c r="G2188" s="314" t="s">
        <v>3336</v>
      </c>
      <c r="H2188" s="518" t="s">
        <v>788</v>
      </c>
      <c r="I2188" s="452" t="s">
        <v>11565</v>
      </c>
      <c r="J2188" s="369" t="s">
        <v>753</v>
      </c>
      <c r="K2188" s="452" t="s">
        <v>741</v>
      </c>
    </row>
    <row r="2189" spans="1:11">
      <c r="A2189" s="369"/>
      <c r="B2189" s="144" t="s">
        <v>763</v>
      </c>
      <c r="C2189" s="196">
        <v>8951</v>
      </c>
      <c r="D2189" s="230">
        <f t="shared" si="301"/>
        <v>2749.6087449118045</v>
      </c>
      <c r="E2189" s="219">
        <v>150</v>
      </c>
      <c r="F2189" s="511">
        <f t="shared" si="300"/>
        <v>2899.61</v>
      </c>
      <c r="G2189" s="314" t="s">
        <v>3337</v>
      </c>
      <c r="H2189" s="518" t="s">
        <v>768</v>
      </c>
      <c r="I2189" s="452" t="s">
        <v>11565</v>
      </c>
      <c r="J2189" s="369" t="s">
        <v>753</v>
      </c>
      <c r="K2189" s="452" t="s">
        <v>741</v>
      </c>
    </row>
    <row r="2190" spans="1:11">
      <c r="A2190" s="369"/>
      <c r="B2190" s="144" t="s">
        <v>764</v>
      </c>
      <c r="C2190" s="196">
        <v>14477</v>
      </c>
      <c r="D2190" s="230">
        <f t="shared" si="301"/>
        <v>4447.110468113975</v>
      </c>
      <c r="E2190" s="219">
        <v>150</v>
      </c>
      <c r="F2190" s="511">
        <f t="shared" si="300"/>
        <v>4597.12</v>
      </c>
      <c r="G2190" s="314" t="s">
        <v>3338</v>
      </c>
      <c r="H2190" s="518" t="s">
        <v>769</v>
      </c>
      <c r="I2190" s="452" t="s">
        <v>11565</v>
      </c>
      <c r="J2190" s="369" t="s">
        <v>753</v>
      </c>
      <c r="K2190" s="452" t="s">
        <v>741</v>
      </c>
    </row>
    <row r="2191" spans="1:11">
      <c r="A2191" s="369"/>
      <c r="B2191" s="144" t="s">
        <v>3308</v>
      </c>
      <c r="C2191" s="196">
        <v>17018</v>
      </c>
      <c r="D2191" s="230">
        <f>C2191*(1-VLOOKUP(I2191,descuentos,6,FALSE))*fcl/IF(dol_sol="dólar", TC,1)</f>
        <v>5227.6663636363637</v>
      </c>
      <c r="E2191" s="219">
        <v>150</v>
      </c>
      <c r="F2191" s="511">
        <f t="shared" si="300"/>
        <v>5377.67</v>
      </c>
      <c r="G2191" s="314" t="s">
        <v>3339</v>
      </c>
      <c r="H2191" s="518" t="s">
        <v>3309</v>
      </c>
      <c r="I2191" s="452" t="s">
        <v>11565</v>
      </c>
      <c r="J2191" s="369" t="s">
        <v>753</v>
      </c>
      <c r="K2191" s="452" t="s">
        <v>741</v>
      </c>
    </row>
    <row r="2192" spans="1:11">
      <c r="A2192" s="369"/>
      <c r="B2192" s="144" t="s">
        <v>765</v>
      </c>
      <c r="C2192" s="196">
        <v>19814</v>
      </c>
      <c r="D2192" s="230">
        <f t="shared" si="301"/>
        <v>6086.5543147896879</v>
      </c>
      <c r="E2192" s="219">
        <v>200</v>
      </c>
      <c r="F2192" s="511">
        <f t="shared" si="300"/>
        <v>6286.56</v>
      </c>
      <c r="G2192" s="314" t="s">
        <v>3340</v>
      </c>
      <c r="H2192" s="518" t="s">
        <v>770</v>
      </c>
      <c r="I2192" s="452" t="s">
        <v>11565</v>
      </c>
      <c r="J2192" s="369" t="s">
        <v>753</v>
      </c>
      <c r="K2192" s="452" t="s">
        <v>741</v>
      </c>
    </row>
    <row r="2193" spans="1:11">
      <c r="A2193" s="1478"/>
      <c r="B2193" s="144" t="s">
        <v>7268</v>
      </c>
      <c r="C2193" s="196">
        <v>24222</v>
      </c>
      <c r="D2193" s="230">
        <f>C2193*(1-VLOOKUP(I2193,descuentos,6,FALSE))*fcl/TC</f>
        <v>7440.623731343283</v>
      </c>
      <c r="E2193" s="219">
        <v>150</v>
      </c>
      <c r="F2193" s="511">
        <f>ROUNDUP(D2193+E2193,2)</f>
        <v>7590.63</v>
      </c>
      <c r="G2193" s="314" t="s">
        <v>7269</v>
      </c>
      <c r="H2193" s="518" t="s">
        <v>7270</v>
      </c>
      <c r="I2193" s="452" t="s">
        <v>11565</v>
      </c>
      <c r="J2193" s="369" t="s">
        <v>753</v>
      </c>
      <c r="K2193" s="452" t="s">
        <v>741</v>
      </c>
    </row>
    <row r="2194" spans="1:11">
      <c r="A2194" s="1478"/>
      <c r="B2194" s="144" t="s">
        <v>7271</v>
      </c>
      <c r="C2194" s="196">
        <v>26788</v>
      </c>
      <c r="D2194" s="230">
        <f>C2194*(1-VLOOKUP(I2194,descuentos,6,FALSE))*fcl/TC</f>
        <v>8228.8592401628212</v>
      </c>
      <c r="E2194" s="219">
        <v>150</v>
      </c>
      <c r="F2194" s="511">
        <f t="shared" si="300"/>
        <v>8378.86</v>
      </c>
      <c r="G2194" s="314" t="s">
        <v>7272</v>
      </c>
      <c r="H2194" s="518" t="s">
        <v>7273</v>
      </c>
      <c r="I2194" s="452" t="s">
        <v>11565</v>
      </c>
      <c r="J2194" s="369" t="s">
        <v>753</v>
      </c>
      <c r="K2194" s="452" t="s">
        <v>741</v>
      </c>
    </row>
    <row r="2195" spans="1:11">
      <c r="A2195" s="369"/>
      <c r="B2195" s="144"/>
      <c r="C2195" s="196" t="s">
        <v>2024</v>
      </c>
      <c r="D2195" s="230"/>
      <c r="E2195" s="219"/>
      <c r="F2195" s="511"/>
      <c r="G2195" s="314"/>
      <c r="H2195" s="518"/>
      <c r="I2195" s="452"/>
      <c r="J2195" s="369"/>
      <c r="K2195" s="452"/>
    </row>
    <row r="2196" spans="1:11">
      <c r="A2196" s="369"/>
      <c r="B2196" s="144"/>
      <c r="C2196" s="196" t="s">
        <v>2024</v>
      </c>
      <c r="D2196" s="230"/>
      <c r="E2196" s="219"/>
      <c r="F2196" s="511"/>
      <c r="G2196" s="314"/>
      <c r="H2196" s="518"/>
      <c r="I2196" s="452"/>
      <c r="J2196" s="369"/>
      <c r="K2196" s="452"/>
    </row>
    <row r="2197" spans="1:11">
      <c r="A2197" s="369"/>
      <c r="B2197" s="418" t="s">
        <v>2459</v>
      </c>
      <c r="C2197" s="196">
        <v>1995</v>
      </c>
      <c r="D2197" s="230">
        <f t="shared" ref="D2197:D2208" si="302">C2197*(1-VLOOKUP(I2197,descuentos,6,FALSE))*fcl/IF(dol_sol="dólar", TC,1)</f>
        <v>612.8331411126187</v>
      </c>
      <c r="E2197" s="215">
        <v>100</v>
      </c>
      <c r="F2197" s="511">
        <f t="shared" si="300"/>
        <v>712.84</v>
      </c>
      <c r="G2197" s="314" t="s">
        <v>3341</v>
      </c>
      <c r="H2197" s="506" t="s">
        <v>2467</v>
      </c>
      <c r="I2197" s="452" t="s">
        <v>11565</v>
      </c>
      <c r="J2197" s="369" t="s">
        <v>753</v>
      </c>
      <c r="K2197" s="452" t="s">
        <v>741</v>
      </c>
    </row>
    <row r="2198" spans="1:11">
      <c r="A2198" s="369"/>
      <c r="B2198" s="418" t="s">
        <v>2460</v>
      </c>
      <c r="C2198" s="196">
        <v>2130</v>
      </c>
      <c r="D2198" s="230">
        <f t="shared" si="302"/>
        <v>654.30305291723187</v>
      </c>
      <c r="E2198" s="215">
        <v>100</v>
      </c>
      <c r="F2198" s="511">
        <f t="shared" si="300"/>
        <v>754.31</v>
      </c>
      <c r="G2198" s="314" t="s">
        <v>3342</v>
      </c>
      <c r="H2198" s="506" t="s">
        <v>2468</v>
      </c>
      <c r="I2198" s="452" t="s">
        <v>11565</v>
      </c>
      <c r="J2198" s="369" t="s">
        <v>753</v>
      </c>
      <c r="K2198" s="452" t="s">
        <v>741</v>
      </c>
    </row>
    <row r="2199" spans="1:11">
      <c r="A2199" s="369"/>
      <c r="B2199" s="418" t="s">
        <v>2461</v>
      </c>
      <c r="C2199" s="196">
        <v>2351</v>
      </c>
      <c r="D2199" s="230">
        <f t="shared" si="302"/>
        <v>722.19083446404329</v>
      </c>
      <c r="E2199" s="215">
        <v>100</v>
      </c>
      <c r="F2199" s="511">
        <f t="shared" si="300"/>
        <v>822.2</v>
      </c>
      <c r="G2199" s="314" t="s">
        <v>3343</v>
      </c>
      <c r="H2199" s="506" t="s">
        <v>2469</v>
      </c>
      <c r="I2199" s="452" t="s">
        <v>11565</v>
      </c>
      <c r="J2199" s="369" t="s">
        <v>753</v>
      </c>
      <c r="K2199" s="452" t="s">
        <v>741</v>
      </c>
    </row>
    <row r="2200" spans="1:11">
      <c r="A2200" s="369"/>
      <c r="B2200" s="418" t="s">
        <v>2462</v>
      </c>
      <c r="C2200" s="196">
        <v>2613</v>
      </c>
      <c r="D2200" s="230">
        <f t="shared" si="302"/>
        <v>802.67318181818177</v>
      </c>
      <c r="E2200" s="215">
        <v>100</v>
      </c>
      <c r="F2200" s="511">
        <f t="shared" si="300"/>
        <v>902.68</v>
      </c>
      <c r="G2200" s="314" t="s">
        <v>3344</v>
      </c>
      <c r="H2200" s="506" t="s">
        <v>2470</v>
      </c>
      <c r="I2200" s="452" t="s">
        <v>11565</v>
      </c>
      <c r="J2200" s="369" t="s">
        <v>753</v>
      </c>
      <c r="K2200" s="452" t="s">
        <v>741</v>
      </c>
    </row>
    <row r="2201" spans="1:11">
      <c r="A2201" s="369"/>
      <c r="B2201" s="418" t="s">
        <v>5596</v>
      </c>
      <c r="C2201" s="196">
        <v>2051</v>
      </c>
      <c r="D2201" s="230">
        <f t="shared" si="302"/>
        <v>630.03547489823609</v>
      </c>
      <c r="E2201" s="215">
        <v>100</v>
      </c>
      <c r="F2201" s="511">
        <f t="shared" si="300"/>
        <v>730.04</v>
      </c>
      <c r="G2201" s="314" t="s">
        <v>5597</v>
      </c>
      <c r="H2201" s="518" t="s">
        <v>757</v>
      </c>
      <c r="I2201" s="452" t="s">
        <v>11565</v>
      </c>
      <c r="J2201" s="369" t="s">
        <v>753</v>
      </c>
      <c r="K2201" s="452" t="s">
        <v>741</v>
      </c>
    </row>
    <row r="2202" spans="1:11">
      <c r="A2202" s="369"/>
      <c r="B2202" s="418" t="s">
        <v>2463</v>
      </c>
      <c r="C2202" s="196">
        <v>4019</v>
      </c>
      <c r="D2202" s="230">
        <f t="shared" si="302"/>
        <v>1234.5746336499321</v>
      </c>
      <c r="E2202" s="215">
        <v>100</v>
      </c>
      <c r="F2202" s="511">
        <f t="shared" si="300"/>
        <v>1334.58</v>
      </c>
      <c r="G2202" s="314" t="s">
        <v>3345</v>
      </c>
      <c r="H2202" s="506" t="s">
        <v>2471</v>
      </c>
      <c r="I2202" s="452" t="s">
        <v>11565</v>
      </c>
      <c r="J2202" s="369" t="s">
        <v>753</v>
      </c>
      <c r="K2202" s="452" t="s">
        <v>741</v>
      </c>
    </row>
    <row r="2203" spans="1:11">
      <c r="A2203" s="369"/>
      <c r="B2203" s="418" t="s">
        <v>2464</v>
      </c>
      <c r="C2203" s="196">
        <v>4230</v>
      </c>
      <c r="D2203" s="230">
        <f t="shared" si="302"/>
        <v>1299.3905698778833</v>
      </c>
      <c r="E2203" s="215">
        <v>100</v>
      </c>
      <c r="F2203" s="511">
        <f t="shared" si="300"/>
        <v>1399.4</v>
      </c>
      <c r="G2203" s="314" t="s">
        <v>3346</v>
      </c>
      <c r="H2203" s="506" t="s">
        <v>2472</v>
      </c>
      <c r="I2203" s="452" t="s">
        <v>11565</v>
      </c>
      <c r="J2203" s="369" t="s">
        <v>753</v>
      </c>
      <c r="K2203" s="452" t="s">
        <v>741</v>
      </c>
    </row>
    <row r="2204" spans="1:11">
      <c r="A2204" s="369"/>
      <c r="B2204" s="418" t="s">
        <v>2465</v>
      </c>
      <c r="C2204" s="196">
        <v>5847</v>
      </c>
      <c r="D2204" s="230">
        <f t="shared" si="302"/>
        <v>1796.1079579375848</v>
      </c>
      <c r="E2204" s="215">
        <v>120</v>
      </c>
      <c r="F2204" s="511">
        <f t="shared" si="300"/>
        <v>1916.11</v>
      </c>
      <c r="G2204" s="314" t="s">
        <v>3347</v>
      </c>
      <c r="H2204" s="506" t="s">
        <v>2473</v>
      </c>
      <c r="I2204" s="452" t="s">
        <v>11565</v>
      </c>
      <c r="J2204" s="369" t="s">
        <v>753</v>
      </c>
      <c r="K2204" s="452" t="s">
        <v>741</v>
      </c>
    </row>
    <row r="2205" spans="1:11">
      <c r="A2205" s="369"/>
      <c r="B2205" s="418" t="s">
        <v>2466</v>
      </c>
      <c r="C2205" s="196">
        <v>6761</v>
      </c>
      <c r="D2205" s="230">
        <f t="shared" si="302"/>
        <v>2076.8746200814112</v>
      </c>
      <c r="E2205" s="215">
        <v>120</v>
      </c>
      <c r="F2205" s="511">
        <f t="shared" si="300"/>
        <v>2196.88</v>
      </c>
      <c r="G2205" s="314" t="s">
        <v>3348</v>
      </c>
      <c r="H2205" s="506" t="s">
        <v>2474</v>
      </c>
      <c r="I2205" s="452" t="s">
        <v>11565</v>
      </c>
      <c r="J2205" s="369" t="s">
        <v>753</v>
      </c>
      <c r="K2205" s="452" t="s">
        <v>741</v>
      </c>
    </row>
    <row r="2206" spans="1:11">
      <c r="A2206" s="369"/>
      <c r="B2206" s="418" t="s">
        <v>2475</v>
      </c>
      <c r="C2206" s="196">
        <v>11572</v>
      </c>
      <c r="D2206" s="230">
        <f t="shared" si="302"/>
        <v>3554.7394029850743</v>
      </c>
      <c r="E2206" s="220">
        <v>120</v>
      </c>
      <c r="F2206" s="511">
        <f t="shared" si="300"/>
        <v>3674.7400000000002</v>
      </c>
      <c r="G2206" s="314" t="s">
        <v>3349</v>
      </c>
      <c r="H2206" s="506" t="s">
        <v>2476</v>
      </c>
      <c r="I2206" s="452" t="s">
        <v>11565</v>
      </c>
      <c r="J2206" s="369" t="s">
        <v>753</v>
      </c>
      <c r="K2206" s="452" t="s">
        <v>741</v>
      </c>
    </row>
    <row r="2207" spans="1:11">
      <c r="A2207" s="369"/>
      <c r="B2207" s="418" t="s">
        <v>3417</v>
      </c>
      <c r="C2207" s="196">
        <v>12066</v>
      </c>
      <c r="D2207" s="230">
        <f>C2207*(1-VLOOKUP(I2207,descuentos,6,FALSE))*fcl/IF(dol_sol="dólar", TC,1)</f>
        <v>3706.4885617367704</v>
      </c>
      <c r="E2207" s="649">
        <v>180</v>
      </c>
      <c r="F2207" s="511">
        <f t="shared" si="300"/>
        <v>3886.4900000000002</v>
      </c>
      <c r="G2207" s="314" t="s">
        <v>3419</v>
      </c>
      <c r="H2207" s="506" t="s">
        <v>3418</v>
      </c>
      <c r="I2207" s="452" t="s">
        <v>11565</v>
      </c>
      <c r="J2207" s="369" t="s">
        <v>753</v>
      </c>
      <c r="K2207" s="452" t="s">
        <v>741</v>
      </c>
    </row>
    <row r="2208" spans="1:11">
      <c r="A2208" s="369"/>
      <c r="B2208" s="418" t="s">
        <v>2656</v>
      </c>
      <c r="C2208" s="196">
        <v>19406</v>
      </c>
      <c r="D2208" s="230">
        <f t="shared" si="302"/>
        <v>5961.2230257801893</v>
      </c>
      <c r="E2208" s="219">
        <v>180</v>
      </c>
      <c r="F2208" s="511">
        <f t="shared" si="300"/>
        <v>6141.2300000000005</v>
      </c>
      <c r="G2208" s="314" t="s">
        <v>3350</v>
      </c>
      <c r="H2208" s="506" t="s">
        <v>2657</v>
      </c>
      <c r="I2208" s="452" t="s">
        <v>11565</v>
      </c>
      <c r="J2208" s="369" t="s">
        <v>753</v>
      </c>
      <c r="K2208" s="452" t="s">
        <v>741</v>
      </c>
    </row>
    <row r="2209" spans="1:11">
      <c r="A2209" s="369"/>
      <c r="B2209" s="418" t="s">
        <v>3420</v>
      </c>
      <c r="C2209" s="196">
        <v>22811</v>
      </c>
      <c r="D2209" s="230">
        <f>C2209*(1-VLOOKUP(I2209,descuentos,6,FALSE))*fcl/IF(dol_sol="dólar", TC,1)</f>
        <v>7007.186356852103</v>
      </c>
      <c r="E2209" s="219">
        <v>180</v>
      </c>
      <c r="F2209" s="511">
        <f t="shared" si="300"/>
        <v>7187.1900000000005</v>
      </c>
      <c r="G2209" s="314" t="s">
        <v>3421</v>
      </c>
      <c r="H2209" s="506" t="s">
        <v>3424</v>
      </c>
      <c r="I2209" s="452" t="s">
        <v>11565</v>
      </c>
      <c r="J2209" s="369" t="s">
        <v>753</v>
      </c>
      <c r="K2209" s="452" t="s">
        <v>741</v>
      </c>
    </row>
    <row r="2210" spans="1:11">
      <c r="A2210" s="369"/>
      <c r="B2210" s="418" t="s">
        <v>3422</v>
      </c>
      <c r="C2210" s="196">
        <v>26558</v>
      </c>
      <c r="D2210" s="230">
        <f>C2210*(1-VLOOKUP(I2210,descuentos,6,FALSE))*fcl/IF(dol_sol="dólar", TC,1)</f>
        <v>8158.206797829037</v>
      </c>
      <c r="E2210" s="219">
        <v>250</v>
      </c>
      <c r="F2210" s="511">
        <f t="shared" si="300"/>
        <v>8408.2100000000009</v>
      </c>
      <c r="G2210" s="314" t="s">
        <v>3423</v>
      </c>
      <c r="H2210" s="506" t="s">
        <v>3425</v>
      </c>
      <c r="I2210" s="452" t="s">
        <v>11565</v>
      </c>
      <c r="J2210" s="369" t="s">
        <v>753</v>
      </c>
      <c r="K2210" s="452" t="s">
        <v>741</v>
      </c>
    </row>
    <row r="2211" spans="1:11">
      <c r="A2211" s="369"/>
      <c r="B2211" s="418" t="s">
        <v>7274</v>
      </c>
      <c r="C2211" s="196">
        <v>32463</v>
      </c>
      <c r="D2211" s="230">
        <f>C2211*(1-VLOOKUP(I2211,descuentos,6,FALSE))*fcl/IF(dol_sol="dólar", TC,1)</f>
        <v>9972.1314586160115</v>
      </c>
      <c r="E2211" s="219">
        <v>250</v>
      </c>
      <c r="F2211" s="511">
        <f>ROUNDUP(D2211+E2211,2)</f>
        <v>10222.14</v>
      </c>
      <c r="G2211" s="314" t="s">
        <v>7275</v>
      </c>
      <c r="H2211" s="506" t="s">
        <v>7276</v>
      </c>
      <c r="I2211" s="452" t="s">
        <v>11565</v>
      </c>
      <c r="J2211" s="369" t="s">
        <v>753</v>
      </c>
      <c r="K2211" s="452" t="s">
        <v>741</v>
      </c>
    </row>
    <row r="2212" spans="1:11">
      <c r="A2212" s="369"/>
      <c r="B2212" s="418" t="s">
        <v>13579</v>
      </c>
      <c r="C2212" s="196">
        <v>35909</v>
      </c>
      <c r="D2212" s="230">
        <f>C2212*(1-VLOOKUP(I2212,descuentos,6,FALSE))*fcl/IF(dol_sol="dólar", TC,1)</f>
        <v>11030.689355495251</v>
      </c>
      <c r="E2212" s="219">
        <v>250</v>
      </c>
      <c r="F2212" s="511">
        <f>ROUNDUP(D2212+E2212,2)</f>
        <v>11280.69</v>
      </c>
      <c r="G2212" s="314" t="s">
        <v>13580</v>
      </c>
      <c r="H2212" s="506" t="s">
        <v>13581</v>
      </c>
      <c r="I2212" s="452" t="s">
        <v>11565</v>
      </c>
      <c r="J2212" s="369" t="s">
        <v>753</v>
      </c>
      <c r="K2212" s="452" t="s">
        <v>741</v>
      </c>
    </row>
    <row r="2213" spans="1:11">
      <c r="A2213" s="369"/>
      <c r="B2213" s="144"/>
      <c r="C2213" s="196" t="s">
        <v>2024</v>
      </c>
      <c r="D2213" s="230"/>
      <c r="E2213" s="219"/>
      <c r="F2213" s="511"/>
      <c r="G2213" s="314"/>
      <c r="H2213" s="518"/>
      <c r="I2213" s="452"/>
      <c r="J2213" s="369"/>
      <c r="K2213" s="452"/>
    </row>
    <row r="2214" spans="1:11">
      <c r="A2214" s="369"/>
      <c r="B2214" s="144"/>
      <c r="C2214" s="196" t="s">
        <v>2024</v>
      </c>
      <c r="D2214" s="230"/>
      <c r="E2214" s="219"/>
      <c r="F2214" s="511"/>
      <c r="G2214" s="314"/>
      <c r="H2214" s="518"/>
      <c r="I2214" s="452"/>
      <c r="J2214" s="369"/>
      <c r="K2214" s="452"/>
    </row>
    <row r="2215" spans="1:11">
      <c r="A2215" s="369"/>
      <c r="B2215" s="144" t="s">
        <v>2478</v>
      </c>
      <c r="C2215" s="196">
        <v>97</v>
      </c>
      <c r="D2215" s="230">
        <f>C2215*(1-VLOOKUP(I2215,descuentos,6,FALSE))*fcl/IF(dol_sol="dólar", TC,1)</f>
        <v>29.796899592944367</v>
      </c>
      <c r="E2215" s="219">
        <v>5</v>
      </c>
      <c r="F2215" s="511">
        <f t="shared" si="300"/>
        <v>34.799999999999997</v>
      </c>
      <c r="G2215" s="314" t="s">
        <v>2479</v>
      </c>
      <c r="H2215" s="518" t="s">
        <v>2608</v>
      </c>
      <c r="I2215" s="452" t="s">
        <v>11565</v>
      </c>
      <c r="J2215" s="369" t="s">
        <v>753</v>
      </c>
      <c r="K2215" s="452" t="s">
        <v>741</v>
      </c>
    </row>
    <row r="2216" spans="1:11">
      <c r="A2216" s="369"/>
      <c r="B2216" s="144" t="s">
        <v>2480</v>
      </c>
      <c r="C2216" s="196">
        <v>26</v>
      </c>
      <c r="D2216" s="230">
        <f>C2216*(1-VLOOKUP(I2216,descuentos,6,FALSE))*fcl/IF(dol_sol="dólar", TC,1)</f>
        <v>7.986797829036635</v>
      </c>
      <c r="E2216" s="219">
        <v>5</v>
      </c>
      <c r="F2216" s="511">
        <f t="shared" si="300"/>
        <v>12.99</v>
      </c>
      <c r="G2216" s="314" t="s">
        <v>2481</v>
      </c>
      <c r="H2216" s="518" t="s">
        <v>2607</v>
      </c>
      <c r="I2216" s="452" t="s">
        <v>11565</v>
      </c>
      <c r="J2216" s="369" t="s">
        <v>753</v>
      </c>
      <c r="K2216" s="452" t="s">
        <v>741</v>
      </c>
    </row>
    <row r="2217" spans="1:11" s="185" customFormat="1">
      <c r="A2217" s="369"/>
      <c r="B2217" s="144"/>
      <c r="C2217" s="196" t="s">
        <v>2024</v>
      </c>
      <c r="D2217" s="230"/>
      <c r="E2217" s="219"/>
      <c r="F2217" s="511"/>
      <c r="G2217" s="314"/>
      <c r="H2217" s="518"/>
      <c r="I2217" s="452"/>
      <c r="J2217" s="369"/>
      <c r="K2217" s="452"/>
    </row>
    <row r="2218" spans="1:11">
      <c r="A2218" s="369"/>
      <c r="B2218" s="144" t="s">
        <v>5598</v>
      </c>
      <c r="C2218" s="196">
        <v>1613</v>
      </c>
      <c r="D2218" s="230">
        <f t="shared" ref="D2218:D2227" si="303">C2218*(1-VLOOKUP(I2218,descuentos,6,FALSE))*fcl/IF(dol_sol="dólar", TC,1)</f>
        <v>495.48864993215733</v>
      </c>
      <c r="E2218" s="215">
        <v>80</v>
      </c>
      <c r="F2218" s="511">
        <f t="shared" ref="F2218:F2227" si="304">ROUNDUP(D2218+E2218,2)</f>
        <v>575.49</v>
      </c>
      <c r="G2218" s="314" t="s">
        <v>5599</v>
      </c>
      <c r="H2218" s="518" t="s">
        <v>5600</v>
      </c>
      <c r="I2218" s="452" t="s">
        <v>11565</v>
      </c>
      <c r="J2218" s="369" t="s">
        <v>753</v>
      </c>
      <c r="K2218" s="452" t="s">
        <v>741</v>
      </c>
    </row>
    <row r="2219" spans="1:11">
      <c r="A2219" s="369"/>
      <c r="B2219" s="144" t="s">
        <v>5601</v>
      </c>
      <c r="C2219" s="196">
        <v>1818</v>
      </c>
      <c r="D2219" s="230">
        <f>C2219*(1-VLOOKUP(I2219,descuentos,6,FALSE))*fcl/IF(dol_sol="dólar", TC,1)</f>
        <v>558.46147896879233</v>
      </c>
      <c r="E2219" s="215">
        <v>80</v>
      </c>
      <c r="F2219" s="511">
        <f t="shared" si="304"/>
        <v>638.47</v>
      </c>
      <c r="G2219" s="314" t="s">
        <v>5602</v>
      </c>
      <c r="H2219" s="518" t="s">
        <v>5603</v>
      </c>
      <c r="I2219" s="452" t="s">
        <v>11565</v>
      </c>
      <c r="J2219" s="369" t="s">
        <v>753</v>
      </c>
      <c r="K2219" s="452" t="s">
        <v>741</v>
      </c>
    </row>
    <row r="2220" spans="1:11">
      <c r="A2220" s="369"/>
      <c r="B2220" s="144" t="s">
        <v>5604</v>
      </c>
      <c r="C2220" s="196">
        <v>2002</v>
      </c>
      <c r="D2220" s="230">
        <f t="shared" si="303"/>
        <v>614.98343283582085</v>
      </c>
      <c r="E2220" s="215">
        <v>80</v>
      </c>
      <c r="F2220" s="511">
        <f t="shared" si="304"/>
        <v>694.99</v>
      </c>
      <c r="G2220" s="314" t="s">
        <v>5605</v>
      </c>
      <c r="H2220" s="518" t="s">
        <v>5606</v>
      </c>
      <c r="I2220" s="452" t="s">
        <v>11565</v>
      </c>
      <c r="J2220" s="369" t="s">
        <v>753</v>
      </c>
      <c r="K2220" s="452" t="s">
        <v>741</v>
      </c>
    </row>
    <row r="2221" spans="1:11">
      <c r="A2221" s="369"/>
      <c r="B2221" s="144" t="s">
        <v>5607</v>
      </c>
      <c r="C2221" s="196">
        <v>2352</v>
      </c>
      <c r="D2221" s="230">
        <f t="shared" si="303"/>
        <v>722.49801899592933</v>
      </c>
      <c r="E2221" s="215">
        <v>100</v>
      </c>
      <c r="F2221" s="511">
        <f t="shared" si="304"/>
        <v>822.5</v>
      </c>
      <c r="G2221" s="314" t="s">
        <v>5608</v>
      </c>
      <c r="H2221" s="518" t="s">
        <v>5609</v>
      </c>
      <c r="I2221" s="452" t="s">
        <v>11565</v>
      </c>
      <c r="J2221" s="369" t="s">
        <v>753</v>
      </c>
      <c r="K2221" s="452" t="s">
        <v>741</v>
      </c>
    </row>
    <row r="2222" spans="1:11">
      <c r="A2222" s="369"/>
      <c r="B2222" s="144" t="s">
        <v>5610</v>
      </c>
      <c r="C2222" s="196">
        <v>2536</v>
      </c>
      <c r="D2222" s="230">
        <f t="shared" si="303"/>
        <v>779.01997286295796</v>
      </c>
      <c r="E2222" s="215">
        <v>100</v>
      </c>
      <c r="F2222" s="511">
        <f t="shared" si="304"/>
        <v>879.02</v>
      </c>
      <c r="G2222" s="314" t="s">
        <v>5611</v>
      </c>
      <c r="H2222" s="518" t="s">
        <v>5612</v>
      </c>
      <c r="I2222" s="452" t="s">
        <v>11565</v>
      </c>
      <c r="J2222" s="369" t="s">
        <v>753</v>
      </c>
      <c r="K2222" s="452" t="s">
        <v>741</v>
      </c>
    </row>
    <row r="2223" spans="1:11">
      <c r="A2223" s="369"/>
      <c r="B2223" s="144" t="s">
        <v>5613</v>
      </c>
      <c r="C2223" s="196">
        <v>2697</v>
      </c>
      <c r="D2223" s="230">
        <f t="shared" si="303"/>
        <v>828.47668249660774</v>
      </c>
      <c r="E2223" s="220">
        <v>100</v>
      </c>
      <c r="F2223" s="511">
        <f t="shared" si="304"/>
        <v>928.48</v>
      </c>
      <c r="G2223" s="314" t="s">
        <v>5614</v>
      </c>
      <c r="H2223" s="518" t="s">
        <v>5615</v>
      </c>
      <c r="I2223" s="452" t="s">
        <v>11565</v>
      </c>
      <c r="J2223" s="369" t="s">
        <v>753</v>
      </c>
      <c r="K2223" s="452" t="s">
        <v>741</v>
      </c>
    </row>
    <row r="2224" spans="1:11">
      <c r="A2224" s="369"/>
      <c r="B2224" s="144" t="s">
        <v>5616</v>
      </c>
      <c r="C2224" s="196">
        <v>3345</v>
      </c>
      <c r="D2224" s="230">
        <f t="shared" si="303"/>
        <v>1027.5322591587517</v>
      </c>
      <c r="E2224" s="219">
        <v>150</v>
      </c>
      <c r="F2224" s="511">
        <f t="shared" si="304"/>
        <v>1177.54</v>
      </c>
      <c r="G2224" s="314" t="s">
        <v>5617</v>
      </c>
      <c r="H2224" s="518" t="s">
        <v>5618</v>
      </c>
      <c r="I2224" s="452" t="s">
        <v>11565</v>
      </c>
      <c r="J2224" s="369" t="s">
        <v>753</v>
      </c>
      <c r="K2224" s="452" t="s">
        <v>741</v>
      </c>
    </row>
    <row r="2225" spans="1:11">
      <c r="A2225" s="369"/>
      <c r="B2225" s="144" t="s">
        <v>5619</v>
      </c>
      <c r="C2225" s="196">
        <v>8392</v>
      </c>
      <c r="D2225" s="230">
        <f t="shared" si="303"/>
        <v>2577.8925915875166</v>
      </c>
      <c r="E2225" s="219">
        <v>150</v>
      </c>
      <c r="F2225" s="511">
        <f t="shared" si="304"/>
        <v>2727.9</v>
      </c>
      <c r="G2225" s="314" t="s">
        <v>5620</v>
      </c>
      <c r="H2225" s="518" t="s">
        <v>5621</v>
      </c>
      <c r="I2225" s="452" t="s">
        <v>11565</v>
      </c>
      <c r="J2225" s="369" t="s">
        <v>753</v>
      </c>
      <c r="K2225" s="452" t="s">
        <v>741</v>
      </c>
    </row>
    <row r="2226" spans="1:11">
      <c r="A2226" s="369"/>
      <c r="B2226" s="144" t="s">
        <v>5622</v>
      </c>
      <c r="C2226" s="196">
        <v>9277</v>
      </c>
      <c r="D2226" s="230">
        <f t="shared" si="303"/>
        <v>2849.7509023066482</v>
      </c>
      <c r="E2226" s="219">
        <v>150</v>
      </c>
      <c r="F2226" s="511">
        <f t="shared" si="304"/>
        <v>2999.76</v>
      </c>
      <c r="G2226" s="314" t="s">
        <v>5623</v>
      </c>
      <c r="H2226" s="518" t="s">
        <v>5624</v>
      </c>
      <c r="I2226" s="452" t="s">
        <v>11565</v>
      </c>
      <c r="J2226" s="369" t="s">
        <v>753</v>
      </c>
      <c r="K2226" s="452" t="s">
        <v>741</v>
      </c>
    </row>
    <row r="2227" spans="1:11">
      <c r="A2227" s="369"/>
      <c r="B2227" s="144" t="s">
        <v>5625</v>
      </c>
      <c r="C2227" s="196">
        <v>9936</v>
      </c>
      <c r="D2227" s="230">
        <f t="shared" si="303"/>
        <v>3052.1855088195384</v>
      </c>
      <c r="E2227" s="219">
        <v>200</v>
      </c>
      <c r="F2227" s="511">
        <f t="shared" si="304"/>
        <v>3252.19</v>
      </c>
      <c r="G2227" s="314" t="s">
        <v>5626</v>
      </c>
      <c r="H2227" s="518" t="s">
        <v>5627</v>
      </c>
      <c r="I2227" s="452" t="s">
        <v>11565</v>
      </c>
      <c r="J2227" s="369" t="s">
        <v>753</v>
      </c>
      <c r="K2227" s="452" t="s">
        <v>741</v>
      </c>
    </row>
    <row r="2228" spans="1:11">
      <c r="A2228" s="369"/>
      <c r="B2228" s="144" t="s">
        <v>6172</v>
      </c>
      <c r="C2228" s="196">
        <v>19221</v>
      </c>
      <c r="D2228" s="230">
        <f>C2228*(1-VLOOKUP(I2228,descuentos,6,FALSE))*fcl/IF(dol_sol="dólar", TC,1)</f>
        <v>5904.3938873812749</v>
      </c>
      <c r="E2228" s="219">
        <v>250</v>
      </c>
      <c r="F2228" s="511">
        <f>ROUNDUP(D2228+E2228,2)</f>
        <v>6154.4000000000005</v>
      </c>
      <c r="G2228" s="314" t="s">
        <v>6173</v>
      </c>
      <c r="H2228" s="518" t="s">
        <v>6174</v>
      </c>
      <c r="I2228" s="452" t="s">
        <v>11565</v>
      </c>
      <c r="J2228" s="369" t="s">
        <v>753</v>
      </c>
      <c r="K2228" s="452" t="s">
        <v>741</v>
      </c>
    </row>
    <row r="2229" spans="1:11">
      <c r="A2229" s="369"/>
      <c r="B2229" s="144" t="s">
        <v>7277</v>
      </c>
      <c r="C2229" s="196">
        <v>20819</v>
      </c>
      <c r="D2229" s="230">
        <f>C2229*(1-VLOOKUP(I2229,descuentos,6,FALSE))*fcl/IF(dol_sol="dólar", TC,1)</f>
        <v>6395.2747693351412</v>
      </c>
      <c r="E2229" s="219">
        <v>250</v>
      </c>
      <c r="F2229" s="511">
        <f>ROUNDUP(D2229+E2229,2)</f>
        <v>6645.2800000000007</v>
      </c>
      <c r="G2229" s="314" t="s">
        <v>7278</v>
      </c>
      <c r="H2229" s="518" t="s">
        <v>7279</v>
      </c>
      <c r="I2229" s="452" t="s">
        <v>11565</v>
      </c>
      <c r="J2229" s="369" t="s">
        <v>753</v>
      </c>
      <c r="K2229" s="452" t="s">
        <v>741</v>
      </c>
    </row>
    <row r="2230" spans="1:11">
      <c r="A2230" s="369"/>
      <c r="B2230" s="144"/>
      <c r="C2230" s="196" t="s">
        <v>2024</v>
      </c>
      <c r="D2230" s="230"/>
      <c r="E2230" s="219"/>
      <c r="F2230" s="511"/>
      <c r="G2230" s="314"/>
      <c r="H2230" s="518"/>
      <c r="I2230" s="452"/>
      <c r="J2230" s="369"/>
      <c r="K2230" s="452"/>
    </row>
    <row r="2231" spans="1:11">
      <c r="A2231" s="369"/>
      <c r="B2231" s="144" t="s">
        <v>11025</v>
      </c>
      <c r="C2231" s="196">
        <v>1803</v>
      </c>
      <c r="D2231" s="230">
        <f t="shared" ref="D2231" si="305">C2231*(1-VLOOKUP(I2231,descuentos,6,FALSE))*fcl/IF(dol_sol="dólar", TC,1)</f>
        <v>553.85371099050201</v>
      </c>
      <c r="E2231" s="215">
        <v>80</v>
      </c>
      <c r="F2231" s="511">
        <f t="shared" ref="F2231:F2237" si="306">ROUNDUP(D2231+E2231,2)</f>
        <v>633.86</v>
      </c>
      <c r="G2231" s="314" t="s">
        <v>11026</v>
      </c>
      <c r="H2231" s="518" t="s">
        <v>11027</v>
      </c>
      <c r="I2231" s="452" t="s">
        <v>11565</v>
      </c>
      <c r="J2231" s="369" t="s">
        <v>753</v>
      </c>
      <c r="K2231" s="452" t="s">
        <v>741</v>
      </c>
    </row>
    <row r="2232" spans="1:11">
      <c r="A2232" s="369"/>
      <c r="B2232" s="144" t="s">
        <v>11028</v>
      </c>
      <c r="C2232" s="196">
        <v>2202</v>
      </c>
      <c r="D2232" s="230">
        <f>C2232*(1-VLOOKUP(I2232,descuentos,6,FALSE))*fcl/IF(dol_sol="dólar", TC,1)</f>
        <v>676.42033921302573</v>
      </c>
      <c r="E2232" s="215">
        <v>80</v>
      </c>
      <c r="F2232" s="511">
        <f t="shared" si="306"/>
        <v>756.43</v>
      </c>
      <c r="G2232" s="314" t="s">
        <v>11029</v>
      </c>
      <c r="H2232" s="518" t="s">
        <v>11030</v>
      </c>
      <c r="I2232" s="452" t="s">
        <v>11565</v>
      </c>
      <c r="J2232" s="369" t="s">
        <v>753</v>
      </c>
      <c r="K2232" s="452" t="s">
        <v>741</v>
      </c>
    </row>
    <row r="2233" spans="1:11">
      <c r="A2233" s="369"/>
      <c r="B2233" s="144" t="s">
        <v>11031</v>
      </c>
      <c r="C2233" s="196">
        <v>2369</v>
      </c>
      <c r="D2233" s="230">
        <f t="shared" ref="D2233:D2237" si="307">C2233*(1-VLOOKUP(I2233,descuentos,6,FALSE))*fcl/IF(dol_sol="dólar", TC,1)</f>
        <v>727.72015603799173</v>
      </c>
      <c r="E2233" s="215">
        <v>80</v>
      </c>
      <c r="F2233" s="511">
        <f t="shared" si="306"/>
        <v>807.73</v>
      </c>
      <c r="G2233" s="314" t="s">
        <v>11032</v>
      </c>
      <c r="H2233" s="518" t="s">
        <v>11033</v>
      </c>
      <c r="I2233" s="452" t="s">
        <v>11565</v>
      </c>
      <c r="J2233" s="369" t="s">
        <v>753</v>
      </c>
      <c r="K2233" s="452" t="s">
        <v>741</v>
      </c>
    </row>
    <row r="2234" spans="1:11">
      <c r="A2234" s="369"/>
      <c r="B2234" s="144" t="s">
        <v>11034</v>
      </c>
      <c r="C2234" s="196">
        <v>2770</v>
      </c>
      <c r="D2234" s="230">
        <f t="shared" si="307"/>
        <v>850.90115332428752</v>
      </c>
      <c r="E2234" s="215">
        <v>100</v>
      </c>
      <c r="F2234" s="511">
        <f t="shared" si="306"/>
        <v>950.91</v>
      </c>
      <c r="G2234" s="314" t="s">
        <v>11035</v>
      </c>
      <c r="H2234" s="518" t="s">
        <v>11036</v>
      </c>
      <c r="I2234" s="452" t="s">
        <v>11565</v>
      </c>
      <c r="J2234" s="369" t="s">
        <v>753</v>
      </c>
      <c r="K2234" s="452" t="s">
        <v>741</v>
      </c>
    </row>
    <row r="2235" spans="1:11">
      <c r="A2235" s="369"/>
      <c r="B2235" s="144" t="s">
        <v>11037</v>
      </c>
      <c r="C2235" s="196">
        <v>4100</v>
      </c>
      <c r="D2235" s="230">
        <f t="shared" si="307"/>
        <v>1259.4565807327001</v>
      </c>
      <c r="E2235" s="215">
        <v>100</v>
      </c>
      <c r="F2235" s="511">
        <f t="shared" si="306"/>
        <v>1359.46</v>
      </c>
      <c r="G2235" s="314" t="s">
        <v>11038</v>
      </c>
      <c r="H2235" s="518" t="s">
        <v>11039</v>
      </c>
      <c r="I2235" s="452" t="s">
        <v>11565</v>
      </c>
      <c r="J2235" s="369" t="s">
        <v>753</v>
      </c>
      <c r="K2235" s="452" t="s">
        <v>741</v>
      </c>
    </row>
    <row r="2236" spans="1:11">
      <c r="A2236" s="369"/>
      <c r="B2236" s="144" t="s">
        <v>11040</v>
      </c>
      <c r="C2236" s="196">
        <v>5153</v>
      </c>
      <c r="D2236" s="230">
        <f t="shared" si="307"/>
        <v>1582.9218928086837</v>
      </c>
      <c r="E2236" s="220">
        <v>100</v>
      </c>
      <c r="F2236" s="511">
        <f t="shared" si="306"/>
        <v>1682.93</v>
      </c>
      <c r="G2236" s="314" t="s">
        <v>11041</v>
      </c>
      <c r="H2236" s="518" t="s">
        <v>11042</v>
      </c>
      <c r="I2236" s="452" t="s">
        <v>11565</v>
      </c>
      <c r="J2236" s="369" t="s">
        <v>753</v>
      </c>
      <c r="K2236" s="452" t="s">
        <v>741</v>
      </c>
    </row>
    <row r="2237" spans="1:11">
      <c r="A2237" s="369"/>
      <c r="B2237" s="144" t="s">
        <v>11043</v>
      </c>
      <c r="C2237" s="196">
        <v>5847</v>
      </c>
      <c r="D2237" s="230">
        <f t="shared" si="307"/>
        <v>1796.1079579375848</v>
      </c>
      <c r="E2237" s="219">
        <v>150</v>
      </c>
      <c r="F2237" s="511">
        <f t="shared" si="306"/>
        <v>1946.11</v>
      </c>
      <c r="G2237" s="314" t="s">
        <v>11044</v>
      </c>
      <c r="H2237" s="518" t="s">
        <v>11045</v>
      </c>
      <c r="I2237" s="452" t="s">
        <v>11565</v>
      </c>
      <c r="J2237" s="369" t="s">
        <v>753</v>
      </c>
      <c r="K2237" s="452" t="s">
        <v>741</v>
      </c>
    </row>
    <row r="2238" spans="1:11">
      <c r="A2238" s="369"/>
      <c r="B2238" s="144"/>
      <c r="C2238" s="196" t="s">
        <v>2024</v>
      </c>
      <c r="D2238" s="230"/>
      <c r="E2238" s="219"/>
      <c r="F2238" s="511"/>
      <c r="G2238" s="314"/>
      <c r="H2238" s="518"/>
      <c r="I2238" s="452"/>
      <c r="J2238" s="369"/>
      <c r="K2238" s="452"/>
    </row>
    <row r="2239" spans="1:11">
      <c r="A2239" s="1623"/>
      <c r="B2239" s="144" t="s">
        <v>9856</v>
      </c>
      <c r="C2239" s="196">
        <v>254</v>
      </c>
      <c r="D2239" s="230">
        <f t="shared" ref="D2239" si="308">C2239*(1-VLOOKUP(I2239,descuentos,6,FALSE))*fcl/IF(dol_sol="dólar", TC,1)</f>
        <v>78.024871099050188</v>
      </c>
      <c r="E2239" s="219">
        <v>15</v>
      </c>
      <c r="F2239" s="511">
        <f t="shared" ref="F2239" si="309">ROUNDUP(D2239+E2239,2)</f>
        <v>93.03</v>
      </c>
      <c r="G2239" s="314" t="s">
        <v>9857</v>
      </c>
      <c r="H2239" s="518" t="s">
        <v>9858</v>
      </c>
      <c r="I2239" s="452" t="s">
        <v>11565</v>
      </c>
      <c r="J2239" s="369" t="s">
        <v>753</v>
      </c>
      <c r="K2239" s="452" t="s">
        <v>741</v>
      </c>
    </row>
    <row r="2240" spans="1:11" s="185" customFormat="1">
      <c r="A2240" s="1800"/>
      <c r="B2240" s="144"/>
      <c r="C2240" s="196"/>
      <c r="D2240" s="230"/>
      <c r="E2240" s="219"/>
      <c r="F2240" s="511"/>
      <c r="G2240" s="314"/>
      <c r="H2240" s="518"/>
      <c r="I2240" s="452"/>
      <c r="J2240" s="369"/>
      <c r="K2240" s="452"/>
    </row>
    <row r="2241" spans="1:11" s="185" customFormat="1">
      <c r="A2241" s="1800"/>
      <c r="B2241" s="369" t="s">
        <v>11709</v>
      </c>
      <c r="C2241" s="196"/>
      <c r="D2241" s="230"/>
      <c r="E2241" s="219"/>
      <c r="F2241" s="511"/>
      <c r="G2241" s="314"/>
      <c r="H2241" s="518"/>
      <c r="I2241" s="452"/>
      <c r="J2241" s="369"/>
      <c r="K2241" s="452"/>
    </row>
    <row r="2242" spans="1:11">
      <c r="A2242" s="369"/>
      <c r="B2242" s="144" t="s">
        <v>11710</v>
      </c>
      <c r="C2242" s="196">
        <v>19</v>
      </c>
      <c r="D2242" s="230">
        <f t="shared" ref="D2242" si="310">C2242*(1-VLOOKUP(I2242,descuentos,6,FALSE))*fcl/IF(dol_sol="dólar", TC,1)</f>
        <v>5.8365061058344638</v>
      </c>
      <c r="E2242" s="215">
        <v>80</v>
      </c>
      <c r="F2242" s="511">
        <f t="shared" ref="F2242:F2243" si="311">ROUNDUP(D2242+E2242,2)</f>
        <v>85.84</v>
      </c>
      <c r="G2242" s="314" t="s">
        <v>11711</v>
      </c>
      <c r="H2242" s="518" t="s">
        <v>11712</v>
      </c>
      <c r="I2242" s="452" t="s">
        <v>11565</v>
      </c>
      <c r="J2242" s="369" t="s">
        <v>753</v>
      </c>
      <c r="K2242" s="452" t="s">
        <v>741</v>
      </c>
    </row>
    <row r="2243" spans="1:11">
      <c r="A2243" s="369"/>
      <c r="B2243" s="144" t="s">
        <v>11713</v>
      </c>
      <c r="C2243" s="196">
        <v>85</v>
      </c>
      <c r="D2243" s="230">
        <f t="shared" ref="D2243" si="312">C2243*(1-VLOOKUP(I2243,descuentos,6,FALSE))*fcl/IF(dol_sol="dólar", TC,1)</f>
        <v>26.11068521031207</v>
      </c>
      <c r="E2243" s="215">
        <v>80</v>
      </c>
      <c r="F2243" s="511">
        <f t="shared" si="311"/>
        <v>106.12</v>
      </c>
      <c r="G2243" s="314" t="s">
        <v>11714</v>
      </c>
      <c r="H2243" s="518" t="s">
        <v>11715</v>
      </c>
      <c r="I2243" s="452" t="s">
        <v>11565</v>
      </c>
      <c r="J2243" s="369" t="s">
        <v>753</v>
      </c>
      <c r="K2243" s="452" t="s">
        <v>741</v>
      </c>
    </row>
    <row r="2244" spans="1:11">
      <c r="A2244" s="369"/>
      <c r="B2244" s="144"/>
      <c r="C2244" s="196"/>
      <c r="D2244" s="230"/>
      <c r="E2244" s="215"/>
      <c r="F2244" s="511"/>
      <c r="G2244" s="314"/>
      <c r="H2244" s="518"/>
      <c r="I2244" s="452"/>
      <c r="J2244" s="369"/>
      <c r="K2244" s="452"/>
    </row>
    <row r="2245" spans="1:11">
      <c r="A2245" s="369"/>
      <c r="B2245" s="144"/>
      <c r="C2245" s="196" t="s">
        <v>2024</v>
      </c>
      <c r="D2245" s="230"/>
      <c r="E2245" s="219"/>
      <c r="F2245" s="511"/>
      <c r="G2245" s="314"/>
      <c r="H2245" s="518"/>
      <c r="I2245" s="452"/>
      <c r="J2245" s="369"/>
      <c r="K2245" s="452"/>
    </row>
    <row r="2246" spans="1:11">
      <c r="A2246" s="369"/>
      <c r="B2246" s="144"/>
      <c r="C2246" s="196" t="s">
        <v>2024</v>
      </c>
      <c r="D2246" s="230"/>
      <c r="E2246" s="215"/>
      <c r="F2246" s="511"/>
      <c r="G2246" s="314"/>
      <c r="H2246" s="518"/>
      <c r="I2246" s="452"/>
      <c r="J2246" s="369"/>
      <c r="K2246" s="452"/>
    </row>
    <row r="2247" spans="1:11">
      <c r="A2247" s="369"/>
      <c r="B2247" s="144" t="s">
        <v>774</v>
      </c>
      <c r="C2247" s="196">
        <v>5001</v>
      </c>
      <c r="D2247" s="230">
        <f t="shared" ref="D2247:D2252" si="313">C2247*(1-VLOOKUP(I2247,descuentos,6,FALSE))*fcl/IF(dol_sol="dólar", TC,1)</f>
        <v>1536.2298439620079</v>
      </c>
      <c r="E2247" s="219">
        <v>100</v>
      </c>
      <c r="F2247" s="511">
        <f t="shared" si="300"/>
        <v>1636.23</v>
      </c>
      <c r="G2247" s="314" t="s">
        <v>2394</v>
      </c>
      <c r="H2247" s="518" t="s">
        <v>775</v>
      </c>
      <c r="I2247" s="452" t="s">
        <v>11565</v>
      </c>
      <c r="J2247" s="369" t="s">
        <v>753</v>
      </c>
      <c r="K2247" s="452" t="s">
        <v>741</v>
      </c>
    </row>
    <row r="2248" spans="1:11">
      <c r="A2248" s="369"/>
      <c r="B2248" s="144" t="s">
        <v>776</v>
      </c>
      <c r="C2248" s="196">
        <v>5001</v>
      </c>
      <c r="D2248" s="230">
        <f t="shared" si="313"/>
        <v>1536.2298439620079</v>
      </c>
      <c r="E2248" s="219">
        <v>100</v>
      </c>
      <c r="F2248" s="511">
        <f t="shared" si="300"/>
        <v>1636.23</v>
      </c>
      <c r="G2248" s="314" t="s">
        <v>2395</v>
      </c>
      <c r="H2248" s="518" t="s">
        <v>777</v>
      </c>
      <c r="I2248" s="452" t="s">
        <v>11565</v>
      </c>
      <c r="J2248" s="369" t="s">
        <v>753</v>
      </c>
      <c r="K2248" s="452" t="s">
        <v>741</v>
      </c>
    </row>
    <row r="2249" spans="1:11">
      <c r="A2249" s="369"/>
      <c r="B2249" s="144" t="s">
        <v>778</v>
      </c>
      <c r="C2249" s="196">
        <v>5065</v>
      </c>
      <c r="D2249" s="230">
        <f t="shared" si="313"/>
        <v>1555.8896540027138</v>
      </c>
      <c r="E2249" s="219">
        <v>100</v>
      </c>
      <c r="F2249" s="511">
        <f t="shared" si="300"/>
        <v>1655.89</v>
      </c>
      <c r="G2249" s="314" t="s">
        <v>2396</v>
      </c>
      <c r="H2249" s="518" t="s">
        <v>779</v>
      </c>
      <c r="I2249" s="452" t="s">
        <v>11565</v>
      </c>
      <c r="J2249" s="369" t="s">
        <v>753</v>
      </c>
      <c r="K2249" s="452" t="s">
        <v>741</v>
      </c>
    </row>
    <row r="2250" spans="1:11">
      <c r="A2250" s="369"/>
      <c r="B2250" s="144" t="s">
        <v>780</v>
      </c>
      <c r="C2250" s="196">
        <v>5125</v>
      </c>
      <c r="D2250" s="230">
        <f t="shared" si="313"/>
        <v>1574.3207259158748</v>
      </c>
      <c r="E2250" s="219">
        <v>100</v>
      </c>
      <c r="F2250" s="511">
        <f t="shared" si="300"/>
        <v>1674.33</v>
      </c>
      <c r="G2250" s="314" t="s">
        <v>2397</v>
      </c>
      <c r="H2250" s="518" t="s">
        <v>781</v>
      </c>
      <c r="I2250" s="452" t="s">
        <v>11565</v>
      </c>
      <c r="J2250" s="369" t="s">
        <v>753</v>
      </c>
      <c r="K2250" s="452" t="s">
        <v>741</v>
      </c>
    </row>
    <row r="2251" spans="1:11">
      <c r="A2251" s="369"/>
      <c r="B2251" s="144" t="s">
        <v>784</v>
      </c>
      <c r="C2251" s="196">
        <v>5551</v>
      </c>
      <c r="D2251" s="230">
        <f t="shared" si="313"/>
        <v>1705.1813364993216</v>
      </c>
      <c r="E2251" s="219">
        <v>100</v>
      </c>
      <c r="F2251" s="511">
        <f t="shared" si="300"/>
        <v>1805.19</v>
      </c>
      <c r="G2251" s="314" t="s">
        <v>2398</v>
      </c>
      <c r="H2251" s="518" t="s">
        <v>782</v>
      </c>
      <c r="I2251" s="452" t="s">
        <v>11565</v>
      </c>
      <c r="J2251" s="369" t="s">
        <v>753</v>
      </c>
      <c r="K2251" s="452" t="s">
        <v>741</v>
      </c>
    </row>
    <row r="2252" spans="1:11">
      <c r="A2252" s="369"/>
      <c r="B2252" s="144" t="s">
        <v>785</v>
      </c>
      <c r="C2252" s="196">
        <v>5593</v>
      </c>
      <c r="D2252" s="230">
        <f t="shared" si="313"/>
        <v>1718.0830868385347</v>
      </c>
      <c r="E2252" s="220">
        <v>100</v>
      </c>
      <c r="F2252" s="511">
        <f t="shared" si="300"/>
        <v>1818.09</v>
      </c>
      <c r="G2252" s="314" t="s">
        <v>2399</v>
      </c>
      <c r="H2252" s="518" t="s">
        <v>783</v>
      </c>
      <c r="I2252" s="452" t="s">
        <v>11565</v>
      </c>
      <c r="J2252" s="369" t="s">
        <v>753</v>
      </c>
      <c r="K2252" s="452" t="s">
        <v>741</v>
      </c>
    </row>
    <row r="2253" spans="1:11">
      <c r="A2253" s="369"/>
      <c r="B2253" s="144"/>
      <c r="C2253" s="196" t="s">
        <v>2024</v>
      </c>
      <c r="D2253" s="230"/>
      <c r="E2253" s="215"/>
      <c r="F2253" s="511"/>
      <c r="G2253" s="314"/>
      <c r="H2253" s="518"/>
      <c r="I2253" s="452"/>
      <c r="J2253" s="369"/>
      <c r="K2253" s="452"/>
    </row>
    <row r="2254" spans="1:11">
      <c r="A2254" s="369"/>
      <c r="B2254" s="144" t="s">
        <v>1374</v>
      </c>
      <c r="C2254" s="196">
        <v>5107</v>
      </c>
      <c r="D2254" s="230">
        <f t="shared" ref="D2254:D2259" si="314">C2254*(1-VLOOKUP(I2254,descuentos,6,FALSE))*fcl/IF(dol_sol="dólar", TC,1)</f>
        <v>1568.7914043419264</v>
      </c>
      <c r="E2254" s="219">
        <v>100</v>
      </c>
      <c r="F2254" s="511">
        <f t="shared" si="300"/>
        <v>1668.8</v>
      </c>
      <c r="G2254" s="314" t="s">
        <v>4624</v>
      </c>
      <c r="H2254" s="518" t="s">
        <v>1380</v>
      </c>
      <c r="I2254" s="452" t="s">
        <v>11565</v>
      </c>
      <c r="J2254" s="369" t="s">
        <v>753</v>
      </c>
      <c r="K2254" s="452" t="s">
        <v>741</v>
      </c>
    </row>
    <row r="2255" spans="1:11">
      <c r="A2255" s="369"/>
      <c r="B2255" s="144" t="s">
        <v>1375</v>
      </c>
      <c r="C2255" s="196">
        <v>5107</v>
      </c>
      <c r="D2255" s="230">
        <f t="shared" si="314"/>
        <v>1568.7914043419264</v>
      </c>
      <c r="E2255" s="219">
        <v>100</v>
      </c>
      <c r="F2255" s="511">
        <f t="shared" si="300"/>
        <v>1668.8</v>
      </c>
      <c r="G2255" s="314" t="s">
        <v>4625</v>
      </c>
      <c r="H2255" s="518" t="s">
        <v>1381</v>
      </c>
      <c r="I2255" s="452" t="s">
        <v>11565</v>
      </c>
      <c r="J2255" s="369" t="s">
        <v>753</v>
      </c>
      <c r="K2255" s="452" t="s">
        <v>741</v>
      </c>
    </row>
    <row r="2256" spans="1:11">
      <c r="A2256" s="369"/>
      <c r="B2256" s="144" t="s">
        <v>1376</v>
      </c>
      <c r="C2256" s="196">
        <v>5165</v>
      </c>
      <c r="D2256" s="230">
        <f t="shared" si="314"/>
        <v>1586.6081071913159</v>
      </c>
      <c r="E2256" s="219">
        <v>100</v>
      </c>
      <c r="F2256" s="511">
        <f t="shared" si="300"/>
        <v>1686.61</v>
      </c>
      <c r="G2256" s="314" t="s">
        <v>4626</v>
      </c>
      <c r="H2256" s="518" t="s">
        <v>1382</v>
      </c>
      <c r="I2256" s="452" t="s">
        <v>11565</v>
      </c>
      <c r="J2256" s="369" t="s">
        <v>753</v>
      </c>
      <c r="K2256" s="452" t="s">
        <v>741</v>
      </c>
    </row>
    <row r="2257" spans="1:11">
      <c r="A2257" s="369"/>
      <c r="B2257" s="144" t="s">
        <v>1377</v>
      </c>
      <c r="C2257" s="196">
        <v>5353</v>
      </c>
      <c r="D2257" s="230">
        <f t="shared" si="314"/>
        <v>1644.3587991858885</v>
      </c>
      <c r="E2257" s="219">
        <v>100</v>
      </c>
      <c r="F2257" s="511">
        <f t="shared" si="300"/>
        <v>1744.36</v>
      </c>
      <c r="G2257" s="314" t="s">
        <v>4627</v>
      </c>
      <c r="H2257" s="518" t="s">
        <v>1383</v>
      </c>
      <c r="I2257" s="452" t="s">
        <v>11565</v>
      </c>
      <c r="J2257" s="369" t="s">
        <v>753</v>
      </c>
      <c r="K2257" s="452" t="s">
        <v>741</v>
      </c>
    </row>
    <row r="2258" spans="1:11">
      <c r="A2258" s="369"/>
      <c r="B2258" s="144" t="s">
        <v>1378</v>
      </c>
      <c r="C2258" s="196">
        <v>6105</v>
      </c>
      <c r="D2258" s="230">
        <f t="shared" si="314"/>
        <v>1875.3615671641792</v>
      </c>
      <c r="E2258" s="219">
        <v>100</v>
      </c>
      <c r="F2258" s="511">
        <f t="shared" si="300"/>
        <v>1975.37</v>
      </c>
      <c r="G2258" s="314" t="s">
        <v>4628</v>
      </c>
      <c r="H2258" s="518" t="s">
        <v>1384</v>
      </c>
      <c r="I2258" s="452" t="s">
        <v>11565</v>
      </c>
      <c r="J2258" s="369" t="s">
        <v>753</v>
      </c>
      <c r="K2258" s="452" t="s">
        <v>741</v>
      </c>
    </row>
    <row r="2259" spans="1:11">
      <c r="A2259" s="369"/>
      <c r="B2259" s="144" t="s">
        <v>1379</v>
      </c>
      <c r="C2259" s="196">
        <v>6185</v>
      </c>
      <c r="D2259" s="230">
        <f t="shared" si="314"/>
        <v>1899.9363297150608</v>
      </c>
      <c r="E2259" s="219">
        <v>100</v>
      </c>
      <c r="F2259" s="511">
        <f t="shared" si="300"/>
        <v>1999.94</v>
      </c>
      <c r="G2259" s="314" t="s">
        <v>4629</v>
      </c>
      <c r="H2259" s="518" t="s">
        <v>1385</v>
      </c>
      <c r="I2259" s="452" t="s">
        <v>11565</v>
      </c>
      <c r="J2259" s="369" t="s">
        <v>753</v>
      </c>
      <c r="K2259" s="452" t="s">
        <v>741</v>
      </c>
    </row>
    <row r="2260" spans="1:11">
      <c r="A2260" s="369"/>
      <c r="B2260" s="144"/>
      <c r="C2260" s="196" t="s">
        <v>2024</v>
      </c>
      <c r="D2260" s="230"/>
      <c r="E2260" s="219"/>
      <c r="F2260" s="511"/>
      <c r="G2260" s="314"/>
      <c r="H2260" s="518"/>
      <c r="I2260" s="452"/>
      <c r="J2260" s="369"/>
      <c r="K2260" s="452"/>
    </row>
    <row r="2261" spans="1:11">
      <c r="A2261" s="369"/>
      <c r="B2261" s="144" t="s">
        <v>786</v>
      </c>
      <c r="C2261" s="196">
        <v>10696</v>
      </c>
      <c r="D2261" s="230">
        <f>C2261*(1-VLOOKUP(I2261,descuentos,6,FALSE))*fcl/IF(dol_sol="dólar", TC,1)</f>
        <v>3285.6457530529169</v>
      </c>
      <c r="E2261" s="219">
        <v>120</v>
      </c>
      <c r="F2261" s="511">
        <f t="shared" si="300"/>
        <v>3405.65</v>
      </c>
      <c r="G2261" s="314" t="s">
        <v>4630</v>
      </c>
      <c r="H2261" s="518" t="s">
        <v>790</v>
      </c>
      <c r="I2261" s="452" t="s">
        <v>11565</v>
      </c>
      <c r="J2261" s="369" t="s">
        <v>753</v>
      </c>
      <c r="K2261" s="452" t="s">
        <v>741</v>
      </c>
    </row>
    <row r="2262" spans="1:11">
      <c r="A2262" s="369"/>
      <c r="B2262" s="144" t="s">
        <v>792</v>
      </c>
      <c r="C2262" s="196">
        <v>11942</v>
      </c>
      <c r="D2262" s="230">
        <f>C2262*(1-VLOOKUP(I2262,descuentos,6,FALSE))*fcl/IF(dol_sol="dólar", TC,1)</f>
        <v>3668.3976797829041</v>
      </c>
      <c r="E2262" s="219">
        <v>120</v>
      </c>
      <c r="F2262" s="511">
        <f t="shared" si="300"/>
        <v>3788.4</v>
      </c>
      <c r="G2262" s="314" t="s">
        <v>4631</v>
      </c>
      <c r="H2262" s="518" t="s">
        <v>791</v>
      </c>
      <c r="I2262" s="452" t="s">
        <v>11565</v>
      </c>
      <c r="J2262" s="369" t="s">
        <v>753</v>
      </c>
      <c r="K2262" s="452" t="s">
        <v>741</v>
      </c>
    </row>
    <row r="2263" spans="1:11">
      <c r="A2263" s="369"/>
      <c r="B2263" s="144" t="s">
        <v>794</v>
      </c>
      <c r="C2263" s="196">
        <v>20197</v>
      </c>
      <c r="D2263" s="230">
        <f>C2263*(1-VLOOKUP(I2263,descuentos,6,FALSE))*fcl/IF(dol_sol="dólar", TC,1)</f>
        <v>6204.2059905020351</v>
      </c>
      <c r="E2263" s="219">
        <v>120</v>
      </c>
      <c r="F2263" s="511">
        <f t="shared" si="300"/>
        <v>6324.21</v>
      </c>
      <c r="G2263" s="314" t="s">
        <v>4632</v>
      </c>
      <c r="H2263" s="518" t="s">
        <v>793</v>
      </c>
      <c r="I2263" s="452" t="s">
        <v>11565</v>
      </c>
      <c r="J2263" s="369" t="s">
        <v>753</v>
      </c>
      <c r="K2263" s="452" t="s">
        <v>741</v>
      </c>
    </row>
    <row r="2264" spans="1:11">
      <c r="A2264" s="369"/>
      <c r="B2264" s="144" t="s">
        <v>1544</v>
      </c>
      <c r="C2264" s="196">
        <v>23517</v>
      </c>
      <c r="D2264" s="230">
        <f>C2264*(1-VLOOKUP(I2264,descuentos,6,FALSE))*fcl/IF(dol_sol="dólar", TC,1)</f>
        <v>7224.0586363636357</v>
      </c>
      <c r="E2264" s="219">
        <v>120</v>
      </c>
      <c r="F2264" s="511">
        <f t="shared" si="300"/>
        <v>7344.06</v>
      </c>
      <c r="G2264" s="314" t="s">
        <v>4633</v>
      </c>
      <c r="H2264" s="518" t="s">
        <v>1545</v>
      </c>
      <c r="I2264" s="452" t="s">
        <v>11565</v>
      </c>
      <c r="J2264" s="369" t="s">
        <v>753</v>
      </c>
      <c r="K2264" s="452" t="s">
        <v>741</v>
      </c>
    </row>
    <row r="2265" spans="1:11">
      <c r="A2265" s="369"/>
      <c r="B2265" s="144"/>
      <c r="C2265" s="196" t="s">
        <v>2024</v>
      </c>
      <c r="D2265" s="230"/>
      <c r="E2265" s="219"/>
      <c r="F2265" s="511"/>
      <c r="G2265" s="314"/>
      <c r="H2265" s="518"/>
      <c r="I2265" s="452"/>
      <c r="J2265" s="369"/>
      <c r="K2265" s="452"/>
    </row>
    <row r="2266" spans="1:11">
      <c r="A2266" s="369"/>
      <c r="B2266" s="144" t="s">
        <v>1255</v>
      </c>
      <c r="C2266" s="196">
        <v>11132</v>
      </c>
      <c r="D2266" s="230">
        <f t="shared" ref="D2266:D2271" si="315">C2266*(1-VLOOKUP(I2266,descuentos,6,FALSE))*fcl/IF(dol_sol="dólar", TC,1)</f>
        <v>3419.578208955224</v>
      </c>
      <c r="E2266" s="219">
        <v>120</v>
      </c>
      <c r="F2266" s="511">
        <f t="shared" ref="F2266:F2280" si="316">ROUNDUP(D2266+E2266,2)</f>
        <v>3539.5800000000004</v>
      </c>
      <c r="G2266" s="314" t="s">
        <v>4634</v>
      </c>
      <c r="H2266" s="518" t="s">
        <v>1256</v>
      </c>
      <c r="I2266" s="452" t="s">
        <v>11565</v>
      </c>
      <c r="J2266" s="369" t="s">
        <v>753</v>
      </c>
      <c r="K2266" s="452" t="s">
        <v>741</v>
      </c>
    </row>
    <row r="2267" spans="1:11">
      <c r="A2267" s="369"/>
      <c r="B2267" s="144" t="s">
        <v>1254</v>
      </c>
      <c r="C2267" s="196">
        <v>12802</v>
      </c>
      <c r="D2267" s="230">
        <f t="shared" si="315"/>
        <v>3932.5763772048845</v>
      </c>
      <c r="E2267" s="219">
        <v>120</v>
      </c>
      <c r="F2267" s="511">
        <f t="shared" si="316"/>
        <v>4052.5800000000004</v>
      </c>
      <c r="G2267" s="314" t="s">
        <v>4635</v>
      </c>
      <c r="H2267" s="518" t="s">
        <v>1259</v>
      </c>
      <c r="I2267" s="452" t="s">
        <v>11565</v>
      </c>
      <c r="J2267" s="369" t="s">
        <v>753</v>
      </c>
      <c r="K2267" s="452" t="s">
        <v>741</v>
      </c>
    </row>
    <row r="2268" spans="1:11">
      <c r="A2268" s="369"/>
      <c r="B2268" s="144" t="s">
        <v>1260</v>
      </c>
      <c r="C2268" s="196">
        <v>22287</v>
      </c>
      <c r="D2268" s="230">
        <f t="shared" si="315"/>
        <v>6846.2216621438256</v>
      </c>
      <c r="E2268" s="219">
        <v>150</v>
      </c>
      <c r="F2268" s="511">
        <f t="shared" si="316"/>
        <v>6996.2300000000005</v>
      </c>
      <c r="G2268" s="314" t="s">
        <v>4636</v>
      </c>
      <c r="H2268" s="518" t="s">
        <v>1261</v>
      </c>
      <c r="I2268" s="452" t="s">
        <v>11565</v>
      </c>
      <c r="J2268" s="369" t="s">
        <v>753</v>
      </c>
      <c r="K2268" s="452" t="s">
        <v>741</v>
      </c>
    </row>
    <row r="2269" spans="1:11" s="185" customFormat="1">
      <c r="A2269" s="369"/>
      <c r="B2269" s="144" t="s">
        <v>1262</v>
      </c>
      <c r="C2269" s="196">
        <v>24301</v>
      </c>
      <c r="D2269" s="230">
        <f t="shared" si="315"/>
        <v>7464.8913093622787</v>
      </c>
      <c r="E2269" s="219">
        <v>150</v>
      </c>
      <c r="F2269" s="511">
        <f t="shared" si="316"/>
        <v>7614.9000000000005</v>
      </c>
      <c r="G2269" s="314" t="s">
        <v>4637</v>
      </c>
      <c r="H2269" s="518" t="s">
        <v>1263</v>
      </c>
      <c r="I2269" s="452" t="s">
        <v>11565</v>
      </c>
      <c r="J2269" s="369" t="s">
        <v>753</v>
      </c>
      <c r="K2269" s="452" t="s">
        <v>741</v>
      </c>
    </row>
    <row r="2270" spans="1:11" s="185" customFormat="1">
      <c r="A2270" s="515"/>
      <c r="B2270" s="144" t="s">
        <v>1257</v>
      </c>
      <c r="C2270" s="196">
        <v>30513</v>
      </c>
      <c r="D2270" s="230">
        <f t="shared" si="315"/>
        <v>9373.1216214382621</v>
      </c>
      <c r="E2270" s="219">
        <v>180</v>
      </c>
      <c r="F2270" s="511">
        <f t="shared" si="316"/>
        <v>9553.130000000001</v>
      </c>
      <c r="G2270" s="314" t="s">
        <v>4638</v>
      </c>
      <c r="H2270" s="145" t="s">
        <v>2400</v>
      </c>
      <c r="I2270" s="452" t="s">
        <v>11565</v>
      </c>
      <c r="J2270" s="369" t="s">
        <v>753</v>
      </c>
      <c r="K2270" s="452" t="s">
        <v>741</v>
      </c>
    </row>
    <row r="2271" spans="1:11" s="185" customFormat="1">
      <c r="A2271" s="369"/>
      <c r="B2271" s="144" t="s">
        <v>1258</v>
      </c>
      <c r="C2271" s="196">
        <v>36709</v>
      </c>
      <c r="D2271" s="230">
        <f t="shared" si="315"/>
        <v>11276.43698100407</v>
      </c>
      <c r="E2271" s="219">
        <v>180</v>
      </c>
      <c r="F2271" s="511">
        <f t="shared" si="316"/>
        <v>11456.44</v>
      </c>
      <c r="G2271" s="314" t="s">
        <v>4639</v>
      </c>
      <c r="H2271" s="145" t="s">
        <v>2401</v>
      </c>
      <c r="I2271" s="452" t="s">
        <v>11565</v>
      </c>
      <c r="J2271" s="369" t="s">
        <v>753</v>
      </c>
      <c r="K2271" s="452" t="s">
        <v>741</v>
      </c>
    </row>
    <row r="2272" spans="1:11" s="185" customFormat="1">
      <c r="A2272" s="515"/>
      <c r="B2272" s="144"/>
      <c r="C2272" s="196" t="s">
        <v>2024</v>
      </c>
      <c r="D2272" s="230"/>
      <c r="E2272" s="219"/>
      <c r="F2272" s="511"/>
      <c r="G2272" s="314"/>
      <c r="H2272" s="518"/>
      <c r="I2272" s="452"/>
      <c r="J2272" s="369"/>
      <c r="K2272" s="452"/>
    </row>
    <row r="2273" spans="1:11" s="317" customFormat="1">
      <c r="A2273" s="369"/>
      <c r="B2273" s="144" t="s">
        <v>2898</v>
      </c>
      <c r="C2273" s="196">
        <v>5125</v>
      </c>
      <c r="D2273" s="230">
        <f>C2273*(1-VLOOKUP(I2273,descuentos,6,FALSE))*fcl/IF(dol_sol="dólar", TC,1)</f>
        <v>1574.3207259158748</v>
      </c>
      <c r="E2273" s="219">
        <v>100</v>
      </c>
      <c r="F2273" s="511">
        <f>ROUNDUP(D2273+E2273,2)</f>
        <v>1674.33</v>
      </c>
      <c r="G2273" s="314" t="s">
        <v>2397</v>
      </c>
      <c r="H2273" s="518" t="s">
        <v>781</v>
      </c>
      <c r="I2273" s="452" t="s">
        <v>11565</v>
      </c>
      <c r="J2273" s="369" t="s">
        <v>753</v>
      </c>
      <c r="K2273" s="452" t="s">
        <v>741</v>
      </c>
    </row>
    <row r="2274" spans="1:11" s="185" customFormat="1">
      <c r="A2274" s="369"/>
      <c r="B2274" s="518"/>
      <c r="C2274" s="196" t="s">
        <v>2024</v>
      </c>
      <c r="D2274" s="230"/>
      <c r="E2274" s="215"/>
      <c r="F2274" s="511"/>
      <c r="G2274" s="518"/>
      <c r="H2274" s="518"/>
      <c r="I2274" s="452"/>
      <c r="J2274" s="515"/>
      <c r="K2274" s="452"/>
    </row>
    <row r="2275" spans="1:11" s="185" customFormat="1">
      <c r="A2275" s="369"/>
      <c r="B2275" s="144" t="s">
        <v>1264</v>
      </c>
      <c r="C2275" s="196">
        <v>37456</v>
      </c>
      <c r="D2275" s="230">
        <f t="shared" ref="D2275:D2280" si="317">C2275*(1-VLOOKUP(I2275,descuentos,6,FALSE))*fcl/IF(dol_sol="dólar", TC,1)</f>
        <v>11505.903826322932</v>
      </c>
      <c r="E2275" s="219">
        <v>180</v>
      </c>
      <c r="F2275" s="511">
        <f t="shared" si="316"/>
        <v>11685.91</v>
      </c>
      <c r="G2275" s="314" t="s">
        <v>1566</v>
      </c>
      <c r="H2275" s="518" t="s">
        <v>1265</v>
      </c>
      <c r="I2275" s="452" t="s">
        <v>11565</v>
      </c>
      <c r="J2275" s="369" t="s">
        <v>753</v>
      </c>
      <c r="K2275" s="452" t="s">
        <v>741</v>
      </c>
    </row>
    <row r="2276" spans="1:11" s="185" customFormat="1">
      <c r="A2276" s="369"/>
      <c r="B2276" s="144" t="s">
        <v>1267</v>
      </c>
      <c r="C2276" s="196">
        <v>38588</v>
      </c>
      <c r="D2276" s="230">
        <f t="shared" si="317"/>
        <v>11853.63671641791</v>
      </c>
      <c r="E2276" s="219">
        <v>180</v>
      </c>
      <c r="F2276" s="511">
        <f t="shared" si="316"/>
        <v>12033.64</v>
      </c>
      <c r="G2276" s="314" t="s">
        <v>1567</v>
      </c>
      <c r="H2276" s="518" t="s">
        <v>1266</v>
      </c>
      <c r="I2276" s="452" t="s">
        <v>11565</v>
      </c>
      <c r="J2276" s="369" t="s">
        <v>753</v>
      </c>
      <c r="K2276" s="452" t="s">
        <v>741</v>
      </c>
    </row>
    <row r="2277" spans="1:11" s="185" customFormat="1">
      <c r="A2277" s="369"/>
      <c r="B2277" s="144" t="s">
        <v>1268</v>
      </c>
      <c r="C2277" s="196">
        <v>48976</v>
      </c>
      <c r="D2277" s="230">
        <f t="shared" si="317"/>
        <v>15044.66963364993</v>
      </c>
      <c r="E2277" s="219">
        <v>180</v>
      </c>
      <c r="F2277" s="511">
        <f t="shared" si="316"/>
        <v>15224.67</v>
      </c>
      <c r="G2277" s="314" t="s">
        <v>1568</v>
      </c>
      <c r="H2277" s="518" t="s">
        <v>1269</v>
      </c>
      <c r="I2277" s="452" t="s">
        <v>11565</v>
      </c>
      <c r="J2277" s="369" t="s">
        <v>753</v>
      </c>
      <c r="K2277" s="452" t="s">
        <v>741</v>
      </c>
    </row>
    <row r="2278" spans="1:11" s="185" customFormat="1">
      <c r="A2278" s="369"/>
      <c r="B2278" s="144" t="s">
        <v>1270</v>
      </c>
      <c r="C2278" s="196">
        <v>63328</v>
      </c>
      <c r="D2278" s="230">
        <f t="shared" si="317"/>
        <v>19453.382035278151</v>
      </c>
      <c r="E2278" s="219">
        <v>180</v>
      </c>
      <c r="F2278" s="511">
        <f t="shared" si="316"/>
        <v>19633.39</v>
      </c>
      <c r="G2278" s="314" t="s">
        <v>1569</v>
      </c>
      <c r="H2278" s="518" t="s">
        <v>1271</v>
      </c>
      <c r="I2278" s="452" t="s">
        <v>11565</v>
      </c>
      <c r="J2278" s="369" t="s">
        <v>753</v>
      </c>
      <c r="K2278" s="452" t="s">
        <v>741</v>
      </c>
    </row>
    <row r="2279" spans="1:11" s="185" customFormat="1">
      <c r="A2279" s="515"/>
      <c r="B2279" s="144" t="s">
        <v>1272</v>
      </c>
      <c r="C2279" s="196">
        <v>68080</v>
      </c>
      <c r="D2279" s="230">
        <f t="shared" si="317"/>
        <v>20913.122930800539</v>
      </c>
      <c r="E2279" s="219">
        <v>220</v>
      </c>
      <c r="F2279" s="511">
        <f t="shared" si="316"/>
        <v>21133.129999999997</v>
      </c>
      <c r="G2279" s="314" t="s">
        <v>1570</v>
      </c>
      <c r="H2279" s="518" t="s">
        <v>1273</v>
      </c>
      <c r="I2279" s="452" t="s">
        <v>11565</v>
      </c>
      <c r="J2279" s="369" t="s">
        <v>753</v>
      </c>
      <c r="K2279" s="452" t="s">
        <v>741</v>
      </c>
    </row>
    <row r="2280" spans="1:11" s="185" customFormat="1">
      <c r="A2280" s="515"/>
      <c r="B2280" s="144" t="s">
        <v>1274</v>
      </c>
      <c r="C2280" s="196">
        <v>102972</v>
      </c>
      <c r="D2280" s="230">
        <f t="shared" si="317"/>
        <v>31631.405617367709</v>
      </c>
      <c r="E2280" s="219">
        <v>220</v>
      </c>
      <c r="F2280" s="511">
        <f t="shared" si="316"/>
        <v>31851.41</v>
      </c>
      <c r="G2280" s="314" t="s">
        <v>1571</v>
      </c>
      <c r="H2280" s="518" t="s">
        <v>1275</v>
      </c>
      <c r="I2280" s="452" t="s">
        <v>11565</v>
      </c>
      <c r="J2280" s="369" t="s">
        <v>753</v>
      </c>
      <c r="K2280" s="452" t="s">
        <v>741</v>
      </c>
    </row>
    <row r="2281" spans="1:11">
      <c r="A2281" s="369"/>
      <c r="B2281" s="144"/>
      <c r="C2281" s="196" t="s">
        <v>2024</v>
      </c>
      <c r="D2281" s="230"/>
      <c r="E2281" s="219"/>
      <c r="F2281" s="511"/>
      <c r="G2281" s="314"/>
      <c r="H2281" s="518"/>
      <c r="I2281" s="452"/>
      <c r="J2281" s="369"/>
      <c r="K2281" s="452"/>
    </row>
    <row r="2282" spans="1:11">
      <c r="A2282" s="369"/>
      <c r="B2282" s="144"/>
      <c r="C2282" s="196" t="s">
        <v>2024</v>
      </c>
      <c r="D2282" s="230"/>
      <c r="E2282" s="219"/>
      <c r="F2282" s="511"/>
      <c r="G2282" s="314"/>
      <c r="H2282" s="518"/>
      <c r="I2282" s="452"/>
      <c r="J2282" s="369"/>
      <c r="K2282" s="452"/>
    </row>
    <row r="2283" spans="1:11" s="185" customFormat="1">
      <c r="A2283" s="515"/>
      <c r="B2283" s="144"/>
      <c r="C2283" s="196" t="s">
        <v>2024</v>
      </c>
      <c r="D2283" s="230"/>
      <c r="E2283" s="219"/>
      <c r="F2283" s="511"/>
      <c r="G2283" s="314"/>
      <c r="H2283" s="518"/>
      <c r="I2283" s="452"/>
      <c r="J2283" s="369"/>
      <c r="K2283" s="452"/>
    </row>
    <row r="2284" spans="1:11" s="317" customFormat="1">
      <c r="A2284" s="369"/>
      <c r="B2284" s="1448" t="s">
        <v>7280</v>
      </c>
      <c r="C2284" s="346" t="s">
        <v>2024</v>
      </c>
      <c r="D2284" s="345"/>
      <c r="E2284" s="343"/>
      <c r="F2284" s="508"/>
      <c r="G2284" s="351"/>
      <c r="H2284" s="506"/>
      <c r="I2284" s="546"/>
      <c r="J2284" s="1449"/>
      <c r="K2284" s="546"/>
    </row>
    <row r="2285" spans="1:11" s="185" customFormat="1" ht="12" customHeight="1">
      <c r="A2285" s="369"/>
      <c r="B2285" s="144"/>
      <c r="C2285" s="196" t="s">
        <v>2024</v>
      </c>
      <c r="D2285" s="230"/>
      <c r="E2285" s="215"/>
      <c r="F2285" s="511"/>
      <c r="G2285" s="314"/>
      <c r="H2285" s="518"/>
      <c r="I2285" s="452"/>
      <c r="J2285" s="369"/>
      <c r="K2285" s="452"/>
    </row>
    <row r="2286" spans="1:11" s="317" customFormat="1">
      <c r="A2286" s="369"/>
      <c r="B2286" s="143"/>
      <c r="C2286" s="196" t="s">
        <v>2024</v>
      </c>
      <c r="D2286" s="230"/>
      <c r="E2286" s="215"/>
      <c r="F2286" s="511"/>
      <c r="G2286" s="314"/>
      <c r="H2286" s="518"/>
      <c r="I2286" s="452"/>
      <c r="J2286" s="515"/>
      <c r="K2286" s="452"/>
    </row>
    <row r="2287" spans="1:11" s="185" customFormat="1">
      <c r="A2287" s="515"/>
      <c r="B2287" s="727" t="s">
        <v>5628</v>
      </c>
      <c r="C2287" s="1398" t="s">
        <v>2024</v>
      </c>
      <c r="D2287" s="230"/>
      <c r="E2287" s="215"/>
      <c r="F2287" s="511"/>
      <c r="G2287" s="518"/>
      <c r="H2287" s="518"/>
      <c r="I2287" s="452"/>
      <c r="J2287" s="515"/>
      <c r="K2287" s="452"/>
    </row>
    <row r="2288" spans="1:11" s="185" customFormat="1">
      <c r="A2288" s="515"/>
      <c r="B2288" s="399" t="s">
        <v>1447</v>
      </c>
      <c r="C2288" s="196">
        <v>81</v>
      </c>
      <c r="D2288" s="230">
        <f t="shared" ref="D2288:D2308" si="318">C2288*(1-VLOOKUP(I2288,descuentos,6,FALSE))*fcl/IF(dol_sol="dólar", TC,1)</f>
        <v>24.881947082767972</v>
      </c>
      <c r="E2288" s="219">
        <v>5</v>
      </c>
      <c r="F2288" s="511">
        <f t="shared" ref="F2288:F2308" si="319">ROUNDUP(D2288+E2288,2)</f>
        <v>29.89</v>
      </c>
      <c r="G2288" s="314" t="s">
        <v>1157</v>
      </c>
      <c r="H2288" s="518" t="s">
        <v>1151</v>
      </c>
      <c r="I2288" s="452" t="s">
        <v>11565</v>
      </c>
      <c r="J2288" s="369" t="s">
        <v>753</v>
      </c>
      <c r="K2288" s="452" t="s">
        <v>741</v>
      </c>
    </row>
    <row r="2289" spans="1:11" s="185" customFormat="1">
      <c r="A2289" s="515"/>
      <c r="B2289" s="399" t="s">
        <v>1448</v>
      </c>
      <c r="C2289" s="196">
        <v>94</v>
      </c>
      <c r="D2289" s="230">
        <f t="shared" si="318"/>
        <v>28.875345997286296</v>
      </c>
      <c r="E2289" s="219">
        <v>5</v>
      </c>
      <c r="F2289" s="511">
        <f t="shared" si="319"/>
        <v>33.879999999999995</v>
      </c>
      <c r="G2289" s="314" t="s">
        <v>1161</v>
      </c>
      <c r="H2289" s="518" t="s">
        <v>1152</v>
      </c>
      <c r="I2289" s="452" t="s">
        <v>11565</v>
      </c>
      <c r="J2289" s="369" t="s">
        <v>753</v>
      </c>
      <c r="K2289" s="452" t="s">
        <v>741</v>
      </c>
    </row>
    <row r="2290" spans="1:11" s="185" customFormat="1">
      <c r="A2290" s="515"/>
      <c r="B2290" s="399" t="s">
        <v>1449</v>
      </c>
      <c r="C2290" s="196">
        <v>147</v>
      </c>
      <c r="D2290" s="230">
        <f t="shared" si="318"/>
        <v>45.156126187245583</v>
      </c>
      <c r="E2290" s="219">
        <v>5</v>
      </c>
      <c r="F2290" s="511">
        <f t="shared" si="319"/>
        <v>50.16</v>
      </c>
      <c r="G2290" s="314" t="s">
        <v>1158</v>
      </c>
      <c r="H2290" s="518" t="s">
        <v>1153</v>
      </c>
      <c r="I2290" s="452" t="s">
        <v>11565</v>
      </c>
      <c r="J2290" s="369" t="s">
        <v>753</v>
      </c>
      <c r="K2290" s="452" t="s">
        <v>741</v>
      </c>
    </row>
    <row r="2291" spans="1:11" s="185" customFormat="1">
      <c r="A2291" s="515"/>
      <c r="B2291" s="397" t="s">
        <v>1450</v>
      </c>
      <c r="C2291" s="196">
        <v>213</v>
      </c>
      <c r="D2291" s="230">
        <f t="shared" si="318"/>
        <v>65.430305291723201</v>
      </c>
      <c r="E2291" s="219">
        <v>5</v>
      </c>
      <c r="F2291" s="511">
        <f t="shared" si="319"/>
        <v>70.440000000000012</v>
      </c>
      <c r="G2291" s="314" t="s">
        <v>1159</v>
      </c>
      <c r="H2291" s="518" t="s">
        <v>1154</v>
      </c>
      <c r="I2291" s="452" t="s">
        <v>11565</v>
      </c>
      <c r="J2291" s="369" t="s">
        <v>753</v>
      </c>
      <c r="K2291" s="452" t="s">
        <v>741</v>
      </c>
    </row>
    <row r="2292" spans="1:11" s="185" customFormat="1">
      <c r="A2292" s="515"/>
      <c r="B2292" s="729" t="s">
        <v>2723</v>
      </c>
      <c r="C2292" s="196">
        <v>197</v>
      </c>
      <c r="D2292" s="230">
        <f t="shared" si="318"/>
        <v>60.515352781546802</v>
      </c>
      <c r="E2292" s="219">
        <v>4</v>
      </c>
      <c r="F2292" s="511">
        <f t="shared" si="319"/>
        <v>64.52000000000001</v>
      </c>
      <c r="G2292" s="314" t="s">
        <v>2730</v>
      </c>
      <c r="H2292" s="506" t="s">
        <v>2724</v>
      </c>
      <c r="I2292" s="452" t="s">
        <v>11565</v>
      </c>
      <c r="J2292" s="369" t="s">
        <v>753</v>
      </c>
      <c r="K2292" s="452" t="s">
        <v>741</v>
      </c>
    </row>
    <row r="2293" spans="1:11" s="185" customFormat="1">
      <c r="A2293" s="515"/>
      <c r="B2293" s="730" t="s">
        <v>2725</v>
      </c>
      <c r="C2293" s="724">
        <v>211</v>
      </c>
      <c r="D2293" s="396">
        <f t="shared" si="318"/>
        <v>64.815936227951141</v>
      </c>
      <c r="E2293" s="728">
        <v>5</v>
      </c>
      <c r="F2293" s="725">
        <f t="shared" si="319"/>
        <v>69.820000000000007</v>
      </c>
      <c r="G2293" s="726" t="s">
        <v>2731</v>
      </c>
      <c r="H2293" s="1663" t="s">
        <v>2726</v>
      </c>
      <c r="I2293" s="452" t="s">
        <v>11565</v>
      </c>
      <c r="J2293" s="369" t="s">
        <v>753</v>
      </c>
      <c r="K2293" s="452" t="s">
        <v>741</v>
      </c>
    </row>
    <row r="2294" spans="1:11" s="185" customFormat="1">
      <c r="A2294" s="515"/>
      <c r="B2294" s="397" t="s">
        <v>1451</v>
      </c>
      <c r="C2294" s="196">
        <v>308</v>
      </c>
      <c r="D2294" s="230">
        <f t="shared" si="318"/>
        <v>94.612835820895526</v>
      </c>
      <c r="E2294" s="215">
        <v>10</v>
      </c>
      <c r="F2294" s="511">
        <f t="shared" si="319"/>
        <v>104.62</v>
      </c>
      <c r="G2294" s="314" t="s">
        <v>1160</v>
      </c>
      <c r="H2294" s="518" t="s">
        <v>1155</v>
      </c>
      <c r="I2294" s="452" t="s">
        <v>11565</v>
      </c>
      <c r="J2294" s="369" t="s">
        <v>753</v>
      </c>
      <c r="K2294" s="452" t="s">
        <v>741</v>
      </c>
    </row>
    <row r="2295" spans="1:11" s="185" customFormat="1">
      <c r="A2295" s="515"/>
      <c r="B2295" s="729" t="s">
        <v>2727</v>
      </c>
      <c r="C2295" s="196">
        <v>292</v>
      </c>
      <c r="D2295" s="230">
        <f t="shared" si="318"/>
        <v>89.697883310719135</v>
      </c>
      <c r="E2295" s="219">
        <v>9</v>
      </c>
      <c r="F2295" s="511">
        <f t="shared" si="319"/>
        <v>98.7</v>
      </c>
      <c r="G2295" s="314" t="s">
        <v>2732</v>
      </c>
      <c r="H2295" s="506" t="s">
        <v>2728</v>
      </c>
      <c r="I2295" s="452" t="s">
        <v>11565</v>
      </c>
      <c r="J2295" s="369" t="s">
        <v>753</v>
      </c>
      <c r="K2295" s="452" t="s">
        <v>741</v>
      </c>
    </row>
    <row r="2296" spans="1:11" s="185" customFormat="1">
      <c r="A2296" s="515"/>
      <c r="B2296" s="730" t="s">
        <v>2729</v>
      </c>
      <c r="C2296" s="724">
        <v>321</v>
      </c>
      <c r="D2296" s="396">
        <f t="shared" si="318"/>
        <v>98.606234735413835</v>
      </c>
      <c r="E2296" s="728">
        <v>10</v>
      </c>
      <c r="F2296" s="725">
        <f t="shared" si="319"/>
        <v>108.61</v>
      </c>
      <c r="G2296" s="726" t="s">
        <v>2733</v>
      </c>
      <c r="H2296" s="1663" t="s">
        <v>2734</v>
      </c>
      <c r="I2296" s="452" t="s">
        <v>11565</v>
      </c>
      <c r="J2296" s="369" t="s">
        <v>753</v>
      </c>
      <c r="K2296" s="452" t="s">
        <v>741</v>
      </c>
    </row>
    <row r="2297" spans="1:11" s="185" customFormat="1">
      <c r="A2297" s="515"/>
      <c r="B2297" s="399" t="s">
        <v>2411</v>
      </c>
      <c r="C2297" s="196">
        <v>349</v>
      </c>
      <c r="D2297" s="230">
        <f t="shared" si="318"/>
        <v>107.20740162822253</v>
      </c>
      <c r="E2297" s="215">
        <v>10</v>
      </c>
      <c r="F2297" s="511">
        <f t="shared" si="319"/>
        <v>117.21000000000001</v>
      </c>
      <c r="G2297" s="314" t="s">
        <v>2412</v>
      </c>
      <c r="H2297" s="518" t="s">
        <v>2413</v>
      </c>
      <c r="I2297" s="452" t="s">
        <v>11565</v>
      </c>
      <c r="J2297" s="369" t="s">
        <v>753</v>
      </c>
      <c r="K2297" s="452" t="s">
        <v>741</v>
      </c>
    </row>
    <row r="2298" spans="1:11" s="185" customFormat="1">
      <c r="A2298" s="515"/>
      <c r="B2298" s="399" t="s">
        <v>7281</v>
      </c>
      <c r="C2298" s="196">
        <v>369</v>
      </c>
      <c r="D2298" s="230">
        <f>C2298*(1-VLOOKUP(I2298,descuentos,6,FALSE))*fcl/IF(dol_sol="dólar", TC,1)</f>
        <v>113.351092265943</v>
      </c>
      <c r="E2298" s="215">
        <v>10</v>
      </c>
      <c r="F2298" s="511">
        <f t="shared" si="319"/>
        <v>123.36</v>
      </c>
      <c r="G2298" s="314" t="s">
        <v>7282</v>
      </c>
      <c r="H2298" s="518" t="s">
        <v>7283</v>
      </c>
      <c r="I2298" s="452" t="s">
        <v>11565</v>
      </c>
      <c r="J2298" s="369" t="s">
        <v>753</v>
      </c>
      <c r="K2298" s="452" t="s">
        <v>741</v>
      </c>
    </row>
    <row r="2299" spans="1:11" s="185" customFormat="1">
      <c r="A2299" s="515"/>
      <c r="B2299" s="1340" t="s">
        <v>4640</v>
      </c>
      <c r="C2299" s="196">
        <v>455</v>
      </c>
      <c r="D2299" s="230">
        <f>C2299*(1-VLOOKUP(I2299,descuentos,6,FALSE))*fcl/IF(dol_sol="dólar", TC,1)</f>
        <v>139.7689620081411</v>
      </c>
      <c r="E2299" s="215">
        <v>10</v>
      </c>
      <c r="F2299" s="511">
        <f t="shared" si="319"/>
        <v>149.76999999999998</v>
      </c>
      <c r="G2299" s="314" t="s">
        <v>4641</v>
      </c>
      <c r="H2299" s="506" t="s">
        <v>4642</v>
      </c>
      <c r="I2299" s="452" t="s">
        <v>11565</v>
      </c>
      <c r="J2299" s="369" t="s">
        <v>753</v>
      </c>
      <c r="K2299" s="452" t="s">
        <v>741</v>
      </c>
    </row>
    <row r="2300" spans="1:11" s="185" customFormat="1">
      <c r="A2300" s="515"/>
      <c r="B2300" s="1340" t="s">
        <v>4643</v>
      </c>
      <c r="C2300" s="196">
        <v>571</v>
      </c>
      <c r="D2300" s="230">
        <f>C2300*(1-VLOOKUP(I2300,descuentos,6,FALSE))*fcl/TC</f>
        <v>175.40236770691993</v>
      </c>
      <c r="E2300" s="219">
        <v>15</v>
      </c>
      <c r="F2300" s="511">
        <f t="shared" si="319"/>
        <v>190.41</v>
      </c>
      <c r="G2300" s="314" t="s">
        <v>4644</v>
      </c>
      <c r="H2300" s="506" t="s">
        <v>4645</v>
      </c>
      <c r="I2300" s="452" t="s">
        <v>11565</v>
      </c>
      <c r="J2300" s="369" t="s">
        <v>753</v>
      </c>
      <c r="K2300" s="452" t="s">
        <v>741</v>
      </c>
    </row>
    <row r="2301" spans="1:11" s="185" customFormat="1">
      <c r="A2301" s="515"/>
      <c r="B2301" s="424" t="s">
        <v>4646</v>
      </c>
      <c r="C2301" s="196">
        <v>701</v>
      </c>
      <c r="D2301" s="230">
        <f>C2301*(1-VLOOKUP(I2301,descuentos,6,FALSE))*fcl/TC</f>
        <v>215.33635685210311</v>
      </c>
      <c r="E2301" s="219">
        <v>15</v>
      </c>
      <c r="F2301" s="511">
        <f t="shared" si="319"/>
        <v>230.34</v>
      </c>
      <c r="G2301" s="314" t="s">
        <v>4647</v>
      </c>
      <c r="H2301" s="506" t="s">
        <v>4648</v>
      </c>
      <c r="I2301" s="452" t="s">
        <v>11565</v>
      </c>
      <c r="J2301" s="369" t="s">
        <v>753</v>
      </c>
      <c r="K2301" s="452" t="s">
        <v>741</v>
      </c>
    </row>
    <row r="2302" spans="1:11" s="185" customFormat="1">
      <c r="A2302" s="1399"/>
      <c r="B2302" s="424" t="s">
        <v>5629</v>
      </c>
      <c r="C2302" s="196">
        <v>900</v>
      </c>
      <c r="D2302" s="230">
        <f t="shared" ref="D2302:D2307" si="320">C2302*(1-VLOOKUP(I2302,descuentos,6,FALSE))*fcl/IF(dol_sol="dólar", TC,1)</f>
        <v>276.46607869742195</v>
      </c>
      <c r="E2302" s="215">
        <v>20</v>
      </c>
      <c r="F2302" s="511">
        <f t="shared" si="319"/>
        <v>296.46999999999997</v>
      </c>
      <c r="G2302" s="314" t="s">
        <v>5630</v>
      </c>
      <c r="H2302" s="506" t="s">
        <v>5631</v>
      </c>
      <c r="I2302" s="452" t="s">
        <v>11565</v>
      </c>
      <c r="J2302" s="369" t="s">
        <v>753</v>
      </c>
      <c r="K2302" s="452" t="s">
        <v>741</v>
      </c>
    </row>
    <row r="2303" spans="1:11" s="185" customFormat="1">
      <c r="A2303" s="1399"/>
      <c r="B2303" s="424" t="s">
        <v>5632</v>
      </c>
      <c r="C2303" s="196">
        <v>1126</v>
      </c>
      <c r="D2303" s="230">
        <f t="shared" si="320"/>
        <v>345.88978290366344</v>
      </c>
      <c r="E2303" s="215">
        <v>20</v>
      </c>
      <c r="F2303" s="511">
        <f t="shared" si="319"/>
        <v>365.89</v>
      </c>
      <c r="G2303" s="314" t="s">
        <v>5633</v>
      </c>
      <c r="H2303" s="506" t="s">
        <v>5634</v>
      </c>
      <c r="I2303" s="452" t="s">
        <v>11565</v>
      </c>
      <c r="J2303" s="369" t="s">
        <v>753</v>
      </c>
      <c r="K2303" s="452" t="s">
        <v>741</v>
      </c>
    </row>
    <row r="2304" spans="1:11" s="185" customFormat="1">
      <c r="A2304" s="1399"/>
      <c r="B2304" s="424" t="s">
        <v>7284</v>
      </c>
      <c r="C2304" s="196">
        <v>1221</v>
      </c>
      <c r="D2304" s="230">
        <f t="shared" si="320"/>
        <v>375.07231343283576</v>
      </c>
      <c r="E2304" s="215">
        <v>20</v>
      </c>
      <c r="F2304" s="511">
        <f t="shared" si="319"/>
        <v>395.08</v>
      </c>
      <c r="G2304" s="314" t="s">
        <v>7285</v>
      </c>
      <c r="H2304" s="506" t="s">
        <v>7286</v>
      </c>
      <c r="I2304" s="452" t="s">
        <v>11565</v>
      </c>
      <c r="J2304" s="369" t="s">
        <v>753</v>
      </c>
      <c r="K2304" s="452" t="s">
        <v>741</v>
      </c>
    </row>
    <row r="2305" spans="1:11" s="185" customFormat="1">
      <c r="A2305" s="1399"/>
      <c r="B2305" s="424" t="s">
        <v>7287</v>
      </c>
      <c r="C2305" s="196">
        <v>1390</v>
      </c>
      <c r="D2305" s="230">
        <f t="shared" si="320"/>
        <v>426.98649932157389</v>
      </c>
      <c r="E2305" s="215">
        <v>20</v>
      </c>
      <c r="F2305" s="511">
        <f t="shared" si="319"/>
        <v>446.99</v>
      </c>
      <c r="G2305" s="314" t="s">
        <v>7288</v>
      </c>
      <c r="H2305" s="506" t="s">
        <v>7289</v>
      </c>
      <c r="I2305" s="452" t="s">
        <v>11565</v>
      </c>
      <c r="J2305" s="369" t="s">
        <v>753</v>
      </c>
      <c r="K2305" s="452" t="s">
        <v>741</v>
      </c>
    </row>
    <row r="2306" spans="1:11" s="185" customFormat="1">
      <c r="A2306" s="1399"/>
      <c r="B2306" s="424" t="s">
        <v>5635</v>
      </c>
      <c r="C2306" s="196">
        <v>1690</v>
      </c>
      <c r="D2306" s="230">
        <f t="shared" si="320"/>
        <v>519.1418588873812</v>
      </c>
      <c r="E2306" s="215">
        <v>40</v>
      </c>
      <c r="F2306" s="511">
        <f t="shared" si="319"/>
        <v>559.15</v>
      </c>
      <c r="G2306" s="314" t="s">
        <v>5636</v>
      </c>
      <c r="H2306" s="506" t="s">
        <v>5637</v>
      </c>
      <c r="I2306" s="452" t="s">
        <v>11565</v>
      </c>
      <c r="J2306" s="369" t="s">
        <v>753</v>
      </c>
      <c r="K2306" s="452" t="s">
        <v>741</v>
      </c>
    </row>
    <row r="2307" spans="1:11" s="185" customFormat="1">
      <c r="A2307" s="1399"/>
      <c r="B2307" s="424" t="s">
        <v>9524</v>
      </c>
      <c r="C2307" s="196">
        <v>1922</v>
      </c>
      <c r="D2307" s="230">
        <f t="shared" si="320"/>
        <v>590.40867028493892</v>
      </c>
      <c r="E2307" s="215">
        <v>40</v>
      </c>
      <c r="F2307" s="511">
        <f t="shared" si="319"/>
        <v>630.41</v>
      </c>
      <c r="G2307" s="314" t="s">
        <v>9525</v>
      </c>
      <c r="H2307" s="506" t="s">
        <v>9526</v>
      </c>
      <c r="I2307" s="452" t="s">
        <v>11565</v>
      </c>
      <c r="J2307" s="369" t="s">
        <v>753</v>
      </c>
      <c r="K2307" s="452" t="s">
        <v>741</v>
      </c>
    </row>
    <row r="2308" spans="1:11" s="185" customFormat="1">
      <c r="A2308" s="1399"/>
      <c r="B2308" s="424" t="s">
        <v>5638</v>
      </c>
      <c r="C2308" s="196">
        <v>2168</v>
      </c>
      <c r="D2308" s="230">
        <f t="shared" si="318"/>
        <v>665.97606512890093</v>
      </c>
      <c r="E2308" s="215">
        <v>40</v>
      </c>
      <c r="F2308" s="511">
        <f t="shared" si="319"/>
        <v>705.98</v>
      </c>
      <c r="G2308" s="314" t="s">
        <v>5639</v>
      </c>
      <c r="H2308" s="506" t="s">
        <v>1405</v>
      </c>
      <c r="I2308" s="452" t="s">
        <v>11565</v>
      </c>
      <c r="J2308" s="369" t="s">
        <v>753</v>
      </c>
      <c r="K2308" s="452" t="s">
        <v>741</v>
      </c>
    </row>
    <row r="2309" spans="1:11" s="185" customFormat="1">
      <c r="A2309" s="515"/>
      <c r="B2309" s="144"/>
      <c r="C2309" s="196" t="s">
        <v>2024</v>
      </c>
      <c r="D2309" s="230"/>
      <c r="E2309" s="215"/>
      <c r="F2309" s="511"/>
      <c r="G2309" s="314"/>
      <c r="H2309" s="518"/>
      <c r="I2309" s="452"/>
      <c r="J2309" s="369"/>
      <c r="K2309" s="452"/>
    </row>
    <row r="2310" spans="1:11" s="185" customFormat="1">
      <c r="A2310" s="1370"/>
      <c r="B2310" s="144" t="s">
        <v>9527</v>
      </c>
      <c r="C2310" s="196">
        <v>4560</v>
      </c>
      <c r="D2310" s="230">
        <f t="shared" ref="D2310" si="321">C2310*(1-VLOOKUP(I2310,descuentos,6,FALSE))*fcl/IF(dol_sol="dólar", TC,1)</f>
        <v>1400.7614654002714</v>
      </c>
      <c r="E2310" s="215">
        <v>40</v>
      </c>
      <c r="F2310" s="511">
        <f t="shared" ref="F2310" si="322">ROUNDUP(D2310+E2310,2)</f>
        <v>1440.77</v>
      </c>
      <c r="G2310" s="314" t="s">
        <v>9528</v>
      </c>
      <c r="H2310" s="506" t="s">
        <v>9529</v>
      </c>
      <c r="I2310" s="452" t="s">
        <v>11565</v>
      </c>
      <c r="J2310" s="369" t="s">
        <v>753</v>
      </c>
      <c r="K2310" s="452" t="s">
        <v>741</v>
      </c>
    </row>
    <row r="2311" spans="1:11" s="185" customFormat="1">
      <c r="A2311" s="515"/>
      <c r="B2311" s="144"/>
      <c r="C2311" s="196" t="s">
        <v>2024</v>
      </c>
      <c r="D2311" s="230"/>
      <c r="E2311" s="215"/>
      <c r="F2311" s="511"/>
      <c r="G2311" s="314"/>
      <c r="H2311" s="518"/>
      <c r="I2311" s="452"/>
      <c r="J2311" s="369"/>
      <c r="K2311" s="452"/>
    </row>
    <row r="2312" spans="1:11" s="185" customFormat="1">
      <c r="A2312" s="515"/>
      <c r="B2312" s="727" t="s">
        <v>5640</v>
      </c>
      <c r="C2312" s="1398" t="s">
        <v>2024</v>
      </c>
      <c r="D2312" s="230"/>
      <c r="E2312" s="215"/>
      <c r="F2312" s="511"/>
      <c r="G2312" s="518"/>
      <c r="H2312" s="518"/>
      <c r="I2312" s="452"/>
      <c r="J2312" s="515"/>
      <c r="K2312" s="452"/>
    </row>
    <row r="2313" spans="1:11" s="185" customFormat="1">
      <c r="A2313" s="515"/>
      <c r="B2313" s="399" t="s">
        <v>5641</v>
      </c>
      <c r="C2313" s="196">
        <v>81</v>
      </c>
      <c r="D2313" s="230">
        <f t="shared" ref="D2313:D2319" si="323">C2313*(1-VLOOKUP(I2313,descuentos,6,FALSE))*fcl/IF(dol_sol="dólar", TC,1)</f>
        <v>24.881947082767972</v>
      </c>
      <c r="E2313" s="219">
        <v>5</v>
      </c>
      <c r="F2313" s="511">
        <f t="shared" ref="F2313:F2318" si="324">ROUNDUP(D2313+E2313,2)</f>
        <v>29.89</v>
      </c>
      <c r="G2313" s="314" t="s">
        <v>5642</v>
      </c>
      <c r="H2313" s="518" t="s">
        <v>5643</v>
      </c>
      <c r="I2313" s="452" t="s">
        <v>11565</v>
      </c>
      <c r="J2313" s="369" t="s">
        <v>753</v>
      </c>
      <c r="K2313" s="452" t="s">
        <v>741</v>
      </c>
    </row>
    <row r="2314" spans="1:11" s="185" customFormat="1">
      <c r="A2314" s="515"/>
      <c r="B2314" s="399" t="s">
        <v>5644</v>
      </c>
      <c r="C2314" s="196">
        <v>94</v>
      </c>
      <c r="D2314" s="230">
        <f t="shared" si="323"/>
        <v>28.875345997286296</v>
      </c>
      <c r="E2314" s="219">
        <v>5</v>
      </c>
      <c r="F2314" s="511">
        <f t="shared" si="324"/>
        <v>33.879999999999995</v>
      </c>
      <c r="G2314" s="314" t="s">
        <v>5645</v>
      </c>
      <c r="H2314" s="518" t="s">
        <v>5646</v>
      </c>
      <c r="I2314" s="452" t="s">
        <v>11565</v>
      </c>
      <c r="J2314" s="369" t="s">
        <v>753</v>
      </c>
      <c r="K2314" s="452" t="s">
        <v>741</v>
      </c>
    </row>
    <row r="2315" spans="1:11" s="185" customFormat="1">
      <c r="A2315" s="515"/>
      <c r="B2315" s="399" t="s">
        <v>5647</v>
      </c>
      <c r="C2315" s="196">
        <v>147</v>
      </c>
      <c r="D2315" s="230">
        <f t="shared" si="323"/>
        <v>45.156126187245583</v>
      </c>
      <c r="E2315" s="219">
        <v>5</v>
      </c>
      <c r="F2315" s="511">
        <f t="shared" si="324"/>
        <v>50.16</v>
      </c>
      <c r="G2315" s="314" t="s">
        <v>5648</v>
      </c>
      <c r="H2315" s="518" t="s">
        <v>5649</v>
      </c>
      <c r="I2315" s="452" t="s">
        <v>11565</v>
      </c>
      <c r="J2315" s="369" t="s">
        <v>753</v>
      </c>
      <c r="K2315" s="452" t="s">
        <v>741</v>
      </c>
    </row>
    <row r="2316" spans="1:11" s="185" customFormat="1">
      <c r="A2316" s="515"/>
      <c r="B2316" s="397" t="s">
        <v>5650</v>
      </c>
      <c r="C2316" s="196">
        <v>213</v>
      </c>
      <c r="D2316" s="230">
        <f t="shared" si="323"/>
        <v>65.430305291723201</v>
      </c>
      <c r="E2316" s="219">
        <v>5</v>
      </c>
      <c r="F2316" s="511">
        <f t="shared" si="324"/>
        <v>70.440000000000012</v>
      </c>
      <c r="G2316" s="314" t="s">
        <v>5651</v>
      </c>
      <c r="H2316" s="518" t="s">
        <v>5652</v>
      </c>
      <c r="I2316" s="452" t="s">
        <v>11565</v>
      </c>
      <c r="J2316" s="369" t="s">
        <v>753</v>
      </c>
      <c r="K2316" s="452" t="s">
        <v>741</v>
      </c>
    </row>
    <row r="2317" spans="1:11" s="185" customFormat="1">
      <c r="A2317" s="515"/>
      <c r="B2317" s="397" t="s">
        <v>5653</v>
      </c>
      <c r="C2317" s="196">
        <v>308</v>
      </c>
      <c r="D2317" s="230">
        <f t="shared" si="323"/>
        <v>94.612835820895526</v>
      </c>
      <c r="E2317" s="215">
        <v>10</v>
      </c>
      <c r="F2317" s="511">
        <f t="shared" si="324"/>
        <v>104.62</v>
      </c>
      <c r="G2317" s="314" t="s">
        <v>5654</v>
      </c>
      <c r="H2317" s="518" t="s">
        <v>5655</v>
      </c>
      <c r="I2317" s="452" t="s">
        <v>11565</v>
      </c>
      <c r="J2317" s="369" t="s">
        <v>753</v>
      </c>
      <c r="K2317" s="452" t="s">
        <v>741</v>
      </c>
    </row>
    <row r="2318" spans="1:11" s="185" customFormat="1">
      <c r="A2318" s="515"/>
      <c r="B2318" s="399" t="s">
        <v>5656</v>
      </c>
      <c r="C2318" s="196">
        <v>349</v>
      </c>
      <c r="D2318" s="230">
        <f t="shared" si="323"/>
        <v>107.20740162822253</v>
      </c>
      <c r="E2318" s="215">
        <v>10</v>
      </c>
      <c r="F2318" s="511">
        <f t="shared" si="324"/>
        <v>117.21000000000001</v>
      </c>
      <c r="G2318" s="314" t="s">
        <v>5657</v>
      </c>
      <c r="H2318" s="518" t="s">
        <v>5658</v>
      </c>
      <c r="I2318" s="452" t="s">
        <v>11565</v>
      </c>
      <c r="J2318" s="369" t="s">
        <v>753</v>
      </c>
      <c r="K2318" s="452" t="s">
        <v>741</v>
      </c>
    </row>
    <row r="2319" spans="1:11" s="185" customFormat="1">
      <c r="A2319" s="515"/>
      <c r="B2319" s="1340" t="s">
        <v>5659</v>
      </c>
      <c r="C2319" s="196">
        <v>649</v>
      </c>
      <c r="D2319" s="230">
        <f t="shared" si="323"/>
        <v>199.36276119402987</v>
      </c>
      <c r="E2319" s="215">
        <v>10</v>
      </c>
      <c r="F2319" s="511">
        <f>ROUNDUP(D2319+E2319,2)</f>
        <v>209.37</v>
      </c>
      <c r="G2319" s="314" t="s">
        <v>5660</v>
      </c>
      <c r="H2319" s="506" t="s">
        <v>5661</v>
      </c>
      <c r="I2319" s="452" t="s">
        <v>11565</v>
      </c>
      <c r="J2319" s="369" t="s">
        <v>753</v>
      </c>
      <c r="K2319" s="452" t="s">
        <v>741</v>
      </c>
    </row>
    <row r="2320" spans="1:11" s="185" customFormat="1">
      <c r="A2320" s="515"/>
      <c r="B2320" s="1340" t="s">
        <v>5662</v>
      </c>
      <c r="C2320" s="196">
        <v>702</v>
      </c>
      <c r="D2320" s="230">
        <f>C2320*(1-VLOOKUP(I2320,descuentos,6,FALSE))*fcl/TC</f>
        <v>215.64354138398915</v>
      </c>
      <c r="E2320" s="219">
        <v>15</v>
      </c>
      <c r="F2320" s="511">
        <f>ROUNDUP(D2320+E2320,2)</f>
        <v>230.64999999999998</v>
      </c>
      <c r="G2320" s="314" t="s">
        <v>5663</v>
      </c>
      <c r="H2320" s="506" t="s">
        <v>5664</v>
      </c>
      <c r="I2320" s="452" t="s">
        <v>11565</v>
      </c>
      <c r="J2320" s="369" t="s">
        <v>753</v>
      </c>
      <c r="K2320" s="452" t="s">
        <v>741</v>
      </c>
    </row>
    <row r="2321" spans="1:11" s="185" customFormat="1">
      <c r="A2321" s="515"/>
      <c r="B2321" s="424" t="s">
        <v>5665</v>
      </c>
      <c r="C2321" s="196">
        <v>835</v>
      </c>
      <c r="D2321" s="230">
        <f>C2321*(1-VLOOKUP(I2321,descuentos,6,FALSE))*fcl/TC</f>
        <v>256.49908412483035</v>
      </c>
      <c r="E2321" s="219">
        <v>15</v>
      </c>
      <c r="F2321" s="511">
        <f>ROUNDUP(D2321+E2321,2)</f>
        <v>271.5</v>
      </c>
      <c r="G2321" s="314" t="s">
        <v>5666</v>
      </c>
      <c r="H2321" s="506" t="s">
        <v>5667</v>
      </c>
      <c r="I2321" s="452" t="s">
        <v>11565</v>
      </c>
      <c r="J2321" s="369" t="s">
        <v>753</v>
      </c>
      <c r="K2321" s="452" t="s">
        <v>741</v>
      </c>
    </row>
    <row r="2322" spans="1:11" s="185" customFormat="1">
      <c r="A2322" s="1399"/>
      <c r="B2322" s="424" t="s">
        <v>5668</v>
      </c>
      <c r="C2322" s="196">
        <v>974</v>
      </c>
      <c r="D2322" s="230">
        <f>C2322*(1-VLOOKUP(I2322,descuentos,6,FALSE))*fcl/IF(dol_sol="dólar", TC,1)</f>
        <v>299.19773405698777</v>
      </c>
      <c r="E2322" s="215">
        <v>20</v>
      </c>
      <c r="F2322" s="511">
        <f>ROUNDUP(D2322+E2322,2)</f>
        <v>319.2</v>
      </c>
      <c r="G2322" s="314" t="s">
        <v>5669</v>
      </c>
      <c r="H2322" s="506" t="s">
        <v>5670</v>
      </c>
      <c r="I2322" s="452" t="s">
        <v>11565</v>
      </c>
      <c r="J2322" s="369" t="s">
        <v>753</v>
      </c>
      <c r="K2322" s="452" t="s">
        <v>741</v>
      </c>
    </row>
    <row r="2323" spans="1:11" s="185" customFormat="1">
      <c r="A2323" s="1399"/>
      <c r="B2323" s="424" t="s">
        <v>5671</v>
      </c>
      <c r="C2323" s="196">
        <v>1428</v>
      </c>
      <c r="D2323" s="230">
        <f>C2323*(1-VLOOKUP(I2323,descuentos,6,FALSE))*fcl/IF(dol_sol="dólar", TC,1)</f>
        <v>438.65951153324278</v>
      </c>
      <c r="E2323" s="215">
        <v>20</v>
      </c>
      <c r="F2323" s="511">
        <f>ROUNDUP(D2323+E2323,2)</f>
        <v>458.65999999999997</v>
      </c>
      <c r="G2323" s="314" t="s">
        <v>5672</v>
      </c>
      <c r="H2323" s="506" t="s">
        <v>5673</v>
      </c>
      <c r="I2323" s="452" t="s">
        <v>11565</v>
      </c>
      <c r="J2323" s="369" t="s">
        <v>753</v>
      </c>
      <c r="K2323" s="452" t="s">
        <v>741</v>
      </c>
    </row>
    <row r="2324" spans="1:11" s="185" customFormat="1">
      <c r="A2324" s="515"/>
      <c r="B2324" s="144"/>
      <c r="C2324" s="196" t="s">
        <v>2024</v>
      </c>
      <c r="D2324" s="230"/>
      <c r="E2324" s="215"/>
      <c r="F2324" s="511"/>
      <c r="G2324" s="314"/>
      <c r="H2324" s="518"/>
      <c r="I2324" s="452"/>
      <c r="J2324" s="369"/>
      <c r="K2324" s="452"/>
    </row>
    <row r="2325" spans="1:11" s="185" customFormat="1">
      <c r="A2325" s="515"/>
      <c r="B2325" s="144"/>
      <c r="C2325" s="196" t="s">
        <v>2024</v>
      </c>
      <c r="D2325" s="230"/>
      <c r="E2325" s="215"/>
      <c r="F2325" s="511"/>
      <c r="G2325" s="314"/>
      <c r="H2325" s="518"/>
      <c r="I2325" s="452"/>
      <c r="J2325" s="369"/>
      <c r="K2325" s="452"/>
    </row>
    <row r="2326" spans="1:11" s="185" customFormat="1">
      <c r="A2326" s="515"/>
      <c r="B2326" s="727" t="s">
        <v>2722</v>
      </c>
      <c r="C2326" s="196" t="s">
        <v>2024</v>
      </c>
      <c r="D2326" s="230"/>
      <c r="E2326" s="215"/>
      <c r="F2326" s="511"/>
      <c r="G2326" s="314"/>
      <c r="H2326" s="518"/>
      <c r="I2326" s="452"/>
      <c r="J2326" s="369"/>
      <c r="K2326" s="452"/>
    </row>
    <row r="2327" spans="1:11" s="185" customFormat="1">
      <c r="A2327" s="515"/>
      <c r="B2327" s="418" t="s">
        <v>2402</v>
      </c>
      <c r="C2327" s="346">
        <v>93</v>
      </c>
      <c r="D2327" s="345">
        <f t="shared" ref="D2327:D2335" si="325">C2327*(1-VLOOKUP(I2327,descuentos,6,FALSE))*fcl/IF(dol_sol="dólar", TC,1)</f>
        <v>28.568161465400266</v>
      </c>
      <c r="E2327" s="567">
        <v>5</v>
      </c>
      <c r="F2327" s="508">
        <f t="shared" ref="F2327:F2337" si="326">ROUNDUP(D2327+E2327,2)</f>
        <v>33.57</v>
      </c>
      <c r="G2327" s="351" t="s">
        <v>2403</v>
      </c>
      <c r="H2327" s="518" t="s">
        <v>2404</v>
      </c>
      <c r="I2327" s="452" t="s">
        <v>11565</v>
      </c>
      <c r="J2327" s="369" t="s">
        <v>753</v>
      </c>
      <c r="K2327" s="452" t="s">
        <v>741</v>
      </c>
    </row>
    <row r="2328" spans="1:11" s="185" customFormat="1">
      <c r="A2328" s="515"/>
      <c r="B2328" s="418" t="s">
        <v>2405</v>
      </c>
      <c r="C2328" s="346">
        <v>144</v>
      </c>
      <c r="D2328" s="345">
        <f t="shared" si="325"/>
        <v>44.234572591587515</v>
      </c>
      <c r="E2328" s="567">
        <v>5</v>
      </c>
      <c r="F2328" s="508">
        <f t="shared" si="326"/>
        <v>49.239999999999995</v>
      </c>
      <c r="G2328" s="351" t="s">
        <v>2406</v>
      </c>
      <c r="H2328" s="518" t="s">
        <v>2407</v>
      </c>
      <c r="I2328" s="452" t="s">
        <v>11565</v>
      </c>
      <c r="J2328" s="369" t="s">
        <v>753</v>
      </c>
      <c r="K2328" s="452" t="s">
        <v>741</v>
      </c>
    </row>
    <row r="2329" spans="1:11" s="185" customFormat="1">
      <c r="A2329" s="369"/>
      <c r="B2329" s="568" t="s">
        <v>2408</v>
      </c>
      <c r="C2329" s="346">
        <v>219</v>
      </c>
      <c r="D2329" s="345">
        <f t="shared" si="325"/>
        <v>67.273412483039337</v>
      </c>
      <c r="E2329" s="569">
        <v>5</v>
      </c>
      <c r="F2329" s="508">
        <f t="shared" si="326"/>
        <v>72.28</v>
      </c>
      <c r="G2329" s="351" t="s">
        <v>2409</v>
      </c>
      <c r="H2329" s="518" t="s">
        <v>2410</v>
      </c>
      <c r="I2329" s="452" t="s">
        <v>11565</v>
      </c>
      <c r="J2329" s="369" t="s">
        <v>753</v>
      </c>
      <c r="K2329" s="452" t="s">
        <v>741</v>
      </c>
    </row>
    <row r="2330" spans="1:11" s="185" customFormat="1">
      <c r="A2330" s="369"/>
      <c r="B2330" s="568" t="s">
        <v>2717</v>
      </c>
      <c r="C2330" s="346">
        <v>362</v>
      </c>
      <c r="D2330" s="345">
        <f t="shared" si="325"/>
        <v>111.20080054274084</v>
      </c>
      <c r="E2330" s="569">
        <v>10</v>
      </c>
      <c r="F2330" s="508">
        <f t="shared" si="326"/>
        <v>121.21000000000001</v>
      </c>
      <c r="G2330" s="512" t="s">
        <v>2414</v>
      </c>
      <c r="H2330" s="518" t="s">
        <v>2415</v>
      </c>
      <c r="I2330" s="452" t="s">
        <v>11565</v>
      </c>
      <c r="J2330" s="369" t="s">
        <v>753</v>
      </c>
      <c r="K2330" s="452" t="s">
        <v>741</v>
      </c>
    </row>
    <row r="2331" spans="1:11" s="185" customFormat="1">
      <c r="A2331" s="369"/>
      <c r="B2331" s="418" t="s">
        <v>2416</v>
      </c>
      <c r="C2331" s="346">
        <v>1016</v>
      </c>
      <c r="D2331" s="345">
        <f t="shared" si="325"/>
        <v>312.09948439620075</v>
      </c>
      <c r="E2331" s="343">
        <v>20</v>
      </c>
      <c r="F2331" s="508">
        <f t="shared" si="326"/>
        <v>332.09999999999997</v>
      </c>
      <c r="G2331" s="351" t="s">
        <v>2417</v>
      </c>
      <c r="H2331" s="518" t="s">
        <v>2418</v>
      </c>
      <c r="I2331" s="452" t="s">
        <v>11565</v>
      </c>
      <c r="J2331" s="369" t="s">
        <v>753</v>
      </c>
      <c r="K2331" s="452" t="s">
        <v>741</v>
      </c>
    </row>
    <row r="2332" spans="1:11" s="185" customFormat="1">
      <c r="A2332" s="369"/>
      <c r="B2332" s="418" t="s">
        <v>2419</v>
      </c>
      <c r="C2332" s="346">
        <v>1238</v>
      </c>
      <c r="D2332" s="345">
        <f t="shared" si="325"/>
        <v>380.29445047489821</v>
      </c>
      <c r="E2332" s="343">
        <v>20</v>
      </c>
      <c r="F2332" s="508">
        <f t="shared" si="326"/>
        <v>400.3</v>
      </c>
      <c r="G2332" s="351" t="s">
        <v>2420</v>
      </c>
      <c r="H2332" s="518" t="s">
        <v>2421</v>
      </c>
      <c r="I2332" s="452" t="s">
        <v>11565</v>
      </c>
      <c r="J2332" s="369" t="s">
        <v>753</v>
      </c>
      <c r="K2332" s="452" t="s">
        <v>741</v>
      </c>
    </row>
    <row r="2333" spans="1:11" s="185" customFormat="1">
      <c r="A2333" s="369"/>
      <c r="B2333" s="418" t="s">
        <v>2422</v>
      </c>
      <c r="C2333" s="346">
        <v>1018</v>
      </c>
      <c r="D2333" s="345">
        <f t="shared" si="325"/>
        <v>312.71385345997288</v>
      </c>
      <c r="E2333" s="343">
        <v>20</v>
      </c>
      <c r="F2333" s="508">
        <f t="shared" si="326"/>
        <v>332.71999999999997</v>
      </c>
      <c r="G2333" s="351" t="s">
        <v>2423</v>
      </c>
      <c r="H2333" s="518" t="s">
        <v>2424</v>
      </c>
      <c r="I2333" s="452" t="s">
        <v>11565</v>
      </c>
      <c r="J2333" s="369" t="s">
        <v>753</v>
      </c>
      <c r="K2333" s="452" t="s">
        <v>741</v>
      </c>
    </row>
    <row r="2334" spans="1:11" s="2317" customFormat="1">
      <c r="A2334" s="1619"/>
      <c r="B2334" s="2309" t="s">
        <v>13582</v>
      </c>
      <c r="C2334" s="2310">
        <v>1697</v>
      </c>
      <c r="D2334" s="2311">
        <f t="shared" ref="D2334" si="327">C2334*(1-VLOOKUP(I2334,descuentos,6,FALSE))*fcl/IF(dol_sol="dólar", TC,1)</f>
        <v>521.29215061058346</v>
      </c>
      <c r="E2334" s="2312">
        <v>20</v>
      </c>
      <c r="F2334" s="2313">
        <f t="shared" si="326"/>
        <v>541.29999999999995</v>
      </c>
      <c r="G2334" s="2314" t="s">
        <v>13583</v>
      </c>
      <c r="H2334" s="2315" t="s">
        <v>13584</v>
      </c>
      <c r="I2334" s="2316" t="s">
        <v>11565</v>
      </c>
      <c r="J2334" s="1619" t="s">
        <v>753</v>
      </c>
      <c r="K2334" s="2316" t="s">
        <v>741</v>
      </c>
    </row>
    <row r="2335" spans="1:11" s="185" customFormat="1">
      <c r="A2335" s="369"/>
      <c r="B2335" s="144" t="s">
        <v>13585</v>
      </c>
      <c r="C2335" s="196">
        <v>1977</v>
      </c>
      <c r="D2335" s="230">
        <f t="shared" si="325"/>
        <v>607.30381953867015</v>
      </c>
      <c r="E2335" s="215">
        <v>20</v>
      </c>
      <c r="F2335" s="511">
        <f t="shared" si="326"/>
        <v>627.30999999999995</v>
      </c>
      <c r="G2335" s="314" t="s">
        <v>13586</v>
      </c>
      <c r="H2335" s="518" t="s">
        <v>13587</v>
      </c>
      <c r="I2335" s="452" t="s">
        <v>11565</v>
      </c>
      <c r="J2335" s="369" t="s">
        <v>753</v>
      </c>
      <c r="K2335" s="452" t="s">
        <v>741</v>
      </c>
    </row>
    <row r="2336" spans="1:11" s="185" customFormat="1">
      <c r="A2336" s="369"/>
      <c r="B2336" s="418" t="s">
        <v>12712</v>
      </c>
      <c r="C2336" s="346">
        <v>3467</v>
      </c>
      <c r="D2336" s="345">
        <f t="shared" ref="D2336" si="328">C2336*(1-VLOOKUP(I2336,descuentos,6,FALSE))*fcl/IF(dol_sol="dólar", TC,1)</f>
        <v>1065.0087720488466</v>
      </c>
      <c r="E2336" s="343">
        <v>20</v>
      </c>
      <c r="F2336" s="508">
        <f t="shared" si="326"/>
        <v>1085.01</v>
      </c>
      <c r="G2336" s="351" t="s">
        <v>12713</v>
      </c>
      <c r="H2336" s="518" t="s">
        <v>12714</v>
      </c>
      <c r="I2336" s="452" t="s">
        <v>11565</v>
      </c>
      <c r="J2336" s="369" t="s">
        <v>753</v>
      </c>
      <c r="K2336" s="452" t="s">
        <v>741</v>
      </c>
    </row>
    <row r="2337" spans="1:11" s="185" customFormat="1">
      <c r="A2337" s="369"/>
      <c r="B2337" s="418" t="s">
        <v>13588</v>
      </c>
      <c r="C2337" s="346">
        <v>3779</v>
      </c>
      <c r="D2337" s="345">
        <f t="shared" ref="D2337" si="329">C2337*(1-VLOOKUP(I2337,descuentos,6,FALSE))*fcl/IF(dol_sol="dólar", TC,1)</f>
        <v>1160.8503459972862</v>
      </c>
      <c r="E2337" s="343">
        <v>20</v>
      </c>
      <c r="F2337" s="508">
        <f t="shared" si="326"/>
        <v>1180.8599999999999</v>
      </c>
      <c r="G2337" s="351" t="s">
        <v>13589</v>
      </c>
      <c r="H2337" s="518" t="s">
        <v>13590</v>
      </c>
      <c r="I2337" s="452" t="s">
        <v>11565</v>
      </c>
      <c r="J2337" s="369" t="s">
        <v>753</v>
      </c>
      <c r="K2337" s="452" t="s">
        <v>741</v>
      </c>
    </row>
    <row r="2338" spans="1:11" s="185" customFormat="1">
      <c r="A2338" s="369"/>
      <c r="B2338" s="144"/>
      <c r="C2338" s="196" t="s">
        <v>2024</v>
      </c>
      <c r="D2338" s="230"/>
      <c r="E2338" s="215"/>
      <c r="F2338" s="511"/>
      <c r="G2338" s="314"/>
      <c r="H2338" s="518"/>
      <c r="I2338" s="452"/>
      <c r="J2338" s="369"/>
      <c r="K2338" s="452"/>
    </row>
    <row r="2339" spans="1:11" s="185" customFormat="1">
      <c r="A2339" s="369"/>
      <c r="B2339" s="418" t="s">
        <v>12715</v>
      </c>
      <c r="C2339" s="346">
        <v>5943</v>
      </c>
      <c r="D2339" s="345">
        <f t="shared" ref="D2339" si="330">C2339*(1-VLOOKUP(I2339,descuentos,6,FALSE))*fcl/IF(dol_sol="dólar", TC,1)</f>
        <v>1825.597672998643</v>
      </c>
      <c r="E2339" s="343">
        <v>20</v>
      </c>
      <c r="F2339" s="508">
        <f t="shared" ref="F2339" si="331">ROUNDUP(D2339+E2339,2)</f>
        <v>1845.6</v>
      </c>
      <c r="G2339" s="351" t="s">
        <v>12716</v>
      </c>
      <c r="H2339" s="518" t="s">
        <v>12717</v>
      </c>
      <c r="I2339" s="452" t="s">
        <v>11565</v>
      </c>
      <c r="J2339" s="369" t="s">
        <v>753</v>
      </c>
      <c r="K2339" s="452" t="s">
        <v>741</v>
      </c>
    </row>
    <row r="2340" spans="1:11" s="185" customFormat="1">
      <c r="A2340" s="369"/>
      <c r="B2340" s="144"/>
      <c r="C2340" s="196" t="s">
        <v>2024</v>
      </c>
      <c r="D2340" s="230"/>
      <c r="E2340" s="215"/>
      <c r="F2340" s="511"/>
      <c r="G2340" s="314"/>
      <c r="H2340" s="518"/>
      <c r="I2340" s="452"/>
      <c r="J2340" s="369"/>
      <c r="K2340" s="452"/>
    </row>
    <row r="2341" spans="1:11" s="185" customFormat="1">
      <c r="A2341" s="369"/>
      <c r="B2341" s="418" t="s">
        <v>12718</v>
      </c>
      <c r="C2341" s="346">
        <v>110</v>
      </c>
      <c r="D2341" s="345">
        <f t="shared" ref="D2341" si="332">C2341*(1-VLOOKUP(I2341,descuentos,6,FALSE))*fcl/IF(dol_sol="dólar", TC,1)</f>
        <v>33.790298507462687</v>
      </c>
      <c r="E2341" s="343">
        <v>20</v>
      </c>
      <c r="F2341" s="508">
        <f t="shared" ref="F2341" si="333">ROUNDUP(D2341+E2341,2)</f>
        <v>53.8</v>
      </c>
      <c r="G2341" s="351" t="s">
        <v>12719</v>
      </c>
      <c r="H2341" s="518" t="s">
        <v>12720</v>
      </c>
      <c r="I2341" s="452" t="s">
        <v>11565</v>
      </c>
      <c r="J2341" s="369" t="s">
        <v>753</v>
      </c>
      <c r="K2341" s="452" t="s">
        <v>741</v>
      </c>
    </row>
    <row r="2342" spans="1:11" s="185" customFormat="1">
      <c r="A2342" s="369"/>
      <c r="B2342" s="144"/>
      <c r="C2342" s="196" t="s">
        <v>2024</v>
      </c>
      <c r="D2342" s="230"/>
      <c r="E2342" s="215"/>
      <c r="F2342" s="511"/>
      <c r="G2342" s="314"/>
      <c r="H2342" s="518"/>
      <c r="I2342" s="452"/>
      <c r="J2342" s="369"/>
      <c r="K2342" s="452"/>
    </row>
    <row r="2343" spans="1:11" s="185" customFormat="1">
      <c r="A2343" s="369"/>
      <c r="B2343" s="559" t="s">
        <v>7290</v>
      </c>
      <c r="C2343" s="346">
        <v>91</v>
      </c>
      <c r="D2343" s="345">
        <f>C2343*(1-VLOOKUP(I2343,descuentos,6,FALSE))*fcl/IF(dol_sol="dólar", TC,1)</f>
        <v>27.953792401628217</v>
      </c>
      <c r="E2343" s="343">
        <v>1</v>
      </c>
      <c r="F2343" s="508">
        <f>ROUNDUP(D2343+E2343,2)</f>
        <v>28.96</v>
      </c>
      <c r="G2343" s="351" t="s">
        <v>7291</v>
      </c>
      <c r="H2343" s="559" t="s">
        <v>7290</v>
      </c>
      <c r="I2343" s="452" t="s">
        <v>11565</v>
      </c>
      <c r="J2343" s="369" t="s">
        <v>753</v>
      </c>
      <c r="K2343" s="452" t="s">
        <v>741</v>
      </c>
    </row>
    <row r="2344" spans="1:11" s="185" customFormat="1">
      <c r="A2344" s="369"/>
      <c r="B2344" s="418" t="s">
        <v>7292</v>
      </c>
      <c r="C2344" s="346">
        <v>60</v>
      </c>
      <c r="D2344" s="345">
        <f>C2344*(1-VLOOKUP(I2344,descuentos,6,FALSE))*fcl/IF(dol_sol="dólar", TC,1)</f>
        <v>18.431071913161464</v>
      </c>
      <c r="E2344" s="343">
        <v>1</v>
      </c>
      <c r="F2344" s="508">
        <f>ROUNDUP(D2344+E2344,2)</f>
        <v>19.440000000000001</v>
      </c>
      <c r="G2344" s="351" t="s">
        <v>7293</v>
      </c>
      <c r="H2344" s="518" t="s">
        <v>7292</v>
      </c>
      <c r="I2344" s="452" t="s">
        <v>11565</v>
      </c>
      <c r="J2344" s="369" t="s">
        <v>753</v>
      </c>
      <c r="K2344" s="452" t="s">
        <v>741</v>
      </c>
    </row>
    <row r="2345" spans="1:11" s="185" customFormat="1">
      <c r="A2345" s="369"/>
      <c r="B2345" s="144"/>
      <c r="C2345" s="196" t="s">
        <v>2024</v>
      </c>
      <c r="D2345" s="230"/>
      <c r="E2345" s="215"/>
      <c r="F2345" s="511"/>
      <c r="G2345" s="314"/>
      <c r="H2345" s="518"/>
      <c r="I2345" s="452"/>
      <c r="J2345" s="369"/>
      <c r="K2345" s="452"/>
    </row>
    <row r="2346" spans="1:11" s="185" customFormat="1">
      <c r="A2346" s="369"/>
      <c r="B2346" s="144" t="s">
        <v>2718</v>
      </c>
      <c r="C2346" s="196">
        <v>16</v>
      </c>
      <c r="D2346" s="230">
        <f t="shared" ref="D2346:D2351" si="334">C2346*(1-VLOOKUP(I2346,descuentos,6,FALSE))*fcl/IF(dol_sol="dólar", TC,1)</f>
        <v>4.9149525101763905</v>
      </c>
      <c r="E2346" s="215">
        <v>1</v>
      </c>
      <c r="F2346" s="511">
        <f t="shared" ref="F2346:F2353" si="335">ROUNDUP(D2346+E2346,2)</f>
        <v>5.92</v>
      </c>
      <c r="G2346" s="314" t="s">
        <v>13591</v>
      </c>
      <c r="H2346" s="518" t="s">
        <v>2719</v>
      </c>
      <c r="I2346" s="452" t="s">
        <v>11565</v>
      </c>
      <c r="J2346" s="369" t="s">
        <v>753</v>
      </c>
      <c r="K2346" s="452" t="s">
        <v>741</v>
      </c>
    </row>
    <row r="2347" spans="1:11" s="185" customFormat="1">
      <c r="A2347" s="369"/>
      <c r="B2347" s="144" t="s">
        <v>2720</v>
      </c>
      <c r="C2347" s="196">
        <v>16</v>
      </c>
      <c r="D2347" s="230">
        <f t="shared" si="334"/>
        <v>4.9149525101763905</v>
      </c>
      <c r="E2347" s="215">
        <v>1</v>
      </c>
      <c r="F2347" s="511">
        <f t="shared" si="335"/>
        <v>5.92</v>
      </c>
      <c r="G2347" s="314" t="s">
        <v>5674</v>
      </c>
      <c r="H2347" s="518" t="s">
        <v>2721</v>
      </c>
      <c r="I2347" s="452" t="s">
        <v>11565</v>
      </c>
      <c r="J2347" s="369" t="s">
        <v>753</v>
      </c>
      <c r="K2347" s="452" t="s">
        <v>741</v>
      </c>
    </row>
    <row r="2348" spans="1:11" s="185" customFormat="1">
      <c r="A2348" s="369"/>
      <c r="B2348" s="144" t="s">
        <v>5675</v>
      </c>
      <c r="C2348" s="196">
        <v>36</v>
      </c>
      <c r="D2348" s="230">
        <f t="shared" si="334"/>
        <v>11.058643147896879</v>
      </c>
      <c r="E2348" s="215">
        <v>1</v>
      </c>
      <c r="F2348" s="511">
        <f t="shared" si="335"/>
        <v>12.06</v>
      </c>
      <c r="G2348" s="314" t="s">
        <v>5676</v>
      </c>
      <c r="H2348" s="518" t="s">
        <v>5677</v>
      </c>
      <c r="I2348" s="452" t="s">
        <v>11565</v>
      </c>
      <c r="J2348" s="369" t="s">
        <v>753</v>
      </c>
      <c r="K2348" s="452" t="s">
        <v>741</v>
      </c>
    </row>
    <row r="2349" spans="1:11" s="185" customFormat="1">
      <c r="A2349" s="369"/>
      <c r="B2349" s="144" t="s">
        <v>2425</v>
      </c>
      <c r="C2349" s="196">
        <v>54</v>
      </c>
      <c r="D2349" s="230">
        <f t="shared" si="334"/>
        <v>16.587964721845321</v>
      </c>
      <c r="E2349" s="215">
        <v>5</v>
      </c>
      <c r="F2349" s="511">
        <f t="shared" si="335"/>
        <v>21.59</v>
      </c>
      <c r="G2349" s="314" t="s">
        <v>2426</v>
      </c>
      <c r="H2349" s="518" t="s">
        <v>4649</v>
      </c>
      <c r="I2349" s="452" t="s">
        <v>11565</v>
      </c>
      <c r="J2349" s="369" t="s">
        <v>753</v>
      </c>
      <c r="K2349" s="452" t="s">
        <v>741</v>
      </c>
    </row>
    <row r="2350" spans="1:11" s="185" customFormat="1">
      <c r="A2350" s="369"/>
      <c r="B2350" s="144" t="s">
        <v>4650</v>
      </c>
      <c r="C2350" s="196">
        <v>54</v>
      </c>
      <c r="D2350" s="230">
        <f t="shared" si="334"/>
        <v>16.587964721845321</v>
      </c>
      <c r="E2350" s="215">
        <v>5</v>
      </c>
      <c r="F2350" s="511">
        <f t="shared" si="335"/>
        <v>21.59</v>
      </c>
      <c r="G2350" s="314" t="s">
        <v>4651</v>
      </c>
      <c r="H2350" s="518" t="s">
        <v>4652</v>
      </c>
      <c r="I2350" s="452" t="s">
        <v>11565</v>
      </c>
      <c r="J2350" s="369" t="s">
        <v>753</v>
      </c>
      <c r="K2350" s="452" t="s">
        <v>741</v>
      </c>
    </row>
    <row r="2351" spans="1:11" s="185" customFormat="1">
      <c r="A2351" s="952"/>
      <c r="B2351" s="144" t="s">
        <v>5678</v>
      </c>
      <c r="C2351" s="196">
        <v>77</v>
      </c>
      <c r="D2351" s="230">
        <f t="shared" si="334"/>
        <v>23.653208955223882</v>
      </c>
      <c r="E2351" s="215">
        <v>5</v>
      </c>
      <c r="F2351" s="511">
        <f t="shared" si="335"/>
        <v>28.66</v>
      </c>
      <c r="G2351" s="314" t="s">
        <v>5679</v>
      </c>
      <c r="H2351" s="518" t="s">
        <v>5680</v>
      </c>
      <c r="I2351" s="452" t="s">
        <v>11565</v>
      </c>
      <c r="J2351" s="369" t="s">
        <v>753</v>
      </c>
      <c r="K2351" s="452" t="s">
        <v>741</v>
      </c>
    </row>
    <row r="2352" spans="1:11" s="185" customFormat="1">
      <c r="A2352" s="369"/>
      <c r="B2352" s="144" t="s">
        <v>11572</v>
      </c>
      <c r="C2352" s="196">
        <v>36</v>
      </c>
      <c r="D2352" s="230">
        <f t="shared" ref="D2352" si="336">C2352*(1-VLOOKUP(I2352,descuentos,6,FALSE))*fcl/IF(dol_sol="dólar", TC,1)</f>
        <v>11.058643147896879</v>
      </c>
      <c r="E2352" s="215">
        <v>1</v>
      </c>
      <c r="F2352" s="511">
        <f t="shared" si="335"/>
        <v>12.06</v>
      </c>
      <c r="G2352" s="314" t="s">
        <v>11573</v>
      </c>
      <c r="H2352" s="452" t="s">
        <v>5677</v>
      </c>
      <c r="I2352" s="452" t="s">
        <v>11565</v>
      </c>
      <c r="J2352" s="369" t="s">
        <v>753</v>
      </c>
      <c r="K2352" s="452" t="s">
        <v>741</v>
      </c>
    </row>
    <row r="2353" spans="1:11" s="185" customFormat="1">
      <c r="A2353" s="369"/>
      <c r="B2353" s="144" t="s">
        <v>12259</v>
      </c>
      <c r="C2353" s="196">
        <v>87</v>
      </c>
      <c r="D2353" s="230">
        <f t="shared" ref="D2353" si="337">C2353*(1-VLOOKUP(I2353,descuentos,6,FALSE))*fcl/IF(dol_sol="dólar", TC,1)</f>
        <v>26.725054274084119</v>
      </c>
      <c r="E2353" s="215">
        <v>1</v>
      </c>
      <c r="F2353" s="511">
        <f t="shared" si="335"/>
        <v>27.73</v>
      </c>
      <c r="G2353" s="314" t="s">
        <v>12260</v>
      </c>
      <c r="H2353" s="452" t="s">
        <v>12261</v>
      </c>
      <c r="I2353" s="452" t="s">
        <v>11565</v>
      </c>
      <c r="J2353" s="369" t="s">
        <v>753</v>
      </c>
      <c r="K2353" s="452" t="s">
        <v>741</v>
      </c>
    </row>
    <row r="2354" spans="1:11" s="185" customFormat="1">
      <c r="A2354" s="369"/>
      <c r="B2354" s="144"/>
      <c r="C2354" s="196" t="s">
        <v>2024</v>
      </c>
      <c r="D2354" s="230"/>
      <c r="E2354" s="215"/>
      <c r="F2354" s="511"/>
      <c r="G2354" s="314"/>
      <c r="H2354" s="518"/>
      <c r="I2354" s="452"/>
      <c r="J2354" s="369"/>
      <c r="K2354" s="452"/>
    </row>
    <row r="2355" spans="1:11" s="185" customFormat="1">
      <c r="A2355" s="369"/>
      <c r="B2355" s="144" t="s">
        <v>4653</v>
      </c>
      <c r="C2355" s="196">
        <v>29</v>
      </c>
      <c r="D2355" s="230">
        <f>C2355*(1-VLOOKUP(I2355,descuentos,6,FALSE))*fcl/TC</f>
        <v>8.9083514246947075</v>
      </c>
      <c r="E2355" s="215">
        <v>1</v>
      </c>
      <c r="F2355" s="511">
        <f>ROUNDUP(D2355+E2355,2)</f>
        <v>9.91</v>
      </c>
      <c r="G2355" s="314" t="s">
        <v>12393</v>
      </c>
      <c r="H2355" s="518" t="s">
        <v>4654</v>
      </c>
      <c r="I2355" s="452" t="s">
        <v>11565</v>
      </c>
      <c r="J2355" s="369" t="s">
        <v>753</v>
      </c>
      <c r="K2355" s="452" t="s">
        <v>741</v>
      </c>
    </row>
    <row r="2356" spans="1:11" s="185" customFormat="1">
      <c r="A2356" s="369"/>
      <c r="B2356" s="144" t="s">
        <v>4655</v>
      </c>
      <c r="C2356" s="196">
        <v>33</v>
      </c>
      <c r="D2356" s="230">
        <f>C2356*(1-VLOOKUP(I2356,descuentos,6,FALSE))*fcl/IF(dol_sol="dólar", TC,1)</f>
        <v>10.137089552238805</v>
      </c>
      <c r="E2356" s="215">
        <v>2</v>
      </c>
      <c r="F2356" s="511">
        <f>ROUNDUP(D2356+E2356,2)</f>
        <v>12.14</v>
      </c>
      <c r="G2356" s="314" t="s">
        <v>12394</v>
      </c>
      <c r="H2356" s="518" t="s">
        <v>4656</v>
      </c>
      <c r="I2356" s="452" t="s">
        <v>11565</v>
      </c>
      <c r="J2356" s="369" t="s">
        <v>753</v>
      </c>
      <c r="K2356" s="452" t="s">
        <v>741</v>
      </c>
    </row>
    <row r="2357" spans="1:11" s="185" customFormat="1">
      <c r="A2357" s="369"/>
      <c r="B2357" s="144"/>
      <c r="C2357" s="196" t="s">
        <v>2024</v>
      </c>
      <c r="D2357" s="230"/>
      <c r="E2357" s="215"/>
      <c r="F2357" s="511"/>
      <c r="G2357" s="314"/>
      <c r="H2357" s="518"/>
      <c r="I2357" s="452"/>
      <c r="J2357" s="369"/>
      <c r="K2357" s="452"/>
    </row>
    <row r="2358" spans="1:11" s="185" customFormat="1">
      <c r="A2358" s="369"/>
      <c r="B2358" s="144" t="s">
        <v>5681</v>
      </c>
      <c r="C2358" s="196">
        <v>67</v>
      </c>
      <c r="D2358" s="230">
        <f>C2358*(1-VLOOKUP(I2358,descuentos,6,FALSE))*fcl/TC</f>
        <v>20.581363636363637</v>
      </c>
      <c r="E2358" s="215">
        <v>2</v>
      </c>
      <c r="F2358" s="511">
        <f>ROUNDUP(D2358+E2358,2)</f>
        <v>22.59</v>
      </c>
      <c r="G2358" s="314" t="s">
        <v>5682</v>
      </c>
      <c r="H2358" s="518" t="s">
        <v>5683</v>
      </c>
      <c r="I2358" s="452" t="s">
        <v>11565</v>
      </c>
      <c r="J2358" s="369" t="s">
        <v>753</v>
      </c>
      <c r="K2358" s="452" t="s">
        <v>741</v>
      </c>
    </row>
    <row r="2359" spans="1:11" s="185" customFormat="1">
      <c r="A2359" s="369"/>
      <c r="B2359" s="144" t="s">
        <v>5684</v>
      </c>
      <c r="C2359" s="196">
        <v>111</v>
      </c>
      <c r="D2359" s="230">
        <f>C2359*(1-VLOOKUP(I2359,descuentos,6,FALSE))*fcl/TC</f>
        <v>34.09748303934871</v>
      </c>
      <c r="E2359" s="215">
        <v>3</v>
      </c>
      <c r="F2359" s="511">
        <f>ROUNDUP(D2359+E2359,2)</f>
        <v>37.1</v>
      </c>
      <c r="G2359" s="314" t="s">
        <v>5685</v>
      </c>
      <c r="H2359" s="518" t="s">
        <v>5686</v>
      </c>
      <c r="I2359" s="452" t="s">
        <v>11565</v>
      </c>
      <c r="J2359" s="369" t="s">
        <v>753</v>
      </c>
      <c r="K2359" s="452" t="s">
        <v>741</v>
      </c>
    </row>
    <row r="2360" spans="1:11" s="185" customFormat="1">
      <c r="A2360" s="369"/>
      <c r="B2360" s="144" t="s">
        <v>5687</v>
      </c>
      <c r="C2360" s="196">
        <v>136</v>
      </c>
      <c r="D2360" s="230">
        <f>C2360*(1-VLOOKUP(I2360,descuentos,6,FALSE))*fcl/TC</f>
        <v>41.777096336499319</v>
      </c>
      <c r="E2360" s="215">
        <v>4</v>
      </c>
      <c r="F2360" s="511">
        <f>ROUNDUP(D2360+E2360,2)</f>
        <v>45.78</v>
      </c>
      <c r="G2360" s="314" t="s">
        <v>5688</v>
      </c>
      <c r="H2360" s="518" t="s">
        <v>5689</v>
      </c>
      <c r="I2360" s="452" t="s">
        <v>11565</v>
      </c>
      <c r="J2360" s="369" t="s">
        <v>753</v>
      </c>
      <c r="K2360" s="452" t="s">
        <v>741</v>
      </c>
    </row>
    <row r="2361" spans="1:11" s="185" customFormat="1">
      <c r="A2361" s="369"/>
      <c r="B2361" s="144" t="s">
        <v>5690</v>
      </c>
      <c r="C2361" s="196">
        <v>173</v>
      </c>
      <c r="D2361" s="230">
        <f>C2361*(1-VLOOKUP(I2361,descuentos,6,FALSE))*fcl/TC</f>
        <v>53.142924016282223</v>
      </c>
      <c r="E2361" s="215">
        <v>5</v>
      </c>
      <c r="F2361" s="511">
        <f>ROUNDUP(D2361+E2361,2)</f>
        <v>58.15</v>
      </c>
      <c r="G2361" s="314" t="s">
        <v>5691</v>
      </c>
      <c r="H2361" s="518" t="s">
        <v>5692</v>
      </c>
      <c r="I2361" s="452" t="s">
        <v>11565</v>
      </c>
      <c r="J2361" s="369" t="s">
        <v>753</v>
      </c>
      <c r="K2361" s="452" t="s">
        <v>741</v>
      </c>
    </row>
    <row r="2362" spans="1:11" s="185" customFormat="1">
      <c r="A2362" s="369"/>
      <c r="B2362" s="144"/>
      <c r="C2362" s="196" t="s">
        <v>2024</v>
      </c>
      <c r="D2362" s="230"/>
      <c r="E2362" s="215"/>
      <c r="F2362" s="511"/>
      <c r="G2362" s="314"/>
      <c r="H2362" s="518"/>
      <c r="I2362" s="452"/>
      <c r="J2362" s="369"/>
      <c r="K2362" s="452"/>
    </row>
    <row r="2363" spans="1:11" s="185" customFormat="1">
      <c r="A2363" s="369"/>
      <c r="B2363" s="144"/>
      <c r="C2363" s="196" t="s">
        <v>2024</v>
      </c>
      <c r="D2363" s="230"/>
      <c r="E2363" s="215"/>
      <c r="F2363" s="511"/>
      <c r="G2363" s="314"/>
      <c r="H2363" s="518"/>
      <c r="I2363" s="452"/>
      <c r="J2363" s="369"/>
      <c r="K2363" s="452"/>
    </row>
    <row r="2364" spans="1:11" s="185" customFormat="1">
      <c r="A2364" s="369"/>
      <c r="B2364" s="144" t="s">
        <v>1446</v>
      </c>
      <c r="C2364" s="196">
        <v>235</v>
      </c>
      <c r="D2364" s="230">
        <f t="shared" ref="D2364:D2371" si="338">C2364*(1-VLOOKUP(I2364,descuentos,6,FALSE))*fcl/IF(dol_sol="dólar", TC,1)</f>
        <v>72.188364993215728</v>
      </c>
      <c r="E2364" s="215">
        <v>10</v>
      </c>
      <c r="F2364" s="511">
        <f t="shared" ref="F2364:F2371" si="339">ROUNDUP(D2364+E2364,2)</f>
        <v>82.190000000000012</v>
      </c>
      <c r="G2364" s="318" t="s">
        <v>7294</v>
      </c>
      <c r="H2364" s="518" t="s">
        <v>1438</v>
      </c>
      <c r="I2364" s="452" t="s">
        <v>11565</v>
      </c>
      <c r="J2364" s="369" t="s">
        <v>753</v>
      </c>
      <c r="K2364" s="452" t="s">
        <v>741</v>
      </c>
    </row>
    <row r="2365" spans="1:11" s="185" customFormat="1">
      <c r="A2365" s="369"/>
      <c r="B2365" s="144" t="s">
        <v>1452</v>
      </c>
      <c r="C2365" s="196">
        <v>307</v>
      </c>
      <c r="D2365" s="230">
        <f t="shared" si="338"/>
        <v>94.305651289009475</v>
      </c>
      <c r="E2365" s="215">
        <v>10</v>
      </c>
      <c r="F2365" s="511">
        <f t="shared" si="339"/>
        <v>104.31</v>
      </c>
      <c r="G2365" s="318" t="s">
        <v>7295</v>
      </c>
      <c r="H2365" s="518" t="s">
        <v>1439</v>
      </c>
      <c r="I2365" s="452" t="s">
        <v>11565</v>
      </c>
      <c r="J2365" s="369" t="s">
        <v>753</v>
      </c>
      <c r="K2365" s="452" t="s">
        <v>741</v>
      </c>
    </row>
    <row r="2366" spans="1:11" s="185" customFormat="1">
      <c r="A2366" s="369"/>
      <c r="B2366" s="144" t="s">
        <v>1453</v>
      </c>
      <c r="C2366" s="196">
        <v>445</v>
      </c>
      <c r="D2366" s="230">
        <f t="shared" si="338"/>
        <v>136.69711668928085</v>
      </c>
      <c r="E2366" s="215">
        <v>10</v>
      </c>
      <c r="F2366" s="511">
        <f t="shared" si="339"/>
        <v>146.69999999999999</v>
      </c>
      <c r="G2366" s="318" t="s">
        <v>7296</v>
      </c>
      <c r="H2366" s="518" t="s">
        <v>1440</v>
      </c>
      <c r="I2366" s="452" t="s">
        <v>11565</v>
      </c>
      <c r="J2366" s="369" t="s">
        <v>753</v>
      </c>
      <c r="K2366" s="452" t="s">
        <v>741</v>
      </c>
    </row>
    <row r="2367" spans="1:11" s="185" customFormat="1">
      <c r="A2367" s="369"/>
      <c r="B2367" s="144" t="s">
        <v>1454</v>
      </c>
      <c r="C2367" s="571">
        <v>739</v>
      </c>
      <c r="D2367" s="230">
        <f t="shared" si="338"/>
        <v>227.009369063772</v>
      </c>
      <c r="E2367" s="215">
        <v>10</v>
      </c>
      <c r="F2367" s="511">
        <f t="shared" si="339"/>
        <v>237.01</v>
      </c>
      <c r="G2367" s="318" t="s">
        <v>7297</v>
      </c>
      <c r="H2367" s="518" t="s">
        <v>1441</v>
      </c>
      <c r="I2367" s="452" t="s">
        <v>11565</v>
      </c>
      <c r="J2367" s="369" t="s">
        <v>753</v>
      </c>
      <c r="K2367" s="452" t="s">
        <v>741</v>
      </c>
    </row>
    <row r="2368" spans="1:11" s="185" customFormat="1">
      <c r="A2368" s="369"/>
      <c r="B2368" s="144" t="s">
        <v>1455</v>
      </c>
      <c r="C2368" s="571">
        <v>939</v>
      </c>
      <c r="D2368" s="230">
        <f t="shared" si="338"/>
        <v>288.44627544097693</v>
      </c>
      <c r="E2368" s="215">
        <v>10</v>
      </c>
      <c r="F2368" s="511">
        <f t="shared" si="339"/>
        <v>298.45</v>
      </c>
      <c r="G2368" s="318" t="s">
        <v>7298</v>
      </c>
      <c r="H2368" s="518" t="s">
        <v>1442</v>
      </c>
      <c r="I2368" s="452" t="s">
        <v>11565</v>
      </c>
      <c r="J2368" s="369" t="s">
        <v>753</v>
      </c>
      <c r="K2368" s="452" t="s">
        <v>741</v>
      </c>
    </row>
    <row r="2369" spans="1:11" s="185" customFormat="1">
      <c r="A2369" s="369"/>
      <c r="B2369" s="144" t="s">
        <v>1456</v>
      </c>
      <c r="C2369" s="196">
        <v>1101</v>
      </c>
      <c r="D2369" s="230">
        <f t="shared" si="338"/>
        <v>338.21016960651286</v>
      </c>
      <c r="E2369" s="220">
        <v>10</v>
      </c>
      <c r="F2369" s="511">
        <f t="shared" si="339"/>
        <v>348.21999999999997</v>
      </c>
      <c r="G2369" s="318" t="s">
        <v>7299</v>
      </c>
      <c r="H2369" s="518" t="s">
        <v>1443</v>
      </c>
      <c r="I2369" s="452" t="s">
        <v>11565</v>
      </c>
      <c r="J2369" s="369" t="s">
        <v>753</v>
      </c>
      <c r="K2369" s="452" t="s">
        <v>741</v>
      </c>
    </row>
    <row r="2370" spans="1:11" s="185" customFormat="1">
      <c r="A2370" s="369"/>
      <c r="B2370" s="144" t="s">
        <v>1457</v>
      </c>
      <c r="C2370" s="196">
        <v>1193</v>
      </c>
      <c r="D2370" s="230">
        <f t="shared" si="338"/>
        <v>366.47114654002712</v>
      </c>
      <c r="E2370" s="215">
        <v>20</v>
      </c>
      <c r="F2370" s="511">
        <f t="shared" si="339"/>
        <v>386.48</v>
      </c>
      <c r="G2370" s="318" t="s">
        <v>7300</v>
      </c>
      <c r="H2370" s="518" t="s">
        <v>1444</v>
      </c>
      <c r="I2370" s="452" t="s">
        <v>11565</v>
      </c>
      <c r="J2370" s="369" t="s">
        <v>753</v>
      </c>
      <c r="K2370" s="452" t="s">
        <v>741</v>
      </c>
    </row>
    <row r="2371" spans="1:11" s="185" customFormat="1">
      <c r="A2371" s="369"/>
      <c r="B2371" s="144" t="s">
        <v>1458</v>
      </c>
      <c r="C2371" s="571">
        <v>1270</v>
      </c>
      <c r="D2371" s="230">
        <f t="shared" si="338"/>
        <v>390.124355495251</v>
      </c>
      <c r="E2371" s="215">
        <v>20</v>
      </c>
      <c r="F2371" s="511">
        <f t="shared" si="339"/>
        <v>410.13</v>
      </c>
      <c r="G2371" s="318" t="s">
        <v>7301</v>
      </c>
      <c r="H2371" s="518" t="s">
        <v>1445</v>
      </c>
      <c r="I2371" s="452" t="s">
        <v>11565</v>
      </c>
      <c r="J2371" s="369" t="s">
        <v>753</v>
      </c>
      <c r="K2371" s="452" t="s">
        <v>741</v>
      </c>
    </row>
    <row r="2372" spans="1:11" s="185" customFormat="1">
      <c r="A2372" s="369"/>
      <c r="B2372" s="454"/>
      <c r="C2372" s="454" t="s">
        <v>2024</v>
      </c>
      <c r="D2372" s="454"/>
      <c r="E2372" s="454"/>
      <c r="F2372" s="454"/>
      <c r="G2372" s="454"/>
      <c r="H2372" s="473"/>
      <c r="I2372" s="454"/>
      <c r="J2372" s="454"/>
      <c r="K2372" s="454"/>
    </row>
    <row r="2373" spans="1:11" s="185" customFormat="1">
      <c r="A2373" s="369"/>
      <c r="B2373" s="144"/>
      <c r="C2373" s="196" t="s">
        <v>2024</v>
      </c>
      <c r="D2373" s="230"/>
      <c r="E2373" s="215"/>
      <c r="F2373" s="511"/>
      <c r="G2373" s="314"/>
      <c r="H2373" s="518"/>
      <c r="I2373" s="452"/>
      <c r="J2373" s="369"/>
      <c r="K2373" s="452"/>
    </row>
    <row r="2374" spans="1:11" s="185" customFormat="1">
      <c r="A2374" s="369"/>
      <c r="B2374" s="144" t="s">
        <v>1733</v>
      </c>
      <c r="C2374" s="196">
        <v>139</v>
      </c>
      <c r="D2374" s="230">
        <f t="shared" ref="D2374:D2380" si="340">C2374*(1-VLOOKUP(I2374,descuentos,6,FALSE))*fcl/IF(dol_sol="dólar", TC,1)</f>
        <v>42.698649932157387</v>
      </c>
      <c r="E2374" s="219">
        <v>5</v>
      </c>
      <c r="F2374" s="511">
        <f t="shared" ref="F2374:F2380" si="341">ROUNDUP(D2374+E2374,2)</f>
        <v>47.699999999999996</v>
      </c>
      <c r="G2374" s="314" t="s">
        <v>5693</v>
      </c>
      <c r="H2374" s="518" t="s">
        <v>1734</v>
      </c>
      <c r="I2374" s="452" t="s">
        <v>11565</v>
      </c>
      <c r="J2374" s="369" t="s">
        <v>753</v>
      </c>
      <c r="K2374" s="452" t="s">
        <v>741</v>
      </c>
    </row>
    <row r="2375" spans="1:11" s="185" customFormat="1">
      <c r="A2375" s="369"/>
      <c r="B2375" s="144" t="s">
        <v>1735</v>
      </c>
      <c r="C2375" s="196">
        <v>158</v>
      </c>
      <c r="D2375" s="230">
        <f t="shared" si="340"/>
        <v>48.535156037991861</v>
      </c>
      <c r="E2375" s="219">
        <v>5</v>
      </c>
      <c r="F2375" s="511">
        <f t="shared" si="341"/>
        <v>53.54</v>
      </c>
      <c r="G2375" s="314" t="s">
        <v>5694</v>
      </c>
      <c r="H2375" s="518" t="s">
        <v>1736</v>
      </c>
      <c r="I2375" s="452" t="s">
        <v>11565</v>
      </c>
      <c r="J2375" s="369" t="s">
        <v>753</v>
      </c>
      <c r="K2375" s="452" t="s">
        <v>741</v>
      </c>
    </row>
    <row r="2376" spans="1:11" s="185" customFormat="1">
      <c r="A2376" s="369"/>
      <c r="B2376" s="144" t="s">
        <v>1737</v>
      </c>
      <c r="C2376" s="196">
        <v>165</v>
      </c>
      <c r="D2376" s="230">
        <f t="shared" si="340"/>
        <v>50.685447761194027</v>
      </c>
      <c r="E2376" s="219">
        <v>5</v>
      </c>
      <c r="F2376" s="511">
        <f t="shared" si="341"/>
        <v>55.69</v>
      </c>
      <c r="G2376" s="314" t="s">
        <v>5695</v>
      </c>
      <c r="H2376" s="518" t="s">
        <v>1738</v>
      </c>
      <c r="I2376" s="452" t="s">
        <v>11565</v>
      </c>
      <c r="J2376" s="369" t="s">
        <v>753</v>
      </c>
      <c r="K2376" s="452" t="s">
        <v>741</v>
      </c>
    </row>
    <row r="2377" spans="1:11" s="185" customFormat="1">
      <c r="A2377" s="369"/>
      <c r="B2377" s="144" t="s">
        <v>1739</v>
      </c>
      <c r="C2377" s="196">
        <v>165</v>
      </c>
      <c r="D2377" s="230">
        <f t="shared" si="340"/>
        <v>50.685447761194027</v>
      </c>
      <c r="E2377" s="219">
        <v>5</v>
      </c>
      <c r="F2377" s="511">
        <f t="shared" si="341"/>
        <v>55.69</v>
      </c>
      <c r="G2377" s="314" t="s">
        <v>5696</v>
      </c>
      <c r="H2377" s="518" t="s">
        <v>1740</v>
      </c>
      <c r="I2377" s="452" t="s">
        <v>11565</v>
      </c>
      <c r="J2377" s="369" t="s">
        <v>753</v>
      </c>
      <c r="K2377" s="452" t="s">
        <v>741</v>
      </c>
    </row>
    <row r="2378" spans="1:11">
      <c r="A2378" s="369"/>
      <c r="B2378" s="144" t="s">
        <v>1741</v>
      </c>
      <c r="C2378" s="196">
        <v>165</v>
      </c>
      <c r="D2378" s="230">
        <f t="shared" si="340"/>
        <v>50.685447761194027</v>
      </c>
      <c r="E2378" s="219">
        <v>5</v>
      </c>
      <c r="F2378" s="511">
        <f t="shared" si="341"/>
        <v>55.69</v>
      </c>
      <c r="G2378" s="314" t="s">
        <v>5697</v>
      </c>
      <c r="H2378" s="518" t="s">
        <v>1742</v>
      </c>
      <c r="I2378" s="452" t="s">
        <v>11565</v>
      </c>
      <c r="J2378" s="369" t="s">
        <v>753</v>
      </c>
      <c r="K2378" s="452" t="s">
        <v>741</v>
      </c>
    </row>
    <row r="2379" spans="1:11" s="185" customFormat="1">
      <c r="A2379" s="369"/>
      <c r="B2379" s="144" t="s">
        <v>1743</v>
      </c>
      <c r="C2379" s="196">
        <v>165</v>
      </c>
      <c r="D2379" s="230">
        <f t="shared" si="340"/>
        <v>50.685447761194027</v>
      </c>
      <c r="E2379" s="219">
        <v>5</v>
      </c>
      <c r="F2379" s="511">
        <f t="shared" si="341"/>
        <v>55.69</v>
      </c>
      <c r="G2379" s="314" t="s">
        <v>5698</v>
      </c>
      <c r="H2379" s="518" t="s">
        <v>1744</v>
      </c>
      <c r="I2379" s="452" t="s">
        <v>11565</v>
      </c>
      <c r="J2379" s="369" t="s">
        <v>753</v>
      </c>
      <c r="K2379" s="452" t="s">
        <v>741</v>
      </c>
    </row>
    <row r="2380" spans="1:11" s="185" customFormat="1">
      <c r="A2380" s="369"/>
      <c r="B2380" s="144" t="s">
        <v>1745</v>
      </c>
      <c r="C2380" s="196">
        <v>189</v>
      </c>
      <c r="D2380" s="230">
        <f t="shared" si="340"/>
        <v>58.057876526458614</v>
      </c>
      <c r="E2380" s="219">
        <v>5</v>
      </c>
      <c r="F2380" s="511">
        <f t="shared" si="341"/>
        <v>63.059999999999995</v>
      </c>
      <c r="G2380" s="314" t="s">
        <v>5699</v>
      </c>
      <c r="H2380" s="518" t="s">
        <v>1746</v>
      </c>
      <c r="I2380" s="452" t="s">
        <v>11565</v>
      </c>
      <c r="J2380" s="369" t="s">
        <v>753</v>
      </c>
      <c r="K2380" s="452" t="s">
        <v>741</v>
      </c>
    </row>
    <row r="2381" spans="1:11" s="185" customFormat="1">
      <c r="A2381" s="369"/>
      <c r="B2381" s="144"/>
      <c r="C2381" s="196" t="s">
        <v>2024</v>
      </c>
      <c r="D2381" s="230"/>
      <c r="E2381" s="219"/>
      <c r="F2381" s="511"/>
      <c r="G2381" s="314"/>
      <c r="H2381" s="518"/>
      <c r="I2381" s="452"/>
      <c r="J2381" s="369"/>
      <c r="K2381" s="452"/>
    </row>
    <row r="2382" spans="1:11" s="185" customFormat="1">
      <c r="A2382" s="369"/>
      <c r="B2382" s="144" t="s">
        <v>5700</v>
      </c>
      <c r="C2382" s="196">
        <v>217</v>
      </c>
      <c r="D2382" s="230">
        <f t="shared" ref="D2382:D2391" si="342">C2382*(1-VLOOKUP(I2382,descuentos,6,FALSE))*fcl/IF(dol_sol="dólar", TC,1)</f>
        <v>66.659043419267292</v>
      </c>
      <c r="E2382" s="219">
        <v>10</v>
      </c>
      <c r="F2382" s="511">
        <f t="shared" ref="F2382:F2391" si="343">ROUNDUP(D2382+E2382,2)</f>
        <v>76.660000000000011</v>
      </c>
      <c r="G2382" s="314" t="s">
        <v>5701</v>
      </c>
      <c r="H2382" s="518" t="s">
        <v>5702</v>
      </c>
      <c r="I2382" s="452" t="s">
        <v>11565</v>
      </c>
      <c r="J2382" s="369" t="s">
        <v>753</v>
      </c>
      <c r="K2382" s="452" t="s">
        <v>741</v>
      </c>
    </row>
    <row r="2383" spans="1:11" s="185" customFormat="1">
      <c r="A2383" s="369"/>
      <c r="B2383" s="144" t="s">
        <v>5703</v>
      </c>
      <c r="C2383" s="196">
        <v>217</v>
      </c>
      <c r="D2383" s="230">
        <f t="shared" si="342"/>
        <v>66.659043419267292</v>
      </c>
      <c r="E2383" s="219">
        <v>10</v>
      </c>
      <c r="F2383" s="511">
        <f t="shared" si="343"/>
        <v>76.660000000000011</v>
      </c>
      <c r="G2383" s="314" t="s">
        <v>5704</v>
      </c>
      <c r="H2383" s="518" t="s">
        <v>5705</v>
      </c>
      <c r="I2383" s="452" t="s">
        <v>11565</v>
      </c>
      <c r="J2383" s="369" t="s">
        <v>753</v>
      </c>
      <c r="K2383" s="452" t="s">
        <v>741</v>
      </c>
    </row>
    <row r="2384" spans="1:11">
      <c r="A2384" s="369"/>
      <c r="B2384" s="144" t="s">
        <v>5706</v>
      </c>
      <c r="C2384" s="196">
        <v>217</v>
      </c>
      <c r="D2384" s="230">
        <f t="shared" si="342"/>
        <v>66.659043419267292</v>
      </c>
      <c r="E2384" s="219">
        <v>10</v>
      </c>
      <c r="F2384" s="511">
        <f t="shared" si="343"/>
        <v>76.660000000000011</v>
      </c>
      <c r="G2384" s="314" t="s">
        <v>5707</v>
      </c>
      <c r="H2384" s="518" t="s">
        <v>5708</v>
      </c>
      <c r="I2384" s="452" t="s">
        <v>11565</v>
      </c>
      <c r="J2384" s="369" t="s">
        <v>753</v>
      </c>
      <c r="K2384" s="452" t="s">
        <v>741</v>
      </c>
    </row>
    <row r="2385" spans="1:11" s="185" customFormat="1">
      <c r="A2385" s="369"/>
      <c r="B2385" s="144" t="s">
        <v>5709</v>
      </c>
      <c r="C2385" s="196">
        <v>217</v>
      </c>
      <c r="D2385" s="230">
        <f t="shared" si="342"/>
        <v>66.659043419267292</v>
      </c>
      <c r="E2385" s="219">
        <v>10</v>
      </c>
      <c r="F2385" s="511">
        <f t="shared" si="343"/>
        <v>76.660000000000011</v>
      </c>
      <c r="G2385" s="314" t="s">
        <v>5710</v>
      </c>
      <c r="H2385" s="518" t="s">
        <v>5711</v>
      </c>
      <c r="I2385" s="452" t="s">
        <v>11565</v>
      </c>
      <c r="J2385" s="369" t="s">
        <v>753</v>
      </c>
      <c r="K2385" s="452" t="s">
        <v>741</v>
      </c>
    </row>
    <row r="2386" spans="1:11" s="185" customFormat="1">
      <c r="A2386" s="369"/>
      <c r="B2386" s="144" t="s">
        <v>5712</v>
      </c>
      <c r="C2386" s="196">
        <v>237</v>
      </c>
      <c r="D2386" s="230">
        <f t="shared" si="342"/>
        <v>72.802734056987788</v>
      </c>
      <c r="E2386" s="219">
        <v>10</v>
      </c>
      <c r="F2386" s="511">
        <f t="shared" si="343"/>
        <v>82.81</v>
      </c>
      <c r="G2386" s="314" t="s">
        <v>5713</v>
      </c>
      <c r="H2386" s="518" t="s">
        <v>5714</v>
      </c>
      <c r="I2386" s="452" t="s">
        <v>11565</v>
      </c>
      <c r="J2386" s="369" t="s">
        <v>753</v>
      </c>
      <c r="K2386" s="452" t="s">
        <v>741</v>
      </c>
    </row>
    <row r="2387" spans="1:11" s="185" customFormat="1">
      <c r="A2387" s="369"/>
      <c r="B2387" s="144" t="s">
        <v>5715</v>
      </c>
      <c r="C2387" s="196">
        <v>248</v>
      </c>
      <c r="D2387" s="230">
        <f t="shared" si="342"/>
        <v>76.181763907734052</v>
      </c>
      <c r="E2387" s="219">
        <v>10</v>
      </c>
      <c r="F2387" s="511">
        <f t="shared" si="343"/>
        <v>86.190000000000012</v>
      </c>
      <c r="G2387" s="314" t="s">
        <v>5716</v>
      </c>
      <c r="H2387" s="518" t="s">
        <v>5717</v>
      </c>
      <c r="I2387" s="452" t="s">
        <v>11565</v>
      </c>
      <c r="J2387" s="369" t="s">
        <v>753</v>
      </c>
      <c r="K2387" s="452" t="s">
        <v>741</v>
      </c>
    </row>
    <row r="2388" spans="1:11" s="185" customFormat="1">
      <c r="A2388" s="369"/>
      <c r="B2388" s="144" t="s">
        <v>5718</v>
      </c>
      <c r="C2388" s="196">
        <v>248</v>
      </c>
      <c r="D2388" s="230">
        <f t="shared" si="342"/>
        <v>76.181763907734052</v>
      </c>
      <c r="E2388" s="219">
        <v>10</v>
      </c>
      <c r="F2388" s="511">
        <f t="shared" si="343"/>
        <v>86.190000000000012</v>
      </c>
      <c r="G2388" s="314" t="s">
        <v>5719</v>
      </c>
      <c r="H2388" s="518" t="s">
        <v>5720</v>
      </c>
      <c r="I2388" s="452" t="s">
        <v>11565</v>
      </c>
      <c r="J2388" s="369" t="s">
        <v>753</v>
      </c>
      <c r="K2388" s="452" t="s">
        <v>741</v>
      </c>
    </row>
    <row r="2389" spans="1:11" s="185" customFormat="1">
      <c r="A2389" s="369"/>
      <c r="B2389" s="144" t="s">
        <v>5721</v>
      </c>
      <c r="C2389" s="196">
        <v>279</v>
      </c>
      <c r="D2389" s="230">
        <f t="shared" si="342"/>
        <v>85.704484396200812</v>
      </c>
      <c r="E2389" s="219">
        <v>10</v>
      </c>
      <c r="F2389" s="511">
        <f t="shared" si="343"/>
        <v>95.710000000000008</v>
      </c>
      <c r="G2389" s="314" t="s">
        <v>5722</v>
      </c>
      <c r="H2389" s="518" t="s">
        <v>5723</v>
      </c>
      <c r="I2389" s="452" t="s">
        <v>11565</v>
      </c>
      <c r="J2389" s="369" t="s">
        <v>753</v>
      </c>
      <c r="K2389" s="452" t="s">
        <v>741</v>
      </c>
    </row>
    <row r="2390" spans="1:11" s="185" customFormat="1">
      <c r="A2390" s="369"/>
      <c r="B2390" s="144" t="s">
        <v>5724</v>
      </c>
      <c r="C2390" s="196">
        <v>309</v>
      </c>
      <c r="D2390" s="230">
        <f t="shared" si="342"/>
        <v>94.920020352781549</v>
      </c>
      <c r="E2390" s="219">
        <v>10</v>
      </c>
      <c r="F2390" s="511">
        <f t="shared" si="343"/>
        <v>104.93</v>
      </c>
      <c r="G2390" s="314" t="s">
        <v>5725</v>
      </c>
      <c r="H2390" s="518" t="s">
        <v>5726</v>
      </c>
      <c r="I2390" s="452" t="s">
        <v>11565</v>
      </c>
      <c r="J2390" s="369" t="s">
        <v>753</v>
      </c>
      <c r="K2390" s="452" t="s">
        <v>741</v>
      </c>
    </row>
    <row r="2391" spans="1:11" s="185" customFormat="1">
      <c r="A2391" s="369"/>
      <c r="B2391" s="144" t="s">
        <v>5727</v>
      </c>
      <c r="C2391" s="196">
        <v>392</v>
      </c>
      <c r="D2391" s="230">
        <f t="shared" si="342"/>
        <v>120.41633649932157</v>
      </c>
      <c r="E2391" s="219">
        <v>10</v>
      </c>
      <c r="F2391" s="511">
        <f t="shared" si="343"/>
        <v>130.41999999999999</v>
      </c>
      <c r="G2391" s="314" t="s">
        <v>5728</v>
      </c>
      <c r="H2391" s="518" t="s">
        <v>5729</v>
      </c>
      <c r="I2391" s="452" t="s">
        <v>11565</v>
      </c>
      <c r="J2391" s="369" t="s">
        <v>753</v>
      </c>
      <c r="K2391" s="452" t="s">
        <v>741</v>
      </c>
    </row>
    <row r="2392" spans="1:11" s="185" customFormat="1">
      <c r="A2392" s="369"/>
      <c r="B2392" s="144"/>
      <c r="C2392" s="196" t="s">
        <v>2024</v>
      </c>
      <c r="D2392" s="230"/>
      <c r="E2392" s="219"/>
      <c r="F2392" s="511"/>
      <c r="G2392" s="314"/>
      <c r="H2392" s="518"/>
      <c r="I2392" s="452"/>
      <c r="J2392" s="369"/>
      <c r="K2392" s="452"/>
    </row>
    <row r="2393" spans="1:11" s="185" customFormat="1">
      <c r="A2393" s="369"/>
      <c r="B2393" s="144" t="s">
        <v>7302</v>
      </c>
      <c r="C2393" s="196">
        <v>830</v>
      </c>
      <c r="D2393" s="230">
        <f>C2393*(1-VLOOKUP(I2393,descuentos,6,FALSE))*fcl/IF(dol_sol="dólar", TC,1)</f>
        <v>254.96316146540028</v>
      </c>
      <c r="E2393" s="219">
        <v>10</v>
      </c>
      <c r="F2393" s="511">
        <f>ROUNDUP(D2393+E2393,2)</f>
        <v>264.96999999999997</v>
      </c>
      <c r="G2393" s="314" t="s">
        <v>7303</v>
      </c>
      <c r="H2393" s="518" t="s">
        <v>7304</v>
      </c>
      <c r="I2393" s="452" t="s">
        <v>11565</v>
      </c>
      <c r="J2393" s="369" t="s">
        <v>753</v>
      </c>
      <c r="K2393" s="452" t="s">
        <v>741</v>
      </c>
    </row>
    <row r="2394" spans="1:11" s="185" customFormat="1">
      <c r="A2394" s="369"/>
      <c r="B2394" s="144" t="s">
        <v>7305</v>
      </c>
      <c r="C2394" s="196">
        <v>879</v>
      </c>
      <c r="D2394" s="230">
        <f>C2394*(1-VLOOKUP(I2394,descuentos,6,FALSE))*fcl/IF(dol_sol="dólar", TC,1)</f>
        <v>270.01520352781546</v>
      </c>
      <c r="E2394" s="219">
        <v>10</v>
      </c>
      <c r="F2394" s="511">
        <f>ROUNDUP(D2394+E2394,2)</f>
        <v>280.02</v>
      </c>
      <c r="G2394" s="314" t="s">
        <v>7306</v>
      </c>
      <c r="H2394" s="518" t="s">
        <v>7307</v>
      </c>
      <c r="I2394" s="452" t="s">
        <v>11565</v>
      </c>
      <c r="J2394" s="369" t="s">
        <v>753</v>
      </c>
      <c r="K2394" s="452" t="s">
        <v>741</v>
      </c>
    </row>
    <row r="2395" spans="1:11" s="185" customFormat="1">
      <c r="A2395" s="369"/>
      <c r="B2395" s="144" t="s">
        <v>7308</v>
      </c>
      <c r="C2395" s="196">
        <v>941</v>
      </c>
      <c r="D2395" s="230">
        <f>C2395*(1-VLOOKUP(I2395,descuentos,6,FALSE))*fcl/IF(dol_sol="dólar", TC,1)</f>
        <v>289.06064450474895</v>
      </c>
      <c r="E2395" s="219">
        <v>10</v>
      </c>
      <c r="F2395" s="511">
        <f>ROUNDUP(D2395+E2395,2)</f>
        <v>299.07</v>
      </c>
      <c r="G2395" s="314" t="s">
        <v>7309</v>
      </c>
      <c r="H2395" s="518" t="s">
        <v>7310</v>
      </c>
      <c r="I2395" s="452" t="s">
        <v>11565</v>
      </c>
      <c r="J2395" s="369" t="s">
        <v>753</v>
      </c>
      <c r="K2395" s="452" t="s">
        <v>741</v>
      </c>
    </row>
    <row r="2396" spans="1:11" s="185" customFormat="1">
      <c r="A2396" s="369"/>
      <c r="B2396" s="144" t="s">
        <v>7311</v>
      </c>
      <c r="C2396" s="196">
        <v>993</v>
      </c>
      <c r="D2396" s="230">
        <f>C2396*(1-VLOOKUP(I2396,descuentos,6,FALSE))*fcl/IF(dol_sol="dólar", TC,1)</f>
        <v>305.03424016282224</v>
      </c>
      <c r="E2396" s="219">
        <v>10</v>
      </c>
      <c r="F2396" s="511">
        <f>ROUNDUP(D2396+E2396,2)</f>
        <v>315.03999999999996</v>
      </c>
      <c r="G2396" s="314" t="s">
        <v>7312</v>
      </c>
      <c r="H2396" s="518" t="s">
        <v>7313</v>
      </c>
      <c r="I2396" s="452" t="s">
        <v>11565</v>
      </c>
      <c r="J2396" s="369" t="s">
        <v>753</v>
      </c>
      <c r="K2396" s="452" t="s">
        <v>741</v>
      </c>
    </row>
    <row r="2397" spans="1:11" s="185" customFormat="1">
      <c r="A2397" s="369"/>
      <c r="B2397" s="144"/>
      <c r="C2397" s="196" t="s">
        <v>2024</v>
      </c>
      <c r="D2397" s="230"/>
      <c r="E2397" s="219"/>
      <c r="F2397" s="511"/>
      <c r="G2397" s="314"/>
      <c r="H2397" s="518"/>
      <c r="I2397" s="452"/>
      <c r="J2397" s="369"/>
      <c r="K2397" s="452"/>
    </row>
    <row r="2398" spans="1:11" s="185" customFormat="1">
      <c r="A2398" s="369"/>
      <c r="B2398" s="144" t="s">
        <v>5730</v>
      </c>
      <c r="C2398" s="196">
        <v>459</v>
      </c>
      <c r="D2398" s="230">
        <f>C2398*(1-VLOOKUP(I2398,descuentos,6,FALSE))*fcl/IF(dol_sol="dólar", TC,1)</f>
        <v>140.99770013568519</v>
      </c>
      <c r="E2398" s="219">
        <v>15</v>
      </c>
      <c r="F2398" s="511">
        <f>ROUNDUP(D2398+E2398,2)</f>
        <v>156</v>
      </c>
      <c r="G2398" s="314" t="s">
        <v>5731</v>
      </c>
      <c r="H2398" s="518" t="s">
        <v>5732</v>
      </c>
      <c r="I2398" s="452" t="s">
        <v>11565</v>
      </c>
      <c r="J2398" s="369" t="s">
        <v>753</v>
      </c>
      <c r="K2398" s="452" t="s">
        <v>741</v>
      </c>
    </row>
    <row r="2399" spans="1:11" s="185" customFormat="1">
      <c r="A2399" s="369"/>
      <c r="B2399" s="144" t="s">
        <v>5733</v>
      </c>
      <c r="C2399" s="196">
        <v>541</v>
      </c>
      <c r="D2399" s="230">
        <f>C2399*(1-VLOOKUP(I2399,descuentos,6,FALSE))*fcl/IF(dol_sol="dólar", TC,1)</f>
        <v>166.18683175033922</v>
      </c>
      <c r="E2399" s="219">
        <v>15</v>
      </c>
      <c r="F2399" s="511">
        <f>ROUNDUP(D2399+E2399,2)</f>
        <v>181.19</v>
      </c>
      <c r="G2399" s="314" t="s">
        <v>5734</v>
      </c>
      <c r="H2399" s="518" t="s">
        <v>5735</v>
      </c>
      <c r="I2399" s="452" t="s">
        <v>11565</v>
      </c>
      <c r="J2399" s="369" t="s">
        <v>753</v>
      </c>
      <c r="K2399" s="452" t="s">
        <v>741</v>
      </c>
    </row>
    <row r="2400" spans="1:11" s="185" customFormat="1">
      <c r="A2400" s="369"/>
      <c r="B2400" s="144" t="s">
        <v>5736</v>
      </c>
      <c r="C2400" s="196">
        <v>597</v>
      </c>
      <c r="D2400" s="230">
        <f>C2400*(1-VLOOKUP(I2400,descuentos,6,FALSE))*fcl/IF(dol_sol="dólar", TC,1)</f>
        <v>183.38916553595655</v>
      </c>
      <c r="E2400" s="219">
        <v>15</v>
      </c>
      <c r="F2400" s="511">
        <f>ROUNDUP(D2400+E2400,2)</f>
        <v>198.39</v>
      </c>
      <c r="G2400" s="314" t="s">
        <v>5737</v>
      </c>
      <c r="H2400" s="518" t="s">
        <v>5738</v>
      </c>
      <c r="I2400" s="452" t="s">
        <v>11565</v>
      </c>
      <c r="J2400" s="369" t="s">
        <v>753</v>
      </c>
      <c r="K2400" s="452" t="s">
        <v>741</v>
      </c>
    </row>
    <row r="2401" spans="1:11" s="185" customFormat="1">
      <c r="A2401" s="369"/>
      <c r="B2401" s="144" t="s">
        <v>5739</v>
      </c>
      <c r="C2401" s="196">
        <v>633</v>
      </c>
      <c r="D2401" s="230">
        <f>C2401*(1-VLOOKUP(I2401,descuentos,6,FALSE))*fcl/IF(dol_sol="dólar", TC,1)</f>
        <v>194.44780868385348</v>
      </c>
      <c r="E2401" s="219">
        <v>15</v>
      </c>
      <c r="F2401" s="511">
        <f>ROUNDUP(D2401+E2401,2)</f>
        <v>209.45</v>
      </c>
      <c r="G2401" s="314" t="s">
        <v>5740</v>
      </c>
      <c r="H2401" s="518" t="s">
        <v>5741</v>
      </c>
      <c r="I2401" s="452" t="s">
        <v>11565</v>
      </c>
      <c r="J2401" s="369" t="s">
        <v>753</v>
      </c>
      <c r="K2401" s="452" t="s">
        <v>741</v>
      </c>
    </row>
    <row r="2402" spans="1:11" s="185" customFormat="1">
      <c r="A2402" s="369"/>
      <c r="B2402" s="144" t="s">
        <v>5742</v>
      </c>
      <c r="C2402" s="196">
        <v>674</v>
      </c>
      <c r="D2402" s="230">
        <f>C2402*(1-VLOOKUP(I2402,descuentos,6,FALSE))*fcl/IF(dol_sol="dólar", TC,1)</f>
        <v>207.04237449118045</v>
      </c>
      <c r="E2402" s="219">
        <v>15</v>
      </c>
      <c r="F2402" s="511">
        <f>ROUNDUP(D2402+E2402,2)</f>
        <v>222.04999999999998</v>
      </c>
      <c r="G2402" s="314" t="s">
        <v>5743</v>
      </c>
      <c r="H2402" s="518" t="s">
        <v>5744</v>
      </c>
      <c r="I2402" s="452" t="s">
        <v>11565</v>
      </c>
      <c r="J2402" s="369" t="s">
        <v>753</v>
      </c>
      <c r="K2402" s="452" t="s">
        <v>741</v>
      </c>
    </row>
    <row r="2403" spans="1:11" s="185" customFormat="1">
      <c r="A2403" s="369"/>
      <c r="B2403" s="144"/>
      <c r="C2403" s="196" t="s">
        <v>2024</v>
      </c>
      <c r="D2403" s="230"/>
      <c r="E2403" s="219"/>
      <c r="F2403" s="511"/>
      <c r="G2403" s="314"/>
      <c r="H2403" s="518"/>
      <c r="I2403" s="452"/>
      <c r="J2403" s="369"/>
      <c r="K2403" s="452"/>
    </row>
    <row r="2404" spans="1:11" s="185" customFormat="1">
      <c r="A2404" s="369"/>
      <c r="B2404" s="144" t="s">
        <v>7314</v>
      </c>
      <c r="C2404" s="196">
        <v>25</v>
      </c>
      <c r="D2404" s="230">
        <f>C2404*(1-VLOOKUP(I2404,descuentos,6,FALSE))*fcl/IF(dol_sol="dólar", TC,1)</f>
        <v>7.6796132971506106</v>
      </c>
      <c r="E2404" s="219">
        <v>1</v>
      </c>
      <c r="F2404" s="511">
        <f>ROUNDUP(D2404+E2404,2)</f>
        <v>8.68</v>
      </c>
      <c r="G2404" s="314" t="s">
        <v>7315</v>
      </c>
      <c r="H2404" s="518" t="s">
        <v>7316</v>
      </c>
      <c r="I2404" s="452" t="s">
        <v>11565</v>
      </c>
      <c r="J2404" s="369" t="s">
        <v>753</v>
      </c>
      <c r="K2404" s="452" t="s">
        <v>741</v>
      </c>
    </row>
    <row r="2405" spans="1:11" s="185" customFormat="1">
      <c r="A2405" s="369"/>
      <c r="B2405" s="144" t="s">
        <v>7317</v>
      </c>
      <c r="C2405" s="196">
        <v>26</v>
      </c>
      <c r="D2405" s="230">
        <f>C2405*(1-VLOOKUP(I2405,descuentos,6,FALSE))*fcl/IF(dol_sol="dólar", TC,1)</f>
        <v>7.986797829036635</v>
      </c>
      <c r="E2405" s="219">
        <v>1</v>
      </c>
      <c r="F2405" s="511">
        <f>ROUNDUP(D2405+E2405,2)</f>
        <v>8.99</v>
      </c>
      <c r="G2405" s="314" t="s">
        <v>7318</v>
      </c>
      <c r="H2405" s="518" t="s">
        <v>7319</v>
      </c>
      <c r="I2405" s="452" t="s">
        <v>11565</v>
      </c>
      <c r="J2405" s="369" t="s">
        <v>753</v>
      </c>
      <c r="K2405" s="452" t="s">
        <v>741</v>
      </c>
    </row>
    <row r="2406" spans="1:11" s="185" customFormat="1">
      <c r="A2406" s="369"/>
      <c r="B2406" s="144" t="s">
        <v>2427</v>
      </c>
      <c r="C2406" s="196">
        <v>42</v>
      </c>
      <c r="D2406" s="230">
        <f>C2406*(1-VLOOKUP(I2406,descuentos,6,FALSE))*fcl/IF(dol_sol="dólar", TC,1)</f>
        <v>12.901750339213024</v>
      </c>
      <c r="E2406" s="219">
        <v>1</v>
      </c>
      <c r="F2406" s="511">
        <f>ROUNDUP(D2406+E2406,2)</f>
        <v>13.91</v>
      </c>
      <c r="G2406" s="314" t="s">
        <v>5745</v>
      </c>
      <c r="H2406" s="518" t="s">
        <v>2428</v>
      </c>
      <c r="I2406" s="452" t="s">
        <v>11565</v>
      </c>
      <c r="J2406" s="369" t="s">
        <v>753</v>
      </c>
      <c r="K2406" s="452" t="s">
        <v>741</v>
      </c>
    </row>
    <row r="2407" spans="1:11" s="185" customFormat="1">
      <c r="A2407" s="369"/>
      <c r="B2407" s="144"/>
      <c r="C2407" s="196" t="s">
        <v>2024</v>
      </c>
      <c r="D2407" s="230"/>
      <c r="E2407" s="219"/>
      <c r="F2407" s="511"/>
      <c r="G2407" s="314"/>
      <c r="H2407" s="518"/>
      <c r="I2407" s="452"/>
      <c r="J2407" s="369"/>
      <c r="K2407" s="452"/>
    </row>
    <row r="2408" spans="1:11" s="185" customFormat="1">
      <c r="A2408" s="369"/>
      <c r="B2408" s="144"/>
      <c r="C2408" s="196" t="s">
        <v>2024</v>
      </c>
      <c r="D2408" s="230"/>
      <c r="E2408" s="219"/>
      <c r="F2408" s="511"/>
      <c r="G2408" s="314"/>
      <c r="H2408" s="518"/>
      <c r="I2408" s="452"/>
      <c r="J2408" s="369"/>
      <c r="K2408" s="452"/>
    </row>
    <row r="2409" spans="1:11" s="185" customFormat="1">
      <c r="A2409" s="369"/>
      <c r="B2409" s="144" t="s">
        <v>9530</v>
      </c>
      <c r="C2409" s="196">
        <v>86</v>
      </c>
      <c r="D2409" s="230">
        <f>C2409*(1-VLOOKUP(I2409,descuentos,6,FALSE))*fcl/IF(dol_sol="dólar", TC,1)</f>
        <v>26.417869742198096</v>
      </c>
      <c r="E2409" s="219">
        <v>1</v>
      </c>
      <c r="F2409" s="511">
        <f>ROUNDUP(D2409+E2409,2)</f>
        <v>27.42</v>
      </c>
      <c r="G2409" s="314" t="s">
        <v>9531</v>
      </c>
      <c r="H2409" s="518" t="s">
        <v>9532</v>
      </c>
      <c r="I2409" s="452" t="s">
        <v>11565</v>
      </c>
      <c r="J2409" s="369" t="s">
        <v>753</v>
      </c>
      <c r="K2409" s="452" t="s">
        <v>741</v>
      </c>
    </row>
    <row r="2410" spans="1:11" s="185" customFormat="1">
      <c r="A2410" s="369"/>
      <c r="B2410" s="144" t="s">
        <v>9533</v>
      </c>
      <c r="C2410" s="196">
        <v>106</v>
      </c>
      <c r="D2410" s="230">
        <f>C2410*(1-VLOOKUP(I2410,descuentos,6,FALSE))*fcl/IF(dol_sol="dólar", TC,1)</f>
        <v>32.561560379918589</v>
      </c>
      <c r="E2410" s="219">
        <v>1</v>
      </c>
      <c r="F2410" s="511">
        <f>ROUNDUP(D2410+E2410,2)</f>
        <v>33.57</v>
      </c>
      <c r="G2410" s="314" t="s">
        <v>9768</v>
      </c>
      <c r="H2410" s="518" t="s">
        <v>9534</v>
      </c>
      <c r="I2410" s="452" t="s">
        <v>11565</v>
      </c>
      <c r="J2410" s="369" t="s">
        <v>753</v>
      </c>
      <c r="K2410" s="452" t="s">
        <v>741</v>
      </c>
    </row>
    <row r="2411" spans="1:11" s="185" customFormat="1">
      <c r="A2411" s="369"/>
      <c r="B2411" s="144" t="s">
        <v>9535</v>
      </c>
      <c r="C2411" s="196">
        <v>130</v>
      </c>
      <c r="D2411" s="230">
        <f>C2411*(1-VLOOKUP(I2411,descuentos,6,FALSE))*fcl/IF(dol_sol="dólar", TC,1)</f>
        <v>39.933989145183176</v>
      </c>
      <c r="E2411" s="219">
        <v>1</v>
      </c>
      <c r="F2411" s="511">
        <f>ROUNDUP(D2411+E2411,2)</f>
        <v>40.94</v>
      </c>
      <c r="G2411" s="314" t="s">
        <v>9536</v>
      </c>
      <c r="H2411" s="518" t="s">
        <v>9537</v>
      </c>
      <c r="I2411" s="452" t="s">
        <v>11565</v>
      </c>
      <c r="J2411" s="369" t="s">
        <v>753</v>
      </c>
      <c r="K2411" s="452" t="s">
        <v>741</v>
      </c>
    </row>
    <row r="2412" spans="1:11" s="185" customFormat="1">
      <c r="A2412" s="369"/>
      <c r="B2412" s="144"/>
      <c r="C2412" s="196" t="s">
        <v>2024</v>
      </c>
      <c r="D2412" s="230"/>
      <c r="E2412" s="219"/>
      <c r="F2412" s="511"/>
      <c r="G2412" s="314"/>
      <c r="H2412" s="518"/>
      <c r="I2412" s="452"/>
      <c r="J2412" s="369"/>
      <c r="K2412" s="452"/>
    </row>
    <row r="2413" spans="1:11" s="185" customFormat="1">
      <c r="A2413" s="369"/>
      <c r="B2413" s="144" t="s">
        <v>5746</v>
      </c>
      <c r="C2413" s="196">
        <v>26</v>
      </c>
      <c r="D2413" s="230">
        <f>C2413*(1-VLOOKUP(I2413,descuentos,6,FALSE))*fcl/IF(dol_sol="dólar", TC,1)</f>
        <v>7.986797829036635</v>
      </c>
      <c r="E2413" s="219">
        <v>1</v>
      </c>
      <c r="F2413" s="511">
        <f>ROUNDUP(D2413+E2413,2)</f>
        <v>8.99</v>
      </c>
      <c r="G2413" s="314" t="s">
        <v>5747</v>
      </c>
      <c r="H2413" s="518" t="s">
        <v>5748</v>
      </c>
      <c r="I2413" s="452" t="s">
        <v>11565</v>
      </c>
      <c r="J2413" s="369" t="s">
        <v>753</v>
      </c>
      <c r="K2413" s="452" t="s">
        <v>741</v>
      </c>
    </row>
    <row r="2414" spans="1:11" s="185" customFormat="1">
      <c r="A2414" s="369"/>
      <c r="B2414" s="144" t="s">
        <v>5749</v>
      </c>
      <c r="C2414" s="196">
        <v>31</v>
      </c>
      <c r="D2414" s="230">
        <f>C2414*(1-VLOOKUP(I2414,descuentos,6,FALSE))*fcl/IF(dol_sol="dólar", TC,1)</f>
        <v>9.5227204884667564</v>
      </c>
      <c r="E2414" s="219">
        <v>1.5</v>
      </c>
      <c r="F2414" s="511">
        <f>ROUNDUP(D2414+E2414,2)</f>
        <v>11.03</v>
      </c>
      <c r="G2414" s="314" t="s">
        <v>5750</v>
      </c>
      <c r="H2414" s="518" t="s">
        <v>5751</v>
      </c>
      <c r="I2414" s="452" t="s">
        <v>11565</v>
      </c>
      <c r="J2414" s="369" t="s">
        <v>753</v>
      </c>
      <c r="K2414" s="452" t="s">
        <v>741</v>
      </c>
    </row>
    <row r="2415" spans="1:11" s="185" customFormat="1">
      <c r="A2415" s="369"/>
      <c r="B2415" s="144" t="s">
        <v>5752</v>
      </c>
      <c r="C2415" s="196">
        <v>31</v>
      </c>
      <c r="D2415" s="230">
        <f>C2415*(1-VLOOKUP(I2415,descuentos,6,FALSE))*fcl/IF(dol_sol="dólar", TC,1)</f>
        <v>9.5227204884667564</v>
      </c>
      <c r="E2415" s="219">
        <v>1.5</v>
      </c>
      <c r="F2415" s="511">
        <f>ROUNDUP(D2415+E2415,2)</f>
        <v>11.03</v>
      </c>
      <c r="G2415" s="314" t="s">
        <v>5753</v>
      </c>
      <c r="H2415" s="518" t="s">
        <v>5754</v>
      </c>
      <c r="I2415" s="452" t="s">
        <v>11565</v>
      </c>
      <c r="J2415" s="369" t="s">
        <v>753</v>
      </c>
      <c r="K2415" s="452" t="s">
        <v>741</v>
      </c>
    </row>
    <row r="2416" spans="1:11" s="185" customFormat="1">
      <c r="A2416" s="369"/>
      <c r="B2416" s="144" t="s">
        <v>5755</v>
      </c>
      <c r="C2416" s="196">
        <v>84</v>
      </c>
      <c r="D2416" s="230">
        <f>C2416*(1-VLOOKUP(I2416,descuentos,6,FALSE))*fcl/IF(dol_sol="dólar", TC,1)</f>
        <v>56.987788331071904</v>
      </c>
      <c r="E2416" s="219">
        <v>2</v>
      </c>
      <c r="F2416" s="511">
        <f>ROUNDUP(D2416+E2416,2)</f>
        <v>58.989999999999995</v>
      </c>
      <c r="G2416" s="314" t="s">
        <v>5756</v>
      </c>
      <c r="H2416" s="518" t="s">
        <v>5757</v>
      </c>
      <c r="I2416" s="452" t="s">
        <v>4980</v>
      </c>
      <c r="J2416" s="369" t="s">
        <v>753</v>
      </c>
      <c r="K2416" s="452" t="s">
        <v>741</v>
      </c>
    </row>
    <row r="2417" spans="1:11" s="185" customFormat="1">
      <c r="A2417" s="369"/>
      <c r="B2417" s="144"/>
      <c r="C2417" s="196" t="s">
        <v>2024</v>
      </c>
      <c r="D2417" s="230"/>
      <c r="E2417" s="219"/>
      <c r="F2417" s="511"/>
      <c r="G2417" s="314"/>
      <c r="H2417" s="518"/>
      <c r="I2417" s="452"/>
      <c r="J2417" s="369"/>
      <c r="K2417" s="452"/>
    </row>
    <row r="2418" spans="1:11" s="185" customFormat="1">
      <c r="A2418" s="369"/>
      <c r="B2418" s="144" t="s">
        <v>11006</v>
      </c>
      <c r="C2418" s="196">
        <v>48</v>
      </c>
      <c r="D2418" s="230">
        <f>C2418*(1-VLOOKUP(I2418,descuentos,6,FALSE))*fcl/IF(dol_sol="dólar", TC,1)</f>
        <v>14.744857530529172</v>
      </c>
      <c r="E2418" s="219">
        <v>1</v>
      </c>
      <c r="F2418" s="511">
        <f>ROUNDUP(D2418+E2418,2)</f>
        <v>15.75</v>
      </c>
      <c r="G2418" s="314" t="s">
        <v>11007</v>
      </c>
      <c r="H2418" s="518" t="s">
        <v>11008</v>
      </c>
      <c r="I2418" s="452" t="s">
        <v>11565</v>
      </c>
      <c r="J2418" s="369" t="s">
        <v>753</v>
      </c>
      <c r="K2418" s="452" t="s">
        <v>741</v>
      </c>
    </row>
    <row r="2419" spans="1:11" s="185" customFormat="1">
      <c r="A2419" s="369"/>
      <c r="B2419" s="144"/>
      <c r="C2419" s="196" t="s">
        <v>2024</v>
      </c>
      <c r="D2419" s="230"/>
      <c r="E2419" s="219"/>
      <c r="F2419" s="511"/>
      <c r="G2419" s="314"/>
      <c r="H2419" s="518"/>
      <c r="I2419" s="452"/>
      <c r="J2419" s="369"/>
      <c r="K2419" s="452"/>
    </row>
    <row r="2420" spans="1:11" s="185" customFormat="1">
      <c r="A2420" s="369"/>
      <c r="B2420" s="144" t="s">
        <v>11009</v>
      </c>
      <c r="C2420" s="196">
        <v>30</v>
      </c>
      <c r="D2420" s="230">
        <f>C2420*(1-VLOOKUP(I2420,descuentos,6,FALSE))*fcl/IF(dol_sol="dólar", TC,1)</f>
        <v>9.215535956580732</v>
      </c>
      <c r="E2420" s="219">
        <v>1</v>
      </c>
      <c r="F2420" s="511">
        <f>ROUNDUP(D2420+E2420,2)</f>
        <v>10.220000000000001</v>
      </c>
      <c r="G2420" s="314" t="s">
        <v>11010</v>
      </c>
      <c r="H2420" s="518" t="s">
        <v>11011</v>
      </c>
      <c r="I2420" s="452" t="s">
        <v>11565</v>
      </c>
      <c r="J2420" s="369" t="s">
        <v>753</v>
      </c>
      <c r="K2420" s="452" t="s">
        <v>741</v>
      </c>
    </row>
    <row r="2421" spans="1:11" s="185" customFormat="1">
      <c r="A2421" s="369"/>
      <c r="B2421" s="144"/>
      <c r="C2421" s="196" t="s">
        <v>2024</v>
      </c>
      <c r="D2421" s="230"/>
      <c r="E2421" s="219"/>
      <c r="F2421" s="511"/>
      <c r="G2421" s="314"/>
      <c r="H2421" s="452"/>
      <c r="I2421" s="452"/>
      <c r="J2421" s="369"/>
      <c r="K2421" s="452"/>
    </row>
    <row r="2422" spans="1:11" s="185" customFormat="1">
      <c r="A2422" s="369"/>
      <c r="B2422" s="144"/>
      <c r="C2422" s="196"/>
      <c r="D2422" s="230"/>
      <c r="E2422" s="219"/>
      <c r="F2422" s="511"/>
      <c r="G2422" s="314"/>
      <c r="H2422" s="452"/>
      <c r="I2422" s="452"/>
      <c r="J2422" s="369"/>
      <c r="K2422" s="452"/>
    </row>
    <row r="2423" spans="1:11" s="185" customFormat="1">
      <c r="A2423" s="369"/>
      <c r="B2423" s="1469" t="s">
        <v>12721</v>
      </c>
      <c r="C2423" s="196"/>
      <c r="D2423" s="230"/>
      <c r="E2423" s="219"/>
      <c r="F2423" s="511"/>
      <c r="G2423" s="314"/>
      <c r="H2423" s="452"/>
      <c r="I2423" s="452"/>
      <c r="J2423" s="369"/>
      <c r="K2423" s="452"/>
    </row>
    <row r="2424" spans="1:11" s="185" customFormat="1">
      <c r="A2424" s="369"/>
      <c r="B2424" s="144"/>
      <c r="C2424" s="196"/>
      <c r="D2424" s="230"/>
      <c r="E2424" s="219"/>
      <c r="F2424" s="511"/>
      <c r="G2424" s="314"/>
      <c r="H2424" s="452"/>
      <c r="I2424" s="452"/>
      <c r="J2424" s="369"/>
      <c r="K2424" s="452"/>
    </row>
    <row r="2425" spans="1:11" s="185" customFormat="1">
      <c r="A2425" s="369"/>
      <c r="B2425" s="144" t="s">
        <v>12722</v>
      </c>
      <c r="C2425" s="359">
        <v>89</v>
      </c>
      <c r="D2425" s="230">
        <f t="shared" ref="D2425:D2436" si="344">C2425*(1-VLOOKUP(I2425,descuentos,6,FALSE))*fcl/1</f>
        <v>202.27272727272725</v>
      </c>
      <c r="E2425" s="219">
        <v>15</v>
      </c>
      <c r="F2425" s="511">
        <f t="shared" ref="F2425:F2437" si="345">ROUNDUP(D2425+E2425,2)</f>
        <v>217.28</v>
      </c>
      <c r="G2425" s="314" t="s">
        <v>12723</v>
      </c>
      <c r="H2425" s="452" t="s">
        <v>12724</v>
      </c>
      <c r="I2425" s="452" t="s">
        <v>4980</v>
      </c>
      <c r="J2425" s="369" t="s">
        <v>753</v>
      </c>
      <c r="K2425" s="452" t="s">
        <v>741</v>
      </c>
    </row>
    <row r="2426" spans="1:11" s="185" customFormat="1">
      <c r="A2426" s="369"/>
      <c r="B2426" s="144" t="s">
        <v>12725</v>
      </c>
      <c r="C2426" s="359">
        <v>105</v>
      </c>
      <c r="D2426" s="230">
        <f t="shared" si="344"/>
        <v>238.6363636363636</v>
      </c>
      <c r="E2426" s="219">
        <v>15</v>
      </c>
      <c r="F2426" s="511">
        <f t="shared" si="345"/>
        <v>253.64</v>
      </c>
      <c r="G2426" s="314" t="s">
        <v>12726</v>
      </c>
      <c r="H2426" s="452" t="s">
        <v>12727</v>
      </c>
      <c r="I2426" s="452" t="s">
        <v>4980</v>
      </c>
      <c r="J2426" s="369" t="s">
        <v>753</v>
      </c>
      <c r="K2426" s="452" t="s">
        <v>741</v>
      </c>
    </row>
    <row r="2427" spans="1:11" s="185" customFormat="1">
      <c r="A2427" s="369"/>
      <c r="B2427" s="144" t="s">
        <v>12728</v>
      </c>
      <c r="C2427" s="359">
        <v>120</v>
      </c>
      <c r="D2427" s="230">
        <f t="shared" si="344"/>
        <v>272.72727272727269</v>
      </c>
      <c r="E2427" s="219">
        <v>15</v>
      </c>
      <c r="F2427" s="511">
        <f t="shared" si="345"/>
        <v>287.73</v>
      </c>
      <c r="G2427" s="314" t="s">
        <v>12729</v>
      </c>
      <c r="H2427" s="452" t="s">
        <v>12730</v>
      </c>
      <c r="I2427" s="452" t="s">
        <v>4980</v>
      </c>
      <c r="J2427" s="369" t="s">
        <v>753</v>
      </c>
      <c r="K2427" s="452" t="s">
        <v>741</v>
      </c>
    </row>
    <row r="2428" spans="1:11" s="185" customFormat="1">
      <c r="A2428" s="369"/>
      <c r="B2428" s="144" t="s">
        <v>12731</v>
      </c>
      <c r="C2428" s="359">
        <v>135</v>
      </c>
      <c r="D2428" s="230">
        <f t="shared" si="344"/>
        <v>306.81818181818181</v>
      </c>
      <c r="E2428" s="219">
        <v>15</v>
      </c>
      <c r="F2428" s="511">
        <f t="shared" si="345"/>
        <v>321.82</v>
      </c>
      <c r="G2428" s="314" t="s">
        <v>12732</v>
      </c>
      <c r="H2428" s="452" t="s">
        <v>12733</v>
      </c>
      <c r="I2428" s="452" t="s">
        <v>4980</v>
      </c>
      <c r="J2428" s="369" t="s">
        <v>753</v>
      </c>
      <c r="K2428" s="452" t="s">
        <v>741</v>
      </c>
    </row>
    <row r="2429" spans="1:11" s="185" customFormat="1">
      <c r="A2429" s="369"/>
      <c r="B2429" s="144" t="s">
        <v>12734</v>
      </c>
      <c r="C2429" s="359">
        <v>156</v>
      </c>
      <c r="D2429" s="230">
        <f t="shared" si="344"/>
        <v>354.5454545454545</v>
      </c>
      <c r="E2429" s="219">
        <v>15</v>
      </c>
      <c r="F2429" s="511">
        <f t="shared" si="345"/>
        <v>369.55</v>
      </c>
      <c r="G2429" s="314" t="s">
        <v>12735</v>
      </c>
      <c r="H2429" s="452" t="s">
        <v>12736</v>
      </c>
      <c r="I2429" s="452" t="s">
        <v>4980</v>
      </c>
      <c r="J2429" s="369" t="s">
        <v>753</v>
      </c>
      <c r="K2429" s="452" t="s">
        <v>741</v>
      </c>
    </row>
    <row r="2430" spans="1:11" s="185" customFormat="1">
      <c r="A2430" s="369"/>
      <c r="B2430" s="144" t="s">
        <v>12216</v>
      </c>
      <c r="C2430" s="359">
        <v>181</v>
      </c>
      <c r="D2430" s="230">
        <f t="shared" si="344"/>
        <v>411.36363636363632</v>
      </c>
      <c r="E2430" s="219">
        <v>15</v>
      </c>
      <c r="F2430" s="511">
        <f t="shared" si="345"/>
        <v>426.37</v>
      </c>
      <c r="G2430" s="314" t="s">
        <v>12737</v>
      </c>
      <c r="H2430" s="452" t="s">
        <v>12218</v>
      </c>
      <c r="I2430" s="452" t="s">
        <v>4980</v>
      </c>
      <c r="J2430" s="369" t="s">
        <v>753</v>
      </c>
      <c r="K2430" s="452" t="s">
        <v>741</v>
      </c>
    </row>
    <row r="2431" spans="1:11" s="185" customFormat="1">
      <c r="A2431" s="369"/>
      <c r="B2431" s="144" t="s">
        <v>12738</v>
      </c>
      <c r="C2431" s="359">
        <v>212</v>
      </c>
      <c r="D2431" s="230">
        <f t="shared" si="344"/>
        <v>481.81818181818176</v>
      </c>
      <c r="E2431" s="219">
        <v>30</v>
      </c>
      <c r="F2431" s="511">
        <f t="shared" si="345"/>
        <v>511.82</v>
      </c>
      <c r="G2431" s="314" t="s">
        <v>12739</v>
      </c>
      <c r="H2431" s="452" t="s">
        <v>12740</v>
      </c>
      <c r="I2431" s="452" t="s">
        <v>4980</v>
      </c>
      <c r="J2431" s="369" t="s">
        <v>753</v>
      </c>
      <c r="K2431" s="452" t="s">
        <v>741</v>
      </c>
    </row>
    <row r="2432" spans="1:11" s="185" customFormat="1">
      <c r="A2432" s="369"/>
      <c r="B2432" s="144" t="s">
        <v>12741</v>
      </c>
      <c r="C2432" s="359">
        <v>261</v>
      </c>
      <c r="D2432" s="230">
        <f t="shared" si="344"/>
        <v>593.18181818181813</v>
      </c>
      <c r="E2432" s="219">
        <v>30</v>
      </c>
      <c r="F2432" s="511">
        <f t="shared" si="345"/>
        <v>623.18999999999994</v>
      </c>
      <c r="G2432" s="314" t="s">
        <v>12742</v>
      </c>
      <c r="H2432" s="452" t="s">
        <v>12743</v>
      </c>
      <c r="I2432" s="452" t="s">
        <v>4980</v>
      </c>
      <c r="J2432" s="369" t="s">
        <v>753</v>
      </c>
      <c r="K2432" s="452" t="s">
        <v>741</v>
      </c>
    </row>
    <row r="2433" spans="1:11" s="185" customFormat="1">
      <c r="A2433" s="369"/>
      <c r="B2433" s="144" t="s">
        <v>12744</v>
      </c>
      <c r="C2433" s="359">
        <v>322</v>
      </c>
      <c r="D2433" s="230">
        <f t="shared" si="344"/>
        <v>731.81818181818176</v>
      </c>
      <c r="E2433" s="219">
        <v>40</v>
      </c>
      <c r="F2433" s="511">
        <f t="shared" si="345"/>
        <v>771.81999999999994</v>
      </c>
      <c r="G2433" s="314" t="s">
        <v>12745</v>
      </c>
      <c r="H2433" s="452" t="s">
        <v>12746</v>
      </c>
      <c r="I2433" s="452" t="s">
        <v>4980</v>
      </c>
      <c r="J2433" s="369" t="s">
        <v>753</v>
      </c>
      <c r="K2433" s="452" t="s">
        <v>741</v>
      </c>
    </row>
    <row r="2434" spans="1:11" s="185" customFormat="1">
      <c r="A2434" s="369"/>
      <c r="B2434" s="144" t="s">
        <v>12219</v>
      </c>
      <c r="C2434" s="359">
        <v>393</v>
      </c>
      <c r="D2434" s="230">
        <f t="shared" si="344"/>
        <v>893.18181818181813</v>
      </c>
      <c r="E2434" s="219">
        <v>40</v>
      </c>
      <c r="F2434" s="511">
        <f t="shared" si="345"/>
        <v>933.18999999999994</v>
      </c>
      <c r="G2434" s="314" t="s">
        <v>12747</v>
      </c>
      <c r="H2434" s="452" t="s">
        <v>12221</v>
      </c>
      <c r="I2434" s="452" t="s">
        <v>4980</v>
      </c>
      <c r="J2434" s="369" t="s">
        <v>753</v>
      </c>
      <c r="K2434" s="452" t="s">
        <v>741</v>
      </c>
    </row>
    <row r="2435" spans="1:11" s="185" customFormat="1">
      <c r="A2435" s="369"/>
      <c r="B2435" s="144" t="s">
        <v>12748</v>
      </c>
      <c r="C2435" s="359">
        <v>464</v>
      </c>
      <c r="D2435" s="230">
        <f t="shared" si="344"/>
        <v>1054.5454545454545</v>
      </c>
      <c r="E2435" s="219">
        <v>40</v>
      </c>
      <c r="F2435" s="511">
        <f t="shared" si="345"/>
        <v>1094.55</v>
      </c>
      <c r="G2435" s="314" t="s">
        <v>12749</v>
      </c>
      <c r="H2435" s="452" t="s">
        <v>12750</v>
      </c>
      <c r="I2435" s="452" t="s">
        <v>4980</v>
      </c>
      <c r="J2435" s="369" t="s">
        <v>753</v>
      </c>
      <c r="K2435" s="452" t="s">
        <v>741</v>
      </c>
    </row>
    <row r="2436" spans="1:11" s="185" customFormat="1">
      <c r="A2436" s="369"/>
      <c r="B2436" s="144" t="s">
        <v>12222</v>
      </c>
      <c r="C2436" s="359">
        <v>539</v>
      </c>
      <c r="D2436" s="230">
        <f t="shared" si="344"/>
        <v>1224.9999999999998</v>
      </c>
      <c r="E2436" s="219">
        <v>40</v>
      </c>
      <c r="F2436" s="511">
        <f t="shared" si="345"/>
        <v>1265</v>
      </c>
      <c r="G2436" s="314" t="s">
        <v>12751</v>
      </c>
      <c r="H2436" s="452" t="s">
        <v>12224</v>
      </c>
      <c r="I2436" s="452" t="s">
        <v>4980</v>
      </c>
      <c r="J2436" s="369" t="s">
        <v>753</v>
      </c>
      <c r="K2436" s="452" t="s">
        <v>741</v>
      </c>
    </row>
    <row r="2437" spans="1:11" s="185" customFormat="1">
      <c r="A2437" s="369"/>
      <c r="B2437" s="144" t="s">
        <v>12752</v>
      </c>
      <c r="C2437" s="359">
        <v>595</v>
      </c>
      <c r="D2437" s="230">
        <f>C2437*(1-VLOOKUP(I2437,descuentos,6,FALSE))*fcl/1</f>
        <v>1352.272727272727</v>
      </c>
      <c r="E2437" s="219">
        <v>40</v>
      </c>
      <c r="F2437" s="511">
        <f t="shared" si="345"/>
        <v>1392.28</v>
      </c>
      <c r="G2437" s="314" t="s">
        <v>12753</v>
      </c>
      <c r="H2437" s="452" t="s">
        <v>12754</v>
      </c>
      <c r="I2437" s="452" t="s">
        <v>4980</v>
      </c>
      <c r="J2437" s="369" t="s">
        <v>753</v>
      </c>
      <c r="K2437" s="452" t="s">
        <v>741</v>
      </c>
    </row>
    <row r="2438" spans="1:11" s="185" customFormat="1">
      <c r="A2438" s="369"/>
      <c r="B2438" s="144"/>
      <c r="C2438" s="196" t="s">
        <v>2024</v>
      </c>
      <c r="D2438" s="230"/>
      <c r="E2438" s="219"/>
      <c r="F2438" s="511"/>
      <c r="G2438" s="314"/>
      <c r="H2438" s="452"/>
      <c r="I2438" s="452"/>
      <c r="J2438" s="369"/>
      <c r="K2438" s="452"/>
    </row>
    <row r="2439" spans="1:11" s="185" customFormat="1">
      <c r="A2439" s="369"/>
      <c r="B2439" s="144" t="s">
        <v>12755</v>
      </c>
      <c r="C2439" s="359">
        <v>9</v>
      </c>
      <c r="D2439" s="230">
        <f>C2439*(1-VLOOKUP(I2439,descuentos,6,FALSE))*fcl/1</f>
        <v>20.454545454545453</v>
      </c>
      <c r="E2439" s="219">
        <v>5</v>
      </c>
      <c r="F2439" s="511">
        <f>ROUNDUP(D2439+E2439,2)</f>
        <v>25.46</v>
      </c>
      <c r="G2439" s="314" t="s">
        <v>12756</v>
      </c>
      <c r="H2439" s="452" t="s">
        <v>12757</v>
      </c>
      <c r="I2439" s="452" t="s">
        <v>4980</v>
      </c>
      <c r="J2439" s="369" t="s">
        <v>753</v>
      </c>
      <c r="K2439" s="452" t="s">
        <v>741</v>
      </c>
    </row>
    <row r="2440" spans="1:11" s="185" customFormat="1">
      <c r="A2440" s="369"/>
      <c r="B2440" s="144" t="s">
        <v>12758</v>
      </c>
      <c r="C2440" s="359">
        <v>20</v>
      </c>
      <c r="D2440" s="230">
        <f>C2440*(1-VLOOKUP(I2440,descuentos,6,FALSE))*fcl/1</f>
        <v>45.454545454545453</v>
      </c>
      <c r="E2440" s="219">
        <v>5</v>
      </c>
      <c r="F2440" s="511">
        <f>ROUNDUP(D2440+E2440,2)</f>
        <v>50.46</v>
      </c>
      <c r="G2440" s="314" t="s">
        <v>12759</v>
      </c>
      <c r="H2440" s="452" t="s">
        <v>12760</v>
      </c>
      <c r="I2440" s="452" t="s">
        <v>4980</v>
      </c>
      <c r="J2440" s="369" t="s">
        <v>753</v>
      </c>
      <c r="K2440" s="452" t="s">
        <v>741</v>
      </c>
    </row>
    <row r="2441" spans="1:11" s="185" customFormat="1">
      <c r="A2441" s="369"/>
      <c r="B2441" s="2155" t="s">
        <v>12761</v>
      </c>
      <c r="C2441" s="2156">
        <v>22</v>
      </c>
      <c r="D2441" s="230">
        <f>C2441*(1-VLOOKUP(I2441,descuentos,6,FALSE))*fcl/1</f>
        <v>49.999999999999993</v>
      </c>
      <c r="E2441" s="219">
        <v>5</v>
      </c>
      <c r="F2441" s="511">
        <f>ROUNDUP(D2441+E2441,2)</f>
        <v>55</v>
      </c>
      <c r="G2441" s="314" t="s">
        <v>12762</v>
      </c>
      <c r="H2441" s="452" t="s">
        <v>12763</v>
      </c>
      <c r="I2441" s="452" t="s">
        <v>4980</v>
      </c>
      <c r="J2441" s="369" t="s">
        <v>753</v>
      </c>
      <c r="K2441" s="452" t="s">
        <v>741</v>
      </c>
    </row>
    <row r="2442" spans="1:11" s="185" customFormat="1">
      <c r="A2442" s="369"/>
      <c r="B2442" s="144"/>
      <c r="C2442" s="196" t="s">
        <v>2024</v>
      </c>
      <c r="D2442" s="230"/>
      <c r="E2442" s="219"/>
      <c r="F2442" s="511"/>
      <c r="G2442" s="314"/>
      <c r="H2442" s="452"/>
      <c r="I2442" s="452"/>
      <c r="J2442" s="369"/>
      <c r="K2442" s="452"/>
    </row>
    <row r="2443" spans="1:11" s="185" customFormat="1">
      <c r="A2443" s="369"/>
      <c r="B2443" s="144"/>
      <c r="C2443" s="196" t="s">
        <v>2024</v>
      </c>
      <c r="D2443" s="230"/>
      <c r="E2443" s="219"/>
      <c r="F2443" s="511"/>
      <c r="G2443" s="314"/>
      <c r="H2443" s="452"/>
      <c r="I2443" s="452"/>
      <c r="J2443" s="369"/>
      <c r="K2443" s="452"/>
    </row>
    <row r="2444" spans="1:11" s="185" customFormat="1">
      <c r="A2444" s="369"/>
      <c r="B2444" s="144" t="s">
        <v>12764</v>
      </c>
      <c r="C2444" s="359">
        <v>569</v>
      </c>
      <c r="D2444" s="230">
        <f t="shared" ref="D2444:D2455" si="346">C2444*(1-VLOOKUP(I2444,descuentos,6,FALSE))*fcl/1</f>
        <v>1293.181818181818</v>
      </c>
      <c r="E2444" s="219">
        <v>20</v>
      </c>
      <c r="F2444" s="511">
        <f t="shared" ref="F2444:F2458" si="347">ROUNDUP(D2444+E2444,2)</f>
        <v>1313.19</v>
      </c>
      <c r="G2444" s="314" t="s">
        <v>12765</v>
      </c>
      <c r="H2444" s="2157" t="s">
        <v>12766</v>
      </c>
      <c r="I2444" s="452" t="s">
        <v>4980</v>
      </c>
      <c r="J2444" s="369" t="s">
        <v>753</v>
      </c>
      <c r="K2444" s="452" t="s">
        <v>741</v>
      </c>
    </row>
    <row r="2445" spans="1:11" s="185" customFormat="1">
      <c r="A2445" s="369"/>
      <c r="B2445" s="144" t="s">
        <v>12767</v>
      </c>
      <c r="C2445" s="359">
        <v>573</v>
      </c>
      <c r="D2445" s="230">
        <f t="shared" si="346"/>
        <v>1302.272727272727</v>
      </c>
      <c r="E2445" s="219">
        <v>20</v>
      </c>
      <c r="F2445" s="511">
        <f t="shared" si="347"/>
        <v>1322.28</v>
      </c>
      <c r="G2445" s="314" t="s">
        <v>12768</v>
      </c>
      <c r="H2445" s="2157" t="s">
        <v>12769</v>
      </c>
      <c r="I2445" s="452" t="s">
        <v>4980</v>
      </c>
      <c r="J2445" s="369" t="s">
        <v>753</v>
      </c>
      <c r="K2445" s="452" t="s">
        <v>741</v>
      </c>
    </row>
    <row r="2446" spans="1:11" s="185" customFormat="1">
      <c r="A2446" s="369"/>
      <c r="B2446" s="144" t="s">
        <v>12770</v>
      </c>
      <c r="C2446" s="359">
        <v>576</v>
      </c>
      <c r="D2446" s="230">
        <f t="shared" si="346"/>
        <v>1309.090909090909</v>
      </c>
      <c r="E2446" s="219">
        <v>20</v>
      </c>
      <c r="F2446" s="511">
        <f t="shared" si="347"/>
        <v>1329.1</v>
      </c>
      <c r="G2446" s="314" t="s">
        <v>12771</v>
      </c>
      <c r="H2446" s="2157" t="s">
        <v>12772</v>
      </c>
      <c r="I2446" s="452" t="s">
        <v>4980</v>
      </c>
      <c r="J2446" s="369" t="s">
        <v>753</v>
      </c>
      <c r="K2446" s="452" t="s">
        <v>741</v>
      </c>
    </row>
    <row r="2447" spans="1:11" s="185" customFormat="1">
      <c r="A2447" s="369"/>
      <c r="B2447" s="144" t="s">
        <v>12773</v>
      </c>
      <c r="C2447" s="359">
        <v>583</v>
      </c>
      <c r="D2447" s="230">
        <f t="shared" si="346"/>
        <v>1324.9999999999998</v>
      </c>
      <c r="E2447" s="219">
        <v>20</v>
      </c>
      <c r="F2447" s="511">
        <f t="shared" si="347"/>
        <v>1345</v>
      </c>
      <c r="G2447" s="314" t="s">
        <v>12774</v>
      </c>
      <c r="H2447" s="2157" t="s">
        <v>12775</v>
      </c>
      <c r="I2447" s="452" t="s">
        <v>4980</v>
      </c>
      <c r="J2447" s="369" t="s">
        <v>753</v>
      </c>
      <c r="K2447" s="452" t="s">
        <v>741</v>
      </c>
    </row>
    <row r="2448" spans="1:11" s="185" customFormat="1">
      <c r="A2448" s="369"/>
      <c r="B2448" s="144" t="s">
        <v>12776</v>
      </c>
      <c r="C2448" s="359">
        <v>593</v>
      </c>
      <c r="D2448" s="230">
        <f t="shared" si="346"/>
        <v>1347.7272727272725</v>
      </c>
      <c r="E2448" s="219">
        <v>30</v>
      </c>
      <c r="F2448" s="511">
        <f t="shared" si="347"/>
        <v>1377.73</v>
      </c>
      <c r="G2448" s="314" t="s">
        <v>12777</v>
      </c>
      <c r="H2448" s="2157" t="s">
        <v>12778</v>
      </c>
      <c r="I2448" s="452" t="s">
        <v>4980</v>
      </c>
      <c r="J2448" s="369" t="s">
        <v>753</v>
      </c>
      <c r="K2448" s="452" t="s">
        <v>741</v>
      </c>
    </row>
    <row r="2449" spans="1:11" s="185" customFormat="1">
      <c r="A2449" s="369"/>
      <c r="B2449" s="144" t="s">
        <v>12779</v>
      </c>
      <c r="C2449" s="359">
        <v>756</v>
      </c>
      <c r="D2449" s="230">
        <f t="shared" si="346"/>
        <v>1718.181818181818</v>
      </c>
      <c r="E2449" s="219">
        <v>30</v>
      </c>
      <c r="F2449" s="511">
        <f t="shared" si="347"/>
        <v>1748.19</v>
      </c>
      <c r="G2449" s="314" t="s">
        <v>12780</v>
      </c>
      <c r="H2449" s="2157" t="s">
        <v>12781</v>
      </c>
      <c r="I2449" s="452" t="s">
        <v>4980</v>
      </c>
      <c r="J2449" s="369" t="s">
        <v>753</v>
      </c>
      <c r="K2449" s="452" t="s">
        <v>741</v>
      </c>
    </row>
    <row r="2450" spans="1:11" s="185" customFormat="1">
      <c r="A2450" s="369"/>
      <c r="B2450" s="144" t="s">
        <v>12782</v>
      </c>
      <c r="C2450" s="359">
        <v>793</v>
      </c>
      <c r="D2450" s="230">
        <f t="shared" si="346"/>
        <v>1802.272727272727</v>
      </c>
      <c r="E2450" s="219">
        <v>40</v>
      </c>
      <c r="F2450" s="511">
        <f t="shared" si="347"/>
        <v>1842.28</v>
      </c>
      <c r="G2450" s="314" t="s">
        <v>12783</v>
      </c>
      <c r="H2450" s="2157" t="s">
        <v>12784</v>
      </c>
      <c r="I2450" s="452" t="s">
        <v>4980</v>
      </c>
      <c r="J2450" s="369" t="s">
        <v>753</v>
      </c>
      <c r="K2450" s="452" t="s">
        <v>741</v>
      </c>
    </row>
    <row r="2451" spans="1:11" s="185" customFormat="1">
      <c r="A2451" s="369"/>
      <c r="B2451" s="144" t="s">
        <v>12785</v>
      </c>
      <c r="C2451" s="359">
        <v>849</v>
      </c>
      <c r="D2451" s="230">
        <f t="shared" si="346"/>
        <v>1929.5454545454543</v>
      </c>
      <c r="E2451" s="219">
        <v>40</v>
      </c>
      <c r="F2451" s="511">
        <f t="shared" si="347"/>
        <v>1969.55</v>
      </c>
      <c r="G2451" s="314" t="s">
        <v>12786</v>
      </c>
      <c r="H2451" s="2157" t="s">
        <v>12787</v>
      </c>
      <c r="I2451" s="452" t="s">
        <v>4980</v>
      </c>
      <c r="J2451" s="369" t="s">
        <v>753</v>
      </c>
      <c r="K2451" s="452" t="s">
        <v>741</v>
      </c>
    </row>
    <row r="2452" spans="1:11" s="185" customFormat="1">
      <c r="A2452" s="369"/>
      <c r="B2452" s="144" t="s">
        <v>12788</v>
      </c>
      <c r="C2452" s="359">
        <v>1100</v>
      </c>
      <c r="D2452" s="230">
        <f t="shared" si="346"/>
        <v>2499.9999999999995</v>
      </c>
      <c r="E2452" s="219">
        <v>40</v>
      </c>
      <c r="F2452" s="511">
        <f t="shared" si="347"/>
        <v>2540</v>
      </c>
      <c r="G2452" s="314" t="s">
        <v>12789</v>
      </c>
      <c r="H2452" s="2157" t="s">
        <v>12790</v>
      </c>
      <c r="I2452" s="452" t="s">
        <v>4980</v>
      </c>
      <c r="J2452" s="369" t="s">
        <v>753</v>
      </c>
      <c r="K2452" s="452" t="s">
        <v>741</v>
      </c>
    </row>
    <row r="2453" spans="1:11" s="185" customFormat="1">
      <c r="A2453" s="369"/>
      <c r="B2453" s="144" t="s">
        <v>12791</v>
      </c>
      <c r="C2453" s="359">
        <v>1140</v>
      </c>
      <c r="D2453" s="230">
        <f t="shared" si="346"/>
        <v>2590.9090909090905</v>
      </c>
      <c r="E2453" s="219">
        <v>40</v>
      </c>
      <c r="F2453" s="511">
        <f t="shared" si="347"/>
        <v>2630.9100000000003</v>
      </c>
      <c r="G2453" s="314" t="s">
        <v>12792</v>
      </c>
      <c r="H2453" s="2157" t="s">
        <v>12793</v>
      </c>
      <c r="I2453" s="452" t="s">
        <v>4980</v>
      </c>
      <c r="J2453" s="369" t="s">
        <v>753</v>
      </c>
      <c r="K2453" s="452" t="s">
        <v>741</v>
      </c>
    </row>
    <row r="2454" spans="1:11" s="185" customFormat="1">
      <c r="A2454" s="369"/>
      <c r="B2454" s="144" t="s">
        <v>12794</v>
      </c>
      <c r="C2454" s="359">
        <v>1154</v>
      </c>
      <c r="D2454" s="230">
        <f t="shared" si="346"/>
        <v>2622.7272727272725</v>
      </c>
      <c r="E2454" s="219">
        <v>40</v>
      </c>
      <c r="F2454" s="511">
        <f t="shared" si="347"/>
        <v>2662.73</v>
      </c>
      <c r="G2454" s="314" t="s">
        <v>12795</v>
      </c>
      <c r="H2454" s="2157" t="s">
        <v>12796</v>
      </c>
      <c r="I2454" s="452" t="s">
        <v>4980</v>
      </c>
      <c r="J2454" s="369" t="s">
        <v>753</v>
      </c>
      <c r="K2454" s="452" t="s">
        <v>741</v>
      </c>
    </row>
    <row r="2455" spans="1:11" s="185" customFormat="1">
      <c r="A2455" s="369"/>
      <c r="B2455" s="144" t="s">
        <v>12797</v>
      </c>
      <c r="C2455" s="359">
        <v>1283</v>
      </c>
      <c r="D2455" s="230">
        <f t="shared" si="346"/>
        <v>2915.9090909090905</v>
      </c>
      <c r="E2455" s="219">
        <v>40</v>
      </c>
      <c r="F2455" s="511">
        <f t="shared" si="347"/>
        <v>2955.9100000000003</v>
      </c>
      <c r="G2455" s="314" t="s">
        <v>12798</v>
      </c>
      <c r="H2455" s="2157" t="s">
        <v>12799</v>
      </c>
      <c r="I2455" s="452" t="s">
        <v>4980</v>
      </c>
      <c r="J2455" s="369" t="s">
        <v>753</v>
      </c>
      <c r="K2455" s="452" t="s">
        <v>741</v>
      </c>
    </row>
    <row r="2456" spans="1:11" s="185" customFormat="1">
      <c r="A2456" s="369"/>
      <c r="B2456" s="144" t="s">
        <v>12800</v>
      </c>
      <c r="C2456" s="359">
        <v>1358</v>
      </c>
      <c r="D2456" s="230">
        <f>C2456*(1-VLOOKUP(I2456,descuentos,6,FALSE))*fcl/1</f>
        <v>3086.363636363636</v>
      </c>
      <c r="E2456" s="219">
        <v>60</v>
      </c>
      <c r="F2456" s="511">
        <f t="shared" si="347"/>
        <v>3146.3700000000003</v>
      </c>
      <c r="G2456" s="314" t="s">
        <v>12801</v>
      </c>
      <c r="H2456" s="2157" t="s">
        <v>12802</v>
      </c>
      <c r="I2456" s="452" t="s">
        <v>4980</v>
      </c>
      <c r="J2456" s="369" t="s">
        <v>753</v>
      </c>
      <c r="K2456" s="452" t="s">
        <v>741</v>
      </c>
    </row>
    <row r="2457" spans="1:11" s="185" customFormat="1">
      <c r="A2457" s="369"/>
      <c r="B2457" s="144" t="s">
        <v>12803</v>
      </c>
      <c r="C2457" s="359">
        <v>1634</v>
      </c>
      <c r="D2457" s="230">
        <f>C2457*(1-VLOOKUP(I2457,descuentos,6,FALSE))*fcl/1</f>
        <v>3713.6363636363631</v>
      </c>
      <c r="E2457" s="219">
        <v>60</v>
      </c>
      <c r="F2457" s="511">
        <f t="shared" si="347"/>
        <v>3773.6400000000003</v>
      </c>
      <c r="G2457" s="314" t="s">
        <v>12804</v>
      </c>
      <c r="H2457" s="2157" t="s">
        <v>12805</v>
      </c>
      <c r="I2457" s="452" t="s">
        <v>4980</v>
      </c>
      <c r="J2457" s="369" t="s">
        <v>753</v>
      </c>
      <c r="K2457" s="452" t="s">
        <v>741</v>
      </c>
    </row>
    <row r="2458" spans="1:11" s="185" customFormat="1">
      <c r="A2458" s="369"/>
      <c r="B2458" s="144" t="s">
        <v>12806</v>
      </c>
      <c r="C2458" s="359">
        <v>1953</v>
      </c>
      <c r="D2458" s="230">
        <f>C2458*(1-VLOOKUP(I2458,descuentos,6,FALSE))*fcl/1</f>
        <v>4438.6363636363631</v>
      </c>
      <c r="E2458" s="219">
        <v>60</v>
      </c>
      <c r="F2458" s="511">
        <f t="shared" si="347"/>
        <v>4498.6400000000003</v>
      </c>
      <c r="G2458" s="314" t="s">
        <v>12807</v>
      </c>
      <c r="H2458" s="2157" t="s">
        <v>12808</v>
      </c>
      <c r="I2458" s="452" t="s">
        <v>4980</v>
      </c>
      <c r="J2458" s="369" t="s">
        <v>753</v>
      </c>
      <c r="K2458" s="452" t="s">
        <v>741</v>
      </c>
    </row>
    <row r="2459" spans="1:11" s="185" customFormat="1">
      <c r="A2459" s="369"/>
      <c r="B2459" s="144"/>
      <c r="C2459" s="196" t="s">
        <v>2024</v>
      </c>
      <c r="D2459" s="230"/>
      <c r="E2459" s="219"/>
      <c r="F2459" s="511"/>
      <c r="G2459" s="314"/>
      <c r="H2459" s="452"/>
      <c r="I2459" s="452"/>
      <c r="J2459" s="369"/>
      <c r="K2459" s="452"/>
    </row>
    <row r="2460" spans="1:11" s="185" customFormat="1">
      <c r="A2460" s="369"/>
      <c r="B2460" s="144" t="s">
        <v>12809</v>
      </c>
      <c r="C2460" s="359">
        <v>160</v>
      </c>
      <c r="D2460" s="230">
        <f>C2460*(1-VLOOKUP(I2460,descuentos,6,FALSE))*fcl/1</f>
        <v>363.63636363636363</v>
      </c>
      <c r="E2460" s="219">
        <v>10</v>
      </c>
      <c r="F2460" s="511">
        <f t="shared" ref="F2460" si="348">ROUNDUP(D2460+E2460,2)</f>
        <v>373.64</v>
      </c>
      <c r="G2460" s="314" t="s">
        <v>12810</v>
      </c>
      <c r="H2460" s="2157" t="s">
        <v>12811</v>
      </c>
      <c r="I2460" s="452" t="s">
        <v>4980</v>
      </c>
      <c r="J2460" s="369" t="s">
        <v>753</v>
      </c>
      <c r="K2460" s="452" t="s">
        <v>741</v>
      </c>
    </row>
    <row r="2461" spans="1:11" s="185" customFormat="1">
      <c r="A2461" s="369"/>
      <c r="B2461" s="144"/>
      <c r="C2461" s="196" t="s">
        <v>2024</v>
      </c>
      <c r="D2461" s="230"/>
      <c r="E2461" s="219"/>
      <c r="F2461" s="511"/>
      <c r="G2461" s="314"/>
      <c r="H2461" s="518"/>
      <c r="I2461" s="452"/>
      <c r="J2461" s="369"/>
      <c r="K2461" s="452"/>
    </row>
    <row r="2462" spans="1:11" s="185" customFormat="1">
      <c r="A2462" s="369"/>
      <c r="B2462" s="144"/>
      <c r="C2462" s="196" t="s">
        <v>2024</v>
      </c>
      <c r="D2462" s="230"/>
      <c r="E2462" s="219"/>
      <c r="F2462" s="511"/>
      <c r="G2462" s="314"/>
      <c r="H2462" s="518"/>
      <c r="I2462" s="452"/>
      <c r="J2462" s="369"/>
      <c r="K2462" s="452"/>
    </row>
    <row r="2463" spans="1:11" s="185" customFormat="1">
      <c r="A2463" s="1619"/>
      <c r="B2463" s="144" t="s">
        <v>9769</v>
      </c>
      <c r="C2463" s="196">
        <v>139</v>
      </c>
      <c r="D2463" s="230">
        <f t="shared" ref="D2463:D2464" si="349">C2463*(1-VLOOKUP(I2463,descuentos,6,FALSE))*fcl/IF(dol_sol="dólar", TC,1)</f>
        <v>42.698649932157387</v>
      </c>
      <c r="E2463" s="219">
        <v>3</v>
      </c>
      <c r="F2463" s="511">
        <f t="shared" ref="F2463:F2497" si="350">ROUNDUP(D2463+E2463,2)</f>
        <v>45.699999999999996</v>
      </c>
      <c r="G2463" s="314" t="s">
        <v>9770</v>
      </c>
      <c r="H2463" s="518" t="s">
        <v>9771</v>
      </c>
      <c r="I2463" s="452" t="s">
        <v>11565</v>
      </c>
      <c r="J2463" s="369" t="s">
        <v>753</v>
      </c>
      <c r="K2463" s="452" t="s">
        <v>741</v>
      </c>
    </row>
    <row r="2464" spans="1:11" s="185" customFormat="1">
      <c r="A2464" s="1619"/>
      <c r="B2464" s="144" t="s">
        <v>9772</v>
      </c>
      <c r="C2464" s="196">
        <v>139</v>
      </c>
      <c r="D2464" s="230">
        <f t="shared" si="349"/>
        <v>42.698649932157387</v>
      </c>
      <c r="E2464" s="219">
        <v>3</v>
      </c>
      <c r="F2464" s="511">
        <f t="shared" si="350"/>
        <v>45.699999999999996</v>
      </c>
      <c r="G2464" s="314" t="s">
        <v>9773</v>
      </c>
      <c r="H2464" s="518" t="s">
        <v>9774</v>
      </c>
      <c r="I2464" s="452" t="s">
        <v>11565</v>
      </c>
      <c r="J2464" s="369" t="s">
        <v>753</v>
      </c>
      <c r="K2464" s="452" t="s">
        <v>741</v>
      </c>
    </row>
    <row r="2465" spans="1:11" s="185" customFormat="1">
      <c r="A2465" s="1619"/>
      <c r="B2465" s="144" t="s">
        <v>9775</v>
      </c>
      <c r="C2465" s="196">
        <v>139</v>
      </c>
      <c r="D2465" s="230">
        <f t="shared" ref="D2465:D2468" si="351">C2465*(1-VLOOKUP(I2465,descuentos,6,FALSE))*fcl/IF(dol_sol="dólar", TC,1)</f>
        <v>42.698649932157387</v>
      </c>
      <c r="E2465" s="219">
        <v>3</v>
      </c>
      <c r="F2465" s="511">
        <f t="shared" si="350"/>
        <v>45.699999999999996</v>
      </c>
      <c r="G2465" s="314" t="s">
        <v>9776</v>
      </c>
      <c r="H2465" s="518" t="s">
        <v>9777</v>
      </c>
      <c r="I2465" s="452" t="s">
        <v>11565</v>
      </c>
      <c r="J2465" s="369" t="s">
        <v>753</v>
      </c>
      <c r="K2465" s="452" t="s">
        <v>741</v>
      </c>
    </row>
    <row r="2466" spans="1:11" s="185" customFormat="1">
      <c r="A2466" s="1619"/>
      <c r="B2466" s="144" t="s">
        <v>9778</v>
      </c>
      <c r="C2466" s="196">
        <v>139</v>
      </c>
      <c r="D2466" s="230">
        <f t="shared" si="351"/>
        <v>42.698649932157387</v>
      </c>
      <c r="E2466" s="219">
        <v>3</v>
      </c>
      <c r="F2466" s="511">
        <f t="shared" si="350"/>
        <v>45.699999999999996</v>
      </c>
      <c r="G2466" s="314" t="s">
        <v>9779</v>
      </c>
      <c r="H2466" s="518" t="s">
        <v>9780</v>
      </c>
      <c r="I2466" s="452" t="s">
        <v>11565</v>
      </c>
      <c r="J2466" s="369" t="s">
        <v>753</v>
      </c>
      <c r="K2466" s="452" t="s">
        <v>741</v>
      </c>
    </row>
    <row r="2467" spans="1:11" s="185" customFormat="1">
      <c r="A2467" s="1619"/>
      <c r="B2467" s="144" t="s">
        <v>9781</v>
      </c>
      <c r="C2467" s="196">
        <v>139</v>
      </c>
      <c r="D2467" s="230">
        <f t="shared" si="351"/>
        <v>42.698649932157387</v>
      </c>
      <c r="E2467" s="219">
        <v>3</v>
      </c>
      <c r="F2467" s="511">
        <f t="shared" si="350"/>
        <v>45.699999999999996</v>
      </c>
      <c r="G2467" s="314" t="s">
        <v>9782</v>
      </c>
      <c r="H2467" s="518" t="s">
        <v>9783</v>
      </c>
      <c r="I2467" s="452" t="s">
        <v>11565</v>
      </c>
      <c r="J2467" s="369" t="s">
        <v>753</v>
      </c>
      <c r="K2467" s="452" t="s">
        <v>741</v>
      </c>
    </row>
    <row r="2468" spans="1:11" s="185" customFormat="1">
      <c r="A2468" s="1619"/>
      <c r="B2468" s="144" t="s">
        <v>9784</v>
      </c>
      <c r="C2468" s="196">
        <v>139</v>
      </c>
      <c r="D2468" s="230">
        <f t="shared" si="351"/>
        <v>42.698649932157387</v>
      </c>
      <c r="E2468" s="219">
        <v>3</v>
      </c>
      <c r="F2468" s="511">
        <f t="shared" si="350"/>
        <v>45.699999999999996</v>
      </c>
      <c r="G2468" s="314" t="s">
        <v>9785</v>
      </c>
      <c r="H2468" s="518" t="s">
        <v>9786</v>
      </c>
      <c r="I2468" s="452" t="s">
        <v>11565</v>
      </c>
      <c r="J2468" s="369" t="s">
        <v>753</v>
      </c>
      <c r="K2468" s="452" t="s">
        <v>741</v>
      </c>
    </row>
    <row r="2469" spans="1:11" s="185" customFormat="1">
      <c r="A2469" s="1619"/>
      <c r="B2469" s="144" t="s">
        <v>9787</v>
      </c>
      <c r="C2469" s="196">
        <v>139</v>
      </c>
      <c r="D2469" s="230">
        <f t="shared" ref="D2469" si="352">C2469*(1-VLOOKUP(I2469,descuentos,6,FALSE))*fcl/IF(dol_sol="dólar", TC,1)</f>
        <v>42.698649932157387</v>
      </c>
      <c r="E2469" s="219">
        <v>3</v>
      </c>
      <c r="F2469" s="511">
        <f t="shared" si="350"/>
        <v>45.699999999999996</v>
      </c>
      <c r="G2469" s="314" t="s">
        <v>9788</v>
      </c>
      <c r="H2469" s="518" t="s">
        <v>9789</v>
      </c>
      <c r="I2469" s="452" t="s">
        <v>11565</v>
      </c>
      <c r="J2469" s="369" t="s">
        <v>753</v>
      </c>
      <c r="K2469" s="452" t="s">
        <v>741</v>
      </c>
    </row>
    <row r="2470" spans="1:11" s="185" customFormat="1">
      <c r="A2470" s="369"/>
      <c r="B2470" s="144" t="s">
        <v>7320</v>
      </c>
      <c r="C2470" s="196">
        <v>137</v>
      </c>
      <c r="D2470" s="230">
        <f t="shared" ref="D2470:D2485" si="353">C2470*(1-VLOOKUP(I2470,descuentos,6,FALSE))*fcl/IF(dol_sol="dólar", TC,1)</f>
        <v>42.084280868385342</v>
      </c>
      <c r="E2470" s="219">
        <v>3</v>
      </c>
      <c r="F2470" s="511">
        <f t="shared" si="350"/>
        <v>45.089999999999996</v>
      </c>
      <c r="G2470" s="314" t="s">
        <v>7321</v>
      </c>
      <c r="H2470" s="518" t="s">
        <v>7322</v>
      </c>
      <c r="I2470" s="452" t="s">
        <v>11565</v>
      </c>
      <c r="J2470" s="369" t="s">
        <v>753</v>
      </c>
      <c r="K2470" s="452" t="s">
        <v>741</v>
      </c>
    </row>
    <row r="2471" spans="1:11" s="185" customFormat="1">
      <c r="A2471" s="369"/>
      <c r="B2471" s="144" t="s">
        <v>7323</v>
      </c>
      <c r="C2471" s="196">
        <v>137</v>
      </c>
      <c r="D2471" s="230">
        <f t="shared" si="353"/>
        <v>42.084280868385342</v>
      </c>
      <c r="E2471" s="219">
        <v>3</v>
      </c>
      <c r="F2471" s="511">
        <f t="shared" si="350"/>
        <v>45.089999999999996</v>
      </c>
      <c r="G2471" s="314" t="s">
        <v>7324</v>
      </c>
      <c r="H2471" s="518" t="s">
        <v>7325</v>
      </c>
      <c r="I2471" s="452" t="s">
        <v>11565</v>
      </c>
      <c r="J2471" s="369" t="s">
        <v>753</v>
      </c>
      <c r="K2471" s="452" t="s">
        <v>741</v>
      </c>
    </row>
    <row r="2472" spans="1:11" s="185" customFormat="1">
      <c r="A2472" s="369"/>
      <c r="B2472" s="144" t="s">
        <v>7326</v>
      </c>
      <c r="C2472" s="196">
        <v>137</v>
      </c>
      <c r="D2472" s="230">
        <f t="shared" si="353"/>
        <v>42.084280868385342</v>
      </c>
      <c r="E2472" s="219">
        <v>3</v>
      </c>
      <c r="F2472" s="511">
        <f t="shared" si="350"/>
        <v>45.089999999999996</v>
      </c>
      <c r="G2472" s="314" t="s">
        <v>7327</v>
      </c>
      <c r="H2472" s="518" t="s">
        <v>7328</v>
      </c>
      <c r="I2472" s="452" t="s">
        <v>11565</v>
      </c>
      <c r="J2472" s="369" t="s">
        <v>753</v>
      </c>
      <c r="K2472" s="452" t="s">
        <v>741</v>
      </c>
    </row>
    <row r="2473" spans="1:11" s="185" customFormat="1">
      <c r="A2473" s="369"/>
      <c r="B2473" s="144" t="s">
        <v>7329</v>
      </c>
      <c r="C2473" s="196">
        <v>137</v>
      </c>
      <c r="D2473" s="230">
        <f t="shared" si="353"/>
        <v>42.084280868385342</v>
      </c>
      <c r="E2473" s="219">
        <v>3</v>
      </c>
      <c r="F2473" s="511">
        <f t="shared" si="350"/>
        <v>45.089999999999996</v>
      </c>
      <c r="G2473" s="314" t="s">
        <v>7330</v>
      </c>
      <c r="H2473" s="518" t="s">
        <v>7331</v>
      </c>
      <c r="I2473" s="452" t="s">
        <v>11565</v>
      </c>
      <c r="J2473" s="369" t="s">
        <v>753</v>
      </c>
      <c r="K2473" s="452" t="s">
        <v>741</v>
      </c>
    </row>
    <row r="2474" spans="1:11" s="185" customFormat="1">
      <c r="A2474" s="369"/>
      <c r="B2474" s="144" t="s">
        <v>7332</v>
      </c>
      <c r="C2474" s="196">
        <v>137</v>
      </c>
      <c r="D2474" s="230">
        <f t="shared" si="353"/>
        <v>42.084280868385342</v>
      </c>
      <c r="E2474" s="219">
        <v>3</v>
      </c>
      <c r="F2474" s="511">
        <f t="shared" si="350"/>
        <v>45.089999999999996</v>
      </c>
      <c r="G2474" s="314" t="s">
        <v>7333</v>
      </c>
      <c r="H2474" s="518" t="s">
        <v>7334</v>
      </c>
      <c r="I2474" s="452" t="s">
        <v>11565</v>
      </c>
      <c r="J2474" s="369" t="s">
        <v>753</v>
      </c>
      <c r="K2474" s="452" t="s">
        <v>741</v>
      </c>
    </row>
    <row r="2475" spans="1:11" s="185" customFormat="1">
      <c r="A2475" s="369"/>
      <c r="B2475" s="144" t="s">
        <v>7335</v>
      </c>
      <c r="C2475" s="196">
        <v>137</v>
      </c>
      <c r="D2475" s="230">
        <f t="shared" si="353"/>
        <v>42.084280868385342</v>
      </c>
      <c r="E2475" s="219">
        <v>3</v>
      </c>
      <c r="F2475" s="511">
        <f t="shared" si="350"/>
        <v>45.089999999999996</v>
      </c>
      <c r="G2475" s="314" t="s">
        <v>7336</v>
      </c>
      <c r="H2475" s="518" t="s">
        <v>7337</v>
      </c>
      <c r="I2475" s="452" t="s">
        <v>11565</v>
      </c>
      <c r="J2475" s="369" t="s">
        <v>753</v>
      </c>
      <c r="K2475" s="452" t="s">
        <v>741</v>
      </c>
    </row>
    <row r="2476" spans="1:11" s="185" customFormat="1">
      <c r="A2476" s="369"/>
      <c r="B2476" s="144" t="s">
        <v>7338</v>
      </c>
      <c r="C2476" s="196">
        <v>137</v>
      </c>
      <c r="D2476" s="230">
        <f t="shared" si="353"/>
        <v>42.084280868385342</v>
      </c>
      <c r="E2476" s="219">
        <v>3</v>
      </c>
      <c r="F2476" s="511">
        <f t="shared" si="350"/>
        <v>45.089999999999996</v>
      </c>
      <c r="G2476" s="314" t="s">
        <v>7339</v>
      </c>
      <c r="H2476" s="518" t="s">
        <v>7340</v>
      </c>
      <c r="I2476" s="452" t="s">
        <v>11565</v>
      </c>
      <c r="J2476" s="369" t="s">
        <v>753</v>
      </c>
      <c r="K2476" s="452" t="s">
        <v>741</v>
      </c>
    </row>
    <row r="2477" spans="1:11" s="185" customFormat="1">
      <c r="A2477" s="369"/>
      <c r="B2477" s="144" t="s">
        <v>7341</v>
      </c>
      <c r="C2477" s="196">
        <v>137</v>
      </c>
      <c r="D2477" s="230">
        <f t="shared" si="353"/>
        <v>42.084280868385342</v>
      </c>
      <c r="E2477" s="219">
        <v>3</v>
      </c>
      <c r="F2477" s="511">
        <f t="shared" si="350"/>
        <v>45.089999999999996</v>
      </c>
      <c r="G2477" s="314" t="s">
        <v>7342</v>
      </c>
      <c r="H2477" s="518" t="s">
        <v>7343</v>
      </c>
      <c r="I2477" s="452" t="s">
        <v>11565</v>
      </c>
      <c r="J2477" s="369" t="s">
        <v>753</v>
      </c>
      <c r="K2477" s="452" t="s">
        <v>741</v>
      </c>
    </row>
    <row r="2478" spans="1:11" s="185" customFormat="1">
      <c r="A2478" s="369"/>
      <c r="B2478" s="144" t="s">
        <v>7344</v>
      </c>
      <c r="C2478" s="196">
        <v>137</v>
      </c>
      <c r="D2478" s="230">
        <f t="shared" si="353"/>
        <v>42.084280868385342</v>
      </c>
      <c r="E2478" s="219">
        <v>3</v>
      </c>
      <c r="F2478" s="511">
        <f t="shared" si="350"/>
        <v>45.089999999999996</v>
      </c>
      <c r="G2478" s="314" t="s">
        <v>7345</v>
      </c>
      <c r="H2478" s="518" t="s">
        <v>7346</v>
      </c>
      <c r="I2478" s="452" t="s">
        <v>11565</v>
      </c>
      <c r="J2478" s="369" t="s">
        <v>753</v>
      </c>
      <c r="K2478" s="452" t="s">
        <v>741</v>
      </c>
    </row>
    <row r="2479" spans="1:11" s="185" customFormat="1">
      <c r="A2479" s="369"/>
      <c r="B2479" s="144" t="s">
        <v>7347</v>
      </c>
      <c r="C2479" s="196">
        <v>153</v>
      </c>
      <c r="D2479" s="230">
        <f t="shared" si="353"/>
        <v>46.999233378561726</v>
      </c>
      <c r="E2479" s="219">
        <v>5</v>
      </c>
      <c r="F2479" s="511">
        <f t="shared" si="350"/>
        <v>52</v>
      </c>
      <c r="G2479" s="314" t="s">
        <v>7348</v>
      </c>
      <c r="H2479" s="518" t="s">
        <v>7349</v>
      </c>
      <c r="I2479" s="452" t="s">
        <v>11565</v>
      </c>
      <c r="J2479" s="369" t="s">
        <v>753</v>
      </c>
      <c r="K2479" s="452" t="s">
        <v>741</v>
      </c>
    </row>
    <row r="2480" spans="1:11" s="185" customFormat="1">
      <c r="A2480" s="369"/>
      <c r="B2480" s="144" t="s">
        <v>7350</v>
      </c>
      <c r="C2480" s="196">
        <v>153</v>
      </c>
      <c r="D2480" s="230">
        <f t="shared" si="353"/>
        <v>46.999233378561726</v>
      </c>
      <c r="E2480" s="219">
        <v>5</v>
      </c>
      <c r="F2480" s="511">
        <f t="shared" si="350"/>
        <v>52</v>
      </c>
      <c r="G2480" s="314" t="s">
        <v>7351</v>
      </c>
      <c r="H2480" s="518" t="s">
        <v>7352</v>
      </c>
      <c r="I2480" s="452" t="s">
        <v>11565</v>
      </c>
      <c r="J2480" s="369" t="s">
        <v>753</v>
      </c>
      <c r="K2480" s="452" t="s">
        <v>741</v>
      </c>
    </row>
    <row r="2481" spans="1:11" s="185" customFormat="1">
      <c r="A2481" s="369"/>
      <c r="B2481" s="144" t="s">
        <v>7353</v>
      </c>
      <c r="C2481" s="196">
        <v>153</v>
      </c>
      <c r="D2481" s="230">
        <f t="shared" si="353"/>
        <v>46.999233378561726</v>
      </c>
      <c r="E2481" s="219">
        <v>5</v>
      </c>
      <c r="F2481" s="511">
        <f t="shared" si="350"/>
        <v>52</v>
      </c>
      <c r="G2481" s="314" t="s">
        <v>7354</v>
      </c>
      <c r="H2481" s="518" t="s">
        <v>7355</v>
      </c>
      <c r="I2481" s="452" t="s">
        <v>11565</v>
      </c>
      <c r="J2481" s="369" t="s">
        <v>753</v>
      </c>
      <c r="K2481" s="452" t="s">
        <v>741</v>
      </c>
    </row>
    <row r="2482" spans="1:11" s="185" customFormat="1">
      <c r="A2482" s="369"/>
      <c r="B2482" s="144" t="s">
        <v>7356</v>
      </c>
      <c r="C2482" s="196">
        <v>175</v>
      </c>
      <c r="D2482" s="230">
        <f t="shared" si="353"/>
        <v>53.757293080054275</v>
      </c>
      <c r="E2482" s="219">
        <v>5</v>
      </c>
      <c r="F2482" s="511">
        <f t="shared" si="350"/>
        <v>58.76</v>
      </c>
      <c r="G2482" s="314" t="s">
        <v>7357</v>
      </c>
      <c r="H2482" s="518" t="s">
        <v>7358</v>
      </c>
      <c r="I2482" s="452" t="s">
        <v>11565</v>
      </c>
      <c r="J2482" s="369" t="s">
        <v>753</v>
      </c>
      <c r="K2482" s="452" t="s">
        <v>741</v>
      </c>
    </row>
    <row r="2483" spans="1:11" s="185" customFormat="1">
      <c r="A2483" s="369"/>
      <c r="B2483" s="144" t="s">
        <v>5758</v>
      </c>
      <c r="C2483" s="196">
        <v>223</v>
      </c>
      <c r="D2483" s="230">
        <f t="shared" si="353"/>
        <v>68.502150610583442</v>
      </c>
      <c r="E2483" s="219">
        <v>5</v>
      </c>
      <c r="F2483" s="511">
        <f t="shared" si="350"/>
        <v>73.510000000000005</v>
      </c>
      <c r="G2483" s="314" t="s">
        <v>7359</v>
      </c>
      <c r="H2483" s="518" t="s">
        <v>5759</v>
      </c>
      <c r="I2483" s="452" t="s">
        <v>11565</v>
      </c>
      <c r="J2483" s="369" t="s">
        <v>753</v>
      </c>
      <c r="K2483" s="452" t="s">
        <v>741</v>
      </c>
    </row>
    <row r="2484" spans="1:11" s="185" customFormat="1">
      <c r="A2484" s="369"/>
      <c r="B2484" s="144" t="s">
        <v>5760</v>
      </c>
      <c r="C2484" s="196">
        <v>228</v>
      </c>
      <c r="D2484" s="230">
        <f t="shared" si="353"/>
        <v>70.03807327001357</v>
      </c>
      <c r="E2484" s="219">
        <v>5</v>
      </c>
      <c r="F2484" s="511">
        <f t="shared" si="350"/>
        <v>75.040000000000006</v>
      </c>
      <c r="G2484" s="314" t="s">
        <v>7360</v>
      </c>
      <c r="H2484" s="518" t="s">
        <v>5761</v>
      </c>
      <c r="I2484" s="452" t="s">
        <v>11565</v>
      </c>
      <c r="J2484" s="369" t="s">
        <v>753</v>
      </c>
      <c r="K2484" s="452" t="s">
        <v>741</v>
      </c>
    </row>
    <row r="2485" spans="1:11" s="185" customFormat="1">
      <c r="A2485" s="369"/>
      <c r="B2485" s="144" t="s">
        <v>5762</v>
      </c>
      <c r="C2485" s="196">
        <v>228</v>
      </c>
      <c r="D2485" s="230">
        <f t="shared" si="353"/>
        <v>70.03807327001357</v>
      </c>
      <c r="E2485" s="219">
        <v>5</v>
      </c>
      <c r="F2485" s="511">
        <f t="shared" si="350"/>
        <v>75.040000000000006</v>
      </c>
      <c r="G2485" s="314" t="s">
        <v>7361</v>
      </c>
      <c r="H2485" s="518" t="s">
        <v>5763</v>
      </c>
      <c r="I2485" s="452" t="s">
        <v>11565</v>
      </c>
      <c r="J2485" s="369" t="s">
        <v>753</v>
      </c>
      <c r="K2485" s="452" t="s">
        <v>741</v>
      </c>
    </row>
    <row r="2486" spans="1:11" s="185" customFormat="1">
      <c r="A2486" s="369"/>
      <c r="B2486" s="144"/>
      <c r="C2486" s="196" t="s">
        <v>2024</v>
      </c>
      <c r="D2486" s="230"/>
      <c r="E2486" s="219"/>
      <c r="F2486" s="511"/>
      <c r="G2486" s="314"/>
      <c r="H2486" s="518"/>
      <c r="I2486" s="452"/>
      <c r="J2486" s="369"/>
      <c r="K2486" s="452"/>
    </row>
    <row r="2487" spans="1:11" s="185" customFormat="1">
      <c r="A2487" s="369"/>
      <c r="B2487" s="144" t="s">
        <v>5764</v>
      </c>
      <c r="C2487" s="196">
        <v>232</v>
      </c>
      <c r="D2487" s="230">
        <f>C2487*(1-VLOOKUP(I2487,descuentos,6,FALSE))*fcl/IF(dol_sol="dólar", TC,1)</f>
        <v>71.26681139755766</v>
      </c>
      <c r="E2487" s="219">
        <v>10</v>
      </c>
      <c r="F2487" s="511">
        <f t="shared" si="350"/>
        <v>81.27000000000001</v>
      </c>
      <c r="G2487" s="314" t="s">
        <v>5765</v>
      </c>
      <c r="H2487" s="518" t="s">
        <v>5766</v>
      </c>
      <c r="I2487" s="452" t="s">
        <v>11565</v>
      </c>
      <c r="J2487" s="369" t="s">
        <v>753</v>
      </c>
      <c r="K2487" s="452" t="s">
        <v>741</v>
      </c>
    </row>
    <row r="2488" spans="1:11" s="185" customFormat="1">
      <c r="A2488" s="369"/>
      <c r="B2488" s="144" t="s">
        <v>5767</v>
      </c>
      <c r="C2488" s="196">
        <v>243</v>
      </c>
      <c r="D2488" s="230">
        <f>C2488*(1-VLOOKUP(I2488,descuentos,6,FALSE))*fcl/IF(dol_sol="dólar", TC,1)</f>
        <v>74.645841248303924</v>
      </c>
      <c r="E2488" s="219">
        <v>10</v>
      </c>
      <c r="F2488" s="511">
        <f t="shared" si="350"/>
        <v>84.65</v>
      </c>
      <c r="G2488" s="314" t="s">
        <v>5768</v>
      </c>
      <c r="H2488" s="518" t="s">
        <v>5769</v>
      </c>
      <c r="I2488" s="452" t="s">
        <v>11565</v>
      </c>
      <c r="J2488" s="369" t="s">
        <v>753</v>
      </c>
      <c r="K2488" s="452" t="s">
        <v>741</v>
      </c>
    </row>
    <row r="2489" spans="1:11" s="185" customFormat="1">
      <c r="A2489" s="369"/>
      <c r="B2489" s="144" t="s">
        <v>5770</v>
      </c>
      <c r="C2489" s="196">
        <v>274</v>
      </c>
      <c r="D2489" s="230">
        <f>C2489*(1-VLOOKUP(I2489,descuentos,6,FALSE))*fcl/IF(dol_sol="dólar", TC,1)</f>
        <v>84.168561736770684</v>
      </c>
      <c r="E2489" s="219">
        <v>10</v>
      </c>
      <c r="F2489" s="511">
        <f t="shared" si="350"/>
        <v>94.17</v>
      </c>
      <c r="G2489" s="314" t="s">
        <v>5771</v>
      </c>
      <c r="H2489" s="518" t="s">
        <v>5772</v>
      </c>
      <c r="I2489" s="452" t="s">
        <v>11565</v>
      </c>
      <c r="J2489" s="369" t="s">
        <v>753</v>
      </c>
      <c r="K2489" s="452" t="s">
        <v>741</v>
      </c>
    </row>
    <row r="2490" spans="1:11" s="185" customFormat="1">
      <c r="A2490" s="369"/>
      <c r="B2490" s="144" t="s">
        <v>5773</v>
      </c>
      <c r="C2490" s="196">
        <v>285</v>
      </c>
      <c r="D2490" s="230">
        <f>C2490*(1-VLOOKUP(I2490,descuentos,6,FALSE))*fcl/IF(dol_sol="dólar", TC,1)</f>
        <v>87.547591587516962</v>
      </c>
      <c r="E2490" s="219">
        <v>10</v>
      </c>
      <c r="F2490" s="511">
        <f t="shared" si="350"/>
        <v>97.550000000000011</v>
      </c>
      <c r="G2490" s="314" t="s">
        <v>5774</v>
      </c>
      <c r="H2490" s="518" t="s">
        <v>5775</v>
      </c>
      <c r="I2490" s="452" t="s">
        <v>11565</v>
      </c>
      <c r="J2490" s="369" t="s">
        <v>753</v>
      </c>
      <c r="K2490" s="452" t="s">
        <v>741</v>
      </c>
    </row>
    <row r="2491" spans="1:11" s="185" customFormat="1">
      <c r="A2491" s="369"/>
      <c r="B2491" s="144"/>
      <c r="C2491" s="196" t="s">
        <v>2024</v>
      </c>
      <c r="D2491" s="230"/>
      <c r="E2491" s="219"/>
      <c r="F2491" s="511"/>
      <c r="G2491" s="314"/>
      <c r="H2491" s="518"/>
      <c r="I2491" s="452"/>
      <c r="J2491" s="369"/>
      <c r="K2491" s="452"/>
    </row>
    <row r="2492" spans="1:11" s="185" customFormat="1">
      <c r="A2492" s="369"/>
      <c r="B2492" s="144" t="s">
        <v>5776</v>
      </c>
      <c r="C2492" s="196">
        <v>305</v>
      </c>
      <c r="D2492" s="230">
        <f t="shared" ref="D2492:D2497" si="354">C2492*(1-VLOOKUP(I2492,descuentos,6,FALSE))*fcl/IF(dol_sol="dólar", TC,1)</f>
        <v>93.691282225237444</v>
      </c>
      <c r="E2492" s="219">
        <v>15</v>
      </c>
      <c r="F2492" s="511">
        <f t="shared" si="350"/>
        <v>108.7</v>
      </c>
      <c r="G2492" s="314" t="s">
        <v>5777</v>
      </c>
      <c r="H2492" s="518" t="s">
        <v>5778</v>
      </c>
      <c r="I2492" s="452" t="s">
        <v>11565</v>
      </c>
      <c r="J2492" s="369" t="s">
        <v>753</v>
      </c>
      <c r="K2492" s="452" t="s">
        <v>741</v>
      </c>
    </row>
    <row r="2493" spans="1:11" s="185" customFormat="1">
      <c r="A2493" s="369"/>
      <c r="B2493" s="144" t="s">
        <v>5779</v>
      </c>
      <c r="C2493" s="196">
        <v>305</v>
      </c>
      <c r="D2493" s="230">
        <f t="shared" si="354"/>
        <v>93.691282225237444</v>
      </c>
      <c r="E2493" s="219">
        <v>15</v>
      </c>
      <c r="F2493" s="511">
        <f t="shared" si="350"/>
        <v>108.7</v>
      </c>
      <c r="G2493" s="314" t="s">
        <v>5780</v>
      </c>
      <c r="H2493" s="518" t="s">
        <v>5781</v>
      </c>
      <c r="I2493" s="452" t="s">
        <v>11565</v>
      </c>
      <c r="J2493" s="369" t="s">
        <v>753</v>
      </c>
      <c r="K2493" s="452" t="s">
        <v>741</v>
      </c>
    </row>
    <row r="2494" spans="1:11" s="185" customFormat="1">
      <c r="A2494" s="369"/>
      <c r="B2494" s="144" t="s">
        <v>5782</v>
      </c>
      <c r="C2494" s="196">
        <v>327</v>
      </c>
      <c r="D2494" s="230">
        <f t="shared" si="354"/>
        <v>100.44934192672997</v>
      </c>
      <c r="E2494" s="219">
        <v>15</v>
      </c>
      <c r="F2494" s="511">
        <f t="shared" si="350"/>
        <v>115.45</v>
      </c>
      <c r="G2494" s="314" t="s">
        <v>5783</v>
      </c>
      <c r="H2494" s="518" t="s">
        <v>5784</v>
      </c>
      <c r="I2494" s="452" t="s">
        <v>11565</v>
      </c>
      <c r="J2494" s="369" t="s">
        <v>753</v>
      </c>
      <c r="K2494" s="452" t="s">
        <v>741</v>
      </c>
    </row>
    <row r="2495" spans="1:11" s="185" customFormat="1">
      <c r="A2495" s="369"/>
      <c r="B2495" s="144" t="s">
        <v>5785</v>
      </c>
      <c r="C2495" s="196">
        <v>380</v>
      </c>
      <c r="D2495" s="230">
        <f t="shared" si="354"/>
        <v>116.73012211668926</v>
      </c>
      <c r="E2495" s="219">
        <v>15</v>
      </c>
      <c r="F2495" s="511">
        <f t="shared" si="350"/>
        <v>131.73999999999998</v>
      </c>
      <c r="G2495" s="314" t="s">
        <v>5786</v>
      </c>
      <c r="H2495" s="518" t="s">
        <v>5787</v>
      </c>
      <c r="I2495" s="452" t="s">
        <v>11565</v>
      </c>
      <c r="J2495" s="369" t="s">
        <v>753</v>
      </c>
      <c r="K2495" s="452" t="s">
        <v>741</v>
      </c>
    </row>
    <row r="2496" spans="1:11" s="185" customFormat="1">
      <c r="A2496" s="369"/>
      <c r="B2496" s="144" t="s">
        <v>5788</v>
      </c>
      <c r="C2496" s="196">
        <v>410</v>
      </c>
      <c r="D2496" s="230">
        <f t="shared" si="354"/>
        <v>125.94565807327</v>
      </c>
      <c r="E2496" s="219">
        <v>15</v>
      </c>
      <c r="F2496" s="511">
        <f t="shared" si="350"/>
        <v>140.94999999999999</v>
      </c>
      <c r="G2496" s="314" t="s">
        <v>5789</v>
      </c>
      <c r="H2496" s="518" t="s">
        <v>5790</v>
      </c>
      <c r="I2496" s="452" t="s">
        <v>11565</v>
      </c>
      <c r="J2496" s="369" t="s">
        <v>753</v>
      </c>
      <c r="K2496" s="452" t="s">
        <v>741</v>
      </c>
    </row>
    <row r="2497" spans="1:11" s="185" customFormat="1">
      <c r="A2497" s="369"/>
      <c r="B2497" s="144" t="s">
        <v>5791</v>
      </c>
      <c r="C2497" s="196">
        <v>442</v>
      </c>
      <c r="D2497" s="230">
        <f t="shared" si="354"/>
        <v>135.77556309362279</v>
      </c>
      <c r="E2497" s="219">
        <v>15</v>
      </c>
      <c r="F2497" s="511">
        <f t="shared" si="350"/>
        <v>150.78</v>
      </c>
      <c r="G2497" s="314" t="s">
        <v>5792</v>
      </c>
      <c r="H2497" s="518" t="s">
        <v>5793</v>
      </c>
      <c r="I2497" s="452" t="s">
        <v>11565</v>
      </c>
      <c r="J2497" s="369" t="s">
        <v>753</v>
      </c>
      <c r="K2497" s="452" t="s">
        <v>741</v>
      </c>
    </row>
    <row r="2498" spans="1:11" s="185" customFormat="1">
      <c r="A2498" s="369"/>
      <c r="B2498" s="144"/>
      <c r="C2498" s="196" t="s">
        <v>2024</v>
      </c>
      <c r="D2498" s="230"/>
      <c r="E2498" s="219"/>
      <c r="F2498" s="511"/>
      <c r="G2498" s="314"/>
      <c r="H2498" s="518"/>
      <c r="I2498" s="452"/>
      <c r="J2498" s="369"/>
      <c r="K2498" s="452"/>
    </row>
    <row r="2499" spans="1:11" s="185" customFormat="1">
      <c r="A2499" s="369"/>
      <c r="B2499" s="144"/>
      <c r="C2499" s="196" t="s">
        <v>2024</v>
      </c>
      <c r="D2499" s="230"/>
      <c r="E2499" s="219"/>
      <c r="F2499" s="511"/>
      <c r="G2499" s="314"/>
      <c r="H2499" s="518"/>
      <c r="I2499" s="452"/>
      <c r="J2499" s="369"/>
      <c r="K2499" s="452"/>
    </row>
    <row r="2500" spans="1:11" s="185" customFormat="1">
      <c r="A2500" s="369"/>
      <c r="B2500" s="144"/>
      <c r="C2500" s="196" t="s">
        <v>2024</v>
      </c>
      <c r="D2500" s="230"/>
      <c r="E2500" s="219"/>
      <c r="F2500" s="511"/>
      <c r="G2500" s="314"/>
      <c r="H2500" s="518"/>
      <c r="I2500" s="452"/>
      <c r="J2500" s="369"/>
      <c r="K2500" s="452"/>
    </row>
    <row r="2501" spans="1:11" s="185" customFormat="1">
      <c r="A2501" s="454"/>
      <c r="B2501" s="144" t="s">
        <v>5794</v>
      </c>
      <c r="C2501" s="196">
        <v>175</v>
      </c>
      <c r="D2501" s="230">
        <f>C2501*(1-VLOOKUP(I2501,descuentos,6,FALSE))*fcl/IF(dol_sol="dólar", TC,1)</f>
        <v>53.757293080054275</v>
      </c>
      <c r="E2501" s="215">
        <v>5</v>
      </c>
      <c r="F2501" s="511">
        <f>ROUNDUP(D2501+E2501,2)</f>
        <v>58.76</v>
      </c>
      <c r="G2501" s="314" t="s">
        <v>5795</v>
      </c>
      <c r="H2501" s="518" t="s">
        <v>5796</v>
      </c>
      <c r="I2501" s="452" t="s">
        <v>11565</v>
      </c>
      <c r="J2501" s="369" t="s">
        <v>753</v>
      </c>
      <c r="K2501" s="452" t="s">
        <v>741</v>
      </c>
    </row>
    <row r="2502" spans="1:11">
      <c r="A2502" s="369"/>
      <c r="B2502" s="144"/>
      <c r="C2502" s="196" t="s">
        <v>2024</v>
      </c>
      <c r="D2502" s="230"/>
      <c r="E2502" s="219"/>
      <c r="F2502" s="511"/>
      <c r="G2502" s="314"/>
      <c r="H2502" s="518"/>
      <c r="I2502" s="452"/>
      <c r="J2502" s="369"/>
      <c r="K2502" s="452"/>
    </row>
    <row r="2503" spans="1:11" s="185" customFormat="1">
      <c r="A2503" s="369"/>
      <c r="B2503" s="144"/>
      <c r="C2503" s="196" t="s">
        <v>2024</v>
      </c>
      <c r="D2503" s="230"/>
      <c r="E2503" s="219"/>
      <c r="F2503" s="511"/>
      <c r="G2503" s="314"/>
      <c r="H2503" s="518"/>
      <c r="I2503" s="452"/>
      <c r="J2503" s="369"/>
      <c r="K2503" s="452"/>
    </row>
    <row r="2504" spans="1:11" s="185" customFormat="1">
      <c r="A2504" s="369"/>
      <c r="B2504" s="144"/>
      <c r="C2504" s="196" t="s">
        <v>2024</v>
      </c>
      <c r="D2504" s="230"/>
      <c r="E2504" s="219"/>
      <c r="F2504" s="511"/>
      <c r="G2504" s="314"/>
      <c r="H2504" s="518"/>
      <c r="I2504" s="452"/>
      <c r="J2504" s="369"/>
      <c r="K2504" s="452"/>
    </row>
    <row r="2505" spans="1:11" s="185" customFormat="1">
      <c r="A2505" s="369"/>
      <c r="B2505" s="144"/>
      <c r="C2505" s="196" t="s">
        <v>2024</v>
      </c>
      <c r="D2505" s="230"/>
      <c r="E2505" s="219"/>
      <c r="F2505" s="511"/>
      <c r="G2505" s="314"/>
      <c r="H2505" s="518"/>
      <c r="I2505" s="452"/>
      <c r="J2505" s="369"/>
      <c r="K2505" s="452"/>
    </row>
    <row r="2506" spans="1:11" s="185" customFormat="1">
      <c r="A2506" s="369"/>
      <c r="B2506" s="144"/>
      <c r="C2506" s="196" t="s">
        <v>2024</v>
      </c>
      <c r="D2506" s="230"/>
      <c r="E2506" s="219"/>
      <c r="F2506" s="511"/>
      <c r="G2506" s="314"/>
      <c r="H2506" s="518"/>
      <c r="I2506" s="452"/>
      <c r="J2506" s="369"/>
      <c r="K2506" s="452"/>
    </row>
    <row r="2507" spans="1:11" s="185" customFormat="1">
      <c r="A2507" s="369"/>
      <c r="B2507" s="144"/>
      <c r="C2507" s="196" t="s">
        <v>2024</v>
      </c>
      <c r="D2507" s="230"/>
      <c r="E2507" s="215"/>
      <c r="F2507" s="511"/>
      <c r="G2507" s="314"/>
      <c r="H2507" s="518"/>
      <c r="I2507" s="452"/>
      <c r="J2507" s="369"/>
      <c r="K2507" s="452"/>
    </row>
    <row r="2508" spans="1:11" s="185" customFormat="1">
      <c r="A2508" s="454"/>
      <c r="B2508" s="144" t="s">
        <v>1301</v>
      </c>
      <c r="C2508" s="196">
        <v>55</v>
      </c>
      <c r="D2508" s="230">
        <f>C2508*(1-VLOOKUP(I2508,descuentos,6,FALSE))*fcl/IF(dol_sol="dólar", TC,1)</f>
        <v>16.895149253731343</v>
      </c>
      <c r="E2508" s="215">
        <v>5</v>
      </c>
      <c r="F2508" s="511">
        <f>ROUNDUP(D2508+E2508,2)</f>
        <v>21.900000000000002</v>
      </c>
      <c r="G2508" s="314" t="s">
        <v>2429</v>
      </c>
      <c r="H2508" s="518" t="s">
        <v>1300</v>
      </c>
      <c r="I2508" s="452" t="s">
        <v>11565</v>
      </c>
      <c r="J2508" s="369" t="s">
        <v>753</v>
      </c>
      <c r="K2508" s="452" t="s">
        <v>741</v>
      </c>
    </row>
    <row r="2509" spans="1:11" s="185" customFormat="1">
      <c r="A2509" s="369"/>
      <c r="B2509" s="144" t="s">
        <v>2430</v>
      </c>
      <c r="C2509" s="196">
        <v>55</v>
      </c>
      <c r="D2509" s="230">
        <f>C2509*(1-VLOOKUP(I2509,descuentos,6,FALSE))*fcl/IF(dol_sol="dólar", TC,1)</f>
        <v>16.895149253731343</v>
      </c>
      <c r="E2509" s="215">
        <v>5</v>
      </c>
      <c r="F2509" s="511">
        <f>ROUNDUP(D2509+E2509,2)</f>
        <v>21.900000000000002</v>
      </c>
      <c r="G2509" s="314" t="s">
        <v>2431</v>
      </c>
      <c r="H2509" s="518" t="s">
        <v>2432</v>
      </c>
      <c r="I2509" s="452" t="s">
        <v>11565</v>
      </c>
      <c r="J2509" s="369" t="s">
        <v>753</v>
      </c>
      <c r="K2509" s="452" t="s">
        <v>741</v>
      </c>
    </row>
    <row r="2510" spans="1:11">
      <c r="A2510" s="369"/>
      <c r="B2510" s="144" t="s">
        <v>1302</v>
      </c>
      <c r="C2510" s="196">
        <v>55</v>
      </c>
      <c r="D2510" s="230">
        <f>C2510*(1-VLOOKUP(I2510,descuentos,6,FALSE))*fcl/IF(dol_sol="dólar", TC,1)</f>
        <v>16.895149253731343</v>
      </c>
      <c r="E2510" s="215">
        <v>5</v>
      </c>
      <c r="F2510" s="511">
        <f>ROUNDUP(D2510+E2510,2)</f>
        <v>21.900000000000002</v>
      </c>
      <c r="G2510" s="314" t="s">
        <v>2433</v>
      </c>
      <c r="H2510" s="518" t="s">
        <v>1747</v>
      </c>
      <c r="I2510" s="452" t="s">
        <v>11565</v>
      </c>
      <c r="J2510" s="369" t="s">
        <v>753</v>
      </c>
      <c r="K2510" s="452" t="s">
        <v>741</v>
      </c>
    </row>
    <row r="2511" spans="1:11" s="185" customFormat="1">
      <c r="A2511" s="369"/>
      <c r="B2511" s="144"/>
      <c r="C2511" s="196" t="s">
        <v>2024</v>
      </c>
      <c r="D2511" s="230"/>
      <c r="E2511" s="215"/>
      <c r="F2511" s="511"/>
      <c r="G2511" s="314"/>
      <c r="H2511" s="518"/>
      <c r="I2511" s="452"/>
      <c r="J2511" s="369"/>
      <c r="K2511" s="452"/>
    </row>
    <row r="2512" spans="1:11">
      <c r="A2512" s="369"/>
      <c r="B2512" s="144"/>
      <c r="C2512" s="196" t="s">
        <v>2024</v>
      </c>
      <c r="D2512" s="230"/>
      <c r="E2512" s="215"/>
      <c r="F2512" s="511"/>
      <c r="G2512" s="314"/>
      <c r="H2512" s="518"/>
      <c r="I2512" s="452"/>
      <c r="J2512" s="369"/>
      <c r="K2512" s="452"/>
    </row>
    <row r="2513" spans="1:15">
      <c r="A2513" s="369"/>
      <c r="B2513" s="418" t="s">
        <v>1748</v>
      </c>
      <c r="C2513" s="346">
        <v>25</v>
      </c>
      <c r="D2513" s="345">
        <f>C2513*(1-VLOOKUP(I2513,descuentos,6,FALSE))*fcl/IF(dol_sol="dólar", TC,1)</f>
        <v>7.6796132971506106</v>
      </c>
      <c r="E2513" s="343">
        <v>5</v>
      </c>
      <c r="F2513" s="508">
        <f>ROUNDUP(D2513+E2513,2)</f>
        <v>12.68</v>
      </c>
      <c r="G2513" s="314" t="s">
        <v>1749</v>
      </c>
      <c r="H2513" s="518" t="s">
        <v>1750</v>
      </c>
      <c r="I2513" s="452" t="s">
        <v>11565</v>
      </c>
      <c r="J2513" s="369" t="s">
        <v>753</v>
      </c>
      <c r="K2513" s="452" t="s">
        <v>741</v>
      </c>
    </row>
    <row r="2514" spans="1:15">
      <c r="A2514" s="369"/>
      <c r="B2514" s="418" t="s">
        <v>1751</v>
      </c>
      <c r="C2514" s="346">
        <v>1.36</v>
      </c>
      <c r="D2514" s="345">
        <f>C2514*(1-VLOOKUP(I2514,descuentos,6,FALSE))*fcl/IF(dol_sol="dólar", TC,1)</f>
        <v>0.41777096336499325</v>
      </c>
      <c r="E2514" s="343">
        <v>0</v>
      </c>
      <c r="F2514" s="508">
        <f>ROUNDUP(D2514+E2514,2)</f>
        <v>0.42</v>
      </c>
      <c r="G2514" s="314" t="s">
        <v>1752</v>
      </c>
      <c r="H2514" s="518" t="s">
        <v>1753</v>
      </c>
      <c r="I2514" s="452" t="s">
        <v>11565</v>
      </c>
      <c r="J2514" s="369" t="s">
        <v>753</v>
      </c>
      <c r="K2514" s="452" t="s">
        <v>741</v>
      </c>
      <c r="L2514" s="191"/>
      <c r="M2514" s="191"/>
      <c r="N2514" s="191"/>
      <c r="O2514" s="191"/>
    </row>
    <row r="2515" spans="1:15">
      <c r="A2515" s="369"/>
      <c r="B2515" s="418" t="s">
        <v>1754</v>
      </c>
      <c r="C2515" s="346">
        <v>20</v>
      </c>
      <c r="D2515" s="345">
        <f>C2515*(1-VLOOKUP(I2515,descuentos,6,FALSE))*fcl/IF(dol_sol="dólar", TC,1)</f>
        <v>6.1436906377204883</v>
      </c>
      <c r="E2515" s="343">
        <v>0</v>
      </c>
      <c r="F2515" s="508">
        <f>ROUNDUP(D2515+E2515,2)</f>
        <v>6.1499999999999995</v>
      </c>
      <c r="G2515" s="314" t="s">
        <v>1755</v>
      </c>
      <c r="H2515" s="518" t="s">
        <v>1756</v>
      </c>
      <c r="I2515" s="452" t="s">
        <v>11565</v>
      </c>
      <c r="J2515" s="369" t="s">
        <v>753</v>
      </c>
      <c r="K2515" s="452" t="s">
        <v>741</v>
      </c>
      <c r="L2515" s="191"/>
      <c r="M2515" s="191"/>
      <c r="N2515" s="191"/>
      <c r="O2515" s="191"/>
    </row>
    <row r="2516" spans="1:15">
      <c r="A2516" s="369"/>
      <c r="B2516" s="144"/>
      <c r="C2516" s="196" t="s">
        <v>2024</v>
      </c>
      <c r="D2516" s="230"/>
      <c r="E2516" s="215"/>
      <c r="F2516" s="511"/>
      <c r="G2516" s="314"/>
      <c r="H2516" s="518"/>
      <c r="I2516" s="452"/>
      <c r="J2516" s="369"/>
      <c r="K2516" s="452"/>
      <c r="L2516" s="191"/>
      <c r="M2516" s="191"/>
      <c r="N2516" s="191"/>
      <c r="O2516" s="191"/>
    </row>
    <row r="2517" spans="1:15">
      <c r="A2517" s="369"/>
      <c r="B2517" s="418" t="s">
        <v>1757</v>
      </c>
      <c r="C2517" s="346">
        <v>32</v>
      </c>
      <c r="D2517" s="345">
        <f>C2517*(1-VLOOKUP(I2517,descuentos,6,FALSE))*fcl/IF(dol_sol="dólar", TC,1)</f>
        <v>9.8299050203527809</v>
      </c>
      <c r="E2517" s="343">
        <v>5</v>
      </c>
      <c r="F2517" s="508">
        <f>ROUNDUP(D2517+E2517,2)</f>
        <v>14.83</v>
      </c>
      <c r="G2517" s="314" t="s">
        <v>1758</v>
      </c>
      <c r="H2517" s="518" t="s">
        <v>1759</v>
      </c>
      <c r="I2517" s="452" t="s">
        <v>11565</v>
      </c>
      <c r="J2517" s="369" t="s">
        <v>753</v>
      </c>
      <c r="K2517" s="452" t="s">
        <v>741</v>
      </c>
      <c r="L2517" s="191"/>
      <c r="M2517" s="191"/>
      <c r="N2517" s="191"/>
      <c r="O2517" s="191"/>
    </row>
    <row r="2518" spans="1:15">
      <c r="A2518" s="369"/>
      <c r="B2518" s="418" t="s">
        <v>1760</v>
      </c>
      <c r="C2518" s="346">
        <v>2.42</v>
      </c>
      <c r="D2518" s="345">
        <f>C2518*(1-VLOOKUP(I2518,descuentos,6,FALSE))*fcl/IF(dol_sol="dólar", TC,1)</f>
        <v>0.74338656716417895</v>
      </c>
      <c r="E2518" s="343">
        <v>0</v>
      </c>
      <c r="F2518" s="508">
        <f>ROUNDUP(D2518+E2518,2)</f>
        <v>0.75</v>
      </c>
      <c r="G2518" s="314" t="s">
        <v>1761</v>
      </c>
      <c r="H2518" s="518" t="s">
        <v>1762</v>
      </c>
      <c r="I2518" s="452" t="s">
        <v>11565</v>
      </c>
      <c r="J2518" s="369" t="s">
        <v>753</v>
      </c>
      <c r="K2518" s="452" t="s">
        <v>741</v>
      </c>
      <c r="L2518" s="191"/>
      <c r="M2518" s="191"/>
      <c r="N2518" s="191"/>
      <c r="O2518" s="191"/>
    </row>
    <row r="2519" spans="1:15">
      <c r="A2519" s="369"/>
      <c r="B2519" s="418" t="s">
        <v>1763</v>
      </c>
      <c r="C2519" s="346">
        <v>20</v>
      </c>
      <c r="D2519" s="345">
        <f>C2519*(1-VLOOKUP(I2519,descuentos,6,FALSE))*fcl/IF(dol_sol="dólar", TC,1)</f>
        <v>6.1436906377204883</v>
      </c>
      <c r="E2519" s="343">
        <v>0</v>
      </c>
      <c r="F2519" s="508">
        <f>ROUNDUP(D2519+E2519,2)</f>
        <v>6.1499999999999995</v>
      </c>
      <c r="G2519" s="314" t="s">
        <v>1764</v>
      </c>
      <c r="H2519" s="518" t="s">
        <v>1765</v>
      </c>
      <c r="I2519" s="452" t="s">
        <v>11565</v>
      </c>
      <c r="J2519" s="369" t="s">
        <v>753</v>
      </c>
      <c r="K2519" s="452" t="s">
        <v>741</v>
      </c>
      <c r="L2519" s="191"/>
      <c r="M2519" s="191"/>
      <c r="N2519" s="191"/>
      <c r="O2519" s="191"/>
    </row>
    <row r="2520" spans="1:15">
      <c r="A2520" s="369"/>
      <c r="B2520" s="144"/>
      <c r="C2520" s="196" t="s">
        <v>2024</v>
      </c>
      <c r="D2520" s="230"/>
      <c r="E2520" s="215"/>
      <c r="F2520" s="511"/>
      <c r="G2520" s="314"/>
      <c r="H2520" s="518"/>
      <c r="I2520" s="452"/>
      <c r="J2520" s="369"/>
      <c r="K2520" s="452"/>
      <c r="L2520" s="23"/>
      <c r="M2520" s="23"/>
      <c r="N2520" s="23"/>
      <c r="O2520" s="23"/>
    </row>
    <row r="2521" spans="1:15">
      <c r="A2521" s="369"/>
      <c r="B2521" s="418" t="s">
        <v>1766</v>
      </c>
      <c r="C2521" s="346">
        <v>39</v>
      </c>
      <c r="D2521" s="345">
        <f>C2521*(1-VLOOKUP(I2521,descuentos,6,FALSE))*fcl/IF(dol_sol="dólar", TC,1)</f>
        <v>11.980196743554952</v>
      </c>
      <c r="E2521" s="343">
        <v>5</v>
      </c>
      <c r="F2521" s="508">
        <f>ROUNDUP(D2521+E2521,2)</f>
        <v>16.990000000000002</v>
      </c>
      <c r="G2521" s="314" t="s">
        <v>1767</v>
      </c>
      <c r="H2521" s="518" t="s">
        <v>1768</v>
      </c>
      <c r="I2521" s="452" t="s">
        <v>11565</v>
      </c>
      <c r="J2521" s="369" t="s">
        <v>753</v>
      </c>
      <c r="K2521" s="452" t="s">
        <v>741</v>
      </c>
      <c r="L2521" s="23"/>
      <c r="M2521" s="23"/>
      <c r="N2521" s="23"/>
      <c r="O2521" s="23"/>
    </row>
    <row r="2522" spans="1:15">
      <c r="A2522" s="369"/>
      <c r="B2522" s="418" t="s">
        <v>1769</v>
      </c>
      <c r="C2522" s="346">
        <v>6.3999999999999995</v>
      </c>
      <c r="D2522" s="345">
        <f>C2522*(1-VLOOKUP(I2522,descuentos,6,FALSE))*fcl/IF(dol_sol="dólar", TC,1)</f>
        <v>1.9659810040705561</v>
      </c>
      <c r="E2522" s="343">
        <v>0</v>
      </c>
      <c r="F2522" s="508">
        <f>ROUNDUP(D2522+E2522,2)</f>
        <v>1.97</v>
      </c>
      <c r="G2522" s="314" t="s">
        <v>1770</v>
      </c>
      <c r="H2522" s="518" t="s">
        <v>1771</v>
      </c>
      <c r="I2522" s="452" t="s">
        <v>11565</v>
      </c>
      <c r="J2522" s="369" t="s">
        <v>753</v>
      </c>
      <c r="K2522" s="452" t="s">
        <v>741</v>
      </c>
      <c r="L2522" s="23"/>
      <c r="M2522" s="23"/>
      <c r="N2522" s="23"/>
      <c r="O2522" s="23"/>
    </row>
    <row r="2523" spans="1:15">
      <c r="A2523" s="369"/>
      <c r="B2523" s="418" t="s">
        <v>1772</v>
      </c>
      <c r="C2523" s="346">
        <v>20</v>
      </c>
      <c r="D2523" s="345">
        <f>C2523*(1-VLOOKUP(I2523,descuentos,6,FALSE))*fcl/IF(dol_sol="dólar", TC,1)</f>
        <v>6.1436906377204883</v>
      </c>
      <c r="E2523" s="343">
        <v>0</v>
      </c>
      <c r="F2523" s="508">
        <f>ROUNDUP(D2523+E2523,2)</f>
        <v>6.1499999999999995</v>
      </c>
      <c r="G2523" s="314" t="s">
        <v>1773</v>
      </c>
      <c r="H2523" s="518" t="s">
        <v>1774</v>
      </c>
      <c r="I2523" s="452" t="s">
        <v>11565</v>
      </c>
      <c r="J2523" s="369" t="s">
        <v>753</v>
      </c>
      <c r="K2523" s="452" t="s">
        <v>741</v>
      </c>
      <c r="L2523" s="23"/>
      <c r="M2523" s="23"/>
      <c r="N2523" s="23"/>
      <c r="O2523" s="23"/>
    </row>
    <row r="2524" spans="1:15">
      <c r="A2524" s="369"/>
      <c r="B2524" s="144"/>
      <c r="C2524" s="196" t="s">
        <v>2024</v>
      </c>
      <c r="D2524" s="230"/>
      <c r="E2524" s="215"/>
      <c r="F2524" s="511"/>
      <c r="G2524" s="314"/>
      <c r="H2524" s="518"/>
      <c r="I2524" s="452"/>
      <c r="J2524" s="369"/>
      <c r="K2524" s="452"/>
      <c r="L2524" s="23"/>
      <c r="M2524" s="23"/>
      <c r="N2524" s="23"/>
      <c r="O2524" s="23"/>
    </row>
    <row r="2525" spans="1:15">
      <c r="A2525" s="369"/>
      <c r="B2525" s="418" t="s">
        <v>1775</v>
      </c>
      <c r="C2525" s="346">
        <v>32</v>
      </c>
      <c r="D2525" s="345">
        <f>C2525*(1-VLOOKUP(I2525,descuentos,6,FALSE))*fcl/IF(dol_sol="dólar", TC,1)</f>
        <v>9.8299050203527809</v>
      </c>
      <c r="E2525" s="343">
        <v>5</v>
      </c>
      <c r="F2525" s="508">
        <f>ROUNDUP(D2525+E2525,2)</f>
        <v>14.83</v>
      </c>
      <c r="G2525" s="314" t="s">
        <v>1776</v>
      </c>
      <c r="H2525" s="518" t="s">
        <v>1759</v>
      </c>
      <c r="I2525" s="452" t="s">
        <v>11565</v>
      </c>
      <c r="J2525" s="369" t="s">
        <v>753</v>
      </c>
      <c r="K2525" s="452" t="s">
        <v>741</v>
      </c>
      <c r="L2525" s="23"/>
      <c r="M2525" s="23"/>
      <c r="N2525" s="23"/>
      <c r="O2525" s="23"/>
    </row>
    <row r="2526" spans="1:15">
      <c r="A2526" s="369"/>
      <c r="B2526" s="418" t="s">
        <v>1777</v>
      </c>
      <c r="C2526" s="346">
        <v>6.3999999999999995</v>
      </c>
      <c r="D2526" s="345">
        <f>C2526*(1-VLOOKUP(I2526,descuentos,6,FALSE))*fcl/IF(dol_sol="dólar", TC,1)</f>
        <v>1.9659810040705561</v>
      </c>
      <c r="E2526" s="343">
        <v>0</v>
      </c>
      <c r="F2526" s="508">
        <f>ROUNDUP(D2526+E2526,2)</f>
        <v>1.97</v>
      </c>
      <c r="G2526" s="314" t="s">
        <v>1778</v>
      </c>
      <c r="H2526" s="518" t="s">
        <v>1771</v>
      </c>
      <c r="I2526" s="452" t="s">
        <v>11565</v>
      </c>
      <c r="J2526" s="369" t="s">
        <v>753</v>
      </c>
      <c r="K2526" s="452" t="s">
        <v>741</v>
      </c>
      <c r="L2526" s="191"/>
      <c r="M2526" s="191"/>
      <c r="N2526" s="191"/>
      <c r="O2526" s="191"/>
    </row>
    <row r="2527" spans="1:15">
      <c r="A2527" s="369"/>
      <c r="B2527" s="418" t="s">
        <v>1779</v>
      </c>
      <c r="C2527" s="346">
        <v>20</v>
      </c>
      <c r="D2527" s="345">
        <f>C2527*(1-VLOOKUP(I2527,descuentos,6,FALSE))*fcl/IF(dol_sol="dólar", TC,1)</f>
        <v>6.1436906377204883</v>
      </c>
      <c r="E2527" s="343">
        <v>0</v>
      </c>
      <c r="F2527" s="508">
        <f>ROUNDUP(D2527+E2527,2)</f>
        <v>6.1499999999999995</v>
      </c>
      <c r="G2527" s="314" t="s">
        <v>1780</v>
      </c>
      <c r="H2527" s="518" t="s">
        <v>1781</v>
      </c>
      <c r="I2527" s="452" t="s">
        <v>11565</v>
      </c>
      <c r="J2527" s="369" t="s">
        <v>753</v>
      </c>
      <c r="K2527" s="452" t="s">
        <v>741</v>
      </c>
      <c r="L2527" s="191"/>
      <c r="M2527" s="191"/>
      <c r="N2527" s="191"/>
      <c r="O2527" s="191"/>
    </row>
    <row r="2528" spans="1:15">
      <c r="A2528" s="369"/>
      <c r="B2528" s="144"/>
      <c r="C2528" s="196" t="s">
        <v>2024</v>
      </c>
      <c r="D2528" s="230"/>
      <c r="E2528" s="215"/>
      <c r="F2528" s="511"/>
      <c r="G2528" s="314"/>
      <c r="H2528" s="518"/>
      <c r="I2528" s="452"/>
      <c r="J2528" s="369"/>
      <c r="K2528" s="452"/>
      <c r="L2528" s="191"/>
      <c r="M2528" s="191"/>
      <c r="N2528" s="191"/>
      <c r="O2528" s="191"/>
    </row>
    <row r="2529" spans="1:15">
      <c r="A2529" s="369"/>
      <c r="B2529" s="144" t="s">
        <v>1223</v>
      </c>
      <c r="C2529" s="196">
        <v>38</v>
      </c>
      <c r="D2529" s="230">
        <f>C2529*(1-VLOOKUP(I2529,descuentos,6,FALSE))*fcl/IF(dol_sol="dólar", TC,1)</f>
        <v>11.673012211668928</v>
      </c>
      <c r="E2529" s="215">
        <v>5</v>
      </c>
      <c r="F2529" s="511">
        <f>ROUNDUP(D2529+E2529,2)</f>
        <v>16.680000000000003</v>
      </c>
      <c r="G2529" s="314" t="s">
        <v>4660</v>
      </c>
      <c r="H2529" s="143" t="s">
        <v>4661</v>
      </c>
      <c r="I2529" s="452" t="s">
        <v>11565</v>
      </c>
      <c r="J2529" s="369" t="s">
        <v>753</v>
      </c>
      <c r="K2529" s="452" t="s">
        <v>741</v>
      </c>
      <c r="L2529" s="191"/>
      <c r="M2529" s="191"/>
      <c r="N2529" s="191"/>
      <c r="O2529" s="191"/>
    </row>
    <row r="2530" spans="1:15">
      <c r="A2530" s="369"/>
      <c r="B2530" s="144" t="s">
        <v>4662</v>
      </c>
      <c r="C2530" s="196">
        <v>38</v>
      </c>
      <c r="D2530" s="230">
        <f>C2530*(1-VLOOKUP(I2530,descuentos,6,FALSE))*fcl/IF(dol_sol="dólar", TC,1)</f>
        <v>11.673012211668928</v>
      </c>
      <c r="E2530" s="215">
        <v>5</v>
      </c>
      <c r="F2530" s="642">
        <f>F2529</f>
        <v>16.680000000000003</v>
      </c>
      <c r="G2530" s="314" t="s">
        <v>4663</v>
      </c>
      <c r="H2530" s="143" t="str">
        <f>H2529</f>
        <v>1SFA619210R1026</v>
      </c>
      <c r="I2530" s="452" t="str">
        <f>I2529</f>
        <v>SP</v>
      </c>
      <c r="J2530" s="369" t="s">
        <v>753</v>
      </c>
      <c r="K2530" s="452" t="s">
        <v>741</v>
      </c>
      <c r="L2530" s="191"/>
      <c r="M2530" s="191"/>
      <c r="N2530" s="191"/>
      <c r="O2530" s="191"/>
    </row>
    <row r="2531" spans="1:15">
      <c r="A2531" s="369"/>
      <c r="B2531" s="144" t="s">
        <v>1782</v>
      </c>
      <c r="C2531" s="196">
        <v>38</v>
      </c>
      <c r="D2531" s="230">
        <f>C2531*(1-VLOOKUP(I2531,descuentos,6,FALSE))*fcl/IF(dol_sol="dólar", TC,1)</f>
        <v>11.673012211668928</v>
      </c>
      <c r="E2531" s="215">
        <v>4</v>
      </c>
      <c r="F2531" s="511">
        <f>ROUNDUP(D2531+E2531,2)</f>
        <v>15.68</v>
      </c>
      <c r="G2531" s="314" t="s">
        <v>4664</v>
      </c>
      <c r="H2531" s="143" t="s">
        <v>4665</v>
      </c>
      <c r="I2531" s="452" t="s">
        <v>11565</v>
      </c>
      <c r="J2531" s="369" t="s">
        <v>753</v>
      </c>
      <c r="K2531" s="452" t="s">
        <v>741</v>
      </c>
      <c r="L2531" s="191"/>
      <c r="M2531" s="191"/>
      <c r="N2531" s="191"/>
      <c r="O2531" s="191"/>
    </row>
    <row r="2532" spans="1:15">
      <c r="A2532" s="369"/>
      <c r="B2532" s="473"/>
      <c r="C2532" s="474" t="s">
        <v>2024</v>
      </c>
      <c r="D2532" s="475"/>
      <c r="E2532" s="476"/>
      <c r="F2532" s="482"/>
      <c r="G2532" s="483"/>
      <c r="H2532" s="473"/>
      <c r="I2532" s="454"/>
      <c r="J2532" s="447"/>
      <c r="K2532" s="454"/>
      <c r="L2532" s="191"/>
      <c r="M2532" s="191"/>
      <c r="N2532" s="191"/>
      <c r="O2532" s="191"/>
    </row>
    <row r="2533" spans="1:15">
      <c r="A2533" s="369"/>
      <c r="B2533" s="144" t="s">
        <v>7362</v>
      </c>
      <c r="C2533" s="196">
        <v>8</v>
      </c>
      <c r="D2533" s="230">
        <f>C2533*(1-VLOOKUP(I2533,descuentos,6,FALSE))*fcl/IF(dol_sol="dólar", TC,1)</f>
        <v>2.4574762550881952</v>
      </c>
      <c r="E2533" s="215">
        <v>1</v>
      </c>
      <c r="F2533" s="511">
        <f>ROUNDUP(D2533+E2533,2)</f>
        <v>3.46</v>
      </c>
      <c r="G2533" s="314" t="s">
        <v>7363</v>
      </c>
      <c r="H2533" s="143" t="s">
        <v>7364</v>
      </c>
      <c r="I2533" s="452" t="s">
        <v>11565</v>
      </c>
      <c r="J2533" s="369" t="s">
        <v>753</v>
      </c>
      <c r="K2533" s="452" t="s">
        <v>741</v>
      </c>
      <c r="L2533" s="191"/>
      <c r="M2533" s="191"/>
      <c r="N2533" s="191"/>
      <c r="O2533" s="191"/>
    </row>
    <row r="2534" spans="1:15">
      <c r="A2534" s="369"/>
      <c r="B2534" s="473"/>
      <c r="C2534" s="474" t="s">
        <v>2024</v>
      </c>
      <c r="D2534" s="475"/>
      <c r="E2534" s="476"/>
      <c r="F2534" s="482"/>
      <c r="G2534" s="483"/>
      <c r="H2534" s="473"/>
      <c r="I2534" s="454"/>
      <c r="J2534" s="447"/>
      <c r="K2534" s="454"/>
      <c r="L2534" s="191"/>
      <c r="M2534" s="191"/>
      <c r="N2534" s="191"/>
      <c r="O2534" s="191"/>
    </row>
    <row r="2535" spans="1:15">
      <c r="A2535" s="369"/>
      <c r="B2535" s="144" t="s">
        <v>4657</v>
      </c>
      <c r="C2535" s="196">
        <v>73.400000000000006</v>
      </c>
      <c r="D2535" s="230">
        <f>C2535*(1-VLOOKUP(I2535,descuentos,6,FALSE))*fcl/IF(dol_sol="dólar", TC,1)</f>
        <v>22.547344640434194</v>
      </c>
      <c r="E2535" s="215">
        <v>8</v>
      </c>
      <c r="F2535" s="511">
        <f>ROUNDUP(D2535+E2535,2)</f>
        <v>30.55</v>
      </c>
      <c r="G2535" s="314" t="s">
        <v>7365</v>
      </c>
      <c r="H2535" s="143" t="s">
        <v>1222</v>
      </c>
      <c r="I2535" s="452" t="s">
        <v>11565</v>
      </c>
      <c r="J2535" s="369" t="s">
        <v>753</v>
      </c>
      <c r="K2535" s="452" t="s">
        <v>741</v>
      </c>
      <c r="L2535" s="191"/>
      <c r="M2535" s="191"/>
      <c r="N2535" s="191"/>
      <c r="O2535" s="191"/>
    </row>
    <row r="2536" spans="1:15">
      <c r="A2536" s="369"/>
      <c r="B2536" s="144" t="s">
        <v>4658</v>
      </c>
      <c r="C2536" s="196">
        <v>73.400000000000006</v>
      </c>
      <c r="D2536" s="230">
        <f>C2536*(1-VLOOKUP(I2536,descuentos,6,FALSE))*fcl/IF(dol_sol="dólar", TC,1)</f>
        <v>22.547344640434194</v>
      </c>
      <c r="E2536" s="215">
        <f>E2535</f>
        <v>8</v>
      </c>
      <c r="F2536" s="642">
        <f>F2535</f>
        <v>30.55</v>
      </c>
      <c r="G2536" s="314" t="s">
        <v>7366</v>
      </c>
      <c r="H2536" s="143" t="str">
        <f>H2535</f>
        <v>1SFA611210P1206</v>
      </c>
      <c r="I2536" s="452" t="str">
        <f>I2535</f>
        <v>SP</v>
      </c>
      <c r="J2536" s="369" t="s">
        <v>753</v>
      </c>
      <c r="K2536" s="452" t="s">
        <v>741</v>
      </c>
      <c r="L2536" s="191"/>
      <c r="M2536" s="191"/>
      <c r="N2536" s="191"/>
      <c r="O2536" s="191"/>
    </row>
    <row r="2537" spans="1:15">
      <c r="A2537" s="369"/>
      <c r="B2537" s="144" t="s">
        <v>4659</v>
      </c>
      <c r="C2537" s="196">
        <v>72.400000000000006</v>
      </c>
      <c r="D2537" s="230">
        <f>C2537*(1-VLOOKUP(I2537,descuentos,6,FALSE))*fcl/IF(dol_sol="dólar", TC,1)</f>
        <v>22.240160108548171</v>
      </c>
      <c r="E2537" s="215">
        <v>5</v>
      </c>
      <c r="F2537" s="511">
        <f t="shared" ref="F2537:F2542" si="355">ROUNDUP(D2537+E2537,2)</f>
        <v>27.25</v>
      </c>
      <c r="G2537" s="314" t="s">
        <v>7367</v>
      </c>
      <c r="H2537" s="143" t="s">
        <v>1783</v>
      </c>
      <c r="I2537" s="452" t="s">
        <v>11565</v>
      </c>
      <c r="J2537" s="369" t="s">
        <v>753</v>
      </c>
      <c r="K2537" s="452" t="s">
        <v>741</v>
      </c>
      <c r="L2537" s="191"/>
      <c r="M2537" s="191"/>
      <c r="N2537" s="191"/>
      <c r="O2537" s="191"/>
    </row>
    <row r="2538" spans="1:15">
      <c r="A2538" s="369"/>
      <c r="B2538" s="473"/>
      <c r="C2538" s="474" t="s">
        <v>2024</v>
      </c>
      <c r="D2538" s="475"/>
      <c r="E2538" s="476"/>
      <c r="F2538" s="482">
        <f t="shared" si="355"/>
        <v>0</v>
      </c>
      <c r="G2538" s="483"/>
      <c r="H2538" s="473"/>
      <c r="I2538" s="454"/>
      <c r="J2538" s="447"/>
      <c r="K2538" s="454"/>
      <c r="L2538" s="191"/>
      <c r="M2538" s="191"/>
      <c r="N2538" s="191"/>
      <c r="O2538" s="191"/>
    </row>
    <row r="2539" spans="1:15">
      <c r="A2539" s="369"/>
      <c r="B2539" s="144" t="s">
        <v>1784</v>
      </c>
      <c r="C2539" s="196">
        <v>16</v>
      </c>
      <c r="D2539" s="230">
        <f>C2539*(1-VLOOKUP(I2539,descuentos,6,FALSE))*fcl/IF(dol_sol="dólar", TC,1)</f>
        <v>4.9149525101763905</v>
      </c>
      <c r="E2539" s="215">
        <v>0.1</v>
      </c>
      <c r="F2539" s="511">
        <f t="shared" si="355"/>
        <v>5.0199999999999996</v>
      </c>
      <c r="G2539" s="314" t="s">
        <v>7368</v>
      </c>
      <c r="H2539" s="143" t="s">
        <v>1785</v>
      </c>
      <c r="I2539" s="452" t="s">
        <v>11565</v>
      </c>
      <c r="J2539" s="369" t="s">
        <v>753</v>
      </c>
      <c r="K2539" s="452" t="s">
        <v>741</v>
      </c>
      <c r="L2539" s="191"/>
      <c r="M2539" s="191"/>
      <c r="N2539" s="191"/>
      <c r="O2539" s="191"/>
    </row>
    <row r="2540" spans="1:15">
      <c r="A2540" s="369"/>
      <c r="B2540" s="144" t="s">
        <v>13592</v>
      </c>
      <c r="C2540" s="196">
        <v>31</v>
      </c>
      <c r="D2540" s="230">
        <f>C2540*(1-VLOOKUP(I2540,descuentos,6,FALSE))*fcl/IF(dol_sol="dólar", TC,1)</f>
        <v>9.5227204884667564</v>
      </c>
      <c r="E2540" s="215">
        <v>0.1</v>
      </c>
      <c r="F2540" s="511">
        <f t="shared" si="355"/>
        <v>9.629999999999999</v>
      </c>
      <c r="G2540" s="314" t="s">
        <v>13593</v>
      </c>
      <c r="H2540" s="143" t="s">
        <v>13594</v>
      </c>
      <c r="I2540" s="452" t="s">
        <v>11565</v>
      </c>
      <c r="J2540" s="369" t="s">
        <v>753</v>
      </c>
      <c r="K2540" s="452" t="s">
        <v>741</v>
      </c>
      <c r="L2540" s="191"/>
      <c r="M2540" s="191"/>
      <c r="N2540" s="191"/>
      <c r="O2540" s="191"/>
    </row>
    <row r="2541" spans="1:15">
      <c r="A2541" s="369"/>
      <c r="B2541" s="144" t="s">
        <v>1786</v>
      </c>
      <c r="C2541" s="196">
        <v>16</v>
      </c>
      <c r="D2541" s="230">
        <f>C2541*(1-VLOOKUP(I2541,descuentos,6,FALSE))*fcl/IF(dol_sol="dólar", TC,1)</f>
        <v>4.9149525101763905</v>
      </c>
      <c r="E2541" s="215">
        <v>0.1</v>
      </c>
      <c r="F2541" s="511">
        <f t="shared" si="355"/>
        <v>5.0199999999999996</v>
      </c>
      <c r="G2541" s="314" t="s">
        <v>7369</v>
      </c>
      <c r="H2541" s="143" t="s">
        <v>1787</v>
      </c>
      <c r="I2541" s="452" t="s">
        <v>11565</v>
      </c>
      <c r="J2541" s="369" t="s">
        <v>753</v>
      </c>
      <c r="K2541" s="452" t="s">
        <v>741</v>
      </c>
      <c r="L2541" s="23"/>
      <c r="M2541" s="23"/>
      <c r="N2541" s="23"/>
      <c r="O2541" s="23"/>
    </row>
    <row r="2542" spans="1:15">
      <c r="A2542" s="369"/>
      <c r="B2542" s="144" t="s">
        <v>7370</v>
      </c>
      <c r="C2542" s="196">
        <v>31</v>
      </c>
      <c r="D2542" s="230">
        <f>C2542*(1-VLOOKUP(I2542,descuentos,6,FALSE))*fcl/IF(dol_sol="dólar", TC,1)</f>
        <v>9.5227204884667564</v>
      </c>
      <c r="E2542" s="215">
        <v>0.1</v>
      </c>
      <c r="F2542" s="511">
        <f t="shared" si="355"/>
        <v>9.629999999999999</v>
      </c>
      <c r="G2542" s="314" t="s">
        <v>7371</v>
      </c>
      <c r="H2542" s="143" t="s">
        <v>7372</v>
      </c>
      <c r="I2542" s="452" t="s">
        <v>11565</v>
      </c>
      <c r="J2542" s="369" t="s">
        <v>753</v>
      </c>
      <c r="K2542" s="452" t="s">
        <v>741</v>
      </c>
      <c r="L2542" s="23"/>
      <c r="M2542" s="23"/>
      <c r="N2542" s="23"/>
      <c r="O2542" s="23"/>
    </row>
    <row r="2543" spans="1:15">
      <c r="A2543" s="369"/>
      <c r="B2543" s="144"/>
      <c r="C2543" s="196" t="s">
        <v>2024</v>
      </c>
      <c r="D2543" s="230"/>
      <c r="E2543" s="215"/>
      <c r="F2543" s="511"/>
      <c r="G2543" s="314"/>
      <c r="H2543" s="143"/>
      <c r="I2543" s="452"/>
      <c r="J2543" s="369"/>
      <c r="K2543" s="452"/>
      <c r="L2543" s="23"/>
      <c r="M2543" s="23"/>
      <c r="N2543" s="23"/>
      <c r="O2543" s="23"/>
    </row>
    <row r="2544" spans="1:15">
      <c r="A2544" s="369"/>
      <c r="B2544" s="144"/>
      <c r="C2544" s="196" t="s">
        <v>2024</v>
      </c>
      <c r="D2544" s="230"/>
      <c r="E2544" s="215"/>
      <c r="F2544" s="511"/>
      <c r="G2544" s="314"/>
      <c r="H2544" s="143"/>
      <c r="I2544" s="452"/>
      <c r="J2544" s="369"/>
      <c r="K2544" s="452"/>
      <c r="L2544" s="191"/>
      <c r="M2544" s="191"/>
      <c r="N2544" s="191"/>
      <c r="O2544" s="191"/>
    </row>
    <row r="2545" spans="1:15">
      <c r="A2545" s="447"/>
      <c r="B2545" s="144" t="s">
        <v>1225</v>
      </c>
      <c r="C2545" s="196">
        <v>17</v>
      </c>
      <c r="D2545" s="230">
        <f t="shared" ref="D2545:D2551" si="356">C2545*(1-VLOOKUP(I2545,descuentos,6,FALSE))*fcl/IF(dol_sol="dólar", TC,1)</f>
        <v>5.2221370420624149</v>
      </c>
      <c r="E2545" s="215">
        <v>4</v>
      </c>
      <c r="F2545" s="511">
        <f>ROUNDUP(D2545+E2545,2)</f>
        <v>9.23</v>
      </c>
      <c r="G2545" s="314" t="s">
        <v>11574</v>
      </c>
      <c r="H2545" s="143" t="s">
        <v>2434</v>
      </c>
      <c r="I2545" s="452" t="s">
        <v>11565</v>
      </c>
      <c r="J2545" s="369" t="s">
        <v>753</v>
      </c>
      <c r="K2545" s="452" t="s">
        <v>741</v>
      </c>
      <c r="L2545" s="23"/>
      <c r="M2545" s="23"/>
      <c r="N2545" s="23"/>
      <c r="O2545" s="23"/>
    </row>
    <row r="2546" spans="1:15">
      <c r="A2546" s="369"/>
      <c r="B2546" s="144" t="s">
        <v>1224</v>
      </c>
      <c r="C2546" s="196">
        <v>17</v>
      </c>
      <c r="D2546" s="230">
        <f t="shared" si="356"/>
        <v>5.2221370420624149</v>
      </c>
      <c r="E2546" s="215">
        <v>4</v>
      </c>
      <c r="F2546" s="511">
        <f>ROUNDUP(D2546+E2546,2)</f>
        <v>9.23</v>
      </c>
      <c r="G2546" s="314" t="s">
        <v>11575</v>
      </c>
      <c r="H2546" s="143" t="s">
        <v>2435</v>
      </c>
      <c r="I2546" s="452" t="s">
        <v>11565</v>
      </c>
      <c r="J2546" s="369" t="s">
        <v>753</v>
      </c>
      <c r="K2546" s="452" t="s">
        <v>741</v>
      </c>
      <c r="L2546" s="23"/>
      <c r="M2546" s="23"/>
      <c r="N2546" s="23"/>
      <c r="O2546" s="23"/>
    </row>
    <row r="2547" spans="1:15">
      <c r="A2547" s="369"/>
      <c r="B2547" s="144" t="s">
        <v>1297</v>
      </c>
      <c r="C2547" s="196">
        <v>17</v>
      </c>
      <c r="D2547" s="230">
        <f t="shared" si="356"/>
        <v>5.2221370420624149</v>
      </c>
      <c r="E2547" s="215">
        <v>4</v>
      </c>
      <c r="F2547" s="511">
        <f>ROUNDUP(D2547+E2547,2)</f>
        <v>9.23</v>
      </c>
      <c r="G2547" s="314" t="s">
        <v>11576</v>
      </c>
      <c r="H2547" s="143" t="s">
        <v>1298</v>
      </c>
      <c r="I2547" s="452" t="s">
        <v>11565</v>
      </c>
      <c r="J2547" s="369" t="s">
        <v>753</v>
      </c>
      <c r="K2547" s="452" t="s">
        <v>741</v>
      </c>
      <c r="L2547" s="191"/>
      <c r="M2547" s="191"/>
      <c r="N2547" s="191"/>
      <c r="O2547" s="191"/>
    </row>
    <row r="2548" spans="1:15">
      <c r="A2548" s="369"/>
      <c r="B2548" s="144"/>
      <c r="C2548" s="196" t="s">
        <v>2024</v>
      </c>
      <c r="D2548" s="230"/>
      <c r="E2548" s="215"/>
      <c r="F2548" s="511"/>
      <c r="G2548" s="314"/>
      <c r="H2548" s="143"/>
      <c r="I2548" s="452"/>
      <c r="J2548" s="369"/>
      <c r="K2548" s="452"/>
      <c r="L2548" s="191"/>
      <c r="M2548" s="191"/>
      <c r="N2548" s="191"/>
      <c r="O2548" s="191"/>
    </row>
    <row r="2549" spans="1:15">
      <c r="A2549" s="447"/>
      <c r="B2549" s="144" t="s">
        <v>1226</v>
      </c>
      <c r="C2549" s="196">
        <v>49.4</v>
      </c>
      <c r="D2549" s="230">
        <f t="shared" si="356"/>
        <v>15.174915875169606</v>
      </c>
      <c r="E2549" s="215">
        <v>5</v>
      </c>
      <c r="F2549" s="511">
        <f>ROUNDUP(D2549+E2549,2)</f>
        <v>20.180000000000003</v>
      </c>
      <c r="G2549" s="314" t="s">
        <v>1423</v>
      </c>
      <c r="H2549" s="518" t="s">
        <v>1227</v>
      </c>
      <c r="I2549" s="452" t="s">
        <v>11565</v>
      </c>
      <c r="J2549" s="369" t="s">
        <v>753</v>
      </c>
      <c r="K2549" s="452" t="s">
        <v>741</v>
      </c>
      <c r="L2549" s="191"/>
      <c r="M2549" s="191"/>
      <c r="N2549" s="191"/>
      <c r="O2549" s="191"/>
    </row>
    <row r="2550" spans="1:15">
      <c r="A2550" s="369"/>
      <c r="B2550" s="144" t="s">
        <v>1228</v>
      </c>
      <c r="C2550" s="196">
        <v>49.4</v>
      </c>
      <c r="D2550" s="230">
        <f t="shared" si="356"/>
        <v>15.174915875169606</v>
      </c>
      <c r="E2550" s="215">
        <v>5</v>
      </c>
      <c r="F2550" s="511">
        <f>ROUNDUP(D2550+E2550,2)</f>
        <v>20.180000000000003</v>
      </c>
      <c r="G2550" s="314" t="s">
        <v>1424</v>
      </c>
      <c r="H2550" s="518" t="s">
        <v>1278</v>
      </c>
      <c r="I2550" s="452" t="s">
        <v>11565</v>
      </c>
      <c r="J2550" s="369" t="s">
        <v>753</v>
      </c>
      <c r="K2550" s="452" t="s">
        <v>741</v>
      </c>
      <c r="L2550" s="191"/>
      <c r="M2550" s="191"/>
      <c r="N2550" s="191"/>
      <c r="O2550" s="191"/>
    </row>
    <row r="2551" spans="1:15">
      <c r="A2551" s="369"/>
      <c r="B2551" s="144" t="s">
        <v>1406</v>
      </c>
      <c r="C2551" s="196">
        <v>49.4</v>
      </c>
      <c r="D2551" s="230">
        <f t="shared" si="356"/>
        <v>15.174915875169606</v>
      </c>
      <c r="E2551" s="215">
        <v>5</v>
      </c>
      <c r="F2551" s="511">
        <f>ROUNDUP(D2551+E2551,2)</f>
        <v>20.180000000000003</v>
      </c>
      <c r="G2551" s="314" t="s">
        <v>1425</v>
      </c>
      <c r="H2551" s="518" t="s">
        <v>1299</v>
      </c>
      <c r="I2551" s="452" t="s">
        <v>11565</v>
      </c>
      <c r="J2551" s="369" t="s">
        <v>753</v>
      </c>
      <c r="K2551" s="452" t="s">
        <v>741</v>
      </c>
      <c r="L2551" s="23"/>
      <c r="M2551" s="23"/>
      <c r="N2551" s="23"/>
      <c r="O2551" s="23"/>
    </row>
    <row r="2552" spans="1:15">
      <c r="A2552" s="369"/>
      <c r="B2552" s="144"/>
      <c r="C2552" s="196" t="s">
        <v>2024</v>
      </c>
      <c r="D2552" s="230"/>
      <c r="E2552" s="215"/>
      <c r="F2552" s="511"/>
      <c r="G2552" s="314"/>
      <c r="H2552" s="518"/>
      <c r="I2552" s="452"/>
      <c r="J2552" s="369"/>
      <c r="K2552" s="452"/>
      <c r="L2552" s="191"/>
      <c r="M2552" s="191"/>
      <c r="N2552" s="191"/>
      <c r="O2552" s="191"/>
    </row>
    <row r="2553" spans="1:15">
      <c r="A2553" s="447"/>
      <c r="B2553" s="144" t="s">
        <v>5797</v>
      </c>
      <c r="C2553" s="196">
        <v>30</v>
      </c>
      <c r="D2553" s="230">
        <f>C2553*(1-VLOOKUP(I2553,descuentos,6,FALSE))*fcl/IF(dol_sol="dólar", TC,1)</f>
        <v>9.215535956580732</v>
      </c>
      <c r="E2553" s="215">
        <v>5</v>
      </c>
      <c r="F2553" s="511">
        <f>ROUNDUP(D2553+E2553,2)</f>
        <v>14.22</v>
      </c>
      <c r="G2553" s="314" t="s">
        <v>11577</v>
      </c>
      <c r="H2553" s="143" t="s">
        <v>5798</v>
      </c>
      <c r="I2553" s="452" t="s">
        <v>11565</v>
      </c>
      <c r="J2553" s="369" t="s">
        <v>753</v>
      </c>
      <c r="K2553" s="452" t="s">
        <v>741</v>
      </c>
      <c r="L2553" s="23"/>
      <c r="M2553" s="23"/>
      <c r="N2553" s="23"/>
      <c r="O2553" s="23"/>
    </row>
    <row r="2554" spans="1:15">
      <c r="A2554" s="447"/>
      <c r="B2554" s="144" t="s">
        <v>5799</v>
      </c>
      <c r="C2554" s="196">
        <v>30</v>
      </c>
      <c r="D2554" s="230">
        <f>C2554*(1-VLOOKUP(I2554,descuentos,6,FALSE))*fcl/IF(dol_sol="dólar", TC,1)</f>
        <v>9.215535956580732</v>
      </c>
      <c r="E2554" s="215">
        <v>5</v>
      </c>
      <c r="F2554" s="511">
        <f>ROUNDUP(D2554+E2554,2)</f>
        <v>14.22</v>
      </c>
      <c r="G2554" s="314" t="s">
        <v>11578</v>
      </c>
      <c r="H2554" s="143" t="s">
        <v>5800</v>
      </c>
      <c r="I2554" s="452" t="s">
        <v>11565</v>
      </c>
      <c r="J2554" s="369" t="s">
        <v>753</v>
      </c>
      <c r="K2554" s="452" t="s">
        <v>741</v>
      </c>
      <c r="L2554" s="23"/>
      <c r="M2554" s="23"/>
      <c r="N2554" s="23"/>
      <c r="O2554" s="23"/>
    </row>
    <row r="2555" spans="1:15">
      <c r="A2555" s="369"/>
      <c r="B2555" s="144" t="s">
        <v>5801</v>
      </c>
      <c r="C2555" s="655">
        <v>11.299999999999999</v>
      </c>
      <c r="D2555" s="230">
        <f>C2555*(1-VLOOKUP(I2555,descuentos,6,FALSE))*fcl/IF(dol_sol="dólar", TC,1)</f>
        <v>3.4711852103120751</v>
      </c>
      <c r="E2555" s="215">
        <v>1</v>
      </c>
      <c r="F2555" s="511">
        <f>ROUNDUP(D2555+E2555,2)</f>
        <v>4.4799999999999995</v>
      </c>
      <c r="G2555" s="314" t="s">
        <v>5802</v>
      </c>
      <c r="H2555" s="518" t="s">
        <v>5803</v>
      </c>
      <c r="I2555" s="452" t="s">
        <v>11565</v>
      </c>
      <c r="J2555" s="369" t="s">
        <v>753</v>
      </c>
      <c r="K2555" s="452" t="s">
        <v>741</v>
      </c>
      <c r="L2555" s="191"/>
      <c r="M2555" s="191"/>
      <c r="N2555" s="191"/>
      <c r="O2555" s="191"/>
    </row>
    <row r="2556" spans="1:15">
      <c r="A2556" s="369"/>
      <c r="B2556" s="144"/>
      <c r="C2556" s="655" t="s">
        <v>2024</v>
      </c>
      <c r="D2556" s="230"/>
      <c r="E2556" s="215"/>
      <c r="F2556" s="511"/>
      <c r="G2556" s="314"/>
      <c r="H2556" s="518"/>
      <c r="I2556" s="452"/>
      <c r="J2556" s="369"/>
      <c r="K2556" s="452"/>
      <c r="L2556" s="191"/>
      <c r="M2556" s="191"/>
      <c r="N2556" s="191"/>
      <c r="O2556" s="191"/>
    </row>
    <row r="2557" spans="1:15">
      <c r="A2557" s="447"/>
      <c r="B2557" s="144" t="s">
        <v>5804</v>
      </c>
      <c r="C2557" s="655">
        <v>30</v>
      </c>
      <c r="D2557" s="230">
        <f>C2557*(1-VLOOKUP(I2557,descuentos,6,FALSE))*fcl/IF(dol_sol="dólar", TC,1)</f>
        <v>9.215535956580732</v>
      </c>
      <c r="E2557" s="215">
        <v>5</v>
      </c>
      <c r="F2557" s="511">
        <f>ROUNDUP(D2557+E2557,2)</f>
        <v>14.22</v>
      </c>
      <c r="G2557" s="314" t="s">
        <v>11579</v>
      </c>
      <c r="H2557" s="143" t="s">
        <v>5805</v>
      </c>
      <c r="I2557" s="452" t="s">
        <v>11565</v>
      </c>
      <c r="J2557" s="369" t="s">
        <v>753</v>
      </c>
      <c r="K2557" s="452" t="s">
        <v>741</v>
      </c>
      <c r="L2557" s="23"/>
      <c r="M2557" s="23"/>
      <c r="N2557" s="23"/>
      <c r="O2557" s="23"/>
    </row>
    <row r="2558" spans="1:15">
      <c r="A2558" s="447"/>
      <c r="B2558" s="144" t="s">
        <v>5806</v>
      </c>
      <c r="C2558" s="655">
        <v>30</v>
      </c>
      <c r="D2558" s="230">
        <f>C2558*(1-VLOOKUP(I2558,descuentos,6,FALSE))*fcl/IF(dol_sol="dólar", TC,1)</f>
        <v>9.215535956580732</v>
      </c>
      <c r="E2558" s="215">
        <v>5</v>
      </c>
      <c r="F2558" s="511">
        <f>ROUNDUP(D2558+E2558,2)</f>
        <v>14.22</v>
      </c>
      <c r="G2558" s="314" t="s">
        <v>11580</v>
      </c>
      <c r="H2558" s="143" t="s">
        <v>5807</v>
      </c>
      <c r="I2558" s="452" t="s">
        <v>11565</v>
      </c>
      <c r="J2558" s="369" t="s">
        <v>753</v>
      </c>
      <c r="K2558" s="452" t="s">
        <v>741</v>
      </c>
      <c r="L2558" s="23"/>
      <c r="M2558" s="23"/>
      <c r="N2558" s="23"/>
      <c r="O2558" s="23"/>
    </row>
    <row r="2559" spans="1:15">
      <c r="A2559" s="369"/>
      <c r="B2559" s="144" t="s">
        <v>5801</v>
      </c>
      <c r="C2559" s="655">
        <v>11.299999999999999</v>
      </c>
      <c r="D2559" s="230">
        <f>C2559*(1-VLOOKUP(I2559,descuentos,6,FALSE))*fcl/IF(dol_sol="dólar", TC,1)</f>
        <v>3.4711852103120751</v>
      </c>
      <c r="E2559" s="215">
        <v>1</v>
      </c>
      <c r="F2559" s="511">
        <f>ROUNDUP(D2559+E2559,2)</f>
        <v>4.4799999999999995</v>
      </c>
      <c r="G2559" s="314" t="s">
        <v>5802</v>
      </c>
      <c r="H2559" s="518" t="s">
        <v>5803</v>
      </c>
      <c r="I2559" s="452" t="s">
        <v>11565</v>
      </c>
      <c r="J2559" s="369" t="s">
        <v>753</v>
      </c>
      <c r="K2559" s="452" t="s">
        <v>741</v>
      </c>
      <c r="L2559" s="191"/>
      <c r="M2559" s="191"/>
      <c r="N2559" s="191"/>
      <c r="O2559" s="191"/>
    </row>
    <row r="2560" spans="1:15">
      <c r="A2560" s="447"/>
      <c r="B2560" s="144"/>
      <c r="C2560" s="196" t="s">
        <v>2024</v>
      </c>
      <c r="D2560" s="230"/>
      <c r="E2560" s="215"/>
      <c r="F2560" s="511"/>
      <c r="G2560" s="314"/>
      <c r="H2560" s="143"/>
      <c r="I2560" s="452"/>
      <c r="J2560" s="369"/>
      <c r="K2560" s="452"/>
      <c r="L2560" s="23"/>
      <c r="M2560" s="23"/>
      <c r="N2560" s="23"/>
      <c r="O2560" s="23"/>
    </row>
    <row r="2561" spans="1:15">
      <c r="A2561" s="369"/>
      <c r="B2561" s="144" t="s">
        <v>1279</v>
      </c>
      <c r="C2561" s="196">
        <v>86.4</v>
      </c>
      <c r="D2561" s="230">
        <f>C2561*(1-VLOOKUP(I2561,descuentos,6,FALSE))*fcl/IF(dol_sol="dólar", TC,1)</f>
        <v>26.540743554952506</v>
      </c>
      <c r="E2561" s="215">
        <v>6</v>
      </c>
      <c r="F2561" s="511">
        <f>ROUNDUP(D2561+E2561,2)</f>
        <v>32.549999999999997</v>
      </c>
      <c r="G2561" s="314" t="s">
        <v>2436</v>
      </c>
      <c r="H2561" s="518" t="s">
        <v>1280</v>
      </c>
      <c r="I2561" s="452" t="s">
        <v>11565</v>
      </c>
      <c r="J2561" s="369" t="s">
        <v>753</v>
      </c>
      <c r="K2561" s="452" t="s">
        <v>741</v>
      </c>
      <c r="L2561" s="191"/>
      <c r="M2561" s="191"/>
      <c r="N2561" s="191"/>
      <c r="O2561" s="191"/>
    </row>
    <row r="2562" spans="1:15">
      <c r="A2562" s="369"/>
      <c r="B2562" s="144" t="s">
        <v>2437</v>
      </c>
      <c r="C2562" s="196">
        <v>35</v>
      </c>
      <c r="D2562" s="230">
        <f>C2562*(1-VLOOKUP(I2562,descuentos,6,FALSE))*fcl/IF(dol_sol="dólar", TC,1)</f>
        <v>10.751458616010854</v>
      </c>
      <c r="E2562" s="215">
        <v>2</v>
      </c>
      <c r="F2562" s="511">
        <f>ROUNDUP(D2562+E2562,2)</f>
        <v>12.76</v>
      </c>
      <c r="G2562" s="314" t="s">
        <v>7373</v>
      </c>
      <c r="H2562" s="518" t="s">
        <v>2438</v>
      </c>
      <c r="I2562" s="452" t="s">
        <v>11565</v>
      </c>
      <c r="J2562" s="369" t="s">
        <v>753</v>
      </c>
      <c r="K2562" s="452" t="s">
        <v>741</v>
      </c>
      <c r="L2562" s="191"/>
      <c r="M2562" s="191"/>
      <c r="N2562" s="191"/>
      <c r="O2562" s="191"/>
    </row>
    <row r="2563" spans="1:15">
      <c r="A2563" s="369"/>
      <c r="B2563" s="144" t="s">
        <v>9179</v>
      </c>
      <c r="C2563" s="196">
        <v>35</v>
      </c>
      <c r="D2563" s="230">
        <f>C2563*(1-VLOOKUP(I2563,descuentos,6,FALSE))*fcl/IF(dol_sol="dólar", TC,1)</f>
        <v>10.751458616010854</v>
      </c>
      <c r="E2563" s="215">
        <v>2</v>
      </c>
      <c r="F2563" s="511">
        <f>ROUNDUP(D2563+E2563,2)</f>
        <v>12.76</v>
      </c>
      <c r="G2563" s="314" t="s">
        <v>9180</v>
      </c>
      <c r="H2563" s="518" t="s">
        <v>9181</v>
      </c>
      <c r="I2563" s="452" t="s">
        <v>11565</v>
      </c>
      <c r="J2563" s="369" t="s">
        <v>753</v>
      </c>
      <c r="K2563" s="452" t="s">
        <v>741</v>
      </c>
      <c r="L2563" s="191"/>
      <c r="M2563" s="191"/>
      <c r="N2563" s="191"/>
      <c r="O2563" s="191"/>
    </row>
    <row r="2564" spans="1:15">
      <c r="A2564" s="369"/>
      <c r="B2564" s="144"/>
      <c r="C2564" s="196" t="s">
        <v>2024</v>
      </c>
      <c r="D2564" s="230"/>
      <c r="E2564" s="215"/>
      <c r="F2564" s="511"/>
      <c r="G2564" s="314"/>
      <c r="H2564" s="518"/>
      <c r="I2564" s="452"/>
      <c r="J2564" s="369"/>
      <c r="K2564" s="452"/>
      <c r="L2564" s="191"/>
      <c r="M2564" s="191"/>
      <c r="N2564" s="191"/>
      <c r="O2564" s="191"/>
    </row>
    <row r="2565" spans="1:15">
      <c r="A2565" s="369"/>
      <c r="B2565" s="144"/>
      <c r="C2565" s="196" t="s">
        <v>2024</v>
      </c>
      <c r="D2565" s="230"/>
      <c r="E2565" s="215"/>
      <c r="F2565" s="511"/>
      <c r="G2565" s="314"/>
      <c r="H2565" s="518"/>
      <c r="I2565" s="452"/>
      <c r="J2565" s="369"/>
      <c r="K2565" s="452"/>
      <c r="L2565" s="191"/>
      <c r="M2565" s="191"/>
      <c r="N2565" s="191"/>
      <c r="O2565" s="191"/>
    </row>
    <row r="2566" spans="1:15">
      <c r="A2566" s="369"/>
      <c r="B2566" s="397" t="s">
        <v>5808</v>
      </c>
      <c r="C2566" s="196">
        <v>78</v>
      </c>
      <c r="D2566" s="230">
        <f>C2566*(1-VLOOKUP(I2566,descuentos,6,FALSE))*fcl/IF(dol_sol="dólar", TC,1)</f>
        <v>23.960393487109904</v>
      </c>
      <c r="E2566" s="215">
        <v>2</v>
      </c>
      <c r="F2566" s="511">
        <f>ROUNDUP(D2566+E2566,2)</f>
        <v>25.970000000000002</v>
      </c>
      <c r="G2566" s="314" t="s">
        <v>5809</v>
      </c>
      <c r="H2566" s="518" t="s">
        <v>5810</v>
      </c>
      <c r="I2566" s="452" t="s">
        <v>11565</v>
      </c>
      <c r="J2566" s="369" t="s">
        <v>753</v>
      </c>
      <c r="K2566" s="452" t="s">
        <v>741</v>
      </c>
      <c r="L2566" s="191"/>
      <c r="M2566" s="191"/>
      <c r="N2566" s="191"/>
      <c r="O2566" s="191"/>
    </row>
    <row r="2567" spans="1:15">
      <c r="A2567" s="369"/>
      <c r="B2567" s="373" t="s">
        <v>5811</v>
      </c>
      <c r="C2567" s="196">
        <v>23</v>
      </c>
      <c r="D2567" s="230">
        <f>C2567*(1-VLOOKUP(I2567,descuentos,6,FALSE))*fcl/IF(dol_sol="dólar", TC,1)</f>
        <v>7.0652442333785608</v>
      </c>
      <c r="E2567" s="215">
        <v>1</v>
      </c>
      <c r="F2567" s="511">
        <f>ROUNDUP(D2567+E2567,2)</f>
        <v>8.07</v>
      </c>
      <c r="G2567" s="314" t="s">
        <v>5812</v>
      </c>
      <c r="H2567" s="518" t="s">
        <v>5813</v>
      </c>
      <c r="I2567" s="452" t="s">
        <v>11565</v>
      </c>
      <c r="J2567" s="369" t="s">
        <v>753</v>
      </c>
      <c r="K2567" s="452" t="s">
        <v>741</v>
      </c>
      <c r="L2567" s="191"/>
      <c r="M2567" s="191"/>
      <c r="N2567" s="191"/>
      <c r="O2567" s="191"/>
    </row>
    <row r="2568" spans="1:15">
      <c r="A2568" s="369"/>
      <c r="B2568" s="397" t="s">
        <v>5814</v>
      </c>
      <c r="C2568" s="196">
        <v>90</v>
      </c>
      <c r="D2568" s="230">
        <f>C2568*(1-VLOOKUP(I2568,descuentos,6,FALSE))*fcl/IF(dol_sol="dólar", TC,1)</f>
        <v>27.646607869742194</v>
      </c>
      <c r="E2568" s="215">
        <v>2</v>
      </c>
      <c r="F2568" s="511">
        <f>ROUNDUP(D2568+E2568,2)</f>
        <v>29.650000000000002</v>
      </c>
      <c r="G2568" s="314" t="s">
        <v>5815</v>
      </c>
      <c r="H2568" s="518" t="s">
        <v>5816</v>
      </c>
      <c r="I2568" s="452" t="s">
        <v>11565</v>
      </c>
      <c r="J2568" s="369" t="s">
        <v>753</v>
      </c>
      <c r="K2568" s="452" t="s">
        <v>741</v>
      </c>
      <c r="L2568" s="191"/>
      <c r="M2568" s="191"/>
      <c r="N2568" s="191"/>
      <c r="O2568" s="191"/>
    </row>
    <row r="2569" spans="1:15">
      <c r="A2569" s="369"/>
      <c r="B2569" s="373" t="s">
        <v>5817</v>
      </c>
      <c r="C2569" s="196">
        <v>27</v>
      </c>
      <c r="D2569" s="230">
        <f>C2569*(1-VLOOKUP(I2569,descuentos,6,FALSE))*fcl/IF(dol_sol="dólar", TC,1)</f>
        <v>8.2939823609226604</v>
      </c>
      <c r="E2569" s="215">
        <v>1</v>
      </c>
      <c r="F2569" s="511">
        <f>ROUNDUP(D2569+E2569,2)</f>
        <v>9.2999999999999989</v>
      </c>
      <c r="G2569" s="314" t="s">
        <v>5818</v>
      </c>
      <c r="H2569" s="518" t="s">
        <v>5819</v>
      </c>
      <c r="I2569" s="452" t="s">
        <v>11565</v>
      </c>
      <c r="J2569" s="369" t="s">
        <v>753</v>
      </c>
      <c r="K2569" s="452" t="s">
        <v>741</v>
      </c>
      <c r="L2569" s="191"/>
      <c r="M2569" s="191"/>
      <c r="N2569" s="191"/>
      <c r="O2569" s="191"/>
    </row>
    <row r="2570" spans="1:15">
      <c r="A2570" s="369"/>
      <c r="B2570" s="1340" t="s">
        <v>5820</v>
      </c>
      <c r="C2570" s="346">
        <v>13.4</v>
      </c>
      <c r="D2570" s="345">
        <f>C2570*(1-VLOOKUP(I2570,descuentos,6,FALSE))*fcl/IF(dol_sol="dólar", TC,1)</f>
        <v>4.1162727272727269</v>
      </c>
      <c r="E2570" s="343">
        <v>0</v>
      </c>
      <c r="F2570" s="508">
        <f>ROUNDUP(D2570+E2570,2)</f>
        <v>4.12</v>
      </c>
      <c r="G2570" s="351" t="s">
        <v>5821</v>
      </c>
      <c r="H2570" s="506" t="s">
        <v>5822</v>
      </c>
      <c r="I2570" s="546" t="s">
        <v>11565</v>
      </c>
      <c r="J2570" s="372" t="s">
        <v>753</v>
      </c>
      <c r="K2570" s="546" t="s">
        <v>741</v>
      </c>
      <c r="L2570" s="191"/>
      <c r="M2570" s="191"/>
      <c r="N2570" s="191"/>
      <c r="O2570" s="191"/>
    </row>
    <row r="2571" spans="1:15">
      <c r="A2571" s="369"/>
      <c r="B2571" s="144"/>
      <c r="C2571" s="196" t="s">
        <v>2024</v>
      </c>
      <c r="D2571" s="230"/>
      <c r="E2571" s="215"/>
      <c r="F2571" s="511"/>
      <c r="G2571" s="314"/>
      <c r="H2571" s="518"/>
      <c r="I2571" s="452"/>
      <c r="J2571" s="369"/>
      <c r="K2571" s="452"/>
      <c r="L2571" s="191"/>
      <c r="M2571" s="191"/>
      <c r="N2571" s="191"/>
      <c r="O2571" s="191"/>
    </row>
    <row r="2572" spans="1:15">
      <c r="A2572" s="369"/>
      <c r="B2572" s="144" t="s">
        <v>5823</v>
      </c>
      <c r="C2572" s="196">
        <v>42</v>
      </c>
      <c r="D2572" s="230">
        <f>C2572*(1-VLOOKUP(I2572,descuentos,6,FALSE))*fcl/IF(dol_sol="dólar", TC,1)</f>
        <v>12.901750339213024</v>
      </c>
      <c r="E2572" s="215">
        <v>4</v>
      </c>
      <c r="F2572" s="511">
        <f>ROUNDUP(D2572+E2572,2)</f>
        <v>16.91</v>
      </c>
      <c r="G2572" s="314" t="s">
        <v>5824</v>
      </c>
      <c r="H2572" s="518" t="s">
        <v>5825</v>
      </c>
      <c r="I2572" s="452" t="s">
        <v>11565</v>
      </c>
      <c r="J2572" s="369" t="s">
        <v>753</v>
      </c>
      <c r="K2572" s="452" t="s">
        <v>741</v>
      </c>
      <c r="L2572" s="191"/>
      <c r="M2572" s="191"/>
      <c r="N2572" s="191"/>
      <c r="O2572" s="191"/>
    </row>
    <row r="2573" spans="1:15">
      <c r="A2573" s="369"/>
      <c r="B2573" s="144" t="s">
        <v>5826</v>
      </c>
      <c r="C2573" s="196">
        <v>68</v>
      </c>
      <c r="D2573" s="230">
        <f>C2573*(1-VLOOKUP(I2573,descuentos,6,FALSE))*fcl/IF(dol_sol="dólar", TC,1)</f>
        <v>20.88854816824966</v>
      </c>
      <c r="E2573" s="215">
        <v>2</v>
      </c>
      <c r="F2573" s="511">
        <f>ROUNDUP(D2573+E2573,2)</f>
        <v>22.89</v>
      </c>
      <c r="G2573" s="314" t="s">
        <v>5827</v>
      </c>
      <c r="H2573" s="518" t="s">
        <v>5828</v>
      </c>
      <c r="I2573" s="452" t="s">
        <v>11565</v>
      </c>
      <c r="J2573" s="369" t="s">
        <v>753</v>
      </c>
      <c r="K2573" s="452" t="s">
        <v>741</v>
      </c>
      <c r="L2573" s="191"/>
      <c r="M2573" s="191"/>
      <c r="N2573" s="191"/>
      <c r="O2573" s="191"/>
    </row>
    <row r="2574" spans="1:15">
      <c r="A2574" s="369"/>
      <c r="B2574" s="144" t="s">
        <v>5829</v>
      </c>
      <c r="C2574" s="196">
        <v>14.799999999999999</v>
      </c>
      <c r="D2574" s="230">
        <f>C2574*(1-VLOOKUP(I2574,descuentos,6,FALSE))*fcl/IF(dol_sol="dólar", TC,1)</f>
        <v>4.5463310719131602</v>
      </c>
      <c r="E2574" s="215">
        <v>1</v>
      </c>
      <c r="F2574" s="511">
        <f>ROUNDUP(D2574+E2574,2)</f>
        <v>5.55</v>
      </c>
      <c r="G2574" s="314" t="s">
        <v>5830</v>
      </c>
      <c r="H2574" s="518" t="s">
        <v>5831</v>
      </c>
      <c r="I2574" s="452" t="s">
        <v>11565</v>
      </c>
      <c r="J2574" s="369" t="s">
        <v>753</v>
      </c>
      <c r="K2574" s="452" t="s">
        <v>741</v>
      </c>
      <c r="L2574" s="191"/>
      <c r="M2574" s="191"/>
      <c r="N2574" s="191"/>
      <c r="O2574" s="191"/>
    </row>
    <row r="2575" spans="1:15">
      <c r="A2575" s="369"/>
      <c r="B2575" s="418" t="s">
        <v>5820</v>
      </c>
      <c r="C2575" s="346">
        <v>13.4</v>
      </c>
      <c r="D2575" s="345">
        <f>C2575*(1-VLOOKUP(I2575,descuentos,6,FALSE))*fcl/IF(dol_sol="dólar", TC,1)</f>
        <v>4.1162727272727269</v>
      </c>
      <c r="E2575" s="343">
        <v>0</v>
      </c>
      <c r="F2575" s="508">
        <f>ROUNDUP(D2575+E2575,2)</f>
        <v>4.12</v>
      </c>
      <c r="G2575" s="351" t="s">
        <v>5821</v>
      </c>
      <c r="H2575" s="506" t="s">
        <v>5822</v>
      </c>
      <c r="I2575" s="546" t="s">
        <v>11565</v>
      </c>
      <c r="J2575" s="372" t="s">
        <v>753</v>
      </c>
      <c r="K2575" s="546" t="s">
        <v>741</v>
      </c>
      <c r="L2575" s="191"/>
      <c r="M2575" s="191"/>
      <c r="N2575" s="191"/>
      <c r="O2575" s="191"/>
    </row>
    <row r="2576" spans="1:15">
      <c r="A2576" s="369"/>
      <c r="B2576" s="418"/>
      <c r="C2576" s="346" t="s">
        <v>2024</v>
      </c>
      <c r="D2576" s="345"/>
      <c r="E2576" s="343"/>
      <c r="F2576" s="508"/>
      <c r="G2576" s="351"/>
      <c r="H2576" s="506"/>
      <c r="I2576" s="546"/>
      <c r="J2576" s="372"/>
      <c r="K2576" s="546"/>
      <c r="L2576" s="191"/>
      <c r="M2576" s="191"/>
      <c r="N2576" s="191"/>
      <c r="O2576" s="191"/>
    </row>
    <row r="2577" spans="1:15">
      <c r="A2577" s="369"/>
      <c r="B2577" s="1377" t="s">
        <v>10048</v>
      </c>
      <c r="C2577" s="196">
        <v>55.2</v>
      </c>
      <c r="D2577" s="230">
        <f>C2577*(1-VLOOKUP(I2577,descuentos,6,FALSE))*fcl/IF(dol_sol="dólar", TC,1)</f>
        <v>16.95658616010855</v>
      </c>
      <c r="E2577" s="215">
        <v>4</v>
      </c>
      <c r="F2577" s="511">
        <f>ROUNDUP(D2577+E2577,2)</f>
        <v>20.96</v>
      </c>
      <c r="G2577" s="314" t="s">
        <v>10049</v>
      </c>
      <c r="H2577" s="1487" t="s">
        <v>10050</v>
      </c>
      <c r="I2577" s="452" t="s">
        <v>11565</v>
      </c>
      <c r="J2577" s="369" t="s">
        <v>753</v>
      </c>
      <c r="K2577" s="452" t="s">
        <v>741</v>
      </c>
      <c r="L2577" s="23"/>
      <c r="M2577" s="23"/>
      <c r="N2577" s="23"/>
      <c r="O2577" s="23"/>
    </row>
    <row r="2578" spans="1:15">
      <c r="A2578" s="369"/>
      <c r="B2578" s="1377" t="s">
        <v>10051</v>
      </c>
      <c r="C2578" s="196">
        <v>55.2</v>
      </c>
      <c r="D2578" s="230">
        <f>C2578*(1-VLOOKUP(I2578,descuentos,6,FALSE))*fcl/IF(dol_sol="dólar", TC,1)</f>
        <v>16.95658616010855</v>
      </c>
      <c r="E2578" s="215">
        <v>4</v>
      </c>
      <c r="F2578" s="511">
        <f>ROUNDUP(D2578+E2578,2)</f>
        <v>20.96</v>
      </c>
      <c r="G2578" s="314" t="s">
        <v>10052</v>
      </c>
      <c r="H2578" s="1487" t="s">
        <v>10053</v>
      </c>
      <c r="I2578" s="452" t="s">
        <v>11565</v>
      </c>
      <c r="J2578" s="369" t="s">
        <v>753</v>
      </c>
      <c r="K2578" s="452" t="s">
        <v>741</v>
      </c>
      <c r="L2578" s="23"/>
      <c r="M2578" s="23"/>
      <c r="N2578" s="23"/>
      <c r="O2578" s="23"/>
    </row>
    <row r="2579" spans="1:15">
      <c r="A2579" s="369"/>
      <c r="B2579" s="1377" t="s">
        <v>10054</v>
      </c>
      <c r="C2579" s="196">
        <v>55.2</v>
      </c>
      <c r="D2579" s="230">
        <f>C2579*(1-VLOOKUP(I2579,descuentos,6,FALSE))*fcl/IF(dol_sol="dólar", TC,1)</f>
        <v>16.95658616010855</v>
      </c>
      <c r="E2579" s="215">
        <v>4</v>
      </c>
      <c r="F2579" s="511">
        <f>ROUNDUP(D2579+E2579,2)</f>
        <v>20.96</v>
      </c>
      <c r="G2579" s="314" t="s">
        <v>10055</v>
      </c>
      <c r="H2579" s="1487" t="s">
        <v>10056</v>
      </c>
      <c r="I2579" s="452" t="s">
        <v>11565</v>
      </c>
      <c r="J2579" s="369" t="s">
        <v>753</v>
      </c>
      <c r="K2579" s="452" t="s">
        <v>741</v>
      </c>
      <c r="L2579" s="191"/>
      <c r="M2579" s="191"/>
      <c r="N2579" s="191"/>
      <c r="O2579" s="191"/>
    </row>
    <row r="2580" spans="1:15">
      <c r="A2580" s="369"/>
      <c r="B2580" s="144"/>
      <c r="C2580" s="196" t="s">
        <v>2024</v>
      </c>
      <c r="D2580" s="230"/>
      <c r="E2580" s="215"/>
      <c r="F2580" s="511"/>
      <c r="G2580" s="314"/>
      <c r="H2580" s="518"/>
      <c r="I2580" s="452"/>
      <c r="J2580" s="369"/>
      <c r="K2580" s="452"/>
      <c r="L2580" s="191"/>
      <c r="M2580" s="191"/>
      <c r="N2580" s="191"/>
      <c r="O2580" s="191"/>
    </row>
    <row r="2581" spans="1:15">
      <c r="A2581" s="369"/>
      <c r="B2581" s="144"/>
      <c r="C2581" s="196" t="s">
        <v>2024</v>
      </c>
      <c r="D2581" s="230"/>
      <c r="E2581" s="215"/>
      <c r="F2581" s="511"/>
      <c r="G2581" s="314"/>
      <c r="H2581" s="518"/>
      <c r="I2581" s="452"/>
      <c r="J2581" s="369"/>
      <c r="K2581" s="452"/>
      <c r="L2581" s="191"/>
      <c r="M2581" s="191"/>
      <c r="N2581" s="191"/>
      <c r="O2581" s="191"/>
    </row>
    <row r="2582" spans="1:15">
      <c r="A2582" s="369"/>
      <c r="B2582" s="1341" t="s">
        <v>2439</v>
      </c>
      <c r="C2582" s="196">
        <v>27</v>
      </c>
      <c r="D2582" s="230">
        <f>C2582*(1-VLOOKUP(I2582,descuentos,6,FALSE))*fcl/IF(dol_sol="dólar", TC,1)</f>
        <v>8.2939823609226604</v>
      </c>
      <c r="E2582" s="215">
        <v>4</v>
      </c>
      <c r="F2582" s="511">
        <f>ROUNDUP(D2582+E2582,2)</f>
        <v>12.299999999999999</v>
      </c>
      <c r="G2582" s="314" t="s">
        <v>7374</v>
      </c>
      <c r="H2582" s="1487" t="s">
        <v>4666</v>
      </c>
      <c r="I2582" s="452" t="s">
        <v>11565</v>
      </c>
      <c r="J2582" s="369" t="s">
        <v>753</v>
      </c>
      <c r="K2582" s="452" t="s">
        <v>741</v>
      </c>
      <c r="L2582" s="23"/>
      <c r="M2582" s="23"/>
      <c r="N2582" s="23"/>
      <c r="O2582" s="23"/>
    </row>
    <row r="2583" spans="1:15">
      <c r="A2583" s="369"/>
      <c r="B2583" s="1341" t="s">
        <v>2440</v>
      </c>
      <c r="C2583" s="196">
        <v>27</v>
      </c>
      <c r="D2583" s="230">
        <f>C2583*(1-VLOOKUP(I2583,descuentos,6,FALSE))*fcl/IF(dol_sol="dólar", TC,1)</f>
        <v>8.2939823609226604</v>
      </c>
      <c r="E2583" s="215">
        <v>4</v>
      </c>
      <c r="F2583" s="511">
        <f>ROUNDUP(D2583+E2583,2)</f>
        <v>12.299999999999999</v>
      </c>
      <c r="G2583" s="314" t="s">
        <v>7375</v>
      </c>
      <c r="H2583" s="1487" t="s">
        <v>4667</v>
      </c>
      <c r="I2583" s="452" t="s">
        <v>11565</v>
      </c>
      <c r="J2583" s="369" t="s">
        <v>753</v>
      </c>
      <c r="K2583" s="452" t="s">
        <v>741</v>
      </c>
      <c r="L2583" s="23"/>
      <c r="M2583" s="23"/>
      <c r="N2583" s="23"/>
      <c r="O2583" s="23"/>
    </row>
    <row r="2584" spans="1:15">
      <c r="A2584" s="369"/>
      <c r="B2584" s="1341" t="s">
        <v>2441</v>
      </c>
      <c r="C2584" s="196">
        <v>27</v>
      </c>
      <c r="D2584" s="230">
        <f>C2584*(1-VLOOKUP(I2584,descuentos,6,FALSE))*fcl/IF(dol_sol="dólar", TC,1)</f>
        <v>8.2939823609226604</v>
      </c>
      <c r="E2584" s="215">
        <v>4</v>
      </c>
      <c r="F2584" s="511">
        <f>ROUNDUP(D2584+E2584,2)</f>
        <v>12.299999999999999</v>
      </c>
      <c r="G2584" s="314" t="s">
        <v>7376</v>
      </c>
      <c r="H2584" s="1487" t="s">
        <v>4668</v>
      </c>
      <c r="I2584" s="452" t="s">
        <v>11565</v>
      </c>
      <c r="J2584" s="369" t="s">
        <v>753</v>
      </c>
      <c r="K2584" s="452" t="s">
        <v>741</v>
      </c>
      <c r="L2584" s="191"/>
      <c r="M2584" s="191"/>
      <c r="N2584" s="191"/>
      <c r="O2584" s="191"/>
    </row>
    <row r="2585" spans="1:15">
      <c r="A2585" s="369"/>
      <c r="B2585" s="1341"/>
      <c r="C2585" s="196" t="s">
        <v>2024</v>
      </c>
      <c r="D2585" s="230"/>
      <c r="E2585" s="215"/>
      <c r="F2585" s="511"/>
      <c r="G2585" s="314"/>
      <c r="H2585" s="1487"/>
      <c r="I2585" s="452"/>
      <c r="J2585" s="369"/>
      <c r="K2585" s="452"/>
      <c r="L2585" s="191"/>
      <c r="M2585" s="191"/>
      <c r="N2585" s="191"/>
      <c r="O2585" s="191"/>
    </row>
    <row r="2586" spans="1:15">
      <c r="A2586" s="369"/>
      <c r="B2586" s="1341" t="s">
        <v>2442</v>
      </c>
      <c r="C2586" s="196">
        <v>27</v>
      </c>
      <c r="D2586" s="230">
        <f>C2586*(1-VLOOKUP(I2586,descuentos,6,FALSE))*fcl/IF(dol_sol="dólar", TC,1)</f>
        <v>8.2939823609226604</v>
      </c>
      <c r="E2586" s="215">
        <v>4</v>
      </c>
      <c r="F2586" s="511">
        <f>ROUNDUP(D2586+E2586,2)</f>
        <v>12.299999999999999</v>
      </c>
      <c r="G2586" s="314" t="s">
        <v>7377</v>
      </c>
      <c r="H2586" s="1487" t="s">
        <v>4669</v>
      </c>
      <c r="I2586" s="452" t="s">
        <v>11565</v>
      </c>
      <c r="J2586" s="369" t="s">
        <v>753</v>
      </c>
      <c r="K2586" s="452" t="s">
        <v>741</v>
      </c>
      <c r="L2586" s="191"/>
      <c r="M2586" s="191"/>
      <c r="N2586" s="191"/>
      <c r="O2586" s="191"/>
    </row>
    <row r="2587" spans="1:15">
      <c r="A2587" s="369"/>
      <c r="B2587" s="1341" t="s">
        <v>2443</v>
      </c>
      <c r="C2587" s="196">
        <v>27</v>
      </c>
      <c r="D2587" s="230">
        <f>C2587*(1-VLOOKUP(I2587,descuentos,6,FALSE))*fcl/IF(dol_sol="dólar", TC,1)</f>
        <v>8.2939823609226604</v>
      </c>
      <c r="E2587" s="215">
        <v>4</v>
      </c>
      <c r="F2587" s="511">
        <f>ROUNDUP(D2587+E2587,2)</f>
        <v>12.299999999999999</v>
      </c>
      <c r="G2587" s="314" t="s">
        <v>7378</v>
      </c>
      <c r="H2587" s="1487" t="s">
        <v>4670</v>
      </c>
      <c r="I2587" s="452" t="s">
        <v>11565</v>
      </c>
      <c r="J2587" s="369" t="s">
        <v>753</v>
      </c>
      <c r="K2587" s="452" t="s">
        <v>741</v>
      </c>
      <c r="L2587" s="23"/>
      <c r="M2587" s="23"/>
      <c r="N2587" s="23"/>
      <c r="O2587" s="23"/>
    </row>
    <row r="2588" spans="1:15">
      <c r="A2588" s="369"/>
      <c r="B2588" s="1341" t="s">
        <v>2444</v>
      </c>
      <c r="C2588" s="196">
        <v>27</v>
      </c>
      <c r="D2588" s="230">
        <f>C2588*(1-VLOOKUP(I2588,descuentos,6,FALSE))*fcl/IF(dol_sol="dólar", TC,1)</f>
        <v>8.2939823609226604</v>
      </c>
      <c r="E2588" s="215">
        <v>4</v>
      </c>
      <c r="F2588" s="511">
        <f>ROUNDUP(D2588+E2588,2)</f>
        <v>12.299999999999999</v>
      </c>
      <c r="G2588" s="314" t="s">
        <v>7379</v>
      </c>
      <c r="H2588" s="1487" t="s">
        <v>4671</v>
      </c>
      <c r="I2588" s="452" t="s">
        <v>11565</v>
      </c>
      <c r="J2588" s="369" t="s">
        <v>753</v>
      </c>
      <c r="K2588" s="452" t="s">
        <v>741</v>
      </c>
      <c r="L2588" s="23"/>
      <c r="M2588" s="23"/>
      <c r="N2588" s="23"/>
      <c r="O2588" s="23"/>
    </row>
    <row r="2589" spans="1:15">
      <c r="A2589" s="369"/>
      <c r="B2589" s="1341"/>
      <c r="C2589" s="196" t="s">
        <v>2024</v>
      </c>
      <c r="D2589" s="230"/>
      <c r="E2589" s="215"/>
      <c r="F2589" s="511"/>
      <c r="G2589" s="314"/>
      <c r="H2589" s="518"/>
      <c r="I2589" s="452"/>
      <c r="J2589" s="369"/>
      <c r="K2589" s="452"/>
      <c r="L2589" s="191"/>
      <c r="M2589" s="191"/>
      <c r="N2589" s="191"/>
      <c r="O2589" s="191"/>
    </row>
    <row r="2590" spans="1:15">
      <c r="A2590" s="369"/>
      <c r="B2590" s="1341" t="s">
        <v>4672</v>
      </c>
      <c r="C2590" s="196">
        <v>27</v>
      </c>
      <c r="D2590" s="230">
        <f>C2590*(1-VLOOKUP(I2590,descuentos,6,FALSE))*fcl/IF(dol_sol="dólar", TC,1)</f>
        <v>8.2939823609226604</v>
      </c>
      <c r="E2590" s="215">
        <v>4</v>
      </c>
      <c r="F2590" s="511">
        <f>ROUNDUP(D2590+E2590,2)</f>
        <v>12.299999999999999</v>
      </c>
      <c r="G2590" s="314" t="s">
        <v>7380</v>
      </c>
      <c r="H2590" s="1487" t="s">
        <v>4673</v>
      </c>
      <c r="I2590" s="452" t="s">
        <v>11565</v>
      </c>
      <c r="J2590" s="369" t="s">
        <v>753</v>
      </c>
      <c r="K2590" s="452" t="s">
        <v>741</v>
      </c>
      <c r="L2590" s="191"/>
      <c r="M2590" s="191"/>
      <c r="N2590" s="191"/>
      <c r="O2590" s="191"/>
    </row>
    <row r="2591" spans="1:15">
      <c r="A2591" s="369"/>
      <c r="B2591" s="1341" t="s">
        <v>4674</v>
      </c>
      <c r="C2591" s="196">
        <v>27</v>
      </c>
      <c r="D2591" s="230">
        <f>C2591*(1-VLOOKUP(I2591,descuentos,6,FALSE))*fcl/IF(dol_sol="dólar", TC,1)</f>
        <v>8.2939823609226604</v>
      </c>
      <c r="E2591" s="215">
        <v>4</v>
      </c>
      <c r="F2591" s="511">
        <f>ROUNDUP(D2591+E2591,2)</f>
        <v>12.299999999999999</v>
      </c>
      <c r="G2591" s="314" t="s">
        <v>7381</v>
      </c>
      <c r="H2591" s="1487" t="s">
        <v>4675</v>
      </c>
      <c r="I2591" s="452" t="s">
        <v>11565</v>
      </c>
      <c r="J2591" s="369" t="s">
        <v>753</v>
      </c>
      <c r="K2591" s="452" t="s">
        <v>741</v>
      </c>
      <c r="L2591" s="191"/>
      <c r="M2591" s="191"/>
      <c r="N2591" s="191"/>
      <c r="O2591" s="191"/>
    </row>
    <row r="2592" spans="1:15">
      <c r="A2592" s="369"/>
      <c r="B2592" s="1341" t="s">
        <v>4676</v>
      </c>
      <c r="C2592" s="196">
        <v>27</v>
      </c>
      <c r="D2592" s="230">
        <f>C2592*(1-VLOOKUP(I2592,descuentos,6,FALSE))*fcl/IF(dol_sol="dólar", TC,1)</f>
        <v>8.2939823609226604</v>
      </c>
      <c r="E2592" s="215">
        <v>4</v>
      </c>
      <c r="F2592" s="511">
        <f>ROUNDUP(D2592+E2592,2)</f>
        <v>12.299999999999999</v>
      </c>
      <c r="G2592" s="314" t="s">
        <v>7382</v>
      </c>
      <c r="H2592" s="1487" t="s">
        <v>4677</v>
      </c>
      <c r="I2592" s="452" t="s">
        <v>11565</v>
      </c>
      <c r="J2592" s="369" t="s">
        <v>753</v>
      </c>
      <c r="K2592" s="452" t="s">
        <v>741</v>
      </c>
      <c r="L2592" s="191"/>
      <c r="M2592" s="191"/>
      <c r="N2592" s="191"/>
      <c r="O2592" s="191"/>
    </row>
    <row r="2593" spans="1:15">
      <c r="A2593" s="369"/>
      <c r="B2593" s="1341"/>
      <c r="C2593" s="196" t="s">
        <v>2024</v>
      </c>
      <c r="D2593" s="230"/>
      <c r="E2593" s="215"/>
      <c r="F2593" s="511"/>
      <c r="G2593" s="314"/>
      <c r="H2593" s="518"/>
      <c r="I2593" s="452"/>
      <c r="J2593" s="369"/>
      <c r="K2593" s="452"/>
      <c r="L2593" s="191"/>
      <c r="M2593" s="191"/>
      <c r="N2593" s="191"/>
      <c r="O2593" s="191"/>
    </row>
    <row r="2594" spans="1:15">
      <c r="A2594" s="369"/>
      <c r="B2594" s="1341" t="s">
        <v>5832</v>
      </c>
      <c r="C2594" s="196">
        <v>27</v>
      </c>
      <c r="D2594" s="230">
        <f>C2594*(1-VLOOKUP(I2594,descuentos,6,FALSE))*fcl/IF(dol_sol="dólar", TC,1)</f>
        <v>8.2939823609226604</v>
      </c>
      <c r="E2594" s="215">
        <v>4</v>
      </c>
      <c r="F2594" s="511">
        <f>ROUNDUP(D2594+E2594,2)</f>
        <v>12.299999999999999</v>
      </c>
      <c r="G2594" s="314" t="s">
        <v>7383</v>
      </c>
      <c r="H2594" s="1487" t="s">
        <v>5833</v>
      </c>
      <c r="I2594" s="452" t="s">
        <v>11565</v>
      </c>
      <c r="J2594" s="369" t="s">
        <v>753</v>
      </c>
      <c r="K2594" s="452" t="s">
        <v>741</v>
      </c>
      <c r="L2594" s="191"/>
      <c r="M2594" s="191"/>
      <c r="N2594" s="191"/>
      <c r="O2594" s="191"/>
    </row>
    <row r="2595" spans="1:15">
      <c r="A2595" s="369"/>
      <c r="B2595" s="1341" t="s">
        <v>5834</v>
      </c>
      <c r="C2595" s="196">
        <v>27</v>
      </c>
      <c r="D2595" s="230">
        <f>C2595*(1-VLOOKUP(I2595,descuentos,6,FALSE))*fcl/IF(dol_sol="dólar", TC,1)</f>
        <v>8.2939823609226604</v>
      </c>
      <c r="E2595" s="215">
        <v>4</v>
      </c>
      <c r="F2595" s="511">
        <f>ROUNDUP(D2595+E2595,2)</f>
        <v>12.299999999999999</v>
      </c>
      <c r="G2595" s="314" t="s">
        <v>7384</v>
      </c>
      <c r="H2595" s="1487" t="s">
        <v>5835</v>
      </c>
      <c r="I2595" s="452" t="s">
        <v>11565</v>
      </c>
      <c r="J2595" s="369" t="s">
        <v>753</v>
      </c>
      <c r="K2595" s="452" t="s">
        <v>741</v>
      </c>
      <c r="L2595" s="23"/>
      <c r="M2595" s="23"/>
      <c r="N2595" s="23"/>
      <c r="O2595" s="23"/>
    </row>
    <row r="2596" spans="1:15">
      <c r="A2596" s="369"/>
      <c r="B2596" s="1341" t="s">
        <v>5836</v>
      </c>
      <c r="C2596" s="196">
        <v>27</v>
      </c>
      <c r="D2596" s="230">
        <f>C2596*(1-VLOOKUP(I2596,descuentos,6,FALSE))*fcl/IF(dol_sol="dólar", TC,1)</f>
        <v>8.2939823609226604</v>
      </c>
      <c r="E2596" s="215">
        <v>4</v>
      </c>
      <c r="F2596" s="511">
        <f>ROUNDUP(D2596+E2596,2)</f>
        <v>12.299999999999999</v>
      </c>
      <c r="G2596" s="314" t="s">
        <v>7385</v>
      </c>
      <c r="H2596" s="1487" t="s">
        <v>5837</v>
      </c>
      <c r="I2596" s="452" t="s">
        <v>11565</v>
      </c>
      <c r="J2596" s="369" t="s">
        <v>753</v>
      </c>
      <c r="K2596" s="452" t="s">
        <v>741</v>
      </c>
      <c r="L2596" s="23"/>
      <c r="M2596" s="23"/>
      <c r="N2596" s="23"/>
      <c r="O2596" s="23"/>
    </row>
    <row r="2597" spans="1:15">
      <c r="A2597" s="369"/>
      <c r="B2597" s="1341"/>
      <c r="C2597" s="196" t="s">
        <v>2024</v>
      </c>
      <c r="D2597" s="230"/>
      <c r="E2597" s="215"/>
      <c r="F2597" s="511"/>
      <c r="G2597" s="314"/>
      <c r="H2597" s="1487"/>
      <c r="I2597" s="452"/>
      <c r="J2597" s="369"/>
      <c r="K2597" s="452"/>
      <c r="L2597" s="23"/>
      <c r="M2597" s="23"/>
      <c r="N2597" s="23"/>
      <c r="O2597" s="23"/>
    </row>
    <row r="2598" spans="1:15">
      <c r="A2598" s="369"/>
      <c r="B2598" s="518"/>
      <c r="C2598" s="196" t="s">
        <v>2024</v>
      </c>
      <c r="D2598" s="230"/>
      <c r="E2598" s="215"/>
      <c r="F2598" s="511"/>
      <c r="G2598" s="518"/>
      <c r="H2598" s="518"/>
      <c r="I2598" s="452"/>
      <c r="J2598" s="515"/>
      <c r="K2598" s="452"/>
      <c r="L2598" s="191"/>
      <c r="M2598" s="191"/>
      <c r="N2598" s="191"/>
      <c r="O2598" s="191"/>
    </row>
    <row r="2599" spans="1:15">
      <c r="A2599" s="369"/>
      <c r="B2599" s="143" t="s">
        <v>11581</v>
      </c>
      <c r="C2599" s="196">
        <v>444</v>
      </c>
      <c r="D2599" s="230">
        <f>C2599*(1-VLOOKUP(I2599,descuentos,6,FALSE))*fcl/IF(dol_sol="dólar", TC,1)</f>
        <v>136.38993215739484</v>
      </c>
      <c r="E2599" s="215">
        <v>10</v>
      </c>
      <c r="F2599" s="511">
        <f>ROUNDUP(D2599+E2599,2)</f>
        <v>146.38999999999999</v>
      </c>
      <c r="G2599" s="314" t="s">
        <v>11582</v>
      </c>
      <c r="H2599" s="518" t="s">
        <v>2482</v>
      </c>
      <c r="I2599" s="452" t="s">
        <v>11565</v>
      </c>
      <c r="J2599" s="515" t="s">
        <v>753</v>
      </c>
      <c r="K2599" s="452" t="s">
        <v>741</v>
      </c>
      <c r="L2599" s="191"/>
      <c r="M2599" s="191"/>
      <c r="N2599" s="191"/>
      <c r="O2599" s="191"/>
    </row>
    <row r="2600" spans="1:15">
      <c r="A2600" s="369"/>
      <c r="B2600" s="143" t="s">
        <v>11583</v>
      </c>
      <c r="C2600" s="196">
        <v>665</v>
      </c>
      <c r="D2600" s="230">
        <f>C2600*(1-VLOOKUP(I2600,descuentos,6,FALSE))*fcl/IF(dol_sol="dólar", TC,1)</f>
        <v>204.27771370420626</v>
      </c>
      <c r="E2600" s="215">
        <v>10</v>
      </c>
      <c r="F2600" s="511">
        <f>ROUNDUP(D2600+E2600,2)</f>
        <v>214.28</v>
      </c>
      <c r="G2600" s="314" t="s">
        <v>11584</v>
      </c>
      <c r="H2600" s="518" t="s">
        <v>9691</v>
      </c>
      <c r="I2600" s="452" t="s">
        <v>11565</v>
      </c>
      <c r="J2600" s="515" t="s">
        <v>753</v>
      </c>
      <c r="K2600" s="452" t="s">
        <v>741</v>
      </c>
      <c r="L2600" s="191"/>
      <c r="M2600" s="191"/>
      <c r="N2600" s="191"/>
      <c r="O2600" s="191"/>
    </row>
    <row r="2601" spans="1:15">
      <c r="A2601" s="369"/>
      <c r="B2601" s="143" t="s">
        <v>11585</v>
      </c>
      <c r="C2601" s="196">
        <v>964</v>
      </c>
      <c r="D2601" s="230">
        <f>C2601*(1-VLOOKUP(I2601,descuentos,6,FALSE))*fcl/IF(dol_sol="dólar", TC,1)</f>
        <v>296.12588873812751</v>
      </c>
      <c r="E2601" s="215">
        <v>10</v>
      </c>
      <c r="F2601" s="511">
        <f>ROUNDUP(D2601+E2601,2)</f>
        <v>306.13</v>
      </c>
      <c r="G2601" s="314" t="s">
        <v>11586</v>
      </c>
      <c r="H2601" s="518" t="s">
        <v>9692</v>
      </c>
      <c r="I2601" s="452" t="s">
        <v>11565</v>
      </c>
      <c r="J2601" s="515" t="s">
        <v>753</v>
      </c>
      <c r="K2601" s="452" t="s">
        <v>741</v>
      </c>
      <c r="L2601" s="191"/>
      <c r="M2601" s="191"/>
      <c r="N2601" s="191"/>
      <c r="O2601" s="191"/>
    </row>
    <row r="2602" spans="1:15">
      <c r="A2602" s="369"/>
      <c r="B2602" s="143"/>
      <c r="C2602" s="196" t="s">
        <v>2024</v>
      </c>
      <c r="D2602" s="230"/>
      <c r="E2602" s="215"/>
      <c r="F2602" s="511"/>
      <c r="G2602" s="314"/>
      <c r="H2602" s="518"/>
      <c r="I2602" s="452"/>
      <c r="J2602" s="515"/>
      <c r="K2602" s="452"/>
      <c r="L2602" s="191"/>
      <c r="M2602" s="191"/>
      <c r="N2602" s="191"/>
      <c r="O2602" s="191"/>
    </row>
    <row r="2603" spans="1:15">
      <c r="A2603" s="369"/>
      <c r="B2603" s="143" t="s">
        <v>11587</v>
      </c>
      <c r="C2603" s="196">
        <v>826</v>
      </c>
      <c r="D2603" s="230">
        <f>C2603*(1-VLOOKUP(I2603,descuentos,6,FALSE))*fcl/IF(dol_sol="dólar", TC,1)</f>
        <v>253.73442333785613</v>
      </c>
      <c r="E2603" s="215">
        <v>10</v>
      </c>
      <c r="F2603" s="511">
        <f>ROUNDUP(D2603+E2603,2)</f>
        <v>263.74</v>
      </c>
      <c r="G2603" s="314" t="s">
        <v>11588</v>
      </c>
      <c r="H2603" s="518" t="s">
        <v>7386</v>
      </c>
      <c r="I2603" s="452" t="s">
        <v>11565</v>
      </c>
      <c r="J2603" s="515" t="s">
        <v>753</v>
      </c>
      <c r="K2603" s="452" t="s">
        <v>741</v>
      </c>
      <c r="L2603" s="191"/>
      <c r="M2603" s="191"/>
      <c r="N2603" s="191"/>
      <c r="O2603" s="191"/>
    </row>
    <row r="2604" spans="1:15">
      <c r="A2604" s="369"/>
      <c r="B2604" s="143"/>
      <c r="C2604" s="196" t="s">
        <v>2024</v>
      </c>
      <c r="D2604" s="230"/>
      <c r="E2604" s="215"/>
      <c r="F2604" s="511"/>
      <c r="G2604" s="314"/>
      <c r="H2604" s="518"/>
      <c r="I2604" s="452"/>
      <c r="J2604" s="515"/>
      <c r="K2604" s="452"/>
      <c r="L2604" s="191"/>
      <c r="M2604" s="191"/>
      <c r="N2604" s="191"/>
      <c r="O2604" s="191"/>
    </row>
    <row r="2605" spans="1:15">
      <c r="A2605" s="369"/>
      <c r="B2605" s="518"/>
      <c r="C2605" s="196" t="s">
        <v>2024</v>
      </c>
      <c r="D2605" s="230"/>
      <c r="E2605" s="215"/>
      <c r="F2605" s="511"/>
      <c r="G2605" s="518"/>
      <c r="H2605" s="518"/>
      <c r="I2605" s="452"/>
      <c r="J2605" s="515"/>
      <c r="K2605" s="452"/>
      <c r="L2605" s="191"/>
      <c r="M2605" s="191"/>
      <c r="N2605" s="191"/>
      <c r="O2605" s="191"/>
    </row>
    <row r="2606" spans="1:15">
      <c r="A2606" s="369"/>
      <c r="B2606" s="144" t="s">
        <v>3231</v>
      </c>
      <c r="C2606" s="196">
        <v>285</v>
      </c>
      <c r="D2606" s="230">
        <f>C2606*(1-VLOOKUP(I2606,descuentos,6,FALSE))*fcl/IF(dol_sol="dólar", TC,1)</f>
        <v>87.547591587516962</v>
      </c>
      <c r="E2606" s="215">
        <v>10</v>
      </c>
      <c r="F2606" s="511">
        <f>ROUNDUP(D2606+E2606,2)</f>
        <v>97.550000000000011</v>
      </c>
      <c r="G2606" s="314" t="s">
        <v>4678</v>
      </c>
      <c r="H2606" s="518" t="s">
        <v>3232</v>
      </c>
      <c r="I2606" s="452" t="s">
        <v>11565</v>
      </c>
      <c r="J2606" s="369" t="s">
        <v>753</v>
      </c>
      <c r="K2606" s="452" t="s">
        <v>741</v>
      </c>
      <c r="L2606" s="191"/>
      <c r="M2606" s="191"/>
      <c r="N2606" s="191"/>
      <c r="O2606" s="191"/>
    </row>
    <row r="2607" spans="1:15">
      <c r="A2607" s="369"/>
      <c r="B2607" s="144" t="s">
        <v>3122</v>
      </c>
      <c r="C2607" s="196">
        <v>801</v>
      </c>
      <c r="D2607" s="230">
        <f>C2607*(1-VLOOKUP(I2607,descuentos,6,FALSE))*fcl/IF(dol_sol="dólar", TC,1)</f>
        <v>246.05481004070555</v>
      </c>
      <c r="E2607" s="215">
        <v>10</v>
      </c>
      <c r="F2607" s="511">
        <f>ROUNDUP(D2607+E2607,2)</f>
        <v>256.06</v>
      </c>
      <c r="G2607" s="314" t="s">
        <v>4679</v>
      </c>
      <c r="H2607" s="518" t="s">
        <v>3123</v>
      </c>
      <c r="I2607" s="452" t="s">
        <v>11565</v>
      </c>
      <c r="J2607" s="369" t="s">
        <v>753</v>
      </c>
      <c r="K2607" s="452" t="s">
        <v>741</v>
      </c>
      <c r="L2607" s="191"/>
      <c r="M2607" s="191"/>
      <c r="N2607" s="191"/>
      <c r="O2607" s="191"/>
    </row>
    <row r="2608" spans="1:15">
      <c r="A2608" s="369"/>
      <c r="B2608" s="144" t="s">
        <v>3124</v>
      </c>
      <c r="C2608" s="196">
        <v>801</v>
      </c>
      <c r="D2608" s="230">
        <f>C2608*(1-VLOOKUP(I2608,descuentos,6,FALSE))*fcl/IF(dol_sol="dólar", TC,1)</f>
        <v>246.05481004070555</v>
      </c>
      <c r="E2608" s="215">
        <v>10</v>
      </c>
      <c r="F2608" s="511">
        <f>ROUNDUP(D2608+E2608,2)</f>
        <v>256.06</v>
      </c>
      <c r="G2608" s="314" t="s">
        <v>4680</v>
      </c>
      <c r="H2608" s="518" t="s">
        <v>3125</v>
      </c>
      <c r="I2608" s="452" t="s">
        <v>11565</v>
      </c>
      <c r="J2608" s="369" t="s">
        <v>753</v>
      </c>
      <c r="K2608" s="452" t="s">
        <v>741</v>
      </c>
      <c r="L2608" s="191"/>
      <c r="M2608" s="191"/>
      <c r="N2608" s="191"/>
      <c r="O2608" s="191"/>
    </row>
    <row r="2609" spans="1:15">
      <c r="A2609" s="369"/>
      <c r="B2609" s="143" t="s">
        <v>3172</v>
      </c>
      <c r="C2609" s="196">
        <v>787</v>
      </c>
      <c r="D2609" s="230">
        <f>C2609*(1-VLOOKUP(I2609,descuentos,6,FALSE))*fcl/IF(dol_sol="dólar", TC,1)</f>
        <v>241.7542265943012</v>
      </c>
      <c r="E2609" s="215">
        <v>10</v>
      </c>
      <c r="F2609" s="511">
        <f>ROUNDUP(D2609+E2609,2)</f>
        <v>251.76</v>
      </c>
      <c r="G2609" s="314" t="s">
        <v>4681</v>
      </c>
      <c r="H2609" s="518" t="s">
        <v>3171</v>
      </c>
      <c r="I2609" s="452" t="s">
        <v>11565</v>
      </c>
      <c r="J2609" s="515" t="s">
        <v>753</v>
      </c>
      <c r="K2609" s="452" t="s">
        <v>741</v>
      </c>
      <c r="L2609" s="191"/>
      <c r="M2609" s="191"/>
      <c r="N2609" s="191"/>
      <c r="O2609" s="191"/>
    </row>
    <row r="2610" spans="1:15">
      <c r="A2610" s="369"/>
      <c r="B2610" s="144" t="s">
        <v>4682</v>
      </c>
      <c r="C2610" s="196">
        <v>1100</v>
      </c>
      <c r="D2610" s="230">
        <f>C2610*(1-VLOOKUP(I2610,descuentos,6,FALSE))*fcl/IF(dol_sol="dólar", TC,1)</f>
        <v>337.90298507462683</v>
      </c>
      <c r="E2610" s="215">
        <v>10</v>
      </c>
      <c r="F2610" s="511">
        <f>ROUNDUP(D2610+E2610,2)</f>
        <v>347.90999999999997</v>
      </c>
      <c r="G2610" s="314" t="s">
        <v>4683</v>
      </c>
      <c r="H2610" s="518" t="s">
        <v>4684</v>
      </c>
      <c r="I2610" s="452" t="s">
        <v>11565</v>
      </c>
      <c r="J2610" s="369" t="s">
        <v>753</v>
      </c>
      <c r="K2610" s="452" t="s">
        <v>741</v>
      </c>
      <c r="L2610" s="191"/>
      <c r="M2610" s="191"/>
      <c r="N2610" s="191"/>
      <c r="O2610" s="191"/>
    </row>
    <row r="2611" spans="1:15">
      <c r="A2611" s="369"/>
      <c r="B2611" s="145"/>
      <c r="C2611" s="196" t="s">
        <v>2024</v>
      </c>
      <c r="D2611" s="230"/>
      <c r="E2611" s="215"/>
      <c r="F2611" s="316"/>
      <c r="G2611" s="145"/>
      <c r="H2611" s="145"/>
      <c r="I2611" s="315"/>
      <c r="J2611" s="315"/>
      <c r="K2611" s="191"/>
      <c r="L2611" s="191"/>
      <c r="M2611" s="191"/>
      <c r="N2611" s="191"/>
      <c r="O2611" s="191"/>
    </row>
    <row r="2612" spans="1:15">
      <c r="A2612" s="515"/>
      <c r="B2612" s="143" t="s">
        <v>4685</v>
      </c>
      <c r="C2612" s="196">
        <v>1081</v>
      </c>
      <c r="D2612" s="230">
        <f>C2612*(1-VLOOKUP(I2612,descuentos,6,FALSE))*fcl/IF(dol_sol="dólar", TC,1)</f>
        <v>332.06647896879241</v>
      </c>
      <c r="E2612" s="215">
        <v>10</v>
      </c>
      <c r="F2612" s="511">
        <f>ROUNDUP(D2612+E2612,2)</f>
        <v>342.07</v>
      </c>
      <c r="G2612" s="314" t="s">
        <v>4686</v>
      </c>
      <c r="H2612" s="518" t="s">
        <v>4687</v>
      </c>
      <c r="I2612" s="452" t="s">
        <v>11565</v>
      </c>
      <c r="J2612" s="515" t="s">
        <v>753</v>
      </c>
      <c r="K2612" s="452" t="s">
        <v>741</v>
      </c>
      <c r="L2612" s="191"/>
      <c r="M2612" s="191"/>
      <c r="N2612" s="191"/>
      <c r="O2612" s="191"/>
    </row>
    <row r="2613" spans="1:15">
      <c r="A2613" s="515"/>
      <c r="B2613" s="143" t="s">
        <v>3189</v>
      </c>
      <c r="C2613" s="196">
        <v>1256</v>
      </c>
      <c r="D2613" s="230">
        <f>C2613*(1-VLOOKUP(I2613,descuentos,6,FALSE))*fcl/IF(dol_sol="dólar", TC,1)</f>
        <v>385.82377204884665</v>
      </c>
      <c r="E2613" s="215">
        <v>5</v>
      </c>
      <c r="F2613" s="511">
        <f>ROUNDUP(D2613+E2613,2)</f>
        <v>390.83</v>
      </c>
      <c r="G2613" s="314" t="s">
        <v>3245</v>
      </c>
      <c r="H2613" s="518" t="s">
        <v>3188</v>
      </c>
      <c r="I2613" s="452" t="s">
        <v>11565</v>
      </c>
      <c r="J2613" s="515" t="s">
        <v>753</v>
      </c>
      <c r="K2613" s="452" t="s">
        <v>741</v>
      </c>
      <c r="L2613" s="191"/>
      <c r="M2613" s="191"/>
      <c r="N2613" s="191"/>
      <c r="O2613" s="191"/>
    </row>
    <row r="2614" spans="1:15">
      <c r="A2614" s="369"/>
      <c r="B2614" s="518"/>
      <c r="C2614" s="196" t="s">
        <v>2024</v>
      </c>
      <c r="D2614" s="230"/>
      <c r="E2614" s="215"/>
      <c r="F2614" s="511"/>
      <c r="G2614" s="518"/>
      <c r="H2614" s="518"/>
      <c r="I2614" s="452"/>
      <c r="J2614" s="515"/>
      <c r="K2614" s="452"/>
      <c r="L2614" s="191"/>
      <c r="M2614" s="191"/>
      <c r="N2614" s="191"/>
      <c r="O2614" s="191"/>
    </row>
    <row r="2615" spans="1:15">
      <c r="A2615" s="515"/>
      <c r="B2615" s="143" t="s">
        <v>7387</v>
      </c>
      <c r="C2615" s="196">
        <v>757</v>
      </c>
      <c r="D2615" s="230">
        <f>C2615*(1-VLOOKUP(I2615,descuentos,6,FALSE))*fcl/IF(dol_sol="dólar", TC,1)</f>
        <v>232.53869063772046</v>
      </c>
      <c r="E2615" s="215">
        <v>20</v>
      </c>
      <c r="F2615" s="511">
        <f>ROUNDUP(D2615+E2615,2)</f>
        <v>252.54</v>
      </c>
      <c r="G2615" s="314" t="s">
        <v>7388</v>
      </c>
      <c r="H2615" s="518" t="s">
        <v>7389</v>
      </c>
      <c r="I2615" s="452" t="s">
        <v>11565</v>
      </c>
      <c r="J2615" s="515" t="s">
        <v>753</v>
      </c>
      <c r="K2615" s="452" t="s">
        <v>741</v>
      </c>
      <c r="L2615" s="191"/>
      <c r="M2615" s="191"/>
      <c r="N2615" s="191"/>
      <c r="O2615" s="191"/>
    </row>
    <row r="2616" spans="1:15">
      <c r="A2616" s="369"/>
      <c r="B2616" s="518"/>
      <c r="C2616" s="196" t="s">
        <v>2024</v>
      </c>
      <c r="D2616" s="230"/>
      <c r="E2616" s="215"/>
      <c r="F2616" s="511"/>
      <c r="G2616" s="518"/>
      <c r="H2616" s="518"/>
      <c r="I2616" s="452"/>
      <c r="J2616" s="515"/>
      <c r="K2616" s="452"/>
      <c r="L2616" s="191"/>
      <c r="M2616" s="191"/>
      <c r="N2616" s="191"/>
      <c r="O2616" s="191"/>
    </row>
    <row r="2617" spans="1:15">
      <c r="A2617" s="369"/>
      <c r="B2617" s="144"/>
      <c r="C2617" s="196" t="s">
        <v>2024</v>
      </c>
      <c r="D2617" s="230"/>
      <c r="E2617" s="215"/>
      <c r="F2617" s="511"/>
      <c r="G2617" s="518"/>
      <c r="H2617" s="518"/>
      <c r="I2617" s="452"/>
      <c r="J2617" s="515"/>
      <c r="K2617" s="452"/>
      <c r="L2617" s="191"/>
      <c r="M2617" s="191"/>
      <c r="N2617" s="191"/>
      <c r="O2617" s="191"/>
    </row>
    <row r="2618" spans="1:15">
      <c r="A2618" s="515"/>
      <c r="B2618" s="144"/>
      <c r="C2618" s="196" t="s">
        <v>2024</v>
      </c>
      <c r="D2618" s="230"/>
      <c r="E2618" s="215"/>
      <c r="F2618" s="511"/>
      <c r="G2618" s="518"/>
      <c r="H2618" s="518"/>
      <c r="I2618" s="452"/>
      <c r="J2618" s="515"/>
      <c r="K2618" s="452"/>
      <c r="L2618" s="191"/>
      <c r="M2618" s="191"/>
      <c r="N2618" s="191"/>
      <c r="O2618" s="191"/>
    </row>
    <row r="2619" spans="1:15">
      <c r="A2619" s="515"/>
      <c r="B2619" s="144" t="s">
        <v>7390</v>
      </c>
      <c r="C2619" s="196">
        <v>416</v>
      </c>
      <c r="D2619" s="230">
        <f>C2619*(1-VLOOKUP(I2619,descuentos,6,FALSE))*fcl/IF(dol_sol="dólar", TC,1)</f>
        <v>122.04322388059698</v>
      </c>
      <c r="E2619" s="215">
        <v>10</v>
      </c>
      <c r="F2619" s="511">
        <f>ROUNDUP(D2619+E2619,2)</f>
        <v>132.04999999999998</v>
      </c>
      <c r="G2619" s="518" t="s">
        <v>7391</v>
      </c>
      <c r="H2619" s="518" t="s">
        <v>7392</v>
      </c>
      <c r="I2619" s="452" t="s">
        <v>11566</v>
      </c>
      <c r="J2619" s="515" t="s">
        <v>753</v>
      </c>
      <c r="K2619" s="452" t="s">
        <v>741</v>
      </c>
      <c r="L2619" s="191"/>
      <c r="M2619" s="191"/>
      <c r="N2619" s="191"/>
      <c r="O2619" s="191"/>
    </row>
    <row r="2620" spans="1:15">
      <c r="A2620" s="515"/>
      <c r="B2620" s="144" t="s">
        <v>7393</v>
      </c>
      <c r="C2620" s="196">
        <v>416</v>
      </c>
      <c r="D2620" s="230">
        <f>C2620*(1-VLOOKUP(I2620,descuentos,6,FALSE))*fcl/IF(dol_sol="dólar", TC,1)</f>
        <v>122.04322388059698</v>
      </c>
      <c r="E2620" s="215">
        <v>10</v>
      </c>
      <c r="F2620" s="511">
        <f>ROUNDUP(D2620+E2620,2)</f>
        <v>132.04999999999998</v>
      </c>
      <c r="G2620" s="518" t="s">
        <v>7394</v>
      </c>
      <c r="H2620" s="518" t="s">
        <v>7395</v>
      </c>
      <c r="I2620" s="452" t="s">
        <v>11566</v>
      </c>
      <c r="J2620" s="515" t="s">
        <v>753</v>
      </c>
      <c r="K2620" s="452" t="s">
        <v>741</v>
      </c>
      <c r="L2620" s="191"/>
      <c r="M2620" s="191"/>
      <c r="N2620" s="191"/>
      <c r="O2620" s="191"/>
    </row>
    <row r="2621" spans="1:15">
      <c r="A2621" s="515"/>
      <c r="B2621" s="144"/>
      <c r="C2621" s="196" t="s">
        <v>2024</v>
      </c>
      <c r="D2621" s="230"/>
      <c r="E2621" s="215"/>
      <c r="F2621" s="511"/>
      <c r="G2621" s="518"/>
      <c r="H2621" s="518"/>
      <c r="I2621" s="452"/>
      <c r="J2621" s="515"/>
      <c r="K2621" s="452"/>
      <c r="L2621" s="191"/>
      <c r="M2621" s="191"/>
      <c r="N2621" s="191"/>
      <c r="O2621" s="191"/>
    </row>
    <row r="2622" spans="1:15">
      <c r="A2622" s="515"/>
      <c r="B2622" s="144"/>
      <c r="C2622" s="196" t="s">
        <v>2024</v>
      </c>
      <c r="D2622" s="230"/>
      <c r="E2622" s="215"/>
      <c r="F2622" s="511"/>
      <c r="G2622" s="518"/>
      <c r="H2622" s="518"/>
      <c r="I2622" s="452"/>
      <c r="J2622" s="515"/>
      <c r="K2622" s="452"/>
      <c r="L2622" s="191"/>
      <c r="M2622" s="191"/>
      <c r="N2622" s="191"/>
      <c r="O2622" s="191"/>
    </row>
    <row r="2623" spans="1:15">
      <c r="A2623" s="515"/>
      <c r="B2623" s="144"/>
      <c r="C2623" s="196" t="s">
        <v>2024</v>
      </c>
      <c r="D2623" s="230"/>
      <c r="E2623" s="215"/>
      <c r="F2623" s="511"/>
      <c r="G2623" s="518"/>
      <c r="H2623" s="518"/>
      <c r="I2623" s="452"/>
      <c r="J2623" s="515"/>
      <c r="K2623" s="452"/>
      <c r="L2623" s="191"/>
      <c r="M2623" s="191"/>
      <c r="N2623" s="191"/>
      <c r="O2623" s="191"/>
    </row>
    <row r="2624" spans="1:15">
      <c r="A2624" s="515"/>
      <c r="B2624" s="143"/>
      <c r="C2624" s="962"/>
      <c r="D2624" s="230"/>
      <c r="E2624" s="215"/>
      <c r="F2624" s="511"/>
      <c r="G2624" s="518"/>
      <c r="H2624" s="143"/>
      <c r="I2624" s="452"/>
      <c r="J2624" s="515"/>
      <c r="K2624" s="452"/>
      <c r="L2624" s="191"/>
      <c r="M2624" s="191"/>
      <c r="N2624" s="191"/>
      <c r="O2624" s="191"/>
    </row>
    <row r="2625" spans="1:15">
      <c r="A2625" s="515"/>
      <c r="B2625" s="143"/>
      <c r="C2625" s="962"/>
      <c r="D2625" s="230"/>
      <c r="E2625" s="215"/>
      <c r="F2625" s="511"/>
      <c r="G2625" s="518"/>
      <c r="H2625" s="143"/>
      <c r="I2625" s="452"/>
      <c r="J2625" s="515"/>
      <c r="K2625" s="452"/>
      <c r="L2625" s="191"/>
      <c r="M2625" s="191"/>
      <c r="N2625" s="191"/>
      <c r="O2625" s="191"/>
    </row>
    <row r="2626" spans="1:15">
      <c r="A2626" s="515"/>
      <c r="B2626" s="1400" t="s">
        <v>5838</v>
      </c>
      <c r="C2626" s="1401"/>
      <c r="D2626" s="1400"/>
      <c r="E2626" s="215"/>
      <c r="F2626" s="511"/>
      <c r="G2626" s="518"/>
      <c r="H2626" s="143"/>
      <c r="I2626" s="452"/>
      <c r="J2626" s="515"/>
      <c r="K2626" s="452"/>
      <c r="L2626" s="191"/>
      <c r="M2626" s="191"/>
      <c r="N2626" s="191"/>
      <c r="O2626" s="191"/>
    </row>
    <row r="2627" spans="1:15">
      <c r="A2627" s="515"/>
      <c r="B2627" s="1400" t="s">
        <v>7454</v>
      </c>
      <c r="C2627" s="1401"/>
      <c r="D2627" s="1400"/>
      <c r="E2627" s="215"/>
      <c r="F2627" s="511"/>
      <c r="G2627" s="518"/>
      <c r="H2627" s="143"/>
      <c r="I2627" s="452"/>
      <c r="J2627" s="515"/>
      <c r="K2627" s="452"/>
      <c r="L2627" s="191"/>
      <c r="M2627" s="191"/>
      <c r="N2627" s="191"/>
      <c r="O2627" s="191"/>
    </row>
    <row r="2628" spans="1:15" s="185" customFormat="1">
      <c r="A2628" s="515"/>
      <c r="B2628" s="144"/>
      <c r="C2628" s="196"/>
      <c r="D2628" s="230"/>
      <c r="E2628" s="215"/>
      <c r="F2628" s="511"/>
      <c r="G2628" s="518"/>
      <c r="H2628" s="518"/>
      <c r="I2628" s="452"/>
      <c r="J2628" s="515"/>
      <c r="K2628" s="452"/>
    </row>
    <row r="2629" spans="1:15" s="185" customFormat="1">
      <c r="A2629" s="515"/>
      <c r="B2629" s="144" t="s">
        <v>5839</v>
      </c>
      <c r="C2629" s="196">
        <v>4671</v>
      </c>
      <c r="D2629" s="230">
        <f t="shared" ref="D2629:D2635" si="357">C2629*(1-VLOOKUP(I2629,descuentos,6,FALSE))*fcl/IF(dol_sol="dólar", TC,1)</f>
        <v>1434.85894843962</v>
      </c>
      <c r="E2629" s="215">
        <v>200</v>
      </c>
      <c r="F2629" s="511">
        <f t="shared" ref="F2629:F2635" si="358">ROUNDUP(D2629+E2629,1)</f>
        <v>1634.8999999999999</v>
      </c>
      <c r="G2629" s="518" t="s">
        <v>9225</v>
      </c>
      <c r="H2629" s="572" t="s">
        <v>5840</v>
      </c>
      <c r="I2629" s="452" t="s">
        <v>11565</v>
      </c>
      <c r="J2629" s="515" t="s">
        <v>753</v>
      </c>
      <c r="K2629" s="452" t="s">
        <v>741</v>
      </c>
    </row>
    <row r="2630" spans="1:15" s="185" customFormat="1">
      <c r="A2630" s="515"/>
      <c r="B2630" s="144" t="s">
        <v>5841</v>
      </c>
      <c r="C2630" s="196">
        <v>5028</v>
      </c>
      <c r="D2630" s="230">
        <f t="shared" si="357"/>
        <v>1544.5238263229307</v>
      </c>
      <c r="E2630" s="215">
        <v>200</v>
      </c>
      <c r="F2630" s="511">
        <f t="shared" si="358"/>
        <v>1744.6</v>
      </c>
      <c r="G2630" s="518" t="s">
        <v>9226</v>
      </c>
      <c r="H2630" s="572" t="s">
        <v>5842</v>
      </c>
      <c r="I2630" s="452" t="s">
        <v>11565</v>
      </c>
      <c r="J2630" s="515" t="s">
        <v>753</v>
      </c>
      <c r="K2630" s="452" t="s">
        <v>741</v>
      </c>
    </row>
    <row r="2631" spans="1:15" s="185" customFormat="1">
      <c r="A2631" s="515"/>
      <c r="B2631" s="144" t="s">
        <v>5843</v>
      </c>
      <c r="C2631" s="196">
        <v>5319</v>
      </c>
      <c r="D2631" s="230">
        <f t="shared" si="357"/>
        <v>1633.914525101764</v>
      </c>
      <c r="E2631" s="215">
        <v>200</v>
      </c>
      <c r="F2631" s="511">
        <f t="shared" si="358"/>
        <v>1834</v>
      </c>
      <c r="G2631" s="518" t="s">
        <v>9227</v>
      </c>
      <c r="H2631" s="572" t="s">
        <v>5844</v>
      </c>
      <c r="I2631" s="452" t="s">
        <v>11565</v>
      </c>
      <c r="J2631" s="515" t="s">
        <v>753</v>
      </c>
      <c r="K2631" s="452" t="s">
        <v>741</v>
      </c>
    </row>
    <row r="2632" spans="1:15" s="185" customFormat="1">
      <c r="A2632" s="515"/>
      <c r="B2632" s="144" t="s">
        <v>5845</v>
      </c>
      <c r="C2632" s="196">
        <v>5655</v>
      </c>
      <c r="D2632" s="230">
        <f t="shared" si="357"/>
        <v>1737.1285278154678</v>
      </c>
      <c r="E2632" s="215">
        <v>250</v>
      </c>
      <c r="F2632" s="511">
        <f t="shared" si="358"/>
        <v>1987.1999999999998</v>
      </c>
      <c r="G2632" s="518" t="s">
        <v>9228</v>
      </c>
      <c r="H2632" s="572" t="s">
        <v>5846</v>
      </c>
      <c r="I2632" s="452" t="s">
        <v>11565</v>
      </c>
      <c r="J2632" s="515" t="s">
        <v>753</v>
      </c>
      <c r="K2632" s="452" t="s">
        <v>741</v>
      </c>
    </row>
    <row r="2633" spans="1:15" s="185" customFormat="1">
      <c r="A2633" s="515"/>
      <c r="B2633" s="144" t="s">
        <v>5847</v>
      </c>
      <c r="C2633" s="196">
        <v>6202</v>
      </c>
      <c r="D2633" s="230">
        <f t="shared" si="357"/>
        <v>1905.1584667571233</v>
      </c>
      <c r="E2633" s="215">
        <v>250</v>
      </c>
      <c r="F2633" s="511">
        <f t="shared" si="358"/>
        <v>2155.1999999999998</v>
      </c>
      <c r="G2633" s="518" t="s">
        <v>9229</v>
      </c>
      <c r="H2633" s="572" t="s">
        <v>5848</v>
      </c>
      <c r="I2633" s="452" t="s">
        <v>11565</v>
      </c>
      <c r="J2633" s="515" t="s">
        <v>753</v>
      </c>
      <c r="K2633" s="452" t="s">
        <v>741</v>
      </c>
    </row>
    <row r="2634" spans="1:15" s="185" customFormat="1">
      <c r="A2634" s="515"/>
      <c r="B2634" s="144" t="s">
        <v>5849</v>
      </c>
      <c r="C2634" s="196">
        <v>6749</v>
      </c>
      <c r="D2634" s="230">
        <f t="shared" si="357"/>
        <v>2073.1884056987788</v>
      </c>
      <c r="E2634" s="215">
        <v>250</v>
      </c>
      <c r="F2634" s="511">
        <f t="shared" si="358"/>
        <v>2323.1999999999998</v>
      </c>
      <c r="G2634" s="518" t="s">
        <v>9230</v>
      </c>
      <c r="H2634" s="572" t="s">
        <v>5850</v>
      </c>
      <c r="I2634" s="452" t="s">
        <v>11565</v>
      </c>
      <c r="J2634" s="515" t="s">
        <v>753</v>
      </c>
      <c r="K2634" s="452" t="s">
        <v>741</v>
      </c>
    </row>
    <row r="2635" spans="1:15" s="185" customFormat="1">
      <c r="A2635" s="515"/>
      <c r="B2635" s="144" t="s">
        <v>5851</v>
      </c>
      <c r="C2635" s="196">
        <v>8924</v>
      </c>
      <c r="D2635" s="230">
        <f t="shared" si="357"/>
        <v>2741.3147625508818</v>
      </c>
      <c r="E2635" s="215">
        <v>250</v>
      </c>
      <c r="F2635" s="511">
        <f t="shared" si="358"/>
        <v>2991.4</v>
      </c>
      <c r="G2635" s="518" t="s">
        <v>9231</v>
      </c>
      <c r="H2635" s="572" t="s">
        <v>5852</v>
      </c>
      <c r="I2635" s="452" t="s">
        <v>11565</v>
      </c>
      <c r="J2635" s="515" t="s">
        <v>753</v>
      </c>
      <c r="K2635" s="452" t="s">
        <v>741</v>
      </c>
    </row>
    <row r="2636" spans="1:15" s="185" customFormat="1">
      <c r="A2636" s="515"/>
      <c r="B2636" s="144"/>
      <c r="C2636" s="196" t="s">
        <v>2024</v>
      </c>
      <c r="D2636" s="230"/>
      <c r="E2636" s="215"/>
      <c r="F2636" s="511"/>
      <c r="G2636" s="518"/>
      <c r="H2636" s="572"/>
      <c r="I2636" s="452" t="s">
        <v>2024</v>
      </c>
      <c r="J2636" s="515"/>
      <c r="K2636" s="452"/>
    </row>
    <row r="2637" spans="1:15">
      <c r="A2637" s="515"/>
      <c r="B2637" s="143"/>
      <c r="C2637" s="962" t="s">
        <v>2024</v>
      </c>
      <c r="D2637" s="230"/>
      <c r="E2637" s="215"/>
      <c r="F2637" s="511"/>
      <c r="G2637" s="518"/>
      <c r="H2637" s="143"/>
      <c r="I2637" s="452" t="s">
        <v>2024</v>
      </c>
      <c r="J2637" s="515"/>
      <c r="K2637" s="452"/>
      <c r="L2637" s="191"/>
      <c r="M2637" s="191"/>
      <c r="N2637" s="191"/>
      <c r="O2637" s="191"/>
    </row>
    <row r="2638" spans="1:15">
      <c r="A2638" s="515"/>
      <c r="B2638" s="1400" t="s">
        <v>5838</v>
      </c>
      <c r="C2638" s="1401" t="s">
        <v>2024</v>
      </c>
      <c r="D2638" s="1400"/>
      <c r="E2638" s="215"/>
      <c r="F2638" s="511"/>
      <c r="G2638" s="518"/>
      <c r="H2638" s="143"/>
      <c r="I2638" s="452" t="s">
        <v>2024</v>
      </c>
      <c r="J2638" s="515"/>
      <c r="K2638" s="452"/>
      <c r="L2638" s="191"/>
      <c r="M2638" s="191"/>
      <c r="N2638" s="191"/>
      <c r="O2638" s="191"/>
    </row>
    <row r="2639" spans="1:15">
      <c r="A2639" s="515"/>
      <c r="B2639" s="1400" t="s">
        <v>5853</v>
      </c>
      <c r="C2639" s="1401" t="s">
        <v>2024</v>
      </c>
      <c r="D2639" s="1400"/>
      <c r="E2639" s="215"/>
      <c r="F2639" s="511"/>
      <c r="G2639" s="518"/>
      <c r="H2639" s="143"/>
      <c r="I2639" s="452" t="s">
        <v>2024</v>
      </c>
      <c r="J2639" s="515"/>
      <c r="K2639" s="452"/>
      <c r="L2639" s="191"/>
      <c r="M2639" s="191"/>
      <c r="N2639" s="191"/>
      <c r="O2639" s="191"/>
    </row>
    <row r="2640" spans="1:15" s="185" customFormat="1">
      <c r="A2640" s="515"/>
      <c r="B2640" s="144"/>
      <c r="C2640" s="196" t="s">
        <v>2024</v>
      </c>
      <c r="D2640" s="230"/>
      <c r="E2640" s="215"/>
      <c r="F2640" s="511"/>
      <c r="G2640" s="518"/>
      <c r="H2640" s="518"/>
      <c r="I2640" s="452" t="s">
        <v>2024</v>
      </c>
      <c r="J2640" s="515"/>
      <c r="K2640" s="452"/>
    </row>
    <row r="2641" spans="1:15" s="185" customFormat="1">
      <c r="A2641" s="515"/>
      <c r="B2641" s="144" t="s">
        <v>5854</v>
      </c>
      <c r="C2641" s="196">
        <v>8649</v>
      </c>
      <c r="D2641" s="230">
        <f>C2641*(1-VLOOKUP(I2641,descuentos,6,FALSE))*fcl/IF(dol_sol="dólar", TC,1)</f>
        <v>2656.8390162822247</v>
      </c>
      <c r="E2641" s="215">
        <v>400</v>
      </c>
      <c r="F2641" s="511">
        <f>ROUNDUP(D2641+E2641,1)</f>
        <v>3056.9</v>
      </c>
      <c r="G2641" s="518" t="s">
        <v>9232</v>
      </c>
      <c r="H2641" s="572" t="s">
        <v>5855</v>
      </c>
      <c r="I2641" s="452" t="s">
        <v>11565</v>
      </c>
      <c r="J2641" s="515" t="s">
        <v>753</v>
      </c>
      <c r="K2641" s="452" t="s">
        <v>741</v>
      </c>
    </row>
    <row r="2642" spans="1:15" s="185" customFormat="1">
      <c r="A2642" s="515"/>
      <c r="B2642" s="144" t="s">
        <v>5856</v>
      </c>
      <c r="C2642" s="196">
        <v>9684</v>
      </c>
      <c r="D2642" s="230">
        <f>C2642*(1-VLOOKUP(I2642,descuentos,6,FALSE))*fcl/IF(dol_sol="dólar", TC,1)</f>
        <v>2974.7750067842603</v>
      </c>
      <c r="E2642" s="215">
        <v>400</v>
      </c>
      <c r="F2642" s="511">
        <f>ROUNDUP(D2642+E2642,1)</f>
        <v>3374.7999999999997</v>
      </c>
      <c r="G2642" s="518" t="s">
        <v>9233</v>
      </c>
      <c r="H2642" s="572" t="s">
        <v>5857</v>
      </c>
      <c r="I2642" s="452" t="s">
        <v>11565</v>
      </c>
      <c r="J2642" s="515" t="s">
        <v>753</v>
      </c>
      <c r="K2642" s="452" t="s">
        <v>741</v>
      </c>
    </row>
    <row r="2643" spans="1:15" s="185" customFormat="1">
      <c r="A2643" s="515"/>
      <c r="B2643" s="144" t="s">
        <v>5858</v>
      </c>
      <c r="C2643" s="196">
        <v>9363</v>
      </c>
      <c r="D2643" s="230">
        <f>C2643*(1-VLOOKUP(I2643,descuentos,6,FALSE))*fcl/IF(dol_sol="dólar", TC,1)</f>
        <v>2876.1687720488467</v>
      </c>
      <c r="E2643" s="215">
        <v>500</v>
      </c>
      <c r="F2643" s="511">
        <f>ROUNDUP(D2643+E2643,1)</f>
        <v>3376.2</v>
      </c>
      <c r="G2643" s="518" t="s">
        <v>9234</v>
      </c>
      <c r="H2643" s="572" t="s">
        <v>5859</v>
      </c>
      <c r="I2643" s="452" t="s">
        <v>11565</v>
      </c>
      <c r="J2643" s="515" t="s">
        <v>753</v>
      </c>
      <c r="K2643" s="452" t="s">
        <v>741</v>
      </c>
    </row>
    <row r="2644" spans="1:15" s="185" customFormat="1">
      <c r="A2644" s="515"/>
      <c r="B2644" s="144" t="s">
        <v>5860</v>
      </c>
      <c r="C2644" s="196">
        <v>10356</v>
      </c>
      <c r="D2644" s="230">
        <f>C2644*(1-VLOOKUP(I2644,descuentos,6,FALSE))*fcl/IF(dol_sol="dólar", TC,1)</f>
        <v>3181.2030122116685</v>
      </c>
      <c r="E2644" s="215">
        <v>500</v>
      </c>
      <c r="F2644" s="511">
        <f>ROUNDUP(D2644+E2644,1)</f>
        <v>3681.2999999999997</v>
      </c>
      <c r="G2644" s="518" t="s">
        <v>9235</v>
      </c>
      <c r="H2644" s="572" t="s">
        <v>5861</v>
      </c>
      <c r="I2644" s="452" t="s">
        <v>11565</v>
      </c>
      <c r="J2644" s="515" t="s">
        <v>753</v>
      </c>
      <c r="K2644" s="452" t="s">
        <v>741</v>
      </c>
    </row>
    <row r="2645" spans="1:15" s="185" customFormat="1">
      <c r="A2645" s="515"/>
      <c r="B2645" s="144"/>
      <c r="C2645" s="196" t="s">
        <v>2024</v>
      </c>
      <c r="D2645" s="230"/>
      <c r="E2645" s="215"/>
      <c r="F2645" s="511"/>
      <c r="G2645" s="518"/>
      <c r="H2645" s="632"/>
      <c r="I2645" s="452" t="s">
        <v>2024</v>
      </c>
      <c r="J2645" s="515"/>
      <c r="K2645" s="452"/>
    </row>
    <row r="2646" spans="1:15">
      <c r="A2646" s="515"/>
      <c r="B2646" s="1400" t="s">
        <v>5838</v>
      </c>
      <c r="C2646" s="1401" t="s">
        <v>2024</v>
      </c>
      <c r="D2646" s="1400"/>
      <c r="E2646" s="215"/>
      <c r="F2646" s="511"/>
      <c r="G2646" s="518"/>
      <c r="H2646" s="143"/>
      <c r="I2646" s="452"/>
      <c r="J2646" s="515"/>
      <c r="K2646" s="452"/>
      <c r="L2646" s="191"/>
      <c r="M2646" s="191"/>
      <c r="N2646" s="191"/>
      <c r="O2646" s="191"/>
    </row>
    <row r="2647" spans="1:15">
      <c r="A2647" s="515"/>
      <c r="B2647" s="1400" t="s">
        <v>7455</v>
      </c>
      <c r="C2647" s="1401" t="s">
        <v>2024</v>
      </c>
      <c r="D2647" s="1400"/>
      <c r="E2647" s="215"/>
      <c r="F2647" s="511"/>
      <c r="G2647" s="518"/>
      <c r="H2647" s="143"/>
      <c r="I2647" s="452"/>
      <c r="J2647" s="515"/>
      <c r="K2647" s="452"/>
      <c r="L2647" s="191"/>
      <c r="M2647" s="191"/>
      <c r="N2647" s="191"/>
      <c r="O2647" s="191"/>
    </row>
    <row r="2648" spans="1:15" s="185" customFormat="1">
      <c r="A2648" s="515"/>
      <c r="B2648" s="144"/>
      <c r="C2648" s="196" t="s">
        <v>2024</v>
      </c>
      <c r="D2648" s="230"/>
      <c r="E2648" s="215"/>
      <c r="F2648" s="511"/>
      <c r="G2648" s="518"/>
      <c r="H2648" s="518"/>
      <c r="I2648" s="452"/>
      <c r="J2648" s="515"/>
      <c r="K2648" s="452"/>
    </row>
    <row r="2649" spans="1:15" s="185" customFormat="1">
      <c r="A2649" s="515"/>
      <c r="B2649" s="144" t="s">
        <v>7456</v>
      </c>
      <c r="C2649" s="196">
        <v>5448</v>
      </c>
      <c r="D2649" s="230">
        <f t="shared" ref="D2649:D2652" si="359">C2649*(1-VLOOKUP(I2649,descuentos,6,FALSE))*fcl/IF(dol_sol="dólar", TC,1)</f>
        <v>1673.5413297150606</v>
      </c>
      <c r="E2649" s="215">
        <v>200</v>
      </c>
      <c r="F2649" s="511">
        <f t="shared" ref="F2649:F2652" si="360">ROUNDUP(D2649+E2649,1)</f>
        <v>1873.6</v>
      </c>
      <c r="G2649" s="518" t="s">
        <v>9236</v>
      </c>
      <c r="H2649" s="572" t="s">
        <v>7457</v>
      </c>
      <c r="I2649" s="452" t="s">
        <v>11565</v>
      </c>
      <c r="J2649" s="515" t="s">
        <v>753</v>
      </c>
      <c r="K2649" s="452" t="s">
        <v>741</v>
      </c>
    </row>
    <row r="2650" spans="1:15" s="185" customFormat="1">
      <c r="A2650" s="515"/>
      <c r="B2650" s="144" t="s">
        <v>7458</v>
      </c>
      <c r="C2650" s="196">
        <v>6001</v>
      </c>
      <c r="D2650" s="230">
        <f t="shared" si="359"/>
        <v>1843.4143758480325</v>
      </c>
      <c r="E2650" s="215">
        <v>200</v>
      </c>
      <c r="F2650" s="511">
        <f t="shared" si="360"/>
        <v>2043.5</v>
      </c>
      <c r="G2650" s="518" t="s">
        <v>9237</v>
      </c>
      <c r="H2650" s="572" t="s">
        <v>7459</v>
      </c>
      <c r="I2650" s="452" t="s">
        <v>11565</v>
      </c>
      <c r="J2650" s="515" t="s">
        <v>753</v>
      </c>
      <c r="K2650" s="452" t="s">
        <v>741</v>
      </c>
    </row>
    <row r="2651" spans="1:15" s="185" customFormat="1">
      <c r="A2651" s="515"/>
      <c r="B2651" s="144" t="s">
        <v>7460</v>
      </c>
      <c r="C2651" s="196">
        <v>6096</v>
      </c>
      <c r="D2651" s="230">
        <f t="shared" si="359"/>
        <v>1872.5969063772045</v>
      </c>
      <c r="E2651" s="215">
        <v>200</v>
      </c>
      <c r="F2651" s="511">
        <f t="shared" si="360"/>
        <v>2072.6</v>
      </c>
      <c r="G2651" s="518" t="s">
        <v>9238</v>
      </c>
      <c r="H2651" s="572" t="s">
        <v>7461</v>
      </c>
      <c r="I2651" s="452" t="s">
        <v>11565</v>
      </c>
      <c r="J2651" s="515" t="s">
        <v>753</v>
      </c>
      <c r="K2651" s="452" t="s">
        <v>741</v>
      </c>
    </row>
    <row r="2652" spans="1:15" s="185" customFormat="1">
      <c r="A2652" s="515"/>
      <c r="B2652" s="144" t="s">
        <v>7462</v>
      </c>
      <c r="C2652" s="196">
        <v>6628</v>
      </c>
      <c r="D2652" s="230">
        <f t="shared" si="359"/>
        <v>2036.01907734057</v>
      </c>
      <c r="E2652" s="215">
        <v>200</v>
      </c>
      <c r="F2652" s="511">
        <f t="shared" si="360"/>
        <v>2236.1</v>
      </c>
      <c r="G2652" s="518" t="s">
        <v>9239</v>
      </c>
      <c r="H2652" s="572" t="s">
        <v>7463</v>
      </c>
      <c r="I2652" s="452" t="s">
        <v>11565</v>
      </c>
      <c r="J2652" s="515" t="s">
        <v>753</v>
      </c>
      <c r="K2652" s="452" t="s">
        <v>741</v>
      </c>
    </row>
    <row r="2653" spans="1:15" s="185" customFormat="1">
      <c r="A2653" s="515"/>
      <c r="B2653" s="144"/>
      <c r="C2653" s="196" t="s">
        <v>2024</v>
      </c>
      <c r="D2653" s="230"/>
      <c r="E2653" s="215"/>
      <c r="F2653" s="511"/>
      <c r="G2653" s="518"/>
      <c r="H2653" s="572"/>
      <c r="I2653" s="452" t="s">
        <v>2024</v>
      </c>
      <c r="J2653" s="515"/>
      <c r="K2653" s="452"/>
    </row>
    <row r="2654" spans="1:15">
      <c r="A2654" s="515"/>
      <c r="B2654" s="143"/>
      <c r="C2654" s="962" t="s">
        <v>2024</v>
      </c>
      <c r="D2654" s="230"/>
      <c r="E2654" s="215"/>
      <c r="F2654" s="511"/>
      <c r="G2654" s="518"/>
      <c r="H2654" s="143"/>
      <c r="I2654" s="452" t="s">
        <v>2024</v>
      </c>
      <c r="J2654" s="515"/>
      <c r="K2654" s="452"/>
      <c r="L2654" s="191"/>
      <c r="M2654" s="191"/>
      <c r="N2654" s="191"/>
      <c r="O2654" s="191"/>
    </row>
    <row r="2655" spans="1:15">
      <c r="A2655" s="515"/>
      <c r="B2655" s="1400" t="s">
        <v>5862</v>
      </c>
      <c r="C2655" s="962" t="s">
        <v>2024</v>
      </c>
      <c r="D2655" s="230"/>
      <c r="E2655" s="215"/>
      <c r="F2655" s="511"/>
      <c r="G2655" s="518"/>
      <c r="H2655" s="143"/>
      <c r="I2655" s="452"/>
      <c r="J2655" s="515"/>
      <c r="K2655" s="452"/>
      <c r="L2655" s="191"/>
      <c r="M2655" s="191"/>
      <c r="N2655" s="191"/>
      <c r="O2655" s="191"/>
    </row>
    <row r="2656" spans="1:15" s="185" customFormat="1">
      <c r="A2656" s="515"/>
      <c r="B2656" s="144" t="s">
        <v>5863</v>
      </c>
      <c r="C2656" s="196">
        <v>74</v>
      </c>
      <c r="D2656" s="230">
        <f>C2656*(1-VLOOKUP(I2656,descuentos,6,FALSE))*fcl/IF(dol_sol="dólar", TC,1)</f>
        <v>22.731655359565806</v>
      </c>
      <c r="E2656" s="215">
        <v>2</v>
      </c>
      <c r="F2656" s="511">
        <f>ROUNDUP(D2656+E2656,1)</f>
        <v>24.8</v>
      </c>
      <c r="G2656" s="518" t="s">
        <v>5864</v>
      </c>
      <c r="H2656" s="572" t="s">
        <v>5865</v>
      </c>
      <c r="I2656" s="452" t="s">
        <v>11565</v>
      </c>
      <c r="J2656" s="515" t="s">
        <v>753</v>
      </c>
      <c r="K2656" s="452" t="s">
        <v>741</v>
      </c>
    </row>
    <row r="2657" spans="1:15">
      <c r="A2657" s="515"/>
      <c r="B2657" s="144" t="s">
        <v>5866</v>
      </c>
      <c r="C2657" s="196">
        <v>88</v>
      </c>
      <c r="D2657" s="230">
        <f>C2657*(1-VLOOKUP(I2657,descuentos,6,FALSE))*fcl/IF(dol_sol="dólar", TC,1)</f>
        <v>27.032238805970145</v>
      </c>
      <c r="E2657" s="215">
        <v>10</v>
      </c>
      <c r="F2657" s="511">
        <f>ROUNDUP(D2657+E2657,1)</f>
        <v>37.1</v>
      </c>
      <c r="G2657" s="518" t="s">
        <v>5867</v>
      </c>
      <c r="H2657" s="572" t="s">
        <v>5868</v>
      </c>
      <c r="I2657" s="452" t="s">
        <v>11565</v>
      </c>
      <c r="J2657" s="515" t="s">
        <v>753</v>
      </c>
      <c r="K2657" s="452" t="s">
        <v>741</v>
      </c>
    </row>
    <row r="2658" spans="1:15" s="185" customFormat="1">
      <c r="A2658" s="515"/>
      <c r="B2658" s="144"/>
      <c r="C2658" s="196" t="s">
        <v>2024</v>
      </c>
      <c r="D2658" s="230"/>
      <c r="E2658" s="215"/>
      <c r="F2658" s="511"/>
      <c r="G2658" s="518"/>
      <c r="H2658" s="518"/>
      <c r="I2658" s="452"/>
      <c r="J2658" s="515"/>
      <c r="K2658" s="452"/>
    </row>
    <row r="2659" spans="1:15">
      <c r="A2659" s="515"/>
      <c r="B2659" s="143"/>
      <c r="C2659" s="962" t="s">
        <v>2024</v>
      </c>
      <c r="D2659" s="230"/>
      <c r="E2659" s="215"/>
      <c r="F2659" s="511"/>
      <c r="G2659" s="518"/>
      <c r="H2659" s="143"/>
      <c r="I2659" s="452"/>
      <c r="J2659" s="515"/>
      <c r="K2659" s="452"/>
      <c r="L2659" s="191"/>
      <c r="M2659" s="191"/>
      <c r="N2659" s="191"/>
      <c r="O2659" s="191"/>
    </row>
    <row r="2660" spans="1:15">
      <c r="A2660" s="515"/>
      <c r="B2660" s="1402" t="s">
        <v>7464</v>
      </c>
      <c r="C2660" s="1403" t="s">
        <v>2024</v>
      </c>
      <c r="D2660" s="1404"/>
      <c r="E2660" s="215"/>
      <c r="F2660" s="511"/>
      <c r="G2660" s="518"/>
      <c r="H2660" s="143"/>
      <c r="I2660" s="452"/>
      <c r="J2660" s="515"/>
      <c r="K2660" s="452"/>
      <c r="L2660" s="191"/>
      <c r="M2660" s="191"/>
      <c r="N2660" s="191"/>
      <c r="O2660" s="191"/>
    </row>
    <row r="2661" spans="1:15">
      <c r="A2661" s="515"/>
      <c r="B2661" s="1402"/>
      <c r="C2661" s="1403" t="s">
        <v>2024</v>
      </c>
      <c r="D2661" s="1404"/>
      <c r="E2661" s="215"/>
      <c r="F2661" s="511"/>
      <c r="G2661" s="518"/>
      <c r="H2661" s="143"/>
      <c r="I2661" s="452"/>
      <c r="J2661" s="515"/>
      <c r="K2661" s="452"/>
      <c r="L2661" s="191"/>
      <c r="M2661" s="191"/>
      <c r="N2661" s="191"/>
      <c r="O2661" s="191"/>
    </row>
    <row r="2662" spans="1:15">
      <c r="A2662" s="1370"/>
      <c r="B2662" s="144" t="s">
        <v>5879</v>
      </c>
      <c r="C2662" s="1405">
        <v>1364.5</v>
      </c>
      <c r="D2662" s="230">
        <f t="shared" ref="D2662:D2670" si="361">C2662*(1-VLOOKUP(I2662,descuentos,6,FALSE))*fcl/IF(dol_sol="dólar", TC,1)</f>
        <v>400.30764179104466</v>
      </c>
      <c r="E2662" s="215">
        <v>5</v>
      </c>
      <c r="F2662" s="1561">
        <f>ROUNDUP(D2662+E2662,2)</f>
        <v>405.31</v>
      </c>
      <c r="G2662" s="518" t="s">
        <v>9240</v>
      </c>
      <c r="H2662" s="143" t="s">
        <v>5879</v>
      </c>
      <c r="I2662" s="452" t="s">
        <v>11566</v>
      </c>
      <c r="J2662" s="515" t="s">
        <v>753</v>
      </c>
      <c r="K2662" s="452" t="s">
        <v>741</v>
      </c>
    </row>
    <row r="2663" spans="1:15">
      <c r="A2663" s="1370"/>
      <c r="B2663" s="144" t="s">
        <v>5878</v>
      </c>
      <c r="C2663" s="1405">
        <v>1756.6</v>
      </c>
      <c r="D2663" s="230">
        <f t="shared" si="361"/>
        <v>515.33924776119386</v>
      </c>
      <c r="E2663" s="215">
        <v>5</v>
      </c>
      <c r="F2663" s="1561">
        <f>ROUNDUP(D2663+E2663,2)</f>
        <v>520.34</v>
      </c>
      <c r="G2663" s="518" t="s">
        <v>9241</v>
      </c>
      <c r="H2663" s="143" t="s">
        <v>5878</v>
      </c>
      <c r="I2663" s="452" t="s">
        <v>11566</v>
      </c>
      <c r="J2663" s="515" t="s">
        <v>753</v>
      </c>
      <c r="K2663" s="452" t="s">
        <v>741</v>
      </c>
    </row>
    <row r="2664" spans="1:15">
      <c r="A2664" s="1370"/>
      <c r="B2664" s="144" t="s">
        <v>5877</v>
      </c>
      <c r="C2664" s="1405">
        <v>1485.1999999999998</v>
      </c>
      <c r="D2664" s="230">
        <f t="shared" si="361"/>
        <v>435.71777910447736</v>
      </c>
      <c r="E2664" s="215">
        <v>5</v>
      </c>
      <c r="F2664" s="1561">
        <f>ROUNDUP(D2664+E2664,2)</f>
        <v>440.71999999999997</v>
      </c>
      <c r="G2664" s="518" t="s">
        <v>9242</v>
      </c>
      <c r="H2664" s="143" t="s">
        <v>5877</v>
      </c>
      <c r="I2664" s="452" t="s">
        <v>11566</v>
      </c>
      <c r="J2664" s="515" t="s">
        <v>753</v>
      </c>
      <c r="K2664" s="452" t="s">
        <v>741</v>
      </c>
    </row>
    <row r="2665" spans="1:15">
      <c r="A2665" s="1370"/>
      <c r="B2665" s="144" t="s">
        <v>5876</v>
      </c>
      <c r="C2665" s="1405">
        <v>1591.2</v>
      </c>
      <c r="D2665" s="230">
        <f t="shared" si="361"/>
        <v>466.81533134328345</v>
      </c>
      <c r="E2665" s="215">
        <v>5</v>
      </c>
      <c r="F2665" s="1561">
        <f t="shared" ref="F2665:F2677" si="362">ROUNDUP(D2665+E2665,2)</f>
        <v>471.82</v>
      </c>
      <c r="G2665" s="518" t="s">
        <v>9243</v>
      </c>
      <c r="H2665" s="143" t="s">
        <v>5876</v>
      </c>
      <c r="I2665" s="452" t="s">
        <v>11566</v>
      </c>
      <c r="J2665" s="515" t="s">
        <v>753</v>
      </c>
      <c r="K2665" s="452" t="s">
        <v>741</v>
      </c>
    </row>
    <row r="2666" spans="1:15">
      <c r="A2666" s="1370"/>
      <c r="B2666" s="144" t="s">
        <v>5875</v>
      </c>
      <c r="C2666" s="1405">
        <v>956.8</v>
      </c>
      <c r="D2666" s="230">
        <f t="shared" si="361"/>
        <v>280.69941492537305</v>
      </c>
      <c r="E2666" s="215">
        <v>5</v>
      </c>
      <c r="F2666" s="1561">
        <f t="shared" si="362"/>
        <v>285.7</v>
      </c>
      <c r="G2666" s="518" t="s">
        <v>9244</v>
      </c>
      <c r="H2666" s="143" t="s">
        <v>5875</v>
      </c>
      <c r="I2666" s="452" t="s">
        <v>11566</v>
      </c>
      <c r="J2666" s="515" t="s">
        <v>753</v>
      </c>
      <c r="K2666" s="452" t="s">
        <v>741</v>
      </c>
    </row>
    <row r="2667" spans="1:15">
      <c r="A2667" s="1370"/>
      <c r="B2667" s="144" t="s">
        <v>7476</v>
      </c>
      <c r="C2667" s="1405">
        <v>1472</v>
      </c>
      <c r="D2667" s="230">
        <f t="shared" si="361"/>
        <v>431.84525373134312</v>
      </c>
      <c r="E2667" s="215">
        <v>5</v>
      </c>
      <c r="F2667" s="1561">
        <f t="shared" si="362"/>
        <v>436.84999999999997</v>
      </c>
      <c r="G2667" s="518" t="s">
        <v>9245</v>
      </c>
      <c r="H2667" s="143" t="s">
        <v>7476</v>
      </c>
      <c r="I2667" s="452" t="s">
        <v>11566</v>
      </c>
      <c r="J2667" s="515" t="s">
        <v>753</v>
      </c>
      <c r="K2667" s="452" t="s">
        <v>741</v>
      </c>
    </row>
    <row r="2668" spans="1:15">
      <c r="A2668" s="1370"/>
      <c r="B2668" s="144" t="s">
        <v>7475</v>
      </c>
      <c r="C2668" s="1405">
        <v>1226</v>
      </c>
      <c r="D2668" s="230">
        <f t="shared" si="361"/>
        <v>359.67546268656713</v>
      </c>
      <c r="E2668" s="215">
        <v>5</v>
      </c>
      <c r="F2668" s="1561">
        <f t="shared" si="362"/>
        <v>364.68</v>
      </c>
      <c r="G2668" s="518" t="s">
        <v>9246</v>
      </c>
      <c r="H2668" s="143" t="s">
        <v>7475</v>
      </c>
      <c r="I2668" s="452" t="s">
        <v>11566</v>
      </c>
      <c r="J2668" s="515" t="s">
        <v>753</v>
      </c>
      <c r="K2668" s="452" t="s">
        <v>741</v>
      </c>
    </row>
    <row r="2669" spans="1:15">
      <c r="A2669" s="1370"/>
      <c r="B2669" s="144" t="s">
        <v>7474</v>
      </c>
      <c r="C2669" s="1405">
        <v>769</v>
      </c>
      <c r="D2669" s="230">
        <f t="shared" si="361"/>
        <v>225.60394029850741</v>
      </c>
      <c r="E2669" s="215">
        <v>5</v>
      </c>
      <c r="F2669" s="1561">
        <f t="shared" si="362"/>
        <v>230.60999999999999</v>
      </c>
      <c r="G2669" s="518" t="s">
        <v>9247</v>
      </c>
      <c r="H2669" s="143" t="s">
        <v>7474</v>
      </c>
      <c r="I2669" s="452" t="s">
        <v>11566</v>
      </c>
      <c r="J2669" s="515" t="s">
        <v>753</v>
      </c>
      <c r="K2669" s="452" t="s">
        <v>741</v>
      </c>
    </row>
    <row r="2670" spans="1:15">
      <c r="A2670" s="1370"/>
      <c r="B2670" s="144" t="s">
        <v>7473</v>
      </c>
      <c r="C2670" s="1405">
        <v>899</v>
      </c>
      <c r="D2670" s="230">
        <f t="shared" si="361"/>
        <v>263.74244776119394</v>
      </c>
      <c r="E2670" s="215">
        <v>5</v>
      </c>
      <c r="F2670" s="1561">
        <f t="shared" si="362"/>
        <v>268.75</v>
      </c>
      <c r="G2670" s="518" t="s">
        <v>9248</v>
      </c>
      <c r="H2670" s="143" t="s">
        <v>7473</v>
      </c>
      <c r="I2670" s="452" t="s">
        <v>11566</v>
      </c>
      <c r="J2670" s="515" t="s">
        <v>753</v>
      </c>
      <c r="K2670" s="452" t="s">
        <v>741</v>
      </c>
    </row>
    <row r="2671" spans="1:15">
      <c r="A2671" s="1370"/>
      <c r="B2671" s="144" t="s">
        <v>7472</v>
      </c>
      <c r="C2671" s="1405">
        <v>845</v>
      </c>
      <c r="D2671" s="230">
        <f t="shared" ref="D2671:D2677" si="363">C2671*(1-VLOOKUP(I2671,descuentos,6,FALSE))*fcl/IF(dol_sol="dólar", TC,1)</f>
        <v>247.90029850746262</v>
      </c>
      <c r="E2671" s="215">
        <v>5</v>
      </c>
      <c r="F2671" s="1561">
        <f t="shared" si="362"/>
        <v>252.91</v>
      </c>
      <c r="G2671" s="518" t="s">
        <v>9249</v>
      </c>
      <c r="H2671" s="143" t="s">
        <v>7472</v>
      </c>
      <c r="I2671" s="452" t="s">
        <v>11566</v>
      </c>
      <c r="J2671" s="515" t="s">
        <v>753</v>
      </c>
      <c r="K2671" s="452" t="s">
        <v>741</v>
      </c>
    </row>
    <row r="2672" spans="1:15">
      <c r="A2672" s="1370"/>
      <c r="B2672" s="144" t="s">
        <v>7471</v>
      </c>
      <c r="C2672" s="1405">
        <v>845</v>
      </c>
      <c r="D2672" s="230">
        <f t="shared" si="363"/>
        <v>247.90029850746262</v>
      </c>
      <c r="E2672" s="215">
        <v>5</v>
      </c>
      <c r="F2672" s="1561">
        <f t="shared" si="362"/>
        <v>252.91</v>
      </c>
      <c r="G2672" s="518" t="s">
        <v>9250</v>
      </c>
      <c r="H2672" s="143" t="s">
        <v>7471</v>
      </c>
      <c r="I2672" s="452" t="s">
        <v>11566</v>
      </c>
      <c r="J2672" s="515" t="s">
        <v>753</v>
      </c>
      <c r="K2672" s="452" t="s">
        <v>741</v>
      </c>
    </row>
    <row r="2673" spans="1:15">
      <c r="A2673" s="1370"/>
      <c r="B2673" s="144" t="s">
        <v>7470</v>
      </c>
      <c r="C2673" s="1405">
        <v>704</v>
      </c>
      <c r="D2673" s="230">
        <f t="shared" si="363"/>
        <v>206.5346865671641</v>
      </c>
      <c r="E2673" s="215">
        <v>5</v>
      </c>
      <c r="F2673" s="1561">
        <f t="shared" si="362"/>
        <v>211.54</v>
      </c>
      <c r="G2673" s="518" t="s">
        <v>9251</v>
      </c>
      <c r="H2673" s="143" t="s">
        <v>7470</v>
      </c>
      <c r="I2673" s="452" t="s">
        <v>11566</v>
      </c>
      <c r="J2673" s="515" t="s">
        <v>753</v>
      </c>
      <c r="K2673" s="452" t="s">
        <v>741</v>
      </c>
    </row>
    <row r="2674" spans="1:15">
      <c r="A2674" s="1370"/>
      <c r="B2674" s="144" t="s">
        <v>7469</v>
      </c>
      <c r="C2674" s="1405">
        <v>481</v>
      </c>
      <c r="D2674" s="230">
        <f t="shared" si="363"/>
        <v>141.11247761194025</v>
      </c>
      <c r="E2674" s="215">
        <v>5</v>
      </c>
      <c r="F2674" s="1561">
        <f t="shared" si="362"/>
        <v>146.12</v>
      </c>
      <c r="G2674" s="518" t="s">
        <v>9252</v>
      </c>
      <c r="H2674" s="143" t="s">
        <v>7469</v>
      </c>
      <c r="I2674" s="452" t="s">
        <v>11566</v>
      </c>
      <c r="J2674" s="515" t="s">
        <v>753</v>
      </c>
      <c r="K2674" s="452" t="s">
        <v>741</v>
      </c>
    </row>
    <row r="2675" spans="1:15">
      <c r="A2675" s="1370"/>
      <c r="B2675" s="144" t="s">
        <v>5874</v>
      </c>
      <c r="C2675" s="1405">
        <v>600.1</v>
      </c>
      <c r="D2675" s="230">
        <f t="shared" si="363"/>
        <v>176.05321791044773</v>
      </c>
      <c r="E2675" s="215">
        <v>5</v>
      </c>
      <c r="F2675" s="1561">
        <f t="shared" si="362"/>
        <v>181.06</v>
      </c>
      <c r="G2675" s="518" t="s">
        <v>9253</v>
      </c>
      <c r="H2675" s="143" t="s">
        <v>5874</v>
      </c>
      <c r="I2675" s="452" t="s">
        <v>11566</v>
      </c>
      <c r="J2675" s="515" t="s">
        <v>753</v>
      </c>
      <c r="K2675" s="452" t="s">
        <v>741</v>
      </c>
    </row>
    <row r="2676" spans="1:15">
      <c r="A2676" s="1370"/>
      <c r="B2676" s="144" t="s">
        <v>5873</v>
      </c>
      <c r="C2676" s="1405">
        <v>395.2</v>
      </c>
      <c r="D2676" s="230">
        <f t="shared" si="363"/>
        <v>115.94106268656712</v>
      </c>
      <c r="E2676" s="215">
        <v>5</v>
      </c>
      <c r="F2676" s="1561">
        <f t="shared" si="362"/>
        <v>120.95</v>
      </c>
      <c r="G2676" s="518" t="s">
        <v>9254</v>
      </c>
      <c r="H2676" s="143" t="s">
        <v>5873</v>
      </c>
      <c r="I2676" s="452" t="s">
        <v>11566</v>
      </c>
      <c r="J2676" s="515" t="s">
        <v>753</v>
      </c>
      <c r="K2676" s="452" t="s">
        <v>741</v>
      </c>
    </row>
    <row r="2677" spans="1:15">
      <c r="A2677" s="1370"/>
      <c r="B2677" s="144" t="s">
        <v>7468</v>
      </c>
      <c r="C2677" s="1405">
        <v>518</v>
      </c>
      <c r="D2677" s="230">
        <f t="shared" si="363"/>
        <v>151.96728358208952</v>
      </c>
      <c r="E2677" s="215">
        <v>5</v>
      </c>
      <c r="F2677" s="1561">
        <f t="shared" si="362"/>
        <v>156.97</v>
      </c>
      <c r="G2677" s="518" t="s">
        <v>9255</v>
      </c>
      <c r="H2677" s="143" t="s">
        <v>7468</v>
      </c>
      <c r="I2677" s="452" t="s">
        <v>11566</v>
      </c>
      <c r="J2677" s="515" t="s">
        <v>753</v>
      </c>
      <c r="K2677" s="452" t="s">
        <v>741</v>
      </c>
    </row>
    <row r="2678" spans="1:15">
      <c r="A2678" s="1370"/>
      <c r="B2678" s="144" t="s">
        <v>7467</v>
      </c>
      <c r="C2678" s="1405">
        <v>676</v>
      </c>
      <c r="D2678" s="230">
        <f t="shared" ref="D2678:D2684" si="364">C2678*(1-VLOOKUP(I2678,descuentos,6,FALSE))*fcl/IF(dol_sol="dólar", TC,1)</f>
        <v>198.32023880597006</v>
      </c>
      <c r="E2678" s="215">
        <v>5</v>
      </c>
      <c r="F2678" s="1561">
        <f>ROUNDUP(D2678+E2678,2)</f>
        <v>203.32999999999998</v>
      </c>
      <c r="G2678" s="518" t="s">
        <v>9256</v>
      </c>
      <c r="H2678" s="143" t="s">
        <v>7467</v>
      </c>
      <c r="I2678" s="452" t="s">
        <v>11566</v>
      </c>
      <c r="J2678" s="515" t="s">
        <v>753</v>
      </c>
      <c r="K2678" s="452" t="s">
        <v>741</v>
      </c>
    </row>
    <row r="2679" spans="1:15">
      <c r="A2679" s="1370"/>
      <c r="B2679" s="144" t="s">
        <v>5872</v>
      </c>
      <c r="C2679" s="1405">
        <v>498.20000000000005</v>
      </c>
      <c r="D2679" s="230">
        <f t="shared" si="364"/>
        <v>146.15849552238802</v>
      </c>
      <c r="E2679" s="215">
        <v>5</v>
      </c>
      <c r="F2679" s="1561">
        <f t="shared" ref="F2679:F2684" si="365">ROUNDUP(D2679+E2679,2)</f>
        <v>151.16</v>
      </c>
      <c r="G2679" s="518" t="s">
        <v>9257</v>
      </c>
      <c r="H2679" s="143" t="s">
        <v>5872</v>
      </c>
      <c r="I2679" s="452" t="s">
        <v>11566</v>
      </c>
      <c r="J2679" s="515" t="s">
        <v>753</v>
      </c>
      <c r="K2679" s="452" t="s">
        <v>741</v>
      </c>
    </row>
    <row r="2680" spans="1:15">
      <c r="A2680" s="1370"/>
      <c r="B2680" s="144" t="s">
        <v>5871</v>
      </c>
      <c r="C2680" s="1405">
        <v>322.39999999999998</v>
      </c>
      <c r="D2680" s="230">
        <f t="shared" si="364"/>
        <v>94.58349850746265</v>
      </c>
      <c r="E2680" s="215">
        <v>5</v>
      </c>
      <c r="F2680" s="1561">
        <f t="shared" si="365"/>
        <v>99.59</v>
      </c>
      <c r="G2680" s="518" t="s">
        <v>9258</v>
      </c>
      <c r="H2680" s="143" t="s">
        <v>5871</v>
      </c>
      <c r="I2680" s="452" t="s">
        <v>11566</v>
      </c>
      <c r="J2680" s="515" t="s">
        <v>753</v>
      </c>
      <c r="K2680" s="452" t="s">
        <v>741</v>
      </c>
    </row>
    <row r="2681" spans="1:15">
      <c r="A2681" s="1370"/>
      <c r="B2681" s="144" t="s">
        <v>7466</v>
      </c>
      <c r="C2681" s="1405">
        <v>435</v>
      </c>
      <c r="D2681" s="230">
        <f t="shared" si="364"/>
        <v>127.61731343283579</v>
      </c>
      <c r="E2681" s="215">
        <v>5</v>
      </c>
      <c r="F2681" s="1561">
        <f t="shared" si="365"/>
        <v>132.62</v>
      </c>
      <c r="G2681" s="518" t="s">
        <v>9259</v>
      </c>
      <c r="H2681" s="143" t="s">
        <v>7466</v>
      </c>
      <c r="I2681" s="452" t="s">
        <v>11566</v>
      </c>
      <c r="J2681" s="515" t="s">
        <v>753</v>
      </c>
      <c r="K2681" s="452" t="s">
        <v>741</v>
      </c>
    </row>
    <row r="2682" spans="1:15">
      <c r="A2682" s="1370"/>
      <c r="B2682" s="144" t="s">
        <v>5870</v>
      </c>
      <c r="C2682" s="1405">
        <v>425.40000000000003</v>
      </c>
      <c r="D2682" s="230">
        <f t="shared" si="364"/>
        <v>124.80093134328355</v>
      </c>
      <c r="E2682" s="215">
        <v>5</v>
      </c>
      <c r="F2682" s="1561">
        <f t="shared" si="365"/>
        <v>129.81</v>
      </c>
      <c r="G2682" s="518" t="s">
        <v>9260</v>
      </c>
      <c r="H2682" s="143" t="s">
        <v>5870</v>
      </c>
      <c r="I2682" s="452" t="s">
        <v>11566</v>
      </c>
      <c r="J2682" s="515" t="s">
        <v>753</v>
      </c>
      <c r="K2682" s="452" t="s">
        <v>741</v>
      </c>
    </row>
    <row r="2683" spans="1:15">
      <c r="A2683" s="1370"/>
      <c r="B2683" s="144" t="s">
        <v>7465</v>
      </c>
      <c r="C2683" s="1405">
        <v>386</v>
      </c>
      <c r="D2683" s="230">
        <f t="shared" si="364"/>
        <v>113.24202985074625</v>
      </c>
      <c r="E2683" s="215">
        <v>5</v>
      </c>
      <c r="F2683" s="1561">
        <f t="shared" si="365"/>
        <v>118.25</v>
      </c>
      <c r="G2683" s="518" t="s">
        <v>9261</v>
      </c>
      <c r="H2683" s="143" t="s">
        <v>7465</v>
      </c>
      <c r="I2683" s="452" t="s">
        <v>11566</v>
      </c>
      <c r="J2683" s="515" t="s">
        <v>753</v>
      </c>
      <c r="K2683" s="452" t="s">
        <v>741</v>
      </c>
    </row>
    <row r="2684" spans="1:15">
      <c r="A2684" s="1370"/>
      <c r="B2684" s="144" t="s">
        <v>5869</v>
      </c>
      <c r="C2684" s="1405">
        <v>235.1</v>
      </c>
      <c r="D2684" s="230">
        <f t="shared" si="364"/>
        <v>68.972023880596993</v>
      </c>
      <c r="E2684" s="215">
        <v>5</v>
      </c>
      <c r="F2684" s="1561">
        <f t="shared" si="365"/>
        <v>73.98</v>
      </c>
      <c r="G2684" s="518" t="s">
        <v>9262</v>
      </c>
      <c r="H2684" s="143" t="s">
        <v>5869</v>
      </c>
      <c r="I2684" s="452" t="s">
        <v>11566</v>
      </c>
      <c r="J2684" s="515" t="s">
        <v>753</v>
      </c>
      <c r="K2684" s="452" t="s">
        <v>741</v>
      </c>
    </row>
    <row r="2685" spans="1:15">
      <c r="A2685" s="515"/>
      <c r="B2685" s="144"/>
      <c r="C2685" s="196" t="s">
        <v>2024</v>
      </c>
      <c r="D2685" s="230"/>
      <c r="E2685" s="215"/>
      <c r="F2685" s="511"/>
      <c r="G2685" s="518"/>
      <c r="H2685" s="572"/>
      <c r="I2685" s="452"/>
      <c r="J2685" s="515"/>
      <c r="K2685" s="452"/>
    </row>
    <row r="2686" spans="1:15">
      <c r="A2686" s="515"/>
      <c r="B2686" s="1402" t="s">
        <v>7477</v>
      </c>
      <c r="C2686" s="1403" t="s">
        <v>2024</v>
      </c>
      <c r="D2686" s="1404"/>
      <c r="E2686" s="215"/>
      <c r="F2686" s="511"/>
      <c r="G2686" s="518"/>
      <c r="H2686" s="143"/>
      <c r="I2686" s="452"/>
      <c r="J2686" s="515"/>
      <c r="K2686" s="452"/>
      <c r="L2686" s="191"/>
      <c r="M2686" s="191"/>
      <c r="N2686" s="191"/>
      <c r="O2686" s="191"/>
    </row>
    <row r="2687" spans="1:15">
      <c r="A2687" s="515"/>
      <c r="B2687" s="1402"/>
      <c r="C2687" s="1403" t="s">
        <v>2024</v>
      </c>
      <c r="D2687" s="1404"/>
      <c r="E2687" s="215"/>
      <c r="F2687" s="511"/>
      <c r="G2687" s="518"/>
      <c r="H2687" s="143"/>
      <c r="I2687" s="452"/>
      <c r="J2687" s="515"/>
      <c r="K2687" s="452"/>
      <c r="L2687" s="191"/>
      <c r="M2687" s="191"/>
      <c r="N2687" s="191"/>
      <c r="O2687" s="191"/>
    </row>
    <row r="2688" spans="1:15">
      <c r="A2688" s="515"/>
      <c r="B2688" s="144" t="s">
        <v>7478</v>
      </c>
      <c r="C2688" s="1405">
        <v>727</v>
      </c>
      <c r="D2688" s="230">
        <f t="shared" ref="D2688:D2693" si="366">C2688*(1-VLOOKUP(I2688,descuentos,6,FALSE))*fcl/IF(dol_sol="dólar", TC,1)</f>
        <v>213.28226865671633</v>
      </c>
      <c r="E2688" s="215">
        <v>5</v>
      </c>
      <c r="F2688" s="511">
        <f t="shared" ref="F2688:F2700" si="367">ROUNDUP(D2688+E2688,2)</f>
        <v>218.29</v>
      </c>
      <c r="G2688" s="518" t="s">
        <v>7479</v>
      </c>
      <c r="H2688" s="572" t="s">
        <v>7480</v>
      </c>
      <c r="I2688" s="452" t="s">
        <v>11566</v>
      </c>
      <c r="J2688" s="515" t="s">
        <v>753</v>
      </c>
      <c r="K2688" s="452" t="s">
        <v>741</v>
      </c>
    </row>
    <row r="2689" spans="1:15">
      <c r="A2689" s="515"/>
      <c r="B2689" s="144" t="s">
        <v>7481</v>
      </c>
      <c r="C2689" s="1405">
        <v>761</v>
      </c>
      <c r="D2689" s="230">
        <f t="shared" si="366"/>
        <v>223.25695522388057</v>
      </c>
      <c r="E2689" s="215">
        <v>5</v>
      </c>
      <c r="F2689" s="511">
        <f t="shared" si="367"/>
        <v>228.26</v>
      </c>
      <c r="G2689" s="518" t="s">
        <v>7482</v>
      </c>
      <c r="H2689" s="572" t="s">
        <v>7483</v>
      </c>
      <c r="I2689" s="452" t="s">
        <v>11566</v>
      </c>
      <c r="J2689" s="515" t="s">
        <v>753</v>
      </c>
      <c r="K2689" s="452" t="s">
        <v>741</v>
      </c>
    </row>
    <row r="2690" spans="1:15">
      <c r="A2690" s="515"/>
      <c r="B2690" s="144" t="s">
        <v>7484</v>
      </c>
      <c r="C2690" s="1405">
        <v>873</v>
      </c>
      <c r="D2690" s="230">
        <f t="shared" si="366"/>
        <v>256.11474626865663</v>
      </c>
      <c r="E2690" s="215">
        <v>5</v>
      </c>
      <c r="F2690" s="511">
        <f t="shared" si="367"/>
        <v>261.12</v>
      </c>
      <c r="G2690" s="518" t="s">
        <v>7485</v>
      </c>
      <c r="H2690" s="572" t="s">
        <v>7486</v>
      </c>
      <c r="I2690" s="452" t="s">
        <v>11566</v>
      </c>
      <c r="J2690" s="515" t="s">
        <v>753</v>
      </c>
      <c r="K2690" s="452" t="s">
        <v>741</v>
      </c>
    </row>
    <row r="2691" spans="1:15">
      <c r="A2691" s="515"/>
      <c r="B2691" s="144" t="s">
        <v>7487</v>
      </c>
      <c r="C2691" s="1405">
        <v>926</v>
      </c>
      <c r="D2691" s="230">
        <f t="shared" si="366"/>
        <v>271.66352238805962</v>
      </c>
      <c r="E2691" s="215">
        <v>5</v>
      </c>
      <c r="F2691" s="511">
        <f t="shared" si="367"/>
        <v>276.67</v>
      </c>
      <c r="G2691" s="518" t="s">
        <v>7488</v>
      </c>
      <c r="H2691" s="572" t="s">
        <v>7489</v>
      </c>
      <c r="I2691" s="452" t="s">
        <v>11566</v>
      </c>
      <c r="J2691" s="515" t="s">
        <v>753</v>
      </c>
      <c r="K2691" s="452" t="s">
        <v>741</v>
      </c>
    </row>
    <row r="2692" spans="1:15">
      <c r="A2692" s="515"/>
      <c r="B2692" s="144" t="s">
        <v>7490</v>
      </c>
      <c r="C2692" s="1405">
        <v>1076</v>
      </c>
      <c r="D2692" s="230">
        <f t="shared" si="366"/>
        <v>315.66949253731337</v>
      </c>
      <c r="E2692" s="215">
        <v>5</v>
      </c>
      <c r="F2692" s="511">
        <f t="shared" si="367"/>
        <v>320.67</v>
      </c>
      <c r="G2692" s="518" t="s">
        <v>7491</v>
      </c>
      <c r="H2692" s="572" t="s">
        <v>7492</v>
      </c>
      <c r="I2692" s="452" t="s">
        <v>11566</v>
      </c>
      <c r="J2692" s="515" t="s">
        <v>753</v>
      </c>
      <c r="K2692" s="452" t="s">
        <v>741</v>
      </c>
    </row>
    <row r="2693" spans="1:15">
      <c r="A2693" s="515"/>
      <c r="B2693" s="144" t="s">
        <v>7493</v>
      </c>
      <c r="C2693" s="1405">
        <v>1155</v>
      </c>
      <c r="D2693" s="230">
        <f t="shared" si="366"/>
        <v>338.84597014925367</v>
      </c>
      <c r="E2693" s="215">
        <v>5</v>
      </c>
      <c r="F2693" s="511">
        <f t="shared" si="367"/>
        <v>343.84999999999997</v>
      </c>
      <c r="G2693" s="518" t="s">
        <v>7494</v>
      </c>
      <c r="H2693" s="572" t="s">
        <v>7495</v>
      </c>
      <c r="I2693" s="452" t="s">
        <v>11566</v>
      </c>
      <c r="J2693" s="515" t="s">
        <v>753</v>
      </c>
      <c r="K2693" s="452" t="s">
        <v>741</v>
      </c>
    </row>
    <row r="2694" spans="1:15">
      <c r="A2694" s="515"/>
      <c r="B2694" s="144" t="s">
        <v>7496</v>
      </c>
      <c r="C2694" s="1405">
        <v>1375</v>
      </c>
      <c r="D2694" s="230">
        <f t="shared" ref="D2694:D2700" si="368">C2694*(1-VLOOKUP(I2694,descuentos,6,FALSE))*fcl/IF(dol_sol="dólar", TC,1)</f>
        <v>403.38805970149241</v>
      </c>
      <c r="E2694" s="215">
        <v>5</v>
      </c>
      <c r="F2694" s="511">
        <f t="shared" si="367"/>
        <v>408.39</v>
      </c>
      <c r="G2694" s="518" t="s">
        <v>7497</v>
      </c>
      <c r="H2694" s="572" t="s">
        <v>7498</v>
      </c>
      <c r="I2694" s="452" t="s">
        <v>11566</v>
      </c>
      <c r="J2694" s="515" t="s">
        <v>753</v>
      </c>
      <c r="K2694" s="452" t="s">
        <v>741</v>
      </c>
    </row>
    <row r="2695" spans="1:15">
      <c r="A2695" s="515"/>
      <c r="B2695" s="144" t="s">
        <v>7499</v>
      </c>
      <c r="C2695" s="1405">
        <v>1551</v>
      </c>
      <c r="D2695" s="230">
        <f t="shared" si="368"/>
        <v>455.02173134328348</v>
      </c>
      <c r="E2695" s="215">
        <v>5</v>
      </c>
      <c r="F2695" s="511">
        <f t="shared" si="367"/>
        <v>460.03</v>
      </c>
      <c r="G2695" s="518" t="s">
        <v>7500</v>
      </c>
      <c r="H2695" s="572" t="s">
        <v>7501</v>
      </c>
      <c r="I2695" s="452" t="s">
        <v>11566</v>
      </c>
      <c r="J2695" s="515" t="s">
        <v>753</v>
      </c>
      <c r="K2695" s="452" t="s">
        <v>741</v>
      </c>
    </row>
    <row r="2696" spans="1:15">
      <c r="A2696" s="515"/>
      <c r="B2696" s="144" t="s">
        <v>7502</v>
      </c>
      <c r="C2696" s="1405">
        <v>1802</v>
      </c>
      <c r="D2696" s="230">
        <f t="shared" si="368"/>
        <v>528.65838805970122</v>
      </c>
      <c r="E2696" s="215">
        <v>5</v>
      </c>
      <c r="F2696" s="511">
        <f t="shared" si="367"/>
        <v>533.66</v>
      </c>
      <c r="G2696" s="518" t="s">
        <v>7503</v>
      </c>
      <c r="H2696" s="572" t="s">
        <v>7504</v>
      </c>
      <c r="I2696" s="452" t="s">
        <v>11566</v>
      </c>
      <c r="J2696" s="515" t="s">
        <v>753</v>
      </c>
      <c r="K2696" s="452" t="s">
        <v>741</v>
      </c>
    </row>
    <row r="2697" spans="1:15">
      <c r="A2697" s="515"/>
      <c r="B2697" s="144" t="s">
        <v>7505</v>
      </c>
      <c r="C2697" s="1405">
        <v>1956</v>
      </c>
      <c r="D2697" s="230">
        <f t="shared" si="368"/>
        <v>573.83785074626849</v>
      </c>
      <c r="E2697" s="215">
        <v>5</v>
      </c>
      <c r="F2697" s="511">
        <f t="shared" si="367"/>
        <v>578.84</v>
      </c>
      <c r="G2697" s="518" t="s">
        <v>7506</v>
      </c>
      <c r="H2697" s="572" t="s">
        <v>7507</v>
      </c>
      <c r="I2697" s="452" t="s">
        <v>11566</v>
      </c>
      <c r="J2697" s="515" t="s">
        <v>753</v>
      </c>
      <c r="K2697" s="452" t="s">
        <v>741</v>
      </c>
    </row>
    <row r="2698" spans="1:15">
      <c r="A2698" s="515"/>
      <c r="B2698" s="144" t="s">
        <v>7508</v>
      </c>
      <c r="C2698" s="1405">
        <v>2155</v>
      </c>
      <c r="D2698" s="230">
        <f t="shared" si="368"/>
        <v>632.21910447761172</v>
      </c>
      <c r="E2698" s="215">
        <v>5</v>
      </c>
      <c r="F2698" s="511">
        <f t="shared" si="367"/>
        <v>637.22</v>
      </c>
      <c r="G2698" s="518" t="s">
        <v>7509</v>
      </c>
      <c r="H2698" s="572" t="s">
        <v>7510</v>
      </c>
      <c r="I2698" s="452" t="s">
        <v>11566</v>
      </c>
      <c r="J2698" s="515" t="s">
        <v>753</v>
      </c>
      <c r="K2698" s="452" t="s">
        <v>741</v>
      </c>
    </row>
    <row r="2699" spans="1:15">
      <c r="A2699" s="515"/>
      <c r="B2699" s="144" t="s">
        <v>7511</v>
      </c>
      <c r="C2699" s="1405">
        <v>2151</v>
      </c>
      <c r="D2699" s="230">
        <f t="shared" si="368"/>
        <v>631.04561194029827</v>
      </c>
      <c r="E2699" s="215">
        <v>5</v>
      </c>
      <c r="F2699" s="511">
        <f t="shared" si="367"/>
        <v>636.04999999999995</v>
      </c>
      <c r="G2699" s="518" t="s">
        <v>7512</v>
      </c>
      <c r="H2699" s="572" t="s">
        <v>7513</v>
      </c>
      <c r="I2699" s="452" t="s">
        <v>11566</v>
      </c>
      <c r="J2699" s="515" t="s">
        <v>753</v>
      </c>
      <c r="K2699" s="452" t="s">
        <v>741</v>
      </c>
    </row>
    <row r="2700" spans="1:15">
      <c r="A2700" s="515"/>
      <c r="B2700" s="144" t="s">
        <v>7514</v>
      </c>
      <c r="C2700" s="1405">
        <v>2301</v>
      </c>
      <c r="D2700" s="230">
        <f t="shared" si="368"/>
        <v>675.05158208955208</v>
      </c>
      <c r="E2700" s="215">
        <v>5</v>
      </c>
      <c r="F2700" s="511">
        <f t="shared" si="367"/>
        <v>680.06</v>
      </c>
      <c r="G2700" s="518" t="s">
        <v>7515</v>
      </c>
      <c r="H2700" s="572" t="s">
        <v>7516</v>
      </c>
      <c r="I2700" s="452" t="s">
        <v>11566</v>
      </c>
      <c r="J2700" s="515" t="s">
        <v>753</v>
      </c>
      <c r="K2700" s="452" t="s">
        <v>741</v>
      </c>
    </row>
    <row r="2701" spans="1:15" s="185" customFormat="1">
      <c r="A2701" s="515"/>
      <c r="B2701" s="144"/>
      <c r="C2701" s="196" t="s">
        <v>2024</v>
      </c>
      <c r="D2701" s="230"/>
      <c r="E2701" s="215"/>
      <c r="F2701" s="511"/>
      <c r="G2701" s="518"/>
      <c r="H2701" s="632"/>
      <c r="I2701" s="452"/>
      <c r="J2701" s="515"/>
      <c r="K2701" s="452"/>
    </row>
    <row r="2702" spans="1:15" s="185" customFormat="1">
      <c r="A2702" s="515"/>
      <c r="B2702" s="144"/>
      <c r="C2702" s="196" t="s">
        <v>2024</v>
      </c>
      <c r="D2702" s="230"/>
      <c r="E2702" s="215"/>
      <c r="F2702" s="511"/>
      <c r="G2702" s="518"/>
      <c r="H2702" s="632"/>
      <c r="I2702" s="452"/>
      <c r="J2702" s="515"/>
      <c r="K2702" s="452"/>
    </row>
    <row r="2703" spans="1:15">
      <c r="A2703" s="515"/>
      <c r="B2703" s="1402" t="s">
        <v>9263</v>
      </c>
      <c r="C2703" s="1402" t="s">
        <v>2024</v>
      </c>
      <c r="D2703" s="230"/>
      <c r="E2703" s="215"/>
      <c r="F2703" s="511"/>
      <c r="G2703" s="518"/>
      <c r="H2703" s="143"/>
      <c r="I2703" s="452"/>
      <c r="J2703" s="515"/>
      <c r="K2703" s="452"/>
      <c r="L2703" s="191"/>
      <c r="M2703" s="191"/>
      <c r="N2703" s="191"/>
      <c r="O2703" s="191"/>
    </row>
    <row r="2704" spans="1:15">
      <c r="A2704" s="515"/>
      <c r="B2704" s="144" t="s">
        <v>9264</v>
      </c>
      <c r="C2704" s="196">
        <v>106</v>
      </c>
      <c r="D2704" s="230">
        <f t="shared" ref="D2704:D2710" si="369">C2704*(1-VLOOKUP(I2704,descuentos,6,FALSE))*fcl/IF(dol_sol="dólar", TC,1)</f>
        <v>31.09755223880596</v>
      </c>
      <c r="E2704" s="215">
        <v>5</v>
      </c>
      <c r="F2704" s="511">
        <f t="shared" ref="F2704:F2710" si="370">ROUNDUP(D2704+E2704,2)</f>
        <v>36.1</v>
      </c>
      <c r="G2704" s="518" t="s">
        <v>9265</v>
      </c>
      <c r="H2704" s="572" t="str">
        <f t="shared" ref="H2704:H2710" si="371">B2704</f>
        <v>KD5040K</v>
      </c>
      <c r="I2704" s="452" t="s">
        <v>11566</v>
      </c>
      <c r="J2704" s="515" t="s">
        <v>753</v>
      </c>
      <c r="K2704" s="452" t="s">
        <v>741</v>
      </c>
    </row>
    <row r="2705" spans="1:15">
      <c r="A2705" s="515"/>
      <c r="B2705" s="144" t="s">
        <v>9266</v>
      </c>
      <c r="C2705" s="196">
        <v>118</v>
      </c>
      <c r="D2705" s="230">
        <f t="shared" si="369"/>
        <v>34.618029850746261</v>
      </c>
      <c r="E2705" s="215">
        <v>5</v>
      </c>
      <c r="F2705" s="511">
        <f t="shared" si="370"/>
        <v>39.619999999999997</v>
      </c>
      <c r="G2705" s="518" t="s">
        <v>9267</v>
      </c>
      <c r="H2705" s="572" t="str">
        <f t="shared" si="371"/>
        <v>KD6040K</v>
      </c>
      <c r="I2705" s="452" t="s">
        <v>11566</v>
      </c>
      <c r="J2705" s="515" t="s">
        <v>753</v>
      </c>
      <c r="K2705" s="452" t="s">
        <v>741</v>
      </c>
    </row>
    <row r="2706" spans="1:15">
      <c r="A2706" s="515"/>
      <c r="B2706" s="144" t="s">
        <v>9268</v>
      </c>
      <c r="C2706" s="196">
        <v>144</v>
      </c>
      <c r="D2706" s="230">
        <f t="shared" si="369"/>
        <v>42.245731343283573</v>
      </c>
      <c r="E2706" s="215">
        <v>5</v>
      </c>
      <c r="F2706" s="511">
        <f t="shared" si="370"/>
        <v>47.25</v>
      </c>
      <c r="G2706" s="518" t="s">
        <v>9269</v>
      </c>
      <c r="H2706" s="572" t="str">
        <f t="shared" si="371"/>
        <v>KD8060K</v>
      </c>
      <c r="I2706" s="452" t="s">
        <v>11566</v>
      </c>
      <c r="J2706" s="515" t="s">
        <v>753</v>
      </c>
      <c r="K2706" s="452" t="s">
        <v>741</v>
      </c>
    </row>
    <row r="2707" spans="1:15">
      <c r="A2707" s="515"/>
      <c r="B2707" s="144" t="s">
        <v>9270</v>
      </c>
      <c r="C2707" s="196">
        <v>156</v>
      </c>
      <c r="D2707" s="230">
        <f t="shared" si="369"/>
        <v>45.766208955223874</v>
      </c>
      <c r="E2707" s="215">
        <v>5</v>
      </c>
      <c r="F2707" s="511">
        <f t="shared" si="370"/>
        <v>50.769999999999996</v>
      </c>
      <c r="G2707" s="518" t="s">
        <v>9271</v>
      </c>
      <c r="H2707" s="572" t="str">
        <f t="shared" si="371"/>
        <v>KD1060K</v>
      </c>
      <c r="I2707" s="452" t="s">
        <v>11566</v>
      </c>
      <c r="J2707" s="515" t="s">
        <v>753</v>
      </c>
      <c r="K2707" s="452" t="s">
        <v>741</v>
      </c>
    </row>
    <row r="2708" spans="1:15">
      <c r="A2708" s="515"/>
      <c r="B2708" s="144" t="s">
        <v>9272</v>
      </c>
      <c r="C2708" s="196">
        <v>177</v>
      </c>
      <c r="D2708" s="230">
        <f t="shared" si="369"/>
        <v>51.927044776119388</v>
      </c>
      <c r="E2708" s="215">
        <v>5</v>
      </c>
      <c r="F2708" s="511">
        <f t="shared" si="370"/>
        <v>56.93</v>
      </c>
      <c r="G2708" s="518" t="s">
        <v>9273</v>
      </c>
      <c r="H2708" s="572" t="str">
        <f t="shared" si="371"/>
        <v>KD1080K</v>
      </c>
      <c r="I2708" s="452" t="s">
        <v>11566</v>
      </c>
      <c r="J2708" s="515" t="s">
        <v>753</v>
      </c>
      <c r="K2708" s="452" t="s">
        <v>741</v>
      </c>
    </row>
    <row r="2709" spans="1:15">
      <c r="A2709" s="515"/>
      <c r="B2709" s="144" t="s">
        <v>9274</v>
      </c>
      <c r="C2709" s="196">
        <v>177</v>
      </c>
      <c r="D2709" s="230">
        <f t="shared" si="369"/>
        <v>51.927044776119388</v>
      </c>
      <c r="E2709" s="215">
        <v>5</v>
      </c>
      <c r="F2709" s="511">
        <f t="shared" si="370"/>
        <v>56.93</v>
      </c>
      <c r="G2709" s="518" t="s">
        <v>9275</v>
      </c>
      <c r="H2709" s="572" t="str">
        <f t="shared" si="371"/>
        <v>KD1260K</v>
      </c>
      <c r="I2709" s="452" t="s">
        <v>11566</v>
      </c>
      <c r="J2709" s="515" t="s">
        <v>753</v>
      </c>
      <c r="K2709" s="452" t="s">
        <v>741</v>
      </c>
    </row>
    <row r="2710" spans="1:15">
      <c r="A2710" s="515"/>
      <c r="B2710" s="144" t="s">
        <v>9276</v>
      </c>
      <c r="C2710" s="196">
        <v>196</v>
      </c>
      <c r="D2710" s="230">
        <f t="shared" si="369"/>
        <v>57.501134328358184</v>
      </c>
      <c r="E2710" s="215">
        <v>5</v>
      </c>
      <c r="F2710" s="511">
        <f t="shared" si="370"/>
        <v>62.51</v>
      </c>
      <c r="G2710" s="518" t="s">
        <v>9277</v>
      </c>
      <c r="H2710" s="572" t="str">
        <f t="shared" si="371"/>
        <v>KD1280K</v>
      </c>
      <c r="I2710" s="452" t="s">
        <v>11566</v>
      </c>
      <c r="J2710" s="515" t="s">
        <v>753</v>
      </c>
      <c r="K2710" s="452" t="s">
        <v>741</v>
      </c>
    </row>
    <row r="2711" spans="1:15" s="185" customFormat="1">
      <c r="A2711" s="515"/>
      <c r="B2711" s="144"/>
      <c r="C2711" s="196" t="s">
        <v>2024</v>
      </c>
      <c r="D2711" s="230"/>
      <c r="E2711" s="215"/>
      <c r="F2711" s="511"/>
      <c r="G2711" s="518"/>
      <c r="H2711" s="632"/>
      <c r="I2711" s="452"/>
      <c r="J2711" s="515"/>
      <c r="K2711" s="452"/>
    </row>
    <row r="2712" spans="1:15" s="185" customFormat="1">
      <c r="A2712" s="515"/>
      <c r="B2712" s="144"/>
      <c r="C2712" s="196" t="s">
        <v>2024</v>
      </c>
      <c r="D2712" s="230"/>
      <c r="E2712" s="215"/>
      <c r="F2712" s="511"/>
      <c r="G2712" s="518"/>
      <c r="H2712" s="632"/>
      <c r="I2712" s="452"/>
      <c r="J2712" s="515"/>
      <c r="K2712" s="452"/>
    </row>
    <row r="2713" spans="1:15">
      <c r="A2713" s="515"/>
      <c r="B2713" s="1402" t="s">
        <v>9278</v>
      </c>
      <c r="C2713" s="1402" t="s">
        <v>2024</v>
      </c>
      <c r="D2713" s="1402"/>
      <c r="E2713" s="143"/>
      <c r="F2713" s="143"/>
      <c r="G2713" s="518"/>
      <c r="H2713" s="143"/>
      <c r="I2713" s="452"/>
      <c r="J2713" s="515"/>
      <c r="K2713" s="452"/>
      <c r="L2713" s="191"/>
      <c r="M2713" s="191"/>
      <c r="N2713" s="191"/>
      <c r="O2713" s="191"/>
    </row>
    <row r="2714" spans="1:15" s="185" customFormat="1">
      <c r="A2714" s="515"/>
      <c r="B2714" s="1402" t="s">
        <v>9279</v>
      </c>
      <c r="C2714" s="1402" t="s">
        <v>2024</v>
      </c>
      <c r="D2714" s="1402"/>
      <c r="E2714" s="215"/>
      <c r="F2714" s="511"/>
      <c r="G2714" s="518"/>
      <c r="H2714" s="632"/>
      <c r="I2714" s="452"/>
      <c r="J2714" s="515"/>
      <c r="K2714" s="452"/>
    </row>
    <row r="2715" spans="1:15">
      <c r="A2715" s="515"/>
      <c r="B2715" s="144" t="s">
        <v>9280</v>
      </c>
      <c r="C2715" s="196">
        <v>124</v>
      </c>
      <c r="D2715" s="230">
        <f>C2715*(1-VLOOKUP(I2715,descuentos,6,FALSE))*fcl/IF(dol_sol="dólar", TC,1)</f>
        <v>36.378268656716408</v>
      </c>
      <c r="E2715" s="215">
        <v>5</v>
      </c>
      <c r="F2715" s="511">
        <f>ROUNDUP(D2715+E2715,2)</f>
        <v>41.379999999999995</v>
      </c>
      <c r="G2715" s="518" t="s">
        <v>9281</v>
      </c>
      <c r="H2715" s="572" t="str">
        <f>B2715</f>
        <v>PM1414K</v>
      </c>
      <c r="I2715" s="452" t="s">
        <v>11566</v>
      </c>
      <c r="J2715" s="515" t="s">
        <v>753</v>
      </c>
      <c r="K2715" s="452" t="s">
        <v>741</v>
      </c>
    </row>
    <row r="2716" spans="1:15">
      <c r="A2716" s="515"/>
      <c r="B2716" s="144" t="s">
        <v>9282</v>
      </c>
      <c r="C2716" s="196">
        <v>130</v>
      </c>
      <c r="D2716" s="230">
        <f>C2716*(1-VLOOKUP(I2716,descuentos,6,FALSE))*fcl/IF(dol_sol="dólar", TC,1)</f>
        <v>38.138507462686555</v>
      </c>
      <c r="E2716" s="215">
        <v>5</v>
      </c>
      <c r="F2716" s="511">
        <f>ROUNDUP(D2716+E2716,2)</f>
        <v>43.14</v>
      </c>
      <c r="G2716" s="518" t="s">
        <v>9283</v>
      </c>
      <c r="H2716" s="572" t="str">
        <f>B2716</f>
        <v>PM1625K</v>
      </c>
      <c r="I2716" s="452" t="s">
        <v>11566</v>
      </c>
      <c r="J2716" s="515" t="s">
        <v>753</v>
      </c>
      <c r="K2716" s="452" t="s">
        <v>741</v>
      </c>
    </row>
    <row r="2717" spans="1:15" s="185" customFormat="1">
      <c r="A2717" s="515"/>
      <c r="B2717" s="144"/>
      <c r="C2717" s="196" t="s">
        <v>2024</v>
      </c>
      <c r="D2717" s="230"/>
      <c r="E2717" s="215"/>
      <c r="F2717" s="511"/>
      <c r="G2717" s="518"/>
      <c r="H2717" s="632"/>
      <c r="I2717" s="452"/>
      <c r="J2717" s="515"/>
      <c r="K2717" s="452"/>
    </row>
    <row r="2718" spans="1:15" s="185" customFormat="1">
      <c r="A2718" s="515"/>
      <c r="B2718" s="144"/>
      <c r="C2718" s="196" t="s">
        <v>2024</v>
      </c>
      <c r="D2718" s="230"/>
      <c r="E2718" s="215"/>
      <c r="F2718" s="511"/>
      <c r="G2718" s="518"/>
      <c r="H2718" s="632"/>
      <c r="I2718" s="452"/>
      <c r="J2718" s="515"/>
      <c r="K2718" s="452"/>
    </row>
    <row r="2719" spans="1:15">
      <c r="A2719" s="515"/>
      <c r="B2719" s="1402" t="s">
        <v>9284</v>
      </c>
      <c r="C2719" s="143" t="s">
        <v>2024</v>
      </c>
      <c r="D2719" s="230"/>
      <c r="E2719" s="215"/>
      <c r="F2719" s="511"/>
      <c r="G2719" s="518"/>
      <c r="H2719" s="143"/>
      <c r="I2719" s="452"/>
      <c r="J2719" s="515"/>
      <c r="K2719" s="452"/>
      <c r="L2719" s="191"/>
      <c r="M2719" s="191"/>
      <c r="N2719" s="191"/>
      <c r="O2719" s="191"/>
    </row>
    <row r="2720" spans="1:15">
      <c r="A2720" s="515"/>
      <c r="B2720" s="144" t="s">
        <v>9285</v>
      </c>
      <c r="C2720" s="196">
        <v>106</v>
      </c>
      <c r="D2720" s="230">
        <f>C2720*(1-VLOOKUP(I2720,descuentos,6,FALSE))*fcl/IF(dol_sol="dólar", TC,1)</f>
        <v>31.09755223880596</v>
      </c>
      <c r="E2720" s="215">
        <v>5</v>
      </c>
      <c r="F2720" s="511">
        <f>ROUNDUP(D2720+E2720,2)</f>
        <v>36.1</v>
      </c>
      <c r="G2720" s="518" t="s">
        <v>9286</v>
      </c>
      <c r="H2720" s="572" t="str">
        <f>B2720</f>
        <v>PC1406K</v>
      </c>
      <c r="I2720" s="452" t="s">
        <v>11566</v>
      </c>
      <c r="J2720" s="515" t="s">
        <v>753</v>
      </c>
      <c r="K2720" s="452" t="s">
        <v>741</v>
      </c>
    </row>
    <row r="2721" spans="1:15">
      <c r="A2721" s="515"/>
      <c r="B2721" s="144" t="s">
        <v>9287</v>
      </c>
      <c r="C2721" s="196">
        <v>118</v>
      </c>
      <c r="D2721" s="230">
        <f>C2721*(1-VLOOKUP(I2721,descuentos,6,FALSE))*fcl/IF(dol_sol="dólar", TC,1)</f>
        <v>34.618029850746261</v>
      </c>
      <c r="E2721" s="215">
        <v>5</v>
      </c>
      <c r="F2721" s="511">
        <f>ROUNDUP(D2721+E2721,2)</f>
        <v>39.619999999999997</v>
      </c>
      <c r="G2721" s="518" t="s">
        <v>9288</v>
      </c>
      <c r="H2721" s="572" t="str">
        <f>B2721</f>
        <v>PC1606K</v>
      </c>
      <c r="I2721" s="452" t="s">
        <v>11566</v>
      </c>
      <c r="J2721" s="515" t="s">
        <v>753</v>
      </c>
      <c r="K2721" s="452" t="s">
        <v>741</v>
      </c>
    </row>
    <row r="2722" spans="1:15">
      <c r="A2722" s="515"/>
      <c r="B2722" s="144" t="s">
        <v>9289</v>
      </c>
      <c r="C2722" s="196">
        <v>130</v>
      </c>
      <c r="D2722" s="230">
        <f>C2722*(1-VLOOKUP(I2722,descuentos,6,FALSE))*fcl/IF(dol_sol="dólar", TC,1)</f>
        <v>38.138507462686555</v>
      </c>
      <c r="E2722" s="215">
        <v>5</v>
      </c>
      <c r="F2722" s="511">
        <f>ROUNDUP(D2722+E2722,2)</f>
        <v>43.14</v>
      </c>
      <c r="G2722" s="518" t="s">
        <v>9290</v>
      </c>
      <c r="H2722" s="572" t="str">
        <f>B2722</f>
        <v>PC1806K</v>
      </c>
      <c r="I2722" s="452" t="s">
        <v>11566</v>
      </c>
      <c r="J2722" s="515" t="s">
        <v>753</v>
      </c>
      <c r="K2722" s="452" t="s">
        <v>741</v>
      </c>
    </row>
    <row r="2723" spans="1:15">
      <c r="A2723" s="515"/>
      <c r="B2723" s="144" t="s">
        <v>9291</v>
      </c>
      <c r="C2723" s="196">
        <v>164</v>
      </c>
      <c r="D2723" s="230">
        <f>C2723*(1-VLOOKUP(I2723,descuentos,6,FALSE))*fcl/IF(dol_sol="dólar", TC,1)</f>
        <v>48.113194029850732</v>
      </c>
      <c r="E2723" s="215">
        <v>5</v>
      </c>
      <c r="F2723" s="511">
        <f>ROUNDUP(D2723+E2723,2)</f>
        <v>53.12</v>
      </c>
      <c r="G2723" s="518" t="s">
        <v>9292</v>
      </c>
      <c r="H2723" s="572" t="str">
        <f>B2723</f>
        <v>PC2606K</v>
      </c>
      <c r="I2723" s="452" t="s">
        <v>11566</v>
      </c>
      <c r="J2723" s="515" t="s">
        <v>753</v>
      </c>
      <c r="K2723" s="452" t="s">
        <v>741</v>
      </c>
    </row>
    <row r="2724" spans="1:15">
      <c r="A2724" s="515"/>
      <c r="B2724" s="144" t="s">
        <v>9293</v>
      </c>
      <c r="C2724" s="196">
        <v>184</v>
      </c>
      <c r="D2724" s="230">
        <f>C2724*(1-VLOOKUP(I2724,descuentos,6,FALSE))*fcl/IF(dol_sol="dólar", TC,1)</f>
        <v>53.98065671641789</v>
      </c>
      <c r="E2724" s="215">
        <v>5</v>
      </c>
      <c r="F2724" s="511">
        <f>ROUNDUP(D2724+E2724,2)</f>
        <v>58.989999999999995</v>
      </c>
      <c r="G2724" s="518" t="s">
        <v>9294</v>
      </c>
      <c r="H2724" s="572" t="str">
        <f>B2724</f>
        <v>PC2806K</v>
      </c>
      <c r="I2724" s="452" t="s">
        <v>11566</v>
      </c>
      <c r="J2724" s="515" t="s">
        <v>753</v>
      </c>
      <c r="K2724" s="452" t="s">
        <v>741</v>
      </c>
    </row>
    <row r="2725" spans="1:15" s="185" customFormat="1">
      <c r="A2725" s="515"/>
      <c r="B2725" s="144"/>
      <c r="C2725" s="196" t="s">
        <v>2024</v>
      </c>
      <c r="D2725" s="230"/>
      <c r="E2725" s="215"/>
      <c r="F2725" s="511"/>
      <c r="G2725" s="518"/>
      <c r="H2725" s="632"/>
      <c r="I2725" s="452"/>
      <c r="J2725" s="515"/>
      <c r="K2725" s="452"/>
    </row>
    <row r="2726" spans="1:15" s="185" customFormat="1">
      <c r="A2726" s="515"/>
      <c r="B2726" s="144"/>
      <c r="C2726" s="196" t="s">
        <v>2024</v>
      </c>
      <c r="D2726" s="230"/>
      <c r="E2726" s="215"/>
      <c r="F2726" s="511"/>
      <c r="G2726" s="518"/>
      <c r="H2726" s="632"/>
      <c r="I2726" s="452"/>
      <c r="J2726" s="515"/>
      <c r="K2726" s="452"/>
    </row>
    <row r="2727" spans="1:15">
      <c r="A2727" s="515"/>
      <c r="B2727" s="1402" t="s">
        <v>9295</v>
      </c>
      <c r="C2727" s="1402" t="s">
        <v>2024</v>
      </c>
      <c r="D2727" s="230"/>
      <c r="E2727" s="215"/>
      <c r="F2727" s="511"/>
      <c r="G2727" s="518"/>
      <c r="H2727" s="143"/>
      <c r="I2727" s="452"/>
      <c r="J2727" s="515"/>
      <c r="K2727" s="452"/>
      <c r="L2727" s="191"/>
      <c r="M2727" s="191"/>
      <c r="N2727" s="191"/>
      <c r="O2727" s="191"/>
    </row>
    <row r="2728" spans="1:15">
      <c r="A2728" s="515"/>
      <c r="B2728" s="144" t="s">
        <v>9296</v>
      </c>
      <c r="C2728" s="196">
        <v>52</v>
      </c>
      <c r="D2728" s="230">
        <f>C2728*(1-VLOOKUP(I2728,descuentos,6,FALSE))*fcl/IF(dol_sol="dólar", TC,1)</f>
        <v>15.255402985074623</v>
      </c>
      <c r="E2728" s="215">
        <v>5</v>
      </c>
      <c r="F2728" s="511">
        <f>ROUNDUP(D2728+E2728,2)</f>
        <v>20.260000000000002</v>
      </c>
      <c r="G2728" s="518" t="s">
        <v>9297</v>
      </c>
      <c r="H2728" s="572" t="str">
        <f>B2728</f>
        <v>GD4006</v>
      </c>
      <c r="I2728" s="452" t="s">
        <v>11566</v>
      </c>
      <c r="J2728" s="515" t="s">
        <v>753</v>
      </c>
      <c r="K2728" s="452" t="s">
        <v>741</v>
      </c>
    </row>
    <row r="2729" spans="1:15">
      <c r="A2729" s="515"/>
      <c r="B2729" s="144" t="s">
        <v>9298</v>
      </c>
      <c r="C2729" s="196">
        <v>60</v>
      </c>
      <c r="D2729" s="230">
        <f>C2729*(1-VLOOKUP(I2729,descuentos,6,FALSE))*fcl/IF(dol_sol="dólar", TC,1)</f>
        <v>17.602388059701486</v>
      </c>
      <c r="E2729" s="215">
        <v>5</v>
      </c>
      <c r="F2729" s="511">
        <f>ROUNDUP(D2729+E2729,2)</f>
        <v>22.610000000000003</v>
      </c>
      <c r="G2729" s="518" t="s">
        <v>9299</v>
      </c>
      <c r="H2729" s="572" t="str">
        <f>B2729</f>
        <v>GD6006</v>
      </c>
      <c r="I2729" s="452" t="s">
        <v>11566</v>
      </c>
      <c r="J2729" s="515" t="s">
        <v>753</v>
      </c>
      <c r="K2729" s="452" t="s">
        <v>741</v>
      </c>
    </row>
    <row r="2730" spans="1:15">
      <c r="A2730" s="515"/>
      <c r="B2730" s="144" t="s">
        <v>9300</v>
      </c>
      <c r="C2730" s="196">
        <v>66</v>
      </c>
      <c r="D2730" s="230">
        <f>C2730*(1-VLOOKUP(I2730,descuentos,6,FALSE))*fcl/IF(dol_sol="dólar", TC,1)</f>
        <v>19.362626865671636</v>
      </c>
      <c r="E2730" s="215">
        <v>5</v>
      </c>
      <c r="F2730" s="511">
        <f>ROUNDUP(D2730+E2730,2)</f>
        <v>24.37</v>
      </c>
      <c r="G2730" s="518" t="s">
        <v>9301</v>
      </c>
      <c r="H2730" s="572" t="str">
        <f>B2730</f>
        <v>GD8006</v>
      </c>
      <c r="I2730" s="452" t="s">
        <v>11566</v>
      </c>
      <c r="J2730" s="515" t="s">
        <v>753</v>
      </c>
      <c r="K2730" s="452" t="s">
        <v>741</v>
      </c>
    </row>
    <row r="2731" spans="1:15" s="185" customFormat="1">
      <c r="A2731" s="515"/>
      <c r="B2731" s="144"/>
      <c r="C2731" s="196" t="s">
        <v>2024</v>
      </c>
      <c r="D2731" s="230"/>
      <c r="E2731" s="215"/>
      <c r="F2731" s="511"/>
      <c r="G2731" s="518"/>
      <c r="H2731" s="632"/>
      <c r="I2731" s="452"/>
      <c r="J2731" s="515"/>
      <c r="K2731" s="452"/>
    </row>
    <row r="2732" spans="1:15" s="185" customFormat="1">
      <c r="A2732" s="515"/>
      <c r="B2732" s="144"/>
      <c r="C2732" s="196" t="s">
        <v>2024</v>
      </c>
      <c r="D2732" s="230"/>
      <c r="E2732" s="215"/>
      <c r="F2732" s="511"/>
      <c r="G2732" s="518"/>
      <c r="H2732" s="632"/>
      <c r="I2732" s="452"/>
      <c r="J2732" s="515"/>
      <c r="K2732" s="452"/>
    </row>
    <row r="2733" spans="1:15">
      <c r="A2733" s="515"/>
      <c r="B2733" s="1402" t="s">
        <v>9302</v>
      </c>
      <c r="C2733" s="143" t="s">
        <v>2024</v>
      </c>
      <c r="D2733" s="230"/>
      <c r="E2733" s="215"/>
      <c r="F2733" s="511"/>
      <c r="G2733" s="518"/>
      <c r="H2733" s="143"/>
      <c r="I2733" s="452"/>
      <c r="J2733" s="515"/>
      <c r="K2733" s="452"/>
      <c r="L2733" s="191"/>
      <c r="M2733" s="191"/>
      <c r="N2733" s="191"/>
      <c r="O2733" s="191"/>
    </row>
    <row r="2734" spans="1:15">
      <c r="A2734" s="515"/>
      <c r="B2734" s="144" t="s">
        <v>9303</v>
      </c>
      <c r="C2734" s="196">
        <v>64</v>
      </c>
      <c r="D2734" s="230">
        <f>C2734*(1-VLOOKUP(I2734,descuentos,6,FALSE))*fcl/IF(dol_sol="dólar", TC,1)</f>
        <v>18.775880597014922</v>
      </c>
      <c r="E2734" s="215">
        <v>5</v>
      </c>
      <c r="F2734" s="511">
        <f>ROUNDUP(D2734+E2734,2)</f>
        <v>23.78</v>
      </c>
      <c r="G2734" s="518" t="s">
        <v>9304</v>
      </c>
      <c r="H2734" s="572" t="str">
        <f>B2734</f>
        <v>AP6001</v>
      </c>
      <c r="I2734" s="452" t="s">
        <v>11566</v>
      </c>
      <c r="J2734" s="515" t="s">
        <v>753</v>
      </c>
      <c r="K2734" s="452" t="s">
        <v>741</v>
      </c>
    </row>
    <row r="2735" spans="1:15" s="185" customFormat="1">
      <c r="A2735" s="515"/>
      <c r="B2735" s="144"/>
      <c r="C2735" s="196" t="s">
        <v>2024</v>
      </c>
      <c r="D2735" s="230"/>
      <c r="E2735" s="215"/>
      <c r="F2735" s="511"/>
      <c r="G2735" s="518"/>
      <c r="H2735" s="632"/>
      <c r="I2735" s="452"/>
      <c r="J2735" s="515"/>
      <c r="K2735" s="452"/>
    </row>
    <row r="2736" spans="1:15" s="185" customFormat="1">
      <c r="A2736" s="515"/>
      <c r="B2736" s="144"/>
      <c r="C2736" s="196" t="s">
        <v>2024</v>
      </c>
      <c r="D2736" s="230"/>
      <c r="E2736" s="215"/>
      <c r="F2736" s="511"/>
      <c r="G2736" s="518"/>
      <c r="H2736" s="632"/>
      <c r="I2736" s="452"/>
      <c r="J2736" s="515"/>
      <c r="K2736" s="452"/>
    </row>
    <row r="2737" spans="1:15">
      <c r="A2737" s="515"/>
      <c r="B2737" s="1402" t="s">
        <v>9305</v>
      </c>
      <c r="C2737" s="1402" t="s">
        <v>2024</v>
      </c>
      <c r="D2737" s="1402"/>
      <c r="E2737" s="215"/>
      <c r="F2737" s="511"/>
      <c r="G2737" s="518"/>
      <c r="H2737" s="143"/>
      <c r="I2737" s="452"/>
      <c r="J2737" s="515"/>
      <c r="K2737" s="452"/>
      <c r="L2737" s="191"/>
      <c r="M2737" s="191"/>
      <c r="N2737" s="191"/>
      <c r="O2737" s="191"/>
    </row>
    <row r="2738" spans="1:15">
      <c r="A2738" s="515"/>
      <c r="B2738" s="1402" t="s">
        <v>9306</v>
      </c>
      <c r="C2738" s="1402" t="s">
        <v>2024</v>
      </c>
      <c r="D2738" s="1402"/>
      <c r="E2738" s="215"/>
      <c r="F2738" s="511"/>
      <c r="G2738" s="518"/>
      <c r="H2738" s="143"/>
      <c r="I2738" s="452"/>
      <c r="J2738" s="515"/>
      <c r="K2738" s="452"/>
      <c r="L2738" s="191"/>
      <c r="M2738" s="191"/>
      <c r="N2738" s="191"/>
      <c r="O2738" s="191"/>
    </row>
    <row r="2739" spans="1:15">
      <c r="A2739" s="515"/>
      <c r="B2739" s="144" t="s">
        <v>9307</v>
      </c>
      <c r="C2739" s="196">
        <v>21</v>
      </c>
      <c r="D2739" s="230">
        <f>C2739*(1-VLOOKUP(I2739,descuentos,6,FALSE))*fcl/IF(dol_sol="dólar", TC,1)</f>
        <v>6.160835820895521</v>
      </c>
      <c r="E2739" s="215">
        <v>5</v>
      </c>
      <c r="F2739" s="511">
        <f>ROUNDUP(D2739+E2739,2)</f>
        <v>11.17</v>
      </c>
      <c r="G2739" s="518" t="s">
        <v>9308</v>
      </c>
      <c r="H2739" s="572" t="str">
        <f>B2739</f>
        <v>AD3301</v>
      </c>
      <c r="I2739" s="452" t="s">
        <v>11566</v>
      </c>
      <c r="J2739" s="515" t="s">
        <v>753</v>
      </c>
      <c r="K2739" s="452" t="s">
        <v>741</v>
      </c>
    </row>
    <row r="2740" spans="1:15">
      <c r="A2740" s="515"/>
      <c r="B2740" s="144" t="s">
        <v>9309</v>
      </c>
      <c r="C2740" s="196">
        <v>21</v>
      </c>
      <c r="D2740" s="230">
        <f>C2740*(1-VLOOKUP(I2740,descuentos,6,FALSE))*fcl/IF(dol_sol="dólar", TC,1)</f>
        <v>6.160835820895521</v>
      </c>
      <c r="E2740" s="215">
        <v>5</v>
      </c>
      <c r="F2740" s="511">
        <f>ROUNDUP(D2740+E2740,2)</f>
        <v>11.17</v>
      </c>
      <c r="G2740" s="518" t="s">
        <v>9310</v>
      </c>
      <c r="H2740" s="572" t="str">
        <f>B2740</f>
        <v>AD3302</v>
      </c>
      <c r="I2740" s="452" t="s">
        <v>11566</v>
      </c>
      <c r="J2740" s="515" t="s">
        <v>753</v>
      </c>
      <c r="K2740" s="452" t="s">
        <v>741</v>
      </c>
    </row>
    <row r="2741" spans="1:15">
      <c r="A2741" s="515"/>
      <c r="B2741" s="144" t="s">
        <v>9311</v>
      </c>
      <c r="C2741" s="196">
        <v>21</v>
      </c>
      <c r="D2741" s="230">
        <f>C2741*(1-VLOOKUP(I2741,descuentos,6,FALSE))*fcl/IF(dol_sol="dólar", TC,1)</f>
        <v>6.160835820895521</v>
      </c>
      <c r="E2741" s="215">
        <v>5</v>
      </c>
      <c r="F2741" s="511">
        <f>ROUNDUP(D2741+E2741,2)</f>
        <v>11.17</v>
      </c>
      <c r="G2741" s="518" t="s">
        <v>9312</v>
      </c>
      <c r="H2741" s="572" t="str">
        <f>B2741</f>
        <v>AD3303</v>
      </c>
      <c r="I2741" s="452" t="s">
        <v>11566</v>
      </c>
      <c r="J2741" s="515" t="s">
        <v>753</v>
      </c>
      <c r="K2741" s="452" t="s">
        <v>741</v>
      </c>
    </row>
    <row r="2742" spans="1:15">
      <c r="A2742" s="515"/>
      <c r="B2742" s="144" t="s">
        <v>9313</v>
      </c>
      <c r="C2742" s="196">
        <v>21</v>
      </c>
      <c r="D2742" s="230">
        <f>C2742*(1-VLOOKUP(I2742,descuentos,6,FALSE))*fcl/IF(dol_sol="dólar", TC,1)</f>
        <v>6.160835820895521</v>
      </c>
      <c r="E2742" s="215">
        <v>5</v>
      </c>
      <c r="F2742" s="511">
        <f>ROUNDUP(D2742+E2742,2)</f>
        <v>11.17</v>
      </c>
      <c r="G2742" s="518" t="s">
        <v>9314</v>
      </c>
      <c r="H2742" s="572" t="str">
        <f>B2742</f>
        <v>AD3304</v>
      </c>
      <c r="I2742" s="452" t="s">
        <v>11566</v>
      </c>
      <c r="J2742" s="515" t="s">
        <v>753</v>
      </c>
      <c r="K2742" s="452" t="s">
        <v>741</v>
      </c>
    </row>
    <row r="2743" spans="1:15" s="185" customFormat="1">
      <c r="A2743" s="515"/>
      <c r="B2743" s="144"/>
      <c r="C2743" s="196" t="s">
        <v>2024</v>
      </c>
      <c r="D2743" s="230"/>
      <c r="E2743" s="215"/>
      <c r="F2743" s="511"/>
      <c r="G2743" s="518"/>
      <c r="H2743" s="632"/>
      <c r="I2743" s="452"/>
      <c r="J2743" s="515"/>
      <c r="K2743" s="452"/>
    </row>
    <row r="2744" spans="1:15" s="185" customFormat="1">
      <c r="A2744" s="515"/>
      <c r="B2744" s="144"/>
      <c r="C2744" s="196" t="s">
        <v>2024</v>
      </c>
      <c r="D2744" s="230"/>
      <c r="E2744" s="215"/>
      <c r="F2744" s="511"/>
      <c r="G2744" s="518"/>
      <c r="H2744" s="632"/>
      <c r="I2744" s="452"/>
      <c r="J2744" s="515"/>
      <c r="K2744" s="452"/>
    </row>
    <row r="2745" spans="1:15">
      <c r="A2745" s="515"/>
      <c r="B2745" s="1402" t="s">
        <v>9315</v>
      </c>
      <c r="C2745" s="143" t="s">
        <v>2024</v>
      </c>
      <c r="D2745" s="230"/>
      <c r="E2745" s="215"/>
      <c r="F2745" s="511"/>
      <c r="G2745" s="518"/>
      <c r="H2745" s="143"/>
      <c r="I2745" s="452"/>
      <c r="J2745" s="515"/>
      <c r="K2745" s="452"/>
      <c r="L2745" s="191"/>
      <c r="M2745" s="191"/>
      <c r="N2745" s="191"/>
      <c r="O2745" s="191"/>
    </row>
    <row r="2746" spans="1:15">
      <c r="A2746" s="515"/>
      <c r="B2746" s="144" t="s">
        <v>9316</v>
      </c>
      <c r="C2746" s="196">
        <v>1120</v>
      </c>
      <c r="D2746" s="230">
        <f>C2746*(1-VLOOKUP(I2746,descuentos,6,FALSE))*fcl/IF(dol_sol="dólar", TC,1)</f>
        <v>328.5779104477611</v>
      </c>
      <c r="E2746" s="215">
        <v>5</v>
      </c>
      <c r="F2746" s="511">
        <f>ROUNDUP(D2746+E2746,2)</f>
        <v>333.58</v>
      </c>
      <c r="G2746" s="518" t="s">
        <v>9317</v>
      </c>
      <c r="H2746" s="572" t="str">
        <f>B2746</f>
        <v>AA8010</v>
      </c>
      <c r="I2746" s="452" t="s">
        <v>11566</v>
      </c>
      <c r="J2746" s="515" t="s">
        <v>753</v>
      </c>
      <c r="K2746" s="452" t="s">
        <v>741</v>
      </c>
    </row>
    <row r="2747" spans="1:15">
      <c r="A2747" s="515"/>
      <c r="B2747" s="144" t="s">
        <v>9318</v>
      </c>
      <c r="C2747" s="196">
        <v>112</v>
      </c>
      <c r="D2747" s="230">
        <f>C2747*(1-VLOOKUP(I2747,descuentos,6,FALSE))*fcl/IF(dol_sol="dólar", TC,1)</f>
        <v>32.857791044776107</v>
      </c>
      <c r="E2747" s="215">
        <v>5</v>
      </c>
      <c r="F2747" s="511">
        <f>ROUNDUP(D2747+E2747,2)</f>
        <v>37.86</v>
      </c>
      <c r="G2747" s="518" t="s">
        <v>9319</v>
      </c>
      <c r="H2747" s="572" t="str">
        <f>B2747</f>
        <v>AA8011</v>
      </c>
      <c r="I2747" s="452" t="s">
        <v>11566</v>
      </c>
      <c r="J2747" s="515" t="s">
        <v>753</v>
      </c>
      <c r="K2747" s="452" t="s">
        <v>741</v>
      </c>
    </row>
    <row r="2748" spans="1:15" s="185" customFormat="1">
      <c r="A2748" s="515"/>
      <c r="B2748" s="144"/>
      <c r="C2748" s="196" t="s">
        <v>2024</v>
      </c>
      <c r="D2748" s="230"/>
      <c r="E2748" s="215"/>
      <c r="F2748" s="511"/>
      <c r="G2748" s="518"/>
      <c r="H2748" s="632"/>
      <c r="I2748" s="452"/>
      <c r="J2748" s="515"/>
      <c r="K2748" s="452"/>
    </row>
    <row r="2749" spans="1:15" s="185" customFormat="1">
      <c r="A2749" s="515"/>
      <c r="B2749" s="144"/>
      <c r="C2749" s="196" t="s">
        <v>2024</v>
      </c>
      <c r="D2749" s="230"/>
      <c r="E2749" s="215"/>
      <c r="F2749" s="511"/>
      <c r="G2749" s="518"/>
      <c r="H2749" s="632"/>
      <c r="I2749" s="452"/>
      <c r="J2749" s="515"/>
      <c r="K2749" s="452"/>
    </row>
    <row r="2750" spans="1:15">
      <c r="A2750" s="515"/>
      <c r="B2750" s="1402" t="s">
        <v>9320</v>
      </c>
      <c r="C2750" s="1402" t="s">
        <v>2024</v>
      </c>
      <c r="D2750" s="230"/>
      <c r="E2750" s="215"/>
      <c r="F2750" s="511"/>
      <c r="G2750" s="518"/>
      <c r="H2750" s="143"/>
      <c r="I2750" s="452"/>
      <c r="J2750" s="515"/>
      <c r="K2750" s="452"/>
      <c r="L2750" s="191"/>
      <c r="M2750" s="191"/>
      <c r="N2750" s="191"/>
      <c r="O2750" s="191"/>
    </row>
    <row r="2751" spans="1:15">
      <c r="A2751" s="515"/>
      <c r="B2751" s="144" t="s">
        <v>9321</v>
      </c>
      <c r="C2751" s="196">
        <v>80</v>
      </c>
      <c r="D2751" s="230">
        <f>C2751*(1-VLOOKUP(I2751,descuentos,6,FALSE))*fcl/IF(dol_sol="dólar", TC,1)</f>
        <v>23.469850746268651</v>
      </c>
      <c r="E2751" s="215">
        <v>5</v>
      </c>
      <c r="F2751" s="511">
        <f>ROUNDUP(D2751+E2751,2)</f>
        <v>28.470000000000002</v>
      </c>
      <c r="G2751" s="518" t="s">
        <v>9322</v>
      </c>
      <c r="H2751" s="572" t="str">
        <f>B2751</f>
        <v>TS6009</v>
      </c>
      <c r="I2751" s="452" t="s">
        <v>11566</v>
      </c>
      <c r="J2751" s="515" t="s">
        <v>753</v>
      </c>
      <c r="K2751" s="452" t="s">
        <v>741</v>
      </c>
    </row>
    <row r="2752" spans="1:15">
      <c r="A2752" s="515"/>
      <c r="B2752" s="144" t="s">
        <v>9323</v>
      </c>
      <c r="C2752" s="196">
        <v>92</v>
      </c>
      <c r="D2752" s="230">
        <f>C2752*(1-VLOOKUP(I2752,descuentos,6,FALSE))*fcl/IF(dol_sol="dólar", TC,1)</f>
        <v>26.990328358208945</v>
      </c>
      <c r="E2752" s="215">
        <v>5</v>
      </c>
      <c r="F2752" s="511">
        <f>ROUNDUP(D2752+E2752,2)</f>
        <v>32</v>
      </c>
      <c r="G2752" s="518" t="s">
        <v>9324</v>
      </c>
      <c r="H2752" s="572" t="str">
        <f>B2752</f>
        <v>TS7009</v>
      </c>
      <c r="I2752" s="452" t="s">
        <v>11566</v>
      </c>
      <c r="J2752" s="515" t="s">
        <v>753</v>
      </c>
      <c r="K2752" s="452" t="s">
        <v>741</v>
      </c>
    </row>
    <row r="2753" spans="1:15">
      <c r="A2753" s="515"/>
      <c r="B2753" s="144" t="s">
        <v>9325</v>
      </c>
      <c r="C2753" s="196">
        <v>106</v>
      </c>
      <c r="D2753" s="230">
        <f>C2753*(1-VLOOKUP(I2753,descuentos,6,FALSE))*fcl/IF(dol_sol="dólar", TC,1)</f>
        <v>31.09755223880596</v>
      </c>
      <c r="E2753" s="215">
        <v>5</v>
      </c>
      <c r="F2753" s="511">
        <f>ROUNDUP(D2753+E2753,2)</f>
        <v>36.1</v>
      </c>
      <c r="G2753" s="518" t="s">
        <v>9326</v>
      </c>
      <c r="H2753" s="572" t="str">
        <f>B2753</f>
        <v>TS8009</v>
      </c>
      <c r="I2753" s="452" t="s">
        <v>11566</v>
      </c>
      <c r="J2753" s="515" t="s">
        <v>753</v>
      </c>
      <c r="K2753" s="452" t="s">
        <v>741</v>
      </c>
    </row>
    <row r="2754" spans="1:15" s="185" customFormat="1">
      <c r="A2754" s="515"/>
      <c r="B2754" s="144"/>
      <c r="C2754" s="196" t="s">
        <v>2024</v>
      </c>
      <c r="D2754" s="230"/>
      <c r="E2754" s="215"/>
      <c r="F2754" s="511"/>
      <c r="G2754" s="518"/>
      <c r="H2754" s="632"/>
      <c r="I2754" s="452"/>
      <c r="J2754" s="515"/>
      <c r="K2754" s="452"/>
    </row>
    <row r="2755" spans="1:15" s="185" customFormat="1">
      <c r="A2755" s="515"/>
      <c r="B2755" s="144"/>
      <c r="C2755" s="196" t="s">
        <v>2024</v>
      </c>
      <c r="D2755" s="230"/>
      <c r="E2755" s="215"/>
      <c r="F2755" s="511"/>
      <c r="G2755" s="518"/>
      <c r="H2755" s="632"/>
      <c r="I2755" s="452"/>
      <c r="J2755" s="515"/>
      <c r="K2755" s="452"/>
    </row>
    <row r="2756" spans="1:15">
      <c r="A2756" s="515"/>
      <c r="B2756" s="1402" t="s">
        <v>9327</v>
      </c>
      <c r="C2756" s="1402" t="s">
        <v>2024</v>
      </c>
      <c r="D2756" s="230"/>
      <c r="E2756" s="215"/>
      <c r="F2756" s="511"/>
      <c r="G2756" s="518"/>
      <c r="H2756" s="143"/>
      <c r="I2756" s="452"/>
      <c r="J2756" s="515"/>
      <c r="K2756" s="452"/>
      <c r="L2756" s="191"/>
      <c r="M2756" s="191"/>
      <c r="N2756" s="191"/>
      <c r="O2756" s="191"/>
    </row>
    <row r="2757" spans="1:15">
      <c r="A2757" s="515"/>
      <c r="B2757" s="144" t="s">
        <v>9328</v>
      </c>
      <c r="C2757" s="196">
        <v>618</v>
      </c>
      <c r="D2757" s="230">
        <f>C2757*(1-VLOOKUP(I2757,descuentos,6,FALSE))*fcl/IF(dol_sol="dólar", TC,1)</f>
        <v>181.30459701492529</v>
      </c>
      <c r="E2757" s="215">
        <v>5</v>
      </c>
      <c r="F2757" s="511">
        <f>ROUNDUP(D2757+E2757,2)</f>
        <v>186.31</v>
      </c>
      <c r="G2757" s="518" t="s">
        <v>9329</v>
      </c>
      <c r="H2757" s="572" t="str">
        <f>B2757</f>
        <v>AD1086</v>
      </c>
      <c r="I2757" s="452" t="s">
        <v>11566</v>
      </c>
      <c r="J2757" s="515" t="s">
        <v>753</v>
      </c>
      <c r="K2757" s="452" t="s">
        <v>741</v>
      </c>
    </row>
    <row r="2758" spans="1:15">
      <c r="A2758" s="515"/>
      <c r="B2758" s="144" t="s">
        <v>9330</v>
      </c>
      <c r="C2758" s="196">
        <v>63</v>
      </c>
      <c r="D2758" s="230">
        <f>C2758*(1-VLOOKUP(I2758,descuentos,6,FALSE))*fcl/IF(dol_sol="dólar", TC,1)</f>
        <v>18.482507462686563</v>
      </c>
      <c r="E2758" s="215">
        <v>5</v>
      </c>
      <c r="F2758" s="511">
        <f>ROUNDUP(D2758+E2758,2)</f>
        <v>23.490000000000002</v>
      </c>
      <c r="G2758" s="518" t="s">
        <v>9331</v>
      </c>
      <c r="H2758" s="572" t="str">
        <f>B2758</f>
        <v>AD1088</v>
      </c>
      <c r="I2758" s="452" t="s">
        <v>11566</v>
      </c>
      <c r="J2758" s="515" t="s">
        <v>753</v>
      </c>
      <c r="K2758" s="452" t="s">
        <v>741</v>
      </c>
    </row>
    <row r="2759" spans="1:15">
      <c r="A2759" s="515"/>
      <c r="B2759" s="1562" t="s">
        <v>9332</v>
      </c>
      <c r="C2759" s="196">
        <v>81</v>
      </c>
      <c r="D2759" s="230">
        <f>C2759*(1-VLOOKUP(I2759,descuentos,6,FALSE))*fcl/IF(dol_sol="dólar", TC,1)</f>
        <v>23.763223880597007</v>
      </c>
      <c r="E2759" s="215">
        <v>5</v>
      </c>
      <c r="F2759" s="511">
        <f>ROUNDUP(D2759+E2759,2)</f>
        <v>28.770000000000003</v>
      </c>
      <c r="G2759" s="518" t="s">
        <v>9333</v>
      </c>
      <c r="H2759" s="572" t="str">
        <f>B2759</f>
        <v>AD1089</v>
      </c>
      <c r="I2759" s="452" t="s">
        <v>11566</v>
      </c>
      <c r="J2759" s="515" t="s">
        <v>753</v>
      </c>
      <c r="K2759" s="452" t="s">
        <v>741</v>
      </c>
    </row>
    <row r="2760" spans="1:15" s="185" customFormat="1">
      <c r="A2760" s="515"/>
      <c r="B2760" s="144"/>
      <c r="C2760" s="196" t="s">
        <v>2024</v>
      </c>
      <c r="D2760" s="230"/>
      <c r="E2760" s="215"/>
      <c r="F2760" s="511"/>
      <c r="G2760" s="518"/>
      <c r="H2760" s="632"/>
      <c r="I2760" s="452"/>
      <c r="J2760" s="515"/>
      <c r="K2760" s="452"/>
    </row>
    <row r="2761" spans="1:15" s="185" customFormat="1">
      <c r="A2761" s="515"/>
      <c r="B2761" s="144"/>
      <c r="C2761" s="196" t="s">
        <v>2024</v>
      </c>
      <c r="D2761" s="230"/>
      <c r="E2761" s="215"/>
      <c r="F2761" s="511"/>
      <c r="G2761" s="518"/>
      <c r="H2761" s="632"/>
      <c r="I2761" s="452"/>
      <c r="J2761" s="515"/>
      <c r="K2761" s="452"/>
    </row>
    <row r="2762" spans="1:15">
      <c r="A2762" s="515"/>
      <c r="B2762" s="1402" t="s">
        <v>9334</v>
      </c>
      <c r="C2762" s="143" t="s">
        <v>2024</v>
      </c>
      <c r="D2762" s="230"/>
      <c r="E2762" s="215"/>
      <c r="F2762" s="511"/>
      <c r="G2762" s="518"/>
      <c r="H2762" s="143"/>
      <c r="I2762" s="452"/>
      <c r="J2762" s="515"/>
      <c r="K2762" s="452"/>
      <c r="L2762" s="191"/>
      <c r="M2762" s="191"/>
      <c r="N2762" s="191"/>
      <c r="O2762" s="191"/>
    </row>
    <row r="2763" spans="1:15">
      <c r="A2763" s="515"/>
      <c r="B2763" s="1562" t="s">
        <v>9335</v>
      </c>
      <c r="C2763" s="196">
        <v>455</v>
      </c>
      <c r="D2763" s="230">
        <f>C2763*(1-VLOOKUP(I2763,descuentos,6,FALSE))*fcl/IF(dol_sol="dólar", TC,1)</f>
        <v>133.48477611940297</v>
      </c>
      <c r="E2763" s="215">
        <v>5</v>
      </c>
      <c r="F2763" s="511">
        <f>ROUNDUP(D2763+E2763,2)</f>
        <v>138.48999999999998</v>
      </c>
      <c r="G2763" s="518" t="s">
        <v>9336</v>
      </c>
      <c r="H2763" s="572" t="str">
        <f>B2763</f>
        <v>EV1131</v>
      </c>
      <c r="I2763" s="452" t="s">
        <v>11566</v>
      </c>
      <c r="J2763" s="515" t="s">
        <v>753</v>
      </c>
      <c r="K2763" s="452" t="s">
        <v>741</v>
      </c>
    </row>
    <row r="2764" spans="1:15" s="185" customFormat="1">
      <c r="A2764" s="515"/>
      <c r="B2764" s="144"/>
      <c r="C2764" s="196" t="s">
        <v>2024</v>
      </c>
      <c r="D2764" s="230"/>
      <c r="E2764" s="215"/>
      <c r="F2764" s="511"/>
      <c r="G2764" s="518"/>
      <c r="H2764" s="632"/>
      <c r="I2764" s="452"/>
      <c r="J2764" s="515"/>
      <c r="K2764" s="452"/>
    </row>
    <row r="2765" spans="1:15">
      <c r="A2765" s="515"/>
      <c r="B2765" s="144"/>
      <c r="C2765" s="196" t="s">
        <v>2024</v>
      </c>
      <c r="D2765" s="230"/>
      <c r="E2765" s="215"/>
      <c r="F2765" s="511"/>
      <c r="G2765" s="518"/>
      <c r="H2765" s="572"/>
      <c r="I2765" s="452"/>
      <c r="J2765" s="515"/>
      <c r="K2765" s="452"/>
    </row>
    <row r="2766" spans="1:15">
      <c r="A2766" s="515"/>
      <c r="B2766" s="1402" t="s">
        <v>5862</v>
      </c>
      <c r="C2766" s="962" t="s">
        <v>2024</v>
      </c>
      <c r="D2766" s="230"/>
      <c r="E2766" s="215"/>
      <c r="F2766" s="511"/>
      <c r="G2766" s="518"/>
      <c r="H2766" s="143"/>
      <c r="I2766" s="452"/>
      <c r="J2766" s="515"/>
      <c r="K2766" s="452"/>
      <c r="L2766" s="191"/>
      <c r="M2766" s="191"/>
      <c r="N2766" s="191"/>
      <c r="O2766" s="191"/>
    </row>
    <row r="2767" spans="1:15" s="185" customFormat="1">
      <c r="A2767" s="1373"/>
      <c r="B2767" s="144" t="s">
        <v>5880</v>
      </c>
      <c r="C2767" s="196">
        <v>26.8</v>
      </c>
      <c r="D2767" s="230">
        <f t="shared" ref="D2767:D2776" si="372">C2767*(1-VLOOKUP(I2767,descuentos,6,FALSE))*fcl/IF(dol_sol="dólar", TC,1)</f>
        <v>7.8623999999999965</v>
      </c>
      <c r="E2767" s="215">
        <v>2</v>
      </c>
      <c r="F2767" s="511">
        <f t="shared" ref="F2767:F2776" si="373">ROUNDUP(D2767+E2767,1)</f>
        <v>9.9</v>
      </c>
      <c r="G2767" s="518" t="s">
        <v>5881</v>
      </c>
      <c r="H2767" s="572" t="s">
        <v>5882</v>
      </c>
      <c r="I2767" s="452" t="s">
        <v>11566</v>
      </c>
      <c r="J2767" s="515" t="s">
        <v>753</v>
      </c>
      <c r="K2767" s="452" t="s">
        <v>741</v>
      </c>
    </row>
    <row r="2768" spans="1:15" s="185" customFormat="1">
      <c r="A2768" s="1399"/>
      <c r="B2768" s="144" t="s">
        <v>5883</v>
      </c>
      <c r="C2768" s="196">
        <v>74</v>
      </c>
      <c r="D2768" s="230">
        <f t="shared" si="372"/>
        <v>22.731655359565806</v>
      </c>
      <c r="E2768" s="215">
        <v>0</v>
      </c>
      <c r="F2768" s="511">
        <f t="shared" si="373"/>
        <v>22.8</v>
      </c>
      <c r="G2768" s="518" t="s">
        <v>5884</v>
      </c>
      <c r="H2768" s="572" t="s">
        <v>5865</v>
      </c>
      <c r="I2768" s="452" t="s">
        <v>11565</v>
      </c>
      <c r="J2768" s="515" t="s">
        <v>753</v>
      </c>
      <c r="K2768" s="452" t="s">
        <v>741</v>
      </c>
    </row>
    <row r="2769" spans="1:15" s="185" customFormat="1">
      <c r="A2769" s="515"/>
      <c r="B2769" s="144" t="s">
        <v>5885</v>
      </c>
      <c r="C2769" s="196">
        <v>37.5</v>
      </c>
      <c r="D2769" s="230">
        <f t="shared" si="372"/>
        <v>11.00149253731343</v>
      </c>
      <c r="E2769" s="215">
        <v>0</v>
      </c>
      <c r="F2769" s="511">
        <f t="shared" si="373"/>
        <v>11.1</v>
      </c>
      <c r="G2769" s="518" t="s">
        <v>5886</v>
      </c>
      <c r="H2769" s="572" t="s">
        <v>5887</v>
      </c>
      <c r="I2769" s="452" t="s">
        <v>11566</v>
      </c>
      <c r="J2769" s="515" t="s">
        <v>753</v>
      </c>
      <c r="K2769" s="452" t="s">
        <v>741</v>
      </c>
    </row>
    <row r="2770" spans="1:15" s="185" customFormat="1">
      <c r="A2770" s="515"/>
      <c r="B2770" s="144" t="s">
        <v>5888</v>
      </c>
      <c r="C2770" s="196">
        <v>42.1</v>
      </c>
      <c r="D2770" s="230">
        <f>C2770*(1-VLOOKUP(I2770,descuentos,6,FALSE))*fcl/IF(dol_sol="dólar", TC,1)</f>
        <v>12.351008955223877</v>
      </c>
      <c r="E2770" s="215">
        <v>0</v>
      </c>
      <c r="F2770" s="511">
        <f t="shared" si="373"/>
        <v>12.4</v>
      </c>
      <c r="G2770" s="518" t="s">
        <v>5889</v>
      </c>
      <c r="H2770" s="572" t="s">
        <v>5890</v>
      </c>
      <c r="I2770" s="452" t="s">
        <v>11566</v>
      </c>
      <c r="J2770" s="515" t="s">
        <v>753</v>
      </c>
      <c r="K2770" s="452" t="s">
        <v>741</v>
      </c>
    </row>
    <row r="2771" spans="1:15" s="185" customFormat="1">
      <c r="A2771" s="515"/>
      <c r="B2771" s="144" t="s">
        <v>5891</v>
      </c>
      <c r="C2771" s="196">
        <v>52.300000000000004</v>
      </c>
      <c r="D2771" s="230">
        <f t="shared" si="372"/>
        <v>15.34341492537313</v>
      </c>
      <c r="E2771" s="215">
        <v>0</v>
      </c>
      <c r="F2771" s="511">
        <f t="shared" si="373"/>
        <v>15.4</v>
      </c>
      <c r="G2771" s="518" t="s">
        <v>5892</v>
      </c>
      <c r="H2771" s="572" t="s">
        <v>5893</v>
      </c>
      <c r="I2771" s="452" t="s">
        <v>11566</v>
      </c>
      <c r="J2771" s="515" t="s">
        <v>753</v>
      </c>
      <c r="K2771" s="452" t="s">
        <v>741</v>
      </c>
    </row>
    <row r="2772" spans="1:15" s="185" customFormat="1">
      <c r="A2772" s="515"/>
      <c r="B2772" s="144" t="s">
        <v>5894</v>
      </c>
      <c r="C2772" s="196">
        <v>62.4</v>
      </c>
      <c r="D2772" s="230">
        <f t="shared" si="372"/>
        <v>18.306483582089545</v>
      </c>
      <c r="E2772" s="215">
        <v>0</v>
      </c>
      <c r="F2772" s="511">
        <f t="shared" si="373"/>
        <v>18.400000000000002</v>
      </c>
      <c r="G2772" s="518" t="s">
        <v>5895</v>
      </c>
      <c r="H2772" s="572" t="s">
        <v>5896</v>
      </c>
      <c r="I2772" s="452" t="s">
        <v>11566</v>
      </c>
      <c r="J2772" s="515" t="s">
        <v>753</v>
      </c>
      <c r="K2772" s="452" t="s">
        <v>741</v>
      </c>
    </row>
    <row r="2773" spans="1:15" s="185" customFormat="1">
      <c r="A2773" s="515"/>
      <c r="B2773" s="144" t="s">
        <v>5897</v>
      </c>
      <c r="C2773" s="196">
        <v>236</v>
      </c>
      <c r="D2773" s="230">
        <f t="shared" si="372"/>
        <v>69.236059701492522</v>
      </c>
      <c r="E2773" s="215">
        <v>0</v>
      </c>
      <c r="F2773" s="511">
        <f t="shared" si="373"/>
        <v>69.3</v>
      </c>
      <c r="G2773" s="518" t="s">
        <v>5898</v>
      </c>
      <c r="H2773" s="572" t="s">
        <v>5899</v>
      </c>
      <c r="I2773" s="452" t="s">
        <v>11566</v>
      </c>
      <c r="J2773" s="515" t="s">
        <v>753</v>
      </c>
      <c r="K2773" s="452" t="s">
        <v>741</v>
      </c>
    </row>
    <row r="2774" spans="1:15" s="185" customFormat="1">
      <c r="A2774" s="515"/>
      <c r="B2774" s="144" t="s">
        <v>5900</v>
      </c>
      <c r="C2774" s="196">
        <v>242.7</v>
      </c>
      <c r="D2774" s="230">
        <f t="shared" si="372"/>
        <v>71.201659701492517</v>
      </c>
      <c r="E2774" s="215">
        <v>0</v>
      </c>
      <c r="F2774" s="511">
        <f t="shared" si="373"/>
        <v>71.3</v>
      </c>
      <c r="G2774" s="518" t="s">
        <v>5901</v>
      </c>
      <c r="H2774" s="572" t="s">
        <v>5902</v>
      </c>
      <c r="I2774" s="452" t="s">
        <v>11566</v>
      </c>
      <c r="J2774" s="515" t="s">
        <v>753</v>
      </c>
      <c r="K2774" s="452" t="s">
        <v>741</v>
      </c>
    </row>
    <row r="2775" spans="1:15" s="185" customFormat="1">
      <c r="A2775" s="515"/>
      <c r="B2775" s="144" t="s">
        <v>5903</v>
      </c>
      <c r="C2775" s="196">
        <v>295</v>
      </c>
      <c r="D2775" s="230">
        <f t="shared" si="372"/>
        <v>86.545074626865642</v>
      </c>
      <c r="E2775" s="215">
        <v>0</v>
      </c>
      <c r="F2775" s="511">
        <f t="shared" si="373"/>
        <v>86.6</v>
      </c>
      <c r="G2775" s="518" t="s">
        <v>5904</v>
      </c>
      <c r="H2775" s="572" t="s">
        <v>5905</v>
      </c>
      <c r="I2775" s="452" t="s">
        <v>11566</v>
      </c>
      <c r="J2775" s="515" t="s">
        <v>753</v>
      </c>
      <c r="K2775" s="452" t="s">
        <v>741</v>
      </c>
    </row>
    <row r="2776" spans="1:15" s="185" customFormat="1">
      <c r="A2776" s="515"/>
      <c r="B2776" s="144" t="s">
        <v>5906</v>
      </c>
      <c r="C2776" s="196">
        <v>318.40000000000003</v>
      </c>
      <c r="D2776" s="230">
        <f t="shared" si="372"/>
        <v>93.410005970149228</v>
      </c>
      <c r="E2776" s="215">
        <v>0</v>
      </c>
      <c r="F2776" s="511">
        <f t="shared" si="373"/>
        <v>93.5</v>
      </c>
      <c r="G2776" s="518" t="s">
        <v>5907</v>
      </c>
      <c r="H2776" s="572" t="s">
        <v>5908</v>
      </c>
      <c r="I2776" s="452" t="s">
        <v>11566</v>
      </c>
      <c r="J2776" s="515" t="s">
        <v>753</v>
      </c>
      <c r="K2776" s="452" t="s">
        <v>741</v>
      </c>
    </row>
    <row r="2777" spans="1:15" s="185" customFormat="1">
      <c r="A2777" s="515"/>
      <c r="B2777" s="144"/>
      <c r="C2777" s="196" t="s">
        <v>2024</v>
      </c>
      <c r="D2777" s="230"/>
      <c r="E2777" s="215"/>
      <c r="F2777" s="511"/>
      <c r="G2777" s="518"/>
      <c r="H2777" s="632"/>
      <c r="I2777" s="452"/>
      <c r="J2777" s="515"/>
      <c r="K2777" s="452"/>
    </row>
    <row r="2778" spans="1:15">
      <c r="A2778" s="515"/>
      <c r="B2778" s="143"/>
      <c r="C2778" s="962" t="s">
        <v>2024</v>
      </c>
      <c r="D2778" s="230"/>
      <c r="E2778" s="215"/>
      <c r="F2778" s="511"/>
      <c r="G2778" s="518"/>
      <c r="H2778" s="143"/>
      <c r="I2778" s="452"/>
      <c r="J2778" s="515"/>
      <c r="K2778" s="452"/>
      <c r="L2778" s="191"/>
      <c r="M2778" s="191"/>
      <c r="N2778" s="191"/>
      <c r="O2778" s="191"/>
    </row>
    <row r="2779" spans="1:15">
      <c r="A2779" s="515"/>
      <c r="B2779" s="143"/>
      <c r="C2779" s="962" t="s">
        <v>2024</v>
      </c>
      <c r="D2779" s="230"/>
      <c r="E2779" s="215"/>
      <c r="F2779" s="511"/>
      <c r="G2779" s="518"/>
      <c r="H2779" s="143"/>
      <c r="I2779" s="452"/>
      <c r="J2779" s="515"/>
      <c r="K2779" s="452"/>
      <c r="L2779" s="191"/>
      <c r="M2779" s="191"/>
      <c r="N2779" s="191"/>
      <c r="O2779" s="191"/>
    </row>
    <row r="2780" spans="1:15">
      <c r="A2780" s="515"/>
      <c r="B2780" s="144"/>
      <c r="C2780" s="196" t="s">
        <v>2024</v>
      </c>
      <c r="D2780" s="230"/>
      <c r="E2780" s="215"/>
      <c r="F2780" s="511"/>
      <c r="G2780" s="518"/>
      <c r="H2780" s="572"/>
      <c r="I2780" s="452"/>
      <c r="J2780" s="515"/>
      <c r="K2780" s="452"/>
    </row>
    <row r="2781" spans="1:15">
      <c r="A2781" s="515"/>
      <c r="B2781" s="1415" t="s">
        <v>11166</v>
      </c>
      <c r="C2781" s="1416" t="s">
        <v>2024</v>
      </c>
      <c r="D2781" s="230"/>
      <c r="E2781" s="215"/>
      <c r="F2781" s="511"/>
      <c r="G2781" s="518"/>
      <c r="H2781" s="143"/>
      <c r="I2781" s="452"/>
      <c r="J2781" s="515"/>
      <c r="K2781" s="452"/>
      <c r="L2781" s="191"/>
      <c r="M2781" s="191"/>
      <c r="N2781" s="191"/>
      <c r="O2781" s="191"/>
    </row>
    <row r="2782" spans="1:15" s="185" customFormat="1">
      <c r="A2782" s="515"/>
      <c r="B2782" s="143"/>
      <c r="C2782" s="962" t="s">
        <v>2024</v>
      </c>
      <c r="D2782" s="230"/>
      <c r="E2782" s="215"/>
      <c r="F2782" s="511"/>
      <c r="G2782" s="518"/>
      <c r="H2782" s="143"/>
      <c r="I2782" s="452"/>
      <c r="J2782" s="515"/>
      <c r="K2782" s="452"/>
      <c r="L2782" s="102"/>
      <c r="M2782" s="102"/>
      <c r="N2782" s="102"/>
      <c r="O2782" s="102"/>
    </row>
    <row r="2783" spans="1:15">
      <c r="A2783" s="515"/>
      <c r="B2783" s="144" t="s">
        <v>7517</v>
      </c>
      <c r="C2783" s="196">
        <v>51</v>
      </c>
      <c r="D2783" s="230">
        <f t="shared" ref="D2783:D2789" si="374">C2783*(1-VLOOKUP(I2783,descuentos,6,FALSE))*fcl/IF(dol_sol="dólar", TC,1)</f>
        <v>14.962029850746264</v>
      </c>
      <c r="E2783" s="215">
        <v>3</v>
      </c>
      <c r="F2783" s="511">
        <f t="shared" ref="F2783:F2790" si="375">ROUNDUP(D2783+E2783,2)</f>
        <v>17.970000000000002</v>
      </c>
      <c r="G2783" s="518" t="s">
        <v>7518</v>
      </c>
      <c r="H2783" s="572" t="s">
        <v>7519</v>
      </c>
      <c r="I2783" s="452" t="s">
        <v>11566</v>
      </c>
      <c r="J2783" s="515" t="s">
        <v>753</v>
      </c>
      <c r="K2783" s="452" t="s">
        <v>741</v>
      </c>
    </row>
    <row r="2784" spans="1:15">
      <c r="A2784" s="515"/>
      <c r="B2784" s="144" t="s">
        <v>10894</v>
      </c>
      <c r="C2784" s="196">
        <v>63.7</v>
      </c>
      <c r="D2784" s="230">
        <f t="shared" si="374"/>
        <v>18.687868656716415</v>
      </c>
      <c r="E2784" s="215">
        <v>3</v>
      </c>
      <c r="F2784" s="511">
        <f t="shared" si="375"/>
        <v>21.69</v>
      </c>
      <c r="G2784" s="518" t="s">
        <v>10895</v>
      </c>
      <c r="H2784" s="572" t="s">
        <v>10896</v>
      </c>
      <c r="I2784" s="452" t="s">
        <v>11566</v>
      </c>
      <c r="J2784" s="515" t="s">
        <v>753</v>
      </c>
      <c r="K2784" s="452" t="s">
        <v>741</v>
      </c>
    </row>
    <row r="2785" spans="1:15">
      <c r="A2785" s="515"/>
      <c r="B2785" s="144" t="s">
        <v>10897</v>
      </c>
      <c r="C2785" s="196">
        <v>71.199999999999989</v>
      </c>
      <c r="D2785" s="230">
        <f t="shared" ref="D2785" si="376">C2785*(1-VLOOKUP(I2785,descuentos,6,FALSE))*fcl/IF(dol_sol="dólar", TC,1)</f>
        <v>20.888167164179094</v>
      </c>
      <c r="E2785" s="215">
        <v>3</v>
      </c>
      <c r="F2785" s="511">
        <f t="shared" si="375"/>
        <v>23.89</v>
      </c>
      <c r="G2785" s="518" t="s">
        <v>10898</v>
      </c>
      <c r="H2785" s="572" t="s">
        <v>10899</v>
      </c>
      <c r="I2785" s="452" t="s">
        <v>11566</v>
      </c>
      <c r="J2785" s="515" t="s">
        <v>753</v>
      </c>
      <c r="K2785" s="452" t="s">
        <v>741</v>
      </c>
    </row>
    <row r="2786" spans="1:15">
      <c r="A2786" s="515"/>
      <c r="B2786" s="144" t="s">
        <v>9903</v>
      </c>
      <c r="C2786" s="196">
        <v>89.5</v>
      </c>
      <c r="D2786" s="230">
        <f t="shared" si="374"/>
        <v>26.256895522388049</v>
      </c>
      <c r="E2786" s="215">
        <v>3</v>
      </c>
      <c r="F2786" s="511">
        <f t="shared" si="375"/>
        <v>29.26</v>
      </c>
      <c r="G2786" s="518" t="s">
        <v>9904</v>
      </c>
      <c r="H2786" s="572" t="s">
        <v>9905</v>
      </c>
      <c r="I2786" s="452" t="s">
        <v>11566</v>
      </c>
      <c r="J2786" s="515" t="s">
        <v>753</v>
      </c>
      <c r="K2786" s="452" t="s">
        <v>741</v>
      </c>
    </row>
    <row r="2787" spans="1:15">
      <c r="A2787" s="515"/>
      <c r="B2787" s="144" t="s">
        <v>9906</v>
      </c>
      <c r="C2787" s="196">
        <v>133.19999999999999</v>
      </c>
      <c r="D2787" s="230">
        <f t="shared" si="374"/>
        <v>39.077301492537295</v>
      </c>
      <c r="E2787" s="215">
        <v>3</v>
      </c>
      <c r="F2787" s="511">
        <f t="shared" si="375"/>
        <v>42.08</v>
      </c>
      <c r="G2787" s="518" t="s">
        <v>9907</v>
      </c>
      <c r="H2787" s="572" t="s">
        <v>9908</v>
      </c>
      <c r="I2787" s="452" t="s">
        <v>11566</v>
      </c>
      <c r="J2787" s="515" t="s">
        <v>753</v>
      </c>
      <c r="K2787" s="452" t="s">
        <v>741</v>
      </c>
    </row>
    <row r="2788" spans="1:15">
      <c r="A2788" s="515"/>
      <c r="B2788" s="144" t="s">
        <v>9909</v>
      </c>
      <c r="C2788" s="196">
        <v>206</v>
      </c>
      <c r="D2788" s="230">
        <f t="shared" si="374"/>
        <v>60.434865671641766</v>
      </c>
      <c r="E2788" s="215">
        <v>3</v>
      </c>
      <c r="F2788" s="511">
        <f t="shared" si="375"/>
        <v>63.44</v>
      </c>
      <c r="G2788" s="518" t="s">
        <v>9910</v>
      </c>
      <c r="H2788" s="572" t="s">
        <v>9911</v>
      </c>
      <c r="I2788" s="452" t="s">
        <v>11566</v>
      </c>
      <c r="J2788" s="515" t="s">
        <v>753</v>
      </c>
      <c r="K2788" s="452" t="s">
        <v>741</v>
      </c>
    </row>
    <row r="2789" spans="1:15">
      <c r="A2789" s="515"/>
      <c r="B2789" s="144" t="s">
        <v>9912</v>
      </c>
      <c r="C2789" s="196">
        <v>216.4</v>
      </c>
      <c r="D2789" s="230">
        <f t="shared" si="374"/>
        <v>63.485946268656704</v>
      </c>
      <c r="E2789" s="215">
        <v>3</v>
      </c>
      <c r="F2789" s="511">
        <f t="shared" si="375"/>
        <v>66.490000000000009</v>
      </c>
      <c r="G2789" s="518" t="s">
        <v>9913</v>
      </c>
      <c r="H2789" s="572" t="s">
        <v>9914</v>
      </c>
      <c r="I2789" s="452" t="s">
        <v>11566</v>
      </c>
      <c r="J2789" s="515" t="s">
        <v>753</v>
      </c>
      <c r="K2789" s="452" t="s">
        <v>741</v>
      </c>
    </row>
    <row r="2790" spans="1:15">
      <c r="A2790" s="515"/>
      <c r="B2790" s="144" t="s">
        <v>11716</v>
      </c>
      <c r="C2790" s="196">
        <v>425</v>
      </c>
      <c r="D2790" s="230">
        <f t="shared" ref="D2790" si="377">C2790*(1-VLOOKUP(I2790,descuentos,6,FALSE))*fcl/IF(dol_sol="dólar", TC,1)</f>
        <v>124.6835820895522</v>
      </c>
      <c r="E2790" s="215">
        <v>3</v>
      </c>
      <c r="F2790" s="511">
        <f t="shared" si="375"/>
        <v>127.69000000000001</v>
      </c>
      <c r="G2790" s="518" t="s">
        <v>11717</v>
      </c>
      <c r="H2790" s="572" t="s">
        <v>11718</v>
      </c>
      <c r="I2790" s="452" t="s">
        <v>11566</v>
      </c>
      <c r="J2790" s="515" t="s">
        <v>753</v>
      </c>
      <c r="K2790" s="452" t="s">
        <v>741</v>
      </c>
    </row>
    <row r="2791" spans="1:15">
      <c r="A2791" s="515"/>
      <c r="B2791" s="144"/>
      <c r="C2791" s="196" t="s">
        <v>2024</v>
      </c>
      <c r="D2791" s="230"/>
      <c r="E2791" s="215"/>
      <c r="F2791" s="511"/>
      <c r="G2791" s="518"/>
      <c r="H2791" s="572"/>
      <c r="I2791" s="452"/>
      <c r="J2791" s="515"/>
      <c r="K2791" s="452"/>
    </row>
    <row r="2792" spans="1:15">
      <c r="A2792" s="515"/>
      <c r="B2792" s="1400" t="s">
        <v>5862</v>
      </c>
      <c r="C2792" s="196" t="s">
        <v>2024</v>
      </c>
      <c r="D2792" s="230"/>
      <c r="E2792" s="215"/>
      <c r="F2792" s="511"/>
      <c r="G2792" s="518"/>
      <c r="H2792" s="143"/>
      <c r="I2792" s="452"/>
      <c r="J2792" s="515"/>
      <c r="K2792" s="452"/>
      <c r="L2792" s="191"/>
      <c r="M2792" s="191"/>
      <c r="N2792" s="191"/>
      <c r="O2792" s="191"/>
    </row>
    <row r="2793" spans="1:15" s="185" customFormat="1">
      <c r="A2793" s="515"/>
      <c r="B2793" s="144" t="s">
        <v>9915</v>
      </c>
      <c r="C2793" s="196">
        <v>7.3</v>
      </c>
      <c r="D2793" s="230">
        <f t="shared" ref="D2793:D2798" si="378">C2793*(1-VLOOKUP(I2793,descuentos,6,FALSE))*fcl/IF(dol_sol="dólar", TC,1)</f>
        <v>2.141623880597014</v>
      </c>
      <c r="E2793" s="215">
        <v>0</v>
      </c>
      <c r="F2793" s="511">
        <f t="shared" ref="F2793:F2798" si="379">ROUNDUP(D2793+E2793,2)</f>
        <v>2.15</v>
      </c>
      <c r="G2793" s="518" t="s">
        <v>9916</v>
      </c>
      <c r="H2793" s="572" t="s">
        <v>9917</v>
      </c>
      <c r="I2793" s="452" t="s">
        <v>11566</v>
      </c>
      <c r="J2793" s="515" t="s">
        <v>753</v>
      </c>
      <c r="K2793" s="452" t="s">
        <v>741</v>
      </c>
    </row>
    <row r="2794" spans="1:15" s="185" customFormat="1">
      <c r="A2794" s="515"/>
      <c r="B2794" s="144" t="s">
        <v>9918</v>
      </c>
      <c r="C2794" s="196">
        <v>6.8</v>
      </c>
      <c r="D2794" s="230">
        <f t="shared" si="378"/>
        <v>1.9949373134328352</v>
      </c>
      <c r="E2794" s="215">
        <v>0</v>
      </c>
      <c r="F2794" s="511">
        <f t="shared" si="379"/>
        <v>2</v>
      </c>
      <c r="G2794" s="518" t="s">
        <v>9919</v>
      </c>
      <c r="H2794" s="572" t="s">
        <v>9920</v>
      </c>
      <c r="I2794" s="452" t="s">
        <v>11566</v>
      </c>
      <c r="J2794" s="515" t="s">
        <v>753</v>
      </c>
      <c r="K2794" s="452" t="s">
        <v>741</v>
      </c>
    </row>
    <row r="2795" spans="1:15" s="185" customFormat="1">
      <c r="A2795" s="515"/>
      <c r="B2795" s="144" t="s">
        <v>9921</v>
      </c>
      <c r="C2795" s="196">
        <v>15.6</v>
      </c>
      <c r="D2795" s="230">
        <f t="shared" si="378"/>
        <v>4.5766208955223862</v>
      </c>
      <c r="E2795" s="215">
        <v>0</v>
      </c>
      <c r="F2795" s="511">
        <f t="shared" si="379"/>
        <v>4.58</v>
      </c>
      <c r="G2795" s="518" t="s">
        <v>9922</v>
      </c>
      <c r="H2795" s="572" t="s">
        <v>9923</v>
      </c>
      <c r="I2795" s="452" t="s">
        <v>11566</v>
      </c>
      <c r="J2795" s="515" t="s">
        <v>753</v>
      </c>
      <c r="K2795" s="452" t="s">
        <v>741</v>
      </c>
    </row>
    <row r="2796" spans="1:15" s="185" customFormat="1">
      <c r="A2796" s="515"/>
      <c r="B2796" s="144" t="s">
        <v>9924</v>
      </c>
      <c r="C2796" s="196">
        <v>14.6</v>
      </c>
      <c r="D2796" s="230">
        <f t="shared" si="378"/>
        <v>4.2832477611940281</v>
      </c>
      <c r="E2796" s="215">
        <v>0</v>
      </c>
      <c r="F2796" s="511">
        <f t="shared" si="379"/>
        <v>4.29</v>
      </c>
      <c r="G2796" s="518" t="s">
        <v>9925</v>
      </c>
      <c r="H2796" s="572" t="s">
        <v>9926</v>
      </c>
      <c r="I2796" s="452" t="s">
        <v>11566</v>
      </c>
      <c r="J2796" s="515" t="s">
        <v>753</v>
      </c>
      <c r="K2796" s="452" t="s">
        <v>741</v>
      </c>
    </row>
    <row r="2797" spans="1:15" s="185" customFormat="1">
      <c r="A2797" s="515"/>
      <c r="B2797" s="144" t="s">
        <v>9927</v>
      </c>
      <c r="C2797" s="196">
        <v>13.6</v>
      </c>
      <c r="D2797" s="230">
        <f t="shared" si="378"/>
        <v>3.9898746268656704</v>
      </c>
      <c r="E2797" s="215">
        <v>0</v>
      </c>
      <c r="F2797" s="511">
        <f t="shared" si="379"/>
        <v>3.9899999999999998</v>
      </c>
      <c r="G2797" s="518" t="s">
        <v>9928</v>
      </c>
      <c r="H2797" s="572" t="s">
        <v>9929</v>
      </c>
      <c r="I2797" s="452" t="s">
        <v>11566</v>
      </c>
      <c r="J2797" s="515" t="s">
        <v>753</v>
      </c>
      <c r="K2797" s="452" t="s">
        <v>741</v>
      </c>
    </row>
    <row r="2798" spans="1:15" s="185" customFormat="1">
      <c r="A2798" s="515"/>
      <c r="B2798" s="144" t="s">
        <v>10059</v>
      </c>
      <c r="C2798" s="196">
        <v>10.4</v>
      </c>
      <c r="D2798" s="230">
        <f t="shared" si="378"/>
        <v>3.0510805970149244</v>
      </c>
      <c r="E2798" s="215">
        <v>0</v>
      </c>
      <c r="F2798" s="511">
        <f t="shared" si="379"/>
        <v>3.0599999999999996</v>
      </c>
      <c r="G2798" s="518" t="s">
        <v>10060</v>
      </c>
      <c r="H2798" s="572" t="s">
        <v>10061</v>
      </c>
      <c r="I2798" s="452" t="s">
        <v>11566</v>
      </c>
      <c r="J2798" s="515" t="s">
        <v>753</v>
      </c>
      <c r="K2798" s="452" t="s">
        <v>741</v>
      </c>
    </row>
    <row r="2799" spans="1:15" s="185" customFormat="1">
      <c r="A2799" s="515"/>
      <c r="B2799" s="144"/>
      <c r="C2799" s="196" t="s">
        <v>2024</v>
      </c>
      <c r="D2799" s="230"/>
      <c r="E2799" s="215"/>
      <c r="F2799" s="511"/>
      <c r="G2799" s="518"/>
      <c r="H2799" s="632"/>
      <c r="I2799" s="452"/>
      <c r="J2799" s="515"/>
      <c r="K2799" s="452"/>
    </row>
    <row r="2800" spans="1:15">
      <c r="A2800" s="369"/>
      <c r="B2800" s="143" t="s">
        <v>9930</v>
      </c>
      <c r="C2800" s="196">
        <v>51</v>
      </c>
      <c r="D2800" s="215">
        <f>C2800*fcl*(1-0.28)/TC</f>
        <v>24.911804613297146</v>
      </c>
      <c r="E2800" s="215">
        <v>0</v>
      </c>
      <c r="F2800" s="511">
        <f>ROUNDUP(D2800+E2800,1)</f>
        <v>25</v>
      </c>
      <c r="G2800" s="314" t="s">
        <v>9931</v>
      </c>
      <c r="H2800" s="458" t="s">
        <v>9932</v>
      </c>
      <c r="I2800" s="452"/>
      <c r="J2800" s="369" t="s">
        <v>1576</v>
      </c>
      <c r="K2800" s="452" t="s">
        <v>741</v>
      </c>
    </row>
    <row r="2801" spans="1:15" s="185" customFormat="1">
      <c r="A2801" s="515"/>
      <c r="B2801" s="144"/>
      <c r="C2801" s="196" t="s">
        <v>2024</v>
      </c>
      <c r="D2801" s="230"/>
      <c r="E2801" s="215"/>
      <c r="F2801" s="511"/>
      <c r="G2801" s="518"/>
      <c r="H2801" s="632"/>
      <c r="I2801" s="452"/>
      <c r="J2801" s="515"/>
      <c r="K2801" s="452"/>
    </row>
    <row r="2802" spans="1:15" s="185" customFormat="1">
      <c r="A2802" s="515"/>
      <c r="B2802" s="144"/>
      <c r="C2802" s="196" t="s">
        <v>2024</v>
      </c>
      <c r="D2802" s="230"/>
      <c r="E2802" s="215"/>
      <c r="F2802" s="511"/>
      <c r="G2802" s="314"/>
      <c r="H2802" s="518"/>
      <c r="I2802" s="452"/>
      <c r="J2802" s="369"/>
      <c r="K2802" s="452"/>
    </row>
    <row r="2803" spans="1:15" s="185" customFormat="1">
      <c r="A2803" s="515"/>
      <c r="B2803" s="144"/>
      <c r="C2803" s="196" t="s">
        <v>2024</v>
      </c>
      <c r="D2803" s="230"/>
      <c r="E2803" s="215"/>
      <c r="F2803" s="511"/>
      <c r="G2803" s="314"/>
      <c r="H2803" s="518"/>
      <c r="I2803" s="452"/>
      <c r="J2803" s="369"/>
      <c r="K2803" s="452"/>
    </row>
    <row r="2804" spans="1:15" s="102" customFormat="1">
      <c r="B2804" s="321" t="s">
        <v>7522</v>
      </c>
      <c r="C2804" s="102" t="s">
        <v>2024</v>
      </c>
      <c r="H2804" s="194"/>
    </row>
    <row r="2805" spans="1:15">
      <c r="A2805" s="515"/>
      <c r="B2805" s="144"/>
      <c r="C2805" s="196" t="s">
        <v>2024</v>
      </c>
      <c r="D2805" s="230"/>
      <c r="E2805" s="215"/>
      <c r="F2805" s="511"/>
      <c r="G2805" s="518"/>
      <c r="H2805" s="143"/>
      <c r="I2805" s="452"/>
      <c r="J2805" s="515"/>
      <c r="K2805" s="452"/>
      <c r="L2805" s="191"/>
      <c r="M2805" s="191"/>
      <c r="N2805" s="191"/>
      <c r="O2805" s="191"/>
    </row>
    <row r="2806" spans="1:15" s="317" customFormat="1">
      <c r="A2806" s="369"/>
      <c r="B2806" s="314" t="s">
        <v>5494</v>
      </c>
      <c r="C2806" s="1394">
        <v>588</v>
      </c>
      <c r="D2806" s="230">
        <f t="shared" ref="D2806:D2816" si="380">C2806*(1-VLOOKUP(I2806,descuentos,6,FALSE))*fcl/IF(dol_sol="dólar", TC,1)</f>
        <v>180.62450474898233</v>
      </c>
      <c r="E2806" s="417">
        <v>15</v>
      </c>
      <c r="F2806" s="511">
        <f t="shared" ref="F2806:F2816" si="381">ROUNDUP(D2806+E2806,2)</f>
        <v>195.63</v>
      </c>
      <c r="G2806" s="314" t="s">
        <v>5495</v>
      </c>
      <c r="H2806" s="518" t="s">
        <v>5496</v>
      </c>
      <c r="I2806" s="452" t="s">
        <v>11565</v>
      </c>
      <c r="J2806" s="369" t="s">
        <v>753</v>
      </c>
      <c r="K2806" s="452" t="s">
        <v>741</v>
      </c>
    </row>
    <row r="2807" spans="1:15" s="317" customFormat="1">
      <c r="A2807" s="369"/>
      <c r="B2807" s="314" t="s">
        <v>5497</v>
      </c>
      <c r="C2807" s="1394">
        <v>588</v>
      </c>
      <c r="D2807" s="230">
        <f t="shared" si="380"/>
        <v>180.62450474898233</v>
      </c>
      <c r="E2807" s="417">
        <v>15</v>
      </c>
      <c r="F2807" s="511">
        <f t="shared" si="381"/>
        <v>195.63</v>
      </c>
      <c r="G2807" s="314" t="s">
        <v>9933</v>
      </c>
      <c r="H2807" s="518" t="s">
        <v>5498</v>
      </c>
      <c r="I2807" s="452" t="s">
        <v>11565</v>
      </c>
      <c r="J2807" s="369" t="s">
        <v>753</v>
      </c>
      <c r="K2807" s="452" t="s">
        <v>741</v>
      </c>
    </row>
    <row r="2808" spans="1:15" s="317" customFormat="1">
      <c r="A2808" s="369"/>
      <c r="B2808" s="314" t="s">
        <v>5499</v>
      </c>
      <c r="C2808" s="1394">
        <v>588</v>
      </c>
      <c r="D2808" s="230">
        <f t="shared" si="380"/>
        <v>180.62450474898233</v>
      </c>
      <c r="E2808" s="417">
        <v>15</v>
      </c>
      <c r="F2808" s="511">
        <f t="shared" si="381"/>
        <v>195.63</v>
      </c>
      <c r="G2808" s="314" t="s">
        <v>9934</v>
      </c>
      <c r="H2808" s="518" t="s">
        <v>5500</v>
      </c>
      <c r="I2808" s="452" t="s">
        <v>11565</v>
      </c>
      <c r="J2808" s="369" t="s">
        <v>753</v>
      </c>
      <c r="K2808" s="452" t="s">
        <v>741</v>
      </c>
    </row>
    <row r="2809" spans="1:15" s="317" customFormat="1">
      <c r="A2809" s="369"/>
      <c r="B2809" s="314" t="s">
        <v>5501</v>
      </c>
      <c r="C2809" s="1394">
        <v>588</v>
      </c>
      <c r="D2809" s="230">
        <f t="shared" si="380"/>
        <v>180.62450474898233</v>
      </c>
      <c r="E2809" s="417">
        <v>15</v>
      </c>
      <c r="F2809" s="511">
        <f t="shared" si="381"/>
        <v>195.63</v>
      </c>
      <c r="G2809" s="314" t="s">
        <v>9935</v>
      </c>
      <c r="H2809" s="518" t="s">
        <v>5502</v>
      </c>
      <c r="I2809" s="452" t="s">
        <v>11565</v>
      </c>
      <c r="J2809" s="369" t="s">
        <v>753</v>
      </c>
      <c r="K2809" s="452" t="s">
        <v>741</v>
      </c>
    </row>
    <row r="2810" spans="1:15" s="317" customFormat="1">
      <c r="A2810" s="369"/>
      <c r="B2810" s="314" t="s">
        <v>5503</v>
      </c>
      <c r="C2810" s="1394">
        <v>588</v>
      </c>
      <c r="D2810" s="230">
        <f t="shared" si="380"/>
        <v>180.62450474898233</v>
      </c>
      <c r="E2810" s="417">
        <v>15</v>
      </c>
      <c r="F2810" s="511">
        <f t="shared" si="381"/>
        <v>195.63</v>
      </c>
      <c r="G2810" s="314" t="s">
        <v>9936</v>
      </c>
      <c r="H2810" s="518" t="s">
        <v>5504</v>
      </c>
      <c r="I2810" s="452" t="s">
        <v>11565</v>
      </c>
      <c r="J2810" s="369" t="s">
        <v>753</v>
      </c>
      <c r="K2810" s="452" t="s">
        <v>741</v>
      </c>
    </row>
    <row r="2811" spans="1:15" s="317" customFormat="1">
      <c r="A2811" s="369"/>
      <c r="B2811" s="314" t="s">
        <v>5505</v>
      </c>
      <c r="C2811" s="1394">
        <v>588</v>
      </c>
      <c r="D2811" s="230">
        <f t="shared" si="380"/>
        <v>180.62450474898233</v>
      </c>
      <c r="E2811" s="417">
        <v>15</v>
      </c>
      <c r="F2811" s="511">
        <f t="shared" si="381"/>
        <v>195.63</v>
      </c>
      <c r="G2811" s="314" t="s">
        <v>9937</v>
      </c>
      <c r="H2811" s="518" t="s">
        <v>5506</v>
      </c>
      <c r="I2811" s="452" t="s">
        <v>11565</v>
      </c>
      <c r="J2811" s="369" t="s">
        <v>753</v>
      </c>
      <c r="K2811" s="452" t="s">
        <v>741</v>
      </c>
    </row>
    <row r="2812" spans="1:15" s="317" customFormat="1">
      <c r="A2812" s="369"/>
      <c r="B2812" s="314" t="s">
        <v>5507</v>
      </c>
      <c r="C2812" s="1394">
        <v>588</v>
      </c>
      <c r="D2812" s="230">
        <f t="shared" si="380"/>
        <v>180.62450474898233</v>
      </c>
      <c r="E2812" s="417">
        <v>15</v>
      </c>
      <c r="F2812" s="511">
        <f t="shared" si="381"/>
        <v>195.63</v>
      </c>
      <c r="G2812" s="314" t="s">
        <v>9938</v>
      </c>
      <c r="H2812" s="518" t="s">
        <v>5508</v>
      </c>
      <c r="I2812" s="452" t="s">
        <v>11565</v>
      </c>
      <c r="J2812" s="369" t="s">
        <v>753</v>
      </c>
      <c r="K2812" s="452" t="s">
        <v>741</v>
      </c>
    </row>
    <row r="2813" spans="1:15" s="317" customFormat="1">
      <c r="A2813" s="369"/>
      <c r="B2813" s="314" t="s">
        <v>5509</v>
      </c>
      <c r="C2813" s="1394">
        <v>588</v>
      </c>
      <c r="D2813" s="230">
        <f t="shared" si="380"/>
        <v>180.62450474898233</v>
      </c>
      <c r="E2813" s="417">
        <v>15</v>
      </c>
      <c r="F2813" s="511">
        <f t="shared" si="381"/>
        <v>195.63</v>
      </c>
      <c r="G2813" s="314" t="s">
        <v>9939</v>
      </c>
      <c r="H2813" s="518" t="s">
        <v>5510</v>
      </c>
      <c r="I2813" s="452" t="s">
        <v>11565</v>
      </c>
      <c r="J2813" s="369" t="s">
        <v>753</v>
      </c>
      <c r="K2813" s="452" t="s">
        <v>741</v>
      </c>
    </row>
    <row r="2814" spans="1:15" s="317" customFormat="1">
      <c r="A2814" s="369"/>
      <c r="B2814" s="314" t="s">
        <v>5511</v>
      </c>
      <c r="C2814" s="1394">
        <v>598</v>
      </c>
      <c r="D2814" s="230">
        <f t="shared" si="380"/>
        <v>183.69635006784256</v>
      </c>
      <c r="E2814" s="417">
        <v>15</v>
      </c>
      <c r="F2814" s="511">
        <f t="shared" si="381"/>
        <v>198.7</v>
      </c>
      <c r="G2814" s="314" t="s">
        <v>9940</v>
      </c>
      <c r="H2814" s="518" t="s">
        <v>5512</v>
      </c>
      <c r="I2814" s="452" t="s">
        <v>11565</v>
      </c>
      <c r="J2814" s="369" t="s">
        <v>753</v>
      </c>
      <c r="K2814" s="452" t="s">
        <v>741</v>
      </c>
    </row>
    <row r="2815" spans="1:15" s="317" customFormat="1">
      <c r="A2815" s="369"/>
      <c r="B2815" s="314" t="s">
        <v>5513</v>
      </c>
      <c r="C2815" s="1394">
        <v>598</v>
      </c>
      <c r="D2815" s="230">
        <f t="shared" si="380"/>
        <v>183.69635006784256</v>
      </c>
      <c r="E2815" s="417">
        <v>15</v>
      </c>
      <c r="F2815" s="511">
        <f t="shared" si="381"/>
        <v>198.7</v>
      </c>
      <c r="G2815" s="314" t="s">
        <v>9941</v>
      </c>
      <c r="H2815" s="518" t="s">
        <v>5514</v>
      </c>
      <c r="I2815" s="452" t="s">
        <v>11565</v>
      </c>
      <c r="J2815" s="369" t="s">
        <v>753</v>
      </c>
      <c r="K2815" s="452" t="s">
        <v>741</v>
      </c>
    </row>
    <row r="2816" spans="1:15" s="317" customFormat="1">
      <c r="A2816" s="369"/>
      <c r="B2816" s="314" t="s">
        <v>5515</v>
      </c>
      <c r="C2816" s="1394">
        <v>598</v>
      </c>
      <c r="D2816" s="230">
        <f t="shared" si="380"/>
        <v>183.69635006784256</v>
      </c>
      <c r="E2816" s="417">
        <v>15</v>
      </c>
      <c r="F2816" s="511">
        <f t="shared" si="381"/>
        <v>198.7</v>
      </c>
      <c r="G2816" s="314" t="s">
        <v>9942</v>
      </c>
      <c r="H2816" s="518" t="s">
        <v>5516</v>
      </c>
      <c r="I2816" s="452" t="s">
        <v>11565</v>
      </c>
      <c r="J2816" s="369" t="s">
        <v>753</v>
      </c>
      <c r="K2816" s="452" t="s">
        <v>741</v>
      </c>
    </row>
    <row r="2817" spans="1:11">
      <c r="A2817" s="321"/>
      <c r="B2817" s="139"/>
      <c r="C2817" s="196" t="s">
        <v>2024</v>
      </c>
      <c r="D2817" s="206"/>
      <c r="E2817" s="112"/>
      <c r="F2817" s="154"/>
      <c r="G2817" s="140"/>
      <c r="H2817" s="139"/>
      <c r="I2817" s="185"/>
      <c r="J2817" s="185"/>
      <c r="K2817" s="185"/>
    </row>
    <row r="2818" spans="1:11" s="317" customFormat="1">
      <c r="A2818" s="369"/>
      <c r="B2818" s="314" t="s">
        <v>9943</v>
      </c>
      <c r="C2818" s="1394">
        <v>1061</v>
      </c>
      <c r="D2818" s="230">
        <f>C2818*(1-VLOOKUP(I2818,descuentos,6,FALSE))*fcl/IF(dol_sol="dólar", TC,1)</f>
        <v>325.9227883310719</v>
      </c>
      <c r="E2818" s="215">
        <v>20</v>
      </c>
      <c r="F2818" s="511">
        <f>ROUNDUP(D2818+E2818,2)</f>
        <v>345.93</v>
      </c>
      <c r="G2818" s="314" t="s">
        <v>9944</v>
      </c>
      <c r="H2818" s="518" t="s">
        <v>9945</v>
      </c>
      <c r="I2818" s="452" t="s">
        <v>11565</v>
      </c>
      <c r="J2818" s="369" t="s">
        <v>753</v>
      </c>
      <c r="K2818" s="452" t="s">
        <v>741</v>
      </c>
    </row>
    <row r="2819" spans="1:11" s="317" customFormat="1">
      <c r="A2819" s="369"/>
      <c r="B2819" s="314" t="s">
        <v>9946</v>
      </c>
      <c r="C2819" s="1394">
        <v>1061</v>
      </c>
      <c r="D2819" s="230">
        <f>C2819*(1-VLOOKUP(I2819,descuentos,6,FALSE))*fcl/IF(dol_sol="dólar", TC,1)</f>
        <v>325.9227883310719</v>
      </c>
      <c r="E2819" s="215">
        <v>20</v>
      </c>
      <c r="F2819" s="511">
        <f>ROUNDUP(D2819+E2819,2)</f>
        <v>345.93</v>
      </c>
      <c r="G2819" s="314" t="s">
        <v>9947</v>
      </c>
      <c r="H2819" s="518" t="s">
        <v>9948</v>
      </c>
      <c r="I2819" s="452" t="s">
        <v>11565</v>
      </c>
      <c r="J2819" s="369" t="s">
        <v>753</v>
      </c>
      <c r="K2819" s="452" t="s">
        <v>741</v>
      </c>
    </row>
    <row r="2820" spans="1:11" s="317" customFormat="1">
      <c r="A2820" s="369"/>
      <c r="B2820" s="314" t="s">
        <v>9949</v>
      </c>
      <c r="C2820" s="1394">
        <v>1123</v>
      </c>
      <c r="D2820" s="230">
        <f>C2820*(1-VLOOKUP(I2820,descuentos,6,FALSE))*fcl/IF(dol_sol="dólar", TC,1)</f>
        <v>344.96822930800539</v>
      </c>
      <c r="E2820" s="215">
        <v>20</v>
      </c>
      <c r="F2820" s="511">
        <f>ROUNDUP(D2820+E2820,2)</f>
        <v>364.96999999999997</v>
      </c>
      <c r="G2820" s="314" t="s">
        <v>9950</v>
      </c>
      <c r="H2820" s="518" t="s">
        <v>9951</v>
      </c>
      <c r="I2820" s="452" t="s">
        <v>11565</v>
      </c>
      <c r="J2820" s="369" t="s">
        <v>753</v>
      </c>
      <c r="K2820" s="452" t="s">
        <v>741</v>
      </c>
    </row>
    <row r="2821" spans="1:11">
      <c r="A2821" s="321"/>
      <c r="B2821" s="139"/>
      <c r="C2821" s="1394" t="s">
        <v>2024</v>
      </c>
      <c r="D2821" s="206"/>
      <c r="E2821" s="112"/>
      <c r="F2821" s="154"/>
      <c r="G2821" s="140"/>
      <c r="H2821" s="139"/>
      <c r="I2821" s="185"/>
      <c r="J2821" s="185"/>
      <c r="K2821" s="185"/>
    </row>
    <row r="2822" spans="1:11" s="317" customFormat="1">
      <c r="A2822" s="369"/>
      <c r="B2822" s="351" t="s">
        <v>9952</v>
      </c>
      <c r="C2822" s="1394">
        <v>1379</v>
      </c>
      <c r="D2822" s="345">
        <f>C2822*(1-VLOOKUP(I2822,descuentos,6,FALSE))*fcl/IF(dol_sol="dólar", TC,1)</f>
        <v>423.60746947082765</v>
      </c>
      <c r="E2822" s="343">
        <v>30</v>
      </c>
      <c r="F2822" s="508">
        <f>ROUNDUP(D2822+E2822,2)</f>
        <v>453.61</v>
      </c>
      <c r="G2822" s="351" t="s">
        <v>9953</v>
      </c>
      <c r="H2822" s="518" t="s">
        <v>9954</v>
      </c>
      <c r="I2822" s="452" t="s">
        <v>11565</v>
      </c>
      <c r="J2822" s="369" t="s">
        <v>753</v>
      </c>
      <c r="K2822" s="452" t="s">
        <v>741</v>
      </c>
    </row>
    <row r="2823" spans="1:11" s="317" customFormat="1">
      <c r="A2823" s="369"/>
      <c r="B2823" s="351" t="s">
        <v>9955</v>
      </c>
      <c r="C2823" s="1394">
        <v>1379</v>
      </c>
      <c r="D2823" s="345">
        <f>C2823*(1-VLOOKUP(I2823,descuentos,6,FALSE))*fcl/IF(dol_sol="dólar", TC,1)</f>
        <v>423.60746947082765</v>
      </c>
      <c r="E2823" s="343">
        <v>30</v>
      </c>
      <c r="F2823" s="508">
        <f>ROUNDUP(D2823+E2823,2)</f>
        <v>453.61</v>
      </c>
      <c r="G2823" s="351" t="s">
        <v>9956</v>
      </c>
      <c r="H2823" s="518" t="s">
        <v>9957</v>
      </c>
      <c r="I2823" s="452" t="s">
        <v>11565</v>
      </c>
      <c r="J2823" s="369" t="s">
        <v>753</v>
      </c>
      <c r="K2823" s="452" t="s">
        <v>741</v>
      </c>
    </row>
    <row r="2824" spans="1:11" s="317" customFormat="1">
      <c r="A2824" s="369"/>
      <c r="B2824" s="351" t="s">
        <v>9958</v>
      </c>
      <c r="C2824" s="1394">
        <v>1460</v>
      </c>
      <c r="D2824" s="345">
        <f>C2824*(1-VLOOKUP(I2824,descuentos,6,FALSE))*fcl/IF(dol_sol="dólar", TC,1)</f>
        <v>448.48941655359556</v>
      </c>
      <c r="E2824" s="343">
        <v>30</v>
      </c>
      <c r="F2824" s="508">
        <f>ROUNDUP(D2824+E2824,2)</f>
        <v>478.49</v>
      </c>
      <c r="G2824" s="351" t="s">
        <v>9959</v>
      </c>
      <c r="H2824" s="518" t="s">
        <v>9960</v>
      </c>
      <c r="I2824" s="452" t="s">
        <v>11565</v>
      </c>
      <c r="J2824" s="369" t="s">
        <v>753</v>
      </c>
      <c r="K2824" s="452" t="s">
        <v>741</v>
      </c>
    </row>
    <row r="2825" spans="1:11" s="317" customFormat="1">
      <c r="A2825" s="369"/>
      <c r="B2825" s="314"/>
      <c r="C2825" s="196" t="s">
        <v>2024</v>
      </c>
      <c r="D2825" s="230"/>
      <c r="E2825" s="215"/>
      <c r="F2825" s="511"/>
      <c r="G2825" s="314"/>
      <c r="H2825" s="518"/>
      <c r="I2825" s="452"/>
      <c r="J2825" s="369"/>
      <c r="K2825" s="452"/>
    </row>
    <row r="2826" spans="1:11" s="317" customFormat="1">
      <c r="A2826" s="369"/>
      <c r="B2826" s="314" t="s">
        <v>9693</v>
      </c>
      <c r="C2826" s="1394">
        <v>2537</v>
      </c>
      <c r="D2826" s="230">
        <f>C2826*(1-VLOOKUP(I2826,descuentos,6,FALSE))*fcl/IF(dol_sol="dólar", TC,1)</f>
        <v>779.32715739484399</v>
      </c>
      <c r="E2826" s="215">
        <v>40</v>
      </c>
      <c r="F2826" s="511">
        <f>ROUNDUP(D2826+E2826,2)</f>
        <v>819.33</v>
      </c>
      <c r="G2826" s="314" t="s">
        <v>9694</v>
      </c>
      <c r="H2826" s="518" t="s">
        <v>9695</v>
      </c>
      <c r="I2826" s="452" t="s">
        <v>11565</v>
      </c>
      <c r="J2826" s="369" t="s">
        <v>753</v>
      </c>
      <c r="K2826" s="452" t="s">
        <v>741</v>
      </c>
    </row>
    <row r="2827" spans="1:11" s="317" customFormat="1">
      <c r="A2827" s="369"/>
      <c r="B2827" s="314" t="s">
        <v>9696</v>
      </c>
      <c r="C2827" s="1394">
        <v>2537</v>
      </c>
      <c r="D2827" s="230">
        <f>C2827*(1-VLOOKUP(I2827,descuentos,6,FALSE))*fcl/IF(dol_sol="dólar", TC,1)</f>
        <v>779.32715739484399</v>
      </c>
      <c r="E2827" s="215">
        <v>40</v>
      </c>
      <c r="F2827" s="511">
        <f>ROUNDUP(D2827+E2827,2)</f>
        <v>819.33</v>
      </c>
      <c r="G2827" s="314" t="s">
        <v>9697</v>
      </c>
      <c r="H2827" s="518" t="s">
        <v>9698</v>
      </c>
      <c r="I2827" s="452" t="s">
        <v>11565</v>
      </c>
      <c r="J2827" s="369" t="s">
        <v>753</v>
      </c>
      <c r="K2827" s="452" t="s">
        <v>741</v>
      </c>
    </row>
    <row r="2828" spans="1:11" s="317" customFormat="1">
      <c r="A2828" s="369"/>
      <c r="B2828" s="314" t="s">
        <v>9699</v>
      </c>
      <c r="C2828" s="1394">
        <v>2636</v>
      </c>
      <c r="D2828" s="230">
        <f>C2828*(1-VLOOKUP(I2828,descuentos,6,FALSE))*fcl/IF(dol_sol="dólar", TC,1)</f>
        <v>809.73842605156028</v>
      </c>
      <c r="E2828" s="215">
        <v>40</v>
      </c>
      <c r="F2828" s="511">
        <f>ROUNDUP(D2828+E2828,2)</f>
        <v>849.74</v>
      </c>
      <c r="G2828" s="314" t="s">
        <v>9700</v>
      </c>
      <c r="H2828" s="518" t="s">
        <v>9701</v>
      </c>
      <c r="I2828" s="452" t="s">
        <v>11565</v>
      </c>
      <c r="J2828" s="369" t="s">
        <v>753</v>
      </c>
      <c r="K2828" s="452" t="s">
        <v>741</v>
      </c>
    </row>
    <row r="2829" spans="1:11">
      <c r="A2829" s="321"/>
      <c r="B2829" s="139"/>
      <c r="C2829" s="1395" t="s">
        <v>2024</v>
      </c>
      <c r="D2829" s="206"/>
      <c r="E2829" s="112"/>
      <c r="F2829" s="154"/>
      <c r="G2829" s="140"/>
      <c r="H2829" s="139"/>
      <c r="I2829" s="185"/>
      <c r="J2829" s="185"/>
      <c r="K2829" s="185"/>
    </row>
    <row r="2830" spans="1:11" s="317" customFormat="1">
      <c r="A2830" s="369"/>
      <c r="B2830" s="314" t="s">
        <v>5485</v>
      </c>
      <c r="C2830" s="1394">
        <v>2377</v>
      </c>
      <c r="D2830" s="230">
        <f>C2830*(1-VLOOKUP(I2830,descuentos,6,FALSE))*fcl/IF(dol_sol="dólar", TC,1)</f>
        <v>730.17763229308002</v>
      </c>
      <c r="E2830" s="215">
        <v>40</v>
      </c>
      <c r="F2830" s="511">
        <f>ROUNDUP(D2830+E2830,2)</f>
        <v>770.18</v>
      </c>
      <c r="G2830" s="314" t="s">
        <v>5486</v>
      </c>
      <c r="H2830" s="518" t="s">
        <v>5487</v>
      </c>
      <c r="I2830" s="452" t="s">
        <v>11565</v>
      </c>
      <c r="J2830" s="369" t="s">
        <v>753</v>
      </c>
      <c r="K2830" s="452" t="s">
        <v>741</v>
      </c>
    </row>
    <row r="2831" spans="1:11" s="317" customFormat="1">
      <c r="A2831" s="369"/>
      <c r="B2831" s="314" t="s">
        <v>5491</v>
      </c>
      <c r="C2831" s="1394">
        <v>2752</v>
      </c>
      <c r="D2831" s="230">
        <f>C2831*(1-VLOOKUP(I2831,descuentos,6,FALSE))*fcl/IF(dol_sol="dólar", TC,1)</f>
        <v>845.37183175033908</v>
      </c>
      <c r="E2831" s="215">
        <v>40</v>
      </c>
      <c r="F2831" s="511">
        <f>ROUNDUP(D2831+E2831,2)</f>
        <v>885.38</v>
      </c>
      <c r="G2831" s="314" t="s">
        <v>5492</v>
      </c>
      <c r="H2831" s="518" t="s">
        <v>5493</v>
      </c>
      <c r="I2831" s="452" t="s">
        <v>11565</v>
      </c>
      <c r="J2831" s="369" t="s">
        <v>753</v>
      </c>
      <c r="K2831" s="452" t="s">
        <v>741</v>
      </c>
    </row>
    <row r="2832" spans="1:11" s="317" customFormat="1">
      <c r="A2832" s="369"/>
      <c r="B2832" s="314" t="s">
        <v>5488</v>
      </c>
      <c r="C2832" s="1394">
        <v>2377</v>
      </c>
      <c r="D2832" s="230">
        <f>C2832*(1-VLOOKUP(I2832,descuentos,6,FALSE))*fcl/IF(dol_sol="dólar", TC,1)</f>
        <v>730.17763229308002</v>
      </c>
      <c r="E2832" s="215">
        <v>40</v>
      </c>
      <c r="F2832" s="511">
        <f>ROUNDUP(D2832+E2832,2)</f>
        <v>770.18</v>
      </c>
      <c r="G2832" s="314" t="s">
        <v>5489</v>
      </c>
      <c r="H2832" s="518" t="s">
        <v>5490</v>
      </c>
      <c r="I2832" s="452" t="s">
        <v>11565</v>
      </c>
      <c r="J2832" s="369" t="s">
        <v>753</v>
      </c>
      <c r="K2832" s="452" t="s">
        <v>741</v>
      </c>
    </row>
    <row r="2833" spans="1:15">
      <c r="A2833" s="321"/>
      <c r="B2833" s="139"/>
      <c r="C2833" s="240" t="s">
        <v>2024</v>
      </c>
      <c r="D2833" s="206"/>
      <c r="E2833" s="112"/>
      <c r="F2833" s="154"/>
      <c r="G2833" s="140"/>
      <c r="H2833" s="139"/>
      <c r="I2833" s="185"/>
      <c r="J2833" s="185"/>
      <c r="K2833" s="185"/>
    </row>
    <row r="2834" spans="1:15">
      <c r="A2834" s="321"/>
      <c r="B2834" s="139"/>
      <c r="C2834" s="240" t="s">
        <v>2024</v>
      </c>
      <c r="D2834" s="206"/>
      <c r="E2834" s="112"/>
      <c r="F2834" s="154"/>
      <c r="G2834" s="140"/>
      <c r="H2834" s="139"/>
      <c r="I2834" s="185"/>
      <c r="J2834" s="185"/>
      <c r="K2834" s="185"/>
    </row>
    <row r="2835" spans="1:15">
      <c r="A2835" s="369"/>
      <c r="B2835" s="518" t="s">
        <v>5517</v>
      </c>
      <c r="C2835" s="196">
        <v>240</v>
      </c>
      <c r="D2835" s="230">
        <f>C2835*(1-VLOOKUP(I2835,descuentos,6,FALSE))*fcl/IF(dol_sol="dólar", TC,1)</f>
        <v>73.724287652645856</v>
      </c>
      <c r="E2835" s="215">
        <v>8</v>
      </c>
      <c r="F2835" s="511">
        <f>ROUNDUP(D2835+E2835,2)</f>
        <v>81.73</v>
      </c>
      <c r="G2835" s="518" t="s">
        <v>5518</v>
      </c>
      <c r="H2835" s="518" t="s">
        <v>1283</v>
      </c>
      <c r="I2835" s="452" t="s">
        <v>11565</v>
      </c>
      <c r="J2835" s="369" t="s">
        <v>753</v>
      </c>
      <c r="K2835" s="452" t="s">
        <v>741</v>
      </c>
    </row>
    <row r="2836" spans="1:15">
      <c r="A2836" s="515"/>
      <c r="B2836" s="144"/>
      <c r="C2836" s="196" t="s">
        <v>2024</v>
      </c>
      <c r="D2836" s="230"/>
      <c r="E2836" s="215"/>
      <c r="F2836" s="511"/>
      <c r="G2836" s="518"/>
      <c r="H2836" s="143"/>
      <c r="I2836" s="452"/>
      <c r="J2836" s="515"/>
      <c r="K2836" s="452"/>
      <c r="L2836" s="191"/>
      <c r="M2836" s="191"/>
      <c r="N2836" s="191"/>
      <c r="O2836" s="191"/>
    </row>
    <row r="2837" spans="1:15">
      <c r="A2837" s="321"/>
      <c r="B2837" s="139"/>
      <c r="C2837" s="240" t="s">
        <v>2024</v>
      </c>
      <c r="D2837" s="206"/>
      <c r="E2837" s="112"/>
      <c r="F2837" s="154"/>
      <c r="G2837" s="140"/>
      <c r="H2837" s="139"/>
      <c r="I2837" s="185"/>
      <c r="J2837" s="185"/>
      <c r="K2837" s="185"/>
    </row>
    <row r="2838" spans="1:15">
      <c r="A2838" s="321"/>
      <c r="B2838" s="139"/>
      <c r="C2838" s="1394" t="s">
        <v>2024</v>
      </c>
      <c r="D2838" s="206"/>
      <c r="E2838" s="112"/>
      <c r="F2838" s="154"/>
      <c r="G2838" s="140"/>
      <c r="H2838" s="139"/>
      <c r="I2838" s="185"/>
      <c r="J2838" s="185"/>
      <c r="K2838" s="185"/>
    </row>
    <row r="2839" spans="1:15" s="317" customFormat="1">
      <c r="A2839" s="369"/>
      <c r="B2839" s="314" t="s">
        <v>9961</v>
      </c>
      <c r="C2839" s="1394">
        <v>150</v>
      </c>
      <c r="D2839" s="230">
        <f t="shared" ref="D2839:D2844" si="382">C2839*(1-VLOOKUP(I2839,descuentos,6,FALSE))*fcl/IF(dol_sol="dólar", TC,1)</f>
        <v>46.077679782903665</v>
      </c>
      <c r="E2839" s="417">
        <v>8</v>
      </c>
      <c r="F2839" s="511">
        <f t="shared" ref="F2839:F2902" si="383">ROUNDUP(D2839+E2839,2)</f>
        <v>54.08</v>
      </c>
      <c r="G2839" s="314" t="s">
        <v>9962</v>
      </c>
      <c r="H2839" s="518" t="s">
        <v>9963</v>
      </c>
      <c r="I2839" s="452" t="s">
        <v>11565</v>
      </c>
      <c r="J2839" s="369" t="s">
        <v>753</v>
      </c>
      <c r="K2839" s="452" t="s">
        <v>741</v>
      </c>
    </row>
    <row r="2840" spans="1:15" s="317" customFormat="1">
      <c r="A2840" s="369"/>
      <c r="B2840" s="314" t="s">
        <v>9964</v>
      </c>
      <c r="C2840" s="1394">
        <v>150</v>
      </c>
      <c r="D2840" s="230">
        <f t="shared" si="382"/>
        <v>46.077679782903665</v>
      </c>
      <c r="E2840" s="417">
        <v>8</v>
      </c>
      <c r="F2840" s="511">
        <f t="shared" si="383"/>
        <v>54.08</v>
      </c>
      <c r="G2840" s="314" t="s">
        <v>9965</v>
      </c>
      <c r="H2840" s="518" t="s">
        <v>9966</v>
      </c>
      <c r="I2840" s="452" t="s">
        <v>11565</v>
      </c>
      <c r="J2840" s="369" t="s">
        <v>753</v>
      </c>
      <c r="K2840" s="452" t="s">
        <v>741</v>
      </c>
    </row>
    <row r="2841" spans="1:15" s="317" customFormat="1">
      <c r="A2841" s="369"/>
      <c r="B2841" s="314" t="s">
        <v>9967</v>
      </c>
      <c r="C2841" s="1394">
        <v>150</v>
      </c>
      <c r="D2841" s="230">
        <f t="shared" si="382"/>
        <v>46.077679782903665</v>
      </c>
      <c r="E2841" s="417">
        <v>8</v>
      </c>
      <c r="F2841" s="511">
        <f t="shared" si="383"/>
        <v>54.08</v>
      </c>
      <c r="G2841" s="314" t="s">
        <v>9968</v>
      </c>
      <c r="H2841" s="518" t="s">
        <v>9969</v>
      </c>
      <c r="I2841" s="452" t="s">
        <v>11565</v>
      </c>
      <c r="J2841" s="369" t="s">
        <v>753</v>
      </c>
      <c r="K2841" s="452" t="s">
        <v>741</v>
      </c>
    </row>
    <row r="2842" spans="1:15" s="317" customFormat="1">
      <c r="A2842" s="369"/>
      <c r="B2842" s="314" t="s">
        <v>9970</v>
      </c>
      <c r="C2842" s="1394">
        <v>150</v>
      </c>
      <c r="D2842" s="230">
        <f t="shared" si="382"/>
        <v>46.077679782903665</v>
      </c>
      <c r="E2842" s="417">
        <v>8</v>
      </c>
      <c r="F2842" s="511">
        <f t="shared" si="383"/>
        <v>54.08</v>
      </c>
      <c r="G2842" s="314" t="s">
        <v>9971</v>
      </c>
      <c r="H2842" s="518" t="s">
        <v>9972</v>
      </c>
      <c r="I2842" s="452" t="s">
        <v>11565</v>
      </c>
      <c r="J2842" s="369" t="s">
        <v>753</v>
      </c>
      <c r="K2842" s="452" t="s">
        <v>741</v>
      </c>
    </row>
    <row r="2843" spans="1:15" s="317" customFormat="1">
      <c r="A2843" s="369"/>
      <c r="B2843" s="314" t="s">
        <v>9973</v>
      </c>
      <c r="C2843" s="1394">
        <v>150</v>
      </c>
      <c r="D2843" s="230">
        <f t="shared" si="382"/>
        <v>46.077679782903665</v>
      </c>
      <c r="E2843" s="417">
        <v>8</v>
      </c>
      <c r="F2843" s="511">
        <f t="shared" si="383"/>
        <v>54.08</v>
      </c>
      <c r="G2843" s="314" t="s">
        <v>9974</v>
      </c>
      <c r="H2843" s="518" t="s">
        <v>9975</v>
      </c>
      <c r="I2843" s="452" t="s">
        <v>11565</v>
      </c>
      <c r="J2843" s="369" t="s">
        <v>753</v>
      </c>
      <c r="K2843" s="452" t="s">
        <v>741</v>
      </c>
    </row>
    <row r="2844" spans="1:15" s="317" customFormat="1">
      <c r="A2844" s="369"/>
      <c r="B2844" s="314" t="s">
        <v>9976</v>
      </c>
      <c r="C2844" s="1394">
        <v>157</v>
      </c>
      <c r="D2844" s="230">
        <f t="shared" si="382"/>
        <v>48.227971506105831</v>
      </c>
      <c r="E2844" s="417">
        <v>8</v>
      </c>
      <c r="F2844" s="511">
        <f t="shared" si="383"/>
        <v>56.23</v>
      </c>
      <c r="G2844" s="314" t="s">
        <v>9977</v>
      </c>
      <c r="H2844" s="518" t="s">
        <v>9978</v>
      </c>
      <c r="I2844" s="452" t="s">
        <v>11565</v>
      </c>
      <c r="J2844" s="369" t="s">
        <v>753</v>
      </c>
      <c r="K2844" s="452" t="s">
        <v>741</v>
      </c>
    </row>
    <row r="2845" spans="1:15" s="317" customFormat="1">
      <c r="A2845" s="369"/>
      <c r="B2845" s="314"/>
      <c r="C2845" s="1394" t="s">
        <v>2024</v>
      </c>
      <c r="D2845" s="230"/>
      <c r="E2845" s="215"/>
      <c r="F2845" s="511">
        <f t="shared" si="383"/>
        <v>0</v>
      </c>
      <c r="G2845" s="314"/>
      <c r="H2845" s="518"/>
      <c r="I2845" s="452"/>
      <c r="J2845" s="369"/>
      <c r="K2845" s="452"/>
    </row>
    <row r="2846" spans="1:15" s="317" customFormat="1">
      <c r="A2846" s="369"/>
      <c r="B2846" s="314" t="s">
        <v>5523</v>
      </c>
      <c r="C2846" s="1394">
        <v>178</v>
      </c>
      <c r="D2846" s="230">
        <f t="shared" ref="D2846:D2856" si="384">C2846*(1-VLOOKUP(I2846,descuentos,6,FALSE))*fcl/IF(dol_sol="dólar", TC,1)</f>
        <v>54.678846675712336</v>
      </c>
      <c r="E2846" s="417">
        <v>10</v>
      </c>
      <c r="F2846" s="511">
        <f t="shared" si="383"/>
        <v>64.680000000000007</v>
      </c>
      <c r="G2846" s="314" t="s">
        <v>5524</v>
      </c>
      <c r="H2846" s="518" t="s">
        <v>9549</v>
      </c>
      <c r="I2846" s="452" t="s">
        <v>11565</v>
      </c>
      <c r="J2846" s="369" t="s">
        <v>753</v>
      </c>
      <c r="K2846" s="452" t="s">
        <v>741</v>
      </c>
    </row>
    <row r="2847" spans="1:15" s="317" customFormat="1">
      <c r="A2847" s="369"/>
      <c r="B2847" s="314" t="s">
        <v>5525</v>
      </c>
      <c r="C2847" s="1394">
        <v>178</v>
      </c>
      <c r="D2847" s="230">
        <f t="shared" si="384"/>
        <v>54.678846675712336</v>
      </c>
      <c r="E2847" s="417">
        <v>10</v>
      </c>
      <c r="F2847" s="511">
        <f t="shared" si="383"/>
        <v>64.680000000000007</v>
      </c>
      <c r="G2847" s="314" t="s">
        <v>5526</v>
      </c>
      <c r="H2847" s="518" t="s">
        <v>9550</v>
      </c>
      <c r="I2847" s="452" t="s">
        <v>11565</v>
      </c>
      <c r="J2847" s="369" t="s">
        <v>753</v>
      </c>
      <c r="K2847" s="452" t="s">
        <v>741</v>
      </c>
    </row>
    <row r="2848" spans="1:15" s="317" customFormat="1">
      <c r="A2848" s="369"/>
      <c r="B2848" s="314" t="s">
        <v>5527</v>
      </c>
      <c r="C2848" s="1394">
        <v>178</v>
      </c>
      <c r="D2848" s="230">
        <f t="shared" si="384"/>
        <v>54.678846675712336</v>
      </c>
      <c r="E2848" s="417">
        <v>10</v>
      </c>
      <c r="F2848" s="511">
        <f t="shared" si="383"/>
        <v>64.680000000000007</v>
      </c>
      <c r="G2848" s="314" t="s">
        <v>5528</v>
      </c>
      <c r="H2848" s="518" t="s">
        <v>9551</v>
      </c>
      <c r="I2848" s="452" t="s">
        <v>11565</v>
      </c>
      <c r="J2848" s="369" t="s">
        <v>753</v>
      </c>
      <c r="K2848" s="452" t="s">
        <v>741</v>
      </c>
    </row>
    <row r="2849" spans="1:11" s="317" customFormat="1">
      <c r="A2849" s="369"/>
      <c r="B2849" s="314" t="s">
        <v>5529</v>
      </c>
      <c r="C2849" s="1394">
        <v>178</v>
      </c>
      <c r="D2849" s="230">
        <f t="shared" si="384"/>
        <v>54.678846675712336</v>
      </c>
      <c r="E2849" s="417">
        <v>10</v>
      </c>
      <c r="F2849" s="511">
        <f t="shared" si="383"/>
        <v>64.680000000000007</v>
      </c>
      <c r="G2849" s="314" t="s">
        <v>5530</v>
      </c>
      <c r="H2849" s="518" t="s">
        <v>9552</v>
      </c>
      <c r="I2849" s="452" t="s">
        <v>11565</v>
      </c>
      <c r="J2849" s="369" t="s">
        <v>753</v>
      </c>
      <c r="K2849" s="452" t="s">
        <v>741</v>
      </c>
    </row>
    <row r="2850" spans="1:11" s="317" customFormat="1">
      <c r="A2850" s="369"/>
      <c r="B2850" s="314" t="s">
        <v>5531</v>
      </c>
      <c r="C2850" s="1394">
        <v>178</v>
      </c>
      <c r="D2850" s="230">
        <f t="shared" si="384"/>
        <v>54.678846675712336</v>
      </c>
      <c r="E2850" s="417">
        <v>10</v>
      </c>
      <c r="F2850" s="511">
        <f t="shared" si="383"/>
        <v>64.680000000000007</v>
      </c>
      <c r="G2850" s="314" t="s">
        <v>5532</v>
      </c>
      <c r="H2850" s="518" t="s">
        <v>9553</v>
      </c>
      <c r="I2850" s="452" t="s">
        <v>11565</v>
      </c>
      <c r="J2850" s="369" t="s">
        <v>753</v>
      </c>
      <c r="K2850" s="452" t="s">
        <v>741</v>
      </c>
    </row>
    <row r="2851" spans="1:11" s="317" customFormat="1">
      <c r="A2851" s="369"/>
      <c r="B2851" s="314" t="s">
        <v>5533</v>
      </c>
      <c r="C2851" s="1394">
        <v>186</v>
      </c>
      <c r="D2851" s="230">
        <f t="shared" si="384"/>
        <v>57.136322930800532</v>
      </c>
      <c r="E2851" s="417">
        <v>10</v>
      </c>
      <c r="F2851" s="511">
        <f t="shared" si="383"/>
        <v>67.14</v>
      </c>
      <c r="G2851" s="314" t="s">
        <v>5534</v>
      </c>
      <c r="H2851" s="518" t="s">
        <v>9554</v>
      </c>
      <c r="I2851" s="452" t="s">
        <v>11565</v>
      </c>
      <c r="J2851" s="369" t="s">
        <v>753</v>
      </c>
      <c r="K2851" s="452" t="s">
        <v>741</v>
      </c>
    </row>
    <row r="2852" spans="1:11" s="317" customFormat="1">
      <c r="A2852" s="369"/>
      <c r="B2852" s="314" t="s">
        <v>5535</v>
      </c>
      <c r="C2852" s="1394">
        <v>186</v>
      </c>
      <c r="D2852" s="230">
        <f t="shared" si="384"/>
        <v>57.136322930800532</v>
      </c>
      <c r="E2852" s="417">
        <v>10</v>
      </c>
      <c r="F2852" s="511">
        <f t="shared" si="383"/>
        <v>67.14</v>
      </c>
      <c r="G2852" s="314" t="s">
        <v>5536</v>
      </c>
      <c r="H2852" s="518" t="s">
        <v>9555</v>
      </c>
      <c r="I2852" s="452" t="s">
        <v>11565</v>
      </c>
      <c r="J2852" s="369" t="s">
        <v>753</v>
      </c>
      <c r="K2852" s="452" t="s">
        <v>741</v>
      </c>
    </row>
    <row r="2853" spans="1:11" s="317" customFormat="1">
      <c r="A2853" s="369"/>
      <c r="B2853" s="314" t="s">
        <v>5537</v>
      </c>
      <c r="C2853" s="1394">
        <v>186</v>
      </c>
      <c r="D2853" s="230">
        <f t="shared" si="384"/>
        <v>57.136322930800532</v>
      </c>
      <c r="E2853" s="417">
        <v>10</v>
      </c>
      <c r="F2853" s="511">
        <f t="shared" si="383"/>
        <v>67.14</v>
      </c>
      <c r="G2853" s="314" t="s">
        <v>5538</v>
      </c>
      <c r="H2853" s="518" t="s">
        <v>9556</v>
      </c>
      <c r="I2853" s="452" t="s">
        <v>11565</v>
      </c>
      <c r="J2853" s="369" t="s">
        <v>753</v>
      </c>
      <c r="K2853" s="452" t="s">
        <v>741</v>
      </c>
    </row>
    <row r="2854" spans="1:11" s="317" customFormat="1">
      <c r="A2854" s="369"/>
      <c r="B2854" s="314" t="s">
        <v>5539</v>
      </c>
      <c r="C2854" s="1394">
        <v>186</v>
      </c>
      <c r="D2854" s="230">
        <f t="shared" si="384"/>
        <v>57.136322930800532</v>
      </c>
      <c r="E2854" s="417">
        <v>10</v>
      </c>
      <c r="F2854" s="511">
        <f t="shared" si="383"/>
        <v>67.14</v>
      </c>
      <c r="G2854" s="314" t="s">
        <v>5540</v>
      </c>
      <c r="H2854" s="518" t="s">
        <v>9557</v>
      </c>
      <c r="I2854" s="452" t="s">
        <v>11565</v>
      </c>
      <c r="J2854" s="369" t="s">
        <v>753</v>
      </c>
      <c r="K2854" s="452" t="s">
        <v>741</v>
      </c>
    </row>
    <row r="2855" spans="1:11" s="317" customFormat="1">
      <c r="A2855" s="369"/>
      <c r="B2855" s="314" t="s">
        <v>5541</v>
      </c>
      <c r="C2855" s="1394">
        <v>186</v>
      </c>
      <c r="D2855" s="230">
        <f t="shared" si="384"/>
        <v>57.136322930800532</v>
      </c>
      <c r="E2855" s="417">
        <v>10</v>
      </c>
      <c r="F2855" s="511">
        <f t="shared" si="383"/>
        <v>67.14</v>
      </c>
      <c r="G2855" s="314" t="s">
        <v>5542</v>
      </c>
      <c r="H2855" s="518" t="s">
        <v>9558</v>
      </c>
      <c r="I2855" s="452" t="s">
        <v>11565</v>
      </c>
      <c r="J2855" s="369" t="s">
        <v>753</v>
      </c>
      <c r="K2855" s="452" t="s">
        <v>741</v>
      </c>
    </row>
    <row r="2856" spans="1:11" s="317" customFormat="1">
      <c r="A2856" s="369"/>
      <c r="B2856" s="314" t="s">
        <v>5543</v>
      </c>
      <c r="C2856" s="1394">
        <v>186</v>
      </c>
      <c r="D2856" s="230">
        <f t="shared" si="384"/>
        <v>57.136322930800532</v>
      </c>
      <c r="E2856" s="417">
        <v>10</v>
      </c>
      <c r="F2856" s="511">
        <f t="shared" si="383"/>
        <v>67.14</v>
      </c>
      <c r="G2856" s="314" t="s">
        <v>5544</v>
      </c>
      <c r="H2856" s="518" t="s">
        <v>9559</v>
      </c>
      <c r="I2856" s="452" t="s">
        <v>11565</v>
      </c>
      <c r="J2856" s="369" t="s">
        <v>753</v>
      </c>
      <c r="K2856" s="452" t="s">
        <v>741</v>
      </c>
    </row>
    <row r="2857" spans="1:11" s="317" customFormat="1">
      <c r="A2857" s="369"/>
      <c r="B2857" s="314"/>
      <c r="C2857" s="1394" t="s">
        <v>2024</v>
      </c>
      <c r="D2857" s="230"/>
      <c r="E2857" s="215"/>
      <c r="F2857" s="511">
        <f t="shared" si="383"/>
        <v>0</v>
      </c>
      <c r="G2857" s="314"/>
      <c r="H2857" s="518"/>
      <c r="I2857" s="452"/>
      <c r="J2857" s="369"/>
      <c r="K2857" s="452"/>
    </row>
    <row r="2858" spans="1:11" s="317" customFormat="1">
      <c r="A2858" s="369"/>
      <c r="B2858" s="314" t="s">
        <v>5545</v>
      </c>
      <c r="C2858" s="1394">
        <v>265</v>
      </c>
      <c r="D2858" s="230">
        <f t="shared" ref="D2858:D2868" si="385">C2858*(1-VLOOKUP(I2858,descuentos,6,FALSE))*fcl/IF(dol_sol="dólar", TC,1)</f>
        <v>81.403900949796451</v>
      </c>
      <c r="E2858" s="417">
        <v>15</v>
      </c>
      <c r="F2858" s="511">
        <f t="shared" si="383"/>
        <v>96.410000000000011</v>
      </c>
      <c r="G2858" s="314" t="s">
        <v>5546</v>
      </c>
      <c r="H2858" s="518" t="s">
        <v>9560</v>
      </c>
      <c r="I2858" s="452" t="s">
        <v>11565</v>
      </c>
      <c r="J2858" s="369" t="s">
        <v>753</v>
      </c>
      <c r="K2858" s="452" t="s">
        <v>741</v>
      </c>
    </row>
    <row r="2859" spans="1:11" s="317" customFormat="1">
      <c r="A2859" s="369"/>
      <c r="B2859" s="314" t="s">
        <v>5547</v>
      </c>
      <c r="C2859" s="1394">
        <v>265</v>
      </c>
      <c r="D2859" s="230">
        <f t="shared" si="385"/>
        <v>81.403900949796451</v>
      </c>
      <c r="E2859" s="417">
        <v>15</v>
      </c>
      <c r="F2859" s="511">
        <f t="shared" si="383"/>
        <v>96.410000000000011</v>
      </c>
      <c r="G2859" s="314" t="s">
        <v>5548</v>
      </c>
      <c r="H2859" s="518" t="s">
        <v>9561</v>
      </c>
      <c r="I2859" s="452" t="s">
        <v>11565</v>
      </c>
      <c r="J2859" s="369" t="s">
        <v>753</v>
      </c>
      <c r="K2859" s="452" t="s">
        <v>741</v>
      </c>
    </row>
    <row r="2860" spans="1:11" s="317" customFormat="1">
      <c r="A2860" s="369"/>
      <c r="B2860" s="314" t="s">
        <v>5549</v>
      </c>
      <c r="C2860" s="1394">
        <v>265</v>
      </c>
      <c r="D2860" s="230">
        <f t="shared" si="385"/>
        <v>81.403900949796451</v>
      </c>
      <c r="E2860" s="417">
        <v>15</v>
      </c>
      <c r="F2860" s="511">
        <f t="shared" si="383"/>
        <v>96.410000000000011</v>
      </c>
      <c r="G2860" s="314" t="s">
        <v>5550</v>
      </c>
      <c r="H2860" s="518" t="s">
        <v>9562</v>
      </c>
      <c r="I2860" s="452" t="s">
        <v>11565</v>
      </c>
      <c r="J2860" s="369" t="s">
        <v>753</v>
      </c>
      <c r="K2860" s="452" t="s">
        <v>741</v>
      </c>
    </row>
    <row r="2861" spans="1:11" s="317" customFormat="1">
      <c r="A2861" s="369"/>
      <c r="B2861" s="314" t="s">
        <v>5551</v>
      </c>
      <c r="C2861" s="1394">
        <v>265</v>
      </c>
      <c r="D2861" s="230">
        <f t="shared" si="385"/>
        <v>81.403900949796451</v>
      </c>
      <c r="E2861" s="417">
        <v>15</v>
      </c>
      <c r="F2861" s="511">
        <f t="shared" si="383"/>
        <v>96.410000000000011</v>
      </c>
      <c r="G2861" s="314" t="s">
        <v>5552</v>
      </c>
      <c r="H2861" s="518" t="s">
        <v>9563</v>
      </c>
      <c r="I2861" s="452" t="s">
        <v>11565</v>
      </c>
      <c r="J2861" s="369" t="s">
        <v>753</v>
      </c>
      <c r="K2861" s="452" t="s">
        <v>741</v>
      </c>
    </row>
    <row r="2862" spans="1:11" s="317" customFormat="1">
      <c r="A2862" s="369"/>
      <c r="B2862" s="314" t="s">
        <v>5553</v>
      </c>
      <c r="C2862" s="1394">
        <v>265</v>
      </c>
      <c r="D2862" s="230">
        <f t="shared" si="385"/>
        <v>81.403900949796451</v>
      </c>
      <c r="E2862" s="417">
        <v>15</v>
      </c>
      <c r="F2862" s="511">
        <f t="shared" si="383"/>
        <v>96.410000000000011</v>
      </c>
      <c r="G2862" s="314" t="s">
        <v>5554</v>
      </c>
      <c r="H2862" s="518" t="s">
        <v>9564</v>
      </c>
      <c r="I2862" s="452" t="s">
        <v>11565</v>
      </c>
      <c r="J2862" s="369" t="s">
        <v>753</v>
      </c>
      <c r="K2862" s="452" t="s">
        <v>741</v>
      </c>
    </row>
    <row r="2863" spans="1:11" s="317" customFormat="1">
      <c r="A2863" s="369"/>
      <c r="B2863" s="314" t="s">
        <v>5555</v>
      </c>
      <c r="C2863" s="1394">
        <v>265</v>
      </c>
      <c r="D2863" s="230">
        <f t="shared" si="385"/>
        <v>81.403900949796451</v>
      </c>
      <c r="E2863" s="417">
        <v>15</v>
      </c>
      <c r="F2863" s="511">
        <f t="shared" si="383"/>
        <v>96.410000000000011</v>
      </c>
      <c r="G2863" s="314" t="s">
        <v>5556</v>
      </c>
      <c r="H2863" s="518" t="s">
        <v>9565</v>
      </c>
      <c r="I2863" s="452" t="s">
        <v>11565</v>
      </c>
      <c r="J2863" s="369" t="s">
        <v>753</v>
      </c>
      <c r="K2863" s="452" t="s">
        <v>741</v>
      </c>
    </row>
    <row r="2864" spans="1:11" s="317" customFormat="1">
      <c r="A2864" s="369"/>
      <c r="B2864" s="314" t="s">
        <v>5557</v>
      </c>
      <c r="C2864" s="1394">
        <v>265</v>
      </c>
      <c r="D2864" s="230">
        <f t="shared" si="385"/>
        <v>81.403900949796451</v>
      </c>
      <c r="E2864" s="417">
        <v>15</v>
      </c>
      <c r="F2864" s="511">
        <f t="shared" si="383"/>
        <v>96.410000000000011</v>
      </c>
      <c r="G2864" s="314" t="s">
        <v>5558</v>
      </c>
      <c r="H2864" s="518" t="s">
        <v>9566</v>
      </c>
      <c r="I2864" s="452" t="s">
        <v>11565</v>
      </c>
      <c r="J2864" s="369" t="s">
        <v>753</v>
      </c>
      <c r="K2864" s="452" t="s">
        <v>741</v>
      </c>
    </row>
    <row r="2865" spans="1:11" s="317" customFormat="1">
      <c r="A2865" s="369"/>
      <c r="B2865" s="314" t="s">
        <v>5559</v>
      </c>
      <c r="C2865" s="1394">
        <v>279</v>
      </c>
      <c r="D2865" s="230">
        <f t="shared" si="385"/>
        <v>85.704484396200812</v>
      </c>
      <c r="E2865" s="417">
        <v>15</v>
      </c>
      <c r="F2865" s="511">
        <f t="shared" si="383"/>
        <v>100.71000000000001</v>
      </c>
      <c r="G2865" s="314" t="s">
        <v>5560</v>
      </c>
      <c r="H2865" s="518" t="s">
        <v>9567</v>
      </c>
      <c r="I2865" s="452" t="s">
        <v>11565</v>
      </c>
      <c r="J2865" s="369" t="s">
        <v>753</v>
      </c>
      <c r="K2865" s="452" t="s">
        <v>741</v>
      </c>
    </row>
    <row r="2866" spans="1:11" s="317" customFormat="1">
      <c r="A2866" s="369"/>
      <c r="B2866" s="314" t="s">
        <v>5561</v>
      </c>
      <c r="C2866" s="1394">
        <v>279</v>
      </c>
      <c r="D2866" s="230">
        <f t="shared" si="385"/>
        <v>85.704484396200812</v>
      </c>
      <c r="E2866" s="417">
        <v>15</v>
      </c>
      <c r="F2866" s="511">
        <f t="shared" si="383"/>
        <v>100.71000000000001</v>
      </c>
      <c r="G2866" s="314" t="s">
        <v>5562</v>
      </c>
      <c r="H2866" s="518" t="s">
        <v>9568</v>
      </c>
      <c r="I2866" s="452" t="s">
        <v>11565</v>
      </c>
      <c r="J2866" s="369" t="s">
        <v>753</v>
      </c>
      <c r="K2866" s="452" t="s">
        <v>741</v>
      </c>
    </row>
    <row r="2867" spans="1:11" s="317" customFormat="1">
      <c r="A2867" s="369"/>
      <c r="B2867" s="314" t="s">
        <v>5563</v>
      </c>
      <c r="C2867" s="1394">
        <v>279</v>
      </c>
      <c r="D2867" s="230">
        <f t="shared" si="385"/>
        <v>85.704484396200812</v>
      </c>
      <c r="E2867" s="417">
        <v>15</v>
      </c>
      <c r="F2867" s="511">
        <f t="shared" si="383"/>
        <v>100.71000000000001</v>
      </c>
      <c r="G2867" s="314" t="s">
        <v>5564</v>
      </c>
      <c r="H2867" s="518" t="s">
        <v>9569</v>
      </c>
      <c r="I2867" s="452" t="s">
        <v>11565</v>
      </c>
      <c r="J2867" s="369" t="s">
        <v>753</v>
      </c>
      <c r="K2867" s="452" t="s">
        <v>741</v>
      </c>
    </row>
    <row r="2868" spans="1:11" s="317" customFormat="1">
      <c r="A2868" s="369"/>
      <c r="B2868" s="314" t="s">
        <v>5565</v>
      </c>
      <c r="C2868" s="1394">
        <v>279</v>
      </c>
      <c r="D2868" s="230">
        <f t="shared" si="385"/>
        <v>85.704484396200812</v>
      </c>
      <c r="E2868" s="417">
        <v>15</v>
      </c>
      <c r="F2868" s="511">
        <f t="shared" si="383"/>
        <v>100.71000000000001</v>
      </c>
      <c r="G2868" s="314" t="s">
        <v>5566</v>
      </c>
      <c r="H2868" s="518" t="s">
        <v>9570</v>
      </c>
      <c r="I2868" s="452" t="s">
        <v>11565</v>
      </c>
      <c r="J2868" s="369" t="s">
        <v>753</v>
      </c>
      <c r="K2868" s="452" t="s">
        <v>741</v>
      </c>
    </row>
    <row r="2869" spans="1:11" s="317" customFormat="1">
      <c r="A2869" s="369"/>
      <c r="B2869" s="314"/>
      <c r="C2869" s="1394" t="s">
        <v>2024</v>
      </c>
      <c r="D2869" s="230"/>
      <c r="E2869" s="215"/>
      <c r="F2869" s="511">
        <f t="shared" si="383"/>
        <v>0</v>
      </c>
      <c r="G2869" s="314"/>
      <c r="H2869" s="518"/>
      <c r="I2869" s="452"/>
      <c r="J2869" s="369"/>
      <c r="K2869" s="452"/>
    </row>
    <row r="2870" spans="1:11" s="317" customFormat="1">
      <c r="A2870" s="369"/>
      <c r="B2870" s="314"/>
      <c r="C2870" s="1394" t="s">
        <v>2024</v>
      </c>
      <c r="D2870" s="230"/>
      <c r="E2870" s="215"/>
      <c r="F2870" s="511">
        <f t="shared" si="383"/>
        <v>0</v>
      </c>
      <c r="G2870" s="314"/>
      <c r="H2870" s="518"/>
      <c r="I2870" s="452"/>
      <c r="J2870" s="369"/>
      <c r="K2870" s="452"/>
    </row>
    <row r="2871" spans="1:11" s="317" customFormat="1">
      <c r="A2871" s="369"/>
      <c r="B2871" s="314" t="s">
        <v>9979</v>
      </c>
      <c r="C2871" s="1394">
        <v>158</v>
      </c>
      <c r="D2871" s="230">
        <f t="shared" ref="D2871:D2876" si="386">C2871*(1-VLOOKUP(I2871,descuentos,6,FALSE))*fcl/IF(dol_sol="dólar", TC,1)</f>
        <v>48.535156037991861</v>
      </c>
      <c r="E2871" s="417">
        <v>8</v>
      </c>
      <c r="F2871" s="511">
        <f t="shared" si="383"/>
        <v>56.54</v>
      </c>
      <c r="G2871" s="314" t="s">
        <v>9980</v>
      </c>
      <c r="H2871" s="518" t="s">
        <v>9981</v>
      </c>
      <c r="I2871" s="452" t="s">
        <v>11565</v>
      </c>
      <c r="J2871" s="369" t="s">
        <v>753</v>
      </c>
      <c r="K2871" s="452" t="s">
        <v>741</v>
      </c>
    </row>
    <row r="2872" spans="1:11" s="317" customFormat="1">
      <c r="A2872" s="369"/>
      <c r="B2872" s="314" t="s">
        <v>9982</v>
      </c>
      <c r="C2872" s="1394">
        <v>158</v>
      </c>
      <c r="D2872" s="230">
        <f t="shared" si="386"/>
        <v>48.535156037991861</v>
      </c>
      <c r="E2872" s="417">
        <v>8</v>
      </c>
      <c r="F2872" s="511">
        <f t="shared" si="383"/>
        <v>56.54</v>
      </c>
      <c r="G2872" s="314" t="s">
        <v>9983</v>
      </c>
      <c r="H2872" s="518" t="s">
        <v>9984</v>
      </c>
      <c r="I2872" s="452" t="s">
        <v>11565</v>
      </c>
      <c r="J2872" s="369" t="s">
        <v>753</v>
      </c>
      <c r="K2872" s="452" t="s">
        <v>741</v>
      </c>
    </row>
    <row r="2873" spans="1:11" s="317" customFormat="1">
      <c r="A2873" s="369"/>
      <c r="B2873" s="314" t="s">
        <v>9985</v>
      </c>
      <c r="C2873" s="1394">
        <v>158</v>
      </c>
      <c r="D2873" s="230">
        <f t="shared" si="386"/>
        <v>48.535156037991861</v>
      </c>
      <c r="E2873" s="417">
        <v>8</v>
      </c>
      <c r="F2873" s="511">
        <f t="shared" si="383"/>
        <v>56.54</v>
      </c>
      <c r="G2873" s="314" t="s">
        <v>9986</v>
      </c>
      <c r="H2873" s="518" t="s">
        <v>9987</v>
      </c>
      <c r="I2873" s="452" t="s">
        <v>11565</v>
      </c>
      <c r="J2873" s="369" t="s">
        <v>753</v>
      </c>
      <c r="K2873" s="452" t="s">
        <v>741</v>
      </c>
    </row>
    <row r="2874" spans="1:11" s="317" customFormat="1">
      <c r="A2874" s="369"/>
      <c r="B2874" s="314" t="s">
        <v>9988</v>
      </c>
      <c r="C2874" s="1394">
        <v>158</v>
      </c>
      <c r="D2874" s="230">
        <f t="shared" si="386"/>
        <v>48.535156037991861</v>
      </c>
      <c r="E2874" s="417">
        <v>8</v>
      </c>
      <c r="F2874" s="511">
        <f t="shared" si="383"/>
        <v>56.54</v>
      </c>
      <c r="G2874" s="314" t="s">
        <v>9989</v>
      </c>
      <c r="H2874" s="518" t="s">
        <v>9990</v>
      </c>
      <c r="I2874" s="452" t="s">
        <v>11565</v>
      </c>
      <c r="J2874" s="369" t="s">
        <v>753</v>
      </c>
      <c r="K2874" s="452" t="s">
        <v>741</v>
      </c>
    </row>
    <row r="2875" spans="1:11" s="317" customFormat="1">
      <c r="A2875" s="369"/>
      <c r="B2875" s="314" t="s">
        <v>9991</v>
      </c>
      <c r="C2875" s="1394">
        <v>158</v>
      </c>
      <c r="D2875" s="230">
        <f t="shared" si="386"/>
        <v>48.535156037991861</v>
      </c>
      <c r="E2875" s="417">
        <v>8</v>
      </c>
      <c r="F2875" s="511">
        <f t="shared" si="383"/>
        <v>56.54</v>
      </c>
      <c r="G2875" s="314" t="s">
        <v>9992</v>
      </c>
      <c r="H2875" s="518" t="s">
        <v>9993</v>
      </c>
      <c r="I2875" s="452" t="s">
        <v>11565</v>
      </c>
      <c r="J2875" s="369" t="s">
        <v>753</v>
      </c>
      <c r="K2875" s="452" t="s">
        <v>741</v>
      </c>
    </row>
    <row r="2876" spans="1:11" s="317" customFormat="1">
      <c r="A2876" s="369"/>
      <c r="B2876" s="314" t="s">
        <v>9994</v>
      </c>
      <c r="C2876" s="1394">
        <v>166</v>
      </c>
      <c r="D2876" s="230">
        <f t="shared" si="386"/>
        <v>50.992632293080042</v>
      </c>
      <c r="E2876" s="417">
        <v>8</v>
      </c>
      <c r="F2876" s="511">
        <f t="shared" si="383"/>
        <v>59</v>
      </c>
      <c r="G2876" s="314" t="s">
        <v>9995</v>
      </c>
      <c r="H2876" s="518" t="s">
        <v>9996</v>
      </c>
      <c r="I2876" s="452" t="s">
        <v>11565</v>
      </c>
      <c r="J2876" s="369" t="s">
        <v>753</v>
      </c>
      <c r="K2876" s="452" t="s">
        <v>741</v>
      </c>
    </row>
    <row r="2877" spans="1:11" s="317" customFormat="1">
      <c r="A2877" s="369"/>
      <c r="B2877" s="314"/>
      <c r="C2877" s="1394" t="s">
        <v>2024</v>
      </c>
      <c r="D2877" s="230"/>
      <c r="E2877" s="215"/>
      <c r="F2877" s="511">
        <f t="shared" si="383"/>
        <v>0</v>
      </c>
      <c r="G2877" s="314"/>
      <c r="H2877" s="518"/>
      <c r="I2877" s="452"/>
      <c r="J2877" s="369"/>
      <c r="K2877" s="452"/>
    </row>
    <row r="2878" spans="1:11" s="317" customFormat="1">
      <c r="A2878" s="369"/>
      <c r="B2878" s="314" t="s">
        <v>5567</v>
      </c>
      <c r="C2878" s="1394">
        <v>197</v>
      </c>
      <c r="D2878" s="230">
        <f t="shared" ref="D2878:D2888" si="387">C2878*(1-VLOOKUP(I2878,descuentos,6,FALSE))*fcl/IF(dol_sol="dólar", TC,1)</f>
        <v>60.515352781546802</v>
      </c>
      <c r="E2878" s="417">
        <v>10</v>
      </c>
      <c r="F2878" s="511">
        <f t="shared" si="383"/>
        <v>70.52000000000001</v>
      </c>
      <c r="G2878" s="314" t="s">
        <v>5568</v>
      </c>
      <c r="H2878" s="518" t="s">
        <v>9571</v>
      </c>
      <c r="I2878" s="452" t="s">
        <v>11565</v>
      </c>
      <c r="J2878" s="369" t="s">
        <v>753</v>
      </c>
      <c r="K2878" s="452" t="s">
        <v>741</v>
      </c>
    </row>
    <row r="2879" spans="1:11" s="317" customFormat="1">
      <c r="A2879" s="369"/>
      <c r="B2879" s="314" t="s">
        <v>5569</v>
      </c>
      <c r="C2879" s="1394">
        <v>197</v>
      </c>
      <c r="D2879" s="230">
        <f t="shared" si="387"/>
        <v>60.515352781546802</v>
      </c>
      <c r="E2879" s="417">
        <v>10</v>
      </c>
      <c r="F2879" s="511">
        <f t="shared" si="383"/>
        <v>70.52000000000001</v>
      </c>
      <c r="G2879" s="314" t="s">
        <v>5570</v>
      </c>
      <c r="H2879" s="518" t="s">
        <v>9572</v>
      </c>
      <c r="I2879" s="452" t="s">
        <v>11565</v>
      </c>
      <c r="J2879" s="369" t="s">
        <v>753</v>
      </c>
      <c r="K2879" s="452" t="s">
        <v>741</v>
      </c>
    </row>
    <row r="2880" spans="1:11" s="317" customFormat="1">
      <c r="A2880" s="369"/>
      <c r="B2880" s="314" t="s">
        <v>5571</v>
      </c>
      <c r="C2880" s="1394">
        <v>197</v>
      </c>
      <c r="D2880" s="230">
        <f t="shared" si="387"/>
        <v>60.515352781546802</v>
      </c>
      <c r="E2880" s="417">
        <v>10</v>
      </c>
      <c r="F2880" s="511">
        <f t="shared" si="383"/>
        <v>70.52000000000001</v>
      </c>
      <c r="G2880" s="314" t="s">
        <v>5572</v>
      </c>
      <c r="H2880" s="518" t="s">
        <v>9573</v>
      </c>
      <c r="I2880" s="452" t="s">
        <v>11565</v>
      </c>
      <c r="J2880" s="369" t="s">
        <v>753</v>
      </c>
      <c r="K2880" s="452" t="s">
        <v>741</v>
      </c>
    </row>
    <row r="2881" spans="1:11" s="317" customFormat="1">
      <c r="A2881" s="369"/>
      <c r="B2881" s="314" t="s">
        <v>5573</v>
      </c>
      <c r="C2881" s="1394">
        <v>197</v>
      </c>
      <c r="D2881" s="230">
        <f t="shared" si="387"/>
        <v>60.515352781546802</v>
      </c>
      <c r="E2881" s="417">
        <v>10</v>
      </c>
      <c r="F2881" s="511">
        <f t="shared" si="383"/>
        <v>70.52000000000001</v>
      </c>
      <c r="G2881" s="314" t="s">
        <v>5574</v>
      </c>
      <c r="H2881" s="518" t="s">
        <v>9574</v>
      </c>
      <c r="I2881" s="452" t="s">
        <v>11565</v>
      </c>
      <c r="J2881" s="369" t="s">
        <v>753</v>
      </c>
      <c r="K2881" s="452" t="s">
        <v>741</v>
      </c>
    </row>
    <row r="2882" spans="1:11" s="317" customFormat="1">
      <c r="A2882" s="369"/>
      <c r="B2882" s="314" t="s">
        <v>5575</v>
      </c>
      <c r="C2882" s="1394">
        <v>197</v>
      </c>
      <c r="D2882" s="230">
        <f t="shared" si="387"/>
        <v>60.515352781546802</v>
      </c>
      <c r="E2882" s="417">
        <v>10</v>
      </c>
      <c r="F2882" s="511">
        <f t="shared" si="383"/>
        <v>70.52000000000001</v>
      </c>
      <c r="G2882" s="314" t="s">
        <v>5576</v>
      </c>
      <c r="H2882" s="518" t="s">
        <v>9575</v>
      </c>
      <c r="I2882" s="452" t="s">
        <v>11565</v>
      </c>
      <c r="J2882" s="369" t="s">
        <v>753</v>
      </c>
      <c r="K2882" s="452" t="s">
        <v>741</v>
      </c>
    </row>
    <row r="2883" spans="1:11" s="317" customFormat="1">
      <c r="A2883" s="369"/>
      <c r="B2883" s="314" t="s">
        <v>5577</v>
      </c>
      <c r="C2883" s="1394">
        <v>206</v>
      </c>
      <c r="D2883" s="230">
        <f t="shared" si="387"/>
        <v>63.280013568521028</v>
      </c>
      <c r="E2883" s="417">
        <v>10</v>
      </c>
      <c r="F2883" s="511">
        <f t="shared" si="383"/>
        <v>73.290000000000006</v>
      </c>
      <c r="G2883" s="314" t="s">
        <v>5578</v>
      </c>
      <c r="H2883" s="518" t="s">
        <v>9576</v>
      </c>
      <c r="I2883" s="452" t="s">
        <v>11565</v>
      </c>
      <c r="J2883" s="369" t="s">
        <v>753</v>
      </c>
      <c r="K2883" s="452" t="s">
        <v>741</v>
      </c>
    </row>
    <row r="2884" spans="1:11" s="317" customFormat="1">
      <c r="A2884" s="369"/>
      <c r="B2884" s="314" t="s">
        <v>5579</v>
      </c>
      <c r="C2884" s="1394">
        <v>206</v>
      </c>
      <c r="D2884" s="230">
        <f t="shared" si="387"/>
        <v>63.280013568521028</v>
      </c>
      <c r="E2884" s="417">
        <v>10</v>
      </c>
      <c r="F2884" s="511">
        <f t="shared" si="383"/>
        <v>73.290000000000006</v>
      </c>
      <c r="G2884" s="314" t="s">
        <v>5580</v>
      </c>
      <c r="H2884" s="518" t="s">
        <v>9577</v>
      </c>
      <c r="I2884" s="452" t="s">
        <v>11565</v>
      </c>
      <c r="J2884" s="369" t="s">
        <v>753</v>
      </c>
      <c r="K2884" s="452" t="s">
        <v>741</v>
      </c>
    </row>
    <row r="2885" spans="1:11" s="317" customFormat="1">
      <c r="A2885" s="369"/>
      <c r="B2885" s="314" t="s">
        <v>5581</v>
      </c>
      <c r="C2885" s="1394">
        <v>206</v>
      </c>
      <c r="D2885" s="230">
        <f t="shared" si="387"/>
        <v>63.280013568521028</v>
      </c>
      <c r="E2885" s="417">
        <v>10</v>
      </c>
      <c r="F2885" s="511">
        <f t="shared" si="383"/>
        <v>73.290000000000006</v>
      </c>
      <c r="G2885" s="314" t="s">
        <v>5582</v>
      </c>
      <c r="H2885" s="518" t="s">
        <v>9578</v>
      </c>
      <c r="I2885" s="452" t="s">
        <v>11565</v>
      </c>
      <c r="J2885" s="369" t="s">
        <v>753</v>
      </c>
      <c r="K2885" s="452" t="s">
        <v>741</v>
      </c>
    </row>
    <row r="2886" spans="1:11" s="317" customFormat="1">
      <c r="A2886" s="369"/>
      <c r="B2886" s="314" t="s">
        <v>5583</v>
      </c>
      <c r="C2886" s="1394">
        <v>206</v>
      </c>
      <c r="D2886" s="230">
        <f t="shared" si="387"/>
        <v>63.280013568521028</v>
      </c>
      <c r="E2886" s="417">
        <v>10</v>
      </c>
      <c r="F2886" s="511">
        <f t="shared" si="383"/>
        <v>73.290000000000006</v>
      </c>
      <c r="G2886" s="314" t="s">
        <v>5584</v>
      </c>
      <c r="H2886" s="518" t="s">
        <v>9579</v>
      </c>
      <c r="I2886" s="452" t="s">
        <v>11565</v>
      </c>
      <c r="J2886" s="369" t="s">
        <v>753</v>
      </c>
      <c r="K2886" s="452" t="s">
        <v>741</v>
      </c>
    </row>
    <row r="2887" spans="1:11" s="317" customFormat="1">
      <c r="A2887" s="369"/>
      <c r="B2887" s="314" t="s">
        <v>5585</v>
      </c>
      <c r="C2887" s="1394">
        <v>206</v>
      </c>
      <c r="D2887" s="230">
        <f t="shared" si="387"/>
        <v>63.280013568521028</v>
      </c>
      <c r="E2887" s="417">
        <v>10</v>
      </c>
      <c r="F2887" s="511">
        <f t="shared" si="383"/>
        <v>73.290000000000006</v>
      </c>
      <c r="G2887" s="314" t="s">
        <v>5586</v>
      </c>
      <c r="H2887" s="518" t="s">
        <v>9580</v>
      </c>
      <c r="I2887" s="452" t="s">
        <v>11565</v>
      </c>
      <c r="J2887" s="369" t="s">
        <v>753</v>
      </c>
      <c r="K2887" s="452" t="s">
        <v>741</v>
      </c>
    </row>
    <row r="2888" spans="1:11" s="317" customFormat="1">
      <c r="A2888" s="369"/>
      <c r="B2888" s="314" t="s">
        <v>5587</v>
      </c>
      <c r="C2888" s="1394">
        <v>206</v>
      </c>
      <c r="D2888" s="230">
        <f t="shared" si="387"/>
        <v>63.280013568521028</v>
      </c>
      <c r="E2888" s="417">
        <v>10</v>
      </c>
      <c r="F2888" s="511">
        <f t="shared" si="383"/>
        <v>73.290000000000006</v>
      </c>
      <c r="G2888" s="314" t="s">
        <v>5588</v>
      </c>
      <c r="H2888" s="518" t="s">
        <v>9581</v>
      </c>
      <c r="I2888" s="452" t="s">
        <v>11565</v>
      </c>
      <c r="J2888" s="369" t="s">
        <v>753</v>
      </c>
      <c r="K2888" s="452" t="s">
        <v>741</v>
      </c>
    </row>
    <row r="2889" spans="1:11" s="317" customFormat="1">
      <c r="A2889" s="369"/>
      <c r="B2889" s="314"/>
      <c r="C2889" s="1394" t="s">
        <v>2024</v>
      </c>
      <c r="D2889" s="230"/>
      <c r="E2889" s="215"/>
      <c r="F2889" s="511">
        <f t="shared" si="383"/>
        <v>0</v>
      </c>
      <c r="G2889" s="314"/>
      <c r="H2889" s="518"/>
      <c r="I2889" s="452"/>
      <c r="J2889" s="369"/>
      <c r="K2889" s="452"/>
    </row>
    <row r="2890" spans="1:11" s="317" customFormat="1">
      <c r="A2890" s="369"/>
      <c r="B2890" s="314" t="s">
        <v>9997</v>
      </c>
      <c r="C2890" s="1394">
        <v>408</v>
      </c>
      <c r="D2890" s="230">
        <f t="shared" ref="D2890:D2900" si="388">C2890*(1-VLOOKUP(I2890,descuentos,6,FALSE))*fcl/IF(dol_sol="dólar", TC,1)</f>
        <v>125.33128900949797</v>
      </c>
      <c r="E2890" s="417">
        <v>10</v>
      </c>
      <c r="F2890" s="511">
        <f t="shared" si="383"/>
        <v>135.34</v>
      </c>
      <c r="G2890" s="314" t="s">
        <v>9998</v>
      </c>
      <c r="H2890" s="518" t="s">
        <v>9999</v>
      </c>
      <c r="I2890" s="452" t="s">
        <v>11565</v>
      </c>
      <c r="J2890" s="369" t="s">
        <v>753</v>
      </c>
      <c r="K2890" s="452" t="s">
        <v>741</v>
      </c>
    </row>
    <row r="2891" spans="1:11" s="317" customFormat="1">
      <c r="A2891" s="369"/>
      <c r="B2891" s="314" t="s">
        <v>10000</v>
      </c>
      <c r="C2891" s="1394">
        <v>408</v>
      </c>
      <c r="D2891" s="230">
        <f t="shared" si="388"/>
        <v>125.33128900949797</v>
      </c>
      <c r="E2891" s="417">
        <v>10</v>
      </c>
      <c r="F2891" s="511">
        <f t="shared" si="383"/>
        <v>135.34</v>
      </c>
      <c r="G2891" s="314" t="s">
        <v>10001</v>
      </c>
      <c r="H2891" s="518" t="s">
        <v>10002</v>
      </c>
      <c r="I2891" s="452" t="s">
        <v>11565</v>
      </c>
      <c r="J2891" s="369" t="s">
        <v>753</v>
      </c>
      <c r="K2891" s="452" t="s">
        <v>741</v>
      </c>
    </row>
    <row r="2892" spans="1:11" s="317" customFormat="1">
      <c r="A2892" s="369"/>
      <c r="B2892" s="314" t="s">
        <v>10003</v>
      </c>
      <c r="C2892" s="1394">
        <v>408</v>
      </c>
      <c r="D2892" s="230">
        <f t="shared" si="388"/>
        <v>125.33128900949797</v>
      </c>
      <c r="E2892" s="417">
        <v>10</v>
      </c>
      <c r="F2892" s="511">
        <f t="shared" si="383"/>
        <v>135.34</v>
      </c>
      <c r="G2892" s="314" t="s">
        <v>10004</v>
      </c>
      <c r="H2892" s="518" t="s">
        <v>10005</v>
      </c>
      <c r="I2892" s="452" t="s">
        <v>11565</v>
      </c>
      <c r="J2892" s="369" t="s">
        <v>753</v>
      </c>
      <c r="K2892" s="452" t="s">
        <v>741</v>
      </c>
    </row>
    <row r="2893" spans="1:11" s="317" customFormat="1">
      <c r="A2893" s="369"/>
      <c r="B2893" s="314" t="s">
        <v>10006</v>
      </c>
      <c r="C2893" s="1394">
        <v>408</v>
      </c>
      <c r="D2893" s="230">
        <f t="shared" si="388"/>
        <v>125.33128900949797</v>
      </c>
      <c r="E2893" s="417">
        <v>10</v>
      </c>
      <c r="F2893" s="511">
        <f t="shared" si="383"/>
        <v>135.34</v>
      </c>
      <c r="G2893" s="314" t="s">
        <v>10007</v>
      </c>
      <c r="H2893" s="518" t="s">
        <v>10008</v>
      </c>
      <c r="I2893" s="452" t="s">
        <v>11565</v>
      </c>
      <c r="J2893" s="369" t="s">
        <v>753</v>
      </c>
      <c r="K2893" s="452" t="s">
        <v>741</v>
      </c>
    </row>
    <row r="2894" spans="1:11" s="317" customFormat="1">
      <c r="A2894" s="369"/>
      <c r="B2894" s="314" t="s">
        <v>10009</v>
      </c>
      <c r="C2894" s="1394">
        <v>408</v>
      </c>
      <c r="D2894" s="230">
        <f t="shared" si="388"/>
        <v>125.33128900949797</v>
      </c>
      <c r="E2894" s="417">
        <v>10</v>
      </c>
      <c r="F2894" s="511">
        <f t="shared" si="383"/>
        <v>135.34</v>
      </c>
      <c r="G2894" s="314" t="s">
        <v>10010</v>
      </c>
      <c r="H2894" s="518" t="s">
        <v>10011</v>
      </c>
      <c r="I2894" s="452" t="s">
        <v>11565</v>
      </c>
      <c r="J2894" s="369" t="s">
        <v>753</v>
      </c>
      <c r="K2894" s="452" t="s">
        <v>741</v>
      </c>
    </row>
    <row r="2895" spans="1:11" s="317" customFormat="1">
      <c r="A2895" s="369"/>
      <c r="B2895" s="314" t="s">
        <v>10012</v>
      </c>
      <c r="C2895" s="1394">
        <v>408</v>
      </c>
      <c r="D2895" s="230">
        <f t="shared" si="388"/>
        <v>125.33128900949797</v>
      </c>
      <c r="E2895" s="417">
        <v>10</v>
      </c>
      <c r="F2895" s="511">
        <f t="shared" si="383"/>
        <v>135.34</v>
      </c>
      <c r="G2895" s="314" t="s">
        <v>10013</v>
      </c>
      <c r="H2895" s="518" t="s">
        <v>10014</v>
      </c>
      <c r="I2895" s="452" t="s">
        <v>11565</v>
      </c>
      <c r="J2895" s="369" t="s">
        <v>753</v>
      </c>
      <c r="K2895" s="452" t="s">
        <v>741</v>
      </c>
    </row>
    <row r="2896" spans="1:11" s="317" customFormat="1">
      <c r="A2896" s="369"/>
      <c r="B2896" s="314" t="s">
        <v>10015</v>
      </c>
      <c r="C2896" s="1394">
        <v>408</v>
      </c>
      <c r="D2896" s="230">
        <f t="shared" si="388"/>
        <v>125.33128900949797</v>
      </c>
      <c r="E2896" s="417">
        <v>10</v>
      </c>
      <c r="F2896" s="511">
        <f t="shared" si="383"/>
        <v>135.34</v>
      </c>
      <c r="G2896" s="314" t="s">
        <v>10016</v>
      </c>
      <c r="H2896" s="518" t="s">
        <v>10017</v>
      </c>
      <c r="I2896" s="452" t="s">
        <v>11565</v>
      </c>
      <c r="J2896" s="369" t="s">
        <v>753</v>
      </c>
      <c r="K2896" s="452" t="s">
        <v>741</v>
      </c>
    </row>
    <row r="2897" spans="1:11" s="317" customFormat="1">
      <c r="A2897" s="369"/>
      <c r="B2897" s="314" t="s">
        <v>10018</v>
      </c>
      <c r="C2897" s="1394">
        <v>430</v>
      </c>
      <c r="D2897" s="230">
        <f t="shared" si="388"/>
        <v>132.08934871099049</v>
      </c>
      <c r="E2897" s="417">
        <v>10</v>
      </c>
      <c r="F2897" s="511">
        <f t="shared" si="383"/>
        <v>142.09</v>
      </c>
      <c r="G2897" s="314" t="s">
        <v>10019</v>
      </c>
      <c r="H2897" s="518" t="s">
        <v>10020</v>
      </c>
      <c r="I2897" s="452" t="s">
        <v>11565</v>
      </c>
      <c r="J2897" s="369" t="s">
        <v>753</v>
      </c>
      <c r="K2897" s="452" t="s">
        <v>741</v>
      </c>
    </row>
    <row r="2898" spans="1:11" s="317" customFormat="1">
      <c r="A2898" s="369"/>
      <c r="B2898" s="314" t="s">
        <v>10021</v>
      </c>
      <c r="C2898" s="1394">
        <v>430</v>
      </c>
      <c r="D2898" s="230">
        <f t="shared" si="388"/>
        <v>132.08934871099049</v>
      </c>
      <c r="E2898" s="417">
        <v>10</v>
      </c>
      <c r="F2898" s="511">
        <f t="shared" si="383"/>
        <v>142.09</v>
      </c>
      <c r="G2898" s="314" t="s">
        <v>10022</v>
      </c>
      <c r="H2898" s="518" t="s">
        <v>10023</v>
      </c>
      <c r="I2898" s="452" t="s">
        <v>11565</v>
      </c>
      <c r="J2898" s="369" t="s">
        <v>753</v>
      </c>
      <c r="K2898" s="452" t="s">
        <v>741</v>
      </c>
    </row>
    <row r="2899" spans="1:11" s="317" customFormat="1">
      <c r="A2899" s="369"/>
      <c r="B2899" s="314" t="s">
        <v>10024</v>
      </c>
      <c r="C2899" s="1394">
        <v>430</v>
      </c>
      <c r="D2899" s="230">
        <f t="shared" si="388"/>
        <v>132.08934871099049</v>
      </c>
      <c r="E2899" s="417">
        <v>10</v>
      </c>
      <c r="F2899" s="511">
        <f t="shared" si="383"/>
        <v>142.09</v>
      </c>
      <c r="G2899" s="314" t="s">
        <v>10025</v>
      </c>
      <c r="H2899" s="518" t="s">
        <v>10026</v>
      </c>
      <c r="I2899" s="452" t="s">
        <v>11565</v>
      </c>
      <c r="J2899" s="369" t="s">
        <v>753</v>
      </c>
      <c r="K2899" s="452" t="s">
        <v>741</v>
      </c>
    </row>
    <row r="2900" spans="1:11" s="317" customFormat="1">
      <c r="A2900" s="369"/>
      <c r="B2900" s="314" t="s">
        <v>10027</v>
      </c>
      <c r="C2900" s="1394">
        <v>430</v>
      </c>
      <c r="D2900" s="230">
        <f t="shared" si="388"/>
        <v>132.08934871099049</v>
      </c>
      <c r="E2900" s="417">
        <v>10</v>
      </c>
      <c r="F2900" s="511">
        <f t="shared" si="383"/>
        <v>142.09</v>
      </c>
      <c r="G2900" s="314" t="s">
        <v>10028</v>
      </c>
      <c r="H2900" s="518" t="s">
        <v>10029</v>
      </c>
      <c r="I2900" s="452" t="s">
        <v>11565</v>
      </c>
      <c r="J2900" s="369" t="s">
        <v>753</v>
      </c>
      <c r="K2900" s="452" t="s">
        <v>741</v>
      </c>
    </row>
    <row r="2901" spans="1:11" s="317" customFormat="1">
      <c r="A2901" s="369"/>
      <c r="B2901" s="314"/>
      <c r="C2901" s="1394" t="s">
        <v>2024</v>
      </c>
      <c r="D2901" s="230"/>
      <c r="E2901" s="215"/>
      <c r="F2901" s="511">
        <f t="shared" si="383"/>
        <v>0</v>
      </c>
      <c r="G2901" s="314"/>
      <c r="H2901" s="518"/>
      <c r="I2901" s="452"/>
      <c r="J2901" s="369"/>
      <c r="K2901" s="452"/>
    </row>
    <row r="2902" spans="1:11" s="317" customFormat="1">
      <c r="A2902" s="369"/>
      <c r="B2902" s="314"/>
      <c r="C2902" s="1394" t="s">
        <v>2024</v>
      </c>
      <c r="D2902" s="230"/>
      <c r="E2902" s="215"/>
      <c r="F2902" s="511">
        <f t="shared" si="383"/>
        <v>0</v>
      </c>
      <c r="G2902" s="314"/>
      <c r="H2902" s="518"/>
      <c r="I2902" s="452"/>
      <c r="J2902" s="369"/>
      <c r="K2902" s="452"/>
    </row>
    <row r="2903" spans="1:11" s="317" customFormat="1">
      <c r="A2903" s="369"/>
      <c r="B2903" s="314" t="s">
        <v>5519</v>
      </c>
      <c r="C2903" s="1394">
        <v>567</v>
      </c>
      <c r="D2903" s="230">
        <f>C2903*(1-VLOOKUP(I2903,descuentos,6,FALSE))*fcl/IF(dol_sol="dólar", TC,1)</f>
        <v>174.17362957937587</v>
      </c>
      <c r="E2903" s="417">
        <v>10</v>
      </c>
      <c r="F2903" s="511">
        <f>ROUNDUP(D2903+E2903,2)</f>
        <v>184.17999999999998</v>
      </c>
      <c r="G2903" s="314" t="s">
        <v>5520</v>
      </c>
      <c r="H2903" s="518" t="s">
        <v>9582</v>
      </c>
      <c r="I2903" s="452" t="s">
        <v>11565</v>
      </c>
      <c r="J2903" s="369" t="s">
        <v>753</v>
      </c>
      <c r="K2903" s="452" t="s">
        <v>741</v>
      </c>
    </row>
    <row r="2904" spans="1:11" s="317" customFormat="1">
      <c r="A2904" s="369"/>
      <c r="B2904" s="314"/>
      <c r="C2904" s="1394" t="s">
        <v>2024</v>
      </c>
      <c r="D2904" s="230"/>
      <c r="E2904" s="215"/>
      <c r="F2904" s="511">
        <f t="shared" ref="F2904:F2916" si="389">ROUNDUP(D2904+E2904,2)</f>
        <v>0</v>
      </c>
      <c r="G2904" s="314"/>
      <c r="H2904" s="518"/>
      <c r="I2904" s="452"/>
      <c r="J2904" s="369"/>
      <c r="K2904" s="452"/>
    </row>
    <row r="2905" spans="1:11" s="317" customFormat="1">
      <c r="A2905" s="369"/>
      <c r="B2905" s="314" t="s">
        <v>5521</v>
      </c>
      <c r="C2905" s="1394">
        <v>582</v>
      </c>
      <c r="D2905" s="230">
        <f>C2905*(1-VLOOKUP(I2905,descuentos,6,FALSE))*fcl/IF(dol_sol="dólar", TC,1)</f>
        <v>178.78139755766617</v>
      </c>
      <c r="E2905" s="417">
        <v>15</v>
      </c>
      <c r="F2905" s="511">
        <f>ROUNDUP(D2905+E2905,2)</f>
        <v>193.79</v>
      </c>
      <c r="G2905" s="314" t="s">
        <v>10030</v>
      </c>
      <c r="H2905" s="518" t="s">
        <v>9583</v>
      </c>
      <c r="I2905" s="452" t="s">
        <v>11565</v>
      </c>
      <c r="J2905" s="369" t="s">
        <v>753</v>
      </c>
      <c r="K2905" s="452" t="s">
        <v>741</v>
      </c>
    </row>
    <row r="2906" spans="1:11" s="317" customFormat="1">
      <c r="A2906" s="369"/>
      <c r="B2906" s="314" t="s">
        <v>5522</v>
      </c>
      <c r="C2906" s="1394">
        <v>746</v>
      </c>
      <c r="D2906" s="230">
        <f>C2906*(1-VLOOKUP(I2906,descuentos,6,FALSE))*fcl/IF(dol_sol="dólar", TC,1)</f>
        <v>229.15966078697417</v>
      </c>
      <c r="E2906" s="417">
        <v>15</v>
      </c>
      <c r="F2906" s="511">
        <f>ROUNDUP(D2906+E2906,2)</f>
        <v>244.16</v>
      </c>
      <c r="G2906" s="314" t="s">
        <v>10031</v>
      </c>
      <c r="H2906" s="518" t="s">
        <v>9584</v>
      </c>
      <c r="I2906" s="452" t="s">
        <v>11565</v>
      </c>
      <c r="J2906" s="369" t="s">
        <v>753</v>
      </c>
      <c r="K2906" s="452" t="s">
        <v>741</v>
      </c>
    </row>
    <row r="2907" spans="1:11">
      <c r="A2907" s="321"/>
      <c r="B2907" s="139"/>
      <c r="C2907" s="1395" t="s">
        <v>2024</v>
      </c>
      <c r="D2907" s="206"/>
      <c r="E2907" s="112"/>
      <c r="F2907" s="154"/>
      <c r="G2907" s="140"/>
      <c r="H2907" s="139"/>
      <c r="I2907" s="185"/>
      <c r="J2907" s="185"/>
      <c r="K2907" s="185"/>
    </row>
    <row r="2908" spans="1:11" s="317" customFormat="1">
      <c r="A2908" s="369"/>
      <c r="B2908" s="314" t="s">
        <v>10032</v>
      </c>
      <c r="C2908" s="1394">
        <v>683</v>
      </c>
      <c r="D2908" s="230">
        <f>C2908*(1-VLOOKUP(I2908,descuentos,6,FALSE))*fcl/IF(dol_sol="dólar", TC,1)</f>
        <v>209.8070352781547</v>
      </c>
      <c r="E2908" s="417">
        <v>20</v>
      </c>
      <c r="F2908" s="511">
        <f>ROUNDUP(D2908+E2908,2)</f>
        <v>229.81</v>
      </c>
      <c r="G2908" s="314" t="s">
        <v>10033</v>
      </c>
      <c r="H2908" s="518" t="s">
        <v>10034</v>
      </c>
      <c r="I2908" s="452" t="s">
        <v>11565</v>
      </c>
      <c r="J2908" s="369" t="s">
        <v>753</v>
      </c>
      <c r="K2908" s="452" t="s">
        <v>741</v>
      </c>
    </row>
    <row r="2909" spans="1:11" s="317" customFormat="1">
      <c r="A2909" s="369"/>
      <c r="B2909" s="314" t="s">
        <v>10035</v>
      </c>
      <c r="C2909" s="1394">
        <v>877</v>
      </c>
      <c r="D2909" s="230">
        <f>C2909*(1-VLOOKUP(I2909,descuentos,6,FALSE))*fcl/IF(dol_sol="dólar", TC,1)</f>
        <v>269.40083446404338</v>
      </c>
      <c r="E2909" s="417">
        <v>20</v>
      </c>
      <c r="F2909" s="511">
        <f>ROUNDUP(D2909+E2909,2)</f>
        <v>289.40999999999997</v>
      </c>
      <c r="G2909" s="314" t="s">
        <v>10036</v>
      </c>
      <c r="H2909" s="518" t="s">
        <v>10037</v>
      </c>
      <c r="I2909" s="452" t="s">
        <v>11565</v>
      </c>
      <c r="J2909" s="369" t="s">
        <v>753</v>
      </c>
      <c r="K2909" s="452" t="s">
        <v>741</v>
      </c>
    </row>
    <row r="2910" spans="1:11" s="317" customFormat="1">
      <c r="A2910" s="369"/>
      <c r="B2910" s="314" t="s">
        <v>10038</v>
      </c>
      <c r="C2910" s="1394">
        <v>877</v>
      </c>
      <c r="D2910" s="230">
        <f>C2910*(1-VLOOKUP(I2910,descuentos,6,FALSE))*fcl/IF(dol_sol="dólar", TC,1)</f>
        <v>269.40083446404338</v>
      </c>
      <c r="E2910" s="417">
        <v>20</v>
      </c>
      <c r="F2910" s="511">
        <f>ROUNDUP(D2910+E2910,2)</f>
        <v>289.40999999999997</v>
      </c>
      <c r="G2910" s="314" t="s">
        <v>10039</v>
      </c>
      <c r="H2910" s="518" t="s">
        <v>10040</v>
      </c>
      <c r="I2910" s="452" t="s">
        <v>11565</v>
      </c>
      <c r="J2910" s="369" t="s">
        <v>753</v>
      </c>
      <c r="K2910" s="452" t="s">
        <v>741</v>
      </c>
    </row>
    <row r="2911" spans="1:11" s="317" customFormat="1">
      <c r="A2911" s="369"/>
      <c r="B2911" s="314" t="s">
        <v>10041</v>
      </c>
      <c r="C2911" s="1394">
        <v>877</v>
      </c>
      <c r="D2911" s="230">
        <f>C2911*(1-VLOOKUP(I2911,descuentos,6,FALSE))*fcl/IF(dol_sol="dólar", TC,1)</f>
        <v>269.40083446404338</v>
      </c>
      <c r="E2911" s="417">
        <v>20</v>
      </c>
      <c r="F2911" s="511">
        <f>ROUNDUP(D2911+E2911,2)</f>
        <v>289.40999999999997</v>
      </c>
      <c r="G2911" s="314" t="s">
        <v>10042</v>
      </c>
      <c r="H2911" s="518" t="s">
        <v>10043</v>
      </c>
      <c r="I2911" s="452" t="s">
        <v>11565</v>
      </c>
      <c r="J2911" s="369" t="s">
        <v>753</v>
      </c>
      <c r="K2911" s="452" t="s">
        <v>741</v>
      </c>
    </row>
    <row r="2912" spans="1:11">
      <c r="A2912" s="321"/>
      <c r="B2912" s="139"/>
      <c r="C2912" s="1395" t="s">
        <v>2024</v>
      </c>
      <c r="D2912" s="206"/>
      <c r="E2912" s="112"/>
      <c r="F2912" s="154"/>
      <c r="G2912" s="140"/>
      <c r="H2912" s="139"/>
      <c r="I2912" s="185"/>
      <c r="J2912" s="185"/>
      <c r="K2912" s="185"/>
    </row>
    <row r="2913" spans="1:15" s="317" customFormat="1">
      <c r="A2913" s="369"/>
      <c r="B2913" s="314"/>
      <c r="C2913" s="1394" t="s">
        <v>2024</v>
      </c>
      <c r="D2913" s="230"/>
      <c r="E2913" s="215"/>
      <c r="F2913" s="511">
        <f t="shared" si="389"/>
        <v>0</v>
      </c>
      <c r="G2913" s="314"/>
      <c r="H2913" s="518"/>
      <c r="I2913" s="452"/>
      <c r="J2913" s="369"/>
      <c r="K2913" s="452"/>
    </row>
    <row r="2914" spans="1:15" s="317" customFormat="1">
      <c r="A2914" s="369"/>
      <c r="B2914" s="518" t="s">
        <v>5589</v>
      </c>
      <c r="C2914" s="1394">
        <v>210</v>
      </c>
      <c r="D2914" s="230">
        <f>C2914*(1-VLOOKUP(I2914,descuentos,6,FALSE))*fcl/IF(dol_sol="dólar", TC,1)</f>
        <v>64.508751696065119</v>
      </c>
      <c r="E2914" s="215">
        <v>4</v>
      </c>
      <c r="F2914" s="511">
        <f t="shared" si="389"/>
        <v>68.510000000000005</v>
      </c>
      <c r="G2914" s="518" t="s">
        <v>5590</v>
      </c>
      <c r="H2914" s="518" t="s">
        <v>3588</v>
      </c>
      <c r="I2914" s="452" t="s">
        <v>11565</v>
      </c>
      <c r="J2914" s="369" t="s">
        <v>753</v>
      </c>
      <c r="K2914" s="452" t="s">
        <v>741</v>
      </c>
    </row>
    <row r="2915" spans="1:15" s="317" customFormat="1">
      <c r="A2915" s="369"/>
      <c r="B2915" s="518" t="s">
        <v>5593</v>
      </c>
      <c r="C2915" s="1394">
        <v>279</v>
      </c>
      <c r="D2915" s="230">
        <f>C2915*(1-VLOOKUP(I2915,descuentos,6,FALSE))*fcl/IF(dol_sol="dólar", TC,1)</f>
        <v>85.704484396200812</v>
      </c>
      <c r="E2915" s="215">
        <v>4</v>
      </c>
      <c r="F2915" s="511">
        <f>ROUNDUP(D2915+E2915,2)</f>
        <v>89.710000000000008</v>
      </c>
      <c r="G2915" s="518" t="s">
        <v>9585</v>
      </c>
      <c r="H2915" s="518" t="s">
        <v>6589</v>
      </c>
      <c r="I2915" s="452" t="s">
        <v>11565</v>
      </c>
      <c r="J2915" s="369" t="s">
        <v>753</v>
      </c>
      <c r="K2915" s="452" t="s">
        <v>741</v>
      </c>
    </row>
    <row r="2916" spans="1:15" s="317" customFormat="1">
      <c r="A2916" s="369"/>
      <c r="B2916" s="518" t="s">
        <v>5591</v>
      </c>
      <c r="C2916" s="1394">
        <v>208</v>
      </c>
      <c r="D2916" s="230">
        <f>C2916*(1-VLOOKUP(I2916,descuentos,6,FALSE))*fcl/IF(dol_sol="dólar", TC,1)</f>
        <v>63.89438263229308</v>
      </c>
      <c r="E2916" s="215">
        <v>4</v>
      </c>
      <c r="F2916" s="511">
        <f t="shared" si="389"/>
        <v>67.900000000000006</v>
      </c>
      <c r="G2916" s="518" t="s">
        <v>5592</v>
      </c>
      <c r="H2916" s="518" t="s">
        <v>1701</v>
      </c>
      <c r="I2916" s="452" t="s">
        <v>11565</v>
      </c>
      <c r="J2916" s="369" t="s">
        <v>753</v>
      </c>
      <c r="K2916" s="452" t="s">
        <v>741</v>
      </c>
    </row>
    <row r="2917" spans="1:15" s="317" customFormat="1">
      <c r="A2917" s="369"/>
      <c r="B2917" s="518" t="s">
        <v>9586</v>
      </c>
      <c r="C2917" s="1394">
        <v>279</v>
      </c>
      <c r="D2917" s="230">
        <f>C2917*(1-VLOOKUP(I2917,descuentos,6,FALSE))*fcl/IF(dol_sol="dólar", TC,1)</f>
        <v>85.704484396200812</v>
      </c>
      <c r="E2917" s="215">
        <v>4</v>
      </c>
      <c r="F2917" s="511">
        <f>ROUNDUP(D2917+E2917,2)</f>
        <v>89.710000000000008</v>
      </c>
      <c r="G2917" s="518" t="s">
        <v>9587</v>
      </c>
      <c r="H2917" s="518" t="s">
        <v>3167</v>
      </c>
      <c r="I2917" s="452" t="s">
        <v>11565</v>
      </c>
      <c r="J2917" s="369" t="s">
        <v>753</v>
      </c>
      <c r="K2917" s="452" t="s">
        <v>741</v>
      </c>
    </row>
    <row r="2918" spans="1:15" s="317" customFormat="1">
      <c r="A2918" s="369"/>
      <c r="B2918" s="518"/>
      <c r="C2918" s="1394" t="s">
        <v>2024</v>
      </c>
      <c r="D2918" s="230"/>
      <c r="E2918" s="215"/>
      <c r="F2918" s="511"/>
      <c r="G2918" s="518"/>
      <c r="H2918" s="518"/>
      <c r="I2918" s="452"/>
      <c r="J2918" s="369"/>
      <c r="K2918" s="452"/>
    </row>
    <row r="2919" spans="1:15" s="317" customFormat="1">
      <c r="A2919" s="369"/>
      <c r="B2919" s="518"/>
      <c r="C2919" s="1394" t="s">
        <v>2024</v>
      </c>
      <c r="D2919" s="230"/>
      <c r="E2919" s="215"/>
      <c r="F2919" s="511"/>
      <c r="G2919" s="518"/>
      <c r="H2919" s="518"/>
      <c r="I2919" s="452"/>
      <c r="J2919" s="369"/>
      <c r="K2919" s="452"/>
    </row>
    <row r="2920" spans="1:15">
      <c r="A2920" s="515" t="s">
        <v>5444</v>
      </c>
      <c r="B2920" s="144"/>
      <c r="C2920" s="196" t="s">
        <v>2024</v>
      </c>
      <c r="D2920" s="230"/>
      <c r="E2920" s="215"/>
      <c r="F2920" s="511"/>
      <c r="G2920" s="518"/>
      <c r="H2920" s="143"/>
      <c r="I2920" s="452"/>
      <c r="J2920" s="515"/>
      <c r="K2920" s="452"/>
      <c r="L2920" s="191"/>
      <c r="M2920" s="191"/>
      <c r="N2920" s="191"/>
      <c r="O2920" s="191"/>
    </row>
    <row r="2921" spans="1:15">
      <c r="A2921" s="321"/>
      <c r="B2921" s="139"/>
      <c r="C2921" s="240" t="s">
        <v>2024</v>
      </c>
      <c r="D2921" s="206"/>
      <c r="E2921" s="112"/>
      <c r="F2921" s="154"/>
      <c r="G2921" s="140"/>
      <c r="H2921" s="139"/>
      <c r="I2921" s="185"/>
      <c r="J2921" s="185"/>
      <c r="K2921" s="185"/>
    </row>
    <row r="2922" spans="1:15" s="185" customFormat="1">
      <c r="A2922" s="369"/>
      <c r="B2922" s="518" t="s">
        <v>5445</v>
      </c>
      <c r="C2922" s="1392">
        <v>12027</v>
      </c>
      <c r="D2922" s="230">
        <f>C2922*(1-VLOOKUP(I2922,descuentos,6,FALSE))*fcl/IF(dol_sol="dólar", TC,1)</f>
        <v>3694.5083649932158</v>
      </c>
      <c r="E2922" s="417">
        <v>400</v>
      </c>
      <c r="F2922" s="511">
        <f t="shared" ref="F2922:F2948" si="390">ROUNDUP(D2922+E2922,2)</f>
        <v>4094.51</v>
      </c>
      <c r="G2922" s="314" t="s">
        <v>5446</v>
      </c>
      <c r="H2922" s="518" t="s">
        <v>5447</v>
      </c>
      <c r="I2922" s="452" t="s">
        <v>11565</v>
      </c>
      <c r="J2922" s="369" t="s">
        <v>753</v>
      </c>
      <c r="K2922" s="452" t="s">
        <v>741</v>
      </c>
    </row>
    <row r="2923" spans="1:15" s="185" customFormat="1">
      <c r="A2923" s="369"/>
      <c r="B2923" s="518" t="s">
        <v>5448</v>
      </c>
      <c r="C2923" s="234">
        <v>13404</v>
      </c>
      <c r="D2923" s="230">
        <f>C2923*(1-VLOOKUP(I2923,descuentos,6,FALSE))*fcl/IF(dol_sol="dólar", TC,1)</f>
        <v>4117.5014654002707</v>
      </c>
      <c r="E2923" s="417">
        <v>400</v>
      </c>
      <c r="F2923" s="511">
        <f t="shared" si="390"/>
        <v>4517.51</v>
      </c>
      <c r="G2923" s="314" t="s">
        <v>5449</v>
      </c>
      <c r="H2923" s="518" t="s">
        <v>5450</v>
      </c>
      <c r="I2923" s="452" t="s">
        <v>11565</v>
      </c>
      <c r="J2923" s="369" t="s">
        <v>753</v>
      </c>
      <c r="K2923" s="452" t="s">
        <v>741</v>
      </c>
    </row>
    <row r="2924" spans="1:15" s="185" customFormat="1">
      <c r="A2924" s="369"/>
      <c r="B2924" s="518" t="s">
        <v>5451</v>
      </c>
      <c r="C2924" s="234">
        <v>10943</v>
      </c>
      <c r="D2924" s="230">
        <f>C2924*(1-VLOOKUP(I2924,descuentos,6,FALSE))*fcl/IF(dol_sol="dólar", TC,1)</f>
        <v>3361.520332428765</v>
      </c>
      <c r="E2924" s="417">
        <v>400</v>
      </c>
      <c r="F2924" s="511">
        <f t="shared" si="390"/>
        <v>3761.53</v>
      </c>
      <c r="G2924" s="314" t="s">
        <v>5452</v>
      </c>
      <c r="H2924" s="518" t="s">
        <v>5453</v>
      </c>
      <c r="I2924" s="452" t="s">
        <v>11565</v>
      </c>
      <c r="J2924" s="369" t="s">
        <v>753</v>
      </c>
      <c r="K2924" s="452" t="s">
        <v>741</v>
      </c>
    </row>
    <row r="2925" spans="1:15">
      <c r="A2925" s="515"/>
      <c r="B2925" s="518"/>
      <c r="C2925" s="196" t="s">
        <v>2024</v>
      </c>
      <c r="D2925" s="230"/>
      <c r="E2925" s="215"/>
      <c r="F2925" s="511">
        <f t="shared" si="390"/>
        <v>0</v>
      </c>
      <c r="G2925" s="518"/>
      <c r="H2925" s="518"/>
      <c r="I2925" s="452"/>
      <c r="J2925" s="515"/>
      <c r="K2925" s="452"/>
    </row>
    <row r="2926" spans="1:15">
      <c r="A2926" s="515"/>
      <c r="B2926" s="550" t="s">
        <v>5454</v>
      </c>
      <c r="C2926" s="196">
        <v>2118</v>
      </c>
      <c r="D2926" s="230">
        <f>C2926*(1-VLOOKUP(I2926,descuentos,6,FALSE))*fcl/IF(dol_sol="dólar", TC,1)</f>
        <v>650.61683853459965</v>
      </c>
      <c r="E2926" s="215">
        <v>50</v>
      </c>
      <c r="F2926" s="511">
        <f t="shared" si="390"/>
        <v>700.62</v>
      </c>
      <c r="G2926" s="518" t="s">
        <v>5455</v>
      </c>
      <c r="H2926" s="518" t="s">
        <v>5456</v>
      </c>
      <c r="I2926" s="452" t="s">
        <v>11565</v>
      </c>
      <c r="J2926" s="515" t="s">
        <v>753</v>
      </c>
      <c r="K2926" s="452" t="s">
        <v>741</v>
      </c>
    </row>
    <row r="2927" spans="1:15">
      <c r="A2927" s="515"/>
      <c r="B2927" s="518"/>
      <c r="C2927" s="196" t="s">
        <v>2024</v>
      </c>
      <c r="D2927" s="230"/>
      <c r="E2927" s="215"/>
      <c r="F2927" s="511">
        <f t="shared" si="390"/>
        <v>0</v>
      </c>
      <c r="G2927" s="518"/>
      <c r="H2927" s="518"/>
      <c r="I2927" s="452"/>
      <c r="J2927" s="515"/>
      <c r="K2927" s="452"/>
    </row>
    <row r="2928" spans="1:15">
      <c r="A2928" s="515"/>
      <c r="B2928" s="518"/>
      <c r="C2928" s="196" t="s">
        <v>2024</v>
      </c>
      <c r="D2928" s="230"/>
      <c r="E2928" s="215"/>
      <c r="F2928" s="511">
        <f t="shared" si="390"/>
        <v>0</v>
      </c>
      <c r="G2928" s="518"/>
      <c r="H2928" s="518"/>
      <c r="I2928" s="452"/>
      <c r="J2928" s="515"/>
      <c r="K2928" s="452"/>
    </row>
    <row r="2929" spans="1:11">
      <c r="A2929" s="515" t="s">
        <v>5457</v>
      </c>
      <c r="B2929" s="559" t="s">
        <v>5458</v>
      </c>
      <c r="C2929" s="1393">
        <v>586</v>
      </c>
      <c r="D2929" s="229">
        <f>C2929*(1-VLOOKUP(I2929,descuentos,6,FALSE))*fcl/IF(dol_sol="dólar", TC,1)</f>
        <v>180.01013568521032</v>
      </c>
      <c r="E2929" s="215">
        <v>80</v>
      </c>
      <c r="F2929" s="561">
        <f t="shared" si="390"/>
        <v>260.02</v>
      </c>
      <c r="G2929" s="518" t="s">
        <v>5459</v>
      </c>
      <c r="H2929" s="566" t="s">
        <v>5460</v>
      </c>
      <c r="I2929" s="562" t="s">
        <v>11565</v>
      </c>
      <c r="J2929" s="558" t="s">
        <v>753</v>
      </c>
      <c r="K2929" s="562" t="s">
        <v>741</v>
      </c>
    </row>
    <row r="2930" spans="1:11">
      <c r="A2930" s="515"/>
      <c r="B2930" s="563"/>
      <c r="C2930" s="196" t="s">
        <v>2024</v>
      </c>
      <c r="D2930" s="229"/>
      <c r="E2930" s="215"/>
      <c r="F2930" s="561"/>
      <c r="G2930" s="518"/>
      <c r="H2930" s="518"/>
      <c r="I2930" s="452"/>
      <c r="J2930" s="369"/>
      <c r="K2930" s="452"/>
    </row>
    <row r="2931" spans="1:11" s="20" customFormat="1" ht="12" customHeight="1">
      <c r="A2931" s="558" t="s">
        <v>5461</v>
      </c>
      <c r="B2931" s="559" t="s">
        <v>5462</v>
      </c>
      <c r="C2931" s="1393">
        <v>556</v>
      </c>
      <c r="D2931" s="229">
        <f>C2931*(1-VLOOKUP(I2931,descuentos,6,FALSE))*fcl/IF(dol_sol="dólar", TC,1)</f>
        <v>170.79459972862955</v>
      </c>
      <c r="E2931" s="215">
        <v>20</v>
      </c>
      <c r="F2931" s="561">
        <f t="shared" si="390"/>
        <v>190.79999999999998</v>
      </c>
      <c r="G2931" s="566" t="s">
        <v>5463</v>
      </c>
      <c r="H2931" s="566" t="s">
        <v>5464</v>
      </c>
      <c r="I2931" s="562" t="s">
        <v>11565</v>
      </c>
      <c r="J2931" s="558" t="s">
        <v>753</v>
      </c>
      <c r="K2931" s="562" t="s">
        <v>741</v>
      </c>
    </row>
    <row r="2932" spans="1:11" s="20" customFormat="1" ht="12" customHeight="1">
      <c r="A2932" s="558"/>
      <c r="B2932" s="563"/>
      <c r="C2932" s="560" t="s">
        <v>2024</v>
      </c>
      <c r="D2932" s="229"/>
      <c r="E2932" s="215"/>
      <c r="F2932" s="561"/>
      <c r="G2932" s="566"/>
      <c r="H2932" s="566"/>
      <c r="I2932" s="562"/>
      <c r="J2932" s="558"/>
      <c r="K2932" s="562"/>
    </row>
    <row r="2933" spans="1:11" s="20" customFormat="1" ht="12" customHeight="1">
      <c r="A2933" s="558" t="s">
        <v>5465</v>
      </c>
      <c r="B2933" s="559" t="s">
        <v>5466</v>
      </c>
      <c r="C2933" s="1393">
        <v>1510</v>
      </c>
      <c r="D2933" s="229">
        <f>C2933*(1-VLOOKUP(I2933,descuentos,6,FALSE))*fcl/IF(dol_sol="dólar", TC,1)</f>
        <v>463.84864314789684</v>
      </c>
      <c r="E2933" s="215">
        <v>20</v>
      </c>
      <c r="F2933" s="561">
        <f t="shared" si="390"/>
        <v>483.84999999999997</v>
      </c>
      <c r="G2933" s="566" t="s">
        <v>5467</v>
      </c>
      <c r="H2933" s="566" t="s">
        <v>5468</v>
      </c>
      <c r="I2933" s="562" t="s">
        <v>11565</v>
      </c>
      <c r="J2933" s="558" t="s">
        <v>753</v>
      </c>
      <c r="K2933" s="562" t="s">
        <v>741</v>
      </c>
    </row>
    <row r="2934" spans="1:11" s="20" customFormat="1" ht="12" customHeight="1">
      <c r="A2934" s="558"/>
      <c r="B2934" s="565"/>
      <c r="C2934" s="560" t="s">
        <v>2024</v>
      </c>
      <c r="D2934" s="229"/>
      <c r="E2934" s="215"/>
      <c r="F2934" s="561"/>
      <c r="G2934" s="566"/>
      <c r="H2934" s="566"/>
      <c r="I2934" s="562"/>
      <c r="J2934" s="558"/>
      <c r="K2934" s="562"/>
    </row>
    <row r="2935" spans="1:11" s="20" customFormat="1" ht="12" customHeight="1">
      <c r="A2935" s="558" t="s">
        <v>5469</v>
      </c>
      <c r="B2935" s="559" t="s">
        <v>5470</v>
      </c>
      <c r="C2935" s="1393">
        <v>308</v>
      </c>
      <c r="D2935" s="229">
        <f>C2935*(1-VLOOKUP(I2935,descuentos,6,FALSE))*fcl/IF(dol_sol="dólar", TC,1)</f>
        <v>94.612835820895526</v>
      </c>
      <c r="E2935" s="215"/>
      <c r="F2935" s="561">
        <f>ROUNDUP(D2935+E2935,2)</f>
        <v>94.62</v>
      </c>
      <c r="G2935" s="564" t="s">
        <v>5471</v>
      </c>
      <c r="H2935" s="566" t="s">
        <v>5472</v>
      </c>
      <c r="I2935" s="562" t="s">
        <v>11565</v>
      </c>
      <c r="J2935" s="558" t="s">
        <v>753</v>
      </c>
      <c r="K2935" s="562" t="s">
        <v>741</v>
      </c>
    </row>
    <row r="2936" spans="1:11" s="20" customFormat="1" ht="12" customHeight="1">
      <c r="A2936" s="558"/>
      <c r="B2936" s="565"/>
      <c r="C2936" s="560" t="s">
        <v>2024</v>
      </c>
      <c r="D2936" s="229"/>
      <c r="E2936" s="215"/>
      <c r="F2936" s="561"/>
      <c r="G2936" s="564"/>
      <c r="H2936" s="566"/>
      <c r="I2936" s="562"/>
      <c r="J2936" s="558"/>
      <c r="K2936" s="562"/>
    </row>
    <row r="2937" spans="1:11" s="20" customFormat="1" ht="12" customHeight="1">
      <c r="A2937" s="558"/>
      <c r="B2937" s="518"/>
      <c r="C2937" s="196" t="s">
        <v>2024</v>
      </c>
      <c r="D2937" s="230"/>
      <c r="E2937" s="215"/>
      <c r="F2937" s="511">
        <f t="shared" si="390"/>
        <v>0</v>
      </c>
      <c r="G2937" s="518"/>
      <c r="H2937" s="518"/>
      <c r="I2937" s="452"/>
      <c r="J2937" s="369"/>
      <c r="K2937" s="452"/>
    </row>
    <row r="2938" spans="1:11">
      <c r="A2938" s="369"/>
      <c r="B2938" s="518"/>
      <c r="C2938" s="196" t="s">
        <v>2024</v>
      </c>
      <c r="D2938" s="230"/>
      <c r="E2938" s="215"/>
      <c r="F2938" s="511">
        <f t="shared" si="390"/>
        <v>0</v>
      </c>
      <c r="G2938" s="314"/>
      <c r="H2938" s="518"/>
      <c r="I2938" s="452"/>
      <c r="J2938" s="369"/>
      <c r="K2938" s="452"/>
    </row>
    <row r="2939" spans="1:11">
      <c r="A2939" s="369"/>
      <c r="B2939" s="554"/>
      <c r="C2939" s="196" t="s">
        <v>2024</v>
      </c>
      <c r="D2939" s="230"/>
      <c r="E2939" s="215"/>
      <c r="F2939" s="511">
        <f t="shared" si="390"/>
        <v>0</v>
      </c>
      <c r="G2939" s="314"/>
      <c r="H2939" s="518"/>
      <c r="I2939" s="452"/>
      <c r="J2939" s="369"/>
      <c r="K2939" s="452"/>
    </row>
    <row r="2940" spans="1:11">
      <c r="A2940" s="369"/>
      <c r="B2940" s="550" t="s">
        <v>5473</v>
      </c>
      <c r="C2940" s="1392">
        <v>552</v>
      </c>
      <c r="D2940" s="230">
        <f>C2940*(1-VLOOKUP(I2940,descuentos,6,FALSE))*fcl/IF(dol_sol="dólar", TC,1)</f>
        <v>169.56586160108549</v>
      </c>
      <c r="E2940" s="215">
        <v>10</v>
      </c>
      <c r="F2940" s="511">
        <f t="shared" si="390"/>
        <v>179.57</v>
      </c>
      <c r="G2940" s="518" t="s">
        <v>5474</v>
      </c>
      <c r="H2940" s="518" t="s">
        <v>1708</v>
      </c>
      <c r="I2940" s="452" t="s">
        <v>11565</v>
      </c>
      <c r="J2940" s="515" t="s">
        <v>753</v>
      </c>
      <c r="K2940" s="452" t="s">
        <v>741</v>
      </c>
    </row>
    <row r="2941" spans="1:11">
      <c r="A2941" s="369"/>
      <c r="B2941" s="550" t="s">
        <v>5475</v>
      </c>
      <c r="C2941" s="1392">
        <v>552</v>
      </c>
      <c r="D2941" s="230">
        <f>C2941*(1-VLOOKUP(I2941,descuentos,6,FALSE))*fcl/IF(dol_sol="dólar", TC,1)</f>
        <v>169.56586160108549</v>
      </c>
      <c r="E2941" s="215">
        <v>10</v>
      </c>
      <c r="F2941" s="511">
        <f t="shared" si="390"/>
        <v>179.57</v>
      </c>
      <c r="G2941" s="518" t="s">
        <v>5476</v>
      </c>
      <c r="H2941" s="518" t="s">
        <v>1710</v>
      </c>
      <c r="I2941" s="452" t="s">
        <v>11565</v>
      </c>
      <c r="J2941" s="515" t="s">
        <v>753</v>
      </c>
      <c r="K2941" s="452" t="s">
        <v>741</v>
      </c>
    </row>
    <row r="2942" spans="1:11">
      <c r="A2942" s="515"/>
      <c r="B2942" s="550" t="s">
        <v>5477</v>
      </c>
      <c r="C2942" s="1392">
        <v>3334</v>
      </c>
      <c r="D2942" s="230">
        <f>C2942*(1-VLOOKUP(I2942,descuentos,6,FALSE))*fcl/IF(dol_sol="dólar", TC,1)</f>
        <v>1024.1532293080054</v>
      </c>
      <c r="E2942" s="215">
        <v>15</v>
      </c>
      <c r="F2942" s="511">
        <f t="shared" si="390"/>
        <v>1039.1600000000001</v>
      </c>
      <c r="G2942" s="518" t="s">
        <v>5478</v>
      </c>
      <c r="H2942" s="518" t="s">
        <v>5479</v>
      </c>
      <c r="I2942" s="452" t="s">
        <v>11565</v>
      </c>
      <c r="J2942" s="515" t="s">
        <v>753</v>
      </c>
      <c r="K2942" s="452" t="s">
        <v>741</v>
      </c>
    </row>
    <row r="2943" spans="1:11">
      <c r="A2943" s="515"/>
      <c r="B2943" s="550"/>
      <c r="C2943" s="196" t="s">
        <v>2024</v>
      </c>
      <c r="D2943" s="230"/>
      <c r="E2943" s="215"/>
      <c r="F2943" s="511">
        <f t="shared" si="390"/>
        <v>0</v>
      </c>
      <c r="G2943" s="518"/>
      <c r="H2943" s="518"/>
      <c r="I2943" s="452"/>
      <c r="J2943" s="515"/>
      <c r="K2943" s="452"/>
    </row>
    <row r="2944" spans="1:11">
      <c r="A2944" s="515"/>
      <c r="B2944" s="550" t="s">
        <v>5480</v>
      </c>
      <c r="C2944" s="1392">
        <v>304</v>
      </c>
      <c r="D2944" s="230">
        <f>C2944*(1-VLOOKUP(I2944,descuentos,6,FALSE))*fcl/IF(dol_sol="dólar", TC,1)</f>
        <v>93.384097693351421</v>
      </c>
      <c r="E2944" s="215">
        <v>5</v>
      </c>
      <c r="F2944" s="511">
        <f t="shared" si="390"/>
        <v>98.39</v>
      </c>
      <c r="G2944" s="518" t="s">
        <v>5481</v>
      </c>
      <c r="H2944" s="518" t="s">
        <v>5482</v>
      </c>
      <c r="I2944" s="452" t="s">
        <v>11565</v>
      </c>
      <c r="J2944" s="515" t="s">
        <v>753</v>
      </c>
      <c r="K2944" s="452" t="s">
        <v>741</v>
      </c>
    </row>
    <row r="2945" spans="1:15">
      <c r="A2945" s="515"/>
      <c r="B2945" s="552"/>
      <c r="C2945" s="196" t="s">
        <v>2024</v>
      </c>
      <c r="D2945" s="230"/>
      <c r="E2945" s="215"/>
      <c r="F2945" s="511">
        <f t="shared" si="390"/>
        <v>0</v>
      </c>
      <c r="G2945" s="518"/>
      <c r="H2945" s="518"/>
      <c r="I2945" s="452"/>
      <c r="J2945" s="515"/>
      <c r="K2945" s="452"/>
    </row>
    <row r="2946" spans="1:15">
      <c r="A2946" s="515"/>
      <c r="B2946" s="518"/>
      <c r="C2946" s="196" t="s">
        <v>2024</v>
      </c>
      <c r="D2946" s="230"/>
      <c r="E2946" s="215"/>
      <c r="F2946" s="511">
        <f t="shared" si="390"/>
        <v>0</v>
      </c>
      <c r="G2946" s="518"/>
      <c r="H2946" s="518"/>
      <c r="I2946" s="452"/>
      <c r="J2946" s="515"/>
      <c r="K2946" s="452"/>
    </row>
    <row r="2947" spans="1:15">
      <c r="A2947" s="515"/>
      <c r="B2947" s="518"/>
      <c r="C2947" s="196" t="s">
        <v>2024</v>
      </c>
      <c r="D2947" s="230"/>
      <c r="E2947" s="215"/>
      <c r="F2947" s="511"/>
      <c r="G2947" s="518"/>
      <c r="H2947" s="518"/>
      <c r="I2947" s="452"/>
      <c r="J2947" s="515"/>
      <c r="K2947" s="452"/>
    </row>
    <row r="2948" spans="1:15" ht="13.5" customHeight="1">
      <c r="A2948" s="369"/>
      <c r="B2948" s="518" t="s">
        <v>5483</v>
      </c>
      <c r="C2948" s="196">
        <v>677</v>
      </c>
      <c r="D2948" s="230">
        <f>C2948*(1-VLOOKUP(I2948,descuentos,6,FALSE))*fcl/IF(dol_sol="dólar", TC,1)</f>
        <v>207.96392808683851</v>
      </c>
      <c r="E2948" s="215">
        <v>10</v>
      </c>
      <c r="F2948" s="511">
        <f t="shared" si="390"/>
        <v>217.97</v>
      </c>
      <c r="G2948" s="518" t="s">
        <v>10186</v>
      </c>
      <c r="H2948" s="518" t="s">
        <v>5484</v>
      </c>
      <c r="I2948" s="452" t="s">
        <v>11565</v>
      </c>
      <c r="J2948" s="369" t="s">
        <v>753</v>
      </c>
      <c r="K2948" s="452" t="s">
        <v>741</v>
      </c>
    </row>
    <row r="2949" spans="1:15">
      <c r="H2949" s="135"/>
    </row>
    <row r="2950" spans="1:15" s="528" customFormat="1">
      <c r="A2950" s="1615"/>
      <c r="B2950" s="1839" t="s">
        <v>12216</v>
      </c>
      <c r="C2950" s="1557">
        <v>260</v>
      </c>
      <c r="D2950" s="1366">
        <f t="shared" ref="D2950" si="391">C2950*(1-VLOOKUP(I2950,descuentos,6,FALSE))*fcl</f>
        <v>267.55772727272728</v>
      </c>
      <c r="E2950" s="215">
        <v>100</v>
      </c>
      <c r="F2950" s="511">
        <f t="shared" ref="F2950:F2953" si="392">ROUNDUP(D2950+E2950,1)</f>
        <v>367.6</v>
      </c>
      <c r="G2950" s="1843" t="s">
        <v>12217</v>
      </c>
      <c r="H2950" s="1844" t="s">
        <v>12218</v>
      </c>
      <c r="I2950" s="1845" t="s">
        <v>11565</v>
      </c>
      <c r="J2950" s="1615" t="s">
        <v>753</v>
      </c>
      <c r="K2950" s="1845" t="s">
        <v>741</v>
      </c>
    </row>
    <row r="2951" spans="1:15" s="528" customFormat="1">
      <c r="A2951" s="1615"/>
      <c r="B2951" s="1839" t="s">
        <v>12219</v>
      </c>
      <c r="C2951" s="1557">
        <v>562</v>
      </c>
      <c r="D2951" s="1366">
        <f t="shared" ref="D2951:D2953" si="393">C2951*(1-VLOOKUP(I2951,descuentos,6,FALSE))*fcl</f>
        <v>578.33631818181811</v>
      </c>
      <c r="E2951" s="215">
        <v>100</v>
      </c>
      <c r="F2951" s="511">
        <f t="shared" si="392"/>
        <v>678.4</v>
      </c>
      <c r="G2951" s="1843" t="s">
        <v>12220</v>
      </c>
      <c r="H2951" s="1844" t="s">
        <v>12221</v>
      </c>
      <c r="I2951" s="1845" t="s">
        <v>11565</v>
      </c>
      <c r="J2951" s="1615" t="s">
        <v>753</v>
      </c>
      <c r="K2951" s="1845" t="s">
        <v>741</v>
      </c>
    </row>
    <row r="2952" spans="1:15" s="528" customFormat="1">
      <c r="A2952" s="1615"/>
      <c r="B2952" s="1839" t="s">
        <v>12222</v>
      </c>
      <c r="C2952" s="1557">
        <v>770</v>
      </c>
      <c r="D2952" s="1366">
        <f t="shared" si="393"/>
        <v>792.38249999999994</v>
      </c>
      <c r="E2952" s="215">
        <v>100</v>
      </c>
      <c r="F2952" s="511">
        <f t="shared" si="392"/>
        <v>892.4</v>
      </c>
      <c r="G2952" s="1843" t="s">
        <v>12223</v>
      </c>
      <c r="H2952" s="1844" t="s">
        <v>12224</v>
      </c>
      <c r="I2952" s="1845" t="s">
        <v>11565</v>
      </c>
      <c r="J2952" s="1615" t="s">
        <v>753</v>
      </c>
      <c r="K2952" s="1845" t="s">
        <v>741</v>
      </c>
    </row>
    <row r="2953" spans="1:15" s="528" customFormat="1">
      <c r="A2953" s="1615"/>
      <c r="B2953" s="1839" t="s">
        <v>12225</v>
      </c>
      <c r="C2953" s="1557">
        <v>250</v>
      </c>
      <c r="D2953" s="1366">
        <f t="shared" si="393"/>
        <v>568.18181818181813</v>
      </c>
      <c r="E2953" s="215">
        <v>100</v>
      </c>
      <c r="F2953" s="511">
        <f t="shared" si="392"/>
        <v>668.2</v>
      </c>
      <c r="G2953" s="1843" t="s">
        <v>12226</v>
      </c>
      <c r="H2953" s="1844" t="s">
        <v>12227</v>
      </c>
      <c r="I2953" s="1845" t="s">
        <v>4980</v>
      </c>
      <c r="J2953" s="1615" t="s">
        <v>753</v>
      </c>
      <c r="K2953" s="1845" t="s">
        <v>741</v>
      </c>
    </row>
    <row r="2954" spans="1:15" s="528" customFormat="1">
      <c r="A2954" s="1615"/>
      <c r="B2954" s="1839"/>
      <c r="C2954" s="381" t="s">
        <v>2024</v>
      </c>
      <c r="D2954" s="1840"/>
      <c r="E2954" s="1841"/>
      <c r="F2954" s="1842"/>
      <c r="G2954" s="1843"/>
      <c r="H2954" s="1844"/>
      <c r="I2954" s="1845"/>
      <c r="J2954" s="1615"/>
      <c r="K2954" s="1845"/>
    </row>
    <row r="2955" spans="1:15">
      <c r="A2955" s="515"/>
      <c r="B2955" s="144"/>
      <c r="C2955" s="196" t="s">
        <v>2024</v>
      </c>
      <c r="D2955" s="230"/>
      <c r="E2955" s="215"/>
      <c r="F2955" s="511"/>
      <c r="G2955" s="518"/>
      <c r="H2955" s="518"/>
      <c r="I2955" s="452"/>
      <c r="J2955" s="515"/>
      <c r="K2955" s="452"/>
      <c r="L2955" s="191"/>
      <c r="M2955" s="191"/>
      <c r="N2955" s="191"/>
      <c r="O2955" s="191"/>
    </row>
    <row r="2956" spans="1:15" s="1723" customFormat="1">
      <c r="A2956" s="1713"/>
      <c r="B2956" s="1714"/>
      <c r="C2956" s="1715"/>
      <c r="D2956" s="1716"/>
      <c r="E2956" s="1717"/>
      <c r="F2956" s="1718"/>
      <c r="G2956" s="1719"/>
      <c r="H2956" s="1720"/>
      <c r="I2956" s="1721"/>
      <c r="J2956" s="1713"/>
      <c r="K2956" s="1721"/>
      <c r="L2956" s="1722"/>
      <c r="M2956" s="1722"/>
      <c r="N2956" s="1722"/>
      <c r="O2956" s="1722"/>
    </row>
    <row r="2957" spans="1:15">
      <c r="A2957" s="515"/>
      <c r="B2957" s="144"/>
      <c r="C2957" s="196"/>
      <c r="D2957" s="230"/>
      <c r="E2957" s="215"/>
      <c r="F2957" s="511"/>
      <c r="G2957" s="518"/>
      <c r="H2957" s="143"/>
      <c r="I2957" s="452"/>
      <c r="J2957" s="515"/>
      <c r="K2957" s="452"/>
      <c r="L2957" s="191"/>
      <c r="M2957" s="191"/>
      <c r="N2957" s="191"/>
      <c r="O2957" s="191"/>
    </row>
    <row r="2958" spans="1:15">
      <c r="A2958" s="515"/>
      <c r="B2958" s="1461" t="s">
        <v>7396</v>
      </c>
      <c r="C2958" s="1557">
        <v>3278</v>
      </c>
      <c r="D2958" s="1366">
        <f t="shared" ref="D2958:D2967" si="394">C2958*(1-VLOOKUP(I2958,descuentos,6,FALSE))*fcl</f>
        <v>7449.9999999999991</v>
      </c>
      <c r="E2958" s="215">
        <v>100</v>
      </c>
      <c r="F2958" s="511">
        <f t="shared" ref="F2958:F2967" si="395">ROUNDUP(D2958+E2958,1)</f>
        <v>7550</v>
      </c>
      <c r="G2958" s="518" t="s">
        <v>7397</v>
      </c>
      <c r="H2958" s="1412" t="s">
        <v>7398</v>
      </c>
      <c r="I2958" s="452" t="s">
        <v>4980</v>
      </c>
      <c r="J2958" s="515" t="s">
        <v>753</v>
      </c>
      <c r="K2958" s="452" t="s">
        <v>741</v>
      </c>
      <c r="L2958" s="191"/>
      <c r="M2958" s="191"/>
      <c r="N2958" s="191"/>
      <c r="O2958" s="191"/>
    </row>
    <row r="2959" spans="1:15">
      <c r="A2959" s="515"/>
      <c r="B2959" s="1461" t="s">
        <v>7399</v>
      </c>
      <c r="C2959" s="518" t="s">
        <v>7400</v>
      </c>
      <c r="D2959" s="1366"/>
      <c r="E2959" s="215"/>
      <c r="F2959" s="511"/>
      <c r="G2959" s="518" t="s">
        <v>7400</v>
      </c>
      <c r="H2959" s="143"/>
      <c r="I2959" s="452" t="s">
        <v>4980</v>
      </c>
      <c r="J2959" s="515" t="s">
        <v>753</v>
      </c>
      <c r="K2959" s="452" t="s">
        <v>741</v>
      </c>
      <c r="L2959" s="191"/>
      <c r="M2959" s="191"/>
      <c r="N2959" s="191"/>
      <c r="O2959" s="191"/>
    </row>
    <row r="2960" spans="1:15">
      <c r="A2960" s="515"/>
      <c r="B2960" s="1479" t="s">
        <v>7401</v>
      </c>
      <c r="C2960" s="1557">
        <v>2513</v>
      </c>
      <c r="D2960" s="1366">
        <f t="shared" si="394"/>
        <v>5711.363636363636</v>
      </c>
      <c r="E2960" s="215">
        <v>10</v>
      </c>
      <c r="F2960" s="511">
        <f t="shared" si="395"/>
        <v>5721.4000000000005</v>
      </c>
      <c r="G2960" s="518" t="s">
        <v>7402</v>
      </c>
      <c r="H2960" s="1412" t="s">
        <v>7403</v>
      </c>
      <c r="I2960" s="452" t="s">
        <v>4980</v>
      </c>
      <c r="J2960" s="515" t="s">
        <v>753</v>
      </c>
      <c r="K2960" s="452" t="s">
        <v>741</v>
      </c>
      <c r="L2960" s="191"/>
      <c r="M2960" s="191"/>
      <c r="N2960" s="191"/>
      <c r="O2960" s="191"/>
    </row>
    <row r="2961" spans="1:15">
      <c r="A2961" s="515"/>
      <c r="B2961" s="1479" t="s">
        <v>7404</v>
      </c>
      <c r="C2961" s="1557">
        <v>854</v>
      </c>
      <c r="D2961" s="1366">
        <f t="shared" si="394"/>
        <v>1940.9090909090908</v>
      </c>
      <c r="E2961" s="215">
        <v>10</v>
      </c>
      <c r="F2961" s="511">
        <f t="shared" si="395"/>
        <v>1951</v>
      </c>
      <c r="G2961" s="518" t="s">
        <v>7405</v>
      </c>
      <c r="H2961" s="1412" t="s">
        <v>7406</v>
      </c>
      <c r="I2961" s="452" t="s">
        <v>4980</v>
      </c>
      <c r="J2961" s="515" t="s">
        <v>753</v>
      </c>
      <c r="K2961" s="452" t="s">
        <v>741</v>
      </c>
      <c r="L2961" s="191"/>
      <c r="M2961" s="191"/>
      <c r="N2961" s="191"/>
      <c r="O2961" s="191"/>
    </row>
    <row r="2962" spans="1:15">
      <c r="A2962" s="515"/>
      <c r="B2962" s="1479" t="s">
        <v>7407</v>
      </c>
      <c r="C2962" s="1557">
        <v>235</v>
      </c>
      <c r="D2962" s="1366">
        <f t="shared" si="394"/>
        <v>534.09090909090901</v>
      </c>
      <c r="E2962" s="215">
        <v>10</v>
      </c>
      <c r="F2962" s="511">
        <f t="shared" si="395"/>
        <v>544.1</v>
      </c>
      <c r="G2962" s="518" t="s">
        <v>7408</v>
      </c>
      <c r="H2962" s="143" t="s">
        <v>7409</v>
      </c>
      <c r="I2962" s="452" t="s">
        <v>4980</v>
      </c>
      <c r="J2962" s="515" t="s">
        <v>753</v>
      </c>
      <c r="K2962" s="452" t="s">
        <v>741</v>
      </c>
      <c r="L2962" s="191"/>
      <c r="M2962" s="191"/>
      <c r="N2962" s="191"/>
      <c r="O2962" s="191"/>
    </row>
    <row r="2963" spans="1:15">
      <c r="A2963" s="515"/>
      <c r="B2963" s="1479" t="s">
        <v>7410</v>
      </c>
      <c r="C2963" s="1557">
        <v>63</v>
      </c>
      <c r="D2963" s="1366">
        <f t="shared" si="394"/>
        <v>143.18181818181816</v>
      </c>
      <c r="E2963" s="215">
        <v>10</v>
      </c>
      <c r="F2963" s="511">
        <f t="shared" si="395"/>
        <v>153.19999999999999</v>
      </c>
      <c r="G2963" s="518" t="s">
        <v>7411</v>
      </c>
      <c r="H2963" s="143" t="s">
        <v>7412</v>
      </c>
      <c r="I2963" s="452" t="s">
        <v>4980</v>
      </c>
      <c r="J2963" s="515" t="s">
        <v>753</v>
      </c>
      <c r="K2963" s="452" t="s">
        <v>741</v>
      </c>
      <c r="L2963" s="191"/>
      <c r="M2963" s="191"/>
      <c r="N2963" s="191"/>
      <c r="O2963" s="191"/>
    </row>
    <row r="2964" spans="1:15">
      <c r="A2964" s="515"/>
      <c r="B2964" s="1480" t="s">
        <v>7413</v>
      </c>
      <c r="C2964" s="518" t="s">
        <v>7414</v>
      </c>
      <c r="D2964" s="1366"/>
      <c r="E2964" s="215"/>
      <c r="F2964" s="511"/>
      <c r="G2964" s="518" t="s">
        <v>7414</v>
      </c>
      <c r="H2964" s="143"/>
      <c r="I2964" s="452" t="s">
        <v>4980</v>
      </c>
      <c r="J2964" s="515" t="s">
        <v>753</v>
      </c>
      <c r="K2964" s="452" t="s">
        <v>741</v>
      </c>
      <c r="L2964" s="191"/>
      <c r="M2964" s="191"/>
      <c r="N2964" s="191"/>
      <c r="O2964" s="191"/>
    </row>
    <row r="2965" spans="1:15">
      <c r="A2965" s="515"/>
      <c r="B2965" s="1480" t="s">
        <v>7415</v>
      </c>
      <c r="C2965" s="518" t="s">
        <v>7416</v>
      </c>
      <c r="D2965" s="1366"/>
      <c r="E2965" s="215"/>
      <c r="F2965" s="511"/>
      <c r="G2965" s="518" t="s">
        <v>7416</v>
      </c>
      <c r="H2965" s="143"/>
      <c r="I2965" s="452" t="s">
        <v>4980</v>
      </c>
      <c r="J2965" s="515" t="s">
        <v>753</v>
      </c>
      <c r="K2965" s="452" t="s">
        <v>741</v>
      </c>
      <c r="L2965" s="191"/>
      <c r="M2965" s="191"/>
      <c r="N2965" s="191"/>
      <c r="O2965" s="191"/>
    </row>
    <row r="2966" spans="1:15">
      <c r="A2966" s="515"/>
      <c r="B2966" s="1480" t="s">
        <v>7417</v>
      </c>
      <c r="C2966" s="196">
        <v>183</v>
      </c>
      <c r="D2966" s="1366">
        <f>C2966*(1-VLOOKUP(I2966,descuentos,6,FALSE))*fcl/IF(dol_sol="dólar", TC,1)</f>
        <v>124.15196743554951</v>
      </c>
      <c r="E2966" s="215">
        <v>10</v>
      </c>
      <c r="F2966" s="511">
        <f>ROUNDUP(D2966+E2966,2)</f>
        <v>134.16</v>
      </c>
      <c r="G2966" s="518" t="s">
        <v>7418</v>
      </c>
      <c r="H2966" s="143" t="s">
        <v>7419</v>
      </c>
      <c r="I2966" s="452" t="s">
        <v>4980</v>
      </c>
      <c r="J2966" s="515" t="s">
        <v>753</v>
      </c>
      <c r="K2966" s="452" t="s">
        <v>741</v>
      </c>
      <c r="L2966" s="191"/>
      <c r="M2966" s="191"/>
      <c r="N2966" s="191"/>
      <c r="O2966" s="191"/>
    </row>
    <row r="2967" spans="1:15">
      <c r="A2967" s="1481"/>
      <c r="B2967" s="1482" t="s">
        <v>7420</v>
      </c>
      <c r="C2967" s="962">
        <v>547</v>
      </c>
      <c r="D2967" s="1366">
        <f t="shared" si="394"/>
        <v>1243.181818181818</v>
      </c>
      <c r="E2967" s="215">
        <v>10</v>
      </c>
      <c r="F2967" s="511">
        <f t="shared" si="395"/>
        <v>1253.1999999999998</v>
      </c>
      <c r="G2967" s="518" t="s">
        <v>7421</v>
      </c>
      <c r="H2967" s="143">
        <v>68840830</v>
      </c>
      <c r="I2967" s="452" t="s">
        <v>4980</v>
      </c>
      <c r="J2967" s="515" t="s">
        <v>753</v>
      </c>
      <c r="K2967" s="452" t="s">
        <v>741</v>
      </c>
      <c r="L2967" s="191"/>
      <c r="M2967" s="191"/>
      <c r="N2967" s="191"/>
      <c r="O2967" s="191"/>
    </row>
    <row r="2968" spans="1:15" s="185" customFormat="1">
      <c r="A2968" s="515"/>
      <c r="B2968" s="143"/>
      <c r="C2968" s="962"/>
      <c r="D2968" s="230"/>
      <c r="E2968" s="215"/>
      <c r="F2968" s="511"/>
      <c r="G2968" s="518"/>
      <c r="H2968" s="143"/>
      <c r="I2968" s="452"/>
      <c r="J2968" s="515"/>
      <c r="K2968" s="452"/>
      <c r="L2968" s="102"/>
      <c r="M2968" s="102"/>
      <c r="N2968" s="102"/>
      <c r="O2968" s="102"/>
    </row>
    <row r="2969" spans="1:15">
      <c r="A2969" s="515"/>
      <c r="B2969" s="144"/>
      <c r="C2969" s="196"/>
      <c r="D2969" s="230"/>
      <c r="E2969" s="215"/>
      <c r="F2969" s="511"/>
      <c r="G2969" s="518"/>
      <c r="H2969" s="143"/>
      <c r="I2969" s="452"/>
      <c r="J2969" s="515"/>
      <c r="K2969" s="452"/>
      <c r="L2969" s="191"/>
      <c r="M2969" s="191"/>
      <c r="N2969" s="191"/>
      <c r="O2969" s="191"/>
    </row>
    <row r="2970" spans="1:15">
      <c r="A2970" s="1370"/>
      <c r="B2970" s="144" t="s">
        <v>9182</v>
      </c>
      <c r="C2970" s="1557">
        <v>2694</v>
      </c>
      <c r="D2970" s="1366">
        <f>C2970*(1-VLOOKUP(I2970,descuentos,6,FALSE))*fcl</f>
        <v>6122.7272727272721</v>
      </c>
      <c r="E2970" s="215">
        <v>100</v>
      </c>
      <c r="F2970" s="511">
        <f>ROUNDUP(D2970+E2970,1)</f>
        <v>6222.8</v>
      </c>
      <c r="G2970" s="518" t="s">
        <v>9183</v>
      </c>
      <c r="H2970" s="1412" t="s">
        <v>9184</v>
      </c>
      <c r="I2970" s="452" t="s">
        <v>4980</v>
      </c>
      <c r="J2970" s="515" t="s">
        <v>753</v>
      </c>
      <c r="K2970" s="452" t="s">
        <v>741</v>
      </c>
      <c r="L2970" s="191"/>
      <c r="M2970" s="191"/>
      <c r="N2970" s="191"/>
      <c r="O2970" s="191"/>
    </row>
    <row r="2971" spans="1:15">
      <c r="A2971" s="1370"/>
      <c r="B2971" s="1461" t="s">
        <v>7399</v>
      </c>
      <c r="C2971" s="518" t="s">
        <v>7400</v>
      </c>
      <c r="D2971" s="1366"/>
      <c r="E2971" s="215"/>
      <c r="F2971" s="511"/>
      <c r="G2971" s="518" t="s">
        <v>7400</v>
      </c>
      <c r="H2971" s="143"/>
      <c r="I2971" s="452" t="s">
        <v>4980</v>
      </c>
      <c r="J2971" s="515" t="s">
        <v>753</v>
      </c>
      <c r="K2971" s="452" t="s">
        <v>741</v>
      </c>
      <c r="L2971" s="191"/>
      <c r="M2971" s="191"/>
      <c r="N2971" s="191"/>
      <c r="O2971" s="191"/>
    </row>
    <row r="2972" spans="1:15">
      <c r="A2972" s="1370"/>
      <c r="B2972" s="1479" t="s">
        <v>9185</v>
      </c>
      <c r="C2972" s="1557">
        <v>610</v>
      </c>
      <c r="D2972" s="1366">
        <f>C2972*(1-VLOOKUP(I2972,descuentos,6,FALSE))*fcl</f>
        <v>1386.3636363636363</v>
      </c>
      <c r="E2972" s="215">
        <v>10</v>
      </c>
      <c r="F2972" s="511">
        <f>ROUNDUP(D2972+E2972,1)</f>
        <v>1396.3999999999999</v>
      </c>
      <c r="G2972" s="518" t="s">
        <v>9186</v>
      </c>
      <c r="H2972" s="1412">
        <v>58982806</v>
      </c>
      <c r="I2972" s="452" t="s">
        <v>4980</v>
      </c>
      <c r="J2972" s="515" t="s">
        <v>753</v>
      </c>
      <c r="K2972" s="452" t="s">
        <v>741</v>
      </c>
      <c r="L2972" s="191"/>
      <c r="M2972" s="191"/>
      <c r="N2972" s="191"/>
      <c r="O2972" s="191"/>
    </row>
    <row r="2973" spans="1:15">
      <c r="A2973" s="1370"/>
      <c r="B2973" s="1479" t="s">
        <v>7404</v>
      </c>
      <c r="C2973" s="1557">
        <v>854</v>
      </c>
      <c r="D2973" s="1366">
        <f>C2973*(1-VLOOKUP(I2973,descuentos,6,FALSE))*fcl</f>
        <v>1940.9090909090908</v>
      </c>
      <c r="E2973" s="215">
        <v>10</v>
      </c>
      <c r="F2973" s="511">
        <f>ROUNDUP(D2973+E2973,1)</f>
        <v>1951</v>
      </c>
      <c r="G2973" s="518" t="s">
        <v>7405</v>
      </c>
      <c r="H2973" s="1412" t="s">
        <v>7406</v>
      </c>
      <c r="I2973" s="452" t="s">
        <v>4980</v>
      </c>
      <c r="J2973" s="515" t="s">
        <v>753</v>
      </c>
      <c r="K2973" s="452" t="s">
        <v>741</v>
      </c>
      <c r="L2973" s="191"/>
      <c r="M2973" s="191"/>
      <c r="N2973" s="191"/>
      <c r="O2973" s="191"/>
    </row>
    <row r="2974" spans="1:15">
      <c r="A2974" s="1370"/>
      <c r="B2974" s="1479" t="s">
        <v>9187</v>
      </c>
      <c r="C2974" s="1557">
        <v>143</v>
      </c>
      <c r="D2974" s="1366">
        <f>C2974*(1-VLOOKUP(I2974,descuentos,6,FALSE))*fcl</f>
        <v>324.99999999999994</v>
      </c>
      <c r="E2974" s="215">
        <v>10</v>
      </c>
      <c r="F2974" s="511">
        <f>ROUNDUP(D2974+E2974,1)</f>
        <v>335</v>
      </c>
      <c r="G2974" s="518" t="s">
        <v>9188</v>
      </c>
      <c r="H2974" s="143" t="s">
        <v>9189</v>
      </c>
      <c r="I2974" s="452" t="s">
        <v>4980</v>
      </c>
      <c r="J2974" s="515" t="s">
        <v>753</v>
      </c>
      <c r="K2974" s="452" t="s">
        <v>741</v>
      </c>
      <c r="L2974" s="191"/>
      <c r="M2974" s="191"/>
      <c r="N2974" s="191"/>
      <c r="O2974" s="191"/>
    </row>
    <row r="2975" spans="1:15">
      <c r="A2975" s="515"/>
      <c r="B2975" s="1479" t="s">
        <v>7410</v>
      </c>
      <c r="C2975" s="1557">
        <v>63</v>
      </c>
      <c r="D2975" s="1366">
        <f>C2975*(1-VLOOKUP(I2975,descuentos,6,FALSE))*fcl</f>
        <v>143.18181818181816</v>
      </c>
      <c r="E2975" s="215">
        <v>10</v>
      </c>
      <c r="F2975" s="511">
        <f>ROUNDUP(D2975+E2975,1)</f>
        <v>153.19999999999999</v>
      </c>
      <c r="G2975" s="518" t="s">
        <v>7411</v>
      </c>
      <c r="H2975" s="143" t="s">
        <v>7412</v>
      </c>
      <c r="I2975" s="452" t="s">
        <v>4980</v>
      </c>
      <c r="J2975" s="515" t="s">
        <v>753</v>
      </c>
      <c r="K2975" s="452" t="s">
        <v>741</v>
      </c>
      <c r="L2975" s="191"/>
      <c r="M2975" s="191"/>
      <c r="N2975" s="191"/>
      <c r="O2975" s="191"/>
    </row>
    <row r="2976" spans="1:15">
      <c r="A2976" s="515"/>
      <c r="B2976" s="1480" t="s">
        <v>7413</v>
      </c>
      <c r="C2976" s="518" t="s">
        <v>7414</v>
      </c>
      <c r="D2976" s="1366"/>
      <c r="E2976" s="215"/>
      <c r="F2976" s="511"/>
      <c r="G2976" s="518" t="s">
        <v>7414</v>
      </c>
      <c r="H2976" s="143"/>
      <c r="I2976" s="452" t="s">
        <v>4980</v>
      </c>
      <c r="J2976" s="515" t="s">
        <v>753</v>
      </c>
      <c r="K2976" s="452" t="s">
        <v>741</v>
      </c>
      <c r="L2976" s="191"/>
      <c r="M2976" s="191"/>
      <c r="N2976" s="191"/>
      <c r="O2976" s="191"/>
    </row>
    <row r="2977" spans="1:15">
      <c r="A2977" s="515"/>
      <c r="B2977" s="1480" t="s">
        <v>7415</v>
      </c>
      <c r="C2977" s="518" t="s">
        <v>7416</v>
      </c>
      <c r="D2977" s="1366"/>
      <c r="E2977" s="215"/>
      <c r="F2977" s="511"/>
      <c r="G2977" s="518" t="s">
        <v>7416</v>
      </c>
      <c r="H2977" s="143"/>
      <c r="I2977" s="452" t="s">
        <v>4980</v>
      </c>
      <c r="J2977" s="515" t="s">
        <v>753</v>
      </c>
      <c r="K2977" s="452" t="s">
        <v>741</v>
      </c>
      <c r="L2977" s="191"/>
      <c r="M2977" s="191"/>
      <c r="N2977" s="191"/>
      <c r="O2977" s="191"/>
    </row>
    <row r="2978" spans="1:15">
      <c r="A2978" s="515"/>
      <c r="B2978" s="1480" t="s">
        <v>7417</v>
      </c>
      <c r="C2978" s="196">
        <v>183</v>
      </c>
      <c r="D2978" s="1366">
        <f>C2978*(1-VLOOKUP(I2978,descuentos,6,FALSE))*fcl/IF(dol_sol="dólar", TC,1)</f>
        <v>124.15196743554951</v>
      </c>
      <c r="E2978" s="215">
        <v>10</v>
      </c>
      <c r="F2978" s="511">
        <f>ROUNDUP(D2978+E2978,2)</f>
        <v>134.16</v>
      </c>
      <c r="G2978" s="518" t="s">
        <v>7418</v>
      </c>
      <c r="H2978" s="143" t="s">
        <v>7419</v>
      </c>
      <c r="I2978" s="452" t="s">
        <v>4980</v>
      </c>
      <c r="J2978" s="515" t="s">
        <v>753</v>
      </c>
      <c r="K2978" s="452" t="s">
        <v>741</v>
      </c>
      <c r="L2978" s="191"/>
      <c r="M2978" s="191"/>
      <c r="N2978" s="191"/>
      <c r="O2978" s="191"/>
    </row>
    <row r="2979" spans="1:15">
      <c r="A2979" s="1481"/>
      <c r="B2979" s="1482" t="s">
        <v>7420</v>
      </c>
      <c r="C2979" s="962">
        <v>547</v>
      </c>
      <c r="D2979" s="1366">
        <f>C2979*(1-VLOOKUP(I2979,descuentos,6,FALSE))*fcl</f>
        <v>1243.181818181818</v>
      </c>
      <c r="E2979" s="215">
        <v>10</v>
      </c>
      <c r="F2979" s="511">
        <f>ROUNDUP(D2979+E2979,1)</f>
        <v>1253.1999999999998</v>
      </c>
      <c r="G2979" s="518" t="s">
        <v>7421</v>
      </c>
      <c r="H2979" s="143">
        <v>68840830</v>
      </c>
      <c r="I2979" s="452" t="s">
        <v>4980</v>
      </c>
      <c r="J2979" s="515" t="s">
        <v>753</v>
      </c>
      <c r="K2979" s="452" t="s">
        <v>741</v>
      </c>
      <c r="L2979" s="191"/>
      <c r="M2979" s="191"/>
      <c r="N2979" s="191"/>
      <c r="O2979" s="191"/>
    </row>
    <row r="2980" spans="1:15" s="185" customFormat="1">
      <c r="A2980" s="515"/>
      <c r="B2980" s="143"/>
      <c r="C2980" s="962"/>
      <c r="D2980" s="230"/>
      <c r="E2980" s="215"/>
      <c r="F2980" s="511"/>
      <c r="G2980" s="518"/>
      <c r="H2980" s="143"/>
      <c r="I2980" s="452"/>
      <c r="J2980" s="515"/>
      <c r="K2980" s="452"/>
      <c r="L2980" s="102"/>
      <c r="M2980" s="102"/>
      <c r="N2980" s="102"/>
      <c r="O2980" s="102"/>
    </row>
    <row r="2981" spans="1:15">
      <c r="A2981" s="515"/>
      <c r="B2981" s="144"/>
      <c r="C2981" s="196"/>
      <c r="D2981" s="230"/>
      <c r="E2981" s="215"/>
      <c r="F2981" s="511"/>
      <c r="G2981" s="518"/>
      <c r="H2981" s="143"/>
      <c r="I2981" s="452"/>
      <c r="J2981" s="515"/>
      <c r="K2981" s="452"/>
      <c r="L2981" s="191"/>
      <c r="M2981" s="191"/>
      <c r="N2981" s="191"/>
      <c r="O2981" s="191"/>
    </row>
    <row r="2982" spans="1:15">
      <c r="A2982" s="515"/>
      <c r="B2982" s="1461" t="s">
        <v>7422</v>
      </c>
      <c r="C2982" s="962">
        <v>1950</v>
      </c>
      <c r="D2982" s="1366">
        <f t="shared" ref="D2982:D2991" si="396">C2982*(1-VLOOKUP(I2982,descuentos,6,FALSE))*fcl</f>
        <v>4431.8181818181811</v>
      </c>
      <c r="E2982" s="215">
        <v>100</v>
      </c>
      <c r="F2982" s="511">
        <f t="shared" ref="F2982:F2991" si="397">ROUNDUP(D2982+E2982,1)</f>
        <v>4531.9000000000005</v>
      </c>
      <c r="G2982" s="518" t="s">
        <v>9190</v>
      </c>
      <c r="H2982" s="143" t="s">
        <v>7423</v>
      </c>
      <c r="I2982" s="452" t="s">
        <v>4980</v>
      </c>
      <c r="J2982" s="515" t="s">
        <v>753</v>
      </c>
      <c r="K2982" s="452" t="s">
        <v>741</v>
      </c>
      <c r="L2982" s="191"/>
      <c r="M2982" s="191"/>
      <c r="N2982" s="191"/>
      <c r="O2982" s="191"/>
    </row>
    <row r="2983" spans="1:15">
      <c r="A2983" s="515"/>
      <c r="B2983" s="1461" t="s">
        <v>7424</v>
      </c>
      <c r="C2983" s="1557">
        <v>506</v>
      </c>
      <c r="D2983" s="1366">
        <f t="shared" si="396"/>
        <v>1149.9999999999998</v>
      </c>
      <c r="E2983" s="215">
        <v>10</v>
      </c>
      <c r="F2983" s="511">
        <f t="shared" si="397"/>
        <v>1160</v>
      </c>
      <c r="G2983" s="1483" t="s">
        <v>7425</v>
      </c>
      <c r="H2983" s="143">
        <v>68711266</v>
      </c>
      <c r="I2983" s="452" t="s">
        <v>4980</v>
      </c>
      <c r="J2983" s="515" t="s">
        <v>753</v>
      </c>
      <c r="K2983" s="452" t="s">
        <v>741</v>
      </c>
      <c r="L2983" s="191"/>
      <c r="M2983" s="191"/>
      <c r="N2983" s="191"/>
      <c r="O2983" s="191"/>
    </row>
    <row r="2984" spans="1:15">
      <c r="A2984" s="515"/>
      <c r="B2984" s="1479" t="s">
        <v>4983</v>
      </c>
      <c r="C2984" s="1557">
        <v>673</v>
      </c>
      <c r="D2984" s="1366">
        <f t="shared" si="396"/>
        <v>1529.5454545454543</v>
      </c>
      <c r="E2984" s="215">
        <v>10</v>
      </c>
      <c r="F2984" s="511">
        <f t="shared" si="397"/>
        <v>1539.6</v>
      </c>
      <c r="G2984" s="1483" t="s">
        <v>4984</v>
      </c>
      <c r="H2984" s="143">
        <v>61445439</v>
      </c>
      <c r="I2984" s="452" t="s">
        <v>4980</v>
      </c>
      <c r="J2984" s="515" t="s">
        <v>753</v>
      </c>
      <c r="K2984" s="452" t="s">
        <v>741</v>
      </c>
      <c r="L2984" s="191"/>
      <c r="M2984" s="191"/>
      <c r="N2984" s="191"/>
      <c r="O2984" s="191"/>
    </row>
    <row r="2985" spans="1:15">
      <c r="A2985" s="515"/>
      <c r="B2985" s="1479" t="s">
        <v>7426</v>
      </c>
      <c r="C2985" s="1557">
        <v>754</v>
      </c>
      <c r="D2985" s="1366">
        <f t="shared" si="396"/>
        <v>1713.6363636363635</v>
      </c>
      <c r="E2985" s="215">
        <v>10</v>
      </c>
      <c r="F2985" s="511">
        <f t="shared" si="397"/>
        <v>1723.6999999999998</v>
      </c>
      <c r="G2985" s="1483" t="s">
        <v>7427</v>
      </c>
      <c r="H2985" s="143" t="s">
        <v>7428</v>
      </c>
      <c r="I2985" s="452" t="s">
        <v>4980</v>
      </c>
      <c r="J2985" s="515" t="s">
        <v>753</v>
      </c>
      <c r="K2985" s="452" t="s">
        <v>741</v>
      </c>
      <c r="L2985" s="191"/>
      <c r="M2985" s="191"/>
      <c r="N2985" s="191"/>
      <c r="O2985" s="191"/>
    </row>
    <row r="2986" spans="1:15">
      <c r="A2986" s="515"/>
      <c r="B2986" s="1558" t="s">
        <v>11589</v>
      </c>
      <c r="C2986" s="1557">
        <v>60</v>
      </c>
      <c r="D2986" s="1366">
        <f t="shared" si="396"/>
        <v>136.36363636363635</v>
      </c>
      <c r="E2986" s="215">
        <v>10</v>
      </c>
      <c r="F2986" s="511">
        <f t="shared" si="397"/>
        <v>146.4</v>
      </c>
      <c r="G2986" s="1483" t="s">
        <v>11590</v>
      </c>
      <c r="H2986" s="1558">
        <v>64739000</v>
      </c>
      <c r="I2986" s="452" t="s">
        <v>4980</v>
      </c>
      <c r="J2986" s="515" t="s">
        <v>753</v>
      </c>
      <c r="K2986" s="452" t="s">
        <v>741</v>
      </c>
      <c r="L2986" s="191"/>
      <c r="M2986" s="191"/>
      <c r="N2986" s="191"/>
      <c r="O2986" s="191"/>
    </row>
    <row r="2987" spans="1:15">
      <c r="A2987" s="515"/>
      <c r="B2987" s="1479" t="s">
        <v>4987</v>
      </c>
      <c r="C2987" s="1557">
        <v>48</v>
      </c>
      <c r="D2987" s="1366">
        <f t="shared" si="396"/>
        <v>109.09090909090908</v>
      </c>
      <c r="E2987" s="215">
        <v>10</v>
      </c>
      <c r="F2987" s="511">
        <f t="shared" si="397"/>
        <v>119.1</v>
      </c>
      <c r="G2987" s="1483" t="s">
        <v>7429</v>
      </c>
      <c r="H2987" s="143">
        <v>68829593</v>
      </c>
      <c r="I2987" s="452" t="s">
        <v>4980</v>
      </c>
      <c r="J2987" s="515" t="s">
        <v>753</v>
      </c>
      <c r="K2987" s="452" t="s">
        <v>741</v>
      </c>
      <c r="L2987" s="191"/>
      <c r="M2987" s="191"/>
      <c r="N2987" s="191"/>
      <c r="O2987" s="191"/>
    </row>
    <row r="2988" spans="1:15">
      <c r="A2988" s="515"/>
      <c r="B2988" s="1480" t="s">
        <v>7430</v>
      </c>
      <c r="C2988" s="962">
        <v>63</v>
      </c>
      <c r="D2988" s="1366">
        <f t="shared" si="396"/>
        <v>143.18181818181816</v>
      </c>
      <c r="E2988" s="215">
        <v>10</v>
      </c>
      <c r="F2988" s="511">
        <f t="shared" si="397"/>
        <v>153.19999999999999</v>
      </c>
      <c r="G2988" s="1483" t="s">
        <v>7431</v>
      </c>
      <c r="H2988" s="143">
        <v>68469881</v>
      </c>
      <c r="I2988" s="452" t="s">
        <v>4980</v>
      </c>
      <c r="J2988" s="515" t="s">
        <v>753</v>
      </c>
      <c r="K2988" s="452" t="s">
        <v>741</v>
      </c>
      <c r="L2988" s="191"/>
      <c r="M2988" s="191"/>
      <c r="N2988" s="191"/>
      <c r="O2988" s="191"/>
    </row>
    <row r="2989" spans="1:15">
      <c r="A2989" s="515"/>
      <c r="B2989" s="1480" t="s">
        <v>7415</v>
      </c>
      <c r="C2989" s="962">
        <v>189</v>
      </c>
      <c r="D2989" s="1366">
        <f t="shared" si="396"/>
        <v>429.5454545454545</v>
      </c>
      <c r="E2989" s="215">
        <v>10</v>
      </c>
      <c r="F2989" s="511">
        <f t="shared" si="397"/>
        <v>439.6</v>
      </c>
      <c r="G2989" s="1483" t="s">
        <v>7432</v>
      </c>
      <c r="H2989" s="143">
        <v>64532871</v>
      </c>
      <c r="I2989" s="452" t="s">
        <v>4980</v>
      </c>
      <c r="J2989" s="515" t="s">
        <v>753</v>
      </c>
      <c r="K2989" s="452" t="s">
        <v>741</v>
      </c>
      <c r="L2989" s="191"/>
      <c r="M2989" s="191"/>
      <c r="N2989" s="191"/>
      <c r="O2989" s="191"/>
    </row>
    <row r="2990" spans="1:15">
      <c r="A2990" s="515"/>
      <c r="B2990" s="1480" t="s">
        <v>7433</v>
      </c>
      <c r="C2990" s="962">
        <v>31</v>
      </c>
      <c r="D2990" s="1366">
        <f t="shared" si="396"/>
        <v>70.454545454545453</v>
      </c>
      <c r="E2990" s="215">
        <v>10</v>
      </c>
      <c r="F2990" s="511">
        <f t="shared" si="397"/>
        <v>80.5</v>
      </c>
      <c r="G2990" s="1483" t="s">
        <v>7434</v>
      </c>
      <c r="H2990" s="143">
        <v>68566282</v>
      </c>
      <c r="I2990" s="452" t="s">
        <v>4980</v>
      </c>
      <c r="J2990" s="515" t="s">
        <v>753</v>
      </c>
      <c r="K2990" s="452" t="s">
        <v>741</v>
      </c>
      <c r="L2990" s="191"/>
      <c r="M2990" s="191"/>
      <c r="N2990" s="191"/>
      <c r="O2990" s="191"/>
    </row>
    <row r="2991" spans="1:15">
      <c r="A2991" s="1481"/>
      <c r="B2991" s="1482" t="s">
        <v>11591</v>
      </c>
      <c r="C2991" s="962">
        <v>391</v>
      </c>
      <c r="D2991" s="1366">
        <f t="shared" si="396"/>
        <v>888.63636363636351</v>
      </c>
      <c r="E2991" s="215">
        <v>10</v>
      </c>
      <c r="F2991" s="511">
        <f t="shared" si="397"/>
        <v>898.7</v>
      </c>
      <c r="G2991" s="1483" t="s">
        <v>11592</v>
      </c>
      <c r="H2991" s="143">
        <v>68469422</v>
      </c>
      <c r="I2991" s="452" t="s">
        <v>4980</v>
      </c>
      <c r="J2991" s="515" t="s">
        <v>753</v>
      </c>
      <c r="K2991" s="452" t="s">
        <v>741</v>
      </c>
      <c r="L2991" s="191"/>
      <c r="M2991" s="191"/>
      <c r="N2991" s="191"/>
      <c r="O2991" s="191"/>
    </row>
    <row r="2992" spans="1:15">
      <c r="A2992" s="515"/>
      <c r="B2992" s="144"/>
      <c r="C2992" s="196"/>
      <c r="D2992" s="230"/>
      <c r="E2992" s="215"/>
      <c r="F2992" s="511"/>
      <c r="G2992" s="518"/>
      <c r="H2992" s="143"/>
      <c r="I2992" s="452"/>
      <c r="J2992" s="515"/>
      <c r="K2992" s="452"/>
      <c r="L2992" s="191"/>
      <c r="M2992" s="191"/>
      <c r="N2992" s="191"/>
      <c r="O2992" s="191"/>
    </row>
    <row r="2993" spans="1:15">
      <c r="A2993" s="515"/>
      <c r="B2993" s="1461" t="s">
        <v>7435</v>
      </c>
      <c r="C2993" s="1557">
        <v>1606</v>
      </c>
      <c r="D2993" s="1366">
        <f t="shared" ref="D2993:D3002" si="398">C2993*(1-VLOOKUP(I2993,descuentos,6,FALSE))*fcl</f>
        <v>3649.9999999999995</v>
      </c>
      <c r="E2993" s="215">
        <v>100</v>
      </c>
      <c r="F2993" s="511">
        <f t="shared" ref="F2993:F3002" si="399">ROUNDUP(D2993+E2993,1)</f>
        <v>3750</v>
      </c>
      <c r="G2993" s="518" t="s">
        <v>9191</v>
      </c>
      <c r="H2993" s="143" t="s">
        <v>7436</v>
      </c>
      <c r="I2993" s="452" t="s">
        <v>4980</v>
      </c>
      <c r="J2993" s="515" t="s">
        <v>753</v>
      </c>
      <c r="K2993" s="452" t="s">
        <v>741</v>
      </c>
      <c r="L2993" s="191"/>
      <c r="M2993" s="191"/>
      <c r="N2993" s="191"/>
      <c r="O2993" s="191"/>
    </row>
    <row r="2994" spans="1:15">
      <c r="A2994" s="515"/>
      <c r="B2994" s="1461" t="s">
        <v>7424</v>
      </c>
      <c r="C2994" s="1557">
        <v>506</v>
      </c>
      <c r="D2994" s="1366">
        <f t="shared" si="398"/>
        <v>1149.9999999999998</v>
      </c>
      <c r="E2994" s="215">
        <v>10</v>
      </c>
      <c r="F2994" s="511">
        <f t="shared" si="399"/>
        <v>1160</v>
      </c>
      <c r="G2994" s="1483" t="s">
        <v>7425</v>
      </c>
      <c r="H2994" s="143">
        <v>68711266</v>
      </c>
      <c r="I2994" s="452" t="s">
        <v>4980</v>
      </c>
      <c r="J2994" s="515" t="s">
        <v>753</v>
      </c>
      <c r="K2994" s="452" t="s">
        <v>741</v>
      </c>
      <c r="L2994" s="191"/>
      <c r="M2994" s="191"/>
      <c r="N2994" s="191"/>
      <c r="O2994" s="191"/>
    </row>
    <row r="2995" spans="1:15">
      <c r="A2995" s="515"/>
      <c r="B2995" s="1479" t="s">
        <v>4983</v>
      </c>
      <c r="C2995" s="1557">
        <v>673</v>
      </c>
      <c r="D2995" s="1366">
        <f t="shared" si="398"/>
        <v>1529.5454545454543</v>
      </c>
      <c r="E2995" s="215">
        <v>10</v>
      </c>
      <c r="F2995" s="511">
        <f t="shared" si="399"/>
        <v>1539.6</v>
      </c>
      <c r="G2995" s="1483" t="s">
        <v>4984</v>
      </c>
      <c r="H2995" s="143">
        <v>61445439</v>
      </c>
      <c r="I2995" s="452" t="s">
        <v>4980</v>
      </c>
      <c r="J2995" s="515" t="s">
        <v>753</v>
      </c>
      <c r="K2995" s="452" t="s">
        <v>741</v>
      </c>
      <c r="L2995" s="191"/>
      <c r="M2995" s="191"/>
      <c r="N2995" s="191"/>
      <c r="O2995" s="191"/>
    </row>
    <row r="2996" spans="1:15">
      <c r="A2996" s="1481"/>
      <c r="B2996" s="1479" t="s">
        <v>7426</v>
      </c>
      <c r="C2996" s="1557">
        <v>754</v>
      </c>
      <c r="D2996" s="1366">
        <f t="shared" si="398"/>
        <v>1713.6363636363635</v>
      </c>
      <c r="E2996" s="215">
        <v>10</v>
      </c>
      <c r="F2996" s="511">
        <f t="shared" si="399"/>
        <v>1723.6999999999998</v>
      </c>
      <c r="G2996" s="518" t="s">
        <v>7427</v>
      </c>
      <c r="H2996" s="143" t="s">
        <v>7428</v>
      </c>
      <c r="I2996" s="452" t="s">
        <v>4980</v>
      </c>
      <c r="J2996" s="515" t="s">
        <v>753</v>
      </c>
      <c r="K2996" s="452" t="s">
        <v>741</v>
      </c>
      <c r="L2996" s="191"/>
      <c r="M2996" s="191"/>
      <c r="N2996" s="191"/>
      <c r="O2996" s="191"/>
    </row>
    <row r="2997" spans="1:15">
      <c r="A2997" s="515"/>
      <c r="B2997" s="1558" t="s">
        <v>11589</v>
      </c>
      <c r="C2997" s="1557">
        <v>60</v>
      </c>
      <c r="D2997" s="1366">
        <f t="shared" si="398"/>
        <v>136.36363636363635</v>
      </c>
      <c r="E2997" s="215">
        <v>10</v>
      </c>
      <c r="F2997" s="511">
        <f t="shared" si="399"/>
        <v>146.4</v>
      </c>
      <c r="G2997" s="1483" t="s">
        <v>11590</v>
      </c>
      <c r="H2997" s="1558">
        <v>64739000</v>
      </c>
      <c r="I2997" s="452" t="s">
        <v>4980</v>
      </c>
      <c r="J2997" s="515" t="s">
        <v>753</v>
      </c>
      <c r="K2997" s="452" t="s">
        <v>741</v>
      </c>
      <c r="L2997" s="191"/>
      <c r="M2997" s="191"/>
      <c r="N2997" s="191"/>
      <c r="O2997" s="191"/>
    </row>
    <row r="2998" spans="1:15">
      <c r="A2998" s="515"/>
      <c r="B2998" s="1479" t="s">
        <v>4987</v>
      </c>
      <c r="C2998" s="1557">
        <v>48</v>
      </c>
      <c r="D2998" s="1366">
        <f t="shared" si="398"/>
        <v>109.09090909090908</v>
      </c>
      <c r="E2998" s="215">
        <v>10</v>
      </c>
      <c r="F2998" s="511">
        <f t="shared" si="399"/>
        <v>119.1</v>
      </c>
      <c r="G2998" s="1483" t="s">
        <v>7429</v>
      </c>
      <c r="H2998" s="143">
        <v>68829593</v>
      </c>
      <c r="I2998" s="452" t="s">
        <v>4980</v>
      </c>
      <c r="J2998" s="515" t="s">
        <v>753</v>
      </c>
      <c r="K2998" s="452" t="s">
        <v>741</v>
      </c>
      <c r="L2998" s="191"/>
      <c r="M2998" s="191"/>
      <c r="N2998" s="191"/>
      <c r="O2998" s="191"/>
    </row>
    <row r="2999" spans="1:15">
      <c r="A2999" s="1481"/>
      <c r="B2999" s="1480" t="s">
        <v>7430</v>
      </c>
      <c r="C2999" s="962">
        <v>63</v>
      </c>
      <c r="D2999" s="1366">
        <f t="shared" si="398"/>
        <v>143.18181818181816</v>
      </c>
      <c r="E2999" s="215">
        <v>10</v>
      </c>
      <c r="F2999" s="511">
        <f t="shared" si="399"/>
        <v>153.19999999999999</v>
      </c>
      <c r="G2999" s="1483" t="s">
        <v>7431</v>
      </c>
      <c r="H2999" s="143">
        <v>68469881</v>
      </c>
      <c r="I2999" s="452" t="s">
        <v>4980</v>
      </c>
      <c r="J2999" s="515" t="s">
        <v>753</v>
      </c>
      <c r="K2999" s="452" t="s">
        <v>741</v>
      </c>
      <c r="L2999" s="191"/>
      <c r="M2999" s="191"/>
      <c r="N2999" s="191"/>
      <c r="O2999" s="191"/>
    </row>
    <row r="3000" spans="1:15">
      <c r="A3000" s="1481"/>
      <c r="B3000" s="1480" t="s">
        <v>7415</v>
      </c>
      <c r="C3000" s="962">
        <v>189</v>
      </c>
      <c r="D3000" s="1366">
        <f t="shared" si="398"/>
        <v>429.5454545454545</v>
      </c>
      <c r="E3000" s="215">
        <v>10</v>
      </c>
      <c r="F3000" s="511">
        <f t="shared" si="399"/>
        <v>439.6</v>
      </c>
      <c r="G3000" s="1483" t="s">
        <v>7432</v>
      </c>
      <c r="H3000" s="143">
        <v>64532871</v>
      </c>
      <c r="I3000" s="452" t="s">
        <v>4980</v>
      </c>
      <c r="J3000" s="515" t="s">
        <v>753</v>
      </c>
      <c r="K3000" s="452" t="s">
        <v>741</v>
      </c>
      <c r="L3000" s="191"/>
      <c r="M3000" s="191"/>
      <c r="N3000" s="191"/>
      <c r="O3000" s="191"/>
    </row>
    <row r="3001" spans="1:15">
      <c r="A3001" s="1481"/>
      <c r="B3001" s="1480" t="s">
        <v>7433</v>
      </c>
      <c r="C3001" s="962">
        <v>31</v>
      </c>
      <c r="D3001" s="1366">
        <f t="shared" si="398"/>
        <v>70.454545454545453</v>
      </c>
      <c r="E3001" s="215">
        <v>10</v>
      </c>
      <c r="F3001" s="511">
        <f t="shared" si="399"/>
        <v>80.5</v>
      </c>
      <c r="G3001" s="1483" t="s">
        <v>7434</v>
      </c>
      <c r="H3001" s="143">
        <v>68566282</v>
      </c>
      <c r="I3001" s="452" t="s">
        <v>4980</v>
      </c>
      <c r="J3001" s="515" t="s">
        <v>753</v>
      </c>
      <c r="K3001" s="452" t="s">
        <v>741</v>
      </c>
      <c r="L3001" s="191"/>
      <c r="M3001" s="191"/>
      <c r="N3001" s="191"/>
      <c r="O3001" s="191"/>
    </row>
    <row r="3002" spans="1:15">
      <c r="A3002" s="1481"/>
      <c r="B3002" s="1482" t="s">
        <v>11591</v>
      </c>
      <c r="C3002" s="962">
        <v>391</v>
      </c>
      <c r="D3002" s="1366">
        <f t="shared" si="398"/>
        <v>888.63636363636351</v>
      </c>
      <c r="E3002" s="215">
        <v>10</v>
      </c>
      <c r="F3002" s="511">
        <f t="shared" si="399"/>
        <v>898.7</v>
      </c>
      <c r="G3002" s="1483" t="s">
        <v>11592</v>
      </c>
      <c r="H3002" s="143">
        <v>68469422</v>
      </c>
      <c r="I3002" s="452" t="s">
        <v>4980</v>
      </c>
      <c r="J3002" s="515" t="s">
        <v>753</v>
      </c>
      <c r="K3002" s="452" t="s">
        <v>741</v>
      </c>
      <c r="L3002" s="191"/>
      <c r="M3002" s="191"/>
      <c r="N3002" s="191"/>
      <c r="O3002" s="191"/>
    </row>
    <row r="3003" spans="1:15">
      <c r="A3003" s="515"/>
      <c r="B3003" s="144"/>
      <c r="C3003" s="196"/>
      <c r="D3003" s="1484"/>
      <c r="E3003" s="215"/>
      <c r="F3003" s="511"/>
      <c r="G3003" s="518"/>
      <c r="H3003" s="143"/>
      <c r="I3003" s="452"/>
      <c r="J3003" s="515"/>
      <c r="K3003" s="452"/>
      <c r="L3003" s="191"/>
      <c r="M3003" s="191"/>
      <c r="N3003" s="191"/>
      <c r="O3003" s="191"/>
    </row>
    <row r="3004" spans="1:15">
      <c r="A3004" s="1481"/>
      <c r="B3004" s="1461" t="s">
        <v>7437</v>
      </c>
      <c r="C3004" s="1557">
        <v>1380</v>
      </c>
      <c r="D3004" s="1366">
        <f t="shared" ref="D3004:D3012" si="400">C3004*(1-VLOOKUP(I3004,descuentos,6,FALSE))*fcl</f>
        <v>3136.363636363636</v>
      </c>
      <c r="E3004" s="215">
        <v>100</v>
      </c>
      <c r="F3004" s="511">
        <f t="shared" ref="F3004:F3013" si="401">ROUNDUP(D3004+E3004,1)</f>
        <v>3236.4</v>
      </c>
      <c r="G3004" s="518" t="s">
        <v>9192</v>
      </c>
      <c r="H3004" s="143" t="s">
        <v>7438</v>
      </c>
      <c r="I3004" s="452" t="s">
        <v>4980</v>
      </c>
      <c r="J3004" s="515" t="s">
        <v>753</v>
      </c>
      <c r="K3004" s="452" t="s">
        <v>741</v>
      </c>
      <c r="L3004" s="191"/>
      <c r="M3004" s="191"/>
      <c r="N3004" s="191"/>
      <c r="O3004" s="191"/>
    </row>
    <row r="3005" spans="1:15">
      <c r="A3005" s="1481"/>
      <c r="B3005" s="1461" t="s">
        <v>7439</v>
      </c>
      <c r="C3005" s="1557">
        <v>405</v>
      </c>
      <c r="D3005" s="1366">
        <f t="shared" si="400"/>
        <v>920.45454545454538</v>
      </c>
      <c r="E3005" s="215">
        <v>10</v>
      </c>
      <c r="F3005" s="511">
        <f t="shared" si="401"/>
        <v>930.5</v>
      </c>
      <c r="G3005" s="518" t="s">
        <v>7440</v>
      </c>
      <c r="H3005" s="143">
        <v>68711240</v>
      </c>
      <c r="I3005" s="452" t="s">
        <v>4980</v>
      </c>
      <c r="J3005" s="515" t="s">
        <v>753</v>
      </c>
      <c r="K3005" s="452" t="s">
        <v>741</v>
      </c>
      <c r="L3005" s="191"/>
      <c r="M3005" s="191"/>
      <c r="N3005" s="191"/>
      <c r="O3005" s="191"/>
    </row>
    <row r="3006" spans="1:15">
      <c r="A3006" s="1481"/>
      <c r="B3006" s="1479" t="s">
        <v>4983</v>
      </c>
      <c r="C3006" s="1557">
        <v>673</v>
      </c>
      <c r="D3006" s="1366">
        <f t="shared" si="400"/>
        <v>1529.5454545454543</v>
      </c>
      <c r="E3006" s="215">
        <v>10</v>
      </c>
      <c r="F3006" s="511">
        <f t="shared" si="401"/>
        <v>1539.6</v>
      </c>
      <c r="G3006" s="518" t="s">
        <v>4984</v>
      </c>
      <c r="H3006" s="143">
        <v>61445439</v>
      </c>
      <c r="I3006" s="452" t="s">
        <v>4980</v>
      </c>
      <c r="J3006" s="515" t="s">
        <v>753</v>
      </c>
      <c r="K3006" s="452" t="s">
        <v>741</v>
      </c>
      <c r="L3006" s="191"/>
      <c r="M3006" s="191"/>
      <c r="N3006" s="191"/>
      <c r="O3006" s="191"/>
    </row>
    <row r="3007" spans="1:15">
      <c r="A3007" s="1481"/>
      <c r="B3007" s="1479" t="s">
        <v>7426</v>
      </c>
      <c r="C3007" s="1557">
        <v>754</v>
      </c>
      <c r="D3007" s="1366">
        <f t="shared" si="400"/>
        <v>1713.6363636363635</v>
      </c>
      <c r="E3007" s="215">
        <v>10</v>
      </c>
      <c r="F3007" s="511">
        <f t="shared" si="401"/>
        <v>1723.6999999999998</v>
      </c>
      <c r="G3007" s="518" t="s">
        <v>7427</v>
      </c>
      <c r="H3007" s="143" t="s">
        <v>7428</v>
      </c>
      <c r="I3007" s="452" t="s">
        <v>4980</v>
      </c>
      <c r="J3007" s="515" t="s">
        <v>753</v>
      </c>
      <c r="K3007" s="452" t="s">
        <v>741</v>
      </c>
      <c r="L3007" s="191"/>
      <c r="M3007" s="191"/>
      <c r="N3007" s="191"/>
      <c r="O3007" s="191"/>
    </row>
    <row r="3008" spans="1:15">
      <c r="A3008" s="1481"/>
      <c r="B3008" s="1558" t="s">
        <v>11589</v>
      </c>
      <c r="C3008" s="1557">
        <v>60</v>
      </c>
      <c r="D3008" s="1366">
        <f t="shared" si="400"/>
        <v>136.36363636363635</v>
      </c>
      <c r="E3008" s="215">
        <v>10</v>
      </c>
      <c r="F3008" s="511">
        <f t="shared" si="401"/>
        <v>146.4</v>
      </c>
      <c r="G3008" s="518" t="s">
        <v>11590</v>
      </c>
      <c r="H3008" s="1558">
        <v>64739000</v>
      </c>
      <c r="I3008" s="452" t="s">
        <v>4980</v>
      </c>
      <c r="J3008" s="515" t="s">
        <v>753</v>
      </c>
      <c r="K3008" s="452" t="s">
        <v>741</v>
      </c>
      <c r="L3008" s="191"/>
      <c r="M3008" s="191"/>
      <c r="N3008" s="191"/>
      <c r="O3008" s="191"/>
    </row>
    <row r="3009" spans="1:15">
      <c r="A3009" s="1481"/>
      <c r="B3009" s="1479" t="s">
        <v>4987</v>
      </c>
      <c r="C3009" s="1557">
        <v>48</v>
      </c>
      <c r="D3009" s="1366">
        <f t="shared" si="400"/>
        <v>109.09090909090908</v>
      </c>
      <c r="E3009" s="215">
        <v>10</v>
      </c>
      <c r="F3009" s="511">
        <f t="shared" si="401"/>
        <v>119.1</v>
      </c>
      <c r="G3009" s="518" t="s">
        <v>7429</v>
      </c>
      <c r="H3009" s="143">
        <v>68829593</v>
      </c>
      <c r="I3009" s="452" t="s">
        <v>4980</v>
      </c>
      <c r="J3009" s="515" t="s">
        <v>753</v>
      </c>
      <c r="K3009" s="452" t="s">
        <v>741</v>
      </c>
      <c r="L3009" s="191"/>
      <c r="M3009" s="191"/>
      <c r="N3009" s="191"/>
      <c r="O3009" s="191"/>
    </row>
    <row r="3010" spans="1:15">
      <c r="A3010" s="1481"/>
      <c r="B3010" s="1480" t="s">
        <v>7430</v>
      </c>
      <c r="C3010" s="962">
        <v>63</v>
      </c>
      <c r="D3010" s="1366">
        <f t="shared" si="400"/>
        <v>143.18181818181816</v>
      </c>
      <c r="E3010" s="215">
        <v>10</v>
      </c>
      <c r="F3010" s="511">
        <f t="shared" si="401"/>
        <v>153.19999999999999</v>
      </c>
      <c r="G3010" s="518" t="s">
        <v>7431</v>
      </c>
      <c r="H3010" s="143">
        <v>68469881</v>
      </c>
      <c r="I3010" s="452" t="s">
        <v>4980</v>
      </c>
      <c r="J3010" s="515" t="s">
        <v>753</v>
      </c>
      <c r="K3010" s="452" t="s">
        <v>741</v>
      </c>
      <c r="L3010" s="191"/>
      <c r="M3010" s="191"/>
      <c r="N3010" s="191"/>
      <c r="O3010" s="191"/>
    </row>
    <row r="3011" spans="1:15">
      <c r="A3011" s="1481"/>
      <c r="B3011" s="1480" t="s">
        <v>7415</v>
      </c>
      <c r="C3011" s="962">
        <v>189</v>
      </c>
      <c r="D3011" s="1366">
        <f t="shared" si="400"/>
        <v>429.5454545454545</v>
      </c>
      <c r="E3011" s="215">
        <v>10</v>
      </c>
      <c r="F3011" s="511">
        <f t="shared" si="401"/>
        <v>439.6</v>
      </c>
      <c r="G3011" s="518" t="s">
        <v>7432</v>
      </c>
      <c r="H3011" s="143">
        <v>64532871</v>
      </c>
      <c r="I3011" s="452" t="s">
        <v>4980</v>
      </c>
      <c r="J3011" s="515" t="s">
        <v>753</v>
      </c>
      <c r="K3011" s="452" t="s">
        <v>741</v>
      </c>
      <c r="L3011" s="191"/>
      <c r="M3011" s="191"/>
      <c r="N3011" s="191"/>
      <c r="O3011" s="191"/>
    </row>
    <row r="3012" spans="1:15">
      <c r="A3012" s="1481"/>
      <c r="B3012" s="1480" t="s">
        <v>7433</v>
      </c>
      <c r="C3012" s="962">
        <v>31</v>
      </c>
      <c r="D3012" s="1366">
        <f t="shared" si="400"/>
        <v>70.454545454545453</v>
      </c>
      <c r="E3012" s="215">
        <v>10</v>
      </c>
      <c r="F3012" s="511">
        <f t="shared" si="401"/>
        <v>80.5</v>
      </c>
      <c r="G3012" s="518" t="s">
        <v>7434</v>
      </c>
      <c r="H3012" s="143">
        <v>68566282</v>
      </c>
      <c r="I3012" s="452" t="s">
        <v>4980</v>
      </c>
      <c r="J3012" s="515" t="s">
        <v>753</v>
      </c>
      <c r="K3012" s="452" t="s">
        <v>741</v>
      </c>
      <c r="L3012" s="191"/>
      <c r="M3012" s="191"/>
      <c r="N3012" s="191"/>
      <c r="O3012" s="191"/>
    </row>
    <row r="3013" spans="1:15">
      <c r="A3013" s="1481"/>
      <c r="B3013" s="1482" t="s">
        <v>11591</v>
      </c>
      <c r="C3013" s="962">
        <v>391</v>
      </c>
      <c r="D3013" s="1366">
        <f>C3013*(1-VLOOKUP(I3013,descuentos,6,FALSE))*fcl</f>
        <v>888.63636363636351</v>
      </c>
      <c r="E3013" s="215">
        <v>10</v>
      </c>
      <c r="F3013" s="511">
        <f t="shared" si="401"/>
        <v>898.7</v>
      </c>
      <c r="G3013" s="518" t="s">
        <v>11592</v>
      </c>
      <c r="H3013" s="143">
        <v>68469422</v>
      </c>
      <c r="I3013" s="452" t="s">
        <v>4980</v>
      </c>
      <c r="J3013" s="515" t="s">
        <v>753</v>
      </c>
      <c r="K3013" s="452" t="s">
        <v>741</v>
      </c>
      <c r="L3013" s="191"/>
      <c r="M3013" s="191"/>
      <c r="N3013" s="191"/>
      <c r="O3013" s="191"/>
    </row>
    <row r="3014" spans="1:15">
      <c r="A3014" s="515"/>
      <c r="B3014" s="144"/>
      <c r="C3014" s="196"/>
      <c r="D3014" s="1484"/>
      <c r="E3014" s="215"/>
      <c r="F3014" s="511"/>
      <c r="G3014" s="518"/>
      <c r="H3014" s="143"/>
      <c r="I3014" s="452"/>
      <c r="J3014" s="515"/>
      <c r="K3014" s="452"/>
      <c r="L3014" s="191"/>
      <c r="M3014" s="191"/>
      <c r="N3014" s="191"/>
      <c r="O3014" s="191"/>
    </row>
    <row r="3015" spans="1:15">
      <c r="A3015" s="515"/>
      <c r="B3015" s="144" t="s">
        <v>4978</v>
      </c>
      <c r="C3015" s="1557">
        <v>1052</v>
      </c>
      <c r="D3015" s="1366">
        <f t="shared" ref="D3015:D3033" si="402">C3015*(1-VLOOKUP(I3015,descuentos,6,FALSE))*fcl</f>
        <v>2390.9090909090905</v>
      </c>
      <c r="E3015" s="215">
        <v>100</v>
      </c>
      <c r="F3015" s="511">
        <f t="shared" ref="F3015:F3033" si="403">ROUNDUP(D3015+E3015,1)</f>
        <v>2491</v>
      </c>
      <c r="G3015" s="518" t="s">
        <v>9193</v>
      </c>
      <c r="H3015" s="143" t="s">
        <v>4979</v>
      </c>
      <c r="I3015" s="452" t="s">
        <v>4980</v>
      </c>
      <c r="J3015" s="515" t="s">
        <v>753</v>
      </c>
      <c r="K3015" s="452" t="s">
        <v>741</v>
      </c>
      <c r="L3015" s="191"/>
      <c r="M3015" s="191"/>
      <c r="N3015" s="191"/>
      <c r="O3015" s="191"/>
    </row>
    <row r="3016" spans="1:15">
      <c r="A3016" s="515"/>
      <c r="B3016" s="144" t="s">
        <v>4981</v>
      </c>
      <c r="C3016" s="1557">
        <v>241</v>
      </c>
      <c r="D3016" s="1366">
        <f t="shared" si="402"/>
        <v>547.72727272727263</v>
      </c>
      <c r="E3016" s="215">
        <v>10</v>
      </c>
      <c r="F3016" s="511">
        <f t="shared" si="403"/>
        <v>557.80000000000007</v>
      </c>
      <c r="G3016" s="518" t="s">
        <v>4982</v>
      </c>
      <c r="H3016" s="143">
        <v>68711231</v>
      </c>
      <c r="I3016" s="452" t="s">
        <v>4980</v>
      </c>
      <c r="J3016" s="515" t="s">
        <v>753</v>
      </c>
      <c r="K3016" s="452" t="s">
        <v>741</v>
      </c>
      <c r="L3016" s="191"/>
      <c r="M3016" s="191"/>
      <c r="N3016" s="191"/>
      <c r="O3016" s="191"/>
    </row>
    <row r="3017" spans="1:15">
      <c r="A3017" s="515"/>
      <c r="B3017" s="143" t="s">
        <v>4983</v>
      </c>
      <c r="C3017" s="1557">
        <v>673</v>
      </c>
      <c r="D3017" s="1366">
        <f t="shared" si="402"/>
        <v>1529.5454545454543</v>
      </c>
      <c r="E3017" s="215">
        <v>10</v>
      </c>
      <c r="F3017" s="511">
        <f t="shared" si="403"/>
        <v>1539.6</v>
      </c>
      <c r="G3017" s="518" t="s">
        <v>4984</v>
      </c>
      <c r="H3017" s="143">
        <v>61445439</v>
      </c>
      <c r="I3017" s="452" t="s">
        <v>4980</v>
      </c>
      <c r="J3017" s="515" t="s">
        <v>753</v>
      </c>
      <c r="K3017" s="452" t="s">
        <v>741</v>
      </c>
      <c r="L3017" s="191"/>
      <c r="M3017" s="191"/>
      <c r="N3017" s="191"/>
      <c r="O3017" s="191"/>
    </row>
    <row r="3018" spans="1:15">
      <c r="A3018" s="515"/>
      <c r="B3018" s="143" t="s">
        <v>4985</v>
      </c>
      <c r="C3018" s="1557">
        <v>336</v>
      </c>
      <c r="D3018" s="1366">
        <f t="shared" si="402"/>
        <v>763.63636363636351</v>
      </c>
      <c r="E3018" s="215">
        <v>10</v>
      </c>
      <c r="F3018" s="511">
        <f t="shared" si="403"/>
        <v>773.7</v>
      </c>
      <c r="G3018" s="518" t="s">
        <v>4986</v>
      </c>
      <c r="H3018" s="143">
        <v>68897921</v>
      </c>
      <c r="I3018" s="452" t="s">
        <v>4980</v>
      </c>
      <c r="J3018" s="515" t="s">
        <v>753</v>
      </c>
      <c r="K3018" s="452" t="s">
        <v>741</v>
      </c>
      <c r="L3018" s="191"/>
      <c r="M3018" s="191"/>
      <c r="N3018" s="191"/>
      <c r="O3018" s="191"/>
    </row>
    <row r="3019" spans="1:15">
      <c r="A3019" s="515"/>
      <c r="B3019" s="1558" t="s">
        <v>11589</v>
      </c>
      <c r="C3019" s="1557">
        <v>60</v>
      </c>
      <c r="D3019" s="1366">
        <f t="shared" si="402"/>
        <v>136.36363636363635</v>
      </c>
      <c r="E3019" s="215">
        <v>10</v>
      </c>
      <c r="F3019" s="511">
        <f t="shared" si="403"/>
        <v>146.4</v>
      </c>
      <c r="G3019" s="518" t="s">
        <v>11590</v>
      </c>
      <c r="H3019" s="1558">
        <v>64739000</v>
      </c>
      <c r="I3019" s="452" t="s">
        <v>4980</v>
      </c>
      <c r="J3019" s="515" t="s">
        <v>753</v>
      </c>
      <c r="K3019" s="452" t="s">
        <v>741</v>
      </c>
      <c r="L3019" s="191"/>
      <c r="M3019" s="191"/>
      <c r="N3019" s="191"/>
      <c r="O3019" s="191"/>
    </row>
    <row r="3020" spans="1:15">
      <c r="A3020" s="515"/>
      <c r="B3020" s="143" t="s">
        <v>4987</v>
      </c>
      <c r="C3020" s="1557">
        <v>48</v>
      </c>
      <c r="D3020" s="1366">
        <f t="shared" si="402"/>
        <v>109.09090909090908</v>
      </c>
      <c r="E3020" s="215">
        <v>10</v>
      </c>
      <c r="F3020" s="511">
        <f t="shared" si="403"/>
        <v>119.1</v>
      </c>
      <c r="G3020" s="518" t="s">
        <v>7429</v>
      </c>
      <c r="H3020" s="143">
        <v>68829593</v>
      </c>
      <c r="I3020" s="452" t="s">
        <v>4980</v>
      </c>
      <c r="J3020" s="515" t="s">
        <v>753</v>
      </c>
      <c r="K3020" s="452" t="s">
        <v>741</v>
      </c>
      <c r="L3020" s="191"/>
      <c r="M3020" s="191"/>
      <c r="N3020" s="191"/>
      <c r="O3020" s="191"/>
    </row>
    <row r="3021" spans="1:15">
      <c r="A3021" s="1481"/>
      <c r="B3021" s="1480" t="s">
        <v>7430</v>
      </c>
      <c r="C3021" s="962">
        <v>63</v>
      </c>
      <c r="D3021" s="1366">
        <f>C3021*(1-VLOOKUP(I3021,descuentos,6,FALSE))*fcl</f>
        <v>143.18181818181816</v>
      </c>
      <c r="E3021" s="215">
        <v>10</v>
      </c>
      <c r="F3021" s="511">
        <f t="shared" si="403"/>
        <v>153.19999999999999</v>
      </c>
      <c r="G3021" s="518" t="s">
        <v>7431</v>
      </c>
      <c r="H3021" s="143">
        <v>68469881</v>
      </c>
      <c r="I3021" s="452" t="s">
        <v>4980</v>
      </c>
      <c r="J3021" s="515" t="s">
        <v>753</v>
      </c>
      <c r="K3021" s="452" t="s">
        <v>741</v>
      </c>
      <c r="L3021" s="191"/>
      <c r="M3021" s="191"/>
      <c r="N3021" s="191"/>
      <c r="O3021" s="191"/>
    </row>
    <row r="3022" spans="1:15">
      <c r="A3022" s="1481"/>
      <c r="B3022" s="1480" t="s">
        <v>7415</v>
      </c>
      <c r="C3022" s="962">
        <v>189</v>
      </c>
      <c r="D3022" s="1366">
        <f>C3022*(1-VLOOKUP(I3022,descuentos,6,FALSE))*fcl</f>
        <v>429.5454545454545</v>
      </c>
      <c r="E3022" s="215">
        <v>10</v>
      </c>
      <c r="F3022" s="511">
        <f t="shared" si="403"/>
        <v>439.6</v>
      </c>
      <c r="G3022" s="518" t="s">
        <v>7432</v>
      </c>
      <c r="H3022" s="143">
        <v>64532871</v>
      </c>
      <c r="I3022" s="452" t="s">
        <v>4980</v>
      </c>
      <c r="J3022" s="515" t="s">
        <v>753</v>
      </c>
      <c r="K3022" s="452" t="s">
        <v>741</v>
      </c>
      <c r="L3022" s="191"/>
      <c r="M3022" s="191"/>
      <c r="N3022" s="191"/>
      <c r="O3022" s="191"/>
    </row>
    <row r="3023" spans="1:15">
      <c r="A3023" s="1481"/>
      <c r="B3023" s="1480" t="s">
        <v>7433</v>
      </c>
      <c r="C3023" s="962">
        <v>31</v>
      </c>
      <c r="D3023" s="1366">
        <f>C3023*(1-VLOOKUP(I3023,descuentos,6,FALSE))*fcl</f>
        <v>70.454545454545453</v>
      </c>
      <c r="E3023" s="215">
        <v>10</v>
      </c>
      <c r="F3023" s="511">
        <f t="shared" si="403"/>
        <v>80.5</v>
      </c>
      <c r="G3023" s="518" t="s">
        <v>7434</v>
      </c>
      <c r="H3023" s="143">
        <v>68566282</v>
      </c>
      <c r="I3023" s="452" t="s">
        <v>4980</v>
      </c>
      <c r="J3023" s="515" t="s">
        <v>753</v>
      </c>
      <c r="K3023" s="452" t="s">
        <v>741</v>
      </c>
      <c r="L3023" s="191"/>
      <c r="M3023" s="191"/>
      <c r="N3023" s="191"/>
      <c r="O3023" s="191"/>
    </row>
    <row r="3024" spans="1:15">
      <c r="A3024" s="515"/>
      <c r="B3024" s="144"/>
      <c r="C3024" s="196"/>
      <c r="D3024" s="1484"/>
      <c r="E3024" s="215"/>
      <c r="F3024" s="511"/>
      <c r="G3024" s="518"/>
      <c r="H3024" s="143"/>
      <c r="I3024" s="452"/>
      <c r="J3024" s="515"/>
      <c r="K3024" s="452"/>
      <c r="L3024" s="191"/>
      <c r="M3024" s="191"/>
      <c r="N3024" s="191"/>
      <c r="O3024" s="191"/>
    </row>
    <row r="3025" spans="1:15">
      <c r="A3025" s="515"/>
      <c r="B3025" s="144" t="s">
        <v>7441</v>
      </c>
      <c r="C3025" s="962">
        <v>887</v>
      </c>
      <c r="D3025" s="1366">
        <f t="shared" si="402"/>
        <v>2015.9090909090908</v>
      </c>
      <c r="E3025" s="215">
        <v>100</v>
      </c>
      <c r="F3025" s="511">
        <f t="shared" si="403"/>
        <v>2116</v>
      </c>
      <c r="G3025" s="518" t="s">
        <v>9194</v>
      </c>
      <c r="H3025" s="143" t="s">
        <v>7442</v>
      </c>
      <c r="I3025" s="452" t="s">
        <v>4980</v>
      </c>
      <c r="J3025" s="515" t="s">
        <v>753</v>
      </c>
      <c r="K3025" s="452" t="s">
        <v>741</v>
      </c>
      <c r="L3025" s="191"/>
      <c r="M3025" s="191"/>
      <c r="N3025" s="191"/>
      <c r="O3025" s="191"/>
    </row>
    <row r="3026" spans="1:15">
      <c r="A3026" s="515"/>
      <c r="B3026" s="144" t="s">
        <v>4981</v>
      </c>
      <c r="C3026" s="1557">
        <v>241</v>
      </c>
      <c r="D3026" s="1366">
        <f t="shared" si="402"/>
        <v>547.72727272727263</v>
      </c>
      <c r="E3026" s="215">
        <v>10</v>
      </c>
      <c r="F3026" s="511">
        <f t="shared" si="403"/>
        <v>557.80000000000007</v>
      </c>
      <c r="G3026" s="518" t="s">
        <v>4982</v>
      </c>
      <c r="H3026" s="143">
        <v>68711231</v>
      </c>
      <c r="I3026" s="452" t="s">
        <v>4980</v>
      </c>
      <c r="J3026" s="515" t="s">
        <v>753</v>
      </c>
      <c r="K3026" s="452" t="s">
        <v>741</v>
      </c>
      <c r="L3026" s="191"/>
      <c r="M3026" s="191"/>
      <c r="N3026" s="191"/>
      <c r="O3026" s="191"/>
    </row>
    <row r="3027" spans="1:15">
      <c r="A3027" s="515"/>
      <c r="B3027" s="143" t="s">
        <v>4992</v>
      </c>
      <c r="C3027" s="1557">
        <v>526</v>
      </c>
      <c r="D3027" s="1366">
        <f t="shared" si="402"/>
        <v>1195.4545454545453</v>
      </c>
      <c r="E3027" s="215">
        <v>10</v>
      </c>
      <c r="F3027" s="511">
        <f t="shared" si="403"/>
        <v>1205.5</v>
      </c>
      <c r="G3027" s="518" t="s">
        <v>4993</v>
      </c>
      <c r="H3027" s="143">
        <v>61445412</v>
      </c>
      <c r="I3027" s="452" t="s">
        <v>4980</v>
      </c>
      <c r="J3027" s="515" t="s">
        <v>753</v>
      </c>
      <c r="K3027" s="452" t="s">
        <v>741</v>
      </c>
      <c r="L3027" s="191"/>
      <c r="M3027" s="191"/>
      <c r="N3027" s="191"/>
      <c r="O3027" s="191"/>
    </row>
    <row r="3028" spans="1:15">
      <c r="A3028" s="515"/>
      <c r="B3028" s="143" t="s">
        <v>4994</v>
      </c>
      <c r="C3028" s="1557">
        <v>236</v>
      </c>
      <c r="D3028" s="1366">
        <f t="shared" si="402"/>
        <v>536.36363636363626</v>
      </c>
      <c r="E3028" s="215">
        <v>10</v>
      </c>
      <c r="F3028" s="511">
        <f t="shared" si="403"/>
        <v>546.4</v>
      </c>
      <c r="G3028" s="518" t="s">
        <v>7443</v>
      </c>
      <c r="H3028" s="143">
        <v>68455685</v>
      </c>
      <c r="I3028" s="452" t="s">
        <v>4980</v>
      </c>
      <c r="J3028" s="515" t="s">
        <v>753</v>
      </c>
      <c r="K3028" s="452" t="s">
        <v>741</v>
      </c>
      <c r="L3028" s="191"/>
      <c r="M3028" s="191"/>
      <c r="N3028" s="191"/>
      <c r="O3028" s="191"/>
    </row>
    <row r="3029" spans="1:15">
      <c r="A3029" s="515"/>
      <c r="B3029" s="1558" t="s">
        <v>11589</v>
      </c>
      <c r="C3029" s="1557">
        <v>60</v>
      </c>
      <c r="D3029" s="1366">
        <f>C3029*(1-VLOOKUP(I3029,descuentos,6,FALSE))*fcl</f>
        <v>136.36363636363635</v>
      </c>
      <c r="E3029" s="215">
        <v>10</v>
      </c>
      <c r="F3029" s="511">
        <f t="shared" si="403"/>
        <v>146.4</v>
      </c>
      <c r="G3029" s="518" t="s">
        <v>11590</v>
      </c>
      <c r="H3029" s="1558">
        <v>64739000</v>
      </c>
      <c r="I3029" s="452" t="s">
        <v>4980</v>
      </c>
      <c r="J3029" s="515" t="s">
        <v>753</v>
      </c>
      <c r="K3029" s="452" t="s">
        <v>741</v>
      </c>
      <c r="L3029" s="191"/>
      <c r="M3029" s="191"/>
      <c r="N3029" s="191"/>
      <c r="O3029" s="191"/>
    </row>
    <row r="3030" spans="1:15">
      <c r="A3030" s="515"/>
      <c r="B3030" s="143" t="s">
        <v>4987</v>
      </c>
      <c r="C3030" s="1557">
        <v>48</v>
      </c>
      <c r="D3030" s="1366">
        <f t="shared" si="402"/>
        <v>109.09090909090908</v>
      </c>
      <c r="E3030" s="215">
        <v>10</v>
      </c>
      <c r="F3030" s="511">
        <f t="shared" si="403"/>
        <v>119.1</v>
      </c>
      <c r="G3030" s="518" t="s">
        <v>7429</v>
      </c>
      <c r="H3030" s="143">
        <v>68829593</v>
      </c>
      <c r="I3030" s="452" t="s">
        <v>4980</v>
      </c>
      <c r="J3030" s="515" t="s">
        <v>753</v>
      </c>
      <c r="K3030" s="452" t="s">
        <v>741</v>
      </c>
      <c r="L3030" s="191"/>
      <c r="M3030" s="191"/>
      <c r="N3030" s="191"/>
      <c r="O3030" s="191"/>
    </row>
    <row r="3031" spans="1:15">
      <c r="A3031" s="1481"/>
      <c r="B3031" s="1480" t="s">
        <v>7430</v>
      </c>
      <c r="C3031" s="1557">
        <v>63</v>
      </c>
      <c r="D3031" s="1366">
        <f t="shared" si="402"/>
        <v>143.18181818181816</v>
      </c>
      <c r="E3031" s="215">
        <v>10</v>
      </c>
      <c r="F3031" s="511">
        <f t="shared" si="403"/>
        <v>153.19999999999999</v>
      </c>
      <c r="G3031" s="518" t="s">
        <v>7431</v>
      </c>
      <c r="H3031" s="143">
        <v>68469881</v>
      </c>
      <c r="I3031" s="452" t="s">
        <v>4980</v>
      </c>
      <c r="J3031" s="515" t="s">
        <v>753</v>
      </c>
      <c r="K3031" s="452" t="s">
        <v>741</v>
      </c>
      <c r="L3031" s="191"/>
      <c r="M3031" s="191"/>
      <c r="N3031" s="191"/>
      <c r="O3031" s="191"/>
    </row>
    <row r="3032" spans="1:15">
      <c r="A3032" s="1481"/>
      <c r="B3032" s="1480" t="s">
        <v>7415</v>
      </c>
      <c r="C3032" s="962">
        <v>189</v>
      </c>
      <c r="D3032" s="1366">
        <f t="shared" si="402"/>
        <v>429.5454545454545</v>
      </c>
      <c r="E3032" s="215">
        <v>10</v>
      </c>
      <c r="F3032" s="511">
        <f t="shared" si="403"/>
        <v>439.6</v>
      </c>
      <c r="G3032" s="518" t="s">
        <v>7432</v>
      </c>
      <c r="H3032" s="143">
        <v>64532871</v>
      </c>
      <c r="I3032" s="452" t="s">
        <v>4980</v>
      </c>
      <c r="J3032" s="515" t="s">
        <v>753</v>
      </c>
      <c r="K3032" s="452" t="s">
        <v>741</v>
      </c>
      <c r="L3032" s="191"/>
      <c r="M3032" s="191"/>
      <c r="N3032" s="191"/>
      <c r="O3032" s="191"/>
    </row>
    <row r="3033" spans="1:15">
      <c r="A3033" s="1481"/>
      <c r="B3033" s="1480" t="s">
        <v>7433</v>
      </c>
      <c r="C3033" s="962">
        <v>31</v>
      </c>
      <c r="D3033" s="1366">
        <f t="shared" si="402"/>
        <v>70.454545454545453</v>
      </c>
      <c r="E3033" s="215">
        <v>10</v>
      </c>
      <c r="F3033" s="511">
        <f t="shared" si="403"/>
        <v>80.5</v>
      </c>
      <c r="G3033" s="518" t="s">
        <v>7434</v>
      </c>
      <c r="H3033" s="143">
        <v>68566282</v>
      </c>
      <c r="I3033" s="452" t="s">
        <v>4980</v>
      </c>
      <c r="J3033" s="515" t="s">
        <v>753</v>
      </c>
      <c r="K3033" s="452" t="s">
        <v>741</v>
      </c>
      <c r="L3033" s="191"/>
      <c r="M3033" s="191"/>
      <c r="N3033" s="191"/>
      <c r="O3033" s="191"/>
    </row>
    <row r="3034" spans="1:15">
      <c r="A3034" s="515"/>
      <c r="B3034" s="144"/>
      <c r="C3034" s="196"/>
      <c r="D3034" s="1484"/>
      <c r="E3034" s="215"/>
      <c r="F3034" s="511"/>
      <c r="G3034" s="518"/>
      <c r="H3034" s="143"/>
      <c r="I3034" s="452"/>
      <c r="J3034" s="515"/>
      <c r="K3034" s="452"/>
      <c r="L3034" s="191"/>
      <c r="M3034" s="191"/>
      <c r="N3034" s="191"/>
      <c r="O3034" s="191"/>
    </row>
    <row r="3035" spans="1:15">
      <c r="A3035" s="515"/>
      <c r="B3035" s="144" t="s">
        <v>4988</v>
      </c>
      <c r="C3035" s="962">
        <v>717</v>
      </c>
      <c r="D3035" s="1366">
        <f t="shared" ref="D3035:D3043" si="404">C3035*(1-VLOOKUP(I3035,descuentos,6,FALSE))*fcl</f>
        <v>1629.5454545454543</v>
      </c>
      <c r="E3035" s="215">
        <v>100</v>
      </c>
      <c r="F3035" s="511">
        <f t="shared" ref="F3035:F3043" si="405">ROUNDUP(D3035+E3035,1)</f>
        <v>1729.6</v>
      </c>
      <c r="G3035" s="518" t="s">
        <v>9195</v>
      </c>
      <c r="H3035" s="143" t="s">
        <v>4989</v>
      </c>
      <c r="I3035" s="452" t="s">
        <v>4980</v>
      </c>
      <c r="J3035" s="515" t="s">
        <v>753</v>
      </c>
      <c r="K3035" s="452" t="s">
        <v>741</v>
      </c>
      <c r="L3035" s="191"/>
      <c r="M3035" s="191"/>
      <c r="N3035" s="191"/>
      <c r="O3035" s="191"/>
    </row>
    <row r="3036" spans="1:15">
      <c r="A3036" s="515"/>
      <c r="B3036" s="144" t="s">
        <v>4990</v>
      </c>
      <c r="C3036" s="962">
        <v>230</v>
      </c>
      <c r="D3036" s="1366">
        <f t="shared" si="404"/>
        <v>522.72727272727263</v>
      </c>
      <c r="E3036" s="215">
        <v>10</v>
      </c>
      <c r="F3036" s="511">
        <f t="shared" si="405"/>
        <v>532.80000000000007</v>
      </c>
      <c r="G3036" s="1485" t="s">
        <v>4991</v>
      </c>
      <c r="H3036" s="143">
        <v>68711215</v>
      </c>
      <c r="I3036" s="452" t="s">
        <v>4980</v>
      </c>
      <c r="J3036" s="515" t="s">
        <v>753</v>
      </c>
      <c r="K3036" s="452" t="s">
        <v>741</v>
      </c>
      <c r="L3036" s="191"/>
      <c r="M3036" s="191"/>
      <c r="N3036" s="191"/>
      <c r="O3036" s="191"/>
    </row>
    <row r="3037" spans="1:15">
      <c r="A3037" s="515"/>
      <c r="B3037" s="143" t="s">
        <v>4992</v>
      </c>
      <c r="C3037" s="1557">
        <v>526</v>
      </c>
      <c r="D3037" s="1366">
        <f t="shared" si="404"/>
        <v>1195.4545454545453</v>
      </c>
      <c r="E3037" s="215">
        <v>10</v>
      </c>
      <c r="F3037" s="511">
        <f t="shared" si="405"/>
        <v>1205.5</v>
      </c>
      <c r="G3037" s="1485" t="s">
        <v>4993</v>
      </c>
      <c r="H3037" s="143">
        <v>61445412</v>
      </c>
      <c r="I3037" s="452" t="s">
        <v>4980</v>
      </c>
      <c r="J3037" s="515" t="s">
        <v>753</v>
      </c>
      <c r="K3037" s="452" t="s">
        <v>741</v>
      </c>
      <c r="L3037" s="191"/>
      <c r="M3037" s="191"/>
      <c r="N3037" s="191"/>
      <c r="O3037" s="191"/>
    </row>
    <row r="3038" spans="1:15">
      <c r="A3038" s="515"/>
      <c r="B3038" s="143" t="s">
        <v>4994</v>
      </c>
      <c r="C3038" s="1557">
        <v>236</v>
      </c>
      <c r="D3038" s="1366">
        <f t="shared" si="404"/>
        <v>536.36363636363626</v>
      </c>
      <c r="E3038" s="215">
        <v>10</v>
      </c>
      <c r="F3038" s="511">
        <f t="shared" si="405"/>
        <v>546.4</v>
      </c>
      <c r="G3038" s="1485" t="s">
        <v>4995</v>
      </c>
      <c r="H3038" s="143">
        <v>68455685</v>
      </c>
      <c r="I3038" s="452" t="s">
        <v>4980</v>
      </c>
      <c r="J3038" s="515" t="s">
        <v>753</v>
      </c>
      <c r="K3038" s="452" t="s">
        <v>741</v>
      </c>
      <c r="L3038" s="191"/>
      <c r="M3038" s="191"/>
      <c r="N3038" s="191"/>
      <c r="O3038" s="191"/>
    </row>
    <row r="3039" spans="1:15">
      <c r="A3039" s="515"/>
      <c r="B3039" s="1558" t="s">
        <v>11589</v>
      </c>
      <c r="C3039" s="1557">
        <v>60</v>
      </c>
      <c r="D3039" s="1366">
        <f t="shared" si="404"/>
        <v>136.36363636363635</v>
      </c>
      <c r="E3039" s="215">
        <v>10</v>
      </c>
      <c r="F3039" s="511">
        <f t="shared" si="405"/>
        <v>146.4</v>
      </c>
      <c r="G3039" s="518" t="s">
        <v>11590</v>
      </c>
      <c r="H3039" s="1558">
        <v>64739000</v>
      </c>
      <c r="I3039" s="452" t="s">
        <v>4980</v>
      </c>
      <c r="J3039" s="515" t="s">
        <v>753</v>
      </c>
      <c r="K3039" s="452" t="s">
        <v>741</v>
      </c>
      <c r="L3039" s="191"/>
      <c r="M3039" s="191"/>
      <c r="N3039" s="191"/>
      <c r="O3039" s="191"/>
    </row>
    <row r="3040" spans="1:15">
      <c r="A3040" s="515"/>
      <c r="B3040" s="143" t="s">
        <v>4987</v>
      </c>
      <c r="C3040" s="1557">
        <v>48</v>
      </c>
      <c r="D3040" s="1366">
        <f t="shared" si="404"/>
        <v>109.09090909090908</v>
      </c>
      <c r="E3040" s="215">
        <v>10</v>
      </c>
      <c r="F3040" s="511">
        <f t="shared" si="405"/>
        <v>119.1</v>
      </c>
      <c r="G3040" s="1485" t="s">
        <v>7429</v>
      </c>
      <c r="H3040" s="143">
        <v>68829593</v>
      </c>
      <c r="I3040" s="452" t="s">
        <v>4980</v>
      </c>
      <c r="J3040" s="515" t="s">
        <v>753</v>
      </c>
      <c r="K3040" s="452" t="s">
        <v>741</v>
      </c>
      <c r="L3040" s="191"/>
      <c r="M3040" s="191"/>
      <c r="N3040" s="191"/>
      <c r="O3040" s="191"/>
    </row>
    <row r="3041" spans="1:15">
      <c r="A3041" s="1481"/>
      <c r="B3041" s="1480" t="s">
        <v>7430</v>
      </c>
      <c r="C3041" s="962">
        <v>63</v>
      </c>
      <c r="D3041" s="1366">
        <f t="shared" si="404"/>
        <v>143.18181818181816</v>
      </c>
      <c r="E3041" s="215">
        <v>10</v>
      </c>
      <c r="F3041" s="511">
        <f t="shared" si="405"/>
        <v>153.19999999999999</v>
      </c>
      <c r="G3041" s="1485" t="s">
        <v>7431</v>
      </c>
      <c r="H3041" s="143">
        <v>68469881</v>
      </c>
      <c r="I3041" s="452" t="s">
        <v>4980</v>
      </c>
      <c r="J3041" s="515" t="s">
        <v>753</v>
      </c>
      <c r="K3041" s="452" t="s">
        <v>741</v>
      </c>
      <c r="L3041" s="191"/>
      <c r="M3041" s="191"/>
      <c r="N3041" s="191"/>
      <c r="O3041" s="191"/>
    </row>
    <row r="3042" spans="1:15">
      <c r="A3042" s="1481"/>
      <c r="B3042" s="1480" t="s">
        <v>7415</v>
      </c>
      <c r="C3042" s="962">
        <v>189</v>
      </c>
      <c r="D3042" s="1366">
        <f t="shared" si="404"/>
        <v>429.5454545454545</v>
      </c>
      <c r="E3042" s="215">
        <v>10</v>
      </c>
      <c r="F3042" s="511">
        <f t="shared" si="405"/>
        <v>439.6</v>
      </c>
      <c r="G3042" s="1485" t="s">
        <v>7432</v>
      </c>
      <c r="H3042" s="143">
        <v>64532871</v>
      </c>
      <c r="I3042" s="452" t="s">
        <v>4980</v>
      </c>
      <c r="J3042" s="515" t="s">
        <v>753</v>
      </c>
      <c r="K3042" s="452" t="s">
        <v>741</v>
      </c>
      <c r="L3042" s="191"/>
      <c r="M3042" s="191"/>
      <c r="N3042" s="191"/>
      <c r="O3042" s="191"/>
    </row>
    <row r="3043" spans="1:15">
      <c r="A3043" s="1481"/>
      <c r="B3043" s="1480" t="s">
        <v>7433</v>
      </c>
      <c r="C3043" s="962">
        <v>31</v>
      </c>
      <c r="D3043" s="1366">
        <f t="shared" si="404"/>
        <v>70.454545454545453</v>
      </c>
      <c r="E3043" s="215">
        <v>10</v>
      </c>
      <c r="F3043" s="511">
        <f t="shared" si="405"/>
        <v>80.5</v>
      </c>
      <c r="G3043" s="1485" t="s">
        <v>7434</v>
      </c>
      <c r="H3043" s="143">
        <v>68566282</v>
      </c>
      <c r="I3043" s="452" t="s">
        <v>4980</v>
      </c>
      <c r="J3043" s="515" t="s">
        <v>753</v>
      </c>
      <c r="K3043" s="452" t="s">
        <v>741</v>
      </c>
      <c r="L3043" s="191"/>
      <c r="M3043" s="191"/>
      <c r="N3043" s="191"/>
      <c r="O3043" s="191"/>
    </row>
    <row r="3044" spans="1:15">
      <c r="A3044" s="515"/>
      <c r="B3044" s="144"/>
      <c r="C3044" s="196"/>
      <c r="D3044" s="1484"/>
      <c r="E3044" s="215"/>
      <c r="F3044" s="511"/>
      <c r="G3044" s="518"/>
      <c r="H3044" s="143"/>
      <c r="I3044" s="452"/>
      <c r="J3044" s="515"/>
      <c r="K3044" s="452"/>
      <c r="L3044" s="191"/>
      <c r="M3044" s="191"/>
      <c r="N3044" s="191"/>
      <c r="O3044" s="191"/>
    </row>
    <row r="3045" spans="1:15">
      <c r="A3045" s="515"/>
      <c r="B3045" s="144" t="s">
        <v>7444</v>
      </c>
      <c r="C3045" s="962">
        <v>582</v>
      </c>
      <c r="D3045" s="1366">
        <f t="shared" ref="D3045:D3053" si="406">C3045*(1-VLOOKUP(I3045,descuentos,6,FALSE))*fcl</f>
        <v>1322.7272727272725</v>
      </c>
      <c r="E3045" s="215">
        <v>100</v>
      </c>
      <c r="F3045" s="511">
        <f t="shared" ref="F3045:F3053" si="407">ROUNDUP(D3045+E3045,1)</f>
        <v>1422.8</v>
      </c>
      <c r="G3045" s="518" t="s">
        <v>9196</v>
      </c>
      <c r="H3045" s="143" t="s">
        <v>7445</v>
      </c>
      <c r="I3045" s="452" t="s">
        <v>4980</v>
      </c>
      <c r="J3045" s="515" t="s">
        <v>753</v>
      </c>
      <c r="K3045" s="452" t="s">
        <v>741</v>
      </c>
      <c r="L3045" s="191"/>
      <c r="M3045" s="191"/>
      <c r="N3045" s="191"/>
      <c r="O3045" s="191"/>
    </row>
    <row r="3046" spans="1:15">
      <c r="A3046" s="515"/>
      <c r="B3046" s="144" t="s">
        <v>4990</v>
      </c>
      <c r="C3046" s="962">
        <v>230</v>
      </c>
      <c r="D3046" s="1366">
        <f t="shared" si="406"/>
        <v>522.72727272727263</v>
      </c>
      <c r="E3046" s="215">
        <v>10</v>
      </c>
      <c r="F3046" s="511">
        <f t="shared" si="407"/>
        <v>532.80000000000007</v>
      </c>
      <c r="G3046" s="1485" t="s">
        <v>4991</v>
      </c>
      <c r="H3046" s="143">
        <v>68711215</v>
      </c>
      <c r="I3046" s="452" t="s">
        <v>4980</v>
      </c>
      <c r="J3046" s="515" t="s">
        <v>753</v>
      </c>
      <c r="K3046" s="452" t="s">
        <v>741</v>
      </c>
      <c r="L3046" s="191"/>
      <c r="M3046" s="191"/>
      <c r="N3046" s="191"/>
      <c r="O3046" s="191"/>
    </row>
    <row r="3047" spans="1:15">
      <c r="A3047" s="515"/>
      <c r="B3047" s="143" t="s">
        <v>4992</v>
      </c>
      <c r="C3047" s="962">
        <v>526</v>
      </c>
      <c r="D3047" s="1366">
        <f t="shared" si="406"/>
        <v>1195.4545454545453</v>
      </c>
      <c r="E3047" s="215">
        <v>10</v>
      </c>
      <c r="F3047" s="511">
        <f t="shared" si="407"/>
        <v>1205.5</v>
      </c>
      <c r="G3047" s="1485" t="s">
        <v>4993</v>
      </c>
      <c r="H3047" s="143">
        <v>61445412</v>
      </c>
      <c r="I3047" s="452" t="s">
        <v>4980</v>
      </c>
      <c r="J3047" s="515" t="s">
        <v>753</v>
      </c>
      <c r="K3047" s="452" t="s">
        <v>741</v>
      </c>
      <c r="L3047" s="191"/>
      <c r="M3047" s="191"/>
      <c r="N3047" s="191"/>
      <c r="O3047" s="191"/>
    </row>
    <row r="3048" spans="1:15">
      <c r="A3048" s="515"/>
      <c r="B3048" s="143" t="s">
        <v>4994</v>
      </c>
      <c r="C3048" s="962">
        <v>236</v>
      </c>
      <c r="D3048" s="1366">
        <f t="shared" si="406"/>
        <v>536.36363636363626</v>
      </c>
      <c r="E3048" s="215">
        <v>10</v>
      </c>
      <c r="F3048" s="511">
        <f t="shared" si="407"/>
        <v>546.4</v>
      </c>
      <c r="G3048" s="1485" t="s">
        <v>4995</v>
      </c>
      <c r="H3048" s="143">
        <v>68455685</v>
      </c>
      <c r="I3048" s="452" t="s">
        <v>4980</v>
      </c>
      <c r="J3048" s="515" t="s">
        <v>753</v>
      </c>
      <c r="K3048" s="452" t="s">
        <v>741</v>
      </c>
      <c r="L3048" s="191"/>
      <c r="M3048" s="191"/>
      <c r="N3048" s="191"/>
      <c r="O3048" s="191"/>
    </row>
    <row r="3049" spans="1:15">
      <c r="A3049" s="1481"/>
      <c r="B3049" s="1558" t="s">
        <v>11589</v>
      </c>
      <c r="C3049" s="1557">
        <v>60</v>
      </c>
      <c r="D3049" s="1366">
        <f t="shared" si="406"/>
        <v>136.36363636363635</v>
      </c>
      <c r="E3049" s="215">
        <v>10</v>
      </c>
      <c r="F3049" s="511">
        <f t="shared" si="407"/>
        <v>146.4</v>
      </c>
      <c r="G3049" s="518" t="s">
        <v>11590</v>
      </c>
      <c r="H3049" s="1558">
        <v>64739000</v>
      </c>
      <c r="I3049" s="452" t="s">
        <v>4980</v>
      </c>
      <c r="J3049" s="515" t="s">
        <v>753</v>
      </c>
      <c r="K3049" s="452" t="s">
        <v>741</v>
      </c>
      <c r="L3049" s="191"/>
      <c r="M3049" s="191"/>
      <c r="N3049" s="191"/>
      <c r="O3049" s="191"/>
    </row>
    <row r="3050" spans="1:15">
      <c r="A3050" s="1481"/>
      <c r="B3050" s="1479" t="s">
        <v>4987</v>
      </c>
      <c r="C3050" s="1557">
        <v>48</v>
      </c>
      <c r="D3050" s="1366">
        <f t="shared" si="406"/>
        <v>109.09090909090908</v>
      </c>
      <c r="E3050" s="215">
        <v>10</v>
      </c>
      <c r="F3050" s="511">
        <f t="shared" si="407"/>
        <v>119.1</v>
      </c>
      <c r="G3050" s="1485" t="s">
        <v>7429</v>
      </c>
      <c r="H3050" s="143">
        <v>68829593</v>
      </c>
      <c r="I3050" s="452" t="s">
        <v>4980</v>
      </c>
      <c r="J3050" s="515" t="s">
        <v>753</v>
      </c>
      <c r="K3050" s="452" t="s">
        <v>741</v>
      </c>
      <c r="L3050" s="191"/>
      <c r="M3050" s="191"/>
      <c r="N3050" s="191"/>
      <c r="O3050" s="191"/>
    </row>
    <row r="3051" spans="1:15">
      <c r="A3051" s="1481"/>
      <c r="B3051" s="1480" t="s">
        <v>7430</v>
      </c>
      <c r="C3051" s="962">
        <v>63</v>
      </c>
      <c r="D3051" s="1366">
        <f t="shared" si="406"/>
        <v>143.18181818181816</v>
      </c>
      <c r="E3051" s="215">
        <v>10</v>
      </c>
      <c r="F3051" s="511">
        <f t="shared" si="407"/>
        <v>153.19999999999999</v>
      </c>
      <c r="G3051" s="1485" t="s">
        <v>7431</v>
      </c>
      <c r="H3051" s="143">
        <v>68469881</v>
      </c>
      <c r="I3051" s="452" t="s">
        <v>4980</v>
      </c>
      <c r="J3051" s="515" t="s">
        <v>753</v>
      </c>
      <c r="K3051" s="452" t="s">
        <v>741</v>
      </c>
      <c r="L3051" s="191"/>
      <c r="M3051" s="191"/>
      <c r="N3051" s="191"/>
      <c r="O3051" s="191"/>
    </row>
    <row r="3052" spans="1:15">
      <c r="A3052" s="1481"/>
      <c r="B3052" s="1480" t="s">
        <v>7415</v>
      </c>
      <c r="C3052" s="962">
        <v>189</v>
      </c>
      <c r="D3052" s="1366">
        <f t="shared" si="406"/>
        <v>429.5454545454545</v>
      </c>
      <c r="E3052" s="215">
        <v>10</v>
      </c>
      <c r="F3052" s="511">
        <f t="shared" si="407"/>
        <v>439.6</v>
      </c>
      <c r="G3052" s="1485" t="s">
        <v>7432</v>
      </c>
      <c r="H3052" s="143">
        <v>64532871</v>
      </c>
      <c r="I3052" s="452" t="s">
        <v>4980</v>
      </c>
      <c r="J3052" s="515" t="s">
        <v>753</v>
      </c>
      <c r="K3052" s="452" t="s">
        <v>741</v>
      </c>
      <c r="L3052" s="191"/>
      <c r="M3052" s="191"/>
      <c r="N3052" s="191"/>
      <c r="O3052" s="191"/>
    </row>
    <row r="3053" spans="1:15">
      <c r="A3053" s="1481"/>
      <c r="B3053" s="1480" t="s">
        <v>7433</v>
      </c>
      <c r="C3053" s="962">
        <v>31</v>
      </c>
      <c r="D3053" s="1366">
        <f t="shared" si="406"/>
        <v>70.454545454545453</v>
      </c>
      <c r="E3053" s="215">
        <v>10</v>
      </c>
      <c r="F3053" s="511">
        <f t="shared" si="407"/>
        <v>80.5</v>
      </c>
      <c r="G3053" s="1485" t="s">
        <v>7434</v>
      </c>
      <c r="H3053" s="143">
        <v>68566282</v>
      </c>
      <c r="I3053" s="452" t="s">
        <v>4980</v>
      </c>
      <c r="J3053" s="515" t="s">
        <v>753</v>
      </c>
      <c r="K3053" s="452" t="s">
        <v>741</v>
      </c>
      <c r="L3053" s="191"/>
      <c r="M3053" s="191"/>
      <c r="N3053" s="191"/>
      <c r="O3053" s="191"/>
    </row>
    <row r="3054" spans="1:15">
      <c r="A3054" s="515"/>
      <c r="B3054" s="144"/>
      <c r="C3054" s="196"/>
      <c r="D3054" s="1484"/>
      <c r="E3054" s="215"/>
      <c r="F3054" s="511"/>
      <c r="G3054" s="518"/>
      <c r="H3054" s="143"/>
      <c r="I3054" s="452"/>
      <c r="J3054" s="515"/>
      <c r="K3054" s="452"/>
      <c r="L3054" s="191"/>
      <c r="M3054" s="191"/>
      <c r="N3054" s="191"/>
      <c r="O3054" s="191"/>
    </row>
    <row r="3055" spans="1:15">
      <c r="A3055" s="515"/>
      <c r="B3055" s="144" t="s">
        <v>7446</v>
      </c>
      <c r="C3055" s="1557">
        <v>512</v>
      </c>
      <c r="D3055" s="1366">
        <f t="shared" ref="D3055:D3063" si="408">C3055*(1-VLOOKUP(I3055,descuentos,6,FALSE))*fcl</f>
        <v>1163.6363636363635</v>
      </c>
      <c r="E3055" s="215">
        <v>50</v>
      </c>
      <c r="F3055" s="511">
        <f t="shared" ref="F3055:F3063" si="409">ROUNDUP(D3055+E3055,1)</f>
        <v>1213.6999999999998</v>
      </c>
      <c r="G3055" s="518" t="s">
        <v>9197</v>
      </c>
      <c r="H3055" s="143" t="s">
        <v>5005</v>
      </c>
      <c r="I3055" s="452" t="s">
        <v>4980</v>
      </c>
      <c r="J3055" s="515" t="s">
        <v>753</v>
      </c>
      <c r="K3055" s="452" t="s">
        <v>741</v>
      </c>
      <c r="L3055" s="191"/>
      <c r="M3055" s="191"/>
      <c r="N3055" s="191"/>
      <c r="O3055" s="191"/>
    </row>
    <row r="3056" spans="1:15">
      <c r="A3056" s="515"/>
      <c r="B3056" s="144" t="s">
        <v>4998</v>
      </c>
      <c r="C3056" s="1557">
        <v>179</v>
      </c>
      <c r="D3056" s="1366">
        <f t="shared" si="408"/>
        <v>406.81818181818176</v>
      </c>
      <c r="E3056" s="215">
        <v>10</v>
      </c>
      <c r="F3056" s="511">
        <f t="shared" si="409"/>
        <v>416.90000000000003</v>
      </c>
      <c r="G3056" s="518" t="s">
        <v>4999</v>
      </c>
      <c r="H3056" s="143">
        <v>68711193</v>
      </c>
      <c r="I3056" s="452" t="s">
        <v>4980</v>
      </c>
      <c r="J3056" s="515" t="s">
        <v>753</v>
      </c>
      <c r="K3056" s="452" t="s">
        <v>741</v>
      </c>
      <c r="L3056" s="191"/>
      <c r="M3056" s="191"/>
      <c r="N3056" s="191"/>
      <c r="O3056" s="191"/>
    </row>
    <row r="3057" spans="1:15">
      <c r="A3057" s="515"/>
      <c r="B3057" s="143" t="s">
        <v>4992</v>
      </c>
      <c r="C3057" s="962">
        <v>526</v>
      </c>
      <c r="D3057" s="1366">
        <f t="shared" si="408"/>
        <v>1195.4545454545453</v>
      </c>
      <c r="E3057" s="215">
        <v>10</v>
      </c>
      <c r="F3057" s="511">
        <f t="shared" si="409"/>
        <v>1205.5</v>
      </c>
      <c r="G3057" s="518" t="s">
        <v>4993</v>
      </c>
      <c r="H3057" s="143">
        <v>61445412</v>
      </c>
      <c r="I3057" s="452" t="s">
        <v>4980</v>
      </c>
      <c r="J3057" s="515" t="s">
        <v>753</v>
      </c>
      <c r="K3057" s="452" t="s">
        <v>741</v>
      </c>
      <c r="L3057" s="191"/>
      <c r="M3057" s="191"/>
      <c r="N3057" s="191"/>
      <c r="O3057" s="191"/>
    </row>
    <row r="3058" spans="1:15">
      <c r="A3058" s="515"/>
      <c r="B3058" s="143" t="s">
        <v>4994</v>
      </c>
      <c r="C3058" s="962">
        <v>236</v>
      </c>
      <c r="D3058" s="1366">
        <f t="shared" si="408"/>
        <v>536.36363636363626</v>
      </c>
      <c r="E3058" s="215">
        <v>10</v>
      </c>
      <c r="F3058" s="511">
        <f t="shared" si="409"/>
        <v>546.4</v>
      </c>
      <c r="G3058" s="518" t="s">
        <v>4995</v>
      </c>
      <c r="H3058" s="143">
        <v>68455685</v>
      </c>
      <c r="I3058" s="452" t="s">
        <v>4980</v>
      </c>
      <c r="J3058" s="515" t="s">
        <v>753</v>
      </c>
      <c r="K3058" s="452" t="s">
        <v>741</v>
      </c>
      <c r="L3058" s="191"/>
      <c r="M3058" s="191"/>
      <c r="N3058" s="191"/>
      <c r="O3058" s="191"/>
    </row>
    <row r="3059" spans="1:15">
      <c r="A3059" s="515"/>
      <c r="B3059" s="1558" t="s">
        <v>11589</v>
      </c>
      <c r="C3059" s="1557">
        <v>60</v>
      </c>
      <c r="D3059" s="1366">
        <f t="shared" si="408"/>
        <v>136.36363636363635</v>
      </c>
      <c r="E3059" s="215">
        <v>10</v>
      </c>
      <c r="F3059" s="511">
        <f t="shared" si="409"/>
        <v>146.4</v>
      </c>
      <c r="G3059" s="518" t="s">
        <v>11590</v>
      </c>
      <c r="H3059" s="1558">
        <v>64739000</v>
      </c>
      <c r="I3059" s="452" t="s">
        <v>4980</v>
      </c>
      <c r="J3059" s="515" t="s">
        <v>753</v>
      </c>
      <c r="K3059" s="452" t="s">
        <v>741</v>
      </c>
      <c r="L3059" s="191"/>
      <c r="M3059" s="191"/>
      <c r="N3059" s="191"/>
      <c r="O3059" s="191"/>
    </row>
    <row r="3060" spans="1:15">
      <c r="A3060" s="515"/>
      <c r="B3060" s="143" t="s">
        <v>4987</v>
      </c>
      <c r="C3060" s="1557">
        <v>48</v>
      </c>
      <c r="D3060" s="1366">
        <f t="shared" si="408"/>
        <v>109.09090909090908</v>
      </c>
      <c r="E3060" s="215">
        <v>10</v>
      </c>
      <c r="F3060" s="511">
        <f t="shared" si="409"/>
        <v>119.1</v>
      </c>
      <c r="G3060" s="518" t="s">
        <v>7429</v>
      </c>
      <c r="H3060" s="143">
        <v>68829593</v>
      </c>
      <c r="I3060" s="452" t="s">
        <v>4980</v>
      </c>
      <c r="J3060" s="515" t="s">
        <v>753</v>
      </c>
      <c r="K3060" s="452" t="s">
        <v>741</v>
      </c>
      <c r="L3060" s="191"/>
      <c r="M3060" s="191"/>
      <c r="N3060" s="191"/>
      <c r="O3060" s="191"/>
    </row>
    <row r="3061" spans="1:15">
      <c r="A3061" s="515"/>
      <c r="B3061" s="1480" t="s">
        <v>7430</v>
      </c>
      <c r="C3061" s="962">
        <v>63</v>
      </c>
      <c r="D3061" s="1366">
        <f t="shared" si="408"/>
        <v>143.18181818181816</v>
      </c>
      <c r="E3061" s="215">
        <v>10</v>
      </c>
      <c r="F3061" s="511">
        <f t="shared" si="409"/>
        <v>153.19999999999999</v>
      </c>
      <c r="G3061" s="518" t="s">
        <v>7431</v>
      </c>
      <c r="H3061" s="143">
        <v>68469881</v>
      </c>
      <c r="I3061" s="452" t="s">
        <v>4980</v>
      </c>
      <c r="J3061" s="515" t="s">
        <v>753</v>
      </c>
      <c r="K3061" s="452" t="s">
        <v>741</v>
      </c>
      <c r="L3061" s="191"/>
      <c r="M3061" s="191"/>
      <c r="N3061" s="191"/>
      <c r="O3061" s="191"/>
    </row>
    <row r="3062" spans="1:15">
      <c r="A3062" s="515"/>
      <c r="B3062" s="1480" t="s">
        <v>7415</v>
      </c>
      <c r="C3062" s="962">
        <v>189</v>
      </c>
      <c r="D3062" s="1366">
        <f t="shared" si="408"/>
        <v>429.5454545454545</v>
      </c>
      <c r="E3062" s="215">
        <v>10</v>
      </c>
      <c r="F3062" s="511">
        <f t="shared" si="409"/>
        <v>439.6</v>
      </c>
      <c r="G3062" s="518" t="s">
        <v>7432</v>
      </c>
      <c r="H3062" s="143">
        <v>64532871</v>
      </c>
      <c r="I3062" s="452" t="s">
        <v>4980</v>
      </c>
      <c r="J3062" s="515" t="s">
        <v>753</v>
      </c>
      <c r="K3062" s="452" t="s">
        <v>741</v>
      </c>
      <c r="L3062" s="191"/>
      <c r="M3062" s="191"/>
      <c r="N3062" s="191"/>
      <c r="O3062" s="191"/>
    </row>
    <row r="3063" spans="1:15">
      <c r="A3063" s="515"/>
      <c r="B3063" s="1480" t="s">
        <v>7433</v>
      </c>
      <c r="C3063" s="962">
        <v>31</v>
      </c>
      <c r="D3063" s="1366">
        <f t="shared" si="408"/>
        <v>70.454545454545453</v>
      </c>
      <c r="E3063" s="215">
        <v>10</v>
      </c>
      <c r="F3063" s="511">
        <f t="shared" si="409"/>
        <v>80.5</v>
      </c>
      <c r="G3063" s="518" t="s">
        <v>7434</v>
      </c>
      <c r="H3063" s="143">
        <v>68566282</v>
      </c>
      <c r="I3063" s="452" t="s">
        <v>4980</v>
      </c>
      <c r="J3063" s="515" t="s">
        <v>753</v>
      </c>
      <c r="K3063" s="452" t="s">
        <v>741</v>
      </c>
      <c r="L3063" s="191"/>
      <c r="M3063" s="191"/>
      <c r="N3063" s="191"/>
      <c r="O3063" s="191"/>
    </row>
    <row r="3064" spans="1:15">
      <c r="A3064" s="515"/>
      <c r="B3064" s="143"/>
      <c r="C3064" s="962"/>
      <c r="D3064" s="1484"/>
      <c r="E3064" s="215"/>
      <c r="F3064" s="511"/>
      <c r="G3064" s="518"/>
      <c r="H3064" s="143"/>
      <c r="I3064" s="452"/>
      <c r="J3064" s="515"/>
      <c r="K3064" s="452"/>
      <c r="L3064" s="191"/>
      <c r="M3064" s="191"/>
      <c r="N3064" s="191"/>
      <c r="O3064" s="191"/>
    </row>
    <row r="3065" spans="1:15">
      <c r="A3065" s="515"/>
      <c r="B3065" s="144" t="s">
        <v>5004</v>
      </c>
      <c r="C3065" s="962">
        <v>450</v>
      </c>
      <c r="D3065" s="1366">
        <f t="shared" ref="D3065:D3073" si="410">C3065*(1-VLOOKUP(I3065,descuentos,6,FALSE))*fcl</f>
        <v>1022.7272727272726</v>
      </c>
      <c r="E3065" s="215">
        <v>50</v>
      </c>
      <c r="F3065" s="511">
        <f t="shared" ref="F3065:F3073" si="411">ROUNDUP(D3065+E3065,1)</f>
        <v>1072.8</v>
      </c>
      <c r="G3065" s="518" t="s">
        <v>9198</v>
      </c>
      <c r="H3065" s="143" t="s">
        <v>5005</v>
      </c>
      <c r="I3065" s="452" t="s">
        <v>4980</v>
      </c>
      <c r="J3065" s="515" t="s">
        <v>753</v>
      </c>
      <c r="K3065" s="452" t="s">
        <v>741</v>
      </c>
      <c r="L3065" s="191"/>
      <c r="M3065" s="191"/>
      <c r="N3065" s="191"/>
      <c r="O3065" s="191"/>
    </row>
    <row r="3066" spans="1:15">
      <c r="A3066" s="515"/>
      <c r="B3066" s="144" t="s">
        <v>4998</v>
      </c>
      <c r="C3066" s="1557">
        <v>179</v>
      </c>
      <c r="D3066" s="1366">
        <f t="shared" si="410"/>
        <v>406.81818181818176</v>
      </c>
      <c r="E3066" s="215">
        <v>10</v>
      </c>
      <c r="F3066" s="511">
        <f t="shared" si="411"/>
        <v>416.90000000000003</v>
      </c>
      <c r="G3066" s="557" t="s">
        <v>4999</v>
      </c>
      <c r="H3066" s="143">
        <v>68711193</v>
      </c>
      <c r="I3066" s="452" t="s">
        <v>4980</v>
      </c>
      <c r="J3066" s="515" t="s">
        <v>753</v>
      </c>
      <c r="K3066" s="452" t="s">
        <v>741</v>
      </c>
      <c r="L3066" s="191"/>
      <c r="M3066" s="191"/>
      <c r="N3066" s="191"/>
      <c r="O3066" s="191"/>
    </row>
    <row r="3067" spans="1:15">
      <c r="A3067" s="515"/>
      <c r="B3067" s="143" t="s">
        <v>5000</v>
      </c>
      <c r="C3067" s="1557">
        <v>172</v>
      </c>
      <c r="D3067" s="1366">
        <f t="shared" si="410"/>
        <v>390.90909090909088</v>
      </c>
      <c r="E3067" s="215">
        <v>10</v>
      </c>
      <c r="F3067" s="511">
        <f t="shared" si="411"/>
        <v>401</v>
      </c>
      <c r="G3067" s="557" t="s">
        <v>5001</v>
      </c>
      <c r="H3067" s="143">
        <v>64324080</v>
      </c>
      <c r="I3067" s="452" t="s">
        <v>4980</v>
      </c>
      <c r="J3067" s="515" t="s">
        <v>753</v>
      </c>
      <c r="K3067" s="452" t="s">
        <v>741</v>
      </c>
      <c r="L3067" s="191"/>
      <c r="M3067" s="191"/>
      <c r="N3067" s="191"/>
      <c r="O3067" s="191"/>
    </row>
    <row r="3068" spans="1:15">
      <c r="A3068" s="515"/>
      <c r="B3068" s="143" t="s">
        <v>5002</v>
      </c>
      <c r="C3068" s="962">
        <v>191</v>
      </c>
      <c r="D3068" s="1366">
        <f t="shared" si="410"/>
        <v>434.09090909090907</v>
      </c>
      <c r="E3068" s="215">
        <v>10</v>
      </c>
      <c r="F3068" s="511">
        <f t="shared" si="411"/>
        <v>444.1</v>
      </c>
      <c r="G3068" s="557" t="s">
        <v>5003</v>
      </c>
      <c r="H3068" s="143">
        <v>68569311</v>
      </c>
      <c r="I3068" s="452" t="s">
        <v>4980</v>
      </c>
      <c r="J3068" s="515" t="s">
        <v>753</v>
      </c>
      <c r="K3068" s="452" t="s">
        <v>741</v>
      </c>
      <c r="L3068" s="191"/>
      <c r="M3068" s="191"/>
      <c r="N3068" s="191"/>
      <c r="O3068" s="191"/>
    </row>
    <row r="3069" spans="1:15">
      <c r="A3069" s="515"/>
      <c r="B3069" s="1558" t="s">
        <v>11589</v>
      </c>
      <c r="C3069" s="1557">
        <v>60</v>
      </c>
      <c r="D3069" s="1366">
        <f t="shared" si="410"/>
        <v>136.36363636363635</v>
      </c>
      <c r="E3069" s="215">
        <v>10</v>
      </c>
      <c r="F3069" s="511">
        <f t="shared" si="411"/>
        <v>146.4</v>
      </c>
      <c r="G3069" s="518" t="s">
        <v>11590</v>
      </c>
      <c r="H3069" s="1558">
        <v>64739000</v>
      </c>
      <c r="I3069" s="452" t="s">
        <v>4980</v>
      </c>
      <c r="J3069" s="515" t="s">
        <v>753</v>
      </c>
      <c r="K3069" s="452" t="s">
        <v>741</v>
      </c>
      <c r="L3069" s="191"/>
      <c r="M3069" s="191"/>
      <c r="N3069" s="191"/>
      <c r="O3069" s="191"/>
    </row>
    <row r="3070" spans="1:15">
      <c r="A3070" s="515"/>
      <c r="B3070" s="143" t="s">
        <v>4987</v>
      </c>
      <c r="C3070" s="1557">
        <v>48</v>
      </c>
      <c r="D3070" s="1366">
        <f t="shared" si="410"/>
        <v>109.09090909090908</v>
      </c>
      <c r="E3070" s="215">
        <v>10</v>
      </c>
      <c r="F3070" s="511">
        <f t="shared" si="411"/>
        <v>119.1</v>
      </c>
      <c r="G3070" s="557" t="s">
        <v>7429</v>
      </c>
      <c r="H3070" s="143">
        <v>68829593</v>
      </c>
      <c r="I3070" s="452" t="s">
        <v>4980</v>
      </c>
      <c r="J3070" s="515" t="s">
        <v>753</v>
      </c>
      <c r="K3070" s="452" t="s">
        <v>741</v>
      </c>
      <c r="L3070" s="191"/>
      <c r="M3070" s="191"/>
      <c r="N3070" s="191"/>
      <c r="O3070" s="191"/>
    </row>
    <row r="3071" spans="1:15">
      <c r="A3071" s="515"/>
      <c r="B3071" s="1480" t="s">
        <v>7430</v>
      </c>
      <c r="C3071" s="962">
        <v>63</v>
      </c>
      <c r="D3071" s="1366">
        <f t="shared" si="410"/>
        <v>143.18181818181816</v>
      </c>
      <c r="E3071" s="215">
        <v>10</v>
      </c>
      <c r="F3071" s="511">
        <f t="shared" si="411"/>
        <v>153.19999999999999</v>
      </c>
      <c r="G3071" s="557" t="s">
        <v>7431</v>
      </c>
      <c r="H3071" s="143">
        <v>68469881</v>
      </c>
      <c r="I3071" s="452" t="s">
        <v>4980</v>
      </c>
      <c r="J3071" s="515" t="s">
        <v>753</v>
      </c>
      <c r="K3071" s="452" t="s">
        <v>741</v>
      </c>
      <c r="L3071" s="191"/>
      <c r="M3071" s="191"/>
      <c r="N3071" s="191"/>
      <c r="O3071" s="191"/>
    </row>
    <row r="3072" spans="1:15">
      <c r="A3072" s="515"/>
      <c r="B3072" s="1480" t="s">
        <v>7415</v>
      </c>
      <c r="C3072" s="962">
        <v>189</v>
      </c>
      <c r="D3072" s="1366">
        <f t="shared" si="410"/>
        <v>429.5454545454545</v>
      </c>
      <c r="E3072" s="215">
        <v>10</v>
      </c>
      <c r="F3072" s="511">
        <f t="shared" si="411"/>
        <v>439.6</v>
      </c>
      <c r="G3072" s="557" t="s">
        <v>7432</v>
      </c>
      <c r="H3072" s="143">
        <v>64532871</v>
      </c>
      <c r="I3072" s="452" t="s">
        <v>4980</v>
      </c>
      <c r="J3072" s="515" t="s">
        <v>753</v>
      </c>
      <c r="K3072" s="452" t="s">
        <v>741</v>
      </c>
      <c r="L3072" s="191"/>
      <c r="M3072" s="191"/>
      <c r="N3072" s="191"/>
      <c r="O3072" s="191"/>
    </row>
    <row r="3073" spans="1:15">
      <c r="A3073" s="515"/>
      <c r="B3073" s="1480" t="s">
        <v>7433</v>
      </c>
      <c r="C3073" s="962">
        <v>31</v>
      </c>
      <c r="D3073" s="1366">
        <f t="shared" si="410"/>
        <v>70.454545454545453</v>
      </c>
      <c r="E3073" s="215">
        <v>10</v>
      </c>
      <c r="F3073" s="511">
        <f t="shared" si="411"/>
        <v>80.5</v>
      </c>
      <c r="G3073" s="557" t="s">
        <v>7434</v>
      </c>
      <c r="H3073" s="143">
        <v>68566282</v>
      </c>
      <c r="I3073" s="452" t="s">
        <v>4980</v>
      </c>
      <c r="J3073" s="515" t="s">
        <v>753</v>
      </c>
      <c r="K3073" s="452" t="s">
        <v>741</v>
      </c>
      <c r="L3073" s="191"/>
      <c r="M3073" s="191"/>
      <c r="N3073" s="191"/>
      <c r="O3073" s="191"/>
    </row>
    <row r="3074" spans="1:15">
      <c r="A3074" s="515"/>
      <c r="B3074" s="143"/>
      <c r="C3074" s="962"/>
      <c r="D3074" s="1484"/>
      <c r="E3074" s="215"/>
      <c r="F3074" s="511"/>
      <c r="G3074" s="518"/>
      <c r="H3074" s="143"/>
      <c r="I3074" s="452"/>
      <c r="J3074" s="515"/>
      <c r="K3074" s="452"/>
      <c r="L3074" s="191"/>
      <c r="M3074" s="191"/>
      <c r="N3074" s="191"/>
      <c r="O3074" s="191"/>
    </row>
    <row r="3075" spans="1:15">
      <c r="A3075" s="515"/>
      <c r="B3075" s="144" t="s">
        <v>4996</v>
      </c>
      <c r="C3075" s="1557">
        <v>416</v>
      </c>
      <c r="D3075" s="1366">
        <f t="shared" ref="D3075:D3083" si="412">C3075*(1-VLOOKUP(I3075,descuentos,6,FALSE))*fcl</f>
        <v>945.45454545454538</v>
      </c>
      <c r="E3075" s="215">
        <v>50</v>
      </c>
      <c r="F3075" s="511">
        <f t="shared" ref="F3075:F3083" si="413">ROUNDUP(D3075+E3075,1)</f>
        <v>995.5</v>
      </c>
      <c r="G3075" s="518" t="s">
        <v>9199</v>
      </c>
      <c r="H3075" s="143" t="s">
        <v>4997</v>
      </c>
      <c r="I3075" s="452" t="s">
        <v>4980</v>
      </c>
      <c r="J3075" s="515" t="s">
        <v>753</v>
      </c>
      <c r="K3075" s="452" t="s">
        <v>741</v>
      </c>
      <c r="L3075" s="191"/>
      <c r="M3075" s="191"/>
      <c r="N3075" s="191"/>
      <c r="O3075" s="191"/>
    </row>
    <row r="3076" spans="1:15">
      <c r="A3076" s="515"/>
      <c r="B3076" s="144" t="s">
        <v>4998</v>
      </c>
      <c r="C3076" s="1557">
        <v>179</v>
      </c>
      <c r="D3076" s="1366">
        <f t="shared" si="412"/>
        <v>406.81818181818176</v>
      </c>
      <c r="E3076" s="215">
        <v>10</v>
      </c>
      <c r="F3076" s="511">
        <f t="shared" si="413"/>
        <v>416.90000000000003</v>
      </c>
      <c r="G3076" s="557" t="s">
        <v>4999</v>
      </c>
      <c r="H3076" s="143">
        <v>68711193</v>
      </c>
      <c r="I3076" s="452" t="s">
        <v>4980</v>
      </c>
      <c r="J3076" s="515" t="s">
        <v>753</v>
      </c>
      <c r="K3076" s="452" t="s">
        <v>741</v>
      </c>
      <c r="L3076" s="191"/>
      <c r="M3076" s="191"/>
      <c r="N3076" s="191"/>
      <c r="O3076" s="191"/>
    </row>
    <row r="3077" spans="1:15">
      <c r="A3077" s="515"/>
      <c r="B3077" s="143" t="s">
        <v>5000</v>
      </c>
      <c r="C3077" s="962">
        <v>172</v>
      </c>
      <c r="D3077" s="1366">
        <f t="shared" si="412"/>
        <v>390.90909090909088</v>
      </c>
      <c r="E3077" s="215">
        <v>10</v>
      </c>
      <c r="F3077" s="511">
        <f t="shared" si="413"/>
        <v>401</v>
      </c>
      <c r="G3077" s="557" t="s">
        <v>5001</v>
      </c>
      <c r="H3077" s="143">
        <v>64324080</v>
      </c>
      <c r="I3077" s="452" t="s">
        <v>4980</v>
      </c>
      <c r="J3077" s="515" t="s">
        <v>753</v>
      </c>
      <c r="K3077" s="452" t="s">
        <v>741</v>
      </c>
      <c r="L3077" s="191"/>
      <c r="M3077" s="191"/>
      <c r="N3077" s="191"/>
      <c r="O3077" s="191"/>
    </row>
    <row r="3078" spans="1:15">
      <c r="A3078" s="515"/>
      <c r="B3078" s="143" t="s">
        <v>5002</v>
      </c>
      <c r="C3078" s="962">
        <v>191</v>
      </c>
      <c r="D3078" s="1366">
        <f t="shared" si="412"/>
        <v>434.09090909090907</v>
      </c>
      <c r="E3078" s="215">
        <v>10</v>
      </c>
      <c r="F3078" s="511">
        <f t="shared" si="413"/>
        <v>444.1</v>
      </c>
      <c r="G3078" s="557" t="s">
        <v>5003</v>
      </c>
      <c r="H3078" s="143">
        <v>68569311</v>
      </c>
      <c r="I3078" s="452" t="s">
        <v>4980</v>
      </c>
      <c r="J3078" s="515" t="s">
        <v>753</v>
      </c>
      <c r="K3078" s="452" t="s">
        <v>741</v>
      </c>
      <c r="L3078" s="191"/>
      <c r="M3078" s="191"/>
      <c r="N3078" s="191"/>
      <c r="O3078" s="191"/>
    </row>
    <row r="3079" spans="1:15">
      <c r="A3079" s="515"/>
      <c r="B3079" s="1558" t="s">
        <v>11589</v>
      </c>
      <c r="C3079" s="1557">
        <v>60</v>
      </c>
      <c r="D3079" s="1366">
        <f t="shared" si="412"/>
        <v>136.36363636363635</v>
      </c>
      <c r="E3079" s="215">
        <v>10</v>
      </c>
      <c r="F3079" s="511">
        <f t="shared" si="413"/>
        <v>146.4</v>
      </c>
      <c r="G3079" s="518" t="s">
        <v>11590</v>
      </c>
      <c r="H3079" s="1558">
        <v>64739000</v>
      </c>
      <c r="I3079" s="452" t="s">
        <v>4980</v>
      </c>
      <c r="J3079" s="515" t="s">
        <v>753</v>
      </c>
      <c r="K3079" s="452" t="s">
        <v>741</v>
      </c>
      <c r="L3079" s="191"/>
      <c r="M3079" s="191"/>
      <c r="N3079" s="191"/>
      <c r="O3079" s="191"/>
    </row>
    <row r="3080" spans="1:15">
      <c r="A3080" s="515"/>
      <c r="B3080" s="143" t="s">
        <v>4987</v>
      </c>
      <c r="C3080" s="1557">
        <v>48</v>
      </c>
      <c r="D3080" s="1366">
        <f t="shared" si="412"/>
        <v>109.09090909090908</v>
      </c>
      <c r="E3080" s="215">
        <v>10</v>
      </c>
      <c r="F3080" s="511">
        <f t="shared" si="413"/>
        <v>119.1</v>
      </c>
      <c r="G3080" s="557" t="s">
        <v>7429</v>
      </c>
      <c r="H3080" s="143">
        <v>68829593</v>
      </c>
      <c r="I3080" s="452" t="s">
        <v>4980</v>
      </c>
      <c r="J3080" s="515" t="s">
        <v>753</v>
      </c>
      <c r="K3080" s="452" t="s">
        <v>741</v>
      </c>
      <c r="L3080" s="191"/>
      <c r="M3080" s="191"/>
      <c r="N3080" s="191"/>
      <c r="O3080" s="191"/>
    </row>
    <row r="3081" spans="1:15">
      <c r="A3081" s="1481"/>
      <c r="B3081" s="1480" t="s">
        <v>7430</v>
      </c>
      <c r="C3081" s="962">
        <v>63</v>
      </c>
      <c r="D3081" s="1366">
        <f t="shared" si="412"/>
        <v>143.18181818181816</v>
      </c>
      <c r="E3081" s="215">
        <v>10</v>
      </c>
      <c r="F3081" s="511">
        <f t="shared" si="413"/>
        <v>153.19999999999999</v>
      </c>
      <c r="G3081" s="557" t="s">
        <v>7431</v>
      </c>
      <c r="H3081" s="143">
        <v>68469881</v>
      </c>
      <c r="I3081" s="452" t="s">
        <v>4980</v>
      </c>
      <c r="J3081" s="515" t="s">
        <v>753</v>
      </c>
      <c r="K3081" s="452" t="s">
        <v>741</v>
      </c>
      <c r="L3081" s="191"/>
      <c r="M3081" s="191"/>
      <c r="N3081" s="191"/>
      <c r="O3081" s="191"/>
    </row>
    <row r="3082" spans="1:15">
      <c r="A3082" s="1481"/>
      <c r="B3082" s="1480" t="s">
        <v>7415</v>
      </c>
      <c r="C3082" s="962">
        <v>189</v>
      </c>
      <c r="D3082" s="1366">
        <f t="shared" si="412"/>
        <v>429.5454545454545</v>
      </c>
      <c r="E3082" s="215">
        <v>10</v>
      </c>
      <c r="F3082" s="511">
        <f t="shared" si="413"/>
        <v>439.6</v>
      </c>
      <c r="G3082" s="557" t="s">
        <v>7432</v>
      </c>
      <c r="H3082" s="143">
        <v>64532871</v>
      </c>
      <c r="I3082" s="452" t="s">
        <v>4980</v>
      </c>
      <c r="J3082" s="515" t="s">
        <v>753</v>
      </c>
      <c r="K3082" s="452" t="s">
        <v>741</v>
      </c>
      <c r="L3082" s="191"/>
      <c r="M3082" s="191"/>
      <c r="N3082" s="191"/>
      <c r="O3082" s="191"/>
    </row>
    <row r="3083" spans="1:15">
      <c r="A3083" s="1481"/>
      <c r="B3083" s="1480" t="s">
        <v>7433</v>
      </c>
      <c r="C3083" s="962">
        <v>31</v>
      </c>
      <c r="D3083" s="1366">
        <f t="shared" si="412"/>
        <v>70.454545454545453</v>
      </c>
      <c r="E3083" s="215">
        <v>10</v>
      </c>
      <c r="F3083" s="511">
        <f t="shared" si="413"/>
        <v>80.5</v>
      </c>
      <c r="G3083" s="557" t="s">
        <v>7434</v>
      </c>
      <c r="H3083" s="143">
        <v>68566282</v>
      </c>
      <c r="I3083" s="452" t="s">
        <v>4980</v>
      </c>
      <c r="J3083" s="515" t="s">
        <v>753</v>
      </c>
      <c r="K3083" s="452" t="s">
        <v>741</v>
      </c>
      <c r="L3083" s="191"/>
      <c r="M3083" s="191"/>
      <c r="N3083" s="191"/>
      <c r="O3083" s="191"/>
    </row>
    <row r="3084" spans="1:15">
      <c r="A3084" s="515"/>
      <c r="B3084" s="144"/>
      <c r="C3084" s="196"/>
      <c r="D3084" s="1484"/>
      <c r="E3084" s="215"/>
      <c r="F3084" s="511"/>
      <c r="G3084" s="518"/>
      <c r="H3084" s="143"/>
      <c r="I3084" s="452"/>
      <c r="J3084" s="515"/>
      <c r="K3084" s="452"/>
      <c r="L3084" s="191"/>
      <c r="M3084" s="191"/>
      <c r="N3084" s="191"/>
      <c r="O3084" s="191"/>
    </row>
    <row r="3085" spans="1:15">
      <c r="A3085" s="515"/>
      <c r="B3085" s="144" t="s">
        <v>5012</v>
      </c>
      <c r="C3085" s="1557">
        <v>355</v>
      </c>
      <c r="D3085" s="1366">
        <f t="shared" ref="D3085:D3093" si="414">C3085*(1-VLOOKUP(I3085,descuentos,6,FALSE))*fcl</f>
        <v>806.81818181818176</v>
      </c>
      <c r="E3085" s="215">
        <v>50</v>
      </c>
      <c r="F3085" s="511">
        <f t="shared" ref="F3085:F3093" si="415">ROUNDUP(D3085+E3085,1)</f>
        <v>856.9</v>
      </c>
      <c r="G3085" s="518" t="s">
        <v>9200</v>
      </c>
      <c r="H3085" s="143" t="s">
        <v>5013</v>
      </c>
      <c r="I3085" s="452" t="s">
        <v>4980</v>
      </c>
      <c r="J3085" s="515" t="s">
        <v>753</v>
      </c>
      <c r="K3085" s="452" t="s">
        <v>741</v>
      </c>
      <c r="L3085" s="191"/>
      <c r="M3085" s="191"/>
      <c r="N3085" s="191"/>
      <c r="O3085" s="191"/>
    </row>
    <row r="3086" spans="1:15">
      <c r="A3086" s="515"/>
      <c r="B3086" s="144" t="s">
        <v>5008</v>
      </c>
      <c r="C3086" s="1557">
        <v>126</v>
      </c>
      <c r="D3086" s="1366">
        <f t="shared" si="414"/>
        <v>286.36363636363632</v>
      </c>
      <c r="E3086" s="215">
        <v>10</v>
      </c>
      <c r="F3086" s="511">
        <f t="shared" si="415"/>
        <v>296.40000000000003</v>
      </c>
      <c r="G3086" s="1486" t="s">
        <v>5009</v>
      </c>
      <c r="H3086" s="143">
        <v>68711185</v>
      </c>
      <c r="I3086" s="452" t="s">
        <v>4980</v>
      </c>
      <c r="J3086" s="515" t="s">
        <v>753</v>
      </c>
      <c r="K3086" s="452" t="s">
        <v>741</v>
      </c>
      <c r="L3086" s="191"/>
      <c r="M3086" s="191"/>
      <c r="N3086" s="191"/>
      <c r="O3086" s="191"/>
    </row>
    <row r="3087" spans="1:15">
      <c r="A3087" s="515"/>
      <c r="B3087" s="143" t="s">
        <v>5010</v>
      </c>
      <c r="C3087" s="1557">
        <v>142</v>
      </c>
      <c r="D3087" s="1366">
        <f t="shared" si="414"/>
        <v>322.72727272727269</v>
      </c>
      <c r="E3087" s="215">
        <v>10</v>
      </c>
      <c r="F3087" s="511">
        <f t="shared" si="415"/>
        <v>332.8</v>
      </c>
      <c r="G3087" s="1486" t="s">
        <v>5011</v>
      </c>
      <c r="H3087" s="143">
        <v>64324063</v>
      </c>
      <c r="I3087" s="452" t="s">
        <v>4980</v>
      </c>
      <c r="J3087" s="515" t="s">
        <v>753</v>
      </c>
      <c r="K3087" s="452" t="s">
        <v>741</v>
      </c>
      <c r="L3087" s="191"/>
      <c r="M3087" s="191"/>
      <c r="N3087" s="191"/>
      <c r="O3087" s="191"/>
    </row>
    <row r="3088" spans="1:15">
      <c r="A3088" s="515"/>
      <c r="B3088" s="143" t="s">
        <v>5002</v>
      </c>
      <c r="C3088" s="1557">
        <v>191</v>
      </c>
      <c r="D3088" s="1366">
        <f t="shared" si="414"/>
        <v>434.09090909090907</v>
      </c>
      <c r="E3088" s="215">
        <v>10</v>
      </c>
      <c r="F3088" s="511">
        <f t="shared" si="415"/>
        <v>444.1</v>
      </c>
      <c r="G3088" s="1486" t="s">
        <v>5003</v>
      </c>
      <c r="H3088" s="143">
        <v>68569311</v>
      </c>
      <c r="I3088" s="452" t="s">
        <v>4980</v>
      </c>
      <c r="J3088" s="515" t="s">
        <v>753</v>
      </c>
      <c r="K3088" s="452" t="s">
        <v>741</v>
      </c>
      <c r="L3088" s="191"/>
      <c r="M3088" s="191"/>
      <c r="N3088" s="191"/>
      <c r="O3088" s="191"/>
    </row>
    <row r="3089" spans="1:15">
      <c r="A3089" s="515"/>
      <c r="B3089" s="1558" t="s">
        <v>11589</v>
      </c>
      <c r="C3089" s="1557">
        <v>60</v>
      </c>
      <c r="D3089" s="1366">
        <f t="shared" si="414"/>
        <v>136.36363636363635</v>
      </c>
      <c r="E3089" s="215">
        <v>10</v>
      </c>
      <c r="F3089" s="511">
        <f t="shared" si="415"/>
        <v>146.4</v>
      </c>
      <c r="G3089" s="518" t="s">
        <v>11590</v>
      </c>
      <c r="H3089" s="1558">
        <v>64739000</v>
      </c>
      <c r="I3089" s="452" t="s">
        <v>4980</v>
      </c>
      <c r="J3089" s="515" t="s">
        <v>753</v>
      </c>
      <c r="K3089" s="452" t="s">
        <v>741</v>
      </c>
      <c r="L3089" s="191"/>
      <c r="M3089" s="191"/>
      <c r="N3089" s="191"/>
      <c r="O3089" s="191"/>
    </row>
    <row r="3090" spans="1:15">
      <c r="A3090" s="515"/>
      <c r="B3090" s="143" t="s">
        <v>4987</v>
      </c>
      <c r="C3090" s="1557">
        <v>48</v>
      </c>
      <c r="D3090" s="1366">
        <f t="shared" si="414"/>
        <v>109.09090909090908</v>
      </c>
      <c r="E3090" s="215">
        <v>10</v>
      </c>
      <c r="F3090" s="511">
        <f t="shared" si="415"/>
        <v>119.1</v>
      </c>
      <c r="G3090" s="1486" t="s">
        <v>7429</v>
      </c>
      <c r="H3090" s="143">
        <v>68829593</v>
      </c>
      <c r="I3090" s="452" t="s">
        <v>4980</v>
      </c>
      <c r="J3090" s="515" t="s">
        <v>753</v>
      </c>
      <c r="K3090" s="452" t="s">
        <v>741</v>
      </c>
      <c r="L3090" s="191"/>
      <c r="M3090" s="191"/>
      <c r="N3090" s="191"/>
      <c r="O3090" s="191"/>
    </row>
    <row r="3091" spans="1:15">
      <c r="A3091" s="515"/>
      <c r="B3091" s="1480" t="s">
        <v>7430</v>
      </c>
      <c r="C3091" s="962">
        <v>63</v>
      </c>
      <c r="D3091" s="1366">
        <f t="shared" si="414"/>
        <v>143.18181818181816</v>
      </c>
      <c r="E3091" s="215">
        <v>10</v>
      </c>
      <c r="F3091" s="511">
        <f t="shared" si="415"/>
        <v>153.19999999999999</v>
      </c>
      <c r="G3091" s="1486" t="s">
        <v>7431</v>
      </c>
      <c r="H3091" s="143">
        <v>68469881</v>
      </c>
      <c r="I3091" s="452" t="s">
        <v>4980</v>
      </c>
      <c r="J3091" s="515" t="s">
        <v>753</v>
      </c>
      <c r="K3091" s="452" t="s">
        <v>741</v>
      </c>
      <c r="L3091" s="191"/>
      <c r="M3091" s="191"/>
      <c r="N3091" s="191"/>
      <c r="O3091" s="191"/>
    </row>
    <row r="3092" spans="1:15">
      <c r="A3092" s="515"/>
      <c r="B3092" s="1480" t="s">
        <v>7415</v>
      </c>
      <c r="C3092" s="962">
        <v>189</v>
      </c>
      <c r="D3092" s="1366">
        <f t="shared" si="414"/>
        <v>429.5454545454545</v>
      </c>
      <c r="E3092" s="215">
        <v>10</v>
      </c>
      <c r="F3092" s="511">
        <f t="shared" si="415"/>
        <v>439.6</v>
      </c>
      <c r="G3092" s="1486" t="s">
        <v>7432</v>
      </c>
      <c r="H3092" s="143">
        <v>64532871</v>
      </c>
      <c r="I3092" s="452" t="s">
        <v>4980</v>
      </c>
      <c r="J3092" s="515" t="s">
        <v>753</v>
      </c>
      <c r="K3092" s="452" t="s">
        <v>741</v>
      </c>
      <c r="L3092" s="191"/>
      <c r="M3092" s="191"/>
      <c r="N3092" s="191"/>
      <c r="O3092" s="191"/>
    </row>
    <row r="3093" spans="1:15">
      <c r="A3093" s="515"/>
      <c r="B3093" s="1480" t="s">
        <v>7433</v>
      </c>
      <c r="C3093" s="962">
        <v>31</v>
      </c>
      <c r="D3093" s="1366">
        <f t="shared" si="414"/>
        <v>70.454545454545453</v>
      </c>
      <c r="E3093" s="215">
        <v>10</v>
      </c>
      <c r="F3093" s="511">
        <f t="shared" si="415"/>
        <v>80.5</v>
      </c>
      <c r="G3093" s="1486" t="s">
        <v>7434</v>
      </c>
      <c r="H3093" s="143">
        <v>68566282</v>
      </c>
      <c r="I3093" s="452" t="s">
        <v>4980</v>
      </c>
      <c r="J3093" s="515" t="s">
        <v>753</v>
      </c>
      <c r="K3093" s="452" t="s">
        <v>741</v>
      </c>
      <c r="L3093" s="191"/>
      <c r="M3093" s="191"/>
      <c r="N3093" s="191"/>
      <c r="O3093" s="191"/>
    </row>
    <row r="3094" spans="1:15">
      <c r="A3094" s="515"/>
      <c r="B3094" s="143"/>
      <c r="C3094" s="962"/>
      <c r="D3094" s="1484"/>
      <c r="E3094" s="215"/>
      <c r="F3094" s="511"/>
      <c r="G3094" s="518"/>
      <c r="H3094" s="143"/>
      <c r="I3094" s="452"/>
      <c r="J3094" s="515"/>
      <c r="K3094" s="452"/>
      <c r="L3094" s="191"/>
      <c r="M3094" s="191"/>
      <c r="N3094" s="191"/>
      <c r="O3094" s="191"/>
    </row>
    <row r="3095" spans="1:15">
      <c r="A3095" s="515"/>
      <c r="B3095" s="144" t="s">
        <v>5006</v>
      </c>
      <c r="C3095" s="1557">
        <v>307</v>
      </c>
      <c r="D3095" s="1366">
        <f t="shared" ref="D3095:D3103" si="416">C3095*(1-VLOOKUP(I3095,descuentos,6,FALSE))*fcl</f>
        <v>697.72727272727263</v>
      </c>
      <c r="E3095" s="215">
        <v>50</v>
      </c>
      <c r="F3095" s="511">
        <f t="shared" ref="F3095:F3103" si="417">ROUNDUP(D3095+E3095,1)</f>
        <v>747.80000000000007</v>
      </c>
      <c r="G3095" s="518" t="s">
        <v>9201</v>
      </c>
      <c r="H3095" s="143" t="s">
        <v>5007</v>
      </c>
      <c r="I3095" s="452" t="s">
        <v>4980</v>
      </c>
      <c r="J3095" s="515" t="s">
        <v>753</v>
      </c>
      <c r="K3095" s="452" t="s">
        <v>741</v>
      </c>
      <c r="L3095" s="191"/>
      <c r="M3095" s="191"/>
      <c r="N3095" s="191"/>
      <c r="O3095" s="191"/>
    </row>
    <row r="3096" spans="1:15">
      <c r="A3096" s="515"/>
      <c r="B3096" s="144" t="s">
        <v>5008</v>
      </c>
      <c r="C3096" s="1557">
        <v>126</v>
      </c>
      <c r="D3096" s="1366">
        <f t="shared" si="416"/>
        <v>286.36363636363632</v>
      </c>
      <c r="E3096" s="215">
        <v>10</v>
      </c>
      <c r="F3096" s="511">
        <f t="shared" si="417"/>
        <v>296.40000000000003</v>
      </c>
      <c r="G3096" s="1486" t="s">
        <v>5009</v>
      </c>
      <c r="H3096" s="143">
        <v>68711185</v>
      </c>
      <c r="I3096" s="452" t="s">
        <v>4980</v>
      </c>
      <c r="J3096" s="515" t="s">
        <v>753</v>
      </c>
      <c r="K3096" s="452" t="s">
        <v>741</v>
      </c>
      <c r="L3096" s="191"/>
      <c r="M3096" s="191"/>
      <c r="N3096" s="191"/>
      <c r="O3096" s="191"/>
    </row>
    <row r="3097" spans="1:15">
      <c r="A3097" s="515"/>
      <c r="B3097" s="143" t="s">
        <v>5010</v>
      </c>
      <c r="C3097" s="1557">
        <v>142</v>
      </c>
      <c r="D3097" s="1366">
        <f t="shared" si="416"/>
        <v>322.72727272727269</v>
      </c>
      <c r="E3097" s="215">
        <v>10</v>
      </c>
      <c r="F3097" s="511">
        <f t="shared" si="417"/>
        <v>332.8</v>
      </c>
      <c r="G3097" s="1486" t="s">
        <v>5011</v>
      </c>
      <c r="H3097" s="143">
        <v>64324063</v>
      </c>
      <c r="I3097" s="452" t="s">
        <v>4980</v>
      </c>
      <c r="J3097" s="515" t="s">
        <v>753</v>
      </c>
      <c r="K3097" s="452" t="s">
        <v>741</v>
      </c>
      <c r="L3097" s="191"/>
      <c r="M3097" s="191"/>
      <c r="N3097" s="191"/>
      <c r="O3097" s="191"/>
    </row>
    <row r="3098" spans="1:15">
      <c r="A3098" s="515"/>
      <c r="B3098" s="143" t="s">
        <v>5002</v>
      </c>
      <c r="C3098" s="1557">
        <v>191</v>
      </c>
      <c r="D3098" s="1366">
        <f t="shared" si="416"/>
        <v>434.09090909090907</v>
      </c>
      <c r="E3098" s="215">
        <v>10</v>
      </c>
      <c r="F3098" s="511">
        <f t="shared" si="417"/>
        <v>444.1</v>
      </c>
      <c r="G3098" s="1486" t="s">
        <v>5003</v>
      </c>
      <c r="H3098" s="143">
        <v>68569311</v>
      </c>
      <c r="I3098" s="452" t="s">
        <v>4980</v>
      </c>
      <c r="J3098" s="515" t="s">
        <v>753</v>
      </c>
      <c r="K3098" s="452" t="s">
        <v>741</v>
      </c>
      <c r="L3098" s="191"/>
      <c r="M3098" s="191"/>
      <c r="N3098" s="191"/>
      <c r="O3098" s="191"/>
    </row>
    <row r="3099" spans="1:15">
      <c r="A3099" s="515"/>
      <c r="B3099" s="1558" t="s">
        <v>11589</v>
      </c>
      <c r="C3099" s="1557">
        <v>60</v>
      </c>
      <c r="D3099" s="1366">
        <f t="shared" si="416"/>
        <v>136.36363636363635</v>
      </c>
      <c r="E3099" s="215">
        <v>10</v>
      </c>
      <c r="F3099" s="511">
        <f t="shared" si="417"/>
        <v>146.4</v>
      </c>
      <c r="G3099" s="518" t="s">
        <v>11590</v>
      </c>
      <c r="H3099" s="1558">
        <v>64739000</v>
      </c>
      <c r="I3099" s="452" t="s">
        <v>4980</v>
      </c>
      <c r="J3099" s="515" t="s">
        <v>753</v>
      </c>
      <c r="K3099" s="452" t="s">
        <v>741</v>
      </c>
      <c r="L3099" s="191"/>
      <c r="M3099" s="191"/>
      <c r="N3099" s="191"/>
      <c r="O3099" s="191"/>
    </row>
    <row r="3100" spans="1:15">
      <c r="A3100" s="515"/>
      <c r="B3100" s="143" t="s">
        <v>4987</v>
      </c>
      <c r="C3100" s="1557">
        <v>48</v>
      </c>
      <c r="D3100" s="1366">
        <f t="shared" si="416"/>
        <v>109.09090909090908</v>
      </c>
      <c r="E3100" s="215">
        <v>10</v>
      </c>
      <c r="F3100" s="511">
        <f t="shared" si="417"/>
        <v>119.1</v>
      </c>
      <c r="G3100" s="1486" t="s">
        <v>7429</v>
      </c>
      <c r="H3100" s="143">
        <v>68829593</v>
      </c>
      <c r="I3100" s="452" t="s">
        <v>4980</v>
      </c>
      <c r="J3100" s="515" t="s">
        <v>753</v>
      </c>
      <c r="K3100" s="452" t="s">
        <v>741</v>
      </c>
      <c r="L3100" s="191"/>
      <c r="M3100" s="191"/>
      <c r="N3100" s="191"/>
      <c r="O3100" s="191"/>
    </row>
    <row r="3101" spans="1:15">
      <c r="A3101" s="515"/>
      <c r="B3101" s="1480" t="s">
        <v>7430</v>
      </c>
      <c r="C3101" s="962">
        <v>63</v>
      </c>
      <c r="D3101" s="1366">
        <f t="shared" si="416"/>
        <v>143.18181818181816</v>
      </c>
      <c r="E3101" s="215">
        <v>10</v>
      </c>
      <c r="F3101" s="511">
        <f t="shared" si="417"/>
        <v>153.19999999999999</v>
      </c>
      <c r="G3101" s="1486" t="s">
        <v>7431</v>
      </c>
      <c r="H3101" s="143">
        <v>68469881</v>
      </c>
      <c r="I3101" s="452" t="s">
        <v>4980</v>
      </c>
      <c r="J3101" s="515" t="s">
        <v>753</v>
      </c>
      <c r="K3101" s="452" t="s">
        <v>741</v>
      </c>
      <c r="L3101" s="191"/>
      <c r="M3101" s="191"/>
      <c r="N3101" s="191"/>
      <c r="O3101" s="191"/>
    </row>
    <row r="3102" spans="1:15">
      <c r="A3102" s="515"/>
      <c r="B3102" s="1480" t="s">
        <v>7415</v>
      </c>
      <c r="C3102" s="962">
        <v>189</v>
      </c>
      <c r="D3102" s="1366">
        <f t="shared" si="416"/>
        <v>429.5454545454545</v>
      </c>
      <c r="E3102" s="215">
        <v>10</v>
      </c>
      <c r="F3102" s="511">
        <f t="shared" si="417"/>
        <v>439.6</v>
      </c>
      <c r="G3102" s="1486" t="s">
        <v>7432</v>
      </c>
      <c r="H3102" s="143">
        <v>64532871</v>
      </c>
      <c r="I3102" s="452" t="s">
        <v>4980</v>
      </c>
      <c r="J3102" s="515" t="s">
        <v>753</v>
      </c>
      <c r="K3102" s="452" t="s">
        <v>741</v>
      </c>
      <c r="L3102" s="191"/>
      <c r="M3102" s="191"/>
      <c r="N3102" s="191"/>
      <c r="O3102" s="191"/>
    </row>
    <row r="3103" spans="1:15">
      <c r="A3103" s="515"/>
      <c r="B3103" s="1480" t="s">
        <v>7433</v>
      </c>
      <c r="C3103" s="962">
        <v>31</v>
      </c>
      <c r="D3103" s="1366">
        <f t="shared" si="416"/>
        <v>70.454545454545453</v>
      </c>
      <c r="E3103" s="215">
        <v>10</v>
      </c>
      <c r="F3103" s="511">
        <f t="shared" si="417"/>
        <v>80.5</v>
      </c>
      <c r="G3103" s="1486" t="s">
        <v>7434</v>
      </c>
      <c r="H3103" s="143">
        <v>68566282</v>
      </c>
      <c r="I3103" s="452" t="s">
        <v>4980</v>
      </c>
      <c r="J3103" s="515" t="s">
        <v>753</v>
      </c>
      <c r="K3103" s="452" t="s">
        <v>741</v>
      </c>
      <c r="L3103" s="191"/>
      <c r="M3103" s="191"/>
      <c r="N3103" s="191"/>
      <c r="O3103" s="191"/>
    </row>
    <row r="3104" spans="1:15">
      <c r="A3104" s="515"/>
      <c r="B3104" s="143"/>
      <c r="C3104" s="962"/>
      <c r="D3104" s="1484"/>
      <c r="E3104" s="215"/>
      <c r="F3104" s="511"/>
      <c r="G3104" s="518"/>
      <c r="H3104" s="143"/>
      <c r="I3104" s="452"/>
      <c r="J3104" s="515"/>
      <c r="K3104" s="452"/>
      <c r="L3104" s="191"/>
      <c r="M3104" s="191"/>
      <c r="N3104" s="191"/>
      <c r="O3104" s="191"/>
    </row>
    <row r="3105" spans="1:15">
      <c r="A3105" s="515"/>
      <c r="B3105" s="144" t="s">
        <v>7447</v>
      </c>
      <c r="C3105" s="962">
        <v>282</v>
      </c>
      <c r="D3105" s="1366">
        <f t="shared" ref="D3105:D3110" si="418">C3105*(1-VLOOKUP(I3105,descuentos,6,FALSE))*fcl</f>
        <v>640.90909090909088</v>
      </c>
      <c r="E3105" s="215">
        <v>50</v>
      </c>
      <c r="F3105" s="511">
        <f t="shared" ref="F3105:F3110" si="419">ROUNDUP(D3105+E3105,1)</f>
        <v>691</v>
      </c>
      <c r="G3105" s="518" t="s">
        <v>9202</v>
      </c>
      <c r="H3105" s="143" t="s">
        <v>5013</v>
      </c>
      <c r="I3105" s="452" t="s">
        <v>4980</v>
      </c>
      <c r="J3105" s="515" t="s">
        <v>753</v>
      </c>
      <c r="K3105" s="452" t="s">
        <v>741</v>
      </c>
      <c r="L3105" s="191"/>
      <c r="M3105" s="191"/>
      <c r="N3105" s="191"/>
      <c r="O3105" s="191"/>
    </row>
    <row r="3106" spans="1:15">
      <c r="A3106" s="515"/>
      <c r="B3106" s="144" t="s">
        <v>5008</v>
      </c>
      <c r="C3106" s="1557">
        <v>126</v>
      </c>
      <c r="D3106" s="1366">
        <f t="shared" si="418"/>
        <v>286.36363636363632</v>
      </c>
      <c r="E3106" s="215">
        <v>10</v>
      </c>
      <c r="F3106" s="511">
        <f t="shared" si="419"/>
        <v>296.40000000000003</v>
      </c>
      <c r="G3106" s="1559" t="s">
        <v>5009</v>
      </c>
      <c r="H3106" s="143">
        <v>68711185</v>
      </c>
      <c r="I3106" s="452" t="s">
        <v>4980</v>
      </c>
      <c r="J3106" s="515" t="s">
        <v>753</v>
      </c>
      <c r="K3106" s="452" t="s">
        <v>741</v>
      </c>
      <c r="L3106" s="191"/>
      <c r="M3106" s="191"/>
      <c r="N3106" s="191"/>
      <c r="O3106" s="191"/>
    </row>
    <row r="3107" spans="1:15">
      <c r="A3107" s="515"/>
      <c r="B3107" s="143" t="s">
        <v>5010</v>
      </c>
      <c r="C3107" s="1557">
        <v>142</v>
      </c>
      <c r="D3107" s="1366">
        <f t="shared" si="418"/>
        <v>322.72727272727269</v>
      </c>
      <c r="E3107" s="215">
        <v>10</v>
      </c>
      <c r="F3107" s="511">
        <f t="shared" si="419"/>
        <v>332.8</v>
      </c>
      <c r="G3107" s="1559" t="s">
        <v>5011</v>
      </c>
      <c r="H3107" s="143">
        <v>64324063</v>
      </c>
      <c r="I3107" s="452" t="s">
        <v>4980</v>
      </c>
      <c r="J3107" s="515" t="s">
        <v>753</v>
      </c>
      <c r="K3107" s="452" t="s">
        <v>741</v>
      </c>
      <c r="L3107" s="191"/>
      <c r="M3107" s="191"/>
      <c r="N3107" s="191"/>
      <c r="O3107" s="191"/>
    </row>
    <row r="3108" spans="1:15">
      <c r="A3108" s="515"/>
      <c r="B3108" s="143" t="s">
        <v>5002</v>
      </c>
      <c r="C3108" s="962">
        <v>191</v>
      </c>
      <c r="D3108" s="1366">
        <f t="shared" si="418"/>
        <v>434.09090909090907</v>
      </c>
      <c r="E3108" s="215">
        <v>10</v>
      </c>
      <c r="F3108" s="511">
        <f t="shared" si="419"/>
        <v>444.1</v>
      </c>
      <c r="G3108" s="1559" t="s">
        <v>5003</v>
      </c>
      <c r="H3108" s="143">
        <v>68569311</v>
      </c>
      <c r="I3108" s="452" t="s">
        <v>4980</v>
      </c>
      <c r="J3108" s="515" t="s">
        <v>753</v>
      </c>
      <c r="K3108" s="452" t="s">
        <v>741</v>
      </c>
      <c r="L3108" s="191"/>
      <c r="M3108" s="191"/>
      <c r="N3108" s="191"/>
      <c r="O3108" s="191"/>
    </row>
    <row r="3109" spans="1:15">
      <c r="A3109" s="515"/>
      <c r="B3109" s="1558" t="s">
        <v>11589</v>
      </c>
      <c r="C3109" s="1557">
        <v>60</v>
      </c>
      <c r="D3109" s="1366">
        <f t="shared" si="418"/>
        <v>136.36363636363635</v>
      </c>
      <c r="E3109" s="215">
        <v>10</v>
      </c>
      <c r="F3109" s="511">
        <f t="shared" si="419"/>
        <v>146.4</v>
      </c>
      <c r="G3109" s="518" t="s">
        <v>11590</v>
      </c>
      <c r="H3109" s="1558">
        <v>64739000</v>
      </c>
      <c r="I3109" s="452" t="s">
        <v>4980</v>
      </c>
      <c r="J3109" s="515" t="s">
        <v>753</v>
      </c>
      <c r="K3109" s="452" t="s">
        <v>741</v>
      </c>
      <c r="L3109" s="191"/>
      <c r="M3109" s="191"/>
      <c r="N3109" s="191"/>
      <c r="O3109" s="191"/>
    </row>
    <row r="3110" spans="1:15">
      <c r="A3110" s="515"/>
      <c r="B3110" s="143" t="s">
        <v>4987</v>
      </c>
      <c r="C3110" s="1557">
        <v>48</v>
      </c>
      <c r="D3110" s="1366">
        <f t="shared" si="418"/>
        <v>109.09090909090908</v>
      </c>
      <c r="E3110" s="215">
        <v>10</v>
      </c>
      <c r="F3110" s="511">
        <f t="shared" si="419"/>
        <v>119.1</v>
      </c>
      <c r="G3110" s="1559" t="s">
        <v>7429</v>
      </c>
      <c r="H3110" s="143">
        <v>68829593</v>
      </c>
      <c r="I3110" s="452" t="s">
        <v>4980</v>
      </c>
      <c r="J3110" s="515" t="s">
        <v>753</v>
      </c>
      <c r="K3110" s="452" t="s">
        <v>741</v>
      </c>
      <c r="L3110" s="191"/>
      <c r="M3110" s="191"/>
      <c r="N3110" s="191"/>
      <c r="O3110" s="191"/>
    </row>
    <row r="3111" spans="1:15" s="185" customFormat="1">
      <c r="A3111" s="515"/>
      <c r="B3111" s="143"/>
      <c r="C3111" s="962"/>
      <c r="D3111" s="230"/>
      <c r="E3111" s="215"/>
      <c r="F3111" s="511"/>
      <c r="G3111" s="518"/>
      <c r="H3111" s="143"/>
      <c r="I3111" s="452"/>
      <c r="J3111" s="515"/>
      <c r="K3111" s="452"/>
      <c r="L3111" s="102"/>
      <c r="M3111" s="102"/>
      <c r="N3111" s="102"/>
      <c r="O3111" s="102"/>
    </row>
    <row r="3112" spans="1:15">
      <c r="A3112" s="515"/>
      <c r="B3112" s="144" t="s">
        <v>9203</v>
      </c>
      <c r="C3112" s="1557">
        <v>265</v>
      </c>
      <c r="D3112" s="1366">
        <f t="shared" ref="D3112:D3117" si="420">C3112*(1-VLOOKUP(I3112,descuentos,6,FALSE))*fcl</f>
        <v>602.27272727272725</v>
      </c>
      <c r="E3112" s="215">
        <v>50</v>
      </c>
      <c r="F3112" s="511">
        <f t="shared" ref="F3112:F3117" si="421">ROUNDUP(D3112+E3112,1)</f>
        <v>652.30000000000007</v>
      </c>
      <c r="G3112" s="518" t="s">
        <v>9204</v>
      </c>
      <c r="H3112" s="143" t="s">
        <v>9205</v>
      </c>
      <c r="I3112" s="452" t="s">
        <v>4980</v>
      </c>
      <c r="J3112" s="515" t="s">
        <v>753</v>
      </c>
      <c r="K3112" s="452" t="s">
        <v>741</v>
      </c>
      <c r="L3112" s="191"/>
      <c r="M3112" s="191"/>
      <c r="N3112" s="191"/>
      <c r="O3112" s="191"/>
    </row>
    <row r="3113" spans="1:15">
      <c r="A3113" s="515"/>
      <c r="B3113" s="144" t="s">
        <v>5008</v>
      </c>
      <c r="C3113" s="1557">
        <v>126</v>
      </c>
      <c r="D3113" s="1366">
        <f t="shared" si="420"/>
        <v>286.36363636363632</v>
      </c>
      <c r="E3113" s="215">
        <v>10</v>
      </c>
      <c r="F3113" s="511">
        <f t="shared" si="421"/>
        <v>296.40000000000003</v>
      </c>
      <c r="G3113" s="1559" t="s">
        <v>5009</v>
      </c>
      <c r="H3113" s="143">
        <v>68711185</v>
      </c>
      <c r="I3113" s="452" t="s">
        <v>4980</v>
      </c>
      <c r="J3113" s="515" t="s">
        <v>753</v>
      </c>
      <c r="K3113" s="452" t="s">
        <v>741</v>
      </c>
      <c r="L3113" s="191"/>
      <c r="M3113" s="191"/>
      <c r="N3113" s="191"/>
      <c r="O3113" s="191"/>
    </row>
    <row r="3114" spans="1:15">
      <c r="A3114" s="515"/>
      <c r="B3114" s="143" t="s">
        <v>5010</v>
      </c>
      <c r="C3114" s="1557">
        <v>142</v>
      </c>
      <c r="D3114" s="1366">
        <f t="shared" si="420"/>
        <v>322.72727272727269</v>
      </c>
      <c r="E3114" s="215">
        <v>10</v>
      </c>
      <c r="F3114" s="511">
        <f t="shared" si="421"/>
        <v>332.8</v>
      </c>
      <c r="G3114" s="1559" t="s">
        <v>5011</v>
      </c>
      <c r="H3114" s="143">
        <v>64324063</v>
      </c>
      <c r="I3114" s="452" t="s">
        <v>4980</v>
      </c>
      <c r="J3114" s="515" t="s">
        <v>753</v>
      </c>
      <c r="K3114" s="452" t="s">
        <v>741</v>
      </c>
      <c r="L3114" s="191"/>
      <c r="M3114" s="191"/>
      <c r="N3114" s="191"/>
      <c r="O3114" s="191"/>
    </row>
    <row r="3115" spans="1:15">
      <c r="A3115" s="515"/>
      <c r="B3115" s="143" t="s">
        <v>5002</v>
      </c>
      <c r="C3115" s="962">
        <v>191</v>
      </c>
      <c r="D3115" s="1366">
        <f t="shared" si="420"/>
        <v>434.09090909090907</v>
      </c>
      <c r="E3115" s="215">
        <v>10</v>
      </c>
      <c r="F3115" s="511">
        <f t="shared" si="421"/>
        <v>444.1</v>
      </c>
      <c r="G3115" s="1559" t="s">
        <v>5003</v>
      </c>
      <c r="H3115" s="143">
        <v>68569311</v>
      </c>
      <c r="I3115" s="452" t="s">
        <v>4980</v>
      </c>
      <c r="J3115" s="515" t="s">
        <v>753</v>
      </c>
      <c r="K3115" s="452" t="s">
        <v>741</v>
      </c>
      <c r="L3115" s="191"/>
      <c r="M3115" s="191"/>
      <c r="N3115" s="191"/>
      <c r="O3115" s="191"/>
    </row>
    <row r="3116" spans="1:15">
      <c r="A3116" s="515"/>
      <c r="B3116" s="1558" t="s">
        <v>11589</v>
      </c>
      <c r="C3116" s="1557">
        <v>60</v>
      </c>
      <c r="D3116" s="1366">
        <f t="shared" si="420"/>
        <v>136.36363636363635</v>
      </c>
      <c r="E3116" s="215">
        <v>10</v>
      </c>
      <c r="F3116" s="511">
        <f t="shared" si="421"/>
        <v>146.4</v>
      </c>
      <c r="G3116" s="518" t="s">
        <v>11590</v>
      </c>
      <c r="H3116" s="1558">
        <v>64739000</v>
      </c>
      <c r="I3116" s="452" t="s">
        <v>4980</v>
      </c>
      <c r="J3116" s="515" t="s">
        <v>753</v>
      </c>
      <c r="K3116" s="452" t="s">
        <v>741</v>
      </c>
      <c r="L3116" s="191"/>
      <c r="M3116" s="191"/>
      <c r="N3116" s="191"/>
      <c r="O3116" s="191"/>
    </row>
    <row r="3117" spans="1:15">
      <c r="A3117" s="515"/>
      <c r="B3117" s="143" t="s">
        <v>4987</v>
      </c>
      <c r="C3117" s="1557">
        <v>48</v>
      </c>
      <c r="D3117" s="1366">
        <f t="shared" si="420"/>
        <v>109.09090909090908</v>
      </c>
      <c r="E3117" s="215">
        <v>10</v>
      </c>
      <c r="F3117" s="511">
        <f t="shared" si="421"/>
        <v>119.1</v>
      </c>
      <c r="G3117" s="1559" t="s">
        <v>7429</v>
      </c>
      <c r="H3117" s="143">
        <v>68829593</v>
      </c>
      <c r="I3117" s="452" t="s">
        <v>4980</v>
      </c>
      <c r="J3117" s="515" t="s">
        <v>753</v>
      </c>
      <c r="K3117" s="452" t="s">
        <v>741</v>
      </c>
      <c r="L3117" s="191"/>
      <c r="M3117" s="191"/>
      <c r="N3117" s="191"/>
      <c r="O3117" s="191"/>
    </row>
    <row r="3118" spans="1:15" s="185" customFormat="1">
      <c r="A3118" s="515"/>
      <c r="B3118" s="143"/>
      <c r="C3118" s="102"/>
      <c r="D3118" s="102"/>
      <c r="E3118" s="102"/>
      <c r="F3118" s="511"/>
      <c r="G3118" s="518"/>
      <c r="H3118" s="143"/>
      <c r="I3118" s="452"/>
      <c r="J3118" s="515"/>
      <c r="K3118" s="452"/>
      <c r="L3118" s="102"/>
      <c r="M3118" s="102"/>
      <c r="N3118" s="102"/>
      <c r="O3118" s="102"/>
    </row>
    <row r="3119" spans="1:15" s="185" customFormat="1">
      <c r="A3119" s="515"/>
      <c r="B3119" s="143"/>
      <c r="C3119" s="102"/>
      <c r="D3119" s="102"/>
      <c r="E3119" s="102"/>
      <c r="F3119" s="511"/>
      <c r="G3119" s="518"/>
      <c r="H3119" s="143"/>
      <c r="I3119" s="452"/>
      <c r="J3119" s="515"/>
      <c r="K3119" s="452"/>
      <c r="L3119" s="102"/>
      <c r="M3119" s="102"/>
      <c r="N3119" s="102"/>
      <c r="O3119" s="102"/>
    </row>
    <row r="3120" spans="1:15" s="185" customFormat="1">
      <c r="A3120" s="515"/>
      <c r="B3120" s="143"/>
      <c r="C3120" s="102"/>
      <c r="D3120" s="102"/>
      <c r="E3120" s="102"/>
      <c r="F3120" s="511"/>
      <c r="G3120" s="518"/>
      <c r="H3120" s="143"/>
      <c r="I3120" s="452"/>
      <c r="J3120" s="515"/>
      <c r="K3120" s="452"/>
      <c r="L3120" s="102"/>
      <c r="M3120" s="102"/>
      <c r="N3120" s="102"/>
      <c r="O3120" s="102"/>
    </row>
    <row r="3121" spans="1:15">
      <c r="A3121" s="515"/>
      <c r="B3121" s="144" t="s">
        <v>9206</v>
      </c>
      <c r="C3121" s="962">
        <v>461</v>
      </c>
      <c r="D3121" s="1366">
        <f t="shared" ref="D3121:D3126" si="422">C3121*(1-VLOOKUP(I3121,descuentos,6,FALSE))*fcl</f>
        <v>1047.7272727272725</v>
      </c>
      <c r="E3121" s="215">
        <v>50</v>
      </c>
      <c r="F3121" s="511">
        <f t="shared" ref="F3121:F3126" si="423">ROUNDUP(D3121+E3121,1)</f>
        <v>1097.8</v>
      </c>
      <c r="G3121" s="518" t="s">
        <v>9207</v>
      </c>
      <c r="H3121" s="143" t="s">
        <v>9208</v>
      </c>
      <c r="I3121" s="452" t="s">
        <v>4980</v>
      </c>
      <c r="J3121" s="515" t="s">
        <v>753</v>
      </c>
      <c r="K3121" s="452" t="s">
        <v>741</v>
      </c>
      <c r="L3121" s="191"/>
      <c r="M3121" s="191"/>
      <c r="N3121" s="191"/>
      <c r="O3121" s="191"/>
    </row>
    <row r="3122" spans="1:15">
      <c r="A3122" s="515"/>
      <c r="B3122" s="143" t="s">
        <v>7450</v>
      </c>
      <c r="C3122" s="1557">
        <v>200</v>
      </c>
      <c r="D3122" s="1366">
        <f t="shared" si="422"/>
        <v>454.5454545454545</v>
      </c>
      <c r="E3122" s="215">
        <v>10</v>
      </c>
      <c r="F3122" s="511">
        <f t="shared" si="423"/>
        <v>464.6</v>
      </c>
      <c r="G3122" s="518" t="s">
        <v>7451</v>
      </c>
      <c r="H3122" s="143">
        <v>68691770</v>
      </c>
      <c r="I3122" s="452" t="s">
        <v>4980</v>
      </c>
      <c r="J3122" s="515" t="s">
        <v>753</v>
      </c>
      <c r="K3122" s="452" t="s">
        <v>741</v>
      </c>
      <c r="L3122" s="191"/>
      <c r="M3122" s="191"/>
      <c r="N3122" s="191"/>
      <c r="O3122" s="191"/>
    </row>
    <row r="3123" spans="1:15">
      <c r="A3123" s="515"/>
      <c r="B3123" s="144" t="s">
        <v>9209</v>
      </c>
      <c r="C3123" s="962">
        <v>71</v>
      </c>
      <c r="D3123" s="1366">
        <f t="shared" si="422"/>
        <v>161.36363636363635</v>
      </c>
      <c r="E3123" s="215">
        <v>10</v>
      </c>
      <c r="F3123" s="511">
        <f t="shared" si="423"/>
        <v>171.4</v>
      </c>
      <c r="G3123" s="518" t="s">
        <v>9210</v>
      </c>
      <c r="H3123" s="143">
        <v>68418534</v>
      </c>
      <c r="I3123" s="452" t="s">
        <v>4980</v>
      </c>
      <c r="J3123" s="515" t="s">
        <v>753</v>
      </c>
      <c r="K3123" s="452" t="s">
        <v>741</v>
      </c>
      <c r="L3123" s="191"/>
      <c r="M3123" s="191"/>
      <c r="N3123" s="191"/>
      <c r="O3123" s="191"/>
    </row>
    <row r="3124" spans="1:15">
      <c r="A3124" s="515"/>
      <c r="B3124" s="143" t="s">
        <v>5000</v>
      </c>
      <c r="C3124" s="962">
        <v>172</v>
      </c>
      <c r="D3124" s="1366">
        <f t="shared" si="422"/>
        <v>390.90909090909088</v>
      </c>
      <c r="E3124" s="215">
        <v>10</v>
      </c>
      <c r="F3124" s="511">
        <f t="shared" si="423"/>
        <v>401</v>
      </c>
      <c r="G3124" s="518" t="s">
        <v>5001</v>
      </c>
      <c r="H3124" s="143">
        <v>64324080</v>
      </c>
      <c r="I3124" s="452" t="s">
        <v>4980</v>
      </c>
      <c r="J3124" s="515" t="s">
        <v>753</v>
      </c>
      <c r="K3124" s="452" t="s">
        <v>741</v>
      </c>
      <c r="L3124" s="191"/>
      <c r="M3124" s="191"/>
      <c r="N3124" s="191"/>
      <c r="O3124" s="191"/>
    </row>
    <row r="3125" spans="1:15">
      <c r="A3125" s="515"/>
      <c r="B3125" s="1558" t="s">
        <v>11589</v>
      </c>
      <c r="C3125" s="1557">
        <v>60</v>
      </c>
      <c r="D3125" s="1366">
        <f t="shared" si="422"/>
        <v>136.36363636363635</v>
      </c>
      <c r="E3125" s="215">
        <v>10</v>
      </c>
      <c r="F3125" s="511">
        <f t="shared" si="423"/>
        <v>146.4</v>
      </c>
      <c r="G3125" s="518" t="s">
        <v>11590</v>
      </c>
      <c r="H3125" s="1558">
        <v>64739000</v>
      </c>
      <c r="I3125" s="452" t="s">
        <v>4980</v>
      </c>
      <c r="J3125" s="515" t="s">
        <v>753</v>
      </c>
      <c r="K3125" s="452" t="s">
        <v>741</v>
      </c>
      <c r="L3125" s="191"/>
      <c r="M3125" s="191"/>
      <c r="N3125" s="191"/>
      <c r="O3125" s="191"/>
    </row>
    <row r="3126" spans="1:15">
      <c r="A3126" s="515"/>
      <c r="B3126" s="143" t="s">
        <v>4987</v>
      </c>
      <c r="C3126" s="1557">
        <v>48</v>
      </c>
      <c r="D3126" s="1366">
        <f t="shared" si="422"/>
        <v>109.09090909090908</v>
      </c>
      <c r="E3126" s="215">
        <v>10</v>
      </c>
      <c r="F3126" s="511">
        <f t="shared" si="423"/>
        <v>119.1</v>
      </c>
      <c r="G3126" s="518" t="s">
        <v>7429</v>
      </c>
      <c r="H3126" s="143">
        <v>68829593</v>
      </c>
      <c r="I3126" s="452" t="s">
        <v>4980</v>
      </c>
      <c r="J3126" s="515" t="s">
        <v>753</v>
      </c>
      <c r="K3126" s="452" t="s">
        <v>741</v>
      </c>
      <c r="L3126" s="191"/>
      <c r="M3126" s="191"/>
      <c r="N3126" s="191"/>
      <c r="O3126" s="191"/>
    </row>
    <row r="3127" spans="1:15" s="185" customFormat="1">
      <c r="A3127" s="515"/>
      <c r="B3127" s="143"/>
      <c r="C3127" s="102"/>
      <c r="D3127" s="102"/>
      <c r="E3127" s="102"/>
      <c r="F3127" s="511"/>
      <c r="G3127" s="518"/>
      <c r="H3127" s="143"/>
      <c r="I3127" s="452"/>
      <c r="J3127" s="515"/>
      <c r="K3127" s="452"/>
      <c r="L3127" s="102"/>
      <c r="M3127" s="102"/>
      <c r="N3127" s="102"/>
      <c r="O3127" s="102"/>
    </row>
    <row r="3128" spans="1:15">
      <c r="A3128" s="515"/>
      <c r="B3128" s="144" t="s">
        <v>9211</v>
      </c>
      <c r="C3128" s="1557">
        <v>392</v>
      </c>
      <c r="D3128" s="1366">
        <f t="shared" ref="D3128:D3133" si="424">C3128*(1-VLOOKUP(I3128,descuentos,6,FALSE))*fcl</f>
        <v>890.90909090909076</v>
      </c>
      <c r="E3128" s="215">
        <v>50</v>
      </c>
      <c r="F3128" s="511">
        <f t="shared" ref="F3128:F3133" si="425">ROUNDUP(D3128+E3128,1)</f>
        <v>941</v>
      </c>
      <c r="G3128" s="518" t="s">
        <v>9212</v>
      </c>
      <c r="H3128" s="143" t="s">
        <v>9213</v>
      </c>
      <c r="I3128" s="452" t="s">
        <v>4980</v>
      </c>
      <c r="J3128" s="515" t="s">
        <v>753</v>
      </c>
      <c r="K3128" s="452" t="s">
        <v>741</v>
      </c>
      <c r="L3128" s="191"/>
      <c r="M3128" s="191"/>
      <c r="N3128" s="191"/>
      <c r="O3128" s="191"/>
    </row>
    <row r="3129" spans="1:15">
      <c r="A3129" s="515"/>
      <c r="B3129" s="143" t="s">
        <v>7450</v>
      </c>
      <c r="C3129" s="1557">
        <v>200</v>
      </c>
      <c r="D3129" s="1366">
        <f t="shared" si="424"/>
        <v>454.5454545454545</v>
      </c>
      <c r="E3129" s="215">
        <v>10</v>
      </c>
      <c r="F3129" s="511">
        <f t="shared" si="425"/>
        <v>464.6</v>
      </c>
      <c r="G3129" s="518" t="s">
        <v>7451</v>
      </c>
      <c r="H3129" s="143">
        <v>68691770</v>
      </c>
      <c r="I3129" s="452" t="s">
        <v>4980</v>
      </c>
      <c r="J3129" s="515" t="s">
        <v>753</v>
      </c>
      <c r="K3129" s="452" t="s">
        <v>741</v>
      </c>
      <c r="L3129" s="191"/>
      <c r="M3129" s="191"/>
      <c r="N3129" s="191"/>
      <c r="O3129" s="191"/>
    </row>
    <row r="3130" spans="1:15">
      <c r="A3130" s="515"/>
      <c r="B3130" s="144" t="s">
        <v>9214</v>
      </c>
      <c r="C3130" s="1557">
        <v>50</v>
      </c>
      <c r="D3130" s="1366">
        <f t="shared" si="424"/>
        <v>113.63636363636363</v>
      </c>
      <c r="E3130" s="215">
        <v>10</v>
      </c>
      <c r="F3130" s="511">
        <f t="shared" si="425"/>
        <v>123.69999999999999</v>
      </c>
      <c r="G3130" s="518" t="s">
        <v>9215</v>
      </c>
      <c r="H3130" s="143">
        <v>68418526</v>
      </c>
      <c r="I3130" s="452" t="s">
        <v>4980</v>
      </c>
      <c r="J3130" s="515" t="s">
        <v>753</v>
      </c>
      <c r="K3130" s="452" t="s">
        <v>741</v>
      </c>
      <c r="L3130" s="191"/>
      <c r="M3130" s="191"/>
      <c r="N3130" s="191"/>
      <c r="O3130" s="191"/>
    </row>
    <row r="3131" spans="1:15">
      <c r="A3131" s="515"/>
      <c r="B3131" s="143" t="s">
        <v>5000</v>
      </c>
      <c r="C3131" s="962">
        <v>172</v>
      </c>
      <c r="D3131" s="1366">
        <f t="shared" si="424"/>
        <v>390.90909090909088</v>
      </c>
      <c r="E3131" s="215">
        <v>10</v>
      </c>
      <c r="F3131" s="511">
        <f t="shared" si="425"/>
        <v>401</v>
      </c>
      <c r="G3131" s="518" t="s">
        <v>5001</v>
      </c>
      <c r="H3131" s="143">
        <v>64324080</v>
      </c>
      <c r="I3131" s="452" t="s">
        <v>4980</v>
      </c>
      <c r="J3131" s="515" t="s">
        <v>753</v>
      </c>
      <c r="K3131" s="452" t="s">
        <v>741</v>
      </c>
      <c r="L3131" s="191"/>
      <c r="M3131" s="191"/>
      <c r="N3131" s="191"/>
      <c r="O3131" s="191"/>
    </row>
    <row r="3132" spans="1:15">
      <c r="A3132" s="515"/>
      <c r="B3132" s="1558" t="s">
        <v>11589</v>
      </c>
      <c r="C3132" s="1557">
        <v>60</v>
      </c>
      <c r="D3132" s="1366">
        <f t="shared" si="424"/>
        <v>136.36363636363635</v>
      </c>
      <c r="E3132" s="215">
        <v>10</v>
      </c>
      <c r="F3132" s="511">
        <f t="shared" si="425"/>
        <v>146.4</v>
      </c>
      <c r="G3132" s="518" t="s">
        <v>11590</v>
      </c>
      <c r="H3132" s="1558">
        <v>64739000</v>
      </c>
      <c r="I3132" s="452" t="s">
        <v>4980</v>
      </c>
      <c r="J3132" s="515" t="s">
        <v>753</v>
      </c>
      <c r="K3132" s="452" t="s">
        <v>741</v>
      </c>
      <c r="L3132" s="191"/>
      <c r="M3132" s="191"/>
      <c r="N3132" s="191"/>
      <c r="O3132" s="191"/>
    </row>
    <row r="3133" spans="1:15">
      <c r="A3133" s="515"/>
      <c r="B3133" s="143" t="s">
        <v>4987</v>
      </c>
      <c r="C3133" s="1557">
        <v>48</v>
      </c>
      <c r="D3133" s="1366">
        <f t="shared" si="424"/>
        <v>109.09090909090908</v>
      </c>
      <c r="E3133" s="215">
        <v>10</v>
      </c>
      <c r="F3133" s="511">
        <f t="shared" si="425"/>
        <v>119.1</v>
      </c>
      <c r="G3133" s="518" t="s">
        <v>7429</v>
      </c>
      <c r="H3133" s="143">
        <v>68829593</v>
      </c>
      <c r="I3133" s="452" t="s">
        <v>4980</v>
      </c>
      <c r="J3133" s="515" t="s">
        <v>753</v>
      </c>
      <c r="K3133" s="452" t="s">
        <v>741</v>
      </c>
      <c r="L3133" s="191"/>
      <c r="M3133" s="191"/>
      <c r="N3133" s="191"/>
      <c r="O3133" s="191"/>
    </row>
    <row r="3134" spans="1:15" s="185" customFormat="1">
      <c r="A3134" s="515"/>
      <c r="B3134" s="143"/>
      <c r="C3134" s="102"/>
      <c r="D3134" s="102"/>
      <c r="E3134" s="102"/>
      <c r="F3134" s="511"/>
      <c r="G3134" s="518"/>
      <c r="H3134" s="143"/>
      <c r="I3134" s="452"/>
      <c r="J3134" s="515"/>
      <c r="K3134" s="452"/>
      <c r="L3134" s="102"/>
      <c r="M3134" s="102"/>
      <c r="N3134" s="102"/>
      <c r="O3134" s="102"/>
    </row>
    <row r="3135" spans="1:15">
      <c r="A3135" s="515"/>
      <c r="B3135" s="144" t="s">
        <v>9216</v>
      </c>
      <c r="C3135" s="1557">
        <v>362</v>
      </c>
      <c r="D3135" s="1366">
        <f t="shared" ref="D3135:D3140" si="426">C3135*(1-VLOOKUP(I3135,descuentos,6,FALSE))*fcl</f>
        <v>822.72727272727263</v>
      </c>
      <c r="E3135" s="215">
        <v>50</v>
      </c>
      <c r="F3135" s="511">
        <f t="shared" ref="F3135:F3140" si="427">ROUNDUP(D3135+E3135,1)</f>
        <v>872.80000000000007</v>
      </c>
      <c r="G3135" s="518" t="s">
        <v>9217</v>
      </c>
      <c r="H3135" s="143" t="s">
        <v>9218</v>
      </c>
      <c r="I3135" s="452" t="s">
        <v>4980</v>
      </c>
      <c r="J3135" s="515" t="s">
        <v>753</v>
      </c>
      <c r="K3135" s="452" t="s">
        <v>741</v>
      </c>
      <c r="L3135" s="191"/>
      <c r="M3135" s="191"/>
      <c r="N3135" s="191"/>
      <c r="O3135" s="191"/>
    </row>
    <row r="3136" spans="1:15">
      <c r="A3136" s="515"/>
      <c r="B3136" s="143" t="s">
        <v>7450</v>
      </c>
      <c r="C3136" s="1557">
        <v>200</v>
      </c>
      <c r="D3136" s="1366">
        <f t="shared" si="426"/>
        <v>454.5454545454545</v>
      </c>
      <c r="E3136" s="215">
        <v>10</v>
      </c>
      <c r="F3136" s="511">
        <f t="shared" si="427"/>
        <v>464.6</v>
      </c>
      <c r="G3136" s="518" t="s">
        <v>7451</v>
      </c>
      <c r="H3136" s="143">
        <v>68691770</v>
      </c>
      <c r="I3136" s="452" t="s">
        <v>4980</v>
      </c>
      <c r="J3136" s="515" t="s">
        <v>753</v>
      </c>
      <c r="K3136" s="452" t="s">
        <v>741</v>
      </c>
      <c r="L3136" s="191"/>
      <c r="M3136" s="191"/>
      <c r="N3136" s="191"/>
      <c r="O3136" s="191"/>
    </row>
    <row r="3137" spans="1:15">
      <c r="A3137" s="515"/>
      <c r="B3137" s="144" t="s">
        <v>9214</v>
      </c>
      <c r="C3137" s="1557">
        <v>50</v>
      </c>
      <c r="D3137" s="1366">
        <f t="shared" si="426"/>
        <v>113.63636363636363</v>
      </c>
      <c r="E3137" s="215">
        <v>10</v>
      </c>
      <c r="F3137" s="511">
        <f t="shared" si="427"/>
        <v>123.69999999999999</v>
      </c>
      <c r="G3137" s="518" t="s">
        <v>9215</v>
      </c>
      <c r="H3137" s="143">
        <v>68418526</v>
      </c>
      <c r="I3137" s="452" t="s">
        <v>4980</v>
      </c>
      <c r="J3137" s="515" t="s">
        <v>753</v>
      </c>
      <c r="K3137" s="452" t="s">
        <v>741</v>
      </c>
      <c r="L3137" s="191"/>
      <c r="M3137" s="191"/>
      <c r="N3137" s="191"/>
      <c r="O3137" s="191"/>
    </row>
    <row r="3138" spans="1:15">
      <c r="A3138" s="515"/>
      <c r="B3138" s="143" t="s">
        <v>5000</v>
      </c>
      <c r="C3138" s="962">
        <v>172</v>
      </c>
      <c r="D3138" s="1366">
        <f t="shared" si="426"/>
        <v>390.90909090909088</v>
      </c>
      <c r="E3138" s="215">
        <v>10</v>
      </c>
      <c r="F3138" s="511">
        <f t="shared" si="427"/>
        <v>401</v>
      </c>
      <c r="G3138" s="518" t="s">
        <v>5001</v>
      </c>
      <c r="H3138" s="143">
        <v>64324080</v>
      </c>
      <c r="I3138" s="452" t="s">
        <v>4980</v>
      </c>
      <c r="J3138" s="515" t="s">
        <v>753</v>
      </c>
      <c r="K3138" s="452" t="s">
        <v>741</v>
      </c>
      <c r="L3138" s="191"/>
      <c r="M3138" s="191"/>
      <c r="N3138" s="191"/>
      <c r="O3138" s="191"/>
    </row>
    <row r="3139" spans="1:15">
      <c r="A3139" s="515"/>
      <c r="B3139" s="1558" t="s">
        <v>11589</v>
      </c>
      <c r="C3139" s="1557">
        <v>60</v>
      </c>
      <c r="D3139" s="1366">
        <f t="shared" si="426"/>
        <v>136.36363636363635</v>
      </c>
      <c r="E3139" s="215">
        <v>10</v>
      </c>
      <c r="F3139" s="511">
        <f t="shared" si="427"/>
        <v>146.4</v>
      </c>
      <c r="G3139" s="518" t="s">
        <v>11590</v>
      </c>
      <c r="H3139" s="1558">
        <v>64739000</v>
      </c>
      <c r="I3139" s="452" t="s">
        <v>4980</v>
      </c>
      <c r="J3139" s="515" t="s">
        <v>753</v>
      </c>
      <c r="K3139" s="452" t="s">
        <v>741</v>
      </c>
      <c r="L3139" s="191"/>
      <c r="M3139" s="191"/>
      <c r="N3139" s="191"/>
      <c r="O3139" s="191"/>
    </row>
    <row r="3140" spans="1:15">
      <c r="A3140" s="515"/>
      <c r="B3140" s="143" t="s">
        <v>4987</v>
      </c>
      <c r="C3140" s="1557">
        <v>48</v>
      </c>
      <c r="D3140" s="1366">
        <f t="shared" si="426"/>
        <v>109.09090909090908</v>
      </c>
      <c r="E3140" s="215">
        <v>10</v>
      </c>
      <c r="F3140" s="511">
        <f t="shared" si="427"/>
        <v>119.1</v>
      </c>
      <c r="G3140" s="518" t="s">
        <v>7429</v>
      </c>
      <c r="H3140" s="143">
        <v>68829593</v>
      </c>
      <c r="I3140" s="452" t="s">
        <v>4980</v>
      </c>
      <c r="J3140" s="515" t="s">
        <v>753</v>
      </c>
      <c r="K3140" s="452" t="s">
        <v>741</v>
      </c>
      <c r="L3140" s="191"/>
      <c r="M3140" s="191"/>
      <c r="N3140" s="191"/>
      <c r="O3140" s="191"/>
    </row>
    <row r="3141" spans="1:15" s="185" customFormat="1">
      <c r="A3141" s="515"/>
      <c r="B3141" s="143"/>
      <c r="C3141" s="102"/>
      <c r="D3141" s="102"/>
      <c r="E3141" s="102"/>
      <c r="F3141" s="511"/>
      <c r="G3141" s="518"/>
      <c r="H3141" s="143"/>
      <c r="I3141" s="452"/>
      <c r="J3141" s="515"/>
      <c r="K3141" s="452"/>
      <c r="L3141" s="102"/>
      <c r="M3141" s="102"/>
      <c r="N3141" s="102"/>
      <c r="O3141" s="102"/>
    </row>
    <row r="3142" spans="1:15">
      <c r="A3142" s="515"/>
      <c r="B3142" s="144" t="s">
        <v>7448</v>
      </c>
      <c r="C3142" s="962">
        <v>310</v>
      </c>
      <c r="D3142" s="1366">
        <f t="shared" ref="D3142:D3147" si="428">C3142*(1-VLOOKUP(I3142,descuentos,6,FALSE))*fcl</f>
        <v>704.5454545454545</v>
      </c>
      <c r="E3142" s="215">
        <v>50</v>
      </c>
      <c r="F3142" s="511">
        <f t="shared" ref="F3142:F3147" si="429">ROUNDUP(D3142+E3142,1)</f>
        <v>754.6</v>
      </c>
      <c r="G3142" s="518" t="s">
        <v>9219</v>
      </c>
      <c r="H3142" s="143" t="s">
        <v>7449</v>
      </c>
      <c r="I3142" s="452" t="s">
        <v>4980</v>
      </c>
      <c r="J3142" s="515" t="s">
        <v>753</v>
      </c>
      <c r="K3142" s="452" t="s">
        <v>741</v>
      </c>
      <c r="L3142" s="191"/>
      <c r="M3142" s="191"/>
      <c r="N3142" s="191"/>
      <c r="O3142" s="191"/>
    </row>
    <row r="3143" spans="1:15">
      <c r="A3143" s="515"/>
      <c r="B3143" s="143" t="s">
        <v>7450</v>
      </c>
      <c r="C3143" s="1557">
        <v>200</v>
      </c>
      <c r="D3143" s="1366">
        <f t="shared" si="428"/>
        <v>454.5454545454545</v>
      </c>
      <c r="E3143" s="215">
        <v>10</v>
      </c>
      <c r="F3143" s="511">
        <f>ROUNDUP(D3143+E3143,1)</f>
        <v>464.6</v>
      </c>
      <c r="G3143" s="518" t="s">
        <v>7451</v>
      </c>
      <c r="H3143" s="143">
        <v>68691770</v>
      </c>
      <c r="I3143" s="452" t="s">
        <v>4980</v>
      </c>
      <c r="J3143" s="515" t="s">
        <v>753</v>
      </c>
      <c r="K3143" s="452" t="s">
        <v>741</v>
      </c>
      <c r="L3143" s="191"/>
      <c r="M3143" s="191"/>
      <c r="N3143" s="191"/>
      <c r="O3143" s="191"/>
    </row>
    <row r="3144" spans="1:15">
      <c r="A3144" s="515"/>
      <c r="B3144" s="144" t="s">
        <v>7452</v>
      </c>
      <c r="C3144" s="962">
        <v>38</v>
      </c>
      <c r="D3144" s="1366">
        <f t="shared" si="428"/>
        <v>86.36363636363636</v>
      </c>
      <c r="E3144" s="215">
        <v>10</v>
      </c>
      <c r="F3144" s="511">
        <f t="shared" si="429"/>
        <v>96.399999999999991</v>
      </c>
      <c r="G3144" s="518" t="s">
        <v>7453</v>
      </c>
      <c r="H3144" s="143">
        <v>68418518</v>
      </c>
      <c r="I3144" s="452" t="s">
        <v>4980</v>
      </c>
      <c r="J3144" s="515" t="s">
        <v>753</v>
      </c>
      <c r="K3144" s="452" t="s">
        <v>741</v>
      </c>
      <c r="L3144" s="191"/>
      <c r="M3144" s="191"/>
      <c r="N3144" s="191"/>
      <c r="O3144" s="191"/>
    </row>
    <row r="3145" spans="1:15">
      <c r="A3145" s="515"/>
      <c r="B3145" s="143" t="s">
        <v>5010</v>
      </c>
      <c r="C3145" s="962">
        <v>142</v>
      </c>
      <c r="D3145" s="1366">
        <f t="shared" si="428"/>
        <v>322.72727272727269</v>
      </c>
      <c r="E3145" s="215">
        <v>10</v>
      </c>
      <c r="F3145" s="511">
        <f t="shared" si="429"/>
        <v>332.8</v>
      </c>
      <c r="G3145" s="518" t="s">
        <v>5011</v>
      </c>
      <c r="H3145" s="143">
        <v>64324063</v>
      </c>
      <c r="I3145" s="452" t="s">
        <v>4980</v>
      </c>
      <c r="J3145" s="515" t="s">
        <v>753</v>
      </c>
      <c r="K3145" s="452" t="s">
        <v>741</v>
      </c>
      <c r="L3145" s="191"/>
      <c r="M3145" s="191"/>
      <c r="N3145" s="191"/>
      <c r="O3145" s="191"/>
    </row>
    <row r="3146" spans="1:15">
      <c r="A3146" s="515"/>
      <c r="B3146" s="1558" t="s">
        <v>11589</v>
      </c>
      <c r="C3146" s="1557">
        <v>60</v>
      </c>
      <c r="D3146" s="1366">
        <f t="shared" si="428"/>
        <v>136.36363636363635</v>
      </c>
      <c r="E3146" s="215">
        <v>10</v>
      </c>
      <c r="F3146" s="511">
        <f t="shared" si="429"/>
        <v>146.4</v>
      </c>
      <c r="G3146" s="518" t="s">
        <v>11590</v>
      </c>
      <c r="H3146" s="1558">
        <v>64739000</v>
      </c>
      <c r="I3146" s="452" t="s">
        <v>4980</v>
      </c>
      <c r="J3146" s="515" t="s">
        <v>753</v>
      </c>
      <c r="K3146" s="452" t="s">
        <v>741</v>
      </c>
      <c r="L3146" s="191"/>
      <c r="M3146" s="191"/>
      <c r="N3146" s="191"/>
      <c r="O3146" s="191"/>
    </row>
    <row r="3147" spans="1:15">
      <c r="A3147" s="515"/>
      <c r="B3147" s="143" t="s">
        <v>4987</v>
      </c>
      <c r="C3147" s="1557">
        <v>48</v>
      </c>
      <c r="D3147" s="1366">
        <f t="shared" si="428"/>
        <v>109.09090909090908</v>
      </c>
      <c r="E3147" s="215">
        <v>10</v>
      </c>
      <c r="F3147" s="511">
        <f t="shared" si="429"/>
        <v>119.1</v>
      </c>
      <c r="G3147" s="518" t="s">
        <v>7429</v>
      </c>
      <c r="H3147" s="143">
        <v>68829593</v>
      </c>
      <c r="I3147" s="452" t="s">
        <v>4980</v>
      </c>
      <c r="J3147" s="515" t="s">
        <v>753</v>
      </c>
      <c r="K3147" s="452" t="s">
        <v>741</v>
      </c>
      <c r="L3147" s="191"/>
      <c r="M3147" s="191"/>
      <c r="N3147" s="191"/>
      <c r="O3147" s="191"/>
    </row>
    <row r="3148" spans="1:15" s="185" customFormat="1">
      <c r="A3148" s="515"/>
      <c r="B3148" s="143"/>
      <c r="C3148" s="962"/>
      <c r="D3148" s="230"/>
      <c r="E3148" s="215"/>
      <c r="F3148" s="511"/>
      <c r="G3148" s="518"/>
      <c r="H3148" s="143"/>
      <c r="I3148" s="452"/>
      <c r="J3148" s="515"/>
      <c r="K3148" s="452"/>
      <c r="L3148" s="102"/>
      <c r="M3148" s="102"/>
      <c r="N3148" s="102"/>
      <c r="O3148" s="102"/>
    </row>
    <row r="3149" spans="1:15">
      <c r="A3149" s="515"/>
      <c r="B3149" s="144" t="s">
        <v>9220</v>
      </c>
      <c r="C3149" s="1557">
        <v>248</v>
      </c>
      <c r="D3149" s="1366">
        <f t="shared" ref="D3149:D3154" si="430">C3149*(1-VLOOKUP(I3149,descuentos,6,FALSE))*fcl</f>
        <v>563.63636363636363</v>
      </c>
      <c r="E3149" s="215">
        <v>50</v>
      </c>
      <c r="F3149" s="511">
        <f t="shared" ref="F3149:F3154" si="431">ROUNDUP(D3149+E3149,1)</f>
        <v>613.70000000000005</v>
      </c>
      <c r="G3149" s="518" t="s">
        <v>9221</v>
      </c>
      <c r="H3149" s="143" t="s">
        <v>9222</v>
      </c>
      <c r="I3149" s="452" t="s">
        <v>4980</v>
      </c>
      <c r="J3149" s="515" t="s">
        <v>753</v>
      </c>
      <c r="K3149" s="452" t="s">
        <v>741</v>
      </c>
      <c r="L3149" s="191"/>
      <c r="M3149" s="191"/>
      <c r="N3149" s="191"/>
      <c r="O3149" s="191"/>
    </row>
    <row r="3150" spans="1:15">
      <c r="A3150" s="515"/>
      <c r="B3150" s="143" t="s">
        <v>7450</v>
      </c>
      <c r="C3150" s="1557">
        <v>200</v>
      </c>
      <c r="D3150" s="1366">
        <f t="shared" si="430"/>
        <v>454.5454545454545</v>
      </c>
      <c r="E3150" s="215">
        <v>10</v>
      </c>
      <c r="F3150" s="511">
        <f t="shared" si="431"/>
        <v>464.6</v>
      </c>
      <c r="G3150" s="518" t="s">
        <v>7451</v>
      </c>
      <c r="H3150" s="143">
        <v>68691770</v>
      </c>
      <c r="I3150" s="452" t="s">
        <v>4980</v>
      </c>
      <c r="J3150" s="515" t="s">
        <v>753</v>
      </c>
      <c r="K3150" s="452" t="s">
        <v>741</v>
      </c>
      <c r="L3150" s="191"/>
      <c r="M3150" s="191"/>
      <c r="N3150" s="191"/>
      <c r="O3150" s="191"/>
    </row>
    <row r="3151" spans="1:15">
      <c r="A3151" s="1365"/>
      <c r="B3151" s="1560" t="s">
        <v>9223</v>
      </c>
      <c r="C3151" s="1557">
        <v>36</v>
      </c>
      <c r="D3151" s="1366">
        <f t="shared" si="430"/>
        <v>81.818181818181813</v>
      </c>
      <c r="E3151" s="215">
        <v>10</v>
      </c>
      <c r="F3151" s="511">
        <f t="shared" si="431"/>
        <v>91.899999999999991</v>
      </c>
      <c r="G3151" s="518" t="s">
        <v>9224</v>
      </c>
      <c r="H3151" s="143">
        <v>68418500</v>
      </c>
      <c r="I3151" s="452" t="s">
        <v>4980</v>
      </c>
      <c r="J3151" s="515" t="s">
        <v>753</v>
      </c>
      <c r="K3151" s="452" t="s">
        <v>741</v>
      </c>
      <c r="L3151" s="191"/>
      <c r="M3151" s="191"/>
      <c r="N3151" s="191"/>
      <c r="O3151" s="191"/>
    </row>
    <row r="3152" spans="1:15">
      <c r="A3152" s="515"/>
      <c r="B3152" s="143" t="s">
        <v>5010</v>
      </c>
      <c r="C3152" s="962">
        <v>142</v>
      </c>
      <c r="D3152" s="1366">
        <f t="shared" si="430"/>
        <v>322.72727272727269</v>
      </c>
      <c r="E3152" s="215">
        <v>10</v>
      </c>
      <c r="F3152" s="511">
        <f t="shared" si="431"/>
        <v>332.8</v>
      </c>
      <c r="G3152" s="518" t="s">
        <v>5011</v>
      </c>
      <c r="H3152" s="143">
        <v>64324063</v>
      </c>
      <c r="I3152" s="452" t="s">
        <v>4980</v>
      </c>
      <c r="J3152" s="515" t="s">
        <v>753</v>
      </c>
      <c r="K3152" s="452" t="s">
        <v>741</v>
      </c>
      <c r="L3152" s="191"/>
      <c r="M3152" s="191"/>
      <c r="N3152" s="191"/>
      <c r="O3152" s="191"/>
    </row>
    <row r="3153" spans="1:15">
      <c r="A3153" s="515"/>
      <c r="B3153" s="1558" t="s">
        <v>11589</v>
      </c>
      <c r="C3153" s="1557">
        <v>60</v>
      </c>
      <c r="D3153" s="1366">
        <f t="shared" si="430"/>
        <v>136.36363636363635</v>
      </c>
      <c r="E3153" s="215">
        <v>10</v>
      </c>
      <c r="F3153" s="511">
        <f t="shared" si="431"/>
        <v>146.4</v>
      </c>
      <c r="G3153" s="518" t="s">
        <v>11590</v>
      </c>
      <c r="H3153" s="1558">
        <v>64739000</v>
      </c>
      <c r="I3153" s="452" t="s">
        <v>4980</v>
      </c>
      <c r="J3153" s="515" t="s">
        <v>753</v>
      </c>
      <c r="K3153" s="452" t="s">
        <v>741</v>
      </c>
      <c r="L3153" s="191"/>
      <c r="M3153" s="191"/>
      <c r="N3153" s="191"/>
      <c r="O3153" s="191"/>
    </row>
    <row r="3154" spans="1:15">
      <c r="A3154" s="515"/>
      <c r="B3154" s="143" t="s">
        <v>4987</v>
      </c>
      <c r="C3154" s="1557">
        <v>48</v>
      </c>
      <c r="D3154" s="1366">
        <f t="shared" si="430"/>
        <v>109.09090909090908</v>
      </c>
      <c r="E3154" s="215">
        <v>10</v>
      </c>
      <c r="F3154" s="511">
        <f t="shared" si="431"/>
        <v>119.1</v>
      </c>
      <c r="G3154" s="518" t="s">
        <v>7429</v>
      </c>
      <c r="H3154" s="143">
        <v>68829593</v>
      </c>
      <c r="I3154" s="452" t="s">
        <v>4980</v>
      </c>
      <c r="J3154" s="515" t="s">
        <v>753</v>
      </c>
      <c r="K3154" s="452" t="s">
        <v>741</v>
      </c>
      <c r="L3154" s="191"/>
      <c r="M3154" s="191"/>
      <c r="N3154" s="191"/>
      <c r="O3154" s="191"/>
    </row>
    <row r="3155" spans="1:15" s="185" customFormat="1">
      <c r="A3155" s="515"/>
      <c r="B3155" s="143"/>
      <c r="C3155" s="962"/>
      <c r="D3155" s="230"/>
      <c r="E3155" s="215"/>
      <c r="F3155" s="511"/>
      <c r="G3155" s="518"/>
      <c r="H3155" s="143"/>
      <c r="I3155" s="452"/>
      <c r="J3155" s="515"/>
      <c r="K3155" s="452"/>
      <c r="L3155" s="102"/>
      <c r="M3155" s="102"/>
      <c r="N3155" s="102"/>
      <c r="O3155" s="102"/>
    </row>
    <row r="3156" spans="1:15" s="185" customFormat="1">
      <c r="A3156" s="515"/>
      <c r="B3156" s="143"/>
      <c r="C3156" s="962"/>
      <c r="D3156" s="230"/>
      <c r="E3156" s="215"/>
      <c r="F3156" s="511"/>
      <c r="G3156" s="518"/>
      <c r="H3156" s="143"/>
      <c r="I3156" s="452"/>
      <c r="J3156" s="515"/>
      <c r="K3156" s="452"/>
      <c r="L3156" s="102"/>
      <c r="M3156" s="102"/>
      <c r="N3156" s="102"/>
      <c r="O3156" s="102"/>
    </row>
    <row r="3157" spans="1:15">
      <c r="A3157" s="515"/>
      <c r="B3157" s="144" t="s">
        <v>9538</v>
      </c>
      <c r="C3157" s="1557">
        <v>281</v>
      </c>
      <c r="D3157" s="1366">
        <f t="shared" ref="D3157:D3163" si="432">C3157*(1-VLOOKUP(I3157,descuentos,6,FALSE))*fcl</f>
        <v>638.63636363636351</v>
      </c>
      <c r="E3157" s="215">
        <v>50</v>
      </c>
      <c r="F3157" s="511">
        <f t="shared" ref="F3157:F3163" si="433">ROUNDUP(D3157+E3157,1)</f>
        <v>688.7</v>
      </c>
      <c r="G3157" s="518" t="s">
        <v>9539</v>
      </c>
      <c r="H3157" s="1598" t="s">
        <v>9540</v>
      </c>
      <c r="I3157" s="452" t="s">
        <v>4980</v>
      </c>
      <c r="J3157" s="515" t="s">
        <v>753</v>
      </c>
      <c r="K3157" s="452" t="s">
        <v>741</v>
      </c>
      <c r="L3157" s="191"/>
      <c r="M3157" s="191"/>
      <c r="N3157" s="191"/>
      <c r="O3157" s="191"/>
    </row>
    <row r="3158" spans="1:15" s="185" customFormat="1">
      <c r="A3158" s="515"/>
      <c r="B3158" s="144" t="s">
        <v>9541</v>
      </c>
      <c r="C3158" s="1557">
        <v>331</v>
      </c>
      <c r="D3158" s="1366">
        <f t="shared" si="432"/>
        <v>752.27272727272714</v>
      </c>
      <c r="E3158" s="215">
        <v>50</v>
      </c>
      <c r="F3158" s="511">
        <f t="shared" si="433"/>
        <v>802.30000000000007</v>
      </c>
      <c r="G3158" s="518" t="s">
        <v>9542</v>
      </c>
      <c r="H3158" s="1598" t="s">
        <v>9543</v>
      </c>
      <c r="I3158" s="452" t="s">
        <v>4980</v>
      </c>
      <c r="J3158" s="515" t="s">
        <v>753</v>
      </c>
      <c r="K3158" s="452" t="s">
        <v>741</v>
      </c>
      <c r="L3158" s="102"/>
      <c r="M3158" s="102"/>
      <c r="N3158" s="102"/>
      <c r="O3158" s="102"/>
    </row>
    <row r="3159" spans="1:15" s="185" customFormat="1">
      <c r="A3159" s="515"/>
      <c r="B3159" s="144" t="s">
        <v>9544</v>
      </c>
      <c r="C3159" s="1557">
        <v>372</v>
      </c>
      <c r="D3159" s="1366">
        <f t="shared" si="432"/>
        <v>845.45454545454538</v>
      </c>
      <c r="E3159" s="215">
        <v>50</v>
      </c>
      <c r="F3159" s="511">
        <f t="shared" si="433"/>
        <v>895.5</v>
      </c>
      <c r="G3159" s="518" t="s">
        <v>9545</v>
      </c>
      <c r="H3159" s="1598" t="s">
        <v>9546</v>
      </c>
      <c r="I3159" s="452" t="s">
        <v>4980</v>
      </c>
      <c r="J3159" s="515" t="s">
        <v>753</v>
      </c>
      <c r="K3159" s="452" t="s">
        <v>741</v>
      </c>
      <c r="L3159" s="102"/>
      <c r="M3159" s="102"/>
      <c r="N3159" s="102"/>
      <c r="O3159" s="102"/>
    </row>
    <row r="3160" spans="1:15" s="185" customFormat="1">
      <c r="A3160" s="515"/>
      <c r="B3160" s="144" t="s">
        <v>13595</v>
      </c>
      <c r="C3160" s="1557">
        <v>665</v>
      </c>
      <c r="D3160" s="1366">
        <f t="shared" si="432"/>
        <v>1511.3636363636363</v>
      </c>
      <c r="E3160" s="215">
        <v>50</v>
      </c>
      <c r="F3160" s="511">
        <f t="shared" si="433"/>
        <v>1561.3999999999999</v>
      </c>
      <c r="G3160" s="518" t="s">
        <v>13596</v>
      </c>
      <c r="H3160" s="1598" t="s">
        <v>9547</v>
      </c>
      <c r="I3160" s="452" t="s">
        <v>4980</v>
      </c>
      <c r="J3160" s="515" t="s">
        <v>753</v>
      </c>
      <c r="K3160" s="452" t="s">
        <v>741</v>
      </c>
      <c r="L3160" s="102"/>
      <c r="M3160" s="102"/>
      <c r="N3160" s="102"/>
      <c r="O3160" s="102"/>
    </row>
    <row r="3161" spans="1:15" s="185" customFormat="1">
      <c r="A3161" s="515"/>
      <c r="B3161" s="143" t="s">
        <v>13597</v>
      </c>
      <c r="C3161" s="1557">
        <v>62</v>
      </c>
      <c r="D3161" s="1366">
        <f t="shared" ref="D3161" si="434">C3161*(1-VLOOKUP(I3161,descuentos,6,FALSE))*fcl</f>
        <v>140.90909090909091</v>
      </c>
      <c r="E3161" s="215">
        <v>10</v>
      </c>
      <c r="F3161" s="511">
        <f t="shared" si="433"/>
        <v>151</v>
      </c>
      <c r="G3161" s="518" t="s">
        <v>13598</v>
      </c>
      <c r="H3161" s="1598">
        <v>64739000</v>
      </c>
      <c r="I3161" s="452" t="s">
        <v>4980</v>
      </c>
      <c r="J3161" s="515" t="s">
        <v>753</v>
      </c>
      <c r="K3161" s="452" t="s">
        <v>741</v>
      </c>
      <c r="L3161" s="102"/>
      <c r="M3161" s="102"/>
      <c r="N3161" s="102"/>
      <c r="O3161" s="102"/>
    </row>
    <row r="3162" spans="1:15" s="185" customFormat="1">
      <c r="A3162" s="515"/>
      <c r="B3162" s="143" t="s">
        <v>13599</v>
      </c>
      <c r="C3162" s="1557">
        <v>216</v>
      </c>
      <c r="D3162" s="1366">
        <f t="shared" si="432"/>
        <v>490.90909090909088</v>
      </c>
      <c r="E3162" s="215">
        <v>10</v>
      </c>
      <c r="F3162" s="511">
        <f t="shared" si="433"/>
        <v>501</v>
      </c>
      <c r="G3162" s="518" t="s">
        <v>13600</v>
      </c>
      <c r="H3162" s="1598">
        <v>64691473</v>
      </c>
      <c r="I3162" s="452" t="s">
        <v>4980</v>
      </c>
      <c r="J3162" s="515" t="s">
        <v>753</v>
      </c>
      <c r="K3162" s="452" t="s">
        <v>741</v>
      </c>
      <c r="L3162" s="102"/>
      <c r="M3162" s="102"/>
      <c r="N3162" s="102"/>
      <c r="O3162" s="102"/>
    </row>
    <row r="3163" spans="1:15" s="185" customFormat="1">
      <c r="A3163" s="515"/>
      <c r="B3163" s="143" t="s">
        <v>11593</v>
      </c>
      <c r="C3163" s="1557">
        <v>32</v>
      </c>
      <c r="D3163" s="1366">
        <f t="shared" si="432"/>
        <v>72.72727272727272</v>
      </c>
      <c r="E3163" s="215">
        <v>10</v>
      </c>
      <c r="F3163" s="511">
        <f t="shared" si="433"/>
        <v>82.8</v>
      </c>
      <c r="G3163" s="518" t="s">
        <v>9548</v>
      </c>
      <c r="H3163" s="1598">
        <v>68294673</v>
      </c>
      <c r="I3163" s="452" t="s">
        <v>4980</v>
      </c>
      <c r="J3163" s="515" t="s">
        <v>753</v>
      </c>
      <c r="K3163" s="452" t="s">
        <v>741</v>
      </c>
      <c r="L3163" s="102"/>
      <c r="M3163" s="102"/>
      <c r="N3163" s="102"/>
      <c r="O3163" s="102"/>
    </row>
    <row r="3164" spans="1:15" s="185" customFormat="1">
      <c r="A3164" s="515"/>
      <c r="B3164" s="143"/>
      <c r="C3164" s="962"/>
      <c r="D3164" s="230"/>
      <c r="E3164" s="215"/>
      <c r="F3164" s="511"/>
      <c r="G3164" s="518"/>
      <c r="H3164" s="143"/>
      <c r="I3164" s="452"/>
      <c r="J3164" s="515"/>
      <c r="K3164" s="452"/>
      <c r="L3164" s="102"/>
      <c r="M3164" s="102"/>
      <c r="N3164" s="102"/>
      <c r="O3164" s="102"/>
    </row>
    <row r="3165" spans="1:15" s="185" customFormat="1">
      <c r="A3165" s="515"/>
      <c r="B3165" s="143"/>
      <c r="C3165" s="962"/>
      <c r="D3165" s="230"/>
      <c r="E3165" s="215"/>
      <c r="F3165" s="511"/>
      <c r="G3165" s="518"/>
      <c r="H3165" s="143"/>
      <c r="I3165" s="452"/>
      <c r="J3165" s="515"/>
      <c r="K3165" s="452"/>
      <c r="L3165" s="102"/>
      <c r="M3165" s="102"/>
      <c r="N3165" s="102"/>
      <c r="O3165" s="102"/>
    </row>
    <row r="3166" spans="1:15" s="185" customFormat="1">
      <c r="A3166" s="515"/>
      <c r="B3166" s="143"/>
      <c r="C3166" s="962"/>
      <c r="D3166" s="230"/>
      <c r="E3166" s="215"/>
      <c r="F3166" s="511"/>
      <c r="G3166" s="518"/>
      <c r="H3166" s="143"/>
      <c r="I3166" s="452"/>
      <c r="J3166" s="515"/>
      <c r="K3166" s="452"/>
      <c r="L3166" s="102"/>
      <c r="M3166" s="102"/>
      <c r="N3166" s="102"/>
      <c r="O3166" s="102"/>
    </row>
    <row r="3167" spans="1:15" s="185" customFormat="1">
      <c r="A3167" s="515"/>
      <c r="B3167" s="143"/>
      <c r="C3167" s="962"/>
      <c r="D3167" s="230"/>
      <c r="E3167" s="215"/>
      <c r="F3167" s="511"/>
      <c r="G3167" s="518"/>
      <c r="H3167" s="143"/>
      <c r="I3167" s="452"/>
      <c r="J3167" s="515"/>
      <c r="K3167" s="452"/>
      <c r="L3167" s="102"/>
      <c r="M3167" s="102"/>
      <c r="N3167" s="102"/>
      <c r="O3167" s="102"/>
    </row>
    <row r="3168" spans="1:15" s="185" customFormat="1" ht="18.75" customHeight="1">
      <c r="A3168" s="515"/>
      <c r="B3168" s="2015" t="s">
        <v>12449</v>
      </c>
      <c r="C3168" s="962"/>
      <c r="D3168" s="230"/>
      <c r="E3168" s="215"/>
      <c r="F3168" s="511"/>
      <c r="G3168" s="518"/>
      <c r="H3168" s="143"/>
      <c r="I3168" s="452"/>
      <c r="J3168" s="515"/>
      <c r="K3168" s="452"/>
      <c r="L3168" s="102"/>
      <c r="M3168" s="102"/>
      <c r="N3168" s="102"/>
      <c r="O3168" s="102"/>
    </row>
    <row r="3169" spans="1:15" s="185" customFormat="1">
      <c r="A3169" s="515"/>
      <c r="B3169" s="143"/>
      <c r="C3169" s="962"/>
      <c r="D3169" s="230"/>
      <c r="E3169" s="215"/>
      <c r="F3169" s="511"/>
      <c r="G3169" s="518"/>
      <c r="H3169" s="143"/>
      <c r="I3169" s="452"/>
      <c r="J3169" s="515"/>
      <c r="K3169" s="452"/>
      <c r="L3169" s="102"/>
      <c r="M3169" s="102"/>
      <c r="N3169" s="102"/>
      <c r="O3169" s="102"/>
    </row>
    <row r="3170" spans="1:15">
      <c r="A3170" s="515"/>
      <c r="B3170" s="144" t="s">
        <v>12450</v>
      </c>
      <c r="C3170" s="196">
        <v>460</v>
      </c>
      <c r="D3170" s="230">
        <f>C3170*fcl/TC</f>
        <v>312.0759837177747</v>
      </c>
      <c r="E3170" s="215">
        <v>0</v>
      </c>
      <c r="F3170" s="1561">
        <f>ROUNDUP(D3170+E3170,2)</f>
        <v>312.08</v>
      </c>
      <c r="G3170" s="518" t="s">
        <v>12468</v>
      </c>
      <c r="H3170" s="143" t="str">
        <f>B3170</f>
        <v>EMBAL_AUTOS_2100x800x800mm</v>
      </c>
      <c r="I3170" s="452"/>
      <c r="J3170" s="515"/>
      <c r="K3170" s="452" t="s">
        <v>741</v>
      </c>
    </row>
    <row r="3171" spans="1:15">
      <c r="A3171" s="515"/>
      <c r="B3171" s="144" t="s">
        <v>12451</v>
      </c>
      <c r="C3171" s="196">
        <v>450</v>
      </c>
      <c r="D3171" s="230">
        <f>C3171*fcl/TC</f>
        <v>305.29172320217094</v>
      </c>
      <c r="E3171" s="215">
        <v>0</v>
      </c>
      <c r="F3171" s="1561">
        <f>ROUNDUP(D3171+E3171,2)</f>
        <v>305.3</v>
      </c>
      <c r="G3171" s="518" t="s">
        <v>12469</v>
      </c>
      <c r="H3171" s="143" t="str">
        <f t="shared" ref="H3171:H3172" si="435">B3171</f>
        <v>EMBAL_AUTOS_2100x800x600mm</v>
      </c>
      <c r="I3171" s="452"/>
      <c r="J3171" s="515"/>
      <c r="K3171" s="452" t="s">
        <v>741</v>
      </c>
    </row>
    <row r="3172" spans="1:15">
      <c r="A3172" s="515"/>
      <c r="B3172" s="144" t="s">
        <v>12452</v>
      </c>
      <c r="C3172" s="196">
        <v>440</v>
      </c>
      <c r="D3172" s="230">
        <f>C3172*fcl/TC</f>
        <v>298.50746268656712</v>
      </c>
      <c r="E3172" s="215">
        <v>0</v>
      </c>
      <c r="F3172" s="511">
        <f t="shared" ref="F3172" si="436">ROUNDUP(D3172+E3172,1)</f>
        <v>298.60000000000002</v>
      </c>
      <c r="G3172" s="518" t="s">
        <v>12470</v>
      </c>
      <c r="H3172" s="143" t="str">
        <f t="shared" si="435"/>
        <v>EMBAL_AUTOS_2100x600x600mm</v>
      </c>
      <c r="I3172" s="452"/>
      <c r="J3172" s="515"/>
      <c r="K3172" s="452" t="s">
        <v>741</v>
      </c>
    </row>
    <row r="3173" spans="1:15" s="185" customFormat="1">
      <c r="A3173" s="515"/>
      <c r="B3173" s="143"/>
      <c r="C3173" s="962"/>
      <c r="D3173" s="230"/>
      <c r="E3173" s="215"/>
      <c r="F3173" s="511"/>
      <c r="G3173" s="518"/>
      <c r="H3173" s="143"/>
      <c r="I3173" s="452"/>
      <c r="J3173" s="515"/>
      <c r="K3173" s="452"/>
      <c r="L3173" s="102"/>
      <c r="M3173" s="102"/>
      <c r="N3173" s="102"/>
      <c r="O3173" s="102"/>
    </row>
    <row r="3174" spans="1:15">
      <c r="A3174" s="515"/>
      <c r="B3174" s="144" t="s">
        <v>12453</v>
      </c>
      <c r="C3174" s="196">
        <v>400</v>
      </c>
      <c r="D3174" s="230">
        <f>C3174*fcl/TC</f>
        <v>271.37042062415196</v>
      </c>
      <c r="E3174" s="215">
        <v>0</v>
      </c>
      <c r="F3174" s="511">
        <f t="shared" ref="F3174:F3178" si="437">ROUNDUP(D3174+E3174,1)</f>
        <v>271.40000000000003</v>
      </c>
      <c r="G3174" s="518" t="s">
        <v>12471</v>
      </c>
      <c r="H3174" s="143" t="str">
        <f t="shared" ref="H3174:H3176" si="438">B3174</f>
        <v>EMBAL_ADOS_1600x600x220mm</v>
      </c>
      <c r="I3174" s="452"/>
      <c r="J3174" s="515"/>
      <c r="K3174" s="452" t="s">
        <v>741</v>
      </c>
    </row>
    <row r="3175" spans="1:15">
      <c r="A3175" s="515"/>
      <c r="B3175" s="144" t="s">
        <v>12454</v>
      </c>
      <c r="C3175" s="196">
        <v>370</v>
      </c>
      <c r="D3175" s="230">
        <f>C3175*fcl/TC</f>
        <v>251.01763907734053</v>
      </c>
      <c r="E3175" s="215">
        <v>0</v>
      </c>
      <c r="F3175" s="511">
        <f t="shared" si="437"/>
        <v>251.1</v>
      </c>
      <c r="G3175" s="518" t="s">
        <v>12472</v>
      </c>
      <c r="H3175" s="143" t="str">
        <f t="shared" si="438"/>
        <v>EMBAL_ADOS_1100x610x220mm</v>
      </c>
      <c r="I3175" s="452"/>
      <c r="J3175" s="515"/>
      <c r="K3175" s="452" t="s">
        <v>741</v>
      </c>
    </row>
    <row r="3176" spans="1:15">
      <c r="A3176" s="515"/>
      <c r="B3176" s="144" t="s">
        <v>12455</v>
      </c>
      <c r="C3176" s="196">
        <v>350</v>
      </c>
      <c r="D3176" s="230">
        <f>C3176*fcl/TC</f>
        <v>237.44911804613295</v>
      </c>
      <c r="E3176" s="215">
        <v>0</v>
      </c>
      <c r="F3176" s="511">
        <f t="shared" si="437"/>
        <v>237.5</v>
      </c>
      <c r="G3176" s="518" t="s">
        <v>12473</v>
      </c>
      <c r="H3176" s="143" t="str">
        <f t="shared" si="438"/>
        <v>EMBAL_ADOS_1000x600x220mm</v>
      </c>
      <c r="I3176" s="452"/>
      <c r="J3176" s="515"/>
      <c r="K3176" s="452" t="s">
        <v>741</v>
      </c>
    </row>
    <row r="3177" spans="1:15">
      <c r="A3177" s="515"/>
      <c r="B3177" s="144" t="s">
        <v>13399</v>
      </c>
      <c r="C3177" s="196">
        <v>240</v>
      </c>
      <c r="D3177" s="230">
        <f>C3177*fcl/TC</f>
        <v>162.82225237449114</v>
      </c>
      <c r="E3177" s="215">
        <v>0</v>
      </c>
      <c r="F3177" s="511">
        <f t="shared" si="437"/>
        <v>162.9</v>
      </c>
      <c r="G3177" s="518" t="s">
        <v>13400</v>
      </c>
      <c r="H3177" s="143" t="str">
        <f>B3177</f>
        <v>EMBAL_ADOS_600x310x210 mm</v>
      </c>
      <c r="I3177" s="452"/>
      <c r="J3177" s="515"/>
      <c r="K3177" s="452" t="s">
        <v>741</v>
      </c>
    </row>
    <row r="3178" spans="1:15">
      <c r="A3178" s="515"/>
      <c r="B3178" s="144" t="s">
        <v>13401</v>
      </c>
      <c r="C3178" s="196">
        <v>200</v>
      </c>
      <c r="D3178" s="230">
        <f>C3178*fcl/TC</f>
        <v>135.68521031207598</v>
      </c>
      <c r="E3178" s="215">
        <v>0</v>
      </c>
      <c r="F3178" s="511">
        <f t="shared" si="437"/>
        <v>135.69999999999999</v>
      </c>
      <c r="G3178" s="518" t="s">
        <v>13402</v>
      </c>
      <c r="H3178" s="143" t="str">
        <f>B3178</f>
        <v>EMBAL_ADOS_210x260x210 mm</v>
      </c>
      <c r="I3178" s="452"/>
      <c r="J3178" s="515"/>
      <c r="K3178" s="452" t="s">
        <v>741</v>
      </c>
    </row>
    <row r="3179" spans="1:15" s="185" customFormat="1">
      <c r="A3179" s="515"/>
      <c r="B3179" s="143"/>
      <c r="C3179" s="962"/>
      <c r="D3179" s="230"/>
      <c r="E3179" s="215"/>
      <c r="F3179" s="511"/>
      <c r="G3179" s="518"/>
      <c r="H3179" s="143"/>
      <c r="I3179" s="452"/>
      <c r="J3179" s="515"/>
      <c r="K3179" s="452"/>
      <c r="L3179" s="102"/>
      <c r="M3179" s="102"/>
      <c r="N3179" s="102"/>
      <c r="O3179" s="102"/>
    </row>
    <row r="3180" spans="1:15" s="185" customFormat="1">
      <c r="A3180" s="515"/>
      <c r="B3180" s="143"/>
      <c r="C3180" s="962"/>
      <c r="D3180" s="230"/>
      <c r="E3180" s="215"/>
      <c r="F3180" s="511"/>
      <c r="G3180" s="518"/>
      <c r="H3180" s="143"/>
      <c r="I3180" s="452"/>
      <c r="J3180" s="515"/>
      <c r="K3180" s="452"/>
      <c r="L3180" s="102"/>
      <c r="M3180" s="102"/>
      <c r="N3180" s="102"/>
      <c r="O3180" s="102"/>
    </row>
    <row r="3181" spans="1:15">
      <c r="A3181" s="515"/>
      <c r="B3181" s="144"/>
      <c r="C3181" s="196"/>
      <c r="D3181" s="230"/>
      <c r="E3181" s="215"/>
      <c r="F3181" s="511"/>
      <c r="G3181" s="518"/>
      <c r="H3181" s="143"/>
      <c r="I3181" s="452"/>
      <c r="J3181" s="515"/>
      <c r="K3181" s="452"/>
      <c r="L3181" s="191"/>
      <c r="M3181" s="191"/>
      <c r="N3181" s="191"/>
      <c r="O3181" s="191"/>
    </row>
    <row r="3182" spans="1:15">
      <c r="A3182" s="515"/>
      <c r="B3182" s="144"/>
      <c r="C3182" s="196"/>
      <c r="D3182" s="230"/>
      <c r="E3182" s="215"/>
      <c r="F3182" s="511"/>
      <c r="G3182" s="518"/>
      <c r="H3182" s="143"/>
      <c r="I3182" s="452"/>
      <c r="J3182" s="515"/>
      <c r="K3182" s="452"/>
      <c r="L3182" s="191"/>
      <c r="M3182" s="191"/>
      <c r="N3182" s="191"/>
      <c r="O3182" s="191"/>
    </row>
    <row r="3183" spans="1:15" ht="35.25" customHeight="1">
      <c r="A3183" s="515"/>
      <c r="B3183" s="1226" t="s">
        <v>4095</v>
      </c>
      <c r="C3183" s="1227"/>
      <c r="D3183" s="1228"/>
      <c r="E3183" s="1229"/>
      <c r="F3183" s="1230"/>
      <c r="G3183" s="1231"/>
      <c r="H3183" s="518"/>
      <c r="I3183" s="452"/>
      <c r="J3183" s="369"/>
      <c r="K3183" s="452"/>
      <c r="L3183" s="191"/>
      <c r="M3183" s="191"/>
      <c r="N3183" s="191"/>
      <c r="O3183" s="191"/>
    </row>
    <row r="3184" spans="1:15">
      <c r="A3184" s="369"/>
      <c r="B3184" s="144"/>
      <c r="C3184" s="196"/>
      <c r="D3184" s="230"/>
      <c r="E3184" s="215"/>
      <c r="F3184" s="511"/>
      <c r="G3184" s="314"/>
      <c r="H3184" s="518"/>
      <c r="I3184" s="452"/>
      <c r="J3184" s="369"/>
      <c r="K3184" s="452"/>
      <c r="L3184" s="185"/>
    </row>
    <row r="3185" spans="1:14">
      <c r="A3185" s="369"/>
      <c r="B3185" s="144"/>
      <c r="C3185" s="196"/>
      <c r="D3185" s="230"/>
      <c r="E3185" s="215"/>
      <c r="F3185" s="511"/>
      <c r="G3185" s="314"/>
      <c r="H3185" s="518"/>
      <c r="I3185" s="452"/>
      <c r="J3185" s="369"/>
      <c r="K3185" s="452"/>
      <c r="L3185" s="185"/>
    </row>
    <row r="3186" spans="1:14" s="23" customFormat="1">
      <c r="A3186" s="432"/>
      <c r="B3186" s="24" t="s">
        <v>319</v>
      </c>
      <c r="C3186" s="193"/>
      <c r="D3186" s="198"/>
      <c r="E3186" s="199"/>
      <c r="F3186" s="150"/>
      <c r="G3186" s="25"/>
      <c r="H3186" s="1664"/>
      <c r="I3186" s="432"/>
      <c r="J3186" s="432"/>
      <c r="K3186" s="432"/>
    </row>
    <row r="3187" spans="1:14" s="33" customFormat="1">
      <c r="A3187" s="433"/>
      <c r="B3187" s="26" t="s">
        <v>1</v>
      </c>
      <c r="C3187" s="217"/>
      <c r="D3187" s="217">
        <v>7050</v>
      </c>
      <c r="E3187" s="203">
        <v>440</v>
      </c>
      <c r="F3187" s="149">
        <f>D3187+E3187</f>
        <v>7490</v>
      </c>
      <c r="G3187" s="22" t="s">
        <v>7523</v>
      </c>
      <c r="H3187" s="1665" t="s">
        <v>1</v>
      </c>
      <c r="I3187" s="434"/>
      <c r="J3187" s="435" t="s">
        <v>1798</v>
      </c>
      <c r="K3187" s="434"/>
    </row>
    <row r="3188" spans="1:14" s="33" customFormat="1">
      <c r="A3188" s="435"/>
      <c r="B3188" s="26" t="s">
        <v>2</v>
      </c>
      <c r="C3188" s="217"/>
      <c r="D3188" s="217">
        <v>5400</v>
      </c>
      <c r="E3188" s="203">
        <v>700</v>
      </c>
      <c r="F3188" s="149">
        <f>D3188+E3188</f>
        <v>6100</v>
      </c>
      <c r="G3188" s="22" t="s">
        <v>7524</v>
      </c>
      <c r="H3188" s="1665" t="s">
        <v>2</v>
      </c>
      <c r="I3188" s="434"/>
      <c r="J3188" s="435" t="s">
        <v>1798</v>
      </c>
      <c r="K3188" s="434"/>
    </row>
    <row r="3189" spans="1:14" s="33" customFormat="1">
      <c r="A3189" s="433"/>
      <c r="B3189" s="26" t="s">
        <v>3</v>
      </c>
      <c r="C3189" s="217"/>
      <c r="D3189" s="217">
        <v>4860</v>
      </c>
      <c r="E3189" s="203">
        <v>475</v>
      </c>
      <c r="F3189" s="149">
        <f>D3189+E3189</f>
        <v>5335</v>
      </c>
      <c r="G3189" s="22" t="s">
        <v>7525</v>
      </c>
      <c r="H3189" s="1665" t="s">
        <v>3</v>
      </c>
      <c r="I3189" s="434"/>
      <c r="J3189" s="435" t="s">
        <v>1798</v>
      </c>
      <c r="K3189" s="434"/>
    </row>
    <row r="3190" spans="1:14" s="33" customFormat="1">
      <c r="A3190" s="435"/>
      <c r="B3190" s="384" t="s">
        <v>320</v>
      </c>
      <c r="C3190" s="217"/>
      <c r="D3190" s="217">
        <v>250</v>
      </c>
      <c r="E3190" s="203">
        <v>0</v>
      </c>
      <c r="F3190" s="149">
        <f>D3190+E3190</f>
        <v>250</v>
      </c>
      <c r="G3190" s="436"/>
      <c r="H3190" s="1648"/>
      <c r="I3190" s="434"/>
      <c r="J3190" s="435" t="s">
        <v>1798</v>
      </c>
      <c r="K3190" s="434"/>
    </row>
    <row r="3191" spans="1:14" s="33" customFormat="1">
      <c r="A3191" s="435"/>
      <c r="B3191" s="384" t="s">
        <v>4</v>
      </c>
      <c r="C3191" s="217"/>
      <c r="D3191" s="217">
        <v>150</v>
      </c>
      <c r="E3191" s="203">
        <v>0</v>
      </c>
      <c r="F3191" s="149">
        <f>D3191+E3191</f>
        <v>150</v>
      </c>
      <c r="G3191" s="436"/>
      <c r="H3191" s="1648"/>
      <c r="I3191" s="434"/>
      <c r="J3191" s="435" t="s">
        <v>1798</v>
      </c>
      <c r="K3191" s="434"/>
    </row>
    <row r="3192" spans="1:14" s="33" customFormat="1">
      <c r="A3192" s="435"/>
      <c r="B3192" s="27"/>
      <c r="C3192" s="217"/>
      <c r="D3192" s="217"/>
      <c r="E3192" s="203"/>
      <c r="F3192" s="149"/>
      <c r="G3192" s="434"/>
      <c r="H3192" s="1648"/>
      <c r="I3192" s="434"/>
      <c r="J3192" s="435"/>
      <c r="K3192" s="434"/>
    </row>
    <row r="3193" spans="1:14" s="33" customFormat="1">
      <c r="A3193" s="435"/>
      <c r="B3193" s="26" t="s">
        <v>5</v>
      </c>
      <c r="C3193" s="217"/>
      <c r="D3193" s="217">
        <v>3677</v>
      </c>
      <c r="E3193" s="203">
        <v>473</v>
      </c>
      <c r="F3193" s="149">
        <f>D3193+E3193</f>
        <v>4150</v>
      </c>
      <c r="G3193" s="22" t="s">
        <v>7526</v>
      </c>
      <c r="H3193" s="1665" t="s">
        <v>5</v>
      </c>
      <c r="I3193" s="434"/>
      <c r="J3193" s="435" t="s">
        <v>1798</v>
      </c>
      <c r="K3193" s="434"/>
    </row>
    <row r="3194" spans="1:14" s="33" customFormat="1">
      <c r="A3194" s="443"/>
      <c r="B3194" s="26" t="s">
        <v>7527</v>
      </c>
      <c r="C3194" s="217"/>
      <c r="D3194" s="217">
        <v>1780</v>
      </c>
      <c r="E3194" s="203">
        <v>220</v>
      </c>
      <c r="F3194" s="149">
        <f>D3194+E3194</f>
        <v>2000</v>
      </c>
      <c r="G3194" s="22" t="s">
        <v>7528</v>
      </c>
      <c r="H3194" s="1665" t="s">
        <v>7527</v>
      </c>
      <c r="I3194" s="434"/>
      <c r="J3194" s="435" t="s">
        <v>1798</v>
      </c>
      <c r="K3194" s="434"/>
    </row>
    <row r="3195" spans="1:14" s="33" customFormat="1">
      <c r="A3195" s="435"/>
      <c r="B3195" s="26" t="s">
        <v>6</v>
      </c>
      <c r="C3195" s="217"/>
      <c r="D3195" s="217">
        <v>2634</v>
      </c>
      <c r="E3195" s="203">
        <v>366</v>
      </c>
      <c r="F3195" s="149">
        <f>D3195+E3195</f>
        <v>3000</v>
      </c>
      <c r="G3195" s="22" t="s">
        <v>7529</v>
      </c>
      <c r="H3195" s="1665" t="s">
        <v>6</v>
      </c>
      <c r="I3195" s="434"/>
      <c r="J3195" s="435" t="s">
        <v>1798</v>
      </c>
      <c r="K3195" s="434"/>
    </row>
    <row r="3196" spans="1:14" s="33" customFormat="1">
      <c r="A3196" s="435"/>
      <c r="B3196" s="26" t="s">
        <v>7</v>
      </c>
      <c r="C3196" s="217"/>
      <c r="D3196" s="217">
        <v>2157</v>
      </c>
      <c r="E3196" s="203">
        <v>223</v>
      </c>
      <c r="F3196" s="149">
        <f>D3196+E3196</f>
        <v>2380</v>
      </c>
      <c r="G3196" s="22" t="s">
        <v>7530</v>
      </c>
      <c r="H3196" s="1665" t="s">
        <v>7</v>
      </c>
      <c r="I3196" s="434"/>
      <c r="J3196" s="435" t="s">
        <v>1798</v>
      </c>
      <c r="K3196" s="434"/>
    </row>
    <row r="3197" spans="1:14" s="33" customFormat="1">
      <c r="A3197" s="435"/>
      <c r="B3197" s="26"/>
      <c r="C3197" s="217"/>
      <c r="D3197" s="217"/>
      <c r="E3197" s="203"/>
      <c r="F3197" s="149"/>
      <c r="G3197" s="22"/>
      <c r="H3197" s="1665"/>
      <c r="I3197" s="434"/>
      <c r="J3197" s="435"/>
      <c r="K3197" s="434"/>
    </row>
    <row r="3198" spans="1:14">
      <c r="A3198" s="1492"/>
      <c r="B3198" s="384" t="s">
        <v>30</v>
      </c>
      <c r="C3198" s="217"/>
      <c r="D3198" s="217">
        <v>166</v>
      </c>
      <c r="E3198" s="386">
        <v>15</v>
      </c>
      <c r="F3198" s="387">
        <f>D3198+E3198</f>
        <v>181</v>
      </c>
      <c r="G3198" s="388" t="s">
        <v>9337</v>
      </c>
      <c r="H3198" s="383" t="str">
        <f>B3198</f>
        <v>AA115RPK</v>
      </c>
      <c r="I3198" s="189"/>
      <c r="J3198" s="443" t="s">
        <v>1798</v>
      </c>
      <c r="K3198" s="189" t="s">
        <v>741</v>
      </c>
      <c r="L3198" s="189"/>
      <c r="M3198" s="189"/>
      <c r="N3198" s="189"/>
    </row>
    <row r="3199" spans="1:14" s="185" customFormat="1">
      <c r="A3199" s="447"/>
      <c r="B3199" s="384"/>
      <c r="C3199" s="217"/>
      <c r="D3199" s="217"/>
      <c r="E3199" s="407"/>
      <c r="F3199" s="157"/>
      <c r="G3199" s="454"/>
      <c r="H3199" s="1666"/>
      <c r="I3199" s="454"/>
      <c r="J3199" s="447"/>
      <c r="K3199" s="454"/>
    </row>
    <row r="3200" spans="1:14">
      <c r="A3200" s="1492"/>
      <c r="B3200" s="384" t="s">
        <v>8</v>
      </c>
      <c r="C3200" s="217"/>
      <c r="D3200" s="217">
        <v>120</v>
      </c>
      <c r="E3200" s="386">
        <v>15</v>
      </c>
      <c r="F3200" s="387">
        <f>D3200+E3200</f>
        <v>135</v>
      </c>
      <c r="G3200" s="388" t="s">
        <v>9338</v>
      </c>
      <c r="H3200" s="383" t="str">
        <f>B3200</f>
        <v>T1200NB3M</v>
      </c>
      <c r="I3200" s="189"/>
      <c r="J3200" s="443" t="s">
        <v>1798</v>
      </c>
      <c r="K3200" s="189" t="s">
        <v>741</v>
      </c>
      <c r="L3200" s="189"/>
      <c r="M3200" s="189"/>
      <c r="N3200" s="189"/>
    </row>
    <row r="3201" spans="1:11" s="185" customFormat="1">
      <c r="A3201" s="447"/>
      <c r="B3201" s="384"/>
      <c r="C3201" s="217"/>
      <c r="D3201" s="217"/>
      <c r="E3201" s="407"/>
      <c r="F3201" s="157"/>
      <c r="G3201" s="454"/>
      <c r="H3201" s="1666"/>
      <c r="I3201" s="454"/>
      <c r="J3201" s="447"/>
      <c r="K3201" s="454"/>
    </row>
    <row r="3202" spans="1:11" s="33" customFormat="1">
      <c r="A3202" s="1492"/>
      <c r="B3202" s="26" t="s">
        <v>9339</v>
      </c>
      <c r="C3202" s="217"/>
      <c r="D3202" s="217">
        <v>2157</v>
      </c>
      <c r="E3202" s="203">
        <v>223</v>
      </c>
      <c r="F3202" s="149">
        <f>D3202+E3202</f>
        <v>2380</v>
      </c>
      <c r="G3202" s="22" t="s">
        <v>9588</v>
      </c>
      <c r="H3202" s="1665" t="s">
        <v>9339</v>
      </c>
      <c r="I3202" s="434"/>
      <c r="J3202" s="435" t="s">
        <v>1798</v>
      </c>
      <c r="K3202" s="434"/>
    </row>
    <row r="3203" spans="1:11" s="33" customFormat="1">
      <c r="A3203" s="1492"/>
      <c r="B3203" s="26" t="s">
        <v>9589</v>
      </c>
      <c r="C3203" s="217"/>
      <c r="D3203" s="217">
        <v>2157</v>
      </c>
      <c r="E3203" s="203">
        <v>223</v>
      </c>
      <c r="F3203" s="149">
        <f>D3203+E3203</f>
        <v>2380</v>
      </c>
      <c r="G3203" s="22" t="s">
        <v>9590</v>
      </c>
      <c r="H3203" s="1665" t="s">
        <v>9339</v>
      </c>
      <c r="I3203" s="434"/>
      <c r="J3203" s="435" t="s">
        <v>1798</v>
      </c>
      <c r="K3203" s="434"/>
    </row>
    <row r="3204" spans="1:11" s="33" customFormat="1">
      <c r="A3204" s="447"/>
      <c r="B3204" s="26"/>
      <c r="C3204" s="217"/>
      <c r="D3204" s="217"/>
      <c r="E3204" s="203"/>
      <c r="F3204" s="149"/>
      <c r="G3204" s="22"/>
      <c r="H3204" s="1665"/>
      <c r="I3204" s="434"/>
      <c r="J3204" s="435"/>
      <c r="K3204" s="434"/>
    </row>
    <row r="3205" spans="1:11" s="21" customFormat="1">
      <c r="A3205" s="1492"/>
      <c r="B3205" s="903" t="s">
        <v>9591</v>
      </c>
      <c r="C3205" s="904"/>
      <c r="D3205" s="904">
        <v>600</v>
      </c>
      <c r="E3205" s="905">
        <v>50</v>
      </c>
      <c r="F3205" s="906">
        <f>D3205+E3205</f>
        <v>650</v>
      </c>
      <c r="G3205" s="907" t="s">
        <v>9592</v>
      </c>
      <c r="H3205" s="1648"/>
      <c r="I3205" s="434"/>
      <c r="J3205" s="435"/>
      <c r="K3205" s="434"/>
    </row>
    <row r="3206" spans="1:11" s="33" customFormat="1">
      <c r="A3206" s="435"/>
      <c r="B3206" s="27"/>
      <c r="C3206" s="217"/>
      <c r="D3206" s="217"/>
      <c r="E3206" s="203"/>
      <c r="F3206" s="149"/>
      <c r="G3206" s="434"/>
      <c r="H3206" s="1648"/>
      <c r="I3206" s="434"/>
      <c r="J3206" s="435"/>
      <c r="K3206" s="434"/>
    </row>
    <row r="3207" spans="1:11" s="33" customFormat="1">
      <c r="A3207" s="443"/>
      <c r="B3207" s="26" t="s">
        <v>7532</v>
      </c>
      <c r="C3207" s="217"/>
      <c r="D3207" s="217">
        <v>1643</v>
      </c>
      <c r="E3207" s="203">
        <v>87</v>
      </c>
      <c r="F3207" s="149">
        <f>D3207+E3207</f>
        <v>1730</v>
      </c>
      <c r="G3207" s="22" t="s">
        <v>7533</v>
      </c>
      <c r="H3207" s="1665" t="str">
        <f>B3207</f>
        <v>GLS363036M</v>
      </c>
      <c r="I3207" s="434"/>
      <c r="J3207" s="435" t="s">
        <v>1798</v>
      </c>
      <c r="K3207" s="434"/>
    </row>
    <row r="3208" spans="1:11" s="33" customFormat="1">
      <c r="A3208" s="435"/>
      <c r="B3208" s="26" t="s">
        <v>9</v>
      </c>
      <c r="C3208" s="217"/>
      <c r="D3208" s="217">
        <v>853</v>
      </c>
      <c r="E3208" s="203">
        <v>87</v>
      </c>
      <c r="F3208" s="149">
        <f t="shared" ref="F3208:F3213" si="439">D3208+E3208</f>
        <v>940</v>
      </c>
      <c r="G3208" s="22" t="s">
        <v>7534</v>
      </c>
      <c r="H3208" s="1665" t="str">
        <f>B3208</f>
        <v>GLS3630AAM</v>
      </c>
      <c r="I3208" s="434"/>
      <c r="J3208" s="435" t="s">
        <v>1798</v>
      </c>
      <c r="K3208" s="434"/>
    </row>
    <row r="3209" spans="1:11" s="33" customFormat="1">
      <c r="A3209" s="435"/>
      <c r="B3209" s="26" t="s">
        <v>10</v>
      </c>
      <c r="C3209" s="217"/>
      <c r="D3209" s="217">
        <v>853</v>
      </c>
      <c r="E3209" s="203">
        <v>87</v>
      </c>
      <c r="F3209" s="149">
        <f t="shared" si="439"/>
        <v>940</v>
      </c>
      <c r="G3209" s="22" t="s">
        <v>7535</v>
      </c>
      <c r="H3209" s="1665" t="str">
        <f>B3209</f>
        <v>GLS3500AAM</v>
      </c>
      <c r="I3209" s="434"/>
      <c r="J3209" s="435" t="s">
        <v>1798</v>
      </c>
      <c r="K3209" s="434"/>
    </row>
    <row r="3210" spans="1:11" s="33" customFormat="1">
      <c r="A3210" s="443"/>
      <c r="B3210" s="47" t="s">
        <v>11</v>
      </c>
      <c r="C3210" s="217"/>
      <c r="D3210" s="217">
        <v>1241</v>
      </c>
      <c r="E3210" s="203">
        <v>87</v>
      </c>
      <c r="F3210" s="149">
        <f t="shared" si="439"/>
        <v>1328</v>
      </c>
      <c r="G3210" s="22" t="s">
        <v>7536</v>
      </c>
      <c r="H3210" s="1665" t="str">
        <f>B3210</f>
        <v>GLS3400AAM</v>
      </c>
      <c r="I3210" s="434"/>
      <c r="J3210" s="435" t="s">
        <v>1798</v>
      </c>
      <c r="K3210" s="434"/>
    </row>
    <row r="3211" spans="1:11" s="33" customFormat="1">
      <c r="A3211" s="443"/>
      <c r="B3211" s="47" t="s">
        <v>12</v>
      </c>
      <c r="C3211" s="217"/>
      <c r="D3211" s="217">
        <v>1241</v>
      </c>
      <c r="E3211" s="203">
        <v>87</v>
      </c>
      <c r="F3211" s="149">
        <f t="shared" si="439"/>
        <v>1328</v>
      </c>
      <c r="G3211" s="22" t="s">
        <v>7537</v>
      </c>
      <c r="H3211" s="1665" t="str">
        <f>B3211</f>
        <v>GLS3320AAM</v>
      </c>
      <c r="I3211" s="434"/>
      <c r="J3211" s="435" t="s">
        <v>1798</v>
      </c>
      <c r="K3211" s="434"/>
    </row>
    <row r="3212" spans="1:11" s="33" customFormat="1">
      <c r="A3212" s="1488"/>
      <c r="B3212" s="1489" t="s">
        <v>7538</v>
      </c>
      <c r="C3212" s="217"/>
      <c r="D3212" s="217">
        <v>162</v>
      </c>
      <c r="E3212" s="203">
        <v>5</v>
      </c>
      <c r="F3212" s="151">
        <f>D3212+E3212</f>
        <v>167</v>
      </c>
      <c r="G3212" s="676" t="s">
        <v>7539</v>
      </c>
      <c r="H3212" s="1667" t="s">
        <v>13</v>
      </c>
      <c r="I3212" s="434"/>
      <c r="J3212" s="435" t="s">
        <v>1798</v>
      </c>
      <c r="K3212" s="434"/>
    </row>
    <row r="3213" spans="1:11" s="33" customFormat="1">
      <c r="A3213" s="1488"/>
      <c r="B3213" s="1489" t="s">
        <v>13</v>
      </c>
      <c r="C3213" s="217"/>
      <c r="D3213" s="217">
        <v>103</v>
      </c>
      <c r="E3213" s="203">
        <v>5</v>
      </c>
      <c r="F3213" s="151">
        <f t="shared" si="439"/>
        <v>108</v>
      </c>
      <c r="G3213" s="676" t="s">
        <v>7540</v>
      </c>
      <c r="H3213" s="1667" t="s">
        <v>13</v>
      </c>
      <c r="I3213" s="434"/>
      <c r="J3213" s="435" t="s">
        <v>1798</v>
      </c>
      <c r="K3213" s="434"/>
    </row>
    <row r="3214" spans="1:11" s="33" customFormat="1">
      <c r="A3214" s="435"/>
      <c r="B3214" s="27"/>
      <c r="C3214" s="217"/>
      <c r="D3214" s="217"/>
      <c r="E3214" s="203"/>
      <c r="F3214" s="149"/>
      <c r="G3214" s="434"/>
      <c r="H3214" s="1648"/>
      <c r="I3214" s="434"/>
      <c r="J3214" s="435"/>
      <c r="K3214" s="434"/>
    </row>
    <row r="3215" spans="1:11" s="33" customFormat="1">
      <c r="A3215" s="443"/>
      <c r="B3215" s="26" t="s">
        <v>14</v>
      </c>
      <c r="C3215" s="217"/>
      <c r="D3215" s="217">
        <v>384.1</v>
      </c>
      <c r="E3215" s="203">
        <v>27</v>
      </c>
      <c r="F3215" s="149">
        <f>D3215+E3215</f>
        <v>411.1</v>
      </c>
      <c r="G3215" s="22" t="s">
        <v>7541</v>
      </c>
      <c r="H3215" s="1665" t="s">
        <v>14</v>
      </c>
      <c r="I3215" s="434"/>
      <c r="J3215" s="435" t="s">
        <v>1798</v>
      </c>
      <c r="K3215" s="434"/>
    </row>
    <row r="3216" spans="1:11" s="33" customFormat="1">
      <c r="A3216" s="443"/>
      <c r="B3216" s="26" t="s">
        <v>15</v>
      </c>
      <c r="C3216" s="217"/>
      <c r="D3216" s="217">
        <v>384.1</v>
      </c>
      <c r="E3216" s="203">
        <v>27</v>
      </c>
      <c r="F3216" s="149">
        <f>D3216+E3216</f>
        <v>411.1</v>
      </c>
      <c r="G3216" s="22" t="s">
        <v>7542</v>
      </c>
      <c r="H3216" s="1665" t="s">
        <v>15</v>
      </c>
      <c r="I3216" s="434"/>
      <c r="J3216" s="435" t="s">
        <v>1798</v>
      </c>
      <c r="K3216" s="434"/>
    </row>
    <row r="3217" spans="1:11" s="33" customFormat="1">
      <c r="A3217" s="443"/>
      <c r="B3217" s="26" t="s">
        <v>16</v>
      </c>
      <c r="C3217" s="217"/>
      <c r="D3217" s="217">
        <v>384.1</v>
      </c>
      <c r="E3217" s="203">
        <v>27</v>
      </c>
      <c r="F3217" s="149">
        <f>D3217+E3217</f>
        <v>411.1</v>
      </c>
      <c r="G3217" s="22" t="s">
        <v>7543</v>
      </c>
      <c r="H3217" s="1665" t="s">
        <v>16</v>
      </c>
      <c r="I3217" s="434"/>
      <c r="J3217" s="435" t="s">
        <v>1798</v>
      </c>
      <c r="K3217" s="434"/>
    </row>
    <row r="3218" spans="1:11" s="33" customFormat="1">
      <c r="A3218" s="443"/>
      <c r="B3218" s="26" t="s">
        <v>7544</v>
      </c>
      <c r="C3218" s="217"/>
      <c r="D3218" s="217">
        <v>384.1</v>
      </c>
      <c r="E3218" s="203">
        <v>27</v>
      </c>
      <c r="F3218" s="149">
        <f>D3218+E3218</f>
        <v>411.1</v>
      </c>
      <c r="G3218" s="22" t="s">
        <v>7545</v>
      </c>
      <c r="H3218" s="1665" t="s">
        <v>7544</v>
      </c>
      <c r="I3218" s="434"/>
      <c r="J3218" s="435" t="s">
        <v>1798</v>
      </c>
      <c r="K3218" s="434"/>
    </row>
    <row r="3219" spans="1:11" s="33" customFormat="1">
      <c r="A3219" s="435"/>
      <c r="B3219" s="27" t="s">
        <v>17</v>
      </c>
      <c r="C3219" s="217"/>
      <c r="D3219" s="217">
        <v>17</v>
      </c>
      <c r="E3219" s="203">
        <v>3</v>
      </c>
      <c r="F3219" s="149">
        <f>D3219+E3219</f>
        <v>20</v>
      </c>
      <c r="G3219" s="437" t="s">
        <v>7546</v>
      </c>
      <c r="H3219" s="1668" t="s">
        <v>17</v>
      </c>
      <c r="I3219" s="434"/>
      <c r="J3219" s="435" t="s">
        <v>1798</v>
      </c>
      <c r="K3219" s="434"/>
    </row>
    <row r="3220" spans="1:11" s="33" customFormat="1">
      <c r="A3220" s="435"/>
      <c r="B3220" s="47"/>
      <c r="C3220" s="217"/>
      <c r="D3220" s="217"/>
      <c r="E3220" s="203"/>
      <c r="F3220" s="149"/>
      <c r="G3220" s="434"/>
      <c r="H3220" s="1648"/>
      <c r="I3220" s="434"/>
      <c r="J3220" s="435"/>
      <c r="K3220" s="434"/>
    </row>
    <row r="3221" spans="1:11" s="33" customFormat="1">
      <c r="A3221" s="443"/>
      <c r="B3221" s="26" t="s">
        <v>18</v>
      </c>
      <c r="C3221" s="217"/>
      <c r="D3221" s="217">
        <v>319.8</v>
      </c>
      <c r="E3221" s="203">
        <v>20</v>
      </c>
      <c r="F3221" s="149">
        <f t="shared" ref="F3221:F3229" si="440">D3221+E3221</f>
        <v>339.8</v>
      </c>
      <c r="G3221" s="22" t="s">
        <v>7547</v>
      </c>
      <c r="H3221" s="1665" t="s">
        <v>18</v>
      </c>
      <c r="I3221" s="434"/>
      <c r="J3221" s="435" t="s">
        <v>1798</v>
      </c>
      <c r="K3221" s="434"/>
    </row>
    <row r="3222" spans="1:11" s="33" customFormat="1">
      <c r="A3222" s="443"/>
      <c r="B3222" s="26" t="s">
        <v>20</v>
      </c>
      <c r="C3222" s="217"/>
      <c r="D3222" s="217">
        <v>319.8</v>
      </c>
      <c r="E3222" s="203">
        <v>15</v>
      </c>
      <c r="F3222" s="149">
        <f t="shared" si="440"/>
        <v>334.8</v>
      </c>
      <c r="G3222" s="22" t="s">
        <v>7548</v>
      </c>
      <c r="H3222" s="1665" t="s">
        <v>20</v>
      </c>
      <c r="I3222" s="434"/>
      <c r="J3222" s="435" t="s">
        <v>1798</v>
      </c>
      <c r="K3222" s="434"/>
    </row>
    <row r="3223" spans="1:11" s="33" customFormat="1">
      <c r="A3223" s="443"/>
      <c r="B3223" s="26" t="s">
        <v>21</v>
      </c>
      <c r="C3223" s="217"/>
      <c r="D3223" s="217">
        <v>319.8</v>
      </c>
      <c r="E3223" s="203">
        <v>15</v>
      </c>
      <c r="F3223" s="149">
        <f t="shared" si="440"/>
        <v>334.8</v>
      </c>
      <c r="G3223" s="22" t="s">
        <v>7549</v>
      </c>
      <c r="H3223" s="1665" t="s">
        <v>21</v>
      </c>
      <c r="I3223" s="434"/>
      <c r="J3223" s="435" t="s">
        <v>1798</v>
      </c>
      <c r="K3223" s="434"/>
    </row>
    <row r="3224" spans="1:11" s="33" customFormat="1">
      <c r="A3224" s="443"/>
      <c r="B3224" s="26" t="s">
        <v>22</v>
      </c>
      <c r="C3224" s="217"/>
      <c r="D3224" s="217">
        <v>310.2</v>
      </c>
      <c r="E3224" s="203">
        <v>15</v>
      </c>
      <c r="F3224" s="149">
        <f t="shared" si="440"/>
        <v>325.2</v>
      </c>
      <c r="G3224" s="22" t="s">
        <v>7550</v>
      </c>
      <c r="H3224" s="1665" t="s">
        <v>22</v>
      </c>
      <c r="I3224" s="434"/>
      <c r="J3224" s="435" t="s">
        <v>1798</v>
      </c>
      <c r="K3224" s="434"/>
    </row>
    <row r="3225" spans="1:11" s="33" customFormat="1">
      <c r="A3225" s="443"/>
      <c r="B3225" s="26" t="s">
        <v>23</v>
      </c>
      <c r="C3225" s="217"/>
      <c r="D3225" s="217">
        <v>310.2</v>
      </c>
      <c r="E3225" s="203">
        <v>15</v>
      </c>
      <c r="F3225" s="149">
        <f t="shared" si="440"/>
        <v>325.2</v>
      </c>
      <c r="G3225" s="22" t="s">
        <v>7551</v>
      </c>
      <c r="H3225" s="1665" t="s">
        <v>23</v>
      </c>
      <c r="I3225" s="434"/>
      <c r="J3225" s="435" t="s">
        <v>1798</v>
      </c>
      <c r="K3225" s="434"/>
    </row>
    <row r="3226" spans="1:11" s="33" customFormat="1">
      <c r="A3226" s="1490"/>
      <c r="B3226" s="26" t="s">
        <v>24</v>
      </c>
      <c r="C3226" s="217"/>
      <c r="D3226" s="217">
        <v>306</v>
      </c>
      <c r="E3226" s="203">
        <v>15</v>
      </c>
      <c r="F3226" s="149">
        <f t="shared" si="440"/>
        <v>321</v>
      </c>
      <c r="G3226" s="22" t="s">
        <v>7552</v>
      </c>
      <c r="H3226" s="1665" t="s">
        <v>24</v>
      </c>
      <c r="I3226" s="434"/>
      <c r="J3226" s="435" t="s">
        <v>1798</v>
      </c>
      <c r="K3226" s="434"/>
    </row>
    <row r="3227" spans="1:11" s="33" customFormat="1">
      <c r="A3227" s="1490"/>
      <c r="B3227" s="26" t="s">
        <v>25</v>
      </c>
      <c r="C3227" s="217"/>
      <c r="D3227" s="217">
        <v>306</v>
      </c>
      <c r="E3227" s="203">
        <v>15</v>
      </c>
      <c r="F3227" s="149">
        <f t="shared" si="440"/>
        <v>321</v>
      </c>
      <c r="G3227" s="22" t="s">
        <v>7553</v>
      </c>
      <c r="H3227" s="1665" t="s">
        <v>25</v>
      </c>
      <c r="I3227" s="434"/>
      <c r="J3227" s="435" t="s">
        <v>1798</v>
      </c>
      <c r="K3227" s="434"/>
    </row>
    <row r="3228" spans="1:11" s="33" customFormat="1">
      <c r="A3228" s="1490"/>
      <c r="B3228" s="26" t="s">
        <v>26</v>
      </c>
      <c r="C3228" s="217"/>
      <c r="D3228" s="217">
        <v>306</v>
      </c>
      <c r="E3228" s="203">
        <v>15</v>
      </c>
      <c r="F3228" s="149">
        <f t="shared" si="440"/>
        <v>321</v>
      </c>
      <c r="G3228" s="22" t="s">
        <v>7554</v>
      </c>
      <c r="H3228" s="1665" t="s">
        <v>26</v>
      </c>
      <c r="I3228" s="434"/>
      <c r="J3228" s="435" t="s">
        <v>1798</v>
      </c>
      <c r="K3228" s="434"/>
    </row>
    <row r="3229" spans="1:11" s="33" customFormat="1">
      <c r="A3229" s="1490"/>
      <c r="B3229" s="26" t="s">
        <v>27</v>
      </c>
      <c r="C3229" s="217"/>
      <c r="D3229" s="217">
        <v>306</v>
      </c>
      <c r="E3229" s="203">
        <v>15</v>
      </c>
      <c r="F3229" s="149">
        <f t="shared" si="440"/>
        <v>321</v>
      </c>
      <c r="G3229" s="22" t="s">
        <v>7555</v>
      </c>
      <c r="H3229" s="1665" t="s">
        <v>27</v>
      </c>
      <c r="I3229" s="434"/>
      <c r="J3229" s="435" t="s">
        <v>1798</v>
      </c>
      <c r="K3229" s="434"/>
    </row>
    <row r="3230" spans="1:11" s="33" customFormat="1">
      <c r="A3230" s="435"/>
      <c r="B3230" s="26"/>
      <c r="C3230" s="217"/>
      <c r="D3230" s="217"/>
      <c r="E3230" s="203"/>
      <c r="F3230" s="149"/>
      <c r="G3230" s="22"/>
      <c r="H3230" s="1648"/>
      <c r="I3230" s="434"/>
      <c r="J3230" s="435"/>
      <c r="K3230" s="434"/>
    </row>
    <row r="3231" spans="1:11" s="33" customFormat="1">
      <c r="A3231" s="435"/>
      <c r="B3231" s="468"/>
      <c r="C3231" s="431"/>
      <c r="D3231" s="431"/>
      <c r="E3231" s="636"/>
      <c r="F3231" s="637"/>
      <c r="G3231" s="468"/>
      <c r="H3231" s="1648"/>
      <c r="I3231" s="434"/>
      <c r="J3231" s="435"/>
      <c r="K3231" s="434"/>
    </row>
    <row r="3232" spans="1:11" s="33" customFormat="1">
      <c r="A3232" s="435"/>
      <c r="B3232" s="425" t="s">
        <v>2508</v>
      </c>
      <c r="C3232" s="431"/>
      <c r="D3232" s="431">
        <v>1050</v>
      </c>
      <c r="E3232" s="426">
        <f>50*4/3</f>
        <v>66.666666666666671</v>
      </c>
      <c r="F3232" s="427">
        <f>D3232+E3232</f>
        <v>1116.6666666666667</v>
      </c>
      <c r="G3232" s="428" t="s">
        <v>7556</v>
      </c>
      <c r="H3232" s="458" t="str">
        <f>B3232</f>
        <v>GLS4400AAM</v>
      </c>
      <c r="I3232" s="434"/>
      <c r="J3232" s="435" t="s">
        <v>1798</v>
      </c>
      <c r="K3232" s="434"/>
    </row>
    <row r="3233" spans="1:11" s="33" customFormat="1">
      <c r="A3233" s="435"/>
      <c r="B3233" s="425" t="s">
        <v>2551</v>
      </c>
      <c r="C3233" s="431"/>
      <c r="D3233" s="431">
        <v>1050</v>
      </c>
      <c r="E3233" s="426">
        <f>50*4/3</f>
        <v>66.666666666666671</v>
      </c>
      <c r="F3233" s="427">
        <f>D3233+E3233</f>
        <v>1116.6666666666667</v>
      </c>
      <c r="G3233" s="428" t="s">
        <v>7557</v>
      </c>
      <c r="H3233" s="458" t="str">
        <f>B3233</f>
        <v>GLS4320AAM</v>
      </c>
      <c r="I3233" s="434"/>
      <c r="J3233" s="435" t="s">
        <v>1798</v>
      </c>
      <c r="K3233" s="434"/>
    </row>
    <row r="3234" spans="1:11" s="33" customFormat="1">
      <c r="A3234" s="435"/>
      <c r="B3234" s="468"/>
      <c r="C3234" s="431"/>
      <c r="D3234" s="431"/>
      <c r="E3234" s="636"/>
      <c r="F3234" s="637"/>
      <c r="G3234" s="468"/>
      <c r="H3234" s="1648"/>
      <c r="I3234" s="434"/>
      <c r="J3234" s="435"/>
      <c r="K3234" s="434"/>
    </row>
    <row r="3235" spans="1:11" s="33" customFormat="1">
      <c r="A3235" s="435"/>
      <c r="B3235" s="425" t="s">
        <v>2554</v>
      </c>
      <c r="C3235" s="431"/>
      <c r="D3235" s="431">
        <v>642</v>
      </c>
      <c r="E3235" s="426">
        <f>30*4/3</f>
        <v>40</v>
      </c>
      <c r="F3235" s="427">
        <f>D3235+E3235</f>
        <v>682</v>
      </c>
      <c r="G3235" s="428" t="s">
        <v>7558</v>
      </c>
      <c r="H3235" s="458" t="str">
        <f>B3235</f>
        <v>GJS4250AAM</v>
      </c>
      <c r="I3235" s="434"/>
      <c r="J3235" s="435" t="s">
        <v>1798</v>
      </c>
      <c r="K3235" s="434"/>
    </row>
    <row r="3236" spans="1:11" s="33" customFormat="1">
      <c r="A3236" s="435"/>
      <c r="B3236" s="425" t="s">
        <v>2507</v>
      </c>
      <c r="C3236" s="431"/>
      <c r="D3236" s="431">
        <v>642</v>
      </c>
      <c r="E3236" s="426">
        <f>30*4/3</f>
        <v>40</v>
      </c>
      <c r="F3236" s="427">
        <f>D3236+E3236</f>
        <v>682</v>
      </c>
      <c r="G3236" s="428" t="s">
        <v>7559</v>
      </c>
      <c r="H3236" s="458" t="str">
        <f>B3236</f>
        <v>GJS4200AAM</v>
      </c>
      <c r="I3236" s="434"/>
      <c r="J3236" s="435" t="s">
        <v>1798</v>
      </c>
      <c r="K3236" s="434"/>
    </row>
    <row r="3237" spans="1:11" s="33" customFormat="1">
      <c r="A3237" s="435"/>
      <c r="B3237" s="468"/>
      <c r="C3237" s="431"/>
      <c r="D3237" s="431"/>
      <c r="E3237" s="636"/>
      <c r="F3237" s="637"/>
      <c r="G3237" s="468"/>
      <c r="H3237" s="1648"/>
      <c r="I3237" s="434"/>
      <c r="J3237" s="435"/>
      <c r="K3237" s="434"/>
    </row>
    <row r="3238" spans="1:11" s="33" customFormat="1">
      <c r="A3238" s="435"/>
      <c r="B3238" s="425" t="s">
        <v>7560</v>
      </c>
      <c r="C3238" s="431"/>
      <c r="D3238" s="431">
        <f>431*0.8</f>
        <v>344.8</v>
      </c>
      <c r="E3238" s="426">
        <f>(4/3)*15</f>
        <v>20</v>
      </c>
      <c r="F3238" s="427">
        <f>D3238+E3238</f>
        <v>364.8</v>
      </c>
      <c r="G3238" s="428" t="s">
        <v>7561</v>
      </c>
      <c r="H3238" s="458" t="str">
        <f>B3238</f>
        <v>GES4032AFM</v>
      </c>
      <c r="I3238" s="434"/>
      <c r="J3238" s="435" t="s">
        <v>1798</v>
      </c>
      <c r="K3238" s="434"/>
    </row>
    <row r="3239" spans="1:11" s="33" customFormat="1">
      <c r="A3239" s="435"/>
      <c r="B3239" s="26"/>
      <c r="C3239" s="217"/>
      <c r="D3239" s="202"/>
      <c r="E3239" s="203"/>
      <c r="F3239" s="149"/>
      <c r="G3239" s="22"/>
      <c r="H3239" s="1648"/>
      <c r="I3239" s="434"/>
      <c r="J3239" s="435"/>
      <c r="K3239" s="434"/>
    </row>
    <row r="3240" spans="1:11" s="33" customFormat="1">
      <c r="A3240" s="435"/>
      <c r="B3240" s="425" t="s">
        <v>2492</v>
      </c>
      <c r="C3240" s="431"/>
      <c r="D3240" s="431">
        <v>452</v>
      </c>
      <c r="E3240" s="426">
        <f>(4/3)*20</f>
        <v>26.666666666666664</v>
      </c>
      <c r="F3240" s="427">
        <f t="shared" ref="F3240:F3249" si="441">D3240+E3240</f>
        <v>478.66666666666669</v>
      </c>
      <c r="G3240" s="428" t="s">
        <v>7562</v>
      </c>
      <c r="H3240" s="458" t="str">
        <f t="shared" ref="H3240:H3249" si="442">B3240</f>
        <v>GES7160AFM</v>
      </c>
      <c r="I3240" s="434"/>
      <c r="J3240" s="435" t="s">
        <v>1798</v>
      </c>
      <c r="K3240" s="434"/>
    </row>
    <row r="3241" spans="1:11" s="33" customFormat="1">
      <c r="A3241" s="435"/>
      <c r="B3241" s="425" t="s">
        <v>2493</v>
      </c>
      <c r="C3241" s="431"/>
      <c r="D3241" s="431">
        <v>407</v>
      </c>
      <c r="E3241" s="426">
        <f>(4/3)*15</f>
        <v>20</v>
      </c>
      <c r="F3241" s="427">
        <f t="shared" si="441"/>
        <v>427</v>
      </c>
      <c r="G3241" s="428" t="s">
        <v>7563</v>
      </c>
      <c r="H3241" s="458" t="str">
        <f t="shared" si="442"/>
        <v>GES7125AFM</v>
      </c>
      <c r="I3241" s="434"/>
      <c r="J3241" s="435" t="s">
        <v>1798</v>
      </c>
      <c r="K3241" s="434"/>
    </row>
    <row r="3242" spans="1:11" s="33" customFormat="1">
      <c r="A3242" s="435"/>
      <c r="B3242" s="425" t="s">
        <v>2494</v>
      </c>
      <c r="C3242" s="431"/>
      <c r="D3242" s="431">
        <v>407</v>
      </c>
      <c r="E3242" s="426">
        <f t="shared" ref="E3242:E3249" si="443">(4/3)*15</f>
        <v>20</v>
      </c>
      <c r="F3242" s="427">
        <f t="shared" si="441"/>
        <v>427</v>
      </c>
      <c r="G3242" s="428" t="s">
        <v>7564</v>
      </c>
      <c r="H3242" s="458" t="str">
        <f t="shared" si="442"/>
        <v>GES7100AFM</v>
      </c>
      <c r="I3242" s="434"/>
      <c r="J3242" s="435" t="s">
        <v>1798</v>
      </c>
      <c r="K3242" s="434"/>
    </row>
    <row r="3243" spans="1:11" s="33" customFormat="1">
      <c r="A3243" s="435"/>
      <c r="B3243" s="425" t="s">
        <v>2495</v>
      </c>
      <c r="C3243" s="431"/>
      <c r="D3243" s="431">
        <v>407</v>
      </c>
      <c r="E3243" s="426">
        <f t="shared" si="443"/>
        <v>20</v>
      </c>
      <c r="F3243" s="427">
        <f t="shared" si="441"/>
        <v>427</v>
      </c>
      <c r="G3243" s="428" t="s">
        <v>7565</v>
      </c>
      <c r="H3243" s="458" t="str">
        <f t="shared" si="442"/>
        <v>GES7080AFM</v>
      </c>
      <c r="I3243" s="434"/>
      <c r="J3243" s="435" t="s">
        <v>1798</v>
      </c>
      <c r="K3243" s="434"/>
    </row>
    <row r="3244" spans="1:11" s="33" customFormat="1">
      <c r="A3244" s="435"/>
      <c r="B3244" s="425" t="s">
        <v>2496</v>
      </c>
      <c r="C3244" s="431"/>
      <c r="D3244" s="431">
        <v>407</v>
      </c>
      <c r="E3244" s="426">
        <f t="shared" si="443"/>
        <v>20</v>
      </c>
      <c r="F3244" s="427">
        <f t="shared" si="441"/>
        <v>427</v>
      </c>
      <c r="G3244" s="428" t="s">
        <v>7566</v>
      </c>
      <c r="H3244" s="458" t="str">
        <f t="shared" si="442"/>
        <v>GES7063AFM</v>
      </c>
      <c r="I3244" s="434"/>
      <c r="J3244" s="435" t="s">
        <v>1798</v>
      </c>
      <c r="K3244" s="434"/>
    </row>
    <row r="3245" spans="1:11" s="33" customFormat="1">
      <c r="A3245" s="435"/>
      <c r="B3245" s="425" t="s">
        <v>2497</v>
      </c>
      <c r="C3245" s="431"/>
      <c r="D3245" s="431">
        <v>407</v>
      </c>
      <c r="E3245" s="426">
        <f t="shared" si="443"/>
        <v>20</v>
      </c>
      <c r="F3245" s="427">
        <f t="shared" si="441"/>
        <v>427</v>
      </c>
      <c r="G3245" s="428" t="s">
        <v>7567</v>
      </c>
      <c r="H3245" s="458" t="str">
        <f t="shared" si="442"/>
        <v>GES7050AFM</v>
      </c>
      <c r="I3245" s="434"/>
      <c r="J3245" s="435" t="s">
        <v>1798</v>
      </c>
      <c r="K3245" s="434"/>
    </row>
    <row r="3246" spans="1:11" s="33" customFormat="1">
      <c r="A3246" s="435"/>
      <c r="B3246" s="425" t="s">
        <v>2498</v>
      </c>
      <c r="C3246" s="431"/>
      <c r="D3246" s="431">
        <v>407</v>
      </c>
      <c r="E3246" s="426">
        <f t="shared" si="443"/>
        <v>20</v>
      </c>
      <c r="F3246" s="427">
        <f t="shared" si="441"/>
        <v>427</v>
      </c>
      <c r="G3246" s="428" t="s">
        <v>7568</v>
      </c>
      <c r="H3246" s="458" t="str">
        <f t="shared" si="442"/>
        <v>GES7040AFM</v>
      </c>
      <c r="I3246" s="434"/>
      <c r="J3246" s="435" t="s">
        <v>1798</v>
      </c>
      <c r="K3246" s="434"/>
    </row>
    <row r="3247" spans="1:11" s="33" customFormat="1">
      <c r="A3247" s="435"/>
      <c r="B3247" s="425" t="s">
        <v>2499</v>
      </c>
      <c r="C3247" s="431"/>
      <c r="D3247" s="431">
        <v>431</v>
      </c>
      <c r="E3247" s="426">
        <f t="shared" si="443"/>
        <v>20</v>
      </c>
      <c r="F3247" s="427">
        <f t="shared" si="441"/>
        <v>451</v>
      </c>
      <c r="G3247" s="428" t="s">
        <v>7569</v>
      </c>
      <c r="H3247" s="458" t="str">
        <f t="shared" si="442"/>
        <v>GES7032AFM</v>
      </c>
      <c r="I3247" s="434"/>
      <c r="J3247" s="435" t="s">
        <v>1798</v>
      </c>
      <c r="K3247" s="434"/>
    </row>
    <row r="3248" spans="1:11" s="33" customFormat="1">
      <c r="A3248" s="435"/>
      <c r="B3248" s="425" t="s">
        <v>2567</v>
      </c>
      <c r="C3248" s="431"/>
      <c r="D3248" s="431">
        <v>431</v>
      </c>
      <c r="E3248" s="426">
        <f t="shared" si="443"/>
        <v>20</v>
      </c>
      <c r="F3248" s="427">
        <f t="shared" si="441"/>
        <v>451</v>
      </c>
      <c r="G3248" s="428" t="s">
        <v>7570</v>
      </c>
      <c r="H3248" s="458" t="str">
        <f t="shared" si="442"/>
        <v>GES7025AFM</v>
      </c>
      <c r="I3248" s="434"/>
      <c r="J3248" s="435" t="s">
        <v>1798</v>
      </c>
      <c r="K3248" s="434"/>
    </row>
    <row r="3249" spans="1:11" s="33" customFormat="1">
      <c r="A3249" s="435"/>
      <c r="B3249" s="425" t="s">
        <v>2500</v>
      </c>
      <c r="C3249" s="431"/>
      <c r="D3249" s="431">
        <v>431</v>
      </c>
      <c r="E3249" s="426">
        <f t="shared" si="443"/>
        <v>20</v>
      </c>
      <c r="F3249" s="427">
        <f t="shared" si="441"/>
        <v>451</v>
      </c>
      <c r="G3249" s="428" t="s">
        <v>7571</v>
      </c>
      <c r="H3249" s="458" t="str">
        <f t="shared" si="442"/>
        <v>GES7020AFM</v>
      </c>
      <c r="I3249" s="434"/>
      <c r="J3249" s="435" t="s">
        <v>1798</v>
      </c>
      <c r="K3249" s="434"/>
    </row>
    <row r="3250" spans="1:11" s="33" customFormat="1">
      <c r="A3250" s="447"/>
      <c r="B3250" s="453"/>
      <c r="C3250" s="217"/>
      <c r="D3250" s="217"/>
      <c r="E3250" s="407"/>
      <c r="F3250" s="157"/>
      <c r="G3250" s="410"/>
      <c r="H3250" s="1648"/>
      <c r="I3250" s="434"/>
      <c r="J3250" s="435"/>
      <c r="K3250" s="434"/>
    </row>
    <row r="3251" spans="1:11" s="33" customFormat="1">
      <c r="A3251" s="435"/>
      <c r="B3251" s="638" t="s">
        <v>2531</v>
      </c>
      <c r="C3251" s="217"/>
      <c r="D3251" s="217">
        <v>10</v>
      </c>
      <c r="E3251" s="203">
        <v>5</v>
      </c>
      <c r="F3251" s="151">
        <f>D3251+E3251</f>
        <v>15</v>
      </c>
      <c r="G3251" s="437" t="s">
        <v>2501</v>
      </c>
      <c r="H3251" s="458" t="str">
        <f>B3251</f>
        <v>BoxT_GES_4t</v>
      </c>
      <c r="I3251" s="434"/>
      <c r="J3251" s="435" t="s">
        <v>1798</v>
      </c>
      <c r="K3251" s="434"/>
    </row>
    <row r="3252" spans="1:11" s="33" customFormat="1">
      <c r="A3252" s="435"/>
      <c r="B3252" s="638" t="s">
        <v>2502</v>
      </c>
      <c r="C3252" s="217"/>
      <c r="D3252" s="217">
        <v>80</v>
      </c>
      <c r="E3252" s="203">
        <v>5</v>
      </c>
      <c r="F3252" s="151">
        <f>D3252+E3252</f>
        <v>85</v>
      </c>
      <c r="G3252" s="437" t="s">
        <v>2532</v>
      </c>
      <c r="H3252" s="458" t="str">
        <f>B3252</f>
        <v>TunT_GES_4t_160A</v>
      </c>
      <c r="I3252" s="434"/>
      <c r="J3252" s="435" t="s">
        <v>1798</v>
      </c>
      <c r="K3252" s="434"/>
    </row>
    <row r="3253" spans="1:11" s="185" customFormat="1">
      <c r="A3253" s="447"/>
      <c r="B3253" s="384"/>
      <c r="C3253" s="217"/>
      <c r="D3253" s="217"/>
      <c r="E3253" s="407"/>
      <c r="F3253" s="675"/>
      <c r="G3253" s="676"/>
      <c r="H3253" s="139"/>
      <c r="I3253" s="454"/>
      <c r="J3253" s="447"/>
      <c r="K3253" s="454"/>
    </row>
    <row r="3254" spans="1:11" s="185" customFormat="1">
      <c r="A3254" s="447"/>
      <c r="B3254" s="384"/>
      <c r="C3254" s="217"/>
      <c r="D3254" s="217"/>
      <c r="E3254" s="407"/>
      <c r="F3254" s="675"/>
      <c r="G3254" s="676"/>
      <c r="H3254" s="139"/>
      <c r="I3254" s="454"/>
      <c r="J3254" s="447"/>
      <c r="K3254" s="454"/>
    </row>
    <row r="3255" spans="1:11" s="33" customFormat="1">
      <c r="A3255" s="435"/>
      <c r="B3255" s="48"/>
      <c r="C3255" s="217"/>
      <c r="D3255" s="217"/>
      <c r="E3255" s="203"/>
      <c r="F3255" s="149"/>
      <c r="G3255" s="434"/>
      <c r="H3255" s="139"/>
      <c r="I3255" s="434"/>
      <c r="J3255" s="435"/>
      <c r="K3255" s="434"/>
    </row>
    <row r="3256" spans="1:11" s="33" customFormat="1">
      <c r="A3256" s="435"/>
      <c r="B3256" s="425" t="s">
        <v>2559</v>
      </c>
      <c r="C3256" s="431"/>
      <c r="D3256" s="431">
        <f>175*1.8</f>
        <v>315</v>
      </c>
      <c r="E3256" s="426">
        <f>20*2/3</f>
        <v>13.333333333333334</v>
      </c>
      <c r="F3256" s="427">
        <f t="shared" ref="F3256:F3264" si="444">D3256+E3256</f>
        <v>328.33333333333331</v>
      </c>
      <c r="G3256" s="428" t="s">
        <v>7572</v>
      </c>
      <c r="H3256" s="458" t="str">
        <f t="shared" ref="H3256:H3264" si="445">B3256</f>
        <v>GES2125FFG</v>
      </c>
      <c r="I3256" s="434"/>
      <c r="J3256" s="435" t="s">
        <v>1798</v>
      </c>
      <c r="K3256" s="434"/>
    </row>
    <row r="3257" spans="1:11" s="33" customFormat="1">
      <c r="A3257" s="447"/>
      <c r="B3257" s="425" t="s">
        <v>2560</v>
      </c>
      <c r="C3257" s="431"/>
      <c r="D3257" s="431">
        <v>312</v>
      </c>
      <c r="E3257" s="426">
        <f t="shared" ref="E3257:E3264" si="446">2/3*15</f>
        <v>10</v>
      </c>
      <c r="F3257" s="427">
        <f t="shared" si="444"/>
        <v>322</v>
      </c>
      <c r="G3257" s="428" t="s">
        <v>7573</v>
      </c>
      <c r="H3257" s="458" t="str">
        <f t="shared" si="445"/>
        <v>GES2100FFG</v>
      </c>
      <c r="I3257" s="434"/>
      <c r="J3257" s="435" t="s">
        <v>1798</v>
      </c>
      <c r="K3257" s="434"/>
    </row>
    <row r="3258" spans="1:11" s="33" customFormat="1">
      <c r="A3258" s="447"/>
      <c r="B3258" s="425" t="s">
        <v>89</v>
      </c>
      <c r="C3258" s="431"/>
      <c r="D3258" s="431">
        <v>312</v>
      </c>
      <c r="E3258" s="426">
        <f t="shared" si="446"/>
        <v>10</v>
      </c>
      <c r="F3258" s="427">
        <f t="shared" si="444"/>
        <v>322</v>
      </c>
      <c r="G3258" s="428" t="s">
        <v>7574</v>
      </c>
      <c r="H3258" s="458" t="str">
        <f t="shared" si="445"/>
        <v>GES2080FFG</v>
      </c>
      <c r="I3258" s="434"/>
      <c r="J3258" s="435" t="s">
        <v>1798</v>
      </c>
      <c r="K3258" s="434"/>
    </row>
    <row r="3259" spans="1:11" s="33" customFormat="1">
      <c r="A3259" s="447"/>
      <c r="B3259" s="425" t="s">
        <v>321</v>
      </c>
      <c r="C3259" s="431"/>
      <c r="D3259" s="431">
        <v>312</v>
      </c>
      <c r="E3259" s="426">
        <f t="shared" si="446"/>
        <v>10</v>
      </c>
      <c r="F3259" s="427">
        <f t="shared" si="444"/>
        <v>322</v>
      </c>
      <c r="G3259" s="428" t="s">
        <v>7575</v>
      </c>
      <c r="H3259" s="458" t="str">
        <f t="shared" si="445"/>
        <v>GES2063FFG</v>
      </c>
      <c r="I3259" s="434"/>
      <c r="J3259" s="435" t="s">
        <v>1798</v>
      </c>
      <c r="K3259" s="434"/>
    </row>
    <row r="3260" spans="1:11" s="33" customFormat="1">
      <c r="A3260" s="447"/>
      <c r="B3260" s="425" t="s">
        <v>2561</v>
      </c>
      <c r="C3260" s="431"/>
      <c r="D3260" s="431">
        <v>280.2</v>
      </c>
      <c r="E3260" s="426">
        <f t="shared" si="446"/>
        <v>10</v>
      </c>
      <c r="F3260" s="427">
        <f t="shared" si="444"/>
        <v>290.2</v>
      </c>
      <c r="G3260" s="428" t="s">
        <v>7576</v>
      </c>
      <c r="H3260" s="458" t="str">
        <f t="shared" si="445"/>
        <v>GES2050FFG</v>
      </c>
      <c r="I3260" s="434"/>
      <c r="J3260" s="435" t="s">
        <v>1798</v>
      </c>
      <c r="K3260" s="434"/>
    </row>
    <row r="3261" spans="1:11" s="33" customFormat="1">
      <c r="A3261" s="447"/>
      <c r="B3261" s="425" t="s">
        <v>48</v>
      </c>
      <c r="C3261" s="431"/>
      <c r="D3261" s="431">
        <v>280.2</v>
      </c>
      <c r="E3261" s="426">
        <f t="shared" si="446"/>
        <v>10</v>
      </c>
      <c r="F3261" s="427">
        <f t="shared" si="444"/>
        <v>290.2</v>
      </c>
      <c r="G3261" s="428" t="s">
        <v>7577</v>
      </c>
      <c r="H3261" s="458" t="str">
        <f t="shared" si="445"/>
        <v>GES2040FFG</v>
      </c>
      <c r="I3261" s="434"/>
      <c r="J3261" s="435" t="s">
        <v>1798</v>
      </c>
      <c r="K3261" s="434"/>
    </row>
    <row r="3262" spans="1:11" s="33" customFormat="1">
      <c r="A3262" s="447"/>
      <c r="B3262" s="425" t="s">
        <v>144</v>
      </c>
      <c r="C3262" s="431"/>
      <c r="D3262" s="431">
        <v>280.2</v>
      </c>
      <c r="E3262" s="426">
        <f t="shared" si="446"/>
        <v>10</v>
      </c>
      <c r="F3262" s="427">
        <f t="shared" si="444"/>
        <v>290.2</v>
      </c>
      <c r="G3262" s="428" t="s">
        <v>7578</v>
      </c>
      <c r="H3262" s="458" t="str">
        <f t="shared" si="445"/>
        <v>GES2032FFG</v>
      </c>
      <c r="I3262" s="434"/>
      <c r="J3262" s="435" t="s">
        <v>1798</v>
      </c>
      <c r="K3262" s="434"/>
    </row>
    <row r="3263" spans="1:11" s="33" customFormat="1">
      <c r="A3263" s="447"/>
      <c r="B3263" s="425" t="s">
        <v>142</v>
      </c>
      <c r="C3263" s="431"/>
      <c r="D3263" s="431">
        <v>280.2</v>
      </c>
      <c r="E3263" s="426">
        <f t="shared" si="446"/>
        <v>10</v>
      </c>
      <c r="F3263" s="427">
        <f t="shared" si="444"/>
        <v>290.2</v>
      </c>
      <c r="G3263" s="428" t="s">
        <v>7579</v>
      </c>
      <c r="H3263" s="458" t="str">
        <f t="shared" si="445"/>
        <v>GES2020FFG</v>
      </c>
      <c r="I3263" s="434"/>
      <c r="J3263" s="435" t="s">
        <v>1798</v>
      </c>
      <c r="K3263" s="434"/>
    </row>
    <row r="3264" spans="1:11" s="33" customFormat="1">
      <c r="A3264" s="447"/>
      <c r="B3264" s="425" t="s">
        <v>12228</v>
      </c>
      <c r="C3264" s="431"/>
      <c r="D3264" s="431">
        <v>280.2</v>
      </c>
      <c r="E3264" s="426">
        <f t="shared" si="446"/>
        <v>10</v>
      </c>
      <c r="F3264" s="427">
        <f t="shared" si="444"/>
        <v>290.2</v>
      </c>
      <c r="G3264" s="428" t="s">
        <v>12229</v>
      </c>
      <c r="H3264" s="458" t="str">
        <f t="shared" si="445"/>
        <v>GES2015FFG</v>
      </c>
      <c r="I3264" s="434"/>
      <c r="J3264" s="435" t="s">
        <v>1798</v>
      </c>
      <c r="K3264" s="434"/>
    </row>
    <row r="3265" spans="1:11" s="33" customFormat="1">
      <c r="A3265" s="447"/>
      <c r="B3265" s="425"/>
      <c r="C3265" s="431"/>
      <c r="D3265" s="431"/>
      <c r="E3265" s="426"/>
      <c r="F3265" s="427"/>
      <c r="G3265" s="428"/>
      <c r="H3265" s="458"/>
      <c r="I3265" s="434"/>
      <c r="J3265" s="435"/>
      <c r="K3265" s="434"/>
    </row>
    <row r="3266" spans="1:11" s="33" customFormat="1">
      <c r="A3266" s="447"/>
      <c r="B3266" s="47" t="s">
        <v>92</v>
      </c>
      <c r="C3266" s="217"/>
      <c r="D3266" s="217">
        <v>88.5</v>
      </c>
      <c r="E3266" s="203">
        <v>11.5</v>
      </c>
      <c r="F3266" s="149">
        <f>D3266+E3266</f>
        <v>100</v>
      </c>
      <c r="G3266" s="22" t="s">
        <v>7580</v>
      </c>
      <c r="H3266" s="1669" t="s">
        <v>92</v>
      </c>
      <c r="I3266" s="434"/>
      <c r="J3266" s="435" t="s">
        <v>1798</v>
      </c>
      <c r="K3266" s="434"/>
    </row>
    <row r="3267" spans="1:11" s="33" customFormat="1">
      <c r="A3267" s="447"/>
      <c r="B3267" s="47" t="s">
        <v>93</v>
      </c>
      <c r="C3267" s="217"/>
      <c r="D3267" s="217">
        <v>280</v>
      </c>
      <c r="E3267" s="203">
        <v>11.5</v>
      </c>
      <c r="F3267" s="149">
        <f>D3267+E3267</f>
        <v>291.5</v>
      </c>
      <c r="G3267" s="22" t="s">
        <v>7581</v>
      </c>
      <c r="H3267" s="1669" t="s">
        <v>93</v>
      </c>
      <c r="I3267" s="434"/>
      <c r="J3267" s="435" t="s">
        <v>1798</v>
      </c>
      <c r="K3267" s="434"/>
    </row>
    <row r="3268" spans="1:11" s="33" customFormat="1">
      <c r="A3268" s="447"/>
      <c r="B3268" s="48"/>
      <c r="C3268" s="217"/>
      <c r="D3268" s="217"/>
      <c r="E3268" s="203"/>
      <c r="F3268" s="149"/>
      <c r="G3268" s="434"/>
      <c r="H3268" s="1648"/>
      <c r="I3268" s="434"/>
      <c r="J3268" s="435"/>
      <c r="K3268" s="434"/>
    </row>
    <row r="3269" spans="1:11" s="33" customFormat="1">
      <c r="A3269" s="435"/>
      <c r="B3269" s="638" t="s">
        <v>2555</v>
      </c>
      <c r="C3269" s="217"/>
      <c r="D3269" s="217">
        <f>10/1.5</f>
        <v>6.666666666666667</v>
      </c>
      <c r="E3269" s="203">
        <v>5</v>
      </c>
      <c r="F3269" s="151">
        <f>D3269+E3269</f>
        <v>11.666666666666668</v>
      </c>
      <c r="G3269" s="437" t="s">
        <v>2556</v>
      </c>
      <c r="H3269" s="458" t="str">
        <f>B3269</f>
        <v>BoxT_GES_2t</v>
      </c>
      <c r="I3269" s="434"/>
      <c r="J3269" s="435" t="s">
        <v>1798</v>
      </c>
      <c r="K3269" s="434"/>
    </row>
    <row r="3270" spans="1:11" s="33" customFormat="1">
      <c r="A3270" s="435"/>
      <c r="B3270" s="638" t="s">
        <v>2558</v>
      </c>
      <c r="C3270" s="217"/>
      <c r="D3270" s="217">
        <f>80/1.5</f>
        <v>53.333333333333336</v>
      </c>
      <c r="E3270" s="203">
        <v>5</v>
      </c>
      <c r="F3270" s="151">
        <f>D3270+E3270</f>
        <v>58.333333333333336</v>
      </c>
      <c r="G3270" s="437" t="s">
        <v>2557</v>
      </c>
      <c r="H3270" s="458" t="str">
        <f>B3270</f>
        <v>TunT_GES_2t_160A</v>
      </c>
      <c r="I3270" s="434"/>
      <c r="J3270" s="435" t="s">
        <v>1798</v>
      </c>
      <c r="K3270" s="434"/>
    </row>
    <row r="3271" spans="1:11" s="33" customFormat="1">
      <c r="A3271" s="435"/>
      <c r="B3271" s="384"/>
      <c r="C3271" s="217"/>
      <c r="D3271" s="217"/>
      <c r="E3271" s="407"/>
      <c r="F3271" s="675"/>
      <c r="G3271" s="676"/>
      <c r="H3271" s="139"/>
      <c r="I3271" s="434"/>
      <c r="J3271" s="435"/>
      <c r="K3271" s="434"/>
    </row>
    <row r="3272" spans="1:11" s="1397" customFormat="1">
      <c r="A3272" s="443"/>
      <c r="B3272" s="52" t="s">
        <v>13601</v>
      </c>
      <c r="C3272" s="341"/>
      <c r="D3272" s="341">
        <f>639.5*2.45*0.9</f>
        <v>1410.0975000000001</v>
      </c>
      <c r="E3272" s="2318">
        <v>20</v>
      </c>
      <c r="F3272" s="342">
        <f t="shared" ref="F3272:F3278" si="447">D3272+E3272</f>
        <v>1430.0975000000001</v>
      </c>
      <c r="G3272" s="2319" t="s">
        <v>13602</v>
      </c>
      <c r="H3272" s="2320" t="s">
        <v>145</v>
      </c>
      <c r="I3272" s="2321"/>
      <c r="J3272" s="443" t="s">
        <v>1798</v>
      </c>
      <c r="K3272" s="2321"/>
    </row>
    <row r="3273" spans="1:11" s="1397" customFormat="1">
      <c r="A3273" s="443"/>
      <c r="B3273" s="52" t="s">
        <v>13603</v>
      </c>
      <c r="C3273" s="341"/>
      <c r="D3273" s="341">
        <f>671.5*2.45*0.9</f>
        <v>1480.6575000000003</v>
      </c>
      <c r="E3273" s="2318">
        <v>20</v>
      </c>
      <c r="F3273" s="342">
        <f t="shared" si="447"/>
        <v>1500.6575000000003</v>
      </c>
      <c r="G3273" s="2319" t="s">
        <v>13604</v>
      </c>
      <c r="H3273" s="2320" t="s">
        <v>49</v>
      </c>
      <c r="I3273" s="2321"/>
      <c r="J3273" s="443" t="s">
        <v>1798</v>
      </c>
      <c r="K3273" s="2321"/>
    </row>
    <row r="3274" spans="1:11" s="1397" customFormat="1">
      <c r="A3274" s="443"/>
      <c r="B3274" s="52" t="s">
        <v>13605</v>
      </c>
      <c r="C3274" s="341"/>
      <c r="D3274" s="341">
        <f>107.55*2.45*0.9</f>
        <v>237.14775</v>
      </c>
      <c r="E3274" s="2318">
        <v>15</v>
      </c>
      <c r="F3274" s="342">
        <f t="shared" si="447"/>
        <v>252.14775</v>
      </c>
      <c r="G3274" s="2319" t="s">
        <v>13606</v>
      </c>
      <c r="H3274" s="2320" t="s">
        <v>52</v>
      </c>
      <c r="I3274" s="2321"/>
      <c r="J3274" s="443" t="s">
        <v>1798</v>
      </c>
      <c r="K3274" s="2321"/>
    </row>
    <row r="3275" spans="1:11" s="1397" customFormat="1">
      <c r="A3275" s="443"/>
      <c r="B3275" s="52" t="s">
        <v>13607</v>
      </c>
      <c r="C3275" s="341"/>
      <c r="D3275" s="341">
        <f>647.7*2.45*0.9</f>
        <v>1428.1785000000002</v>
      </c>
      <c r="E3275" s="2318">
        <v>15</v>
      </c>
      <c r="F3275" s="342">
        <f t="shared" si="447"/>
        <v>1443.1785000000002</v>
      </c>
      <c r="G3275" s="2319" t="s">
        <v>13608</v>
      </c>
      <c r="H3275" s="2320" t="s">
        <v>98</v>
      </c>
      <c r="I3275" s="2321"/>
      <c r="J3275" s="443" t="s">
        <v>1798</v>
      </c>
      <c r="K3275" s="2321"/>
    </row>
    <row r="3276" spans="1:11" s="1397" customFormat="1">
      <c r="A3276" s="443"/>
      <c r="B3276" s="52" t="s">
        <v>13609</v>
      </c>
      <c r="C3276" s="341"/>
      <c r="D3276" s="341">
        <f>871.45*2.45*0.9</f>
        <v>1921.5472500000003</v>
      </c>
      <c r="E3276" s="2318">
        <v>15</v>
      </c>
      <c r="F3276" s="342">
        <f t="shared" si="447"/>
        <v>1936.5472500000003</v>
      </c>
      <c r="G3276" s="2319" t="s">
        <v>13610</v>
      </c>
      <c r="H3276" s="2320" t="s">
        <v>50</v>
      </c>
      <c r="I3276" s="2321"/>
      <c r="J3276" s="443" t="s">
        <v>1798</v>
      </c>
      <c r="K3276" s="2321"/>
    </row>
    <row r="3277" spans="1:11" s="1397" customFormat="1">
      <c r="A3277" s="443"/>
      <c r="B3277" s="52" t="s">
        <v>13611</v>
      </c>
      <c r="C3277" s="341"/>
      <c r="D3277" s="341">
        <f>2010*2.45*0.9</f>
        <v>4432.05</v>
      </c>
      <c r="E3277" s="2318">
        <v>15</v>
      </c>
      <c r="F3277" s="342">
        <f t="shared" si="447"/>
        <v>4447.05</v>
      </c>
      <c r="G3277" s="2319" t="s">
        <v>13610</v>
      </c>
      <c r="H3277" s="2320" t="s">
        <v>78</v>
      </c>
      <c r="I3277" s="2321"/>
      <c r="J3277" s="443" t="s">
        <v>1798</v>
      </c>
      <c r="K3277" s="2321"/>
    </row>
    <row r="3278" spans="1:11" s="1397" customFormat="1">
      <c r="A3278" s="443"/>
      <c r="B3278" s="52" t="s">
        <v>7719</v>
      </c>
      <c r="C3278" s="341"/>
      <c r="D3278" s="341">
        <v>67.8</v>
      </c>
      <c r="E3278" s="2318">
        <v>15</v>
      </c>
      <c r="F3278" s="342">
        <f t="shared" si="447"/>
        <v>82.8</v>
      </c>
      <c r="G3278" s="2319" t="s">
        <v>13612</v>
      </c>
      <c r="H3278" s="2320" t="s">
        <v>79</v>
      </c>
      <c r="I3278" s="2321"/>
      <c r="J3278" s="443" t="s">
        <v>1798</v>
      </c>
      <c r="K3278" s="2321"/>
    </row>
    <row r="3279" spans="1:11" s="33" customFormat="1">
      <c r="A3279" s="435"/>
      <c r="B3279" s="384"/>
      <c r="C3279" s="217"/>
      <c r="D3279" s="217"/>
      <c r="E3279" s="407"/>
      <c r="F3279" s="675"/>
      <c r="G3279" s="676"/>
      <c r="H3279" s="139"/>
      <c r="I3279" s="434"/>
      <c r="J3279" s="435"/>
      <c r="K3279" s="434"/>
    </row>
    <row r="3280" spans="1:11" s="1397" customFormat="1" ht="26.4">
      <c r="A3280" s="443"/>
      <c r="B3280" s="52" t="s">
        <v>13613</v>
      </c>
      <c r="C3280" s="341"/>
      <c r="D3280" s="341">
        <v>2070.6</v>
      </c>
      <c r="E3280" s="2318">
        <v>15</v>
      </c>
      <c r="F3280" s="342">
        <f t="shared" ref="F3280:F3284" si="448">D3280+E3280</f>
        <v>2085.6</v>
      </c>
      <c r="G3280" s="2322" t="s">
        <v>13614</v>
      </c>
      <c r="H3280" s="2320" t="s">
        <v>13613</v>
      </c>
      <c r="I3280" s="2321"/>
      <c r="J3280" s="443" t="s">
        <v>1798</v>
      </c>
      <c r="K3280" s="2321"/>
    </row>
    <row r="3281" spans="1:11" s="1397" customFormat="1" ht="26.4">
      <c r="A3281" s="443"/>
      <c r="B3281" s="52" t="s">
        <v>13615</v>
      </c>
      <c r="C3281" s="341"/>
      <c r="D3281" s="341">
        <v>2140</v>
      </c>
      <c r="E3281" s="2318">
        <v>15</v>
      </c>
      <c r="F3281" s="342">
        <f t="shared" si="448"/>
        <v>2155</v>
      </c>
      <c r="G3281" s="2322" t="s">
        <v>13616</v>
      </c>
      <c r="H3281" s="2320" t="s">
        <v>13615</v>
      </c>
      <c r="I3281" s="2321"/>
      <c r="J3281" s="443" t="s">
        <v>1798</v>
      </c>
      <c r="K3281" s="2321"/>
    </row>
    <row r="3282" spans="1:11" s="1397" customFormat="1">
      <c r="A3282" s="443"/>
      <c r="B3282" s="52" t="s">
        <v>13617</v>
      </c>
      <c r="C3282" s="341"/>
      <c r="D3282" s="341">
        <v>58</v>
      </c>
      <c r="E3282" s="2318">
        <v>5</v>
      </c>
      <c r="F3282" s="342">
        <f t="shared" si="448"/>
        <v>63</v>
      </c>
      <c r="G3282" s="2322" t="s">
        <v>13618</v>
      </c>
      <c r="H3282" s="2320" t="str">
        <f>B3282</f>
        <v>A2KES250T1</v>
      </c>
      <c r="I3282" s="2321"/>
      <c r="J3282" s="443" t="s">
        <v>1798</v>
      </c>
      <c r="K3282" s="2321"/>
    </row>
    <row r="3283" spans="1:11" s="1397" customFormat="1">
      <c r="A3283" s="443"/>
      <c r="B3283" s="52" t="s">
        <v>13619</v>
      </c>
      <c r="C3283" s="341"/>
      <c r="D3283" s="341">
        <v>20</v>
      </c>
      <c r="E3283" s="2318">
        <v>5</v>
      </c>
      <c r="F3283" s="342">
        <f t="shared" si="448"/>
        <v>25</v>
      </c>
      <c r="G3283" s="2322" t="s">
        <v>13620</v>
      </c>
      <c r="H3283" s="2320" t="str">
        <f>B3283</f>
        <v>TA350K</v>
      </c>
      <c r="I3283" s="2321"/>
      <c r="J3283" s="443" t="s">
        <v>1798</v>
      </c>
      <c r="K3283" s="2321"/>
    </row>
    <row r="3284" spans="1:11" s="1397" customFormat="1">
      <c r="A3284" s="443"/>
      <c r="B3284" s="52" t="s">
        <v>13621</v>
      </c>
      <c r="C3284" s="341"/>
      <c r="D3284" s="341">
        <v>49</v>
      </c>
      <c r="E3284" s="2318">
        <v>5</v>
      </c>
      <c r="F3284" s="342">
        <f t="shared" si="448"/>
        <v>54</v>
      </c>
      <c r="G3284" s="2322" t="s">
        <v>13622</v>
      </c>
      <c r="H3284" s="2320" t="str">
        <f>B3284</f>
        <v>3TA400K</v>
      </c>
      <c r="I3284" s="2321"/>
      <c r="J3284" s="443" t="s">
        <v>1798</v>
      </c>
      <c r="K3284" s="2321"/>
    </row>
    <row r="3285" spans="1:11" s="33" customFormat="1">
      <c r="A3285" s="435"/>
      <c r="B3285" s="434"/>
      <c r="C3285" s="217"/>
      <c r="D3285" s="217"/>
      <c r="E3285" s="438"/>
      <c r="F3285" s="439"/>
      <c r="G3285" s="434"/>
      <c r="H3285" s="1648"/>
      <c r="I3285" s="434"/>
      <c r="J3285" s="435"/>
      <c r="K3285" s="434"/>
    </row>
    <row r="3286" spans="1:11" s="33" customFormat="1">
      <c r="A3286" s="435"/>
      <c r="B3286" s="47" t="s">
        <v>145</v>
      </c>
      <c r="C3286" s="217"/>
      <c r="D3286" s="217">
        <v>160</v>
      </c>
      <c r="E3286" s="203">
        <v>20</v>
      </c>
      <c r="F3286" s="149">
        <f t="shared" ref="F3286:F3296" si="449">D3286+E3286</f>
        <v>180</v>
      </c>
      <c r="G3286" s="22" t="s">
        <v>7582</v>
      </c>
      <c r="H3286" s="1669" t="s">
        <v>145</v>
      </c>
      <c r="I3286" s="434"/>
      <c r="J3286" s="435" t="s">
        <v>1798</v>
      </c>
      <c r="K3286" s="434"/>
    </row>
    <row r="3287" spans="1:11" s="33" customFormat="1">
      <c r="A3287" s="435"/>
      <c r="B3287" s="47" t="s">
        <v>49</v>
      </c>
      <c r="C3287" s="217"/>
      <c r="D3287" s="217">
        <v>140</v>
      </c>
      <c r="E3287" s="203">
        <v>20</v>
      </c>
      <c r="F3287" s="149">
        <f t="shared" si="449"/>
        <v>160</v>
      </c>
      <c r="G3287" s="22" t="s">
        <v>7583</v>
      </c>
      <c r="H3287" s="1669" t="s">
        <v>49</v>
      </c>
      <c r="I3287" s="434"/>
      <c r="J3287" s="435" t="s">
        <v>1798</v>
      </c>
      <c r="K3287" s="434"/>
    </row>
    <row r="3288" spans="1:11" s="33" customFormat="1">
      <c r="A3288" s="435"/>
      <c r="B3288" s="47" t="s">
        <v>52</v>
      </c>
      <c r="C3288" s="217"/>
      <c r="D3288" s="217">
        <v>125</v>
      </c>
      <c r="E3288" s="203">
        <v>15</v>
      </c>
      <c r="F3288" s="149">
        <f t="shared" si="449"/>
        <v>140</v>
      </c>
      <c r="G3288" s="22" t="s">
        <v>7584</v>
      </c>
      <c r="H3288" s="1669" t="s">
        <v>52</v>
      </c>
      <c r="I3288" s="434"/>
      <c r="J3288" s="435" t="s">
        <v>1798</v>
      </c>
      <c r="K3288" s="434"/>
    </row>
    <row r="3289" spans="1:11" s="33" customFormat="1">
      <c r="A3289" s="435"/>
      <c r="B3289" s="47" t="s">
        <v>98</v>
      </c>
      <c r="C3289" s="217"/>
      <c r="D3289" s="217">
        <v>125</v>
      </c>
      <c r="E3289" s="203">
        <v>15</v>
      </c>
      <c r="F3289" s="149">
        <f t="shared" si="449"/>
        <v>140</v>
      </c>
      <c r="G3289" s="22" t="s">
        <v>7585</v>
      </c>
      <c r="H3289" s="1669" t="s">
        <v>98</v>
      </c>
      <c r="I3289" s="434"/>
      <c r="J3289" s="435" t="s">
        <v>1798</v>
      </c>
      <c r="K3289" s="434"/>
    </row>
    <row r="3290" spans="1:11" s="33" customFormat="1">
      <c r="A3290" s="435"/>
      <c r="B3290" s="47" t="s">
        <v>50</v>
      </c>
      <c r="C3290" s="217"/>
      <c r="D3290" s="217">
        <v>125</v>
      </c>
      <c r="E3290" s="203">
        <v>15</v>
      </c>
      <c r="F3290" s="149">
        <f t="shared" si="449"/>
        <v>140</v>
      </c>
      <c r="G3290" s="22" t="s">
        <v>7586</v>
      </c>
      <c r="H3290" s="1669" t="s">
        <v>50</v>
      </c>
      <c r="I3290" s="434"/>
      <c r="J3290" s="435" t="s">
        <v>1798</v>
      </c>
      <c r="K3290" s="434"/>
    </row>
    <row r="3291" spans="1:11" s="33" customFormat="1">
      <c r="A3291" s="435"/>
      <c r="B3291" s="47" t="s">
        <v>78</v>
      </c>
      <c r="C3291" s="217"/>
      <c r="D3291" s="217">
        <v>125</v>
      </c>
      <c r="E3291" s="203">
        <v>15</v>
      </c>
      <c r="F3291" s="149">
        <f t="shared" si="449"/>
        <v>140</v>
      </c>
      <c r="G3291" s="22" t="s">
        <v>7587</v>
      </c>
      <c r="H3291" s="1669" t="s">
        <v>78</v>
      </c>
      <c r="I3291" s="434"/>
      <c r="J3291" s="435" t="s">
        <v>1798</v>
      </c>
      <c r="K3291" s="434"/>
    </row>
    <row r="3292" spans="1:11" s="33" customFormat="1">
      <c r="A3292" s="435"/>
      <c r="B3292" s="47" t="s">
        <v>79</v>
      </c>
      <c r="C3292" s="217"/>
      <c r="D3292" s="217">
        <v>125</v>
      </c>
      <c r="E3292" s="203">
        <v>15</v>
      </c>
      <c r="F3292" s="149">
        <f t="shared" si="449"/>
        <v>140</v>
      </c>
      <c r="G3292" s="22" t="s">
        <v>7588</v>
      </c>
      <c r="H3292" s="1669" t="s">
        <v>79</v>
      </c>
      <c r="I3292" s="434"/>
      <c r="J3292" s="435" t="s">
        <v>1798</v>
      </c>
      <c r="K3292" s="434"/>
    </row>
    <row r="3293" spans="1:11" s="33" customFormat="1">
      <c r="A3293" s="435"/>
      <c r="B3293" s="47" t="s">
        <v>54</v>
      </c>
      <c r="C3293" s="217"/>
      <c r="D3293" s="217">
        <v>125</v>
      </c>
      <c r="E3293" s="203">
        <v>15</v>
      </c>
      <c r="F3293" s="149">
        <f t="shared" si="449"/>
        <v>140</v>
      </c>
      <c r="G3293" s="22" t="s">
        <v>7589</v>
      </c>
      <c r="H3293" s="1669" t="s">
        <v>54</v>
      </c>
      <c r="I3293" s="434"/>
      <c r="J3293" s="435" t="s">
        <v>1798</v>
      </c>
      <c r="K3293" s="434"/>
    </row>
    <row r="3294" spans="1:11" s="33" customFormat="1">
      <c r="A3294" s="435"/>
      <c r="B3294" s="47" t="s">
        <v>53</v>
      </c>
      <c r="C3294" s="217"/>
      <c r="D3294" s="217">
        <v>125</v>
      </c>
      <c r="E3294" s="203">
        <v>15</v>
      </c>
      <c r="F3294" s="149">
        <f t="shared" si="449"/>
        <v>140</v>
      </c>
      <c r="G3294" s="22" t="s">
        <v>7590</v>
      </c>
      <c r="H3294" s="1669" t="s">
        <v>53</v>
      </c>
      <c r="I3294" s="434"/>
      <c r="J3294" s="435" t="s">
        <v>1798</v>
      </c>
      <c r="K3294" s="434"/>
    </row>
    <row r="3295" spans="1:11" s="33" customFormat="1">
      <c r="A3295" s="435"/>
      <c r="B3295" s="47" t="s">
        <v>51</v>
      </c>
      <c r="C3295" s="217"/>
      <c r="D3295" s="217">
        <v>125</v>
      </c>
      <c r="E3295" s="203">
        <v>15</v>
      </c>
      <c r="F3295" s="149">
        <f t="shared" si="449"/>
        <v>140</v>
      </c>
      <c r="G3295" s="22" t="s">
        <v>7591</v>
      </c>
      <c r="H3295" s="1669" t="s">
        <v>51</v>
      </c>
      <c r="I3295" s="434"/>
      <c r="J3295" s="435" t="s">
        <v>1798</v>
      </c>
      <c r="K3295" s="434"/>
    </row>
    <row r="3296" spans="1:11" s="33" customFormat="1">
      <c r="A3296" s="435"/>
      <c r="B3296" s="47" t="s">
        <v>91</v>
      </c>
      <c r="C3296" s="217"/>
      <c r="D3296" s="217">
        <v>125</v>
      </c>
      <c r="E3296" s="203">
        <v>15</v>
      </c>
      <c r="F3296" s="149">
        <f t="shared" si="449"/>
        <v>140</v>
      </c>
      <c r="G3296" s="22" t="s">
        <v>7592</v>
      </c>
      <c r="H3296" s="1669" t="s">
        <v>91</v>
      </c>
      <c r="I3296" s="434"/>
      <c r="J3296" s="435" t="s">
        <v>1798</v>
      </c>
      <c r="K3296" s="434"/>
    </row>
    <row r="3297" spans="1:11" s="33" customFormat="1">
      <c r="A3297" s="435"/>
      <c r="B3297" s="48"/>
      <c r="C3297" s="217"/>
      <c r="D3297" s="217"/>
      <c r="E3297" s="203"/>
      <c r="F3297" s="149"/>
      <c r="G3297" s="434"/>
      <c r="H3297" s="1670"/>
      <c r="I3297" s="434"/>
      <c r="J3297" s="435"/>
      <c r="K3297" s="434"/>
    </row>
    <row r="3298" spans="1:11" s="33" customFormat="1">
      <c r="A3298" s="435"/>
      <c r="B3298" s="47" t="s">
        <v>147</v>
      </c>
      <c r="C3298" s="217"/>
      <c r="D3298" s="217">
        <v>140</v>
      </c>
      <c r="E3298" s="203">
        <v>20</v>
      </c>
      <c r="F3298" s="149">
        <f>D3298+E3298</f>
        <v>160</v>
      </c>
      <c r="G3298" s="22" t="s">
        <v>7593</v>
      </c>
      <c r="H3298" s="1669" t="s">
        <v>147</v>
      </c>
      <c r="I3298" s="434"/>
      <c r="J3298" s="435" t="s">
        <v>1798</v>
      </c>
      <c r="K3298" s="434"/>
    </row>
    <row r="3299" spans="1:11" s="33" customFormat="1">
      <c r="A3299" s="435"/>
      <c r="B3299" s="47" t="s">
        <v>146</v>
      </c>
      <c r="C3299" s="217"/>
      <c r="D3299" s="217">
        <v>120</v>
      </c>
      <c r="E3299" s="203">
        <v>20</v>
      </c>
      <c r="F3299" s="149">
        <f>D3299+E3299</f>
        <v>140</v>
      </c>
      <c r="G3299" s="22" t="s">
        <v>7594</v>
      </c>
      <c r="H3299" s="1669" t="s">
        <v>146</v>
      </c>
      <c r="I3299" s="434"/>
      <c r="J3299" s="435" t="s">
        <v>1798</v>
      </c>
      <c r="K3299" s="434"/>
    </row>
    <row r="3300" spans="1:11" s="33" customFormat="1">
      <c r="A3300" s="435"/>
      <c r="B3300" s="48"/>
      <c r="C3300" s="217"/>
      <c r="D3300" s="217"/>
      <c r="E3300" s="203"/>
      <c r="F3300" s="149"/>
      <c r="G3300" s="434"/>
      <c r="H3300" s="1670"/>
      <c r="I3300" s="434"/>
      <c r="J3300" s="435"/>
      <c r="K3300" s="434"/>
    </row>
    <row r="3301" spans="1:11" s="33" customFormat="1">
      <c r="A3301" s="1491"/>
      <c r="B3301" s="384" t="s">
        <v>7595</v>
      </c>
      <c r="C3301" s="217"/>
      <c r="D3301" s="217">
        <v>1140</v>
      </c>
      <c r="E3301" s="203">
        <v>20</v>
      </c>
      <c r="F3301" s="151">
        <f>D3301+E3301</f>
        <v>1160</v>
      </c>
      <c r="G3301" s="676" t="s">
        <v>7596</v>
      </c>
      <c r="H3301" s="1666" t="str">
        <f>B3301</f>
        <v>ELEBN3125G</v>
      </c>
      <c r="I3301" s="434"/>
      <c r="J3301" s="435" t="s">
        <v>1798</v>
      </c>
      <c r="K3301" s="434"/>
    </row>
    <row r="3302" spans="1:11" s="33" customFormat="1">
      <c r="A3302" s="1491"/>
      <c r="B3302" s="384" t="s">
        <v>28</v>
      </c>
      <c r="C3302" s="217"/>
      <c r="D3302" s="217">
        <v>7</v>
      </c>
      <c r="E3302" s="203"/>
      <c r="F3302" s="151">
        <f>D3302+E3302</f>
        <v>7</v>
      </c>
      <c r="G3302" s="676" t="s">
        <v>7597</v>
      </c>
      <c r="H3302" s="1666" t="s">
        <v>28</v>
      </c>
      <c r="I3302" s="434"/>
      <c r="J3302" s="435" t="s">
        <v>1798</v>
      </c>
      <c r="K3302" s="434"/>
    </row>
    <row r="3303" spans="1:11" s="33" customFormat="1">
      <c r="A3303" s="435"/>
      <c r="B3303" s="384" t="s">
        <v>19</v>
      </c>
      <c r="C3303" s="217"/>
      <c r="D3303" s="217">
        <v>46</v>
      </c>
      <c r="E3303" s="203"/>
      <c r="F3303" s="151">
        <f>D3303+E3303</f>
        <v>46</v>
      </c>
      <c r="G3303" s="676" t="s">
        <v>7598</v>
      </c>
      <c r="H3303" s="1666" t="s">
        <v>19</v>
      </c>
      <c r="I3303" s="434"/>
      <c r="J3303" s="435" t="s">
        <v>1798</v>
      </c>
      <c r="K3303" s="434"/>
    </row>
    <row r="3304" spans="1:11" s="33" customFormat="1">
      <c r="A3304" s="435"/>
      <c r="B3304" s="48"/>
      <c r="C3304" s="217"/>
      <c r="D3304" s="217"/>
      <c r="E3304" s="203"/>
      <c r="F3304" s="149"/>
      <c r="G3304" s="434"/>
      <c r="H3304" s="1648"/>
      <c r="I3304" s="434"/>
      <c r="J3304" s="435"/>
      <c r="K3304" s="434"/>
    </row>
    <row r="3305" spans="1:11" s="33" customFormat="1">
      <c r="A3305" s="443"/>
      <c r="B3305" s="47" t="s">
        <v>5909</v>
      </c>
      <c r="C3305" s="217"/>
      <c r="D3305" s="217">
        <v>139</v>
      </c>
      <c r="E3305" s="203">
        <v>15</v>
      </c>
      <c r="F3305" s="149">
        <f>D3305+E3305</f>
        <v>154</v>
      </c>
      <c r="G3305" s="22" t="s">
        <v>7599</v>
      </c>
      <c r="H3305" s="1669" t="s">
        <v>5909</v>
      </c>
      <c r="I3305" s="434"/>
      <c r="J3305" s="435" t="s">
        <v>1798</v>
      </c>
      <c r="K3305" s="434"/>
    </row>
    <row r="3306" spans="1:11" s="33" customFormat="1">
      <c r="A3306" s="443"/>
      <c r="B3306" s="47" t="s">
        <v>5910</v>
      </c>
      <c r="C3306" s="217"/>
      <c r="D3306" s="217">
        <v>139</v>
      </c>
      <c r="E3306" s="203">
        <v>15</v>
      </c>
      <c r="F3306" s="149">
        <f>D3306+E3306</f>
        <v>154</v>
      </c>
      <c r="G3306" s="22" t="s">
        <v>7600</v>
      </c>
      <c r="H3306" s="1669" t="s">
        <v>5910</v>
      </c>
      <c r="I3306" s="434"/>
      <c r="J3306" s="435" t="s">
        <v>1798</v>
      </c>
      <c r="K3306" s="434"/>
    </row>
    <row r="3307" spans="1:11" s="33" customFormat="1">
      <c r="A3307" s="447"/>
      <c r="B3307" s="47"/>
      <c r="C3307" s="217"/>
      <c r="D3307" s="217"/>
      <c r="E3307" s="203"/>
      <c r="F3307" s="149"/>
      <c r="G3307" s="22"/>
      <c r="H3307" s="1669"/>
      <c r="I3307" s="434"/>
      <c r="J3307" s="435"/>
      <c r="K3307" s="434"/>
    </row>
    <row r="3308" spans="1:11" s="33" customFormat="1">
      <c r="A3308" s="447"/>
      <c r="B3308" s="47"/>
      <c r="C3308" s="217"/>
      <c r="D3308" s="217"/>
      <c r="E3308" s="203"/>
      <c r="F3308" s="149"/>
      <c r="G3308" s="22"/>
      <c r="H3308" s="1669"/>
      <c r="I3308" s="434"/>
      <c r="J3308" s="435"/>
      <c r="K3308" s="434"/>
    </row>
    <row r="3309" spans="1:11" s="33" customFormat="1">
      <c r="A3309" s="1492"/>
      <c r="B3309" s="47" t="s">
        <v>10900</v>
      </c>
      <c r="C3309" s="217"/>
      <c r="D3309" s="217">
        <v>150</v>
      </c>
      <c r="E3309" s="203">
        <v>15</v>
      </c>
      <c r="F3309" s="149">
        <f>D3309+E3309</f>
        <v>165</v>
      </c>
      <c r="G3309" s="22" t="s">
        <v>10901</v>
      </c>
      <c r="H3309" s="47" t="s">
        <v>10900</v>
      </c>
      <c r="I3309" s="434"/>
      <c r="J3309" s="435" t="s">
        <v>1798</v>
      </c>
      <c r="K3309" s="434"/>
    </row>
    <row r="3310" spans="1:11" s="33" customFormat="1">
      <c r="A3310" s="1492"/>
      <c r="B3310" s="47"/>
      <c r="C3310" s="217"/>
      <c r="D3310" s="217"/>
      <c r="E3310" s="203"/>
      <c r="F3310" s="149"/>
      <c r="G3310" s="22"/>
      <c r="H3310" s="47"/>
      <c r="I3310" s="434"/>
      <c r="J3310" s="435"/>
      <c r="K3310" s="434"/>
    </row>
    <row r="3311" spans="1:11" s="33" customFormat="1">
      <c r="A3311" s="1492"/>
      <c r="B3311" s="47" t="s">
        <v>11077</v>
      </c>
      <c r="C3311" s="217"/>
      <c r="D3311" s="217">
        <v>150</v>
      </c>
      <c r="E3311" s="203">
        <v>15</v>
      </c>
      <c r="F3311" s="149">
        <f>D3311+E3311</f>
        <v>165</v>
      </c>
      <c r="G3311" s="22" t="s">
        <v>11078</v>
      </c>
      <c r="H3311" s="1669" t="s">
        <v>11077</v>
      </c>
      <c r="I3311" s="434"/>
      <c r="J3311" s="435" t="s">
        <v>1798</v>
      </c>
      <c r="K3311" s="434"/>
    </row>
    <row r="3312" spans="1:11" s="33" customFormat="1">
      <c r="A3312" s="1492"/>
      <c r="B3312" s="47" t="s">
        <v>7601</v>
      </c>
      <c r="C3312" s="217"/>
      <c r="D3312" s="217">
        <v>150</v>
      </c>
      <c r="E3312" s="203">
        <v>15</v>
      </c>
      <c r="F3312" s="149">
        <f>D3312+E3312</f>
        <v>165</v>
      </c>
      <c r="G3312" s="22" t="s">
        <v>9340</v>
      </c>
      <c r="H3312" s="1669" t="s">
        <v>7601</v>
      </c>
      <c r="I3312" s="434"/>
      <c r="J3312" s="435" t="s">
        <v>1798</v>
      </c>
      <c r="K3312" s="434"/>
    </row>
    <row r="3313" spans="1:11" s="33" customFormat="1">
      <c r="A3313" s="1492"/>
      <c r="B3313" s="47" t="s">
        <v>7602</v>
      </c>
      <c r="C3313" s="217"/>
      <c r="D3313" s="217">
        <v>35</v>
      </c>
      <c r="E3313" s="203"/>
      <c r="F3313" s="149">
        <f>D3313+E3313</f>
        <v>35</v>
      </c>
      <c r="G3313" s="22" t="s">
        <v>7603</v>
      </c>
      <c r="H3313" s="1669" t="s">
        <v>7602</v>
      </c>
      <c r="I3313" s="434"/>
      <c r="J3313" s="435" t="s">
        <v>1798</v>
      </c>
      <c r="K3313" s="434"/>
    </row>
    <row r="3314" spans="1:11" s="33" customFormat="1">
      <c r="A3314" s="447"/>
      <c r="B3314" s="47"/>
      <c r="C3314" s="217"/>
      <c r="D3314" s="217"/>
      <c r="E3314" s="203"/>
      <c r="F3314" s="149"/>
      <c r="G3314" s="22"/>
      <c r="H3314" s="1669"/>
      <c r="I3314" s="434"/>
      <c r="J3314" s="435"/>
      <c r="K3314" s="434"/>
    </row>
    <row r="3315" spans="1:11" s="21" customFormat="1">
      <c r="A3315" s="440"/>
      <c r="B3315" s="46"/>
      <c r="C3315" s="217"/>
      <c r="D3315" s="217"/>
      <c r="E3315" s="203"/>
      <c r="F3315" s="149"/>
      <c r="G3315" s="441"/>
      <c r="H3315" s="1671"/>
      <c r="I3315" s="441"/>
      <c r="J3315" s="440"/>
      <c r="K3315" s="441"/>
    </row>
    <row r="3316" spans="1:11" s="33" customFormat="1">
      <c r="A3316" s="435"/>
      <c r="B3316" s="29"/>
      <c r="C3316" s="217"/>
      <c r="D3316" s="217"/>
      <c r="E3316" s="203"/>
      <c r="F3316" s="149"/>
      <c r="G3316" s="434"/>
      <c r="H3316" s="1648"/>
      <c r="I3316" s="434"/>
      <c r="J3316" s="435"/>
      <c r="K3316" s="434"/>
    </row>
    <row r="3317" spans="1:11" s="33" customFormat="1">
      <c r="A3317" s="435"/>
      <c r="B3317" s="30" t="s">
        <v>294</v>
      </c>
      <c r="C3317" s="465"/>
      <c r="D3317" s="465">
        <v>240</v>
      </c>
      <c r="E3317" s="203">
        <v>15</v>
      </c>
      <c r="F3317" s="149">
        <f t="shared" ref="F3317:F3330" si="450">D3317+E3317</f>
        <v>255</v>
      </c>
      <c r="G3317" s="22" t="s">
        <v>7604</v>
      </c>
      <c r="H3317" s="1648" t="str">
        <f>B3317</f>
        <v>FD3015L</v>
      </c>
      <c r="I3317" s="434"/>
      <c r="J3317" s="443" t="s">
        <v>1798</v>
      </c>
      <c r="K3317" s="434"/>
    </row>
    <row r="3318" spans="1:11" s="33" customFormat="1">
      <c r="A3318" s="435"/>
      <c r="B3318" s="30" t="s">
        <v>295</v>
      </c>
      <c r="C3318" s="465"/>
      <c r="D3318" s="465">
        <v>240</v>
      </c>
      <c r="E3318" s="203">
        <v>15</v>
      </c>
      <c r="F3318" s="149">
        <f t="shared" si="450"/>
        <v>255</v>
      </c>
      <c r="G3318" s="22" t="s">
        <v>7605</v>
      </c>
      <c r="H3318" s="1648" t="str">
        <f t="shared" ref="H3318:H3330" si="451">B3318</f>
        <v>FD3020L</v>
      </c>
      <c r="I3318" s="434"/>
      <c r="J3318" s="443" t="s">
        <v>1798</v>
      </c>
      <c r="K3318" s="434"/>
    </row>
    <row r="3319" spans="1:11" s="33" customFormat="1">
      <c r="A3319" s="435"/>
      <c r="B3319" s="30" t="s">
        <v>296</v>
      </c>
      <c r="C3319" s="465"/>
      <c r="D3319" s="465">
        <v>240</v>
      </c>
      <c r="E3319" s="203">
        <v>15</v>
      </c>
      <c r="F3319" s="149">
        <f t="shared" si="450"/>
        <v>255</v>
      </c>
      <c r="G3319" s="22" t="s">
        <v>7606</v>
      </c>
      <c r="H3319" s="1648" t="str">
        <f t="shared" si="451"/>
        <v>FD3030L</v>
      </c>
      <c r="I3319" s="434"/>
      <c r="J3319" s="443" t="s">
        <v>1798</v>
      </c>
      <c r="K3319" s="434"/>
    </row>
    <row r="3320" spans="1:11" s="33" customFormat="1">
      <c r="A3320" s="435"/>
      <c r="B3320" s="30" t="s">
        <v>297</v>
      </c>
      <c r="C3320" s="465"/>
      <c r="D3320" s="465">
        <v>240</v>
      </c>
      <c r="E3320" s="203">
        <v>15</v>
      </c>
      <c r="F3320" s="149">
        <f t="shared" si="450"/>
        <v>255</v>
      </c>
      <c r="G3320" s="22" t="s">
        <v>7607</v>
      </c>
      <c r="H3320" s="1648" t="str">
        <f t="shared" si="451"/>
        <v>FD3040L</v>
      </c>
      <c r="I3320" s="434"/>
      <c r="J3320" s="443" t="s">
        <v>1798</v>
      </c>
      <c r="K3320" s="434"/>
    </row>
    <row r="3321" spans="1:11" s="33" customFormat="1">
      <c r="A3321" s="435"/>
      <c r="B3321" s="30" t="s">
        <v>298</v>
      </c>
      <c r="C3321" s="465"/>
      <c r="D3321" s="465">
        <v>240</v>
      </c>
      <c r="E3321" s="203">
        <v>15</v>
      </c>
      <c r="F3321" s="149">
        <f t="shared" si="450"/>
        <v>255</v>
      </c>
      <c r="G3321" s="22" t="s">
        <v>7608</v>
      </c>
      <c r="H3321" s="1648" t="str">
        <f t="shared" si="451"/>
        <v>FD3050L</v>
      </c>
      <c r="I3321" s="434"/>
      <c r="J3321" s="443" t="s">
        <v>1798</v>
      </c>
      <c r="K3321" s="434"/>
    </row>
    <row r="3322" spans="1:11" s="33" customFormat="1">
      <c r="A3322" s="435"/>
      <c r="B3322" s="442" t="s">
        <v>299</v>
      </c>
      <c r="C3322" s="465"/>
      <c r="D3322" s="465">
        <v>240</v>
      </c>
      <c r="E3322" s="203">
        <v>15</v>
      </c>
      <c r="F3322" s="149">
        <f t="shared" si="450"/>
        <v>255</v>
      </c>
      <c r="G3322" s="22" t="s">
        <v>7609</v>
      </c>
      <c r="H3322" s="1648" t="str">
        <f t="shared" si="451"/>
        <v>FD3060L</v>
      </c>
      <c r="I3322" s="434"/>
      <c r="J3322" s="443" t="s">
        <v>1798</v>
      </c>
      <c r="K3322" s="434"/>
    </row>
    <row r="3323" spans="1:11" s="33" customFormat="1">
      <c r="A3323" s="435"/>
      <c r="B3323" s="30" t="s">
        <v>225</v>
      </c>
      <c r="C3323" s="465"/>
      <c r="D3323" s="465">
        <v>250</v>
      </c>
      <c r="E3323" s="203">
        <v>15</v>
      </c>
      <c r="F3323" s="149">
        <f t="shared" si="450"/>
        <v>265</v>
      </c>
      <c r="G3323" s="22" t="s">
        <v>7610</v>
      </c>
      <c r="H3323" s="1648" t="str">
        <f t="shared" si="451"/>
        <v>FD3070L</v>
      </c>
      <c r="I3323" s="434"/>
      <c r="J3323" s="443" t="s">
        <v>1798</v>
      </c>
      <c r="K3323" s="434"/>
    </row>
    <row r="3324" spans="1:11" s="33" customFormat="1">
      <c r="A3324" s="435"/>
      <c r="B3324" s="30" t="s">
        <v>224</v>
      </c>
      <c r="C3324" s="465"/>
      <c r="D3324" s="465">
        <v>250</v>
      </c>
      <c r="E3324" s="203">
        <v>15</v>
      </c>
      <c r="F3324" s="149">
        <f>D3324+E3324</f>
        <v>265</v>
      </c>
      <c r="G3324" s="22" t="s">
        <v>7611</v>
      </c>
      <c r="H3324" s="1648" t="str">
        <f>B3324</f>
        <v>FD3080L</v>
      </c>
      <c r="I3324" s="434"/>
      <c r="J3324" s="443" t="s">
        <v>1798</v>
      </c>
      <c r="K3324" s="434"/>
    </row>
    <row r="3325" spans="1:11" s="33" customFormat="1">
      <c r="A3325" s="435"/>
      <c r="B3325" s="30" t="s">
        <v>223</v>
      </c>
      <c r="C3325" s="465"/>
      <c r="D3325" s="465">
        <v>250</v>
      </c>
      <c r="E3325" s="203">
        <v>15</v>
      </c>
      <c r="F3325" s="149">
        <f t="shared" si="450"/>
        <v>265</v>
      </c>
      <c r="G3325" s="22" t="s">
        <v>7612</v>
      </c>
      <c r="H3325" s="1648" t="str">
        <f t="shared" si="451"/>
        <v>FD3100L</v>
      </c>
      <c r="I3325" s="434"/>
      <c r="J3325" s="443" t="s">
        <v>1798</v>
      </c>
      <c r="K3325" s="434"/>
    </row>
    <row r="3326" spans="1:11" s="33" customFormat="1">
      <c r="A3326" s="435"/>
      <c r="B3326" s="30" t="s">
        <v>300</v>
      </c>
      <c r="C3326" s="465"/>
      <c r="D3326" s="465">
        <v>290</v>
      </c>
      <c r="E3326" s="203">
        <v>15</v>
      </c>
      <c r="F3326" s="149">
        <f t="shared" si="450"/>
        <v>305</v>
      </c>
      <c r="G3326" s="22" t="s">
        <v>7613</v>
      </c>
      <c r="H3326" s="1648" t="str">
        <f t="shared" si="451"/>
        <v>FD3125L</v>
      </c>
      <c r="I3326" s="434"/>
      <c r="J3326" s="443" t="s">
        <v>1798</v>
      </c>
      <c r="K3326" s="434"/>
    </row>
    <row r="3327" spans="1:11" s="33" customFormat="1">
      <c r="A3327" s="435"/>
      <c r="B3327" s="30" t="s">
        <v>301</v>
      </c>
      <c r="C3327" s="465"/>
      <c r="D3327" s="465">
        <v>290</v>
      </c>
      <c r="E3327" s="203">
        <v>20</v>
      </c>
      <c r="F3327" s="149">
        <f t="shared" si="450"/>
        <v>310</v>
      </c>
      <c r="G3327" s="22" t="s">
        <v>7614</v>
      </c>
      <c r="H3327" s="1648" t="str">
        <f t="shared" si="451"/>
        <v>FD3150L</v>
      </c>
      <c r="I3327" s="434"/>
      <c r="J3327" s="443" t="s">
        <v>1798</v>
      </c>
      <c r="K3327" s="434"/>
    </row>
    <row r="3328" spans="1:11" s="33" customFormat="1">
      <c r="A3328" s="435"/>
      <c r="B3328" s="30" t="s">
        <v>302</v>
      </c>
      <c r="C3328" s="465"/>
      <c r="D3328" s="465">
        <v>290</v>
      </c>
      <c r="E3328" s="203">
        <v>20</v>
      </c>
      <c r="F3328" s="149">
        <f t="shared" si="450"/>
        <v>310</v>
      </c>
      <c r="G3328" s="22" t="s">
        <v>7615</v>
      </c>
      <c r="H3328" s="1648" t="str">
        <f t="shared" si="451"/>
        <v>FD3175L</v>
      </c>
      <c r="I3328" s="434"/>
      <c r="J3328" s="443" t="s">
        <v>1798</v>
      </c>
      <c r="K3328" s="434"/>
    </row>
    <row r="3329" spans="1:11" s="33" customFormat="1">
      <c r="A3329" s="435"/>
      <c r="B3329" s="30" t="s">
        <v>303</v>
      </c>
      <c r="C3329" s="465"/>
      <c r="D3329" s="465">
        <v>290</v>
      </c>
      <c r="E3329" s="203">
        <v>20</v>
      </c>
      <c r="F3329" s="149">
        <f t="shared" si="450"/>
        <v>310</v>
      </c>
      <c r="G3329" s="22" t="s">
        <v>7616</v>
      </c>
      <c r="H3329" s="1648" t="str">
        <f t="shared" si="451"/>
        <v>FD3200L</v>
      </c>
      <c r="I3329" s="434"/>
      <c r="J3329" s="443" t="s">
        <v>1798</v>
      </c>
      <c r="K3329" s="434"/>
    </row>
    <row r="3330" spans="1:11" s="33" customFormat="1">
      <c r="A3330" s="435"/>
      <c r="B3330" s="30" t="s">
        <v>304</v>
      </c>
      <c r="C3330" s="465"/>
      <c r="D3330" s="465">
        <v>290</v>
      </c>
      <c r="E3330" s="203">
        <v>20</v>
      </c>
      <c r="F3330" s="149">
        <f t="shared" si="450"/>
        <v>310</v>
      </c>
      <c r="G3330" s="22" t="s">
        <v>7617</v>
      </c>
      <c r="H3330" s="1648" t="str">
        <f t="shared" si="451"/>
        <v>FD3225L</v>
      </c>
      <c r="I3330" s="434"/>
      <c r="J3330" s="443" t="s">
        <v>1798</v>
      </c>
      <c r="K3330" s="434"/>
    </row>
    <row r="3331" spans="1:11" s="21" customFormat="1">
      <c r="A3331" s="435"/>
      <c r="B3331" s="434"/>
      <c r="C3331" s="217"/>
      <c r="D3331" s="217"/>
      <c r="E3331" s="438"/>
      <c r="F3331" s="439"/>
      <c r="G3331" s="434"/>
      <c r="H3331" s="1648"/>
      <c r="I3331" s="434"/>
      <c r="J3331" s="435"/>
      <c r="K3331" s="434"/>
    </row>
    <row r="3332" spans="1:11" customFormat="1">
      <c r="B3332" s="1493"/>
      <c r="C3332" s="1494"/>
      <c r="D3332" s="1495"/>
      <c r="E3332" s="203"/>
      <c r="F3332" s="133"/>
      <c r="G3332" s="133"/>
      <c r="H3332" s="360"/>
    </row>
    <row r="3333" spans="1:11" s="33" customFormat="1">
      <c r="A3333" s="445"/>
      <c r="B3333" s="30" t="s">
        <v>2675</v>
      </c>
      <c r="C3333" s="716"/>
      <c r="D3333" s="465">
        <v>280</v>
      </c>
      <c r="E3333" s="203">
        <v>15</v>
      </c>
      <c r="F3333" s="149">
        <f t="shared" ref="F3333:F3346" si="452">D3333+E3333</f>
        <v>295</v>
      </c>
      <c r="G3333" s="717" t="s">
        <v>7618</v>
      </c>
      <c r="H3333" s="1648" t="str">
        <f t="shared" ref="H3333:H3346" si="453">B3333</f>
        <v>HFD3015L</v>
      </c>
      <c r="I3333" s="434"/>
      <c r="J3333" s="443" t="s">
        <v>1798</v>
      </c>
      <c r="K3333" s="434" t="s">
        <v>741</v>
      </c>
    </row>
    <row r="3334" spans="1:11" s="33" customFormat="1">
      <c r="A3334" s="445"/>
      <c r="B3334" s="30" t="s">
        <v>2676</v>
      </c>
      <c r="C3334" s="716"/>
      <c r="D3334" s="465">
        <v>280</v>
      </c>
      <c r="E3334" s="203">
        <v>15</v>
      </c>
      <c r="F3334" s="149">
        <f t="shared" si="452"/>
        <v>295</v>
      </c>
      <c r="G3334" s="717" t="s">
        <v>7619</v>
      </c>
      <c r="H3334" s="1648" t="str">
        <f t="shared" si="453"/>
        <v>HFD3020L</v>
      </c>
      <c r="I3334" s="434"/>
      <c r="J3334" s="443" t="s">
        <v>1798</v>
      </c>
      <c r="K3334" s="434" t="s">
        <v>741</v>
      </c>
    </row>
    <row r="3335" spans="1:11" s="33" customFormat="1">
      <c r="A3335" s="445"/>
      <c r="B3335" s="1496" t="s">
        <v>2677</v>
      </c>
      <c r="C3335" s="1497"/>
      <c r="D3335" s="465">
        <v>280</v>
      </c>
      <c r="E3335" s="1498">
        <v>15</v>
      </c>
      <c r="F3335" s="1499">
        <f t="shared" si="452"/>
        <v>295</v>
      </c>
      <c r="G3335" s="717" t="s">
        <v>7620</v>
      </c>
      <c r="H3335" s="1648" t="str">
        <f t="shared" si="453"/>
        <v>HFD3030L</v>
      </c>
      <c r="I3335" s="434"/>
      <c r="J3335" s="443" t="s">
        <v>1798</v>
      </c>
      <c r="K3335" s="434" t="s">
        <v>741</v>
      </c>
    </row>
    <row r="3336" spans="1:11" s="33" customFormat="1">
      <c r="A3336" s="445"/>
      <c r="B3336" s="1496" t="s">
        <v>2678</v>
      </c>
      <c r="C3336" s="1497"/>
      <c r="D3336" s="465">
        <v>280</v>
      </c>
      <c r="E3336" s="1498">
        <v>15</v>
      </c>
      <c r="F3336" s="1499">
        <f t="shared" si="452"/>
        <v>295</v>
      </c>
      <c r="G3336" s="717" t="s">
        <v>7621</v>
      </c>
      <c r="H3336" s="1648" t="str">
        <f t="shared" si="453"/>
        <v>HFD3040L</v>
      </c>
      <c r="I3336" s="434"/>
      <c r="J3336" s="443" t="s">
        <v>1798</v>
      </c>
      <c r="K3336" s="434" t="s">
        <v>741</v>
      </c>
    </row>
    <row r="3337" spans="1:11" s="33" customFormat="1">
      <c r="A3337" s="445"/>
      <c r="B3337" s="1496" t="s">
        <v>2679</v>
      </c>
      <c r="C3337" s="1497"/>
      <c r="D3337" s="465">
        <v>280</v>
      </c>
      <c r="E3337" s="1498">
        <v>15</v>
      </c>
      <c r="F3337" s="1499">
        <f t="shared" si="452"/>
        <v>295</v>
      </c>
      <c r="G3337" s="717" t="s">
        <v>7622</v>
      </c>
      <c r="H3337" s="1648" t="str">
        <f t="shared" si="453"/>
        <v>HFD3050L</v>
      </c>
      <c r="I3337" s="434"/>
      <c r="J3337" s="443" t="s">
        <v>1798</v>
      </c>
      <c r="K3337" s="434" t="s">
        <v>741</v>
      </c>
    </row>
    <row r="3338" spans="1:11" s="33" customFormat="1">
      <c r="A3338" s="445"/>
      <c r="B3338" s="30" t="s">
        <v>2680</v>
      </c>
      <c r="C3338" s="716"/>
      <c r="D3338" s="465">
        <v>280</v>
      </c>
      <c r="E3338" s="203">
        <v>15</v>
      </c>
      <c r="F3338" s="149">
        <f t="shared" si="452"/>
        <v>295</v>
      </c>
      <c r="G3338" s="717" t="s">
        <v>7623</v>
      </c>
      <c r="H3338" s="1648" t="str">
        <f t="shared" si="453"/>
        <v>HFD3060L</v>
      </c>
      <c r="I3338" s="434"/>
      <c r="J3338" s="443" t="s">
        <v>1798</v>
      </c>
      <c r="K3338" s="434" t="s">
        <v>741</v>
      </c>
    </row>
    <row r="3339" spans="1:11" s="33" customFormat="1">
      <c r="A3339" s="445"/>
      <c r="B3339" s="30" t="s">
        <v>2681</v>
      </c>
      <c r="C3339" s="716"/>
      <c r="D3339" s="465">
        <v>330</v>
      </c>
      <c r="E3339" s="203">
        <v>15</v>
      </c>
      <c r="F3339" s="149">
        <f t="shared" si="452"/>
        <v>345</v>
      </c>
      <c r="G3339" s="717" t="s">
        <v>7624</v>
      </c>
      <c r="H3339" s="1648" t="str">
        <f t="shared" si="453"/>
        <v>HFD3070L</v>
      </c>
      <c r="I3339" s="434"/>
      <c r="J3339" s="443" t="s">
        <v>1798</v>
      </c>
      <c r="K3339" s="434" t="s">
        <v>741</v>
      </c>
    </row>
    <row r="3340" spans="1:11" s="33" customFormat="1">
      <c r="A3340" s="445"/>
      <c r="B3340" s="1496" t="s">
        <v>2682</v>
      </c>
      <c r="C3340" s="1497"/>
      <c r="D3340" s="465">
        <v>330</v>
      </c>
      <c r="E3340" s="1498">
        <v>15</v>
      </c>
      <c r="F3340" s="1499">
        <f t="shared" si="452"/>
        <v>345</v>
      </c>
      <c r="G3340" s="717" t="s">
        <v>7625</v>
      </c>
      <c r="H3340" s="1648" t="str">
        <f t="shared" si="453"/>
        <v>HFD3080L</v>
      </c>
      <c r="I3340" s="434"/>
      <c r="J3340" s="443" t="s">
        <v>1798</v>
      </c>
      <c r="K3340" s="434" t="s">
        <v>741</v>
      </c>
    </row>
    <row r="3341" spans="1:11" s="33" customFormat="1">
      <c r="A3341" s="445"/>
      <c r="B3341" s="1496" t="s">
        <v>2683</v>
      </c>
      <c r="C3341" s="1497"/>
      <c r="D3341" s="465">
        <v>330</v>
      </c>
      <c r="E3341" s="1498">
        <v>15</v>
      </c>
      <c r="F3341" s="1499">
        <f t="shared" si="452"/>
        <v>345</v>
      </c>
      <c r="G3341" s="717" t="s">
        <v>7626</v>
      </c>
      <c r="H3341" s="1648" t="str">
        <f t="shared" si="453"/>
        <v>HFD3100L</v>
      </c>
      <c r="I3341" s="434"/>
      <c r="J3341" s="443"/>
      <c r="K3341" s="434"/>
    </row>
    <row r="3342" spans="1:11" s="33" customFormat="1">
      <c r="A3342" s="445"/>
      <c r="B3342" s="1496" t="s">
        <v>2684</v>
      </c>
      <c r="C3342" s="1497"/>
      <c r="D3342" s="465">
        <v>390</v>
      </c>
      <c r="E3342" s="1498">
        <v>15</v>
      </c>
      <c r="F3342" s="1499">
        <f t="shared" si="452"/>
        <v>405</v>
      </c>
      <c r="G3342" s="717" t="s">
        <v>7627</v>
      </c>
      <c r="H3342" s="1648" t="str">
        <f t="shared" si="453"/>
        <v>HFD3125L</v>
      </c>
      <c r="I3342" s="434"/>
      <c r="J3342" s="443" t="s">
        <v>1798</v>
      </c>
      <c r="K3342" s="434" t="s">
        <v>741</v>
      </c>
    </row>
    <row r="3343" spans="1:11" s="21" customFormat="1">
      <c r="A3343" s="445"/>
      <c r="B3343" s="30" t="s">
        <v>7628</v>
      </c>
      <c r="C3343" s="716"/>
      <c r="D3343" s="465">
        <v>390</v>
      </c>
      <c r="E3343" s="203">
        <v>20</v>
      </c>
      <c r="F3343" s="149">
        <f t="shared" si="452"/>
        <v>410</v>
      </c>
      <c r="G3343" s="717" t="s">
        <v>7629</v>
      </c>
      <c r="H3343" s="1648" t="str">
        <f t="shared" si="453"/>
        <v>HFD3150L</v>
      </c>
      <c r="I3343" s="434"/>
      <c r="J3343" s="443" t="s">
        <v>1798</v>
      </c>
      <c r="K3343" s="434" t="s">
        <v>741</v>
      </c>
    </row>
    <row r="3344" spans="1:11" s="21" customFormat="1">
      <c r="A3344" s="445"/>
      <c r="B3344" s="30" t="s">
        <v>7630</v>
      </c>
      <c r="C3344" s="716"/>
      <c r="D3344" s="465">
        <v>390</v>
      </c>
      <c r="E3344" s="203">
        <v>20</v>
      </c>
      <c r="F3344" s="149">
        <f t="shared" si="452"/>
        <v>410</v>
      </c>
      <c r="G3344" s="717" t="s">
        <v>7631</v>
      </c>
      <c r="H3344" s="1648" t="str">
        <f t="shared" si="453"/>
        <v>HFD3175L</v>
      </c>
      <c r="I3344" s="434"/>
      <c r="J3344" s="443" t="s">
        <v>1798</v>
      </c>
      <c r="K3344" s="434" t="s">
        <v>741</v>
      </c>
    </row>
    <row r="3345" spans="1:11" s="33" customFormat="1">
      <c r="A3345" s="445"/>
      <c r="B3345" s="1496" t="s">
        <v>7632</v>
      </c>
      <c r="C3345" s="1497"/>
      <c r="D3345" s="465">
        <v>390</v>
      </c>
      <c r="E3345" s="1498">
        <v>20</v>
      </c>
      <c r="F3345" s="1499">
        <f t="shared" si="452"/>
        <v>410</v>
      </c>
      <c r="G3345" s="717" t="s">
        <v>7633</v>
      </c>
      <c r="H3345" s="1648" t="str">
        <f t="shared" si="453"/>
        <v>HFD3200L</v>
      </c>
      <c r="I3345" s="434"/>
      <c r="J3345" s="443" t="s">
        <v>1798</v>
      </c>
      <c r="K3345" s="434" t="s">
        <v>741</v>
      </c>
    </row>
    <row r="3346" spans="1:11" s="33" customFormat="1">
      <c r="A3346" s="445"/>
      <c r="B3346" s="1496" t="s">
        <v>12812</v>
      </c>
      <c r="C3346" s="1497"/>
      <c r="D3346" s="465">
        <v>390</v>
      </c>
      <c r="E3346" s="1498">
        <v>20</v>
      </c>
      <c r="F3346" s="1499">
        <f t="shared" si="452"/>
        <v>410</v>
      </c>
      <c r="G3346" s="717" t="s">
        <v>12813</v>
      </c>
      <c r="H3346" s="1648" t="str">
        <f t="shared" si="453"/>
        <v>HFD3225L</v>
      </c>
      <c r="I3346" s="434"/>
      <c r="J3346" s="443" t="s">
        <v>1798</v>
      </c>
      <c r="K3346" s="434" t="s">
        <v>741</v>
      </c>
    </row>
    <row r="3347" spans="1:11" s="21" customFormat="1">
      <c r="A3347" s="435"/>
      <c r="B3347" s="434"/>
      <c r="C3347" s="217"/>
      <c r="D3347" s="217"/>
      <c r="E3347" s="438"/>
      <c r="F3347" s="439"/>
      <c r="G3347" s="434"/>
      <c r="H3347" s="1648"/>
      <c r="I3347" s="434"/>
      <c r="J3347" s="435"/>
      <c r="K3347" s="434"/>
    </row>
    <row r="3348" spans="1:11" s="185" customFormat="1">
      <c r="A3348" s="445"/>
      <c r="B3348" s="903" t="s">
        <v>3149</v>
      </c>
      <c r="C3348" s="904"/>
      <c r="D3348" s="904">
        <v>25</v>
      </c>
      <c r="E3348" s="905">
        <v>2</v>
      </c>
      <c r="F3348" s="906">
        <f>D3348+E3348</f>
        <v>27</v>
      </c>
      <c r="G3348" s="907" t="s">
        <v>3152</v>
      </c>
      <c r="H3348" s="1648"/>
      <c r="I3348" s="434"/>
      <c r="J3348" s="435"/>
      <c r="K3348" s="434"/>
    </row>
    <row r="3349" spans="1:11" s="33" customFormat="1">
      <c r="A3349" s="445"/>
      <c r="B3349" s="384" t="s">
        <v>4688</v>
      </c>
      <c r="C3349" s="217"/>
      <c r="D3349" s="217">
        <v>105</v>
      </c>
      <c r="E3349" s="395">
        <v>2</v>
      </c>
      <c r="F3349" s="387">
        <f>D3349+E3349</f>
        <v>107</v>
      </c>
      <c r="G3349" s="907" t="s">
        <v>12814</v>
      </c>
      <c r="H3349" s="458" t="str">
        <f>B3349</f>
        <v>A1X1PK</v>
      </c>
      <c r="I3349" s="189"/>
      <c r="J3349" s="443" t="s">
        <v>1798</v>
      </c>
      <c r="K3349" s="189" t="s">
        <v>741</v>
      </c>
    </row>
    <row r="3350" spans="1:11" s="33" customFormat="1">
      <c r="A3350" s="445"/>
      <c r="B3350" s="30" t="s">
        <v>9341</v>
      </c>
      <c r="C3350" s="465"/>
      <c r="D3350" s="465">
        <v>195</v>
      </c>
      <c r="E3350" s="203">
        <v>10</v>
      </c>
      <c r="F3350" s="149">
        <f>D3350+E3350</f>
        <v>205</v>
      </c>
      <c r="G3350" s="22" t="s">
        <v>9342</v>
      </c>
      <c r="H3350" s="1648" t="str">
        <f>B3350</f>
        <v>SNT1RP11K</v>
      </c>
      <c r="I3350" s="434"/>
      <c r="J3350" s="443" t="s">
        <v>1798</v>
      </c>
      <c r="K3350" s="189" t="s">
        <v>741</v>
      </c>
    </row>
    <row r="3351" spans="1:11" s="185" customFormat="1">
      <c r="A3351" s="447"/>
      <c r="B3351" s="442"/>
      <c r="C3351" s="217"/>
      <c r="D3351" s="217"/>
      <c r="E3351" s="407"/>
      <c r="F3351" s="157"/>
      <c r="G3351" s="410"/>
      <c r="H3351" s="473"/>
      <c r="I3351" s="454"/>
      <c r="J3351" s="447"/>
      <c r="K3351" s="388"/>
    </row>
    <row r="3352" spans="1:11" s="33" customFormat="1">
      <c r="A3352" s="435"/>
      <c r="B3352" s="30" t="s">
        <v>13623</v>
      </c>
      <c r="C3352" s="217"/>
      <c r="D3352" s="217">
        <v>490</v>
      </c>
      <c r="E3352" s="203">
        <v>15</v>
      </c>
      <c r="F3352" s="149">
        <f>D3352+E3352</f>
        <v>505</v>
      </c>
      <c r="G3352" s="22" t="s">
        <v>13624</v>
      </c>
      <c r="H3352" s="1648" t="str">
        <f t="shared" ref="H3352:H3353" si="454">B3352</f>
        <v>JD3200</v>
      </c>
      <c r="I3352" s="434"/>
      <c r="J3352" s="443" t="s">
        <v>1798</v>
      </c>
      <c r="K3352" s="189" t="s">
        <v>741</v>
      </c>
    </row>
    <row r="3353" spans="1:11" s="33" customFormat="1">
      <c r="A3353" s="435"/>
      <c r="B3353" s="30" t="s">
        <v>13625</v>
      </c>
      <c r="C3353" s="217"/>
      <c r="D3353" s="217">
        <v>490</v>
      </c>
      <c r="E3353" s="203">
        <v>15</v>
      </c>
      <c r="F3353" s="149">
        <f>D3353+E3353</f>
        <v>505</v>
      </c>
      <c r="G3353" s="22" t="s">
        <v>13626</v>
      </c>
      <c r="H3353" s="1648" t="str">
        <f t="shared" si="454"/>
        <v>JD3250</v>
      </c>
      <c r="I3353" s="434"/>
      <c r="J3353" s="443" t="s">
        <v>1798</v>
      </c>
      <c r="K3353" s="189" t="s">
        <v>741</v>
      </c>
    </row>
    <row r="3354" spans="1:11" s="33" customFormat="1">
      <c r="A3354" s="435"/>
      <c r="B3354" s="30"/>
      <c r="C3354" s="217"/>
      <c r="D3354" s="217"/>
      <c r="E3354" s="203"/>
      <c r="F3354" s="149"/>
      <c r="G3354" s="22"/>
      <c r="H3354" s="1648"/>
      <c r="I3354" s="434"/>
      <c r="J3354" s="435"/>
      <c r="K3354" s="434"/>
    </row>
    <row r="3355" spans="1:11" s="33" customFormat="1">
      <c r="A3355" s="435"/>
      <c r="B3355" s="30" t="s">
        <v>7634</v>
      </c>
      <c r="C3355" s="217"/>
      <c r="D3355" s="217">
        <v>850</v>
      </c>
      <c r="E3355" s="203">
        <v>65</v>
      </c>
      <c r="F3355" s="149">
        <f>D3355+E3355</f>
        <v>915</v>
      </c>
      <c r="G3355" s="22" t="s">
        <v>7635</v>
      </c>
      <c r="H3355" s="1648" t="str">
        <f t="shared" ref="H3355:H3363" si="455">B3355</f>
        <v>HKD3300</v>
      </c>
      <c r="I3355" s="434"/>
      <c r="J3355" s="443" t="s">
        <v>1798</v>
      </c>
      <c r="K3355" s="189" t="s">
        <v>741</v>
      </c>
    </row>
    <row r="3356" spans="1:11" s="33" customFormat="1">
      <c r="A3356" s="435"/>
      <c r="B3356" s="30"/>
      <c r="C3356" s="217"/>
      <c r="D3356" s="217"/>
      <c r="E3356" s="203"/>
      <c r="F3356" s="149"/>
      <c r="G3356" s="22"/>
      <c r="H3356" s="1648"/>
      <c r="I3356" s="434"/>
      <c r="J3356" s="435"/>
      <c r="K3356" s="434"/>
    </row>
    <row r="3357" spans="1:11" s="33" customFormat="1">
      <c r="A3357" s="435"/>
      <c r="B3357" s="30"/>
      <c r="C3357" s="217"/>
      <c r="D3357" s="217"/>
      <c r="E3357" s="203"/>
      <c r="F3357" s="149"/>
      <c r="G3357" s="22"/>
      <c r="H3357" s="1648"/>
      <c r="I3357" s="434"/>
      <c r="J3357" s="435"/>
      <c r="K3357" s="434"/>
    </row>
    <row r="3358" spans="1:11" s="33" customFormat="1">
      <c r="A3358" s="435"/>
      <c r="B3358" s="30" t="s">
        <v>305</v>
      </c>
      <c r="C3358" s="217"/>
      <c r="D3358" s="217">
        <v>575</v>
      </c>
      <c r="E3358" s="203">
        <v>65</v>
      </c>
      <c r="F3358" s="149">
        <f>D3358+E3358</f>
        <v>640</v>
      </c>
      <c r="G3358" s="22" t="s">
        <v>7636</v>
      </c>
      <c r="H3358" s="1648" t="str">
        <f t="shared" si="455"/>
        <v>KD3300</v>
      </c>
      <c r="I3358" s="434"/>
      <c r="J3358" s="443" t="s">
        <v>1798</v>
      </c>
      <c r="K3358" s="189" t="s">
        <v>741</v>
      </c>
    </row>
    <row r="3359" spans="1:11" s="33" customFormat="1">
      <c r="A3359" s="435"/>
      <c r="B3359" s="30" t="s">
        <v>306</v>
      </c>
      <c r="C3359" s="217"/>
      <c r="D3359" s="217">
        <v>575</v>
      </c>
      <c r="E3359" s="203">
        <v>65</v>
      </c>
      <c r="F3359" s="149">
        <f>D3359+E3359</f>
        <v>640</v>
      </c>
      <c r="G3359" s="22" t="s">
        <v>7637</v>
      </c>
      <c r="H3359" s="1648" t="str">
        <f t="shared" si="455"/>
        <v>KD3350</v>
      </c>
      <c r="I3359" s="434"/>
      <c r="J3359" s="443" t="s">
        <v>1798</v>
      </c>
      <c r="K3359" s="189" t="s">
        <v>741</v>
      </c>
    </row>
    <row r="3360" spans="1:11" s="21" customFormat="1">
      <c r="A3360" s="435"/>
      <c r="B3360" s="30" t="s">
        <v>307</v>
      </c>
      <c r="C3360" s="217"/>
      <c r="D3360" s="217">
        <v>575</v>
      </c>
      <c r="E3360" s="203">
        <v>65</v>
      </c>
      <c r="F3360" s="149">
        <f>D3360+E3360</f>
        <v>640</v>
      </c>
      <c r="G3360" s="22" t="s">
        <v>7638</v>
      </c>
      <c r="H3360" s="1648" t="str">
        <f t="shared" si="455"/>
        <v>KD3400</v>
      </c>
      <c r="I3360" s="434"/>
      <c r="J3360" s="443" t="s">
        <v>1798</v>
      </c>
      <c r="K3360" s="189" t="s">
        <v>741</v>
      </c>
    </row>
    <row r="3361" spans="1:11" s="21" customFormat="1">
      <c r="A3361" s="435"/>
      <c r="B3361" s="434"/>
      <c r="C3361" s="217"/>
      <c r="D3361" s="217"/>
      <c r="E3361" s="438"/>
      <c r="F3361" s="439"/>
      <c r="G3361" s="434"/>
      <c r="H3361" s="1648"/>
      <c r="I3361" s="434"/>
    </row>
    <row r="3362" spans="1:11" s="21" customFormat="1">
      <c r="A3362" s="435"/>
      <c r="B3362" s="903" t="s">
        <v>3150</v>
      </c>
      <c r="C3362" s="904"/>
      <c r="D3362" s="904">
        <v>45</v>
      </c>
      <c r="E3362" s="905">
        <v>5</v>
      </c>
      <c r="F3362" s="906">
        <f>D3362+E3362</f>
        <v>50</v>
      </c>
      <c r="G3362" s="907" t="s">
        <v>13627</v>
      </c>
      <c r="H3362" s="1648" t="str">
        <f t="shared" si="455"/>
        <v>PLK3</v>
      </c>
      <c r="I3362" s="434"/>
      <c r="J3362" s="443" t="s">
        <v>1798</v>
      </c>
      <c r="K3362" s="189" t="s">
        <v>741</v>
      </c>
    </row>
    <row r="3363" spans="1:11" s="21" customFormat="1">
      <c r="A3363" s="435"/>
      <c r="B3363" s="903" t="s">
        <v>9593</v>
      </c>
      <c r="C3363" s="904"/>
      <c r="D3363" s="904">
        <v>600</v>
      </c>
      <c r="E3363" s="905">
        <v>50</v>
      </c>
      <c r="F3363" s="906">
        <f>D3363+E3363</f>
        <v>650</v>
      </c>
      <c r="G3363" s="907" t="s">
        <v>9594</v>
      </c>
      <c r="H3363" s="1648" t="str">
        <f t="shared" si="455"/>
        <v>KYK3</v>
      </c>
      <c r="I3363" s="434"/>
      <c r="J3363" s="443" t="s">
        <v>1798</v>
      </c>
      <c r="K3363" s="189" t="s">
        <v>741</v>
      </c>
    </row>
    <row r="3364" spans="1:11" s="33" customFormat="1">
      <c r="A3364" s="435"/>
      <c r="B3364" s="30"/>
      <c r="C3364" s="217"/>
      <c r="D3364" s="217"/>
      <c r="E3364" s="203"/>
      <c r="F3364" s="149"/>
      <c r="G3364" s="22"/>
      <c r="H3364" s="1648"/>
      <c r="I3364" s="434"/>
      <c r="J3364" s="435"/>
      <c r="K3364" s="434"/>
    </row>
    <row r="3365" spans="1:11" s="33" customFormat="1">
      <c r="A3365" s="433"/>
      <c r="B3365" s="30" t="s">
        <v>9343</v>
      </c>
      <c r="C3365" s="465"/>
      <c r="D3365" s="465">
        <v>165</v>
      </c>
      <c r="E3365" s="203">
        <v>10</v>
      </c>
      <c r="F3365" s="149">
        <f>D3365+E3365</f>
        <v>175</v>
      </c>
      <c r="G3365" s="22" t="s">
        <v>9344</v>
      </c>
      <c r="H3365" s="1648" t="str">
        <f>B3365</f>
        <v>SNT3P11K</v>
      </c>
      <c r="I3365" s="434"/>
      <c r="J3365" s="443" t="s">
        <v>1798</v>
      </c>
      <c r="K3365" s="434"/>
    </row>
    <row r="3366" spans="1:11" s="33" customFormat="1">
      <c r="A3366" s="435"/>
      <c r="B3366" s="30"/>
      <c r="C3366" s="217"/>
      <c r="D3366" s="217"/>
      <c r="E3366" s="203"/>
      <c r="F3366" s="149"/>
      <c r="G3366" s="22"/>
      <c r="H3366" s="1648"/>
      <c r="I3366" s="434"/>
      <c r="J3366" s="435"/>
      <c r="K3366" s="434"/>
    </row>
    <row r="3367" spans="1:11" s="21" customFormat="1">
      <c r="A3367" s="440"/>
      <c r="B3367" s="46"/>
      <c r="C3367" s="217"/>
      <c r="D3367" s="217"/>
      <c r="E3367" s="203"/>
      <c r="F3367" s="149"/>
      <c r="G3367" s="441"/>
      <c r="H3367" s="1671"/>
      <c r="I3367" s="441"/>
      <c r="J3367" s="440"/>
      <c r="K3367" s="441"/>
    </row>
    <row r="3368" spans="1:11" s="21" customFormat="1">
      <c r="A3368" s="435"/>
      <c r="B3368" s="30" t="s">
        <v>7639</v>
      </c>
      <c r="C3368" s="217"/>
      <c r="D3368" s="449">
        <v>1610</v>
      </c>
      <c r="E3368" s="203">
        <v>100</v>
      </c>
      <c r="F3368" s="149">
        <f>D3368+E3368</f>
        <v>1710</v>
      </c>
      <c r="G3368" s="22" t="s">
        <v>7640</v>
      </c>
      <c r="H3368" s="1648" t="str">
        <f>B3368</f>
        <v>LD3500</v>
      </c>
      <c r="I3368" s="434"/>
      <c r="J3368" s="443" t="s">
        <v>1798</v>
      </c>
      <c r="K3368" s="434" t="s">
        <v>741</v>
      </c>
    </row>
    <row r="3369" spans="1:11" s="21" customFormat="1">
      <c r="A3369" s="435"/>
      <c r="B3369" s="30" t="s">
        <v>7641</v>
      </c>
      <c r="C3369" s="217"/>
      <c r="D3369" s="449">
        <v>1610</v>
      </c>
      <c r="E3369" s="203">
        <v>100</v>
      </c>
      <c r="F3369" s="149">
        <f>D3369+E3369</f>
        <v>1710</v>
      </c>
      <c r="G3369" s="22" t="s">
        <v>7642</v>
      </c>
      <c r="H3369" s="1648" t="str">
        <f>B3369</f>
        <v>LD3600</v>
      </c>
      <c r="I3369" s="434"/>
      <c r="J3369" s="443" t="s">
        <v>1798</v>
      </c>
      <c r="K3369" s="434" t="s">
        <v>741</v>
      </c>
    </row>
    <row r="3370" spans="1:11" s="21" customFormat="1">
      <c r="A3370" s="435"/>
      <c r="B3370" s="30" t="s">
        <v>7643</v>
      </c>
      <c r="C3370" s="217"/>
      <c r="D3370" s="449">
        <v>2420</v>
      </c>
      <c r="E3370" s="203">
        <v>100</v>
      </c>
      <c r="F3370" s="149">
        <f>D3370+E3370</f>
        <v>2520</v>
      </c>
      <c r="G3370" s="22" t="s">
        <v>7644</v>
      </c>
      <c r="H3370" s="1648" t="str">
        <f>B3370</f>
        <v>LD3600-LSI</v>
      </c>
      <c r="I3370" s="434"/>
      <c r="J3370" s="443" t="s">
        <v>1798</v>
      </c>
      <c r="K3370" s="434" t="s">
        <v>741</v>
      </c>
    </row>
    <row r="3371" spans="1:11" s="21" customFormat="1">
      <c r="A3371" s="435"/>
      <c r="B3371" s="434"/>
      <c r="C3371" s="217"/>
      <c r="D3371" s="217"/>
      <c r="E3371" s="438"/>
      <c r="F3371" s="439"/>
      <c r="G3371" s="434"/>
      <c r="H3371" s="1648"/>
      <c r="I3371" s="434"/>
      <c r="J3371" s="435"/>
      <c r="K3371" s="434"/>
    </row>
    <row r="3372" spans="1:11" s="21" customFormat="1">
      <c r="A3372" s="435"/>
      <c r="B3372" s="30" t="s">
        <v>7645</v>
      </c>
      <c r="C3372" s="217"/>
      <c r="D3372" s="449">
        <v>1700</v>
      </c>
      <c r="E3372" s="203">
        <v>100</v>
      </c>
      <c r="F3372" s="149">
        <f>D3372+E3372</f>
        <v>1800</v>
      </c>
      <c r="G3372" s="22" t="s">
        <v>7646</v>
      </c>
      <c r="H3372" s="1648" t="str">
        <f>B3372</f>
        <v>HLD3500</v>
      </c>
      <c r="I3372" s="434"/>
      <c r="J3372" s="443" t="s">
        <v>1798</v>
      </c>
      <c r="K3372" s="434" t="s">
        <v>741</v>
      </c>
    </row>
    <row r="3373" spans="1:11" s="21" customFormat="1">
      <c r="A3373" s="435"/>
      <c r="B3373" s="30" t="s">
        <v>7647</v>
      </c>
      <c r="C3373" s="217"/>
      <c r="D3373" s="449">
        <v>2520</v>
      </c>
      <c r="E3373" s="203">
        <v>100</v>
      </c>
      <c r="F3373" s="149">
        <f>D3373+E3373</f>
        <v>2620</v>
      </c>
      <c r="G3373" s="22" t="s">
        <v>7648</v>
      </c>
      <c r="H3373" s="1648" t="str">
        <f>B3373</f>
        <v>HLD3600-LSI</v>
      </c>
      <c r="I3373" s="434"/>
      <c r="J3373" s="443" t="s">
        <v>1798</v>
      </c>
      <c r="K3373" s="434" t="s">
        <v>741</v>
      </c>
    </row>
    <row r="3374" spans="1:11" s="21" customFormat="1">
      <c r="A3374" s="435"/>
      <c r="B3374" s="434"/>
      <c r="C3374" s="217"/>
      <c r="D3374" s="217"/>
      <c r="E3374" s="438"/>
      <c r="F3374" s="439"/>
      <c r="G3374" s="434"/>
      <c r="H3374" s="1648"/>
      <c r="I3374" s="434"/>
      <c r="J3374" s="435"/>
      <c r="K3374" s="434"/>
    </row>
    <row r="3375" spans="1:11" s="33" customFormat="1">
      <c r="A3375" s="440"/>
      <c r="B3375" s="46"/>
      <c r="C3375" s="217"/>
      <c r="D3375" s="217"/>
      <c r="E3375" s="203"/>
      <c r="F3375" s="149"/>
      <c r="G3375" s="441"/>
      <c r="H3375" s="1671"/>
      <c r="I3375" s="441"/>
      <c r="J3375" s="440"/>
      <c r="K3375" s="441"/>
    </row>
    <row r="3376" spans="1:11" s="33" customFormat="1">
      <c r="A3376" s="435"/>
      <c r="B3376" s="30" t="s">
        <v>193</v>
      </c>
      <c r="C3376" s="217"/>
      <c r="D3376" s="217">
        <v>45</v>
      </c>
      <c r="E3376" s="203">
        <v>3</v>
      </c>
      <c r="F3376" s="149">
        <f t="shared" ref="F3376:F3385" si="456">D3376+E3376</f>
        <v>48</v>
      </c>
      <c r="G3376" s="22" t="s">
        <v>7649</v>
      </c>
      <c r="H3376" s="1648" t="str">
        <f>B3376</f>
        <v>GHB1015</v>
      </c>
      <c r="I3376" s="434"/>
      <c r="J3376" s="443" t="s">
        <v>1798</v>
      </c>
      <c r="K3376" s="434"/>
    </row>
    <row r="3377" spans="1:11" s="33" customFormat="1">
      <c r="A3377" s="435"/>
      <c r="B3377" s="30" t="s">
        <v>194</v>
      </c>
      <c r="C3377" s="217"/>
      <c r="D3377" s="217">
        <v>45</v>
      </c>
      <c r="E3377" s="203">
        <v>3</v>
      </c>
      <c r="F3377" s="149">
        <f t="shared" si="456"/>
        <v>48</v>
      </c>
      <c r="G3377" s="22" t="s">
        <v>7650</v>
      </c>
      <c r="H3377" s="1648" t="str">
        <f t="shared" ref="H3377:H3407" si="457">B3377</f>
        <v>GHB1020</v>
      </c>
      <c r="I3377" s="434"/>
      <c r="J3377" s="443" t="s">
        <v>1798</v>
      </c>
      <c r="K3377" s="434"/>
    </row>
    <row r="3378" spans="1:11" s="33" customFormat="1">
      <c r="A3378" s="435"/>
      <c r="B3378" s="30" t="s">
        <v>195</v>
      </c>
      <c r="C3378" s="217"/>
      <c r="D3378" s="217">
        <v>45</v>
      </c>
      <c r="E3378" s="203">
        <v>3</v>
      </c>
      <c r="F3378" s="149">
        <f t="shared" si="456"/>
        <v>48</v>
      </c>
      <c r="G3378" s="22" t="s">
        <v>7651</v>
      </c>
      <c r="H3378" s="1648" t="str">
        <f t="shared" si="457"/>
        <v>GHB1030</v>
      </c>
      <c r="I3378" s="434"/>
      <c r="J3378" s="443" t="s">
        <v>1798</v>
      </c>
      <c r="K3378" s="434"/>
    </row>
    <row r="3379" spans="1:11" s="33" customFormat="1">
      <c r="A3379" s="435"/>
      <c r="B3379" s="30" t="s">
        <v>196</v>
      </c>
      <c r="C3379" s="217"/>
      <c r="D3379" s="217">
        <v>45</v>
      </c>
      <c r="E3379" s="203">
        <v>3</v>
      </c>
      <c r="F3379" s="149">
        <f t="shared" si="456"/>
        <v>48</v>
      </c>
      <c r="G3379" s="22" t="s">
        <v>7652</v>
      </c>
      <c r="H3379" s="1648" t="str">
        <f t="shared" si="457"/>
        <v>GHB1040</v>
      </c>
      <c r="I3379" s="434"/>
      <c r="J3379" s="443" t="s">
        <v>1798</v>
      </c>
      <c r="K3379" s="434"/>
    </row>
    <row r="3380" spans="1:11" s="33" customFormat="1">
      <c r="A3380" s="435"/>
      <c r="B3380" s="30" t="s">
        <v>197</v>
      </c>
      <c r="C3380" s="217"/>
      <c r="D3380" s="217">
        <v>45</v>
      </c>
      <c r="E3380" s="203">
        <v>3</v>
      </c>
      <c r="F3380" s="149">
        <f t="shared" si="456"/>
        <v>48</v>
      </c>
      <c r="G3380" s="22" t="s">
        <v>7653</v>
      </c>
      <c r="H3380" s="1648" t="str">
        <f t="shared" si="457"/>
        <v>GHB1050</v>
      </c>
      <c r="I3380" s="434"/>
      <c r="J3380" s="443" t="s">
        <v>1798</v>
      </c>
      <c r="K3380" s="434"/>
    </row>
    <row r="3381" spans="1:11" s="33" customFormat="1">
      <c r="A3381" s="435"/>
      <c r="B3381" s="30" t="s">
        <v>198</v>
      </c>
      <c r="C3381" s="217"/>
      <c r="D3381" s="217">
        <v>45</v>
      </c>
      <c r="E3381" s="203">
        <v>3</v>
      </c>
      <c r="F3381" s="149">
        <f t="shared" si="456"/>
        <v>48</v>
      </c>
      <c r="G3381" s="22" t="s">
        <v>7654</v>
      </c>
      <c r="H3381" s="1648" t="str">
        <f t="shared" si="457"/>
        <v>GHB1060</v>
      </c>
      <c r="I3381" s="434"/>
      <c r="J3381" s="443" t="s">
        <v>1798</v>
      </c>
      <c r="K3381" s="434"/>
    </row>
    <row r="3382" spans="1:11" s="33" customFormat="1">
      <c r="A3382" s="435"/>
      <c r="B3382" s="30" t="s">
        <v>199</v>
      </c>
      <c r="C3382" s="217"/>
      <c r="D3382" s="217">
        <v>48</v>
      </c>
      <c r="E3382" s="203">
        <v>3</v>
      </c>
      <c r="F3382" s="149">
        <f t="shared" si="456"/>
        <v>51</v>
      </c>
      <c r="G3382" s="22" t="s">
        <v>7655</v>
      </c>
      <c r="H3382" s="1648" t="str">
        <f t="shared" si="457"/>
        <v>GHB1070</v>
      </c>
      <c r="I3382" s="434"/>
      <c r="J3382" s="443" t="s">
        <v>1798</v>
      </c>
      <c r="K3382" s="434"/>
    </row>
    <row r="3383" spans="1:11" s="33" customFormat="1">
      <c r="A3383" s="435"/>
      <c r="B3383" s="30" t="s">
        <v>200</v>
      </c>
      <c r="C3383" s="217"/>
      <c r="D3383" s="217">
        <v>48</v>
      </c>
      <c r="E3383" s="203">
        <v>3</v>
      </c>
      <c r="F3383" s="149">
        <f t="shared" si="456"/>
        <v>51</v>
      </c>
      <c r="G3383" s="22" t="s">
        <v>7656</v>
      </c>
      <c r="H3383" s="1648" t="str">
        <f t="shared" si="457"/>
        <v>GHB1080</v>
      </c>
      <c r="I3383" s="434"/>
      <c r="J3383" s="443" t="s">
        <v>1798</v>
      </c>
      <c r="K3383" s="434"/>
    </row>
    <row r="3384" spans="1:11" s="33" customFormat="1">
      <c r="A3384" s="435"/>
      <c r="B3384" s="30" t="s">
        <v>201</v>
      </c>
      <c r="C3384" s="217"/>
      <c r="D3384" s="217">
        <v>48</v>
      </c>
      <c r="E3384" s="203">
        <v>3</v>
      </c>
      <c r="F3384" s="149">
        <f t="shared" si="456"/>
        <v>51</v>
      </c>
      <c r="G3384" s="22" t="s">
        <v>7657</v>
      </c>
      <c r="H3384" s="1648" t="str">
        <f t="shared" si="457"/>
        <v>GHB1090</v>
      </c>
      <c r="I3384" s="434"/>
      <c r="J3384" s="443" t="s">
        <v>1798</v>
      </c>
      <c r="K3384" s="434"/>
    </row>
    <row r="3385" spans="1:11" s="33" customFormat="1">
      <c r="A3385" s="435"/>
      <c r="B3385" s="30" t="s">
        <v>202</v>
      </c>
      <c r="C3385" s="217"/>
      <c r="D3385" s="217">
        <v>48</v>
      </c>
      <c r="E3385" s="203">
        <v>3</v>
      </c>
      <c r="F3385" s="149">
        <f t="shared" si="456"/>
        <v>51</v>
      </c>
      <c r="G3385" s="22" t="s">
        <v>7658</v>
      </c>
      <c r="H3385" s="1648" t="str">
        <f t="shared" si="457"/>
        <v>GHB1100</v>
      </c>
      <c r="I3385" s="434"/>
      <c r="J3385" s="443" t="s">
        <v>1798</v>
      </c>
      <c r="K3385" s="434"/>
    </row>
    <row r="3386" spans="1:11" s="33" customFormat="1">
      <c r="A3386" s="435"/>
      <c r="B3386" s="30"/>
      <c r="C3386" s="217"/>
      <c r="D3386" s="217"/>
      <c r="E3386" s="203"/>
      <c r="F3386" s="149"/>
      <c r="G3386" s="22"/>
      <c r="H3386" s="1648"/>
      <c r="I3386" s="434"/>
      <c r="J3386" s="435"/>
      <c r="K3386" s="434"/>
    </row>
    <row r="3387" spans="1:11" s="33" customFormat="1">
      <c r="A3387" s="435"/>
      <c r="B3387" s="50" t="s">
        <v>203</v>
      </c>
      <c r="C3387" s="217"/>
      <c r="D3387" s="217">
        <v>66</v>
      </c>
      <c r="E3387" s="203">
        <v>4</v>
      </c>
      <c r="F3387" s="149">
        <f t="shared" ref="F3387:F3396" si="458">D3387+E3387</f>
        <v>70</v>
      </c>
      <c r="G3387" s="22" t="s">
        <v>7659</v>
      </c>
      <c r="H3387" s="1648" t="str">
        <f t="shared" si="457"/>
        <v>GHB2015</v>
      </c>
      <c r="I3387" s="434"/>
      <c r="J3387" s="443" t="s">
        <v>1798</v>
      </c>
      <c r="K3387" s="434"/>
    </row>
    <row r="3388" spans="1:11" s="33" customFormat="1">
      <c r="A3388" s="435"/>
      <c r="B3388" s="50" t="s">
        <v>204</v>
      </c>
      <c r="C3388" s="217"/>
      <c r="D3388" s="217">
        <v>66</v>
      </c>
      <c r="E3388" s="203">
        <v>4</v>
      </c>
      <c r="F3388" s="149">
        <f t="shared" si="458"/>
        <v>70</v>
      </c>
      <c r="G3388" s="22" t="s">
        <v>7660</v>
      </c>
      <c r="H3388" s="1648" t="str">
        <f t="shared" si="457"/>
        <v>GHB2020</v>
      </c>
      <c r="I3388" s="434"/>
      <c r="J3388" s="443" t="s">
        <v>1798</v>
      </c>
      <c r="K3388" s="434"/>
    </row>
    <row r="3389" spans="1:11" s="33" customFormat="1">
      <c r="A3389" s="435"/>
      <c r="B3389" s="50" t="s">
        <v>205</v>
      </c>
      <c r="C3389" s="217"/>
      <c r="D3389" s="217">
        <v>66</v>
      </c>
      <c r="E3389" s="203">
        <v>4</v>
      </c>
      <c r="F3389" s="149">
        <f t="shared" si="458"/>
        <v>70</v>
      </c>
      <c r="G3389" s="22" t="s">
        <v>7661</v>
      </c>
      <c r="H3389" s="1648" t="str">
        <f t="shared" si="457"/>
        <v>GHB2030</v>
      </c>
      <c r="I3389" s="434"/>
      <c r="J3389" s="443" t="s">
        <v>1798</v>
      </c>
      <c r="K3389" s="434"/>
    </row>
    <row r="3390" spans="1:11" s="33" customFormat="1">
      <c r="A3390" s="435"/>
      <c r="B3390" s="50" t="s">
        <v>206</v>
      </c>
      <c r="C3390" s="217"/>
      <c r="D3390" s="217">
        <v>66</v>
      </c>
      <c r="E3390" s="203">
        <v>4</v>
      </c>
      <c r="F3390" s="149">
        <f t="shared" si="458"/>
        <v>70</v>
      </c>
      <c r="G3390" s="22" t="s">
        <v>7662</v>
      </c>
      <c r="H3390" s="1648" t="str">
        <f t="shared" si="457"/>
        <v>GHB2040</v>
      </c>
      <c r="I3390" s="434"/>
      <c r="J3390" s="443" t="s">
        <v>1798</v>
      </c>
      <c r="K3390" s="434"/>
    </row>
    <row r="3391" spans="1:11" s="33" customFormat="1">
      <c r="A3391" s="435"/>
      <c r="B3391" s="50" t="s">
        <v>207</v>
      </c>
      <c r="C3391" s="217"/>
      <c r="D3391" s="217">
        <v>66</v>
      </c>
      <c r="E3391" s="203">
        <v>4</v>
      </c>
      <c r="F3391" s="149">
        <f t="shared" si="458"/>
        <v>70</v>
      </c>
      <c r="G3391" s="22" t="s">
        <v>7663</v>
      </c>
      <c r="H3391" s="1648" t="str">
        <f t="shared" si="457"/>
        <v>GHB2050</v>
      </c>
      <c r="I3391" s="434"/>
      <c r="J3391" s="443" t="s">
        <v>1798</v>
      </c>
      <c r="K3391" s="434"/>
    </row>
    <row r="3392" spans="1:11" s="33" customFormat="1">
      <c r="A3392" s="435"/>
      <c r="B3392" s="50" t="s">
        <v>208</v>
      </c>
      <c r="C3392" s="217"/>
      <c r="D3392" s="217">
        <v>66</v>
      </c>
      <c r="E3392" s="203">
        <v>4</v>
      </c>
      <c r="F3392" s="149">
        <f t="shared" si="458"/>
        <v>70</v>
      </c>
      <c r="G3392" s="22" t="s">
        <v>7664</v>
      </c>
      <c r="H3392" s="1648" t="str">
        <f t="shared" si="457"/>
        <v>GHB2060</v>
      </c>
      <c r="I3392" s="434"/>
      <c r="J3392" s="443" t="s">
        <v>1798</v>
      </c>
      <c r="K3392" s="434"/>
    </row>
    <row r="3393" spans="1:11" s="33" customFormat="1">
      <c r="A3393" s="435"/>
      <c r="B3393" s="50" t="s">
        <v>209</v>
      </c>
      <c r="C3393" s="217"/>
      <c r="D3393" s="217">
        <v>66</v>
      </c>
      <c r="E3393" s="203">
        <v>4</v>
      </c>
      <c r="F3393" s="149">
        <f t="shared" si="458"/>
        <v>70</v>
      </c>
      <c r="G3393" s="22" t="s">
        <v>7665</v>
      </c>
      <c r="H3393" s="1648" t="str">
        <f t="shared" si="457"/>
        <v>GHB2070</v>
      </c>
      <c r="I3393" s="434"/>
      <c r="J3393" s="443" t="s">
        <v>1798</v>
      </c>
      <c r="K3393" s="434"/>
    </row>
    <row r="3394" spans="1:11" s="33" customFormat="1">
      <c r="A3394" s="435"/>
      <c r="B3394" s="50" t="s">
        <v>210</v>
      </c>
      <c r="C3394" s="217"/>
      <c r="D3394" s="217">
        <v>69</v>
      </c>
      <c r="E3394" s="203">
        <v>4</v>
      </c>
      <c r="F3394" s="149">
        <f t="shared" si="458"/>
        <v>73</v>
      </c>
      <c r="G3394" s="22" t="s">
        <v>7666</v>
      </c>
      <c r="H3394" s="1648" t="str">
        <f t="shared" si="457"/>
        <v>GHB2080</v>
      </c>
      <c r="I3394" s="434"/>
      <c r="J3394" s="443" t="s">
        <v>1798</v>
      </c>
      <c r="K3394" s="434"/>
    </row>
    <row r="3395" spans="1:11" s="33" customFormat="1">
      <c r="A3395" s="435"/>
      <c r="B3395" s="50" t="s">
        <v>211</v>
      </c>
      <c r="C3395" s="217"/>
      <c r="D3395" s="217">
        <v>69</v>
      </c>
      <c r="E3395" s="203">
        <v>4</v>
      </c>
      <c r="F3395" s="149">
        <f t="shared" si="458"/>
        <v>73</v>
      </c>
      <c r="G3395" s="22" t="s">
        <v>7667</v>
      </c>
      <c r="H3395" s="1648" t="str">
        <f t="shared" si="457"/>
        <v>GHB2090</v>
      </c>
      <c r="I3395" s="434"/>
      <c r="J3395" s="443" t="s">
        <v>1798</v>
      </c>
      <c r="K3395" s="434"/>
    </row>
    <row r="3396" spans="1:11" s="33" customFormat="1">
      <c r="A3396" s="435"/>
      <c r="B3396" s="50" t="s">
        <v>212</v>
      </c>
      <c r="C3396" s="217"/>
      <c r="D3396" s="217">
        <v>69</v>
      </c>
      <c r="E3396" s="203">
        <v>4</v>
      </c>
      <c r="F3396" s="149">
        <f t="shared" si="458"/>
        <v>73</v>
      </c>
      <c r="G3396" s="22" t="s">
        <v>7668</v>
      </c>
      <c r="H3396" s="1648" t="str">
        <f t="shared" si="457"/>
        <v>GHB2100</v>
      </c>
      <c r="I3396" s="434"/>
      <c r="J3396" s="443" t="s">
        <v>1798</v>
      </c>
      <c r="K3396" s="434"/>
    </row>
    <row r="3397" spans="1:11" s="33" customFormat="1">
      <c r="A3397" s="435"/>
      <c r="B3397" s="50"/>
      <c r="C3397" s="217"/>
      <c r="D3397" s="217"/>
      <c r="E3397" s="203"/>
      <c r="F3397" s="149"/>
      <c r="G3397" s="22"/>
      <c r="H3397" s="1648"/>
      <c r="I3397" s="434"/>
      <c r="J3397" s="435"/>
      <c r="K3397" s="434"/>
    </row>
    <row r="3398" spans="1:11" s="33" customFormat="1">
      <c r="A3398" s="443"/>
      <c r="B3398" s="50" t="s">
        <v>213</v>
      </c>
      <c r="C3398" s="217"/>
      <c r="D3398" s="217">
        <v>121</v>
      </c>
      <c r="E3398" s="203">
        <v>5</v>
      </c>
      <c r="F3398" s="149">
        <f t="shared" ref="F3398:F3407" si="459">D3398+E3398</f>
        <v>126</v>
      </c>
      <c r="G3398" s="22" t="s">
        <v>7669</v>
      </c>
      <c r="H3398" s="1648" t="str">
        <f t="shared" si="457"/>
        <v>GHB3015</v>
      </c>
      <c r="I3398" s="434"/>
      <c r="J3398" s="443" t="s">
        <v>1798</v>
      </c>
      <c r="K3398" s="434"/>
    </row>
    <row r="3399" spans="1:11" s="33" customFormat="1">
      <c r="A3399" s="443"/>
      <c r="B3399" s="50" t="s">
        <v>214</v>
      </c>
      <c r="C3399" s="217"/>
      <c r="D3399" s="217">
        <v>121</v>
      </c>
      <c r="E3399" s="203">
        <v>5</v>
      </c>
      <c r="F3399" s="149">
        <f t="shared" si="459"/>
        <v>126</v>
      </c>
      <c r="G3399" s="22" t="s">
        <v>7670</v>
      </c>
      <c r="H3399" s="1648" t="str">
        <f t="shared" si="457"/>
        <v>GHB3020</v>
      </c>
      <c r="I3399" s="434"/>
      <c r="J3399" s="443" t="s">
        <v>1798</v>
      </c>
      <c r="K3399" s="434"/>
    </row>
    <row r="3400" spans="1:11" s="33" customFormat="1">
      <c r="A3400" s="443"/>
      <c r="B3400" s="50" t="s">
        <v>215</v>
      </c>
      <c r="C3400" s="217"/>
      <c r="D3400" s="217">
        <v>121</v>
      </c>
      <c r="E3400" s="203">
        <v>5</v>
      </c>
      <c r="F3400" s="149">
        <f t="shared" si="459"/>
        <v>126</v>
      </c>
      <c r="G3400" s="22" t="s">
        <v>7671</v>
      </c>
      <c r="H3400" s="1648" t="str">
        <f t="shared" si="457"/>
        <v>GHB3030</v>
      </c>
      <c r="I3400" s="434"/>
      <c r="J3400" s="443" t="s">
        <v>1798</v>
      </c>
      <c r="K3400" s="434"/>
    </row>
    <row r="3401" spans="1:11" s="33" customFormat="1">
      <c r="A3401" s="443"/>
      <c r="B3401" s="50" t="s">
        <v>216</v>
      </c>
      <c r="C3401" s="217"/>
      <c r="D3401" s="217">
        <v>121</v>
      </c>
      <c r="E3401" s="203">
        <v>5</v>
      </c>
      <c r="F3401" s="149">
        <f t="shared" si="459"/>
        <v>126</v>
      </c>
      <c r="G3401" s="22" t="s">
        <v>7672</v>
      </c>
      <c r="H3401" s="1648" t="str">
        <f t="shared" si="457"/>
        <v>GHB3040</v>
      </c>
      <c r="I3401" s="434"/>
      <c r="J3401" s="443" t="s">
        <v>1798</v>
      </c>
      <c r="K3401" s="434"/>
    </row>
    <row r="3402" spans="1:11" s="33" customFormat="1">
      <c r="A3402" s="443"/>
      <c r="B3402" s="50" t="s">
        <v>217</v>
      </c>
      <c r="C3402" s="217"/>
      <c r="D3402" s="217">
        <v>121</v>
      </c>
      <c r="E3402" s="203">
        <v>5</v>
      </c>
      <c r="F3402" s="149">
        <f t="shared" si="459"/>
        <v>126</v>
      </c>
      <c r="G3402" s="22" t="s">
        <v>7673</v>
      </c>
      <c r="H3402" s="1648" t="str">
        <f t="shared" si="457"/>
        <v>GHB3050</v>
      </c>
      <c r="I3402" s="434"/>
      <c r="J3402" s="443" t="s">
        <v>1798</v>
      </c>
      <c r="K3402" s="434"/>
    </row>
    <row r="3403" spans="1:11" s="33" customFormat="1">
      <c r="A3403" s="443"/>
      <c r="B3403" s="50" t="s">
        <v>218</v>
      </c>
      <c r="C3403" s="217"/>
      <c r="D3403" s="217">
        <v>124</v>
      </c>
      <c r="E3403" s="203">
        <v>5</v>
      </c>
      <c r="F3403" s="149">
        <f t="shared" si="459"/>
        <v>129</v>
      </c>
      <c r="G3403" s="22" t="s">
        <v>7674</v>
      </c>
      <c r="H3403" s="1648" t="str">
        <f t="shared" si="457"/>
        <v>GHB3060</v>
      </c>
      <c r="I3403" s="434"/>
      <c r="J3403" s="443" t="s">
        <v>1798</v>
      </c>
      <c r="K3403" s="434"/>
    </row>
    <row r="3404" spans="1:11" s="33" customFormat="1">
      <c r="A3404" s="443"/>
      <c r="B3404" s="50" t="s">
        <v>219</v>
      </c>
      <c r="C3404" s="217"/>
      <c r="D3404" s="217">
        <v>124</v>
      </c>
      <c r="E3404" s="203">
        <v>5</v>
      </c>
      <c r="F3404" s="149">
        <f t="shared" si="459"/>
        <v>129</v>
      </c>
      <c r="G3404" s="22" t="s">
        <v>7675</v>
      </c>
      <c r="H3404" s="1648" t="str">
        <f t="shared" si="457"/>
        <v>GHB3070</v>
      </c>
      <c r="I3404" s="434"/>
      <c r="J3404" s="443" t="s">
        <v>1798</v>
      </c>
      <c r="K3404" s="434"/>
    </row>
    <row r="3405" spans="1:11" s="33" customFormat="1">
      <c r="A3405" s="443"/>
      <c r="B3405" s="50" t="s">
        <v>220</v>
      </c>
      <c r="C3405" s="217"/>
      <c r="D3405" s="217">
        <v>124</v>
      </c>
      <c r="E3405" s="203">
        <v>5</v>
      </c>
      <c r="F3405" s="149">
        <f t="shared" si="459"/>
        <v>129</v>
      </c>
      <c r="G3405" s="22" t="s">
        <v>7676</v>
      </c>
      <c r="H3405" s="1648" t="str">
        <f t="shared" si="457"/>
        <v>GHB3080</v>
      </c>
      <c r="I3405" s="434"/>
      <c r="J3405" s="443" t="s">
        <v>1798</v>
      </c>
      <c r="K3405" s="434"/>
    </row>
    <row r="3406" spans="1:11" s="33" customFormat="1">
      <c r="A3406" s="443"/>
      <c r="B3406" s="50" t="s">
        <v>221</v>
      </c>
      <c r="C3406" s="217"/>
      <c r="D3406" s="217">
        <v>124</v>
      </c>
      <c r="E3406" s="203">
        <v>5</v>
      </c>
      <c r="F3406" s="149">
        <f t="shared" si="459"/>
        <v>129</v>
      </c>
      <c r="G3406" s="22" t="s">
        <v>7677</v>
      </c>
      <c r="H3406" s="1648" t="str">
        <f t="shared" si="457"/>
        <v>GHB3090</v>
      </c>
      <c r="I3406" s="434"/>
      <c r="J3406" s="443" t="s">
        <v>1798</v>
      </c>
      <c r="K3406" s="434"/>
    </row>
    <row r="3407" spans="1:11" s="21" customFormat="1">
      <c r="A3407" s="443"/>
      <c r="B3407" s="50" t="s">
        <v>222</v>
      </c>
      <c r="C3407" s="217"/>
      <c r="D3407" s="217">
        <v>124</v>
      </c>
      <c r="E3407" s="203">
        <v>5</v>
      </c>
      <c r="F3407" s="149">
        <f t="shared" si="459"/>
        <v>129</v>
      </c>
      <c r="G3407" s="22" t="s">
        <v>7678</v>
      </c>
      <c r="H3407" s="1648" t="str">
        <f t="shared" si="457"/>
        <v>GHB3100</v>
      </c>
      <c r="I3407" s="434"/>
      <c r="J3407" s="443" t="s">
        <v>1798</v>
      </c>
      <c r="K3407" s="434"/>
    </row>
    <row r="3408" spans="1:11" s="33" customFormat="1">
      <c r="A3408" s="440"/>
      <c r="B3408" s="46"/>
      <c r="C3408" s="217"/>
      <c r="D3408" s="217"/>
      <c r="E3408" s="203"/>
      <c r="F3408" s="149"/>
      <c r="G3408" s="441"/>
      <c r="H3408" s="1671"/>
      <c r="I3408" s="441"/>
      <c r="J3408" s="440"/>
      <c r="K3408" s="441"/>
    </row>
    <row r="3409" spans="1:11" s="33" customFormat="1">
      <c r="A3409" s="1500"/>
      <c r="B3409" s="50" t="s">
        <v>7679</v>
      </c>
      <c r="C3409" s="217"/>
      <c r="D3409" s="217">
        <v>291</v>
      </c>
      <c r="E3409" s="203">
        <v>5</v>
      </c>
      <c r="F3409" s="149">
        <f>D3409+E3409</f>
        <v>296</v>
      </c>
      <c r="G3409" s="22" t="s">
        <v>7680</v>
      </c>
      <c r="H3409" s="1648" t="str">
        <f>B3409</f>
        <v>GHC3030</v>
      </c>
      <c r="I3409" s="434"/>
      <c r="J3409" s="443" t="s">
        <v>1798</v>
      </c>
      <c r="K3409" s="434"/>
    </row>
    <row r="3410" spans="1:11" s="33" customFormat="1">
      <c r="A3410" s="440"/>
      <c r="B3410" s="50"/>
      <c r="C3410" s="217"/>
      <c r="D3410" s="217"/>
      <c r="E3410" s="203"/>
      <c r="F3410" s="149"/>
      <c r="G3410" s="22"/>
      <c r="H3410" s="1648"/>
      <c r="I3410" s="434"/>
      <c r="J3410" s="443"/>
      <c r="K3410" s="434"/>
    </row>
    <row r="3411" spans="1:11" s="21" customFormat="1">
      <c r="A3411" s="1500"/>
      <c r="B3411" s="903" t="s">
        <v>7681</v>
      </c>
      <c r="C3411" s="904"/>
      <c r="D3411" s="464">
        <v>23</v>
      </c>
      <c r="E3411" s="905">
        <v>1</v>
      </c>
      <c r="F3411" s="906">
        <f>D3411+E3411</f>
        <v>24</v>
      </c>
      <c r="G3411" s="907" t="s">
        <v>11594</v>
      </c>
      <c r="H3411" s="1648" t="str">
        <f>B3411</f>
        <v>1223C77G03</v>
      </c>
      <c r="I3411" s="434"/>
      <c r="J3411" s="435"/>
      <c r="K3411" s="434"/>
    </row>
    <row r="3412" spans="1:11" s="33" customFormat="1">
      <c r="A3412" s="440"/>
      <c r="B3412" s="46"/>
      <c r="C3412" s="217"/>
      <c r="D3412" s="217"/>
      <c r="E3412" s="203"/>
      <c r="F3412" s="149"/>
      <c r="G3412" s="441"/>
      <c r="H3412" s="1671"/>
      <c r="I3412" s="441"/>
      <c r="J3412" s="440"/>
      <c r="K3412" s="441"/>
    </row>
    <row r="3413" spans="1:11" s="21" customFormat="1">
      <c r="A3413" s="435"/>
      <c r="B3413" s="903" t="s">
        <v>7682</v>
      </c>
      <c r="C3413" s="904"/>
      <c r="D3413" s="464">
        <v>10</v>
      </c>
      <c r="E3413" s="905">
        <v>1</v>
      </c>
      <c r="F3413" s="906">
        <f>D3413+E3413</f>
        <v>11</v>
      </c>
      <c r="G3413" s="907" t="s">
        <v>7683</v>
      </c>
      <c r="H3413" s="1648" t="str">
        <f>B3413</f>
        <v>PKL_GHB</v>
      </c>
      <c r="I3413" s="434"/>
      <c r="J3413" s="435"/>
      <c r="K3413" s="434"/>
    </row>
    <row r="3414" spans="1:11" s="33" customFormat="1">
      <c r="A3414" s="435"/>
      <c r="B3414" s="26"/>
      <c r="C3414" s="217"/>
      <c r="D3414" s="217"/>
      <c r="E3414" s="203"/>
      <c r="F3414" s="149"/>
      <c r="G3414" s="22"/>
      <c r="H3414" s="1648"/>
      <c r="I3414" s="434"/>
      <c r="J3414" s="435"/>
      <c r="K3414" s="434"/>
    </row>
    <row r="3415" spans="1:11" s="33" customFormat="1">
      <c r="A3415" s="435"/>
      <c r="B3415" s="743" t="s">
        <v>11012</v>
      </c>
      <c r="C3415" s="746"/>
      <c r="D3415" s="746">
        <v>1220</v>
      </c>
      <c r="E3415" s="661">
        <v>30</v>
      </c>
      <c r="F3415" s="662">
        <f t="shared" ref="F3415:F3420" si="460">D3415+E3415</f>
        <v>1250</v>
      </c>
      <c r="G3415" s="745" t="s">
        <v>11013</v>
      </c>
      <c r="H3415" s="1673" t="str">
        <f>B3415</f>
        <v>GJH3160-ELECTRONICO</v>
      </c>
      <c r="I3415" s="434"/>
      <c r="J3415" s="443" t="s">
        <v>1798</v>
      </c>
      <c r="K3415" s="434"/>
    </row>
    <row r="3416" spans="1:11" s="33" customFormat="1" ht="13.8" thickBot="1">
      <c r="A3416" s="435"/>
      <c r="B3416" s="743" t="s">
        <v>11014</v>
      </c>
      <c r="C3416" s="746"/>
      <c r="D3416" s="746">
        <v>1220</v>
      </c>
      <c r="E3416" s="661">
        <v>30</v>
      </c>
      <c r="F3416" s="662">
        <f t="shared" si="460"/>
        <v>1250</v>
      </c>
      <c r="G3416" s="745" t="s">
        <v>11015</v>
      </c>
      <c r="H3416" s="1673" t="str">
        <f>B3416</f>
        <v>GJH3100-ELECTRONICO</v>
      </c>
      <c r="I3416" s="434"/>
      <c r="J3416" s="443" t="s">
        <v>1798</v>
      </c>
      <c r="K3416" s="434"/>
    </row>
    <row r="3417" spans="1:11" s="33" customFormat="1">
      <c r="A3417" s="435"/>
      <c r="B3417" s="738" t="s">
        <v>95</v>
      </c>
      <c r="C3417" s="739"/>
      <c r="D3417" s="739">
        <v>390</v>
      </c>
      <c r="E3417" s="740">
        <v>30</v>
      </c>
      <c r="F3417" s="741">
        <f t="shared" si="460"/>
        <v>420</v>
      </c>
      <c r="G3417" s="742" t="s">
        <v>7684</v>
      </c>
      <c r="H3417" s="1672" t="s">
        <v>95</v>
      </c>
      <c r="I3417" s="434"/>
      <c r="J3417" s="443" t="s">
        <v>1798</v>
      </c>
      <c r="K3417" s="434"/>
    </row>
    <row r="3418" spans="1:11" s="33" customFormat="1">
      <c r="A3418" s="435"/>
      <c r="B3418" s="743" t="s">
        <v>96</v>
      </c>
      <c r="C3418" s="744"/>
      <c r="D3418" s="744">
        <v>390</v>
      </c>
      <c r="E3418" s="661">
        <v>30</v>
      </c>
      <c r="F3418" s="662">
        <f t="shared" si="460"/>
        <v>420</v>
      </c>
      <c r="G3418" s="745" t="s">
        <v>7685</v>
      </c>
      <c r="H3418" s="1673" t="s">
        <v>96</v>
      </c>
      <c r="I3418" s="434"/>
      <c r="J3418" s="443" t="s">
        <v>1798</v>
      </c>
      <c r="K3418" s="434"/>
    </row>
    <row r="3419" spans="1:11" s="33" customFormat="1">
      <c r="A3419" s="435"/>
      <c r="B3419" s="743" t="s">
        <v>97</v>
      </c>
      <c r="C3419" s="746"/>
      <c r="D3419" s="746">
        <v>370</v>
      </c>
      <c r="E3419" s="661">
        <v>30</v>
      </c>
      <c r="F3419" s="662">
        <f t="shared" si="460"/>
        <v>400</v>
      </c>
      <c r="G3419" s="745" t="s">
        <v>7686</v>
      </c>
      <c r="H3419" s="1673" t="s">
        <v>97</v>
      </c>
      <c r="I3419" s="434"/>
      <c r="J3419" s="443" t="s">
        <v>1798</v>
      </c>
      <c r="K3419" s="434"/>
    </row>
    <row r="3420" spans="1:11" s="33" customFormat="1" ht="13.8" thickBot="1">
      <c r="A3420" s="1624" t="s">
        <v>9859</v>
      </c>
      <c r="B3420" s="747" t="s">
        <v>17</v>
      </c>
      <c r="C3420" s="748"/>
      <c r="D3420" s="748">
        <v>25</v>
      </c>
      <c r="E3420" s="749">
        <v>5</v>
      </c>
      <c r="F3420" s="750">
        <f t="shared" si="460"/>
        <v>30</v>
      </c>
      <c r="G3420" s="751" t="s">
        <v>9860</v>
      </c>
      <c r="H3420" s="1674" t="s">
        <v>17</v>
      </c>
      <c r="I3420" s="434"/>
      <c r="J3420" s="443" t="s">
        <v>1798</v>
      </c>
      <c r="K3420" s="434"/>
    </row>
    <row r="3421" spans="1:11" s="21" customFormat="1">
      <c r="A3421" s="435"/>
      <c r="B3421" s="27"/>
      <c r="C3421" s="217"/>
      <c r="D3421" s="217"/>
      <c r="E3421" s="203"/>
      <c r="F3421" s="149"/>
      <c r="G3421" s="434"/>
      <c r="H3421" s="1648"/>
      <c r="I3421" s="434"/>
      <c r="J3421" s="435"/>
      <c r="K3421" s="434"/>
    </row>
    <row r="3422" spans="1:11" s="102" customFormat="1">
      <c r="A3422" s="1500"/>
      <c r="B3422" s="26" t="s">
        <v>7687</v>
      </c>
      <c r="C3422" s="526"/>
      <c r="D3422" s="526">
        <v>499</v>
      </c>
      <c r="E3422" s="661">
        <v>25</v>
      </c>
      <c r="F3422" s="662">
        <f>D3422+E3422</f>
        <v>524</v>
      </c>
      <c r="G3422" s="190" t="s">
        <v>7688</v>
      </c>
      <c r="H3422" s="1648" t="str">
        <f>B3422</f>
        <v>JGH3250FAG</v>
      </c>
      <c r="I3422" s="434"/>
      <c r="J3422" s="443" t="s">
        <v>1798</v>
      </c>
    </row>
    <row r="3423" spans="1:11" s="102" customFormat="1">
      <c r="A3423" s="1500"/>
      <c r="B3423" s="26" t="s">
        <v>7689</v>
      </c>
      <c r="C3423" s="526"/>
      <c r="D3423" s="744">
        <v>460</v>
      </c>
      <c r="E3423" s="661">
        <v>25</v>
      </c>
      <c r="F3423" s="662">
        <f>D3423+E3423</f>
        <v>485</v>
      </c>
      <c r="G3423" s="190" t="s">
        <v>7690</v>
      </c>
      <c r="H3423" s="1648" t="str">
        <f>B3423</f>
        <v>JGH3200FAG</v>
      </c>
      <c r="I3423" s="434"/>
      <c r="J3423" s="443" t="s">
        <v>1798</v>
      </c>
    </row>
    <row r="3424" spans="1:11" s="102" customFormat="1">
      <c r="A3424" s="1500"/>
      <c r="B3424" s="26" t="s">
        <v>7691</v>
      </c>
      <c r="C3424" s="526"/>
      <c r="D3424" s="744">
        <v>430</v>
      </c>
      <c r="E3424" s="661">
        <v>25</v>
      </c>
      <c r="F3424" s="662">
        <f>D3424+E3424</f>
        <v>455</v>
      </c>
      <c r="G3424" s="190" t="s">
        <v>7692</v>
      </c>
      <c r="H3424" s="1648" t="str">
        <f>B3424</f>
        <v>JGH3125FAG</v>
      </c>
      <c r="I3424" s="434"/>
      <c r="J3424" s="443" t="s">
        <v>1798</v>
      </c>
    </row>
    <row r="3425" spans="1:11" s="102" customFormat="1">
      <c r="A3425"/>
      <c r="B3425" s="26"/>
      <c r="C3425" s="526"/>
      <c r="D3425" s="744"/>
      <c r="E3425" s="661"/>
      <c r="F3425" s="662"/>
      <c r="G3425" s="190"/>
      <c r="H3425" s="1648"/>
      <c r="I3425" s="434"/>
      <c r="J3425" s="443"/>
    </row>
    <row r="3426" spans="1:11" s="102" customFormat="1">
      <c r="A3426" s="1500"/>
      <c r="B3426" s="26" t="s">
        <v>7699</v>
      </c>
      <c r="C3426" s="526"/>
      <c r="D3426" s="744">
        <v>1240</v>
      </c>
      <c r="E3426" s="661">
        <v>25</v>
      </c>
      <c r="F3426" s="662">
        <f t="shared" ref="F3426:F3432" si="461">D3426+E3426</f>
        <v>1265</v>
      </c>
      <c r="G3426" s="190" t="s">
        <v>10902</v>
      </c>
      <c r="H3426" s="1648" t="str">
        <f t="shared" ref="H3426:H3432" si="462">B3426</f>
        <v>JGS325032G</v>
      </c>
      <c r="I3426" s="434"/>
      <c r="J3426" s="443" t="s">
        <v>1798</v>
      </c>
    </row>
    <row r="3427" spans="1:11" s="102" customFormat="1">
      <c r="A3427" s="1500"/>
      <c r="B3427" s="26" t="s">
        <v>7693</v>
      </c>
      <c r="C3427" s="526"/>
      <c r="D3427" s="744">
        <v>460</v>
      </c>
      <c r="E3427" s="661">
        <v>25</v>
      </c>
      <c r="F3427" s="662">
        <f t="shared" si="461"/>
        <v>485</v>
      </c>
      <c r="G3427" s="190" t="s">
        <v>7694</v>
      </c>
      <c r="H3427" s="1648" t="str">
        <f t="shared" si="462"/>
        <v>JGS3250FAG</v>
      </c>
      <c r="I3427" s="434"/>
      <c r="J3427" s="443" t="s">
        <v>1798</v>
      </c>
    </row>
    <row r="3428" spans="1:11" s="102" customFormat="1">
      <c r="A3428" s="1500"/>
      <c r="B3428" s="26" t="s">
        <v>9345</v>
      </c>
      <c r="C3428" s="526"/>
      <c r="D3428" s="744">
        <v>460</v>
      </c>
      <c r="E3428" s="661">
        <v>25</v>
      </c>
      <c r="F3428" s="662">
        <f t="shared" si="461"/>
        <v>485</v>
      </c>
      <c r="G3428" s="28" t="s">
        <v>9346</v>
      </c>
      <c r="H3428" s="1648" t="str">
        <f t="shared" si="462"/>
        <v>JGS3225FAG</v>
      </c>
      <c r="I3428" s="434"/>
      <c r="J3428" s="443" t="s">
        <v>1798</v>
      </c>
    </row>
    <row r="3429" spans="1:11" s="102" customFormat="1">
      <c r="A3429" s="1500"/>
      <c r="B3429" s="26" t="s">
        <v>7695</v>
      </c>
      <c r="C3429" s="526"/>
      <c r="D3429" s="744">
        <v>460</v>
      </c>
      <c r="E3429" s="661">
        <v>25</v>
      </c>
      <c r="F3429" s="662">
        <f t="shared" si="461"/>
        <v>485</v>
      </c>
      <c r="G3429" s="190" t="s">
        <v>7696</v>
      </c>
      <c r="H3429" s="1648" t="str">
        <f t="shared" si="462"/>
        <v>JGS3200FAG</v>
      </c>
      <c r="I3429" s="434"/>
      <c r="J3429" s="443" t="s">
        <v>1798</v>
      </c>
    </row>
    <row r="3430" spans="1:11" s="102" customFormat="1">
      <c r="A3430" s="1500"/>
      <c r="B3430" s="26" t="s">
        <v>9347</v>
      </c>
      <c r="C3430" s="526"/>
      <c r="D3430" s="744">
        <v>460</v>
      </c>
      <c r="E3430" s="661">
        <v>25</v>
      </c>
      <c r="F3430" s="662">
        <f t="shared" si="461"/>
        <v>485</v>
      </c>
      <c r="G3430" s="28" t="s">
        <v>9348</v>
      </c>
      <c r="H3430" s="1648" t="str">
        <f t="shared" si="462"/>
        <v>JGS3175FAG</v>
      </c>
      <c r="I3430" s="434"/>
      <c r="J3430" s="443" t="s">
        <v>1798</v>
      </c>
    </row>
    <row r="3431" spans="1:11" s="102" customFormat="1">
      <c r="A3431" s="1500"/>
      <c r="B3431" s="26" t="s">
        <v>9349</v>
      </c>
      <c r="C3431" s="526"/>
      <c r="D3431" s="744">
        <v>460</v>
      </c>
      <c r="E3431" s="661">
        <v>25</v>
      </c>
      <c r="F3431" s="662">
        <f t="shared" si="461"/>
        <v>485</v>
      </c>
      <c r="G3431" s="28" t="s">
        <v>9350</v>
      </c>
      <c r="H3431" s="1648" t="str">
        <f t="shared" si="462"/>
        <v>JGS3150FAG</v>
      </c>
      <c r="I3431" s="434"/>
      <c r="J3431" s="443" t="s">
        <v>1798</v>
      </c>
    </row>
    <row r="3432" spans="1:11" s="102" customFormat="1">
      <c r="A3432" s="1500"/>
      <c r="B3432" s="26" t="s">
        <v>7697</v>
      </c>
      <c r="C3432" s="526"/>
      <c r="D3432" s="744">
        <v>430</v>
      </c>
      <c r="E3432" s="661">
        <v>25</v>
      </c>
      <c r="F3432" s="662">
        <f t="shared" si="461"/>
        <v>455</v>
      </c>
      <c r="G3432" s="190" t="s">
        <v>7698</v>
      </c>
      <c r="H3432" s="1648" t="str">
        <f t="shared" si="462"/>
        <v>JGS3125FAG</v>
      </c>
      <c r="I3432" s="434"/>
      <c r="J3432" s="443" t="s">
        <v>1798</v>
      </c>
    </row>
    <row r="3433" spans="1:11" s="102" customFormat="1">
      <c r="B3433" s="453"/>
      <c r="C3433" s="539"/>
      <c r="D3433" s="744"/>
      <c r="E3433" s="386"/>
      <c r="F3433" s="1501"/>
      <c r="G3433" s="1502"/>
      <c r="H3433" s="473"/>
      <c r="I3433" s="454"/>
      <c r="J3433" s="447"/>
    </row>
    <row r="3434" spans="1:11" s="102" customFormat="1">
      <c r="B3434" s="453"/>
      <c r="C3434" s="539"/>
      <c r="D3434" s="744"/>
      <c r="E3434" s="386"/>
      <c r="F3434" s="1501"/>
      <c r="G3434" s="1502"/>
      <c r="H3434" s="473"/>
      <c r="I3434" s="454"/>
      <c r="J3434" s="447"/>
    </row>
    <row r="3435" spans="1:11" s="102" customFormat="1">
      <c r="A3435" s="1500"/>
      <c r="B3435" s="26" t="s">
        <v>7699</v>
      </c>
      <c r="C3435" s="526"/>
      <c r="D3435" s="744">
        <v>750</v>
      </c>
      <c r="E3435" s="661">
        <v>25</v>
      </c>
      <c r="F3435" s="662">
        <f>D3435+E3435</f>
        <v>775</v>
      </c>
      <c r="G3435" s="190" t="s">
        <v>7700</v>
      </c>
      <c r="H3435" s="1648" t="str">
        <f>B3435</f>
        <v>JGS325032G</v>
      </c>
      <c r="I3435" s="434"/>
      <c r="J3435" s="443" t="s">
        <v>1798</v>
      </c>
    </row>
    <row r="3436" spans="1:11" s="102" customFormat="1">
      <c r="A3436" s="1500"/>
      <c r="B3436" s="26" t="s">
        <v>7701</v>
      </c>
      <c r="C3436" s="526"/>
      <c r="D3436" s="744">
        <v>750</v>
      </c>
      <c r="E3436" s="661">
        <v>25</v>
      </c>
      <c r="F3436" s="662">
        <f>D3436+E3436</f>
        <v>775</v>
      </c>
      <c r="G3436" s="190" t="s">
        <v>7702</v>
      </c>
      <c r="H3436" s="1648" t="str">
        <f>B3436</f>
        <v>JGS316032G</v>
      </c>
      <c r="I3436" s="434"/>
      <c r="J3436" s="443" t="s">
        <v>1798</v>
      </c>
    </row>
    <row r="3437" spans="1:11" s="102" customFormat="1">
      <c r="B3437" s="453"/>
      <c r="C3437" s="539"/>
      <c r="D3437" s="744"/>
      <c r="E3437" s="386"/>
      <c r="F3437" s="1501"/>
      <c r="G3437" s="1502"/>
      <c r="H3437" s="473"/>
      <c r="I3437" s="454"/>
      <c r="J3437" s="447"/>
    </row>
    <row r="3438" spans="1:11" s="102" customFormat="1">
      <c r="A3438" s="1500"/>
      <c r="B3438" s="26" t="s">
        <v>12192</v>
      </c>
      <c r="C3438" s="526"/>
      <c r="D3438" s="744">
        <v>80</v>
      </c>
      <c r="E3438" s="661">
        <v>10</v>
      </c>
      <c r="F3438" s="662">
        <f>D3438+E3438</f>
        <v>90</v>
      </c>
      <c r="G3438" s="28" t="s">
        <v>12193</v>
      </c>
      <c r="H3438" s="1648" t="str">
        <f>B3438</f>
        <v>SNT120CPK</v>
      </c>
      <c r="I3438" s="434"/>
      <c r="J3438" s="443" t="s">
        <v>1798</v>
      </c>
    </row>
    <row r="3439" spans="1:11" s="33" customFormat="1">
      <c r="A3439" s="435"/>
      <c r="B3439" s="49"/>
      <c r="C3439" s="217"/>
      <c r="D3439" s="217"/>
      <c r="E3439" s="203"/>
      <c r="F3439" s="149"/>
      <c r="G3439" s="434"/>
      <c r="H3439" s="1648"/>
      <c r="I3439" s="434"/>
      <c r="J3439" s="435"/>
      <c r="K3439" s="434"/>
    </row>
    <row r="3440" spans="1:11" s="33" customFormat="1">
      <c r="A3440" s="435"/>
      <c r="B3440" s="49" t="s">
        <v>11595</v>
      </c>
      <c r="C3440" s="217"/>
      <c r="D3440" s="217">
        <v>50</v>
      </c>
      <c r="E3440" s="203">
        <v>10</v>
      </c>
      <c r="F3440" s="149">
        <f>D3440+E3440</f>
        <v>60</v>
      </c>
      <c r="G3440" s="22" t="s">
        <v>5109</v>
      </c>
      <c r="H3440" s="458" t="str">
        <f>B3440</f>
        <v>SNT480SPK</v>
      </c>
      <c r="I3440" s="189"/>
      <c r="J3440" s="443" t="s">
        <v>1798</v>
      </c>
      <c r="K3440" s="189" t="s">
        <v>741</v>
      </c>
    </row>
    <row r="3441" spans="1:14" s="102" customFormat="1">
      <c r="A3441"/>
      <c r="B3441" s="26"/>
      <c r="C3441" s="526"/>
      <c r="D3441" s="744"/>
      <c r="E3441" s="661"/>
      <c r="F3441" s="662"/>
      <c r="G3441" s="190"/>
      <c r="H3441" s="1648"/>
      <c r="I3441" s="434"/>
      <c r="J3441" s="443"/>
    </row>
    <row r="3442" spans="1:14" s="102" customFormat="1">
      <c r="A3442" s="1856"/>
      <c r="B3442" s="1857" t="s">
        <v>12314</v>
      </c>
      <c r="C3442" s="526"/>
      <c r="D3442" s="526">
        <v>8590</v>
      </c>
      <c r="E3442" s="661">
        <v>25</v>
      </c>
      <c r="F3442" s="662">
        <f>D3442+E3442</f>
        <v>8615</v>
      </c>
      <c r="G3442" s="190" t="s">
        <v>12315</v>
      </c>
      <c r="H3442" s="1857" t="s">
        <v>12314</v>
      </c>
      <c r="I3442" s="434"/>
      <c r="J3442" s="443" t="s">
        <v>1798</v>
      </c>
    </row>
    <row r="3443" spans="1:14" s="102" customFormat="1">
      <c r="A3443"/>
      <c r="B3443" s="26"/>
      <c r="C3443" s="526"/>
      <c r="D3443" s="744"/>
      <c r="E3443" s="661"/>
      <c r="F3443" s="662"/>
      <c r="G3443" s="190"/>
      <c r="H3443" s="1648"/>
      <c r="I3443" s="434"/>
      <c r="J3443" s="443"/>
    </row>
    <row r="3444" spans="1:14" s="102" customFormat="1">
      <c r="A3444"/>
      <c r="B3444" s="26"/>
      <c r="C3444" s="526"/>
      <c r="D3444" s="744"/>
      <c r="E3444" s="661"/>
      <c r="F3444" s="662"/>
      <c r="G3444" s="190"/>
      <c r="H3444" s="1648"/>
      <c r="I3444" s="434"/>
      <c r="J3444" s="443"/>
    </row>
    <row r="3445" spans="1:14" s="102" customFormat="1">
      <c r="A3445"/>
      <c r="B3445" s="26" t="s">
        <v>9595</v>
      </c>
      <c r="C3445" s="526"/>
      <c r="D3445" s="526">
        <f>456.7*2.2</f>
        <v>1004.74</v>
      </c>
      <c r="E3445" s="661">
        <v>25</v>
      </c>
      <c r="F3445" s="662">
        <f>D3445+E3445</f>
        <v>1029.74</v>
      </c>
      <c r="G3445" s="190" t="s">
        <v>9596</v>
      </c>
      <c r="H3445" s="1648" t="str">
        <f>B3445</f>
        <v>JGE316036G</v>
      </c>
      <c r="I3445" s="434"/>
      <c r="J3445" s="443" t="s">
        <v>1798</v>
      </c>
    </row>
    <row r="3446" spans="1:14" s="102" customFormat="1">
      <c r="A3446"/>
      <c r="B3446" s="26" t="s">
        <v>7703</v>
      </c>
      <c r="C3446" s="526"/>
      <c r="D3446" s="526">
        <v>460</v>
      </c>
      <c r="E3446" s="661">
        <v>40</v>
      </c>
      <c r="F3446" s="662">
        <f>D3446+E3446</f>
        <v>500</v>
      </c>
      <c r="G3446" s="190" t="s">
        <v>9597</v>
      </c>
      <c r="H3446" s="1648" t="str">
        <f>B3446</f>
        <v>JGE3200FAG</v>
      </c>
      <c r="I3446" s="434"/>
      <c r="J3446" s="443" t="s">
        <v>1798</v>
      </c>
    </row>
    <row r="3447" spans="1:14" s="102" customFormat="1">
      <c r="A3447"/>
      <c r="B3447" s="26" t="s">
        <v>9598</v>
      </c>
      <c r="C3447" s="526"/>
      <c r="D3447" s="526">
        <f>475.3*2.2</f>
        <v>1045.6600000000001</v>
      </c>
      <c r="E3447" s="661">
        <v>40</v>
      </c>
      <c r="F3447" s="662">
        <f>D3447+E3447</f>
        <v>1085.6600000000001</v>
      </c>
      <c r="G3447" s="190" t="s">
        <v>9599</v>
      </c>
      <c r="H3447" s="1648" t="str">
        <f>B3447</f>
        <v>JGE325036G</v>
      </c>
      <c r="I3447" s="434"/>
      <c r="J3447" s="443" t="s">
        <v>1798</v>
      </c>
    </row>
    <row r="3448" spans="1:14" s="102" customFormat="1">
      <c r="A3448"/>
      <c r="B3448" s="26"/>
      <c r="C3448" s="526"/>
      <c r="D3448" s="22"/>
      <c r="E3448" s="390"/>
      <c r="F3448" s="22"/>
      <c r="G3448" s="190"/>
      <c r="H3448" s="194"/>
      <c r="I3448" s="1502"/>
    </row>
    <row r="3449" spans="1:14" s="191" customFormat="1">
      <c r="B3449" s="903" t="s">
        <v>7704</v>
      </c>
      <c r="C3449" s="904"/>
      <c r="D3449" s="904">
        <v>30</v>
      </c>
      <c r="E3449" s="905">
        <v>3</v>
      </c>
      <c r="F3449" s="906">
        <f>D3449+E3449</f>
        <v>33</v>
      </c>
      <c r="G3449" s="907" t="s">
        <v>11079</v>
      </c>
      <c r="H3449" s="1675" t="str">
        <f>B3449</f>
        <v>FJPHLOFF</v>
      </c>
      <c r="I3449" s="190"/>
      <c r="J3449" s="443" t="s">
        <v>1798</v>
      </c>
    </row>
    <row r="3450" spans="1:14" s="185" customFormat="1">
      <c r="A3450" s="435"/>
      <c r="B3450" s="434"/>
      <c r="C3450" s="217"/>
      <c r="D3450" s="217"/>
      <c r="E3450" s="438"/>
      <c r="F3450" s="439"/>
      <c r="G3450" s="434"/>
      <c r="H3450" s="1648"/>
      <c r="I3450" s="434"/>
      <c r="J3450" s="435"/>
      <c r="K3450" s="434"/>
      <c r="L3450" s="388"/>
      <c r="M3450" s="388"/>
      <c r="N3450" s="388"/>
    </row>
    <row r="3451" spans="1:14" s="185" customFormat="1" ht="13.8" thickBot="1">
      <c r="A3451" s="435"/>
      <c r="B3451" s="434"/>
      <c r="C3451" s="217"/>
      <c r="D3451" s="217"/>
      <c r="E3451" s="438"/>
      <c r="F3451" s="439"/>
      <c r="G3451" s="434"/>
      <c r="H3451" s="1648"/>
      <c r="I3451" s="434"/>
      <c r="J3451" s="435"/>
      <c r="K3451" s="434"/>
      <c r="L3451" s="388"/>
      <c r="M3451" s="388"/>
      <c r="N3451" s="388"/>
    </row>
    <row r="3452" spans="1:14" s="33" customFormat="1">
      <c r="A3452" s="445"/>
      <c r="B3452" s="1503" t="s">
        <v>7705</v>
      </c>
      <c r="C3452" s="739"/>
      <c r="D3452" s="739">
        <v>1540</v>
      </c>
      <c r="E3452" s="740">
        <v>30</v>
      </c>
      <c r="F3452" s="741">
        <f t="shared" ref="F3452:F3457" si="463">D3452+E3452</f>
        <v>1570</v>
      </c>
      <c r="G3452" s="742" t="s">
        <v>7706</v>
      </c>
      <c r="H3452" s="1676" t="str">
        <f t="shared" ref="H3452:H3457" si="464">B3452</f>
        <v>LGH340033G</v>
      </c>
      <c r="I3452" s="434"/>
      <c r="J3452" s="443" t="s">
        <v>1798</v>
      </c>
      <c r="K3452" s="434"/>
    </row>
    <row r="3453" spans="1:14" s="33" customFormat="1">
      <c r="A3453" s="445"/>
      <c r="B3453" s="1504" t="s">
        <v>7707</v>
      </c>
      <c r="C3453" s="744"/>
      <c r="D3453" s="744">
        <v>1820</v>
      </c>
      <c r="E3453" s="661">
        <v>30</v>
      </c>
      <c r="F3453" s="662">
        <f t="shared" si="463"/>
        <v>1850</v>
      </c>
      <c r="G3453" s="745" t="s">
        <v>7708</v>
      </c>
      <c r="H3453" s="1677" t="str">
        <f t="shared" si="464"/>
        <v>LGH363033G</v>
      </c>
      <c r="I3453" s="434"/>
      <c r="J3453" s="443" t="s">
        <v>1798</v>
      </c>
      <c r="K3453" s="434"/>
    </row>
    <row r="3454" spans="1:14" s="33" customFormat="1">
      <c r="A3454" s="445"/>
      <c r="B3454" s="743" t="s">
        <v>7709</v>
      </c>
      <c r="C3454" s="746"/>
      <c r="D3454" s="746">
        <v>3485</v>
      </c>
      <c r="E3454" s="661">
        <v>30</v>
      </c>
      <c r="F3454" s="662">
        <f t="shared" si="463"/>
        <v>3515</v>
      </c>
      <c r="G3454" s="745" t="s">
        <v>7710</v>
      </c>
      <c r="H3454" s="1677" t="str">
        <f t="shared" si="464"/>
        <v>NGH308033E</v>
      </c>
      <c r="I3454" s="434"/>
      <c r="J3454" s="443" t="s">
        <v>1798</v>
      </c>
      <c r="K3454" s="434"/>
    </row>
    <row r="3455" spans="1:14" s="33" customFormat="1">
      <c r="A3455" s="445"/>
      <c r="B3455" s="1505" t="s">
        <v>8</v>
      </c>
      <c r="C3455" s="746"/>
      <c r="D3455" s="746">
        <v>120</v>
      </c>
      <c r="E3455" s="661">
        <v>0</v>
      </c>
      <c r="F3455" s="1506">
        <f t="shared" si="463"/>
        <v>120</v>
      </c>
      <c r="G3455" s="1507" t="s">
        <v>7531</v>
      </c>
      <c r="H3455" s="1678" t="str">
        <f t="shared" si="464"/>
        <v>T1200NB3M</v>
      </c>
      <c r="I3455" s="434"/>
      <c r="J3455" s="443" t="s">
        <v>1798</v>
      </c>
      <c r="K3455" s="434"/>
    </row>
    <row r="3456" spans="1:14" s="33" customFormat="1" ht="13.8" thickBot="1">
      <c r="A3456" s="445"/>
      <c r="B3456" s="1508" t="s">
        <v>7711</v>
      </c>
      <c r="C3456" s="748"/>
      <c r="D3456" s="748">
        <v>312</v>
      </c>
      <c r="E3456" s="749">
        <v>30</v>
      </c>
      <c r="F3456" s="1509">
        <f t="shared" si="463"/>
        <v>342</v>
      </c>
      <c r="G3456" s="1510" t="s">
        <v>7712</v>
      </c>
      <c r="H3456" s="1679" t="str">
        <f>B3456</f>
        <v>EGH3040FFG</v>
      </c>
      <c r="I3456" s="434"/>
      <c r="J3456" s="443" t="s">
        <v>1798</v>
      </c>
      <c r="K3456" s="434"/>
    </row>
    <row r="3457" spans="1:14" s="33" customFormat="1" ht="13.8" thickBot="1">
      <c r="A3457" s="445"/>
      <c r="B3457" s="1508" t="s">
        <v>7713</v>
      </c>
      <c r="C3457" s="748"/>
      <c r="D3457" s="748">
        <v>312</v>
      </c>
      <c r="E3457" s="749">
        <v>30</v>
      </c>
      <c r="F3457" s="1509">
        <f t="shared" si="463"/>
        <v>342</v>
      </c>
      <c r="G3457" s="1510" t="s">
        <v>7714</v>
      </c>
      <c r="H3457" s="1679" t="str">
        <f t="shared" si="464"/>
        <v>EGH3100FFG</v>
      </c>
      <c r="I3457" s="434"/>
      <c r="J3457" s="443" t="s">
        <v>1798</v>
      </c>
      <c r="K3457" s="434"/>
    </row>
    <row r="3458" spans="1:14" s="33" customFormat="1">
      <c r="A3458" s="447"/>
      <c r="B3458" s="453"/>
      <c r="C3458" s="217"/>
      <c r="D3458" s="217"/>
      <c r="E3458" s="407"/>
      <c r="F3458" s="157"/>
      <c r="G3458" s="410"/>
      <c r="H3458" s="139"/>
      <c r="I3458" s="454"/>
      <c r="J3458" s="447"/>
      <c r="K3458" s="454"/>
    </row>
    <row r="3459" spans="1:14" s="33" customFormat="1">
      <c r="A3459" s="447"/>
      <c r="B3459" s="453"/>
      <c r="C3459" s="217"/>
      <c r="D3459" s="217"/>
      <c r="E3459" s="407"/>
      <c r="F3459" s="157"/>
      <c r="G3459" s="410"/>
      <c r="H3459" s="139"/>
      <c r="I3459" s="454"/>
      <c r="J3459" s="447"/>
      <c r="K3459" s="454"/>
    </row>
    <row r="3460" spans="1:14" s="33" customFormat="1">
      <c r="A3460" s="447"/>
      <c r="B3460" s="453"/>
      <c r="C3460" s="217"/>
      <c r="D3460" s="217"/>
      <c r="E3460" s="407"/>
      <c r="F3460" s="157"/>
      <c r="G3460" s="410"/>
      <c r="H3460" s="139"/>
      <c r="I3460" s="454"/>
      <c r="J3460" s="447"/>
      <c r="K3460" s="454"/>
    </row>
    <row r="3461" spans="1:14" s="33" customFormat="1">
      <c r="A3461" s="433"/>
      <c r="B3461" s="132" t="s">
        <v>7715</v>
      </c>
      <c r="C3461" s="1511"/>
      <c r="D3461" s="1511">
        <v>3241</v>
      </c>
      <c r="E3461" s="1512">
        <v>30</v>
      </c>
      <c r="F3461" s="1513">
        <f>D3461+E3461</f>
        <v>3271</v>
      </c>
      <c r="G3461" s="1514" t="s">
        <v>7716</v>
      </c>
      <c r="H3461" s="1680" t="str">
        <f>B3461</f>
        <v>NGS308032E</v>
      </c>
      <c r="I3461" s="434"/>
      <c r="J3461" s="443" t="s">
        <v>1798</v>
      </c>
      <c r="K3461" s="434"/>
    </row>
    <row r="3462" spans="1:14" s="33" customFormat="1">
      <c r="A3462" s="433"/>
      <c r="B3462" s="132" t="s">
        <v>9351</v>
      </c>
      <c r="C3462" s="1511"/>
      <c r="D3462" s="1511">
        <v>4135</v>
      </c>
      <c r="E3462" s="1512">
        <v>30</v>
      </c>
      <c r="F3462" s="1513">
        <f>D3462+E3462</f>
        <v>4165</v>
      </c>
      <c r="G3462" s="1514" t="s">
        <v>9352</v>
      </c>
      <c r="H3462" s="1680" t="str">
        <f>B3462</f>
        <v>NGS310032E</v>
      </c>
      <c r="I3462" s="434"/>
      <c r="J3462" s="443" t="s">
        <v>1798</v>
      </c>
      <c r="K3462" s="434"/>
    </row>
    <row r="3463" spans="1:14" s="185" customFormat="1">
      <c r="A3463" s="433"/>
      <c r="B3463" s="903" t="s">
        <v>7717</v>
      </c>
      <c r="C3463" s="904"/>
      <c r="D3463" s="904">
        <v>68</v>
      </c>
      <c r="E3463" s="905">
        <v>2</v>
      </c>
      <c r="F3463" s="906">
        <f>D3463+E3463</f>
        <v>70</v>
      </c>
      <c r="G3463" s="907" t="s">
        <v>7718</v>
      </c>
      <c r="H3463" s="1648"/>
      <c r="I3463" s="434"/>
      <c r="J3463" s="435"/>
      <c r="K3463" s="434"/>
    </row>
    <row r="3464" spans="1:14" s="33" customFormat="1">
      <c r="A3464" s="1488"/>
      <c r="B3464" s="1489" t="s">
        <v>7719</v>
      </c>
      <c r="C3464" s="217"/>
      <c r="D3464" s="217">
        <v>67</v>
      </c>
      <c r="E3464" s="203">
        <v>5</v>
      </c>
      <c r="F3464" s="151">
        <f>D3464+E3464</f>
        <v>72</v>
      </c>
      <c r="G3464" s="676" t="s">
        <v>9353</v>
      </c>
      <c r="H3464" s="1667" t="str">
        <f>B3464</f>
        <v>TA1200NB1</v>
      </c>
      <c r="I3464" s="434"/>
      <c r="J3464" s="435" t="s">
        <v>1798</v>
      </c>
      <c r="K3464" s="434"/>
    </row>
    <row r="3465" spans="1:14" s="185" customFormat="1">
      <c r="A3465" s="435"/>
      <c r="B3465" s="434"/>
      <c r="C3465" s="217"/>
      <c r="D3465" s="217"/>
      <c r="E3465" s="438"/>
      <c r="F3465" s="439"/>
      <c r="G3465" s="434"/>
      <c r="H3465" s="1648"/>
      <c r="I3465" s="434"/>
      <c r="J3465" s="435"/>
      <c r="K3465" s="434"/>
      <c r="L3465" s="388"/>
      <c r="M3465" s="388"/>
      <c r="N3465" s="388"/>
    </row>
    <row r="3466" spans="1:14" s="33" customFormat="1">
      <c r="A3466" s="445"/>
      <c r="B3466" s="132" t="s">
        <v>7720</v>
      </c>
      <c r="C3466" s="1511"/>
      <c r="D3466" s="1511">
        <v>4052</v>
      </c>
      <c r="E3466" s="1512">
        <v>30</v>
      </c>
      <c r="F3466" s="1513">
        <f>D3466+E3466</f>
        <v>4082</v>
      </c>
      <c r="G3466" s="1514" t="s">
        <v>7721</v>
      </c>
      <c r="H3466" s="1680" t="str">
        <f>B3466</f>
        <v>NGH308036E</v>
      </c>
      <c r="I3466" s="434"/>
      <c r="J3466" s="443" t="s">
        <v>1798</v>
      </c>
      <c r="K3466" s="434"/>
    </row>
    <row r="3467" spans="1:14" s="33" customFormat="1">
      <c r="A3467" s="445"/>
      <c r="B3467" s="132" t="s">
        <v>7722</v>
      </c>
      <c r="C3467" s="1511"/>
      <c r="D3467" s="1511">
        <v>2379</v>
      </c>
      <c r="E3467" s="1512">
        <v>30</v>
      </c>
      <c r="F3467" s="1513">
        <f>D3467+E3467</f>
        <v>2409</v>
      </c>
      <c r="G3467" s="1514" t="s">
        <v>7723</v>
      </c>
      <c r="H3467" s="1680" t="str">
        <f>B3467</f>
        <v>LGH363036G</v>
      </c>
      <c r="I3467" s="434"/>
      <c r="J3467" s="443" t="s">
        <v>1798</v>
      </c>
      <c r="K3467" s="434"/>
    </row>
    <row r="3468" spans="1:14" s="33" customFormat="1">
      <c r="A3468" s="445"/>
      <c r="B3468" s="132" t="s">
        <v>7724</v>
      </c>
      <c r="C3468" s="1511"/>
      <c r="D3468" s="1511">
        <v>2022</v>
      </c>
      <c r="E3468" s="1512">
        <v>30</v>
      </c>
      <c r="F3468" s="1513">
        <f>D3468+E3468</f>
        <v>2052</v>
      </c>
      <c r="G3468" s="1514" t="s">
        <v>7725</v>
      </c>
      <c r="H3468" s="1680" t="str">
        <f>B3468</f>
        <v>LGH340036G</v>
      </c>
      <c r="I3468" s="434"/>
      <c r="J3468" s="443" t="s">
        <v>1798</v>
      </c>
      <c r="K3468" s="434"/>
    </row>
    <row r="3469" spans="1:14" s="33" customFormat="1">
      <c r="A3469" s="445"/>
      <c r="B3469" s="132"/>
      <c r="C3469" s="1511"/>
      <c r="D3469" s="1511"/>
      <c r="E3469" s="1512"/>
      <c r="F3469" s="1513"/>
      <c r="G3469" s="1514"/>
      <c r="H3469" s="1680"/>
      <c r="I3469" s="434"/>
      <c r="J3469" s="443"/>
      <c r="K3469" s="434"/>
    </row>
    <row r="3470" spans="1:14" s="33" customFormat="1">
      <c r="A3470" s="445"/>
      <c r="B3470" s="132" t="s">
        <v>7726</v>
      </c>
      <c r="C3470" s="1511"/>
      <c r="D3470" s="1511">
        <v>4104.457633199565</v>
      </c>
      <c r="E3470" s="1512">
        <v>30</v>
      </c>
      <c r="F3470" s="1513">
        <f>D3470+E3470</f>
        <v>4134.457633199565</v>
      </c>
      <c r="G3470" s="1514" t="s">
        <v>7727</v>
      </c>
      <c r="H3470" s="1680" t="s">
        <v>7726</v>
      </c>
      <c r="I3470" s="434"/>
      <c r="J3470" s="443" t="s">
        <v>1798</v>
      </c>
      <c r="K3470" s="434"/>
    </row>
    <row r="3471" spans="1:14" s="33" customFormat="1">
      <c r="A3471" s="445"/>
      <c r="B3471" s="132" t="s">
        <v>7728</v>
      </c>
      <c r="C3471" s="1511"/>
      <c r="D3471" s="1511">
        <v>2116.550751566298</v>
      </c>
      <c r="E3471" s="1512">
        <v>30</v>
      </c>
      <c r="F3471" s="1513">
        <f>D3471+E3471</f>
        <v>2146.550751566298</v>
      </c>
      <c r="G3471" s="1514" t="s">
        <v>7729</v>
      </c>
      <c r="H3471" s="1680" t="s">
        <v>7728</v>
      </c>
      <c r="I3471" s="434"/>
      <c r="J3471" s="443" t="s">
        <v>1798</v>
      </c>
      <c r="K3471" s="434"/>
    </row>
    <row r="3472" spans="1:14" s="33" customFormat="1">
      <c r="A3472" s="445"/>
      <c r="B3472" s="132" t="s">
        <v>7730</v>
      </c>
      <c r="C3472" s="1511"/>
      <c r="D3472" s="1511">
        <v>2116.550751566298</v>
      </c>
      <c r="E3472" s="1512">
        <v>30</v>
      </c>
      <c r="F3472" s="1513">
        <f>D3472+E3472</f>
        <v>2146.550751566298</v>
      </c>
      <c r="G3472" s="1514" t="s">
        <v>7731</v>
      </c>
      <c r="H3472" s="1680" t="s">
        <v>7730</v>
      </c>
      <c r="I3472" s="434"/>
      <c r="J3472" s="443" t="s">
        <v>1798</v>
      </c>
      <c r="K3472" s="434"/>
    </row>
    <row r="3473" spans="1:11" s="33" customFormat="1">
      <c r="A3473" s="445"/>
      <c r="B3473" s="132"/>
      <c r="C3473" s="1511"/>
      <c r="D3473" s="1511"/>
      <c r="E3473" s="1512"/>
      <c r="F3473" s="1513"/>
      <c r="G3473" s="1514"/>
      <c r="H3473" s="1680"/>
      <c r="I3473" s="434"/>
      <c r="J3473" s="443"/>
      <c r="K3473" s="434"/>
    </row>
    <row r="3474" spans="1:11" s="33" customFormat="1">
      <c r="A3474" s="445"/>
      <c r="B3474" s="132"/>
      <c r="C3474" s="1511"/>
      <c r="D3474" s="1511"/>
      <c r="E3474" s="1512"/>
      <c r="F3474" s="1513"/>
      <c r="G3474" s="1514"/>
      <c r="H3474" s="1680"/>
      <c r="I3474" s="434"/>
      <c r="J3474" s="443"/>
      <c r="K3474" s="434"/>
    </row>
    <row r="3475" spans="1:11" s="33" customFormat="1">
      <c r="A3475" s="433"/>
      <c r="B3475" s="132" t="s">
        <v>7732</v>
      </c>
      <c r="C3475" s="1511"/>
      <c r="D3475" s="1511">
        <v>2427</v>
      </c>
      <c r="E3475" s="1512">
        <v>30</v>
      </c>
      <c r="F3475" s="1513">
        <f>D3475+E3475</f>
        <v>2457</v>
      </c>
      <c r="G3475" s="1514" t="s">
        <v>7733</v>
      </c>
      <c r="H3475" s="1680" t="str">
        <f>B3475</f>
        <v>LGS360032G</v>
      </c>
      <c r="I3475" s="434"/>
      <c r="J3475" s="443" t="s">
        <v>1798</v>
      </c>
      <c r="K3475" s="434"/>
    </row>
    <row r="3476" spans="1:11" s="33" customFormat="1">
      <c r="A3476" s="433"/>
      <c r="B3476" s="132" t="s">
        <v>7734</v>
      </c>
      <c r="C3476" s="1511"/>
      <c r="D3476" s="1511">
        <v>2379</v>
      </c>
      <c r="E3476" s="1512">
        <v>30</v>
      </c>
      <c r="F3476" s="1513">
        <f>D3476+E3476</f>
        <v>2409</v>
      </c>
      <c r="G3476" s="1514" t="s">
        <v>7735</v>
      </c>
      <c r="H3476" s="1680" t="str">
        <f>B3476</f>
        <v>LGS340032G</v>
      </c>
      <c r="I3476" s="434"/>
      <c r="J3476" s="443" t="s">
        <v>1798</v>
      </c>
      <c r="K3476" s="434"/>
    </row>
    <row r="3477" spans="1:11" s="33" customFormat="1">
      <c r="A3477" s="445"/>
      <c r="B3477" s="132"/>
      <c r="C3477" s="1511"/>
      <c r="D3477" s="1511"/>
      <c r="E3477" s="1512"/>
      <c r="F3477" s="1513"/>
      <c r="G3477" s="1514"/>
      <c r="H3477" s="1680"/>
      <c r="I3477" s="434"/>
      <c r="J3477" s="443"/>
      <c r="K3477" s="434"/>
    </row>
    <row r="3478" spans="1:11" s="33" customFormat="1">
      <c r="A3478" s="433"/>
      <c r="B3478" s="132" t="s">
        <v>7736</v>
      </c>
      <c r="C3478" s="1511"/>
      <c r="D3478" s="1511">
        <v>2022</v>
      </c>
      <c r="E3478" s="1512">
        <v>30</v>
      </c>
      <c r="F3478" s="1513">
        <f>D3478+E3478</f>
        <v>2052</v>
      </c>
      <c r="G3478" s="1514" t="s">
        <v>7737</v>
      </c>
      <c r="H3478" s="1680" t="str">
        <f>B3478</f>
        <v>LGE340032G</v>
      </c>
      <c r="I3478" s="434"/>
      <c r="J3478" s="443" t="s">
        <v>1798</v>
      </c>
      <c r="K3478" s="434"/>
    </row>
    <row r="3479" spans="1:11" s="185" customFormat="1">
      <c r="A3479" s="433"/>
      <c r="B3479" s="903" t="s">
        <v>7738</v>
      </c>
      <c r="C3479" s="904"/>
      <c r="D3479" s="904">
        <v>53</v>
      </c>
      <c r="E3479" s="905">
        <v>2</v>
      </c>
      <c r="F3479" s="906">
        <f>D3479+E3479</f>
        <v>55</v>
      </c>
      <c r="G3479" s="907" t="s">
        <v>7739</v>
      </c>
      <c r="H3479" s="1648"/>
      <c r="I3479" s="434"/>
      <c r="J3479" s="435"/>
      <c r="K3479" s="434"/>
    </row>
    <row r="3480" spans="1:11" s="33" customFormat="1">
      <c r="A3480" s="445"/>
      <c r="B3480" s="132"/>
      <c r="C3480" s="1511"/>
      <c r="D3480" s="1511"/>
      <c r="E3480" s="1512"/>
      <c r="F3480" s="1513"/>
      <c r="G3480" s="1514"/>
      <c r="H3480" s="1680"/>
      <c r="I3480" s="434"/>
      <c r="J3480" s="443"/>
      <c r="K3480" s="434"/>
    </row>
    <row r="3481" spans="1:11" s="33" customFormat="1">
      <c r="A3481" s="445"/>
      <c r="B3481" s="132" t="s">
        <v>7740</v>
      </c>
      <c r="C3481" s="1511"/>
      <c r="D3481" s="1511">
        <v>2022</v>
      </c>
      <c r="E3481" s="1512">
        <v>30</v>
      </c>
      <c r="F3481" s="1513">
        <f>D3481+E3481</f>
        <v>2052</v>
      </c>
      <c r="G3481" s="1514" t="s">
        <v>7741</v>
      </c>
      <c r="H3481" s="1680" t="str">
        <f>B3481</f>
        <v>HFDE310036L</v>
      </c>
      <c r="I3481" s="434"/>
      <c r="J3481" s="443" t="s">
        <v>1798</v>
      </c>
      <c r="K3481" s="434"/>
    </row>
    <row r="3482" spans="1:11" s="33" customFormat="1">
      <c r="A3482" s="445"/>
      <c r="B3482" s="132" t="s">
        <v>7742</v>
      </c>
      <c r="C3482" s="1511"/>
      <c r="D3482" s="1511">
        <v>2022</v>
      </c>
      <c r="E3482" s="1512">
        <v>30</v>
      </c>
      <c r="F3482" s="1513">
        <f>D3482+E3482</f>
        <v>2052</v>
      </c>
      <c r="G3482" s="1514" t="s">
        <v>7743</v>
      </c>
      <c r="H3482" s="1680" t="str">
        <f>B3482</f>
        <v>HFDE304036L</v>
      </c>
      <c r="I3482" s="434"/>
      <c r="J3482" s="443" t="s">
        <v>1798</v>
      </c>
      <c r="K3482" s="434"/>
    </row>
    <row r="3483" spans="1:11" s="33" customFormat="1">
      <c r="A3483" s="445"/>
      <c r="B3483" s="132"/>
      <c r="C3483" s="1511"/>
      <c r="D3483" s="1511"/>
      <c r="E3483" s="1512"/>
      <c r="F3483" s="1513"/>
      <c r="G3483" s="1514"/>
      <c r="H3483" s="1680"/>
      <c r="I3483" s="434"/>
      <c r="J3483" s="443"/>
      <c r="K3483" s="434"/>
    </row>
    <row r="3484" spans="1:11" s="33" customFormat="1">
      <c r="A3484" s="445"/>
      <c r="B3484" s="132" t="s">
        <v>7744</v>
      </c>
      <c r="C3484" s="1511"/>
      <c r="D3484" s="1511">
        <v>1257.2543076923075</v>
      </c>
      <c r="E3484" s="1512">
        <v>30</v>
      </c>
      <c r="F3484" s="1513">
        <f>D3484+E3484</f>
        <v>1287.2543076923075</v>
      </c>
      <c r="G3484" s="1514" t="s">
        <v>7745</v>
      </c>
      <c r="H3484" s="1680" t="s">
        <v>7744</v>
      </c>
      <c r="I3484" s="434"/>
      <c r="J3484" s="443" t="s">
        <v>1798</v>
      </c>
      <c r="K3484" s="434"/>
    </row>
    <row r="3485" spans="1:11" s="33" customFormat="1">
      <c r="A3485" s="445"/>
      <c r="B3485" s="132" t="s">
        <v>7746</v>
      </c>
      <c r="C3485" s="1511"/>
      <c r="D3485" s="1511">
        <v>1257.2543076923075</v>
      </c>
      <c r="E3485" s="1512">
        <v>30</v>
      </c>
      <c r="F3485" s="1513">
        <f>D3485+E3485</f>
        <v>1287.2543076923075</v>
      </c>
      <c r="G3485" s="1514" t="s">
        <v>7747</v>
      </c>
      <c r="H3485" s="1680" t="s">
        <v>7746</v>
      </c>
      <c r="I3485" s="434"/>
      <c r="J3485" s="443" t="s">
        <v>1798</v>
      </c>
      <c r="K3485" s="434"/>
    </row>
    <row r="3486" spans="1:11" s="33" customFormat="1">
      <c r="A3486" s="445"/>
      <c r="B3486" s="132" t="s">
        <v>7748</v>
      </c>
      <c r="C3486" s="1511"/>
      <c r="D3486" s="1511">
        <v>1317.9743076923075</v>
      </c>
      <c r="E3486" s="1512">
        <v>30</v>
      </c>
      <c r="F3486" s="1513">
        <f>D3486+E3486</f>
        <v>1347.9743076923075</v>
      </c>
      <c r="G3486" s="1514" t="s">
        <v>7749</v>
      </c>
      <c r="H3486" s="1680" t="s">
        <v>7748</v>
      </c>
      <c r="I3486" s="434"/>
      <c r="J3486" s="443" t="s">
        <v>1798</v>
      </c>
      <c r="K3486" s="434"/>
    </row>
    <row r="3487" spans="1:11" s="33" customFormat="1">
      <c r="A3487" s="445"/>
      <c r="B3487" s="132" t="s">
        <v>7750</v>
      </c>
      <c r="C3487" s="1511"/>
      <c r="D3487" s="1511">
        <v>1317.9743076923075</v>
      </c>
      <c r="E3487" s="1512">
        <v>30</v>
      </c>
      <c r="F3487" s="1513">
        <f>D3487+E3487</f>
        <v>1347.9743076923075</v>
      </c>
      <c r="G3487" s="1514" t="s">
        <v>7751</v>
      </c>
      <c r="H3487" s="1680" t="s">
        <v>7750</v>
      </c>
      <c r="I3487" s="434"/>
      <c r="J3487" s="443" t="s">
        <v>1798</v>
      </c>
      <c r="K3487" s="434"/>
    </row>
    <row r="3488" spans="1:11" s="33" customFormat="1">
      <c r="A3488" s="445"/>
      <c r="B3488" s="132"/>
      <c r="C3488" s="1511"/>
      <c r="D3488" s="1511"/>
      <c r="E3488" s="1512"/>
      <c r="F3488" s="1513"/>
      <c r="G3488" s="1514"/>
      <c r="H3488" s="1680"/>
      <c r="I3488" s="434"/>
      <c r="J3488" s="443"/>
      <c r="K3488" s="434"/>
    </row>
    <row r="3489" spans="1:14" s="33" customFormat="1">
      <c r="A3489" s="445"/>
      <c r="B3489" s="132"/>
      <c r="C3489" s="1511"/>
      <c r="D3489" s="1511"/>
      <c r="E3489" s="1512"/>
      <c r="F3489" s="1513"/>
      <c r="G3489" s="1514"/>
      <c r="H3489" s="1680"/>
      <c r="I3489" s="434"/>
      <c r="J3489" s="443"/>
      <c r="K3489" s="434"/>
    </row>
    <row r="3490" spans="1:14" s="33" customFormat="1">
      <c r="A3490" s="445"/>
      <c r="B3490" s="132" t="s">
        <v>29</v>
      </c>
      <c r="C3490" s="1511"/>
      <c r="D3490" s="1511">
        <v>120</v>
      </c>
      <c r="E3490" s="1512">
        <v>2</v>
      </c>
      <c r="F3490" s="1513">
        <f>D3490+E3490</f>
        <v>122</v>
      </c>
      <c r="G3490" s="1514" t="s">
        <v>7752</v>
      </c>
      <c r="H3490" s="1680" t="str">
        <f>B3490</f>
        <v>AUXALRMJPK</v>
      </c>
      <c r="I3490" s="434"/>
      <c r="J3490" s="443" t="s">
        <v>1798</v>
      </c>
      <c r="K3490" s="434" t="s">
        <v>741</v>
      </c>
    </row>
    <row r="3491" spans="1:14" s="33" customFormat="1">
      <c r="A3491" s="445"/>
      <c r="B3491" s="132"/>
      <c r="C3491" s="1511"/>
      <c r="D3491" s="1511"/>
      <c r="E3491" s="1512"/>
      <c r="F3491" s="1513"/>
      <c r="G3491" s="1514"/>
      <c r="H3491" s="1680"/>
      <c r="I3491" s="434"/>
      <c r="J3491" s="443"/>
      <c r="K3491" s="434"/>
    </row>
    <row r="3492" spans="1:14" s="33" customFormat="1">
      <c r="A3492" s="445"/>
      <c r="B3492" s="26" t="s">
        <v>7753</v>
      </c>
      <c r="C3492" s="217"/>
      <c r="D3492" s="217">
        <v>187</v>
      </c>
      <c r="E3492" s="203">
        <v>20</v>
      </c>
      <c r="F3492" s="149">
        <f>D3492+E3492</f>
        <v>207</v>
      </c>
      <c r="G3492" s="22" t="s">
        <v>7754</v>
      </c>
      <c r="H3492" s="383" t="str">
        <f>B3492</f>
        <v>HM1R06</v>
      </c>
      <c r="I3492" s="434"/>
      <c r="J3492" s="443" t="s">
        <v>1798</v>
      </c>
      <c r="K3492" s="434" t="s">
        <v>741</v>
      </c>
    </row>
    <row r="3493" spans="1:14" s="33" customFormat="1">
      <c r="A3493" s="445"/>
      <c r="B3493" s="26" t="s">
        <v>7755</v>
      </c>
      <c r="C3493" s="217"/>
      <c r="D3493" s="217">
        <v>154</v>
      </c>
      <c r="E3493" s="203">
        <v>20</v>
      </c>
      <c r="F3493" s="149">
        <f>D3493+E3493</f>
        <v>174</v>
      </c>
      <c r="G3493" s="22" t="s">
        <v>7756</v>
      </c>
      <c r="H3493" s="383" t="str">
        <f>B3493</f>
        <v>KLMMVD06B</v>
      </c>
      <c r="I3493" s="434"/>
      <c r="J3493" s="443" t="s">
        <v>1798</v>
      </c>
      <c r="K3493" s="434" t="s">
        <v>741</v>
      </c>
    </row>
    <row r="3494" spans="1:14" s="33" customFormat="1">
      <c r="A3494" s="445"/>
      <c r="B3494" s="26" t="s">
        <v>7757</v>
      </c>
      <c r="C3494" s="217"/>
      <c r="D3494" s="217">
        <v>236</v>
      </c>
      <c r="E3494" s="203">
        <v>20</v>
      </c>
      <c r="F3494" s="149">
        <f>D3494+E3494</f>
        <v>256</v>
      </c>
      <c r="G3494" s="22" t="s">
        <v>7758</v>
      </c>
      <c r="H3494" s="383" t="str">
        <f>B3494</f>
        <v>HMVD5B</v>
      </c>
      <c r="I3494" s="434"/>
      <c r="J3494" s="443" t="s">
        <v>1798</v>
      </c>
      <c r="K3494" s="434" t="s">
        <v>741</v>
      </c>
    </row>
    <row r="3495" spans="1:14">
      <c r="A3495" s="445"/>
      <c r="B3495" s="384"/>
      <c r="C3495" s="217"/>
      <c r="D3495" s="217"/>
      <c r="E3495" s="395"/>
      <c r="F3495" s="387"/>
      <c r="G3495" s="411"/>
      <c r="H3495" s="458"/>
      <c r="I3495" s="189"/>
      <c r="J3495" s="443"/>
      <c r="K3495" s="189"/>
      <c r="L3495" s="189"/>
      <c r="M3495" s="189"/>
      <c r="N3495" s="189"/>
    </row>
    <row r="3496" spans="1:14" s="33" customFormat="1">
      <c r="A3496" s="440"/>
      <c r="B3496" s="46"/>
      <c r="C3496" s="217"/>
      <c r="D3496" s="217"/>
      <c r="E3496" s="203"/>
      <c r="F3496" s="149"/>
      <c r="G3496" s="441"/>
      <c r="H3496" s="1671"/>
      <c r="I3496" s="441"/>
      <c r="J3496" s="440"/>
      <c r="K3496" s="441"/>
    </row>
    <row r="3497" spans="1:14" s="33" customFormat="1">
      <c r="A3497" s="435"/>
      <c r="B3497" s="31" t="s">
        <v>322</v>
      </c>
      <c r="C3497" s="217"/>
      <c r="D3497" s="217"/>
      <c r="E3497" s="203"/>
      <c r="F3497" s="149"/>
      <c r="G3497" s="434"/>
      <c r="H3497" s="1648"/>
      <c r="I3497" s="434"/>
      <c r="J3497" s="435"/>
      <c r="K3497" s="434"/>
    </row>
    <row r="3498" spans="1:14" s="33" customFormat="1">
      <c r="A3498" s="440"/>
      <c r="B3498" s="46"/>
      <c r="C3498" s="217"/>
      <c r="D3498" s="217"/>
      <c r="E3498" s="203"/>
      <c r="F3498" s="149"/>
      <c r="G3498" s="441"/>
      <c r="H3498" s="1671"/>
      <c r="I3498" s="441"/>
      <c r="J3498" s="440"/>
      <c r="K3498" s="441"/>
    </row>
    <row r="3499" spans="1:14" s="33" customFormat="1">
      <c r="A3499" s="440"/>
      <c r="B3499" s="46"/>
      <c r="C3499" s="217"/>
      <c r="D3499" s="217"/>
      <c r="E3499" s="203"/>
      <c r="F3499" s="149"/>
      <c r="G3499" s="441"/>
      <c r="H3499" s="1671"/>
      <c r="I3499" s="441"/>
      <c r="J3499" s="440"/>
      <c r="K3499" s="441"/>
    </row>
    <row r="3500" spans="1:14" s="33" customFormat="1">
      <c r="A3500" s="435"/>
      <c r="B3500" s="393" t="s">
        <v>7759</v>
      </c>
      <c r="C3500" s="217"/>
      <c r="D3500" s="217">
        <v>210</v>
      </c>
      <c r="E3500" s="203">
        <v>10</v>
      </c>
      <c r="F3500" s="149">
        <f>D3500+E3500</f>
        <v>220</v>
      </c>
      <c r="G3500" s="22" t="s">
        <v>7760</v>
      </c>
      <c r="H3500" s="1648" t="str">
        <f>B3500</f>
        <v>Fi2100</v>
      </c>
      <c r="I3500" s="434"/>
      <c r="J3500" s="435" t="s">
        <v>1798</v>
      </c>
      <c r="K3500" s="434" t="s">
        <v>741</v>
      </c>
    </row>
    <row r="3501" spans="1:14" s="33" customFormat="1">
      <c r="A3501" s="435"/>
      <c r="B3501" s="393" t="s">
        <v>7761</v>
      </c>
      <c r="C3501" s="217"/>
      <c r="D3501" s="217">
        <v>210</v>
      </c>
      <c r="E3501" s="203">
        <v>10</v>
      </c>
      <c r="F3501" s="149">
        <f>D3501+E3501</f>
        <v>220</v>
      </c>
      <c r="G3501" s="22" t="s">
        <v>7762</v>
      </c>
      <c r="H3501" s="1648" t="str">
        <f t="shared" ref="H3501:H3536" si="465">B3501</f>
        <v>Fi2125</v>
      </c>
      <c r="I3501" s="434"/>
      <c r="J3501" s="435" t="s">
        <v>1798</v>
      </c>
      <c r="K3501" s="434" t="s">
        <v>741</v>
      </c>
    </row>
    <row r="3502" spans="1:14" s="33" customFormat="1">
      <c r="A3502" s="435"/>
      <c r="B3502" s="393" t="s">
        <v>10903</v>
      </c>
      <c r="C3502" s="217"/>
      <c r="D3502" s="217">
        <v>80</v>
      </c>
      <c r="E3502" s="203">
        <v>10</v>
      </c>
      <c r="F3502" s="149">
        <f>D3502+E3502</f>
        <v>90</v>
      </c>
      <c r="G3502" s="22" t="s">
        <v>10904</v>
      </c>
      <c r="H3502" s="1648" t="str">
        <f t="shared" si="465"/>
        <v>Fi2040</v>
      </c>
      <c r="I3502" s="434"/>
      <c r="J3502" s="435" t="s">
        <v>1798</v>
      </c>
      <c r="K3502" s="434" t="s">
        <v>741</v>
      </c>
    </row>
    <row r="3503" spans="1:14" s="33" customFormat="1">
      <c r="A3503" s="440"/>
      <c r="B3503" s="46"/>
      <c r="C3503" s="217"/>
      <c r="D3503" s="217"/>
      <c r="E3503" s="203"/>
      <c r="F3503" s="149"/>
      <c r="G3503" s="441"/>
      <c r="H3503" s="1648"/>
      <c r="I3503" s="441"/>
      <c r="J3503" s="435"/>
      <c r="K3503" s="434"/>
    </row>
    <row r="3504" spans="1:14" s="33" customFormat="1">
      <c r="A3504" s="435"/>
      <c r="B3504" s="393" t="s">
        <v>323</v>
      </c>
      <c r="C3504" s="217"/>
      <c r="D3504" s="217">
        <v>56</v>
      </c>
      <c r="E3504" s="203">
        <v>4</v>
      </c>
      <c r="F3504" s="149">
        <f t="shared" ref="F3504:F3513" si="466">D3504+E3504</f>
        <v>60</v>
      </c>
      <c r="G3504" s="22" t="s">
        <v>7763</v>
      </c>
      <c r="H3504" s="1648" t="str">
        <f t="shared" si="465"/>
        <v>Gi1015</v>
      </c>
      <c r="I3504" s="434"/>
      <c r="J3504" s="435" t="s">
        <v>1798</v>
      </c>
      <c r="K3504" s="434" t="s">
        <v>741</v>
      </c>
    </row>
    <row r="3505" spans="1:11" s="33" customFormat="1">
      <c r="A3505" s="435"/>
      <c r="B3505" s="393" t="s">
        <v>324</v>
      </c>
      <c r="C3505" s="217"/>
      <c r="D3505" s="217">
        <v>56</v>
      </c>
      <c r="E3505" s="203">
        <v>4</v>
      </c>
      <c r="F3505" s="149">
        <f t="shared" si="466"/>
        <v>60</v>
      </c>
      <c r="G3505" s="22" t="s">
        <v>7764</v>
      </c>
      <c r="H3505" s="1648" t="str">
        <f t="shared" si="465"/>
        <v>Gi1020</v>
      </c>
      <c r="I3505" s="434"/>
      <c r="J3505" s="435" t="s">
        <v>1798</v>
      </c>
      <c r="K3505" s="434" t="s">
        <v>741</v>
      </c>
    </row>
    <row r="3506" spans="1:11" s="33" customFormat="1">
      <c r="A3506" s="435"/>
      <c r="B3506" s="393" t="s">
        <v>325</v>
      </c>
      <c r="C3506" s="217"/>
      <c r="D3506" s="217">
        <v>56</v>
      </c>
      <c r="E3506" s="203">
        <v>4</v>
      </c>
      <c r="F3506" s="149">
        <f t="shared" si="466"/>
        <v>60</v>
      </c>
      <c r="G3506" s="22" t="s">
        <v>7765</v>
      </c>
      <c r="H3506" s="1648" t="str">
        <f t="shared" si="465"/>
        <v>Gi1030</v>
      </c>
      <c r="I3506" s="434"/>
      <c r="J3506" s="435" t="s">
        <v>1798</v>
      </c>
      <c r="K3506" s="434" t="s">
        <v>741</v>
      </c>
    </row>
    <row r="3507" spans="1:11" s="33" customFormat="1">
      <c r="A3507" s="435"/>
      <c r="B3507" s="393" t="s">
        <v>326</v>
      </c>
      <c r="C3507" s="217"/>
      <c r="D3507" s="217">
        <v>56</v>
      </c>
      <c r="E3507" s="203">
        <v>4</v>
      </c>
      <c r="F3507" s="149">
        <f t="shared" si="466"/>
        <v>60</v>
      </c>
      <c r="G3507" s="22" t="s">
        <v>7766</v>
      </c>
      <c r="H3507" s="1648" t="str">
        <f t="shared" si="465"/>
        <v>Gi1040</v>
      </c>
      <c r="I3507" s="434"/>
      <c r="J3507" s="435" t="s">
        <v>1798</v>
      </c>
      <c r="K3507" s="434" t="s">
        <v>741</v>
      </c>
    </row>
    <row r="3508" spans="1:11" s="33" customFormat="1">
      <c r="A3508" s="435"/>
      <c r="B3508" s="393" t="s">
        <v>327</v>
      </c>
      <c r="C3508" s="217"/>
      <c r="D3508" s="217">
        <v>56</v>
      </c>
      <c r="E3508" s="203">
        <v>4</v>
      </c>
      <c r="F3508" s="149">
        <f t="shared" si="466"/>
        <v>60</v>
      </c>
      <c r="G3508" s="22" t="s">
        <v>7767</v>
      </c>
      <c r="H3508" s="1648" t="str">
        <f t="shared" si="465"/>
        <v>Gi1050</v>
      </c>
      <c r="I3508" s="434"/>
      <c r="J3508" s="435" t="s">
        <v>1798</v>
      </c>
      <c r="K3508" s="434" t="s">
        <v>741</v>
      </c>
    </row>
    <row r="3509" spans="1:11" s="33" customFormat="1">
      <c r="A3509" s="435"/>
      <c r="B3509" s="393" t="s">
        <v>328</v>
      </c>
      <c r="C3509" s="217"/>
      <c r="D3509" s="217">
        <v>56</v>
      </c>
      <c r="E3509" s="203">
        <v>4</v>
      </c>
      <c r="F3509" s="149">
        <f t="shared" si="466"/>
        <v>60</v>
      </c>
      <c r="G3509" s="22" t="s">
        <v>7768</v>
      </c>
      <c r="H3509" s="1648" t="str">
        <f t="shared" si="465"/>
        <v>Gi1060</v>
      </c>
      <c r="I3509" s="434"/>
      <c r="J3509" s="435" t="s">
        <v>1798</v>
      </c>
      <c r="K3509" s="434" t="s">
        <v>741</v>
      </c>
    </row>
    <row r="3510" spans="1:11" s="33" customFormat="1">
      <c r="A3510" s="435"/>
      <c r="B3510" s="393" t="s">
        <v>329</v>
      </c>
      <c r="C3510" s="217"/>
      <c r="D3510" s="217">
        <v>64</v>
      </c>
      <c r="E3510" s="203">
        <v>4</v>
      </c>
      <c r="F3510" s="149">
        <f t="shared" si="466"/>
        <v>68</v>
      </c>
      <c r="G3510" s="22" t="s">
        <v>7769</v>
      </c>
      <c r="H3510" s="1648" t="str">
        <f t="shared" si="465"/>
        <v>Gi1070</v>
      </c>
      <c r="I3510" s="434"/>
      <c r="J3510" s="435" t="s">
        <v>1798</v>
      </c>
      <c r="K3510" s="434" t="s">
        <v>741</v>
      </c>
    </row>
    <row r="3511" spans="1:11" s="33" customFormat="1">
      <c r="A3511" s="435"/>
      <c r="B3511" s="393" t="s">
        <v>330</v>
      </c>
      <c r="C3511" s="217"/>
      <c r="D3511" s="217">
        <v>64</v>
      </c>
      <c r="E3511" s="203">
        <v>4</v>
      </c>
      <c r="F3511" s="149">
        <f t="shared" si="466"/>
        <v>68</v>
      </c>
      <c r="G3511" s="22" t="s">
        <v>7770</v>
      </c>
      <c r="H3511" s="1648" t="str">
        <f t="shared" si="465"/>
        <v>Gi1080</v>
      </c>
      <c r="I3511" s="434"/>
      <c r="J3511" s="435" t="s">
        <v>1798</v>
      </c>
      <c r="K3511" s="434" t="s">
        <v>741</v>
      </c>
    </row>
    <row r="3512" spans="1:11" s="33" customFormat="1">
      <c r="A3512" s="435"/>
      <c r="B3512" s="393" t="s">
        <v>331</v>
      </c>
      <c r="C3512" s="217"/>
      <c r="D3512" s="217">
        <v>64</v>
      </c>
      <c r="E3512" s="203">
        <v>4</v>
      </c>
      <c r="F3512" s="149">
        <f t="shared" si="466"/>
        <v>68</v>
      </c>
      <c r="G3512" s="22" t="s">
        <v>7771</v>
      </c>
      <c r="H3512" s="1648" t="str">
        <f t="shared" si="465"/>
        <v>Gi1090</v>
      </c>
      <c r="I3512" s="434"/>
      <c r="J3512" s="435" t="s">
        <v>1798</v>
      </c>
      <c r="K3512" s="434" t="s">
        <v>741</v>
      </c>
    </row>
    <row r="3513" spans="1:11" s="33" customFormat="1">
      <c r="A3513" s="435"/>
      <c r="B3513" s="393" t="s">
        <v>332</v>
      </c>
      <c r="C3513" s="217"/>
      <c r="D3513" s="217">
        <v>64</v>
      </c>
      <c r="E3513" s="203">
        <v>4</v>
      </c>
      <c r="F3513" s="149">
        <f t="shared" si="466"/>
        <v>68</v>
      </c>
      <c r="G3513" s="22" t="s">
        <v>7772</v>
      </c>
      <c r="H3513" s="1648" t="str">
        <f t="shared" si="465"/>
        <v>Gi1100</v>
      </c>
      <c r="I3513" s="434"/>
      <c r="J3513" s="435" t="s">
        <v>1798</v>
      </c>
      <c r="K3513" s="434" t="s">
        <v>741</v>
      </c>
    </row>
    <row r="3514" spans="1:11" s="33" customFormat="1">
      <c r="A3514" s="435"/>
      <c r="B3514" s="393"/>
      <c r="C3514" s="217"/>
      <c r="D3514" s="217"/>
      <c r="E3514" s="203"/>
      <c r="F3514" s="149"/>
      <c r="G3514" s="22"/>
      <c r="H3514" s="1648"/>
      <c r="I3514" s="434"/>
      <c r="J3514" s="435"/>
      <c r="K3514" s="434"/>
    </row>
    <row r="3515" spans="1:11" s="33" customFormat="1">
      <c r="A3515" s="435"/>
      <c r="B3515" s="394" t="s">
        <v>333</v>
      </c>
      <c r="C3515" s="217"/>
      <c r="D3515" s="217">
        <v>73</v>
      </c>
      <c r="E3515" s="203">
        <v>6</v>
      </c>
      <c r="F3515" s="149">
        <f t="shared" ref="F3515:F3524" si="467">D3515+E3515</f>
        <v>79</v>
      </c>
      <c r="G3515" s="22" t="s">
        <v>7773</v>
      </c>
      <c r="H3515" s="1648" t="str">
        <f t="shared" si="465"/>
        <v>Gi2015</v>
      </c>
      <c r="I3515" s="434"/>
      <c r="J3515" s="435" t="s">
        <v>1798</v>
      </c>
      <c r="K3515" s="434" t="s">
        <v>741</v>
      </c>
    </row>
    <row r="3516" spans="1:11" s="33" customFormat="1">
      <c r="A3516" s="435"/>
      <c r="B3516" s="394" t="s">
        <v>334</v>
      </c>
      <c r="C3516" s="217"/>
      <c r="D3516" s="217">
        <v>73</v>
      </c>
      <c r="E3516" s="203">
        <v>6</v>
      </c>
      <c r="F3516" s="149">
        <f t="shared" si="467"/>
        <v>79</v>
      </c>
      <c r="G3516" s="22" t="s">
        <v>7774</v>
      </c>
      <c r="H3516" s="1648" t="str">
        <f t="shared" si="465"/>
        <v>Gi2020</v>
      </c>
      <c r="I3516" s="434"/>
      <c r="J3516" s="435" t="s">
        <v>1798</v>
      </c>
      <c r="K3516" s="434" t="s">
        <v>741</v>
      </c>
    </row>
    <row r="3517" spans="1:11" s="33" customFormat="1">
      <c r="A3517" s="435"/>
      <c r="B3517" s="394" t="s">
        <v>335</v>
      </c>
      <c r="C3517" s="217"/>
      <c r="D3517" s="217">
        <v>73</v>
      </c>
      <c r="E3517" s="203">
        <v>6</v>
      </c>
      <c r="F3517" s="149">
        <f t="shared" si="467"/>
        <v>79</v>
      </c>
      <c r="G3517" s="22" t="s">
        <v>7775</v>
      </c>
      <c r="H3517" s="1648" t="str">
        <f t="shared" si="465"/>
        <v>Gi2030</v>
      </c>
      <c r="I3517" s="434"/>
      <c r="J3517" s="435" t="s">
        <v>1798</v>
      </c>
      <c r="K3517" s="434" t="s">
        <v>741</v>
      </c>
    </row>
    <row r="3518" spans="1:11" s="33" customFormat="1">
      <c r="A3518" s="435"/>
      <c r="B3518" s="394" t="s">
        <v>336</v>
      </c>
      <c r="C3518" s="217"/>
      <c r="D3518" s="217">
        <v>73</v>
      </c>
      <c r="E3518" s="203">
        <v>6</v>
      </c>
      <c r="F3518" s="149">
        <f t="shared" si="467"/>
        <v>79</v>
      </c>
      <c r="G3518" s="22" t="s">
        <v>7776</v>
      </c>
      <c r="H3518" s="1648" t="str">
        <f t="shared" si="465"/>
        <v>Gi2040</v>
      </c>
      <c r="I3518" s="434"/>
      <c r="J3518" s="435" t="s">
        <v>1798</v>
      </c>
      <c r="K3518" s="434" t="s">
        <v>741</v>
      </c>
    </row>
    <row r="3519" spans="1:11" s="33" customFormat="1">
      <c r="A3519" s="435"/>
      <c r="B3519" s="394" t="s">
        <v>337</v>
      </c>
      <c r="C3519" s="217"/>
      <c r="D3519" s="217">
        <v>73</v>
      </c>
      <c r="E3519" s="203">
        <v>6</v>
      </c>
      <c r="F3519" s="149">
        <f t="shared" si="467"/>
        <v>79</v>
      </c>
      <c r="G3519" s="22" t="s">
        <v>7777</v>
      </c>
      <c r="H3519" s="1648" t="str">
        <f t="shared" si="465"/>
        <v>Gi2050</v>
      </c>
      <c r="I3519" s="434"/>
      <c r="J3519" s="435" t="s">
        <v>1798</v>
      </c>
      <c r="K3519" s="434" t="s">
        <v>741</v>
      </c>
    </row>
    <row r="3520" spans="1:11" s="33" customFormat="1">
      <c r="A3520" s="435"/>
      <c r="B3520" s="394" t="s">
        <v>338</v>
      </c>
      <c r="C3520" s="217"/>
      <c r="D3520" s="217">
        <v>73</v>
      </c>
      <c r="E3520" s="203">
        <v>6</v>
      </c>
      <c r="F3520" s="149">
        <f t="shared" si="467"/>
        <v>79</v>
      </c>
      <c r="G3520" s="22" t="s">
        <v>7778</v>
      </c>
      <c r="H3520" s="1648" t="str">
        <f t="shared" si="465"/>
        <v>Gi2060</v>
      </c>
      <c r="I3520" s="434"/>
      <c r="J3520" s="435" t="s">
        <v>1798</v>
      </c>
      <c r="K3520" s="434" t="s">
        <v>741</v>
      </c>
    </row>
    <row r="3521" spans="1:11" s="33" customFormat="1">
      <c r="A3521" s="435"/>
      <c r="B3521" s="394" t="s">
        <v>339</v>
      </c>
      <c r="C3521" s="217"/>
      <c r="D3521" s="217">
        <v>84</v>
      </c>
      <c r="E3521" s="203">
        <v>6</v>
      </c>
      <c r="F3521" s="149">
        <f t="shared" si="467"/>
        <v>90</v>
      </c>
      <c r="G3521" s="22" t="s">
        <v>7779</v>
      </c>
      <c r="H3521" s="1648" t="str">
        <f t="shared" si="465"/>
        <v>Gi2070</v>
      </c>
      <c r="I3521" s="434"/>
      <c r="J3521" s="435" t="s">
        <v>1798</v>
      </c>
      <c r="K3521" s="434" t="s">
        <v>741</v>
      </c>
    </row>
    <row r="3522" spans="1:11" s="33" customFormat="1">
      <c r="A3522" s="435"/>
      <c r="B3522" s="394" t="s">
        <v>340</v>
      </c>
      <c r="C3522" s="217"/>
      <c r="D3522" s="217">
        <v>84</v>
      </c>
      <c r="E3522" s="203">
        <v>6</v>
      </c>
      <c r="F3522" s="149">
        <f t="shared" si="467"/>
        <v>90</v>
      </c>
      <c r="G3522" s="22" t="s">
        <v>7780</v>
      </c>
      <c r="H3522" s="1648" t="str">
        <f t="shared" si="465"/>
        <v>Gi2080</v>
      </c>
      <c r="I3522" s="434"/>
      <c r="J3522" s="435" t="s">
        <v>1798</v>
      </c>
      <c r="K3522" s="434" t="s">
        <v>741</v>
      </c>
    </row>
    <row r="3523" spans="1:11" s="33" customFormat="1">
      <c r="A3523" s="435"/>
      <c r="B3523" s="394" t="s">
        <v>341</v>
      </c>
      <c r="C3523" s="217"/>
      <c r="D3523" s="217">
        <v>84</v>
      </c>
      <c r="E3523" s="203">
        <v>6</v>
      </c>
      <c r="F3523" s="149">
        <f t="shared" si="467"/>
        <v>90</v>
      </c>
      <c r="G3523" s="22" t="s">
        <v>7781</v>
      </c>
      <c r="H3523" s="1648" t="str">
        <f t="shared" si="465"/>
        <v>Gi2090</v>
      </c>
      <c r="I3523" s="434"/>
      <c r="J3523" s="435" t="s">
        <v>1798</v>
      </c>
      <c r="K3523" s="434" t="s">
        <v>741</v>
      </c>
    </row>
    <row r="3524" spans="1:11" s="33" customFormat="1">
      <c r="A3524" s="435"/>
      <c r="B3524" s="394" t="s">
        <v>342</v>
      </c>
      <c r="C3524" s="217"/>
      <c r="D3524" s="217">
        <v>84</v>
      </c>
      <c r="E3524" s="203">
        <v>6</v>
      </c>
      <c r="F3524" s="149">
        <f t="shared" si="467"/>
        <v>90</v>
      </c>
      <c r="G3524" s="22" t="s">
        <v>7782</v>
      </c>
      <c r="H3524" s="1648" t="str">
        <f t="shared" si="465"/>
        <v>Gi2100</v>
      </c>
      <c r="I3524" s="434"/>
      <c r="J3524" s="435" t="s">
        <v>1798</v>
      </c>
      <c r="K3524" s="434" t="s">
        <v>741</v>
      </c>
    </row>
    <row r="3525" spans="1:11" s="33" customFormat="1">
      <c r="A3525" s="435"/>
      <c r="B3525" s="394"/>
      <c r="C3525" s="217"/>
      <c r="D3525" s="217"/>
      <c r="E3525" s="203"/>
      <c r="F3525" s="149"/>
      <c r="G3525" s="22"/>
      <c r="H3525" s="1648"/>
      <c r="I3525" s="434"/>
      <c r="J3525" s="435"/>
      <c r="K3525" s="434"/>
    </row>
    <row r="3526" spans="1:11" s="33" customFormat="1">
      <c r="A3526" s="435"/>
      <c r="B3526" s="394" t="s">
        <v>343</v>
      </c>
      <c r="C3526" s="217"/>
      <c r="D3526" s="1515">
        <v>250</v>
      </c>
      <c r="E3526" s="203">
        <v>6</v>
      </c>
      <c r="F3526" s="149">
        <f t="shared" ref="F3526:F3536" si="468">D3526+E3526</f>
        <v>256</v>
      </c>
      <c r="G3526" s="22" t="s">
        <v>7783</v>
      </c>
      <c r="H3526" s="1648" t="str">
        <f t="shared" si="465"/>
        <v>Gi3015</v>
      </c>
      <c r="I3526" s="434"/>
      <c r="J3526" s="435" t="s">
        <v>1798</v>
      </c>
      <c r="K3526" s="434" t="s">
        <v>741</v>
      </c>
    </row>
    <row r="3527" spans="1:11" s="33" customFormat="1">
      <c r="A3527" s="435"/>
      <c r="B3527" s="394" t="s">
        <v>344</v>
      </c>
      <c r="C3527" s="217"/>
      <c r="D3527" s="1515">
        <v>250</v>
      </c>
      <c r="E3527" s="203">
        <v>6</v>
      </c>
      <c r="F3527" s="149">
        <f t="shared" si="468"/>
        <v>256</v>
      </c>
      <c r="G3527" s="22" t="s">
        <v>7784</v>
      </c>
      <c r="H3527" s="1648" t="str">
        <f t="shared" si="465"/>
        <v>Gi3020</v>
      </c>
      <c r="I3527" s="434"/>
      <c r="J3527" s="435" t="s">
        <v>1798</v>
      </c>
      <c r="K3527" s="434" t="s">
        <v>741</v>
      </c>
    </row>
    <row r="3528" spans="1:11" s="33" customFormat="1">
      <c r="A3528" s="435"/>
      <c r="B3528" s="394" t="s">
        <v>345</v>
      </c>
      <c r="C3528" s="217"/>
      <c r="D3528" s="1515">
        <v>250</v>
      </c>
      <c r="E3528" s="203">
        <v>6</v>
      </c>
      <c r="F3528" s="149">
        <f t="shared" si="468"/>
        <v>256</v>
      </c>
      <c r="G3528" s="22" t="s">
        <v>7785</v>
      </c>
      <c r="H3528" s="1648" t="str">
        <f t="shared" si="465"/>
        <v>Gi3030</v>
      </c>
      <c r="I3528" s="434"/>
      <c r="J3528" s="435" t="s">
        <v>1798</v>
      </c>
      <c r="K3528" s="434" t="s">
        <v>741</v>
      </c>
    </row>
    <row r="3529" spans="1:11" s="33" customFormat="1">
      <c r="A3529" s="435"/>
      <c r="B3529" s="394" t="s">
        <v>346</v>
      </c>
      <c r="C3529" s="217"/>
      <c r="D3529" s="1515">
        <v>250</v>
      </c>
      <c r="E3529" s="203">
        <v>6</v>
      </c>
      <c r="F3529" s="149">
        <f t="shared" si="468"/>
        <v>256</v>
      </c>
      <c r="G3529" s="22" t="s">
        <v>7786</v>
      </c>
      <c r="H3529" s="1648" t="str">
        <f t="shared" si="465"/>
        <v>Gi3040</v>
      </c>
      <c r="I3529" s="434"/>
      <c r="J3529" s="435" t="s">
        <v>1798</v>
      </c>
      <c r="K3529" s="434" t="s">
        <v>741</v>
      </c>
    </row>
    <row r="3530" spans="1:11" s="33" customFormat="1">
      <c r="A3530" s="435"/>
      <c r="B3530" s="394" t="s">
        <v>347</v>
      </c>
      <c r="C3530" s="217"/>
      <c r="D3530" s="1515">
        <v>250</v>
      </c>
      <c r="E3530" s="203">
        <v>6</v>
      </c>
      <c r="F3530" s="149">
        <f t="shared" si="468"/>
        <v>256</v>
      </c>
      <c r="G3530" s="22" t="s">
        <v>7787</v>
      </c>
      <c r="H3530" s="1648" t="str">
        <f t="shared" si="465"/>
        <v>Gi3050</v>
      </c>
      <c r="I3530" s="434"/>
      <c r="J3530" s="435" t="s">
        <v>1798</v>
      </c>
      <c r="K3530" s="434" t="s">
        <v>741</v>
      </c>
    </row>
    <row r="3531" spans="1:11" s="33" customFormat="1">
      <c r="A3531" s="435"/>
      <c r="B3531" s="394" t="s">
        <v>348</v>
      </c>
      <c r="C3531" s="217"/>
      <c r="D3531" s="1515">
        <v>270</v>
      </c>
      <c r="E3531" s="203">
        <v>6</v>
      </c>
      <c r="F3531" s="149">
        <f t="shared" si="468"/>
        <v>276</v>
      </c>
      <c r="G3531" s="22" t="s">
        <v>7788</v>
      </c>
      <c r="H3531" s="1648" t="str">
        <f t="shared" si="465"/>
        <v>Gi3060</v>
      </c>
      <c r="I3531" s="434"/>
      <c r="J3531" s="435" t="s">
        <v>1798</v>
      </c>
      <c r="K3531" s="434" t="s">
        <v>741</v>
      </c>
    </row>
    <row r="3532" spans="1:11" s="33" customFormat="1">
      <c r="A3532" s="435"/>
      <c r="B3532" s="394" t="s">
        <v>349</v>
      </c>
      <c r="C3532" s="217"/>
      <c r="D3532" s="1515">
        <v>270</v>
      </c>
      <c r="E3532" s="203">
        <v>8</v>
      </c>
      <c r="F3532" s="149">
        <f t="shared" si="468"/>
        <v>278</v>
      </c>
      <c r="G3532" s="22" t="s">
        <v>7789</v>
      </c>
      <c r="H3532" s="1648" t="str">
        <f t="shared" si="465"/>
        <v>Gi3070</v>
      </c>
      <c r="I3532" s="434"/>
      <c r="J3532" s="435" t="s">
        <v>1798</v>
      </c>
      <c r="K3532" s="434" t="s">
        <v>741</v>
      </c>
    </row>
    <row r="3533" spans="1:11" s="33" customFormat="1">
      <c r="A3533" s="435"/>
      <c r="B3533" s="394" t="s">
        <v>350</v>
      </c>
      <c r="C3533" s="217"/>
      <c r="D3533" s="1515">
        <v>270</v>
      </c>
      <c r="E3533" s="203">
        <v>8</v>
      </c>
      <c r="F3533" s="149">
        <f t="shared" si="468"/>
        <v>278</v>
      </c>
      <c r="G3533" s="22" t="s">
        <v>7790</v>
      </c>
      <c r="H3533" s="1648" t="str">
        <f t="shared" si="465"/>
        <v>Gi3080</v>
      </c>
      <c r="I3533" s="434"/>
      <c r="J3533" s="435" t="s">
        <v>1798</v>
      </c>
      <c r="K3533" s="434" t="s">
        <v>741</v>
      </c>
    </row>
    <row r="3534" spans="1:11" s="33" customFormat="1">
      <c r="A3534" s="435"/>
      <c r="B3534" s="394" t="s">
        <v>351</v>
      </c>
      <c r="C3534" s="217"/>
      <c r="D3534" s="1515">
        <v>270</v>
      </c>
      <c r="E3534" s="203">
        <v>8</v>
      </c>
      <c r="F3534" s="149">
        <f t="shared" si="468"/>
        <v>278</v>
      </c>
      <c r="G3534" s="22" t="s">
        <v>7791</v>
      </c>
      <c r="H3534" s="1648" t="str">
        <f t="shared" si="465"/>
        <v>Gi3090</v>
      </c>
      <c r="I3534" s="434"/>
      <c r="J3534" s="435" t="s">
        <v>1798</v>
      </c>
      <c r="K3534" s="434" t="s">
        <v>741</v>
      </c>
    </row>
    <row r="3535" spans="1:11" s="33" customFormat="1">
      <c r="A3535" s="435"/>
      <c r="B3535" s="394" t="s">
        <v>352</v>
      </c>
      <c r="C3535" s="392"/>
      <c r="D3535" s="392">
        <v>280</v>
      </c>
      <c r="E3535" s="390">
        <v>8</v>
      </c>
      <c r="F3535" s="391">
        <f t="shared" si="468"/>
        <v>288</v>
      </c>
      <c r="G3535" s="22" t="s">
        <v>7792</v>
      </c>
      <c r="H3535" s="1648" t="str">
        <f t="shared" si="465"/>
        <v>Gi3100</v>
      </c>
      <c r="I3535" s="434"/>
      <c r="J3535" s="435" t="s">
        <v>1798</v>
      </c>
      <c r="K3535" s="434" t="s">
        <v>741</v>
      </c>
    </row>
    <row r="3536" spans="1:11" s="21" customFormat="1">
      <c r="A3536" s="435"/>
      <c r="B3536" s="394" t="s">
        <v>353</v>
      </c>
      <c r="C3536" s="217"/>
      <c r="D3536" s="1515">
        <v>280</v>
      </c>
      <c r="E3536" s="203">
        <v>16</v>
      </c>
      <c r="F3536" s="149">
        <f t="shared" si="468"/>
        <v>296</v>
      </c>
      <c r="G3536" s="22" t="s">
        <v>7793</v>
      </c>
      <c r="H3536" s="1648" t="str">
        <f t="shared" si="465"/>
        <v>Gi3125</v>
      </c>
      <c r="I3536" s="434"/>
      <c r="J3536" s="435" t="s">
        <v>1798</v>
      </c>
      <c r="K3536" s="434" t="s">
        <v>741</v>
      </c>
    </row>
    <row r="3537" spans="1:11" s="1517" customFormat="1">
      <c r="A3537" s="447"/>
      <c r="B3537" s="1516"/>
      <c r="C3537" s="217"/>
      <c r="D3537" s="217"/>
      <c r="E3537" s="407"/>
      <c r="F3537" s="157"/>
      <c r="G3537" s="410"/>
      <c r="H3537" s="473"/>
      <c r="I3537" s="454"/>
      <c r="J3537" s="447"/>
      <c r="K3537" s="454"/>
    </row>
    <row r="3538" spans="1:11" s="1517" customFormat="1">
      <c r="A3538" s="447"/>
      <c r="B3538" s="1516"/>
      <c r="C3538" s="217"/>
      <c r="D3538" s="217"/>
      <c r="E3538" s="407"/>
      <c r="F3538" s="157"/>
      <c r="G3538" s="22"/>
      <c r="H3538" s="473"/>
      <c r="I3538" s="454"/>
      <c r="J3538" s="447"/>
      <c r="K3538" s="454"/>
    </row>
    <row r="3539" spans="1:11" s="1517" customFormat="1">
      <c r="A3539" s="447"/>
      <c r="B3539" s="1516"/>
      <c r="C3539" s="217"/>
      <c r="D3539" s="217"/>
      <c r="E3539" s="407"/>
      <c r="F3539" s="157"/>
      <c r="G3539" s="22"/>
      <c r="H3539" s="473"/>
      <c r="I3539" s="454"/>
      <c r="J3539" s="447"/>
      <c r="K3539" s="454"/>
    </row>
    <row r="3540" spans="1:11" s="21" customFormat="1">
      <c r="A3540" s="433"/>
      <c r="B3540" s="368" t="s">
        <v>11719</v>
      </c>
      <c r="C3540" s="217"/>
      <c r="D3540" s="217">
        <v>1500</v>
      </c>
      <c r="E3540" s="203">
        <v>200</v>
      </c>
      <c r="F3540" s="149">
        <f>D3540+E3540</f>
        <v>1700</v>
      </c>
      <c r="G3540" s="22" t="s">
        <v>11720</v>
      </c>
      <c r="H3540" s="458" t="str">
        <f>B3540</f>
        <v>HMCP400R5</v>
      </c>
      <c r="I3540" s="454"/>
      <c r="J3540" s="102" t="s">
        <v>1798</v>
      </c>
      <c r="K3540" s="441"/>
    </row>
    <row r="3541" spans="1:11" s="21" customFormat="1">
      <c r="A3541" s="433"/>
      <c r="B3541" s="368" t="s">
        <v>11721</v>
      </c>
      <c r="C3541" s="217"/>
      <c r="D3541" s="217">
        <v>1600</v>
      </c>
      <c r="E3541" s="203">
        <v>200</v>
      </c>
      <c r="F3541" s="149">
        <f>D3541+E3541</f>
        <v>1800</v>
      </c>
      <c r="G3541" s="22" t="s">
        <v>11722</v>
      </c>
      <c r="H3541" s="458" t="str">
        <f>B3541</f>
        <v>HMCPK400</v>
      </c>
      <c r="I3541" s="454"/>
      <c r="J3541" s="102" t="s">
        <v>1798</v>
      </c>
      <c r="K3541" s="441"/>
    </row>
    <row r="3542" spans="1:11" s="21" customFormat="1">
      <c r="A3542" s="433"/>
      <c r="B3542" s="368" t="s">
        <v>11723</v>
      </c>
      <c r="C3542" s="217"/>
      <c r="D3542" s="217">
        <v>860</v>
      </c>
      <c r="E3542" s="203">
        <v>200</v>
      </c>
      <c r="F3542" s="149">
        <f>D3542+E3542</f>
        <v>1060</v>
      </c>
      <c r="G3542" s="22" t="s">
        <v>13628</v>
      </c>
      <c r="H3542" s="458" t="str">
        <f>B3542</f>
        <v>HMCPJ250</v>
      </c>
      <c r="I3542" s="454"/>
      <c r="J3542" s="102" t="s">
        <v>1798</v>
      </c>
      <c r="K3542" s="441"/>
    </row>
    <row r="3543" spans="1:11" s="1517" customFormat="1">
      <c r="A3543" s="447"/>
      <c r="B3543" s="368"/>
      <c r="C3543" s="217"/>
      <c r="D3543" s="217"/>
      <c r="E3543" s="407"/>
      <c r="F3543" s="157"/>
      <c r="G3543" s="22"/>
      <c r="H3543" s="139"/>
      <c r="I3543" s="454"/>
      <c r="J3543" s="102"/>
      <c r="K3543" s="911"/>
    </row>
    <row r="3544" spans="1:11" s="1517" customFormat="1">
      <c r="A3544" s="447"/>
      <c r="B3544" s="368"/>
      <c r="C3544" s="217"/>
      <c r="D3544" s="217"/>
      <c r="E3544" s="407"/>
      <c r="F3544" s="157"/>
      <c r="G3544" s="410"/>
      <c r="H3544" s="139"/>
      <c r="I3544" s="454"/>
      <c r="J3544" s="102"/>
      <c r="K3544" s="911"/>
    </row>
    <row r="3545" spans="1:11" s="1517" customFormat="1">
      <c r="A3545" s="447"/>
      <c r="B3545" s="1801" t="s">
        <v>11724</v>
      </c>
      <c r="C3545" s="217"/>
      <c r="D3545" s="217"/>
      <c r="E3545" s="407"/>
      <c r="F3545" s="157"/>
      <c r="G3545" s="410"/>
      <c r="H3545" s="139"/>
      <c r="I3545" s="454"/>
      <c r="J3545" s="102"/>
      <c r="K3545" s="911"/>
    </row>
    <row r="3546" spans="1:11" s="1517" customFormat="1">
      <c r="A3546" s="447"/>
      <c r="B3546" s="1802"/>
      <c r="C3546" s="217"/>
      <c r="D3546" s="217"/>
      <c r="E3546" s="407"/>
      <c r="F3546" s="157"/>
      <c r="G3546" s="410"/>
      <c r="H3546" s="139"/>
      <c r="I3546" s="454"/>
      <c r="J3546" s="102"/>
      <c r="K3546" s="911"/>
    </row>
    <row r="3547" spans="1:11" s="1517" customFormat="1">
      <c r="A3547" s="447"/>
      <c r="B3547" s="1803" t="s">
        <v>11725</v>
      </c>
      <c r="C3547" s="217"/>
      <c r="D3547" s="217"/>
      <c r="E3547" s="407"/>
      <c r="F3547" s="157"/>
      <c r="G3547" s="410"/>
      <c r="H3547" s="139"/>
      <c r="I3547" s="454"/>
      <c r="J3547" s="102"/>
      <c r="K3547" s="911"/>
    </row>
    <row r="3548" spans="1:11" s="1517" customFormat="1">
      <c r="A3548" s="447"/>
      <c r="B3548" s="368"/>
      <c r="C3548" s="217"/>
      <c r="D3548" s="217"/>
      <c r="E3548" s="407"/>
      <c r="F3548" s="157"/>
      <c r="G3548" s="410"/>
      <c r="H3548" s="139"/>
      <c r="I3548" s="454"/>
      <c r="J3548" s="102"/>
      <c r="K3548" s="911"/>
    </row>
    <row r="3549" spans="1:11" s="21" customFormat="1">
      <c r="A3549" s="1804"/>
      <c r="B3549" s="1805" t="s">
        <v>11726</v>
      </c>
      <c r="C3549" s="1407"/>
      <c r="D3549" s="1407">
        <v>5930</v>
      </c>
      <c r="E3549" s="203">
        <v>400</v>
      </c>
      <c r="F3549" s="149">
        <f>D3549+E3549</f>
        <v>6330</v>
      </c>
      <c r="G3549" s="186" t="s">
        <v>12262</v>
      </c>
      <c r="H3549" s="458" t="str">
        <f>B3549</f>
        <v>IZMX 1000(M)</v>
      </c>
      <c r="I3549" s="454"/>
      <c r="J3549" s="102" t="s">
        <v>1798</v>
      </c>
      <c r="K3549" s="441"/>
    </row>
    <row r="3550" spans="1:11">
      <c r="A3550" s="433"/>
      <c r="B3550" s="1805" t="s">
        <v>13629</v>
      </c>
      <c r="C3550" s="217"/>
      <c r="D3550" s="217">
        <v>6760</v>
      </c>
      <c r="E3550" s="203">
        <v>400</v>
      </c>
      <c r="F3550" s="149">
        <f t="shared" ref="F3550:F3559" si="469">D3550+E3550</f>
        <v>7160</v>
      </c>
      <c r="G3550" s="186" t="s">
        <v>13630</v>
      </c>
      <c r="H3550" s="458" t="str">
        <f t="shared" ref="H3550:H3559" si="470">B3550</f>
        <v>IZMX 1600(M)_42kA</v>
      </c>
      <c r="I3550" s="454"/>
      <c r="J3550" s="102" t="s">
        <v>1798</v>
      </c>
      <c r="K3550" s="441" t="s">
        <v>741</v>
      </c>
    </row>
    <row r="3551" spans="1:11">
      <c r="A3551" s="433"/>
      <c r="B3551" s="1805" t="s">
        <v>12263</v>
      </c>
      <c r="C3551" s="217"/>
      <c r="D3551" s="217">
        <v>8100</v>
      </c>
      <c r="E3551" s="203">
        <v>400</v>
      </c>
      <c r="F3551" s="149">
        <f t="shared" si="469"/>
        <v>8500</v>
      </c>
      <c r="G3551" s="186" t="s">
        <v>12264</v>
      </c>
      <c r="H3551" s="458" t="str">
        <f t="shared" si="470"/>
        <v>IZMX 2500(M)_55kA</v>
      </c>
      <c r="I3551" s="454"/>
      <c r="J3551" s="102" t="s">
        <v>1798</v>
      </c>
      <c r="K3551" s="441" t="s">
        <v>741</v>
      </c>
    </row>
    <row r="3552" spans="1:11">
      <c r="A3552" s="433"/>
      <c r="B3552" s="1805" t="s">
        <v>13631</v>
      </c>
      <c r="C3552" s="217"/>
      <c r="D3552" s="217">
        <v>9210</v>
      </c>
      <c r="E3552" s="203">
        <v>400</v>
      </c>
      <c r="F3552" s="149">
        <f t="shared" si="469"/>
        <v>9610</v>
      </c>
      <c r="G3552" s="186" t="s">
        <v>13632</v>
      </c>
      <c r="H3552" s="458" t="str">
        <f t="shared" si="470"/>
        <v>IZMX 2000(M)_55kA</v>
      </c>
      <c r="I3552" s="454"/>
      <c r="J3552" s="102" t="s">
        <v>1798</v>
      </c>
      <c r="K3552" s="441" t="s">
        <v>741</v>
      </c>
    </row>
    <row r="3553" spans="1:11">
      <c r="A3553" s="433"/>
      <c r="B3553" s="1805" t="s">
        <v>12265</v>
      </c>
      <c r="C3553" s="217"/>
      <c r="D3553" s="217">
        <v>7630</v>
      </c>
      <c r="E3553" s="203">
        <v>400</v>
      </c>
      <c r="F3553" s="149">
        <f t="shared" si="469"/>
        <v>8030</v>
      </c>
      <c r="G3553" s="186" t="s">
        <v>12266</v>
      </c>
      <c r="H3553" s="458" t="str">
        <f t="shared" si="470"/>
        <v>IZMX 2000_55kA</v>
      </c>
      <c r="I3553" s="454"/>
      <c r="J3553" s="102" t="s">
        <v>1798</v>
      </c>
      <c r="K3553" s="441" t="s">
        <v>741</v>
      </c>
    </row>
    <row r="3554" spans="1:11">
      <c r="A3554" s="433"/>
      <c r="B3554" s="1805" t="s">
        <v>13260</v>
      </c>
      <c r="C3554" s="217"/>
      <c r="D3554" s="217">
        <v>6900</v>
      </c>
      <c r="E3554" s="203">
        <v>400</v>
      </c>
      <c r="F3554" s="149">
        <f t="shared" si="469"/>
        <v>7300</v>
      </c>
      <c r="G3554" s="186" t="s">
        <v>13261</v>
      </c>
      <c r="H3554" s="458" t="str">
        <f t="shared" si="470"/>
        <v>IZMX 2000_85kA</v>
      </c>
      <c r="I3554" s="454"/>
      <c r="J3554" s="102" t="s">
        <v>1798</v>
      </c>
      <c r="K3554" s="441" t="s">
        <v>741</v>
      </c>
    </row>
    <row r="3555" spans="1:11">
      <c r="A3555" s="433"/>
      <c r="B3555" s="1805" t="s">
        <v>13633</v>
      </c>
      <c r="C3555" s="217"/>
      <c r="D3555" s="217">
        <v>9460</v>
      </c>
      <c r="E3555" s="203">
        <v>400</v>
      </c>
      <c r="F3555" s="149">
        <f t="shared" si="469"/>
        <v>9860</v>
      </c>
      <c r="G3555" s="186" t="s">
        <v>13634</v>
      </c>
      <c r="H3555" s="458" t="str">
        <f t="shared" si="470"/>
        <v>IZMX 1600_85kA_+bob cierre+bob aper+mot</v>
      </c>
      <c r="I3555" s="454"/>
      <c r="J3555" s="102" t="s">
        <v>1798</v>
      </c>
      <c r="K3555" s="441" t="s">
        <v>741</v>
      </c>
    </row>
    <row r="3556" spans="1:11">
      <c r="A3556" s="433"/>
      <c r="B3556" s="1805" t="s">
        <v>13635</v>
      </c>
      <c r="C3556" s="217"/>
      <c r="D3556" s="217">
        <v>9460</v>
      </c>
      <c r="E3556" s="203">
        <v>400</v>
      </c>
      <c r="F3556" s="149">
        <f t="shared" si="469"/>
        <v>9860</v>
      </c>
      <c r="G3556" s="186" t="s">
        <v>13636</v>
      </c>
      <c r="H3556" s="458" t="str">
        <f t="shared" si="470"/>
        <v>IZMX 2000_85kA_+bob cierre+bob aper+mot</v>
      </c>
      <c r="I3556" s="454"/>
      <c r="J3556" s="102" t="s">
        <v>1798</v>
      </c>
      <c r="K3556" s="441" t="s">
        <v>741</v>
      </c>
    </row>
    <row r="3557" spans="1:11">
      <c r="A3557" s="433"/>
      <c r="B3557" s="1805" t="s">
        <v>13262</v>
      </c>
      <c r="C3557" s="217"/>
      <c r="D3557" s="217">
        <v>9100</v>
      </c>
      <c r="E3557" s="203">
        <v>400</v>
      </c>
      <c r="F3557" s="149">
        <f t="shared" si="469"/>
        <v>9500</v>
      </c>
      <c r="G3557" s="186" t="s">
        <v>13261</v>
      </c>
      <c r="H3557" s="458" t="str">
        <f t="shared" si="470"/>
        <v>IZMX 2000_85kA_4p</v>
      </c>
      <c r="I3557" s="454"/>
      <c r="J3557" s="102" t="s">
        <v>1798</v>
      </c>
      <c r="K3557" s="441" t="s">
        <v>741</v>
      </c>
    </row>
    <row r="3558" spans="1:11">
      <c r="A3558" s="433"/>
      <c r="B3558" s="1805" t="s">
        <v>13403</v>
      </c>
      <c r="C3558" s="217"/>
      <c r="D3558" s="217">
        <v>10700</v>
      </c>
      <c r="E3558" s="203">
        <v>400</v>
      </c>
      <c r="F3558" s="149">
        <f t="shared" si="469"/>
        <v>11100</v>
      </c>
      <c r="G3558" s="186" t="s">
        <v>13404</v>
      </c>
      <c r="H3558" s="458" t="str">
        <f t="shared" si="470"/>
        <v>IZMX 2500_85kA_4p</v>
      </c>
      <c r="I3558" s="454"/>
      <c r="J3558" s="102" t="s">
        <v>1798</v>
      </c>
      <c r="K3558" s="441" t="s">
        <v>741</v>
      </c>
    </row>
    <row r="3559" spans="1:11">
      <c r="A3559" s="433"/>
      <c r="B3559" s="1805" t="s">
        <v>13263</v>
      </c>
      <c r="C3559" s="217"/>
      <c r="D3559" s="217">
        <v>10700</v>
      </c>
      <c r="E3559" s="203">
        <v>400</v>
      </c>
      <c r="F3559" s="149">
        <f t="shared" si="469"/>
        <v>11100</v>
      </c>
      <c r="G3559" s="186" t="s">
        <v>13264</v>
      </c>
      <c r="H3559" s="458" t="str">
        <f t="shared" si="470"/>
        <v>IZMX 4000_85kA</v>
      </c>
      <c r="I3559" s="454"/>
      <c r="J3559" s="102" t="s">
        <v>1798</v>
      </c>
      <c r="K3559" s="441" t="s">
        <v>741</v>
      </c>
    </row>
    <row r="3560" spans="1:11" s="185" customFormat="1">
      <c r="A3560" s="447"/>
      <c r="B3560" s="1805"/>
      <c r="C3560" s="217"/>
      <c r="D3560" s="217"/>
      <c r="E3560" s="407"/>
      <c r="F3560" s="157"/>
      <c r="G3560" s="186"/>
      <c r="H3560" s="139"/>
      <c r="I3560" s="454"/>
      <c r="J3560" s="102"/>
      <c r="K3560" s="911"/>
    </row>
    <row r="3561" spans="1:11">
      <c r="A3561" s="1492"/>
      <c r="B3561" s="1805" t="s">
        <v>13637</v>
      </c>
      <c r="C3561" s="217"/>
      <c r="D3561" s="217">
        <v>10530</v>
      </c>
      <c r="E3561" s="203">
        <v>400</v>
      </c>
      <c r="F3561" s="149">
        <f t="shared" ref="F3561" si="471">D3561+E3561</f>
        <v>10930</v>
      </c>
      <c r="G3561" s="186" t="s">
        <v>13638</v>
      </c>
      <c r="H3561" s="458" t="str">
        <f t="shared" ref="H3561" si="472">B3561</f>
        <v>IZMX 2500_66kA_+bob cierre+bob aper+mot</v>
      </c>
      <c r="I3561" s="454"/>
      <c r="J3561" s="102" t="s">
        <v>1798</v>
      </c>
      <c r="K3561" s="441" t="s">
        <v>741</v>
      </c>
    </row>
    <row r="3562" spans="1:11" s="185" customFormat="1">
      <c r="A3562" s="447"/>
      <c r="B3562" s="1805"/>
      <c r="C3562" s="217"/>
      <c r="D3562" s="217"/>
      <c r="E3562" s="407"/>
      <c r="F3562" s="157"/>
      <c r="G3562" s="186"/>
      <c r="H3562" s="139"/>
      <c r="I3562" s="454"/>
      <c r="J3562" s="102"/>
      <c r="K3562" s="911"/>
    </row>
    <row r="3563" spans="1:11">
      <c r="A3563" s="1492"/>
      <c r="B3563" s="1805" t="s">
        <v>13639</v>
      </c>
      <c r="C3563" s="217"/>
      <c r="D3563" s="217">
        <v>9340</v>
      </c>
      <c r="E3563" s="203">
        <v>400</v>
      </c>
      <c r="F3563" s="149">
        <f t="shared" ref="F3563" si="473">D3563+E3563</f>
        <v>9740</v>
      </c>
      <c r="G3563" s="186" t="s">
        <v>13640</v>
      </c>
      <c r="H3563" s="458" t="str">
        <f t="shared" ref="H3563" si="474">B3563</f>
        <v>IZMX 2000_66kA</v>
      </c>
      <c r="I3563" s="454"/>
      <c r="J3563" s="102" t="s">
        <v>1798</v>
      </c>
      <c r="K3563" s="441" t="s">
        <v>741</v>
      </c>
    </row>
    <row r="3564" spans="1:11">
      <c r="A3564" s="447"/>
      <c r="B3564" s="1805"/>
      <c r="C3564" s="217"/>
      <c r="D3564" s="217"/>
      <c r="E3564" s="203"/>
      <c r="F3564" s="149"/>
      <c r="G3564" s="186"/>
      <c r="H3564" s="458"/>
      <c r="I3564" s="454"/>
      <c r="J3564" s="102"/>
      <c r="K3564" s="441"/>
    </row>
    <row r="3565" spans="1:11">
      <c r="A3565" s="1492"/>
      <c r="B3565" s="1805" t="s">
        <v>12267</v>
      </c>
      <c r="C3565" s="217"/>
      <c r="D3565" s="217">
        <v>3270</v>
      </c>
      <c r="E3565" s="203">
        <v>400</v>
      </c>
      <c r="F3565" s="149">
        <f t="shared" ref="F3565" si="475">D3565+E3565</f>
        <v>3670</v>
      </c>
      <c r="G3565" s="186" t="s">
        <v>12268</v>
      </c>
      <c r="H3565" s="458" t="str">
        <f t="shared" ref="H3565" si="476">B3565</f>
        <v>ENCLAV_IZMX</v>
      </c>
      <c r="I3565" s="454"/>
      <c r="J3565" s="102" t="s">
        <v>1798</v>
      </c>
      <c r="K3565" s="441" t="s">
        <v>741</v>
      </c>
    </row>
    <row r="3566" spans="1:11">
      <c r="A3566" s="447"/>
      <c r="B3566" s="1805"/>
      <c r="C3566" s="217"/>
      <c r="D3566" s="217"/>
      <c r="E3566" s="203"/>
      <c r="F3566" s="149"/>
      <c r="G3566" s="186"/>
      <c r="H3566" s="458"/>
      <c r="I3566" s="454"/>
      <c r="J3566" s="102"/>
      <c r="K3566" s="441"/>
    </row>
    <row r="3567" spans="1:11" s="1517" customFormat="1">
      <c r="A3567" s="447"/>
      <c r="B3567" s="1516"/>
      <c r="C3567" s="217"/>
      <c r="D3567" s="217"/>
      <c r="E3567" s="407"/>
      <c r="F3567" s="157"/>
      <c r="G3567" s="22"/>
      <c r="H3567" s="473"/>
      <c r="I3567" s="454"/>
      <c r="J3567" s="447"/>
      <c r="K3567" s="454"/>
    </row>
    <row r="3568" spans="1:11" s="1517" customFormat="1">
      <c r="A3568" s="447"/>
      <c r="B3568" s="1803" t="s">
        <v>11727</v>
      </c>
      <c r="C3568" s="217"/>
      <c r="D3568" s="217"/>
      <c r="E3568" s="407"/>
      <c r="F3568" s="157"/>
      <c r="G3568" s="22"/>
      <c r="H3568" s="473"/>
      <c r="I3568" s="454"/>
      <c r="J3568" s="447"/>
      <c r="K3568" s="454"/>
    </row>
    <row r="3569" spans="1:11" s="21" customFormat="1">
      <c r="A3569" s="447"/>
      <c r="B3569" s="46"/>
      <c r="C3569" s="217"/>
      <c r="D3569" s="217"/>
      <c r="E3569" s="203"/>
      <c r="F3569" s="149"/>
      <c r="G3569" s="911"/>
      <c r="H3569" s="1671"/>
      <c r="I3569" s="441"/>
      <c r="J3569" s="440"/>
      <c r="K3569" s="441"/>
    </row>
    <row r="3570" spans="1:11" s="21" customFormat="1">
      <c r="A3570" s="433"/>
      <c r="B3570" s="1599" t="s">
        <v>7794</v>
      </c>
      <c r="C3570" s="217"/>
      <c r="D3570" s="217">
        <v>17810</v>
      </c>
      <c r="E3570" s="203">
        <v>500</v>
      </c>
      <c r="F3570" s="149">
        <f t="shared" ref="F3570:F3576" si="477">D3570+E3570</f>
        <v>18310</v>
      </c>
      <c r="G3570" s="186" t="s">
        <v>7795</v>
      </c>
      <c r="H3570" s="458" t="str">
        <f t="shared" ref="H3570:H3576" si="478">B3570</f>
        <v>MAGNUM 5000_85kA</v>
      </c>
      <c r="I3570" s="454"/>
      <c r="J3570" s="102" t="s">
        <v>1798</v>
      </c>
      <c r="K3570" s="441"/>
    </row>
    <row r="3571" spans="1:11" s="21" customFormat="1">
      <c r="A3571" s="433"/>
      <c r="B3571" s="1599" t="s">
        <v>7796</v>
      </c>
      <c r="C3571" s="217"/>
      <c r="D3571" s="217">
        <v>16560</v>
      </c>
      <c r="E3571" s="203">
        <v>500</v>
      </c>
      <c r="F3571" s="149">
        <f t="shared" si="477"/>
        <v>17060</v>
      </c>
      <c r="G3571" s="186" t="s">
        <v>7797</v>
      </c>
      <c r="H3571" s="458" t="str">
        <f t="shared" si="478"/>
        <v>MAGNUM 4000_85kA</v>
      </c>
      <c r="I3571" s="454"/>
      <c r="J3571" s="102" t="s">
        <v>1798</v>
      </c>
      <c r="K3571" s="441"/>
    </row>
    <row r="3572" spans="1:11">
      <c r="A3572" s="433"/>
      <c r="B3572" s="1599" t="s">
        <v>7798</v>
      </c>
      <c r="C3572" s="217"/>
      <c r="D3572" s="217">
        <v>12210</v>
      </c>
      <c r="E3572" s="203">
        <v>400</v>
      </c>
      <c r="F3572" s="149">
        <f t="shared" si="477"/>
        <v>12610</v>
      </c>
      <c r="G3572" s="186" t="s">
        <v>7799</v>
      </c>
      <c r="H3572" s="458" t="str">
        <f t="shared" si="478"/>
        <v>MAGNUM 3200(M)_65kA</v>
      </c>
      <c r="I3572" s="454"/>
      <c r="J3572" s="102" t="s">
        <v>1798</v>
      </c>
      <c r="K3572" s="441" t="s">
        <v>741</v>
      </c>
    </row>
    <row r="3573" spans="1:11">
      <c r="A3573" s="433"/>
      <c r="B3573" s="1599" t="s">
        <v>7800</v>
      </c>
      <c r="C3573" s="217"/>
      <c r="D3573" s="217">
        <v>10695</v>
      </c>
      <c r="E3573" s="203">
        <v>400</v>
      </c>
      <c r="F3573" s="149">
        <f t="shared" si="477"/>
        <v>11095</v>
      </c>
      <c r="G3573" s="186" t="s">
        <v>7801</v>
      </c>
      <c r="H3573" s="458" t="str">
        <f t="shared" si="478"/>
        <v>MAGNUM 2500(M)_65kA</v>
      </c>
      <c r="I3573" s="454"/>
      <c r="J3573" s="102" t="s">
        <v>1798</v>
      </c>
      <c r="K3573" s="441" t="s">
        <v>741</v>
      </c>
    </row>
    <row r="3574" spans="1:11">
      <c r="A3574" s="433"/>
      <c r="B3574" s="1519" t="s">
        <v>9600</v>
      </c>
      <c r="C3574" s="217"/>
      <c r="D3574" s="217">
        <v>8513.86</v>
      </c>
      <c r="E3574" s="407">
        <v>400</v>
      </c>
      <c r="F3574" s="157">
        <f t="shared" si="477"/>
        <v>8913.86</v>
      </c>
      <c r="G3574" s="186" t="s">
        <v>7803</v>
      </c>
      <c r="H3574" s="139" t="str">
        <f t="shared" si="478"/>
        <v>MAGNUM 2000()_50kA</v>
      </c>
      <c r="I3574" s="454"/>
      <c r="J3574" s="102" t="s">
        <v>1798</v>
      </c>
      <c r="K3574" s="441" t="s">
        <v>741</v>
      </c>
    </row>
    <row r="3575" spans="1:11">
      <c r="A3575" s="433"/>
      <c r="B3575" s="1599" t="s">
        <v>7802</v>
      </c>
      <c r="C3575" s="217"/>
      <c r="D3575" s="217">
        <v>9080</v>
      </c>
      <c r="E3575" s="203">
        <v>400</v>
      </c>
      <c r="F3575" s="149">
        <f t="shared" si="477"/>
        <v>9480</v>
      </c>
      <c r="G3575" s="186" t="s">
        <v>7803</v>
      </c>
      <c r="H3575" s="458" t="str">
        <f t="shared" si="478"/>
        <v>MAGNUM 2000_50kA</v>
      </c>
      <c r="I3575" s="454"/>
      <c r="J3575" s="102" t="s">
        <v>1798</v>
      </c>
      <c r="K3575" s="441" t="s">
        <v>741</v>
      </c>
    </row>
    <row r="3576" spans="1:11" s="21" customFormat="1">
      <c r="A3576" s="433"/>
      <c r="B3576" s="1599" t="s">
        <v>7804</v>
      </c>
      <c r="C3576" s="1407"/>
      <c r="D3576" s="1407">
        <v>9980</v>
      </c>
      <c r="E3576" s="203">
        <v>400</v>
      </c>
      <c r="F3576" s="149">
        <f t="shared" si="477"/>
        <v>10380</v>
      </c>
      <c r="G3576" s="186" t="s">
        <v>7805</v>
      </c>
      <c r="H3576" s="458" t="str">
        <f t="shared" si="478"/>
        <v>MAGNUM 1600(M)_50kA</v>
      </c>
      <c r="I3576" s="454"/>
      <c r="J3576" s="102" t="s">
        <v>1798</v>
      </c>
      <c r="K3576" s="441"/>
    </row>
    <row r="3577" spans="1:11" s="1517" customFormat="1">
      <c r="A3577" s="447"/>
      <c r="B3577" s="1519"/>
      <c r="C3577" s="217"/>
      <c r="D3577" s="217"/>
      <c r="E3577" s="407"/>
      <c r="F3577" s="157"/>
      <c r="G3577" s="186"/>
      <c r="H3577" s="139"/>
      <c r="I3577" s="454"/>
      <c r="J3577" s="102"/>
      <c r="K3577" s="911"/>
    </row>
    <row r="3578" spans="1:11">
      <c r="A3578" s="433"/>
      <c r="B3578" s="1519" t="s">
        <v>9601</v>
      </c>
      <c r="C3578" s="217"/>
      <c r="D3578" s="217">
        <v>11421</v>
      </c>
      <c r="E3578" s="407">
        <v>400</v>
      </c>
      <c r="F3578" s="157">
        <f>D3578+E3578</f>
        <v>11821</v>
      </c>
      <c r="G3578" s="186" t="s">
        <v>9602</v>
      </c>
      <c r="H3578" s="139" t="str">
        <f>B3578</f>
        <v>MAGNUM 2000()_4P_50kA</v>
      </c>
      <c r="I3578" s="454"/>
      <c r="J3578" s="102" t="s">
        <v>1798</v>
      </c>
      <c r="K3578" s="441" t="s">
        <v>741</v>
      </c>
    </row>
    <row r="3579" spans="1:11">
      <c r="A3579" s="447"/>
      <c r="B3579" s="1519"/>
      <c r="C3579" s="217"/>
      <c r="D3579" s="217"/>
      <c r="E3579" s="407"/>
      <c r="F3579" s="157"/>
      <c r="G3579" s="186"/>
      <c r="H3579" s="139"/>
      <c r="I3579" s="454"/>
      <c r="J3579" s="102"/>
      <c r="K3579" s="441"/>
    </row>
    <row r="3580" spans="1:11">
      <c r="A3580" s="447"/>
      <c r="B3580" s="1519"/>
      <c r="C3580" s="217"/>
      <c r="D3580" s="217"/>
      <c r="E3580" s="407"/>
      <c r="F3580" s="157"/>
      <c r="G3580" s="186"/>
      <c r="H3580" s="139"/>
      <c r="I3580" s="454"/>
      <c r="J3580" s="102"/>
      <c r="K3580" s="441"/>
    </row>
    <row r="3581" spans="1:11">
      <c r="A3581" s="1618"/>
      <c r="B3581" s="1519" t="s">
        <v>9729</v>
      </c>
      <c r="C3581" s="217"/>
      <c r="D3581" s="217">
        <v>19593</v>
      </c>
      <c r="E3581" s="407">
        <v>400</v>
      </c>
      <c r="F3581" s="157">
        <f>D3581+E3581</f>
        <v>19993</v>
      </c>
      <c r="G3581" s="186" t="s">
        <v>9730</v>
      </c>
      <c r="H3581" s="1681" t="str">
        <f>B3581</f>
        <v>MAGNUM 3200(M)_4P_65kA</v>
      </c>
      <c r="I3581" s="454"/>
      <c r="J3581" s="102" t="s">
        <v>1798</v>
      </c>
      <c r="K3581" s="441" t="s">
        <v>741</v>
      </c>
    </row>
    <row r="3582" spans="1:11">
      <c r="A3582" s="1618"/>
      <c r="B3582" s="1519" t="s">
        <v>9731</v>
      </c>
      <c r="C3582" s="217"/>
      <c r="D3582" s="217">
        <v>11750</v>
      </c>
      <c r="E3582" s="407">
        <v>400</v>
      </c>
      <c r="F3582" s="157">
        <f>D3582+E3582</f>
        <v>12150</v>
      </c>
      <c r="G3582" s="186" t="s">
        <v>9732</v>
      </c>
      <c r="H3582" s="1681" t="str">
        <f>B3582</f>
        <v>MAGNUM 2000(M)_3P_50kA</v>
      </c>
      <c r="I3582" s="454"/>
      <c r="J3582" s="102" t="s">
        <v>1798</v>
      </c>
      <c r="K3582" s="441" t="s">
        <v>741</v>
      </c>
    </row>
    <row r="3583" spans="1:11">
      <c r="A3583" s="1618"/>
      <c r="B3583" s="1519" t="s">
        <v>9733</v>
      </c>
      <c r="C3583" s="217"/>
      <c r="D3583" s="217">
        <v>10390</v>
      </c>
      <c r="E3583" s="407">
        <v>400</v>
      </c>
      <c r="F3583" s="157">
        <f>D3583+E3583</f>
        <v>10790</v>
      </c>
      <c r="G3583" s="186" t="s">
        <v>9734</v>
      </c>
      <c r="H3583" s="1681" t="str">
        <f>B3583</f>
        <v>MAGNUM 1600(M)_3P_50kA</v>
      </c>
      <c r="I3583" s="454"/>
      <c r="J3583" s="102" t="s">
        <v>1798</v>
      </c>
      <c r="K3583" s="441" t="s">
        <v>741</v>
      </c>
    </row>
    <row r="3584" spans="1:11">
      <c r="A3584" s="1618"/>
      <c r="B3584" s="1599" t="s">
        <v>9735</v>
      </c>
      <c r="C3584" s="217"/>
      <c r="D3584" s="217">
        <v>11590</v>
      </c>
      <c r="E3584" s="203">
        <v>400</v>
      </c>
      <c r="F3584" s="149">
        <f t="shared" ref="F3584" si="479">D3584+E3584</f>
        <v>11990</v>
      </c>
      <c r="G3584" s="186" t="s">
        <v>9736</v>
      </c>
      <c r="H3584" s="1681" t="str">
        <f t="shared" ref="H3584" si="480">B3584</f>
        <v xml:space="preserve">MAGNUM 2000_4P_50kA   </v>
      </c>
      <c r="I3584" s="454"/>
      <c r="J3584" s="102" t="s">
        <v>1798</v>
      </c>
      <c r="K3584" s="441" t="s">
        <v>741</v>
      </c>
    </row>
    <row r="3585" spans="1:11">
      <c r="A3585" s="447"/>
      <c r="B3585" s="1519"/>
      <c r="C3585" s="217"/>
      <c r="D3585" s="217"/>
      <c r="E3585" s="407"/>
      <c r="F3585" s="157"/>
      <c r="G3585" s="186"/>
      <c r="H3585" s="139"/>
      <c r="I3585" s="454"/>
      <c r="J3585" s="102"/>
      <c r="K3585" s="441"/>
    </row>
    <row r="3586" spans="1:11" s="1517" customFormat="1">
      <c r="A3586" s="447"/>
      <c r="B3586" s="1519"/>
      <c r="C3586" s="217"/>
      <c r="D3586" s="217"/>
      <c r="E3586" s="407"/>
      <c r="F3586" s="157"/>
      <c r="G3586" s="186"/>
      <c r="H3586" s="139"/>
      <c r="I3586" s="454"/>
      <c r="J3586" s="102"/>
      <c r="K3586" s="911"/>
    </row>
    <row r="3587" spans="1:11" s="21" customFormat="1">
      <c r="A3587" s="1406"/>
      <c r="B3587" s="1518" t="s">
        <v>459</v>
      </c>
      <c r="C3587" s="1407"/>
      <c r="D3587" s="1407">
        <v>15410</v>
      </c>
      <c r="E3587" s="203">
        <v>500</v>
      </c>
      <c r="F3587" s="149">
        <f t="shared" ref="F3587:F3596" si="481">D3587+E3587</f>
        <v>15910</v>
      </c>
      <c r="G3587" s="186" t="s">
        <v>7806</v>
      </c>
      <c r="H3587" s="458" t="s">
        <v>5911</v>
      </c>
      <c r="I3587" s="454"/>
      <c r="J3587" s="102" t="s">
        <v>1798</v>
      </c>
      <c r="K3587" s="441"/>
    </row>
    <row r="3588" spans="1:11" s="21" customFormat="1">
      <c r="A3588" s="435"/>
      <c r="B3588" s="1518" t="s">
        <v>354</v>
      </c>
      <c r="C3588" s="341"/>
      <c r="D3588" s="341">
        <v>9390</v>
      </c>
      <c r="E3588" s="203">
        <v>500</v>
      </c>
      <c r="F3588" s="149">
        <f t="shared" si="481"/>
        <v>9890</v>
      </c>
      <c r="G3588" s="186" t="s">
        <v>7807</v>
      </c>
      <c r="H3588" s="458" t="str">
        <f t="shared" ref="H3588:H3596" si="482">B3588</f>
        <v>MAGNUM 3200</v>
      </c>
      <c r="I3588" s="454"/>
      <c r="J3588" s="102" t="s">
        <v>1798</v>
      </c>
      <c r="K3588" s="441"/>
    </row>
    <row r="3589" spans="1:11" s="21" customFormat="1">
      <c r="A3589" s="435"/>
      <c r="B3589" s="1518" t="s">
        <v>1797</v>
      </c>
      <c r="C3589" s="341"/>
      <c r="D3589" s="341">
        <v>11210</v>
      </c>
      <c r="E3589" s="203">
        <v>500</v>
      </c>
      <c r="F3589" s="149">
        <f t="shared" si="481"/>
        <v>11710</v>
      </c>
      <c r="G3589" s="186" t="s">
        <v>7808</v>
      </c>
      <c r="H3589" s="458" t="str">
        <f t="shared" si="482"/>
        <v>MAGNUM 3000</v>
      </c>
      <c r="I3589" s="454"/>
      <c r="J3589" s="102" t="s">
        <v>1798</v>
      </c>
      <c r="K3589" s="441" t="s">
        <v>741</v>
      </c>
    </row>
    <row r="3590" spans="1:11">
      <c r="A3590" s="1406"/>
      <c r="B3590" s="1518" t="s">
        <v>7809</v>
      </c>
      <c r="C3590" s="217"/>
      <c r="D3590" s="217">
        <v>10810</v>
      </c>
      <c r="E3590" s="203">
        <v>400</v>
      </c>
      <c r="F3590" s="149">
        <f>D3590+E3590</f>
        <v>11210</v>
      </c>
      <c r="G3590" s="186" t="s">
        <v>7810</v>
      </c>
      <c r="H3590" s="458" t="str">
        <f>B3590</f>
        <v>MAGNUM 2500</v>
      </c>
      <c r="I3590" s="454"/>
      <c r="J3590" s="102" t="s">
        <v>1798</v>
      </c>
      <c r="K3590" s="441" t="s">
        <v>741</v>
      </c>
    </row>
    <row r="3591" spans="1:11">
      <c r="A3591" s="1406"/>
      <c r="B3591" s="1518" t="s">
        <v>7811</v>
      </c>
      <c r="C3591" s="217"/>
      <c r="D3591" s="217">
        <v>10400</v>
      </c>
      <c r="E3591" s="203">
        <v>400</v>
      </c>
      <c r="F3591" s="149">
        <f>D3591+E3591</f>
        <v>10800</v>
      </c>
      <c r="G3591" s="186" t="s">
        <v>7812</v>
      </c>
      <c r="H3591" s="458" t="str">
        <f>B3591</f>
        <v>MAGNUM 2000(M)</v>
      </c>
      <c r="I3591" s="454"/>
      <c r="J3591" s="102" t="s">
        <v>1798</v>
      </c>
      <c r="K3591" s="441" t="s">
        <v>741</v>
      </c>
    </row>
    <row r="3592" spans="1:11">
      <c r="A3592" s="1406"/>
      <c r="B3592" s="1518" t="s">
        <v>355</v>
      </c>
      <c r="C3592" s="217"/>
      <c r="D3592" s="217">
        <v>9100</v>
      </c>
      <c r="E3592" s="203">
        <v>400</v>
      </c>
      <c r="F3592" s="149">
        <f t="shared" si="481"/>
        <v>9500</v>
      </c>
      <c r="G3592" s="186" t="s">
        <v>7813</v>
      </c>
      <c r="H3592" s="458" t="str">
        <f t="shared" si="482"/>
        <v>MAGNUM 2000</v>
      </c>
      <c r="I3592" s="454"/>
      <c r="J3592" s="102" t="s">
        <v>1798</v>
      </c>
      <c r="K3592" s="441" t="s">
        <v>741</v>
      </c>
    </row>
    <row r="3593" spans="1:11">
      <c r="A3593" s="1406"/>
      <c r="B3593" s="1518" t="s">
        <v>7814</v>
      </c>
      <c r="C3593" s="217"/>
      <c r="D3593" s="217">
        <v>8650</v>
      </c>
      <c r="E3593" s="203">
        <v>400</v>
      </c>
      <c r="F3593" s="149">
        <f>D3593+E3593</f>
        <v>9050</v>
      </c>
      <c r="G3593" s="186" t="s">
        <v>7815</v>
      </c>
      <c r="H3593" s="458" t="str">
        <f>B3593</f>
        <v>MAGNUM 2000-LSIG</v>
      </c>
      <c r="I3593" s="454"/>
      <c r="J3593" s="102" t="s">
        <v>1798</v>
      </c>
      <c r="K3593" s="441" t="s">
        <v>741</v>
      </c>
    </row>
    <row r="3594" spans="1:11" s="21" customFormat="1">
      <c r="A3594" s="1406"/>
      <c r="B3594" s="1518" t="s">
        <v>356</v>
      </c>
      <c r="C3594" s="1407"/>
      <c r="D3594" s="1407">
        <v>9100</v>
      </c>
      <c r="E3594" s="203">
        <v>400</v>
      </c>
      <c r="F3594" s="149">
        <f t="shared" si="481"/>
        <v>9500</v>
      </c>
      <c r="G3594" s="186" t="s">
        <v>7816</v>
      </c>
      <c r="H3594" s="458" t="str">
        <f t="shared" si="482"/>
        <v>MAGNUM 1600</v>
      </c>
      <c r="I3594" s="454"/>
      <c r="J3594" s="102" t="s">
        <v>1798</v>
      </c>
      <c r="K3594" s="441"/>
    </row>
    <row r="3595" spans="1:11" s="21" customFormat="1">
      <c r="A3595" s="1406"/>
      <c r="B3595" s="1518" t="s">
        <v>7817</v>
      </c>
      <c r="C3595" s="1407"/>
      <c r="D3595" s="1407">
        <v>10569</v>
      </c>
      <c r="E3595" s="203">
        <v>400</v>
      </c>
      <c r="F3595" s="149">
        <f>D3595+E3595</f>
        <v>10969</v>
      </c>
      <c r="G3595" s="186" t="s">
        <v>7818</v>
      </c>
      <c r="H3595" s="458" t="str">
        <f>B3595</f>
        <v>MAGNUM 1600(M)</v>
      </c>
      <c r="I3595" s="454"/>
      <c r="J3595" s="102" t="s">
        <v>1798</v>
      </c>
      <c r="K3595" s="441"/>
    </row>
    <row r="3596" spans="1:11" s="21" customFormat="1">
      <c r="A3596" s="440"/>
      <c r="B3596" s="1518" t="s">
        <v>357</v>
      </c>
      <c r="C3596" s="341"/>
      <c r="D3596" s="341">
        <v>5000</v>
      </c>
      <c r="E3596" s="203">
        <v>400</v>
      </c>
      <c r="F3596" s="149">
        <f t="shared" si="481"/>
        <v>5400</v>
      </c>
      <c r="G3596" s="186" t="s">
        <v>7819</v>
      </c>
      <c r="H3596" s="458" t="str">
        <f t="shared" si="482"/>
        <v>MAGNUM 1250</v>
      </c>
      <c r="I3596" s="454"/>
      <c r="J3596" s="102" t="s">
        <v>1798</v>
      </c>
      <c r="K3596" s="441"/>
    </row>
    <row r="3597" spans="1:11" s="21" customFormat="1">
      <c r="A3597" s="440"/>
      <c r="B3597" s="1518" t="s">
        <v>7820</v>
      </c>
      <c r="C3597" s="341"/>
      <c r="D3597" s="341">
        <v>3200</v>
      </c>
      <c r="E3597" s="203">
        <v>400</v>
      </c>
      <c r="F3597" s="149">
        <f>D3597+E3597</f>
        <v>3600</v>
      </c>
      <c r="G3597" s="186" t="s">
        <v>7821</v>
      </c>
      <c r="H3597" s="458" t="str">
        <f>B3597</f>
        <v>MAGNUM 1000</v>
      </c>
      <c r="I3597" s="454"/>
      <c r="J3597" s="102" t="s">
        <v>1798</v>
      </c>
      <c r="K3597" s="441"/>
    </row>
    <row r="3598" spans="1:11" s="21" customFormat="1">
      <c r="A3598" s="440"/>
      <c r="B3598" s="46"/>
      <c r="C3598" s="217"/>
      <c r="D3598" s="217"/>
      <c r="E3598" s="203"/>
      <c r="F3598" s="149"/>
      <c r="G3598" s="911"/>
      <c r="H3598" s="1671"/>
      <c r="I3598" s="441"/>
      <c r="J3598" s="440"/>
      <c r="K3598" s="441"/>
    </row>
    <row r="3599" spans="1:11" s="33" customFormat="1">
      <c r="A3599" s="367"/>
      <c r="B3599" s="54"/>
      <c r="C3599" s="217"/>
      <c r="D3599" s="217"/>
      <c r="E3599" s="203"/>
      <c r="F3599" s="149"/>
      <c r="G3599" s="22"/>
      <c r="H3599" s="1648"/>
      <c r="I3599" s="434"/>
      <c r="J3599" s="367"/>
      <c r="K3599" s="434"/>
    </row>
    <row r="3600" spans="1:11" s="33" customFormat="1">
      <c r="A3600" s="367"/>
      <c r="B3600" s="54"/>
      <c r="C3600" s="217"/>
      <c r="D3600" s="217"/>
      <c r="E3600" s="203"/>
      <c r="F3600" s="149"/>
      <c r="G3600" s="22"/>
      <c r="H3600" s="1648"/>
      <c r="I3600" s="434"/>
      <c r="J3600" s="367"/>
      <c r="K3600" s="434"/>
    </row>
    <row r="3601" spans="1:11" s="33" customFormat="1">
      <c r="A3601" s="445"/>
      <c r="B3601" s="55" t="s">
        <v>384</v>
      </c>
      <c r="C3601" s="217"/>
      <c r="D3601" s="217"/>
      <c r="E3601" s="203"/>
      <c r="F3601" s="149"/>
      <c r="G3601" s="434"/>
      <c r="H3601" s="1648"/>
      <c r="I3601" s="434"/>
      <c r="J3601" s="445"/>
      <c r="K3601" s="434"/>
    </row>
    <row r="3602" spans="1:11" s="33" customFormat="1">
      <c r="A3602" s="443"/>
      <c r="B3602" s="56" t="s">
        <v>703</v>
      </c>
      <c r="C3602" s="217"/>
      <c r="D3602" s="217">
        <v>6.4</v>
      </c>
      <c r="E3602" s="203">
        <v>0</v>
      </c>
      <c r="F3602" s="149">
        <f t="shared" ref="F3602:F3608" si="483">D3602+E3602</f>
        <v>6.4</v>
      </c>
      <c r="G3602" s="22" t="s">
        <v>7822</v>
      </c>
      <c r="H3602" s="1648" t="str">
        <f>B3602</f>
        <v>BR115</v>
      </c>
      <c r="I3602" s="434"/>
      <c r="J3602" s="102" t="s">
        <v>1798</v>
      </c>
      <c r="K3602" s="434"/>
    </row>
    <row r="3603" spans="1:11" s="33" customFormat="1">
      <c r="A3603" s="443"/>
      <c r="B3603" s="56" t="s">
        <v>704</v>
      </c>
      <c r="C3603" s="217"/>
      <c r="D3603" s="217">
        <v>6.4</v>
      </c>
      <c r="E3603" s="203">
        <v>0</v>
      </c>
      <c r="F3603" s="149">
        <f t="shared" si="483"/>
        <v>6.4</v>
      </c>
      <c r="G3603" s="22" t="s">
        <v>7823</v>
      </c>
      <c r="H3603" s="1648" t="str">
        <f t="shared" ref="H3603:H3669" si="484">B3603</f>
        <v>BR120</v>
      </c>
      <c r="I3603" s="434"/>
      <c r="J3603" s="102" t="s">
        <v>1798</v>
      </c>
      <c r="K3603" s="434"/>
    </row>
    <row r="3604" spans="1:11" s="33" customFormat="1">
      <c r="A3604" s="443"/>
      <c r="B3604" s="56" t="s">
        <v>705</v>
      </c>
      <c r="C3604" s="217"/>
      <c r="D3604" s="217">
        <v>6.4</v>
      </c>
      <c r="E3604" s="203">
        <v>0</v>
      </c>
      <c r="F3604" s="149">
        <f t="shared" si="483"/>
        <v>6.4</v>
      </c>
      <c r="G3604" s="22" t="s">
        <v>7824</v>
      </c>
      <c r="H3604" s="1648" t="str">
        <f t="shared" si="484"/>
        <v>BR130</v>
      </c>
      <c r="I3604" s="434"/>
      <c r="J3604" s="102" t="s">
        <v>1798</v>
      </c>
      <c r="K3604" s="434"/>
    </row>
    <row r="3605" spans="1:11" s="33" customFormat="1">
      <c r="A3605" s="443"/>
      <c r="B3605" s="56" t="s">
        <v>706</v>
      </c>
      <c r="C3605" s="217"/>
      <c r="D3605" s="217">
        <v>6.4</v>
      </c>
      <c r="E3605" s="203">
        <v>0</v>
      </c>
      <c r="F3605" s="149">
        <f t="shared" si="483"/>
        <v>6.4</v>
      </c>
      <c r="G3605" s="22" t="s">
        <v>7825</v>
      </c>
      <c r="H3605" s="1648" t="str">
        <f t="shared" si="484"/>
        <v>BR140</v>
      </c>
      <c r="I3605" s="434"/>
      <c r="J3605" s="102" t="s">
        <v>1798</v>
      </c>
      <c r="K3605" s="434"/>
    </row>
    <row r="3606" spans="1:11" s="33" customFormat="1">
      <c r="A3606" s="443"/>
      <c r="B3606" s="56" t="s">
        <v>707</v>
      </c>
      <c r="C3606" s="217"/>
      <c r="D3606" s="217">
        <v>6.4</v>
      </c>
      <c r="E3606" s="203">
        <v>0</v>
      </c>
      <c r="F3606" s="149">
        <f t="shared" si="483"/>
        <v>6.4</v>
      </c>
      <c r="G3606" s="22" t="s">
        <v>7826</v>
      </c>
      <c r="H3606" s="1648" t="str">
        <f t="shared" si="484"/>
        <v>BR150</v>
      </c>
      <c r="I3606" s="434"/>
      <c r="J3606" s="102" t="s">
        <v>1798</v>
      </c>
      <c r="K3606" s="434"/>
    </row>
    <row r="3607" spans="1:11" s="33" customFormat="1">
      <c r="A3607" s="443"/>
      <c r="B3607" s="56" t="s">
        <v>708</v>
      </c>
      <c r="C3607" s="217"/>
      <c r="D3607" s="217">
        <v>10.4</v>
      </c>
      <c r="E3607" s="203">
        <v>0</v>
      </c>
      <c r="F3607" s="149">
        <f t="shared" si="483"/>
        <v>10.4</v>
      </c>
      <c r="G3607" s="22" t="s">
        <v>7827</v>
      </c>
      <c r="H3607" s="1648" t="str">
        <f t="shared" si="484"/>
        <v>BR160</v>
      </c>
      <c r="I3607" s="434"/>
      <c r="J3607" s="102" t="s">
        <v>1798</v>
      </c>
      <c r="K3607" s="434"/>
    </row>
    <row r="3608" spans="1:11" s="33" customFormat="1">
      <c r="A3608" s="443"/>
      <c r="B3608" s="56" t="s">
        <v>709</v>
      </c>
      <c r="C3608" s="217"/>
      <c r="D3608" s="217">
        <v>10.4</v>
      </c>
      <c r="E3608" s="203">
        <v>0</v>
      </c>
      <c r="F3608" s="149">
        <f t="shared" si="483"/>
        <v>10.4</v>
      </c>
      <c r="G3608" s="22" t="s">
        <v>7828</v>
      </c>
      <c r="H3608" s="1648" t="str">
        <f t="shared" si="484"/>
        <v>BR170</v>
      </c>
      <c r="I3608" s="434"/>
      <c r="J3608" s="102" t="s">
        <v>1798</v>
      </c>
      <c r="K3608" s="434"/>
    </row>
    <row r="3609" spans="1:11" s="33" customFormat="1">
      <c r="A3609" s="435"/>
      <c r="B3609" s="56"/>
      <c r="C3609" s="217"/>
      <c r="D3609" s="217"/>
      <c r="E3609" s="203"/>
      <c r="F3609" s="149"/>
      <c r="G3609" s="22"/>
      <c r="H3609" s="1648"/>
      <c r="I3609" s="434"/>
      <c r="J3609" s="435"/>
      <c r="K3609" s="434"/>
    </row>
    <row r="3610" spans="1:11" s="33" customFormat="1">
      <c r="A3610" s="443"/>
      <c r="B3610" s="56" t="s">
        <v>141</v>
      </c>
      <c r="C3610" s="217"/>
      <c r="D3610" s="217">
        <v>13.7</v>
      </c>
      <c r="E3610" s="203">
        <v>0</v>
      </c>
      <c r="F3610" s="149">
        <f t="shared" ref="F3610:F3618" si="485">D3610+E3610</f>
        <v>13.7</v>
      </c>
      <c r="G3610" s="22" t="s">
        <v>7829</v>
      </c>
      <c r="H3610" s="1648" t="str">
        <f t="shared" si="484"/>
        <v>BR215</v>
      </c>
      <c r="I3610" s="434"/>
      <c r="J3610" s="102" t="s">
        <v>1798</v>
      </c>
      <c r="K3610" s="434"/>
    </row>
    <row r="3611" spans="1:11" s="2332" customFormat="1">
      <c r="A3611" s="2323"/>
      <c r="B3611" s="2324" t="s">
        <v>126</v>
      </c>
      <c r="C3611" s="2325"/>
      <c r="D3611" s="2325">
        <v>18</v>
      </c>
      <c r="E3611" s="2326">
        <v>0</v>
      </c>
      <c r="F3611" s="2327">
        <f t="shared" si="485"/>
        <v>18</v>
      </c>
      <c r="G3611" s="2328" t="s">
        <v>7830</v>
      </c>
      <c r="H3611" s="2329" t="str">
        <f t="shared" si="484"/>
        <v>BR220</v>
      </c>
      <c r="I3611" s="2330"/>
      <c r="J3611" s="2331" t="s">
        <v>1798</v>
      </c>
      <c r="K3611" s="2330"/>
    </row>
    <row r="3612" spans="1:11" s="33" customFormat="1">
      <c r="A3612" s="443"/>
      <c r="B3612" s="56" t="s">
        <v>127</v>
      </c>
      <c r="C3612" s="217"/>
      <c r="D3612" s="217">
        <v>15.3</v>
      </c>
      <c r="E3612" s="203">
        <v>0</v>
      </c>
      <c r="F3612" s="149">
        <f t="shared" si="485"/>
        <v>15.3</v>
      </c>
      <c r="G3612" s="22" t="s">
        <v>7831</v>
      </c>
      <c r="H3612" s="1648" t="str">
        <f t="shared" si="484"/>
        <v>BR230</v>
      </c>
      <c r="I3612" s="434"/>
      <c r="J3612" s="102" t="s">
        <v>1798</v>
      </c>
      <c r="K3612" s="434"/>
    </row>
    <row r="3613" spans="1:11" s="33" customFormat="1">
      <c r="A3613" s="443"/>
      <c r="B3613" s="56" t="s">
        <v>128</v>
      </c>
      <c r="C3613" s="217"/>
      <c r="D3613" s="217">
        <v>15.3</v>
      </c>
      <c r="E3613" s="203">
        <v>0</v>
      </c>
      <c r="F3613" s="149">
        <f t="shared" si="485"/>
        <v>15.3</v>
      </c>
      <c r="G3613" s="22" t="s">
        <v>7832</v>
      </c>
      <c r="H3613" s="1648" t="str">
        <f t="shared" si="484"/>
        <v>BR240</v>
      </c>
      <c r="I3613" s="434"/>
      <c r="J3613" s="102" t="s">
        <v>1798</v>
      </c>
      <c r="K3613" s="434"/>
    </row>
    <row r="3614" spans="1:11" s="33" customFormat="1">
      <c r="A3614" s="443"/>
      <c r="B3614" s="56" t="s">
        <v>129</v>
      </c>
      <c r="C3614" s="217"/>
      <c r="D3614" s="217">
        <v>15.3</v>
      </c>
      <c r="E3614" s="203">
        <v>0</v>
      </c>
      <c r="F3614" s="149">
        <f t="shared" si="485"/>
        <v>15.3</v>
      </c>
      <c r="G3614" s="22" t="s">
        <v>7833</v>
      </c>
      <c r="H3614" s="1648" t="str">
        <f t="shared" si="484"/>
        <v>BR250</v>
      </c>
      <c r="I3614" s="434"/>
      <c r="J3614" s="102" t="s">
        <v>1798</v>
      </c>
      <c r="K3614" s="434"/>
    </row>
    <row r="3615" spans="1:11" s="33" customFormat="1">
      <c r="A3615" s="443"/>
      <c r="B3615" s="56" t="s">
        <v>130</v>
      </c>
      <c r="C3615" s="217"/>
      <c r="D3615" s="217">
        <v>22.2</v>
      </c>
      <c r="E3615" s="203">
        <v>0</v>
      </c>
      <c r="F3615" s="149">
        <f t="shared" si="485"/>
        <v>22.2</v>
      </c>
      <c r="G3615" s="22" t="s">
        <v>7834</v>
      </c>
      <c r="H3615" s="1648" t="str">
        <f t="shared" si="484"/>
        <v>BR260</v>
      </c>
      <c r="I3615" s="434"/>
      <c r="J3615" s="102" t="s">
        <v>1798</v>
      </c>
      <c r="K3615" s="434"/>
    </row>
    <row r="3616" spans="1:11" s="33" customFormat="1">
      <c r="A3616" s="443"/>
      <c r="B3616" s="56" t="s">
        <v>131</v>
      </c>
      <c r="C3616" s="217"/>
      <c r="D3616" s="217">
        <v>22.2</v>
      </c>
      <c r="E3616" s="203">
        <v>0</v>
      </c>
      <c r="F3616" s="149">
        <f t="shared" si="485"/>
        <v>22.2</v>
      </c>
      <c r="G3616" s="22" t="s">
        <v>7835</v>
      </c>
      <c r="H3616" s="1648" t="str">
        <f t="shared" si="484"/>
        <v>BR270</v>
      </c>
      <c r="I3616" s="434"/>
      <c r="J3616" s="102" t="s">
        <v>1798</v>
      </c>
      <c r="K3616" s="434"/>
    </row>
    <row r="3617" spans="1:11" s="33" customFormat="1">
      <c r="A3617" s="443"/>
      <c r="B3617" s="56" t="s">
        <v>710</v>
      </c>
      <c r="C3617" s="217"/>
      <c r="D3617" s="217">
        <v>22.2</v>
      </c>
      <c r="E3617" s="203">
        <v>0</v>
      </c>
      <c r="F3617" s="149">
        <f t="shared" si="485"/>
        <v>22.2</v>
      </c>
      <c r="G3617" s="22" t="s">
        <v>7836</v>
      </c>
      <c r="H3617" s="1648" t="str">
        <f t="shared" si="484"/>
        <v>BR290</v>
      </c>
      <c r="I3617" s="434"/>
      <c r="J3617" s="102" t="s">
        <v>1798</v>
      </c>
      <c r="K3617" s="434"/>
    </row>
    <row r="3618" spans="1:11" s="33" customFormat="1">
      <c r="A3618" s="443"/>
      <c r="B3618" s="56" t="s">
        <v>711</v>
      </c>
      <c r="C3618" s="217"/>
      <c r="D3618" s="217">
        <v>23.1</v>
      </c>
      <c r="E3618" s="203">
        <v>0</v>
      </c>
      <c r="F3618" s="149">
        <f t="shared" si="485"/>
        <v>23.1</v>
      </c>
      <c r="G3618" s="22" t="s">
        <v>7837</v>
      </c>
      <c r="H3618" s="1648" t="str">
        <f t="shared" si="484"/>
        <v>BR2100</v>
      </c>
      <c r="I3618" s="434"/>
      <c r="J3618" s="102" t="s">
        <v>1798</v>
      </c>
      <c r="K3618" s="434"/>
    </row>
    <row r="3619" spans="1:11" s="33" customFormat="1">
      <c r="A3619" s="435"/>
      <c r="B3619" s="56"/>
      <c r="C3619" s="217"/>
      <c r="D3619" s="217"/>
      <c r="E3619" s="203"/>
      <c r="F3619" s="149"/>
      <c r="G3619" s="22"/>
      <c r="H3619" s="1648"/>
      <c r="I3619" s="434"/>
      <c r="J3619" s="435"/>
      <c r="K3619" s="434"/>
    </row>
    <row r="3620" spans="1:11" s="33" customFormat="1">
      <c r="A3620" s="443"/>
      <c r="B3620" s="56" t="s">
        <v>133</v>
      </c>
      <c r="C3620" s="217"/>
      <c r="D3620" s="217">
        <v>34.799999999999997</v>
      </c>
      <c r="E3620" s="203">
        <v>0</v>
      </c>
      <c r="F3620" s="149">
        <f t="shared" ref="F3620:F3629" si="486">D3620+E3620</f>
        <v>34.799999999999997</v>
      </c>
      <c r="G3620" s="22" t="s">
        <v>7838</v>
      </c>
      <c r="H3620" s="1648" t="str">
        <f t="shared" si="484"/>
        <v>BR315</v>
      </c>
      <c r="I3620" s="434"/>
      <c r="J3620" s="102" t="s">
        <v>1798</v>
      </c>
      <c r="K3620" s="434"/>
    </row>
    <row r="3621" spans="1:11" s="33" customFormat="1">
      <c r="A3621" s="443"/>
      <c r="B3621" s="56" t="s">
        <v>134</v>
      </c>
      <c r="C3621" s="217"/>
      <c r="D3621" s="217">
        <v>34.799999999999997</v>
      </c>
      <c r="E3621" s="203">
        <v>0</v>
      </c>
      <c r="F3621" s="149">
        <f t="shared" si="486"/>
        <v>34.799999999999997</v>
      </c>
      <c r="G3621" s="22" t="s">
        <v>7839</v>
      </c>
      <c r="H3621" s="1648" t="str">
        <f t="shared" si="484"/>
        <v>BR320</v>
      </c>
      <c r="I3621" s="434"/>
      <c r="J3621" s="102" t="s">
        <v>1798</v>
      </c>
      <c r="K3621" s="434"/>
    </row>
    <row r="3622" spans="1:11" s="33" customFormat="1">
      <c r="A3622" s="443"/>
      <c r="B3622" s="56" t="s">
        <v>135</v>
      </c>
      <c r="C3622" s="217"/>
      <c r="D3622" s="217">
        <v>34.799999999999997</v>
      </c>
      <c r="E3622" s="203">
        <v>0</v>
      </c>
      <c r="F3622" s="149">
        <f t="shared" si="486"/>
        <v>34.799999999999997</v>
      </c>
      <c r="G3622" s="22" t="s">
        <v>7840</v>
      </c>
      <c r="H3622" s="1648" t="str">
        <f t="shared" si="484"/>
        <v>BR330</v>
      </c>
      <c r="I3622" s="434"/>
      <c r="J3622" s="102" t="s">
        <v>1798</v>
      </c>
      <c r="K3622" s="434"/>
    </row>
    <row r="3623" spans="1:11" s="33" customFormat="1">
      <c r="A3623" s="443"/>
      <c r="B3623" s="56" t="s">
        <v>136</v>
      </c>
      <c r="C3623" s="217"/>
      <c r="D3623" s="217">
        <v>34.799999999999997</v>
      </c>
      <c r="E3623" s="203">
        <v>0</v>
      </c>
      <c r="F3623" s="149">
        <f t="shared" si="486"/>
        <v>34.799999999999997</v>
      </c>
      <c r="G3623" s="22" t="s">
        <v>7841</v>
      </c>
      <c r="H3623" s="1648" t="str">
        <f t="shared" si="484"/>
        <v>BR340</v>
      </c>
      <c r="I3623" s="434"/>
      <c r="J3623" s="102" t="s">
        <v>1798</v>
      </c>
      <c r="K3623" s="434"/>
    </row>
    <row r="3624" spans="1:11" s="33" customFormat="1">
      <c r="A3624" s="443"/>
      <c r="B3624" s="56" t="s">
        <v>137</v>
      </c>
      <c r="C3624" s="217"/>
      <c r="D3624" s="217">
        <v>35.5</v>
      </c>
      <c r="E3624" s="203">
        <v>0</v>
      </c>
      <c r="F3624" s="149">
        <f t="shared" si="486"/>
        <v>35.5</v>
      </c>
      <c r="G3624" s="22" t="s">
        <v>7842</v>
      </c>
      <c r="H3624" s="1648" t="str">
        <f t="shared" si="484"/>
        <v>BR350</v>
      </c>
      <c r="I3624" s="434"/>
      <c r="J3624" s="102" t="s">
        <v>1798</v>
      </c>
      <c r="K3624" s="434"/>
    </row>
    <row r="3625" spans="1:11" s="33" customFormat="1">
      <c r="A3625" s="443"/>
      <c r="B3625" s="56" t="s">
        <v>138</v>
      </c>
      <c r="C3625" s="217"/>
      <c r="D3625" s="217">
        <v>35.5</v>
      </c>
      <c r="E3625" s="203">
        <v>0</v>
      </c>
      <c r="F3625" s="149">
        <f t="shared" si="486"/>
        <v>35.5</v>
      </c>
      <c r="G3625" s="22" t="s">
        <v>7843</v>
      </c>
      <c r="H3625" s="1648" t="str">
        <f t="shared" si="484"/>
        <v>BR360</v>
      </c>
      <c r="I3625" s="434"/>
      <c r="J3625" s="102" t="s">
        <v>1798</v>
      </c>
      <c r="K3625" s="434"/>
    </row>
    <row r="3626" spans="1:11" s="33" customFormat="1">
      <c r="A3626" s="443"/>
      <c r="B3626" s="56" t="s">
        <v>139</v>
      </c>
      <c r="C3626" s="217"/>
      <c r="D3626" s="217">
        <v>46.4</v>
      </c>
      <c r="E3626" s="203">
        <v>0</v>
      </c>
      <c r="F3626" s="149">
        <f t="shared" si="486"/>
        <v>46.4</v>
      </c>
      <c r="G3626" s="22" t="s">
        <v>7844</v>
      </c>
      <c r="H3626" s="1648" t="str">
        <f t="shared" si="484"/>
        <v>BR370</v>
      </c>
      <c r="I3626" s="434"/>
      <c r="J3626" s="102" t="s">
        <v>1798</v>
      </c>
      <c r="K3626" s="434"/>
    </row>
    <row r="3627" spans="1:11" s="33" customFormat="1">
      <c r="A3627" s="443"/>
      <c r="B3627" s="56" t="s">
        <v>140</v>
      </c>
      <c r="C3627" s="217"/>
      <c r="D3627" s="217">
        <v>46.4</v>
      </c>
      <c r="E3627" s="203">
        <v>0</v>
      </c>
      <c r="F3627" s="149">
        <f t="shared" si="486"/>
        <v>46.4</v>
      </c>
      <c r="G3627" s="22" t="s">
        <v>7845</v>
      </c>
      <c r="H3627" s="1648" t="str">
        <f t="shared" si="484"/>
        <v>BR380</v>
      </c>
      <c r="I3627" s="434"/>
      <c r="J3627" s="102" t="s">
        <v>1798</v>
      </c>
      <c r="K3627" s="434"/>
    </row>
    <row r="3628" spans="1:11" s="33" customFormat="1">
      <c r="A3628" s="443"/>
      <c r="B3628" s="56" t="s">
        <v>385</v>
      </c>
      <c r="C3628" s="217"/>
      <c r="D3628" s="217">
        <v>46.4</v>
      </c>
      <c r="E3628" s="203">
        <v>0</v>
      </c>
      <c r="F3628" s="149">
        <f t="shared" si="486"/>
        <v>46.4</v>
      </c>
      <c r="G3628" s="22" t="s">
        <v>7846</v>
      </c>
      <c r="H3628" s="1648" t="str">
        <f t="shared" si="484"/>
        <v>BR390</v>
      </c>
      <c r="I3628" s="434"/>
      <c r="J3628" s="102" t="s">
        <v>1798</v>
      </c>
      <c r="K3628" s="434"/>
    </row>
    <row r="3629" spans="1:11" s="33" customFormat="1">
      <c r="A3629" s="443"/>
      <c r="B3629" s="56" t="s">
        <v>132</v>
      </c>
      <c r="C3629" s="217"/>
      <c r="D3629" s="217">
        <v>46.4</v>
      </c>
      <c r="E3629" s="203">
        <v>0</v>
      </c>
      <c r="F3629" s="149">
        <f t="shared" si="486"/>
        <v>46.4</v>
      </c>
      <c r="G3629" s="22" t="s">
        <v>7847</v>
      </c>
      <c r="H3629" s="1648" t="str">
        <f t="shared" si="484"/>
        <v>BR3100</v>
      </c>
      <c r="I3629" s="434"/>
      <c r="J3629" s="102" t="s">
        <v>1798</v>
      </c>
      <c r="K3629" s="434"/>
    </row>
    <row r="3630" spans="1:11" s="33" customFormat="1">
      <c r="A3630" s="435"/>
      <c r="B3630" s="434"/>
      <c r="C3630" s="217"/>
      <c r="D3630" s="217"/>
      <c r="E3630" s="438"/>
      <c r="F3630" s="439"/>
      <c r="G3630" s="434"/>
      <c r="H3630" s="1648"/>
      <c r="I3630" s="434"/>
      <c r="J3630" s="435"/>
      <c r="K3630" s="434"/>
    </row>
    <row r="3631" spans="1:11" s="21" customFormat="1">
      <c r="A3631" s="435"/>
      <c r="B3631" s="903" t="s">
        <v>3132</v>
      </c>
      <c r="C3631" s="904"/>
      <c r="D3631" s="904">
        <v>6</v>
      </c>
      <c r="E3631" s="905">
        <v>1</v>
      </c>
      <c r="F3631" s="906">
        <f>D3631+E3631</f>
        <v>7</v>
      </c>
      <c r="G3631" s="907" t="s">
        <v>7848</v>
      </c>
      <c r="H3631" s="1648" t="str">
        <f>B3631</f>
        <v>QC123PL</v>
      </c>
      <c r="I3631" s="434"/>
      <c r="J3631" s="435"/>
      <c r="K3631" s="434"/>
    </row>
    <row r="3632" spans="1:11" s="185" customFormat="1">
      <c r="A3632" s="447"/>
      <c r="B3632" s="454"/>
      <c r="C3632" s="217"/>
      <c r="D3632" s="217"/>
      <c r="E3632" s="1520"/>
      <c r="F3632" s="482"/>
      <c r="G3632" s="454"/>
      <c r="H3632" s="473"/>
      <c r="I3632" s="454"/>
      <c r="J3632" s="447"/>
      <c r="K3632" s="454"/>
    </row>
    <row r="3633" spans="1:11" s="33" customFormat="1">
      <c r="A3633" s="435"/>
      <c r="B3633" s="434"/>
      <c r="C3633" s="217"/>
      <c r="D3633" s="217"/>
      <c r="E3633" s="438"/>
      <c r="F3633" s="439"/>
      <c r="G3633" s="434"/>
      <c r="H3633" s="1648"/>
      <c r="I3633" s="434"/>
      <c r="J3633" s="435"/>
      <c r="K3633" s="434"/>
    </row>
    <row r="3634" spans="1:11" s="33" customFormat="1">
      <c r="A3634" s="443"/>
      <c r="B3634" s="56" t="s">
        <v>695</v>
      </c>
      <c r="C3634" s="217"/>
      <c r="D3634" s="217">
        <v>7.4</v>
      </c>
      <c r="E3634" s="203">
        <v>0</v>
      </c>
      <c r="F3634" s="149">
        <f t="shared" ref="F3634:F3640" si="487">D3634+E3634</f>
        <v>7.4</v>
      </c>
      <c r="G3634" s="22" t="s">
        <v>7849</v>
      </c>
      <c r="H3634" s="1648" t="str">
        <f t="shared" si="484"/>
        <v>QC1015</v>
      </c>
      <c r="I3634" s="434"/>
      <c r="J3634" s="102" t="s">
        <v>1798</v>
      </c>
      <c r="K3634" s="434"/>
    </row>
    <row r="3635" spans="1:11" s="33" customFormat="1">
      <c r="A3635" s="443"/>
      <c r="B3635" s="56" t="s">
        <v>696</v>
      </c>
      <c r="C3635" s="217"/>
      <c r="D3635" s="217">
        <v>7.4</v>
      </c>
      <c r="E3635" s="203">
        <v>0</v>
      </c>
      <c r="F3635" s="149">
        <f t="shared" si="487"/>
        <v>7.4</v>
      </c>
      <c r="G3635" s="22" t="s">
        <v>7850</v>
      </c>
      <c r="H3635" s="1648" t="str">
        <f t="shared" si="484"/>
        <v>QC1020</v>
      </c>
      <c r="I3635" s="434"/>
      <c r="J3635" s="102" t="s">
        <v>1798</v>
      </c>
      <c r="K3635" s="434"/>
    </row>
    <row r="3636" spans="1:11" s="33" customFormat="1">
      <c r="A3636" s="443"/>
      <c r="B3636" s="56" t="s">
        <v>697</v>
      </c>
      <c r="C3636" s="217"/>
      <c r="D3636" s="217">
        <v>7.4</v>
      </c>
      <c r="E3636" s="203">
        <v>0</v>
      </c>
      <c r="F3636" s="149">
        <f t="shared" si="487"/>
        <v>7.4</v>
      </c>
      <c r="G3636" s="22" t="s">
        <v>7851</v>
      </c>
      <c r="H3636" s="1648" t="str">
        <f t="shared" si="484"/>
        <v>QC1030</v>
      </c>
      <c r="I3636" s="434"/>
      <c r="J3636" s="102" t="s">
        <v>1798</v>
      </c>
      <c r="K3636" s="434"/>
    </row>
    <row r="3637" spans="1:11">
      <c r="A3637" s="443"/>
      <c r="B3637" s="56" t="s">
        <v>698</v>
      </c>
      <c r="C3637" s="217"/>
      <c r="D3637" s="217">
        <v>8.3000000000000007</v>
      </c>
      <c r="E3637" s="203">
        <v>0</v>
      </c>
      <c r="F3637" s="149">
        <f t="shared" si="487"/>
        <v>8.3000000000000007</v>
      </c>
      <c r="G3637" s="22" t="s">
        <v>7852</v>
      </c>
      <c r="H3637" s="1648" t="str">
        <f t="shared" si="484"/>
        <v>QC1040</v>
      </c>
      <c r="I3637" s="434"/>
      <c r="J3637" s="102" t="s">
        <v>1798</v>
      </c>
      <c r="K3637" s="434"/>
    </row>
    <row r="3638" spans="1:11" s="33" customFormat="1">
      <c r="A3638" s="443"/>
      <c r="B3638" s="56" t="s">
        <v>699</v>
      </c>
      <c r="C3638" s="217"/>
      <c r="D3638" s="217">
        <v>8.8000000000000007</v>
      </c>
      <c r="E3638" s="203">
        <v>0</v>
      </c>
      <c r="F3638" s="149">
        <f t="shared" si="487"/>
        <v>8.8000000000000007</v>
      </c>
      <c r="G3638" s="22" t="s">
        <v>7853</v>
      </c>
      <c r="H3638" s="1648" t="str">
        <f t="shared" si="484"/>
        <v>QC1050</v>
      </c>
      <c r="I3638" s="434"/>
      <c r="J3638" s="102" t="s">
        <v>1798</v>
      </c>
      <c r="K3638" s="434"/>
    </row>
    <row r="3639" spans="1:11" s="33" customFormat="1">
      <c r="A3639" s="443"/>
      <c r="B3639" s="56" t="s">
        <v>700</v>
      </c>
      <c r="C3639" s="217"/>
      <c r="D3639" s="217">
        <v>8.8000000000000007</v>
      </c>
      <c r="E3639" s="203">
        <v>0</v>
      </c>
      <c r="F3639" s="149">
        <f t="shared" si="487"/>
        <v>8.8000000000000007</v>
      </c>
      <c r="G3639" s="22" t="s">
        <v>7854</v>
      </c>
      <c r="H3639" s="1648" t="str">
        <f t="shared" si="484"/>
        <v>QC1060</v>
      </c>
      <c r="I3639" s="434"/>
      <c r="J3639" s="102" t="s">
        <v>1798</v>
      </c>
      <c r="K3639" s="434"/>
    </row>
    <row r="3640" spans="1:11" s="33" customFormat="1">
      <c r="A3640" s="443"/>
      <c r="B3640" s="56" t="s">
        <v>701</v>
      </c>
      <c r="C3640" s="217"/>
      <c r="D3640" s="217">
        <v>22.3</v>
      </c>
      <c r="E3640" s="203">
        <v>0</v>
      </c>
      <c r="F3640" s="149">
        <f t="shared" si="487"/>
        <v>22.3</v>
      </c>
      <c r="G3640" s="22" t="s">
        <v>7855</v>
      </c>
      <c r="H3640" s="1648" t="str">
        <f t="shared" si="484"/>
        <v>QC1070</v>
      </c>
      <c r="I3640" s="434"/>
      <c r="J3640" s="102" t="s">
        <v>1798</v>
      </c>
      <c r="K3640" s="434"/>
    </row>
    <row r="3641" spans="1:11" s="185" customFormat="1">
      <c r="A3641" s="447"/>
      <c r="B3641" s="1521"/>
      <c r="C3641" s="217"/>
      <c r="D3641" s="217"/>
      <c r="E3641" s="407"/>
      <c r="F3641" s="157"/>
      <c r="G3641" s="410"/>
      <c r="H3641" s="473"/>
      <c r="I3641" s="454"/>
      <c r="J3641" s="447"/>
      <c r="K3641" s="454"/>
    </row>
    <row r="3642" spans="1:11" s="33" customFormat="1">
      <c r="A3642" s="443"/>
      <c r="B3642" s="56" t="s">
        <v>80</v>
      </c>
      <c r="C3642" s="217"/>
      <c r="D3642" s="217">
        <v>14.9</v>
      </c>
      <c r="E3642" s="203">
        <v>0</v>
      </c>
      <c r="F3642" s="149">
        <f t="shared" ref="F3642:F3651" si="488">D3642+E3642</f>
        <v>14.9</v>
      </c>
      <c r="G3642" s="22" t="s">
        <v>7856</v>
      </c>
      <c r="H3642" s="1648" t="str">
        <f t="shared" si="484"/>
        <v>QC2015</v>
      </c>
      <c r="I3642" s="434"/>
      <c r="J3642" s="102" t="s">
        <v>1798</v>
      </c>
      <c r="K3642" s="434"/>
    </row>
    <row r="3643" spans="1:11" s="2332" customFormat="1">
      <c r="A3643" s="2323"/>
      <c r="B3643" s="2324" t="s">
        <v>81</v>
      </c>
      <c r="C3643" s="2325"/>
      <c r="D3643" s="2325">
        <v>44</v>
      </c>
      <c r="E3643" s="2326">
        <v>0</v>
      </c>
      <c r="F3643" s="2327">
        <f t="shared" si="488"/>
        <v>44</v>
      </c>
      <c r="G3643" s="2328" t="s">
        <v>7857</v>
      </c>
      <c r="H3643" s="2329" t="str">
        <f t="shared" si="484"/>
        <v>QC2020</v>
      </c>
      <c r="I3643" s="2330"/>
      <c r="J3643" s="2331" t="s">
        <v>1798</v>
      </c>
      <c r="K3643" s="2330"/>
    </row>
    <row r="3644" spans="1:11" s="2332" customFormat="1">
      <c r="A3644" s="2323"/>
      <c r="B3644" s="2324" t="s">
        <v>82</v>
      </c>
      <c r="C3644" s="2325"/>
      <c r="D3644" s="2325">
        <v>44</v>
      </c>
      <c r="E3644" s="2326">
        <v>0</v>
      </c>
      <c r="F3644" s="2327">
        <f t="shared" si="488"/>
        <v>44</v>
      </c>
      <c r="G3644" s="2328" t="s">
        <v>7858</v>
      </c>
      <c r="H3644" s="2329" t="str">
        <f t="shared" si="484"/>
        <v>QC2030</v>
      </c>
      <c r="I3644" s="2330"/>
      <c r="J3644" s="2331" t="s">
        <v>1798</v>
      </c>
      <c r="K3644" s="2330"/>
    </row>
    <row r="3645" spans="1:11" s="33" customFormat="1">
      <c r="A3645" s="443"/>
      <c r="B3645" s="56" t="s">
        <v>83</v>
      </c>
      <c r="C3645" s="217"/>
      <c r="D3645" s="217">
        <v>16.8</v>
      </c>
      <c r="E3645" s="203">
        <v>0</v>
      </c>
      <c r="F3645" s="149">
        <f t="shared" si="488"/>
        <v>16.8</v>
      </c>
      <c r="G3645" s="22" t="s">
        <v>7859</v>
      </c>
      <c r="H3645" s="1648" t="str">
        <f t="shared" si="484"/>
        <v>QC2040</v>
      </c>
      <c r="I3645" s="434"/>
      <c r="J3645" s="102" t="s">
        <v>1798</v>
      </c>
      <c r="K3645" s="434"/>
    </row>
    <row r="3646" spans="1:11" s="33" customFormat="1">
      <c r="A3646" s="443"/>
      <c r="B3646" s="56" t="s">
        <v>84</v>
      </c>
      <c r="C3646" s="217"/>
      <c r="D3646" s="217">
        <v>16.8</v>
      </c>
      <c r="E3646" s="203">
        <v>0</v>
      </c>
      <c r="F3646" s="149">
        <f t="shared" si="488"/>
        <v>16.8</v>
      </c>
      <c r="G3646" s="22" t="s">
        <v>7860</v>
      </c>
      <c r="H3646" s="1648" t="str">
        <f t="shared" si="484"/>
        <v>QC2050</v>
      </c>
      <c r="I3646" s="434"/>
      <c r="J3646" s="102" t="s">
        <v>1798</v>
      </c>
      <c r="K3646" s="434"/>
    </row>
    <row r="3647" spans="1:11" s="33" customFormat="1">
      <c r="A3647" s="443"/>
      <c r="B3647" s="56" t="s">
        <v>85</v>
      </c>
      <c r="C3647" s="217"/>
      <c r="D3647" s="217">
        <v>16.8</v>
      </c>
      <c r="E3647" s="203">
        <v>0</v>
      </c>
      <c r="F3647" s="149">
        <f t="shared" si="488"/>
        <v>16.8</v>
      </c>
      <c r="G3647" s="22" t="s">
        <v>7861</v>
      </c>
      <c r="H3647" s="1648" t="str">
        <f t="shared" si="484"/>
        <v>QC2060</v>
      </c>
      <c r="I3647" s="434"/>
      <c r="J3647" s="102" t="s">
        <v>1798</v>
      </c>
      <c r="K3647" s="434"/>
    </row>
    <row r="3648" spans="1:11" s="33" customFormat="1">
      <c r="A3648" s="443"/>
      <c r="B3648" s="56" t="s">
        <v>86</v>
      </c>
      <c r="C3648" s="217"/>
      <c r="D3648" s="217">
        <v>39.299999999999997</v>
      </c>
      <c r="E3648" s="203">
        <v>0</v>
      </c>
      <c r="F3648" s="149">
        <f t="shared" si="488"/>
        <v>39.299999999999997</v>
      </c>
      <c r="G3648" s="22" t="s">
        <v>7862</v>
      </c>
      <c r="H3648" s="1648" t="str">
        <f t="shared" si="484"/>
        <v>QC2070</v>
      </c>
      <c r="I3648" s="434"/>
      <c r="J3648" s="102" t="s">
        <v>1798</v>
      </c>
      <c r="K3648" s="434"/>
    </row>
    <row r="3649" spans="1:11" s="33" customFormat="1">
      <c r="A3649" s="443"/>
      <c r="B3649" s="56" t="s">
        <v>702</v>
      </c>
      <c r="C3649" s="217"/>
      <c r="D3649" s="217">
        <v>39.299999999999997</v>
      </c>
      <c r="E3649" s="203">
        <v>0</v>
      </c>
      <c r="F3649" s="149">
        <f t="shared" si="488"/>
        <v>39.299999999999997</v>
      </c>
      <c r="G3649" s="22" t="s">
        <v>7863</v>
      </c>
      <c r="H3649" s="1648" t="str">
        <f t="shared" si="484"/>
        <v>QC2080</v>
      </c>
      <c r="I3649" s="434"/>
      <c r="J3649" s="102" t="s">
        <v>1798</v>
      </c>
      <c r="K3649" s="434"/>
    </row>
    <row r="3650" spans="1:11" s="33" customFormat="1">
      <c r="A3650" s="443"/>
      <c r="B3650" s="56" t="s">
        <v>87</v>
      </c>
      <c r="C3650" s="217"/>
      <c r="D3650" s="217">
        <v>39.299999999999997</v>
      </c>
      <c r="E3650" s="203">
        <v>0</v>
      </c>
      <c r="F3650" s="149">
        <f t="shared" si="488"/>
        <v>39.299999999999997</v>
      </c>
      <c r="G3650" s="22" t="s">
        <v>7864</v>
      </c>
      <c r="H3650" s="1648" t="str">
        <f t="shared" si="484"/>
        <v>QC2090</v>
      </c>
      <c r="I3650" s="434"/>
      <c r="J3650" s="102" t="s">
        <v>1798</v>
      </c>
      <c r="K3650" s="434"/>
    </row>
    <row r="3651" spans="1:11" s="21" customFormat="1">
      <c r="A3651" s="443"/>
      <c r="B3651" s="56" t="s">
        <v>88</v>
      </c>
      <c r="C3651" s="217"/>
      <c r="D3651" s="217">
        <v>39.299999999999997</v>
      </c>
      <c r="E3651" s="203">
        <v>0</v>
      </c>
      <c r="F3651" s="149">
        <f t="shared" si="488"/>
        <v>39.299999999999997</v>
      </c>
      <c r="G3651" s="22" t="s">
        <v>7865</v>
      </c>
      <c r="H3651" s="1648" t="str">
        <f t="shared" si="484"/>
        <v>QC2100</v>
      </c>
      <c r="I3651" s="434"/>
      <c r="J3651" s="102" t="s">
        <v>1798</v>
      </c>
      <c r="K3651" s="434"/>
    </row>
    <row r="3652" spans="1:11" s="21" customFormat="1">
      <c r="A3652" s="440"/>
      <c r="B3652" s="56"/>
      <c r="C3652" s="217"/>
      <c r="D3652" s="217"/>
      <c r="E3652" s="203"/>
      <c r="F3652" s="149"/>
      <c r="G3652" s="22"/>
      <c r="H3652" s="1648"/>
      <c r="I3652" s="441"/>
      <c r="J3652" s="440"/>
      <c r="K3652" s="441"/>
    </row>
    <row r="3653" spans="1:11" s="21" customFormat="1">
      <c r="A3653" s="461"/>
      <c r="B3653" s="908" t="s">
        <v>7866</v>
      </c>
      <c r="C3653" s="904"/>
      <c r="D3653" s="904">
        <v>100</v>
      </c>
      <c r="E3653" s="905">
        <v>0</v>
      </c>
      <c r="F3653" s="906">
        <f t="shared" ref="F3653:F3658" si="489">D3653+E3653</f>
        <v>100</v>
      </c>
      <c r="G3653" s="907" t="s">
        <v>10853</v>
      </c>
      <c r="H3653" s="1648" t="str">
        <f>B3653</f>
        <v>QC2015H</v>
      </c>
      <c r="I3653" s="441"/>
      <c r="J3653" s="102" t="s">
        <v>1798</v>
      </c>
      <c r="K3653" s="441"/>
    </row>
    <row r="3654" spans="1:11" s="21" customFormat="1">
      <c r="A3654" s="461"/>
      <c r="B3654" s="908" t="s">
        <v>3139</v>
      </c>
      <c r="C3654" s="904"/>
      <c r="D3654" s="904">
        <v>100</v>
      </c>
      <c r="E3654" s="905">
        <v>0</v>
      </c>
      <c r="F3654" s="906">
        <f t="shared" si="489"/>
        <v>100</v>
      </c>
      <c r="G3654" s="907" t="s">
        <v>10854</v>
      </c>
      <c r="H3654" s="1648" t="str">
        <f t="shared" si="484"/>
        <v>QC2020H</v>
      </c>
      <c r="I3654" s="441"/>
      <c r="J3654" s="102" t="s">
        <v>1798</v>
      </c>
      <c r="K3654" s="441"/>
    </row>
    <row r="3655" spans="1:11" s="21" customFormat="1">
      <c r="A3655" s="461"/>
      <c r="B3655" s="908" t="s">
        <v>3140</v>
      </c>
      <c r="C3655" s="904"/>
      <c r="D3655" s="904">
        <v>100</v>
      </c>
      <c r="E3655" s="905">
        <v>0</v>
      </c>
      <c r="F3655" s="906">
        <f t="shared" si="489"/>
        <v>100</v>
      </c>
      <c r="G3655" s="907" t="s">
        <v>10855</v>
      </c>
      <c r="H3655" s="1648" t="str">
        <f t="shared" si="484"/>
        <v>QC2030H</v>
      </c>
      <c r="I3655" s="441"/>
      <c r="J3655" s="102" t="s">
        <v>1798</v>
      </c>
      <c r="K3655" s="441"/>
    </row>
    <row r="3656" spans="1:11" s="21" customFormat="1">
      <c r="A3656" s="461"/>
      <c r="B3656" s="908" t="s">
        <v>3141</v>
      </c>
      <c r="C3656" s="904"/>
      <c r="D3656" s="904">
        <v>120</v>
      </c>
      <c r="E3656" s="905">
        <v>0</v>
      </c>
      <c r="F3656" s="906">
        <f t="shared" si="489"/>
        <v>120</v>
      </c>
      <c r="G3656" s="907" t="s">
        <v>10856</v>
      </c>
      <c r="H3656" s="1648" t="str">
        <f t="shared" si="484"/>
        <v>QC2050H</v>
      </c>
      <c r="I3656" s="441"/>
      <c r="J3656" s="102" t="s">
        <v>1798</v>
      </c>
      <c r="K3656" s="441"/>
    </row>
    <row r="3657" spans="1:11" s="21" customFormat="1">
      <c r="A3657" s="461"/>
      <c r="B3657" s="908" t="s">
        <v>3142</v>
      </c>
      <c r="C3657" s="904"/>
      <c r="D3657" s="904">
        <v>120</v>
      </c>
      <c r="E3657" s="905">
        <v>0</v>
      </c>
      <c r="F3657" s="906">
        <f t="shared" si="489"/>
        <v>120</v>
      </c>
      <c r="G3657" s="907" t="s">
        <v>10857</v>
      </c>
      <c r="H3657" s="1648" t="str">
        <f t="shared" si="484"/>
        <v>QC2060H</v>
      </c>
      <c r="I3657" s="441"/>
      <c r="J3657" s="102" t="s">
        <v>1798</v>
      </c>
      <c r="K3657" s="441"/>
    </row>
    <row r="3658" spans="1:11" s="33" customFormat="1">
      <c r="A3658" s="461"/>
      <c r="B3658" s="908" t="s">
        <v>3143</v>
      </c>
      <c r="C3658" s="904"/>
      <c r="D3658" s="904">
        <v>120</v>
      </c>
      <c r="E3658" s="905">
        <v>0</v>
      </c>
      <c r="F3658" s="906">
        <f t="shared" si="489"/>
        <v>120</v>
      </c>
      <c r="G3658" s="907" t="s">
        <v>10858</v>
      </c>
      <c r="H3658" s="1648" t="str">
        <f t="shared" si="484"/>
        <v>QC2080H</v>
      </c>
      <c r="I3658" s="441"/>
      <c r="J3658" s="102" t="s">
        <v>1798</v>
      </c>
      <c r="K3658" s="441"/>
    </row>
    <row r="3659" spans="1:11" s="33" customFormat="1">
      <c r="A3659" s="435"/>
      <c r="B3659" s="56"/>
      <c r="C3659" s="217"/>
      <c r="D3659" s="217"/>
      <c r="E3659" s="203"/>
      <c r="F3659" s="149"/>
      <c r="G3659" s="22"/>
      <c r="H3659" s="1648"/>
      <c r="I3659" s="434"/>
      <c r="J3659" s="435"/>
      <c r="K3659" s="434"/>
    </row>
    <row r="3660" spans="1:11" s="33" customFormat="1">
      <c r="A3660" s="435"/>
      <c r="B3660" s="56"/>
      <c r="C3660" s="217"/>
      <c r="D3660" s="217"/>
      <c r="E3660" s="203"/>
      <c r="F3660" s="149"/>
      <c r="G3660" s="22"/>
      <c r="H3660" s="1648"/>
      <c r="I3660" s="434"/>
      <c r="J3660" s="435"/>
      <c r="K3660" s="434"/>
    </row>
    <row r="3661" spans="1:11" s="33" customFormat="1">
      <c r="A3661" s="443"/>
      <c r="B3661" s="56" t="s">
        <v>116</v>
      </c>
      <c r="C3661" s="217"/>
      <c r="D3661" s="217">
        <v>47.6</v>
      </c>
      <c r="E3661" s="203">
        <v>0</v>
      </c>
      <c r="F3661" s="149">
        <f t="shared" ref="F3661:F3670" si="490">D3661+E3661</f>
        <v>47.6</v>
      </c>
      <c r="G3661" s="22" t="s">
        <v>10859</v>
      </c>
      <c r="H3661" s="1648" t="str">
        <f t="shared" si="484"/>
        <v>QC3015H</v>
      </c>
      <c r="I3661" s="434"/>
      <c r="J3661" s="102" t="s">
        <v>1798</v>
      </c>
      <c r="K3661" s="434"/>
    </row>
    <row r="3662" spans="1:11" s="33" customFormat="1">
      <c r="A3662" s="443"/>
      <c r="B3662" s="56" t="s">
        <v>117</v>
      </c>
      <c r="C3662" s="217"/>
      <c r="D3662" s="217">
        <v>47.6</v>
      </c>
      <c r="E3662" s="203">
        <v>0</v>
      </c>
      <c r="F3662" s="149">
        <f t="shared" si="490"/>
        <v>47.6</v>
      </c>
      <c r="G3662" s="22" t="s">
        <v>10860</v>
      </c>
      <c r="H3662" s="1648" t="str">
        <f t="shared" si="484"/>
        <v>QC3020H</v>
      </c>
      <c r="I3662" s="434"/>
      <c r="J3662" s="102" t="s">
        <v>1798</v>
      </c>
      <c r="K3662" s="434"/>
    </row>
    <row r="3663" spans="1:11" s="2332" customFormat="1">
      <c r="A3663" s="2323"/>
      <c r="B3663" s="2324" t="s">
        <v>118</v>
      </c>
      <c r="C3663" s="2325"/>
      <c r="D3663" s="2325">
        <v>63</v>
      </c>
      <c r="E3663" s="2326">
        <v>0</v>
      </c>
      <c r="F3663" s="2327">
        <f t="shared" si="490"/>
        <v>63</v>
      </c>
      <c r="G3663" s="2328" t="s">
        <v>10861</v>
      </c>
      <c r="H3663" s="2329" t="str">
        <f t="shared" si="484"/>
        <v>QC3030H</v>
      </c>
      <c r="I3663" s="2330"/>
      <c r="J3663" s="2331" t="s">
        <v>1798</v>
      </c>
      <c r="K3663" s="2330"/>
    </row>
    <row r="3664" spans="1:11" s="33" customFormat="1">
      <c r="A3664" s="443"/>
      <c r="B3664" s="56" t="s">
        <v>119</v>
      </c>
      <c r="C3664" s="217"/>
      <c r="D3664" s="217">
        <v>47.6</v>
      </c>
      <c r="E3664" s="203">
        <v>0</v>
      </c>
      <c r="F3664" s="149">
        <f t="shared" si="490"/>
        <v>47.6</v>
      </c>
      <c r="G3664" s="22" t="s">
        <v>10862</v>
      </c>
      <c r="H3664" s="1648" t="str">
        <f t="shared" si="484"/>
        <v>QC3040H</v>
      </c>
      <c r="I3664" s="434"/>
      <c r="J3664" s="102" t="s">
        <v>1798</v>
      </c>
      <c r="K3664" s="434"/>
    </row>
    <row r="3665" spans="1:11" s="2332" customFormat="1">
      <c r="A3665" s="2323"/>
      <c r="B3665" s="2324" t="s">
        <v>120</v>
      </c>
      <c r="C3665" s="2325"/>
      <c r="D3665" s="2325">
        <v>63</v>
      </c>
      <c r="E3665" s="2326">
        <v>0</v>
      </c>
      <c r="F3665" s="2327">
        <f t="shared" si="490"/>
        <v>63</v>
      </c>
      <c r="G3665" s="2328" t="s">
        <v>10863</v>
      </c>
      <c r="H3665" s="2329" t="str">
        <f t="shared" si="484"/>
        <v>QC3050H</v>
      </c>
      <c r="I3665" s="2330"/>
      <c r="J3665" s="2331" t="s">
        <v>1798</v>
      </c>
      <c r="K3665" s="2330"/>
    </row>
    <row r="3666" spans="1:11" s="2332" customFormat="1">
      <c r="A3666" s="2323"/>
      <c r="B3666" s="2324" t="s">
        <v>121</v>
      </c>
      <c r="C3666" s="2325"/>
      <c r="D3666" s="2325">
        <v>63</v>
      </c>
      <c r="E3666" s="2326">
        <v>0</v>
      </c>
      <c r="F3666" s="2327">
        <f t="shared" si="490"/>
        <v>63</v>
      </c>
      <c r="G3666" s="2328" t="s">
        <v>10864</v>
      </c>
      <c r="H3666" s="2329" t="str">
        <f t="shared" si="484"/>
        <v>QC3060H</v>
      </c>
      <c r="I3666" s="2330"/>
      <c r="J3666" s="2331" t="s">
        <v>1798</v>
      </c>
      <c r="K3666" s="2330"/>
    </row>
    <row r="3667" spans="1:11" s="33" customFormat="1">
      <c r="A3667" s="443"/>
      <c r="B3667" s="56" t="s">
        <v>122</v>
      </c>
      <c r="C3667" s="217"/>
      <c r="D3667" s="217">
        <v>51.4</v>
      </c>
      <c r="E3667" s="203">
        <v>0</v>
      </c>
      <c r="F3667" s="149">
        <f t="shared" si="490"/>
        <v>51.4</v>
      </c>
      <c r="G3667" s="22" t="s">
        <v>10865</v>
      </c>
      <c r="H3667" s="1648" t="str">
        <f t="shared" si="484"/>
        <v>QC3070H</v>
      </c>
      <c r="I3667" s="434"/>
      <c r="J3667" s="102" t="s">
        <v>1798</v>
      </c>
      <c r="K3667" s="434"/>
    </row>
    <row r="3668" spans="1:11" s="21" customFormat="1">
      <c r="A3668" s="443"/>
      <c r="B3668" s="56" t="s">
        <v>123</v>
      </c>
      <c r="C3668" s="217"/>
      <c r="D3668" s="217">
        <v>51.4</v>
      </c>
      <c r="E3668" s="203">
        <v>0</v>
      </c>
      <c r="F3668" s="149">
        <f t="shared" si="490"/>
        <v>51.4</v>
      </c>
      <c r="G3668" s="22" t="s">
        <v>10866</v>
      </c>
      <c r="H3668" s="1648" t="str">
        <f t="shared" si="484"/>
        <v>QC3080H</v>
      </c>
      <c r="I3668" s="434"/>
      <c r="J3668" s="102" t="s">
        <v>1798</v>
      </c>
      <c r="K3668" s="434"/>
    </row>
    <row r="3669" spans="1:11" s="21" customFormat="1">
      <c r="A3669" s="443"/>
      <c r="B3669" s="56" t="s">
        <v>124</v>
      </c>
      <c r="C3669" s="217"/>
      <c r="D3669" s="217">
        <v>66.8</v>
      </c>
      <c r="E3669" s="203">
        <v>0</v>
      </c>
      <c r="F3669" s="149">
        <f t="shared" si="490"/>
        <v>66.8</v>
      </c>
      <c r="G3669" s="22" t="s">
        <v>10867</v>
      </c>
      <c r="H3669" s="1648" t="str">
        <f t="shared" si="484"/>
        <v>QC3090H</v>
      </c>
      <c r="I3669" s="434"/>
      <c r="J3669" s="102" t="s">
        <v>1798</v>
      </c>
      <c r="K3669" s="434"/>
    </row>
    <row r="3670" spans="1:11" s="21" customFormat="1">
      <c r="A3670" s="443"/>
      <c r="B3670" s="56" t="s">
        <v>125</v>
      </c>
      <c r="C3670" s="217"/>
      <c r="D3670" s="217">
        <v>66.8</v>
      </c>
      <c r="E3670" s="203">
        <v>0</v>
      </c>
      <c r="F3670" s="149">
        <f t="shared" si="490"/>
        <v>66.8</v>
      </c>
      <c r="G3670" s="22" t="s">
        <v>10868</v>
      </c>
      <c r="H3670" s="1648" t="str">
        <f t="shared" ref="H3670:H3736" si="491">B3670</f>
        <v>QC3100H</v>
      </c>
      <c r="I3670" s="434"/>
      <c r="J3670" s="102" t="s">
        <v>1798</v>
      </c>
      <c r="K3670" s="434"/>
    </row>
    <row r="3671" spans="1:11" s="21" customFormat="1">
      <c r="A3671" s="435"/>
      <c r="B3671" s="434"/>
      <c r="C3671" s="217"/>
      <c r="D3671" s="217"/>
      <c r="E3671" s="438"/>
      <c r="F3671" s="439"/>
      <c r="G3671" s="434"/>
      <c r="H3671" s="1648"/>
      <c r="I3671" s="434"/>
      <c r="J3671" s="435"/>
      <c r="K3671" s="434"/>
    </row>
    <row r="3672" spans="1:11" s="21" customFormat="1">
      <c r="A3672" s="435"/>
      <c r="B3672" s="903" t="s">
        <v>3132</v>
      </c>
      <c r="C3672" s="904"/>
      <c r="D3672" s="904">
        <v>6</v>
      </c>
      <c r="E3672" s="905">
        <v>1</v>
      </c>
      <c r="F3672" s="906">
        <f>D3672+E3672</f>
        <v>7</v>
      </c>
      <c r="G3672" s="907" t="s">
        <v>7848</v>
      </c>
      <c r="H3672" s="1648" t="str">
        <f t="shared" si="491"/>
        <v>QC123PL</v>
      </c>
      <c r="I3672" s="434"/>
      <c r="J3672" s="435"/>
      <c r="K3672" s="434"/>
    </row>
    <row r="3673" spans="1:11" s="21" customFormat="1">
      <c r="A3673" s="435"/>
      <c r="B3673" s="434"/>
      <c r="C3673" s="217"/>
      <c r="D3673" s="217"/>
      <c r="E3673" s="438"/>
      <c r="F3673" s="439"/>
      <c r="G3673" s="434"/>
      <c r="H3673" s="1648"/>
      <c r="I3673" s="434"/>
      <c r="J3673" s="435"/>
      <c r="K3673" s="434"/>
    </row>
    <row r="3674" spans="1:11" s="21" customFormat="1">
      <c r="A3674" s="435"/>
      <c r="B3674" s="434"/>
      <c r="C3674" s="217"/>
      <c r="D3674" s="217"/>
      <c r="E3674" s="438"/>
      <c r="F3674" s="439"/>
      <c r="G3674" s="434"/>
      <c r="H3674" s="1648"/>
      <c r="I3674" s="434"/>
      <c r="J3674" s="435"/>
      <c r="K3674" s="434"/>
    </row>
    <row r="3675" spans="1:11" s="21" customFormat="1">
      <c r="A3675" s="461"/>
      <c r="B3675" s="56" t="s">
        <v>565</v>
      </c>
      <c r="C3675" s="217"/>
      <c r="D3675" s="217">
        <v>9</v>
      </c>
      <c r="E3675" s="203">
        <v>0</v>
      </c>
      <c r="F3675" s="149">
        <f t="shared" ref="F3675:F3682" si="492">D3675+E3675</f>
        <v>9</v>
      </c>
      <c r="G3675" s="22" t="s">
        <v>7867</v>
      </c>
      <c r="H3675" s="1648" t="str">
        <f t="shared" si="491"/>
        <v>BAB1015</v>
      </c>
      <c r="I3675" s="441"/>
      <c r="J3675" s="102" t="s">
        <v>1798</v>
      </c>
      <c r="K3675" s="441"/>
    </row>
    <row r="3676" spans="1:11" s="21" customFormat="1">
      <c r="A3676" s="461"/>
      <c r="B3676" s="56" t="s">
        <v>566</v>
      </c>
      <c r="C3676" s="217"/>
      <c r="D3676" s="217">
        <v>9</v>
      </c>
      <c r="E3676" s="203">
        <v>0</v>
      </c>
      <c r="F3676" s="149">
        <f t="shared" si="492"/>
        <v>9</v>
      </c>
      <c r="G3676" s="22" t="s">
        <v>5110</v>
      </c>
      <c r="H3676" s="1648" t="str">
        <f t="shared" si="491"/>
        <v>BAB1020</v>
      </c>
      <c r="I3676" s="441"/>
      <c r="J3676" s="102" t="s">
        <v>1798</v>
      </c>
      <c r="K3676" s="441"/>
    </row>
    <row r="3677" spans="1:11" s="21" customFormat="1">
      <c r="A3677" s="461"/>
      <c r="B3677" s="56" t="s">
        <v>567</v>
      </c>
      <c r="C3677" s="217"/>
      <c r="D3677" s="217">
        <v>9</v>
      </c>
      <c r="E3677" s="203">
        <v>0</v>
      </c>
      <c r="F3677" s="149">
        <f t="shared" si="492"/>
        <v>9</v>
      </c>
      <c r="G3677" s="22" t="s">
        <v>7868</v>
      </c>
      <c r="H3677" s="1648" t="str">
        <f t="shared" si="491"/>
        <v>BAB1030</v>
      </c>
      <c r="I3677" s="441"/>
      <c r="J3677" s="102" t="s">
        <v>1798</v>
      </c>
      <c r="K3677" s="441"/>
    </row>
    <row r="3678" spans="1:11" s="21" customFormat="1">
      <c r="A3678" s="461"/>
      <c r="B3678" s="56" t="s">
        <v>568</v>
      </c>
      <c r="C3678" s="217"/>
      <c r="D3678" s="217">
        <v>9</v>
      </c>
      <c r="E3678" s="203">
        <v>0</v>
      </c>
      <c r="F3678" s="149">
        <f t="shared" si="492"/>
        <v>9</v>
      </c>
      <c r="G3678" s="22" t="s">
        <v>7869</v>
      </c>
      <c r="H3678" s="1648" t="str">
        <f t="shared" si="491"/>
        <v>BAB1040</v>
      </c>
      <c r="I3678" s="441"/>
      <c r="J3678" s="102" t="s">
        <v>1798</v>
      </c>
      <c r="K3678" s="441"/>
    </row>
    <row r="3679" spans="1:11" s="33" customFormat="1">
      <c r="A3679" s="461"/>
      <c r="B3679" s="56" t="s">
        <v>569</v>
      </c>
      <c r="C3679" s="217"/>
      <c r="D3679" s="217">
        <v>9</v>
      </c>
      <c r="E3679" s="203">
        <v>0</v>
      </c>
      <c r="F3679" s="149">
        <f t="shared" si="492"/>
        <v>9</v>
      </c>
      <c r="G3679" s="22" t="s">
        <v>7870</v>
      </c>
      <c r="H3679" s="1648" t="str">
        <f t="shared" si="491"/>
        <v>BAB1050</v>
      </c>
      <c r="I3679" s="441"/>
      <c r="J3679" s="102" t="s">
        <v>1798</v>
      </c>
      <c r="K3679" s="441"/>
    </row>
    <row r="3680" spans="1:11" s="21" customFormat="1">
      <c r="A3680" s="461"/>
      <c r="B3680" s="56" t="s">
        <v>570</v>
      </c>
      <c r="C3680" s="217"/>
      <c r="D3680" s="217">
        <v>12.5</v>
      </c>
      <c r="E3680" s="203">
        <v>0</v>
      </c>
      <c r="F3680" s="149">
        <f t="shared" si="492"/>
        <v>12.5</v>
      </c>
      <c r="G3680" s="22" t="s">
        <v>7871</v>
      </c>
      <c r="H3680" s="1648" t="str">
        <f t="shared" si="491"/>
        <v>BAB1060</v>
      </c>
      <c r="I3680" s="441"/>
      <c r="J3680" s="102" t="s">
        <v>1798</v>
      </c>
      <c r="K3680" s="441"/>
    </row>
    <row r="3681" spans="1:11" s="21" customFormat="1">
      <c r="A3681" s="461"/>
      <c r="B3681" s="56" t="s">
        <v>571</v>
      </c>
      <c r="C3681" s="217"/>
      <c r="D3681" s="217">
        <v>12.5</v>
      </c>
      <c r="E3681" s="203">
        <v>0</v>
      </c>
      <c r="F3681" s="149">
        <f t="shared" si="492"/>
        <v>12.5</v>
      </c>
      <c r="G3681" s="22" t="s">
        <v>7872</v>
      </c>
      <c r="H3681" s="1648" t="str">
        <f t="shared" si="491"/>
        <v>BAB1070</v>
      </c>
      <c r="I3681" s="441"/>
      <c r="J3681" s="102" t="s">
        <v>1798</v>
      </c>
      <c r="K3681" s="441"/>
    </row>
    <row r="3682" spans="1:11" s="21" customFormat="1">
      <c r="A3682" s="461"/>
      <c r="B3682" s="56" t="s">
        <v>572</v>
      </c>
      <c r="C3682" s="217"/>
      <c r="D3682" s="217">
        <v>12.5</v>
      </c>
      <c r="E3682" s="203">
        <v>0</v>
      </c>
      <c r="F3682" s="149">
        <f t="shared" si="492"/>
        <v>12.5</v>
      </c>
      <c r="G3682" s="22" t="s">
        <v>7873</v>
      </c>
      <c r="H3682" s="1648" t="str">
        <f t="shared" si="491"/>
        <v>BAB1080</v>
      </c>
      <c r="I3682" s="441"/>
      <c r="J3682" s="102" t="s">
        <v>1798</v>
      </c>
      <c r="K3682" s="441"/>
    </row>
    <row r="3683" spans="1:11" s="21" customFormat="1">
      <c r="A3683" s="435"/>
      <c r="B3683" s="434"/>
      <c r="C3683" s="217"/>
      <c r="D3683" s="217"/>
      <c r="E3683" s="438"/>
      <c r="F3683" s="439"/>
      <c r="G3683" s="434"/>
      <c r="H3683" s="1648"/>
      <c r="I3683" s="434"/>
      <c r="J3683" s="435"/>
      <c r="K3683" s="434"/>
    </row>
    <row r="3684" spans="1:11" s="21" customFormat="1">
      <c r="A3684" s="461"/>
      <c r="B3684" s="56" t="s">
        <v>100</v>
      </c>
      <c r="C3684" s="217"/>
      <c r="D3684" s="217">
        <v>13.4</v>
      </c>
      <c r="E3684" s="203">
        <v>0</v>
      </c>
      <c r="F3684" s="149">
        <f t="shared" ref="F3684:F3693" si="493">D3684+E3684</f>
        <v>13.4</v>
      </c>
      <c r="G3684" s="22" t="s">
        <v>7874</v>
      </c>
      <c r="H3684" s="1648" t="str">
        <f t="shared" si="491"/>
        <v>BAB2015</v>
      </c>
      <c r="I3684" s="441"/>
      <c r="J3684" s="102" t="s">
        <v>1798</v>
      </c>
      <c r="K3684" s="441"/>
    </row>
    <row r="3685" spans="1:11" s="21" customFormat="1">
      <c r="A3685" s="461"/>
      <c r="B3685" s="56" t="s">
        <v>99</v>
      </c>
      <c r="C3685" s="217"/>
      <c r="D3685" s="217">
        <v>13.4</v>
      </c>
      <c r="E3685" s="203">
        <v>0</v>
      </c>
      <c r="F3685" s="149">
        <f t="shared" si="493"/>
        <v>13.4</v>
      </c>
      <c r="G3685" s="22" t="s">
        <v>7875</v>
      </c>
      <c r="H3685" s="1648" t="str">
        <f t="shared" si="491"/>
        <v>BAB2020</v>
      </c>
      <c r="I3685" s="441"/>
      <c r="J3685" s="102" t="s">
        <v>1798</v>
      </c>
      <c r="K3685" s="441"/>
    </row>
    <row r="3686" spans="1:11" s="21" customFormat="1">
      <c r="A3686" s="461"/>
      <c r="B3686" s="56" t="s">
        <v>101</v>
      </c>
      <c r="C3686" s="217"/>
      <c r="D3686" s="217">
        <v>13.4</v>
      </c>
      <c r="E3686" s="203">
        <v>0</v>
      </c>
      <c r="F3686" s="149">
        <f t="shared" si="493"/>
        <v>13.4</v>
      </c>
      <c r="G3686" s="22" t="s">
        <v>7876</v>
      </c>
      <c r="H3686" s="1648" t="str">
        <f t="shared" si="491"/>
        <v>BAB2030</v>
      </c>
      <c r="I3686" s="441"/>
      <c r="J3686" s="102" t="s">
        <v>1798</v>
      </c>
      <c r="K3686" s="441"/>
    </row>
    <row r="3687" spans="1:11" s="21" customFormat="1">
      <c r="A3687" s="461"/>
      <c r="B3687" s="56" t="s">
        <v>102</v>
      </c>
      <c r="C3687" s="217"/>
      <c r="D3687" s="217">
        <v>13.4</v>
      </c>
      <c r="E3687" s="203">
        <v>0</v>
      </c>
      <c r="F3687" s="149">
        <f t="shared" si="493"/>
        <v>13.4</v>
      </c>
      <c r="G3687" s="22" t="s">
        <v>7877</v>
      </c>
      <c r="H3687" s="1648" t="str">
        <f t="shared" si="491"/>
        <v>BAB2040</v>
      </c>
      <c r="I3687" s="441"/>
      <c r="J3687" s="102" t="s">
        <v>1798</v>
      </c>
      <c r="K3687" s="441"/>
    </row>
    <row r="3688" spans="1:11" s="21" customFormat="1">
      <c r="A3688" s="461"/>
      <c r="B3688" s="56" t="s">
        <v>103</v>
      </c>
      <c r="C3688" s="217"/>
      <c r="D3688" s="217">
        <v>13.4</v>
      </c>
      <c r="E3688" s="203">
        <v>0</v>
      </c>
      <c r="F3688" s="149">
        <f t="shared" si="493"/>
        <v>13.4</v>
      </c>
      <c r="G3688" s="22" t="s">
        <v>7878</v>
      </c>
      <c r="H3688" s="1648" t="str">
        <f t="shared" si="491"/>
        <v>BAB2050</v>
      </c>
      <c r="I3688" s="441"/>
      <c r="J3688" s="102" t="s">
        <v>1798</v>
      </c>
      <c r="K3688" s="441"/>
    </row>
    <row r="3689" spans="1:11" s="21" customFormat="1">
      <c r="A3689" s="461"/>
      <c r="B3689" s="56" t="s">
        <v>104</v>
      </c>
      <c r="C3689" s="217"/>
      <c r="D3689" s="217">
        <v>13.4</v>
      </c>
      <c r="E3689" s="203">
        <v>0</v>
      </c>
      <c r="F3689" s="149">
        <f t="shared" si="493"/>
        <v>13.4</v>
      </c>
      <c r="G3689" s="22" t="s">
        <v>7879</v>
      </c>
      <c r="H3689" s="1648" t="str">
        <f t="shared" si="491"/>
        <v>BAB2060</v>
      </c>
      <c r="I3689" s="441"/>
      <c r="J3689" s="102" t="s">
        <v>1798</v>
      </c>
      <c r="K3689" s="441"/>
    </row>
    <row r="3690" spans="1:11" s="21" customFormat="1">
      <c r="A3690" s="461"/>
      <c r="B3690" s="56" t="s">
        <v>105</v>
      </c>
      <c r="C3690" s="217"/>
      <c r="D3690" s="217">
        <v>23.5</v>
      </c>
      <c r="E3690" s="203">
        <v>0</v>
      </c>
      <c r="F3690" s="149">
        <f t="shared" si="493"/>
        <v>23.5</v>
      </c>
      <c r="G3690" s="22" t="s">
        <v>7880</v>
      </c>
      <c r="H3690" s="1648" t="str">
        <f t="shared" si="491"/>
        <v>BAB2070</v>
      </c>
      <c r="I3690" s="441"/>
      <c r="J3690" s="102" t="s">
        <v>1798</v>
      </c>
      <c r="K3690" s="441"/>
    </row>
    <row r="3691" spans="1:11" s="21" customFormat="1">
      <c r="A3691" s="461"/>
      <c r="B3691" s="56" t="s">
        <v>693</v>
      </c>
      <c r="C3691" s="217"/>
      <c r="D3691" s="217">
        <v>23.5</v>
      </c>
      <c r="E3691" s="203">
        <v>0</v>
      </c>
      <c r="F3691" s="149">
        <f t="shared" si="493"/>
        <v>23.5</v>
      </c>
      <c r="G3691" s="22" t="s">
        <v>7881</v>
      </c>
      <c r="H3691" s="1648" t="str">
        <f t="shared" si="491"/>
        <v>BAB2080</v>
      </c>
      <c r="I3691" s="441"/>
      <c r="J3691" s="102" t="s">
        <v>1798</v>
      </c>
      <c r="K3691" s="441"/>
    </row>
    <row r="3692" spans="1:11" s="21" customFormat="1">
      <c r="A3692" s="461"/>
      <c r="B3692" s="56" t="s">
        <v>694</v>
      </c>
      <c r="C3692" s="217"/>
      <c r="D3692" s="217">
        <v>23.5</v>
      </c>
      <c r="E3692" s="203">
        <v>0</v>
      </c>
      <c r="F3692" s="149">
        <f t="shared" si="493"/>
        <v>23.5</v>
      </c>
      <c r="G3692" s="22" t="s">
        <v>7882</v>
      </c>
      <c r="H3692" s="1648" t="str">
        <f t="shared" si="491"/>
        <v>BAB2090</v>
      </c>
      <c r="I3692" s="441"/>
      <c r="J3692" s="102" t="s">
        <v>1798</v>
      </c>
      <c r="K3692" s="441"/>
    </row>
    <row r="3693" spans="1:11" s="21" customFormat="1">
      <c r="A3693" s="461"/>
      <c r="B3693" s="56" t="s">
        <v>738</v>
      </c>
      <c r="C3693" s="217"/>
      <c r="D3693" s="217">
        <v>23.5</v>
      </c>
      <c r="E3693" s="203">
        <v>0</v>
      </c>
      <c r="F3693" s="149">
        <f t="shared" si="493"/>
        <v>23.5</v>
      </c>
      <c r="G3693" s="22" t="s">
        <v>7883</v>
      </c>
      <c r="H3693" s="1648" t="str">
        <f t="shared" si="491"/>
        <v>BAB20100</v>
      </c>
      <c r="I3693" s="441"/>
      <c r="J3693" s="102" t="s">
        <v>1798</v>
      </c>
      <c r="K3693" s="441"/>
    </row>
    <row r="3694" spans="1:11" s="21" customFormat="1">
      <c r="A3694" s="440"/>
      <c r="B3694" s="56"/>
      <c r="C3694" s="217"/>
      <c r="D3694" s="217"/>
      <c r="E3694" s="203"/>
      <c r="F3694" s="149"/>
      <c r="G3694" s="22"/>
      <c r="H3694" s="1648"/>
      <c r="I3694" s="441"/>
      <c r="J3694" s="440"/>
      <c r="K3694" s="441"/>
    </row>
    <row r="3695" spans="1:11" s="21" customFormat="1">
      <c r="A3695" s="461"/>
      <c r="B3695" s="908" t="s">
        <v>3135</v>
      </c>
      <c r="C3695" s="904"/>
      <c r="D3695" s="904">
        <v>41</v>
      </c>
      <c r="E3695" s="905">
        <v>0</v>
      </c>
      <c r="F3695" s="906">
        <v>45</v>
      </c>
      <c r="G3695" s="907" t="s">
        <v>7884</v>
      </c>
      <c r="H3695" s="1648" t="str">
        <f t="shared" si="491"/>
        <v>BAB2015H</v>
      </c>
      <c r="I3695" s="441"/>
      <c r="J3695" s="102" t="s">
        <v>1798</v>
      </c>
      <c r="K3695" s="441"/>
    </row>
    <row r="3696" spans="1:11" s="21" customFormat="1">
      <c r="A3696" s="461"/>
      <c r="B3696" s="908" t="s">
        <v>3133</v>
      </c>
      <c r="C3696" s="904"/>
      <c r="D3696" s="904">
        <v>41</v>
      </c>
      <c r="E3696" s="905">
        <v>0</v>
      </c>
      <c r="F3696" s="906">
        <v>45</v>
      </c>
      <c r="G3696" s="907" t="s">
        <v>7885</v>
      </c>
      <c r="H3696" s="1648" t="str">
        <f t="shared" si="491"/>
        <v>BAB2020H</v>
      </c>
      <c r="I3696" s="441"/>
      <c r="J3696" s="102" t="s">
        <v>1798</v>
      </c>
      <c r="K3696" s="441"/>
    </row>
    <row r="3697" spans="1:11" s="21" customFormat="1">
      <c r="A3697" s="461"/>
      <c r="B3697" s="908" t="s">
        <v>3134</v>
      </c>
      <c r="C3697" s="904"/>
      <c r="D3697" s="904">
        <v>41</v>
      </c>
      <c r="E3697" s="905">
        <v>0</v>
      </c>
      <c r="F3697" s="906">
        <v>45</v>
      </c>
      <c r="G3697" s="907" t="s">
        <v>7886</v>
      </c>
      <c r="H3697" s="1648" t="str">
        <f t="shared" si="491"/>
        <v>BAB2030H</v>
      </c>
      <c r="I3697" s="441"/>
      <c r="J3697" s="102" t="s">
        <v>1798</v>
      </c>
      <c r="K3697" s="441"/>
    </row>
    <row r="3698" spans="1:11" s="21" customFormat="1">
      <c r="A3698" s="461"/>
      <c r="B3698" s="908" t="s">
        <v>3136</v>
      </c>
      <c r="C3698" s="904"/>
      <c r="D3698" s="904">
        <v>41</v>
      </c>
      <c r="E3698" s="905">
        <v>0</v>
      </c>
      <c r="F3698" s="906">
        <v>45</v>
      </c>
      <c r="G3698" s="907" t="s">
        <v>7887</v>
      </c>
      <c r="H3698" s="1648" t="str">
        <f t="shared" si="491"/>
        <v>BAB2040H</v>
      </c>
      <c r="I3698" s="441"/>
      <c r="J3698" s="102" t="s">
        <v>1798</v>
      </c>
      <c r="K3698" s="441"/>
    </row>
    <row r="3699" spans="1:11" s="21" customFormat="1">
      <c r="A3699" s="461"/>
      <c r="B3699" s="908" t="s">
        <v>3137</v>
      </c>
      <c r="C3699" s="904"/>
      <c r="D3699" s="904">
        <v>41</v>
      </c>
      <c r="E3699" s="905">
        <v>0</v>
      </c>
      <c r="F3699" s="906">
        <v>45</v>
      </c>
      <c r="G3699" s="907" t="s">
        <v>7888</v>
      </c>
      <c r="H3699" s="1648" t="str">
        <f t="shared" si="491"/>
        <v>BAB2050H</v>
      </c>
      <c r="I3699" s="441"/>
      <c r="J3699" s="102" t="s">
        <v>1798</v>
      </c>
      <c r="K3699" s="441"/>
    </row>
    <row r="3700" spans="1:11" s="21" customFormat="1">
      <c r="A3700" s="461"/>
      <c r="B3700" s="908" t="s">
        <v>3138</v>
      </c>
      <c r="C3700" s="904"/>
      <c r="D3700" s="904">
        <v>41</v>
      </c>
      <c r="E3700" s="905">
        <v>0</v>
      </c>
      <c r="F3700" s="906">
        <v>45</v>
      </c>
      <c r="G3700" s="907" t="s">
        <v>7889</v>
      </c>
      <c r="H3700" s="1648" t="str">
        <f t="shared" si="491"/>
        <v>BAB2060H</v>
      </c>
      <c r="I3700" s="441"/>
      <c r="J3700" s="102" t="s">
        <v>1798</v>
      </c>
      <c r="K3700" s="441"/>
    </row>
    <row r="3701" spans="1:11" s="21" customFormat="1">
      <c r="A3701" s="440"/>
      <c r="B3701" s="56"/>
      <c r="C3701" s="217"/>
      <c r="D3701" s="217"/>
      <c r="E3701" s="203"/>
      <c r="F3701" s="149"/>
      <c r="G3701" s="22"/>
      <c r="H3701" s="1648"/>
      <c r="I3701" s="441"/>
      <c r="J3701" s="440"/>
      <c r="K3701" s="441"/>
    </row>
    <row r="3702" spans="1:11" s="21" customFormat="1">
      <c r="A3702" s="1522"/>
      <c r="B3702" s="908" t="s">
        <v>7890</v>
      </c>
      <c r="C3702" s="904"/>
      <c r="D3702" s="904">
        <v>36</v>
      </c>
      <c r="E3702" s="905">
        <v>0</v>
      </c>
      <c r="F3702" s="906">
        <f>D3702+E3702</f>
        <v>36</v>
      </c>
      <c r="G3702" s="907" t="s">
        <v>7891</v>
      </c>
      <c r="H3702" s="1648" t="str">
        <f>B3702</f>
        <v>BAB2015C</v>
      </c>
      <c r="I3702" s="441"/>
      <c r="J3702" s="102" t="s">
        <v>1798</v>
      </c>
      <c r="K3702" s="441"/>
    </row>
    <row r="3703" spans="1:11" s="21" customFormat="1">
      <c r="A3703" s="1522"/>
      <c r="B3703" s="908" t="s">
        <v>7892</v>
      </c>
      <c r="C3703" s="904"/>
      <c r="D3703" s="904">
        <v>36</v>
      </c>
      <c r="E3703" s="905">
        <v>0</v>
      </c>
      <c r="F3703" s="906">
        <f>D3703+E3703</f>
        <v>36</v>
      </c>
      <c r="G3703" s="907" t="s">
        <v>7893</v>
      </c>
      <c r="H3703" s="1648" t="str">
        <f>B3703</f>
        <v>BAB2020C</v>
      </c>
      <c r="I3703" s="441"/>
      <c r="J3703" s="102" t="s">
        <v>1798</v>
      </c>
      <c r="K3703" s="441"/>
    </row>
    <row r="3704" spans="1:11" s="1517" customFormat="1">
      <c r="A3704" s="1523"/>
      <c r="B3704" s="1521"/>
      <c r="C3704" s="217"/>
      <c r="D3704" s="217"/>
      <c r="E3704" s="407"/>
      <c r="F3704" s="157"/>
      <c r="G3704" s="410"/>
      <c r="H3704" s="473"/>
      <c r="I3704" s="911"/>
      <c r="J3704" s="102"/>
      <c r="K3704" s="911"/>
    </row>
    <row r="3705" spans="1:11" s="21" customFormat="1">
      <c r="A3705" s="1522"/>
      <c r="B3705" s="908" t="s">
        <v>7894</v>
      </c>
      <c r="C3705" s="904"/>
      <c r="D3705" s="904">
        <v>188</v>
      </c>
      <c r="E3705" s="905">
        <v>10</v>
      </c>
      <c r="F3705" s="906">
        <f>D3705+E3705</f>
        <v>198</v>
      </c>
      <c r="G3705" s="907" t="s">
        <v>7895</v>
      </c>
      <c r="H3705" s="1648" t="str">
        <f t="shared" si="491"/>
        <v>BABRSP2020</v>
      </c>
      <c r="I3705" s="441"/>
      <c r="J3705" s="102" t="s">
        <v>1798</v>
      </c>
      <c r="K3705" s="441"/>
    </row>
    <row r="3706" spans="1:11" s="21" customFormat="1">
      <c r="A3706" s="1522"/>
      <c r="B3706" s="908" t="s">
        <v>7896</v>
      </c>
      <c r="C3706" s="904"/>
      <c r="D3706" s="904">
        <v>188</v>
      </c>
      <c r="E3706" s="905">
        <v>10</v>
      </c>
      <c r="F3706" s="906">
        <f>D3706+E3706</f>
        <v>198</v>
      </c>
      <c r="G3706" s="907" t="s">
        <v>7897</v>
      </c>
      <c r="H3706" s="1648" t="str">
        <f t="shared" si="491"/>
        <v>BABRSP2015</v>
      </c>
      <c r="I3706" s="441"/>
      <c r="J3706" s="102" t="s">
        <v>1798</v>
      </c>
      <c r="K3706" s="441"/>
    </row>
    <row r="3707" spans="1:11" s="21" customFormat="1">
      <c r="A3707" s="1522"/>
      <c r="B3707" s="908" t="s">
        <v>7898</v>
      </c>
      <c r="C3707" s="904"/>
      <c r="D3707" s="904">
        <v>60</v>
      </c>
      <c r="E3707" s="905">
        <v>10</v>
      </c>
      <c r="F3707" s="906">
        <f>D3707+E3707</f>
        <v>70</v>
      </c>
      <c r="G3707" s="907" t="s">
        <v>7899</v>
      </c>
      <c r="H3707" s="1648" t="str">
        <f>B3707</f>
        <v>XRU1D24U</v>
      </c>
      <c r="I3707" s="441"/>
      <c r="J3707" s="102" t="s">
        <v>1798</v>
      </c>
      <c r="K3707" s="441"/>
    </row>
    <row r="3708" spans="1:11" s="21" customFormat="1">
      <c r="A3708" s="1522"/>
      <c r="B3708" s="908" t="s">
        <v>7900</v>
      </c>
      <c r="C3708" s="904"/>
      <c r="D3708" s="904">
        <v>167</v>
      </c>
      <c r="E3708" s="905">
        <v>10</v>
      </c>
      <c r="F3708" s="906">
        <f>D3708+E3708</f>
        <v>177</v>
      </c>
      <c r="G3708" s="907" t="s">
        <v>7901</v>
      </c>
      <c r="H3708" s="1648" t="str">
        <f>B3708</f>
        <v>C0100E2B</v>
      </c>
      <c r="I3708" s="441"/>
      <c r="J3708" s="102" t="s">
        <v>1798</v>
      </c>
      <c r="K3708" s="441"/>
    </row>
    <row r="3709" spans="1:11" s="21" customFormat="1">
      <c r="A3709" s="440"/>
      <c r="B3709" s="56"/>
      <c r="C3709" s="217"/>
      <c r="D3709" s="217"/>
      <c r="E3709" s="203"/>
      <c r="F3709" s="149"/>
      <c r="G3709" s="185"/>
      <c r="H3709" s="1648"/>
      <c r="I3709" s="441"/>
      <c r="J3709" s="440"/>
      <c r="K3709" s="441"/>
    </row>
    <row r="3710" spans="1:11" s="21" customFormat="1">
      <c r="A3710" s="461"/>
      <c r="B3710" s="56" t="s">
        <v>115</v>
      </c>
      <c r="C3710" s="217"/>
      <c r="D3710" s="217">
        <v>53</v>
      </c>
      <c r="E3710" s="203">
        <v>0</v>
      </c>
      <c r="F3710" s="149">
        <f t="shared" ref="F3710:F3719" si="494">D3710+E3710</f>
        <v>53</v>
      </c>
      <c r="G3710" s="22" t="s">
        <v>7902</v>
      </c>
      <c r="H3710" s="1648" t="str">
        <f t="shared" si="491"/>
        <v>BAB3015H</v>
      </c>
      <c r="I3710" s="441"/>
      <c r="J3710" s="102" t="s">
        <v>1798</v>
      </c>
      <c r="K3710" s="441"/>
    </row>
    <row r="3711" spans="1:11" s="21" customFormat="1">
      <c r="A3711" s="461"/>
      <c r="B3711" s="56" t="s">
        <v>113</v>
      </c>
      <c r="C3711" s="217"/>
      <c r="D3711" s="217">
        <v>53</v>
      </c>
      <c r="E3711" s="203">
        <v>0</v>
      </c>
      <c r="F3711" s="149">
        <f t="shared" si="494"/>
        <v>53</v>
      </c>
      <c r="G3711" s="22" t="s">
        <v>7903</v>
      </c>
      <c r="H3711" s="1648" t="str">
        <f t="shared" si="491"/>
        <v>BAB3020H</v>
      </c>
      <c r="I3711" s="441"/>
      <c r="J3711" s="102" t="s">
        <v>1798</v>
      </c>
      <c r="K3711" s="441"/>
    </row>
    <row r="3712" spans="1:11" s="21" customFormat="1">
      <c r="A3712" s="461"/>
      <c r="B3712" s="56" t="s">
        <v>114</v>
      </c>
      <c r="C3712" s="217"/>
      <c r="D3712" s="217">
        <v>53</v>
      </c>
      <c r="E3712" s="203">
        <v>0</v>
      </c>
      <c r="F3712" s="149">
        <f t="shared" si="494"/>
        <v>53</v>
      </c>
      <c r="G3712" s="22" t="s">
        <v>7904</v>
      </c>
      <c r="H3712" s="1648" t="str">
        <f t="shared" si="491"/>
        <v>BAB3030H</v>
      </c>
      <c r="I3712" s="441"/>
      <c r="J3712" s="102" t="s">
        <v>1798</v>
      </c>
      <c r="K3712" s="441"/>
    </row>
    <row r="3713" spans="1:11" s="21" customFormat="1">
      <c r="A3713" s="461"/>
      <c r="B3713" s="56" t="s">
        <v>106</v>
      </c>
      <c r="C3713" s="217"/>
      <c r="D3713" s="217">
        <v>53</v>
      </c>
      <c r="E3713" s="203">
        <v>0</v>
      </c>
      <c r="F3713" s="149">
        <f t="shared" si="494"/>
        <v>53</v>
      </c>
      <c r="G3713" s="22" t="s">
        <v>7905</v>
      </c>
      <c r="H3713" s="1648" t="str">
        <f t="shared" si="491"/>
        <v>BAB3040H</v>
      </c>
      <c r="I3713" s="441"/>
      <c r="J3713" s="102" t="s">
        <v>1798</v>
      </c>
      <c r="K3713" s="441"/>
    </row>
    <row r="3714" spans="1:11" s="21" customFormat="1">
      <c r="A3714" s="461"/>
      <c r="B3714" s="56" t="s">
        <v>107</v>
      </c>
      <c r="C3714" s="217"/>
      <c r="D3714" s="217">
        <v>53</v>
      </c>
      <c r="E3714" s="203">
        <v>0</v>
      </c>
      <c r="F3714" s="149">
        <f t="shared" si="494"/>
        <v>53</v>
      </c>
      <c r="G3714" s="22" t="s">
        <v>7906</v>
      </c>
      <c r="H3714" s="1648" t="str">
        <f t="shared" si="491"/>
        <v>BAB3050H</v>
      </c>
      <c r="I3714" s="441"/>
      <c r="J3714" s="102" t="s">
        <v>1798</v>
      </c>
      <c r="K3714" s="441"/>
    </row>
    <row r="3715" spans="1:11" s="21" customFormat="1">
      <c r="A3715" s="461"/>
      <c r="B3715" s="56" t="s">
        <v>108</v>
      </c>
      <c r="C3715" s="217"/>
      <c r="D3715" s="217">
        <v>57</v>
      </c>
      <c r="E3715" s="203">
        <v>0</v>
      </c>
      <c r="F3715" s="149">
        <f t="shared" si="494"/>
        <v>57</v>
      </c>
      <c r="G3715" s="22" t="s">
        <v>7907</v>
      </c>
      <c r="H3715" s="1648" t="str">
        <f t="shared" si="491"/>
        <v>BAB3060H</v>
      </c>
      <c r="I3715" s="441"/>
      <c r="J3715" s="102" t="s">
        <v>1798</v>
      </c>
      <c r="K3715" s="441"/>
    </row>
    <row r="3716" spans="1:11" s="33" customFormat="1">
      <c r="A3716" s="461"/>
      <c r="B3716" s="56" t="s">
        <v>109</v>
      </c>
      <c r="C3716" s="217"/>
      <c r="D3716" s="217">
        <v>57</v>
      </c>
      <c r="E3716" s="203">
        <v>0</v>
      </c>
      <c r="F3716" s="149">
        <f t="shared" si="494"/>
        <v>57</v>
      </c>
      <c r="G3716" s="22" t="s">
        <v>7908</v>
      </c>
      <c r="H3716" s="1648" t="str">
        <f t="shared" si="491"/>
        <v>BAB3070H</v>
      </c>
      <c r="I3716" s="441"/>
      <c r="J3716" s="102" t="s">
        <v>1798</v>
      </c>
      <c r="K3716" s="441"/>
    </row>
    <row r="3717" spans="1:11" s="33" customFormat="1">
      <c r="A3717" s="461"/>
      <c r="B3717" s="56" t="s">
        <v>110</v>
      </c>
      <c r="C3717" s="217"/>
      <c r="D3717" s="217">
        <v>57</v>
      </c>
      <c r="E3717" s="203">
        <v>0</v>
      </c>
      <c r="F3717" s="149">
        <f t="shared" si="494"/>
        <v>57</v>
      </c>
      <c r="G3717" s="22" t="s">
        <v>7909</v>
      </c>
      <c r="H3717" s="1648" t="str">
        <f t="shared" si="491"/>
        <v>BAB3080H</v>
      </c>
      <c r="I3717" s="441"/>
      <c r="J3717" s="102" t="s">
        <v>1798</v>
      </c>
      <c r="K3717" s="441"/>
    </row>
    <row r="3718" spans="1:11" s="33" customFormat="1">
      <c r="A3718" s="461"/>
      <c r="B3718" s="56" t="s">
        <v>111</v>
      </c>
      <c r="C3718" s="217"/>
      <c r="D3718" s="217">
        <v>57</v>
      </c>
      <c r="E3718" s="203">
        <v>0</v>
      </c>
      <c r="F3718" s="149">
        <f t="shared" si="494"/>
        <v>57</v>
      </c>
      <c r="G3718" s="22" t="s">
        <v>7910</v>
      </c>
      <c r="H3718" s="1648" t="str">
        <f t="shared" si="491"/>
        <v>BAB3090H</v>
      </c>
      <c r="I3718" s="441"/>
      <c r="J3718" s="102" t="s">
        <v>1798</v>
      </c>
      <c r="K3718" s="441"/>
    </row>
    <row r="3719" spans="1:11" s="21" customFormat="1">
      <c r="A3719" s="461"/>
      <c r="B3719" s="56" t="s">
        <v>112</v>
      </c>
      <c r="C3719" s="217"/>
      <c r="D3719" s="217">
        <v>57</v>
      </c>
      <c r="E3719" s="203">
        <v>0</v>
      </c>
      <c r="F3719" s="149">
        <f t="shared" si="494"/>
        <v>57</v>
      </c>
      <c r="G3719" s="22" t="s">
        <v>7911</v>
      </c>
      <c r="H3719" s="1648" t="str">
        <f t="shared" si="491"/>
        <v>BAB3100H</v>
      </c>
      <c r="I3719" s="441"/>
      <c r="J3719" s="102" t="s">
        <v>1798</v>
      </c>
      <c r="K3719" s="441"/>
    </row>
    <row r="3720" spans="1:11" s="1517" customFormat="1">
      <c r="A3720" s="1523"/>
      <c r="B3720" s="1521"/>
      <c r="C3720" s="217"/>
      <c r="D3720" s="217"/>
      <c r="E3720" s="407"/>
      <c r="F3720" s="157"/>
      <c r="G3720" s="410"/>
      <c r="H3720" s="473"/>
      <c r="I3720" s="911"/>
      <c r="J3720" s="102"/>
      <c r="K3720" s="911"/>
    </row>
    <row r="3721" spans="1:11" s="1517" customFormat="1" ht="12" customHeight="1">
      <c r="A3721" s="1523"/>
      <c r="B3721" s="1521"/>
      <c r="C3721" s="217"/>
      <c r="D3721" s="217"/>
      <c r="E3721" s="407"/>
      <c r="F3721" s="157"/>
      <c r="G3721" s="410"/>
      <c r="H3721" s="473"/>
      <c r="I3721" s="911"/>
      <c r="J3721" s="102"/>
      <c r="K3721" s="911"/>
    </row>
    <row r="3722" spans="1:11" s="21" customFormat="1">
      <c r="A3722" s="461"/>
      <c r="B3722" s="1521" t="s">
        <v>7912</v>
      </c>
      <c r="C3722" s="217"/>
      <c r="D3722" s="217">
        <v>140</v>
      </c>
      <c r="E3722" s="407">
        <v>0</v>
      </c>
      <c r="F3722" s="157">
        <f>D3722+E3722</f>
        <v>140</v>
      </c>
      <c r="G3722" s="410" t="s">
        <v>7913</v>
      </c>
      <c r="H3722" s="1648" t="str">
        <f>B3722</f>
        <v>BAB2020HS</v>
      </c>
      <c r="I3722" s="441"/>
      <c r="J3722" s="102" t="s">
        <v>1798</v>
      </c>
      <c r="K3722" s="441"/>
    </row>
    <row r="3723" spans="1:11" s="21" customFormat="1">
      <c r="A3723" s="461"/>
      <c r="B3723" s="56" t="s">
        <v>9354</v>
      </c>
      <c r="C3723" s="217"/>
      <c r="D3723" s="217">
        <v>140</v>
      </c>
      <c r="E3723" s="203">
        <v>0</v>
      </c>
      <c r="F3723" s="149">
        <f>D3723+E3723</f>
        <v>140</v>
      </c>
      <c r="G3723" s="22" t="s">
        <v>9355</v>
      </c>
      <c r="H3723" s="1648" t="str">
        <f>B3723</f>
        <v>BAB3020HS</v>
      </c>
      <c r="I3723" s="441"/>
      <c r="J3723" s="102" t="s">
        <v>1798</v>
      </c>
      <c r="K3723" s="441"/>
    </row>
    <row r="3724" spans="1:11" s="21" customFormat="1">
      <c r="A3724" s="461"/>
      <c r="B3724" s="56" t="s">
        <v>7914</v>
      </c>
      <c r="C3724" s="217"/>
      <c r="D3724" s="217">
        <v>140</v>
      </c>
      <c r="E3724" s="203">
        <v>0</v>
      </c>
      <c r="F3724" s="149">
        <f>D3724+E3724</f>
        <v>140</v>
      </c>
      <c r="G3724" s="22" t="s">
        <v>7915</v>
      </c>
      <c r="H3724" s="1648" t="str">
        <f>B3724</f>
        <v>BAB3030HS</v>
      </c>
      <c r="I3724" s="441"/>
      <c r="J3724" s="102" t="s">
        <v>1798</v>
      </c>
      <c r="K3724" s="441"/>
    </row>
    <row r="3725" spans="1:11" s="21" customFormat="1">
      <c r="A3725" s="435"/>
      <c r="B3725" s="434"/>
      <c r="C3725" s="217"/>
      <c r="D3725" s="217"/>
      <c r="E3725" s="438"/>
      <c r="F3725" s="439"/>
      <c r="G3725" s="434"/>
      <c r="H3725" s="1648"/>
      <c r="I3725" s="434"/>
      <c r="J3725" s="435"/>
      <c r="K3725" s="434"/>
    </row>
    <row r="3726" spans="1:11" s="33" customFormat="1">
      <c r="A3726" s="435"/>
      <c r="B3726" s="903" t="s">
        <v>7916</v>
      </c>
      <c r="C3726" s="904"/>
      <c r="D3726" s="904">
        <v>6</v>
      </c>
      <c r="E3726" s="905">
        <v>1</v>
      </c>
      <c r="F3726" s="906">
        <f>D3726+E3726</f>
        <v>7</v>
      </c>
      <c r="G3726" s="907" t="s">
        <v>7917</v>
      </c>
      <c r="H3726" s="1648" t="str">
        <f t="shared" si="491"/>
        <v>QL123PL</v>
      </c>
      <c r="I3726" s="434"/>
      <c r="J3726" s="102" t="s">
        <v>1798</v>
      </c>
      <c r="K3726" s="434"/>
    </row>
    <row r="3727" spans="1:11" s="33" customFormat="1">
      <c r="A3727" s="435"/>
      <c r="B3727" s="434"/>
      <c r="C3727" s="217"/>
      <c r="D3727" s="217"/>
      <c r="E3727" s="438"/>
      <c r="F3727" s="439"/>
      <c r="G3727" s="434"/>
      <c r="H3727" s="1648"/>
      <c r="I3727" s="434"/>
      <c r="J3727" s="435"/>
      <c r="K3727" s="434"/>
    </row>
    <row r="3728" spans="1:11" s="33" customFormat="1">
      <c r="A3728" s="435"/>
      <c r="B3728" s="434"/>
      <c r="C3728" s="217"/>
      <c r="D3728" s="217"/>
      <c r="E3728" s="438"/>
      <c r="F3728" s="439"/>
      <c r="G3728" s="434"/>
      <c r="H3728" s="1648"/>
      <c r="I3728" s="434"/>
      <c r="J3728" s="435"/>
      <c r="K3728" s="434"/>
    </row>
    <row r="3729" spans="1:11" s="33" customFormat="1">
      <c r="A3729" s="435"/>
      <c r="B3729" s="909" t="s">
        <v>3151</v>
      </c>
      <c r="C3729" s="217"/>
      <c r="D3729" s="217"/>
      <c r="E3729" s="438"/>
      <c r="F3729" s="439"/>
      <c r="G3729" s="434"/>
      <c r="H3729" s="1648"/>
      <c r="I3729" s="434"/>
      <c r="J3729" s="435"/>
      <c r="K3729" s="434"/>
    </row>
    <row r="3730" spans="1:11" s="33" customFormat="1">
      <c r="A3730" s="435"/>
      <c r="B3730" s="471"/>
      <c r="C3730" s="217"/>
      <c r="D3730" s="217"/>
      <c r="E3730" s="438"/>
      <c r="F3730" s="439"/>
      <c r="G3730" s="434"/>
      <c r="H3730" s="1648"/>
      <c r="I3730" s="434"/>
      <c r="J3730" s="435"/>
      <c r="K3730" s="434"/>
    </row>
    <row r="3731" spans="1:11" s="33" customFormat="1">
      <c r="A3731" s="435"/>
      <c r="B3731" s="471" t="s">
        <v>3144</v>
      </c>
      <c r="C3731" s="217"/>
      <c r="D3731" s="217">
        <v>95</v>
      </c>
      <c r="E3731" s="203">
        <v>5</v>
      </c>
      <c r="F3731" s="149">
        <f t="shared" ref="F3731:F3736" si="495">D3731+E3731</f>
        <v>100</v>
      </c>
      <c r="G3731" s="434" t="s">
        <v>7918</v>
      </c>
      <c r="H3731" s="1648" t="str">
        <f t="shared" si="491"/>
        <v>QBGF2015</v>
      </c>
      <c r="I3731" s="434"/>
      <c r="J3731" s="102" t="s">
        <v>1798</v>
      </c>
      <c r="K3731" s="434"/>
    </row>
    <row r="3732" spans="1:11" s="33" customFormat="1">
      <c r="A3732" s="435"/>
      <c r="B3732" s="471" t="s">
        <v>3145</v>
      </c>
      <c r="C3732" s="217"/>
      <c r="D3732" s="217">
        <v>95</v>
      </c>
      <c r="E3732" s="203">
        <v>5</v>
      </c>
      <c r="F3732" s="149">
        <f t="shared" si="495"/>
        <v>100</v>
      </c>
      <c r="G3732" s="434" t="s">
        <v>7919</v>
      </c>
      <c r="H3732" s="1648" t="str">
        <f t="shared" si="491"/>
        <v>QBGF2020</v>
      </c>
      <c r="I3732" s="434"/>
      <c r="J3732" s="102" t="s">
        <v>1798</v>
      </c>
      <c r="K3732" s="434"/>
    </row>
    <row r="3733" spans="1:11" s="33" customFormat="1">
      <c r="A3733" s="435"/>
      <c r="B3733" s="471" t="s">
        <v>3146</v>
      </c>
      <c r="C3733" s="217"/>
      <c r="D3733" s="217">
        <v>95</v>
      </c>
      <c r="E3733" s="203">
        <v>5</v>
      </c>
      <c r="F3733" s="149">
        <f t="shared" si="495"/>
        <v>100</v>
      </c>
      <c r="G3733" s="434" t="s">
        <v>7920</v>
      </c>
      <c r="H3733" s="1648" t="str">
        <f t="shared" si="491"/>
        <v>QBGF2030</v>
      </c>
      <c r="I3733" s="434"/>
      <c r="J3733" s="102" t="s">
        <v>1798</v>
      </c>
      <c r="K3733" s="434"/>
    </row>
    <row r="3734" spans="1:11" s="33" customFormat="1">
      <c r="A3734" s="435"/>
      <c r="B3734" s="471" t="s">
        <v>3148</v>
      </c>
      <c r="C3734" s="217"/>
      <c r="D3734" s="217">
        <v>125</v>
      </c>
      <c r="E3734" s="203">
        <v>5</v>
      </c>
      <c r="F3734" s="149">
        <f t="shared" si="495"/>
        <v>130</v>
      </c>
      <c r="G3734" s="434" t="s">
        <v>7921</v>
      </c>
      <c r="H3734" s="1648" t="str">
        <f t="shared" si="491"/>
        <v>QBGFEP2015</v>
      </c>
      <c r="I3734" s="434"/>
      <c r="J3734" s="102" t="s">
        <v>1798</v>
      </c>
      <c r="K3734" s="434"/>
    </row>
    <row r="3735" spans="1:11" s="21" customFormat="1">
      <c r="A3735" s="435"/>
      <c r="B3735" s="471" t="s">
        <v>3147</v>
      </c>
      <c r="C3735" s="217"/>
      <c r="D3735" s="217">
        <v>125</v>
      </c>
      <c r="E3735" s="203">
        <v>5</v>
      </c>
      <c r="F3735" s="149">
        <f t="shared" si="495"/>
        <v>130</v>
      </c>
      <c r="G3735" s="434" t="s">
        <v>7922</v>
      </c>
      <c r="H3735" s="1648" t="str">
        <f t="shared" si="491"/>
        <v>QBGFEP2020</v>
      </c>
      <c r="I3735" s="434"/>
      <c r="J3735" s="102" t="s">
        <v>1798</v>
      </c>
      <c r="K3735" s="434"/>
    </row>
    <row r="3736" spans="1:11" s="21" customFormat="1">
      <c r="A3736" s="435"/>
      <c r="B3736" s="471" t="s">
        <v>7923</v>
      </c>
      <c r="C3736" s="217"/>
      <c r="D3736" s="217">
        <v>125</v>
      </c>
      <c r="E3736" s="203">
        <v>5</v>
      </c>
      <c r="F3736" s="149">
        <f t="shared" si="495"/>
        <v>130</v>
      </c>
      <c r="G3736" s="434" t="s">
        <v>7924</v>
      </c>
      <c r="H3736" s="1648" t="str">
        <f t="shared" si="491"/>
        <v>QBGFEP2030</v>
      </c>
      <c r="I3736" s="434"/>
      <c r="J3736" s="102" t="s">
        <v>1798</v>
      </c>
      <c r="K3736" s="434"/>
    </row>
    <row r="3737" spans="1:11" s="21" customFormat="1">
      <c r="A3737" s="435"/>
      <c r="B3737" s="434"/>
      <c r="C3737" s="217"/>
      <c r="D3737" s="217"/>
      <c r="E3737" s="438"/>
      <c r="F3737" s="439"/>
      <c r="G3737" s="434"/>
      <c r="H3737" s="434"/>
      <c r="I3737" s="434"/>
      <c r="J3737" s="435"/>
      <c r="K3737" s="434"/>
    </row>
    <row r="3738" spans="1:11" s="33" customFormat="1">
      <c r="A3738" s="435"/>
      <c r="B3738" s="903" t="s">
        <v>13641</v>
      </c>
      <c r="C3738" s="904"/>
      <c r="D3738" s="904">
        <v>6</v>
      </c>
      <c r="E3738" s="905">
        <v>1</v>
      </c>
      <c r="F3738" s="906">
        <f>D3738+E3738</f>
        <v>7</v>
      </c>
      <c r="G3738" s="907" t="s">
        <v>13642</v>
      </c>
      <c r="H3738" s="434" t="str">
        <f t="shared" ref="H3738" si="496">B3738</f>
        <v>QLGF12PL</v>
      </c>
      <c r="I3738" s="434"/>
      <c r="J3738" s="102" t="s">
        <v>1798</v>
      </c>
      <c r="K3738" s="434"/>
    </row>
    <row r="3739" spans="1:11" s="21" customFormat="1">
      <c r="A3739" s="435"/>
      <c r="B3739" s="434"/>
      <c r="C3739" s="217"/>
      <c r="D3739" s="217"/>
      <c r="E3739" s="438"/>
      <c r="F3739" s="439"/>
      <c r="G3739" s="434"/>
      <c r="H3739" s="1648"/>
      <c r="I3739" s="434"/>
      <c r="J3739" s="435"/>
      <c r="K3739" s="434"/>
    </row>
    <row r="3740" spans="1:11" s="33" customFormat="1">
      <c r="A3740" s="440"/>
      <c r="B3740" s="46"/>
      <c r="C3740" s="217"/>
      <c r="D3740" s="217"/>
      <c r="E3740" s="203"/>
      <c r="F3740" s="149"/>
      <c r="G3740" s="441"/>
      <c r="H3740" s="1671"/>
      <c r="I3740" s="441"/>
      <c r="J3740" s="440"/>
      <c r="K3740" s="441"/>
    </row>
    <row r="3741" spans="1:11" s="21" customFormat="1">
      <c r="A3741" s="435"/>
      <c r="B3741" s="471"/>
      <c r="C3741" s="217"/>
      <c r="D3741" s="217"/>
      <c r="E3741" s="438"/>
      <c r="F3741" s="439"/>
      <c r="G3741" s="434"/>
      <c r="H3741" s="1648"/>
      <c r="I3741" s="434"/>
      <c r="J3741" s="435"/>
      <c r="K3741" s="434"/>
    </row>
    <row r="3742" spans="1:11" s="33" customFormat="1">
      <c r="A3742" s="440"/>
      <c r="B3742" s="46"/>
      <c r="C3742" s="217"/>
      <c r="D3742" s="217"/>
      <c r="E3742" s="203"/>
      <c r="F3742" s="149"/>
      <c r="G3742" s="441"/>
      <c r="H3742" s="1671"/>
      <c r="I3742" s="441"/>
      <c r="J3742" s="440"/>
      <c r="K3742" s="441"/>
    </row>
    <row r="3743" spans="1:11" s="33" customFormat="1">
      <c r="A3743" s="435"/>
      <c r="B3743" s="32" t="s">
        <v>358</v>
      </c>
      <c r="C3743" s="217"/>
      <c r="D3743" s="217"/>
      <c r="E3743" s="203"/>
      <c r="F3743" s="149"/>
      <c r="G3743" s="434"/>
      <c r="H3743" s="1648"/>
      <c r="I3743" s="434"/>
      <c r="J3743" s="435"/>
      <c r="K3743" s="434"/>
    </row>
    <row r="3744" spans="1:11" s="33" customFormat="1">
      <c r="A3744" s="443"/>
      <c r="B3744" s="26" t="s">
        <v>495</v>
      </c>
      <c r="C3744" s="217"/>
      <c r="D3744" s="217">
        <v>82</v>
      </c>
      <c r="E3744" s="203">
        <v>15</v>
      </c>
      <c r="F3744" s="149">
        <f t="shared" ref="F3744:F3751" si="497">D3744+E3744</f>
        <v>97</v>
      </c>
      <c r="G3744" s="22" t="s">
        <v>7925</v>
      </c>
      <c r="H3744" s="458" t="str">
        <f t="shared" ref="H3744:H3751" si="498">B3744</f>
        <v>BZME1-1-A20-BT-AP</v>
      </c>
      <c r="I3744" s="434"/>
      <c r="J3744" s="435" t="s">
        <v>1798</v>
      </c>
      <c r="K3744" s="434" t="s">
        <v>741</v>
      </c>
    </row>
    <row r="3745" spans="1:11" s="33" customFormat="1">
      <c r="A3745" s="443"/>
      <c r="B3745" s="26" t="s">
        <v>496</v>
      </c>
      <c r="C3745" s="217"/>
      <c r="D3745" s="217">
        <v>82</v>
      </c>
      <c r="E3745" s="203">
        <v>15</v>
      </c>
      <c r="F3745" s="149">
        <f t="shared" si="497"/>
        <v>97</v>
      </c>
      <c r="G3745" s="22" t="s">
        <v>7926</v>
      </c>
      <c r="H3745" s="458" t="str">
        <f t="shared" si="498"/>
        <v>BZME1-1-A25-BT-AP</v>
      </c>
      <c r="I3745" s="434"/>
      <c r="J3745" s="435" t="s">
        <v>1798</v>
      </c>
      <c r="K3745" s="434" t="s">
        <v>741</v>
      </c>
    </row>
    <row r="3746" spans="1:11" s="33" customFormat="1">
      <c r="A3746" s="443"/>
      <c r="B3746" s="26" t="s">
        <v>497</v>
      </c>
      <c r="C3746" s="217"/>
      <c r="D3746" s="217">
        <v>82</v>
      </c>
      <c r="E3746" s="203">
        <v>15</v>
      </c>
      <c r="F3746" s="149">
        <f t="shared" si="497"/>
        <v>97</v>
      </c>
      <c r="G3746" s="22" t="s">
        <v>7927</v>
      </c>
      <c r="H3746" s="458" t="str">
        <f t="shared" si="498"/>
        <v>BZME1-1-A32-BT-AP</v>
      </c>
      <c r="I3746" s="434"/>
      <c r="J3746" s="435" t="s">
        <v>1798</v>
      </c>
      <c r="K3746" s="434" t="s">
        <v>741</v>
      </c>
    </row>
    <row r="3747" spans="1:11" s="33" customFormat="1">
      <c r="A3747" s="443"/>
      <c r="B3747" s="26" t="s">
        <v>498</v>
      </c>
      <c r="C3747" s="217"/>
      <c r="D3747" s="217">
        <v>82</v>
      </c>
      <c r="E3747" s="203">
        <v>15</v>
      </c>
      <c r="F3747" s="149">
        <f t="shared" si="497"/>
        <v>97</v>
      </c>
      <c r="G3747" s="22" t="s">
        <v>7928</v>
      </c>
      <c r="H3747" s="458" t="str">
        <f t="shared" si="498"/>
        <v>BZME1-1-A40-BT-AP</v>
      </c>
      <c r="I3747" s="434"/>
      <c r="J3747" s="435" t="s">
        <v>1798</v>
      </c>
      <c r="K3747" s="434" t="s">
        <v>741</v>
      </c>
    </row>
    <row r="3748" spans="1:11" s="33" customFormat="1">
      <c r="A3748" s="443"/>
      <c r="B3748" s="26" t="s">
        <v>499</v>
      </c>
      <c r="C3748" s="217"/>
      <c r="D3748" s="217">
        <v>83</v>
      </c>
      <c r="E3748" s="203">
        <v>15</v>
      </c>
      <c r="F3748" s="149">
        <f t="shared" si="497"/>
        <v>98</v>
      </c>
      <c r="G3748" s="22" t="s">
        <v>7929</v>
      </c>
      <c r="H3748" s="458" t="str">
        <f t="shared" si="498"/>
        <v>BZME1-1-A50-BT-AP</v>
      </c>
      <c r="I3748" s="434"/>
      <c r="J3748" s="435" t="s">
        <v>1798</v>
      </c>
      <c r="K3748" s="434" t="s">
        <v>741</v>
      </c>
    </row>
    <row r="3749" spans="1:11" s="33" customFormat="1">
      <c r="A3749" s="443"/>
      <c r="B3749" s="26" t="s">
        <v>500</v>
      </c>
      <c r="C3749" s="217"/>
      <c r="D3749" s="217">
        <v>83</v>
      </c>
      <c r="E3749" s="203">
        <v>15</v>
      </c>
      <c r="F3749" s="149">
        <f t="shared" si="497"/>
        <v>98</v>
      </c>
      <c r="G3749" s="22" t="s">
        <v>7930</v>
      </c>
      <c r="H3749" s="458" t="str">
        <f t="shared" si="498"/>
        <v>BZME1-1-A63-BT-AP</v>
      </c>
      <c r="I3749" s="434"/>
      <c r="J3749" s="435" t="s">
        <v>1798</v>
      </c>
      <c r="K3749" s="434" t="s">
        <v>741</v>
      </c>
    </row>
    <row r="3750" spans="1:11" s="33" customFormat="1">
      <c r="A3750" s="443"/>
      <c r="B3750" s="26" t="s">
        <v>501</v>
      </c>
      <c r="C3750" s="217"/>
      <c r="D3750" s="217">
        <v>89</v>
      </c>
      <c r="E3750" s="203">
        <v>15</v>
      </c>
      <c r="F3750" s="149">
        <f t="shared" si="497"/>
        <v>104</v>
      </c>
      <c r="G3750" s="22" t="s">
        <v>7931</v>
      </c>
      <c r="H3750" s="458" t="str">
        <f t="shared" si="498"/>
        <v>BZME1-1-A80-BT-AP</v>
      </c>
      <c r="I3750" s="434"/>
      <c r="J3750" s="435" t="s">
        <v>1798</v>
      </c>
      <c r="K3750" s="434" t="s">
        <v>741</v>
      </c>
    </row>
    <row r="3751" spans="1:11" s="33" customFormat="1">
      <c r="A3751" s="443"/>
      <c r="B3751" s="26" t="s">
        <v>502</v>
      </c>
      <c r="C3751" s="217"/>
      <c r="D3751" s="217">
        <v>104</v>
      </c>
      <c r="E3751" s="203">
        <v>15</v>
      </c>
      <c r="F3751" s="149">
        <f t="shared" si="497"/>
        <v>119</v>
      </c>
      <c r="G3751" s="22" t="s">
        <v>7932</v>
      </c>
      <c r="H3751" s="458" t="str">
        <f t="shared" si="498"/>
        <v>BZME1-1-A100-BT-AP</v>
      </c>
      <c r="I3751" s="434"/>
      <c r="J3751" s="435" t="s">
        <v>1798</v>
      </c>
      <c r="K3751" s="434" t="s">
        <v>741</v>
      </c>
    </row>
    <row r="3752" spans="1:11" s="33" customFormat="1">
      <c r="A3752" s="435"/>
      <c r="B3752" s="26"/>
      <c r="C3752" s="217"/>
      <c r="D3752" s="217"/>
      <c r="E3752" s="203"/>
      <c r="F3752" s="149"/>
      <c r="G3752" s="22"/>
      <c r="H3752" s="458"/>
      <c r="I3752" s="434"/>
      <c r="J3752" s="435"/>
      <c r="K3752" s="434"/>
    </row>
    <row r="3753" spans="1:11" s="33" customFormat="1">
      <c r="A3753" s="443"/>
      <c r="B3753" s="26" t="s">
        <v>7933</v>
      </c>
      <c r="C3753" s="217"/>
      <c r="D3753" s="217">
        <v>105</v>
      </c>
      <c r="E3753" s="203">
        <v>15</v>
      </c>
      <c r="F3753" s="149">
        <f t="shared" ref="F3753:F3761" si="499">D3753+E3753</f>
        <v>120</v>
      </c>
      <c r="G3753" s="22" t="s">
        <v>7934</v>
      </c>
      <c r="H3753" s="458" t="str">
        <f t="shared" ref="H3753:H3761" si="500">B3753</f>
        <v>BZME1-2-A16-BT-AP</v>
      </c>
      <c r="I3753" s="434"/>
      <c r="J3753" s="435" t="s">
        <v>1798</v>
      </c>
      <c r="K3753" s="434" t="s">
        <v>741</v>
      </c>
    </row>
    <row r="3754" spans="1:11" s="33" customFormat="1">
      <c r="A3754" s="443"/>
      <c r="B3754" s="26" t="s">
        <v>503</v>
      </c>
      <c r="C3754" s="217"/>
      <c r="D3754" s="217">
        <v>105</v>
      </c>
      <c r="E3754" s="203">
        <v>15</v>
      </c>
      <c r="F3754" s="149">
        <f>D3754+E3754</f>
        <v>120</v>
      </c>
      <c r="G3754" s="22" t="s">
        <v>7935</v>
      </c>
      <c r="H3754" s="458" t="str">
        <f>B3754</f>
        <v>BZME1-2-A20-BT-AP</v>
      </c>
      <c r="I3754" s="434"/>
      <c r="J3754" s="435" t="s">
        <v>1798</v>
      </c>
      <c r="K3754" s="434" t="s">
        <v>741</v>
      </c>
    </row>
    <row r="3755" spans="1:11" s="33" customFormat="1">
      <c r="A3755" s="443"/>
      <c r="B3755" s="26" t="s">
        <v>504</v>
      </c>
      <c r="C3755" s="217"/>
      <c r="D3755" s="217">
        <v>105</v>
      </c>
      <c r="E3755" s="203">
        <v>15</v>
      </c>
      <c r="F3755" s="149">
        <f t="shared" si="499"/>
        <v>120</v>
      </c>
      <c r="G3755" s="22" t="s">
        <v>7936</v>
      </c>
      <c r="H3755" s="458" t="str">
        <f t="shared" si="500"/>
        <v>BZME1-2-A25-BT-AP</v>
      </c>
      <c r="I3755" s="434"/>
      <c r="J3755" s="435" t="s">
        <v>1798</v>
      </c>
      <c r="K3755" s="434" t="s">
        <v>741</v>
      </c>
    </row>
    <row r="3756" spans="1:11" s="33" customFormat="1">
      <c r="A3756" s="443"/>
      <c r="B3756" s="26" t="s">
        <v>505</v>
      </c>
      <c r="C3756" s="217"/>
      <c r="D3756" s="217">
        <v>105</v>
      </c>
      <c r="E3756" s="203">
        <v>15</v>
      </c>
      <c r="F3756" s="149">
        <f t="shared" si="499"/>
        <v>120</v>
      </c>
      <c r="G3756" s="22" t="s">
        <v>7937</v>
      </c>
      <c r="H3756" s="458" t="str">
        <f t="shared" si="500"/>
        <v>BZME1-2-A32-BT-AP</v>
      </c>
      <c r="I3756" s="434"/>
      <c r="J3756" s="435" t="s">
        <v>1798</v>
      </c>
      <c r="K3756" s="434" t="s">
        <v>741</v>
      </c>
    </row>
    <row r="3757" spans="1:11" s="33" customFormat="1">
      <c r="A3757" s="443"/>
      <c r="B3757" s="26" t="s">
        <v>506</v>
      </c>
      <c r="C3757" s="217"/>
      <c r="D3757" s="217">
        <v>107</v>
      </c>
      <c r="E3757" s="203">
        <v>15</v>
      </c>
      <c r="F3757" s="149">
        <f t="shared" si="499"/>
        <v>122</v>
      </c>
      <c r="G3757" s="22" t="s">
        <v>7938</v>
      </c>
      <c r="H3757" s="458" t="str">
        <f t="shared" si="500"/>
        <v>BZME1-2-A40-BT-AP</v>
      </c>
      <c r="I3757" s="434"/>
      <c r="J3757" s="435" t="s">
        <v>1798</v>
      </c>
      <c r="K3757" s="434" t="s">
        <v>741</v>
      </c>
    </row>
    <row r="3758" spans="1:11" s="33" customFormat="1">
      <c r="A3758" s="443"/>
      <c r="B3758" s="26" t="s">
        <v>507</v>
      </c>
      <c r="C3758" s="217"/>
      <c r="D3758" s="217">
        <v>107</v>
      </c>
      <c r="E3758" s="203">
        <v>15</v>
      </c>
      <c r="F3758" s="149">
        <f t="shared" si="499"/>
        <v>122</v>
      </c>
      <c r="G3758" s="22" t="s">
        <v>7939</v>
      </c>
      <c r="H3758" s="458" t="str">
        <f t="shared" si="500"/>
        <v>BZME1-2-A50-BT-AP</v>
      </c>
      <c r="I3758" s="434"/>
      <c r="J3758" s="435" t="s">
        <v>1798</v>
      </c>
      <c r="K3758" s="434" t="s">
        <v>741</v>
      </c>
    </row>
    <row r="3759" spans="1:11" s="33" customFormat="1">
      <c r="A3759" s="443"/>
      <c r="B3759" s="26" t="s">
        <v>508</v>
      </c>
      <c r="C3759" s="217"/>
      <c r="D3759" s="217">
        <v>107</v>
      </c>
      <c r="E3759" s="203">
        <v>15</v>
      </c>
      <c r="F3759" s="149">
        <f t="shared" si="499"/>
        <v>122</v>
      </c>
      <c r="G3759" s="22" t="s">
        <v>7940</v>
      </c>
      <c r="H3759" s="458" t="str">
        <f t="shared" si="500"/>
        <v>BZME1-2-A63-BT-AP</v>
      </c>
      <c r="I3759" s="434"/>
      <c r="J3759" s="435" t="s">
        <v>1798</v>
      </c>
      <c r="K3759" s="434" t="s">
        <v>741</v>
      </c>
    </row>
    <row r="3760" spans="1:11" s="33" customFormat="1">
      <c r="A3760" s="443"/>
      <c r="B3760" s="26" t="s">
        <v>509</v>
      </c>
      <c r="C3760" s="217"/>
      <c r="D3760" s="217">
        <v>115</v>
      </c>
      <c r="E3760" s="203">
        <v>15</v>
      </c>
      <c r="F3760" s="149">
        <f t="shared" si="499"/>
        <v>130</v>
      </c>
      <c r="G3760" s="22" t="s">
        <v>7941</v>
      </c>
      <c r="H3760" s="458" t="str">
        <f t="shared" si="500"/>
        <v>BZME1-2-A80-BT-AP</v>
      </c>
      <c r="I3760" s="434"/>
      <c r="J3760" s="435" t="s">
        <v>1798</v>
      </c>
      <c r="K3760" s="434" t="s">
        <v>741</v>
      </c>
    </row>
    <row r="3761" spans="1:11" s="33" customFormat="1">
      <c r="A3761" s="443"/>
      <c r="B3761" s="26" t="s">
        <v>510</v>
      </c>
      <c r="C3761" s="217"/>
      <c r="D3761" s="217">
        <v>132</v>
      </c>
      <c r="E3761" s="203">
        <v>15</v>
      </c>
      <c r="F3761" s="149">
        <f t="shared" si="499"/>
        <v>147</v>
      </c>
      <c r="G3761" s="22" t="s">
        <v>7942</v>
      </c>
      <c r="H3761" s="458" t="str">
        <f t="shared" si="500"/>
        <v>BZME1-2-A100-BT-AP</v>
      </c>
      <c r="I3761" s="434"/>
      <c r="J3761" s="435" t="s">
        <v>1798</v>
      </c>
      <c r="K3761" s="434" t="s">
        <v>741</v>
      </c>
    </row>
    <row r="3762" spans="1:11" s="33" customFormat="1">
      <c r="A3762" s="435"/>
      <c r="B3762" s="26"/>
      <c r="C3762" s="217"/>
      <c r="D3762" s="217"/>
      <c r="E3762" s="203"/>
      <c r="F3762" s="149"/>
      <c r="G3762" s="22"/>
      <c r="H3762" s="458"/>
      <c r="I3762" s="434"/>
      <c r="J3762" s="435"/>
      <c r="K3762" s="434"/>
    </row>
    <row r="3763" spans="1:11" s="33" customFormat="1">
      <c r="A3763" s="443"/>
      <c r="B3763" s="26" t="s">
        <v>156</v>
      </c>
      <c r="C3763" s="217"/>
      <c r="D3763" s="217">
        <v>82</v>
      </c>
      <c r="E3763" s="203">
        <v>15</v>
      </c>
      <c r="F3763" s="149">
        <f t="shared" ref="F3763:F3772" si="501">D3763+E3763</f>
        <v>97</v>
      </c>
      <c r="G3763" s="22" t="s">
        <v>7943</v>
      </c>
      <c r="H3763" s="458" t="str">
        <f t="shared" ref="H3763:H3772" si="502">B3763</f>
        <v>BZME1-A16-BT-AP</v>
      </c>
      <c r="I3763" s="434"/>
      <c r="J3763" s="435" t="s">
        <v>1798</v>
      </c>
      <c r="K3763" s="434" t="s">
        <v>741</v>
      </c>
    </row>
    <row r="3764" spans="1:11" s="33" customFormat="1">
      <c r="A3764" s="443"/>
      <c r="B3764" s="26" t="s">
        <v>155</v>
      </c>
      <c r="C3764" s="217"/>
      <c r="D3764" s="217">
        <v>82</v>
      </c>
      <c r="E3764" s="203">
        <v>15</v>
      </c>
      <c r="F3764" s="149">
        <f t="shared" si="501"/>
        <v>97</v>
      </c>
      <c r="G3764" s="22" t="s">
        <v>7944</v>
      </c>
      <c r="H3764" s="458" t="str">
        <f t="shared" si="502"/>
        <v>BZME1-A20-BT-AP</v>
      </c>
      <c r="I3764" s="434"/>
      <c r="J3764" s="435" t="s">
        <v>1798</v>
      </c>
      <c r="K3764" s="434" t="s">
        <v>741</v>
      </c>
    </row>
    <row r="3765" spans="1:11" s="33" customFormat="1">
      <c r="A3765" s="443"/>
      <c r="B3765" s="26" t="s">
        <v>154</v>
      </c>
      <c r="C3765" s="217"/>
      <c r="D3765" s="217">
        <v>82</v>
      </c>
      <c r="E3765" s="203">
        <v>15</v>
      </c>
      <c r="F3765" s="149">
        <f t="shared" si="501"/>
        <v>97</v>
      </c>
      <c r="G3765" s="22" t="s">
        <v>7945</v>
      </c>
      <c r="H3765" s="458" t="str">
        <f t="shared" si="502"/>
        <v>BZME1-A25-BT-AP</v>
      </c>
      <c r="I3765" s="434"/>
      <c r="J3765" s="435" t="s">
        <v>1798</v>
      </c>
      <c r="K3765" s="434" t="s">
        <v>741</v>
      </c>
    </row>
    <row r="3766" spans="1:11" s="33" customFormat="1">
      <c r="A3766" s="443"/>
      <c r="B3766" s="26" t="s">
        <v>153</v>
      </c>
      <c r="C3766" s="217"/>
      <c r="D3766" s="217">
        <v>82</v>
      </c>
      <c r="E3766" s="203">
        <v>15</v>
      </c>
      <c r="F3766" s="149">
        <f t="shared" si="501"/>
        <v>97</v>
      </c>
      <c r="G3766" s="22" t="s">
        <v>7946</v>
      </c>
      <c r="H3766" s="458" t="str">
        <f t="shared" si="502"/>
        <v>BZME1-A32-BT-AP</v>
      </c>
      <c r="I3766" s="434"/>
      <c r="J3766" s="435" t="s">
        <v>1798</v>
      </c>
      <c r="K3766" s="434" t="s">
        <v>741</v>
      </c>
    </row>
    <row r="3767" spans="1:11" s="33" customFormat="1">
      <c r="A3767" s="443"/>
      <c r="B3767" s="26" t="s">
        <v>152</v>
      </c>
      <c r="C3767" s="217"/>
      <c r="D3767" s="217">
        <v>82</v>
      </c>
      <c r="E3767" s="203">
        <v>15</v>
      </c>
      <c r="F3767" s="149">
        <f t="shared" si="501"/>
        <v>97</v>
      </c>
      <c r="G3767" s="22" t="s">
        <v>7947</v>
      </c>
      <c r="H3767" s="458" t="str">
        <f t="shared" si="502"/>
        <v>BZME1-A40-BT-AP</v>
      </c>
      <c r="I3767" s="434"/>
      <c r="J3767" s="435" t="s">
        <v>1798</v>
      </c>
      <c r="K3767" s="434" t="s">
        <v>741</v>
      </c>
    </row>
    <row r="3768" spans="1:11" s="33" customFormat="1">
      <c r="A3768" s="443"/>
      <c r="B3768" s="26" t="s">
        <v>151</v>
      </c>
      <c r="C3768" s="217"/>
      <c r="D3768" s="217">
        <v>82</v>
      </c>
      <c r="E3768" s="203">
        <v>15</v>
      </c>
      <c r="F3768" s="149">
        <f t="shared" si="501"/>
        <v>97</v>
      </c>
      <c r="G3768" s="22" t="s">
        <v>7948</v>
      </c>
      <c r="H3768" s="458" t="str">
        <f t="shared" si="502"/>
        <v>BZME1-A50-BT-AP</v>
      </c>
      <c r="I3768" s="434"/>
      <c r="J3768" s="435" t="s">
        <v>1798</v>
      </c>
      <c r="K3768" s="434" t="s">
        <v>741</v>
      </c>
    </row>
    <row r="3769" spans="1:11" s="33" customFormat="1">
      <c r="A3769" s="443"/>
      <c r="B3769" s="26" t="s">
        <v>150</v>
      </c>
      <c r="C3769" s="217"/>
      <c r="D3769" s="217">
        <v>82</v>
      </c>
      <c r="E3769" s="203">
        <v>15</v>
      </c>
      <c r="F3769" s="149">
        <f t="shared" si="501"/>
        <v>97</v>
      </c>
      <c r="G3769" s="22" t="s">
        <v>7949</v>
      </c>
      <c r="H3769" s="458" t="str">
        <f t="shared" si="502"/>
        <v>BZME1-A63-BT-AP</v>
      </c>
      <c r="I3769" s="434"/>
      <c r="J3769" s="435" t="s">
        <v>1798</v>
      </c>
      <c r="K3769" s="434" t="s">
        <v>741</v>
      </c>
    </row>
    <row r="3770" spans="1:11" s="33" customFormat="1">
      <c r="A3770" s="443"/>
      <c r="B3770" s="26" t="s">
        <v>149</v>
      </c>
      <c r="C3770" s="217"/>
      <c r="D3770" s="217">
        <v>82</v>
      </c>
      <c r="E3770" s="203">
        <v>15</v>
      </c>
      <c r="F3770" s="149">
        <f t="shared" si="501"/>
        <v>97</v>
      </c>
      <c r="G3770" s="22" t="s">
        <v>7950</v>
      </c>
      <c r="H3770" s="458" t="str">
        <f t="shared" si="502"/>
        <v>BZME1-A80-BT-AP</v>
      </c>
      <c r="I3770" s="434"/>
      <c r="J3770" s="435" t="s">
        <v>1798</v>
      </c>
      <c r="K3770" s="434" t="s">
        <v>741</v>
      </c>
    </row>
    <row r="3771" spans="1:11" s="33" customFormat="1">
      <c r="A3771" s="443"/>
      <c r="B3771" s="26" t="s">
        <v>148</v>
      </c>
      <c r="C3771" s="217"/>
      <c r="D3771" s="217">
        <v>84</v>
      </c>
      <c r="E3771" s="203">
        <v>15</v>
      </c>
      <c r="F3771" s="149">
        <f t="shared" si="501"/>
        <v>99</v>
      </c>
      <c r="G3771" s="22" t="s">
        <v>7951</v>
      </c>
      <c r="H3771" s="458" t="str">
        <f t="shared" si="502"/>
        <v>BZME1-A100-BT-AP</v>
      </c>
      <c r="I3771" s="434"/>
      <c r="J3771" s="435" t="s">
        <v>1798</v>
      </c>
      <c r="K3771" s="434" t="s">
        <v>741</v>
      </c>
    </row>
    <row r="3772" spans="1:11" s="33" customFormat="1">
      <c r="A3772" s="443"/>
      <c r="B3772" s="26" t="s">
        <v>735</v>
      </c>
      <c r="C3772" s="217"/>
      <c r="D3772" s="429">
        <f>D3771*2.5</f>
        <v>210</v>
      </c>
      <c r="E3772" s="203">
        <v>15</v>
      </c>
      <c r="F3772" s="149">
        <f t="shared" si="501"/>
        <v>225</v>
      </c>
      <c r="G3772" s="22" t="s">
        <v>7952</v>
      </c>
      <c r="H3772" s="458" t="str">
        <f t="shared" si="502"/>
        <v>BZME1-A125-BT-AP</v>
      </c>
      <c r="I3772" s="434"/>
      <c r="J3772" s="435" t="s">
        <v>1798</v>
      </c>
      <c r="K3772" s="434" t="s">
        <v>741</v>
      </c>
    </row>
    <row r="3773" spans="1:11" s="33" customFormat="1">
      <c r="A3773" s="435"/>
      <c r="B3773" s="26"/>
      <c r="C3773" s="217"/>
      <c r="D3773" s="217"/>
      <c r="E3773" s="203"/>
      <c r="F3773" s="149"/>
      <c r="G3773" s="22"/>
      <c r="H3773" s="458"/>
      <c r="I3773" s="434"/>
      <c r="J3773" s="435"/>
      <c r="K3773" s="434"/>
    </row>
    <row r="3774" spans="1:11" s="33" customFormat="1">
      <c r="A3774" s="435"/>
      <c r="B3774" s="26" t="s">
        <v>511</v>
      </c>
      <c r="C3774" s="217"/>
      <c r="D3774" s="217">
        <v>165.7</v>
      </c>
      <c r="E3774" s="203">
        <v>15</v>
      </c>
      <c r="F3774" s="149">
        <f t="shared" ref="F3774:F3782" si="503">D3774+E3774</f>
        <v>180.7</v>
      </c>
      <c r="G3774" s="22" t="s">
        <v>7953</v>
      </c>
      <c r="H3774" s="458" t="str">
        <f t="shared" ref="H3774:H3782" si="504">B3774</f>
        <v>BZME1-4-A16-BT-AP</v>
      </c>
      <c r="I3774" s="434"/>
      <c r="J3774" s="435" t="s">
        <v>1798</v>
      </c>
      <c r="K3774" s="434" t="s">
        <v>741</v>
      </c>
    </row>
    <row r="3775" spans="1:11" s="33" customFormat="1">
      <c r="A3775" s="435"/>
      <c r="B3775" s="26" t="s">
        <v>512</v>
      </c>
      <c r="C3775" s="217"/>
      <c r="D3775" s="217">
        <v>165.7</v>
      </c>
      <c r="E3775" s="203">
        <v>15</v>
      </c>
      <c r="F3775" s="149">
        <f t="shared" si="503"/>
        <v>180.7</v>
      </c>
      <c r="G3775" s="22" t="s">
        <v>7954</v>
      </c>
      <c r="H3775" s="458" t="str">
        <f t="shared" si="504"/>
        <v>BZME1-4-A20-BT-AP</v>
      </c>
      <c r="I3775" s="434"/>
      <c r="J3775" s="435" t="s">
        <v>1798</v>
      </c>
      <c r="K3775" s="434" t="s">
        <v>741</v>
      </c>
    </row>
    <row r="3776" spans="1:11" s="33" customFormat="1">
      <c r="A3776" s="435"/>
      <c r="B3776" s="26" t="s">
        <v>513</v>
      </c>
      <c r="C3776" s="217"/>
      <c r="D3776" s="217">
        <v>165.7</v>
      </c>
      <c r="E3776" s="203">
        <v>15</v>
      </c>
      <c r="F3776" s="149">
        <f t="shared" si="503"/>
        <v>180.7</v>
      </c>
      <c r="G3776" s="22" t="s">
        <v>7955</v>
      </c>
      <c r="H3776" s="458" t="str">
        <f t="shared" si="504"/>
        <v>BZME1-4-A25-BT-AP</v>
      </c>
      <c r="I3776" s="434"/>
      <c r="J3776" s="435" t="s">
        <v>1798</v>
      </c>
      <c r="K3776" s="434" t="s">
        <v>741</v>
      </c>
    </row>
    <row r="3777" spans="1:11" s="33" customFormat="1">
      <c r="A3777" s="435"/>
      <c r="B3777" s="26" t="s">
        <v>514</v>
      </c>
      <c r="C3777" s="217"/>
      <c r="D3777" s="217">
        <v>165.7</v>
      </c>
      <c r="E3777" s="203">
        <v>15</v>
      </c>
      <c r="F3777" s="149">
        <f t="shared" si="503"/>
        <v>180.7</v>
      </c>
      <c r="G3777" s="22" t="s">
        <v>7956</v>
      </c>
      <c r="H3777" s="458" t="str">
        <f t="shared" si="504"/>
        <v>BZME1-4-A32-BT-AP</v>
      </c>
      <c r="I3777" s="434"/>
      <c r="J3777" s="435" t="s">
        <v>1798</v>
      </c>
      <c r="K3777" s="434" t="s">
        <v>741</v>
      </c>
    </row>
    <row r="3778" spans="1:11" s="33" customFormat="1">
      <c r="A3778" s="435"/>
      <c r="B3778" s="26" t="s">
        <v>515</v>
      </c>
      <c r="C3778" s="217"/>
      <c r="D3778" s="217">
        <v>165.7</v>
      </c>
      <c r="E3778" s="203">
        <v>15</v>
      </c>
      <c r="F3778" s="149">
        <f t="shared" si="503"/>
        <v>180.7</v>
      </c>
      <c r="G3778" s="22" t="s">
        <v>7957</v>
      </c>
      <c r="H3778" s="458" t="str">
        <f t="shared" si="504"/>
        <v>BZME1-4-A40-BT-AP</v>
      </c>
      <c r="I3778" s="434"/>
      <c r="J3778" s="435" t="s">
        <v>1798</v>
      </c>
      <c r="K3778" s="434" t="s">
        <v>741</v>
      </c>
    </row>
    <row r="3779" spans="1:11" s="33" customFormat="1">
      <c r="A3779" s="435"/>
      <c r="B3779" s="26" t="s">
        <v>516</v>
      </c>
      <c r="C3779" s="217"/>
      <c r="D3779" s="217">
        <v>168.1</v>
      </c>
      <c r="E3779" s="203">
        <v>15</v>
      </c>
      <c r="F3779" s="149">
        <f t="shared" si="503"/>
        <v>183.1</v>
      </c>
      <c r="G3779" s="22" t="s">
        <v>7958</v>
      </c>
      <c r="H3779" s="458" t="str">
        <f t="shared" si="504"/>
        <v>BZME1-4-A50-BT-AP</v>
      </c>
      <c r="I3779" s="434"/>
      <c r="J3779" s="435" t="s">
        <v>1798</v>
      </c>
      <c r="K3779" s="434" t="s">
        <v>741</v>
      </c>
    </row>
    <row r="3780" spans="1:11" s="33" customFormat="1">
      <c r="A3780" s="435"/>
      <c r="B3780" s="26" t="s">
        <v>517</v>
      </c>
      <c r="C3780" s="217"/>
      <c r="D3780" s="217">
        <v>168.1</v>
      </c>
      <c r="E3780" s="203">
        <v>15</v>
      </c>
      <c r="F3780" s="149">
        <f t="shared" si="503"/>
        <v>183.1</v>
      </c>
      <c r="G3780" s="22" t="s">
        <v>7959</v>
      </c>
      <c r="H3780" s="458" t="str">
        <f t="shared" si="504"/>
        <v>BZME1-4-A63-BT-AP</v>
      </c>
      <c r="I3780" s="434"/>
      <c r="J3780" s="435" t="s">
        <v>1798</v>
      </c>
      <c r="K3780" s="434" t="s">
        <v>741</v>
      </c>
    </row>
    <row r="3781" spans="1:11" s="33" customFormat="1">
      <c r="A3781" s="435"/>
      <c r="B3781" s="26" t="s">
        <v>518</v>
      </c>
      <c r="C3781" s="217"/>
      <c r="D3781" s="217">
        <v>181.6</v>
      </c>
      <c r="E3781" s="203">
        <v>15</v>
      </c>
      <c r="F3781" s="149">
        <f t="shared" si="503"/>
        <v>196.6</v>
      </c>
      <c r="G3781" s="22" t="s">
        <v>7960</v>
      </c>
      <c r="H3781" s="458" t="str">
        <f t="shared" si="504"/>
        <v>BZME1-4-A80-BT-AP</v>
      </c>
      <c r="I3781" s="434"/>
      <c r="J3781" s="435" t="s">
        <v>1798</v>
      </c>
      <c r="K3781" s="434" t="s">
        <v>741</v>
      </c>
    </row>
    <row r="3782" spans="1:11" s="33" customFormat="1">
      <c r="A3782" s="435"/>
      <c r="B3782" s="26" t="s">
        <v>519</v>
      </c>
      <c r="C3782" s="217"/>
      <c r="D3782" s="217">
        <v>181.6</v>
      </c>
      <c r="E3782" s="203">
        <v>15</v>
      </c>
      <c r="F3782" s="149">
        <f t="shared" si="503"/>
        <v>196.6</v>
      </c>
      <c r="G3782" s="22" t="s">
        <v>7961</v>
      </c>
      <c r="H3782" s="458" t="str">
        <f t="shared" si="504"/>
        <v>BZME1-4-A100-BT-AP</v>
      </c>
      <c r="I3782" s="434"/>
      <c r="J3782" s="435" t="s">
        <v>1798</v>
      </c>
      <c r="K3782" s="434" t="s">
        <v>741</v>
      </c>
    </row>
    <row r="3783" spans="1:11" s="33" customFormat="1">
      <c r="A3783" s="435"/>
      <c r="B3783" s="26"/>
      <c r="C3783" s="217"/>
      <c r="D3783" s="217"/>
      <c r="E3783" s="203"/>
      <c r="F3783" s="149"/>
      <c r="G3783" s="22"/>
      <c r="H3783" s="458"/>
      <c r="I3783" s="434"/>
      <c r="J3783" s="435"/>
      <c r="K3783" s="434"/>
    </row>
    <row r="3784" spans="1:11" s="33" customFormat="1">
      <c r="A3784" s="435"/>
      <c r="B3784" s="32" t="s">
        <v>359</v>
      </c>
      <c r="C3784" s="217"/>
      <c r="D3784" s="217"/>
      <c r="E3784" s="203"/>
      <c r="F3784" s="149"/>
      <c r="G3784" s="434"/>
      <c r="H3784" s="458"/>
      <c r="I3784" s="434"/>
      <c r="J3784" s="435"/>
      <c r="K3784" s="434"/>
    </row>
    <row r="3785" spans="1:11" s="33" customFormat="1">
      <c r="A3785" s="435"/>
      <c r="B3785" s="26" t="s">
        <v>520</v>
      </c>
      <c r="C3785" s="217"/>
      <c r="D3785" s="217">
        <v>92</v>
      </c>
      <c r="E3785" s="203">
        <v>15</v>
      </c>
      <c r="F3785" s="149">
        <f t="shared" ref="F3785:F3792" si="505">D3785+E3785</f>
        <v>107</v>
      </c>
      <c r="G3785" s="22" t="s">
        <v>7962</v>
      </c>
      <c r="H3785" s="458" t="str">
        <f t="shared" ref="H3785:H3792" si="506">B3785</f>
        <v>BZMB1-1-A20-BT-AP</v>
      </c>
      <c r="I3785" s="434"/>
      <c r="J3785" s="435" t="s">
        <v>1798</v>
      </c>
      <c r="K3785" s="434" t="s">
        <v>741</v>
      </c>
    </row>
    <row r="3786" spans="1:11" s="33" customFormat="1">
      <c r="A3786" s="435"/>
      <c r="B3786" s="26" t="s">
        <v>521</v>
      </c>
      <c r="C3786" s="217"/>
      <c r="D3786" s="217">
        <v>92</v>
      </c>
      <c r="E3786" s="203">
        <v>15</v>
      </c>
      <c r="F3786" s="149">
        <f t="shared" si="505"/>
        <v>107</v>
      </c>
      <c r="G3786" s="22" t="s">
        <v>7963</v>
      </c>
      <c r="H3786" s="458" t="str">
        <f t="shared" si="506"/>
        <v>BZMB1-1-A25-BT-AP</v>
      </c>
      <c r="I3786" s="434"/>
      <c r="J3786" s="435" t="s">
        <v>1798</v>
      </c>
      <c r="K3786" s="434" t="s">
        <v>741</v>
      </c>
    </row>
    <row r="3787" spans="1:11" s="33" customFormat="1">
      <c r="A3787" s="435"/>
      <c r="B3787" s="26" t="s">
        <v>522</v>
      </c>
      <c r="C3787" s="217"/>
      <c r="D3787" s="217">
        <v>92</v>
      </c>
      <c r="E3787" s="203">
        <v>15</v>
      </c>
      <c r="F3787" s="149">
        <f t="shared" si="505"/>
        <v>107</v>
      </c>
      <c r="G3787" s="22" t="s">
        <v>7964</v>
      </c>
      <c r="H3787" s="458" t="str">
        <f t="shared" si="506"/>
        <v>BZMB1-1-A32-BT-AP</v>
      </c>
      <c r="I3787" s="434"/>
      <c r="J3787" s="435" t="s">
        <v>1798</v>
      </c>
      <c r="K3787" s="434" t="s">
        <v>741</v>
      </c>
    </row>
    <row r="3788" spans="1:11" s="33" customFormat="1">
      <c r="A3788" s="435"/>
      <c r="B3788" s="26" t="s">
        <v>523</v>
      </c>
      <c r="C3788" s="217"/>
      <c r="D3788" s="217">
        <v>93.3</v>
      </c>
      <c r="E3788" s="203">
        <v>15</v>
      </c>
      <c r="F3788" s="149">
        <f t="shared" si="505"/>
        <v>108.3</v>
      </c>
      <c r="G3788" s="22" t="s">
        <v>7965</v>
      </c>
      <c r="H3788" s="458" t="str">
        <f t="shared" si="506"/>
        <v>BZMB1-1-A40-BT-AP</v>
      </c>
      <c r="I3788" s="434"/>
      <c r="J3788" s="435" t="s">
        <v>1798</v>
      </c>
      <c r="K3788" s="434" t="s">
        <v>741</v>
      </c>
    </row>
    <row r="3789" spans="1:11" s="33" customFormat="1">
      <c r="A3789" s="435"/>
      <c r="B3789" s="26" t="s">
        <v>524</v>
      </c>
      <c r="C3789" s="217"/>
      <c r="D3789" s="217">
        <v>93.3</v>
      </c>
      <c r="E3789" s="203">
        <v>15</v>
      </c>
      <c r="F3789" s="149">
        <f t="shared" si="505"/>
        <v>108.3</v>
      </c>
      <c r="G3789" s="22" t="s">
        <v>7966</v>
      </c>
      <c r="H3789" s="458" t="str">
        <f t="shared" si="506"/>
        <v>BZMB1-1-A50-BT-AP</v>
      </c>
      <c r="I3789" s="434"/>
      <c r="J3789" s="435" t="s">
        <v>1798</v>
      </c>
      <c r="K3789" s="434" t="s">
        <v>741</v>
      </c>
    </row>
    <row r="3790" spans="1:11" s="33" customFormat="1">
      <c r="A3790" s="435"/>
      <c r="B3790" s="26" t="s">
        <v>525</v>
      </c>
      <c r="C3790" s="217"/>
      <c r="D3790" s="217">
        <v>93.3</v>
      </c>
      <c r="E3790" s="203">
        <v>15</v>
      </c>
      <c r="F3790" s="149">
        <f t="shared" si="505"/>
        <v>108.3</v>
      </c>
      <c r="G3790" s="22" t="s">
        <v>7967</v>
      </c>
      <c r="H3790" s="458" t="str">
        <f t="shared" si="506"/>
        <v>BZMB1-1-A63-BT-AP</v>
      </c>
      <c r="I3790" s="434"/>
      <c r="J3790" s="435" t="s">
        <v>1798</v>
      </c>
      <c r="K3790" s="434" t="s">
        <v>741</v>
      </c>
    </row>
    <row r="3791" spans="1:11" s="33" customFormat="1">
      <c r="A3791" s="435"/>
      <c r="B3791" s="26" t="s">
        <v>526</v>
      </c>
      <c r="C3791" s="217"/>
      <c r="D3791" s="217">
        <v>100.8</v>
      </c>
      <c r="E3791" s="203">
        <v>15</v>
      </c>
      <c r="F3791" s="149">
        <f t="shared" si="505"/>
        <v>115.8</v>
      </c>
      <c r="G3791" s="22" t="s">
        <v>7968</v>
      </c>
      <c r="H3791" s="458" t="str">
        <f t="shared" si="506"/>
        <v>BZMB1-1-A80-BT-AP</v>
      </c>
      <c r="I3791" s="434"/>
      <c r="J3791" s="435" t="s">
        <v>1798</v>
      </c>
      <c r="K3791" s="434" t="s">
        <v>741</v>
      </c>
    </row>
    <row r="3792" spans="1:11" s="33" customFormat="1">
      <c r="A3792" s="435"/>
      <c r="B3792" s="26" t="s">
        <v>527</v>
      </c>
      <c r="C3792" s="217"/>
      <c r="D3792" s="217">
        <v>115.7</v>
      </c>
      <c r="E3792" s="203">
        <v>15</v>
      </c>
      <c r="F3792" s="149">
        <f t="shared" si="505"/>
        <v>130.69999999999999</v>
      </c>
      <c r="G3792" s="22" t="s">
        <v>7969</v>
      </c>
      <c r="H3792" s="458" t="str">
        <f t="shared" si="506"/>
        <v>BZMB1-1-A100-BT-AP</v>
      </c>
      <c r="I3792" s="434"/>
      <c r="J3792" s="435" t="s">
        <v>1798</v>
      </c>
      <c r="K3792" s="434" t="s">
        <v>741</v>
      </c>
    </row>
    <row r="3793" spans="1:11" s="33" customFormat="1">
      <c r="A3793" s="435"/>
      <c r="B3793" s="26"/>
      <c r="C3793" s="217"/>
      <c r="D3793" s="217"/>
      <c r="E3793" s="203"/>
      <c r="F3793" s="149"/>
      <c r="G3793" s="22"/>
      <c r="H3793" s="458"/>
      <c r="I3793" s="434"/>
      <c r="J3793" s="435"/>
      <c r="K3793" s="434"/>
    </row>
    <row r="3794" spans="1:11" s="33" customFormat="1">
      <c r="A3794" s="435"/>
      <c r="B3794" s="677" t="s">
        <v>2568</v>
      </c>
      <c r="C3794" s="505"/>
      <c r="D3794" s="505">
        <f t="shared" ref="D3794:D3800" si="507">107.2*1.07</f>
        <v>114.70400000000001</v>
      </c>
      <c r="E3794" s="678">
        <v>15</v>
      </c>
      <c r="F3794" s="679">
        <f t="shared" ref="F3794:F3802" si="508">D3794+E3794</f>
        <v>129.70400000000001</v>
      </c>
      <c r="G3794" s="457" t="s">
        <v>7970</v>
      </c>
      <c r="H3794" s="458" t="str">
        <f t="shared" ref="H3794:H3802" si="509">B3794</f>
        <v>BZMB1-2-A16-BT-AP</v>
      </c>
      <c r="I3794" s="434"/>
      <c r="J3794" s="435" t="s">
        <v>1798</v>
      </c>
      <c r="K3794" s="434" t="s">
        <v>741</v>
      </c>
    </row>
    <row r="3795" spans="1:11" s="33" customFormat="1">
      <c r="A3795" s="435"/>
      <c r="B3795" s="26" t="s">
        <v>528</v>
      </c>
      <c r="C3795" s="217"/>
      <c r="D3795" s="217">
        <f t="shared" si="507"/>
        <v>114.70400000000001</v>
      </c>
      <c r="E3795" s="203">
        <v>15</v>
      </c>
      <c r="F3795" s="149">
        <f t="shared" si="508"/>
        <v>129.70400000000001</v>
      </c>
      <c r="G3795" s="22" t="s">
        <v>7971</v>
      </c>
      <c r="H3795" s="458" t="str">
        <f t="shared" si="509"/>
        <v>BZMB1-2-A20-BT-AP</v>
      </c>
      <c r="I3795" s="434"/>
      <c r="J3795" s="435" t="s">
        <v>1798</v>
      </c>
      <c r="K3795" s="434" t="s">
        <v>741</v>
      </c>
    </row>
    <row r="3796" spans="1:11" s="33" customFormat="1">
      <c r="A3796" s="435"/>
      <c r="B3796" s="26" t="s">
        <v>529</v>
      </c>
      <c r="C3796" s="217"/>
      <c r="D3796" s="217">
        <f t="shared" si="507"/>
        <v>114.70400000000001</v>
      </c>
      <c r="E3796" s="203">
        <v>15</v>
      </c>
      <c r="F3796" s="149">
        <f t="shared" si="508"/>
        <v>129.70400000000001</v>
      </c>
      <c r="G3796" s="22" t="s">
        <v>7972</v>
      </c>
      <c r="H3796" s="458" t="str">
        <f t="shared" si="509"/>
        <v>BZMB1-2-A25-BT-AP</v>
      </c>
      <c r="I3796" s="434"/>
      <c r="J3796" s="435" t="s">
        <v>1798</v>
      </c>
      <c r="K3796" s="434" t="s">
        <v>741</v>
      </c>
    </row>
    <row r="3797" spans="1:11" s="33" customFormat="1">
      <c r="A3797" s="435"/>
      <c r="B3797" s="26" t="s">
        <v>530</v>
      </c>
      <c r="C3797" s="217"/>
      <c r="D3797" s="217">
        <f t="shared" si="507"/>
        <v>114.70400000000001</v>
      </c>
      <c r="E3797" s="203">
        <v>15</v>
      </c>
      <c r="F3797" s="149">
        <f t="shared" si="508"/>
        <v>129.70400000000001</v>
      </c>
      <c r="G3797" s="22" t="s">
        <v>7973</v>
      </c>
      <c r="H3797" s="458" t="str">
        <f t="shared" si="509"/>
        <v>BZMB1-2-A32-BT-AP</v>
      </c>
      <c r="I3797" s="434"/>
      <c r="J3797" s="435" t="s">
        <v>1798</v>
      </c>
      <c r="K3797" s="434" t="s">
        <v>741</v>
      </c>
    </row>
    <row r="3798" spans="1:11" s="33" customFormat="1">
      <c r="A3798" s="435"/>
      <c r="B3798" s="26" t="s">
        <v>531</v>
      </c>
      <c r="C3798" s="217"/>
      <c r="D3798" s="217">
        <f t="shared" si="507"/>
        <v>114.70400000000001</v>
      </c>
      <c r="E3798" s="203">
        <v>15</v>
      </c>
      <c r="F3798" s="149">
        <f t="shared" si="508"/>
        <v>129.70400000000001</v>
      </c>
      <c r="G3798" s="22" t="s">
        <v>7974</v>
      </c>
      <c r="H3798" s="458" t="str">
        <f t="shared" si="509"/>
        <v>BZMB1-2-A40-BT-AP</v>
      </c>
      <c r="I3798" s="434"/>
      <c r="J3798" s="435" t="s">
        <v>1798</v>
      </c>
      <c r="K3798" s="434" t="s">
        <v>741</v>
      </c>
    </row>
    <row r="3799" spans="1:11" s="33" customFormat="1">
      <c r="A3799" s="435"/>
      <c r="B3799" s="26" t="s">
        <v>532</v>
      </c>
      <c r="C3799" s="217"/>
      <c r="D3799" s="217">
        <f t="shared" si="507"/>
        <v>114.70400000000001</v>
      </c>
      <c r="E3799" s="203">
        <v>15</v>
      </c>
      <c r="F3799" s="149">
        <f t="shared" si="508"/>
        <v>129.70400000000001</v>
      </c>
      <c r="G3799" s="22" t="s">
        <v>7975</v>
      </c>
      <c r="H3799" s="458" t="str">
        <f t="shared" si="509"/>
        <v>BZMB1-2-A50-BT-AP</v>
      </c>
      <c r="I3799" s="434"/>
      <c r="J3799" s="435" t="s">
        <v>1798</v>
      </c>
      <c r="K3799" s="434" t="s">
        <v>741</v>
      </c>
    </row>
    <row r="3800" spans="1:11" s="33" customFormat="1">
      <c r="A3800" s="435"/>
      <c r="B3800" s="26" t="s">
        <v>533</v>
      </c>
      <c r="C3800" s="217"/>
      <c r="D3800" s="217">
        <f t="shared" si="507"/>
        <v>114.70400000000001</v>
      </c>
      <c r="E3800" s="203">
        <v>15</v>
      </c>
      <c r="F3800" s="149">
        <f t="shared" si="508"/>
        <v>129.70400000000001</v>
      </c>
      <c r="G3800" s="22" t="s">
        <v>7976</v>
      </c>
      <c r="H3800" s="458" t="str">
        <f t="shared" si="509"/>
        <v>BZMB1-2-A63-BT-AP</v>
      </c>
      <c r="I3800" s="434"/>
      <c r="J3800" s="435" t="s">
        <v>1798</v>
      </c>
      <c r="K3800" s="434" t="s">
        <v>741</v>
      </c>
    </row>
    <row r="3801" spans="1:11" s="33" customFormat="1">
      <c r="A3801" s="435"/>
      <c r="B3801" s="26" t="s">
        <v>534</v>
      </c>
      <c r="C3801" s="217"/>
      <c r="D3801" s="217">
        <f>118.2*1.07</f>
        <v>126.474</v>
      </c>
      <c r="E3801" s="203">
        <v>15</v>
      </c>
      <c r="F3801" s="149">
        <f t="shared" si="508"/>
        <v>141.47399999999999</v>
      </c>
      <c r="G3801" s="22" t="s">
        <v>7977</v>
      </c>
      <c r="H3801" s="458" t="str">
        <f t="shared" si="509"/>
        <v>BZMB1-2-A80-BT-AP</v>
      </c>
      <c r="I3801" s="434"/>
      <c r="J3801" s="435" t="s">
        <v>1798</v>
      </c>
      <c r="K3801" s="434" t="s">
        <v>741</v>
      </c>
    </row>
    <row r="3802" spans="1:11">
      <c r="A3802" s="435"/>
      <c r="B3802" s="26" t="s">
        <v>535</v>
      </c>
      <c r="C3802" s="217"/>
      <c r="D3802" s="217">
        <f>135.2*1.07</f>
        <v>144.66399999999999</v>
      </c>
      <c r="E3802" s="203">
        <v>15</v>
      </c>
      <c r="F3802" s="149">
        <f t="shared" si="508"/>
        <v>159.66399999999999</v>
      </c>
      <c r="G3802" s="22" t="s">
        <v>7978</v>
      </c>
      <c r="H3802" s="458" t="str">
        <f t="shared" si="509"/>
        <v>BZMB1-2-A100-BT-AP</v>
      </c>
      <c r="I3802" s="434"/>
      <c r="J3802" s="435" t="s">
        <v>1798</v>
      </c>
      <c r="K3802" s="434" t="s">
        <v>741</v>
      </c>
    </row>
    <row r="3803" spans="1:11" s="33" customFormat="1">
      <c r="A3803" s="447"/>
      <c r="B3803" s="453"/>
      <c r="C3803" s="217"/>
      <c r="D3803" s="217"/>
      <c r="E3803" s="407"/>
      <c r="F3803" s="157"/>
      <c r="G3803" s="410"/>
      <c r="H3803" s="458"/>
      <c r="I3803" s="446"/>
      <c r="J3803" s="435"/>
      <c r="K3803" s="434"/>
    </row>
    <row r="3804" spans="1:11" s="33" customFormat="1">
      <c r="A3804" s="443"/>
      <c r="B3804" s="26" t="s">
        <v>165</v>
      </c>
      <c r="C3804" s="217"/>
      <c r="D3804" s="217">
        <v>90</v>
      </c>
      <c r="E3804" s="203">
        <v>15</v>
      </c>
      <c r="F3804" s="149">
        <f t="shared" ref="F3804:F3812" si="510">D3804+E3804</f>
        <v>105</v>
      </c>
      <c r="G3804" s="22" t="s">
        <v>7979</v>
      </c>
      <c r="H3804" s="458" t="str">
        <f t="shared" ref="H3804:H3812" si="511">B3804</f>
        <v>BZMB1-A16-BT-AP</v>
      </c>
      <c r="I3804" s="434"/>
      <c r="J3804" s="435" t="s">
        <v>1798</v>
      </c>
      <c r="K3804" s="434" t="s">
        <v>741</v>
      </c>
    </row>
    <row r="3805" spans="1:11" s="33" customFormat="1">
      <c r="A3805" s="443"/>
      <c r="B3805" s="26" t="s">
        <v>164</v>
      </c>
      <c r="C3805" s="217"/>
      <c r="D3805" s="217">
        <v>90</v>
      </c>
      <c r="E3805" s="203">
        <v>15</v>
      </c>
      <c r="F3805" s="149">
        <f t="shared" si="510"/>
        <v>105</v>
      </c>
      <c r="G3805" s="22" t="s">
        <v>7980</v>
      </c>
      <c r="H3805" s="458" t="str">
        <f t="shared" si="511"/>
        <v>BZMB1-A20-BT-AP</v>
      </c>
      <c r="I3805" s="434"/>
      <c r="J3805" s="435" t="s">
        <v>1798</v>
      </c>
      <c r="K3805" s="434" t="s">
        <v>741</v>
      </c>
    </row>
    <row r="3806" spans="1:11" s="33" customFormat="1">
      <c r="A3806" s="443"/>
      <c r="B3806" s="26" t="s">
        <v>163</v>
      </c>
      <c r="C3806" s="217"/>
      <c r="D3806" s="217">
        <v>90</v>
      </c>
      <c r="E3806" s="203">
        <v>15</v>
      </c>
      <c r="F3806" s="149">
        <f t="shared" si="510"/>
        <v>105</v>
      </c>
      <c r="G3806" s="22" t="s">
        <v>7981</v>
      </c>
      <c r="H3806" s="458" t="str">
        <f t="shared" si="511"/>
        <v>BZMB1-A25-BT-AP</v>
      </c>
      <c r="I3806" s="434"/>
      <c r="J3806" s="435" t="s">
        <v>1798</v>
      </c>
      <c r="K3806" s="434" t="s">
        <v>741</v>
      </c>
    </row>
    <row r="3807" spans="1:11" s="33" customFormat="1">
      <c r="A3807" s="443"/>
      <c r="B3807" s="26" t="s">
        <v>162</v>
      </c>
      <c r="C3807" s="217"/>
      <c r="D3807" s="217">
        <v>90</v>
      </c>
      <c r="E3807" s="203">
        <v>15</v>
      </c>
      <c r="F3807" s="149">
        <f t="shared" si="510"/>
        <v>105</v>
      </c>
      <c r="G3807" s="22" t="s">
        <v>7982</v>
      </c>
      <c r="H3807" s="458" t="str">
        <f t="shared" si="511"/>
        <v>BZMB1-A32-BT-AP</v>
      </c>
      <c r="I3807" s="434"/>
      <c r="J3807" s="435" t="s">
        <v>1798</v>
      </c>
      <c r="K3807" s="434" t="s">
        <v>741</v>
      </c>
    </row>
    <row r="3808" spans="1:11" s="33" customFormat="1">
      <c r="A3808" s="443"/>
      <c r="B3808" s="26" t="s">
        <v>161</v>
      </c>
      <c r="C3808" s="217"/>
      <c r="D3808" s="217">
        <v>90</v>
      </c>
      <c r="E3808" s="203">
        <v>15</v>
      </c>
      <c r="F3808" s="149">
        <f t="shared" si="510"/>
        <v>105</v>
      </c>
      <c r="G3808" s="22" t="s">
        <v>7983</v>
      </c>
      <c r="H3808" s="458" t="str">
        <f t="shared" si="511"/>
        <v>BZMB1-A40-BT-AP</v>
      </c>
      <c r="I3808" s="434"/>
      <c r="J3808" s="435" t="s">
        <v>1798</v>
      </c>
      <c r="K3808" s="434" t="s">
        <v>741</v>
      </c>
    </row>
    <row r="3809" spans="1:11" s="33" customFormat="1">
      <c r="A3809" s="443"/>
      <c r="B3809" s="26" t="s">
        <v>160</v>
      </c>
      <c r="C3809" s="217"/>
      <c r="D3809" s="217">
        <v>90</v>
      </c>
      <c r="E3809" s="203">
        <v>15</v>
      </c>
      <c r="F3809" s="149">
        <f t="shared" si="510"/>
        <v>105</v>
      </c>
      <c r="G3809" s="22" t="s">
        <v>7984</v>
      </c>
      <c r="H3809" s="458" t="str">
        <f t="shared" si="511"/>
        <v>BZMB1-A50-BT-AP</v>
      </c>
      <c r="I3809" s="434"/>
      <c r="J3809" s="435" t="s">
        <v>1798</v>
      </c>
      <c r="K3809" s="434" t="s">
        <v>741</v>
      </c>
    </row>
    <row r="3810" spans="1:11" s="33" customFormat="1">
      <c r="A3810" s="443"/>
      <c r="B3810" s="26" t="s">
        <v>159</v>
      </c>
      <c r="C3810" s="217"/>
      <c r="D3810" s="217">
        <v>90</v>
      </c>
      <c r="E3810" s="203">
        <v>15</v>
      </c>
      <c r="F3810" s="149">
        <f t="shared" si="510"/>
        <v>105</v>
      </c>
      <c r="G3810" s="22" t="s">
        <v>7985</v>
      </c>
      <c r="H3810" s="458" t="str">
        <f t="shared" si="511"/>
        <v>BZMB1-A63-BT-AP</v>
      </c>
      <c r="I3810" s="434"/>
      <c r="J3810" s="435" t="s">
        <v>1798</v>
      </c>
      <c r="K3810" s="434" t="s">
        <v>741</v>
      </c>
    </row>
    <row r="3811" spans="1:11" s="33" customFormat="1">
      <c r="A3811" s="443"/>
      <c r="B3811" s="26" t="s">
        <v>158</v>
      </c>
      <c r="C3811" s="217"/>
      <c r="D3811" s="217">
        <v>91</v>
      </c>
      <c r="E3811" s="203">
        <v>15</v>
      </c>
      <c r="F3811" s="149">
        <f t="shared" si="510"/>
        <v>106</v>
      </c>
      <c r="G3811" s="22" t="s">
        <v>7986</v>
      </c>
      <c r="H3811" s="458" t="str">
        <f t="shared" si="511"/>
        <v>BZMB1-A80-BT-AP</v>
      </c>
      <c r="I3811" s="434"/>
      <c r="J3811" s="435" t="s">
        <v>1798</v>
      </c>
      <c r="K3811" s="434" t="s">
        <v>741</v>
      </c>
    </row>
    <row r="3812" spans="1:11" s="33" customFormat="1">
      <c r="A3812" s="443"/>
      <c r="B3812" s="26" t="s">
        <v>157</v>
      </c>
      <c r="C3812" s="217"/>
      <c r="D3812" s="217">
        <v>91</v>
      </c>
      <c r="E3812" s="203">
        <v>15</v>
      </c>
      <c r="F3812" s="149">
        <f t="shared" si="510"/>
        <v>106</v>
      </c>
      <c r="G3812" s="22" t="s">
        <v>7987</v>
      </c>
      <c r="H3812" s="458" t="str">
        <f t="shared" si="511"/>
        <v>BZMB1-A100-BT-AP</v>
      </c>
      <c r="I3812" s="434"/>
      <c r="J3812" s="435" t="s">
        <v>1798</v>
      </c>
      <c r="K3812" s="434" t="s">
        <v>741</v>
      </c>
    </row>
    <row r="3813" spans="1:11" s="33" customFormat="1">
      <c r="A3813" s="435"/>
      <c r="B3813" s="26"/>
      <c r="C3813" s="217"/>
      <c r="D3813" s="217"/>
      <c r="E3813" s="203"/>
      <c r="F3813" s="149"/>
      <c r="G3813" s="22"/>
      <c r="H3813" s="458"/>
      <c r="I3813" s="434"/>
      <c r="J3813" s="435"/>
      <c r="K3813" s="434"/>
    </row>
    <row r="3814" spans="1:11" s="33" customFormat="1">
      <c r="A3814" s="435"/>
      <c r="B3814" s="643" t="s">
        <v>536</v>
      </c>
      <c r="C3814" s="217"/>
      <c r="D3814" s="217">
        <v>167.7</v>
      </c>
      <c r="E3814" s="203">
        <v>15</v>
      </c>
      <c r="F3814" s="149">
        <f t="shared" ref="F3814:F3822" si="512">D3814+E3814</f>
        <v>182.7</v>
      </c>
      <c r="G3814" s="22" t="s">
        <v>7988</v>
      </c>
      <c r="H3814" s="458" t="str">
        <f t="shared" ref="H3814:H3822" si="513">B3814</f>
        <v>BZMB1-4-A16-BT-AP</v>
      </c>
      <c r="I3814" s="434"/>
      <c r="J3814" s="435" t="s">
        <v>1798</v>
      </c>
      <c r="K3814" s="434" t="s">
        <v>741</v>
      </c>
    </row>
    <row r="3815" spans="1:11" s="33" customFormat="1">
      <c r="A3815" s="435"/>
      <c r="B3815" s="643" t="s">
        <v>537</v>
      </c>
      <c r="C3815" s="217"/>
      <c r="D3815" s="217">
        <v>167.7</v>
      </c>
      <c r="E3815" s="203">
        <v>15</v>
      </c>
      <c r="F3815" s="149">
        <f t="shared" si="512"/>
        <v>182.7</v>
      </c>
      <c r="G3815" s="22" t="s">
        <v>7989</v>
      </c>
      <c r="H3815" s="458" t="str">
        <f t="shared" si="513"/>
        <v>BZMB1-4-A20-BT-AP</v>
      </c>
      <c r="I3815" s="434"/>
      <c r="J3815" s="435" t="s">
        <v>1798</v>
      </c>
      <c r="K3815" s="434" t="s">
        <v>741</v>
      </c>
    </row>
    <row r="3816" spans="1:11" s="33" customFormat="1">
      <c r="A3816" s="435"/>
      <c r="B3816" s="643" t="s">
        <v>538</v>
      </c>
      <c r="C3816" s="217"/>
      <c r="D3816" s="217">
        <v>167.7</v>
      </c>
      <c r="E3816" s="203">
        <v>15</v>
      </c>
      <c r="F3816" s="149">
        <f t="shared" si="512"/>
        <v>182.7</v>
      </c>
      <c r="G3816" s="22" t="s">
        <v>7990</v>
      </c>
      <c r="H3816" s="458" t="str">
        <f t="shared" si="513"/>
        <v>BZMB1-4-A25-BT-AP</v>
      </c>
      <c r="I3816" s="434"/>
      <c r="J3816" s="435" t="s">
        <v>1798</v>
      </c>
      <c r="K3816" s="434" t="s">
        <v>741</v>
      </c>
    </row>
    <row r="3817" spans="1:11" s="33" customFormat="1">
      <c r="A3817" s="435"/>
      <c r="B3817" s="643" t="s">
        <v>539</v>
      </c>
      <c r="C3817" s="217"/>
      <c r="D3817" s="217">
        <v>167.7</v>
      </c>
      <c r="E3817" s="203">
        <v>15</v>
      </c>
      <c r="F3817" s="149">
        <f t="shared" si="512"/>
        <v>182.7</v>
      </c>
      <c r="G3817" s="22" t="s">
        <v>7991</v>
      </c>
      <c r="H3817" s="458" t="str">
        <f t="shared" si="513"/>
        <v>BZMB1-4-A32-BT-AP</v>
      </c>
      <c r="I3817" s="434"/>
      <c r="J3817" s="435" t="s">
        <v>1798</v>
      </c>
      <c r="K3817" s="434" t="s">
        <v>741</v>
      </c>
    </row>
    <row r="3818" spans="1:11" s="33" customFormat="1">
      <c r="A3818" s="435"/>
      <c r="B3818" s="643" t="s">
        <v>540</v>
      </c>
      <c r="C3818" s="217"/>
      <c r="D3818" s="217">
        <v>167.7</v>
      </c>
      <c r="E3818" s="203">
        <v>15</v>
      </c>
      <c r="F3818" s="149">
        <f t="shared" si="512"/>
        <v>182.7</v>
      </c>
      <c r="G3818" s="22" t="s">
        <v>7992</v>
      </c>
      <c r="H3818" s="458" t="str">
        <f t="shared" si="513"/>
        <v>BZMB1-4-A40-BT-AP</v>
      </c>
      <c r="I3818" s="434"/>
      <c r="J3818" s="435" t="s">
        <v>1798</v>
      </c>
      <c r="K3818" s="434" t="s">
        <v>741</v>
      </c>
    </row>
    <row r="3819" spans="1:11" s="33" customFormat="1">
      <c r="A3819" s="435"/>
      <c r="B3819" s="643" t="s">
        <v>541</v>
      </c>
      <c r="C3819" s="217"/>
      <c r="D3819" s="217">
        <v>167.7</v>
      </c>
      <c r="E3819" s="203">
        <v>15</v>
      </c>
      <c r="F3819" s="149">
        <f t="shared" si="512"/>
        <v>182.7</v>
      </c>
      <c r="G3819" s="22" t="s">
        <v>7993</v>
      </c>
      <c r="H3819" s="458" t="str">
        <f t="shared" si="513"/>
        <v>BZMB1-4-A50-BT-AP</v>
      </c>
      <c r="I3819" s="434"/>
      <c r="J3819" s="435" t="s">
        <v>1798</v>
      </c>
      <c r="K3819" s="434" t="s">
        <v>741</v>
      </c>
    </row>
    <row r="3820" spans="1:11" s="33" customFormat="1">
      <c r="A3820" s="435"/>
      <c r="B3820" s="643" t="s">
        <v>542</v>
      </c>
      <c r="C3820" s="217"/>
      <c r="D3820" s="217">
        <v>167.7</v>
      </c>
      <c r="E3820" s="203">
        <v>15</v>
      </c>
      <c r="F3820" s="149">
        <f t="shared" si="512"/>
        <v>182.7</v>
      </c>
      <c r="G3820" s="22" t="s">
        <v>7994</v>
      </c>
      <c r="H3820" s="458" t="str">
        <f t="shared" si="513"/>
        <v>BZMB1-4-A63-BT-AP</v>
      </c>
      <c r="I3820" s="434"/>
      <c r="J3820" s="435" t="s">
        <v>1798</v>
      </c>
      <c r="K3820" s="434" t="s">
        <v>741</v>
      </c>
    </row>
    <row r="3821" spans="1:11" s="33" customFormat="1">
      <c r="A3821" s="435"/>
      <c r="B3821" s="643" t="s">
        <v>543</v>
      </c>
      <c r="C3821" s="217"/>
      <c r="D3821" s="217">
        <v>184.9</v>
      </c>
      <c r="E3821" s="203">
        <v>15</v>
      </c>
      <c r="F3821" s="149">
        <f t="shared" si="512"/>
        <v>199.9</v>
      </c>
      <c r="G3821" s="22" t="s">
        <v>7995</v>
      </c>
      <c r="H3821" s="458" t="str">
        <f t="shared" si="513"/>
        <v>BZMB1-4-A80-BT-AP</v>
      </c>
      <c r="I3821" s="434"/>
      <c r="J3821" s="435" t="s">
        <v>1798</v>
      </c>
      <c r="K3821" s="434" t="s">
        <v>741</v>
      </c>
    </row>
    <row r="3822" spans="1:11" s="185" customFormat="1">
      <c r="A3822" s="435"/>
      <c r="B3822" s="643" t="s">
        <v>544</v>
      </c>
      <c r="C3822" s="217"/>
      <c r="D3822" s="217">
        <v>211.5</v>
      </c>
      <c r="E3822" s="203">
        <v>15</v>
      </c>
      <c r="F3822" s="149">
        <f t="shared" si="512"/>
        <v>226.5</v>
      </c>
      <c r="G3822" s="22" t="s">
        <v>7996</v>
      </c>
      <c r="H3822" s="458" t="str">
        <f t="shared" si="513"/>
        <v>BZMB1-4-A100-BT-AP</v>
      </c>
      <c r="I3822" s="434"/>
      <c r="J3822" s="435" t="s">
        <v>1798</v>
      </c>
      <c r="K3822" s="434" t="s">
        <v>741</v>
      </c>
    </row>
    <row r="3823" spans="1:11" s="185" customFormat="1">
      <c r="A3823" s="1524"/>
      <c r="B3823" s="643" t="s">
        <v>7997</v>
      </c>
      <c r="C3823" s="217"/>
      <c r="D3823" s="217">
        <v>211.5</v>
      </c>
      <c r="E3823" s="203">
        <v>15</v>
      </c>
      <c r="F3823" s="149">
        <f>D3823+E3823</f>
        <v>226.5</v>
      </c>
      <c r="G3823" s="22" t="s">
        <v>7996</v>
      </c>
      <c r="H3823" s="458" t="str">
        <f>B3823</f>
        <v>BZMB1-4-A160-BT-AP</v>
      </c>
      <c r="I3823" s="434"/>
      <c r="J3823" s="435" t="s">
        <v>1798</v>
      </c>
      <c r="K3823" s="434" t="s">
        <v>741</v>
      </c>
    </row>
    <row r="3824" spans="1:11" s="33" customFormat="1">
      <c r="A3824" s="447"/>
      <c r="B3824" s="453"/>
      <c r="C3824" s="217"/>
      <c r="D3824" s="217"/>
      <c r="E3824" s="407"/>
      <c r="F3824" s="157"/>
      <c r="G3824" s="410"/>
      <c r="H3824" s="139"/>
      <c r="I3824" s="454"/>
      <c r="J3824" s="447"/>
      <c r="K3824" s="454"/>
    </row>
    <row r="3825" spans="1:14" s="33" customFormat="1">
      <c r="A3825" s="443"/>
      <c r="B3825" s="26" t="s">
        <v>166</v>
      </c>
      <c r="C3825" s="217"/>
      <c r="D3825" s="217">
        <v>131</v>
      </c>
      <c r="E3825" s="203">
        <v>15</v>
      </c>
      <c r="F3825" s="149">
        <f>D3825+E3825</f>
        <v>146</v>
      </c>
      <c r="G3825" s="22" t="s">
        <v>7998</v>
      </c>
      <c r="H3825" s="458" t="str">
        <f>B3825</f>
        <v>BZMB2-A125</v>
      </c>
      <c r="I3825" s="434"/>
      <c r="J3825" s="443" t="s">
        <v>1798</v>
      </c>
      <c r="K3825" s="434"/>
    </row>
    <row r="3826" spans="1:14" s="33" customFormat="1">
      <c r="A3826" s="443"/>
      <c r="B3826" s="26" t="s">
        <v>167</v>
      </c>
      <c r="C3826" s="217"/>
      <c r="D3826" s="217">
        <v>131</v>
      </c>
      <c r="E3826" s="203">
        <v>15</v>
      </c>
      <c r="F3826" s="149">
        <f>D3826+E3826</f>
        <v>146</v>
      </c>
      <c r="G3826" s="22" t="s">
        <v>7999</v>
      </c>
      <c r="H3826" s="458" t="str">
        <f>B3826</f>
        <v>BZMB2-A160</v>
      </c>
      <c r="I3826" s="434"/>
      <c r="J3826" s="443" t="s">
        <v>1798</v>
      </c>
      <c r="K3826" s="434"/>
    </row>
    <row r="3827" spans="1:14" s="33" customFormat="1">
      <c r="A3827" s="443"/>
      <c r="B3827" s="26" t="s">
        <v>168</v>
      </c>
      <c r="C3827" s="217"/>
      <c r="D3827" s="217">
        <v>195</v>
      </c>
      <c r="E3827" s="203">
        <v>30</v>
      </c>
      <c r="F3827" s="149">
        <f>D3827+E3827</f>
        <v>225</v>
      </c>
      <c r="G3827" s="22" t="s">
        <v>8000</v>
      </c>
      <c r="H3827" s="458" t="str">
        <f>B3827</f>
        <v>BZMB2-A200</v>
      </c>
      <c r="I3827" s="434"/>
      <c r="J3827" s="443" t="s">
        <v>1798</v>
      </c>
      <c r="K3827" s="434"/>
    </row>
    <row r="3828" spans="1:14" s="33" customFormat="1">
      <c r="A3828" s="443"/>
      <c r="B3828" s="26" t="s">
        <v>169</v>
      </c>
      <c r="C3828" s="217"/>
      <c r="D3828" s="217">
        <v>202</v>
      </c>
      <c r="E3828" s="203">
        <v>30</v>
      </c>
      <c r="F3828" s="149">
        <f>D3828+E3828</f>
        <v>232</v>
      </c>
      <c r="G3828" s="22" t="s">
        <v>8001</v>
      </c>
      <c r="H3828" s="458" t="str">
        <f>B3828</f>
        <v>BZMB2-A250</v>
      </c>
      <c r="I3828" s="434"/>
      <c r="J3828" s="443" t="s">
        <v>1798</v>
      </c>
      <c r="K3828" s="434"/>
    </row>
    <row r="3829" spans="1:14" s="33" customFormat="1">
      <c r="A3829" s="435"/>
      <c r="B3829" s="26"/>
      <c r="C3829" s="217"/>
      <c r="D3829" s="217"/>
      <c r="E3829" s="203"/>
      <c r="F3829" s="149"/>
      <c r="G3829" s="22"/>
      <c r="H3829" s="458"/>
      <c r="I3829" s="434"/>
      <c r="J3829" s="443"/>
      <c r="K3829" s="434"/>
    </row>
    <row r="3830" spans="1:14" s="33" customFormat="1">
      <c r="A3830" s="443"/>
      <c r="B3830" s="26" t="s">
        <v>360</v>
      </c>
      <c r="C3830" s="217"/>
      <c r="D3830" s="217">
        <v>315</v>
      </c>
      <c r="E3830" s="203">
        <v>50</v>
      </c>
      <c r="F3830" s="149">
        <f>D3830+E3830</f>
        <v>365</v>
      </c>
      <c r="G3830" s="22" t="s">
        <v>8002</v>
      </c>
      <c r="H3830" s="458" t="str">
        <f>B3830</f>
        <v>BZMB3-A250</v>
      </c>
      <c r="I3830" s="434"/>
      <c r="J3830" s="443" t="s">
        <v>1798</v>
      </c>
      <c r="K3830" s="434"/>
    </row>
    <row r="3831" spans="1:14" s="33" customFormat="1">
      <c r="A3831" s="443"/>
      <c r="B3831" s="26" t="s">
        <v>361</v>
      </c>
      <c r="C3831" s="217"/>
      <c r="D3831" s="217">
        <v>315</v>
      </c>
      <c r="E3831" s="203">
        <v>50</v>
      </c>
      <c r="F3831" s="149">
        <f>D3831+E3831</f>
        <v>365</v>
      </c>
      <c r="G3831" s="22" t="s">
        <v>8003</v>
      </c>
      <c r="H3831" s="458" t="str">
        <f>B3831</f>
        <v>BZMB3-A320</v>
      </c>
      <c r="I3831" s="434"/>
      <c r="J3831" s="443" t="s">
        <v>1798</v>
      </c>
      <c r="K3831" s="434"/>
    </row>
    <row r="3832" spans="1:14">
      <c r="A3832" s="443"/>
      <c r="B3832" s="26" t="s">
        <v>362</v>
      </c>
      <c r="C3832" s="217"/>
      <c r="D3832" s="217">
        <v>315</v>
      </c>
      <c r="E3832" s="203">
        <v>50</v>
      </c>
      <c r="F3832" s="149">
        <f>D3832+E3832</f>
        <v>365</v>
      </c>
      <c r="G3832" s="22" t="s">
        <v>8004</v>
      </c>
      <c r="H3832" s="458" t="str">
        <f>B3832</f>
        <v>BZMB3-A400</v>
      </c>
      <c r="I3832" s="434"/>
      <c r="J3832" s="443" t="s">
        <v>1798</v>
      </c>
      <c r="K3832" s="434"/>
    </row>
    <row r="3833" spans="1:14" s="33" customFormat="1">
      <c r="A3833" s="445"/>
      <c r="B3833" s="132"/>
      <c r="C3833" s="217"/>
      <c r="D3833" s="217"/>
      <c r="E3833" s="214"/>
      <c r="F3833" s="152"/>
      <c r="G3833" s="133"/>
      <c r="H3833" s="458"/>
      <c r="I3833" s="446"/>
      <c r="J3833" s="443"/>
      <c r="K3833" s="446"/>
    </row>
    <row r="3834" spans="1:14">
      <c r="A3834" s="435"/>
      <c r="B3834" s="32" t="s">
        <v>1671</v>
      </c>
      <c r="C3834" s="341"/>
      <c r="D3834" s="341"/>
      <c r="E3834" s="203"/>
      <c r="F3834" s="149"/>
      <c r="G3834" s="434"/>
      <c r="H3834" s="458"/>
      <c r="I3834" s="434"/>
      <c r="J3834" s="443"/>
      <c r="K3834" s="434"/>
      <c r="L3834" s="189"/>
      <c r="M3834" s="189"/>
      <c r="N3834" s="189"/>
    </row>
    <row r="3835" spans="1:14">
      <c r="A3835" s="443"/>
      <c r="B3835" s="384" t="s">
        <v>1672</v>
      </c>
      <c r="C3835" s="217"/>
      <c r="D3835" s="217">
        <v>75</v>
      </c>
      <c r="E3835" s="395">
        <v>5</v>
      </c>
      <c r="F3835" s="387">
        <f>D3835+E3835</f>
        <v>80</v>
      </c>
      <c r="G3835" s="388" t="s">
        <v>9356</v>
      </c>
      <c r="H3835" s="458" t="str">
        <f>B3835</f>
        <v>BZM1-3-XA230-240VAC</v>
      </c>
      <c r="I3835" s="189"/>
      <c r="J3835" s="443" t="s">
        <v>1798</v>
      </c>
      <c r="K3835" s="189" t="s">
        <v>741</v>
      </c>
      <c r="L3835" s="189"/>
      <c r="M3835" s="189"/>
      <c r="N3835" s="189"/>
    </row>
    <row r="3836" spans="1:14">
      <c r="A3836" s="443"/>
      <c r="B3836" s="384" t="s">
        <v>8005</v>
      </c>
      <c r="C3836" s="217"/>
      <c r="D3836" s="217">
        <v>3</v>
      </c>
      <c r="E3836" s="395">
        <v>2</v>
      </c>
      <c r="F3836" s="387">
        <f>D3836+E3836</f>
        <v>5</v>
      </c>
      <c r="G3836" s="411" t="s">
        <v>9357</v>
      </c>
      <c r="H3836" s="458" t="str">
        <f>B3836</f>
        <v>M22-K10_bz</v>
      </c>
      <c r="I3836" s="189"/>
      <c r="J3836" s="443" t="s">
        <v>1798</v>
      </c>
      <c r="K3836" s="189" t="s">
        <v>741</v>
      </c>
      <c r="L3836" s="189"/>
      <c r="M3836" s="189"/>
      <c r="N3836" s="189"/>
    </row>
    <row r="3837" spans="1:14" s="185" customFormat="1">
      <c r="A3837" s="443"/>
      <c r="B3837" s="384" t="s">
        <v>8006</v>
      </c>
      <c r="C3837" s="217"/>
      <c r="D3837" s="217">
        <v>3</v>
      </c>
      <c r="E3837" s="395">
        <v>2</v>
      </c>
      <c r="F3837" s="387">
        <f>D3837+E3837</f>
        <v>5</v>
      </c>
      <c r="G3837" s="411" t="s">
        <v>9358</v>
      </c>
      <c r="H3837" s="458" t="str">
        <f>B3837</f>
        <v>M22-K01_bz</v>
      </c>
      <c r="I3837" s="189"/>
      <c r="J3837" s="443" t="s">
        <v>1798</v>
      </c>
      <c r="K3837" s="189" t="s">
        <v>741</v>
      </c>
      <c r="L3837" s="388"/>
      <c r="M3837" s="388"/>
      <c r="N3837" s="388"/>
    </row>
    <row r="3838" spans="1:14" s="33" customFormat="1">
      <c r="A3838" s="447"/>
      <c r="B3838" s="384"/>
      <c r="C3838" s="217"/>
      <c r="D3838" s="217"/>
      <c r="E3838" s="386"/>
      <c r="F3838" s="387"/>
      <c r="G3838" s="388"/>
      <c r="H3838" s="458"/>
      <c r="I3838" s="388"/>
      <c r="J3838" s="443"/>
      <c r="K3838" s="388"/>
    </row>
    <row r="3839" spans="1:14">
      <c r="A3839" s="443"/>
      <c r="B3839" s="384" t="s">
        <v>1799</v>
      </c>
      <c r="C3839" s="217"/>
      <c r="D3839" s="217">
        <v>5</v>
      </c>
      <c r="E3839" s="395">
        <v>1</v>
      </c>
      <c r="F3839" s="387">
        <f>D3839+E3839</f>
        <v>6</v>
      </c>
      <c r="G3839" s="411" t="s">
        <v>1800</v>
      </c>
      <c r="H3839" s="458" t="str">
        <f>B3839</f>
        <v>BZM1-XKP</v>
      </c>
      <c r="I3839" s="189"/>
      <c r="J3839" s="443" t="s">
        <v>1798</v>
      </c>
      <c r="K3839" s="189" t="s">
        <v>741</v>
      </c>
      <c r="L3839" s="189"/>
      <c r="M3839" s="189"/>
      <c r="N3839" s="189"/>
    </row>
    <row r="3840" spans="1:14">
      <c r="A3840" s="443"/>
      <c r="B3840" s="384" t="s">
        <v>1801</v>
      </c>
      <c r="C3840" s="217"/>
      <c r="D3840" s="217">
        <v>10</v>
      </c>
      <c r="E3840" s="395">
        <v>1</v>
      </c>
      <c r="F3840" s="387">
        <f>D3840+E3840</f>
        <v>11</v>
      </c>
      <c r="G3840" s="411" t="s">
        <v>1802</v>
      </c>
      <c r="H3840" s="458" t="str">
        <f>B3840</f>
        <v>BZM2-XKP</v>
      </c>
      <c r="I3840" s="189"/>
      <c r="J3840" s="443" t="s">
        <v>1798</v>
      </c>
      <c r="K3840" s="189" t="s">
        <v>741</v>
      </c>
      <c r="L3840" s="189"/>
      <c r="M3840" s="189"/>
      <c r="N3840" s="189"/>
    </row>
    <row r="3841" spans="1:14" s="317" customFormat="1">
      <c r="A3841" s="447"/>
      <c r="B3841" s="384"/>
      <c r="C3841" s="217"/>
      <c r="D3841" s="217"/>
      <c r="E3841" s="395"/>
      <c r="F3841" s="387"/>
      <c r="G3841" s="411"/>
      <c r="H3841" s="458"/>
      <c r="I3841" s="189"/>
      <c r="J3841" s="443"/>
      <c r="K3841" s="189"/>
    </row>
    <row r="3842" spans="1:14" s="33" customFormat="1">
      <c r="A3842" s="369"/>
      <c r="B3842" s="448" t="s">
        <v>1803</v>
      </c>
      <c r="C3842" s="449"/>
      <c r="D3842" s="449">
        <v>50</v>
      </c>
      <c r="E3842" s="450">
        <v>5</v>
      </c>
      <c r="F3842" s="451">
        <f>ROUNDUP(D3842+E3842,1)</f>
        <v>55</v>
      </c>
      <c r="G3842" s="411" t="s">
        <v>5111</v>
      </c>
      <c r="H3842" s="458" t="str">
        <f>B3842</f>
        <v>BZM1-XKAV</v>
      </c>
      <c r="I3842" s="452"/>
      <c r="J3842" s="443" t="s">
        <v>1798</v>
      </c>
      <c r="K3842" s="452" t="s">
        <v>741</v>
      </c>
    </row>
    <row r="3843" spans="1:14" s="33" customFormat="1">
      <c r="A3843" s="447"/>
      <c r="B3843" s="384"/>
      <c r="C3843" s="217"/>
      <c r="D3843" s="385"/>
      <c r="E3843" s="386"/>
      <c r="F3843" s="387"/>
      <c r="G3843" s="388"/>
      <c r="H3843" s="458"/>
      <c r="I3843" s="388"/>
      <c r="J3843" s="447"/>
      <c r="K3843" s="388"/>
    </row>
    <row r="3844" spans="1:14" customFormat="1">
      <c r="A3844" s="435"/>
      <c r="B3844" s="32" t="s">
        <v>1670</v>
      </c>
      <c r="C3844" s="217"/>
      <c r="D3844" s="202"/>
      <c r="E3844" s="203"/>
      <c r="F3844" s="149"/>
      <c r="G3844" s="434"/>
      <c r="H3844" s="458"/>
      <c r="I3844" s="434"/>
      <c r="J3844" s="435"/>
      <c r="K3844" s="434"/>
    </row>
    <row r="3845" spans="1:14" customFormat="1">
      <c r="A3845" s="433"/>
      <c r="B3845" s="134" t="s">
        <v>1574</v>
      </c>
      <c r="C3845" s="217"/>
      <c r="D3845" s="385"/>
      <c r="E3845" s="386"/>
      <c r="F3845" s="382">
        <v>40</v>
      </c>
      <c r="G3845" s="389" t="s">
        <v>1573</v>
      </c>
      <c r="H3845" s="458" t="str">
        <f>B3845</f>
        <v>CUBREBOR_BZM2_3t</v>
      </c>
      <c r="I3845" s="189"/>
      <c r="J3845" s="443" t="s">
        <v>1798</v>
      </c>
      <c r="K3845" s="189" t="s">
        <v>741</v>
      </c>
    </row>
    <row r="3846" spans="1:14">
      <c r="A3846" s="435"/>
      <c r="B3846" s="27"/>
      <c r="C3846" s="217"/>
      <c r="D3846" s="202"/>
      <c r="E3846" s="203"/>
      <c r="F3846" s="149"/>
      <c r="G3846" s="434"/>
      <c r="H3846" s="458"/>
      <c r="I3846" s="434"/>
      <c r="J3846" s="435"/>
      <c r="K3846" s="434"/>
      <c r="L3846" s="189"/>
      <c r="M3846" s="189"/>
      <c r="N3846" s="189"/>
    </row>
    <row r="3847" spans="1:14">
      <c r="A3847" s="435"/>
      <c r="B3847" s="32" t="s">
        <v>1575</v>
      </c>
      <c r="C3847" s="217"/>
      <c r="D3847" s="202"/>
      <c r="E3847" s="203"/>
      <c r="F3847" s="149"/>
      <c r="G3847" s="434"/>
      <c r="H3847" s="458"/>
      <c r="I3847" s="434"/>
      <c r="J3847" s="435"/>
      <c r="K3847" s="434"/>
      <c r="L3847" s="189"/>
      <c r="M3847" s="189"/>
      <c r="N3847" s="189"/>
    </row>
    <row r="3848" spans="1:14" s="185" customFormat="1">
      <c r="A3848" s="446"/>
      <c r="B3848" s="384" t="s">
        <v>1626</v>
      </c>
      <c r="C3848" s="446"/>
      <c r="D3848" s="446"/>
      <c r="E3848" s="446"/>
      <c r="F3848" s="446"/>
      <c r="G3848" s="446"/>
      <c r="H3848" s="458"/>
      <c r="I3848" s="446"/>
      <c r="J3848" s="446"/>
      <c r="K3848" s="446"/>
      <c r="L3848" s="388"/>
      <c r="M3848" s="388"/>
      <c r="N3848" s="388"/>
    </row>
    <row r="3849" spans="1:14" s="21" customFormat="1">
      <c r="A3849" s="446"/>
      <c r="B3849" s="384"/>
      <c r="C3849" s="446"/>
      <c r="D3849" s="446"/>
      <c r="E3849" s="446"/>
      <c r="F3849" s="446"/>
      <c r="G3849" s="446"/>
      <c r="H3849" s="458"/>
      <c r="I3849" s="446"/>
      <c r="J3849" s="446"/>
      <c r="K3849" s="446"/>
    </row>
    <row r="3850" spans="1:14" s="33" customFormat="1">
      <c r="A3850" s="433"/>
      <c r="B3850" s="384" t="s">
        <v>5014</v>
      </c>
      <c r="C3850" s="217"/>
      <c r="D3850" s="217">
        <v>56</v>
      </c>
      <c r="E3850" s="395">
        <v>10</v>
      </c>
      <c r="F3850" s="387">
        <f>D3850+E3850</f>
        <v>66</v>
      </c>
      <c r="G3850" s="383" t="s">
        <v>8007</v>
      </c>
      <c r="H3850" s="458" t="str">
        <f>B3850</f>
        <v>BZM3-XKA1</v>
      </c>
      <c r="I3850" s="189"/>
      <c r="J3850" s="443" t="s">
        <v>1798</v>
      </c>
      <c r="K3850" s="189" t="s">
        <v>741</v>
      </c>
    </row>
    <row r="3851" spans="1:14" s="33" customFormat="1">
      <c r="A3851" s="433"/>
      <c r="B3851" s="384" t="s">
        <v>5015</v>
      </c>
      <c r="C3851" s="217"/>
      <c r="D3851" s="217">
        <v>105</v>
      </c>
      <c r="E3851" s="395">
        <v>10</v>
      </c>
      <c r="F3851" s="387">
        <f>D3851+E3851</f>
        <v>115</v>
      </c>
      <c r="G3851" s="383" t="s">
        <v>8008</v>
      </c>
      <c r="H3851" s="458" t="str">
        <f>B3851</f>
        <v>BZM3-XKA2</v>
      </c>
      <c r="I3851" s="189"/>
      <c r="J3851" s="443" t="s">
        <v>1798</v>
      </c>
      <c r="K3851" s="189" t="s">
        <v>741</v>
      </c>
    </row>
    <row r="3852" spans="1:14" s="33" customFormat="1">
      <c r="A3852" s="447"/>
      <c r="B3852" s="384"/>
      <c r="C3852" s="217"/>
      <c r="D3852" s="217"/>
      <c r="E3852" s="386"/>
      <c r="F3852" s="387"/>
      <c r="G3852" s="388"/>
      <c r="H3852" s="458"/>
      <c r="I3852" s="388"/>
      <c r="J3852" s="447"/>
      <c r="K3852" s="388"/>
    </row>
    <row r="3853" spans="1:14" s="33" customFormat="1">
      <c r="A3853" s="440"/>
      <c r="B3853" s="46"/>
      <c r="C3853" s="217"/>
      <c r="D3853" s="217"/>
      <c r="E3853" s="203"/>
      <c r="F3853" s="149"/>
      <c r="G3853" s="441"/>
      <c r="H3853" s="458"/>
      <c r="I3853" s="441"/>
      <c r="J3853" s="440"/>
      <c r="K3853" s="441"/>
    </row>
    <row r="3854" spans="1:14" s="33" customFormat="1">
      <c r="A3854" s="435"/>
      <c r="B3854" s="32" t="s">
        <v>363</v>
      </c>
      <c r="C3854" s="217"/>
      <c r="D3854" s="217"/>
      <c r="E3854" s="203"/>
      <c r="F3854" s="149"/>
      <c r="G3854" s="434"/>
      <c r="H3854" s="458"/>
      <c r="I3854" s="434"/>
      <c r="J3854" s="435"/>
      <c r="K3854" s="434"/>
    </row>
    <row r="3855" spans="1:14" s="33" customFormat="1">
      <c r="A3855" s="443"/>
      <c r="B3855" s="26" t="s">
        <v>170</v>
      </c>
      <c r="C3855" s="217"/>
      <c r="D3855" s="217">
        <v>131</v>
      </c>
      <c r="E3855" s="203">
        <v>15</v>
      </c>
      <c r="F3855" s="149">
        <f t="shared" ref="F3855:F3864" si="514">D3855+E3855</f>
        <v>146</v>
      </c>
      <c r="G3855" s="22" t="s">
        <v>8009</v>
      </c>
      <c r="H3855" s="458" t="str">
        <f t="shared" ref="H3855:H3864" si="515">B3855</f>
        <v>LZMS1-A20</v>
      </c>
      <c r="I3855" s="434"/>
      <c r="J3855" s="443" t="s">
        <v>1798</v>
      </c>
      <c r="K3855" s="434" t="s">
        <v>741</v>
      </c>
    </row>
    <row r="3856" spans="1:14" s="33" customFormat="1">
      <c r="A3856" s="443"/>
      <c r="B3856" s="26" t="s">
        <v>171</v>
      </c>
      <c r="C3856" s="217"/>
      <c r="D3856" s="217">
        <v>131</v>
      </c>
      <c r="E3856" s="203">
        <v>15</v>
      </c>
      <c r="F3856" s="149">
        <f t="shared" si="514"/>
        <v>146</v>
      </c>
      <c r="G3856" s="22" t="s">
        <v>8010</v>
      </c>
      <c r="H3856" s="458" t="str">
        <f t="shared" si="515"/>
        <v>LZMS1-A25</v>
      </c>
      <c r="I3856" s="434"/>
      <c r="J3856" s="443" t="s">
        <v>1798</v>
      </c>
      <c r="K3856" s="434" t="s">
        <v>741</v>
      </c>
    </row>
    <row r="3857" spans="1:11" s="33" customFormat="1">
      <c r="A3857" s="443"/>
      <c r="B3857" s="26" t="s">
        <v>172</v>
      </c>
      <c r="C3857" s="217"/>
      <c r="D3857" s="217">
        <v>131</v>
      </c>
      <c r="E3857" s="203">
        <v>15</v>
      </c>
      <c r="F3857" s="149">
        <f t="shared" si="514"/>
        <v>146</v>
      </c>
      <c r="G3857" s="22" t="s">
        <v>8011</v>
      </c>
      <c r="H3857" s="458" t="str">
        <f t="shared" si="515"/>
        <v>LZMS1-A32</v>
      </c>
      <c r="I3857" s="434"/>
      <c r="J3857" s="443" t="s">
        <v>1798</v>
      </c>
      <c r="K3857" s="434" t="s">
        <v>741</v>
      </c>
    </row>
    <row r="3858" spans="1:11" s="33" customFormat="1">
      <c r="A3858" s="443"/>
      <c r="B3858" s="26" t="s">
        <v>173</v>
      </c>
      <c r="C3858" s="217"/>
      <c r="D3858" s="217">
        <v>135</v>
      </c>
      <c r="E3858" s="203">
        <v>15</v>
      </c>
      <c r="F3858" s="149">
        <f t="shared" si="514"/>
        <v>150</v>
      </c>
      <c r="G3858" s="22" t="s">
        <v>8012</v>
      </c>
      <c r="H3858" s="458" t="str">
        <f t="shared" si="515"/>
        <v>LZMS1-A40</v>
      </c>
      <c r="I3858" s="434"/>
      <c r="J3858" s="443" t="s">
        <v>1798</v>
      </c>
      <c r="K3858" s="434" t="s">
        <v>741</v>
      </c>
    </row>
    <row r="3859" spans="1:11" s="33" customFormat="1">
      <c r="A3859" s="443"/>
      <c r="B3859" s="26" t="s">
        <v>174</v>
      </c>
      <c r="C3859" s="217"/>
      <c r="D3859" s="217">
        <v>135</v>
      </c>
      <c r="E3859" s="203">
        <v>15</v>
      </c>
      <c r="F3859" s="149">
        <f t="shared" si="514"/>
        <v>150</v>
      </c>
      <c r="G3859" s="22" t="s">
        <v>8013</v>
      </c>
      <c r="H3859" s="458" t="str">
        <f t="shared" si="515"/>
        <v>LZMS1-A50</v>
      </c>
      <c r="I3859" s="434"/>
      <c r="J3859" s="443" t="s">
        <v>1798</v>
      </c>
      <c r="K3859" s="434" t="s">
        <v>741</v>
      </c>
    </row>
    <row r="3860" spans="1:11" s="33" customFormat="1">
      <c r="A3860" s="443"/>
      <c r="B3860" s="26" t="s">
        <v>175</v>
      </c>
      <c r="C3860" s="217"/>
      <c r="D3860" s="217">
        <v>135</v>
      </c>
      <c r="E3860" s="203">
        <v>15</v>
      </c>
      <c r="F3860" s="149">
        <f t="shared" si="514"/>
        <v>150</v>
      </c>
      <c r="G3860" s="22" t="s">
        <v>8014</v>
      </c>
      <c r="H3860" s="458" t="str">
        <f t="shared" si="515"/>
        <v>LZMS1-A63</v>
      </c>
      <c r="I3860" s="434"/>
      <c r="J3860" s="443" t="s">
        <v>1798</v>
      </c>
      <c r="K3860" s="434" t="s">
        <v>741</v>
      </c>
    </row>
    <row r="3861" spans="1:11" s="33" customFormat="1">
      <c r="A3861" s="443"/>
      <c r="B3861" s="26" t="s">
        <v>176</v>
      </c>
      <c r="C3861" s="217"/>
      <c r="D3861" s="217">
        <v>141</v>
      </c>
      <c r="E3861" s="203">
        <v>15</v>
      </c>
      <c r="F3861" s="149">
        <f t="shared" si="514"/>
        <v>156</v>
      </c>
      <c r="G3861" s="22" t="s">
        <v>8015</v>
      </c>
      <c r="H3861" s="458" t="str">
        <f t="shared" si="515"/>
        <v>LZMS1-A80</v>
      </c>
      <c r="I3861" s="434"/>
      <c r="J3861" s="443" t="s">
        <v>1798</v>
      </c>
      <c r="K3861" s="434" t="s">
        <v>741</v>
      </c>
    </row>
    <row r="3862" spans="1:11" s="33" customFormat="1">
      <c r="A3862" s="443"/>
      <c r="B3862" s="26" t="s">
        <v>177</v>
      </c>
      <c r="C3862" s="217"/>
      <c r="D3862" s="217">
        <v>141</v>
      </c>
      <c r="E3862" s="203">
        <v>15</v>
      </c>
      <c r="F3862" s="149">
        <f t="shared" si="514"/>
        <v>156</v>
      </c>
      <c r="G3862" s="22" t="s">
        <v>8016</v>
      </c>
      <c r="H3862" s="458" t="str">
        <f t="shared" si="515"/>
        <v>LZMS1-A100</v>
      </c>
      <c r="I3862" s="434"/>
      <c r="J3862" s="443" t="s">
        <v>1798</v>
      </c>
      <c r="K3862" s="434" t="s">
        <v>741</v>
      </c>
    </row>
    <row r="3863" spans="1:11" s="33" customFormat="1">
      <c r="A3863" s="443"/>
      <c r="B3863" s="26" t="s">
        <v>178</v>
      </c>
      <c r="C3863" s="217"/>
      <c r="D3863" s="217">
        <v>141</v>
      </c>
      <c r="E3863" s="203">
        <v>15</v>
      </c>
      <c r="F3863" s="149">
        <f t="shared" si="514"/>
        <v>156</v>
      </c>
      <c r="G3863" s="22" t="s">
        <v>8017</v>
      </c>
      <c r="H3863" s="458" t="str">
        <f t="shared" si="515"/>
        <v>LZMS1-A125</v>
      </c>
      <c r="I3863" s="434"/>
      <c r="J3863" s="443" t="s">
        <v>1798</v>
      </c>
      <c r="K3863" s="434" t="s">
        <v>741</v>
      </c>
    </row>
    <row r="3864" spans="1:11" s="33" customFormat="1">
      <c r="A3864" s="443"/>
      <c r="B3864" s="26" t="s">
        <v>179</v>
      </c>
      <c r="C3864" s="217"/>
      <c r="D3864" s="217">
        <v>237</v>
      </c>
      <c r="E3864" s="203">
        <v>15</v>
      </c>
      <c r="F3864" s="149">
        <f t="shared" si="514"/>
        <v>252</v>
      </c>
      <c r="G3864" s="22" t="s">
        <v>8018</v>
      </c>
      <c r="H3864" s="458" t="str">
        <f t="shared" si="515"/>
        <v>LZMS1-A160</v>
      </c>
      <c r="I3864" s="434"/>
      <c r="J3864" s="443" t="s">
        <v>1798</v>
      </c>
      <c r="K3864" s="434" t="s">
        <v>741</v>
      </c>
    </row>
    <row r="3865" spans="1:11" s="33" customFormat="1">
      <c r="A3865" s="435"/>
      <c r="B3865" s="26"/>
      <c r="C3865" s="217"/>
      <c r="D3865" s="217"/>
      <c r="E3865" s="203"/>
      <c r="F3865" s="149"/>
      <c r="G3865" s="22"/>
      <c r="H3865" s="458"/>
      <c r="I3865" s="434"/>
      <c r="J3865" s="443"/>
      <c r="K3865" s="434"/>
    </row>
    <row r="3866" spans="1:11" s="33" customFormat="1">
      <c r="A3866" s="443"/>
      <c r="B3866" s="26" t="s">
        <v>8019</v>
      </c>
      <c r="C3866" s="217"/>
      <c r="D3866" s="217">
        <v>169.65088680085117</v>
      </c>
      <c r="E3866" s="203">
        <v>15</v>
      </c>
      <c r="F3866" s="149">
        <f t="shared" ref="F3866:F3872" si="516">D3866+E3866</f>
        <v>184.65088680085117</v>
      </c>
      <c r="G3866" s="22" t="s">
        <v>8020</v>
      </c>
      <c r="H3866" s="458" t="s">
        <v>8019</v>
      </c>
      <c r="I3866" s="434"/>
      <c r="J3866" s="443" t="s">
        <v>1798</v>
      </c>
      <c r="K3866" s="434"/>
    </row>
    <row r="3867" spans="1:11" s="33" customFormat="1">
      <c r="A3867" s="443"/>
      <c r="B3867" s="26" t="s">
        <v>8021</v>
      </c>
      <c r="C3867" s="217"/>
      <c r="D3867" s="217">
        <v>169.65088680085117</v>
      </c>
      <c r="E3867" s="203">
        <v>15</v>
      </c>
      <c r="F3867" s="149">
        <f>D3867+E3867</f>
        <v>184.65088680085117</v>
      </c>
      <c r="G3867" s="22" t="s">
        <v>8022</v>
      </c>
      <c r="H3867" s="458" t="s">
        <v>8021</v>
      </c>
      <c r="I3867" s="434"/>
      <c r="J3867" s="443" t="s">
        <v>1798</v>
      </c>
      <c r="K3867" s="434"/>
    </row>
    <row r="3868" spans="1:11" s="33" customFormat="1">
      <c r="A3868" s="443"/>
      <c r="B3868" s="26" t="s">
        <v>8023</v>
      </c>
      <c r="C3868" s="217"/>
      <c r="D3868" s="217">
        <v>163.2418614316465</v>
      </c>
      <c r="E3868" s="203">
        <v>15</v>
      </c>
      <c r="F3868" s="149">
        <f>D3868+E3868</f>
        <v>178.2418614316465</v>
      </c>
      <c r="G3868" s="22" t="s">
        <v>8024</v>
      </c>
      <c r="H3868" s="458" t="s">
        <v>8023</v>
      </c>
      <c r="I3868" s="434"/>
      <c r="J3868" s="443" t="s">
        <v>1798</v>
      </c>
      <c r="K3868" s="434"/>
    </row>
    <row r="3869" spans="1:11" s="33" customFormat="1">
      <c r="A3869" s="443"/>
      <c r="B3869" s="26" t="s">
        <v>8025</v>
      </c>
      <c r="C3869" s="217"/>
      <c r="D3869" s="217">
        <v>163.2418614316465</v>
      </c>
      <c r="E3869" s="203">
        <v>15</v>
      </c>
      <c r="F3869" s="149">
        <f t="shared" si="516"/>
        <v>178.2418614316465</v>
      </c>
      <c r="G3869" s="22" t="s">
        <v>8026</v>
      </c>
      <c r="H3869" s="458" t="s">
        <v>8025</v>
      </c>
      <c r="I3869" s="434"/>
      <c r="J3869" s="443" t="s">
        <v>1798</v>
      </c>
      <c r="K3869" s="434"/>
    </row>
    <row r="3870" spans="1:11" s="33" customFormat="1">
      <c r="A3870" s="443"/>
      <c r="B3870" s="26" t="s">
        <v>8027</v>
      </c>
      <c r="C3870" s="217"/>
      <c r="D3870" s="217">
        <v>163.2418614316465</v>
      </c>
      <c r="E3870" s="203">
        <v>15</v>
      </c>
      <c r="F3870" s="149">
        <f>D3870+E3870</f>
        <v>178.2418614316465</v>
      </c>
      <c r="G3870" s="22" t="s">
        <v>8028</v>
      </c>
      <c r="H3870" s="458" t="s">
        <v>8027</v>
      </c>
      <c r="I3870" s="434"/>
      <c r="J3870" s="443" t="s">
        <v>1798</v>
      </c>
      <c r="K3870" s="434"/>
    </row>
    <row r="3871" spans="1:11" s="33" customFormat="1">
      <c r="A3871" s="443"/>
      <c r="B3871" s="26" t="s">
        <v>8029</v>
      </c>
      <c r="C3871" s="217"/>
      <c r="D3871" s="217">
        <v>423.90494844804289</v>
      </c>
      <c r="E3871" s="203">
        <v>15</v>
      </c>
      <c r="F3871" s="149">
        <f t="shared" si="516"/>
        <v>438.90494844804289</v>
      </c>
      <c r="G3871" s="22" t="s">
        <v>8030</v>
      </c>
      <c r="H3871" s="458" t="s">
        <v>8029</v>
      </c>
      <c r="I3871" s="434"/>
      <c r="J3871" s="443" t="s">
        <v>1798</v>
      </c>
      <c r="K3871" s="434"/>
    </row>
    <row r="3872" spans="1:11" s="33" customFormat="1">
      <c r="A3872" s="443"/>
      <c r="B3872" s="26" t="s">
        <v>8031</v>
      </c>
      <c r="C3872" s="217"/>
      <c r="D3872" s="217">
        <v>981.54323723076914</v>
      </c>
      <c r="E3872" s="203">
        <v>15</v>
      </c>
      <c r="F3872" s="149">
        <f t="shared" si="516"/>
        <v>996.54323723076914</v>
      </c>
      <c r="G3872" s="22" t="s">
        <v>8032</v>
      </c>
      <c r="H3872" s="458" t="s">
        <v>8031</v>
      </c>
      <c r="I3872" s="434"/>
      <c r="J3872" s="443" t="s">
        <v>1798</v>
      </c>
      <c r="K3872" s="434"/>
    </row>
    <row r="3873" spans="1:11" s="33" customFormat="1">
      <c r="A3873" s="435"/>
      <c r="B3873" s="26"/>
      <c r="C3873" s="217"/>
      <c r="D3873" s="217"/>
      <c r="E3873" s="203"/>
      <c r="F3873" s="149"/>
      <c r="G3873" s="22"/>
      <c r="H3873" s="458"/>
      <c r="I3873" s="434"/>
      <c r="J3873" s="443"/>
      <c r="K3873" s="434"/>
    </row>
    <row r="3874" spans="1:11" s="33" customFormat="1">
      <c r="A3874" s="435"/>
      <c r="B3874" s="27"/>
      <c r="C3874" s="217"/>
      <c r="D3874" s="217"/>
      <c r="E3874" s="203"/>
      <c r="F3874" s="149"/>
      <c r="G3874" s="434"/>
      <c r="H3874" s="458"/>
      <c r="I3874" s="434"/>
      <c r="J3874" s="443"/>
      <c r="K3874" s="434"/>
    </row>
    <row r="3875" spans="1:11" s="33" customFormat="1">
      <c r="A3875" s="433"/>
      <c r="B3875" s="425" t="s">
        <v>1804</v>
      </c>
      <c r="C3875" s="429"/>
      <c r="D3875" s="217">
        <v>398</v>
      </c>
      <c r="E3875" s="426">
        <v>20</v>
      </c>
      <c r="F3875" s="427">
        <f t="shared" ref="F3875:F3886" si="517">D3875+E3875</f>
        <v>418</v>
      </c>
      <c r="G3875" s="22" t="s">
        <v>8033</v>
      </c>
      <c r="H3875" s="458" t="str">
        <f t="shared" ref="H3875:H3886" si="518">B3875</f>
        <v>LZMS2-A25</v>
      </c>
      <c r="I3875" s="434"/>
      <c r="J3875" s="443" t="s">
        <v>1798</v>
      </c>
      <c r="K3875" s="434"/>
    </row>
    <row r="3876" spans="1:11" s="33" customFormat="1">
      <c r="A3876" s="433"/>
      <c r="B3876" s="425" t="s">
        <v>1805</v>
      </c>
      <c r="C3876" s="429"/>
      <c r="D3876" s="217">
        <v>398</v>
      </c>
      <c r="E3876" s="426">
        <v>20</v>
      </c>
      <c r="F3876" s="427">
        <f>D3876+E3876</f>
        <v>418</v>
      </c>
      <c r="G3876" s="22" t="s">
        <v>8034</v>
      </c>
      <c r="H3876" s="458" t="str">
        <f>B3876</f>
        <v>LZMS2-A32</v>
      </c>
      <c r="I3876" s="434"/>
      <c r="J3876" s="443" t="s">
        <v>1798</v>
      </c>
      <c r="K3876" s="434"/>
    </row>
    <row r="3877" spans="1:11" s="33" customFormat="1">
      <c r="A3877" s="433"/>
      <c r="B3877" s="425" t="s">
        <v>8035</v>
      </c>
      <c r="C3877" s="429"/>
      <c r="D3877" s="217">
        <v>398</v>
      </c>
      <c r="E3877" s="426">
        <v>20</v>
      </c>
      <c r="F3877" s="427">
        <f>D3877+E3877</f>
        <v>418</v>
      </c>
      <c r="G3877" s="22" t="s">
        <v>8036</v>
      </c>
      <c r="H3877" s="458" t="str">
        <f>B3877</f>
        <v>LZMS2-A40</v>
      </c>
      <c r="I3877" s="434"/>
      <c r="J3877" s="443" t="s">
        <v>1798</v>
      </c>
      <c r="K3877" s="434"/>
    </row>
    <row r="3878" spans="1:11" s="33" customFormat="1">
      <c r="A3878" s="433"/>
      <c r="B3878" s="425" t="s">
        <v>11728</v>
      </c>
      <c r="C3878" s="429"/>
      <c r="D3878" s="217">
        <v>398</v>
      </c>
      <c r="E3878" s="426">
        <v>20</v>
      </c>
      <c r="F3878" s="427">
        <f>D3878+E3878</f>
        <v>418</v>
      </c>
      <c r="G3878" s="22" t="s">
        <v>11729</v>
      </c>
      <c r="H3878" s="458" t="str">
        <f>B3878</f>
        <v>LZMS2-A50</v>
      </c>
      <c r="I3878" s="434"/>
      <c r="J3878" s="443" t="s">
        <v>1798</v>
      </c>
      <c r="K3878" s="434"/>
    </row>
    <row r="3879" spans="1:11" s="33" customFormat="1">
      <c r="A3879" s="433"/>
      <c r="B3879" s="425" t="s">
        <v>5912</v>
      </c>
      <c r="C3879" s="429"/>
      <c r="D3879" s="217">
        <v>398</v>
      </c>
      <c r="E3879" s="426">
        <v>20</v>
      </c>
      <c r="F3879" s="427">
        <f>D3879+E3879</f>
        <v>418</v>
      </c>
      <c r="G3879" s="22" t="s">
        <v>8037</v>
      </c>
      <c r="H3879" s="458" t="str">
        <f>B3879</f>
        <v>LZMS2-A63</v>
      </c>
      <c r="I3879" s="434"/>
      <c r="J3879" s="443" t="s">
        <v>1798</v>
      </c>
      <c r="K3879" s="434"/>
    </row>
    <row r="3880" spans="1:11" s="33" customFormat="1">
      <c r="A3880" s="433"/>
      <c r="B3880" s="425" t="s">
        <v>8038</v>
      </c>
      <c r="C3880" s="429"/>
      <c r="D3880" s="217">
        <v>398</v>
      </c>
      <c r="E3880" s="426">
        <v>20</v>
      </c>
      <c r="F3880" s="427">
        <f>D3880+E3880</f>
        <v>418</v>
      </c>
      <c r="G3880" s="22" t="s">
        <v>8039</v>
      </c>
      <c r="H3880" s="458" t="str">
        <f>B3880</f>
        <v>LZMS2-A80</v>
      </c>
      <c r="I3880" s="434"/>
      <c r="J3880" s="443" t="s">
        <v>1798</v>
      </c>
      <c r="K3880" s="434"/>
    </row>
    <row r="3881" spans="1:11" s="33" customFormat="1">
      <c r="A3881" s="433"/>
      <c r="B3881" s="425" t="s">
        <v>467</v>
      </c>
      <c r="C3881" s="429"/>
      <c r="D3881" s="217">
        <v>398</v>
      </c>
      <c r="E3881" s="426">
        <v>20</v>
      </c>
      <c r="F3881" s="427">
        <f t="shared" si="517"/>
        <v>418</v>
      </c>
      <c r="G3881" s="22" t="s">
        <v>8040</v>
      </c>
      <c r="H3881" s="458" t="str">
        <f t="shared" si="518"/>
        <v>LZMS2-A100</v>
      </c>
      <c r="I3881" s="434"/>
      <c r="J3881" s="443" t="s">
        <v>1798</v>
      </c>
      <c r="K3881" s="434"/>
    </row>
    <row r="3882" spans="1:11" s="33" customFormat="1">
      <c r="A3882" s="443"/>
      <c r="B3882" s="26" t="s">
        <v>8041</v>
      </c>
      <c r="C3882" s="217"/>
      <c r="D3882" s="217">
        <v>398</v>
      </c>
      <c r="E3882" s="203">
        <v>20</v>
      </c>
      <c r="F3882" s="149">
        <f t="shared" si="517"/>
        <v>418</v>
      </c>
      <c r="G3882" s="22" t="s">
        <v>8042</v>
      </c>
      <c r="H3882" s="458" t="str">
        <f t="shared" si="518"/>
        <v>LZMS2-A125</v>
      </c>
      <c r="I3882" s="434"/>
      <c r="J3882" s="443" t="s">
        <v>1798</v>
      </c>
      <c r="K3882" s="434"/>
    </row>
    <row r="3883" spans="1:11" s="33" customFormat="1">
      <c r="A3883" s="443"/>
      <c r="B3883" s="26" t="s">
        <v>180</v>
      </c>
      <c r="C3883" s="217"/>
      <c r="D3883" s="217">
        <v>398</v>
      </c>
      <c r="E3883" s="203">
        <v>20</v>
      </c>
      <c r="F3883" s="149">
        <f t="shared" si="517"/>
        <v>418</v>
      </c>
      <c r="G3883" s="22" t="s">
        <v>8043</v>
      </c>
      <c r="H3883" s="458" t="str">
        <f t="shared" si="518"/>
        <v>LZMS2-A160</v>
      </c>
      <c r="I3883" s="434"/>
      <c r="J3883" s="443" t="s">
        <v>1798</v>
      </c>
      <c r="K3883" s="434"/>
    </row>
    <row r="3884" spans="1:11" s="33" customFormat="1">
      <c r="A3884" s="443"/>
      <c r="B3884" s="26" t="s">
        <v>181</v>
      </c>
      <c r="C3884" s="217"/>
      <c r="D3884" s="217">
        <v>398</v>
      </c>
      <c r="E3884" s="203">
        <v>30</v>
      </c>
      <c r="F3884" s="149">
        <f t="shared" si="517"/>
        <v>428</v>
      </c>
      <c r="G3884" s="22" t="s">
        <v>8044</v>
      </c>
      <c r="H3884" s="458" t="str">
        <f t="shared" si="518"/>
        <v>LZMS2-A200</v>
      </c>
      <c r="I3884" s="434"/>
      <c r="J3884" s="443" t="s">
        <v>1798</v>
      </c>
      <c r="K3884" s="434"/>
    </row>
    <row r="3885" spans="1:11" s="33" customFormat="1">
      <c r="A3885" s="443"/>
      <c r="B3885" s="26" t="s">
        <v>182</v>
      </c>
      <c r="C3885" s="217"/>
      <c r="D3885" s="217">
        <v>398</v>
      </c>
      <c r="E3885" s="203">
        <v>30</v>
      </c>
      <c r="F3885" s="149">
        <f t="shared" si="517"/>
        <v>428</v>
      </c>
      <c r="G3885" s="22" t="s">
        <v>8045</v>
      </c>
      <c r="H3885" s="458" t="str">
        <f t="shared" si="518"/>
        <v>LZMS2-A250</v>
      </c>
      <c r="I3885" s="434"/>
      <c r="J3885" s="443" t="s">
        <v>1798</v>
      </c>
      <c r="K3885" s="434"/>
    </row>
    <row r="3886" spans="1:11" s="33" customFormat="1">
      <c r="A3886" s="443"/>
      <c r="B3886" s="26" t="s">
        <v>183</v>
      </c>
      <c r="C3886" s="217"/>
      <c r="D3886" s="217">
        <v>480</v>
      </c>
      <c r="E3886" s="214">
        <v>40</v>
      </c>
      <c r="F3886" s="149">
        <f t="shared" si="517"/>
        <v>520</v>
      </c>
      <c r="G3886" s="22" t="s">
        <v>8046</v>
      </c>
      <c r="H3886" s="458" t="str">
        <f t="shared" si="518"/>
        <v>LZMS2-A300</v>
      </c>
      <c r="I3886" s="434"/>
      <c r="J3886" s="443" t="s">
        <v>1798</v>
      </c>
      <c r="K3886" s="434"/>
    </row>
    <row r="3887" spans="1:11" s="33" customFormat="1">
      <c r="A3887" s="435"/>
      <c r="B3887" s="27"/>
      <c r="C3887" s="217"/>
      <c r="D3887" s="217"/>
      <c r="E3887" s="203"/>
      <c r="F3887" s="149"/>
      <c r="G3887" s="434"/>
      <c r="H3887" s="458"/>
      <c r="I3887" s="434"/>
      <c r="J3887" s="443"/>
      <c r="K3887" s="434"/>
    </row>
    <row r="3888" spans="1:11" s="33" customFormat="1">
      <c r="A3888" s="443"/>
      <c r="B3888" s="26" t="s">
        <v>184</v>
      </c>
      <c r="C3888" s="217"/>
      <c r="D3888" s="217">
        <v>648</v>
      </c>
      <c r="E3888" s="203">
        <v>40</v>
      </c>
      <c r="F3888" s="149">
        <f>D3888+E3888</f>
        <v>688</v>
      </c>
      <c r="G3888" s="22" t="s">
        <v>8047</v>
      </c>
      <c r="H3888" s="458" t="str">
        <f>B3888</f>
        <v>LZMS3-A320</v>
      </c>
      <c r="I3888" s="434"/>
      <c r="J3888" s="443" t="s">
        <v>1798</v>
      </c>
      <c r="K3888" s="434"/>
    </row>
    <row r="3889" spans="1:14" s="33" customFormat="1">
      <c r="A3889" s="443"/>
      <c r="B3889" s="26" t="s">
        <v>185</v>
      </c>
      <c r="C3889" s="217"/>
      <c r="D3889" s="217">
        <v>648</v>
      </c>
      <c r="E3889" s="203">
        <v>40</v>
      </c>
      <c r="F3889" s="149">
        <f>D3889+E3889</f>
        <v>688</v>
      </c>
      <c r="G3889" s="22" t="s">
        <v>8048</v>
      </c>
      <c r="H3889" s="458" t="str">
        <f>B3889</f>
        <v>LZMS3-A400</v>
      </c>
      <c r="I3889" s="434"/>
      <c r="J3889" s="443" t="s">
        <v>1798</v>
      </c>
      <c r="K3889" s="434"/>
    </row>
    <row r="3890" spans="1:14" s="33" customFormat="1">
      <c r="A3890" s="443"/>
      <c r="B3890" s="26" t="s">
        <v>186</v>
      </c>
      <c r="C3890" s="217"/>
      <c r="D3890" s="217">
        <v>722</v>
      </c>
      <c r="E3890" s="203">
        <v>80</v>
      </c>
      <c r="F3890" s="149">
        <f>D3890+E3890</f>
        <v>802</v>
      </c>
      <c r="G3890" s="22" t="s">
        <v>8049</v>
      </c>
      <c r="H3890" s="458" t="str">
        <f>B3890</f>
        <v>LZMS3-A500</v>
      </c>
      <c r="I3890" s="434"/>
      <c r="J3890" s="443" t="s">
        <v>1798</v>
      </c>
      <c r="K3890" s="434"/>
    </row>
    <row r="3891" spans="1:14" s="33" customFormat="1">
      <c r="A3891" s="435"/>
      <c r="B3891" s="27"/>
      <c r="C3891" s="217"/>
      <c r="D3891" s="217"/>
      <c r="E3891" s="203"/>
      <c r="F3891" s="149"/>
      <c r="G3891" s="434"/>
      <c r="H3891" s="458"/>
      <c r="I3891" s="434"/>
      <c r="J3891" s="443"/>
      <c r="K3891" s="434"/>
    </row>
    <row r="3892" spans="1:14" s="33" customFormat="1">
      <c r="A3892" s="435"/>
      <c r="B3892" s="32" t="s">
        <v>364</v>
      </c>
      <c r="C3892" s="217"/>
      <c r="D3892" s="217"/>
      <c r="E3892" s="203"/>
      <c r="F3892" s="149"/>
      <c r="G3892" s="434"/>
      <c r="H3892" s="458"/>
      <c r="I3892" s="434"/>
      <c r="J3892" s="443"/>
      <c r="K3892" s="434"/>
    </row>
    <row r="3893" spans="1:14" s="33" customFormat="1">
      <c r="A3893" s="443"/>
      <c r="B3893" s="26" t="s">
        <v>187</v>
      </c>
      <c r="C3893" s="217"/>
      <c r="D3893" s="217">
        <v>974</v>
      </c>
      <c r="E3893" s="203">
        <v>70</v>
      </c>
      <c r="F3893" s="149">
        <f>D3893+E3893</f>
        <v>1044</v>
      </c>
      <c r="G3893" s="22" t="s">
        <v>8050</v>
      </c>
      <c r="H3893" s="458" t="str">
        <f>B3893</f>
        <v>LZMS3-VE400</v>
      </c>
      <c r="I3893" s="434"/>
      <c r="J3893" s="443" t="s">
        <v>1798</v>
      </c>
      <c r="K3893" s="434" t="s">
        <v>741</v>
      </c>
    </row>
    <row r="3894" spans="1:14" s="185" customFormat="1">
      <c r="A3894" s="443"/>
      <c r="B3894" s="26" t="s">
        <v>188</v>
      </c>
      <c r="C3894" s="217"/>
      <c r="D3894" s="217">
        <v>974</v>
      </c>
      <c r="E3894" s="203">
        <f>50+90</f>
        <v>140</v>
      </c>
      <c r="F3894" s="149">
        <f>D3894+E3894</f>
        <v>1114</v>
      </c>
      <c r="G3894" s="22" t="s">
        <v>8051</v>
      </c>
      <c r="H3894" s="458" t="str">
        <f>B3894</f>
        <v>LZMS3-VE630</v>
      </c>
      <c r="I3894" s="434"/>
      <c r="J3894" s="443" t="s">
        <v>1798</v>
      </c>
      <c r="K3894" s="434" t="s">
        <v>741</v>
      </c>
    </row>
    <row r="3895" spans="1:14" s="33" customFormat="1">
      <c r="A3895" s="447"/>
      <c r="B3895" s="453"/>
      <c r="C3895" s="217"/>
      <c r="D3895" s="217"/>
      <c r="E3895" s="407"/>
      <c r="F3895" s="157"/>
      <c r="G3895" s="410"/>
      <c r="H3895" s="458"/>
      <c r="I3895" s="454"/>
      <c r="J3895" s="443"/>
      <c r="K3895" s="454"/>
    </row>
    <row r="3896" spans="1:14" s="21" customFormat="1">
      <c r="A3896" s="443"/>
      <c r="B3896" s="26" t="s">
        <v>189</v>
      </c>
      <c r="C3896" s="217"/>
      <c r="D3896" s="217">
        <v>2056</v>
      </c>
      <c r="E3896" s="203">
        <f>234-90</f>
        <v>144</v>
      </c>
      <c r="F3896" s="149">
        <f>D3896+E3896</f>
        <v>2200</v>
      </c>
      <c r="G3896" s="22" t="s">
        <v>8052</v>
      </c>
      <c r="H3896" s="458" t="str">
        <f>B3896</f>
        <v>LZMS4-VE800</v>
      </c>
      <c r="I3896" s="434"/>
      <c r="J3896" s="443" t="s">
        <v>1798</v>
      </c>
      <c r="K3896" s="434" t="s">
        <v>741</v>
      </c>
    </row>
    <row r="3897" spans="1:14" s="33" customFormat="1">
      <c r="A3897" s="443"/>
      <c r="B3897" s="26" t="s">
        <v>190</v>
      </c>
      <c r="C3897" s="217"/>
      <c r="D3897" s="217">
        <v>2056</v>
      </c>
      <c r="E3897" s="203">
        <v>234</v>
      </c>
      <c r="F3897" s="149">
        <f>D3897+E3897</f>
        <v>2290</v>
      </c>
      <c r="G3897" s="22" t="s">
        <v>8053</v>
      </c>
      <c r="H3897" s="458" t="str">
        <f>B3897</f>
        <v>LZMS4-VE1000</v>
      </c>
      <c r="I3897" s="434"/>
      <c r="J3897" s="443" t="s">
        <v>1798</v>
      </c>
      <c r="K3897" s="434"/>
    </row>
    <row r="3898" spans="1:14">
      <c r="A3898" s="443"/>
      <c r="B3898" s="26" t="s">
        <v>191</v>
      </c>
      <c r="C3898" s="217"/>
      <c r="D3898" s="217">
        <v>2056</v>
      </c>
      <c r="E3898" s="203">
        <v>234</v>
      </c>
      <c r="F3898" s="149">
        <f>D3898+E3898</f>
        <v>2290</v>
      </c>
      <c r="G3898" s="22" t="s">
        <v>8054</v>
      </c>
      <c r="H3898" s="458" t="str">
        <f>B3898</f>
        <v>LZMS4-VE1250</v>
      </c>
      <c r="I3898" s="434"/>
      <c r="J3898" s="443" t="s">
        <v>1798</v>
      </c>
      <c r="K3898" s="434"/>
      <c r="L3898" s="189"/>
      <c r="M3898" s="189"/>
      <c r="N3898" s="189"/>
    </row>
    <row r="3899" spans="1:14">
      <c r="A3899" s="443"/>
      <c r="B3899" s="26" t="s">
        <v>192</v>
      </c>
      <c r="C3899" s="217"/>
      <c r="D3899" s="217">
        <v>2056</v>
      </c>
      <c r="E3899" s="203">
        <v>234</v>
      </c>
      <c r="F3899" s="149">
        <f>D3899+E3899</f>
        <v>2290</v>
      </c>
      <c r="G3899" s="22" t="s">
        <v>8055</v>
      </c>
      <c r="H3899" s="458" t="str">
        <f>B3899</f>
        <v>LZMS4-VE1600</v>
      </c>
      <c r="I3899" s="434"/>
      <c r="J3899" s="443" t="s">
        <v>1798</v>
      </c>
      <c r="K3899" s="434"/>
      <c r="L3899" s="189"/>
      <c r="M3899" s="189"/>
      <c r="N3899" s="189"/>
    </row>
    <row r="3900" spans="1:14">
      <c r="A3900" s="443"/>
      <c r="B3900" s="26"/>
      <c r="C3900" s="217"/>
      <c r="D3900" s="217"/>
      <c r="E3900" s="203"/>
      <c r="F3900" s="149"/>
      <c r="G3900" s="22"/>
      <c r="H3900" s="458"/>
      <c r="I3900" s="434"/>
      <c r="J3900" s="443"/>
      <c r="K3900" s="434"/>
      <c r="L3900" s="189"/>
      <c r="M3900" s="189"/>
      <c r="N3900" s="189"/>
    </row>
    <row r="3901" spans="1:14" s="33" customFormat="1">
      <c r="A3901" s="435"/>
      <c r="B3901" s="32" t="s">
        <v>10884</v>
      </c>
      <c r="C3901" s="217"/>
      <c r="D3901" s="217"/>
      <c r="E3901" s="203"/>
      <c r="F3901" s="149"/>
      <c r="G3901" s="434"/>
      <c r="H3901" s="458"/>
      <c r="I3901" s="434"/>
      <c r="J3901" s="443"/>
      <c r="K3901" s="434"/>
    </row>
    <row r="3902" spans="1:14">
      <c r="A3902" s="443"/>
      <c r="B3902" s="26" t="s">
        <v>10885</v>
      </c>
      <c r="C3902" s="217"/>
      <c r="D3902" s="217">
        <v>4490</v>
      </c>
      <c r="E3902" s="203">
        <v>234</v>
      </c>
      <c r="F3902" s="149">
        <f>D3902+E3902</f>
        <v>4724</v>
      </c>
      <c r="G3902" s="22" t="s">
        <v>10886</v>
      </c>
      <c r="H3902" s="458" t="str">
        <f>B3902</f>
        <v>IZMX16B3-P12F-1</v>
      </c>
      <c r="I3902" s="434"/>
      <c r="J3902" s="443" t="s">
        <v>1798</v>
      </c>
      <c r="K3902" s="434"/>
      <c r="L3902" s="189"/>
      <c r="M3902" s="189"/>
      <c r="N3902" s="189"/>
    </row>
    <row r="3903" spans="1:14">
      <c r="A3903" s="443"/>
      <c r="B3903" s="26" t="s">
        <v>10887</v>
      </c>
      <c r="C3903" s="217"/>
      <c r="D3903" s="217">
        <v>4490</v>
      </c>
      <c r="E3903" s="203">
        <v>234</v>
      </c>
      <c r="F3903" s="149">
        <f>D3903+E3903</f>
        <v>4724</v>
      </c>
      <c r="G3903" s="22" t="s">
        <v>10888</v>
      </c>
      <c r="H3903" s="458" t="str">
        <f>B3903</f>
        <v>IZMX16B3-P16F-1</v>
      </c>
      <c r="I3903" s="434"/>
      <c r="J3903" s="443" t="s">
        <v>1798</v>
      </c>
      <c r="K3903" s="434"/>
      <c r="L3903" s="189"/>
      <c r="M3903" s="189"/>
      <c r="N3903" s="189"/>
    </row>
    <row r="3904" spans="1:14" s="33" customFormat="1">
      <c r="A3904" s="435"/>
      <c r="B3904" s="27"/>
      <c r="C3904" s="217"/>
      <c r="D3904" s="217"/>
      <c r="E3904" s="203"/>
      <c r="F3904" s="149"/>
      <c r="G3904" s="434"/>
      <c r="H3904" s="458"/>
      <c r="I3904" s="434"/>
      <c r="J3904" s="443"/>
      <c r="K3904" s="434"/>
    </row>
    <row r="3905" spans="1:14" s="33" customFormat="1">
      <c r="A3905" s="435"/>
      <c r="B3905" s="32" t="s">
        <v>5913</v>
      </c>
      <c r="C3905" s="217"/>
      <c r="D3905" s="217"/>
      <c r="E3905" s="203"/>
      <c r="F3905" s="149"/>
      <c r="G3905" s="434"/>
      <c r="H3905" s="458"/>
      <c r="I3905" s="434"/>
      <c r="J3905" s="443"/>
      <c r="K3905" s="434"/>
    </row>
    <row r="3906" spans="1:14" s="33" customFormat="1">
      <c r="A3906" s="443"/>
      <c r="B3906" s="27" t="s">
        <v>5914</v>
      </c>
      <c r="C3906" s="217"/>
      <c r="D3906" s="217">
        <v>458</v>
      </c>
      <c r="E3906" s="203">
        <v>30</v>
      </c>
      <c r="F3906" s="149">
        <f>D3906+E3906</f>
        <v>488</v>
      </c>
      <c r="G3906" s="22" t="s">
        <v>8056</v>
      </c>
      <c r="H3906" s="458" t="str">
        <f>B3906</f>
        <v>LZMS2-S200</v>
      </c>
      <c r="I3906" s="434"/>
      <c r="J3906" s="443" t="s">
        <v>1798</v>
      </c>
      <c r="K3906" s="434"/>
    </row>
    <row r="3907" spans="1:14" s="33" customFormat="1">
      <c r="A3907" s="443"/>
      <c r="B3907" s="27" t="s">
        <v>13643</v>
      </c>
      <c r="C3907" s="217"/>
      <c r="D3907" s="217">
        <v>635.94000000000005</v>
      </c>
      <c r="E3907" s="203">
        <v>80</v>
      </c>
      <c r="F3907" s="149">
        <f>D3907+E3907</f>
        <v>715.94</v>
      </c>
      <c r="G3907" s="22" t="s">
        <v>13644</v>
      </c>
      <c r="H3907" s="458" t="str">
        <f>B3907</f>
        <v>LZMS3-S320</v>
      </c>
      <c r="I3907" s="434"/>
      <c r="J3907" s="443" t="s">
        <v>1798</v>
      </c>
      <c r="K3907" s="434"/>
    </row>
    <row r="3908" spans="1:14" s="33" customFormat="1">
      <c r="A3908" s="443"/>
      <c r="B3908" s="27" t="s">
        <v>5915</v>
      </c>
      <c r="C3908" s="217"/>
      <c r="D3908" s="217">
        <v>574</v>
      </c>
      <c r="E3908" s="203">
        <v>80</v>
      </c>
      <c r="F3908" s="149">
        <f>D3908+E3908</f>
        <v>654</v>
      </c>
      <c r="G3908" s="22" t="s">
        <v>8057</v>
      </c>
      <c r="H3908" s="458" t="str">
        <f>B3908</f>
        <v>LZMS3-S500</v>
      </c>
      <c r="I3908" s="434"/>
      <c r="J3908" s="443" t="s">
        <v>1798</v>
      </c>
      <c r="K3908" s="434"/>
    </row>
    <row r="3909" spans="1:14" s="33" customFormat="1">
      <c r="A3909" s="435"/>
      <c r="B3909" s="27"/>
      <c r="C3909" s="217"/>
      <c r="D3909" s="217"/>
      <c r="E3909" s="203"/>
      <c r="F3909" s="149"/>
      <c r="G3909" s="434"/>
      <c r="H3909" s="458"/>
      <c r="I3909" s="434"/>
      <c r="J3909" s="443"/>
      <c r="K3909" s="434"/>
    </row>
    <row r="3910" spans="1:14">
      <c r="A3910" s="440"/>
      <c r="B3910" s="46"/>
      <c r="C3910" s="217"/>
      <c r="D3910" s="217"/>
      <c r="E3910" s="203"/>
      <c r="F3910" s="149"/>
      <c r="G3910" s="441"/>
      <c r="H3910" s="458"/>
      <c r="I3910" s="441"/>
      <c r="J3910" s="440"/>
      <c r="K3910" s="441"/>
      <c r="L3910" s="189"/>
      <c r="M3910" s="189"/>
      <c r="N3910" s="189"/>
    </row>
    <row r="3911" spans="1:14" s="185" customFormat="1">
      <c r="A3911" s="435"/>
      <c r="B3911" s="32" t="s">
        <v>1806</v>
      </c>
      <c r="C3911" s="341"/>
      <c r="D3911" s="341"/>
      <c r="E3911" s="203"/>
      <c r="F3911" s="149"/>
      <c r="G3911" s="434"/>
      <c r="H3911" s="1648"/>
      <c r="I3911" s="434"/>
      <c r="J3911" s="435"/>
      <c r="K3911" s="434"/>
      <c r="L3911" s="388"/>
      <c r="M3911" s="388"/>
      <c r="N3911" s="388"/>
    </row>
    <row r="3912" spans="1:14" s="21" customFormat="1">
      <c r="A3912" s="443"/>
      <c r="B3912" s="384" t="s">
        <v>1675</v>
      </c>
      <c r="C3912" s="217"/>
      <c r="D3912" s="217">
        <v>87</v>
      </c>
      <c r="E3912" s="395">
        <v>5</v>
      </c>
      <c r="F3912" s="387">
        <f>D3912+E3912</f>
        <v>92</v>
      </c>
      <c r="G3912" s="388" t="s">
        <v>1679</v>
      </c>
      <c r="H3912" s="383" t="str">
        <f>B3912</f>
        <v>NZM1-XA208-250AC/DC</v>
      </c>
      <c r="I3912" s="189"/>
      <c r="J3912" s="443" t="s">
        <v>1798</v>
      </c>
      <c r="K3912" s="189" t="s">
        <v>741</v>
      </c>
    </row>
    <row r="3913" spans="1:14" s="33" customFormat="1">
      <c r="A3913" s="443"/>
      <c r="B3913" s="384" t="s">
        <v>1676</v>
      </c>
      <c r="C3913" s="217"/>
      <c r="D3913" s="217">
        <v>104</v>
      </c>
      <c r="E3913" s="395">
        <v>2</v>
      </c>
      <c r="F3913" s="387">
        <f>D3913+E3913</f>
        <v>106</v>
      </c>
      <c r="G3913" s="388" t="s">
        <v>1678</v>
      </c>
      <c r="H3913" s="383" t="str">
        <f>B3913</f>
        <v>NZM2/3-XA208-250AC/DC</v>
      </c>
      <c r="I3913" s="189"/>
      <c r="J3913" s="443" t="s">
        <v>1798</v>
      </c>
      <c r="K3913" s="189" t="s">
        <v>741</v>
      </c>
    </row>
    <row r="3914" spans="1:14" s="185" customFormat="1">
      <c r="A3914" s="443"/>
      <c r="B3914" s="384" t="s">
        <v>1677</v>
      </c>
      <c r="C3914" s="217"/>
      <c r="D3914" s="217">
        <v>126</v>
      </c>
      <c r="E3914" s="395">
        <v>2</v>
      </c>
      <c r="F3914" s="387">
        <f>D3914+E3914</f>
        <v>128</v>
      </c>
      <c r="G3914" s="388" t="s">
        <v>1680</v>
      </c>
      <c r="H3914" s="383" t="str">
        <f>B3914</f>
        <v>NZM4-XA208-250AC/DC</v>
      </c>
      <c r="I3914" s="189"/>
      <c r="J3914" s="443" t="s">
        <v>1798</v>
      </c>
      <c r="K3914" s="189" t="s">
        <v>741</v>
      </c>
    </row>
    <row r="3915" spans="1:14" s="33" customFormat="1">
      <c r="A3915" s="447"/>
      <c r="B3915" s="384"/>
      <c r="C3915" s="217"/>
      <c r="D3915" s="217"/>
      <c r="E3915" s="386"/>
      <c r="F3915" s="387"/>
      <c r="G3915" s="388"/>
      <c r="H3915" s="383"/>
      <c r="I3915" s="388"/>
      <c r="J3915" s="447"/>
      <c r="K3915" s="388"/>
    </row>
    <row r="3916" spans="1:14" s="33" customFormat="1">
      <c r="A3916" s="447"/>
      <c r="B3916" s="455" t="s">
        <v>1807</v>
      </c>
      <c r="C3916" s="217"/>
      <c r="D3916" s="217">
        <v>121</v>
      </c>
      <c r="E3916" s="386">
        <v>15</v>
      </c>
      <c r="F3916" s="387">
        <f>D3916+E3916</f>
        <v>136</v>
      </c>
      <c r="G3916" s="411" t="s">
        <v>5112</v>
      </c>
      <c r="H3916" s="383" t="str">
        <f>B3916</f>
        <v>NZM2/3-XU208-240AC</v>
      </c>
      <c r="I3916" s="388"/>
      <c r="J3916" s="447"/>
      <c r="K3916" s="388"/>
    </row>
    <row r="3917" spans="1:14" s="33" customFormat="1">
      <c r="A3917" s="447"/>
      <c r="B3917" s="455" t="s">
        <v>1808</v>
      </c>
      <c r="C3917" s="217"/>
      <c r="D3917" s="217">
        <v>146</v>
      </c>
      <c r="E3917" s="386">
        <v>15</v>
      </c>
      <c r="F3917" s="387">
        <f>D3917+E3917</f>
        <v>161</v>
      </c>
      <c r="G3917" s="411" t="s">
        <v>5113</v>
      </c>
      <c r="H3917" s="383" t="str">
        <f>B3917</f>
        <v>NZM4-XU208-240AC</v>
      </c>
      <c r="I3917" s="388"/>
      <c r="J3917" s="447"/>
      <c r="K3917" s="388"/>
    </row>
    <row r="3918" spans="1:14" s="33" customFormat="1">
      <c r="A3918" s="447"/>
      <c r="B3918" s="384"/>
      <c r="C3918" s="217"/>
      <c r="D3918" s="217"/>
      <c r="E3918" s="386"/>
      <c r="F3918" s="387"/>
      <c r="G3918" s="411"/>
      <c r="H3918" s="383"/>
      <c r="I3918" s="388"/>
      <c r="J3918" s="447"/>
      <c r="K3918" s="388"/>
    </row>
    <row r="3919" spans="1:14" s="33" customFormat="1">
      <c r="A3919" s="447"/>
      <c r="B3919" s="384"/>
      <c r="C3919" s="217"/>
      <c r="D3919" s="217"/>
      <c r="E3919" s="386"/>
      <c r="F3919" s="387"/>
      <c r="G3919" s="411"/>
      <c r="H3919" s="383"/>
      <c r="I3919" s="388"/>
      <c r="J3919" s="447"/>
      <c r="K3919" s="388"/>
    </row>
    <row r="3920" spans="1:14" s="33" customFormat="1">
      <c r="A3920" s="447"/>
      <c r="B3920" s="384"/>
      <c r="C3920" s="217"/>
      <c r="D3920" s="217"/>
      <c r="E3920" s="386"/>
      <c r="F3920" s="387"/>
      <c r="G3920" s="411"/>
      <c r="H3920" s="383"/>
      <c r="I3920" s="388"/>
      <c r="J3920" s="447"/>
      <c r="K3920" s="388"/>
    </row>
    <row r="3921" spans="1:11" s="33" customFormat="1">
      <c r="A3921" s="440"/>
      <c r="B3921" s="32" t="s">
        <v>365</v>
      </c>
      <c r="C3921" s="217"/>
      <c r="D3921" s="217"/>
      <c r="E3921" s="203"/>
      <c r="F3921" s="149"/>
      <c r="G3921" s="441"/>
      <c r="H3921" s="383"/>
      <c r="I3921" s="441"/>
      <c r="J3921" s="440"/>
      <c r="K3921" s="441"/>
    </row>
    <row r="3922" spans="1:11" s="21" customFormat="1">
      <c r="A3922" s="456"/>
      <c r="B3922" s="26" t="s">
        <v>368</v>
      </c>
      <c r="C3922" s="217"/>
      <c r="D3922" s="217">
        <v>1057</v>
      </c>
      <c r="E3922" s="203">
        <v>18</v>
      </c>
      <c r="F3922" s="149">
        <f>D3922+E3922</f>
        <v>1075</v>
      </c>
      <c r="G3922" s="22" t="s">
        <v>5016</v>
      </c>
      <c r="H3922" s="383" t="str">
        <f>B3922</f>
        <v>NZM2-XR208-240AC</v>
      </c>
      <c r="I3922" s="434"/>
      <c r="J3922" s="443" t="s">
        <v>1798</v>
      </c>
      <c r="K3922" s="434" t="s">
        <v>741</v>
      </c>
    </row>
    <row r="3923" spans="1:11" s="21" customFormat="1">
      <c r="A3923" s="456"/>
      <c r="B3923" s="26" t="s">
        <v>367</v>
      </c>
      <c r="C3923" s="217"/>
      <c r="D3923" s="217">
        <v>903</v>
      </c>
      <c r="E3923" s="203">
        <v>17</v>
      </c>
      <c r="F3923" s="149">
        <f>D3923+E3923</f>
        <v>920</v>
      </c>
      <c r="G3923" s="22" t="s">
        <v>5017</v>
      </c>
      <c r="H3923" s="383" t="str">
        <f>B3923</f>
        <v>NZM3-XR208-240AC</v>
      </c>
      <c r="I3923" s="434"/>
      <c r="J3923" s="443" t="s">
        <v>1798</v>
      </c>
      <c r="K3923" s="434" t="s">
        <v>741</v>
      </c>
    </row>
    <row r="3924" spans="1:11" s="33" customFormat="1">
      <c r="A3924" s="456"/>
      <c r="B3924" s="26" t="s">
        <v>366</v>
      </c>
      <c r="C3924" s="217"/>
      <c r="D3924" s="217">
        <v>1197</v>
      </c>
      <c r="E3924" s="203">
        <v>17</v>
      </c>
      <c r="F3924" s="149">
        <f>D3924+E3924</f>
        <v>1214</v>
      </c>
      <c r="G3924" s="22" t="s">
        <v>5018</v>
      </c>
      <c r="H3924" s="383" t="str">
        <f>B3924</f>
        <v>NZM4-XR208-240AC</v>
      </c>
      <c r="I3924" s="434"/>
      <c r="J3924" s="443" t="s">
        <v>1798</v>
      </c>
      <c r="K3924" s="434" t="s">
        <v>741</v>
      </c>
    </row>
    <row r="3925" spans="1:11" s="33" customFormat="1">
      <c r="A3925" s="440"/>
      <c r="B3925" s="46"/>
      <c r="C3925" s="217"/>
      <c r="D3925" s="217"/>
      <c r="E3925" s="203"/>
      <c r="F3925" s="149"/>
      <c r="G3925" s="441"/>
      <c r="H3925" s="383"/>
      <c r="I3925" s="441"/>
      <c r="J3925" s="440"/>
      <c r="K3925" s="441"/>
    </row>
    <row r="3926" spans="1:11" s="33" customFormat="1">
      <c r="A3926" s="440"/>
      <c r="B3926" s="32" t="s">
        <v>369</v>
      </c>
      <c r="C3926" s="217"/>
      <c r="D3926" s="217"/>
      <c r="E3926" s="203"/>
      <c r="F3926" s="149"/>
      <c r="G3926" s="441"/>
      <c r="H3926" s="383"/>
      <c r="I3926" s="441"/>
      <c r="J3926" s="440"/>
      <c r="K3926" s="441"/>
    </row>
    <row r="3927" spans="1:11" s="33" customFormat="1">
      <c r="A3927" s="435"/>
      <c r="B3927" s="26" t="s">
        <v>10044</v>
      </c>
      <c r="C3927" s="217"/>
      <c r="D3927" s="217">
        <v>890</v>
      </c>
      <c r="E3927" s="203">
        <v>30</v>
      </c>
      <c r="F3927" s="149">
        <f>D3927+E3927</f>
        <v>920</v>
      </c>
      <c r="G3927" s="19" t="s">
        <v>10045</v>
      </c>
      <c r="H3927" s="383" t="str">
        <f>B3927</f>
        <v>NZM2/3-XMVR</v>
      </c>
      <c r="I3927" s="434"/>
      <c r="J3927" s="435"/>
      <c r="K3927" s="434"/>
    </row>
    <row r="3928" spans="1:11" s="33" customFormat="1">
      <c r="A3928" s="435"/>
      <c r="B3928" s="26" t="s">
        <v>370</v>
      </c>
      <c r="C3928" s="217"/>
      <c r="D3928" s="217">
        <v>980</v>
      </c>
      <c r="E3928" s="203">
        <v>30</v>
      </c>
      <c r="F3928" s="149">
        <f>D3928+E3928</f>
        <v>1010</v>
      </c>
      <c r="G3928" s="19" t="s">
        <v>10046</v>
      </c>
      <c r="H3928" s="383" t="str">
        <f>B3928</f>
        <v>NZM3/4-XMVR</v>
      </c>
      <c r="I3928" s="434"/>
      <c r="J3928" s="435"/>
      <c r="K3928" s="434"/>
    </row>
    <row r="3929" spans="1:11" s="33" customFormat="1">
      <c r="A3929" s="435"/>
      <c r="B3929" s="26" t="s">
        <v>5916</v>
      </c>
      <c r="D3929" s="217">
        <v>300</v>
      </c>
      <c r="E3929" s="203">
        <v>30</v>
      </c>
      <c r="F3929" s="149">
        <f>D3929+E3929</f>
        <v>330</v>
      </c>
      <c r="G3929" s="22" t="s">
        <v>5917</v>
      </c>
      <c r="H3929" s="383" t="str">
        <f>B3929</f>
        <v>ENC. TRIPLE</v>
      </c>
      <c r="I3929" s="434"/>
      <c r="J3929" s="435"/>
      <c r="K3929" s="434"/>
    </row>
    <row r="3930" spans="1:11" s="33" customFormat="1">
      <c r="A3930" s="435"/>
      <c r="B3930" s="26"/>
      <c r="C3930" s="217"/>
      <c r="D3930" s="217"/>
      <c r="E3930" s="203"/>
      <c r="F3930" s="149"/>
      <c r="G3930" s="22"/>
      <c r="H3930" s="383"/>
      <c r="I3930" s="434"/>
      <c r="J3930" s="435"/>
      <c r="K3930" s="434"/>
    </row>
    <row r="3931" spans="1:11" s="33" customFormat="1">
      <c r="A3931" s="440"/>
      <c r="B3931" s="32" t="s">
        <v>8058</v>
      </c>
      <c r="C3931" s="217"/>
      <c r="D3931" s="217"/>
      <c r="E3931" s="203"/>
      <c r="F3931" s="149"/>
      <c r="G3931" s="441"/>
      <c r="H3931" s="383"/>
      <c r="I3931" s="441"/>
      <c r="J3931" s="440"/>
      <c r="K3931" s="441"/>
    </row>
    <row r="3932" spans="1:11" s="33" customFormat="1">
      <c r="A3932" s="435"/>
      <c r="B3932" s="26" t="s">
        <v>8059</v>
      </c>
      <c r="C3932" s="217"/>
      <c r="D3932" s="217">
        <v>100</v>
      </c>
      <c r="E3932" s="203">
        <v>20</v>
      </c>
      <c r="F3932" s="149">
        <f t="shared" ref="F3932:F3937" si="519">D3932+E3932</f>
        <v>120</v>
      </c>
      <c r="G3932" s="22" t="s">
        <v>8060</v>
      </c>
      <c r="H3932" s="383" t="str">
        <f t="shared" ref="H3932:H3937" si="520">B3932</f>
        <v>BZM1-XTVD</v>
      </c>
      <c r="I3932" s="434"/>
      <c r="J3932" s="443" t="s">
        <v>1798</v>
      </c>
      <c r="K3932" s="434" t="s">
        <v>741</v>
      </c>
    </row>
    <row r="3933" spans="1:11" s="33" customFormat="1">
      <c r="A3933" s="435"/>
      <c r="B3933" s="26" t="s">
        <v>8061</v>
      </c>
      <c r="C3933" s="217"/>
      <c r="D3933" s="217">
        <v>67</v>
      </c>
      <c r="E3933" s="203">
        <v>20</v>
      </c>
      <c r="F3933" s="149">
        <f t="shared" si="519"/>
        <v>87</v>
      </c>
      <c r="G3933" s="22" t="s">
        <v>8062</v>
      </c>
      <c r="H3933" s="383" t="str">
        <f t="shared" si="520"/>
        <v>NZM1-XTVD</v>
      </c>
      <c r="I3933" s="434"/>
      <c r="J3933" s="443" t="s">
        <v>1798</v>
      </c>
      <c r="K3933" s="434" t="s">
        <v>741</v>
      </c>
    </row>
    <row r="3934" spans="1:11" s="33" customFormat="1">
      <c r="A3934" s="435"/>
      <c r="B3934" s="26" t="s">
        <v>8063</v>
      </c>
      <c r="C3934" s="217"/>
      <c r="D3934" s="217">
        <v>82</v>
      </c>
      <c r="E3934" s="203">
        <v>20</v>
      </c>
      <c r="F3934" s="149">
        <f t="shared" si="519"/>
        <v>102</v>
      </c>
      <c r="G3934" s="22" t="s">
        <v>8064</v>
      </c>
      <c r="H3934" s="383" t="str">
        <f t="shared" si="520"/>
        <v>NZM2-XTVD</v>
      </c>
      <c r="I3934" s="434"/>
      <c r="J3934" s="443" t="s">
        <v>1798</v>
      </c>
      <c r="K3934" s="434" t="s">
        <v>741</v>
      </c>
    </row>
    <row r="3935" spans="1:11" s="33" customFormat="1">
      <c r="A3935" s="435"/>
      <c r="B3935" s="26" t="s">
        <v>8065</v>
      </c>
      <c r="C3935" s="217"/>
      <c r="D3935" s="217">
        <v>135</v>
      </c>
      <c r="E3935" s="203">
        <v>20</v>
      </c>
      <c r="F3935" s="149">
        <f t="shared" si="519"/>
        <v>155</v>
      </c>
      <c r="G3935" s="22" t="s">
        <v>8066</v>
      </c>
      <c r="H3935" s="383" t="str">
        <f t="shared" si="520"/>
        <v>NZM3-XTVD</v>
      </c>
      <c r="I3935" s="434"/>
      <c r="J3935" s="443" t="s">
        <v>1798</v>
      </c>
      <c r="K3935" s="434" t="s">
        <v>741</v>
      </c>
    </row>
    <row r="3936" spans="1:11" s="33" customFormat="1">
      <c r="A3936" s="435"/>
      <c r="B3936" s="26" t="s">
        <v>8067</v>
      </c>
      <c r="C3936" s="217"/>
      <c r="D3936" s="217">
        <v>30</v>
      </c>
      <c r="E3936" s="203">
        <v>10</v>
      </c>
      <c r="F3936" s="149">
        <f t="shared" si="519"/>
        <v>40</v>
      </c>
      <c r="G3936" s="22" t="s">
        <v>8068</v>
      </c>
      <c r="H3936" s="383" t="str">
        <f t="shared" si="520"/>
        <v>BZM1-XV4</v>
      </c>
      <c r="I3936" s="434"/>
      <c r="J3936" s="443" t="s">
        <v>1798</v>
      </c>
      <c r="K3936" s="434" t="s">
        <v>741</v>
      </c>
    </row>
    <row r="3937" spans="1:14" s="33" customFormat="1">
      <c r="A3937" s="435"/>
      <c r="B3937" s="26" t="s">
        <v>8069</v>
      </c>
      <c r="C3937" s="217"/>
      <c r="D3937" s="217">
        <v>20</v>
      </c>
      <c r="E3937" s="203">
        <v>10</v>
      </c>
      <c r="F3937" s="149">
        <f t="shared" si="519"/>
        <v>30</v>
      </c>
      <c r="G3937" s="22" t="s">
        <v>8070</v>
      </c>
      <c r="H3937" s="383" t="str">
        <f t="shared" si="520"/>
        <v>LZM1-XV4</v>
      </c>
      <c r="I3937" s="434"/>
      <c r="J3937" s="443" t="s">
        <v>1798</v>
      </c>
      <c r="K3937" s="434" t="s">
        <v>741</v>
      </c>
    </row>
    <row r="3938" spans="1:14" s="33" customFormat="1">
      <c r="A3938" s="435"/>
      <c r="B3938" s="26"/>
      <c r="C3938" s="217"/>
      <c r="D3938" s="217"/>
      <c r="E3938" s="203"/>
      <c r="F3938" s="149"/>
      <c r="G3938" s="22"/>
      <c r="H3938" s="383"/>
      <c r="I3938" s="434"/>
      <c r="J3938" s="435"/>
      <c r="K3938" s="434"/>
    </row>
    <row r="3939" spans="1:14" s="21" customFormat="1">
      <c r="A3939" s="435"/>
      <c r="B3939" s="32" t="s">
        <v>371</v>
      </c>
      <c r="C3939" s="217"/>
      <c r="D3939" s="217"/>
      <c r="E3939" s="203"/>
      <c r="F3939" s="151"/>
      <c r="G3939" s="434"/>
      <c r="H3939" s="383"/>
      <c r="I3939" s="434"/>
      <c r="J3939" s="435"/>
      <c r="K3939" s="434"/>
    </row>
    <row r="3940" spans="1:14" s="33" customFormat="1">
      <c r="A3940" s="435"/>
      <c r="B3940" s="26" t="s">
        <v>1673</v>
      </c>
      <c r="C3940" s="217"/>
      <c r="D3940" s="217">
        <v>3</v>
      </c>
      <c r="E3940" s="203">
        <v>2</v>
      </c>
      <c r="F3940" s="151">
        <f>D3940+E3940</f>
        <v>5</v>
      </c>
      <c r="G3940" s="457" t="s">
        <v>1809</v>
      </c>
      <c r="H3940" s="383" t="str">
        <f>B3940</f>
        <v>M22-K10</v>
      </c>
      <c r="I3940" s="434"/>
      <c r="J3940" s="443" t="s">
        <v>1798</v>
      </c>
      <c r="K3940" s="434" t="s">
        <v>741</v>
      </c>
    </row>
    <row r="3941" spans="1:14" s="33" customFormat="1">
      <c r="A3941" s="435"/>
      <c r="B3941" s="26" t="s">
        <v>1674</v>
      </c>
      <c r="C3941" s="217"/>
      <c r="D3941" s="217">
        <v>3</v>
      </c>
      <c r="E3941" s="203">
        <v>2</v>
      </c>
      <c r="F3941" s="151">
        <f>D3941+E3941</f>
        <v>5</v>
      </c>
      <c r="G3941" s="457" t="s">
        <v>1810</v>
      </c>
      <c r="H3941" s="383" t="str">
        <f>B3941</f>
        <v>M22-K01</v>
      </c>
      <c r="I3941" s="434"/>
      <c r="J3941" s="443" t="s">
        <v>1798</v>
      </c>
      <c r="K3941" s="434" t="s">
        <v>741</v>
      </c>
    </row>
    <row r="3942" spans="1:14" s="33" customFormat="1">
      <c r="A3942" s="435"/>
      <c r="B3942" s="26" t="s">
        <v>5918</v>
      </c>
      <c r="C3942" s="217"/>
      <c r="D3942" s="217">
        <v>7</v>
      </c>
      <c r="E3942" s="203">
        <v>3</v>
      </c>
      <c r="F3942" s="151">
        <f>D3942+E3942</f>
        <v>10</v>
      </c>
      <c r="G3942" s="22" t="s">
        <v>736</v>
      </c>
      <c r="H3942" s="383" t="str">
        <f>B3942</f>
        <v>M22-CK11</v>
      </c>
      <c r="I3942" s="434"/>
      <c r="J3942" s="443" t="s">
        <v>1798</v>
      </c>
      <c r="K3942" s="434" t="s">
        <v>741</v>
      </c>
    </row>
    <row r="3943" spans="1:14" s="33" customFormat="1">
      <c r="A3943" s="435"/>
      <c r="B3943" s="26"/>
      <c r="C3943" s="217"/>
      <c r="D3943" s="217"/>
      <c r="E3943" s="203"/>
      <c r="F3943" s="151"/>
      <c r="G3943" s="22"/>
      <c r="H3943" s="383"/>
      <c r="I3943" s="434"/>
      <c r="J3943" s="435"/>
      <c r="K3943" s="434"/>
    </row>
    <row r="3944" spans="1:14" s="33" customFormat="1">
      <c r="A3944" s="1625"/>
      <c r="B3944" s="19" t="s">
        <v>10905</v>
      </c>
      <c r="C3944" s="217"/>
      <c r="D3944" s="217">
        <v>30</v>
      </c>
      <c r="E3944" s="203">
        <v>3</v>
      </c>
      <c r="F3944" s="151">
        <f>D3944+E3944</f>
        <v>33</v>
      </c>
      <c r="G3944" s="19" t="s">
        <v>10906</v>
      </c>
      <c r="H3944" s="383" t="str">
        <f>B3944</f>
        <v>NZM1-XKAV</v>
      </c>
      <c r="I3944" s="434"/>
      <c r="J3944" s="443" t="s">
        <v>1798</v>
      </c>
      <c r="K3944" s="434" t="s">
        <v>741</v>
      </c>
    </row>
    <row r="3945" spans="1:14" s="33" customFormat="1">
      <c r="A3945" s="1625"/>
      <c r="B3945" s="19" t="s">
        <v>10907</v>
      </c>
      <c r="C3945" s="217"/>
      <c r="D3945" s="217">
        <v>30</v>
      </c>
      <c r="E3945" s="203">
        <v>3</v>
      </c>
      <c r="F3945" s="151">
        <f>D3945+E3945</f>
        <v>33</v>
      </c>
      <c r="G3945" s="19" t="s">
        <v>11080</v>
      </c>
      <c r="H3945" s="383" t="str">
        <f>B3945</f>
        <v>NZM2/3-XKAV</v>
      </c>
      <c r="I3945" s="434"/>
      <c r="J3945" s="443" t="s">
        <v>1798</v>
      </c>
      <c r="K3945" s="434" t="s">
        <v>741</v>
      </c>
    </row>
    <row r="3946" spans="1:14" s="33" customFormat="1">
      <c r="A3946" s="435"/>
      <c r="B3946" s="26"/>
      <c r="C3946" s="217"/>
      <c r="D3946" s="217"/>
      <c r="E3946" s="203"/>
      <c r="F3946" s="151"/>
      <c r="G3946" s="22"/>
      <c r="H3946" s="383"/>
      <c r="I3946" s="434"/>
      <c r="J3946" s="435"/>
      <c r="K3946" s="434"/>
    </row>
    <row r="3947" spans="1:14" s="33" customFormat="1">
      <c r="A3947" s="440"/>
      <c r="B3947" s="46"/>
      <c r="C3947" s="217"/>
      <c r="D3947" s="217"/>
      <c r="E3947" s="203"/>
      <c r="F3947" s="149"/>
      <c r="G3947" s="441"/>
      <c r="H3947" s="383"/>
      <c r="I3947" s="441"/>
      <c r="J3947" s="440"/>
      <c r="K3947" s="441"/>
    </row>
    <row r="3948" spans="1:14">
      <c r="A3948" s="433"/>
      <c r="B3948" s="26"/>
      <c r="C3948" s="217"/>
      <c r="D3948" s="217"/>
      <c r="E3948" s="203"/>
      <c r="F3948" s="149"/>
      <c r="G3948" s="22"/>
      <c r="H3948" s="383"/>
      <c r="I3948" s="434"/>
      <c r="J3948" s="433"/>
      <c r="K3948" s="434"/>
      <c r="L3948" s="189"/>
      <c r="M3948" s="189"/>
      <c r="N3948" s="189"/>
    </row>
    <row r="3949" spans="1:14">
      <c r="A3949" s="435"/>
      <c r="B3949" s="434"/>
      <c r="C3949" s="217"/>
      <c r="D3949" s="217"/>
      <c r="E3949" s="438"/>
      <c r="F3949" s="439"/>
      <c r="G3949" s="434"/>
      <c r="H3949" s="383"/>
      <c r="I3949" s="434"/>
      <c r="J3949" s="435"/>
      <c r="K3949" s="434"/>
      <c r="L3949" s="189"/>
      <c r="M3949" s="189"/>
      <c r="N3949" s="189"/>
    </row>
    <row r="3950" spans="1:14">
      <c r="A3950" s="435"/>
      <c r="B3950" s="32" t="s">
        <v>372</v>
      </c>
      <c r="C3950" s="217"/>
      <c r="D3950" s="217"/>
      <c r="E3950" s="203"/>
      <c r="F3950" s="149"/>
      <c r="G3950" s="434"/>
      <c r="H3950" s="383"/>
      <c r="I3950" s="434"/>
      <c r="J3950" s="435"/>
      <c r="K3950" s="434"/>
      <c r="L3950" s="189"/>
      <c r="M3950" s="189"/>
      <c r="N3950" s="189"/>
    </row>
    <row r="3951" spans="1:14">
      <c r="A3951" s="443"/>
      <c r="B3951" s="384" t="s">
        <v>5019</v>
      </c>
      <c r="C3951" s="217"/>
      <c r="D3951" s="217">
        <v>71</v>
      </c>
      <c r="E3951" s="395">
        <v>3</v>
      </c>
      <c r="F3951" s="387">
        <f>D3951+E3951</f>
        <v>74</v>
      </c>
      <c r="G3951" s="388" t="s">
        <v>8071</v>
      </c>
      <c r="H3951" s="383" t="str">
        <f>B3951</f>
        <v>NZM1-XKA</v>
      </c>
      <c r="I3951" s="189"/>
      <c r="J3951" s="443" t="s">
        <v>1798</v>
      </c>
      <c r="K3951" s="189" t="s">
        <v>741</v>
      </c>
      <c r="L3951" s="189"/>
      <c r="M3951" s="189"/>
      <c r="N3951" s="189"/>
    </row>
    <row r="3952" spans="1:14">
      <c r="A3952" s="443"/>
      <c r="B3952" s="384"/>
      <c r="C3952" s="217"/>
      <c r="D3952" s="217"/>
      <c r="E3952" s="386"/>
      <c r="F3952" s="387"/>
      <c r="G3952" s="388"/>
      <c r="H3952" s="383"/>
      <c r="I3952" s="189"/>
      <c r="J3952" s="443"/>
      <c r="K3952" s="189"/>
      <c r="L3952" s="189"/>
      <c r="M3952" s="189"/>
      <c r="N3952" s="189"/>
    </row>
    <row r="3953" spans="1:14">
      <c r="A3953" s="443"/>
      <c r="B3953" s="384" t="s">
        <v>5020</v>
      </c>
      <c r="C3953" s="217"/>
      <c r="D3953" s="217">
        <v>26</v>
      </c>
      <c r="E3953" s="395">
        <v>5</v>
      </c>
      <c r="F3953" s="387">
        <f>D3953+E3953</f>
        <v>31</v>
      </c>
      <c r="G3953" s="388" t="s">
        <v>8072</v>
      </c>
      <c r="H3953" s="383" t="str">
        <f>B3953</f>
        <v>NZM2-160-XKC</v>
      </c>
      <c r="I3953" s="189"/>
      <c r="J3953" s="443" t="s">
        <v>1798</v>
      </c>
      <c r="K3953" s="189" t="s">
        <v>741</v>
      </c>
      <c r="L3953" s="189"/>
      <c r="M3953" s="189"/>
      <c r="N3953" s="189"/>
    </row>
    <row r="3954" spans="1:14">
      <c r="A3954" s="443"/>
      <c r="B3954" s="384" t="s">
        <v>5021</v>
      </c>
      <c r="C3954" s="217"/>
      <c r="D3954" s="217">
        <v>33</v>
      </c>
      <c r="E3954" s="395">
        <v>5</v>
      </c>
      <c r="F3954" s="387">
        <f>D3954+E3954</f>
        <v>38</v>
      </c>
      <c r="G3954" s="388" t="s">
        <v>8073</v>
      </c>
      <c r="H3954" s="383" t="str">
        <f>B3954</f>
        <v>NZM2-250-XKC</v>
      </c>
      <c r="I3954" s="189"/>
      <c r="J3954" s="443" t="s">
        <v>1798</v>
      </c>
      <c r="K3954" s="189" t="s">
        <v>741</v>
      </c>
      <c r="L3954" s="189"/>
      <c r="M3954" s="189"/>
      <c r="N3954" s="189"/>
    </row>
    <row r="3955" spans="1:14">
      <c r="A3955" s="443"/>
      <c r="B3955" s="384" t="s">
        <v>5022</v>
      </c>
      <c r="C3955" s="217"/>
      <c r="D3955" s="217">
        <v>150</v>
      </c>
      <c r="E3955" s="395">
        <v>5</v>
      </c>
      <c r="F3955" s="387">
        <f>D3955+E3955</f>
        <v>155</v>
      </c>
      <c r="G3955" s="388" t="s">
        <v>8074</v>
      </c>
      <c r="H3955" s="383" t="str">
        <f>B3955</f>
        <v>NZM2-XKA</v>
      </c>
      <c r="I3955" s="189"/>
      <c r="J3955" s="443" t="s">
        <v>1798</v>
      </c>
      <c r="K3955" s="189" t="s">
        <v>741</v>
      </c>
      <c r="L3955" s="189"/>
      <c r="M3955" s="189"/>
      <c r="N3955" s="189"/>
    </row>
    <row r="3956" spans="1:14">
      <c r="A3956" s="443"/>
      <c r="B3956" s="384"/>
      <c r="C3956" s="217"/>
      <c r="D3956" s="217"/>
      <c r="E3956" s="386"/>
      <c r="F3956" s="387"/>
      <c r="G3956" s="388"/>
      <c r="H3956" s="383"/>
      <c r="I3956" s="189"/>
      <c r="J3956" s="443"/>
      <c r="K3956" s="189"/>
      <c r="L3956" s="189"/>
      <c r="M3956" s="189"/>
      <c r="N3956" s="189"/>
    </row>
    <row r="3957" spans="1:14">
      <c r="A3957" s="443"/>
      <c r="B3957" s="384" t="s">
        <v>5023</v>
      </c>
      <c r="C3957" s="217"/>
      <c r="D3957" s="217">
        <v>78</v>
      </c>
      <c r="E3957" s="395">
        <v>10</v>
      </c>
      <c r="F3957" s="387">
        <f>D3957+E3957</f>
        <v>88</v>
      </c>
      <c r="G3957" s="388" t="s">
        <v>8075</v>
      </c>
      <c r="H3957" s="383" t="str">
        <f>B3957</f>
        <v>NZM3-XKC</v>
      </c>
      <c r="I3957" s="189"/>
      <c r="J3957" s="443" t="s">
        <v>1798</v>
      </c>
      <c r="K3957" s="189" t="s">
        <v>741</v>
      </c>
      <c r="L3957" s="189"/>
      <c r="M3957" s="189"/>
      <c r="N3957" s="189"/>
    </row>
    <row r="3958" spans="1:14" s="33" customFormat="1">
      <c r="A3958" s="443"/>
      <c r="B3958" s="384" t="s">
        <v>5024</v>
      </c>
      <c r="C3958" s="217"/>
      <c r="D3958" s="217">
        <v>109</v>
      </c>
      <c r="E3958" s="395">
        <v>10</v>
      </c>
      <c r="F3958" s="387">
        <f>D3958+E3958</f>
        <v>119</v>
      </c>
      <c r="G3958" s="388" t="s">
        <v>8076</v>
      </c>
      <c r="H3958" s="383" t="str">
        <f>B3958</f>
        <v>NZM3-XKA1</v>
      </c>
      <c r="I3958" s="189"/>
      <c r="J3958" s="443" t="s">
        <v>1798</v>
      </c>
      <c r="K3958" s="189" t="s">
        <v>741</v>
      </c>
    </row>
    <row r="3959" spans="1:14" s="33" customFormat="1">
      <c r="A3959" s="443"/>
      <c r="B3959" s="384" t="s">
        <v>5025</v>
      </c>
      <c r="C3959" s="217"/>
      <c r="D3959" s="217">
        <v>210</v>
      </c>
      <c r="E3959" s="395">
        <v>10</v>
      </c>
      <c r="F3959" s="387">
        <f>D3959+E3959</f>
        <v>220</v>
      </c>
      <c r="G3959" s="388" t="s">
        <v>8077</v>
      </c>
      <c r="H3959" s="383" t="str">
        <f>B3959</f>
        <v>NZM3-XKA2</v>
      </c>
      <c r="I3959" s="189"/>
      <c r="J3959" s="443" t="s">
        <v>1798</v>
      </c>
      <c r="K3959" s="189" t="s">
        <v>741</v>
      </c>
    </row>
    <row r="3960" spans="1:14">
      <c r="A3960" s="443"/>
      <c r="B3960" s="384"/>
      <c r="C3960" s="217"/>
      <c r="D3960" s="217"/>
      <c r="E3960" s="386"/>
      <c r="F3960" s="387"/>
      <c r="G3960" s="388"/>
      <c r="H3960" s="383"/>
      <c r="I3960" s="189"/>
      <c r="J3960" s="443"/>
      <c r="K3960" s="189"/>
      <c r="L3960" s="189"/>
      <c r="M3960" s="189"/>
      <c r="N3960" s="189"/>
    </row>
    <row r="3961" spans="1:14">
      <c r="A3961" s="443"/>
      <c r="B3961" s="384" t="s">
        <v>5026</v>
      </c>
      <c r="C3961" s="217"/>
      <c r="D3961" s="217">
        <v>289</v>
      </c>
      <c r="E3961" s="395">
        <v>15</v>
      </c>
      <c r="F3961" s="387">
        <f>D3961+E3961</f>
        <v>304</v>
      </c>
      <c r="G3961" s="388" t="s">
        <v>8078</v>
      </c>
      <c r="H3961" s="383" t="str">
        <f>B3961</f>
        <v>NZM4-XKA</v>
      </c>
      <c r="I3961" s="189"/>
      <c r="J3961" s="443" t="s">
        <v>1798</v>
      </c>
      <c r="K3961" s="189" t="s">
        <v>741</v>
      </c>
      <c r="L3961" s="189"/>
      <c r="M3961" s="189"/>
      <c r="N3961" s="189"/>
    </row>
    <row r="3962" spans="1:14">
      <c r="A3962" s="435"/>
      <c r="B3962" s="434"/>
      <c r="C3962" s="217"/>
      <c r="D3962" s="217"/>
      <c r="E3962" s="438"/>
      <c r="F3962" s="439"/>
      <c r="G3962" s="434"/>
      <c r="H3962" s="383"/>
      <c r="I3962" s="434"/>
      <c r="J3962" s="443"/>
      <c r="K3962" s="434"/>
      <c r="L3962" s="189"/>
      <c r="M3962" s="189"/>
      <c r="N3962" s="189"/>
    </row>
    <row r="3963" spans="1:14">
      <c r="A3963" s="435"/>
      <c r="B3963" s="32" t="s">
        <v>1627</v>
      </c>
      <c r="C3963" s="341"/>
      <c r="D3963" s="341"/>
      <c r="E3963" s="203"/>
      <c r="F3963" s="149"/>
      <c r="G3963" s="434"/>
      <c r="H3963" s="383"/>
      <c r="I3963" s="434"/>
      <c r="J3963" s="443"/>
      <c r="K3963" s="434"/>
      <c r="L3963" s="189"/>
      <c r="M3963" s="189"/>
      <c r="N3963" s="189"/>
    </row>
    <row r="3964" spans="1:14" s="33" customFormat="1">
      <c r="A3964" s="443"/>
      <c r="B3964" s="384" t="s">
        <v>1628</v>
      </c>
      <c r="C3964" s="217"/>
      <c r="D3964" s="217">
        <v>462</v>
      </c>
      <c r="E3964" s="395">
        <v>5</v>
      </c>
      <c r="F3964" s="387">
        <f>D3964+E3964</f>
        <v>467</v>
      </c>
      <c r="G3964" s="388" t="s">
        <v>1631</v>
      </c>
      <c r="H3964" s="383" t="str">
        <f>B3964</f>
        <v>NZM1-XFI30R</v>
      </c>
      <c r="I3964" s="189"/>
      <c r="J3964" s="443" t="s">
        <v>1798</v>
      </c>
      <c r="K3964" s="189" t="s">
        <v>741</v>
      </c>
    </row>
    <row r="3965" spans="1:14" s="33" customFormat="1">
      <c r="A3965" s="443"/>
      <c r="B3965" s="384" t="s">
        <v>1629</v>
      </c>
      <c r="C3965" s="217"/>
      <c r="D3965" s="217">
        <v>462</v>
      </c>
      <c r="E3965" s="395">
        <v>5</v>
      </c>
      <c r="F3965" s="387">
        <f>D3965+E3965</f>
        <v>467</v>
      </c>
      <c r="G3965" s="388" t="s">
        <v>1632</v>
      </c>
      <c r="H3965" s="383" t="str">
        <f>B3965</f>
        <v>NZM1-XFI300R</v>
      </c>
      <c r="I3965" s="189"/>
      <c r="J3965" s="443" t="s">
        <v>1798</v>
      </c>
      <c r="K3965" s="189" t="s">
        <v>741</v>
      </c>
    </row>
    <row r="3966" spans="1:14" s="33" customFormat="1">
      <c r="A3966" s="443"/>
      <c r="B3966" s="384" t="s">
        <v>1634</v>
      </c>
      <c r="C3966" s="217"/>
      <c r="D3966" s="217">
        <v>658</v>
      </c>
      <c r="E3966" s="395">
        <v>5</v>
      </c>
      <c r="F3966" s="387">
        <f>D3966+E3966</f>
        <v>663</v>
      </c>
      <c r="G3966" s="388" t="s">
        <v>1635</v>
      </c>
      <c r="H3966" s="383" t="str">
        <f>B3966</f>
        <v>NZM1-XFIU</v>
      </c>
      <c r="I3966" s="189"/>
      <c r="J3966" s="443" t="s">
        <v>1798</v>
      </c>
      <c r="K3966" s="189" t="s">
        <v>741</v>
      </c>
    </row>
    <row r="3967" spans="1:14" s="33" customFormat="1">
      <c r="A3967" s="443"/>
      <c r="B3967" s="384" t="s">
        <v>1630</v>
      </c>
      <c r="C3967" s="217"/>
      <c r="D3967" s="217">
        <v>779</v>
      </c>
      <c r="E3967" s="395">
        <v>5</v>
      </c>
      <c r="F3967" s="387">
        <f>D3967+E3967</f>
        <v>784</v>
      </c>
      <c r="G3967" s="388" t="s">
        <v>1633</v>
      </c>
      <c r="H3967" s="383" t="str">
        <f>B3967</f>
        <v>NZM1-XFIR</v>
      </c>
      <c r="I3967" s="189"/>
      <c r="J3967" s="443" t="s">
        <v>1798</v>
      </c>
      <c r="K3967" s="189" t="s">
        <v>741</v>
      </c>
    </row>
    <row r="3968" spans="1:14" s="33" customFormat="1">
      <c r="A3968" s="435"/>
      <c r="B3968" s="434"/>
      <c r="C3968" s="217"/>
      <c r="D3968" s="217"/>
      <c r="E3968" s="438"/>
      <c r="F3968" s="439"/>
      <c r="G3968" s="434"/>
      <c r="H3968" s="1648"/>
      <c r="I3968" s="434"/>
      <c r="J3968" s="435"/>
      <c r="K3968" s="434"/>
    </row>
    <row r="3969" spans="1:11" s="33" customFormat="1">
      <c r="A3969" s="435"/>
      <c r="B3969" s="26"/>
      <c r="C3969" s="217"/>
      <c r="D3969" s="217"/>
      <c r="E3969" s="203"/>
      <c r="F3969" s="149"/>
      <c r="G3969" s="434"/>
      <c r="H3969" s="1648"/>
      <c r="I3969" s="434"/>
      <c r="J3969" s="435"/>
      <c r="K3969" s="434"/>
    </row>
    <row r="3970" spans="1:11" s="33" customFormat="1">
      <c r="A3970" s="435"/>
      <c r="B3970" s="26"/>
      <c r="C3970" s="217"/>
      <c r="D3970" s="217"/>
      <c r="E3970" s="203"/>
      <c r="F3970" s="149"/>
      <c r="G3970" s="51"/>
      <c r="H3970" s="1648"/>
      <c r="I3970" s="434"/>
      <c r="J3970" s="435"/>
      <c r="K3970" s="434"/>
    </row>
    <row r="3971" spans="1:11" s="33" customFormat="1">
      <c r="A3971" s="435"/>
      <c r="B3971" s="32" t="s">
        <v>373</v>
      </c>
      <c r="C3971" s="217"/>
      <c r="D3971" s="217"/>
      <c r="E3971" s="203"/>
      <c r="F3971" s="149"/>
      <c r="G3971" s="434"/>
      <c r="H3971" s="1648"/>
      <c r="I3971" s="434"/>
      <c r="J3971" s="435"/>
      <c r="K3971" s="434"/>
    </row>
    <row r="3972" spans="1:11" s="33" customFormat="1">
      <c r="A3972" s="433"/>
      <c r="B3972" s="26" t="s">
        <v>5027</v>
      </c>
      <c r="C3972" s="1367">
        <v>527.77</v>
      </c>
      <c r="D3972" s="217">
        <f>C3972*fcl*(1-0.28)/TC</f>
        <v>257.79810040705553</v>
      </c>
      <c r="E3972" s="203">
        <v>15</v>
      </c>
      <c r="F3972" s="149">
        <f>D3972+E3972</f>
        <v>272.79810040705553</v>
      </c>
      <c r="G3972" s="434" t="s">
        <v>8079</v>
      </c>
      <c r="H3972" s="1648"/>
      <c r="I3972" s="434"/>
      <c r="J3972" s="433" t="s">
        <v>5028</v>
      </c>
      <c r="K3972" s="434"/>
    </row>
    <row r="3973" spans="1:11" s="33" customFormat="1">
      <c r="A3973" s="433"/>
      <c r="B3973" s="26" t="s">
        <v>5029</v>
      </c>
      <c r="C3973" s="1367">
        <v>398.49</v>
      </c>
      <c r="D3973" s="217">
        <f>C3973*fcl*(1-0.28)/TC</f>
        <v>194.64911804613294</v>
      </c>
      <c r="E3973" s="203">
        <v>15</v>
      </c>
      <c r="F3973" s="149">
        <f>D3973+E3973</f>
        <v>209.64911804613294</v>
      </c>
      <c r="G3973" s="434" t="s">
        <v>8080</v>
      </c>
      <c r="H3973" s="1648"/>
      <c r="I3973" s="434"/>
      <c r="J3973" s="433" t="s">
        <v>5028</v>
      </c>
      <c r="K3973" s="434"/>
    </row>
    <row r="3974" spans="1:11" s="33" customFormat="1">
      <c r="A3974" s="433"/>
      <c r="B3974" s="26" t="s">
        <v>5030</v>
      </c>
      <c r="C3974" s="1367">
        <v>211.91</v>
      </c>
      <c r="D3974" s="217">
        <f>C3974*fcl*(1-0.28)/TC</f>
        <v>103.51099050203526</v>
      </c>
      <c r="E3974" s="203">
        <v>15</v>
      </c>
      <c r="F3974" s="149">
        <f>D3974+E3974</f>
        <v>118.51099050203526</v>
      </c>
      <c r="G3974" s="434" t="s">
        <v>8081</v>
      </c>
      <c r="H3974" s="1648"/>
      <c r="I3974" s="434"/>
      <c r="J3974" s="433" t="s">
        <v>5028</v>
      </c>
      <c r="K3974" s="434"/>
    </row>
    <row r="3975" spans="1:11" s="33" customFormat="1">
      <c r="A3975" s="444"/>
      <c r="B3975" s="26"/>
      <c r="C3975" s="1367"/>
      <c r="D3975" s="217"/>
      <c r="E3975" s="203"/>
      <c r="F3975" s="149"/>
      <c r="G3975" s="434"/>
      <c r="H3975" s="1648"/>
      <c r="I3975" s="434"/>
      <c r="J3975" s="444"/>
      <c r="K3975" s="434"/>
    </row>
    <row r="3976" spans="1:11" s="33" customFormat="1">
      <c r="A3976" s="433"/>
      <c r="B3976" s="26" t="s">
        <v>374</v>
      </c>
      <c r="C3976" s="1367">
        <v>935.59</v>
      </c>
      <c r="D3976" s="217">
        <f>C3976*fcl*(1-0.28)/TC</f>
        <v>457.00461329715051</v>
      </c>
      <c r="E3976" s="203">
        <v>15</v>
      </c>
      <c r="F3976" s="149">
        <f>D3976+E3976</f>
        <v>472.00461329715051</v>
      </c>
      <c r="G3976" s="434" t="s">
        <v>8082</v>
      </c>
      <c r="H3976" s="1648"/>
      <c r="I3976" s="434"/>
      <c r="J3976" s="433" t="s">
        <v>5028</v>
      </c>
      <c r="K3976" s="434"/>
    </row>
    <row r="3977" spans="1:11" s="33" customFormat="1">
      <c r="A3977" s="433"/>
      <c r="B3977" s="26" t="s">
        <v>737</v>
      </c>
      <c r="C3977" s="1367">
        <v>405.16</v>
      </c>
      <c r="D3977" s="217">
        <f>C3977*fcl*(1-0.28)/TC</f>
        <v>197.90719131614651</v>
      </c>
      <c r="E3977" s="203">
        <v>15</v>
      </c>
      <c r="F3977" s="149">
        <f>D3977+E3977</f>
        <v>212.90719131614651</v>
      </c>
      <c r="G3977" s="434" t="s">
        <v>8083</v>
      </c>
      <c r="H3977" s="1648"/>
      <c r="I3977" s="434"/>
      <c r="J3977" s="433" t="s">
        <v>5028</v>
      </c>
      <c r="K3977" s="434"/>
    </row>
    <row r="3978" spans="1:11" s="33" customFormat="1">
      <c r="A3978" s="433"/>
      <c r="B3978" s="26" t="s">
        <v>5031</v>
      </c>
      <c r="C3978" s="1367">
        <v>329.19</v>
      </c>
      <c r="D3978" s="217">
        <f>C3978*fcl*(1-0.28)/TC</f>
        <v>160.79837177747623</v>
      </c>
      <c r="E3978" s="203">
        <v>15</v>
      </c>
      <c r="F3978" s="149">
        <f>D3978+E3978</f>
        <v>175.79837177747623</v>
      </c>
      <c r="G3978" s="434" t="s">
        <v>8084</v>
      </c>
      <c r="H3978" s="1648"/>
      <c r="I3978" s="434"/>
      <c r="J3978" s="433" t="s">
        <v>5028</v>
      </c>
      <c r="K3978" s="434"/>
    </row>
    <row r="3979" spans="1:11" s="33" customFormat="1">
      <c r="A3979" s="444"/>
      <c r="B3979" s="26" t="s">
        <v>5032</v>
      </c>
      <c r="C3979" s="1367">
        <v>179.92</v>
      </c>
      <c r="D3979" s="217">
        <f>C3979*fcl*(1-0.28)/TC</f>
        <v>87.884938941655335</v>
      </c>
      <c r="E3979" s="203">
        <v>15</v>
      </c>
      <c r="F3979" s="149">
        <f>D3979+E3979</f>
        <v>102.88493894165534</v>
      </c>
      <c r="G3979" s="434" t="s">
        <v>8085</v>
      </c>
      <c r="H3979" s="1648"/>
      <c r="I3979" s="434"/>
      <c r="J3979" s="433" t="s">
        <v>5028</v>
      </c>
      <c r="K3979" s="434"/>
    </row>
    <row r="3980" spans="1:11" s="33" customFormat="1">
      <c r="A3980" s="444"/>
      <c r="B3980" s="26" t="s">
        <v>5033</v>
      </c>
      <c r="C3980" s="1367">
        <v>174.59</v>
      </c>
      <c r="D3980" s="217">
        <f>C3980*fcl*(1-0.28)/TC</f>
        <v>85.281411126187223</v>
      </c>
      <c r="E3980" s="203">
        <v>15</v>
      </c>
      <c r="F3980" s="149">
        <f>D3980+E3980</f>
        <v>100.28141112618722</v>
      </c>
      <c r="G3980" s="434" t="s">
        <v>8086</v>
      </c>
      <c r="H3980" s="1648"/>
      <c r="I3980" s="434"/>
      <c r="J3980" s="433" t="s">
        <v>5028</v>
      </c>
      <c r="K3980" s="434"/>
    </row>
    <row r="3981" spans="1:11" s="33" customFormat="1">
      <c r="A3981" s="444"/>
      <c r="B3981" s="26"/>
      <c r="C3981" s="1367"/>
      <c r="D3981" s="217"/>
      <c r="E3981" s="203"/>
      <c r="F3981" s="149"/>
      <c r="G3981" s="434"/>
      <c r="H3981" s="1648"/>
      <c r="I3981" s="434"/>
      <c r="J3981" s="444"/>
      <c r="K3981" s="434"/>
    </row>
    <row r="3982" spans="1:11" s="33" customFormat="1">
      <c r="A3982" s="433"/>
      <c r="B3982" s="26" t="s">
        <v>5034</v>
      </c>
      <c r="C3982" s="1367">
        <v>726.35</v>
      </c>
      <c r="D3982" s="217">
        <f>C3982*fcl*(1-0.28)/TC</f>
        <v>354.79782903663499</v>
      </c>
      <c r="E3982" s="203">
        <v>15</v>
      </c>
      <c r="F3982" s="149">
        <f>D3982+E3982</f>
        <v>369.79782903663499</v>
      </c>
      <c r="G3982" s="434" t="s">
        <v>8087</v>
      </c>
      <c r="H3982" s="1648"/>
      <c r="I3982" s="434"/>
      <c r="J3982" s="433" t="s">
        <v>5028</v>
      </c>
      <c r="K3982" s="434"/>
    </row>
    <row r="3983" spans="1:11" s="33" customFormat="1">
      <c r="A3983" s="433"/>
      <c r="B3983" s="26" t="s">
        <v>375</v>
      </c>
      <c r="C3983" s="1367">
        <v>334.52</v>
      </c>
      <c r="D3983" s="217">
        <f>C3983*fcl*(1-0.28)/TC</f>
        <v>163.40189959294432</v>
      </c>
      <c r="E3983" s="203">
        <v>15</v>
      </c>
      <c r="F3983" s="149">
        <f>D3983+E3983</f>
        <v>178.40189959294432</v>
      </c>
      <c r="G3983" s="434" t="s">
        <v>8088</v>
      </c>
      <c r="H3983" s="1648"/>
      <c r="I3983" s="434"/>
      <c r="J3983" s="433" t="s">
        <v>5028</v>
      </c>
      <c r="K3983" s="434"/>
    </row>
    <row r="3984" spans="1:11" s="33" customFormat="1">
      <c r="A3984" s="433"/>
      <c r="B3984" s="26" t="s">
        <v>456</v>
      </c>
      <c r="C3984" s="1367">
        <v>258.55</v>
      </c>
      <c r="D3984" s="217">
        <f>C3984*fcl*(1-0.28)/TC</f>
        <v>126.29308005427407</v>
      </c>
      <c r="E3984" s="203">
        <v>15</v>
      </c>
      <c r="F3984" s="149">
        <f>D3984+E3984</f>
        <v>141.29308005427407</v>
      </c>
      <c r="G3984" s="434" t="s">
        <v>8089</v>
      </c>
      <c r="H3984" s="1648"/>
      <c r="I3984" s="434"/>
      <c r="J3984" s="433" t="s">
        <v>5028</v>
      </c>
      <c r="K3984" s="434"/>
    </row>
    <row r="3985" spans="1:11" s="33" customFormat="1">
      <c r="A3985" s="433"/>
      <c r="B3985" s="26" t="s">
        <v>5035</v>
      </c>
      <c r="C3985" s="1367">
        <v>135.94</v>
      </c>
      <c r="D3985" s="217">
        <f>C3985*fcl*(1-0.28)/TC</f>
        <v>66.402170963364995</v>
      </c>
      <c r="E3985" s="203">
        <v>15</v>
      </c>
      <c r="F3985" s="149">
        <f>D3985+E3985</f>
        <v>81.402170963364995</v>
      </c>
      <c r="G3985" s="434" t="s">
        <v>8090</v>
      </c>
      <c r="H3985" s="1648"/>
      <c r="I3985" s="434"/>
      <c r="J3985" s="433" t="s">
        <v>5028</v>
      </c>
      <c r="K3985" s="434"/>
    </row>
    <row r="3986" spans="1:11" s="33" customFormat="1">
      <c r="A3986" s="433"/>
      <c r="B3986" s="26" t="s">
        <v>5036</v>
      </c>
      <c r="C3986" s="1367">
        <v>133.28</v>
      </c>
      <c r="D3986" s="217">
        <f>C3986*fcl*(1-0.28)/TC</f>
        <v>65.102849389416548</v>
      </c>
      <c r="E3986" s="203">
        <v>15</v>
      </c>
      <c r="F3986" s="149">
        <f>D3986+E3986</f>
        <v>80.102849389416548</v>
      </c>
      <c r="G3986" s="434" t="s">
        <v>8091</v>
      </c>
      <c r="H3986" s="1648"/>
      <c r="I3986" s="434"/>
      <c r="J3986" s="433" t="s">
        <v>5028</v>
      </c>
      <c r="K3986" s="434"/>
    </row>
    <row r="3987" spans="1:11" s="33" customFormat="1">
      <c r="A3987" s="435"/>
      <c r="B3987" s="26"/>
      <c r="C3987" s="217"/>
      <c r="D3987" s="217"/>
      <c r="E3987" s="203"/>
      <c r="F3987" s="149"/>
      <c r="G3987" s="434"/>
      <c r="H3987" s="1648"/>
      <c r="I3987" s="434"/>
      <c r="J3987" s="435"/>
      <c r="K3987" s="434"/>
    </row>
    <row r="3988" spans="1:11" s="33" customFormat="1">
      <c r="A3988" s="435"/>
      <c r="B3988" s="26"/>
      <c r="C3988" s="217"/>
      <c r="D3988" s="217"/>
      <c r="E3988" s="203"/>
      <c r="F3988" s="149"/>
      <c r="G3988" s="434"/>
      <c r="H3988" s="1648"/>
      <c r="I3988" s="434"/>
      <c r="J3988" s="435"/>
      <c r="K3988" s="434"/>
    </row>
    <row r="3989" spans="1:11" s="33" customFormat="1">
      <c r="A3989" s="435"/>
      <c r="B3989" s="26"/>
      <c r="C3989" s="217"/>
      <c r="D3989" s="217"/>
      <c r="E3989" s="203"/>
      <c r="F3989" s="149"/>
      <c r="G3989" s="22"/>
      <c r="H3989" s="1648"/>
      <c r="I3989" s="434"/>
      <c r="J3989" s="435"/>
      <c r="K3989" s="434"/>
    </row>
    <row r="3990" spans="1:11" s="33" customFormat="1">
      <c r="A3990" s="435"/>
      <c r="B3990" s="26"/>
      <c r="C3990" s="217"/>
      <c r="D3990" s="217"/>
      <c r="E3990" s="203"/>
      <c r="F3990" s="149"/>
      <c r="G3990" s="22"/>
      <c r="H3990" s="1648"/>
      <c r="I3990" s="434"/>
      <c r="J3990" s="435"/>
      <c r="K3990" s="434"/>
    </row>
    <row r="3991" spans="1:11" s="33" customFormat="1">
      <c r="A3991" s="435"/>
      <c r="B3991" s="52" t="s">
        <v>376</v>
      </c>
      <c r="C3991" s="217"/>
      <c r="D3991" s="217"/>
      <c r="E3991" s="203"/>
      <c r="F3991" s="149"/>
      <c r="G3991" s="434"/>
      <c r="H3991" s="1648"/>
      <c r="I3991" s="434"/>
      <c r="J3991" s="435"/>
      <c r="K3991" s="434"/>
    </row>
    <row r="3992" spans="1:11" s="33" customFormat="1">
      <c r="A3992" s="435"/>
      <c r="B3992" s="47" t="s">
        <v>377</v>
      </c>
      <c r="C3992" s="217"/>
      <c r="D3992" s="217">
        <v>690</v>
      </c>
      <c r="E3992" s="203">
        <v>30</v>
      </c>
      <c r="F3992" s="149">
        <f>D3992+E3992</f>
        <v>720</v>
      </c>
      <c r="G3992" s="434" t="s">
        <v>8092</v>
      </c>
      <c r="H3992" s="1648"/>
      <c r="I3992" s="434"/>
      <c r="J3992" s="435"/>
      <c r="K3992" s="434"/>
    </row>
    <row r="3993" spans="1:11" s="33" customFormat="1">
      <c r="A3993" s="435"/>
      <c r="B3993" s="26"/>
      <c r="C3993" s="217"/>
      <c r="D3993" s="217"/>
      <c r="E3993" s="203"/>
      <c r="F3993" s="149"/>
      <c r="G3993" s="22"/>
      <c r="H3993" s="1648"/>
      <c r="I3993" s="434"/>
      <c r="J3993" s="435"/>
      <c r="K3993" s="434"/>
    </row>
    <row r="3994" spans="1:11" s="33" customFormat="1">
      <c r="A3994" s="435"/>
      <c r="B3994" s="26" t="s">
        <v>378</v>
      </c>
      <c r="C3994" s="217"/>
      <c r="D3994" s="217">
        <v>2130</v>
      </c>
      <c r="E3994" s="203">
        <v>70</v>
      </c>
      <c r="F3994" s="149">
        <f>D3994+E3994</f>
        <v>2200</v>
      </c>
      <c r="G3994" s="434" t="s">
        <v>379</v>
      </c>
      <c r="H3994" s="1648"/>
      <c r="I3994" s="434"/>
      <c r="J3994" s="435"/>
      <c r="K3994" s="434"/>
    </row>
    <row r="3995" spans="1:11" s="33" customFormat="1">
      <c r="A3995" s="435"/>
      <c r="B3995" s="26"/>
      <c r="C3995" s="217"/>
      <c r="D3995" s="217"/>
      <c r="E3995" s="203"/>
      <c r="F3995" s="149"/>
      <c r="G3995" s="434"/>
      <c r="H3995" s="1648"/>
      <c r="I3995" s="434"/>
      <c r="J3995" s="435"/>
      <c r="K3995" s="434"/>
    </row>
    <row r="3996" spans="1:11" s="33" customFormat="1">
      <c r="A3996" s="447"/>
      <c r="B3996" s="26"/>
      <c r="C3996" s="217"/>
      <c r="D3996" s="217"/>
      <c r="E3996" s="203"/>
      <c r="F3996" s="149"/>
      <c r="G3996" s="434"/>
      <c r="H3996" s="1648"/>
      <c r="I3996" s="434"/>
      <c r="J3996" s="443"/>
      <c r="K3996" s="434"/>
    </row>
    <row r="3997" spans="1:11" s="185" customFormat="1">
      <c r="A3997" s="447"/>
      <c r="B3997" s="454"/>
      <c r="C3997" s="217"/>
      <c r="D3997" s="217"/>
      <c r="E3997" s="1520"/>
      <c r="F3997" s="482"/>
      <c r="G3997" s="454"/>
      <c r="H3997" s="473"/>
      <c r="I3997" s="454"/>
      <c r="J3997" s="447"/>
      <c r="K3997" s="454"/>
    </row>
    <row r="3998" spans="1:11" s="33" customFormat="1">
      <c r="A3998" s="435"/>
      <c r="B3998" s="53" t="s">
        <v>8093</v>
      </c>
      <c r="C3998" s="217"/>
      <c r="D3998" s="217"/>
      <c r="E3998" s="203"/>
      <c r="F3998" s="149"/>
      <c r="G3998" s="434"/>
      <c r="H3998" s="458"/>
      <c r="I3998" s="434"/>
      <c r="J3998" s="435"/>
      <c r="K3998" s="434"/>
    </row>
    <row r="3999" spans="1:11" s="33" customFormat="1">
      <c r="A3999" s="443"/>
      <c r="B3999" s="54" t="s">
        <v>8094</v>
      </c>
      <c r="C3999" s="217"/>
      <c r="D3999" s="217">
        <v>5.3</v>
      </c>
      <c r="E3999" s="203"/>
      <c r="F3999" s="149">
        <f t="shared" ref="F3999:F4006" si="521">D3999+E3999</f>
        <v>5.3</v>
      </c>
      <c r="G3999" s="22" t="s">
        <v>8095</v>
      </c>
      <c r="H3999" s="458" t="str">
        <f t="shared" ref="H3999:H4006" si="522">B3999</f>
        <v>ER-C10/1</v>
      </c>
      <c r="I3999" s="434"/>
      <c r="J3999" s="443" t="s">
        <v>1798</v>
      </c>
      <c r="K3999" s="434"/>
    </row>
    <row r="4000" spans="1:11" s="33" customFormat="1">
      <c r="A4000" s="443"/>
      <c r="B4000" s="54" t="s">
        <v>8096</v>
      </c>
      <c r="C4000" s="217"/>
      <c r="D4000" s="217">
        <v>5.3</v>
      </c>
      <c r="E4000" s="203"/>
      <c r="F4000" s="149">
        <f t="shared" si="521"/>
        <v>5.3</v>
      </c>
      <c r="G4000" s="22" t="s">
        <v>8097</v>
      </c>
      <c r="H4000" s="458" t="str">
        <f t="shared" si="522"/>
        <v>ER-C16/1</v>
      </c>
      <c r="I4000" s="434"/>
      <c r="J4000" s="443" t="s">
        <v>1798</v>
      </c>
      <c r="K4000" s="434"/>
    </row>
    <row r="4001" spans="1:11" s="33" customFormat="1">
      <c r="A4001" s="443"/>
      <c r="B4001" s="54" t="s">
        <v>8098</v>
      </c>
      <c r="C4001" s="217"/>
      <c r="D4001" s="217">
        <v>5.3</v>
      </c>
      <c r="E4001" s="203"/>
      <c r="F4001" s="149">
        <f t="shared" si="521"/>
        <v>5.3</v>
      </c>
      <c r="G4001" s="22" t="s">
        <v>8099</v>
      </c>
      <c r="H4001" s="458" t="str">
        <f t="shared" si="522"/>
        <v>ER-C20/1</v>
      </c>
      <c r="I4001" s="434"/>
      <c r="J4001" s="443" t="s">
        <v>1798</v>
      </c>
      <c r="K4001" s="434"/>
    </row>
    <row r="4002" spans="1:11" s="33" customFormat="1">
      <c r="A4002" s="443"/>
      <c r="B4002" s="54" t="s">
        <v>8100</v>
      </c>
      <c r="C4002" s="217"/>
      <c r="D4002" s="217">
        <v>5.9</v>
      </c>
      <c r="E4002" s="203"/>
      <c r="F4002" s="149">
        <f t="shared" si="521"/>
        <v>5.9</v>
      </c>
      <c r="G4002" s="22" t="s">
        <v>8101</v>
      </c>
      <c r="H4002" s="458" t="str">
        <f t="shared" si="522"/>
        <v>ER-C25/1</v>
      </c>
      <c r="I4002" s="434"/>
      <c r="J4002" s="443" t="s">
        <v>1798</v>
      </c>
      <c r="K4002" s="434"/>
    </row>
    <row r="4003" spans="1:11" s="33" customFormat="1">
      <c r="A4003" s="443"/>
      <c r="B4003" s="54" t="s">
        <v>8102</v>
      </c>
      <c r="C4003" s="217"/>
      <c r="D4003" s="217">
        <v>5.9</v>
      </c>
      <c r="E4003" s="203"/>
      <c r="F4003" s="149">
        <f t="shared" si="521"/>
        <v>5.9</v>
      </c>
      <c r="G4003" s="22" t="s">
        <v>8103</v>
      </c>
      <c r="H4003" s="458" t="str">
        <f t="shared" si="522"/>
        <v>ER-C32/1</v>
      </c>
      <c r="I4003" s="434"/>
      <c r="J4003" s="443" t="s">
        <v>1798</v>
      </c>
      <c r="K4003" s="434"/>
    </row>
    <row r="4004" spans="1:11" s="33" customFormat="1">
      <c r="A4004" s="443"/>
      <c r="B4004" s="54" t="s">
        <v>8104</v>
      </c>
      <c r="C4004" s="217"/>
      <c r="D4004" s="217">
        <v>6.8</v>
      </c>
      <c r="E4004" s="203"/>
      <c r="F4004" s="149">
        <f t="shared" si="521"/>
        <v>6.8</v>
      </c>
      <c r="G4004" s="22" t="s">
        <v>8105</v>
      </c>
      <c r="H4004" s="458" t="str">
        <f t="shared" si="522"/>
        <v>ER-C40/1</v>
      </c>
      <c r="I4004" s="434"/>
      <c r="J4004" s="443" t="s">
        <v>1798</v>
      </c>
      <c r="K4004" s="434"/>
    </row>
    <row r="4005" spans="1:11" s="33" customFormat="1">
      <c r="A4005" s="443"/>
      <c r="B4005" s="54" t="s">
        <v>8106</v>
      </c>
      <c r="C4005" s="217"/>
      <c r="D4005" s="217">
        <v>11.6</v>
      </c>
      <c r="E4005" s="203"/>
      <c r="F4005" s="149">
        <f t="shared" si="521"/>
        <v>11.6</v>
      </c>
      <c r="G4005" s="22" t="s">
        <v>8107</v>
      </c>
      <c r="H4005" s="458" t="str">
        <f t="shared" si="522"/>
        <v>ER-C50/1</v>
      </c>
      <c r="I4005" s="434"/>
      <c r="J4005" s="443" t="s">
        <v>1798</v>
      </c>
      <c r="K4005" s="434"/>
    </row>
    <row r="4006" spans="1:11" s="185" customFormat="1">
      <c r="A4006" s="443"/>
      <c r="B4006" s="54" t="s">
        <v>8108</v>
      </c>
      <c r="C4006" s="217"/>
      <c r="D4006" s="217">
        <v>11.6</v>
      </c>
      <c r="E4006" s="203"/>
      <c r="F4006" s="149">
        <f t="shared" si="521"/>
        <v>11.6</v>
      </c>
      <c r="G4006" s="22" t="s">
        <v>8109</v>
      </c>
      <c r="H4006" s="458" t="str">
        <f t="shared" si="522"/>
        <v>ER-C63/1</v>
      </c>
      <c r="I4006" s="434"/>
      <c r="J4006" s="443" t="s">
        <v>1798</v>
      </c>
      <c r="K4006" s="434"/>
    </row>
    <row r="4007" spans="1:11">
      <c r="A4007" s="435"/>
      <c r="B4007" s="54"/>
      <c r="C4007" s="217"/>
      <c r="D4007" s="217"/>
      <c r="E4007" s="203"/>
      <c r="F4007" s="149"/>
      <c r="G4007" s="22"/>
      <c r="H4007" s="458"/>
      <c r="I4007" s="434"/>
      <c r="J4007" s="435"/>
      <c r="K4007" s="434"/>
    </row>
    <row r="4008" spans="1:11">
      <c r="A4008" s="443"/>
      <c r="B4008" s="54" t="s">
        <v>8110</v>
      </c>
      <c r="C4008" s="217"/>
      <c r="D4008" s="217">
        <v>15</v>
      </c>
      <c r="E4008" s="203"/>
      <c r="F4008" s="149">
        <v>14</v>
      </c>
      <c r="G4008" s="22" t="s">
        <v>8111</v>
      </c>
      <c r="H4008" s="458" t="str">
        <f t="shared" ref="H4008:H4016" si="523">B4008</f>
        <v>ER-C6/2</v>
      </c>
      <c r="I4008" s="434"/>
      <c r="J4008" s="443" t="s">
        <v>1798</v>
      </c>
      <c r="K4008" s="33"/>
    </row>
    <row r="4009" spans="1:11">
      <c r="A4009" s="443"/>
      <c r="B4009" s="54" t="s">
        <v>8112</v>
      </c>
      <c r="C4009" s="217"/>
      <c r="D4009" s="217">
        <v>13.8</v>
      </c>
      <c r="E4009" s="203"/>
      <c r="F4009" s="149">
        <f t="shared" ref="F4009:F4016" si="524">D4009+E4009</f>
        <v>13.8</v>
      </c>
      <c r="G4009" s="22" t="s">
        <v>8113</v>
      </c>
      <c r="H4009" s="458" t="str">
        <f t="shared" si="523"/>
        <v>ER-C10/2</v>
      </c>
      <c r="I4009" s="434"/>
      <c r="J4009" s="443" t="s">
        <v>1798</v>
      </c>
      <c r="K4009" s="33"/>
    </row>
    <row r="4010" spans="1:11">
      <c r="A4010" s="443"/>
      <c r="B4010" s="54" t="s">
        <v>8114</v>
      </c>
      <c r="C4010" s="217"/>
      <c r="D4010" s="217">
        <v>13.8</v>
      </c>
      <c r="E4010" s="203"/>
      <c r="F4010" s="149">
        <f t="shared" si="524"/>
        <v>13.8</v>
      </c>
      <c r="G4010" s="22" t="s">
        <v>8115</v>
      </c>
      <c r="H4010" s="458" t="str">
        <f t="shared" si="523"/>
        <v>ER-C16/2</v>
      </c>
      <c r="I4010" s="434"/>
      <c r="J4010" s="443" t="s">
        <v>1798</v>
      </c>
      <c r="K4010" s="33"/>
    </row>
    <row r="4011" spans="1:11" s="33" customFormat="1">
      <c r="A4011" s="443"/>
      <c r="B4011" s="54" t="s">
        <v>8116</v>
      </c>
      <c r="C4011" s="217"/>
      <c r="D4011" s="217">
        <v>13.8</v>
      </c>
      <c r="E4011" s="203"/>
      <c r="F4011" s="149">
        <f t="shared" si="524"/>
        <v>13.8</v>
      </c>
      <c r="G4011" s="22" t="s">
        <v>8117</v>
      </c>
      <c r="H4011" s="458" t="str">
        <f t="shared" si="523"/>
        <v>ER-C20/2</v>
      </c>
      <c r="I4011" s="434"/>
      <c r="J4011" s="443" t="s">
        <v>1798</v>
      </c>
    </row>
    <row r="4012" spans="1:11" s="33" customFormat="1">
      <c r="A4012" s="443"/>
      <c r="B4012" s="54" t="s">
        <v>8118</v>
      </c>
      <c r="C4012" s="217"/>
      <c r="D4012" s="217">
        <v>15</v>
      </c>
      <c r="E4012" s="203"/>
      <c r="F4012" s="149">
        <f t="shared" si="524"/>
        <v>15</v>
      </c>
      <c r="G4012" s="22" t="s">
        <v>8119</v>
      </c>
      <c r="H4012" s="458" t="str">
        <f t="shared" si="523"/>
        <v>ER-C25/2</v>
      </c>
      <c r="I4012" s="434"/>
      <c r="J4012" s="443" t="s">
        <v>1798</v>
      </c>
    </row>
    <row r="4013" spans="1:11" s="33" customFormat="1">
      <c r="A4013" s="443"/>
      <c r="B4013" s="54" t="s">
        <v>8120</v>
      </c>
      <c r="C4013" s="217"/>
      <c r="D4013" s="217">
        <v>15</v>
      </c>
      <c r="E4013" s="203"/>
      <c r="F4013" s="149">
        <f t="shared" si="524"/>
        <v>15</v>
      </c>
      <c r="G4013" s="22" t="s">
        <v>8121</v>
      </c>
      <c r="H4013" s="458" t="str">
        <f t="shared" si="523"/>
        <v>ER-C32/2</v>
      </c>
      <c r="I4013" s="434"/>
      <c r="J4013" s="443" t="s">
        <v>1798</v>
      </c>
    </row>
    <row r="4014" spans="1:11" s="33" customFormat="1">
      <c r="A4014" s="443"/>
      <c r="B4014" s="54" t="s">
        <v>8122</v>
      </c>
      <c r="C4014" s="217"/>
      <c r="D4014" s="217">
        <v>15</v>
      </c>
      <c r="E4014" s="203"/>
      <c r="F4014" s="149">
        <f t="shared" si="524"/>
        <v>15</v>
      </c>
      <c r="G4014" s="22" t="s">
        <v>8123</v>
      </c>
      <c r="H4014" s="458" t="str">
        <f t="shared" si="523"/>
        <v>ER-C40/2</v>
      </c>
      <c r="I4014" s="434"/>
      <c r="J4014" s="443" t="s">
        <v>1798</v>
      </c>
    </row>
    <row r="4015" spans="1:11" s="33" customFormat="1">
      <c r="A4015" s="443"/>
      <c r="B4015" s="54" t="s">
        <v>8124</v>
      </c>
      <c r="C4015" s="217"/>
      <c r="D4015" s="217">
        <v>26.6</v>
      </c>
      <c r="E4015" s="203"/>
      <c r="F4015" s="149">
        <f t="shared" si="524"/>
        <v>26.6</v>
      </c>
      <c r="G4015" s="22" t="s">
        <v>8125</v>
      </c>
      <c r="H4015" s="458" t="str">
        <f t="shared" si="523"/>
        <v>ER-C50/2</v>
      </c>
      <c r="I4015" s="434"/>
      <c r="J4015" s="443" t="s">
        <v>1798</v>
      </c>
    </row>
    <row r="4016" spans="1:11" s="33" customFormat="1">
      <c r="A4016" s="443"/>
      <c r="B4016" s="54" t="s">
        <v>8126</v>
      </c>
      <c r="C4016" s="217"/>
      <c r="D4016" s="217">
        <v>26.6</v>
      </c>
      <c r="E4016" s="203"/>
      <c r="F4016" s="149">
        <f t="shared" si="524"/>
        <v>26.6</v>
      </c>
      <c r="G4016" s="22" t="s">
        <v>8127</v>
      </c>
      <c r="H4016" s="458" t="str">
        <f t="shared" si="523"/>
        <v>ER-C63/2</v>
      </c>
      <c r="I4016" s="434"/>
      <c r="J4016" s="443" t="s">
        <v>1798</v>
      </c>
    </row>
    <row r="4017" spans="1:11" s="33" customFormat="1">
      <c r="A4017" s="435"/>
      <c r="B4017" s="54"/>
      <c r="C4017" s="217"/>
      <c r="D4017" s="217"/>
      <c r="E4017" s="203"/>
      <c r="F4017" s="149"/>
      <c r="G4017" s="22"/>
      <c r="H4017" s="458"/>
      <c r="I4017" s="434"/>
      <c r="J4017" s="435"/>
      <c r="K4017" s="434"/>
    </row>
    <row r="4018" spans="1:11" s="33" customFormat="1">
      <c r="A4018" s="443"/>
      <c r="B4018" s="54" t="s">
        <v>8128</v>
      </c>
      <c r="C4018" s="217"/>
      <c r="D4018" s="217">
        <v>21.6</v>
      </c>
      <c r="E4018" s="203"/>
      <c r="F4018" s="149">
        <f t="shared" ref="F4018:F4025" si="525">D4018+E4018</f>
        <v>21.6</v>
      </c>
      <c r="G4018" s="22" t="s">
        <v>8129</v>
      </c>
      <c r="H4018" s="458" t="str">
        <f t="shared" ref="H4018:H4025" si="526">B4018</f>
        <v>ER-C10/3</v>
      </c>
      <c r="I4018" s="434"/>
      <c r="J4018" s="443" t="s">
        <v>1798</v>
      </c>
      <c r="K4018" s="434"/>
    </row>
    <row r="4019" spans="1:11" s="33" customFormat="1">
      <c r="A4019" s="443"/>
      <c r="B4019" s="54" t="s">
        <v>8130</v>
      </c>
      <c r="C4019" s="217"/>
      <c r="D4019" s="217">
        <v>21.6</v>
      </c>
      <c r="E4019" s="203"/>
      <c r="F4019" s="149">
        <f t="shared" si="525"/>
        <v>21.6</v>
      </c>
      <c r="G4019" s="22" t="s">
        <v>8131</v>
      </c>
      <c r="H4019" s="458" t="str">
        <f t="shared" si="526"/>
        <v>ER-C16/3</v>
      </c>
      <c r="I4019" s="434"/>
      <c r="J4019" s="443" t="s">
        <v>1798</v>
      </c>
      <c r="K4019" s="434"/>
    </row>
    <row r="4020" spans="1:11">
      <c r="A4020" s="443"/>
      <c r="B4020" s="54" t="s">
        <v>8132</v>
      </c>
      <c r="C4020" s="217"/>
      <c r="D4020" s="217">
        <v>21.6</v>
      </c>
      <c r="E4020" s="203"/>
      <c r="F4020" s="149">
        <f t="shared" si="525"/>
        <v>21.6</v>
      </c>
      <c r="G4020" s="22" t="s">
        <v>8133</v>
      </c>
      <c r="H4020" s="458" t="str">
        <f t="shared" si="526"/>
        <v>ER-C20/3</v>
      </c>
      <c r="I4020" s="434"/>
      <c r="J4020" s="443" t="s">
        <v>1798</v>
      </c>
      <c r="K4020" s="434"/>
    </row>
    <row r="4021" spans="1:11">
      <c r="A4021" s="443"/>
      <c r="B4021" s="54" t="s">
        <v>8134</v>
      </c>
      <c r="C4021" s="217"/>
      <c r="D4021" s="217">
        <v>21.6</v>
      </c>
      <c r="E4021" s="203"/>
      <c r="F4021" s="149">
        <f t="shared" si="525"/>
        <v>21.6</v>
      </c>
      <c r="G4021" s="22" t="s">
        <v>8135</v>
      </c>
      <c r="H4021" s="458" t="str">
        <f t="shared" si="526"/>
        <v>ER-C25/3</v>
      </c>
      <c r="I4021" s="434"/>
      <c r="J4021" s="443" t="s">
        <v>1798</v>
      </c>
      <c r="K4021" s="434"/>
    </row>
    <row r="4022" spans="1:11" s="317" customFormat="1">
      <c r="A4022" s="443"/>
      <c r="B4022" s="54" t="s">
        <v>8136</v>
      </c>
      <c r="C4022" s="217"/>
      <c r="D4022" s="217">
        <v>21.6</v>
      </c>
      <c r="E4022" s="203"/>
      <c r="F4022" s="149">
        <f t="shared" si="525"/>
        <v>21.6</v>
      </c>
      <c r="G4022" s="22" t="s">
        <v>8137</v>
      </c>
      <c r="H4022" s="458" t="str">
        <f t="shared" si="526"/>
        <v>ER-C32/3</v>
      </c>
      <c r="I4022" s="434"/>
      <c r="J4022" s="443" t="s">
        <v>1798</v>
      </c>
      <c r="K4022" s="434"/>
    </row>
    <row r="4023" spans="1:11" s="33" customFormat="1">
      <c r="A4023" s="443"/>
      <c r="B4023" s="54" t="s">
        <v>8138</v>
      </c>
      <c r="C4023" s="217"/>
      <c r="D4023" s="217">
        <v>23.4</v>
      </c>
      <c r="E4023" s="203"/>
      <c r="F4023" s="149">
        <f t="shared" si="525"/>
        <v>23.4</v>
      </c>
      <c r="G4023" s="22" t="s">
        <v>8139</v>
      </c>
      <c r="H4023" s="458" t="str">
        <f t="shared" si="526"/>
        <v>ER-C40/3</v>
      </c>
      <c r="I4023" s="434"/>
      <c r="J4023" s="443" t="s">
        <v>1798</v>
      </c>
      <c r="K4023" s="434"/>
    </row>
    <row r="4024" spans="1:11" s="33" customFormat="1">
      <c r="A4024" s="443"/>
      <c r="B4024" s="54" t="s">
        <v>8140</v>
      </c>
      <c r="C4024" s="217"/>
      <c r="D4024" s="217">
        <v>36.700000000000003</v>
      </c>
      <c r="E4024" s="203"/>
      <c r="F4024" s="149">
        <f t="shared" si="525"/>
        <v>36.700000000000003</v>
      </c>
      <c r="G4024" s="22" t="s">
        <v>8141</v>
      </c>
      <c r="H4024" s="458" t="str">
        <f t="shared" si="526"/>
        <v>ER-C50/3</v>
      </c>
      <c r="I4024" s="434"/>
      <c r="J4024" s="443" t="s">
        <v>1798</v>
      </c>
      <c r="K4024" s="434"/>
    </row>
    <row r="4025" spans="1:11" s="33" customFormat="1">
      <c r="A4025" s="443"/>
      <c r="B4025" s="54" t="s">
        <v>8142</v>
      </c>
      <c r="C4025" s="217"/>
      <c r="D4025" s="217">
        <v>36.700000000000003</v>
      </c>
      <c r="E4025" s="203"/>
      <c r="F4025" s="149">
        <f t="shared" si="525"/>
        <v>36.700000000000003</v>
      </c>
      <c r="G4025" s="22" t="s">
        <v>8143</v>
      </c>
      <c r="H4025" s="458" t="str">
        <f t="shared" si="526"/>
        <v>ER-C63/3</v>
      </c>
      <c r="I4025" s="434"/>
      <c r="J4025" s="443" t="s">
        <v>1798</v>
      </c>
      <c r="K4025" s="434"/>
    </row>
    <row r="4026" spans="1:11" s="33" customFormat="1">
      <c r="A4026" s="435"/>
      <c r="B4026" s="434"/>
      <c r="C4026" s="217"/>
      <c r="D4026" s="217"/>
      <c r="E4026" s="438"/>
      <c r="F4026" s="439"/>
      <c r="G4026" s="434"/>
      <c r="H4026" s="458"/>
      <c r="I4026" s="434"/>
      <c r="J4026" s="435"/>
      <c r="K4026" s="434"/>
    </row>
    <row r="4027" spans="1:11" s="33" customFormat="1">
      <c r="A4027" s="435"/>
      <c r="B4027" s="53" t="s">
        <v>13645</v>
      </c>
      <c r="C4027" s="217"/>
      <c r="D4027" s="217"/>
      <c r="E4027" s="203"/>
      <c r="F4027" s="149"/>
      <c r="G4027" s="434"/>
      <c r="H4027" s="458"/>
      <c r="I4027" s="434"/>
      <c r="J4027" s="435"/>
      <c r="K4027" s="434"/>
    </row>
    <row r="4028" spans="1:11" s="185" customFormat="1" ht="12" customHeight="1">
      <c r="A4028" s="447"/>
      <c r="B4028" s="460" t="s">
        <v>13646</v>
      </c>
      <c r="C4028" s="217"/>
      <c r="D4028" s="217">
        <v>22.42</v>
      </c>
      <c r="E4028" s="407"/>
      <c r="F4028" s="157">
        <f t="shared" ref="F4028:F4031" si="527">D4028+E4028</f>
        <v>22.42</v>
      </c>
      <c r="G4028" s="410" t="s">
        <v>8194</v>
      </c>
      <c r="H4028" s="139" t="str">
        <f t="shared" ref="H4028:H4031" si="528">B4028</f>
        <v>mMC6-D20/3-MW</v>
      </c>
      <c r="I4028" s="454"/>
      <c r="J4028" s="447" t="s">
        <v>1798</v>
      </c>
      <c r="K4028" s="454"/>
    </row>
    <row r="4029" spans="1:11" s="185" customFormat="1">
      <c r="A4029" s="447"/>
      <c r="B4029" s="460" t="s">
        <v>13647</v>
      </c>
      <c r="C4029" s="217"/>
      <c r="D4029" s="217">
        <v>22.42</v>
      </c>
      <c r="E4029" s="407"/>
      <c r="F4029" s="157">
        <f t="shared" si="527"/>
        <v>22.42</v>
      </c>
      <c r="G4029" s="410" t="s">
        <v>8193</v>
      </c>
      <c r="H4029" s="139" t="str">
        <f t="shared" si="528"/>
        <v>mMC6-D16/3-MW</v>
      </c>
      <c r="I4029" s="454"/>
      <c r="J4029" s="447" t="s">
        <v>1798</v>
      </c>
      <c r="K4029" s="454"/>
    </row>
    <row r="4030" spans="1:11" s="185" customFormat="1">
      <c r="A4030" s="447"/>
      <c r="B4030" s="460" t="s">
        <v>13648</v>
      </c>
      <c r="C4030" s="217"/>
      <c r="D4030" s="217">
        <v>14.91</v>
      </c>
      <c r="E4030" s="407"/>
      <c r="F4030" s="157">
        <f t="shared" si="527"/>
        <v>14.91</v>
      </c>
      <c r="G4030" s="410" t="s">
        <v>8186</v>
      </c>
      <c r="H4030" s="139" t="str">
        <f t="shared" si="528"/>
        <v>mMC6-D20/2-MW</v>
      </c>
      <c r="I4030" s="454"/>
      <c r="J4030" s="447" t="s">
        <v>1798</v>
      </c>
      <c r="K4030" s="454"/>
    </row>
    <row r="4031" spans="1:11" s="2339" customFormat="1">
      <c r="A4031" s="1492"/>
      <c r="B4031" s="2333" t="s">
        <v>13649</v>
      </c>
      <c r="C4031" s="449"/>
      <c r="D4031" s="449">
        <v>40</v>
      </c>
      <c r="E4031" s="2334"/>
      <c r="F4031" s="2335">
        <f t="shared" si="527"/>
        <v>40</v>
      </c>
      <c r="G4031" s="2336" t="s">
        <v>8185</v>
      </c>
      <c r="H4031" s="2337" t="str">
        <f t="shared" si="528"/>
        <v>mMC6-D16/2-MW</v>
      </c>
      <c r="I4031" s="2338"/>
      <c r="J4031" s="1492" t="s">
        <v>1798</v>
      </c>
      <c r="K4031" s="2338"/>
    </row>
    <row r="4032" spans="1:11" s="185" customFormat="1">
      <c r="A4032" s="447"/>
      <c r="B4032" s="454"/>
      <c r="C4032" s="217"/>
      <c r="D4032" s="217"/>
      <c r="E4032" s="1520"/>
      <c r="F4032" s="482"/>
      <c r="G4032" s="454"/>
      <c r="H4032" s="473"/>
      <c r="I4032" s="454"/>
      <c r="J4032" s="447"/>
      <c r="K4032" s="454"/>
    </row>
    <row r="4033" spans="1:11" s="33" customFormat="1">
      <c r="A4033" s="435"/>
      <c r="B4033" s="434"/>
      <c r="C4033" s="217"/>
      <c r="D4033" s="217"/>
      <c r="E4033" s="438"/>
      <c r="F4033" s="439"/>
      <c r="G4033" s="434"/>
      <c r="H4033" s="1648"/>
      <c r="I4033" s="434"/>
      <c r="J4033" s="435"/>
      <c r="K4033" s="434"/>
    </row>
    <row r="4034" spans="1:11" s="33" customFormat="1">
      <c r="A4034" s="435"/>
      <c r="B4034" s="53" t="s">
        <v>380</v>
      </c>
      <c r="C4034" s="217"/>
      <c r="D4034" s="217"/>
      <c r="E4034" s="203"/>
      <c r="F4034" s="149"/>
      <c r="G4034" s="434"/>
      <c r="H4034" s="458"/>
      <c r="I4034" s="434"/>
      <c r="J4034" s="435"/>
      <c r="K4034" s="434"/>
    </row>
    <row r="4035" spans="1:11" s="33" customFormat="1">
      <c r="A4035" s="443"/>
      <c r="B4035" s="54" t="s">
        <v>226</v>
      </c>
      <c r="C4035" s="217"/>
      <c r="D4035" s="217">
        <v>5.3</v>
      </c>
      <c r="E4035" s="203"/>
      <c r="F4035" s="149">
        <f t="shared" ref="F4035:F4042" si="529">D4035+E4035</f>
        <v>5.3</v>
      </c>
      <c r="G4035" s="22" t="s">
        <v>8144</v>
      </c>
      <c r="H4035" s="458" t="str">
        <f t="shared" ref="H4035:H4042" si="530">B4035</f>
        <v>mMCM-C10/1-MW</v>
      </c>
      <c r="I4035" s="434"/>
      <c r="J4035" s="443" t="s">
        <v>1798</v>
      </c>
      <c r="K4035" s="434"/>
    </row>
    <row r="4036" spans="1:11" s="33" customFormat="1">
      <c r="A4036" s="443"/>
      <c r="B4036" s="54" t="s">
        <v>227</v>
      </c>
      <c r="C4036" s="217"/>
      <c r="D4036" s="217">
        <v>5.3</v>
      </c>
      <c r="E4036" s="203"/>
      <c r="F4036" s="149">
        <f t="shared" si="529"/>
        <v>5.3</v>
      </c>
      <c r="G4036" s="22" t="s">
        <v>8145</v>
      </c>
      <c r="H4036" s="458" t="str">
        <f t="shared" si="530"/>
        <v>mMCM-C16/1-MW</v>
      </c>
      <c r="I4036" s="434"/>
      <c r="J4036" s="443" t="s">
        <v>1798</v>
      </c>
      <c r="K4036" s="434"/>
    </row>
    <row r="4037" spans="1:11" s="33" customFormat="1">
      <c r="A4037" s="443"/>
      <c r="B4037" s="54" t="s">
        <v>228</v>
      </c>
      <c r="C4037" s="217"/>
      <c r="D4037" s="217">
        <v>5.3</v>
      </c>
      <c r="E4037" s="203"/>
      <c r="F4037" s="149">
        <f t="shared" si="529"/>
        <v>5.3</v>
      </c>
      <c r="G4037" s="22" t="s">
        <v>8146</v>
      </c>
      <c r="H4037" s="458" t="str">
        <f t="shared" si="530"/>
        <v>mMCM-C20/1-MW</v>
      </c>
      <c r="I4037" s="434"/>
      <c r="J4037" s="443" t="s">
        <v>1798</v>
      </c>
      <c r="K4037" s="434"/>
    </row>
    <row r="4038" spans="1:11" s="33" customFormat="1">
      <c r="A4038" s="443"/>
      <c r="B4038" s="54" t="s">
        <v>229</v>
      </c>
      <c r="C4038" s="217"/>
      <c r="D4038" s="217">
        <v>5.9</v>
      </c>
      <c r="E4038" s="203"/>
      <c r="F4038" s="149">
        <f t="shared" si="529"/>
        <v>5.9</v>
      </c>
      <c r="G4038" s="22" t="s">
        <v>8147</v>
      </c>
      <c r="H4038" s="458" t="str">
        <f t="shared" si="530"/>
        <v>mMCM-C25/1-MW</v>
      </c>
      <c r="I4038" s="434"/>
      <c r="J4038" s="443" t="s">
        <v>1798</v>
      </c>
      <c r="K4038" s="434"/>
    </row>
    <row r="4039" spans="1:11" s="33" customFormat="1">
      <c r="A4039" s="443"/>
      <c r="B4039" s="54" t="s">
        <v>230</v>
      </c>
      <c r="C4039" s="217"/>
      <c r="D4039" s="217">
        <v>5.9</v>
      </c>
      <c r="E4039" s="203"/>
      <c r="F4039" s="149">
        <f t="shared" si="529"/>
        <v>5.9</v>
      </c>
      <c r="G4039" s="22" t="s">
        <v>8148</v>
      </c>
      <c r="H4039" s="458" t="str">
        <f t="shared" si="530"/>
        <v>mMCM-C32/1-MW</v>
      </c>
      <c r="I4039" s="434"/>
      <c r="J4039" s="443" t="s">
        <v>1798</v>
      </c>
      <c r="K4039" s="434"/>
    </row>
    <row r="4040" spans="1:11" s="33" customFormat="1">
      <c r="A4040" s="443"/>
      <c r="B4040" s="54" t="s">
        <v>231</v>
      </c>
      <c r="C4040" s="217"/>
      <c r="D4040" s="217">
        <v>6.8</v>
      </c>
      <c r="E4040" s="203"/>
      <c r="F4040" s="149">
        <f t="shared" si="529"/>
        <v>6.8</v>
      </c>
      <c r="G4040" s="22" t="s">
        <v>8149</v>
      </c>
      <c r="H4040" s="458" t="str">
        <f t="shared" si="530"/>
        <v>mMCM-C40/1-MW</v>
      </c>
      <c r="I4040" s="434"/>
      <c r="J4040" s="443" t="s">
        <v>1798</v>
      </c>
      <c r="K4040" s="434"/>
    </row>
    <row r="4041" spans="1:11" s="33" customFormat="1">
      <c r="A4041" s="443"/>
      <c r="B4041" s="54" t="s">
        <v>232</v>
      </c>
      <c r="C4041" s="217"/>
      <c r="D4041" s="217">
        <v>11.6</v>
      </c>
      <c r="E4041" s="203"/>
      <c r="F4041" s="149">
        <f t="shared" si="529"/>
        <v>11.6</v>
      </c>
      <c r="G4041" s="22" t="s">
        <v>8150</v>
      </c>
      <c r="H4041" s="458" t="str">
        <f t="shared" si="530"/>
        <v>mMCM-C50/1-MW</v>
      </c>
      <c r="I4041" s="434"/>
      <c r="J4041" s="443" t="s">
        <v>1798</v>
      </c>
      <c r="K4041" s="434"/>
    </row>
    <row r="4042" spans="1:11" s="185" customFormat="1">
      <c r="A4042" s="443"/>
      <c r="B4042" s="54" t="s">
        <v>233</v>
      </c>
      <c r="C4042" s="217"/>
      <c r="D4042" s="217">
        <v>11.6</v>
      </c>
      <c r="E4042" s="203"/>
      <c r="F4042" s="149">
        <f t="shared" si="529"/>
        <v>11.6</v>
      </c>
      <c r="G4042" s="22" t="s">
        <v>8151</v>
      </c>
      <c r="H4042" s="458" t="str">
        <f t="shared" si="530"/>
        <v>mMCM-C63/1-MW</v>
      </c>
      <c r="I4042" s="434"/>
      <c r="J4042" s="443" t="s">
        <v>1798</v>
      </c>
      <c r="K4042" s="434"/>
    </row>
    <row r="4043" spans="1:11">
      <c r="A4043" s="435"/>
      <c r="B4043" s="54"/>
      <c r="C4043" s="217"/>
      <c r="D4043" s="217"/>
      <c r="E4043" s="203"/>
      <c r="F4043" s="149"/>
      <c r="G4043" s="22"/>
      <c r="H4043" s="458"/>
      <c r="I4043" s="434"/>
      <c r="J4043" s="435"/>
      <c r="K4043" s="434"/>
    </row>
    <row r="4044" spans="1:11">
      <c r="A4044" s="443"/>
      <c r="B4044" s="54" t="s">
        <v>3260</v>
      </c>
      <c r="C4044" s="217"/>
      <c r="D4044" s="217">
        <v>15</v>
      </c>
      <c r="E4044" s="203"/>
      <c r="F4044" s="149">
        <v>14</v>
      </c>
      <c r="G4044" s="22" t="s">
        <v>8152</v>
      </c>
      <c r="H4044" s="458" t="str">
        <f t="shared" ref="H4044:H4052" si="531">B4044</f>
        <v>mMCM-C6/2-MW</v>
      </c>
      <c r="I4044" s="434"/>
      <c r="J4044" s="443" t="s">
        <v>1798</v>
      </c>
      <c r="K4044" s="33"/>
    </row>
    <row r="4045" spans="1:11">
      <c r="A4045" s="443"/>
      <c r="B4045" s="54" t="s">
        <v>234</v>
      </c>
      <c r="C4045" s="217"/>
      <c r="D4045" s="217">
        <v>13.8</v>
      </c>
      <c r="E4045" s="203"/>
      <c r="F4045" s="149">
        <f t="shared" ref="F4045:F4052" si="532">D4045+E4045</f>
        <v>13.8</v>
      </c>
      <c r="G4045" s="22" t="s">
        <v>8153</v>
      </c>
      <c r="H4045" s="458" t="str">
        <f t="shared" si="531"/>
        <v>mMCM-C10/2-MW</v>
      </c>
      <c r="I4045" s="434"/>
      <c r="J4045" s="443" t="s">
        <v>1798</v>
      </c>
      <c r="K4045" s="33"/>
    </row>
    <row r="4046" spans="1:11">
      <c r="A4046" s="443"/>
      <c r="B4046" s="54" t="s">
        <v>235</v>
      </c>
      <c r="C4046" s="217"/>
      <c r="D4046" s="217">
        <v>13.8</v>
      </c>
      <c r="E4046" s="203"/>
      <c r="F4046" s="149">
        <f t="shared" si="532"/>
        <v>13.8</v>
      </c>
      <c r="G4046" s="22" t="s">
        <v>8154</v>
      </c>
      <c r="H4046" s="458" t="str">
        <f t="shared" si="531"/>
        <v>mMCM-C16/2-MW</v>
      </c>
      <c r="I4046" s="434"/>
      <c r="J4046" s="443" t="s">
        <v>1798</v>
      </c>
      <c r="K4046" s="33"/>
    </row>
    <row r="4047" spans="1:11" s="33" customFormat="1">
      <c r="A4047" s="443"/>
      <c r="B4047" s="54" t="s">
        <v>236</v>
      </c>
      <c r="C4047" s="217"/>
      <c r="D4047" s="217">
        <v>13.8</v>
      </c>
      <c r="E4047" s="203"/>
      <c r="F4047" s="149">
        <f t="shared" si="532"/>
        <v>13.8</v>
      </c>
      <c r="G4047" s="22" t="s">
        <v>8155</v>
      </c>
      <c r="H4047" s="458" t="str">
        <f t="shared" si="531"/>
        <v>mMCM-C20/2-MW</v>
      </c>
      <c r="I4047" s="434"/>
      <c r="J4047" s="443" t="s">
        <v>1798</v>
      </c>
    </row>
    <row r="4048" spans="1:11" s="33" customFormat="1">
      <c r="A4048" s="443"/>
      <c r="B4048" s="54" t="s">
        <v>237</v>
      </c>
      <c r="C4048" s="217"/>
      <c r="D4048" s="217">
        <v>15</v>
      </c>
      <c r="E4048" s="203"/>
      <c r="F4048" s="149">
        <f t="shared" si="532"/>
        <v>15</v>
      </c>
      <c r="G4048" s="22" t="s">
        <v>8156</v>
      </c>
      <c r="H4048" s="458" t="str">
        <f t="shared" si="531"/>
        <v>mMCM-C25/2-MW</v>
      </c>
      <c r="I4048" s="434"/>
      <c r="J4048" s="443" t="s">
        <v>1798</v>
      </c>
    </row>
    <row r="4049" spans="1:11" s="33" customFormat="1">
      <c r="A4049" s="443"/>
      <c r="B4049" s="54" t="s">
        <v>238</v>
      </c>
      <c r="C4049" s="217"/>
      <c r="D4049" s="217">
        <v>15</v>
      </c>
      <c r="E4049" s="203"/>
      <c r="F4049" s="149">
        <f t="shared" si="532"/>
        <v>15</v>
      </c>
      <c r="G4049" s="22" t="s">
        <v>8157</v>
      </c>
      <c r="H4049" s="458" t="str">
        <f t="shared" si="531"/>
        <v>mMCM-C32/2-MW</v>
      </c>
      <c r="I4049" s="434"/>
      <c r="J4049" s="443" t="s">
        <v>1798</v>
      </c>
    </row>
    <row r="4050" spans="1:11" s="33" customFormat="1">
      <c r="A4050" s="443"/>
      <c r="B4050" s="54" t="s">
        <v>239</v>
      </c>
      <c r="C4050" s="217"/>
      <c r="D4050" s="217">
        <v>15</v>
      </c>
      <c r="E4050" s="203"/>
      <c r="F4050" s="149">
        <f t="shared" si="532"/>
        <v>15</v>
      </c>
      <c r="G4050" s="22" t="s">
        <v>8158</v>
      </c>
      <c r="H4050" s="458" t="str">
        <f t="shared" si="531"/>
        <v>mMCM-C40/2-MW</v>
      </c>
      <c r="I4050" s="434"/>
      <c r="J4050" s="443" t="s">
        <v>1798</v>
      </c>
    </row>
    <row r="4051" spans="1:11" s="33" customFormat="1">
      <c r="A4051" s="443"/>
      <c r="B4051" s="54" t="s">
        <v>240</v>
      </c>
      <c r="C4051" s="217"/>
      <c r="D4051" s="217">
        <v>26.6</v>
      </c>
      <c r="E4051" s="203"/>
      <c r="F4051" s="149">
        <f t="shared" si="532"/>
        <v>26.6</v>
      </c>
      <c r="G4051" s="22" t="s">
        <v>8159</v>
      </c>
      <c r="H4051" s="458" t="str">
        <f t="shared" si="531"/>
        <v>mMCM-C50/2-MW</v>
      </c>
      <c r="I4051" s="434"/>
      <c r="J4051" s="443" t="s">
        <v>1798</v>
      </c>
    </row>
    <row r="4052" spans="1:11" s="33" customFormat="1">
      <c r="A4052" s="443"/>
      <c r="B4052" s="54" t="s">
        <v>241</v>
      </c>
      <c r="C4052" s="217"/>
      <c r="D4052" s="217">
        <v>26.6</v>
      </c>
      <c r="E4052" s="203"/>
      <c r="F4052" s="149">
        <f t="shared" si="532"/>
        <v>26.6</v>
      </c>
      <c r="G4052" s="22" t="s">
        <v>8160</v>
      </c>
      <c r="H4052" s="458" t="str">
        <f t="shared" si="531"/>
        <v>mMCM-C63/2-MW</v>
      </c>
      <c r="I4052" s="434"/>
      <c r="J4052" s="443" t="s">
        <v>1798</v>
      </c>
    </row>
    <row r="4053" spans="1:11" s="33" customFormat="1">
      <c r="A4053" s="435"/>
      <c r="B4053" s="54"/>
      <c r="C4053" s="217"/>
      <c r="D4053" s="217"/>
      <c r="E4053" s="203"/>
      <c r="F4053" s="149"/>
      <c r="G4053" s="22"/>
      <c r="H4053" s="458"/>
      <c r="I4053" s="434"/>
      <c r="J4053" s="435"/>
      <c r="K4053" s="434"/>
    </row>
    <row r="4054" spans="1:11" s="33" customFormat="1">
      <c r="A4054" s="443"/>
      <c r="B4054" s="54" t="s">
        <v>242</v>
      </c>
      <c r="C4054" s="217"/>
      <c r="D4054" s="217">
        <v>21.6</v>
      </c>
      <c r="E4054" s="203"/>
      <c r="F4054" s="149">
        <f t="shared" ref="F4054:F4061" si="533">D4054+E4054</f>
        <v>21.6</v>
      </c>
      <c r="G4054" s="22" t="s">
        <v>8161</v>
      </c>
      <c r="H4054" s="458" t="str">
        <f t="shared" ref="H4054:H4061" si="534">B4054</f>
        <v>mMCM-C10/3-MW</v>
      </c>
      <c r="I4054" s="434"/>
      <c r="J4054" s="443" t="s">
        <v>1798</v>
      </c>
      <c r="K4054" s="434"/>
    </row>
    <row r="4055" spans="1:11" s="33" customFormat="1">
      <c r="A4055" s="443"/>
      <c r="B4055" s="54" t="s">
        <v>243</v>
      </c>
      <c r="C4055" s="217"/>
      <c r="D4055" s="217">
        <v>21.6</v>
      </c>
      <c r="E4055" s="203"/>
      <c r="F4055" s="149">
        <f t="shared" si="533"/>
        <v>21.6</v>
      </c>
      <c r="G4055" s="22" t="s">
        <v>8162</v>
      </c>
      <c r="H4055" s="458" t="str">
        <f t="shared" si="534"/>
        <v>mMCM-C16/3-MW</v>
      </c>
      <c r="I4055" s="434"/>
      <c r="J4055" s="443" t="s">
        <v>1798</v>
      </c>
      <c r="K4055" s="434"/>
    </row>
    <row r="4056" spans="1:11">
      <c r="A4056" s="443"/>
      <c r="B4056" s="54" t="s">
        <v>244</v>
      </c>
      <c r="C4056" s="217"/>
      <c r="D4056" s="217">
        <v>21.6</v>
      </c>
      <c r="E4056" s="203"/>
      <c r="F4056" s="149">
        <f t="shared" si="533"/>
        <v>21.6</v>
      </c>
      <c r="G4056" s="22" t="s">
        <v>8163</v>
      </c>
      <c r="H4056" s="458" t="str">
        <f t="shared" si="534"/>
        <v>mMCM-C20/3-MW</v>
      </c>
      <c r="I4056" s="434"/>
      <c r="J4056" s="443" t="s">
        <v>1798</v>
      </c>
      <c r="K4056" s="434"/>
    </row>
    <row r="4057" spans="1:11">
      <c r="A4057" s="443"/>
      <c r="B4057" s="54" t="s">
        <v>245</v>
      </c>
      <c r="C4057" s="217"/>
      <c r="D4057" s="217">
        <v>21.6</v>
      </c>
      <c r="E4057" s="203"/>
      <c r="F4057" s="149">
        <f t="shared" si="533"/>
        <v>21.6</v>
      </c>
      <c r="G4057" s="22" t="s">
        <v>8164</v>
      </c>
      <c r="H4057" s="458" t="str">
        <f t="shared" si="534"/>
        <v>mMCM-C25/3-MW</v>
      </c>
      <c r="I4057" s="434"/>
      <c r="J4057" s="443" t="s">
        <v>1798</v>
      </c>
      <c r="K4057" s="434"/>
    </row>
    <row r="4058" spans="1:11" s="317" customFormat="1">
      <c r="A4058" s="443"/>
      <c r="B4058" s="54" t="s">
        <v>246</v>
      </c>
      <c r="C4058" s="217"/>
      <c r="D4058" s="217">
        <v>21.6</v>
      </c>
      <c r="E4058" s="203"/>
      <c r="F4058" s="149">
        <f t="shared" si="533"/>
        <v>21.6</v>
      </c>
      <c r="G4058" s="22" t="s">
        <v>8165</v>
      </c>
      <c r="H4058" s="458" t="str">
        <f t="shared" si="534"/>
        <v>mMCM-C32/3-MW</v>
      </c>
      <c r="I4058" s="434"/>
      <c r="J4058" s="443" t="s">
        <v>1798</v>
      </c>
      <c r="K4058" s="434"/>
    </row>
    <row r="4059" spans="1:11" s="33" customFormat="1">
      <c r="A4059" s="443"/>
      <c r="B4059" s="54" t="s">
        <v>247</v>
      </c>
      <c r="C4059" s="217"/>
      <c r="D4059" s="217">
        <v>23.4</v>
      </c>
      <c r="E4059" s="203"/>
      <c r="F4059" s="149">
        <f t="shared" si="533"/>
        <v>23.4</v>
      </c>
      <c r="G4059" s="22" t="s">
        <v>8166</v>
      </c>
      <c r="H4059" s="458" t="str">
        <f t="shared" si="534"/>
        <v>mMCM-C40/3-MW</v>
      </c>
      <c r="I4059" s="434"/>
      <c r="J4059" s="443" t="s">
        <v>1798</v>
      </c>
      <c r="K4059" s="434"/>
    </row>
    <row r="4060" spans="1:11" s="33" customFormat="1">
      <c r="A4060" s="443"/>
      <c r="B4060" s="54" t="s">
        <v>248</v>
      </c>
      <c r="C4060" s="217"/>
      <c r="D4060" s="217">
        <v>36.700000000000003</v>
      </c>
      <c r="E4060" s="203"/>
      <c r="F4060" s="149">
        <f t="shared" si="533"/>
        <v>36.700000000000003</v>
      </c>
      <c r="G4060" s="22" t="s">
        <v>8167</v>
      </c>
      <c r="H4060" s="458" t="str">
        <f t="shared" si="534"/>
        <v>mMCM-C50/3-MW</v>
      </c>
      <c r="I4060" s="434"/>
      <c r="J4060" s="443" t="s">
        <v>1798</v>
      </c>
      <c r="K4060" s="434"/>
    </row>
    <row r="4061" spans="1:11" s="33" customFormat="1">
      <c r="A4061" s="443"/>
      <c r="B4061" s="54" t="s">
        <v>249</v>
      </c>
      <c r="C4061" s="217"/>
      <c r="D4061" s="217">
        <v>36.700000000000003</v>
      </c>
      <c r="E4061" s="203"/>
      <c r="F4061" s="149">
        <f t="shared" si="533"/>
        <v>36.700000000000003</v>
      </c>
      <c r="G4061" s="22" t="s">
        <v>8168</v>
      </c>
      <c r="H4061" s="458" t="str">
        <f t="shared" si="534"/>
        <v>mMCM-C63/3-MW</v>
      </c>
      <c r="I4061" s="434"/>
      <c r="J4061" s="443" t="s">
        <v>1798</v>
      </c>
      <c r="K4061" s="434"/>
    </row>
    <row r="4062" spans="1:11" s="33" customFormat="1">
      <c r="A4062" s="435"/>
      <c r="B4062" s="434"/>
      <c r="C4062" s="217"/>
      <c r="D4062" s="217"/>
      <c r="E4062" s="438"/>
      <c r="F4062" s="439"/>
      <c r="G4062" s="434"/>
      <c r="H4062" s="458"/>
      <c r="I4062" s="434"/>
      <c r="J4062" s="435"/>
      <c r="K4062" s="434"/>
    </row>
    <row r="4063" spans="1:11" s="33" customFormat="1">
      <c r="A4063" s="435"/>
      <c r="B4063" s="434"/>
      <c r="C4063" s="217"/>
      <c r="D4063" s="217"/>
      <c r="E4063" s="438"/>
      <c r="F4063" s="439"/>
      <c r="G4063" s="434"/>
      <c r="H4063" s="1648"/>
      <c r="I4063" s="434"/>
      <c r="J4063" s="435"/>
      <c r="K4063" s="434"/>
    </row>
    <row r="4064" spans="1:11" s="33" customFormat="1">
      <c r="A4064" s="435"/>
      <c r="B4064" s="53" t="s">
        <v>5037</v>
      </c>
      <c r="C4064" s="217"/>
      <c r="D4064" s="217"/>
      <c r="E4064" s="203"/>
      <c r="F4064" s="149"/>
      <c r="G4064" s="434"/>
      <c r="H4064" s="458"/>
      <c r="I4064" s="434"/>
      <c r="J4064" s="435"/>
      <c r="K4064" s="434"/>
    </row>
    <row r="4065" spans="1:11" s="33" customFormat="1">
      <c r="A4065" s="443"/>
      <c r="B4065" s="54" t="s">
        <v>5038</v>
      </c>
      <c r="C4065" s="217"/>
      <c r="D4065" s="217">
        <v>5.3</v>
      </c>
      <c r="E4065" s="203"/>
      <c r="F4065" s="149">
        <f>D4065+E4065</f>
        <v>5.3</v>
      </c>
      <c r="G4065" s="22" t="s">
        <v>8169</v>
      </c>
      <c r="H4065" s="458" t="str">
        <f>B4065</f>
        <v>ER-C16/1-MW</v>
      </c>
      <c r="I4065" s="434"/>
      <c r="J4065" s="443" t="s">
        <v>1798</v>
      </c>
      <c r="K4065" s="434"/>
    </row>
    <row r="4066" spans="1:11" s="33" customFormat="1">
      <c r="A4066" s="443"/>
      <c r="B4066" s="54" t="s">
        <v>5039</v>
      </c>
      <c r="C4066" s="217"/>
      <c r="D4066" s="217">
        <v>5.3</v>
      </c>
      <c r="E4066" s="203"/>
      <c r="F4066" s="149">
        <f>D4066+E4066</f>
        <v>5.3</v>
      </c>
      <c r="G4066" s="22" t="s">
        <v>8170</v>
      </c>
      <c r="H4066" s="458" t="str">
        <f>B4066</f>
        <v>ER-C20/1-MW</v>
      </c>
      <c r="I4066" s="434"/>
      <c r="J4066" s="443" t="s">
        <v>1798</v>
      </c>
      <c r="K4066" s="434"/>
    </row>
    <row r="4067" spans="1:11" s="33" customFormat="1">
      <c r="A4067" s="443"/>
      <c r="B4067" s="54" t="s">
        <v>5919</v>
      </c>
      <c r="C4067" s="217"/>
      <c r="D4067" s="217">
        <v>5.9</v>
      </c>
      <c r="E4067" s="203"/>
      <c r="F4067" s="149">
        <f>D4067+E4067</f>
        <v>5.9</v>
      </c>
      <c r="G4067" s="22" t="s">
        <v>8171</v>
      </c>
      <c r="H4067" s="458" t="str">
        <f>B4067</f>
        <v>ER-C32/1-MW</v>
      </c>
      <c r="I4067" s="434"/>
      <c r="J4067" s="443" t="s">
        <v>1798</v>
      </c>
      <c r="K4067" s="434"/>
    </row>
    <row r="4068" spans="1:11" s="33" customFormat="1">
      <c r="A4068" s="435"/>
      <c r="B4068" s="54"/>
      <c r="C4068" s="217"/>
      <c r="D4068" s="217"/>
      <c r="E4068" s="203"/>
      <c r="F4068" s="149"/>
      <c r="G4068" s="22"/>
      <c r="H4068" s="458"/>
      <c r="I4068" s="434"/>
      <c r="J4068" s="435"/>
      <c r="K4068" s="434"/>
    </row>
    <row r="4069" spans="1:11">
      <c r="A4069" s="443"/>
      <c r="B4069" s="54" t="s">
        <v>5920</v>
      </c>
      <c r="C4069" s="217"/>
      <c r="D4069" s="217">
        <v>13.8</v>
      </c>
      <c r="E4069" s="203"/>
      <c r="F4069" s="149">
        <f>D4069+E4069</f>
        <v>13.8</v>
      </c>
      <c r="G4069" s="22" t="s">
        <v>8172</v>
      </c>
      <c r="H4069" s="458" t="str">
        <f>B4069</f>
        <v>ER-C16/2-MW</v>
      </c>
      <c r="I4069" s="434"/>
      <c r="J4069" s="443" t="s">
        <v>1798</v>
      </c>
      <c r="K4069" s="33"/>
    </row>
    <row r="4070" spans="1:11" s="33" customFormat="1">
      <c r="A4070" s="443"/>
      <c r="B4070" s="54" t="s">
        <v>5921</v>
      </c>
      <c r="C4070" s="217"/>
      <c r="D4070" s="217">
        <v>13.8</v>
      </c>
      <c r="E4070" s="203"/>
      <c r="F4070" s="149">
        <f>D4070+E4070</f>
        <v>13.8</v>
      </c>
      <c r="G4070" s="22" t="s">
        <v>8173</v>
      </c>
      <c r="H4070" s="458" t="str">
        <f>B4070</f>
        <v>ER-C20/2-MW</v>
      </c>
      <c r="I4070" s="434"/>
      <c r="J4070" s="443" t="s">
        <v>1798</v>
      </c>
    </row>
    <row r="4071" spans="1:11" s="33" customFormat="1">
      <c r="A4071" s="443"/>
      <c r="B4071" s="54" t="s">
        <v>5922</v>
      </c>
      <c r="C4071" s="217"/>
      <c r="D4071" s="217">
        <v>15</v>
      </c>
      <c r="E4071" s="203"/>
      <c r="F4071" s="149">
        <f>D4071+E4071</f>
        <v>15</v>
      </c>
      <c r="G4071" s="22" t="s">
        <v>8174</v>
      </c>
      <c r="H4071" s="458" t="str">
        <f>B4071</f>
        <v>ER-C32/2-MW</v>
      </c>
      <c r="I4071" s="434"/>
      <c r="J4071" s="443" t="s">
        <v>1798</v>
      </c>
    </row>
    <row r="4072" spans="1:11" s="33" customFormat="1">
      <c r="A4072" s="435"/>
      <c r="B4072" s="54"/>
      <c r="C4072" s="217"/>
      <c r="D4072" s="217"/>
      <c r="E4072" s="203"/>
      <c r="F4072" s="149"/>
      <c r="G4072" s="22"/>
      <c r="H4072" s="458"/>
      <c r="I4072" s="434"/>
      <c r="J4072" s="435"/>
      <c r="K4072" s="434"/>
    </row>
    <row r="4073" spans="1:11">
      <c r="A4073" s="443"/>
      <c r="B4073" s="54" t="s">
        <v>5040</v>
      </c>
      <c r="C4073" s="217"/>
      <c r="D4073" s="217">
        <v>21.6</v>
      </c>
      <c r="E4073" s="203"/>
      <c r="F4073" s="149">
        <f>D4073+E4073</f>
        <v>21.6</v>
      </c>
      <c r="G4073" s="22" t="s">
        <v>8175</v>
      </c>
      <c r="H4073" s="458" t="str">
        <f>B4073</f>
        <v>ER-C20/3-MW</v>
      </c>
      <c r="I4073" s="434"/>
      <c r="J4073" s="443" t="s">
        <v>1798</v>
      </c>
      <c r="K4073" s="434"/>
    </row>
    <row r="4074" spans="1:11" s="33" customFormat="1">
      <c r="A4074" s="435"/>
      <c r="B4074" s="434"/>
      <c r="C4074" s="217"/>
      <c r="D4074" s="217"/>
      <c r="E4074" s="438"/>
      <c r="F4074" s="439"/>
      <c r="G4074" s="434"/>
      <c r="H4074" s="458"/>
      <c r="I4074" s="434"/>
      <c r="J4074" s="435"/>
      <c r="K4074" s="434"/>
    </row>
    <row r="4075" spans="1:11" s="33" customFormat="1">
      <c r="A4075" s="435"/>
      <c r="B4075" s="53" t="s">
        <v>454</v>
      </c>
      <c r="C4075" s="217"/>
      <c r="D4075" s="217"/>
      <c r="E4075" s="203"/>
      <c r="F4075" s="149"/>
      <c r="G4075" s="434"/>
      <c r="H4075" s="458"/>
      <c r="I4075" s="434"/>
      <c r="J4075" s="435"/>
      <c r="K4075" s="434"/>
    </row>
    <row r="4076" spans="1:11" s="33" customFormat="1">
      <c r="A4076" s="443"/>
      <c r="B4076" s="54" t="s">
        <v>471</v>
      </c>
      <c r="C4076" s="217"/>
      <c r="D4076" s="217">
        <v>4.3</v>
      </c>
      <c r="E4076" s="203"/>
      <c r="F4076" s="149">
        <f t="shared" ref="F4076:F4083" si="535">D4076+E4076</f>
        <v>4.3</v>
      </c>
      <c r="G4076" s="22" t="s">
        <v>8176</v>
      </c>
      <c r="H4076" s="458" t="str">
        <f t="shared" ref="H4076:H4083" si="536">B4076</f>
        <v>mMC6-C10/1-MW</v>
      </c>
      <c r="I4076" s="434"/>
      <c r="J4076" s="443" t="s">
        <v>1798</v>
      </c>
      <c r="K4076" s="434"/>
    </row>
    <row r="4077" spans="1:11" s="33" customFormat="1">
      <c r="A4077" s="443"/>
      <c r="B4077" s="54" t="s">
        <v>472</v>
      </c>
      <c r="C4077" s="217"/>
      <c r="D4077" s="217">
        <v>4.3</v>
      </c>
      <c r="E4077" s="203"/>
      <c r="F4077" s="149">
        <f t="shared" si="535"/>
        <v>4.3</v>
      </c>
      <c r="G4077" s="22" t="s">
        <v>8177</v>
      </c>
      <c r="H4077" s="458" t="str">
        <f t="shared" si="536"/>
        <v>mMC6-C16/1-MW</v>
      </c>
      <c r="I4077" s="434"/>
      <c r="J4077" s="443" t="s">
        <v>1798</v>
      </c>
      <c r="K4077" s="434"/>
    </row>
    <row r="4078" spans="1:11" s="33" customFormat="1">
      <c r="A4078" s="443"/>
      <c r="B4078" s="54" t="s">
        <v>473</v>
      </c>
      <c r="C4078" s="217"/>
      <c r="D4078" s="217">
        <v>4.3</v>
      </c>
      <c r="E4078" s="203"/>
      <c r="F4078" s="149">
        <f t="shared" si="535"/>
        <v>4.3</v>
      </c>
      <c r="G4078" s="22" t="s">
        <v>8178</v>
      </c>
      <c r="H4078" s="458" t="str">
        <f t="shared" si="536"/>
        <v>mMC6-C20/1-MW</v>
      </c>
      <c r="I4078" s="434"/>
      <c r="J4078" s="443" t="s">
        <v>1798</v>
      </c>
      <c r="K4078" s="434"/>
    </row>
    <row r="4079" spans="1:11" s="33" customFormat="1">
      <c r="A4079" s="443"/>
      <c r="B4079" s="54" t="s">
        <v>474</v>
      </c>
      <c r="C4079" s="217"/>
      <c r="D4079" s="217">
        <v>5.5</v>
      </c>
      <c r="E4079" s="203"/>
      <c r="F4079" s="149">
        <f t="shared" si="535"/>
        <v>5.5</v>
      </c>
      <c r="G4079" s="22" t="s">
        <v>8179</v>
      </c>
      <c r="H4079" s="458" t="str">
        <f t="shared" si="536"/>
        <v>mMC6-C25/1-MW</v>
      </c>
      <c r="I4079" s="434"/>
      <c r="J4079" s="443" t="s">
        <v>1798</v>
      </c>
      <c r="K4079" s="434"/>
    </row>
    <row r="4080" spans="1:11" s="33" customFormat="1">
      <c r="A4080" s="443"/>
      <c r="B4080" s="54" t="s">
        <v>475</v>
      </c>
      <c r="C4080" s="217"/>
      <c r="D4080" s="217">
        <v>5.5</v>
      </c>
      <c r="E4080" s="203"/>
      <c r="F4080" s="149">
        <f t="shared" si="535"/>
        <v>5.5</v>
      </c>
      <c r="G4080" s="22" t="s">
        <v>8180</v>
      </c>
      <c r="H4080" s="458" t="str">
        <f t="shared" si="536"/>
        <v>mMC6-C32/1-MW</v>
      </c>
      <c r="I4080" s="434"/>
      <c r="J4080" s="443" t="s">
        <v>1798</v>
      </c>
      <c r="K4080" s="434"/>
    </row>
    <row r="4081" spans="1:11" s="33" customFormat="1">
      <c r="A4081" s="443"/>
      <c r="B4081" s="54" t="s">
        <v>476</v>
      </c>
      <c r="C4081" s="217"/>
      <c r="D4081" s="217">
        <v>6.3</v>
      </c>
      <c r="E4081" s="203"/>
      <c r="F4081" s="149">
        <f t="shared" si="535"/>
        <v>6.3</v>
      </c>
      <c r="G4081" s="22" t="s">
        <v>8181</v>
      </c>
      <c r="H4081" s="458" t="str">
        <f t="shared" si="536"/>
        <v>mMC6-C40/1-MW</v>
      </c>
      <c r="I4081" s="434"/>
      <c r="J4081" s="443" t="s">
        <v>1798</v>
      </c>
      <c r="K4081" s="434"/>
    </row>
    <row r="4082" spans="1:11" s="33" customFormat="1">
      <c r="A4082" s="443"/>
      <c r="B4082" s="54" t="s">
        <v>477</v>
      </c>
      <c r="C4082" s="217"/>
      <c r="D4082" s="217">
        <v>10.7</v>
      </c>
      <c r="E4082" s="203"/>
      <c r="F4082" s="149">
        <f t="shared" si="535"/>
        <v>10.7</v>
      </c>
      <c r="G4082" s="22" t="s">
        <v>8182</v>
      </c>
      <c r="H4082" s="458" t="str">
        <f t="shared" si="536"/>
        <v>mMC6-C50/1-MW</v>
      </c>
      <c r="I4082" s="434"/>
      <c r="J4082" s="443" t="s">
        <v>1798</v>
      </c>
      <c r="K4082" s="434"/>
    </row>
    <row r="4083" spans="1:11" s="33" customFormat="1">
      <c r="A4083" s="443"/>
      <c r="B4083" s="54" t="s">
        <v>478</v>
      </c>
      <c r="C4083" s="217"/>
      <c r="D4083" s="217">
        <v>10.7</v>
      </c>
      <c r="E4083" s="203"/>
      <c r="F4083" s="149">
        <f t="shared" si="535"/>
        <v>10.7</v>
      </c>
      <c r="G4083" s="22" t="s">
        <v>8183</v>
      </c>
      <c r="H4083" s="458" t="str">
        <f t="shared" si="536"/>
        <v>mMC6-C63/1-MW</v>
      </c>
      <c r="I4083" s="434"/>
      <c r="J4083" s="443" t="s">
        <v>1798</v>
      </c>
      <c r="K4083" s="434"/>
    </row>
    <row r="4084" spans="1:11" s="33" customFormat="1">
      <c r="A4084" s="435"/>
      <c r="B4084" s="54"/>
      <c r="C4084" s="217"/>
      <c r="D4084" s="217"/>
      <c r="E4084" s="203"/>
      <c r="F4084" s="149"/>
      <c r="G4084" s="22"/>
      <c r="H4084" s="458"/>
      <c r="I4084" s="434"/>
      <c r="J4084" s="435"/>
      <c r="K4084" s="434"/>
    </row>
    <row r="4085" spans="1:11" s="33" customFormat="1">
      <c r="A4085" s="443"/>
      <c r="B4085" s="54" t="s">
        <v>479</v>
      </c>
      <c r="C4085" s="217"/>
      <c r="D4085" s="217">
        <v>9</v>
      </c>
      <c r="E4085" s="203"/>
      <c r="F4085" s="149">
        <f t="shared" ref="F4085:F4092" si="537">D4085+E4085</f>
        <v>9</v>
      </c>
      <c r="G4085" s="22" t="s">
        <v>8184</v>
      </c>
      <c r="H4085" s="458" t="str">
        <f t="shared" ref="H4085:H4092" si="538">B4085</f>
        <v>mMC6-C10/2-MW</v>
      </c>
      <c r="I4085" s="434"/>
      <c r="J4085" s="443" t="s">
        <v>1798</v>
      </c>
      <c r="K4085" s="434"/>
    </row>
    <row r="4086" spans="1:11" s="33" customFormat="1">
      <c r="A4086" s="443"/>
      <c r="B4086" s="54" t="s">
        <v>480</v>
      </c>
      <c r="C4086" s="217"/>
      <c r="D4086" s="217">
        <v>9</v>
      </c>
      <c r="E4086" s="203"/>
      <c r="F4086" s="149">
        <f t="shared" si="537"/>
        <v>9</v>
      </c>
      <c r="G4086" s="22" t="s">
        <v>8185</v>
      </c>
      <c r="H4086" s="458" t="str">
        <f t="shared" si="538"/>
        <v>mMC6-C16/2-MW</v>
      </c>
      <c r="I4086" s="434"/>
      <c r="J4086" s="443" t="s">
        <v>1798</v>
      </c>
      <c r="K4086" s="434"/>
    </row>
    <row r="4087" spans="1:11" s="33" customFormat="1">
      <c r="A4087" s="443"/>
      <c r="B4087" s="54" t="s">
        <v>481</v>
      </c>
      <c r="C4087" s="217"/>
      <c r="D4087" s="217">
        <v>9</v>
      </c>
      <c r="E4087" s="203"/>
      <c r="F4087" s="149">
        <f t="shared" si="537"/>
        <v>9</v>
      </c>
      <c r="G4087" s="22" t="s">
        <v>8186</v>
      </c>
      <c r="H4087" s="458" t="str">
        <f t="shared" si="538"/>
        <v>mMC6-C20/2-MW</v>
      </c>
      <c r="I4087" s="434"/>
      <c r="J4087" s="443" t="s">
        <v>1798</v>
      </c>
      <c r="K4087" s="434"/>
    </row>
    <row r="4088" spans="1:11" s="33" customFormat="1">
      <c r="A4088" s="443"/>
      <c r="B4088" s="54" t="s">
        <v>482</v>
      </c>
      <c r="C4088" s="217"/>
      <c r="D4088" s="217">
        <v>10.3</v>
      </c>
      <c r="E4088" s="203"/>
      <c r="F4088" s="149">
        <f t="shared" si="537"/>
        <v>10.3</v>
      </c>
      <c r="G4088" s="22" t="s">
        <v>8187</v>
      </c>
      <c r="H4088" s="458" t="str">
        <f t="shared" si="538"/>
        <v>mMC6-C25/2-MW</v>
      </c>
      <c r="I4088" s="434"/>
      <c r="J4088" s="443" t="s">
        <v>1798</v>
      </c>
      <c r="K4088" s="434"/>
    </row>
    <row r="4089" spans="1:11" s="33" customFormat="1">
      <c r="A4089" s="443"/>
      <c r="B4089" s="54" t="s">
        <v>483</v>
      </c>
      <c r="C4089" s="217"/>
      <c r="D4089" s="217">
        <v>10.3</v>
      </c>
      <c r="E4089" s="203"/>
      <c r="F4089" s="149">
        <f t="shared" si="537"/>
        <v>10.3</v>
      </c>
      <c r="G4089" s="22" t="s">
        <v>8188</v>
      </c>
      <c r="H4089" s="458" t="str">
        <f t="shared" si="538"/>
        <v>mMC6-C32/2-MW</v>
      </c>
      <c r="I4089" s="434"/>
      <c r="J4089" s="443" t="s">
        <v>1798</v>
      </c>
      <c r="K4089" s="434"/>
    </row>
    <row r="4090" spans="1:11" s="33" customFormat="1">
      <c r="A4090" s="443"/>
      <c r="B4090" s="54" t="s">
        <v>484</v>
      </c>
      <c r="C4090" s="217"/>
      <c r="D4090" s="217">
        <v>12.9</v>
      </c>
      <c r="E4090" s="203"/>
      <c r="F4090" s="149">
        <f t="shared" si="537"/>
        <v>12.9</v>
      </c>
      <c r="G4090" s="22" t="s">
        <v>8189</v>
      </c>
      <c r="H4090" s="458" t="str">
        <f t="shared" si="538"/>
        <v>mMC6-C40/2-MW</v>
      </c>
      <c r="I4090" s="434"/>
      <c r="J4090" s="443" t="s">
        <v>1798</v>
      </c>
      <c r="K4090" s="434"/>
    </row>
    <row r="4091" spans="1:11" s="33" customFormat="1">
      <c r="A4091" s="443"/>
      <c r="B4091" s="54" t="s">
        <v>485</v>
      </c>
      <c r="C4091" s="217"/>
      <c r="D4091" s="217">
        <v>19.600000000000001</v>
      </c>
      <c r="E4091" s="203"/>
      <c r="F4091" s="149">
        <f t="shared" si="537"/>
        <v>19.600000000000001</v>
      </c>
      <c r="G4091" s="22" t="s">
        <v>8190</v>
      </c>
      <c r="H4091" s="458" t="str">
        <f t="shared" si="538"/>
        <v>mMC6-C50/2-MW</v>
      </c>
      <c r="I4091" s="434"/>
      <c r="J4091" s="443" t="s">
        <v>1798</v>
      </c>
      <c r="K4091" s="434"/>
    </row>
    <row r="4092" spans="1:11" s="33" customFormat="1">
      <c r="A4092" s="443"/>
      <c r="B4092" s="54" t="s">
        <v>486</v>
      </c>
      <c r="C4092" s="217"/>
      <c r="D4092" s="217">
        <v>21.1</v>
      </c>
      <c r="E4092" s="203"/>
      <c r="F4092" s="149">
        <f t="shared" si="537"/>
        <v>21.1</v>
      </c>
      <c r="G4092" s="22" t="s">
        <v>8191</v>
      </c>
      <c r="H4092" s="458" t="str">
        <f t="shared" si="538"/>
        <v>mMC6-C63/2-MW</v>
      </c>
      <c r="I4092" s="434"/>
      <c r="J4092" s="443" t="s">
        <v>1798</v>
      </c>
      <c r="K4092" s="434"/>
    </row>
    <row r="4093" spans="1:11" s="33" customFormat="1">
      <c r="A4093" s="435"/>
      <c r="B4093" s="54"/>
      <c r="C4093" s="217"/>
      <c r="D4093" s="217"/>
      <c r="E4093" s="203"/>
      <c r="F4093" s="149"/>
      <c r="G4093" s="22"/>
      <c r="H4093" s="458"/>
      <c r="I4093" s="434"/>
      <c r="J4093" s="435"/>
      <c r="K4093" s="434"/>
    </row>
    <row r="4094" spans="1:11" s="33" customFormat="1">
      <c r="A4094" s="443"/>
      <c r="B4094" s="54" t="s">
        <v>487</v>
      </c>
      <c r="C4094" s="217"/>
      <c r="D4094" s="217">
        <v>28.6</v>
      </c>
      <c r="E4094" s="203"/>
      <c r="F4094" s="149">
        <f t="shared" ref="F4094:F4101" si="539">D4094+E4094</f>
        <v>28.6</v>
      </c>
      <c r="G4094" s="22" t="s">
        <v>8192</v>
      </c>
      <c r="H4094" s="458" t="str">
        <f t="shared" ref="H4094:H4101" si="540">B4094</f>
        <v>mMC6-C10/3-MW</v>
      </c>
      <c r="I4094" s="434"/>
      <c r="J4094" s="443" t="s">
        <v>1798</v>
      </c>
      <c r="K4094" s="434"/>
    </row>
    <row r="4095" spans="1:11" s="33" customFormat="1">
      <c r="A4095" s="443"/>
      <c r="B4095" s="54" t="s">
        <v>488</v>
      </c>
      <c r="C4095" s="217"/>
      <c r="D4095" s="217">
        <v>13.2</v>
      </c>
      <c r="E4095" s="203"/>
      <c r="F4095" s="149">
        <f t="shared" si="539"/>
        <v>13.2</v>
      </c>
      <c r="G4095" s="22" t="s">
        <v>8193</v>
      </c>
      <c r="H4095" s="458" t="str">
        <f t="shared" si="540"/>
        <v>mMC6-C16/3-MW</v>
      </c>
      <c r="I4095" s="434"/>
      <c r="J4095" s="443" t="s">
        <v>1798</v>
      </c>
      <c r="K4095" s="434"/>
    </row>
    <row r="4096" spans="1:11" s="33" customFormat="1">
      <c r="A4096" s="443"/>
      <c r="B4096" s="54" t="s">
        <v>489</v>
      </c>
      <c r="C4096" s="217"/>
      <c r="D4096" s="217">
        <v>13.2</v>
      </c>
      <c r="E4096" s="203"/>
      <c r="F4096" s="149">
        <f t="shared" si="539"/>
        <v>13.2</v>
      </c>
      <c r="G4096" s="22" t="s">
        <v>8194</v>
      </c>
      <c r="H4096" s="458" t="str">
        <f t="shared" si="540"/>
        <v>mMC6-C20/3-MW</v>
      </c>
      <c r="I4096" s="434"/>
      <c r="J4096" s="443" t="s">
        <v>1798</v>
      </c>
      <c r="K4096" s="434"/>
    </row>
    <row r="4097" spans="1:11" s="33" customFormat="1">
      <c r="A4097" s="443"/>
      <c r="B4097" s="54" t="s">
        <v>490</v>
      </c>
      <c r="C4097" s="217"/>
      <c r="D4097" s="217">
        <v>16.899999999999999</v>
      </c>
      <c r="E4097" s="203"/>
      <c r="F4097" s="149">
        <f t="shared" si="539"/>
        <v>16.899999999999999</v>
      </c>
      <c r="G4097" s="22" t="s">
        <v>8195</v>
      </c>
      <c r="H4097" s="458" t="str">
        <f t="shared" si="540"/>
        <v>mMC6-C25/3-MW</v>
      </c>
      <c r="I4097" s="434"/>
      <c r="J4097" s="443" t="s">
        <v>1798</v>
      </c>
      <c r="K4097" s="434"/>
    </row>
    <row r="4098" spans="1:11" s="33" customFormat="1">
      <c r="A4098" s="443"/>
      <c r="B4098" s="54" t="s">
        <v>491</v>
      </c>
      <c r="C4098" s="217"/>
      <c r="D4098" s="217">
        <v>16.899999999999999</v>
      </c>
      <c r="E4098" s="203"/>
      <c r="F4098" s="149">
        <f t="shared" si="539"/>
        <v>16.899999999999999</v>
      </c>
      <c r="G4098" s="22" t="s">
        <v>8196</v>
      </c>
      <c r="H4098" s="458" t="str">
        <f t="shared" si="540"/>
        <v>mMC6-C32/3-MW</v>
      </c>
      <c r="I4098" s="434"/>
      <c r="J4098" s="443" t="s">
        <v>1798</v>
      </c>
      <c r="K4098" s="434"/>
    </row>
    <row r="4099" spans="1:11" s="33" customFormat="1">
      <c r="A4099" s="443"/>
      <c r="B4099" s="54" t="s">
        <v>492</v>
      </c>
      <c r="C4099" s="217"/>
      <c r="D4099" s="217">
        <v>19.2</v>
      </c>
      <c r="E4099" s="203"/>
      <c r="F4099" s="149">
        <f t="shared" si="539"/>
        <v>19.2</v>
      </c>
      <c r="G4099" s="22" t="s">
        <v>8197</v>
      </c>
      <c r="H4099" s="458" t="str">
        <f t="shared" si="540"/>
        <v>mMC6-C40/3-MW</v>
      </c>
      <c r="I4099" s="434"/>
      <c r="J4099" s="443" t="s">
        <v>1798</v>
      </c>
      <c r="K4099" s="434"/>
    </row>
    <row r="4100" spans="1:11" s="33" customFormat="1">
      <c r="A4100" s="443"/>
      <c r="B4100" s="54" t="s">
        <v>493</v>
      </c>
      <c r="C4100" s="217"/>
      <c r="D4100" s="217">
        <v>30.8</v>
      </c>
      <c r="E4100" s="203"/>
      <c r="F4100" s="149">
        <f t="shared" si="539"/>
        <v>30.8</v>
      </c>
      <c r="G4100" s="22" t="s">
        <v>8198</v>
      </c>
      <c r="H4100" s="458" t="str">
        <f t="shared" si="540"/>
        <v>mMC6-C50/3-MW</v>
      </c>
      <c r="I4100" s="434"/>
      <c r="J4100" s="443" t="s">
        <v>1798</v>
      </c>
      <c r="K4100" s="434"/>
    </row>
    <row r="4101" spans="1:11" s="33" customFormat="1">
      <c r="A4101" s="443"/>
      <c r="B4101" s="54" t="s">
        <v>494</v>
      </c>
      <c r="C4101" s="217"/>
      <c r="D4101" s="217">
        <v>33.700000000000003</v>
      </c>
      <c r="E4101" s="203"/>
      <c r="F4101" s="149">
        <f t="shared" si="539"/>
        <v>33.700000000000003</v>
      </c>
      <c r="G4101" s="22" t="s">
        <v>8199</v>
      </c>
      <c r="H4101" s="458" t="str">
        <f t="shared" si="540"/>
        <v>mMC6-C63/3-MW</v>
      </c>
      <c r="I4101" s="434"/>
      <c r="J4101" s="443" t="s">
        <v>1798</v>
      </c>
      <c r="K4101" s="434"/>
    </row>
    <row r="4102" spans="1:11" s="33" customFormat="1">
      <c r="A4102" s="435"/>
      <c r="B4102" s="434"/>
      <c r="C4102" s="217"/>
      <c r="D4102" s="217"/>
      <c r="E4102" s="438"/>
      <c r="F4102" s="439"/>
      <c r="G4102" s="434"/>
      <c r="H4102" s="458"/>
      <c r="I4102" s="434"/>
      <c r="J4102" s="435"/>
      <c r="K4102" s="434"/>
    </row>
    <row r="4103" spans="1:11" s="33" customFormat="1">
      <c r="A4103" s="435"/>
      <c r="B4103" s="434"/>
      <c r="C4103" s="217"/>
      <c r="D4103" s="217"/>
      <c r="E4103" s="438"/>
      <c r="F4103" s="439"/>
      <c r="G4103" s="434"/>
      <c r="H4103" s="458"/>
      <c r="I4103" s="434"/>
      <c r="J4103" s="435"/>
      <c r="K4103" s="434"/>
    </row>
    <row r="4104" spans="1:11" s="33" customFormat="1">
      <c r="A4104" s="435"/>
      <c r="B4104" s="53" t="s">
        <v>5923</v>
      </c>
      <c r="C4104" s="217"/>
      <c r="D4104" s="217"/>
      <c r="E4104" s="205"/>
      <c r="F4104" s="149"/>
      <c r="G4104" s="434"/>
      <c r="H4104" s="458"/>
      <c r="I4104" s="434"/>
      <c r="J4104" s="435"/>
      <c r="K4104" s="434"/>
    </row>
    <row r="4105" spans="1:11" s="33" customFormat="1">
      <c r="A4105" s="443"/>
      <c r="B4105" s="34" t="s">
        <v>5924</v>
      </c>
      <c r="C4105" s="217"/>
      <c r="D4105" s="217">
        <v>42.8</v>
      </c>
      <c r="E4105" s="203">
        <v>10</v>
      </c>
      <c r="F4105" s="149">
        <f>D4105+E4105</f>
        <v>52.8</v>
      </c>
      <c r="G4105" s="22" t="s">
        <v>8200</v>
      </c>
      <c r="H4105" s="458" t="str">
        <f>B4105</f>
        <v>mMCT-C80/1</v>
      </c>
      <c r="I4105" s="434"/>
      <c r="J4105" s="443" t="s">
        <v>1798</v>
      </c>
      <c r="K4105" s="434"/>
    </row>
    <row r="4106" spans="1:11" s="33" customFormat="1">
      <c r="A4106" s="443"/>
      <c r="B4106" s="34" t="s">
        <v>5925</v>
      </c>
      <c r="C4106" s="217"/>
      <c r="D4106" s="217">
        <v>42.8</v>
      </c>
      <c r="E4106" s="203">
        <v>10</v>
      </c>
      <c r="F4106" s="149">
        <f>D4106+E4106</f>
        <v>52.8</v>
      </c>
      <c r="G4106" s="22" t="s">
        <v>8201</v>
      </c>
      <c r="H4106" s="458" t="str">
        <f>B4106</f>
        <v>mMCT-C100/1</v>
      </c>
      <c r="I4106" s="434"/>
      <c r="J4106" s="443" t="s">
        <v>1798</v>
      </c>
      <c r="K4106" s="434"/>
    </row>
    <row r="4107" spans="1:11" s="33" customFormat="1">
      <c r="A4107" s="443"/>
      <c r="B4107" s="34" t="s">
        <v>5926</v>
      </c>
      <c r="C4107" s="217"/>
      <c r="D4107" s="217">
        <v>42.8</v>
      </c>
      <c r="E4107" s="203">
        <v>10</v>
      </c>
      <c r="F4107" s="149">
        <f>D4107+E4107</f>
        <v>52.8</v>
      </c>
      <c r="G4107" s="22" t="s">
        <v>8202</v>
      </c>
      <c r="H4107" s="458" t="str">
        <f>B4107</f>
        <v>mMCT-C125/1</v>
      </c>
      <c r="I4107" s="434"/>
      <c r="J4107" s="443" t="s">
        <v>1798</v>
      </c>
      <c r="K4107" s="434"/>
    </row>
    <row r="4108" spans="1:11" s="33" customFormat="1">
      <c r="A4108" s="443"/>
      <c r="B4108" s="34"/>
      <c r="C4108" s="217"/>
      <c r="D4108" s="217"/>
      <c r="E4108" s="203"/>
      <c r="F4108" s="149"/>
      <c r="G4108" s="22"/>
      <c r="H4108" s="458"/>
      <c r="I4108" s="434"/>
      <c r="J4108" s="443"/>
      <c r="K4108" s="434"/>
    </row>
    <row r="4109" spans="1:11" s="33" customFormat="1">
      <c r="A4109" s="443"/>
      <c r="B4109" s="34" t="s">
        <v>5927</v>
      </c>
      <c r="C4109" s="217"/>
      <c r="D4109" s="217">
        <v>78.8</v>
      </c>
      <c r="E4109" s="203">
        <v>10</v>
      </c>
      <c r="F4109" s="149">
        <f>D4109+E4109</f>
        <v>88.8</v>
      </c>
      <c r="G4109" s="22" t="s">
        <v>8203</v>
      </c>
      <c r="H4109" s="458" t="str">
        <f>B4109</f>
        <v>mMCT-C80/2</v>
      </c>
      <c r="I4109" s="434"/>
      <c r="J4109" s="443" t="s">
        <v>1798</v>
      </c>
      <c r="K4109" s="434"/>
    </row>
    <row r="4110" spans="1:11" s="33" customFormat="1">
      <c r="A4110" s="443"/>
      <c r="B4110" s="34" t="s">
        <v>5928</v>
      </c>
      <c r="C4110" s="217"/>
      <c r="D4110" s="217">
        <v>78.8</v>
      </c>
      <c r="E4110" s="203">
        <v>10</v>
      </c>
      <c r="F4110" s="149">
        <f>D4110+E4110</f>
        <v>88.8</v>
      </c>
      <c r="G4110" s="22" t="s">
        <v>8204</v>
      </c>
      <c r="H4110" s="458" t="str">
        <f>B4110</f>
        <v>mMCT-C100/2</v>
      </c>
      <c r="I4110" s="434"/>
      <c r="J4110" s="443" t="s">
        <v>1798</v>
      </c>
      <c r="K4110" s="434"/>
    </row>
    <row r="4111" spans="1:11" s="33" customFormat="1">
      <c r="A4111" s="443"/>
      <c r="B4111" s="34" t="s">
        <v>5929</v>
      </c>
      <c r="C4111" s="217"/>
      <c r="D4111" s="217">
        <v>78.8</v>
      </c>
      <c r="E4111" s="203">
        <v>10</v>
      </c>
      <c r="F4111" s="149">
        <f>D4111+E4111</f>
        <v>88.8</v>
      </c>
      <c r="G4111" s="22" t="s">
        <v>8205</v>
      </c>
      <c r="H4111" s="458" t="str">
        <f>B4111</f>
        <v>mMCT-C125/2</v>
      </c>
      <c r="I4111" s="434"/>
      <c r="J4111" s="443" t="s">
        <v>1798</v>
      </c>
      <c r="K4111" s="434"/>
    </row>
    <row r="4112" spans="1:11" s="33" customFormat="1">
      <c r="A4112" s="443"/>
      <c r="B4112" s="34"/>
      <c r="C4112" s="217"/>
      <c r="D4112" s="217"/>
      <c r="E4112" s="203"/>
      <c r="F4112" s="149"/>
      <c r="G4112" s="22"/>
      <c r="H4112" s="458"/>
      <c r="I4112" s="434"/>
      <c r="J4112" s="443"/>
      <c r="K4112" s="434"/>
    </row>
    <row r="4113" spans="1:11" s="33" customFormat="1">
      <c r="A4113" s="443"/>
      <c r="B4113" s="34" t="s">
        <v>5930</v>
      </c>
      <c r="C4113" s="217"/>
      <c r="D4113" s="217">
        <v>123.1</v>
      </c>
      <c r="E4113" s="203">
        <v>10</v>
      </c>
      <c r="F4113" s="149">
        <f>D4113+E4113</f>
        <v>133.1</v>
      </c>
      <c r="G4113" s="22" t="s">
        <v>8206</v>
      </c>
      <c r="H4113" s="458" t="str">
        <f>B4113</f>
        <v>mMCT-C80/3</v>
      </c>
      <c r="I4113" s="434"/>
      <c r="J4113" s="443" t="s">
        <v>1798</v>
      </c>
      <c r="K4113" s="434"/>
    </row>
    <row r="4114" spans="1:11" s="33" customFormat="1">
      <c r="A4114" s="443"/>
      <c r="B4114" s="34" t="s">
        <v>5931</v>
      </c>
      <c r="C4114" s="217"/>
      <c r="D4114" s="217">
        <v>123.1</v>
      </c>
      <c r="E4114" s="203">
        <v>10</v>
      </c>
      <c r="F4114" s="149">
        <f>D4114+E4114</f>
        <v>133.1</v>
      </c>
      <c r="G4114" s="22" t="s">
        <v>8207</v>
      </c>
      <c r="H4114" s="458" t="str">
        <f>B4114</f>
        <v>mMCT-C100/3</v>
      </c>
      <c r="I4114" s="434"/>
      <c r="J4114" s="443" t="s">
        <v>1798</v>
      </c>
      <c r="K4114" s="434"/>
    </row>
    <row r="4115" spans="1:11" s="33" customFormat="1">
      <c r="A4115" s="443"/>
      <c r="B4115" s="54" t="s">
        <v>5932</v>
      </c>
      <c r="C4115" s="217"/>
      <c r="D4115" s="217">
        <v>123.1</v>
      </c>
      <c r="E4115" s="203">
        <v>10</v>
      </c>
      <c r="F4115" s="149">
        <f>D4115+E4115</f>
        <v>133.1</v>
      </c>
      <c r="G4115" s="22" t="s">
        <v>8208</v>
      </c>
      <c r="H4115" s="458" t="str">
        <f>B4115</f>
        <v>mMCT-C125/3</v>
      </c>
      <c r="I4115" s="434"/>
      <c r="J4115" s="443" t="s">
        <v>1798</v>
      </c>
      <c r="K4115" s="434"/>
    </row>
    <row r="4116" spans="1:11" s="33" customFormat="1">
      <c r="A4116" s="435"/>
      <c r="B4116" s="54"/>
      <c r="C4116" s="217"/>
      <c r="D4116" s="217"/>
      <c r="E4116" s="203"/>
      <c r="F4116" s="149"/>
      <c r="G4116" s="434"/>
      <c r="H4116" s="1648"/>
      <c r="I4116" s="434"/>
      <c r="J4116" s="443"/>
      <c r="K4116" s="434"/>
    </row>
    <row r="4117" spans="1:11" s="33" customFormat="1">
      <c r="A4117" s="435"/>
      <c r="B4117" s="53" t="s">
        <v>381</v>
      </c>
      <c r="C4117" s="217"/>
      <c r="D4117" s="217"/>
      <c r="E4117" s="203"/>
      <c r="F4117" s="149"/>
      <c r="G4117" s="434"/>
      <c r="H4117" s="1648"/>
      <c r="I4117" s="434"/>
      <c r="J4117" s="443"/>
      <c r="K4117" s="434"/>
    </row>
    <row r="4118" spans="1:11" s="33" customFormat="1">
      <c r="A4118" s="443"/>
      <c r="B4118" s="54" t="s">
        <v>260</v>
      </c>
      <c r="C4118" s="217"/>
      <c r="D4118" s="217">
        <v>32.5</v>
      </c>
      <c r="E4118" s="203">
        <v>3</v>
      </c>
      <c r="F4118" s="149">
        <f>D4118+E4118</f>
        <v>35.5</v>
      </c>
      <c r="G4118" s="22" t="s">
        <v>8209</v>
      </c>
      <c r="H4118" s="458" t="str">
        <f>B4118</f>
        <v>mRCM-25/2/003-MW</v>
      </c>
      <c r="I4118" s="434"/>
      <c r="J4118" s="443" t="s">
        <v>1798</v>
      </c>
      <c r="K4118" s="434"/>
    </row>
    <row r="4119" spans="1:11" s="33" customFormat="1">
      <c r="A4119" s="443"/>
      <c r="B4119" s="54" t="s">
        <v>261</v>
      </c>
      <c r="C4119" s="217"/>
      <c r="D4119" s="217">
        <v>32.5</v>
      </c>
      <c r="E4119" s="203">
        <v>3</v>
      </c>
      <c r="F4119" s="149">
        <f>D4119+E4119</f>
        <v>35.5</v>
      </c>
      <c r="G4119" s="22" t="s">
        <v>8210</v>
      </c>
      <c r="H4119" s="458" t="str">
        <f>B4119</f>
        <v>mRCM-40/2/003-MW</v>
      </c>
      <c r="I4119" s="434"/>
      <c r="J4119" s="443" t="s">
        <v>1798</v>
      </c>
      <c r="K4119" s="434"/>
    </row>
    <row r="4120" spans="1:11" s="33" customFormat="1">
      <c r="A4120" s="443"/>
      <c r="B4120" s="54" t="s">
        <v>262</v>
      </c>
      <c r="C4120" s="217"/>
      <c r="D4120" s="217">
        <v>40</v>
      </c>
      <c r="E4120" s="203">
        <v>3</v>
      </c>
      <c r="F4120" s="149">
        <f>D4120+E4120</f>
        <v>43</v>
      </c>
      <c r="G4120" s="22" t="s">
        <v>8211</v>
      </c>
      <c r="H4120" s="458" t="str">
        <f>B4120</f>
        <v>mRCM-63/2/003-MW</v>
      </c>
      <c r="I4120" s="434"/>
      <c r="J4120" s="443" t="s">
        <v>1798</v>
      </c>
      <c r="K4120" s="434"/>
    </row>
    <row r="4121" spans="1:11" s="33" customFormat="1">
      <c r="A4121" s="443"/>
      <c r="B4121" s="54" t="s">
        <v>263</v>
      </c>
      <c r="C4121" s="217"/>
      <c r="D4121" s="217">
        <v>64</v>
      </c>
      <c r="E4121" s="203">
        <v>3</v>
      </c>
      <c r="F4121" s="149">
        <f>D4121+E4121</f>
        <v>67</v>
      </c>
      <c r="G4121" s="22" t="s">
        <v>8212</v>
      </c>
      <c r="H4121" s="458" t="str">
        <f>B4121</f>
        <v>mRCM-80/2/003-MW</v>
      </c>
      <c r="I4121" s="434"/>
      <c r="J4121" s="443" t="s">
        <v>1798</v>
      </c>
      <c r="K4121" s="434"/>
    </row>
    <row r="4122" spans="1:11" s="33" customFormat="1">
      <c r="A4122" s="445"/>
      <c r="B4122" s="54" t="s">
        <v>264</v>
      </c>
      <c r="C4122" s="217"/>
      <c r="D4122" s="217"/>
      <c r="E4122" s="203"/>
      <c r="F4122" s="149">
        <f>D4122+E4122</f>
        <v>0</v>
      </c>
      <c r="G4122" s="22" t="s">
        <v>8213</v>
      </c>
      <c r="H4122" s="458" t="str">
        <f>B4122</f>
        <v>mRCM-100/2/003-MW</v>
      </c>
      <c r="I4122" s="434"/>
      <c r="J4122" s="445"/>
      <c r="K4122" s="434"/>
    </row>
    <row r="4123" spans="1:11" s="33" customFormat="1">
      <c r="A4123" s="435"/>
      <c r="B4123" s="54"/>
      <c r="C4123" s="217"/>
      <c r="D4123" s="217"/>
      <c r="E4123" s="203"/>
      <c r="F4123" s="149"/>
      <c r="G4123" s="22"/>
      <c r="H4123" s="139"/>
      <c r="I4123" s="434"/>
      <c r="J4123" s="435"/>
      <c r="K4123" s="434"/>
    </row>
    <row r="4124" spans="1:11" s="33" customFormat="1">
      <c r="A4124" s="443"/>
      <c r="B4124" s="54" t="s">
        <v>265</v>
      </c>
      <c r="C4124" s="217"/>
      <c r="D4124" s="217">
        <v>52</v>
      </c>
      <c r="E4124" s="203">
        <v>6</v>
      </c>
      <c r="F4124" s="149">
        <f>D4124+E4124</f>
        <v>58</v>
      </c>
      <c r="G4124" s="22" t="s">
        <v>8214</v>
      </c>
      <c r="H4124" s="458" t="str">
        <f>B4124</f>
        <v>mRCM-25/4/003-MW</v>
      </c>
      <c r="I4124" s="434"/>
      <c r="J4124" s="443" t="s">
        <v>1798</v>
      </c>
      <c r="K4124" s="434"/>
    </row>
    <row r="4125" spans="1:11" s="33" customFormat="1">
      <c r="A4125" s="443"/>
      <c r="B4125" s="54" t="s">
        <v>266</v>
      </c>
      <c r="C4125" s="217"/>
      <c r="D4125" s="217">
        <v>54</v>
      </c>
      <c r="E4125" s="203">
        <v>6</v>
      </c>
      <c r="F4125" s="149">
        <f>D4125+E4125</f>
        <v>60</v>
      </c>
      <c r="G4125" s="22" t="s">
        <v>8215</v>
      </c>
      <c r="H4125" s="458" t="str">
        <f>B4125</f>
        <v>mRCM-40/4/003-MW</v>
      </c>
      <c r="I4125" s="434"/>
      <c r="J4125" s="443" t="s">
        <v>1798</v>
      </c>
      <c r="K4125" s="434"/>
    </row>
    <row r="4126" spans="1:11" s="33" customFormat="1">
      <c r="A4126" s="443"/>
      <c r="B4126" s="54" t="s">
        <v>267</v>
      </c>
      <c r="C4126" s="217"/>
      <c r="D4126" s="217">
        <v>69</v>
      </c>
      <c r="E4126" s="203">
        <v>6</v>
      </c>
      <c r="F4126" s="149">
        <f>D4126+E4126</f>
        <v>75</v>
      </c>
      <c r="G4126" s="22" t="s">
        <v>8216</v>
      </c>
      <c r="H4126" s="458" t="str">
        <f>B4126</f>
        <v>mRCM-63/4/003-MW</v>
      </c>
      <c r="I4126" s="434"/>
      <c r="J4126" s="443" t="s">
        <v>1798</v>
      </c>
      <c r="K4126" s="434"/>
    </row>
    <row r="4127" spans="1:11" s="33" customFormat="1">
      <c r="A4127" s="443"/>
      <c r="B4127" s="54" t="s">
        <v>268</v>
      </c>
      <c r="C4127" s="217"/>
      <c r="D4127" s="217">
        <v>94</v>
      </c>
      <c r="E4127" s="203">
        <v>6</v>
      </c>
      <c r="F4127" s="149">
        <f>D4127+E4127</f>
        <v>100</v>
      </c>
      <c r="G4127" s="22" t="s">
        <v>8217</v>
      </c>
      <c r="H4127" s="458" t="str">
        <f>B4127</f>
        <v>mRCM-80/4/003-MW</v>
      </c>
      <c r="I4127" s="434"/>
      <c r="J4127" s="443" t="s">
        <v>1798</v>
      </c>
      <c r="K4127" s="434"/>
    </row>
    <row r="4128" spans="1:11" s="33" customFormat="1">
      <c r="A4128" s="443"/>
      <c r="B4128" s="459" t="s">
        <v>269</v>
      </c>
      <c r="C4128" s="341"/>
      <c r="D4128" s="341">
        <v>140</v>
      </c>
      <c r="E4128" s="203">
        <v>6</v>
      </c>
      <c r="F4128" s="342">
        <f>D4128+E4128</f>
        <v>146</v>
      </c>
      <c r="G4128" s="163" t="s">
        <v>8218</v>
      </c>
      <c r="H4128" s="458" t="str">
        <f>B4128</f>
        <v>mRCM-100/4/003-MW</v>
      </c>
      <c r="I4128" s="434"/>
      <c r="J4128" s="443" t="s">
        <v>1798</v>
      </c>
      <c r="K4128" s="434" t="s">
        <v>741</v>
      </c>
    </row>
    <row r="4129" spans="1:11" s="33" customFormat="1">
      <c r="A4129" s="435"/>
      <c r="B4129" s="34"/>
      <c r="C4129" s="217"/>
      <c r="D4129" s="217"/>
      <c r="E4129" s="203"/>
      <c r="F4129" s="149"/>
      <c r="G4129" s="22"/>
      <c r="H4129" s="139"/>
      <c r="I4129" s="434"/>
      <c r="J4129" s="435"/>
      <c r="K4129" s="434"/>
    </row>
    <row r="4130" spans="1:11" s="33" customFormat="1">
      <c r="A4130" s="435"/>
      <c r="B4130" s="53" t="s">
        <v>382</v>
      </c>
      <c r="C4130" s="217"/>
      <c r="D4130" s="217"/>
      <c r="E4130" s="203"/>
      <c r="F4130" s="149"/>
      <c r="G4130" s="434"/>
      <c r="H4130" s="139"/>
      <c r="I4130" s="434"/>
      <c r="J4130" s="435"/>
      <c r="K4130" s="434"/>
    </row>
    <row r="4131" spans="1:11" s="33" customFormat="1">
      <c r="A4131" s="443"/>
      <c r="B4131" s="54" t="s">
        <v>270</v>
      </c>
      <c r="C4131" s="217"/>
      <c r="D4131" s="217">
        <v>48</v>
      </c>
      <c r="E4131" s="203">
        <v>3</v>
      </c>
      <c r="F4131" s="149">
        <f>D4131+E4131</f>
        <v>51</v>
      </c>
      <c r="G4131" s="22" t="s">
        <v>8219</v>
      </c>
      <c r="H4131" s="458" t="str">
        <f>B4131</f>
        <v>mRCM-25/2/003-A-MW</v>
      </c>
      <c r="I4131" s="434"/>
      <c r="J4131" s="443" t="s">
        <v>1798</v>
      </c>
      <c r="K4131" s="434" t="s">
        <v>741</v>
      </c>
    </row>
    <row r="4132" spans="1:11" s="33" customFormat="1">
      <c r="A4132" s="443"/>
      <c r="B4132" s="54" t="s">
        <v>271</v>
      </c>
      <c r="C4132" s="217"/>
      <c r="D4132" s="217">
        <v>48</v>
      </c>
      <c r="E4132" s="203">
        <v>3</v>
      </c>
      <c r="F4132" s="149">
        <f>D4132+E4132</f>
        <v>51</v>
      </c>
      <c r="G4132" s="22" t="s">
        <v>8220</v>
      </c>
      <c r="H4132" s="458" t="str">
        <f>B4132</f>
        <v>mRCM-40/2/003-A-MW</v>
      </c>
      <c r="I4132" s="434"/>
      <c r="J4132" s="443" t="s">
        <v>1798</v>
      </c>
      <c r="K4132" s="434" t="s">
        <v>741</v>
      </c>
    </row>
    <row r="4133" spans="1:11" s="33" customFormat="1">
      <c r="A4133" s="443"/>
      <c r="B4133" s="54" t="s">
        <v>272</v>
      </c>
      <c r="C4133" s="217"/>
      <c r="D4133" s="217">
        <v>60</v>
      </c>
      <c r="E4133" s="203">
        <v>3</v>
      </c>
      <c r="F4133" s="149">
        <f>D4133+E4133</f>
        <v>63</v>
      </c>
      <c r="G4133" s="22" t="s">
        <v>8221</v>
      </c>
      <c r="H4133" s="458" t="str">
        <f>B4133</f>
        <v>mRCM-63/2/003-A-MW</v>
      </c>
      <c r="I4133" s="434"/>
      <c r="J4133" s="443" t="s">
        <v>1798</v>
      </c>
      <c r="K4133" s="434" t="s">
        <v>741</v>
      </c>
    </row>
    <row r="4134" spans="1:11" s="33" customFormat="1">
      <c r="A4134" s="435"/>
      <c r="B4134" s="54"/>
      <c r="C4134" s="217"/>
      <c r="D4134" s="217"/>
      <c r="E4134" s="203"/>
      <c r="F4134" s="149"/>
      <c r="G4134" s="22"/>
      <c r="H4134" s="139"/>
      <c r="I4134" s="434"/>
      <c r="J4134" s="435"/>
      <c r="K4134" s="434"/>
    </row>
    <row r="4135" spans="1:11" s="33" customFormat="1">
      <c r="A4135" s="443"/>
      <c r="B4135" s="54" t="s">
        <v>273</v>
      </c>
      <c r="C4135" s="217"/>
      <c r="D4135" s="217">
        <v>60</v>
      </c>
      <c r="E4135" s="203">
        <v>6</v>
      </c>
      <c r="F4135" s="149">
        <f>D4135+E4135</f>
        <v>66</v>
      </c>
      <c r="G4135" s="22" t="s">
        <v>8222</v>
      </c>
      <c r="H4135" s="458" t="str">
        <f>B4135</f>
        <v>mRCM-25/4/003-A-MW</v>
      </c>
      <c r="I4135" s="434"/>
      <c r="J4135" s="443" t="s">
        <v>1798</v>
      </c>
      <c r="K4135" s="434" t="s">
        <v>741</v>
      </c>
    </row>
    <row r="4136" spans="1:11" s="33" customFormat="1">
      <c r="A4136" s="443"/>
      <c r="B4136" s="54" t="s">
        <v>274</v>
      </c>
      <c r="C4136" s="217"/>
      <c r="D4136" s="217">
        <v>60</v>
      </c>
      <c r="E4136" s="203">
        <v>6</v>
      </c>
      <c r="F4136" s="149">
        <f>D4136+E4136</f>
        <v>66</v>
      </c>
      <c r="G4136" s="22" t="s">
        <v>8223</v>
      </c>
      <c r="H4136" s="458" t="str">
        <f>B4136</f>
        <v>mRCM-40/4/003-A-MW</v>
      </c>
      <c r="I4136" s="434"/>
      <c r="J4136" s="443" t="s">
        <v>1798</v>
      </c>
      <c r="K4136" s="434" t="s">
        <v>741</v>
      </c>
    </row>
    <row r="4137" spans="1:11" s="33" customFormat="1">
      <c r="A4137" s="443"/>
      <c r="B4137" s="54" t="s">
        <v>275</v>
      </c>
      <c r="C4137" s="217"/>
      <c r="D4137" s="217">
        <v>80</v>
      </c>
      <c r="E4137" s="203">
        <v>6</v>
      </c>
      <c r="F4137" s="149">
        <f>D4137+E4137</f>
        <v>86</v>
      </c>
      <c r="G4137" s="22" t="s">
        <v>8224</v>
      </c>
      <c r="H4137" s="458" t="str">
        <f>B4137</f>
        <v>mRCM-63/4/003-A-MW</v>
      </c>
      <c r="I4137" s="434"/>
      <c r="J4137" s="443" t="s">
        <v>1798</v>
      </c>
      <c r="K4137" s="434" t="s">
        <v>741</v>
      </c>
    </row>
    <row r="4138" spans="1:11" s="315" customFormat="1">
      <c r="A4138" s="443"/>
      <c r="B4138" s="54" t="s">
        <v>276</v>
      </c>
      <c r="C4138" s="217"/>
      <c r="D4138" s="217">
        <v>120</v>
      </c>
      <c r="E4138" s="203">
        <v>6</v>
      </c>
      <c r="F4138" s="149">
        <f>D4138+E4138</f>
        <v>126</v>
      </c>
      <c r="G4138" s="22" t="s">
        <v>8225</v>
      </c>
      <c r="H4138" s="458" t="str">
        <f>B4138</f>
        <v>mRCM-80/4/003-A-MW</v>
      </c>
      <c r="I4138" s="434"/>
      <c r="J4138" s="443" t="s">
        <v>1798</v>
      </c>
      <c r="K4138" s="434" t="s">
        <v>741</v>
      </c>
    </row>
    <row r="4139" spans="1:11" s="317" customFormat="1">
      <c r="A4139" s="443"/>
      <c r="B4139" s="54" t="s">
        <v>277</v>
      </c>
      <c r="C4139" s="217"/>
      <c r="D4139" s="217"/>
      <c r="E4139" s="203"/>
      <c r="F4139" s="149">
        <f>D4139+E4139</f>
        <v>0</v>
      </c>
      <c r="G4139" s="22" t="s">
        <v>8226</v>
      </c>
      <c r="H4139" s="458" t="str">
        <f>B4139</f>
        <v>mRCM-100/4/003-A-MW</v>
      </c>
      <c r="I4139" s="434"/>
      <c r="J4139" s="443" t="s">
        <v>1798</v>
      </c>
      <c r="K4139" s="434" t="s">
        <v>741</v>
      </c>
    </row>
    <row r="4140" spans="1:11" s="317" customFormat="1">
      <c r="A4140" s="435"/>
      <c r="B4140" s="434"/>
      <c r="C4140" s="217"/>
      <c r="D4140" s="217"/>
      <c r="E4140" s="438"/>
      <c r="F4140" s="439"/>
      <c r="G4140" s="434"/>
      <c r="H4140" s="139"/>
      <c r="I4140" s="434"/>
      <c r="J4140" s="435"/>
      <c r="K4140" s="434"/>
    </row>
    <row r="4141" spans="1:11" s="317" customFormat="1">
      <c r="A4141" s="435"/>
      <c r="B4141" s="53" t="s">
        <v>383</v>
      </c>
      <c r="C4141" s="217"/>
      <c r="D4141" s="217"/>
      <c r="E4141" s="203"/>
      <c r="F4141" s="149"/>
      <c r="G4141" s="434"/>
      <c r="H4141" s="139"/>
      <c r="I4141" s="434"/>
      <c r="J4141" s="435"/>
      <c r="K4141" s="434"/>
    </row>
    <row r="4142" spans="1:11" s="33" customFormat="1">
      <c r="A4142" s="443"/>
      <c r="B4142" s="54" t="s">
        <v>250</v>
      </c>
      <c r="C4142" s="217"/>
      <c r="D4142" s="217">
        <v>43.5</v>
      </c>
      <c r="E4142" s="203">
        <v>3</v>
      </c>
      <c r="F4142" s="149">
        <f>D4142+E4142</f>
        <v>46.5</v>
      </c>
      <c r="G4142" s="22" t="s">
        <v>8227</v>
      </c>
      <c r="H4142" s="458" t="str">
        <f>B4142</f>
        <v>mRCM-25/2/03-MW</v>
      </c>
      <c r="I4142" s="434"/>
      <c r="J4142" s="443" t="s">
        <v>1798</v>
      </c>
      <c r="K4142" s="434"/>
    </row>
    <row r="4143" spans="1:11" s="33" customFormat="1">
      <c r="A4143" s="443"/>
      <c r="B4143" s="54" t="s">
        <v>251</v>
      </c>
      <c r="C4143" s="217"/>
      <c r="D4143" s="217">
        <v>43.5</v>
      </c>
      <c r="E4143" s="203">
        <v>3</v>
      </c>
      <c r="F4143" s="149">
        <f>D4143+E4143</f>
        <v>46.5</v>
      </c>
      <c r="G4143" s="22" t="s">
        <v>8228</v>
      </c>
      <c r="H4143" s="458" t="str">
        <f>B4143</f>
        <v>mRCM-40/2/03-MW</v>
      </c>
      <c r="I4143" s="434"/>
      <c r="J4143" s="443" t="s">
        <v>1798</v>
      </c>
      <c r="K4143" s="434"/>
    </row>
    <row r="4144" spans="1:11" s="33" customFormat="1">
      <c r="A4144" s="443"/>
      <c r="B4144" s="54" t="s">
        <v>252</v>
      </c>
      <c r="C4144" s="217"/>
      <c r="D4144" s="217">
        <v>48</v>
      </c>
      <c r="E4144" s="203">
        <v>3</v>
      </c>
      <c r="F4144" s="149">
        <f>D4144+E4144</f>
        <v>51</v>
      </c>
      <c r="G4144" s="22" t="s">
        <v>8229</v>
      </c>
      <c r="H4144" s="458" t="str">
        <f>B4144</f>
        <v>mRCM-63/2/03-MW</v>
      </c>
      <c r="I4144" s="434"/>
      <c r="J4144" s="443" t="s">
        <v>1798</v>
      </c>
      <c r="K4144" s="434"/>
    </row>
    <row r="4145" spans="1:11" s="33" customFormat="1">
      <c r="A4145" s="443"/>
      <c r="B4145" s="54" t="s">
        <v>253</v>
      </c>
      <c r="C4145" s="217"/>
      <c r="D4145" s="217">
        <v>60</v>
      </c>
      <c r="E4145" s="203">
        <v>3</v>
      </c>
      <c r="F4145" s="149">
        <f>D4145+E4145</f>
        <v>63</v>
      </c>
      <c r="G4145" s="22" t="s">
        <v>8230</v>
      </c>
      <c r="H4145" s="458" t="str">
        <f>B4145</f>
        <v>mRCM-80/2/03-MW</v>
      </c>
      <c r="I4145" s="434"/>
      <c r="J4145" s="443" t="s">
        <v>1798</v>
      </c>
      <c r="K4145" s="434"/>
    </row>
    <row r="4146" spans="1:11" s="33" customFormat="1">
      <c r="A4146" s="443"/>
      <c r="B4146" s="54" t="s">
        <v>254</v>
      </c>
      <c r="C4146" s="217"/>
      <c r="D4146" s="217"/>
      <c r="E4146" s="203"/>
      <c r="F4146" s="149">
        <f>D4146+E4146</f>
        <v>0</v>
      </c>
      <c r="G4146" s="22" t="s">
        <v>8231</v>
      </c>
      <c r="H4146" s="458" t="str">
        <f>B4146</f>
        <v>mRCM-100/2/03-MW</v>
      </c>
      <c r="I4146" s="434"/>
      <c r="J4146" s="443" t="s">
        <v>1798</v>
      </c>
      <c r="K4146" s="434"/>
    </row>
    <row r="4147" spans="1:11" s="33" customFormat="1">
      <c r="A4147" s="367"/>
      <c r="B4147" s="54"/>
      <c r="C4147" s="217"/>
      <c r="D4147" s="217"/>
      <c r="E4147" s="203"/>
      <c r="F4147" s="149"/>
      <c r="G4147" s="22"/>
      <c r="H4147" s="139"/>
      <c r="I4147" s="434"/>
      <c r="J4147" s="367"/>
      <c r="K4147" s="434"/>
    </row>
    <row r="4148" spans="1:11" s="33" customFormat="1">
      <c r="A4148" s="443"/>
      <c r="B4148" s="54" t="s">
        <v>255</v>
      </c>
      <c r="C4148" s="217"/>
      <c r="D4148" s="217">
        <v>55</v>
      </c>
      <c r="E4148" s="203">
        <v>6</v>
      </c>
      <c r="F4148" s="149">
        <f>D4148+E4148</f>
        <v>61</v>
      </c>
      <c r="G4148" s="22" t="s">
        <v>8232</v>
      </c>
      <c r="H4148" s="458" t="str">
        <f>B4148</f>
        <v>mRCM-25/4/03-MW</v>
      </c>
      <c r="I4148" s="434"/>
      <c r="J4148" s="443" t="s">
        <v>1798</v>
      </c>
      <c r="K4148" s="434"/>
    </row>
    <row r="4149" spans="1:11" s="33" customFormat="1">
      <c r="A4149" s="443"/>
      <c r="B4149" s="54" t="s">
        <v>256</v>
      </c>
      <c r="C4149" s="217"/>
      <c r="D4149" s="217">
        <v>55</v>
      </c>
      <c r="E4149" s="203">
        <v>6</v>
      </c>
      <c r="F4149" s="149">
        <f>D4149+E4149</f>
        <v>61</v>
      </c>
      <c r="G4149" s="22" t="s">
        <v>8233</v>
      </c>
      <c r="H4149" s="458" t="str">
        <f t="shared" ref="H4149:H4152" si="541">B4149</f>
        <v>mRCM-40/4/03-MW</v>
      </c>
      <c r="I4149" s="434"/>
      <c r="J4149" s="443" t="s">
        <v>1798</v>
      </c>
      <c r="K4149" s="434"/>
    </row>
    <row r="4150" spans="1:11" s="33" customFormat="1">
      <c r="A4150" s="443"/>
      <c r="B4150" s="54" t="s">
        <v>257</v>
      </c>
      <c r="C4150" s="217"/>
      <c r="D4150" s="217">
        <v>72</v>
      </c>
      <c r="E4150" s="203">
        <v>6</v>
      </c>
      <c r="F4150" s="149">
        <f>D4150+E4150</f>
        <v>78</v>
      </c>
      <c r="G4150" s="22" t="s">
        <v>8234</v>
      </c>
      <c r="H4150" s="458" t="str">
        <f t="shared" si="541"/>
        <v>mRCM-63/4/03-MW</v>
      </c>
      <c r="I4150" s="434"/>
      <c r="J4150" s="443" t="s">
        <v>1798</v>
      </c>
      <c r="K4150" s="434"/>
    </row>
    <row r="4151" spans="1:11" s="33" customFormat="1">
      <c r="A4151" s="443"/>
      <c r="B4151" s="54" t="s">
        <v>258</v>
      </c>
      <c r="C4151" s="217"/>
      <c r="D4151" s="217">
        <v>96</v>
      </c>
      <c r="E4151" s="203">
        <v>6</v>
      </c>
      <c r="F4151" s="149">
        <f>D4151+E4151</f>
        <v>102</v>
      </c>
      <c r="G4151" s="22" t="s">
        <v>8235</v>
      </c>
      <c r="H4151" s="458" t="str">
        <f t="shared" si="541"/>
        <v>mRCM-80/4/03-MW</v>
      </c>
      <c r="I4151" s="434"/>
      <c r="J4151" s="443" t="s">
        <v>1798</v>
      </c>
      <c r="K4151" s="434"/>
    </row>
    <row r="4152" spans="1:11" s="33" customFormat="1">
      <c r="A4152" s="443"/>
      <c r="B4152" s="459" t="s">
        <v>259</v>
      </c>
      <c r="C4152" s="341"/>
      <c r="D4152" s="341">
        <v>460</v>
      </c>
      <c r="E4152" s="203">
        <v>6</v>
      </c>
      <c r="F4152" s="342">
        <f>D4152+E4152</f>
        <v>466</v>
      </c>
      <c r="G4152" s="163" t="s">
        <v>8236</v>
      </c>
      <c r="H4152" s="458" t="str">
        <f t="shared" si="541"/>
        <v>mRCM-100/4/03-MW</v>
      </c>
      <c r="I4152" s="434"/>
      <c r="J4152" s="443" t="s">
        <v>1798</v>
      </c>
      <c r="K4152" s="434" t="s">
        <v>741</v>
      </c>
    </row>
    <row r="4153" spans="1:11" s="33" customFormat="1">
      <c r="A4153" s="447"/>
      <c r="B4153" s="460"/>
      <c r="C4153" s="217"/>
      <c r="D4153" s="217"/>
      <c r="E4153" s="407"/>
      <c r="F4153" s="157"/>
      <c r="G4153" s="410"/>
      <c r="H4153" s="139"/>
      <c r="I4153" s="454"/>
      <c r="J4153" s="447"/>
      <c r="K4153" s="454"/>
    </row>
    <row r="4154" spans="1:11" s="185" customFormat="1">
      <c r="A4154" s="447"/>
      <c r="B4154" s="460"/>
      <c r="C4154" s="217"/>
      <c r="D4154" s="217"/>
      <c r="E4154" s="407"/>
      <c r="F4154" s="157"/>
      <c r="G4154" s="1526"/>
      <c r="H4154" s="139"/>
      <c r="I4154" s="454"/>
      <c r="J4154" s="447"/>
      <c r="K4154" s="454"/>
    </row>
    <row r="4155" spans="1:11" s="317" customFormat="1">
      <c r="A4155" s="435"/>
      <c r="B4155" s="53" t="s">
        <v>8237</v>
      </c>
      <c r="C4155" s="217"/>
      <c r="D4155" s="217"/>
      <c r="E4155" s="203"/>
      <c r="F4155" s="149"/>
      <c r="G4155" s="434"/>
      <c r="H4155" s="139"/>
      <c r="I4155" s="434"/>
      <c r="J4155" s="435"/>
      <c r="K4155" s="434"/>
    </row>
    <row r="4156" spans="1:11" s="33" customFormat="1">
      <c r="A4156" s="443"/>
      <c r="B4156" s="54" t="s">
        <v>9603</v>
      </c>
      <c r="C4156" s="217"/>
      <c r="D4156" s="217">
        <v>80</v>
      </c>
      <c r="E4156" s="203">
        <v>3</v>
      </c>
      <c r="F4156" s="149">
        <f>D4156+E4156</f>
        <v>83</v>
      </c>
      <c r="G4156" s="22" t="s">
        <v>9604</v>
      </c>
      <c r="H4156" s="458" t="str">
        <f>B4156</f>
        <v>mRCM-40/2/03-A-MW</v>
      </c>
      <c r="I4156" s="434"/>
      <c r="J4156" s="443" t="s">
        <v>1798</v>
      </c>
      <c r="K4156" s="434"/>
    </row>
    <row r="4157" spans="1:11" s="33" customFormat="1">
      <c r="A4157" s="443"/>
      <c r="B4157" s="54" t="s">
        <v>9605</v>
      </c>
      <c r="C4157" s="217"/>
      <c r="D4157" s="217">
        <v>80</v>
      </c>
      <c r="E4157" s="203">
        <v>3</v>
      </c>
      <c r="F4157" s="149">
        <f>D4157+E4157</f>
        <v>83</v>
      </c>
      <c r="G4157" s="22" t="s">
        <v>9606</v>
      </c>
      <c r="H4157" s="458" t="str">
        <f>B4157</f>
        <v>mRCM-25/2/03-A-MW</v>
      </c>
      <c r="I4157" s="434"/>
      <c r="J4157" s="443" t="s">
        <v>1798</v>
      </c>
      <c r="K4157" s="434"/>
    </row>
    <row r="4158" spans="1:11" s="315" customFormat="1">
      <c r="A4158" s="447"/>
      <c r="B4158" s="1601"/>
      <c r="C4158" s="217"/>
      <c r="D4158" s="217"/>
      <c r="E4158" s="407"/>
      <c r="F4158" s="157"/>
      <c r="G4158" s="454"/>
      <c r="H4158" s="139"/>
      <c r="I4158" s="454"/>
      <c r="J4158" s="447"/>
      <c r="K4158" s="454"/>
    </row>
    <row r="4159" spans="1:11" s="315" customFormat="1">
      <c r="A4159" s="447"/>
      <c r="B4159" s="1601"/>
      <c r="C4159" s="217"/>
      <c r="D4159" s="217"/>
      <c r="E4159" s="407"/>
      <c r="F4159" s="157"/>
      <c r="G4159" s="454"/>
      <c r="H4159" s="139"/>
      <c r="I4159" s="454"/>
      <c r="J4159" s="447"/>
      <c r="K4159" s="454"/>
    </row>
    <row r="4160" spans="1:11" s="33" customFormat="1">
      <c r="A4160" s="443"/>
      <c r="B4160" s="54" t="s">
        <v>11167</v>
      </c>
      <c r="C4160" s="217"/>
      <c r="D4160" s="217">
        <v>105</v>
      </c>
      <c r="E4160" s="203">
        <v>6</v>
      </c>
      <c r="F4160" s="149">
        <f>D4160+E4160</f>
        <v>111</v>
      </c>
      <c r="G4160" s="22" t="s">
        <v>11168</v>
      </c>
      <c r="H4160" s="458" t="str">
        <f>B4160</f>
        <v>mRCM-63/4/03-A-MW</v>
      </c>
      <c r="I4160" s="434"/>
      <c r="J4160" s="443" t="s">
        <v>1798</v>
      </c>
      <c r="K4160" s="434"/>
    </row>
    <row r="4161" spans="1:11" s="33" customFormat="1">
      <c r="A4161" s="443"/>
      <c r="B4161" s="54" t="s">
        <v>8238</v>
      </c>
      <c r="C4161" s="217"/>
      <c r="D4161" s="217">
        <v>80</v>
      </c>
      <c r="E4161" s="203">
        <v>6</v>
      </c>
      <c r="F4161" s="149">
        <f>D4161+E4161</f>
        <v>86</v>
      </c>
      <c r="G4161" s="22" t="s">
        <v>8239</v>
      </c>
      <c r="H4161" s="458" t="str">
        <f>B4161</f>
        <v>mRCM-40/4/03-A-MW</v>
      </c>
      <c r="I4161" s="434"/>
      <c r="J4161" s="443" t="s">
        <v>1798</v>
      </c>
      <c r="K4161" s="434"/>
    </row>
    <row r="4162" spans="1:11" s="33" customFormat="1">
      <c r="A4162" s="443"/>
      <c r="B4162" s="54" t="s">
        <v>8240</v>
      </c>
      <c r="C4162" s="217"/>
      <c r="D4162" s="217">
        <v>70</v>
      </c>
      <c r="E4162" s="203">
        <v>6</v>
      </c>
      <c r="F4162" s="149">
        <f>D4162+E4162</f>
        <v>76</v>
      </c>
      <c r="G4162" s="22" t="s">
        <v>8241</v>
      </c>
      <c r="H4162" s="458" t="str">
        <f>B4162</f>
        <v>mRCM-25/4/03-A-MW</v>
      </c>
      <c r="I4162" s="434"/>
      <c r="J4162" s="443" t="s">
        <v>1798</v>
      </c>
      <c r="K4162" s="434"/>
    </row>
    <row r="4163" spans="1:11" s="185" customFormat="1">
      <c r="A4163" s="447"/>
      <c r="B4163" s="460"/>
      <c r="C4163" s="217"/>
      <c r="D4163" s="217"/>
      <c r="E4163" s="407"/>
      <c r="F4163" s="157"/>
      <c r="G4163" s="410"/>
      <c r="H4163" s="139"/>
      <c r="I4163" s="454"/>
      <c r="J4163" s="447"/>
      <c r="K4163" s="454"/>
    </row>
    <row r="4164" spans="1:11" s="33" customFormat="1">
      <c r="A4164" s="443"/>
      <c r="B4164" s="54" t="s">
        <v>13650</v>
      </c>
      <c r="C4164" s="217"/>
      <c r="D4164" s="217">
        <v>60</v>
      </c>
      <c r="E4164" s="203">
        <v>6</v>
      </c>
      <c r="F4164" s="149">
        <f>D4164+E4164</f>
        <v>66</v>
      </c>
      <c r="G4164" s="22" t="s">
        <v>8214</v>
      </c>
      <c r="H4164" s="458">
        <v>235406</v>
      </c>
      <c r="I4164" s="434"/>
      <c r="J4164" s="443" t="s">
        <v>1798</v>
      </c>
      <c r="K4164" s="434" t="s">
        <v>741</v>
      </c>
    </row>
    <row r="4165" spans="1:11" s="33" customFormat="1">
      <c r="A4165" s="443"/>
      <c r="B4165" s="54" t="s">
        <v>1811</v>
      </c>
      <c r="C4165" s="217"/>
      <c r="D4165" s="217">
        <v>160</v>
      </c>
      <c r="E4165" s="203">
        <v>6</v>
      </c>
      <c r="F4165" s="149">
        <f>D4165+E4165</f>
        <v>166</v>
      </c>
      <c r="G4165" s="22" t="s">
        <v>8236</v>
      </c>
      <c r="H4165" s="458">
        <v>102825</v>
      </c>
      <c r="I4165" s="434"/>
      <c r="J4165" s="443" t="s">
        <v>1798</v>
      </c>
      <c r="K4165" s="434" t="s">
        <v>741</v>
      </c>
    </row>
    <row r="4166" spans="1:11" s="185" customFormat="1">
      <c r="A4166" s="447"/>
      <c r="B4166" s="460"/>
      <c r="C4166" s="217"/>
      <c r="D4166" s="217"/>
      <c r="E4166" s="203"/>
      <c r="F4166" s="149"/>
      <c r="G4166" s="410"/>
      <c r="H4166" s="139"/>
      <c r="I4166" s="454"/>
      <c r="J4166" s="447"/>
      <c r="K4166" s="454"/>
    </row>
    <row r="4167" spans="1:11" s="185" customFormat="1">
      <c r="A4167" s="1492"/>
      <c r="B4167" s="460" t="s">
        <v>13651</v>
      </c>
      <c r="C4167" s="217"/>
      <c r="D4167" s="217">
        <v>10</v>
      </c>
      <c r="E4167" s="203">
        <v>6</v>
      </c>
      <c r="F4167" s="149">
        <f t="shared" ref="F4167" si="542">D4167+E4167</f>
        <v>16</v>
      </c>
      <c r="G4167" s="410" t="s">
        <v>13652</v>
      </c>
      <c r="H4167" s="458" t="str">
        <f>B4167</f>
        <v>Z-IS/SPE-1TE</v>
      </c>
      <c r="I4167" s="434"/>
      <c r="J4167" s="443" t="s">
        <v>1798</v>
      </c>
      <c r="K4167" s="434"/>
    </row>
    <row r="4168" spans="1:11" s="185" customFormat="1">
      <c r="A4168" s="447"/>
      <c r="B4168" s="460"/>
      <c r="C4168" s="217"/>
      <c r="D4168" s="217"/>
      <c r="E4168" s="407"/>
      <c r="F4168" s="157"/>
      <c r="G4168" s="410"/>
      <c r="H4168" s="139"/>
      <c r="I4168" s="454"/>
      <c r="J4168" s="447"/>
      <c r="K4168" s="454"/>
    </row>
    <row r="4169" spans="1:11" s="185" customFormat="1">
      <c r="A4169" s="435"/>
      <c r="B4169" s="471"/>
      <c r="C4169" s="217"/>
      <c r="D4169" s="217"/>
      <c r="E4169" s="438"/>
      <c r="F4169" s="439"/>
      <c r="G4169" s="434"/>
      <c r="H4169" s="1648"/>
      <c r="I4169" s="434"/>
      <c r="J4169" s="435"/>
      <c r="K4169" s="434"/>
    </row>
    <row r="4170" spans="1:11" s="185" customFormat="1">
      <c r="A4170" s="435"/>
      <c r="B4170" s="35" t="s">
        <v>386</v>
      </c>
      <c r="C4170" s="217"/>
      <c r="D4170" s="217"/>
      <c r="E4170" s="203"/>
      <c r="F4170" s="149"/>
      <c r="G4170" s="434"/>
      <c r="H4170" s="1648"/>
      <c r="I4170" s="434"/>
      <c r="J4170" s="435"/>
      <c r="K4170" s="434"/>
    </row>
    <row r="4171" spans="1:11" s="185" customFormat="1">
      <c r="A4171" s="443"/>
      <c r="B4171" s="45" t="s">
        <v>712</v>
      </c>
      <c r="C4171" s="217"/>
      <c r="D4171" s="217">
        <v>14.9</v>
      </c>
      <c r="E4171" s="203">
        <v>5</v>
      </c>
      <c r="F4171" s="149">
        <f t="shared" ref="F4171:F4192" si="543">D4171+E4171</f>
        <v>19.899999999999999</v>
      </c>
      <c r="G4171" s="22" t="s">
        <v>5114</v>
      </c>
      <c r="H4171" s="458" t="str">
        <f t="shared" ref="H4171:H4192" si="544">B4171</f>
        <v>DILM7-10</v>
      </c>
      <c r="I4171" s="434"/>
      <c r="J4171" s="443" t="s">
        <v>1798</v>
      </c>
      <c r="K4171" s="434"/>
    </row>
    <row r="4172" spans="1:11" s="33" customFormat="1">
      <c r="A4172" s="443"/>
      <c r="B4172" s="45" t="s">
        <v>278</v>
      </c>
      <c r="C4172" s="217"/>
      <c r="D4172" s="217">
        <v>16.100000000000001</v>
      </c>
      <c r="E4172" s="203">
        <v>5</v>
      </c>
      <c r="F4172" s="149">
        <f t="shared" si="543"/>
        <v>21.1</v>
      </c>
      <c r="G4172" s="22" t="s">
        <v>5115</v>
      </c>
      <c r="H4172" s="458" t="str">
        <f t="shared" si="544"/>
        <v>DILM9-10</v>
      </c>
      <c r="I4172" s="434"/>
      <c r="J4172" s="443" t="s">
        <v>1798</v>
      </c>
      <c r="K4172" s="434"/>
    </row>
    <row r="4173" spans="1:11" s="33" customFormat="1">
      <c r="A4173" s="443"/>
      <c r="B4173" s="45" t="s">
        <v>279</v>
      </c>
      <c r="C4173" s="217"/>
      <c r="D4173" s="217">
        <v>20</v>
      </c>
      <c r="E4173" s="203">
        <v>5</v>
      </c>
      <c r="F4173" s="149">
        <f t="shared" si="543"/>
        <v>25</v>
      </c>
      <c r="G4173" s="22" t="s">
        <v>5116</v>
      </c>
      <c r="H4173" s="458" t="str">
        <f t="shared" si="544"/>
        <v>DILM12-10</v>
      </c>
      <c r="I4173" s="434"/>
      <c r="J4173" s="443" t="s">
        <v>1798</v>
      </c>
      <c r="K4173" s="434"/>
    </row>
    <row r="4174" spans="1:11" s="33" customFormat="1">
      <c r="A4174" s="443"/>
      <c r="B4174" s="45" t="s">
        <v>713</v>
      </c>
      <c r="C4174" s="217"/>
      <c r="D4174" s="217">
        <v>23.3</v>
      </c>
      <c r="E4174" s="203">
        <v>8</v>
      </c>
      <c r="F4174" s="149">
        <f t="shared" si="543"/>
        <v>31.3</v>
      </c>
      <c r="G4174" s="22" t="s">
        <v>5117</v>
      </c>
      <c r="H4174" s="458" t="str">
        <f t="shared" si="544"/>
        <v>DILM15-10</v>
      </c>
      <c r="I4174" s="434"/>
      <c r="J4174" s="443" t="s">
        <v>1798</v>
      </c>
      <c r="K4174" s="434"/>
    </row>
    <row r="4175" spans="1:11" s="33" customFormat="1">
      <c r="A4175" s="443"/>
      <c r="B4175" s="45" t="s">
        <v>280</v>
      </c>
      <c r="C4175" s="217"/>
      <c r="D4175" s="217">
        <v>27.9</v>
      </c>
      <c r="E4175" s="203">
        <v>8</v>
      </c>
      <c r="F4175" s="149">
        <f t="shared" si="543"/>
        <v>35.9</v>
      </c>
      <c r="G4175" s="22" t="s">
        <v>5118</v>
      </c>
      <c r="H4175" s="458" t="str">
        <f t="shared" si="544"/>
        <v>DILM17-10</v>
      </c>
      <c r="I4175" s="434"/>
      <c r="J4175" s="443" t="s">
        <v>1798</v>
      </c>
      <c r="K4175" s="434"/>
    </row>
    <row r="4176" spans="1:11" s="33" customFormat="1">
      <c r="A4176" s="443"/>
      <c r="B4176" s="45" t="s">
        <v>281</v>
      </c>
      <c r="C4176" s="217"/>
      <c r="D4176" s="217">
        <v>37.9</v>
      </c>
      <c r="E4176" s="203">
        <v>10</v>
      </c>
      <c r="F4176" s="149">
        <f t="shared" si="543"/>
        <v>47.9</v>
      </c>
      <c r="G4176" s="22" t="s">
        <v>5119</v>
      </c>
      <c r="H4176" s="458" t="str">
        <f t="shared" si="544"/>
        <v>DILM25-10</v>
      </c>
      <c r="I4176" s="434"/>
      <c r="J4176" s="443" t="s">
        <v>1798</v>
      </c>
      <c r="K4176" s="434"/>
    </row>
    <row r="4177" spans="1:11" s="33" customFormat="1">
      <c r="A4177" s="443"/>
      <c r="B4177" s="45" t="s">
        <v>282</v>
      </c>
      <c r="C4177" s="217"/>
      <c r="D4177" s="217">
        <v>55.6</v>
      </c>
      <c r="E4177" s="203">
        <v>12</v>
      </c>
      <c r="F4177" s="149">
        <f t="shared" si="543"/>
        <v>67.599999999999994</v>
      </c>
      <c r="G4177" s="22" t="s">
        <v>5120</v>
      </c>
      <c r="H4177" s="458" t="str">
        <f t="shared" si="544"/>
        <v>DILM32-10</v>
      </c>
      <c r="I4177" s="434"/>
      <c r="J4177" s="443" t="s">
        <v>1798</v>
      </c>
      <c r="K4177" s="434"/>
    </row>
    <row r="4178" spans="1:11" s="33" customFormat="1">
      <c r="A4178" s="443"/>
      <c r="B4178" s="45" t="s">
        <v>283</v>
      </c>
      <c r="C4178" s="217"/>
      <c r="D4178" s="217">
        <v>80</v>
      </c>
      <c r="E4178" s="203">
        <v>18</v>
      </c>
      <c r="F4178" s="149">
        <f t="shared" si="543"/>
        <v>98</v>
      </c>
      <c r="G4178" s="22" t="s">
        <v>5121</v>
      </c>
      <c r="H4178" s="458" t="str">
        <f t="shared" si="544"/>
        <v>DILM40</v>
      </c>
      <c r="I4178" s="434"/>
      <c r="J4178" s="443" t="s">
        <v>1798</v>
      </c>
      <c r="K4178" s="434"/>
    </row>
    <row r="4179" spans="1:11" s="33" customFormat="1">
      <c r="A4179" s="443"/>
      <c r="B4179" s="45" t="s">
        <v>284</v>
      </c>
      <c r="C4179" s="217"/>
      <c r="D4179" s="217">
        <v>105</v>
      </c>
      <c r="E4179" s="203">
        <v>25</v>
      </c>
      <c r="F4179" s="149">
        <f t="shared" si="543"/>
        <v>130</v>
      </c>
      <c r="G4179" s="22" t="s">
        <v>5122</v>
      </c>
      <c r="H4179" s="458" t="str">
        <f t="shared" si="544"/>
        <v>DILM50</v>
      </c>
      <c r="I4179" s="434"/>
      <c r="J4179" s="443" t="s">
        <v>1798</v>
      </c>
      <c r="K4179" s="434"/>
    </row>
    <row r="4180" spans="1:11" s="33" customFormat="1">
      <c r="A4180" s="443"/>
      <c r="B4180" s="45" t="s">
        <v>285</v>
      </c>
      <c r="C4180" s="217"/>
      <c r="D4180" s="217">
        <v>149</v>
      </c>
      <c r="E4180" s="203">
        <v>36</v>
      </c>
      <c r="F4180" s="149">
        <f t="shared" si="543"/>
        <v>185</v>
      </c>
      <c r="G4180" s="22" t="s">
        <v>5123</v>
      </c>
      <c r="H4180" s="458" t="str">
        <f t="shared" si="544"/>
        <v>DILM65</v>
      </c>
      <c r="I4180" s="434"/>
      <c r="J4180" s="443" t="s">
        <v>1798</v>
      </c>
      <c r="K4180" s="434"/>
    </row>
    <row r="4181" spans="1:11" s="33" customFormat="1">
      <c r="A4181" s="443"/>
      <c r="B4181" s="45" t="s">
        <v>714</v>
      </c>
      <c r="C4181" s="217"/>
      <c r="D4181" s="217">
        <v>150</v>
      </c>
      <c r="E4181" s="203">
        <v>50</v>
      </c>
      <c r="F4181" s="149">
        <f t="shared" si="543"/>
        <v>200</v>
      </c>
      <c r="G4181" s="22" t="s">
        <v>5124</v>
      </c>
      <c r="H4181" s="458" t="str">
        <f t="shared" si="544"/>
        <v>DILM72</v>
      </c>
      <c r="I4181" s="434"/>
      <c r="J4181" s="443" t="s">
        <v>1798</v>
      </c>
      <c r="K4181" s="434"/>
    </row>
    <row r="4182" spans="1:11" s="33" customFormat="1">
      <c r="A4182" s="443"/>
      <c r="B4182" s="45" t="s">
        <v>286</v>
      </c>
      <c r="C4182" s="217"/>
      <c r="D4182" s="217">
        <v>173.9</v>
      </c>
      <c r="E4182" s="203">
        <v>50</v>
      </c>
      <c r="F4182" s="149">
        <f t="shared" si="543"/>
        <v>223.9</v>
      </c>
      <c r="G4182" s="22" t="s">
        <v>5125</v>
      </c>
      <c r="H4182" s="458" t="str">
        <f t="shared" si="544"/>
        <v>DILM80</v>
      </c>
      <c r="I4182" s="434"/>
      <c r="J4182" s="443" t="s">
        <v>1798</v>
      </c>
      <c r="K4182" s="434"/>
    </row>
    <row r="4183" spans="1:11" s="33" customFormat="1">
      <c r="A4183" s="443"/>
      <c r="B4183" s="45" t="s">
        <v>287</v>
      </c>
      <c r="C4183" s="217"/>
      <c r="D4183" s="217">
        <v>221.2</v>
      </c>
      <c r="E4183" s="203">
        <v>72</v>
      </c>
      <c r="F4183" s="149">
        <f t="shared" si="543"/>
        <v>293.2</v>
      </c>
      <c r="G4183" s="22" t="s">
        <v>5126</v>
      </c>
      <c r="H4183" s="458" t="str">
        <f t="shared" si="544"/>
        <v>DILM95</v>
      </c>
      <c r="I4183" s="434"/>
      <c r="J4183" s="443" t="s">
        <v>1798</v>
      </c>
      <c r="K4183" s="434"/>
    </row>
    <row r="4184" spans="1:11" s="33" customFormat="1">
      <c r="A4184" s="443"/>
      <c r="B4184" s="45" t="s">
        <v>288</v>
      </c>
      <c r="C4184" s="217"/>
      <c r="D4184" s="217">
        <v>286.2</v>
      </c>
      <c r="E4184" s="203">
        <v>100</v>
      </c>
      <c r="F4184" s="149">
        <f t="shared" si="543"/>
        <v>386.2</v>
      </c>
      <c r="G4184" s="22" t="s">
        <v>5127</v>
      </c>
      <c r="H4184" s="458" t="str">
        <f t="shared" si="544"/>
        <v>DILM115</v>
      </c>
      <c r="I4184" s="434"/>
      <c r="J4184" s="443" t="s">
        <v>1798</v>
      </c>
      <c r="K4184" s="434"/>
    </row>
    <row r="4185" spans="1:11" s="33" customFormat="1">
      <c r="A4185" s="443"/>
      <c r="B4185" s="45" t="s">
        <v>289</v>
      </c>
      <c r="C4185" s="217"/>
      <c r="D4185" s="217">
        <v>353.7</v>
      </c>
      <c r="E4185" s="203">
        <v>150</v>
      </c>
      <c r="F4185" s="149">
        <f t="shared" si="543"/>
        <v>503.7</v>
      </c>
      <c r="G4185" s="22" t="s">
        <v>5128</v>
      </c>
      <c r="H4185" s="458" t="str">
        <f t="shared" si="544"/>
        <v>DILM150</v>
      </c>
      <c r="I4185" s="434"/>
      <c r="J4185" s="443" t="s">
        <v>1798</v>
      </c>
      <c r="K4185" s="434"/>
    </row>
    <row r="4186" spans="1:11" s="33" customFormat="1">
      <c r="A4186" s="443"/>
      <c r="B4186" s="45" t="s">
        <v>715</v>
      </c>
      <c r="C4186" s="217"/>
      <c r="D4186" s="217">
        <v>466.2</v>
      </c>
      <c r="E4186" s="203">
        <v>150</v>
      </c>
      <c r="F4186" s="149">
        <f t="shared" si="543"/>
        <v>616.20000000000005</v>
      </c>
      <c r="G4186" s="22" t="s">
        <v>5129</v>
      </c>
      <c r="H4186" s="458" t="str">
        <f t="shared" si="544"/>
        <v>DILM170</v>
      </c>
      <c r="I4186" s="434"/>
      <c r="J4186" s="443" t="s">
        <v>1798</v>
      </c>
      <c r="K4186" s="434"/>
    </row>
    <row r="4187" spans="1:11" s="33" customFormat="1">
      <c r="A4187" s="443"/>
      <c r="B4187" s="45" t="s">
        <v>290</v>
      </c>
      <c r="C4187" s="217"/>
      <c r="D4187" s="217">
        <v>446</v>
      </c>
      <c r="E4187" s="203">
        <v>150</v>
      </c>
      <c r="F4187" s="149">
        <f t="shared" si="543"/>
        <v>596</v>
      </c>
      <c r="G4187" s="22" t="s">
        <v>5130</v>
      </c>
      <c r="H4187" s="458" t="str">
        <f t="shared" si="544"/>
        <v>DILM185-S/22</v>
      </c>
      <c r="I4187" s="434"/>
      <c r="J4187" s="443" t="s">
        <v>1798</v>
      </c>
      <c r="K4187" s="434"/>
    </row>
    <row r="4188" spans="1:11" s="33" customFormat="1">
      <c r="A4188" s="443"/>
      <c r="B4188" s="45" t="s">
        <v>291</v>
      </c>
      <c r="C4188" s="217"/>
      <c r="D4188" s="217">
        <v>495.2</v>
      </c>
      <c r="E4188" s="203">
        <v>200</v>
      </c>
      <c r="F4188" s="149">
        <f t="shared" si="543"/>
        <v>695.2</v>
      </c>
      <c r="G4188" s="22" t="s">
        <v>5131</v>
      </c>
      <c r="H4188" s="458" t="str">
        <f t="shared" si="544"/>
        <v>DILM225-S/22</v>
      </c>
      <c r="I4188" s="434"/>
      <c r="J4188" s="443" t="s">
        <v>1798</v>
      </c>
      <c r="K4188" s="434"/>
    </row>
    <row r="4189" spans="1:11" s="33" customFormat="1">
      <c r="A4189" s="443"/>
      <c r="B4189" s="45" t="s">
        <v>292</v>
      </c>
      <c r="C4189" s="217"/>
      <c r="D4189" s="217">
        <v>689.6</v>
      </c>
      <c r="E4189" s="203">
        <v>250</v>
      </c>
      <c r="F4189" s="149">
        <f t="shared" si="543"/>
        <v>939.6</v>
      </c>
      <c r="G4189" s="22" t="s">
        <v>5132</v>
      </c>
      <c r="H4189" s="458" t="str">
        <f t="shared" si="544"/>
        <v>DILM250-S/22</v>
      </c>
      <c r="I4189" s="434"/>
      <c r="J4189" s="443" t="s">
        <v>1798</v>
      </c>
      <c r="K4189" s="434"/>
    </row>
    <row r="4190" spans="1:11" s="33" customFormat="1">
      <c r="A4190" s="443"/>
      <c r="B4190" s="45" t="s">
        <v>293</v>
      </c>
      <c r="C4190" s="217"/>
      <c r="D4190" s="217">
        <v>834.1</v>
      </c>
      <c r="E4190" s="203">
        <v>300</v>
      </c>
      <c r="F4190" s="149">
        <f t="shared" si="543"/>
        <v>1134.0999999999999</v>
      </c>
      <c r="G4190" s="22" t="s">
        <v>5133</v>
      </c>
      <c r="H4190" s="458" t="str">
        <f t="shared" si="544"/>
        <v>DILM300-S/22</v>
      </c>
      <c r="I4190" s="434"/>
      <c r="J4190" s="443" t="s">
        <v>1798</v>
      </c>
      <c r="K4190" s="434"/>
    </row>
    <row r="4191" spans="1:11" s="33" customFormat="1">
      <c r="A4191" s="443"/>
      <c r="B4191" s="45" t="s">
        <v>387</v>
      </c>
      <c r="C4191" s="217"/>
      <c r="D4191" s="217">
        <v>1073.4000000000001</v>
      </c>
      <c r="E4191" s="203">
        <v>300</v>
      </c>
      <c r="F4191" s="149">
        <f t="shared" si="543"/>
        <v>1373.4</v>
      </c>
      <c r="G4191" s="22" t="s">
        <v>5134</v>
      </c>
      <c r="H4191" s="458" t="str">
        <f t="shared" si="544"/>
        <v>DILM400-S22</v>
      </c>
      <c r="I4191" s="434"/>
      <c r="J4191" s="443" t="s">
        <v>1798</v>
      </c>
      <c r="K4191" s="434"/>
    </row>
    <row r="4192" spans="1:11" s="33" customFormat="1">
      <c r="A4192" s="443"/>
      <c r="B4192" s="45" t="s">
        <v>388</v>
      </c>
      <c r="C4192" s="217"/>
      <c r="D4192" s="217">
        <v>1500.9</v>
      </c>
      <c r="E4192" s="203">
        <v>300</v>
      </c>
      <c r="F4192" s="149">
        <f t="shared" si="543"/>
        <v>1800.9</v>
      </c>
      <c r="G4192" s="22" t="s">
        <v>5135</v>
      </c>
      <c r="H4192" s="458" t="str">
        <f t="shared" si="544"/>
        <v>DILM500-S22</v>
      </c>
      <c r="I4192" s="434"/>
      <c r="J4192" s="443" t="s">
        <v>1798</v>
      </c>
      <c r="K4192" s="434"/>
    </row>
    <row r="4193" spans="1:11" s="33" customFormat="1">
      <c r="A4193" s="435"/>
      <c r="B4193" s="45"/>
      <c r="C4193" s="217"/>
      <c r="D4193" s="217"/>
      <c r="E4193" s="203"/>
      <c r="F4193" s="149"/>
      <c r="G4193" s="22"/>
      <c r="H4193" s="1648"/>
      <c r="I4193" s="434"/>
      <c r="J4193" s="435"/>
      <c r="K4193" s="434"/>
    </row>
    <row r="4194" spans="1:11" s="33" customFormat="1">
      <c r="A4194" s="443" t="s">
        <v>12815</v>
      </c>
      <c r="B4194" s="45" t="s">
        <v>12816</v>
      </c>
      <c r="C4194" s="217"/>
      <c r="D4194" s="217">
        <v>140</v>
      </c>
      <c r="E4194" s="203">
        <v>25</v>
      </c>
      <c r="F4194" s="149">
        <f t="shared" ref="F4194:F4196" si="545">D4194+E4194</f>
        <v>165</v>
      </c>
      <c r="G4194" s="22" t="s">
        <v>12817</v>
      </c>
      <c r="H4194" s="458" t="str">
        <f t="shared" ref="H4194:H4196" si="546">B4194</f>
        <v>DILMP80</v>
      </c>
      <c r="I4194" s="434"/>
      <c r="J4194" s="443" t="s">
        <v>1798</v>
      </c>
      <c r="K4194" s="434"/>
    </row>
    <row r="4195" spans="1:11" s="33" customFormat="1">
      <c r="A4195" s="443" t="s">
        <v>12815</v>
      </c>
      <c r="B4195" s="45" t="s">
        <v>12818</v>
      </c>
      <c r="C4195" s="217"/>
      <c r="D4195" s="217">
        <v>195</v>
      </c>
      <c r="E4195" s="203">
        <v>36</v>
      </c>
      <c r="F4195" s="149">
        <f t="shared" si="545"/>
        <v>231</v>
      </c>
      <c r="G4195" s="22" t="s">
        <v>12819</v>
      </c>
      <c r="H4195" s="458" t="str">
        <f t="shared" si="546"/>
        <v>DILMP63</v>
      </c>
      <c r="I4195" s="434"/>
      <c r="J4195" s="443" t="s">
        <v>1798</v>
      </c>
      <c r="K4195" s="434"/>
    </row>
    <row r="4196" spans="1:11" s="528" customFormat="1" ht="13.8">
      <c r="A4196" s="2158" t="s">
        <v>12815</v>
      </c>
      <c r="B4196" s="2340" t="s">
        <v>13653</v>
      </c>
      <c r="C4196" s="2341"/>
      <c r="D4196" s="2341">
        <v>386</v>
      </c>
      <c r="E4196" s="203">
        <v>150</v>
      </c>
      <c r="F4196" s="2342">
        <f t="shared" si="545"/>
        <v>536</v>
      </c>
      <c r="G4196" s="2343" t="s">
        <v>13654</v>
      </c>
      <c r="H4196" s="1687" t="str">
        <f t="shared" si="546"/>
        <v>DILMP125</v>
      </c>
      <c r="I4196" s="2344"/>
      <c r="J4196" s="2158" t="s">
        <v>1798</v>
      </c>
      <c r="K4196" s="2344"/>
    </row>
    <row r="4197" spans="1:11" s="33" customFormat="1">
      <c r="A4197" s="447"/>
      <c r="B4197" s="45"/>
      <c r="C4197" s="217"/>
      <c r="D4197" s="217"/>
      <c r="E4197" s="203"/>
      <c r="F4197" s="149"/>
      <c r="G4197" s="22"/>
      <c r="H4197" s="1648"/>
      <c r="I4197" s="434"/>
      <c r="J4197" s="447"/>
      <c r="K4197" s="434"/>
    </row>
    <row r="4198" spans="1:11" s="33" customFormat="1">
      <c r="A4198" s="443"/>
      <c r="B4198" s="430" t="s">
        <v>2534</v>
      </c>
      <c r="C4198" s="431"/>
      <c r="D4198" s="431">
        <f>1.2*14.9</f>
        <v>17.88</v>
      </c>
      <c r="E4198" s="426">
        <v>5</v>
      </c>
      <c r="F4198" s="427">
        <f t="shared" ref="F4198:F4204" si="547">D4198+E4198</f>
        <v>22.88</v>
      </c>
      <c r="G4198" s="428" t="s">
        <v>5136</v>
      </c>
      <c r="H4198" s="458" t="str">
        <f t="shared" ref="H4198:H4204" si="548">B4198</f>
        <v>DILM7-10_120V</v>
      </c>
      <c r="I4198" s="434"/>
      <c r="J4198" s="443" t="s">
        <v>1798</v>
      </c>
      <c r="K4198" s="434"/>
    </row>
    <row r="4199" spans="1:11" s="33" customFormat="1">
      <c r="A4199" s="443"/>
      <c r="B4199" s="430" t="s">
        <v>2533</v>
      </c>
      <c r="C4199" s="431"/>
      <c r="D4199" s="431">
        <f>1.2*16.1</f>
        <v>19.32</v>
      </c>
      <c r="E4199" s="426">
        <v>5</v>
      </c>
      <c r="F4199" s="427">
        <f t="shared" si="547"/>
        <v>24.32</v>
      </c>
      <c r="G4199" s="428" t="s">
        <v>5137</v>
      </c>
      <c r="H4199" s="458" t="str">
        <f t="shared" si="548"/>
        <v>DILM9-10_120V</v>
      </c>
      <c r="I4199" s="434"/>
      <c r="J4199" s="443" t="s">
        <v>1798</v>
      </c>
      <c r="K4199" s="434"/>
    </row>
    <row r="4200" spans="1:11" s="33" customFormat="1">
      <c r="A4200" s="443"/>
      <c r="B4200" s="430" t="s">
        <v>2535</v>
      </c>
      <c r="C4200" s="431"/>
      <c r="D4200" s="431">
        <f>1.2*20</f>
        <v>24</v>
      </c>
      <c r="E4200" s="426">
        <v>5</v>
      </c>
      <c r="F4200" s="427">
        <f t="shared" si="547"/>
        <v>29</v>
      </c>
      <c r="G4200" s="428" t="s">
        <v>5138</v>
      </c>
      <c r="H4200" s="458" t="str">
        <f t="shared" si="548"/>
        <v>DILM12-10_120V</v>
      </c>
      <c r="I4200" s="434"/>
      <c r="J4200" s="443" t="s">
        <v>1798</v>
      </c>
      <c r="K4200" s="434"/>
    </row>
    <row r="4201" spans="1:11" s="33" customFormat="1">
      <c r="A4201" s="443"/>
      <c r="B4201" s="430" t="s">
        <v>2536</v>
      </c>
      <c r="C4201" s="431"/>
      <c r="D4201" s="431">
        <f>1.2*23.3</f>
        <v>27.96</v>
      </c>
      <c r="E4201" s="426">
        <v>8</v>
      </c>
      <c r="F4201" s="427">
        <f t="shared" si="547"/>
        <v>35.96</v>
      </c>
      <c r="G4201" s="428" t="s">
        <v>5139</v>
      </c>
      <c r="H4201" s="458" t="str">
        <f t="shared" si="548"/>
        <v>DILM15-10_120V</v>
      </c>
      <c r="I4201" s="434"/>
      <c r="J4201" s="443" t="s">
        <v>1798</v>
      </c>
      <c r="K4201" s="434"/>
    </row>
    <row r="4202" spans="1:11" s="33" customFormat="1">
      <c r="A4202" s="443"/>
      <c r="B4202" s="430" t="s">
        <v>2537</v>
      </c>
      <c r="C4202" s="431"/>
      <c r="D4202" s="431">
        <f>1.2*27.9</f>
        <v>33.479999999999997</v>
      </c>
      <c r="E4202" s="426">
        <v>8</v>
      </c>
      <c r="F4202" s="427">
        <f t="shared" si="547"/>
        <v>41.48</v>
      </c>
      <c r="G4202" s="428" t="s">
        <v>5140</v>
      </c>
      <c r="H4202" s="458" t="str">
        <f t="shared" si="548"/>
        <v>DILM17-10_120V</v>
      </c>
      <c r="I4202" s="434"/>
      <c r="J4202" s="443" t="s">
        <v>1798</v>
      </c>
      <c r="K4202" s="434"/>
    </row>
    <row r="4203" spans="1:11" s="33" customFormat="1">
      <c r="A4203" s="443"/>
      <c r="B4203" s="430" t="s">
        <v>2538</v>
      </c>
      <c r="C4203" s="431"/>
      <c r="D4203" s="431">
        <f>1.2*37.9</f>
        <v>45.48</v>
      </c>
      <c r="E4203" s="426">
        <v>10</v>
      </c>
      <c r="F4203" s="427">
        <f t="shared" si="547"/>
        <v>55.48</v>
      </c>
      <c r="G4203" s="428" t="s">
        <v>5141</v>
      </c>
      <c r="H4203" s="458" t="str">
        <f t="shared" si="548"/>
        <v>DILM25-10_120V</v>
      </c>
      <c r="I4203" s="434"/>
      <c r="J4203" s="443" t="s">
        <v>1798</v>
      </c>
      <c r="K4203" s="434"/>
    </row>
    <row r="4204" spans="1:11" s="33" customFormat="1">
      <c r="A4204" s="443"/>
      <c r="B4204" s="430" t="s">
        <v>2539</v>
      </c>
      <c r="C4204" s="431"/>
      <c r="D4204" s="431">
        <f>1.2*55.6</f>
        <v>66.72</v>
      </c>
      <c r="E4204" s="426">
        <v>12</v>
      </c>
      <c r="F4204" s="427">
        <f t="shared" si="547"/>
        <v>78.72</v>
      </c>
      <c r="G4204" s="428" t="s">
        <v>5142</v>
      </c>
      <c r="H4204" s="458" t="str">
        <f t="shared" si="548"/>
        <v>DILM32-10_120V</v>
      </c>
      <c r="I4204" s="434"/>
      <c r="J4204" s="443" t="s">
        <v>1798</v>
      </c>
      <c r="K4204" s="434"/>
    </row>
    <row r="4205" spans="1:11" s="33" customFormat="1">
      <c r="A4205" s="435"/>
      <c r="B4205" s="45"/>
      <c r="C4205" s="217"/>
      <c r="D4205" s="217"/>
      <c r="E4205" s="203"/>
      <c r="F4205" s="149"/>
      <c r="G4205" s="22"/>
      <c r="H4205" s="1648"/>
      <c r="I4205" s="434"/>
      <c r="J4205" s="435"/>
      <c r="K4205" s="434"/>
    </row>
    <row r="4206" spans="1:11">
      <c r="A4206" s="368"/>
      <c r="B4206" s="158" t="s">
        <v>750</v>
      </c>
      <c r="C4206" s="217"/>
      <c r="D4206" s="217">
        <v>8.6</v>
      </c>
      <c r="E4206" s="217">
        <v>3</v>
      </c>
      <c r="F4206" s="159">
        <f t="shared" ref="F4206:F4211" si="549">D4206+E4206</f>
        <v>11.6</v>
      </c>
      <c r="G4206" s="160" t="s">
        <v>1641</v>
      </c>
      <c r="H4206" s="458" t="str">
        <f>B4206</f>
        <v>DILM32-XHI11</v>
      </c>
      <c r="I4206" s="454"/>
      <c r="J4206" s="368" t="s">
        <v>1798</v>
      </c>
      <c r="K4206" s="492" t="s">
        <v>741</v>
      </c>
    </row>
    <row r="4207" spans="1:11">
      <c r="A4207" s="368"/>
      <c r="B4207" s="158" t="s">
        <v>1851</v>
      </c>
      <c r="C4207" s="217"/>
      <c r="D4207" s="217">
        <v>14.5</v>
      </c>
      <c r="E4207" s="217">
        <v>6</v>
      </c>
      <c r="F4207" s="159">
        <f t="shared" si="549"/>
        <v>20.5</v>
      </c>
      <c r="G4207" s="160" t="s">
        <v>1852</v>
      </c>
      <c r="H4207" s="458" t="str">
        <f>B4207</f>
        <v>DILM32-XHI22</v>
      </c>
      <c r="I4207" s="454"/>
      <c r="J4207" s="368" t="s">
        <v>1798</v>
      </c>
      <c r="K4207" s="492" t="s">
        <v>741</v>
      </c>
    </row>
    <row r="4208" spans="1:11">
      <c r="A4208" s="368"/>
      <c r="B4208" s="158" t="s">
        <v>1639</v>
      </c>
      <c r="C4208" s="217"/>
      <c r="D4208" s="217">
        <v>7.9</v>
      </c>
      <c r="E4208" s="217">
        <v>3</v>
      </c>
      <c r="F4208" s="159">
        <f t="shared" si="549"/>
        <v>10.9</v>
      </c>
      <c r="G4208" s="160" t="s">
        <v>1640</v>
      </c>
      <c r="H4208" s="458" t="str">
        <f>B4208</f>
        <v>DILM150-XHI20</v>
      </c>
      <c r="I4208" s="454"/>
      <c r="J4208" s="368" t="s">
        <v>1798</v>
      </c>
      <c r="K4208" s="492" t="s">
        <v>741</v>
      </c>
    </row>
    <row r="4209" spans="1:11">
      <c r="A4209" s="368"/>
      <c r="B4209" s="158" t="s">
        <v>1646</v>
      </c>
      <c r="C4209" s="217"/>
      <c r="D4209" s="217">
        <v>7.9</v>
      </c>
      <c r="E4209" s="217">
        <v>3</v>
      </c>
      <c r="F4209" s="159">
        <f t="shared" si="549"/>
        <v>10.9</v>
      </c>
      <c r="G4209" s="160" t="s">
        <v>1647</v>
      </c>
      <c r="H4209" s="458" t="str">
        <f>B4209</f>
        <v>DILM150-XHI02</v>
      </c>
      <c r="I4209" s="454"/>
      <c r="J4209" s="368" t="s">
        <v>1798</v>
      </c>
      <c r="K4209" s="492" t="s">
        <v>741</v>
      </c>
    </row>
    <row r="4210" spans="1:11">
      <c r="A4210" s="368"/>
      <c r="B4210" s="158" t="s">
        <v>8389</v>
      </c>
      <c r="C4210" s="217"/>
      <c r="D4210" s="217">
        <v>8.4</v>
      </c>
      <c r="E4210" s="217">
        <v>3</v>
      </c>
      <c r="F4210" s="159">
        <f t="shared" si="549"/>
        <v>11.4</v>
      </c>
      <c r="G4210" s="160" t="s">
        <v>8390</v>
      </c>
      <c r="H4210" s="458" t="str">
        <f t="shared" ref="H4210" si="550">B4210</f>
        <v>DILM150-XHI11</v>
      </c>
      <c r="I4210" s="454"/>
      <c r="J4210" s="368" t="s">
        <v>1798</v>
      </c>
      <c r="K4210" s="492" t="s">
        <v>741</v>
      </c>
    </row>
    <row r="4211" spans="1:11">
      <c r="A4211" s="368"/>
      <c r="B4211" s="158" t="s">
        <v>5933</v>
      </c>
      <c r="C4211" s="217"/>
      <c r="D4211" s="217">
        <v>13.7</v>
      </c>
      <c r="E4211" s="217">
        <v>3</v>
      </c>
      <c r="F4211" s="159">
        <f t="shared" si="549"/>
        <v>16.7</v>
      </c>
      <c r="G4211" s="160" t="s">
        <v>9759</v>
      </c>
      <c r="H4211" s="458" t="str">
        <f>B4211</f>
        <v>DILM150-XHI22</v>
      </c>
      <c r="I4211" s="454"/>
      <c r="J4211" s="368" t="s">
        <v>1798</v>
      </c>
      <c r="K4211" s="492" t="s">
        <v>741</v>
      </c>
    </row>
    <row r="4212" spans="1:11">
      <c r="A4212" s="368"/>
      <c r="B4212" s="158"/>
      <c r="C4212" s="217"/>
      <c r="D4212" s="217"/>
      <c r="E4212" s="217"/>
      <c r="F4212" s="159"/>
      <c r="G4212" s="160"/>
      <c r="H4212" s="458"/>
      <c r="I4212" s="454"/>
      <c r="J4212" s="368"/>
      <c r="K4212" s="492"/>
    </row>
    <row r="4213" spans="1:11">
      <c r="A4213" s="368"/>
      <c r="B4213" s="158" t="s">
        <v>1044</v>
      </c>
      <c r="C4213" s="217"/>
      <c r="D4213" s="217">
        <v>44.2</v>
      </c>
      <c r="E4213" s="217">
        <v>3</v>
      </c>
      <c r="F4213" s="159">
        <f>D4213+E4213</f>
        <v>47.2</v>
      </c>
      <c r="G4213" s="160" t="s">
        <v>1642</v>
      </c>
      <c r="H4213" s="458" t="str">
        <f>B4213</f>
        <v>DILA-XHI01-S</v>
      </c>
      <c r="I4213" s="454"/>
      <c r="J4213" s="368" t="s">
        <v>1798</v>
      </c>
      <c r="K4213" s="492" t="s">
        <v>741</v>
      </c>
    </row>
    <row r="4214" spans="1:11">
      <c r="A4214" s="368"/>
      <c r="B4214" s="158" t="s">
        <v>1046</v>
      </c>
      <c r="C4214" s="217"/>
      <c r="D4214" s="217">
        <v>44.2</v>
      </c>
      <c r="E4214" s="217">
        <v>3</v>
      </c>
      <c r="F4214" s="159">
        <f>D4214+E4214</f>
        <v>47.2</v>
      </c>
      <c r="G4214" s="160" t="s">
        <v>1643</v>
      </c>
      <c r="H4214" s="458" t="str">
        <f>B4214</f>
        <v>DILA-XHI10-S</v>
      </c>
      <c r="I4214" s="454"/>
      <c r="J4214" s="368" t="s">
        <v>1798</v>
      </c>
      <c r="K4214" s="492" t="s">
        <v>741</v>
      </c>
    </row>
    <row r="4215" spans="1:11">
      <c r="A4215" s="368"/>
      <c r="B4215" s="158" t="s">
        <v>771</v>
      </c>
      <c r="C4215" s="217"/>
      <c r="D4215" s="217">
        <v>17.3</v>
      </c>
      <c r="E4215" s="217">
        <v>3</v>
      </c>
      <c r="F4215" s="159">
        <f>D4215+E4215</f>
        <v>20.3</v>
      </c>
      <c r="G4215" s="160" t="s">
        <v>1045</v>
      </c>
      <c r="H4215" s="458" t="str">
        <f>B4215</f>
        <v>DILM32-XHI11-S</v>
      </c>
      <c r="I4215" s="454"/>
      <c r="J4215" s="368" t="s">
        <v>1798</v>
      </c>
      <c r="K4215" s="492" t="s">
        <v>741</v>
      </c>
    </row>
    <row r="4216" spans="1:11">
      <c r="A4216" s="368"/>
      <c r="B4216" s="158" t="s">
        <v>1644</v>
      </c>
      <c r="C4216" s="217"/>
      <c r="D4216" s="217">
        <v>15.9</v>
      </c>
      <c r="E4216" s="217">
        <v>3</v>
      </c>
      <c r="F4216" s="159">
        <f>D4216+E4216</f>
        <v>18.899999999999999</v>
      </c>
      <c r="G4216" s="160" t="s">
        <v>1645</v>
      </c>
      <c r="H4216" s="458" t="str">
        <f>B4216</f>
        <v>DILM1000-XHI11-SA</v>
      </c>
      <c r="I4216" s="454"/>
      <c r="J4216" s="368" t="s">
        <v>1798</v>
      </c>
      <c r="K4216" s="492" t="s">
        <v>741</v>
      </c>
    </row>
    <row r="4217" spans="1:11">
      <c r="A4217" s="368"/>
      <c r="B4217" s="141"/>
      <c r="C4217" s="217"/>
      <c r="D4217" s="217"/>
      <c r="E4217" s="218"/>
      <c r="F4217" s="157"/>
      <c r="G4217" s="142"/>
      <c r="H4217" s="458"/>
      <c r="I4217" s="454"/>
      <c r="J4217" s="368"/>
      <c r="K4217" s="472"/>
    </row>
    <row r="4218" spans="1:11">
      <c r="A4218" s="368"/>
      <c r="B4218" s="158" t="s">
        <v>773</v>
      </c>
      <c r="C4218" s="217"/>
      <c r="D4218" s="431">
        <v>30</v>
      </c>
      <c r="E4218" s="217">
        <v>5</v>
      </c>
      <c r="F4218" s="159">
        <f>D4218+E4218</f>
        <v>35</v>
      </c>
      <c r="G4218" s="146" t="s">
        <v>5148</v>
      </c>
      <c r="H4218" s="1683" t="str">
        <f>B4218</f>
        <v>XTRM10A22B</v>
      </c>
      <c r="I4218" s="454"/>
      <c r="J4218" s="368" t="s">
        <v>1798</v>
      </c>
      <c r="K4218" s="492" t="s">
        <v>741</v>
      </c>
    </row>
    <row r="4219" spans="1:11">
      <c r="A4219" s="368"/>
      <c r="B4219" s="158" t="s">
        <v>1853</v>
      </c>
      <c r="C4219" s="217"/>
      <c r="D4219" s="431">
        <v>30</v>
      </c>
      <c r="E4219" s="217">
        <v>5</v>
      </c>
      <c r="F4219" s="159">
        <f>D4219+E4219</f>
        <v>35</v>
      </c>
      <c r="G4219" s="146" t="s">
        <v>5149</v>
      </c>
      <c r="H4219" s="1683" t="str">
        <f>B4219</f>
        <v>XTRM10A22T</v>
      </c>
      <c r="I4219" s="454"/>
      <c r="J4219" s="368" t="s">
        <v>1798</v>
      </c>
      <c r="K4219" s="492" t="s">
        <v>741</v>
      </c>
    </row>
    <row r="4220" spans="1:11">
      <c r="A4220" s="368"/>
      <c r="B4220" s="141"/>
      <c r="C4220" s="226"/>
      <c r="D4220" s="226"/>
      <c r="E4220" s="216"/>
      <c r="F4220" s="156"/>
      <c r="G4220" s="186"/>
      <c r="H4220" s="473"/>
      <c r="I4220" s="454"/>
      <c r="J4220" s="368"/>
      <c r="K4220" s="472"/>
    </row>
    <row r="4221" spans="1:11">
      <c r="A4221" s="368"/>
      <c r="B4221" s="158"/>
      <c r="C4221" s="217"/>
      <c r="D4221" s="217"/>
      <c r="E4221" s="217"/>
      <c r="F4221" s="159"/>
      <c r="G4221" s="160"/>
      <c r="H4221" s="473"/>
      <c r="I4221" s="454"/>
      <c r="J4221" s="368"/>
      <c r="K4221" s="492"/>
    </row>
    <row r="4222" spans="1:11">
      <c r="A4222" s="368"/>
      <c r="B4222" s="158" t="s">
        <v>1648</v>
      </c>
      <c r="C4222" s="217"/>
      <c r="D4222" s="217">
        <v>5.3</v>
      </c>
      <c r="E4222" s="217">
        <v>3</v>
      </c>
      <c r="F4222" s="159">
        <f t="shared" ref="F4222:F4227" si="551">D4222+E4222</f>
        <v>8.3000000000000007</v>
      </c>
      <c r="G4222" s="160" t="s">
        <v>1652</v>
      </c>
      <c r="H4222" s="1683" t="str">
        <f t="shared" ref="H4222:H4227" si="552">B4222</f>
        <v>DILM12-XMV</v>
      </c>
      <c r="I4222" s="454"/>
      <c r="J4222" s="368" t="s">
        <v>1798</v>
      </c>
      <c r="K4222" s="492" t="s">
        <v>741</v>
      </c>
    </row>
    <row r="4223" spans="1:11">
      <c r="A4223" s="368"/>
      <c r="B4223" s="158" t="s">
        <v>1649</v>
      </c>
      <c r="C4223" s="217"/>
      <c r="D4223" s="217">
        <v>7.1</v>
      </c>
      <c r="E4223" s="217">
        <v>3</v>
      </c>
      <c r="F4223" s="159">
        <f t="shared" si="551"/>
        <v>10.1</v>
      </c>
      <c r="G4223" s="160" t="s">
        <v>1653</v>
      </c>
      <c r="H4223" s="1683" t="str">
        <f t="shared" si="552"/>
        <v>DILM32-XMV</v>
      </c>
      <c r="I4223" s="454"/>
      <c r="J4223" s="368" t="s">
        <v>1798</v>
      </c>
      <c r="K4223" s="492" t="s">
        <v>741</v>
      </c>
    </row>
    <row r="4224" spans="1:11">
      <c r="A4224" s="368"/>
      <c r="B4224" s="158" t="s">
        <v>1650</v>
      </c>
      <c r="C4224" s="217"/>
      <c r="D4224" s="217">
        <v>8.1999999999999993</v>
      </c>
      <c r="E4224" s="217">
        <v>3</v>
      </c>
      <c r="F4224" s="159">
        <f t="shared" si="551"/>
        <v>11.2</v>
      </c>
      <c r="G4224" s="160" t="s">
        <v>1654</v>
      </c>
      <c r="H4224" s="1683" t="str">
        <f>B4224</f>
        <v>DILM65-XMV</v>
      </c>
      <c r="I4224" s="454"/>
      <c r="J4224" s="368" t="s">
        <v>1798</v>
      </c>
      <c r="K4224" s="492" t="s">
        <v>741</v>
      </c>
    </row>
    <row r="4225" spans="1:11">
      <c r="A4225" s="368"/>
      <c r="B4225" s="158" t="s">
        <v>5934</v>
      </c>
      <c r="C4225" s="217"/>
      <c r="D4225" s="217">
        <v>8.6999999999999993</v>
      </c>
      <c r="E4225" s="217">
        <v>3</v>
      </c>
      <c r="F4225" s="159">
        <f t="shared" si="551"/>
        <v>11.7</v>
      </c>
      <c r="G4225" s="160" t="s">
        <v>8391</v>
      </c>
      <c r="H4225" s="1683" t="str">
        <f>B4225</f>
        <v>DILM150-XMVE</v>
      </c>
      <c r="I4225" s="454"/>
      <c r="J4225" s="368" t="s">
        <v>1798</v>
      </c>
      <c r="K4225" s="492" t="s">
        <v>741</v>
      </c>
    </row>
    <row r="4226" spans="1:11">
      <c r="A4226" s="368"/>
      <c r="B4226" s="158" t="s">
        <v>8392</v>
      </c>
      <c r="C4226" s="217"/>
      <c r="D4226" s="217">
        <v>34</v>
      </c>
      <c r="E4226" s="217">
        <v>3</v>
      </c>
      <c r="F4226" s="159">
        <f t="shared" si="551"/>
        <v>37</v>
      </c>
      <c r="G4226" s="160" t="s">
        <v>8393</v>
      </c>
      <c r="H4226" s="1683" t="str">
        <f>B4226</f>
        <v>DILM500-XMV</v>
      </c>
      <c r="I4226" s="454"/>
      <c r="J4226" s="368" t="s">
        <v>1798</v>
      </c>
      <c r="K4226" s="492" t="s">
        <v>741</v>
      </c>
    </row>
    <row r="4227" spans="1:11">
      <c r="A4227" s="368"/>
      <c r="B4227" s="158" t="s">
        <v>8394</v>
      </c>
      <c r="C4227" s="217"/>
      <c r="D4227" s="217">
        <v>480.6</v>
      </c>
      <c r="E4227" s="217">
        <v>3</v>
      </c>
      <c r="F4227" s="159">
        <f t="shared" si="551"/>
        <v>483.6</v>
      </c>
      <c r="G4227" s="160" t="s">
        <v>8395</v>
      </c>
      <c r="H4227" s="1683" t="str">
        <f t="shared" si="552"/>
        <v>DILM820-XMV</v>
      </c>
      <c r="I4227" s="454"/>
      <c r="J4227" s="368" t="s">
        <v>1798</v>
      </c>
      <c r="K4227" s="492" t="s">
        <v>741</v>
      </c>
    </row>
    <row r="4228" spans="1:11" s="33" customFormat="1">
      <c r="A4228" s="435"/>
      <c r="B4228" s="434"/>
      <c r="C4228" s="217"/>
      <c r="D4228" s="217"/>
      <c r="E4228" s="438"/>
      <c r="F4228" s="439"/>
      <c r="G4228" s="434"/>
      <c r="H4228" s="1648"/>
      <c r="I4228" s="434"/>
      <c r="J4228" s="435"/>
      <c r="K4228" s="434"/>
    </row>
    <row r="4229" spans="1:11" s="33" customFormat="1">
      <c r="A4229" s="440"/>
      <c r="B4229" s="462" t="s">
        <v>5935</v>
      </c>
      <c r="C4229" s="217"/>
      <c r="D4229" s="217"/>
      <c r="E4229" s="203"/>
      <c r="F4229" s="149"/>
      <c r="G4229" s="441"/>
      <c r="H4229" s="1671"/>
      <c r="I4229" s="441"/>
      <c r="J4229" s="440"/>
      <c r="K4229" s="441"/>
    </row>
    <row r="4230" spans="1:11" s="33" customFormat="1">
      <c r="A4230" s="463"/>
      <c r="B4230" s="36" t="s">
        <v>13655</v>
      </c>
      <c r="C4230" s="217">
        <v>238</v>
      </c>
      <c r="D4230" s="230">
        <f>C4230*(1-0)*fcl</f>
        <v>540.90909090909088</v>
      </c>
      <c r="E4230" s="203">
        <v>15</v>
      </c>
      <c r="F4230" s="149">
        <f t="shared" ref="F4230:F4232" si="553">D4230+E4230</f>
        <v>555.90909090909088</v>
      </c>
      <c r="G4230" s="22" t="s">
        <v>13656</v>
      </c>
      <c r="H4230" s="458" t="s">
        <v>13657</v>
      </c>
      <c r="I4230" s="434"/>
      <c r="J4230" s="463" t="s">
        <v>5041</v>
      </c>
      <c r="K4230" s="434" t="s">
        <v>741</v>
      </c>
    </row>
    <row r="4231" spans="1:11" s="33" customFormat="1">
      <c r="A4231" s="463"/>
      <c r="B4231" s="36" t="s">
        <v>13658</v>
      </c>
      <c r="C4231" s="217">
        <v>238</v>
      </c>
      <c r="D4231" s="230">
        <f>C4231*(1-0)*fcl</f>
        <v>540.90909090909088</v>
      </c>
      <c r="E4231" s="203">
        <v>15</v>
      </c>
      <c r="F4231" s="149">
        <f t="shared" si="553"/>
        <v>555.90909090909088</v>
      </c>
      <c r="G4231" s="22" t="s">
        <v>13659</v>
      </c>
      <c r="H4231" s="458" t="s">
        <v>13660</v>
      </c>
      <c r="I4231" s="434"/>
      <c r="J4231" s="463" t="s">
        <v>5041</v>
      </c>
      <c r="K4231" s="434" t="s">
        <v>741</v>
      </c>
    </row>
    <row r="4232" spans="1:11" s="33" customFormat="1">
      <c r="A4232" s="463"/>
      <c r="B4232" s="36" t="s">
        <v>9702</v>
      </c>
      <c r="C4232" s="217">
        <v>238</v>
      </c>
      <c r="D4232" s="230">
        <f>C4232*(1-0)*fcl</f>
        <v>540.90909090909088</v>
      </c>
      <c r="E4232" s="203">
        <v>15</v>
      </c>
      <c r="F4232" s="149">
        <f t="shared" si="553"/>
        <v>555.90909090909088</v>
      </c>
      <c r="G4232" s="22" t="s">
        <v>13661</v>
      </c>
      <c r="H4232" s="458" t="s">
        <v>13662</v>
      </c>
      <c r="I4232" s="434"/>
      <c r="J4232" s="463" t="s">
        <v>5041</v>
      </c>
      <c r="K4232" s="434" t="s">
        <v>741</v>
      </c>
    </row>
    <row r="4233" spans="1:11" s="33" customFormat="1">
      <c r="A4233" s="435"/>
      <c r="B4233" s="36"/>
      <c r="C4233" s="217"/>
      <c r="D4233" s="202"/>
      <c r="E4233" s="203"/>
      <c r="F4233" s="149"/>
      <c r="G4233" s="56"/>
      <c r="H4233" s="1648"/>
      <c r="I4233" s="434"/>
      <c r="J4233" s="435"/>
      <c r="K4233" s="434"/>
    </row>
    <row r="4234" spans="1:11" s="33" customFormat="1">
      <c r="A4234" s="463"/>
      <c r="B4234" s="36" t="s">
        <v>11730</v>
      </c>
      <c r="C4234" s="217">
        <v>75</v>
      </c>
      <c r="D4234" s="230">
        <f>C4234*(1-0)*fcl</f>
        <v>170.45454545454544</v>
      </c>
      <c r="E4234" s="203">
        <v>15</v>
      </c>
      <c r="F4234" s="149">
        <f t="shared" ref="F4234:F4236" si="554">D4234+E4234</f>
        <v>185.45454545454544</v>
      </c>
      <c r="G4234" s="22" t="s">
        <v>11731</v>
      </c>
      <c r="H4234" s="458" t="str">
        <f t="shared" ref="H4234:H4236" si="555">B4234</f>
        <v>HXE34k</v>
      </c>
      <c r="I4234" s="434"/>
      <c r="J4234" s="463" t="s">
        <v>10909</v>
      </c>
      <c r="K4234" s="434" t="s">
        <v>741</v>
      </c>
    </row>
    <row r="4235" spans="1:11" s="33" customFormat="1">
      <c r="A4235" s="463"/>
      <c r="B4235" s="36" t="s">
        <v>10908</v>
      </c>
      <c r="C4235" s="217">
        <v>75</v>
      </c>
      <c r="D4235" s="230">
        <f>C4235*(1-0)*fcl</f>
        <v>170.45454545454544</v>
      </c>
      <c r="E4235" s="203">
        <v>15</v>
      </c>
      <c r="F4235" s="149">
        <f t="shared" si="554"/>
        <v>185.45454545454544</v>
      </c>
      <c r="G4235" s="22" t="s">
        <v>11732</v>
      </c>
      <c r="H4235" s="458" t="str">
        <f t="shared" si="555"/>
        <v>HXE33K-A</v>
      </c>
      <c r="I4235" s="434"/>
      <c r="J4235" s="463" t="s">
        <v>10909</v>
      </c>
      <c r="K4235" s="434" t="s">
        <v>741</v>
      </c>
    </row>
    <row r="4236" spans="1:11" s="33" customFormat="1">
      <c r="A4236" s="463"/>
      <c r="B4236" s="36" t="s">
        <v>10910</v>
      </c>
      <c r="C4236" s="217">
        <v>12</v>
      </c>
      <c r="D4236" s="230">
        <f>C4236*(1-0)*fcl</f>
        <v>27.27272727272727</v>
      </c>
      <c r="E4236" s="203">
        <v>15</v>
      </c>
      <c r="F4236" s="149">
        <f t="shared" si="554"/>
        <v>42.272727272727266</v>
      </c>
      <c r="G4236" s="22" t="s">
        <v>11733</v>
      </c>
      <c r="H4236" s="458" t="str">
        <f t="shared" si="555"/>
        <v>HXE12R</v>
      </c>
      <c r="I4236" s="434"/>
      <c r="J4236" s="463" t="s">
        <v>10909</v>
      </c>
      <c r="K4236" s="434" t="s">
        <v>741</v>
      </c>
    </row>
    <row r="4237" spans="1:11" s="33" customFormat="1">
      <c r="A4237" s="435"/>
      <c r="B4237" s="144"/>
      <c r="C4237" s="217"/>
      <c r="D4237" s="230"/>
      <c r="E4237" s="215"/>
      <c r="F4237" s="511"/>
      <c r="G4237" s="314"/>
      <c r="H4237" s="518"/>
      <c r="I4237" s="434"/>
      <c r="J4237" s="435"/>
      <c r="K4237" s="434"/>
    </row>
    <row r="4238" spans="1:11" s="33" customFormat="1">
      <c r="A4238" s="2539" t="s">
        <v>12820</v>
      </c>
      <c r="B4238" s="144" t="s">
        <v>3799</v>
      </c>
      <c r="C4238" s="217">
        <v>349.52</v>
      </c>
      <c r="D4238" s="230">
        <f t="shared" ref="D4238:D4243" si="556">C4238*fcl</f>
        <v>794.36363636363626</v>
      </c>
      <c r="E4238" s="417">
        <v>20</v>
      </c>
      <c r="F4238" s="511">
        <f t="shared" ref="F4238:F4243" si="557">ROUNDUP(D4238+E4238,2)</f>
        <v>814.37</v>
      </c>
      <c r="G4238" s="314" t="s">
        <v>3812</v>
      </c>
      <c r="H4238" s="518" t="s">
        <v>3800</v>
      </c>
      <c r="I4238" s="434"/>
      <c r="J4238" s="369" t="s">
        <v>3798</v>
      </c>
      <c r="K4238" s="452" t="s">
        <v>741</v>
      </c>
    </row>
    <row r="4239" spans="1:11" s="33" customFormat="1">
      <c r="A4239" s="2539"/>
      <c r="B4239" s="144" t="s">
        <v>3801</v>
      </c>
      <c r="C4239" s="217">
        <v>100.66</v>
      </c>
      <c r="D4239" s="230">
        <f t="shared" si="556"/>
        <v>228.77272727272725</v>
      </c>
      <c r="E4239" s="215">
        <v>2</v>
      </c>
      <c r="F4239" s="511">
        <f>ROUNDUP(D4239+E4239,2)</f>
        <v>230.78</v>
      </c>
      <c r="G4239" s="314" t="s">
        <v>5143</v>
      </c>
      <c r="H4239" s="518" t="s">
        <v>3802</v>
      </c>
      <c r="I4239" s="452"/>
      <c r="J4239" s="369" t="s">
        <v>3798</v>
      </c>
      <c r="K4239" s="452" t="s">
        <v>741</v>
      </c>
    </row>
    <row r="4240" spans="1:11" s="33" customFormat="1">
      <c r="A4240" s="2539"/>
      <c r="B4240" s="144" t="s">
        <v>5144</v>
      </c>
      <c r="C4240" s="217">
        <v>268.19</v>
      </c>
      <c r="D4240" s="230">
        <f t="shared" si="556"/>
        <v>609.52272727272725</v>
      </c>
      <c r="E4240" s="215">
        <v>2</v>
      </c>
      <c r="F4240" s="511">
        <f t="shared" si="557"/>
        <v>611.53</v>
      </c>
      <c r="G4240" s="314" t="s">
        <v>5145</v>
      </c>
      <c r="H4240" s="518" t="s">
        <v>5146</v>
      </c>
      <c r="I4240" s="452"/>
      <c r="J4240" s="369" t="s">
        <v>3798</v>
      </c>
      <c r="K4240" s="452" t="s">
        <v>741</v>
      </c>
    </row>
    <row r="4241" spans="1:11" s="33" customFormat="1">
      <c r="A4241" s="2539"/>
      <c r="B4241" s="144" t="s">
        <v>3803</v>
      </c>
      <c r="C4241" s="217">
        <v>173.07</v>
      </c>
      <c r="D4241" s="230">
        <f t="shared" si="556"/>
        <v>393.34090909090901</v>
      </c>
      <c r="E4241" s="215">
        <v>2</v>
      </c>
      <c r="F4241" s="511">
        <f t="shared" si="557"/>
        <v>395.34999999999997</v>
      </c>
      <c r="G4241" s="314" t="s">
        <v>3805</v>
      </c>
      <c r="H4241" s="518" t="s">
        <v>3804</v>
      </c>
      <c r="I4241" s="452"/>
      <c r="J4241" s="369" t="s">
        <v>3798</v>
      </c>
      <c r="K4241" s="452" t="s">
        <v>741</v>
      </c>
    </row>
    <row r="4242" spans="1:11" s="33" customFormat="1">
      <c r="A4242" s="2539"/>
      <c r="B4242" s="144" t="s">
        <v>3806</v>
      </c>
      <c r="C4242" s="217">
        <v>299.33</v>
      </c>
      <c r="D4242" s="230">
        <f t="shared" si="556"/>
        <v>680.29545454545439</v>
      </c>
      <c r="E4242" s="215">
        <v>2</v>
      </c>
      <c r="F4242" s="511">
        <f t="shared" si="557"/>
        <v>682.3</v>
      </c>
      <c r="G4242" s="314" t="s">
        <v>3808</v>
      </c>
      <c r="H4242" s="518" t="s">
        <v>3807</v>
      </c>
      <c r="I4242" s="452"/>
      <c r="J4242" s="369" t="s">
        <v>3798</v>
      </c>
      <c r="K4242" s="452" t="s">
        <v>741</v>
      </c>
    </row>
    <row r="4243" spans="1:11" s="21" customFormat="1">
      <c r="A4243" s="2539"/>
      <c r="B4243" s="144" t="s">
        <v>3809</v>
      </c>
      <c r="C4243" s="217">
        <v>69.77</v>
      </c>
      <c r="D4243" s="230">
        <f t="shared" si="556"/>
        <v>158.56818181818178</v>
      </c>
      <c r="E4243" s="215">
        <v>1</v>
      </c>
      <c r="F4243" s="511">
        <f t="shared" si="557"/>
        <v>159.57</v>
      </c>
      <c r="G4243" s="314" t="s">
        <v>3811</v>
      </c>
      <c r="H4243" s="518" t="s">
        <v>3810</v>
      </c>
      <c r="I4243" s="452"/>
      <c r="J4243" s="369" t="s">
        <v>3798</v>
      </c>
      <c r="K4243" s="452" t="s">
        <v>741</v>
      </c>
    </row>
    <row r="4244" spans="1:11" s="21" customFormat="1">
      <c r="A4244" s="369"/>
      <c r="B4244" s="144"/>
      <c r="C4244" s="217"/>
      <c r="D4244" s="230"/>
      <c r="E4244" s="215"/>
      <c r="F4244" s="511"/>
      <c r="G4244" s="314"/>
      <c r="H4244" s="518"/>
      <c r="I4244" s="452"/>
      <c r="J4244" s="369"/>
      <c r="K4244" s="452"/>
    </row>
    <row r="4245" spans="1:11" s="21" customFormat="1">
      <c r="A4245" s="369"/>
      <c r="B4245" s="144"/>
      <c r="C4245" s="217"/>
      <c r="D4245" s="230"/>
      <c r="E4245" s="215"/>
      <c r="F4245" s="511"/>
      <c r="G4245" s="314"/>
      <c r="H4245" s="518"/>
      <c r="I4245" s="452"/>
      <c r="J4245" s="369"/>
      <c r="K4245" s="452"/>
    </row>
    <row r="4246" spans="1:11" s="33" customFormat="1">
      <c r="A4246" s="2158"/>
      <c r="B4246" s="144" t="s">
        <v>12164</v>
      </c>
      <c r="C4246" s="217">
        <v>270</v>
      </c>
      <c r="D4246" s="230">
        <f t="shared" ref="D4246:D4249" si="558">C4246*fcl</f>
        <v>613.63636363636363</v>
      </c>
      <c r="E4246" s="215">
        <v>20</v>
      </c>
      <c r="F4246" s="511">
        <f t="shared" ref="F4246:F4249" si="559">ROUNDUP(D4246+E4246,2)</f>
        <v>633.64</v>
      </c>
      <c r="G4246" s="314" t="s">
        <v>12165</v>
      </c>
      <c r="H4246" s="518" t="s">
        <v>12821</v>
      </c>
      <c r="I4246" s="434"/>
      <c r="J4246" s="435"/>
      <c r="K4246" s="434"/>
    </row>
    <row r="4247" spans="1:11" s="33" customFormat="1">
      <c r="A4247" s="2158"/>
      <c r="B4247" s="144" t="s">
        <v>12166</v>
      </c>
      <c r="C4247" s="217">
        <v>50</v>
      </c>
      <c r="D4247" s="230">
        <f t="shared" si="558"/>
        <v>113.63636363636363</v>
      </c>
      <c r="E4247" s="215">
        <v>2</v>
      </c>
      <c r="F4247" s="511">
        <f>ROUNDUP(D4247+E4247,2)</f>
        <v>115.64</v>
      </c>
      <c r="G4247" s="314" t="s">
        <v>12167</v>
      </c>
      <c r="H4247" s="518" t="s">
        <v>3802</v>
      </c>
      <c r="I4247" s="452"/>
      <c r="J4247" s="369" t="s">
        <v>3798</v>
      </c>
      <c r="K4247" s="452" t="s">
        <v>741</v>
      </c>
    </row>
    <row r="4248" spans="1:11" s="33" customFormat="1">
      <c r="A4248" s="2158"/>
      <c r="B4248" s="144" t="s">
        <v>12168</v>
      </c>
      <c r="C4248" s="217">
        <v>180</v>
      </c>
      <c r="D4248" s="230">
        <f t="shared" si="558"/>
        <v>409.09090909090907</v>
      </c>
      <c r="E4248" s="215">
        <v>2</v>
      </c>
      <c r="F4248" s="511">
        <f t="shared" si="559"/>
        <v>411.09999999999997</v>
      </c>
      <c r="G4248" s="314" t="s">
        <v>12169</v>
      </c>
      <c r="H4248" s="518" t="s">
        <v>3804</v>
      </c>
      <c r="I4248" s="452"/>
      <c r="J4248" s="369" t="s">
        <v>3798</v>
      </c>
      <c r="K4248" s="452" t="s">
        <v>741</v>
      </c>
    </row>
    <row r="4249" spans="1:11" s="33" customFormat="1">
      <c r="A4249" s="2158"/>
      <c r="B4249" s="144" t="s">
        <v>12170</v>
      </c>
      <c r="C4249" s="217">
        <v>160</v>
      </c>
      <c r="D4249" s="230">
        <f t="shared" si="558"/>
        <v>363.63636363636363</v>
      </c>
      <c r="E4249" s="215">
        <v>2</v>
      </c>
      <c r="F4249" s="511">
        <f t="shared" si="559"/>
        <v>365.64</v>
      </c>
      <c r="G4249" s="314" t="s">
        <v>12171</v>
      </c>
      <c r="H4249" s="518" t="s">
        <v>3807</v>
      </c>
      <c r="I4249" s="452"/>
      <c r="J4249" s="369" t="s">
        <v>3798</v>
      </c>
      <c r="K4249" s="452" t="s">
        <v>741</v>
      </c>
    </row>
    <row r="4250" spans="1:11" s="33" customFormat="1">
      <c r="A4250" s="435"/>
      <c r="B4250" s="36"/>
      <c r="C4250" s="217"/>
      <c r="D4250" s="202"/>
      <c r="E4250" s="203"/>
      <c r="F4250" s="149"/>
      <c r="G4250" s="56"/>
      <c r="H4250" s="1648"/>
      <c r="I4250" s="434"/>
      <c r="J4250" s="435"/>
      <c r="K4250" s="434"/>
    </row>
    <row r="4251" spans="1:11" s="1824" customFormat="1" ht="18.75" customHeight="1">
      <c r="A4251" s="2158"/>
      <c r="B4251" s="2159" t="s">
        <v>10911</v>
      </c>
      <c r="C4251" s="217">
        <v>210</v>
      </c>
      <c r="D4251" s="229">
        <f>C4251*fcl</f>
        <v>477.2727272727272</v>
      </c>
      <c r="E4251" s="215">
        <v>20</v>
      </c>
      <c r="F4251" s="561">
        <f>ROUNDUP(D4251+E4251,2)</f>
        <v>497.28</v>
      </c>
      <c r="G4251" s="2160" t="s">
        <v>12822</v>
      </c>
      <c r="H4251" s="518" t="s">
        <v>12823</v>
      </c>
      <c r="I4251" s="452"/>
      <c r="J4251" s="369" t="s">
        <v>3798</v>
      </c>
      <c r="K4251" s="452" t="s">
        <v>741</v>
      </c>
    </row>
    <row r="4252" spans="1:11" s="33" customFormat="1">
      <c r="A4252" s="2158"/>
      <c r="B4252" s="144" t="s">
        <v>12824</v>
      </c>
      <c r="C4252" s="217">
        <v>50</v>
      </c>
      <c r="D4252" s="230">
        <f t="shared" ref="D4252" si="560">C4252*fcl</f>
        <v>113.63636363636363</v>
      </c>
      <c r="E4252" s="215">
        <v>2</v>
      </c>
      <c r="F4252" s="511">
        <f>ROUNDUP(D4252+E4252,2)</f>
        <v>115.64</v>
      </c>
      <c r="G4252" s="314" t="s">
        <v>12825</v>
      </c>
      <c r="H4252" s="518" t="s">
        <v>12826</v>
      </c>
      <c r="I4252" s="452"/>
      <c r="J4252" s="369" t="s">
        <v>3798</v>
      </c>
      <c r="K4252" s="452" t="s">
        <v>741</v>
      </c>
    </row>
    <row r="4253" spans="1:11" s="21" customFormat="1">
      <c r="A4253" s="369"/>
      <c r="B4253" s="144"/>
      <c r="C4253" s="217"/>
      <c r="D4253" s="230"/>
      <c r="E4253" s="215"/>
      <c r="F4253" s="511"/>
      <c r="G4253" s="314"/>
      <c r="H4253" s="518"/>
      <c r="I4253" s="452"/>
      <c r="J4253" s="369"/>
      <c r="K4253" s="452"/>
    </row>
    <row r="4254" spans="1:11" s="33" customFormat="1">
      <c r="A4254" s="435"/>
      <c r="B4254" s="36"/>
      <c r="C4254" s="217"/>
      <c r="D4254" s="202"/>
      <c r="E4254" s="203"/>
      <c r="F4254" s="149"/>
      <c r="G4254" s="56"/>
      <c r="H4254" s="1648"/>
      <c r="I4254" s="434"/>
      <c r="J4254" s="435"/>
      <c r="K4254" s="434"/>
    </row>
    <row r="4255" spans="1:11" s="33" customFormat="1">
      <c r="A4255" s="435"/>
      <c r="B4255" s="36"/>
      <c r="C4255" s="217"/>
      <c r="D4255" s="202"/>
      <c r="E4255" s="203"/>
      <c r="F4255" s="149"/>
      <c r="G4255" s="56"/>
      <c r="H4255" s="1648"/>
      <c r="I4255" s="434"/>
      <c r="J4255" s="435"/>
      <c r="K4255" s="434"/>
    </row>
    <row r="4256" spans="1:11" s="33" customFormat="1">
      <c r="A4256" s="369"/>
      <c r="B4256" s="144" t="s">
        <v>3813</v>
      </c>
      <c r="C4256" s="217">
        <v>365.7</v>
      </c>
      <c r="D4256" s="230">
        <f>C4256*fcl</f>
        <v>831.13636363636351</v>
      </c>
      <c r="E4256" s="417">
        <v>20</v>
      </c>
      <c r="F4256" s="511">
        <f>ROUNDUP(D4256+E4256,2)</f>
        <v>851.14</v>
      </c>
      <c r="G4256" s="314" t="s">
        <v>3814</v>
      </c>
      <c r="H4256" s="518" t="s">
        <v>3815</v>
      </c>
      <c r="I4256" s="452"/>
      <c r="J4256" s="369" t="s">
        <v>5984</v>
      </c>
      <c r="K4256" s="452" t="s">
        <v>741</v>
      </c>
    </row>
    <row r="4257" spans="1:11" s="33" customFormat="1">
      <c r="A4257" s="369"/>
      <c r="B4257" s="144" t="s">
        <v>3816</v>
      </c>
      <c r="C4257" s="217">
        <v>379.3</v>
      </c>
      <c r="D4257" s="230">
        <f>C4257*fcl</f>
        <v>862.0454545454545</v>
      </c>
      <c r="E4257" s="215">
        <v>20</v>
      </c>
      <c r="F4257" s="511">
        <f>ROUNDUP(D4257+E4257,2)</f>
        <v>882.05</v>
      </c>
      <c r="G4257" s="314" t="s">
        <v>3817</v>
      </c>
      <c r="H4257" s="518" t="s">
        <v>3818</v>
      </c>
      <c r="I4257" s="452"/>
      <c r="J4257" s="369" t="s">
        <v>5984</v>
      </c>
      <c r="K4257" s="452" t="s">
        <v>741</v>
      </c>
    </row>
    <row r="4258" spans="1:11" s="33" customFormat="1">
      <c r="A4258" s="952"/>
      <c r="B4258" s="144" t="s">
        <v>5936</v>
      </c>
      <c r="C4258" s="217">
        <v>769</v>
      </c>
      <c r="D4258" s="230">
        <f>C4258*fcl</f>
        <v>1747.7272727272725</v>
      </c>
      <c r="E4258" s="215">
        <v>20</v>
      </c>
      <c r="F4258" s="511">
        <f>ROUNDUP(D4258+E4258,2)</f>
        <v>1767.73</v>
      </c>
      <c r="G4258" s="314" t="s">
        <v>5937</v>
      </c>
      <c r="H4258" s="518" t="s">
        <v>3818</v>
      </c>
      <c r="I4258" s="452"/>
      <c r="J4258" s="369" t="s">
        <v>5984</v>
      </c>
      <c r="K4258" s="452" t="s">
        <v>741</v>
      </c>
    </row>
    <row r="4259" spans="1:11" s="185" customFormat="1">
      <c r="A4259" s="369"/>
      <c r="B4259" s="144"/>
      <c r="C4259" s="217"/>
      <c r="D4259" s="230"/>
      <c r="E4259" s="215"/>
      <c r="F4259" s="511"/>
      <c r="G4259" s="314"/>
      <c r="H4259" s="518"/>
      <c r="I4259" s="452"/>
      <c r="J4259" s="369"/>
      <c r="K4259" s="452"/>
    </row>
    <row r="4260" spans="1:11" s="33" customFormat="1">
      <c r="A4260" s="435"/>
      <c r="B4260" s="36"/>
      <c r="C4260" s="217"/>
      <c r="D4260" s="202"/>
      <c r="E4260" s="203"/>
      <c r="F4260" s="149"/>
      <c r="G4260" s="56"/>
      <c r="H4260" s="1648"/>
      <c r="I4260" s="434"/>
      <c r="J4260" s="435"/>
      <c r="K4260" s="434"/>
    </row>
    <row r="4261" spans="1:11" s="1397" customFormat="1">
      <c r="A4261" s="952"/>
      <c r="B4261" s="2345" t="s">
        <v>13663</v>
      </c>
      <c r="C4261" s="2346">
        <v>660</v>
      </c>
      <c r="D4261" s="2346">
        <f>C4261*(1-0)*fcl</f>
        <v>1499.9999999999998</v>
      </c>
      <c r="E4261" s="1388">
        <v>30</v>
      </c>
      <c r="F4261" s="517">
        <f t="shared" ref="F4261:F4262" si="561">ROUNDUP(D4261+E4261,1)</f>
        <v>1530</v>
      </c>
      <c r="G4261" s="19" t="s">
        <v>13664</v>
      </c>
      <c r="H4261" s="1656" t="s">
        <v>13663</v>
      </c>
      <c r="I4261" s="544"/>
      <c r="J4261" s="952" t="s">
        <v>5984</v>
      </c>
      <c r="K4261" s="544" t="s">
        <v>741</v>
      </c>
    </row>
    <row r="4262" spans="1:11" s="1397" customFormat="1">
      <c r="A4262" s="952"/>
      <c r="B4262" s="2345" t="s">
        <v>13665</v>
      </c>
      <c r="C4262" s="2346">
        <v>280</v>
      </c>
      <c r="D4262" s="2346">
        <f>C4262*(1-0)*fcl</f>
        <v>636.36363636363626</v>
      </c>
      <c r="E4262" s="1388">
        <v>30</v>
      </c>
      <c r="F4262" s="517">
        <f t="shared" si="561"/>
        <v>666.4</v>
      </c>
      <c r="G4262" s="19" t="s">
        <v>13666</v>
      </c>
      <c r="H4262" s="1656" t="str">
        <f>B4262</f>
        <v>WGC-35-TB</v>
      </c>
      <c r="I4262" s="544"/>
      <c r="J4262" s="952" t="s">
        <v>5984</v>
      </c>
      <c r="K4262" s="544" t="s">
        <v>741</v>
      </c>
    </row>
    <row r="4263" spans="1:11" s="33" customFormat="1">
      <c r="A4263" s="435"/>
      <c r="B4263" s="36"/>
      <c r="C4263" s="217"/>
      <c r="D4263" s="202"/>
      <c r="E4263" s="203"/>
      <c r="F4263" s="149"/>
      <c r="G4263" s="56"/>
      <c r="H4263" s="1648"/>
      <c r="I4263" s="434"/>
      <c r="J4263" s="435"/>
      <c r="K4263" s="434"/>
    </row>
    <row r="4264" spans="1:11" s="33" customFormat="1">
      <c r="A4264" s="435"/>
      <c r="B4264" s="36"/>
      <c r="C4264" s="217"/>
      <c r="D4264" s="202"/>
      <c r="E4264" s="203"/>
      <c r="F4264" s="149"/>
      <c r="G4264" s="56"/>
      <c r="H4264" s="1648"/>
      <c r="I4264" s="434"/>
      <c r="J4264" s="435"/>
      <c r="K4264" s="434"/>
    </row>
    <row r="4265" spans="1:11" s="185" customFormat="1">
      <c r="A4265" s="369"/>
      <c r="B4265" s="143" t="s">
        <v>2518</v>
      </c>
      <c r="C4265" s="1527">
        <v>201</v>
      </c>
      <c r="D4265" s="155">
        <f>C4265*(1-0)*fcl</f>
        <v>456.81818181818176</v>
      </c>
      <c r="E4265" s="215">
        <v>30</v>
      </c>
      <c r="F4265" s="511">
        <f t="shared" ref="F4265:F4271" si="562">ROUNDUP(D4265+E4265,1)</f>
        <v>486.90000000000003</v>
      </c>
      <c r="G4265" s="314" t="s">
        <v>8250</v>
      </c>
      <c r="H4265" s="518" t="s">
        <v>744</v>
      </c>
      <c r="I4265" s="452"/>
      <c r="J4265" s="369" t="s">
        <v>5984</v>
      </c>
      <c r="K4265" s="452" t="s">
        <v>741</v>
      </c>
    </row>
    <row r="4266" spans="1:11">
      <c r="A4266" s="369"/>
      <c r="B4266" s="143" t="s">
        <v>2519</v>
      </c>
      <c r="C4266" s="1527">
        <v>580</v>
      </c>
      <c r="D4266" s="155">
        <f>C4266*(1-0)*fcl</f>
        <v>1318.181818181818</v>
      </c>
      <c r="E4266" s="215">
        <v>30</v>
      </c>
      <c r="F4266" s="511">
        <f t="shared" si="562"/>
        <v>1348.1999999999998</v>
      </c>
      <c r="G4266" s="314" t="s">
        <v>8251</v>
      </c>
      <c r="H4266" s="518" t="s">
        <v>1572</v>
      </c>
      <c r="I4266" s="452"/>
      <c r="J4266" s="369" t="s">
        <v>5984</v>
      </c>
      <c r="K4266" s="452" t="s">
        <v>741</v>
      </c>
    </row>
    <row r="4267" spans="1:11" s="185" customFormat="1">
      <c r="A4267" s="369"/>
      <c r="B4267" s="143" t="s">
        <v>12827</v>
      </c>
      <c r="C4267" s="155">
        <v>370</v>
      </c>
      <c r="D4267" s="155">
        <f>C4267*(1-0)*fcl</f>
        <v>840.90909090909076</v>
      </c>
      <c r="E4267" s="215">
        <v>10</v>
      </c>
      <c r="F4267" s="511">
        <f>ROUNDUP(D4267+E4267,1)</f>
        <v>851</v>
      </c>
      <c r="G4267" s="314" t="s">
        <v>12828</v>
      </c>
      <c r="H4267" s="458" t="str">
        <f>B4267</f>
        <v>Modulo de Memoria_CVM-B100</v>
      </c>
      <c r="I4267" s="452"/>
      <c r="J4267" s="369" t="s">
        <v>5984</v>
      </c>
      <c r="K4267" s="452" t="s">
        <v>741</v>
      </c>
    </row>
    <row r="4268" spans="1:11">
      <c r="A4268" s="369"/>
      <c r="B4268" s="143" t="s">
        <v>2505</v>
      </c>
      <c r="C4268" s="454"/>
      <c r="D4268" s="155">
        <v>1135</v>
      </c>
      <c r="E4268" s="215">
        <v>30</v>
      </c>
      <c r="F4268" s="511">
        <f t="shared" si="562"/>
        <v>1165</v>
      </c>
      <c r="G4268" s="314" t="s">
        <v>11596</v>
      </c>
      <c r="H4268" s="458" t="str">
        <f>B4268</f>
        <v>CVM-B100-ETHERNET</v>
      </c>
      <c r="I4268" s="452"/>
      <c r="J4268" s="369" t="s">
        <v>5984</v>
      </c>
      <c r="K4268" s="452" t="s">
        <v>741</v>
      </c>
    </row>
    <row r="4269" spans="1:11">
      <c r="A4269" s="369"/>
      <c r="B4269" s="143" t="s">
        <v>2506</v>
      </c>
      <c r="C4269" s="454"/>
      <c r="D4269" s="155">
        <v>1425</v>
      </c>
      <c r="E4269" s="215">
        <v>30</v>
      </c>
      <c r="F4269" s="511">
        <f t="shared" si="562"/>
        <v>1455</v>
      </c>
      <c r="G4269" s="314" t="s">
        <v>8252</v>
      </c>
      <c r="H4269" s="458" t="str">
        <f>B4269</f>
        <v>CVM-B100-PROFIBUS</v>
      </c>
      <c r="I4269" s="452"/>
      <c r="J4269" s="369" t="s">
        <v>5984</v>
      </c>
      <c r="K4269" s="452" t="s">
        <v>741</v>
      </c>
    </row>
    <row r="4270" spans="1:11">
      <c r="A4270" s="369"/>
      <c r="B4270" s="143" t="s">
        <v>8253</v>
      </c>
      <c r="C4270" s="1527">
        <v>710</v>
      </c>
      <c r="D4270" s="155">
        <f>C4270*(1-0)*fcl</f>
        <v>1613.6363636363635</v>
      </c>
      <c r="E4270" s="215">
        <v>30</v>
      </c>
      <c r="F4270" s="511">
        <f t="shared" si="562"/>
        <v>1643.6999999999998</v>
      </c>
      <c r="G4270" s="314" t="s">
        <v>8254</v>
      </c>
      <c r="H4270" s="135" t="s">
        <v>8255</v>
      </c>
      <c r="I4270" s="452"/>
      <c r="J4270" s="369" t="s">
        <v>5984</v>
      </c>
      <c r="K4270" s="452" t="s">
        <v>741</v>
      </c>
    </row>
    <row r="4271" spans="1:11" s="185" customFormat="1">
      <c r="A4271" s="369"/>
      <c r="B4271" s="143" t="s">
        <v>8256</v>
      </c>
      <c r="C4271" s="1527">
        <f>1.08*16.53</f>
        <v>17.852400000000003</v>
      </c>
      <c r="D4271" s="155">
        <f>C4271*(1-0.2)*fcl</f>
        <v>32.458909090909096</v>
      </c>
      <c r="E4271" s="215">
        <v>10</v>
      </c>
      <c r="F4271" s="511">
        <f t="shared" si="562"/>
        <v>42.5</v>
      </c>
      <c r="G4271" s="314" t="s">
        <v>8257</v>
      </c>
      <c r="H4271" s="518" t="s">
        <v>8258</v>
      </c>
      <c r="I4271" s="452"/>
      <c r="J4271" s="369" t="s">
        <v>5984</v>
      </c>
      <c r="K4271" s="452" t="s">
        <v>741</v>
      </c>
    </row>
    <row r="4272" spans="1:11" s="185" customFormat="1">
      <c r="A4272" s="369"/>
      <c r="B4272" s="143" t="s">
        <v>8259</v>
      </c>
      <c r="C4272" s="155">
        <v>290</v>
      </c>
      <c r="D4272" s="155">
        <f>C4272*(1-0.2)*fcl</f>
        <v>527.27272727272725</v>
      </c>
      <c r="E4272" s="215">
        <v>10</v>
      </c>
      <c r="F4272" s="511">
        <f>ROUNDUP(D4272+E4272,1)</f>
        <v>537.30000000000007</v>
      </c>
      <c r="G4272" s="314" t="s">
        <v>11597</v>
      </c>
      <c r="H4272" s="458" t="str">
        <f>B4272</f>
        <v>Modulo de Ethernet_CVM-B100</v>
      </c>
      <c r="I4272" s="452"/>
      <c r="J4272" s="369" t="s">
        <v>5984</v>
      </c>
      <c r="K4272" s="452" t="s">
        <v>741</v>
      </c>
    </row>
    <row r="4273" spans="1:11" s="185" customFormat="1">
      <c r="A4273" s="369"/>
      <c r="B4273" s="143"/>
      <c r="C4273" s="155"/>
      <c r="D4273" s="155"/>
      <c r="E4273" s="215"/>
      <c r="F4273" s="511"/>
      <c r="G4273" s="314"/>
      <c r="H4273" s="458"/>
      <c r="I4273" s="452"/>
      <c r="J4273" s="369"/>
      <c r="K4273" s="452"/>
    </row>
    <row r="4274" spans="1:11" s="317" customFormat="1">
      <c r="A4274" s="369"/>
      <c r="B4274" s="143" t="s">
        <v>13667</v>
      </c>
      <c r="C4274" s="1527">
        <v>1556.42</v>
      </c>
      <c r="D4274" s="155">
        <f>C4274*(1-0)*fcl</f>
        <v>3537.3181818181815</v>
      </c>
      <c r="E4274" s="215">
        <v>150</v>
      </c>
      <c r="F4274" s="511">
        <f t="shared" ref="F4274" si="563">ROUNDUP(D4274+E4274,1)</f>
        <v>3687.4</v>
      </c>
      <c r="G4274" s="314" t="s">
        <v>13668</v>
      </c>
      <c r="H4274" s="518" t="s">
        <v>13669</v>
      </c>
      <c r="I4274" s="452"/>
      <c r="J4274" s="369" t="s">
        <v>13670</v>
      </c>
      <c r="K4274" s="452" t="s">
        <v>741</v>
      </c>
    </row>
    <row r="4275" spans="1:11" s="33" customFormat="1">
      <c r="A4275" s="435"/>
      <c r="B4275" s="36"/>
      <c r="C4275" s="217"/>
      <c r="D4275" s="202"/>
      <c r="E4275" s="203"/>
      <c r="F4275" s="149"/>
      <c r="G4275" s="56"/>
      <c r="H4275" s="1648"/>
      <c r="I4275" s="434"/>
      <c r="J4275" s="435"/>
      <c r="K4275" s="434"/>
    </row>
    <row r="4276" spans="1:11">
      <c r="A4276" s="369"/>
      <c r="B4276" s="143" t="s">
        <v>9861</v>
      </c>
      <c r="C4276" s="1527">
        <f>1.2*212.26</f>
        <v>254.71199999999999</v>
      </c>
      <c r="D4276" s="155">
        <f>C4276*(1-0.1)*fcl</f>
        <v>521.00181818181818</v>
      </c>
      <c r="E4276" s="215">
        <v>5</v>
      </c>
      <c r="F4276" s="511">
        <f t="shared" ref="F4276" si="564">ROUNDUP(D4276+E4276,1)</f>
        <v>526.1</v>
      </c>
      <c r="G4276" s="314" t="s">
        <v>9862</v>
      </c>
      <c r="H4276" s="518" t="s">
        <v>9863</v>
      </c>
      <c r="I4276" s="452"/>
      <c r="J4276" s="369" t="s">
        <v>5984</v>
      </c>
      <c r="K4276" s="452" t="s">
        <v>741</v>
      </c>
    </row>
    <row r="4277" spans="1:11" s="185" customFormat="1">
      <c r="A4277" s="369"/>
      <c r="B4277" s="143" t="s">
        <v>9359</v>
      </c>
      <c r="C4277" s="1527">
        <v>433</v>
      </c>
      <c r="D4277" s="155">
        <f>C4277*(1-0.2)*fcl</f>
        <v>787.27272727272725</v>
      </c>
      <c r="E4277" s="215">
        <v>30</v>
      </c>
      <c r="F4277" s="511">
        <f>ROUNDUP(D4277+E4277,1)</f>
        <v>817.30000000000007</v>
      </c>
      <c r="G4277" s="314" t="s">
        <v>9360</v>
      </c>
      <c r="H4277" s="143" t="s">
        <v>9359</v>
      </c>
      <c r="I4277" s="452"/>
      <c r="J4277" s="369" t="s">
        <v>5984</v>
      </c>
      <c r="K4277" s="452" t="s">
        <v>741</v>
      </c>
    </row>
    <row r="4278" spans="1:11">
      <c r="A4278" s="369"/>
      <c r="B4278" s="143"/>
      <c r="C4278" s="454"/>
      <c r="D4278" s="155"/>
      <c r="E4278" s="215"/>
      <c r="F4278" s="511"/>
      <c r="G4278" s="314"/>
      <c r="H4278" s="518"/>
      <c r="I4278" s="452"/>
      <c r="J4278" s="369"/>
      <c r="K4278" s="452"/>
    </row>
    <row r="4279" spans="1:11" s="317" customFormat="1">
      <c r="A4279" s="369"/>
      <c r="B4279" s="143" t="s">
        <v>5938</v>
      </c>
      <c r="C4279" s="155">
        <v>41.2</v>
      </c>
      <c r="D4279" s="155">
        <f>C4279*(1-0.2)*fcl</f>
        <v>74.909090909090907</v>
      </c>
      <c r="E4279" s="215">
        <v>15</v>
      </c>
      <c r="F4279" s="511">
        <f>ROUNDUP(D4279+E4279,1)</f>
        <v>90</v>
      </c>
      <c r="G4279" s="314" t="s">
        <v>5939</v>
      </c>
      <c r="H4279" s="518" t="s">
        <v>5940</v>
      </c>
      <c r="I4279" s="452"/>
      <c r="J4279" s="369" t="s">
        <v>5984</v>
      </c>
      <c r="K4279" s="452" t="s">
        <v>741</v>
      </c>
    </row>
    <row r="4280" spans="1:11" s="317" customFormat="1">
      <c r="A4280" s="369"/>
      <c r="B4280" s="143" t="s">
        <v>5941</v>
      </c>
      <c r="C4280" s="1527">
        <v>44.19</v>
      </c>
      <c r="D4280" s="155">
        <f>C4280*(1-0.2)*fcl</f>
        <v>80.34545454545453</v>
      </c>
      <c r="E4280" s="215">
        <v>15</v>
      </c>
      <c r="F4280" s="511">
        <f>ROUNDUP(D4280+E4280,1)</f>
        <v>95.399999999999991</v>
      </c>
      <c r="G4280" s="314" t="s">
        <v>5942</v>
      </c>
      <c r="H4280" s="518" t="s">
        <v>5943</v>
      </c>
      <c r="I4280" s="452"/>
      <c r="J4280" s="369" t="s">
        <v>5984</v>
      </c>
      <c r="K4280" s="452" t="s">
        <v>741</v>
      </c>
    </row>
    <row r="4281" spans="1:11" s="315" customFormat="1">
      <c r="A4281" s="369"/>
      <c r="B4281" s="143"/>
      <c r="C4281" s="155"/>
      <c r="D4281" s="155"/>
      <c r="E4281" s="215"/>
      <c r="F4281" s="511"/>
      <c r="G4281" s="314"/>
      <c r="H4281" s="518"/>
      <c r="I4281" s="452"/>
      <c r="J4281" s="369"/>
      <c r="K4281" s="452"/>
    </row>
    <row r="4282" spans="1:11" s="315" customFormat="1">
      <c r="A4282" s="369"/>
      <c r="B4282" s="2347" t="s">
        <v>13671</v>
      </c>
      <c r="C4282" s="155"/>
      <c r="D4282" s="155"/>
      <c r="E4282" s="215"/>
      <c r="F4282" s="511"/>
      <c r="G4282" s="314"/>
      <c r="H4282" s="518"/>
      <c r="I4282" s="452"/>
      <c r="J4282" s="369"/>
      <c r="K4282" s="452"/>
    </row>
    <row r="4283" spans="1:11" s="315" customFormat="1">
      <c r="A4283" s="369"/>
      <c r="B4283" s="2347" t="s">
        <v>13672</v>
      </c>
      <c r="C4283" s="155"/>
      <c r="D4283" s="155"/>
      <c r="E4283" s="215"/>
      <c r="F4283" s="511"/>
      <c r="G4283" s="314"/>
      <c r="H4283" s="518"/>
      <c r="I4283" s="452"/>
      <c r="J4283" s="369"/>
      <c r="K4283" s="452"/>
    </row>
    <row r="4284" spans="1:11" s="185" customFormat="1">
      <c r="A4284" s="369"/>
      <c r="B4284" s="143" t="s">
        <v>13673</v>
      </c>
      <c r="C4284" s="1527">
        <v>28.41</v>
      </c>
      <c r="D4284" s="155">
        <f>C4284*(1-0.2)*fcl</f>
        <v>51.654545454545449</v>
      </c>
      <c r="E4284" s="215">
        <v>10</v>
      </c>
      <c r="F4284" s="511">
        <f t="shared" ref="F4284:F4291" si="565">ROUNDUP(D4284+E4284,1)</f>
        <v>61.7</v>
      </c>
      <c r="G4284" s="314" t="s">
        <v>13674</v>
      </c>
      <c r="H4284" s="518" t="s">
        <v>13675</v>
      </c>
      <c r="I4284" s="452"/>
      <c r="J4284" s="369" t="s">
        <v>5984</v>
      </c>
      <c r="K4284" s="452" t="s">
        <v>741</v>
      </c>
    </row>
    <row r="4285" spans="1:11" s="185" customFormat="1">
      <c r="A4285" s="369"/>
      <c r="B4285" s="143" t="s">
        <v>13676</v>
      </c>
      <c r="C4285" s="1527">
        <v>28.41</v>
      </c>
      <c r="D4285" s="155">
        <f t="shared" ref="D4285:D4288" si="566">C4285*(1-0.2)*fcl</f>
        <v>51.654545454545449</v>
      </c>
      <c r="E4285" s="215">
        <v>10</v>
      </c>
      <c r="F4285" s="511">
        <f t="shared" si="565"/>
        <v>61.7</v>
      </c>
      <c r="G4285" s="314" t="s">
        <v>13677</v>
      </c>
      <c r="H4285" s="518" t="s">
        <v>13678</v>
      </c>
      <c r="I4285" s="452"/>
      <c r="J4285" s="369" t="s">
        <v>5984</v>
      </c>
      <c r="K4285" s="452" t="s">
        <v>741</v>
      </c>
    </row>
    <row r="4286" spans="1:11" s="185" customFormat="1">
      <c r="A4286" s="369"/>
      <c r="B4286" s="143" t="s">
        <v>13679</v>
      </c>
      <c r="C4286" s="1527">
        <v>29.32</v>
      </c>
      <c r="D4286" s="155">
        <f t="shared" si="566"/>
        <v>53.309090909090912</v>
      </c>
      <c r="E4286" s="215">
        <v>10</v>
      </c>
      <c r="F4286" s="511">
        <f t="shared" si="565"/>
        <v>63.4</v>
      </c>
      <c r="G4286" s="314" t="s">
        <v>13680</v>
      </c>
      <c r="H4286" s="518" t="s">
        <v>13681</v>
      </c>
      <c r="I4286" s="452"/>
      <c r="J4286" s="369" t="s">
        <v>5984</v>
      </c>
      <c r="K4286" s="452" t="s">
        <v>741</v>
      </c>
    </row>
    <row r="4287" spans="1:11" s="185" customFormat="1">
      <c r="A4287" s="369"/>
      <c r="B4287" s="143" t="s">
        <v>13682</v>
      </c>
      <c r="C4287" s="1527">
        <v>29.32</v>
      </c>
      <c r="D4287" s="155">
        <f t="shared" si="566"/>
        <v>53.309090909090912</v>
      </c>
      <c r="E4287" s="215">
        <v>10</v>
      </c>
      <c r="F4287" s="511">
        <f t="shared" si="565"/>
        <v>63.4</v>
      </c>
      <c r="G4287" s="314" t="s">
        <v>13683</v>
      </c>
      <c r="H4287" s="518" t="s">
        <v>13684</v>
      </c>
      <c r="I4287" s="452"/>
      <c r="J4287" s="369" t="s">
        <v>5984</v>
      </c>
      <c r="K4287" s="452" t="s">
        <v>741</v>
      </c>
    </row>
    <row r="4288" spans="1:11" s="185" customFormat="1">
      <c r="A4288" s="369"/>
      <c r="B4288" s="143" t="s">
        <v>13685</v>
      </c>
      <c r="C4288" s="1527">
        <v>31.07</v>
      </c>
      <c r="D4288" s="155">
        <f t="shared" si="566"/>
        <v>56.490909090909092</v>
      </c>
      <c r="E4288" s="215">
        <v>10</v>
      </c>
      <c r="F4288" s="511">
        <f t="shared" si="565"/>
        <v>66.5</v>
      </c>
      <c r="G4288" s="314" t="s">
        <v>13686</v>
      </c>
      <c r="H4288" s="518" t="s">
        <v>13687</v>
      </c>
      <c r="I4288" s="452"/>
      <c r="J4288" s="369" t="s">
        <v>5984</v>
      </c>
      <c r="K4288" s="452" t="s">
        <v>741</v>
      </c>
    </row>
    <row r="4289" spans="1:11">
      <c r="A4289" s="369"/>
      <c r="B4289" s="143" t="s">
        <v>13688</v>
      </c>
      <c r="C4289" s="1527">
        <v>31.34</v>
      </c>
      <c r="D4289" s="155">
        <f>C4289*(1-0)*fcl</f>
        <v>71.22727272727272</v>
      </c>
      <c r="E4289" s="215">
        <v>20</v>
      </c>
      <c r="F4289" s="511">
        <f t="shared" si="565"/>
        <v>91.3</v>
      </c>
      <c r="G4289" s="314" t="s">
        <v>13689</v>
      </c>
      <c r="H4289" s="518" t="s">
        <v>13690</v>
      </c>
      <c r="I4289" s="452"/>
      <c r="J4289" s="369" t="s">
        <v>5984</v>
      </c>
      <c r="K4289" s="452" t="s">
        <v>741</v>
      </c>
    </row>
    <row r="4290" spans="1:11">
      <c r="A4290" s="369"/>
      <c r="B4290" s="143" t="s">
        <v>13691</v>
      </c>
      <c r="C4290" s="1527">
        <v>32.21</v>
      </c>
      <c r="D4290" s="155">
        <f>C4290*(1-0)*fcl</f>
        <v>73.204545454545453</v>
      </c>
      <c r="E4290" s="215">
        <v>20</v>
      </c>
      <c r="F4290" s="511">
        <f t="shared" si="565"/>
        <v>93.3</v>
      </c>
      <c r="G4290" s="314" t="s">
        <v>13692</v>
      </c>
      <c r="H4290" s="518" t="s">
        <v>13693</v>
      </c>
      <c r="I4290" s="452"/>
      <c r="J4290" s="369" t="s">
        <v>5984</v>
      </c>
      <c r="K4290" s="452" t="s">
        <v>741</v>
      </c>
    </row>
    <row r="4291" spans="1:11">
      <c r="A4291" s="369"/>
      <c r="B4291" s="143" t="s">
        <v>13694</v>
      </c>
      <c r="C4291" s="1527">
        <v>33.25</v>
      </c>
      <c r="D4291" s="155">
        <f>C4291*(1-0)*fcl</f>
        <v>75.568181818181813</v>
      </c>
      <c r="E4291" s="215">
        <v>20</v>
      </c>
      <c r="F4291" s="511">
        <f t="shared" si="565"/>
        <v>95.6</v>
      </c>
      <c r="G4291" s="314" t="s">
        <v>13695</v>
      </c>
      <c r="H4291" s="518" t="s">
        <v>13696</v>
      </c>
      <c r="I4291" s="452"/>
      <c r="J4291" s="369" t="s">
        <v>5984</v>
      </c>
      <c r="K4291" s="452" t="s">
        <v>741</v>
      </c>
    </row>
    <row r="4292" spans="1:11" s="317" customFormat="1" ht="13.5" customHeight="1">
      <c r="A4292" s="369"/>
      <c r="B4292" s="143"/>
      <c r="C4292" s="196"/>
      <c r="D4292" s="230"/>
      <c r="E4292" s="215"/>
      <c r="F4292" s="511"/>
      <c r="G4292" s="314"/>
      <c r="H4292" s="518"/>
      <c r="I4292" s="452"/>
      <c r="J4292" s="515"/>
      <c r="K4292" s="452"/>
    </row>
    <row r="4293" spans="1:11" s="315" customFormat="1">
      <c r="A4293" s="369"/>
      <c r="B4293" s="143"/>
      <c r="C4293" s="155"/>
      <c r="D4293" s="155"/>
      <c r="E4293" s="215"/>
      <c r="F4293" s="511"/>
      <c r="G4293" s="314"/>
      <c r="H4293" s="518"/>
      <c r="I4293" s="452"/>
      <c r="J4293" s="369"/>
      <c r="K4293" s="452"/>
    </row>
    <row r="4294" spans="1:11" s="315" customFormat="1">
      <c r="A4294" s="369"/>
      <c r="B4294" s="2347" t="s">
        <v>13697</v>
      </c>
      <c r="C4294" s="155"/>
      <c r="D4294" s="155"/>
      <c r="E4294" s="215"/>
      <c r="F4294" s="511"/>
      <c r="G4294" s="314"/>
      <c r="H4294" s="518"/>
      <c r="I4294" s="452"/>
      <c r="J4294" s="369"/>
      <c r="K4294" s="452"/>
    </row>
    <row r="4295" spans="1:11" s="315" customFormat="1">
      <c r="A4295" s="369"/>
      <c r="B4295" s="2347" t="s">
        <v>13698</v>
      </c>
      <c r="C4295" s="155"/>
      <c r="D4295" s="155"/>
      <c r="E4295" s="215"/>
      <c r="F4295" s="511"/>
      <c r="G4295" s="314"/>
      <c r="H4295" s="518"/>
      <c r="I4295" s="452"/>
      <c r="J4295" s="369"/>
      <c r="K4295" s="452"/>
    </row>
    <row r="4296" spans="1:11">
      <c r="A4296" s="369"/>
      <c r="B4296" s="143" t="s">
        <v>13699</v>
      </c>
      <c r="C4296" s="1527">
        <v>39.020000000000003</v>
      </c>
      <c r="D4296" s="155">
        <f>C4296*(1-0)*fcl</f>
        <v>88.681818181818173</v>
      </c>
      <c r="E4296" s="215">
        <v>20</v>
      </c>
      <c r="F4296" s="511">
        <f t="shared" ref="F4296" si="567">ROUNDUP(D4296+E4296,1)</f>
        <v>108.69999999999999</v>
      </c>
      <c r="G4296" s="314" t="s">
        <v>13700</v>
      </c>
      <c r="H4296" s="518" t="s">
        <v>13701</v>
      </c>
      <c r="I4296" s="452"/>
      <c r="J4296" s="369" t="s">
        <v>5984</v>
      </c>
      <c r="K4296" s="452" t="s">
        <v>741</v>
      </c>
    </row>
    <row r="4297" spans="1:11" s="317" customFormat="1" ht="13.5" customHeight="1">
      <c r="A4297" s="369"/>
      <c r="B4297" s="143"/>
      <c r="C4297" s="196"/>
      <c r="D4297" s="230"/>
      <c r="E4297" s="215"/>
      <c r="F4297" s="511"/>
      <c r="G4297" s="314"/>
      <c r="H4297" s="518"/>
      <c r="I4297" s="452"/>
      <c r="J4297" s="515"/>
      <c r="K4297" s="452"/>
    </row>
    <row r="4298" spans="1:11" s="315" customFormat="1">
      <c r="A4298" s="369"/>
      <c r="B4298" s="143"/>
      <c r="C4298" s="155"/>
      <c r="D4298" s="155"/>
      <c r="E4298" s="215"/>
      <c r="F4298" s="511"/>
      <c r="G4298" s="314"/>
      <c r="H4298" s="518"/>
      <c r="I4298" s="452"/>
      <c r="J4298" s="369"/>
      <c r="K4298" s="452"/>
    </row>
    <row r="4299" spans="1:11" s="315" customFormat="1">
      <c r="A4299" s="369"/>
      <c r="B4299" s="2347" t="s">
        <v>13702</v>
      </c>
      <c r="C4299" s="155"/>
      <c r="D4299" s="155"/>
      <c r="E4299" s="215"/>
      <c r="F4299" s="511"/>
      <c r="G4299" s="314"/>
      <c r="H4299" s="518"/>
      <c r="I4299" s="452"/>
      <c r="J4299" s="369"/>
      <c r="K4299" s="452"/>
    </row>
    <row r="4300" spans="1:11" s="315" customFormat="1">
      <c r="A4300" s="369"/>
      <c r="B4300" s="2347" t="s">
        <v>13703</v>
      </c>
      <c r="C4300" s="155"/>
      <c r="D4300" s="155"/>
      <c r="E4300" s="215"/>
      <c r="F4300" s="511"/>
      <c r="G4300" s="314"/>
      <c r="H4300" s="518"/>
      <c r="I4300" s="452"/>
      <c r="J4300" s="369"/>
      <c r="K4300" s="452"/>
    </row>
    <row r="4301" spans="1:11" s="185" customFormat="1">
      <c r="A4301" s="369"/>
      <c r="B4301" s="143" t="s">
        <v>13704</v>
      </c>
      <c r="C4301" s="1527">
        <v>102.47</v>
      </c>
      <c r="D4301" s="155">
        <f t="shared" ref="D4301:D4306" si="568">C4301*(1-0.2)*fcl</f>
        <v>186.30909090909088</v>
      </c>
      <c r="E4301" s="215">
        <v>10</v>
      </c>
      <c r="F4301" s="511">
        <f t="shared" ref="F4301:F4307" si="569">ROUNDUP(D4301+E4301,1)</f>
        <v>196.4</v>
      </c>
      <c r="G4301" s="314" t="s">
        <v>13705</v>
      </c>
      <c r="H4301" s="518" t="s">
        <v>13706</v>
      </c>
      <c r="I4301" s="452"/>
      <c r="J4301" s="369" t="s">
        <v>5984</v>
      </c>
      <c r="K4301" s="452" t="s">
        <v>741</v>
      </c>
    </row>
    <row r="4302" spans="1:11" s="185" customFormat="1">
      <c r="A4302" s="369"/>
      <c r="B4302" s="143" t="s">
        <v>13707</v>
      </c>
      <c r="C4302" s="1527">
        <v>102.47</v>
      </c>
      <c r="D4302" s="155">
        <f t="shared" si="568"/>
        <v>186.30909090909088</v>
      </c>
      <c r="E4302" s="215">
        <v>10</v>
      </c>
      <c r="F4302" s="511">
        <f t="shared" si="569"/>
        <v>196.4</v>
      </c>
      <c r="G4302" s="314" t="s">
        <v>13708</v>
      </c>
      <c r="H4302" s="518" t="s">
        <v>13709</v>
      </c>
      <c r="I4302" s="452"/>
      <c r="J4302" s="369" t="s">
        <v>5984</v>
      </c>
      <c r="K4302" s="452" t="s">
        <v>741</v>
      </c>
    </row>
    <row r="4303" spans="1:11" s="185" customFormat="1">
      <c r="A4303" s="369"/>
      <c r="B4303" s="143" t="s">
        <v>13710</v>
      </c>
      <c r="C4303" s="1527">
        <v>102.47</v>
      </c>
      <c r="D4303" s="155">
        <f t="shared" si="568"/>
        <v>186.30909090909088</v>
      </c>
      <c r="E4303" s="215">
        <v>10</v>
      </c>
      <c r="F4303" s="511">
        <f t="shared" si="569"/>
        <v>196.4</v>
      </c>
      <c r="G4303" s="314" t="s">
        <v>13711</v>
      </c>
      <c r="H4303" s="518" t="s">
        <v>13712</v>
      </c>
      <c r="I4303" s="452"/>
      <c r="J4303" s="369" t="s">
        <v>5984</v>
      </c>
      <c r="K4303" s="452" t="s">
        <v>741</v>
      </c>
    </row>
    <row r="4304" spans="1:11" s="185" customFormat="1">
      <c r="A4304" s="369"/>
      <c r="B4304" s="143" t="s">
        <v>13713</v>
      </c>
      <c r="C4304" s="1527">
        <v>102.47</v>
      </c>
      <c r="D4304" s="155">
        <f t="shared" si="568"/>
        <v>186.30909090909088</v>
      </c>
      <c r="E4304" s="215">
        <v>10</v>
      </c>
      <c r="F4304" s="511">
        <f t="shared" si="569"/>
        <v>196.4</v>
      </c>
      <c r="G4304" s="314" t="s">
        <v>13714</v>
      </c>
      <c r="H4304" s="518" t="s">
        <v>13715</v>
      </c>
      <c r="I4304" s="452"/>
      <c r="J4304" s="369" t="s">
        <v>5984</v>
      </c>
      <c r="K4304" s="452" t="s">
        <v>741</v>
      </c>
    </row>
    <row r="4305" spans="1:11" s="185" customFormat="1">
      <c r="A4305" s="369"/>
      <c r="B4305" s="143" t="s">
        <v>13716</v>
      </c>
      <c r="C4305" s="1527">
        <v>102.47</v>
      </c>
      <c r="D4305" s="155">
        <f t="shared" si="568"/>
        <v>186.30909090909088</v>
      </c>
      <c r="E4305" s="215">
        <v>10</v>
      </c>
      <c r="F4305" s="511">
        <f t="shared" si="569"/>
        <v>196.4</v>
      </c>
      <c r="G4305" s="314" t="s">
        <v>13717</v>
      </c>
      <c r="H4305" s="518" t="s">
        <v>13718</v>
      </c>
      <c r="I4305" s="452"/>
      <c r="J4305" s="369" t="s">
        <v>5984</v>
      </c>
      <c r="K4305" s="452" t="s">
        <v>741</v>
      </c>
    </row>
    <row r="4306" spans="1:11" s="185" customFormat="1">
      <c r="A4306" s="369"/>
      <c r="B4306" s="143" t="s">
        <v>13719</v>
      </c>
      <c r="C4306" s="1527">
        <v>102.47</v>
      </c>
      <c r="D4306" s="155">
        <f t="shared" si="568"/>
        <v>186.30909090909088</v>
      </c>
      <c r="E4306" s="215">
        <v>10</v>
      </c>
      <c r="F4306" s="511">
        <f t="shared" si="569"/>
        <v>196.4</v>
      </c>
      <c r="G4306" s="314" t="s">
        <v>13720</v>
      </c>
      <c r="H4306" s="518" t="s">
        <v>13721</v>
      </c>
      <c r="I4306" s="452"/>
      <c r="J4306" s="369" t="s">
        <v>5984</v>
      </c>
      <c r="K4306" s="452" t="s">
        <v>741</v>
      </c>
    </row>
    <row r="4307" spans="1:11">
      <c r="A4307" s="369"/>
      <c r="B4307" s="143" t="s">
        <v>13722</v>
      </c>
      <c r="C4307" s="1527">
        <v>102.47</v>
      </c>
      <c r="D4307" s="155">
        <f>C4307*(1-0)*fcl</f>
        <v>232.8863636363636</v>
      </c>
      <c r="E4307" s="215">
        <v>20</v>
      </c>
      <c r="F4307" s="511">
        <f t="shared" si="569"/>
        <v>252.9</v>
      </c>
      <c r="G4307" s="314" t="s">
        <v>13723</v>
      </c>
      <c r="H4307" s="518" t="s">
        <v>13724</v>
      </c>
      <c r="I4307" s="452"/>
      <c r="J4307" s="369" t="s">
        <v>5984</v>
      </c>
      <c r="K4307" s="452" t="s">
        <v>741</v>
      </c>
    </row>
    <row r="4308" spans="1:11" s="317" customFormat="1" ht="13.5" customHeight="1">
      <c r="A4308" s="369"/>
      <c r="B4308" s="143"/>
      <c r="C4308" s="196"/>
      <c r="D4308" s="230"/>
      <c r="E4308" s="215"/>
      <c r="F4308" s="511"/>
      <c r="G4308" s="314"/>
      <c r="H4308" s="518"/>
      <c r="I4308" s="452"/>
      <c r="J4308" s="515"/>
      <c r="K4308" s="452"/>
    </row>
    <row r="4309" spans="1:11" s="315" customFormat="1">
      <c r="A4309" s="369"/>
      <c r="B4309" s="2347" t="s">
        <v>13725</v>
      </c>
      <c r="C4309" s="155"/>
      <c r="D4309" s="155"/>
      <c r="E4309" s="215"/>
      <c r="F4309" s="511"/>
      <c r="G4309" s="314"/>
      <c r="H4309" s="518"/>
      <c r="I4309" s="452"/>
      <c r="J4309" s="369"/>
      <c r="K4309" s="452"/>
    </row>
    <row r="4310" spans="1:11" s="185" customFormat="1">
      <c r="A4310" s="369"/>
      <c r="B4310" s="143" t="s">
        <v>13726</v>
      </c>
      <c r="C4310" s="1527">
        <v>115.85</v>
      </c>
      <c r="D4310" s="155">
        <f>C4310*(1-0.2)*fcl</f>
        <v>210.63636363636363</v>
      </c>
      <c r="E4310" s="215">
        <v>10</v>
      </c>
      <c r="F4310" s="511">
        <f t="shared" ref="F4310:F4319" si="570">ROUNDUP(D4310+E4310,1)</f>
        <v>220.7</v>
      </c>
      <c r="G4310" s="314" t="s">
        <v>13708</v>
      </c>
      <c r="H4310" s="518" t="s">
        <v>13727</v>
      </c>
      <c r="I4310" s="452"/>
      <c r="J4310" s="369" t="s">
        <v>5984</v>
      </c>
      <c r="K4310" s="452" t="s">
        <v>741</v>
      </c>
    </row>
    <row r="4311" spans="1:11" s="185" customFormat="1">
      <c r="A4311" s="369"/>
      <c r="B4311" s="143" t="s">
        <v>13728</v>
      </c>
      <c r="C4311" s="1527">
        <v>115.85</v>
      </c>
      <c r="D4311" s="155">
        <f>C4311*(1-0.2)*fcl</f>
        <v>210.63636363636363</v>
      </c>
      <c r="E4311" s="215">
        <v>10</v>
      </c>
      <c r="F4311" s="511">
        <f t="shared" si="570"/>
        <v>220.7</v>
      </c>
      <c r="G4311" s="314" t="s">
        <v>13714</v>
      </c>
      <c r="H4311" s="518" t="s">
        <v>13729</v>
      </c>
      <c r="I4311" s="452"/>
      <c r="J4311" s="369" t="s">
        <v>5984</v>
      </c>
      <c r="K4311" s="452" t="s">
        <v>741</v>
      </c>
    </row>
    <row r="4312" spans="1:11" s="185" customFormat="1">
      <c r="A4312" s="369"/>
      <c r="B4312" s="143" t="s">
        <v>13730</v>
      </c>
      <c r="C4312" s="1527">
        <v>115.85</v>
      </c>
      <c r="D4312" s="155">
        <f>C4312*(1-0.2)*fcl</f>
        <v>210.63636363636363</v>
      </c>
      <c r="E4312" s="215">
        <v>10</v>
      </c>
      <c r="F4312" s="511">
        <f t="shared" si="570"/>
        <v>220.7</v>
      </c>
      <c r="G4312" s="314" t="s">
        <v>13717</v>
      </c>
      <c r="H4312" s="518" t="s">
        <v>13731</v>
      </c>
      <c r="I4312" s="452"/>
      <c r="J4312" s="369" t="s">
        <v>5984</v>
      </c>
      <c r="K4312" s="452" t="s">
        <v>741</v>
      </c>
    </row>
    <row r="4313" spans="1:11" s="185" customFormat="1">
      <c r="A4313" s="369"/>
      <c r="B4313" s="143" t="s">
        <v>13732</v>
      </c>
      <c r="C4313" s="1527">
        <v>115.85</v>
      </c>
      <c r="D4313" s="155">
        <f>C4313*(1-0.2)*fcl</f>
        <v>210.63636363636363</v>
      </c>
      <c r="E4313" s="215">
        <v>10</v>
      </c>
      <c r="F4313" s="511">
        <f t="shared" si="570"/>
        <v>220.7</v>
      </c>
      <c r="G4313" s="314" t="s">
        <v>13720</v>
      </c>
      <c r="H4313" s="518" t="s">
        <v>13733</v>
      </c>
      <c r="I4313" s="452"/>
      <c r="J4313" s="369" t="s">
        <v>5984</v>
      </c>
      <c r="K4313" s="452" t="s">
        <v>741</v>
      </c>
    </row>
    <row r="4314" spans="1:11">
      <c r="A4314" s="369"/>
      <c r="B4314" s="143" t="s">
        <v>13734</v>
      </c>
      <c r="C4314" s="1527">
        <v>115.85</v>
      </c>
      <c r="D4314" s="155">
        <f>C4314*(1-0)*fcl</f>
        <v>263.2954545454545</v>
      </c>
      <c r="E4314" s="215">
        <v>20</v>
      </c>
      <c r="F4314" s="511">
        <f t="shared" si="570"/>
        <v>283.3</v>
      </c>
      <c r="G4314" s="314" t="s">
        <v>13723</v>
      </c>
      <c r="H4314" s="518" t="s">
        <v>13735</v>
      </c>
      <c r="I4314" s="452"/>
      <c r="J4314" s="369" t="s">
        <v>5984</v>
      </c>
      <c r="K4314" s="452" t="s">
        <v>741</v>
      </c>
    </row>
    <row r="4315" spans="1:11" s="185" customFormat="1">
      <c r="A4315" s="369"/>
      <c r="B4315" s="143" t="s">
        <v>13736</v>
      </c>
      <c r="C4315" s="1527">
        <v>115.85</v>
      </c>
      <c r="D4315" s="155">
        <f>C4315*(1-0.2)*fcl</f>
        <v>210.63636363636363</v>
      </c>
      <c r="E4315" s="215">
        <v>20</v>
      </c>
      <c r="F4315" s="511">
        <f t="shared" si="570"/>
        <v>230.7</v>
      </c>
      <c r="G4315" s="314" t="s">
        <v>13737</v>
      </c>
      <c r="H4315" s="518" t="s">
        <v>13738</v>
      </c>
      <c r="I4315" s="452"/>
      <c r="J4315" s="369" t="s">
        <v>5984</v>
      </c>
      <c r="K4315" s="452" t="s">
        <v>741</v>
      </c>
    </row>
    <row r="4316" spans="1:11">
      <c r="A4316" s="369"/>
      <c r="B4316" s="143" t="s">
        <v>13739</v>
      </c>
      <c r="C4316" s="1527">
        <v>115.85</v>
      </c>
      <c r="D4316" s="155">
        <f>C4316*(1-0)*fcl</f>
        <v>263.2954545454545</v>
      </c>
      <c r="E4316" s="215">
        <v>20</v>
      </c>
      <c r="F4316" s="511">
        <f t="shared" si="570"/>
        <v>283.3</v>
      </c>
      <c r="G4316" s="314" t="s">
        <v>13740</v>
      </c>
      <c r="H4316" s="518" t="s">
        <v>13741</v>
      </c>
      <c r="I4316" s="452"/>
      <c r="J4316" s="369" t="s">
        <v>5984</v>
      </c>
      <c r="K4316" s="452" t="s">
        <v>741</v>
      </c>
    </row>
    <row r="4317" spans="1:11">
      <c r="A4317" s="369"/>
      <c r="B4317" s="143" t="s">
        <v>13742</v>
      </c>
      <c r="C4317" s="1527">
        <v>115.85</v>
      </c>
      <c r="D4317" s="155">
        <f>C4317*(1-0)*fcl</f>
        <v>263.2954545454545</v>
      </c>
      <c r="E4317" s="215">
        <v>20</v>
      </c>
      <c r="F4317" s="511">
        <f t="shared" si="570"/>
        <v>283.3</v>
      </c>
      <c r="G4317" s="314" t="s">
        <v>13743</v>
      </c>
      <c r="H4317" s="518" t="s">
        <v>13744</v>
      </c>
      <c r="I4317" s="452"/>
      <c r="J4317" s="369" t="s">
        <v>5984</v>
      </c>
      <c r="K4317" s="452" t="s">
        <v>741</v>
      </c>
    </row>
    <row r="4318" spans="1:11" s="185" customFormat="1">
      <c r="A4318" s="369"/>
      <c r="B4318" s="143" t="s">
        <v>13745</v>
      </c>
      <c r="C4318" s="1527">
        <v>115.85</v>
      </c>
      <c r="D4318" s="155">
        <f>C4318*(1-0.2)*fcl</f>
        <v>210.63636363636363</v>
      </c>
      <c r="E4318" s="215">
        <v>30</v>
      </c>
      <c r="F4318" s="511">
        <f t="shared" si="570"/>
        <v>240.7</v>
      </c>
      <c r="G4318" s="314" t="s">
        <v>13746</v>
      </c>
      <c r="H4318" s="518" t="s">
        <v>13747</v>
      </c>
      <c r="I4318" s="452"/>
      <c r="J4318" s="369" t="s">
        <v>5984</v>
      </c>
      <c r="K4318" s="452" t="s">
        <v>741</v>
      </c>
    </row>
    <row r="4319" spans="1:11">
      <c r="A4319" s="369"/>
      <c r="B4319" s="143" t="s">
        <v>13748</v>
      </c>
      <c r="C4319" s="1527">
        <v>115.85</v>
      </c>
      <c r="D4319" s="155">
        <f>C4319*(1-0)*fcl</f>
        <v>263.2954545454545</v>
      </c>
      <c r="E4319" s="215">
        <v>30</v>
      </c>
      <c r="F4319" s="511">
        <f t="shared" si="570"/>
        <v>293.3</v>
      </c>
      <c r="G4319" s="314" t="s">
        <v>13749</v>
      </c>
      <c r="H4319" s="518" t="s">
        <v>13750</v>
      </c>
      <c r="I4319" s="452"/>
      <c r="J4319" s="369" t="s">
        <v>5984</v>
      </c>
      <c r="K4319" s="452" t="s">
        <v>741</v>
      </c>
    </row>
    <row r="4320" spans="1:11" s="317" customFormat="1">
      <c r="A4320" s="369"/>
      <c r="B4320" s="143"/>
      <c r="C4320" s="196"/>
      <c r="D4320" s="230"/>
      <c r="E4320" s="215"/>
      <c r="F4320" s="511"/>
      <c r="G4320" s="314"/>
      <c r="H4320" s="518"/>
      <c r="I4320" s="452"/>
      <c r="J4320" s="515"/>
      <c r="K4320" s="452"/>
    </row>
    <row r="4321" spans="1:11" s="315" customFormat="1">
      <c r="A4321" s="369"/>
      <c r="B4321" s="2347" t="s">
        <v>13751</v>
      </c>
      <c r="C4321" s="155"/>
      <c r="D4321" s="155"/>
      <c r="E4321" s="215"/>
      <c r="F4321" s="511"/>
      <c r="G4321" s="314"/>
      <c r="H4321" s="518"/>
      <c r="I4321" s="452"/>
      <c r="J4321" s="369"/>
      <c r="K4321" s="452"/>
    </row>
    <row r="4322" spans="1:11" s="185" customFormat="1">
      <c r="A4322" s="369"/>
      <c r="B4322" s="143" t="s">
        <v>13752</v>
      </c>
      <c r="C4322" s="1527">
        <v>127.55</v>
      </c>
      <c r="D4322" s="155">
        <f>C4322*(1-0.2)*fcl</f>
        <v>231.90909090909091</v>
      </c>
      <c r="E4322" s="215">
        <v>10</v>
      </c>
      <c r="F4322" s="511">
        <f t="shared" ref="F4322:F4329" si="571">ROUNDUP(D4322+E4322,1)</f>
        <v>242</v>
      </c>
      <c r="G4322" s="314" t="s">
        <v>13717</v>
      </c>
      <c r="H4322" s="518" t="s">
        <v>13731</v>
      </c>
      <c r="I4322" s="452"/>
      <c r="J4322" s="369" t="s">
        <v>5984</v>
      </c>
      <c r="K4322" s="452" t="s">
        <v>741</v>
      </c>
    </row>
    <row r="4323" spans="1:11" s="185" customFormat="1">
      <c r="A4323" s="369"/>
      <c r="B4323" s="143" t="s">
        <v>13753</v>
      </c>
      <c r="C4323" s="1527">
        <v>127.55</v>
      </c>
      <c r="D4323" s="155">
        <f>C4323*(1-0.2)*fcl</f>
        <v>231.90909090909091</v>
      </c>
      <c r="E4323" s="215">
        <v>10</v>
      </c>
      <c r="F4323" s="511">
        <f t="shared" si="571"/>
        <v>242</v>
      </c>
      <c r="G4323" s="314" t="s">
        <v>13720</v>
      </c>
      <c r="H4323" s="518" t="s">
        <v>13733</v>
      </c>
      <c r="I4323" s="452"/>
      <c r="J4323" s="369" t="s">
        <v>5984</v>
      </c>
      <c r="K4323" s="452" t="s">
        <v>741</v>
      </c>
    </row>
    <row r="4324" spans="1:11">
      <c r="A4324" s="369"/>
      <c r="B4324" s="143" t="s">
        <v>13754</v>
      </c>
      <c r="C4324" s="1527">
        <v>127.55</v>
      </c>
      <c r="D4324" s="155">
        <f>C4324*(1-0)*fcl</f>
        <v>289.88636363636363</v>
      </c>
      <c r="E4324" s="215">
        <v>20</v>
      </c>
      <c r="F4324" s="511">
        <f t="shared" si="571"/>
        <v>309.90000000000003</v>
      </c>
      <c r="G4324" s="314" t="s">
        <v>13723</v>
      </c>
      <c r="H4324" s="518" t="s">
        <v>13735</v>
      </c>
      <c r="I4324" s="452"/>
      <c r="J4324" s="369" t="s">
        <v>5984</v>
      </c>
      <c r="K4324" s="452" t="s">
        <v>741</v>
      </c>
    </row>
    <row r="4325" spans="1:11" s="185" customFormat="1">
      <c r="A4325" s="369"/>
      <c r="B4325" s="143" t="s">
        <v>13755</v>
      </c>
      <c r="C4325" s="1527">
        <v>127.55</v>
      </c>
      <c r="D4325" s="155">
        <f>C4325*(1-0.2)*fcl</f>
        <v>231.90909090909091</v>
      </c>
      <c r="E4325" s="215">
        <v>20</v>
      </c>
      <c r="F4325" s="511">
        <f t="shared" si="571"/>
        <v>252</v>
      </c>
      <c r="G4325" s="314" t="s">
        <v>13737</v>
      </c>
      <c r="H4325" s="518" t="s">
        <v>13738</v>
      </c>
      <c r="I4325" s="452"/>
      <c r="J4325" s="369" t="s">
        <v>5984</v>
      </c>
      <c r="K4325" s="452" t="s">
        <v>741</v>
      </c>
    </row>
    <row r="4326" spans="1:11">
      <c r="A4326" s="369"/>
      <c r="B4326" s="143" t="s">
        <v>13756</v>
      </c>
      <c r="C4326" s="1527">
        <v>127.55</v>
      </c>
      <c r="D4326" s="155">
        <f>C4326*(1-0)*fcl</f>
        <v>289.88636363636363</v>
      </c>
      <c r="E4326" s="215">
        <v>20</v>
      </c>
      <c r="F4326" s="511">
        <f t="shared" si="571"/>
        <v>309.90000000000003</v>
      </c>
      <c r="G4326" s="314" t="s">
        <v>13740</v>
      </c>
      <c r="H4326" s="518" t="s">
        <v>13741</v>
      </c>
      <c r="I4326" s="452"/>
      <c r="J4326" s="369" t="s">
        <v>5984</v>
      </c>
      <c r="K4326" s="452" t="s">
        <v>741</v>
      </c>
    </row>
    <row r="4327" spans="1:11">
      <c r="A4327" s="369"/>
      <c r="B4327" s="143" t="s">
        <v>13757</v>
      </c>
      <c r="C4327" s="1527">
        <v>127.55</v>
      </c>
      <c r="D4327" s="155">
        <f>C4327*(1-0)*fcl</f>
        <v>289.88636363636363</v>
      </c>
      <c r="E4327" s="215">
        <v>20</v>
      </c>
      <c r="F4327" s="511">
        <f t="shared" si="571"/>
        <v>309.90000000000003</v>
      </c>
      <c r="G4327" s="314" t="s">
        <v>13743</v>
      </c>
      <c r="H4327" s="518" t="s">
        <v>13744</v>
      </c>
      <c r="I4327" s="452"/>
      <c r="J4327" s="369" t="s">
        <v>5984</v>
      </c>
      <c r="K4327" s="452" t="s">
        <v>741</v>
      </c>
    </row>
    <row r="4328" spans="1:11" s="185" customFormat="1">
      <c r="A4328" s="369"/>
      <c r="B4328" s="143" t="s">
        <v>13758</v>
      </c>
      <c r="C4328" s="1527">
        <v>127.55</v>
      </c>
      <c r="D4328" s="155">
        <f>C4328*(1-0.2)*fcl</f>
        <v>231.90909090909091</v>
      </c>
      <c r="E4328" s="215">
        <v>30</v>
      </c>
      <c r="F4328" s="511">
        <f t="shared" si="571"/>
        <v>262</v>
      </c>
      <c r="G4328" s="314" t="s">
        <v>13746</v>
      </c>
      <c r="H4328" s="518" t="s">
        <v>13747</v>
      </c>
      <c r="I4328" s="452"/>
      <c r="J4328" s="369" t="s">
        <v>5984</v>
      </c>
      <c r="K4328" s="452" t="s">
        <v>741</v>
      </c>
    </row>
    <row r="4329" spans="1:11">
      <c r="A4329" s="369"/>
      <c r="B4329" s="143" t="s">
        <v>13759</v>
      </c>
      <c r="C4329" s="1527">
        <v>127.55</v>
      </c>
      <c r="D4329" s="155">
        <f>C4329*(1-0)*fcl</f>
        <v>289.88636363636363</v>
      </c>
      <c r="E4329" s="215">
        <v>30</v>
      </c>
      <c r="F4329" s="511">
        <f t="shared" si="571"/>
        <v>319.90000000000003</v>
      </c>
      <c r="G4329" s="314" t="s">
        <v>13749</v>
      </c>
      <c r="H4329" s="518" t="s">
        <v>13750</v>
      </c>
      <c r="I4329" s="452"/>
      <c r="J4329" s="369" t="s">
        <v>5984</v>
      </c>
      <c r="K4329" s="452" t="s">
        <v>741</v>
      </c>
    </row>
    <row r="4330" spans="1:11" s="317" customFormat="1">
      <c r="A4330" s="369"/>
      <c r="B4330" s="143"/>
      <c r="C4330" s="196"/>
      <c r="D4330" s="230"/>
      <c r="E4330" s="215"/>
      <c r="F4330" s="511"/>
      <c r="G4330" s="314"/>
      <c r="H4330" s="518"/>
      <c r="I4330" s="452"/>
      <c r="J4330" s="515"/>
      <c r="K4330" s="452"/>
    </row>
    <row r="4331" spans="1:11" s="315" customFormat="1">
      <c r="A4331" s="369"/>
      <c r="B4331" s="2347" t="s">
        <v>13760</v>
      </c>
      <c r="C4331" s="155"/>
      <c r="D4331" s="155"/>
      <c r="E4331" s="215"/>
      <c r="F4331" s="511"/>
      <c r="G4331" s="314"/>
      <c r="H4331" s="518"/>
      <c r="I4331" s="452"/>
      <c r="J4331" s="369"/>
      <c r="K4331" s="452"/>
    </row>
    <row r="4332" spans="1:11" s="185" customFormat="1">
      <c r="A4332" s="369"/>
      <c r="B4332" s="143" t="s">
        <v>13761</v>
      </c>
      <c r="C4332" s="1527">
        <v>185.87</v>
      </c>
      <c r="D4332" s="155">
        <f t="shared" ref="D4332:D4341" si="572">C4332*(1-0.2)*fcl</f>
        <v>337.94545454545448</v>
      </c>
      <c r="E4332" s="215">
        <v>20</v>
      </c>
      <c r="F4332" s="511">
        <f t="shared" ref="F4332:F4341" si="573">ROUNDUP(D4332+E4332,1)</f>
        <v>358</v>
      </c>
      <c r="G4332" s="314" t="s">
        <v>13737</v>
      </c>
      <c r="H4332" s="518" t="s">
        <v>13762</v>
      </c>
      <c r="I4332" s="452"/>
      <c r="J4332" s="369" t="s">
        <v>5984</v>
      </c>
      <c r="K4332" s="452" t="s">
        <v>741</v>
      </c>
    </row>
    <row r="4333" spans="1:11">
      <c r="A4333" s="369"/>
      <c r="B4333" s="143" t="s">
        <v>13763</v>
      </c>
      <c r="C4333" s="1527">
        <v>185.87</v>
      </c>
      <c r="D4333" s="155">
        <f t="shared" si="572"/>
        <v>337.94545454545448</v>
      </c>
      <c r="E4333" s="215">
        <v>20</v>
      </c>
      <c r="F4333" s="511">
        <f t="shared" si="573"/>
        <v>358</v>
      </c>
      <c r="G4333" s="314" t="s">
        <v>13740</v>
      </c>
      <c r="H4333" s="518" t="s">
        <v>13764</v>
      </c>
      <c r="I4333" s="452"/>
      <c r="J4333" s="369" t="s">
        <v>5984</v>
      </c>
      <c r="K4333" s="452" t="s">
        <v>741</v>
      </c>
    </row>
    <row r="4334" spans="1:11">
      <c r="A4334" s="369"/>
      <c r="B4334" s="143" t="s">
        <v>13765</v>
      </c>
      <c r="C4334" s="1527">
        <v>185.87</v>
      </c>
      <c r="D4334" s="155">
        <f t="shared" si="572"/>
        <v>337.94545454545448</v>
      </c>
      <c r="E4334" s="215">
        <v>20</v>
      </c>
      <c r="F4334" s="511">
        <f t="shared" si="573"/>
        <v>358</v>
      </c>
      <c r="G4334" s="314" t="s">
        <v>13766</v>
      </c>
      <c r="H4334" s="518" t="s">
        <v>13767</v>
      </c>
      <c r="I4334" s="452"/>
      <c r="J4334" s="369" t="s">
        <v>5984</v>
      </c>
      <c r="K4334" s="452" t="s">
        <v>741</v>
      </c>
    </row>
    <row r="4335" spans="1:11" s="185" customFormat="1">
      <c r="A4335" s="369"/>
      <c r="B4335" s="143" t="s">
        <v>13768</v>
      </c>
      <c r="C4335" s="1527">
        <v>185.87</v>
      </c>
      <c r="D4335" s="155">
        <f t="shared" si="572"/>
        <v>337.94545454545448</v>
      </c>
      <c r="E4335" s="215">
        <v>30</v>
      </c>
      <c r="F4335" s="511">
        <f t="shared" si="573"/>
        <v>368</v>
      </c>
      <c r="G4335" s="314" t="s">
        <v>13746</v>
      </c>
      <c r="H4335" s="518" t="s">
        <v>13769</v>
      </c>
      <c r="I4335" s="452"/>
      <c r="J4335" s="369" t="s">
        <v>5984</v>
      </c>
      <c r="K4335" s="452" t="s">
        <v>741</v>
      </c>
    </row>
    <row r="4336" spans="1:11">
      <c r="A4336" s="369"/>
      <c r="B4336" s="143" t="s">
        <v>13770</v>
      </c>
      <c r="C4336" s="1527">
        <v>185.87</v>
      </c>
      <c r="D4336" s="155">
        <f t="shared" si="572"/>
        <v>337.94545454545448</v>
      </c>
      <c r="E4336" s="215">
        <v>30</v>
      </c>
      <c r="F4336" s="511">
        <f t="shared" si="573"/>
        <v>368</v>
      </c>
      <c r="G4336" s="314" t="s">
        <v>13749</v>
      </c>
      <c r="H4336" s="518" t="s">
        <v>13771</v>
      </c>
      <c r="I4336" s="452"/>
      <c r="J4336" s="369" t="s">
        <v>5984</v>
      </c>
      <c r="K4336" s="452" t="s">
        <v>741</v>
      </c>
    </row>
    <row r="4337" spans="1:11">
      <c r="A4337" s="369"/>
      <c r="B4337" s="143" t="s">
        <v>13772</v>
      </c>
      <c r="C4337" s="1527">
        <v>185.87</v>
      </c>
      <c r="D4337" s="155">
        <f t="shared" si="572"/>
        <v>337.94545454545448</v>
      </c>
      <c r="E4337" s="215">
        <v>20</v>
      </c>
      <c r="F4337" s="511">
        <f t="shared" si="573"/>
        <v>358</v>
      </c>
      <c r="G4337" s="314" t="s">
        <v>13773</v>
      </c>
      <c r="H4337" s="518" t="s">
        <v>13774</v>
      </c>
      <c r="I4337" s="452"/>
      <c r="J4337" s="369" t="s">
        <v>5984</v>
      </c>
      <c r="K4337" s="452" t="s">
        <v>741</v>
      </c>
    </row>
    <row r="4338" spans="1:11" s="185" customFormat="1">
      <c r="A4338" s="369"/>
      <c r="B4338" s="143" t="s">
        <v>13775</v>
      </c>
      <c r="C4338" s="1527">
        <v>185.87</v>
      </c>
      <c r="D4338" s="155">
        <f t="shared" si="572"/>
        <v>337.94545454545448</v>
      </c>
      <c r="E4338" s="215">
        <v>30</v>
      </c>
      <c r="F4338" s="511">
        <f t="shared" si="573"/>
        <v>368</v>
      </c>
      <c r="G4338" s="314" t="s">
        <v>13776</v>
      </c>
      <c r="H4338" s="518" t="s">
        <v>13777</v>
      </c>
      <c r="I4338" s="452"/>
      <c r="J4338" s="369" t="s">
        <v>5984</v>
      </c>
      <c r="K4338" s="452" t="s">
        <v>741</v>
      </c>
    </row>
    <row r="4339" spans="1:11">
      <c r="A4339" s="369"/>
      <c r="B4339" s="143" t="s">
        <v>13778</v>
      </c>
      <c r="C4339" s="1527">
        <v>185.87</v>
      </c>
      <c r="D4339" s="155">
        <f t="shared" si="572"/>
        <v>337.94545454545448</v>
      </c>
      <c r="E4339" s="215">
        <v>30</v>
      </c>
      <c r="F4339" s="511">
        <f t="shared" si="573"/>
        <v>368</v>
      </c>
      <c r="G4339" s="314" t="s">
        <v>13779</v>
      </c>
      <c r="H4339" s="518" t="s">
        <v>13780</v>
      </c>
      <c r="I4339" s="452"/>
      <c r="J4339" s="369" t="s">
        <v>5984</v>
      </c>
      <c r="K4339" s="452" t="s">
        <v>741</v>
      </c>
    </row>
    <row r="4340" spans="1:11">
      <c r="A4340" s="369"/>
      <c r="B4340" s="143" t="s">
        <v>13781</v>
      </c>
      <c r="C4340" s="1527">
        <v>185.87</v>
      </c>
      <c r="D4340" s="155">
        <f t="shared" si="572"/>
        <v>337.94545454545448</v>
      </c>
      <c r="E4340" s="215">
        <v>20</v>
      </c>
      <c r="F4340" s="511">
        <f t="shared" si="573"/>
        <v>358</v>
      </c>
      <c r="G4340" s="314" t="s">
        <v>13782</v>
      </c>
      <c r="H4340" s="518" t="s">
        <v>13783</v>
      </c>
      <c r="I4340" s="452"/>
      <c r="J4340" s="369" t="s">
        <v>5984</v>
      </c>
      <c r="K4340" s="452" t="s">
        <v>741</v>
      </c>
    </row>
    <row r="4341" spans="1:11" s="185" customFormat="1">
      <c r="A4341" s="369"/>
      <c r="B4341" s="143" t="s">
        <v>13784</v>
      </c>
      <c r="C4341" s="1527">
        <v>213.75</v>
      </c>
      <c r="D4341" s="155">
        <f t="shared" si="572"/>
        <v>388.63636363636357</v>
      </c>
      <c r="E4341" s="215">
        <v>30</v>
      </c>
      <c r="F4341" s="511">
        <f t="shared" si="573"/>
        <v>418.70000000000005</v>
      </c>
      <c r="G4341" s="314" t="s">
        <v>13785</v>
      </c>
      <c r="H4341" s="518" t="s">
        <v>13786</v>
      </c>
      <c r="I4341" s="452"/>
      <c r="J4341" s="369" t="s">
        <v>5984</v>
      </c>
      <c r="K4341" s="452" t="s">
        <v>741</v>
      </c>
    </row>
    <row r="4342" spans="1:11" s="317" customFormat="1">
      <c r="A4342" s="369"/>
      <c r="B4342" s="143"/>
      <c r="C4342" s="196"/>
      <c r="D4342" s="230"/>
      <c r="E4342" s="215"/>
      <c r="F4342" s="511"/>
      <c r="G4342" s="314"/>
      <c r="H4342" s="518"/>
      <c r="I4342" s="452"/>
      <c r="J4342" s="515"/>
      <c r="K4342" s="452"/>
    </row>
    <row r="4343" spans="1:11" s="315" customFormat="1">
      <c r="A4343" s="369"/>
      <c r="B4343" s="2347" t="s">
        <v>13787</v>
      </c>
      <c r="C4343" s="155"/>
      <c r="D4343" s="155"/>
      <c r="E4343" s="215"/>
      <c r="F4343" s="511"/>
      <c r="G4343" s="314"/>
      <c r="H4343" s="518"/>
      <c r="I4343" s="452"/>
      <c r="J4343" s="369"/>
      <c r="K4343" s="452"/>
    </row>
    <row r="4344" spans="1:11" s="185" customFormat="1">
      <c r="A4344" s="369"/>
      <c r="B4344" s="143" t="s">
        <v>13788</v>
      </c>
      <c r="C4344" s="1527">
        <v>395.09</v>
      </c>
      <c r="D4344" s="155">
        <f t="shared" ref="D4344:D4354" si="574">C4344*(1-0.2)*fcl</f>
        <v>718.34545454545446</v>
      </c>
      <c r="E4344" s="215">
        <v>20</v>
      </c>
      <c r="F4344" s="511">
        <f t="shared" ref="F4344:F4354" si="575">ROUNDUP(D4344+E4344,1)</f>
        <v>738.4</v>
      </c>
      <c r="G4344" s="314" t="s">
        <v>13737</v>
      </c>
      <c r="H4344" s="518" t="s">
        <v>13789</v>
      </c>
      <c r="I4344" s="452"/>
      <c r="J4344" s="369" t="s">
        <v>5984</v>
      </c>
      <c r="K4344" s="452" t="s">
        <v>741</v>
      </c>
    </row>
    <row r="4345" spans="1:11">
      <c r="A4345" s="369"/>
      <c r="B4345" s="143" t="s">
        <v>13790</v>
      </c>
      <c r="C4345" s="1527">
        <v>458.63</v>
      </c>
      <c r="D4345" s="155">
        <f t="shared" si="574"/>
        <v>833.87272727272716</v>
      </c>
      <c r="E4345" s="215">
        <v>20</v>
      </c>
      <c r="F4345" s="511">
        <f t="shared" si="575"/>
        <v>853.9</v>
      </c>
      <c r="G4345" s="314" t="s">
        <v>13740</v>
      </c>
      <c r="H4345" s="518" t="s">
        <v>13791</v>
      </c>
      <c r="I4345" s="452"/>
      <c r="J4345" s="369" t="s">
        <v>5984</v>
      </c>
      <c r="K4345" s="452" t="s">
        <v>741</v>
      </c>
    </row>
    <row r="4346" spans="1:11">
      <c r="A4346" s="369"/>
      <c r="B4346" s="143" t="s">
        <v>13792</v>
      </c>
      <c r="C4346" s="1527">
        <v>399.71</v>
      </c>
      <c r="D4346" s="155">
        <f t="shared" si="574"/>
        <v>726.74545454545455</v>
      </c>
      <c r="E4346" s="215">
        <v>20</v>
      </c>
      <c r="F4346" s="511">
        <f t="shared" si="575"/>
        <v>746.80000000000007</v>
      </c>
      <c r="G4346" s="314" t="s">
        <v>13766</v>
      </c>
      <c r="H4346" s="518" t="s">
        <v>13793</v>
      </c>
      <c r="I4346" s="452"/>
      <c r="J4346" s="369" t="s">
        <v>5984</v>
      </c>
      <c r="K4346" s="452" t="s">
        <v>741</v>
      </c>
    </row>
    <row r="4347" spans="1:11">
      <c r="A4347" s="369"/>
      <c r="B4347" s="143" t="s">
        <v>13794</v>
      </c>
      <c r="C4347" s="1527">
        <v>400.98</v>
      </c>
      <c r="D4347" s="155">
        <f t="shared" si="574"/>
        <v>729.05454545454552</v>
      </c>
      <c r="E4347" s="215">
        <v>30</v>
      </c>
      <c r="F4347" s="511">
        <f t="shared" si="575"/>
        <v>759.1</v>
      </c>
      <c r="G4347" s="314" t="s">
        <v>13749</v>
      </c>
      <c r="H4347" s="518" t="s">
        <v>13795</v>
      </c>
      <c r="I4347" s="452"/>
      <c r="J4347" s="369" t="s">
        <v>5984</v>
      </c>
      <c r="K4347" s="452" t="s">
        <v>741</v>
      </c>
    </row>
    <row r="4348" spans="1:11" s="185" customFormat="1">
      <c r="A4348" s="369"/>
      <c r="B4348" s="143" t="s">
        <v>13796</v>
      </c>
      <c r="C4348" s="1527">
        <v>409</v>
      </c>
      <c r="D4348" s="155">
        <f t="shared" si="574"/>
        <v>743.63636363636363</v>
      </c>
      <c r="E4348" s="215">
        <v>30</v>
      </c>
      <c r="F4348" s="511">
        <f t="shared" si="575"/>
        <v>773.7</v>
      </c>
      <c r="G4348" s="314" t="s">
        <v>13776</v>
      </c>
      <c r="H4348" s="518" t="s">
        <v>13797</v>
      </c>
      <c r="I4348" s="452"/>
      <c r="J4348" s="369" t="s">
        <v>5984</v>
      </c>
      <c r="K4348" s="452" t="s">
        <v>741</v>
      </c>
    </row>
    <row r="4349" spans="1:11">
      <c r="A4349" s="369"/>
      <c r="B4349" s="143" t="s">
        <v>13798</v>
      </c>
      <c r="C4349" s="1527">
        <v>409</v>
      </c>
      <c r="D4349" s="155">
        <f t="shared" si="574"/>
        <v>743.63636363636363</v>
      </c>
      <c r="E4349" s="215">
        <v>30</v>
      </c>
      <c r="F4349" s="511">
        <f t="shared" si="575"/>
        <v>773.7</v>
      </c>
      <c r="G4349" s="314" t="s">
        <v>13779</v>
      </c>
      <c r="H4349" s="518" t="s">
        <v>13799</v>
      </c>
      <c r="I4349" s="452"/>
      <c r="J4349" s="369" t="s">
        <v>5984</v>
      </c>
      <c r="K4349" s="452" t="s">
        <v>741</v>
      </c>
    </row>
    <row r="4350" spans="1:11">
      <c r="A4350" s="369"/>
      <c r="B4350" s="143" t="s">
        <v>13800</v>
      </c>
      <c r="C4350" s="1527">
        <v>415.51</v>
      </c>
      <c r="D4350" s="155">
        <f t="shared" si="574"/>
        <v>755.47272727272718</v>
      </c>
      <c r="E4350" s="215">
        <v>20</v>
      </c>
      <c r="F4350" s="511">
        <f t="shared" si="575"/>
        <v>775.5</v>
      </c>
      <c r="G4350" s="314" t="s">
        <v>13782</v>
      </c>
      <c r="H4350" s="518" t="s">
        <v>13801</v>
      </c>
      <c r="I4350" s="452"/>
      <c r="J4350" s="369" t="s">
        <v>5984</v>
      </c>
      <c r="K4350" s="452" t="s">
        <v>741</v>
      </c>
    </row>
    <row r="4351" spans="1:11" s="185" customFormat="1">
      <c r="A4351" s="369"/>
      <c r="B4351" s="143" t="s">
        <v>13802</v>
      </c>
      <c r="C4351" s="1527">
        <v>377.67</v>
      </c>
      <c r="D4351" s="155">
        <f t="shared" si="574"/>
        <v>686.67272727272723</v>
      </c>
      <c r="E4351" s="215">
        <v>30</v>
      </c>
      <c r="F4351" s="511">
        <f t="shared" si="575"/>
        <v>716.7</v>
      </c>
      <c r="G4351" s="314" t="s">
        <v>13803</v>
      </c>
      <c r="H4351" s="518" t="s">
        <v>13804</v>
      </c>
      <c r="I4351" s="452"/>
      <c r="J4351" s="369" t="s">
        <v>5984</v>
      </c>
      <c r="K4351" s="452" t="s">
        <v>741</v>
      </c>
    </row>
    <row r="4352" spans="1:11" s="185" customFormat="1">
      <c r="A4352" s="369"/>
      <c r="B4352" s="143" t="s">
        <v>13805</v>
      </c>
      <c r="C4352" s="1527">
        <v>399.48</v>
      </c>
      <c r="D4352" s="155">
        <f t="shared" si="574"/>
        <v>726.32727272727277</v>
      </c>
      <c r="E4352" s="215">
        <v>30</v>
      </c>
      <c r="F4352" s="511">
        <f t="shared" si="575"/>
        <v>756.4</v>
      </c>
      <c r="G4352" s="314" t="s">
        <v>13785</v>
      </c>
      <c r="H4352" s="518" t="s">
        <v>13806</v>
      </c>
      <c r="I4352" s="452"/>
      <c r="J4352" s="369" t="s">
        <v>5984</v>
      </c>
      <c r="K4352" s="452" t="s">
        <v>741</v>
      </c>
    </row>
    <row r="4353" spans="1:15" s="185" customFormat="1">
      <c r="A4353" s="369"/>
      <c r="B4353" s="143" t="s">
        <v>13807</v>
      </c>
      <c r="C4353" s="1527">
        <v>433.79</v>
      </c>
      <c r="D4353" s="155">
        <f t="shared" si="574"/>
        <v>788.70909090909095</v>
      </c>
      <c r="E4353" s="215">
        <v>30</v>
      </c>
      <c r="F4353" s="511">
        <f t="shared" si="575"/>
        <v>818.80000000000007</v>
      </c>
      <c r="G4353" s="314" t="s">
        <v>13808</v>
      </c>
      <c r="H4353" s="518" t="s">
        <v>13809</v>
      </c>
      <c r="I4353" s="452"/>
      <c r="J4353" s="369" t="s">
        <v>5984</v>
      </c>
      <c r="K4353" s="452" t="s">
        <v>741</v>
      </c>
    </row>
    <row r="4354" spans="1:15" s="185" customFormat="1">
      <c r="A4354" s="369"/>
      <c r="B4354" s="143" t="s">
        <v>13810</v>
      </c>
      <c r="C4354" s="1527">
        <v>437.27</v>
      </c>
      <c r="D4354" s="155">
        <f t="shared" si="574"/>
        <v>795.0363636363636</v>
      </c>
      <c r="E4354" s="215">
        <v>30</v>
      </c>
      <c r="F4354" s="511">
        <f t="shared" si="575"/>
        <v>825.1</v>
      </c>
      <c r="G4354" s="314" t="s">
        <v>13811</v>
      </c>
      <c r="H4354" s="518" t="s">
        <v>13812</v>
      </c>
      <c r="I4354" s="452"/>
      <c r="J4354" s="369" t="s">
        <v>5984</v>
      </c>
      <c r="K4354" s="452" t="s">
        <v>741</v>
      </c>
    </row>
    <row r="4355" spans="1:15" s="317" customFormat="1">
      <c r="A4355" s="369"/>
      <c r="B4355" s="143"/>
      <c r="C4355" s="196"/>
      <c r="D4355" s="230"/>
      <c r="E4355" s="215"/>
      <c r="F4355" s="511"/>
      <c r="G4355" s="314"/>
      <c r="H4355" s="518"/>
      <c r="I4355" s="452"/>
      <c r="J4355" s="515"/>
      <c r="K4355" s="452"/>
    </row>
    <row r="4356" spans="1:15" s="33" customFormat="1">
      <c r="A4356" s="435"/>
      <c r="B4356" s="36"/>
      <c r="C4356" s="217"/>
      <c r="D4356" s="202"/>
      <c r="E4356" s="203"/>
      <c r="F4356" s="149"/>
      <c r="G4356" s="56"/>
      <c r="H4356" s="1648"/>
      <c r="I4356" s="434"/>
      <c r="J4356" s="435"/>
      <c r="K4356" s="434"/>
    </row>
    <row r="4357" spans="1:15">
      <c r="A4357" s="435"/>
      <c r="B4357" s="36"/>
      <c r="C4357" s="217"/>
      <c r="D4357" s="217"/>
      <c r="E4357" s="203"/>
      <c r="F4357" s="149"/>
      <c r="G4357" s="22"/>
      <c r="H4357" s="1648"/>
      <c r="I4357" s="434"/>
      <c r="J4357" s="435"/>
      <c r="K4357" s="434"/>
      <c r="L4357" s="191"/>
      <c r="M4357" s="191"/>
      <c r="N4357" s="191"/>
      <c r="O4357" s="191"/>
    </row>
    <row r="4358" spans="1:15" s="33" customFormat="1">
      <c r="A4358" s="435"/>
      <c r="B4358" s="57" t="s">
        <v>389</v>
      </c>
      <c r="C4358" s="217"/>
      <c r="D4358" s="217"/>
      <c r="E4358" s="203"/>
      <c r="F4358" s="149"/>
      <c r="G4358" s="434"/>
      <c r="H4358" s="1648"/>
      <c r="I4358" s="434"/>
      <c r="J4358" s="435"/>
      <c r="K4358" s="434"/>
    </row>
    <row r="4359" spans="1:15" s="33" customFormat="1">
      <c r="A4359" s="433"/>
      <c r="B4359" s="36" t="s">
        <v>390</v>
      </c>
      <c r="C4359" s="217"/>
      <c r="D4359" s="217">
        <v>690</v>
      </c>
      <c r="E4359" s="203">
        <v>50</v>
      </c>
      <c r="F4359" s="149">
        <f t="shared" ref="F4359:F4372" si="576">D4359+E4359</f>
        <v>740</v>
      </c>
      <c r="G4359" s="434" t="s">
        <v>391</v>
      </c>
      <c r="H4359" s="1648"/>
      <c r="I4359" s="434"/>
      <c r="J4359" s="433"/>
      <c r="K4359" s="434"/>
    </row>
    <row r="4360" spans="1:15" s="33" customFormat="1">
      <c r="A4360" s="433"/>
      <c r="B4360" s="36" t="s">
        <v>392</v>
      </c>
      <c r="C4360" s="217"/>
      <c r="D4360" s="217">
        <v>635</v>
      </c>
      <c r="E4360" s="203">
        <v>50</v>
      </c>
      <c r="F4360" s="149">
        <f t="shared" si="576"/>
        <v>685</v>
      </c>
      <c r="G4360" s="434" t="s">
        <v>393</v>
      </c>
      <c r="H4360" s="1648"/>
      <c r="I4360" s="434"/>
      <c r="J4360" s="433"/>
      <c r="K4360" s="434"/>
    </row>
    <row r="4361" spans="1:15" s="33" customFormat="1">
      <c r="A4361" s="433"/>
      <c r="B4361" s="36" t="s">
        <v>394</v>
      </c>
      <c r="C4361" s="217"/>
      <c r="D4361" s="217">
        <v>600</v>
      </c>
      <c r="E4361" s="203">
        <v>50</v>
      </c>
      <c r="F4361" s="149">
        <f t="shared" si="576"/>
        <v>650</v>
      </c>
      <c r="G4361" s="434" t="s">
        <v>395</v>
      </c>
      <c r="H4361" s="1648"/>
      <c r="I4361" s="434"/>
      <c r="J4361" s="433"/>
      <c r="K4361" s="434"/>
    </row>
    <row r="4362" spans="1:15" s="33" customFormat="1">
      <c r="A4362" s="433"/>
      <c r="B4362" s="36" t="s">
        <v>396</v>
      </c>
      <c r="C4362" s="217"/>
      <c r="D4362" s="217">
        <v>268</v>
      </c>
      <c r="E4362" s="203">
        <v>30</v>
      </c>
      <c r="F4362" s="149">
        <f t="shared" si="576"/>
        <v>298</v>
      </c>
      <c r="G4362" s="434" t="s">
        <v>397</v>
      </c>
      <c r="H4362" s="1648"/>
      <c r="I4362" s="434"/>
      <c r="J4362" s="433"/>
      <c r="K4362" s="434"/>
    </row>
    <row r="4363" spans="1:15" s="33" customFormat="1">
      <c r="A4363" s="433"/>
      <c r="B4363" s="36" t="s">
        <v>398</v>
      </c>
      <c r="C4363" s="217"/>
      <c r="D4363" s="217">
        <v>268</v>
      </c>
      <c r="E4363" s="203">
        <v>30</v>
      </c>
      <c r="F4363" s="149">
        <f t="shared" si="576"/>
        <v>298</v>
      </c>
      <c r="G4363" s="434" t="s">
        <v>399</v>
      </c>
      <c r="H4363" s="1648"/>
      <c r="I4363" s="434"/>
      <c r="J4363" s="433"/>
      <c r="K4363" s="434"/>
    </row>
    <row r="4364" spans="1:15" s="33" customFormat="1">
      <c r="A4364" s="433"/>
      <c r="B4364" s="36" t="s">
        <v>400</v>
      </c>
      <c r="C4364" s="217"/>
      <c r="D4364" s="217">
        <v>268</v>
      </c>
      <c r="E4364" s="203">
        <v>30</v>
      </c>
      <c r="F4364" s="149">
        <f t="shared" si="576"/>
        <v>298</v>
      </c>
      <c r="G4364" s="434" t="s">
        <v>401</v>
      </c>
      <c r="H4364" s="1648"/>
      <c r="I4364" s="434"/>
      <c r="J4364" s="433"/>
      <c r="K4364" s="434"/>
    </row>
    <row r="4365" spans="1:15" s="33" customFormat="1">
      <c r="A4365" s="433"/>
      <c r="B4365" s="36" t="s">
        <v>402</v>
      </c>
      <c r="C4365" s="217"/>
      <c r="D4365" s="217">
        <v>268</v>
      </c>
      <c r="E4365" s="203">
        <v>30</v>
      </c>
      <c r="F4365" s="149">
        <f t="shared" si="576"/>
        <v>298</v>
      </c>
      <c r="G4365" s="434" t="s">
        <v>403</v>
      </c>
      <c r="H4365" s="1648"/>
      <c r="I4365" s="434"/>
      <c r="J4365" s="433"/>
      <c r="K4365" s="434"/>
    </row>
    <row r="4366" spans="1:15" s="33" customFormat="1">
      <c r="A4366" s="433"/>
      <c r="B4366" s="36" t="s">
        <v>404</v>
      </c>
      <c r="C4366" s="217"/>
      <c r="D4366" s="217">
        <v>167</v>
      </c>
      <c r="E4366" s="203">
        <v>20</v>
      </c>
      <c r="F4366" s="149">
        <f t="shared" si="576"/>
        <v>187</v>
      </c>
      <c r="G4366" s="434" t="s">
        <v>405</v>
      </c>
      <c r="H4366" s="1648"/>
      <c r="I4366" s="434"/>
      <c r="J4366" s="433"/>
      <c r="K4366" s="434"/>
    </row>
    <row r="4367" spans="1:15" s="33" customFormat="1">
      <c r="A4367" s="433"/>
      <c r="B4367" s="36" t="s">
        <v>406</v>
      </c>
      <c r="C4367" s="217"/>
      <c r="D4367" s="217">
        <v>167</v>
      </c>
      <c r="E4367" s="203">
        <v>20</v>
      </c>
      <c r="F4367" s="149">
        <f t="shared" si="576"/>
        <v>187</v>
      </c>
      <c r="G4367" s="434" t="s">
        <v>407</v>
      </c>
      <c r="H4367" s="1648"/>
      <c r="I4367" s="434"/>
      <c r="J4367" s="433"/>
      <c r="K4367" s="434"/>
    </row>
    <row r="4368" spans="1:15" s="33" customFormat="1">
      <c r="A4368" s="433"/>
      <c r="B4368" s="36" t="s">
        <v>408</v>
      </c>
      <c r="C4368" s="217"/>
      <c r="D4368" s="217">
        <v>167</v>
      </c>
      <c r="E4368" s="203">
        <v>20</v>
      </c>
      <c r="F4368" s="149">
        <f t="shared" si="576"/>
        <v>187</v>
      </c>
      <c r="G4368" s="434" t="s">
        <v>409</v>
      </c>
      <c r="H4368" s="1648"/>
      <c r="I4368" s="434"/>
      <c r="J4368" s="433"/>
      <c r="K4368" s="434"/>
    </row>
    <row r="4369" spans="1:11" s="33" customFormat="1">
      <c r="A4369" s="433"/>
      <c r="B4369" s="36" t="s">
        <v>410</v>
      </c>
      <c r="C4369" s="217"/>
      <c r="D4369" s="217">
        <v>167</v>
      </c>
      <c r="E4369" s="203">
        <v>20</v>
      </c>
      <c r="F4369" s="149">
        <f t="shared" si="576"/>
        <v>187</v>
      </c>
      <c r="G4369" s="434" t="s">
        <v>411</v>
      </c>
      <c r="H4369" s="1648"/>
      <c r="I4369" s="434"/>
      <c r="J4369" s="433"/>
      <c r="K4369" s="434"/>
    </row>
    <row r="4370" spans="1:11" s="33" customFormat="1">
      <c r="A4370" s="433"/>
      <c r="B4370" s="36" t="s">
        <v>412</v>
      </c>
      <c r="C4370" s="217"/>
      <c r="D4370" s="217">
        <v>147</v>
      </c>
      <c r="E4370" s="203">
        <v>10</v>
      </c>
      <c r="F4370" s="149">
        <f t="shared" si="576"/>
        <v>157</v>
      </c>
      <c r="G4370" s="434" t="s">
        <v>413</v>
      </c>
      <c r="H4370" s="1648"/>
      <c r="I4370" s="434"/>
      <c r="J4370" s="433"/>
      <c r="K4370" s="434"/>
    </row>
    <row r="4371" spans="1:11" s="33" customFormat="1">
      <c r="A4371" s="433"/>
      <c r="B4371" s="36" t="s">
        <v>414</v>
      </c>
      <c r="C4371" s="217"/>
      <c r="D4371" s="217">
        <v>147</v>
      </c>
      <c r="E4371" s="203">
        <v>10</v>
      </c>
      <c r="F4371" s="149">
        <f t="shared" si="576"/>
        <v>157</v>
      </c>
      <c r="G4371" s="434" t="s">
        <v>415</v>
      </c>
      <c r="H4371" s="1648"/>
      <c r="I4371" s="434"/>
      <c r="J4371" s="433"/>
      <c r="K4371" s="434"/>
    </row>
    <row r="4372" spans="1:11" s="33" customFormat="1">
      <c r="A4372" s="433"/>
      <c r="B4372" s="36" t="s">
        <v>416</v>
      </c>
      <c r="C4372" s="217"/>
      <c r="D4372" s="217">
        <v>147</v>
      </c>
      <c r="E4372" s="203">
        <v>10</v>
      </c>
      <c r="F4372" s="149">
        <f t="shared" si="576"/>
        <v>157</v>
      </c>
      <c r="G4372" s="434" t="s">
        <v>417</v>
      </c>
      <c r="H4372" s="1648"/>
      <c r="I4372" s="434"/>
      <c r="J4372" s="433"/>
      <c r="K4372" s="434"/>
    </row>
    <row r="4373" spans="1:11" s="33" customFormat="1">
      <c r="A4373" s="435"/>
      <c r="B4373" s="36"/>
      <c r="C4373" s="217"/>
      <c r="D4373" s="217"/>
      <c r="E4373" s="203"/>
      <c r="F4373" s="149"/>
      <c r="G4373" s="22"/>
      <c r="H4373" s="1648"/>
      <c r="I4373" s="434"/>
      <c r="J4373" s="435"/>
      <c r="K4373" s="434"/>
    </row>
    <row r="4374" spans="1:11" s="33" customFormat="1">
      <c r="A4374" s="435"/>
      <c r="B4374" s="37" t="s">
        <v>418</v>
      </c>
      <c r="C4374" s="217"/>
      <c r="D4374" s="217"/>
      <c r="E4374" s="203"/>
      <c r="F4374" s="149"/>
      <c r="G4374" s="434"/>
      <c r="H4374" s="1648"/>
      <c r="I4374" s="434"/>
      <c r="J4374" s="435"/>
      <c r="K4374" s="434"/>
    </row>
    <row r="4375" spans="1:11" s="33" customFormat="1">
      <c r="A4375" s="433"/>
      <c r="B4375" s="36" t="s">
        <v>3403</v>
      </c>
      <c r="C4375" s="217"/>
      <c r="D4375" s="217">
        <v>320</v>
      </c>
      <c r="E4375" s="203">
        <v>60</v>
      </c>
      <c r="F4375" s="149">
        <f t="shared" ref="F4375:F4391" si="577">D4375+E4375</f>
        <v>380</v>
      </c>
      <c r="G4375" s="434" t="s">
        <v>3404</v>
      </c>
      <c r="H4375" s="1648"/>
      <c r="I4375" s="434"/>
      <c r="J4375" s="433"/>
    </row>
    <row r="4376" spans="1:11" s="33" customFormat="1">
      <c r="A4376" s="433"/>
      <c r="B4376" s="36" t="s">
        <v>419</v>
      </c>
      <c r="C4376" s="217"/>
      <c r="D4376" s="217">
        <v>250</v>
      </c>
      <c r="E4376" s="203">
        <v>50</v>
      </c>
      <c r="F4376" s="149">
        <f t="shared" si="577"/>
        <v>300</v>
      </c>
      <c r="G4376" s="434" t="s">
        <v>420</v>
      </c>
      <c r="H4376" s="1648"/>
      <c r="I4376" s="434"/>
      <c r="J4376" s="433"/>
    </row>
    <row r="4377" spans="1:11" s="33" customFormat="1">
      <c r="A4377" s="433"/>
      <c r="B4377" s="36" t="s">
        <v>1812</v>
      </c>
      <c r="C4377" s="217"/>
      <c r="D4377" s="217">
        <v>250</v>
      </c>
      <c r="E4377" s="203">
        <v>50</v>
      </c>
      <c r="F4377" s="149">
        <f t="shared" si="577"/>
        <v>300</v>
      </c>
      <c r="G4377" s="434" t="s">
        <v>1813</v>
      </c>
      <c r="H4377" s="1648"/>
      <c r="I4377" s="434"/>
      <c r="J4377" s="433"/>
      <c r="K4377" s="434" t="s">
        <v>741</v>
      </c>
    </row>
    <row r="4378" spans="1:11" s="33" customFormat="1">
      <c r="A4378" s="433"/>
      <c r="B4378" s="36" t="s">
        <v>1814</v>
      </c>
      <c r="C4378" s="217"/>
      <c r="D4378" s="217">
        <v>250</v>
      </c>
      <c r="E4378" s="203">
        <v>50</v>
      </c>
      <c r="F4378" s="149">
        <f t="shared" si="577"/>
        <v>300</v>
      </c>
      <c r="G4378" s="434" t="s">
        <v>421</v>
      </c>
      <c r="H4378" s="1648"/>
      <c r="I4378" s="434"/>
      <c r="J4378" s="433"/>
      <c r="K4378" s="434"/>
    </row>
    <row r="4379" spans="1:11" s="33" customFormat="1">
      <c r="A4379" s="433"/>
      <c r="B4379" s="466" t="s">
        <v>1815</v>
      </c>
      <c r="C4379" s="217"/>
      <c r="D4379" s="217">
        <v>250</v>
      </c>
      <c r="E4379" s="407">
        <v>50</v>
      </c>
      <c r="F4379" s="157">
        <f t="shared" si="577"/>
        <v>300</v>
      </c>
      <c r="G4379" s="454" t="s">
        <v>422</v>
      </c>
      <c r="H4379" s="1648"/>
      <c r="I4379" s="434"/>
      <c r="J4379" s="433"/>
      <c r="K4379" s="434"/>
    </row>
    <row r="4380" spans="1:11" s="33" customFormat="1">
      <c r="A4380" s="435"/>
      <c r="B4380" s="36" t="s">
        <v>90</v>
      </c>
      <c r="C4380" s="217"/>
      <c r="D4380" s="217">
        <v>150</v>
      </c>
      <c r="E4380" s="203">
        <v>30</v>
      </c>
      <c r="F4380" s="149">
        <f t="shared" si="577"/>
        <v>180</v>
      </c>
      <c r="G4380" s="434" t="s">
        <v>423</v>
      </c>
      <c r="H4380" s="1648"/>
      <c r="I4380" s="434"/>
      <c r="J4380" s="435"/>
      <c r="K4380" s="434"/>
    </row>
    <row r="4381" spans="1:11" s="33" customFormat="1">
      <c r="A4381" s="433"/>
      <c r="B4381" s="36" t="s">
        <v>1816</v>
      </c>
      <c r="C4381" s="217"/>
      <c r="D4381" s="217">
        <v>150</v>
      </c>
      <c r="E4381" s="203">
        <v>30</v>
      </c>
      <c r="F4381" s="149">
        <f t="shared" si="577"/>
        <v>180</v>
      </c>
      <c r="G4381" s="434" t="s">
        <v>424</v>
      </c>
      <c r="H4381" s="1648"/>
      <c r="I4381" s="434"/>
      <c r="J4381" s="433"/>
      <c r="K4381" s="434"/>
    </row>
    <row r="4382" spans="1:11" s="33" customFormat="1">
      <c r="A4382" s="435"/>
      <c r="B4382" s="36" t="s">
        <v>425</v>
      </c>
      <c r="C4382" s="217"/>
      <c r="D4382" s="217">
        <v>150</v>
      </c>
      <c r="E4382" s="203">
        <v>30</v>
      </c>
      <c r="F4382" s="149">
        <f t="shared" si="577"/>
        <v>180</v>
      </c>
      <c r="G4382" s="434" t="s">
        <v>426</v>
      </c>
      <c r="H4382" s="1648"/>
      <c r="I4382" s="434"/>
      <c r="J4382" s="435"/>
      <c r="K4382" s="434"/>
    </row>
    <row r="4383" spans="1:11" s="33" customFormat="1">
      <c r="A4383" s="435"/>
      <c r="B4383" s="36" t="s">
        <v>31</v>
      </c>
      <c r="C4383" s="217"/>
      <c r="D4383" s="217">
        <v>150</v>
      </c>
      <c r="E4383" s="203">
        <v>30</v>
      </c>
      <c r="F4383" s="149">
        <f t="shared" si="577"/>
        <v>180</v>
      </c>
      <c r="G4383" s="434" t="s">
        <v>427</v>
      </c>
      <c r="H4383" s="1648"/>
      <c r="I4383" s="434"/>
      <c r="J4383" s="435"/>
      <c r="K4383" s="434"/>
    </row>
    <row r="4384" spans="1:11" s="33" customFormat="1">
      <c r="A4384" s="433"/>
      <c r="B4384" s="36" t="s">
        <v>1817</v>
      </c>
      <c r="C4384" s="217"/>
      <c r="D4384" s="217">
        <v>90</v>
      </c>
      <c r="E4384" s="203">
        <v>20</v>
      </c>
      <c r="F4384" s="149">
        <f t="shared" si="577"/>
        <v>110</v>
      </c>
      <c r="G4384" s="434" t="s">
        <v>428</v>
      </c>
      <c r="H4384" s="1648"/>
      <c r="I4384" s="434"/>
      <c r="J4384" s="433"/>
      <c r="K4384" s="434"/>
    </row>
    <row r="4385" spans="1:11" s="33" customFormat="1">
      <c r="A4385" s="435"/>
      <c r="B4385" s="36" t="s">
        <v>32</v>
      </c>
      <c r="C4385" s="217"/>
      <c r="D4385" s="217">
        <v>90</v>
      </c>
      <c r="E4385" s="203">
        <v>20</v>
      </c>
      <c r="F4385" s="149">
        <f t="shared" si="577"/>
        <v>110</v>
      </c>
      <c r="G4385" s="434" t="s">
        <v>429</v>
      </c>
      <c r="H4385" s="1648"/>
      <c r="I4385" s="434"/>
      <c r="J4385" s="435"/>
      <c r="K4385" s="434"/>
    </row>
    <row r="4386" spans="1:11" s="33" customFormat="1">
      <c r="A4386" s="433"/>
      <c r="B4386" s="36" t="s">
        <v>1818</v>
      </c>
      <c r="C4386" s="217"/>
      <c r="D4386" s="217">
        <v>90</v>
      </c>
      <c r="E4386" s="203">
        <v>20</v>
      </c>
      <c r="F4386" s="149">
        <f t="shared" si="577"/>
        <v>110</v>
      </c>
      <c r="G4386" s="434" t="s">
        <v>430</v>
      </c>
      <c r="H4386" s="1648"/>
      <c r="I4386" s="434"/>
      <c r="J4386" s="433"/>
      <c r="K4386" s="434"/>
    </row>
    <row r="4387" spans="1:11" s="33" customFormat="1">
      <c r="A4387" s="433"/>
      <c r="B4387" s="36" t="s">
        <v>1819</v>
      </c>
      <c r="C4387" s="217"/>
      <c r="D4387" s="217">
        <v>90</v>
      </c>
      <c r="E4387" s="203">
        <v>20</v>
      </c>
      <c r="F4387" s="149">
        <f t="shared" si="577"/>
        <v>110</v>
      </c>
      <c r="G4387" s="434" t="s">
        <v>431</v>
      </c>
      <c r="H4387" s="1648"/>
      <c r="I4387" s="434"/>
      <c r="J4387" s="433"/>
      <c r="K4387" s="434"/>
    </row>
    <row r="4388" spans="1:11" s="33" customFormat="1">
      <c r="A4388" s="435"/>
      <c r="B4388" s="36" t="s">
        <v>33</v>
      </c>
      <c r="C4388" s="217"/>
      <c r="D4388" s="217">
        <v>65</v>
      </c>
      <c r="E4388" s="203">
        <v>10</v>
      </c>
      <c r="F4388" s="149">
        <f t="shared" si="577"/>
        <v>75</v>
      </c>
      <c r="G4388" s="434" t="s">
        <v>432</v>
      </c>
      <c r="H4388" s="1648"/>
      <c r="I4388" s="434"/>
      <c r="J4388" s="435"/>
      <c r="K4388" s="434"/>
    </row>
    <row r="4389" spans="1:11" s="33" customFormat="1">
      <c r="A4389" s="433"/>
      <c r="B4389" s="36" t="s">
        <v>1820</v>
      </c>
      <c r="C4389" s="217"/>
      <c r="D4389" s="217">
        <v>65</v>
      </c>
      <c r="E4389" s="203">
        <v>10</v>
      </c>
      <c r="F4389" s="149">
        <f t="shared" si="577"/>
        <v>75</v>
      </c>
      <c r="G4389" s="434" t="s">
        <v>433</v>
      </c>
      <c r="H4389" s="1648"/>
      <c r="I4389" s="434"/>
      <c r="J4389" s="433"/>
      <c r="K4389" s="434"/>
    </row>
    <row r="4390" spans="1:11" s="33" customFormat="1">
      <c r="A4390" s="433"/>
      <c r="B4390" s="36" t="s">
        <v>1821</v>
      </c>
      <c r="C4390" s="217"/>
      <c r="D4390" s="217">
        <v>65</v>
      </c>
      <c r="E4390" s="203">
        <v>10</v>
      </c>
      <c r="F4390" s="149">
        <f t="shared" si="577"/>
        <v>75</v>
      </c>
      <c r="G4390" s="434" t="s">
        <v>1822</v>
      </c>
      <c r="H4390" s="1648"/>
      <c r="I4390" s="434"/>
      <c r="J4390" s="433"/>
      <c r="K4390" s="434" t="s">
        <v>741</v>
      </c>
    </row>
    <row r="4391" spans="1:11" s="33" customFormat="1">
      <c r="A4391" s="435"/>
      <c r="B4391" s="36" t="s">
        <v>143</v>
      </c>
      <c r="C4391" s="217"/>
      <c r="D4391" s="341">
        <v>55</v>
      </c>
      <c r="E4391" s="203">
        <v>10</v>
      </c>
      <c r="F4391" s="149">
        <f t="shared" si="577"/>
        <v>65</v>
      </c>
      <c r="G4391" s="434" t="s">
        <v>434</v>
      </c>
      <c r="H4391" s="1648"/>
      <c r="I4391" s="434"/>
      <c r="J4391" s="435"/>
      <c r="K4391" s="434"/>
    </row>
    <row r="4392" spans="1:11" s="33" customFormat="1">
      <c r="A4392" s="435"/>
      <c r="B4392" s="36" t="s">
        <v>8260</v>
      </c>
      <c r="C4392" s="217"/>
      <c r="D4392" s="341">
        <v>55</v>
      </c>
      <c r="E4392" s="203">
        <v>10</v>
      </c>
      <c r="F4392" s="149">
        <f>D4392+E4392</f>
        <v>65</v>
      </c>
      <c r="G4392" s="434" t="s">
        <v>8261</v>
      </c>
      <c r="H4392" s="1648"/>
      <c r="I4392" s="434"/>
      <c r="J4392" s="435"/>
      <c r="K4392" s="434"/>
    </row>
    <row r="4393" spans="1:11" s="33" customFormat="1">
      <c r="A4393" s="435"/>
      <c r="B4393" s="36"/>
      <c r="C4393" s="217"/>
      <c r="D4393" s="217"/>
      <c r="E4393" s="203"/>
      <c r="F4393" s="149"/>
      <c r="G4393" s="434"/>
      <c r="H4393" s="1648"/>
      <c r="I4393" s="434"/>
      <c r="J4393" s="435"/>
      <c r="K4393" s="434"/>
    </row>
    <row r="4394" spans="1:11" s="33" customFormat="1">
      <c r="A4394" s="435"/>
      <c r="B4394" s="36" t="s">
        <v>8262</v>
      </c>
      <c r="C4394" s="217"/>
      <c r="D4394" s="217">
        <f>1.67*116*0.8</f>
        <v>154.976</v>
      </c>
      <c r="E4394" s="203">
        <v>30</v>
      </c>
      <c r="F4394" s="149">
        <f t="shared" ref="F4394:F4399" si="578">D4394+E4394</f>
        <v>184.976</v>
      </c>
      <c r="G4394" s="434" t="s">
        <v>8263</v>
      </c>
      <c r="H4394" s="1648"/>
      <c r="I4394" s="434"/>
      <c r="J4394" s="435"/>
      <c r="K4394" s="434"/>
    </row>
    <row r="4395" spans="1:11" s="33" customFormat="1">
      <c r="A4395" s="435"/>
      <c r="B4395" s="36" t="s">
        <v>8264</v>
      </c>
      <c r="C4395" s="217"/>
      <c r="D4395" s="217">
        <f>1.67*102*0.8</f>
        <v>136.27200000000002</v>
      </c>
      <c r="E4395" s="203">
        <v>30</v>
      </c>
      <c r="F4395" s="149">
        <f t="shared" si="578"/>
        <v>166.27200000000002</v>
      </c>
      <c r="G4395" s="434" t="s">
        <v>8265</v>
      </c>
      <c r="H4395" s="1648"/>
      <c r="I4395" s="434"/>
      <c r="J4395" s="435"/>
      <c r="K4395" s="434"/>
    </row>
    <row r="4396" spans="1:11" s="33" customFormat="1">
      <c r="A4396" s="435"/>
      <c r="B4396" s="36" t="s">
        <v>8266</v>
      </c>
      <c r="C4396" s="217"/>
      <c r="D4396" s="217">
        <v>150</v>
      </c>
      <c r="E4396" s="203">
        <v>30</v>
      </c>
      <c r="F4396" s="149">
        <f t="shared" si="578"/>
        <v>180</v>
      </c>
      <c r="G4396" s="434" t="s">
        <v>8267</v>
      </c>
      <c r="H4396" s="1648"/>
      <c r="I4396" s="434"/>
      <c r="J4396" s="435"/>
      <c r="K4396" s="434"/>
    </row>
    <row r="4397" spans="1:11" s="33" customFormat="1">
      <c r="A4397" s="433"/>
      <c r="B4397" s="36" t="s">
        <v>8268</v>
      </c>
      <c r="C4397" s="217"/>
      <c r="D4397" s="217">
        <f>1.67*67*0.8</f>
        <v>89.512</v>
      </c>
      <c r="E4397" s="203">
        <v>20</v>
      </c>
      <c r="F4397" s="149">
        <f t="shared" si="578"/>
        <v>109.512</v>
      </c>
      <c r="G4397" s="434" t="s">
        <v>8269</v>
      </c>
      <c r="H4397" s="1648"/>
      <c r="I4397" s="434"/>
      <c r="J4397" s="433"/>
      <c r="K4397" s="434"/>
    </row>
    <row r="4398" spans="1:11" s="33" customFormat="1">
      <c r="A4398" s="433"/>
      <c r="B4398" s="36" t="s">
        <v>8270</v>
      </c>
      <c r="C4398" s="217"/>
      <c r="D4398" s="217">
        <v>90</v>
      </c>
      <c r="E4398" s="203">
        <v>20</v>
      </c>
      <c r="F4398" s="149">
        <f t="shared" si="578"/>
        <v>110</v>
      </c>
      <c r="G4398" s="434" t="s">
        <v>8271</v>
      </c>
      <c r="H4398" s="1648"/>
      <c r="I4398" s="434"/>
      <c r="J4398" s="433"/>
      <c r="K4398" s="434"/>
    </row>
    <row r="4399" spans="1:11" s="33" customFormat="1">
      <c r="A4399" s="435"/>
      <c r="B4399" s="36" t="s">
        <v>8272</v>
      </c>
      <c r="C4399" s="217"/>
      <c r="D4399" s="217">
        <f>1.67*54*0.8</f>
        <v>72.143999999999991</v>
      </c>
      <c r="E4399" s="203">
        <v>20</v>
      </c>
      <c r="F4399" s="149">
        <f t="shared" si="578"/>
        <v>92.143999999999991</v>
      </c>
      <c r="G4399" s="434" t="s">
        <v>8273</v>
      </c>
      <c r="H4399" s="1648"/>
      <c r="I4399" s="434"/>
      <c r="J4399" s="435"/>
      <c r="K4399" s="434"/>
    </row>
    <row r="4400" spans="1:11" s="33" customFormat="1">
      <c r="A4400" s="435"/>
      <c r="B4400" s="36"/>
      <c r="C4400" s="217"/>
      <c r="D4400" s="217"/>
      <c r="E4400" s="203"/>
      <c r="F4400" s="149"/>
      <c r="G4400" s="434"/>
      <c r="H4400" s="1648"/>
      <c r="I4400" s="434"/>
      <c r="J4400" s="435"/>
      <c r="K4400" s="434"/>
    </row>
    <row r="4401" spans="1:11" s="33" customFormat="1">
      <c r="A4401" s="435"/>
      <c r="B4401" s="36"/>
      <c r="C4401" s="217"/>
      <c r="D4401" s="217"/>
      <c r="E4401" s="203"/>
      <c r="F4401" s="149"/>
      <c r="G4401" s="434"/>
      <c r="H4401" s="1648"/>
      <c r="I4401" s="434"/>
      <c r="J4401" s="435"/>
      <c r="K4401" s="434"/>
    </row>
    <row r="4402" spans="1:11" s="33" customFormat="1">
      <c r="A4402" s="435"/>
      <c r="B4402" s="36"/>
      <c r="C4402" s="217"/>
      <c r="D4402" s="217"/>
      <c r="E4402" s="203"/>
      <c r="F4402" s="149"/>
      <c r="G4402" s="434"/>
      <c r="H4402" s="1648"/>
      <c r="I4402" s="434"/>
      <c r="J4402" s="435"/>
      <c r="K4402" s="434"/>
    </row>
    <row r="4403" spans="1:11" s="33" customFormat="1">
      <c r="A4403" s="433"/>
      <c r="B4403" s="467" t="s">
        <v>460</v>
      </c>
      <c r="C4403" s="431"/>
      <c r="D4403" s="431">
        <v>250</v>
      </c>
      <c r="E4403" s="426">
        <v>50</v>
      </c>
      <c r="F4403" s="427">
        <f t="shared" ref="F4403:F4409" si="579">D4403+E4403</f>
        <v>300</v>
      </c>
      <c r="G4403" s="468" t="s">
        <v>422</v>
      </c>
      <c r="H4403" s="1648"/>
      <c r="I4403" s="434"/>
      <c r="J4403" s="433"/>
      <c r="K4403" s="434"/>
    </row>
    <row r="4404" spans="1:11" s="33" customFormat="1">
      <c r="A4404" s="433"/>
      <c r="B4404" s="467" t="s">
        <v>462</v>
      </c>
      <c r="C4404" s="431"/>
      <c r="D4404" s="431">
        <v>250</v>
      </c>
      <c r="E4404" s="426">
        <v>50</v>
      </c>
      <c r="F4404" s="427">
        <f t="shared" si="579"/>
        <v>300</v>
      </c>
      <c r="G4404" s="468" t="s">
        <v>421</v>
      </c>
      <c r="H4404" s="1648"/>
      <c r="I4404" s="434"/>
      <c r="J4404" s="433"/>
      <c r="K4404" s="434"/>
    </row>
    <row r="4405" spans="1:11" s="33" customFormat="1">
      <c r="A4405" s="433"/>
      <c r="B4405" s="467" t="s">
        <v>461</v>
      </c>
      <c r="C4405" s="431"/>
      <c r="D4405" s="431">
        <v>150</v>
      </c>
      <c r="E4405" s="426">
        <v>30</v>
      </c>
      <c r="F4405" s="427">
        <f t="shared" si="579"/>
        <v>180</v>
      </c>
      <c r="G4405" s="468" t="s">
        <v>424</v>
      </c>
      <c r="H4405" s="1648"/>
      <c r="I4405" s="434"/>
      <c r="J4405" s="433"/>
      <c r="K4405" s="434"/>
    </row>
    <row r="4406" spans="1:11" s="33" customFormat="1">
      <c r="A4406" s="433"/>
      <c r="B4406" s="467" t="s">
        <v>463</v>
      </c>
      <c r="C4406" s="431"/>
      <c r="D4406" s="431">
        <v>90</v>
      </c>
      <c r="E4406" s="426">
        <v>20</v>
      </c>
      <c r="F4406" s="427">
        <f t="shared" si="579"/>
        <v>110</v>
      </c>
      <c r="G4406" s="468" t="s">
        <v>428</v>
      </c>
      <c r="H4406" s="1648"/>
      <c r="I4406" s="434"/>
      <c r="J4406" s="433"/>
      <c r="K4406" s="434"/>
    </row>
    <row r="4407" spans="1:11" s="33" customFormat="1">
      <c r="A4407" s="433"/>
      <c r="B4407" s="467" t="s">
        <v>466</v>
      </c>
      <c r="C4407" s="431"/>
      <c r="D4407" s="431">
        <v>90</v>
      </c>
      <c r="E4407" s="426">
        <v>20</v>
      </c>
      <c r="F4407" s="427">
        <f t="shared" si="579"/>
        <v>110</v>
      </c>
      <c r="G4407" s="468" t="s">
        <v>430</v>
      </c>
      <c r="H4407" s="1648"/>
      <c r="I4407" s="434"/>
      <c r="J4407" s="433"/>
      <c r="K4407" s="434"/>
    </row>
    <row r="4408" spans="1:11" s="33" customFormat="1">
      <c r="A4408" s="433"/>
      <c r="B4408" s="467" t="s">
        <v>464</v>
      </c>
      <c r="C4408" s="431"/>
      <c r="D4408" s="431">
        <v>90</v>
      </c>
      <c r="E4408" s="426">
        <v>20</v>
      </c>
      <c r="F4408" s="427">
        <f t="shared" si="579"/>
        <v>110</v>
      </c>
      <c r="G4408" s="468" t="s">
        <v>431</v>
      </c>
      <c r="H4408" s="1648"/>
      <c r="I4408" s="434"/>
      <c r="J4408" s="433"/>
      <c r="K4408" s="434"/>
    </row>
    <row r="4409" spans="1:11" s="33" customFormat="1">
      <c r="A4409" s="433"/>
      <c r="B4409" s="467" t="s">
        <v>465</v>
      </c>
      <c r="C4409" s="431"/>
      <c r="D4409" s="431">
        <v>65</v>
      </c>
      <c r="E4409" s="426">
        <v>10</v>
      </c>
      <c r="F4409" s="427">
        <f t="shared" si="579"/>
        <v>75</v>
      </c>
      <c r="G4409" s="468" t="s">
        <v>433</v>
      </c>
      <c r="H4409" s="1648"/>
      <c r="I4409" s="434"/>
      <c r="J4409" s="433"/>
      <c r="K4409" s="434"/>
    </row>
    <row r="4410" spans="1:11" s="33" customFormat="1">
      <c r="A4410" s="435"/>
      <c r="B4410" s="36"/>
      <c r="C4410" s="217"/>
      <c r="D4410" s="217"/>
      <c r="E4410" s="203"/>
      <c r="F4410" s="149"/>
      <c r="G4410" s="434"/>
      <c r="H4410" s="1648"/>
      <c r="I4410" s="434"/>
      <c r="J4410" s="435"/>
      <c r="K4410" s="434"/>
    </row>
    <row r="4411" spans="1:11" s="33" customFormat="1">
      <c r="A4411" s="435"/>
      <c r="B4411" s="36" t="s">
        <v>34</v>
      </c>
      <c r="C4411" s="217"/>
      <c r="D4411" s="217">
        <v>10</v>
      </c>
      <c r="E4411" s="203"/>
      <c r="F4411" s="149">
        <f>D4411+E4411</f>
        <v>10</v>
      </c>
      <c r="G4411" s="434" t="s">
        <v>8274</v>
      </c>
      <c r="H4411" s="1648"/>
      <c r="I4411" s="434"/>
      <c r="J4411" s="435"/>
      <c r="K4411" s="434"/>
    </row>
    <row r="4412" spans="1:11" s="33" customFormat="1">
      <c r="A4412" s="435"/>
      <c r="B4412" s="36" t="s">
        <v>435</v>
      </c>
      <c r="C4412" s="217"/>
      <c r="D4412" s="217">
        <v>12</v>
      </c>
      <c r="E4412" s="203"/>
      <c r="F4412" s="149">
        <f>D4412+E4412</f>
        <v>12</v>
      </c>
      <c r="G4412" s="434" t="s">
        <v>8275</v>
      </c>
      <c r="H4412" s="1648"/>
      <c r="I4412" s="434"/>
      <c r="J4412" s="435"/>
      <c r="K4412" s="434"/>
    </row>
    <row r="4413" spans="1:11" s="33" customFormat="1">
      <c r="A4413" s="435"/>
      <c r="B4413" s="36" t="s">
        <v>436</v>
      </c>
      <c r="C4413" s="341"/>
      <c r="D4413" s="341">
        <v>4</v>
      </c>
      <c r="E4413" s="203"/>
      <c r="F4413" s="149">
        <f t="shared" ref="F4413:F4421" si="580">D4413+E4413</f>
        <v>4</v>
      </c>
      <c r="G4413" s="434" t="s">
        <v>8276</v>
      </c>
      <c r="H4413" s="1648"/>
      <c r="I4413" s="434"/>
      <c r="J4413" s="433"/>
      <c r="K4413" s="434" t="s">
        <v>741</v>
      </c>
    </row>
    <row r="4414" spans="1:11" s="33" customFormat="1">
      <c r="A4414" s="433"/>
      <c r="B4414" s="36" t="s">
        <v>437</v>
      </c>
      <c r="C4414" s="341"/>
      <c r="D4414" s="341">
        <v>2.5</v>
      </c>
      <c r="E4414" s="203"/>
      <c r="F4414" s="149">
        <f t="shared" si="580"/>
        <v>2.5</v>
      </c>
      <c r="G4414" s="469" t="s">
        <v>8277</v>
      </c>
      <c r="H4414" s="1648"/>
      <c r="I4414" s="434"/>
      <c r="J4414" s="433"/>
      <c r="K4414" s="434" t="s">
        <v>741</v>
      </c>
    </row>
    <row r="4415" spans="1:11" s="33" customFormat="1">
      <c r="A4415" s="433"/>
      <c r="B4415" s="36" t="s">
        <v>8278</v>
      </c>
      <c r="C4415" s="341"/>
      <c r="D4415" s="341">
        <v>2.5</v>
      </c>
      <c r="E4415" s="203"/>
      <c r="F4415" s="149">
        <f>D4415+E4415</f>
        <v>2.5</v>
      </c>
      <c r="G4415" s="469" t="s">
        <v>8279</v>
      </c>
      <c r="H4415" s="1648"/>
      <c r="I4415" s="434"/>
      <c r="J4415" s="433"/>
      <c r="K4415" s="434" t="s">
        <v>741</v>
      </c>
    </row>
    <row r="4416" spans="1:11" s="33" customFormat="1">
      <c r="A4416" s="433"/>
      <c r="B4416" s="36" t="s">
        <v>455</v>
      </c>
      <c r="C4416" s="341"/>
      <c r="D4416" s="341">
        <v>4</v>
      </c>
      <c r="E4416" s="203"/>
      <c r="F4416" s="149">
        <f t="shared" si="580"/>
        <v>4</v>
      </c>
      <c r="G4416" s="469" t="s">
        <v>8280</v>
      </c>
      <c r="H4416" s="1648"/>
      <c r="I4416" s="434"/>
      <c r="J4416" s="433"/>
      <c r="K4416" s="434" t="s">
        <v>741</v>
      </c>
    </row>
    <row r="4417" spans="1:11" s="33" customFormat="1">
      <c r="A4417" s="433"/>
      <c r="B4417" s="36" t="s">
        <v>8281</v>
      </c>
      <c r="C4417" s="341"/>
      <c r="D4417" s="341">
        <v>5</v>
      </c>
      <c r="E4417" s="203"/>
      <c r="F4417" s="149">
        <f>D4417+E4417</f>
        <v>5</v>
      </c>
      <c r="G4417" s="469" t="s">
        <v>8282</v>
      </c>
      <c r="H4417" s="1648"/>
      <c r="I4417" s="434"/>
      <c r="J4417" s="433"/>
      <c r="K4417" s="434" t="s">
        <v>741</v>
      </c>
    </row>
    <row r="4418" spans="1:11" s="33" customFormat="1">
      <c r="A4418" s="433"/>
      <c r="B4418" s="36" t="s">
        <v>8283</v>
      </c>
      <c r="C4418" s="341"/>
      <c r="D4418" s="341">
        <v>8</v>
      </c>
      <c r="E4418" s="203"/>
      <c r="F4418" s="149">
        <f>D4418+E4418</f>
        <v>8</v>
      </c>
      <c r="G4418" s="469" t="s">
        <v>8284</v>
      </c>
      <c r="H4418" s="1648"/>
      <c r="I4418" s="434"/>
      <c r="J4418" s="433"/>
      <c r="K4418" s="434" t="s">
        <v>741</v>
      </c>
    </row>
    <row r="4419" spans="1:11" s="33" customFormat="1">
      <c r="A4419" s="433"/>
      <c r="B4419" s="36" t="s">
        <v>8285</v>
      </c>
      <c r="C4419" s="341"/>
      <c r="D4419" s="341">
        <v>15</v>
      </c>
      <c r="E4419" s="203"/>
      <c r="F4419" s="149">
        <f>D4419+E4419</f>
        <v>15</v>
      </c>
      <c r="G4419" s="469" t="s">
        <v>8286</v>
      </c>
      <c r="H4419" s="1648"/>
      <c r="I4419" s="434"/>
      <c r="J4419" s="433"/>
      <c r="K4419" s="434" t="s">
        <v>741</v>
      </c>
    </row>
    <row r="4420" spans="1:11" s="33" customFormat="1">
      <c r="A4420" s="435"/>
      <c r="B4420" s="36" t="s">
        <v>438</v>
      </c>
      <c r="C4420" s="217"/>
      <c r="D4420" s="217">
        <v>3</v>
      </c>
      <c r="E4420" s="203"/>
      <c r="F4420" s="149">
        <f t="shared" si="580"/>
        <v>3</v>
      </c>
      <c r="G4420" s="434" t="s">
        <v>8287</v>
      </c>
      <c r="H4420" s="1648"/>
      <c r="I4420" s="434"/>
      <c r="J4420" s="435"/>
      <c r="K4420" s="434"/>
    </row>
    <row r="4421" spans="1:11" s="33" customFormat="1">
      <c r="A4421" s="435"/>
      <c r="B4421" s="36" t="s">
        <v>35</v>
      </c>
      <c r="C4421" s="217"/>
      <c r="D4421" s="217">
        <v>3</v>
      </c>
      <c r="E4421" s="203"/>
      <c r="F4421" s="149">
        <f t="shared" si="580"/>
        <v>3</v>
      </c>
      <c r="G4421" s="434"/>
      <c r="H4421" s="1648"/>
      <c r="I4421" s="434"/>
      <c r="J4421" s="435"/>
      <c r="K4421" s="434"/>
    </row>
    <row r="4422" spans="1:11" s="33" customFormat="1">
      <c r="A4422" s="433"/>
      <c r="B4422" s="36" t="s">
        <v>453</v>
      </c>
      <c r="C4422" s="217">
        <f>(0.37+2.1)*1.1</f>
        <v>2.7170000000000005</v>
      </c>
      <c r="D4422" s="202">
        <f>C4422*fcl</f>
        <v>6.1750000000000007</v>
      </c>
      <c r="E4422" s="203">
        <v>2</v>
      </c>
      <c r="F4422" s="149">
        <f>D4422+E4422</f>
        <v>8.1750000000000007</v>
      </c>
      <c r="G4422" s="434" t="s">
        <v>8288</v>
      </c>
      <c r="H4422" s="1648"/>
      <c r="I4422" s="434"/>
      <c r="J4422" s="433"/>
      <c r="K4422" s="434" t="s">
        <v>741</v>
      </c>
    </row>
    <row r="4423" spans="1:11" s="33" customFormat="1">
      <c r="A4423" s="435"/>
      <c r="B4423" s="36"/>
      <c r="C4423" s="217"/>
      <c r="D4423" s="217"/>
      <c r="E4423" s="203"/>
      <c r="F4423" s="149"/>
      <c r="G4423" s="434"/>
      <c r="H4423" s="1648"/>
      <c r="I4423" s="434"/>
      <c r="J4423" s="435"/>
      <c r="K4423" s="434"/>
    </row>
    <row r="4424" spans="1:11" s="33" customFormat="1">
      <c r="A4424" s="444"/>
      <c r="B4424" s="36" t="s">
        <v>440</v>
      </c>
      <c r="C4424" s="217"/>
      <c r="D4424" s="217">
        <v>25</v>
      </c>
      <c r="E4424" s="203">
        <v>5</v>
      </c>
      <c r="F4424" s="149">
        <f>D4424+E4424</f>
        <v>30</v>
      </c>
      <c r="G4424" s="434" t="s">
        <v>739</v>
      </c>
      <c r="H4424" s="1648"/>
      <c r="I4424" s="434"/>
      <c r="J4424" s="444"/>
      <c r="K4424" s="434"/>
    </row>
    <row r="4425" spans="1:11" s="33" customFormat="1">
      <c r="A4425" s="435"/>
      <c r="B4425" s="36"/>
      <c r="C4425" s="217"/>
      <c r="D4425" s="217"/>
      <c r="E4425" s="203"/>
      <c r="F4425" s="149"/>
      <c r="G4425" s="434"/>
      <c r="H4425" s="1648"/>
      <c r="I4425" s="434"/>
      <c r="J4425" s="435"/>
      <c r="K4425" s="434"/>
    </row>
    <row r="4426" spans="1:11" s="33" customFormat="1">
      <c r="A4426" s="435"/>
      <c r="B4426" s="27"/>
      <c r="C4426" s="217"/>
      <c r="D4426" s="202"/>
      <c r="E4426" s="203"/>
      <c r="F4426" s="149"/>
      <c r="G4426" s="434"/>
      <c r="H4426" s="1648"/>
      <c r="I4426" s="434"/>
      <c r="J4426" s="435"/>
      <c r="K4426" s="434"/>
    </row>
    <row r="4427" spans="1:11" s="33" customFormat="1">
      <c r="A4427" s="435"/>
      <c r="B4427" s="58" t="s">
        <v>441</v>
      </c>
      <c r="C4427" s="217"/>
      <c r="D4427" s="204"/>
      <c r="E4427" s="203"/>
      <c r="F4427" s="149"/>
      <c r="G4427" s="434"/>
      <c r="H4427" s="1648"/>
      <c r="I4427" s="434"/>
      <c r="J4427" s="435"/>
      <c r="K4427" s="434"/>
    </row>
    <row r="4428" spans="1:11" s="33" customFormat="1">
      <c r="A4428" s="435"/>
      <c r="B4428" s="59" t="s">
        <v>1823</v>
      </c>
      <c r="D4428" s="464">
        <v>55</v>
      </c>
      <c r="E4428" s="402">
        <v>5</v>
      </c>
      <c r="F4428" s="149">
        <f t="shared" ref="F4428:F4430" si="581">D4428+E4428</f>
        <v>60</v>
      </c>
      <c r="G4428" s="358" t="s">
        <v>442</v>
      </c>
      <c r="H4428" s="1648"/>
      <c r="I4428" s="434"/>
      <c r="J4428" s="435" t="s">
        <v>5042</v>
      </c>
      <c r="K4428" s="434" t="s">
        <v>741</v>
      </c>
    </row>
    <row r="4429" spans="1:11" s="33" customFormat="1">
      <c r="A4429" s="435"/>
      <c r="B4429" s="59" t="s">
        <v>1824</v>
      </c>
      <c r="D4429" s="464">
        <v>50</v>
      </c>
      <c r="E4429" s="402">
        <v>5</v>
      </c>
      <c r="F4429" s="149">
        <f t="shared" si="581"/>
        <v>55</v>
      </c>
      <c r="G4429" s="358" t="s">
        <v>442</v>
      </c>
      <c r="H4429" s="458"/>
      <c r="I4429" s="434"/>
      <c r="J4429" s="435"/>
      <c r="K4429" s="434" t="s">
        <v>741</v>
      </c>
    </row>
    <row r="4430" spans="1:11" s="33" customFormat="1">
      <c r="A4430" s="435"/>
      <c r="B4430" s="59" t="s">
        <v>1825</v>
      </c>
      <c r="C4430" s="464">
        <v>34</v>
      </c>
      <c r="D4430" s="204">
        <f>C4430*fcl</f>
        <v>77.272727272727266</v>
      </c>
      <c r="E4430" s="402">
        <v>5</v>
      </c>
      <c r="F4430" s="149">
        <f t="shared" si="581"/>
        <v>82.272727272727266</v>
      </c>
      <c r="G4430" s="358" t="s">
        <v>1826</v>
      </c>
      <c r="H4430" s="458" t="str">
        <f>B4430</f>
        <v>IH_GRASSLIN</v>
      </c>
      <c r="I4430" s="434"/>
      <c r="J4430" s="435" t="s">
        <v>2541</v>
      </c>
      <c r="K4430" s="434" t="s">
        <v>741</v>
      </c>
    </row>
    <row r="4431" spans="1:11" s="33" customFormat="1">
      <c r="A4431" s="435"/>
      <c r="B4431" s="59" t="s">
        <v>6175</v>
      </c>
      <c r="C4431" s="464">
        <v>84.94</v>
      </c>
      <c r="D4431" s="204">
        <f>C4431*fcl</f>
        <v>193.04545454545453</v>
      </c>
      <c r="E4431" s="402">
        <v>5</v>
      </c>
      <c r="F4431" s="149">
        <f>D4431+E4431</f>
        <v>198.04545454545453</v>
      </c>
      <c r="G4431" s="358" t="s">
        <v>6176</v>
      </c>
      <c r="H4431" s="458" t="str">
        <f>B4431</f>
        <v>IH_GRASSLIN doble</v>
      </c>
      <c r="I4431" s="434"/>
      <c r="J4431" s="435" t="s">
        <v>2541</v>
      </c>
      <c r="K4431" s="434" t="s">
        <v>741</v>
      </c>
    </row>
    <row r="4432" spans="1:11" s="33" customFormat="1">
      <c r="A4432" s="435"/>
      <c r="B4432" s="59" t="s">
        <v>8289</v>
      </c>
      <c r="C4432" s="464">
        <v>38.799999999999997</v>
      </c>
      <c r="D4432" s="204">
        <f>C4432*fcl</f>
        <v>88.181818181818173</v>
      </c>
      <c r="E4432" s="402">
        <v>5</v>
      </c>
      <c r="F4432" s="149">
        <f>D4432+E4432</f>
        <v>93.181818181818173</v>
      </c>
      <c r="G4432" s="358" t="s">
        <v>8290</v>
      </c>
      <c r="H4432" s="458" t="str">
        <f>B4432</f>
        <v>IH_TALENTO PRO</v>
      </c>
      <c r="I4432" s="434"/>
      <c r="J4432" s="435" t="s">
        <v>2541</v>
      </c>
      <c r="K4432" s="434" t="s">
        <v>741</v>
      </c>
    </row>
    <row r="4433" spans="1:11" s="33" customFormat="1">
      <c r="A4433" s="435"/>
      <c r="B4433" s="59" t="s">
        <v>443</v>
      </c>
      <c r="C4433" s="534">
        <v>300</v>
      </c>
      <c r="D4433" s="217">
        <f>C4433*fcl/TC</f>
        <v>203.52781546811394</v>
      </c>
      <c r="E4433" s="402">
        <v>5</v>
      </c>
      <c r="F4433" s="149">
        <f>D4433+E4433</f>
        <v>208.52781546811394</v>
      </c>
      <c r="G4433" s="358" t="s">
        <v>5043</v>
      </c>
      <c r="H4433" s="458" t="str">
        <f>B4433</f>
        <v>IH-DIG. ORBIS</v>
      </c>
      <c r="I4433" s="434"/>
      <c r="J4433" s="435" t="s">
        <v>5042</v>
      </c>
      <c r="K4433" s="434" t="s">
        <v>741</v>
      </c>
    </row>
    <row r="4434" spans="1:11" s="33" customFormat="1">
      <c r="A4434" s="435"/>
      <c r="B4434" s="59" t="s">
        <v>11734</v>
      </c>
      <c r="C4434" s="534">
        <v>300</v>
      </c>
      <c r="D4434" s="230">
        <f t="shared" ref="D4434" si="582">C4434*(1-VLOOKUP(I4434,descuentos,6,FALSE))*fcl/IF(dol_sol="dólar", TC,1)</f>
        <v>203.52781546811394</v>
      </c>
      <c r="E4434" s="203">
        <v>5</v>
      </c>
      <c r="F4434" s="1646">
        <f t="shared" ref="F4434" si="583">D4434+E4434</f>
        <v>208.52781546811394</v>
      </c>
      <c r="G4434" s="358" t="s">
        <v>11735</v>
      </c>
      <c r="H4434" s="458" t="str">
        <f>B4434</f>
        <v>IH-DIG. Legrand</v>
      </c>
      <c r="I4434" s="434" t="s">
        <v>10295</v>
      </c>
      <c r="J4434" s="435" t="s">
        <v>10594</v>
      </c>
      <c r="K4434" s="434" t="s">
        <v>741</v>
      </c>
    </row>
    <row r="4435" spans="1:11" s="33" customFormat="1">
      <c r="A4435" s="435"/>
      <c r="B4435" s="45"/>
      <c r="D4435" s="217"/>
      <c r="E4435" s="203"/>
      <c r="F4435" s="149"/>
      <c r="G4435" s="22"/>
      <c r="H4435" s="1648"/>
      <c r="I4435" s="434"/>
      <c r="J4435" s="435"/>
      <c r="K4435" s="434"/>
    </row>
    <row r="4436" spans="1:11" s="33" customFormat="1">
      <c r="A4436" s="435"/>
      <c r="B4436" s="45"/>
      <c r="D4436" s="217"/>
      <c r="E4436" s="203"/>
      <c r="F4436" s="149"/>
      <c r="G4436" s="22"/>
      <c r="H4436" s="1648"/>
      <c r="I4436" s="434"/>
      <c r="J4436" s="435"/>
      <c r="K4436" s="434"/>
    </row>
    <row r="4437" spans="1:11" s="33" customFormat="1">
      <c r="A4437" s="435"/>
      <c r="B4437" s="60"/>
      <c r="D4437" s="217"/>
      <c r="E4437" s="203"/>
      <c r="F4437" s="149"/>
      <c r="G4437" s="38"/>
      <c r="H4437" s="1648"/>
      <c r="I4437" s="434"/>
      <c r="J4437" s="435"/>
      <c r="K4437" s="434"/>
    </row>
    <row r="4438" spans="1:11">
      <c r="A4438" s="368"/>
      <c r="B4438" s="158" t="s">
        <v>772</v>
      </c>
      <c r="C4438" s="217"/>
      <c r="D4438" s="431">
        <v>22</v>
      </c>
      <c r="E4438" s="217">
        <v>5</v>
      </c>
      <c r="F4438" s="159">
        <f>D4438+E4438</f>
        <v>27</v>
      </c>
      <c r="G4438" s="160" t="s">
        <v>8386</v>
      </c>
      <c r="H4438" s="458" t="str">
        <f>B4438</f>
        <v>D2PR4B+D2PA6</v>
      </c>
      <c r="I4438" s="454"/>
      <c r="J4438" s="368" t="s">
        <v>1798</v>
      </c>
      <c r="K4438" s="492" t="s">
        <v>741</v>
      </c>
    </row>
    <row r="4439" spans="1:11">
      <c r="A4439" s="368"/>
      <c r="B4439" s="158" t="s">
        <v>8387</v>
      </c>
      <c r="C4439" s="217"/>
      <c r="D4439" s="431">
        <v>20</v>
      </c>
      <c r="E4439" s="217">
        <v>3</v>
      </c>
      <c r="F4439" s="159">
        <f>D4439+E4439</f>
        <v>23</v>
      </c>
      <c r="G4439" s="160" t="s">
        <v>8388</v>
      </c>
      <c r="H4439" s="458" t="str">
        <f>B4439</f>
        <v>D2PR2B+D2PA6</v>
      </c>
      <c r="I4439" s="454"/>
      <c r="J4439" s="368" t="s">
        <v>1798</v>
      </c>
      <c r="K4439" s="492" t="s">
        <v>741</v>
      </c>
    </row>
    <row r="4440" spans="1:11" s="33" customFormat="1">
      <c r="A4440" s="435"/>
      <c r="B4440" s="47"/>
      <c r="D4440" s="217"/>
      <c r="E4440" s="203"/>
      <c r="F4440" s="149"/>
      <c r="G4440" s="434"/>
      <c r="H4440" s="1648"/>
      <c r="I4440" s="434"/>
      <c r="J4440" s="435"/>
      <c r="K4440" s="434"/>
    </row>
    <row r="4441" spans="1:11" s="33" customFormat="1">
      <c r="A4441" s="435"/>
      <c r="B4441" s="158" t="s">
        <v>12829</v>
      </c>
      <c r="C4441" s="217"/>
      <c r="D4441" s="431">
        <v>47</v>
      </c>
      <c r="E4441" s="217">
        <v>3</v>
      </c>
      <c r="F4441" s="159">
        <f>D4441+E4441</f>
        <v>50</v>
      </c>
      <c r="G4441" s="160" t="s">
        <v>12830</v>
      </c>
      <c r="H4441" s="1648"/>
      <c r="I4441" s="434"/>
      <c r="J4441" s="435"/>
      <c r="K4441" s="434"/>
    </row>
    <row r="4442" spans="1:11" s="33" customFormat="1">
      <c r="A4442" s="435"/>
      <c r="B4442" s="158"/>
      <c r="C4442" s="217"/>
      <c r="D4442" s="431"/>
      <c r="E4442" s="217"/>
      <c r="F4442" s="159"/>
      <c r="G4442" s="160"/>
      <c r="H4442" s="1648"/>
      <c r="I4442" s="434"/>
      <c r="J4442" s="435"/>
      <c r="K4442" s="434"/>
    </row>
    <row r="4443" spans="1:11" s="33" customFormat="1">
      <c r="A4443" s="433"/>
      <c r="B4443" s="47" t="s">
        <v>457</v>
      </c>
      <c r="D4443" s="217">
        <v>265</v>
      </c>
      <c r="E4443" s="203">
        <v>5</v>
      </c>
      <c r="F4443" s="149">
        <f t="shared" ref="F4443" si="584">D4443+E4443</f>
        <v>270</v>
      </c>
      <c r="G4443" s="44" t="s">
        <v>10162</v>
      </c>
      <c r="H4443" s="1648"/>
      <c r="I4443" s="434"/>
      <c r="J4443" s="433"/>
      <c r="K4443" s="434"/>
    </row>
    <row r="4444" spans="1:11" s="33" customFormat="1">
      <c r="A4444" s="447"/>
      <c r="B4444" s="470"/>
      <c r="D4444" s="217"/>
      <c r="E4444" s="407"/>
      <c r="F4444" s="157"/>
      <c r="G4444" s="471"/>
      <c r="H4444" s="473"/>
      <c r="I4444" s="454"/>
      <c r="J4444" s="447"/>
      <c r="K4444" s="454"/>
    </row>
    <row r="4445" spans="1:11" s="33" customFormat="1">
      <c r="A4445" s="435"/>
      <c r="B4445" s="39" t="s">
        <v>13813</v>
      </c>
      <c r="D4445" s="464">
        <v>80</v>
      </c>
      <c r="E4445" s="203">
        <v>5</v>
      </c>
      <c r="F4445" s="149">
        <f>D4445+E4445</f>
        <v>85</v>
      </c>
      <c r="G4445" s="434" t="s">
        <v>13814</v>
      </c>
      <c r="H4445" s="1682" t="s">
        <v>13815</v>
      </c>
      <c r="I4445" s="434"/>
      <c r="J4445" s="435" t="s">
        <v>1798</v>
      </c>
      <c r="K4445" s="434" t="s">
        <v>741</v>
      </c>
    </row>
    <row r="4446" spans="1:11" s="33" customFormat="1">
      <c r="A4446" s="435"/>
      <c r="B4446" s="39" t="s">
        <v>13816</v>
      </c>
      <c r="D4446" s="464">
        <v>130</v>
      </c>
      <c r="E4446" s="203">
        <v>5</v>
      </c>
      <c r="F4446" s="149">
        <f>D4446+E4446</f>
        <v>135</v>
      </c>
      <c r="G4446" s="434" t="s">
        <v>13817</v>
      </c>
      <c r="H4446" s="1682" t="s">
        <v>13818</v>
      </c>
      <c r="I4446" s="434"/>
      <c r="J4446" s="435" t="s">
        <v>1798</v>
      </c>
      <c r="K4446" s="434" t="s">
        <v>741</v>
      </c>
    </row>
    <row r="4447" spans="1:11" s="33" customFormat="1">
      <c r="A4447" s="435"/>
      <c r="B4447" s="39" t="s">
        <v>13819</v>
      </c>
      <c r="D4447" s="464">
        <v>120</v>
      </c>
      <c r="E4447" s="203">
        <v>5</v>
      </c>
      <c r="F4447" s="149">
        <f>D4447+E4447</f>
        <v>125</v>
      </c>
      <c r="G4447" s="434" t="s">
        <v>13820</v>
      </c>
      <c r="H4447" s="1682" t="s">
        <v>13821</v>
      </c>
      <c r="I4447" s="434"/>
      <c r="J4447" s="435" t="s">
        <v>1798</v>
      </c>
      <c r="K4447" s="434" t="s">
        <v>741</v>
      </c>
    </row>
    <row r="4448" spans="1:11" s="33" customFormat="1">
      <c r="A4448" s="435"/>
      <c r="B4448" s="47"/>
      <c r="D4448" s="217"/>
      <c r="E4448" s="203"/>
      <c r="F4448" s="149"/>
      <c r="G4448" s="434"/>
      <c r="H4448" s="1648"/>
      <c r="I4448" s="434"/>
      <c r="J4448" s="435"/>
      <c r="K4448" s="434"/>
    </row>
    <row r="4449" spans="1:11" s="33" customFormat="1">
      <c r="A4449" s="435"/>
      <c r="B4449" s="434"/>
      <c r="D4449" s="217"/>
      <c r="E4449" s="438"/>
      <c r="F4449" s="439"/>
      <c r="G4449" s="434"/>
      <c r="H4449" s="1648"/>
      <c r="I4449" s="434"/>
      <c r="J4449" s="435"/>
      <c r="K4449" s="434"/>
    </row>
    <row r="4450" spans="1:11" s="33" customFormat="1">
      <c r="A4450" s="369"/>
      <c r="B4450" s="400" t="s">
        <v>1636</v>
      </c>
      <c r="D4450" s="401">
        <v>15</v>
      </c>
      <c r="E4450" s="402">
        <v>5</v>
      </c>
      <c r="F4450" s="403">
        <f>ROUNDUP(D4450+E4450,1)</f>
        <v>20</v>
      </c>
      <c r="G4450" s="469" t="s">
        <v>1827</v>
      </c>
      <c r="H4450" s="518"/>
      <c r="I4450" s="472"/>
      <c r="J4450" s="369"/>
      <c r="K4450" s="472" t="s">
        <v>741</v>
      </c>
    </row>
    <row r="4451" spans="1:11" s="33" customFormat="1">
      <c r="A4451" s="369"/>
      <c r="B4451" s="400" t="s">
        <v>1637</v>
      </c>
      <c r="D4451" s="401">
        <v>15</v>
      </c>
      <c r="E4451" s="402">
        <v>5</v>
      </c>
      <c r="F4451" s="403">
        <f>ROUNDUP(D4451+E4451,1)</f>
        <v>20</v>
      </c>
      <c r="G4451" s="469" t="s">
        <v>1828</v>
      </c>
      <c r="H4451" s="518"/>
      <c r="I4451" s="472"/>
      <c r="J4451" s="369"/>
      <c r="K4451" s="472" t="s">
        <v>741</v>
      </c>
    </row>
    <row r="4452" spans="1:11" s="33" customFormat="1">
      <c r="A4452" s="369"/>
      <c r="B4452" s="400" t="s">
        <v>1638</v>
      </c>
      <c r="D4452" s="401">
        <v>15</v>
      </c>
      <c r="E4452" s="402">
        <v>5</v>
      </c>
      <c r="F4452" s="403">
        <f>ROUNDUP(D4452+E4452,1)</f>
        <v>20</v>
      </c>
      <c r="G4452" s="469" t="s">
        <v>1829</v>
      </c>
      <c r="H4452" s="518"/>
      <c r="I4452" s="472"/>
      <c r="J4452" s="369"/>
      <c r="K4452" s="472" t="s">
        <v>741</v>
      </c>
    </row>
    <row r="4453" spans="1:11" s="185" customFormat="1">
      <c r="A4453" s="369"/>
      <c r="B4453" s="422"/>
      <c r="D4453" s="217"/>
      <c r="E4453" s="407"/>
      <c r="F4453" s="157"/>
      <c r="G4453" s="454"/>
      <c r="H4453" s="518"/>
      <c r="I4453" s="472"/>
      <c r="J4453" s="369"/>
      <c r="K4453" s="472"/>
    </row>
    <row r="4454" spans="1:11" s="33" customFormat="1">
      <c r="A4454" s="369"/>
      <c r="B4454" s="400" t="s">
        <v>1830</v>
      </c>
      <c r="D4454" s="401">
        <v>6</v>
      </c>
      <c r="E4454" s="402">
        <v>5</v>
      </c>
      <c r="F4454" s="403">
        <f>ROUNDUP(D4454+E4454,1)</f>
        <v>11</v>
      </c>
      <c r="G4454" s="469" t="s">
        <v>1831</v>
      </c>
      <c r="H4454" s="518"/>
      <c r="I4454" s="472"/>
      <c r="J4454" s="369"/>
      <c r="K4454" s="472" t="s">
        <v>741</v>
      </c>
    </row>
    <row r="4455" spans="1:11" s="33" customFormat="1">
      <c r="A4455" s="369"/>
      <c r="B4455" s="400" t="s">
        <v>1832</v>
      </c>
      <c r="D4455" s="401">
        <v>6</v>
      </c>
      <c r="E4455" s="402">
        <v>5</v>
      </c>
      <c r="F4455" s="403">
        <f>ROUNDUP(D4455+E4455,1)</f>
        <v>11</v>
      </c>
      <c r="G4455" s="469" t="s">
        <v>1833</v>
      </c>
      <c r="H4455" s="518"/>
      <c r="I4455" s="472"/>
      <c r="J4455" s="369"/>
      <c r="K4455" s="472" t="s">
        <v>741</v>
      </c>
    </row>
    <row r="4456" spans="1:11" s="33" customFormat="1">
      <c r="A4456" s="369"/>
      <c r="B4456" s="400" t="s">
        <v>1834</v>
      </c>
      <c r="D4456" s="401">
        <v>6</v>
      </c>
      <c r="E4456" s="402">
        <v>5</v>
      </c>
      <c r="F4456" s="403">
        <f>ROUNDUP(D4456+E4456,1)</f>
        <v>11</v>
      </c>
      <c r="G4456" s="469" t="s">
        <v>1835</v>
      </c>
      <c r="H4456" s="518"/>
      <c r="I4456" s="472"/>
      <c r="J4456" s="369"/>
      <c r="K4456" s="472" t="s">
        <v>741</v>
      </c>
    </row>
    <row r="4457" spans="1:11" s="33" customFormat="1">
      <c r="A4457" s="369"/>
      <c r="B4457" s="400"/>
      <c r="D4457" s="401"/>
      <c r="E4457" s="402"/>
      <c r="F4457" s="403"/>
      <c r="G4457" s="469"/>
      <c r="H4457" s="518"/>
      <c r="I4457" s="472"/>
      <c r="J4457" s="369"/>
      <c r="K4457" s="472"/>
    </row>
    <row r="4458" spans="1:11" s="1397" customFormat="1">
      <c r="A4458" s="952"/>
      <c r="B4458" s="2348" t="s">
        <v>13822</v>
      </c>
      <c r="D4458" s="341">
        <v>10</v>
      </c>
      <c r="E4458" s="2318">
        <v>5</v>
      </c>
      <c r="F4458" s="342">
        <f>ROUNDUP(D4458+E4458,1)</f>
        <v>15</v>
      </c>
      <c r="G4458" s="2321" t="s">
        <v>13823</v>
      </c>
      <c r="H4458" s="1656"/>
      <c r="I4458" s="2349"/>
      <c r="J4458" s="952"/>
      <c r="K4458" s="2349" t="s">
        <v>741</v>
      </c>
    </row>
    <row r="4459" spans="1:11" s="1397" customFormat="1">
      <c r="A4459" s="952"/>
      <c r="B4459" s="2350" t="s">
        <v>13824</v>
      </c>
      <c r="D4459" s="341">
        <v>10</v>
      </c>
      <c r="E4459" s="2318">
        <v>5</v>
      </c>
      <c r="F4459" s="342">
        <f>ROUNDUP(D4459+E4459,1)</f>
        <v>15</v>
      </c>
      <c r="G4459" s="2321" t="s">
        <v>13825</v>
      </c>
      <c r="H4459" s="1656"/>
      <c r="I4459" s="2349"/>
      <c r="J4459" s="952"/>
      <c r="K4459" s="2349" t="s">
        <v>741</v>
      </c>
    </row>
    <row r="4460" spans="1:11" s="33" customFormat="1">
      <c r="A4460" s="369"/>
      <c r="B4460" s="404" t="s">
        <v>1836</v>
      </c>
      <c r="D4460" s="401">
        <v>10</v>
      </c>
      <c r="E4460" s="402">
        <v>5</v>
      </c>
      <c r="F4460" s="403">
        <f>ROUNDUP(D4460+E4460,1)</f>
        <v>15</v>
      </c>
      <c r="G4460" s="469" t="s">
        <v>3461</v>
      </c>
      <c r="H4460" s="518"/>
      <c r="I4460" s="472"/>
      <c r="J4460" s="369"/>
      <c r="K4460" s="472" t="s">
        <v>741</v>
      </c>
    </row>
    <row r="4461" spans="1:11" s="33" customFormat="1">
      <c r="A4461" s="369"/>
      <c r="B4461" s="400" t="s">
        <v>1837</v>
      </c>
      <c r="D4461" s="401">
        <v>10</v>
      </c>
      <c r="E4461" s="402">
        <v>5</v>
      </c>
      <c r="F4461" s="403">
        <f>ROUNDUP(D4461+E4461,1)</f>
        <v>15</v>
      </c>
      <c r="G4461" s="469" t="s">
        <v>3462</v>
      </c>
      <c r="H4461" s="518"/>
      <c r="I4461" s="472"/>
      <c r="J4461" s="369"/>
      <c r="K4461" s="472" t="s">
        <v>741</v>
      </c>
    </row>
    <row r="4462" spans="1:11" s="33" customFormat="1">
      <c r="A4462" s="369"/>
      <c r="B4462" s="400" t="s">
        <v>1838</v>
      </c>
      <c r="D4462" s="401">
        <v>10</v>
      </c>
      <c r="E4462" s="402">
        <v>5</v>
      </c>
      <c r="F4462" s="403">
        <f>ROUNDUP(D4462+E4462,1)</f>
        <v>15</v>
      </c>
      <c r="G4462" s="469" t="s">
        <v>3463</v>
      </c>
      <c r="H4462" s="518"/>
      <c r="I4462" s="472"/>
      <c r="J4462" s="369"/>
      <c r="K4462" s="472" t="s">
        <v>741</v>
      </c>
    </row>
    <row r="4463" spans="1:11" s="33" customFormat="1">
      <c r="A4463" s="369"/>
      <c r="B4463" s="400"/>
      <c r="D4463" s="401"/>
      <c r="E4463" s="402"/>
      <c r="F4463" s="403"/>
      <c r="G4463" s="469"/>
      <c r="H4463" s="518"/>
      <c r="I4463" s="472"/>
      <c r="J4463" s="369"/>
      <c r="K4463" s="472"/>
    </row>
    <row r="4464" spans="1:11" s="33" customFormat="1">
      <c r="A4464" s="369"/>
      <c r="B4464" s="404" t="s">
        <v>1839</v>
      </c>
      <c r="D4464" s="401">
        <v>10</v>
      </c>
      <c r="E4464" s="402">
        <v>5</v>
      </c>
      <c r="F4464" s="403">
        <f>ROUNDUP(D4464+E4464,1)</f>
        <v>15</v>
      </c>
      <c r="G4464" s="469" t="s">
        <v>3464</v>
      </c>
      <c r="H4464" s="518"/>
      <c r="I4464" s="472"/>
      <c r="J4464" s="369"/>
      <c r="K4464" s="472" t="s">
        <v>741</v>
      </c>
    </row>
    <row r="4465" spans="1:11" s="33" customFormat="1">
      <c r="A4465" s="369"/>
      <c r="B4465" s="400" t="s">
        <v>1840</v>
      </c>
      <c r="D4465" s="401">
        <v>10</v>
      </c>
      <c r="E4465" s="402">
        <v>5</v>
      </c>
      <c r="F4465" s="403">
        <f>ROUNDUP(D4465+E4465,1)</f>
        <v>15</v>
      </c>
      <c r="G4465" s="469" t="s">
        <v>3465</v>
      </c>
      <c r="H4465" s="518"/>
      <c r="I4465" s="472"/>
      <c r="J4465" s="369"/>
      <c r="K4465" s="472" t="s">
        <v>741</v>
      </c>
    </row>
    <row r="4466" spans="1:11" s="33" customFormat="1">
      <c r="A4466" s="369"/>
      <c r="B4466" s="400" t="s">
        <v>1841</v>
      </c>
      <c r="D4466" s="401">
        <v>10</v>
      </c>
      <c r="E4466" s="402">
        <v>5</v>
      </c>
      <c r="F4466" s="403">
        <f>ROUNDUP(D4466+E4466,1)</f>
        <v>15</v>
      </c>
      <c r="G4466" s="469" t="s">
        <v>3466</v>
      </c>
      <c r="H4466" s="518"/>
      <c r="I4466" s="472"/>
      <c r="J4466" s="369"/>
      <c r="K4466" s="472" t="s">
        <v>741</v>
      </c>
    </row>
    <row r="4467" spans="1:11" s="33" customFormat="1">
      <c r="A4467" s="369"/>
      <c r="B4467" s="400"/>
      <c r="D4467" s="401"/>
      <c r="E4467" s="402"/>
      <c r="F4467" s="403"/>
      <c r="G4467" s="469"/>
      <c r="H4467" s="518"/>
      <c r="I4467" s="472"/>
      <c r="J4467" s="369"/>
      <c r="K4467" s="472"/>
    </row>
    <row r="4468" spans="1:11" s="33" customFormat="1">
      <c r="A4468" s="369"/>
      <c r="B4468" s="400"/>
      <c r="D4468" s="401"/>
      <c r="E4468" s="402"/>
      <c r="F4468" s="403"/>
      <c r="G4468" s="469"/>
      <c r="H4468" s="518"/>
      <c r="I4468" s="472"/>
      <c r="J4468" s="369"/>
      <c r="K4468" s="472"/>
    </row>
    <row r="4469" spans="1:11" s="33" customFormat="1">
      <c r="A4469" s="444"/>
      <c r="B4469" s="36" t="s">
        <v>5944</v>
      </c>
      <c r="C4469" s="217"/>
      <c r="D4469" s="401">
        <v>10</v>
      </c>
      <c r="E4469" s="203">
        <v>5</v>
      </c>
      <c r="F4469" s="403">
        <f>ROUNDUP(D4469+E4469,1)</f>
        <v>15</v>
      </c>
      <c r="G4469" s="434" t="s">
        <v>5945</v>
      </c>
      <c r="H4469" s="1648"/>
      <c r="I4469" s="434"/>
      <c r="J4469" s="444"/>
      <c r="K4469" s="434"/>
    </row>
    <row r="4470" spans="1:11" s="33" customFormat="1">
      <c r="A4470" s="444"/>
      <c r="B4470" s="36" t="s">
        <v>5946</v>
      </c>
      <c r="C4470" s="217"/>
      <c r="D4470" s="401">
        <v>10</v>
      </c>
      <c r="E4470" s="203">
        <v>5</v>
      </c>
      <c r="F4470" s="403">
        <f>ROUNDUP(D4470+E4470,1)</f>
        <v>15</v>
      </c>
      <c r="G4470" s="434" t="s">
        <v>5947</v>
      </c>
      <c r="H4470" s="1648"/>
      <c r="I4470" s="434"/>
      <c r="J4470" s="444"/>
      <c r="K4470" s="434"/>
    </row>
    <row r="4471" spans="1:11" s="33" customFormat="1">
      <c r="A4471" s="444"/>
      <c r="B4471" s="36" t="s">
        <v>5948</v>
      </c>
      <c r="C4471" s="217"/>
      <c r="D4471" s="401">
        <v>10</v>
      </c>
      <c r="E4471" s="203">
        <v>5</v>
      </c>
      <c r="F4471" s="403">
        <f>ROUNDUP(D4471+E4471,1)</f>
        <v>15</v>
      </c>
      <c r="G4471" s="434" t="s">
        <v>5949</v>
      </c>
      <c r="H4471" s="1648"/>
      <c r="I4471" s="434"/>
      <c r="J4471" s="444"/>
      <c r="K4471" s="434"/>
    </row>
    <row r="4472" spans="1:11">
      <c r="A4472" s="435"/>
      <c r="B4472" s="27"/>
      <c r="C4472" s="19"/>
      <c r="D4472" s="217"/>
      <c r="E4472" s="203"/>
      <c r="F4472" s="149"/>
      <c r="G4472" s="434"/>
      <c r="H4472" s="1648"/>
      <c r="I4472" s="434"/>
      <c r="J4472" s="435"/>
      <c r="K4472" s="434"/>
    </row>
    <row r="4473" spans="1:11">
      <c r="A4473" s="444"/>
      <c r="B4473" s="40" t="s">
        <v>8291</v>
      </c>
      <c r="C4473" s="19"/>
      <c r="D4473" s="217">
        <v>35</v>
      </c>
      <c r="E4473" s="203">
        <v>11</v>
      </c>
      <c r="F4473" s="149">
        <f>D4473+E4473</f>
        <v>46</v>
      </c>
      <c r="G4473" s="434" t="s">
        <v>1842</v>
      </c>
      <c r="H4473" s="1648"/>
      <c r="I4473" s="434"/>
      <c r="J4473" s="444"/>
      <c r="K4473" s="434"/>
    </row>
    <row r="4474" spans="1:11">
      <c r="A4474" s="433"/>
      <c r="B4474" s="40" t="s">
        <v>8292</v>
      </c>
      <c r="C4474" s="19"/>
      <c r="D4474" s="449">
        <v>28</v>
      </c>
      <c r="E4474" s="203">
        <v>10</v>
      </c>
      <c r="F4474" s="149">
        <f>D4474+E4474</f>
        <v>38</v>
      </c>
      <c r="G4474" s="434" t="s">
        <v>1843</v>
      </c>
      <c r="H4474" s="1648"/>
      <c r="I4474" s="434"/>
      <c r="J4474" s="433"/>
      <c r="K4474" s="434"/>
    </row>
    <row r="4475" spans="1:11" s="33" customFormat="1">
      <c r="A4475" s="444"/>
      <c r="B4475" s="40" t="s">
        <v>5950</v>
      </c>
      <c r="C4475" s="217"/>
      <c r="D4475" s="217">
        <v>25</v>
      </c>
      <c r="E4475" s="203">
        <v>5</v>
      </c>
      <c r="F4475" s="149">
        <f>D4475+E4475</f>
        <v>30</v>
      </c>
      <c r="G4475" s="434" t="s">
        <v>5951</v>
      </c>
      <c r="H4475" s="1648"/>
      <c r="I4475" s="434"/>
      <c r="J4475" s="444"/>
      <c r="K4475" s="434"/>
    </row>
    <row r="4476" spans="1:11" s="33" customFormat="1">
      <c r="A4476" s="444"/>
      <c r="B4476" s="40" t="s">
        <v>5952</v>
      </c>
      <c r="C4476" s="217"/>
      <c r="D4476" s="217">
        <v>25</v>
      </c>
      <c r="E4476" s="203">
        <v>5</v>
      </c>
      <c r="F4476" s="149">
        <f>D4476+E4476</f>
        <v>30</v>
      </c>
      <c r="G4476" s="434" t="s">
        <v>5953</v>
      </c>
      <c r="H4476" s="1648"/>
      <c r="I4476" s="434"/>
      <c r="J4476" s="444"/>
      <c r="K4476" s="434"/>
    </row>
    <row r="4477" spans="1:11">
      <c r="A4477" s="435"/>
      <c r="B4477" s="40"/>
      <c r="C4477" s="19"/>
      <c r="D4477" s="217"/>
      <c r="E4477" s="203"/>
      <c r="F4477" s="149"/>
      <c r="G4477" s="434"/>
      <c r="H4477" s="1648"/>
      <c r="I4477" s="434"/>
      <c r="J4477" s="435"/>
      <c r="K4477" s="434"/>
    </row>
    <row r="4478" spans="1:11">
      <c r="A4478" s="433"/>
      <c r="B4478" s="40" t="s">
        <v>446</v>
      </c>
      <c r="C4478" s="19"/>
      <c r="D4478" s="341">
        <v>20</v>
      </c>
      <c r="E4478" s="203">
        <v>8</v>
      </c>
      <c r="F4478" s="342">
        <f t="shared" ref="F4478:F4482" si="585">D4478+E4478</f>
        <v>28</v>
      </c>
      <c r="G4478" s="434" t="s">
        <v>11169</v>
      </c>
      <c r="H4478" s="1648"/>
      <c r="I4478" s="434"/>
      <c r="J4478" s="433"/>
      <c r="K4478" s="434" t="s">
        <v>741</v>
      </c>
    </row>
    <row r="4479" spans="1:11">
      <c r="A4479" s="433"/>
      <c r="B4479" s="40" t="s">
        <v>445</v>
      </c>
      <c r="C4479" s="19"/>
      <c r="D4479" s="341">
        <v>20</v>
      </c>
      <c r="E4479" s="203">
        <v>8</v>
      </c>
      <c r="F4479" s="342">
        <f t="shared" si="585"/>
        <v>28</v>
      </c>
      <c r="G4479" s="434" t="s">
        <v>11170</v>
      </c>
      <c r="H4479" s="1648"/>
      <c r="I4479" s="434"/>
      <c r="J4479" s="433"/>
      <c r="K4479" s="434" t="s">
        <v>741</v>
      </c>
    </row>
    <row r="4480" spans="1:11" s="33" customFormat="1">
      <c r="A4480" s="433"/>
      <c r="B4480" s="40" t="s">
        <v>4785</v>
      </c>
      <c r="D4480" s="341">
        <v>20</v>
      </c>
      <c r="E4480" s="203">
        <v>8</v>
      </c>
      <c r="F4480" s="342">
        <f t="shared" si="585"/>
        <v>28</v>
      </c>
      <c r="G4480" s="434" t="s">
        <v>5044</v>
      </c>
      <c r="H4480" s="1648"/>
      <c r="I4480" s="434"/>
      <c r="J4480" s="433"/>
      <c r="K4480" s="434" t="s">
        <v>741</v>
      </c>
    </row>
    <row r="4481" spans="1:15" s="33" customFormat="1">
      <c r="A4481" s="433"/>
      <c r="B4481" s="40" t="s">
        <v>8293</v>
      </c>
      <c r="C4481" s="19"/>
      <c r="D4481" s="341">
        <v>35</v>
      </c>
      <c r="E4481" s="203">
        <v>8</v>
      </c>
      <c r="F4481" s="342">
        <f t="shared" si="585"/>
        <v>43</v>
      </c>
      <c r="G4481" s="434" t="s">
        <v>8294</v>
      </c>
      <c r="H4481" s="1648"/>
      <c r="I4481" s="434"/>
      <c r="J4481" s="433"/>
      <c r="K4481" s="434" t="s">
        <v>741</v>
      </c>
    </row>
    <row r="4482" spans="1:15" s="33" customFormat="1">
      <c r="A4482" s="433"/>
      <c r="B4482" s="40" t="s">
        <v>5045</v>
      </c>
      <c r="D4482" s="341">
        <v>20</v>
      </c>
      <c r="E4482" s="203">
        <v>8</v>
      </c>
      <c r="F4482" s="342">
        <f t="shared" si="585"/>
        <v>28</v>
      </c>
      <c r="G4482" s="434" t="s">
        <v>5046</v>
      </c>
      <c r="H4482" s="1648"/>
      <c r="I4482" s="434"/>
      <c r="J4482" s="433"/>
      <c r="K4482" s="434" t="s">
        <v>741</v>
      </c>
    </row>
    <row r="4483" spans="1:15" s="33" customFormat="1">
      <c r="A4483" s="435"/>
      <c r="B4483" s="40"/>
      <c r="D4483" s="217"/>
      <c r="E4483" s="203"/>
      <c r="F4483" s="149"/>
      <c r="G4483" s="434"/>
      <c r="H4483" s="1648"/>
      <c r="I4483" s="434"/>
      <c r="J4483" s="435"/>
      <c r="K4483" s="434"/>
    </row>
    <row r="4484" spans="1:15" s="33" customFormat="1">
      <c r="A4484" s="435"/>
      <c r="B4484" s="40" t="s">
        <v>1844</v>
      </c>
      <c r="D4484" s="341">
        <v>4</v>
      </c>
      <c r="E4484" s="203">
        <v>1</v>
      </c>
      <c r="F4484" s="342">
        <f>D4484+E4484</f>
        <v>5</v>
      </c>
      <c r="G4484" s="434" t="s">
        <v>1845</v>
      </c>
      <c r="H4484" s="1648"/>
      <c r="I4484" s="434"/>
      <c r="J4484" s="435"/>
      <c r="K4484" s="434" t="s">
        <v>741</v>
      </c>
    </row>
    <row r="4485" spans="1:15" s="33" customFormat="1">
      <c r="A4485" s="435"/>
      <c r="B4485" s="40" t="s">
        <v>1846</v>
      </c>
      <c r="D4485" s="341">
        <v>4</v>
      </c>
      <c r="E4485" s="203">
        <v>1</v>
      </c>
      <c r="F4485" s="342">
        <f>D4485+E4485</f>
        <v>5</v>
      </c>
      <c r="G4485" s="434" t="s">
        <v>1847</v>
      </c>
      <c r="H4485" s="1648"/>
      <c r="I4485" s="434"/>
      <c r="J4485" s="435"/>
      <c r="K4485" s="434" t="s">
        <v>741</v>
      </c>
    </row>
    <row r="4486" spans="1:15" s="33" customFormat="1">
      <c r="A4486" s="435"/>
      <c r="B4486" s="40"/>
      <c r="D4486" s="217"/>
      <c r="E4486" s="203"/>
      <c r="F4486" s="149"/>
      <c r="G4486" s="434"/>
      <c r="H4486" s="1648"/>
      <c r="I4486" s="434"/>
      <c r="J4486" s="435"/>
      <c r="K4486" s="434"/>
    </row>
    <row r="4487" spans="1:15">
      <c r="A4487" s="515"/>
      <c r="B4487" s="143" t="s">
        <v>8295</v>
      </c>
      <c r="C4487" s="196">
        <v>152.32</v>
      </c>
      <c r="D4487" s="230">
        <f>C4487*fcl/IF(dol_sol="dólar", TC,1)</f>
        <v>103.33785617367705</v>
      </c>
      <c r="E4487" s="215">
        <v>10</v>
      </c>
      <c r="F4487" s="511">
        <f>ROUNDUP(D4487+E4487,2)</f>
        <v>113.34</v>
      </c>
      <c r="G4487" s="314" t="s">
        <v>8296</v>
      </c>
      <c r="H4487" s="518" t="s">
        <v>8297</v>
      </c>
      <c r="I4487" s="452"/>
      <c r="J4487" s="515" t="s">
        <v>8298</v>
      </c>
      <c r="K4487" s="452" t="s">
        <v>741</v>
      </c>
      <c r="L4487" s="191"/>
      <c r="M4487" s="191"/>
      <c r="N4487" s="191"/>
      <c r="O4487" s="191"/>
    </row>
    <row r="4488" spans="1:15" s="33" customFormat="1">
      <c r="A4488" s="435"/>
      <c r="B4488" s="47"/>
      <c r="D4488" s="217"/>
      <c r="E4488" s="203"/>
      <c r="F4488" s="149"/>
      <c r="G4488" s="434"/>
      <c r="H4488" s="1648"/>
      <c r="I4488" s="434"/>
      <c r="J4488" s="435"/>
      <c r="K4488" s="434"/>
    </row>
    <row r="4489" spans="1:15" s="33" customFormat="1">
      <c r="A4489" s="447"/>
      <c r="B4489" s="473"/>
      <c r="C4489" s="474"/>
      <c r="D4489" s="475"/>
      <c r="E4489" s="476"/>
      <c r="F4489" s="477"/>
      <c r="G4489" s="478"/>
      <c r="H4489" s="473"/>
      <c r="I4489" s="454"/>
      <c r="J4489" s="447"/>
      <c r="K4489" s="479"/>
    </row>
    <row r="4490" spans="1:15" s="33" customFormat="1">
      <c r="A4490" s="447"/>
      <c r="B4490" s="480" t="s">
        <v>751</v>
      </c>
      <c r="C4490" s="474"/>
      <c r="D4490" s="475"/>
      <c r="E4490" s="476"/>
      <c r="F4490" s="477"/>
      <c r="G4490" s="478"/>
      <c r="H4490" s="473"/>
      <c r="I4490" s="454"/>
      <c r="J4490" s="447"/>
      <c r="K4490" s="479"/>
    </row>
    <row r="4491" spans="1:15" s="33" customFormat="1">
      <c r="A4491" s="447"/>
      <c r="B4491" s="480"/>
      <c r="C4491" s="474"/>
      <c r="D4491" s="475"/>
      <c r="E4491" s="476"/>
      <c r="F4491" s="477"/>
      <c r="G4491" s="478"/>
      <c r="H4491" s="473"/>
      <c r="I4491" s="454"/>
      <c r="J4491" s="447"/>
      <c r="K4491" s="479"/>
    </row>
    <row r="4492" spans="1:15" s="33" customFormat="1">
      <c r="A4492" s="447"/>
      <c r="B4492" s="147" t="s">
        <v>8299</v>
      </c>
      <c r="C4492" s="753"/>
      <c r="D4492" s="207"/>
      <c r="E4492" s="207"/>
      <c r="F4492" s="153">
        <v>10</v>
      </c>
      <c r="G4492" s="147" t="s">
        <v>316</v>
      </c>
      <c r="H4492" s="473"/>
      <c r="I4492" s="454"/>
      <c r="J4492" s="481"/>
      <c r="K4492" s="481" t="s">
        <v>741</v>
      </c>
    </row>
    <row r="4493" spans="1:15" s="33" customFormat="1">
      <c r="A4493" s="447"/>
      <c r="B4493" s="147" t="s">
        <v>2907</v>
      </c>
      <c r="C4493" s="753"/>
      <c r="D4493" s="207"/>
      <c r="E4493" s="207"/>
      <c r="F4493" s="153">
        <v>15</v>
      </c>
      <c r="G4493" s="147" t="s">
        <v>2908</v>
      </c>
      <c r="H4493" s="473"/>
      <c r="I4493" s="454"/>
      <c r="J4493" s="481"/>
      <c r="K4493" s="481" t="s">
        <v>741</v>
      </c>
    </row>
    <row r="4494" spans="1:15" s="33" customFormat="1">
      <c r="A4494" s="447"/>
      <c r="B4494" s="147" t="s">
        <v>2909</v>
      </c>
      <c r="C4494" s="753"/>
      <c r="D4494" s="207"/>
      <c r="E4494" s="207"/>
      <c r="F4494" s="153">
        <v>15</v>
      </c>
      <c r="G4494" s="147" t="s">
        <v>2910</v>
      </c>
      <c r="H4494" s="473"/>
      <c r="I4494" s="454"/>
      <c r="J4494" s="481"/>
      <c r="K4494" s="481" t="s">
        <v>741</v>
      </c>
    </row>
    <row r="4495" spans="1:15" s="33" customFormat="1">
      <c r="A4495" s="368"/>
      <c r="B4495" s="147"/>
      <c r="C4495" s="223"/>
      <c r="D4495" s="207"/>
      <c r="E4495" s="207"/>
      <c r="F4495" s="153"/>
      <c r="G4495" s="147"/>
      <c r="H4495" s="473"/>
      <c r="I4495" s="454"/>
      <c r="J4495" s="481"/>
      <c r="K4495" s="481"/>
    </row>
    <row r="4496" spans="1:15" s="33" customFormat="1">
      <c r="A4496" s="368"/>
      <c r="B4496" s="147" t="s">
        <v>2911</v>
      </c>
      <c r="C4496" s="223"/>
      <c r="D4496" s="207"/>
      <c r="E4496" s="207"/>
      <c r="F4496" s="153">
        <v>25</v>
      </c>
      <c r="G4496" s="147" t="s">
        <v>2910</v>
      </c>
      <c r="H4496" s="473"/>
      <c r="I4496" s="454"/>
      <c r="J4496" s="481"/>
      <c r="K4496" s="481" t="s">
        <v>741</v>
      </c>
    </row>
    <row r="4497" spans="1:11" s="33" customFormat="1">
      <c r="A4497" s="368"/>
      <c r="B4497" s="147" t="s">
        <v>3272</v>
      </c>
      <c r="C4497" s="223"/>
      <c r="D4497" s="207"/>
      <c r="E4497" s="207"/>
      <c r="F4497" s="153">
        <v>30</v>
      </c>
      <c r="G4497" s="147" t="s">
        <v>316</v>
      </c>
      <c r="H4497" s="473"/>
      <c r="I4497" s="454"/>
      <c r="J4497" s="481"/>
      <c r="K4497" s="481" t="s">
        <v>741</v>
      </c>
    </row>
    <row r="4498" spans="1:11" customFormat="1">
      <c r="A4498" s="368"/>
      <c r="B4498" s="147" t="s">
        <v>3273</v>
      </c>
      <c r="C4498" s="223"/>
      <c r="D4498" s="207"/>
      <c r="E4498" s="207"/>
      <c r="F4498" s="153">
        <v>50</v>
      </c>
      <c r="G4498" s="147" t="s">
        <v>2908</v>
      </c>
      <c r="H4498" s="473"/>
      <c r="I4498" s="454"/>
      <c r="J4498" s="481"/>
      <c r="K4498" s="481" t="s">
        <v>741</v>
      </c>
    </row>
    <row r="4499" spans="1:11" customFormat="1">
      <c r="A4499" s="447"/>
      <c r="B4499" s="754"/>
      <c r="C4499" s="755"/>
      <c r="D4499" s="756"/>
      <c r="E4499" s="757"/>
      <c r="F4499" s="758"/>
      <c r="G4499" s="759"/>
      <c r="H4499" s="473"/>
      <c r="I4499" s="454"/>
      <c r="J4499" s="447"/>
      <c r="K4499" s="481"/>
    </row>
    <row r="4500" spans="1:11" customFormat="1">
      <c r="A4500" s="447"/>
      <c r="B4500" s="754"/>
      <c r="C4500" s="755"/>
      <c r="D4500" s="756"/>
      <c r="E4500" s="757"/>
      <c r="F4500" s="758"/>
      <c r="G4500" s="759"/>
      <c r="H4500" s="473"/>
      <c r="I4500" s="454"/>
      <c r="J4500" s="447"/>
      <c r="K4500" s="481"/>
    </row>
    <row r="4501" spans="1:11">
      <c r="A4501" s="447"/>
      <c r="B4501" s="147" t="s">
        <v>3065</v>
      </c>
      <c r="C4501" s="753"/>
      <c r="D4501" s="207"/>
      <c r="E4501" s="207"/>
      <c r="F4501" s="153">
        <v>3</v>
      </c>
      <c r="G4501" s="147" t="s">
        <v>9361</v>
      </c>
      <c r="H4501" s="473"/>
      <c r="I4501" s="454"/>
      <c r="J4501" s="481"/>
      <c r="K4501" s="481" t="s">
        <v>741</v>
      </c>
    </row>
    <row r="4502" spans="1:11">
      <c r="A4502" s="447"/>
      <c r="B4502" s="147" t="s">
        <v>3066</v>
      </c>
      <c r="C4502" s="753"/>
      <c r="D4502" s="207"/>
      <c r="E4502" s="207"/>
      <c r="F4502" s="153">
        <v>1.5</v>
      </c>
      <c r="G4502" s="147" t="s">
        <v>3069</v>
      </c>
      <c r="H4502" s="473"/>
      <c r="I4502" s="454"/>
      <c r="J4502" s="481"/>
      <c r="K4502" s="481" t="s">
        <v>741</v>
      </c>
    </row>
    <row r="4503" spans="1:11">
      <c r="A4503" s="368"/>
      <c r="B4503" s="147" t="s">
        <v>3067</v>
      </c>
      <c r="C4503" s="223"/>
      <c r="D4503" s="207"/>
      <c r="E4503" s="207"/>
      <c r="F4503" s="153">
        <v>0.7</v>
      </c>
      <c r="G4503" s="147" t="s">
        <v>3068</v>
      </c>
      <c r="H4503" s="473"/>
      <c r="I4503" s="454"/>
      <c r="J4503" s="481"/>
      <c r="K4503" s="481" t="s">
        <v>741</v>
      </c>
    </row>
    <row r="4504" spans="1:11">
      <c r="A4504" s="447"/>
      <c r="B4504" s="754"/>
      <c r="C4504" s="755"/>
      <c r="D4504" s="756"/>
      <c r="E4504" s="757"/>
      <c r="F4504" s="758"/>
      <c r="G4504" s="759"/>
      <c r="H4504" s="473"/>
      <c r="I4504" s="454"/>
      <c r="J4504" s="447"/>
      <c r="K4504" s="481"/>
    </row>
    <row r="4505" spans="1:11">
      <c r="A4505" s="368"/>
      <c r="B4505" s="182"/>
      <c r="C4505" s="223"/>
      <c r="D4505" s="207"/>
      <c r="E4505" s="207"/>
      <c r="F4505" s="153"/>
      <c r="G4505" s="147"/>
      <c r="H4505" s="473"/>
      <c r="I4505" s="454"/>
      <c r="J4505" s="368"/>
      <c r="K4505" s="481"/>
    </row>
    <row r="4506" spans="1:11">
      <c r="A4506" s="368"/>
      <c r="B4506" s="182" t="s">
        <v>13826</v>
      </c>
      <c r="C4506" s="223"/>
      <c r="D4506" s="207"/>
      <c r="E4506" s="207"/>
      <c r="F4506" s="153">
        <v>80</v>
      </c>
      <c r="G4506" s="147" t="s">
        <v>13827</v>
      </c>
      <c r="H4506" s="473"/>
      <c r="I4506" s="454"/>
      <c r="J4506" s="368"/>
      <c r="K4506" s="481" t="s">
        <v>741</v>
      </c>
    </row>
    <row r="4507" spans="1:11">
      <c r="A4507" s="368"/>
      <c r="B4507" s="182" t="s">
        <v>5047</v>
      </c>
      <c r="C4507" s="223"/>
      <c r="D4507" s="207"/>
      <c r="E4507" s="207"/>
      <c r="F4507" s="153">
        <v>100</v>
      </c>
      <c r="G4507" s="147" t="s">
        <v>5048</v>
      </c>
      <c r="H4507" s="473"/>
      <c r="I4507" s="454"/>
      <c r="J4507" s="368"/>
      <c r="K4507" s="481" t="s">
        <v>741</v>
      </c>
    </row>
    <row r="4508" spans="1:11">
      <c r="A4508" s="368"/>
      <c r="B4508" s="182" t="s">
        <v>5049</v>
      </c>
      <c r="C4508" s="223"/>
      <c r="D4508" s="207"/>
      <c r="E4508" s="207"/>
      <c r="F4508" s="1368">
        <v>150</v>
      </c>
      <c r="G4508" s="147" t="s">
        <v>5050</v>
      </c>
      <c r="H4508" s="473"/>
      <c r="I4508" s="454"/>
      <c r="J4508" s="368"/>
      <c r="K4508" s="481" t="s">
        <v>741</v>
      </c>
    </row>
    <row r="4509" spans="1:11">
      <c r="A4509" s="368"/>
      <c r="B4509" s="182" t="s">
        <v>5051</v>
      </c>
      <c r="C4509" s="223"/>
      <c r="D4509" s="207"/>
      <c r="E4509" s="207"/>
      <c r="F4509" s="153">
        <v>180</v>
      </c>
      <c r="G4509" s="147" t="s">
        <v>5052</v>
      </c>
      <c r="H4509" s="473"/>
      <c r="I4509" s="454"/>
      <c r="J4509" s="368"/>
      <c r="K4509" s="481" t="s">
        <v>741</v>
      </c>
    </row>
    <row r="4510" spans="1:11">
      <c r="A4510" s="368"/>
      <c r="B4510" s="182" t="s">
        <v>5053</v>
      </c>
      <c r="C4510" s="223"/>
      <c r="D4510" s="207"/>
      <c r="E4510" s="207"/>
      <c r="F4510" s="153">
        <v>220</v>
      </c>
      <c r="G4510" s="147" t="s">
        <v>5054</v>
      </c>
      <c r="H4510" s="473"/>
      <c r="I4510" s="454"/>
      <c r="J4510" s="368"/>
      <c r="K4510" s="481" t="s">
        <v>741</v>
      </c>
    </row>
    <row r="4511" spans="1:11">
      <c r="A4511" s="368"/>
      <c r="B4511" s="182" t="s">
        <v>5055</v>
      </c>
      <c r="C4511" s="223"/>
      <c r="D4511" s="207"/>
      <c r="E4511" s="207"/>
      <c r="F4511" s="1368">
        <v>280</v>
      </c>
      <c r="G4511" s="147" t="s">
        <v>5056</v>
      </c>
      <c r="H4511" s="473"/>
      <c r="I4511" s="454"/>
      <c r="J4511" s="368"/>
      <c r="K4511" s="481" t="s">
        <v>741</v>
      </c>
    </row>
    <row r="4512" spans="1:11">
      <c r="A4512" s="368"/>
      <c r="B4512" s="182" t="s">
        <v>5057</v>
      </c>
      <c r="C4512" s="223"/>
      <c r="D4512" s="207"/>
      <c r="E4512" s="207"/>
      <c r="F4512" s="153">
        <v>320</v>
      </c>
      <c r="G4512" s="147" t="s">
        <v>5058</v>
      </c>
      <c r="H4512" s="473"/>
      <c r="I4512" s="454"/>
      <c r="J4512" s="368"/>
      <c r="K4512" s="481" t="s">
        <v>741</v>
      </c>
    </row>
    <row r="4513" spans="1:11">
      <c r="A4513" s="368"/>
      <c r="B4513" s="182"/>
      <c r="C4513" s="223"/>
      <c r="D4513" s="207"/>
      <c r="E4513" s="207"/>
      <c r="F4513" s="153"/>
      <c r="G4513" s="147"/>
      <c r="H4513" s="473"/>
      <c r="I4513" s="454"/>
      <c r="J4513" s="368"/>
      <c r="K4513" s="481"/>
    </row>
    <row r="4514" spans="1:11">
      <c r="A4514" s="368"/>
      <c r="B4514" s="182" t="s">
        <v>5954</v>
      </c>
      <c r="C4514" s="223"/>
      <c r="D4514" s="207"/>
      <c r="E4514" s="207"/>
      <c r="F4514" s="153">
        <v>50</v>
      </c>
      <c r="G4514" s="147" t="s">
        <v>5955</v>
      </c>
      <c r="H4514" s="473"/>
      <c r="I4514" s="454"/>
      <c r="J4514" s="368"/>
      <c r="K4514" s="481" t="s">
        <v>741</v>
      </c>
    </row>
    <row r="4515" spans="1:11">
      <c r="A4515" s="368"/>
      <c r="B4515" s="182" t="s">
        <v>2912</v>
      </c>
      <c r="C4515" s="223"/>
      <c r="D4515" s="207"/>
      <c r="E4515" s="207"/>
      <c r="F4515" s="153">
        <v>50</v>
      </c>
      <c r="G4515" s="147" t="s">
        <v>13828</v>
      </c>
      <c r="H4515" s="473"/>
      <c r="I4515" s="454"/>
      <c r="J4515" s="368"/>
      <c r="K4515" s="481" t="s">
        <v>741</v>
      </c>
    </row>
    <row r="4516" spans="1:11">
      <c r="A4516" s="447"/>
      <c r="B4516" s="754"/>
      <c r="C4516" s="755"/>
      <c r="D4516" s="756"/>
      <c r="E4516" s="757"/>
      <c r="F4516" s="758"/>
      <c r="G4516" s="147"/>
      <c r="H4516" s="473"/>
      <c r="I4516" s="454"/>
      <c r="J4516" s="447"/>
      <c r="K4516" s="481"/>
    </row>
    <row r="4517" spans="1:11">
      <c r="A4517" s="447"/>
      <c r="B4517" s="754"/>
      <c r="C4517" s="755"/>
      <c r="D4517" s="756"/>
      <c r="E4517" s="757"/>
      <c r="F4517" s="758"/>
      <c r="G4517" s="147"/>
      <c r="H4517" s="473"/>
      <c r="I4517" s="454"/>
      <c r="J4517" s="447"/>
      <c r="K4517" s="481"/>
    </row>
    <row r="4518" spans="1:11">
      <c r="A4518" s="368"/>
      <c r="B4518" s="182" t="s">
        <v>2913</v>
      </c>
      <c r="C4518" s="223"/>
      <c r="D4518" s="207"/>
      <c r="E4518" s="207"/>
      <c r="F4518" s="153">
        <v>2.5</v>
      </c>
      <c r="G4518" s="147" t="s">
        <v>2914</v>
      </c>
      <c r="H4518" s="473"/>
      <c r="I4518" s="454"/>
      <c r="J4518" s="368"/>
      <c r="K4518" s="481" t="s">
        <v>741</v>
      </c>
    </row>
    <row r="4519" spans="1:11">
      <c r="A4519" s="368"/>
      <c r="B4519" s="182" t="s">
        <v>2915</v>
      </c>
      <c r="C4519" s="223"/>
      <c r="D4519" s="207"/>
      <c r="E4519" s="207"/>
      <c r="F4519" s="153">
        <v>5</v>
      </c>
      <c r="G4519" s="147" t="s">
        <v>2916</v>
      </c>
      <c r="H4519" s="473"/>
      <c r="I4519" s="454"/>
      <c r="J4519" s="368"/>
      <c r="K4519" s="481" t="s">
        <v>741</v>
      </c>
    </row>
    <row r="4520" spans="1:11">
      <c r="A4520" s="368"/>
      <c r="B4520" s="182" t="s">
        <v>2917</v>
      </c>
      <c r="C4520" s="223"/>
      <c r="D4520" s="207"/>
      <c r="E4520" s="207"/>
      <c r="F4520" s="153">
        <v>2.5</v>
      </c>
      <c r="G4520" s="147" t="s">
        <v>2918</v>
      </c>
      <c r="H4520" s="473"/>
      <c r="I4520" s="454"/>
      <c r="J4520" s="368"/>
      <c r="K4520" s="481" t="s">
        <v>741</v>
      </c>
    </row>
    <row r="4521" spans="1:11">
      <c r="A4521" s="368"/>
      <c r="B4521" s="182" t="s">
        <v>2919</v>
      </c>
      <c r="C4521" s="223"/>
      <c r="D4521" s="207"/>
      <c r="E4521" s="207"/>
      <c r="F4521" s="153">
        <v>5</v>
      </c>
      <c r="G4521" s="147" t="s">
        <v>2920</v>
      </c>
      <c r="H4521" s="473"/>
      <c r="I4521" s="454"/>
      <c r="J4521" s="368"/>
      <c r="K4521" s="481" t="s">
        <v>741</v>
      </c>
    </row>
    <row r="4522" spans="1:11">
      <c r="A4522" s="368"/>
      <c r="B4522" s="182"/>
      <c r="C4522" s="223"/>
      <c r="D4522" s="207"/>
      <c r="E4522" s="207"/>
      <c r="F4522" s="153"/>
      <c r="G4522" s="147"/>
      <c r="H4522" s="473"/>
      <c r="I4522" s="454"/>
      <c r="J4522" s="368"/>
      <c r="K4522" s="481"/>
    </row>
    <row r="4523" spans="1:11">
      <c r="A4523" s="368"/>
      <c r="B4523" s="182" t="s">
        <v>5956</v>
      </c>
      <c r="C4523" s="223"/>
      <c r="D4523" s="207"/>
      <c r="E4523" s="207"/>
      <c r="F4523" s="153">
        <v>1.5</v>
      </c>
      <c r="G4523" s="147" t="s">
        <v>5957</v>
      </c>
      <c r="H4523" s="473"/>
      <c r="I4523" s="454"/>
      <c r="J4523" s="368"/>
      <c r="K4523" s="481" t="s">
        <v>741</v>
      </c>
    </row>
    <row r="4524" spans="1:11">
      <c r="A4524" s="368"/>
      <c r="B4524" s="182" t="s">
        <v>8300</v>
      </c>
      <c r="C4524" s="223"/>
      <c r="D4524" s="207"/>
      <c r="E4524" s="207"/>
      <c r="F4524" s="153">
        <v>2.5</v>
      </c>
      <c r="G4524" s="147" t="s">
        <v>8301</v>
      </c>
      <c r="H4524" s="473"/>
      <c r="I4524" s="454"/>
      <c r="J4524" s="368"/>
      <c r="K4524" s="481" t="s">
        <v>741</v>
      </c>
    </row>
    <row r="4525" spans="1:11">
      <c r="A4525" s="368"/>
      <c r="B4525" s="182" t="s">
        <v>2921</v>
      </c>
      <c r="C4525" s="223"/>
      <c r="D4525" s="207"/>
      <c r="E4525" s="207"/>
      <c r="F4525" s="153">
        <v>1.5</v>
      </c>
      <c r="G4525" s="147" t="s">
        <v>2922</v>
      </c>
      <c r="H4525" s="473"/>
      <c r="I4525" s="454"/>
      <c r="J4525" s="368"/>
      <c r="K4525" s="481" t="s">
        <v>741</v>
      </c>
    </row>
    <row r="4526" spans="1:11">
      <c r="A4526" s="368"/>
      <c r="B4526" s="182" t="s">
        <v>2923</v>
      </c>
      <c r="C4526" s="223"/>
      <c r="D4526" s="207"/>
      <c r="E4526" s="207"/>
      <c r="F4526" s="153">
        <v>2.5</v>
      </c>
      <c r="G4526" s="147" t="s">
        <v>2924</v>
      </c>
      <c r="H4526" s="473"/>
      <c r="I4526" s="454"/>
      <c r="J4526" s="368"/>
      <c r="K4526" s="481" t="s">
        <v>741</v>
      </c>
    </row>
    <row r="4527" spans="1:11">
      <c r="A4527" s="368"/>
      <c r="B4527" s="182" t="s">
        <v>1042</v>
      </c>
      <c r="C4527" s="223"/>
      <c r="D4527" s="207"/>
      <c r="E4527" s="207"/>
      <c r="F4527" s="153">
        <v>1.5</v>
      </c>
      <c r="G4527" s="147" t="s">
        <v>2925</v>
      </c>
      <c r="H4527" s="473"/>
      <c r="I4527" s="454"/>
      <c r="J4527" s="368"/>
      <c r="K4527" s="481" t="s">
        <v>741</v>
      </c>
    </row>
    <row r="4528" spans="1:11">
      <c r="A4528" s="368"/>
      <c r="B4528" s="182" t="s">
        <v>2926</v>
      </c>
      <c r="C4528" s="223"/>
      <c r="D4528" s="207"/>
      <c r="E4528" s="207"/>
      <c r="F4528" s="153">
        <v>2.5</v>
      </c>
      <c r="G4528" s="147" t="s">
        <v>2927</v>
      </c>
      <c r="H4528" s="473"/>
      <c r="I4528" s="454"/>
      <c r="J4528" s="368"/>
      <c r="K4528" s="481" t="s">
        <v>741</v>
      </c>
    </row>
    <row r="4529" spans="1:11">
      <c r="A4529" s="368"/>
      <c r="B4529" s="182" t="s">
        <v>8302</v>
      </c>
      <c r="C4529" s="223"/>
      <c r="D4529" s="207"/>
      <c r="E4529" s="207"/>
      <c r="F4529" s="153">
        <v>1.5</v>
      </c>
      <c r="G4529" s="147" t="s">
        <v>8303</v>
      </c>
      <c r="H4529" s="473"/>
      <c r="I4529" s="454"/>
      <c r="J4529" s="368"/>
      <c r="K4529" s="481" t="s">
        <v>741</v>
      </c>
    </row>
    <row r="4530" spans="1:11">
      <c r="A4530" s="368"/>
      <c r="B4530" s="182" t="s">
        <v>8304</v>
      </c>
      <c r="C4530" s="223"/>
      <c r="D4530" s="207"/>
      <c r="E4530" s="207"/>
      <c r="F4530" s="153">
        <v>2.5</v>
      </c>
      <c r="G4530" s="147" t="s">
        <v>8305</v>
      </c>
      <c r="H4530" s="473"/>
      <c r="I4530" s="454"/>
      <c r="J4530" s="368"/>
      <c r="K4530" s="481" t="s">
        <v>741</v>
      </c>
    </row>
    <row r="4531" spans="1:11">
      <c r="A4531" s="368"/>
      <c r="B4531" s="182" t="s">
        <v>2928</v>
      </c>
      <c r="C4531" s="223"/>
      <c r="D4531" s="207"/>
      <c r="E4531" s="207"/>
      <c r="F4531" s="153">
        <v>1.5</v>
      </c>
      <c r="G4531" s="147" t="s">
        <v>2929</v>
      </c>
      <c r="H4531" s="473"/>
      <c r="I4531" s="454"/>
      <c r="J4531" s="368"/>
      <c r="K4531" s="481" t="s">
        <v>741</v>
      </c>
    </row>
    <row r="4532" spans="1:11">
      <c r="A4532" s="368"/>
      <c r="B4532" s="182" t="s">
        <v>8306</v>
      </c>
      <c r="C4532" s="223"/>
      <c r="D4532" s="207"/>
      <c r="E4532" s="207"/>
      <c r="F4532" s="153">
        <v>1.5</v>
      </c>
      <c r="G4532" s="147" t="s">
        <v>8307</v>
      </c>
      <c r="H4532" s="473"/>
      <c r="I4532" s="454"/>
      <c r="J4532" s="368"/>
      <c r="K4532" s="481" t="s">
        <v>741</v>
      </c>
    </row>
    <row r="4533" spans="1:11">
      <c r="A4533" s="368"/>
      <c r="B4533" s="182"/>
      <c r="C4533" s="223"/>
      <c r="D4533" s="207"/>
      <c r="E4533" s="207"/>
      <c r="F4533" s="153"/>
      <c r="G4533" s="147"/>
      <c r="H4533" s="473"/>
      <c r="I4533" s="454"/>
      <c r="J4533" s="368"/>
      <c r="K4533" s="481"/>
    </row>
    <row r="4534" spans="1:11">
      <c r="A4534" s="368"/>
      <c r="B4534" s="182" t="s">
        <v>10047</v>
      </c>
      <c r="C4534" s="223"/>
      <c r="D4534" s="207"/>
      <c r="E4534" s="207"/>
      <c r="F4534" s="760">
        <v>10</v>
      </c>
      <c r="G4534" s="147" t="s">
        <v>8308</v>
      </c>
      <c r="H4534" s="473"/>
      <c r="I4534" s="454"/>
      <c r="J4534" s="368"/>
      <c r="K4534" s="481" t="s">
        <v>741</v>
      </c>
    </row>
    <row r="4535" spans="1:11">
      <c r="A4535" s="368"/>
      <c r="B4535" s="182" t="s">
        <v>2930</v>
      </c>
      <c r="C4535" s="223"/>
      <c r="D4535" s="207"/>
      <c r="E4535" s="207"/>
      <c r="F4535" s="760">
        <v>10</v>
      </c>
      <c r="G4535" s="147" t="s">
        <v>2931</v>
      </c>
      <c r="H4535" s="473"/>
      <c r="I4535" s="454"/>
      <c r="J4535" s="368"/>
      <c r="K4535" s="481" t="s">
        <v>741</v>
      </c>
    </row>
    <row r="4536" spans="1:11">
      <c r="A4536" s="368"/>
      <c r="B4536" s="182" t="s">
        <v>2932</v>
      </c>
      <c r="C4536" s="223"/>
      <c r="D4536" s="207"/>
      <c r="E4536" s="207"/>
      <c r="F4536" s="760">
        <v>15</v>
      </c>
      <c r="G4536" s="147" t="s">
        <v>2933</v>
      </c>
      <c r="H4536" s="473"/>
      <c r="I4536" s="454"/>
      <c r="J4536" s="368"/>
      <c r="K4536" s="481" t="s">
        <v>741</v>
      </c>
    </row>
    <row r="4537" spans="1:11">
      <c r="A4537" s="368"/>
      <c r="B4537" s="182" t="s">
        <v>5958</v>
      </c>
      <c r="C4537" s="223"/>
      <c r="D4537" s="207"/>
      <c r="E4537" s="207"/>
      <c r="F4537" s="760">
        <v>15</v>
      </c>
      <c r="G4537" s="147" t="s">
        <v>5959</v>
      </c>
      <c r="H4537" s="473"/>
      <c r="I4537" s="454"/>
      <c r="J4537" s="368"/>
      <c r="K4537" s="481" t="s">
        <v>741</v>
      </c>
    </row>
    <row r="4538" spans="1:11">
      <c r="A4538" s="368"/>
      <c r="B4538" s="182" t="s">
        <v>2934</v>
      </c>
      <c r="C4538" s="223"/>
      <c r="D4538" s="207"/>
      <c r="E4538" s="207"/>
      <c r="F4538" s="760">
        <v>15</v>
      </c>
      <c r="G4538" s="147" t="s">
        <v>2935</v>
      </c>
      <c r="H4538" s="473"/>
      <c r="I4538" s="454"/>
      <c r="J4538" s="368"/>
      <c r="K4538" s="481" t="s">
        <v>741</v>
      </c>
    </row>
    <row r="4539" spans="1:11">
      <c r="A4539" s="368"/>
      <c r="B4539" s="182" t="s">
        <v>2936</v>
      </c>
      <c r="C4539" s="223"/>
      <c r="D4539" s="207"/>
      <c r="E4539" s="207"/>
      <c r="F4539" s="760">
        <v>25</v>
      </c>
      <c r="G4539" s="147" t="s">
        <v>2937</v>
      </c>
      <c r="H4539" s="473"/>
      <c r="I4539" s="454"/>
      <c r="J4539" s="368"/>
      <c r="K4539" s="481" t="s">
        <v>741</v>
      </c>
    </row>
    <row r="4540" spans="1:11">
      <c r="A4540" s="368"/>
      <c r="B4540" s="182" t="s">
        <v>3313</v>
      </c>
      <c r="C4540" s="223"/>
      <c r="D4540" s="207"/>
      <c r="E4540" s="207"/>
      <c r="F4540" s="760">
        <v>100</v>
      </c>
      <c r="G4540" s="147" t="s">
        <v>8309</v>
      </c>
      <c r="H4540" s="473"/>
      <c r="I4540" s="454"/>
      <c r="J4540" s="368"/>
      <c r="K4540" s="481" t="s">
        <v>741</v>
      </c>
    </row>
    <row r="4541" spans="1:11">
      <c r="A4541" s="368"/>
      <c r="B4541" s="182" t="s">
        <v>8310</v>
      </c>
      <c r="C4541" s="223"/>
      <c r="D4541" s="207"/>
      <c r="E4541" s="207"/>
      <c r="F4541" s="760">
        <v>200</v>
      </c>
      <c r="G4541" s="147" t="s">
        <v>8311</v>
      </c>
      <c r="H4541" s="473"/>
      <c r="I4541" s="454"/>
      <c r="J4541" s="368"/>
      <c r="K4541" s="481" t="s">
        <v>741</v>
      </c>
    </row>
    <row r="4542" spans="1:11" s="185" customFormat="1">
      <c r="A4542" s="368"/>
      <c r="B4542" s="182"/>
      <c r="C4542" s="223"/>
      <c r="D4542" s="207"/>
      <c r="E4542" s="207"/>
      <c r="F4542" s="153"/>
      <c r="G4542" s="147"/>
      <c r="H4542" s="473"/>
      <c r="I4542" s="454"/>
      <c r="J4542" s="368"/>
      <c r="K4542" s="481"/>
    </row>
    <row r="4543" spans="1:11">
      <c r="A4543" s="368"/>
      <c r="B4543" s="182" t="s">
        <v>2938</v>
      </c>
      <c r="C4543" s="223"/>
      <c r="D4543" s="207"/>
      <c r="E4543" s="207"/>
      <c r="F4543" s="760">
        <v>18</v>
      </c>
      <c r="G4543" s="147" t="s">
        <v>2939</v>
      </c>
      <c r="H4543" s="473"/>
      <c r="I4543" s="454"/>
      <c r="J4543" s="368"/>
      <c r="K4543" s="481" t="s">
        <v>741</v>
      </c>
    </row>
    <row r="4544" spans="1:11">
      <c r="A4544" s="368"/>
      <c r="B4544" s="182"/>
      <c r="C4544" s="223"/>
      <c r="D4544" s="207"/>
      <c r="E4544" s="207"/>
      <c r="F4544" s="153"/>
      <c r="G4544" s="147"/>
      <c r="H4544" s="473"/>
      <c r="I4544" s="454"/>
      <c r="J4544" s="368"/>
      <c r="K4544" s="481"/>
    </row>
    <row r="4545" spans="1:11">
      <c r="A4545" s="368"/>
      <c r="B4545" s="182" t="s">
        <v>2940</v>
      </c>
      <c r="C4545" s="223"/>
      <c r="D4545" s="207"/>
      <c r="E4545" s="207"/>
      <c r="F4545" s="153">
        <f>15*1.5</f>
        <v>22.5</v>
      </c>
      <c r="G4545" s="147" t="s">
        <v>2941</v>
      </c>
      <c r="H4545" s="473"/>
      <c r="I4545" s="454"/>
      <c r="J4545" s="368"/>
      <c r="K4545" s="481" t="s">
        <v>741</v>
      </c>
    </row>
    <row r="4546" spans="1:11">
      <c r="A4546" s="368"/>
      <c r="B4546" s="182" t="s">
        <v>2942</v>
      </c>
      <c r="C4546" s="223"/>
      <c r="D4546" s="207"/>
      <c r="E4546" s="207"/>
      <c r="F4546" s="153">
        <f>15*1.5</f>
        <v>22.5</v>
      </c>
      <c r="G4546" s="147" t="s">
        <v>2943</v>
      </c>
      <c r="H4546" s="473"/>
      <c r="I4546" s="454"/>
      <c r="J4546" s="368"/>
      <c r="K4546" s="481" t="s">
        <v>741</v>
      </c>
    </row>
    <row r="4547" spans="1:11">
      <c r="A4547" s="368"/>
      <c r="B4547" s="182" t="s">
        <v>2944</v>
      </c>
      <c r="C4547" s="223"/>
      <c r="D4547" s="207"/>
      <c r="E4547" s="207"/>
      <c r="F4547" s="153">
        <f>15*1.5</f>
        <v>22.5</v>
      </c>
      <c r="G4547" s="147" t="s">
        <v>2945</v>
      </c>
      <c r="H4547" s="473"/>
      <c r="I4547" s="454"/>
      <c r="J4547" s="368"/>
      <c r="K4547" s="481" t="s">
        <v>741</v>
      </c>
    </row>
    <row r="4548" spans="1:11">
      <c r="A4548" s="368"/>
      <c r="B4548" s="182" t="s">
        <v>2946</v>
      </c>
      <c r="C4548" s="223"/>
      <c r="D4548" s="207"/>
      <c r="E4548" s="207"/>
      <c r="F4548" s="153">
        <f>15*1.5</f>
        <v>22.5</v>
      </c>
      <c r="G4548" s="147" t="s">
        <v>2947</v>
      </c>
      <c r="H4548" s="473"/>
      <c r="I4548" s="454"/>
      <c r="J4548" s="368"/>
      <c r="K4548" s="481" t="s">
        <v>741</v>
      </c>
    </row>
    <row r="4549" spans="1:11">
      <c r="A4549" s="368"/>
      <c r="B4549" s="182" t="s">
        <v>2948</v>
      </c>
      <c r="C4549" s="223"/>
      <c r="D4549" s="207"/>
      <c r="E4549" s="207"/>
      <c r="F4549" s="153">
        <f>30*1.5</f>
        <v>45</v>
      </c>
      <c r="G4549" s="147" t="s">
        <v>2949</v>
      </c>
      <c r="H4549" s="473"/>
      <c r="I4549" s="454"/>
      <c r="J4549" s="368"/>
      <c r="K4549" s="481" t="s">
        <v>741</v>
      </c>
    </row>
    <row r="4550" spans="1:11">
      <c r="A4550" s="368"/>
      <c r="B4550" s="182" t="s">
        <v>2950</v>
      </c>
      <c r="C4550" s="223"/>
      <c r="D4550" s="207"/>
      <c r="E4550" s="207"/>
      <c r="F4550" s="761">
        <f>15*1.5</f>
        <v>22.5</v>
      </c>
      <c r="G4550" s="147" t="s">
        <v>2951</v>
      </c>
      <c r="H4550" s="473"/>
      <c r="I4550" s="454"/>
      <c r="J4550" s="368"/>
      <c r="K4550" s="481" t="s">
        <v>741</v>
      </c>
    </row>
    <row r="4551" spans="1:11">
      <c r="A4551" s="368"/>
      <c r="B4551" s="182" t="s">
        <v>2952</v>
      </c>
      <c r="C4551" s="223"/>
      <c r="D4551" s="207"/>
      <c r="E4551" s="207"/>
      <c r="F4551" s="761">
        <f>15*1.5</f>
        <v>22.5</v>
      </c>
      <c r="G4551" s="147" t="s">
        <v>2953</v>
      </c>
      <c r="H4551" s="473"/>
      <c r="I4551" s="454"/>
      <c r="J4551" s="368"/>
      <c r="K4551" s="481" t="s">
        <v>741</v>
      </c>
    </row>
    <row r="4552" spans="1:11">
      <c r="A4552" s="368"/>
      <c r="B4552" s="182" t="s">
        <v>2954</v>
      </c>
      <c r="C4552" s="223"/>
      <c r="D4552" s="207"/>
      <c r="E4552" s="207"/>
      <c r="F4552" s="761">
        <f>15*1.5</f>
        <v>22.5</v>
      </c>
      <c r="G4552" s="147" t="s">
        <v>2955</v>
      </c>
      <c r="H4552" s="473"/>
      <c r="I4552" s="454"/>
      <c r="J4552" s="368"/>
      <c r="K4552" s="481" t="s">
        <v>741</v>
      </c>
    </row>
    <row r="4553" spans="1:11">
      <c r="A4553" s="368"/>
      <c r="B4553" s="182"/>
      <c r="C4553" s="223"/>
      <c r="D4553" s="207"/>
      <c r="E4553" s="207"/>
      <c r="F4553" s="761"/>
      <c r="G4553" s="147"/>
      <c r="H4553" s="473"/>
      <c r="I4553" s="454"/>
      <c r="J4553" s="368"/>
      <c r="K4553" s="481"/>
    </row>
    <row r="4554" spans="1:11">
      <c r="A4554" s="368"/>
      <c r="B4554" s="182" t="s">
        <v>2956</v>
      </c>
      <c r="C4554" s="223"/>
      <c r="D4554" s="207"/>
      <c r="E4554" s="207"/>
      <c r="F4554" s="153">
        <v>5</v>
      </c>
      <c r="G4554" s="147" t="s">
        <v>2957</v>
      </c>
      <c r="H4554" s="473"/>
      <c r="I4554" s="454"/>
      <c r="J4554" s="368"/>
      <c r="K4554" s="481" t="s">
        <v>741</v>
      </c>
    </row>
    <row r="4555" spans="1:11">
      <c r="A4555" s="368"/>
      <c r="B4555" s="182" t="s">
        <v>2958</v>
      </c>
      <c r="C4555" s="223"/>
      <c r="D4555" s="207"/>
      <c r="E4555" s="207"/>
      <c r="F4555" s="153">
        <v>5</v>
      </c>
      <c r="G4555" s="147" t="s">
        <v>2959</v>
      </c>
      <c r="H4555" s="473"/>
      <c r="I4555" s="454"/>
      <c r="J4555" s="368"/>
      <c r="K4555" s="481" t="s">
        <v>741</v>
      </c>
    </row>
    <row r="4556" spans="1:11">
      <c r="A4556" s="368"/>
      <c r="B4556" s="182"/>
      <c r="C4556" s="223"/>
      <c r="D4556" s="207"/>
      <c r="E4556" s="207"/>
      <c r="F4556" s="153"/>
      <c r="G4556" s="147"/>
      <c r="H4556" s="473"/>
      <c r="I4556" s="454"/>
      <c r="J4556" s="368"/>
      <c r="K4556" s="481"/>
    </row>
    <row r="4557" spans="1:11">
      <c r="A4557" s="447"/>
      <c r="B4557" s="473"/>
      <c r="C4557" s="474"/>
      <c r="D4557" s="475"/>
      <c r="E4557" s="476"/>
      <c r="F4557" s="482"/>
      <c r="G4557" s="483"/>
      <c r="H4557" s="473"/>
      <c r="I4557" s="454"/>
      <c r="J4557" s="447"/>
      <c r="K4557" s="454"/>
    </row>
    <row r="4558" spans="1:11">
      <c r="A4558" s="368"/>
      <c r="B4558" s="182" t="s">
        <v>2960</v>
      </c>
      <c r="C4558" s="223"/>
      <c r="D4558" s="207"/>
      <c r="E4558" s="207"/>
      <c r="F4558" s="153">
        <v>60</v>
      </c>
      <c r="G4558" s="147" t="s">
        <v>2961</v>
      </c>
      <c r="H4558" s="473"/>
      <c r="I4558" s="454"/>
      <c r="J4558" s="368"/>
      <c r="K4558" s="481" t="s">
        <v>741</v>
      </c>
    </row>
    <row r="4559" spans="1:11">
      <c r="A4559" s="369"/>
      <c r="B4559" s="144"/>
      <c r="C4559" s="196"/>
      <c r="D4559" s="208"/>
      <c r="E4559" s="215"/>
      <c r="F4559" s="155"/>
      <c r="G4559" s="314"/>
      <c r="H4559" s="473"/>
      <c r="I4559" s="454"/>
      <c r="J4559" s="369"/>
      <c r="K4559" s="452"/>
    </row>
    <row r="4560" spans="1:11">
      <c r="A4560" s="368"/>
      <c r="B4560" s="182" t="s">
        <v>2962</v>
      </c>
      <c r="C4560" s="223"/>
      <c r="D4560" s="207"/>
      <c r="E4560" s="207"/>
      <c r="F4560" s="153">
        <v>100</v>
      </c>
      <c r="G4560" s="147" t="s">
        <v>2963</v>
      </c>
      <c r="H4560" s="473"/>
      <c r="I4560" s="454"/>
      <c r="J4560" s="368"/>
      <c r="K4560" s="481" t="s">
        <v>741</v>
      </c>
    </row>
    <row r="4561" spans="1:11" s="81" customFormat="1">
      <c r="A4561" s="368"/>
      <c r="B4561" s="182"/>
      <c r="C4561" s="223"/>
      <c r="D4561" s="207"/>
      <c r="E4561" s="207"/>
      <c r="F4561" s="153"/>
      <c r="G4561" s="147"/>
      <c r="H4561" s="473"/>
      <c r="I4561" s="454"/>
      <c r="J4561" s="368"/>
      <c r="K4561" s="481"/>
    </row>
    <row r="4562" spans="1:11" s="81" customFormat="1">
      <c r="A4562" s="368"/>
      <c r="B4562" s="182" t="s">
        <v>2964</v>
      </c>
      <c r="C4562" s="223"/>
      <c r="D4562" s="207"/>
      <c r="E4562" s="207"/>
      <c r="F4562" s="153">
        <v>1.5</v>
      </c>
      <c r="G4562" s="147" t="s">
        <v>2965</v>
      </c>
      <c r="H4562" s="473"/>
      <c r="I4562" s="454"/>
      <c r="J4562" s="368"/>
      <c r="K4562" s="481" t="s">
        <v>741</v>
      </c>
    </row>
    <row r="4563" spans="1:11">
      <c r="A4563" s="368"/>
      <c r="B4563" s="182" t="s">
        <v>2966</v>
      </c>
      <c r="C4563" s="223"/>
      <c r="D4563" s="19"/>
      <c r="E4563" s="207"/>
      <c r="F4563" s="153">
        <v>1.5</v>
      </c>
      <c r="G4563" s="147" t="s">
        <v>2967</v>
      </c>
      <c r="H4563" s="473"/>
      <c r="I4563" s="454"/>
      <c r="J4563" s="368"/>
      <c r="K4563" s="481" t="s">
        <v>741</v>
      </c>
    </row>
    <row r="4564" spans="1:11">
      <c r="A4564" s="368"/>
      <c r="B4564" s="762" t="s">
        <v>8312</v>
      </c>
      <c r="C4564" s="763">
        <f>70/48*36</f>
        <v>52.5</v>
      </c>
      <c r="D4564" s="230">
        <f>C4564*fcl/TC</f>
        <v>35.617367706919936</v>
      </c>
      <c r="E4564" s="525">
        <v>2</v>
      </c>
      <c r="F4564" s="153">
        <f>D4564+E4564</f>
        <v>37.617367706919936</v>
      </c>
      <c r="G4564" s="147" t="s">
        <v>8313</v>
      </c>
      <c r="H4564" s="473"/>
      <c r="I4564" s="454"/>
      <c r="J4564" s="368"/>
      <c r="K4564" s="481" t="s">
        <v>741</v>
      </c>
    </row>
    <row r="4565" spans="1:11">
      <c r="A4565" s="368"/>
      <c r="B4565" s="764" t="s">
        <v>8314</v>
      </c>
      <c r="C4565" s="763">
        <f>70/48*24</f>
        <v>35</v>
      </c>
      <c r="D4565" s="230">
        <f>C4565*fcl/TC</f>
        <v>23.744911804613292</v>
      </c>
      <c r="E4565" s="525">
        <v>2</v>
      </c>
      <c r="F4565" s="153">
        <f>D4565+E4565</f>
        <v>25.744911804613292</v>
      </c>
      <c r="G4565" s="147" t="s">
        <v>8315</v>
      </c>
      <c r="H4565" s="473"/>
      <c r="I4565" s="454"/>
      <c r="J4565" s="368"/>
      <c r="K4565" s="481" t="s">
        <v>741</v>
      </c>
    </row>
    <row r="4566" spans="1:11">
      <c r="A4566" s="368"/>
      <c r="B4566" s="764" t="s">
        <v>10062</v>
      </c>
      <c r="C4566" s="763">
        <f>70/48*18</f>
        <v>26.25</v>
      </c>
      <c r="D4566" s="230">
        <f>C4566*fcl/TC</f>
        <v>17.808683853459968</v>
      </c>
      <c r="E4566" s="525">
        <v>2</v>
      </c>
      <c r="F4566" s="153">
        <f t="shared" ref="F4566:F4576" si="586">D4566+E4566</f>
        <v>19.808683853459968</v>
      </c>
      <c r="G4566" s="147" t="s">
        <v>10063</v>
      </c>
      <c r="H4566" s="473"/>
      <c r="I4566" s="454"/>
      <c r="J4566" s="368"/>
      <c r="K4566" s="481" t="s">
        <v>741</v>
      </c>
    </row>
    <row r="4567" spans="1:11">
      <c r="A4567" s="368"/>
      <c r="B4567" s="764" t="s">
        <v>2968</v>
      </c>
      <c r="C4567" s="763">
        <f>70/48*12</f>
        <v>17.5</v>
      </c>
      <c r="D4567" s="230">
        <f>C4567*fcl/TC</f>
        <v>11.872455902306646</v>
      </c>
      <c r="E4567" s="525">
        <v>2</v>
      </c>
      <c r="F4567" s="153">
        <f t="shared" si="586"/>
        <v>13.872455902306646</v>
      </c>
      <c r="G4567" s="147" t="s">
        <v>2969</v>
      </c>
      <c r="H4567" s="473"/>
      <c r="I4567" s="454"/>
      <c r="J4567" s="368"/>
      <c r="K4567" s="481" t="s">
        <v>741</v>
      </c>
    </row>
    <row r="4568" spans="1:11">
      <c r="A4568" s="368"/>
      <c r="B4568" s="764" t="s">
        <v>2970</v>
      </c>
      <c r="C4568" s="763">
        <f>70/48*9</f>
        <v>13.125</v>
      </c>
      <c r="D4568" s="230">
        <f t="shared" ref="D4568:D4576" si="587">C4568*fcl/TC</f>
        <v>8.9043419267299839</v>
      </c>
      <c r="E4568" s="525">
        <v>2</v>
      </c>
      <c r="F4568" s="153">
        <f t="shared" si="586"/>
        <v>10.904341926729984</v>
      </c>
      <c r="G4568" s="147" t="s">
        <v>2971</v>
      </c>
      <c r="H4568" s="473"/>
      <c r="I4568" s="454"/>
      <c r="J4568" s="368"/>
      <c r="K4568" s="481" t="s">
        <v>741</v>
      </c>
    </row>
    <row r="4569" spans="1:11">
      <c r="A4569" s="368"/>
      <c r="B4569" s="765" t="s">
        <v>2972</v>
      </c>
      <c r="C4569" s="763">
        <f>70/48*6</f>
        <v>8.75</v>
      </c>
      <c r="D4569" s="230">
        <f t="shared" si="587"/>
        <v>5.9362279511533229</v>
      </c>
      <c r="E4569" s="525">
        <v>0</v>
      </c>
      <c r="F4569" s="153">
        <f t="shared" si="586"/>
        <v>5.9362279511533229</v>
      </c>
      <c r="G4569" s="147" t="s">
        <v>2973</v>
      </c>
      <c r="H4569" s="473"/>
      <c r="I4569" s="454"/>
      <c r="J4569" s="368"/>
      <c r="K4569" s="481" t="s">
        <v>741</v>
      </c>
    </row>
    <row r="4570" spans="1:11">
      <c r="A4570" s="368"/>
      <c r="B4570" s="762" t="s">
        <v>10057</v>
      </c>
      <c r="C4570" s="763">
        <f>C4572*2</f>
        <v>35</v>
      </c>
      <c r="D4570" s="230">
        <f>C4570*fcl/TC</f>
        <v>23.744911804613292</v>
      </c>
      <c r="E4570" s="525">
        <v>2</v>
      </c>
      <c r="F4570" s="153">
        <f>D4570+E4570</f>
        <v>25.744911804613292</v>
      </c>
      <c r="G4570" s="147" t="s">
        <v>10058</v>
      </c>
      <c r="H4570" s="473"/>
      <c r="I4570" s="454"/>
      <c r="J4570" s="368"/>
      <c r="K4570" s="481" t="s">
        <v>741</v>
      </c>
    </row>
    <row r="4571" spans="1:11">
      <c r="A4571" s="368"/>
      <c r="B4571" s="764" t="s">
        <v>8316</v>
      </c>
      <c r="C4571" s="763">
        <f>C4573*2</f>
        <v>23.333333333333332</v>
      </c>
      <c r="D4571" s="230">
        <f>C4571*fcl/TC</f>
        <v>15.82994120307553</v>
      </c>
      <c r="E4571" s="525">
        <v>2</v>
      </c>
      <c r="F4571" s="153">
        <f>D4571+E4571</f>
        <v>17.829941203075528</v>
      </c>
      <c r="G4571" s="147" t="s">
        <v>8317</v>
      </c>
      <c r="H4571" s="473"/>
      <c r="I4571" s="454"/>
      <c r="J4571" s="368"/>
      <c r="K4571" s="481" t="s">
        <v>741</v>
      </c>
    </row>
    <row r="4572" spans="1:11">
      <c r="A4572" s="368"/>
      <c r="B4572" s="764" t="s">
        <v>8318</v>
      </c>
      <c r="C4572" s="763">
        <f>C4574*2</f>
        <v>17.5</v>
      </c>
      <c r="D4572" s="230">
        <f>C4572*fcl/TC</f>
        <v>11.872455902306646</v>
      </c>
      <c r="E4572" s="525">
        <v>2</v>
      </c>
      <c r="F4572" s="153">
        <f>D4572+E4572</f>
        <v>13.872455902306646</v>
      </c>
      <c r="G4572" s="147" t="s">
        <v>8319</v>
      </c>
      <c r="H4572" s="473"/>
      <c r="I4572" s="454"/>
      <c r="J4572" s="368"/>
      <c r="K4572" s="481" t="s">
        <v>741</v>
      </c>
    </row>
    <row r="4573" spans="1:11">
      <c r="A4573" s="368"/>
      <c r="B4573" s="764" t="s">
        <v>2974</v>
      </c>
      <c r="C4573" s="763">
        <f>C4567*2/3</f>
        <v>11.666666666666666</v>
      </c>
      <c r="D4573" s="230">
        <f t="shared" si="587"/>
        <v>7.9149706015377648</v>
      </c>
      <c r="E4573" s="525">
        <v>2</v>
      </c>
      <c r="F4573" s="153">
        <f t="shared" si="586"/>
        <v>9.9149706015377639</v>
      </c>
      <c r="G4573" s="147" t="s">
        <v>2975</v>
      </c>
      <c r="H4573" s="473"/>
      <c r="I4573" s="454"/>
      <c r="J4573" s="368"/>
      <c r="K4573" s="481" t="s">
        <v>741</v>
      </c>
    </row>
    <row r="4574" spans="1:11">
      <c r="A4574" s="368"/>
      <c r="B4574" s="764" t="s">
        <v>2976</v>
      </c>
      <c r="C4574" s="763">
        <f>C4568*2/3</f>
        <v>8.75</v>
      </c>
      <c r="D4574" s="230">
        <f t="shared" si="587"/>
        <v>5.9362279511533229</v>
      </c>
      <c r="E4574" s="525">
        <v>2</v>
      </c>
      <c r="F4574" s="153">
        <f t="shared" si="586"/>
        <v>7.9362279511533229</v>
      </c>
      <c r="G4574" s="147" t="s">
        <v>2977</v>
      </c>
      <c r="H4574" s="473"/>
      <c r="I4574" s="454"/>
      <c r="J4574" s="368"/>
      <c r="K4574" s="481" t="s">
        <v>741</v>
      </c>
    </row>
    <row r="4575" spans="1:11">
      <c r="A4575" s="368"/>
      <c r="B4575" s="764" t="s">
        <v>8320</v>
      </c>
      <c r="C4575" s="763">
        <f>C4573*2/3</f>
        <v>7.7777777777777777</v>
      </c>
      <c r="D4575" s="230">
        <f t="shared" si="587"/>
        <v>5.2766470676918429</v>
      </c>
      <c r="E4575" s="525">
        <v>2</v>
      </c>
      <c r="F4575" s="153">
        <f>D4575+E4575</f>
        <v>7.2766470676918429</v>
      </c>
      <c r="G4575" s="147" t="s">
        <v>8321</v>
      </c>
      <c r="H4575" s="473"/>
      <c r="I4575" s="454"/>
      <c r="J4575" s="368"/>
      <c r="K4575" s="481" t="s">
        <v>741</v>
      </c>
    </row>
    <row r="4576" spans="1:11">
      <c r="A4576" s="368"/>
      <c r="B4576" s="765" t="s">
        <v>2978</v>
      </c>
      <c r="C4576" s="763">
        <f>C4569*2/3</f>
        <v>5.833333333333333</v>
      </c>
      <c r="D4576" s="230">
        <f t="shared" si="587"/>
        <v>3.9574853007688824</v>
      </c>
      <c r="E4576" s="525">
        <v>0</v>
      </c>
      <c r="F4576" s="153">
        <f t="shared" si="586"/>
        <v>3.9574853007688824</v>
      </c>
      <c r="G4576" s="147" t="s">
        <v>2979</v>
      </c>
      <c r="H4576" s="473"/>
      <c r="I4576" s="454"/>
      <c r="J4576" s="368"/>
      <c r="K4576" s="481" t="s">
        <v>741</v>
      </c>
    </row>
    <row r="4577" spans="1:11">
      <c r="A4577" s="368"/>
      <c r="B4577" s="182"/>
      <c r="C4577" s="223"/>
      <c r="D4577" s="207"/>
      <c r="E4577" s="207"/>
      <c r="F4577" s="153"/>
      <c r="G4577" s="147"/>
      <c r="H4577" s="473"/>
      <c r="I4577" s="454"/>
      <c r="J4577" s="368"/>
      <c r="K4577" s="481"/>
    </row>
    <row r="4578" spans="1:11" s="2358" customFormat="1">
      <c r="A4578" s="1362"/>
      <c r="B4578" s="2351" t="s">
        <v>13829</v>
      </c>
      <c r="C4578" s="2352">
        <v>20</v>
      </c>
      <c r="D4578" s="2353">
        <f t="shared" ref="D4578:D4579" si="588">C4578*fcl/TC</f>
        <v>13.568521031207597</v>
      </c>
      <c r="E4578" s="2354">
        <f>D4578*0.3</f>
        <v>4.0705563093622787</v>
      </c>
      <c r="F4578" s="2355">
        <f t="shared" ref="F4578:F4581" si="589">ROUNDUP(D4578+E4578,2)</f>
        <v>17.64</v>
      </c>
      <c r="G4578" s="2356" t="s">
        <v>13830</v>
      </c>
      <c r="H4578" s="2351"/>
      <c r="I4578" s="2357"/>
      <c r="J4578" s="1362" t="s">
        <v>13831</v>
      </c>
      <c r="K4578" s="2357" t="s">
        <v>741</v>
      </c>
    </row>
    <row r="4579" spans="1:11" s="2358" customFormat="1">
      <c r="A4579" s="1362"/>
      <c r="B4579" s="2351" t="s">
        <v>13832</v>
      </c>
      <c r="C4579" s="2352">
        <v>15</v>
      </c>
      <c r="D4579" s="2353">
        <f t="shared" si="588"/>
        <v>10.176390773405696</v>
      </c>
      <c r="E4579" s="2354">
        <f>D4579*0.3</f>
        <v>3.0529172320217088</v>
      </c>
      <c r="F4579" s="2355">
        <f t="shared" si="589"/>
        <v>13.23</v>
      </c>
      <c r="G4579" s="2356" t="s">
        <v>13833</v>
      </c>
      <c r="H4579" s="2351"/>
      <c r="I4579" s="2357"/>
      <c r="J4579" s="1362" t="s">
        <v>13831</v>
      </c>
      <c r="K4579" s="2357" t="s">
        <v>741</v>
      </c>
    </row>
    <row r="4580" spans="1:11" s="2358" customFormat="1">
      <c r="A4580" s="1362"/>
      <c r="B4580" s="2351" t="s">
        <v>13834</v>
      </c>
      <c r="C4580" s="2352">
        <v>9.5</v>
      </c>
      <c r="D4580" s="2353">
        <f t="shared" ref="D4580" si="590">C4580*fcl/TC</f>
        <v>6.445047489823609</v>
      </c>
      <c r="E4580" s="2354">
        <f>D4580*0.3</f>
        <v>1.9335142469470825</v>
      </c>
      <c r="F4580" s="2355">
        <f t="shared" si="589"/>
        <v>8.379999999999999</v>
      </c>
      <c r="G4580" s="2356" t="s">
        <v>13833</v>
      </c>
      <c r="H4580" s="2351"/>
      <c r="I4580" s="2357"/>
      <c r="J4580" s="1362" t="s">
        <v>13831</v>
      </c>
      <c r="K4580" s="2357" t="s">
        <v>741</v>
      </c>
    </row>
    <row r="4581" spans="1:11" s="2358" customFormat="1">
      <c r="A4581" s="1362"/>
      <c r="B4581" s="2351" t="s">
        <v>13835</v>
      </c>
      <c r="C4581" s="2352">
        <v>6.5</v>
      </c>
      <c r="D4581" s="2353">
        <f t="shared" ref="D4581" si="591">C4581*fcl/TC</f>
        <v>4.4097693351424692</v>
      </c>
      <c r="E4581" s="2354">
        <f>D4581*0.3</f>
        <v>1.3229308005427407</v>
      </c>
      <c r="F4581" s="2355">
        <f t="shared" si="589"/>
        <v>5.74</v>
      </c>
      <c r="G4581" s="2356" t="s">
        <v>13836</v>
      </c>
      <c r="H4581" s="2351"/>
      <c r="I4581" s="2357"/>
      <c r="J4581" s="1362" t="s">
        <v>13831</v>
      </c>
      <c r="K4581" s="2357" t="s">
        <v>741</v>
      </c>
    </row>
    <row r="4582" spans="1:11">
      <c r="A4582" s="368"/>
      <c r="B4582" s="182"/>
      <c r="C4582" s="223"/>
      <c r="D4582" s="207"/>
      <c r="E4582" s="207"/>
      <c r="F4582" s="153"/>
      <c r="G4582" s="147"/>
      <c r="H4582" s="473"/>
      <c r="I4582" s="454"/>
      <c r="J4582" s="368"/>
      <c r="K4582" s="481"/>
    </row>
    <row r="4583" spans="1:11" s="81" customFormat="1">
      <c r="A4583" s="368"/>
      <c r="B4583" s="182"/>
      <c r="C4583" s="223"/>
      <c r="D4583" s="207"/>
      <c r="E4583" s="207"/>
      <c r="F4583" s="153"/>
      <c r="G4583" s="147"/>
      <c r="H4583" s="473"/>
      <c r="I4583" s="454"/>
      <c r="J4583" s="368"/>
      <c r="K4583" s="481"/>
    </row>
    <row r="4584" spans="1:11" s="81" customFormat="1">
      <c r="A4584" s="447"/>
      <c r="B4584" s="480" t="s">
        <v>5147</v>
      </c>
      <c r="C4584" s="484"/>
      <c r="D4584" s="485"/>
      <c r="E4584" s="486"/>
      <c r="F4584" s="156"/>
      <c r="G4584" s="138"/>
      <c r="H4584" s="473"/>
      <c r="I4584" s="454"/>
      <c r="J4584" s="447"/>
      <c r="K4584" s="454"/>
    </row>
    <row r="4585" spans="1:11" s="81" customFormat="1">
      <c r="A4585" s="447"/>
      <c r="B4585" s="480"/>
      <c r="C4585" s="484"/>
      <c r="D4585" s="485"/>
      <c r="E4585" s="486"/>
      <c r="F4585" s="156"/>
      <c r="G4585" s="138"/>
      <c r="H4585" s="473"/>
      <c r="I4585" s="454"/>
      <c r="J4585" s="447"/>
      <c r="K4585" s="454"/>
    </row>
    <row r="4586" spans="1:11" s="81" customFormat="1">
      <c r="A4586" s="368"/>
      <c r="B4586" s="487" t="s">
        <v>745</v>
      </c>
      <c r="C4586" s="157"/>
      <c r="D4586" s="157">
        <v>17</v>
      </c>
      <c r="E4586" s="216">
        <v>0</v>
      </c>
      <c r="F4586" s="451">
        <f>D4586+E4586</f>
        <v>17</v>
      </c>
      <c r="G4586" s="488" t="s">
        <v>1848</v>
      </c>
      <c r="H4586" s="491"/>
      <c r="I4586" s="472"/>
      <c r="J4586" s="368"/>
      <c r="K4586" s="472" t="s">
        <v>741</v>
      </c>
    </row>
    <row r="4587" spans="1:11" s="81" customFormat="1">
      <c r="A4587" s="368"/>
      <c r="B4587" s="487" t="s">
        <v>746</v>
      </c>
      <c r="C4587" s="157"/>
      <c r="D4587" s="157">
        <v>26</v>
      </c>
      <c r="E4587" s="216">
        <v>0</v>
      </c>
      <c r="F4587" s="451">
        <f>D4587+E4587</f>
        <v>26</v>
      </c>
      <c r="G4587" s="488" t="s">
        <v>1849</v>
      </c>
      <c r="H4587" s="491"/>
      <c r="I4587" s="472"/>
      <c r="J4587" s="368"/>
      <c r="K4587" s="472" t="s">
        <v>741</v>
      </c>
    </row>
    <row r="4588" spans="1:11" s="81" customFormat="1">
      <c r="A4588" s="368"/>
      <c r="B4588" s="141"/>
      <c r="C4588" s="157"/>
      <c r="D4588" s="209"/>
      <c r="E4588" s="209"/>
      <c r="F4588" s="482"/>
      <c r="G4588" s="488"/>
      <c r="H4588" s="491"/>
      <c r="I4588" s="472"/>
      <c r="J4588" s="368"/>
      <c r="K4588" s="472"/>
    </row>
    <row r="4589" spans="1:11">
      <c r="A4589" s="489"/>
      <c r="B4589" s="187" t="s">
        <v>803</v>
      </c>
      <c r="C4589" s="490">
        <f>(70.62+5.35)</f>
        <v>75.97</v>
      </c>
      <c r="D4589" s="210">
        <f>C4589*fcl*(1-0.1)/TC</f>
        <v>46.386024423337851</v>
      </c>
      <c r="E4589" s="216">
        <v>3</v>
      </c>
      <c r="F4589" s="451">
        <f>D4589+E4589</f>
        <v>49.386024423337851</v>
      </c>
      <c r="G4589" s="187" t="s">
        <v>789</v>
      </c>
      <c r="H4589" s="491"/>
      <c r="I4589" s="472"/>
      <c r="J4589" s="489"/>
      <c r="K4589" s="472" t="s">
        <v>741</v>
      </c>
    </row>
    <row r="4590" spans="1:11">
      <c r="A4590" s="368"/>
      <c r="B4590" s="472"/>
      <c r="C4590" s="484"/>
      <c r="D4590" s="486"/>
      <c r="E4590" s="486"/>
      <c r="F4590" s="472"/>
      <c r="G4590" s="472"/>
      <c r="H4590" s="491"/>
      <c r="I4590" s="472"/>
      <c r="J4590" s="368"/>
      <c r="K4590" s="472"/>
    </row>
    <row r="4591" spans="1:11" s="33" customFormat="1">
      <c r="A4591" s="447"/>
      <c r="B4591" s="26"/>
      <c r="C4591" s="217"/>
      <c r="D4591" s="217"/>
      <c r="E4591" s="203"/>
      <c r="F4591" s="149"/>
      <c r="G4591" s="434"/>
      <c r="H4591" s="1648"/>
      <c r="I4591" s="434"/>
      <c r="J4591" s="443"/>
      <c r="K4591" s="434"/>
    </row>
    <row r="4592" spans="1:11" s="33" customFormat="1">
      <c r="A4592" s="443"/>
      <c r="B4592" s="26" t="s">
        <v>9612</v>
      </c>
      <c r="C4592" s="217"/>
      <c r="D4592" s="217">
        <v>910</v>
      </c>
      <c r="E4592" s="203">
        <v>20</v>
      </c>
      <c r="F4592" s="149">
        <f>D4592+E4592</f>
        <v>930</v>
      </c>
      <c r="G4592" s="1528" t="s">
        <v>9362</v>
      </c>
      <c r="H4592" s="458" t="str">
        <f>B4592</f>
        <v>CVX050-230L</v>
      </c>
      <c r="I4592" s="434"/>
      <c r="J4592" s="368" t="s">
        <v>1798</v>
      </c>
      <c r="K4592" s="434"/>
    </row>
    <row r="4593" spans="1:11" s="33" customFormat="1">
      <c r="A4593" s="443"/>
      <c r="B4593" s="26" t="s">
        <v>9363</v>
      </c>
      <c r="C4593" s="217"/>
      <c r="D4593" s="217">
        <v>910</v>
      </c>
      <c r="E4593" s="203">
        <v>20</v>
      </c>
      <c r="F4593" s="149">
        <f>D4593+E4593</f>
        <v>930</v>
      </c>
      <c r="G4593" s="1528" t="s">
        <v>9364</v>
      </c>
      <c r="H4593" s="458" t="str">
        <f>B4593</f>
        <v>CVX050-240D</v>
      </c>
      <c r="I4593" s="434"/>
      <c r="J4593" s="368" t="s">
        <v>1798</v>
      </c>
      <c r="K4593" s="434"/>
    </row>
    <row r="4594" spans="1:11" s="33" customFormat="1">
      <c r="A4594" s="443"/>
      <c r="B4594" s="26" t="s">
        <v>10313</v>
      </c>
      <c r="C4594" s="217"/>
      <c r="D4594" s="217">
        <v>780</v>
      </c>
      <c r="E4594" s="203">
        <v>20</v>
      </c>
      <c r="F4594" s="149">
        <f>D4594+E4594</f>
        <v>800</v>
      </c>
      <c r="G4594" s="1528" t="s">
        <v>10314</v>
      </c>
      <c r="H4594" s="458" t="str">
        <f>B4594</f>
        <v>CVX050-208Y</v>
      </c>
      <c r="I4594" s="434"/>
      <c r="J4594" s="443"/>
      <c r="K4594" s="434"/>
    </row>
    <row r="4595" spans="1:11" s="185" customFormat="1">
      <c r="A4595" s="447"/>
      <c r="B4595" s="453"/>
      <c r="C4595" s="217"/>
      <c r="D4595" s="217"/>
      <c r="E4595" s="407"/>
      <c r="F4595" s="157"/>
      <c r="G4595" s="2359"/>
      <c r="H4595" s="139"/>
      <c r="I4595" s="454"/>
      <c r="J4595" s="447"/>
      <c r="K4595" s="454"/>
    </row>
    <row r="4596" spans="1:11" s="33" customFormat="1">
      <c r="A4596" s="1492"/>
      <c r="B4596" s="19" t="s">
        <v>13837</v>
      </c>
      <c r="C4596" s="217"/>
      <c r="D4596" s="217">
        <v>1879</v>
      </c>
      <c r="E4596" s="203">
        <v>20</v>
      </c>
      <c r="F4596" s="149">
        <f>D4596+E4596</f>
        <v>1899</v>
      </c>
      <c r="G4596" s="20" t="s">
        <v>13838</v>
      </c>
      <c r="H4596" s="458" t="str">
        <f>B4596</f>
        <v>CVX100-240D</v>
      </c>
      <c r="I4596" s="434"/>
      <c r="J4596" s="368" t="s">
        <v>1798</v>
      </c>
      <c r="K4596" s="434"/>
    </row>
    <row r="4597" spans="1:11" s="185" customFormat="1">
      <c r="A4597" s="445"/>
      <c r="B4597" s="454"/>
      <c r="C4597" s="217"/>
      <c r="D4597" s="217"/>
      <c r="E4597" s="1520"/>
      <c r="F4597" s="482"/>
      <c r="G4597" s="20"/>
      <c r="H4597" s="473"/>
      <c r="I4597" s="454"/>
      <c r="J4597" s="447"/>
      <c r="K4597" s="454"/>
    </row>
    <row r="4598" spans="1:11" s="33" customFormat="1">
      <c r="A4598" s="443"/>
      <c r="B4598" s="26" t="s">
        <v>13839</v>
      </c>
      <c r="C4598" s="217"/>
      <c r="D4598" s="217">
        <v>2245</v>
      </c>
      <c r="E4598" s="203">
        <v>20</v>
      </c>
      <c r="F4598" s="149">
        <f>D4598+E4598</f>
        <v>2265</v>
      </c>
      <c r="G4598" s="1528" t="s">
        <v>13840</v>
      </c>
      <c r="H4598" s="458" t="str">
        <f>B4598</f>
        <v>CVX100-480Y</v>
      </c>
      <c r="I4598" s="434"/>
      <c r="J4598" s="368" t="s">
        <v>1798</v>
      </c>
      <c r="K4598" s="492" t="s">
        <v>741</v>
      </c>
    </row>
    <row r="4599" spans="1:11" s="33" customFormat="1">
      <c r="A4599" s="443"/>
      <c r="B4599" s="26" t="s">
        <v>13841</v>
      </c>
      <c r="C4599" s="217"/>
      <c r="D4599" s="217">
        <v>1440</v>
      </c>
      <c r="E4599" s="203">
        <v>20</v>
      </c>
      <c r="F4599" s="149">
        <f>D4599+E4599</f>
        <v>1460</v>
      </c>
      <c r="G4599" s="1528" t="s">
        <v>13842</v>
      </c>
      <c r="H4599" s="458" t="str">
        <f>B4599</f>
        <v>CVX050-480Y</v>
      </c>
      <c r="I4599" s="434"/>
      <c r="J4599" s="368" t="s">
        <v>1798</v>
      </c>
      <c r="K4599" s="492" t="s">
        <v>741</v>
      </c>
    </row>
    <row r="4600" spans="1:11">
      <c r="A4600" s="1532"/>
      <c r="B4600" s="158"/>
      <c r="C4600" s="185"/>
      <c r="D4600" s="217"/>
      <c r="E4600" s="217"/>
      <c r="F4600" s="159"/>
      <c r="G4600" s="146"/>
      <c r="H4600" s="458"/>
      <c r="I4600" s="454"/>
      <c r="J4600" s="368"/>
      <c r="K4600" s="492"/>
    </row>
    <row r="4601" spans="1:11">
      <c r="A4601" s="1532"/>
      <c r="B4601" s="141"/>
      <c r="C4601" s="224"/>
      <c r="D4601" s="209"/>
      <c r="E4601" s="209"/>
      <c r="F4601" s="157"/>
      <c r="G4601" s="186"/>
      <c r="H4601" s="491"/>
      <c r="I4601" s="472"/>
      <c r="J4601" s="368"/>
      <c r="K4601" s="472"/>
    </row>
    <row r="4602" spans="1:11" ht="12" customHeight="1">
      <c r="A4602" s="1532"/>
      <c r="B4602" s="1606" t="s">
        <v>9613</v>
      </c>
      <c r="C4602" s="1600"/>
      <c r="D4602" s="1600">
        <v>1131</v>
      </c>
      <c r="E4602" s="1600">
        <v>20</v>
      </c>
      <c r="F4602" s="1607">
        <f>D4602+E4602</f>
        <v>1151</v>
      </c>
      <c r="G4602" s="1608" t="s">
        <v>8324</v>
      </c>
      <c r="H4602" s="458" t="str">
        <f>B4602</f>
        <v>SPC050415Y2P</v>
      </c>
      <c r="I4602" s="454"/>
      <c r="J4602" s="368" t="s">
        <v>1798</v>
      </c>
      <c r="K4602" s="492" t="s">
        <v>741</v>
      </c>
    </row>
    <row r="4603" spans="1:11">
      <c r="A4603" s="445"/>
      <c r="B4603" s="491"/>
      <c r="C4603" s="225"/>
      <c r="D4603" s="485"/>
      <c r="E4603" s="216"/>
      <c r="F4603" s="156"/>
      <c r="G4603" s="138"/>
      <c r="H4603" s="458"/>
      <c r="I4603" s="454"/>
      <c r="J4603" s="447"/>
      <c r="K4603" s="454"/>
    </row>
    <row r="4604" spans="1:11" ht="12" customHeight="1">
      <c r="A4604" s="1532"/>
      <c r="B4604" s="19" t="s">
        <v>12316</v>
      </c>
      <c r="C4604" s="1600"/>
      <c r="D4604" s="1600">
        <v>1114</v>
      </c>
      <c r="E4604" s="1600">
        <v>20</v>
      </c>
      <c r="F4604" s="1607">
        <f>D4604+E4604</f>
        <v>1134</v>
      </c>
      <c r="G4604" s="1608" t="s">
        <v>12317</v>
      </c>
      <c r="H4604" s="19" t="s">
        <v>12316</v>
      </c>
      <c r="I4604" s="454"/>
      <c r="J4604" s="368" t="s">
        <v>1798</v>
      </c>
      <c r="K4604" s="492" t="s">
        <v>741</v>
      </c>
    </row>
    <row r="4605" spans="1:11">
      <c r="A4605" s="445"/>
      <c r="B4605" s="491"/>
      <c r="C4605" s="225"/>
      <c r="D4605" s="485"/>
      <c r="E4605" s="216"/>
      <c r="F4605" s="156"/>
      <c r="G4605" s="138"/>
      <c r="H4605" s="458"/>
      <c r="I4605" s="454"/>
      <c r="J4605" s="447"/>
      <c r="K4605" s="454"/>
    </row>
    <row r="4606" spans="1:11">
      <c r="A4606" s="445"/>
      <c r="B4606" s="491"/>
      <c r="C4606" s="225"/>
      <c r="D4606" s="485"/>
      <c r="E4606" s="216"/>
      <c r="F4606" s="156"/>
      <c r="G4606" s="138"/>
      <c r="H4606" s="458"/>
      <c r="I4606" s="454"/>
      <c r="J4606" s="447"/>
      <c r="K4606" s="454"/>
    </row>
    <row r="4607" spans="1:11" ht="12" customHeight="1">
      <c r="A4607" s="1532"/>
      <c r="B4607" s="19" t="s">
        <v>13843</v>
      </c>
      <c r="C4607" s="1600"/>
      <c r="D4607" s="1600">
        <v>2245</v>
      </c>
      <c r="E4607" s="1600">
        <v>20</v>
      </c>
      <c r="F4607" s="1607">
        <f>D4607+E4607</f>
        <v>2265</v>
      </c>
      <c r="G4607" s="1608" t="s">
        <v>13844</v>
      </c>
      <c r="H4607" s="19" t="s">
        <v>12316</v>
      </c>
      <c r="I4607" s="454"/>
      <c r="J4607" s="368" t="s">
        <v>1798</v>
      </c>
      <c r="K4607" s="492" t="s">
        <v>741</v>
      </c>
    </row>
    <row r="4608" spans="1:11">
      <c r="A4608" s="445"/>
      <c r="B4608" s="491"/>
      <c r="C4608" s="225"/>
      <c r="D4608" s="485"/>
      <c r="E4608" s="216"/>
      <c r="F4608" s="156"/>
      <c r="G4608" s="138"/>
      <c r="H4608" s="458"/>
      <c r="I4608" s="454"/>
      <c r="J4608" s="447"/>
      <c r="K4608" s="454"/>
    </row>
    <row r="4609" spans="1:11">
      <c r="A4609" s="1532"/>
      <c r="B4609" s="158" t="s">
        <v>8322</v>
      </c>
      <c r="C4609" s="217"/>
      <c r="D4609" s="217">
        <v>960</v>
      </c>
      <c r="E4609" s="217">
        <v>20</v>
      </c>
      <c r="F4609" s="159">
        <f>D4609+E4609</f>
        <v>980</v>
      </c>
      <c r="G4609" s="146" t="s">
        <v>8323</v>
      </c>
      <c r="H4609" s="458" t="str">
        <f>B4609</f>
        <v>SPV050480Y2K</v>
      </c>
      <c r="I4609" s="454"/>
      <c r="J4609" s="368" t="s">
        <v>1798</v>
      </c>
      <c r="K4609" s="492" t="s">
        <v>741</v>
      </c>
    </row>
    <row r="4610" spans="1:11">
      <c r="A4610" s="1532"/>
      <c r="B4610" s="158" t="s">
        <v>3119</v>
      </c>
      <c r="C4610" s="217"/>
      <c r="D4610" s="217">
        <v>960</v>
      </c>
      <c r="E4610" s="217">
        <v>20</v>
      </c>
      <c r="F4610" s="159">
        <f t="shared" ref="F4610:F4619" si="592">D4610+E4610</f>
        <v>980</v>
      </c>
      <c r="G4610" s="146" t="s">
        <v>8324</v>
      </c>
      <c r="H4610" s="458" t="str">
        <f t="shared" ref="H4610:H4622" si="593">B4610</f>
        <v>SPV050400Y2K</v>
      </c>
      <c r="I4610" s="454"/>
      <c r="J4610" s="368" t="s">
        <v>1798</v>
      </c>
      <c r="K4610" s="492" t="s">
        <v>741</v>
      </c>
    </row>
    <row r="4611" spans="1:11">
      <c r="A4611" s="1532"/>
      <c r="B4611" s="158" t="s">
        <v>8325</v>
      </c>
      <c r="C4611" s="217"/>
      <c r="D4611" s="217">
        <v>960</v>
      </c>
      <c r="E4611" s="217">
        <v>20</v>
      </c>
      <c r="F4611" s="159">
        <f>D4611+E4611</f>
        <v>980</v>
      </c>
      <c r="G4611" s="146" t="s">
        <v>8326</v>
      </c>
      <c r="H4611" s="458" t="str">
        <f>B4611</f>
        <v>SPV050208Y2K</v>
      </c>
      <c r="I4611" s="454"/>
      <c r="J4611" s="368" t="s">
        <v>1798</v>
      </c>
      <c r="K4611" s="492" t="s">
        <v>741</v>
      </c>
    </row>
    <row r="4612" spans="1:11">
      <c r="A4612" s="1532"/>
      <c r="B4612" s="158" t="s">
        <v>3161</v>
      </c>
      <c r="C4612" s="217"/>
      <c r="D4612" s="217">
        <v>2180</v>
      </c>
      <c r="E4612" s="217">
        <v>20</v>
      </c>
      <c r="F4612" s="159">
        <f t="shared" si="592"/>
        <v>2200</v>
      </c>
      <c r="G4612" s="146" t="s">
        <v>8327</v>
      </c>
      <c r="H4612" s="458" t="str">
        <f t="shared" si="593"/>
        <v>PSPD100400Y3K</v>
      </c>
      <c r="I4612" s="454"/>
      <c r="J4612" s="368" t="s">
        <v>1798</v>
      </c>
      <c r="K4612" s="492" t="s">
        <v>741</v>
      </c>
    </row>
    <row r="4613" spans="1:11">
      <c r="A4613" s="1532"/>
      <c r="B4613" s="158" t="s">
        <v>3120</v>
      </c>
      <c r="C4613" s="217"/>
      <c r="D4613" s="217">
        <v>3275</v>
      </c>
      <c r="E4613" s="217">
        <v>40</v>
      </c>
      <c r="F4613" s="159">
        <f t="shared" si="592"/>
        <v>3315</v>
      </c>
      <c r="G4613" s="146" t="s">
        <v>8328</v>
      </c>
      <c r="H4613" s="458" t="str">
        <f t="shared" si="593"/>
        <v>PSPD120400Y3K</v>
      </c>
      <c r="I4613" s="454"/>
      <c r="J4613" s="368" t="s">
        <v>1798</v>
      </c>
      <c r="K4613" s="492" t="s">
        <v>741</v>
      </c>
    </row>
    <row r="4614" spans="1:11" ht="12" customHeight="1">
      <c r="A4614" s="1532"/>
      <c r="B4614" s="158" t="s">
        <v>8329</v>
      </c>
      <c r="C4614" s="217"/>
      <c r="D4614" s="217">
        <v>8632</v>
      </c>
      <c r="E4614" s="217">
        <v>80</v>
      </c>
      <c r="F4614" s="159">
        <f>D4614+E4614</f>
        <v>8712</v>
      </c>
      <c r="G4614" s="146" t="s">
        <v>8330</v>
      </c>
      <c r="H4614" s="458" t="str">
        <f>B4614</f>
        <v>PSPD250220Y3K</v>
      </c>
      <c r="I4614" s="454"/>
      <c r="J4614" s="368" t="s">
        <v>1798</v>
      </c>
      <c r="K4614" s="492" t="s">
        <v>741</v>
      </c>
    </row>
    <row r="4615" spans="1:11" ht="12" customHeight="1">
      <c r="A4615" s="1532"/>
      <c r="B4615" s="1606" t="s">
        <v>9614</v>
      </c>
      <c r="C4615" s="1600"/>
      <c r="D4615" s="1600">
        <v>7580</v>
      </c>
      <c r="E4615" s="1600">
        <v>80</v>
      </c>
      <c r="F4615" s="1607">
        <f>D4615+E4615</f>
        <v>7660</v>
      </c>
      <c r="G4615" s="1608" t="s">
        <v>8331</v>
      </c>
      <c r="H4615" s="458" t="str">
        <f>B4615</f>
        <v>SPD250400Y3K</v>
      </c>
      <c r="I4615" s="454"/>
      <c r="J4615" s="368" t="s">
        <v>1798</v>
      </c>
      <c r="K4615" s="492" t="s">
        <v>741</v>
      </c>
    </row>
    <row r="4616" spans="1:11" ht="12" customHeight="1">
      <c r="A4616" s="1532"/>
      <c r="B4616" s="1609" t="s">
        <v>3121</v>
      </c>
      <c r="C4616" s="1610"/>
      <c r="D4616" s="1610">
        <v>7580</v>
      </c>
      <c r="E4616" s="1610">
        <v>80</v>
      </c>
      <c r="F4616" s="1611">
        <f t="shared" si="592"/>
        <v>7660</v>
      </c>
      <c r="G4616" s="1612" t="s">
        <v>8331</v>
      </c>
      <c r="H4616" s="458" t="str">
        <f t="shared" si="593"/>
        <v>PSPD250400Y3K</v>
      </c>
      <c r="I4616" s="454"/>
      <c r="J4616" s="368" t="s">
        <v>1798</v>
      </c>
      <c r="K4616" s="492" t="s">
        <v>741</v>
      </c>
    </row>
    <row r="4617" spans="1:11" ht="12" customHeight="1">
      <c r="A4617" s="1532"/>
      <c r="B4617" s="158" t="s">
        <v>5960</v>
      </c>
      <c r="C4617" s="217"/>
      <c r="D4617" s="217">
        <v>7200</v>
      </c>
      <c r="E4617" s="217">
        <v>80</v>
      </c>
      <c r="F4617" s="159">
        <f t="shared" si="592"/>
        <v>7280</v>
      </c>
      <c r="G4617" s="146" t="s">
        <v>8332</v>
      </c>
      <c r="H4617" s="458" t="str">
        <f t="shared" si="593"/>
        <v>PSPD400400Y3K</v>
      </c>
      <c r="I4617" s="454"/>
      <c r="J4617" s="368" t="s">
        <v>1798</v>
      </c>
      <c r="K4617" s="492" t="s">
        <v>741</v>
      </c>
    </row>
    <row r="4618" spans="1:11">
      <c r="A4618" s="1532"/>
      <c r="B4618" s="1606" t="s">
        <v>9615</v>
      </c>
      <c r="C4618" s="1600"/>
      <c r="D4618" s="1600">
        <v>3275</v>
      </c>
      <c r="E4618" s="1600">
        <v>40</v>
      </c>
      <c r="F4618" s="1607">
        <f>D4618+E4618</f>
        <v>3315</v>
      </c>
      <c r="G4618" s="1608" t="s">
        <v>9616</v>
      </c>
      <c r="H4618" s="458" t="str">
        <f>B4618</f>
        <v>SPD100400Y3K</v>
      </c>
      <c r="I4618" s="454"/>
      <c r="J4618" s="368" t="s">
        <v>1798</v>
      </c>
      <c r="K4618" s="492" t="s">
        <v>741</v>
      </c>
    </row>
    <row r="4619" spans="1:11">
      <c r="A4619" s="1532"/>
      <c r="B4619" s="1609" t="s">
        <v>4776</v>
      </c>
      <c r="C4619" s="1610"/>
      <c r="D4619" s="1610">
        <v>3275</v>
      </c>
      <c r="E4619" s="1610">
        <v>40</v>
      </c>
      <c r="F4619" s="1611">
        <f t="shared" si="592"/>
        <v>3315</v>
      </c>
      <c r="G4619" s="1612" t="s">
        <v>8333</v>
      </c>
      <c r="H4619" s="458" t="str">
        <f t="shared" si="593"/>
        <v>PSPD120220Y3K</v>
      </c>
      <c r="I4619" s="454"/>
      <c r="J4619" s="368" t="s">
        <v>1798</v>
      </c>
      <c r="K4619" s="492" t="s">
        <v>741</v>
      </c>
    </row>
    <row r="4620" spans="1:11">
      <c r="A4620" s="1532"/>
      <c r="B4620" s="158" t="s">
        <v>5961</v>
      </c>
      <c r="C4620" s="185"/>
      <c r="D4620" s="217">
        <f>2190*1.1</f>
        <v>2409</v>
      </c>
      <c r="E4620" s="217">
        <v>40</v>
      </c>
      <c r="F4620" s="159">
        <f>D4620+E4620</f>
        <v>2449</v>
      </c>
      <c r="G4620" s="146" t="s">
        <v>5962</v>
      </c>
      <c r="H4620" s="458" t="str">
        <f t="shared" si="593"/>
        <v>PSPD120480Y3K</v>
      </c>
      <c r="I4620" s="454"/>
      <c r="J4620" s="368" t="s">
        <v>1798</v>
      </c>
      <c r="K4620" s="492" t="s">
        <v>741</v>
      </c>
    </row>
    <row r="4621" spans="1:11">
      <c r="A4621" s="1532"/>
      <c r="B4621" s="158" t="s">
        <v>5963</v>
      </c>
      <c r="C4621" s="185"/>
      <c r="D4621" s="217">
        <f>4190*1.1</f>
        <v>4609</v>
      </c>
      <c r="E4621" s="217">
        <v>80</v>
      </c>
      <c r="F4621" s="159">
        <f>D4621+E4621</f>
        <v>4689</v>
      </c>
      <c r="G4621" s="146" t="s">
        <v>5964</v>
      </c>
      <c r="H4621" s="458" t="str">
        <f t="shared" si="593"/>
        <v>PSPD250480Y3K</v>
      </c>
      <c r="I4621" s="454"/>
      <c r="J4621" s="368" t="s">
        <v>1798</v>
      </c>
      <c r="K4621" s="492" t="s">
        <v>741</v>
      </c>
    </row>
    <row r="4622" spans="1:11">
      <c r="A4622" s="1532"/>
      <c r="B4622" s="158" t="s">
        <v>8334</v>
      </c>
      <c r="C4622" s="185"/>
      <c r="D4622" s="217">
        <v>1952</v>
      </c>
      <c r="E4622" s="217">
        <v>40</v>
      </c>
      <c r="F4622" s="159">
        <f>D4622+E4622</f>
        <v>1992</v>
      </c>
      <c r="G4622" s="146" t="s">
        <v>8335</v>
      </c>
      <c r="H4622" s="458" t="str">
        <f t="shared" si="593"/>
        <v>PSPD100220Y3K</v>
      </c>
      <c r="I4622" s="454"/>
      <c r="J4622" s="368" t="s">
        <v>1798</v>
      </c>
      <c r="K4622" s="492" t="s">
        <v>741</v>
      </c>
    </row>
    <row r="4623" spans="1:11">
      <c r="A4623" s="1532"/>
      <c r="B4623" s="158" t="s">
        <v>8336</v>
      </c>
      <c r="C4623" s="185"/>
      <c r="D4623" s="217">
        <v>1525</v>
      </c>
      <c r="E4623" s="217">
        <v>40</v>
      </c>
      <c r="F4623" s="159">
        <f>D4623+E4623</f>
        <v>1565</v>
      </c>
      <c r="G4623" s="146" t="s">
        <v>8337</v>
      </c>
      <c r="H4623" s="458" t="s">
        <v>8336</v>
      </c>
      <c r="I4623" s="454"/>
      <c r="J4623" s="368" t="s">
        <v>1798</v>
      </c>
      <c r="K4623" s="492" t="s">
        <v>741</v>
      </c>
    </row>
    <row r="4624" spans="1:11">
      <c r="A4624" s="1532"/>
      <c r="B4624" s="158"/>
      <c r="C4624" s="185"/>
      <c r="D4624" s="217"/>
      <c r="E4624" s="217"/>
      <c r="F4624" s="159"/>
      <c r="G4624" s="146"/>
      <c r="H4624" s="458"/>
      <c r="I4624" s="454"/>
      <c r="J4624" s="368"/>
      <c r="K4624" s="492"/>
    </row>
    <row r="4625" spans="1:11">
      <c r="A4625" s="1532"/>
      <c r="B4625" s="158" t="s">
        <v>8338</v>
      </c>
      <c r="C4625" s="185"/>
      <c r="D4625" s="217">
        <v>2680</v>
      </c>
      <c r="E4625" s="217">
        <v>40</v>
      </c>
      <c r="F4625" s="159">
        <f>D4625+E4625</f>
        <v>2720</v>
      </c>
      <c r="G4625" s="146" t="s">
        <v>8339</v>
      </c>
      <c r="H4625" s="458" t="str">
        <f>B4625</f>
        <v>SPD100220Y3K</v>
      </c>
      <c r="I4625" s="454"/>
      <c r="J4625" s="368" t="s">
        <v>1798</v>
      </c>
      <c r="K4625" s="492" t="s">
        <v>741</v>
      </c>
    </row>
    <row r="4626" spans="1:11">
      <c r="A4626" s="1532"/>
      <c r="B4626" s="158" t="s">
        <v>9365</v>
      </c>
      <c r="C4626" s="185"/>
      <c r="D4626" s="217">
        <v>3045</v>
      </c>
      <c r="E4626" s="217">
        <v>40</v>
      </c>
      <c r="F4626" s="159">
        <f>D4626+E4626</f>
        <v>3085</v>
      </c>
      <c r="G4626" s="146" t="s">
        <v>9366</v>
      </c>
      <c r="H4626" s="458" t="str">
        <f>B4626</f>
        <v>SPD100460Y3K</v>
      </c>
      <c r="I4626" s="454"/>
      <c r="J4626" s="368" t="s">
        <v>1798</v>
      </c>
      <c r="K4626" s="492" t="s">
        <v>741</v>
      </c>
    </row>
    <row r="4627" spans="1:11">
      <c r="A4627" s="1532"/>
      <c r="B4627" s="158"/>
      <c r="C4627" s="185"/>
      <c r="D4627" s="217"/>
      <c r="E4627" s="217"/>
      <c r="F4627" s="159"/>
      <c r="G4627" s="146"/>
      <c r="H4627" s="458"/>
      <c r="I4627" s="454"/>
      <c r="J4627" s="368"/>
      <c r="K4627" s="492"/>
    </row>
    <row r="4628" spans="1:11">
      <c r="A4628" s="1647"/>
      <c r="B4628" s="158" t="s">
        <v>10315</v>
      </c>
      <c r="C4628" s="185"/>
      <c r="D4628" s="217">
        <v>1900</v>
      </c>
      <c r="E4628" s="217">
        <v>40</v>
      </c>
      <c r="F4628" s="159">
        <f>D4628+E4628</f>
        <v>1940</v>
      </c>
      <c r="G4628" s="146" t="s">
        <v>8340</v>
      </c>
      <c r="H4628" s="458" t="str">
        <f t="shared" ref="H4628" si="594">B4628</f>
        <v>SPD050220Y3K</v>
      </c>
      <c r="I4628" s="454"/>
      <c r="J4628" s="368" t="s">
        <v>1798</v>
      </c>
      <c r="K4628" s="492" t="s">
        <v>741</v>
      </c>
    </row>
    <row r="4629" spans="1:11">
      <c r="A4629" s="368"/>
      <c r="B4629" s="141"/>
      <c r="C4629" s="224"/>
      <c r="D4629" s="224"/>
      <c r="E4629" s="209"/>
      <c r="F4629" s="157"/>
      <c r="G4629" s="186"/>
      <c r="H4629" s="491"/>
      <c r="I4629" s="472"/>
      <c r="J4629" s="368"/>
      <c r="K4629" s="472"/>
    </row>
    <row r="4630" spans="1:11">
      <c r="A4630" s="368"/>
      <c r="B4630" s="158" t="s">
        <v>5059</v>
      </c>
      <c r="C4630" s="19"/>
      <c r="D4630" s="217">
        <f>43*1.05</f>
        <v>45.15</v>
      </c>
      <c r="E4630" s="217">
        <v>5</v>
      </c>
      <c r="F4630" s="159">
        <f>D4630+E4630</f>
        <v>50.15</v>
      </c>
      <c r="G4630" s="146" t="s">
        <v>8341</v>
      </c>
      <c r="H4630" s="458">
        <v>278431</v>
      </c>
      <c r="I4630" s="454"/>
      <c r="J4630" s="368" t="s">
        <v>1798</v>
      </c>
      <c r="K4630" s="492" t="s">
        <v>741</v>
      </c>
    </row>
    <row r="4631" spans="1:11">
      <c r="A4631" s="368"/>
      <c r="B4631" s="158" t="s">
        <v>5060</v>
      </c>
      <c r="C4631" s="19"/>
      <c r="D4631" s="217">
        <f t="shared" ref="D4631:D4641" si="595">43*1.05</f>
        <v>45.15</v>
      </c>
      <c r="E4631" s="217">
        <v>5</v>
      </c>
      <c r="F4631" s="159">
        <f>D4631+E4631</f>
        <v>50.15</v>
      </c>
      <c r="G4631" s="146" t="s">
        <v>8342</v>
      </c>
      <c r="H4631" s="458">
        <v>278432</v>
      </c>
      <c r="I4631" s="454"/>
      <c r="J4631" s="368" t="s">
        <v>1798</v>
      </c>
      <c r="K4631" s="492" t="s">
        <v>741</v>
      </c>
    </row>
    <row r="4632" spans="1:11">
      <c r="A4632" s="368"/>
      <c r="B4632" s="158" t="s">
        <v>5061</v>
      </c>
      <c r="C4632" s="19"/>
      <c r="D4632" s="217">
        <f t="shared" si="595"/>
        <v>45.15</v>
      </c>
      <c r="E4632" s="217">
        <v>5</v>
      </c>
      <c r="F4632" s="159">
        <f>D4632+E4632</f>
        <v>50.15</v>
      </c>
      <c r="G4632" s="146" t="s">
        <v>8343</v>
      </c>
      <c r="H4632" s="458">
        <v>278433</v>
      </c>
      <c r="I4632" s="454"/>
      <c r="J4632" s="368" t="s">
        <v>1798</v>
      </c>
      <c r="K4632" s="492" t="s">
        <v>741</v>
      </c>
    </row>
    <row r="4633" spans="1:11">
      <c r="A4633" s="368"/>
      <c r="B4633" s="158" t="s">
        <v>5062</v>
      </c>
      <c r="C4633" s="19"/>
      <c r="D4633" s="217">
        <f t="shared" si="595"/>
        <v>45.15</v>
      </c>
      <c r="E4633" s="217">
        <v>5</v>
      </c>
      <c r="F4633" s="159">
        <f>D4633+E4633</f>
        <v>50.15</v>
      </c>
      <c r="G4633" s="146" t="s">
        <v>8344</v>
      </c>
      <c r="H4633" s="458">
        <v>278434</v>
      </c>
      <c r="I4633" s="454"/>
      <c r="J4633" s="368" t="s">
        <v>1798</v>
      </c>
      <c r="K4633" s="492" t="s">
        <v>741</v>
      </c>
    </row>
    <row r="4634" spans="1:11">
      <c r="A4634" s="368"/>
      <c r="B4634" s="158" t="s">
        <v>5063</v>
      </c>
      <c r="C4634" s="19"/>
      <c r="D4634" s="217">
        <f t="shared" si="595"/>
        <v>45.15</v>
      </c>
      <c r="E4634" s="217">
        <v>5</v>
      </c>
      <c r="F4634" s="159">
        <f>D4634+E4634</f>
        <v>50.15</v>
      </c>
      <c r="G4634" s="146" t="s">
        <v>8345</v>
      </c>
      <c r="H4634" s="458">
        <v>278435</v>
      </c>
      <c r="I4634" s="454"/>
      <c r="J4634" s="368" t="s">
        <v>1798</v>
      </c>
      <c r="K4634" s="492" t="s">
        <v>741</v>
      </c>
    </row>
    <row r="4635" spans="1:11">
      <c r="A4635" s="368"/>
      <c r="B4635" s="158" t="s">
        <v>5064</v>
      </c>
      <c r="C4635" s="19"/>
      <c r="D4635" s="217">
        <f t="shared" si="595"/>
        <v>45.15</v>
      </c>
      <c r="E4635" s="217">
        <v>5</v>
      </c>
      <c r="F4635" s="159">
        <f t="shared" ref="F4635:F4641" si="596">D4635+E4635</f>
        <v>50.15</v>
      </c>
      <c r="G4635" s="146" t="s">
        <v>8346</v>
      </c>
      <c r="H4635" s="458">
        <v>278436</v>
      </c>
      <c r="I4635" s="454"/>
      <c r="J4635" s="368" t="s">
        <v>1798</v>
      </c>
      <c r="K4635" s="492" t="s">
        <v>741</v>
      </c>
    </row>
    <row r="4636" spans="1:11">
      <c r="A4636" s="368"/>
      <c r="B4636" s="158" t="s">
        <v>5065</v>
      </c>
      <c r="C4636" s="19"/>
      <c r="D4636" s="217">
        <f t="shared" si="595"/>
        <v>45.15</v>
      </c>
      <c r="E4636" s="217">
        <v>5</v>
      </c>
      <c r="F4636" s="159">
        <f t="shared" si="596"/>
        <v>50.15</v>
      </c>
      <c r="G4636" s="146" t="s">
        <v>8347</v>
      </c>
      <c r="H4636" s="458">
        <v>278437</v>
      </c>
      <c r="I4636" s="454"/>
      <c r="J4636" s="368" t="s">
        <v>1798</v>
      </c>
      <c r="K4636" s="492" t="s">
        <v>741</v>
      </c>
    </row>
    <row r="4637" spans="1:11">
      <c r="A4637" s="368"/>
      <c r="B4637" s="158" t="s">
        <v>5066</v>
      </c>
      <c r="C4637" s="19"/>
      <c r="D4637" s="217">
        <f t="shared" si="595"/>
        <v>45.15</v>
      </c>
      <c r="E4637" s="217">
        <v>5</v>
      </c>
      <c r="F4637" s="159">
        <f t="shared" si="596"/>
        <v>50.15</v>
      </c>
      <c r="G4637" s="146" t="s">
        <v>8348</v>
      </c>
      <c r="H4637" s="458">
        <v>278438</v>
      </c>
      <c r="I4637" s="454"/>
      <c r="J4637" s="368" t="s">
        <v>1798</v>
      </c>
      <c r="K4637" s="492" t="s">
        <v>741</v>
      </c>
    </row>
    <row r="4638" spans="1:11">
      <c r="A4638" s="368"/>
      <c r="B4638" s="158" t="s">
        <v>5067</v>
      </c>
      <c r="C4638" s="19"/>
      <c r="D4638" s="217">
        <f t="shared" si="595"/>
        <v>45.15</v>
      </c>
      <c r="E4638" s="217">
        <v>5</v>
      </c>
      <c r="F4638" s="159">
        <f t="shared" si="596"/>
        <v>50.15</v>
      </c>
      <c r="G4638" s="146" t="s">
        <v>8349</v>
      </c>
      <c r="H4638" s="458">
        <v>278439</v>
      </c>
      <c r="I4638" s="454"/>
      <c r="J4638" s="368" t="s">
        <v>1798</v>
      </c>
      <c r="K4638" s="492" t="s">
        <v>741</v>
      </c>
    </row>
    <row r="4639" spans="1:11">
      <c r="A4639" s="368"/>
      <c r="B4639" s="158" t="s">
        <v>5068</v>
      </c>
      <c r="C4639" s="19"/>
      <c r="D4639" s="217">
        <f t="shared" si="595"/>
        <v>45.15</v>
      </c>
      <c r="E4639" s="217">
        <v>5</v>
      </c>
      <c r="F4639" s="159">
        <f t="shared" si="596"/>
        <v>50.15</v>
      </c>
      <c r="G4639" s="146" t="s">
        <v>8350</v>
      </c>
      <c r="H4639" s="458">
        <v>278440</v>
      </c>
      <c r="I4639" s="454"/>
      <c r="J4639" s="368" t="s">
        <v>1798</v>
      </c>
      <c r="K4639" s="492" t="s">
        <v>741</v>
      </c>
    </row>
    <row r="4640" spans="1:11">
      <c r="A4640" s="368"/>
      <c r="B4640" s="158" t="s">
        <v>5069</v>
      </c>
      <c r="C4640" s="19"/>
      <c r="D4640" s="217">
        <f t="shared" si="595"/>
        <v>45.15</v>
      </c>
      <c r="E4640" s="217">
        <v>5</v>
      </c>
      <c r="F4640" s="159">
        <f t="shared" si="596"/>
        <v>50.15</v>
      </c>
      <c r="G4640" s="146" t="s">
        <v>8351</v>
      </c>
      <c r="H4640" s="458">
        <v>278441</v>
      </c>
      <c r="I4640" s="454"/>
      <c r="J4640" s="368" t="s">
        <v>1798</v>
      </c>
      <c r="K4640" s="492" t="s">
        <v>741</v>
      </c>
    </row>
    <row r="4641" spans="1:11">
      <c r="A4641" s="368"/>
      <c r="B4641" s="158" t="s">
        <v>5070</v>
      </c>
      <c r="C4641" s="19"/>
      <c r="D4641" s="217">
        <f t="shared" si="595"/>
        <v>45.15</v>
      </c>
      <c r="E4641" s="217">
        <v>5</v>
      </c>
      <c r="F4641" s="159">
        <f t="shared" si="596"/>
        <v>50.15</v>
      </c>
      <c r="G4641" s="146" t="s">
        <v>8352</v>
      </c>
      <c r="H4641" s="458">
        <v>290168</v>
      </c>
      <c r="I4641" s="454"/>
      <c r="J4641" s="368" t="s">
        <v>1798</v>
      </c>
      <c r="K4641" s="492" t="s">
        <v>741</v>
      </c>
    </row>
    <row r="4642" spans="1:11">
      <c r="A4642" s="447"/>
      <c r="B4642" s="493"/>
      <c r="C4642" s="19"/>
      <c r="D4642" s="217"/>
      <c r="E4642" s="217"/>
      <c r="F4642" s="159"/>
      <c r="G4642" s="494"/>
      <c r="H4642" s="458"/>
      <c r="I4642" s="454"/>
      <c r="J4642" s="447"/>
      <c r="K4642" s="492"/>
    </row>
    <row r="4643" spans="1:11">
      <c r="A4643" s="368"/>
      <c r="B4643" s="158" t="s">
        <v>5071</v>
      </c>
      <c r="C4643" s="19"/>
      <c r="D4643" s="217">
        <f t="shared" ref="D4643:D4656" si="597">53*1.05</f>
        <v>55.650000000000006</v>
      </c>
      <c r="E4643" s="217">
        <v>5</v>
      </c>
      <c r="F4643" s="159">
        <f t="shared" ref="F4643:F4655" si="598">D4643+E4643</f>
        <v>60.650000000000006</v>
      </c>
      <c r="G4643" s="146" t="s">
        <v>8353</v>
      </c>
      <c r="H4643" s="458">
        <v>278442</v>
      </c>
      <c r="I4643" s="454"/>
      <c r="J4643" s="368" t="s">
        <v>1798</v>
      </c>
      <c r="K4643" s="492" t="s">
        <v>741</v>
      </c>
    </row>
    <row r="4644" spans="1:11">
      <c r="A4644" s="368"/>
      <c r="B4644" s="158" t="s">
        <v>5072</v>
      </c>
      <c r="C4644" s="19"/>
      <c r="D4644" s="217">
        <f t="shared" si="597"/>
        <v>55.650000000000006</v>
      </c>
      <c r="E4644" s="217">
        <v>5</v>
      </c>
      <c r="F4644" s="159">
        <f t="shared" si="598"/>
        <v>60.650000000000006</v>
      </c>
      <c r="G4644" s="146" t="s">
        <v>8354</v>
      </c>
      <c r="H4644" s="458">
        <v>278443</v>
      </c>
      <c r="I4644" s="454"/>
      <c r="J4644" s="368" t="s">
        <v>1798</v>
      </c>
      <c r="K4644" s="492" t="s">
        <v>741</v>
      </c>
    </row>
    <row r="4645" spans="1:11">
      <c r="A4645" s="368"/>
      <c r="B4645" s="158" t="s">
        <v>5073</v>
      </c>
      <c r="C4645" s="19"/>
      <c r="D4645" s="217">
        <f t="shared" si="597"/>
        <v>55.650000000000006</v>
      </c>
      <c r="E4645" s="217">
        <v>5</v>
      </c>
      <c r="F4645" s="159">
        <f t="shared" si="598"/>
        <v>60.650000000000006</v>
      </c>
      <c r="G4645" s="146" t="s">
        <v>8355</v>
      </c>
      <c r="H4645" s="458">
        <v>278444</v>
      </c>
      <c r="I4645" s="454"/>
      <c r="J4645" s="368" t="s">
        <v>1798</v>
      </c>
      <c r="K4645" s="492" t="s">
        <v>741</v>
      </c>
    </row>
    <row r="4646" spans="1:11">
      <c r="A4646" s="368"/>
      <c r="B4646" s="158" t="s">
        <v>5074</v>
      </c>
      <c r="C4646" s="19"/>
      <c r="D4646" s="217">
        <f t="shared" si="597"/>
        <v>55.650000000000006</v>
      </c>
      <c r="E4646" s="217">
        <v>5</v>
      </c>
      <c r="F4646" s="159">
        <f t="shared" si="598"/>
        <v>60.650000000000006</v>
      </c>
      <c r="G4646" s="146" t="s">
        <v>8356</v>
      </c>
      <c r="H4646" s="458">
        <v>278445</v>
      </c>
      <c r="I4646" s="454"/>
      <c r="J4646" s="368" t="s">
        <v>1798</v>
      </c>
      <c r="K4646" s="492" t="s">
        <v>741</v>
      </c>
    </row>
    <row r="4647" spans="1:11">
      <c r="A4647" s="368"/>
      <c r="B4647" s="158" t="s">
        <v>5075</v>
      </c>
      <c r="C4647" s="19"/>
      <c r="D4647" s="217">
        <f t="shared" si="597"/>
        <v>55.650000000000006</v>
      </c>
      <c r="E4647" s="217">
        <v>5</v>
      </c>
      <c r="F4647" s="159">
        <f t="shared" si="598"/>
        <v>60.650000000000006</v>
      </c>
      <c r="G4647" s="146" t="s">
        <v>8357</v>
      </c>
      <c r="H4647" s="458">
        <v>278446</v>
      </c>
      <c r="I4647" s="454"/>
      <c r="J4647" s="368" t="s">
        <v>1798</v>
      </c>
      <c r="K4647" s="492" t="s">
        <v>741</v>
      </c>
    </row>
    <row r="4648" spans="1:11">
      <c r="A4648" s="368"/>
      <c r="B4648" s="158" t="s">
        <v>5076</v>
      </c>
      <c r="C4648" s="19"/>
      <c r="D4648" s="217">
        <f t="shared" si="597"/>
        <v>55.650000000000006</v>
      </c>
      <c r="E4648" s="217">
        <v>5</v>
      </c>
      <c r="F4648" s="159">
        <f t="shared" si="598"/>
        <v>60.650000000000006</v>
      </c>
      <c r="G4648" s="146" t="s">
        <v>8358</v>
      </c>
      <c r="H4648" s="458">
        <v>278447</v>
      </c>
      <c r="I4648" s="454"/>
      <c r="J4648" s="368" t="s">
        <v>1798</v>
      </c>
      <c r="K4648" s="492" t="s">
        <v>741</v>
      </c>
    </row>
    <row r="4649" spans="1:11">
      <c r="A4649" s="368"/>
      <c r="B4649" s="158" t="s">
        <v>5077</v>
      </c>
      <c r="C4649" s="19"/>
      <c r="D4649" s="217">
        <f t="shared" si="597"/>
        <v>55.650000000000006</v>
      </c>
      <c r="E4649" s="217">
        <v>5</v>
      </c>
      <c r="F4649" s="159">
        <f t="shared" si="598"/>
        <v>60.650000000000006</v>
      </c>
      <c r="G4649" s="146" t="s">
        <v>8359</v>
      </c>
      <c r="H4649" s="458">
        <v>278448</v>
      </c>
      <c r="I4649" s="454"/>
      <c r="J4649" s="368" t="s">
        <v>1798</v>
      </c>
      <c r="K4649" s="492" t="s">
        <v>741</v>
      </c>
    </row>
    <row r="4650" spans="1:11">
      <c r="A4650" s="368"/>
      <c r="B4650" s="158" t="s">
        <v>5078</v>
      </c>
      <c r="C4650" s="19"/>
      <c r="D4650" s="217">
        <f t="shared" si="597"/>
        <v>55.650000000000006</v>
      </c>
      <c r="E4650" s="217">
        <v>5</v>
      </c>
      <c r="F4650" s="159">
        <f t="shared" si="598"/>
        <v>60.650000000000006</v>
      </c>
      <c r="G4650" s="146" t="s">
        <v>8360</v>
      </c>
      <c r="H4650" s="458">
        <v>278449</v>
      </c>
      <c r="I4650" s="454"/>
      <c r="J4650" s="368" t="s">
        <v>1798</v>
      </c>
      <c r="K4650" s="492" t="s">
        <v>741</v>
      </c>
    </row>
    <row r="4651" spans="1:11">
      <c r="A4651" s="368"/>
      <c r="B4651" s="158" t="s">
        <v>5079</v>
      </c>
      <c r="C4651" s="19"/>
      <c r="D4651" s="217">
        <f t="shared" si="597"/>
        <v>55.650000000000006</v>
      </c>
      <c r="E4651" s="217">
        <v>5</v>
      </c>
      <c r="F4651" s="159">
        <f t="shared" si="598"/>
        <v>60.650000000000006</v>
      </c>
      <c r="G4651" s="146" t="s">
        <v>8361</v>
      </c>
      <c r="H4651" s="458">
        <v>278450</v>
      </c>
      <c r="I4651" s="454"/>
      <c r="J4651" s="368" t="s">
        <v>1798</v>
      </c>
      <c r="K4651" s="492" t="s">
        <v>741</v>
      </c>
    </row>
    <row r="4652" spans="1:11">
      <c r="A4652" s="368"/>
      <c r="B4652" s="158" t="s">
        <v>5080</v>
      </c>
      <c r="C4652" s="19"/>
      <c r="D4652" s="217">
        <f t="shared" si="597"/>
        <v>55.650000000000006</v>
      </c>
      <c r="E4652" s="217">
        <v>5</v>
      </c>
      <c r="F4652" s="159">
        <f t="shared" si="598"/>
        <v>60.650000000000006</v>
      </c>
      <c r="G4652" s="146" t="s">
        <v>8362</v>
      </c>
      <c r="H4652" s="458">
        <v>278451</v>
      </c>
      <c r="I4652" s="454"/>
      <c r="J4652" s="368" t="s">
        <v>1798</v>
      </c>
      <c r="K4652" s="492" t="s">
        <v>741</v>
      </c>
    </row>
    <row r="4653" spans="1:11">
      <c r="A4653" s="368"/>
      <c r="B4653" s="158" t="s">
        <v>5081</v>
      </c>
      <c r="C4653" s="19"/>
      <c r="D4653" s="217">
        <f t="shared" si="597"/>
        <v>55.650000000000006</v>
      </c>
      <c r="E4653" s="217">
        <v>5</v>
      </c>
      <c r="F4653" s="159">
        <f t="shared" si="598"/>
        <v>60.650000000000006</v>
      </c>
      <c r="G4653" s="146" t="s">
        <v>8363</v>
      </c>
      <c r="H4653" s="458">
        <v>278452</v>
      </c>
      <c r="I4653" s="454"/>
      <c r="J4653" s="368" t="s">
        <v>1798</v>
      </c>
      <c r="K4653" s="492" t="s">
        <v>741</v>
      </c>
    </row>
    <row r="4654" spans="1:11">
      <c r="A4654" s="368"/>
      <c r="B4654" s="158" t="s">
        <v>5082</v>
      </c>
      <c r="C4654" s="19"/>
      <c r="D4654" s="217">
        <f t="shared" si="597"/>
        <v>55.650000000000006</v>
      </c>
      <c r="E4654" s="217">
        <v>8</v>
      </c>
      <c r="F4654" s="159">
        <f t="shared" si="598"/>
        <v>63.650000000000006</v>
      </c>
      <c r="G4654" s="146" t="s">
        <v>8364</v>
      </c>
      <c r="H4654" s="458">
        <v>278453</v>
      </c>
      <c r="I4654" s="454"/>
      <c r="J4654" s="368" t="s">
        <v>1798</v>
      </c>
      <c r="K4654" s="492" t="s">
        <v>741</v>
      </c>
    </row>
    <row r="4655" spans="1:11">
      <c r="A4655" s="368"/>
      <c r="B4655" s="158" t="s">
        <v>5083</v>
      </c>
      <c r="C4655" s="19"/>
      <c r="D4655" s="217">
        <f t="shared" si="597"/>
        <v>55.650000000000006</v>
      </c>
      <c r="E4655" s="217">
        <v>8</v>
      </c>
      <c r="F4655" s="159">
        <f t="shared" si="598"/>
        <v>63.650000000000006</v>
      </c>
      <c r="G4655" s="146" t="s">
        <v>8365</v>
      </c>
      <c r="H4655" s="458">
        <v>278454</v>
      </c>
      <c r="I4655" s="454"/>
      <c r="J4655" s="368" t="s">
        <v>1798</v>
      </c>
      <c r="K4655" s="492" t="s">
        <v>741</v>
      </c>
    </row>
    <row r="4656" spans="1:11">
      <c r="A4656" s="368"/>
      <c r="B4656" s="158" t="s">
        <v>8366</v>
      </c>
      <c r="C4656" s="19"/>
      <c r="D4656" s="217">
        <f t="shared" si="597"/>
        <v>55.650000000000006</v>
      </c>
      <c r="E4656" s="217">
        <v>8</v>
      </c>
      <c r="F4656" s="159">
        <f>D4656+E4656</f>
        <v>63.650000000000006</v>
      </c>
      <c r="G4656" s="146" t="s">
        <v>8367</v>
      </c>
      <c r="H4656" s="458">
        <v>112474</v>
      </c>
      <c r="I4656" s="454"/>
      <c r="J4656" s="368" t="s">
        <v>1798</v>
      </c>
      <c r="K4656" s="492" t="s">
        <v>741</v>
      </c>
    </row>
    <row r="4657" spans="1:11" ht="14.25" customHeight="1">
      <c r="A4657" s="368"/>
      <c r="B4657" s="158" t="s">
        <v>12831</v>
      </c>
      <c r="C4657" s="19"/>
      <c r="D4657" s="217">
        <v>70</v>
      </c>
      <c r="E4657" s="217">
        <v>8</v>
      </c>
      <c r="F4657" s="159">
        <f>D4657+E4657</f>
        <v>78</v>
      </c>
      <c r="G4657" s="146" t="s">
        <v>12832</v>
      </c>
      <c r="H4657" s="458">
        <v>278458</v>
      </c>
      <c r="I4657" s="454"/>
      <c r="J4657" s="368" t="s">
        <v>1798</v>
      </c>
      <c r="K4657" s="492" t="s">
        <v>741</v>
      </c>
    </row>
    <row r="4658" spans="1:11">
      <c r="A4658" s="368"/>
      <c r="B4658" s="158"/>
      <c r="C4658" s="217"/>
      <c r="D4658" s="211"/>
      <c r="E4658" s="217"/>
      <c r="F4658" s="159"/>
      <c r="G4658" s="146"/>
      <c r="H4658" s="458"/>
      <c r="I4658" s="454"/>
      <c r="J4658" s="368"/>
      <c r="K4658" s="492"/>
    </row>
    <row r="4659" spans="1:11">
      <c r="A4659" s="368"/>
      <c r="B4659" s="158"/>
      <c r="C4659" s="217"/>
      <c r="D4659" s="211"/>
      <c r="E4659" s="217"/>
      <c r="F4659" s="159"/>
      <c r="G4659" s="146"/>
      <c r="H4659" s="458"/>
      <c r="I4659" s="454"/>
      <c r="J4659" s="368"/>
      <c r="K4659" s="492"/>
    </row>
    <row r="4660" spans="1:11">
      <c r="A4660" s="447"/>
      <c r="B4660" s="491"/>
      <c r="C4660" s="225"/>
      <c r="D4660" s="225"/>
      <c r="E4660" s="216"/>
      <c r="F4660" s="156"/>
      <c r="G4660" s="138"/>
      <c r="H4660" s="458"/>
      <c r="I4660" s="454"/>
      <c r="J4660" s="447"/>
      <c r="K4660" s="454"/>
    </row>
    <row r="4661" spans="1:11">
      <c r="A4661" s="368"/>
      <c r="B4661" s="158" t="s">
        <v>1794</v>
      </c>
      <c r="C4661" s="217"/>
      <c r="D4661" s="217">
        <v>43</v>
      </c>
      <c r="E4661" s="217">
        <v>5</v>
      </c>
      <c r="F4661" s="159">
        <f t="shared" ref="F4661:F4667" si="599">D4661+E4661</f>
        <v>48</v>
      </c>
      <c r="G4661" s="146" t="s">
        <v>8368</v>
      </c>
      <c r="H4661" s="458" t="str">
        <f>B4661</f>
        <v>XTOB1P6BC1</v>
      </c>
      <c r="I4661" s="454"/>
      <c r="J4661" s="368" t="s">
        <v>1798</v>
      </c>
      <c r="K4661" s="492" t="s">
        <v>741</v>
      </c>
    </row>
    <row r="4662" spans="1:11">
      <c r="A4662" s="368"/>
      <c r="B4662" s="158" t="s">
        <v>1793</v>
      </c>
      <c r="C4662" s="217"/>
      <c r="D4662" s="217">
        <v>43</v>
      </c>
      <c r="E4662" s="217">
        <v>5</v>
      </c>
      <c r="F4662" s="159">
        <f t="shared" si="599"/>
        <v>48</v>
      </c>
      <c r="G4662" s="146" t="s">
        <v>8369</v>
      </c>
      <c r="H4662" s="458" t="str">
        <f>B4662</f>
        <v>XTOB2P4BC1</v>
      </c>
      <c r="I4662" s="454"/>
      <c r="J4662" s="368" t="s">
        <v>1798</v>
      </c>
      <c r="K4662" s="492" t="s">
        <v>741</v>
      </c>
    </row>
    <row r="4663" spans="1:11">
      <c r="A4663" s="368"/>
      <c r="B4663" s="158" t="s">
        <v>1792</v>
      </c>
      <c r="C4663" s="217"/>
      <c r="D4663" s="217">
        <v>43</v>
      </c>
      <c r="E4663" s="217">
        <v>5</v>
      </c>
      <c r="F4663" s="159">
        <f t="shared" si="599"/>
        <v>48</v>
      </c>
      <c r="G4663" s="146" t="s">
        <v>8370</v>
      </c>
      <c r="H4663" s="458" t="str">
        <f t="shared" ref="H4663:H4695" si="600">B4663</f>
        <v>XTOB004BC1</v>
      </c>
      <c r="I4663" s="454"/>
      <c r="J4663" s="368" t="s">
        <v>1798</v>
      </c>
      <c r="K4663" s="492" t="s">
        <v>741</v>
      </c>
    </row>
    <row r="4664" spans="1:11">
      <c r="A4664" s="368"/>
      <c r="B4664" s="158" t="s">
        <v>1791</v>
      </c>
      <c r="C4664" s="217"/>
      <c r="D4664" s="217">
        <v>43</v>
      </c>
      <c r="E4664" s="217">
        <v>5</v>
      </c>
      <c r="F4664" s="159">
        <f t="shared" si="599"/>
        <v>48</v>
      </c>
      <c r="G4664" s="146" t="s">
        <v>8371</v>
      </c>
      <c r="H4664" s="458" t="str">
        <f t="shared" si="600"/>
        <v>XTOB006BC1</v>
      </c>
      <c r="I4664" s="454"/>
      <c r="J4664" s="368" t="s">
        <v>1798</v>
      </c>
      <c r="K4664" s="492" t="s">
        <v>741</v>
      </c>
    </row>
    <row r="4665" spans="1:11">
      <c r="A4665" s="368"/>
      <c r="B4665" s="158" t="s">
        <v>747</v>
      </c>
      <c r="C4665" s="217"/>
      <c r="D4665" s="217">
        <v>43</v>
      </c>
      <c r="E4665" s="217">
        <v>5</v>
      </c>
      <c r="F4665" s="159">
        <f t="shared" si="599"/>
        <v>48</v>
      </c>
      <c r="G4665" s="146" t="s">
        <v>8372</v>
      </c>
      <c r="H4665" s="458" t="str">
        <f t="shared" si="600"/>
        <v>XTOB010BC1</v>
      </c>
      <c r="I4665" s="454"/>
      <c r="J4665" s="368" t="s">
        <v>1798</v>
      </c>
      <c r="K4665" s="492" t="s">
        <v>741</v>
      </c>
    </row>
    <row r="4666" spans="1:11">
      <c r="A4666" s="368"/>
      <c r="B4666" s="158" t="s">
        <v>748</v>
      </c>
      <c r="C4666" s="217"/>
      <c r="D4666" s="217">
        <v>43</v>
      </c>
      <c r="E4666" s="217">
        <v>5</v>
      </c>
      <c r="F4666" s="159">
        <f t="shared" si="599"/>
        <v>48</v>
      </c>
      <c r="G4666" s="146" t="s">
        <v>8373</v>
      </c>
      <c r="H4666" s="458" t="str">
        <f t="shared" si="600"/>
        <v>XTOB012BC1</v>
      </c>
      <c r="I4666" s="454"/>
      <c r="J4666" s="368" t="s">
        <v>1798</v>
      </c>
      <c r="K4666" s="492" t="s">
        <v>741</v>
      </c>
    </row>
    <row r="4667" spans="1:11">
      <c r="A4667" s="368"/>
      <c r="B4667" s="158" t="s">
        <v>749</v>
      </c>
      <c r="C4667" s="217"/>
      <c r="D4667" s="217">
        <v>43</v>
      </c>
      <c r="E4667" s="217">
        <v>5</v>
      </c>
      <c r="F4667" s="159">
        <f t="shared" si="599"/>
        <v>48</v>
      </c>
      <c r="G4667" s="146" t="s">
        <v>8374</v>
      </c>
      <c r="H4667" s="458" t="str">
        <f t="shared" si="600"/>
        <v>XTOB016BC1</v>
      </c>
      <c r="I4667" s="454"/>
      <c r="J4667" s="368" t="s">
        <v>1798</v>
      </c>
      <c r="K4667" s="492" t="s">
        <v>741</v>
      </c>
    </row>
    <row r="4668" spans="1:11">
      <c r="A4668" s="447"/>
      <c r="B4668" s="493"/>
      <c r="C4668" s="217"/>
      <c r="D4668" s="217"/>
      <c r="E4668" s="217"/>
      <c r="F4668" s="159"/>
      <c r="G4668" s="494"/>
      <c r="H4668" s="458"/>
      <c r="I4668" s="454"/>
      <c r="J4668" s="447"/>
      <c r="K4668" s="492"/>
    </row>
    <row r="4669" spans="1:11">
      <c r="A4669" s="368"/>
      <c r="B4669" s="158" t="s">
        <v>8375</v>
      </c>
      <c r="C4669" s="217"/>
      <c r="D4669" s="217">
        <v>53</v>
      </c>
      <c r="E4669" s="217">
        <v>8</v>
      </c>
      <c r="F4669" s="159">
        <f>D4669+E4669</f>
        <v>61</v>
      </c>
      <c r="G4669" s="146" t="s">
        <v>8376</v>
      </c>
      <c r="H4669" s="458" t="str">
        <f>B4669</f>
        <v>XTOB016CC1</v>
      </c>
      <c r="I4669" s="454"/>
      <c r="J4669" s="368" t="s">
        <v>8377</v>
      </c>
      <c r="K4669" s="492" t="s">
        <v>741</v>
      </c>
    </row>
    <row r="4670" spans="1:11">
      <c r="A4670" s="368"/>
      <c r="B4670" s="158" t="s">
        <v>2450</v>
      </c>
      <c r="C4670" s="217"/>
      <c r="D4670" s="217">
        <v>53</v>
      </c>
      <c r="E4670" s="217">
        <v>8</v>
      </c>
      <c r="F4670" s="159">
        <f>D4670+E4670</f>
        <v>61</v>
      </c>
      <c r="G4670" s="146" t="s">
        <v>8378</v>
      </c>
      <c r="H4670" s="458" t="str">
        <f t="shared" si="600"/>
        <v>XTOB024CC1</v>
      </c>
      <c r="I4670" s="454"/>
      <c r="J4670" s="368" t="s">
        <v>1798</v>
      </c>
      <c r="K4670" s="492" t="s">
        <v>741</v>
      </c>
    </row>
    <row r="4671" spans="1:11">
      <c r="A4671" s="368"/>
      <c r="B4671" s="158" t="s">
        <v>2451</v>
      </c>
      <c r="C4671" s="217"/>
      <c r="D4671" s="217">
        <v>53</v>
      </c>
      <c r="E4671" s="217">
        <v>8</v>
      </c>
      <c r="F4671" s="159">
        <f>D4671+E4671</f>
        <v>61</v>
      </c>
      <c r="G4671" s="146" t="s">
        <v>8379</v>
      </c>
      <c r="H4671" s="458" t="str">
        <f t="shared" si="600"/>
        <v>XTOB032CC1</v>
      </c>
      <c r="I4671" s="454"/>
      <c r="J4671" s="368" t="s">
        <v>1798</v>
      </c>
      <c r="K4671" s="492" t="s">
        <v>741</v>
      </c>
    </row>
    <row r="4672" spans="1:11">
      <c r="A4672" s="368"/>
      <c r="B4672" s="158"/>
      <c r="C4672" s="217"/>
      <c r="D4672" s="217"/>
      <c r="E4672" s="217"/>
      <c r="F4672" s="159"/>
      <c r="G4672" s="146"/>
      <c r="H4672" s="458"/>
      <c r="I4672" s="454"/>
      <c r="J4672" s="368"/>
      <c r="K4672" s="492"/>
    </row>
    <row r="4673" spans="1:11">
      <c r="A4673" s="368"/>
      <c r="B4673" s="158" t="s">
        <v>8380</v>
      </c>
      <c r="C4673" s="217"/>
      <c r="D4673" s="217">
        <v>60</v>
      </c>
      <c r="E4673" s="217">
        <v>8</v>
      </c>
      <c r="F4673" s="159">
        <f>D4673+E4673</f>
        <v>68</v>
      </c>
      <c r="G4673" s="146" t="s">
        <v>8381</v>
      </c>
      <c r="H4673" s="458" t="str">
        <f>B4673</f>
        <v>XTOB040DC1</v>
      </c>
      <c r="I4673" s="454"/>
      <c r="J4673" s="368" t="s">
        <v>1798</v>
      </c>
      <c r="K4673" s="492" t="s">
        <v>741</v>
      </c>
    </row>
    <row r="4674" spans="1:11">
      <c r="A4674" s="368"/>
      <c r="B4674" s="158" t="s">
        <v>8382</v>
      </c>
      <c r="C4674" s="217"/>
      <c r="D4674" s="217">
        <v>120</v>
      </c>
      <c r="E4674" s="217">
        <v>8</v>
      </c>
      <c r="F4674" s="159">
        <f>D4674+E4674</f>
        <v>128</v>
      </c>
      <c r="G4674" s="146" t="s">
        <v>8383</v>
      </c>
      <c r="H4674" s="458" t="str">
        <f>B4674</f>
        <v>XTOB057DC1</v>
      </c>
      <c r="I4674" s="454"/>
      <c r="J4674" s="368" t="s">
        <v>1798</v>
      </c>
      <c r="K4674" s="492" t="s">
        <v>741</v>
      </c>
    </row>
    <row r="4675" spans="1:11">
      <c r="A4675" s="368"/>
      <c r="B4675" s="158" t="s">
        <v>8384</v>
      </c>
      <c r="C4675" s="217"/>
      <c r="D4675" s="217">
        <v>120</v>
      </c>
      <c r="E4675" s="217">
        <v>8</v>
      </c>
      <c r="F4675" s="159">
        <f>D4675+E4675</f>
        <v>128</v>
      </c>
      <c r="G4675" s="146" t="s">
        <v>8385</v>
      </c>
      <c r="H4675" s="458" t="str">
        <f>B4675</f>
        <v>XTOB065DC1</v>
      </c>
      <c r="I4675" s="454"/>
      <c r="J4675" s="368" t="s">
        <v>1798</v>
      </c>
      <c r="K4675" s="492" t="s">
        <v>741</v>
      </c>
    </row>
    <row r="4676" spans="1:11">
      <c r="A4676" s="368"/>
      <c r="B4676" s="158"/>
      <c r="C4676" s="217"/>
      <c r="D4676" s="217"/>
      <c r="E4676" s="217"/>
      <c r="F4676" s="159"/>
      <c r="G4676" s="146"/>
      <c r="H4676" s="458"/>
      <c r="I4676" s="454"/>
      <c r="J4676" s="368"/>
      <c r="K4676" s="492"/>
    </row>
    <row r="4677" spans="1:11">
      <c r="A4677" s="368"/>
      <c r="B4677" s="158" t="s">
        <v>9737</v>
      </c>
      <c r="C4677" s="217"/>
      <c r="D4677" s="217">
        <v>113</v>
      </c>
      <c r="E4677" s="217">
        <v>8</v>
      </c>
      <c r="F4677" s="159">
        <f t="shared" ref="F4677:F4682" si="601">D4677+E4677</f>
        <v>121</v>
      </c>
      <c r="G4677" s="146" t="s">
        <v>9738</v>
      </c>
      <c r="H4677" s="458" t="str">
        <f t="shared" ref="H4677:H4682" si="602">B4677</f>
        <v>XTOB035GC1</v>
      </c>
      <c r="I4677" s="454"/>
      <c r="J4677" s="368" t="s">
        <v>1798</v>
      </c>
      <c r="K4677" s="492" t="s">
        <v>741</v>
      </c>
    </row>
    <row r="4678" spans="1:11">
      <c r="A4678" s="368"/>
      <c r="B4678" s="158" t="s">
        <v>9739</v>
      </c>
      <c r="C4678" s="217"/>
      <c r="D4678" s="217">
        <v>113</v>
      </c>
      <c r="E4678" s="217">
        <v>8</v>
      </c>
      <c r="F4678" s="159">
        <f t="shared" si="601"/>
        <v>121</v>
      </c>
      <c r="G4678" s="146" t="s">
        <v>9740</v>
      </c>
      <c r="H4678" s="458" t="str">
        <f t="shared" si="602"/>
        <v>XTOB050GC1</v>
      </c>
      <c r="I4678" s="454"/>
      <c r="J4678" s="368" t="s">
        <v>1798</v>
      </c>
      <c r="K4678" s="492" t="s">
        <v>741</v>
      </c>
    </row>
    <row r="4679" spans="1:11">
      <c r="A4679" s="368"/>
      <c r="B4679" s="158" t="s">
        <v>9741</v>
      </c>
      <c r="C4679" s="217"/>
      <c r="D4679" s="217">
        <v>140</v>
      </c>
      <c r="E4679" s="217">
        <v>8</v>
      </c>
      <c r="F4679" s="159">
        <f t="shared" si="601"/>
        <v>148</v>
      </c>
      <c r="G4679" s="146" t="s">
        <v>9742</v>
      </c>
      <c r="H4679" s="458" t="str">
        <f t="shared" si="602"/>
        <v>XTOB070GC1</v>
      </c>
      <c r="I4679" s="454"/>
      <c r="J4679" s="368" t="s">
        <v>1798</v>
      </c>
      <c r="K4679" s="492" t="s">
        <v>741</v>
      </c>
    </row>
    <row r="4680" spans="1:11">
      <c r="A4680" s="368"/>
      <c r="B4680" s="158" t="s">
        <v>9743</v>
      </c>
      <c r="C4680" s="217"/>
      <c r="D4680" s="217">
        <v>195</v>
      </c>
      <c r="E4680" s="217">
        <v>8</v>
      </c>
      <c r="F4680" s="159">
        <f t="shared" si="601"/>
        <v>203</v>
      </c>
      <c r="G4680" s="146" t="s">
        <v>9744</v>
      </c>
      <c r="H4680" s="458" t="str">
        <f t="shared" si="602"/>
        <v>XTOB100GC1</v>
      </c>
      <c r="I4680" s="454"/>
      <c r="J4680" s="368" t="s">
        <v>1798</v>
      </c>
      <c r="K4680" s="492" t="s">
        <v>741</v>
      </c>
    </row>
    <row r="4681" spans="1:11">
      <c r="A4681" s="368"/>
      <c r="B4681" s="158" t="s">
        <v>9745</v>
      </c>
      <c r="C4681" s="217"/>
      <c r="D4681" s="217">
        <v>195</v>
      </c>
      <c r="E4681" s="217">
        <v>8</v>
      </c>
      <c r="F4681" s="159">
        <f t="shared" si="601"/>
        <v>203</v>
      </c>
      <c r="G4681" s="146" t="s">
        <v>9746</v>
      </c>
      <c r="H4681" s="458" t="str">
        <f t="shared" si="602"/>
        <v>XTOB125GC1</v>
      </c>
      <c r="I4681" s="454"/>
      <c r="J4681" s="368" t="s">
        <v>1798</v>
      </c>
      <c r="K4681" s="492" t="s">
        <v>741</v>
      </c>
    </row>
    <row r="4682" spans="1:11">
      <c r="A4682" s="368"/>
      <c r="B4682" s="158" t="s">
        <v>9747</v>
      </c>
      <c r="C4682" s="217"/>
      <c r="D4682" s="217">
        <v>195</v>
      </c>
      <c r="E4682" s="217">
        <v>8</v>
      </c>
      <c r="F4682" s="159">
        <f t="shared" si="601"/>
        <v>203</v>
      </c>
      <c r="G4682" s="146" t="s">
        <v>9748</v>
      </c>
      <c r="H4682" s="458" t="str">
        <f t="shared" si="602"/>
        <v>XTOB150GC1</v>
      </c>
      <c r="I4682" s="454"/>
      <c r="J4682" s="368" t="s">
        <v>1798</v>
      </c>
      <c r="K4682" s="492" t="s">
        <v>741</v>
      </c>
    </row>
    <row r="4683" spans="1:11">
      <c r="A4683" s="368"/>
      <c r="B4683" s="158"/>
      <c r="C4683" s="217"/>
      <c r="D4683" s="217"/>
      <c r="E4683" s="217"/>
      <c r="F4683" s="159"/>
      <c r="G4683" s="146"/>
      <c r="H4683" s="458"/>
      <c r="I4683" s="454"/>
      <c r="J4683" s="368"/>
      <c r="K4683" s="492"/>
    </row>
    <row r="4684" spans="1:11">
      <c r="A4684" s="368"/>
      <c r="B4684" s="158" t="s">
        <v>9749</v>
      </c>
      <c r="C4684" s="217"/>
      <c r="D4684" s="217">
        <v>385</v>
      </c>
      <c r="E4684" s="217">
        <v>8</v>
      </c>
      <c r="F4684" s="159">
        <f>D4684+E4684</f>
        <v>393</v>
      </c>
      <c r="G4684" s="146" t="s">
        <v>9750</v>
      </c>
      <c r="H4684" s="458" t="str">
        <f t="shared" ref="H4684:H4688" si="603">B4684</f>
        <v>XTOB100LC1</v>
      </c>
      <c r="I4684" s="454"/>
      <c r="J4684" s="368" t="s">
        <v>1798</v>
      </c>
      <c r="K4684" s="492" t="s">
        <v>741</v>
      </c>
    </row>
    <row r="4685" spans="1:11">
      <c r="A4685" s="368"/>
      <c r="B4685" s="158" t="s">
        <v>9751</v>
      </c>
      <c r="C4685" s="217"/>
      <c r="D4685" s="217">
        <v>385</v>
      </c>
      <c r="E4685" s="217">
        <v>8</v>
      </c>
      <c r="F4685" s="159">
        <f>D4685+E4685</f>
        <v>393</v>
      </c>
      <c r="G4685" s="146" t="s">
        <v>9752</v>
      </c>
      <c r="H4685" s="458" t="str">
        <f t="shared" si="603"/>
        <v>XTOB125LC1</v>
      </c>
      <c r="I4685" s="454"/>
      <c r="J4685" s="368" t="s">
        <v>1798</v>
      </c>
      <c r="K4685" s="492" t="s">
        <v>741</v>
      </c>
    </row>
    <row r="4686" spans="1:11">
      <c r="A4686" s="368"/>
      <c r="B4686" s="158" t="s">
        <v>9753</v>
      </c>
      <c r="C4686" s="217"/>
      <c r="D4686" s="217">
        <v>385</v>
      </c>
      <c r="E4686" s="217">
        <v>8</v>
      </c>
      <c r="F4686" s="159">
        <f>D4686+E4686</f>
        <v>393</v>
      </c>
      <c r="G4686" s="146" t="s">
        <v>9754</v>
      </c>
      <c r="H4686" s="458" t="str">
        <f t="shared" si="603"/>
        <v>XTOB160LC1</v>
      </c>
      <c r="I4686" s="454"/>
      <c r="J4686" s="368" t="s">
        <v>1798</v>
      </c>
      <c r="K4686" s="492" t="s">
        <v>741</v>
      </c>
    </row>
    <row r="4687" spans="1:11">
      <c r="A4687" s="368"/>
      <c r="B4687" s="158" t="s">
        <v>9755</v>
      </c>
      <c r="C4687" s="217"/>
      <c r="D4687" s="217">
        <v>405</v>
      </c>
      <c r="E4687" s="217">
        <v>8</v>
      </c>
      <c r="F4687" s="159">
        <f>D4687+E4687</f>
        <v>413</v>
      </c>
      <c r="G4687" s="146" t="s">
        <v>9756</v>
      </c>
      <c r="H4687" s="458" t="str">
        <f t="shared" si="603"/>
        <v>XTOB220LC1</v>
      </c>
      <c r="I4687" s="454"/>
      <c r="J4687" s="368" t="s">
        <v>1798</v>
      </c>
      <c r="K4687" s="492" t="s">
        <v>741</v>
      </c>
    </row>
    <row r="4688" spans="1:11">
      <c r="A4688" s="368"/>
      <c r="B4688" s="158" t="s">
        <v>9757</v>
      </c>
      <c r="C4688" s="217"/>
      <c r="D4688" s="217">
        <v>405</v>
      </c>
      <c r="E4688" s="217">
        <v>8</v>
      </c>
      <c r="F4688" s="159">
        <f>D4688+E4688</f>
        <v>413</v>
      </c>
      <c r="G4688" s="146" t="s">
        <v>9758</v>
      </c>
      <c r="H4688" s="458" t="str">
        <f t="shared" si="603"/>
        <v>XTOB250LC1</v>
      </c>
      <c r="I4688" s="454"/>
      <c r="J4688" s="368" t="s">
        <v>1798</v>
      </c>
      <c r="K4688" s="492" t="s">
        <v>741</v>
      </c>
    </row>
    <row r="4689" spans="1:11">
      <c r="A4689" s="368"/>
      <c r="B4689" s="158"/>
      <c r="C4689" s="217"/>
      <c r="D4689" s="217"/>
      <c r="E4689" s="217"/>
      <c r="F4689" s="159"/>
      <c r="G4689" s="146"/>
      <c r="H4689" s="458"/>
      <c r="I4689" s="454"/>
      <c r="J4689" s="368"/>
      <c r="K4689" s="492"/>
    </row>
    <row r="4690" spans="1:11">
      <c r="A4690" s="447"/>
      <c r="B4690" s="493"/>
      <c r="C4690" s="217"/>
      <c r="D4690" s="217"/>
      <c r="E4690" s="217"/>
      <c r="F4690" s="159"/>
      <c r="G4690" s="494"/>
      <c r="H4690" s="458"/>
      <c r="I4690" s="454"/>
      <c r="J4690" s="447"/>
      <c r="K4690" s="492"/>
    </row>
    <row r="4691" spans="1:11">
      <c r="A4691" s="422"/>
      <c r="B4691" s="158" t="s">
        <v>1790</v>
      </c>
      <c r="C4691" s="217"/>
      <c r="D4691" s="217">
        <v>11</v>
      </c>
      <c r="E4691" s="217">
        <v>1</v>
      </c>
      <c r="F4691" s="159">
        <f>D4691+E4691</f>
        <v>12</v>
      </c>
      <c r="G4691" s="146" t="s">
        <v>2540</v>
      </c>
      <c r="H4691" s="458" t="str">
        <f t="shared" si="600"/>
        <v>XTCEXVSBB</v>
      </c>
      <c r="I4691" s="454"/>
      <c r="J4691" s="368" t="s">
        <v>5965</v>
      </c>
      <c r="K4691" s="492" t="s">
        <v>741</v>
      </c>
    </row>
    <row r="4692" spans="1:11">
      <c r="A4692" s="368"/>
      <c r="B4692" s="158"/>
      <c r="C4692" s="217"/>
      <c r="D4692" s="217"/>
      <c r="E4692" s="217"/>
      <c r="F4692" s="159"/>
      <c r="G4692" s="146"/>
      <c r="H4692" s="458"/>
      <c r="I4692" s="454"/>
      <c r="J4692" s="368"/>
      <c r="K4692" s="492"/>
    </row>
    <row r="4693" spans="1:11">
      <c r="A4693" s="447"/>
      <c r="B4693" s="493"/>
      <c r="C4693" s="217"/>
      <c r="D4693" s="217"/>
      <c r="E4693" s="217"/>
      <c r="F4693" s="159"/>
      <c r="G4693" s="494"/>
      <c r="H4693" s="458"/>
      <c r="I4693" s="454"/>
      <c r="J4693" s="447"/>
      <c r="K4693" s="492"/>
    </row>
    <row r="4694" spans="1:11">
      <c r="A4694" s="368"/>
      <c r="B4694" s="158"/>
      <c r="C4694" s="217"/>
      <c r="D4694" s="217"/>
      <c r="E4694" s="217"/>
      <c r="F4694" s="159"/>
      <c r="G4694" s="160"/>
      <c r="H4694" s="458"/>
      <c r="I4694" s="454"/>
      <c r="J4694" s="368"/>
      <c r="K4694" s="492"/>
    </row>
    <row r="4695" spans="1:11">
      <c r="A4695" s="368"/>
      <c r="B4695" s="158" t="s">
        <v>5966</v>
      </c>
      <c r="C4695" s="217"/>
      <c r="D4695" s="217">
        <v>50</v>
      </c>
      <c r="E4695" s="217">
        <v>5</v>
      </c>
      <c r="F4695" s="159">
        <f>D4695+E4695</f>
        <v>55</v>
      </c>
      <c r="G4695" s="160" t="s">
        <v>5967</v>
      </c>
      <c r="H4695" s="458" t="str">
        <f t="shared" si="600"/>
        <v>XTRE010B22B + XTCEXFCA22</v>
      </c>
      <c r="I4695" s="454"/>
      <c r="J4695" s="368" t="s">
        <v>1798</v>
      </c>
      <c r="K4695" s="492" t="s">
        <v>741</v>
      </c>
    </row>
    <row r="4696" spans="1:11">
      <c r="A4696" s="368"/>
      <c r="B4696" s="158"/>
      <c r="C4696" s="217"/>
      <c r="D4696" s="217"/>
      <c r="E4696" s="217"/>
      <c r="F4696" s="159"/>
      <c r="G4696" s="160"/>
      <c r="H4696" s="458"/>
      <c r="I4696" s="454"/>
      <c r="J4696" s="368"/>
      <c r="K4696" s="492"/>
    </row>
    <row r="4697" spans="1:11">
      <c r="A4697" s="368"/>
      <c r="B4697" s="158"/>
      <c r="C4697" s="217"/>
      <c r="D4697" s="217"/>
      <c r="E4697" s="217"/>
      <c r="F4697" s="159"/>
      <c r="G4697" s="160"/>
      <c r="H4697" s="1683"/>
      <c r="I4697" s="454"/>
      <c r="J4697" s="368"/>
      <c r="K4697" s="492"/>
    </row>
    <row r="4698" spans="1:11">
      <c r="A4698" s="368"/>
      <c r="B4698" s="158"/>
      <c r="C4698" s="217"/>
      <c r="D4698" s="217"/>
      <c r="E4698" s="217"/>
      <c r="F4698" s="159"/>
      <c r="G4698" s="160"/>
      <c r="H4698" s="1683"/>
      <c r="I4698" s="454"/>
      <c r="J4698" s="368"/>
      <c r="K4698" s="492"/>
    </row>
    <row r="4699" spans="1:11">
      <c r="A4699" s="1408"/>
      <c r="B4699" s="158" t="s">
        <v>8396</v>
      </c>
      <c r="C4699" s="19"/>
      <c r="D4699" s="217">
        <v>52</v>
      </c>
      <c r="E4699" s="217">
        <v>5</v>
      </c>
      <c r="F4699" s="159">
        <f>D4699+E4699</f>
        <v>57</v>
      </c>
      <c r="G4699" s="146" t="s">
        <v>8397</v>
      </c>
      <c r="H4699" s="458" t="str">
        <f>B4699</f>
        <v>PKZM0-6,3</v>
      </c>
      <c r="I4699" s="454"/>
      <c r="J4699" s="368" t="s">
        <v>1798</v>
      </c>
      <c r="K4699" s="492" t="s">
        <v>741</v>
      </c>
    </row>
    <row r="4700" spans="1:11">
      <c r="A4700" s="368"/>
      <c r="B4700" s="158"/>
      <c r="C4700" s="217"/>
      <c r="D4700" s="217"/>
      <c r="E4700" s="217"/>
      <c r="F4700" s="159"/>
      <c r="G4700" s="160"/>
      <c r="H4700" s="473"/>
      <c r="I4700" s="454"/>
      <c r="J4700" s="368"/>
      <c r="K4700" s="492"/>
    </row>
    <row r="4701" spans="1:11">
      <c r="A4701" s="1529"/>
      <c r="B4701" s="158" t="s">
        <v>8398</v>
      </c>
      <c r="C4701" s="19"/>
      <c r="D4701" s="217">
        <v>36.4</v>
      </c>
      <c r="E4701" s="217">
        <v>5</v>
      </c>
      <c r="F4701" s="159">
        <f t="shared" ref="F4701:F4712" si="604">D4701+E4701</f>
        <v>41.4</v>
      </c>
      <c r="G4701" s="146" t="s">
        <v>8399</v>
      </c>
      <c r="H4701" s="458" t="str">
        <f t="shared" ref="H4701:H4712" si="605">B4701</f>
        <v>PKZM01-0,16</v>
      </c>
      <c r="I4701" s="454"/>
      <c r="J4701" s="368" t="s">
        <v>1798</v>
      </c>
      <c r="K4701" s="492" t="s">
        <v>741</v>
      </c>
    </row>
    <row r="4702" spans="1:11">
      <c r="A4702" s="1529"/>
      <c r="B4702" s="158" t="s">
        <v>8400</v>
      </c>
      <c r="C4702" s="19"/>
      <c r="D4702" s="217">
        <v>36.4</v>
      </c>
      <c r="E4702" s="217">
        <v>5</v>
      </c>
      <c r="F4702" s="159">
        <f t="shared" si="604"/>
        <v>41.4</v>
      </c>
      <c r="G4702" s="146" t="s">
        <v>8401</v>
      </c>
      <c r="H4702" s="458" t="str">
        <f t="shared" si="605"/>
        <v>PKZM01-0,25</v>
      </c>
      <c r="I4702" s="454"/>
      <c r="J4702" s="368" t="s">
        <v>1798</v>
      </c>
      <c r="K4702" s="492" t="s">
        <v>741</v>
      </c>
    </row>
    <row r="4703" spans="1:11">
      <c r="A4703" s="1529"/>
      <c r="B4703" s="158" t="s">
        <v>8402</v>
      </c>
      <c r="C4703" s="19"/>
      <c r="D4703" s="217">
        <v>36.4</v>
      </c>
      <c r="E4703" s="217">
        <v>5</v>
      </c>
      <c r="F4703" s="159">
        <f t="shared" si="604"/>
        <v>41.4</v>
      </c>
      <c r="G4703" s="146" t="s">
        <v>8403</v>
      </c>
      <c r="H4703" s="458" t="str">
        <f t="shared" si="605"/>
        <v>PKZM01-0,4</v>
      </c>
      <c r="I4703" s="454"/>
      <c r="J4703" s="368" t="s">
        <v>1798</v>
      </c>
      <c r="K4703" s="492" t="s">
        <v>741</v>
      </c>
    </row>
    <row r="4704" spans="1:11">
      <c r="A4704" s="1529"/>
      <c r="B4704" s="158" t="s">
        <v>8404</v>
      </c>
      <c r="C4704" s="19"/>
      <c r="D4704" s="217">
        <v>40.4</v>
      </c>
      <c r="E4704" s="217">
        <v>5</v>
      </c>
      <c r="F4704" s="159">
        <f t="shared" si="604"/>
        <v>45.4</v>
      </c>
      <c r="G4704" s="146" t="s">
        <v>8405</v>
      </c>
      <c r="H4704" s="458" t="str">
        <f t="shared" si="605"/>
        <v>PKZM01-0,63</v>
      </c>
      <c r="I4704" s="454"/>
      <c r="J4704" s="368" t="s">
        <v>1798</v>
      </c>
      <c r="K4704" s="492" t="s">
        <v>741</v>
      </c>
    </row>
    <row r="4705" spans="1:11">
      <c r="A4705" s="1529"/>
      <c r="B4705" s="158" t="s">
        <v>8406</v>
      </c>
      <c r="C4705" s="19"/>
      <c r="D4705" s="217">
        <v>40.4</v>
      </c>
      <c r="E4705" s="217">
        <v>5</v>
      </c>
      <c r="F4705" s="159">
        <f t="shared" si="604"/>
        <v>45.4</v>
      </c>
      <c r="G4705" s="146" t="s">
        <v>8407</v>
      </c>
      <c r="H4705" s="458" t="str">
        <f t="shared" si="605"/>
        <v>PKZM01-1</v>
      </c>
      <c r="I4705" s="454"/>
      <c r="J4705" s="368" t="s">
        <v>1798</v>
      </c>
      <c r="K4705" s="492" t="s">
        <v>741</v>
      </c>
    </row>
    <row r="4706" spans="1:11">
      <c r="A4706" s="1529"/>
      <c r="B4706" s="158" t="s">
        <v>8408</v>
      </c>
      <c r="C4706" s="19"/>
      <c r="D4706" s="217">
        <v>40.4</v>
      </c>
      <c r="E4706" s="217">
        <v>5</v>
      </c>
      <c r="F4706" s="159">
        <f t="shared" si="604"/>
        <v>45.4</v>
      </c>
      <c r="G4706" s="146" t="s">
        <v>8409</v>
      </c>
      <c r="H4706" s="458" t="str">
        <f t="shared" si="605"/>
        <v>PKZM01-1,6</v>
      </c>
      <c r="I4706" s="454"/>
      <c r="J4706" s="368" t="s">
        <v>1798</v>
      </c>
      <c r="K4706" s="492" t="s">
        <v>741</v>
      </c>
    </row>
    <row r="4707" spans="1:11">
      <c r="A4707" s="1529"/>
      <c r="B4707" s="158" t="s">
        <v>8410</v>
      </c>
      <c r="C4707" s="19"/>
      <c r="D4707" s="217">
        <v>43.7</v>
      </c>
      <c r="E4707" s="217">
        <v>5</v>
      </c>
      <c r="F4707" s="159">
        <f t="shared" si="604"/>
        <v>48.7</v>
      </c>
      <c r="G4707" s="146" t="s">
        <v>8411</v>
      </c>
      <c r="H4707" s="458" t="str">
        <f t="shared" si="605"/>
        <v>PKZM01-2,5</v>
      </c>
      <c r="I4707" s="454"/>
      <c r="J4707" s="368" t="s">
        <v>1798</v>
      </c>
      <c r="K4707" s="492" t="s">
        <v>741</v>
      </c>
    </row>
    <row r="4708" spans="1:11">
      <c r="A4708" s="1529"/>
      <c r="B4708" s="158" t="s">
        <v>8412</v>
      </c>
      <c r="C4708" s="19"/>
      <c r="D4708" s="217">
        <v>43.7</v>
      </c>
      <c r="E4708" s="217">
        <v>5</v>
      </c>
      <c r="F4708" s="159">
        <f t="shared" si="604"/>
        <v>48.7</v>
      </c>
      <c r="G4708" s="146" t="s">
        <v>8413</v>
      </c>
      <c r="H4708" s="458" t="str">
        <f t="shared" si="605"/>
        <v>PKZM01-4</v>
      </c>
      <c r="I4708" s="454"/>
      <c r="J4708" s="368" t="s">
        <v>1798</v>
      </c>
      <c r="K4708" s="492" t="s">
        <v>741</v>
      </c>
    </row>
    <row r="4709" spans="1:11">
      <c r="A4709" s="1529"/>
      <c r="B4709" s="158" t="s">
        <v>8414</v>
      </c>
      <c r="C4709" s="19"/>
      <c r="D4709" s="217">
        <v>43.7</v>
      </c>
      <c r="E4709" s="217">
        <v>5</v>
      </c>
      <c r="F4709" s="159">
        <f t="shared" si="604"/>
        <v>48.7</v>
      </c>
      <c r="G4709" s="146" t="s">
        <v>8415</v>
      </c>
      <c r="H4709" s="458" t="str">
        <f t="shared" si="605"/>
        <v>PKZM01-6,3</v>
      </c>
      <c r="I4709" s="454"/>
      <c r="J4709" s="368" t="s">
        <v>1798</v>
      </c>
      <c r="K4709" s="492" t="s">
        <v>741</v>
      </c>
    </row>
    <row r="4710" spans="1:11">
      <c r="A4710" s="1529"/>
      <c r="B4710" s="158" t="s">
        <v>8416</v>
      </c>
      <c r="C4710" s="19"/>
      <c r="D4710" s="217">
        <v>51</v>
      </c>
      <c r="E4710" s="217">
        <v>5</v>
      </c>
      <c r="F4710" s="159">
        <f t="shared" si="604"/>
        <v>56</v>
      </c>
      <c r="G4710" s="146" t="s">
        <v>8417</v>
      </c>
      <c r="H4710" s="458" t="str">
        <f t="shared" si="605"/>
        <v>PKZM01-10</v>
      </c>
      <c r="I4710" s="454"/>
      <c r="J4710" s="368" t="s">
        <v>1798</v>
      </c>
      <c r="K4710" s="492" t="s">
        <v>741</v>
      </c>
    </row>
    <row r="4711" spans="1:11">
      <c r="A4711" s="1529"/>
      <c r="B4711" s="158" t="s">
        <v>8418</v>
      </c>
      <c r="C4711" s="19"/>
      <c r="D4711" s="217">
        <v>51.5</v>
      </c>
      <c r="E4711" s="217">
        <v>5</v>
      </c>
      <c r="F4711" s="159">
        <f t="shared" si="604"/>
        <v>56.5</v>
      </c>
      <c r="G4711" s="146" t="s">
        <v>8419</v>
      </c>
      <c r="H4711" s="458" t="str">
        <f t="shared" si="605"/>
        <v>PKZM01-12</v>
      </c>
      <c r="I4711" s="454"/>
      <c r="J4711" s="368" t="s">
        <v>1798</v>
      </c>
      <c r="K4711" s="492" t="s">
        <v>741</v>
      </c>
    </row>
    <row r="4712" spans="1:11">
      <c r="A4712" s="1529"/>
      <c r="B4712" s="158" t="s">
        <v>8420</v>
      </c>
      <c r="C4712" s="19"/>
      <c r="D4712" s="217">
        <v>51</v>
      </c>
      <c r="E4712" s="217">
        <v>5</v>
      </c>
      <c r="F4712" s="159">
        <f t="shared" si="604"/>
        <v>56</v>
      </c>
      <c r="G4712" s="146" t="s">
        <v>8421</v>
      </c>
      <c r="H4712" s="458" t="str">
        <f t="shared" si="605"/>
        <v>PKZM01-16</v>
      </c>
      <c r="I4712" s="454"/>
      <c r="J4712" s="368" t="s">
        <v>1798</v>
      </c>
      <c r="K4712" s="492" t="s">
        <v>741</v>
      </c>
    </row>
    <row r="4713" spans="1:11">
      <c r="A4713" s="368"/>
      <c r="B4713" s="158"/>
      <c r="C4713" s="217"/>
      <c r="D4713" s="217"/>
      <c r="E4713" s="217"/>
      <c r="F4713" s="159"/>
      <c r="G4713" s="160"/>
      <c r="H4713" s="473"/>
      <c r="I4713" s="454"/>
      <c r="J4713" s="368"/>
      <c r="K4713" s="492"/>
    </row>
    <row r="4714" spans="1:11">
      <c r="A4714" s="102"/>
      <c r="B4714" s="495"/>
      <c r="C4714" s="495"/>
      <c r="D4714" s="495"/>
      <c r="E4714" s="495"/>
      <c r="F4714" s="495"/>
      <c r="G4714" s="495"/>
      <c r="H4714" s="194"/>
      <c r="I4714" s="102"/>
      <c r="J4714" s="102"/>
      <c r="K4714" s="102"/>
    </row>
    <row r="4715" spans="1:11">
      <c r="A4715" s="102"/>
      <c r="B4715" s="495"/>
      <c r="C4715" s="495"/>
      <c r="D4715" s="495"/>
      <c r="E4715" s="495"/>
      <c r="F4715" s="495"/>
      <c r="G4715" s="495"/>
      <c r="H4715" s="194"/>
      <c r="I4715" s="102"/>
      <c r="J4715" s="102"/>
      <c r="K4715" s="102"/>
    </row>
    <row r="4716" spans="1:11">
      <c r="A4716" s="102"/>
      <c r="B4716" s="496" t="s">
        <v>1854</v>
      </c>
      <c r="C4716" s="401"/>
      <c r="D4716" s="401">
        <f>0.6*170</f>
        <v>102</v>
      </c>
      <c r="E4716" s="401">
        <v>5</v>
      </c>
      <c r="F4716" s="498">
        <f t="shared" ref="F4716:F4723" si="606">D4716+E4716</f>
        <v>107</v>
      </c>
      <c r="G4716" s="499" t="s">
        <v>5150</v>
      </c>
      <c r="H4716" s="1683" t="str">
        <f t="shared" ref="H4716:H4723" si="607">B4716</f>
        <v>XTCF020B00B</v>
      </c>
      <c r="I4716" s="454"/>
      <c r="J4716" s="102" t="s">
        <v>1798</v>
      </c>
      <c r="K4716" s="492" t="s">
        <v>741</v>
      </c>
    </row>
    <row r="4717" spans="1:11" s="185" customFormat="1">
      <c r="A4717" s="102"/>
      <c r="B4717" s="496" t="s">
        <v>1855</v>
      </c>
      <c r="C4717" s="401"/>
      <c r="D4717" s="401">
        <f>0.6*240</f>
        <v>144</v>
      </c>
      <c r="E4717" s="401">
        <v>5</v>
      </c>
      <c r="F4717" s="498">
        <f t="shared" si="606"/>
        <v>149</v>
      </c>
      <c r="G4717" s="499" t="s">
        <v>5151</v>
      </c>
      <c r="H4717" s="1683" t="str">
        <f t="shared" si="607"/>
        <v>XTCF032C10B</v>
      </c>
      <c r="I4717" s="454"/>
      <c r="J4717" s="102" t="s">
        <v>1798</v>
      </c>
      <c r="K4717" s="492" t="s">
        <v>741</v>
      </c>
    </row>
    <row r="4718" spans="1:11" s="185" customFormat="1">
      <c r="A4718" s="102"/>
      <c r="B4718" s="496" t="s">
        <v>1856</v>
      </c>
      <c r="C4718" s="401"/>
      <c r="D4718" s="401">
        <f>0.6*290</f>
        <v>174</v>
      </c>
      <c r="E4718" s="401">
        <v>5</v>
      </c>
      <c r="F4718" s="498">
        <f t="shared" si="606"/>
        <v>179</v>
      </c>
      <c r="G4718" s="499" t="s">
        <v>5152</v>
      </c>
      <c r="H4718" s="1683" t="str">
        <f t="shared" si="607"/>
        <v>XTCF045C10B</v>
      </c>
      <c r="I4718" s="454"/>
      <c r="J4718" s="102" t="s">
        <v>1798</v>
      </c>
      <c r="K4718" s="492" t="s">
        <v>741</v>
      </c>
    </row>
    <row r="4719" spans="1:11" s="185" customFormat="1">
      <c r="A4719" s="102"/>
      <c r="B4719" s="496" t="s">
        <v>1857</v>
      </c>
      <c r="C4719" s="401"/>
      <c r="D4719" s="401">
        <f>0.6*360</f>
        <v>216</v>
      </c>
      <c r="E4719" s="401">
        <v>10</v>
      </c>
      <c r="F4719" s="498">
        <f t="shared" si="606"/>
        <v>226</v>
      </c>
      <c r="G4719" s="499" t="s">
        <v>5153</v>
      </c>
      <c r="H4719" s="1683" t="str">
        <f t="shared" si="607"/>
        <v>XTCF063D00B</v>
      </c>
      <c r="I4719" s="454"/>
      <c r="J4719" s="102" t="s">
        <v>1798</v>
      </c>
      <c r="K4719" s="492" t="s">
        <v>741</v>
      </c>
    </row>
    <row r="4720" spans="1:11">
      <c r="A4720" s="102"/>
      <c r="B4720" s="496" t="s">
        <v>1858</v>
      </c>
      <c r="C4720" s="401"/>
      <c r="D4720" s="401">
        <f>0.6*480</f>
        <v>288</v>
      </c>
      <c r="E4720" s="401">
        <v>15</v>
      </c>
      <c r="F4720" s="498">
        <f t="shared" si="606"/>
        <v>303</v>
      </c>
      <c r="G4720" s="499" t="s">
        <v>5154</v>
      </c>
      <c r="H4720" s="1683" t="str">
        <f t="shared" si="607"/>
        <v>XTCF080D00B</v>
      </c>
      <c r="I4720" s="454"/>
      <c r="J4720" s="102" t="s">
        <v>1798</v>
      </c>
      <c r="K4720" s="492" t="s">
        <v>741</v>
      </c>
    </row>
    <row r="4721" spans="1:11">
      <c r="A4721" s="102"/>
      <c r="B4721" s="496" t="s">
        <v>1859</v>
      </c>
      <c r="C4721" s="401"/>
      <c r="D4721" s="401">
        <f>0.6*760</f>
        <v>456</v>
      </c>
      <c r="E4721" s="401">
        <v>15</v>
      </c>
      <c r="F4721" s="498">
        <f t="shared" si="606"/>
        <v>471</v>
      </c>
      <c r="G4721" s="499" t="s">
        <v>5155</v>
      </c>
      <c r="H4721" s="1683" t="str">
        <f t="shared" si="607"/>
        <v>XTCF125G00B</v>
      </c>
      <c r="I4721" s="454"/>
      <c r="J4721" s="102" t="s">
        <v>1798</v>
      </c>
      <c r="K4721" s="492" t="s">
        <v>741</v>
      </c>
    </row>
    <row r="4722" spans="1:11">
      <c r="A4722" s="102"/>
      <c r="B4722" s="496" t="s">
        <v>1860</v>
      </c>
      <c r="C4722" s="401"/>
      <c r="D4722" s="401">
        <f>0.6*970</f>
        <v>582</v>
      </c>
      <c r="E4722" s="401">
        <v>15</v>
      </c>
      <c r="F4722" s="498">
        <f t="shared" si="606"/>
        <v>597</v>
      </c>
      <c r="G4722" s="499" t="s">
        <v>5156</v>
      </c>
      <c r="H4722" s="1683" t="str">
        <f t="shared" si="607"/>
        <v>XTCF160G00B</v>
      </c>
      <c r="I4722" s="454"/>
      <c r="J4722" s="102" t="s">
        <v>1798</v>
      </c>
      <c r="K4722" s="492" t="s">
        <v>741</v>
      </c>
    </row>
    <row r="4723" spans="1:11">
      <c r="A4723" s="102"/>
      <c r="B4723" s="496" t="s">
        <v>1861</v>
      </c>
      <c r="C4723" s="401"/>
      <c r="D4723" s="401">
        <f>0.6*1160</f>
        <v>696</v>
      </c>
      <c r="E4723" s="401">
        <v>15</v>
      </c>
      <c r="F4723" s="498">
        <f t="shared" si="606"/>
        <v>711</v>
      </c>
      <c r="G4723" s="499" t="s">
        <v>5157</v>
      </c>
      <c r="H4723" s="1683" t="str">
        <f t="shared" si="607"/>
        <v>XTCF200G00B</v>
      </c>
      <c r="I4723" s="454"/>
      <c r="J4723" s="102" t="s">
        <v>1798</v>
      </c>
      <c r="K4723" s="492" t="s">
        <v>741</v>
      </c>
    </row>
    <row r="4724" spans="1:11">
      <c r="A4724" s="102"/>
      <c r="B4724" s="496"/>
      <c r="C4724" s="401"/>
      <c r="D4724" s="401"/>
      <c r="E4724" s="401"/>
      <c r="F4724" s="498"/>
      <c r="G4724" s="499"/>
      <c r="H4724" s="473"/>
      <c r="I4724" s="454"/>
      <c r="J4724" s="102"/>
      <c r="K4724" s="492"/>
    </row>
    <row r="4725" spans="1:11">
      <c r="A4725" s="102"/>
      <c r="B4725" s="496"/>
      <c r="C4725" s="401"/>
      <c r="D4725" s="401"/>
      <c r="E4725" s="401"/>
      <c r="F4725" s="498"/>
      <c r="G4725" s="499"/>
      <c r="H4725" s="473"/>
      <c r="I4725" s="454"/>
      <c r="J4725" s="102"/>
      <c r="K4725" s="492"/>
    </row>
    <row r="4726" spans="1:11">
      <c r="A4726" s="102"/>
      <c r="B4726" s="495"/>
      <c r="C4726" s="495"/>
      <c r="D4726" s="495"/>
      <c r="E4726" s="495"/>
      <c r="F4726" s="495"/>
      <c r="G4726" s="495"/>
      <c r="H4726" s="194"/>
      <c r="I4726" s="102"/>
      <c r="J4726" s="102"/>
      <c r="K4726" s="102"/>
    </row>
    <row r="4727" spans="1:11">
      <c r="A4727" s="102"/>
      <c r="B4727" s="495"/>
      <c r="C4727" s="495"/>
      <c r="D4727" s="495"/>
      <c r="E4727" s="495"/>
      <c r="F4727" s="495"/>
      <c r="G4727" s="495"/>
      <c r="H4727" s="194"/>
      <c r="I4727" s="102"/>
      <c r="J4727" s="102"/>
      <c r="K4727" s="102"/>
    </row>
    <row r="4728" spans="1:11">
      <c r="A4728" s="102"/>
      <c r="B4728" s="496" t="s">
        <v>1862</v>
      </c>
      <c r="C4728" s="401"/>
      <c r="D4728" s="401">
        <v>34</v>
      </c>
      <c r="E4728" s="401"/>
      <c r="F4728" s="498">
        <f t="shared" ref="F4728:F4735" si="608">D4728+E4728</f>
        <v>34</v>
      </c>
      <c r="G4728" s="499" t="s">
        <v>5158</v>
      </c>
      <c r="H4728" s="135">
        <v>115717</v>
      </c>
      <c r="I4728" s="454"/>
      <c r="J4728" s="102" t="s">
        <v>1798</v>
      </c>
      <c r="K4728" s="492" t="s">
        <v>741</v>
      </c>
    </row>
    <row r="4729" spans="1:11">
      <c r="A4729" s="102"/>
      <c r="B4729" s="496" t="s">
        <v>1863</v>
      </c>
      <c r="C4729" s="401"/>
      <c r="D4729" s="401">
        <v>34</v>
      </c>
      <c r="E4729" s="401"/>
      <c r="F4729" s="498">
        <f t="shared" si="608"/>
        <v>34</v>
      </c>
      <c r="G4729" s="499" t="s">
        <v>5159</v>
      </c>
      <c r="H4729" s="135">
        <v>115718</v>
      </c>
      <c r="I4729" s="454"/>
      <c r="J4729" s="102" t="s">
        <v>1798</v>
      </c>
      <c r="K4729" s="492" t="s">
        <v>741</v>
      </c>
    </row>
    <row r="4730" spans="1:11">
      <c r="A4730" s="102"/>
      <c r="B4730" s="496" t="s">
        <v>1864</v>
      </c>
      <c r="C4730" s="401"/>
      <c r="D4730" s="401">
        <v>34</v>
      </c>
      <c r="E4730" s="401"/>
      <c r="F4730" s="498">
        <f t="shared" si="608"/>
        <v>34</v>
      </c>
      <c r="G4730" s="499" t="s">
        <v>5160</v>
      </c>
      <c r="H4730" s="135">
        <v>115719</v>
      </c>
      <c r="I4730" s="454"/>
      <c r="J4730" s="102" t="s">
        <v>1798</v>
      </c>
      <c r="K4730" s="492" t="s">
        <v>741</v>
      </c>
    </row>
    <row r="4731" spans="1:11">
      <c r="A4731" s="102"/>
      <c r="B4731" s="496" t="s">
        <v>1865</v>
      </c>
      <c r="C4731" s="401"/>
      <c r="D4731" s="401">
        <v>34</v>
      </c>
      <c r="E4731" s="401"/>
      <c r="F4731" s="498">
        <f t="shared" si="608"/>
        <v>34</v>
      </c>
      <c r="G4731" s="499" t="s">
        <v>5161</v>
      </c>
      <c r="H4731" s="135">
        <v>115720</v>
      </c>
      <c r="I4731" s="454"/>
      <c r="J4731" s="102" t="s">
        <v>1798</v>
      </c>
      <c r="K4731" s="492" t="s">
        <v>741</v>
      </c>
    </row>
    <row r="4732" spans="1:11" s="102" customFormat="1">
      <c r="B4732" s="496" t="s">
        <v>1866</v>
      </c>
      <c r="C4732" s="401"/>
      <c r="D4732" s="401">
        <v>34</v>
      </c>
      <c r="E4732" s="401"/>
      <c r="F4732" s="498">
        <f t="shared" si="608"/>
        <v>34</v>
      </c>
      <c r="G4732" s="499" t="s">
        <v>5162</v>
      </c>
      <c r="H4732" s="135">
        <v>115721</v>
      </c>
      <c r="I4732" s="454"/>
      <c r="J4732" s="102" t="s">
        <v>1798</v>
      </c>
      <c r="K4732" s="492" t="s">
        <v>741</v>
      </c>
    </row>
    <row r="4733" spans="1:11" s="102" customFormat="1">
      <c r="B4733" s="496" t="s">
        <v>1867</v>
      </c>
      <c r="C4733" s="401"/>
      <c r="D4733" s="401">
        <v>37</v>
      </c>
      <c r="E4733" s="401"/>
      <c r="F4733" s="498">
        <f t="shared" si="608"/>
        <v>37</v>
      </c>
      <c r="G4733" s="499" t="s">
        <v>5163</v>
      </c>
      <c r="H4733" s="135">
        <v>115722</v>
      </c>
      <c r="I4733" s="454"/>
      <c r="J4733" s="102" t="s">
        <v>1798</v>
      </c>
      <c r="K4733" s="492" t="s">
        <v>741</v>
      </c>
    </row>
    <row r="4734" spans="1:11" s="102" customFormat="1">
      <c r="B4734" s="496" t="s">
        <v>1868</v>
      </c>
      <c r="C4734" s="401"/>
      <c r="D4734" s="401">
        <v>63</v>
      </c>
      <c r="E4734" s="401"/>
      <c r="F4734" s="498">
        <f t="shared" si="608"/>
        <v>63</v>
      </c>
      <c r="G4734" s="499" t="s">
        <v>5164</v>
      </c>
      <c r="H4734" s="135">
        <v>115723</v>
      </c>
      <c r="I4734" s="454"/>
      <c r="J4734" s="102" t="s">
        <v>1798</v>
      </c>
      <c r="K4734" s="492" t="s">
        <v>741</v>
      </c>
    </row>
    <row r="4735" spans="1:11" s="102" customFormat="1">
      <c r="B4735" s="496" t="s">
        <v>1869</v>
      </c>
      <c r="C4735" s="401"/>
      <c r="D4735" s="401">
        <v>65</v>
      </c>
      <c r="E4735" s="401"/>
      <c r="F4735" s="498">
        <f t="shared" si="608"/>
        <v>65</v>
      </c>
      <c r="G4735" s="499" t="s">
        <v>5165</v>
      </c>
      <c r="H4735" s="135">
        <v>115724</v>
      </c>
      <c r="I4735" s="454"/>
      <c r="J4735" s="102" t="s">
        <v>1798</v>
      </c>
      <c r="K4735" s="492" t="s">
        <v>741</v>
      </c>
    </row>
    <row r="4736" spans="1:11" s="102" customFormat="1">
      <c r="B4736" s="496"/>
      <c r="C4736" s="401"/>
      <c r="D4736" s="401"/>
      <c r="E4736" s="401"/>
      <c r="F4736" s="498"/>
      <c r="G4736" s="499"/>
      <c r="H4736" s="135"/>
      <c r="I4736" s="454"/>
      <c r="K4736" s="492"/>
    </row>
    <row r="4737" spans="1:11" s="102" customFormat="1">
      <c r="B4737" s="496"/>
      <c r="C4737" s="401"/>
      <c r="D4737" s="401"/>
      <c r="E4737" s="401"/>
      <c r="F4737" s="498"/>
      <c r="G4737" s="499"/>
      <c r="H4737" s="135"/>
      <c r="I4737" s="454"/>
      <c r="K4737" s="492"/>
    </row>
    <row r="4738" spans="1:11" s="102" customFormat="1">
      <c r="B4738" s="495"/>
      <c r="C4738" s="495"/>
      <c r="D4738" s="495"/>
      <c r="E4738" s="495"/>
      <c r="F4738" s="495"/>
      <c r="G4738" s="495"/>
      <c r="H4738" s="194"/>
    </row>
    <row r="4739" spans="1:11" s="102" customFormat="1">
      <c r="B4739" s="496" t="s">
        <v>1870</v>
      </c>
      <c r="C4739" s="401"/>
      <c r="D4739" s="401">
        <v>258.7</v>
      </c>
      <c r="E4739" s="500">
        <f t="shared" ref="E4739:E4748" si="609">D4739/8</f>
        <v>32.337499999999999</v>
      </c>
      <c r="F4739" s="498">
        <f t="shared" ref="F4739:F4748" si="610">D4739+E4739</f>
        <v>291.03749999999997</v>
      </c>
      <c r="G4739" s="499" t="s">
        <v>8422</v>
      </c>
      <c r="H4739" s="135">
        <v>109512</v>
      </c>
      <c r="I4739" s="454"/>
      <c r="J4739" s="102" t="s">
        <v>1798</v>
      </c>
      <c r="K4739" s="492" t="s">
        <v>741</v>
      </c>
    </row>
    <row r="4740" spans="1:11" s="102" customFormat="1">
      <c r="B4740" s="496" t="s">
        <v>1871</v>
      </c>
      <c r="C4740" s="401"/>
      <c r="D4740" s="401">
        <v>258.7</v>
      </c>
      <c r="E4740" s="500">
        <f t="shared" si="609"/>
        <v>32.337499999999999</v>
      </c>
      <c r="F4740" s="498">
        <f t="shared" si="610"/>
        <v>291.03749999999997</v>
      </c>
      <c r="G4740" s="499" t="s">
        <v>8423</v>
      </c>
      <c r="H4740" s="135">
        <v>109513</v>
      </c>
      <c r="I4740" s="454"/>
      <c r="J4740" s="102" t="s">
        <v>1798</v>
      </c>
      <c r="K4740" s="492" t="s">
        <v>741</v>
      </c>
    </row>
    <row r="4741" spans="1:11" s="102" customFormat="1">
      <c r="B4741" s="496" t="s">
        <v>1872</v>
      </c>
      <c r="C4741" s="401"/>
      <c r="D4741" s="401">
        <v>258.7</v>
      </c>
      <c r="E4741" s="500">
        <f t="shared" si="609"/>
        <v>32.337499999999999</v>
      </c>
      <c r="F4741" s="498">
        <f t="shared" si="610"/>
        <v>291.03749999999997</v>
      </c>
      <c r="G4741" s="499" t="s">
        <v>8424</v>
      </c>
      <c r="H4741" s="135">
        <v>109514</v>
      </c>
      <c r="I4741" s="454"/>
      <c r="J4741" s="102" t="s">
        <v>1798</v>
      </c>
      <c r="K4741" s="492" t="s">
        <v>741</v>
      </c>
    </row>
    <row r="4742" spans="1:11" s="102" customFormat="1">
      <c r="B4742" s="496" t="s">
        <v>1873</v>
      </c>
      <c r="C4742" s="401"/>
      <c r="D4742" s="401">
        <v>258.7</v>
      </c>
      <c r="E4742" s="500">
        <f t="shared" si="609"/>
        <v>32.337499999999999</v>
      </c>
      <c r="F4742" s="498">
        <f t="shared" si="610"/>
        <v>291.03749999999997</v>
      </c>
      <c r="G4742" s="499" t="s">
        <v>8425</v>
      </c>
      <c r="H4742" s="135">
        <v>109515</v>
      </c>
      <c r="I4742" s="454"/>
      <c r="J4742" s="102" t="s">
        <v>1798</v>
      </c>
      <c r="K4742" s="492" t="s">
        <v>741</v>
      </c>
    </row>
    <row r="4743" spans="1:11" s="102" customFormat="1">
      <c r="B4743" s="496" t="s">
        <v>1874</v>
      </c>
      <c r="C4743" s="401"/>
      <c r="D4743" s="401">
        <v>258.7</v>
      </c>
      <c r="E4743" s="500">
        <f t="shared" si="609"/>
        <v>32.337499999999999</v>
      </c>
      <c r="F4743" s="498">
        <f t="shared" si="610"/>
        <v>291.03749999999997</v>
      </c>
      <c r="G4743" s="499" t="s">
        <v>8426</v>
      </c>
      <c r="H4743" s="135">
        <v>109516</v>
      </c>
      <c r="I4743" s="454"/>
      <c r="J4743" s="102" t="s">
        <v>1798</v>
      </c>
      <c r="K4743" s="492" t="s">
        <v>741</v>
      </c>
    </row>
    <row r="4744" spans="1:11" s="102" customFormat="1">
      <c r="B4744" s="496" t="s">
        <v>1875</v>
      </c>
      <c r="C4744" s="401"/>
      <c r="D4744" s="401">
        <v>258.7</v>
      </c>
      <c r="E4744" s="500">
        <f t="shared" si="609"/>
        <v>32.337499999999999</v>
      </c>
      <c r="F4744" s="498">
        <f t="shared" si="610"/>
        <v>291.03749999999997</v>
      </c>
      <c r="G4744" s="499" t="s">
        <v>8427</v>
      </c>
      <c r="H4744" s="135">
        <v>109517</v>
      </c>
      <c r="I4744" s="454"/>
      <c r="J4744" s="102" t="s">
        <v>1798</v>
      </c>
      <c r="K4744" s="492" t="s">
        <v>741</v>
      </c>
    </row>
    <row r="4745" spans="1:11" s="102" customFormat="1">
      <c r="B4745" s="496" t="s">
        <v>1876</v>
      </c>
      <c r="C4745" s="401"/>
      <c r="D4745" s="401">
        <v>258.7</v>
      </c>
      <c r="E4745" s="500">
        <f t="shared" si="609"/>
        <v>32.337499999999999</v>
      </c>
      <c r="F4745" s="498">
        <f t="shared" si="610"/>
        <v>291.03749999999997</v>
      </c>
      <c r="G4745" s="499" t="s">
        <v>8428</v>
      </c>
      <c r="H4745" s="135">
        <v>109518</v>
      </c>
      <c r="I4745" s="454"/>
      <c r="J4745" s="102" t="s">
        <v>1798</v>
      </c>
      <c r="K4745" s="492" t="s">
        <v>741</v>
      </c>
    </row>
    <row r="4746" spans="1:11" s="102" customFormat="1">
      <c r="B4746" s="496" t="s">
        <v>1877</v>
      </c>
      <c r="C4746" s="401"/>
      <c r="D4746" s="401">
        <v>258.7</v>
      </c>
      <c r="E4746" s="500">
        <f t="shared" si="609"/>
        <v>32.337499999999999</v>
      </c>
      <c r="F4746" s="498">
        <f t="shared" si="610"/>
        <v>291.03749999999997</v>
      </c>
      <c r="G4746" s="499" t="s">
        <v>8429</v>
      </c>
      <c r="H4746" s="135">
        <v>109519</v>
      </c>
      <c r="I4746" s="454"/>
      <c r="J4746" s="102" t="s">
        <v>1798</v>
      </c>
      <c r="K4746" s="492" t="s">
        <v>741</v>
      </c>
    </row>
    <row r="4747" spans="1:11" s="102" customFormat="1">
      <c r="B4747" s="496" t="s">
        <v>1878</v>
      </c>
      <c r="C4747" s="401"/>
      <c r="D4747" s="401">
        <v>258.7</v>
      </c>
      <c r="E4747" s="500">
        <f t="shared" si="609"/>
        <v>32.337499999999999</v>
      </c>
      <c r="F4747" s="498">
        <f t="shared" si="610"/>
        <v>291.03749999999997</v>
      </c>
      <c r="G4747" s="499" t="s">
        <v>8430</v>
      </c>
      <c r="H4747" s="135">
        <v>109520</v>
      </c>
      <c r="I4747" s="454"/>
      <c r="J4747" s="102" t="s">
        <v>1798</v>
      </c>
      <c r="K4747" s="492" t="s">
        <v>741</v>
      </c>
    </row>
    <row r="4748" spans="1:11" s="102" customFormat="1">
      <c r="B4748" s="496" t="s">
        <v>1879</v>
      </c>
      <c r="C4748" s="401"/>
      <c r="D4748" s="401">
        <v>486.3</v>
      </c>
      <c r="E4748" s="500">
        <f t="shared" si="609"/>
        <v>60.787500000000001</v>
      </c>
      <c r="F4748" s="498">
        <f t="shared" si="610"/>
        <v>547.08749999999998</v>
      </c>
      <c r="G4748" s="499" t="s">
        <v>8431</v>
      </c>
      <c r="H4748" s="135">
        <v>109521</v>
      </c>
      <c r="I4748" s="454"/>
      <c r="J4748" s="102" t="s">
        <v>1798</v>
      </c>
      <c r="K4748" s="492" t="s">
        <v>741</v>
      </c>
    </row>
    <row r="4749" spans="1:11" s="102" customFormat="1">
      <c r="B4749" s="496"/>
      <c r="C4749" s="401"/>
      <c r="D4749" s="401"/>
      <c r="E4749" s="500"/>
      <c r="F4749" s="498"/>
      <c r="G4749" s="499"/>
      <c r="H4749" s="194"/>
      <c r="I4749" s="454"/>
      <c r="K4749" s="492"/>
    </row>
    <row r="4750" spans="1:11" s="102" customFormat="1">
      <c r="A4750" s="1530"/>
      <c r="B4750" s="496" t="s">
        <v>8432</v>
      </c>
      <c r="C4750" s="464"/>
      <c r="D4750" s="464">
        <v>450</v>
      </c>
      <c r="E4750" s="500">
        <f t="shared" ref="E4750:E4760" si="611">D4750/8</f>
        <v>56.25</v>
      </c>
      <c r="F4750" s="498">
        <f>D4750+E4750</f>
        <v>506.25</v>
      </c>
      <c r="G4750" s="499" t="s">
        <v>8433</v>
      </c>
      <c r="H4750" s="139">
        <v>109591</v>
      </c>
      <c r="I4750" s="454"/>
      <c r="J4750" s="102" t="s">
        <v>1798</v>
      </c>
      <c r="K4750" s="492" t="s">
        <v>741</v>
      </c>
    </row>
    <row r="4751" spans="1:11" s="102" customFormat="1">
      <c r="A4751" s="1530"/>
      <c r="B4751" s="496" t="s">
        <v>1880</v>
      </c>
      <c r="C4751" s="464"/>
      <c r="D4751" s="464">
        <v>450</v>
      </c>
      <c r="E4751" s="500">
        <f t="shared" si="611"/>
        <v>56.25</v>
      </c>
      <c r="F4751" s="498">
        <f t="shared" ref="F4751:F4760" si="612">D4751+E4751</f>
        <v>506.25</v>
      </c>
      <c r="G4751" s="499" t="s">
        <v>8434</v>
      </c>
      <c r="H4751" s="139">
        <v>109591</v>
      </c>
      <c r="I4751" s="454"/>
      <c r="J4751" s="102" t="s">
        <v>1798</v>
      </c>
      <c r="K4751" s="492" t="s">
        <v>741</v>
      </c>
    </row>
    <row r="4752" spans="1:11" s="102" customFormat="1">
      <c r="A4752" s="1530"/>
      <c r="B4752" s="496" t="s">
        <v>8435</v>
      </c>
      <c r="C4752" s="464"/>
      <c r="D4752" s="464">
        <v>450</v>
      </c>
      <c r="E4752" s="500">
        <f t="shared" si="611"/>
        <v>56.25</v>
      </c>
      <c r="F4752" s="498">
        <f t="shared" si="612"/>
        <v>506.25</v>
      </c>
      <c r="G4752" s="499" t="s">
        <v>8436</v>
      </c>
      <c r="H4752" s="139">
        <v>109591</v>
      </c>
      <c r="I4752" s="454"/>
      <c r="J4752" s="102" t="s">
        <v>1798</v>
      </c>
      <c r="K4752" s="492" t="s">
        <v>741</v>
      </c>
    </row>
    <row r="4753" spans="1:11" s="102" customFormat="1">
      <c r="A4753" s="1530"/>
      <c r="B4753" s="496" t="s">
        <v>8437</v>
      </c>
      <c r="C4753" s="464"/>
      <c r="D4753" s="464">
        <v>450</v>
      </c>
      <c r="E4753" s="500">
        <f t="shared" si="611"/>
        <v>56.25</v>
      </c>
      <c r="F4753" s="498">
        <f t="shared" si="612"/>
        <v>506.25</v>
      </c>
      <c r="G4753" s="499" t="s">
        <v>8438</v>
      </c>
      <c r="H4753" s="139">
        <v>109591</v>
      </c>
      <c r="I4753" s="454"/>
      <c r="J4753" s="102" t="s">
        <v>1798</v>
      </c>
      <c r="K4753" s="492" t="s">
        <v>741</v>
      </c>
    </row>
    <row r="4754" spans="1:11" s="102" customFormat="1">
      <c r="A4754" s="1530"/>
      <c r="B4754" s="496" t="s">
        <v>8439</v>
      </c>
      <c r="C4754" s="464"/>
      <c r="D4754" s="464">
        <v>450</v>
      </c>
      <c r="E4754" s="500">
        <f t="shared" si="611"/>
        <v>56.25</v>
      </c>
      <c r="F4754" s="498">
        <f t="shared" si="612"/>
        <v>506.25</v>
      </c>
      <c r="G4754" s="499" t="s">
        <v>8440</v>
      </c>
      <c r="H4754" s="139">
        <v>109591</v>
      </c>
      <c r="I4754" s="454"/>
      <c r="J4754" s="102" t="s">
        <v>1798</v>
      </c>
      <c r="K4754" s="492" t="s">
        <v>741</v>
      </c>
    </row>
    <row r="4755" spans="1:11" s="102" customFormat="1">
      <c r="A4755" s="1530"/>
      <c r="B4755" s="496" t="s">
        <v>8441</v>
      </c>
      <c r="C4755" s="464"/>
      <c r="D4755" s="464">
        <v>450</v>
      </c>
      <c r="E4755" s="500">
        <f t="shared" si="611"/>
        <v>56.25</v>
      </c>
      <c r="F4755" s="498">
        <f t="shared" si="612"/>
        <v>506.25</v>
      </c>
      <c r="G4755" s="499" t="s">
        <v>8442</v>
      </c>
      <c r="H4755" s="139">
        <v>109591</v>
      </c>
      <c r="I4755" s="454"/>
      <c r="J4755" s="102" t="s">
        <v>1798</v>
      </c>
      <c r="K4755" s="492" t="s">
        <v>741</v>
      </c>
    </row>
    <row r="4756" spans="1:11" s="102" customFormat="1">
      <c r="A4756" s="1530"/>
      <c r="B4756" s="496" t="s">
        <v>1881</v>
      </c>
      <c r="C4756" s="464"/>
      <c r="D4756" s="464">
        <v>450</v>
      </c>
      <c r="E4756" s="500">
        <f t="shared" si="611"/>
        <v>56.25</v>
      </c>
      <c r="F4756" s="498">
        <f t="shared" si="612"/>
        <v>506.25</v>
      </c>
      <c r="G4756" s="499" t="s">
        <v>8443</v>
      </c>
      <c r="H4756" s="139">
        <v>109591</v>
      </c>
      <c r="I4756" s="454"/>
      <c r="J4756" s="102" t="s">
        <v>1798</v>
      </c>
      <c r="K4756" s="492" t="s">
        <v>741</v>
      </c>
    </row>
    <row r="4757" spans="1:11" s="102" customFormat="1">
      <c r="A4757" s="1530"/>
      <c r="B4757" s="496" t="s">
        <v>8444</v>
      </c>
      <c r="C4757" s="464"/>
      <c r="D4757" s="464">
        <v>450</v>
      </c>
      <c r="E4757" s="500">
        <f>D4757/8</f>
        <v>56.25</v>
      </c>
      <c r="F4757" s="498">
        <f>D4757+E4757</f>
        <v>506.25</v>
      </c>
      <c r="G4757" s="499" t="s">
        <v>8445</v>
      </c>
      <c r="H4757" s="139">
        <v>109591</v>
      </c>
      <c r="I4757" s="454"/>
      <c r="J4757" s="102" t="s">
        <v>1798</v>
      </c>
      <c r="K4757" s="492" t="s">
        <v>741</v>
      </c>
    </row>
    <row r="4758" spans="1:11" s="102" customFormat="1">
      <c r="B4758" s="496" t="s">
        <v>1882</v>
      </c>
      <c r="C4758" s="401"/>
      <c r="D4758" s="401">
        <v>516.1</v>
      </c>
      <c r="E4758" s="500">
        <f t="shared" si="611"/>
        <v>64.512500000000003</v>
      </c>
      <c r="F4758" s="498">
        <f t="shared" si="612"/>
        <v>580.61250000000007</v>
      </c>
      <c r="G4758" s="499" t="s">
        <v>8446</v>
      </c>
      <c r="H4758" s="139">
        <v>109591</v>
      </c>
      <c r="I4758" s="454"/>
      <c r="J4758" s="102" t="s">
        <v>1798</v>
      </c>
      <c r="K4758" s="492" t="s">
        <v>741</v>
      </c>
    </row>
    <row r="4759" spans="1:11" s="102" customFormat="1">
      <c r="B4759" s="496" t="s">
        <v>1883</v>
      </c>
      <c r="C4759" s="401"/>
      <c r="D4759" s="401">
        <v>516.1</v>
      </c>
      <c r="E4759" s="500">
        <f t="shared" si="611"/>
        <v>64.512500000000003</v>
      </c>
      <c r="F4759" s="498">
        <f t="shared" si="612"/>
        <v>580.61250000000007</v>
      </c>
      <c r="G4759" s="499" t="s">
        <v>8447</v>
      </c>
      <c r="H4759" s="139">
        <v>109593</v>
      </c>
      <c r="I4759" s="454"/>
      <c r="J4759" s="102" t="s">
        <v>1798</v>
      </c>
      <c r="K4759" s="492" t="s">
        <v>741</v>
      </c>
    </row>
    <row r="4760" spans="1:11" s="102" customFormat="1">
      <c r="B4760" s="496" t="s">
        <v>1884</v>
      </c>
      <c r="C4760" s="401"/>
      <c r="D4760" s="401">
        <v>516.1</v>
      </c>
      <c r="E4760" s="500">
        <f t="shared" si="611"/>
        <v>64.512500000000003</v>
      </c>
      <c r="F4760" s="498">
        <f t="shared" si="612"/>
        <v>580.61250000000007</v>
      </c>
      <c r="G4760" s="499" t="s">
        <v>8448</v>
      </c>
      <c r="H4760" s="139">
        <v>109595</v>
      </c>
      <c r="I4760" s="454"/>
      <c r="J4760" s="102" t="s">
        <v>1798</v>
      </c>
      <c r="K4760" s="492" t="s">
        <v>741</v>
      </c>
    </row>
    <row r="4761" spans="1:11" s="102" customFormat="1">
      <c r="B4761" s="496"/>
      <c r="C4761" s="401"/>
      <c r="D4761" s="401"/>
      <c r="E4761" s="500"/>
      <c r="F4761" s="498"/>
      <c r="G4761" s="499"/>
      <c r="H4761" s="194"/>
      <c r="I4761" s="454"/>
      <c r="K4761" s="492"/>
    </row>
    <row r="4762" spans="1:11" s="102" customFormat="1">
      <c r="B4762" s="496" t="s">
        <v>1885</v>
      </c>
      <c r="C4762" s="401"/>
      <c r="D4762" s="401">
        <v>816.7</v>
      </c>
      <c r="E4762" s="500">
        <f>D4762/8</f>
        <v>102.08750000000001</v>
      </c>
      <c r="F4762" s="498">
        <f>D4762+E4762</f>
        <v>918.78750000000002</v>
      </c>
      <c r="G4762" s="499" t="s">
        <v>8449</v>
      </c>
      <c r="H4762" s="139">
        <v>109633</v>
      </c>
      <c r="I4762" s="454"/>
      <c r="J4762" s="102" t="s">
        <v>1798</v>
      </c>
      <c r="K4762" s="492" t="s">
        <v>741</v>
      </c>
    </row>
    <row r="4763" spans="1:11">
      <c r="A4763" s="102"/>
      <c r="B4763" s="496" t="s">
        <v>1886</v>
      </c>
      <c r="C4763" s="401"/>
      <c r="D4763" s="401">
        <v>816.7</v>
      </c>
      <c r="E4763" s="500">
        <f>D4763/8</f>
        <v>102.08750000000001</v>
      </c>
      <c r="F4763" s="498">
        <f>D4763+E4763</f>
        <v>918.78750000000002</v>
      </c>
      <c r="G4763" s="499" t="s">
        <v>8450</v>
      </c>
      <c r="H4763" s="139">
        <v>109635</v>
      </c>
      <c r="I4763" s="454"/>
      <c r="J4763" s="102" t="s">
        <v>1798</v>
      </c>
      <c r="K4763" s="492" t="s">
        <v>741</v>
      </c>
    </row>
    <row r="4764" spans="1:11">
      <c r="A4764" s="102"/>
      <c r="B4764" s="496" t="s">
        <v>1887</v>
      </c>
      <c r="C4764" s="401"/>
      <c r="D4764" s="401">
        <v>875.9</v>
      </c>
      <c r="E4764" s="500">
        <f>D4764/8</f>
        <v>109.4875</v>
      </c>
      <c r="F4764" s="498">
        <f>D4764+E4764</f>
        <v>985.38749999999993</v>
      </c>
      <c r="G4764" s="499" t="s">
        <v>8451</v>
      </c>
      <c r="H4764" s="139">
        <v>109637</v>
      </c>
      <c r="I4764" s="454"/>
      <c r="J4764" s="102" t="s">
        <v>1798</v>
      </c>
      <c r="K4764" s="492" t="s">
        <v>741</v>
      </c>
    </row>
    <row r="4765" spans="1:11">
      <c r="A4765" s="102"/>
      <c r="B4765" s="32" t="s">
        <v>1888</v>
      </c>
      <c r="C4765" s="401"/>
      <c r="D4765" s="401"/>
      <c r="E4765" s="500"/>
      <c r="F4765" s="498"/>
      <c r="G4765" s="499"/>
      <c r="H4765" s="139"/>
      <c r="I4765" s="454"/>
      <c r="J4765" s="102"/>
      <c r="K4765" s="492"/>
    </row>
    <row r="4766" spans="1:11">
      <c r="A4766" s="102"/>
      <c r="B4766" s="496" t="s">
        <v>1889</v>
      </c>
      <c r="C4766" s="464"/>
      <c r="D4766" s="464">
        <v>1400</v>
      </c>
      <c r="E4766" s="500">
        <f t="shared" ref="E4766:E4771" si="613">D4766/8</f>
        <v>175</v>
      </c>
      <c r="F4766" s="498">
        <f t="shared" ref="F4766:F4771" si="614">D4766+E4766</f>
        <v>1575</v>
      </c>
      <c r="G4766" s="499" t="s">
        <v>8452</v>
      </c>
      <c r="H4766" s="458" t="str">
        <f>B4766</f>
        <v>LZMS3-4-VE400</v>
      </c>
      <c r="I4766" s="454"/>
      <c r="J4766" s="102" t="s">
        <v>1798</v>
      </c>
      <c r="K4766" s="492" t="s">
        <v>741</v>
      </c>
    </row>
    <row r="4767" spans="1:11" s="102" customFormat="1">
      <c r="B4767" s="496" t="s">
        <v>1890</v>
      </c>
      <c r="C4767" s="401"/>
      <c r="D4767" s="401">
        <v>1185.4000000000001</v>
      </c>
      <c r="E4767" s="500">
        <f t="shared" si="613"/>
        <v>148.17500000000001</v>
      </c>
      <c r="F4767" s="498">
        <f t="shared" si="614"/>
        <v>1333.575</v>
      </c>
      <c r="G4767" s="499" t="s">
        <v>8453</v>
      </c>
      <c r="H4767" s="458" t="str">
        <f>B4767</f>
        <v>LZMS3-4-VE630</v>
      </c>
      <c r="I4767" s="454"/>
      <c r="J4767" s="102" t="s">
        <v>1798</v>
      </c>
      <c r="K4767" s="492" t="s">
        <v>741</v>
      </c>
    </row>
    <row r="4768" spans="1:11" s="102" customFormat="1">
      <c r="B4768" s="496" t="s">
        <v>1891</v>
      </c>
      <c r="C4768" s="401"/>
      <c r="D4768" s="401">
        <v>3739.9</v>
      </c>
      <c r="E4768" s="500">
        <f t="shared" si="613"/>
        <v>467.48750000000001</v>
      </c>
      <c r="F4768" s="498">
        <f t="shared" si="614"/>
        <v>4207.3874999999998</v>
      </c>
      <c r="G4768" s="499" t="s">
        <v>8454</v>
      </c>
      <c r="H4768" s="139">
        <v>110992</v>
      </c>
      <c r="I4768" s="454"/>
      <c r="J4768" s="102" t="s">
        <v>1798</v>
      </c>
      <c r="K4768" s="492" t="s">
        <v>741</v>
      </c>
    </row>
    <row r="4769" spans="1:11" s="102" customFormat="1">
      <c r="B4769" s="496" t="s">
        <v>1892</v>
      </c>
      <c r="C4769" s="401"/>
      <c r="D4769" s="401">
        <v>3739.9</v>
      </c>
      <c r="E4769" s="500">
        <f t="shared" si="613"/>
        <v>467.48750000000001</v>
      </c>
      <c r="F4769" s="498">
        <f t="shared" si="614"/>
        <v>4207.3874999999998</v>
      </c>
      <c r="G4769" s="499" t="s">
        <v>8455</v>
      </c>
      <c r="H4769" s="139">
        <v>110994</v>
      </c>
      <c r="I4769" s="454"/>
      <c r="J4769" s="102" t="s">
        <v>1798</v>
      </c>
      <c r="K4769" s="492" t="s">
        <v>741</v>
      </c>
    </row>
    <row r="4770" spans="1:11" s="102" customFormat="1">
      <c r="B4770" s="496" t="s">
        <v>1893</v>
      </c>
      <c r="C4770" s="401"/>
      <c r="D4770" s="401">
        <v>3739.9</v>
      </c>
      <c r="E4770" s="500">
        <f t="shared" si="613"/>
        <v>467.48750000000001</v>
      </c>
      <c r="F4770" s="498">
        <f t="shared" si="614"/>
        <v>4207.3874999999998</v>
      </c>
      <c r="G4770" s="499" t="s">
        <v>8456</v>
      </c>
      <c r="H4770" s="139">
        <v>110996</v>
      </c>
      <c r="I4770" s="454"/>
      <c r="J4770" s="102" t="s">
        <v>1798</v>
      </c>
      <c r="K4770" s="492" t="s">
        <v>741</v>
      </c>
    </row>
    <row r="4771" spans="1:11" s="102" customFormat="1">
      <c r="B4771" s="496" t="s">
        <v>1894</v>
      </c>
      <c r="C4771" s="401"/>
      <c r="D4771" s="401">
        <v>3739.9</v>
      </c>
      <c r="E4771" s="500">
        <f t="shared" si="613"/>
        <v>467.48750000000001</v>
      </c>
      <c r="F4771" s="498">
        <f t="shared" si="614"/>
        <v>4207.3874999999998</v>
      </c>
      <c r="G4771" s="499" t="s">
        <v>8457</v>
      </c>
      <c r="H4771" s="139">
        <v>110998</v>
      </c>
      <c r="I4771" s="454"/>
      <c r="J4771" s="102" t="s">
        <v>1798</v>
      </c>
      <c r="K4771" s="492" t="s">
        <v>741</v>
      </c>
    </row>
    <row r="4772" spans="1:11" s="102" customFormat="1">
      <c r="B4772" s="496"/>
      <c r="C4772" s="401"/>
      <c r="D4772" s="401"/>
      <c r="E4772" s="401"/>
      <c r="F4772" s="498"/>
      <c r="G4772" s="499"/>
      <c r="H4772" s="139"/>
      <c r="I4772" s="454"/>
      <c r="K4772" s="492"/>
    </row>
    <row r="4773" spans="1:11" s="102" customFormat="1">
      <c r="B4773" s="501" t="s">
        <v>1806</v>
      </c>
      <c r="C4773" s="401"/>
      <c r="D4773" s="401"/>
      <c r="E4773" s="401"/>
      <c r="F4773" s="498"/>
      <c r="G4773" s="499"/>
      <c r="H4773" s="139"/>
      <c r="I4773" s="454"/>
      <c r="K4773" s="492"/>
    </row>
    <row r="4774" spans="1:11" s="185" customFormat="1">
      <c r="A4774" s="1531"/>
      <c r="B4774" s="502" t="s">
        <v>8458</v>
      </c>
      <c r="C4774" s="401"/>
      <c r="D4774" s="401">
        <v>36</v>
      </c>
      <c r="E4774" s="395">
        <v>5</v>
      </c>
      <c r="F4774" s="503">
        <f>D4774+E4774</f>
        <v>41</v>
      </c>
      <c r="G4774" s="388" t="s">
        <v>8459</v>
      </c>
      <c r="H4774" s="139">
        <v>266755</v>
      </c>
      <c r="I4774" s="189"/>
      <c r="J4774" s="443" t="s">
        <v>1798</v>
      </c>
      <c r="K4774" s="189" t="s">
        <v>741</v>
      </c>
    </row>
    <row r="4775" spans="1:11" s="185" customFormat="1">
      <c r="A4775" s="443"/>
      <c r="B4775" s="502" t="s">
        <v>1895</v>
      </c>
      <c r="C4775" s="401"/>
      <c r="D4775" s="401">
        <v>36</v>
      </c>
      <c r="E4775" s="395">
        <v>5</v>
      </c>
      <c r="F4775" s="503">
        <f>D4775+E4775</f>
        <v>41</v>
      </c>
      <c r="G4775" s="389" t="s">
        <v>8460</v>
      </c>
      <c r="H4775" s="139">
        <v>266755</v>
      </c>
      <c r="I4775" s="189"/>
      <c r="J4775" s="443" t="s">
        <v>1798</v>
      </c>
      <c r="K4775" s="189" t="s">
        <v>741</v>
      </c>
    </row>
    <row r="4776" spans="1:11" s="185" customFormat="1">
      <c r="A4776" s="443"/>
      <c r="B4776" s="502" t="s">
        <v>1896</v>
      </c>
      <c r="C4776" s="401"/>
      <c r="D4776" s="401">
        <v>29.6</v>
      </c>
      <c r="E4776" s="395">
        <v>5</v>
      </c>
      <c r="F4776" s="503">
        <f>D4776+E4776</f>
        <v>34.6</v>
      </c>
      <c r="G4776" s="389" t="s">
        <v>8461</v>
      </c>
      <c r="H4776" s="139">
        <v>266756</v>
      </c>
      <c r="I4776" s="189"/>
      <c r="J4776" s="443" t="s">
        <v>1798</v>
      </c>
      <c r="K4776" s="189" t="s">
        <v>741</v>
      </c>
    </row>
    <row r="4777" spans="1:11" s="185" customFormat="1">
      <c r="A4777" s="443"/>
      <c r="B4777" s="502" t="s">
        <v>1897</v>
      </c>
      <c r="C4777" s="401"/>
      <c r="D4777" s="401">
        <v>210</v>
      </c>
      <c r="E4777" s="395">
        <v>5</v>
      </c>
      <c r="F4777" s="503">
        <f>D4777+E4777</f>
        <v>215</v>
      </c>
      <c r="G4777" s="389" t="s">
        <v>8462</v>
      </c>
      <c r="H4777" s="139">
        <v>271458</v>
      </c>
      <c r="I4777" s="189"/>
      <c r="J4777" s="443" t="s">
        <v>1798</v>
      </c>
      <c r="K4777" s="189" t="s">
        <v>741</v>
      </c>
    </row>
    <row r="4778" spans="1:11" s="185" customFormat="1">
      <c r="A4778" s="443"/>
      <c r="B4778" s="502"/>
      <c r="C4778" s="401"/>
      <c r="D4778" s="401"/>
      <c r="E4778" s="504"/>
      <c r="F4778" s="503"/>
      <c r="G4778" s="389"/>
      <c r="H4778" s="139"/>
      <c r="I4778" s="189"/>
      <c r="J4778" s="443"/>
      <c r="K4778" s="189"/>
    </row>
    <row r="4779" spans="1:11" s="185" customFormat="1">
      <c r="A4779" s="443"/>
      <c r="B4779" s="502" t="s">
        <v>1898</v>
      </c>
      <c r="C4779" s="401"/>
      <c r="D4779" s="401">
        <v>102.6</v>
      </c>
      <c r="E4779" s="395">
        <v>10</v>
      </c>
      <c r="F4779" s="503">
        <f>D4779+E4779</f>
        <v>112.6</v>
      </c>
      <c r="G4779" s="389" t="s">
        <v>8463</v>
      </c>
      <c r="H4779" s="139">
        <v>266783</v>
      </c>
      <c r="I4779" s="189"/>
      <c r="J4779" s="443" t="s">
        <v>1798</v>
      </c>
      <c r="K4779" s="189" t="s">
        <v>741</v>
      </c>
    </row>
    <row r="4780" spans="1:11" s="102" customFormat="1">
      <c r="A4780" s="443"/>
      <c r="B4780" s="502" t="s">
        <v>1899</v>
      </c>
      <c r="C4780" s="401"/>
      <c r="D4780" s="401">
        <v>210</v>
      </c>
      <c r="E4780" s="395">
        <v>10</v>
      </c>
      <c r="F4780" s="503">
        <f>D4780+E4780</f>
        <v>220</v>
      </c>
      <c r="G4780" s="389" t="s">
        <v>8464</v>
      </c>
      <c r="H4780" s="139">
        <v>271460</v>
      </c>
      <c r="I4780" s="189"/>
      <c r="J4780" s="443" t="s">
        <v>1798</v>
      </c>
      <c r="K4780" s="189" t="s">
        <v>741</v>
      </c>
    </row>
    <row r="4781" spans="1:11" s="185" customFormat="1">
      <c r="A4781" s="443"/>
      <c r="B4781" s="502" t="s">
        <v>1900</v>
      </c>
      <c r="C4781" s="401"/>
      <c r="D4781" s="401">
        <v>319.2</v>
      </c>
      <c r="E4781" s="395">
        <v>10</v>
      </c>
      <c r="F4781" s="503">
        <f>D4781+E4781</f>
        <v>329.2</v>
      </c>
      <c r="G4781" s="389" t="s">
        <v>8465</v>
      </c>
      <c r="H4781" s="139">
        <v>271462</v>
      </c>
      <c r="I4781" s="189"/>
      <c r="J4781" s="443" t="s">
        <v>1798</v>
      </c>
      <c r="K4781" s="189" t="s">
        <v>741</v>
      </c>
    </row>
    <row r="4782" spans="1:11" s="185" customFormat="1">
      <c r="A4782" s="443"/>
      <c r="B4782" s="502"/>
      <c r="C4782" s="401"/>
      <c r="D4782" s="401"/>
      <c r="E4782" s="504"/>
      <c r="F4782" s="503"/>
      <c r="G4782" s="389"/>
      <c r="H4782" s="139"/>
      <c r="I4782" s="189"/>
      <c r="J4782" s="443"/>
      <c r="K4782" s="189"/>
    </row>
    <row r="4783" spans="1:11" s="185" customFormat="1">
      <c r="A4783" s="443"/>
      <c r="B4783" s="502" t="s">
        <v>1901</v>
      </c>
      <c r="C4783" s="401"/>
      <c r="D4783" s="401">
        <v>450</v>
      </c>
      <c r="E4783" s="395">
        <v>15</v>
      </c>
      <c r="F4783" s="503">
        <f>D4783+E4783</f>
        <v>465</v>
      </c>
      <c r="G4783" s="389" t="s">
        <v>8466</v>
      </c>
      <c r="H4783" s="139">
        <v>266837</v>
      </c>
      <c r="I4783" s="189"/>
      <c r="J4783" s="443" t="s">
        <v>1798</v>
      </c>
      <c r="K4783" s="189" t="s">
        <v>741</v>
      </c>
    </row>
    <row r="4784" spans="1:11" s="185" customFormat="1">
      <c r="A4784" s="102"/>
      <c r="B4784" s="501"/>
      <c r="C4784" s="401"/>
      <c r="D4784" s="401"/>
      <c r="E4784" s="401"/>
      <c r="F4784" s="498"/>
      <c r="G4784" s="499"/>
      <c r="H4784" s="139"/>
      <c r="I4784" s="454"/>
      <c r="J4784" s="102"/>
      <c r="K4784" s="492"/>
    </row>
    <row r="4785" spans="1:11" s="185" customFormat="1">
      <c r="A4785" s="102"/>
      <c r="B4785" s="501"/>
      <c r="C4785" s="401"/>
      <c r="D4785" s="401"/>
      <c r="E4785" s="401"/>
      <c r="F4785" s="498"/>
      <c r="G4785" s="499"/>
      <c r="H4785" s="139"/>
      <c r="I4785" s="454"/>
      <c r="J4785" s="102"/>
      <c r="K4785" s="492"/>
    </row>
    <row r="4786" spans="1:11" s="185" customFormat="1">
      <c r="A4786" s="102"/>
      <c r="B4786" s="501"/>
      <c r="C4786" s="401"/>
      <c r="D4786" s="401"/>
      <c r="E4786" s="401"/>
      <c r="F4786" s="498"/>
      <c r="G4786" s="499"/>
      <c r="H4786" s="139"/>
      <c r="I4786" s="454"/>
      <c r="J4786" s="102"/>
      <c r="K4786" s="492"/>
    </row>
    <row r="4787" spans="1:11" s="185" customFormat="1">
      <c r="A4787" s="102"/>
      <c r="B4787" s="496"/>
      <c r="C4787" s="401"/>
      <c r="D4787" s="401"/>
      <c r="E4787" s="401"/>
      <c r="F4787" s="498"/>
      <c r="G4787" s="499"/>
      <c r="H4787" s="139"/>
      <c r="I4787" s="454"/>
      <c r="J4787" s="102"/>
      <c r="K4787" s="492"/>
    </row>
    <row r="4788" spans="1:11" s="185" customFormat="1">
      <c r="A4788" s="368"/>
      <c r="B4788" s="496"/>
      <c r="C4788" s="401"/>
      <c r="D4788" s="401"/>
      <c r="E4788" s="401"/>
      <c r="F4788" s="498"/>
      <c r="G4788" s="499"/>
      <c r="H4788" s="139"/>
      <c r="I4788" s="454"/>
      <c r="J4788" s="368"/>
      <c r="K4788" s="492"/>
    </row>
    <row r="4789" spans="1:11" s="185" customFormat="1">
      <c r="A4789" s="102"/>
      <c r="B4789" s="496" t="s">
        <v>2484</v>
      </c>
      <c r="C4789" s="401"/>
      <c r="D4789" s="401">
        <f>1.01*31790/2</f>
        <v>16053.95</v>
      </c>
      <c r="E4789" s="505">
        <f>400+80</f>
        <v>480</v>
      </c>
      <c r="F4789" s="498">
        <f>D4789+E4789</f>
        <v>16533.95</v>
      </c>
      <c r="G4789" s="499" t="s">
        <v>2485</v>
      </c>
      <c r="H4789" s="458" t="str">
        <f>B4789</f>
        <v>Magnum(MWN)-extraib_800A_4p_LSIA + enc</v>
      </c>
      <c r="I4789" s="473"/>
      <c r="J4789" s="102" t="s">
        <v>1798</v>
      </c>
      <c r="K4789" s="492" t="s">
        <v>741</v>
      </c>
    </row>
    <row r="4790" spans="1:11" s="185" customFormat="1">
      <c r="A4790" s="102"/>
      <c r="B4790" s="496" t="s">
        <v>2488</v>
      </c>
      <c r="C4790" s="401"/>
      <c r="D4790" s="401">
        <f>1.01*28113/2</f>
        <v>14197.065000000001</v>
      </c>
      <c r="E4790" s="505">
        <f>400+80</f>
        <v>480</v>
      </c>
      <c r="F4790" s="498">
        <f>D4790+E4790</f>
        <v>14677.065000000001</v>
      </c>
      <c r="G4790" s="499" t="s">
        <v>2489</v>
      </c>
      <c r="H4790" s="458" t="str">
        <f>B4790</f>
        <v>Magnum(MWN)-extraib_1250A_3p_LSIA + enc</v>
      </c>
      <c r="I4790" s="454"/>
      <c r="J4790" s="102" t="s">
        <v>1798</v>
      </c>
      <c r="K4790" s="492" t="s">
        <v>741</v>
      </c>
    </row>
    <row r="4791" spans="1:11" s="185" customFormat="1">
      <c r="A4791" s="102"/>
      <c r="B4791" s="496" t="s">
        <v>2486</v>
      </c>
      <c r="C4791" s="401"/>
      <c r="D4791" s="401">
        <f>1.01*28113/2</f>
        <v>14197.065000000001</v>
      </c>
      <c r="E4791" s="505">
        <f>400+100</f>
        <v>500</v>
      </c>
      <c r="F4791" s="498">
        <f>D4791+E4791</f>
        <v>14697.065000000001</v>
      </c>
      <c r="G4791" s="499" t="s">
        <v>2487</v>
      </c>
      <c r="H4791" s="458" t="str">
        <f>B4791</f>
        <v>Magnum(MWN)-extraib_2000A_3p_LSIA + enc</v>
      </c>
      <c r="I4791" s="454"/>
      <c r="J4791" s="102" t="s">
        <v>1798</v>
      </c>
      <c r="K4791" s="492" t="s">
        <v>741</v>
      </c>
    </row>
    <row r="4792" spans="1:11" s="185" customFormat="1">
      <c r="A4792" s="368"/>
      <c r="B4792" s="496"/>
      <c r="C4792" s="401"/>
      <c r="D4792" s="401"/>
      <c r="E4792" s="401"/>
      <c r="F4792" s="498"/>
      <c r="G4792" s="499"/>
      <c r="H4792" s="139"/>
      <c r="I4792" s="454"/>
      <c r="J4792" s="368"/>
      <c r="K4792" s="492"/>
    </row>
    <row r="4793" spans="1:11" s="185" customFormat="1">
      <c r="A4793" s="1532"/>
      <c r="B4793" s="496"/>
      <c r="C4793" s="401"/>
      <c r="D4793" s="401"/>
      <c r="E4793" s="401"/>
      <c r="F4793" s="498"/>
      <c r="G4793" s="499"/>
      <c r="H4793" s="139"/>
      <c r="I4793" s="454"/>
      <c r="J4793" s="368"/>
      <c r="K4793" s="492"/>
    </row>
    <row r="4794" spans="1:11" s="185" customFormat="1">
      <c r="A4794" s="1533"/>
      <c r="B4794" s="1534" t="s">
        <v>8467</v>
      </c>
      <c r="C4794" s="1497"/>
      <c r="D4794" s="1497">
        <v>16465.41</v>
      </c>
      <c r="E4794" s="505">
        <f t="shared" ref="E4794:E4812" si="615">400+80</f>
        <v>480</v>
      </c>
      <c r="F4794" s="498">
        <f t="shared" ref="F4794:F4812" si="616">D4794+E4794</f>
        <v>16945.41</v>
      </c>
      <c r="G4794" s="499" t="s">
        <v>8468</v>
      </c>
      <c r="H4794" s="458" t="str">
        <f t="shared" ref="H4794:H4812" si="617">B4794</f>
        <v>Magnum(MWN)-extraib_2000A_3p_65kA_LSI + bloq mec + motor</v>
      </c>
      <c r="I4794" s="454"/>
      <c r="J4794" s="102" t="s">
        <v>1798</v>
      </c>
      <c r="K4794" s="492" t="s">
        <v>741</v>
      </c>
    </row>
    <row r="4795" spans="1:11" s="185" customFormat="1">
      <c r="A4795" s="1533"/>
      <c r="B4795" s="1534" t="s">
        <v>8469</v>
      </c>
      <c r="C4795" s="1497"/>
      <c r="D4795" s="1497">
        <v>11567.98</v>
      </c>
      <c r="E4795" s="505">
        <f t="shared" si="615"/>
        <v>480</v>
      </c>
      <c r="F4795" s="498">
        <f t="shared" si="616"/>
        <v>12047.98</v>
      </c>
      <c r="G4795" s="499" t="s">
        <v>8470</v>
      </c>
      <c r="H4795" s="458" t="str">
        <f t="shared" si="617"/>
        <v>Magnum(MWN)-extraib_1000A_3p_65kA_LSI + bloq mec + motor</v>
      </c>
      <c r="I4795" s="454"/>
      <c r="J4795" s="102" t="s">
        <v>1798</v>
      </c>
      <c r="K4795" s="492" t="s">
        <v>741</v>
      </c>
    </row>
    <row r="4796" spans="1:11" s="185" customFormat="1">
      <c r="A4796" s="1533"/>
      <c r="B4796" s="1534" t="s">
        <v>8471</v>
      </c>
      <c r="C4796" s="1497"/>
      <c r="D4796" s="1497">
        <v>11567.98</v>
      </c>
      <c r="E4796" s="505">
        <f t="shared" si="615"/>
        <v>480</v>
      </c>
      <c r="F4796" s="498">
        <f t="shared" si="616"/>
        <v>12047.98</v>
      </c>
      <c r="G4796" s="499" t="s">
        <v>8472</v>
      </c>
      <c r="H4796" s="458" t="str">
        <f t="shared" si="617"/>
        <v>Magnum(MWN)-extraib_800A_3p_65kA_LSI + bloq mec + motor</v>
      </c>
      <c r="I4796" s="454"/>
      <c r="J4796" s="102" t="s">
        <v>1798</v>
      </c>
      <c r="K4796" s="492" t="s">
        <v>741</v>
      </c>
    </row>
    <row r="4797" spans="1:11" s="185" customFormat="1">
      <c r="A4797" s="1533"/>
      <c r="B4797" s="1534" t="s">
        <v>8473</v>
      </c>
      <c r="C4797" s="1497"/>
      <c r="D4797" s="1497">
        <v>11567.98</v>
      </c>
      <c r="E4797" s="505">
        <f t="shared" si="615"/>
        <v>480</v>
      </c>
      <c r="F4797" s="498">
        <f t="shared" si="616"/>
        <v>12047.98</v>
      </c>
      <c r="G4797" s="499" t="s">
        <v>8474</v>
      </c>
      <c r="H4797" s="458" t="str">
        <f t="shared" si="617"/>
        <v>Magnum(MWN)-extraib_630A_3p_65kA_LSI + bloq mec + motor</v>
      </c>
      <c r="I4797" s="454"/>
      <c r="J4797" s="102" t="s">
        <v>1798</v>
      </c>
      <c r="K4797" s="492" t="s">
        <v>741</v>
      </c>
    </row>
    <row r="4798" spans="1:11" s="185" customFormat="1">
      <c r="A4798" s="1533"/>
      <c r="B4798" s="1534" t="s">
        <v>8475</v>
      </c>
      <c r="C4798" s="1497"/>
      <c r="D4798" s="1497">
        <v>11567.98</v>
      </c>
      <c r="E4798" s="505">
        <f t="shared" si="615"/>
        <v>480</v>
      </c>
      <c r="F4798" s="498">
        <f t="shared" si="616"/>
        <v>12047.98</v>
      </c>
      <c r="G4798" s="499" t="s">
        <v>8476</v>
      </c>
      <c r="H4798" s="458" t="str">
        <f t="shared" si="617"/>
        <v>Magnum(MWN)-extraib_500A_3p_65kA_LSI + bloq mec + motor</v>
      </c>
      <c r="I4798" s="454"/>
      <c r="J4798" s="102" t="s">
        <v>1798</v>
      </c>
      <c r="K4798" s="492" t="s">
        <v>741</v>
      </c>
    </row>
    <row r="4799" spans="1:11" s="185" customFormat="1">
      <c r="A4799" s="1533"/>
      <c r="B4799" s="1535" t="s">
        <v>8477</v>
      </c>
      <c r="C4799" s="1407"/>
      <c r="D4799" s="1407">
        <v>15346.8</v>
      </c>
      <c r="E4799" s="505">
        <f t="shared" si="615"/>
        <v>480</v>
      </c>
      <c r="F4799" s="498">
        <f t="shared" si="616"/>
        <v>15826.8</v>
      </c>
      <c r="G4799" s="499" t="s">
        <v>8478</v>
      </c>
      <c r="H4799" s="458" t="str">
        <f t="shared" si="617"/>
        <v>Magnum(MWN)-extraib_1250A_3p_50kA_LSI + bloq mec + motor</v>
      </c>
      <c r="I4799" s="454"/>
      <c r="J4799" s="102" t="s">
        <v>1798</v>
      </c>
      <c r="K4799" s="492" t="s">
        <v>741</v>
      </c>
    </row>
    <row r="4800" spans="1:11" s="185" customFormat="1">
      <c r="A4800" s="1533"/>
      <c r="B4800" s="1535" t="s">
        <v>8479</v>
      </c>
      <c r="C4800" s="1407"/>
      <c r="D4800" s="1407">
        <v>13819.84</v>
      </c>
      <c r="E4800" s="505">
        <f t="shared" si="615"/>
        <v>480</v>
      </c>
      <c r="F4800" s="498">
        <f t="shared" si="616"/>
        <v>14299.84</v>
      </c>
      <c r="G4800" s="499" t="s">
        <v>8480</v>
      </c>
      <c r="H4800" s="458" t="str">
        <f t="shared" si="617"/>
        <v>Magnum(MWN)-extraib_1250A_3p_50kA_LSI + motor</v>
      </c>
      <c r="I4800" s="454"/>
      <c r="J4800" s="102" t="s">
        <v>1798</v>
      </c>
      <c r="K4800" s="492" t="s">
        <v>741</v>
      </c>
    </row>
    <row r="4801" spans="1:11" s="185" customFormat="1">
      <c r="A4801" s="1533"/>
      <c r="B4801" s="1535" t="s">
        <v>8481</v>
      </c>
      <c r="C4801" s="1407"/>
      <c r="D4801" s="1407">
        <v>11967.24</v>
      </c>
      <c r="E4801" s="505">
        <f t="shared" si="615"/>
        <v>480</v>
      </c>
      <c r="F4801" s="498">
        <f t="shared" si="616"/>
        <v>12447.24</v>
      </c>
      <c r="G4801" s="499" t="s">
        <v>8482</v>
      </c>
      <c r="H4801" s="458" t="str">
        <f t="shared" si="617"/>
        <v>Magnum(MWN)-extraib_1000A_3p_50kA_LSI + bloq mec + motor</v>
      </c>
      <c r="I4801" s="454"/>
      <c r="J4801" s="102" t="s">
        <v>1798</v>
      </c>
      <c r="K4801" s="492" t="s">
        <v>741</v>
      </c>
    </row>
    <row r="4802" spans="1:11" s="185" customFormat="1">
      <c r="A4802" s="1533"/>
      <c r="B4802" s="1535" t="s">
        <v>8483</v>
      </c>
      <c r="C4802" s="1407"/>
      <c r="D4802" s="1407">
        <v>11967.24</v>
      </c>
      <c r="E4802" s="505">
        <f t="shared" si="615"/>
        <v>480</v>
      </c>
      <c r="F4802" s="498">
        <f t="shared" si="616"/>
        <v>12447.24</v>
      </c>
      <c r="G4802" s="499" t="s">
        <v>8484</v>
      </c>
      <c r="H4802" s="458" t="str">
        <f t="shared" si="617"/>
        <v>Magnum(MWN)-extraib_800A_3p_50kA_LSI + bloq mec + motor</v>
      </c>
      <c r="I4802" s="454"/>
      <c r="J4802" s="102" t="s">
        <v>1798</v>
      </c>
      <c r="K4802" s="492" t="s">
        <v>741</v>
      </c>
    </row>
    <row r="4803" spans="1:11" s="185" customFormat="1">
      <c r="A4803" s="1533"/>
      <c r="B4803" s="1535" t="s">
        <v>8485</v>
      </c>
      <c r="C4803" s="1407"/>
      <c r="D4803" s="1407">
        <v>11967.24</v>
      </c>
      <c r="E4803" s="505">
        <f t="shared" si="615"/>
        <v>480</v>
      </c>
      <c r="F4803" s="498">
        <f t="shared" si="616"/>
        <v>12447.24</v>
      </c>
      <c r="G4803" s="499" t="s">
        <v>8486</v>
      </c>
      <c r="H4803" s="458" t="str">
        <f t="shared" si="617"/>
        <v>Magnum(MWN)-extraib_630A_3p_50kA_LSI + bloq mec + motor</v>
      </c>
      <c r="I4803" s="454"/>
      <c r="J4803" s="102" t="s">
        <v>1798</v>
      </c>
      <c r="K4803" s="492" t="s">
        <v>741</v>
      </c>
    </row>
    <row r="4804" spans="1:11" s="185" customFormat="1">
      <c r="A4804" s="1533"/>
      <c r="B4804" s="1535" t="s">
        <v>8487</v>
      </c>
      <c r="C4804" s="1407"/>
      <c r="D4804" s="1407">
        <v>11967.24</v>
      </c>
      <c r="E4804" s="505">
        <f t="shared" si="615"/>
        <v>480</v>
      </c>
      <c r="F4804" s="498">
        <f t="shared" si="616"/>
        <v>12447.24</v>
      </c>
      <c r="G4804" s="499" t="s">
        <v>8488</v>
      </c>
      <c r="H4804" s="458" t="str">
        <f t="shared" si="617"/>
        <v>Magnum(MWN)-extraib_500A_3p_50kA_LSI + bloq mec + motor</v>
      </c>
      <c r="I4804" s="454"/>
      <c r="J4804" s="102" t="s">
        <v>1798</v>
      </c>
      <c r="K4804" s="492" t="s">
        <v>741</v>
      </c>
    </row>
    <row r="4805" spans="1:11" s="185" customFormat="1">
      <c r="A4805" s="1533"/>
      <c r="B4805" s="1536" t="s">
        <v>8489</v>
      </c>
      <c r="C4805" s="1537"/>
      <c r="D4805" s="1537">
        <v>7497.98</v>
      </c>
      <c r="E4805" s="505">
        <f t="shared" si="615"/>
        <v>480</v>
      </c>
      <c r="F4805" s="498">
        <f t="shared" si="616"/>
        <v>7977.98</v>
      </c>
      <c r="G4805" s="499" t="s">
        <v>8490</v>
      </c>
      <c r="H4805" s="458" t="str">
        <f t="shared" si="617"/>
        <v>Magnum(MWN)-extraib_1000A_3p_50kA_LSI</v>
      </c>
      <c r="I4805" s="454"/>
      <c r="J4805" s="102" t="s">
        <v>1798</v>
      </c>
      <c r="K4805" s="492" t="s">
        <v>741</v>
      </c>
    </row>
    <row r="4806" spans="1:11" s="185" customFormat="1">
      <c r="A4806" s="1533"/>
      <c r="B4806" s="1536" t="s">
        <v>8491</v>
      </c>
      <c r="C4806" s="1537"/>
      <c r="D4806" s="1537">
        <v>7497.98</v>
      </c>
      <c r="E4806" s="505">
        <f t="shared" si="615"/>
        <v>480</v>
      </c>
      <c r="F4806" s="498">
        <f t="shared" si="616"/>
        <v>7977.98</v>
      </c>
      <c r="G4806" s="499" t="s">
        <v>8492</v>
      </c>
      <c r="H4806" s="458" t="str">
        <f t="shared" si="617"/>
        <v>Magnum(MWN)-extraib_800A_3p_50kA_LSI</v>
      </c>
      <c r="I4806" s="454"/>
      <c r="J4806" s="102" t="s">
        <v>1798</v>
      </c>
      <c r="K4806" s="492" t="s">
        <v>741</v>
      </c>
    </row>
    <row r="4807" spans="1:11" s="185" customFormat="1">
      <c r="A4807" s="1533"/>
      <c r="B4807" s="1536" t="s">
        <v>8493</v>
      </c>
      <c r="C4807" s="1537"/>
      <c r="D4807" s="1537">
        <v>7497.98</v>
      </c>
      <c r="E4807" s="505">
        <f t="shared" si="615"/>
        <v>480</v>
      </c>
      <c r="F4807" s="498">
        <f t="shared" si="616"/>
        <v>7977.98</v>
      </c>
      <c r="G4807" s="499" t="s">
        <v>8494</v>
      </c>
      <c r="H4807" s="458" t="str">
        <f t="shared" si="617"/>
        <v>Magnum(MWN)-extraib_630A_3p_50kA_LSI</v>
      </c>
      <c r="I4807" s="454"/>
      <c r="J4807" s="102" t="s">
        <v>1798</v>
      </c>
      <c r="K4807" s="492" t="s">
        <v>741</v>
      </c>
    </row>
    <row r="4808" spans="1:11" s="185" customFormat="1">
      <c r="A4808" s="1533"/>
      <c r="B4808" s="1536" t="s">
        <v>8495</v>
      </c>
      <c r="C4808" s="1537"/>
      <c r="D4808" s="1537">
        <v>7497.98</v>
      </c>
      <c r="E4808" s="505">
        <f t="shared" si="615"/>
        <v>480</v>
      </c>
      <c r="F4808" s="498">
        <f t="shared" si="616"/>
        <v>7977.98</v>
      </c>
      <c r="G4808" s="499" t="s">
        <v>8496</v>
      </c>
      <c r="H4808" s="458" t="str">
        <f t="shared" si="617"/>
        <v>Magnum(MWN)-extraib_500A_3p_50kA_LSI</v>
      </c>
      <c r="I4808" s="454"/>
      <c r="J4808" s="102" t="s">
        <v>1798</v>
      </c>
      <c r="K4808" s="492" t="s">
        <v>741</v>
      </c>
    </row>
    <row r="4809" spans="1:11" s="185" customFormat="1">
      <c r="A4809" s="1533"/>
      <c r="B4809" s="1534" t="s">
        <v>8497</v>
      </c>
      <c r="C4809" s="1497"/>
      <c r="D4809" s="1497">
        <v>7320.8</v>
      </c>
      <c r="E4809" s="505">
        <f t="shared" si="615"/>
        <v>480</v>
      </c>
      <c r="F4809" s="498">
        <f t="shared" si="616"/>
        <v>7800.8</v>
      </c>
      <c r="G4809" s="499" t="s">
        <v>8498</v>
      </c>
      <c r="H4809" s="458" t="str">
        <f t="shared" si="617"/>
        <v>Magnum(MWN)-extraib_1000A_3p_40kA_LSI</v>
      </c>
      <c r="I4809" s="454"/>
      <c r="J4809" s="102" t="s">
        <v>1798</v>
      </c>
      <c r="K4809" s="492" t="s">
        <v>741</v>
      </c>
    </row>
    <row r="4810" spans="1:11" s="185" customFormat="1">
      <c r="A4810" s="1533"/>
      <c r="B4810" s="1534" t="s">
        <v>8499</v>
      </c>
      <c r="C4810" s="1497"/>
      <c r="D4810" s="1497">
        <v>7320.8</v>
      </c>
      <c r="E4810" s="505">
        <f t="shared" si="615"/>
        <v>480</v>
      </c>
      <c r="F4810" s="498">
        <f t="shared" si="616"/>
        <v>7800.8</v>
      </c>
      <c r="G4810" s="499" t="s">
        <v>8500</v>
      </c>
      <c r="H4810" s="458" t="str">
        <f t="shared" si="617"/>
        <v>Magnum(MWN)-extraib_800A_3p_40kA_LSI</v>
      </c>
      <c r="I4810" s="454"/>
      <c r="J4810" s="102" t="s">
        <v>1798</v>
      </c>
      <c r="K4810" s="492" t="s">
        <v>741</v>
      </c>
    </row>
    <row r="4811" spans="1:11" s="185" customFormat="1">
      <c r="A4811" s="1533"/>
      <c r="B4811" s="1534" t="s">
        <v>8501</v>
      </c>
      <c r="C4811" s="1497"/>
      <c r="D4811" s="1497">
        <v>7320.8</v>
      </c>
      <c r="E4811" s="505">
        <f t="shared" si="615"/>
        <v>480</v>
      </c>
      <c r="F4811" s="498">
        <f t="shared" si="616"/>
        <v>7800.8</v>
      </c>
      <c r="G4811" s="499" t="s">
        <v>8502</v>
      </c>
      <c r="H4811" s="458" t="str">
        <f t="shared" si="617"/>
        <v>Magnum(MWN)-extraib_630A_3p_40kA_LSI</v>
      </c>
      <c r="I4811" s="454"/>
      <c r="J4811" s="102" t="s">
        <v>1798</v>
      </c>
      <c r="K4811" s="492" t="s">
        <v>741</v>
      </c>
    </row>
    <row r="4812" spans="1:11" s="185" customFormat="1">
      <c r="A4812" s="1533"/>
      <c r="B4812" s="1534" t="s">
        <v>8503</v>
      </c>
      <c r="C4812" s="1497"/>
      <c r="D4812" s="1497">
        <v>7320.8</v>
      </c>
      <c r="E4812" s="505">
        <f t="shared" si="615"/>
        <v>480</v>
      </c>
      <c r="F4812" s="498">
        <f t="shared" si="616"/>
        <v>7800.8</v>
      </c>
      <c r="G4812" s="499" t="s">
        <v>8504</v>
      </c>
      <c r="H4812" s="458" t="str">
        <f t="shared" si="617"/>
        <v>Magnum(MWN)-extraib_500A_3p_40kA_LSI</v>
      </c>
      <c r="I4812" s="454"/>
      <c r="J4812" s="102" t="s">
        <v>1798</v>
      </c>
      <c r="K4812" s="492" t="s">
        <v>741</v>
      </c>
    </row>
    <row r="4813" spans="1:11" s="185" customFormat="1">
      <c r="A4813"/>
      <c r="B4813" s="496"/>
      <c r="C4813" s="401"/>
      <c r="D4813" s="401"/>
      <c r="E4813" s="505"/>
      <c r="F4813" s="498"/>
      <c r="G4813" s="499"/>
      <c r="H4813" s="458"/>
      <c r="I4813" s="454"/>
      <c r="J4813" s="102"/>
      <c r="K4813" s="492"/>
    </row>
    <row r="4814" spans="1:11" s="185" customFormat="1">
      <c r="A4814" s="1532"/>
      <c r="B4814" s="496"/>
      <c r="C4814" s="401"/>
      <c r="D4814" s="401"/>
      <c r="E4814" s="401"/>
      <c r="F4814" s="498"/>
      <c r="G4814" s="499"/>
      <c r="H4814" s="139"/>
      <c r="I4814" s="454"/>
      <c r="J4814" s="368"/>
      <c r="K4814" s="492"/>
    </row>
    <row r="4815" spans="1:11" s="185" customFormat="1">
      <c r="A4815" s="1533"/>
      <c r="B4815" s="1534" t="s">
        <v>8505</v>
      </c>
      <c r="C4815" s="1497"/>
      <c r="D4815" s="1497">
        <v>19034.66</v>
      </c>
      <c r="E4815" s="505">
        <f t="shared" ref="E4815:E4823" si="618">400+80</f>
        <v>480</v>
      </c>
      <c r="F4815" s="498">
        <f t="shared" ref="F4815:F4820" si="619">D4815+E4815</f>
        <v>19514.66</v>
      </c>
      <c r="G4815" s="499" t="s">
        <v>8506</v>
      </c>
      <c r="H4815" s="458" t="str">
        <f t="shared" ref="H4815:H4820" si="620">B4815</f>
        <v>Magnum(MWN)-extraib_2000A_3p_65kA_LSIG + bloq mec + motor</v>
      </c>
      <c r="I4815" s="454"/>
      <c r="J4815" s="102" t="s">
        <v>1798</v>
      </c>
      <c r="K4815" s="492" t="s">
        <v>741</v>
      </c>
    </row>
    <row r="4816" spans="1:11" s="185" customFormat="1">
      <c r="A4816" s="1533"/>
      <c r="B4816" s="1534" t="s">
        <v>8507</v>
      </c>
      <c r="C4816" s="1497"/>
      <c r="D4816" s="1497">
        <v>17424.62</v>
      </c>
      <c r="E4816" s="505">
        <f t="shared" si="618"/>
        <v>480</v>
      </c>
      <c r="F4816" s="498">
        <f t="shared" si="619"/>
        <v>17904.62</v>
      </c>
      <c r="G4816" s="499" t="s">
        <v>8508</v>
      </c>
      <c r="H4816" s="458" t="str">
        <f t="shared" si="620"/>
        <v>Magnum(MWN)-extraib_1250A_3p_50kA_LSIG + bloq mec + motor</v>
      </c>
      <c r="I4816" s="454"/>
      <c r="J4816" s="102" t="s">
        <v>1798</v>
      </c>
      <c r="K4816" s="492" t="s">
        <v>741</v>
      </c>
    </row>
    <row r="4817" spans="1:11" s="185" customFormat="1">
      <c r="A4817" s="1533"/>
      <c r="B4817" s="1534" t="s">
        <v>8509</v>
      </c>
      <c r="C4817" s="1497"/>
      <c r="D4817" s="1497">
        <v>12843.73</v>
      </c>
      <c r="E4817" s="505">
        <f t="shared" si="618"/>
        <v>480</v>
      </c>
      <c r="F4817" s="498">
        <f t="shared" si="619"/>
        <v>13323.73</v>
      </c>
      <c r="G4817" s="499" t="s">
        <v>8510</v>
      </c>
      <c r="H4817" s="458" t="str">
        <f t="shared" si="620"/>
        <v>Magnum(MWN)-extraib_1250A_3p_50kA_LSIG + motor</v>
      </c>
      <c r="I4817" s="454"/>
      <c r="J4817" s="102" t="s">
        <v>1798</v>
      </c>
      <c r="K4817" s="492" t="s">
        <v>741</v>
      </c>
    </row>
    <row r="4818" spans="1:11" s="185" customFormat="1">
      <c r="A4818" s="1533"/>
      <c r="B4818" s="1534" t="s">
        <v>8511</v>
      </c>
      <c r="C4818" s="1497"/>
      <c r="D4818" s="1497">
        <v>12938.23</v>
      </c>
      <c r="E4818" s="505">
        <f t="shared" si="618"/>
        <v>480</v>
      </c>
      <c r="F4818" s="498">
        <f t="shared" si="619"/>
        <v>13418.23</v>
      </c>
      <c r="G4818" s="499" t="s">
        <v>8512</v>
      </c>
      <c r="H4818" s="458" t="str">
        <f t="shared" si="620"/>
        <v>Magnum(MWN)-extraib_1000A_3p_65kA_LSIG + bloq mec + motor</v>
      </c>
      <c r="I4818" s="454"/>
      <c r="J4818" s="102" t="s">
        <v>1798</v>
      </c>
      <c r="K4818" s="492" t="s">
        <v>741</v>
      </c>
    </row>
    <row r="4819" spans="1:11" s="185" customFormat="1">
      <c r="A4819" s="1533"/>
      <c r="B4819" s="1534" t="s">
        <v>8513</v>
      </c>
      <c r="C4819" s="1497"/>
      <c r="D4819" s="1497">
        <v>8314.23</v>
      </c>
      <c r="E4819" s="505">
        <f t="shared" si="618"/>
        <v>480</v>
      </c>
      <c r="F4819" s="498">
        <f t="shared" si="619"/>
        <v>8794.23</v>
      </c>
      <c r="G4819" s="499" t="s">
        <v>8514</v>
      </c>
      <c r="H4819" s="458" t="str">
        <f t="shared" si="620"/>
        <v>Magnum(MWN)-extraib_630A_3p_50kA_LSIG</v>
      </c>
      <c r="I4819" s="454"/>
      <c r="J4819" s="102" t="s">
        <v>1798</v>
      </c>
      <c r="K4819" s="492" t="s">
        <v>741</v>
      </c>
    </row>
    <row r="4820" spans="1:11" s="185" customFormat="1">
      <c r="A4820" s="1533"/>
      <c r="B4820" s="1534" t="s">
        <v>8515</v>
      </c>
      <c r="C4820" s="1497"/>
      <c r="D4820" s="1497">
        <v>10121.540000000001</v>
      </c>
      <c r="E4820" s="505">
        <f t="shared" si="618"/>
        <v>480</v>
      </c>
      <c r="F4820" s="498">
        <f t="shared" si="619"/>
        <v>10601.54</v>
      </c>
      <c r="G4820" s="499" t="s">
        <v>8516</v>
      </c>
      <c r="H4820" s="458" t="str">
        <f t="shared" si="620"/>
        <v>Magnum(MWN)-extraib_500A_3p_40kA_LSIG + bloq mec + motor</v>
      </c>
      <c r="I4820" s="454"/>
      <c r="J4820" s="102" t="s">
        <v>1798</v>
      </c>
      <c r="K4820" s="492" t="s">
        <v>741</v>
      </c>
    </row>
    <row r="4821" spans="1:11" s="185" customFormat="1">
      <c r="A4821" s="1533"/>
      <c r="B4821" s="1534"/>
      <c r="C4821" s="1497"/>
      <c r="D4821" s="1497"/>
      <c r="E4821" s="505"/>
      <c r="F4821" s="498"/>
      <c r="G4821" s="499"/>
      <c r="H4821" s="458"/>
      <c r="I4821" s="454"/>
      <c r="J4821" s="102"/>
      <c r="K4821" s="492"/>
    </row>
    <row r="4822" spans="1:11" s="185" customFormat="1">
      <c r="A4822" s="1533"/>
      <c r="B4822" s="1534" t="s">
        <v>8517</v>
      </c>
      <c r="C4822" s="1497"/>
      <c r="D4822" s="1497">
        <v>8496.14</v>
      </c>
      <c r="E4822" s="505">
        <f t="shared" si="618"/>
        <v>480</v>
      </c>
      <c r="F4822" s="498">
        <f>D4822+E4822</f>
        <v>8976.14</v>
      </c>
      <c r="G4822" s="499" t="s">
        <v>8518</v>
      </c>
      <c r="H4822" s="458" t="str">
        <f>B4822</f>
        <v>Magnum(MWN)-extraib_1000A_3p_40kA_LSIG</v>
      </c>
      <c r="I4822" s="454"/>
      <c r="J4822" s="102" t="s">
        <v>1798</v>
      </c>
      <c r="K4822" s="492" t="s">
        <v>741</v>
      </c>
    </row>
    <row r="4823" spans="1:11" s="185" customFormat="1">
      <c r="A4823" s="1533"/>
      <c r="B4823" s="1534" t="s">
        <v>8519</v>
      </c>
      <c r="C4823" s="1497"/>
      <c r="D4823" s="1497">
        <v>8196.1</v>
      </c>
      <c r="E4823" s="505">
        <f t="shared" si="618"/>
        <v>480</v>
      </c>
      <c r="F4823" s="498">
        <f>D4823+E4823</f>
        <v>8676.1</v>
      </c>
      <c r="G4823" s="499" t="s">
        <v>8520</v>
      </c>
      <c r="H4823" s="458" t="str">
        <f>B4823</f>
        <v>Magnum(MWN)-extraib_630A_3p_40kA_LSIG</v>
      </c>
      <c r="I4823" s="454"/>
      <c r="J4823" s="102" t="s">
        <v>1798</v>
      </c>
      <c r="K4823" s="492" t="s">
        <v>741</v>
      </c>
    </row>
    <row r="4824" spans="1:11" s="185" customFormat="1">
      <c r="A4824"/>
      <c r="B4824" s="1535"/>
      <c r="C4824" s="1407"/>
      <c r="D4824" s="1407"/>
      <c r="E4824" s="1407"/>
      <c r="F4824" s="1538"/>
      <c r="G4824" s="1539"/>
      <c r="H4824" s="135"/>
      <c r="I4824" s="446"/>
      <c r="J4824"/>
      <c r="K4824" s="1540"/>
    </row>
    <row r="4825" spans="1:11" s="185" customFormat="1">
      <c r="A4825"/>
      <c r="B4825" s="1535"/>
      <c r="C4825" s="1407"/>
      <c r="D4825" s="1407"/>
      <c r="E4825" s="1407"/>
      <c r="F4825" s="1538"/>
      <c r="G4825" s="1539"/>
      <c r="H4825" s="135"/>
      <c r="I4825" s="446"/>
      <c r="J4825"/>
      <c r="K4825" s="1540"/>
    </row>
    <row r="4826" spans="1:11" s="185" customFormat="1">
      <c r="A4826"/>
      <c r="B4826" s="1535" t="s">
        <v>8521</v>
      </c>
      <c r="C4826" s="1407"/>
      <c r="D4826" s="1407">
        <v>7114.9403076923054</v>
      </c>
      <c r="E4826" s="505">
        <f t="shared" ref="E4826:E4831" si="621">400+80</f>
        <v>480</v>
      </c>
      <c r="F4826" s="498">
        <f t="shared" ref="F4826:F4831" si="622">D4826+E4826</f>
        <v>7594.9403076923054</v>
      </c>
      <c r="G4826" s="1539" t="s">
        <v>8522</v>
      </c>
      <c r="H4826" s="135" t="s">
        <v>8521</v>
      </c>
      <c r="I4826" s="446"/>
      <c r="J4826" t="s">
        <v>1798</v>
      </c>
      <c r="K4826" s="1540"/>
    </row>
    <row r="4827" spans="1:11" s="185" customFormat="1">
      <c r="A4827"/>
      <c r="B4827" s="1535" t="s">
        <v>8523</v>
      </c>
      <c r="C4827" s="1407"/>
      <c r="D4827" s="1407">
        <v>7114.9403076923054</v>
      </c>
      <c r="E4827" s="505">
        <f t="shared" si="621"/>
        <v>480</v>
      </c>
      <c r="F4827" s="498">
        <f t="shared" si="622"/>
        <v>7594.9403076923054</v>
      </c>
      <c r="G4827" s="1539" t="s">
        <v>8524</v>
      </c>
      <c r="H4827" s="135" t="s">
        <v>8523</v>
      </c>
      <c r="I4827" s="446"/>
      <c r="J4827" t="s">
        <v>1798</v>
      </c>
      <c r="K4827" s="1540"/>
    </row>
    <row r="4828" spans="1:11" s="185" customFormat="1">
      <c r="A4828"/>
      <c r="B4828" s="1535" t="s">
        <v>8525</v>
      </c>
      <c r="C4828" s="1407"/>
      <c r="D4828" s="1407">
        <v>6924.8824615384592</v>
      </c>
      <c r="E4828" s="505">
        <f t="shared" si="621"/>
        <v>480</v>
      </c>
      <c r="F4828" s="498">
        <f t="shared" si="622"/>
        <v>7404.8824615384592</v>
      </c>
      <c r="G4828" s="1539" t="s">
        <v>8526</v>
      </c>
      <c r="H4828" s="135" t="s">
        <v>8525</v>
      </c>
      <c r="I4828" s="446"/>
      <c r="J4828" t="s">
        <v>1798</v>
      </c>
      <c r="K4828" s="1540"/>
    </row>
    <row r="4829" spans="1:11" s="185" customFormat="1">
      <c r="A4829"/>
      <c r="B4829" s="1535" t="s">
        <v>8527</v>
      </c>
      <c r="C4829" s="1407"/>
      <c r="D4829" s="1407">
        <v>7114.9403076923054</v>
      </c>
      <c r="E4829" s="505">
        <f t="shared" si="621"/>
        <v>480</v>
      </c>
      <c r="F4829" s="498">
        <f t="shared" si="622"/>
        <v>7594.9403076923054</v>
      </c>
      <c r="G4829" s="1539" t="s">
        <v>8528</v>
      </c>
      <c r="H4829" s="135" t="s">
        <v>8527</v>
      </c>
      <c r="I4829" s="446"/>
      <c r="J4829" t="s">
        <v>1798</v>
      </c>
      <c r="K4829" s="1540"/>
    </row>
    <row r="4830" spans="1:11" s="185" customFormat="1">
      <c r="A4830"/>
      <c r="B4830" s="1535" t="s">
        <v>8529</v>
      </c>
      <c r="C4830" s="1407"/>
      <c r="D4830" s="1407">
        <v>7114.9403076923054</v>
      </c>
      <c r="E4830" s="505">
        <f t="shared" si="621"/>
        <v>480</v>
      </c>
      <c r="F4830" s="498">
        <f t="shared" si="622"/>
        <v>7594.9403076923054</v>
      </c>
      <c r="G4830" s="1539" t="s">
        <v>8530</v>
      </c>
      <c r="H4830" s="135" t="s">
        <v>8529</v>
      </c>
      <c r="I4830" s="446"/>
      <c r="J4830" t="s">
        <v>1798</v>
      </c>
      <c r="K4830" s="1540"/>
    </row>
    <row r="4831" spans="1:11" s="185" customFormat="1">
      <c r="A4831"/>
      <c r="B4831" s="1535" t="s">
        <v>8531</v>
      </c>
      <c r="C4831" s="1407"/>
      <c r="D4831" s="1407">
        <v>9416.185846153845</v>
      </c>
      <c r="E4831" s="505">
        <f t="shared" si="621"/>
        <v>480</v>
      </c>
      <c r="F4831" s="498">
        <f t="shared" si="622"/>
        <v>9896.185846153845</v>
      </c>
      <c r="G4831" s="1539" t="s">
        <v>8532</v>
      </c>
      <c r="H4831" s="135" t="s">
        <v>8531</v>
      </c>
      <c r="I4831" s="446"/>
      <c r="J4831" t="s">
        <v>1798</v>
      </c>
      <c r="K4831" s="1540"/>
    </row>
    <row r="4832" spans="1:11" s="185" customFormat="1">
      <c r="A4832"/>
      <c r="B4832" s="1535"/>
      <c r="C4832" s="1407"/>
      <c r="D4832" s="1407"/>
      <c r="E4832" s="1407"/>
      <c r="F4832" s="1538"/>
      <c r="G4832" s="1539"/>
      <c r="H4832" s="135"/>
      <c r="I4832" s="446"/>
      <c r="J4832"/>
      <c r="K4832" s="1540"/>
    </row>
    <row r="4833" spans="1:30" s="185" customFormat="1">
      <c r="A4833"/>
      <c r="B4833" s="1535" t="s">
        <v>8533</v>
      </c>
      <c r="C4833" s="1407"/>
      <c r="D4833" s="1407">
        <v>658.57846153846151</v>
      </c>
      <c r="E4833" s="505">
        <v>30</v>
      </c>
      <c r="F4833" s="498">
        <f t="shared" ref="F4833:F4838" si="623">D4833+E4833</f>
        <v>688.57846153846151</v>
      </c>
      <c r="G4833" s="1539" t="s">
        <v>8534</v>
      </c>
      <c r="H4833" s="135" t="s">
        <v>8533</v>
      </c>
      <c r="I4833" s="446"/>
      <c r="J4833" t="s">
        <v>1798</v>
      </c>
      <c r="K4833" s="1540"/>
    </row>
    <row r="4834" spans="1:30" s="185" customFormat="1">
      <c r="A4834"/>
      <c r="B4834" s="1535" t="s">
        <v>8535</v>
      </c>
      <c r="C4834" s="1407"/>
      <c r="D4834" s="1407">
        <v>597.85846153846148</v>
      </c>
      <c r="E4834" s="505">
        <v>30</v>
      </c>
      <c r="F4834" s="498">
        <f t="shared" si="623"/>
        <v>627.85846153846148</v>
      </c>
      <c r="G4834" s="1539" t="s">
        <v>8536</v>
      </c>
      <c r="H4834" s="135" t="s">
        <v>8535</v>
      </c>
      <c r="I4834" s="446"/>
      <c r="J4834" t="s">
        <v>1798</v>
      </c>
      <c r="K4834" s="1540"/>
    </row>
    <row r="4835" spans="1:30" s="185" customFormat="1">
      <c r="A4835"/>
      <c r="B4835" s="1535" t="s">
        <v>8537</v>
      </c>
      <c r="C4835" s="1407"/>
      <c r="D4835" s="1407">
        <v>836.06769230769225</v>
      </c>
      <c r="E4835" s="505">
        <v>30</v>
      </c>
      <c r="F4835" s="498">
        <f t="shared" si="623"/>
        <v>866.06769230769225</v>
      </c>
      <c r="G4835" s="1539" t="s">
        <v>8538</v>
      </c>
      <c r="H4835" s="135" t="s">
        <v>8537</v>
      </c>
      <c r="I4835" s="446"/>
      <c r="J4835" t="s">
        <v>1798</v>
      </c>
      <c r="K4835" s="1540"/>
    </row>
    <row r="4836" spans="1:30" s="185" customFormat="1">
      <c r="A4836"/>
      <c r="B4836" s="1535" t="s">
        <v>8539</v>
      </c>
      <c r="C4836" s="1407"/>
      <c r="D4836" s="1407">
        <v>565.16307692307691</v>
      </c>
      <c r="E4836" s="505">
        <v>30</v>
      </c>
      <c r="F4836" s="498">
        <f t="shared" si="623"/>
        <v>595.16307692307691</v>
      </c>
      <c r="G4836" s="1539" t="s">
        <v>8540</v>
      </c>
      <c r="H4836" s="135" t="s">
        <v>8539</v>
      </c>
      <c r="I4836" s="446"/>
      <c r="J4836" t="s">
        <v>1798</v>
      </c>
      <c r="K4836" s="1540"/>
    </row>
    <row r="4837" spans="1:30" s="185" customFormat="1">
      <c r="A4837"/>
      <c r="B4837" s="1535" t="s">
        <v>8541</v>
      </c>
      <c r="C4837" s="1407"/>
      <c r="D4837" s="1407">
        <v>565.16307692307691</v>
      </c>
      <c r="E4837" s="505">
        <v>30</v>
      </c>
      <c r="F4837" s="498">
        <f t="shared" si="623"/>
        <v>595.16307692307691</v>
      </c>
      <c r="G4837" s="1539" t="s">
        <v>8542</v>
      </c>
      <c r="H4837" s="135" t="s">
        <v>8541</v>
      </c>
      <c r="I4837" s="446"/>
      <c r="J4837" t="s">
        <v>1798</v>
      </c>
      <c r="K4837" s="1540"/>
    </row>
    <row r="4838" spans="1:30" s="185" customFormat="1">
      <c r="A4838"/>
      <c r="B4838" s="1535" t="s">
        <v>8543</v>
      </c>
      <c r="C4838" s="1407"/>
      <c r="D4838" s="1407">
        <v>635.22461538461528</v>
      </c>
      <c r="E4838" s="505">
        <v>30</v>
      </c>
      <c r="F4838" s="498">
        <f t="shared" si="623"/>
        <v>665.22461538461528</v>
      </c>
      <c r="G4838" s="1539" t="s">
        <v>8544</v>
      </c>
      <c r="H4838" s="135" t="s">
        <v>8543</v>
      </c>
      <c r="I4838" s="446"/>
      <c r="J4838" t="s">
        <v>1798</v>
      </c>
      <c r="K4838" s="1540"/>
    </row>
    <row r="4839" spans="1:30" s="185" customFormat="1">
      <c r="A4839"/>
      <c r="B4839" s="1535"/>
      <c r="C4839" s="1407"/>
      <c r="D4839" s="1407"/>
      <c r="E4839" s="1407"/>
      <c r="F4839" s="1538"/>
      <c r="G4839" s="1539"/>
      <c r="H4839" s="135"/>
      <c r="I4839" s="446"/>
      <c r="J4839"/>
      <c r="K4839" s="1540"/>
    </row>
    <row r="4840" spans="1:30" s="185" customFormat="1">
      <c r="A4840"/>
      <c r="B4840" s="1535"/>
      <c r="C4840" s="1407"/>
      <c r="D4840" s="1407"/>
      <c r="E4840" s="1407"/>
      <c r="F4840" s="1538"/>
      <c r="G4840" s="1539"/>
      <c r="H4840" s="135"/>
      <c r="I4840" s="446"/>
      <c r="J4840"/>
      <c r="K4840" s="1540"/>
    </row>
    <row r="4841" spans="1:30" s="185" customFormat="1">
      <c r="A4841"/>
      <c r="B4841" s="1535"/>
      <c r="C4841" s="1407"/>
      <c r="D4841" s="1407"/>
      <c r="E4841" s="1407"/>
      <c r="F4841" s="1538"/>
      <c r="G4841" s="1539"/>
      <c r="H4841" s="135"/>
      <c r="I4841" s="446"/>
      <c r="J4841"/>
      <c r="K4841" s="1540"/>
    </row>
    <row r="4842" spans="1:30" s="185" customFormat="1">
      <c r="A4842"/>
      <c r="B4842" s="1535"/>
      <c r="C4842" s="1407"/>
      <c r="D4842" s="1407"/>
      <c r="E4842" s="1407"/>
      <c r="F4842" s="1538"/>
      <c r="G4842" s="1539"/>
      <c r="H4842" s="135"/>
      <c r="I4842" s="446"/>
      <c r="J4842"/>
      <c r="K4842" s="492"/>
    </row>
    <row r="4843" spans="1:30" s="533" customFormat="1">
      <c r="A4843"/>
      <c r="B4843" s="537" t="s">
        <v>8545</v>
      </c>
      <c r="C4843" s="1497"/>
      <c r="D4843" s="1497">
        <v>500</v>
      </c>
      <c r="E4843" s="505">
        <v>30</v>
      </c>
      <c r="F4843" s="498">
        <f>D4843+E4843</f>
        <v>530</v>
      </c>
      <c r="G4843" s="320" t="s">
        <v>8546</v>
      </c>
      <c r="H4843" s="458" t="str">
        <f>B4843</f>
        <v>Mod_Com_Bastidor_Eaton</v>
      </c>
      <c r="I4843" s="28"/>
      <c r="J4843" s="102" t="s">
        <v>1798</v>
      </c>
      <c r="K4843" s="33" t="s">
        <v>741</v>
      </c>
      <c r="L4843" s="190"/>
      <c r="M4843" s="190"/>
      <c r="N4843" s="190"/>
      <c r="O4843" s="190"/>
      <c r="P4843" s="190"/>
      <c r="Q4843" s="190"/>
      <c r="R4843" s="190"/>
      <c r="S4843" s="190"/>
      <c r="T4843" s="190"/>
      <c r="U4843" s="190"/>
      <c r="V4843" s="190"/>
      <c r="W4843" s="190"/>
      <c r="X4843" s="190"/>
      <c r="Y4843" s="190"/>
      <c r="Z4843" s="190"/>
      <c r="AA4843" s="190"/>
      <c r="AB4843" s="190"/>
      <c r="AC4843" s="190"/>
      <c r="AD4843" s="190"/>
    </row>
    <row r="4844" spans="1:30" s="185" customFormat="1">
      <c r="A4844"/>
      <c r="B4844" s="1535"/>
      <c r="C4844" s="1407"/>
      <c r="D4844" s="1407"/>
      <c r="E4844" s="1407"/>
      <c r="F4844" s="1538"/>
      <c r="G4844" s="1539"/>
      <c r="H4844" s="135"/>
      <c r="I4844" s="446"/>
      <c r="J4844"/>
      <c r="K4844" s="492"/>
    </row>
    <row r="4845" spans="1:30" s="185" customFormat="1">
      <c r="A4845" s="368"/>
      <c r="B4845" s="496"/>
      <c r="C4845" s="401"/>
      <c r="D4845" s="401"/>
      <c r="E4845" s="401"/>
      <c r="F4845" s="498"/>
      <c r="G4845" s="499"/>
      <c r="H4845" s="139"/>
      <c r="I4845" s="454"/>
      <c r="J4845" s="368"/>
      <c r="K4845" s="492"/>
    </row>
    <row r="4846" spans="1:30">
      <c r="A4846" s="102"/>
      <c r="B4846" s="496" t="s">
        <v>2530</v>
      </c>
      <c r="C4846" s="401"/>
      <c r="D4846" s="401">
        <v>14252</v>
      </c>
      <c r="E4846" s="505">
        <v>500</v>
      </c>
      <c r="F4846" s="498">
        <f>D4846+E4846</f>
        <v>14752</v>
      </c>
      <c r="G4846" s="499" t="s">
        <v>2563</v>
      </c>
      <c r="H4846" s="458" t="str">
        <f>B4846</f>
        <v>Magnum(MWS)-extraib_2500A_3p_LSIA</v>
      </c>
      <c r="I4846" s="454"/>
      <c r="J4846" s="102" t="s">
        <v>1798</v>
      </c>
      <c r="K4846" s="492" t="s">
        <v>741</v>
      </c>
      <c r="L4846" s="189"/>
      <c r="M4846" s="189"/>
      <c r="N4846" s="189"/>
    </row>
    <row r="4847" spans="1:30">
      <c r="A4847" s="102"/>
      <c r="B4847" s="496" t="s">
        <v>2562</v>
      </c>
      <c r="C4847" s="401"/>
      <c r="D4847" s="401">
        <v>17704</v>
      </c>
      <c r="E4847" s="505">
        <v>600</v>
      </c>
      <c r="F4847" s="498">
        <f>D4847+E4847</f>
        <v>18304</v>
      </c>
      <c r="G4847" s="499" t="s">
        <v>2564</v>
      </c>
      <c r="H4847" s="458" t="str">
        <f>B4847</f>
        <v>Magnum(MWS)-extraib_2500A_4p_LSIA</v>
      </c>
      <c r="I4847" s="454"/>
      <c r="J4847" s="102" t="s">
        <v>1798</v>
      </c>
      <c r="K4847" s="492" t="s">
        <v>741</v>
      </c>
      <c r="L4847" s="189"/>
      <c r="M4847" s="189"/>
      <c r="N4847" s="189"/>
    </row>
    <row r="4848" spans="1:30">
      <c r="A4848" s="102"/>
      <c r="B4848" s="496" t="s">
        <v>2565</v>
      </c>
      <c r="C4848" s="401"/>
      <c r="D4848" s="401">
        <v>15584</v>
      </c>
      <c r="E4848" s="505">
        <v>500</v>
      </c>
      <c r="F4848" s="498">
        <f>D4848+E4848</f>
        <v>16084</v>
      </c>
      <c r="G4848" s="499" t="s">
        <v>2566</v>
      </c>
      <c r="H4848" s="458" t="str">
        <f>B4848</f>
        <v>Magnum(MWS)-extraib_3200A_3p_LSIA</v>
      </c>
      <c r="I4848" s="454"/>
      <c r="J4848" s="102" t="s">
        <v>1798</v>
      </c>
      <c r="K4848" s="492" t="s">
        <v>741</v>
      </c>
      <c r="L4848" s="189"/>
      <c r="M4848" s="189"/>
      <c r="N4848" s="189"/>
    </row>
    <row r="4849" spans="1:14">
      <c r="A4849" s="368"/>
      <c r="B4849" s="496"/>
      <c r="C4849" s="401"/>
      <c r="D4849" s="401"/>
      <c r="E4849" s="401"/>
      <c r="F4849" s="498"/>
      <c r="G4849" s="499"/>
      <c r="H4849" s="139"/>
      <c r="I4849" s="473"/>
      <c r="J4849" s="368"/>
      <c r="K4849" s="492"/>
      <c r="L4849" s="189"/>
      <c r="M4849" s="189"/>
      <c r="N4849" s="189"/>
    </row>
    <row r="4850" spans="1:14">
      <c r="A4850" s="102"/>
      <c r="B4850" s="496" t="s">
        <v>1902</v>
      </c>
      <c r="C4850" s="401"/>
      <c r="D4850" s="401">
        <v>18590</v>
      </c>
      <c r="E4850" s="505">
        <v>600</v>
      </c>
      <c r="F4850" s="498">
        <f>D4850+E4850</f>
        <v>19190</v>
      </c>
      <c r="G4850" s="499" t="s">
        <v>1903</v>
      </c>
      <c r="H4850" s="458" t="str">
        <f>B4850</f>
        <v>Magnum(S)_2500A_4p_Digitrip1150i-LSIG/A</v>
      </c>
      <c r="I4850" s="454"/>
      <c r="J4850" s="102" t="s">
        <v>1798</v>
      </c>
      <c r="K4850" s="492" t="s">
        <v>741</v>
      </c>
      <c r="L4850" s="189"/>
      <c r="M4850" s="189"/>
      <c r="N4850" s="189"/>
    </row>
    <row r="4851" spans="1:14">
      <c r="A4851" s="102"/>
      <c r="B4851" s="496" t="s">
        <v>1904</v>
      </c>
      <c r="C4851" s="401"/>
      <c r="D4851" s="401">
        <v>13790</v>
      </c>
      <c r="E4851" s="505">
        <v>600</v>
      </c>
      <c r="F4851" s="498">
        <f>D4851+E4851</f>
        <v>14390</v>
      </c>
      <c r="G4851" s="499" t="s">
        <v>1905</v>
      </c>
      <c r="H4851" s="458" t="str">
        <f>B4851</f>
        <v>Magnum(S)_2500A_4p_Digitrip520-LSIG</v>
      </c>
      <c r="I4851" s="454"/>
      <c r="J4851" s="102" t="s">
        <v>1798</v>
      </c>
      <c r="K4851" s="492" t="s">
        <v>741</v>
      </c>
      <c r="L4851" s="189"/>
      <c r="M4851" s="189"/>
      <c r="N4851" s="189"/>
    </row>
    <row r="4852" spans="1:14" s="33" customFormat="1">
      <c r="A4852" s="102"/>
      <c r="B4852" s="496" t="s">
        <v>1906</v>
      </c>
      <c r="C4852" s="401"/>
      <c r="D4852" s="401">
        <v>13350</v>
      </c>
      <c r="E4852" s="505">
        <v>600</v>
      </c>
      <c r="F4852" s="498">
        <f>D4852+E4852</f>
        <v>13950</v>
      </c>
      <c r="G4852" s="499" t="s">
        <v>1907</v>
      </c>
      <c r="H4852" s="458" t="str">
        <f>B4852</f>
        <v>Magnum(S)_2500A_4p_Digitrip520-LSI</v>
      </c>
      <c r="I4852" s="454"/>
      <c r="J4852" s="102" t="s">
        <v>1798</v>
      </c>
      <c r="K4852" s="492" t="s">
        <v>741</v>
      </c>
    </row>
    <row r="4853" spans="1:14" s="33" customFormat="1">
      <c r="A4853" s="102"/>
      <c r="B4853" s="496" t="s">
        <v>1908</v>
      </c>
      <c r="C4853" s="401"/>
      <c r="D4853" s="401">
        <v>10890</v>
      </c>
      <c r="E4853" s="505">
        <v>600</v>
      </c>
      <c r="F4853" s="498">
        <f>D4853+E4853</f>
        <v>11490</v>
      </c>
      <c r="G4853" s="499" t="s">
        <v>1909</v>
      </c>
      <c r="H4853" s="458" t="str">
        <f>B4853</f>
        <v>Magnum(N)_2000A_4p_Digitrip520-LSIG</v>
      </c>
      <c r="I4853" s="454"/>
      <c r="J4853" s="102" t="s">
        <v>1798</v>
      </c>
      <c r="K4853" s="492" t="s">
        <v>741</v>
      </c>
    </row>
    <row r="4854" spans="1:14">
      <c r="A4854" s="102"/>
      <c r="B4854" s="506" t="s">
        <v>1910</v>
      </c>
      <c r="C4854" s="505"/>
      <c r="D4854" s="505">
        <v>0</v>
      </c>
      <c r="E4854" s="507">
        <v>0</v>
      </c>
      <c r="F4854" s="508" t="e">
        <f>ROUNDUP(#REF!+E4854,1)</f>
        <v>#REF!</v>
      </c>
      <c r="G4854" s="506" t="s">
        <v>5084</v>
      </c>
      <c r="H4854" s="1663"/>
      <c r="I4854" s="452"/>
      <c r="J4854" s="102" t="s">
        <v>1798</v>
      </c>
      <c r="K4854" s="452" t="s">
        <v>741</v>
      </c>
      <c r="L4854" s="189"/>
      <c r="M4854" s="189"/>
      <c r="N4854" s="189"/>
    </row>
    <row r="4855" spans="1:14" s="185" customFormat="1">
      <c r="A4855" s="102"/>
      <c r="B4855" s="506" t="s">
        <v>1911</v>
      </c>
      <c r="C4855" s="505"/>
      <c r="D4855" s="505">
        <v>0</v>
      </c>
      <c r="E4855" s="507">
        <v>0</v>
      </c>
      <c r="F4855" s="508" t="e">
        <f>ROUNDUP(#REF!+E4855,1)</f>
        <v>#REF!</v>
      </c>
      <c r="G4855" s="506" t="s">
        <v>5085</v>
      </c>
      <c r="H4855" s="1663"/>
      <c r="I4855" s="452"/>
      <c r="J4855" s="102" t="s">
        <v>1798</v>
      </c>
      <c r="K4855" s="452" t="s">
        <v>741</v>
      </c>
    </row>
    <row r="4856" spans="1:14" s="185" customFormat="1">
      <c r="A4856" s="102"/>
      <c r="B4856" s="506" t="s">
        <v>1912</v>
      </c>
      <c r="C4856" s="505"/>
      <c r="D4856" s="505">
        <v>0</v>
      </c>
      <c r="E4856" s="507">
        <v>0</v>
      </c>
      <c r="F4856" s="508" t="e">
        <f>ROUNDUP(#REF!+E4856,1)</f>
        <v>#REF!</v>
      </c>
      <c r="G4856" s="506" t="s">
        <v>1913</v>
      </c>
      <c r="H4856" s="1663"/>
      <c r="I4856" s="452"/>
      <c r="J4856" s="102" t="s">
        <v>1798</v>
      </c>
      <c r="K4856" s="452" t="s">
        <v>741</v>
      </c>
    </row>
    <row r="4857" spans="1:14" s="185" customFormat="1">
      <c r="A4857" s="102"/>
      <c r="B4857" s="506" t="s">
        <v>1914</v>
      </c>
      <c r="C4857" s="505"/>
      <c r="D4857" s="505">
        <v>0</v>
      </c>
      <c r="E4857" s="507">
        <v>0</v>
      </c>
      <c r="F4857" s="508" t="e">
        <f>ROUNDUP(#REF!+E4857,1)</f>
        <v>#REF!</v>
      </c>
      <c r="G4857" s="506" t="s">
        <v>1915</v>
      </c>
      <c r="H4857" s="1663"/>
      <c r="I4857" s="452"/>
      <c r="J4857" s="102" t="s">
        <v>1798</v>
      </c>
      <c r="K4857" s="452" t="s">
        <v>741</v>
      </c>
    </row>
    <row r="4858" spans="1:14" s="185" customFormat="1">
      <c r="A4858"/>
      <c r="B4858" s="495"/>
      <c r="C4858" s="401"/>
      <c r="D4858" s="495"/>
      <c r="E4858" s="495"/>
      <c r="F4858" s="495"/>
      <c r="G4858" s="495"/>
      <c r="H4858" s="360"/>
      <c r="I4858"/>
      <c r="J4858"/>
      <c r="K4858"/>
    </row>
    <row r="4859" spans="1:14" s="33" customFormat="1">
      <c r="A4859" s="102"/>
      <c r="B4859" s="496" t="s">
        <v>8547</v>
      </c>
      <c r="C4859" s="401"/>
      <c r="D4859" s="401">
        <v>10529</v>
      </c>
      <c r="E4859" s="505">
        <v>600</v>
      </c>
      <c r="F4859" s="498">
        <f>D4859+E4859</f>
        <v>11129</v>
      </c>
      <c r="G4859" s="499" t="s">
        <v>8548</v>
      </c>
      <c r="H4859" s="458" t="str">
        <f>B4859</f>
        <v>Magnum(N)_2000A_4p_MWN5204HAA-20M2NMN4YNANFX</v>
      </c>
      <c r="I4859" s="454"/>
      <c r="J4859" s="102" t="s">
        <v>1798</v>
      </c>
      <c r="K4859" s="492" t="s">
        <v>741</v>
      </c>
    </row>
    <row r="4860" spans="1:14" s="185" customFormat="1">
      <c r="A4860" s="102"/>
      <c r="B4860" s="495"/>
      <c r="C4860" s="495"/>
      <c r="D4860" s="495"/>
      <c r="E4860" s="495"/>
      <c r="F4860" s="495"/>
      <c r="G4860" s="495"/>
      <c r="H4860" s="194"/>
      <c r="I4860" s="102"/>
      <c r="J4860" s="102"/>
      <c r="K4860" s="102"/>
    </row>
    <row r="4861" spans="1:14">
      <c r="A4861" s="102"/>
      <c r="B4861" s="499" t="s">
        <v>1916</v>
      </c>
      <c r="C4861" s="1369"/>
      <c r="D4861" s="509">
        <v>2200</v>
      </c>
      <c r="E4861" s="401">
        <v>6</v>
      </c>
      <c r="F4861" s="510">
        <f>ROUNDUP(D4861+E4861,1)</f>
        <v>2206</v>
      </c>
      <c r="G4861" s="499" t="s">
        <v>1917</v>
      </c>
      <c r="H4861" s="458" t="str">
        <f>B4861</f>
        <v>Dif-63/4/03-B</v>
      </c>
      <c r="I4861" s="452"/>
      <c r="J4861" s="102" t="s">
        <v>1798</v>
      </c>
      <c r="K4861" s="452" t="s">
        <v>741</v>
      </c>
    </row>
    <row r="4862" spans="1:14">
      <c r="A4862" s="102"/>
      <c r="B4862" s="499" t="s">
        <v>1918</v>
      </c>
      <c r="C4862" s="1369"/>
      <c r="D4862" s="509">
        <v>5500</v>
      </c>
      <c r="E4862" s="401">
        <v>12</v>
      </c>
      <c r="F4862" s="510">
        <f>ROUNDUP(D4862+E4862,1)</f>
        <v>5512</v>
      </c>
      <c r="G4862" s="499" t="s">
        <v>1919</v>
      </c>
      <c r="H4862" s="458" t="str">
        <f>B4862</f>
        <v>Dif-125/4/03-B</v>
      </c>
      <c r="I4862" s="452"/>
      <c r="J4862" s="102" t="s">
        <v>1798</v>
      </c>
      <c r="K4862" s="452" t="s">
        <v>741</v>
      </c>
    </row>
    <row r="4863" spans="1:14">
      <c r="A4863" s="102"/>
      <c r="B4863" s="495"/>
      <c r="C4863" s="495"/>
      <c r="D4863" s="495"/>
      <c r="E4863" s="495"/>
      <c r="F4863" s="495"/>
      <c r="G4863" s="495"/>
      <c r="H4863" s="194"/>
      <c r="I4863" s="102"/>
      <c r="J4863" s="102"/>
      <c r="K4863" s="102"/>
    </row>
    <row r="4864" spans="1:14" s="185" customFormat="1">
      <c r="A4864" s="368"/>
      <c r="B4864" s="496"/>
      <c r="C4864" s="401"/>
      <c r="D4864" s="497"/>
      <c r="E4864" s="401"/>
      <c r="F4864" s="498"/>
      <c r="G4864" s="499"/>
      <c r="H4864" s="473"/>
      <c r="I4864" s="454"/>
      <c r="J4864" s="368"/>
      <c r="K4864" s="492"/>
    </row>
    <row r="4865" spans="1:12">
      <c r="A4865" s="102"/>
      <c r="B4865" s="496" t="s">
        <v>1920</v>
      </c>
      <c r="C4865" s="401"/>
      <c r="D4865" s="401">
        <v>2020</v>
      </c>
      <c r="E4865" s="505">
        <v>210</v>
      </c>
      <c r="F4865" s="498">
        <f>D4865+E4865</f>
        <v>2230</v>
      </c>
      <c r="G4865" s="499" t="s">
        <v>5166</v>
      </c>
      <c r="H4865" s="458" t="str">
        <f>B4865</f>
        <v>ATC-300</v>
      </c>
      <c r="I4865" s="454"/>
      <c r="J4865" s="102" t="s">
        <v>1798</v>
      </c>
      <c r="K4865" s="492" t="s">
        <v>741</v>
      </c>
    </row>
    <row r="4866" spans="1:12">
      <c r="A4866" s="102"/>
      <c r="B4866" s="496"/>
      <c r="C4866" s="401"/>
      <c r="D4866" s="217"/>
      <c r="E4866" s="217"/>
      <c r="F4866" s="159"/>
      <c r="G4866" s="499"/>
      <c r="H4866" s="458"/>
      <c r="I4866" s="454"/>
      <c r="J4866" s="102"/>
      <c r="K4866" s="492"/>
    </row>
    <row r="4867" spans="1:12">
      <c r="A4867" s="102"/>
      <c r="B4867" s="496" t="s">
        <v>1921</v>
      </c>
      <c r="C4867" s="401"/>
      <c r="D4867" s="401">
        <f>(32538-1815-2*13790)+903</f>
        <v>4046</v>
      </c>
      <c r="E4867" s="505">
        <v>0</v>
      </c>
      <c r="F4867" s="498">
        <f>D4867+E4867</f>
        <v>4046</v>
      </c>
      <c r="G4867" s="499" t="s">
        <v>5167</v>
      </c>
      <c r="H4867" s="458" t="str">
        <f>B4867</f>
        <v>KIT-TRANSF_Magnum_2500A</v>
      </c>
      <c r="I4867" s="452"/>
      <c r="J4867" s="102" t="s">
        <v>1798</v>
      </c>
      <c r="K4867" s="452" t="s">
        <v>741</v>
      </c>
    </row>
    <row r="4868" spans="1:12" s="185" customFormat="1">
      <c r="A4868" s="102"/>
      <c r="B4868" s="158"/>
      <c r="C4868" s="217"/>
      <c r="D4868" s="217"/>
      <c r="E4868" s="217"/>
      <c r="F4868" s="159"/>
      <c r="G4868" s="160"/>
      <c r="H4868" s="139"/>
      <c r="I4868" s="452"/>
      <c r="J4868" s="102"/>
      <c r="K4868" s="452"/>
    </row>
    <row r="4869" spans="1:12">
      <c r="A4869" s="102"/>
      <c r="B4869" s="633" t="s">
        <v>2490</v>
      </c>
      <c r="C4869" s="431"/>
      <c r="D4869" s="431">
        <v>903</v>
      </c>
      <c r="E4869" s="431">
        <v>0</v>
      </c>
      <c r="F4869" s="634">
        <f>D4869+E4869</f>
        <v>903</v>
      </c>
      <c r="G4869" s="635" t="s">
        <v>5168</v>
      </c>
      <c r="H4869" s="458" t="str">
        <f>B4869</f>
        <v>KIT-TRANSF_Magnum_800A</v>
      </c>
      <c r="I4869" s="452"/>
      <c r="J4869" s="102" t="s">
        <v>1798</v>
      </c>
      <c r="K4869" s="452" t="s">
        <v>741</v>
      </c>
    </row>
    <row r="4870" spans="1:12">
      <c r="A4870" s="102"/>
      <c r="B4870" s="633" t="s">
        <v>2491</v>
      </c>
      <c r="C4870" s="431"/>
      <c r="D4870" s="431">
        <v>903</v>
      </c>
      <c r="E4870" s="431">
        <v>0</v>
      </c>
      <c r="F4870" s="634">
        <f>D4870+E4870</f>
        <v>903</v>
      </c>
      <c r="G4870" s="635" t="s">
        <v>5169</v>
      </c>
      <c r="H4870" s="458" t="str">
        <f>B4870</f>
        <v>KIT-TRANSF_Magnum_1250/2000A</v>
      </c>
      <c r="I4870" s="452"/>
      <c r="J4870" s="102" t="s">
        <v>1798</v>
      </c>
      <c r="K4870" s="452" t="s">
        <v>741</v>
      </c>
    </row>
    <row r="4871" spans="1:12">
      <c r="A4871" s="102"/>
      <c r="B4871" s="158"/>
      <c r="C4871" s="217"/>
      <c r="D4871" s="217"/>
      <c r="E4871" s="217"/>
      <c r="F4871" s="159"/>
      <c r="G4871" s="160"/>
      <c r="H4871" s="139"/>
      <c r="I4871" s="452"/>
      <c r="J4871" s="102"/>
      <c r="K4871" s="452"/>
    </row>
    <row r="4872" spans="1:12">
      <c r="A4872" s="102"/>
      <c r="B4872" s="496"/>
      <c r="C4872" s="401"/>
      <c r="D4872" s="401"/>
      <c r="E4872" s="505"/>
      <c r="F4872" s="498"/>
      <c r="G4872" s="499"/>
      <c r="H4872" s="458"/>
      <c r="I4872" s="454"/>
      <c r="J4872" s="102"/>
      <c r="K4872" s="492"/>
    </row>
    <row r="4873" spans="1:12" s="102" customFormat="1">
      <c r="A4873" s="368"/>
      <c r="B4873" s="496"/>
      <c r="C4873" s="401"/>
      <c r="D4873" s="401"/>
      <c r="E4873" s="401"/>
      <c r="F4873" s="498"/>
      <c r="G4873" s="499"/>
      <c r="H4873" s="473"/>
      <c r="I4873" s="454"/>
      <c r="J4873" s="368"/>
      <c r="K4873" s="492"/>
    </row>
    <row r="4874" spans="1:12" s="185" customFormat="1">
      <c r="A4874" s="102"/>
      <c r="B4874" s="496" t="s">
        <v>1922</v>
      </c>
      <c r="C4874" s="449"/>
      <c r="D4874" s="449">
        <f>592</f>
        <v>592</v>
      </c>
      <c r="E4874" s="505">
        <v>40</v>
      </c>
      <c r="F4874" s="498">
        <f>D4874+E4874</f>
        <v>632</v>
      </c>
      <c r="G4874" s="499" t="s">
        <v>2691</v>
      </c>
      <c r="H4874" s="458" t="str">
        <f>B4874</f>
        <v>NZM2-XMVR</v>
      </c>
      <c r="I4874" s="452"/>
      <c r="J4874" s="102" t="s">
        <v>1798</v>
      </c>
      <c r="K4874" s="452" t="s">
        <v>741</v>
      </c>
      <c r="L4874" s="139"/>
    </row>
    <row r="4875" spans="1:12">
      <c r="A4875" s="102"/>
      <c r="B4875" s="496" t="s">
        <v>1923</v>
      </c>
      <c r="C4875" s="449"/>
      <c r="D4875" s="449">
        <f>565*1.1</f>
        <v>621.5</v>
      </c>
      <c r="E4875" s="505">
        <v>60</v>
      </c>
      <c r="F4875" s="498">
        <f>D4875+E4875</f>
        <v>681.5</v>
      </c>
      <c r="G4875" s="499" t="s">
        <v>2692</v>
      </c>
      <c r="H4875" s="458" t="str">
        <f>B4875</f>
        <v>NZM3-XMVR</v>
      </c>
      <c r="I4875" s="452"/>
      <c r="J4875" s="102" t="s">
        <v>1798</v>
      </c>
      <c r="K4875" s="452" t="s">
        <v>741</v>
      </c>
    </row>
    <row r="4876" spans="1:12">
      <c r="A4876" s="102"/>
      <c r="B4876" s="496" t="s">
        <v>1924</v>
      </c>
      <c r="C4876" s="449"/>
      <c r="D4876" s="449">
        <v>710</v>
      </c>
      <c r="E4876" s="505">
        <v>100</v>
      </c>
      <c r="F4876" s="498">
        <f>D4876+E4876</f>
        <v>810</v>
      </c>
      <c r="G4876" s="499" t="s">
        <v>2693</v>
      </c>
      <c r="H4876" s="458" t="str">
        <f>B4876</f>
        <v>NZM4-XMVR</v>
      </c>
      <c r="I4876" s="452"/>
      <c r="J4876" s="102" t="s">
        <v>1798</v>
      </c>
      <c r="K4876" s="452" t="s">
        <v>741</v>
      </c>
    </row>
    <row r="4877" spans="1:12">
      <c r="A4877" s="368"/>
      <c r="B4877" s="496"/>
      <c r="C4877" s="401"/>
      <c r="D4877" s="497"/>
      <c r="E4877" s="401"/>
      <c r="F4877" s="498"/>
      <c r="G4877" s="499"/>
      <c r="H4877" s="473"/>
      <c r="I4877" s="454"/>
      <c r="J4877" s="368"/>
      <c r="K4877" s="492"/>
    </row>
    <row r="4878" spans="1:12" s="185" customFormat="1">
      <c r="A4878" s="368"/>
      <c r="B4878" s="158"/>
      <c r="C4878" s="217"/>
      <c r="D4878" s="211"/>
      <c r="E4878" s="217"/>
      <c r="F4878" s="159"/>
      <c r="G4878" s="160"/>
      <c r="H4878" s="473"/>
      <c r="I4878" s="454"/>
      <c r="J4878" s="368"/>
      <c r="K4878" s="492"/>
    </row>
    <row r="4879" spans="1:12">
      <c r="A4879" s="368"/>
      <c r="B4879" s="141"/>
      <c r="C4879" s="226"/>
      <c r="D4879" s="209"/>
      <c r="E4879" s="216"/>
      <c r="F4879" s="156"/>
      <c r="G4879" s="186"/>
      <c r="H4879" s="473"/>
      <c r="I4879" s="454"/>
      <c r="J4879" s="368"/>
      <c r="K4879" s="472"/>
    </row>
    <row r="4880" spans="1:12">
      <c r="A4880" s="447"/>
      <c r="B4880" s="480" t="s">
        <v>752</v>
      </c>
      <c r="C4880" s="484"/>
      <c r="D4880" s="485"/>
      <c r="E4880" s="486"/>
      <c r="F4880" s="156"/>
      <c r="G4880" s="138"/>
      <c r="H4880" s="473"/>
      <c r="I4880" s="454"/>
      <c r="J4880" s="447"/>
      <c r="K4880" s="454"/>
    </row>
    <row r="4881" spans="1:11" s="185" customFormat="1">
      <c r="A4881" s="447"/>
      <c r="B4881" s="480"/>
      <c r="C4881" s="484"/>
      <c r="D4881" s="485"/>
      <c r="E4881" s="486"/>
      <c r="F4881" s="156"/>
      <c r="G4881" s="138"/>
      <c r="H4881" s="473"/>
      <c r="I4881" s="454"/>
      <c r="J4881" s="447"/>
      <c r="K4881" s="454"/>
    </row>
    <row r="4882" spans="1:11">
      <c r="A4882" s="447"/>
      <c r="B4882" s="480"/>
      <c r="C4882" s="484"/>
      <c r="D4882" s="485"/>
      <c r="E4882" s="486"/>
      <c r="F4882" s="156"/>
      <c r="G4882" s="138"/>
      <c r="H4882" s="473"/>
      <c r="I4882" s="454"/>
      <c r="J4882" s="447"/>
      <c r="K4882" s="454"/>
    </row>
    <row r="4883" spans="1:11" ht="12.75" customHeight="1">
      <c r="A4883" s="1626"/>
      <c r="B4883" s="143" t="s">
        <v>5968</v>
      </c>
      <c r="C4883" s="2360">
        <v>12.1</v>
      </c>
      <c r="D4883" s="417">
        <f t="shared" ref="D4883:D4888" si="624">C4883*fcl*(1-0.24)</f>
        <v>20.9</v>
      </c>
      <c r="E4883" s="215">
        <v>3</v>
      </c>
      <c r="F4883" s="511">
        <f t="shared" ref="F4883:F4884" si="625">ROUNDUP(D4883+E4883,1)</f>
        <v>23.9</v>
      </c>
      <c r="G4883" s="314" t="s">
        <v>9367</v>
      </c>
      <c r="H4883" s="518">
        <v>1475</v>
      </c>
      <c r="I4883" s="452"/>
      <c r="J4883" s="369" t="s">
        <v>1927</v>
      </c>
      <c r="K4883" s="452" t="s">
        <v>741</v>
      </c>
    </row>
    <row r="4884" spans="1:11" ht="12.75" customHeight="1">
      <c r="A4884" s="1626"/>
      <c r="B4884" s="143" t="s">
        <v>5969</v>
      </c>
      <c r="C4884" s="2360">
        <v>8.7200000000000006</v>
      </c>
      <c r="D4884" s="417">
        <f t="shared" si="624"/>
        <v>15.061818181818181</v>
      </c>
      <c r="E4884" s="215">
        <v>3</v>
      </c>
      <c r="F4884" s="511">
        <f t="shared" si="625"/>
        <v>18.100000000000001</v>
      </c>
      <c r="G4884" s="314" t="s">
        <v>9368</v>
      </c>
      <c r="H4884" s="518">
        <v>278</v>
      </c>
      <c r="I4884" s="452"/>
      <c r="J4884" s="369" t="s">
        <v>1927</v>
      </c>
      <c r="K4884" s="452" t="s">
        <v>741</v>
      </c>
    </row>
    <row r="4885" spans="1:11" ht="12.75" customHeight="1">
      <c r="A4885" s="1626"/>
      <c r="B4885" s="143" t="s">
        <v>5972</v>
      </c>
      <c r="C4885" s="2360">
        <v>15.25</v>
      </c>
      <c r="D4885" s="417">
        <f t="shared" si="624"/>
        <v>26.34090909090909</v>
      </c>
      <c r="E4885" s="215">
        <v>3</v>
      </c>
      <c r="F4885" s="511">
        <f>ROUNDUP(D4885+E4885,1)</f>
        <v>29.400000000000002</v>
      </c>
      <c r="G4885" s="314" t="s">
        <v>9369</v>
      </c>
      <c r="H4885" s="518">
        <v>1502</v>
      </c>
      <c r="I4885" s="452"/>
      <c r="J4885" s="369" t="s">
        <v>1927</v>
      </c>
      <c r="K4885" s="452" t="s">
        <v>741</v>
      </c>
    </row>
    <row r="4886" spans="1:11" ht="12.75" customHeight="1">
      <c r="A4886" s="1626"/>
      <c r="B4886" s="143" t="s">
        <v>5973</v>
      </c>
      <c r="C4886" s="2360">
        <v>13.98</v>
      </c>
      <c r="D4886" s="417">
        <f t="shared" si="624"/>
        <v>24.147272727272725</v>
      </c>
      <c r="E4886" s="215">
        <v>3</v>
      </c>
      <c r="F4886" s="511">
        <f>ROUNDUP(D4886+E4886,1)</f>
        <v>27.200000000000003</v>
      </c>
      <c r="G4886" s="314" t="s">
        <v>9370</v>
      </c>
      <c r="H4886" s="518">
        <v>290</v>
      </c>
      <c r="I4886" s="452"/>
      <c r="J4886" s="369" t="s">
        <v>1927</v>
      </c>
      <c r="K4886" s="452" t="s">
        <v>741</v>
      </c>
    </row>
    <row r="4887" spans="1:11" ht="12.75" customHeight="1">
      <c r="A4887" s="1626"/>
      <c r="B4887" s="143" t="s">
        <v>13845</v>
      </c>
      <c r="C4887" s="2360">
        <v>33.97</v>
      </c>
      <c r="D4887" s="417">
        <f t="shared" si="624"/>
        <v>58.675454545454535</v>
      </c>
      <c r="E4887" s="215">
        <v>3</v>
      </c>
      <c r="F4887" s="511">
        <f>ROUNDUP(D4887+E4887,1)</f>
        <v>61.7</v>
      </c>
      <c r="G4887" s="314" t="s">
        <v>13846</v>
      </c>
      <c r="H4887" s="518" t="s">
        <v>13847</v>
      </c>
      <c r="I4887" s="452"/>
      <c r="J4887" s="369" t="s">
        <v>1927</v>
      </c>
      <c r="K4887" s="452" t="s">
        <v>741</v>
      </c>
    </row>
    <row r="4888" spans="1:11" ht="12.75" customHeight="1">
      <c r="A4888" s="1626"/>
      <c r="B4888" s="143" t="s">
        <v>13848</v>
      </c>
      <c r="C4888" s="2360">
        <v>38.69</v>
      </c>
      <c r="D4888" s="417">
        <f t="shared" si="624"/>
        <v>66.828181818181818</v>
      </c>
      <c r="E4888" s="215">
        <v>3</v>
      </c>
      <c r="F4888" s="511">
        <f>ROUNDUP(D4888+E4888,1)</f>
        <v>69.899999999999991</v>
      </c>
      <c r="G4888" s="314" t="s">
        <v>13849</v>
      </c>
      <c r="H4888" s="518">
        <v>3303</v>
      </c>
      <c r="I4888" s="452"/>
      <c r="J4888" s="369" t="s">
        <v>1927</v>
      </c>
      <c r="K4888" s="452" t="s">
        <v>741</v>
      </c>
    </row>
    <row r="4889" spans="1:11" ht="12.75" customHeight="1">
      <c r="A4889" s="1626"/>
      <c r="B4889" s="143"/>
      <c r="C4889" s="560"/>
      <c r="D4889" s="417"/>
      <c r="E4889" s="215"/>
      <c r="F4889" s="511"/>
      <c r="G4889" s="314"/>
      <c r="H4889" s="518"/>
      <c r="I4889" s="452"/>
      <c r="J4889" s="369"/>
      <c r="K4889" s="452"/>
    </row>
    <row r="4890" spans="1:11" ht="12.75" customHeight="1">
      <c r="A4890" s="1626"/>
      <c r="B4890" s="143" t="s">
        <v>5970</v>
      </c>
      <c r="C4890" s="2360">
        <v>10.9</v>
      </c>
      <c r="D4890" s="417">
        <f>C4890*fcl*(1-0.24)</f>
        <v>18.827272727272724</v>
      </c>
      <c r="E4890" s="215">
        <v>3</v>
      </c>
      <c r="F4890" s="511">
        <f t="shared" ref="F4890:F4893" si="626">ROUNDUP(D4890+E4890,1)</f>
        <v>21.900000000000002</v>
      </c>
      <c r="G4890" s="314" t="s">
        <v>12318</v>
      </c>
      <c r="H4890" s="518">
        <v>1478</v>
      </c>
      <c r="I4890" s="452"/>
      <c r="J4890" s="369" t="s">
        <v>1927</v>
      </c>
      <c r="K4890" s="452" t="s">
        <v>741</v>
      </c>
    </row>
    <row r="4891" spans="1:11" ht="12.75" customHeight="1">
      <c r="A4891" s="1626"/>
      <c r="B4891" s="143" t="s">
        <v>5971</v>
      </c>
      <c r="C4891" s="2360">
        <v>12.06</v>
      </c>
      <c r="D4891" s="417">
        <f>C4891*fcl*(1-0.24)</f>
        <v>20.830909090909088</v>
      </c>
      <c r="E4891" s="215">
        <v>3</v>
      </c>
      <c r="F4891" s="511">
        <f t="shared" si="626"/>
        <v>23.900000000000002</v>
      </c>
      <c r="G4891" s="314" t="s">
        <v>12319</v>
      </c>
      <c r="H4891" s="518">
        <v>281</v>
      </c>
      <c r="I4891" s="452"/>
      <c r="J4891" s="369" t="s">
        <v>1927</v>
      </c>
      <c r="K4891" s="452" t="s">
        <v>741</v>
      </c>
    </row>
    <row r="4892" spans="1:11" ht="12.75" customHeight="1">
      <c r="A4892" s="1626"/>
      <c r="B4892" s="143" t="s">
        <v>5974</v>
      </c>
      <c r="C4892" s="2360">
        <v>14.92</v>
      </c>
      <c r="D4892" s="417">
        <f>C4892*fcl*(1-0.24)</f>
        <v>25.77090909090909</v>
      </c>
      <c r="E4892" s="215">
        <v>3</v>
      </c>
      <c r="F4892" s="511">
        <f t="shared" si="626"/>
        <v>28.8</v>
      </c>
      <c r="G4892" s="314" t="s">
        <v>9371</v>
      </c>
      <c r="H4892" s="518">
        <v>1505</v>
      </c>
      <c r="I4892" s="452"/>
      <c r="J4892" s="369" t="s">
        <v>1927</v>
      </c>
      <c r="K4892" s="452" t="s">
        <v>741</v>
      </c>
    </row>
    <row r="4893" spans="1:11" ht="12.75" customHeight="1">
      <c r="A4893" s="1626"/>
      <c r="B4893" s="143" t="s">
        <v>5975</v>
      </c>
      <c r="C4893" s="2360">
        <v>18.36</v>
      </c>
      <c r="D4893" s="417">
        <f>C4893*fcl*(1-0.24)</f>
        <v>31.712727272727268</v>
      </c>
      <c r="E4893" s="215">
        <v>3</v>
      </c>
      <c r="F4893" s="511">
        <f t="shared" si="626"/>
        <v>34.800000000000004</v>
      </c>
      <c r="G4893" s="314" t="s">
        <v>9372</v>
      </c>
      <c r="H4893" s="518">
        <v>293</v>
      </c>
      <c r="I4893" s="452"/>
      <c r="J4893" s="369" t="s">
        <v>1927</v>
      </c>
      <c r="K4893" s="452" t="s">
        <v>741</v>
      </c>
    </row>
    <row r="4894" spans="1:11">
      <c r="A4894" s="369"/>
      <c r="B4894" s="143"/>
      <c r="C4894" s="215"/>
      <c r="D4894" s="417"/>
      <c r="E4894" s="215"/>
      <c r="F4894" s="511"/>
      <c r="G4894" s="314"/>
      <c r="H4894" s="518"/>
      <c r="I4894" s="452"/>
      <c r="J4894" s="369"/>
      <c r="K4894" s="452"/>
    </row>
    <row r="4895" spans="1:11">
      <c r="A4895" s="369"/>
      <c r="B4895" s="143"/>
      <c r="C4895" s="215"/>
      <c r="D4895" s="417"/>
      <c r="E4895" s="215"/>
      <c r="F4895" s="511"/>
      <c r="G4895" s="314"/>
      <c r="H4895" s="518"/>
      <c r="I4895" s="452"/>
      <c r="J4895" s="369"/>
      <c r="K4895" s="452"/>
    </row>
    <row r="4896" spans="1:11">
      <c r="A4896" s="952"/>
      <c r="B4896" s="143" t="s">
        <v>12303</v>
      </c>
      <c r="C4896" s="2360">
        <v>14.15</v>
      </c>
      <c r="D4896" s="417">
        <f>C4896*fcl*(1-0.24)</f>
        <v>24.440909090909088</v>
      </c>
      <c r="E4896" s="215">
        <v>3</v>
      </c>
      <c r="F4896" s="511">
        <f>ROUNDUP(D4896+E4896,1)</f>
        <v>27.5</v>
      </c>
      <c r="G4896" s="314" t="s">
        <v>12320</v>
      </c>
      <c r="H4896" s="518" t="s">
        <v>12321</v>
      </c>
      <c r="I4896" s="452"/>
      <c r="J4896" s="369" t="s">
        <v>1927</v>
      </c>
      <c r="K4896" s="452" t="s">
        <v>741</v>
      </c>
    </row>
    <row r="4897" spans="1:11">
      <c r="A4897" s="952"/>
      <c r="B4897" s="143" t="s">
        <v>12304</v>
      </c>
      <c r="C4897" s="2360">
        <v>11.26</v>
      </c>
      <c r="D4897" s="417">
        <f>C4897*fcl*(1-0.24)</f>
        <v>19.449090909090906</v>
      </c>
      <c r="E4897" s="215">
        <v>3</v>
      </c>
      <c r="F4897" s="511">
        <f>ROUNDUP(D4897+E4897,1)</f>
        <v>22.5</v>
      </c>
      <c r="G4897" s="314" t="s">
        <v>12322</v>
      </c>
      <c r="H4897" s="518">
        <v>279</v>
      </c>
      <c r="I4897" s="452"/>
      <c r="J4897" s="369" t="s">
        <v>1927</v>
      </c>
      <c r="K4897" s="452" t="s">
        <v>741</v>
      </c>
    </row>
    <row r="4898" spans="1:11">
      <c r="A4898" s="952"/>
      <c r="B4898" s="143" t="s">
        <v>8553</v>
      </c>
      <c r="C4898" s="2360">
        <v>14.92</v>
      </c>
      <c r="D4898" s="417">
        <f>C4898*fcl*(1-0.24)</f>
        <v>25.77090909090909</v>
      </c>
      <c r="E4898" s="215">
        <v>3</v>
      </c>
      <c r="F4898" s="511">
        <f>ROUNDUP(D4898+E4898,1)</f>
        <v>28.8</v>
      </c>
      <c r="G4898" s="314" t="s">
        <v>12323</v>
      </c>
      <c r="H4898" s="518">
        <v>1503</v>
      </c>
      <c r="I4898" s="452"/>
      <c r="J4898" s="369" t="s">
        <v>1927</v>
      </c>
      <c r="K4898" s="452" t="s">
        <v>741</v>
      </c>
    </row>
    <row r="4899" spans="1:11">
      <c r="A4899" s="952"/>
      <c r="B4899" s="143" t="s">
        <v>8554</v>
      </c>
      <c r="C4899" s="2360">
        <v>18.5</v>
      </c>
      <c r="D4899" s="417">
        <f>C4899*fcl*(1-0.24)</f>
        <v>31.95454545454545</v>
      </c>
      <c r="E4899" s="215">
        <v>3</v>
      </c>
      <c r="F4899" s="511">
        <f>ROUNDUP(D4899+E4899,1)</f>
        <v>35</v>
      </c>
      <c r="G4899" s="314" t="s">
        <v>12324</v>
      </c>
      <c r="H4899" s="518">
        <v>291</v>
      </c>
      <c r="I4899" s="452"/>
      <c r="J4899" s="369" t="s">
        <v>1927</v>
      </c>
      <c r="K4899" s="452" t="s">
        <v>741</v>
      </c>
    </row>
    <row r="4900" spans="1:11">
      <c r="A4900" s="952"/>
      <c r="B4900" s="143"/>
      <c r="C4900" s="215"/>
      <c r="D4900" s="417"/>
      <c r="E4900" s="215"/>
      <c r="F4900" s="511"/>
      <c r="G4900" s="314"/>
      <c r="H4900" s="518"/>
      <c r="I4900" s="452"/>
      <c r="J4900" s="369"/>
      <c r="K4900" s="452"/>
    </row>
    <row r="4901" spans="1:11" s="185" customFormat="1">
      <c r="A4901" s="952"/>
      <c r="B4901" s="143" t="s">
        <v>5976</v>
      </c>
      <c r="C4901" s="2360">
        <v>18.11</v>
      </c>
      <c r="D4901" s="417">
        <f t="shared" ref="D4901:D4906" si="627">C4901*fcl*(1-0.24)</f>
        <v>31.280909090909088</v>
      </c>
      <c r="E4901" s="215">
        <v>3</v>
      </c>
      <c r="F4901" s="511">
        <f t="shared" ref="F4901:F4906" si="628">ROUNDUP(D4901+E4901,1)</f>
        <v>34.300000000000004</v>
      </c>
      <c r="G4901" s="314" t="s">
        <v>13850</v>
      </c>
      <c r="H4901" s="518">
        <v>1485</v>
      </c>
      <c r="I4901" s="452"/>
      <c r="J4901" s="369" t="s">
        <v>1927</v>
      </c>
      <c r="K4901" s="452" t="s">
        <v>741</v>
      </c>
    </row>
    <row r="4902" spans="1:11" s="185" customFormat="1">
      <c r="A4902" s="952"/>
      <c r="B4902" s="143" t="s">
        <v>5977</v>
      </c>
      <c r="C4902" s="2360">
        <v>10.4</v>
      </c>
      <c r="D4902" s="417">
        <f t="shared" si="627"/>
        <v>17.963636363636361</v>
      </c>
      <c r="E4902" s="215">
        <v>3</v>
      </c>
      <c r="F4902" s="511">
        <f t="shared" si="628"/>
        <v>21</v>
      </c>
      <c r="G4902" s="314" t="s">
        <v>13851</v>
      </c>
      <c r="H4902" s="518">
        <v>288</v>
      </c>
      <c r="I4902" s="452"/>
      <c r="J4902" s="369" t="s">
        <v>1927</v>
      </c>
      <c r="K4902" s="452" t="s">
        <v>741</v>
      </c>
    </row>
    <row r="4903" spans="1:11">
      <c r="A4903" s="952"/>
      <c r="B4903" s="143" t="s">
        <v>8551</v>
      </c>
      <c r="C4903" s="2360">
        <v>26.41</v>
      </c>
      <c r="D4903" s="417">
        <f t="shared" si="627"/>
        <v>45.61727272727272</v>
      </c>
      <c r="E4903" s="215">
        <v>3</v>
      </c>
      <c r="F4903" s="511">
        <f t="shared" si="628"/>
        <v>48.7</v>
      </c>
      <c r="G4903" s="314" t="s">
        <v>9375</v>
      </c>
      <c r="H4903" s="518" t="s">
        <v>13852</v>
      </c>
      <c r="I4903" s="452"/>
      <c r="J4903" s="369" t="s">
        <v>1927</v>
      </c>
      <c r="K4903" s="452" t="s">
        <v>741</v>
      </c>
    </row>
    <row r="4904" spans="1:11">
      <c r="A4904" s="952"/>
      <c r="B4904" s="143" t="s">
        <v>8552</v>
      </c>
      <c r="C4904" s="2360">
        <v>33.94</v>
      </c>
      <c r="D4904" s="417">
        <f t="shared" si="627"/>
        <v>58.623636363636358</v>
      </c>
      <c r="E4904" s="215">
        <v>3</v>
      </c>
      <c r="F4904" s="511">
        <f t="shared" si="628"/>
        <v>61.7</v>
      </c>
      <c r="G4904" s="314" t="s">
        <v>9376</v>
      </c>
      <c r="H4904" s="518">
        <v>300</v>
      </c>
      <c r="I4904" s="452"/>
      <c r="J4904" s="369" t="s">
        <v>1927</v>
      </c>
      <c r="K4904" s="452" t="s">
        <v>741</v>
      </c>
    </row>
    <row r="4905" spans="1:11">
      <c r="A4905" s="952"/>
      <c r="B4905" s="143" t="s">
        <v>8549</v>
      </c>
      <c r="C4905" s="2360">
        <v>32.86</v>
      </c>
      <c r="D4905" s="417">
        <f t="shared" si="627"/>
        <v>56.758181818181811</v>
      </c>
      <c r="E4905" s="215">
        <v>3</v>
      </c>
      <c r="F4905" s="511">
        <f t="shared" si="628"/>
        <v>59.800000000000004</v>
      </c>
      <c r="G4905" s="314" t="s">
        <v>9373</v>
      </c>
      <c r="H4905" s="518" t="s">
        <v>12325</v>
      </c>
      <c r="I4905" s="452"/>
      <c r="J4905" s="369" t="s">
        <v>1927</v>
      </c>
      <c r="K4905" s="452" t="s">
        <v>741</v>
      </c>
    </row>
    <row r="4906" spans="1:11">
      <c r="A4906" s="952"/>
      <c r="B4906" s="143" t="s">
        <v>8550</v>
      </c>
      <c r="C4906" s="2360">
        <v>38.619999999999997</v>
      </c>
      <c r="D4906" s="417">
        <f t="shared" si="627"/>
        <v>66.707272727272709</v>
      </c>
      <c r="E4906" s="215">
        <v>3</v>
      </c>
      <c r="F4906" s="511">
        <f t="shared" si="628"/>
        <v>69.8</v>
      </c>
      <c r="G4906" s="314" t="s">
        <v>9374</v>
      </c>
      <c r="H4906" s="518">
        <v>3325</v>
      </c>
      <c r="I4906" s="452"/>
      <c r="J4906" s="369" t="s">
        <v>1927</v>
      </c>
      <c r="K4906" s="452" t="s">
        <v>741</v>
      </c>
    </row>
    <row r="4907" spans="1:11">
      <c r="A4907" s="952"/>
      <c r="B4907" s="143"/>
      <c r="C4907" s="196"/>
      <c r="D4907" s="230"/>
      <c r="E4907" s="215"/>
      <c r="F4907" s="511"/>
      <c r="G4907" s="314"/>
      <c r="H4907" s="518"/>
      <c r="I4907" s="452"/>
      <c r="J4907" s="369"/>
      <c r="K4907" s="452"/>
    </row>
    <row r="4908" spans="1:11">
      <c r="A4908" s="952"/>
      <c r="B4908" s="143" t="s">
        <v>13853</v>
      </c>
      <c r="C4908" s="2360">
        <v>96.5</v>
      </c>
      <c r="D4908" s="417">
        <f>C4908*fcl*(1-0.24)</f>
        <v>166.68181818181816</v>
      </c>
      <c r="E4908" s="215">
        <v>3</v>
      </c>
      <c r="F4908" s="511">
        <f>ROUNDUP(D4908+E4908,1)</f>
        <v>169.7</v>
      </c>
      <c r="G4908" s="314" t="s">
        <v>13854</v>
      </c>
      <c r="H4908" s="518" t="s">
        <v>13855</v>
      </c>
      <c r="I4908" s="452"/>
      <c r="J4908" s="369" t="s">
        <v>1927</v>
      </c>
      <c r="K4908" s="452" t="s">
        <v>741</v>
      </c>
    </row>
    <row r="4909" spans="1:11">
      <c r="A4909" s="952"/>
      <c r="B4909" s="143" t="s">
        <v>13856</v>
      </c>
      <c r="C4909" s="2360">
        <v>78.180000000000007</v>
      </c>
      <c r="D4909" s="417">
        <f>C4909*fcl*(1-0.24)</f>
        <v>135.03818181818181</v>
      </c>
      <c r="E4909" s="215">
        <v>3</v>
      </c>
      <c r="F4909" s="511">
        <f>ROUNDUP(D4909+E4909,1)</f>
        <v>138.1</v>
      </c>
      <c r="G4909" s="314" t="s">
        <v>13857</v>
      </c>
      <c r="H4909" s="518">
        <v>3374</v>
      </c>
      <c r="I4909" s="452"/>
      <c r="J4909" s="369" t="s">
        <v>1927</v>
      </c>
      <c r="K4909" s="452" t="s">
        <v>741</v>
      </c>
    </row>
    <row r="4910" spans="1:11" s="185" customFormat="1">
      <c r="A4910" s="369"/>
      <c r="B4910" s="143"/>
      <c r="C4910" s="215"/>
      <c r="D4910" s="215"/>
      <c r="E4910" s="215"/>
      <c r="F4910" s="511"/>
      <c r="G4910" s="314"/>
      <c r="H4910" s="518"/>
      <c r="I4910" s="452"/>
      <c r="J4910" s="369"/>
      <c r="K4910" s="452"/>
    </row>
    <row r="4911" spans="1:11">
      <c r="A4911" s="952"/>
      <c r="B4911" s="2361" t="s">
        <v>13858</v>
      </c>
      <c r="C4911" s="2362">
        <v>83</v>
      </c>
      <c r="D4911" s="2363">
        <f>C4911*fcl*(1-0.24)</f>
        <v>143.36363636363635</v>
      </c>
      <c r="E4911" s="2363">
        <v>3</v>
      </c>
      <c r="F4911" s="2364">
        <f>ROUNDUP(D4911+E4911,1)</f>
        <v>146.4</v>
      </c>
      <c r="G4911" s="1621" t="s">
        <v>13859</v>
      </c>
      <c r="H4911" s="2365" t="s">
        <v>13855</v>
      </c>
      <c r="I4911" s="452"/>
      <c r="J4911" s="369" t="s">
        <v>1927</v>
      </c>
      <c r="K4911" s="452" t="s">
        <v>741</v>
      </c>
    </row>
    <row r="4912" spans="1:11">
      <c r="A4912" s="952"/>
      <c r="B4912" s="2361" t="s">
        <v>13860</v>
      </c>
      <c r="C4912" s="2362">
        <v>85.8</v>
      </c>
      <c r="D4912" s="2363">
        <f>C4912*fcl*(1-0.24)</f>
        <v>148.19999999999999</v>
      </c>
      <c r="E4912" s="2363">
        <v>3</v>
      </c>
      <c r="F4912" s="2364">
        <f>ROUNDUP(D4912+E4912,1)</f>
        <v>151.19999999999999</v>
      </c>
      <c r="G4912" s="1621" t="s">
        <v>13861</v>
      </c>
      <c r="H4912" s="2365">
        <v>3374</v>
      </c>
      <c r="I4912" s="452"/>
      <c r="J4912" s="369" t="s">
        <v>1927</v>
      </c>
      <c r="K4912" s="452" t="s">
        <v>741</v>
      </c>
    </row>
    <row r="4913" spans="1:11" s="185" customFormat="1">
      <c r="A4913" s="369"/>
      <c r="B4913" s="143"/>
      <c r="C4913" s="215"/>
      <c r="D4913" s="215"/>
      <c r="E4913" s="215"/>
      <c r="F4913" s="511"/>
      <c r="G4913" s="314"/>
      <c r="H4913" s="518"/>
      <c r="I4913" s="452"/>
      <c r="J4913" s="369"/>
      <c r="K4913" s="452"/>
    </row>
    <row r="4914" spans="1:11">
      <c r="A4914" s="952"/>
      <c r="B4914" s="2361" t="s">
        <v>13862</v>
      </c>
      <c r="C4914" s="2362">
        <v>28</v>
      </c>
      <c r="D4914" s="2363">
        <f t="shared" ref="D4914:D4915" si="629">C4914*fcl*(1-0.24)</f>
        <v>48.36363636363636</v>
      </c>
      <c r="E4914" s="2363">
        <v>3</v>
      </c>
      <c r="F4914" s="2364">
        <f t="shared" ref="F4914:F4915" si="630">ROUNDUP(D4914+E4914,1)</f>
        <v>51.4</v>
      </c>
      <c r="G4914" s="1621" t="s">
        <v>13863</v>
      </c>
      <c r="H4914" s="2365" t="s">
        <v>13864</v>
      </c>
      <c r="I4914" s="452"/>
      <c r="J4914" s="369" t="s">
        <v>1927</v>
      </c>
      <c r="K4914" s="452" t="s">
        <v>741</v>
      </c>
    </row>
    <row r="4915" spans="1:11">
      <c r="A4915" s="952"/>
      <c r="B4915" s="2361" t="s">
        <v>13865</v>
      </c>
      <c r="C4915" s="2362">
        <v>46</v>
      </c>
      <c r="D4915" s="2363">
        <f t="shared" si="629"/>
        <v>79.454545454545439</v>
      </c>
      <c r="E4915" s="2363">
        <v>3</v>
      </c>
      <c r="F4915" s="2364">
        <f t="shared" si="630"/>
        <v>82.5</v>
      </c>
      <c r="G4915" s="1621" t="s">
        <v>13866</v>
      </c>
      <c r="H4915" s="2365" t="s">
        <v>13867</v>
      </c>
      <c r="I4915" s="452"/>
      <c r="J4915" s="369" t="s">
        <v>1927</v>
      </c>
      <c r="K4915" s="452" t="s">
        <v>741</v>
      </c>
    </row>
    <row r="4916" spans="1:11">
      <c r="A4916" s="369"/>
      <c r="B4916" s="143"/>
      <c r="C4916" s="196"/>
      <c r="D4916" s="230"/>
      <c r="E4916" s="215"/>
      <c r="F4916" s="511"/>
      <c r="G4916" s="314"/>
      <c r="H4916" s="518"/>
      <c r="I4916" s="452"/>
      <c r="J4916" s="369"/>
      <c r="K4916" s="452"/>
    </row>
    <row r="4917" spans="1:11" s="185" customFormat="1">
      <c r="A4917" s="369"/>
      <c r="B4917" s="143"/>
      <c r="C4917" s="215"/>
      <c r="D4917" s="215"/>
      <c r="E4917" s="215"/>
      <c r="F4917" s="511"/>
      <c r="G4917" s="314"/>
      <c r="H4917" s="518"/>
      <c r="I4917" s="452"/>
      <c r="J4917" s="369"/>
      <c r="K4917" s="452"/>
    </row>
    <row r="4918" spans="1:11" s="185" customFormat="1">
      <c r="A4918" s="1473"/>
      <c r="B4918" s="143" t="s">
        <v>13868</v>
      </c>
      <c r="C4918" s="2366">
        <v>10</v>
      </c>
      <c r="D4918" s="417">
        <f>C4918*fcl*(1-0.2)/TC</f>
        <v>5.4274084124830395</v>
      </c>
      <c r="E4918" s="215">
        <v>3</v>
      </c>
      <c r="F4918" s="511">
        <f>ROUNDUP(D4918+E4918,1)</f>
        <v>8.5</v>
      </c>
      <c r="G4918" s="314" t="s">
        <v>13869</v>
      </c>
      <c r="H4918" s="518"/>
      <c r="I4918" s="452"/>
      <c r="J4918" s="369" t="s">
        <v>1926</v>
      </c>
      <c r="K4918" s="452" t="s">
        <v>741</v>
      </c>
    </row>
    <row r="4919" spans="1:11" s="185" customFormat="1">
      <c r="A4919" s="369"/>
      <c r="B4919" s="143"/>
      <c r="C4919" s="560"/>
      <c r="D4919" s="215"/>
      <c r="E4919" s="215"/>
      <c r="F4919" s="511"/>
      <c r="G4919" s="314"/>
      <c r="H4919" s="518"/>
      <c r="I4919" s="452"/>
      <c r="J4919" s="369"/>
      <c r="K4919" s="452"/>
    </row>
    <row r="4920" spans="1:11" ht="12.75" customHeight="1">
      <c r="A4920" s="1462"/>
      <c r="B4920" s="143" t="s">
        <v>11736</v>
      </c>
      <c r="C4920" s="2366">
        <v>28.378</v>
      </c>
      <c r="D4920" s="417">
        <f>C4920*fcl*(1-0.2)/TC</f>
        <v>15.401899592944368</v>
      </c>
      <c r="E4920" s="215">
        <v>3</v>
      </c>
      <c r="F4920" s="511">
        <f>ROUNDUP(D4920+E4920,1)</f>
        <v>18.5</v>
      </c>
      <c r="G4920" s="314" t="s">
        <v>11737</v>
      </c>
      <c r="H4920" s="518">
        <v>1475</v>
      </c>
      <c r="I4920" s="452"/>
      <c r="J4920" s="369" t="s">
        <v>1927</v>
      </c>
      <c r="K4920" s="452" t="s">
        <v>741</v>
      </c>
    </row>
    <row r="4921" spans="1:11" ht="12.75" customHeight="1">
      <c r="A4921" s="1462"/>
      <c r="B4921" s="143" t="s">
        <v>11738</v>
      </c>
      <c r="C4921" s="2366">
        <v>9.49</v>
      </c>
      <c r="D4921" s="417">
        <f>C4921*fcl*(1-0.2)/TC</f>
        <v>5.1506105834464044</v>
      </c>
      <c r="E4921" s="215">
        <v>3</v>
      </c>
      <c r="F4921" s="511">
        <f>ROUNDUP(D4921+E4921,1)</f>
        <v>8.1999999999999993</v>
      </c>
      <c r="G4921" s="314" t="s">
        <v>11739</v>
      </c>
      <c r="H4921" s="518">
        <v>1475</v>
      </c>
      <c r="I4921" s="452"/>
      <c r="J4921" s="369" t="s">
        <v>1927</v>
      </c>
      <c r="K4921" s="452" t="s">
        <v>741</v>
      </c>
    </row>
    <row r="4922" spans="1:11" ht="12.75" customHeight="1">
      <c r="A4922" s="1462"/>
      <c r="B4922" s="143" t="s">
        <v>11740</v>
      </c>
      <c r="C4922" s="2366">
        <v>1.65</v>
      </c>
      <c r="D4922" s="417">
        <f>C4922*fcl*(1-0.2)/TC</f>
        <v>0.89552238805970152</v>
      </c>
      <c r="E4922" s="215">
        <v>3</v>
      </c>
      <c r="F4922" s="511">
        <f>ROUNDUP(D4922+E4922,1)</f>
        <v>3.9</v>
      </c>
      <c r="G4922" s="314" t="s">
        <v>11741</v>
      </c>
      <c r="H4922" s="518">
        <v>1475</v>
      </c>
      <c r="I4922" s="452"/>
      <c r="J4922" s="369" t="s">
        <v>1927</v>
      </c>
      <c r="K4922" s="452" t="s">
        <v>741</v>
      </c>
    </row>
    <row r="4923" spans="1:11" s="185" customFormat="1">
      <c r="A4923" s="369"/>
      <c r="B4923" s="143"/>
      <c r="C4923" s="560"/>
      <c r="D4923" s="215"/>
      <c r="E4923" s="215"/>
      <c r="F4923" s="511"/>
      <c r="G4923" s="314"/>
      <c r="H4923" s="518"/>
      <c r="I4923" s="452"/>
      <c r="J4923" s="369"/>
      <c r="K4923" s="452"/>
    </row>
    <row r="4924" spans="1:11" s="185" customFormat="1">
      <c r="A4924" s="369"/>
      <c r="B4924" s="143"/>
      <c r="C4924" s="560"/>
      <c r="D4924" s="215"/>
      <c r="E4924" s="215"/>
      <c r="F4924" s="511"/>
      <c r="G4924" s="314"/>
      <c r="H4924" s="518"/>
      <c r="I4924" s="452"/>
      <c r="J4924" s="369"/>
      <c r="K4924" s="452"/>
    </row>
    <row r="4925" spans="1:11" s="185" customFormat="1">
      <c r="A4925" s="1615"/>
      <c r="B4925" s="143" t="s">
        <v>9864</v>
      </c>
      <c r="C4925" s="560">
        <v>19</v>
      </c>
      <c r="D4925" s="417">
        <f>C4925*fcl*(1-0.2)/TC</f>
        <v>10.312075983717774</v>
      </c>
      <c r="E4925" s="215">
        <v>3</v>
      </c>
      <c r="F4925" s="511">
        <f t="shared" ref="F4925:F4926" si="631">ROUNDUP(D4925+E4925,1)</f>
        <v>13.4</v>
      </c>
      <c r="G4925" s="314" t="s">
        <v>9865</v>
      </c>
      <c r="H4925" s="518" t="s">
        <v>9866</v>
      </c>
      <c r="I4925" s="452"/>
      <c r="J4925" s="369" t="s">
        <v>1926</v>
      </c>
      <c r="K4925" s="452" t="s">
        <v>741</v>
      </c>
    </row>
    <row r="4926" spans="1:11" s="185" customFormat="1">
      <c r="A4926" s="1615"/>
      <c r="B4926" s="143" t="s">
        <v>9867</v>
      </c>
      <c r="C4926" s="560">
        <v>41</v>
      </c>
      <c r="D4926" s="417">
        <f>C4926*fcl*(1-0.2)/TC</f>
        <v>22.252374491180461</v>
      </c>
      <c r="E4926" s="215">
        <v>3</v>
      </c>
      <c r="F4926" s="511">
        <f t="shared" si="631"/>
        <v>25.3</v>
      </c>
      <c r="G4926" s="314" t="s">
        <v>9868</v>
      </c>
      <c r="H4926" s="518">
        <v>25603</v>
      </c>
      <c r="I4926" s="452"/>
      <c r="J4926" s="369" t="s">
        <v>1926</v>
      </c>
      <c r="K4926" s="452" t="s">
        <v>741</v>
      </c>
    </row>
    <row r="4927" spans="1:11" s="185" customFormat="1">
      <c r="A4927" s="369"/>
      <c r="B4927" s="143"/>
      <c r="C4927" s="560"/>
      <c r="D4927" s="215"/>
      <c r="E4927" s="215"/>
      <c r="F4927" s="511"/>
      <c r="G4927" s="314"/>
      <c r="H4927" s="518"/>
      <c r="I4927" s="452"/>
      <c r="J4927" s="369"/>
      <c r="K4927" s="452"/>
    </row>
    <row r="4928" spans="1:11">
      <c r="A4928" s="1615"/>
      <c r="B4928" s="143" t="s">
        <v>13870</v>
      </c>
      <c r="C4928" s="560">
        <v>14</v>
      </c>
      <c r="D4928" s="417">
        <f>C4928*fcl*(1-0)/TC</f>
        <v>9.4979647218453174</v>
      </c>
      <c r="E4928" s="215">
        <v>3</v>
      </c>
      <c r="F4928" s="511">
        <f t="shared" ref="F4928:F4931" si="632">ROUNDUP(D4928+E4928,1)</f>
        <v>12.5</v>
      </c>
      <c r="G4928" s="314" t="s">
        <v>13871</v>
      </c>
      <c r="H4928" s="518">
        <v>5025</v>
      </c>
      <c r="I4928" s="452"/>
      <c r="J4928" s="369" t="s">
        <v>1926</v>
      </c>
      <c r="K4928" s="452" t="s">
        <v>741</v>
      </c>
    </row>
    <row r="4929" spans="1:12">
      <c r="A4929" s="1615"/>
      <c r="B4929" s="143" t="s">
        <v>13872</v>
      </c>
      <c r="C4929" s="560">
        <v>14</v>
      </c>
      <c r="D4929" s="417">
        <f>C4929*fcl*(1-0)/TC</f>
        <v>9.4979647218453174</v>
      </c>
      <c r="E4929" s="215">
        <v>3</v>
      </c>
      <c r="F4929" s="511">
        <f t="shared" si="632"/>
        <v>12.5</v>
      </c>
      <c r="G4929" s="314" t="s">
        <v>13873</v>
      </c>
      <c r="H4929" s="518">
        <v>5025</v>
      </c>
      <c r="I4929" s="454"/>
      <c r="J4929" s="369" t="s">
        <v>1926</v>
      </c>
      <c r="K4929" s="452" t="s">
        <v>741</v>
      </c>
    </row>
    <row r="4930" spans="1:12">
      <c r="A4930" s="1615"/>
      <c r="B4930" s="143" t="s">
        <v>13874</v>
      </c>
      <c r="C4930" s="560">
        <v>14</v>
      </c>
      <c r="D4930" s="417">
        <f>C4930*fcl*(1-0)/TC</f>
        <v>9.4979647218453174</v>
      </c>
      <c r="E4930" s="215">
        <v>3</v>
      </c>
      <c r="F4930" s="511">
        <f t="shared" si="632"/>
        <v>12.5</v>
      </c>
      <c r="G4930" s="314" t="s">
        <v>13875</v>
      </c>
      <c r="H4930" s="518">
        <v>5028</v>
      </c>
      <c r="I4930" s="452"/>
      <c r="J4930" s="369" t="s">
        <v>1926</v>
      </c>
      <c r="K4930" s="452" t="s">
        <v>741</v>
      </c>
    </row>
    <row r="4931" spans="1:12">
      <c r="A4931" s="1615"/>
      <c r="B4931" s="143" t="s">
        <v>13876</v>
      </c>
      <c r="C4931" s="560">
        <v>50</v>
      </c>
      <c r="D4931" s="417">
        <f>C4931*fcl*(1-0)/TC</f>
        <v>33.921302578018995</v>
      </c>
      <c r="E4931" s="215">
        <v>3</v>
      </c>
      <c r="F4931" s="511">
        <f t="shared" si="632"/>
        <v>37</v>
      </c>
      <c r="G4931" s="314" t="s">
        <v>13877</v>
      </c>
      <c r="H4931" s="518">
        <v>25502</v>
      </c>
      <c r="I4931" s="454"/>
      <c r="J4931" s="369" t="s">
        <v>1926</v>
      </c>
      <c r="K4931" s="452" t="s">
        <v>741</v>
      </c>
    </row>
    <row r="4932" spans="1:12">
      <c r="A4932" s="369"/>
      <c r="B4932" s="143"/>
      <c r="C4932" s="215"/>
      <c r="D4932" s="215"/>
      <c r="E4932" s="215"/>
      <c r="F4932" s="511"/>
      <c r="G4932" s="314"/>
      <c r="H4932" s="518"/>
      <c r="I4932" s="452"/>
      <c r="J4932" s="369"/>
      <c r="K4932" s="452"/>
    </row>
    <row r="4933" spans="1:12">
      <c r="A4933" s="447"/>
      <c r="B4933" s="480"/>
      <c r="C4933" s="484"/>
      <c r="D4933" s="485"/>
      <c r="E4933" s="486"/>
      <c r="F4933" s="156"/>
      <c r="G4933" s="138"/>
      <c r="H4933" s="473"/>
      <c r="I4933" s="454"/>
      <c r="J4933" s="447"/>
      <c r="K4933" s="454"/>
    </row>
    <row r="4934" spans="1:12">
      <c r="A4934" s="369"/>
      <c r="B4934" s="143" t="s">
        <v>1928</v>
      </c>
      <c r="C4934" s="196">
        <f>(21+4)*(TC/3)</f>
        <v>27.916666666666668</v>
      </c>
      <c r="D4934" s="215">
        <f>C4934*fcl*(1-0)/TC</f>
        <v>18.939393939393938</v>
      </c>
      <c r="E4934" s="215">
        <v>2</v>
      </c>
      <c r="F4934" s="511">
        <f>ROUNDUP(D4934+E4934,1)</f>
        <v>21</v>
      </c>
      <c r="G4934" s="314" t="s">
        <v>1929</v>
      </c>
      <c r="H4934" s="518"/>
      <c r="I4934" s="452"/>
      <c r="J4934" s="369" t="s">
        <v>1926</v>
      </c>
      <c r="K4934" s="452" t="s">
        <v>741</v>
      </c>
    </row>
    <row r="4935" spans="1:12" s="185" customFormat="1">
      <c r="A4935" s="369"/>
      <c r="B4935" s="143" t="s">
        <v>1930</v>
      </c>
      <c r="C4935" s="196">
        <f>(7+2)*(TC/3)</f>
        <v>10.050000000000001</v>
      </c>
      <c r="D4935" s="215">
        <f>C4935*fcl*(1-0)/TC</f>
        <v>6.8181818181818175</v>
      </c>
      <c r="E4935" s="215">
        <v>1</v>
      </c>
      <c r="F4935" s="511">
        <f>ROUNDUP(D4935+E4935,1)</f>
        <v>7.8999999999999995</v>
      </c>
      <c r="G4935" s="314" t="s">
        <v>1931</v>
      </c>
      <c r="H4935" s="518"/>
      <c r="I4935" s="452"/>
      <c r="J4935" s="369" t="s">
        <v>1926</v>
      </c>
      <c r="K4935" s="452" t="s">
        <v>741</v>
      </c>
      <c r="L4935" s="139"/>
    </row>
    <row r="4936" spans="1:12" s="185" customFormat="1">
      <c r="A4936" s="369"/>
      <c r="B4936" s="143"/>
      <c r="C4936" s="196"/>
      <c r="D4936" s="215"/>
      <c r="E4936" s="215"/>
      <c r="F4936" s="511"/>
      <c r="G4936" s="314"/>
      <c r="H4936" s="518"/>
      <c r="I4936" s="452"/>
      <c r="J4936" s="369"/>
      <c r="K4936" s="452"/>
    </row>
    <row r="4937" spans="1:12" s="185" customFormat="1">
      <c r="A4937" s="369"/>
      <c r="B4937" s="143"/>
      <c r="C4937" s="196"/>
      <c r="D4937" s="215"/>
      <c r="E4937" s="215"/>
      <c r="F4937" s="511"/>
      <c r="G4937" s="314"/>
      <c r="H4937" s="518"/>
      <c r="I4937" s="452"/>
      <c r="J4937" s="369"/>
      <c r="K4937" s="452"/>
    </row>
    <row r="4938" spans="1:12">
      <c r="A4938" s="369"/>
      <c r="B4938" s="143" t="s">
        <v>9617</v>
      </c>
      <c r="C4938" s="196">
        <v>111.96</v>
      </c>
      <c r="D4938" s="215">
        <f>C4938*fcl*(1-0)/TC</f>
        <v>75.956580732700118</v>
      </c>
      <c r="E4938" s="215">
        <v>15</v>
      </c>
      <c r="F4938" s="511">
        <f>ROUNDUP(D4938+E4938,1)</f>
        <v>91</v>
      </c>
      <c r="G4938" s="314" t="s">
        <v>9618</v>
      </c>
      <c r="H4938" s="518">
        <v>27006</v>
      </c>
      <c r="I4938" s="452"/>
      <c r="J4938" s="369" t="s">
        <v>1926</v>
      </c>
      <c r="K4938" s="452" t="s">
        <v>741</v>
      </c>
    </row>
    <row r="4939" spans="1:12">
      <c r="A4939" s="369"/>
      <c r="B4939" s="143" t="s">
        <v>9619</v>
      </c>
      <c r="C4939" s="196">
        <v>111.96</v>
      </c>
      <c r="D4939" s="215">
        <f>C4939*fcl*(1-0)/TC</f>
        <v>75.956580732700118</v>
      </c>
      <c r="E4939" s="215">
        <v>15</v>
      </c>
      <c r="F4939" s="511">
        <f>ROUNDUP(D4939+E4939,1)</f>
        <v>91</v>
      </c>
      <c r="G4939" s="314" t="s">
        <v>9620</v>
      </c>
      <c r="H4939" s="518">
        <v>27005</v>
      </c>
      <c r="I4939" s="452"/>
      <c r="J4939" s="369" t="s">
        <v>1926</v>
      </c>
      <c r="K4939" s="452" t="s">
        <v>741</v>
      </c>
    </row>
    <row r="4940" spans="1:12">
      <c r="A4940" s="369"/>
      <c r="B4940" s="143"/>
      <c r="C4940" s="196"/>
      <c r="D4940" s="417"/>
      <c r="E4940" s="215"/>
      <c r="F4940" s="511"/>
      <c r="G4940" s="314"/>
      <c r="H4940" s="518"/>
      <c r="I4940" s="452"/>
      <c r="J4940" s="369"/>
      <c r="K4940" s="452"/>
    </row>
    <row r="4941" spans="1:12">
      <c r="A4941" s="369"/>
      <c r="B4941" s="143" t="s">
        <v>9621</v>
      </c>
      <c r="C4941" s="196">
        <v>22.81</v>
      </c>
      <c r="D4941" s="215">
        <f>C4941*fcl*(1-0)/TC</f>
        <v>15.474898236092262</v>
      </c>
      <c r="E4941" s="215">
        <v>0</v>
      </c>
      <c r="F4941" s="511">
        <f>ROUNDUP(D4941+E4941,1)</f>
        <v>15.5</v>
      </c>
      <c r="G4941" s="314" t="s">
        <v>9622</v>
      </c>
      <c r="H4941" s="518" t="s">
        <v>9623</v>
      </c>
      <c r="I4941" s="452"/>
      <c r="J4941" s="369" t="s">
        <v>1926</v>
      </c>
      <c r="K4941" s="452" t="s">
        <v>741</v>
      </c>
    </row>
    <row r="4942" spans="1:12">
      <c r="A4942" s="369"/>
      <c r="B4942" s="143" t="s">
        <v>9624</v>
      </c>
      <c r="C4942" s="196">
        <v>22.81</v>
      </c>
      <c r="D4942" s="215">
        <f>C4942*fcl*(1-0)/TC</f>
        <v>15.474898236092262</v>
      </c>
      <c r="E4942" s="215">
        <v>0</v>
      </c>
      <c r="F4942" s="511">
        <f>ROUNDUP(D4942+E4942,1)</f>
        <v>15.5</v>
      </c>
      <c r="G4942" s="314" t="s">
        <v>9625</v>
      </c>
      <c r="H4942" s="518" t="s">
        <v>9626</v>
      </c>
      <c r="I4942" s="452"/>
      <c r="J4942" s="369" t="s">
        <v>1926</v>
      </c>
      <c r="K4942" s="452" t="s">
        <v>741</v>
      </c>
    </row>
    <row r="4943" spans="1:12">
      <c r="A4943" s="369"/>
      <c r="B4943" s="143" t="s">
        <v>9627</v>
      </c>
      <c r="C4943" s="196">
        <v>22.81</v>
      </c>
      <c r="D4943" s="215">
        <f>C4943*fcl*(1-0)/TC</f>
        <v>15.474898236092262</v>
      </c>
      <c r="E4943" s="215">
        <v>0</v>
      </c>
      <c r="F4943" s="511">
        <f>ROUNDUP(D4943+E4943,1)</f>
        <v>15.5</v>
      </c>
      <c r="G4943" s="314" t="s">
        <v>9628</v>
      </c>
      <c r="H4943" s="518" t="s">
        <v>9629</v>
      </c>
      <c r="I4943" s="452"/>
      <c r="J4943" s="369" t="s">
        <v>1926</v>
      </c>
      <c r="K4943" s="452" t="s">
        <v>741</v>
      </c>
    </row>
    <row r="4944" spans="1:12">
      <c r="A4944" s="369"/>
      <c r="B4944" s="143" t="s">
        <v>9630</v>
      </c>
      <c r="C4944" s="196">
        <v>22.81</v>
      </c>
      <c r="D4944" s="215">
        <f>C4944*fcl*(1-0)/TC</f>
        <v>15.474898236092262</v>
      </c>
      <c r="E4944" s="215">
        <v>0</v>
      </c>
      <c r="F4944" s="511">
        <f>ROUNDUP(D4944+E4944,1)</f>
        <v>15.5</v>
      </c>
      <c r="G4944" s="314" t="s">
        <v>9631</v>
      </c>
      <c r="H4944" s="518" t="s">
        <v>9632</v>
      </c>
      <c r="I4944" s="452"/>
      <c r="J4944" s="369" t="s">
        <v>1926</v>
      </c>
      <c r="K4944" s="452" t="s">
        <v>741</v>
      </c>
    </row>
    <row r="4945" spans="1:11">
      <c r="A4945" s="369"/>
      <c r="B4945" s="143"/>
      <c r="C4945" s="196"/>
      <c r="D4945" s="417"/>
      <c r="E4945" s="215"/>
      <c r="F4945" s="511"/>
      <c r="G4945" s="314"/>
      <c r="H4945" s="518"/>
      <c r="I4945" s="452"/>
      <c r="J4945" s="369"/>
      <c r="K4945" s="452"/>
    </row>
    <row r="4946" spans="1:11">
      <c r="A4946" s="369"/>
      <c r="B4946" s="143" t="s">
        <v>9633</v>
      </c>
      <c r="C4946" s="196">
        <v>65.319999999999993</v>
      </c>
      <c r="D4946" s="215">
        <f>C4946*fcl*(1-0)/TC</f>
        <v>44.314789687924005</v>
      </c>
      <c r="E4946" s="215">
        <v>0</v>
      </c>
      <c r="F4946" s="511">
        <f>ROUNDUP(D4946+E4946,1)</f>
        <v>44.4</v>
      </c>
      <c r="G4946" s="314" t="s">
        <v>9634</v>
      </c>
      <c r="H4946" s="518" t="s">
        <v>9635</v>
      </c>
      <c r="I4946" s="452"/>
      <c r="J4946" s="369" t="s">
        <v>1926</v>
      </c>
      <c r="K4946" s="452" t="s">
        <v>741</v>
      </c>
    </row>
    <row r="4947" spans="1:11">
      <c r="A4947" s="369"/>
      <c r="B4947" s="143"/>
      <c r="C4947" s="196"/>
      <c r="D4947" s="417"/>
      <c r="E4947" s="215"/>
      <c r="F4947" s="511"/>
      <c r="G4947" s="314"/>
      <c r="H4947" s="518"/>
      <c r="I4947" s="452"/>
      <c r="J4947" s="369"/>
      <c r="K4947" s="452"/>
    </row>
    <row r="4948" spans="1:11">
      <c r="A4948" s="369"/>
      <c r="B4948" s="143"/>
      <c r="C4948" s="196"/>
      <c r="D4948" s="417"/>
      <c r="E4948" s="215"/>
      <c r="F4948" s="511"/>
      <c r="G4948" s="314"/>
      <c r="H4948" s="518"/>
      <c r="I4948" s="452"/>
      <c r="J4948" s="369"/>
      <c r="K4948" s="452"/>
    </row>
    <row r="4949" spans="1:11">
      <c r="A4949" s="369"/>
      <c r="B4949" s="143" t="s">
        <v>9636</v>
      </c>
      <c r="C4949" s="196">
        <v>80.47</v>
      </c>
      <c r="D4949" s="215">
        <f>C4949*fcl*(1-0)/TC</f>
        <v>54.592944369063765</v>
      </c>
      <c r="E4949" s="215">
        <v>3</v>
      </c>
      <c r="F4949" s="511">
        <f>ROUNDUP(D4949+E4949,1)</f>
        <v>57.6</v>
      </c>
      <c r="G4949" s="314" t="s">
        <v>9637</v>
      </c>
      <c r="H4949" s="518" t="s">
        <v>9638</v>
      </c>
      <c r="I4949" s="452"/>
      <c r="J4949" s="369" t="s">
        <v>1926</v>
      </c>
      <c r="K4949" s="452" t="s">
        <v>741</v>
      </c>
    </row>
    <row r="4950" spans="1:11">
      <c r="A4950" s="369"/>
      <c r="B4950" s="143" t="s">
        <v>9639</v>
      </c>
      <c r="C4950" s="196">
        <v>88.51</v>
      </c>
      <c r="D4950" s="215">
        <f>C4950*fcl*(1-0)/TC</f>
        <v>60.047489823609226</v>
      </c>
      <c r="E4950" s="215">
        <v>3</v>
      </c>
      <c r="F4950" s="511">
        <f>ROUNDUP(D4950+E4950,1)</f>
        <v>63.1</v>
      </c>
      <c r="G4950" s="314" t="s">
        <v>9640</v>
      </c>
      <c r="H4950" s="518" t="s">
        <v>9641</v>
      </c>
      <c r="I4950" s="452"/>
      <c r="J4950" s="369" t="s">
        <v>1926</v>
      </c>
      <c r="K4950" s="452" t="s">
        <v>741</v>
      </c>
    </row>
    <row r="4951" spans="1:11">
      <c r="A4951" s="369"/>
      <c r="B4951" s="143"/>
      <c r="C4951" s="196"/>
      <c r="D4951" s="417"/>
      <c r="E4951" s="215"/>
      <c r="F4951" s="511"/>
      <c r="G4951" s="314"/>
      <c r="H4951" s="518"/>
      <c r="I4951" s="452"/>
      <c r="J4951" s="369"/>
      <c r="K4951" s="452"/>
    </row>
    <row r="4952" spans="1:11">
      <c r="A4952" s="369"/>
      <c r="B4952" s="143" t="s">
        <v>9642</v>
      </c>
      <c r="C4952" s="196">
        <v>204.48</v>
      </c>
      <c r="D4952" s="215">
        <f>C4952*fcl*(1-0)/TC</f>
        <v>138.72455902306646</v>
      </c>
      <c r="E4952" s="215">
        <v>3</v>
      </c>
      <c r="F4952" s="511">
        <f>ROUNDUP(D4952+E4952,1)</f>
        <v>141.79999999999998</v>
      </c>
      <c r="G4952" s="314" t="s">
        <v>9643</v>
      </c>
      <c r="H4952" s="518" t="s">
        <v>9644</v>
      </c>
      <c r="I4952" s="452"/>
      <c r="J4952" s="369" t="s">
        <v>1926</v>
      </c>
      <c r="K4952" s="452" t="s">
        <v>741</v>
      </c>
    </row>
    <row r="4953" spans="1:11">
      <c r="A4953" s="369"/>
      <c r="B4953" s="143"/>
      <c r="C4953" s="196"/>
      <c r="D4953" s="417"/>
      <c r="E4953" s="215"/>
      <c r="F4953" s="511"/>
      <c r="G4953" s="314"/>
      <c r="H4953" s="518"/>
      <c r="I4953" s="452"/>
      <c r="J4953" s="369"/>
      <c r="K4953" s="452"/>
    </row>
    <row r="4954" spans="1:11" s="185" customFormat="1">
      <c r="A4954" s="447"/>
      <c r="B4954" s="480"/>
      <c r="C4954" s="484"/>
      <c r="D4954" s="485"/>
      <c r="E4954" s="486"/>
      <c r="F4954" s="156"/>
      <c r="G4954" s="138"/>
      <c r="H4954" s="473"/>
      <c r="I4954" s="454"/>
      <c r="J4954" s="447"/>
      <c r="K4954" s="454"/>
    </row>
    <row r="4955" spans="1:11">
      <c r="A4955" s="369"/>
      <c r="B4955" s="143" t="s">
        <v>1683</v>
      </c>
      <c r="C4955" s="215">
        <v>23.28</v>
      </c>
      <c r="D4955" s="417">
        <f>C4955*fcl*(1-0)</f>
        <v>52.909090909090907</v>
      </c>
      <c r="E4955" s="215">
        <v>5</v>
      </c>
      <c r="F4955" s="511">
        <f>ROUNDUP(D4955+E4955,1)</f>
        <v>58</v>
      </c>
      <c r="G4955" s="314" t="s">
        <v>1684</v>
      </c>
      <c r="H4955" s="518"/>
      <c r="I4955" s="452"/>
      <c r="J4955" s="369" t="s">
        <v>1683</v>
      </c>
      <c r="K4955" s="452" t="s">
        <v>741</v>
      </c>
    </row>
    <row r="4956" spans="1:11">
      <c r="A4956" s="369"/>
      <c r="B4956" s="143" t="s">
        <v>1685</v>
      </c>
      <c r="C4956" s="215">
        <v>41.8</v>
      </c>
      <c r="D4956" s="417">
        <f>C4956*fcl*(1-0)</f>
        <v>94.999999999999986</v>
      </c>
      <c r="E4956" s="215">
        <v>5</v>
      </c>
      <c r="F4956" s="511">
        <f>ROUNDUP(D4956+E4956,1)</f>
        <v>100</v>
      </c>
      <c r="G4956" s="314" t="s">
        <v>1686</v>
      </c>
      <c r="H4956" s="518"/>
      <c r="I4956" s="452"/>
      <c r="J4956" s="369" t="s">
        <v>1683</v>
      </c>
      <c r="K4956" s="452" t="s">
        <v>741</v>
      </c>
    </row>
    <row r="4957" spans="1:11">
      <c r="A4957" s="447"/>
      <c r="B4957" s="480"/>
      <c r="C4957" s="484"/>
      <c r="D4957" s="485"/>
      <c r="E4957" s="486"/>
      <c r="F4957" s="156"/>
      <c r="G4957" s="138"/>
      <c r="H4957" s="473"/>
      <c r="I4957" s="454"/>
      <c r="J4957" s="447"/>
      <c r="K4957" s="454"/>
    </row>
    <row r="4958" spans="1:11">
      <c r="A4958" s="369"/>
      <c r="B4958" s="143"/>
      <c r="C4958" s="196"/>
      <c r="D4958" s="215"/>
      <c r="E4958" s="215"/>
      <c r="F4958" s="511"/>
      <c r="G4958" s="314"/>
      <c r="H4958" s="518"/>
      <c r="I4958" s="452"/>
      <c r="J4958" s="369"/>
      <c r="K4958" s="452"/>
    </row>
    <row r="4959" spans="1:11">
      <c r="A4959" s="515"/>
      <c r="B4959" s="144"/>
      <c r="C4959" s="196"/>
      <c r="D4959" s="229"/>
      <c r="E4959" s="215"/>
      <c r="F4959" s="511"/>
      <c r="G4959" s="516"/>
      <c r="H4959" s="518"/>
      <c r="I4959" s="452"/>
      <c r="J4959" s="515"/>
      <c r="K4959" s="452"/>
    </row>
    <row r="4960" spans="1:11">
      <c r="A4960" s="515"/>
      <c r="B4960" s="144"/>
      <c r="C4960" s="196"/>
      <c r="D4960" s="230"/>
      <c r="E4960" s="215"/>
      <c r="F4960" s="511"/>
      <c r="G4960" s="518"/>
      <c r="H4960" s="518"/>
      <c r="I4960" s="452"/>
      <c r="J4960" s="515"/>
      <c r="K4960" s="452"/>
    </row>
    <row r="4961" spans="1:11">
      <c r="A4961" s="515"/>
      <c r="B4961" s="144"/>
      <c r="C4961" s="196"/>
      <c r="D4961" s="229"/>
      <c r="E4961" s="215"/>
      <c r="F4961" s="511"/>
      <c r="G4961" s="516"/>
      <c r="H4961" s="518"/>
      <c r="I4961" s="452"/>
      <c r="J4961" s="515"/>
      <c r="K4961" s="452"/>
    </row>
    <row r="4962" spans="1:11">
      <c r="A4962" s="515"/>
      <c r="B4962" s="144" t="s">
        <v>3410</v>
      </c>
      <c r="C4962" s="196">
        <v>25.85</v>
      </c>
      <c r="D4962" s="230">
        <f>C4962*(1-0)*fcl/TC</f>
        <v>17.53731343283582</v>
      </c>
      <c r="E4962" s="215">
        <v>10</v>
      </c>
      <c r="F4962" s="511">
        <f>ROUNDUP(D4962+E4962,1)</f>
        <v>27.6</v>
      </c>
      <c r="G4962" s="518" t="s">
        <v>3412</v>
      </c>
      <c r="H4962" s="139" t="s">
        <v>3414</v>
      </c>
      <c r="I4962" s="452"/>
      <c r="J4962" s="515" t="s">
        <v>3416</v>
      </c>
      <c r="K4962" s="452" t="s">
        <v>741</v>
      </c>
    </row>
    <row r="4963" spans="1:11">
      <c r="A4963" s="515"/>
      <c r="B4963" s="144" t="s">
        <v>3411</v>
      </c>
      <c r="C4963" s="196">
        <v>12.37</v>
      </c>
      <c r="D4963" s="230">
        <f>C4963*(1-0)*fcl/TC</f>
        <v>8.3921302578018988</v>
      </c>
      <c r="E4963" s="215">
        <v>5</v>
      </c>
      <c r="F4963" s="511">
        <f>ROUNDUP(D4963+E4963,1)</f>
        <v>13.4</v>
      </c>
      <c r="G4963" s="518" t="s">
        <v>3413</v>
      </c>
      <c r="H4963" s="139" t="s">
        <v>3415</v>
      </c>
      <c r="I4963" s="452"/>
      <c r="J4963" s="515" t="s">
        <v>3416</v>
      </c>
      <c r="K4963" s="452" t="s">
        <v>741</v>
      </c>
    </row>
    <row r="4964" spans="1:11">
      <c r="A4964" s="515"/>
      <c r="B4964" s="144"/>
      <c r="C4964" s="196"/>
      <c r="D4964" s="229"/>
      <c r="E4964" s="215"/>
      <c r="F4964" s="511"/>
      <c r="G4964" s="516"/>
      <c r="H4964" s="518"/>
      <c r="I4964" s="452"/>
      <c r="J4964" s="515"/>
      <c r="K4964" s="452"/>
    </row>
    <row r="4965" spans="1:11">
      <c r="A4965" s="515"/>
      <c r="B4965" s="144"/>
      <c r="C4965" s="196"/>
      <c r="D4965" s="230"/>
      <c r="E4965" s="215"/>
      <c r="F4965" s="511"/>
      <c r="G4965" s="518"/>
      <c r="H4965" s="518"/>
      <c r="I4965" s="452"/>
      <c r="J4965" s="515"/>
      <c r="K4965" s="452"/>
    </row>
    <row r="4966" spans="1:11">
      <c r="A4966" s="515"/>
      <c r="B4966" s="144"/>
      <c r="C4966" s="196"/>
      <c r="D4966" s="229"/>
      <c r="E4966" s="215"/>
      <c r="F4966" s="511"/>
      <c r="G4966" s="516"/>
      <c r="H4966" s="518"/>
      <c r="I4966" s="452"/>
      <c r="J4966" s="515"/>
      <c r="K4966" s="452"/>
    </row>
    <row r="4967" spans="1:11">
      <c r="A4967" s="515"/>
      <c r="B4967" s="144"/>
      <c r="C4967" s="196"/>
      <c r="D4967" s="230"/>
      <c r="E4967" s="215"/>
      <c r="F4967" s="511"/>
      <c r="G4967" s="518"/>
      <c r="H4967" s="518"/>
      <c r="I4967" s="452"/>
      <c r="J4967" s="515"/>
      <c r="K4967" s="452"/>
    </row>
    <row r="4968" spans="1:11">
      <c r="A4968" s="515"/>
      <c r="B4968" s="144" t="s">
        <v>3280</v>
      </c>
      <c r="C4968" s="196">
        <v>39.76</v>
      </c>
      <c r="D4968" s="230">
        <f t="shared" ref="D4968:D4974" si="633">C4968*(1-0)*fcl/TC</f>
        <v>26.974219810040701</v>
      </c>
      <c r="E4968" s="215">
        <v>5</v>
      </c>
      <c r="F4968" s="511">
        <f>ROUNDUP(D4968+E4968,1)</f>
        <v>32</v>
      </c>
      <c r="G4968" s="518" t="s">
        <v>3281</v>
      </c>
      <c r="H4968" s="139" t="s">
        <v>3284</v>
      </c>
      <c r="I4968" s="452"/>
      <c r="J4968" s="515" t="s">
        <v>3279</v>
      </c>
      <c r="K4968" s="452" t="s">
        <v>741</v>
      </c>
    </row>
    <row r="4969" spans="1:11">
      <c r="A4969" s="515"/>
      <c r="B4969" s="144" t="s">
        <v>3282</v>
      </c>
      <c r="C4969" s="196">
        <v>70.08</v>
      </c>
      <c r="D4969" s="230">
        <f t="shared" si="633"/>
        <v>47.544097693351418</v>
      </c>
      <c r="E4969" s="215">
        <v>7</v>
      </c>
      <c r="F4969" s="511">
        <f>ROUNDUP(D4969+E4969,1)</f>
        <v>54.6</v>
      </c>
      <c r="G4969" s="518" t="s">
        <v>3283</v>
      </c>
      <c r="H4969" s="139" t="s">
        <v>3278</v>
      </c>
      <c r="I4969" s="452"/>
      <c r="J4969" s="515" t="s">
        <v>3279</v>
      </c>
      <c r="K4969" s="452" t="s">
        <v>741</v>
      </c>
    </row>
    <row r="4970" spans="1:11">
      <c r="A4970" s="515"/>
      <c r="B4970" s="144" t="s">
        <v>3285</v>
      </c>
      <c r="C4970" s="196">
        <v>76.819999999999993</v>
      </c>
      <c r="D4970" s="230">
        <f t="shared" si="633"/>
        <v>52.116689280868378</v>
      </c>
      <c r="E4970" s="215">
        <v>10</v>
      </c>
      <c r="F4970" s="511">
        <f>ROUNDUP(D4970+E4970,1)</f>
        <v>62.2</v>
      </c>
      <c r="G4970" s="518" t="s">
        <v>3286</v>
      </c>
      <c r="H4970" s="139" t="s">
        <v>3287</v>
      </c>
      <c r="I4970" s="452"/>
      <c r="J4970" s="515" t="s">
        <v>3279</v>
      </c>
      <c r="K4970" s="452" t="s">
        <v>741</v>
      </c>
    </row>
    <row r="4971" spans="1:11">
      <c r="A4971" s="515"/>
      <c r="B4971" s="144" t="s">
        <v>3288</v>
      </c>
      <c r="C4971" s="196">
        <v>283.02999999999997</v>
      </c>
      <c r="D4971" s="230">
        <f t="shared" si="633"/>
        <v>192.01492537313428</v>
      </c>
      <c r="E4971" s="215">
        <v>10</v>
      </c>
      <c r="F4971" s="511">
        <f>ROUNDUP(D4971+E4971,1)</f>
        <v>202.1</v>
      </c>
      <c r="G4971" s="518" t="s">
        <v>3399</v>
      </c>
      <c r="H4971" s="139" t="s">
        <v>3290</v>
      </c>
      <c r="I4971" s="452"/>
      <c r="J4971" s="515" t="s">
        <v>3279</v>
      </c>
      <c r="K4971" s="452" t="s">
        <v>741</v>
      </c>
    </row>
    <row r="4972" spans="1:11">
      <c r="A4972" s="515"/>
      <c r="B4972" s="144" t="s">
        <v>3289</v>
      </c>
      <c r="C4972" s="196">
        <v>370.64</v>
      </c>
      <c r="D4972" s="230">
        <f t="shared" si="633"/>
        <v>251.45183175033918</v>
      </c>
      <c r="E4972" s="215">
        <v>15</v>
      </c>
      <c r="F4972" s="511">
        <f>ROUNDUP(D4972+E4972,1)</f>
        <v>266.5</v>
      </c>
      <c r="G4972" s="518" t="s">
        <v>8560</v>
      </c>
      <c r="H4972" s="139" t="s">
        <v>3291</v>
      </c>
      <c r="I4972" s="452"/>
      <c r="J4972" s="515" t="s">
        <v>3279</v>
      </c>
      <c r="K4972" s="452" t="s">
        <v>741</v>
      </c>
    </row>
    <row r="4973" spans="1:11">
      <c r="A4973" s="515"/>
      <c r="B4973" s="144" t="s">
        <v>3294</v>
      </c>
      <c r="C4973" s="196">
        <v>53.91</v>
      </c>
      <c r="D4973" s="230">
        <f t="shared" si="633"/>
        <v>36.573948439620075</v>
      </c>
      <c r="E4973" s="215">
        <v>5</v>
      </c>
      <c r="F4973" s="511">
        <f>ROUNDUP(D4973+E4973,2)</f>
        <v>41.58</v>
      </c>
      <c r="G4973" s="518" t="s">
        <v>3296</v>
      </c>
      <c r="H4973" s="139" t="s">
        <v>3292</v>
      </c>
      <c r="I4973" s="452"/>
      <c r="J4973" s="515" t="s">
        <v>3279</v>
      </c>
      <c r="K4973" s="452" t="s">
        <v>741</v>
      </c>
    </row>
    <row r="4974" spans="1:11">
      <c r="A4974" s="515"/>
      <c r="B4974" s="144" t="s">
        <v>3295</v>
      </c>
      <c r="C4974" s="196">
        <v>53.91</v>
      </c>
      <c r="D4974" s="230">
        <f t="shared" si="633"/>
        <v>36.573948439620075</v>
      </c>
      <c r="E4974" s="215">
        <v>5</v>
      </c>
      <c r="F4974" s="511">
        <f>ROUNDUP(D4974+E4974,2)</f>
        <v>41.58</v>
      </c>
      <c r="G4974" s="518" t="s">
        <v>3297</v>
      </c>
      <c r="H4974" s="139" t="s">
        <v>3293</v>
      </c>
      <c r="I4974" s="452"/>
      <c r="J4974" s="515" t="s">
        <v>3279</v>
      </c>
      <c r="K4974" s="452" t="s">
        <v>741</v>
      </c>
    </row>
    <row r="4975" spans="1:11">
      <c r="A4975" s="515"/>
      <c r="B4975" s="144" t="s">
        <v>3298</v>
      </c>
      <c r="C4975" s="196">
        <v>172.52</v>
      </c>
      <c r="D4975" s="230">
        <f>C4975*(1-0)*fcl/TC</f>
        <v>117.04206241519674</v>
      </c>
      <c r="E4975" s="215">
        <v>10</v>
      </c>
      <c r="F4975" s="511">
        <f>ROUNDUP(D4975+E4975,1)</f>
        <v>127.1</v>
      </c>
      <c r="G4975" s="518" t="s">
        <v>3300</v>
      </c>
      <c r="H4975" s="139" t="s">
        <v>3299</v>
      </c>
      <c r="I4975" s="452"/>
      <c r="J4975" s="515" t="s">
        <v>3279</v>
      </c>
      <c r="K4975" s="452" t="s">
        <v>741</v>
      </c>
    </row>
    <row r="4976" spans="1:11">
      <c r="A4976" s="369"/>
      <c r="B4976" s="144" t="s">
        <v>3406</v>
      </c>
      <c r="C4976" s="196">
        <v>83</v>
      </c>
      <c r="D4976" s="230">
        <f>C4976*(1-0)*fcl/TC</f>
        <v>56.309362279511525</v>
      </c>
      <c r="E4976" s="215">
        <v>10</v>
      </c>
      <c r="F4976" s="511">
        <f>ROUNDUP(D4976+E4976,1)</f>
        <v>66.399999999999991</v>
      </c>
      <c r="G4976" s="516" t="s">
        <v>3407</v>
      </c>
      <c r="H4976" s="458" t="str">
        <f>B4976</f>
        <v>LAMP_FLUOR_FAND</v>
      </c>
      <c r="I4976" s="452"/>
      <c r="J4976" s="515" t="s">
        <v>3279</v>
      </c>
      <c r="K4976" s="452" t="s">
        <v>741</v>
      </c>
    </row>
    <row r="4977" spans="1:15">
      <c r="A4977" s="369"/>
      <c r="B4977" s="144" t="s">
        <v>3408</v>
      </c>
      <c r="C4977" s="196">
        <v>62.67</v>
      </c>
      <c r="D4977" s="230">
        <f>C4977*(1-0)*fcl/TC</f>
        <v>42.516960651289004</v>
      </c>
      <c r="E4977" s="215">
        <v>5</v>
      </c>
      <c r="F4977" s="511">
        <f>ROUNDUP(D4977+E4977,1)</f>
        <v>47.6</v>
      </c>
      <c r="G4977" s="516" t="s">
        <v>3409</v>
      </c>
      <c r="H4977" s="458" t="str">
        <f>B4977</f>
        <v>LIMIT_SWITCH_FAND</v>
      </c>
      <c r="I4977" s="452"/>
      <c r="J4977" s="515" t="s">
        <v>3279</v>
      </c>
      <c r="K4977" s="452" t="s">
        <v>741</v>
      </c>
    </row>
    <row r="4978" spans="1:15">
      <c r="A4978" s="515"/>
      <c r="B4978" s="144" t="s">
        <v>13878</v>
      </c>
      <c r="C4978" s="196">
        <v>114</v>
      </c>
      <c r="D4978" s="396">
        <f t="shared" ref="D4978" si="634">C4978*(1-0.2)*fcl/TC</f>
        <v>61.87245590230664</v>
      </c>
      <c r="E4978" s="215">
        <v>5</v>
      </c>
      <c r="F4978" s="511">
        <f t="shared" ref="F4978" si="635">ROUNDUP(D4978+E4978,1)</f>
        <v>66.899999999999991</v>
      </c>
      <c r="G4978" s="518" t="s">
        <v>13879</v>
      </c>
      <c r="H4978" s="1698" t="str">
        <f t="shared" ref="H4978" si="636">B4978</f>
        <v>TERMOSTATO-1NA_RIT</v>
      </c>
      <c r="I4978" s="452"/>
      <c r="J4978" s="515" t="s">
        <v>1386</v>
      </c>
      <c r="K4978" s="452" t="s">
        <v>741</v>
      </c>
    </row>
    <row r="4979" spans="1:15">
      <c r="A4979" s="515"/>
      <c r="B4979" s="144"/>
      <c r="C4979" s="196"/>
      <c r="D4979" s="229"/>
      <c r="E4979" s="215"/>
      <c r="F4979" s="511"/>
      <c r="G4979" s="516"/>
      <c r="H4979" s="518"/>
      <c r="I4979" s="452"/>
      <c r="J4979" s="515"/>
      <c r="K4979" s="452"/>
    </row>
    <row r="4980" spans="1:15">
      <c r="A4980" s="515"/>
      <c r="B4980" s="144" t="s">
        <v>12293</v>
      </c>
      <c r="C4980" s="215">
        <v>56</v>
      </c>
      <c r="D4980" s="359">
        <f>C4980*fcl</f>
        <v>127.27272727272725</v>
      </c>
      <c r="E4980" s="901">
        <f>D4980/8</f>
        <v>15.909090909090907</v>
      </c>
      <c r="F4980" s="511">
        <f>ROUNDUP(D4980+E4980,1)</f>
        <v>143.19999999999999</v>
      </c>
      <c r="G4980" s="518" t="s">
        <v>12294</v>
      </c>
      <c r="H4980" s="139" t="s">
        <v>12295</v>
      </c>
      <c r="I4980" s="452"/>
      <c r="J4980" s="515" t="s">
        <v>12296</v>
      </c>
      <c r="K4980" s="452" t="s">
        <v>741</v>
      </c>
      <c r="L4980" s="191"/>
      <c r="M4980" s="191"/>
      <c r="N4980" s="191"/>
      <c r="O4980" s="191"/>
    </row>
    <row r="4981" spans="1:15">
      <c r="A4981" s="515"/>
      <c r="B4981" s="144"/>
      <c r="C4981" s="196"/>
      <c r="D4981" s="229"/>
      <c r="E4981" s="215"/>
      <c r="F4981" s="511"/>
      <c r="G4981" s="516"/>
      <c r="H4981" s="518"/>
      <c r="I4981" s="452"/>
      <c r="J4981" s="515"/>
      <c r="K4981" s="452"/>
    </row>
    <row r="4982" spans="1:15">
      <c r="A4982" s="515"/>
      <c r="B4982" s="144" t="s">
        <v>8561</v>
      </c>
      <c r="C4982" s="196">
        <v>463</v>
      </c>
      <c r="D4982" s="230">
        <f>C4982*(1-0)*fcl/TC</f>
        <v>314.11126187245588</v>
      </c>
      <c r="E4982" s="215">
        <v>5</v>
      </c>
      <c r="F4982" s="511">
        <f>ROUNDUP(D4982+E4982,2)</f>
        <v>319.12</v>
      </c>
      <c r="G4982" s="518" t="s">
        <v>8562</v>
      </c>
      <c r="H4982" s="139" t="s">
        <v>8563</v>
      </c>
      <c r="I4982" s="452"/>
      <c r="J4982" s="515" t="s">
        <v>1576</v>
      </c>
      <c r="K4982" s="452" t="s">
        <v>741</v>
      </c>
      <c r="L4982" s="191"/>
      <c r="M4982" s="191"/>
      <c r="N4982" s="191"/>
      <c r="O4982" s="191"/>
    </row>
    <row r="4983" spans="1:15">
      <c r="A4983" s="515"/>
      <c r="B4983" s="144" t="s">
        <v>8564</v>
      </c>
      <c r="C4983" s="196">
        <v>214</v>
      </c>
      <c r="D4983" s="230">
        <f>C4983*(1-0)*fcl/TC</f>
        <v>145.18317503392129</v>
      </c>
      <c r="E4983" s="215">
        <v>5</v>
      </c>
      <c r="F4983" s="511">
        <f>ROUNDUP(D4983+E4983,2)</f>
        <v>150.19</v>
      </c>
      <c r="G4983" s="518" t="s">
        <v>8565</v>
      </c>
      <c r="H4983" s="139" t="s">
        <v>8566</v>
      </c>
      <c r="I4983" s="452"/>
      <c r="J4983" s="515" t="s">
        <v>1576</v>
      </c>
      <c r="K4983" s="452" t="s">
        <v>741</v>
      </c>
      <c r="L4983" s="191"/>
      <c r="M4983" s="191"/>
      <c r="N4983" s="191"/>
      <c r="O4983" s="191"/>
    </row>
    <row r="4984" spans="1:15">
      <c r="A4984" s="515"/>
      <c r="B4984" s="144"/>
      <c r="C4984" s="196"/>
      <c r="D4984" s="230"/>
      <c r="E4984" s="215"/>
      <c r="F4984" s="511"/>
      <c r="G4984" s="518"/>
      <c r="H4984" s="518"/>
      <c r="I4984" s="452"/>
      <c r="J4984" s="515"/>
      <c r="K4984" s="452"/>
    </row>
    <row r="4985" spans="1:15">
      <c r="A4985" s="515"/>
      <c r="B4985" s="144" t="s">
        <v>8567</v>
      </c>
      <c r="C4985" s="196">
        <v>15</v>
      </c>
      <c r="D4985" s="396">
        <f>C4985*(1-0.2)*fcl/TC</f>
        <v>8.1411126187245575</v>
      </c>
      <c r="E4985" s="215">
        <v>0.5</v>
      </c>
      <c r="F4985" s="511">
        <f>ROUNDUP(D4985+E4985,1)</f>
        <v>8.6999999999999993</v>
      </c>
      <c r="G4985" s="518" t="s">
        <v>8568</v>
      </c>
      <c r="H4985" s="458" t="str">
        <f>B4985</f>
        <v>Placa lamicoid p/autosop.</v>
      </c>
      <c r="I4985" s="452"/>
      <c r="J4985" s="515" t="s">
        <v>8569</v>
      </c>
      <c r="K4985" s="452" t="s">
        <v>741</v>
      </c>
    </row>
    <row r="4986" spans="1:15">
      <c r="A4986" s="515"/>
      <c r="B4986" s="144" t="s">
        <v>8570</v>
      </c>
      <c r="C4986" s="196">
        <v>3</v>
      </c>
      <c r="D4986" s="396">
        <f>C4986*(1-0.2)*fcl/TC</f>
        <v>1.6282225237449119</v>
      </c>
      <c r="E4986" s="215">
        <v>0.5</v>
      </c>
      <c r="F4986" s="511">
        <f>ROUNDUP(D4986+E4986,1)</f>
        <v>2.2000000000000002</v>
      </c>
      <c r="G4986" s="518" t="s">
        <v>8568</v>
      </c>
      <c r="H4986" s="458" t="str">
        <f>B4986</f>
        <v>Placa lamicoid p/distr.</v>
      </c>
      <c r="I4986" s="452"/>
      <c r="J4986" s="515" t="s">
        <v>8569</v>
      </c>
      <c r="K4986" s="452" t="s">
        <v>741</v>
      </c>
    </row>
    <row r="4987" spans="1:15">
      <c r="A4987" s="515"/>
      <c r="B4987" s="144"/>
      <c r="C4987" s="196"/>
      <c r="D4987" s="229"/>
      <c r="E4987" s="215"/>
      <c r="F4987" s="511"/>
      <c r="G4987" s="516"/>
      <c r="H4987" s="518"/>
      <c r="I4987" s="452"/>
      <c r="J4987" s="515"/>
      <c r="K4987" s="452"/>
    </row>
    <row r="4988" spans="1:15">
      <c r="A4988" s="515"/>
      <c r="B4988" s="144"/>
      <c r="C4988" s="196"/>
      <c r="D4988" s="230"/>
      <c r="E4988" s="215"/>
      <c r="F4988" s="511"/>
      <c r="G4988" s="518"/>
      <c r="H4988" s="518"/>
      <c r="I4988" s="452"/>
      <c r="J4988" s="515"/>
      <c r="K4988" s="452"/>
    </row>
    <row r="4989" spans="1:15">
      <c r="A4989" s="515"/>
      <c r="B4989" s="2540" t="s">
        <v>1386</v>
      </c>
      <c r="C4989" s="196"/>
      <c r="D4989" s="230"/>
      <c r="E4989" s="215"/>
      <c r="F4989" s="511"/>
      <c r="G4989" s="518"/>
      <c r="H4989" s="518"/>
      <c r="I4989" s="452"/>
      <c r="J4989" s="515"/>
      <c r="K4989" s="452"/>
    </row>
    <row r="4990" spans="1:15">
      <c r="A4990" s="515"/>
      <c r="B4990" s="2540"/>
      <c r="C4990" s="196"/>
      <c r="D4990" s="230"/>
      <c r="E4990" s="215"/>
      <c r="F4990" s="511"/>
      <c r="G4990" s="518"/>
      <c r="H4990" s="518"/>
      <c r="I4990" s="452"/>
      <c r="J4990" s="515"/>
      <c r="K4990" s="452"/>
    </row>
    <row r="4991" spans="1:15">
      <c r="A4991" s="515"/>
      <c r="B4991" s="144"/>
      <c r="C4991" s="196"/>
      <c r="D4991" s="229"/>
      <c r="E4991" s="215"/>
      <c r="F4991" s="511"/>
      <c r="G4991" s="516"/>
      <c r="H4991" s="518"/>
      <c r="I4991" s="452"/>
      <c r="J4991" s="515"/>
      <c r="K4991" s="452"/>
    </row>
    <row r="4992" spans="1:15">
      <c r="A4992" s="515"/>
      <c r="B4992" s="144"/>
      <c r="C4992" s="196"/>
      <c r="D4992" s="229"/>
      <c r="E4992" s="215"/>
      <c r="F4992" s="511"/>
      <c r="G4992" s="516"/>
      <c r="H4992" s="518"/>
      <c r="I4992" s="452"/>
      <c r="J4992" s="515"/>
      <c r="K4992" s="452"/>
    </row>
    <row r="4993" spans="1:11" s="185" customFormat="1">
      <c r="A4993" s="515"/>
      <c r="B4993" s="144" t="s">
        <v>13265</v>
      </c>
      <c r="C4993" s="196">
        <v>383</v>
      </c>
      <c r="D4993" s="230">
        <f t="shared" ref="D4993" si="637">C4993*(1-0.35)*fcl/TC</f>
        <v>168.89416553595657</v>
      </c>
      <c r="E4993" s="215">
        <v>5</v>
      </c>
      <c r="F4993" s="511">
        <f t="shared" ref="F4993:F5001" si="638">ROUNDUP(D4993+E4993,1)</f>
        <v>173.9</v>
      </c>
      <c r="G4993" s="518" t="s">
        <v>13266</v>
      </c>
      <c r="H4993" s="632">
        <v>1423500</v>
      </c>
      <c r="I4993" s="452"/>
      <c r="J4993" s="515" t="s">
        <v>1386</v>
      </c>
      <c r="K4993" s="452" t="s">
        <v>741</v>
      </c>
    </row>
    <row r="4994" spans="1:11" s="185" customFormat="1">
      <c r="A4994" s="515"/>
      <c r="B4994" s="144" t="s">
        <v>13267</v>
      </c>
      <c r="C4994" s="196">
        <v>414</v>
      </c>
      <c r="D4994" s="230">
        <f t="shared" ref="D4994" si="639">C4994*(1-0.35)*fcl/TC</f>
        <v>182.56445047489825</v>
      </c>
      <c r="E4994" s="215">
        <v>5</v>
      </c>
      <c r="F4994" s="511">
        <f t="shared" si="638"/>
        <v>187.6</v>
      </c>
      <c r="G4994" s="518" t="s">
        <v>13268</v>
      </c>
      <c r="H4994" s="632">
        <v>1432500</v>
      </c>
      <c r="I4994" s="452"/>
      <c r="J4994" s="515" t="s">
        <v>1386</v>
      </c>
      <c r="K4994" s="452" t="s">
        <v>741</v>
      </c>
    </row>
    <row r="4995" spans="1:11" s="185" customFormat="1">
      <c r="A4995" s="515"/>
      <c r="B4995" s="144" t="s">
        <v>13269</v>
      </c>
      <c r="C4995" s="196">
        <v>564</v>
      </c>
      <c r="D4995" s="230">
        <f t="shared" ref="D4995:D4997" si="640">C4995*(1-0.35)*fcl/TC</f>
        <v>248.71099050203526</v>
      </c>
      <c r="E4995" s="215">
        <v>5</v>
      </c>
      <c r="F4995" s="511">
        <f t="shared" si="638"/>
        <v>253.79999999999998</v>
      </c>
      <c r="G4995" s="518" t="s">
        <v>13270</v>
      </c>
      <c r="H4995" s="632">
        <v>1434500</v>
      </c>
      <c r="I4995" s="452"/>
      <c r="J4995" s="515" t="s">
        <v>1386</v>
      </c>
      <c r="K4995" s="452" t="s">
        <v>741</v>
      </c>
    </row>
    <row r="4996" spans="1:11" s="185" customFormat="1">
      <c r="A4996" s="515"/>
      <c r="B4996" s="144" t="s">
        <v>13271</v>
      </c>
      <c r="C4996" s="196">
        <v>680</v>
      </c>
      <c r="D4996" s="230">
        <f t="shared" si="640"/>
        <v>299.86431478968785</v>
      </c>
      <c r="E4996" s="215">
        <v>5</v>
      </c>
      <c r="F4996" s="511">
        <f t="shared" si="638"/>
        <v>304.90000000000003</v>
      </c>
      <c r="G4996" s="518" t="s">
        <v>13272</v>
      </c>
      <c r="H4996" s="632">
        <v>1444500</v>
      </c>
      <c r="I4996" s="452"/>
      <c r="J4996" s="515" t="s">
        <v>1386</v>
      </c>
      <c r="K4996" s="452" t="s">
        <v>741</v>
      </c>
    </row>
    <row r="4997" spans="1:11" s="185" customFormat="1">
      <c r="A4997" s="515"/>
      <c r="B4997" s="144" t="s">
        <v>13273</v>
      </c>
      <c r="C4997" s="196">
        <v>868</v>
      </c>
      <c r="D4997" s="230">
        <f t="shared" si="640"/>
        <v>382.76797829036633</v>
      </c>
      <c r="E4997" s="215">
        <v>5</v>
      </c>
      <c r="F4997" s="511">
        <f t="shared" si="638"/>
        <v>387.8</v>
      </c>
      <c r="G4997" s="518" t="s">
        <v>13274</v>
      </c>
      <c r="H4997" s="632">
        <v>1446500</v>
      </c>
      <c r="I4997" s="452"/>
      <c r="J4997" s="515" t="s">
        <v>1386</v>
      </c>
      <c r="K4997" s="452" t="s">
        <v>741</v>
      </c>
    </row>
    <row r="4998" spans="1:11" s="185" customFormat="1">
      <c r="A4998" s="515"/>
      <c r="B4998" s="144" t="s">
        <v>13275</v>
      </c>
      <c r="C4998" s="196">
        <v>1587</v>
      </c>
      <c r="D4998" s="230">
        <f t="shared" ref="D4998:D4999" si="641">C4998*(1-0.35)*fcl/TC</f>
        <v>699.83039348710986</v>
      </c>
      <c r="E4998" s="215">
        <v>5</v>
      </c>
      <c r="F4998" s="511">
        <f t="shared" si="638"/>
        <v>704.9</v>
      </c>
      <c r="G4998" s="518" t="s">
        <v>13276</v>
      </c>
      <c r="H4998" s="632">
        <v>1453500</v>
      </c>
      <c r="I4998" s="452"/>
      <c r="J4998" s="515" t="s">
        <v>1386</v>
      </c>
      <c r="K4998" s="452" t="s">
        <v>741</v>
      </c>
    </row>
    <row r="4999" spans="1:11" s="185" customFormat="1">
      <c r="A4999" s="515"/>
      <c r="B4999" s="144" t="s">
        <v>13277</v>
      </c>
      <c r="C4999" s="196">
        <v>1225</v>
      </c>
      <c r="D4999" s="230">
        <f t="shared" si="641"/>
        <v>540.19674355495249</v>
      </c>
      <c r="E4999" s="215">
        <v>5</v>
      </c>
      <c r="F4999" s="511">
        <f t="shared" si="638"/>
        <v>545.20000000000005</v>
      </c>
      <c r="G4999" s="518" t="s">
        <v>13278</v>
      </c>
      <c r="H4999" s="632">
        <v>1466500</v>
      </c>
      <c r="I4999" s="452"/>
      <c r="J4999" s="515" t="s">
        <v>1386</v>
      </c>
      <c r="K4999" s="452" t="s">
        <v>741</v>
      </c>
    </row>
    <row r="5000" spans="1:11" s="185" customFormat="1">
      <c r="A5000" s="515"/>
      <c r="B5000" s="144" t="s">
        <v>13279</v>
      </c>
      <c r="C5000" s="196">
        <v>1831</v>
      </c>
      <c r="D5000" s="230">
        <f t="shared" ref="D5000" si="642">C5000*(1-0.35)*fcl/TC</f>
        <v>807.4287652645861</v>
      </c>
      <c r="E5000" s="215">
        <v>5</v>
      </c>
      <c r="F5000" s="511">
        <f t="shared" si="638"/>
        <v>812.5</v>
      </c>
      <c r="G5000" s="518" t="s">
        <v>13280</v>
      </c>
      <c r="H5000" s="632">
        <v>1468500</v>
      </c>
      <c r="I5000" s="452"/>
      <c r="J5000" s="515" t="s">
        <v>1386</v>
      </c>
      <c r="K5000" s="452" t="s">
        <v>741</v>
      </c>
    </row>
    <row r="5001" spans="1:11" s="185" customFormat="1">
      <c r="A5001" s="515"/>
      <c r="B5001" s="144" t="s">
        <v>13281</v>
      </c>
      <c r="C5001" s="196">
        <v>3150</v>
      </c>
      <c r="D5001" s="230">
        <f t="shared" ref="D5001" si="643">C5001*(1-0.35)*fcl/TC</f>
        <v>1389.0773405698776</v>
      </c>
      <c r="E5001" s="215">
        <v>5</v>
      </c>
      <c r="F5001" s="511">
        <f t="shared" si="638"/>
        <v>1394.1</v>
      </c>
      <c r="G5001" s="518" t="s">
        <v>13282</v>
      </c>
      <c r="H5001" s="632">
        <v>1480500</v>
      </c>
      <c r="I5001" s="452"/>
      <c r="J5001" s="515" t="s">
        <v>1386</v>
      </c>
      <c r="K5001" s="452" t="s">
        <v>741</v>
      </c>
    </row>
    <row r="5002" spans="1:11">
      <c r="A5002" s="515" t="s">
        <v>12424</v>
      </c>
      <c r="B5002" s="144"/>
      <c r="C5002" s="196"/>
      <c r="D5002" s="229"/>
      <c r="E5002" s="215"/>
      <c r="F5002" s="511"/>
      <c r="G5002" s="516"/>
      <c r="H5002" s="518"/>
      <c r="I5002" s="452"/>
      <c r="J5002" s="515"/>
      <c r="K5002" s="452"/>
    </row>
    <row r="5003" spans="1:11" s="185" customFormat="1">
      <c r="A5003" s="515"/>
      <c r="B5003" s="144" t="s">
        <v>13283</v>
      </c>
      <c r="C5003" s="196">
        <v>888</v>
      </c>
      <c r="D5003" s="230">
        <f t="shared" ref="D5003:D5007" si="644">C5003*(1-0.35)*fcl/TC</f>
        <v>391.58751696065127</v>
      </c>
      <c r="E5003" s="215">
        <v>5</v>
      </c>
      <c r="F5003" s="511">
        <f t="shared" ref="F5003:F5008" si="645">ROUNDUP(D5003+E5003,1)</f>
        <v>396.6</v>
      </c>
      <c r="G5003" s="518" t="s">
        <v>13284</v>
      </c>
      <c r="H5003" s="632">
        <v>1448500</v>
      </c>
      <c r="I5003" s="452"/>
      <c r="J5003" s="515" t="s">
        <v>1386</v>
      </c>
      <c r="K5003" s="452" t="s">
        <v>741</v>
      </c>
    </row>
    <row r="5004" spans="1:11" s="185" customFormat="1">
      <c r="A5004" s="515"/>
      <c r="B5004" s="144" t="s">
        <v>13285</v>
      </c>
      <c r="C5004" s="196">
        <v>1867</v>
      </c>
      <c r="D5004" s="230">
        <f>C5004*(1-0.35)*fcl/TC</f>
        <v>823.30393487109893</v>
      </c>
      <c r="E5004" s="215">
        <v>5</v>
      </c>
      <c r="F5004" s="511">
        <f>ROUNDUP(D5004+E5004,1)</f>
        <v>828.4</v>
      </c>
      <c r="G5004" s="518" t="s">
        <v>13286</v>
      </c>
      <c r="H5004" s="632">
        <v>1454500</v>
      </c>
      <c r="I5004" s="452"/>
      <c r="J5004" s="515" t="s">
        <v>1386</v>
      </c>
      <c r="K5004" s="452" t="s">
        <v>741</v>
      </c>
    </row>
    <row r="5005" spans="1:11" s="185" customFormat="1">
      <c r="A5005" s="515"/>
      <c r="B5005" s="144" t="s">
        <v>13287</v>
      </c>
      <c r="C5005" s="196">
        <v>1158</v>
      </c>
      <c r="D5005" s="230">
        <f t="shared" si="644"/>
        <v>510.65128900949793</v>
      </c>
      <c r="E5005" s="215">
        <v>5</v>
      </c>
      <c r="F5005" s="511">
        <f t="shared" si="645"/>
        <v>515.70000000000005</v>
      </c>
      <c r="G5005" s="518" t="s">
        <v>13288</v>
      </c>
      <c r="H5005" s="632">
        <v>1449500</v>
      </c>
      <c r="I5005" s="452"/>
      <c r="J5005" s="515" t="s">
        <v>1386</v>
      </c>
      <c r="K5005" s="452" t="s">
        <v>741</v>
      </c>
    </row>
    <row r="5006" spans="1:11" s="185" customFormat="1">
      <c r="A5006" s="515"/>
      <c r="B5006" s="144" t="s">
        <v>13289</v>
      </c>
      <c r="C5006" s="196">
        <v>1637</v>
      </c>
      <c r="D5006" s="230">
        <f t="shared" si="644"/>
        <v>721.87924016282204</v>
      </c>
      <c r="E5006" s="215">
        <v>5</v>
      </c>
      <c r="F5006" s="511">
        <f t="shared" si="645"/>
        <v>726.9</v>
      </c>
      <c r="G5006" s="518" t="s">
        <v>13290</v>
      </c>
      <c r="H5006" s="632">
        <v>1467500</v>
      </c>
      <c r="I5006" s="452"/>
      <c r="J5006" s="515" t="s">
        <v>1386</v>
      </c>
      <c r="K5006" s="452" t="s">
        <v>741</v>
      </c>
    </row>
    <row r="5007" spans="1:11" s="185" customFormat="1">
      <c r="A5007" s="515"/>
      <c r="B5007" s="144" t="s">
        <v>13291</v>
      </c>
      <c r="C5007" s="196">
        <v>2265</v>
      </c>
      <c r="D5007" s="230">
        <f t="shared" si="644"/>
        <v>998.81275440976924</v>
      </c>
      <c r="E5007" s="215">
        <v>5</v>
      </c>
      <c r="F5007" s="511">
        <f t="shared" si="645"/>
        <v>1003.9</v>
      </c>
      <c r="G5007" s="518" t="s">
        <v>13292</v>
      </c>
      <c r="H5007" s="632">
        <v>1469500</v>
      </c>
      <c r="I5007" s="452"/>
      <c r="J5007" s="515" t="s">
        <v>1386</v>
      </c>
      <c r="K5007" s="452" t="s">
        <v>741</v>
      </c>
    </row>
    <row r="5008" spans="1:11" s="185" customFormat="1">
      <c r="A5008" s="515"/>
      <c r="B5008" s="144" t="s">
        <v>13293</v>
      </c>
      <c r="C5008" s="196">
        <v>3945</v>
      </c>
      <c r="D5008" s="230">
        <f t="shared" ref="D5008" si="646">C5008*(1-0.35)*fcl/TC</f>
        <v>1739.6540027137039</v>
      </c>
      <c r="E5008" s="215">
        <v>5</v>
      </c>
      <c r="F5008" s="511">
        <f t="shared" si="645"/>
        <v>1744.6999999999998</v>
      </c>
      <c r="G5008" s="518" t="s">
        <v>13294</v>
      </c>
      <c r="H5008" s="632">
        <v>1479500</v>
      </c>
      <c r="I5008" s="452"/>
      <c r="J5008" s="515" t="s">
        <v>1386</v>
      </c>
      <c r="K5008" s="452" t="s">
        <v>741</v>
      </c>
    </row>
    <row r="5009" spans="1:15" s="185" customFormat="1">
      <c r="A5009" s="515"/>
      <c r="B5009" s="144" t="s">
        <v>13295</v>
      </c>
      <c r="C5009" s="196">
        <v>3987</v>
      </c>
      <c r="D5009" s="230">
        <f>C5009*(1-0.35)*fcl/TC</f>
        <v>1758.1750339213024</v>
      </c>
      <c r="E5009" s="215">
        <v>5</v>
      </c>
      <c r="F5009" s="511">
        <f>ROUNDUP(D5009+E5009,1)</f>
        <v>1763.1999999999998</v>
      </c>
      <c r="G5009" s="518" t="s">
        <v>13296</v>
      </c>
      <c r="H5009" s="632">
        <v>1400500</v>
      </c>
      <c r="I5009" s="452"/>
      <c r="J5009" s="515" t="s">
        <v>1386</v>
      </c>
      <c r="K5009" s="452" t="s">
        <v>741</v>
      </c>
    </row>
    <row r="5010" spans="1:15">
      <c r="A5010" s="515"/>
      <c r="B5010" s="144"/>
      <c r="C5010" s="196"/>
      <c r="D5010" s="229"/>
      <c r="E5010" s="215"/>
      <c r="F5010" s="511"/>
      <c r="G5010" s="516"/>
      <c r="H5010" s="518"/>
      <c r="I5010" s="452"/>
      <c r="J5010" s="515"/>
      <c r="K5010" s="452"/>
    </row>
    <row r="5011" spans="1:15" s="185" customFormat="1">
      <c r="A5011" s="515"/>
      <c r="B5011" s="144" t="s">
        <v>8574</v>
      </c>
      <c r="C5011" s="655">
        <v>43</v>
      </c>
      <c r="D5011" s="656">
        <f>C5011*(1-0.35)*fcl/TC</f>
        <v>18.962008141112616</v>
      </c>
      <c r="E5011" s="219">
        <v>2</v>
      </c>
      <c r="F5011" s="511">
        <f>ROUNDUP(D5011+E5011,1)</f>
        <v>21</v>
      </c>
      <c r="G5011" s="518" t="s">
        <v>12172</v>
      </c>
      <c r="H5011" s="632">
        <v>1483010</v>
      </c>
      <c r="I5011" s="452"/>
      <c r="J5011" s="515" t="s">
        <v>1386</v>
      </c>
      <c r="K5011" s="452" t="s">
        <v>741</v>
      </c>
    </row>
    <row r="5012" spans="1:15" s="185" customFormat="1">
      <c r="A5012" s="515"/>
      <c r="B5012" s="144" t="s">
        <v>13297</v>
      </c>
      <c r="C5012" s="655">
        <v>91</v>
      </c>
      <c r="D5012" s="656">
        <f>C5012*(1-0.35)*fcl/TC</f>
        <v>40.128900949796467</v>
      </c>
      <c r="E5012" s="219">
        <v>2</v>
      </c>
      <c r="F5012" s="511">
        <f>ROUNDUP(D5012+E5012,1)</f>
        <v>42.2</v>
      </c>
      <c r="G5012" s="518" t="s">
        <v>13298</v>
      </c>
      <c r="H5012" s="632">
        <v>1482000</v>
      </c>
      <c r="I5012" s="452"/>
      <c r="J5012" s="515" t="s">
        <v>1386</v>
      </c>
      <c r="K5012" s="452" t="s">
        <v>741</v>
      </c>
    </row>
    <row r="5013" spans="1:15">
      <c r="A5013" s="515"/>
      <c r="B5013" s="144"/>
      <c r="C5013" s="196"/>
      <c r="D5013" s="229"/>
      <c r="E5013" s="215"/>
      <c r="F5013" s="511"/>
      <c r="G5013" s="516"/>
      <c r="H5013" s="518"/>
      <c r="I5013" s="452"/>
      <c r="J5013" s="515"/>
      <c r="K5013" s="452"/>
    </row>
    <row r="5014" spans="1:15">
      <c r="A5014" s="515"/>
      <c r="B5014" s="144"/>
      <c r="C5014" s="196"/>
      <c r="D5014" s="230"/>
      <c r="E5014" s="215"/>
      <c r="F5014" s="511"/>
      <c r="G5014" s="518"/>
      <c r="H5014" s="518"/>
      <c r="I5014" s="452"/>
      <c r="J5014" s="515"/>
      <c r="K5014" s="452"/>
    </row>
    <row r="5015" spans="1:15">
      <c r="A5015" s="1365"/>
      <c r="B5015" s="423" t="s">
        <v>1579</v>
      </c>
      <c r="C5015" s="196">
        <v>228</v>
      </c>
      <c r="D5015" s="396">
        <f>C5015*(1-0.35)*fcl/TC</f>
        <v>100.5427408412483</v>
      </c>
      <c r="E5015" s="215">
        <v>5</v>
      </c>
      <c r="F5015" s="511">
        <f>ROUNDUP(D5015+E5015,1)</f>
        <v>105.6</v>
      </c>
      <c r="G5015" s="506" t="s">
        <v>1587</v>
      </c>
      <c r="H5015" s="572">
        <v>1032500</v>
      </c>
      <c r="I5015" s="452"/>
      <c r="J5015" s="515" t="s">
        <v>1386</v>
      </c>
      <c r="K5015" s="452" t="s">
        <v>741</v>
      </c>
      <c r="L5015" s="191"/>
      <c r="M5015" s="191"/>
      <c r="N5015" s="191"/>
      <c r="O5015" s="191"/>
    </row>
    <row r="5016" spans="1:15">
      <c r="A5016" s="1365"/>
      <c r="B5016" s="424" t="s">
        <v>1580</v>
      </c>
      <c r="C5016" s="196">
        <v>259</v>
      </c>
      <c r="D5016" s="396">
        <f>C5016*(1-0.35)*fcl/TC</f>
        <v>114.21302578018994</v>
      </c>
      <c r="E5016" s="215">
        <v>5</v>
      </c>
      <c r="F5016" s="511">
        <f>ROUNDUP(D5016+E5016,1)</f>
        <v>119.3</v>
      </c>
      <c r="G5016" s="506" t="s">
        <v>1588</v>
      </c>
      <c r="H5016" s="572">
        <v>1035500</v>
      </c>
      <c r="I5016" s="452"/>
      <c r="J5016" s="515" t="s">
        <v>1386</v>
      </c>
      <c r="K5016" s="452" t="s">
        <v>741</v>
      </c>
      <c r="L5016" s="191"/>
      <c r="M5016" s="191"/>
      <c r="N5016" s="191"/>
      <c r="O5016" s="191"/>
    </row>
    <row r="5017" spans="1:15" ht="13.5" customHeight="1">
      <c r="A5017" s="1365"/>
      <c r="B5017" s="399" t="s">
        <v>1583</v>
      </c>
      <c r="C5017" s="196">
        <v>309</v>
      </c>
      <c r="D5017" s="396">
        <f>C5017*(1-0.35)*fcl/TC</f>
        <v>136.26187245590228</v>
      </c>
      <c r="E5017" s="215">
        <v>5</v>
      </c>
      <c r="F5017" s="511">
        <f>ROUNDUP(D5017+E5017,1)</f>
        <v>141.29999999999998</v>
      </c>
      <c r="G5017" s="518" t="s">
        <v>1591</v>
      </c>
      <c r="H5017" s="572">
        <v>1030500</v>
      </c>
      <c r="I5017" s="452"/>
      <c r="J5017" s="515" t="s">
        <v>1386</v>
      </c>
      <c r="K5017" s="452" t="s">
        <v>741</v>
      </c>
    </row>
    <row r="5018" spans="1:15">
      <c r="A5018" s="1365"/>
      <c r="B5018" s="144"/>
      <c r="C5018" s="196"/>
      <c r="D5018" s="230"/>
      <c r="E5018" s="215"/>
      <c r="F5018" s="511"/>
      <c r="G5018" s="518"/>
      <c r="H5018" s="518"/>
      <c r="I5018" s="452"/>
      <c r="J5018" s="515"/>
      <c r="K5018" s="452"/>
    </row>
    <row r="5019" spans="1:15">
      <c r="A5019" s="1365"/>
      <c r="B5019" s="397" t="s">
        <v>1581</v>
      </c>
      <c r="C5019" s="196">
        <v>325</v>
      </c>
      <c r="D5019" s="396">
        <f t="shared" ref="D5019:D5027" si="647">C5019*(1-0.35)*fcl/TC</f>
        <v>143.31750339213025</v>
      </c>
      <c r="E5019" s="215">
        <v>5</v>
      </c>
      <c r="F5019" s="511">
        <f t="shared" ref="F5019:F5027" si="648">ROUNDUP(D5019+E5019,1)</f>
        <v>148.4</v>
      </c>
      <c r="G5019" s="518" t="s">
        <v>1589</v>
      </c>
      <c r="H5019" s="572">
        <v>1033500</v>
      </c>
      <c r="I5019" s="452"/>
      <c r="J5019" s="515" t="s">
        <v>1386</v>
      </c>
      <c r="K5019" s="452" t="s">
        <v>741</v>
      </c>
    </row>
    <row r="5020" spans="1:15">
      <c r="A5020" s="1365"/>
      <c r="B5020" s="398" t="s">
        <v>1582</v>
      </c>
      <c r="C5020" s="196">
        <v>353</v>
      </c>
      <c r="D5020" s="396">
        <f t="shared" si="647"/>
        <v>155.66485753052916</v>
      </c>
      <c r="E5020" s="215">
        <v>5</v>
      </c>
      <c r="F5020" s="511">
        <f t="shared" si="648"/>
        <v>160.69999999999999</v>
      </c>
      <c r="G5020" s="518" t="s">
        <v>1590</v>
      </c>
      <c r="H5020" s="572">
        <v>1034500</v>
      </c>
      <c r="I5020" s="452"/>
      <c r="J5020" s="515" t="s">
        <v>1386</v>
      </c>
      <c r="K5020" s="452" t="s">
        <v>741</v>
      </c>
    </row>
    <row r="5021" spans="1:15">
      <c r="A5021" s="1365"/>
      <c r="B5021" s="397" t="s">
        <v>1584</v>
      </c>
      <c r="C5021" s="196">
        <v>362</v>
      </c>
      <c r="D5021" s="396">
        <f t="shared" si="647"/>
        <v>159.6336499321574</v>
      </c>
      <c r="E5021" s="215">
        <v>5</v>
      </c>
      <c r="F5021" s="511">
        <f t="shared" si="648"/>
        <v>164.7</v>
      </c>
      <c r="G5021" s="518" t="s">
        <v>1592</v>
      </c>
      <c r="H5021" s="572">
        <v>1380500</v>
      </c>
      <c r="I5021" s="452"/>
      <c r="J5021" s="515" t="s">
        <v>1386</v>
      </c>
      <c r="K5021" s="452" t="s">
        <v>741</v>
      </c>
    </row>
    <row r="5022" spans="1:15">
      <c r="A5022" s="1365"/>
      <c r="B5022" s="373" t="s">
        <v>1586</v>
      </c>
      <c r="C5022" s="196">
        <v>408</v>
      </c>
      <c r="D5022" s="396">
        <f t="shared" si="647"/>
        <v>179.91858887381272</v>
      </c>
      <c r="E5022" s="215">
        <v>5</v>
      </c>
      <c r="F5022" s="511">
        <f t="shared" si="648"/>
        <v>185</v>
      </c>
      <c r="G5022" s="518" t="s">
        <v>1595</v>
      </c>
      <c r="H5022" s="572">
        <v>1045500</v>
      </c>
      <c r="I5022" s="452"/>
      <c r="J5022" s="515" t="s">
        <v>1386</v>
      </c>
      <c r="K5022" s="452" t="s">
        <v>741</v>
      </c>
    </row>
    <row r="5023" spans="1:15">
      <c r="A5023" s="1365"/>
      <c r="B5023" s="398" t="s">
        <v>1585</v>
      </c>
      <c r="C5023" s="196">
        <v>431</v>
      </c>
      <c r="D5023" s="396">
        <f t="shared" si="647"/>
        <v>190.06105834464043</v>
      </c>
      <c r="E5023" s="215">
        <v>5</v>
      </c>
      <c r="F5023" s="511">
        <f t="shared" si="648"/>
        <v>195.1</v>
      </c>
      <c r="G5023" s="518" t="s">
        <v>1593</v>
      </c>
      <c r="H5023" s="572">
        <v>1038500</v>
      </c>
      <c r="I5023" s="452"/>
      <c r="J5023" s="515" t="s">
        <v>1386</v>
      </c>
      <c r="K5023" s="452" t="s">
        <v>741</v>
      </c>
    </row>
    <row r="5024" spans="1:15">
      <c r="A5024" s="1365"/>
      <c r="B5024" s="397" t="s">
        <v>1594</v>
      </c>
      <c r="C5024" s="196">
        <v>507</v>
      </c>
      <c r="D5024" s="396">
        <f t="shared" si="647"/>
        <v>223.57530529172317</v>
      </c>
      <c r="E5024" s="215">
        <v>5</v>
      </c>
      <c r="F5024" s="511">
        <f t="shared" si="648"/>
        <v>228.6</v>
      </c>
      <c r="G5024" s="518" t="s">
        <v>1596</v>
      </c>
      <c r="H5024" s="572">
        <v>1050500</v>
      </c>
      <c r="I5024" s="452"/>
      <c r="J5024" s="515" t="s">
        <v>1386</v>
      </c>
      <c r="K5024" s="452" t="s">
        <v>741</v>
      </c>
    </row>
    <row r="5025" spans="1:11">
      <c r="A5025" s="1365"/>
      <c r="B5025" s="373" t="s">
        <v>1600</v>
      </c>
      <c r="C5025" s="196">
        <v>560</v>
      </c>
      <c r="D5025" s="396">
        <f t="shared" si="647"/>
        <v>246.94708276797823</v>
      </c>
      <c r="E5025" s="215">
        <v>5</v>
      </c>
      <c r="F5025" s="511">
        <f t="shared" si="648"/>
        <v>252</v>
      </c>
      <c r="G5025" s="518" t="s">
        <v>1602</v>
      </c>
      <c r="H5025" s="572">
        <v>1060500</v>
      </c>
      <c r="I5025" s="452"/>
      <c r="J5025" s="515" t="s">
        <v>1386</v>
      </c>
      <c r="K5025" s="452" t="s">
        <v>741</v>
      </c>
    </row>
    <row r="5026" spans="1:11">
      <c r="A5026" s="1365"/>
      <c r="B5026" s="398" t="s">
        <v>1605</v>
      </c>
      <c r="C5026" s="196">
        <v>697</v>
      </c>
      <c r="D5026" s="396">
        <f t="shared" si="647"/>
        <v>307.36092265943006</v>
      </c>
      <c r="E5026" s="215">
        <v>5</v>
      </c>
      <c r="F5026" s="511">
        <f t="shared" si="648"/>
        <v>312.40000000000003</v>
      </c>
      <c r="G5026" s="518" t="s">
        <v>1606</v>
      </c>
      <c r="H5026" s="572">
        <v>1076500</v>
      </c>
      <c r="I5026" s="452"/>
      <c r="J5026" s="515" t="s">
        <v>1386</v>
      </c>
      <c r="K5026" s="452" t="s">
        <v>741</v>
      </c>
    </row>
    <row r="5027" spans="1:11">
      <c r="A5027" s="1365"/>
      <c r="B5027" s="399" t="s">
        <v>1607</v>
      </c>
      <c r="C5027" s="196">
        <v>931</v>
      </c>
      <c r="D5027" s="396">
        <f t="shared" si="647"/>
        <v>410.54952510176378</v>
      </c>
      <c r="E5027" s="215">
        <v>5</v>
      </c>
      <c r="F5027" s="511">
        <f t="shared" si="648"/>
        <v>415.6</v>
      </c>
      <c r="G5027" s="518" t="s">
        <v>1608</v>
      </c>
      <c r="H5027" s="572">
        <v>1077500</v>
      </c>
      <c r="I5027" s="452"/>
      <c r="J5027" s="515" t="s">
        <v>1386</v>
      </c>
      <c r="K5027" s="452" t="s">
        <v>741</v>
      </c>
    </row>
    <row r="5028" spans="1:11">
      <c r="A5028" s="1365"/>
      <c r="B5028" s="144"/>
      <c r="C5028" s="196"/>
      <c r="D5028" s="230"/>
      <c r="E5028" s="215"/>
      <c r="F5028" s="511"/>
      <c r="G5028" s="518"/>
      <c r="H5028" s="518"/>
      <c r="I5028" s="452"/>
      <c r="J5028" s="515"/>
      <c r="K5028" s="452"/>
    </row>
    <row r="5029" spans="1:11">
      <c r="A5029" s="1365"/>
      <c r="B5029" s="397" t="s">
        <v>1597</v>
      </c>
      <c r="C5029" s="196">
        <v>703</v>
      </c>
      <c r="D5029" s="396">
        <f t="shared" ref="D5029:D5042" si="649">C5029*(1-0.35)*fcl/TC</f>
        <v>310.00678426051553</v>
      </c>
      <c r="E5029" s="215">
        <v>5</v>
      </c>
      <c r="F5029" s="511">
        <f t="shared" ref="F5029:F5041" si="650">ROUNDUP(D5029+E5029,1)</f>
        <v>315.10000000000002</v>
      </c>
      <c r="G5029" s="518" t="s">
        <v>1598</v>
      </c>
      <c r="H5029" s="572">
        <v>1350500</v>
      </c>
      <c r="I5029" s="452"/>
      <c r="J5029" s="515" t="s">
        <v>1386</v>
      </c>
      <c r="K5029" s="452" t="s">
        <v>741</v>
      </c>
    </row>
    <row r="5030" spans="1:11" ht="13.5" customHeight="1">
      <c r="A5030" s="1365"/>
      <c r="B5030" s="373" t="s">
        <v>1603</v>
      </c>
      <c r="C5030" s="196">
        <v>885</v>
      </c>
      <c r="D5030" s="396">
        <f t="shared" si="649"/>
        <v>390.26458616010848</v>
      </c>
      <c r="E5030" s="215">
        <v>5</v>
      </c>
      <c r="F5030" s="511">
        <f t="shared" si="650"/>
        <v>395.3</v>
      </c>
      <c r="G5030" s="518" t="s">
        <v>1604</v>
      </c>
      <c r="H5030" s="572">
        <v>1360500</v>
      </c>
      <c r="I5030" s="452"/>
      <c r="J5030" s="515" t="s">
        <v>1386</v>
      </c>
      <c r="K5030" s="452" t="s">
        <v>741</v>
      </c>
    </row>
    <row r="5031" spans="1:11">
      <c r="A5031" s="1365"/>
      <c r="B5031" s="373" t="s">
        <v>1599</v>
      </c>
      <c r="C5031" s="196">
        <v>736</v>
      </c>
      <c r="D5031" s="396">
        <f t="shared" si="649"/>
        <v>324.55902306648574</v>
      </c>
      <c r="E5031" s="215">
        <v>5</v>
      </c>
      <c r="F5031" s="511">
        <f t="shared" si="650"/>
        <v>329.6</v>
      </c>
      <c r="G5031" s="518" t="s">
        <v>1601</v>
      </c>
      <c r="H5031" s="572">
        <v>1057500</v>
      </c>
      <c r="I5031" s="452"/>
      <c r="J5031" s="515" t="s">
        <v>1386</v>
      </c>
      <c r="K5031" s="452" t="s">
        <v>741</v>
      </c>
    </row>
    <row r="5032" spans="1:11">
      <c r="A5032" s="1365"/>
      <c r="B5032" s="373" t="s">
        <v>1609</v>
      </c>
      <c r="C5032" s="196">
        <v>887</v>
      </c>
      <c r="D5032" s="396">
        <f t="shared" si="649"/>
        <v>391.14654002713701</v>
      </c>
      <c r="E5032" s="215">
        <v>5</v>
      </c>
      <c r="F5032" s="511">
        <f t="shared" si="650"/>
        <v>396.20000000000005</v>
      </c>
      <c r="G5032" s="518" t="s">
        <v>1610</v>
      </c>
      <c r="H5032" s="572">
        <v>1058500</v>
      </c>
      <c r="I5032" s="452"/>
      <c r="J5032" s="515" t="s">
        <v>1386</v>
      </c>
      <c r="K5032" s="452" t="s">
        <v>741</v>
      </c>
    </row>
    <row r="5033" spans="1:11">
      <c r="A5033" s="1365"/>
      <c r="B5033" s="373" t="s">
        <v>1611</v>
      </c>
      <c r="C5033" s="196">
        <v>1012</v>
      </c>
      <c r="D5033" s="396">
        <f t="shared" si="649"/>
        <v>446.26865671641792</v>
      </c>
      <c r="E5033" s="215">
        <v>5</v>
      </c>
      <c r="F5033" s="511">
        <f t="shared" si="650"/>
        <v>451.3</v>
      </c>
      <c r="G5033" s="518" t="s">
        <v>1612</v>
      </c>
      <c r="H5033" s="572">
        <v>1090500</v>
      </c>
      <c r="I5033" s="452"/>
      <c r="J5033" s="515" t="s">
        <v>1386</v>
      </c>
      <c r="K5033" s="452" t="s">
        <v>741</v>
      </c>
    </row>
    <row r="5034" spans="1:11">
      <c r="A5034" s="1365"/>
      <c r="B5034" s="398" t="s">
        <v>1613</v>
      </c>
      <c r="C5034" s="196">
        <v>1282</v>
      </c>
      <c r="D5034" s="396">
        <f t="shared" si="649"/>
        <v>565.33242876526458</v>
      </c>
      <c r="E5034" s="215">
        <v>5</v>
      </c>
      <c r="F5034" s="511">
        <f t="shared" si="650"/>
        <v>570.4</v>
      </c>
      <c r="G5034" s="518" t="s">
        <v>1614</v>
      </c>
      <c r="H5034" s="572">
        <v>1260500</v>
      </c>
      <c r="I5034" s="452"/>
      <c r="J5034" s="515" t="s">
        <v>1386</v>
      </c>
      <c r="K5034" s="452" t="s">
        <v>741</v>
      </c>
    </row>
    <row r="5035" spans="1:11">
      <c r="A5035" s="1365"/>
      <c r="B5035" s="397" t="s">
        <v>1615</v>
      </c>
      <c r="C5035" s="196">
        <v>1158</v>
      </c>
      <c r="D5035" s="396">
        <f t="shared" si="649"/>
        <v>510.65128900949793</v>
      </c>
      <c r="E5035" s="215">
        <v>5</v>
      </c>
      <c r="F5035" s="511">
        <f t="shared" si="650"/>
        <v>515.70000000000005</v>
      </c>
      <c r="G5035" s="518" t="s">
        <v>1616</v>
      </c>
      <c r="H5035" s="572">
        <v>1180500</v>
      </c>
      <c r="I5035" s="452"/>
      <c r="J5035" s="515" t="s">
        <v>1386</v>
      </c>
      <c r="K5035" s="452" t="s">
        <v>741</v>
      </c>
    </row>
    <row r="5036" spans="1:11">
      <c r="A5036" s="1365"/>
      <c r="B5036" s="398" t="s">
        <v>1617</v>
      </c>
      <c r="C5036" s="196">
        <v>1473</v>
      </c>
      <c r="D5036" s="396">
        <f t="shared" si="649"/>
        <v>649.55902306648568</v>
      </c>
      <c r="E5036" s="215">
        <v>5</v>
      </c>
      <c r="F5036" s="511">
        <f t="shared" si="650"/>
        <v>654.6</v>
      </c>
      <c r="G5036" s="518" t="s">
        <v>1618</v>
      </c>
      <c r="H5036" s="572">
        <v>1280500</v>
      </c>
      <c r="I5036" s="452"/>
      <c r="J5036" s="515" t="s">
        <v>1386</v>
      </c>
      <c r="K5036" s="452" t="s">
        <v>741</v>
      </c>
    </row>
    <row r="5037" spans="1:11" s="185" customFormat="1">
      <c r="A5037" s="1365"/>
      <c r="B5037" s="423" t="s">
        <v>1619</v>
      </c>
      <c r="C5037" s="196">
        <v>1946</v>
      </c>
      <c r="D5037" s="396">
        <f t="shared" si="649"/>
        <v>858.14111261872449</v>
      </c>
      <c r="E5037" s="215">
        <v>5</v>
      </c>
      <c r="F5037" s="511">
        <f t="shared" si="650"/>
        <v>863.2</v>
      </c>
      <c r="G5037" s="506" t="s">
        <v>1624</v>
      </c>
      <c r="H5037" s="572">
        <v>1213500</v>
      </c>
      <c r="I5037" s="452"/>
      <c r="J5037" s="515" t="s">
        <v>1386</v>
      </c>
      <c r="K5037" s="452" t="s">
        <v>741</v>
      </c>
    </row>
    <row r="5038" spans="1:11">
      <c r="A5038" s="1365"/>
      <c r="B5038" s="424" t="s">
        <v>1620</v>
      </c>
      <c r="C5038" s="196">
        <v>2338</v>
      </c>
      <c r="D5038" s="396">
        <f t="shared" si="649"/>
        <v>1031.0040705563092</v>
      </c>
      <c r="E5038" s="215">
        <v>5</v>
      </c>
      <c r="F5038" s="511">
        <f t="shared" si="650"/>
        <v>1036.0999999999999</v>
      </c>
      <c r="G5038" s="506" t="s">
        <v>1625</v>
      </c>
      <c r="H5038" s="572">
        <v>1114500</v>
      </c>
      <c r="I5038" s="452"/>
      <c r="J5038" s="515" t="s">
        <v>1386</v>
      </c>
      <c r="K5038" s="452" t="s">
        <v>741</v>
      </c>
    </row>
    <row r="5039" spans="1:11" s="185" customFormat="1">
      <c r="A5039" s="1365"/>
      <c r="B5039" s="423" t="s">
        <v>9377</v>
      </c>
      <c r="C5039" s="196">
        <v>3388</v>
      </c>
      <c r="D5039" s="396">
        <f t="shared" si="649"/>
        <v>1494.0298507462687</v>
      </c>
      <c r="E5039" s="215">
        <v>5</v>
      </c>
      <c r="F5039" s="511">
        <f>ROUNDUP(D5039+E5039,1)</f>
        <v>1499.1</v>
      </c>
      <c r="G5039" s="506" t="s">
        <v>9378</v>
      </c>
      <c r="H5039" s="572">
        <v>1014600</v>
      </c>
      <c r="I5039" s="452"/>
      <c r="J5039" s="515" t="s">
        <v>1386</v>
      </c>
      <c r="K5039" s="452" t="s">
        <v>741</v>
      </c>
    </row>
    <row r="5040" spans="1:11" s="185" customFormat="1">
      <c r="A5040" s="1365"/>
      <c r="B5040" s="423" t="s">
        <v>9379</v>
      </c>
      <c r="C5040" s="196">
        <v>2355</v>
      </c>
      <c r="D5040" s="396">
        <f t="shared" si="649"/>
        <v>1038.5006784260515</v>
      </c>
      <c r="E5040" s="215">
        <v>5</v>
      </c>
      <c r="F5040" s="511">
        <f>ROUNDUP(D5040+E5040,1)</f>
        <v>1043.5999999999999</v>
      </c>
      <c r="G5040" s="506" t="s">
        <v>9380</v>
      </c>
      <c r="H5040" s="572">
        <v>1012600</v>
      </c>
      <c r="I5040" s="452"/>
      <c r="J5040" s="515" t="s">
        <v>1386</v>
      </c>
      <c r="K5040" s="452" t="s">
        <v>741</v>
      </c>
    </row>
    <row r="5041" spans="1:11" s="185" customFormat="1">
      <c r="A5041" s="1365"/>
      <c r="B5041" s="423" t="s">
        <v>8571</v>
      </c>
      <c r="C5041" s="196">
        <v>3904</v>
      </c>
      <c r="D5041" s="396">
        <f t="shared" si="649"/>
        <v>1721.5739484396197</v>
      </c>
      <c r="E5041" s="215">
        <v>5</v>
      </c>
      <c r="F5041" s="511">
        <f t="shared" si="650"/>
        <v>1726.6</v>
      </c>
      <c r="G5041" s="506" t="s">
        <v>8572</v>
      </c>
      <c r="H5041" s="572">
        <v>1016600</v>
      </c>
      <c r="I5041" s="452"/>
      <c r="J5041" s="515" t="s">
        <v>1386</v>
      </c>
      <c r="K5041" s="452" t="s">
        <v>741</v>
      </c>
    </row>
    <row r="5042" spans="1:11" s="185" customFormat="1">
      <c r="A5042" s="1365"/>
      <c r="B5042" s="423" t="s">
        <v>8573</v>
      </c>
      <c r="C5042" s="196">
        <v>4495</v>
      </c>
      <c r="D5042" s="396">
        <f t="shared" si="649"/>
        <v>1982.1913161465397</v>
      </c>
      <c r="E5042" s="215">
        <v>5</v>
      </c>
      <c r="F5042" s="511">
        <f>ROUNDUP(D5042+E5042,1)</f>
        <v>1987.1999999999998</v>
      </c>
      <c r="G5042" s="506" t="s">
        <v>8572</v>
      </c>
      <c r="H5042" s="572">
        <v>1017600</v>
      </c>
      <c r="I5042" s="452"/>
      <c r="J5042" s="515" t="s">
        <v>1386</v>
      </c>
      <c r="K5042" s="452" t="s">
        <v>741</v>
      </c>
    </row>
    <row r="5043" spans="1:11">
      <c r="A5043" s="1365"/>
      <c r="B5043" s="144"/>
      <c r="C5043" s="196"/>
      <c r="D5043" s="230"/>
      <c r="E5043" s="215"/>
      <c r="F5043" s="511"/>
      <c r="G5043" s="518"/>
      <c r="H5043" s="518"/>
      <c r="I5043" s="452"/>
      <c r="J5043" s="515"/>
      <c r="K5043" s="452"/>
    </row>
    <row r="5044" spans="1:11" s="185" customFormat="1">
      <c r="A5044" s="1365"/>
      <c r="B5044" s="397" t="s">
        <v>8574</v>
      </c>
      <c r="C5044" s="196">
        <v>72.319999999999993</v>
      </c>
      <c r="D5044" s="396">
        <f>C5044*(1-0)*fcl/TC</f>
        <v>49.063772048846658</v>
      </c>
      <c r="E5044" s="215">
        <v>2</v>
      </c>
      <c r="F5044" s="511">
        <f>ROUNDUP(D5044+E5044,1)</f>
        <v>51.1</v>
      </c>
      <c r="G5044" s="518" t="s">
        <v>8575</v>
      </c>
      <c r="H5044" s="572" t="s">
        <v>8576</v>
      </c>
      <c r="I5044" s="452"/>
      <c r="J5044" s="515" t="s">
        <v>1386</v>
      </c>
      <c r="K5044" s="452" t="s">
        <v>741</v>
      </c>
    </row>
    <row r="5045" spans="1:11" s="185" customFormat="1">
      <c r="A5045" s="1365"/>
      <c r="B5045" s="397" t="s">
        <v>1621</v>
      </c>
      <c r="C5045" s="196">
        <v>50</v>
      </c>
      <c r="D5045" s="396">
        <f>C5045*(1-0.2)*fcl/TC</f>
        <v>27.137042062415194</v>
      </c>
      <c r="E5045" s="215">
        <v>2</v>
      </c>
      <c r="F5045" s="511">
        <f>ROUNDUP(D5045+E5045,1)</f>
        <v>29.200000000000003</v>
      </c>
      <c r="G5045" s="518" t="s">
        <v>5086</v>
      </c>
      <c r="H5045" s="572" t="s">
        <v>2446</v>
      </c>
      <c r="I5045" s="452"/>
      <c r="J5045" s="515" t="s">
        <v>1386</v>
      </c>
      <c r="K5045" s="452" t="s">
        <v>741</v>
      </c>
    </row>
    <row r="5046" spans="1:11" s="185" customFormat="1">
      <c r="A5046" s="1365"/>
      <c r="B5046" s="397" t="s">
        <v>12833</v>
      </c>
      <c r="C5046" s="196">
        <v>33.799999999999997</v>
      </c>
      <c r="D5046" s="396">
        <f>C5046*(1-0.2)*fcl/TC</f>
        <v>18.344640434192669</v>
      </c>
      <c r="E5046" s="215">
        <v>2</v>
      </c>
      <c r="F5046" s="511">
        <f>ROUNDUP(D5046+E5046,1)</f>
        <v>20.400000000000002</v>
      </c>
      <c r="G5046" s="518" t="s">
        <v>12834</v>
      </c>
      <c r="H5046" s="572" t="s">
        <v>12835</v>
      </c>
      <c r="I5046" s="452"/>
      <c r="J5046" s="515" t="s">
        <v>1386</v>
      </c>
      <c r="K5046" s="452" t="s">
        <v>741</v>
      </c>
    </row>
    <row r="5047" spans="1:11" s="185" customFormat="1">
      <c r="A5047" s="1365"/>
      <c r="B5047" s="398" t="s">
        <v>1622</v>
      </c>
      <c r="C5047" s="196">
        <v>26.65</v>
      </c>
      <c r="D5047" s="396">
        <f>C5047*(1-0)*fcl/TC</f>
        <v>18.080054274084119</v>
      </c>
      <c r="E5047" s="215">
        <v>0</v>
      </c>
      <c r="F5047" s="511">
        <f>ROUNDUP(D5047+E5047,1)</f>
        <v>18.100000000000001</v>
      </c>
      <c r="G5047" s="518" t="s">
        <v>1623</v>
      </c>
      <c r="H5047" s="572" t="s">
        <v>2447</v>
      </c>
      <c r="I5047" s="452"/>
      <c r="J5047" s="515" t="s">
        <v>1386</v>
      </c>
      <c r="K5047" s="452" t="s">
        <v>741</v>
      </c>
    </row>
    <row r="5048" spans="1:11">
      <c r="H5048" s="135"/>
    </row>
    <row r="5049" spans="1:11">
      <c r="H5049" s="135"/>
    </row>
    <row r="5050" spans="1:11">
      <c r="H5050" s="135"/>
    </row>
    <row r="5051" spans="1:11">
      <c r="H5051" s="135"/>
    </row>
    <row r="5052" spans="1:11" s="185" customFormat="1">
      <c r="A5052" s="1365"/>
      <c r="B5052" s="144"/>
      <c r="C5052" s="196"/>
      <c r="D5052" s="230"/>
      <c r="E5052" s="215"/>
      <c r="F5052" s="511"/>
      <c r="G5052" s="518"/>
      <c r="H5052" s="518"/>
      <c r="I5052" s="452"/>
      <c r="J5052" s="515"/>
      <c r="K5052" s="452"/>
    </row>
    <row r="5053" spans="1:11" s="185" customFormat="1">
      <c r="A5053" s="1365"/>
      <c r="B5053" s="397"/>
      <c r="C5053" s="196"/>
      <c r="D5053" s="230"/>
      <c r="E5053" s="215"/>
      <c r="F5053" s="511"/>
      <c r="G5053" s="518"/>
      <c r="H5053" s="518"/>
      <c r="I5053" s="452"/>
      <c r="J5053" s="515"/>
      <c r="K5053" s="452"/>
    </row>
    <row r="5054" spans="1:11" s="185" customFormat="1">
      <c r="A5054" s="1365"/>
      <c r="B5054" s="373" t="s">
        <v>2694</v>
      </c>
      <c r="C5054" s="196">
        <v>3315</v>
      </c>
      <c r="D5054" s="396">
        <f>C5054*(1-0.35)*fcl/TC</f>
        <v>1461.8385345997283</v>
      </c>
      <c r="E5054" s="215">
        <v>100</v>
      </c>
      <c r="F5054" s="511">
        <f>ROUNDUP(D5054+E5054,1)</f>
        <v>1561.8999999999999</v>
      </c>
      <c r="G5054" s="518" t="s">
        <v>9381</v>
      </c>
      <c r="H5054" s="572">
        <v>8606500</v>
      </c>
      <c r="I5054" s="452"/>
      <c r="J5054" s="515" t="s">
        <v>1386</v>
      </c>
      <c r="K5054" s="452" t="s">
        <v>741</v>
      </c>
    </row>
    <row r="5055" spans="1:11" s="185" customFormat="1">
      <c r="A5055" s="1365"/>
      <c r="B5055" s="373" t="s">
        <v>2695</v>
      </c>
      <c r="C5055" s="196">
        <v>3530</v>
      </c>
      <c r="D5055" s="396">
        <f>C5055*(1-0.35)*fcl/TC</f>
        <v>1556.6485753052916</v>
      </c>
      <c r="E5055" s="215">
        <v>100</v>
      </c>
      <c r="F5055" s="511">
        <f>ROUNDUP(D5055+E5055,1)</f>
        <v>1656.6999999999998</v>
      </c>
      <c r="G5055" s="518" t="s">
        <v>9382</v>
      </c>
      <c r="H5055" s="572">
        <v>8806500</v>
      </c>
      <c r="I5055" s="452"/>
      <c r="J5055" s="515" t="s">
        <v>1386</v>
      </c>
      <c r="K5055" s="452" t="s">
        <v>741</v>
      </c>
    </row>
    <row r="5056" spans="1:11" s="185" customFormat="1">
      <c r="A5056" s="1365"/>
      <c r="B5056" s="373"/>
      <c r="C5056" s="196"/>
      <c r="D5056" s="230"/>
      <c r="E5056" s="215"/>
      <c r="F5056" s="511"/>
      <c r="G5056" s="518"/>
      <c r="H5056" s="518"/>
      <c r="I5056" s="452"/>
      <c r="J5056" s="515"/>
      <c r="K5056" s="452"/>
    </row>
    <row r="5057" spans="1:11" s="185" customFormat="1">
      <c r="A5057" s="1365"/>
      <c r="B5057" s="373" t="s">
        <v>2696</v>
      </c>
      <c r="C5057" s="196">
        <v>775</v>
      </c>
      <c r="D5057" s="396">
        <f>C5057*(1-0.35)*fcl/TC</f>
        <v>341.75712347354136</v>
      </c>
      <c r="E5057" s="215">
        <v>80</v>
      </c>
      <c r="F5057" s="511">
        <f>ROUNDUP(D5057+E5057,1)</f>
        <v>421.8</v>
      </c>
      <c r="G5057" s="518" t="s">
        <v>2697</v>
      </c>
      <c r="H5057" s="572">
        <v>8106235</v>
      </c>
      <c r="I5057" s="452"/>
      <c r="J5057" s="515" t="s">
        <v>1386</v>
      </c>
      <c r="K5057" s="452" t="s">
        <v>741</v>
      </c>
    </row>
    <row r="5058" spans="1:11" s="185" customFormat="1">
      <c r="A5058" s="1365"/>
      <c r="B5058" s="373"/>
      <c r="C5058" s="196"/>
      <c r="D5058" s="230"/>
      <c r="E5058" s="215"/>
      <c r="F5058" s="511"/>
      <c r="G5058" s="518"/>
      <c r="H5058" s="632"/>
      <c r="I5058" s="452"/>
      <c r="J5058" s="515"/>
      <c r="K5058" s="452"/>
    </row>
    <row r="5059" spans="1:11" s="185" customFormat="1">
      <c r="A5059" s="1365"/>
      <c r="B5059" s="373" t="s">
        <v>2698</v>
      </c>
      <c r="C5059" s="196">
        <v>643</v>
      </c>
      <c r="D5059" s="396">
        <f>C5059*(1-0.35)*fcl/TC</f>
        <v>283.54816824966076</v>
      </c>
      <c r="E5059" s="215">
        <v>10</v>
      </c>
      <c r="F5059" s="511">
        <f>ROUNDUP(D5059+E5059,1)</f>
        <v>293.60000000000002</v>
      </c>
      <c r="G5059" s="518" t="s">
        <v>2699</v>
      </c>
      <c r="H5059" s="572">
        <v>8701600</v>
      </c>
      <c r="I5059" s="452"/>
      <c r="J5059" s="515" t="s">
        <v>1386</v>
      </c>
      <c r="K5059" s="452" t="s">
        <v>741</v>
      </c>
    </row>
    <row r="5060" spans="1:11" s="185" customFormat="1">
      <c r="A5060" s="1365"/>
      <c r="B5060" s="373" t="s">
        <v>2700</v>
      </c>
      <c r="C5060" s="196">
        <v>732</v>
      </c>
      <c r="D5060" s="396">
        <f>C5060*(1-0.35)*fcl/TC</f>
        <v>322.79511533242874</v>
      </c>
      <c r="E5060" s="215">
        <v>10</v>
      </c>
      <c r="F5060" s="511">
        <f>ROUNDUP(D5060+E5060,1)</f>
        <v>332.8</v>
      </c>
      <c r="G5060" s="518" t="s">
        <v>2701</v>
      </c>
      <c r="H5060" s="572">
        <v>8701800</v>
      </c>
      <c r="I5060" s="452"/>
      <c r="J5060" s="515" t="s">
        <v>1386</v>
      </c>
      <c r="K5060" s="452" t="s">
        <v>741</v>
      </c>
    </row>
    <row r="5061" spans="1:11" s="185" customFormat="1">
      <c r="A5061" s="1365"/>
      <c r="B5061" s="922" t="s">
        <v>3262</v>
      </c>
      <c r="C5061" s="923">
        <v>1095</v>
      </c>
      <c r="D5061" s="396">
        <f>C5061*(1-0.35)*fcl/TC</f>
        <v>482.86974219810037</v>
      </c>
      <c r="E5061" s="924">
        <v>10</v>
      </c>
      <c r="F5061" s="925">
        <f>ROUNDUP(D5061+E5061,1)</f>
        <v>492.90000000000003</v>
      </c>
      <c r="G5061" s="926" t="s">
        <v>3263</v>
      </c>
      <c r="H5061" s="927">
        <v>8702600</v>
      </c>
      <c r="I5061" s="452"/>
      <c r="J5061" s="515" t="s">
        <v>1386</v>
      </c>
      <c r="K5061" s="452" t="s">
        <v>741</v>
      </c>
    </row>
    <row r="5062" spans="1:11" s="185" customFormat="1">
      <c r="A5062" s="1365"/>
      <c r="B5062" s="922" t="s">
        <v>3264</v>
      </c>
      <c r="C5062" s="923">
        <v>1201</v>
      </c>
      <c r="D5062" s="396">
        <f>C5062*(1-0.35)*fcl/TC</f>
        <v>529.61329715061049</v>
      </c>
      <c r="E5062" s="924">
        <v>10</v>
      </c>
      <c r="F5062" s="925">
        <f>ROUNDUP(D5062+E5062,1)</f>
        <v>539.70000000000005</v>
      </c>
      <c r="G5062" s="926" t="s">
        <v>3265</v>
      </c>
      <c r="H5062" s="927">
        <v>8702800</v>
      </c>
      <c r="I5062" s="452"/>
      <c r="J5062" s="515" t="s">
        <v>1386</v>
      </c>
      <c r="K5062" s="452" t="s">
        <v>741</v>
      </c>
    </row>
    <row r="5063" spans="1:11" s="185" customFormat="1">
      <c r="A5063" s="1365"/>
      <c r="B5063" s="373"/>
      <c r="C5063" s="196"/>
      <c r="D5063" s="230"/>
      <c r="E5063" s="215"/>
      <c r="F5063" s="511"/>
      <c r="G5063" s="518"/>
      <c r="H5063" s="518"/>
      <c r="I5063" s="452"/>
      <c r="J5063" s="515"/>
      <c r="K5063" s="452"/>
    </row>
    <row r="5064" spans="1:11" s="185" customFormat="1">
      <c r="A5064" s="1365"/>
      <c r="B5064" s="373" t="s">
        <v>2702</v>
      </c>
      <c r="C5064" s="196">
        <v>444</v>
      </c>
      <c r="D5064" s="396">
        <f>C5064*(1-0.35)*fcl/TC</f>
        <v>195.79375848032564</v>
      </c>
      <c r="E5064" s="215">
        <v>10</v>
      </c>
      <c r="F5064" s="511">
        <f>ROUNDUP(D5064+E5064,1)</f>
        <v>205.79999999999998</v>
      </c>
      <c r="G5064" s="518" t="s">
        <v>2703</v>
      </c>
      <c r="H5064" s="572">
        <v>8701060</v>
      </c>
      <c r="I5064" s="452"/>
      <c r="J5064" s="515" t="s">
        <v>1386</v>
      </c>
      <c r="K5064" s="452" t="s">
        <v>741</v>
      </c>
    </row>
    <row r="5065" spans="1:11" s="185" customFormat="1">
      <c r="A5065" s="1365"/>
      <c r="B5065" s="922" t="s">
        <v>3266</v>
      </c>
      <c r="C5065" s="923">
        <v>549</v>
      </c>
      <c r="D5065" s="396">
        <f>C5065*(1-0.35)*fcl/TC</f>
        <v>242.09633649932155</v>
      </c>
      <c r="E5065" s="924">
        <v>10</v>
      </c>
      <c r="F5065" s="925">
        <f>ROUNDUP(D5065+E5065,1)</f>
        <v>252.1</v>
      </c>
      <c r="G5065" s="926" t="s">
        <v>3267</v>
      </c>
      <c r="H5065" s="927">
        <v>8702060</v>
      </c>
      <c r="I5065" s="452"/>
      <c r="J5065" s="515" t="s">
        <v>1386</v>
      </c>
      <c r="K5065" s="452" t="s">
        <v>741</v>
      </c>
    </row>
    <row r="5066" spans="1:11" s="185" customFormat="1">
      <c r="A5066" s="1365"/>
      <c r="B5066" s="373"/>
      <c r="C5066" s="196"/>
      <c r="D5066" s="230"/>
      <c r="E5066" s="215"/>
      <c r="F5066" s="511"/>
      <c r="G5066" s="518"/>
      <c r="H5066" s="518"/>
      <c r="I5066" s="452"/>
      <c r="J5066" s="515"/>
      <c r="K5066" s="452"/>
    </row>
    <row r="5067" spans="1:11" s="185" customFormat="1">
      <c r="A5067" s="1365"/>
      <c r="B5067" s="373" t="s">
        <v>2704</v>
      </c>
      <c r="C5067" s="196">
        <v>41</v>
      </c>
      <c r="D5067" s="396">
        <f>C5067*(1-0.35)*fcl/TC</f>
        <v>18.080054274084127</v>
      </c>
      <c r="E5067" s="215">
        <v>2</v>
      </c>
      <c r="F5067" s="511">
        <f>ROUNDUP(D5067+E5067,1)</f>
        <v>20.100000000000001</v>
      </c>
      <c r="G5067" s="518" t="s">
        <v>2705</v>
      </c>
      <c r="H5067" s="572">
        <v>2514000</v>
      </c>
      <c r="I5067" s="452"/>
      <c r="J5067" s="515" t="s">
        <v>1386</v>
      </c>
      <c r="K5067" s="452" t="s">
        <v>741</v>
      </c>
    </row>
    <row r="5068" spans="1:11">
      <c r="A5068" s="1365"/>
      <c r="B5068" s="373"/>
      <c r="C5068" s="196"/>
      <c r="D5068" s="230"/>
      <c r="E5068" s="215"/>
      <c r="F5068" s="511"/>
      <c r="G5068" s="518"/>
      <c r="H5068" s="518"/>
      <c r="I5068" s="452"/>
      <c r="J5068" s="515"/>
      <c r="K5068" s="452"/>
    </row>
    <row r="5069" spans="1:11" ht="12.75" customHeight="1">
      <c r="A5069" s="1365"/>
      <c r="B5069" s="373" t="s">
        <v>2706</v>
      </c>
      <c r="C5069" s="196">
        <v>109</v>
      </c>
      <c r="D5069" s="396">
        <f>C5069*(1-0.35)*fcl/TC</f>
        <v>48.066485753052916</v>
      </c>
      <c r="E5069" s="215">
        <v>10</v>
      </c>
      <c r="F5069" s="511">
        <f>ROUNDUP(D5069+E5069,1)</f>
        <v>58.1</v>
      </c>
      <c r="G5069" s="518" t="s">
        <v>2707</v>
      </c>
      <c r="H5069" s="572">
        <v>4540000</v>
      </c>
      <c r="I5069" s="452"/>
      <c r="J5069" s="515" t="s">
        <v>1386</v>
      </c>
      <c r="K5069" s="452" t="s">
        <v>741</v>
      </c>
    </row>
    <row r="5070" spans="1:11" ht="12.75" customHeight="1">
      <c r="A5070" s="1365"/>
      <c r="B5070" s="398"/>
      <c r="C5070" s="196"/>
      <c r="D5070" s="230"/>
      <c r="E5070" s="215"/>
      <c r="F5070" s="511"/>
      <c r="G5070" s="518"/>
      <c r="H5070" s="518"/>
      <c r="I5070" s="452"/>
      <c r="J5070" s="515"/>
      <c r="K5070" s="452"/>
    </row>
    <row r="5071" spans="1:11" s="185" customFormat="1">
      <c r="A5071" s="1365"/>
      <c r="B5071" s="144"/>
      <c r="C5071" s="196"/>
      <c r="D5071" s="359"/>
      <c r="E5071" s="215"/>
      <c r="F5071" s="511"/>
      <c r="G5071" s="518"/>
      <c r="H5071" s="518"/>
      <c r="I5071" s="452"/>
      <c r="J5071" s="515"/>
      <c r="K5071" s="452"/>
    </row>
    <row r="5072" spans="1:11" s="185" customFormat="1">
      <c r="A5072" s="1365"/>
      <c r="B5072" s="397"/>
      <c r="C5072" s="196"/>
      <c r="D5072" s="230"/>
      <c r="E5072" s="215"/>
      <c r="F5072" s="511"/>
      <c r="G5072" s="518"/>
      <c r="H5072" s="518"/>
      <c r="I5072" s="452"/>
      <c r="J5072" s="515"/>
      <c r="K5072" s="452"/>
    </row>
    <row r="5073" spans="1:11" s="185" customFormat="1">
      <c r="A5073" s="1365"/>
      <c r="B5073" s="373" t="s">
        <v>2708</v>
      </c>
      <c r="C5073" s="196">
        <v>3957</v>
      </c>
      <c r="D5073" s="396">
        <f>C5073*(1-0.35)*fcl/TC</f>
        <v>1744.9457259158751</v>
      </c>
      <c r="E5073" s="215">
        <v>150</v>
      </c>
      <c r="F5073" s="511">
        <f>ROUNDUP(D5073+E5073,1)</f>
        <v>1895</v>
      </c>
      <c r="G5073" s="518" t="s">
        <v>9383</v>
      </c>
      <c r="H5073" s="572">
        <v>8808500</v>
      </c>
      <c r="I5073" s="452"/>
      <c r="J5073" s="515" t="s">
        <v>1386</v>
      </c>
      <c r="K5073" s="452" t="s">
        <v>741</v>
      </c>
    </row>
    <row r="5074" spans="1:11" s="185" customFormat="1">
      <c r="A5074" s="1365"/>
      <c r="B5074" s="373" t="s">
        <v>2709</v>
      </c>
      <c r="C5074" s="196">
        <v>5574</v>
      </c>
      <c r="D5074" s="396">
        <f>C5074*(1-0.35)*fcl/TC</f>
        <v>2458.0054274084118</v>
      </c>
      <c r="E5074" s="215">
        <v>150</v>
      </c>
      <c r="F5074" s="511">
        <f>ROUNDUP(D5074+E5074,1)</f>
        <v>2608.1</v>
      </c>
      <c r="G5074" s="518" t="s">
        <v>9384</v>
      </c>
      <c r="H5074" s="572">
        <v>8208500</v>
      </c>
      <c r="I5074" s="452"/>
      <c r="J5074" s="515" t="s">
        <v>1386</v>
      </c>
      <c r="K5074" s="452" t="s">
        <v>741</v>
      </c>
    </row>
    <row r="5075" spans="1:11" s="185" customFormat="1">
      <c r="A5075" s="1365"/>
      <c r="B5075" s="373"/>
      <c r="C5075" s="196"/>
      <c r="D5075" s="230"/>
      <c r="E5075" s="215"/>
      <c r="F5075" s="511"/>
      <c r="G5075" s="518"/>
      <c r="H5075" s="518"/>
      <c r="I5075" s="452"/>
      <c r="J5075" s="515"/>
      <c r="K5075" s="452"/>
    </row>
    <row r="5076" spans="1:11" s="185" customFormat="1">
      <c r="A5076" s="1365"/>
      <c r="B5076" s="373" t="s">
        <v>2710</v>
      </c>
      <c r="C5076" s="196">
        <v>933</v>
      </c>
      <c r="D5076" s="396">
        <f>C5076*(1-0.35)*fcl/TC</f>
        <v>411.43147896879236</v>
      </c>
      <c r="E5076" s="215">
        <v>120</v>
      </c>
      <c r="F5076" s="511">
        <f>ROUNDUP(D5076+E5076,1)</f>
        <v>531.5</v>
      </c>
      <c r="G5076" s="518" t="s">
        <v>2711</v>
      </c>
      <c r="H5076" s="572">
        <v>8108235</v>
      </c>
      <c r="I5076" s="452"/>
      <c r="J5076" s="515" t="s">
        <v>1386</v>
      </c>
      <c r="K5076" s="452" t="s">
        <v>741</v>
      </c>
    </row>
    <row r="5077" spans="1:11" s="185" customFormat="1">
      <c r="A5077" s="1365"/>
      <c r="B5077" s="373"/>
      <c r="C5077" s="196"/>
      <c r="D5077" s="230"/>
      <c r="E5077" s="215"/>
      <c r="F5077" s="511"/>
      <c r="G5077" s="518"/>
      <c r="H5077" s="632"/>
      <c r="I5077" s="452"/>
      <c r="J5077" s="515"/>
      <c r="K5077" s="452"/>
    </row>
    <row r="5078" spans="1:11" s="185" customFormat="1">
      <c r="A5078" s="1365"/>
      <c r="B5078" s="373" t="s">
        <v>2700</v>
      </c>
      <c r="C5078" s="196">
        <v>732</v>
      </c>
      <c r="D5078" s="396">
        <f>C5078*(1-0.35)*fcl/TC</f>
        <v>322.79511533242874</v>
      </c>
      <c r="E5078" s="215">
        <v>10</v>
      </c>
      <c r="F5078" s="511">
        <f>ROUNDUP(D5078+E5078,1)</f>
        <v>332.8</v>
      </c>
      <c r="G5078" s="518" t="s">
        <v>2712</v>
      </c>
      <c r="H5078" s="572">
        <v>8701800</v>
      </c>
      <c r="I5078" s="452"/>
      <c r="J5078" s="515" t="s">
        <v>1386</v>
      </c>
      <c r="K5078" s="452" t="s">
        <v>741</v>
      </c>
    </row>
    <row r="5079" spans="1:11" s="185" customFormat="1">
      <c r="A5079" s="1365"/>
      <c r="B5079" s="373" t="s">
        <v>2713</v>
      </c>
      <c r="C5079" s="196">
        <v>912</v>
      </c>
      <c r="D5079" s="396">
        <f>C5079*(1-0.35)*fcl/TC</f>
        <v>402.17096336499321</v>
      </c>
      <c r="E5079" s="215">
        <v>10</v>
      </c>
      <c r="F5079" s="511">
        <f>ROUNDUP(D5079+E5079,1)</f>
        <v>412.20000000000005</v>
      </c>
      <c r="G5079" s="518" t="s">
        <v>2714</v>
      </c>
      <c r="H5079" s="572">
        <v>8701200</v>
      </c>
      <c r="I5079" s="452"/>
      <c r="J5079" s="515" t="s">
        <v>1386</v>
      </c>
      <c r="K5079" s="452" t="s">
        <v>741</v>
      </c>
    </row>
    <row r="5080" spans="1:11" s="185" customFormat="1">
      <c r="A5080" s="1365"/>
      <c r="B5080" s="922" t="s">
        <v>3264</v>
      </c>
      <c r="C5080" s="923">
        <v>1201</v>
      </c>
      <c r="D5080" s="396">
        <f>C5080*(1-0.35)*fcl/TC</f>
        <v>529.61329715061049</v>
      </c>
      <c r="E5080" s="924">
        <v>10</v>
      </c>
      <c r="F5080" s="925">
        <f>ROUNDUP(D5080+E5080,1)</f>
        <v>539.70000000000005</v>
      </c>
      <c r="G5080" s="926" t="s">
        <v>3265</v>
      </c>
      <c r="H5080" s="927">
        <v>8702800</v>
      </c>
      <c r="I5080" s="452"/>
      <c r="J5080" s="515" t="s">
        <v>1386</v>
      </c>
      <c r="K5080" s="452" t="s">
        <v>741</v>
      </c>
    </row>
    <row r="5081" spans="1:11" s="185" customFormat="1">
      <c r="A5081" s="1365"/>
      <c r="B5081" s="922" t="s">
        <v>3268</v>
      </c>
      <c r="C5081" s="923">
        <v>1426</v>
      </c>
      <c r="D5081" s="396">
        <f>C5081*(1-0.35)*fcl/TC</f>
        <v>628.83310719131612</v>
      </c>
      <c r="E5081" s="924">
        <v>10</v>
      </c>
      <c r="F5081" s="925">
        <f>ROUNDUP(D5081+E5081,1)</f>
        <v>638.9</v>
      </c>
      <c r="G5081" s="926" t="s">
        <v>3269</v>
      </c>
      <c r="H5081" s="927">
        <v>8702200</v>
      </c>
      <c r="I5081" s="452"/>
      <c r="J5081" s="515" t="s">
        <v>1386</v>
      </c>
      <c r="K5081" s="452" t="s">
        <v>741</v>
      </c>
    </row>
    <row r="5082" spans="1:11" s="185" customFormat="1">
      <c r="A5082" s="1365"/>
      <c r="B5082" s="373"/>
      <c r="C5082" s="196"/>
      <c r="D5082" s="230"/>
      <c r="E5082" s="215"/>
      <c r="F5082" s="511"/>
      <c r="G5082" s="518"/>
      <c r="H5082" s="518"/>
      <c r="I5082" s="452"/>
      <c r="J5082" s="515"/>
      <c r="K5082" s="452"/>
    </row>
    <row r="5083" spans="1:11" s="185" customFormat="1">
      <c r="A5083" s="1365"/>
      <c r="B5083" s="2161" t="s">
        <v>2715</v>
      </c>
      <c r="C5083" s="234">
        <v>700</v>
      </c>
      <c r="D5083" s="353">
        <f>C5083*(1-0.35)*fcl/TC</f>
        <v>308.68385345997285</v>
      </c>
      <c r="E5083" s="1388">
        <v>10</v>
      </c>
      <c r="F5083" s="517">
        <f>ROUNDUP(D5083+E5083,1)</f>
        <v>318.70000000000005</v>
      </c>
      <c r="G5083" s="1656" t="s">
        <v>2716</v>
      </c>
      <c r="H5083" s="1834">
        <v>8701080</v>
      </c>
      <c r="I5083" s="544"/>
      <c r="J5083" s="1399" t="s">
        <v>1386</v>
      </c>
      <c r="K5083" s="452" t="s">
        <v>741</v>
      </c>
    </row>
    <row r="5084" spans="1:11" s="185" customFormat="1">
      <c r="A5084" s="1365"/>
      <c r="B5084" s="2162" t="s">
        <v>3270</v>
      </c>
      <c r="C5084" s="234" t="s">
        <v>12836</v>
      </c>
      <c r="D5084" s="353" t="e">
        <f>C5084*(1-0.35)*fcl/TC</f>
        <v>#VALUE!</v>
      </c>
      <c r="E5084" s="2163">
        <v>0</v>
      </c>
      <c r="F5084" s="2164" t="e">
        <f>ROUNDUP(D5084+E5084,1)</f>
        <v>#VALUE!</v>
      </c>
      <c r="G5084" s="2165" t="s">
        <v>3271</v>
      </c>
      <c r="H5084" s="2166">
        <v>8702080</v>
      </c>
      <c r="I5084" s="544"/>
      <c r="J5084" s="1399" t="s">
        <v>1386</v>
      </c>
      <c r="K5084" s="452" t="s">
        <v>741</v>
      </c>
    </row>
    <row r="5085" spans="1:11" s="185" customFormat="1">
      <c r="A5085" s="1365"/>
      <c r="B5085" s="373"/>
      <c r="C5085" s="196"/>
      <c r="D5085" s="230"/>
      <c r="E5085" s="215"/>
      <c r="F5085" s="511"/>
      <c r="G5085" s="518"/>
      <c r="H5085" s="518"/>
      <c r="I5085" s="452"/>
      <c r="J5085" s="515"/>
      <c r="K5085" s="452"/>
    </row>
    <row r="5086" spans="1:11" s="185" customFormat="1">
      <c r="A5086" s="1365"/>
      <c r="B5086" s="373" t="s">
        <v>2704</v>
      </c>
      <c r="C5086" s="196">
        <v>41</v>
      </c>
      <c r="D5086" s="396">
        <f>C5086*(1-0.35)*fcl/TC</f>
        <v>18.080054274084127</v>
      </c>
      <c r="E5086" s="215">
        <v>2</v>
      </c>
      <c r="F5086" s="511">
        <f>ROUNDUP(D5086+E5086,1)</f>
        <v>20.100000000000001</v>
      </c>
      <c r="G5086" s="518" t="s">
        <v>2705</v>
      </c>
      <c r="H5086" s="572">
        <v>2514000</v>
      </c>
      <c r="I5086" s="452"/>
      <c r="J5086" s="515" t="s">
        <v>1386</v>
      </c>
      <c r="K5086" s="452" t="s">
        <v>741</v>
      </c>
    </row>
    <row r="5087" spans="1:11" s="185" customFormat="1">
      <c r="A5087" s="1365"/>
      <c r="B5087" s="373"/>
      <c r="C5087" s="196"/>
      <c r="D5087" s="230"/>
      <c r="E5087" s="215"/>
      <c r="F5087" s="511"/>
      <c r="G5087" s="518"/>
      <c r="H5087" s="518"/>
      <c r="I5087" s="452"/>
      <c r="J5087" s="515"/>
      <c r="K5087" s="452"/>
    </row>
    <row r="5088" spans="1:11">
      <c r="A5088" s="1365"/>
      <c r="B5088" s="373" t="s">
        <v>2706</v>
      </c>
      <c r="C5088" s="196">
        <v>109</v>
      </c>
      <c r="D5088" s="396">
        <f>C5088*(1-0.35)*fcl/TC</f>
        <v>48.066485753052916</v>
      </c>
      <c r="E5088" s="215">
        <v>10</v>
      </c>
      <c r="F5088" s="511">
        <f>ROUNDUP(D5088+E5088,1)</f>
        <v>58.1</v>
      </c>
      <c r="G5088" s="518" t="s">
        <v>2707</v>
      </c>
      <c r="H5088" s="572">
        <v>4540000</v>
      </c>
      <c r="I5088" s="452"/>
      <c r="J5088" s="515" t="s">
        <v>1386</v>
      </c>
      <c r="K5088" s="452" t="s">
        <v>741</v>
      </c>
    </row>
    <row r="5089" spans="1:11" s="185" customFormat="1">
      <c r="A5089" s="1365"/>
      <c r="B5089" s="398"/>
      <c r="C5089" s="196"/>
      <c r="D5089" s="230"/>
      <c r="E5089" s="215"/>
      <c r="F5089" s="511"/>
      <c r="G5089" s="518"/>
      <c r="H5089" s="518"/>
      <c r="I5089" s="452"/>
      <c r="J5089" s="515"/>
      <c r="K5089" s="452"/>
    </row>
    <row r="5090" spans="1:11" s="185" customFormat="1">
      <c r="A5090" s="1365"/>
      <c r="B5090" s="144"/>
      <c r="C5090" s="196"/>
      <c r="D5090" s="359"/>
      <c r="E5090" s="215"/>
      <c r="F5090" s="511"/>
      <c r="G5090" s="518"/>
      <c r="H5090" s="518"/>
      <c r="I5090" s="452"/>
      <c r="J5090" s="515"/>
      <c r="K5090" s="452"/>
    </row>
    <row r="5091" spans="1:11" s="185" customFormat="1">
      <c r="A5091" s="1365"/>
      <c r="B5091" s="144"/>
      <c r="C5091" s="196"/>
      <c r="D5091" s="359"/>
      <c r="E5091" s="215"/>
      <c r="F5091" s="511"/>
      <c r="G5091" s="518"/>
      <c r="H5091" s="518"/>
      <c r="I5091" s="452"/>
      <c r="J5091" s="515"/>
      <c r="K5091" s="452"/>
    </row>
    <row r="5092" spans="1:11" s="185" customFormat="1">
      <c r="A5092" s="1365"/>
      <c r="B5092" s="144"/>
      <c r="C5092" s="196"/>
      <c r="D5092" s="359"/>
      <c r="E5092" s="215"/>
      <c r="F5092" s="511"/>
      <c r="G5092" s="518"/>
      <c r="H5092" s="518"/>
      <c r="I5092" s="452"/>
      <c r="J5092" s="515"/>
      <c r="K5092" s="452"/>
    </row>
    <row r="5093" spans="1:11" s="185" customFormat="1">
      <c r="A5093" s="1365"/>
      <c r="B5093" s="144" t="s">
        <v>8577</v>
      </c>
      <c r="C5093" s="196">
        <v>19669</v>
      </c>
      <c r="D5093" s="396">
        <f>C5093*(1-0.35)*fcl/TC</f>
        <v>8673.5753052917225</v>
      </c>
      <c r="E5093" s="215">
        <v>150</v>
      </c>
      <c r="F5093" s="511">
        <f>ROUNDUP(D5093+E5093,1)</f>
        <v>8823.6</v>
      </c>
      <c r="G5093" s="518" t="s">
        <v>9385</v>
      </c>
      <c r="H5093" s="572">
        <v>8450680</v>
      </c>
      <c r="I5093" s="452"/>
      <c r="J5093" s="515" t="s">
        <v>1386</v>
      </c>
      <c r="K5093" s="452" t="s">
        <v>741</v>
      </c>
    </row>
    <row r="5094" spans="1:11" s="185" customFormat="1">
      <c r="A5094" s="1365"/>
      <c r="B5094" s="144" t="s">
        <v>8578</v>
      </c>
      <c r="C5094" s="655">
        <v>2435</v>
      </c>
      <c r="D5094" s="396">
        <f>C5094*(1-0.35)*fcl/TC</f>
        <v>1073.7788331071911</v>
      </c>
      <c r="E5094" s="215">
        <v>120</v>
      </c>
      <c r="F5094" s="511">
        <f>ROUNDUP(D5094+E5094,1)</f>
        <v>1193.8</v>
      </c>
      <c r="G5094" s="518" t="s">
        <v>8579</v>
      </c>
      <c r="H5094" s="572">
        <v>8700060</v>
      </c>
      <c r="I5094" s="452"/>
      <c r="J5094" s="515" t="s">
        <v>1386</v>
      </c>
      <c r="K5094" s="452" t="s">
        <v>741</v>
      </c>
    </row>
    <row r="5095" spans="1:11" s="185" customFormat="1">
      <c r="A5095" s="1365"/>
      <c r="B5095" s="144" t="s">
        <v>8580</v>
      </c>
      <c r="C5095" s="196">
        <v>732</v>
      </c>
      <c r="D5095" s="396">
        <f>C5095*(1-0.35)*fcl/TC</f>
        <v>322.79511533242874</v>
      </c>
      <c r="E5095" s="215">
        <v>10</v>
      </c>
      <c r="F5095" s="511">
        <f>ROUNDUP(D5095+E5095,1)</f>
        <v>332.8</v>
      </c>
      <c r="G5095" s="926" t="s">
        <v>10972</v>
      </c>
      <c r="H5095" s="572">
        <v>8701800</v>
      </c>
      <c r="I5095" s="452"/>
      <c r="J5095" s="515" t="s">
        <v>1386</v>
      </c>
      <c r="K5095" s="452" t="s">
        <v>741</v>
      </c>
    </row>
    <row r="5096" spans="1:11" s="185" customFormat="1">
      <c r="A5096" s="1365"/>
      <c r="B5096" s="144" t="s">
        <v>8581</v>
      </c>
      <c r="C5096" s="923">
        <v>444</v>
      </c>
      <c r="D5096" s="396">
        <f>C5096*(1-0.35)*fcl/TC</f>
        <v>195.79375848032564</v>
      </c>
      <c r="E5096" s="924">
        <v>10</v>
      </c>
      <c r="F5096" s="925">
        <f>ROUNDUP(D5096+E5096,1)</f>
        <v>205.79999999999998</v>
      </c>
      <c r="G5096" s="518" t="s">
        <v>10973</v>
      </c>
      <c r="H5096" s="572">
        <v>8701060</v>
      </c>
      <c r="I5096" s="452"/>
      <c r="J5096" s="515" t="s">
        <v>1386</v>
      </c>
      <c r="K5096" s="452" t="s">
        <v>741</v>
      </c>
    </row>
    <row r="5097" spans="1:11" s="185" customFormat="1">
      <c r="A5097" s="515"/>
      <c r="B5097" s="144"/>
      <c r="C5097" s="196"/>
      <c r="D5097" s="359"/>
      <c r="E5097" s="215"/>
      <c r="F5097" s="511"/>
      <c r="G5097" s="518"/>
      <c r="H5097" s="572"/>
      <c r="I5097" s="452"/>
      <c r="J5097" s="515"/>
      <c r="K5097" s="452"/>
    </row>
    <row r="5098" spans="1:11" s="185" customFormat="1" ht="14.25" customHeight="1">
      <c r="A5098" s="515"/>
      <c r="B5098" s="144"/>
      <c r="C5098" s="196"/>
      <c r="D5098" s="359"/>
      <c r="E5098" s="215"/>
      <c r="F5098" s="511"/>
      <c r="H5098" s="518"/>
      <c r="I5098" s="452"/>
      <c r="J5098" s="515"/>
      <c r="K5098" s="452"/>
    </row>
    <row r="5099" spans="1:11" s="2339" customFormat="1" ht="27.75" customHeight="1">
      <c r="A5099" s="1370"/>
      <c r="B5099" s="2367" t="s">
        <v>13880</v>
      </c>
      <c r="C5099" s="571"/>
      <c r="D5099" s="2156"/>
      <c r="E5099" s="1409"/>
      <c r="F5099" s="2355"/>
      <c r="H5099" s="2351"/>
      <c r="I5099" s="2357"/>
      <c r="J5099" s="1370"/>
      <c r="K5099" s="2357"/>
    </row>
    <row r="5100" spans="1:11" ht="14.4">
      <c r="A5100" s="515"/>
      <c r="B5100" s="144" t="s">
        <v>13881</v>
      </c>
      <c r="C5100" s="196">
        <v>65.3</v>
      </c>
      <c r="D5100" s="396">
        <f>C5100*(1-0.27)*fcl/TC</f>
        <v>32.33989145183174</v>
      </c>
      <c r="E5100" s="215">
        <v>3</v>
      </c>
      <c r="F5100" s="511">
        <f t="shared" ref="F5100:F5103" si="651">ROUNDUP(D5100+E5100,1)</f>
        <v>35.4</v>
      </c>
      <c r="G5100" s="2368" t="s">
        <v>13882</v>
      </c>
      <c r="H5100" s="458" t="str">
        <f t="shared" ref="H5100:H5103" si="652">B5100</f>
        <v>SOLERA 18MODULOS</v>
      </c>
      <c r="I5100" s="452"/>
      <c r="J5100" s="515" t="s">
        <v>13883</v>
      </c>
      <c r="K5100" s="452" t="s">
        <v>741</v>
      </c>
    </row>
    <row r="5101" spans="1:11" ht="14.4">
      <c r="A5101" s="515"/>
      <c r="B5101" s="144" t="s">
        <v>13884</v>
      </c>
      <c r="C5101" s="196">
        <v>79.5</v>
      </c>
      <c r="D5101" s="396">
        <f>C5101*(1-0.27)*fcl/TC</f>
        <v>39.37245590230664</v>
      </c>
      <c r="E5101" s="215">
        <v>3</v>
      </c>
      <c r="F5101" s="511">
        <f t="shared" si="651"/>
        <v>42.4</v>
      </c>
      <c r="G5101" s="2368" t="s">
        <v>13885</v>
      </c>
      <c r="H5101" s="458" t="str">
        <f t="shared" si="652"/>
        <v>SOLERA 22MODULOS</v>
      </c>
      <c r="I5101" s="452"/>
      <c r="J5101" s="515" t="s">
        <v>13883</v>
      </c>
      <c r="K5101" s="452" t="s">
        <v>741</v>
      </c>
    </row>
    <row r="5102" spans="1:11" ht="14.4">
      <c r="A5102" s="515"/>
      <c r="B5102" s="144" t="s">
        <v>13886</v>
      </c>
      <c r="C5102" s="962">
        <v>35.01</v>
      </c>
      <c r="D5102" s="396">
        <f>C5102*(1-0.27)*fcl</f>
        <v>58.084772727272714</v>
      </c>
      <c r="E5102" s="215">
        <v>3</v>
      </c>
      <c r="F5102" s="511">
        <f t="shared" si="651"/>
        <v>61.1</v>
      </c>
      <c r="G5102" s="2368" t="s">
        <v>13887</v>
      </c>
      <c r="H5102" s="458" t="str">
        <f t="shared" si="652"/>
        <v>SOLERA 28MODULOS</v>
      </c>
      <c r="I5102" s="452"/>
      <c r="J5102" s="515" t="s">
        <v>13883</v>
      </c>
      <c r="K5102" s="452" t="s">
        <v>741</v>
      </c>
    </row>
    <row r="5103" spans="1:11" s="185" customFormat="1" ht="14.4">
      <c r="A5103" s="515"/>
      <c r="B5103" s="144" t="s">
        <v>13888</v>
      </c>
      <c r="C5103" s="196">
        <v>135</v>
      </c>
      <c r="D5103" s="230">
        <f>C5103*(1-0.27)*fcl/TC</f>
        <v>66.858887381275423</v>
      </c>
      <c r="E5103" s="215">
        <v>3</v>
      </c>
      <c r="F5103" s="511">
        <f t="shared" si="651"/>
        <v>69.899999999999991</v>
      </c>
      <c r="G5103" s="2369" t="s">
        <v>13889</v>
      </c>
      <c r="H5103" s="139" t="str">
        <f t="shared" si="652"/>
        <v>SOLERA 40MODULOS</v>
      </c>
      <c r="I5103" s="452"/>
      <c r="J5103" s="515" t="s">
        <v>13883</v>
      </c>
      <c r="K5103" s="452" t="s">
        <v>741</v>
      </c>
    </row>
    <row r="5104" spans="1:11" s="185" customFormat="1">
      <c r="A5104" s="515"/>
      <c r="B5104" s="144"/>
      <c r="C5104" s="196"/>
      <c r="D5104" s="359"/>
      <c r="E5104" s="215"/>
      <c r="F5104" s="511"/>
      <c r="G5104" s="518"/>
      <c r="H5104" s="518"/>
      <c r="I5104" s="452"/>
      <c r="J5104" s="515"/>
      <c r="K5104" s="452"/>
    </row>
    <row r="5105" spans="1:11" s="185" customFormat="1">
      <c r="A5105" s="369"/>
      <c r="B5105" s="143" t="s">
        <v>12837</v>
      </c>
      <c r="C5105" s="155">
        <v>2850</v>
      </c>
      <c r="D5105" s="2167">
        <f>C5105*(1-0)*fcl</f>
        <v>6477.272727272727</v>
      </c>
      <c r="E5105" s="215">
        <v>10</v>
      </c>
      <c r="F5105" s="511">
        <f>ROUNDUP(D5105+E5105,1)</f>
        <v>6487.3</v>
      </c>
      <c r="G5105" s="314" t="s">
        <v>12838</v>
      </c>
      <c r="H5105" s="458" t="str">
        <f>B5105</f>
        <v>Trafo_BENDER_DS0107/10000_10KVA</v>
      </c>
      <c r="I5105" s="452"/>
      <c r="J5105" s="369" t="s">
        <v>5984</v>
      </c>
      <c r="K5105" s="452" t="s">
        <v>741</v>
      </c>
    </row>
    <row r="5106" spans="1:11" s="185" customFormat="1">
      <c r="A5106" s="515"/>
      <c r="B5106" s="144"/>
      <c r="C5106" s="196"/>
      <c r="D5106" s="359"/>
      <c r="E5106" s="215"/>
      <c r="F5106" s="511"/>
      <c r="G5106" s="518"/>
      <c r="H5106" s="518"/>
      <c r="I5106" s="452"/>
      <c r="J5106" s="515"/>
      <c r="K5106" s="452"/>
    </row>
    <row r="5107" spans="1:11" s="185" customFormat="1">
      <c r="A5107" s="515"/>
      <c r="B5107" s="144"/>
      <c r="C5107" s="196"/>
      <c r="D5107" s="359"/>
      <c r="E5107" s="215"/>
      <c r="F5107" s="511"/>
      <c r="G5107" s="518"/>
      <c r="H5107" s="518"/>
      <c r="I5107" s="452"/>
      <c r="J5107" s="515"/>
      <c r="K5107" s="452"/>
    </row>
    <row r="5108" spans="1:11" s="185" customFormat="1">
      <c r="A5108" s="515"/>
      <c r="B5108" s="144"/>
      <c r="C5108" s="196"/>
      <c r="D5108" s="359"/>
      <c r="E5108" s="215"/>
      <c r="F5108" s="511"/>
      <c r="G5108" s="518"/>
      <c r="H5108" s="518"/>
      <c r="I5108" s="452"/>
      <c r="J5108" s="515"/>
      <c r="K5108" s="452"/>
    </row>
    <row r="5109" spans="1:11" s="185" customFormat="1">
      <c r="A5109" s="515"/>
      <c r="B5109" s="144"/>
      <c r="C5109" s="196"/>
      <c r="D5109" s="359"/>
      <c r="E5109" s="215"/>
      <c r="F5109" s="511"/>
      <c r="G5109" s="518"/>
      <c r="H5109" s="518"/>
      <c r="I5109" s="452"/>
      <c r="J5109" s="515"/>
      <c r="K5109" s="452"/>
    </row>
    <row r="5110" spans="1:11" s="185" customFormat="1">
      <c r="A5110" s="515"/>
      <c r="B5110" s="144" t="s">
        <v>8582</v>
      </c>
      <c r="C5110" s="215">
        <v>30</v>
      </c>
      <c r="D5110" s="359">
        <f>C5110*fcl</f>
        <v>68.181818181818173</v>
      </c>
      <c r="E5110" s="901">
        <f>D5110/8</f>
        <v>8.5227272727272716</v>
      </c>
      <c r="F5110" s="511">
        <f>ROUNDUP(D5110+E5110,1)</f>
        <v>76.8</v>
      </c>
      <c r="G5110" s="518" t="s">
        <v>8583</v>
      </c>
      <c r="H5110" s="518"/>
      <c r="I5110" s="452"/>
      <c r="J5110" s="515" t="s">
        <v>1487</v>
      </c>
      <c r="K5110" s="452" t="s">
        <v>741</v>
      </c>
    </row>
    <row r="5111" spans="1:11" s="185" customFormat="1">
      <c r="A5111" s="515"/>
      <c r="B5111" s="144" t="s">
        <v>3079</v>
      </c>
      <c r="C5111" s="215">
        <v>45</v>
      </c>
      <c r="D5111" s="359">
        <f>C5111*fcl</f>
        <v>102.27272727272727</v>
      </c>
      <c r="E5111" s="901">
        <f t="shared" ref="E5111:E5131" si="653">D5111/8</f>
        <v>12.784090909090908</v>
      </c>
      <c r="F5111" s="511">
        <f>ROUNDUP(D5111+E5111,1)</f>
        <v>115.1</v>
      </c>
      <c r="G5111" s="518" t="s">
        <v>2542</v>
      </c>
      <c r="H5111" s="518"/>
      <c r="I5111" s="452"/>
      <c r="J5111" s="515" t="s">
        <v>1487</v>
      </c>
      <c r="K5111" s="452" t="s">
        <v>741</v>
      </c>
    </row>
    <row r="5112" spans="1:11" s="185" customFormat="1">
      <c r="A5112" s="515"/>
      <c r="B5112" s="144" t="s">
        <v>9645</v>
      </c>
      <c r="C5112" s="215">
        <v>80</v>
      </c>
      <c r="D5112" s="359">
        <f>C5112*fcl</f>
        <v>181.81818181818181</v>
      </c>
      <c r="E5112" s="901">
        <f t="shared" si="653"/>
        <v>22.727272727272727</v>
      </c>
      <c r="F5112" s="511">
        <f>ROUNDUP(D5112+E5112,1)</f>
        <v>204.6</v>
      </c>
      <c r="G5112" s="518" t="s">
        <v>9646</v>
      </c>
      <c r="H5112" s="518"/>
      <c r="I5112" s="452"/>
      <c r="J5112" s="515" t="s">
        <v>1487</v>
      </c>
      <c r="K5112" s="452" t="s">
        <v>741</v>
      </c>
    </row>
    <row r="5113" spans="1:11" s="185" customFormat="1">
      <c r="A5113" s="515"/>
      <c r="B5113" s="144"/>
      <c r="C5113" s="215"/>
      <c r="D5113" s="359"/>
      <c r="E5113" s="901"/>
      <c r="F5113" s="511"/>
      <c r="G5113" s="518"/>
      <c r="H5113" s="518"/>
      <c r="I5113" s="452"/>
      <c r="J5113" s="515"/>
      <c r="K5113" s="452"/>
    </row>
    <row r="5114" spans="1:11" s="185" customFormat="1">
      <c r="A5114" s="515"/>
      <c r="B5114" s="144" t="s">
        <v>9386</v>
      </c>
      <c r="C5114" s="359">
        <v>127</v>
      </c>
      <c r="D5114" s="359">
        <f>C5114*fcl</f>
        <v>288.63636363636363</v>
      </c>
      <c r="E5114" s="901">
        <f>D5114/8</f>
        <v>36.079545454545453</v>
      </c>
      <c r="F5114" s="511">
        <f>ROUNDUP(D5114+E5114,1)</f>
        <v>324.8</v>
      </c>
      <c r="G5114" s="518" t="s">
        <v>9387</v>
      </c>
      <c r="H5114" s="518"/>
      <c r="I5114" s="452"/>
      <c r="J5114" s="515" t="s">
        <v>1798</v>
      </c>
      <c r="K5114" s="452" t="s">
        <v>741</v>
      </c>
    </row>
    <row r="5115" spans="1:11" s="185" customFormat="1">
      <c r="A5115" s="515"/>
      <c r="B5115" s="144" t="s">
        <v>9388</v>
      </c>
      <c r="C5115" s="359">
        <v>127</v>
      </c>
      <c r="D5115" s="359">
        <f>C5115*fcl</f>
        <v>288.63636363636363</v>
      </c>
      <c r="E5115" s="901">
        <f>D5115/8</f>
        <v>36.079545454545453</v>
      </c>
      <c r="F5115" s="511">
        <f>ROUNDUP(D5115+E5115,1)</f>
        <v>324.8</v>
      </c>
      <c r="G5115" s="518" t="s">
        <v>9389</v>
      </c>
      <c r="H5115" s="518"/>
      <c r="I5115" s="452"/>
      <c r="J5115" s="515" t="s">
        <v>1798</v>
      </c>
      <c r="K5115" s="452" t="s">
        <v>741</v>
      </c>
    </row>
    <row r="5116" spans="1:11" s="185" customFormat="1">
      <c r="A5116" s="515"/>
      <c r="B5116" s="144"/>
      <c r="C5116" s="215"/>
      <c r="D5116" s="359"/>
      <c r="E5116" s="901"/>
      <c r="F5116" s="511"/>
      <c r="G5116" s="518"/>
      <c r="H5116" s="518"/>
      <c r="I5116" s="452"/>
      <c r="J5116" s="515"/>
      <c r="K5116" s="452"/>
    </row>
    <row r="5117" spans="1:11" s="185" customFormat="1">
      <c r="A5117" s="515"/>
      <c r="B5117" s="144" t="s">
        <v>3080</v>
      </c>
      <c r="C5117" s="215">
        <v>28</v>
      </c>
      <c r="D5117" s="359">
        <f>C5117*fcl</f>
        <v>63.636363636363626</v>
      </c>
      <c r="E5117" s="901">
        <f t="shared" si="653"/>
        <v>7.9545454545454533</v>
      </c>
      <c r="F5117" s="511">
        <f>ROUNDUP(D5117+E5117,1)</f>
        <v>71.599999999999994</v>
      </c>
      <c r="G5117" s="518" t="s">
        <v>2543</v>
      </c>
      <c r="H5117" s="518"/>
      <c r="I5117" s="452"/>
      <c r="J5117" s="515" t="s">
        <v>1487</v>
      </c>
      <c r="K5117" s="452" t="s">
        <v>741</v>
      </c>
    </row>
    <row r="5118" spans="1:11" s="185" customFormat="1">
      <c r="A5118" s="515"/>
      <c r="B5118" s="144" t="s">
        <v>3081</v>
      </c>
      <c r="C5118" s="570">
        <f>C5128</f>
        <v>40</v>
      </c>
      <c r="D5118" s="359">
        <f>C5118*fcl</f>
        <v>90.909090909090907</v>
      </c>
      <c r="E5118" s="901">
        <f t="shared" si="653"/>
        <v>11.363636363636363</v>
      </c>
      <c r="F5118" s="511">
        <f>ROUNDUP(D5118+E5118,1)</f>
        <v>102.3</v>
      </c>
      <c r="G5118" s="518" t="s">
        <v>2553</v>
      </c>
      <c r="H5118" s="518"/>
      <c r="I5118" s="452"/>
      <c r="J5118" s="515" t="s">
        <v>1487</v>
      </c>
      <c r="K5118" s="452" t="s">
        <v>741</v>
      </c>
    </row>
    <row r="5119" spans="1:11" s="185" customFormat="1">
      <c r="A5119" s="515"/>
      <c r="B5119" s="144" t="s">
        <v>3082</v>
      </c>
      <c r="C5119" s="215">
        <v>38</v>
      </c>
      <c r="D5119" s="359">
        <f>C5119*fcl</f>
        <v>86.36363636363636</v>
      </c>
      <c r="E5119" s="901">
        <f t="shared" si="653"/>
        <v>10.795454545454545</v>
      </c>
      <c r="F5119" s="511">
        <f>ROUNDUP(D5119+E5119,1)</f>
        <v>97.199999999999989</v>
      </c>
      <c r="G5119" s="518" t="s">
        <v>2545</v>
      </c>
      <c r="H5119" s="518"/>
      <c r="I5119" s="452"/>
      <c r="J5119" s="515" t="s">
        <v>1487</v>
      </c>
      <c r="K5119" s="452" t="s">
        <v>741</v>
      </c>
    </row>
    <row r="5120" spans="1:11" s="185" customFormat="1">
      <c r="A5120" s="515"/>
      <c r="B5120" s="144" t="s">
        <v>3083</v>
      </c>
      <c r="C5120" s="215">
        <v>50</v>
      </c>
      <c r="D5120" s="359">
        <f>C5120*fcl</f>
        <v>113.63636363636363</v>
      </c>
      <c r="E5120" s="901">
        <f t="shared" si="653"/>
        <v>14.204545454545453</v>
      </c>
      <c r="F5120" s="511">
        <f>ROUNDUP(D5120+E5120,1)</f>
        <v>127.89999999999999</v>
      </c>
      <c r="G5120" s="518" t="s">
        <v>2544</v>
      </c>
      <c r="H5120" s="518"/>
      <c r="I5120" s="452"/>
      <c r="J5120" s="515" t="s">
        <v>1487</v>
      </c>
      <c r="K5120" s="452" t="s">
        <v>741</v>
      </c>
    </row>
    <row r="5121" spans="1:11" s="185" customFormat="1">
      <c r="A5121" s="515"/>
      <c r="B5121" s="144"/>
      <c r="C5121" s="215"/>
      <c r="D5121" s="359"/>
      <c r="E5121" s="901"/>
      <c r="F5121" s="511"/>
      <c r="G5121" s="518"/>
      <c r="H5121" s="518"/>
      <c r="I5121" s="452"/>
      <c r="J5121" s="515"/>
      <c r="K5121" s="452"/>
    </row>
    <row r="5122" spans="1:11" s="185" customFormat="1">
      <c r="A5122" s="515"/>
      <c r="B5122" s="144" t="s">
        <v>6177</v>
      </c>
      <c r="C5122" s="1409">
        <v>100</v>
      </c>
      <c r="D5122" s="359">
        <f>C5122*fcl</f>
        <v>227.27272727272725</v>
      </c>
      <c r="E5122" s="901">
        <f>D5122/8</f>
        <v>28.409090909090907</v>
      </c>
      <c r="F5122" s="511">
        <f>ROUNDUP(D5122+E5122,1)</f>
        <v>255.7</v>
      </c>
      <c r="G5122" s="518" t="s">
        <v>6178</v>
      </c>
      <c r="H5122" s="518"/>
      <c r="I5122" s="452"/>
      <c r="J5122" s="515" t="s">
        <v>1487</v>
      </c>
      <c r="K5122" s="452" t="s">
        <v>741</v>
      </c>
    </row>
    <row r="5123" spans="1:11" s="185" customFormat="1">
      <c r="A5123" s="515"/>
      <c r="B5123" s="144" t="s">
        <v>5978</v>
      </c>
      <c r="C5123" s="1409">
        <v>170</v>
      </c>
      <c r="D5123" s="359">
        <f>C5123*fcl</f>
        <v>386.36363636363632</v>
      </c>
      <c r="E5123" s="901">
        <f t="shared" si="653"/>
        <v>48.29545454545454</v>
      </c>
      <c r="F5123" s="511">
        <f>ROUNDUP(D5123+E5123,1)</f>
        <v>434.70000000000005</v>
      </c>
      <c r="G5123" s="518" t="s">
        <v>5979</v>
      </c>
      <c r="H5123" s="518"/>
      <c r="I5123" s="452"/>
      <c r="J5123" s="515" t="s">
        <v>1487</v>
      </c>
      <c r="K5123" s="452" t="s">
        <v>741</v>
      </c>
    </row>
    <row r="5124" spans="1:11" s="185" customFormat="1">
      <c r="A5124" s="515"/>
      <c r="B5124" s="144" t="s">
        <v>5980</v>
      </c>
      <c r="C5124" s="1409">
        <v>200</v>
      </c>
      <c r="D5124" s="359">
        <f>C5124*fcl</f>
        <v>454.5454545454545</v>
      </c>
      <c r="E5124" s="901">
        <f>D5124/8</f>
        <v>56.818181818181813</v>
      </c>
      <c r="F5124" s="511">
        <f>ROUNDUP(D5124+E5124,1)</f>
        <v>511.40000000000003</v>
      </c>
      <c r="G5124" s="518" t="s">
        <v>5981</v>
      </c>
      <c r="H5124" s="518"/>
      <c r="I5124" s="452"/>
      <c r="J5124" s="515" t="s">
        <v>1487</v>
      </c>
      <c r="K5124" s="452" t="s">
        <v>741</v>
      </c>
    </row>
    <row r="5125" spans="1:11">
      <c r="A5125" s="369"/>
      <c r="B5125" s="144" t="s">
        <v>5982</v>
      </c>
      <c r="C5125" s="215">
        <v>48</v>
      </c>
      <c r="D5125" s="359">
        <f>C5125*fcl</f>
        <v>109.09090909090908</v>
      </c>
      <c r="E5125" s="901">
        <f>D5125/8</f>
        <v>13.636363636363635</v>
      </c>
      <c r="F5125" s="511">
        <f>ROUNDUP(D5125+E5125,1)</f>
        <v>122.8</v>
      </c>
      <c r="G5125" s="518" t="s">
        <v>5983</v>
      </c>
      <c r="H5125" s="632"/>
      <c r="I5125" s="452"/>
      <c r="J5125" s="515" t="s">
        <v>1487</v>
      </c>
      <c r="K5125" s="452" t="s">
        <v>741</v>
      </c>
    </row>
    <row r="5126" spans="1:11">
      <c r="A5126" s="369"/>
      <c r="B5126" s="144"/>
      <c r="C5126" s="215"/>
      <c r="D5126" s="359"/>
      <c r="E5126" s="901"/>
      <c r="F5126" s="511"/>
      <c r="G5126" s="518"/>
      <c r="H5126" s="632"/>
      <c r="I5126" s="452"/>
      <c r="J5126" s="515"/>
      <c r="K5126" s="452"/>
    </row>
    <row r="5127" spans="1:11" s="185" customFormat="1">
      <c r="A5127" s="515"/>
      <c r="B5127" s="144" t="s">
        <v>3084</v>
      </c>
      <c r="C5127" s="215">
        <v>35</v>
      </c>
      <c r="D5127" s="359">
        <f t="shared" ref="D5127:D5135" si="654">C5127*fcl</f>
        <v>79.545454545454533</v>
      </c>
      <c r="E5127" s="901">
        <f t="shared" si="653"/>
        <v>9.9431818181818166</v>
      </c>
      <c r="F5127" s="511">
        <f t="shared" ref="F5127:F5135" si="655">ROUNDUP(D5127+E5127,1)</f>
        <v>89.5</v>
      </c>
      <c r="G5127" s="518" t="s">
        <v>2549</v>
      </c>
      <c r="H5127" s="518"/>
      <c r="I5127" s="452"/>
      <c r="J5127" s="515" t="s">
        <v>1487</v>
      </c>
      <c r="K5127" s="452" t="s">
        <v>741</v>
      </c>
    </row>
    <row r="5128" spans="1:11" s="185" customFormat="1">
      <c r="A5128" s="515"/>
      <c r="B5128" s="144" t="s">
        <v>3085</v>
      </c>
      <c r="C5128" s="215">
        <v>40</v>
      </c>
      <c r="D5128" s="359">
        <f t="shared" si="654"/>
        <v>90.909090909090907</v>
      </c>
      <c r="E5128" s="901">
        <f t="shared" si="653"/>
        <v>11.363636363636363</v>
      </c>
      <c r="F5128" s="511">
        <f t="shared" si="655"/>
        <v>102.3</v>
      </c>
      <c r="G5128" s="518" t="s">
        <v>2548</v>
      </c>
      <c r="H5128" s="518"/>
      <c r="I5128" s="452"/>
      <c r="J5128" s="515" t="s">
        <v>1487</v>
      </c>
      <c r="K5128" s="452" t="s">
        <v>741</v>
      </c>
    </row>
    <row r="5129" spans="1:11" s="185" customFormat="1">
      <c r="A5129" s="515"/>
      <c r="B5129" s="640" t="s">
        <v>3086</v>
      </c>
      <c r="C5129" s="417">
        <v>38</v>
      </c>
      <c r="D5129" s="641">
        <f t="shared" si="654"/>
        <v>86.36363636363636</v>
      </c>
      <c r="E5129" s="901">
        <f t="shared" si="653"/>
        <v>10.795454545454545</v>
      </c>
      <c r="F5129" s="642">
        <f t="shared" si="655"/>
        <v>97.199999999999989</v>
      </c>
      <c r="G5129" s="557" t="s">
        <v>2547</v>
      </c>
      <c r="H5129" s="518"/>
      <c r="I5129" s="452"/>
      <c r="J5129" s="515" t="s">
        <v>1487</v>
      </c>
      <c r="K5129" s="452" t="s">
        <v>741</v>
      </c>
    </row>
    <row r="5130" spans="1:11" s="185" customFormat="1">
      <c r="A5130" s="515"/>
      <c r="B5130" s="144" t="s">
        <v>3087</v>
      </c>
      <c r="C5130" s="215">
        <v>45</v>
      </c>
      <c r="D5130" s="359">
        <f t="shared" si="654"/>
        <v>102.27272727272727</v>
      </c>
      <c r="E5130" s="901">
        <f t="shared" si="653"/>
        <v>12.784090909090908</v>
      </c>
      <c r="F5130" s="511">
        <f t="shared" si="655"/>
        <v>115.1</v>
      </c>
      <c r="G5130" s="518" t="s">
        <v>2546</v>
      </c>
      <c r="H5130" s="518"/>
      <c r="I5130" s="452"/>
      <c r="J5130" s="515" t="s">
        <v>1487</v>
      </c>
      <c r="K5130" s="452" t="s">
        <v>741</v>
      </c>
    </row>
    <row r="5131" spans="1:11" s="185" customFormat="1">
      <c r="A5131" s="515"/>
      <c r="B5131" s="144" t="s">
        <v>3364</v>
      </c>
      <c r="C5131" s="215">
        <v>185</v>
      </c>
      <c r="D5131" s="359">
        <f t="shared" si="654"/>
        <v>420.45454545454538</v>
      </c>
      <c r="E5131" s="901">
        <f t="shared" si="653"/>
        <v>52.556818181818173</v>
      </c>
      <c r="F5131" s="511">
        <f t="shared" si="655"/>
        <v>473.1</v>
      </c>
      <c r="G5131" s="518" t="s">
        <v>3365</v>
      </c>
      <c r="H5131" s="518"/>
      <c r="I5131" s="452"/>
      <c r="J5131" s="515" t="s">
        <v>1487</v>
      </c>
      <c r="K5131" s="452" t="s">
        <v>741</v>
      </c>
    </row>
    <row r="5132" spans="1:11" s="185" customFormat="1">
      <c r="A5132" s="369"/>
      <c r="B5132" s="144" t="s">
        <v>3230</v>
      </c>
      <c r="C5132" s="215">
        <v>300</v>
      </c>
      <c r="D5132" s="359">
        <f t="shared" si="654"/>
        <v>681.81818181818176</v>
      </c>
      <c r="E5132" s="901">
        <f>D5132/8</f>
        <v>85.22727272727272</v>
      </c>
      <c r="F5132" s="511">
        <f t="shared" si="655"/>
        <v>767.1</v>
      </c>
      <c r="G5132" s="518" t="s">
        <v>3173</v>
      </c>
      <c r="H5132" s="632"/>
      <c r="I5132" s="452"/>
      <c r="J5132" s="515" t="s">
        <v>1487</v>
      </c>
      <c r="K5132" s="452" t="s">
        <v>741</v>
      </c>
    </row>
    <row r="5133" spans="1:11" s="185" customFormat="1">
      <c r="A5133" s="515"/>
      <c r="B5133" s="640" t="s">
        <v>8584</v>
      </c>
      <c r="C5133" s="417">
        <v>406</v>
      </c>
      <c r="D5133" s="641">
        <f t="shared" si="654"/>
        <v>922.72727272727263</v>
      </c>
      <c r="E5133" s="901">
        <f>D5133/8</f>
        <v>115.34090909090908</v>
      </c>
      <c r="F5133" s="642">
        <f t="shared" si="655"/>
        <v>1038.0999999999999</v>
      </c>
      <c r="G5133" s="557" t="s">
        <v>5170</v>
      </c>
      <c r="H5133" s="518"/>
      <c r="I5133" s="452"/>
      <c r="J5133" s="515" t="s">
        <v>1487</v>
      </c>
      <c r="K5133" s="452" t="s">
        <v>741</v>
      </c>
    </row>
    <row r="5134" spans="1:11" s="185" customFormat="1">
      <c r="A5134" s="515"/>
      <c r="B5134" s="640" t="s">
        <v>8585</v>
      </c>
      <c r="C5134" s="417">
        <f>406*1.1</f>
        <v>446.6</v>
      </c>
      <c r="D5134" s="641">
        <f t="shared" si="654"/>
        <v>1015</v>
      </c>
      <c r="E5134" s="901">
        <f>D5134/8</f>
        <v>126.875</v>
      </c>
      <c r="F5134" s="642">
        <f t="shared" si="655"/>
        <v>1141.8999999999999</v>
      </c>
      <c r="G5134" s="557" t="s">
        <v>5171</v>
      </c>
      <c r="H5134" s="518"/>
      <c r="I5134" s="452"/>
      <c r="J5134" s="515" t="s">
        <v>1487</v>
      </c>
      <c r="K5134" s="452" t="s">
        <v>741</v>
      </c>
    </row>
    <row r="5135" spans="1:11" s="185" customFormat="1">
      <c r="A5135" s="515"/>
      <c r="B5135" s="640" t="s">
        <v>8586</v>
      </c>
      <c r="C5135" s="417">
        <v>750</v>
      </c>
      <c r="D5135" s="641">
        <f t="shared" si="654"/>
        <v>1704.5454545454543</v>
      </c>
      <c r="E5135" s="901">
        <f>D5135/8</f>
        <v>213.06818181818178</v>
      </c>
      <c r="F5135" s="642">
        <f t="shared" si="655"/>
        <v>1917.6999999999998</v>
      </c>
      <c r="G5135" s="557" t="s">
        <v>5172</v>
      </c>
      <c r="H5135" s="518"/>
      <c r="I5135" s="452"/>
      <c r="J5135" s="515" t="s">
        <v>1487</v>
      </c>
      <c r="K5135" s="452" t="s">
        <v>741</v>
      </c>
    </row>
    <row r="5136" spans="1:11" s="185" customFormat="1">
      <c r="A5136" s="369"/>
      <c r="B5136" s="144"/>
      <c r="C5136" s="215"/>
      <c r="D5136" s="359"/>
      <c r="E5136" s="901"/>
      <c r="F5136" s="511"/>
      <c r="G5136" s="518"/>
      <c r="H5136" s="632"/>
      <c r="I5136" s="452"/>
      <c r="J5136" s="515"/>
      <c r="K5136" s="452"/>
    </row>
    <row r="5137" spans="1:11" s="185" customFormat="1">
      <c r="A5137" s="515"/>
      <c r="B5137" s="144" t="s">
        <v>8587</v>
      </c>
      <c r="C5137" s="417">
        <v>30</v>
      </c>
      <c r="D5137" s="359">
        <f>C5137*fcl</f>
        <v>68.181818181818173</v>
      </c>
      <c r="E5137" s="901">
        <f>D5137/8</f>
        <v>8.5227272727272716</v>
      </c>
      <c r="F5137" s="511">
        <f>ROUNDUP(D5137+E5137,1)</f>
        <v>76.8</v>
      </c>
      <c r="G5137" s="518" t="s">
        <v>8588</v>
      </c>
      <c r="H5137" s="518"/>
      <c r="I5137" s="452"/>
      <c r="J5137" s="515" t="s">
        <v>1487</v>
      </c>
      <c r="K5137" s="452" t="s">
        <v>741</v>
      </c>
    </row>
    <row r="5138" spans="1:11" s="185" customFormat="1">
      <c r="A5138" s="515"/>
      <c r="B5138" s="144" t="s">
        <v>8587</v>
      </c>
      <c r="C5138" s="417">
        <v>30</v>
      </c>
      <c r="D5138" s="359">
        <f>C5138*fcl</f>
        <v>68.181818181818173</v>
      </c>
      <c r="E5138" s="901">
        <f>D5138/8</f>
        <v>8.5227272727272716</v>
      </c>
      <c r="F5138" s="511">
        <f>ROUNDUP(D5138+E5138,1)</f>
        <v>76.8</v>
      </c>
      <c r="G5138" s="518" t="s">
        <v>8588</v>
      </c>
      <c r="H5138" s="518"/>
      <c r="I5138" s="452"/>
      <c r="J5138" s="515" t="s">
        <v>1487</v>
      </c>
      <c r="K5138" s="452" t="s">
        <v>741</v>
      </c>
    </row>
    <row r="5139" spans="1:11" s="185" customFormat="1">
      <c r="A5139" s="515"/>
      <c r="B5139" s="640" t="s">
        <v>5173</v>
      </c>
      <c r="C5139" s="417">
        <v>35</v>
      </c>
      <c r="D5139" s="641">
        <f>C5139*fcl</f>
        <v>79.545454545454533</v>
      </c>
      <c r="E5139" s="901">
        <f>D5139/8</f>
        <v>9.9431818181818166</v>
      </c>
      <c r="F5139" s="642">
        <f>ROUNDUP(D5139+E5139,1)</f>
        <v>89.5</v>
      </c>
      <c r="G5139" s="557" t="s">
        <v>5174</v>
      </c>
      <c r="H5139" s="518"/>
      <c r="I5139" s="452"/>
      <c r="J5139" s="515" t="s">
        <v>1487</v>
      </c>
      <c r="K5139" s="452" t="s">
        <v>741</v>
      </c>
    </row>
    <row r="5140" spans="1:11" s="185" customFormat="1">
      <c r="A5140" s="369"/>
      <c r="B5140" s="144"/>
      <c r="C5140" s="215"/>
      <c r="D5140" s="359"/>
      <c r="E5140" s="215"/>
      <c r="F5140" s="511"/>
      <c r="G5140" s="518"/>
      <c r="H5140" s="632"/>
      <c r="I5140" s="452"/>
      <c r="J5140" s="515"/>
      <c r="K5140" s="452"/>
    </row>
    <row r="5141" spans="1:11" s="185" customFormat="1">
      <c r="A5141" s="515"/>
      <c r="B5141" s="1563" t="s">
        <v>9390</v>
      </c>
      <c r="C5141" s="1565">
        <v>793</v>
      </c>
      <c r="D5141" s="359">
        <f>C5141*fcl</f>
        <v>1802.272727272727</v>
      </c>
      <c r="E5141" s="1564">
        <f>D5141/8</f>
        <v>225.28409090909088</v>
      </c>
      <c r="F5141" s="1566">
        <f>ROUNDUP(D5141+E5141,1)</f>
        <v>2027.6</v>
      </c>
      <c r="G5141" s="1567" t="s">
        <v>9391</v>
      </c>
      <c r="H5141" s="518"/>
      <c r="I5141" s="452"/>
      <c r="J5141" s="515" t="s">
        <v>1487</v>
      </c>
      <c r="K5141" s="452" t="s">
        <v>741</v>
      </c>
    </row>
    <row r="5142" spans="1:11" s="185" customFormat="1">
      <c r="A5142" s="515"/>
      <c r="B5142" s="1563" t="s">
        <v>9392</v>
      </c>
      <c r="C5142" s="1565">
        <v>1872</v>
      </c>
      <c r="D5142" s="359">
        <f>C5142*fcl</f>
        <v>4254.545454545454</v>
      </c>
      <c r="E5142" s="1564">
        <f>D5142/8</f>
        <v>531.81818181818176</v>
      </c>
      <c r="F5142" s="1566">
        <f>ROUNDUP(D5142+E5142,1)</f>
        <v>4786.4000000000005</v>
      </c>
      <c r="G5142" s="1567" t="s">
        <v>9393</v>
      </c>
      <c r="H5142" s="518"/>
      <c r="I5142" s="452"/>
      <c r="J5142" s="515" t="s">
        <v>1487</v>
      </c>
      <c r="K5142" s="452" t="s">
        <v>741</v>
      </c>
    </row>
    <row r="5143" spans="1:11" s="185" customFormat="1">
      <c r="A5143" s="369"/>
      <c r="B5143" s="144"/>
      <c r="C5143" s="215"/>
      <c r="D5143" s="359"/>
      <c r="E5143" s="215"/>
      <c r="F5143" s="511"/>
      <c r="G5143" s="518"/>
      <c r="H5143" s="632"/>
      <c r="I5143" s="452"/>
      <c r="J5143" s="515"/>
      <c r="K5143" s="452"/>
    </row>
    <row r="5144" spans="1:11" s="112" customFormat="1">
      <c r="A5144" s="1980"/>
      <c r="B5144" s="144" t="s">
        <v>12389</v>
      </c>
      <c r="C5144" s="655">
        <v>60</v>
      </c>
      <c r="D5144" s="359">
        <f t="shared" ref="D5144:D5145" si="656">C5144*(1-0)*fcl/TC</f>
        <v>40.705563093622786</v>
      </c>
      <c r="E5144" s="901">
        <f t="shared" ref="E5144:E5145" si="657">D5144/8</f>
        <v>5.0881953867028482</v>
      </c>
      <c r="F5144" s="511">
        <f t="shared" ref="F5144:F5145" si="658">ROUNDUP(D5144+E5144,1)</f>
        <v>45.800000000000004</v>
      </c>
      <c r="G5144" s="518" t="s">
        <v>12390</v>
      </c>
      <c r="H5144" s="632"/>
      <c r="I5144" s="452"/>
      <c r="J5144" s="515"/>
      <c r="K5144" s="452" t="s">
        <v>741</v>
      </c>
    </row>
    <row r="5145" spans="1:11" s="112" customFormat="1">
      <c r="A5145" s="1980"/>
      <c r="B5145" s="144" t="s">
        <v>12391</v>
      </c>
      <c r="C5145" s="655">
        <v>50</v>
      </c>
      <c r="D5145" s="359">
        <f t="shared" si="656"/>
        <v>33.921302578018995</v>
      </c>
      <c r="E5145" s="901">
        <f t="shared" si="657"/>
        <v>4.2401628222523744</v>
      </c>
      <c r="F5145" s="511">
        <f t="shared" si="658"/>
        <v>38.200000000000003</v>
      </c>
      <c r="G5145" s="518" t="s">
        <v>12392</v>
      </c>
      <c r="H5145" s="632"/>
      <c r="I5145" s="452"/>
      <c r="J5145" s="515"/>
      <c r="K5145" s="452" t="s">
        <v>741</v>
      </c>
    </row>
    <row r="5146" spans="1:11" s="185" customFormat="1">
      <c r="A5146" s="369"/>
      <c r="B5146" s="144"/>
      <c r="C5146" s="215"/>
      <c r="D5146" s="359"/>
      <c r="E5146" s="215"/>
      <c r="F5146" s="511"/>
      <c r="G5146" s="518"/>
      <c r="H5146" s="632"/>
      <c r="I5146" s="452"/>
      <c r="J5146" s="515"/>
      <c r="K5146" s="452"/>
    </row>
    <row r="5147" spans="1:11" s="185" customFormat="1">
      <c r="A5147" s="515"/>
      <c r="B5147" s="144"/>
      <c r="C5147" s="215"/>
      <c r="D5147" s="359"/>
      <c r="E5147" s="215"/>
      <c r="F5147" s="511"/>
      <c r="G5147" s="518"/>
      <c r="H5147" s="518"/>
      <c r="I5147" s="452"/>
      <c r="J5147" s="515"/>
      <c r="K5147" s="452"/>
    </row>
    <row r="5148" spans="1:11" s="112" customFormat="1">
      <c r="A5148" s="515"/>
      <c r="B5148" s="144" t="s">
        <v>12839</v>
      </c>
      <c r="C5148" s="560">
        <f>60.26</f>
        <v>60.26</v>
      </c>
      <c r="D5148" s="359">
        <f t="shared" ref="D5148" si="659">C5148*(1-0)*fcl/TC</f>
        <v>40.881953867028486</v>
      </c>
      <c r="E5148" s="901">
        <f t="shared" ref="E5148:E5151" si="660">D5148/8</f>
        <v>5.1102442333785607</v>
      </c>
      <c r="F5148" s="511">
        <f t="shared" ref="F5148:F5151" si="661">ROUNDUP(D5148+E5148,1)</f>
        <v>46</v>
      </c>
      <c r="G5148" s="518" t="s">
        <v>12840</v>
      </c>
      <c r="H5148" s="518" t="s">
        <v>12841</v>
      </c>
      <c r="I5148" s="452"/>
      <c r="J5148" s="515" t="s">
        <v>2504</v>
      </c>
      <c r="K5148" s="452" t="s">
        <v>741</v>
      </c>
    </row>
    <row r="5149" spans="1:11" s="112" customFormat="1">
      <c r="A5149" s="515"/>
      <c r="B5149" s="144" t="s">
        <v>12842</v>
      </c>
      <c r="C5149" s="560">
        <f>191.79</f>
        <v>191.79</v>
      </c>
      <c r="D5149" s="359">
        <f t="shared" ref="D5149" si="662">C5149*(1-0)*fcl/TC</f>
        <v>130.11533242876524</v>
      </c>
      <c r="E5149" s="901">
        <f t="shared" si="660"/>
        <v>16.264416553595655</v>
      </c>
      <c r="F5149" s="511">
        <f t="shared" si="661"/>
        <v>146.4</v>
      </c>
      <c r="G5149" s="518" t="s">
        <v>12843</v>
      </c>
      <c r="H5149" s="518" t="s">
        <v>12844</v>
      </c>
      <c r="I5149" s="452"/>
      <c r="J5149" s="515" t="s">
        <v>2504</v>
      </c>
      <c r="K5149" s="452" t="s">
        <v>741</v>
      </c>
    </row>
    <row r="5150" spans="1:11" s="112" customFormat="1">
      <c r="A5150" s="369"/>
      <c r="B5150" s="144" t="s">
        <v>10912</v>
      </c>
      <c r="C5150" s="655">
        <v>68</v>
      </c>
      <c r="D5150" s="359">
        <f t="shared" ref="D5150" si="663">C5150*(1-0)*fcl/TC</f>
        <v>46.132971506105832</v>
      </c>
      <c r="E5150" s="901">
        <f t="shared" si="660"/>
        <v>5.766621438263229</v>
      </c>
      <c r="F5150" s="511">
        <f t="shared" si="661"/>
        <v>51.9</v>
      </c>
      <c r="G5150" s="518" t="s">
        <v>10913</v>
      </c>
      <c r="H5150" s="632"/>
      <c r="I5150" s="452"/>
      <c r="J5150" s="515" t="s">
        <v>2504</v>
      </c>
      <c r="K5150" s="452" t="s">
        <v>741</v>
      </c>
    </row>
    <row r="5151" spans="1:11" s="112" customFormat="1">
      <c r="A5151" s="369"/>
      <c r="B5151" s="144" t="s">
        <v>10914</v>
      </c>
      <c r="C5151" s="655">
        <v>99</v>
      </c>
      <c r="D5151" s="359">
        <f t="shared" ref="D5151" si="664">C5151*(1-0)*fcl/TC</f>
        <v>67.164179104477597</v>
      </c>
      <c r="E5151" s="901">
        <f t="shared" si="660"/>
        <v>8.3955223880596996</v>
      </c>
      <c r="F5151" s="511">
        <f t="shared" si="661"/>
        <v>75.599999999999994</v>
      </c>
      <c r="G5151" s="518" t="s">
        <v>10915</v>
      </c>
      <c r="H5151" s="632"/>
      <c r="I5151" s="452"/>
      <c r="J5151" s="515" t="s">
        <v>2504</v>
      </c>
      <c r="K5151" s="452" t="s">
        <v>741</v>
      </c>
    </row>
    <row r="5152" spans="1:11" s="112" customFormat="1">
      <c r="A5152" s="369"/>
      <c r="B5152" s="144"/>
      <c r="C5152" s="655"/>
      <c r="D5152" s="359"/>
      <c r="E5152" s="901"/>
      <c r="F5152" s="511"/>
      <c r="G5152" s="518"/>
      <c r="H5152" s="632"/>
      <c r="I5152" s="452"/>
      <c r="J5152" s="515"/>
      <c r="K5152" s="452"/>
    </row>
    <row r="5153" spans="1:12" s="185" customFormat="1">
      <c r="A5153" s="369"/>
      <c r="B5153" s="144" t="s">
        <v>13890</v>
      </c>
      <c r="C5153" s="655">
        <v>246.19</v>
      </c>
      <c r="D5153" s="359">
        <f t="shared" ref="D5153:D5176" si="665">C5153*(1-0)*fcl/TC</f>
        <v>167.02170963364992</v>
      </c>
      <c r="E5153" s="901">
        <f t="shared" ref="E5153:E5176" si="666">D5153/8</f>
        <v>20.87771370420624</v>
      </c>
      <c r="F5153" s="511">
        <f t="shared" ref="F5153:F5176" si="667">ROUNDUP(D5153+E5153,1)</f>
        <v>187.9</v>
      </c>
      <c r="G5153" s="518" t="s">
        <v>13891</v>
      </c>
      <c r="H5153" s="632"/>
      <c r="I5153" s="452"/>
      <c r="J5153" s="515" t="s">
        <v>2504</v>
      </c>
      <c r="K5153" s="452" t="s">
        <v>741</v>
      </c>
    </row>
    <row r="5154" spans="1:12" s="185" customFormat="1">
      <c r="A5154" s="369"/>
      <c r="B5154" s="144" t="s">
        <v>13892</v>
      </c>
      <c r="C5154" s="655">
        <v>285.48</v>
      </c>
      <c r="D5154" s="359">
        <f t="shared" si="665"/>
        <v>193.67706919945724</v>
      </c>
      <c r="E5154" s="901">
        <f t="shared" si="666"/>
        <v>24.209633649932154</v>
      </c>
      <c r="F5154" s="511">
        <f t="shared" si="667"/>
        <v>217.9</v>
      </c>
      <c r="G5154" s="518" t="s">
        <v>13893</v>
      </c>
      <c r="H5154" s="632"/>
      <c r="I5154" s="452"/>
      <c r="J5154" s="515" t="s">
        <v>2504</v>
      </c>
      <c r="K5154" s="452" t="s">
        <v>741</v>
      </c>
    </row>
    <row r="5155" spans="1:12" s="185" customFormat="1">
      <c r="A5155" s="369"/>
      <c r="B5155" s="144" t="s">
        <v>12845</v>
      </c>
      <c r="C5155" s="655">
        <v>161</v>
      </c>
      <c r="D5155" s="359">
        <f>C5155*(1-0.2)*fcl/TC</f>
        <v>87.381275440976935</v>
      </c>
      <c r="E5155" s="901">
        <f t="shared" si="666"/>
        <v>10.922659430122117</v>
      </c>
      <c r="F5155" s="511">
        <f t="shared" si="667"/>
        <v>98.399999999999991</v>
      </c>
      <c r="G5155" s="518" t="s">
        <v>12846</v>
      </c>
      <c r="H5155" s="632" t="s">
        <v>12847</v>
      </c>
      <c r="I5155" s="452"/>
      <c r="J5155" s="515" t="s">
        <v>2504</v>
      </c>
      <c r="K5155" s="452" t="s">
        <v>741</v>
      </c>
    </row>
    <row r="5156" spans="1:12" s="185" customFormat="1">
      <c r="A5156" s="369"/>
      <c r="B5156" s="144" t="s">
        <v>13894</v>
      </c>
      <c r="C5156" s="655">
        <v>472</v>
      </c>
      <c r="D5156" s="359">
        <f>C5156*(1-0.2)*fcl/TC</f>
        <v>256.17367706919941</v>
      </c>
      <c r="E5156" s="901">
        <f t="shared" si="666"/>
        <v>32.021709633649927</v>
      </c>
      <c r="F5156" s="511">
        <f t="shared" si="667"/>
        <v>288.20000000000005</v>
      </c>
      <c r="G5156" s="518" t="s">
        <v>12846</v>
      </c>
      <c r="H5156" s="632" t="s">
        <v>13895</v>
      </c>
      <c r="I5156" s="452"/>
      <c r="J5156" s="515" t="s">
        <v>2504</v>
      </c>
      <c r="K5156" s="452" t="s">
        <v>741</v>
      </c>
    </row>
    <row r="5157" spans="1:12" s="185" customFormat="1">
      <c r="A5157" s="369"/>
      <c r="B5157" s="144" t="s">
        <v>260</v>
      </c>
      <c r="C5157" s="655"/>
      <c r="D5157" s="359"/>
      <c r="E5157" s="901"/>
      <c r="F5157" s="511"/>
      <c r="G5157" s="518"/>
      <c r="H5157" s="632"/>
      <c r="I5157" s="452"/>
      <c r="J5157" s="515"/>
      <c r="K5157" s="452"/>
    </row>
    <row r="5158" spans="1:12" s="185" customFormat="1">
      <c r="A5158" s="369"/>
      <c r="B5158" s="144" t="s">
        <v>12850</v>
      </c>
      <c r="C5158" s="655">
        <v>2045.76</v>
      </c>
      <c r="D5158" s="2156">
        <f>C5158*(1-0.2)*fcl/TC</f>
        <v>1110.3175033921302</v>
      </c>
      <c r="E5158" s="215">
        <f t="shared" ref="E5158:E5161" si="668">D5158/8</f>
        <v>138.78968792401628</v>
      </c>
      <c r="F5158" s="511">
        <f t="shared" ref="F5158:F5161" si="669">ROUNDUP(D5158+E5158,1)</f>
        <v>1249.1999999999998</v>
      </c>
      <c r="G5158" s="518" t="s">
        <v>12851</v>
      </c>
      <c r="H5158" s="632" t="s">
        <v>12852</v>
      </c>
      <c r="I5158" s="452"/>
      <c r="J5158" s="515" t="s">
        <v>2504</v>
      </c>
      <c r="K5158" s="452" t="s">
        <v>741</v>
      </c>
    </row>
    <row r="5159" spans="1:12" s="185" customFormat="1">
      <c r="A5159" s="369"/>
      <c r="B5159" s="144" t="s">
        <v>12853</v>
      </c>
      <c r="C5159" s="655">
        <v>864.41</v>
      </c>
      <c r="D5159" s="2156">
        <f>C5159*(1-0.2)*fcl/TC</f>
        <v>469.15061058344634</v>
      </c>
      <c r="E5159" s="215">
        <f t="shared" si="668"/>
        <v>58.643826322930792</v>
      </c>
      <c r="F5159" s="511">
        <f t="shared" si="669"/>
        <v>527.80000000000007</v>
      </c>
      <c r="G5159" s="518" t="s">
        <v>12854</v>
      </c>
      <c r="H5159" s="632" t="s">
        <v>12855</v>
      </c>
      <c r="I5159" s="452"/>
      <c r="J5159" s="515" t="s">
        <v>2504</v>
      </c>
      <c r="K5159" s="452" t="s">
        <v>741</v>
      </c>
    </row>
    <row r="5160" spans="1:12" s="185" customFormat="1">
      <c r="A5160" s="369"/>
      <c r="B5160" s="144" t="s">
        <v>12856</v>
      </c>
      <c r="C5160" s="655">
        <v>672.03</v>
      </c>
      <c r="D5160" s="2156">
        <f>C5160*(1-0.2)*fcl/TC</f>
        <v>364.73812754409767</v>
      </c>
      <c r="E5160" s="215">
        <f t="shared" si="668"/>
        <v>45.592265943012208</v>
      </c>
      <c r="F5160" s="511">
        <f t="shared" si="669"/>
        <v>410.40000000000003</v>
      </c>
      <c r="G5160" s="518" t="s">
        <v>12857</v>
      </c>
      <c r="H5160" s="632" t="s">
        <v>12858</v>
      </c>
      <c r="I5160" s="452"/>
      <c r="J5160" s="515" t="s">
        <v>2504</v>
      </c>
      <c r="K5160" s="452" t="s">
        <v>741</v>
      </c>
    </row>
    <row r="5161" spans="1:12" s="185" customFormat="1">
      <c r="A5161" s="369"/>
      <c r="B5161" s="144" t="s">
        <v>12859</v>
      </c>
      <c r="C5161" s="655">
        <v>471.19</v>
      </c>
      <c r="D5161" s="2156">
        <f>C5161*(1-0.2)*fcl/TC</f>
        <v>255.73405698778831</v>
      </c>
      <c r="E5161" s="215">
        <f t="shared" si="668"/>
        <v>31.966757123473538</v>
      </c>
      <c r="F5161" s="511">
        <f t="shared" si="669"/>
        <v>287.8</v>
      </c>
      <c r="G5161" s="518" t="s">
        <v>12860</v>
      </c>
      <c r="H5161" s="632" t="s">
        <v>12861</v>
      </c>
      <c r="I5161" s="452"/>
      <c r="J5161" s="515" t="s">
        <v>2504</v>
      </c>
      <c r="K5161" s="452" t="s">
        <v>741</v>
      </c>
    </row>
    <row r="5162" spans="1:12" s="185" customFormat="1">
      <c r="A5162" s="369"/>
      <c r="B5162" s="144"/>
      <c r="C5162" s="655"/>
      <c r="D5162" s="2156"/>
      <c r="E5162" s="215"/>
      <c r="F5162" s="511"/>
      <c r="G5162" s="518"/>
      <c r="H5162" s="632"/>
      <c r="I5162" s="452"/>
      <c r="J5162" s="515"/>
      <c r="K5162" s="452"/>
    </row>
    <row r="5163" spans="1:12" s="185" customFormat="1">
      <c r="A5163" s="369"/>
      <c r="B5163" s="144" t="s">
        <v>3089</v>
      </c>
      <c r="C5163" s="655">
        <v>65.25</v>
      </c>
      <c r="D5163" s="359">
        <f t="shared" si="665"/>
        <v>44.267299864314786</v>
      </c>
      <c r="E5163" s="901">
        <f t="shared" si="666"/>
        <v>5.5334124830393483</v>
      </c>
      <c r="F5163" s="511">
        <f t="shared" si="667"/>
        <v>49.9</v>
      </c>
      <c r="G5163" s="518" t="s">
        <v>8590</v>
      </c>
      <c r="H5163" s="632"/>
      <c r="I5163" s="452"/>
      <c r="J5163" s="515" t="s">
        <v>2504</v>
      </c>
      <c r="K5163" s="452" t="s">
        <v>741</v>
      </c>
    </row>
    <row r="5164" spans="1:12">
      <c r="A5164" s="369"/>
      <c r="B5164" s="144" t="s">
        <v>12194</v>
      </c>
      <c r="C5164" s="655">
        <v>161.02000000000001</v>
      </c>
      <c r="D5164" s="359">
        <f>C5164*(1-0.2)*fcl/TC</f>
        <v>87.392130257801895</v>
      </c>
      <c r="E5164" s="901">
        <f t="shared" si="666"/>
        <v>10.924016282225237</v>
      </c>
      <c r="F5164" s="511">
        <f t="shared" si="667"/>
        <v>98.399999999999991</v>
      </c>
      <c r="G5164" s="518" t="s">
        <v>12195</v>
      </c>
      <c r="H5164" s="632" t="s">
        <v>12196</v>
      </c>
      <c r="I5164" s="452"/>
      <c r="J5164" s="515" t="s">
        <v>2504</v>
      </c>
      <c r="K5164" s="452" t="s">
        <v>741</v>
      </c>
      <c r="L5164" s="185"/>
    </row>
    <row r="5165" spans="1:12">
      <c r="A5165" s="369"/>
      <c r="B5165" s="144" t="s">
        <v>3090</v>
      </c>
      <c r="C5165" s="655">
        <v>196.95</v>
      </c>
      <c r="D5165" s="359">
        <f t="shared" si="665"/>
        <v>133.61601085481681</v>
      </c>
      <c r="E5165" s="901">
        <f t="shared" si="666"/>
        <v>16.702001356852101</v>
      </c>
      <c r="F5165" s="511">
        <f t="shared" si="667"/>
        <v>150.4</v>
      </c>
      <c r="G5165" s="518" t="s">
        <v>8591</v>
      </c>
      <c r="H5165" s="632"/>
      <c r="I5165" s="452"/>
      <c r="J5165" s="515" t="s">
        <v>2504</v>
      </c>
      <c r="K5165" s="452" t="s">
        <v>741</v>
      </c>
      <c r="L5165" s="185"/>
    </row>
    <row r="5166" spans="1:12">
      <c r="A5166" s="369"/>
      <c r="B5166" s="144" t="s">
        <v>12197</v>
      </c>
      <c r="C5166" s="655">
        <v>1576.27</v>
      </c>
      <c r="D5166" s="359">
        <f>C5166*(1-0.2)*fcl/TC</f>
        <v>855.50610583446405</v>
      </c>
      <c r="E5166" s="901">
        <f t="shared" si="666"/>
        <v>106.93826322930801</v>
      </c>
      <c r="F5166" s="511">
        <f t="shared" si="667"/>
        <v>962.5</v>
      </c>
      <c r="G5166" s="518" t="s">
        <v>12198</v>
      </c>
      <c r="H5166" s="632" t="s">
        <v>12199</v>
      </c>
      <c r="I5166" s="452"/>
      <c r="J5166" s="515" t="s">
        <v>2504</v>
      </c>
      <c r="K5166" s="452" t="s">
        <v>741</v>
      </c>
      <c r="L5166" s="185"/>
    </row>
    <row r="5167" spans="1:12">
      <c r="A5167" s="369"/>
      <c r="B5167" s="144" t="s">
        <v>12200</v>
      </c>
      <c r="C5167" s="655">
        <v>2389.83</v>
      </c>
      <c r="D5167" s="359">
        <f>C5167*(1-0.2)*fcl/TC</f>
        <v>1297.0583446404341</v>
      </c>
      <c r="E5167" s="901">
        <f t="shared" si="666"/>
        <v>162.13229308005427</v>
      </c>
      <c r="F5167" s="511">
        <f t="shared" si="667"/>
        <v>1459.1999999999998</v>
      </c>
      <c r="G5167" s="518" t="s">
        <v>12201</v>
      </c>
      <c r="H5167" s="632" t="s">
        <v>12202</v>
      </c>
      <c r="I5167" s="452"/>
      <c r="J5167" s="515" t="s">
        <v>2504</v>
      </c>
      <c r="K5167" s="452" t="s">
        <v>741</v>
      </c>
      <c r="L5167" s="185"/>
    </row>
    <row r="5168" spans="1:12">
      <c r="A5168" s="369"/>
      <c r="B5168" s="144"/>
      <c r="C5168" s="655"/>
      <c r="D5168" s="359"/>
      <c r="E5168" s="901"/>
      <c r="F5168" s="511"/>
      <c r="G5168" s="518"/>
      <c r="H5168" s="632"/>
      <c r="I5168" s="452"/>
      <c r="J5168" s="515"/>
      <c r="K5168" s="452"/>
      <c r="L5168" s="185"/>
    </row>
    <row r="5169" spans="1:12" s="112" customFormat="1">
      <c r="A5169" s="369"/>
      <c r="B5169" s="144" t="s">
        <v>3091</v>
      </c>
      <c r="C5169" s="655">
        <v>1858.75</v>
      </c>
      <c r="D5169" s="359">
        <f t="shared" si="665"/>
        <v>1261.024423337856</v>
      </c>
      <c r="E5169" s="901">
        <f t="shared" si="666"/>
        <v>157.628052917232</v>
      </c>
      <c r="F5169" s="511">
        <f t="shared" si="667"/>
        <v>1418.6999999999998</v>
      </c>
      <c r="G5169" s="518" t="s">
        <v>8593</v>
      </c>
      <c r="H5169" s="632"/>
      <c r="I5169" s="452"/>
      <c r="J5169" s="515" t="s">
        <v>2504</v>
      </c>
      <c r="K5169" s="452" t="s">
        <v>741</v>
      </c>
      <c r="L5169" s="185"/>
    </row>
    <row r="5170" spans="1:12" s="185" customFormat="1">
      <c r="A5170" s="515"/>
      <c r="B5170" s="144" t="s">
        <v>8595</v>
      </c>
      <c r="C5170" s="655">
        <v>75</v>
      </c>
      <c r="D5170" s="359">
        <f>C5170*(1-0)*fcl/TC</f>
        <v>50.881953867028486</v>
      </c>
      <c r="E5170" s="901">
        <f t="shared" si="666"/>
        <v>6.3602442333785607</v>
      </c>
      <c r="F5170" s="511">
        <f>ROUNDUP(D5170+E5170,1)</f>
        <v>57.300000000000004</v>
      </c>
      <c r="G5170" s="518" t="s">
        <v>8596</v>
      </c>
      <c r="H5170" s="518"/>
      <c r="I5170" s="452"/>
      <c r="J5170" s="515" t="s">
        <v>2504</v>
      </c>
      <c r="K5170" s="452" t="s">
        <v>741</v>
      </c>
    </row>
    <row r="5171" spans="1:12" s="185" customFormat="1">
      <c r="A5171" s="1481"/>
      <c r="B5171" s="144" t="s">
        <v>12848</v>
      </c>
      <c r="C5171" s="655">
        <v>454.5</v>
      </c>
      <c r="D5171" s="359">
        <f>C5171*(1-0.2)*fcl/TC</f>
        <v>246.67571234735414</v>
      </c>
      <c r="E5171" s="901">
        <f>D5171/8</f>
        <v>30.834464043419267</v>
      </c>
      <c r="F5171" s="511">
        <f>ROUNDUP(D5171+E5171,1)</f>
        <v>277.60000000000002</v>
      </c>
      <c r="G5171" s="518" t="s">
        <v>12849</v>
      </c>
      <c r="H5171" s="518"/>
      <c r="I5171" s="452"/>
      <c r="J5171" s="515" t="s">
        <v>2504</v>
      </c>
      <c r="K5171" s="452" t="s">
        <v>741</v>
      </c>
    </row>
    <row r="5172" spans="1:12" s="185" customFormat="1">
      <c r="A5172" s="1481"/>
      <c r="B5172" s="144"/>
      <c r="C5172" s="655"/>
      <c r="D5172" s="359"/>
      <c r="E5172" s="901"/>
      <c r="F5172" s="511"/>
      <c r="G5172" s="518"/>
      <c r="H5172" s="518"/>
      <c r="I5172" s="452"/>
      <c r="J5172" s="515"/>
      <c r="K5172" s="452"/>
    </row>
    <row r="5173" spans="1:12" s="185" customFormat="1">
      <c r="A5173" s="369"/>
      <c r="B5173" s="144" t="s">
        <v>3092</v>
      </c>
      <c r="C5173" s="655">
        <v>180.93</v>
      </c>
      <c r="D5173" s="359">
        <f>C5173*(1-0)*fcl/TC</f>
        <v>122.74762550881952</v>
      </c>
      <c r="E5173" s="901">
        <f>D5173/8</f>
        <v>15.343453188602441</v>
      </c>
      <c r="F5173" s="511">
        <f>ROUNDUP(D5173+E5173,1)</f>
        <v>138.1</v>
      </c>
      <c r="G5173" s="518" t="s">
        <v>8589</v>
      </c>
      <c r="H5173" s="632"/>
      <c r="I5173" s="452"/>
      <c r="J5173" s="515" t="s">
        <v>2504</v>
      </c>
      <c r="K5173" s="452" t="s">
        <v>741</v>
      </c>
    </row>
    <row r="5174" spans="1:12" s="112" customFormat="1">
      <c r="A5174" s="369"/>
      <c r="B5174" s="144" t="s">
        <v>3093</v>
      </c>
      <c r="C5174" s="655">
        <v>1999.15</v>
      </c>
      <c r="D5174" s="359">
        <f>C5174*(1-0)*fcl/TC</f>
        <v>1356.2754409769334</v>
      </c>
      <c r="E5174" s="901">
        <f>D5174/8</f>
        <v>169.53443012211667</v>
      </c>
      <c r="F5174" s="511">
        <f>ROUNDUP(D5174+E5174,1)</f>
        <v>1525.8999999999999</v>
      </c>
      <c r="G5174" s="518" t="s">
        <v>8594</v>
      </c>
      <c r="H5174" s="632"/>
      <c r="I5174" s="452"/>
      <c r="J5174" s="515" t="s">
        <v>2504</v>
      </c>
      <c r="K5174" s="452" t="s">
        <v>741</v>
      </c>
    </row>
    <row r="5175" spans="1:12" s="213" customFormat="1">
      <c r="A5175" s="369"/>
      <c r="B5175" s="144" t="s">
        <v>3088</v>
      </c>
      <c r="C5175" s="655">
        <f>180.93</f>
        <v>180.93</v>
      </c>
      <c r="D5175" s="359">
        <f>C5175*(1-0)*fcl/TC</f>
        <v>122.74762550881952</v>
      </c>
      <c r="E5175" s="901">
        <f>D5175/8</f>
        <v>15.343453188602441</v>
      </c>
      <c r="F5175" s="511">
        <f>ROUNDUP(D5175+E5175,1)</f>
        <v>138.1</v>
      </c>
      <c r="G5175" s="518" t="s">
        <v>8592</v>
      </c>
      <c r="H5175" s="632"/>
      <c r="I5175" s="452"/>
      <c r="J5175" s="515" t="s">
        <v>2504</v>
      </c>
      <c r="K5175" s="452" t="s">
        <v>741</v>
      </c>
      <c r="L5175" s="185"/>
    </row>
    <row r="5176" spans="1:12" s="112" customFormat="1">
      <c r="A5176" s="369"/>
      <c r="B5176" s="144" t="s">
        <v>3094</v>
      </c>
      <c r="C5176" s="655">
        <v>180.93</v>
      </c>
      <c r="D5176" s="359">
        <f t="shared" si="665"/>
        <v>122.74762550881952</v>
      </c>
      <c r="E5176" s="901">
        <f t="shared" si="666"/>
        <v>15.343453188602441</v>
      </c>
      <c r="F5176" s="511">
        <f t="shared" si="667"/>
        <v>138.1</v>
      </c>
      <c r="G5176" s="518" t="s">
        <v>8597</v>
      </c>
      <c r="H5176" s="632"/>
      <c r="I5176" s="452"/>
      <c r="J5176" s="515" t="s">
        <v>2504</v>
      </c>
      <c r="K5176" s="452" t="s">
        <v>741</v>
      </c>
    </row>
    <row r="5177" spans="1:12" s="185" customFormat="1">
      <c r="A5177" s="515"/>
      <c r="B5177" s="144"/>
      <c r="C5177" s="655"/>
      <c r="D5177" s="359"/>
      <c r="E5177" s="215"/>
      <c r="F5177" s="511"/>
      <c r="G5177" s="518"/>
      <c r="H5177" s="518"/>
      <c r="I5177" s="452"/>
      <c r="J5177" s="515"/>
      <c r="K5177" s="452"/>
    </row>
    <row r="5178" spans="1:12" s="185" customFormat="1">
      <c r="A5178" s="515"/>
      <c r="B5178" s="144"/>
      <c r="C5178" s="655"/>
      <c r="D5178" s="359"/>
      <c r="E5178" s="215"/>
      <c r="F5178" s="511"/>
      <c r="G5178" s="518"/>
      <c r="H5178" s="518"/>
      <c r="I5178" s="452"/>
      <c r="J5178" s="515"/>
      <c r="K5178" s="452"/>
    </row>
    <row r="5179" spans="1:12" s="112" customFormat="1">
      <c r="A5179" s="515"/>
      <c r="B5179" s="144"/>
      <c r="C5179" s="215"/>
      <c r="D5179" s="359"/>
      <c r="E5179" s="215"/>
      <c r="F5179" s="511"/>
      <c r="G5179" s="518"/>
      <c r="H5179" s="518"/>
      <c r="I5179" s="452"/>
      <c r="J5179" s="515"/>
      <c r="K5179" s="452"/>
    </row>
    <row r="5180" spans="1:12" s="112" customFormat="1">
      <c r="A5180" s="515"/>
      <c r="B5180" s="144" t="s">
        <v>9703</v>
      </c>
      <c r="C5180" s="215"/>
      <c r="D5180" s="359">
        <v>120</v>
      </c>
      <c r="E5180" s="215">
        <v>8</v>
      </c>
      <c r="F5180" s="511">
        <f>ROUNDUP(D5180+E5180,1)</f>
        <v>128</v>
      </c>
      <c r="G5180" s="518" t="s">
        <v>8598</v>
      </c>
      <c r="H5180" s="458" t="str">
        <f>B5180</f>
        <v>TRAFO_460/230-120V_50VA_1F_EATON</v>
      </c>
      <c r="I5180" s="452"/>
      <c r="J5180" s="515" t="s">
        <v>1798</v>
      </c>
      <c r="K5180" s="452" t="s">
        <v>741</v>
      </c>
    </row>
    <row r="5181" spans="1:12" s="112" customFormat="1">
      <c r="A5181" s="515"/>
      <c r="B5181" s="144" t="s">
        <v>9704</v>
      </c>
      <c r="C5181" s="215"/>
      <c r="D5181" s="359">
        <v>160</v>
      </c>
      <c r="E5181" s="215">
        <v>8</v>
      </c>
      <c r="F5181" s="511">
        <f>ROUNDUP(D5181+E5181,1)</f>
        <v>168</v>
      </c>
      <c r="G5181" s="518" t="s">
        <v>8599</v>
      </c>
      <c r="H5181" s="458" t="str">
        <f>B5181</f>
        <v>TRAFO_460/230-120V_100VA_1F_EATON</v>
      </c>
      <c r="I5181" s="452"/>
      <c r="J5181" s="515" t="s">
        <v>1798</v>
      </c>
      <c r="K5181" s="452" t="s">
        <v>741</v>
      </c>
    </row>
    <row r="5182" spans="1:12" s="112" customFormat="1">
      <c r="A5182" s="515"/>
      <c r="B5182" s="144" t="s">
        <v>9705</v>
      </c>
      <c r="C5182" s="215"/>
      <c r="D5182" s="1541">
        <f>D5181*1.8</f>
        <v>288</v>
      </c>
      <c r="E5182" s="215">
        <v>10</v>
      </c>
      <c r="F5182" s="511">
        <f>ROUNDUP(D5182+E5182,1)</f>
        <v>298</v>
      </c>
      <c r="G5182" s="518" t="s">
        <v>8600</v>
      </c>
      <c r="H5182" s="458" t="str">
        <f>B5182</f>
        <v>TRAFO_460/230-120V_200VA_1F_EATON</v>
      </c>
      <c r="I5182" s="452"/>
      <c r="J5182" s="515" t="s">
        <v>1798</v>
      </c>
      <c r="K5182" s="452" t="s">
        <v>741</v>
      </c>
    </row>
    <row r="5183" spans="1:12" s="112" customFormat="1">
      <c r="A5183" s="515"/>
      <c r="B5183" s="144"/>
      <c r="C5183" s="215"/>
      <c r="D5183" s="359"/>
      <c r="E5183" s="215"/>
      <c r="F5183" s="511"/>
      <c r="G5183" s="518"/>
      <c r="H5183" s="458"/>
      <c r="I5183" s="452"/>
      <c r="J5183" s="515"/>
      <c r="K5183" s="452"/>
    </row>
    <row r="5184" spans="1:12">
      <c r="A5184" s="515"/>
      <c r="B5184" s="144" t="s">
        <v>8601</v>
      </c>
      <c r="C5184" s="215"/>
      <c r="D5184" s="359">
        <v>450</v>
      </c>
      <c r="E5184" s="215">
        <v>12</v>
      </c>
      <c r="F5184" s="511">
        <f>ROUNDUP(D5184+E5184,1)</f>
        <v>462</v>
      </c>
      <c r="G5184" s="518" t="s">
        <v>8602</v>
      </c>
      <c r="H5184" s="458" t="str">
        <f>B5184</f>
        <v>TRAFO_460V-120V_300VA_2F_IT</v>
      </c>
      <c r="I5184" s="452"/>
      <c r="J5184" s="515" t="s">
        <v>2509</v>
      </c>
      <c r="K5184" s="452" t="s">
        <v>741</v>
      </c>
    </row>
    <row r="5185" spans="1:12" s="112" customFormat="1">
      <c r="A5185" s="515"/>
      <c r="B5185" s="144" t="s">
        <v>8603</v>
      </c>
      <c r="C5185" s="215"/>
      <c r="D5185" s="359">
        <v>450</v>
      </c>
      <c r="E5185" s="215">
        <v>12</v>
      </c>
      <c r="F5185" s="511">
        <f>ROUNDUP(D5185+E5185,1)</f>
        <v>462</v>
      </c>
      <c r="G5185" s="518" t="s">
        <v>8604</v>
      </c>
      <c r="H5185" s="458" t="str">
        <f>B5185</f>
        <v>TRAFO_480V-120V_300VA_2F_IT</v>
      </c>
      <c r="I5185" s="452"/>
      <c r="J5185" s="515" t="s">
        <v>2509</v>
      </c>
      <c r="K5185" s="452" t="s">
        <v>741</v>
      </c>
    </row>
    <row r="5186" spans="1:12" s="112" customFormat="1">
      <c r="A5186" s="515"/>
      <c r="B5186" s="144" t="s">
        <v>8605</v>
      </c>
      <c r="C5186" s="215"/>
      <c r="D5186" s="674">
        <f>D5184</f>
        <v>450</v>
      </c>
      <c r="E5186" s="215">
        <v>12</v>
      </c>
      <c r="F5186" s="511">
        <f>ROUNDUP(D5186+E5186,1)</f>
        <v>462</v>
      </c>
      <c r="G5186" s="518" t="s">
        <v>8606</v>
      </c>
      <c r="H5186" s="458" t="str">
        <f>B5186</f>
        <v>TRAFO_380V-120V_300VA_2F_IT</v>
      </c>
      <c r="I5186" s="452"/>
      <c r="J5186" s="515" t="s">
        <v>2509</v>
      </c>
      <c r="K5186" s="452" t="s">
        <v>741</v>
      </c>
    </row>
    <row r="5187" spans="1:12" s="112" customFormat="1">
      <c r="A5187" s="515"/>
      <c r="B5187" s="144"/>
      <c r="C5187" s="215"/>
      <c r="D5187" s="359"/>
      <c r="E5187" s="215"/>
      <c r="F5187" s="511"/>
      <c r="G5187" s="518"/>
      <c r="H5187" s="518"/>
      <c r="I5187" s="452"/>
      <c r="J5187" s="515"/>
      <c r="K5187" s="452"/>
    </row>
    <row r="5188" spans="1:12" s="112" customFormat="1">
      <c r="A5188" s="515"/>
      <c r="B5188" s="144" t="s">
        <v>5985</v>
      </c>
      <c r="C5188" s="215"/>
      <c r="D5188" s="359">
        <v>140</v>
      </c>
      <c r="E5188" s="215">
        <v>12</v>
      </c>
      <c r="F5188" s="511">
        <f>ROUNDUP(D5188+E5188,1)</f>
        <v>152</v>
      </c>
      <c r="G5188" s="518" t="s">
        <v>5986</v>
      </c>
      <c r="H5188" s="458" t="str">
        <f>B5188</f>
        <v>C0050E2A</v>
      </c>
      <c r="I5188" s="452"/>
      <c r="J5188" s="515" t="s">
        <v>1798</v>
      </c>
      <c r="K5188" s="452"/>
    </row>
    <row r="5189" spans="1:12" s="112" customFormat="1">
      <c r="A5189" s="515"/>
      <c r="B5189" s="144"/>
      <c r="C5189" s="215"/>
      <c r="D5189" s="359"/>
      <c r="E5189" s="215"/>
      <c r="F5189" s="511"/>
      <c r="G5189" s="518"/>
      <c r="H5189" s="518"/>
      <c r="I5189" s="452"/>
      <c r="J5189" s="515"/>
      <c r="K5189" s="452"/>
    </row>
    <row r="5190" spans="1:12" s="112" customFormat="1">
      <c r="A5190" s="515"/>
      <c r="B5190" s="144"/>
      <c r="C5190" s="215"/>
      <c r="D5190" s="359"/>
      <c r="E5190" s="215"/>
      <c r="F5190" s="511"/>
      <c r="G5190" s="518"/>
      <c r="H5190" s="518"/>
      <c r="I5190" s="452"/>
      <c r="J5190" s="515"/>
      <c r="K5190" s="452"/>
    </row>
    <row r="5191" spans="1:12" s="112" customFormat="1">
      <c r="A5191" s="515"/>
      <c r="B5191" s="144"/>
      <c r="C5191" s="215"/>
      <c r="D5191" s="359"/>
      <c r="E5191" s="215"/>
      <c r="F5191" s="511"/>
      <c r="G5191" s="518"/>
      <c r="H5191" s="518"/>
      <c r="I5191" s="452"/>
      <c r="J5191" s="515"/>
      <c r="K5191" s="452"/>
    </row>
    <row r="5192" spans="1:12" s="112" customFormat="1">
      <c r="A5192" s="515"/>
      <c r="B5192" s="144"/>
      <c r="C5192" s="215"/>
      <c r="D5192" s="359"/>
      <c r="E5192" s="215"/>
      <c r="F5192" s="511"/>
      <c r="G5192" s="518"/>
      <c r="H5192" s="518"/>
      <c r="I5192" s="452"/>
      <c r="J5192" s="515"/>
      <c r="K5192" s="452"/>
    </row>
    <row r="5193" spans="1:12">
      <c r="A5193" s="515"/>
      <c r="B5193" s="144"/>
      <c r="C5193" s="215"/>
      <c r="D5193" s="359"/>
      <c r="E5193" s="215"/>
      <c r="F5193" s="511"/>
      <c r="G5193" s="518"/>
      <c r="H5193" s="518"/>
      <c r="I5193" s="452"/>
      <c r="J5193" s="515"/>
      <c r="K5193" s="452"/>
    </row>
    <row r="5194" spans="1:12" s="112" customFormat="1">
      <c r="A5194" s="433"/>
      <c r="B5194" s="36" t="s">
        <v>5987</v>
      </c>
      <c r="C5194" s="196">
        <v>429.91</v>
      </c>
      <c r="D5194" s="230">
        <f>C5194*fcl/TC</f>
        <v>291.6621438263229</v>
      </c>
      <c r="E5194" s="203">
        <v>10</v>
      </c>
      <c r="F5194" s="511">
        <f>ROUNDUP(D5194+E5194,2)</f>
        <v>301.67</v>
      </c>
      <c r="G5194" s="434" t="s">
        <v>5988</v>
      </c>
      <c r="H5194" s="1684" t="s">
        <v>5987</v>
      </c>
      <c r="I5194" s="515"/>
      <c r="J5194" s="515" t="s">
        <v>5984</v>
      </c>
      <c r="K5194" s="452" t="s">
        <v>741</v>
      </c>
    </row>
    <row r="5195" spans="1:12" s="112" customFormat="1">
      <c r="A5195" s="433"/>
      <c r="B5195" s="36" t="s">
        <v>10869</v>
      </c>
      <c r="C5195" s="196"/>
      <c r="D5195" s="1407">
        <v>720</v>
      </c>
      <c r="E5195" s="505">
        <v>10</v>
      </c>
      <c r="F5195" s="498">
        <f t="shared" ref="F5195" si="670">D5195+E5195</f>
        <v>730</v>
      </c>
      <c r="G5195" s="434" t="s">
        <v>10870</v>
      </c>
      <c r="H5195" s="1684" t="s">
        <v>10869</v>
      </c>
      <c r="I5195" s="515"/>
      <c r="J5195" s="515" t="s">
        <v>5984</v>
      </c>
      <c r="K5195" s="452" t="s">
        <v>741</v>
      </c>
    </row>
    <row r="5196" spans="1:12" s="112" customFormat="1">
      <c r="A5196" s="447"/>
      <c r="B5196" s="466"/>
      <c r="C5196" s="196"/>
      <c r="D5196" s="217"/>
      <c r="E5196" s="217"/>
      <c r="F5196" s="159"/>
      <c r="G5196" s="454"/>
      <c r="H5196" s="2370"/>
      <c r="I5196" s="515"/>
      <c r="J5196" s="515"/>
      <c r="K5196" s="452"/>
    </row>
    <row r="5197" spans="1:12" s="112" customFormat="1">
      <c r="A5197" s="447"/>
      <c r="B5197" s="466"/>
      <c r="C5197" s="196"/>
      <c r="D5197" s="217"/>
      <c r="E5197" s="217"/>
      <c r="F5197" s="159"/>
      <c r="G5197" s="454"/>
      <c r="H5197" s="2370"/>
      <c r="I5197" s="515"/>
      <c r="J5197" s="515"/>
      <c r="K5197" s="452"/>
    </row>
    <row r="5198" spans="1:12" s="112" customFormat="1">
      <c r="A5198" s="447"/>
      <c r="B5198" s="466"/>
      <c r="C5198" s="196"/>
      <c r="D5198" s="217"/>
      <c r="E5198" s="217"/>
      <c r="F5198" s="159"/>
      <c r="G5198" s="454"/>
      <c r="H5198" s="2370"/>
      <c r="I5198" s="515"/>
      <c r="J5198" s="515"/>
      <c r="K5198" s="452"/>
    </row>
    <row r="5199" spans="1:12" s="102" customFormat="1" ht="15.6">
      <c r="B5199" s="1410" t="s">
        <v>13896</v>
      </c>
      <c r="H5199" s="194"/>
    </row>
    <row r="5200" spans="1:12">
      <c r="A5200" s="1807"/>
      <c r="B5200" s="1543" t="s">
        <v>13897</v>
      </c>
      <c r="C5200" s="359">
        <v>135</v>
      </c>
      <c r="D5200" s="359">
        <f>C5200*(1-0)*fcl</f>
        <v>306.81818181818181</v>
      </c>
      <c r="E5200" s="1542">
        <v>10</v>
      </c>
      <c r="F5200" s="1544">
        <f>ROUNDUP(D5200+E5200,1)</f>
        <v>316.90000000000003</v>
      </c>
      <c r="G5200" s="1545" t="s">
        <v>13898</v>
      </c>
      <c r="H5200" s="458" t="str">
        <f>B5200</f>
        <v>COND_10kVAR/220V</v>
      </c>
      <c r="I5200" s="452"/>
      <c r="J5200" s="515" t="s">
        <v>5984</v>
      </c>
      <c r="K5200" s="452" t="s">
        <v>741</v>
      </c>
      <c r="L5200" s="185"/>
    </row>
    <row r="5201" spans="1:12" s="185" customFormat="1">
      <c r="A5201" s="515"/>
      <c r="B5201" s="144"/>
      <c r="C5201" s="359"/>
      <c r="D5201" s="359"/>
      <c r="E5201" s="215"/>
      <c r="F5201" s="511"/>
      <c r="G5201" s="518"/>
      <c r="H5201" s="139"/>
      <c r="I5201" s="452"/>
      <c r="J5201" s="515"/>
      <c r="K5201" s="452"/>
    </row>
    <row r="5202" spans="1:12" s="185" customFormat="1" ht="15.6">
      <c r="A5202" s="515"/>
      <c r="B5202" s="1410" t="s">
        <v>5994</v>
      </c>
      <c r="C5202" s="359"/>
      <c r="D5202" s="359"/>
      <c r="E5202" s="215"/>
      <c r="F5202" s="511"/>
      <c r="G5202" s="518"/>
      <c r="H5202" s="139"/>
      <c r="I5202" s="452"/>
      <c r="J5202" s="515"/>
      <c r="K5202" s="452"/>
    </row>
    <row r="5203" spans="1:12">
      <c r="A5203" s="1807"/>
      <c r="B5203" s="1543" t="s">
        <v>13899</v>
      </c>
      <c r="C5203" s="359">
        <v>80</v>
      </c>
      <c r="D5203" s="359">
        <f>C5203*(1-0)*fcl</f>
        <v>181.81818181818181</v>
      </c>
      <c r="E5203" s="1542">
        <v>10</v>
      </c>
      <c r="F5203" s="1544">
        <f>ROUNDUP(D5203+E5203,1)</f>
        <v>191.9</v>
      </c>
      <c r="G5203" s="1545" t="s">
        <v>13900</v>
      </c>
      <c r="H5203" s="458" t="str">
        <f>B5203</f>
        <v>COND_13kVAR/400V</v>
      </c>
      <c r="I5203" s="452"/>
      <c r="J5203" s="515" t="s">
        <v>5984</v>
      </c>
      <c r="K5203" s="452" t="s">
        <v>741</v>
      </c>
      <c r="L5203" s="185"/>
    </row>
    <row r="5204" spans="1:12">
      <c r="A5204" s="1807"/>
      <c r="B5204" s="1543" t="s">
        <v>13901</v>
      </c>
      <c r="C5204" s="359">
        <v>120</v>
      </c>
      <c r="D5204" s="359">
        <f>C5204*(1-0)*fcl</f>
        <v>272.72727272727269</v>
      </c>
      <c r="E5204" s="1542">
        <v>10</v>
      </c>
      <c r="F5204" s="1544">
        <f>ROUNDUP(D5204+E5204,1)</f>
        <v>282.8</v>
      </c>
      <c r="G5204" s="1545" t="s">
        <v>13902</v>
      </c>
      <c r="H5204" s="458" t="str">
        <f>B5204</f>
        <v>COND_17.4kVAR/400V</v>
      </c>
      <c r="I5204" s="452"/>
      <c r="J5204" s="515" t="s">
        <v>5984</v>
      </c>
      <c r="K5204" s="452" t="s">
        <v>741</v>
      </c>
      <c r="L5204" s="185"/>
    </row>
    <row r="5205" spans="1:12" s="185" customFormat="1">
      <c r="A5205" s="515"/>
      <c r="B5205" s="144"/>
      <c r="C5205" s="359"/>
      <c r="D5205" s="359"/>
      <c r="E5205" s="215"/>
      <c r="F5205" s="511"/>
      <c r="G5205" s="518"/>
      <c r="H5205" s="139"/>
      <c r="I5205" s="452"/>
      <c r="J5205" s="515"/>
      <c r="K5205" s="452"/>
    </row>
    <row r="5206" spans="1:12" ht="15.6">
      <c r="A5206" s="515"/>
      <c r="B5206" s="1410" t="s">
        <v>5989</v>
      </c>
      <c r="C5206" s="185"/>
      <c r="D5206" s="196"/>
      <c r="E5206" s="215"/>
      <c r="F5206" s="511"/>
      <c r="G5206" s="518"/>
      <c r="H5206" s="139"/>
      <c r="I5206" s="452"/>
      <c r="J5206" s="515"/>
      <c r="K5206" s="452"/>
      <c r="L5206" s="185"/>
    </row>
    <row r="5207" spans="1:12">
      <c r="A5207" s="515"/>
      <c r="B5207" s="397"/>
      <c r="C5207" s="185"/>
      <c r="D5207" s="196"/>
      <c r="E5207" s="215"/>
      <c r="F5207" s="511"/>
      <c r="G5207" s="518"/>
      <c r="H5207" s="139"/>
      <c r="I5207" s="452"/>
      <c r="J5207" s="515"/>
      <c r="K5207" s="452"/>
      <c r="L5207" s="185"/>
    </row>
    <row r="5208" spans="1:12">
      <c r="A5208" s="515"/>
      <c r="B5208" s="1543" t="s">
        <v>8607</v>
      </c>
      <c r="C5208" s="359"/>
      <c r="D5208" s="359">
        <f>C5208*(1-0)*fcl</f>
        <v>0</v>
      </c>
      <c r="E5208" s="1542">
        <v>10</v>
      </c>
      <c r="F5208" s="1544">
        <f>ROUNDUP(D5208+E5208,1)</f>
        <v>10</v>
      </c>
      <c r="G5208" s="1545" t="s">
        <v>8608</v>
      </c>
      <c r="H5208" s="458" t="str">
        <f>B5208</f>
        <v>REACT_5kVAR/230V_p7</v>
      </c>
      <c r="I5208" s="452"/>
      <c r="J5208" s="515" t="s">
        <v>5984</v>
      </c>
      <c r="K5208" s="452" t="s">
        <v>741</v>
      </c>
      <c r="L5208" s="185"/>
    </row>
    <row r="5209" spans="1:12">
      <c r="A5209" s="515"/>
      <c r="B5209" s="1543" t="s">
        <v>8609</v>
      </c>
      <c r="C5209" s="359"/>
      <c r="D5209" s="359">
        <f>C5209*(1-0)*fcl</f>
        <v>0</v>
      </c>
      <c r="E5209" s="1542">
        <v>10</v>
      </c>
      <c r="F5209" s="1544">
        <f>ROUNDUP(D5209+E5209,1)</f>
        <v>10</v>
      </c>
      <c r="G5209" s="1545" t="s">
        <v>8610</v>
      </c>
      <c r="H5209" s="458" t="str">
        <f>B5209</f>
        <v>COND_5kVAR/230V_p7</v>
      </c>
      <c r="I5209" s="452"/>
      <c r="J5209" s="515" t="s">
        <v>5984</v>
      </c>
      <c r="K5209" s="452" t="s">
        <v>741</v>
      </c>
      <c r="L5209" s="185"/>
    </row>
    <row r="5210" spans="1:12">
      <c r="A5210" s="515"/>
      <c r="B5210" s="1543"/>
      <c r="C5210" s="359"/>
      <c r="D5210" s="359"/>
      <c r="E5210" s="1542"/>
      <c r="F5210" s="1544"/>
      <c r="G5210" s="1545"/>
      <c r="H5210" s="458"/>
      <c r="I5210" s="452"/>
      <c r="J5210" s="515"/>
      <c r="K5210" s="452"/>
      <c r="L5210" s="185"/>
    </row>
    <row r="5211" spans="1:12">
      <c r="A5211" s="515"/>
      <c r="B5211" s="1543" t="s">
        <v>8611</v>
      </c>
      <c r="C5211" s="359"/>
      <c r="D5211" s="359">
        <f>C5211*(1-0)*fcl</f>
        <v>0</v>
      </c>
      <c r="E5211" s="1542">
        <v>10</v>
      </c>
      <c r="F5211" s="1544">
        <f>ROUNDUP(D5211+E5211,1)</f>
        <v>10</v>
      </c>
      <c r="G5211" s="1545" t="s">
        <v>8612</v>
      </c>
      <c r="H5211" s="458" t="str">
        <f>B5211</f>
        <v>REACT_7.5kVAR/230V_p7</v>
      </c>
      <c r="I5211" s="452"/>
      <c r="J5211" s="515" t="s">
        <v>5984</v>
      </c>
      <c r="K5211" s="452" t="s">
        <v>741</v>
      </c>
      <c r="L5211" s="185"/>
    </row>
    <row r="5212" spans="1:12">
      <c r="A5212" s="515"/>
      <c r="B5212" s="1543" t="s">
        <v>8613</v>
      </c>
      <c r="C5212" s="359"/>
      <c r="D5212" s="359">
        <f>C5212*(1-0)*fcl</f>
        <v>0</v>
      </c>
      <c r="E5212" s="1542">
        <v>10</v>
      </c>
      <c r="F5212" s="1544">
        <f>ROUNDUP(D5212+E5212,1)</f>
        <v>10</v>
      </c>
      <c r="G5212" s="1545" t="s">
        <v>8614</v>
      </c>
      <c r="H5212" s="458" t="str">
        <f>B5212</f>
        <v>COND_7.5kVAR/230V_p7</v>
      </c>
      <c r="I5212" s="452"/>
      <c r="J5212" s="515" t="s">
        <v>5984</v>
      </c>
      <c r="K5212" s="452" t="s">
        <v>741</v>
      </c>
      <c r="L5212" s="185"/>
    </row>
    <row r="5213" spans="1:12">
      <c r="A5213" s="515"/>
      <c r="B5213" s="373"/>
      <c r="C5213" s="359"/>
      <c r="D5213" s="359"/>
      <c r="E5213" s="215"/>
      <c r="F5213" s="511"/>
      <c r="G5213" s="518"/>
      <c r="H5213" s="458"/>
      <c r="I5213" s="452"/>
      <c r="J5213" s="515"/>
      <c r="K5213" s="452"/>
      <c r="L5213" s="185"/>
    </row>
    <row r="5214" spans="1:12">
      <c r="A5214" s="515"/>
      <c r="B5214" s="1543" t="s">
        <v>12381</v>
      </c>
      <c r="C5214" s="359">
        <v>100</v>
      </c>
      <c r="D5214" s="359">
        <f>C5214*(1-0)*fcl</f>
        <v>227.27272727272725</v>
      </c>
      <c r="E5214" s="1542">
        <v>10</v>
      </c>
      <c r="F5214" s="1544">
        <f>ROUNDUP(D5214+E5214,1)</f>
        <v>237.29999999999998</v>
      </c>
      <c r="G5214" s="1545" t="s">
        <v>12382</v>
      </c>
      <c r="H5214" s="458" t="str">
        <f>B5214</f>
        <v>COND_7.5kVAR/220V_p7</v>
      </c>
      <c r="I5214" s="452"/>
      <c r="J5214" s="515" t="s">
        <v>5984</v>
      </c>
      <c r="K5214" s="452" t="s">
        <v>741</v>
      </c>
      <c r="L5214" s="185"/>
    </row>
    <row r="5215" spans="1:12">
      <c r="A5215" s="515"/>
      <c r="B5215" s="373"/>
      <c r="C5215" s="359"/>
      <c r="D5215" s="359"/>
      <c r="E5215" s="215"/>
      <c r="F5215" s="511"/>
      <c r="G5215" s="518"/>
      <c r="H5215" s="458"/>
      <c r="I5215" s="452"/>
      <c r="J5215" s="515"/>
      <c r="K5215" s="452"/>
      <c r="L5215" s="185"/>
    </row>
    <row r="5216" spans="1:12">
      <c r="A5216" s="515"/>
      <c r="B5216" s="373" t="s">
        <v>1695</v>
      </c>
      <c r="C5216" s="359"/>
      <c r="D5216" s="359">
        <f>C5216*(1-0)*fcl</f>
        <v>0</v>
      </c>
      <c r="E5216" s="215">
        <v>10</v>
      </c>
      <c r="F5216" s="511">
        <f>ROUNDUP(D5216+E5216,1)</f>
        <v>10</v>
      </c>
      <c r="G5216" s="518" t="s">
        <v>8615</v>
      </c>
      <c r="H5216" s="458" t="str">
        <f>B5216</f>
        <v>REACT_15kVAR/230V_p14</v>
      </c>
      <c r="I5216" s="452"/>
      <c r="J5216" s="515" t="s">
        <v>5984</v>
      </c>
      <c r="K5216" s="452" t="s">
        <v>741</v>
      </c>
      <c r="L5216" s="185"/>
    </row>
    <row r="5217" spans="1:12">
      <c r="A5217" s="515"/>
      <c r="B5217" s="373" t="s">
        <v>1696</v>
      </c>
      <c r="C5217" s="359"/>
      <c r="D5217" s="359">
        <f>C5217*(1-0)*fcl</f>
        <v>0</v>
      </c>
      <c r="E5217" s="215">
        <v>10</v>
      </c>
      <c r="F5217" s="511">
        <f>ROUNDUP(D5217+E5217,1)</f>
        <v>10</v>
      </c>
      <c r="G5217" s="518" t="s">
        <v>8616</v>
      </c>
      <c r="H5217" s="458" t="str">
        <f>B5217</f>
        <v>COND_15kVAR/230V_p14</v>
      </c>
      <c r="I5217" s="452"/>
      <c r="J5217" s="515" t="s">
        <v>5984</v>
      </c>
      <c r="K5217" s="452" t="s">
        <v>741</v>
      </c>
      <c r="L5217" s="185"/>
    </row>
    <row r="5218" spans="1:12">
      <c r="A5218" s="515"/>
      <c r="B5218" s="373"/>
      <c r="C5218" s="359"/>
      <c r="D5218" s="359"/>
      <c r="E5218" s="215"/>
      <c r="F5218" s="511"/>
      <c r="G5218" s="518"/>
      <c r="H5218" s="458"/>
      <c r="I5218" s="452"/>
      <c r="J5218" s="515"/>
      <c r="K5218" s="452"/>
      <c r="L5218" s="185"/>
    </row>
    <row r="5219" spans="1:12">
      <c r="A5219" s="515"/>
      <c r="B5219" s="373" t="s">
        <v>2528</v>
      </c>
      <c r="C5219" s="359"/>
      <c r="D5219" s="359">
        <f>C5219*(1-0)*fcl</f>
        <v>0</v>
      </c>
      <c r="E5219" s="215">
        <v>10</v>
      </c>
      <c r="F5219" s="511">
        <f>ROUNDUP(D5219+E5219,1)</f>
        <v>10</v>
      </c>
      <c r="G5219" s="518" t="s">
        <v>8617</v>
      </c>
      <c r="H5219" s="458" t="str">
        <f>B5219</f>
        <v>REACT_20kVAR/230V_p14</v>
      </c>
      <c r="I5219" s="452"/>
      <c r="J5219" s="515" t="s">
        <v>5984</v>
      </c>
      <c r="K5219" s="452" t="s">
        <v>741</v>
      </c>
      <c r="L5219" s="185"/>
    </row>
    <row r="5220" spans="1:12">
      <c r="A5220" s="515"/>
      <c r="B5220" s="373" t="s">
        <v>2529</v>
      </c>
      <c r="C5220" s="359"/>
      <c r="D5220" s="359">
        <f>C5220*(1-0)*fcl</f>
        <v>0</v>
      </c>
      <c r="E5220" s="215">
        <v>10</v>
      </c>
      <c r="F5220" s="511">
        <f>ROUNDUP(D5220+E5220,1)</f>
        <v>10</v>
      </c>
      <c r="G5220" s="518" t="s">
        <v>8618</v>
      </c>
      <c r="H5220" s="458" t="str">
        <f>B5220</f>
        <v>COND_20kVAR/230V_p14</v>
      </c>
      <c r="I5220" s="452"/>
      <c r="J5220" s="515" t="s">
        <v>5984</v>
      </c>
      <c r="K5220" s="452" t="s">
        <v>741</v>
      </c>
      <c r="L5220" s="185"/>
    </row>
    <row r="5221" spans="1:12">
      <c r="A5221" s="515"/>
      <c r="B5221" s="373"/>
      <c r="C5221" s="359"/>
      <c r="D5221" s="359"/>
      <c r="E5221" s="215"/>
      <c r="F5221" s="511"/>
      <c r="G5221" s="518"/>
      <c r="H5221" s="458"/>
      <c r="I5221" s="452"/>
      <c r="J5221" s="515"/>
      <c r="K5221" s="452"/>
      <c r="L5221" s="185"/>
    </row>
    <row r="5222" spans="1:12">
      <c r="A5222" s="515"/>
      <c r="B5222" s="373" t="s">
        <v>1945</v>
      </c>
      <c r="C5222" s="359"/>
      <c r="D5222" s="359">
        <f>C5222*(1-0)*fcl</f>
        <v>0</v>
      </c>
      <c r="E5222" s="215">
        <v>20</v>
      </c>
      <c r="F5222" s="511">
        <f>ROUNDUP(D5222+E5222,1)</f>
        <v>20</v>
      </c>
      <c r="G5222" s="518" t="s">
        <v>8619</v>
      </c>
      <c r="H5222" s="458" t="str">
        <f>B5222</f>
        <v>REACT_30kVAR/230V_p7</v>
      </c>
      <c r="I5222" s="452"/>
      <c r="J5222" s="515" t="s">
        <v>5984</v>
      </c>
      <c r="K5222" s="452" t="s">
        <v>741</v>
      </c>
      <c r="L5222" s="185"/>
    </row>
    <row r="5223" spans="1:12">
      <c r="A5223" s="515"/>
      <c r="B5223" s="373" t="s">
        <v>1946</v>
      </c>
      <c r="C5223" s="359"/>
      <c r="D5223" s="359">
        <f>C5223*(1-0)*fcl</f>
        <v>0</v>
      </c>
      <c r="E5223" s="215">
        <v>20</v>
      </c>
      <c r="F5223" s="511">
        <f>ROUNDUP(D5223+E5223,1)</f>
        <v>20</v>
      </c>
      <c r="G5223" s="518" t="s">
        <v>8620</v>
      </c>
      <c r="H5223" s="458" t="str">
        <f>B5223</f>
        <v>COND_30kVAR/230V_p7</v>
      </c>
      <c r="I5223" s="452"/>
      <c r="J5223" s="515" t="s">
        <v>5984</v>
      </c>
      <c r="K5223" s="452" t="s">
        <v>741</v>
      </c>
      <c r="L5223" s="185"/>
    </row>
    <row r="5224" spans="1:12">
      <c r="A5224" s="515"/>
      <c r="B5224" s="373"/>
      <c r="C5224" s="359"/>
      <c r="D5224" s="359"/>
      <c r="E5224" s="215"/>
      <c r="F5224" s="511"/>
      <c r="G5224" s="518"/>
      <c r="H5224" s="458"/>
      <c r="I5224" s="452"/>
      <c r="J5224" s="515"/>
      <c r="K5224" s="452"/>
      <c r="L5224" s="185"/>
    </row>
    <row r="5225" spans="1:12">
      <c r="A5225" s="515"/>
      <c r="B5225" s="373" t="s">
        <v>10871</v>
      </c>
      <c r="C5225" s="359">
        <v>660</v>
      </c>
      <c r="D5225" s="359">
        <f>C5225*(1-0)*fcl</f>
        <v>1499.9999999999998</v>
      </c>
      <c r="E5225" s="215">
        <v>20</v>
      </c>
      <c r="F5225" s="511">
        <f>ROUNDUP(D5225+E5225,1)</f>
        <v>1520</v>
      </c>
      <c r="G5225" s="518" t="s">
        <v>10872</v>
      </c>
      <c r="H5225" s="458" t="str">
        <f>B5225</f>
        <v>REACT_40kVAR/230V_p7</v>
      </c>
      <c r="I5225" s="452"/>
      <c r="J5225" s="515" t="s">
        <v>5984</v>
      </c>
      <c r="K5225" s="452" t="s">
        <v>741</v>
      </c>
      <c r="L5225" s="185"/>
    </row>
    <row r="5226" spans="1:12">
      <c r="A5226" s="515"/>
      <c r="B5226" s="373" t="s">
        <v>10873</v>
      </c>
      <c r="C5226" s="359">
        <v>1080</v>
      </c>
      <c r="D5226" s="359">
        <f>C5226*(1-0)*fcl</f>
        <v>2454.5454545454545</v>
      </c>
      <c r="E5226" s="215">
        <v>20</v>
      </c>
      <c r="F5226" s="511">
        <f>ROUNDUP(D5226+E5226,1)</f>
        <v>2474.6</v>
      </c>
      <c r="G5226" s="518" t="s">
        <v>10874</v>
      </c>
      <c r="H5226" s="458" t="str">
        <f>B5226</f>
        <v>COND_40kVAR/230V_p7</v>
      </c>
      <c r="I5226" s="452"/>
      <c r="J5226" s="515" t="s">
        <v>5984</v>
      </c>
      <c r="K5226" s="452" t="s">
        <v>741</v>
      </c>
      <c r="L5226" s="185"/>
    </row>
    <row r="5227" spans="1:12">
      <c r="A5227" s="515"/>
      <c r="B5227" s="373"/>
      <c r="C5227" s="359"/>
      <c r="D5227" s="359"/>
      <c r="E5227" s="215"/>
      <c r="F5227" s="511"/>
      <c r="G5227" s="518"/>
      <c r="H5227" s="458"/>
      <c r="I5227" s="452"/>
      <c r="J5227" s="515"/>
      <c r="K5227" s="452"/>
      <c r="L5227" s="185"/>
    </row>
    <row r="5228" spans="1:12" s="112" customFormat="1">
      <c r="A5228" s="1370"/>
      <c r="B5228" s="373" t="s">
        <v>5990</v>
      </c>
      <c r="C5228" s="359">
        <v>490</v>
      </c>
      <c r="D5228" s="359">
        <f>C5228*(1-0)*fcl</f>
        <v>1113.6363636363635</v>
      </c>
      <c r="E5228" s="215">
        <v>20</v>
      </c>
      <c r="F5228" s="511">
        <f>ROUNDUP(D5228+E5228,1)</f>
        <v>1133.6999999999998</v>
      </c>
      <c r="G5228" s="518" t="s">
        <v>8621</v>
      </c>
      <c r="H5228" s="458" t="str">
        <f>B5228</f>
        <v>REACT_20kVAR/220V_p7</v>
      </c>
      <c r="I5228" s="452"/>
      <c r="J5228" s="515" t="s">
        <v>5984</v>
      </c>
      <c r="K5228" s="452" t="s">
        <v>741</v>
      </c>
    </row>
    <row r="5229" spans="1:12" s="112" customFormat="1">
      <c r="A5229" s="1370"/>
      <c r="B5229" s="373" t="s">
        <v>5991</v>
      </c>
      <c r="C5229" s="359"/>
      <c r="D5229" s="359">
        <f>C5229*(1-0)*fcl</f>
        <v>0</v>
      </c>
      <c r="E5229" s="215">
        <v>20</v>
      </c>
      <c r="F5229" s="511">
        <f>ROUNDUP(D5229+E5229,1)</f>
        <v>20</v>
      </c>
      <c r="G5229" s="518" t="s">
        <v>8622</v>
      </c>
      <c r="H5229" s="458" t="str">
        <f>B5229</f>
        <v>COND_20kVAR/220V_p7</v>
      </c>
      <c r="I5229" s="452"/>
      <c r="J5229" s="515" t="s">
        <v>5984</v>
      </c>
      <c r="K5229" s="452" t="s">
        <v>741</v>
      </c>
    </row>
    <row r="5230" spans="1:12" s="112" customFormat="1">
      <c r="A5230" s="1370"/>
      <c r="B5230" s="373"/>
      <c r="C5230" s="359"/>
      <c r="D5230" s="359"/>
      <c r="E5230" s="215"/>
      <c r="F5230" s="511"/>
      <c r="G5230" s="518"/>
      <c r="H5230" s="458"/>
      <c r="I5230" s="452"/>
      <c r="J5230" s="515"/>
      <c r="K5230" s="452"/>
    </row>
    <row r="5231" spans="1:12" s="112" customFormat="1">
      <c r="A5231" s="1370"/>
      <c r="B5231" s="373" t="s">
        <v>4779</v>
      </c>
      <c r="C5231" s="359"/>
      <c r="D5231" s="359">
        <f>C5231*(1-0)*fcl</f>
        <v>0</v>
      </c>
      <c r="E5231" s="215">
        <v>20</v>
      </c>
      <c r="F5231" s="511">
        <f>ROUNDUP(D5231+E5231,1)</f>
        <v>20</v>
      </c>
      <c r="G5231" s="518" t="s">
        <v>8619</v>
      </c>
      <c r="H5231" s="458" t="str">
        <f>B5231</f>
        <v>REACT_15kVAR/220V_p7</v>
      </c>
      <c r="I5231" s="452"/>
      <c r="J5231" s="515" t="s">
        <v>5984</v>
      </c>
      <c r="K5231" s="452" t="s">
        <v>741</v>
      </c>
    </row>
    <row r="5232" spans="1:12" s="112" customFormat="1">
      <c r="A5232" s="1370"/>
      <c r="B5232" s="373" t="s">
        <v>4780</v>
      </c>
      <c r="C5232" s="359"/>
      <c r="D5232" s="359">
        <f>C5232*(1-0)*fcl</f>
        <v>0</v>
      </c>
      <c r="E5232" s="215">
        <v>20</v>
      </c>
      <c r="F5232" s="511">
        <f>ROUNDUP(D5232+E5232,1)</f>
        <v>20</v>
      </c>
      <c r="G5232" s="518" t="s">
        <v>8620</v>
      </c>
      <c r="H5232" s="458" t="str">
        <f>B5232</f>
        <v>COND_15kVAR/220V_p7</v>
      </c>
      <c r="I5232" s="452"/>
      <c r="J5232" s="515" t="s">
        <v>5984</v>
      </c>
      <c r="K5232" s="452" t="s">
        <v>741</v>
      </c>
    </row>
    <row r="5233" spans="1:12" s="112" customFormat="1">
      <c r="A5233" s="1370"/>
      <c r="B5233" s="373"/>
      <c r="C5233" s="359"/>
      <c r="D5233" s="359"/>
      <c r="E5233" s="215"/>
      <c r="F5233" s="511"/>
      <c r="G5233" s="518"/>
      <c r="H5233" s="458"/>
      <c r="I5233" s="452"/>
      <c r="J5233" s="515"/>
      <c r="K5233" s="452"/>
    </row>
    <row r="5234" spans="1:12">
      <c r="A5234" s="515"/>
      <c r="B5234" s="373" t="s">
        <v>5087</v>
      </c>
      <c r="C5234" s="359"/>
      <c r="D5234" s="359">
        <f>C5234*(1-0)*fcl</f>
        <v>0</v>
      </c>
      <c r="E5234" s="215">
        <v>20</v>
      </c>
      <c r="F5234" s="511">
        <f>ROUNDUP(D5234+E5234,1)</f>
        <v>20</v>
      </c>
      <c r="G5234" s="518" t="s">
        <v>8623</v>
      </c>
      <c r="H5234" s="458" t="str">
        <f>B5234</f>
        <v>REACT_12.5kVAR/230V_p7</v>
      </c>
      <c r="I5234" s="452"/>
      <c r="J5234" s="515" t="s">
        <v>5984</v>
      </c>
      <c r="K5234" s="452" t="s">
        <v>741</v>
      </c>
      <c r="L5234" s="185"/>
    </row>
    <row r="5235" spans="1:12">
      <c r="A5235" s="515"/>
      <c r="B5235" s="373" t="s">
        <v>5088</v>
      </c>
      <c r="C5235" s="359"/>
      <c r="D5235" s="359">
        <f>C5235*(1-0)*fcl</f>
        <v>0</v>
      </c>
      <c r="E5235" s="215">
        <v>20</v>
      </c>
      <c r="F5235" s="511">
        <f>ROUNDUP(D5235+E5235,1)</f>
        <v>20</v>
      </c>
      <c r="G5235" s="518" t="s">
        <v>8624</v>
      </c>
      <c r="H5235" s="458" t="str">
        <f>B5235</f>
        <v>COND_12.5kVAR/230V_p7</v>
      </c>
      <c r="I5235" s="452"/>
      <c r="J5235" s="515" t="s">
        <v>5984</v>
      </c>
      <c r="K5235" s="452" t="s">
        <v>741</v>
      </c>
      <c r="L5235" s="185"/>
    </row>
    <row r="5236" spans="1:12">
      <c r="A5236" s="515"/>
      <c r="B5236" s="373"/>
      <c r="C5236" s="359"/>
      <c r="D5236" s="359"/>
      <c r="E5236" s="215"/>
      <c r="F5236" s="511"/>
      <c r="G5236" s="518"/>
      <c r="H5236" s="458"/>
      <c r="I5236" s="452"/>
      <c r="J5236" s="515"/>
      <c r="K5236" s="452"/>
      <c r="L5236" s="185"/>
    </row>
    <row r="5237" spans="1:12" s="112" customFormat="1">
      <c r="A5237" s="1370"/>
      <c r="B5237" s="373" t="s">
        <v>4782</v>
      </c>
      <c r="C5237" s="359"/>
      <c r="D5237" s="359">
        <f>C5237*(1-0)*fcl</f>
        <v>0</v>
      </c>
      <c r="E5237" s="215">
        <v>20</v>
      </c>
      <c r="F5237" s="511">
        <f>ROUNDUP(D5237+E5237,1)</f>
        <v>20</v>
      </c>
      <c r="G5237" s="518" t="s">
        <v>8625</v>
      </c>
      <c r="H5237" s="458" t="str">
        <f>B5237</f>
        <v>REACT_10kVAR/220V_p7</v>
      </c>
      <c r="I5237" s="452"/>
      <c r="J5237" s="515" t="s">
        <v>5984</v>
      </c>
      <c r="K5237" s="452" t="s">
        <v>741</v>
      </c>
    </row>
    <row r="5238" spans="1:12" s="112" customFormat="1">
      <c r="A5238" s="1370"/>
      <c r="B5238" s="373" t="s">
        <v>4783</v>
      </c>
      <c r="C5238" s="359">
        <v>140</v>
      </c>
      <c r="D5238" s="359">
        <f>C5238*(1-0)*fcl</f>
        <v>318.18181818181813</v>
      </c>
      <c r="E5238" s="215">
        <v>20</v>
      </c>
      <c r="F5238" s="511">
        <f>ROUNDUP(D5238+E5238,1)</f>
        <v>338.20000000000005</v>
      </c>
      <c r="G5238" s="518" t="s">
        <v>12862</v>
      </c>
      <c r="H5238" s="458" t="str">
        <f>B5238</f>
        <v>COND_10kVAR/220V_p7</v>
      </c>
      <c r="I5238" s="452"/>
      <c r="J5238" s="515" t="s">
        <v>5984</v>
      </c>
      <c r="K5238" s="452" t="s">
        <v>741</v>
      </c>
    </row>
    <row r="5239" spans="1:12">
      <c r="A5239" s="515"/>
      <c r="B5239" s="397"/>
      <c r="C5239" s="359"/>
      <c r="D5239" s="359"/>
      <c r="E5239" s="215"/>
      <c r="F5239" s="511"/>
      <c r="G5239" s="518"/>
      <c r="H5239" s="458"/>
      <c r="I5239" s="452"/>
      <c r="J5239" s="515"/>
      <c r="K5239" s="452"/>
      <c r="L5239" s="185"/>
    </row>
    <row r="5240" spans="1:12" s="1397" customFormat="1">
      <c r="A5240" s="1399"/>
      <c r="B5240" s="2161" t="s">
        <v>13903</v>
      </c>
      <c r="C5240" s="1833">
        <v>590</v>
      </c>
      <c r="D5240" s="1833">
        <f>C5240*(1-0)*fcl</f>
        <v>1340.9090909090908</v>
      </c>
      <c r="E5240" s="1388">
        <v>22</v>
      </c>
      <c r="F5240" s="517">
        <f t="shared" ref="F5240" si="671">ROUNDUP(D5240+E5240,1)</f>
        <v>1363</v>
      </c>
      <c r="G5240" s="1656" t="s">
        <v>13904</v>
      </c>
      <c r="H5240" s="2168" t="str">
        <f>B5240</f>
        <v>REACT_25kVAR/230V_p7</v>
      </c>
      <c r="I5240" s="544"/>
      <c r="J5240" s="1399" t="s">
        <v>5984</v>
      </c>
      <c r="K5240" s="544" t="s">
        <v>741</v>
      </c>
    </row>
    <row r="5241" spans="1:12">
      <c r="A5241" s="515"/>
      <c r="B5241" s="398"/>
      <c r="C5241" s="359"/>
      <c r="D5241" s="359"/>
      <c r="E5241" s="215"/>
      <c r="F5241" s="511"/>
      <c r="G5241" s="518"/>
      <c r="H5241" s="139"/>
      <c r="I5241" s="452"/>
      <c r="J5241" s="515"/>
      <c r="K5241" s="452"/>
      <c r="L5241" s="185"/>
    </row>
    <row r="5242" spans="1:12">
      <c r="A5242" s="515"/>
      <c r="B5242" s="144"/>
      <c r="C5242" s="359"/>
      <c r="D5242" s="359"/>
      <c r="E5242" s="215"/>
      <c r="F5242" s="511"/>
      <c r="G5242" s="518"/>
      <c r="H5242" s="139"/>
      <c r="I5242" s="452"/>
      <c r="J5242" s="515"/>
      <c r="K5242" s="452"/>
      <c r="L5242" s="185"/>
    </row>
    <row r="5243" spans="1:12">
      <c r="A5243" s="515"/>
      <c r="B5243" s="144"/>
      <c r="C5243" s="359"/>
      <c r="D5243" s="359"/>
      <c r="E5243" s="215"/>
      <c r="F5243" s="511"/>
      <c r="G5243" s="518"/>
      <c r="H5243" s="139"/>
      <c r="I5243" s="452"/>
      <c r="J5243" s="515"/>
      <c r="K5243" s="452"/>
      <c r="L5243" s="185"/>
    </row>
    <row r="5244" spans="1:12">
      <c r="A5244" s="515"/>
      <c r="B5244" s="144"/>
      <c r="C5244" s="359"/>
      <c r="D5244" s="359"/>
      <c r="E5244" s="215"/>
      <c r="F5244" s="511"/>
      <c r="G5244" s="518"/>
      <c r="H5244" s="139"/>
      <c r="I5244" s="452"/>
      <c r="J5244" s="515"/>
      <c r="K5244" s="452"/>
      <c r="L5244" s="185"/>
    </row>
    <row r="5245" spans="1:12" ht="15.6">
      <c r="A5245" s="515"/>
      <c r="B5245" s="1410" t="s">
        <v>5992</v>
      </c>
      <c r="C5245" s="359"/>
      <c r="D5245" s="359"/>
      <c r="E5245" s="215"/>
      <c r="F5245" s="511"/>
      <c r="G5245" s="518"/>
      <c r="H5245" s="518"/>
      <c r="I5245" s="452"/>
      <c r="J5245" s="515"/>
      <c r="K5245" s="452"/>
    </row>
    <row r="5246" spans="1:12" s="112" customFormat="1">
      <c r="A5246" s="1850"/>
      <c r="B5246" s="373" t="s">
        <v>12287</v>
      </c>
      <c r="C5246" s="359">
        <v>560</v>
      </c>
      <c r="D5246" s="359">
        <f>C5246*(1-0)*fcl</f>
        <v>1272.7272727272725</v>
      </c>
      <c r="E5246" s="215">
        <v>10</v>
      </c>
      <c r="F5246" s="511">
        <f>ROUNDUP(D5246+E5246,1)</f>
        <v>1282.8</v>
      </c>
      <c r="G5246" s="518" t="s">
        <v>12288</v>
      </c>
      <c r="H5246" s="458" t="str">
        <f>B5246</f>
        <v>REACT_RX_20kVAR/380V_p14</v>
      </c>
      <c r="I5246" s="452"/>
      <c r="J5246" s="515" t="s">
        <v>5984</v>
      </c>
      <c r="K5246" s="452" t="s">
        <v>741</v>
      </c>
    </row>
    <row r="5247" spans="1:12" s="112" customFormat="1">
      <c r="A5247" s="1850"/>
      <c r="B5247" s="373" t="s">
        <v>12289</v>
      </c>
      <c r="C5247" s="359">
        <v>180</v>
      </c>
      <c r="D5247" s="359">
        <f>C5247*(1-0)*fcl</f>
        <v>409.09090909090907</v>
      </c>
      <c r="E5247" s="215">
        <v>10</v>
      </c>
      <c r="F5247" s="511">
        <f>ROUNDUP(D5247+E5247,1)</f>
        <v>419.1</v>
      </c>
      <c r="G5247" s="518" t="s">
        <v>12290</v>
      </c>
      <c r="H5247" s="458" t="str">
        <f>B5247</f>
        <v>COND_pris_20kVAR/380V_p14</v>
      </c>
      <c r="I5247" s="452"/>
      <c r="J5247" s="515" t="s">
        <v>5984</v>
      </c>
      <c r="K5247" s="452" t="s">
        <v>741</v>
      </c>
    </row>
    <row r="5248" spans="1:12" s="112" customFormat="1">
      <c r="A5248" s="515"/>
      <c r="B5248" s="373" t="s">
        <v>12291</v>
      </c>
      <c r="C5248" s="359">
        <v>180</v>
      </c>
      <c r="D5248" s="359">
        <f>C5248*(1-0)*fcl</f>
        <v>409.09090909090907</v>
      </c>
      <c r="E5248" s="215">
        <v>20</v>
      </c>
      <c r="F5248" s="511">
        <f>ROUNDUP(D5248+E5248,1)</f>
        <v>429.1</v>
      </c>
      <c r="G5248" s="518" t="s">
        <v>12292</v>
      </c>
      <c r="H5248" s="458" t="str">
        <f>B5248</f>
        <v>COND_pris_40kVAR/380V_p14</v>
      </c>
      <c r="I5248" s="452"/>
      <c r="J5248" s="515" t="s">
        <v>5984</v>
      </c>
      <c r="K5248" s="452" t="s">
        <v>741</v>
      </c>
    </row>
    <row r="5249" spans="1:11" ht="15.6">
      <c r="A5249" s="515"/>
      <c r="B5249" s="1410"/>
      <c r="C5249" s="359"/>
      <c r="D5249" s="359"/>
      <c r="E5249" s="215"/>
      <c r="F5249" s="511"/>
      <c r="G5249" s="518"/>
      <c r="H5249" s="518"/>
      <c r="I5249" s="452"/>
      <c r="J5249" s="515"/>
      <c r="K5249" s="452"/>
    </row>
    <row r="5250" spans="1:11">
      <c r="A5250" s="515"/>
      <c r="B5250" s="373" t="s">
        <v>12863</v>
      </c>
      <c r="C5250" s="359">
        <v>70</v>
      </c>
      <c r="D5250" s="359">
        <f>C5250*(1-0)*fcl</f>
        <v>159.09090909090907</v>
      </c>
      <c r="E5250" s="215">
        <v>10</v>
      </c>
      <c r="F5250" s="511">
        <f>ROUNDUP(D5250+E5250,1)</f>
        <v>169.1</v>
      </c>
      <c r="G5250" s="518" t="s">
        <v>12864</v>
      </c>
      <c r="H5250" s="458" t="str">
        <f>B5250</f>
        <v>COND_7kVAR/380V_p14</v>
      </c>
      <c r="I5250" s="452"/>
      <c r="J5250" s="515" t="s">
        <v>5984</v>
      </c>
      <c r="K5250" s="452" t="s">
        <v>741</v>
      </c>
    </row>
    <row r="5251" spans="1:11" s="112" customFormat="1">
      <c r="A5251" s="515"/>
      <c r="B5251" s="397"/>
      <c r="C5251" s="359"/>
      <c r="D5251" s="359"/>
      <c r="E5251" s="215"/>
      <c r="F5251" s="511"/>
      <c r="G5251" s="518"/>
      <c r="H5251" s="458"/>
      <c r="I5251" s="452"/>
      <c r="J5251" s="515"/>
      <c r="K5251" s="452"/>
    </row>
    <row r="5252" spans="1:11">
      <c r="A5252" s="515"/>
      <c r="B5252" s="373" t="s">
        <v>1688</v>
      </c>
      <c r="C5252" s="359"/>
      <c r="D5252" s="215">
        <f>1.05*630</f>
        <v>661.5</v>
      </c>
      <c r="E5252" s="215">
        <v>10</v>
      </c>
      <c r="F5252" s="511">
        <f>ROUNDUP(D5252+E5252,1)</f>
        <v>671.5</v>
      </c>
      <c r="G5252" s="518" t="s">
        <v>8626</v>
      </c>
      <c r="H5252" s="458" t="str">
        <f>B5252</f>
        <v>REACT_10kVAR/380V_p14</v>
      </c>
      <c r="I5252" s="452"/>
      <c r="J5252" s="515" t="s">
        <v>5984</v>
      </c>
      <c r="K5252" s="452" t="s">
        <v>741</v>
      </c>
    </row>
    <row r="5253" spans="1:11" s="112" customFormat="1">
      <c r="A5253" s="515"/>
      <c r="B5253" s="373" t="s">
        <v>1689</v>
      </c>
      <c r="C5253" s="359"/>
      <c r="D5253" s="359">
        <v>294</v>
      </c>
      <c r="E5253" s="215">
        <v>10</v>
      </c>
      <c r="F5253" s="511">
        <f>ROUNDUP(D5253+E5253,1)</f>
        <v>304</v>
      </c>
      <c r="G5253" s="518" t="s">
        <v>8627</v>
      </c>
      <c r="H5253" s="458" t="str">
        <f>B5253</f>
        <v>COND_10kVAR/380V_p14</v>
      </c>
      <c r="I5253" s="452"/>
      <c r="J5253" s="515" t="s">
        <v>5984</v>
      </c>
      <c r="K5253" s="452" t="s">
        <v>741</v>
      </c>
    </row>
    <row r="5254" spans="1:11">
      <c r="A5254" s="515"/>
      <c r="B5254" s="373"/>
      <c r="C5254" s="359"/>
      <c r="D5254" s="359"/>
      <c r="E5254" s="215"/>
      <c r="F5254" s="511"/>
      <c r="G5254" s="518"/>
      <c r="H5254" s="458"/>
      <c r="I5254" s="452"/>
      <c r="J5254" s="515"/>
      <c r="K5254" s="452"/>
    </row>
    <row r="5255" spans="1:11" s="1864" customFormat="1">
      <c r="A5255" s="1373"/>
      <c r="B5255" s="1858" t="s">
        <v>12326</v>
      </c>
      <c r="C5255" s="1859">
        <v>500</v>
      </c>
      <c r="D5255" s="1859">
        <f>C5255*(1-0)*fcl</f>
        <v>1136.3636363636363</v>
      </c>
      <c r="E5255" s="1605">
        <v>10</v>
      </c>
      <c r="F5255" s="1860">
        <f>ROUNDUP(D5255+E5255,1)</f>
        <v>1146.3999999999999</v>
      </c>
      <c r="G5255" s="1861" t="s">
        <v>12327</v>
      </c>
      <c r="H5255" s="1862" t="str">
        <f>B5255</f>
        <v>REACT_15kVAR/380V_p14</v>
      </c>
      <c r="I5255" s="1863"/>
      <c r="J5255" s="1373" t="s">
        <v>5984</v>
      </c>
      <c r="K5255" s="1863" t="s">
        <v>741</v>
      </c>
    </row>
    <row r="5256" spans="1:11" s="1865" customFormat="1">
      <c r="A5256" s="1373"/>
      <c r="B5256" s="1858" t="s">
        <v>12328</v>
      </c>
      <c r="C5256" s="1859">
        <v>90</v>
      </c>
      <c r="D5256" s="1859">
        <f>C5256*(1-0)*fcl</f>
        <v>204.54545454545453</v>
      </c>
      <c r="E5256" s="1605">
        <v>10</v>
      </c>
      <c r="F5256" s="1860">
        <f>ROUNDUP(D5256+E5256,1)</f>
        <v>214.6</v>
      </c>
      <c r="G5256" s="1861" t="s">
        <v>12329</v>
      </c>
      <c r="H5256" s="1862" t="str">
        <f>B5256</f>
        <v>COND_15kVAR/380V_p14</v>
      </c>
      <c r="I5256" s="1863"/>
      <c r="J5256" s="1373" t="s">
        <v>5984</v>
      </c>
      <c r="K5256" s="1863" t="s">
        <v>741</v>
      </c>
    </row>
    <row r="5257" spans="1:11" s="1864" customFormat="1">
      <c r="A5257" s="1373"/>
      <c r="B5257" s="1858"/>
      <c r="C5257" s="1859"/>
      <c r="D5257" s="1859"/>
      <c r="E5257" s="1605"/>
      <c r="F5257" s="1860"/>
      <c r="G5257" s="1861"/>
      <c r="H5257" s="1862"/>
      <c r="I5257" s="1863"/>
      <c r="J5257" s="1373"/>
      <c r="K5257" s="1863"/>
    </row>
    <row r="5258" spans="1:11">
      <c r="A5258" s="515"/>
      <c r="B5258" s="373" t="s">
        <v>1943</v>
      </c>
      <c r="C5258" s="359"/>
      <c r="D5258" s="359">
        <f>C5258*(1-0)*fcl</f>
        <v>0</v>
      </c>
      <c r="E5258" s="215">
        <v>10</v>
      </c>
      <c r="F5258" s="511">
        <f>ROUNDUP(D5258+E5258,1)</f>
        <v>10</v>
      </c>
      <c r="G5258" s="518" t="s">
        <v>8628</v>
      </c>
      <c r="H5258" s="458" t="str">
        <f>B5258</f>
        <v>REACT_18kVAR/380V_p14</v>
      </c>
      <c r="I5258" s="452"/>
      <c r="J5258" s="515" t="s">
        <v>5984</v>
      </c>
      <c r="K5258" s="452" t="s">
        <v>741</v>
      </c>
    </row>
    <row r="5259" spans="1:11">
      <c r="A5259" s="515"/>
      <c r="B5259" s="373" t="s">
        <v>1944</v>
      </c>
      <c r="C5259" s="359">
        <v>120</v>
      </c>
      <c r="D5259" s="359">
        <f>C5259*(1-0)*fcl</f>
        <v>272.72727272727269</v>
      </c>
      <c r="E5259" s="215">
        <v>10</v>
      </c>
      <c r="F5259" s="511">
        <f>ROUNDUP(D5259+E5259,1)</f>
        <v>282.8</v>
      </c>
      <c r="G5259" s="518" t="s">
        <v>12865</v>
      </c>
      <c r="H5259" s="458" t="str">
        <f>B5259</f>
        <v>COND_18kVAR/380V_p14</v>
      </c>
      <c r="I5259" s="452"/>
      <c r="J5259" s="515" t="s">
        <v>5984</v>
      </c>
      <c r="K5259" s="452" t="s">
        <v>741</v>
      </c>
    </row>
    <row r="5260" spans="1:11" s="112" customFormat="1">
      <c r="A5260" s="515"/>
      <c r="B5260" s="373"/>
      <c r="C5260" s="359"/>
      <c r="D5260" s="359"/>
      <c r="E5260" s="215"/>
      <c r="F5260" s="511"/>
      <c r="G5260" s="518"/>
      <c r="H5260" s="458"/>
      <c r="I5260" s="452"/>
      <c r="J5260" s="515"/>
      <c r="K5260" s="452"/>
    </row>
    <row r="5261" spans="1:11" s="112" customFormat="1">
      <c r="A5261" s="515"/>
      <c r="B5261" s="373" t="s">
        <v>1690</v>
      </c>
      <c r="C5261" s="359"/>
      <c r="D5261" s="359">
        <f>C5261*(1-0)*fcl</f>
        <v>0</v>
      </c>
      <c r="E5261" s="215">
        <v>10</v>
      </c>
      <c r="F5261" s="511">
        <f>ROUNDUP(D5261+E5261,1)</f>
        <v>10</v>
      </c>
      <c r="G5261" s="518" t="s">
        <v>8629</v>
      </c>
      <c r="H5261" s="458" t="str">
        <f>B5261</f>
        <v>REACT_20kVAR/380V_p14</v>
      </c>
      <c r="I5261" s="452"/>
      <c r="J5261" s="515" t="s">
        <v>5984</v>
      </c>
      <c r="K5261" s="452" t="s">
        <v>741</v>
      </c>
    </row>
    <row r="5262" spans="1:11" s="112" customFormat="1">
      <c r="A5262" s="515"/>
      <c r="B5262" s="373" t="s">
        <v>1691</v>
      </c>
      <c r="C5262" s="359"/>
      <c r="D5262" s="359">
        <f>C5262*(1-0)*fcl</f>
        <v>0</v>
      </c>
      <c r="E5262" s="215">
        <v>10</v>
      </c>
      <c r="F5262" s="511">
        <f>ROUNDUP(D5262+E5262,1)</f>
        <v>10</v>
      </c>
      <c r="G5262" s="518" t="s">
        <v>12330</v>
      </c>
      <c r="H5262" s="458" t="str">
        <f>B5262</f>
        <v>COND_20kVAR/380V_p14</v>
      </c>
      <c r="I5262" s="452"/>
      <c r="J5262" s="515" t="s">
        <v>5984</v>
      </c>
      <c r="K5262" s="452" t="s">
        <v>741</v>
      </c>
    </row>
    <row r="5263" spans="1:11" s="112" customFormat="1">
      <c r="A5263" s="515"/>
      <c r="B5263" s="373"/>
      <c r="C5263" s="359"/>
      <c r="D5263" s="359"/>
      <c r="E5263" s="215"/>
      <c r="F5263" s="511"/>
      <c r="G5263" s="518"/>
      <c r="H5263" s="458"/>
      <c r="I5263" s="452"/>
      <c r="J5263" s="515"/>
      <c r="K5263" s="452"/>
    </row>
    <row r="5264" spans="1:11" s="112" customFormat="1">
      <c r="A5264" s="515"/>
      <c r="B5264" s="373" t="s">
        <v>12866</v>
      </c>
      <c r="C5264" s="359">
        <v>660</v>
      </c>
      <c r="D5264" s="359">
        <f>C5264*(1-0)*fcl</f>
        <v>1499.9999999999998</v>
      </c>
      <c r="E5264" s="215">
        <v>10</v>
      </c>
      <c r="F5264" s="511">
        <f>ROUNDUP(D5264+E5264,1)</f>
        <v>1510</v>
      </c>
      <c r="G5264" s="518" t="s">
        <v>12867</v>
      </c>
      <c r="H5264" s="458" t="str">
        <f>B5264</f>
        <v>REACT_25kVAR/380V_p14</v>
      </c>
      <c r="I5264" s="452"/>
      <c r="J5264" s="515" t="s">
        <v>5984</v>
      </c>
      <c r="K5264" s="452" t="s">
        <v>741</v>
      </c>
    </row>
    <row r="5265" spans="1:11" s="112" customFormat="1">
      <c r="A5265" s="515"/>
      <c r="B5265" s="373"/>
      <c r="C5265" s="359"/>
      <c r="D5265" s="359"/>
      <c r="E5265" s="215"/>
      <c r="F5265" s="511"/>
      <c r="G5265" s="518"/>
      <c r="H5265" s="458"/>
      <c r="I5265" s="452"/>
      <c r="J5265" s="515"/>
      <c r="K5265" s="452"/>
    </row>
    <row r="5266" spans="1:11" s="1871" customFormat="1">
      <c r="A5266" s="1475"/>
      <c r="B5266" s="373" t="s">
        <v>12331</v>
      </c>
      <c r="C5266" s="1866">
        <v>660</v>
      </c>
      <c r="D5266" s="1866">
        <f>C5266*(1-0)*fcl</f>
        <v>1499.9999999999998</v>
      </c>
      <c r="E5266" s="1867">
        <v>10</v>
      </c>
      <c r="F5266" s="1868">
        <f>ROUNDUP(D5266+E5266,1)</f>
        <v>1510</v>
      </c>
      <c r="G5266" s="1483" t="s">
        <v>12332</v>
      </c>
      <c r="H5266" s="1869" t="str">
        <f>B5266</f>
        <v>REACT_30kVAR/380V_p14</v>
      </c>
      <c r="I5266" s="1870"/>
      <c r="J5266" s="1475" t="s">
        <v>5984</v>
      </c>
      <c r="K5266" s="1870" t="s">
        <v>741</v>
      </c>
    </row>
    <row r="5267" spans="1:11" s="1871" customFormat="1">
      <c r="A5267" s="1475"/>
      <c r="B5267" s="373" t="s">
        <v>12333</v>
      </c>
      <c r="C5267" s="1866"/>
      <c r="D5267" s="1866">
        <f>C5267*(1-0)*fcl</f>
        <v>0</v>
      </c>
      <c r="E5267" s="1867">
        <v>10</v>
      </c>
      <c r="F5267" s="1868">
        <f>ROUNDUP(D5267+E5267,1)</f>
        <v>10</v>
      </c>
      <c r="G5267" s="1483" t="s">
        <v>12334</v>
      </c>
      <c r="H5267" s="1869" t="str">
        <f>B5267</f>
        <v>COND_30kVAR/380V_p14</v>
      </c>
      <c r="I5267" s="1870"/>
      <c r="J5267" s="1475" t="s">
        <v>5984</v>
      </c>
      <c r="K5267" s="1870" t="s">
        <v>741</v>
      </c>
    </row>
    <row r="5268" spans="1:11" s="1871" customFormat="1">
      <c r="A5268" s="1475"/>
      <c r="B5268" s="1872"/>
      <c r="C5268" s="1866"/>
      <c r="D5268" s="1866"/>
      <c r="E5268" s="1867"/>
      <c r="F5268" s="1868"/>
      <c r="G5268" s="1483"/>
      <c r="H5268" s="1869"/>
      <c r="I5268" s="1870"/>
      <c r="J5268" s="1475"/>
      <c r="K5268" s="1870"/>
    </row>
    <row r="5269" spans="1:11" s="112" customFormat="1">
      <c r="A5269" s="1850"/>
      <c r="B5269" s="373" t="s">
        <v>1947</v>
      </c>
      <c r="C5269" s="359">
        <v>740</v>
      </c>
      <c r="D5269" s="359">
        <f>C5269*(1-0)*fcl</f>
        <v>1681.8181818181815</v>
      </c>
      <c r="E5269" s="215">
        <v>20</v>
      </c>
      <c r="F5269" s="1868">
        <f>ROUNDUP(D5269+E5269,1)</f>
        <v>1701.8999999999999</v>
      </c>
      <c r="G5269" s="518" t="s">
        <v>8630</v>
      </c>
      <c r="H5269" s="458" t="str">
        <f>B5269</f>
        <v>REACT_40kVAR/380V_p14</v>
      </c>
      <c r="I5269" s="452"/>
      <c r="J5269" s="515" t="s">
        <v>5984</v>
      </c>
      <c r="K5269" s="452" t="s">
        <v>741</v>
      </c>
    </row>
    <row r="5270" spans="1:11" s="112" customFormat="1">
      <c r="A5270" s="515"/>
      <c r="B5270" s="373" t="s">
        <v>1949</v>
      </c>
      <c r="C5270" s="359"/>
      <c r="D5270" s="359">
        <v>1200</v>
      </c>
      <c r="E5270" s="215">
        <v>20</v>
      </c>
      <c r="F5270" s="511">
        <f>ROUNDUP(D5270+E5270,1)</f>
        <v>1220</v>
      </c>
      <c r="G5270" s="518" t="s">
        <v>8631</v>
      </c>
      <c r="H5270" s="458" t="str">
        <f>B5270</f>
        <v>COND_40kVAR/380V_p14</v>
      </c>
      <c r="I5270" s="452"/>
      <c r="J5270" s="515" t="s">
        <v>5984</v>
      </c>
      <c r="K5270" s="452" t="s">
        <v>741</v>
      </c>
    </row>
    <row r="5271" spans="1:11" s="112" customFormat="1">
      <c r="A5271" s="515"/>
      <c r="B5271" s="373"/>
      <c r="C5271" s="359"/>
      <c r="D5271" s="359"/>
      <c r="E5271" s="215"/>
      <c r="F5271" s="511"/>
      <c r="G5271" s="518"/>
      <c r="H5271" s="458"/>
      <c r="I5271" s="452"/>
      <c r="J5271" s="515"/>
      <c r="K5271" s="452"/>
    </row>
    <row r="5272" spans="1:11" s="112" customFormat="1">
      <c r="A5272" s="1399"/>
      <c r="B5272" s="373" t="s">
        <v>13405</v>
      </c>
      <c r="C5272" s="359">
        <v>0</v>
      </c>
      <c r="D5272" s="359">
        <f>C5272*(1-0)*fcl</f>
        <v>0</v>
      </c>
      <c r="E5272" s="215">
        <v>20</v>
      </c>
      <c r="F5272" s="1868">
        <f>ROUNDUP(D5272+E5272,1)</f>
        <v>20</v>
      </c>
      <c r="G5272" s="518" t="s">
        <v>13406</v>
      </c>
      <c r="H5272" s="458" t="str">
        <f>B5272</f>
        <v>REACT_45kVAR/380V_p14</v>
      </c>
      <c r="I5272" s="452"/>
      <c r="J5272" s="515" t="s">
        <v>5984</v>
      </c>
      <c r="K5272" s="452" t="s">
        <v>741</v>
      </c>
    </row>
    <row r="5273" spans="1:11" s="112" customFormat="1">
      <c r="A5273" s="515"/>
      <c r="B5273" s="373"/>
      <c r="C5273" s="359"/>
      <c r="D5273" s="359">
        <v>1200</v>
      </c>
      <c r="E5273" s="215">
        <v>20</v>
      </c>
      <c r="F5273" s="511">
        <f>ROUNDUP(D5273+E5273,1)</f>
        <v>1220</v>
      </c>
      <c r="G5273" s="518" t="s">
        <v>8631</v>
      </c>
      <c r="H5273" s="458">
        <f>B5273</f>
        <v>0</v>
      </c>
      <c r="I5273" s="452"/>
      <c r="J5273" s="515" t="s">
        <v>5984</v>
      </c>
      <c r="K5273" s="452" t="s">
        <v>741</v>
      </c>
    </row>
    <row r="5274" spans="1:11" s="112" customFormat="1">
      <c r="A5274" s="515"/>
      <c r="B5274" s="373"/>
      <c r="C5274" s="359"/>
      <c r="D5274" s="359"/>
      <c r="E5274" s="215"/>
      <c r="F5274" s="511"/>
      <c r="G5274" s="518"/>
      <c r="H5274" s="458"/>
      <c r="I5274" s="452"/>
      <c r="J5274" s="515"/>
      <c r="K5274" s="452"/>
    </row>
    <row r="5275" spans="1:11" s="112" customFormat="1">
      <c r="A5275" s="1399"/>
      <c r="B5275" s="373" t="s">
        <v>13299</v>
      </c>
      <c r="C5275" s="359">
        <v>850</v>
      </c>
      <c r="D5275" s="359">
        <f>C5275*(1-0)*fcl</f>
        <v>1931.8181818181815</v>
      </c>
      <c r="E5275" s="215">
        <v>20</v>
      </c>
      <c r="F5275" s="511">
        <f>ROUNDUP(D5275+E5275,1)</f>
        <v>1951.8999999999999</v>
      </c>
      <c r="G5275" s="518" t="s">
        <v>13300</v>
      </c>
      <c r="H5275" s="458" t="str">
        <f>B5275</f>
        <v>REACT_50kVAR/380V_p14</v>
      </c>
      <c r="I5275" s="452"/>
      <c r="J5275" s="515" t="s">
        <v>5984</v>
      </c>
      <c r="K5275" s="452" t="s">
        <v>741</v>
      </c>
    </row>
    <row r="5276" spans="1:11" s="112" customFormat="1">
      <c r="A5276" s="515"/>
      <c r="B5276" s="373"/>
      <c r="C5276" s="359"/>
      <c r="D5276" s="359"/>
      <c r="E5276" s="215"/>
      <c r="F5276" s="511"/>
      <c r="G5276" s="518"/>
      <c r="H5276" s="458"/>
      <c r="I5276" s="452"/>
      <c r="J5276" s="515"/>
      <c r="K5276" s="452"/>
    </row>
    <row r="5277" spans="1:11" s="112" customFormat="1">
      <c r="A5277" s="515"/>
      <c r="B5277" s="373" t="s">
        <v>13905</v>
      </c>
      <c r="C5277" s="359">
        <v>220</v>
      </c>
      <c r="D5277" s="359">
        <f>C5277*(1-0)*fcl</f>
        <v>499.99999999999994</v>
      </c>
      <c r="E5277" s="215">
        <v>10</v>
      </c>
      <c r="F5277" s="511">
        <f>ROUNDUP(D5277+E5277,1)</f>
        <v>510</v>
      </c>
      <c r="G5277" s="518" t="s">
        <v>13906</v>
      </c>
      <c r="H5277" s="458" t="str">
        <f>B5277</f>
        <v>REACT_5kVAR/380V_p7</v>
      </c>
      <c r="I5277" s="452"/>
      <c r="J5277" s="515" t="s">
        <v>5984</v>
      </c>
      <c r="K5277" s="452" t="s">
        <v>741</v>
      </c>
    </row>
    <row r="5278" spans="1:11" s="112" customFormat="1">
      <c r="A5278" s="515"/>
      <c r="B5278" s="373"/>
      <c r="C5278" s="359"/>
      <c r="D5278" s="359"/>
      <c r="E5278" s="215"/>
      <c r="F5278" s="511"/>
      <c r="G5278" s="518"/>
      <c r="H5278" s="458"/>
      <c r="I5278" s="452"/>
      <c r="J5278" s="515"/>
      <c r="K5278" s="452"/>
    </row>
    <row r="5279" spans="1:11" s="112" customFormat="1">
      <c r="A5279" s="515"/>
      <c r="B5279" s="373"/>
      <c r="C5279" s="359"/>
      <c r="D5279" s="359"/>
      <c r="E5279" s="215"/>
      <c r="F5279" s="511"/>
      <c r="G5279" s="518"/>
      <c r="H5279" s="458"/>
      <c r="I5279" s="452"/>
      <c r="J5279" s="515"/>
      <c r="K5279" s="452"/>
    </row>
    <row r="5280" spans="1:11" s="112" customFormat="1">
      <c r="A5280" s="515"/>
      <c r="B5280" s="373" t="s">
        <v>1692</v>
      </c>
      <c r="C5280" s="359">
        <v>290</v>
      </c>
      <c r="D5280" s="359">
        <f>C5280*(1-0)*fcl</f>
        <v>659.09090909090901</v>
      </c>
      <c r="E5280" s="215">
        <v>10</v>
      </c>
      <c r="F5280" s="511">
        <f>ROUNDUP(D5280+E5280,1)</f>
        <v>669.1</v>
      </c>
      <c r="G5280" s="518" t="s">
        <v>13907</v>
      </c>
      <c r="H5280" s="458" t="str">
        <f>B5280</f>
        <v>REACT_10kVAR/380V_p7</v>
      </c>
      <c r="I5280" s="452"/>
      <c r="J5280" s="515" t="s">
        <v>5984</v>
      </c>
      <c r="K5280" s="452" t="s">
        <v>741</v>
      </c>
    </row>
    <row r="5281" spans="1:11" s="112" customFormat="1">
      <c r="A5281" s="515"/>
      <c r="B5281" s="373" t="s">
        <v>1693</v>
      </c>
      <c r="C5281" s="359"/>
      <c r="D5281" s="359">
        <f>C5281*(1-0)*fcl</f>
        <v>0</v>
      </c>
      <c r="E5281" s="215">
        <v>10</v>
      </c>
      <c r="F5281" s="511">
        <f>ROUNDUP(D5281+E5281,1)</f>
        <v>10</v>
      </c>
      <c r="G5281" s="518" t="s">
        <v>8632</v>
      </c>
      <c r="H5281" s="458" t="str">
        <f>B5281</f>
        <v>COND_10kVAR/380V_p7</v>
      </c>
      <c r="I5281" s="452"/>
      <c r="J5281" s="515" t="s">
        <v>5984</v>
      </c>
      <c r="K5281" s="452" t="s">
        <v>741</v>
      </c>
    </row>
    <row r="5282" spans="1:11" s="185" customFormat="1">
      <c r="A5282" s="515"/>
      <c r="B5282" s="373"/>
      <c r="C5282" s="359"/>
      <c r="D5282" s="359"/>
      <c r="E5282" s="215"/>
      <c r="F5282" s="511"/>
      <c r="G5282" s="518"/>
      <c r="H5282" s="458"/>
      <c r="I5282" s="452"/>
      <c r="J5282" s="515"/>
      <c r="K5282" s="452"/>
    </row>
    <row r="5283" spans="1:11" s="112" customFormat="1">
      <c r="A5283" s="515"/>
      <c r="B5283" s="373" t="s">
        <v>3163</v>
      </c>
      <c r="C5283" s="359">
        <v>240</v>
      </c>
      <c r="D5283" s="359">
        <f>C5283*(1-0)*fcl</f>
        <v>545.45454545454538</v>
      </c>
      <c r="E5283" s="215">
        <v>10</v>
      </c>
      <c r="F5283" s="511">
        <f>ROUNDUP(D5283+E5283,1)</f>
        <v>555.5</v>
      </c>
      <c r="G5283" s="518" t="s">
        <v>8633</v>
      </c>
      <c r="H5283" s="458" t="str">
        <f>B5283</f>
        <v>REACT_15kVAR/380V_p7</v>
      </c>
      <c r="I5283" s="452"/>
      <c r="J5283" s="515" t="s">
        <v>5984</v>
      </c>
      <c r="K5283" s="452" t="s">
        <v>741</v>
      </c>
    </row>
    <row r="5284" spans="1:11" s="112" customFormat="1">
      <c r="A5284" s="515"/>
      <c r="B5284" s="373" t="s">
        <v>3164</v>
      </c>
      <c r="C5284" s="359">
        <v>120</v>
      </c>
      <c r="D5284" s="359">
        <f>C5284*(1-0)*fcl</f>
        <v>272.72727272727269</v>
      </c>
      <c r="E5284" s="215">
        <v>10</v>
      </c>
      <c r="F5284" s="511">
        <f>ROUNDUP(D5284+E5284,1)</f>
        <v>282.8</v>
      </c>
      <c r="G5284" s="518" t="s">
        <v>8634</v>
      </c>
      <c r="H5284" s="458" t="str">
        <f>B5284</f>
        <v>COND_15kVAR/380V_p7</v>
      </c>
      <c r="I5284" s="452"/>
      <c r="J5284" s="515" t="s">
        <v>5984</v>
      </c>
      <c r="K5284" s="452" t="s">
        <v>741</v>
      </c>
    </row>
    <row r="5285" spans="1:11" s="112" customFormat="1">
      <c r="A5285" s="515"/>
      <c r="B5285" s="373"/>
      <c r="C5285" s="359"/>
      <c r="D5285" s="359"/>
      <c r="E5285" s="215"/>
      <c r="F5285" s="511"/>
      <c r="G5285" s="518"/>
      <c r="H5285" s="458"/>
      <c r="I5285" s="452"/>
      <c r="J5285" s="515"/>
      <c r="K5285" s="452"/>
    </row>
    <row r="5286" spans="1:11" s="112" customFormat="1">
      <c r="A5286" s="515"/>
      <c r="B5286" s="373" t="s">
        <v>12868</v>
      </c>
      <c r="C5286" s="359">
        <v>240</v>
      </c>
      <c r="D5286" s="359">
        <f>C5286*(1-0)*fcl</f>
        <v>545.45454545454538</v>
      </c>
      <c r="E5286" s="215">
        <v>10</v>
      </c>
      <c r="F5286" s="511">
        <f>ROUNDUP(D5286+E5286,1)</f>
        <v>555.5</v>
      </c>
      <c r="G5286" s="518" t="s">
        <v>12869</v>
      </c>
      <c r="H5286" s="458" t="str">
        <f>B5286</f>
        <v>REACT_15kVAR RX/380V_p7</v>
      </c>
      <c r="I5286" s="452"/>
      <c r="J5286" s="515" t="s">
        <v>5984</v>
      </c>
      <c r="K5286" s="452" t="s">
        <v>741</v>
      </c>
    </row>
    <row r="5287" spans="1:11" s="112" customFormat="1">
      <c r="A5287" s="515"/>
      <c r="B5287" s="373" t="s">
        <v>12870</v>
      </c>
      <c r="C5287" s="359">
        <v>120</v>
      </c>
      <c r="D5287" s="359">
        <f>C5287*(1-0)*fcl</f>
        <v>272.72727272727269</v>
      </c>
      <c r="E5287" s="215">
        <v>10</v>
      </c>
      <c r="F5287" s="511">
        <f>ROUNDUP(D5287+E5287,1)</f>
        <v>282.8</v>
      </c>
      <c r="G5287" s="518" t="s">
        <v>12871</v>
      </c>
      <c r="H5287" s="458" t="str">
        <f>B5287</f>
        <v>COND_15kVAR CLZ-FP/380V_p7</v>
      </c>
      <c r="I5287" s="452"/>
      <c r="J5287" s="515" t="s">
        <v>5984</v>
      </c>
      <c r="K5287" s="452" t="s">
        <v>741</v>
      </c>
    </row>
    <row r="5288" spans="1:11" s="185" customFormat="1">
      <c r="A5288" s="515"/>
      <c r="B5288" s="373" t="s">
        <v>13407</v>
      </c>
      <c r="C5288" s="359">
        <v>70</v>
      </c>
      <c r="D5288" s="359">
        <f t="shared" ref="D5288" si="672">C5288*(1-0)*fcl</f>
        <v>159.09090909090907</v>
      </c>
      <c r="E5288" s="215">
        <v>10</v>
      </c>
      <c r="F5288" s="511">
        <f>ROUNDUP(D5288+E5288,1)</f>
        <v>169.1</v>
      </c>
      <c r="G5288" s="518" t="s">
        <v>13408</v>
      </c>
      <c r="H5288" s="458" t="str">
        <f>B5288</f>
        <v>COND_15kVAR/380V_p7_CLZ-FP-HD</v>
      </c>
      <c r="I5288" s="452"/>
      <c r="J5288" s="515" t="s">
        <v>5984</v>
      </c>
      <c r="K5288" s="452" t="s">
        <v>741</v>
      </c>
    </row>
    <row r="5289" spans="1:11" s="112" customFormat="1">
      <c r="A5289" s="515"/>
      <c r="B5289" s="373"/>
      <c r="C5289" s="359"/>
      <c r="D5289" s="359"/>
      <c r="E5289" s="215"/>
      <c r="F5289" s="511"/>
      <c r="G5289" s="518"/>
      <c r="H5289" s="458"/>
      <c r="I5289" s="452"/>
      <c r="J5289" s="515"/>
      <c r="K5289" s="452"/>
    </row>
    <row r="5290" spans="1:11" s="112" customFormat="1">
      <c r="A5290" s="515"/>
      <c r="B5290" s="373" t="s">
        <v>1694</v>
      </c>
      <c r="C5290" s="359">
        <v>270</v>
      </c>
      <c r="D5290" s="359">
        <f t="shared" ref="D5290:D5296" si="673">C5290*(1-0)*fcl</f>
        <v>613.63636363636363</v>
      </c>
      <c r="E5290" s="215">
        <v>10</v>
      </c>
      <c r="F5290" s="511">
        <f>ROUNDUP(D5290+E5290,1)</f>
        <v>623.70000000000005</v>
      </c>
      <c r="G5290" s="518" t="s">
        <v>8635</v>
      </c>
      <c r="H5290" s="458" t="str">
        <f>B5290</f>
        <v>REACT_20kVAR/380V_p7</v>
      </c>
      <c r="I5290" s="452"/>
      <c r="J5290" s="515" t="s">
        <v>5984</v>
      </c>
      <c r="K5290" s="452" t="s">
        <v>741</v>
      </c>
    </row>
    <row r="5291" spans="1:11" s="185" customFormat="1">
      <c r="A5291" s="515"/>
      <c r="B5291" s="373" t="s">
        <v>11136</v>
      </c>
      <c r="C5291" s="359">
        <v>180</v>
      </c>
      <c r="D5291" s="359">
        <f t="shared" si="673"/>
        <v>409.09090909090907</v>
      </c>
      <c r="E5291" s="215">
        <v>10</v>
      </c>
      <c r="F5291" s="511">
        <f>ROUNDUP(D5291+E5291,1)</f>
        <v>419.1</v>
      </c>
      <c r="G5291" s="518" t="s">
        <v>11137</v>
      </c>
      <c r="H5291" s="458" t="str">
        <f>B5291</f>
        <v>COND_20kVAR/380V_p7_CLZ</v>
      </c>
      <c r="I5291" s="452"/>
      <c r="J5291" s="515" t="s">
        <v>5984</v>
      </c>
      <c r="K5291" s="452" t="s">
        <v>741</v>
      </c>
    </row>
    <row r="5292" spans="1:11" s="185" customFormat="1">
      <c r="A5292" s="515"/>
      <c r="B5292" s="373"/>
      <c r="C5292" s="359"/>
      <c r="D5292" s="359">
        <f t="shared" si="673"/>
        <v>0</v>
      </c>
      <c r="E5292" s="215"/>
      <c r="F5292" s="511"/>
      <c r="G5292" s="518"/>
      <c r="H5292" s="458"/>
      <c r="I5292" s="452"/>
      <c r="J5292" s="515"/>
      <c r="K5292" s="452"/>
    </row>
    <row r="5293" spans="1:11" s="1397" customFormat="1">
      <c r="A5293" s="1399"/>
      <c r="B5293" s="2161" t="s">
        <v>12872</v>
      </c>
      <c r="C5293" s="1833">
        <v>180</v>
      </c>
      <c r="D5293" s="1833">
        <f t="shared" si="673"/>
        <v>409.09090909090907</v>
      </c>
      <c r="E5293" s="1388">
        <v>10</v>
      </c>
      <c r="F5293" s="517">
        <f>ROUNDUP(D5293+E5293,1)</f>
        <v>419.1</v>
      </c>
      <c r="G5293" s="1656" t="s">
        <v>11137</v>
      </c>
      <c r="H5293" s="2168" t="str">
        <f>B5293</f>
        <v>COND_20.95kVAR/380V_p7_CLZ</v>
      </c>
      <c r="I5293" s="544"/>
      <c r="J5293" s="1399" t="s">
        <v>5984</v>
      </c>
      <c r="K5293" s="544" t="s">
        <v>741</v>
      </c>
    </row>
    <row r="5294" spans="1:11" s="185" customFormat="1">
      <c r="A5294" s="515"/>
      <c r="B5294" s="373"/>
      <c r="C5294" s="359"/>
      <c r="D5294" s="359">
        <f t="shared" si="673"/>
        <v>0</v>
      </c>
      <c r="E5294" s="215"/>
      <c r="F5294" s="511"/>
      <c r="G5294" s="518"/>
      <c r="H5294" s="139"/>
      <c r="I5294" s="452"/>
      <c r="J5294" s="515"/>
      <c r="K5294" s="452"/>
    </row>
    <row r="5295" spans="1:11" s="112" customFormat="1">
      <c r="A5295" s="1591"/>
      <c r="B5295" s="2161" t="s">
        <v>8636</v>
      </c>
      <c r="C5295" s="359">
        <v>330</v>
      </c>
      <c r="D5295" s="359">
        <f t="shared" si="673"/>
        <v>749.99999999999989</v>
      </c>
      <c r="E5295" s="215">
        <v>10</v>
      </c>
      <c r="F5295" s="511">
        <f>ROUNDUP(D5295+E5295,1)</f>
        <v>760</v>
      </c>
      <c r="G5295" s="518" t="s">
        <v>8637</v>
      </c>
      <c r="H5295" s="458" t="str">
        <f>B5295</f>
        <v>REACT_25kVAR/380V_p7</v>
      </c>
      <c r="I5295" s="452"/>
      <c r="J5295" s="515" t="s">
        <v>5984</v>
      </c>
      <c r="K5295" s="452" t="s">
        <v>741</v>
      </c>
    </row>
    <row r="5296" spans="1:11" s="185" customFormat="1">
      <c r="A5296" s="1591"/>
      <c r="B5296" s="2161" t="s">
        <v>12873</v>
      </c>
      <c r="C5296" s="359">
        <v>80</v>
      </c>
      <c r="D5296" s="359">
        <f t="shared" si="673"/>
        <v>181.81818181818181</v>
      </c>
      <c r="E5296" s="215">
        <v>10</v>
      </c>
      <c r="F5296" s="511">
        <f>ROUNDUP(D5296+E5296,1)</f>
        <v>191.9</v>
      </c>
      <c r="G5296" s="518" t="s">
        <v>12874</v>
      </c>
      <c r="H5296" s="458" t="str">
        <f>B5296</f>
        <v>COND_12,5kVAR/380V_p7_CLZ</v>
      </c>
      <c r="I5296" s="452"/>
      <c r="J5296" s="515" t="s">
        <v>5984</v>
      </c>
      <c r="K5296" s="452" t="s">
        <v>741</v>
      </c>
    </row>
    <row r="5297" spans="1:12" s="185" customFormat="1">
      <c r="A5297" s="515"/>
      <c r="B5297" s="373"/>
      <c r="C5297" s="359"/>
      <c r="D5297" s="359"/>
      <c r="E5297" s="215"/>
      <c r="F5297" s="511"/>
      <c r="G5297" s="518"/>
      <c r="H5297" s="458"/>
      <c r="I5297" s="452"/>
      <c r="J5297" s="515"/>
      <c r="K5297" s="452"/>
    </row>
    <row r="5298" spans="1:12" s="112" customFormat="1">
      <c r="A5298" s="515"/>
      <c r="B5298" s="373" t="s">
        <v>8638</v>
      </c>
      <c r="C5298" s="359"/>
      <c r="D5298" s="359">
        <f>C5298*(1-0)*fcl</f>
        <v>0</v>
      </c>
      <c r="E5298" s="215">
        <v>20</v>
      </c>
      <c r="F5298" s="511">
        <f>ROUNDUP(D5298+E5298,1)</f>
        <v>20</v>
      </c>
      <c r="G5298" s="518" t="s">
        <v>8639</v>
      </c>
      <c r="H5298" s="458" t="str">
        <f>B5298</f>
        <v>REACT_26kVAR/380V_p7</v>
      </c>
      <c r="I5298" s="452"/>
      <c r="J5298" s="515" t="s">
        <v>5984</v>
      </c>
      <c r="K5298" s="452" t="s">
        <v>741</v>
      </c>
    </row>
    <row r="5299" spans="1:12" s="185" customFormat="1">
      <c r="A5299" s="515"/>
      <c r="B5299" s="373" t="s">
        <v>8640</v>
      </c>
      <c r="C5299" s="359"/>
      <c r="D5299" s="359">
        <f>C5299*(1-0)*fcl</f>
        <v>0</v>
      </c>
      <c r="E5299" s="215">
        <v>20</v>
      </c>
      <c r="F5299" s="511">
        <f>ROUNDUP(D5299+E5299,1)</f>
        <v>20</v>
      </c>
      <c r="G5299" s="518" t="s">
        <v>8641</v>
      </c>
      <c r="H5299" s="458" t="str">
        <f>B5299</f>
        <v>COND_26kVAR/380V_p7</v>
      </c>
      <c r="I5299" s="452"/>
      <c r="J5299" s="515" t="s">
        <v>5984</v>
      </c>
      <c r="K5299" s="452" t="s">
        <v>741</v>
      </c>
    </row>
    <row r="5300" spans="1:12" s="185" customFormat="1">
      <c r="A5300" s="515"/>
      <c r="B5300" s="373"/>
      <c r="C5300" s="359"/>
      <c r="D5300" s="359"/>
      <c r="E5300" s="215"/>
      <c r="F5300" s="511"/>
      <c r="G5300" s="518"/>
      <c r="H5300" s="458"/>
      <c r="I5300" s="452"/>
      <c r="J5300" s="515"/>
      <c r="K5300" s="452"/>
    </row>
    <row r="5301" spans="1:12" s="185" customFormat="1">
      <c r="A5301" s="1399"/>
      <c r="B5301" s="373" t="s">
        <v>3157</v>
      </c>
      <c r="C5301" s="359">
        <v>340</v>
      </c>
      <c r="D5301" s="359">
        <f>C5301*(1-0)*fcl</f>
        <v>772.72727272727263</v>
      </c>
      <c r="E5301" s="215">
        <v>20</v>
      </c>
      <c r="F5301" s="511">
        <f>ROUNDUP(D5301+E5301,1)</f>
        <v>792.80000000000007</v>
      </c>
      <c r="G5301" s="518" t="s">
        <v>8642</v>
      </c>
      <c r="H5301" s="458" t="str">
        <f>B5301</f>
        <v>REACT_30kVAR/380V_p7</v>
      </c>
      <c r="I5301" s="452"/>
      <c r="J5301" s="515" t="s">
        <v>5984</v>
      </c>
      <c r="K5301" s="452" t="s">
        <v>741</v>
      </c>
    </row>
    <row r="5302" spans="1:12" s="112" customFormat="1">
      <c r="A5302" s="1491"/>
      <c r="B5302" s="373" t="s">
        <v>3156</v>
      </c>
      <c r="C5302" s="359"/>
      <c r="D5302" s="359">
        <f>C5302*(1-0)*fcl</f>
        <v>0</v>
      </c>
      <c r="E5302" s="215">
        <v>20</v>
      </c>
      <c r="F5302" s="511">
        <f>ROUNDUP(D5302+E5302,1)</f>
        <v>20</v>
      </c>
      <c r="G5302" s="518" t="s">
        <v>8643</v>
      </c>
      <c r="H5302" s="458" t="str">
        <f>B5302</f>
        <v>COND_30kVAR/380V_p7</v>
      </c>
      <c r="I5302" s="452"/>
      <c r="J5302" s="515" t="s">
        <v>5984</v>
      </c>
      <c r="K5302" s="452" t="s">
        <v>741</v>
      </c>
    </row>
    <row r="5303" spans="1:12" s="185" customFormat="1">
      <c r="A5303" s="515"/>
      <c r="B5303" s="373" t="s">
        <v>13908</v>
      </c>
      <c r="C5303" s="359">
        <v>140</v>
      </c>
      <c r="D5303" s="359">
        <f>C5303*(1-0)*fcl</f>
        <v>318.18181818181813</v>
      </c>
      <c r="E5303" s="215">
        <v>10</v>
      </c>
      <c r="F5303" s="511">
        <f>ROUNDUP(D5303+E5303,1)</f>
        <v>328.20000000000005</v>
      </c>
      <c r="G5303" s="518" t="s">
        <v>13909</v>
      </c>
      <c r="H5303" s="458" t="str">
        <f>B5303</f>
        <v>COND_30kVAR/480V_p7_CLZ</v>
      </c>
      <c r="I5303" s="452"/>
      <c r="J5303" s="515" t="s">
        <v>5984</v>
      </c>
      <c r="K5303" s="452" t="s">
        <v>741</v>
      </c>
    </row>
    <row r="5304" spans="1:12" s="185" customFormat="1">
      <c r="A5304" s="515"/>
      <c r="B5304" s="373" t="s">
        <v>13409</v>
      </c>
      <c r="C5304" s="359">
        <v>250</v>
      </c>
      <c r="D5304" s="359">
        <f>C5304*(1-0)*fcl</f>
        <v>568.18181818181813</v>
      </c>
      <c r="E5304" s="215">
        <v>20</v>
      </c>
      <c r="F5304" s="511">
        <f>ROUNDUP(D5304+E5304,1)</f>
        <v>588.20000000000005</v>
      </c>
      <c r="G5304" s="518" t="s">
        <v>13410</v>
      </c>
      <c r="H5304" s="458" t="str">
        <f>B5304</f>
        <v>COND_30kVAR/380V_p7_CLZ-FP-HD</v>
      </c>
      <c r="I5304" s="452"/>
      <c r="J5304" s="515" t="s">
        <v>5984</v>
      </c>
      <c r="K5304" s="452" t="s">
        <v>741</v>
      </c>
    </row>
    <row r="5305" spans="1:12" s="185" customFormat="1">
      <c r="A5305" s="515"/>
      <c r="B5305" s="373"/>
      <c r="C5305" s="359"/>
      <c r="D5305" s="359"/>
      <c r="E5305" s="215"/>
      <c r="F5305" s="511"/>
      <c r="G5305" s="518"/>
      <c r="H5305" s="458"/>
      <c r="I5305" s="452"/>
      <c r="J5305" s="515"/>
      <c r="K5305" s="452"/>
    </row>
    <row r="5306" spans="1:12" s="185" customFormat="1">
      <c r="A5306" s="1411"/>
      <c r="B5306" s="373" t="s">
        <v>3383</v>
      </c>
      <c r="C5306" s="359">
        <v>330</v>
      </c>
      <c r="D5306" s="359">
        <f>C5306*(1-0)*fcl</f>
        <v>749.99999999999989</v>
      </c>
      <c r="E5306" s="215">
        <v>20</v>
      </c>
      <c r="F5306" s="511">
        <f>ROUNDUP(D5306+E5306,1)</f>
        <v>770</v>
      </c>
      <c r="G5306" s="518" t="s">
        <v>8644</v>
      </c>
      <c r="H5306" s="458" t="str">
        <f>B5306</f>
        <v>REACT_40kVAR/380V_p7</v>
      </c>
      <c r="I5306" s="452"/>
      <c r="J5306" s="515" t="s">
        <v>5984</v>
      </c>
      <c r="K5306" s="452" t="s">
        <v>741</v>
      </c>
    </row>
    <row r="5307" spans="1:12" s="185" customFormat="1">
      <c r="A5307" s="1411"/>
      <c r="B5307" s="373" t="s">
        <v>12335</v>
      </c>
      <c r="C5307" s="359">
        <v>270</v>
      </c>
      <c r="D5307" s="359">
        <f>C5307*(1-0)*fcl</f>
        <v>613.63636363636363</v>
      </c>
      <c r="E5307" s="215">
        <v>20</v>
      </c>
      <c r="F5307" s="511">
        <f>ROUNDUP(D5307+E5307,1)</f>
        <v>633.70000000000005</v>
      </c>
      <c r="G5307" s="518" t="s">
        <v>11598</v>
      </c>
      <c r="H5307" s="458" t="str">
        <f>B5307</f>
        <v>COND_40kVAR/380V_p7_CLZ</v>
      </c>
      <c r="I5307" s="452"/>
      <c r="J5307" s="515" t="s">
        <v>5984</v>
      </c>
      <c r="K5307" s="452" t="s">
        <v>741</v>
      </c>
    </row>
    <row r="5308" spans="1:12">
      <c r="A5308" s="515"/>
      <c r="B5308" s="373"/>
      <c r="C5308" s="359"/>
      <c r="D5308" s="359"/>
      <c r="E5308" s="215"/>
      <c r="F5308" s="511"/>
      <c r="G5308" s="518"/>
      <c r="H5308" s="458"/>
      <c r="I5308" s="452"/>
      <c r="J5308" s="515"/>
      <c r="K5308" s="452"/>
      <c r="L5308" s="185"/>
    </row>
    <row r="5309" spans="1:12" s="185" customFormat="1">
      <c r="A5309" s="1547"/>
      <c r="B5309" s="373" t="s">
        <v>8646</v>
      </c>
      <c r="C5309" s="359">
        <v>440</v>
      </c>
      <c r="D5309" s="359">
        <f>C5309*(1-0)*fcl</f>
        <v>999.99999999999989</v>
      </c>
      <c r="E5309" s="215">
        <v>20</v>
      </c>
      <c r="F5309" s="511">
        <f>ROUNDUP(D5309+E5309,1)</f>
        <v>1020</v>
      </c>
      <c r="G5309" s="518" t="s">
        <v>8647</v>
      </c>
      <c r="H5309" s="458" t="str">
        <f>B5309</f>
        <v>REACT_50kVAR/380V_p7</v>
      </c>
      <c r="I5309" s="452"/>
      <c r="J5309" s="515" t="s">
        <v>5984</v>
      </c>
      <c r="K5309" s="452" t="s">
        <v>741</v>
      </c>
    </row>
    <row r="5310" spans="1:12" s="185" customFormat="1">
      <c r="A5310" s="1547"/>
      <c r="B5310" s="373" t="s">
        <v>8648</v>
      </c>
      <c r="C5310" s="359"/>
      <c r="D5310" s="359">
        <f>C5310*(1-0)*fcl</f>
        <v>0</v>
      </c>
      <c r="E5310" s="215">
        <v>20</v>
      </c>
      <c r="F5310" s="511">
        <f>ROUNDUP(D5310+E5310,1)</f>
        <v>20</v>
      </c>
      <c r="G5310" s="518" t="s">
        <v>8649</v>
      </c>
      <c r="H5310" s="458" t="str">
        <f>B5310</f>
        <v>COND_50kVAR/380V_p7</v>
      </c>
      <c r="I5310" s="452"/>
      <c r="J5310" s="515" t="s">
        <v>5984</v>
      </c>
      <c r="K5310" s="452" t="s">
        <v>741</v>
      </c>
    </row>
    <row r="5311" spans="1:12">
      <c r="A5311" s="515"/>
      <c r="B5311" s="373"/>
      <c r="C5311" s="359"/>
      <c r="D5311" s="359"/>
      <c r="E5311" s="215"/>
      <c r="F5311" s="511"/>
      <c r="G5311" s="518"/>
      <c r="H5311" s="458"/>
      <c r="I5311" s="452"/>
      <c r="J5311" s="515"/>
      <c r="K5311" s="452"/>
      <c r="L5311" s="185"/>
    </row>
    <row r="5312" spans="1:12">
      <c r="A5312" s="515"/>
      <c r="B5312" s="373" t="s">
        <v>3385</v>
      </c>
      <c r="C5312" s="359">
        <v>490</v>
      </c>
      <c r="D5312" s="359">
        <f>C5312*(1-0)*fcl</f>
        <v>1113.6363636363635</v>
      </c>
      <c r="E5312" s="215">
        <v>20</v>
      </c>
      <c r="F5312" s="511">
        <f>ROUNDUP(D5312+E5312,1)</f>
        <v>1133.6999999999998</v>
      </c>
      <c r="G5312" s="518" t="s">
        <v>8650</v>
      </c>
      <c r="H5312" s="458" t="str">
        <f>B5312</f>
        <v>REACT_60kVAR/380V_p7</v>
      </c>
      <c r="I5312" s="452"/>
      <c r="J5312" s="515" t="s">
        <v>5984</v>
      </c>
      <c r="K5312" s="452" t="s">
        <v>741</v>
      </c>
      <c r="L5312" s="185"/>
    </row>
    <row r="5313" spans="1:12">
      <c r="A5313" s="515"/>
      <c r="B5313" s="373" t="s">
        <v>5993</v>
      </c>
      <c r="C5313" s="359">
        <v>140</v>
      </c>
      <c r="D5313" s="359">
        <f>C5313*(1-0)*fcl</f>
        <v>318.18181818181813</v>
      </c>
      <c r="E5313" s="215">
        <v>20</v>
      </c>
      <c r="F5313" s="511">
        <f>ROUNDUP(D5313+E5313,1)</f>
        <v>338.20000000000005</v>
      </c>
      <c r="G5313" s="518" t="s">
        <v>8651</v>
      </c>
      <c r="H5313" s="458" t="str">
        <f>B5313</f>
        <v>COND_60kVAR/380V_p7</v>
      </c>
      <c r="I5313" s="452"/>
      <c r="J5313" s="515" t="s">
        <v>5984</v>
      </c>
      <c r="K5313" s="452" t="s">
        <v>741</v>
      </c>
      <c r="L5313" s="185"/>
    </row>
    <row r="5314" spans="1:12">
      <c r="A5314" s="515"/>
      <c r="B5314" s="398"/>
      <c r="C5314" s="359"/>
      <c r="D5314" s="359"/>
      <c r="E5314" s="215"/>
      <c r="F5314" s="511"/>
      <c r="G5314" s="518"/>
      <c r="H5314" s="458"/>
      <c r="I5314" s="452"/>
      <c r="J5314" s="515"/>
      <c r="K5314" s="452"/>
      <c r="L5314" s="185"/>
    </row>
    <row r="5315" spans="1:12">
      <c r="A5315" s="515"/>
      <c r="B5315" s="144"/>
      <c r="C5315" s="359"/>
      <c r="D5315" s="359"/>
      <c r="E5315" s="215"/>
      <c r="F5315" s="511"/>
      <c r="G5315" s="518"/>
      <c r="H5315" s="458"/>
      <c r="I5315" s="452"/>
      <c r="J5315" s="515"/>
      <c r="K5315" s="452"/>
      <c r="L5315" s="185"/>
    </row>
    <row r="5316" spans="1:12" ht="15.6">
      <c r="A5316" s="515"/>
      <c r="B5316" s="1410" t="s">
        <v>5994</v>
      </c>
      <c r="C5316" s="359"/>
      <c r="D5316" s="359"/>
      <c r="E5316" s="215"/>
      <c r="F5316" s="511"/>
      <c r="G5316" s="518"/>
      <c r="H5316" s="458"/>
      <c r="I5316" s="452"/>
      <c r="J5316" s="515"/>
      <c r="K5316" s="452"/>
      <c r="L5316" s="185"/>
    </row>
    <row r="5317" spans="1:12" s="112" customFormat="1">
      <c r="A5317" s="515"/>
      <c r="B5317" s="397"/>
      <c r="C5317" s="359"/>
      <c r="D5317" s="359"/>
      <c r="E5317" s="215"/>
      <c r="F5317" s="511"/>
      <c r="G5317" s="518"/>
      <c r="H5317" s="458"/>
      <c r="I5317" s="452"/>
      <c r="J5317" s="515"/>
      <c r="K5317" s="452"/>
    </row>
    <row r="5318" spans="1:12" s="112" customFormat="1">
      <c r="A5318" s="1399"/>
      <c r="B5318" s="373" t="s">
        <v>5995</v>
      </c>
      <c r="C5318" s="359">
        <v>250</v>
      </c>
      <c r="D5318" s="359">
        <f>C5318*(1-0)*fcl</f>
        <v>568.18181818181813</v>
      </c>
      <c r="E5318" s="215">
        <v>10</v>
      </c>
      <c r="F5318" s="511">
        <f>ROUNDUP(D5318+E5318,1)</f>
        <v>578.20000000000005</v>
      </c>
      <c r="G5318" s="518" t="s">
        <v>8653</v>
      </c>
      <c r="H5318" s="458" t="str">
        <f>B5318</f>
        <v>REACT_10kVAR/400V_p7</v>
      </c>
      <c r="I5318" s="452"/>
      <c r="J5318" s="515" t="s">
        <v>5984</v>
      </c>
      <c r="K5318" s="452" t="s">
        <v>741</v>
      </c>
    </row>
    <row r="5319" spans="1:12" s="112" customFormat="1">
      <c r="A5319" s="1399"/>
      <c r="B5319" s="373" t="s">
        <v>12336</v>
      </c>
      <c r="C5319" s="359">
        <v>80</v>
      </c>
      <c r="D5319" s="359">
        <f>C5319*(1-0)*fcl</f>
        <v>181.81818181818181</v>
      </c>
      <c r="E5319" s="215">
        <v>10</v>
      </c>
      <c r="F5319" s="511">
        <f>ROUNDUP(D5319+E5319,1)</f>
        <v>191.9</v>
      </c>
      <c r="G5319" s="518" t="s">
        <v>12337</v>
      </c>
      <c r="H5319" s="458" t="str">
        <f>B5319</f>
        <v>COND_10kVAR/400V_p7_CLZ</v>
      </c>
      <c r="I5319" s="452"/>
      <c r="J5319" s="515" t="s">
        <v>5984</v>
      </c>
      <c r="K5319" s="452" t="s">
        <v>741</v>
      </c>
    </row>
    <row r="5320" spans="1:12" s="112" customFormat="1">
      <c r="A5320" s="515"/>
      <c r="B5320" s="373"/>
      <c r="C5320" s="359"/>
      <c r="D5320" s="359"/>
      <c r="E5320" s="215"/>
      <c r="F5320" s="511"/>
      <c r="G5320" s="518"/>
      <c r="H5320" s="458"/>
      <c r="I5320" s="452"/>
      <c r="J5320" s="515"/>
      <c r="K5320" s="452"/>
    </row>
    <row r="5321" spans="1:12" s="112" customFormat="1">
      <c r="A5321" s="1399"/>
      <c r="B5321" s="373" t="s">
        <v>5996</v>
      </c>
      <c r="C5321" s="359"/>
      <c r="D5321" s="359">
        <f>C5321*(1-0)*fcl</f>
        <v>0</v>
      </c>
      <c r="E5321" s="215">
        <v>10</v>
      </c>
      <c r="F5321" s="511">
        <f>ROUNDUP(D5321+E5321,1)</f>
        <v>10</v>
      </c>
      <c r="G5321" s="518" t="s">
        <v>8654</v>
      </c>
      <c r="H5321" s="458" t="str">
        <f>B5321</f>
        <v>REACT_15kVAR/400V_p7</v>
      </c>
      <c r="I5321" s="452"/>
      <c r="J5321" s="515" t="s">
        <v>5984</v>
      </c>
      <c r="K5321" s="452" t="s">
        <v>741</v>
      </c>
    </row>
    <row r="5322" spans="1:12" s="112" customFormat="1">
      <c r="A5322" s="1399"/>
      <c r="B5322" s="373" t="s">
        <v>5997</v>
      </c>
      <c r="C5322" s="359"/>
      <c r="D5322" s="359">
        <f>C5322*(1-0)*fcl</f>
        <v>0</v>
      </c>
      <c r="E5322" s="215">
        <v>10</v>
      </c>
      <c r="F5322" s="511">
        <f>ROUNDUP(D5322+E5322,1)</f>
        <v>10</v>
      </c>
      <c r="G5322" s="518" t="s">
        <v>8655</v>
      </c>
      <c r="H5322" s="458" t="str">
        <f>B5322</f>
        <v>COND_15kVAR/400V_p7</v>
      </c>
      <c r="I5322" s="452"/>
      <c r="J5322" s="515" t="s">
        <v>5984</v>
      </c>
      <c r="K5322" s="452" t="s">
        <v>741</v>
      </c>
    </row>
    <row r="5323" spans="1:12" s="112" customFormat="1">
      <c r="A5323" s="1399"/>
      <c r="B5323" s="373" t="s">
        <v>12875</v>
      </c>
      <c r="C5323" s="359">
        <v>90</v>
      </c>
      <c r="D5323" s="215">
        <f>C5323*(1-0)*fcl</f>
        <v>204.54545454545453</v>
      </c>
      <c r="E5323" s="215">
        <v>10</v>
      </c>
      <c r="F5323" s="511">
        <f>ROUNDUP(D5323+E5323,1)</f>
        <v>214.6</v>
      </c>
      <c r="G5323" s="518" t="s">
        <v>11742</v>
      </c>
      <c r="H5323" s="458" t="str">
        <f>B5323</f>
        <v>COND_15kVAR/400V_p7-CLZ</v>
      </c>
      <c r="I5323" s="452"/>
      <c r="J5323" s="515" t="s">
        <v>5984</v>
      </c>
      <c r="K5323" s="452" t="s">
        <v>741</v>
      </c>
    </row>
    <row r="5324" spans="1:12" s="112" customFormat="1">
      <c r="A5324" s="515"/>
      <c r="B5324" s="373"/>
      <c r="C5324" s="359"/>
      <c r="D5324" s="359"/>
      <c r="E5324" s="215"/>
      <c r="F5324" s="511"/>
      <c r="G5324" s="518"/>
      <c r="H5324" s="458"/>
      <c r="I5324" s="452"/>
      <c r="J5324" s="515"/>
      <c r="K5324" s="452"/>
    </row>
    <row r="5325" spans="1:12" s="112" customFormat="1">
      <c r="A5325" s="1399"/>
      <c r="B5325" s="373" t="s">
        <v>5998</v>
      </c>
      <c r="C5325" s="359">
        <v>320</v>
      </c>
      <c r="D5325" s="359">
        <f>C5325*(1-0)*fcl</f>
        <v>727.27272727272725</v>
      </c>
      <c r="E5325" s="215">
        <v>10</v>
      </c>
      <c r="F5325" s="511">
        <f>ROUNDUP(D5325+E5325,1)</f>
        <v>737.30000000000007</v>
      </c>
      <c r="G5325" s="518" t="s">
        <v>11743</v>
      </c>
      <c r="H5325" s="458" t="str">
        <f>B5325</f>
        <v>REACT_20kVAR/400V_p7</v>
      </c>
      <c r="I5325" s="452"/>
      <c r="J5325" s="515" t="s">
        <v>5984</v>
      </c>
      <c r="K5325" s="452" t="s">
        <v>741</v>
      </c>
    </row>
    <row r="5326" spans="1:12" s="112" customFormat="1">
      <c r="A5326" s="1399"/>
      <c r="B5326" s="373" t="s">
        <v>12338</v>
      </c>
      <c r="C5326" s="359">
        <v>140</v>
      </c>
      <c r="D5326" s="359">
        <f>C5326*(1-0)*fcl</f>
        <v>318.18181818181813</v>
      </c>
      <c r="E5326" s="215">
        <v>10</v>
      </c>
      <c r="F5326" s="511">
        <f>ROUNDUP(D5326+E5326,1)</f>
        <v>328.20000000000005</v>
      </c>
      <c r="G5326" s="518" t="s">
        <v>11744</v>
      </c>
      <c r="H5326" s="458" t="str">
        <f>B5326</f>
        <v>COND_20kVAR/400V_p7_CLZ</v>
      </c>
      <c r="I5326" s="452"/>
      <c r="J5326" s="515" t="s">
        <v>5984</v>
      </c>
      <c r="K5326" s="452" t="s">
        <v>741</v>
      </c>
    </row>
    <row r="5327" spans="1:12" s="112" customFormat="1" ht="12" customHeight="1">
      <c r="A5327" s="1399"/>
      <c r="B5327" s="373" t="s">
        <v>11171</v>
      </c>
      <c r="D5327" s="359">
        <f>C5327*(1-0)*fcl</f>
        <v>0</v>
      </c>
      <c r="E5327" s="215">
        <v>10</v>
      </c>
      <c r="F5327" s="511">
        <f>ROUNDUP(D5327+E5327,1)</f>
        <v>10</v>
      </c>
      <c r="G5327" s="518" t="s">
        <v>11172</v>
      </c>
      <c r="H5327" s="1698" t="str">
        <f>B5327</f>
        <v>COND_20kVAR/400V_p7_CSB</v>
      </c>
      <c r="I5327" s="452"/>
      <c r="J5327" s="515" t="s">
        <v>5984</v>
      </c>
      <c r="K5327" s="452" t="s">
        <v>741</v>
      </c>
    </row>
    <row r="5328" spans="1:12" s="112" customFormat="1">
      <c r="A5328" s="515"/>
      <c r="B5328" s="373"/>
      <c r="C5328" s="359"/>
      <c r="D5328" s="359"/>
      <c r="E5328" s="215"/>
      <c r="F5328" s="511"/>
      <c r="G5328" s="518"/>
      <c r="H5328" s="458"/>
      <c r="I5328" s="452"/>
      <c r="J5328" s="515"/>
      <c r="K5328" s="452"/>
    </row>
    <row r="5329" spans="1:12" s="185" customFormat="1">
      <c r="A5329" s="515"/>
      <c r="B5329" s="2371" t="s">
        <v>13910</v>
      </c>
      <c r="C5329" s="359">
        <v>280</v>
      </c>
      <c r="D5329" s="215">
        <f>C5329*(1-0)*fcl</f>
        <v>636.36363636363626</v>
      </c>
      <c r="E5329" s="215">
        <v>20</v>
      </c>
      <c r="F5329" s="511">
        <f>ROUNDUP(D5329+E5329,1)</f>
        <v>656.4</v>
      </c>
      <c r="G5329" s="518" t="s">
        <v>13911</v>
      </c>
      <c r="H5329" s="458" t="str">
        <f>B5329</f>
        <v>REACT_25kVAR/400V_p7</v>
      </c>
      <c r="I5329" s="452"/>
      <c r="J5329" s="515" t="s">
        <v>5984</v>
      </c>
      <c r="K5329" s="452" t="s">
        <v>741</v>
      </c>
    </row>
    <row r="5330" spans="1:12" s="185" customFormat="1">
      <c r="A5330" s="515"/>
      <c r="B5330" s="373"/>
      <c r="C5330" s="359"/>
      <c r="D5330" s="215"/>
      <c r="E5330" s="215"/>
      <c r="F5330" s="511"/>
      <c r="G5330" s="518"/>
      <c r="H5330" s="458"/>
      <c r="I5330" s="452"/>
      <c r="J5330" s="515"/>
      <c r="K5330" s="452"/>
    </row>
    <row r="5331" spans="1:12" s="112" customFormat="1">
      <c r="A5331" s="515"/>
      <c r="B5331" s="373"/>
      <c r="C5331" s="359"/>
      <c r="D5331" s="359"/>
      <c r="E5331" s="215"/>
      <c r="F5331" s="511"/>
      <c r="G5331" s="518"/>
      <c r="H5331" s="458"/>
      <c r="I5331" s="452"/>
      <c r="J5331" s="515"/>
      <c r="K5331" s="452"/>
    </row>
    <row r="5332" spans="1:12" s="185" customFormat="1">
      <c r="A5332" s="1399"/>
      <c r="B5332" s="373" t="s">
        <v>5999</v>
      </c>
      <c r="C5332" s="359">
        <v>330</v>
      </c>
      <c r="D5332" s="215">
        <f>C5332*(1-0)*fcl</f>
        <v>749.99999999999989</v>
      </c>
      <c r="E5332" s="215">
        <v>20</v>
      </c>
      <c r="F5332" s="511">
        <f>ROUNDUP(D5332+E5332,1)</f>
        <v>770</v>
      </c>
      <c r="G5332" s="518" t="s">
        <v>11745</v>
      </c>
      <c r="H5332" s="458" t="str">
        <f>B5332</f>
        <v>REACT_30kVAR/400V_p7</v>
      </c>
      <c r="I5332" s="452"/>
      <c r="J5332" s="515" t="s">
        <v>5984</v>
      </c>
      <c r="K5332" s="452" t="s">
        <v>741</v>
      </c>
    </row>
    <row r="5333" spans="1:12" s="112" customFormat="1">
      <c r="A5333" s="1546"/>
      <c r="B5333" s="373" t="s">
        <v>12876</v>
      </c>
      <c r="C5333" s="359"/>
      <c r="D5333" s="359">
        <f>C5333*(1-0)*fcl</f>
        <v>0</v>
      </c>
      <c r="E5333" s="215">
        <v>20</v>
      </c>
      <c r="F5333" s="511">
        <f>ROUNDUP(D5333+E5333,1)</f>
        <v>20</v>
      </c>
      <c r="G5333" s="518" t="s">
        <v>8656</v>
      </c>
      <c r="H5333" s="458" t="str">
        <f>B5333</f>
        <v>COND_30kVAR/400V_p7_CLZ</v>
      </c>
      <c r="I5333" s="452"/>
      <c r="J5333" s="515" t="s">
        <v>5984</v>
      </c>
      <c r="K5333" s="452" t="s">
        <v>741</v>
      </c>
    </row>
    <row r="5334" spans="1:12" s="112" customFormat="1">
      <c r="A5334" s="515"/>
      <c r="B5334" s="373"/>
      <c r="C5334" s="359"/>
      <c r="D5334" s="359" t="s">
        <v>11746</v>
      </c>
      <c r="E5334" s="215"/>
      <c r="F5334" s="511"/>
      <c r="G5334" s="518"/>
      <c r="H5334" s="458"/>
      <c r="I5334" s="452"/>
      <c r="J5334" s="515"/>
      <c r="K5334" s="452"/>
    </row>
    <row r="5335" spans="1:12" s="185" customFormat="1">
      <c r="A5335" s="515"/>
      <c r="B5335" s="373" t="s">
        <v>6000</v>
      </c>
      <c r="C5335" s="359">
        <v>370</v>
      </c>
      <c r="D5335" s="215">
        <f>C5335*(1-0)*fcl</f>
        <v>840.90909090909076</v>
      </c>
      <c r="E5335" s="215">
        <v>20</v>
      </c>
      <c r="F5335" s="511">
        <f>ROUNDUP(D5335+E5335,1)</f>
        <v>861</v>
      </c>
      <c r="G5335" s="518" t="s">
        <v>11747</v>
      </c>
      <c r="H5335" s="458" t="str">
        <f>B5335</f>
        <v>REACT_40kVAR/400V_p7</v>
      </c>
      <c r="I5335" s="452"/>
      <c r="J5335" s="515" t="s">
        <v>5984</v>
      </c>
      <c r="K5335" s="452" t="s">
        <v>741</v>
      </c>
    </row>
    <row r="5336" spans="1:12" s="185" customFormat="1">
      <c r="A5336" s="515"/>
      <c r="B5336" s="373" t="s">
        <v>6001</v>
      </c>
      <c r="C5336" s="359"/>
      <c r="D5336" s="215">
        <f>C5336*(1-0)*fcl</f>
        <v>0</v>
      </c>
      <c r="E5336" s="215">
        <v>20</v>
      </c>
      <c r="F5336" s="511">
        <f>ROUNDUP(D5336+E5336,1)</f>
        <v>20</v>
      </c>
      <c r="G5336" s="518" t="s">
        <v>11748</v>
      </c>
      <c r="H5336" s="458" t="str">
        <f>B5336</f>
        <v>COND_40kVAR/400V_p7</v>
      </c>
      <c r="I5336" s="452"/>
      <c r="J5336" s="515" t="s">
        <v>5984</v>
      </c>
      <c r="K5336" s="452" t="s">
        <v>741</v>
      </c>
    </row>
    <row r="5337" spans="1:12" s="112" customFormat="1">
      <c r="A5337" s="1399"/>
      <c r="B5337" s="373" t="s">
        <v>11173</v>
      </c>
      <c r="D5337" s="359">
        <f>C5337*(1-0)*fcl</f>
        <v>0</v>
      </c>
      <c r="E5337" s="215">
        <v>10</v>
      </c>
      <c r="F5337" s="511">
        <f>ROUNDUP(D5337+E5337,1)</f>
        <v>10</v>
      </c>
      <c r="G5337" s="518" t="s">
        <v>11174</v>
      </c>
      <c r="H5337" s="1698" t="str">
        <f>B5337</f>
        <v>COND_40kVAR/400V_p7_CSB</v>
      </c>
      <c r="I5337" s="452"/>
      <c r="J5337" s="515" t="s">
        <v>5984</v>
      </c>
      <c r="K5337" s="452" t="s">
        <v>741</v>
      </c>
    </row>
    <row r="5338" spans="1:12" s="185" customFormat="1">
      <c r="A5338" s="515"/>
      <c r="B5338" s="373"/>
      <c r="C5338" s="359"/>
      <c r="D5338" s="359"/>
      <c r="E5338" s="215"/>
      <c r="F5338" s="511"/>
      <c r="G5338" s="518"/>
      <c r="H5338" s="458"/>
      <c r="I5338" s="452"/>
      <c r="J5338" s="515"/>
      <c r="K5338" s="452"/>
    </row>
    <row r="5339" spans="1:12" s="185" customFormat="1">
      <c r="A5339" s="515"/>
      <c r="B5339" s="2371" t="s">
        <v>13912</v>
      </c>
      <c r="C5339" s="359">
        <v>380</v>
      </c>
      <c r="D5339" s="215">
        <f>C5339*(1-0)*fcl</f>
        <v>863.63636363636351</v>
      </c>
      <c r="E5339" s="215">
        <v>20</v>
      </c>
      <c r="F5339" s="511">
        <f>ROUNDUP(D5339+E5339,1)</f>
        <v>883.7</v>
      </c>
      <c r="G5339" s="518" t="s">
        <v>13913</v>
      </c>
      <c r="H5339" s="458" t="str">
        <f>B5339</f>
        <v>REACT_50kVAR/400V_p7</v>
      </c>
      <c r="I5339" s="452"/>
      <c r="J5339" s="515" t="s">
        <v>5984</v>
      </c>
      <c r="K5339" s="452" t="s">
        <v>741</v>
      </c>
    </row>
    <row r="5340" spans="1:12" s="185" customFormat="1">
      <c r="A5340" s="515"/>
      <c r="B5340" s="373"/>
      <c r="C5340" s="359"/>
      <c r="D5340" s="215"/>
      <c r="E5340" s="215"/>
      <c r="F5340" s="511"/>
      <c r="G5340" s="518"/>
      <c r="H5340" s="458"/>
      <c r="I5340" s="452"/>
      <c r="J5340" s="515"/>
      <c r="K5340" s="452"/>
    </row>
    <row r="5341" spans="1:12" s="185" customFormat="1">
      <c r="A5341" s="515"/>
      <c r="B5341" s="373"/>
      <c r="C5341" s="359"/>
      <c r="D5341" s="359"/>
      <c r="E5341" s="215"/>
      <c r="F5341" s="511"/>
      <c r="G5341" s="518"/>
      <c r="H5341" s="458"/>
      <c r="I5341" s="452"/>
      <c r="J5341" s="515"/>
      <c r="K5341" s="452"/>
    </row>
    <row r="5342" spans="1:12" s="185" customFormat="1">
      <c r="A5342" s="515"/>
      <c r="B5342" s="373" t="s">
        <v>6002</v>
      </c>
      <c r="C5342" s="359"/>
      <c r="D5342" s="359">
        <f>C5342*(1-0)*fcl</f>
        <v>0</v>
      </c>
      <c r="E5342" s="215">
        <v>20</v>
      </c>
      <c r="F5342" s="511">
        <f>ROUNDUP(D5342+E5342,1)</f>
        <v>20</v>
      </c>
      <c r="G5342" s="518" t="s">
        <v>8650</v>
      </c>
      <c r="H5342" s="458" t="str">
        <f>B5342</f>
        <v>REACT_60kVAR/400V_p7</v>
      </c>
      <c r="I5342" s="452"/>
      <c r="J5342" s="515" t="s">
        <v>5984</v>
      </c>
      <c r="K5342" s="452" t="s">
        <v>741</v>
      </c>
    </row>
    <row r="5343" spans="1:12">
      <c r="A5343" s="515"/>
      <c r="B5343" s="373" t="s">
        <v>8657</v>
      </c>
      <c r="C5343" s="359"/>
      <c r="D5343" s="359">
        <f>C5343*(1-0)*fcl</f>
        <v>0</v>
      </c>
      <c r="E5343" s="215">
        <v>20</v>
      </c>
      <c r="F5343" s="511">
        <f>ROUNDUP(D5343+E5343,1)</f>
        <v>20</v>
      </c>
      <c r="G5343" s="518" t="s">
        <v>11138</v>
      </c>
      <c r="H5343" s="458" t="str">
        <f>B5343</f>
        <v>COND_60kVAR/400V_p7</v>
      </c>
      <c r="I5343" s="452"/>
      <c r="J5343" s="515" t="s">
        <v>5984</v>
      </c>
      <c r="K5343" s="452" t="s">
        <v>741</v>
      </c>
      <c r="L5343" s="185"/>
    </row>
    <row r="5344" spans="1:12" s="112" customFormat="1">
      <c r="A5344" s="515"/>
      <c r="B5344" s="373"/>
      <c r="C5344" s="359"/>
      <c r="D5344" s="359"/>
      <c r="E5344" s="215"/>
      <c r="F5344" s="511"/>
      <c r="G5344" s="518"/>
      <c r="H5344" s="458"/>
      <c r="I5344" s="452"/>
      <c r="J5344" s="515"/>
      <c r="K5344" s="452"/>
    </row>
    <row r="5345" spans="1:12" s="185" customFormat="1">
      <c r="A5345" s="515"/>
      <c r="B5345" s="373" t="s">
        <v>6003</v>
      </c>
      <c r="C5345" s="359">
        <v>470</v>
      </c>
      <c r="D5345" s="359">
        <f>C5345*(1-0)*fcl</f>
        <v>1068.181818181818</v>
      </c>
      <c r="E5345" s="215">
        <v>20</v>
      </c>
      <c r="F5345" s="511">
        <f>ROUNDUP(D5345+E5345,1)</f>
        <v>1088.1999999999998</v>
      </c>
      <c r="G5345" s="518" t="s">
        <v>8652</v>
      </c>
      <c r="H5345" s="458" t="str">
        <f>B5345</f>
        <v>REACT_80kVAR/400V_p7</v>
      </c>
      <c r="I5345" s="452"/>
      <c r="J5345" s="515" t="s">
        <v>5984</v>
      </c>
      <c r="K5345" s="452" t="s">
        <v>741</v>
      </c>
    </row>
    <row r="5346" spans="1:12" s="112" customFormat="1">
      <c r="A5346" s="515"/>
      <c r="B5346" s="373" t="s">
        <v>9760</v>
      </c>
      <c r="C5346" s="359"/>
      <c r="D5346" s="359">
        <f>C5346*(1-0)*fcl</f>
        <v>0</v>
      </c>
      <c r="E5346" s="215">
        <v>20</v>
      </c>
      <c r="F5346" s="511">
        <f>ROUNDUP(D5346+E5346,1)</f>
        <v>20</v>
      </c>
      <c r="G5346" s="518" t="s">
        <v>11139</v>
      </c>
      <c r="H5346" s="458"/>
      <c r="I5346" s="452"/>
      <c r="J5346" s="515"/>
      <c r="K5346" s="452"/>
    </row>
    <row r="5347" spans="1:12" s="112" customFormat="1">
      <c r="A5347" s="515"/>
      <c r="B5347" s="398" t="s">
        <v>11140</v>
      </c>
      <c r="C5347" s="359">
        <v>990</v>
      </c>
      <c r="D5347" s="359">
        <f>C5347*(1-0)*fcl</f>
        <v>2249.9999999999995</v>
      </c>
      <c r="E5347" s="215">
        <v>20</v>
      </c>
      <c r="F5347" s="511">
        <f>ROUNDUP(D5347+E5347,1)</f>
        <v>2270</v>
      </c>
      <c r="G5347" s="518" t="s">
        <v>11141</v>
      </c>
      <c r="H5347" s="458"/>
      <c r="I5347" s="452"/>
      <c r="J5347" s="515"/>
      <c r="K5347" s="452"/>
    </row>
    <row r="5348" spans="1:12" s="112" customFormat="1">
      <c r="A5348" s="515"/>
      <c r="B5348" s="144"/>
      <c r="C5348" s="359"/>
      <c r="D5348" s="359"/>
      <c r="E5348" s="215"/>
      <c r="F5348" s="511"/>
      <c r="G5348" s="518"/>
      <c r="H5348" s="458"/>
      <c r="I5348" s="452"/>
      <c r="J5348" s="515"/>
      <c r="K5348" s="452"/>
    </row>
    <row r="5349" spans="1:12" s="112" customFormat="1">
      <c r="A5349" s="515"/>
      <c r="B5349" s="144"/>
      <c r="C5349" s="359"/>
      <c r="D5349" s="359"/>
      <c r="E5349" s="215"/>
      <c r="F5349" s="511"/>
      <c r="G5349" s="518"/>
      <c r="H5349" s="458"/>
      <c r="I5349" s="452"/>
      <c r="J5349" s="515"/>
      <c r="K5349" s="452"/>
    </row>
    <row r="5350" spans="1:12" s="112" customFormat="1" ht="15.6">
      <c r="A5350" s="515"/>
      <c r="B5350" s="1410"/>
      <c r="C5350" s="359"/>
      <c r="D5350" s="359"/>
      <c r="E5350" s="215"/>
      <c r="F5350" s="511"/>
      <c r="G5350" s="518"/>
      <c r="H5350" s="458"/>
      <c r="I5350" s="452"/>
      <c r="J5350" s="515"/>
      <c r="K5350" s="452"/>
    </row>
    <row r="5351" spans="1:12" s="185" customFormat="1">
      <c r="A5351" s="515"/>
      <c r="B5351" s="144"/>
      <c r="C5351" s="359"/>
      <c r="D5351" s="359"/>
      <c r="E5351" s="215"/>
      <c r="F5351" s="511"/>
      <c r="G5351" s="518"/>
      <c r="H5351" s="458"/>
      <c r="I5351" s="452"/>
      <c r="J5351" s="515"/>
      <c r="K5351" s="452"/>
    </row>
    <row r="5352" spans="1:12" s="112" customFormat="1">
      <c r="A5352" s="515"/>
      <c r="B5352" s="144"/>
      <c r="C5352" s="359"/>
      <c r="D5352" s="359"/>
      <c r="E5352" s="215"/>
      <c r="F5352" s="511"/>
      <c r="G5352" s="518"/>
      <c r="H5352" s="458"/>
      <c r="I5352" s="452"/>
      <c r="J5352" s="515"/>
      <c r="K5352" s="452"/>
    </row>
    <row r="5353" spans="1:12" s="112" customFormat="1" ht="15.6">
      <c r="A5353" s="515"/>
      <c r="B5353" s="1410" t="s">
        <v>6004</v>
      </c>
      <c r="C5353" s="359"/>
      <c r="D5353" s="359"/>
      <c r="E5353" s="215"/>
      <c r="F5353" s="511"/>
      <c r="H5353" s="458"/>
      <c r="I5353" s="452"/>
      <c r="J5353" s="515"/>
      <c r="K5353" s="452"/>
    </row>
    <row r="5354" spans="1:12" s="185" customFormat="1">
      <c r="A5354" s="515"/>
      <c r="B5354" s="397"/>
      <c r="C5354" s="359"/>
      <c r="D5354" s="359"/>
      <c r="E5354" s="215"/>
      <c r="F5354" s="511"/>
      <c r="H5354" s="458"/>
      <c r="I5354" s="452"/>
      <c r="J5354" s="515"/>
      <c r="K5354" s="452"/>
    </row>
    <row r="5355" spans="1:12">
      <c r="A5355" s="1365"/>
      <c r="B5355" s="373" t="s">
        <v>6005</v>
      </c>
      <c r="C5355" s="359"/>
      <c r="D5355" s="359">
        <f>C5355*(1-0)*fcl</f>
        <v>0</v>
      </c>
      <c r="E5355" s="215">
        <v>20</v>
      </c>
      <c r="F5355" s="511">
        <f>ROUNDUP(D5355+E5355,1)</f>
        <v>20</v>
      </c>
      <c r="G5355" s="518" t="s">
        <v>8658</v>
      </c>
      <c r="H5355" s="458" t="str">
        <f>B5355</f>
        <v>REACT_60kVAR/440V_p7</v>
      </c>
      <c r="I5355" s="452"/>
      <c r="J5355" s="515" t="s">
        <v>5984</v>
      </c>
      <c r="K5355" s="452" t="s">
        <v>741</v>
      </c>
      <c r="L5355" s="185"/>
    </row>
    <row r="5356" spans="1:12">
      <c r="A5356" s="1365"/>
      <c r="B5356" s="373" t="s">
        <v>6006</v>
      </c>
      <c r="C5356" s="359"/>
      <c r="D5356" s="359">
        <f>C5356*(1-0)*fcl</f>
        <v>0</v>
      </c>
      <c r="E5356" s="215">
        <v>20</v>
      </c>
      <c r="F5356" s="511">
        <f>ROUNDUP(D5356+E5356,1)</f>
        <v>20</v>
      </c>
      <c r="G5356" s="518" t="s">
        <v>8659</v>
      </c>
      <c r="H5356" s="458" t="str">
        <f>B5356</f>
        <v>COND_60kVAR/440V_p7</v>
      </c>
      <c r="I5356" s="452"/>
      <c r="J5356" s="515" t="s">
        <v>5984</v>
      </c>
      <c r="K5356" s="452" t="s">
        <v>741</v>
      </c>
      <c r="L5356" s="185"/>
    </row>
    <row r="5357" spans="1:12">
      <c r="A5357" s="515"/>
      <c r="B5357" s="398"/>
      <c r="C5357" s="359"/>
      <c r="D5357" s="359"/>
      <c r="E5357" s="215"/>
      <c r="F5357" s="511"/>
      <c r="G5357" s="518"/>
      <c r="H5357" s="458"/>
      <c r="I5357" s="452"/>
      <c r="J5357" s="515"/>
      <c r="K5357" s="452"/>
      <c r="L5357" s="185"/>
    </row>
    <row r="5358" spans="1:12" s="1397" customFormat="1">
      <c r="A5358" s="1399"/>
      <c r="B5358" s="2161" t="s">
        <v>13914</v>
      </c>
      <c r="C5358" s="1833">
        <v>85</v>
      </c>
      <c r="D5358" s="1833">
        <f>C5358*(1-0)*fcl</f>
        <v>193.18181818181816</v>
      </c>
      <c r="E5358" s="1388">
        <v>20</v>
      </c>
      <c r="F5358" s="517">
        <f>ROUNDUP(D5358+E5358,1)</f>
        <v>213.2</v>
      </c>
      <c r="G5358" s="1656" t="s">
        <v>13915</v>
      </c>
      <c r="H5358" s="2168" t="str">
        <f>B5358</f>
        <v>COND_25kVAR/440V_p7</v>
      </c>
      <c r="I5358" s="544"/>
      <c r="J5358" s="1399" t="s">
        <v>5984</v>
      </c>
      <c r="K5358" s="544" t="s">
        <v>741</v>
      </c>
    </row>
    <row r="5359" spans="1:12" s="1397" customFormat="1">
      <c r="A5359" s="1399"/>
      <c r="B5359" s="2161" t="s">
        <v>13916</v>
      </c>
      <c r="C5359" s="1833">
        <v>100</v>
      </c>
      <c r="D5359" s="1833">
        <f>C5359*(1-0)*fcl</f>
        <v>227.27272727272725</v>
      </c>
      <c r="E5359" s="1388">
        <v>20</v>
      </c>
      <c r="F5359" s="517">
        <f>ROUNDUP(D5359+E5359,1)</f>
        <v>247.29999999999998</v>
      </c>
      <c r="G5359" s="1656" t="s">
        <v>13917</v>
      </c>
      <c r="H5359" s="2168" t="str">
        <f>B5359</f>
        <v>COND_30kVAR/440V_p7</v>
      </c>
      <c r="I5359" s="544"/>
      <c r="J5359" s="1399" t="s">
        <v>5984</v>
      </c>
      <c r="K5359" s="544" t="s">
        <v>741</v>
      </c>
    </row>
    <row r="5360" spans="1:12" s="1397" customFormat="1">
      <c r="A5360" s="1399"/>
      <c r="B5360" s="2161" t="s">
        <v>13918</v>
      </c>
      <c r="C5360" s="1833">
        <v>135</v>
      </c>
      <c r="D5360" s="1833">
        <f>C5360*(1-0)*fcl</f>
        <v>306.81818181818181</v>
      </c>
      <c r="E5360" s="1388">
        <v>20</v>
      </c>
      <c r="F5360" s="517">
        <f>ROUNDUP(D5360+E5360,1)</f>
        <v>326.90000000000003</v>
      </c>
      <c r="G5360" s="1656" t="s">
        <v>13919</v>
      </c>
      <c r="H5360" s="2168" t="str">
        <f>B5360</f>
        <v>COND_40kVAR/440V_p7</v>
      </c>
      <c r="I5360" s="544"/>
      <c r="J5360" s="1399" t="s">
        <v>5984</v>
      </c>
      <c r="K5360" s="544" t="s">
        <v>741</v>
      </c>
    </row>
    <row r="5361" spans="1:12">
      <c r="A5361" s="515"/>
      <c r="B5361" s="398"/>
      <c r="C5361" s="359"/>
      <c r="D5361" s="359"/>
      <c r="E5361" s="215"/>
      <c r="F5361" s="511"/>
      <c r="G5361" s="518"/>
      <c r="H5361" s="458"/>
      <c r="I5361" s="452"/>
      <c r="J5361" s="515"/>
      <c r="K5361" s="452"/>
      <c r="L5361" s="185"/>
    </row>
    <row r="5362" spans="1:12" s="185" customFormat="1">
      <c r="A5362" s="515"/>
      <c r="B5362" s="397"/>
      <c r="C5362" s="359"/>
      <c r="D5362" s="359"/>
      <c r="E5362" s="215"/>
      <c r="F5362" s="511"/>
      <c r="H5362" s="458"/>
      <c r="I5362" s="452"/>
      <c r="J5362" s="515"/>
      <c r="K5362" s="452"/>
    </row>
    <row r="5363" spans="1:12">
      <c r="A5363" s="1365"/>
      <c r="B5363" s="373" t="s">
        <v>12269</v>
      </c>
      <c r="C5363" s="359">
        <v>60</v>
      </c>
      <c r="D5363" s="359">
        <f>C5363*(1-0)*fcl</f>
        <v>136.36363636363635</v>
      </c>
      <c r="E5363" s="215">
        <v>20</v>
      </c>
      <c r="F5363" s="511">
        <f>ROUNDUP(D5363+E5363,1)</f>
        <v>156.4</v>
      </c>
      <c r="G5363" s="518" t="s">
        <v>12270</v>
      </c>
      <c r="H5363" s="458" t="str">
        <f>B5363</f>
        <v>COND_4.0kVAR/440V_p7</v>
      </c>
      <c r="I5363" s="452"/>
      <c r="J5363" s="515" t="s">
        <v>5984</v>
      </c>
      <c r="K5363" s="452" t="s">
        <v>741</v>
      </c>
      <c r="L5363" s="185"/>
    </row>
    <row r="5364" spans="1:12">
      <c r="A5364" s="1365"/>
      <c r="B5364" s="373" t="s">
        <v>12271</v>
      </c>
      <c r="C5364" s="359">
        <v>95</v>
      </c>
      <c r="D5364" s="359">
        <f>C5364*(1-0)*fcl</f>
        <v>215.90909090909088</v>
      </c>
      <c r="E5364" s="215">
        <v>20</v>
      </c>
      <c r="F5364" s="511">
        <f>ROUNDUP(D5364+E5364,1)</f>
        <v>236</v>
      </c>
      <c r="G5364" s="518" t="s">
        <v>12272</v>
      </c>
      <c r="H5364" s="458" t="str">
        <f>B5364</f>
        <v>COND_9.4kVAR/440V_p7</v>
      </c>
      <c r="I5364" s="452"/>
      <c r="J5364" s="515" t="s">
        <v>5984</v>
      </c>
      <c r="K5364" s="452" t="s">
        <v>741</v>
      </c>
      <c r="L5364" s="185"/>
    </row>
    <row r="5365" spans="1:12">
      <c r="A5365" s="1365"/>
      <c r="B5365" s="373" t="s">
        <v>12273</v>
      </c>
      <c r="C5365" s="359">
        <v>232</v>
      </c>
      <c r="D5365" s="359">
        <f>C5365*(1-0)*fcl</f>
        <v>527.27272727272725</v>
      </c>
      <c r="E5365" s="215">
        <v>20</v>
      </c>
      <c r="F5365" s="511">
        <f>ROUNDUP(D5365+E5365,1)</f>
        <v>547.30000000000007</v>
      </c>
      <c r="G5365" s="518" t="s">
        <v>12274</v>
      </c>
      <c r="H5365" s="458" t="str">
        <f>B5365</f>
        <v>COND_10.75kVAR/440V_p7</v>
      </c>
      <c r="I5365" s="452"/>
      <c r="J5365" s="515" t="s">
        <v>5984</v>
      </c>
      <c r="K5365" s="452" t="s">
        <v>741</v>
      </c>
      <c r="L5365" s="185"/>
    </row>
    <row r="5366" spans="1:12">
      <c r="A5366" s="515"/>
      <c r="B5366" s="398"/>
      <c r="C5366" s="359"/>
      <c r="D5366" s="359"/>
      <c r="E5366" s="215"/>
      <c r="F5366" s="511"/>
      <c r="G5366" s="518"/>
      <c r="H5366" s="458"/>
      <c r="I5366" s="452"/>
      <c r="J5366" s="515"/>
      <c r="K5366" s="452"/>
      <c r="L5366" s="185"/>
    </row>
    <row r="5367" spans="1:12">
      <c r="A5367" s="515"/>
      <c r="B5367" s="144"/>
      <c r="C5367" s="359"/>
      <c r="D5367" s="359"/>
      <c r="E5367" s="215"/>
      <c r="F5367" s="511"/>
      <c r="G5367" s="518"/>
      <c r="H5367" s="458"/>
      <c r="I5367" s="452"/>
      <c r="J5367" s="515"/>
      <c r="K5367" s="452"/>
      <c r="L5367" s="185"/>
    </row>
    <row r="5368" spans="1:12" ht="15.6">
      <c r="A5368" s="515"/>
      <c r="B5368" s="1410" t="s">
        <v>6007</v>
      </c>
      <c r="C5368" s="359"/>
      <c r="D5368" s="359"/>
      <c r="E5368" s="215"/>
      <c r="F5368" s="511"/>
      <c r="G5368" s="518"/>
      <c r="H5368" s="458"/>
      <c r="I5368" s="452"/>
      <c r="J5368" s="515"/>
      <c r="K5368" s="452"/>
      <c r="L5368" s="185"/>
    </row>
    <row r="5369" spans="1:12">
      <c r="A5369" s="515"/>
      <c r="B5369" s="397"/>
      <c r="C5369" s="359"/>
      <c r="D5369" s="359"/>
      <c r="E5369" s="215"/>
      <c r="F5369" s="511"/>
      <c r="G5369" s="518"/>
      <c r="H5369" s="518"/>
      <c r="I5369" s="452"/>
      <c r="J5369" s="515"/>
      <c r="K5369" s="452"/>
    </row>
    <row r="5370" spans="1:12" s="112" customFormat="1">
      <c r="A5370" s="515"/>
      <c r="B5370" s="373" t="s">
        <v>5175</v>
      </c>
      <c r="C5370" s="359"/>
      <c r="D5370" s="359">
        <f>C5370*(1-0)*fcl</f>
        <v>0</v>
      </c>
      <c r="E5370" s="215">
        <v>20</v>
      </c>
      <c r="F5370" s="511">
        <f>ROUNDUP(D5370+E5370,1)</f>
        <v>20</v>
      </c>
      <c r="G5370" s="518" t="s">
        <v>8660</v>
      </c>
      <c r="H5370" s="458" t="str">
        <f>B5370</f>
        <v>COND_30kVAR/460V</v>
      </c>
      <c r="I5370" s="452"/>
      <c r="J5370" s="515" t="s">
        <v>5984</v>
      </c>
      <c r="K5370" s="452" t="s">
        <v>741</v>
      </c>
    </row>
    <row r="5371" spans="1:12" s="112" customFormat="1">
      <c r="A5371" s="515"/>
      <c r="B5371" s="398"/>
      <c r="C5371" s="359"/>
      <c r="D5371" s="359"/>
      <c r="E5371" s="215"/>
      <c r="F5371" s="511"/>
      <c r="G5371" s="518"/>
      <c r="H5371" s="458"/>
      <c r="I5371" s="452"/>
      <c r="J5371" s="515"/>
      <c r="K5371" s="452"/>
    </row>
    <row r="5372" spans="1:12" s="112" customFormat="1">
      <c r="A5372" s="515"/>
      <c r="B5372" s="144"/>
      <c r="C5372" s="359"/>
      <c r="D5372" s="359"/>
      <c r="E5372" s="215"/>
      <c r="F5372" s="511"/>
      <c r="G5372" s="518"/>
      <c r="H5372" s="458"/>
      <c r="I5372" s="452"/>
      <c r="J5372" s="515"/>
      <c r="K5372" s="452"/>
    </row>
    <row r="5373" spans="1:12" s="112" customFormat="1" ht="15.6">
      <c r="A5373" s="515"/>
      <c r="B5373" s="1410" t="s">
        <v>6007</v>
      </c>
      <c r="C5373" s="359"/>
      <c r="D5373" s="359"/>
      <c r="E5373" s="215"/>
      <c r="F5373" s="511"/>
      <c r="H5373" s="458"/>
      <c r="I5373" s="452"/>
      <c r="J5373" s="515"/>
      <c r="K5373" s="452"/>
    </row>
    <row r="5374" spans="1:12">
      <c r="A5374" s="1365"/>
      <c r="B5374" s="397" t="s">
        <v>8661</v>
      </c>
      <c r="C5374" s="359"/>
      <c r="D5374" s="359">
        <f>C5374*(1-0)*fcl</f>
        <v>0</v>
      </c>
      <c r="E5374" s="215">
        <v>10</v>
      </c>
      <c r="F5374" s="511">
        <f>ROUNDUP(D5374+E5374,1)</f>
        <v>10</v>
      </c>
      <c r="G5374" s="20" t="s">
        <v>8662</v>
      </c>
      <c r="H5374" s="458" t="str">
        <f>B5374</f>
        <v>REACT_15kVAR/460V</v>
      </c>
      <c r="I5374" s="452"/>
      <c r="J5374" s="515" t="s">
        <v>5984</v>
      </c>
      <c r="K5374" s="452" t="s">
        <v>741</v>
      </c>
      <c r="L5374" s="185"/>
    </row>
    <row r="5375" spans="1:12">
      <c r="A5375" s="1365"/>
      <c r="B5375" s="373" t="s">
        <v>8663</v>
      </c>
      <c r="C5375" s="359"/>
      <c r="D5375" s="359">
        <f>C5375*(1-0)*fcl</f>
        <v>0</v>
      </c>
      <c r="E5375" s="215">
        <v>10</v>
      </c>
      <c r="F5375" s="511">
        <f>ROUNDUP(D5375+E5375,1)</f>
        <v>10</v>
      </c>
      <c r="G5375" s="19" t="s">
        <v>8664</v>
      </c>
      <c r="H5375" s="458" t="str">
        <f>B5375</f>
        <v>COND_15kVAR/460V</v>
      </c>
      <c r="I5375" s="452"/>
      <c r="J5375" s="515" t="s">
        <v>5984</v>
      </c>
      <c r="K5375" s="452" t="s">
        <v>741</v>
      </c>
      <c r="L5375" s="185"/>
    </row>
    <row r="5376" spans="1:12">
      <c r="A5376" s="1365"/>
      <c r="B5376" s="373"/>
      <c r="C5376" s="359"/>
      <c r="D5376" s="359"/>
      <c r="E5376" s="215"/>
      <c r="F5376" s="511"/>
      <c r="G5376" s="19"/>
      <c r="H5376" s="458"/>
      <c r="I5376" s="452"/>
      <c r="J5376" s="515"/>
      <c r="K5376" s="452"/>
      <c r="L5376" s="185"/>
    </row>
    <row r="5377" spans="1:12">
      <c r="A5377" s="1365"/>
      <c r="B5377" s="373" t="s">
        <v>8665</v>
      </c>
      <c r="C5377" s="359"/>
      <c r="D5377" s="359">
        <f>C5377*(1-0)*fcl</f>
        <v>0</v>
      </c>
      <c r="E5377" s="215">
        <v>10</v>
      </c>
      <c r="F5377" s="511">
        <f>ROUNDUP(D5377+E5377,1)</f>
        <v>10</v>
      </c>
      <c r="G5377" s="20" t="s">
        <v>8666</v>
      </c>
      <c r="H5377" s="458" t="str">
        <f>B5377</f>
        <v>REACT_30kVAR/460V</v>
      </c>
      <c r="I5377" s="452"/>
      <c r="J5377" s="515" t="s">
        <v>5984</v>
      </c>
      <c r="K5377" s="452" t="s">
        <v>741</v>
      </c>
      <c r="L5377" s="185"/>
    </row>
    <row r="5378" spans="1:12">
      <c r="A5378" s="1365"/>
      <c r="B5378" s="373" t="s">
        <v>5175</v>
      </c>
      <c r="C5378" s="359"/>
      <c r="D5378" s="359">
        <f>C5378*(1-0)*fcl</f>
        <v>0</v>
      </c>
      <c r="E5378" s="215">
        <v>10</v>
      </c>
      <c r="F5378" s="511">
        <f>ROUNDUP(D5378+E5378,1)</f>
        <v>10</v>
      </c>
      <c r="G5378" s="19" t="s">
        <v>8667</v>
      </c>
      <c r="H5378" s="458" t="str">
        <f>B5378</f>
        <v>COND_30kVAR/460V</v>
      </c>
      <c r="I5378" s="452"/>
      <c r="J5378" s="515" t="s">
        <v>5984</v>
      </c>
      <c r="K5378" s="452" t="s">
        <v>741</v>
      </c>
      <c r="L5378" s="185"/>
    </row>
    <row r="5379" spans="1:12" s="185" customFormat="1">
      <c r="A5379" s="515"/>
      <c r="B5379" s="373"/>
      <c r="C5379" s="359"/>
      <c r="D5379" s="359"/>
      <c r="E5379" s="215"/>
      <c r="F5379" s="511"/>
      <c r="H5379" s="458"/>
      <c r="I5379" s="452"/>
      <c r="J5379" s="515"/>
      <c r="K5379" s="452"/>
    </row>
    <row r="5380" spans="1:12">
      <c r="A5380" s="1365"/>
      <c r="B5380" s="373" t="s">
        <v>8668</v>
      </c>
      <c r="C5380" s="359"/>
      <c r="D5380" s="359">
        <f>C5380*(1-0)*fcl</f>
        <v>0</v>
      </c>
      <c r="E5380" s="215">
        <v>10</v>
      </c>
      <c r="F5380" s="511">
        <f>ROUNDUP(D5380+E5380,1)</f>
        <v>10</v>
      </c>
      <c r="G5380" s="20" t="s">
        <v>8669</v>
      </c>
      <c r="H5380" s="458" t="str">
        <f>B5380</f>
        <v>REACT_40kVAR/460V</v>
      </c>
      <c r="I5380" s="452"/>
      <c r="J5380" s="515" t="s">
        <v>5984</v>
      </c>
      <c r="K5380" s="452" t="s">
        <v>741</v>
      </c>
      <c r="L5380" s="185"/>
    </row>
    <row r="5381" spans="1:12">
      <c r="A5381" s="1365"/>
      <c r="B5381" s="373" t="s">
        <v>8670</v>
      </c>
      <c r="C5381" s="359"/>
      <c r="D5381" s="359">
        <f>C5381*(1-0)*fcl</f>
        <v>0</v>
      </c>
      <c r="E5381" s="215">
        <v>10</v>
      </c>
      <c r="F5381" s="511">
        <f>ROUNDUP(D5381+E5381,1)</f>
        <v>10</v>
      </c>
      <c r="G5381" s="19" t="s">
        <v>8671</v>
      </c>
      <c r="H5381" s="458" t="str">
        <f>B5381</f>
        <v>COND_40kVAR/460V</v>
      </c>
      <c r="I5381" s="452"/>
      <c r="J5381" s="515" t="s">
        <v>5984</v>
      </c>
      <c r="K5381" s="452" t="s">
        <v>741</v>
      </c>
      <c r="L5381" s="185"/>
    </row>
    <row r="5382" spans="1:12">
      <c r="A5382" s="515"/>
      <c r="B5382" s="398"/>
      <c r="C5382" s="359"/>
      <c r="D5382" s="359"/>
      <c r="E5382" s="215"/>
      <c r="F5382" s="511"/>
      <c r="G5382" s="518"/>
      <c r="H5382" s="458"/>
      <c r="I5382" s="452"/>
      <c r="J5382" s="515"/>
      <c r="K5382" s="452"/>
      <c r="L5382" s="185"/>
    </row>
    <row r="5383" spans="1:12" s="185" customFormat="1">
      <c r="A5383" s="515"/>
      <c r="B5383" s="144"/>
      <c r="C5383" s="359"/>
      <c r="D5383" s="359"/>
      <c r="E5383" s="215"/>
      <c r="F5383" s="511"/>
      <c r="G5383" s="518"/>
      <c r="H5383" s="458"/>
      <c r="I5383" s="452"/>
      <c r="J5383" s="515"/>
      <c r="K5383" s="452"/>
    </row>
    <row r="5384" spans="1:12" s="112" customFormat="1" ht="15.6">
      <c r="A5384" s="515"/>
      <c r="B5384" s="1410" t="s">
        <v>8672</v>
      </c>
      <c r="C5384" s="359"/>
      <c r="D5384" s="359"/>
      <c r="E5384" s="215"/>
      <c r="F5384" s="511"/>
      <c r="H5384" s="458"/>
      <c r="I5384" s="452"/>
      <c r="J5384" s="515"/>
      <c r="K5384" s="452"/>
    </row>
    <row r="5385" spans="1:12">
      <c r="A5385" s="1365"/>
      <c r="B5385" s="373" t="s">
        <v>13920</v>
      </c>
      <c r="C5385" s="359">
        <v>60</v>
      </c>
      <c r="D5385" s="359">
        <f t="shared" ref="D5385:D5391" si="674">C5385*(1-0)*fcl</f>
        <v>136.36363636363635</v>
      </c>
      <c r="E5385" s="215">
        <v>10</v>
      </c>
      <c r="F5385" s="511">
        <f t="shared" ref="F5385:F5391" si="675">ROUNDUP(D5385+E5385,1)</f>
        <v>146.4</v>
      </c>
      <c r="G5385" s="518" t="s">
        <v>13921</v>
      </c>
      <c r="H5385" s="458" t="str">
        <f t="shared" ref="H5385:H5391" si="676">B5385</f>
        <v>COND_7.5kVAR/480V_p7</v>
      </c>
      <c r="I5385" s="452"/>
      <c r="J5385" s="515" t="s">
        <v>5984</v>
      </c>
      <c r="K5385" s="452" t="s">
        <v>741</v>
      </c>
      <c r="L5385" s="185"/>
    </row>
    <row r="5386" spans="1:12">
      <c r="A5386" s="1365"/>
      <c r="B5386" s="373" t="s">
        <v>13922</v>
      </c>
      <c r="C5386" s="359">
        <v>70</v>
      </c>
      <c r="D5386" s="359">
        <f t="shared" si="674"/>
        <v>159.09090909090907</v>
      </c>
      <c r="E5386" s="215">
        <v>10</v>
      </c>
      <c r="F5386" s="511">
        <f t="shared" si="675"/>
        <v>169.1</v>
      </c>
      <c r="G5386" s="518" t="s">
        <v>13923</v>
      </c>
      <c r="H5386" s="458" t="str">
        <f t="shared" si="676"/>
        <v>COND_15kVAR/480V_p7</v>
      </c>
      <c r="I5386" s="452"/>
      <c r="J5386" s="515" t="s">
        <v>5984</v>
      </c>
      <c r="K5386" s="452" t="s">
        <v>741</v>
      </c>
      <c r="L5386" s="185"/>
    </row>
    <row r="5387" spans="1:12">
      <c r="A5387" s="1365"/>
      <c r="B5387" s="2371" t="s">
        <v>13924</v>
      </c>
      <c r="C5387" s="359">
        <v>80</v>
      </c>
      <c r="D5387" s="359">
        <f t="shared" si="674"/>
        <v>181.81818181818181</v>
      </c>
      <c r="E5387" s="215">
        <v>10</v>
      </c>
      <c r="F5387" s="511">
        <f t="shared" si="675"/>
        <v>191.9</v>
      </c>
      <c r="G5387" s="518" t="s">
        <v>13925</v>
      </c>
      <c r="H5387" s="458" t="str">
        <f t="shared" si="676"/>
        <v>COND_20kVAR/480V_p7</v>
      </c>
      <c r="I5387" s="452"/>
      <c r="J5387" s="515" t="s">
        <v>5984</v>
      </c>
      <c r="K5387" s="452" t="s">
        <v>741</v>
      </c>
      <c r="L5387" s="185"/>
    </row>
    <row r="5388" spans="1:12">
      <c r="A5388" s="1365"/>
      <c r="B5388" s="2371" t="s">
        <v>13926</v>
      </c>
      <c r="C5388" s="359">
        <v>120</v>
      </c>
      <c r="D5388" s="359">
        <f t="shared" ref="D5388" si="677">C5388*(1-0)*fcl</f>
        <v>272.72727272727269</v>
      </c>
      <c r="E5388" s="215">
        <v>10</v>
      </c>
      <c r="F5388" s="511">
        <f t="shared" si="675"/>
        <v>282.8</v>
      </c>
      <c r="G5388" s="518" t="s">
        <v>13927</v>
      </c>
      <c r="H5388" s="458" t="str">
        <f t="shared" si="676"/>
        <v>COND_25kVAR/480V_p7</v>
      </c>
      <c r="I5388" s="452"/>
      <c r="J5388" s="515" t="s">
        <v>5984</v>
      </c>
      <c r="K5388" s="452" t="s">
        <v>741</v>
      </c>
      <c r="L5388" s="185"/>
    </row>
    <row r="5389" spans="1:12">
      <c r="A5389" s="1365"/>
      <c r="B5389" s="373" t="s">
        <v>13928</v>
      </c>
      <c r="C5389" s="359">
        <v>140</v>
      </c>
      <c r="D5389" s="359">
        <f t="shared" si="674"/>
        <v>318.18181818181813</v>
      </c>
      <c r="E5389" s="215">
        <v>10</v>
      </c>
      <c r="F5389" s="511">
        <f t="shared" si="675"/>
        <v>328.20000000000005</v>
      </c>
      <c r="G5389" s="518" t="s">
        <v>13929</v>
      </c>
      <c r="H5389" s="458" t="str">
        <f t="shared" si="676"/>
        <v>COND_30kVAR/480V_p7</v>
      </c>
      <c r="I5389" s="452"/>
      <c r="J5389" s="515" t="s">
        <v>5984</v>
      </c>
      <c r="K5389" s="452" t="s">
        <v>741</v>
      </c>
      <c r="L5389" s="185"/>
    </row>
    <row r="5390" spans="1:12">
      <c r="A5390" s="1365"/>
      <c r="B5390" s="373" t="s">
        <v>13930</v>
      </c>
      <c r="C5390" s="359">
        <v>180</v>
      </c>
      <c r="D5390" s="359">
        <f t="shared" si="674"/>
        <v>409.09090909090907</v>
      </c>
      <c r="E5390" s="215">
        <v>10</v>
      </c>
      <c r="F5390" s="511">
        <f t="shared" si="675"/>
        <v>419.1</v>
      </c>
      <c r="G5390" s="518" t="s">
        <v>13931</v>
      </c>
      <c r="H5390" s="458" t="str">
        <f t="shared" si="676"/>
        <v>COND_40kVAR/480V_p7</v>
      </c>
      <c r="I5390" s="452"/>
      <c r="J5390" s="515" t="s">
        <v>5984</v>
      </c>
      <c r="K5390" s="452" t="s">
        <v>741</v>
      </c>
      <c r="L5390" s="185"/>
    </row>
    <row r="5391" spans="1:12">
      <c r="A5391" s="1365"/>
      <c r="B5391" s="373" t="s">
        <v>13932</v>
      </c>
      <c r="C5391" s="359">
        <v>250</v>
      </c>
      <c r="D5391" s="359">
        <f t="shared" si="674"/>
        <v>568.18181818181813</v>
      </c>
      <c r="E5391" s="215">
        <v>10</v>
      </c>
      <c r="F5391" s="511">
        <f t="shared" si="675"/>
        <v>578.20000000000005</v>
      </c>
      <c r="G5391" s="518" t="s">
        <v>13933</v>
      </c>
      <c r="H5391" s="458" t="str">
        <f t="shared" si="676"/>
        <v>COND_50kVAR/480V_p7</v>
      </c>
      <c r="I5391" s="452"/>
      <c r="J5391" s="515" t="s">
        <v>5984</v>
      </c>
      <c r="K5391" s="452" t="s">
        <v>741</v>
      </c>
      <c r="L5391" s="185"/>
    </row>
    <row r="5392" spans="1:12" s="185" customFormat="1">
      <c r="A5392" s="515"/>
      <c r="B5392" s="397"/>
      <c r="C5392" s="359"/>
      <c r="D5392" s="359"/>
      <c r="E5392" s="215"/>
      <c r="F5392" s="511"/>
      <c r="H5392" s="458"/>
      <c r="I5392" s="452"/>
      <c r="J5392" s="515"/>
      <c r="K5392" s="452"/>
    </row>
    <row r="5393" spans="1:12">
      <c r="A5393" s="1365"/>
      <c r="B5393" s="373" t="s">
        <v>8673</v>
      </c>
      <c r="C5393" s="359"/>
      <c r="D5393" s="359">
        <f>C5393*(1-0)*fcl</f>
        <v>0</v>
      </c>
      <c r="E5393" s="215">
        <v>10</v>
      </c>
      <c r="F5393" s="511">
        <f>ROUNDUP(D5393+E5393,1)</f>
        <v>10</v>
      </c>
      <c r="G5393" s="518" t="s">
        <v>8674</v>
      </c>
      <c r="H5393" s="458" t="str">
        <f>B5393</f>
        <v>REACT_50kVAR/480V_p14</v>
      </c>
      <c r="I5393" s="452"/>
      <c r="J5393" s="515" t="s">
        <v>5984</v>
      </c>
      <c r="K5393" s="452" t="s">
        <v>741</v>
      </c>
      <c r="L5393" s="185"/>
    </row>
    <row r="5394" spans="1:12">
      <c r="A5394" s="1365"/>
      <c r="B5394" s="373" t="s">
        <v>8675</v>
      </c>
      <c r="C5394" s="359"/>
      <c r="D5394" s="359">
        <f>C5394*(1-0)*fcl</f>
        <v>0</v>
      </c>
      <c r="E5394" s="215">
        <v>10</v>
      </c>
      <c r="F5394" s="511">
        <f>ROUNDUP(D5394+E5394,1)</f>
        <v>10</v>
      </c>
      <c r="G5394" s="518" t="s">
        <v>8676</v>
      </c>
      <c r="H5394" s="458" t="str">
        <f>B5394</f>
        <v>COND_50kVAR/480V_p14</v>
      </c>
      <c r="I5394" s="452"/>
      <c r="J5394" s="515" t="s">
        <v>5984</v>
      </c>
      <c r="K5394" s="452" t="s">
        <v>741</v>
      </c>
      <c r="L5394" s="185"/>
    </row>
    <row r="5395" spans="1:12">
      <c r="A5395" s="515"/>
      <c r="B5395" s="398"/>
      <c r="C5395" s="359"/>
      <c r="D5395" s="359"/>
      <c r="E5395" s="215"/>
      <c r="F5395" s="511"/>
      <c r="G5395" s="518"/>
      <c r="H5395" s="458"/>
      <c r="I5395" s="452"/>
      <c r="J5395" s="515"/>
      <c r="K5395" s="452"/>
      <c r="L5395" s="185"/>
    </row>
    <row r="5396" spans="1:12">
      <c r="A5396" s="515"/>
      <c r="B5396" s="144"/>
      <c r="C5396" s="359"/>
      <c r="D5396" s="359"/>
      <c r="E5396" s="215"/>
      <c r="F5396" s="511"/>
      <c r="G5396" s="518"/>
      <c r="H5396" s="458"/>
      <c r="I5396" s="452"/>
      <c r="J5396" s="515"/>
      <c r="K5396" s="452"/>
      <c r="L5396" s="185"/>
    </row>
    <row r="5397" spans="1:12" s="112" customFormat="1" ht="15.6">
      <c r="A5397" s="515"/>
      <c r="B5397" s="1410" t="s">
        <v>13301</v>
      </c>
      <c r="C5397" s="359"/>
      <c r="D5397" s="359"/>
      <c r="E5397" s="215"/>
      <c r="F5397" s="511"/>
      <c r="H5397" s="458"/>
      <c r="I5397" s="452"/>
      <c r="J5397" s="515"/>
      <c r="K5397" s="452"/>
    </row>
    <row r="5398" spans="1:12" s="185" customFormat="1">
      <c r="A5398" s="515"/>
      <c r="B5398" s="397"/>
      <c r="C5398" s="359"/>
      <c r="D5398" s="359"/>
      <c r="E5398" s="215"/>
      <c r="F5398" s="511"/>
      <c r="H5398" s="458"/>
      <c r="I5398" s="452"/>
      <c r="J5398" s="515"/>
      <c r="K5398" s="452"/>
    </row>
    <row r="5399" spans="1:12">
      <c r="A5399" s="515"/>
      <c r="B5399" s="373" t="s">
        <v>13934</v>
      </c>
      <c r="C5399" s="359">
        <v>80</v>
      </c>
      <c r="D5399" s="359">
        <f>C5399*(1-0)*fcl</f>
        <v>181.81818181818181</v>
      </c>
      <c r="E5399" s="215">
        <v>20</v>
      </c>
      <c r="F5399" s="511">
        <f>ROUNDUP(D5399+E5399,1)</f>
        <v>201.9</v>
      </c>
      <c r="G5399" s="518" t="s">
        <v>13935</v>
      </c>
      <c r="H5399" s="458" t="str">
        <f>B5399</f>
        <v>COND_22.5kVAR/525V_p14</v>
      </c>
      <c r="I5399" s="452"/>
      <c r="J5399" s="515" t="s">
        <v>5984</v>
      </c>
      <c r="K5399" s="452" t="s">
        <v>741</v>
      </c>
      <c r="L5399" s="185"/>
    </row>
    <row r="5400" spans="1:12">
      <c r="A5400" s="515"/>
      <c r="B5400" s="373" t="s">
        <v>13302</v>
      </c>
      <c r="C5400" s="359">
        <v>90</v>
      </c>
      <c r="D5400" s="359">
        <f>C5400*(1-0)*fcl</f>
        <v>204.54545454545453</v>
      </c>
      <c r="E5400" s="215">
        <v>20</v>
      </c>
      <c r="F5400" s="511">
        <f>ROUNDUP(D5400+E5400,1)</f>
        <v>224.6</v>
      </c>
      <c r="G5400" s="518" t="s">
        <v>13303</v>
      </c>
      <c r="H5400" s="458" t="str">
        <f>B5400</f>
        <v>COND_25kVAR/525V_p14</v>
      </c>
      <c r="I5400" s="452"/>
      <c r="J5400" s="515" t="s">
        <v>5984</v>
      </c>
      <c r="K5400" s="452" t="s">
        <v>741</v>
      </c>
      <c r="L5400" s="185"/>
    </row>
    <row r="5401" spans="1:12">
      <c r="A5401" s="515"/>
      <c r="B5401" s="373" t="s">
        <v>13304</v>
      </c>
      <c r="C5401" s="359">
        <v>120</v>
      </c>
      <c r="D5401" s="359">
        <f>C5401*(1-0)*fcl</f>
        <v>272.72727272727269</v>
      </c>
      <c r="E5401" s="215">
        <v>20</v>
      </c>
      <c r="F5401" s="511">
        <f>ROUNDUP(D5401+E5401,1)</f>
        <v>292.8</v>
      </c>
      <c r="G5401" s="518" t="s">
        <v>13305</v>
      </c>
      <c r="H5401" s="458" t="str">
        <f>B5401</f>
        <v>COND_30kVAR/525V_p14</v>
      </c>
      <c r="I5401" s="452"/>
      <c r="J5401" s="515" t="s">
        <v>5984</v>
      </c>
      <c r="K5401" s="452" t="s">
        <v>741</v>
      </c>
      <c r="L5401" s="185"/>
    </row>
    <row r="5402" spans="1:12">
      <c r="A5402" s="515"/>
      <c r="B5402" s="373" t="s">
        <v>13936</v>
      </c>
      <c r="C5402" s="359">
        <v>180</v>
      </c>
      <c r="D5402" s="359">
        <f>C5402*(1-0)*fcl</f>
        <v>409.09090909090907</v>
      </c>
      <c r="E5402" s="215">
        <v>20</v>
      </c>
      <c r="F5402" s="511">
        <f>ROUNDUP(D5402+E5402,1)</f>
        <v>429.1</v>
      </c>
      <c r="G5402" s="518" t="s">
        <v>13937</v>
      </c>
      <c r="H5402" s="458" t="str">
        <f>B5402</f>
        <v>COND_34kVAR/525V_p14</v>
      </c>
      <c r="I5402" s="452"/>
      <c r="J5402" s="515" t="s">
        <v>5984</v>
      </c>
      <c r="K5402" s="452" t="s">
        <v>741</v>
      </c>
      <c r="L5402" s="185"/>
    </row>
    <row r="5403" spans="1:12">
      <c r="A5403" s="515"/>
      <c r="B5403" s="398"/>
      <c r="C5403" s="359"/>
      <c r="D5403" s="359"/>
      <c r="E5403" s="215"/>
      <c r="F5403" s="511"/>
      <c r="G5403" s="518"/>
      <c r="H5403" s="458"/>
      <c r="I5403" s="452"/>
      <c r="J5403" s="515"/>
      <c r="K5403" s="452"/>
      <c r="L5403" s="185"/>
    </row>
    <row r="5404" spans="1:12">
      <c r="A5404" s="515"/>
      <c r="B5404" s="144"/>
      <c r="C5404" s="359"/>
      <c r="D5404" s="359"/>
      <c r="E5404" s="215"/>
      <c r="F5404" s="511"/>
      <c r="G5404" s="518"/>
      <c r="H5404" s="458"/>
      <c r="I5404" s="452"/>
      <c r="J5404" s="515"/>
      <c r="K5404" s="452"/>
      <c r="L5404" s="185"/>
    </row>
    <row r="5405" spans="1:12">
      <c r="A5405" s="515"/>
      <c r="B5405" s="144"/>
      <c r="C5405" s="359"/>
      <c r="D5405" s="359"/>
      <c r="E5405" s="215"/>
      <c r="F5405" s="511"/>
      <c r="G5405" s="518"/>
      <c r="H5405" s="458"/>
      <c r="I5405" s="452"/>
      <c r="J5405" s="515"/>
      <c r="K5405" s="452"/>
      <c r="L5405" s="185"/>
    </row>
    <row r="5406" spans="1:12" ht="15.6">
      <c r="A5406" s="515"/>
      <c r="B5406" s="1410" t="s">
        <v>8677</v>
      </c>
      <c r="C5406" s="359"/>
      <c r="D5406" s="359"/>
      <c r="E5406" s="215"/>
      <c r="F5406" s="511"/>
      <c r="G5406" s="454"/>
      <c r="H5406" s="458"/>
      <c r="I5406" s="452"/>
      <c r="J5406" s="515"/>
      <c r="K5406" s="452"/>
      <c r="L5406" s="185"/>
    </row>
    <row r="5407" spans="1:12">
      <c r="A5407" s="515"/>
      <c r="B5407" s="144"/>
      <c r="C5407" s="359"/>
      <c r="D5407" s="359"/>
      <c r="E5407" s="215"/>
      <c r="F5407" s="511"/>
      <c r="G5407" s="518"/>
      <c r="H5407" s="458"/>
      <c r="I5407" s="452"/>
      <c r="J5407" s="515"/>
      <c r="K5407" s="452"/>
      <c r="L5407" s="185"/>
    </row>
    <row r="5408" spans="1:12">
      <c r="A5408" s="1399"/>
      <c r="B5408" s="144" t="s">
        <v>8678</v>
      </c>
      <c r="C5408" s="359"/>
      <c r="D5408" s="359">
        <f t="shared" ref="D5408:D5421" si="678">C5408*(1-0)*fcl</f>
        <v>0</v>
      </c>
      <c r="E5408" s="215">
        <v>10</v>
      </c>
      <c r="F5408" s="511">
        <f t="shared" ref="F5408:F5421" si="679">ROUNDUP(D5408+E5408,1)</f>
        <v>10</v>
      </c>
      <c r="G5408" s="314" t="s">
        <v>8679</v>
      </c>
      <c r="H5408" s="458" t="str">
        <f t="shared" ref="H5408:H5421" si="680">B5408</f>
        <v>CMC_2.5kVAR/220V</v>
      </c>
      <c r="I5408" s="452"/>
      <c r="J5408" s="515" t="s">
        <v>5984</v>
      </c>
      <c r="K5408" s="452" t="s">
        <v>741</v>
      </c>
      <c r="L5408" s="185"/>
    </row>
    <row r="5409" spans="1:12">
      <c r="A5409" s="1399"/>
      <c r="B5409" s="144" t="s">
        <v>8680</v>
      </c>
      <c r="C5409" s="359"/>
      <c r="D5409" s="359">
        <f t="shared" si="678"/>
        <v>0</v>
      </c>
      <c r="E5409" s="215">
        <v>10</v>
      </c>
      <c r="F5409" s="511">
        <f t="shared" si="679"/>
        <v>10</v>
      </c>
      <c r="G5409" s="314" t="s">
        <v>8681</v>
      </c>
      <c r="H5409" s="458" t="str">
        <f t="shared" si="680"/>
        <v>CMC_5kVAR/220V</v>
      </c>
      <c r="I5409" s="452"/>
      <c r="J5409" s="515" t="s">
        <v>5984</v>
      </c>
      <c r="K5409" s="452" t="s">
        <v>741</v>
      </c>
      <c r="L5409" s="185"/>
    </row>
    <row r="5410" spans="1:12">
      <c r="A5410" s="1399"/>
      <c r="B5410" s="144" t="s">
        <v>8682</v>
      </c>
      <c r="C5410" s="359">
        <v>50</v>
      </c>
      <c r="D5410" s="359">
        <f t="shared" si="678"/>
        <v>113.63636363636363</v>
      </c>
      <c r="E5410" s="215">
        <v>10</v>
      </c>
      <c r="F5410" s="511">
        <f t="shared" si="679"/>
        <v>123.69999999999999</v>
      </c>
      <c r="G5410" s="314" t="s">
        <v>8683</v>
      </c>
      <c r="H5410" s="458" t="str">
        <f t="shared" si="680"/>
        <v>CMC_7.5kVAR/220V</v>
      </c>
      <c r="I5410" s="452"/>
      <c r="J5410" s="515" t="s">
        <v>5984</v>
      </c>
      <c r="K5410" s="452" t="s">
        <v>741</v>
      </c>
      <c r="L5410" s="185"/>
    </row>
    <row r="5411" spans="1:12">
      <c r="A5411" s="1370"/>
      <c r="B5411" s="144" t="s">
        <v>4781</v>
      </c>
      <c r="C5411" s="359"/>
      <c r="D5411" s="359">
        <f t="shared" si="678"/>
        <v>0</v>
      </c>
      <c r="E5411" s="215">
        <v>10</v>
      </c>
      <c r="F5411" s="511">
        <f t="shared" si="679"/>
        <v>10</v>
      </c>
      <c r="G5411" s="314" t="s">
        <v>8684</v>
      </c>
      <c r="H5411" s="458" t="str">
        <f t="shared" si="680"/>
        <v>CMC_10kVAR/230V</v>
      </c>
      <c r="I5411" s="452"/>
      <c r="J5411" s="515" t="s">
        <v>5984</v>
      </c>
      <c r="K5411" s="452" t="s">
        <v>741</v>
      </c>
      <c r="L5411" s="185"/>
    </row>
    <row r="5412" spans="1:12">
      <c r="A5412" s="515"/>
      <c r="B5412" s="144" t="s">
        <v>5090</v>
      </c>
      <c r="C5412" s="359"/>
      <c r="D5412" s="359">
        <f t="shared" si="678"/>
        <v>0</v>
      </c>
      <c r="E5412" s="215">
        <v>10</v>
      </c>
      <c r="F5412" s="511">
        <f t="shared" si="679"/>
        <v>10</v>
      </c>
      <c r="G5412" s="314" t="s">
        <v>8685</v>
      </c>
      <c r="H5412" s="458" t="str">
        <f t="shared" si="680"/>
        <v>CMC_12.5kVAR/230V</v>
      </c>
      <c r="I5412" s="452"/>
      <c r="J5412" s="515" t="s">
        <v>5984</v>
      </c>
      <c r="K5412" s="452" t="s">
        <v>741</v>
      </c>
      <c r="L5412" s="185"/>
    </row>
    <row r="5413" spans="1:12">
      <c r="A5413" s="1370"/>
      <c r="B5413" s="144" t="s">
        <v>4778</v>
      </c>
      <c r="C5413" s="359"/>
      <c r="D5413" s="359">
        <f t="shared" si="678"/>
        <v>0</v>
      </c>
      <c r="E5413" s="215">
        <v>10</v>
      </c>
      <c r="F5413" s="511">
        <f t="shared" si="679"/>
        <v>10</v>
      </c>
      <c r="G5413" s="314" t="s">
        <v>8686</v>
      </c>
      <c r="H5413" s="458" t="str">
        <f t="shared" si="680"/>
        <v>CMC_15kVAR/230V</v>
      </c>
      <c r="I5413" s="452"/>
      <c r="J5413" s="515" t="s">
        <v>5984</v>
      </c>
      <c r="K5413" s="452" t="s">
        <v>741</v>
      </c>
      <c r="L5413" s="185"/>
    </row>
    <row r="5414" spans="1:12">
      <c r="A5414" s="1370"/>
      <c r="B5414" s="144" t="s">
        <v>12383</v>
      </c>
      <c r="C5414" s="359">
        <v>70</v>
      </c>
      <c r="D5414" s="359">
        <f t="shared" ref="D5414" si="681">C5414*(1-0)*fcl</f>
        <v>159.09090909090907</v>
      </c>
      <c r="E5414" s="215">
        <v>10</v>
      </c>
      <c r="F5414" s="511">
        <f t="shared" si="679"/>
        <v>169.1</v>
      </c>
      <c r="G5414" s="314" t="s">
        <v>12384</v>
      </c>
      <c r="H5414" s="458" t="str">
        <f t="shared" si="680"/>
        <v>CMC_15kVAR/220V</v>
      </c>
      <c r="I5414" s="452"/>
      <c r="J5414" s="515" t="s">
        <v>5984</v>
      </c>
      <c r="K5414" s="452" t="s">
        <v>741</v>
      </c>
      <c r="L5414" s="185"/>
    </row>
    <row r="5415" spans="1:12">
      <c r="A5415" s="515"/>
      <c r="B5415" s="144" t="s">
        <v>13938</v>
      </c>
      <c r="C5415" s="359">
        <v>65</v>
      </c>
      <c r="D5415" s="359">
        <f t="shared" si="678"/>
        <v>147.72727272727272</v>
      </c>
      <c r="E5415" s="215">
        <v>10</v>
      </c>
      <c r="F5415" s="511">
        <f t="shared" si="679"/>
        <v>157.79999999999998</v>
      </c>
      <c r="G5415" s="314" t="s">
        <v>8687</v>
      </c>
      <c r="H5415" s="458" t="str">
        <f t="shared" si="680"/>
        <v>CMC_20kVAR/220V</v>
      </c>
      <c r="I5415" s="452"/>
      <c r="J5415" s="515" t="s">
        <v>5984</v>
      </c>
      <c r="K5415" s="452" t="s">
        <v>741</v>
      </c>
      <c r="L5415" s="185"/>
    </row>
    <row r="5416" spans="1:12" s="1397" customFormat="1">
      <c r="A5416" s="1399"/>
      <c r="B5416" s="1377" t="s">
        <v>13939</v>
      </c>
      <c r="C5416" s="1833">
        <v>110</v>
      </c>
      <c r="D5416" s="1833">
        <f t="shared" ref="D5416" si="682">C5416*(1-0)*fcl</f>
        <v>249.99999999999997</v>
      </c>
      <c r="E5416" s="1388">
        <v>10</v>
      </c>
      <c r="F5416" s="517">
        <f t="shared" si="679"/>
        <v>260</v>
      </c>
      <c r="G5416" s="318" t="s">
        <v>13940</v>
      </c>
      <c r="H5416" s="2168" t="str">
        <f t="shared" si="680"/>
        <v>CMC_25kVAR/230V</v>
      </c>
      <c r="I5416" s="544"/>
      <c r="J5416" s="1399" t="s">
        <v>5984</v>
      </c>
      <c r="K5416" s="544" t="s">
        <v>741</v>
      </c>
    </row>
    <row r="5417" spans="1:12">
      <c r="A5417" s="515"/>
      <c r="B5417" s="144" t="s">
        <v>3353</v>
      </c>
      <c r="C5417" s="359"/>
      <c r="D5417" s="359">
        <f t="shared" si="678"/>
        <v>0</v>
      </c>
      <c r="E5417" s="215">
        <v>10</v>
      </c>
      <c r="F5417" s="511">
        <f t="shared" si="679"/>
        <v>10</v>
      </c>
      <c r="G5417" s="314" t="s">
        <v>8688</v>
      </c>
      <c r="H5417" s="458" t="str">
        <f t="shared" si="680"/>
        <v>CMC_29kVAR/230V</v>
      </c>
      <c r="I5417" s="452"/>
      <c r="J5417" s="515" t="s">
        <v>5984</v>
      </c>
      <c r="K5417" s="452" t="s">
        <v>741</v>
      </c>
      <c r="L5417" s="185"/>
    </row>
    <row r="5418" spans="1:12">
      <c r="A5418" s="515"/>
      <c r="B5418" s="144" t="s">
        <v>8689</v>
      </c>
      <c r="C5418" s="359"/>
      <c r="D5418" s="359">
        <f t="shared" si="678"/>
        <v>0</v>
      </c>
      <c r="E5418" s="215">
        <v>10</v>
      </c>
      <c r="F5418" s="511">
        <f t="shared" si="679"/>
        <v>10</v>
      </c>
      <c r="G5418" s="314" t="s">
        <v>8690</v>
      </c>
      <c r="H5418" s="458" t="str">
        <f t="shared" si="680"/>
        <v>CMC_30kVAR/230V</v>
      </c>
      <c r="I5418" s="452"/>
      <c r="J5418" s="515" t="s">
        <v>5984</v>
      </c>
      <c r="K5418" s="452" t="s">
        <v>741</v>
      </c>
      <c r="L5418" s="185"/>
    </row>
    <row r="5419" spans="1:12">
      <c r="A5419" s="515"/>
      <c r="B5419" s="144" t="s">
        <v>3355</v>
      </c>
      <c r="C5419" s="359"/>
      <c r="D5419" s="359">
        <f t="shared" si="678"/>
        <v>0</v>
      </c>
      <c r="E5419" s="215">
        <v>10</v>
      </c>
      <c r="F5419" s="511">
        <f t="shared" si="679"/>
        <v>10</v>
      </c>
      <c r="G5419" s="314" t="s">
        <v>8691</v>
      </c>
      <c r="H5419" s="458" t="str">
        <f t="shared" si="680"/>
        <v>CMC_32kVAR/230V</v>
      </c>
      <c r="I5419" s="452"/>
      <c r="J5419" s="515" t="s">
        <v>5984</v>
      </c>
      <c r="K5419" s="452" t="s">
        <v>741</v>
      </c>
      <c r="L5419" s="185"/>
    </row>
    <row r="5420" spans="1:12">
      <c r="A5420" s="515"/>
      <c r="B5420" s="144" t="s">
        <v>10875</v>
      </c>
      <c r="C5420" s="359">
        <v>285</v>
      </c>
      <c r="D5420" s="359">
        <f t="shared" si="678"/>
        <v>647.72727272727263</v>
      </c>
      <c r="E5420" s="215">
        <v>10</v>
      </c>
      <c r="F5420" s="511">
        <f t="shared" si="679"/>
        <v>657.80000000000007</v>
      </c>
      <c r="G5420" s="314" t="s">
        <v>10876</v>
      </c>
      <c r="H5420" s="458" t="str">
        <f t="shared" si="680"/>
        <v>CMC_40kVAR/230V</v>
      </c>
      <c r="I5420" s="452"/>
      <c r="J5420" s="515" t="s">
        <v>5984</v>
      </c>
      <c r="K5420" s="452" t="s">
        <v>741</v>
      </c>
      <c r="L5420" s="185"/>
    </row>
    <row r="5421" spans="1:12">
      <c r="A5421" s="515"/>
      <c r="B5421" s="144" t="s">
        <v>3354</v>
      </c>
      <c r="C5421" s="359"/>
      <c r="D5421" s="359">
        <f t="shared" si="678"/>
        <v>0</v>
      </c>
      <c r="E5421" s="215">
        <v>10</v>
      </c>
      <c r="F5421" s="511">
        <f t="shared" si="679"/>
        <v>10</v>
      </c>
      <c r="G5421" s="314" t="s">
        <v>8692</v>
      </c>
      <c r="H5421" s="458" t="str">
        <f t="shared" si="680"/>
        <v>CMC_42kVAR/230V</v>
      </c>
      <c r="I5421" s="452"/>
      <c r="J5421" s="515" t="s">
        <v>5984</v>
      </c>
      <c r="K5421" s="452" t="s">
        <v>741</v>
      </c>
      <c r="L5421" s="185"/>
    </row>
    <row r="5422" spans="1:12">
      <c r="A5422" s="515"/>
      <c r="B5422" s="144"/>
      <c r="C5422" s="359"/>
      <c r="D5422" s="359"/>
      <c r="E5422" s="215"/>
      <c r="F5422" s="511"/>
      <c r="G5422" s="314"/>
      <c r="H5422" s="458"/>
      <c r="I5422" s="452"/>
      <c r="J5422" s="515"/>
      <c r="K5422" s="452"/>
      <c r="L5422" s="185"/>
    </row>
    <row r="5423" spans="1:12">
      <c r="A5423" s="515"/>
      <c r="B5423" s="144"/>
      <c r="C5423" s="359"/>
      <c r="D5423" s="359"/>
      <c r="E5423" s="215"/>
      <c r="F5423" s="511"/>
      <c r="G5423" s="314"/>
      <c r="H5423" s="458"/>
      <c r="I5423" s="452"/>
      <c r="J5423" s="515"/>
      <c r="K5423" s="452"/>
      <c r="L5423" s="185"/>
    </row>
    <row r="5424" spans="1:12">
      <c r="A5424" s="1806"/>
      <c r="B5424" s="144" t="s">
        <v>13941</v>
      </c>
      <c r="C5424" s="359">
        <v>32</v>
      </c>
      <c r="D5424" s="359">
        <f t="shared" ref="D5424" si="683">C5424*(1-0)*fcl</f>
        <v>72.72727272727272</v>
      </c>
      <c r="E5424" s="215">
        <v>10</v>
      </c>
      <c r="F5424" s="511">
        <f t="shared" ref="F5424:F5437" si="684">ROUNDUP(D5424+E5424,1)</f>
        <v>82.8</v>
      </c>
      <c r="G5424" s="314" t="s">
        <v>13942</v>
      </c>
      <c r="H5424" s="458" t="str">
        <f t="shared" ref="H5424:H5437" si="685">B5424</f>
        <v>CMC_5kVAR/380V</v>
      </c>
      <c r="I5424" s="452"/>
      <c r="J5424" s="515" t="s">
        <v>5984</v>
      </c>
      <c r="K5424" s="452" t="s">
        <v>741</v>
      </c>
      <c r="L5424" s="185"/>
    </row>
    <row r="5425" spans="1:12">
      <c r="A5425" s="1806"/>
      <c r="B5425" s="144" t="s">
        <v>11749</v>
      </c>
      <c r="C5425" s="359">
        <v>32</v>
      </c>
      <c r="D5425" s="359">
        <f t="shared" ref="D5425" si="686">C5425*(1-0)*fcl</f>
        <v>72.72727272727272</v>
      </c>
      <c r="E5425" s="215">
        <v>10</v>
      </c>
      <c r="F5425" s="511">
        <f t="shared" si="684"/>
        <v>82.8</v>
      </c>
      <c r="G5425" s="314" t="s">
        <v>11750</v>
      </c>
      <c r="H5425" s="458" t="str">
        <f t="shared" si="685"/>
        <v>CMC_6kVAR/380V</v>
      </c>
      <c r="I5425" s="452"/>
      <c r="J5425" s="515" t="s">
        <v>5984</v>
      </c>
      <c r="K5425" s="452" t="s">
        <v>741</v>
      </c>
      <c r="L5425" s="185"/>
    </row>
    <row r="5426" spans="1:12">
      <c r="A5426" s="1370"/>
      <c r="B5426" s="144" t="s">
        <v>8699</v>
      </c>
      <c r="C5426" s="359">
        <v>40</v>
      </c>
      <c r="D5426" s="359">
        <v>80</v>
      </c>
      <c r="E5426" s="215">
        <v>10</v>
      </c>
      <c r="F5426" s="511">
        <f t="shared" si="684"/>
        <v>90</v>
      </c>
      <c r="G5426" s="314" t="s">
        <v>8700</v>
      </c>
      <c r="H5426" s="458" t="str">
        <f t="shared" si="685"/>
        <v>CMC_10kVAR/380V</v>
      </c>
      <c r="I5426" s="452"/>
      <c r="J5426" s="515" t="s">
        <v>5984</v>
      </c>
      <c r="K5426" s="452" t="s">
        <v>741</v>
      </c>
      <c r="L5426" s="185"/>
    </row>
    <row r="5427" spans="1:12">
      <c r="A5427" s="1399"/>
      <c r="B5427" s="144" t="s">
        <v>8701</v>
      </c>
      <c r="C5427" s="359">
        <v>50</v>
      </c>
      <c r="D5427" s="359">
        <f t="shared" ref="D5427:D5437" si="687">C5427*(1-0)*fcl</f>
        <v>113.63636363636363</v>
      </c>
      <c r="E5427" s="215">
        <v>10</v>
      </c>
      <c r="F5427" s="511">
        <f t="shared" si="684"/>
        <v>123.69999999999999</v>
      </c>
      <c r="G5427" s="314" t="s">
        <v>8702</v>
      </c>
      <c r="H5427" s="458" t="str">
        <f t="shared" si="685"/>
        <v>CMC_15kVAR/380V</v>
      </c>
      <c r="I5427" s="452"/>
      <c r="J5427" s="515" t="s">
        <v>5984</v>
      </c>
      <c r="K5427" s="452" t="s">
        <v>741</v>
      </c>
      <c r="L5427" s="185"/>
    </row>
    <row r="5428" spans="1:12">
      <c r="A5428" s="1850"/>
      <c r="B5428" s="144" t="s">
        <v>8703</v>
      </c>
      <c r="C5428" s="359">
        <v>50</v>
      </c>
      <c r="D5428" s="359">
        <f t="shared" si="687"/>
        <v>113.63636363636363</v>
      </c>
      <c r="E5428" s="215">
        <v>10</v>
      </c>
      <c r="F5428" s="511">
        <f t="shared" si="684"/>
        <v>123.69999999999999</v>
      </c>
      <c r="G5428" s="314" t="s">
        <v>8704</v>
      </c>
      <c r="H5428" s="458" t="str">
        <f t="shared" si="685"/>
        <v>CMC_20kVAR/380V</v>
      </c>
      <c r="I5428" s="452"/>
      <c r="J5428" s="515" t="s">
        <v>5984</v>
      </c>
      <c r="K5428" s="452" t="s">
        <v>741</v>
      </c>
      <c r="L5428" s="185"/>
    </row>
    <row r="5429" spans="1:12" s="1397" customFormat="1">
      <c r="A5429" s="1399"/>
      <c r="B5429" s="1377" t="s">
        <v>12877</v>
      </c>
      <c r="C5429" s="1833">
        <v>70</v>
      </c>
      <c r="D5429" s="1833">
        <f t="shared" ref="D5429" si="688">C5429*(1-0)*fcl</f>
        <v>159.09090909090907</v>
      </c>
      <c r="E5429" s="1388">
        <v>10</v>
      </c>
      <c r="F5429" s="517">
        <f t="shared" si="684"/>
        <v>169.1</v>
      </c>
      <c r="G5429" s="318" t="s">
        <v>8704</v>
      </c>
      <c r="H5429" s="2168" t="str">
        <f t="shared" si="685"/>
        <v>CMC_22kVAR/380V</v>
      </c>
      <c r="I5429" s="544"/>
      <c r="J5429" s="1399" t="s">
        <v>5984</v>
      </c>
      <c r="K5429" s="544" t="s">
        <v>741</v>
      </c>
    </row>
    <row r="5430" spans="1:12">
      <c r="A5430" s="1411"/>
      <c r="B5430" s="1377" t="s">
        <v>8705</v>
      </c>
      <c r="C5430" s="359">
        <v>70</v>
      </c>
      <c r="D5430" s="359">
        <f t="shared" si="687"/>
        <v>159.09090909090907</v>
      </c>
      <c r="E5430" s="215">
        <v>10</v>
      </c>
      <c r="F5430" s="511">
        <f t="shared" si="684"/>
        <v>169.1</v>
      </c>
      <c r="G5430" s="314" t="s">
        <v>8706</v>
      </c>
      <c r="H5430" s="458" t="str">
        <f t="shared" si="685"/>
        <v>CMC_25kVAR/380V</v>
      </c>
      <c r="I5430" s="452"/>
      <c r="J5430" s="515" t="s">
        <v>5984</v>
      </c>
      <c r="K5430" s="452" t="s">
        <v>741</v>
      </c>
      <c r="L5430" s="185"/>
    </row>
    <row r="5431" spans="1:12">
      <c r="A5431" s="1411"/>
      <c r="B5431" s="144" t="s">
        <v>8707</v>
      </c>
      <c r="C5431" s="359"/>
      <c r="D5431" s="359">
        <f t="shared" si="687"/>
        <v>0</v>
      </c>
      <c r="E5431" s="215">
        <v>10</v>
      </c>
      <c r="F5431" s="511">
        <f t="shared" si="684"/>
        <v>10</v>
      </c>
      <c r="G5431" s="314" t="s">
        <v>8708</v>
      </c>
      <c r="H5431" s="458" t="str">
        <f t="shared" si="685"/>
        <v>CMC_26kVAR/380V</v>
      </c>
      <c r="I5431" s="452"/>
      <c r="J5431" s="515" t="s">
        <v>5984</v>
      </c>
      <c r="K5431" s="452" t="s">
        <v>741</v>
      </c>
      <c r="L5431" s="185"/>
    </row>
    <row r="5432" spans="1:12">
      <c r="A5432" s="1399"/>
      <c r="B5432" s="144" t="s">
        <v>8709</v>
      </c>
      <c r="C5432" s="359">
        <v>120</v>
      </c>
      <c r="D5432" s="359">
        <f t="shared" si="687"/>
        <v>272.72727272727269</v>
      </c>
      <c r="E5432" s="215">
        <v>10</v>
      </c>
      <c r="F5432" s="511">
        <f t="shared" si="684"/>
        <v>282.8</v>
      </c>
      <c r="G5432" s="314" t="s">
        <v>8710</v>
      </c>
      <c r="H5432" s="458" t="str">
        <f t="shared" si="685"/>
        <v>CMC_30kVAR/380V</v>
      </c>
      <c r="I5432" s="452"/>
      <c r="J5432" s="515" t="s">
        <v>5984</v>
      </c>
      <c r="K5432" s="452" t="s">
        <v>741</v>
      </c>
      <c r="L5432" s="185"/>
    </row>
    <row r="5433" spans="1:12">
      <c r="A5433" s="1850"/>
      <c r="B5433" s="144" t="s">
        <v>6014</v>
      </c>
      <c r="C5433" s="359">
        <v>110</v>
      </c>
      <c r="D5433" s="359">
        <f t="shared" ref="D5433" si="689">C5433*(1-0)*fcl</f>
        <v>249.99999999999997</v>
      </c>
      <c r="E5433" s="215">
        <v>10</v>
      </c>
      <c r="F5433" s="511">
        <f t="shared" si="684"/>
        <v>260</v>
      </c>
      <c r="G5433" s="314" t="s">
        <v>8711</v>
      </c>
      <c r="H5433" s="458" t="str">
        <f t="shared" si="685"/>
        <v>CMC_40kVAR/380V</v>
      </c>
      <c r="I5433" s="452"/>
      <c r="J5433" s="515" t="s">
        <v>5984</v>
      </c>
      <c r="K5433" s="452" t="s">
        <v>741</v>
      </c>
      <c r="L5433" s="185"/>
    </row>
    <row r="5434" spans="1:12">
      <c r="A5434" s="1850"/>
      <c r="B5434" s="144" t="s">
        <v>13411</v>
      </c>
      <c r="C5434" s="359">
        <v>120</v>
      </c>
      <c r="D5434" s="359">
        <f t="shared" si="687"/>
        <v>272.72727272727269</v>
      </c>
      <c r="E5434" s="215">
        <v>10</v>
      </c>
      <c r="F5434" s="511">
        <f t="shared" si="684"/>
        <v>282.8</v>
      </c>
      <c r="G5434" s="314" t="s">
        <v>13412</v>
      </c>
      <c r="H5434" s="458" t="str">
        <f t="shared" si="685"/>
        <v>CMC_45kVAR/380V</v>
      </c>
      <c r="I5434" s="452"/>
      <c r="J5434" s="515" t="s">
        <v>5984</v>
      </c>
      <c r="K5434" s="452" t="s">
        <v>741</v>
      </c>
      <c r="L5434" s="185"/>
    </row>
    <row r="5435" spans="1:12" ht="13.5" customHeight="1">
      <c r="A5435" s="1399"/>
      <c r="B5435" s="144" t="s">
        <v>8712</v>
      </c>
      <c r="C5435" s="359">
        <v>120</v>
      </c>
      <c r="D5435" s="359">
        <f t="shared" si="687"/>
        <v>272.72727272727269</v>
      </c>
      <c r="E5435" s="215">
        <v>10</v>
      </c>
      <c r="F5435" s="511">
        <f t="shared" si="684"/>
        <v>282.8</v>
      </c>
      <c r="G5435" s="314" t="s">
        <v>8713</v>
      </c>
      <c r="H5435" s="458" t="str">
        <f t="shared" si="685"/>
        <v>CMC_50kVAR/380V</v>
      </c>
      <c r="I5435" s="452"/>
      <c r="J5435" s="515" t="s">
        <v>5984</v>
      </c>
      <c r="K5435" s="452" t="s">
        <v>741</v>
      </c>
      <c r="L5435" s="185"/>
    </row>
    <row r="5436" spans="1:12">
      <c r="A5436" s="1411"/>
      <c r="B5436" s="144" t="s">
        <v>8714</v>
      </c>
      <c r="C5436" s="359">
        <v>230</v>
      </c>
      <c r="D5436" s="359">
        <f t="shared" si="687"/>
        <v>522.72727272727263</v>
      </c>
      <c r="E5436" s="215">
        <v>10</v>
      </c>
      <c r="F5436" s="511">
        <f t="shared" si="684"/>
        <v>532.80000000000007</v>
      </c>
      <c r="G5436" s="314" t="s">
        <v>8715</v>
      </c>
      <c r="H5436" s="458" t="str">
        <f t="shared" si="685"/>
        <v>CMC_60kVAR/380V</v>
      </c>
      <c r="I5436" s="452"/>
      <c r="J5436" s="515" t="s">
        <v>5984</v>
      </c>
      <c r="K5436" s="452" t="s">
        <v>741</v>
      </c>
      <c r="L5436" s="185"/>
    </row>
    <row r="5437" spans="1:12">
      <c r="A5437" s="1411"/>
      <c r="B5437" s="144" t="s">
        <v>8716</v>
      </c>
      <c r="C5437" s="359"/>
      <c r="D5437" s="359">
        <f t="shared" si="687"/>
        <v>0</v>
      </c>
      <c r="E5437" s="215">
        <v>10</v>
      </c>
      <c r="F5437" s="511">
        <f t="shared" si="684"/>
        <v>10</v>
      </c>
      <c r="G5437" s="314" t="s">
        <v>8717</v>
      </c>
      <c r="H5437" s="458" t="str">
        <f t="shared" si="685"/>
        <v>CMC_70kVAR/380V</v>
      </c>
      <c r="I5437" s="452"/>
      <c r="J5437" s="515" t="s">
        <v>5984</v>
      </c>
      <c r="K5437" s="452" t="s">
        <v>741</v>
      </c>
      <c r="L5437" s="185"/>
    </row>
    <row r="5438" spans="1:12" s="185" customFormat="1">
      <c r="A5438" s="515"/>
      <c r="B5438" s="144"/>
      <c r="C5438" s="359"/>
      <c r="D5438" s="359"/>
      <c r="E5438" s="215"/>
      <c r="F5438" s="511"/>
      <c r="G5438" s="314"/>
      <c r="H5438" s="139"/>
      <c r="I5438" s="452"/>
      <c r="J5438" s="515"/>
      <c r="K5438" s="452"/>
    </row>
    <row r="5439" spans="1:12">
      <c r="A5439" s="515"/>
      <c r="B5439" s="144"/>
      <c r="C5439" s="359"/>
      <c r="D5439" s="359"/>
      <c r="E5439" s="215"/>
      <c r="F5439" s="511"/>
      <c r="G5439" s="314"/>
      <c r="H5439" s="458"/>
      <c r="I5439" s="452"/>
      <c r="J5439" s="515"/>
      <c r="K5439" s="452"/>
      <c r="L5439" s="185"/>
    </row>
    <row r="5440" spans="1:12">
      <c r="A5440" s="1365"/>
      <c r="B5440" s="144" t="s">
        <v>9869</v>
      </c>
      <c r="C5440" s="359"/>
      <c r="D5440" s="359">
        <f t="shared" ref="D5440:D5451" si="690">C5440*(1-0)*fcl</f>
        <v>0</v>
      </c>
      <c r="E5440" s="215">
        <v>10</v>
      </c>
      <c r="F5440" s="511">
        <f>ROUNDUP(D5440+E5440,1)</f>
        <v>10</v>
      </c>
      <c r="G5440" s="314" t="s">
        <v>9870</v>
      </c>
      <c r="H5440" s="458" t="str">
        <f t="shared" ref="H5440:H5451" si="691">B5440</f>
        <v>CMC_7.25kVAR/400V</v>
      </c>
      <c r="I5440" s="452"/>
      <c r="J5440" s="515" t="s">
        <v>5984</v>
      </c>
      <c r="K5440" s="452" t="s">
        <v>741</v>
      </c>
      <c r="L5440" s="185"/>
    </row>
    <row r="5441" spans="1:12">
      <c r="A5441" s="1365"/>
      <c r="B5441" s="144" t="s">
        <v>9871</v>
      </c>
      <c r="C5441" s="359"/>
      <c r="D5441" s="359">
        <f t="shared" si="690"/>
        <v>0</v>
      </c>
      <c r="E5441" s="215">
        <v>10</v>
      </c>
      <c r="F5441" s="511">
        <f>ROUNDUP(D5441+E5441,1)</f>
        <v>10</v>
      </c>
      <c r="G5441" s="314" t="s">
        <v>9872</v>
      </c>
      <c r="H5441" s="458" t="str">
        <f t="shared" si="691"/>
        <v>CMC_13.8kVAR/400V</v>
      </c>
      <c r="I5441" s="452"/>
      <c r="J5441" s="515" t="s">
        <v>5984</v>
      </c>
      <c r="K5441" s="452" t="s">
        <v>741</v>
      </c>
      <c r="L5441" s="185"/>
    </row>
    <row r="5442" spans="1:12">
      <c r="A5442" s="1399"/>
      <c r="B5442" s="144" t="s">
        <v>6011</v>
      </c>
      <c r="C5442" s="359">
        <v>40</v>
      </c>
      <c r="D5442" s="359">
        <f t="shared" si="690"/>
        <v>90.909090909090907</v>
      </c>
      <c r="E5442" s="215">
        <v>10</v>
      </c>
      <c r="F5442" s="511">
        <f>ROUNDUP(D5442+E5442,1)</f>
        <v>101</v>
      </c>
      <c r="G5442" s="314" t="s">
        <v>8693</v>
      </c>
      <c r="H5442" s="458" t="str">
        <f t="shared" si="691"/>
        <v>CMC_10kVAR/400V</v>
      </c>
      <c r="I5442" s="452"/>
      <c r="J5442" s="515" t="s">
        <v>5984</v>
      </c>
      <c r="K5442" s="452" t="s">
        <v>741</v>
      </c>
      <c r="L5442" s="185"/>
    </row>
    <row r="5443" spans="1:12">
      <c r="A5443" s="1399"/>
      <c r="B5443" s="1839" t="s">
        <v>6012</v>
      </c>
      <c r="C5443" s="359">
        <v>65</v>
      </c>
      <c r="D5443" s="359">
        <f t="shared" ref="D5443" si="692">C5443*(1-0)*fcl</f>
        <v>147.72727272727272</v>
      </c>
      <c r="E5443" s="215">
        <v>10</v>
      </c>
      <c r="F5443" s="511">
        <f t="shared" ref="F5443:F5451" si="693">ROUNDUP(D5443+E5443,1)</f>
        <v>157.79999999999998</v>
      </c>
      <c r="G5443" s="314" t="s">
        <v>8694</v>
      </c>
      <c r="H5443" s="458" t="str">
        <f t="shared" si="691"/>
        <v>CMC_15kVAR/400V</v>
      </c>
      <c r="I5443" s="452"/>
      <c r="J5443" s="515" t="s">
        <v>5984</v>
      </c>
      <c r="K5443" s="452" t="s">
        <v>741</v>
      </c>
      <c r="L5443" s="185"/>
    </row>
    <row r="5444" spans="1:12" s="1810" customFormat="1">
      <c r="A5444" s="1807"/>
      <c r="B5444" s="144" t="s">
        <v>6013</v>
      </c>
      <c r="C5444" s="359">
        <v>50</v>
      </c>
      <c r="D5444" s="359">
        <f t="shared" si="690"/>
        <v>113.63636363636363</v>
      </c>
      <c r="E5444" s="215">
        <v>10</v>
      </c>
      <c r="F5444" s="511">
        <f t="shared" si="693"/>
        <v>123.69999999999999</v>
      </c>
      <c r="G5444" s="314" t="s">
        <v>11751</v>
      </c>
      <c r="H5444" s="1808" t="str">
        <f t="shared" si="691"/>
        <v>CMC_20kVAR/400V</v>
      </c>
      <c r="I5444" s="1809"/>
      <c r="J5444" s="1807" t="s">
        <v>5984</v>
      </c>
      <c r="K5444" s="1809" t="s">
        <v>741</v>
      </c>
    </row>
    <row r="5445" spans="1:12">
      <c r="A5445" s="1365"/>
      <c r="B5445" s="144" t="s">
        <v>9873</v>
      </c>
      <c r="C5445" s="359"/>
      <c r="D5445" s="359">
        <f t="shared" si="690"/>
        <v>0</v>
      </c>
      <c r="E5445" s="215">
        <v>10</v>
      </c>
      <c r="F5445" s="511">
        <f>ROUNDUP(D5445+E5445,1)</f>
        <v>10</v>
      </c>
      <c r="G5445" s="314" t="s">
        <v>9874</v>
      </c>
      <c r="H5445" s="458" t="str">
        <f t="shared" si="691"/>
        <v>CMC_27.7kVAR/400V</v>
      </c>
      <c r="I5445" s="452"/>
      <c r="J5445" s="515" t="s">
        <v>5984</v>
      </c>
      <c r="K5445" s="452" t="s">
        <v>741</v>
      </c>
      <c r="L5445" s="185"/>
    </row>
    <row r="5446" spans="1:12" s="1814" customFormat="1">
      <c r="A5446" s="1811"/>
      <c r="B5446" s="144" t="s">
        <v>3393</v>
      </c>
      <c r="C5446" s="359">
        <v>70</v>
      </c>
      <c r="D5446" s="359">
        <f t="shared" si="690"/>
        <v>159.09090909090907</v>
      </c>
      <c r="E5446" s="215">
        <v>10</v>
      </c>
      <c r="F5446" s="511">
        <f t="shared" si="693"/>
        <v>169.1</v>
      </c>
      <c r="G5446" s="314" t="s">
        <v>11752</v>
      </c>
      <c r="H5446" s="1812" t="str">
        <f t="shared" si="691"/>
        <v>CMC_30kVAR/400V</v>
      </c>
      <c r="I5446" s="1813"/>
      <c r="J5446" s="1811" t="s">
        <v>5984</v>
      </c>
      <c r="K5446" s="1813" t="s">
        <v>741</v>
      </c>
    </row>
    <row r="5447" spans="1:12" s="1817" customFormat="1">
      <c r="A5447" s="1547"/>
      <c r="B5447" s="144" t="s">
        <v>3384</v>
      </c>
      <c r="C5447" s="359"/>
      <c r="D5447" s="359">
        <v>220</v>
      </c>
      <c r="E5447" s="215">
        <v>10</v>
      </c>
      <c r="F5447" s="511">
        <f t="shared" si="693"/>
        <v>230</v>
      </c>
      <c r="G5447" s="314" t="s">
        <v>8695</v>
      </c>
      <c r="H5447" s="1815" t="str">
        <f t="shared" si="691"/>
        <v>CMC_40kVAR/400V</v>
      </c>
      <c r="I5447" s="1816"/>
      <c r="J5447" s="1547" t="s">
        <v>5984</v>
      </c>
      <c r="K5447" s="1816" t="s">
        <v>741</v>
      </c>
    </row>
    <row r="5448" spans="1:12">
      <c r="A5448" s="1399"/>
      <c r="B5448" s="1839" t="s">
        <v>13943</v>
      </c>
      <c r="C5448" s="359">
        <v>110</v>
      </c>
      <c r="D5448" s="359">
        <f t="shared" ref="D5448" si="694">C5448*(1-0)*fcl</f>
        <v>249.99999999999997</v>
      </c>
      <c r="E5448" s="215">
        <v>10</v>
      </c>
      <c r="F5448" s="511">
        <f t="shared" si="693"/>
        <v>260</v>
      </c>
      <c r="G5448" s="314" t="s">
        <v>13944</v>
      </c>
      <c r="H5448" s="458" t="str">
        <f t="shared" si="691"/>
        <v>CMC_50kVAR/400V</v>
      </c>
      <c r="I5448" s="452"/>
      <c r="J5448" s="515" t="s">
        <v>5984</v>
      </c>
      <c r="K5448" s="452" t="s">
        <v>741</v>
      </c>
      <c r="L5448" s="185"/>
    </row>
    <row r="5449" spans="1:12">
      <c r="A5449" s="515"/>
      <c r="B5449" s="144" t="s">
        <v>3386</v>
      </c>
      <c r="C5449" s="359"/>
      <c r="D5449" s="359">
        <f t="shared" si="690"/>
        <v>0</v>
      </c>
      <c r="E5449" s="215">
        <v>10</v>
      </c>
      <c r="F5449" s="511">
        <f t="shared" si="693"/>
        <v>10</v>
      </c>
      <c r="G5449" s="314" t="s">
        <v>8696</v>
      </c>
      <c r="H5449" s="458" t="str">
        <f t="shared" si="691"/>
        <v>CMC_60kVAR/400V</v>
      </c>
      <c r="I5449" s="452"/>
      <c r="J5449" s="515" t="s">
        <v>5984</v>
      </c>
      <c r="K5449" s="452" t="s">
        <v>741</v>
      </c>
      <c r="L5449" s="185"/>
    </row>
    <row r="5450" spans="1:12">
      <c r="A5450" s="515"/>
      <c r="B5450" s="144" t="s">
        <v>3387</v>
      </c>
      <c r="C5450" s="359">
        <v>230</v>
      </c>
      <c r="D5450" s="359">
        <f t="shared" si="690"/>
        <v>522.72727272727263</v>
      </c>
      <c r="E5450" s="215">
        <v>10</v>
      </c>
      <c r="F5450" s="511">
        <f>ROUNDUP(D5450+E5450,1)</f>
        <v>532.80000000000007</v>
      </c>
      <c r="G5450" s="314" t="s">
        <v>8697</v>
      </c>
      <c r="H5450" s="458" t="str">
        <f t="shared" si="691"/>
        <v>CMC_80kVAR/400V</v>
      </c>
      <c r="I5450" s="452"/>
      <c r="J5450" s="515" t="s">
        <v>5984</v>
      </c>
      <c r="K5450" s="452" t="s">
        <v>741</v>
      </c>
      <c r="L5450" s="185"/>
    </row>
    <row r="5451" spans="1:12">
      <c r="A5451" s="515"/>
      <c r="B5451" s="144" t="s">
        <v>8698</v>
      </c>
      <c r="C5451" s="359"/>
      <c r="D5451" s="359">
        <f t="shared" si="690"/>
        <v>0</v>
      </c>
      <c r="E5451" s="215">
        <v>10</v>
      </c>
      <c r="F5451" s="511">
        <f t="shared" si="693"/>
        <v>10</v>
      </c>
      <c r="G5451" s="314" t="s">
        <v>9761</v>
      </c>
      <c r="H5451" s="458" t="str">
        <f t="shared" si="691"/>
        <v>CMC_90kVAR/400V</v>
      </c>
      <c r="I5451" s="452"/>
      <c r="J5451" s="515" t="s">
        <v>5984</v>
      </c>
      <c r="K5451" s="452" t="s">
        <v>741</v>
      </c>
      <c r="L5451" s="185"/>
    </row>
    <row r="5452" spans="1:12" ht="15.6">
      <c r="A5452" s="515"/>
      <c r="B5452" s="1410"/>
      <c r="C5452" s="359"/>
      <c r="D5452" s="359"/>
      <c r="E5452" s="215"/>
      <c r="F5452" s="511"/>
      <c r="G5452" s="518"/>
      <c r="H5452" s="518"/>
      <c r="I5452" s="452"/>
      <c r="J5452" s="515"/>
      <c r="K5452" s="452"/>
    </row>
    <row r="5453" spans="1:12">
      <c r="A5453" s="515"/>
      <c r="B5453" s="144" t="s">
        <v>12275</v>
      </c>
      <c r="C5453" s="359">
        <v>32</v>
      </c>
      <c r="D5453" s="359">
        <f>C5453*(1-0)*fcl</f>
        <v>72.72727272727272</v>
      </c>
      <c r="E5453" s="215">
        <v>10</v>
      </c>
      <c r="F5453" s="511">
        <f>ROUNDUP(D5453+E5453,1)</f>
        <v>82.8</v>
      </c>
      <c r="G5453" s="314" t="s">
        <v>12276</v>
      </c>
      <c r="H5453" s="458" t="str">
        <f>B5453</f>
        <v>CMC_12.5kVAR/440V</v>
      </c>
      <c r="I5453" s="452"/>
      <c r="J5453" s="515" t="s">
        <v>5984</v>
      </c>
      <c r="K5453" s="452" t="s">
        <v>741</v>
      </c>
      <c r="L5453" s="185"/>
    </row>
    <row r="5454" spans="1:12">
      <c r="A5454" s="515"/>
      <c r="B5454" s="144" t="s">
        <v>12277</v>
      </c>
      <c r="C5454" s="359"/>
      <c r="D5454" s="359">
        <f>C5454*(1-0)*fcl</f>
        <v>0</v>
      </c>
      <c r="E5454" s="215">
        <v>10</v>
      </c>
      <c r="F5454" s="511">
        <f>ROUNDUP(D5454+E5454,1)</f>
        <v>10</v>
      </c>
      <c r="G5454" s="314" t="s">
        <v>12278</v>
      </c>
      <c r="H5454" s="458" t="str">
        <f>B5454</f>
        <v>CMC_25kVAR/440V</v>
      </c>
      <c r="I5454" s="452"/>
      <c r="J5454" s="515" t="s">
        <v>5984</v>
      </c>
      <c r="K5454" s="452" t="s">
        <v>741</v>
      </c>
      <c r="L5454" s="185"/>
    </row>
    <row r="5455" spans="1:12" ht="15.6">
      <c r="A5455" s="515"/>
      <c r="B5455" s="1410"/>
      <c r="C5455" s="359"/>
      <c r="D5455" s="359"/>
      <c r="E5455" s="215"/>
      <c r="F5455" s="511"/>
      <c r="G5455" s="518"/>
      <c r="H5455" s="518"/>
      <c r="I5455" s="452"/>
      <c r="J5455" s="515"/>
      <c r="K5455" s="452"/>
    </row>
    <row r="5456" spans="1:12">
      <c r="A5456" s="1411"/>
      <c r="B5456" s="144" t="s">
        <v>8718</v>
      </c>
      <c r="C5456" s="359"/>
      <c r="D5456" s="359">
        <f>C5456*(1-0)*fcl</f>
        <v>0</v>
      </c>
      <c r="E5456" s="215">
        <v>10</v>
      </c>
      <c r="F5456" s="511">
        <f>ROUNDUP(D5456+E5456,1)</f>
        <v>10</v>
      </c>
      <c r="G5456" s="314" t="s">
        <v>8719</v>
      </c>
      <c r="H5456" s="458" t="str">
        <f>B5456</f>
        <v>CMC_15kVAR/460V</v>
      </c>
      <c r="I5456" s="452"/>
      <c r="J5456" s="515" t="s">
        <v>5984</v>
      </c>
      <c r="K5456" s="452" t="s">
        <v>741</v>
      </c>
      <c r="L5456" s="185"/>
    </row>
    <row r="5457" spans="1:12">
      <c r="A5457" s="1411"/>
      <c r="B5457" s="144" t="s">
        <v>8720</v>
      </c>
      <c r="C5457" s="359"/>
      <c r="D5457" s="359">
        <f>C5457*(1-0)*fcl</f>
        <v>0</v>
      </c>
      <c r="E5457" s="215">
        <v>10</v>
      </c>
      <c r="F5457" s="511">
        <f>ROUNDUP(D5457+E5457,1)</f>
        <v>10</v>
      </c>
      <c r="G5457" s="314" t="s">
        <v>8721</v>
      </c>
      <c r="H5457" s="458" t="str">
        <f>B5457</f>
        <v>CMC_30kVAR/460V</v>
      </c>
      <c r="I5457" s="452"/>
      <c r="J5457" s="515" t="s">
        <v>5984</v>
      </c>
      <c r="K5457" s="452" t="s">
        <v>741</v>
      </c>
      <c r="L5457" s="185"/>
    </row>
    <row r="5458" spans="1:12">
      <c r="A5458" s="515"/>
      <c r="B5458" s="144"/>
      <c r="C5458" s="359"/>
      <c r="D5458" s="359"/>
      <c r="E5458" s="215"/>
      <c r="F5458" s="511"/>
      <c r="G5458" s="518"/>
      <c r="H5458" s="458"/>
      <c r="I5458" s="452"/>
      <c r="J5458" s="515"/>
      <c r="K5458" s="452"/>
      <c r="L5458" s="185"/>
    </row>
    <row r="5459" spans="1:12">
      <c r="A5459" s="515"/>
      <c r="B5459" s="144"/>
      <c r="C5459" s="359"/>
      <c r="D5459" s="359"/>
      <c r="E5459" s="215"/>
      <c r="F5459" s="511"/>
      <c r="G5459" s="518"/>
      <c r="H5459" s="458"/>
      <c r="I5459" s="452"/>
      <c r="J5459" s="515"/>
      <c r="K5459" s="452"/>
      <c r="L5459" s="185"/>
    </row>
    <row r="5460" spans="1:12">
      <c r="A5460" s="1411"/>
      <c r="B5460" s="144" t="s">
        <v>6008</v>
      </c>
      <c r="C5460" s="359">
        <v>350</v>
      </c>
      <c r="D5460" s="359">
        <f>C5460*(1-0)*fcl</f>
        <v>795.45454545454538</v>
      </c>
      <c r="E5460" s="215">
        <v>30</v>
      </c>
      <c r="F5460" s="511">
        <f>ROUNDUP(D5460+E5460,1)</f>
        <v>825.5</v>
      </c>
      <c r="G5460" s="518" t="s">
        <v>6009</v>
      </c>
      <c r="H5460" s="458" t="str">
        <f>B5460</f>
        <v>REG_SMART_III_14p</v>
      </c>
      <c r="I5460" s="452"/>
      <c r="J5460" s="515" t="s">
        <v>5984</v>
      </c>
      <c r="K5460" s="452"/>
      <c r="L5460" s="185"/>
    </row>
    <row r="5461" spans="1:12">
      <c r="A5461" s="1399"/>
      <c r="B5461" s="144" t="s">
        <v>6010</v>
      </c>
      <c r="C5461" s="359">
        <v>330</v>
      </c>
      <c r="D5461" s="359">
        <f>C5461*(1-0)*fcl</f>
        <v>749.99999999999989</v>
      </c>
      <c r="E5461" s="215">
        <v>30</v>
      </c>
      <c r="F5461" s="511">
        <f>ROUNDUP(D5461+E5461,1)</f>
        <v>780</v>
      </c>
      <c r="G5461" s="518" t="s">
        <v>1951</v>
      </c>
      <c r="H5461" s="458" t="str">
        <f>B5461</f>
        <v>REG_SMART_III_12p</v>
      </c>
      <c r="I5461" s="452"/>
      <c r="J5461" s="515" t="s">
        <v>5984</v>
      </c>
      <c r="K5461" s="452"/>
      <c r="L5461" s="185"/>
    </row>
    <row r="5462" spans="1:12">
      <c r="A5462" s="1399"/>
      <c r="B5462" s="144" t="s">
        <v>4784</v>
      </c>
      <c r="C5462" s="359">
        <v>300</v>
      </c>
      <c r="D5462" s="359">
        <f>C5462*(1-0)*fcl</f>
        <v>681.81818181818176</v>
      </c>
      <c r="E5462" s="215">
        <v>30</v>
      </c>
      <c r="F5462" s="511">
        <f>ROUNDUP(D5462+E5462,1)</f>
        <v>711.9</v>
      </c>
      <c r="G5462" s="518" t="s">
        <v>5089</v>
      </c>
      <c r="H5462" s="458" t="str">
        <f>B5462</f>
        <v>REG_SMART_III_6p</v>
      </c>
      <c r="I5462" s="452"/>
      <c r="J5462" s="515" t="s">
        <v>5984</v>
      </c>
      <c r="K5462" s="452"/>
      <c r="L5462" s="185"/>
    </row>
    <row r="5463" spans="1:12">
      <c r="A5463" s="515"/>
      <c r="B5463" s="144"/>
      <c r="C5463" s="185"/>
      <c r="D5463" s="215"/>
      <c r="E5463" s="215"/>
      <c r="F5463" s="511"/>
      <c r="G5463" s="518"/>
      <c r="H5463" s="458"/>
      <c r="I5463" s="452"/>
      <c r="J5463" s="515"/>
      <c r="K5463" s="452"/>
      <c r="L5463" s="185"/>
    </row>
    <row r="5464" spans="1:12">
      <c r="A5464" s="515"/>
      <c r="B5464" s="144"/>
      <c r="C5464" s="185"/>
      <c r="D5464" s="215"/>
      <c r="E5464" s="215"/>
      <c r="F5464" s="511"/>
      <c r="G5464" s="518"/>
      <c r="H5464" s="458"/>
      <c r="I5464" s="452"/>
      <c r="J5464" s="515"/>
      <c r="K5464" s="452"/>
      <c r="L5464" s="185"/>
    </row>
    <row r="5465" spans="1:12">
      <c r="A5465" s="515"/>
      <c r="B5465" s="144"/>
      <c r="C5465" s="185"/>
      <c r="D5465" s="196"/>
      <c r="E5465" s="215"/>
      <c r="F5465" s="511"/>
      <c r="G5465" s="518"/>
      <c r="H5465" s="139"/>
      <c r="I5465" s="452"/>
      <c r="J5465" s="515"/>
      <c r="K5465" s="452"/>
      <c r="L5465" s="185"/>
    </row>
    <row r="5466" spans="1:12" s="185" customFormat="1">
      <c r="A5466" s="515"/>
      <c r="B5466" s="718" t="s">
        <v>8722</v>
      </c>
      <c r="C5466" s="155"/>
      <c r="D5466" s="155"/>
      <c r="E5466" s="215"/>
      <c r="F5466" s="511"/>
      <c r="G5466" s="518"/>
      <c r="H5466" s="139"/>
      <c r="I5466" s="452"/>
      <c r="J5466" s="515"/>
      <c r="K5466" s="452"/>
    </row>
    <row r="5467" spans="1:12" s="185" customFormat="1">
      <c r="A5467" s="515"/>
      <c r="B5467" s="718"/>
      <c r="C5467" s="155"/>
      <c r="D5467" s="155"/>
      <c r="E5467" s="215"/>
      <c r="F5467" s="511"/>
      <c r="H5467" s="139"/>
      <c r="I5467" s="452"/>
      <c r="J5467" s="515"/>
      <c r="K5467" s="452"/>
    </row>
    <row r="5468" spans="1:12">
      <c r="A5468" s="1411"/>
      <c r="B5468" s="144" t="s">
        <v>13945</v>
      </c>
      <c r="C5468" s="215">
        <v>420</v>
      </c>
      <c r="D5468" s="155">
        <f>C5468*fcl</f>
        <v>954.54545454545439</v>
      </c>
      <c r="E5468" s="215">
        <v>20</v>
      </c>
      <c r="F5468" s="511">
        <f>ROUNDUP(D5468+E5468,1)</f>
        <v>974.6</v>
      </c>
      <c r="G5468" s="314" t="s">
        <v>13946</v>
      </c>
      <c r="H5468" s="458" t="str">
        <f>B5468</f>
        <v>LM25-M</v>
      </c>
      <c r="I5468" s="452"/>
      <c r="J5468" s="515" t="s">
        <v>5984</v>
      </c>
      <c r="K5468" s="452" t="s">
        <v>741</v>
      </c>
      <c r="L5468" s="185"/>
    </row>
    <row r="5469" spans="1:12" s="185" customFormat="1">
      <c r="A5469" s="515"/>
      <c r="B5469" s="718"/>
      <c r="C5469" s="155"/>
      <c r="D5469" s="155"/>
      <c r="E5469" s="215"/>
      <c r="F5469" s="511"/>
      <c r="H5469" s="139"/>
      <c r="I5469" s="452"/>
      <c r="J5469" s="515"/>
      <c r="K5469" s="452"/>
    </row>
    <row r="5470" spans="1:12">
      <c r="A5470" s="1411"/>
      <c r="B5470" s="144" t="s">
        <v>12878</v>
      </c>
      <c r="C5470" s="215">
        <v>678.03</v>
      </c>
      <c r="D5470" s="155">
        <f>C5470*(1-0.2)*fcl</f>
        <v>1232.7818181818179</v>
      </c>
      <c r="E5470" s="215">
        <v>10</v>
      </c>
      <c r="F5470" s="511">
        <f>ROUNDUP(D5470+E5470,1)</f>
        <v>1242.8</v>
      </c>
      <c r="G5470" s="314" t="s">
        <v>12879</v>
      </c>
      <c r="H5470" s="458" t="str">
        <f>B5470</f>
        <v>CBS-4C</v>
      </c>
      <c r="I5470" s="452"/>
      <c r="J5470" s="515" t="s">
        <v>5984</v>
      </c>
      <c r="K5470" s="452" t="s">
        <v>741</v>
      </c>
      <c r="L5470" s="185"/>
    </row>
    <row r="5471" spans="1:12">
      <c r="A5471" s="1411"/>
      <c r="B5471" s="144"/>
      <c r="C5471" s="155"/>
      <c r="D5471" s="155"/>
      <c r="E5471" s="215"/>
      <c r="F5471" s="511"/>
      <c r="G5471" s="314"/>
      <c r="H5471" s="458"/>
      <c r="I5471" s="452"/>
      <c r="J5471" s="515"/>
      <c r="K5471" s="452"/>
      <c r="L5471" s="185"/>
    </row>
    <row r="5472" spans="1:12">
      <c r="A5472" s="1411"/>
      <c r="B5472" s="144" t="s">
        <v>9394</v>
      </c>
      <c r="C5472" s="215">
        <v>9.3800000000000008</v>
      </c>
      <c r="D5472" s="155">
        <f>C5472*(1-0.2)*fcl</f>
        <v>17.054545454545455</v>
      </c>
      <c r="E5472" s="215">
        <v>10</v>
      </c>
      <c r="F5472" s="511">
        <f>ROUNDUP(D5472+E5472,1)</f>
        <v>27.1</v>
      </c>
      <c r="G5472" s="314" t="s">
        <v>11599</v>
      </c>
      <c r="H5472" s="458"/>
      <c r="I5472" s="452"/>
      <c r="J5472" s="515"/>
      <c r="K5472" s="452"/>
      <c r="L5472" s="185"/>
    </row>
    <row r="5473" spans="1:12" s="185" customFormat="1">
      <c r="A5473" s="515"/>
      <c r="B5473" s="144"/>
      <c r="C5473" s="155"/>
      <c r="D5473" s="155"/>
      <c r="E5473" s="215"/>
      <c r="F5473" s="511"/>
      <c r="G5473" s="518"/>
      <c r="H5473" s="139"/>
      <c r="I5473" s="452"/>
      <c r="J5473" s="515"/>
      <c r="K5473" s="452"/>
    </row>
    <row r="5474" spans="1:12">
      <c r="A5474" s="1411"/>
      <c r="B5474" s="144" t="s">
        <v>13947</v>
      </c>
      <c r="C5474" s="215">
        <v>260</v>
      </c>
      <c r="D5474" s="155">
        <v>260</v>
      </c>
      <c r="E5474" s="215">
        <v>10</v>
      </c>
      <c r="F5474" s="511">
        <f>ROUNDUP(D5474+E5474,1)</f>
        <v>270</v>
      </c>
      <c r="G5474" s="314" t="s">
        <v>13948</v>
      </c>
      <c r="H5474" s="458" t="str">
        <f>B5474</f>
        <v>RGU-2</v>
      </c>
      <c r="I5474" s="452"/>
      <c r="J5474" s="515" t="s">
        <v>5984</v>
      </c>
      <c r="K5474" s="452" t="s">
        <v>741</v>
      </c>
      <c r="L5474" s="185"/>
    </row>
    <row r="5475" spans="1:12">
      <c r="A5475" s="1411"/>
      <c r="B5475" s="144" t="s">
        <v>6015</v>
      </c>
      <c r="C5475" s="215">
        <v>254</v>
      </c>
      <c r="D5475" s="155">
        <f>C5475*(1-0.2)*fcl</f>
        <v>461.81818181818181</v>
      </c>
      <c r="E5475" s="215">
        <v>10</v>
      </c>
      <c r="F5475" s="511">
        <f>ROUNDUP(D5475+E5475,1)</f>
        <v>471.90000000000003</v>
      </c>
      <c r="G5475" s="314" t="s">
        <v>6016</v>
      </c>
      <c r="H5475" s="458" t="str">
        <f>B5475</f>
        <v>RGU-10</v>
      </c>
      <c r="I5475" s="452"/>
      <c r="J5475" s="515" t="s">
        <v>5984</v>
      </c>
      <c r="K5475" s="452" t="s">
        <v>741</v>
      </c>
      <c r="L5475" s="185"/>
    </row>
    <row r="5476" spans="1:12">
      <c r="A5476" s="1411"/>
      <c r="B5476" s="144" t="s">
        <v>8724</v>
      </c>
      <c r="C5476" s="215">
        <f>1.67*168*0.8</f>
        <v>224.44800000000001</v>
      </c>
      <c r="D5476" s="155">
        <f>C5476*(1-0.2)*fcl</f>
        <v>408.0872727272727</v>
      </c>
      <c r="E5476" s="215">
        <v>10</v>
      </c>
      <c r="F5476" s="511">
        <f>ROUNDUP(D5476+E5476,1)</f>
        <v>418.1</v>
      </c>
      <c r="G5476" s="314" t="s">
        <v>8725</v>
      </c>
      <c r="H5476" s="458" t="str">
        <f>B5476</f>
        <v>RGU-10C</v>
      </c>
      <c r="I5476" s="452"/>
      <c r="J5476" s="515" t="s">
        <v>5984</v>
      </c>
      <c r="K5476" s="452" t="s">
        <v>741</v>
      </c>
      <c r="L5476" s="185"/>
    </row>
    <row r="5477" spans="1:12" s="185" customFormat="1">
      <c r="A5477" s="515"/>
      <c r="B5477" s="144"/>
      <c r="C5477" s="215"/>
      <c r="D5477" s="155"/>
      <c r="E5477" s="215"/>
      <c r="F5477" s="511"/>
      <c r="G5477" s="314"/>
      <c r="H5477" s="139"/>
      <c r="I5477" s="452"/>
      <c r="J5477" s="515"/>
      <c r="K5477" s="452"/>
    </row>
    <row r="5478" spans="1:12">
      <c r="A5478" s="1411"/>
      <c r="B5478" s="144" t="s">
        <v>9395</v>
      </c>
      <c r="C5478" s="215">
        <v>51.51</v>
      </c>
      <c r="D5478" s="155">
        <f t="shared" ref="D5478:D5489" si="695">C5478*(1-0.2)*fcl</f>
        <v>93.654545454545442</v>
      </c>
      <c r="E5478" s="215">
        <v>10</v>
      </c>
      <c r="F5478" s="511">
        <f>ROUNDUP(D5478+E5478,1)</f>
        <v>103.69999999999999</v>
      </c>
      <c r="G5478" s="314" t="s">
        <v>9396</v>
      </c>
      <c r="H5478" s="458" t="str">
        <f>B5478</f>
        <v>WGC-20</v>
      </c>
      <c r="I5478" s="452"/>
      <c r="J5478" s="515" t="s">
        <v>5984</v>
      </c>
      <c r="K5478" s="452" t="s">
        <v>741</v>
      </c>
      <c r="L5478" s="185"/>
    </row>
    <row r="5479" spans="1:12">
      <c r="A5479" s="1411"/>
      <c r="B5479" s="144" t="s">
        <v>9397</v>
      </c>
      <c r="C5479" s="215">
        <v>51.51</v>
      </c>
      <c r="D5479" s="155">
        <f t="shared" si="695"/>
        <v>93.654545454545442</v>
      </c>
      <c r="E5479" s="215">
        <v>10</v>
      </c>
      <c r="F5479" s="511">
        <f t="shared" ref="F5479:F5484" si="696">ROUNDUP(D5479+E5479,1)</f>
        <v>103.69999999999999</v>
      </c>
      <c r="G5479" s="314" t="s">
        <v>9398</v>
      </c>
      <c r="H5479" s="458" t="str">
        <f t="shared" ref="H5479:H5484" si="697">B5479</f>
        <v>WGC-25</v>
      </c>
      <c r="I5479" s="452"/>
      <c r="J5479" s="515" t="s">
        <v>5984</v>
      </c>
      <c r="K5479" s="452" t="s">
        <v>741</v>
      </c>
      <c r="L5479" s="185"/>
    </row>
    <row r="5480" spans="1:12">
      <c r="A5480" s="1411"/>
      <c r="B5480" s="144" t="s">
        <v>9399</v>
      </c>
      <c r="C5480" s="215">
        <v>51.51</v>
      </c>
      <c r="D5480" s="155">
        <f t="shared" si="695"/>
        <v>93.654545454545442</v>
      </c>
      <c r="E5480" s="215">
        <v>10</v>
      </c>
      <c r="F5480" s="511">
        <f t="shared" si="696"/>
        <v>103.69999999999999</v>
      </c>
      <c r="G5480" s="314" t="s">
        <v>9400</v>
      </c>
      <c r="H5480" s="458" t="str">
        <f t="shared" si="697"/>
        <v>WGC-30</v>
      </c>
      <c r="I5480" s="452"/>
      <c r="J5480" s="515" t="s">
        <v>5984</v>
      </c>
      <c r="K5480" s="452" t="s">
        <v>741</v>
      </c>
      <c r="L5480" s="185"/>
    </row>
    <row r="5481" spans="1:12">
      <c r="A5481" s="1411"/>
      <c r="B5481" s="144" t="s">
        <v>9401</v>
      </c>
      <c r="C5481" s="215">
        <v>57.05</v>
      </c>
      <c r="D5481" s="155">
        <f t="shared" si="695"/>
        <v>103.72727272727272</v>
      </c>
      <c r="E5481" s="215">
        <v>10</v>
      </c>
      <c r="F5481" s="511">
        <f t="shared" si="696"/>
        <v>113.8</v>
      </c>
      <c r="G5481" s="314" t="s">
        <v>9402</v>
      </c>
      <c r="H5481" s="458" t="str">
        <f t="shared" si="697"/>
        <v>WGC-35</v>
      </c>
      <c r="I5481" s="452"/>
      <c r="J5481" s="515" t="s">
        <v>5984</v>
      </c>
      <c r="K5481" s="452" t="s">
        <v>741</v>
      </c>
      <c r="L5481" s="185"/>
    </row>
    <row r="5482" spans="1:12">
      <c r="A5482" s="1411"/>
      <c r="B5482" s="144" t="s">
        <v>9403</v>
      </c>
      <c r="C5482" s="215">
        <v>74.55</v>
      </c>
      <c r="D5482" s="155">
        <f t="shared" si="695"/>
        <v>135.54545454545453</v>
      </c>
      <c r="E5482" s="215">
        <v>10</v>
      </c>
      <c r="F5482" s="511">
        <f t="shared" si="696"/>
        <v>145.6</v>
      </c>
      <c r="G5482" s="314" t="s">
        <v>9404</v>
      </c>
      <c r="H5482" s="458" t="str">
        <f t="shared" si="697"/>
        <v>WGC-55</v>
      </c>
      <c r="I5482" s="452"/>
      <c r="J5482" s="515" t="s">
        <v>5984</v>
      </c>
      <c r="K5482" s="452" t="s">
        <v>741</v>
      </c>
      <c r="L5482" s="185"/>
    </row>
    <row r="5483" spans="1:12">
      <c r="A5483" s="1411"/>
      <c r="B5483" s="144" t="s">
        <v>9405</v>
      </c>
      <c r="C5483" s="215">
        <v>81.03</v>
      </c>
      <c r="D5483" s="155">
        <f t="shared" si="695"/>
        <v>147.32727272727271</v>
      </c>
      <c r="E5483" s="215">
        <v>10</v>
      </c>
      <c r="F5483" s="511">
        <f t="shared" si="696"/>
        <v>157.4</v>
      </c>
      <c r="G5483" s="314" t="s">
        <v>9406</v>
      </c>
      <c r="H5483" s="458" t="str">
        <f t="shared" si="697"/>
        <v>WGC-80</v>
      </c>
      <c r="I5483" s="452"/>
      <c r="J5483" s="515" t="s">
        <v>5984</v>
      </c>
      <c r="K5483" s="452" t="s">
        <v>741</v>
      </c>
      <c r="L5483" s="185"/>
    </row>
    <row r="5484" spans="1:12">
      <c r="A5484" s="1411"/>
      <c r="B5484" s="144" t="s">
        <v>9407</v>
      </c>
      <c r="C5484" s="215">
        <v>161.93</v>
      </c>
      <c r="D5484" s="155">
        <f t="shared" si="695"/>
        <v>294.41818181818184</v>
      </c>
      <c r="E5484" s="215">
        <v>10</v>
      </c>
      <c r="F5484" s="511">
        <f t="shared" si="696"/>
        <v>304.5</v>
      </c>
      <c r="G5484" s="314" t="s">
        <v>9408</v>
      </c>
      <c r="H5484" s="458" t="str">
        <f t="shared" si="697"/>
        <v>WGC-110</v>
      </c>
      <c r="I5484" s="452"/>
      <c r="J5484" s="515" t="s">
        <v>5984</v>
      </c>
      <c r="K5484" s="452" t="s">
        <v>741</v>
      </c>
      <c r="L5484" s="185"/>
    </row>
    <row r="5485" spans="1:12">
      <c r="A5485" s="1411"/>
      <c r="B5485" s="144" t="s">
        <v>9409</v>
      </c>
      <c r="C5485" s="215">
        <v>370.56</v>
      </c>
      <c r="D5485" s="155">
        <f t="shared" si="695"/>
        <v>673.74545454545455</v>
      </c>
      <c r="E5485" s="215">
        <v>10</v>
      </c>
      <c r="F5485" s="511">
        <f>ROUNDUP(D5485+E5485,1)</f>
        <v>683.80000000000007</v>
      </c>
      <c r="G5485" s="314" t="s">
        <v>9410</v>
      </c>
      <c r="H5485" s="458" t="str">
        <f>B5485</f>
        <v>WGC-140</v>
      </c>
      <c r="I5485" s="452"/>
      <c r="J5485" s="515" t="s">
        <v>5984</v>
      </c>
      <c r="K5485" s="452" t="s">
        <v>741</v>
      </c>
      <c r="L5485" s="185"/>
    </row>
    <row r="5486" spans="1:12">
      <c r="A5486" s="1411"/>
      <c r="B5486" s="144" t="s">
        <v>9411</v>
      </c>
      <c r="C5486" s="215">
        <v>560.11</v>
      </c>
      <c r="D5486" s="155">
        <f t="shared" si="695"/>
        <v>1018.3818181818182</v>
      </c>
      <c r="E5486" s="215">
        <v>10</v>
      </c>
      <c r="F5486" s="511">
        <f>ROUNDUP(D5486+E5486,1)</f>
        <v>1028.3999999999999</v>
      </c>
      <c r="G5486" s="314" t="s">
        <v>9412</v>
      </c>
      <c r="H5486" s="458" t="str">
        <f>B5486</f>
        <v>WGC-180</v>
      </c>
      <c r="I5486" s="452"/>
      <c r="J5486" s="515" t="s">
        <v>5984</v>
      </c>
      <c r="K5486" s="452" t="s">
        <v>741</v>
      </c>
      <c r="L5486" s="185"/>
    </row>
    <row r="5487" spans="1:12">
      <c r="A5487" s="1411"/>
      <c r="B5487" s="144" t="s">
        <v>9413</v>
      </c>
      <c r="C5487" s="215">
        <v>1060.3</v>
      </c>
      <c r="D5487" s="155">
        <f t="shared" si="695"/>
        <v>1927.8181818181815</v>
      </c>
      <c r="E5487" s="215">
        <v>10</v>
      </c>
      <c r="F5487" s="511">
        <f>ROUNDUP(D5487+E5487,1)</f>
        <v>1937.8999999999999</v>
      </c>
      <c r="G5487" s="314" t="s">
        <v>9414</v>
      </c>
      <c r="H5487" s="458" t="str">
        <f>B5487</f>
        <v>WGC-220x105</v>
      </c>
      <c r="I5487" s="452"/>
      <c r="J5487" s="515" t="s">
        <v>5984</v>
      </c>
      <c r="K5487" s="452" t="s">
        <v>741</v>
      </c>
      <c r="L5487" s="185"/>
    </row>
    <row r="5488" spans="1:12">
      <c r="A5488" s="1411"/>
      <c r="B5488" s="144" t="s">
        <v>6017</v>
      </c>
      <c r="C5488" s="215">
        <v>2929.43</v>
      </c>
      <c r="D5488" s="155">
        <f t="shared" si="695"/>
        <v>5326.2363636363625</v>
      </c>
      <c r="E5488" s="215">
        <v>10</v>
      </c>
      <c r="F5488" s="511">
        <f>ROUNDUP(D5488+E5488,1)</f>
        <v>5336.3</v>
      </c>
      <c r="G5488" s="314" t="s">
        <v>9415</v>
      </c>
      <c r="H5488" s="458" t="str">
        <f>B5488</f>
        <v>WGC-350x150</v>
      </c>
      <c r="I5488" s="452"/>
      <c r="J5488" s="515" t="s">
        <v>5984</v>
      </c>
      <c r="K5488" s="452" t="s">
        <v>741</v>
      </c>
      <c r="L5488" s="185"/>
    </row>
    <row r="5489" spans="1:12">
      <c r="A5489" s="1411"/>
      <c r="B5489" s="144" t="s">
        <v>8723</v>
      </c>
      <c r="C5489" s="215">
        <v>4008.69</v>
      </c>
      <c r="D5489" s="155">
        <f t="shared" si="695"/>
        <v>7288.5272727272722</v>
      </c>
      <c r="E5489" s="215">
        <v>10</v>
      </c>
      <c r="F5489" s="511">
        <f>ROUNDUP(D5489+E5489,1)</f>
        <v>7298.6</v>
      </c>
      <c r="G5489" s="314" t="s">
        <v>9416</v>
      </c>
      <c r="H5489" s="458" t="str">
        <f>B5489</f>
        <v>WGC-500x200</v>
      </c>
      <c r="I5489" s="452"/>
      <c r="J5489" s="515" t="s">
        <v>5984</v>
      </c>
      <c r="K5489" s="452" t="s">
        <v>741</v>
      </c>
      <c r="L5489" s="185"/>
    </row>
    <row r="5490" spans="1:12" s="185" customFormat="1">
      <c r="A5490" s="515"/>
      <c r="B5490" s="144"/>
      <c r="C5490" s="215"/>
      <c r="D5490" s="155"/>
      <c r="E5490" s="215"/>
      <c r="F5490" s="511"/>
      <c r="G5490" s="314"/>
      <c r="H5490" s="139"/>
      <c r="I5490" s="452"/>
      <c r="J5490" s="515"/>
      <c r="K5490" s="452"/>
    </row>
    <row r="5491" spans="1:12" s="185" customFormat="1">
      <c r="A5491" s="515"/>
      <c r="B5491" s="144"/>
      <c r="C5491" s="215"/>
      <c r="D5491" s="155"/>
      <c r="E5491" s="215"/>
      <c r="F5491" s="511"/>
      <c r="G5491" s="314"/>
      <c r="H5491" s="139"/>
      <c r="I5491" s="452"/>
      <c r="J5491" s="515"/>
      <c r="K5491" s="452"/>
    </row>
    <row r="5492" spans="1:12">
      <c r="A5492" s="1411"/>
      <c r="B5492" s="144" t="s">
        <v>13949</v>
      </c>
      <c r="C5492" s="215">
        <v>110</v>
      </c>
      <c r="D5492" s="155">
        <f>+C5492</f>
        <v>110</v>
      </c>
      <c r="E5492" s="215">
        <v>10</v>
      </c>
      <c r="F5492" s="511">
        <f t="shared" ref="F5492:F5495" si="698">ROUNDUP(D5492+E5492,1)</f>
        <v>120</v>
      </c>
      <c r="G5492" s="314" t="s">
        <v>13950</v>
      </c>
      <c r="H5492" s="458" t="str">
        <f t="shared" ref="H5492:H5495" si="699">B5492</f>
        <v>WGC-35_A</v>
      </c>
      <c r="I5492" s="452"/>
      <c r="J5492" s="515" t="s">
        <v>5984</v>
      </c>
      <c r="K5492" s="452" t="s">
        <v>741</v>
      </c>
      <c r="L5492" s="185"/>
    </row>
    <row r="5493" spans="1:12">
      <c r="A5493" s="1411"/>
      <c r="B5493" s="144" t="s">
        <v>13951</v>
      </c>
      <c r="C5493" s="215">
        <v>140</v>
      </c>
      <c r="D5493" s="155">
        <f>+C5493</f>
        <v>140</v>
      </c>
      <c r="E5493" s="215">
        <v>10</v>
      </c>
      <c r="F5493" s="511">
        <f t="shared" si="698"/>
        <v>150</v>
      </c>
      <c r="G5493" s="314" t="s">
        <v>13952</v>
      </c>
      <c r="H5493" s="458" t="str">
        <f t="shared" si="699"/>
        <v>WGC-55_A</v>
      </c>
      <c r="I5493" s="452"/>
      <c r="J5493" s="515" t="s">
        <v>5984</v>
      </c>
      <c r="K5493" s="452" t="s">
        <v>741</v>
      </c>
      <c r="L5493" s="185"/>
    </row>
    <row r="5494" spans="1:12">
      <c r="A5494" s="1411"/>
      <c r="B5494" s="144" t="s">
        <v>13953</v>
      </c>
      <c r="C5494" s="215">
        <v>190</v>
      </c>
      <c r="D5494" s="155">
        <f>+C5494</f>
        <v>190</v>
      </c>
      <c r="E5494" s="215">
        <v>10</v>
      </c>
      <c r="F5494" s="511">
        <f t="shared" si="698"/>
        <v>200</v>
      </c>
      <c r="G5494" s="314" t="s">
        <v>13954</v>
      </c>
      <c r="H5494" s="458" t="str">
        <f t="shared" si="699"/>
        <v>WGC-80_A</v>
      </c>
      <c r="I5494" s="452"/>
      <c r="J5494" s="515" t="s">
        <v>5984</v>
      </c>
      <c r="K5494" s="452" t="s">
        <v>741</v>
      </c>
      <c r="L5494" s="185"/>
    </row>
    <row r="5495" spans="1:12">
      <c r="A5495" s="1411"/>
      <c r="B5495" s="144" t="s">
        <v>13955</v>
      </c>
      <c r="C5495" s="215">
        <v>300</v>
      </c>
      <c r="D5495" s="155">
        <f>+C5495</f>
        <v>300</v>
      </c>
      <c r="E5495" s="215">
        <v>10</v>
      </c>
      <c r="F5495" s="511">
        <f t="shared" si="698"/>
        <v>310</v>
      </c>
      <c r="G5495" s="314" t="s">
        <v>13956</v>
      </c>
      <c r="H5495" s="458" t="str">
        <f t="shared" si="699"/>
        <v>WGC-110_A</v>
      </c>
      <c r="I5495" s="452"/>
      <c r="J5495" s="515" t="s">
        <v>5984</v>
      </c>
      <c r="K5495" s="452" t="s">
        <v>741</v>
      </c>
      <c r="L5495" s="185"/>
    </row>
    <row r="5496" spans="1:12">
      <c r="A5496" s="1411"/>
      <c r="B5496" s="144" t="s">
        <v>13957</v>
      </c>
      <c r="C5496" s="215">
        <v>690</v>
      </c>
      <c r="D5496" s="155">
        <f>+C5496</f>
        <v>690</v>
      </c>
      <c r="E5496" s="215">
        <v>10</v>
      </c>
      <c r="F5496" s="511">
        <f>ROUNDUP(D5496+E5496,1)</f>
        <v>700</v>
      </c>
      <c r="G5496" s="314" t="s">
        <v>13958</v>
      </c>
      <c r="H5496" s="458" t="str">
        <f>B5496</f>
        <v>WGC-140_A</v>
      </c>
      <c r="I5496" s="452"/>
      <c r="J5496" s="515" t="s">
        <v>5984</v>
      </c>
      <c r="K5496" s="452" t="s">
        <v>741</v>
      </c>
      <c r="L5496" s="185"/>
    </row>
    <row r="5497" spans="1:12" s="185" customFormat="1">
      <c r="A5497" s="515"/>
      <c r="B5497" s="144"/>
      <c r="C5497" s="215"/>
      <c r="D5497" s="155"/>
      <c r="E5497" s="215"/>
      <c r="F5497" s="511"/>
      <c r="G5497" s="314"/>
      <c r="H5497" s="139"/>
      <c r="I5497" s="452"/>
      <c r="J5497" s="515"/>
      <c r="K5497" s="452"/>
    </row>
    <row r="5498" spans="1:12">
      <c r="A5498" s="1411"/>
      <c r="B5498" s="144" t="s">
        <v>9417</v>
      </c>
      <c r="C5498" s="215">
        <v>3.34</v>
      </c>
      <c r="D5498" s="155">
        <f>C5498*(1-0.2)*fcl</f>
        <v>6.0727272727272723</v>
      </c>
      <c r="E5498" s="215">
        <v>10</v>
      </c>
      <c r="F5498" s="511">
        <f>ROUNDUP(D5498+E5498,1)</f>
        <v>16.100000000000001</v>
      </c>
      <c r="G5498" s="314" t="s">
        <v>9762</v>
      </c>
      <c r="H5498" s="458"/>
      <c r="I5498" s="452"/>
      <c r="J5498" s="515"/>
      <c r="K5498" s="452"/>
      <c r="L5498" s="185"/>
    </row>
    <row r="5499" spans="1:12" s="185" customFormat="1">
      <c r="A5499" s="515"/>
      <c r="B5499" s="144"/>
      <c r="D5499" s="215"/>
      <c r="E5499" s="215"/>
      <c r="F5499" s="511"/>
      <c r="G5499" s="314"/>
      <c r="H5499" s="139"/>
      <c r="I5499" s="452"/>
      <c r="J5499" s="515"/>
      <c r="K5499" s="452"/>
    </row>
    <row r="5500" spans="1:12" s="185" customFormat="1">
      <c r="A5500" s="515"/>
      <c r="B5500" s="144"/>
      <c r="D5500" s="215"/>
      <c r="E5500" s="215"/>
      <c r="F5500" s="511"/>
      <c r="G5500" s="314"/>
      <c r="H5500" s="139"/>
      <c r="I5500" s="452"/>
      <c r="J5500" s="515"/>
      <c r="K5500" s="452"/>
    </row>
    <row r="5501" spans="1:12" s="185" customFormat="1">
      <c r="A5501" s="515"/>
      <c r="B5501" s="144"/>
      <c r="D5501" s="215"/>
      <c r="E5501" s="215"/>
      <c r="F5501" s="511"/>
      <c r="G5501" s="314"/>
      <c r="H5501" s="139"/>
      <c r="I5501" s="452"/>
      <c r="J5501" s="515"/>
      <c r="K5501" s="452"/>
    </row>
    <row r="5502" spans="1:12">
      <c r="A5502" s="365"/>
      <c r="B5502" s="46"/>
      <c r="C5502" s="197"/>
      <c r="D5502" s="201"/>
      <c r="E5502" s="203"/>
      <c r="F5502" s="149"/>
      <c r="G5502" s="21"/>
      <c r="H5502" s="458"/>
      <c r="I5502" s="21"/>
      <c r="J5502" s="21"/>
      <c r="K5502" s="21"/>
      <c r="L5502" s="185"/>
    </row>
    <row r="5503" spans="1:12">
      <c r="A5503" s="370"/>
      <c r="B5503" s="144" t="s">
        <v>1952</v>
      </c>
      <c r="C5503" s="215">
        <f>(12.5+2*0.6)</f>
        <v>13.7</v>
      </c>
      <c r="D5503" s="359">
        <f>C5503*fcl</f>
        <v>31.136363636363633</v>
      </c>
      <c r="E5503" s="215">
        <v>5</v>
      </c>
      <c r="F5503" s="511">
        <f t="shared" ref="F5503:F5513" si="700">ROUNDUP(D5503+E5503,1)</f>
        <v>36.200000000000003</v>
      </c>
      <c r="G5503" s="145" t="s">
        <v>1953</v>
      </c>
      <c r="H5503" s="458" t="str">
        <f t="shared" ref="H5503:H5510" si="701">B5503</f>
        <v>BASE_FUSIBLE_NH</v>
      </c>
      <c r="I5503" s="315"/>
      <c r="J5503" s="515" t="s">
        <v>1954</v>
      </c>
      <c r="K5503" s="452" t="s">
        <v>741</v>
      </c>
      <c r="L5503" s="185"/>
    </row>
    <row r="5504" spans="1:12">
      <c r="A5504" s="370"/>
      <c r="B5504" s="144" t="s">
        <v>12208</v>
      </c>
      <c r="C5504" s="560">
        <v>18</v>
      </c>
      <c r="D5504" s="359">
        <f>C5504*fcl/TC</f>
        <v>12.211668928086837</v>
      </c>
      <c r="E5504" s="215">
        <v>0</v>
      </c>
      <c r="F5504" s="511">
        <f t="shared" si="700"/>
        <v>12.299999999999999</v>
      </c>
      <c r="G5504" s="145" t="s">
        <v>12209</v>
      </c>
      <c r="H5504" s="458" t="str">
        <f t="shared" si="701"/>
        <v>FUSIBLE_NH-000_125A</v>
      </c>
      <c r="I5504" s="315"/>
      <c r="J5504" s="515" t="s">
        <v>1954</v>
      </c>
      <c r="K5504" s="452" t="s">
        <v>741</v>
      </c>
      <c r="L5504" s="185"/>
    </row>
    <row r="5505" spans="1:12">
      <c r="A5505" s="370"/>
      <c r="B5505" s="144" t="s">
        <v>12210</v>
      </c>
      <c r="C5505" s="560">
        <v>16</v>
      </c>
      <c r="D5505" s="359">
        <f>C5505*fcl/TC</f>
        <v>10.854816824966077</v>
      </c>
      <c r="E5505" s="215">
        <v>0</v>
      </c>
      <c r="F5505" s="511">
        <f t="shared" si="700"/>
        <v>10.9</v>
      </c>
      <c r="G5505" s="145" t="s">
        <v>12211</v>
      </c>
      <c r="H5505" s="458" t="str">
        <f t="shared" si="701"/>
        <v>FUSIBLE_NH-000_80A</v>
      </c>
      <c r="I5505" s="315"/>
      <c r="J5505" s="515" t="s">
        <v>1954</v>
      </c>
      <c r="K5505" s="452" t="s">
        <v>741</v>
      </c>
      <c r="L5505" s="185"/>
    </row>
    <row r="5506" spans="1:12">
      <c r="A5506" s="370"/>
      <c r="B5506" s="144" t="s">
        <v>4689</v>
      </c>
      <c r="C5506" s="215">
        <v>2.6</v>
      </c>
      <c r="D5506" s="359">
        <f>C5506*fcl</f>
        <v>5.9090909090909083</v>
      </c>
      <c r="E5506" s="215">
        <v>0</v>
      </c>
      <c r="F5506" s="511">
        <f t="shared" si="700"/>
        <v>6</v>
      </c>
      <c r="G5506" s="145" t="s">
        <v>5091</v>
      </c>
      <c r="H5506" s="458" t="str">
        <f t="shared" si="701"/>
        <v>FUSIBLE_NH-000_63A</v>
      </c>
      <c r="I5506" s="315"/>
      <c r="J5506" s="515" t="s">
        <v>1954</v>
      </c>
      <c r="K5506" s="452" t="s">
        <v>741</v>
      </c>
      <c r="L5506" s="185"/>
    </row>
    <row r="5507" spans="1:12">
      <c r="A5507" s="370"/>
      <c r="B5507" s="144" t="s">
        <v>4690</v>
      </c>
      <c r="C5507" s="1386">
        <v>10.7</v>
      </c>
      <c r="D5507" s="1833">
        <f t="shared" ref="D5507:D5513" si="702">C5507*fcl/TC</f>
        <v>7.259158751696063</v>
      </c>
      <c r="E5507" s="1388">
        <v>0</v>
      </c>
      <c r="F5507" s="517">
        <f t="shared" si="700"/>
        <v>7.3</v>
      </c>
      <c r="G5507" s="145" t="s">
        <v>5092</v>
      </c>
      <c r="H5507" s="458" t="str">
        <f t="shared" si="701"/>
        <v>FUSIBLE_NH-000_50A</v>
      </c>
      <c r="I5507" s="315"/>
      <c r="J5507" s="515" t="s">
        <v>1954</v>
      </c>
      <c r="K5507" s="452" t="s">
        <v>741</v>
      </c>
      <c r="L5507" s="185"/>
    </row>
    <row r="5508" spans="1:12" s="185" customFormat="1">
      <c r="A5508" s="370"/>
      <c r="B5508" s="144" t="s">
        <v>12236</v>
      </c>
      <c r="C5508" s="560">
        <v>16</v>
      </c>
      <c r="D5508" s="359">
        <f t="shared" si="702"/>
        <v>10.854816824966077</v>
      </c>
      <c r="E5508" s="215">
        <v>0</v>
      </c>
      <c r="F5508" s="511">
        <f t="shared" si="700"/>
        <v>10.9</v>
      </c>
      <c r="G5508" s="145" t="s">
        <v>12237</v>
      </c>
      <c r="H5508" s="139" t="str">
        <f t="shared" si="701"/>
        <v>FUSIBLE_NH-000_40A</v>
      </c>
      <c r="I5508" s="315"/>
      <c r="J5508" s="515" t="s">
        <v>1954</v>
      </c>
      <c r="K5508" s="452" t="s">
        <v>741</v>
      </c>
    </row>
    <row r="5509" spans="1:12" s="185" customFormat="1">
      <c r="A5509" s="370"/>
      <c r="B5509" s="144" t="s">
        <v>12238</v>
      </c>
      <c r="C5509" s="560">
        <v>10.7</v>
      </c>
      <c r="D5509" s="359">
        <f t="shared" si="702"/>
        <v>7.259158751696063</v>
      </c>
      <c r="E5509" s="215">
        <v>0</v>
      </c>
      <c r="F5509" s="511">
        <f t="shared" si="700"/>
        <v>7.3</v>
      </c>
      <c r="G5509" s="145" t="s">
        <v>12239</v>
      </c>
      <c r="H5509" s="139" t="str">
        <f t="shared" si="701"/>
        <v>FUSIBLE_NH-000_35A</v>
      </c>
      <c r="I5509" s="315"/>
      <c r="J5509" s="515" t="s">
        <v>1954</v>
      </c>
      <c r="K5509" s="452" t="s">
        <v>741</v>
      </c>
    </row>
    <row r="5510" spans="1:12" s="185" customFormat="1">
      <c r="A5510" s="370"/>
      <c r="B5510" s="144" t="s">
        <v>12240</v>
      </c>
      <c r="C5510" s="560">
        <v>10.7</v>
      </c>
      <c r="D5510" s="359">
        <f t="shared" si="702"/>
        <v>7.259158751696063</v>
      </c>
      <c r="E5510" s="215">
        <v>0</v>
      </c>
      <c r="F5510" s="511">
        <f t="shared" si="700"/>
        <v>7.3</v>
      </c>
      <c r="G5510" s="145" t="s">
        <v>12241</v>
      </c>
      <c r="H5510" s="139" t="str">
        <f t="shared" si="701"/>
        <v>FUSIBLE_NH-000_25A</v>
      </c>
      <c r="I5510" s="315"/>
      <c r="J5510" s="515" t="s">
        <v>1954</v>
      </c>
      <c r="K5510" s="452" t="s">
        <v>741</v>
      </c>
    </row>
    <row r="5511" spans="1:12" s="185" customFormat="1">
      <c r="A5511" s="370"/>
      <c r="B5511" s="144" t="s">
        <v>4691</v>
      </c>
      <c r="C5511" s="560">
        <v>7.35</v>
      </c>
      <c r="D5511" s="359">
        <f t="shared" si="702"/>
        <v>4.9864314789687922</v>
      </c>
      <c r="E5511" s="215">
        <v>0</v>
      </c>
      <c r="F5511" s="511">
        <f t="shared" si="700"/>
        <v>5</v>
      </c>
      <c r="G5511" s="145" t="s">
        <v>5093</v>
      </c>
      <c r="H5511" s="139" t="s">
        <v>4692</v>
      </c>
      <c r="I5511" s="315"/>
      <c r="J5511" s="515" t="s">
        <v>4693</v>
      </c>
      <c r="K5511" s="452" t="s">
        <v>741</v>
      </c>
    </row>
    <row r="5512" spans="1:12">
      <c r="A5512" s="370"/>
      <c r="B5512" s="144" t="s">
        <v>5094</v>
      </c>
      <c r="C5512" s="560">
        <v>299</v>
      </c>
      <c r="D5512" s="359">
        <f t="shared" si="702"/>
        <v>202.84938941655358</v>
      </c>
      <c r="E5512" s="215">
        <v>0</v>
      </c>
      <c r="F5512" s="511">
        <f t="shared" si="700"/>
        <v>202.9</v>
      </c>
      <c r="G5512" s="145" t="s">
        <v>8726</v>
      </c>
      <c r="H5512" s="139" t="s">
        <v>5095</v>
      </c>
      <c r="I5512" s="315"/>
      <c r="J5512" s="515" t="s">
        <v>4693</v>
      </c>
      <c r="K5512" s="452" t="s">
        <v>741</v>
      </c>
      <c r="L5512" s="185"/>
    </row>
    <row r="5513" spans="1:12">
      <c r="A5513" s="370"/>
      <c r="B5513" s="144" t="s">
        <v>5096</v>
      </c>
      <c r="C5513" s="560">
        <v>246.1</v>
      </c>
      <c r="D5513" s="359">
        <f t="shared" si="702"/>
        <v>166.96065128900946</v>
      </c>
      <c r="E5513" s="215">
        <v>0</v>
      </c>
      <c r="F5513" s="511">
        <f t="shared" si="700"/>
        <v>167</v>
      </c>
      <c r="G5513" s="145" t="s">
        <v>5097</v>
      </c>
      <c r="H5513" s="139" t="s">
        <v>5098</v>
      </c>
      <c r="I5513" s="315"/>
      <c r="J5513" s="515" t="s">
        <v>4693</v>
      </c>
      <c r="K5513" s="452" t="s">
        <v>741</v>
      </c>
      <c r="L5513" s="185"/>
    </row>
    <row r="5514" spans="1:12" s="185" customFormat="1">
      <c r="A5514" s="370"/>
      <c r="B5514" s="144"/>
      <c r="C5514" s="560"/>
      <c r="D5514" s="359"/>
      <c r="E5514" s="215"/>
      <c r="F5514" s="511"/>
      <c r="G5514" s="145"/>
      <c r="H5514" s="139"/>
      <c r="I5514" s="315"/>
      <c r="J5514" s="515"/>
      <c r="K5514" s="452"/>
    </row>
    <row r="5515" spans="1:12">
      <c r="A5515" s="370"/>
      <c r="B5515" s="144" t="s">
        <v>4694</v>
      </c>
      <c r="C5515" s="560">
        <v>29</v>
      </c>
      <c r="D5515" s="359">
        <f>C5515*fcl/TC</f>
        <v>19.674355495251017</v>
      </c>
      <c r="E5515" s="215">
        <v>7.03</v>
      </c>
      <c r="F5515" s="511">
        <f>ROUNDUP(D5515+E5515,1)</f>
        <v>26.8</v>
      </c>
      <c r="G5515" s="145" t="s">
        <v>4695</v>
      </c>
      <c r="H5515" s="139">
        <v>6603009118</v>
      </c>
      <c r="I5515" s="315"/>
      <c r="J5515" s="515" t="s">
        <v>4696</v>
      </c>
      <c r="K5515" s="452" t="s">
        <v>741</v>
      </c>
      <c r="L5515" s="185"/>
    </row>
    <row r="5516" spans="1:12">
      <c r="A5516" s="370"/>
      <c r="B5516" s="144" t="s">
        <v>4697</v>
      </c>
      <c r="C5516" s="560">
        <v>29</v>
      </c>
      <c r="D5516" s="359">
        <f>C5516*fcl/TC</f>
        <v>19.674355495251017</v>
      </c>
      <c r="E5516" s="215">
        <v>7.03</v>
      </c>
      <c r="F5516" s="511">
        <f>ROUNDUP(D5516+E5516,1)</f>
        <v>26.8</v>
      </c>
      <c r="G5516" s="145" t="s">
        <v>4698</v>
      </c>
      <c r="H5516" s="139">
        <v>6603009118</v>
      </c>
      <c r="I5516" s="315"/>
      <c r="J5516" s="515" t="s">
        <v>4696</v>
      </c>
      <c r="K5516" s="452" t="s">
        <v>741</v>
      </c>
      <c r="L5516" s="185"/>
    </row>
    <row r="5517" spans="1:12">
      <c r="A5517" s="370"/>
      <c r="B5517" s="144" t="s">
        <v>4699</v>
      </c>
      <c r="C5517" s="560">
        <v>54</v>
      </c>
      <c r="D5517" s="359">
        <f>C5517*fcl/TC</f>
        <v>36.635006784260511</v>
      </c>
      <c r="E5517" s="215">
        <v>9.84</v>
      </c>
      <c r="F5517" s="511">
        <f>ROUNDUP(D5517+E5517,1)</f>
        <v>46.5</v>
      </c>
      <c r="G5517" s="145" t="s">
        <v>4700</v>
      </c>
      <c r="H5517" s="139">
        <v>6603010013</v>
      </c>
      <c r="I5517" s="315"/>
      <c r="J5517" s="515" t="s">
        <v>4696</v>
      </c>
      <c r="K5517" s="452" t="s">
        <v>741</v>
      </c>
      <c r="L5517" s="185"/>
    </row>
    <row r="5518" spans="1:12">
      <c r="A5518" s="370"/>
      <c r="B5518" s="144" t="s">
        <v>4701</v>
      </c>
      <c r="C5518" s="560">
        <v>9.1</v>
      </c>
      <c r="D5518" s="359">
        <f>C5518*fcl/TC</f>
        <v>6.1736770691994565</v>
      </c>
      <c r="E5518" s="215">
        <v>2</v>
      </c>
      <c r="F5518" s="511">
        <f>ROUNDUP(D5518+E5518,1)</f>
        <v>8.1999999999999993</v>
      </c>
      <c r="G5518" s="145" t="s">
        <v>4702</v>
      </c>
      <c r="H5518" s="139">
        <v>6601053001</v>
      </c>
      <c r="I5518" s="315"/>
      <c r="J5518" s="515" t="s">
        <v>4696</v>
      </c>
      <c r="K5518" s="452" t="s">
        <v>741</v>
      </c>
      <c r="L5518" s="185"/>
    </row>
    <row r="5519" spans="1:12" s="185" customFormat="1">
      <c r="A5519" s="370"/>
      <c r="B5519" s="144" t="s">
        <v>4703</v>
      </c>
      <c r="C5519" s="560">
        <v>1.4</v>
      </c>
      <c r="D5519" s="359">
        <f>C5519*fcl/TC</f>
        <v>0.94979647218453167</v>
      </c>
      <c r="E5519" s="215">
        <v>1</v>
      </c>
      <c r="F5519" s="511">
        <f>ROUNDUP(D5519+E5519,1)</f>
        <v>2</v>
      </c>
      <c r="G5519" s="145" t="s">
        <v>4704</v>
      </c>
      <c r="H5519" s="139">
        <v>6601053001</v>
      </c>
      <c r="I5519" s="315"/>
      <c r="J5519" s="515" t="s">
        <v>4696</v>
      </c>
      <c r="K5519" s="452" t="s">
        <v>741</v>
      </c>
    </row>
    <row r="5520" spans="1:12" s="185" customFormat="1">
      <c r="A5520" s="370"/>
      <c r="B5520" s="144"/>
      <c r="C5520" s="560"/>
      <c r="D5520" s="359"/>
      <c r="E5520" s="215"/>
      <c r="F5520" s="511"/>
      <c r="G5520" s="145"/>
      <c r="H5520" s="139"/>
      <c r="I5520" s="315"/>
      <c r="J5520" s="515"/>
      <c r="K5520" s="452"/>
    </row>
    <row r="5521" spans="1:12" s="185" customFormat="1">
      <c r="A5521" s="370"/>
      <c r="B5521" s="144"/>
      <c r="C5521" s="560"/>
      <c r="D5521" s="359"/>
      <c r="E5521" s="215"/>
      <c r="F5521" s="511"/>
      <c r="G5521" s="145"/>
      <c r="H5521" s="139"/>
      <c r="I5521" s="315"/>
      <c r="J5521" s="515"/>
      <c r="K5521" s="452"/>
    </row>
    <row r="5522" spans="1:12">
      <c r="A5522" s="370"/>
      <c r="B5522" s="144" t="s">
        <v>8727</v>
      </c>
      <c r="C5522" s="560">
        <v>135.72749999999999</v>
      </c>
      <c r="D5522" s="359">
        <f>C5522*fcl/TC</f>
        <v>92.081071913161452</v>
      </c>
      <c r="E5522" s="215">
        <v>5</v>
      </c>
      <c r="F5522" s="511">
        <f>ROUNDUP(D5522+E5522,1)</f>
        <v>97.1</v>
      </c>
      <c r="G5522" s="145" t="s">
        <v>8728</v>
      </c>
      <c r="H5522" s="139">
        <v>6602798844</v>
      </c>
      <c r="I5522" s="315"/>
      <c r="J5522" s="515" t="s">
        <v>4696</v>
      </c>
      <c r="K5522" s="452" t="s">
        <v>741</v>
      </c>
      <c r="L5522" s="185"/>
    </row>
    <row r="5523" spans="1:12">
      <c r="A5523" s="370"/>
      <c r="B5523" s="144" t="s">
        <v>8729</v>
      </c>
      <c r="C5523" s="560">
        <v>170.45249999999999</v>
      </c>
      <c r="D5523" s="359">
        <f>C5523*fcl/TC</f>
        <v>115.63941655359564</v>
      </c>
      <c r="E5523" s="215">
        <v>5</v>
      </c>
      <c r="F5523" s="511">
        <f>ROUNDUP(D5523+E5523,1)</f>
        <v>120.69999999999999</v>
      </c>
      <c r="G5523" s="145" t="s">
        <v>8730</v>
      </c>
      <c r="H5523" s="139">
        <v>6602817990</v>
      </c>
      <c r="I5523" s="315"/>
      <c r="J5523" s="515" t="s">
        <v>4696</v>
      </c>
      <c r="K5523" s="452" t="s">
        <v>741</v>
      </c>
      <c r="L5523" s="185"/>
    </row>
    <row r="5524" spans="1:12">
      <c r="A5524" s="370"/>
      <c r="B5524" s="144" t="s">
        <v>8731</v>
      </c>
      <c r="C5524" s="560">
        <v>65.491299999999995</v>
      </c>
      <c r="D5524" s="359">
        <f>C5524*fcl/TC</f>
        <v>44.431004070556298</v>
      </c>
      <c r="E5524" s="215">
        <v>0</v>
      </c>
      <c r="F5524" s="511">
        <f>ROUNDUP(D5524+E5524,1)</f>
        <v>44.5</v>
      </c>
      <c r="G5524" s="145" t="s">
        <v>8732</v>
      </c>
      <c r="H5524" s="139">
        <v>6602817738</v>
      </c>
      <c r="I5524" s="315"/>
      <c r="J5524" s="515" t="s">
        <v>4696</v>
      </c>
      <c r="K5524" s="452" t="s">
        <v>741</v>
      </c>
      <c r="L5524" s="185"/>
    </row>
    <row r="5525" spans="1:12" s="185" customFormat="1">
      <c r="A5525" s="370"/>
      <c r="B5525" s="144"/>
      <c r="C5525" s="560"/>
      <c r="D5525" s="359"/>
      <c r="E5525" s="215"/>
      <c r="F5525" s="511"/>
      <c r="G5525" s="145"/>
      <c r="H5525" s="139"/>
      <c r="I5525" s="315"/>
      <c r="J5525" s="515"/>
      <c r="K5525" s="452"/>
    </row>
    <row r="5526" spans="1:12" s="185" customFormat="1">
      <c r="A5526" s="370"/>
      <c r="B5526" s="144"/>
      <c r="C5526" s="560"/>
      <c r="D5526" s="359"/>
      <c r="E5526" s="215"/>
      <c r="F5526" s="511"/>
      <c r="G5526" s="145"/>
      <c r="H5526" s="139"/>
      <c r="I5526" s="315"/>
      <c r="J5526" s="515"/>
      <c r="K5526" s="452"/>
    </row>
    <row r="5527" spans="1:12">
      <c r="A5527" s="2169" t="s">
        <v>12880</v>
      </c>
      <c r="B5527" s="632" t="s">
        <v>12881</v>
      </c>
      <c r="C5527" s="215">
        <v>2400</v>
      </c>
      <c r="D5527" s="230">
        <f>C5527*(1-0)*fcl</f>
        <v>5454.545454545454</v>
      </c>
      <c r="E5527" s="219">
        <v>50</v>
      </c>
      <c r="F5527" s="511">
        <f>ROUNDUP(D5527+E5527,1)</f>
        <v>5504.6</v>
      </c>
      <c r="G5527" s="314" t="s">
        <v>12882</v>
      </c>
      <c r="H5527" s="139" t="str">
        <f>B5527</f>
        <v>DI60S</v>
      </c>
      <c r="I5527" s="452"/>
      <c r="J5527" s="369"/>
      <c r="K5527" s="657"/>
    </row>
    <row r="5528" spans="1:12">
      <c r="A5528" s="2170"/>
      <c r="B5528" s="632"/>
      <c r="C5528" s="215"/>
      <c r="D5528" s="230"/>
      <c r="E5528" s="219"/>
      <c r="F5528" s="511"/>
      <c r="G5528" s="314"/>
      <c r="H5528" s="139"/>
      <c r="I5528" s="452"/>
      <c r="J5528" s="369"/>
      <c r="K5528" s="452"/>
    </row>
    <row r="5529" spans="1:12">
      <c r="A5529" s="2169" t="s">
        <v>12880</v>
      </c>
      <c r="B5529" s="632" t="s">
        <v>12883</v>
      </c>
      <c r="C5529" s="215">
        <v>4260.21</v>
      </c>
      <c r="D5529" s="230">
        <f>C5529*(1-0)*fcl</f>
        <v>9682.295454545454</v>
      </c>
      <c r="E5529" s="219">
        <v>50</v>
      </c>
      <c r="F5529" s="511">
        <f>ROUNDUP(D5529+E5529,1)</f>
        <v>9732.3000000000011</v>
      </c>
      <c r="G5529" s="314" t="s">
        <v>12884</v>
      </c>
      <c r="H5529" s="139" t="str">
        <f>B5529</f>
        <v>GPP-24U1000-IP55</v>
      </c>
      <c r="I5529" s="452"/>
      <c r="J5529" s="369"/>
      <c r="K5529" s="657"/>
    </row>
    <row r="5530" spans="1:12">
      <c r="A5530" s="2170"/>
      <c r="B5530" s="632"/>
      <c r="C5530" s="215"/>
      <c r="D5530" s="230"/>
      <c r="E5530" s="219"/>
      <c r="F5530" s="511"/>
      <c r="G5530" s="314"/>
      <c r="H5530" s="139"/>
      <c r="I5530" s="452"/>
      <c r="J5530" s="369"/>
      <c r="K5530" s="452"/>
    </row>
    <row r="5531" spans="1:12">
      <c r="A5531" s="2170"/>
      <c r="B5531" s="632"/>
      <c r="C5531" s="215"/>
      <c r="D5531" s="230"/>
      <c r="E5531" s="219"/>
      <c r="F5531" s="511"/>
      <c r="G5531" s="314"/>
      <c r="H5531" s="139"/>
      <c r="I5531" s="452"/>
      <c r="J5531" s="369"/>
      <c r="K5531" s="452"/>
    </row>
    <row r="5532" spans="1:12" s="191" customFormat="1">
      <c r="A5532" s="1465"/>
      <c r="B5532" s="26" t="s">
        <v>13959</v>
      </c>
      <c r="C5532" s="526">
        <v>2560.98</v>
      </c>
      <c r="D5532" s="230">
        <f>C5532*(1-0)*fcl</f>
        <v>5820.4090909090901</v>
      </c>
      <c r="E5532" s="390">
        <v>300</v>
      </c>
      <c r="F5532" s="511">
        <f t="shared" ref="F5532" si="703">ROUNDUP(D5532+E5532,1)</f>
        <v>6120.5</v>
      </c>
      <c r="G5532" s="314" t="s">
        <v>13960</v>
      </c>
      <c r="H5532" s="191" t="s">
        <v>13961</v>
      </c>
      <c r="I5532" s="190"/>
      <c r="J5532" s="33" t="s">
        <v>13670</v>
      </c>
      <c r="K5532" s="657" t="s">
        <v>741</v>
      </c>
    </row>
    <row r="5533" spans="1:12" s="191" customFormat="1">
      <c r="A5533" s="102"/>
      <c r="B5533" s="453"/>
      <c r="C5533" s="526"/>
      <c r="D5533" s="230"/>
      <c r="E5533" s="390"/>
      <c r="F5533" s="511"/>
      <c r="G5533" s="314"/>
      <c r="I5533" s="190"/>
    </row>
    <row r="5534" spans="1:12" s="191" customFormat="1">
      <c r="A5534" s="102"/>
      <c r="B5534" s="453"/>
      <c r="C5534" s="526"/>
      <c r="D5534" s="230"/>
      <c r="E5534" s="390"/>
      <c r="F5534" s="511"/>
      <c r="I5534" s="190"/>
    </row>
    <row r="5535" spans="1:12">
      <c r="A5535" s="370"/>
      <c r="B5535" s="144"/>
      <c r="C5535" s="215"/>
      <c r="D5535" s="359"/>
      <c r="E5535" s="215"/>
      <c r="F5535" s="511"/>
      <c r="G5535" s="145"/>
      <c r="H5535" s="145"/>
      <c r="I5535" s="315"/>
      <c r="J5535" s="515"/>
      <c r="K5535" s="452"/>
      <c r="L5535" s="185"/>
    </row>
    <row r="5536" spans="1:12">
      <c r="A5536" s="370"/>
      <c r="B5536" s="646"/>
      <c r="C5536" s="647"/>
      <c r="D5536" s="648"/>
      <c r="E5536" s="649"/>
      <c r="F5536" s="650"/>
      <c r="G5536" s="651"/>
      <c r="H5536" s="651"/>
      <c r="I5536" s="652"/>
      <c r="J5536" s="652"/>
      <c r="K5536" s="653"/>
      <c r="L5536" s="185"/>
    </row>
    <row r="5537" spans="1:12">
      <c r="A5537" s="369"/>
      <c r="B5537" s="654" t="s">
        <v>2513</v>
      </c>
      <c r="C5537" s="655">
        <v>994.52</v>
      </c>
      <c r="D5537" s="656">
        <f>C5537*(1-0)*fcl/TC</f>
        <v>674.70827679782894</v>
      </c>
      <c r="E5537" s="219">
        <v>80</v>
      </c>
      <c r="F5537" s="511">
        <f>ROUNDUP(D5537+E5537,1)</f>
        <v>754.80000000000007</v>
      </c>
      <c r="G5537" s="314" t="s">
        <v>2520</v>
      </c>
      <c r="H5537" s="632" t="s">
        <v>2513</v>
      </c>
      <c r="I5537" s="452"/>
      <c r="J5537" s="369" t="s">
        <v>2483</v>
      </c>
      <c r="K5537" s="657" t="s">
        <v>741</v>
      </c>
      <c r="L5537" s="185"/>
    </row>
    <row r="5538" spans="1:12">
      <c r="A5538" s="369"/>
      <c r="B5538" s="654" t="s">
        <v>2512</v>
      </c>
      <c r="C5538" s="655">
        <v>1582.93</v>
      </c>
      <c r="D5538" s="656">
        <f>C5538*(1-0)*fcl/TC</f>
        <v>1073.9009497964721</v>
      </c>
      <c r="E5538" s="219">
        <v>100</v>
      </c>
      <c r="F5538" s="511">
        <f>ROUNDUP(D5538+E5538,1)</f>
        <v>1174</v>
      </c>
      <c r="G5538" s="314" t="s">
        <v>2521</v>
      </c>
      <c r="H5538" s="632" t="s">
        <v>2512</v>
      </c>
      <c r="I5538" s="452"/>
      <c r="J5538" s="369" t="s">
        <v>2483</v>
      </c>
      <c r="K5538" s="657" t="s">
        <v>741</v>
      </c>
      <c r="L5538" s="185"/>
    </row>
    <row r="5539" spans="1:12">
      <c r="A5539" s="369"/>
      <c r="B5539" s="654"/>
      <c r="C5539" s="655"/>
      <c r="D5539" s="656"/>
      <c r="E5539" s="219"/>
      <c r="F5539" s="511"/>
      <c r="G5539" s="314"/>
      <c r="H5539" s="632"/>
      <c r="I5539" s="452"/>
      <c r="J5539" s="369"/>
      <c r="K5539" s="657"/>
      <c r="L5539" s="185"/>
    </row>
    <row r="5540" spans="1:12">
      <c r="A5540" s="369"/>
      <c r="B5540" s="654" t="s">
        <v>2514</v>
      </c>
      <c r="C5540" s="655">
        <v>1813.25</v>
      </c>
      <c r="D5540" s="656">
        <f>C5540*(1-0)*fcl/TC</f>
        <v>1230.1560379918587</v>
      </c>
      <c r="E5540" s="219">
        <v>50</v>
      </c>
      <c r="F5540" s="511">
        <f>ROUNDUP(D5540+E5540,1)</f>
        <v>1280.1999999999998</v>
      </c>
      <c r="G5540" s="314" t="s">
        <v>2522</v>
      </c>
      <c r="H5540" s="632" t="s">
        <v>2514</v>
      </c>
      <c r="I5540" s="452"/>
      <c r="J5540" s="369" t="s">
        <v>2483</v>
      </c>
      <c r="K5540" s="657" t="s">
        <v>741</v>
      </c>
      <c r="L5540" s="185"/>
    </row>
    <row r="5541" spans="1:12" s="21" customFormat="1">
      <c r="A5541" s="369"/>
      <c r="B5541" s="654" t="s">
        <v>2516</v>
      </c>
      <c r="C5541" s="655">
        <v>3425.43</v>
      </c>
      <c r="D5541" s="656">
        <f>C5541*(1-0)*fcl/TC</f>
        <v>2323.9009497964717</v>
      </c>
      <c r="E5541" s="219">
        <v>50</v>
      </c>
      <c r="F5541" s="511">
        <f>ROUNDUP(D5541+E5541,1)</f>
        <v>2374</v>
      </c>
      <c r="G5541" s="314" t="s">
        <v>2523</v>
      </c>
      <c r="H5541" s="632" t="s">
        <v>2516</v>
      </c>
      <c r="I5541" s="452"/>
      <c r="J5541" s="369" t="s">
        <v>2483</v>
      </c>
      <c r="K5541" s="657" t="s">
        <v>741</v>
      </c>
    </row>
    <row r="5542" spans="1:12" s="112" customFormat="1">
      <c r="A5542" s="369"/>
      <c r="B5542" s="654"/>
      <c r="C5542" s="655"/>
      <c r="D5542" s="656"/>
      <c r="E5542" s="219"/>
      <c r="F5542" s="511"/>
      <c r="G5542" s="314"/>
      <c r="H5542" s="632"/>
      <c r="I5542" s="452"/>
      <c r="J5542" s="369"/>
      <c r="K5542" s="657"/>
    </row>
    <row r="5543" spans="1:12" s="112" customFormat="1">
      <c r="A5543" s="369"/>
      <c r="B5543" s="654" t="s">
        <v>2517</v>
      </c>
      <c r="C5543" s="655">
        <v>1250</v>
      </c>
      <c r="D5543" s="656">
        <f>C5543*(1-0)*fcl/TC</f>
        <v>848.03256445047475</v>
      </c>
      <c r="E5543" s="219">
        <v>20</v>
      </c>
      <c r="F5543" s="511">
        <f>ROUNDUP(D5543+E5543,1)</f>
        <v>868.1</v>
      </c>
      <c r="G5543" s="314" t="s">
        <v>2524</v>
      </c>
      <c r="H5543" s="632" t="s">
        <v>2515</v>
      </c>
      <c r="I5543" s="452"/>
      <c r="J5543" s="369" t="s">
        <v>2511</v>
      </c>
      <c r="K5543" s="657" t="s">
        <v>741</v>
      </c>
    </row>
    <row r="5544" spans="1:12" s="112" customFormat="1">
      <c r="A5544" s="365"/>
      <c r="B5544" s="658"/>
      <c r="C5544" s="659"/>
      <c r="D5544" s="660"/>
      <c r="E5544" s="661"/>
      <c r="F5544" s="662"/>
      <c r="G5544" s="21"/>
      <c r="H5544" s="632"/>
      <c r="I5544" s="21"/>
      <c r="J5544" s="21"/>
      <c r="K5544" s="663"/>
    </row>
    <row r="5545" spans="1:12" s="112" customFormat="1">
      <c r="A5545" s="370"/>
      <c r="B5545" s="664"/>
      <c r="C5545" s="220"/>
      <c r="D5545" s="665"/>
      <c r="E5545" s="220"/>
      <c r="F5545" s="666"/>
      <c r="G5545" s="667"/>
      <c r="H5545" s="667"/>
      <c r="I5545" s="668"/>
      <c r="J5545" s="669"/>
      <c r="K5545" s="670"/>
    </row>
    <row r="5546" spans="1:12" s="112" customFormat="1">
      <c r="A5546" s="370"/>
      <c r="B5546" s="144"/>
      <c r="C5546" s="219"/>
      <c r="D5546" s="720"/>
      <c r="E5546" s="219"/>
      <c r="F5546" s="511"/>
      <c r="G5546" s="145"/>
      <c r="H5546" s="145"/>
      <c r="I5546" s="315"/>
      <c r="J5546" s="515"/>
      <c r="K5546" s="452"/>
    </row>
    <row r="5547" spans="1:12">
      <c r="A5547" s="370"/>
      <c r="B5547" s="646"/>
      <c r="C5547" s="647"/>
      <c r="D5547" s="648"/>
      <c r="E5547" s="649"/>
      <c r="F5547" s="650"/>
      <c r="G5547" s="651"/>
      <c r="H5547" s="651"/>
      <c r="I5547" s="652"/>
      <c r="J5547" s="652"/>
      <c r="K5547" s="653"/>
    </row>
    <row r="5548" spans="1:12">
      <c r="A5548" s="369"/>
      <c r="B5548" s="654" t="s">
        <v>2687</v>
      </c>
      <c r="C5548" s="215">
        <v>1392.59</v>
      </c>
      <c r="D5548" s="230">
        <f>C5548*(1-0)*fcl</f>
        <v>3164.9772727272721</v>
      </c>
      <c r="E5548" s="219">
        <v>50</v>
      </c>
      <c r="F5548" s="511">
        <f>ROUNDUP(D5548+E5548,1)</f>
        <v>3215</v>
      </c>
      <c r="G5548" s="314" t="s">
        <v>8733</v>
      </c>
      <c r="H5548" s="458" t="str">
        <f>B5548</f>
        <v>PW9130i3000T-XL</v>
      </c>
      <c r="I5548" s="452"/>
      <c r="J5548" s="369" t="s">
        <v>1798</v>
      </c>
      <c r="K5548" s="657" t="s">
        <v>741</v>
      </c>
    </row>
    <row r="5549" spans="1:12">
      <c r="A5549" s="369"/>
      <c r="B5549" s="654"/>
      <c r="C5549" s="655"/>
      <c r="D5549" s="656"/>
      <c r="E5549" s="219"/>
      <c r="F5549" s="511"/>
      <c r="G5549" s="314"/>
      <c r="H5549" s="632"/>
      <c r="I5549" s="452"/>
      <c r="J5549" s="369"/>
      <c r="K5549" s="657"/>
    </row>
    <row r="5550" spans="1:12">
      <c r="A5550" s="369"/>
      <c r="B5550" s="654" t="s">
        <v>2688</v>
      </c>
      <c r="C5550" s="215">
        <v>300</v>
      </c>
      <c r="D5550" s="230">
        <f>C5550*(1-0)*fcl</f>
        <v>681.81818181818176</v>
      </c>
      <c r="E5550" s="219">
        <v>20</v>
      </c>
      <c r="F5550" s="511">
        <f>ROUNDUP(D5550+E5550,1)</f>
        <v>701.9</v>
      </c>
      <c r="G5550" s="314" t="s">
        <v>2689</v>
      </c>
      <c r="H5550" s="458" t="str">
        <f>B5550</f>
        <v>BBAT8GP09</v>
      </c>
      <c r="I5550" s="452"/>
      <c r="J5550" s="369" t="s">
        <v>2690</v>
      </c>
      <c r="K5550" s="657" t="s">
        <v>741</v>
      </c>
    </row>
    <row r="5551" spans="1:12">
      <c r="A5551" s="370"/>
      <c r="B5551" s="664"/>
      <c r="C5551" s="220"/>
      <c r="D5551" s="665"/>
      <c r="E5551" s="220"/>
      <c r="F5551" s="666"/>
      <c r="G5551" s="667"/>
      <c r="H5551" s="667"/>
      <c r="I5551" s="668"/>
      <c r="J5551" s="669"/>
      <c r="K5551" s="670"/>
    </row>
    <row r="5552" spans="1:12">
      <c r="A5552" s="370"/>
      <c r="B5552" s="144"/>
      <c r="C5552" s="219"/>
      <c r="D5552" s="720"/>
      <c r="E5552" s="219"/>
      <c r="F5552" s="511"/>
      <c r="G5552" s="145"/>
      <c r="H5552" s="145"/>
      <c r="I5552" s="315"/>
      <c r="J5552" s="515"/>
      <c r="K5552" s="452"/>
    </row>
    <row r="5553" spans="1:11">
      <c r="A5553" s="370"/>
      <c r="B5553" s="144"/>
      <c r="C5553" s="219"/>
      <c r="D5553" s="720"/>
      <c r="E5553" s="219"/>
      <c r="F5553" s="511"/>
      <c r="G5553" s="145"/>
      <c r="H5553" s="145"/>
      <c r="I5553" s="315"/>
      <c r="J5553" s="515"/>
      <c r="K5553" s="452"/>
    </row>
    <row r="5554" spans="1:11" s="21" customFormat="1">
      <c r="A5554" s="370"/>
      <c r="B5554" s="646"/>
      <c r="C5554" s="647"/>
      <c r="D5554" s="648"/>
      <c r="E5554" s="649"/>
      <c r="F5554" s="650"/>
      <c r="G5554" s="651"/>
      <c r="H5554" s="651"/>
      <c r="I5554" s="652"/>
      <c r="J5554" s="652"/>
      <c r="K5554" s="653"/>
    </row>
    <row r="5555" spans="1:11" s="112" customFormat="1">
      <c r="A5555" s="369"/>
      <c r="B5555" s="654" t="s">
        <v>3182</v>
      </c>
      <c r="C5555" s="215">
        <v>25</v>
      </c>
      <c r="D5555" s="230">
        <f>C5555*(1-0)*fcl</f>
        <v>56.818181818181813</v>
      </c>
      <c r="E5555" s="219">
        <v>8</v>
      </c>
      <c r="F5555" s="511">
        <f>ROUNDUP(D5555+E5555,1)</f>
        <v>64.899999999999991</v>
      </c>
      <c r="G5555" s="314" t="s">
        <v>3186</v>
      </c>
      <c r="H5555" s="1654" t="s">
        <v>3183</v>
      </c>
      <c r="I5555" s="452" t="s">
        <v>10969</v>
      </c>
      <c r="J5555" s="369" t="s">
        <v>1935</v>
      </c>
      <c r="K5555" s="657" t="s">
        <v>741</v>
      </c>
    </row>
    <row r="5556" spans="1:11" s="112" customFormat="1">
      <c r="A5556" s="369"/>
      <c r="B5556" s="654" t="s">
        <v>3184</v>
      </c>
      <c r="C5556" s="215">
        <v>31.543299999999999</v>
      </c>
      <c r="D5556" s="230">
        <f>C5556*(1-0)*fcl</f>
        <v>71.689318181818166</v>
      </c>
      <c r="E5556" s="219">
        <v>10</v>
      </c>
      <c r="F5556" s="511">
        <f>ROUNDUP(D5556+E5556,1)</f>
        <v>81.699999999999989</v>
      </c>
      <c r="G5556" s="314" t="s">
        <v>3187</v>
      </c>
      <c r="H5556" s="1654" t="s">
        <v>3185</v>
      </c>
      <c r="I5556" s="452" t="s">
        <v>10969</v>
      </c>
      <c r="J5556" s="369" t="s">
        <v>1935</v>
      </c>
      <c r="K5556" s="657" t="s">
        <v>741</v>
      </c>
    </row>
    <row r="5557" spans="1:11" s="112" customFormat="1">
      <c r="A5557" s="369"/>
      <c r="B5557" s="654"/>
      <c r="C5557" s="655"/>
      <c r="D5557" s="656"/>
      <c r="E5557" s="219"/>
      <c r="F5557" s="511"/>
      <c r="G5557" s="314"/>
      <c r="H5557" s="632"/>
      <c r="I5557" s="452"/>
      <c r="J5557" s="369"/>
      <c r="K5557" s="657"/>
    </row>
    <row r="5558" spans="1:11">
      <c r="A5558" s="370"/>
      <c r="B5558" s="664"/>
      <c r="C5558" s="220"/>
      <c r="D5558" s="665"/>
      <c r="E5558" s="220"/>
      <c r="F5558" s="666"/>
      <c r="G5558" s="667"/>
      <c r="H5558" s="667"/>
      <c r="I5558" s="668"/>
      <c r="J5558" s="669"/>
      <c r="K5558" s="670"/>
    </row>
    <row r="5559" spans="1:11">
      <c r="A5559" s="370"/>
      <c r="B5559" s="144"/>
      <c r="C5559" s="215"/>
      <c r="D5559" s="359"/>
      <c r="E5559" s="215"/>
      <c r="F5559" s="511"/>
      <c r="G5559" s="145"/>
      <c r="H5559" s="145"/>
      <c r="I5559" s="315"/>
      <c r="J5559" s="515"/>
      <c r="K5559" s="452"/>
    </row>
    <row r="5560" spans="1:11">
      <c r="A5560" s="369"/>
      <c r="B5560" s="632" t="s">
        <v>6018</v>
      </c>
      <c r="C5560" s="219">
        <v>526</v>
      </c>
      <c r="D5560" s="656">
        <f>C5560*(1-0)*fcl</f>
        <v>1195.4545454545453</v>
      </c>
      <c r="E5560" s="219">
        <v>10</v>
      </c>
      <c r="F5560" s="511">
        <f>ROUNDUP(D5560+E5560,1)</f>
        <v>1205.5</v>
      </c>
      <c r="G5560" s="314" t="s">
        <v>6019</v>
      </c>
      <c r="H5560" s="1654" t="s">
        <v>6020</v>
      </c>
      <c r="I5560" s="452"/>
      <c r="J5560" s="369" t="s">
        <v>6021</v>
      </c>
      <c r="K5560" s="452" t="s">
        <v>741</v>
      </c>
    </row>
    <row r="5561" spans="1:11">
      <c r="A5561" s="369"/>
      <c r="B5561" s="143" t="s">
        <v>6022</v>
      </c>
      <c r="C5561" s="219">
        <v>80</v>
      </c>
      <c r="D5561" s="656">
        <f>C5561*(1-0)*fcl</f>
        <v>181.81818181818181</v>
      </c>
      <c r="E5561" s="215">
        <v>5</v>
      </c>
      <c r="F5561" s="511">
        <f>ROUNDUP(D5561+E5561,2)</f>
        <v>186.82</v>
      </c>
      <c r="G5561" s="314" t="s">
        <v>6023</v>
      </c>
      <c r="H5561" s="1654" t="s">
        <v>6024</v>
      </c>
      <c r="I5561" s="452"/>
      <c r="J5561" s="369" t="s">
        <v>6021</v>
      </c>
      <c r="K5561" s="452" t="s">
        <v>741</v>
      </c>
    </row>
    <row r="5562" spans="1:11">
      <c r="A5562" s="369"/>
      <c r="B5562" s="632" t="s">
        <v>6025</v>
      </c>
      <c r="C5562" s="219">
        <v>488</v>
      </c>
      <c r="D5562" s="656">
        <f>C5562*(1-0)*fcl</f>
        <v>1109.090909090909</v>
      </c>
      <c r="E5562" s="219">
        <v>10</v>
      </c>
      <c r="F5562" s="511">
        <f>ROUNDUP(D5562+E5562,1)</f>
        <v>1119.0999999999999</v>
      </c>
      <c r="G5562" s="314" t="s">
        <v>6026</v>
      </c>
      <c r="H5562" s="1654" t="s">
        <v>6027</v>
      </c>
      <c r="I5562" s="452"/>
      <c r="J5562" s="369" t="s">
        <v>6021</v>
      </c>
      <c r="K5562" s="452" t="s">
        <v>741</v>
      </c>
    </row>
    <row r="5563" spans="1:11" s="112" customFormat="1">
      <c r="A5563" s="370"/>
      <c r="B5563" s="144"/>
      <c r="C5563" s="215"/>
      <c r="D5563" s="359"/>
      <c r="E5563" s="215"/>
      <c r="F5563" s="511"/>
      <c r="G5563" s="145"/>
      <c r="H5563" s="145"/>
      <c r="I5563" s="315"/>
      <c r="J5563" s="515"/>
      <c r="K5563" s="452"/>
    </row>
    <row r="5564" spans="1:11">
      <c r="A5564" s="369"/>
      <c r="B5564" s="632" t="s">
        <v>6028</v>
      </c>
      <c r="C5564" s="219">
        <v>198.8</v>
      </c>
      <c r="D5564" s="656">
        <f>C5564*(1-0)*fcl</f>
        <v>451.81818181818181</v>
      </c>
      <c r="E5564" s="219">
        <v>10</v>
      </c>
      <c r="F5564" s="511">
        <f>ROUNDUP(D5564+E5564,1)</f>
        <v>461.90000000000003</v>
      </c>
      <c r="G5564" s="314" t="s">
        <v>6029</v>
      </c>
      <c r="H5564" s="1654" t="s">
        <v>6030</v>
      </c>
      <c r="I5564" s="452"/>
      <c r="J5564" s="369" t="s">
        <v>6021</v>
      </c>
      <c r="K5564" s="452" t="s">
        <v>741</v>
      </c>
    </row>
    <row r="5565" spans="1:11">
      <c r="A5565" s="369"/>
      <c r="B5565" s="1412" t="s">
        <v>6031</v>
      </c>
      <c r="C5565" s="219">
        <v>80</v>
      </c>
      <c r="D5565" s="656">
        <f>C5565*(1-0)*fcl</f>
        <v>181.81818181818181</v>
      </c>
      <c r="E5565" s="215">
        <v>5</v>
      </c>
      <c r="F5565" s="511">
        <f>ROUNDUP(D5565+E5565,2)</f>
        <v>186.82</v>
      </c>
      <c r="G5565" s="314" t="s">
        <v>6032</v>
      </c>
      <c r="H5565" s="1654" t="s">
        <v>6024</v>
      </c>
      <c r="I5565" s="452"/>
      <c r="J5565" s="369" t="s">
        <v>6021</v>
      </c>
      <c r="K5565" s="452" t="s">
        <v>741</v>
      </c>
    </row>
    <row r="5566" spans="1:11">
      <c r="A5566" s="369"/>
      <c r="B5566" s="632" t="s">
        <v>6033</v>
      </c>
      <c r="C5566" s="219">
        <v>201.1</v>
      </c>
      <c r="D5566" s="656">
        <f>C5566*(1-0)*fcl</f>
        <v>457.0454545454545</v>
      </c>
      <c r="E5566" s="219">
        <v>10</v>
      </c>
      <c r="F5566" s="511">
        <f>ROUNDUP(D5566+E5566,1)</f>
        <v>467.1</v>
      </c>
      <c r="G5566" s="314" t="s">
        <v>6034</v>
      </c>
      <c r="H5566" s="1654" t="s">
        <v>6035</v>
      </c>
      <c r="I5566" s="452"/>
      <c r="J5566" s="369" t="s">
        <v>6021</v>
      </c>
      <c r="K5566" s="452" t="s">
        <v>741</v>
      </c>
    </row>
    <row r="5567" spans="1:11">
      <c r="A5567" s="369"/>
      <c r="B5567" s="632"/>
      <c r="C5567" s="219"/>
      <c r="D5567" s="656"/>
      <c r="E5567" s="219"/>
      <c r="F5567" s="511"/>
      <c r="G5567" s="314"/>
      <c r="H5567" s="1654"/>
      <c r="I5567" s="452"/>
      <c r="J5567" s="369"/>
      <c r="K5567" s="452"/>
    </row>
    <row r="5568" spans="1:11">
      <c r="A5568" s="369"/>
      <c r="B5568" s="632"/>
      <c r="C5568" s="219"/>
      <c r="D5568" s="656"/>
      <c r="E5568" s="219"/>
      <c r="F5568" s="511"/>
      <c r="G5568" s="314"/>
      <c r="H5568" s="1654"/>
      <c r="I5568" s="452"/>
      <c r="J5568" s="369"/>
      <c r="K5568" s="452"/>
    </row>
    <row r="5569" spans="1:11" s="112" customFormat="1">
      <c r="A5569" s="370"/>
      <c r="B5569" s="144"/>
      <c r="C5569" s="215"/>
      <c r="D5569" s="359"/>
      <c r="E5569" s="215"/>
      <c r="F5569" s="511"/>
      <c r="G5569" s="145"/>
      <c r="H5569" s="145"/>
      <c r="I5569" s="315"/>
      <c r="J5569" s="515"/>
      <c r="K5569" s="452"/>
    </row>
    <row r="5570" spans="1:11" s="317" customFormat="1">
      <c r="A5570" s="369"/>
      <c r="B5570" s="314"/>
      <c r="D5570" s="230"/>
      <c r="E5570" s="215"/>
      <c r="F5570" s="22"/>
      <c r="G5570" s="314"/>
      <c r="H5570" s="458"/>
      <c r="I5570" s="452"/>
      <c r="J5570" s="369"/>
      <c r="K5570" s="452"/>
    </row>
    <row r="5571" spans="1:11">
      <c r="A5571" s="435"/>
      <c r="B5571" s="715" t="s">
        <v>444</v>
      </c>
      <c r="C5571" s="217"/>
      <c r="D5571" s="204"/>
      <c r="E5571" s="203"/>
      <c r="F5571" s="149"/>
      <c r="G5571" s="434"/>
      <c r="H5571" s="1648"/>
      <c r="I5571" s="434"/>
      <c r="J5571" s="435"/>
      <c r="K5571" s="434"/>
    </row>
    <row r="5572" spans="1:11" s="112" customFormat="1">
      <c r="A5572" s="435"/>
      <c r="B5572" s="536" t="s">
        <v>2667</v>
      </c>
      <c r="C5572" s="217">
        <v>545.22</v>
      </c>
      <c r="D5572" s="204">
        <f>C5572*fcl*(1-0.1)</f>
        <v>1115.2227272727273</v>
      </c>
      <c r="E5572" s="203">
        <v>10</v>
      </c>
      <c r="F5572" s="149">
        <f>D5572+E5572</f>
        <v>1125.2227272727273</v>
      </c>
      <c r="G5572" s="410" t="s">
        <v>4705</v>
      </c>
      <c r="H5572" s="458" t="str">
        <f>B5572</f>
        <v>ST SP240-P</v>
      </c>
      <c r="I5572" s="434"/>
      <c r="J5572" s="435" t="s">
        <v>2685</v>
      </c>
      <c r="K5572" s="434"/>
    </row>
    <row r="5573" spans="1:11" s="112" customFormat="1">
      <c r="A5573" s="435"/>
      <c r="B5573" s="536" t="s">
        <v>8734</v>
      </c>
      <c r="C5573" s="217">
        <v>545.22</v>
      </c>
      <c r="D5573" s="204">
        <f>C5573*fcl*(1-0.1)</f>
        <v>1115.2227272727273</v>
      </c>
      <c r="E5573" s="203">
        <v>10</v>
      </c>
      <c r="F5573" s="149">
        <f>D5573+E5573</f>
        <v>1125.2227272727273</v>
      </c>
      <c r="G5573" s="410" t="s">
        <v>8735</v>
      </c>
      <c r="H5573" s="458" t="str">
        <f t="shared" ref="H5573:H5592" si="704">B5573</f>
        <v>ST SP2N2-P</v>
      </c>
      <c r="I5573" s="434"/>
      <c r="J5573" s="435" t="s">
        <v>2685</v>
      </c>
      <c r="K5573" s="434"/>
    </row>
    <row r="5574" spans="1:11" s="112" customFormat="1">
      <c r="A5574" s="435"/>
      <c r="B5574" s="536" t="s">
        <v>2668</v>
      </c>
      <c r="C5574" s="217">
        <v>1125.6400000000001</v>
      </c>
      <c r="D5574" s="204">
        <f>C5574*fcl*(1-0.1)</f>
        <v>2302.4454545454546</v>
      </c>
      <c r="E5574" s="203">
        <v>10</v>
      </c>
      <c r="F5574" s="149">
        <f>D5574+E5574</f>
        <v>2312.4454545454546</v>
      </c>
      <c r="G5574" s="410" t="s">
        <v>4706</v>
      </c>
      <c r="H5574" s="458" t="str">
        <f t="shared" si="704"/>
        <v>RM OT210-1P2</v>
      </c>
      <c r="I5574" s="434"/>
      <c r="J5574" s="435" t="s">
        <v>2685</v>
      </c>
      <c r="K5574" s="434"/>
    </row>
    <row r="5575" spans="1:11" s="112" customFormat="1">
      <c r="A5575" s="435"/>
      <c r="B5575" s="536" t="s">
        <v>8736</v>
      </c>
      <c r="C5575" s="217">
        <v>1029.42</v>
      </c>
      <c r="D5575" s="204">
        <f>C5575*fcl*(1-0.1)</f>
        <v>2105.6318181818183</v>
      </c>
      <c r="E5575" s="203">
        <v>10</v>
      </c>
      <c r="F5575" s="149">
        <f>D5575+E5575</f>
        <v>2115.6318181818183</v>
      </c>
      <c r="G5575" s="410" t="s">
        <v>8737</v>
      </c>
      <c r="H5575" s="458" t="str">
        <f t="shared" si="704"/>
        <v>RM ST40 3N2</v>
      </c>
      <c r="I5575" s="434"/>
      <c r="J5575" s="435" t="s">
        <v>2685</v>
      </c>
      <c r="K5575" s="434"/>
    </row>
    <row r="5576" spans="1:11" s="112" customFormat="1">
      <c r="A5576" s="435"/>
      <c r="B5576" s="536" t="s">
        <v>9647</v>
      </c>
      <c r="C5576" s="217">
        <v>1029.42</v>
      </c>
      <c r="D5576" s="204">
        <f>C5576*fcl*(1-0.1)</f>
        <v>2105.6318181818183</v>
      </c>
      <c r="E5576" s="203">
        <v>10</v>
      </c>
      <c r="F5576" s="149">
        <f>D5576+E5576</f>
        <v>2115.6318181818183</v>
      </c>
      <c r="G5576" s="410" t="s">
        <v>9648</v>
      </c>
      <c r="H5576" s="458" t="str">
        <f>B5576</f>
        <v>RM ST40 3Y2</v>
      </c>
      <c r="I5576" s="434"/>
      <c r="J5576" s="435" t="s">
        <v>2685</v>
      </c>
      <c r="K5576" s="434"/>
    </row>
    <row r="5577" spans="1:11" s="112" customFormat="1">
      <c r="A5577"/>
      <c r="B5577" s="360"/>
      <c r="C5577"/>
      <c r="D5577" s="519"/>
      <c r="E5577"/>
      <c r="F5577"/>
      <c r="G5577" s="520"/>
      <c r="H5577" s="139"/>
      <c r="I5577"/>
      <c r="J5577"/>
      <c r="K5577"/>
    </row>
    <row r="5578" spans="1:11" s="112" customFormat="1">
      <c r="A5578" s="435"/>
      <c r="B5578" s="536" t="s">
        <v>2669</v>
      </c>
      <c r="C5578" s="217">
        <v>1296.31</v>
      </c>
      <c r="D5578" s="204">
        <f t="shared" ref="D5578:D5588" si="705">C5578*fcl*(1-0.1)</f>
        <v>2651.5431818181814</v>
      </c>
      <c r="E5578" s="203">
        <v>20</v>
      </c>
      <c r="F5578" s="149">
        <f t="shared" ref="F5578:F5592" si="706">D5578+E5578</f>
        <v>2671.5431818181814</v>
      </c>
      <c r="G5578" s="410" t="s">
        <v>4707</v>
      </c>
      <c r="H5578" s="458" t="str">
        <f t="shared" si="704"/>
        <v>RM ST60 3N2</v>
      </c>
      <c r="I5578" s="434"/>
      <c r="J5578" s="435" t="s">
        <v>2685</v>
      </c>
      <c r="K5578" s="434"/>
    </row>
    <row r="5579" spans="1:11">
      <c r="A5579" s="435"/>
      <c r="B5579" s="536" t="s">
        <v>2670</v>
      </c>
      <c r="C5579" s="217">
        <v>1296.31</v>
      </c>
      <c r="D5579" s="204">
        <f t="shared" si="705"/>
        <v>2651.5431818181814</v>
      </c>
      <c r="E5579" s="203">
        <v>20</v>
      </c>
      <c r="F5579" s="149">
        <f t="shared" si="706"/>
        <v>2671.5431818181814</v>
      </c>
      <c r="G5579" s="410" t="s">
        <v>4708</v>
      </c>
      <c r="H5579" s="458" t="str">
        <f t="shared" si="704"/>
        <v>RM ST60 3Y2</v>
      </c>
      <c r="I5579" s="434"/>
      <c r="J5579" s="435" t="s">
        <v>2685</v>
      </c>
      <c r="K5579" s="434"/>
    </row>
    <row r="5580" spans="1:11">
      <c r="A5580" s="435"/>
      <c r="B5580" s="536" t="s">
        <v>2671</v>
      </c>
      <c r="C5580" s="217">
        <v>1460.26</v>
      </c>
      <c r="D5580" s="204">
        <f t="shared" si="705"/>
        <v>2986.8954545454544</v>
      </c>
      <c r="E5580" s="203">
        <v>20</v>
      </c>
      <c r="F5580" s="149">
        <f t="shared" si="706"/>
        <v>3006.8954545454544</v>
      </c>
      <c r="G5580" s="410" t="s">
        <v>4709</v>
      </c>
      <c r="H5580" s="458" t="str">
        <f t="shared" si="704"/>
        <v>RM ST120 3N2</v>
      </c>
      <c r="I5580" s="434"/>
      <c r="J5580" s="435" t="s">
        <v>2685</v>
      </c>
      <c r="K5580" s="434"/>
    </row>
    <row r="5581" spans="1:11">
      <c r="A5581" s="435"/>
      <c r="B5581" s="536" t="s">
        <v>2672</v>
      </c>
      <c r="C5581" s="217">
        <v>1460.26</v>
      </c>
      <c r="D5581" s="204">
        <f t="shared" si="705"/>
        <v>2986.8954545454544</v>
      </c>
      <c r="E5581" s="203">
        <v>20</v>
      </c>
      <c r="F5581" s="149">
        <f t="shared" si="706"/>
        <v>3006.8954545454544</v>
      </c>
      <c r="G5581" s="410" t="s">
        <v>4710</v>
      </c>
      <c r="H5581" s="458" t="str">
        <f t="shared" si="704"/>
        <v>RM ST120 3Y2</v>
      </c>
      <c r="I5581" s="434"/>
      <c r="J5581" s="435" t="s">
        <v>2685</v>
      </c>
      <c r="K5581" s="434"/>
    </row>
    <row r="5582" spans="1:11" s="33" customFormat="1">
      <c r="A5582" s="435"/>
      <c r="B5582" s="536" t="s">
        <v>5099</v>
      </c>
      <c r="C5582" s="217">
        <v>1624.19</v>
      </c>
      <c r="D5582" s="204">
        <f>C5582*fcl*(1-0.1)</f>
        <v>3322.2068181818181</v>
      </c>
      <c r="E5582" s="203">
        <v>20</v>
      </c>
      <c r="F5582" s="149">
        <f t="shared" si="706"/>
        <v>3342.2068181818181</v>
      </c>
      <c r="G5582" s="410" t="s">
        <v>5100</v>
      </c>
      <c r="H5582" s="458" t="str">
        <f t="shared" si="704"/>
        <v>RM ST180 3N2</v>
      </c>
      <c r="I5582" s="434"/>
      <c r="J5582" s="435" t="s">
        <v>2685</v>
      </c>
      <c r="K5582" s="434"/>
    </row>
    <row r="5583" spans="1:11" s="33" customFormat="1">
      <c r="A5583" s="435"/>
      <c r="B5583" s="536" t="s">
        <v>5101</v>
      </c>
      <c r="C5583" s="217">
        <v>1624.19</v>
      </c>
      <c r="D5583" s="204">
        <f>C5583*fcl*(1-0.1)</f>
        <v>3322.2068181818181</v>
      </c>
      <c r="E5583" s="203">
        <v>20</v>
      </c>
      <c r="F5583" s="149">
        <f t="shared" si="706"/>
        <v>3342.2068181818181</v>
      </c>
      <c r="G5583" s="410" t="s">
        <v>5102</v>
      </c>
      <c r="H5583" s="458" t="str">
        <f t="shared" si="704"/>
        <v>RM ST180 3Y2</v>
      </c>
      <c r="I5583" s="434"/>
      <c r="J5583" s="435" t="s">
        <v>2685</v>
      </c>
      <c r="K5583" s="434"/>
    </row>
    <row r="5584" spans="1:11" s="112" customFormat="1">
      <c r="A5584" s="370"/>
      <c r="B5584" s="144"/>
      <c r="C5584" s="215"/>
      <c r="D5584" s="359"/>
      <c r="E5584" s="215"/>
      <c r="F5584" s="511"/>
      <c r="G5584" s="145"/>
      <c r="H5584" s="145"/>
      <c r="I5584" s="315"/>
      <c r="J5584" s="515"/>
      <c r="K5584" s="452"/>
    </row>
    <row r="5585" spans="1:11" s="112" customFormat="1">
      <c r="A5585" s="435"/>
      <c r="B5585" s="536" t="s">
        <v>8738</v>
      </c>
      <c r="C5585" s="217">
        <v>1490.75</v>
      </c>
      <c r="D5585" s="204">
        <f>C5585*fcl*(1-0.1)</f>
        <v>3049.2613636363635</v>
      </c>
      <c r="E5585" s="203">
        <v>40</v>
      </c>
      <c r="F5585" s="149">
        <f>D5585+E5585</f>
        <v>3089.2613636363635</v>
      </c>
      <c r="G5585" s="410" t="s">
        <v>8739</v>
      </c>
      <c r="H5585" s="458" t="str">
        <f>B5585</f>
        <v>LA ST60 3N2</v>
      </c>
      <c r="I5585" s="434"/>
      <c r="J5585" s="435" t="s">
        <v>2685</v>
      </c>
      <c r="K5585" s="434"/>
    </row>
    <row r="5586" spans="1:11" s="112" customFormat="1">
      <c r="A5586" s="435"/>
      <c r="B5586" s="536" t="s">
        <v>8740</v>
      </c>
      <c r="C5586" s="217">
        <v>1490.71</v>
      </c>
      <c r="D5586" s="204">
        <f>C5586*fcl*(1-0.1)</f>
        <v>3049.1795454545454</v>
      </c>
      <c r="E5586" s="203">
        <v>40</v>
      </c>
      <c r="F5586" s="149">
        <f>D5586+E5586</f>
        <v>3089.1795454545454</v>
      </c>
      <c r="G5586" s="410" t="s">
        <v>8741</v>
      </c>
      <c r="H5586" s="458" t="str">
        <f>B5586</f>
        <v>LA ST60 3Y1</v>
      </c>
      <c r="I5586" s="434"/>
      <c r="J5586" s="435" t="s">
        <v>2685</v>
      </c>
      <c r="K5586" s="434"/>
    </row>
    <row r="5587" spans="1:11" s="112" customFormat="1">
      <c r="A5587" s="435"/>
      <c r="B5587" s="536" t="s">
        <v>3395</v>
      </c>
      <c r="C5587" s="217">
        <v>1780.51</v>
      </c>
      <c r="D5587" s="204">
        <f t="shared" si="705"/>
        <v>3641.9522727272724</v>
      </c>
      <c r="E5587" s="203">
        <v>40</v>
      </c>
      <c r="F5587" s="149">
        <f t="shared" si="706"/>
        <v>3681.9522727272724</v>
      </c>
      <c r="G5587" s="410" t="s">
        <v>4711</v>
      </c>
      <c r="H5587" s="458" t="str">
        <f t="shared" si="704"/>
        <v>LA ST120 3N2</v>
      </c>
      <c r="I5587" s="434"/>
      <c r="J5587" s="435" t="s">
        <v>2685</v>
      </c>
      <c r="K5587" s="434"/>
    </row>
    <row r="5588" spans="1:11" s="33" customFormat="1">
      <c r="A5588" s="435"/>
      <c r="B5588" s="536" t="s">
        <v>3396</v>
      </c>
      <c r="C5588" s="217">
        <v>1780.51</v>
      </c>
      <c r="D5588" s="204">
        <f t="shared" si="705"/>
        <v>3641.9522727272724</v>
      </c>
      <c r="E5588" s="203">
        <v>40</v>
      </c>
      <c r="F5588" s="149">
        <f t="shared" si="706"/>
        <v>3681.9522727272724</v>
      </c>
      <c r="G5588" s="410" t="s">
        <v>4712</v>
      </c>
      <c r="H5588" s="458" t="str">
        <f t="shared" si="704"/>
        <v>LA ST120 3Y2</v>
      </c>
      <c r="I5588" s="434"/>
      <c r="J5588" s="435" t="s">
        <v>2685</v>
      </c>
      <c r="K5588" s="434"/>
    </row>
    <row r="5589" spans="1:11" s="33" customFormat="1">
      <c r="A5589" s="435"/>
      <c r="B5589" s="536" t="s">
        <v>2673</v>
      </c>
      <c r="C5589" s="217">
        <v>2161.7800000000002</v>
      </c>
      <c r="D5589" s="204">
        <f>C5589*fcl*(1-0.1)</f>
        <v>4421.8227272727281</v>
      </c>
      <c r="E5589" s="203">
        <v>40</v>
      </c>
      <c r="F5589" s="149">
        <f t="shared" si="706"/>
        <v>4461.8227272727281</v>
      </c>
      <c r="G5589" s="410" t="s">
        <v>4713</v>
      </c>
      <c r="H5589" s="458" t="str">
        <f t="shared" si="704"/>
        <v>LA ST180 3N2</v>
      </c>
      <c r="I5589" s="434"/>
      <c r="J5589" s="435" t="s">
        <v>2685</v>
      </c>
      <c r="K5589" s="434"/>
    </row>
    <row r="5590" spans="1:11" s="33" customFormat="1">
      <c r="A5590" s="435"/>
      <c r="B5590" s="536" t="s">
        <v>2674</v>
      </c>
      <c r="C5590" s="217">
        <v>2161.7800000000002</v>
      </c>
      <c r="D5590" s="204">
        <f>C5590*fcl*(1-0.1)</f>
        <v>4421.8227272727281</v>
      </c>
      <c r="E5590" s="203">
        <v>40</v>
      </c>
      <c r="F5590" s="149">
        <f t="shared" si="706"/>
        <v>4461.8227272727281</v>
      </c>
      <c r="G5590" s="410" t="s">
        <v>4714</v>
      </c>
      <c r="H5590" s="458" t="str">
        <f t="shared" si="704"/>
        <v>LA ST180 3Y2</v>
      </c>
      <c r="I5590" s="434"/>
      <c r="J5590" s="435" t="s">
        <v>2685</v>
      </c>
      <c r="K5590" s="434"/>
    </row>
    <row r="5591" spans="1:11" customFormat="1">
      <c r="A5591" s="435"/>
      <c r="B5591" s="536" t="s">
        <v>3397</v>
      </c>
      <c r="C5591" s="217">
        <v>2573.5500000000002</v>
      </c>
      <c r="D5591" s="204">
        <f>C5591*fcl*(1-0.1)</f>
        <v>5264.079545454545</v>
      </c>
      <c r="E5591" s="203">
        <v>80</v>
      </c>
      <c r="F5591" s="149">
        <f t="shared" si="706"/>
        <v>5344.079545454545</v>
      </c>
      <c r="G5591" s="410" t="s">
        <v>4715</v>
      </c>
      <c r="H5591" s="458" t="str">
        <f t="shared" si="704"/>
        <v>LA ST240 3N2</v>
      </c>
      <c r="I5591" s="434"/>
      <c r="J5591" s="435" t="s">
        <v>2685</v>
      </c>
      <c r="K5591" s="434"/>
    </row>
    <row r="5592" spans="1:11" s="33" customFormat="1">
      <c r="A5592" s="435"/>
      <c r="B5592" s="536" t="s">
        <v>3398</v>
      </c>
      <c r="C5592" s="217">
        <v>2573.5500000000002</v>
      </c>
      <c r="D5592" s="204">
        <f>C5592*fcl*(1-0.1)</f>
        <v>5264.079545454545</v>
      </c>
      <c r="E5592" s="203">
        <v>80</v>
      </c>
      <c r="F5592" s="149">
        <f t="shared" si="706"/>
        <v>5344.079545454545</v>
      </c>
      <c r="G5592" s="410" t="s">
        <v>4716</v>
      </c>
      <c r="H5592" s="458" t="str">
        <f t="shared" si="704"/>
        <v>LA ST240 3Y2</v>
      </c>
      <c r="I5592" s="434"/>
      <c r="J5592" s="435" t="s">
        <v>2685</v>
      </c>
      <c r="K5592" s="434"/>
    </row>
    <row r="5593" spans="1:11" s="33" customFormat="1">
      <c r="A5593" s="370"/>
      <c r="B5593" s="144"/>
      <c r="C5593" s="215"/>
      <c r="D5593" s="359"/>
      <c r="E5593" s="215"/>
      <c r="F5593" s="511"/>
      <c r="G5593" s="145"/>
      <c r="H5593" s="145"/>
      <c r="I5593" s="315"/>
      <c r="J5593" s="515"/>
      <c r="K5593" s="452"/>
    </row>
    <row r="5594" spans="1:11" s="33" customFormat="1">
      <c r="A5594" s="370"/>
      <c r="B5594" s="369"/>
      <c r="C5594" s="219"/>
      <c r="D5594" s="720"/>
      <c r="E5594" s="219"/>
      <c r="F5594" s="511"/>
      <c r="G5594" s="145"/>
      <c r="H5594" s="145"/>
      <c r="I5594" s="315"/>
      <c r="J5594" s="515"/>
      <c r="K5594" s="452"/>
    </row>
    <row r="5595" spans="1:11" s="1397" customFormat="1" ht="19.2">
      <c r="A5595" s="1693"/>
      <c r="B5595" s="1694" t="s">
        <v>3724</v>
      </c>
      <c r="C5595" s="1396"/>
      <c r="D5595" s="1695"/>
      <c r="E5595" s="1396"/>
      <c r="F5595" s="517"/>
      <c r="G5595" s="1696"/>
      <c r="H5595" s="1696"/>
      <c r="I5595" s="1697"/>
      <c r="J5595" s="1399"/>
      <c r="K5595" s="544"/>
    </row>
    <row r="5596" spans="1:11" s="112" customFormat="1">
      <c r="A5596" s="370"/>
      <c r="B5596" s="369"/>
      <c r="C5596" s="215"/>
      <c r="D5596" s="359"/>
      <c r="E5596" s="215"/>
      <c r="F5596" s="511"/>
      <c r="G5596" s="145"/>
      <c r="H5596" s="145"/>
      <c r="I5596" s="315"/>
      <c r="J5596" s="515"/>
      <c r="K5596" s="452"/>
    </row>
    <row r="5597" spans="1:11" s="112" customFormat="1">
      <c r="A5597" s="2372"/>
      <c r="B5597" s="369"/>
      <c r="C5597" s="215"/>
      <c r="D5597" s="359"/>
      <c r="E5597" s="215"/>
      <c r="F5597" s="511"/>
      <c r="G5597" s="145"/>
      <c r="H5597" s="145"/>
      <c r="I5597" s="315"/>
      <c r="J5597" s="515"/>
      <c r="K5597" s="452"/>
    </row>
    <row r="5598" spans="1:11" s="317" customFormat="1">
      <c r="A5598" s="1460"/>
      <c r="B5598" s="314" t="s">
        <v>8742</v>
      </c>
      <c r="C5598" s="955">
        <v>1520</v>
      </c>
      <c r="D5598" s="956">
        <f>C5598*fcl</f>
        <v>3454.545454545454</v>
      </c>
      <c r="E5598" s="957">
        <v>30</v>
      </c>
      <c r="F5598" s="958">
        <f>ROUNDUP(D5598+E5598,2)</f>
        <v>3484.55</v>
      </c>
      <c r="G5598" s="314" t="s">
        <v>8743</v>
      </c>
      <c r="H5598" s="1685" t="s">
        <v>8744</v>
      </c>
      <c r="I5598" s="960"/>
      <c r="J5598" s="954" t="s">
        <v>1925</v>
      </c>
      <c r="K5598" s="452" t="s">
        <v>741</v>
      </c>
    </row>
    <row r="5599" spans="1:11" s="315" customFormat="1">
      <c r="A5599" s="1460"/>
      <c r="B5599" s="314"/>
      <c r="C5599" s="955"/>
      <c r="D5599" s="956"/>
      <c r="E5599" s="957"/>
      <c r="F5599" s="958"/>
      <c r="G5599" s="314"/>
      <c r="H5599" s="518"/>
      <c r="I5599" s="960"/>
      <c r="J5599" s="954"/>
      <c r="K5599" s="452"/>
    </row>
    <row r="5600" spans="1:11" s="317" customFormat="1">
      <c r="A5600" s="1460"/>
      <c r="B5600" s="314" t="s">
        <v>8745</v>
      </c>
      <c r="C5600" s="955">
        <v>60</v>
      </c>
      <c r="D5600" s="956">
        <f t="shared" ref="D5600:D5605" si="707">C5600*fcl</f>
        <v>136.36363636363635</v>
      </c>
      <c r="E5600" s="957">
        <v>30</v>
      </c>
      <c r="F5600" s="958">
        <f t="shared" ref="F5600:F5605" si="708">ROUNDUP(D5600+E5600,2)</f>
        <v>166.37</v>
      </c>
      <c r="G5600" s="314" t="s">
        <v>8746</v>
      </c>
      <c r="H5600" s="1685" t="s">
        <v>8747</v>
      </c>
      <c r="I5600" s="960"/>
      <c r="J5600" s="954" t="s">
        <v>1925</v>
      </c>
      <c r="K5600" s="452" t="s">
        <v>741</v>
      </c>
    </row>
    <row r="5601" spans="1:11" s="317" customFormat="1">
      <c r="A5601" s="1460"/>
      <c r="B5601" s="314" t="s">
        <v>8748</v>
      </c>
      <c r="C5601" s="955">
        <v>75</v>
      </c>
      <c r="D5601" s="956">
        <f t="shared" si="707"/>
        <v>170.45454545454544</v>
      </c>
      <c r="E5601" s="957">
        <v>30</v>
      </c>
      <c r="F5601" s="958">
        <f t="shared" si="708"/>
        <v>200.45999999999998</v>
      </c>
      <c r="G5601" s="314" t="s">
        <v>8749</v>
      </c>
      <c r="H5601" s="1685" t="s">
        <v>8750</v>
      </c>
      <c r="I5601" s="960"/>
      <c r="J5601" s="954" t="s">
        <v>1925</v>
      </c>
      <c r="K5601" s="452" t="s">
        <v>741</v>
      </c>
    </row>
    <row r="5602" spans="1:11" s="317" customFormat="1">
      <c r="A5602" s="1460"/>
      <c r="B5602" s="314" t="s">
        <v>8751</v>
      </c>
      <c r="C5602" s="955">
        <v>260</v>
      </c>
      <c r="D5602" s="956">
        <f t="shared" si="707"/>
        <v>590.90909090909088</v>
      </c>
      <c r="E5602" s="957">
        <v>30</v>
      </c>
      <c r="F5602" s="958">
        <f t="shared" si="708"/>
        <v>620.91</v>
      </c>
      <c r="G5602" s="314" t="s">
        <v>8752</v>
      </c>
      <c r="H5602" s="1685" t="s">
        <v>8753</v>
      </c>
      <c r="I5602" s="960"/>
      <c r="J5602" s="954" t="s">
        <v>1925</v>
      </c>
      <c r="K5602" s="452" t="s">
        <v>741</v>
      </c>
    </row>
    <row r="5603" spans="1:11" s="317" customFormat="1">
      <c r="A5603" s="1460"/>
      <c r="B5603" s="314" t="s">
        <v>8754</v>
      </c>
      <c r="C5603" s="955">
        <v>670</v>
      </c>
      <c r="D5603" s="956">
        <f t="shared" si="707"/>
        <v>1522.7272727272725</v>
      </c>
      <c r="E5603" s="957">
        <v>30</v>
      </c>
      <c r="F5603" s="958">
        <f t="shared" si="708"/>
        <v>1552.73</v>
      </c>
      <c r="G5603" s="314" t="s">
        <v>8755</v>
      </c>
      <c r="H5603" s="1685" t="s">
        <v>8756</v>
      </c>
      <c r="I5603" s="960"/>
      <c r="J5603" s="954" t="s">
        <v>1925</v>
      </c>
      <c r="K5603" s="452" t="s">
        <v>741</v>
      </c>
    </row>
    <row r="5604" spans="1:11" s="317" customFormat="1">
      <c r="A5604" s="1460"/>
      <c r="B5604" s="314" t="s">
        <v>8757</v>
      </c>
      <c r="C5604" s="955">
        <v>1110</v>
      </c>
      <c r="D5604" s="956">
        <f t="shared" si="707"/>
        <v>2522.7272727272725</v>
      </c>
      <c r="E5604" s="957">
        <v>30</v>
      </c>
      <c r="F5604" s="958">
        <f t="shared" si="708"/>
        <v>2552.73</v>
      </c>
      <c r="G5604" s="314" t="s">
        <v>8758</v>
      </c>
      <c r="H5604" s="1685" t="s">
        <v>8759</v>
      </c>
      <c r="I5604" s="960"/>
      <c r="J5604" s="954" t="s">
        <v>1925</v>
      </c>
      <c r="K5604" s="452" t="s">
        <v>741</v>
      </c>
    </row>
    <row r="5605" spans="1:11" s="317" customFormat="1">
      <c r="A5605" s="1460"/>
      <c r="B5605" s="314" t="s">
        <v>8760</v>
      </c>
      <c r="C5605" s="955">
        <v>2680</v>
      </c>
      <c r="D5605" s="956">
        <f t="shared" si="707"/>
        <v>6090.9090909090901</v>
      </c>
      <c r="E5605" s="957">
        <v>30</v>
      </c>
      <c r="F5605" s="958">
        <f t="shared" si="708"/>
        <v>6120.91</v>
      </c>
      <c r="G5605" s="314" t="s">
        <v>8761</v>
      </c>
      <c r="H5605" s="1685" t="s">
        <v>8762</v>
      </c>
      <c r="I5605" s="960"/>
      <c r="J5605" s="954" t="s">
        <v>1925</v>
      </c>
      <c r="K5605" s="452" t="s">
        <v>741</v>
      </c>
    </row>
    <row r="5606" spans="1:11" s="315" customFormat="1">
      <c r="A5606" s="1460"/>
      <c r="B5606" s="314"/>
      <c r="C5606" s="955"/>
      <c r="D5606" s="956"/>
      <c r="E5606" s="957"/>
      <c r="F5606" s="958"/>
      <c r="G5606" s="314"/>
      <c r="H5606" s="1685"/>
      <c r="I5606" s="960"/>
      <c r="J5606" s="954"/>
      <c r="K5606" s="452"/>
    </row>
    <row r="5607" spans="1:11" s="317" customFormat="1">
      <c r="A5607" s="1460"/>
      <c r="B5607" s="314" t="s">
        <v>8763</v>
      </c>
      <c r="C5607" s="955">
        <v>215</v>
      </c>
      <c r="D5607" s="956">
        <f>C5607*fcl</f>
        <v>488.63636363636357</v>
      </c>
      <c r="E5607" s="957">
        <v>30</v>
      </c>
      <c r="F5607" s="958">
        <f>ROUNDUP(D5607+E5607,2)</f>
        <v>518.64</v>
      </c>
      <c r="G5607" s="314" t="s">
        <v>8764</v>
      </c>
      <c r="H5607" s="1685" t="s">
        <v>8765</v>
      </c>
      <c r="I5607" s="960"/>
      <c r="J5607" s="954" t="s">
        <v>1925</v>
      </c>
      <c r="K5607" s="452" t="s">
        <v>741</v>
      </c>
    </row>
    <row r="5608" spans="1:11" s="317" customFormat="1">
      <c r="A5608" s="1460"/>
      <c r="B5608" s="314" t="s">
        <v>8766</v>
      </c>
      <c r="C5608" s="955">
        <v>245</v>
      </c>
      <c r="D5608" s="956">
        <f>C5608*fcl</f>
        <v>556.81818181818176</v>
      </c>
      <c r="E5608" s="957">
        <v>30</v>
      </c>
      <c r="F5608" s="958">
        <f>ROUNDUP(D5608+E5608,2)</f>
        <v>586.81999999999994</v>
      </c>
      <c r="G5608" s="314" t="s">
        <v>8767</v>
      </c>
      <c r="H5608" s="1685" t="s">
        <v>8768</v>
      </c>
      <c r="I5608" s="960"/>
      <c r="J5608" s="954" t="s">
        <v>1925</v>
      </c>
      <c r="K5608" s="452" t="s">
        <v>741</v>
      </c>
    </row>
    <row r="5609" spans="1:11" s="317" customFormat="1">
      <c r="A5609" s="1460"/>
      <c r="B5609" s="314" t="s">
        <v>8769</v>
      </c>
      <c r="C5609" s="955">
        <v>455</v>
      </c>
      <c r="D5609" s="956">
        <f>C5609*fcl</f>
        <v>1034.090909090909</v>
      </c>
      <c r="E5609" s="957">
        <v>30</v>
      </c>
      <c r="F5609" s="958">
        <f>ROUNDUP(D5609+E5609,2)</f>
        <v>1064.0999999999999</v>
      </c>
      <c r="G5609" s="314" t="s">
        <v>8770</v>
      </c>
      <c r="H5609" s="1685" t="s">
        <v>8771</v>
      </c>
      <c r="I5609" s="960"/>
      <c r="J5609" s="954" t="s">
        <v>1925</v>
      </c>
      <c r="K5609" s="452" t="s">
        <v>741</v>
      </c>
    </row>
    <row r="5610" spans="1:11" s="317" customFormat="1">
      <c r="A5610" s="1460"/>
      <c r="B5610" s="314" t="s">
        <v>8772</v>
      </c>
      <c r="C5610" s="955">
        <v>760</v>
      </c>
      <c r="D5610" s="956">
        <f>C5610*fcl</f>
        <v>1727.272727272727</v>
      </c>
      <c r="E5610" s="957">
        <v>30</v>
      </c>
      <c r="F5610" s="958">
        <f>ROUNDUP(D5610+E5610,2)</f>
        <v>1757.28</v>
      </c>
      <c r="G5610" s="314" t="s">
        <v>8773</v>
      </c>
      <c r="H5610" s="1685" t="s">
        <v>8774</v>
      </c>
      <c r="I5610" s="960"/>
      <c r="J5610" s="954" t="s">
        <v>1925</v>
      </c>
      <c r="K5610" s="452" t="s">
        <v>741</v>
      </c>
    </row>
    <row r="5611" spans="1:11" s="317" customFormat="1">
      <c r="A5611" s="1460"/>
      <c r="B5611" s="314"/>
      <c r="C5611" s="955"/>
      <c r="D5611" s="956"/>
      <c r="E5611" s="957"/>
      <c r="F5611" s="958"/>
      <c r="G5611" s="314"/>
      <c r="H5611" s="1685"/>
      <c r="I5611" s="960"/>
      <c r="J5611" s="954"/>
      <c r="K5611" s="452"/>
    </row>
    <row r="5612" spans="1:11" s="185" customFormat="1" ht="12.75" customHeight="1">
      <c r="A5612" s="1460"/>
      <c r="B5612" s="144" t="s">
        <v>8775</v>
      </c>
      <c r="C5612" s="963">
        <v>235</v>
      </c>
      <c r="D5612" s="230">
        <f>C5612*fcl</f>
        <v>534.09090909090901</v>
      </c>
      <c r="E5612" s="219">
        <v>10</v>
      </c>
      <c r="F5612" s="511">
        <f>ROUNDUP(D5612+E5612,2)</f>
        <v>544.1</v>
      </c>
      <c r="G5612" s="314" t="s">
        <v>8776</v>
      </c>
      <c r="H5612" s="143" t="s">
        <v>8777</v>
      </c>
      <c r="I5612" s="452"/>
      <c r="J5612" s="369" t="s">
        <v>1925</v>
      </c>
      <c r="K5612" s="452" t="s">
        <v>741</v>
      </c>
    </row>
    <row r="5613" spans="1:11" s="185" customFormat="1" ht="12.75" customHeight="1">
      <c r="A5613" s="1460"/>
      <c r="B5613" s="144" t="s">
        <v>8778</v>
      </c>
      <c r="C5613" s="963">
        <v>44</v>
      </c>
      <c r="D5613" s="230">
        <f>C5613*fcl</f>
        <v>99.999999999999986</v>
      </c>
      <c r="E5613" s="219">
        <v>10</v>
      </c>
      <c r="F5613" s="511">
        <f>ROUNDUP(D5613+E5613,2)</f>
        <v>110</v>
      </c>
      <c r="G5613" s="314" t="s">
        <v>8779</v>
      </c>
      <c r="H5613" s="143" t="s">
        <v>8780</v>
      </c>
      <c r="I5613" s="452"/>
      <c r="J5613" s="369" t="s">
        <v>1925</v>
      </c>
      <c r="K5613" s="452" t="s">
        <v>741</v>
      </c>
    </row>
    <row r="5614" spans="1:11" s="33" customFormat="1">
      <c r="A5614" s="2372"/>
      <c r="B5614" s="1461"/>
      <c r="C5614" s="953"/>
      <c r="D5614" s="720"/>
      <c r="E5614" s="219"/>
      <c r="F5614" s="511"/>
      <c r="G5614"/>
      <c r="H5614" s="145"/>
      <c r="I5614" s="315"/>
      <c r="J5614" s="515"/>
      <c r="K5614" s="452"/>
    </row>
    <row r="5615" spans="1:11" s="2382" customFormat="1">
      <c r="A5615" s="2373"/>
      <c r="B5615" s="2374" t="s">
        <v>3725</v>
      </c>
      <c r="C5615" s="2375">
        <v>950.8</v>
      </c>
      <c r="D5615" s="2376">
        <f>C5615*fcl</f>
        <v>2160.9090909090905</v>
      </c>
      <c r="E5615" s="2377">
        <v>20</v>
      </c>
      <c r="F5615" s="2378">
        <f>ROUNDUP(D5615+E5615,2)</f>
        <v>2180.9100000000003</v>
      </c>
      <c r="G5615" s="2379" t="s">
        <v>4717</v>
      </c>
      <c r="H5615" s="2380" t="s">
        <v>4718</v>
      </c>
      <c r="I5615" s="2381"/>
      <c r="J5615" s="2373" t="s">
        <v>1925</v>
      </c>
      <c r="K5615" s="2381" t="s">
        <v>741</v>
      </c>
    </row>
    <row r="5616" spans="1:11" s="33" customFormat="1">
      <c r="A5616" s="1461" t="s">
        <v>4719</v>
      </c>
      <c r="B5616" s="1543" t="s">
        <v>3726</v>
      </c>
      <c r="C5616" s="963">
        <v>594</v>
      </c>
      <c r="D5616" s="230">
        <f>C5616*fcl</f>
        <v>1349.9999999999998</v>
      </c>
      <c r="E5616" s="219">
        <v>20</v>
      </c>
      <c r="F5616" s="511">
        <f>ROUNDUP(D5616+E5616,2)</f>
        <v>1370</v>
      </c>
      <c r="G5616" s="314" t="s">
        <v>4720</v>
      </c>
      <c r="H5616" s="143" t="s">
        <v>4721</v>
      </c>
      <c r="I5616" s="452"/>
      <c r="J5616" s="369" t="s">
        <v>1925</v>
      </c>
      <c r="K5616" s="452" t="s">
        <v>741</v>
      </c>
    </row>
    <row r="5617" spans="1:11" s="33" customFormat="1">
      <c r="A5617" s="1460"/>
      <c r="B5617" s="1543"/>
      <c r="C5617" s="963"/>
      <c r="D5617" s="230"/>
      <c r="E5617" s="219"/>
      <c r="F5617" s="511"/>
      <c r="G5617" s="314"/>
      <c r="H5617" s="143"/>
      <c r="I5617" s="452"/>
      <c r="J5617" s="369"/>
      <c r="K5617" s="452"/>
    </row>
    <row r="5618" spans="1:11" s="33" customFormat="1">
      <c r="A5618" s="1460"/>
      <c r="B5618" s="2383" t="s">
        <v>3727</v>
      </c>
      <c r="C5618" s="963">
        <v>74</v>
      </c>
      <c r="D5618" s="230">
        <f>C5618*fcl</f>
        <v>168.18181818181816</v>
      </c>
      <c r="E5618" s="219">
        <v>20</v>
      </c>
      <c r="F5618" s="511">
        <f>ROUNDUP(D5618+E5618,2)</f>
        <v>188.19</v>
      </c>
      <c r="G5618" s="314" t="s">
        <v>4722</v>
      </c>
      <c r="H5618" s="143" t="s">
        <v>4723</v>
      </c>
      <c r="I5618" s="452"/>
      <c r="J5618" s="369" t="s">
        <v>1925</v>
      </c>
      <c r="K5618" s="452" t="s">
        <v>741</v>
      </c>
    </row>
    <row r="5619" spans="1:11" s="112" customFormat="1">
      <c r="A5619" s="1460"/>
      <c r="B5619" s="1461"/>
      <c r="C5619" s="962"/>
      <c r="D5619" s="230"/>
      <c r="E5619" s="215"/>
      <c r="F5619" s="511"/>
      <c r="G5619" s="314"/>
      <c r="H5619" s="518"/>
      <c r="I5619" s="452"/>
      <c r="J5619" s="369"/>
      <c r="K5619" s="452"/>
    </row>
    <row r="5620" spans="1:11" s="112" customFormat="1">
      <c r="A5620" s="1460"/>
      <c r="B5620" s="2384" t="s">
        <v>3729</v>
      </c>
      <c r="C5620" s="963">
        <v>820</v>
      </c>
      <c r="D5620" s="230">
        <f>C5620*fcl</f>
        <v>1863.6363636363635</v>
      </c>
      <c r="E5620" s="219">
        <v>0</v>
      </c>
      <c r="F5620" s="511">
        <f>ROUNDUP(D5620+E5620,2)</f>
        <v>1863.64</v>
      </c>
      <c r="G5620" s="314" t="s">
        <v>11142</v>
      </c>
      <c r="H5620" s="143" t="s">
        <v>4724</v>
      </c>
      <c r="I5620" s="452"/>
      <c r="J5620" s="369" t="s">
        <v>1925</v>
      </c>
      <c r="K5620" s="452" t="s">
        <v>741</v>
      </c>
    </row>
    <row r="5621" spans="1:11" s="112" customFormat="1">
      <c r="A5621" s="1461" t="s">
        <v>4719</v>
      </c>
      <c r="B5621" s="1543" t="s">
        <v>3731</v>
      </c>
      <c r="C5621" s="963">
        <f>1.1*420</f>
        <v>462.00000000000006</v>
      </c>
      <c r="D5621" s="230">
        <f>C5621*fcl</f>
        <v>1050</v>
      </c>
      <c r="E5621" s="219">
        <v>0</v>
      </c>
      <c r="F5621" s="511">
        <f>ROUNDUP(D5621+E5621,2)</f>
        <v>1050</v>
      </c>
      <c r="G5621" s="314" t="s">
        <v>4725</v>
      </c>
      <c r="H5621" s="143" t="s">
        <v>4726</v>
      </c>
      <c r="I5621" s="452"/>
      <c r="J5621" s="369" t="s">
        <v>1925</v>
      </c>
      <c r="K5621" s="452" t="s">
        <v>741</v>
      </c>
    </row>
    <row r="5622" spans="1:11" s="112" customFormat="1">
      <c r="A5622" s="1461" t="s">
        <v>4719</v>
      </c>
      <c r="B5622" s="1543" t="s">
        <v>3732</v>
      </c>
      <c r="C5622" s="963">
        <v>279</v>
      </c>
      <c r="D5622" s="230">
        <f>C5622*fcl</f>
        <v>634.09090909090901</v>
      </c>
      <c r="E5622" s="219">
        <v>0</v>
      </c>
      <c r="F5622" s="511">
        <f>ROUNDUP(D5622+E5622,2)</f>
        <v>634.1</v>
      </c>
      <c r="G5622" s="314" t="s">
        <v>4727</v>
      </c>
      <c r="H5622" s="143" t="s">
        <v>4728</v>
      </c>
      <c r="I5622" s="452"/>
      <c r="J5622" s="369" t="s">
        <v>1925</v>
      </c>
      <c r="K5622" s="452" t="s">
        <v>741</v>
      </c>
    </row>
    <row r="5623" spans="1:11" s="112" customFormat="1">
      <c r="A5623" s="1460"/>
      <c r="B5623" s="1543"/>
      <c r="C5623" s="962"/>
      <c r="D5623" s="230"/>
      <c r="E5623" s="215"/>
      <c r="F5623" s="511"/>
      <c r="G5623" s="314"/>
      <c r="H5623" s="518"/>
      <c r="I5623" s="452"/>
      <c r="J5623" s="369"/>
      <c r="K5623" s="452"/>
    </row>
    <row r="5624" spans="1:11" s="112" customFormat="1">
      <c r="A5624" s="1460"/>
      <c r="B5624" s="2383" t="s">
        <v>3733</v>
      </c>
      <c r="C5624" s="963">
        <v>100</v>
      </c>
      <c r="D5624" s="230">
        <f>C5624*fcl</f>
        <v>227.27272727272725</v>
      </c>
      <c r="E5624" s="219">
        <v>10</v>
      </c>
      <c r="F5624" s="511">
        <f>ROUNDUP(D5624+E5624,2)</f>
        <v>237.28</v>
      </c>
      <c r="G5624" s="314" t="s">
        <v>4729</v>
      </c>
      <c r="H5624" s="143" t="s">
        <v>4730</v>
      </c>
      <c r="I5624" s="452"/>
      <c r="J5624" s="369" t="s">
        <v>1925</v>
      </c>
      <c r="K5624" s="452" t="s">
        <v>741</v>
      </c>
    </row>
    <row r="5625" spans="1:11" s="112" customFormat="1" ht="12.75" customHeight="1">
      <c r="A5625" s="1460"/>
      <c r="B5625" s="1461"/>
      <c r="C5625" s="962"/>
      <c r="D5625" s="230"/>
      <c r="E5625" s="215"/>
      <c r="F5625" s="511"/>
      <c r="G5625" s="314"/>
      <c r="H5625" s="518"/>
      <c r="I5625" s="452"/>
      <c r="J5625" s="369"/>
      <c r="K5625" s="452"/>
    </row>
    <row r="5626" spans="1:11" s="112" customFormat="1" ht="12.75" customHeight="1">
      <c r="A5626" s="1460"/>
      <c r="B5626" s="1461"/>
      <c r="C5626" s="962"/>
      <c r="D5626" s="230"/>
      <c r="E5626" s="215"/>
      <c r="F5626" s="511"/>
      <c r="G5626" s="2385"/>
      <c r="H5626" s="518"/>
      <c r="I5626" s="452"/>
      <c r="J5626" s="369"/>
      <c r="K5626" s="452"/>
    </row>
    <row r="5627" spans="1:11" s="961" customFormat="1">
      <c r="A5627" s="1548">
        <v>3</v>
      </c>
      <c r="B5627" s="1461" t="s">
        <v>13962</v>
      </c>
      <c r="C5627" s="963">
        <v>3189.4</v>
      </c>
      <c r="D5627" s="230">
        <f t="shared" ref="D5627" si="709">C5627*fcl</f>
        <v>7248.6363636363631</v>
      </c>
      <c r="E5627" s="219">
        <v>30</v>
      </c>
      <c r="F5627" s="511">
        <f t="shared" ref="F5627" si="710">ROUNDUP(D5627+E5627,2)</f>
        <v>7278.64</v>
      </c>
      <c r="G5627" s="314" t="s">
        <v>13963</v>
      </c>
      <c r="H5627" s="1461" t="s">
        <v>13962</v>
      </c>
      <c r="I5627" s="452"/>
      <c r="J5627" s="369" t="s">
        <v>1925</v>
      </c>
      <c r="K5627" s="452" t="s">
        <v>741</v>
      </c>
    </row>
    <row r="5628" spans="1:11" s="112" customFormat="1" ht="12.75" customHeight="1">
      <c r="A5628" s="1460"/>
      <c r="B5628" s="1461"/>
      <c r="C5628" s="962"/>
      <c r="D5628" s="230"/>
      <c r="E5628" s="215"/>
      <c r="F5628" s="511"/>
      <c r="G5628" s="314"/>
      <c r="H5628" s="518"/>
      <c r="I5628" s="452"/>
      <c r="J5628" s="369"/>
      <c r="K5628" s="452"/>
    </row>
    <row r="5629" spans="1:11" s="961" customFormat="1">
      <c r="A5629" s="1460"/>
      <c r="B5629" s="1461"/>
      <c r="C5629" s="963"/>
      <c r="D5629" s="230"/>
      <c r="E5629" s="219"/>
      <c r="F5629" s="511"/>
      <c r="G5629" s="314"/>
      <c r="H5629" s="143"/>
      <c r="I5629" s="452"/>
      <c r="J5629" s="369"/>
      <c r="K5629" s="452"/>
    </row>
    <row r="5630" spans="1:11" s="961" customFormat="1">
      <c r="A5630" s="1548">
        <v>14</v>
      </c>
      <c r="B5630" s="1461" t="s">
        <v>8781</v>
      </c>
      <c r="C5630" s="963">
        <v>2850</v>
      </c>
      <c r="D5630" s="230">
        <f t="shared" ref="D5630:D5635" si="711">C5630*fcl</f>
        <v>6477.272727272727</v>
      </c>
      <c r="E5630" s="219">
        <v>0</v>
      </c>
      <c r="F5630" s="511">
        <f t="shared" ref="F5630:F5635" si="712">ROUNDUP(D5630+E5630,2)</f>
        <v>6477.2800000000007</v>
      </c>
      <c r="G5630" s="314" t="s">
        <v>8782</v>
      </c>
      <c r="H5630" s="143" t="s">
        <v>8781</v>
      </c>
      <c r="I5630" s="452"/>
      <c r="J5630" s="369" t="s">
        <v>1925</v>
      </c>
      <c r="K5630" s="452" t="s">
        <v>741</v>
      </c>
    </row>
    <row r="5631" spans="1:11" s="2396" customFormat="1">
      <c r="A5631" s="2386">
        <v>16</v>
      </c>
      <c r="B5631" s="2387" t="s">
        <v>4723</v>
      </c>
      <c r="C5631" s="2388">
        <v>73.8</v>
      </c>
      <c r="D5631" s="2389">
        <f t="shared" si="711"/>
        <v>167.72727272727269</v>
      </c>
      <c r="E5631" s="2390">
        <v>0</v>
      </c>
      <c r="F5631" s="2391">
        <f t="shared" si="712"/>
        <v>167.73</v>
      </c>
      <c r="G5631" s="2392" t="s">
        <v>8783</v>
      </c>
      <c r="H5631" s="2393" t="s">
        <v>4723</v>
      </c>
      <c r="I5631" s="2394"/>
      <c r="J5631" s="2395" t="s">
        <v>1925</v>
      </c>
      <c r="K5631" s="2394" t="s">
        <v>741</v>
      </c>
    </row>
    <row r="5632" spans="1:11" s="961" customFormat="1">
      <c r="A5632" s="1548">
        <v>15</v>
      </c>
      <c r="B5632" s="1461" t="s">
        <v>4718</v>
      </c>
      <c r="C5632" s="963">
        <v>916</v>
      </c>
      <c r="D5632" s="230">
        <f t="shared" si="711"/>
        <v>2081.8181818181815</v>
      </c>
      <c r="E5632" s="219">
        <v>0</v>
      </c>
      <c r="F5632" s="511">
        <f t="shared" si="712"/>
        <v>2081.8200000000002</v>
      </c>
      <c r="G5632" s="314" t="s">
        <v>8784</v>
      </c>
      <c r="H5632" s="143" t="s">
        <v>4718</v>
      </c>
      <c r="I5632" s="452"/>
      <c r="J5632" s="369" t="s">
        <v>1925</v>
      </c>
      <c r="K5632" s="452" t="s">
        <v>741</v>
      </c>
    </row>
    <row r="5633" spans="1:11" s="2396" customFormat="1">
      <c r="A5633" s="2386">
        <v>18</v>
      </c>
      <c r="B5633" s="2387" t="s">
        <v>4730</v>
      </c>
      <c r="C5633" s="2388">
        <v>99</v>
      </c>
      <c r="D5633" s="2389">
        <f t="shared" si="711"/>
        <v>224.99999999999997</v>
      </c>
      <c r="E5633" s="2390">
        <v>0</v>
      </c>
      <c r="F5633" s="2391">
        <f t="shared" si="712"/>
        <v>225</v>
      </c>
      <c r="G5633" s="2392" t="s">
        <v>8785</v>
      </c>
      <c r="H5633" s="2393" t="s">
        <v>4730</v>
      </c>
      <c r="I5633" s="2394"/>
      <c r="J5633" s="2395" t="s">
        <v>1925</v>
      </c>
      <c r="K5633" s="2394" t="s">
        <v>741</v>
      </c>
    </row>
    <row r="5634" spans="1:11" s="2396" customFormat="1">
      <c r="A5634" s="2386">
        <v>17</v>
      </c>
      <c r="B5634" s="2387" t="s">
        <v>4724</v>
      </c>
      <c r="C5634" s="2388">
        <v>854</v>
      </c>
      <c r="D5634" s="2389">
        <f t="shared" si="711"/>
        <v>1940.9090909090908</v>
      </c>
      <c r="E5634" s="2390">
        <v>0</v>
      </c>
      <c r="F5634" s="2391">
        <f t="shared" si="712"/>
        <v>1940.91</v>
      </c>
      <c r="G5634" s="2392" t="s">
        <v>8786</v>
      </c>
      <c r="H5634" s="2393" t="s">
        <v>4724</v>
      </c>
      <c r="I5634" s="2394"/>
      <c r="J5634" s="2395" t="s">
        <v>1925</v>
      </c>
      <c r="K5634" s="2394" t="s">
        <v>741</v>
      </c>
    </row>
    <row r="5635" spans="1:11" s="2396" customFormat="1">
      <c r="A5635" s="2386">
        <v>21</v>
      </c>
      <c r="B5635" s="2387" t="s">
        <v>4737</v>
      </c>
      <c r="C5635" s="2388">
        <v>1055</v>
      </c>
      <c r="D5635" s="2389">
        <f t="shared" si="711"/>
        <v>2397.7272727272725</v>
      </c>
      <c r="E5635" s="2390">
        <v>0</v>
      </c>
      <c r="F5635" s="2391">
        <f t="shared" si="712"/>
        <v>2397.73</v>
      </c>
      <c r="G5635" s="2392" t="s">
        <v>8787</v>
      </c>
      <c r="H5635" s="2393" t="s">
        <v>4737</v>
      </c>
      <c r="I5635" s="2394"/>
      <c r="J5635" s="2395" t="s">
        <v>1925</v>
      </c>
      <c r="K5635" s="2394" t="s">
        <v>741</v>
      </c>
    </row>
    <row r="5636" spans="1:11" s="961" customFormat="1">
      <c r="A5636" s="1548"/>
      <c r="B5636" s="1461"/>
      <c r="C5636" s="963"/>
      <c r="D5636" s="230"/>
      <c r="E5636" s="219"/>
      <c r="F5636" s="511"/>
      <c r="G5636" s="314"/>
      <c r="H5636" s="143"/>
      <c r="I5636" s="452"/>
      <c r="J5636" s="369"/>
      <c r="K5636" s="452"/>
    </row>
    <row r="5637" spans="1:11" s="33" customFormat="1">
      <c r="A5637" s="2397"/>
      <c r="B5637" s="2398" t="s">
        <v>11143</v>
      </c>
      <c r="C5637" s="955">
        <v>362</v>
      </c>
      <c r="D5637" s="956">
        <f>C5637*fcl</f>
        <v>822.72727272727263</v>
      </c>
      <c r="E5637" s="957">
        <v>0</v>
      </c>
      <c r="F5637" s="958">
        <f>ROUNDUP(D5637+E5637,2)</f>
        <v>822.73</v>
      </c>
      <c r="G5637" s="959" t="s">
        <v>11144</v>
      </c>
      <c r="H5637" s="1685" t="s">
        <v>11143</v>
      </c>
      <c r="I5637" s="960"/>
      <c r="J5637" s="954" t="s">
        <v>1925</v>
      </c>
      <c r="K5637" s="960" t="s">
        <v>741</v>
      </c>
    </row>
    <row r="5638" spans="1:11" s="33" customFormat="1">
      <c r="A5638" s="1460"/>
      <c r="B5638" s="2383" t="s">
        <v>11145</v>
      </c>
      <c r="C5638" s="963">
        <v>84</v>
      </c>
      <c r="D5638" s="230">
        <f>C5638*fcl</f>
        <v>190.90909090909088</v>
      </c>
      <c r="E5638" s="219">
        <v>0</v>
      </c>
      <c r="F5638" s="511">
        <f>ROUNDUP(D5638+E5638,2)</f>
        <v>190.91</v>
      </c>
      <c r="G5638" s="314" t="s">
        <v>11146</v>
      </c>
      <c r="H5638" s="143" t="s">
        <v>11147</v>
      </c>
      <c r="I5638" s="452"/>
      <c r="J5638" s="369" t="s">
        <v>1925</v>
      </c>
      <c r="K5638" s="452" t="s">
        <v>741</v>
      </c>
    </row>
    <row r="5639" spans="1:11" s="961" customFormat="1">
      <c r="A5639" s="1460"/>
      <c r="B5639" s="1461"/>
      <c r="C5639" s="963"/>
      <c r="D5639" s="230"/>
      <c r="E5639" s="219"/>
      <c r="F5639" s="511"/>
      <c r="G5639" s="314"/>
      <c r="H5639" s="143"/>
      <c r="I5639" s="452"/>
      <c r="J5639" s="369"/>
      <c r="K5639" s="452"/>
    </row>
    <row r="5640" spans="1:11" s="961" customFormat="1">
      <c r="A5640" s="1460"/>
      <c r="B5640" s="1461" t="s">
        <v>4731</v>
      </c>
      <c r="C5640" s="963">
        <v>635</v>
      </c>
      <c r="D5640" s="230">
        <f t="shared" ref="D5640" si="713">C5640*fcl</f>
        <v>1443.181818181818</v>
      </c>
      <c r="E5640" s="219">
        <v>30</v>
      </c>
      <c r="F5640" s="511">
        <f>ROUNDUP(D5640+E5640,2)</f>
        <v>1473.19</v>
      </c>
      <c r="G5640" s="314" t="s">
        <v>4732</v>
      </c>
      <c r="H5640" s="143" t="s">
        <v>4733</v>
      </c>
      <c r="I5640" s="452"/>
      <c r="J5640" s="369" t="s">
        <v>1925</v>
      </c>
      <c r="K5640" s="452" t="s">
        <v>741</v>
      </c>
    </row>
    <row r="5641" spans="1:11" s="961" customFormat="1">
      <c r="A5641" s="1460"/>
      <c r="B5641" s="1461" t="s">
        <v>11753</v>
      </c>
      <c r="C5641" s="963">
        <v>941.8</v>
      </c>
      <c r="D5641" s="230">
        <f>C5641*fcl</f>
        <v>2140.454545454545</v>
      </c>
      <c r="E5641" s="219">
        <v>30</v>
      </c>
      <c r="F5641" s="511">
        <f>ROUNDUP(D5641+E5641,2)</f>
        <v>2170.46</v>
      </c>
      <c r="G5641" s="314" t="s">
        <v>11754</v>
      </c>
      <c r="H5641" s="143" t="s">
        <v>11755</v>
      </c>
      <c r="I5641" s="452"/>
      <c r="J5641" s="369" t="s">
        <v>1925</v>
      </c>
      <c r="K5641" s="452" t="s">
        <v>741</v>
      </c>
    </row>
    <row r="5642" spans="1:11" s="185" customFormat="1" ht="12.75" customHeight="1">
      <c r="A5642" s="1460"/>
      <c r="B5642" s="1461" t="s">
        <v>4734</v>
      </c>
      <c r="C5642" s="963">
        <v>1193</v>
      </c>
      <c r="D5642" s="230">
        <f>C5642*fcl</f>
        <v>2711.363636363636</v>
      </c>
      <c r="E5642" s="219">
        <v>30</v>
      </c>
      <c r="F5642" s="511">
        <f>ROUNDUP(D5642+E5642,2)</f>
        <v>2741.3700000000003</v>
      </c>
      <c r="G5642" s="314" t="s">
        <v>11756</v>
      </c>
      <c r="H5642" s="143" t="s">
        <v>4735</v>
      </c>
      <c r="I5642" s="452"/>
      <c r="J5642" s="369" t="s">
        <v>1925</v>
      </c>
      <c r="K5642" s="452" t="s">
        <v>741</v>
      </c>
    </row>
    <row r="5643" spans="1:11" s="2382" customFormat="1" ht="12.75" customHeight="1">
      <c r="A5643" s="2395"/>
      <c r="B5643" s="2387" t="s">
        <v>3735</v>
      </c>
      <c r="C5643" s="2388">
        <v>1312</v>
      </c>
      <c r="D5643" s="2389">
        <f>C5643*fcl</f>
        <v>2981.8181818181815</v>
      </c>
      <c r="E5643" s="2390">
        <v>30</v>
      </c>
      <c r="F5643" s="2391">
        <f>ROUNDUP(D5643+E5643,2)</f>
        <v>3011.82</v>
      </c>
      <c r="G5643" s="2392" t="s">
        <v>11757</v>
      </c>
      <c r="H5643" s="2393" t="s">
        <v>4736</v>
      </c>
      <c r="I5643" s="2394"/>
      <c r="J5643" s="2395" t="s">
        <v>1925</v>
      </c>
      <c r="K5643" s="2394" t="s">
        <v>741</v>
      </c>
    </row>
    <row r="5644" spans="1:11" s="185" customFormat="1" ht="12.75" customHeight="1">
      <c r="A5644" s="369"/>
      <c r="B5644" s="144"/>
      <c r="C5644" s="962"/>
      <c r="D5644" s="230"/>
      <c r="E5644" s="215"/>
      <c r="F5644" s="511"/>
      <c r="G5644" s="314"/>
      <c r="H5644" s="518"/>
      <c r="I5644" s="452"/>
      <c r="J5644" s="369"/>
      <c r="K5644" s="452"/>
    </row>
    <row r="5645" spans="1:11" s="185" customFormat="1" ht="12.75" customHeight="1">
      <c r="A5645" s="369"/>
      <c r="B5645" s="144" t="s">
        <v>13964</v>
      </c>
      <c r="C5645" s="963">
        <v>3257</v>
      </c>
      <c r="D5645" s="230">
        <f>C5645*fcl</f>
        <v>7402.2727272727261</v>
      </c>
      <c r="E5645" s="219">
        <v>30</v>
      </c>
      <c r="F5645" s="511">
        <f>ROUNDUP(D5645+E5645,2)</f>
        <v>7432.2800000000007</v>
      </c>
      <c r="G5645" s="314" t="s">
        <v>13965</v>
      </c>
      <c r="H5645" s="144" t="s">
        <v>13964</v>
      </c>
      <c r="I5645" s="452"/>
      <c r="J5645" s="369" t="s">
        <v>1925</v>
      </c>
      <c r="K5645" s="452" t="s">
        <v>741</v>
      </c>
    </row>
    <row r="5646" spans="1:11" s="185" customFormat="1" ht="12.75" customHeight="1">
      <c r="A5646" s="369"/>
      <c r="B5646" s="144"/>
      <c r="C5646" s="962"/>
      <c r="D5646" s="230"/>
      <c r="E5646" s="215"/>
      <c r="F5646" s="511"/>
      <c r="G5646" s="314"/>
      <c r="H5646" s="518"/>
      <c r="I5646" s="452"/>
      <c r="J5646" s="369"/>
      <c r="K5646" s="452"/>
    </row>
    <row r="5647" spans="1:11" s="185" customFormat="1" ht="12.75" customHeight="1">
      <c r="A5647" s="369"/>
      <c r="B5647" s="144"/>
      <c r="C5647" s="962"/>
      <c r="D5647" s="230"/>
      <c r="E5647" s="215"/>
      <c r="F5647" s="511"/>
      <c r="G5647" s="314"/>
      <c r="H5647" s="518"/>
      <c r="I5647" s="452"/>
      <c r="J5647" s="369"/>
      <c r="K5647" s="452"/>
    </row>
    <row r="5648" spans="1:11" s="185" customFormat="1" ht="12.75" customHeight="1">
      <c r="A5648" s="369"/>
      <c r="B5648" s="144"/>
      <c r="C5648" s="962"/>
      <c r="D5648" s="230"/>
      <c r="E5648" s="215"/>
      <c r="F5648" s="511"/>
      <c r="G5648" s="314"/>
      <c r="H5648" s="518"/>
      <c r="I5648" s="452"/>
      <c r="J5648" s="369"/>
      <c r="K5648" s="452"/>
    </row>
    <row r="5649" spans="1:11" s="1397" customFormat="1" ht="12.75" customHeight="1">
      <c r="A5649" s="1693"/>
      <c r="B5649" s="1377"/>
      <c r="C5649" s="1396"/>
      <c r="D5649" s="1695"/>
      <c r="E5649" s="1396"/>
      <c r="F5649" s="517"/>
      <c r="G5649" s="1696"/>
      <c r="H5649" s="1696"/>
      <c r="I5649" s="1697"/>
      <c r="J5649" s="1399"/>
      <c r="K5649" s="544"/>
    </row>
    <row r="5650" spans="1:11" s="185" customFormat="1" ht="12.75" customHeight="1">
      <c r="A5650" s="370"/>
      <c r="B5650" s="144"/>
      <c r="C5650" s="219"/>
      <c r="D5650" s="720"/>
      <c r="E5650" s="219"/>
      <c r="F5650" s="511"/>
      <c r="G5650" s="145"/>
      <c r="H5650" s="145"/>
      <c r="I5650" s="315"/>
      <c r="J5650" s="515"/>
      <c r="K5650" s="452"/>
    </row>
    <row r="5651" spans="1:11" s="185" customFormat="1" ht="12.75" customHeight="1">
      <c r="A5651" s="370"/>
      <c r="B5651" s="718"/>
      <c r="C5651" s="215"/>
      <c r="D5651" s="359"/>
      <c r="E5651" s="215"/>
      <c r="F5651" s="511"/>
      <c r="G5651" s="145"/>
      <c r="H5651" s="145"/>
      <c r="I5651" s="315"/>
      <c r="J5651" s="515"/>
      <c r="K5651" s="452"/>
    </row>
    <row r="5652" spans="1:11" s="185" customFormat="1" ht="12.75" customHeight="1">
      <c r="A5652" s="370"/>
      <c r="B5652" s="718"/>
      <c r="C5652" s="215"/>
      <c r="D5652" s="359"/>
      <c r="E5652" s="215"/>
      <c r="F5652" s="511"/>
      <c r="G5652" s="145"/>
      <c r="H5652" s="145"/>
      <c r="I5652" s="315"/>
      <c r="J5652" s="515"/>
      <c r="K5652" s="452"/>
    </row>
    <row r="5653" spans="1:11" s="185" customFormat="1" ht="12.75" customHeight="1">
      <c r="A5653" s="370"/>
      <c r="B5653" s="472" t="s">
        <v>9418</v>
      </c>
      <c r="C5653" s="225">
        <v>141</v>
      </c>
      <c r="D5653" s="525">
        <f>C5653*(1-VLOOKUP(I5653,descuentos,6,FALSE))*fcl/IF(dol_sol="dólar", TC,1)</f>
        <v>41.365611940298493</v>
      </c>
      <c r="E5653" s="216">
        <v>10</v>
      </c>
      <c r="F5653" s="451">
        <f>ROUNDUP(D5653+E5653,2)</f>
        <v>51.37</v>
      </c>
      <c r="G5653" s="1568" t="s">
        <v>9419</v>
      </c>
      <c r="H5653" s="1686" t="str">
        <f>B5653</f>
        <v>1SLM004100A1207</v>
      </c>
      <c r="I5653" s="472" t="s">
        <v>11566</v>
      </c>
      <c r="J5653" s="1569" t="s">
        <v>753</v>
      </c>
      <c r="K5653" s="472" t="s">
        <v>741</v>
      </c>
    </row>
    <row r="5654" spans="1:11" s="185" customFormat="1" ht="12.75" customHeight="1">
      <c r="A5654" s="370"/>
      <c r="B5654" s="1570"/>
      <c r="C5654" s="216"/>
      <c r="D5654" s="525"/>
      <c r="E5654" s="216"/>
      <c r="F5654" s="451"/>
      <c r="G5654" s="1571"/>
      <c r="H5654" s="1571"/>
      <c r="I5654" s="320"/>
      <c r="J5654" s="489"/>
      <c r="K5654" s="472"/>
    </row>
    <row r="5655" spans="1:11" s="191" customFormat="1">
      <c r="A5655" s="102"/>
      <c r="B5655" s="1572" t="s">
        <v>9420</v>
      </c>
      <c r="C5655" s="1573"/>
      <c r="D5655" s="1574">
        <v>10.5</v>
      </c>
      <c r="E5655" s="1574">
        <v>0</v>
      </c>
      <c r="F5655" s="1574">
        <f>D5655+E5655</f>
        <v>10.5</v>
      </c>
      <c r="G5655" s="1574" t="s">
        <v>9421</v>
      </c>
      <c r="H5655" s="1686" t="str">
        <f>B5655</f>
        <v>ER103C40</v>
      </c>
      <c r="I5655" s="1575"/>
      <c r="J5655" s="1576" t="s">
        <v>1798</v>
      </c>
      <c r="K5655" s="1577" t="s">
        <v>741</v>
      </c>
    </row>
    <row r="5656" spans="1:11" s="191" customFormat="1">
      <c r="A5656" s="102"/>
      <c r="B5656" s="1572" t="s">
        <v>9422</v>
      </c>
      <c r="C5656" s="1573"/>
      <c r="D5656" s="1574">
        <v>9.5</v>
      </c>
      <c r="E5656" s="1574">
        <v>0</v>
      </c>
      <c r="F5656" s="1574">
        <f>D5656+E5656</f>
        <v>9.5</v>
      </c>
      <c r="G5656" s="1574" t="s">
        <v>9423</v>
      </c>
      <c r="H5656" s="1686" t="str">
        <f>B5656</f>
        <v>ER103C20</v>
      </c>
      <c r="I5656" s="1575"/>
      <c r="J5656" s="1576" t="s">
        <v>1798</v>
      </c>
      <c r="K5656" s="1577" t="s">
        <v>741</v>
      </c>
    </row>
    <row r="5657" spans="1:11" s="191" customFormat="1">
      <c r="A5657" s="102"/>
      <c r="B5657" s="1572" t="s">
        <v>9424</v>
      </c>
      <c r="C5657" s="1573"/>
      <c r="D5657" s="1574">
        <v>7</v>
      </c>
      <c r="E5657" s="1574">
        <v>0</v>
      </c>
      <c r="F5657" s="1574">
        <f>D5657+E5657</f>
        <v>7</v>
      </c>
      <c r="G5657" s="1574" t="s">
        <v>9425</v>
      </c>
      <c r="H5657" s="1686" t="str">
        <f>B5657</f>
        <v>ER102C40</v>
      </c>
      <c r="I5657" s="1575"/>
      <c r="J5657" s="1576" t="s">
        <v>1798</v>
      </c>
      <c r="K5657" s="1577" t="s">
        <v>741</v>
      </c>
    </row>
    <row r="5658" spans="1:11" s="191" customFormat="1">
      <c r="A5658" s="102"/>
      <c r="B5658" s="1572" t="s">
        <v>9426</v>
      </c>
      <c r="C5658" s="1573"/>
      <c r="D5658" s="1574">
        <v>6.5</v>
      </c>
      <c r="E5658" s="1574">
        <v>0</v>
      </c>
      <c r="F5658" s="1574">
        <f>D5658+E5658</f>
        <v>6.5</v>
      </c>
      <c r="G5658" s="1574" t="s">
        <v>9427</v>
      </c>
      <c r="H5658" s="1686" t="str">
        <f>B5658</f>
        <v>ER102C20</v>
      </c>
      <c r="I5658" s="1575"/>
      <c r="J5658" s="1576" t="s">
        <v>1798</v>
      </c>
      <c r="K5658" s="1577" t="s">
        <v>741</v>
      </c>
    </row>
    <row r="5659" spans="1:11" s="191" customFormat="1">
      <c r="A5659" s="102"/>
      <c r="B5659" s="1572" t="s">
        <v>9428</v>
      </c>
      <c r="C5659" s="1573"/>
      <c r="D5659" s="1574">
        <v>6.5</v>
      </c>
      <c r="E5659" s="1574">
        <v>0</v>
      </c>
      <c r="F5659" s="1574">
        <f>D5659+E5659</f>
        <v>6.5</v>
      </c>
      <c r="G5659" s="1574" t="s">
        <v>9429</v>
      </c>
      <c r="H5659" s="1686" t="str">
        <f>B5659</f>
        <v>ER102C16</v>
      </c>
      <c r="I5659" s="1575"/>
      <c r="J5659" s="1576" t="s">
        <v>1798</v>
      </c>
      <c r="K5659" s="1577" t="s">
        <v>741</v>
      </c>
    </row>
    <row r="5660" spans="1:11" s="185" customFormat="1" ht="12.75" customHeight="1">
      <c r="A5660" s="370"/>
      <c r="B5660" s="144"/>
      <c r="C5660" s="215"/>
      <c r="D5660" s="359"/>
      <c r="E5660" s="215"/>
      <c r="F5660" s="511"/>
      <c r="G5660" s="145"/>
      <c r="H5660" s="145"/>
      <c r="I5660" s="315"/>
      <c r="J5660" s="515"/>
      <c r="K5660" s="452"/>
    </row>
    <row r="5661" spans="1:11" s="185" customFormat="1" ht="12.75" customHeight="1">
      <c r="A5661" s="370"/>
      <c r="B5661" s="718" t="s">
        <v>2686</v>
      </c>
      <c r="C5661" s="215"/>
      <c r="D5661" s="359"/>
      <c r="E5661" s="215"/>
      <c r="F5661" s="511"/>
      <c r="G5661" s="145"/>
      <c r="H5661" s="145"/>
      <c r="I5661" s="315"/>
      <c r="J5661" s="515"/>
      <c r="K5661" s="452"/>
    </row>
    <row r="5662" spans="1:11" s="185" customFormat="1" ht="12.75" customHeight="1">
      <c r="A5662" s="370"/>
      <c r="B5662" s="718"/>
      <c r="C5662" s="215"/>
      <c r="D5662" s="359"/>
      <c r="E5662" s="215"/>
      <c r="F5662" s="511"/>
      <c r="G5662" s="145"/>
      <c r="H5662" s="145"/>
      <c r="I5662" s="315"/>
      <c r="J5662" s="515"/>
      <c r="K5662" s="452"/>
    </row>
    <row r="5663" spans="1:11" s="185" customFormat="1" ht="12.75" customHeight="1">
      <c r="A5663" s="370"/>
      <c r="B5663" s="718"/>
      <c r="C5663" s="215"/>
      <c r="D5663" s="359"/>
      <c r="E5663" s="215"/>
      <c r="F5663" s="511"/>
      <c r="G5663" s="145"/>
      <c r="H5663" s="145"/>
      <c r="I5663" s="315"/>
      <c r="J5663" s="515"/>
      <c r="K5663" s="452"/>
    </row>
    <row r="5664" spans="1:11" s="185" customFormat="1" ht="12.75" customHeight="1">
      <c r="A5664" s="370"/>
      <c r="B5664" s="718"/>
      <c r="C5664" s="215"/>
      <c r="D5664" s="359"/>
      <c r="E5664" s="215"/>
      <c r="F5664" s="511"/>
      <c r="G5664" s="145"/>
      <c r="H5664" s="145"/>
      <c r="I5664" s="315"/>
      <c r="J5664" s="515"/>
      <c r="K5664" s="452"/>
    </row>
    <row r="5665" spans="1:11" s="185" customFormat="1" ht="12.75" customHeight="1">
      <c r="A5665" s="370"/>
      <c r="B5665" s="718"/>
      <c r="C5665" s="215"/>
      <c r="D5665" s="359"/>
      <c r="E5665" s="215"/>
      <c r="F5665" s="511"/>
      <c r="G5665" s="145"/>
      <c r="H5665" s="145"/>
      <c r="I5665" s="315"/>
      <c r="J5665" s="515"/>
      <c r="K5665" s="452"/>
    </row>
    <row r="5666" spans="1:11" s="185" customFormat="1" ht="12.75" customHeight="1">
      <c r="A5666" s="370"/>
      <c r="B5666" s="718"/>
      <c r="C5666" s="215"/>
      <c r="D5666" s="359"/>
      <c r="E5666" s="215"/>
      <c r="F5666" s="511"/>
      <c r="G5666" s="145"/>
      <c r="H5666" s="145"/>
      <c r="I5666" s="315"/>
      <c r="J5666" s="515"/>
      <c r="K5666" s="452"/>
    </row>
    <row r="5667" spans="1:11" s="185" customFormat="1" ht="12.75" customHeight="1">
      <c r="A5667" s="370"/>
      <c r="B5667" s="718"/>
      <c r="C5667" s="215"/>
      <c r="D5667" s="359"/>
      <c r="E5667" s="215"/>
      <c r="F5667" s="511"/>
      <c r="G5667" s="145"/>
      <c r="H5667" s="145"/>
      <c r="I5667" s="315"/>
      <c r="J5667" s="515"/>
      <c r="K5667" s="452"/>
    </row>
    <row r="5668" spans="1:11" s="185" customFormat="1" ht="12.75" customHeight="1">
      <c r="A5668" s="370"/>
      <c r="B5668" s="718"/>
      <c r="C5668" s="215"/>
      <c r="D5668" s="359"/>
      <c r="E5668" s="215"/>
      <c r="F5668" s="511"/>
      <c r="G5668" s="145"/>
      <c r="H5668" s="145"/>
      <c r="I5668" s="315"/>
      <c r="J5668" s="515"/>
      <c r="K5668" s="452"/>
    </row>
    <row r="5669" spans="1:11" s="185" customFormat="1" ht="12.75" customHeight="1">
      <c r="A5669" s="370"/>
      <c r="B5669" s="718"/>
      <c r="C5669" s="215"/>
      <c r="D5669" s="359"/>
      <c r="E5669" s="215"/>
      <c r="F5669" s="511"/>
      <c r="G5669" s="145"/>
      <c r="H5669" s="145"/>
      <c r="I5669" s="315"/>
      <c r="J5669" s="515"/>
      <c r="K5669" s="452"/>
    </row>
    <row r="5670" spans="1:11" s="185" customFormat="1" ht="12.75" customHeight="1">
      <c r="A5670" s="370"/>
      <c r="B5670" s="718"/>
      <c r="C5670" s="215"/>
      <c r="D5670" s="359"/>
      <c r="E5670" s="215"/>
      <c r="F5670" s="511"/>
      <c r="G5670" s="145"/>
      <c r="H5670" s="145"/>
      <c r="I5670" s="315"/>
      <c r="J5670" s="515"/>
      <c r="K5670" s="452"/>
    </row>
    <row r="5671" spans="1:11" s="185" customFormat="1" ht="12.75" customHeight="1">
      <c r="A5671" s="370"/>
      <c r="B5671" s="718"/>
      <c r="C5671" s="215"/>
      <c r="D5671" s="359"/>
      <c r="E5671" s="215"/>
      <c r="F5671" s="511"/>
      <c r="G5671" s="145"/>
      <c r="H5671" s="145"/>
      <c r="I5671" s="315"/>
      <c r="J5671" s="515"/>
      <c r="K5671" s="452"/>
    </row>
    <row r="5672" spans="1:11" s="185" customFormat="1" ht="12.75" customHeight="1">
      <c r="A5672" s="370"/>
      <c r="B5672" s="718"/>
      <c r="C5672" s="215"/>
      <c r="D5672" s="359"/>
      <c r="E5672" s="215"/>
      <c r="F5672" s="511"/>
      <c r="G5672" s="145"/>
      <c r="H5672" s="145"/>
      <c r="I5672" s="315"/>
      <c r="J5672" s="515"/>
      <c r="K5672" s="452"/>
    </row>
    <row r="5673" spans="1:11" s="185" customFormat="1" ht="27.75" customHeight="1">
      <c r="A5673" s="370"/>
      <c r="B5673" s="1549" t="s">
        <v>2609</v>
      </c>
      <c r="C5673" s="215"/>
      <c r="D5673" s="359"/>
      <c r="E5673" s="215"/>
      <c r="F5673" s="511"/>
      <c r="G5673" s="145"/>
      <c r="H5673" s="145"/>
      <c r="I5673" s="315"/>
      <c r="J5673" s="515"/>
      <c r="K5673" s="452"/>
    </row>
    <row r="5674" spans="1:11" s="191" customFormat="1">
      <c r="A5674" s="102"/>
      <c r="B5674" s="536"/>
      <c r="D5674" s="217"/>
      <c r="E5674" s="390"/>
      <c r="F5674" s="22"/>
      <c r="G5674" s="22"/>
      <c r="H5674" s="139"/>
      <c r="I5674" s="28"/>
      <c r="J5674" s="366"/>
      <c r="K5674" s="33"/>
    </row>
    <row r="5675" spans="1:11" s="185" customFormat="1" ht="12.75" customHeight="1">
      <c r="A5675" s="370"/>
      <c r="B5675" s="1342"/>
      <c r="C5675" s="215"/>
      <c r="D5675" s="359"/>
      <c r="E5675" s="215"/>
      <c r="F5675" s="511"/>
      <c r="G5675" s="145"/>
      <c r="H5675" s="145"/>
      <c r="I5675" s="315"/>
      <c r="J5675" s="515"/>
      <c r="K5675" s="452"/>
    </row>
    <row r="5676" spans="1:11" s="185" customFormat="1">
      <c r="A5676" s="102"/>
      <c r="B5676" s="536" t="s">
        <v>2610</v>
      </c>
      <c r="D5676" s="217">
        <v>4</v>
      </c>
      <c r="E5676" s="390"/>
      <c r="F5676" s="22">
        <f t="shared" ref="F5676:F5683" si="714">D5676+E5676</f>
        <v>4</v>
      </c>
      <c r="G5676" s="22" t="s">
        <v>10187</v>
      </c>
      <c r="H5676" s="458" t="str">
        <f t="shared" ref="H5676:H5710" si="715">B5676</f>
        <v>EPC06101</v>
      </c>
      <c r="I5676" s="28"/>
      <c r="J5676" s="366" t="s">
        <v>2609</v>
      </c>
      <c r="K5676" s="33" t="s">
        <v>741</v>
      </c>
    </row>
    <row r="5677" spans="1:11" s="185" customFormat="1">
      <c r="A5677" s="102"/>
      <c r="B5677" s="536" t="s">
        <v>2611</v>
      </c>
      <c r="D5677" s="217">
        <v>4</v>
      </c>
      <c r="E5677" s="390"/>
      <c r="F5677" s="22">
        <f t="shared" si="714"/>
        <v>4</v>
      </c>
      <c r="G5677" s="22" t="s">
        <v>10188</v>
      </c>
      <c r="H5677" s="458" t="str">
        <f t="shared" si="715"/>
        <v>EPC06161</v>
      </c>
      <c r="I5677" s="28"/>
      <c r="J5677" s="366" t="s">
        <v>2609</v>
      </c>
      <c r="K5677" s="33" t="s">
        <v>741</v>
      </c>
    </row>
    <row r="5678" spans="1:11" s="112" customFormat="1">
      <c r="A5678" s="102"/>
      <c r="B5678" s="536" t="s">
        <v>2612</v>
      </c>
      <c r="D5678" s="217">
        <v>4</v>
      </c>
      <c r="E5678" s="390"/>
      <c r="F5678" s="22">
        <f t="shared" si="714"/>
        <v>4</v>
      </c>
      <c r="G5678" s="22" t="s">
        <v>10189</v>
      </c>
      <c r="H5678" s="458" t="str">
        <f t="shared" si="715"/>
        <v>EPC06201</v>
      </c>
      <c r="I5678" s="28"/>
      <c r="J5678" s="366" t="s">
        <v>2609</v>
      </c>
      <c r="K5678" s="33" t="s">
        <v>741</v>
      </c>
    </row>
    <row r="5679" spans="1:11" s="112" customFormat="1">
      <c r="A5679" s="102"/>
      <c r="B5679" s="536" t="s">
        <v>2613</v>
      </c>
      <c r="D5679" s="217">
        <v>4</v>
      </c>
      <c r="E5679" s="390"/>
      <c r="F5679" s="22">
        <f t="shared" si="714"/>
        <v>4</v>
      </c>
      <c r="G5679" s="22" t="s">
        <v>10190</v>
      </c>
      <c r="H5679" s="458" t="str">
        <f t="shared" si="715"/>
        <v>EPC06251</v>
      </c>
      <c r="I5679" s="28"/>
      <c r="J5679" s="366" t="s">
        <v>2609</v>
      </c>
      <c r="K5679" s="33" t="s">
        <v>741</v>
      </c>
    </row>
    <row r="5680" spans="1:11" s="112" customFormat="1">
      <c r="A5680" s="102"/>
      <c r="B5680" s="536" t="s">
        <v>2614</v>
      </c>
      <c r="D5680" s="217">
        <v>4</v>
      </c>
      <c r="E5680" s="390"/>
      <c r="F5680" s="22">
        <f t="shared" si="714"/>
        <v>4</v>
      </c>
      <c r="G5680" s="22" t="s">
        <v>10191</v>
      </c>
      <c r="H5680" s="458" t="str">
        <f t="shared" si="715"/>
        <v>EPC06321</v>
      </c>
      <c r="I5680" s="28"/>
      <c r="J5680" s="366" t="s">
        <v>2609</v>
      </c>
      <c r="K5680" s="33" t="s">
        <v>741</v>
      </c>
    </row>
    <row r="5681" spans="1:11" s="102" customFormat="1">
      <c r="B5681" s="536" t="s">
        <v>2615</v>
      </c>
      <c r="D5681" s="217">
        <v>4</v>
      </c>
      <c r="E5681" s="390"/>
      <c r="F5681" s="22">
        <f t="shared" si="714"/>
        <v>4</v>
      </c>
      <c r="G5681" s="22" t="s">
        <v>10192</v>
      </c>
      <c r="H5681" s="458" t="str">
        <f t="shared" si="715"/>
        <v>EPC06401</v>
      </c>
      <c r="I5681" s="28"/>
      <c r="J5681" s="366" t="s">
        <v>2609</v>
      </c>
      <c r="K5681" s="33" t="s">
        <v>741</v>
      </c>
    </row>
    <row r="5682" spans="1:11" s="191" customFormat="1">
      <c r="A5682" s="102"/>
      <c r="B5682" s="536" t="s">
        <v>2616</v>
      </c>
      <c r="D5682" s="217">
        <v>5</v>
      </c>
      <c r="E5682" s="390"/>
      <c r="F5682" s="22">
        <f t="shared" si="714"/>
        <v>5</v>
      </c>
      <c r="G5682" s="22" t="s">
        <v>10193</v>
      </c>
      <c r="H5682" s="458" t="str">
        <f t="shared" si="715"/>
        <v>EPC06501</v>
      </c>
      <c r="I5682" s="28"/>
      <c r="J5682" s="366" t="s">
        <v>2609</v>
      </c>
      <c r="K5682" s="33" t="s">
        <v>741</v>
      </c>
    </row>
    <row r="5683" spans="1:11" s="191" customFormat="1">
      <c r="A5683" s="102"/>
      <c r="B5683" s="536" t="s">
        <v>2617</v>
      </c>
      <c r="D5683" s="217">
        <v>5</v>
      </c>
      <c r="E5683" s="390"/>
      <c r="F5683" s="22">
        <f t="shared" si="714"/>
        <v>5</v>
      </c>
      <c r="G5683" s="22" t="s">
        <v>10194</v>
      </c>
      <c r="H5683" s="458" t="str">
        <f t="shared" si="715"/>
        <v>EPC06631</v>
      </c>
      <c r="I5683" s="28"/>
      <c r="J5683" s="366" t="s">
        <v>2609</v>
      </c>
      <c r="K5683" s="33" t="s">
        <v>741</v>
      </c>
    </row>
    <row r="5684" spans="1:11" s="191" customFormat="1">
      <c r="A5684" s="102"/>
      <c r="B5684" s="536"/>
      <c r="D5684" s="217"/>
      <c r="E5684" s="390"/>
      <c r="F5684" s="22"/>
      <c r="G5684" s="22"/>
      <c r="H5684" s="458"/>
      <c r="I5684" s="28"/>
      <c r="J5684" s="366"/>
      <c r="K5684" s="33"/>
    </row>
    <row r="5685" spans="1:11" s="191" customFormat="1">
      <c r="A5685" s="102"/>
      <c r="B5685" s="536" t="s">
        <v>2618</v>
      </c>
      <c r="D5685" s="217">
        <v>8</v>
      </c>
      <c r="E5685" s="390"/>
      <c r="F5685" s="22">
        <f t="shared" ref="F5685:F5692" si="716">D5685+E5685</f>
        <v>8</v>
      </c>
      <c r="G5685" s="22" t="s">
        <v>10195</v>
      </c>
      <c r="H5685" s="458" t="str">
        <f t="shared" si="715"/>
        <v>EPC06102</v>
      </c>
      <c r="I5685" s="28"/>
      <c r="J5685" s="366" t="s">
        <v>2609</v>
      </c>
      <c r="K5685" s="33" t="s">
        <v>741</v>
      </c>
    </row>
    <row r="5686" spans="1:11" s="191" customFormat="1">
      <c r="A5686" s="102"/>
      <c r="B5686" s="536" t="s">
        <v>2619</v>
      </c>
      <c r="D5686" s="217">
        <v>8</v>
      </c>
      <c r="E5686" s="390"/>
      <c r="F5686" s="22">
        <f t="shared" si="716"/>
        <v>8</v>
      </c>
      <c r="G5686" s="22" t="s">
        <v>10196</v>
      </c>
      <c r="H5686" s="458" t="str">
        <f t="shared" si="715"/>
        <v>EPC06162</v>
      </c>
      <c r="I5686" s="28"/>
      <c r="J5686" s="366" t="s">
        <v>2609</v>
      </c>
      <c r="K5686" s="33" t="s">
        <v>741</v>
      </c>
    </row>
    <row r="5687" spans="1:11" s="191" customFormat="1">
      <c r="A5687" s="102"/>
      <c r="B5687" s="536" t="s">
        <v>2620</v>
      </c>
      <c r="D5687" s="217">
        <v>8</v>
      </c>
      <c r="E5687" s="390"/>
      <c r="F5687" s="22">
        <f t="shared" si="716"/>
        <v>8</v>
      </c>
      <c r="G5687" s="22" t="s">
        <v>10197</v>
      </c>
      <c r="H5687" s="458" t="str">
        <f t="shared" si="715"/>
        <v>EPC06202</v>
      </c>
      <c r="I5687" s="28"/>
      <c r="J5687" s="366" t="s">
        <v>2609</v>
      </c>
      <c r="K5687" s="33" t="s">
        <v>741</v>
      </c>
    </row>
    <row r="5688" spans="1:11" s="191" customFormat="1">
      <c r="A5688" s="102"/>
      <c r="B5688" s="536" t="s">
        <v>2621</v>
      </c>
      <c r="D5688" s="217">
        <v>8</v>
      </c>
      <c r="E5688" s="390"/>
      <c r="F5688" s="22">
        <f t="shared" si="716"/>
        <v>8</v>
      </c>
      <c r="G5688" s="22" t="s">
        <v>10198</v>
      </c>
      <c r="H5688" s="458" t="str">
        <f t="shared" si="715"/>
        <v>EPC06252</v>
      </c>
      <c r="I5688" s="28"/>
      <c r="J5688" s="366" t="s">
        <v>2609</v>
      </c>
      <c r="K5688" s="33" t="s">
        <v>741</v>
      </c>
    </row>
    <row r="5689" spans="1:11" s="191" customFormat="1">
      <c r="A5689" s="102"/>
      <c r="B5689" s="536" t="s">
        <v>2622</v>
      </c>
      <c r="D5689" s="217">
        <v>8</v>
      </c>
      <c r="E5689" s="390"/>
      <c r="F5689" s="22">
        <f t="shared" si="716"/>
        <v>8</v>
      </c>
      <c r="G5689" s="22" t="s">
        <v>10199</v>
      </c>
      <c r="H5689" s="458" t="str">
        <f t="shared" si="715"/>
        <v>EPC06322</v>
      </c>
      <c r="I5689" s="28"/>
      <c r="J5689" s="366" t="s">
        <v>2609</v>
      </c>
      <c r="K5689" s="33" t="s">
        <v>741</v>
      </c>
    </row>
    <row r="5690" spans="1:11" s="191" customFormat="1">
      <c r="A5690" s="102"/>
      <c r="B5690" s="536" t="s">
        <v>2623</v>
      </c>
      <c r="D5690" s="217">
        <v>8</v>
      </c>
      <c r="E5690" s="390"/>
      <c r="F5690" s="22">
        <f t="shared" si="716"/>
        <v>8</v>
      </c>
      <c r="G5690" s="22" t="s">
        <v>10200</v>
      </c>
      <c r="H5690" s="458" t="str">
        <f t="shared" si="715"/>
        <v>EPC06402</v>
      </c>
      <c r="I5690" s="28"/>
      <c r="J5690" s="366" t="s">
        <v>2609</v>
      </c>
      <c r="K5690" s="33" t="s">
        <v>741</v>
      </c>
    </row>
    <row r="5691" spans="1:11" s="191" customFormat="1">
      <c r="A5691" s="102"/>
      <c r="B5691" s="536" t="s">
        <v>2624</v>
      </c>
      <c r="D5691" s="217">
        <v>10</v>
      </c>
      <c r="E5691" s="390"/>
      <c r="F5691" s="22">
        <f t="shared" si="716"/>
        <v>10</v>
      </c>
      <c r="G5691" s="22" t="s">
        <v>10201</v>
      </c>
      <c r="H5691" s="458" t="str">
        <f t="shared" si="715"/>
        <v>EPC06502</v>
      </c>
      <c r="I5691" s="28"/>
      <c r="J5691" s="366" t="s">
        <v>2609</v>
      </c>
      <c r="K5691" s="33" t="s">
        <v>741</v>
      </c>
    </row>
    <row r="5692" spans="1:11" s="191" customFormat="1">
      <c r="A5692" s="102"/>
      <c r="B5692" s="536" t="s">
        <v>2625</v>
      </c>
      <c r="D5692" s="217">
        <v>10</v>
      </c>
      <c r="E5692" s="390"/>
      <c r="F5692" s="22">
        <f t="shared" si="716"/>
        <v>10</v>
      </c>
      <c r="G5692" s="22" t="s">
        <v>10202</v>
      </c>
      <c r="H5692" s="458" t="str">
        <f t="shared" si="715"/>
        <v>EPC06632</v>
      </c>
      <c r="I5692" s="28"/>
      <c r="J5692" s="366" t="s">
        <v>2609</v>
      </c>
      <c r="K5692" s="33" t="s">
        <v>741</v>
      </c>
    </row>
    <row r="5693" spans="1:11" s="191" customFormat="1">
      <c r="A5693" s="102"/>
      <c r="B5693" s="536"/>
      <c r="D5693" s="217"/>
      <c r="E5693" s="390"/>
      <c r="F5693" s="22"/>
      <c r="G5693" s="22"/>
      <c r="H5693" s="458"/>
      <c r="I5693" s="28"/>
      <c r="J5693" s="366"/>
      <c r="K5693" s="33"/>
    </row>
    <row r="5694" spans="1:11" s="191" customFormat="1">
      <c r="A5694" s="102"/>
      <c r="B5694" s="536" t="s">
        <v>2626</v>
      </c>
      <c r="D5694" s="217">
        <v>12</v>
      </c>
      <c r="E5694" s="390"/>
      <c r="F5694" s="22">
        <f t="shared" ref="F5694:F5701" si="717">D5694+E5694</f>
        <v>12</v>
      </c>
      <c r="G5694" s="22" t="s">
        <v>10203</v>
      </c>
      <c r="H5694" s="458" t="str">
        <f t="shared" si="715"/>
        <v>EPC06103</v>
      </c>
      <c r="I5694" s="28"/>
      <c r="J5694" s="366" t="s">
        <v>2609</v>
      </c>
      <c r="K5694" s="33" t="s">
        <v>741</v>
      </c>
    </row>
    <row r="5695" spans="1:11" s="191" customFormat="1">
      <c r="A5695" s="102"/>
      <c r="B5695" s="536" t="s">
        <v>2627</v>
      </c>
      <c r="D5695" s="217">
        <v>12</v>
      </c>
      <c r="E5695" s="390"/>
      <c r="F5695" s="22">
        <f t="shared" si="717"/>
        <v>12</v>
      </c>
      <c r="G5695" s="22" t="s">
        <v>10204</v>
      </c>
      <c r="H5695" s="458" t="str">
        <f t="shared" si="715"/>
        <v>EPC06163</v>
      </c>
      <c r="I5695" s="28"/>
      <c r="J5695" s="366" t="s">
        <v>2609</v>
      </c>
      <c r="K5695" s="33" t="s">
        <v>741</v>
      </c>
    </row>
    <row r="5696" spans="1:11" s="191" customFormat="1">
      <c r="A5696" s="102"/>
      <c r="B5696" s="536" t="s">
        <v>2628</v>
      </c>
      <c r="D5696" s="217">
        <v>12</v>
      </c>
      <c r="E5696" s="390"/>
      <c r="F5696" s="22">
        <f t="shared" si="717"/>
        <v>12</v>
      </c>
      <c r="G5696" s="22" t="s">
        <v>10205</v>
      </c>
      <c r="H5696" s="458" t="str">
        <f t="shared" si="715"/>
        <v>EPC06203</v>
      </c>
      <c r="I5696" s="28"/>
      <c r="J5696" s="366" t="s">
        <v>2609</v>
      </c>
      <c r="K5696" s="33" t="s">
        <v>741</v>
      </c>
    </row>
    <row r="5697" spans="1:11" s="191" customFormat="1">
      <c r="A5697" s="102"/>
      <c r="B5697" s="536" t="s">
        <v>2629</v>
      </c>
      <c r="D5697" s="217">
        <v>12</v>
      </c>
      <c r="E5697" s="390"/>
      <c r="F5697" s="22">
        <f t="shared" si="717"/>
        <v>12</v>
      </c>
      <c r="G5697" s="22" t="s">
        <v>10206</v>
      </c>
      <c r="H5697" s="458" t="str">
        <f t="shared" si="715"/>
        <v>EPC06253</v>
      </c>
      <c r="I5697" s="28"/>
      <c r="J5697" s="366" t="s">
        <v>2609</v>
      </c>
      <c r="K5697" s="33" t="s">
        <v>741</v>
      </c>
    </row>
    <row r="5698" spans="1:11" s="191" customFormat="1">
      <c r="A5698" s="102"/>
      <c r="B5698" s="536" t="s">
        <v>2630</v>
      </c>
      <c r="D5698" s="217">
        <v>12</v>
      </c>
      <c r="E5698" s="390"/>
      <c r="F5698" s="22">
        <f t="shared" si="717"/>
        <v>12</v>
      </c>
      <c r="G5698" s="22" t="s">
        <v>10207</v>
      </c>
      <c r="H5698" s="458" t="str">
        <f t="shared" si="715"/>
        <v>EPC06323</v>
      </c>
      <c r="I5698" s="28"/>
      <c r="J5698" s="366" t="s">
        <v>2609</v>
      </c>
      <c r="K5698" s="33" t="s">
        <v>741</v>
      </c>
    </row>
    <row r="5699" spans="1:11" s="191" customFormat="1">
      <c r="A5699" s="102"/>
      <c r="B5699" s="536" t="s">
        <v>2631</v>
      </c>
      <c r="D5699" s="217">
        <v>12</v>
      </c>
      <c r="E5699" s="390"/>
      <c r="F5699" s="22">
        <f t="shared" si="717"/>
        <v>12</v>
      </c>
      <c r="G5699" s="22" t="s">
        <v>10208</v>
      </c>
      <c r="H5699" s="458" t="str">
        <f t="shared" si="715"/>
        <v>EPC06403</v>
      </c>
      <c r="I5699" s="28"/>
      <c r="J5699" s="366" t="s">
        <v>2609</v>
      </c>
      <c r="K5699" s="33" t="s">
        <v>741</v>
      </c>
    </row>
    <row r="5700" spans="1:11" s="191" customFormat="1">
      <c r="A5700" s="102"/>
      <c r="B5700" s="536" t="s">
        <v>2632</v>
      </c>
      <c r="D5700" s="217">
        <v>15</v>
      </c>
      <c r="E5700" s="390"/>
      <c r="F5700" s="22">
        <f t="shared" si="717"/>
        <v>15</v>
      </c>
      <c r="G5700" s="22" t="s">
        <v>10209</v>
      </c>
      <c r="H5700" s="458" t="str">
        <f t="shared" si="715"/>
        <v>EPC06503</v>
      </c>
      <c r="I5700" s="28"/>
      <c r="J5700" s="366" t="s">
        <v>2609</v>
      </c>
      <c r="K5700" s="33" t="s">
        <v>741</v>
      </c>
    </row>
    <row r="5701" spans="1:11" s="191" customFormat="1">
      <c r="A5701" s="102"/>
      <c r="B5701" s="536" t="s">
        <v>2633</v>
      </c>
      <c r="D5701" s="217">
        <v>15</v>
      </c>
      <c r="E5701" s="390"/>
      <c r="F5701" s="22">
        <f t="shared" si="717"/>
        <v>15</v>
      </c>
      <c r="G5701" s="22" t="s">
        <v>10210</v>
      </c>
      <c r="H5701" s="458" t="str">
        <f t="shared" si="715"/>
        <v>EPC06633</v>
      </c>
      <c r="I5701" s="28"/>
      <c r="J5701" s="366" t="s">
        <v>2609</v>
      </c>
      <c r="K5701" s="33" t="s">
        <v>741</v>
      </c>
    </row>
    <row r="5702" spans="1:11" s="191" customFormat="1">
      <c r="A5702" s="102"/>
      <c r="B5702" s="536"/>
      <c r="D5702" s="217"/>
      <c r="E5702" s="390"/>
      <c r="F5702" s="22"/>
      <c r="G5702" s="22"/>
      <c r="H5702" s="458"/>
      <c r="I5702" s="28"/>
      <c r="J5702" s="366"/>
      <c r="K5702" s="33"/>
    </row>
    <row r="5703" spans="1:11" s="191" customFormat="1">
      <c r="A5703" s="102"/>
      <c r="B5703" s="536" t="s">
        <v>2634</v>
      </c>
      <c r="D5703" s="217">
        <v>16</v>
      </c>
      <c r="E5703" s="390"/>
      <c r="F5703" s="22">
        <f t="shared" ref="F5703:F5710" si="718">D5703+E5703</f>
        <v>16</v>
      </c>
      <c r="G5703" s="22" t="s">
        <v>10211</v>
      </c>
      <c r="H5703" s="458" t="str">
        <f t="shared" si="715"/>
        <v>EPC06104</v>
      </c>
      <c r="I5703" s="28"/>
      <c r="J5703" s="366" t="s">
        <v>2609</v>
      </c>
      <c r="K5703" s="33" t="s">
        <v>741</v>
      </c>
    </row>
    <row r="5704" spans="1:11" s="191" customFormat="1">
      <c r="A5704" s="102"/>
      <c r="B5704" s="536" t="s">
        <v>2635</v>
      </c>
      <c r="D5704" s="217">
        <v>16</v>
      </c>
      <c r="E5704" s="390"/>
      <c r="F5704" s="22">
        <f t="shared" si="718"/>
        <v>16</v>
      </c>
      <c r="G5704" s="22" t="s">
        <v>10212</v>
      </c>
      <c r="H5704" s="458" t="str">
        <f t="shared" si="715"/>
        <v>EPC06164</v>
      </c>
      <c r="I5704" s="28"/>
      <c r="J5704" s="366" t="s">
        <v>2609</v>
      </c>
      <c r="K5704" s="33" t="s">
        <v>741</v>
      </c>
    </row>
    <row r="5705" spans="1:11" s="191" customFormat="1">
      <c r="A5705" s="102"/>
      <c r="B5705" s="536" t="s">
        <v>2636</v>
      </c>
      <c r="D5705" s="217">
        <v>16</v>
      </c>
      <c r="E5705" s="390"/>
      <c r="F5705" s="22">
        <f t="shared" si="718"/>
        <v>16</v>
      </c>
      <c r="G5705" s="22" t="s">
        <v>10213</v>
      </c>
      <c r="H5705" s="458" t="str">
        <f t="shared" si="715"/>
        <v>EPC06204</v>
      </c>
      <c r="I5705" s="28"/>
      <c r="J5705" s="366" t="s">
        <v>2609</v>
      </c>
      <c r="K5705" s="33" t="s">
        <v>741</v>
      </c>
    </row>
    <row r="5706" spans="1:11" s="191" customFormat="1">
      <c r="A5706" s="102"/>
      <c r="B5706" s="536" t="s">
        <v>2637</v>
      </c>
      <c r="D5706" s="217">
        <v>16</v>
      </c>
      <c r="E5706" s="390"/>
      <c r="F5706" s="22">
        <f t="shared" si="718"/>
        <v>16</v>
      </c>
      <c r="G5706" s="22" t="s">
        <v>10214</v>
      </c>
      <c r="H5706" s="458" t="str">
        <f t="shared" si="715"/>
        <v>EPC06254</v>
      </c>
      <c r="I5706" s="28"/>
      <c r="J5706" s="366" t="s">
        <v>2609</v>
      </c>
      <c r="K5706" s="33" t="s">
        <v>741</v>
      </c>
    </row>
    <row r="5707" spans="1:11" s="191" customFormat="1">
      <c r="A5707" s="102"/>
      <c r="B5707" s="536" t="s">
        <v>2638</v>
      </c>
      <c r="D5707" s="217">
        <v>16</v>
      </c>
      <c r="E5707" s="390"/>
      <c r="F5707" s="22">
        <f t="shared" si="718"/>
        <v>16</v>
      </c>
      <c r="G5707" s="22" t="s">
        <v>10215</v>
      </c>
      <c r="H5707" s="458" t="str">
        <f t="shared" si="715"/>
        <v>EPC06324</v>
      </c>
      <c r="I5707" s="28"/>
      <c r="J5707" s="366" t="s">
        <v>2609</v>
      </c>
      <c r="K5707" s="33" t="s">
        <v>741</v>
      </c>
    </row>
    <row r="5708" spans="1:11" s="191" customFormat="1">
      <c r="A5708" s="102"/>
      <c r="B5708" s="536" t="s">
        <v>2639</v>
      </c>
      <c r="D5708" s="217">
        <v>16</v>
      </c>
      <c r="E5708" s="390"/>
      <c r="F5708" s="22">
        <f t="shared" si="718"/>
        <v>16</v>
      </c>
      <c r="G5708" s="22" t="s">
        <v>10216</v>
      </c>
      <c r="H5708" s="458" t="str">
        <f t="shared" si="715"/>
        <v>EPC06404</v>
      </c>
      <c r="I5708" s="28"/>
      <c r="J5708" s="366" t="s">
        <v>2609</v>
      </c>
      <c r="K5708" s="33" t="s">
        <v>741</v>
      </c>
    </row>
    <row r="5709" spans="1:11" s="191" customFormat="1">
      <c r="A5709" s="102"/>
      <c r="B5709" s="536" t="s">
        <v>2640</v>
      </c>
      <c r="D5709" s="217">
        <v>20</v>
      </c>
      <c r="E5709" s="390"/>
      <c r="F5709" s="22">
        <f t="shared" si="718"/>
        <v>20</v>
      </c>
      <c r="G5709" s="22" t="s">
        <v>10217</v>
      </c>
      <c r="H5709" s="458" t="str">
        <f t="shared" si="715"/>
        <v>EPC06504</v>
      </c>
      <c r="I5709" s="28"/>
      <c r="J5709" s="366" t="s">
        <v>2609</v>
      </c>
      <c r="K5709" s="33" t="s">
        <v>741</v>
      </c>
    </row>
    <row r="5710" spans="1:11" s="191" customFormat="1">
      <c r="A5710" s="102"/>
      <c r="B5710" s="536" t="s">
        <v>2641</v>
      </c>
      <c r="D5710" s="217">
        <v>20</v>
      </c>
      <c r="E5710" s="390"/>
      <c r="F5710" s="22">
        <f t="shared" si="718"/>
        <v>20</v>
      </c>
      <c r="G5710" s="22" t="s">
        <v>10218</v>
      </c>
      <c r="H5710" s="458" t="str">
        <f t="shared" si="715"/>
        <v>EPC06634</v>
      </c>
      <c r="I5710" s="28"/>
      <c r="J5710" s="366" t="s">
        <v>2609</v>
      </c>
      <c r="K5710" s="33" t="s">
        <v>741</v>
      </c>
    </row>
    <row r="5711" spans="1:11" s="191" customFormat="1">
      <c r="A5711" s="102"/>
      <c r="B5711" s="536"/>
      <c r="D5711" s="217"/>
      <c r="E5711" s="390"/>
      <c r="F5711" s="22"/>
      <c r="G5711" s="22"/>
      <c r="H5711" s="139"/>
      <c r="I5711" s="28"/>
      <c r="J5711" s="366"/>
      <c r="K5711" s="33"/>
    </row>
    <row r="5712" spans="1:11" s="185" customFormat="1" ht="12.75" customHeight="1">
      <c r="A5712" s="370"/>
      <c r="B5712" s="1342"/>
      <c r="C5712" s="215"/>
      <c r="D5712" s="359"/>
      <c r="E5712" s="215"/>
      <c r="F5712" s="511"/>
      <c r="G5712" s="145"/>
      <c r="H5712" s="145"/>
      <c r="I5712" s="315"/>
      <c r="J5712" s="515"/>
      <c r="K5712" s="452"/>
    </row>
    <row r="5713" spans="1:11" s="185" customFormat="1" ht="12.75" customHeight="1">
      <c r="A5713" s="370"/>
      <c r="B5713" s="1342" t="s">
        <v>8788</v>
      </c>
      <c r="C5713" s="215"/>
      <c r="D5713" s="359"/>
      <c r="E5713" s="215"/>
      <c r="F5713" s="511"/>
      <c r="G5713" s="145"/>
      <c r="H5713" s="145"/>
      <c r="I5713" s="315"/>
      <c r="J5713" s="515"/>
      <c r="K5713" s="452"/>
    </row>
    <row r="5714" spans="1:11" s="185" customFormat="1" ht="12.75" customHeight="1">
      <c r="A5714" s="370"/>
      <c r="B5714" s="718"/>
      <c r="C5714" s="215"/>
      <c r="D5714" s="359"/>
      <c r="E5714" s="215"/>
      <c r="F5714" s="511"/>
      <c r="G5714" s="145"/>
      <c r="H5714" s="145"/>
      <c r="I5714" s="315"/>
      <c r="J5714" s="515"/>
      <c r="K5714" s="452"/>
    </row>
    <row r="5715" spans="1:11" s="185" customFormat="1" ht="12.75" customHeight="1">
      <c r="A5715" s="102"/>
      <c r="B5715" s="194"/>
      <c r="C5715" s="102"/>
      <c r="D5715" s="719"/>
      <c r="E5715" s="102"/>
      <c r="F5715" s="102"/>
      <c r="G5715" s="195"/>
      <c r="H5715" s="194"/>
      <c r="I5715" s="102"/>
      <c r="J5715" s="102"/>
      <c r="K5715" s="102"/>
    </row>
    <row r="5716" spans="1:11" s="185" customFormat="1">
      <c r="A5716" s="102"/>
      <c r="B5716" s="371" t="s">
        <v>8789</v>
      </c>
      <c r="D5716" s="217">
        <v>4.8999999999999995</v>
      </c>
      <c r="E5716" s="390"/>
      <c r="F5716" s="22">
        <f t="shared" ref="F5716:F5723" si="719">D5716+E5716</f>
        <v>4.8999999999999995</v>
      </c>
      <c r="G5716" s="22" t="s">
        <v>10219</v>
      </c>
      <c r="H5716" s="458" t="str">
        <f t="shared" ref="H5716:H5750" si="720">B5716</f>
        <v>EPC10101</v>
      </c>
      <c r="I5716" s="28"/>
      <c r="J5716" s="366" t="s">
        <v>2609</v>
      </c>
      <c r="K5716" s="33" t="s">
        <v>741</v>
      </c>
    </row>
    <row r="5717" spans="1:11" s="185" customFormat="1">
      <c r="A5717" s="102"/>
      <c r="B5717" s="371" t="s">
        <v>8790</v>
      </c>
      <c r="D5717" s="217">
        <v>4.8999999999999995</v>
      </c>
      <c r="E5717" s="390"/>
      <c r="F5717" s="22">
        <f t="shared" si="719"/>
        <v>4.8999999999999995</v>
      </c>
      <c r="G5717" s="22" t="s">
        <v>10220</v>
      </c>
      <c r="H5717" s="458" t="str">
        <f t="shared" si="720"/>
        <v>EPC10161</v>
      </c>
      <c r="I5717" s="28"/>
      <c r="J5717" s="366" t="s">
        <v>2609</v>
      </c>
      <c r="K5717" s="33" t="s">
        <v>741</v>
      </c>
    </row>
    <row r="5718" spans="1:11" s="112" customFormat="1">
      <c r="A5718" s="102"/>
      <c r="B5718" s="371" t="s">
        <v>8791</v>
      </c>
      <c r="D5718" s="217">
        <v>4.8999999999999995</v>
      </c>
      <c r="E5718" s="390"/>
      <c r="F5718" s="22">
        <f t="shared" si="719"/>
        <v>4.8999999999999995</v>
      </c>
      <c r="G5718" s="22" t="s">
        <v>10221</v>
      </c>
      <c r="H5718" s="458" t="str">
        <f t="shared" si="720"/>
        <v>EPC10201</v>
      </c>
      <c r="I5718" s="28"/>
      <c r="J5718" s="366" t="s">
        <v>2609</v>
      </c>
      <c r="K5718" s="33" t="s">
        <v>741</v>
      </c>
    </row>
    <row r="5719" spans="1:11" s="112" customFormat="1">
      <c r="A5719" s="102"/>
      <c r="B5719" s="371" t="s">
        <v>8792</v>
      </c>
      <c r="D5719" s="217">
        <v>4.8999999999999995</v>
      </c>
      <c r="E5719" s="390"/>
      <c r="F5719" s="22">
        <f t="shared" si="719"/>
        <v>4.8999999999999995</v>
      </c>
      <c r="G5719" s="22" t="s">
        <v>10222</v>
      </c>
      <c r="H5719" s="458" t="str">
        <f t="shared" si="720"/>
        <v>EPC10251</v>
      </c>
      <c r="I5719" s="28"/>
      <c r="J5719" s="366" t="s">
        <v>2609</v>
      </c>
      <c r="K5719" s="33" t="s">
        <v>741</v>
      </c>
    </row>
    <row r="5720" spans="1:11" s="112" customFormat="1">
      <c r="A5720" s="102"/>
      <c r="B5720" s="371" t="s">
        <v>8793</v>
      </c>
      <c r="D5720" s="217">
        <v>4.8999999999999995</v>
      </c>
      <c r="E5720" s="390"/>
      <c r="F5720" s="22">
        <f t="shared" si="719"/>
        <v>4.8999999999999995</v>
      </c>
      <c r="G5720" s="22" t="s">
        <v>10223</v>
      </c>
      <c r="H5720" s="458" t="str">
        <f t="shared" si="720"/>
        <v>EPC10321</v>
      </c>
      <c r="I5720" s="28"/>
      <c r="J5720" s="366" t="s">
        <v>2609</v>
      </c>
      <c r="K5720" s="33" t="s">
        <v>741</v>
      </c>
    </row>
    <row r="5721" spans="1:11" s="102" customFormat="1">
      <c r="B5721" s="371" t="s">
        <v>8794</v>
      </c>
      <c r="D5721" s="217">
        <v>4.8999999999999995</v>
      </c>
      <c r="E5721" s="390"/>
      <c r="F5721" s="22">
        <f t="shared" si="719"/>
        <v>4.8999999999999995</v>
      </c>
      <c r="G5721" s="22" t="s">
        <v>10224</v>
      </c>
      <c r="H5721" s="458" t="str">
        <f t="shared" si="720"/>
        <v>EPC10401</v>
      </c>
      <c r="I5721" s="28"/>
      <c r="J5721" s="366" t="s">
        <v>2609</v>
      </c>
      <c r="K5721" s="33" t="s">
        <v>741</v>
      </c>
    </row>
    <row r="5722" spans="1:11" s="191" customFormat="1">
      <c r="A5722" s="102"/>
      <c r="B5722" s="371" t="s">
        <v>8795</v>
      </c>
      <c r="D5722" s="217">
        <v>5.6999999999999993</v>
      </c>
      <c r="E5722" s="390"/>
      <c r="F5722" s="22">
        <f t="shared" si="719"/>
        <v>5.6999999999999993</v>
      </c>
      <c r="G5722" s="22" t="s">
        <v>10225</v>
      </c>
      <c r="H5722" s="458" t="str">
        <f t="shared" si="720"/>
        <v>EPC10501</v>
      </c>
      <c r="I5722" s="28"/>
      <c r="J5722" s="366" t="s">
        <v>2609</v>
      </c>
      <c r="K5722" s="33" t="s">
        <v>741</v>
      </c>
    </row>
    <row r="5723" spans="1:11" s="191" customFormat="1">
      <c r="A5723" s="102"/>
      <c r="B5723" s="371" t="s">
        <v>8796</v>
      </c>
      <c r="D5723" s="217">
        <v>5.6999999999999993</v>
      </c>
      <c r="E5723" s="390"/>
      <c r="F5723" s="22">
        <f t="shared" si="719"/>
        <v>5.6999999999999993</v>
      </c>
      <c r="G5723" s="22" t="s">
        <v>10226</v>
      </c>
      <c r="H5723" s="458" t="str">
        <f t="shared" si="720"/>
        <v>EPC10631</v>
      </c>
      <c r="I5723" s="28"/>
      <c r="J5723" s="366" t="s">
        <v>2609</v>
      </c>
      <c r="K5723" s="33" t="s">
        <v>741</v>
      </c>
    </row>
    <row r="5724" spans="1:11" s="191" customFormat="1">
      <c r="A5724" s="102"/>
      <c r="B5724" s="536"/>
      <c r="D5724" s="217"/>
      <c r="E5724" s="390"/>
      <c r="F5724" s="22"/>
      <c r="G5724" s="22"/>
      <c r="H5724" s="458"/>
      <c r="I5724" s="28"/>
      <c r="J5724" s="366"/>
      <c r="K5724" s="33"/>
    </row>
    <row r="5725" spans="1:11" s="191" customFormat="1">
      <c r="A5725" s="102"/>
      <c r="B5725" s="371" t="s">
        <v>8797</v>
      </c>
      <c r="D5725" s="217">
        <v>9.6999999999999993</v>
      </c>
      <c r="E5725" s="390"/>
      <c r="F5725" s="22">
        <f t="shared" ref="F5725:F5732" si="721">D5725+E5725</f>
        <v>9.6999999999999993</v>
      </c>
      <c r="G5725" s="22" t="s">
        <v>10227</v>
      </c>
      <c r="H5725" s="458" t="str">
        <f t="shared" si="720"/>
        <v>EPC10102</v>
      </c>
      <c r="I5725" s="28"/>
      <c r="J5725" s="366" t="s">
        <v>2609</v>
      </c>
      <c r="K5725" s="33" t="s">
        <v>741</v>
      </c>
    </row>
    <row r="5726" spans="1:11" s="191" customFormat="1">
      <c r="A5726" s="102"/>
      <c r="B5726" s="371" t="s">
        <v>8798</v>
      </c>
      <c r="D5726" s="217">
        <v>9.6999999999999993</v>
      </c>
      <c r="E5726" s="390"/>
      <c r="F5726" s="22">
        <f t="shared" si="721"/>
        <v>9.6999999999999993</v>
      </c>
      <c r="G5726" s="22" t="s">
        <v>10228</v>
      </c>
      <c r="H5726" s="458" t="str">
        <f t="shared" si="720"/>
        <v>EPC10162</v>
      </c>
      <c r="I5726" s="28"/>
      <c r="J5726" s="366" t="s">
        <v>2609</v>
      </c>
      <c r="K5726" s="33" t="s">
        <v>741</v>
      </c>
    </row>
    <row r="5727" spans="1:11" s="191" customFormat="1">
      <c r="A5727" s="102"/>
      <c r="B5727" s="371" t="s">
        <v>8799</v>
      </c>
      <c r="D5727" s="217">
        <v>9.6999999999999993</v>
      </c>
      <c r="E5727" s="390"/>
      <c r="F5727" s="22">
        <f t="shared" si="721"/>
        <v>9.6999999999999993</v>
      </c>
      <c r="G5727" s="22" t="s">
        <v>10229</v>
      </c>
      <c r="H5727" s="458" t="str">
        <f t="shared" si="720"/>
        <v>EPC10202</v>
      </c>
      <c r="I5727" s="28"/>
      <c r="J5727" s="366" t="s">
        <v>2609</v>
      </c>
      <c r="K5727" s="33" t="s">
        <v>741</v>
      </c>
    </row>
    <row r="5728" spans="1:11" s="191" customFormat="1">
      <c r="A5728" s="102"/>
      <c r="B5728" s="371" t="s">
        <v>8800</v>
      </c>
      <c r="D5728" s="217">
        <v>9.6999999999999993</v>
      </c>
      <c r="E5728" s="390"/>
      <c r="F5728" s="22">
        <f t="shared" si="721"/>
        <v>9.6999999999999993</v>
      </c>
      <c r="G5728" s="22" t="s">
        <v>10230</v>
      </c>
      <c r="H5728" s="458" t="str">
        <f t="shared" si="720"/>
        <v>EPC10252</v>
      </c>
      <c r="I5728" s="28"/>
      <c r="J5728" s="366" t="s">
        <v>2609</v>
      </c>
      <c r="K5728" s="33" t="s">
        <v>741</v>
      </c>
    </row>
    <row r="5729" spans="1:11" s="191" customFormat="1">
      <c r="A5729" s="102"/>
      <c r="B5729" s="371" t="s">
        <v>8801</v>
      </c>
      <c r="D5729" s="217">
        <v>9.6999999999999993</v>
      </c>
      <c r="E5729" s="390"/>
      <c r="F5729" s="22">
        <f t="shared" si="721"/>
        <v>9.6999999999999993</v>
      </c>
      <c r="G5729" s="22" t="s">
        <v>10231</v>
      </c>
      <c r="H5729" s="458" t="str">
        <f t="shared" si="720"/>
        <v>EPC10322</v>
      </c>
      <c r="I5729" s="28"/>
      <c r="J5729" s="366" t="s">
        <v>2609</v>
      </c>
      <c r="K5729" s="33" t="s">
        <v>741</v>
      </c>
    </row>
    <row r="5730" spans="1:11" s="191" customFormat="1">
      <c r="A5730" s="102"/>
      <c r="B5730" s="371" t="s">
        <v>8802</v>
      </c>
      <c r="D5730" s="217">
        <v>9.6999999999999993</v>
      </c>
      <c r="E5730" s="390"/>
      <c r="F5730" s="22">
        <f t="shared" si="721"/>
        <v>9.6999999999999993</v>
      </c>
      <c r="G5730" s="22" t="s">
        <v>10232</v>
      </c>
      <c r="H5730" s="458" t="str">
        <f t="shared" si="720"/>
        <v>EPC10402</v>
      </c>
      <c r="I5730" s="28"/>
      <c r="J5730" s="366" t="s">
        <v>2609</v>
      </c>
      <c r="K5730" s="33" t="s">
        <v>741</v>
      </c>
    </row>
    <row r="5731" spans="1:11" s="191" customFormat="1">
      <c r="A5731" s="102"/>
      <c r="B5731" s="371" t="s">
        <v>8803</v>
      </c>
      <c r="D5731" s="217">
        <v>11.299999999999999</v>
      </c>
      <c r="E5731" s="390"/>
      <c r="F5731" s="22">
        <f t="shared" si="721"/>
        <v>11.299999999999999</v>
      </c>
      <c r="G5731" s="22" t="s">
        <v>10233</v>
      </c>
      <c r="H5731" s="458" t="str">
        <f t="shared" si="720"/>
        <v>EPC10502</v>
      </c>
      <c r="I5731" s="28"/>
      <c r="J5731" s="366" t="s">
        <v>2609</v>
      </c>
      <c r="K5731" s="33" t="s">
        <v>741</v>
      </c>
    </row>
    <row r="5732" spans="1:11" s="191" customFormat="1">
      <c r="A5732" s="102"/>
      <c r="B5732" s="371" t="s">
        <v>8804</v>
      </c>
      <c r="D5732" s="217">
        <v>11.299999999999999</v>
      </c>
      <c r="E5732" s="390"/>
      <c r="F5732" s="22">
        <f t="shared" si="721"/>
        <v>11.299999999999999</v>
      </c>
      <c r="G5732" s="22" t="s">
        <v>10234</v>
      </c>
      <c r="H5732" s="458" t="str">
        <f t="shared" si="720"/>
        <v>EPC10632</v>
      </c>
      <c r="I5732" s="28"/>
      <c r="J5732" s="366" t="s">
        <v>2609</v>
      </c>
      <c r="K5732" s="33" t="s">
        <v>741</v>
      </c>
    </row>
    <row r="5733" spans="1:11" s="191" customFormat="1">
      <c r="A5733" s="102"/>
      <c r="B5733" s="536"/>
      <c r="D5733" s="217"/>
      <c r="E5733" s="390"/>
      <c r="F5733" s="22"/>
      <c r="G5733" s="22"/>
      <c r="H5733" s="458"/>
      <c r="I5733" s="28"/>
      <c r="J5733" s="366"/>
      <c r="K5733" s="33"/>
    </row>
    <row r="5734" spans="1:11" s="191" customFormat="1">
      <c r="A5734" s="102"/>
      <c r="B5734" s="371" t="s">
        <v>8805</v>
      </c>
      <c r="D5734" s="217">
        <v>14.6</v>
      </c>
      <c r="E5734" s="390"/>
      <c r="F5734" s="22">
        <f t="shared" ref="F5734:F5741" si="722">D5734+E5734</f>
        <v>14.6</v>
      </c>
      <c r="G5734" s="22" t="s">
        <v>10235</v>
      </c>
      <c r="H5734" s="458" t="str">
        <f t="shared" si="720"/>
        <v>EPC10103</v>
      </c>
      <c r="I5734" s="28"/>
      <c r="J5734" s="366" t="s">
        <v>2609</v>
      </c>
      <c r="K5734" s="33" t="s">
        <v>741</v>
      </c>
    </row>
    <row r="5735" spans="1:11" s="191" customFormat="1">
      <c r="A5735" s="102"/>
      <c r="B5735" s="371" t="s">
        <v>8806</v>
      </c>
      <c r="D5735" s="217">
        <v>14.6</v>
      </c>
      <c r="E5735" s="390"/>
      <c r="F5735" s="22">
        <f t="shared" si="722"/>
        <v>14.6</v>
      </c>
      <c r="G5735" s="22" t="s">
        <v>10236</v>
      </c>
      <c r="H5735" s="458" t="str">
        <f t="shared" si="720"/>
        <v>EPC10163</v>
      </c>
      <c r="I5735" s="28"/>
      <c r="J5735" s="366" t="s">
        <v>2609</v>
      </c>
      <c r="K5735" s="33" t="s">
        <v>741</v>
      </c>
    </row>
    <row r="5736" spans="1:11" s="191" customFormat="1">
      <c r="A5736" s="102"/>
      <c r="B5736" s="371" t="s">
        <v>8807</v>
      </c>
      <c r="D5736" s="217">
        <v>14.6</v>
      </c>
      <c r="E5736" s="390"/>
      <c r="F5736" s="22">
        <f t="shared" si="722"/>
        <v>14.6</v>
      </c>
      <c r="G5736" s="22" t="s">
        <v>10237</v>
      </c>
      <c r="H5736" s="458" t="str">
        <f t="shared" si="720"/>
        <v>EPC10203</v>
      </c>
      <c r="I5736" s="28"/>
      <c r="J5736" s="366" t="s">
        <v>2609</v>
      </c>
      <c r="K5736" s="33" t="s">
        <v>741</v>
      </c>
    </row>
    <row r="5737" spans="1:11" s="191" customFormat="1">
      <c r="A5737" s="102"/>
      <c r="B5737" s="371" t="s">
        <v>8808</v>
      </c>
      <c r="D5737" s="217">
        <v>14.6</v>
      </c>
      <c r="E5737" s="390"/>
      <c r="F5737" s="22">
        <f t="shared" si="722"/>
        <v>14.6</v>
      </c>
      <c r="G5737" s="22" t="s">
        <v>10238</v>
      </c>
      <c r="H5737" s="458" t="str">
        <f t="shared" si="720"/>
        <v>EPC10253</v>
      </c>
      <c r="I5737" s="28"/>
      <c r="J5737" s="366" t="s">
        <v>2609</v>
      </c>
      <c r="K5737" s="33" t="s">
        <v>741</v>
      </c>
    </row>
    <row r="5738" spans="1:11" s="191" customFormat="1">
      <c r="A5738" s="102"/>
      <c r="B5738" s="371" t="s">
        <v>8809</v>
      </c>
      <c r="D5738" s="217">
        <v>14.6</v>
      </c>
      <c r="E5738" s="390"/>
      <c r="F5738" s="22">
        <f t="shared" si="722"/>
        <v>14.6</v>
      </c>
      <c r="G5738" s="22" t="s">
        <v>10239</v>
      </c>
      <c r="H5738" s="458" t="str">
        <f t="shared" si="720"/>
        <v>EPC10323</v>
      </c>
      <c r="I5738" s="28"/>
      <c r="J5738" s="366" t="s">
        <v>2609</v>
      </c>
      <c r="K5738" s="33" t="s">
        <v>741</v>
      </c>
    </row>
    <row r="5739" spans="1:11" s="191" customFormat="1">
      <c r="A5739" s="102"/>
      <c r="B5739" s="371" t="s">
        <v>8810</v>
      </c>
      <c r="D5739" s="217">
        <v>14.6</v>
      </c>
      <c r="E5739" s="390"/>
      <c r="F5739" s="22">
        <f t="shared" si="722"/>
        <v>14.6</v>
      </c>
      <c r="G5739" s="22" t="s">
        <v>10240</v>
      </c>
      <c r="H5739" s="458" t="str">
        <f t="shared" si="720"/>
        <v>EPC10403</v>
      </c>
      <c r="I5739" s="28"/>
      <c r="J5739" s="366" t="s">
        <v>2609</v>
      </c>
      <c r="K5739" s="33" t="s">
        <v>741</v>
      </c>
    </row>
    <row r="5740" spans="1:11" s="191" customFormat="1">
      <c r="A5740" s="102"/>
      <c r="B5740" s="371" t="s">
        <v>8811</v>
      </c>
      <c r="D5740" s="217">
        <v>16.900000000000002</v>
      </c>
      <c r="E5740" s="390"/>
      <c r="F5740" s="22">
        <f t="shared" si="722"/>
        <v>16.900000000000002</v>
      </c>
      <c r="G5740" s="22" t="s">
        <v>10241</v>
      </c>
      <c r="H5740" s="458" t="str">
        <f t="shared" si="720"/>
        <v>EPC10503</v>
      </c>
      <c r="I5740" s="28"/>
      <c r="J5740" s="366" t="s">
        <v>2609</v>
      </c>
      <c r="K5740" s="33" t="s">
        <v>741</v>
      </c>
    </row>
    <row r="5741" spans="1:11" s="191" customFormat="1">
      <c r="A5741" s="102"/>
      <c r="B5741" s="371" t="s">
        <v>8812</v>
      </c>
      <c r="D5741" s="217">
        <v>16.900000000000002</v>
      </c>
      <c r="E5741" s="390"/>
      <c r="F5741" s="22">
        <f t="shared" si="722"/>
        <v>16.900000000000002</v>
      </c>
      <c r="G5741" s="22" t="s">
        <v>10242</v>
      </c>
      <c r="H5741" s="458" t="str">
        <f t="shared" si="720"/>
        <v>EPC10633</v>
      </c>
      <c r="I5741" s="28"/>
      <c r="J5741" s="366" t="s">
        <v>2609</v>
      </c>
      <c r="K5741" s="33" t="s">
        <v>741</v>
      </c>
    </row>
    <row r="5742" spans="1:11" s="191" customFormat="1">
      <c r="A5742" s="102"/>
      <c r="B5742" s="536"/>
      <c r="D5742" s="217"/>
      <c r="E5742" s="390"/>
      <c r="F5742" s="22"/>
      <c r="G5742" s="22"/>
      <c r="H5742" s="458"/>
      <c r="I5742" s="28"/>
      <c r="J5742" s="366"/>
      <c r="K5742" s="33"/>
    </row>
    <row r="5743" spans="1:11" s="191" customFormat="1">
      <c r="A5743" s="102"/>
      <c r="B5743" s="371" t="s">
        <v>8813</v>
      </c>
      <c r="D5743" s="217">
        <v>19.400000000000002</v>
      </c>
      <c r="E5743" s="390"/>
      <c r="F5743" s="22">
        <f t="shared" ref="F5743:F5750" si="723">D5743+E5743</f>
        <v>19.400000000000002</v>
      </c>
      <c r="G5743" s="22" t="s">
        <v>10243</v>
      </c>
      <c r="H5743" s="458" t="str">
        <f t="shared" si="720"/>
        <v>EPC10104</v>
      </c>
      <c r="I5743" s="28"/>
      <c r="J5743" s="366" t="s">
        <v>2609</v>
      </c>
      <c r="K5743" s="33" t="s">
        <v>741</v>
      </c>
    </row>
    <row r="5744" spans="1:11" s="191" customFormat="1">
      <c r="A5744" s="102"/>
      <c r="B5744" s="371" t="s">
        <v>8814</v>
      </c>
      <c r="D5744" s="217">
        <v>19.400000000000002</v>
      </c>
      <c r="E5744" s="390"/>
      <c r="F5744" s="22">
        <f t="shared" si="723"/>
        <v>19.400000000000002</v>
      </c>
      <c r="G5744" s="22" t="s">
        <v>10244</v>
      </c>
      <c r="H5744" s="458" t="str">
        <f t="shared" si="720"/>
        <v>EPC10164</v>
      </c>
      <c r="I5744" s="28"/>
      <c r="J5744" s="366" t="s">
        <v>2609</v>
      </c>
      <c r="K5744" s="33" t="s">
        <v>741</v>
      </c>
    </row>
    <row r="5745" spans="1:11" s="191" customFormat="1">
      <c r="A5745" s="102"/>
      <c r="B5745" s="371" t="s">
        <v>8815</v>
      </c>
      <c r="D5745" s="217">
        <v>19.400000000000002</v>
      </c>
      <c r="E5745" s="390"/>
      <c r="F5745" s="22">
        <f t="shared" si="723"/>
        <v>19.400000000000002</v>
      </c>
      <c r="G5745" s="22" t="s">
        <v>10245</v>
      </c>
      <c r="H5745" s="458" t="str">
        <f t="shared" si="720"/>
        <v>EPC10204</v>
      </c>
      <c r="I5745" s="28"/>
      <c r="J5745" s="366" t="s">
        <v>2609</v>
      </c>
      <c r="K5745" s="33" t="s">
        <v>741</v>
      </c>
    </row>
    <row r="5746" spans="1:11" s="191" customFormat="1">
      <c r="A5746" s="102"/>
      <c r="B5746" s="371" t="s">
        <v>8816</v>
      </c>
      <c r="D5746" s="217">
        <v>19.400000000000002</v>
      </c>
      <c r="E5746" s="390"/>
      <c r="F5746" s="22">
        <f t="shared" si="723"/>
        <v>19.400000000000002</v>
      </c>
      <c r="G5746" s="22" t="s">
        <v>10246</v>
      </c>
      <c r="H5746" s="458" t="str">
        <f t="shared" si="720"/>
        <v>EPC10254</v>
      </c>
      <c r="I5746" s="28"/>
      <c r="J5746" s="366" t="s">
        <v>2609</v>
      </c>
      <c r="K5746" s="33" t="s">
        <v>741</v>
      </c>
    </row>
    <row r="5747" spans="1:11" s="191" customFormat="1">
      <c r="A5747" s="102"/>
      <c r="B5747" s="371" t="s">
        <v>8817</v>
      </c>
      <c r="D5747" s="217">
        <v>19.400000000000002</v>
      </c>
      <c r="E5747" s="390"/>
      <c r="F5747" s="22">
        <f t="shared" si="723"/>
        <v>19.400000000000002</v>
      </c>
      <c r="G5747" s="22" t="s">
        <v>10247</v>
      </c>
      <c r="H5747" s="458" t="str">
        <f t="shared" si="720"/>
        <v>EPC10324</v>
      </c>
      <c r="I5747" s="28"/>
      <c r="J5747" s="366" t="s">
        <v>2609</v>
      </c>
      <c r="K5747" s="33" t="s">
        <v>741</v>
      </c>
    </row>
    <row r="5748" spans="1:11" s="191" customFormat="1">
      <c r="A5748" s="102"/>
      <c r="B5748" s="371" t="s">
        <v>8818</v>
      </c>
      <c r="D5748" s="217">
        <v>19.400000000000002</v>
      </c>
      <c r="E5748" s="390"/>
      <c r="F5748" s="22">
        <f t="shared" si="723"/>
        <v>19.400000000000002</v>
      </c>
      <c r="G5748" s="22" t="s">
        <v>10248</v>
      </c>
      <c r="H5748" s="458" t="str">
        <f t="shared" si="720"/>
        <v>EPC10404</v>
      </c>
      <c r="I5748" s="28"/>
      <c r="J5748" s="366" t="s">
        <v>2609</v>
      </c>
      <c r="K5748" s="33" t="s">
        <v>741</v>
      </c>
    </row>
    <row r="5749" spans="1:11" s="191" customFormat="1">
      <c r="A5749" s="102"/>
      <c r="B5749" s="371" t="s">
        <v>8819</v>
      </c>
      <c r="D5749" s="217">
        <v>22.5</v>
      </c>
      <c r="E5749" s="390"/>
      <c r="F5749" s="22">
        <f t="shared" si="723"/>
        <v>22.5</v>
      </c>
      <c r="G5749" s="22" t="s">
        <v>10249</v>
      </c>
      <c r="H5749" s="458" t="str">
        <f t="shared" si="720"/>
        <v>EPC10504</v>
      </c>
      <c r="I5749" s="28"/>
      <c r="J5749" s="366" t="s">
        <v>2609</v>
      </c>
      <c r="K5749" s="33" t="s">
        <v>741</v>
      </c>
    </row>
    <row r="5750" spans="1:11" s="191" customFormat="1">
      <c r="A5750" s="102"/>
      <c r="B5750" s="371" t="s">
        <v>8820</v>
      </c>
      <c r="D5750" s="217">
        <v>22.5</v>
      </c>
      <c r="E5750" s="390"/>
      <c r="F5750" s="22">
        <f t="shared" si="723"/>
        <v>22.5</v>
      </c>
      <c r="G5750" s="22" t="s">
        <v>10250</v>
      </c>
      <c r="H5750" s="458" t="str">
        <f t="shared" si="720"/>
        <v>EPC10634</v>
      </c>
      <c r="I5750" s="28"/>
      <c r="J5750" s="366" t="s">
        <v>2609</v>
      </c>
      <c r="K5750" s="33" t="s">
        <v>741</v>
      </c>
    </row>
    <row r="5751" spans="1:11" s="191" customFormat="1">
      <c r="A5751" s="102"/>
      <c r="B5751" s="371"/>
      <c r="D5751" s="217"/>
      <c r="E5751" s="390"/>
      <c r="F5751" s="22"/>
      <c r="G5751" s="22"/>
      <c r="H5751" s="458"/>
      <c r="I5751" s="28"/>
      <c r="J5751" s="366"/>
      <c r="K5751" s="33"/>
    </row>
    <row r="5752" spans="1:11" s="191" customFormat="1">
      <c r="A5752" s="102"/>
      <c r="B5752" s="371"/>
      <c r="D5752" s="217"/>
      <c r="E5752" s="390"/>
      <c r="F5752" s="22"/>
      <c r="G5752" s="22"/>
      <c r="H5752" s="458"/>
      <c r="I5752" s="28"/>
      <c r="J5752" s="366"/>
      <c r="K5752" s="33"/>
    </row>
    <row r="5753" spans="1:11" s="185" customFormat="1" ht="12.75" customHeight="1">
      <c r="A5753" s="370"/>
      <c r="B5753" s="1342" t="s">
        <v>8821</v>
      </c>
      <c r="C5753" s="215"/>
      <c r="D5753" s="359"/>
      <c r="E5753" s="215"/>
      <c r="F5753" s="511"/>
      <c r="G5753" s="145"/>
      <c r="H5753" s="145"/>
      <c r="I5753" s="315"/>
      <c r="J5753" s="515"/>
      <c r="K5753" s="452"/>
    </row>
    <row r="5754" spans="1:11" s="191" customFormat="1">
      <c r="A5754" s="102"/>
      <c r="B5754" s="536"/>
      <c r="D5754" s="217"/>
      <c r="E5754" s="390"/>
      <c r="F5754" s="22"/>
      <c r="G5754" s="22"/>
      <c r="H5754" s="139"/>
      <c r="I5754" s="28"/>
      <c r="J5754" s="366"/>
      <c r="K5754" s="33"/>
    </row>
    <row r="5755" spans="1:11" s="191" customFormat="1">
      <c r="A5755" s="102"/>
      <c r="B5755" s="536"/>
      <c r="D5755" s="217"/>
      <c r="E5755" s="390"/>
      <c r="F5755" s="22"/>
      <c r="G5755" s="22"/>
      <c r="H5755" s="139"/>
      <c r="I5755" s="28"/>
      <c r="J5755" s="366"/>
      <c r="K5755" s="33"/>
    </row>
    <row r="5756" spans="1:11" s="185" customFormat="1">
      <c r="A5756" s="102"/>
      <c r="B5756" s="371" t="s">
        <v>8822</v>
      </c>
      <c r="D5756" s="217">
        <v>10.7</v>
      </c>
      <c r="E5756" s="390"/>
      <c r="F5756" s="22">
        <f t="shared" ref="F5756:F5763" si="724">D5756+E5756</f>
        <v>10.7</v>
      </c>
      <c r="G5756" s="22" t="s">
        <v>10251</v>
      </c>
      <c r="H5756" s="458" t="str">
        <f t="shared" ref="H5756:H5763" si="725">B5756</f>
        <v>EPD10101</v>
      </c>
      <c r="I5756" s="28"/>
      <c r="J5756" s="366" t="s">
        <v>2609</v>
      </c>
      <c r="K5756" s="33" t="s">
        <v>741</v>
      </c>
    </row>
    <row r="5757" spans="1:11" s="185" customFormat="1">
      <c r="A5757" s="102"/>
      <c r="B5757" s="371" t="s">
        <v>8823</v>
      </c>
      <c r="D5757" s="217">
        <v>10.7</v>
      </c>
      <c r="E5757" s="390"/>
      <c r="F5757" s="22">
        <f t="shared" si="724"/>
        <v>10.7</v>
      </c>
      <c r="G5757" s="22" t="s">
        <v>10252</v>
      </c>
      <c r="H5757" s="458" t="str">
        <f t="shared" si="725"/>
        <v>EPD10161</v>
      </c>
      <c r="I5757" s="28"/>
      <c r="J5757" s="366" t="s">
        <v>2609</v>
      </c>
      <c r="K5757" s="33" t="s">
        <v>741</v>
      </c>
    </row>
    <row r="5758" spans="1:11" s="112" customFormat="1">
      <c r="A5758" s="102"/>
      <c r="B5758" s="371" t="s">
        <v>8824</v>
      </c>
      <c r="D5758" s="217">
        <v>10.7</v>
      </c>
      <c r="E5758" s="390"/>
      <c r="F5758" s="22">
        <f t="shared" si="724"/>
        <v>10.7</v>
      </c>
      <c r="G5758" s="22" t="s">
        <v>10253</v>
      </c>
      <c r="H5758" s="458" t="str">
        <f t="shared" si="725"/>
        <v>EPD10201</v>
      </c>
      <c r="I5758" s="28"/>
      <c r="J5758" s="366" t="s">
        <v>2609</v>
      </c>
      <c r="K5758" s="33" t="s">
        <v>741</v>
      </c>
    </row>
    <row r="5759" spans="1:11" s="112" customFormat="1">
      <c r="A5759" s="102"/>
      <c r="B5759" s="371" t="s">
        <v>8825</v>
      </c>
      <c r="D5759" s="217">
        <v>10.7</v>
      </c>
      <c r="E5759" s="390"/>
      <c r="F5759" s="22">
        <f t="shared" si="724"/>
        <v>10.7</v>
      </c>
      <c r="G5759" s="22" t="s">
        <v>10254</v>
      </c>
      <c r="H5759" s="458" t="str">
        <f t="shared" si="725"/>
        <v>EPD10251</v>
      </c>
      <c r="I5759" s="28"/>
      <c r="J5759" s="366" t="s">
        <v>2609</v>
      </c>
      <c r="K5759" s="33" t="s">
        <v>741</v>
      </c>
    </row>
    <row r="5760" spans="1:11" s="112" customFormat="1">
      <c r="A5760" s="102"/>
      <c r="B5760" s="371" t="s">
        <v>8826</v>
      </c>
      <c r="D5760" s="217">
        <v>10.7</v>
      </c>
      <c r="E5760" s="390"/>
      <c r="F5760" s="22">
        <f t="shared" si="724"/>
        <v>10.7</v>
      </c>
      <c r="G5760" s="22" t="s">
        <v>10255</v>
      </c>
      <c r="H5760" s="458" t="str">
        <f t="shared" si="725"/>
        <v>EPD10321</v>
      </c>
      <c r="I5760" s="28"/>
      <c r="J5760" s="366" t="s">
        <v>2609</v>
      </c>
      <c r="K5760" s="33" t="s">
        <v>741</v>
      </c>
    </row>
    <row r="5761" spans="1:11" s="102" customFormat="1">
      <c r="B5761" s="371" t="s">
        <v>8827</v>
      </c>
      <c r="D5761" s="217">
        <v>10.7</v>
      </c>
      <c r="E5761" s="390"/>
      <c r="F5761" s="22">
        <f t="shared" si="724"/>
        <v>10.7</v>
      </c>
      <c r="G5761" s="22" t="s">
        <v>10256</v>
      </c>
      <c r="H5761" s="458" t="str">
        <f t="shared" si="725"/>
        <v>EPD10401</v>
      </c>
      <c r="I5761" s="28"/>
      <c r="J5761" s="366" t="s">
        <v>2609</v>
      </c>
      <c r="K5761" s="33" t="s">
        <v>741</v>
      </c>
    </row>
    <row r="5762" spans="1:11" s="191" customFormat="1">
      <c r="A5762" s="102"/>
      <c r="B5762" s="371" t="s">
        <v>8828</v>
      </c>
      <c r="D5762" s="217">
        <v>11.9</v>
      </c>
      <c r="E5762" s="390"/>
      <c r="F5762" s="22">
        <f t="shared" si="724"/>
        <v>11.9</v>
      </c>
      <c r="G5762" s="22" t="s">
        <v>10257</v>
      </c>
      <c r="H5762" s="458" t="str">
        <f t="shared" si="725"/>
        <v>EPD10501</v>
      </c>
      <c r="I5762" s="28"/>
      <c r="J5762" s="366" t="s">
        <v>2609</v>
      </c>
      <c r="K5762" s="33" t="s">
        <v>741</v>
      </c>
    </row>
    <row r="5763" spans="1:11" s="191" customFormat="1">
      <c r="A5763" s="102"/>
      <c r="B5763" s="371" t="s">
        <v>8829</v>
      </c>
      <c r="D5763" s="217">
        <v>11.9</v>
      </c>
      <c r="E5763" s="390"/>
      <c r="F5763" s="22">
        <f t="shared" si="724"/>
        <v>11.9</v>
      </c>
      <c r="G5763" s="22" t="s">
        <v>10258</v>
      </c>
      <c r="H5763" s="458" t="str">
        <f t="shared" si="725"/>
        <v>EPD10631</v>
      </c>
      <c r="I5763" s="28"/>
      <c r="J5763" s="366" t="s">
        <v>2609</v>
      </c>
      <c r="K5763" s="33" t="s">
        <v>741</v>
      </c>
    </row>
    <row r="5764" spans="1:11" s="191" customFormat="1">
      <c r="A5764" s="102"/>
      <c r="B5764" s="536"/>
      <c r="D5764" s="217"/>
      <c r="E5764" s="390"/>
      <c r="F5764" s="22"/>
      <c r="G5764" s="22"/>
      <c r="H5764" s="458"/>
      <c r="I5764" s="28"/>
      <c r="J5764" s="366"/>
      <c r="K5764" s="33"/>
    </row>
    <row r="5765" spans="1:11" s="191" customFormat="1">
      <c r="A5765" s="102"/>
      <c r="B5765" s="371" t="s">
        <v>8830</v>
      </c>
      <c r="D5765" s="217">
        <v>21.3</v>
      </c>
      <c r="E5765" s="390"/>
      <c r="F5765" s="22">
        <f t="shared" ref="F5765:F5772" si="726">D5765+E5765</f>
        <v>21.3</v>
      </c>
      <c r="G5765" s="22" t="s">
        <v>10259</v>
      </c>
      <c r="H5765" s="458" t="str">
        <f t="shared" ref="H5765:H5772" si="727">B5765</f>
        <v>EPD10102</v>
      </c>
      <c r="I5765" s="28"/>
      <c r="J5765" s="366" t="s">
        <v>2609</v>
      </c>
      <c r="K5765" s="33" t="s">
        <v>741</v>
      </c>
    </row>
    <row r="5766" spans="1:11" s="191" customFormat="1">
      <c r="A5766" s="102"/>
      <c r="B5766" s="371" t="s">
        <v>8831</v>
      </c>
      <c r="D5766" s="217">
        <v>21.3</v>
      </c>
      <c r="E5766" s="390"/>
      <c r="F5766" s="22">
        <f t="shared" si="726"/>
        <v>21.3</v>
      </c>
      <c r="G5766" s="22" t="s">
        <v>10260</v>
      </c>
      <c r="H5766" s="458" t="str">
        <f t="shared" si="727"/>
        <v>EPD10162</v>
      </c>
      <c r="I5766" s="28"/>
      <c r="J5766" s="366" t="s">
        <v>2609</v>
      </c>
      <c r="K5766" s="33" t="s">
        <v>741</v>
      </c>
    </row>
    <row r="5767" spans="1:11" s="191" customFormat="1">
      <c r="A5767" s="102"/>
      <c r="B5767" s="371" t="s">
        <v>8832</v>
      </c>
      <c r="D5767" s="217">
        <v>21.3</v>
      </c>
      <c r="E5767" s="390"/>
      <c r="F5767" s="22">
        <f t="shared" si="726"/>
        <v>21.3</v>
      </c>
      <c r="G5767" s="22" t="s">
        <v>10261</v>
      </c>
      <c r="H5767" s="458" t="str">
        <f t="shared" si="727"/>
        <v>EPD10202</v>
      </c>
      <c r="I5767" s="28"/>
      <c r="J5767" s="366" t="s">
        <v>2609</v>
      </c>
      <c r="K5767" s="33" t="s">
        <v>741</v>
      </c>
    </row>
    <row r="5768" spans="1:11" s="191" customFormat="1">
      <c r="A5768" s="102"/>
      <c r="B5768" s="371" t="s">
        <v>8833</v>
      </c>
      <c r="D5768" s="217">
        <v>21.3</v>
      </c>
      <c r="E5768" s="390"/>
      <c r="F5768" s="22">
        <f t="shared" si="726"/>
        <v>21.3</v>
      </c>
      <c r="G5768" s="22" t="s">
        <v>10262</v>
      </c>
      <c r="H5768" s="458" t="str">
        <f t="shared" si="727"/>
        <v>EPD10252</v>
      </c>
      <c r="I5768" s="28"/>
      <c r="J5768" s="366" t="s">
        <v>2609</v>
      </c>
      <c r="K5768" s="33" t="s">
        <v>741</v>
      </c>
    </row>
    <row r="5769" spans="1:11" s="191" customFormat="1">
      <c r="A5769" s="102"/>
      <c r="B5769" s="371" t="s">
        <v>8834</v>
      </c>
      <c r="D5769" s="217">
        <v>21.3</v>
      </c>
      <c r="E5769" s="390"/>
      <c r="F5769" s="22">
        <f t="shared" si="726"/>
        <v>21.3</v>
      </c>
      <c r="G5769" s="22" t="s">
        <v>10263</v>
      </c>
      <c r="H5769" s="458" t="str">
        <f t="shared" si="727"/>
        <v>EPD10322</v>
      </c>
      <c r="I5769" s="28"/>
      <c r="J5769" s="366" t="s">
        <v>2609</v>
      </c>
      <c r="K5769" s="33" t="s">
        <v>741</v>
      </c>
    </row>
    <row r="5770" spans="1:11" s="191" customFormat="1">
      <c r="A5770" s="102"/>
      <c r="B5770" s="371" t="s">
        <v>8835</v>
      </c>
      <c r="D5770" s="217">
        <v>21.3</v>
      </c>
      <c r="E5770" s="390"/>
      <c r="F5770" s="22">
        <f t="shared" si="726"/>
        <v>21.3</v>
      </c>
      <c r="G5770" s="22" t="s">
        <v>10264</v>
      </c>
      <c r="H5770" s="458" t="str">
        <f t="shared" si="727"/>
        <v>EPD10402</v>
      </c>
      <c r="I5770" s="28"/>
      <c r="J5770" s="366" t="s">
        <v>2609</v>
      </c>
      <c r="K5770" s="33" t="s">
        <v>741</v>
      </c>
    </row>
    <row r="5771" spans="1:11" s="191" customFormat="1">
      <c r="A5771" s="102"/>
      <c r="B5771" s="371" t="s">
        <v>8836</v>
      </c>
      <c r="D5771" s="217">
        <v>23.8</v>
      </c>
      <c r="E5771" s="390"/>
      <c r="F5771" s="22">
        <f t="shared" si="726"/>
        <v>23.8</v>
      </c>
      <c r="G5771" s="22" t="s">
        <v>10265</v>
      </c>
      <c r="H5771" s="458" t="str">
        <f t="shared" si="727"/>
        <v>EPD10502</v>
      </c>
      <c r="I5771" s="28"/>
      <c r="J5771" s="366" t="s">
        <v>2609</v>
      </c>
      <c r="K5771" s="33" t="s">
        <v>741</v>
      </c>
    </row>
    <row r="5772" spans="1:11" s="191" customFormat="1">
      <c r="A5772" s="102"/>
      <c r="B5772" s="371" t="s">
        <v>8837</v>
      </c>
      <c r="D5772" s="217">
        <v>23.8</v>
      </c>
      <c r="E5772" s="390"/>
      <c r="F5772" s="22">
        <f t="shared" si="726"/>
        <v>23.8</v>
      </c>
      <c r="G5772" s="22" t="s">
        <v>10266</v>
      </c>
      <c r="H5772" s="458" t="str">
        <f t="shared" si="727"/>
        <v>EPD10632</v>
      </c>
      <c r="I5772" s="28"/>
      <c r="J5772" s="366" t="s">
        <v>2609</v>
      </c>
      <c r="K5772" s="33" t="s">
        <v>741</v>
      </c>
    </row>
    <row r="5773" spans="1:11" s="191" customFormat="1">
      <c r="A5773" s="102"/>
      <c r="B5773" s="536"/>
      <c r="D5773" s="217"/>
      <c r="E5773" s="390"/>
      <c r="F5773" s="22"/>
      <c r="G5773" s="22"/>
      <c r="H5773" s="458"/>
      <c r="I5773" s="28"/>
      <c r="J5773" s="366"/>
      <c r="K5773" s="33"/>
    </row>
    <row r="5774" spans="1:11" s="191" customFormat="1">
      <c r="A5774" s="102"/>
      <c r="B5774" s="371" t="s">
        <v>8838</v>
      </c>
      <c r="D5774" s="217">
        <v>31.900000000000002</v>
      </c>
      <c r="E5774" s="390"/>
      <c r="F5774" s="22">
        <f t="shared" ref="F5774:F5781" si="728">D5774+E5774</f>
        <v>31.900000000000002</v>
      </c>
      <c r="G5774" s="22" t="s">
        <v>10267</v>
      </c>
      <c r="H5774" s="458" t="str">
        <f t="shared" ref="H5774:H5781" si="729">B5774</f>
        <v>EPD10103</v>
      </c>
      <c r="I5774" s="28"/>
      <c r="J5774" s="366" t="s">
        <v>2609</v>
      </c>
      <c r="K5774" s="33" t="s">
        <v>741</v>
      </c>
    </row>
    <row r="5775" spans="1:11" s="191" customFormat="1">
      <c r="A5775" s="102"/>
      <c r="B5775" s="371" t="s">
        <v>8839</v>
      </c>
      <c r="D5775" s="217">
        <v>31.900000000000002</v>
      </c>
      <c r="E5775" s="390"/>
      <c r="F5775" s="22">
        <f t="shared" si="728"/>
        <v>31.900000000000002</v>
      </c>
      <c r="G5775" s="22" t="s">
        <v>10268</v>
      </c>
      <c r="H5775" s="458" t="str">
        <f t="shared" si="729"/>
        <v>EPD10163</v>
      </c>
      <c r="I5775" s="28"/>
      <c r="J5775" s="366" t="s">
        <v>2609</v>
      </c>
      <c r="K5775" s="33" t="s">
        <v>741</v>
      </c>
    </row>
    <row r="5776" spans="1:11" s="191" customFormat="1">
      <c r="A5776" s="102"/>
      <c r="B5776" s="371" t="s">
        <v>8840</v>
      </c>
      <c r="D5776" s="217">
        <v>31.900000000000002</v>
      </c>
      <c r="E5776" s="390"/>
      <c r="F5776" s="22">
        <f t="shared" si="728"/>
        <v>31.900000000000002</v>
      </c>
      <c r="G5776" s="22" t="s">
        <v>10269</v>
      </c>
      <c r="H5776" s="458" t="str">
        <f t="shared" si="729"/>
        <v>EPD10203</v>
      </c>
      <c r="I5776" s="28"/>
      <c r="J5776" s="366" t="s">
        <v>2609</v>
      </c>
      <c r="K5776" s="33" t="s">
        <v>741</v>
      </c>
    </row>
    <row r="5777" spans="1:11" s="191" customFormat="1">
      <c r="A5777" s="102"/>
      <c r="B5777" s="371" t="s">
        <v>8841</v>
      </c>
      <c r="D5777" s="217">
        <v>31.900000000000002</v>
      </c>
      <c r="E5777" s="390"/>
      <c r="F5777" s="22">
        <f t="shared" si="728"/>
        <v>31.900000000000002</v>
      </c>
      <c r="G5777" s="22" t="s">
        <v>10270</v>
      </c>
      <c r="H5777" s="458" t="str">
        <f t="shared" si="729"/>
        <v>EPD10253</v>
      </c>
      <c r="I5777" s="28"/>
      <c r="J5777" s="366" t="s">
        <v>2609</v>
      </c>
      <c r="K5777" s="33" t="s">
        <v>741</v>
      </c>
    </row>
    <row r="5778" spans="1:11" s="191" customFormat="1">
      <c r="A5778" s="102"/>
      <c r="B5778" s="371" t="s">
        <v>8842</v>
      </c>
      <c r="D5778" s="217">
        <v>31.900000000000002</v>
      </c>
      <c r="E5778" s="390"/>
      <c r="F5778" s="22">
        <f t="shared" si="728"/>
        <v>31.900000000000002</v>
      </c>
      <c r="G5778" s="22" t="s">
        <v>10271</v>
      </c>
      <c r="H5778" s="458" t="str">
        <f t="shared" si="729"/>
        <v>EPD10323</v>
      </c>
      <c r="I5778" s="28"/>
      <c r="J5778" s="366" t="s">
        <v>2609</v>
      </c>
      <c r="K5778" s="33" t="s">
        <v>741</v>
      </c>
    </row>
    <row r="5779" spans="1:11" s="191" customFormat="1">
      <c r="A5779" s="102"/>
      <c r="B5779" s="371" t="s">
        <v>8843</v>
      </c>
      <c r="D5779" s="217">
        <v>31.900000000000002</v>
      </c>
      <c r="E5779" s="390"/>
      <c r="F5779" s="22">
        <f t="shared" si="728"/>
        <v>31.900000000000002</v>
      </c>
      <c r="G5779" s="22" t="s">
        <v>10272</v>
      </c>
      <c r="H5779" s="458" t="str">
        <f t="shared" si="729"/>
        <v>EPD10403</v>
      </c>
      <c r="I5779" s="28"/>
      <c r="J5779" s="366" t="s">
        <v>2609</v>
      </c>
      <c r="K5779" s="33" t="s">
        <v>741</v>
      </c>
    </row>
    <row r="5780" spans="1:11" s="191" customFormat="1">
      <c r="A5780" s="102"/>
      <c r="B5780" s="371" t="s">
        <v>8844</v>
      </c>
      <c r="D5780" s="217">
        <v>35.700000000000003</v>
      </c>
      <c r="E5780" s="390"/>
      <c r="F5780" s="22">
        <f t="shared" si="728"/>
        <v>35.700000000000003</v>
      </c>
      <c r="G5780" s="22" t="s">
        <v>10273</v>
      </c>
      <c r="H5780" s="458" t="str">
        <f t="shared" si="729"/>
        <v>EPD10503</v>
      </c>
      <c r="I5780" s="28"/>
      <c r="J5780" s="366" t="s">
        <v>2609</v>
      </c>
      <c r="K5780" s="33" t="s">
        <v>741</v>
      </c>
    </row>
    <row r="5781" spans="1:11" s="191" customFormat="1">
      <c r="A5781" s="102"/>
      <c r="B5781" s="371" t="s">
        <v>8845</v>
      </c>
      <c r="D5781" s="217">
        <v>35.700000000000003</v>
      </c>
      <c r="E5781" s="390"/>
      <c r="F5781" s="22">
        <f t="shared" si="728"/>
        <v>35.700000000000003</v>
      </c>
      <c r="G5781" s="22" t="s">
        <v>10274</v>
      </c>
      <c r="H5781" s="458" t="str">
        <f t="shared" si="729"/>
        <v>EPD10633</v>
      </c>
      <c r="I5781" s="28"/>
      <c r="J5781" s="366" t="s">
        <v>2609</v>
      </c>
      <c r="K5781" s="33" t="s">
        <v>741</v>
      </c>
    </row>
    <row r="5782" spans="1:11" s="191" customFormat="1">
      <c r="A5782" s="102"/>
      <c r="B5782" s="536"/>
      <c r="D5782" s="217"/>
      <c r="E5782" s="390"/>
      <c r="F5782" s="22"/>
      <c r="G5782" s="22"/>
      <c r="H5782" s="458"/>
      <c r="I5782" s="28"/>
      <c r="J5782" s="366"/>
      <c r="K5782" s="33"/>
    </row>
    <row r="5783" spans="1:11" s="191" customFormat="1">
      <c r="A5783" s="102"/>
      <c r="B5783" s="371" t="s">
        <v>8846</v>
      </c>
      <c r="D5783" s="217">
        <v>42.5</v>
      </c>
      <c r="E5783" s="390"/>
      <c r="F5783" s="22">
        <f t="shared" ref="F5783:F5790" si="730">D5783+E5783</f>
        <v>42.5</v>
      </c>
      <c r="G5783" s="22" t="s">
        <v>10275</v>
      </c>
      <c r="H5783" s="458" t="str">
        <f t="shared" ref="H5783:H5790" si="731">B5783</f>
        <v>EPD10104</v>
      </c>
      <c r="I5783" s="28"/>
      <c r="J5783" s="366" t="s">
        <v>2609</v>
      </c>
      <c r="K5783" s="33" t="s">
        <v>741</v>
      </c>
    </row>
    <row r="5784" spans="1:11" s="191" customFormat="1">
      <c r="A5784" s="102"/>
      <c r="B5784" s="371" t="s">
        <v>8847</v>
      </c>
      <c r="D5784" s="217">
        <v>42.5</v>
      </c>
      <c r="E5784" s="390"/>
      <c r="F5784" s="22">
        <f t="shared" si="730"/>
        <v>42.5</v>
      </c>
      <c r="G5784" s="22" t="s">
        <v>10276</v>
      </c>
      <c r="H5784" s="458" t="str">
        <f t="shared" si="731"/>
        <v>EPD10164</v>
      </c>
      <c r="I5784" s="28"/>
      <c r="J5784" s="366" t="s">
        <v>2609</v>
      </c>
      <c r="K5784" s="33" t="s">
        <v>741</v>
      </c>
    </row>
    <row r="5785" spans="1:11" s="191" customFormat="1">
      <c r="A5785" s="102"/>
      <c r="B5785" s="371" t="s">
        <v>8848</v>
      </c>
      <c r="D5785" s="217">
        <v>42.5</v>
      </c>
      <c r="E5785" s="390"/>
      <c r="F5785" s="22">
        <f t="shared" si="730"/>
        <v>42.5</v>
      </c>
      <c r="G5785" s="22" t="s">
        <v>10277</v>
      </c>
      <c r="H5785" s="458" t="str">
        <f t="shared" si="731"/>
        <v>EPD10204</v>
      </c>
      <c r="I5785" s="28"/>
      <c r="J5785" s="366" t="s">
        <v>2609</v>
      </c>
      <c r="K5785" s="33" t="s">
        <v>741</v>
      </c>
    </row>
    <row r="5786" spans="1:11" s="191" customFormat="1">
      <c r="A5786" s="102"/>
      <c r="B5786" s="371" t="s">
        <v>8849</v>
      </c>
      <c r="D5786" s="217">
        <v>42.5</v>
      </c>
      <c r="E5786" s="390"/>
      <c r="F5786" s="22">
        <f t="shared" si="730"/>
        <v>42.5</v>
      </c>
      <c r="G5786" s="22" t="s">
        <v>10278</v>
      </c>
      <c r="H5786" s="458" t="str">
        <f t="shared" si="731"/>
        <v>EPD10254</v>
      </c>
      <c r="I5786" s="28"/>
      <c r="J5786" s="366" t="s">
        <v>2609</v>
      </c>
      <c r="K5786" s="33" t="s">
        <v>741</v>
      </c>
    </row>
    <row r="5787" spans="1:11" s="191" customFormat="1">
      <c r="A5787" s="102"/>
      <c r="B5787" s="371" t="s">
        <v>8850</v>
      </c>
      <c r="D5787" s="217">
        <v>42.5</v>
      </c>
      <c r="E5787" s="390"/>
      <c r="F5787" s="22">
        <f t="shared" si="730"/>
        <v>42.5</v>
      </c>
      <c r="G5787" s="22" t="s">
        <v>10279</v>
      </c>
      <c r="H5787" s="458" t="str">
        <f t="shared" si="731"/>
        <v>EPD10324</v>
      </c>
      <c r="I5787" s="28"/>
      <c r="J5787" s="366" t="s">
        <v>2609</v>
      </c>
      <c r="K5787" s="33" t="s">
        <v>741</v>
      </c>
    </row>
    <row r="5788" spans="1:11" s="191" customFormat="1">
      <c r="A5788" s="102"/>
      <c r="B5788" s="371" t="s">
        <v>8851</v>
      </c>
      <c r="D5788" s="217">
        <v>42.5</v>
      </c>
      <c r="E5788" s="390"/>
      <c r="F5788" s="22">
        <f t="shared" si="730"/>
        <v>42.5</v>
      </c>
      <c r="G5788" s="22" t="s">
        <v>10280</v>
      </c>
      <c r="H5788" s="458" t="str">
        <f t="shared" si="731"/>
        <v>EPD10404</v>
      </c>
      <c r="I5788" s="28"/>
      <c r="J5788" s="366" t="s">
        <v>2609</v>
      </c>
      <c r="K5788" s="33" t="s">
        <v>741</v>
      </c>
    </row>
    <row r="5789" spans="1:11" s="191" customFormat="1">
      <c r="A5789" s="102"/>
      <c r="B5789" s="371" t="s">
        <v>8852</v>
      </c>
      <c r="D5789" s="217">
        <v>47.5</v>
      </c>
      <c r="E5789" s="390"/>
      <c r="F5789" s="22">
        <f t="shared" si="730"/>
        <v>47.5</v>
      </c>
      <c r="G5789" s="22" t="s">
        <v>10281</v>
      </c>
      <c r="H5789" s="458" t="str">
        <f t="shared" si="731"/>
        <v>EPD10504</v>
      </c>
      <c r="I5789" s="28"/>
      <c r="J5789" s="366" t="s">
        <v>2609</v>
      </c>
      <c r="K5789" s="33" t="s">
        <v>741</v>
      </c>
    </row>
    <row r="5790" spans="1:11" s="191" customFormat="1">
      <c r="A5790" s="102"/>
      <c r="B5790" s="371" t="s">
        <v>8853</v>
      </c>
      <c r="D5790" s="217">
        <v>47.5</v>
      </c>
      <c r="E5790" s="390"/>
      <c r="F5790" s="22">
        <f t="shared" si="730"/>
        <v>47.5</v>
      </c>
      <c r="G5790" s="22" t="s">
        <v>10282</v>
      </c>
      <c r="H5790" s="458" t="str">
        <f t="shared" si="731"/>
        <v>EPD10634</v>
      </c>
      <c r="I5790" s="28"/>
      <c r="J5790" s="366" t="s">
        <v>2609</v>
      </c>
      <c r="K5790" s="33" t="s">
        <v>741</v>
      </c>
    </row>
    <row r="5791" spans="1:11" s="191" customFormat="1">
      <c r="A5791" s="102"/>
      <c r="B5791" s="536"/>
      <c r="D5791" s="217"/>
      <c r="E5791" s="390"/>
      <c r="F5791" s="22"/>
      <c r="G5791" s="22"/>
      <c r="H5791" s="139"/>
      <c r="I5791" s="28"/>
      <c r="J5791" s="366"/>
      <c r="K5791" s="33"/>
    </row>
    <row r="5792" spans="1:11" s="191" customFormat="1">
      <c r="A5792" s="102"/>
      <c r="B5792" s="536"/>
      <c r="D5792" s="217"/>
      <c r="E5792" s="390"/>
      <c r="F5792" s="22"/>
      <c r="G5792" s="22"/>
      <c r="H5792" s="139"/>
      <c r="I5792" s="28"/>
      <c r="J5792" s="366"/>
      <c r="K5792" s="33"/>
    </row>
    <row r="5793" spans="1:11" s="191" customFormat="1" ht="21">
      <c r="A5793" s="102"/>
      <c r="B5793" s="1342" t="s">
        <v>8854</v>
      </c>
      <c r="D5793" s="217"/>
      <c r="E5793" s="390"/>
      <c r="F5793" s="22"/>
      <c r="G5793" s="22"/>
      <c r="H5793" s="139"/>
      <c r="I5793" s="28"/>
      <c r="J5793" s="366"/>
      <c r="K5793" s="33"/>
    </row>
    <row r="5794" spans="1:11" s="191" customFormat="1">
      <c r="A5794" s="102"/>
      <c r="B5794" s="536"/>
      <c r="D5794" s="217"/>
      <c r="E5794" s="390"/>
      <c r="F5794" s="22"/>
      <c r="G5794" s="22"/>
      <c r="H5794" s="139"/>
      <c r="I5794" s="28"/>
      <c r="J5794" s="366"/>
      <c r="K5794" s="33"/>
    </row>
    <row r="5795" spans="1:11" s="191" customFormat="1">
      <c r="A5795"/>
      <c r="B5795" s="1550" t="s">
        <v>2642</v>
      </c>
      <c r="C5795"/>
      <c r="D5795" s="1551">
        <v>29.3</v>
      </c>
      <c r="E5795" s="390">
        <v>3</v>
      </c>
      <c r="F5795" s="22">
        <f>D5795+E5795</f>
        <v>32.299999999999997</v>
      </c>
      <c r="G5795" s="22" t="s">
        <v>10283</v>
      </c>
      <c r="H5795" s="458" t="str">
        <f>B5795</f>
        <v>SGR2025030AC</v>
      </c>
      <c r="I5795"/>
      <c r="J5795" s="366" t="s">
        <v>2609</v>
      </c>
      <c r="K5795" s="33" t="s">
        <v>741</v>
      </c>
    </row>
    <row r="5796" spans="1:11" s="191" customFormat="1">
      <c r="A5796"/>
      <c r="B5796" s="1550" t="s">
        <v>2643</v>
      </c>
      <c r="C5796"/>
      <c r="D5796" s="1551">
        <v>29.3</v>
      </c>
      <c r="E5796" s="390">
        <v>3</v>
      </c>
      <c r="F5796" s="22">
        <f>D5796+E5796</f>
        <v>32.299999999999997</v>
      </c>
      <c r="G5796" s="22" t="s">
        <v>10284</v>
      </c>
      <c r="H5796" s="458" t="str">
        <f>B5796</f>
        <v>SGR2040030AC</v>
      </c>
      <c r="I5796"/>
      <c r="J5796" s="366" t="s">
        <v>2609</v>
      </c>
      <c r="K5796" s="33" t="s">
        <v>741</v>
      </c>
    </row>
    <row r="5797" spans="1:11" s="191" customFormat="1">
      <c r="A5797"/>
      <c r="B5797" s="1550" t="s">
        <v>2644</v>
      </c>
      <c r="C5797"/>
      <c r="D5797" s="1551">
        <v>29.3</v>
      </c>
      <c r="E5797" s="390">
        <v>5</v>
      </c>
      <c r="F5797" s="22">
        <f>D5797+E5797</f>
        <v>34.299999999999997</v>
      </c>
      <c r="G5797" s="22" t="s">
        <v>10285</v>
      </c>
      <c r="H5797" s="458" t="str">
        <f>B5797</f>
        <v>SGR2063030AC</v>
      </c>
      <c r="I5797"/>
      <c r="J5797" s="366" t="s">
        <v>2609</v>
      </c>
      <c r="K5797" s="33" t="s">
        <v>741</v>
      </c>
    </row>
    <row r="5798" spans="1:11" s="191" customFormat="1">
      <c r="A5798"/>
      <c r="B5798" s="1550"/>
      <c r="C5798"/>
      <c r="D5798" s="1551"/>
      <c r="E5798" s="390"/>
      <c r="F5798" s="22"/>
      <c r="G5798" s="22"/>
      <c r="H5798" s="458"/>
      <c r="I5798"/>
      <c r="J5798" s="366"/>
      <c r="K5798" s="33"/>
    </row>
    <row r="5799" spans="1:11" s="191" customFormat="1">
      <c r="A5799"/>
      <c r="B5799" s="1550" t="s">
        <v>2645</v>
      </c>
      <c r="C5799"/>
      <c r="D5799" s="1551">
        <v>43.9</v>
      </c>
      <c r="E5799" s="390">
        <v>9</v>
      </c>
      <c r="F5799" s="22">
        <f>D5799+E5799</f>
        <v>52.9</v>
      </c>
      <c r="G5799" s="22" t="s">
        <v>10286</v>
      </c>
      <c r="H5799" s="458" t="str">
        <f>B5799</f>
        <v>SGR4025030AC</v>
      </c>
      <c r="I5799"/>
      <c r="J5799" s="366" t="s">
        <v>2609</v>
      </c>
      <c r="K5799" s="33" t="s">
        <v>741</v>
      </c>
    </row>
    <row r="5800" spans="1:11" s="191" customFormat="1">
      <c r="A5800"/>
      <c r="B5800" s="1550" t="s">
        <v>2646</v>
      </c>
      <c r="C5800"/>
      <c r="D5800" s="1551">
        <v>43.9</v>
      </c>
      <c r="E5800" s="390">
        <v>9</v>
      </c>
      <c r="F5800" s="22">
        <f>D5800+E5800</f>
        <v>52.9</v>
      </c>
      <c r="G5800" s="22" t="s">
        <v>10287</v>
      </c>
      <c r="H5800" s="458" t="str">
        <f>B5800</f>
        <v>SGR4040030AC</v>
      </c>
      <c r="I5800"/>
      <c r="J5800" s="366" t="s">
        <v>2609</v>
      </c>
      <c r="K5800" s="33" t="s">
        <v>741</v>
      </c>
    </row>
    <row r="5801" spans="1:11" s="191" customFormat="1">
      <c r="A5801"/>
      <c r="B5801" s="1550" t="s">
        <v>2647</v>
      </c>
      <c r="C5801"/>
      <c r="D5801" s="1551">
        <v>43.9</v>
      </c>
      <c r="E5801" s="390">
        <v>12</v>
      </c>
      <c r="F5801" s="22">
        <f>D5801+E5801</f>
        <v>55.9</v>
      </c>
      <c r="G5801" s="22" t="s">
        <v>10288</v>
      </c>
      <c r="H5801" s="458" t="str">
        <f>B5801</f>
        <v>SGR4063030AC</v>
      </c>
      <c r="I5801"/>
      <c r="J5801" s="366" t="s">
        <v>2609</v>
      </c>
      <c r="K5801" s="33" t="s">
        <v>741</v>
      </c>
    </row>
    <row r="5802" spans="1:11" s="191" customFormat="1">
      <c r="A5802"/>
      <c r="B5802" s="1550"/>
      <c r="C5802"/>
      <c r="D5802" s="1551"/>
      <c r="E5802" s="390"/>
      <c r="F5802" s="22"/>
      <c r="G5802" s="133"/>
      <c r="H5802" s="458"/>
      <c r="I5802"/>
      <c r="J5802" s="366"/>
      <c r="K5802" s="33"/>
    </row>
    <row r="5803" spans="1:11" s="191" customFormat="1">
      <c r="A5803"/>
      <c r="B5803" s="1550"/>
      <c r="C5803"/>
      <c r="D5803" s="1551"/>
      <c r="E5803" s="390"/>
      <c r="F5803" s="22"/>
      <c r="G5803" s="133"/>
      <c r="H5803" s="458"/>
      <c r="I5803"/>
      <c r="J5803" s="366"/>
      <c r="K5803" s="33"/>
    </row>
    <row r="5804" spans="1:11" s="191" customFormat="1" ht="21">
      <c r="A5804" s="102"/>
      <c r="B5804" s="1342" t="s">
        <v>8855</v>
      </c>
      <c r="D5804" s="217"/>
      <c r="E5804" s="390"/>
      <c r="F5804" s="22"/>
      <c r="G5804" s="22"/>
      <c r="H5804" s="139"/>
      <c r="I5804" s="28"/>
      <c r="J5804" s="366"/>
      <c r="K5804" s="33"/>
    </row>
    <row r="5805" spans="1:11" s="191" customFormat="1">
      <c r="A5805" s="102"/>
      <c r="B5805" s="536"/>
      <c r="D5805" s="217"/>
      <c r="E5805" s="390"/>
      <c r="F5805" s="22"/>
      <c r="G5805" s="22"/>
      <c r="H5805" s="139"/>
      <c r="I5805" s="28"/>
      <c r="J5805" s="366"/>
      <c r="K5805" s="33"/>
    </row>
    <row r="5806" spans="1:11" s="191" customFormat="1">
      <c r="A5806"/>
      <c r="B5806" s="1550" t="s">
        <v>2648</v>
      </c>
      <c r="C5806"/>
      <c r="D5806" s="1551">
        <v>36</v>
      </c>
      <c r="E5806" s="390">
        <v>3</v>
      </c>
      <c r="F5806" s="22">
        <f>D5806+E5806</f>
        <v>39</v>
      </c>
      <c r="G5806" s="22" t="s">
        <v>10289</v>
      </c>
      <c r="H5806" s="458" t="str">
        <f>B5806</f>
        <v>SGR2025030A</v>
      </c>
      <c r="I5806"/>
      <c r="J5806" s="366" t="s">
        <v>2609</v>
      </c>
      <c r="K5806" s="33" t="s">
        <v>741</v>
      </c>
    </row>
    <row r="5807" spans="1:11" s="191" customFormat="1">
      <c r="A5807"/>
      <c r="B5807" s="1550" t="s">
        <v>2649</v>
      </c>
      <c r="C5807"/>
      <c r="D5807" s="1551">
        <v>36</v>
      </c>
      <c r="E5807" s="390">
        <v>3</v>
      </c>
      <c r="F5807" s="22">
        <f>D5807+E5807</f>
        <v>39</v>
      </c>
      <c r="G5807" s="22" t="s">
        <v>10290</v>
      </c>
      <c r="H5807" s="458" t="str">
        <f>B5807</f>
        <v>SGR2040030A</v>
      </c>
      <c r="I5807"/>
      <c r="J5807" s="366" t="s">
        <v>2609</v>
      </c>
      <c r="K5807" s="33" t="s">
        <v>741</v>
      </c>
    </row>
    <row r="5808" spans="1:11" s="191" customFormat="1">
      <c r="A5808"/>
      <c r="B5808" s="1550" t="s">
        <v>2650</v>
      </c>
      <c r="C5808"/>
      <c r="D5808" s="1551">
        <v>40.5</v>
      </c>
      <c r="E5808" s="390">
        <v>5</v>
      </c>
      <c r="F5808" s="22">
        <f>D5808+E5808</f>
        <v>45.5</v>
      </c>
      <c r="G5808" s="22" t="s">
        <v>10291</v>
      </c>
      <c r="H5808" s="458" t="str">
        <f>B5808</f>
        <v>SGR2063030A</v>
      </c>
      <c r="I5808"/>
      <c r="J5808" s="366" t="s">
        <v>2609</v>
      </c>
      <c r="K5808" s="33" t="s">
        <v>741</v>
      </c>
    </row>
    <row r="5809" spans="1:11" s="191" customFormat="1">
      <c r="A5809"/>
      <c r="B5809" s="1550"/>
      <c r="C5809"/>
      <c r="D5809" s="1551"/>
      <c r="E5809" s="390"/>
      <c r="F5809" s="22"/>
      <c r="G5809" s="22"/>
      <c r="H5809" s="458"/>
      <c r="I5809"/>
      <c r="J5809" s="366"/>
      <c r="K5809" s="33"/>
    </row>
    <row r="5810" spans="1:11" s="191" customFormat="1">
      <c r="A5810"/>
      <c r="B5810" s="1550" t="s">
        <v>2651</v>
      </c>
      <c r="C5810"/>
      <c r="D5810" s="1551">
        <v>49.5</v>
      </c>
      <c r="E5810" s="390">
        <v>9</v>
      </c>
      <c r="F5810" s="22">
        <f>D5810+E5810</f>
        <v>58.5</v>
      </c>
      <c r="G5810" s="22" t="s">
        <v>10292</v>
      </c>
      <c r="H5810" s="458" t="str">
        <f>B5810</f>
        <v>SGR4025030A</v>
      </c>
      <c r="I5810"/>
      <c r="J5810" s="366" t="s">
        <v>2609</v>
      </c>
      <c r="K5810" s="33" t="s">
        <v>741</v>
      </c>
    </row>
    <row r="5811" spans="1:11" s="191" customFormat="1">
      <c r="A5811"/>
      <c r="B5811" s="1550" t="s">
        <v>2652</v>
      </c>
      <c r="C5811"/>
      <c r="D5811" s="1551">
        <v>49.5</v>
      </c>
      <c r="E5811" s="390">
        <v>9</v>
      </c>
      <c r="F5811" s="22">
        <f>D5811+E5811</f>
        <v>58.5</v>
      </c>
      <c r="G5811" s="22" t="s">
        <v>10293</v>
      </c>
      <c r="H5811" s="458" t="str">
        <f>B5811</f>
        <v>SGR4040030A</v>
      </c>
      <c r="I5811"/>
      <c r="J5811" s="366" t="s">
        <v>2609</v>
      </c>
      <c r="K5811" s="33" t="s">
        <v>741</v>
      </c>
    </row>
    <row r="5812" spans="1:11" s="191" customFormat="1">
      <c r="A5812"/>
      <c r="B5812" s="1550" t="s">
        <v>2653</v>
      </c>
      <c r="C5812"/>
      <c r="D5812" s="1551">
        <v>56.300000000000004</v>
      </c>
      <c r="E5812" s="390">
        <v>12</v>
      </c>
      <c r="F5812" s="22">
        <f>D5812+E5812</f>
        <v>68.300000000000011</v>
      </c>
      <c r="G5812" s="22" t="s">
        <v>10294</v>
      </c>
      <c r="H5812" s="458" t="str">
        <f>B5812</f>
        <v>SGR4063030A</v>
      </c>
      <c r="I5812"/>
      <c r="J5812" s="366" t="s">
        <v>2609</v>
      </c>
      <c r="K5812" s="33" t="s">
        <v>741</v>
      </c>
    </row>
    <row r="5813" spans="1:11" s="191" customFormat="1">
      <c r="A5813" s="102"/>
      <c r="B5813" s="536"/>
      <c r="D5813" s="217"/>
      <c r="E5813" s="390"/>
      <c r="F5813" s="22"/>
      <c r="G5813" s="22"/>
      <c r="H5813" s="139"/>
      <c r="I5813" s="28"/>
      <c r="J5813" s="366"/>
      <c r="K5813" s="33"/>
    </row>
    <row r="5814" spans="1:11" s="191" customFormat="1">
      <c r="A5814" s="102"/>
      <c r="B5814" s="536"/>
      <c r="D5814" s="217"/>
      <c r="E5814" s="390"/>
      <c r="F5814" s="22"/>
      <c r="G5814" s="22"/>
      <c r="H5814" s="139"/>
      <c r="I5814" s="28"/>
      <c r="J5814" s="366"/>
      <c r="K5814" s="33"/>
    </row>
    <row r="5815" spans="1:11" s="191" customFormat="1" ht="21">
      <c r="A5815" s="102"/>
      <c r="B5815" s="1342" t="s">
        <v>8856</v>
      </c>
      <c r="D5815" s="217"/>
      <c r="E5815" s="390"/>
      <c r="F5815" s="22"/>
      <c r="G5815" s="22"/>
      <c r="H5815" s="139"/>
      <c r="I5815" s="28"/>
      <c r="J5815" s="366"/>
      <c r="K5815" s="33"/>
    </row>
    <row r="5816" spans="1:11" s="191" customFormat="1">
      <c r="A5816" s="102"/>
      <c r="B5816" s="536"/>
      <c r="D5816" s="521"/>
      <c r="E5816" s="390"/>
      <c r="F5816" s="22"/>
      <c r="G5816" s="22"/>
      <c r="H5816" s="458"/>
      <c r="I5816" s="28"/>
      <c r="J5816" s="366"/>
      <c r="K5816" s="33"/>
    </row>
    <row r="5817" spans="1:11" s="191" customFormat="1" ht="21">
      <c r="A5817" s="102"/>
      <c r="B5817" s="1342" t="s">
        <v>8857</v>
      </c>
      <c r="D5817" s="217"/>
      <c r="E5817" s="390"/>
      <c r="F5817" s="22"/>
      <c r="G5817" s="22"/>
      <c r="H5817" s="139"/>
      <c r="I5817" s="28"/>
      <c r="J5817" s="366"/>
      <c r="K5817" s="33"/>
    </row>
    <row r="5818" spans="1:11" s="191" customFormat="1">
      <c r="A5818" s="102"/>
      <c r="B5818" s="536"/>
      <c r="D5818" s="521"/>
      <c r="E5818" s="390"/>
      <c r="F5818" s="22"/>
      <c r="G5818" s="22"/>
      <c r="H5818" s="458"/>
      <c r="I5818" s="28"/>
      <c r="J5818" s="366"/>
      <c r="K5818" s="33"/>
    </row>
    <row r="5819" spans="1:11" s="191" customFormat="1">
      <c r="A5819" s="102"/>
      <c r="B5819" s="536" t="s">
        <v>8858</v>
      </c>
      <c r="D5819" s="217">
        <v>103.5</v>
      </c>
      <c r="E5819" s="390">
        <v>15</v>
      </c>
      <c r="F5819" s="22">
        <f>D5819+E5819</f>
        <v>118.5</v>
      </c>
      <c r="G5819" s="22" t="s">
        <v>8859</v>
      </c>
      <c r="H5819" s="458"/>
      <c r="I5819" s="28"/>
      <c r="J5819" s="366"/>
      <c r="K5819" s="33"/>
    </row>
    <row r="5820" spans="1:11" s="191" customFormat="1">
      <c r="A5820" s="102"/>
      <c r="B5820" s="536" t="s">
        <v>8860</v>
      </c>
      <c r="D5820" s="217">
        <v>103.5</v>
      </c>
      <c r="E5820" s="390">
        <v>15</v>
      </c>
      <c r="F5820" s="22">
        <f t="shared" ref="F5820:F5829" si="732">D5820+E5820</f>
        <v>118.5</v>
      </c>
      <c r="G5820" s="22" t="s">
        <v>8861</v>
      </c>
      <c r="H5820" s="458"/>
      <c r="I5820" s="28"/>
      <c r="J5820" s="366"/>
      <c r="K5820" s="33"/>
    </row>
    <row r="5821" spans="1:11" s="191" customFormat="1">
      <c r="A5821" s="102"/>
      <c r="B5821" s="536" t="s">
        <v>8862</v>
      </c>
      <c r="D5821" s="217">
        <v>103.5</v>
      </c>
      <c r="E5821" s="390">
        <v>15</v>
      </c>
      <c r="F5821" s="22">
        <f>D5821+E5821</f>
        <v>118.5</v>
      </c>
      <c r="G5821" s="22" t="s">
        <v>8863</v>
      </c>
      <c r="H5821" s="458" t="str">
        <f>B5821</f>
        <v>S160-SCJ 3P 32A</v>
      </c>
      <c r="I5821" s="28"/>
      <c r="J5821" s="366" t="s">
        <v>2609</v>
      </c>
      <c r="K5821" s="33" t="s">
        <v>741</v>
      </c>
    </row>
    <row r="5822" spans="1:11" s="191" customFormat="1">
      <c r="A5822" s="102"/>
      <c r="B5822" s="536" t="s">
        <v>8864</v>
      </c>
      <c r="D5822" s="217">
        <v>103.5</v>
      </c>
      <c r="E5822" s="390">
        <v>15</v>
      </c>
      <c r="F5822" s="22">
        <f t="shared" si="732"/>
        <v>118.5</v>
      </c>
      <c r="G5822" s="22" t="s">
        <v>8865</v>
      </c>
      <c r="H5822" s="458" t="str">
        <f t="shared" ref="H5822:H5829" si="733">B5822</f>
        <v>S160-SCJ 3P 40A</v>
      </c>
      <c r="I5822" s="28"/>
      <c r="J5822" s="366" t="s">
        <v>2609</v>
      </c>
      <c r="K5822" s="33" t="s">
        <v>741</v>
      </c>
    </row>
    <row r="5823" spans="1:11" s="191" customFormat="1">
      <c r="A5823" s="102"/>
      <c r="B5823" s="536" t="s">
        <v>8866</v>
      </c>
      <c r="D5823" s="217">
        <v>103.5</v>
      </c>
      <c r="E5823" s="390">
        <v>15</v>
      </c>
      <c r="F5823" s="22">
        <f t="shared" si="732"/>
        <v>118.5</v>
      </c>
      <c r="G5823" s="22" t="s">
        <v>8867</v>
      </c>
      <c r="H5823" s="458" t="str">
        <f t="shared" si="733"/>
        <v>S160-SCJ 3P 50A</v>
      </c>
      <c r="I5823" s="28"/>
      <c r="J5823" s="366" t="s">
        <v>2609</v>
      </c>
      <c r="K5823" s="33" t="s">
        <v>741</v>
      </c>
    </row>
    <row r="5824" spans="1:11" s="191" customFormat="1">
      <c r="A5824" s="102"/>
      <c r="B5824" s="536" t="s">
        <v>8868</v>
      </c>
      <c r="D5824" s="217">
        <v>103.5</v>
      </c>
      <c r="E5824" s="390">
        <v>15</v>
      </c>
      <c r="F5824" s="22">
        <f>D5824+E5824</f>
        <v>118.5</v>
      </c>
      <c r="G5824" s="22" t="s">
        <v>8869</v>
      </c>
      <c r="H5824" s="458" t="str">
        <f>B5824</f>
        <v>S160-SCJ 3P 63A</v>
      </c>
      <c r="I5824" s="28"/>
      <c r="J5824" s="366" t="s">
        <v>2609</v>
      </c>
      <c r="K5824" s="33" t="s">
        <v>741</v>
      </c>
    </row>
    <row r="5825" spans="1:11" s="191" customFormat="1">
      <c r="A5825" s="102"/>
      <c r="B5825" s="536" t="s">
        <v>8870</v>
      </c>
      <c r="D5825" s="217">
        <v>103.5</v>
      </c>
      <c r="E5825" s="390">
        <v>15</v>
      </c>
      <c r="F5825" s="22">
        <f t="shared" si="732"/>
        <v>118.5</v>
      </c>
      <c r="G5825" s="22" t="s">
        <v>8871</v>
      </c>
      <c r="H5825" s="458" t="str">
        <f t="shared" si="733"/>
        <v>S160-SCJ 3P 80A</v>
      </c>
      <c r="I5825" s="28"/>
      <c r="J5825" s="366" t="s">
        <v>2609</v>
      </c>
      <c r="K5825" s="33" t="s">
        <v>741</v>
      </c>
    </row>
    <row r="5826" spans="1:11" s="191" customFormat="1">
      <c r="A5826" s="102"/>
      <c r="B5826" s="536" t="s">
        <v>8872</v>
      </c>
      <c r="D5826" s="217">
        <v>103.5</v>
      </c>
      <c r="E5826" s="390">
        <v>15</v>
      </c>
      <c r="F5826" s="22">
        <f t="shared" si="732"/>
        <v>118.5</v>
      </c>
      <c r="G5826" s="22" t="s">
        <v>8873</v>
      </c>
      <c r="H5826" s="458" t="str">
        <f t="shared" si="733"/>
        <v>S160-SCJ 3P 100A</v>
      </c>
      <c r="I5826" s="28"/>
      <c r="J5826" s="366" t="s">
        <v>2609</v>
      </c>
      <c r="K5826" s="33" t="s">
        <v>741</v>
      </c>
    </row>
    <row r="5827" spans="1:11" s="191" customFormat="1">
      <c r="A5827" s="102"/>
      <c r="B5827" s="536" t="s">
        <v>8874</v>
      </c>
      <c r="D5827" s="217">
        <v>103.5</v>
      </c>
      <c r="E5827" s="390">
        <v>15</v>
      </c>
      <c r="F5827" s="22">
        <f t="shared" si="732"/>
        <v>118.5</v>
      </c>
      <c r="G5827" s="22" t="s">
        <v>8875</v>
      </c>
      <c r="H5827" s="458" t="str">
        <f t="shared" si="733"/>
        <v>S160-SCJ 3P 125A</v>
      </c>
      <c r="I5827" s="28"/>
      <c r="J5827" s="366" t="s">
        <v>2609</v>
      </c>
      <c r="K5827" s="33" t="s">
        <v>741</v>
      </c>
    </row>
    <row r="5828" spans="1:11" s="191" customFormat="1">
      <c r="A5828" s="102"/>
      <c r="B5828" s="536"/>
      <c r="D5828" s="217"/>
      <c r="E5828" s="390"/>
      <c r="F5828" s="22"/>
      <c r="G5828" s="22"/>
      <c r="H5828" s="458"/>
      <c r="I5828" s="28"/>
      <c r="J5828" s="366"/>
      <c r="K5828" s="33"/>
    </row>
    <row r="5829" spans="1:11" s="191" customFormat="1">
      <c r="A5829" s="102"/>
      <c r="B5829" s="536" t="s">
        <v>8876</v>
      </c>
      <c r="D5829" s="217">
        <v>132.75</v>
      </c>
      <c r="E5829" s="390">
        <v>15</v>
      </c>
      <c r="F5829" s="22">
        <f t="shared" si="732"/>
        <v>147.75</v>
      </c>
      <c r="G5829" s="22" t="s">
        <v>8877</v>
      </c>
      <c r="H5829" s="458" t="str">
        <f t="shared" si="733"/>
        <v>S160-SCJ 3P 160A</v>
      </c>
      <c r="I5829" s="28"/>
      <c r="J5829" s="366" t="s">
        <v>2609</v>
      </c>
      <c r="K5829" s="33" t="s">
        <v>741</v>
      </c>
    </row>
    <row r="5830" spans="1:11" s="191" customFormat="1">
      <c r="A5830" s="102"/>
      <c r="B5830" s="536"/>
      <c r="D5830" s="217"/>
      <c r="E5830" s="390"/>
      <c r="F5830" s="22"/>
      <c r="G5830" s="22"/>
      <c r="H5830" s="458"/>
      <c r="I5830" s="28"/>
      <c r="J5830" s="366"/>
      <c r="K5830" s="33"/>
    </row>
    <row r="5831" spans="1:11" s="191" customFormat="1">
      <c r="A5831" s="102"/>
      <c r="B5831" s="536" t="s">
        <v>8878</v>
      </c>
      <c r="D5831" s="217">
        <v>178.88</v>
      </c>
      <c r="E5831" s="390">
        <v>30</v>
      </c>
      <c r="F5831" s="22">
        <f>D5831+E5831</f>
        <v>208.88</v>
      </c>
      <c r="G5831" s="22" t="s">
        <v>8879</v>
      </c>
      <c r="H5831" s="458" t="str">
        <f>B5831</f>
        <v>E250-SJ 3P 200A</v>
      </c>
      <c r="I5831" s="28"/>
      <c r="J5831" s="366" t="s">
        <v>2609</v>
      </c>
      <c r="K5831" s="33" t="s">
        <v>741</v>
      </c>
    </row>
    <row r="5832" spans="1:11" s="191" customFormat="1">
      <c r="A5832" s="102"/>
      <c r="B5832" s="536" t="s">
        <v>8880</v>
      </c>
      <c r="D5832" s="217">
        <v>178.88</v>
      </c>
      <c r="E5832" s="390">
        <v>30</v>
      </c>
      <c r="F5832" s="22">
        <f>D5832+E5832</f>
        <v>208.88</v>
      </c>
      <c r="G5832" s="22" t="s">
        <v>8881</v>
      </c>
      <c r="H5832" s="458" t="str">
        <f>B5832</f>
        <v>E250-SJ 3P 250A</v>
      </c>
      <c r="I5832" s="28"/>
      <c r="J5832" s="366" t="s">
        <v>2609</v>
      </c>
      <c r="K5832" s="33" t="s">
        <v>741</v>
      </c>
    </row>
    <row r="5833" spans="1:11" s="191" customFormat="1">
      <c r="A5833" s="102"/>
      <c r="B5833" s="536"/>
      <c r="D5833" s="217"/>
      <c r="E5833" s="390"/>
      <c r="F5833" s="22"/>
      <c r="G5833" s="22"/>
      <c r="H5833" s="458"/>
      <c r="I5833" s="28"/>
      <c r="J5833" s="366"/>
      <c r="K5833" s="33"/>
    </row>
    <row r="5834" spans="1:11" s="191" customFormat="1" ht="21">
      <c r="A5834" s="102"/>
      <c r="B5834" s="1342" t="s">
        <v>8882</v>
      </c>
      <c r="D5834" s="217"/>
      <c r="E5834" s="390"/>
      <c r="F5834" s="22"/>
      <c r="G5834" s="22"/>
      <c r="H5834" s="139"/>
      <c r="I5834" s="28"/>
      <c r="J5834" s="366"/>
      <c r="K5834" s="33"/>
    </row>
    <row r="5835" spans="1:11" s="191" customFormat="1">
      <c r="A5835" s="102"/>
      <c r="B5835" s="536"/>
      <c r="D5835" s="217"/>
      <c r="E5835" s="390"/>
      <c r="F5835" s="22"/>
      <c r="G5835" s="22"/>
      <c r="H5835" s="458"/>
      <c r="I5835" s="28"/>
      <c r="J5835" s="366"/>
      <c r="K5835" s="33"/>
    </row>
    <row r="5836" spans="1:11" s="191" customFormat="1">
      <c r="A5836" s="102"/>
      <c r="B5836" s="536" t="s">
        <v>8883</v>
      </c>
      <c r="D5836" s="217">
        <v>123.75</v>
      </c>
      <c r="E5836" s="390">
        <v>15</v>
      </c>
      <c r="F5836" s="22">
        <f t="shared" ref="F5836:F5844" si="734">D5836+E5836</f>
        <v>138.75</v>
      </c>
      <c r="G5836" s="22" t="s">
        <v>8884</v>
      </c>
      <c r="H5836" s="458"/>
      <c r="I5836" s="28"/>
      <c r="J5836" s="366"/>
      <c r="K5836" s="33"/>
    </row>
    <row r="5837" spans="1:11" s="191" customFormat="1">
      <c r="A5837" s="102"/>
      <c r="B5837" s="536" t="s">
        <v>8885</v>
      </c>
      <c r="D5837" s="217">
        <v>123.75</v>
      </c>
      <c r="E5837" s="390">
        <v>15</v>
      </c>
      <c r="F5837" s="22">
        <f t="shared" si="734"/>
        <v>138.75</v>
      </c>
      <c r="G5837" s="22" t="s">
        <v>8886</v>
      </c>
      <c r="H5837" s="458"/>
      <c r="I5837" s="28"/>
      <c r="J5837" s="366"/>
      <c r="K5837" s="33"/>
    </row>
    <row r="5838" spans="1:11" s="191" customFormat="1">
      <c r="A5838" s="102"/>
      <c r="B5838" s="536" t="s">
        <v>8887</v>
      </c>
      <c r="D5838" s="217">
        <v>123.75</v>
      </c>
      <c r="E5838" s="390">
        <v>15</v>
      </c>
      <c r="F5838" s="22">
        <f t="shared" si="734"/>
        <v>138.75</v>
      </c>
      <c r="G5838" s="22" t="s">
        <v>8888</v>
      </c>
      <c r="H5838" s="458" t="str">
        <f t="shared" ref="H5838:H5844" si="735">B5838</f>
        <v>S160-SJ 3P 32A</v>
      </c>
      <c r="I5838" s="28"/>
      <c r="J5838" s="366" t="s">
        <v>2609</v>
      </c>
      <c r="K5838" s="33" t="s">
        <v>741</v>
      </c>
    </row>
    <row r="5839" spans="1:11" s="191" customFormat="1">
      <c r="A5839" s="102"/>
      <c r="B5839" s="536" t="s">
        <v>8889</v>
      </c>
      <c r="D5839" s="217">
        <v>123.75</v>
      </c>
      <c r="E5839" s="390">
        <v>15</v>
      </c>
      <c r="F5839" s="22">
        <f t="shared" si="734"/>
        <v>138.75</v>
      </c>
      <c r="G5839" s="22" t="s">
        <v>8890</v>
      </c>
      <c r="H5839" s="458" t="str">
        <f t="shared" si="735"/>
        <v>S160-SJ 3P 40A</v>
      </c>
      <c r="I5839" s="28"/>
      <c r="J5839" s="366" t="s">
        <v>2609</v>
      </c>
      <c r="K5839" s="33" t="s">
        <v>741</v>
      </c>
    </row>
    <row r="5840" spans="1:11" s="191" customFormat="1">
      <c r="A5840" s="102"/>
      <c r="B5840" s="536" t="s">
        <v>8891</v>
      </c>
      <c r="D5840" s="217">
        <v>123.75</v>
      </c>
      <c r="E5840" s="390">
        <v>15</v>
      </c>
      <c r="F5840" s="22">
        <f t="shared" si="734"/>
        <v>138.75</v>
      </c>
      <c r="G5840" s="22" t="s">
        <v>8892</v>
      </c>
      <c r="H5840" s="458" t="str">
        <f t="shared" si="735"/>
        <v>S160-SJ 3P 50A</v>
      </c>
      <c r="I5840" s="28"/>
      <c r="J5840" s="366" t="s">
        <v>2609</v>
      </c>
      <c r="K5840" s="33" t="s">
        <v>741</v>
      </c>
    </row>
    <row r="5841" spans="1:11" s="191" customFormat="1">
      <c r="A5841" s="102"/>
      <c r="B5841" s="536" t="s">
        <v>8893</v>
      </c>
      <c r="D5841" s="217">
        <v>123.75</v>
      </c>
      <c r="E5841" s="390">
        <v>15</v>
      </c>
      <c r="F5841" s="22">
        <f t="shared" si="734"/>
        <v>138.75</v>
      </c>
      <c r="G5841" s="22" t="s">
        <v>8894</v>
      </c>
      <c r="H5841" s="458" t="str">
        <f t="shared" si="735"/>
        <v>S160-SJ 3P 63A</v>
      </c>
      <c r="I5841" s="28"/>
      <c r="J5841" s="366" t="s">
        <v>2609</v>
      </c>
      <c r="K5841" s="33" t="s">
        <v>741</v>
      </c>
    </row>
    <row r="5842" spans="1:11" s="191" customFormat="1">
      <c r="A5842" s="102"/>
      <c r="B5842" s="536" t="s">
        <v>8895</v>
      </c>
      <c r="D5842" s="217">
        <v>123.75</v>
      </c>
      <c r="E5842" s="390">
        <v>15</v>
      </c>
      <c r="F5842" s="22">
        <f t="shared" si="734"/>
        <v>138.75</v>
      </c>
      <c r="G5842" s="22" t="s">
        <v>8896</v>
      </c>
      <c r="H5842" s="458" t="str">
        <f t="shared" si="735"/>
        <v>S160-SJ 3P 80A</v>
      </c>
      <c r="I5842" s="28"/>
      <c r="J5842" s="366" t="s">
        <v>2609</v>
      </c>
      <c r="K5842" s="33" t="s">
        <v>741</v>
      </c>
    </row>
    <row r="5843" spans="1:11" s="191" customFormat="1">
      <c r="A5843" s="102"/>
      <c r="B5843" s="536" t="s">
        <v>8897</v>
      </c>
      <c r="D5843" s="217">
        <v>123.75</v>
      </c>
      <c r="E5843" s="390">
        <v>15</v>
      </c>
      <c r="F5843" s="22">
        <f t="shared" si="734"/>
        <v>138.75</v>
      </c>
      <c r="G5843" s="22" t="s">
        <v>8898</v>
      </c>
      <c r="H5843" s="458" t="str">
        <f t="shared" si="735"/>
        <v>S160-SJ 3P 100A</v>
      </c>
      <c r="I5843" s="28"/>
      <c r="J5843" s="366" t="s">
        <v>2609</v>
      </c>
      <c r="K5843" s="33" t="s">
        <v>741</v>
      </c>
    </row>
    <row r="5844" spans="1:11" s="191" customFormat="1">
      <c r="A5844" s="102"/>
      <c r="B5844" s="536" t="s">
        <v>8899</v>
      </c>
      <c r="D5844" s="217">
        <v>123.75</v>
      </c>
      <c r="E5844" s="390">
        <v>15</v>
      </c>
      <c r="F5844" s="22">
        <f t="shared" si="734"/>
        <v>138.75</v>
      </c>
      <c r="G5844" s="22" t="s">
        <v>8900</v>
      </c>
      <c r="H5844" s="458" t="str">
        <f t="shared" si="735"/>
        <v>S160-SJ 3P 125A</v>
      </c>
      <c r="I5844" s="28"/>
      <c r="J5844" s="366" t="s">
        <v>2609</v>
      </c>
      <c r="K5844" s="33" t="s">
        <v>741</v>
      </c>
    </row>
    <row r="5845" spans="1:11" s="191" customFormat="1">
      <c r="A5845" s="102"/>
      <c r="B5845" s="536"/>
      <c r="D5845" s="217"/>
      <c r="E5845" s="390"/>
      <c r="F5845" s="22"/>
      <c r="G5845" s="22"/>
      <c r="H5845" s="458"/>
      <c r="I5845" s="28"/>
      <c r="J5845" s="366"/>
      <c r="K5845" s="33"/>
    </row>
    <row r="5846" spans="1:11" s="191" customFormat="1">
      <c r="A5846" s="102"/>
      <c r="B5846" s="536" t="s">
        <v>8901</v>
      </c>
      <c r="D5846" s="217">
        <v>157.5</v>
      </c>
      <c r="E5846" s="390">
        <v>15</v>
      </c>
      <c r="F5846" s="22">
        <f>D5846+E5846</f>
        <v>172.5</v>
      </c>
      <c r="G5846" s="22" t="s">
        <v>8902</v>
      </c>
      <c r="H5846" s="458" t="str">
        <f>B5846</f>
        <v>S160-SJ 3P 160A</v>
      </c>
      <c r="I5846" s="28"/>
      <c r="J5846" s="366" t="s">
        <v>2609</v>
      </c>
      <c r="K5846" s="33" t="s">
        <v>741</v>
      </c>
    </row>
    <row r="5847" spans="1:11" s="191" customFormat="1">
      <c r="A5847" s="102"/>
      <c r="B5847" s="536"/>
      <c r="D5847" s="217"/>
      <c r="E5847" s="390"/>
      <c r="F5847" s="22"/>
      <c r="G5847" s="22"/>
      <c r="H5847" s="458"/>
      <c r="I5847" s="28"/>
      <c r="J5847" s="366"/>
      <c r="K5847" s="33"/>
    </row>
    <row r="5848" spans="1:11" s="191" customFormat="1">
      <c r="A5848" s="102"/>
      <c r="B5848" s="536" t="s">
        <v>8903</v>
      </c>
      <c r="D5848" s="217">
        <v>178.88</v>
      </c>
      <c r="E5848" s="390">
        <v>30</v>
      </c>
      <c r="F5848" s="22">
        <f>D5848+E5848</f>
        <v>208.88</v>
      </c>
      <c r="G5848" s="22" t="s">
        <v>8904</v>
      </c>
      <c r="H5848" s="458" t="str">
        <f>B5848</f>
        <v>S250-SJ 3P 200A</v>
      </c>
      <c r="I5848" s="28"/>
      <c r="J5848" s="366" t="s">
        <v>2609</v>
      </c>
      <c r="K5848" s="33" t="s">
        <v>741</v>
      </c>
    </row>
    <row r="5849" spans="1:11" s="191" customFormat="1">
      <c r="A5849" s="102"/>
      <c r="B5849" s="536" t="s">
        <v>8905</v>
      </c>
      <c r="D5849" s="217">
        <v>178.88</v>
      </c>
      <c r="E5849" s="390">
        <v>30</v>
      </c>
      <c r="F5849" s="22">
        <f>D5849+E5849</f>
        <v>208.88</v>
      </c>
      <c r="G5849" s="22" t="s">
        <v>8906</v>
      </c>
      <c r="H5849" s="458" t="str">
        <f>B5849</f>
        <v>S250-SJ 3P 250A</v>
      </c>
      <c r="I5849" s="28"/>
      <c r="J5849" s="366" t="s">
        <v>2609</v>
      </c>
      <c r="K5849" s="33" t="s">
        <v>741</v>
      </c>
    </row>
    <row r="5850" spans="1:11" s="191" customFormat="1">
      <c r="A5850" s="102"/>
      <c r="B5850" s="536"/>
      <c r="D5850" s="217"/>
      <c r="E5850" s="390"/>
      <c r="F5850" s="22"/>
      <c r="G5850" s="22"/>
      <c r="H5850" s="458"/>
      <c r="I5850" s="28"/>
      <c r="J5850" s="366"/>
      <c r="K5850" s="33"/>
    </row>
    <row r="5851" spans="1:11" s="191" customFormat="1">
      <c r="A5851" s="102"/>
      <c r="B5851" s="536"/>
      <c r="D5851" s="217"/>
      <c r="E5851" s="390"/>
      <c r="F5851" s="22"/>
      <c r="G5851" s="22"/>
      <c r="H5851" s="458"/>
      <c r="I5851" s="28"/>
      <c r="J5851" s="366"/>
      <c r="K5851" s="33"/>
    </row>
    <row r="5852" spans="1:11" s="191" customFormat="1" ht="21">
      <c r="A5852" s="102"/>
      <c r="B5852" s="1342" t="s">
        <v>8907</v>
      </c>
      <c r="D5852" s="217"/>
      <c r="E5852" s="390"/>
      <c r="F5852" s="22"/>
      <c r="G5852" s="22"/>
      <c r="H5852" s="139"/>
      <c r="I5852" s="28"/>
      <c r="J5852" s="366"/>
      <c r="K5852" s="33"/>
    </row>
    <row r="5853" spans="1:11" s="191" customFormat="1">
      <c r="A5853" s="102"/>
      <c r="B5853" s="536" t="s">
        <v>8908</v>
      </c>
      <c r="D5853" s="217">
        <v>162</v>
      </c>
      <c r="E5853" s="390">
        <v>15</v>
      </c>
      <c r="F5853" s="22">
        <f t="shared" ref="F5853:F5861" si="736">D5853+E5853</f>
        <v>177</v>
      </c>
      <c r="G5853" s="22" t="s">
        <v>8909</v>
      </c>
      <c r="H5853" s="458"/>
      <c r="I5853" s="28"/>
      <c r="J5853" s="366"/>
      <c r="K5853" s="33"/>
    </row>
    <row r="5854" spans="1:11" s="191" customFormat="1">
      <c r="A5854" s="102"/>
      <c r="B5854" s="536" t="s">
        <v>8910</v>
      </c>
      <c r="D5854" s="217">
        <v>162</v>
      </c>
      <c r="E5854" s="390">
        <v>15</v>
      </c>
      <c r="F5854" s="22">
        <f t="shared" si="736"/>
        <v>177</v>
      </c>
      <c r="G5854" s="22" t="s">
        <v>8911</v>
      </c>
      <c r="H5854" s="458"/>
      <c r="I5854" s="28"/>
      <c r="J5854" s="366"/>
      <c r="K5854" s="33"/>
    </row>
    <row r="5855" spans="1:11" s="191" customFormat="1">
      <c r="A5855" s="102"/>
      <c r="B5855" s="536" t="s">
        <v>8912</v>
      </c>
      <c r="D5855" s="217">
        <v>162</v>
      </c>
      <c r="E5855" s="390">
        <v>15</v>
      </c>
      <c r="F5855" s="22">
        <f t="shared" si="736"/>
        <v>177</v>
      </c>
      <c r="G5855" s="22" t="s">
        <v>8913</v>
      </c>
      <c r="H5855" s="458" t="str">
        <f t="shared" ref="H5855:H5861" si="737">B5855</f>
        <v>S125-GJ 3P 32A</v>
      </c>
      <c r="I5855" s="28"/>
      <c r="J5855" s="366" t="s">
        <v>2609</v>
      </c>
      <c r="K5855" s="33" t="s">
        <v>741</v>
      </c>
    </row>
    <row r="5856" spans="1:11" s="191" customFormat="1">
      <c r="A5856" s="102"/>
      <c r="B5856" s="536" t="s">
        <v>8914</v>
      </c>
      <c r="D5856" s="217">
        <v>162</v>
      </c>
      <c r="E5856" s="390">
        <v>15</v>
      </c>
      <c r="F5856" s="22">
        <f t="shared" si="736"/>
        <v>177</v>
      </c>
      <c r="G5856" s="22" t="s">
        <v>8915</v>
      </c>
      <c r="H5856" s="458" t="str">
        <f t="shared" si="737"/>
        <v>S125-GJ 3P 40A</v>
      </c>
      <c r="I5856" s="28"/>
      <c r="J5856" s="366" t="s">
        <v>2609</v>
      </c>
      <c r="K5856" s="33" t="s">
        <v>741</v>
      </c>
    </row>
    <row r="5857" spans="1:11" s="191" customFormat="1">
      <c r="A5857" s="102"/>
      <c r="B5857" s="536" t="s">
        <v>8916</v>
      </c>
      <c r="D5857" s="217">
        <v>162</v>
      </c>
      <c r="E5857" s="390">
        <v>15</v>
      </c>
      <c r="F5857" s="22">
        <f t="shared" si="736"/>
        <v>177</v>
      </c>
      <c r="G5857" s="22" t="s">
        <v>8917</v>
      </c>
      <c r="H5857" s="458" t="str">
        <f t="shared" si="737"/>
        <v>S125-GJ 3P 50A</v>
      </c>
      <c r="I5857" s="28"/>
      <c r="J5857" s="366" t="s">
        <v>2609</v>
      </c>
      <c r="K5857" s="33" t="s">
        <v>741</v>
      </c>
    </row>
    <row r="5858" spans="1:11" s="191" customFormat="1">
      <c r="A5858" s="102"/>
      <c r="B5858" s="536" t="s">
        <v>8918</v>
      </c>
      <c r="D5858" s="217">
        <v>162</v>
      </c>
      <c r="E5858" s="390">
        <v>15</v>
      </c>
      <c r="F5858" s="22">
        <f t="shared" si="736"/>
        <v>177</v>
      </c>
      <c r="G5858" s="22" t="s">
        <v>8919</v>
      </c>
      <c r="H5858" s="458" t="str">
        <f t="shared" si="737"/>
        <v>S125-GJ 3P 63A</v>
      </c>
      <c r="I5858" s="28"/>
      <c r="J5858" s="366" t="s">
        <v>2609</v>
      </c>
      <c r="K5858" s="33" t="s">
        <v>741</v>
      </c>
    </row>
    <row r="5859" spans="1:11" s="191" customFormat="1">
      <c r="A5859" s="102"/>
      <c r="B5859" s="536" t="s">
        <v>8920</v>
      </c>
      <c r="D5859" s="217">
        <v>162</v>
      </c>
      <c r="E5859" s="390">
        <v>15</v>
      </c>
      <c r="F5859" s="22">
        <f t="shared" si="736"/>
        <v>177</v>
      </c>
      <c r="G5859" s="22" t="s">
        <v>8921</v>
      </c>
      <c r="H5859" s="458" t="str">
        <f t="shared" si="737"/>
        <v>S125-GJ 3P 80A</v>
      </c>
      <c r="I5859" s="28"/>
      <c r="J5859" s="366" t="s">
        <v>2609</v>
      </c>
      <c r="K5859" s="33" t="s">
        <v>741</v>
      </c>
    </row>
    <row r="5860" spans="1:11" s="191" customFormat="1">
      <c r="A5860" s="102"/>
      <c r="B5860" s="536" t="s">
        <v>8922</v>
      </c>
      <c r="D5860" s="217">
        <v>162</v>
      </c>
      <c r="E5860" s="390">
        <v>15</v>
      </c>
      <c r="F5860" s="22">
        <f t="shared" si="736"/>
        <v>177</v>
      </c>
      <c r="G5860" s="22" t="s">
        <v>8923</v>
      </c>
      <c r="H5860" s="458" t="str">
        <f t="shared" si="737"/>
        <v>S125-GJ 3P 100A</v>
      </c>
      <c r="I5860" s="28"/>
      <c r="J5860" s="366" t="s">
        <v>2609</v>
      </c>
      <c r="K5860" s="33" t="s">
        <v>741</v>
      </c>
    </row>
    <row r="5861" spans="1:11" s="191" customFormat="1">
      <c r="A5861" s="102"/>
      <c r="B5861" s="536" t="s">
        <v>8924</v>
      </c>
      <c r="D5861" s="217">
        <v>162</v>
      </c>
      <c r="E5861" s="390">
        <v>15</v>
      </c>
      <c r="F5861" s="22">
        <f t="shared" si="736"/>
        <v>177</v>
      </c>
      <c r="G5861" s="22" t="s">
        <v>8925</v>
      </c>
      <c r="H5861" s="458" t="str">
        <f t="shared" si="737"/>
        <v>S125-GJ 3P 125A</v>
      </c>
      <c r="I5861" s="28"/>
      <c r="J5861" s="366" t="s">
        <v>2609</v>
      </c>
      <c r="K5861" s="33" t="s">
        <v>741</v>
      </c>
    </row>
    <row r="5862" spans="1:11" s="191" customFormat="1">
      <c r="A5862" s="102"/>
      <c r="B5862" s="536"/>
      <c r="D5862" s="217"/>
      <c r="E5862" s="390"/>
      <c r="F5862" s="22"/>
      <c r="G5862" s="22"/>
      <c r="H5862" s="458"/>
      <c r="I5862" s="28"/>
      <c r="J5862" s="366"/>
      <c r="K5862" s="33"/>
    </row>
    <row r="5863" spans="1:11" s="191" customFormat="1">
      <c r="A5863" s="102"/>
      <c r="B5863" s="536" t="s">
        <v>8926</v>
      </c>
      <c r="D5863" s="217">
        <v>207</v>
      </c>
      <c r="E5863" s="390">
        <v>15</v>
      </c>
      <c r="F5863" s="22">
        <f>D5863+E5863</f>
        <v>222</v>
      </c>
      <c r="G5863" s="22" t="s">
        <v>8927</v>
      </c>
      <c r="H5863" s="458" t="str">
        <f>B5863</f>
        <v>S160-GJ 3P 160A</v>
      </c>
      <c r="I5863" s="28"/>
      <c r="J5863" s="366" t="s">
        <v>2609</v>
      </c>
      <c r="K5863" s="33" t="s">
        <v>741</v>
      </c>
    </row>
    <row r="5864" spans="1:11" s="191" customFormat="1">
      <c r="A5864" s="102"/>
      <c r="B5864" s="536"/>
      <c r="D5864" s="217"/>
      <c r="E5864" s="390"/>
      <c r="F5864" s="22"/>
      <c r="G5864" s="22"/>
      <c r="H5864" s="458"/>
      <c r="I5864" s="28"/>
      <c r="J5864" s="366"/>
      <c r="K5864" s="33"/>
    </row>
    <row r="5865" spans="1:11" s="191" customFormat="1">
      <c r="A5865" s="102"/>
      <c r="B5865" s="536" t="s">
        <v>8928</v>
      </c>
      <c r="D5865" s="217">
        <v>178.88</v>
      </c>
      <c r="E5865" s="390">
        <v>30</v>
      </c>
      <c r="F5865" s="22">
        <f>D5865+E5865</f>
        <v>208.88</v>
      </c>
      <c r="G5865" s="22" t="s">
        <v>8929</v>
      </c>
      <c r="H5865" s="458" t="str">
        <f>B5865</f>
        <v>S250-GJ 3P 200A</v>
      </c>
      <c r="I5865" s="28"/>
      <c r="J5865" s="366" t="s">
        <v>2609</v>
      </c>
      <c r="K5865" s="33" t="s">
        <v>741</v>
      </c>
    </row>
    <row r="5866" spans="1:11" s="191" customFormat="1">
      <c r="A5866" s="102"/>
      <c r="B5866" s="536" t="s">
        <v>8930</v>
      </c>
      <c r="D5866" s="217">
        <v>178.88</v>
      </c>
      <c r="E5866" s="390">
        <v>30</v>
      </c>
      <c r="F5866" s="22">
        <f>D5866+E5866</f>
        <v>208.88</v>
      </c>
      <c r="G5866" s="22" t="s">
        <v>8931</v>
      </c>
      <c r="H5866" s="458" t="str">
        <f>B5866</f>
        <v>S250-GJ 3P 250A</v>
      </c>
      <c r="I5866" s="28"/>
      <c r="J5866" s="366" t="s">
        <v>2609</v>
      </c>
      <c r="K5866" s="33" t="s">
        <v>741</v>
      </c>
    </row>
    <row r="5867" spans="1:11" s="191" customFormat="1">
      <c r="A5867" s="102"/>
      <c r="B5867" s="536"/>
      <c r="D5867" s="217"/>
      <c r="E5867" s="390"/>
      <c r="F5867" s="22"/>
      <c r="G5867" s="22"/>
      <c r="H5867" s="458"/>
      <c r="I5867" s="28"/>
      <c r="J5867" s="366"/>
      <c r="K5867" s="33"/>
    </row>
    <row r="5868" spans="1:11" s="191" customFormat="1">
      <c r="A5868" s="102"/>
      <c r="B5868" s="536" t="s">
        <v>8932</v>
      </c>
      <c r="D5868" s="217">
        <v>461.25</v>
      </c>
      <c r="E5868" s="390">
        <v>50</v>
      </c>
      <c r="F5868" s="22">
        <f t="shared" ref="F5868:F5873" si="738">D5868+E5868</f>
        <v>511.25</v>
      </c>
      <c r="G5868" s="22" t="s">
        <v>8933</v>
      </c>
      <c r="H5868" s="458" t="str">
        <f t="shared" ref="H5868:H5873" si="739">B5868</f>
        <v>S400-NJ 3P 400A</v>
      </c>
      <c r="I5868" s="28"/>
      <c r="J5868" s="366" t="s">
        <v>2609</v>
      </c>
      <c r="K5868" s="33" t="s">
        <v>741</v>
      </c>
    </row>
    <row r="5869" spans="1:11" s="191" customFormat="1">
      <c r="A5869" s="102"/>
      <c r="B5869" s="536" t="s">
        <v>8934</v>
      </c>
      <c r="D5869" s="217">
        <v>897.75</v>
      </c>
      <c r="E5869" s="390">
        <v>50</v>
      </c>
      <c r="F5869" s="22">
        <f t="shared" si="738"/>
        <v>947.75</v>
      </c>
      <c r="G5869" s="22" t="s">
        <v>8935</v>
      </c>
      <c r="H5869" s="458" t="str">
        <f t="shared" si="739"/>
        <v>S630-CE 3P 630A</v>
      </c>
      <c r="I5869" s="28"/>
      <c r="J5869" s="366" t="s">
        <v>2609</v>
      </c>
      <c r="K5869" s="33" t="s">
        <v>741</v>
      </c>
    </row>
    <row r="5870" spans="1:11" s="191" customFormat="1">
      <c r="A5870" s="102"/>
      <c r="B5870" s="536" t="s">
        <v>8936</v>
      </c>
      <c r="D5870" s="217">
        <v>1023.75</v>
      </c>
      <c r="E5870" s="390">
        <v>80</v>
      </c>
      <c r="F5870" s="22">
        <f t="shared" si="738"/>
        <v>1103.75</v>
      </c>
      <c r="G5870" s="22" t="s">
        <v>8937</v>
      </c>
      <c r="H5870" s="458" t="str">
        <f t="shared" si="739"/>
        <v>S800-NJ 3P 800A</v>
      </c>
      <c r="I5870" s="28"/>
      <c r="J5870" s="366" t="s">
        <v>2609</v>
      </c>
      <c r="K5870" s="33" t="s">
        <v>741</v>
      </c>
    </row>
    <row r="5871" spans="1:11" s="191" customFormat="1">
      <c r="A5871" s="102"/>
      <c r="B5871" s="536" t="s">
        <v>8938</v>
      </c>
      <c r="D5871" s="217">
        <v>1694.25</v>
      </c>
      <c r="E5871" s="390">
        <v>150</v>
      </c>
      <c r="F5871" s="22">
        <f t="shared" si="738"/>
        <v>1844.25</v>
      </c>
      <c r="G5871" s="22" t="s">
        <v>8939</v>
      </c>
      <c r="H5871" s="458" t="str">
        <f t="shared" si="739"/>
        <v>S1000-SE 3P 1000A</v>
      </c>
      <c r="I5871" s="28"/>
      <c r="J5871" s="366" t="s">
        <v>2609</v>
      </c>
      <c r="K5871" s="33" t="s">
        <v>741</v>
      </c>
    </row>
    <row r="5872" spans="1:11" s="191" customFormat="1">
      <c r="A5872" s="102"/>
      <c r="B5872" s="536" t="s">
        <v>8940</v>
      </c>
      <c r="D5872" s="217">
        <v>1912.5</v>
      </c>
      <c r="E5872" s="390">
        <v>150</v>
      </c>
      <c r="F5872" s="22">
        <f t="shared" si="738"/>
        <v>2062.5</v>
      </c>
      <c r="G5872" s="22" t="s">
        <v>8941</v>
      </c>
      <c r="H5872" s="458" t="str">
        <f t="shared" si="739"/>
        <v>S1250-SE 3P 1250A</v>
      </c>
      <c r="I5872" s="28"/>
      <c r="J5872" s="366" t="s">
        <v>2609</v>
      </c>
      <c r="K5872" s="33" t="s">
        <v>741</v>
      </c>
    </row>
    <row r="5873" spans="1:11" s="191" customFormat="1">
      <c r="A5873" s="102"/>
      <c r="B5873" s="536" t="s">
        <v>8942</v>
      </c>
      <c r="D5873" s="217">
        <v>2767.5</v>
      </c>
      <c r="E5873" s="390">
        <v>150</v>
      </c>
      <c r="F5873" s="22">
        <f t="shared" si="738"/>
        <v>2917.5</v>
      </c>
      <c r="G5873" s="22" t="s">
        <v>8943</v>
      </c>
      <c r="H5873" s="458" t="str">
        <f t="shared" si="739"/>
        <v>S1600-SE 3P 1600A</v>
      </c>
      <c r="I5873" s="28"/>
      <c r="J5873" s="366" t="s">
        <v>2609</v>
      </c>
      <c r="K5873" s="33" t="s">
        <v>741</v>
      </c>
    </row>
    <row r="5874" spans="1:11" s="191" customFormat="1">
      <c r="A5874" s="102"/>
      <c r="B5874" s="536"/>
      <c r="D5874" s="217"/>
      <c r="E5874" s="390"/>
      <c r="F5874" s="22"/>
      <c r="G5874" s="22"/>
      <c r="H5874" s="458"/>
      <c r="I5874" s="28"/>
      <c r="J5874" s="366"/>
      <c r="K5874" s="33"/>
    </row>
    <row r="5875" spans="1:11" s="191" customFormat="1">
      <c r="A5875" s="102"/>
      <c r="B5875" s="536"/>
      <c r="D5875" s="217"/>
      <c r="E5875" s="390"/>
      <c r="F5875" s="22"/>
      <c r="G5875" s="22"/>
      <c r="H5875" s="458"/>
      <c r="I5875" s="28"/>
      <c r="J5875" s="366"/>
      <c r="K5875" s="33"/>
    </row>
    <row r="5876" spans="1:11" s="191" customFormat="1" ht="21">
      <c r="A5876" s="102"/>
      <c r="B5876" s="1342" t="s">
        <v>8944</v>
      </c>
      <c r="D5876" s="217"/>
      <c r="E5876" s="390"/>
      <c r="F5876" s="22"/>
      <c r="G5876" s="22"/>
      <c r="H5876" s="458"/>
      <c r="I5876" s="28"/>
      <c r="J5876" s="366"/>
      <c r="K5876" s="33"/>
    </row>
    <row r="5877" spans="1:11" s="191" customFormat="1">
      <c r="A5877" s="102"/>
      <c r="B5877" s="536" t="s">
        <v>8945</v>
      </c>
      <c r="D5877" s="217">
        <v>528.75</v>
      </c>
      <c r="E5877" s="390">
        <v>50</v>
      </c>
      <c r="F5877" s="22">
        <f t="shared" ref="F5877:F5882" si="740">D5877+E5877</f>
        <v>578.75</v>
      </c>
      <c r="G5877" s="22" t="s">
        <v>8946</v>
      </c>
      <c r="H5877" s="458" t="str">
        <f t="shared" ref="H5877:H5882" si="741">B5877</f>
        <v>S400-GJ 3P 400A</v>
      </c>
      <c r="I5877" s="28"/>
      <c r="J5877" s="366" t="s">
        <v>2609</v>
      </c>
      <c r="K5877" s="33" t="s">
        <v>741</v>
      </c>
    </row>
    <row r="5878" spans="1:11" s="191" customFormat="1">
      <c r="A5878" s="102"/>
      <c r="B5878" s="536" t="s">
        <v>8947</v>
      </c>
      <c r="D5878" s="217">
        <v>1073.25</v>
      </c>
      <c r="E5878" s="390">
        <v>50</v>
      </c>
      <c r="F5878" s="22">
        <f t="shared" si="740"/>
        <v>1123.25</v>
      </c>
      <c r="G5878" s="22" t="s">
        <v>8948</v>
      </c>
      <c r="H5878" s="458" t="str">
        <f t="shared" si="741"/>
        <v>S630-GE 3P 630A</v>
      </c>
      <c r="I5878" s="28"/>
      <c r="J5878" s="366" t="s">
        <v>2609</v>
      </c>
      <c r="K5878" s="33" t="s">
        <v>741</v>
      </c>
    </row>
    <row r="5879" spans="1:11" s="191" customFormat="1">
      <c r="A5879" s="102"/>
      <c r="B5879" s="536" t="s">
        <v>8949</v>
      </c>
      <c r="D5879" s="217">
        <v>1696.5</v>
      </c>
      <c r="E5879" s="390">
        <v>80</v>
      </c>
      <c r="F5879" s="22">
        <f t="shared" si="740"/>
        <v>1776.5</v>
      </c>
      <c r="G5879" s="22" t="s">
        <v>8950</v>
      </c>
      <c r="H5879" s="458" t="str">
        <f t="shared" si="741"/>
        <v>S800-RJ 3P 800A</v>
      </c>
      <c r="I5879" s="28"/>
      <c r="J5879" s="366" t="s">
        <v>2609</v>
      </c>
      <c r="K5879" s="33" t="s">
        <v>741</v>
      </c>
    </row>
    <row r="5880" spans="1:11" s="191" customFormat="1">
      <c r="A5880" s="102"/>
      <c r="B5880" s="536" t="s">
        <v>8951</v>
      </c>
      <c r="D5880" s="217">
        <v>1764</v>
      </c>
      <c r="E5880" s="390">
        <v>150</v>
      </c>
      <c r="F5880" s="22">
        <f t="shared" si="740"/>
        <v>1914</v>
      </c>
      <c r="G5880" s="22" t="s">
        <v>8952</v>
      </c>
      <c r="H5880" s="458" t="str">
        <f t="shared" si="741"/>
        <v>S1000-NE 3P 1000A</v>
      </c>
      <c r="I5880" s="28"/>
      <c r="J5880" s="366" t="s">
        <v>2609</v>
      </c>
      <c r="K5880" s="33" t="s">
        <v>741</v>
      </c>
    </row>
    <row r="5881" spans="1:11" s="191" customFormat="1">
      <c r="A5881" s="102"/>
      <c r="B5881" s="536" t="s">
        <v>8953</v>
      </c>
      <c r="D5881" s="217">
        <v>2002.5</v>
      </c>
      <c r="E5881" s="390">
        <v>150</v>
      </c>
      <c r="F5881" s="22">
        <f t="shared" si="740"/>
        <v>2152.5</v>
      </c>
      <c r="G5881" s="22" t="s">
        <v>8954</v>
      </c>
      <c r="H5881" s="458" t="str">
        <f t="shared" si="741"/>
        <v>S1250-NE 3P 1250A</v>
      </c>
      <c r="I5881" s="28"/>
      <c r="J5881" s="366" t="s">
        <v>2609</v>
      </c>
      <c r="K5881" s="33" t="s">
        <v>741</v>
      </c>
    </row>
    <row r="5882" spans="1:11" s="191" customFormat="1">
      <c r="A5882" s="102"/>
      <c r="B5882" s="536" t="s">
        <v>8955</v>
      </c>
      <c r="D5882" s="217">
        <v>2981.25</v>
      </c>
      <c r="E5882" s="390">
        <v>150</v>
      </c>
      <c r="F5882" s="22">
        <f t="shared" si="740"/>
        <v>3131.25</v>
      </c>
      <c r="G5882" s="22" t="s">
        <v>8956</v>
      </c>
      <c r="H5882" s="458" t="str">
        <f t="shared" si="741"/>
        <v>S1600-NE 3P 1600A</v>
      </c>
      <c r="I5882" s="28"/>
      <c r="J5882" s="366" t="s">
        <v>2609</v>
      </c>
      <c r="K5882" s="33" t="s">
        <v>741</v>
      </c>
    </row>
    <row r="5883" spans="1:11" s="191" customFormat="1">
      <c r="A5883" s="102"/>
      <c r="B5883" s="536"/>
      <c r="D5883" s="217"/>
      <c r="E5883" s="390"/>
      <c r="F5883" s="22"/>
      <c r="G5883" s="22"/>
      <c r="H5883" s="458"/>
      <c r="I5883" s="28"/>
      <c r="J5883" s="366"/>
      <c r="K5883" s="33"/>
    </row>
    <row r="5884" spans="1:11" s="191" customFormat="1">
      <c r="A5884" s="102"/>
      <c r="B5884" s="536"/>
      <c r="D5884" s="217"/>
      <c r="E5884" s="390"/>
      <c r="F5884" s="22"/>
      <c r="G5884" s="22"/>
      <c r="H5884" s="458"/>
      <c r="I5884" s="28"/>
      <c r="J5884" s="366"/>
      <c r="K5884" s="33"/>
    </row>
    <row r="5885" spans="1:11" s="191" customFormat="1">
      <c r="A5885" s="102"/>
      <c r="B5885" s="536"/>
      <c r="D5885" s="217"/>
      <c r="E5885" s="390"/>
      <c r="F5885" s="22"/>
      <c r="G5885" s="22"/>
      <c r="H5885" s="458"/>
      <c r="I5885" s="28"/>
      <c r="J5885" s="366"/>
      <c r="K5885" s="33"/>
    </row>
    <row r="5886" spans="1:11" s="33" customFormat="1">
      <c r="A5886" s="102"/>
      <c r="B5886" s="536" t="s">
        <v>8957</v>
      </c>
      <c r="C5886" s="217"/>
      <c r="D5886" s="217">
        <v>36</v>
      </c>
      <c r="E5886" s="203">
        <v>4</v>
      </c>
      <c r="F5886" s="149">
        <f>D5886+E5886</f>
        <v>40</v>
      </c>
      <c r="G5886" s="22" t="s">
        <v>8958</v>
      </c>
      <c r="H5886" s="458" t="str">
        <f>B5886</f>
        <v>CDI20620</v>
      </c>
      <c r="I5886" s="434"/>
      <c r="J5886" s="366" t="s">
        <v>2609</v>
      </c>
      <c r="K5886" s="33" t="s">
        <v>741</v>
      </c>
    </row>
    <row r="5887" spans="1:11" s="191" customFormat="1">
      <c r="A5887" s="102"/>
      <c r="B5887" s="536"/>
      <c r="D5887" s="217"/>
      <c r="E5887" s="390"/>
      <c r="F5887" s="22"/>
      <c r="G5887" s="22"/>
      <c r="H5887" s="458"/>
      <c r="I5887" s="28"/>
      <c r="J5887" s="366"/>
      <c r="K5887" s="33"/>
    </row>
    <row r="5888" spans="1:11" s="191" customFormat="1">
      <c r="A5888" s="102"/>
      <c r="B5888" s="536"/>
      <c r="D5888" s="217"/>
      <c r="E5888" s="390"/>
      <c r="F5888" s="22"/>
      <c r="G5888" s="22"/>
      <c r="H5888" s="458"/>
      <c r="I5888" s="28"/>
      <c r="J5888" s="366"/>
      <c r="K5888" s="33"/>
    </row>
    <row r="5889" spans="1:11" s="191" customFormat="1">
      <c r="A5889" s="102"/>
      <c r="B5889" s="536"/>
      <c r="D5889" s="217"/>
      <c r="E5889" s="390"/>
      <c r="F5889" s="22"/>
      <c r="G5889" s="22"/>
      <c r="H5889" s="458"/>
      <c r="I5889" s="28"/>
      <c r="J5889" s="366"/>
      <c r="K5889" s="33"/>
    </row>
    <row r="5890" spans="1:11" s="191" customFormat="1">
      <c r="A5890" s="102"/>
      <c r="B5890" s="536"/>
      <c r="D5890" s="217"/>
      <c r="E5890" s="390"/>
      <c r="F5890" s="22"/>
      <c r="G5890" s="22"/>
      <c r="H5890" s="458"/>
      <c r="I5890" s="28"/>
      <c r="J5890" s="366"/>
      <c r="K5890" s="33"/>
    </row>
    <row r="5891" spans="1:11" s="191" customFormat="1">
      <c r="A5891" s="102"/>
      <c r="B5891" s="536"/>
      <c r="D5891" s="217"/>
      <c r="E5891" s="390"/>
      <c r="F5891" s="22"/>
      <c r="G5891" s="22"/>
      <c r="H5891" s="458"/>
      <c r="I5891" s="28"/>
      <c r="J5891" s="366"/>
      <c r="K5891" s="33"/>
    </row>
    <row r="5892" spans="1:11" s="191" customFormat="1">
      <c r="A5892" s="102"/>
      <c r="B5892" s="536"/>
      <c r="D5892" s="217"/>
      <c r="E5892" s="390"/>
      <c r="F5892" s="22"/>
      <c r="G5892" s="22"/>
      <c r="H5892" s="458"/>
      <c r="I5892" s="28"/>
      <c r="J5892" s="366"/>
      <c r="K5892" s="33"/>
    </row>
    <row r="5893" spans="1:11" s="191" customFormat="1">
      <c r="A5893" s="102"/>
      <c r="B5893" s="536"/>
      <c r="C5893" s="521"/>
      <c r="D5893" s="525"/>
      <c r="E5893" s="390"/>
      <c r="F5893" s="22"/>
      <c r="G5893" s="22"/>
      <c r="H5893" s="139"/>
      <c r="I5893" s="28"/>
      <c r="J5893" s="366"/>
      <c r="K5893" s="33"/>
    </row>
    <row r="5894" spans="1:11" s="191" customFormat="1">
      <c r="A5894" s="102"/>
      <c r="B5894" s="536"/>
      <c r="C5894" s="521"/>
      <c r="D5894" s="525"/>
      <c r="E5894" s="390"/>
      <c r="F5894" s="22"/>
      <c r="G5894" s="22"/>
      <c r="H5894" s="458"/>
      <c r="I5894" s="28"/>
      <c r="J5894" s="366"/>
      <c r="K5894" s="33"/>
    </row>
    <row r="5895" spans="1:11" s="191" customFormat="1">
      <c r="A5895" s="102"/>
      <c r="B5895" s="536"/>
      <c r="C5895" s="521"/>
      <c r="D5895" s="525"/>
      <c r="E5895" s="390"/>
      <c r="F5895" s="22"/>
      <c r="G5895" s="22"/>
      <c r="H5895" s="458"/>
      <c r="I5895" s="28"/>
      <c r="J5895" s="366"/>
      <c r="K5895" s="33"/>
    </row>
    <row r="5896" spans="1:11" s="191" customFormat="1">
      <c r="A5896" s="102"/>
      <c r="B5896" s="536"/>
      <c r="C5896" s="521"/>
      <c r="D5896" s="525"/>
      <c r="E5896" s="390"/>
      <c r="F5896" s="22"/>
      <c r="G5896" s="22"/>
      <c r="H5896" s="458"/>
      <c r="I5896" s="28"/>
      <c r="J5896" s="366"/>
      <c r="K5896" s="33"/>
    </row>
    <row r="5897" spans="1:11" s="191" customFormat="1" ht="28.2">
      <c r="A5897" s="102"/>
      <c r="B5897" s="1343" t="s">
        <v>4001</v>
      </c>
      <c r="C5897" s="521"/>
      <c r="D5897" s="525"/>
      <c r="E5897" s="390"/>
      <c r="F5897" s="22"/>
      <c r="G5897" s="22"/>
      <c r="H5897" s="458"/>
      <c r="I5897" s="28"/>
      <c r="J5897" s="366"/>
      <c r="K5897" s="33"/>
    </row>
    <row r="5898" spans="1:11" s="191" customFormat="1">
      <c r="B5898" s="53" t="s">
        <v>11081</v>
      </c>
      <c r="C5898" s="526"/>
      <c r="D5898" s="1691"/>
      <c r="E5898" s="390"/>
      <c r="F5898" s="22"/>
      <c r="I5898" s="190"/>
    </row>
    <row r="5899" spans="1:11" s="191" customFormat="1">
      <c r="A5899" s="102"/>
      <c r="B5899" s="1550" t="s">
        <v>8959</v>
      </c>
      <c r="C5899" s="521"/>
      <c r="D5899" s="1551">
        <v>3.5</v>
      </c>
      <c r="E5899" s="390">
        <v>0</v>
      </c>
      <c r="F5899" s="22">
        <f t="shared" ref="F5899:F5906" si="742">D5899+E5899</f>
        <v>3.5</v>
      </c>
      <c r="G5899" s="133" t="s">
        <v>8960</v>
      </c>
      <c r="H5899" s="458" t="str">
        <f>B5899</f>
        <v>DAB7-63-C10-1</v>
      </c>
      <c r="I5899" s="28"/>
      <c r="J5899" s="366" t="s">
        <v>4001</v>
      </c>
      <c r="K5899" s="33" t="s">
        <v>741</v>
      </c>
    </row>
    <row r="5900" spans="1:11" s="191" customFormat="1">
      <c r="A5900" s="102"/>
      <c r="B5900" s="1550" t="s">
        <v>8961</v>
      </c>
      <c r="C5900" s="521"/>
      <c r="D5900" s="1551">
        <v>3.5</v>
      </c>
      <c r="E5900" s="390">
        <v>0</v>
      </c>
      <c r="F5900" s="22">
        <f t="shared" si="742"/>
        <v>3.5</v>
      </c>
      <c r="G5900" s="133" t="s">
        <v>8962</v>
      </c>
      <c r="H5900" s="458" t="str">
        <f t="shared" ref="H5900:H5934" si="743">B5900</f>
        <v>DAB7-63-C16-1</v>
      </c>
      <c r="I5900" s="28"/>
      <c r="J5900" s="366" t="s">
        <v>4001</v>
      </c>
      <c r="K5900" s="33" t="s">
        <v>741</v>
      </c>
    </row>
    <row r="5901" spans="1:11" s="191" customFormat="1">
      <c r="A5901" s="102"/>
      <c r="B5901" s="1550" t="s">
        <v>8963</v>
      </c>
      <c r="C5901" s="521"/>
      <c r="D5901" s="1551">
        <v>3.5</v>
      </c>
      <c r="E5901" s="390">
        <v>0</v>
      </c>
      <c r="F5901" s="22">
        <f t="shared" si="742"/>
        <v>3.5</v>
      </c>
      <c r="G5901" s="133" t="s">
        <v>8964</v>
      </c>
      <c r="H5901" s="458" t="str">
        <f t="shared" si="743"/>
        <v>DAB7-63-C20-1</v>
      </c>
      <c r="I5901" s="28"/>
      <c r="J5901" s="366" t="s">
        <v>4001</v>
      </c>
      <c r="K5901" s="33" t="s">
        <v>741</v>
      </c>
    </row>
    <row r="5902" spans="1:11" s="191" customFormat="1">
      <c r="A5902" s="102"/>
      <c r="B5902" s="1550" t="s">
        <v>8965</v>
      </c>
      <c r="C5902" s="521"/>
      <c r="D5902" s="1551">
        <v>3.5</v>
      </c>
      <c r="E5902" s="390">
        <v>0</v>
      </c>
      <c r="F5902" s="22">
        <f t="shared" si="742"/>
        <v>3.5</v>
      </c>
      <c r="G5902" s="133" t="s">
        <v>8966</v>
      </c>
      <c r="H5902" s="458" t="str">
        <f t="shared" si="743"/>
        <v>DAB7-63-C25-1</v>
      </c>
      <c r="I5902" s="28"/>
      <c r="J5902" s="366" t="s">
        <v>4001</v>
      </c>
      <c r="K5902" s="33" t="s">
        <v>741</v>
      </c>
    </row>
    <row r="5903" spans="1:11" s="191" customFormat="1">
      <c r="A5903" s="102"/>
      <c r="B5903" s="1550" t="s">
        <v>8967</v>
      </c>
      <c r="C5903" s="521"/>
      <c r="D5903" s="1551">
        <v>3.5</v>
      </c>
      <c r="E5903" s="390">
        <v>0</v>
      </c>
      <c r="F5903" s="22">
        <f t="shared" si="742"/>
        <v>3.5</v>
      </c>
      <c r="G5903" s="133" t="s">
        <v>8968</v>
      </c>
      <c r="H5903" s="458" t="str">
        <f t="shared" si="743"/>
        <v>DAB7-63-C32-1</v>
      </c>
      <c r="I5903" s="28"/>
      <c r="J5903" s="366" t="s">
        <v>4001</v>
      </c>
      <c r="K5903" s="33" t="s">
        <v>741</v>
      </c>
    </row>
    <row r="5904" spans="1:11" s="191" customFormat="1">
      <c r="A5904" s="102"/>
      <c r="B5904" s="1550" t="s">
        <v>8969</v>
      </c>
      <c r="C5904" s="521"/>
      <c r="D5904" s="1551">
        <v>3.5</v>
      </c>
      <c r="E5904" s="390">
        <v>0</v>
      </c>
      <c r="F5904" s="22">
        <f t="shared" si="742"/>
        <v>3.5</v>
      </c>
      <c r="G5904" s="133" t="s">
        <v>8970</v>
      </c>
      <c r="H5904" s="458" t="str">
        <f t="shared" si="743"/>
        <v>DAB7-63-C40-1</v>
      </c>
      <c r="I5904" s="28"/>
      <c r="J5904" s="366" t="s">
        <v>4001</v>
      </c>
      <c r="K5904" s="33" t="s">
        <v>741</v>
      </c>
    </row>
    <row r="5905" spans="1:11" s="191" customFormat="1">
      <c r="A5905" s="102"/>
      <c r="B5905" s="1550" t="s">
        <v>8971</v>
      </c>
      <c r="C5905" s="521"/>
      <c r="D5905" s="1551">
        <v>3.5</v>
      </c>
      <c r="E5905" s="390">
        <v>0</v>
      </c>
      <c r="F5905" s="22">
        <f t="shared" si="742"/>
        <v>3.5</v>
      </c>
      <c r="G5905" s="133" t="s">
        <v>8972</v>
      </c>
      <c r="H5905" s="458" t="str">
        <f t="shared" si="743"/>
        <v>DAB7-63-C50-1</v>
      </c>
      <c r="I5905" s="28"/>
      <c r="J5905" s="366" t="s">
        <v>4001</v>
      </c>
      <c r="K5905" s="33" t="s">
        <v>741</v>
      </c>
    </row>
    <row r="5906" spans="1:11" s="191" customFormat="1">
      <c r="A5906" s="102"/>
      <c r="B5906" s="1550" t="s">
        <v>8973</v>
      </c>
      <c r="C5906" s="521"/>
      <c r="D5906" s="1551">
        <v>3.5</v>
      </c>
      <c r="E5906" s="390">
        <v>0</v>
      </c>
      <c r="F5906" s="22">
        <f t="shared" si="742"/>
        <v>3.5</v>
      </c>
      <c r="G5906" s="133" t="s">
        <v>8974</v>
      </c>
      <c r="H5906" s="458" t="str">
        <f t="shared" si="743"/>
        <v>DAB7-63-C63-1</v>
      </c>
      <c r="I5906" s="28"/>
      <c r="J5906" s="366" t="s">
        <v>4001</v>
      </c>
      <c r="K5906" s="33" t="s">
        <v>741</v>
      </c>
    </row>
    <row r="5907" spans="1:11" s="191" customFormat="1">
      <c r="A5907" s="102"/>
      <c r="B5907" s="536"/>
      <c r="C5907" s="521"/>
      <c r="D5907" s="525"/>
      <c r="E5907" s="390"/>
      <c r="F5907" s="22"/>
      <c r="G5907" s="22"/>
      <c r="H5907" s="458">
        <f t="shared" si="743"/>
        <v>0</v>
      </c>
      <c r="I5907" s="28"/>
      <c r="J5907" s="366"/>
      <c r="K5907" s="33"/>
    </row>
    <row r="5908" spans="1:11" s="191" customFormat="1">
      <c r="A5908" s="102"/>
      <c r="B5908" s="536"/>
      <c r="C5908" s="521"/>
      <c r="D5908" s="525"/>
      <c r="E5908" s="390"/>
      <c r="F5908" s="22"/>
      <c r="G5908" s="22"/>
      <c r="H5908" s="458">
        <f t="shared" si="743"/>
        <v>0</v>
      </c>
      <c r="I5908" s="28"/>
      <c r="J5908" s="366"/>
      <c r="K5908" s="33"/>
    </row>
    <row r="5909" spans="1:11" s="191" customFormat="1">
      <c r="A5909" s="102"/>
      <c r="B5909" s="1550" t="s">
        <v>8975</v>
      </c>
      <c r="C5909" s="521"/>
      <c r="D5909" s="1551">
        <v>6.5</v>
      </c>
      <c r="E5909" s="390">
        <v>0</v>
      </c>
      <c r="F5909" s="22">
        <f t="shared" ref="F5909:F5916" si="744">D5909+E5909</f>
        <v>6.5</v>
      </c>
      <c r="G5909" s="133" t="s">
        <v>8976</v>
      </c>
      <c r="H5909" s="458" t="str">
        <f t="shared" si="743"/>
        <v>DAB7-63-C10-2</v>
      </c>
      <c r="I5909" s="28"/>
      <c r="J5909" s="366" t="s">
        <v>4001</v>
      </c>
      <c r="K5909" s="33" t="s">
        <v>741</v>
      </c>
    </row>
    <row r="5910" spans="1:11" s="191" customFormat="1">
      <c r="A5910" s="102"/>
      <c r="B5910" s="1550" t="s">
        <v>8977</v>
      </c>
      <c r="C5910" s="521"/>
      <c r="D5910" s="1551">
        <v>6.5</v>
      </c>
      <c r="E5910" s="390">
        <v>0</v>
      </c>
      <c r="F5910" s="22">
        <f t="shared" si="744"/>
        <v>6.5</v>
      </c>
      <c r="G5910" s="133" t="s">
        <v>8978</v>
      </c>
      <c r="H5910" s="458" t="str">
        <f t="shared" si="743"/>
        <v>DAB7-63-C16-2</v>
      </c>
      <c r="I5910" s="28"/>
      <c r="J5910" s="366" t="s">
        <v>4001</v>
      </c>
      <c r="K5910" s="33" t="s">
        <v>741</v>
      </c>
    </row>
    <row r="5911" spans="1:11" s="191" customFormat="1">
      <c r="A5911" s="102"/>
      <c r="B5911" s="1550" t="s">
        <v>8979</v>
      </c>
      <c r="C5911" s="521"/>
      <c r="D5911" s="1551">
        <v>6.5</v>
      </c>
      <c r="E5911" s="390">
        <v>0</v>
      </c>
      <c r="F5911" s="22">
        <f t="shared" si="744"/>
        <v>6.5</v>
      </c>
      <c r="G5911" s="133" t="s">
        <v>8980</v>
      </c>
      <c r="H5911" s="458" t="str">
        <f t="shared" si="743"/>
        <v>DAB7-63-C20-2</v>
      </c>
      <c r="I5911" s="28"/>
      <c r="J5911" s="366" t="s">
        <v>4001</v>
      </c>
      <c r="K5911" s="33" t="s">
        <v>741</v>
      </c>
    </row>
    <row r="5912" spans="1:11" s="191" customFormat="1">
      <c r="A5912" s="102"/>
      <c r="B5912" s="1550" t="s">
        <v>8981</v>
      </c>
      <c r="C5912" s="521"/>
      <c r="D5912" s="1551">
        <v>6.5</v>
      </c>
      <c r="E5912" s="390">
        <v>0</v>
      </c>
      <c r="F5912" s="22">
        <f t="shared" si="744"/>
        <v>6.5</v>
      </c>
      <c r="G5912" s="133" t="s">
        <v>8982</v>
      </c>
      <c r="H5912" s="458" t="str">
        <f t="shared" si="743"/>
        <v>DAB7-63-C25-2</v>
      </c>
      <c r="I5912" s="28"/>
      <c r="J5912" s="366" t="s">
        <v>4001</v>
      </c>
      <c r="K5912" s="33" t="s">
        <v>741</v>
      </c>
    </row>
    <row r="5913" spans="1:11" s="191" customFormat="1">
      <c r="A5913" s="102"/>
      <c r="B5913" s="1550" t="s">
        <v>8983</v>
      </c>
      <c r="C5913" s="521"/>
      <c r="D5913" s="1551">
        <v>6.5</v>
      </c>
      <c r="E5913" s="390">
        <v>0</v>
      </c>
      <c r="F5913" s="22">
        <f t="shared" si="744"/>
        <v>6.5</v>
      </c>
      <c r="G5913" s="133" t="s">
        <v>8984</v>
      </c>
      <c r="H5913" s="458" t="str">
        <f t="shared" si="743"/>
        <v>DAB7-63-C32-2</v>
      </c>
      <c r="I5913" s="28"/>
      <c r="J5913" s="366" t="s">
        <v>4001</v>
      </c>
      <c r="K5913" s="33" t="s">
        <v>741</v>
      </c>
    </row>
    <row r="5914" spans="1:11" s="191" customFormat="1">
      <c r="A5914" s="102"/>
      <c r="B5914" s="1550" t="s">
        <v>8985</v>
      </c>
      <c r="C5914" s="521"/>
      <c r="D5914" s="1551">
        <v>7</v>
      </c>
      <c r="E5914" s="390">
        <v>0</v>
      </c>
      <c r="F5914" s="22">
        <f t="shared" si="744"/>
        <v>7</v>
      </c>
      <c r="G5914" s="133" t="s">
        <v>8986</v>
      </c>
      <c r="H5914" s="458" t="str">
        <f t="shared" si="743"/>
        <v>DAB7-63-C40-2</v>
      </c>
      <c r="I5914" s="28"/>
      <c r="J5914" s="366" t="s">
        <v>4001</v>
      </c>
      <c r="K5914" s="33" t="s">
        <v>741</v>
      </c>
    </row>
    <row r="5915" spans="1:11" s="191" customFormat="1">
      <c r="A5915" s="102"/>
      <c r="B5915" s="1550" t="s">
        <v>8987</v>
      </c>
      <c r="C5915" s="521"/>
      <c r="D5915" s="1551">
        <v>7</v>
      </c>
      <c r="E5915" s="390">
        <v>0</v>
      </c>
      <c r="F5915" s="22">
        <f t="shared" si="744"/>
        <v>7</v>
      </c>
      <c r="G5915" s="133" t="s">
        <v>8988</v>
      </c>
      <c r="H5915" s="458" t="str">
        <f t="shared" si="743"/>
        <v>DAB7-63-C50-2</v>
      </c>
      <c r="I5915" s="28"/>
      <c r="J5915" s="366" t="s">
        <v>4001</v>
      </c>
      <c r="K5915" s="33" t="s">
        <v>741</v>
      </c>
    </row>
    <row r="5916" spans="1:11" s="191" customFormat="1">
      <c r="A5916" s="102"/>
      <c r="B5916" s="1550" t="s">
        <v>8989</v>
      </c>
      <c r="C5916" s="521"/>
      <c r="D5916" s="1551">
        <v>7</v>
      </c>
      <c r="E5916" s="390">
        <v>0</v>
      </c>
      <c r="F5916" s="22">
        <f t="shared" si="744"/>
        <v>7</v>
      </c>
      <c r="G5916" s="133" t="s">
        <v>8990</v>
      </c>
      <c r="H5916" s="458" t="str">
        <f t="shared" si="743"/>
        <v>DAB7-63-C63-2</v>
      </c>
      <c r="I5916" s="28"/>
      <c r="J5916" s="366" t="s">
        <v>4001</v>
      </c>
      <c r="K5916" s="33" t="s">
        <v>741</v>
      </c>
    </row>
    <row r="5917" spans="1:11" s="191" customFormat="1">
      <c r="A5917" s="102"/>
      <c r="B5917" s="536"/>
      <c r="C5917" s="521"/>
      <c r="D5917" s="525"/>
      <c r="E5917" s="390"/>
      <c r="F5917" s="22"/>
      <c r="G5917" s="22"/>
      <c r="H5917" s="458">
        <f t="shared" si="743"/>
        <v>0</v>
      </c>
      <c r="I5917" s="28"/>
      <c r="J5917" s="366"/>
      <c r="K5917" s="33"/>
    </row>
    <row r="5918" spans="1:11" s="191" customFormat="1">
      <c r="A5918" s="102"/>
      <c r="B5918" s="536"/>
      <c r="C5918" s="521"/>
      <c r="D5918" s="525"/>
      <c r="E5918" s="390"/>
      <c r="F5918" s="22"/>
      <c r="G5918" s="22"/>
      <c r="H5918" s="458">
        <f t="shared" si="743"/>
        <v>0</v>
      </c>
      <c r="I5918" s="28"/>
      <c r="J5918" s="366"/>
      <c r="K5918" s="33"/>
    </row>
    <row r="5919" spans="1:11" s="191" customFormat="1">
      <c r="A5919" s="102"/>
      <c r="B5919" s="1550" t="s">
        <v>8991</v>
      </c>
      <c r="C5919" s="521"/>
      <c r="D5919" s="1551">
        <v>9.5</v>
      </c>
      <c r="E5919" s="390">
        <v>0</v>
      </c>
      <c r="F5919" s="22">
        <f t="shared" ref="F5919:F5926" si="745">D5919+E5919</f>
        <v>9.5</v>
      </c>
      <c r="G5919" s="133" t="s">
        <v>8992</v>
      </c>
      <c r="H5919" s="458" t="str">
        <f t="shared" si="743"/>
        <v>DAB7-63-C10-3</v>
      </c>
      <c r="I5919" s="28"/>
      <c r="J5919" s="366" t="s">
        <v>4001</v>
      </c>
      <c r="K5919" s="33" t="s">
        <v>741</v>
      </c>
    </row>
    <row r="5920" spans="1:11" s="191" customFormat="1">
      <c r="A5920" s="102"/>
      <c r="B5920" s="1550" t="s">
        <v>8993</v>
      </c>
      <c r="C5920" s="521"/>
      <c r="D5920" s="1551">
        <v>9.5</v>
      </c>
      <c r="E5920" s="390">
        <v>0</v>
      </c>
      <c r="F5920" s="22">
        <f t="shared" si="745"/>
        <v>9.5</v>
      </c>
      <c r="G5920" s="133" t="s">
        <v>8994</v>
      </c>
      <c r="H5920" s="458" t="str">
        <f t="shared" si="743"/>
        <v>DAB7-63-C16-3</v>
      </c>
      <c r="I5920" s="28"/>
      <c r="J5920" s="366" t="s">
        <v>4001</v>
      </c>
      <c r="K5920" s="33" t="s">
        <v>741</v>
      </c>
    </row>
    <row r="5921" spans="1:11" s="191" customFormat="1">
      <c r="A5921" s="102"/>
      <c r="B5921" s="1550" t="s">
        <v>8995</v>
      </c>
      <c r="C5921" s="521"/>
      <c r="D5921" s="1551">
        <v>9.5</v>
      </c>
      <c r="E5921" s="390">
        <v>0</v>
      </c>
      <c r="F5921" s="22">
        <f t="shared" si="745"/>
        <v>9.5</v>
      </c>
      <c r="G5921" s="133" t="s">
        <v>8996</v>
      </c>
      <c r="H5921" s="458" t="str">
        <f t="shared" si="743"/>
        <v>DAB7-63-C20-3</v>
      </c>
      <c r="I5921" s="28"/>
      <c r="J5921" s="366" t="s">
        <v>4001</v>
      </c>
      <c r="K5921" s="33" t="s">
        <v>741</v>
      </c>
    </row>
    <row r="5922" spans="1:11" s="191" customFormat="1">
      <c r="A5922" s="102"/>
      <c r="B5922" s="1550" t="s">
        <v>8997</v>
      </c>
      <c r="C5922" s="521"/>
      <c r="D5922" s="1551">
        <v>9.5</v>
      </c>
      <c r="E5922" s="390">
        <v>0</v>
      </c>
      <c r="F5922" s="22">
        <f t="shared" si="745"/>
        <v>9.5</v>
      </c>
      <c r="G5922" s="133" t="s">
        <v>8998</v>
      </c>
      <c r="H5922" s="458" t="str">
        <f t="shared" si="743"/>
        <v>DAB7-63-C25-3</v>
      </c>
      <c r="I5922" s="28"/>
      <c r="J5922" s="366" t="s">
        <v>4001</v>
      </c>
      <c r="K5922" s="33" t="s">
        <v>741</v>
      </c>
    </row>
    <row r="5923" spans="1:11" s="191" customFormat="1">
      <c r="A5923" s="102"/>
      <c r="B5923" s="1550" t="s">
        <v>8999</v>
      </c>
      <c r="C5923" s="521"/>
      <c r="D5923" s="1551">
        <v>9.5</v>
      </c>
      <c r="E5923" s="390">
        <v>0</v>
      </c>
      <c r="F5923" s="22">
        <f t="shared" si="745"/>
        <v>9.5</v>
      </c>
      <c r="G5923" s="133" t="s">
        <v>9000</v>
      </c>
      <c r="H5923" s="458" t="str">
        <f t="shared" si="743"/>
        <v>DAB7-63-C32-3</v>
      </c>
      <c r="I5923" s="28"/>
      <c r="J5923" s="366" t="s">
        <v>4001</v>
      </c>
      <c r="K5923" s="33" t="s">
        <v>741</v>
      </c>
    </row>
    <row r="5924" spans="1:11" s="191" customFormat="1">
      <c r="A5924" s="102"/>
      <c r="B5924" s="1550" t="s">
        <v>9001</v>
      </c>
      <c r="C5924" s="521"/>
      <c r="D5924" s="1551">
        <v>10.5</v>
      </c>
      <c r="E5924" s="390">
        <v>0</v>
      </c>
      <c r="F5924" s="22">
        <f t="shared" si="745"/>
        <v>10.5</v>
      </c>
      <c r="G5924" s="133" t="s">
        <v>9002</v>
      </c>
      <c r="H5924" s="458" t="str">
        <f t="shared" si="743"/>
        <v>DAB7-63-C40-3</v>
      </c>
      <c r="I5924" s="28"/>
      <c r="J5924" s="366" t="s">
        <v>4001</v>
      </c>
      <c r="K5924" s="33" t="s">
        <v>741</v>
      </c>
    </row>
    <row r="5925" spans="1:11" s="191" customFormat="1">
      <c r="A5925" s="102"/>
      <c r="B5925" s="1550" t="s">
        <v>9003</v>
      </c>
      <c r="C5925" s="521"/>
      <c r="D5925" s="1551">
        <v>10.5</v>
      </c>
      <c r="E5925" s="390">
        <v>0</v>
      </c>
      <c r="F5925" s="22">
        <f t="shared" si="745"/>
        <v>10.5</v>
      </c>
      <c r="G5925" s="133" t="s">
        <v>9004</v>
      </c>
      <c r="H5925" s="458" t="str">
        <f t="shared" si="743"/>
        <v>DAB7-63-C50-3</v>
      </c>
      <c r="I5925" s="28"/>
      <c r="J5925" s="366" t="s">
        <v>4001</v>
      </c>
      <c r="K5925" s="33" t="s">
        <v>741</v>
      </c>
    </row>
    <row r="5926" spans="1:11" s="191" customFormat="1">
      <c r="A5926" s="102"/>
      <c r="B5926" s="1550" t="s">
        <v>9005</v>
      </c>
      <c r="C5926" s="521"/>
      <c r="D5926" s="1551">
        <v>10.5</v>
      </c>
      <c r="E5926" s="390">
        <v>0</v>
      </c>
      <c r="F5926" s="22">
        <f t="shared" si="745"/>
        <v>10.5</v>
      </c>
      <c r="G5926" s="133" t="s">
        <v>9006</v>
      </c>
      <c r="H5926" s="458" t="str">
        <f t="shared" si="743"/>
        <v>DAB7-63-C63-3</v>
      </c>
      <c r="I5926" s="28"/>
      <c r="J5926" s="366" t="s">
        <v>4001</v>
      </c>
      <c r="K5926" s="33" t="s">
        <v>741</v>
      </c>
    </row>
    <row r="5927" spans="1:11" s="191" customFormat="1">
      <c r="A5927" s="102"/>
      <c r="B5927" s="536"/>
      <c r="C5927" s="521"/>
      <c r="D5927" s="525"/>
      <c r="E5927" s="390"/>
      <c r="F5927" s="22"/>
      <c r="G5927" s="22"/>
      <c r="H5927" s="458">
        <f t="shared" si="743"/>
        <v>0</v>
      </c>
      <c r="I5927" s="28"/>
      <c r="J5927" s="366"/>
      <c r="K5927" s="33"/>
    </row>
    <row r="5928" spans="1:11" s="191" customFormat="1">
      <c r="A5928" s="102"/>
      <c r="B5928" s="536"/>
      <c r="C5928" s="521"/>
      <c r="D5928" s="525"/>
      <c r="E5928" s="390"/>
      <c r="F5928" s="22"/>
      <c r="G5928" s="22"/>
      <c r="H5928" s="458">
        <f t="shared" si="743"/>
        <v>0</v>
      </c>
      <c r="I5928" s="28"/>
      <c r="J5928" s="366"/>
      <c r="K5928" s="33"/>
    </row>
    <row r="5929" spans="1:11" s="191" customFormat="1">
      <c r="A5929" s="102"/>
      <c r="B5929" s="536"/>
      <c r="C5929" s="521"/>
      <c r="D5929" s="525"/>
      <c r="E5929" s="390"/>
      <c r="F5929" s="22"/>
      <c r="G5929" s="22"/>
      <c r="H5929" s="458">
        <f t="shared" si="743"/>
        <v>0</v>
      </c>
      <c r="I5929" s="28"/>
      <c r="J5929" s="366"/>
      <c r="K5929" s="33"/>
    </row>
    <row r="5930" spans="1:11" s="191" customFormat="1">
      <c r="A5930"/>
      <c r="B5930" s="360"/>
      <c r="C5930"/>
      <c r="D5930" s="519"/>
      <c r="E5930"/>
      <c r="F5930"/>
      <c r="G5930" s="520"/>
      <c r="H5930" s="458">
        <f t="shared" si="743"/>
        <v>0</v>
      </c>
      <c r="I5930"/>
      <c r="J5930"/>
      <c r="K5930"/>
    </row>
    <row r="5931" spans="1:11" s="191" customFormat="1">
      <c r="A5931"/>
      <c r="B5931" s="1550" t="s">
        <v>9007</v>
      </c>
      <c r="C5931"/>
      <c r="D5931" s="1551">
        <v>15</v>
      </c>
      <c r="E5931" s="390">
        <v>3</v>
      </c>
      <c r="F5931" s="22">
        <f>D5931+E5931</f>
        <v>18</v>
      </c>
      <c r="G5931" s="133" t="s">
        <v>9008</v>
      </c>
      <c r="H5931" s="458" t="str">
        <f t="shared" si="743"/>
        <v>DAF362-25</v>
      </c>
      <c r="I5931"/>
      <c r="J5931" s="366" t="s">
        <v>4001</v>
      </c>
      <c r="K5931" s="33" t="s">
        <v>741</v>
      </c>
    </row>
    <row r="5932" spans="1:11" s="191" customFormat="1">
      <c r="A5932"/>
      <c r="B5932" s="1550" t="s">
        <v>9009</v>
      </c>
      <c r="C5932"/>
      <c r="D5932" s="1551">
        <v>15</v>
      </c>
      <c r="E5932" s="390">
        <v>3</v>
      </c>
      <c r="F5932" s="22">
        <f>D5932+E5932</f>
        <v>18</v>
      </c>
      <c r="G5932" s="133" t="s">
        <v>9010</v>
      </c>
      <c r="H5932" s="458" t="str">
        <f t="shared" si="743"/>
        <v>DAF362-40</v>
      </c>
      <c r="I5932"/>
      <c r="J5932" s="366" t="s">
        <v>4001</v>
      </c>
      <c r="K5932" s="33" t="s">
        <v>741</v>
      </c>
    </row>
    <row r="5933" spans="1:11" s="191" customFormat="1">
      <c r="A5933"/>
      <c r="B5933" s="1550" t="s">
        <v>9011</v>
      </c>
      <c r="C5933"/>
      <c r="D5933" s="1551">
        <v>20</v>
      </c>
      <c r="E5933" s="390">
        <v>5</v>
      </c>
      <c r="F5933" s="22">
        <f>D5933+E5933</f>
        <v>25</v>
      </c>
      <c r="G5933" s="133" t="s">
        <v>9012</v>
      </c>
      <c r="H5933" s="458" t="str">
        <f t="shared" si="743"/>
        <v>DAF364-25</v>
      </c>
      <c r="I5933"/>
      <c r="J5933" s="366" t="s">
        <v>4001</v>
      </c>
      <c r="K5933" s="33" t="s">
        <v>741</v>
      </c>
    </row>
    <row r="5934" spans="1:11" s="191" customFormat="1">
      <c r="A5934"/>
      <c r="B5934" s="1550" t="s">
        <v>9013</v>
      </c>
      <c r="C5934"/>
      <c r="D5934" s="1551">
        <v>20</v>
      </c>
      <c r="E5934" s="390">
        <v>5</v>
      </c>
      <c r="F5934" s="22">
        <f>D5934+E5934</f>
        <v>25</v>
      </c>
      <c r="G5934" s="133" t="s">
        <v>9014</v>
      </c>
      <c r="H5934" s="458" t="str">
        <f t="shared" si="743"/>
        <v>DAF364-40</v>
      </c>
      <c r="I5934"/>
      <c r="J5934" s="366" t="s">
        <v>4001</v>
      </c>
      <c r="K5934" s="33" t="s">
        <v>741</v>
      </c>
    </row>
    <row r="5935" spans="1:11" s="191" customFormat="1">
      <c r="A5935"/>
      <c r="B5935" s="360"/>
      <c r="C5935"/>
      <c r="D5935" s="519"/>
      <c r="E5935"/>
      <c r="F5935"/>
      <c r="G5935" s="520"/>
      <c r="H5935" s="360"/>
      <c r="I5935"/>
      <c r="J5935"/>
      <c r="K5935"/>
    </row>
    <row r="5936" spans="1:11" s="191" customFormat="1">
      <c r="B5936" s="53" t="s">
        <v>11082</v>
      </c>
      <c r="C5936" s="526"/>
      <c r="D5936" s="1692"/>
      <c r="E5936" s="390"/>
      <c r="F5936" s="22"/>
      <c r="I5936" s="190"/>
    </row>
    <row r="5937" spans="1:11" s="191" customFormat="1">
      <c r="A5937" s="1465"/>
      <c r="B5937" s="54" t="s">
        <v>11083</v>
      </c>
      <c r="C5937" s="526">
        <v>10</v>
      </c>
      <c r="D5937" s="1692"/>
      <c r="E5937" s="390">
        <v>3</v>
      </c>
      <c r="F5937" s="22">
        <f>C5937+E5937</f>
        <v>13</v>
      </c>
      <c r="G5937" s="22" t="s">
        <v>11084</v>
      </c>
      <c r="I5937" s="190"/>
    </row>
    <row r="5938" spans="1:11" s="191" customFormat="1">
      <c r="A5938" s="1465"/>
      <c r="B5938" s="54" t="s">
        <v>11085</v>
      </c>
      <c r="C5938" s="526">
        <v>10</v>
      </c>
      <c r="D5938" s="1692"/>
      <c r="E5938" s="390">
        <v>3</v>
      </c>
      <c r="F5938" s="22">
        <f>C5938+E5938</f>
        <v>13</v>
      </c>
      <c r="G5938" s="22" t="s">
        <v>11086</v>
      </c>
      <c r="I5938" s="190"/>
    </row>
    <row r="5939" spans="1:11" s="191" customFormat="1">
      <c r="A5939" s="1465"/>
      <c r="B5939" s="54" t="s">
        <v>11087</v>
      </c>
      <c r="C5939" s="526">
        <v>10</v>
      </c>
      <c r="D5939" s="1692"/>
      <c r="E5939" s="390">
        <v>6</v>
      </c>
      <c r="F5939" s="22">
        <f>C5939+E5939</f>
        <v>16</v>
      </c>
      <c r="G5939" s="22" t="s">
        <v>11088</v>
      </c>
      <c r="I5939" s="190"/>
    </row>
    <row r="5940" spans="1:11" s="191" customFormat="1">
      <c r="B5940" s="54"/>
      <c r="C5940" s="526"/>
      <c r="D5940" s="1692"/>
      <c r="E5940" s="390"/>
      <c r="F5940" s="22"/>
      <c r="G5940" s="22"/>
      <c r="I5940" s="190"/>
    </row>
    <row r="5941" spans="1:11" s="191" customFormat="1">
      <c r="A5941" s="1465"/>
      <c r="B5941" s="54" t="s">
        <v>11089</v>
      </c>
      <c r="C5941" s="526">
        <v>15</v>
      </c>
      <c r="D5941" s="1692"/>
      <c r="E5941" s="390">
        <v>9</v>
      </c>
      <c r="F5941" s="22">
        <f>C5941+E5941</f>
        <v>24</v>
      </c>
      <c r="G5941" s="22" t="s">
        <v>11090</v>
      </c>
      <c r="I5941" s="190"/>
    </row>
    <row r="5942" spans="1:11" s="191" customFormat="1">
      <c r="A5942" s="1465"/>
      <c r="B5942" s="54" t="s">
        <v>11091</v>
      </c>
      <c r="C5942" s="526">
        <v>15</v>
      </c>
      <c r="D5942" s="1692"/>
      <c r="E5942" s="390">
        <v>9</v>
      </c>
      <c r="F5942" s="22">
        <f>C5942+E5942</f>
        <v>24</v>
      </c>
      <c r="G5942" s="22" t="s">
        <v>11092</v>
      </c>
      <c r="I5942" s="190"/>
    </row>
    <row r="5943" spans="1:11" s="191" customFormat="1">
      <c r="A5943" s="1465"/>
      <c r="B5943" s="54" t="s">
        <v>11093</v>
      </c>
      <c r="C5943" s="526">
        <v>15</v>
      </c>
      <c r="D5943" s="1692"/>
      <c r="E5943" s="390">
        <v>12</v>
      </c>
      <c r="F5943" s="22">
        <f>C5943+E5943</f>
        <v>27</v>
      </c>
      <c r="G5943" s="22" t="s">
        <v>11094</v>
      </c>
      <c r="I5943" s="190"/>
    </row>
    <row r="5944" spans="1:11" customFormat="1"/>
    <row r="5945" spans="1:11" s="191" customFormat="1">
      <c r="B5945" s="34"/>
      <c r="C5945" s="526"/>
      <c r="D5945" s="22"/>
      <c r="E5945" s="390"/>
      <c r="F5945" s="22"/>
      <c r="G5945" s="22"/>
      <c r="I5945" s="190"/>
    </row>
    <row r="5946" spans="1:11" customFormat="1">
      <c r="B5946" s="360"/>
      <c r="D5946" s="519"/>
      <c r="G5946" s="520"/>
    </row>
    <row r="5947" spans="1:11" s="191" customFormat="1">
      <c r="A5947" s="1465"/>
      <c r="B5947" s="26" t="s">
        <v>11095</v>
      </c>
      <c r="C5947" s="526">
        <v>300</v>
      </c>
      <c r="D5947" s="22"/>
      <c r="E5947" s="390">
        <v>15</v>
      </c>
      <c r="F5947" s="22">
        <f t="shared" ref="F5947:F5954" si="746">C5947+E5947</f>
        <v>315</v>
      </c>
      <c r="G5947" s="22" t="s">
        <v>11096</v>
      </c>
      <c r="H5947" s="26" t="s">
        <v>11095</v>
      </c>
      <c r="I5947" s="190"/>
      <c r="J5947" s="366" t="s">
        <v>4001</v>
      </c>
      <c r="K5947" s="33" t="s">
        <v>741</v>
      </c>
    </row>
    <row r="5948" spans="1:11" s="191" customFormat="1">
      <c r="A5948" s="1465"/>
      <c r="B5948" s="26" t="s">
        <v>11097</v>
      </c>
      <c r="C5948" s="526">
        <v>120</v>
      </c>
      <c r="D5948" s="22"/>
      <c r="E5948" s="390">
        <v>15</v>
      </c>
      <c r="F5948" s="22">
        <f t="shared" si="746"/>
        <v>135</v>
      </c>
      <c r="G5948" s="22" t="s">
        <v>11098</v>
      </c>
      <c r="H5948" s="26" t="s">
        <v>11097</v>
      </c>
      <c r="I5948" s="190"/>
      <c r="J5948" s="366" t="s">
        <v>4001</v>
      </c>
      <c r="K5948" s="33" t="s">
        <v>741</v>
      </c>
    </row>
    <row r="5949" spans="1:11" s="191" customFormat="1">
      <c r="A5949" s="1465"/>
      <c r="B5949" s="26" t="s">
        <v>11099</v>
      </c>
      <c r="C5949" s="526">
        <v>120</v>
      </c>
      <c r="D5949" s="22"/>
      <c r="E5949" s="390">
        <v>15</v>
      </c>
      <c r="F5949" s="22">
        <f t="shared" si="746"/>
        <v>135</v>
      </c>
      <c r="G5949" s="22" t="s">
        <v>11100</v>
      </c>
      <c r="H5949" s="26" t="s">
        <v>11099</v>
      </c>
      <c r="I5949" s="190"/>
      <c r="J5949" s="366" t="s">
        <v>4001</v>
      </c>
      <c r="K5949" s="33" t="s">
        <v>741</v>
      </c>
    </row>
    <row r="5950" spans="1:11" s="191" customFormat="1">
      <c r="A5950" s="1465"/>
      <c r="B5950" s="26" t="s">
        <v>11101</v>
      </c>
      <c r="C5950" s="526">
        <v>120</v>
      </c>
      <c r="D5950" s="22"/>
      <c r="E5950" s="390">
        <v>15</v>
      </c>
      <c r="F5950" s="22">
        <f t="shared" si="746"/>
        <v>135</v>
      </c>
      <c r="G5950" s="22" t="s">
        <v>11102</v>
      </c>
      <c r="H5950" s="26" t="s">
        <v>11101</v>
      </c>
      <c r="I5950" s="190"/>
      <c r="J5950" s="366" t="s">
        <v>4001</v>
      </c>
      <c r="K5950" s="33" t="s">
        <v>741</v>
      </c>
    </row>
    <row r="5951" spans="1:11" s="191" customFormat="1">
      <c r="A5951" s="1465"/>
      <c r="B5951" s="26" t="s">
        <v>11103</v>
      </c>
      <c r="C5951" s="526">
        <v>100</v>
      </c>
      <c r="D5951" s="22"/>
      <c r="E5951" s="390">
        <v>15</v>
      </c>
      <c r="F5951" s="22">
        <f t="shared" si="746"/>
        <v>115</v>
      </c>
      <c r="G5951" s="22" t="s">
        <v>11104</v>
      </c>
      <c r="H5951" s="26" t="s">
        <v>11103</v>
      </c>
      <c r="I5951" s="190"/>
      <c r="J5951" s="366" t="s">
        <v>4001</v>
      </c>
      <c r="K5951" s="33" t="s">
        <v>741</v>
      </c>
    </row>
    <row r="5952" spans="1:11" s="191" customFormat="1">
      <c r="A5952" s="1465"/>
      <c r="B5952" s="26" t="s">
        <v>11105</v>
      </c>
      <c r="C5952" s="526">
        <v>100</v>
      </c>
      <c r="D5952" s="22"/>
      <c r="E5952" s="390">
        <v>15</v>
      </c>
      <c r="F5952" s="22">
        <f t="shared" si="746"/>
        <v>115</v>
      </c>
      <c r="G5952" s="22" t="s">
        <v>11106</v>
      </c>
      <c r="H5952" s="26" t="s">
        <v>11105</v>
      </c>
      <c r="I5952" s="190"/>
      <c r="J5952" s="366" t="s">
        <v>4001</v>
      </c>
      <c r="K5952" s="33" t="s">
        <v>741</v>
      </c>
    </row>
    <row r="5953" spans="1:11" s="191" customFormat="1">
      <c r="A5953" s="1465"/>
      <c r="B5953" s="26" t="s">
        <v>11107</v>
      </c>
      <c r="C5953" s="526">
        <v>100</v>
      </c>
      <c r="D5953" s="22"/>
      <c r="E5953" s="390">
        <v>15</v>
      </c>
      <c r="F5953" s="22">
        <f t="shared" si="746"/>
        <v>115</v>
      </c>
      <c r="G5953" s="22" t="s">
        <v>11108</v>
      </c>
      <c r="H5953" s="26" t="s">
        <v>11107</v>
      </c>
      <c r="I5953" s="190"/>
      <c r="J5953" s="366" t="s">
        <v>4001</v>
      </c>
      <c r="K5953" s="33" t="s">
        <v>741</v>
      </c>
    </row>
    <row r="5954" spans="1:11" s="191" customFormat="1">
      <c r="A5954" s="1465"/>
      <c r="B5954" s="26" t="s">
        <v>11109</v>
      </c>
      <c r="C5954" s="526">
        <v>100</v>
      </c>
      <c r="D5954" s="22"/>
      <c r="E5954" s="390">
        <v>15</v>
      </c>
      <c r="F5954" s="22">
        <f t="shared" si="746"/>
        <v>115</v>
      </c>
      <c r="G5954" s="22" t="s">
        <v>11110</v>
      </c>
      <c r="H5954" s="26" t="s">
        <v>11109</v>
      </c>
      <c r="I5954" s="190"/>
      <c r="J5954" s="366" t="s">
        <v>4001</v>
      </c>
      <c r="K5954" s="33" t="s">
        <v>741</v>
      </c>
    </row>
    <row r="5955" spans="1:11" customFormat="1">
      <c r="B5955" s="360"/>
      <c r="D5955" s="519"/>
      <c r="G5955" s="520"/>
      <c r="H5955" s="360"/>
    </row>
    <row r="5956" spans="1:11" s="191" customFormat="1">
      <c r="A5956" s="1465"/>
      <c r="B5956" s="26" t="s">
        <v>11111</v>
      </c>
      <c r="C5956" s="526">
        <v>160</v>
      </c>
      <c r="D5956" s="22"/>
      <c r="E5956" s="390">
        <v>15</v>
      </c>
      <c r="F5956" s="22">
        <f>C5956+E5956</f>
        <v>175</v>
      </c>
      <c r="G5956" s="22" t="s">
        <v>11112</v>
      </c>
      <c r="H5956" s="26" t="s">
        <v>11111</v>
      </c>
      <c r="I5956" s="190"/>
      <c r="J5956" s="366" t="s">
        <v>4001</v>
      </c>
      <c r="K5956" s="33" t="s">
        <v>741</v>
      </c>
    </row>
    <row r="5957" spans="1:11" s="191" customFormat="1">
      <c r="A5957" s="1465"/>
      <c r="B5957" s="26" t="s">
        <v>11113</v>
      </c>
      <c r="C5957" s="526">
        <v>160</v>
      </c>
      <c r="D5957" s="22"/>
      <c r="E5957" s="390">
        <v>15</v>
      </c>
      <c r="F5957" s="22">
        <f>C5957+E5957</f>
        <v>175</v>
      </c>
      <c r="G5957" s="22" t="s">
        <v>11114</v>
      </c>
      <c r="H5957" s="26" t="s">
        <v>11113</v>
      </c>
      <c r="I5957" s="190"/>
      <c r="J5957" s="366" t="s">
        <v>4001</v>
      </c>
      <c r="K5957" s="33" t="s">
        <v>741</v>
      </c>
    </row>
    <row r="5958" spans="1:11" customFormat="1">
      <c r="B5958" s="360"/>
      <c r="D5958" s="519"/>
      <c r="G5958" s="520"/>
      <c r="H5958" s="360"/>
    </row>
    <row r="5959" spans="1:11" customFormat="1">
      <c r="B5959" s="360"/>
      <c r="D5959" s="519"/>
      <c r="G5959" s="520"/>
      <c r="H5959" s="360"/>
    </row>
    <row r="5960" spans="1:11" customFormat="1" ht="28.2">
      <c r="B5960" s="1343" t="s">
        <v>1935</v>
      </c>
      <c r="D5960" s="519"/>
      <c r="G5960" s="520"/>
      <c r="H5960" s="360"/>
    </row>
    <row r="5961" spans="1:11" customFormat="1">
      <c r="B5961" s="360"/>
      <c r="D5961" s="519"/>
      <c r="G5961" s="520"/>
      <c r="H5961" s="360"/>
    </row>
    <row r="5962" spans="1:11" customFormat="1">
      <c r="B5962" s="360"/>
      <c r="C5962" s="521"/>
      <c r="D5962" s="525"/>
      <c r="G5962" s="520"/>
      <c r="H5962" s="360"/>
    </row>
    <row r="5963" spans="1:11" customFormat="1">
      <c r="A5963" s="191"/>
      <c r="B5963" s="53" t="s">
        <v>10064</v>
      </c>
      <c r="C5963" s="521"/>
      <c r="D5963" s="230"/>
      <c r="E5963" s="522"/>
      <c r="F5963" s="192"/>
      <c r="G5963" s="191"/>
      <c r="H5963" s="1675"/>
      <c r="I5963" s="190"/>
      <c r="J5963" s="191"/>
      <c r="K5963" s="191"/>
    </row>
    <row r="5964" spans="1:11" customFormat="1">
      <c r="A5964" s="523"/>
      <c r="B5964" s="524" t="s">
        <v>13966</v>
      </c>
      <c r="C5964" s="521">
        <v>17</v>
      </c>
      <c r="D5964" s="230">
        <f t="shared" ref="D5964:D5989" si="747">C5964*(1-VLOOKUP(I5964,descuentos,6,FALSE))*fcl/IF(dol_sol="dólar", TC,1)</f>
        <v>11.533242876526458</v>
      </c>
      <c r="E5964" s="163"/>
      <c r="F5964" s="22">
        <f t="shared" ref="F5964" si="748">D5964+E5964</f>
        <v>11.533242876526458</v>
      </c>
      <c r="G5964" s="22" t="s">
        <v>10974</v>
      </c>
      <c r="H5964" s="458" t="str">
        <f t="shared" ref="H5964:H5989" si="749">B5964</f>
        <v>5SL6110-7MB</v>
      </c>
      <c r="I5964" s="1690" t="s">
        <v>10969</v>
      </c>
      <c r="J5964" s="366" t="s">
        <v>1935</v>
      </c>
      <c r="K5964" s="33" t="s">
        <v>741</v>
      </c>
    </row>
    <row r="5965" spans="1:11" customFormat="1">
      <c r="A5965" s="523"/>
      <c r="B5965" s="524" t="s">
        <v>13967</v>
      </c>
      <c r="C5965" s="521">
        <v>17</v>
      </c>
      <c r="D5965" s="230">
        <f t="shared" si="747"/>
        <v>11.533242876526458</v>
      </c>
      <c r="E5965" s="163"/>
      <c r="F5965" s="22">
        <f>D5965+E5965</f>
        <v>11.533242876526458</v>
      </c>
      <c r="G5965" s="22" t="s">
        <v>10975</v>
      </c>
      <c r="H5965" s="458" t="str">
        <f t="shared" si="749"/>
        <v>5SL6116-7MB</v>
      </c>
      <c r="I5965" s="1690" t="s">
        <v>10969</v>
      </c>
      <c r="J5965" s="366" t="s">
        <v>1935</v>
      </c>
      <c r="K5965" s="33" t="s">
        <v>741</v>
      </c>
    </row>
    <row r="5966" spans="1:11" customFormat="1">
      <c r="A5966" s="523"/>
      <c r="B5966" s="524" t="s">
        <v>13968</v>
      </c>
      <c r="C5966" s="521">
        <v>17</v>
      </c>
      <c r="D5966" s="230">
        <f t="shared" si="747"/>
        <v>11.533242876526458</v>
      </c>
      <c r="E5966" s="163"/>
      <c r="F5966" s="22">
        <f>D5966+E5966</f>
        <v>11.533242876526458</v>
      </c>
      <c r="G5966" s="22" t="s">
        <v>10976</v>
      </c>
      <c r="H5966" s="458" t="str">
        <f t="shared" si="749"/>
        <v>5SL6120-7MB</v>
      </c>
      <c r="I5966" s="1690" t="s">
        <v>10969</v>
      </c>
      <c r="J5966" s="366" t="s">
        <v>1935</v>
      </c>
      <c r="K5966" s="33" t="s">
        <v>741</v>
      </c>
    </row>
    <row r="5967" spans="1:11" customFormat="1">
      <c r="A5967" s="523"/>
      <c r="B5967" s="524" t="s">
        <v>13969</v>
      </c>
      <c r="C5967" s="521">
        <v>17</v>
      </c>
      <c r="D5967" s="230">
        <f t="shared" si="747"/>
        <v>11.533242876526458</v>
      </c>
      <c r="E5967" s="163"/>
      <c r="F5967" s="22">
        <f t="shared" ref="F5967" si="750">D5967+E5967</f>
        <v>11.533242876526458</v>
      </c>
      <c r="G5967" s="22" t="s">
        <v>10977</v>
      </c>
      <c r="H5967" s="458" t="str">
        <f t="shared" si="749"/>
        <v>5SL6125-7MB</v>
      </c>
      <c r="I5967" s="1690" t="s">
        <v>10969</v>
      </c>
      <c r="J5967" s="366" t="s">
        <v>1935</v>
      </c>
      <c r="K5967" s="33" t="s">
        <v>741</v>
      </c>
    </row>
    <row r="5968" spans="1:11" customFormat="1">
      <c r="A5968" s="523"/>
      <c r="B5968" s="524" t="s">
        <v>13970</v>
      </c>
      <c r="C5968" s="521">
        <v>17</v>
      </c>
      <c r="D5968" s="230">
        <f t="shared" si="747"/>
        <v>11.533242876526458</v>
      </c>
      <c r="E5968" s="163"/>
      <c r="F5968" s="22">
        <f>D5968+E5968</f>
        <v>11.533242876526458</v>
      </c>
      <c r="G5968" s="22" t="s">
        <v>10978</v>
      </c>
      <c r="H5968" s="458" t="str">
        <f t="shared" si="749"/>
        <v>5SL6132-7MB</v>
      </c>
      <c r="I5968" s="1690" t="s">
        <v>10969</v>
      </c>
      <c r="J5968" s="366" t="s">
        <v>1935</v>
      </c>
      <c r="K5968" s="33" t="s">
        <v>741</v>
      </c>
    </row>
    <row r="5969" spans="1:11" s="191" customFormat="1">
      <c r="A5969" s="523"/>
      <c r="B5969" s="524" t="s">
        <v>13971</v>
      </c>
      <c r="C5969" s="521">
        <v>20</v>
      </c>
      <c r="D5969" s="230">
        <f t="shared" si="747"/>
        <v>13.568521031207597</v>
      </c>
      <c r="E5969" s="163"/>
      <c r="F5969" s="22">
        <f t="shared" ref="F5969:F5971" si="751">D5969+E5969</f>
        <v>13.568521031207597</v>
      </c>
      <c r="G5969" s="22" t="s">
        <v>10979</v>
      </c>
      <c r="H5969" s="458" t="str">
        <f t="shared" si="749"/>
        <v>5SL6140-7MB</v>
      </c>
      <c r="I5969" s="1690" t="s">
        <v>10969</v>
      </c>
      <c r="J5969" s="366" t="s">
        <v>1935</v>
      </c>
      <c r="K5969" s="33" t="s">
        <v>741</v>
      </c>
    </row>
    <row r="5970" spans="1:11" s="191" customFormat="1">
      <c r="A5970" s="523"/>
      <c r="B5970" s="524" t="s">
        <v>13972</v>
      </c>
      <c r="C5970" s="521">
        <v>19</v>
      </c>
      <c r="D5970" s="230">
        <f t="shared" si="747"/>
        <v>12.890094979647218</v>
      </c>
      <c r="E5970" s="163"/>
      <c r="F5970" s="22">
        <f t="shared" si="751"/>
        <v>12.890094979647218</v>
      </c>
      <c r="G5970" s="22" t="s">
        <v>10980</v>
      </c>
      <c r="H5970" s="458" t="str">
        <f t="shared" si="749"/>
        <v>5SL6150-7MB</v>
      </c>
      <c r="I5970" s="1690" t="s">
        <v>10969</v>
      </c>
      <c r="J5970" s="366" t="s">
        <v>1935</v>
      </c>
      <c r="K5970" s="33" t="s">
        <v>741</v>
      </c>
    </row>
    <row r="5971" spans="1:11" s="191" customFormat="1">
      <c r="A5971" s="523"/>
      <c r="B5971" s="524" t="s">
        <v>13973</v>
      </c>
      <c r="C5971" s="521">
        <v>19</v>
      </c>
      <c r="D5971" s="230">
        <f t="shared" si="747"/>
        <v>12.890094979647218</v>
      </c>
      <c r="E5971" s="163"/>
      <c r="F5971" s="22">
        <f t="shared" si="751"/>
        <v>12.890094979647218</v>
      </c>
      <c r="G5971" s="22" t="s">
        <v>10981</v>
      </c>
      <c r="H5971" s="458" t="str">
        <f t="shared" si="749"/>
        <v>5SL6163-7MB</v>
      </c>
      <c r="I5971" s="1690" t="s">
        <v>10969</v>
      </c>
      <c r="J5971" s="366" t="s">
        <v>1935</v>
      </c>
      <c r="K5971" s="33" t="s">
        <v>741</v>
      </c>
    </row>
    <row r="5972" spans="1:11" s="191" customFormat="1">
      <c r="A5972" s="523"/>
      <c r="B5972" s="524"/>
      <c r="C5972" s="521"/>
      <c r="D5972" s="525"/>
      <c r="E5972" s="163"/>
      <c r="F5972" s="22"/>
      <c r="G5972" s="22"/>
      <c r="H5972" s="458"/>
      <c r="I5972" s="1690"/>
      <c r="J5972" s="366"/>
      <c r="K5972" s="33"/>
    </row>
    <row r="5973" spans="1:11" s="191" customFormat="1">
      <c r="A5973" s="523"/>
      <c r="B5973" s="524" t="s">
        <v>13974</v>
      </c>
      <c r="C5973" s="521">
        <v>33</v>
      </c>
      <c r="D5973" s="230">
        <f t="shared" si="747"/>
        <v>22.388059701492534</v>
      </c>
      <c r="E5973" s="163"/>
      <c r="F5973" s="22">
        <f t="shared" ref="F5973:F5980" si="752">D5973+E5973</f>
        <v>22.388059701492534</v>
      </c>
      <c r="G5973" s="22" t="s">
        <v>10982</v>
      </c>
      <c r="H5973" s="458" t="str">
        <f t="shared" si="749"/>
        <v>5SL6210-7MB</v>
      </c>
      <c r="I5973" s="1690" t="s">
        <v>10969</v>
      </c>
      <c r="J5973" s="366" t="s">
        <v>1935</v>
      </c>
      <c r="K5973" s="33" t="s">
        <v>741</v>
      </c>
    </row>
    <row r="5974" spans="1:11" s="191" customFormat="1">
      <c r="A5974" s="523"/>
      <c r="B5974" s="524" t="s">
        <v>13975</v>
      </c>
      <c r="C5974" s="521">
        <v>29</v>
      </c>
      <c r="D5974" s="230">
        <f t="shared" si="747"/>
        <v>19.674355495251017</v>
      </c>
      <c r="E5974" s="163"/>
      <c r="F5974" s="22">
        <f t="shared" si="752"/>
        <v>19.674355495251017</v>
      </c>
      <c r="G5974" s="22" t="s">
        <v>10983</v>
      </c>
      <c r="H5974" s="458" t="str">
        <f t="shared" si="749"/>
        <v>5SL6216-7MB</v>
      </c>
      <c r="I5974" s="1690" t="s">
        <v>10969</v>
      </c>
      <c r="J5974" s="366" t="s">
        <v>1935</v>
      </c>
      <c r="K5974" s="33" t="s">
        <v>741</v>
      </c>
    </row>
    <row r="5975" spans="1:11" s="191" customFormat="1">
      <c r="A5975" s="523"/>
      <c r="B5975" s="524" t="s">
        <v>13976</v>
      </c>
      <c r="C5975" s="521">
        <v>29</v>
      </c>
      <c r="D5975" s="230">
        <f t="shared" si="747"/>
        <v>19.674355495251017</v>
      </c>
      <c r="E5975" s="163"/>
      <c r="F5975" s="22">
        <f t="shared" si="752"/>
        <v>19.674355495251017</v>
      </c>
      <c r="G5975" s="22" t="s">
        <v>10984</v>
      </c>
      <c r="H5975" s="458" t="str">
        <f t="shared" si="749"/>
        <v>5SL6220-7MB</v>
      </c>
      <c r="I5975" s="1690" t="s">
        <v>10969</v>
      </c>
      <c r="J5975" s="366" t="s">
        <v>1935</v>
      </c>
      <c r="K5975" s="33" t="s">
        <v>741</v>
      </c>
    </row>
    <row r="5976" spans="1:11" s="191" customFormat="1">
      <c r="A5976" s="523"/>
      <c r="B5976" s="524" t="s">
        <v>13977</v>
      </c>
      <c r="C5976" s="521">
        <v>32</v>
      </c>
      <c r="D5976" s="230">
        <f t="shared" si="747"/>
        <v>21.709633649932154</v>
      </c>
      <c r="E5976" s="163"/>
      <c r="F5976" s="22">
        <f t="shared" si="752"/>
        <v>21.709633649932154</v>
      </c>
      <c r="G5976" s="22" t="s">
        <v>10985</v>
      </c>
      <c r="H5976" s="458" t="str">
        <f t="shared" si="749"/>
        <v>5SL6225-7MB</v>
      </c>
      <c r="I5976" s="1690" t="s">
        <v>10969</v>
      </c>
      <c r="J5976" s="366" t="s">
        <v>1935</v>
      </c>
      <c r="K5976" s="33" t="s">
        <v>741</v>
      </c>
    </row>
    <row r="5977" spans="1:11" s="191" customFormat="1">
      <c r="A5977" s="523"/>
      <c r="B5977" s="524" t="s">
        <v>13978</v>
      </c>
      <c r="C5977" s="521">
        <v>32</v>
      </c>
      <c r="D5977" s="230">
        <f t="shared" si="747"/>
        <v>21.709633649932154</v>
      </c>
      <c r="E5977" s="163"/>
      <c r="F5977" s="22">
        <f t="shared" si="752"/>
        <v>21.709633649932154</v>
      </c>
      <c r="G5977" s="22" t="s">
        <v>10986</v>
      </c>
      <c r="H5977" s="458" t="str">
        <f t="shared" si="749"/>
        <v>5SL6232-7MB</v>
      </c>
      <c r="I5977" s="1690" t="s">
        <v>10969</v>
      </c>
      <c r="J5977" s="366" t="s">
        <v>1935</v>
      </c>
      <c r="K5977" s="33" t="s">
        <v>741</v>
      </c>
    </row>
    <row r="5978" spans="1:11" s="191" customFormat="1">
      <c r="A5978" s="523"/>
      <c r="B5978" s="524" t="s">
        <v>13979</v>
      </c>
      <c r="C5978" s="521">
        <v>35</v>
      </c>
      <c r="D5978" s="230">
        <f t="shared" si="747"/>
        <v>23.744911804613292</v>
      </c>
      <c r="E5978" s="163"/>
      <c r="F5978" s="22">
        <f t="shared" si="752"/>
        <v>23.744911804613292</v>
      </c>
      <c r="G5978" s="22" t="s">
        <v>10987</v>
      </c>
      <c r="H5978" s="458" t="str">
        <f t="shared" si="749"/>
        <v>5SL6240-7MB</v>
      </c>
      <c r="I5978" s="1690" t="s">
        <v>10969</v>
      </c>
      <c r="J5978" s="366" t="s">
        <v>1935</v>
      </c>
      <c r="K5978" s="33" t="s">
        <v>741</v>
      </c>
    </row>
    <row r="5979" spans="1:11" s="191" customFormat="1">
      <c r="A5979" s="523"/>
      <c r="B5979" s="524" t="s">
        <v>13980</v>
      </c>
      <c r="C5979" s="521">
        <v>41</v>
      </c>
      <c r="D5979" s="230">
        <f t="shared" si="747"/>
        <v>27.815468113975573</v>
      </c>
      <c r="E5979" s="163"/>
      <c r="F5979" s="22">
        <f t="shared" si="752"/>
        <v>27.815468113975573</v>
      </c>
      <c r="G5979" s="22" t="s">
        <v>10988</v>
      </c>
      <c r="H5979" s="458" t="str">
        <f t="shared" si="749"/>
        <v>5SL6250-7MB</v>
      </c>
      <c r="I5979" s="1690" t="s">
        <v>10969</v>
      </c>
      <c r="J5979" s="366" t="s">
        <v>1935</v>
      </c>
      <c r="K5979" s="33" t="s">
        <v>741</v>
      </c>
    </row>
    <row r="5980" spans="1:11" s="191" customFormat="1">
      <c r="A5980" s="523"/>
      <c r="B5980" s="524" t="s">
        <v>13981</v>
      </c>
      <c r="C5980" s="521">
        <v>40</v>
      </c>
      <c r="D5980" s="230">
        <f t="shared" si="747"/>
        <v>27.137042062415194</v>
      </c>
      <c r="E5980" s="163"/>
      <c r="F5980" s="22">
        <f t="shared" si="752"/>
        <v>27.137042062415194</v>
      </c>
      <c r="G5980" s="22" t="s">
        <v>10989</v>
      </c>
      <c r="H5980" s="458" t="str">
        <f t="shared" si="749"/>
        <v>5SL6263-7MB</v>
      </c>
      <c r="I5980" s="1690" t="s">
        <v>10969</v>
      </c>
      <c r="J5980" s="366" t="s">
        <v>1935</v>
      </c>
      <c r="K5980" s="33" t="s">
        <v>741</v>
      </c>
    </row>
    <row r="5981" spans="1:11" s="191" customFormat="1">
      <c r="A5981" s="523"/>
      <c r="B5981" s="524"/>
      <c r="C5981" s="521"/>
      <c r="D5981" s="525"/>
      <c r="E5981" s="390"/>
      <c r="F5981" s="22"/>
      <c r="G5981" s="22"/>
      <c r="H5981" s="458"/>
      <c r="I5981" s="1690"/>
      <c r="J5981" s="366"/>
      <c r="K5981" s="33"/>
    </row>
    <row r="5982" spans="1:11" s="191" customFormat="1">
      <c r="A5982" s="523"/>
      <c r="B5982" s="524" t="s">
        <v>13982</v>
      </c>
      <c r="C5982" s="521">
        <v>63</v>
      </c>
      <c r="D5982" s="230">
        <f t="shared" si="747"/>
        <v>42.74084124830393</v>
      </c>
      <c r="E5982" s="163"/>
      <c r="F5982" s="22">
        <f>D5982+E5982</f>
        <v>42.74084124830393</v>
      </c>
      <c r="G5982" s="22" t="s">
        <v>10990</v>
      </c>
      <c r="H5982" s="458" t="str">
        <f t="shared" si="749"/>
        <v>5SL6310-7MB</v>
      </c>
      <c r="I5982" s="1690" t="s">
        <v>10969</v>
      </c>
      <c r="J5982" s="366" t="s">
        <v>1935</v>
      </c>
      <c r="K5982" s="33" t="s">
        <v>741</v>
      </c>
    </row>
    <row r="5983" spans="1:11" s="191" customFormat="1">
      <c r="A5983" s="523"/>
      <c r="B5983" s="524" t="s">
        <v>13983</v>
      </c>
      <c r="C5983" s="521">
        <v>63</v>
      </c>
      <c r="D5983" s="230">
        <f t="shared" si="747"/>
        <v>42.74084124830393</v>
      </c>
      <c r="E5983" s="163"/>
      <c r="F5983" s="22">
        <f t="shared" ref="F5983" si="753">D5983+E5983</f>
        <v>42.74084124830393</v>
      </c>
      <c r="G5983" s="22" t="s">
        <v>10991</v>
      </c>
      <c r="H5983" s="458" t="str">
        <f t="shared" si="749"/>
        <v>5SL6316-7MB</v>
      </c>
      <c r="I5983" s="1690" t="s">
        <v>10969</v>
      </c>
      <c r="J5983" s="366" t="s">
        <v>1935</v>
      </c>
      <c r="K5983" s="33" t="s">
        <v>741</v>
      </c>
    </row>
    <row r="5984" spans="1:11" s="191" customFormat="1">
      <c r="A5984" s="523"/>
      <c r="B5984" s="524" t="s">
        <v>13984</v>
      </c>
      <c r="C5984" s="521">
        <v>63</v>
      </c>
      <c r="D5984" s="230">
        <f t="shared" si="747"/>
        <v>42.74084124830393</v>
      </c>
      <c r="E5984" s="163"/>
      <c r="F5984" s="22">
        <f>D5984+E5984</f>
        <v>42.74084124830393</v>
      </c>
      <c r="G5984" s="22" t="s">
        <v>10992</v>
      </c>
      <c r="H5984" s="458" t="str">
        <f t="shared" si="749"/>
        <v>5SL6320-7MB</v>
      </c>
      <c r="I5984" s="1690" t="s">
        <v>10969</v>
      </c>
      <c r="J5984" s="366" t="s">
        <v>1935</v>
      </c>
      <c r="K5984" s="33" t="s">
        <v>741</v>
      </c>
    </row>
    <row r="5985" spans="1:11" s="191" customFormat="1">
      <c r="A5985" s="523"/>
      <c r="B5985" s="524" t="s">
        <v>13985</v>
      </c>
      <c r="C5985" s="521">
        <v>63</v>
      </c>
      <c r="D5985" s="230">
        <f t="shared" si="747"/>
        <v>42.74084124830393</v>
      </c>
      <c r="E5985" s="163"/>
      <c r="F5985" s="22">
        <f t="shared" ref="F5985" si="754">D5985+E5985</f>
        <v>42.74084124830393</v>
      </c>
      <c r="G5985" s="22" t="s">
        <v>10993</v>
      </c>
      <c r="H5985" s="458" t="str">
        <f t="shared" si="749"/>
        <v>5SL6325-7MB</v>
      </c>
      <c r="I5985" s="1690" t="s">
        <v>10969</v>
      </c>
      <c r="J5985" s="366" t="s">
        <v>1935</v>
      </c>
      <c r="K5985" s="33" t="s">
        <v>741</v>
      </c>
    </row>
    <row r="5986" spans="1:11" s="191" customFormat="1">
      <c r="A5986" s="523"/>
      <c r="B5986" s="524" t="s">
        <v>13986</v>
      </c>
      <c r="C5986" s="521">
        <v>66</v>
      </c>
      <c r="D5986" s="230">
        <f t="shared" si="747"/>
        <v>44.776119402985067</v>
      </c>
      <c r="E5986" s="163"/>
      <c r="F5986" s="22">
        <f>D5986+E5986</f>
        <v>44.776119402985067</v>
      </c>
      <c r="G5986" s="22" t="s">
        <v>10994</v>
      </c>
      <c r="H5986" s="458" t="str">
        <f t="shared" si="749"/>
        <v>5SL6332-7MB</v>
      </c>
      <c r="I5986" s="1690" t="s">
        <v>10969</v>
      </c>
      <c r="J5986" s="366" t="s">
        <v>1935</v>
      </c>
      <c r="K5986" s="33" t="s">
        <v>741</v>
      </c>
    </row>
    <row r="5987" spans="1:11" s="191" customFormat="1">
      <c r="A5987" s="523"/>
      <c r="B5987" s="524" t="s">
        <v>13987</v>
      </c>
      <c r="C5987" s="521">
        <v>70</v>
      </c>
      <c r="D5987" s="230">
        <f t="shared" si="747"/>
        <v>47.489823609226583</v>
      </c>
      <c r="E5987" s="163"/>
      <c r="F5987" s="22">
        <f t="shared" ref="F5987" si="755">D5987+E5987</f>
        <v>47.489823609226583</v>
      </c>
      <c r="G5987" s="22" t="s">
        <v>10995</v>
      </c>
      <c r="H5987" s="458" t="str">
        <f t="shared" si="749"/>
        <v>5SL6340-7MB</v>
      </c>
      <c r="I5987" s="1690" t="s">
        <v>10969</v>
      </c>
      <c r="J5987" s="366" t="s">
        <v>1935</v>
      </c>
      <c r="K5987" s="33" t="s">
        <v>741</v>
      </c>
    </row>
    <row r="5988" spans="1:11" s="191" customFormat="1">
      <c r="A5988" s="523"/>
      <c r="B5988" s="524" t="s">
        <v>13988</v>
      </c>
      <c r="C5988" s="521">
        <v>70</v>
      </c>
      <c r="D5988" s="230">
        <f t="shared" si="747"/>
        <v>47.489823609226583</v>
      </c>
      <c r="E5988" s="163"/>
      <c r="F5988" s="22">
        <f>D5988+E5988</f>
        <v>47.489823609226583</v>
      </c>
      <c r="G5988" s="22" t="s">
        <v>10996</v>
      </c>
      <c r="H5988" s="458" t="str">
        <f t="shared" si="749"/>
        <v>5SL6350-7MB</v>
      </c>
      <c r="I5988" s="1690" t="s">
        <v>10969</v>
      </c>
      <c r="J5988" s="366" t="s">
        <v>1935</v>
      </c>
      <c r="K5988" s="33" t="s">
        <v>741</v>
      </c>
    </row>
    <row r="5989" spans="1:11" s="191" customFormat="1">
      <c r="A5989" s="523"/>
      <c r="B5989" s="524" t="s">
        <v>13989</v>
      </c>
      <c r="C5989" s="521">
        <v>70</v>
      </c>
      <c r="D5989" s="230">
        <f t="shared" si="747"/>
        <v>47.489823609226583</v>
      </c>
      <c r="E5989" s="163"/>
      <c r="F5989" s="22">
        <f>D5989+E5989</f>
        <v>47.489823609226583</v>
      </c>
      <c r="G5989" s="22" t="s">
        <v>10997</v>
      </c>
      <c r="H5989" s="458" t="str">
        <f t="shared" si="749"/>
        <v>5SL6363-7MB</v>
      </c>
      <c r="I5989" s="1690" t="s">
        <v>10969</v>
      </c>
      <c r="J5989" s="366" t="s">
        <v>1935</v>
      </c>
      <c r="K5989" s="33" t="s">
        <v>741</v>
      </c>
    </row>
    <row r="5990" spans="1:11" s="191" customFormat="1">
      <c r="A5990" s="19"/>
      <c r="B5990" s="135"/>
      <c r="C5990" s="521"/>
      <c r="D5990" s="525"/>
      <c r="E5990" s="390"/>
      <c r="F5990" s="22"/>
      <c r="G5990" s="136"/>
      <c r="H5990" s="458"/>
      <c r="I5990" s="1690"/>
      <c r="J5990" s="366"/>
      <c r="K5990" s="33"/>
    </row>
    <row r="5991" spans="1:11" s="191" customFormat="1">
      <c r="A5991" s="19"/>
      <c r="B5991" s="19"/>
      <c r="C5991" s="521"/>
      <c r="D5991" s="525"/>
      <c r="E5991" s="390"/>
      <c r="F5991" s="22"/>
      <c r="G5991" s="19"/>
      <c r="H5991" s="458"/>
      <c r="I5991" s="1690"/>
      <c r="J5991" s="366"/>
      <c r="K5991" s="33"/>
    </row>
    <row r="5992" spans="1:11" s="191" customFormat="1">
      <c r="A5992"/>
      <c r="B5992"/>
      <c r="C5992" s="521"/>
      <c r="D5992" s="525"/>
      <c r="E5992" s="535"/>
      <c r="F5992" s="535"/>
      <c r="G5992"/>
      <c r="H5992" s="458"/>
      <c r="I5992" s="1690"/>
      <c r="J5992" s="366"/>
      <c r="K5992" s="33"/>
    </row>
    <row r="5993" spans="1:11" customFormat="1">
      <c r="A5993" s="191"/>
      <c r="B5993" s="53" t="s">
        <v>1955</v>
      </c>
      <c r="C5993" s="521"/>
      <c r="D5993" s="525"/>
      <c r="E5993" s="522"/>
      <c r="F5993" s="192"/>
      <c r="G5993" s="191"/>
      <c r="H5993" s="1675"/>
      <c r="I5993" s="1690" t="s">
        <v>10969</v>
      </c>
      <c r="J5993" s="191"/>
      <c r="K5993" s="191"/>
    </row>
    <row r="5994" spans="1:11" customFormat="1">
      <c r="A5994" s="523"/>
      <c r="B5994" s="524" t="s">
        <v>13990</v>
      </c>
      <c r="C5994" s="521">
        <v>22</v>
      </c>
      <c r="D5994" s="230">
        <f t="shared" ref="D5994:D6019" si="756">C5994*(1-VLOOKUP(I5994,descuentos,6,FALSE))*fcl/IF(dol_sol="dólar", TC,1)</f>
        <v>14.925373134328355</v>
      </c>
      <c r="E5994" s="163"/>
      <c r="F5994" s="22">
        <f t="shared" ref="F5994" si="757">D5994+E5994</f>
        <v>14.925373134328355</v>
      </c>
      <c r="G5994" s="22" t="s">
        <v>10065</v>
      </c>
      <c r="H5994" s="458" t="str">
        <f t="shared" ref="H5994:H6063" si="758">B5994</f>
        <v>5SL4110-7RC</v>
      </c>
      <c r="I5994" s="1690" t="s">
        <v>10969</v>
      </c>
      <c r="J5994" s="366" t="s">
        <v>1935</v>
      </c>
      <c r="K5994" s="33" t="s">
        <v>741</v>
      </c>
    </row>
    <row r="5995" spans="1:11" customFormat="1">
      <c r="A5995" s="523"/>
      <c r="B5995" s="524" t="s">
        <v>13991</v>
      </c>
      <c r="C5995" s="521">
        <v>22</v>
      </c>
      <c r="D5995" s="230">
        <f t="shared" si="756"/>
        <v>14.925373134328355</v>
      </c>
      <c r="E5995" s="163"/>
      <c r="F5995" s="22">
        <f>D5995+E5995</f>
        <v>14.925373134328355</v>
      </c>
      <c r="G5995" s="22" t="s">
        <v>10066</v>
      </c>
      <c r="H5995" s="458" t="str">
        <f t="shared" si="758"/>
        <v>5SL4116-7RC</v>
      </c>
      <c r="I5995" s="1690" t="s">
        <v>10969</v>
      </c>
      <c r="J5995" s="366" t="s">
        <v>1935</v>
      </c>
      <c r="K5995" s="33" t="s">
        <v>741</v>
      </c>
    </row>
    <row r="5996" spans="1:11" customFormat="1">
      <c r="A5996" s="523"/>
      <c r="B5996" s="524" t="s">
        <v>13992</v>
      </c>
      <c r="C5996" s="521">
        <v>22</v>
      </c>
      <c r="D5996" s="230">
        <f t="shared" si="756"/>
        <v>14.925373134328355</v>
      </c>
      <c r="F5996" s="22">
        <f>D5996+E5996</f>
        <v>14.925373134328355</v>
      </c>
      <c r="G5996" s="22" t="s">
        <v>10067</v>
      </c>
      <c r="H5996" s="458" t="str">
        <f t="shared" si="758"/>
        <v>5SL4120-7RC</v>
      </c>
      <c r="I5996" s="1690" t="s">
        <v>10969</v>
      </c>
      <c r="J5996" s="366" t="s">
        <v>1935</v>
      </c>
      <c r="K5996" s="33" t="s">
        <v>741</v>
      </c>
    </row>
    <row r="5997" spans="1:11" customFormat="1">
      <c r="A5997" s="523"/>
      <c r="B5997" s="524" t="s">
        <v>13993</v>
      </c>
      <c r="C5997" s="521">
        <v>22</v>
      </c>
      <c r="D5997" s="230">
        <f t="shared" si="756"/>
        <v>14.925373134328355</v>
      </c>
      <c r="F5997" s="22">
        <f t="shared" ref="F5997" si="759">D5997+E5997</f>
        <v>14.925373134328355</v>
      </c>
      <c r="G5997" s="22" t="s">
        <v>10068</v>
      </c>
      <c r="H5997" s="458" t="str">
        <f t="shared" si="758"/>
        <v>5SL4125-7RC</v>
      </c>
      <c r="I5997" s="1690" t="s">
        <v>10969</v>
      </c>
      <c r="J5997" s="366" t="s">
        <v>1935</v>
      </c>
      <c r="K5997" s="33" t="s">
        <v>741</v>
      </c>
    </row>
    <row r="5998" spans="1:11" customFormat="1">
      <c r="A5998" s="523"/>
      <c r="B5998" s="524" t="s">
        <v>13994</v>
      </c>
      <c r="C5998" s="521">
        <v>22</v>
      </c>
      <c r="D5998" s="230">
        <f t="shared" si="756"/>
        <v>14.925373134328355</v>
      </c>
      <c r="E5998" s="522"/>
      <c r="F5998" s="22">
        <f>D5998+E5998</f>
        <v>14.925373134328355</v>
      </c>
      <c r="G5998" s="22" t="s">
        <v>10069</v>
      </c>
      <c r="H5998" s="458" t="str">
        <f t="shared" si="758"/>
        <v>5SL4132-7RC</v>
      </c>
      <c r="I5998" s="1690" t="s">
        <v>10969</v>
      </c>
      <c r="J5998" s="366" t="s">
        <v>1935</v>
      </c>
      <c r="K5998" s="33" t="s">
        <v>741</v>
      </c>
    </row>
    <row r="5999" spans="1:11" s="191" customFormat="1">
      <c r="A5999" s="523"/>
      <c r="B5999" s="524" t="s">
        <v>13995</v>
      </c>
      <c r="C5999" s="521">
        <v>22</v>
      </c>
      <c r="D5999" s="230">
        <f t="shared" si="756"/>
        <v>14.925373134328355</v>
      </c>
      <c r="E5999" s="163"/>
      <c r="F5999" s="22">
        <f t="shared" ref="F5999:F6001" si="760">D5999+E5999</f>
        <v>14.925373134328355</v>
      </c>
      <c r="G5999" s="22" t="s">
        <v>10070</v>
      </c>
      <c r="H5999" s="458" t="str">
        <f t="shared" si="758"/>
        <v>5SL4140-7RC</v>
      </c>
      <c r="I5999" s="1690" t="s">
        <v>10969</v>
      </c>
      <c r="J5999" s="366" t="s">
        <v>1935</v>
      </c>
      <c r="K5999" s="33" t="s">
        <v>741</v>
      </c>
    </row>
    <row r="6000" spans="1:11" s="191" customFormat="1">
      <c r="A6000" s="523"/>
      <c r="B6000" s="524" t="s">
        <v>13996</v>
      </c>
      <c r="C6000" s="521">
        <v>22</v>
      </c>
      <c r="D6000" s="230">
        <f t="shared" si="756"/>
        <v>14.925373134328355</v>
      </c>
      <c r="E6000" s="163"/>
      <c r="F6000" s="22">
        <f t="shared" si="760"/>
        <v>14.925373134328355</v>
      </c>
      <c r="G6000" s="22" t="s">
        <v>10071</v>
      </c>
      <c r="H6000" s="458" t="str">
        <f t="shared" si="758"/>
        <v>5SL4150-7RC</v>
      </c>
      <c r="I6000" s="1690" t="s">
        <v>10969</v>
      </c>
      <c r="J6000" s="366" t="s">
        <v>1935</v>
      </c>
      <c r="K6000" s="33" t="s">
        <v>741</v>
      </c>
    </row>
    <row r="6001" spans="1:11" s="191" customFormat="1">
      <c r="A6001" s="523"/>
      <c r="B6001" s="524" t="s">
        <v>13997</v>
      </c>
      <c r="C6001" s="521">
        <v>22</v>
      </c>
      <c r="D6001" s="230">
        <f t="shared" si="756"/>
        <v>14.925373134328355</v>
      </c>
      <c r="E6001" s="163"/>
      <c r="F6001" s="22">
        <f t="shared" si="760"/>
        <v>14.925373134328355</v>
      </c>
      <c r="G6001" s="22" t="s">
        <v>10072</v>
      </c>
      <c r="H6001" s="458" t="str">
        <f t="shared" si="758"/>
        <v>5SL4163-7RC</v>
      </c>
      <c r="I6001" s="1690" t="s">
        <v>10969</v>
      </c>
      <c r="J6001" s="366" t="s">
        <v>1935</v>
      </c>
      <c r="K6001" s="33" t="s">
        <v>741</v>
      </c>
    </row>
    <row r="6002" spans="1:11" s="191" customFormat="1">
      <c r="A6002" s="523"/>
      <c r="B6002" s="524"/>
      <c r="C6002" s="521"/>
      <c r="D6002" s="525"/>
      <c r="E6002" s="163"/>
      <c r="F6002" s="22"/>
      <c r="G6002" s="22"/>
      <c r="H6002" s="458"/>
      <c r="I6002" s="1690"/>
      <c r="J6002" s="366"/>
      <c r="K6002" s="33"/>
    </row>
    <row r="6003" spans="1:11" s="191" customFormat="1">
      <c r="A6003" s="523"/>
      <c r="B6003" s="524" t="s">
        <v>13998</v>
      </c>
      <c r="C6003" s="521">
        <v>43</v>
      </c>
      <c r="D6003" s="230">
        <f t="shared" si="756"/>
        <v>29.172320217096335</v>
      </c>
      <c r="E6003" s="163"/>
      <c r="F6003" s="22">
        <f t="shared" ref="F6003:F6010" si="761">D6003+E6003</f>
        <v>29.172320217096335</v>
      </c>
      <c r="G6003" s="22" t="s">
        <v>10073</v>
      </c>
      <c r="H6003" s="458" t="str">
        <f t="shared" si="758"/>
        <v>5SL4210-7RC</v>
      </c>
      <c r="I6003" s="1690" t="s">
        <v>10969</v>
      </c>
      <c r="J6003" s="366" t="s">
        <v>1935</v>
      </c>
      <c r="K6003" s="33" t="s">
        <v>741</v>
      </c>
    </row>
    <row r="6004" spans="1:11" s="191" customFormat="1">
      <c r="A6004" s="523"/>
      <c r="B6004" s="524" t="s">
        <v>13999</v>
      </c>
      <c r="C6004" s="521">
        <v>43</v>
      </c>
      <c r="D6004" s="230">
        <f t="shared" si="756"/>
        <v>29.172320217096335</v>
      </c>
      <c r="E6004" s="163"/>
      <c r="F6004" s="22">
        <f t="shared" si="761"/>
        <v>29.172320217096335</v>
      </c>
      <c r="G6004" s="22" t="s">
        <v>10074</v>
      </c>
      <c r="H6004" s="458" t="str">
        <f t="shared" si="758"/>
        <v>5SL4216-7RC</v>
      </c>
      <c r="I6004" s="1690" t="s">
        <v>10969</v>
      </c>
      <c r="J6004" s="366" t="s">
        <v>1935</v>
      </c>
      <c r="K6004" s="33" t="s">
        <v>741</v>
      </c>
    </row>
    <row r="6005" spans="1:11" s="191" customFormat="1">
      <c r="A6005" s="523"/>
      <c r="B6005" s="524" t="s">
        <v>14000</v>
      </c>
      <c r="C6005" s="521">
        <v>43</v>
      </c>
      <c r="D6005" s="230">
        <f t="shared" si="756"/>
        <v>29.172320217096335</v>
      </c>
      <c r="E6005" s="163"/>
      <c r="F6005" s="22">
        <f t="shared" si="761"/>
        <v>29.172320217096335</v>
      </c>
      <c r="G6005" s="22" t="s">
        <v>10075</v>
      </c>
      <c r="H6005" s="458" t="str">
        <f t="shared" si="758"/>
        <v>5SL4220-7RC</v>
      </c>
      <c r="I6005" s="1690" t="s">
        <v>10969</v>
      </c>
      <c r="J6005" s="366" t="s">
        <v>1935</v>
      </c>
      <c r="K6005" s="33" t="s">
        <v>741</v>
      </c>
    </row>
    <row r="6006" spans="1:11" s="191" customFormat="1">
      <c r="A6006" s="523"/>
      <c r="B6006" s="524" t="s">
        <v>14001</v>
      </c>
      <c r="C6006" s="521">
        <v>43</v>
      </c>
      <c r="D6006" s="230">
        <f t="shared" si="756"/>
        <v>29.172320217096335</v>
      </c>
      <c r="E6006" s="163"/>
      <c r="F6006" s="22">
        <f t="shared" si="761"/>
        <v>29.172320217096335</v>
      </c>
      <c r="G6006" s="22" t="s">
        <v>10076</v>
      </c>
      <c r="H6006" s="458" t="str">
        <f t="shared" si="758"/>
        <v>5SL4225-7RC</v>
      </c>
      <c r="I6006" s="1690" t="s">
        <v>10969</v>
      </c>
      <c r="J6006" s="366" t="s">
        <v>1935</v>
      </c>
      <c r="K6006" s="33" t="s">
        <v>741</v>
      </c>
    </row>
    <row r="6007" spans="1:11" s="191" customFormat="1">
      <c r="A6007" s="523"/>
      <c r="B6007" s="524" t="s">
        <v>14002</v>
      </c>
      <c r="C6007" s="521">
        <v>43</v>
      </c>
      <c r="D6007" s="230">
        <f t="shared" si="756"/>
        <v>29.172320217096335</v>
      </c>
      <c r="E6007" s="163"/>
      <c r="F6007" s="22">
        <f t="shared" si="761"/>
        <v>29.172320217096335</v>
      </c>
      <c r="G6007" s="22" t="s">
        <v>10077</v>
      </c>
      <c r="H6007" s="458" t="str">
        <f t="shared" si="758"/>
        <v>5SL4232-7RC</v>
      </c>
      <c r="I6007" s="1690" t="s">
        <v>10969</v>
      </c>
      <c r="J6007" s="366" t="s">
        <v>1935</v>
      </c>
      <c r="K6007" s="33" t="s">
        <v>741</v>
      </c>
    </row>
    <row r="6008" spans="1:11" s="191" customFormat="1">
      <c r="A6008" s="523"/>
      <c r="B6008" s="524" t="s">
        <v>14003</v>
      </c>
      <c r="C6008" s="521">
        <v>50</v>
      </c>
      <c r="D6008" s="230">
        <f t="shared" si="756"/>
        <v>33.921302578018995</v>
      </c>
      <c r="E6008" s="163"/>
      <c r="F6008" s="22">
        <f t="shared" si="761"/>
        <v>33.921302578018995</v>
      </c>
      <c r="G6008" s="22" t="s">
        <v>10078</v>
      </c>
      <c r="H6008" s="458" t="str">
        <f t="shared" si="758"/>
        <v>5SL4240-7RC</v>
      </c>
      <c r="I6008" s="1690" t="s">
        <v>10969</v>
      </c>
      <c r="J6008" s="366" t="s">
        <v>1935</v>
      </c>
      <c r="K6008" s="33" t="s">
        <v>741</v>
      </c>
    </row>
    <row r="6009" spans="1:11" s="191" customFormat="1">
      <c r="A6009" s="523"/>
      <c r="B6009" s="524" t="s">
        <v>14004</v>
      </c>
      <c r="C6009" s="521">
        <v>49</v>
      </c>
      <c r="D6009" s="230">
        <f t="shared" si="756"/>
        <v>33.242876526458609</v>
      </c>
      <c r="E6009" s="163"/>
      <c r="F6009" s="22">
        <f t="shared" si="761"/>
        <v>33.242876526458609</v>
      </c>
      <c r="G6009" s="22" t="s">
        <v>10079</v>
      </c>
      <c r="H6009" s="458" t="str">
        <f t="shared" si="758"/>
        <v>5SL4250-7RC</v>
      </c>
      <c r="I6009" s="1690" t="s">
        <v>10969</v>
      </c>
      <c r="J6009" s="366" t="s">
        <v>1935</v>
      </c>
      <c r="K6009" s="33" t="s">
        <v>741</v>
      </c>
    </row>
    <row r="6010" spans="1:11" s="191" customFormat="1">
      <c r="A6010" s="523"/>
      <c r="B6010" s="524" t="s">
        <v>14005</v>
      </c>
      <c r="C6010" s="521">
        <v>50</v>
      </c>
      <c r="D6010" s="230">
        <f t="shared" si="756"/>
        <v>33.921302578018995</v>
      </c>
      <c r="E6010" s="163"/>
      <c r="F6010" s="22">
        <f t="shared" si="761"/>
        <v>33.921302578018995</v>
      </c>
      <c r="G6010" s="22" t="s">
        <v>10080</v>
      </c>
      <c r="H6010" s="458" t="str">
        <f t="shared" si="758"/>
        <v>5SL4263-7RC</v>
      </c>
      <c r="I6010" s="1690" t="s">
        <v>10969</v>
      </c>
      <c r="J6010" s="366" t="s">
        <v>1935</v>
      </c>
      <c r="K6010" s="33" t="s">
        <v>741</v>
      </c>
    </row>
    <row r="6011" spans="1:11" s="191" customFormat="1">
      <c r="A6011" s="523"/>
      <c r="B6011" s="524"/>
      <c r="C6011" s="521"/>
      <c r="D6011" s="525"/>
      <c r="E6011" s="163"/>
      <c r="F6011" s="22"/>
      <c r="G6011" s="22"/>
      <c r="H6011" s="458"/>
      <c r="I6011" s="1690"/>
      <c r="J6011" s="366"/>
      <c r="K6011" s="33"/>
    </row>
    <row r="6012" spans="1:11" s="191" customFormat="1">
      <c r="A6012" s="523"/>
      <c r="B6012" s="524" t="s">
        <v>14006</v>
      </c>
      <c r="C6012" s="521">
        <v>78</v>
      </c>
      <c r="D6012" s="230">
        <f t="shared" si="756"/>
        <v>52.917232021709623</v>
      </c>
      <c r="E6012" s="163"/>
      <c r="F6012" s="22">
        <f>D6012+E6012</f>
        <v>52.917232021709623</v>
      </c>
      <c r="G6012" s="22" t="s">
        <v>10081</v>
      </c>
      <c r="H6012" s="458" t="str">
        <f t="shared" si="758"/>
        <v>5SL4310-7RC</v>
      </c>
      <c r="I6012" s="1690" t="s">
        <v>10969</v>
      </c>
      <c r="J6012" s="366" t="s">
        <v>1935</v>
      </c>
      <c r="K6012" s="33" t="s">
        <v>741</v>
      </c>
    </row>
    <row r="6013" spans="1:11" s="191" customFormat="1">
      <c r="A6013" s="523"/>
      <c r="B6013" s="524" t="s">
        <v>14007</v>
      </c>
      <c r="C6013" s="521">
        <v>78</v>
      </c>
      <c r="D6013" s="230">
        <f t="shared" si="756"/>
        <v>52.917232021709623</v>
      </c>
      <c r="E6013" s="163"/>
      <c r="F6013" s="22">
        <f t="shared" ref="F6013" si="762">D6013+E6013</f>
        <v>52.917232021709623</v>
      </c>
      <c r="G6013" s="22" t="s">
        <v>10082</v>
      </c>
      <c r="H6013" s="458" t="str">
        <f t="shared" si="758"/>
        <v>5SL4316-7RC</v>
      </c>
      <c r="I6013" s="1690" t="s">
        <v>10969</v>
      </c>
      <c r="J6013" s="366" t="s">
        <v>1935</v>
      </c>
      <c r="K6013" s="33" t="s">
        <v>741</v>
      </c>
    </row>
    <row r="6014" spans="1:11" s="191" customFormat="1">
      <c r="A6014" s="523"/>
      <c r="B6014" s="524" t="s">
        <v>14008</v>
      </c>
      <c r="C6014" s="521">
        <v>78</v>
      </c>
      <c r="D6014" s="230">
        <f t="shared" si="756"/>
        <v>52.917232021709623</v>
      </c>
      <c r="E6014" s="163"/>
      <c r="F6014" s="22">
        <f>D6014+E6014</f>
        <v>52.917232021709623</v>
      </c>
      <c r="G6014" s="22" t="s">
        <v>10083</v>
      </c>
      <c r="H6014" s="458" t="str">
        <f t="shared" si="758"/>
        <v>5SL4320-7RC</v>
      </c>
      <c r="I6014" s="1690" t="s">
        <v>10969</v>
      </c>
      <c r="J6014" s="366" t="s">
        <v>1935</v>
      </c>
      <c r="K6014" s="33" t="s">
        <v>741</v>
      </c>
    </row>
    <row r="6015" spans="1:11" s="191" customFormat="1">
      <c r="A6015" s="523"/>
      <c r="B6015" s="524" t="s">
        <v>14009</v>
      </c>
      <c r="C6015" s="521">
        <v>78</v>
      </c>
      <c r="D6015" s="230">
        <f t="shared" si="756"/>
        <v>52.917232021709623</v>
      </c>
      <c r="E6015" s="163"/>
      <c r="F6015" s="22">
        <f t="shared" ref="F6015" si="763">D6015+E6015</f>
        <v>52.917232021709623</v>
      </c>
      <c r="G6015" s="22" t="s">
        <v>10084</v>
      </c>
      <c r="H6015" s="458" t="str">
        <f t="shared" si="758"/>
        <v>5SL4325-7RC</v>
      </c>
      <c r="I6015" s="1690" t="s">
        <v>10969</v>
      </c>
      <c r="J6015" s="366" t="s">
        <v>1935</v>
      </c>
      <c r="K6015" s="33" t="s">
        <v>741</v>
      </c>
    </row>
    <row r="6016" spans="1:11" s="191" customFormat="1">
      <c r="A6016" s="523"/>
      <c r="B6016" s="524" t="s">
        <v>14010</v>
      </c>
      <c r="C6016" s="521">
        <v>85</v>
      </c>
      <c r="D6016" s="230">
        <f t="shared" si="756"/>
        <v>57.666214382632283</v>
      </c>
      <c r="E6016" s="390"/>
      <c r="F6016" s="22">
        <f>D6016+E6016</f>
        <v>57.666214382632283</v>
      </c>
      <c r="G6016" s="22" t="s">
        <v>10085</v>
      </c>
      <c r="H6016" s="458" t="str">
        <f t="shared" si="758"/>
        <v>5SL4332-7RC</v>
      </c>
      <c r="I6016" s="1690" t="s">
        <v>10969</v>
      </c>
      <c r="J6016" s="366" t="s">
        <v>1935</v>
      </c>
      <c r="K6016" s="33" t="s">
        <v>741</v>
      </c>
    </row>
    <row r="6017" spans="1:11" s="191" customFormat="1">
      <c r="A6017" s="523"/>
      <c r="B6017" s="524" t="s">
        <v>14011</v>
      </c>
      <c r="C6017" s="521">
        <v>85</v>
      </c>
      <c r="D6017" s="230">
        <f t="shared" si="756"/>
        <v>57.666214382632283</v>
      </c>
      <c r="E6017" s="163"/>
      <c r="F6017" s="22">
        <f t="shared" ref="F6017" si="764">D6017+E6017</f>
        <v>57.666214382632283</v>
      </c>
      <c r="G6017" s="22" t="s">
        <v>10086</v>
      </c>
      <c r="H6017" s="458" t="str">
        <f t="shared" si="758"/>
        <v>5SL4340-7RC</v>
      </c>
      <c r="I6017" s="1690" t="s">
        <v>10969</v>
      </c>
      <c r="J6017" s="366" t="s">
        <v>1935</v>
      </c>
      <c r="K6017" s="33" t="s">
        <v>741</v>
      </c>
    </row>
    <row r="6018" spans="1:11" s="191" customFormat="1">
      <c r="A6018" s="523"/>
      <c r="B6018" s="524" t="s">
        <v>14012</v>
      </c>
      <c r="C6018" s="521">
        <v>85</v>
      </c>
      <c r="D6018" s="230">
        <f t="shared" si="756"/>
        <v>57.666214382632283</v>
      </c>
      <c r="E6018" s="163"/>
      <c r="F6018" s="22">
        <f>D6018+E6018</f>
        <v>57.666214382632283</v>
      </c>
      <c r="G6018" s="22" t="s">
        <v>10087</v>
      </c>
      <c r="H6018" s="458" t="str">
        <f t="shared" si="758"/>
        <v>5SL4350-7RC</v>
      </c>
      <c r="I6018" s="1690" t="s">
        <v>10969</v>
      </c>
      <c r="J6018" s="366" t="s">
        <v>1935</v>
      </c>
      <c r="K6018" s="33" t="s">
        <v>741</v>
      </c>
    </row>
    <row r="6019" spans="1:11" s="191" customFormat="1">
      <c r="A6019" s="523"/>
      <c r="B6019" s="524" t="s">
        <v>14013</v>
      </c>
      <c r="C6019" s="521">
        <v>85</v>
      </c>
      <c r="D6019" s="230">
        <f t="shared" si="756"/>
        <v>57.666214382632283</v>
      </c>
      <c r="E6019" s="163"/>
      <c r="F6019" s="22">
        <f>D6019+E6019</f>
        <v>57.666214382632283</v>
      </c>
      <c r="G6019" s="22" t="s">
        <v>10088</v>
      </c>
      <c r="H6019" s="458" t="str">
        <f t="shared" si="758"/>
        <v>5SL4363-7RC</v>
      </c>
      <c r="I6019" s="1690" t="s">
        <v>10969</v>
      </c>
      <c r="J6019" s="366" t="s">
        <v>1935</v>
      </c>
      <c r="K6019" s="33" t="s">
        <v>741</v>
      </c>
    </row>
    <row r="6020" spans="1:11" s="191" customFormat="1" ht="21.75" customHeight="1">
      <c r="A6020" s="19"/>
      <c r="B6020" s="135"/>
      <c r="C6020" s="521"/>
      <c r="D6020" s="525"/>
      <c r="E6020" s="163"/>
      <c r="F6020" s="22"/>
      <c r="G6020" s="136"/>
      <c r="H6020" s="458"/>
      <c r="I6020" s="1690"/>
      <c r="J6020" s="366"/>
      <c r="K6020" s="33"/>
    </row>
    <row r="6021" spans="1:11" s="191" customFormat="1">
      <c r="A6021" s="19"/>
      <c r="B6021" s="135"/>
      <c r="C6021" s="521"/>
      <c r="D6021" s="230"/>
      <c r="E6021" s="163"/>
      <c r="F6021" s="22"/>
      <c r="G6021" s="136"/>
      <c r="H6021" s="458"/>
      <c r="I6021" s="1690"/>
      <c r="J6021" s="366"/>
      <c r="K6021" s="33"/>
    </row>
    <row r="6022" spans="1:11" s="191" customFormat="1">
      <c r="B6022" s="32" t="s">
        <v>1956</v>
      </c>
      <c r="C6022" s="521"/>
      <c r="D6022" s="230"/>
      <c r="E6022" s="163"/>
      <c r="F6022" s="22"/>
      <c r="H6022" s="458" t="str">
        <f t="shared" si="758"/>
        <v>Modelo 5SV - Clase AC (30mA)</v>
      </c>
      <c r="I6022" s="1690" t="s">
        <v>10969</v>
      </c>
      <c r="J6022" s="366" t="s">
        <v>1935</v>
      </c>
      <c r="K6022" s="33" t="s">
        <v>741</v>
      </c>
    </row>
    <row r="6023" spans="1:11" s="191" customFormat="1">
      <c r="A6023"/>
      <c r="B6023" s="524" t="s">
        <v>10089</v>
      </c>
      <c r="C6023" s="521">
        <v>109</v>
      </c>
      <c r="D6023" s="230">
        <f t="shared" ref="D6023:D6059" si="765">C6023*(1-VLOOKUP(I6023,descuentos,6,FALSE))*fcl/IF(dol_sol="dólar", TC,1)</f>
        <v>73.948439620081402</v>
      </c>
      <c r="E6023" s="163">
        <v>3</v>
      </c>
      <c r="F6023" s="22">
        <f t="shared" ref="F6023:F6029" si="766">D6023+E6023</f>
        <v>76.948439620081402</v>
      </c>
      <c r="G6023" s="22" t="s">
        <v>10090</v>
      </c>
      <c r="H6023" s="458" t="str">
        <f t="shared" si="758"/>
        <v>5SV5312-0</v>
      </c>
      <c r="I6023" s="1690" t="s">
        <v>10969</v>
      </c>
      <c r="J6023" s="366" t="s">
        <v>1935</v>
      </c>
      <c r="K6023" s="33" t="s">
        <v>741</v>
      </c>
    </row>
    <row r="6024" spans="1:11" s="191" customFormat="1">
      <c r="A6024"/>
      <c r="B6024" s="524" t="s">
        <v>10091</v>
      </c>
      <c r="C6024" s="521">
        <v>146</v>
      </c>
      <c r="D6024" s="230">
        <f t="shared" si="765"/>
        <v>99.050203527815441</v>
      </c>
      <c r="E6024" s="163">
        <v>3</v>
      </c>
      <c r="F6024" s="22">
        <f t="shared" si="766"/>
        <v>102.05020352781544</v>
      </c>
      <c r="G6024" s="22" t="s">
        <v>10092</v>
      </c>
      <c r="H6024" s="458" t="str">
        <f t="shared" si="758"/>
        <v>5SV5314-0</v>
      </c>
      <c r="I6024" s="1690" t="s">
        <v>10969</v>
      </c>
      <c r="J6024" s="366" t="s">
        <v>1935</v>
      </c>
      <c r="K6024" s="33" t="s">
        <v>741</v>
      </c>
    </row>
    <row r="6025" spans="1:11" s="191" customFormat="1">
      <c r="A6025"/>
      <c r="B6025" s="524" t="s">
        <v>10093</v>
      </c>
      <c r="C6025" s="521">
        <v>389</v>
      </c>
      <c r="D6025" s="230">
        <f t="shared" si="765"/>
        <v>263.90773405698775</v>
      </c>
      <c r="E6025" s="163">
        <v>3</v>
      </c>
      <c r="F6025" s="22">
        <f t="shared" si="766"/>
        <v>266.90773405698775</v>
      </c>
      <c r="G6025" s="22" t="s">
        <v>10094</v>
      </c>
      <c r="H6025" s="458" t="str">
        <f t="shared" si="758"/>
        <v>5SV5316-0</v>
      </c>
      <c r="I6025" s="1690" t="s">
        <v>10969</v>
      </c>
      <c r="J6025" s="366" t="s">
        <v>1935</v>
      </c>
      <c r="K6025" s="33" t="s">
        <v>741</v>
      </c>
    </row>
    <row r="6026" spans="1:11" s="191" customFormat="1">
      <c r="A6026"/>
      <c r="B6026" s="524"/>
      <c r="C6026" s="521"/>
      <c r="D6026" s="230"/>
      <c r="E6026" s="163"/>
      <c r="F6026" s="22"/>
      <c r="G6026" s="22"/>
      <c r="H6026" s="458"/>
      <c r="I6026" s="1690"/>
      <c r="J6026" s="366"/>
      <c r="K6026" s="33"/>
    </row>
    <row r="6027" spans="1:11" s="191" customFormat="1">
      <c r="A6027"/>
      <c r="B6027" s="524" t="s">
        <v>10095</v>
      </c>
      <c r="C6027" s="521">
        <v>156</v>
      </c>
      <c r="D6027" s="230">
        <f t="shared" si="765"/>
        <v>105.83446404341925</v>
      </c>
      <c r="E6027" s="163">
        <v>6</v>
      </c>
      <c r="F6027" s="22">
        <f t="shared" si="766"/>
        <v>111.83446404341925</v>
      </c>
      <c r="G6027" s="22" t="s">
        <v>10096</v>
      </c>
      <c r="H6027" s="458" t="str">
        <f t="shared" si="758"/>
        <v>5SV5342-0</v>
      </c>
      <c r="I6027" s="1690" t="s">
        <v>10969</v>
      </c>
      <c r="J6027" s="366" t="s">
        <v>1935</v>
      </c>
      <c r="K6027" s="33" t="s">
        <v>741</v>
      </c>
    </row>
    <row r="6028" spans="1:11" s="191" customFormat="1">
      <c r="A6028"/>
      <c r="B6028" s="524" t="s">
        <v>10097</v>
      </c>
      <c r="C6028" s="521">
        <v>160</v>
      </c>
      <c r="D6028" s="230">
        <f t="shared" si="765"/>
        <v>108.54816824966078</v>
      </c>
      <c r="E6028" s="163">
        <v>6</v>
      </c>
      <c r="F6028" s="22">
        <f t="shared" si="766"/>
        <v>114.54816824966078</v>
      </c>
      <c r="G6028" s="22" t="s">
        <v>10098</v>
      </c>
      <c r="H6028" s="458" t="str">
        <f t="shared" si="758"/>
        <v>5SV5344-0</v>
      </c>
      <c r="I6028" s="1690" t="s">
        <v>10969</v>
      </c>
      <c r="J6028" s="366" t="s">
        <v>1935</v>
      </c>
      <c r="K6028" s="33" t="s">
        <v>741</v>
      </c>
    </row>
    <row r="6029" spans="1:11" s="191" customFormat="1">
      <c r="A6029"/>
      <c r="B6029" s="524" t="s">
        <v>10099</v>
      </c>
      <c r="C6029" s="521">
        <v>466</v>
      </c>
      <c r="D6029" s="230">
        <f t="shared" si="765"/>
        <v>316.14654002713701</v>
      </c>
      <c r="E6029" s="163">
        <v>6</v>
      </c>
      <c r="F6029" s="22">
        <f t="shared" si="766"/>
        <v>322.14654002713701</v>
      </c>
      <c r="G6029" s="22" t="s">
        <v>10100</v>
      </c>
      <c r="H6029" s="458" t="str">
        <f t="shared" si="758"/>
        <v>5SV5346-0</v>
      </c>
      <c r="I6029" s="1690" t="s">
        <v>10969</v>
      </c>
      <c r="J6029" s="366" t="s">
        <v>1935</v>
      </c>
      <c r="K6029" s="33" t="s">
        <v>741</v>
      </c>
    </row>
    <row r="6030" spans="1:11" s="191" customFormat="1">
      <c r="A6030"/>
      <c r="B6030"/>
      <c r="C6030" s="521"/>
      <c r="D6030" s="230"/>
      <c r="E6030" s="535"/>
      <c r="F6030" s="535"/>
      <c r="G6030"/>
      <c r="H6030" s="458"/>
      <c r="I6030" s="1690"/>
      <c r="J6030" s="366"/>
      <c r="K6030" s="33"/>
    </row>
    <row r="6031" spans="1:11" customFormat="1">
      <c r="B6031" s="32" t="s">
        <v>1957</v>
      </c>
      <c r="C6031" s="521"/>
      <c r="D6031" s="230">
        <f t="shared" si="765"/>
        <v>0</v>
      </c>
      <c r="E6031" s="522"/>
      <c r="F6031" s="192"/>
      <c r="G6031" s="191"/>
      <c r="H6031" s="458" t="str">
        <f t="shared" si="758"/>
        <v>Modelo 5SV - Clase A (30mA)</v>
      </c>
      <c r="I6031" s="1690" t="s">
        <v>10969</v>
      </c>
      <c r="J6031" s="366" t="s">
        <v>1935</v>
      </c>
      <c r="K6031" s="33" t="s">
        <v>741</v>
      </c>
    </row>
    <row r="6032" spans="1:11" s="191" customFormat="1">
      <c r="A6032"/>
      <c r="B6032" s="524" t="s">
        <v>1958</v>
      </c>
      <c r="C6032" s="521">
        <v>232</v>
      </c>
      <c r="D6032" s="230">
        <f t="shared" si="765"/>
        <v>157.39484396200814</v>
      </c>
      <c r="E6032" s="163">
        <v>3</v>
      </c>
      <c r="F6032" s="22">
        <f t="shared" ref="F6032:F6034" si="767">D6032+E6032</f>
        <v>160.39484396200814</v>
      </c>
      <c r="G6032" s="22" t="s">
        <v>11600</v>
      </c>
      <c r="H6032" s="458" t="str">
        <f t="shared" si="758"/>
        <v>5SV3312-6</v>
      </c>
      <c r="I6032" s="1690" t="s">
        <v>10969</v>
      </c>
      <c r="J6032" s="366" t="s">
        <v>1935</v>
      </c>
      <c r="K6032" s="33" t="s">
        <v>741</v>
      </c>
    </row>
    <row r="6033" spans="1:11" s="191" customFormat="1">
      <c r="A6033"/>
      <c r="B6033" s="524" t="s">
        <v>10101</v>
      </c>
      <c r="C6033" s="521">
        <v>234</v>
      </c>
      <c r="D6033" s="230">
        <f t="shared" si="765"/>
        <v>158.75169606512887</v>
      </c>
      <c r="E6033" s="163">
        <v>3</v>
      </c>
      <c r="F6033" s="22">
        <f t="shared" si="767"/>
        <v>161.75169606512887</v>
      </c>
      <c r="G6033" s="22" t="s">
        <v>11601</v>
      </c>
      <c r="H6033" s="458" t="str">
        <f t="shared" si="758"/>
        <v>5SV3314-6</v>
      </c>
      <c r="I6033" s="1690" t="s">
        <v>10969</v>
      </c>
      <c r="J6033" s="366" t="s">
        <v>1935</v>
      </c>
      <c r="K6033" s="33" t="s">
        <v>741</v>
      </c>
    </row>
    <row r="6034" spans="1:11" s="191" customFormat="1">
      <c r="A6034"/>
      <c r="B6034" s="524" t="s">
        <v>10102</v>
      </c>
      <c r="C6034" s="521">
        <v>530</v>
      </c>
      <c r="D6034" s="230">
        <f t="shared" si="765"/>
        <v>359.56580732700132</v>
      </c>
      <c r="E6034" s="163">
        <v>3</v>
      </c>
      <c r="F6034" s="22">
        <f t="shared" si="767"/>
        <v>362.56580732700132</v>
      </c>
      <c r="G6034" s="22" t="s">
        <v>11602</v>
      </c>
      <c r="H6034" s="458" t="str">
        <f t="shared" si="758"/>
        <v>5SV3316-6</v>
      </c>
      <c r="I6034" s="1690" t="s">
        <v>10969</v>
      </c>
      <c r="J6034" s="366" t="s">
        <v>1935</v>
      </c>
      <c r="K6034" s="33" t="s">
        <v>741</v>
      </c>
    </row>
    <row r="6035" spans="1:11" s="191" customFormat="1">
      <c r="A6035"/>
      <c r="B6035" s="524"/>
      <c r="C6035" s="521"/>
      <c r="D6035" s="230"/>
      <c r="E6035" s="163"/>
      <c r="F6035" s="22"/>
      <c r="G6035" s="22"/>
      <c r="H6035" s="458"/>
      <c r="I6035" s="1690"/>
      <c r="J6035" s="366"/>
      <c r="K6035" s="33"/>
    </row>
    <row r="6036" spans="1:11" s="191" customFormat="1">
      <c r="A6036"/>
      <c r="B6036" s="524" t="s">
        <v>10103</v>
      </c>
      <c r="C6036" s="521">
        <v>243</v>
      </c>
      <c r="D6036" s="230">
        <f t="shared" si="765"/>
        <v>164.85753052917232</v>
      </c>
      <c r="E6036" s="163">
        <v>6</v>
      </c>
      <c r="F6036" s="22">
        <f t="shared" ref="F6036:F6038" si="768">D6036+E6036</f>
        <v>170.85753052917232</v>
      </c>
      <c r="G6036" s="22" t="s">
        <v>11603</v>
      </c>
      <c r="H6036" s="458" t="str">
        <f t="shared" ref="H6036:H6038" si="769">B6036</f>
        <v>5SV3342-6</v>
      </c>
      <c r="I6036" s="1690" t="s">
        <v>10969</v>
      </c>
      <c r="J6036" s="366" t="s">
        <v>1935</v>
      </c>
      <c r="K6036" s="33" t="s">
        <v>741</v>
      </c>
    </row>
    <row r="6037" spans="1:11" s="191" customFormat="1">
      <c r="A6037"/>
      <c r="B6037" s="524" t="s">
        <v>10104</v>
      </c>
      <c r="C6037" s="521">
        <v>256</v>
      </c>
      <c r="D6037" s="230">
        <f t="shared" si="765"/>
        <v>173.67706919945724</v>
      </c>
      <c r="E6037" s="163">
        <v>6</v>
      </c>
      <c r="F6037" s="22">
        <f t="shared" si="768"/>
        <v>179.67706919945724</v>
      </c>
      <c r="G6037" s="22" t="s">
        <v>11604</v>
      </c>
      <c r="H6037" s="458" t="str">
        <f t="shared" si="769"/>
        <v>5SV3344-6</v>
      </c>
      <c r="I6037" s="1690" t="s">
        <v>10969</v>
      </c>
      <c r="J6037" s="366" t="s">
        <v>1935</v>
      </c>
      <c r="K6037" s="33" t="s">
        <v>741</v>
      </c>
    </row>
    <row r="6038" spans="1:11" s="191" customFormat="1">
      <c r="A6038"/>
      <c r="B6038" s="524" t="s">
        <v>10105</v>
      </c>
      <c r="C6038" s="521">
        <v>690</v>
      </c>
      <c r="D6038" s="230">
        <f t="shared" si="765"/>
        <v>468.11397557666209</v>
      </c>
      <c r="E6038" s="163">
        <v>6</v>
      </c>
      <c r="F6038" s="22">
        <f t="shared" si="768"/>
        <v>474.11397557666209</v>
      </c>
      <c r="G6038" s="22" t="s">
        <v>11605</v>
      </c>
      <c r="H6038" s="458" t="str">
        <f t="shared" si="769"/>
        <v>5SV3346-6</v>
      </c>
      <c r="I6038" s="1690" t="s">
        <v>10969</v>
      </c>
      <c r="J6038" s="366" t="s">
        <v>1935</v>
      </c>
      <c r="K6038" s="33" t="s">
        <v>741</v>
      </c>
    </row>
    <row r="6039" spans="1:11" s="191" customFormat="1">
      <c r="A6039" s="19"/>
      <c r="B6039"/>
      <c r="C6039" s="521"/>
      <c r="D6039" s="230"/>
      <c r="E6039" s="535"/>
      <c r="F6039" s="535"/>
      <c r="G6039"/>
      <c r="H6039" s="458"/>
      <c r="I6039" s="1690"/>
      <c r="J6039" s="366"/>
      <c r="K6039" s="33"/>
    </row>
    <row r="6040" spans="1:11" customFormat="1">
      <c r="B6040" s="32" t="s">
        <v>10106</v>
      </c>
      <c r="C6040" s="521"/>
      <c r="D6040" s="230">
        <f t="shared" si="765"/>
        <v>0</v>
      </c>
      <c r="E6040" s="522"/>
      <c r="F6040" s="192"/>
      <c r="G6040" s="191"/>
      <c r="H6040" s="458" t="str">
        <f t="shared" si="758"/>
        <v>Modelo 5SV - Clase AC (300mA)</v>
      </c>
      <c r="I6040" s="1690" t="s">
        <v>10969</v>
      </c>
      <c r="J6040" s="366" t="s">
        <v>1935</v>
      </c>
      <c r="K6040" s="33" t="s">
        <v>741</v>
      </c>
    </row>
    <row r="6041" spans="1:11" s="191" customFormat="1">
      <c r="A6041"/>
      <c r="B6041" s="524" t="s">
        <v>10107</v>
      </c>
      <c r="C6041" s="521">
        <v>149</v>
      </c>
      <c r="D6041" s="230">
        <f t="shared" si="765"/>
        <v>101.08548168249661</v>
      </c>
      <c r="E6041" s="163">
        <v>6</v>
      </c>
      <c r="F6041" s="22">
        <f t="shared" ref="F6041:F6043" si="770">D6041+E6041</f>
        <v>107.08548168249661</v>
      </c>
      <c r="G6041" s="22" t="s">
        <v>10108</v>
      </c>
      <c r="H6041" s="458" t="str">
        <f t="shared" si="758"/>
        <v>5SV4642-0</v>
      </c>
      <c r="I6041" s="1690" t="s">
        <v>10969</v>
      </c>
      <c r="J6041" s="366" t="s">
        <v>1935</v>
      </c>
      <c r="K6041" s="33" t="s">
        <v>741</v>
      </c>
    </row>
    <row r="6042" spans="1:11" s="191" customFormat="1">
      <c r="A6042"/>
      <c r="B6042" s="524" t="s">
        <v>10109</v>
      </c>
      <c r="C6042" s="521">
        <v>150</v>
      </c>
      <c r="D6042" s="230">
        <f t="shared" si="765"/>
        <v>101.76390773405697</v>
      </c>
      <c r="E6042" s="163">
        <v>6</v>
      </c>
      <c r="F6042" s="22">
        <f t="shared" si="770"/>
        <v>107.76390773405697</v>
      </c>
      <c r="G6042" s="22" t="s">
        <v>10110</v>
      </c>
      <c r="H6042" s="458" t="str">
        <f t="shared" si="758"/>
        <v>5SV4644-0</v>
      </c>
      <c r="I6042" s="1690" t="s">
        <v>10969</v>
      </c>
      <c r="J6042" s="366" t="s">
        <v>1935</v>
      </c>
      <c r="K6042" s="33" t="s">
        <v>741</v>
      </c>
    </row>
    <row r="6043" spans="1:11" s="191" customFormat="1">
      <c r="A6043"/>
      <c r="B6043" s="524" t="s">
        <v>10111</v>
      </c>
      <c r="C6043" s="521">
        <v>228</v>
      </c>
      <c r="D6043" s="230">
        <f t="shared" si="765"/>
        <v>154.68113975576659</v>
      </c>
      <c r="E6043" s="163">
        <v>6</v>
      </c>
      <c r="F6043" s="22">
        <f t="shared" si="770"/>
        <v>160.68113975576659</v>
      </c>
      <c r="G6043" s="22" t="s">
        <v>10112</v>
      </c>
      <c r="H6043" s="458" t="str">
        <f t="shared" si="758"/>
        <v>5SV4646-0</v>
      </c>
      <c r="I6043" s="1690" t="s">
        <v>10969</v>
      </c>
      <c r="J6043" s="366" t="s">
        <v>1935</v>
      </c>
      <c r="K6043" s="33" t="s">
        <v>741</v>
      </c>
    </row>
    <row r="6044" spans="1:11" s="191" customFormat="1">
      <c r="A6044"/>
      <c r="B6044" s="524"/>
      <c r="C6044" s="521"/>
      <c r="D6044" s="230"/>
      <c r="E6044" s="163"/>
      <c r="F6044" s="22"/>
      <c r="G6044" s="22"/>
      <c r="H6044" s="458"/>
      <c r="I6044" s="1690"/>
      <c r="J6044" s="366"/>
      <c r="K6044" s="33"/>
    </row>
    <row r="6045" spans="1:11" customFormat="1">
      <c r="A6045" s="33"/>
      <c r="B6045" s="524"/>
      <c r="C6045" s="521"/>
      <c r="D6045" s="230"/>
      <c r="E6045" s="390"/>
      <c r="F6045" s="22"/>
      <c r="G6045" s="22"/>
      <c r="H6045" s="458"/>
      <c r="I6045" s="1690"/>
      <c r="J6045" s="366"/>
      <c r="K6045" s="33"/>
    </row>
    <row r="6046" spans="1:11" customFormat="1">
      <c r="A6046" s="523"/>
      <c r="B6046" s="32" t="s">
        <v>11175</v>
      </c>
      <c r="C6046" s="521"/>
      <c r="D6046" s="230"/>
      <c r="E6046" s="522"/>
      <c r="F6046" s="192"/>
      <c r="G6046" s="191"/>
      <c r="H6046" s="458"/>
      <c r="I6046" s="1690" t="s">
        <v>10969</v>
      </c>
      <c r="J6046" s="366" t="s">
        <v>1935</v>
      </c>
      <c r="K6046" s="33" t="s">
        <v>741</v>
      </c>
    </row>
    <row r="6047" spans="1:11" s="191" customFormat="1" ht="14.4">
      <c r="A6047"/>
      <c r="B6047" s="1643" t="s">
        <v>10113</v>
      </c>
      <c r="C6047" s="521">
        <v>775</v>
      </c>
      <c r="D6047" s="230">
        <f t="shared" si="765"/>
        <v>525.78018995929438</v>
      </c>
      <c r="E6047" s="163">
        <v>15</v>
      </c>
      <c r="F6047" s="22">
        <f t="shared" ref="F6047:F6055" si="771">D6047+E6047</f>
        <v>540.78018995929438</v>
      </c>
      <c r="G6047" s="22" t="s">
        <v>11176</v>
      </c>
      <c r="H6047" s="458" t="str">
        <f t="shared" si="758"/>
        <v>5SV8000-6KK</v>
      </c>
      <c r="I6047" s="1690" t="s">
        <v>10969</v>
      </c>
      <c r="J6047" s="366" t="s">
        <v>1935</v>
      </c>
      <c r="K6047" s="33" t="s">
        <v>741</v>
      </c>
    </row>
    <row r="6048" spans="1:11" s="191" customFormat="1" ht="14.4">
      <c r="A6048"/>
      <c r="B6048" s="1643" t="s">
        <v>11177</v>
      </c>
      <c r="C6048" s="521">
        <v>995</v>
      </c>
      <c r="D6048" s="230">
        <f t="shared" ref="D6048:D6051" si="772">C6048*(1-VLOOKUP(I6048,descuentos,6,FALSE))*fcl/IF(dol_sol="dólar", TC,1)</f>
        <v>675.03392130257794</v>
      </c>
      <c r="E6048" s="163">
        <v>15</v>
      </c>
      <c r="F6048" s="22">
        <f t="shared" si="771"/>
        <v>690.03392130257794</v>
      </c>
      <c r="G6048" s="22" t="s">
        <v>11178</v>
      </c>
      <c r="H6048" s="458" t="str">
        <f t="shared" si="758"/>
        <v>5SV8001-6KK</v>
      </c>
      <c r="I6048" s="1690" t="s">
        <v>10969</v>
      </c>
      <c r="J6048" s="366" t="s">
        <v>1935</v>
      </c>
      <c r="K6048" s="33" t="s">
        <v>741</v>
      </c>
    </row>
    <row r="6049" spans="1:30" s="191" customFormat="1" ht="14.4">
      <c r="A6049"/>
      <c r="B6049" s="1643"/>
      <c r="C6049" s="521"/>
      <c r="D6049" s="230"/>
      <c r="E6049" s="163"/>
      <c r="F6049" s="22"/>
      <c r="G6049" s="22"/>
      <c r="H6049" s="458"/>
      <c r="I6049" s="1690"/>
      <c r="J6049" s="366"/>
      <c r="K6049" s="33"/>
    </row>
    <row r="6050" spans="1:30" s="191" customFormat="1" ht="14.4">
      <c r="A6050"/>
      <c r="B6050" s="1643" t="s">
        <v>11179</v>
      </c>
      <c r="C6050" s="521">
        <v>280</v>
      </c>
      <c r="D6050" s="230">
        <f t="shared" ref="D6050" si="773">C6050*(1-VLOOKUP(I6050,descuentos,6,FALSE))*fcl/IF(dol_sol="dólar", TC,1)</f>
        <v>189.95929443690633</v>
      </c>
      <c r="E6050" s="163">
        <v>10</v>
      </c>
      <c r="F6050" s="22">
        <f t="shared" ref="F6050" si="774">D6050+E6050</f>
        <v>199.95929443690633</v>
      </c>
      <c r="G6050" s="22" t="s">
        <v>11180</v>
      </c>
      <c r="H6050" s="458" t="str">
        <f t="shared" ref="H6050" si="775">B6050</f>
        <v>5SV8701-0KK</v>
      </c>
      <c r="I6050" s="1690" t="s">
        <v>10969</v>
      </c>
      <c r="J6050" s="366" t="s">
        <v>1935</v>
      </c>
      <c r="K6050" s="33" t="s">
        <v>741</v>
      </c>
    </row>
    <row r="6051" spans="1:30" s="191" customFormat="1" ht="14.4">
      <c r="A6051"/>
      <c r="B6051" s="1643" t="s">
        <v>11181</v>
      </c>
      <c r="C6051" s="521">
        <v>280</v>
      </c>
      <c r="D6051" s="230">
        <f t="shared" si="772"/>
        <v>189.95929443690633</v>
      </c>
      <c r="E6051" s="163">
        <v>10</v>
      </c>
      <c r="F6051" s="22">
        <f t="shared" si="771"/>
        <v>199.95929443690633</v>
      </c>
      <c r="G6051" s="22" t="s">
        <v>11182</v>
      </c>
      <c r="H6051" s="458" t="str">
        <f t="shared" si="758"/>
        <v>5SV8702-0KK</v>
      </c>
      <c r="I6051" s="1690" t="s">
        <v>10969</v>
      </c>
      <c r="J6051" s="366" t="s">
        <v>1935</v>
      </c>
      <c r="K6051" s="33" t="s">
        <v>741</v>
      </c>
    </row>
    <row r="6052" spans="1:30" s="191" customFormat="1" ht="14.4">
      <c r="A6052"/>
      <c r="B6052" s="1643" t="s">
        <v>10114</v>
      </c>
      <c r="C6052" s="521">
        <v>320</v>
      </c>
      <c r="D6052" s="230">
        <f t="shared" si="765"/>
        <v>217.09633649932155</v>
      </c>
      <c r="E6052" s="163">
        <v>10</v>
      </c>
      <c r="F6052" s="22">
        <f t="shared" si="771"/>
        <v>227.09633649932155</v>
      </c>
      <c r="G6052" s="22" t="s">
        <v>11183</v>
      </c>
      <c r="H6052" s="458" t="str">
        <f t="shared" si="758"/>
        <v>5SV8703-0KK</v>
      </c>
      <c r="I6052" s="1690" t="s">
        <v>10969</v>
      </c>
      <c r="J6052" s="366" t="s">
        <v>1935</v>
      </c>
      <c r="K6052" s="33" t="s">
        <v>741</v>
      </c>
    </row>
    <row r="6053" spans="1:30" s="191" customFormat="1" ht="14.4">
      <c r="A6053"/>
      <c r="B6053" s="1643" t="s">
        <v>10115</v>
      </c>
      <c r="C6053" s="521">
        <v>544</v>
      </c>
      <c r="D6053" s="230">
        <f t="shared" ref="D6053" si="776">C6053*(1-VLOOKUP(I6053,descuentos,6,FALSE))*fcl/IF(dol_sol="dólar", TC,1)</f>
        <v>369.06377204884666</v>
      </c>
      <c r="E6053" s="163">
        <v>10</v>
      </c>
      <c r="F6053" s="22">
        <f t="shared" si="771"/>
        <v>379.06377204884666</v>
      </c>
      <c r="G6053" s="22" t="s">
        <v>11184</v>
      </c>
      <c r="H6053" s="458" t="str">
        <f t="shared" si="758"/>
        <v>5SV8704-0KK</v>
      </c>
      <c r="I6053" s="1690" t="s">
        <v>10969</v>
      </c>
      <c r="J6053" s="366" t="s">
        <v>1935</v>
      </c>
      <c r="K6053" s="33" t="s">
        <v>741</v>
      </c>
    </row>
    <row r="6054" spans="1:30" s="191" customFormat="1" ht="14.4">
      <c r="A6054"/>
      <c r="B6054" s="1643" t="s">
        <v>11185</v>
      </c>
      <c r="C6054" s="521">
        <v>1193</v>
      </c>
      <c r="D6054" s="230">
        <f t="shared" ref="D6054" si="777">C6054*(1-VLOOKUP(I6054,descuentos,6,FALSE))*fcl/IF(dol_sol="dólar", TC,1)</f>
        <v>809.36227951153307</v>
      </c>
      <c r="E6054" s="163">
        <v>10</v>
      </c>
      <c r="F6054" s="22">
        <f t="shared" si="771"/>
        <v>819.36227951153307</v>
      </c>
      <c r="G6054" s="22" t="s">
        <v>11186</v>
      </c>
      <c r="H6054" s="458" t="str">
        <f t="shared" si="758"/>
        <v>5SV8705-0KK</v>
      </c>
      <c r="I6054" s="1690" t="s">
        <v>10969</v>
      </c>
      <c r="J6054" s="366" t="s">
        <v>1935</v>
      </c>
      <c r="K6054" s="33" t="s">
        <v>741</v>
      </c>
    </row>
    <row r="6055" spans="1:30" s="191" customFormat="1" ht="14.4">
      <c r="A6055"/>
      <c r="B6055" s="1643" t="s">
        <v>11187</v>
      </c>
      <c r="C6055" s="521">
        <v>1446</v>
      </c>
      <c r="D6055" s="230">
        <f t="shared" ref="D6055" si="778">C6055*(1-VLOOKUP(I6055,descuentos,6,FALSE))*fcl/IF(dol_sol="dólar", TC,1)</f>
        <v>981.00407055630922</v>
      </c>
      <c r="E6055" s="163">
        <v>10</v>
      </c>
      <c r="F6055" s="22">
        <f t="shared" si="771"/>
        <v>991.00407055630922</v>
      </c>
      <c r="G6055" s="22" t="s">
        <v>11188</v>
      </c>
      <c r="H6055" s="458" t="str">
        <f t="shared" si="758"/>
        <v>5SV8706-0KK</v>
      </c>
      <c r="I6055" s="1690" t="s">
        <v>10969</v>
      </c>
      <c r="J6055" s="366" t="s">
        <v>1935</v>
      </c>
      <c r="K6055" s="33" t="s">
        <v>741</v>
      </c>
    </row>
    <row r="6056" spans="1:30" customFormat="1">
      <c r="A6056" s="33"/>
      <c r="B6056" s="524"/>
      <c r="C6056" s="521"/>
      <c r="D6056" s="230"/>
      <c r="E6056" s="390"/>
      <c r="F6056" s="22"/>
      <c r="G6056" s="22"/>
      <c r="H6056" s="458"/>
      <c r="I6056" s="1690"/>
      <c r="J6056" s="366"/>
      <c r="K6056" s="33"/>
    </row>
    <row r="6057" spans="1:30" s="191" customFormat="1">
      <c r="A6057" s="33"/>
      <c r="B6057" s="524"/>
      <c r="C6057" s="521"/>
      <c r="D6057" s="230"/>
      <c r="E6057" s="390"/>
      <c r="F6057" s="22"/>
      <c r="G6057" s="22"/>
      <c r="H6057" s="458"/>
      <c r="I6057" s="1690"/>
      <c r="J6057" s="366"/>
      <c r="K6057" s="33"/>
      <c r="L6057" s="190"/>
      <c r="M6057" s="190"/>
      <c r="N6057" s="190"/>
      <c r="O6057" s="190"/>
      <c r="P6057" s="190"/>
      <c r="Q6057" s="190"/>
      <c r="R6057" s="190"/>
      <c r="S6057" s="190"/>
      <c r="T6057" s="190"/>
      <c r="U6057" s="190"/>
      <c r="V6057" s="190"/>
      <c r="W6057" s="190"/>
      <c r="X6057" s="190"/>
      <c r="Y6057" s="190"/>
      <c r="Z6057" s="190"/>
      <c r="AA6057" s="190"/>
      <c r="AB6057" s="190"/>
      <c r="AC6057" s="190"/>
      <c r="AD6057" s="190"/>
    </row>
    <row r="6058" spans="1:30" s="191" customFormat="1">
      <c r="A6058" s="33"/>
      <c r="B6058" s="32" t="s">
        <v>1959</v>
      </c>
      <c r="C6058" s="521"/>
      <c r="D6058" s="230"/>
      <c r="E6058" s="390"/>
      <c r="F6058" s="22"/>
      <c r="G6058" s="33"/>
      <c r="H6058" s="458"/>
      <c r="I6058" s="1690"/>
      <c r="J6058" s="366"/>
      <c r="K6058" s="33"/>
      <c r="L6058" s="190"/>
      <c r="M6058" s="190"/>
      <c r="N6058" s="190"/>
      <c r="O6058" s="190"/>
      <c r="P6058" s="190"/>
      <c r="Q6058" s="190"/>
      <c r="R6058" s="190"/>
      <c r="S6058" s="190"/>
      <c r="T6058" s="190"/>
      <c r="U6058" s="190"/>
      <c r="V6058" s="190"/>
      <c r="W6058" s="190"/>
      <c r="X6058" s="190"/>
      <c r="Y6058" s="190"/>
      <c r="Z6058" s="190"/>
      <c r="AA6058" s="190"/>
      <c r="AB6058" s="190"/>
      <c r="AC6058" s="190"/>
      <c r="AD6058" s="190"/>
    </row>
    <row r="6059" spans="1:30" s="191" customFormat="1">
      <c r="A6059" s="528"/>
      <c r="B6059" s="536" t="s">
        <v>14014</v>
      </c>
      <c r="C6059" s="521">
        <v>15393</v>
      </c>
      <c r="D6059" s="230">
        <f t="shared" si="765"/>
        <v>10443.012211668927</v>
      </c>
      <c r="E6059" s="163">
        <v>400</v>
      </c>
      <c r="F6059" s="22">
        <f t="shared" ref="F6059:F6063" si="779">D6059+E6059</f>
        <v>10843.012211668927</v>
      </c>
      <c r="G6059" s="22" t="s">
        <v>11189</v>
      </c>
      <c r="H6059" s="458" t="str">
        <f t="shared" si="758"/>
        <v>3WL1116-2CB62-1AA4</v>
      </c>
      <c r="I6059" s="1690" t="s">
        <v>10969</v>
      </c>
      <c r="J6059" s="366" t="s">
        <v>1935</v>
      </c>
      <c r="K6059" s="33" t="s">
        <v>741</v>
      </c>
      <c r="L6059" s="190"/>
      <c r="M6059" s="190"/>
      <c r="N6059" s="190"/>
      <c r="O6059" s="190"/>
      <c r="P6059" s="190"/>
      <c r="Q6059" s="190"/>
      <c r="R6059" s="190"/>
      <c r="S6059" s="190"/>
      <c r="T6059" s="190"/>
      <c r="U6059" s="190"/>
      <c r="V6059" s="190"/>
      <c r="W6059" s="190"/>
      <c r="X6059" s="190"/>
      <c r="Y6059" s="190"/>
      <c r="Z6059" s="190"/>
      <c r="AA6059" s="190"/>
      <c r="AB6059" s="190"/>
      <c r="AC6059" s="190"/>
      <c r="AD6059" s="190"/>
    </row>
    <row r="6060" spans="1:30" s="191" customFormat="1">
      <c r="A6060" s="528"/>
      <c r="B6060" s="536" t="s">
        <v>14015</v>
      </c>
      <c r="C6060" s="521">
        <v>17912</v>
      </c>
      <c r="D6060" s="230">
        <f t="shared" ref="D6060" si="780">C6060*(1-VLOOKUP(I6060,descuentos,6,FALSE))*fcl/IF(dol_sol="dólar", TC,1)</f>
        <v>12151.967435549523</v>
      </c>
      <c r="E6060" s="163">
        <v>400</v>
      </c>
      <c r="F6060" s="22">
        <f t="shared" si="779"/>
        <v>12551.967435549523</v>
      </c>
      <c r="G6060" s="22" t="s">
        <v>11190</v>
      </c>
      <c r="H6060" s="458" t="str">
        <f t="shared" si="758"/>
        <v>3WL1220-2CB62-1AA4</v>
      </c>
      <c r="I6060" s="1690" t="s">
        <v>10969</v>
      </c>
      <c r="J6060" s="366" t="s">
        <v>1935</v>
      </c>
      <c r="K6060" s="33" t="s">
        <v>741</v>
      </c>
      <c r="L6060" s="190"/>
      <c r="M6060" s="190"/>
      <c r="N6060" s="190"/>
      <c r="O6060" s="190"/>
      <c r="P6060" s="190"/>
      <c r="Q6060" s="190"/>
      <c r="R6060" s="190"/>
      <c r="S6060" s="190"/>
      <c r="T6060" s="190"/>
      <c r="U6060" s="190"/>
      <c r="V6060" s="190"/>
      <c r="W6060" s="190"/>
      <c r="X6060" s="190"/>
      <c r="Y6060" s="190"/>
      <c r="Z6060" s="190"/>
      <c r="AA6060" s="190"/>
      <c r="AB6060" s="190"/>
      <c r="AC6060" s="190"/>
      <c r="AD6060" s="190"/>
    </row>
    <row r="6061" spans="1:30" s="533" customFormat="1" ht="12" customHeight="1">
      <c r="A6061" s="528"/>
      <c r="B6061" s="536" t="s">
        <v>14016</v>
      </c>
      <c r="C6061" s="521">
        <v>22856</v>
      </c>
      <c r="D6061" s="230">
        <f t="shared" ref="D6061" si="781">C6061*(1-VLOOKUP(I6061,descuentos,6,FALSE))*fcl/IF(dol_sol="dólar", TC,1)</f>
        <v>15506.105834464041</v>
      </c>
      <c r="E6061" s="163">
        <v>400</v>
      </c>
      <c r="F6061" s="22">
        <f t="shared" si="779"/>
        <v>15906.105834464041</v>
      </c>
      <c r="G6061" s="22" t="s">
        <v>11191</v>
      </c>
      <c r="H6061" s="458" t="str">
        <f t="shared" si="758"/>
        <v>3WL1225-2CB62-1AA4</v>
      </c>
      <c r="I6061" s="1690" t="s">
        <v>10969</v>
      </c>
      <c r="J6061" s="366" t="s">
        <v>1935</v>
      </c>
      <c r="K6061" s="33" t="s">
        <v>741</v>
      </c>
      <c r="L6061" s="190"/>
      <c r="M6061" s="190"/>
      <c r="N6061" s="190"/>
      <c r="O6061" s="190"/>
      <c r="P6061" s="190"/>
      <c r="Q6061" s="190"/>
      <c r="R6061" s="190"/>
      <c r="S6061" s="190"/>
      <c r="T6061" s="190"/>
      <c r="U6061" s="190"/>
      <c r="V6061" s="190"/>
      <c r="W6061" s="190"/>
      <c r="X6061" s="190"/>
      <c r="Y6061" s="190"/>
      <c r="Z6061" s="190"/>
      <c r="AA6061" s="190"/>
      <c r="AB6061" s="190"/>
      <c r="AC6061" s="190"/>
      <c r="AD6061" s="190"/>
    </row>
    <row r="6062" spans="1:30" s="533" customFormat="1" ht="12" customHeight="1">
      <c r="A6062" s="528"/>
      <c r="B6062" s="536" t="s">
        <v>14017</v>
      </c>
      <c r="C6062" s="521">
        <v>26588</v>
      </c>
      <c r="D6062" s="230">
        <f t="shared" ref="D6062" si="782">C6062*(1-VLOOKUP(I6062,descuentos,6,FALSE))*fcl/IF(dol_sol="dólar", TC,1)</f>
        <v>18037.991858887377</v>
      </c>
      <c r="E6062" s="163">
        <v>500</v>
      </c>
      <c r="F6062" s="22">
        <f t="shared" si="779"/>
        <v>18537.991858887377</v>
      </c>
      <c r="G6062" s="22" t="s">
        <v>11192</v>
      </c>
      <c r="H6062" s="458" t="str">
        <f t="shared" si="758"/>
        <v>3WL1232-2CB62-1AA4</v>
      </c>
      <c r="I6062" s="1690" t="s">
        <v>10969</v>
      </c>
      <c r="J6062" s="366" t="s">
        <v>1935</v>
      </c>
      <c r="K6062" s="33" t="s">
        <v>741</v>
      </c>
      <c r="L6062" s="190"/>
      <c r="M6062" s="190"/>
      <c r="N6062" s="190"/>
      <c r="O6062" s="190"/>
      <c r="P6062" s="190"/>
      <c r="Q6062" s="190"/>
      <c r="R6062" s="190"/>
      <c r="S6062" s="190"/>
      <c r="T6062" s="190"/>
      <c r="U6062" s="190"/>
      <c r="V6062" s="190"/>
      <c r="W6062" s="190"/>
      <c r="X6062" s="190"/>
      <c r="Y6062" s="190"/>
      <c r="Z6062" s="190"/>
      <c r="AA6062" s="190"/>
      <c r="AB6062" s="190"/>
      <c r="AC6062" s="190"/>
      <c r="AD6062" s="190"/>
    </row>
    <row r="6063" spans="1:30" s="533" customFormat="1" ht="12" customHeight="1">
      <c r="A6063" s="528"/>
      <c r="B6063" s="536" t="s">
        <v>14018</v>
      </c>
      <c r="C6063" s="521">
        <v>38944</v>
      </c>
      <c r="D6063" s="230">
        <f t="shared" ref="D6063" si="783">C6063*(1-VLOOKUP(I6063,descuentos,6,FALSE))*fcl/IF(dol_sol="dólar", TC,1)</f>
        <v>26420.624151967429</v>
      </c>
      <c r="E6063" s="163">
        <v>500</v>
      </c>
      <c r="F6063" s="22">
        <f t="shared" si="779"/>
        <v>26920.624151967429</v>
      </c>
      <c r="G6063" s="22" t="s">
        <v>11193</v>
      </c>
      <c r="H6063" s="458" t="str">
        <f t="shared" si="758"/>
        <v>3WL1240-3CB61-1AA4</v>
      </c>
      <c r="I6063" s="1690" t="s">
        <v>10969</v>
      </c>
      <c r="J6063" s="366" t="s">
        <v>1935</v>
      </c>
      <c r="K6063" s="33" t="s">
        <v>741</v>
      </c>
      <c r="L6063" s="190"/>
      <c r="M6063" s="190"/>
      <c r="N6063" s="190"/>
      <c r="O6063" s="190"/>
      <c r="P6063" s="190"/>
      <c r="Q6063" s="190"/>
      <c r="R6063" s="190"/>
      <c r="S6063" s="190"/>
      <c r="T6063" s="190"/>
      <c r="U6063" s="190"/>
      <c r="V6063" s="190"/>
      <c r="W6063" s="190"/>
      <c r="X6063" s="190"/>
      <c r="Y6063" s="190"/>
      <c r="Z6063" s="190"/>
      <c r="AA6063" s="190"/>
      <c r="AB6063" s="190"/>
      <c r="AC6063" s="190"/>
      <c r="AD6063" s="190"/>
    </row>
    <row r="6064" spans="1:30" s="191" customFormat="1" ht="15.6">
      <c r="A6064" s="33"/>
      <c r="B6064" s="1644"/>
      <c r="C6064" s="521"/>
      <c r="D6064" s="230"/>
      <c r="E6064" s="390"/>
      <c r="F6064" s="22"/>
      <c r="G6064" s="22"/>
      <c r="H6064" s="458"/>
      <c r="I6064" s="1690"/>
      <c r="J6064" s="366"/>
      <c r="K6064" s="33"/>
    </row>
    <row r="6065" spans="1:30" s="191" customFormat="1">
      <c r="A6065" s="33"/>
      <c r="B6065" s="536" t="s">
        <v>11194</v>
      </c>
      <c r="C6065" s="521">
        <v>678</v>
      </c>
      <c r="D6065" s="230">
        <f t="shared" ref="D6065" si="784">C6065*(1-VLOOKUP(I6065,descuentos,6,FALSE))*fcl/IF(dol_sol="dólar", TC,1)</f>
        <v>459.97286295793754</v>
      </c>
      <c r="E6065" s="163">
        <v>10</v>
      </c>
      <c r="F6065" s="22">
        <f t="shared" ref="F6065:F6069" si="785">D6065+E6065</f>
        <v>469.97286295793754</v>
      </c>
      <c r="G6065" s="22" t="s">
        <v>11195</v>
      </c>
      <c r="H6065" s="458" t="str">
        <f t="shared" ref="H6065:H6069" si="786">B6065</f>
        <v>3WL9111-0AD06-0AA0</v>
      </c>
      <c r="I6065" s="1690" t="s">
        <v>10969</v>
      </c>
      <c r="J6065" s="366" t="s">
        <v>1935</v>
      </c>
      <c r="K6065" s="33" t="s">
        <v>741</v>
      </c>
    </row>
    <row r="6066" spans="1:30" s="191" customFormat="1">
      <c r="A6066" s="33"/>
      <c r="B6066" s="536" t="s">
        <v>11196</v>
      </c>
      <c r="C6066" s="521">
        <v>757</v>
      </c>
      <c r="D6066" s="230">
        <f t="shared" ref="D6066" si="787">C6066*(1-VLOOKUP(I6066,descuentos,6,FALSE))*fcl/IF(dol_sol="dólar", TC,1)</f>
        <v>513.56852103120752</v>
      </c>
      <c r="E6066" s="163">
        <v>10</v>
      </c>
      <c r="F6066" s="22">
        <f t="shared" si="785"/>
        <v>523.56852103120752</v>
      </c>
      <c r="G6066" s="22" t="s">
        <v>11197</v>
      </c>
      <c r="H6066" s="458" t="str">
        <f t="shared" si="786"/>
        <v>3WL9111-0AE05-0AA0</v>
      </c>
      <c r="I6066" s="1690" t="s">
        <v>10969</v>
      </c>
      <c r="J6066" s="366" t="s">
        <v>1935</v>
      </c>
      <c r="K6066" s="33" t="s">
        <v>741</v>
      </c>
    </row>
    <row r="6067" spans="1:30" s="191" customFormat="1">
      <c r="A6067" s="33"/>
      <c r="B6067" s="536" t="s">
        <v>11198</v>
      </c>
      <c r="C6067" s="521">
        <v>2927</v>
      </c>
      <c r="D6067" s="230">
        <f t="shared" ref="D6067" si="788">C6067*(1-VLOOKUP(I6067,descuentos,6,FALSE))*fcl/IF(dol_sol="dólar", TC,1)</f>
        <v>1985.7530529172316</v>
      </c>
      <c r="E6067" s="163">
        <v>15</v>
      </c>
      <c r="F6067" s="22">
        <f t="shared" si="785"/>
        <v>2000.7530529172316</v>
      </c>
      <c r="G6067" s="22" t="s">
        <v>11199</v>
      </c>
      <c r="H6067" s="458" t="str">
        <f t="shared" si="786"/>
        <v>3WL9111-0AF04-0AA0</v>
      </c>
      <c r="I6067" s="1690" t="s">
        <v>10969</v>
      </c>
      <c r="J6067" s="366" t="s">
        <v>1935</v>
      </c>
      <c r="K6067" s="33" t="s">
        <v>741</v>
      </c>
    </row>
    <row r="6068" spans="1:30" s="191" customFormat="1">
      <c r="A6068" s="33"/>
      <c r="B6068" s="536" t="s">
        <v>11200</v>
      </c>
      <c r="C6068" s="521">
        <v>1763</v>
      </c>
      <c r="D6068" s="230">
        <f t="shared" ref="D6068" si="789">C6068*(1-VLOOKUP(I6068,descuentos,6,FALSE))*fcl/IF(dol_sol="dólar", TC,1)</f>
        <v>1196.0651289009497</v>
      </c>
      <c r="E6068" s="163">
        <v>10</v>
      </c>
      <c r="F6068" s="22">
        <f t="shared" si="785"/>
        <v>1206.0651289009497</v>
      </c>
      <c r="G6068" s="22" t="s">
        <v>11201</v>
      </c>
      <c r="H6068" s="458" t="str">
        <f t="shared" si="786"/>
        <v>3WL9111-0BB21-0AA0</v>
      </c>
      <c r="I6068" s="1690" t="s">
        <v>10969</v>
      </c>
      <c r="J6068" s="366" t="s">
        <v>1935</v>
      </c>
      <c r="K6068" s="33" t="s">
        <v>741</v>
      </c>
    </row>
    <row r="6069" spans="1:30" s="191" customFormat="1">
      <c r="A6069" s="33"/>
      <c r="B6069" s="536" t="s">
        <v>11202</v>
      </c>
      <c r="C6069" s="521">
        <v>219</v>
      </c>
      <c r="D6069" s="230">
        <f t="shared" ref="D6069" si="790">C6069*(1-VLOOKUP(I6069,descuentos,6,FALSE))*fcl/IF(dol_sol="dólar", TC,1)</f>
        <v>148.5753052917232</v>
      </c>
      <c r="E6069" s="163">
        <v>10</v>
      </c>
      <c r="F6069" s="22">
        <f t="shared" si="785"/>
        <v>158.5753052917232</v>
      </c>
      <c r="G6069" s="22" t="s">
        <v>11203</v>
      </c>
      <c r="H6069" s="458" t="str">
        <f t="shared" si="786"/>
        <v>3WL9111-0AH14-0AA0</v>
      </c>
      <c r="I6069" s="1690" t="s">
        <v>10969</v>
      </c>
      <c r="J6069" s="366" t="s">
        <v>1935</v>
      </c>
      <c r="K6069" s="33" t="s">
        <v>741</v>
      </c>
    </row>
    <row r="6070" spans="1:30" s="191" customFormat="1">
      <c r="A6070" s="33"/>
      <c r="B6070" s="536"/>
      <c r="C6070" s="521"/>
      <c r="D6070" s="230"/>
      <c r="E6070" s="390"/>
      <c r="F6070" s="22"/>
      <c r="G6070" s="22"/>
      <c r="H6070" s="458"/>
      <c r="I6070" s="1690"/>
      <c r="J6070" s="366"/>
      <c r="K6070" s="33"/>
    </row>
    <row r="6071" spans="1:30" s="191" customFormat="1">
      <c r="A6071" s="33"/>
      <c r="B6071" s="2234" t="s">
        <v>13306</v>
      </c>
      <c r="C6071" s="2235">
        <v>7299</v>
      </c>
      <c r="D6071" s="2236">
        <f t="shared" ref="D6071" si="791">C6071*(1-VLOOKUP(I6071,descuentos,6,FALSE))*fcl/IF(dol_sol="dólar", TC,1)</f>
        <v>4951.8317503392118</v>
      </c>
      <c r="E6071" s="2237">
        <v>400</v>
      </c>
      <c r="F6071" s="2238">
        <f t="shared" ref="F6071" si="792">D6071+E6071</f>
        <v>5351.8317503392118</v>
      </c>
      <c r="G6071" s="2238" t="s">
        <v>14019</v>
      </c>
      <c r="H6071" s="458" t="str">
        <f t="shared" ref="H6071" si="793">B6071</f>
        <v>3WT8080-5AA00-0AA2</v>
      </c>
      <c r="I6071" s="1690" t="s">
        <v>10969</v>
      </c>
      <c r="J6071" s="366" t="s">
        <v>1935</v>
      </c>
      <c r="K6071" s="33" t="s">
        <v>741</v>
      </c>
      <c r="L6071" s="190"/>
      <c r="M6071" s="190"/>
      <c r="N6071" s="190"/>
      <c r="O6071" s="190"/>
      <c r="P6071" s="190"/>
      <c r="Q6071" s="190"/>
      <c r="R6071" s="190"/>
      <c r="S6071" s="190"/>
      <c r="T6071" s="190"/>
      <c r="U6071" s="190"/>
      <c r="V6071" s="190"/>
      <c r="W6071" s="190"/>
      <c r="X6071" s="190"/>
      <c r="Y6071" s="190"/>
      <c r="Z6071" s="190"/>
      <c r="AA6071" s="190"/>
      <c r="AB6071" s="190"/>
      <c r="AC6071" s="190"/>
      <c r="AD6071" s="190"/>
    </row>
    <row r="6072" spans="1:30" s="191" customFormat="1">
      <c r="A6072" s="33"/>
      <c r="B6072" s="536"/>
      <c r="C6072" s="521"/>
      <c r="D6072" s="230"/>
      <c r="E6072" s="390"/>
      <c r="F6072" s="22"/>
      <c r="G6072" s="22"/>
      <c r="H6072" s="458"/>
      <c r="I6072" s="1690"/>
      <c r="J6072" s="366"/>
      <c r="K6072" s="33"/>
    </row>
    <row r="6073" spans="1:30" s="2246" customFormat="1" ht="20.100000000000001" customHeight="1">
      <c r="A6073" s="2399"/>
      <c r="B6073" s="2400" t="s">
        <v>12173</v>
      </c>
      <c r="C6073" s="2401">
        <v>8914</v>
      </c>
      <c r="D6073" s="229">
        <f t="shared" ref="D6073" si="794">C6073*(1-VLOOKUP(I6073,descuentos,6,FALSE))*fcl/IF(dol_sol="dólar", TC,1)</f>
        <v>6047.4898236092258</v>
      </c>
      <c r="E6073" s="2402">
        <v>400</v>
      </c>
      <c r="F6073" s="2403">
        <f t="shared" ref="F6073:F6078" si="795">D6073+E6073</f>
        <v>6447.4898236092258</v>
      </c>
      <c r="G6073" s="2403" t="s">
        <v>14020</v>
      </c>
      <c r="H6073" s="1830" t="str">
        <f t="shared" ref="H6073:H6078" si="796">B6073</f>
        <v>3WT8120-5AA00-0AA2</v>
      </c>
      <c r="I6073" s="1831" t="s">
        <v>10969</v>
      </c>
      <c r="J6073" s="1832" t="s">
        <v>1935</v>
      </c>
      <c r="K6073" s="1824" t="s">
        <v>741</v>
      </c>
      <c r="L6073" s="2404"/>
      <c r="M6073" s="2404"/>
      <c r="N6073" s="2404"/>
      <c r="O6073" s="2404"/>
      <c r="P6073" s="2404"/>
      <c r="Q6073" s="2404"/>
      <c r="R6073" s="2404"/>
      <c r="S6073" s="2404"/>
      <c r="T6073" s="2404"/>
      <c r="U6073" s="2404"/>
      <c r="V6073" s="2404"/>
      <c r="W6073" s="2404"/>
      <c r="X6073" s="2404"/>
      <c r="Y6073" s="2404"/>
      <c r="Z6073" s="2404"/>
      <c r="AA6073" s="2404"/>
      <c r="AB6073" s="2404"/>
      <c r="AC6073" s="2404"/>
      <c r="AD6073" s="2404"/>
    </row>
    <row r="6074" spans="1:30" s="2246" customFormat="1" ht="20.100000000000001" customHeight="1">
      <c r="A6074" s="2399"/>
      <c r="B6074" s="596" t="s">
        <v>12174</v>
      </c>
      <c r="C6074" s="2401">
        <v>9841</v>
      </c>
      <c r="D6074" s="229">
        <f t="shared" ref="D6074" si="797">C6074*(1-VLOOKUP(I6074,descuentos,6,FALSE))*fcl/IF(dol_sol="dólar", TC,1)</f>
        <v>6676.3907734056975</v>
      </c>
      <c r="E6074" s="2402">
        <v>400</v>
      </c>
      <c r="F6074" s="2403">
        <f t="shared" si="795"/>
        <v>7076.3907734056975</v>
      </c>
      <c r="G6074" s="2403" t="s">
        <v>14021</v>
      </c>
      <c r="H6074" s="1830" t="str">
        <f t="shared" si="796"/>
        <v>3WT8161-5AA00-0AA2</v>
      </c>
      <c r="I6074" s="1831" t="s">
        <v>10969</v>
      </c>
      <c r="J6074" s="1832" t="s">
        <v>1935</v>
      </c>
      <c r="K6074" s="1824" t="s">
        <v>741</v>
      </c>
      <c r="L6074" s="2404"/>
      <c r="M6074" s="2404"/>
      <c r="N6074" s="2404"/>
      <c r="O6074" s="2404"/>
      <c r="P6074" s="2404"/>
      <c r="Q6074" s="2404"/>
      <c r="R6074" s="2404"/>
      <c r="S6074" s="2404"/>
      <c r="T6074" s="2404"/>
      <c r="U6074" s="2404"/>
      <c r="V6074" s="2404"/>
      <c r="W6074" s="2404"/>
      <c r="X6074" s="2404"/>
      <c r="Y6074" s="2404"/>
      <c r="Z6074" s="2404"/>
      <c r="AA6074" s="2404"/>
      <c r="AB6074" s="2404"/>
      <c r="AC6074" s="2404"/>
      <c r="AD6074" s="2404"/>
    </row>
    <row r="6075" spans="1:30" s="2246" customFormat="1" ht="20.100000000000001" customHeight="1">
      <c r="A6075" s="2399"/>
      <c r="B6075" s="596" t="s">
        <v>11204</v>
      </c>
      <c r="C6075" s="2401">
        <v>13629</v>
      </c>
      <c r="D6075" s="229">
        <f t="shared" ref="D6075:D6078" si="798">C6075*(1-VLOOKUP(I6075,descuentos,6,FALSE))*fcl/IF(dol_sol="dólar", TC,1)</f>
        <v>9246.2686567164164</v>
      </c>
      <c r="E6075" s="2402">
        <v>400</v>
      </c>
      <c r="F6075" s="2403">
        <f t="shared" si="795"/>
        <v>9646.2686567164164</v>
      </c>
      <c r="G6075" s="2403" t="s">
        <v>14022</v>
      </c>
      <c r="H6075" s="1830" t="str">
        <f t="shared" si="796"/>
        <v>3WT8202-5AA00-0AA2</v>
      </c>
      <c r="I6075" s="1831" t="s">
        <v>10969</v>
      </c>
      <c r="J6075" s="1832" t="s">
        <v>1935</v>
      </c>
      <c r="K6075" s="1824" t="s">
        <v>741</v>
      </c>
      <c r="L6075" s="2404"/>
      <c r="M6075" s="2404"/>
      <c r="N6075" s="2404"/>
      <c r="O6075" s="2404"/>
      <c r="P6075" s="2404"/>
      <c r="Q6075" s="2404"/>
      <c r="R6075" s="2404"/>
      <c r="S6075" s="2404"/>
      <c r="T6075" s="2404"/>
      <c r="U6075" s="2404"/>
      <c r="V6075" s="2404"/>
      <c r="W6075" s="2404"/>
      <c r="X6075" s="2404"/>
      <c r="Y6075" s="2404"/>
      <c r="Z6075" s="2404"/>
      <c r="AA6075" s="2404"/>
      <c r="AB6075" s="2404"/>
      <c r="AC6075" s="2404"/>
      <c r="AD6075" s="2404"/>
    </row>
    <row r="6076" spans="1:30" s="2405" customFormat="1" ht="20.100000000000001" customHeight="1">
      <c r="A6076" s="2399"/>
      <c r="B6076" s="2400" t="s">
        <v>11205</v>
      </c>
      <c r="C6076" s="2401">
        <v>17115</v>
      </c>
      <c r="D6076" s="229">
        <f t="shared" si="798"/>
        <v>11611.261872455902</v>
      </c>
      <c r="E6076" s="2402">
        <v>400</v>
      </c>
      <c r="F6076" s="2403">
        <f t="shared" si="795"/>
        <v>12011.261872455902</v>
      </c>
      <c r="G6076" s="2403" t="s">
        <v>14023</v>
      </c>
      <c r="H6076" s="1830" t="str">
        <f t="shared" si="796"/>
        <v>3WT8252-5AA00-0AA2</v>
      </c>
      <c r="I6076" s="1831" t="s">
        <v>10969</v>
      </c>
      <c r="J6076" s="1832" t="s">
        <v>1935</v>
      </c>
      <c r="K6076" s="1824" t="s">
        <v>741</v>
      </c>
      <c r="L6076" s="2404"/>
      <c r="M6076" s="2404"/>
      <c r="N6076" s="2404"/>
      <c r="O6076" s="2404"/>
      <c r="P6076" s="2404"/>
      <c r="Q6076" s="2404"/>
      <c r="R6076" s="2404"/>
      <c r="S6076" s="2404"/>
      <c r="T6076" s="2404"/>
      <c r="U6076" s="2404"/>
      <c r="V6076" s="2404"/>
      <c r="W6076" s="2404"/>
      <c r="X6076" s="2404"/>
      <c r="Y6076" s="2404"/>
      <c r="Z6076" s="2404"/>
      <c r="AA6076" s="2404"/>
      <c r="AB6076" s="2404"/>
      <c r="AC6076" s="2404"/>
      <c r="AD6076" s="2404"/>
    </row>
    <row r="6077" spans="1:30" s="2405" customFormat="1" ht="20.100000000000001" customHeight="1">
      <c r="A6077" s="2399"/>
      <c r="B6077" s="2400" t="s">
        <v>11206</v>
      </c>
      <c r="C6077" s="2401">
        <v>20230</v>
      </c>
      <c r="D6077" s="229">
        <f t="shared" si="798"/>
        <v>13724.559023066484</v>
      </c>
      <c r="E6077" s="2402">
        <v>500</v>
      </c>
      <c r="F6077" s="2403">
        <f t="shared" si="795"/>
        <v>14224.559023066484</v>
      </c>
      <c r="G6077" s="2403" t="s">
        <v>14024</v>
      </c>
      <c r="H6077" s="1830" t="str">
        <f t="shared" si="796"/>
        <v>3WT8322-5AA00-0AA2</v>
      </c>
      <c r="I6077" s="1831" t="s">
        <v>10969</v>
      </c>
      <c r="J6077" s="1832" t="s">
        <v>1935</v>
      </c>
      <c r="K6077" s="1824" t="s">
        <v>741</v>
      </c>
      <c r="L6077" s="2404"/>
      <c r="M6077" s="2404"/>
      <c r="N6077" s="2404"/>
      <c r="O6077" s="2404"/>
      <c r="P6077" s="2404"/>
      <c r="Q6077" s="2404"/>
      <c r="R6077" s="2404"/>
      <c r="S6077" s="2404"/>
      <c r="T6077" s="2404"/>
      <c r="U6077" s="2404"/>
      <c r="V6077" s="2404"/>
      <c r="W6077" s="2404"/>
      <c r="X6077" s="2404"/>
      <c r="Y6077" s="2404"/>
      <c r="Z6077" s="2404"/>
      <c r="AA6077" s="2404"/>
      <c r="AB6077" s="2404"/>
      <c r="AC6077" s="2404"/>
      <c r="AD6077" s="2404"/>
    </row>
    <row r="6078" spans="1:30" s="2405" customFormat="1" ht="20.100000000000001" customHeight="1">
      <c r="A6078" s="2399"/>
      <c r="B6078" s="2400" t="s">
        <v>11207</v>
      </c>
      <c r="C6078" s="2401">
        <v>29631</v>
      </c>
      <c r="D6078" s="229">
        <f t="shared" si="798"/>
        <v>20102.442333785613</v>
      </c>
      <c r="E6078" s="2402">
        <v>500</v>
      </c>
      <c r="F6078" s="2403">
        <f t="shared" si="795"/>
        <v>20602.442333785613</v>
      </c>
      <c r="G6078" s="2403" t="s">
        <v>14025</v>
      </c>
      <c r="H6078" s="1830" t="str">
        <f t="shared" si="796"/>
        <v>3WT8402-5AA02-0AA2</v>
      </c>
      <c r="I6078" s="1831" t="s">
        <v>10969</v>
      </c>
      <c r="J6078" s="1832" t="s">
        <v>1935</v>
      </c>
      <c r="K6078" s="1824" t="s">
        <v>741</v>
      </c>
      <c r="L6078" s="2404"/>
      <c r="M6078" s="2404"/>
      <c r="N6078" s="2404"/>
      <c r="O6078" s="2404"/>
      <c r="P6078" s="2404"/>
      <c r="Q6078" s="2404"/>
      <c r="R6078" s="2404"/>
      <c r="S6078" s="2404"/>
      <c r="T6078" s="2404"/>
      <c r="U6078" s="2404"/>
      <c r="V6078" s="2404"/>
      <c r="W6078" s="2404"/>
      <c r="X6078" s="2404"/>
      <c r="Y6078" s="2404"/>
      <c r="Z6078" s="2404"/>
      <c r="AA6078" s="2404"/>
      <c r="AB6078" s="2404"/>
      <c r="AC6078" s="2404"/>
      <c r="AD6078" s="2404"/>
    </row>
    <row r="6079" spans="1:30" s="2405" customFormat="1" ht="20.100000000000001" customHeight="1">
      <c r="A6079" s="1824"/>
      <c r="B6079" s="2400"/>
      <c r="C6079" s="2401"/>
      <c r="D6079" s="229"/>
      <c r="E6079" s="2402"/>
      <c r="F6079" s="2403"/>
      <c r="G6079" s="2403"/>
      <c r="H6079" s="1830"/>
      <c r="I6079" s="1831"/>
      <c r="J6079" s="1832"/>
      <c r="K6079" s="1824"/>
      <c r="L6079" s="2404"/>
      <c r="M6079" s="2404"/>
      <c r="N6079" s="2404"/>
      <c r="O6079" s="2404"/>
      <c r="P6079" s="2404"/>
      <c r="Q6079" s="2404"/>
      <c r="R6079" s="2404"/>
      <c r="S6079" s="2404"/>
      <c r="T6079" s="2404"/>
      <c r="U6079" s="2404"/>
      <c r="V6079" s="2404"/>
      <c r="W6079" s="2404"/>
      <c r="X6079" s="2404"/>
      <c r="Y6079" s="2404"/>
      <c r="Z6079" s="2404"/>
      <c r="AA6079" s="2404"/>
      <c r="AB6079" s="2404"/>
      <c r="AC6079" s="2404"/>
      <c r="AD6079" s="2404"/>
    </row>
    <row r="6080" spans="1:30" s="2246" customFormat="1" ht="20.100000000000001" customHeight="1">
      <c r="A6080" s="1824"/>
      <c r="B6080" s="596" t="s">
        <v>14026</v>
      </c>
      <c r="C6080" s="2401">
        <v>10452</v>
      </c>
      <c r="D6080" s="229">
        <f t="shared" ref="D6080:D6083" si="799">C6080*(1-VLOOKUP(I6080,descuentos,6,FALSE))*fcl/IF(dol_sol="dólar", TC,1)</f>
        <v>7090.9090909090901</v>
      </c>
      <c r="E6080" s="2402">
        <v>400</v>
      </c>
      <c r="F6080" s="2403">
        <f t="shared" ref="F6080:F6084" si="800">D6080+E6080</f>
        <v>7490.9090909090901</v>
      </c>
      <c r="G6080" s="2403" t="s">
        <v>14027</v>
      </c>
      <c r="H6080" s="1830" t="str">
        <f t="shared" ref="H6080:H6084" si="801">B6080</f>
        <v>3WT8161-7AA00-0AA2</v>
      </c>
      <c r="I6080" s="1831" t="s">
        <v>10969</v>
      </c>
      <c r="J6080" s="1832" t="s">
        <v>1935</v>
      </c>
      <c r="K6080" s="1824" t="s">
        <v>741</v>
      </c>
      <c r="L6080" s="2404"/>
      <c r="M6080" s="2404"/>
      <c r="N6080" s="2404"/>
      <c r="O6080" s="2404"/>
      <c r="P6080" s="2404"/>
      <c r="Q6080" s="2404"/>
      <c r="R6080" s="2404"/>
      <c r="S6080" s="2404"/>
      <c r="T6080" s="2404"/>
      <c r="U6080" s="2404"/>
      <c r="V6080" s="2404"/>
      <c r="W6080" s="2404"/>
      <c r="X6080" s="2404"/>
      <c r="Y6080" s="2404"/>
      <c r="Z6080" s="2404"/>
      <c r="AA6080" s="2404"/>
      <c r="AB6080" s="2404"/>
      <c r="AC6080" s="2404"/>
      <c r="AD6080" s="2404"/>
    </row>
    <row r="6081" spans="1:30" s="2246" customFormat="1" ht="20.100000000000001" customHeight="1">
      <c r="A6081" s="1824"/>
      <c r="B6081" s="596" t="s">
        <v>14028</v>
      </c>
      <c r="C6081" s="2401">
        <v>13809</v>
      </c>
      <c r="D6081" s="229">
        <f t="shared" ref="D6081" si="802">C6081*(1-VLOOKUP(I6081,descuentos,6,FALSE))*fcl/IF(dol_sol="dólar", TC,1)</f>
        <v>9368.3853459972852</v>
      </c>
      <c r="E6081" s="2402">
        <v>400</v>
      </c>
      <c r="F6081" s="2403">
        <f t="shared" si="800"/>
        <v>9768.3853459972852</v>
      </c>
      <c r="G6081" s="2403" t="s">
        <v>14029</v>
      </c>
      <c r="H6081" s="1830" t="str">
        <f t="shared" si="801"/>
        <v>3WT8165-7AA00-0AA2</v>
      </c>
      <c r="I6081" s="1831" t="s">
        <v>10969</v>
      </c>
      <c r="J6081" s="1832" t="s">
        <v>1935</v>
      </c>
      <c r="K6081" s="1824" t="s">
        <v>741</v>
      </c>
      <c r="L6081" s="2404"/>
      <c r="M6081" s="2404"/>
      <c r="N6081" s="2404"/>
      <c r="O6081" s="2404"/>
      <c r="P6081" s="2404"/>
      <c r="Q6081" s="2404"/>
      <c r="R6081" s="2404"/>
      <c r="S6081" s="2404"/>
      <c r="T6081" s="2404"/>
      <c r="U6081" s="2404"/>
      <c r="V6081" s="2404"/>
      <c r="W6081" s="2404"/>
      <c r="X6081" s="2404"/>
      <c r="Y6081" s="2404"/>
      <c r="Z6081" s="2404"/>
      <c r="AA6081" s="2404"/>
      <c r="AB6081" s="2404"/>
      <c r="AC6081" s="2404"/>
      <c r="AD6081" s="2404"/>
    </row>
    <row r="6082" spans="1:30" s="2246" customFormat="1" ht="20.100000000000001" customHeight="1">
      <c r="A6082" s="1824"/>
      <c r="B6082" s="596"/>
      <c r="C6082" s="2401"/>
      <c r="D6082" s="229"/>
      <c r="E6082" s="2402"/>
      <c r="F6082" s="2403"/>
      <c r="G6082" s="2403"/>
      <c r="H6082" s="1830"/>
      <c r="I6082" s="1831"/>
      <c r="J6082" s="1832"/>
      <c r="K6082" s="1824"/>
      <c r="L6082" s="2404"/>
      <c r="M6082" s="2404"/>
      <c r="N6082" s="2404"/>
      <c r="O6082" s="2404"/>
      <c r="P6082" s="2404"/>
      <c r="Q6082" s="2404"/>
      <c r="R6082" s="2404"/>
      <c r="S6082" s="2404"/>
      <c r="T6082" s="2404"/>
      <c r="U6082" s="2404"/>
      <c r="V6082" s="2404"/>
      <c r="W6082" s="2404"/>
      <c r="X6082" s="2404"/>
      <c r="Y6082" s="2404"/>
      <c r="Z6082" s="2404"/>
      <c r="AA6082" s="2404"/>
      <c r="AB6082" s="2404"/>
      <c r="AC6082" s="2404"/>
      <c r="AD6082" s="2404"/>
    </row>
    <row r="6083" spans="1:30" s="2246" customFormat="1" ht="20.100000000000001" customHeight="1">
      <c r="A6083" s="1824"/>
      <c r="B6083" s="596" t="s">
        <v>14030</v>
      </c>
      <c r="C6083" s="2401">
        <v>14177</v>
      </c>
      <c r="D6083" s="229">
        <f t="shared" si="799"/>
        <v>9618.0461329715035</v>
      </c>
      <c r="E6083" s="2402">
        <v>400</v>
      </c>
      <c r="F6083" s="2403">
        <f t="shared" si="800"/>
        <v>10018.046132971504</v>
      </c>
      <c r="G6083" s="2403" t="s">
        <v>14031</v>
      </c>
      <c r="H6083" s="1830" t="str">
        <f t="shared" si="801"/>
        <v>3WT8202-7AA00-0AA2</v>
      </c>
      <c r="I6083" s="1831" t="s">
        <v>10969</v>
      </c>
      <c r="J6083" s="1832" t="s">
        <v>1935</v>
      </c>
      <c r="K6083" s="1824" t="s">
        <v>741</v>
      </c>
      <c r="L6083" s="2404"/>
      <c r="M6083" s="2404"/>
      <c r="N6083" s="2404"/>
      <c r="O6083" s="2404"/>
      <c r="P6083" s="2404"/>
      <c r="Q6083" s="2404"/>
      <c r="R6083" s="2404"/>
      <c r="S6083" s="2404"/>
      <c r="T6083" s="2404"/>
      <c r="U6083" s="2404"/>
      <c r="V6083" s="2404"/>
      <c r="W6083" s="2404"/>
      <c r="X6083" s="2404"/>
      <c r="Y6083" s="2404"/>
      <c r="Z6083" s="2404"/>
      <c r="AA6083" s="2404"/>
      <c r="AB6083" s="2404"/>
      <c r="AC6083" s="2404"/>
      <c r="AD6083" s="2404"/>
    </row>
    <row r="6084" spans="1:30" s="2246" customFormat="1" ht="20.100000000000001" customHeight="1">
      <c r="A6084" s="1824"/>
      <c r="B6084" s="596" t="s">
        <v>14032</v>
      </c>
      <c r="C6084" s="2401">
        <v>18622</v>
      </c>
      <c r="D6084" s="229">
        <f t="shared" ref="D6084" si="803">C6084*(1-VLOOKUP(I6084,descuentos,6,FALSE))*fcl/IF(dol_sol="dólar", TC,1)</f>
        <v>12633.649932157392</v>
      </c>
      <c r="E6084" s="2402">
        <v>400</v>
      </c>
      <c r="F6084" s="2403">
        <f t="shared" si="800"/>
        <v>13033.649932157392</v>
      </c>
      <c r="G6084" s="2403" t="s">
        <v>14033</v>
      </c>
      <c r="H6084" s="1830" t="str">
        <f t="shared" si="801"/>
        <v>3WT8206-7AA00-0AA2</v>
      </c>
      <c r="I6084" s="1831" t="s">
        <v>10969</v>
      </c>
      <c r="J6084" s="1832" t="s">
        <v>1935</v>
      </c>
      <c r="K6084" s="1824" t="s">
        <v>741</v>
      </c>
      <c r="L6084" s="2404"/>
      <c r="M6084" s="2404"/>
      <c r="N6084" s="2404"/>
      <c r="O6084" s="2404"/>
      <c r="P6084" s="2404"/>
      <c r="Q6084" s="2404"/>
      <c r="R6084" s="2404"/>
      <c r="S6084" s="2404"/>
      <c r="T6084" s="2404"/>
      <c r="U6084" s="2404"/>
      <c r="V6084" s="2404"/>
      <c r="W6084" s="2404"/>
      <c r="X6084" s="2404"/>
      <c r="Y6084" s="2404"/>
      <c r="Z6084" s="2404"/>
      <c r="AA6084" s="2404"/>
      <c r="AB6084" s="2404"/>
      <c r="AC6084" s="2404"/>
      <c r="AD6084" s="2404"/>
    </row>
    <row r="6085" spans="1:30" s="2405" customFormat="1" ht="20.100000000000001" customHeight="1">
      <c r="A6085" s="1824"/>
      <c r="B6085" s="2400"/>
      <c r="C6085" s="2401"/>
      <c r="D6085" s="229"/>
      <c r="E6085" s="2402"/>
      <c r="F6085" s="2403"/>
      <c r="G6085" s="2403"/>
      <c r="H6085" s="1830"/>
      <c r="I6085" s="1831"/>
      <c r="J6085" s="1832"/>
      <c r="K6085" s="1824"/>
      <c r="L6085" s="2404"/>
      <c r="M6085" s="2404"/>
      <c r="N6085" s="2404"/>
      <c r="O6085" s="2404"/>
      <c r="P6085" s="2404"/>
      <c r="Q6085" s="2404"/>
      <c r="R6085" s="2404"/>
      <c r="S6085" s="2404"/>
      <c r="T6085" s="2404"/>
      <c r="U6085" s="2404"/>
      <c r="V6085" s="2404"/>
      <c r="W6085" s="2404"/>
      <c r="X6085" s="2404"/>
      <c r="Y6085" s="2404"/>
      <c r="Z6085" s="2404"/>
      <c r="AA6085" s="2404"/>
      <c r="AB6085" s="2404"/>
      <c r="AC6085" s="2404"/>
      <c r="AD6085" s="2404"/>
    </row>
    <row r="6086" spans="1:30" s="191" customFormat="1">
      <c r="A6086" s="33"/>
      <c r="B6086" s="536" t="s">
        <v>11208</v>
      </c>
      <c r="C6086" s="521">
        <v>1596</v>
      </c>
      <c r="D6086" s="230">
        <f t="shared" ref="D6086:D6088" si="804">C6086*(1-VLOOKUP(I6086,descuentos,6,FALSE))*fcl/IF(dol_sol="dólar", TC,1)</f>
        <v>1082.7679782903663</v>
      </c>
      <c r="E6086" s="163">
        <v>10</v>
      </c>
      <c r="F6086" s="22">
        <f t="shared" ref="F6086:F6090" si="805">D6086+E6086</f>
        <v>1092.7679782903663</v>
      </c>
      <c r="G6086" s="22" t="s">
        <v>11209</v>
      </c>
      <c r="H6086" s="458" t="str">
        <f t="shared" ref="H6086:H6090" si="806">B6086</f>
        <v>3WT9831-1JK00</v>
      </c>
      <c r="I6086" s="1690" t="s">
        <v>10969</v>
      </c>
      <c r="J6086" s="366" t="s">
        <v>1935</v>
      </c>
      <c r="K6086" s="33" t="s">
        <v>741</v>
      </c>
    </row>
    <row r="6087" spans="1:30" s="191" customFormat="1">
      <c r="A6087" s="33"/>
      <c r="B6087" s="536" t="s">
        <v>11210</v>
      </c>
      <c r="C6087" s="521">
        <v>294</v>
      </c>
      <c r="D6087" s="230">
        <f t="shared" si="804"/>
        <v>199.45725915875167</v>
      </c>
      <c r="E6087" s="163">
        <v>10</v>
      </c>
      <c r="F6087" s="22">
        <f t="shared" si="805"/>
        <v>209.45725915875167</v>
      </c>
      <c r="G6087" s="22" t="s">
        <v>11211</v>
      </c>
      <c r="H6087" s="458" t="str">
        <f t="shared" si="806"/>
        <v>3WT9851-1JK00</v>
      </c>
      <c r="I6087" s="1690" t="s">
        <v>10969</v>
      </c>
      <c r="J6087" s="366" t="s">
        <v>1935</v>
      </c>
      <c r="K6087" s="33" t="s">
        <v>741</v>
      </c>
    </row>
    <row r="6088" spans="1:30" s="191" customFormat="1">
      <c r="A6088" s="33"/>
      <c r="B6088" s="536" t="s">
        <v>11212</v>
      </c>
      <c r="C6088" s="521">
        <v>294</v>
      </c>
      <c r="D6088" s="230">
        <f t="shared" si="804"/>
        <v>199.45725915875167</v>
      </c>
      <c r="E6088" s="163">
        <v>10</v>
      </c>
      <c r="F6088" s="22">
        <f t="shared" si="805"/>
        <v>209.45725915875167</v>
      </c>
      <c r="G6088" s="22" t="s">
        <v>11213</v>
      </c>
      <c r="H6088" s="458" t="str">
        <f t="shared" si="806"/>
        <v>3WT9853-1JK00</v>
      </c>
      <c r="I6088" s="1690" t="s">
        <v>10969</v>
      </c>
      <c r="J6088" s="366" t="s">
        <v>1935</v>
      </c>
      <c r="K6088" s="33" t="s">
        <v>741</v>
      </c>
    </row>
    <row r="6089" spans="1:30" s="191" customFormat="1" ht="17.25" customHeight="1">
      <c r="A6089" s="1825"/>
      <c r="B6089" s="1826" t="s">
        <v>12175</v>
      </c>
      <c r="C6089" s="1827">
        <v>75</v>
      </c>
      <c r="D6089" s="1823">
        <f t="shared" ref="D6089" si="807">C6089*(1-VLOOKUP(I6089,descuentos,6,FALSE))*fcl/IF(dol_sol="dólar", TC,1)</f>
        <v>50.881953867028486</v>
      </c>
      <c r="E6089" s="1828">
        <v>10</v>
      </c>
      <c r="F6089" s="1829">
        <f t="shared" si="805"/>
        <v>60.881953867028486</v>
      </c>
      <c r="G6089" s="1829" t="s">
        <v>12176</v>
      </c>
      <c r="H6089" s="1830" t="str">
        <f t="shared" si="806"/>
        <v>3WT9825-1JC00</v>
      </c>
      <c r="I6089" s="1831" t="s">
        <v>10969</v>
      </c>
      <c r="J6089" s="1832" t="s">
        <v>1935</v>
      </c>
      <c r="K6089" s="1824" t="s">
        <v>741</v>
      </c>
      <c r="L6089" s="190"/>
      <c r="M6089" s="190"/>
      <c r="N6089" s="190"/>
      <c r="O6089" s="190"/>
      <c r="P6089" s="190"/>
      <c r="Q6089" s="190"/>
      <c r="R6089" s="190"/>
      <c r="S6089" s="190"/>
      <c r="T6089" s="190"/>
      <c r="U6089" s="190"/>
      <c r="V6089" s="190"/>
      <c r="W6089" s="190"/>
      <c r="X6089" s="190"/>
      <c r="Y6089" s="190"/>
      <c r="Z6089" s="190"/>
      <c r="AA6089" s="190"/>
      <c r="AB6089" s="190"/>
      <c r="AC6089" s="190"/>
      <c r="AD6089" s="190"/>
    </row>
    <row r="6090" spans="1:30" s="191" customFormat="1" ht="17.25" customHeight="1">
      <c r="A6090" s="1825"/>
      <c r="B6090" s="1826" t="s">
        <v>12177</v>
      </c>
      <c r="C6090" s="1827">
        <v>1166</v>
      </c>
      <c r="D6090" s="1823">
        <f t="shared" ref="D6090" si="808">C6090*(1-VLOOKUP(I6090,descuentos,6,FALSE))*fcl/IF(dol_sol="dólar", TC,1)</f>
        <v>791.04477611940285</v>
      </c>
      <c r="E6090" s="1828">
        <v>10</v>
      </c>
      <c r="F6090" s="1829">
        <f t="shared" si="805"/>
        <v>801.04477611940285</v>
      </c>
      <c r="G6090" s="1829" t="s">
        <v>12178</v>
      </c>
      <c r="H6090" s="1830" t="str">
        <f t="shared" si="806"/>
        <v>3WT9866-3JA00</v>
      </c>
      <c r="I6090" s="1831" t="s">
        <v>10969</v>
      </c>
      <c r="J6090" s="1832" t="s">
        <v>1935</v>
      </c>
      <c r="K6090" s="1824" t="s">
        <v>741</v>
      </c>
      <c r="L6090" s="190"/>
      <c r="M6090" s="190"/>
      <c r="N6090" s="190"/>
      <c r="O6090" s="190"/>
      <c r="P6090" s="190"/>
      <c r="Q6090" s="190"/>
      <c r="R6090" s="190"/>
      <c r="S6090" s="190"/>
      <c r="T6090" s="190"/>
      <c r="U6090" s="190"/>
      <c r="V6090" s="190"/>
      <c r="W6090" s="190"/>
      <c r="X6090" s="190"/>
      <c r="Y6090" s="190"/>
      <c r="Z6090" s="190"/>
      <c r="AA6090" s="190"/>
      <c r="AB6090" s="190"/>
      <c r="AC6090" s="190"/>
      <c r="AD6090" s="190"/>
    </row>
    <row r="6091" spans="1:30" customFormat="1">
      <c r="A6091" s="33"/>
      <c r="B6091" s="524"/>
      <c r="C6091" s="521"/>
      <c r="D6091" s="230"/>
      <c r="E6091" s="390"/>
      <c r="F6091" s="22"/>
      <c r="G6091" s="22"/>
      <c r="H6091" s="458"/>
      <c r="I6091" s="1690"/>
      <c r="J6091" s="366"/>
      <c r="K6091" s="33"/>
    </row>
    <row r="6092" spans="1:30" s="191" customFormat="1">
      <c r="A6092" s="33"/>
      <c r="B6092" s="524"/>
      <c r="C6092" s="521"/>
      <c r="D6092" s="230"/>
      <c r="E6092" s="390"/>
      <c r="F6092" s="22"/>
      <c r="G6092" s="22"/>
      <c r="H6092" s="458"/>
      <c r="I6092" s="1690"/>
      <c r="J6092" s="366"/>
      <c r="K6092" s="33"/>
      <c r="L6092" s="190"/>
      <c r="M6092" s="190"/>
      <c r="N6092" s="190"/>
      <c r="O6092" s="190"/>
      <c r="P6092" s="190"/>
      <c r="Q6092" s="190"/>
      <c r="R6092" s="190"/>
      <c r="S6092" s="190"/>
      <c r="T6092" s="190"/>
      <c r="U6092" s="190"/>
      <c r="V6092" s="190"/>
      <c r="W6092" s="190"/>
      <c r="X6092" s="190"/>
      <c r="Y6092" s="190"/>
      <c r="Z6092" s="190"/>
      <c r="AA6092" s="190"/>
      <c r="AB6092" s="190"/>
      <c r="AC6092" s="190"/>
      <c r="AD6092" s="190"/>
    </row>
    <row r="6093" spans="1:30" s="191" customFormat="1">
      <c r="A6093" s="33"/>
      <c r="B6093" s="32" t="s">
        <v>11758</v>
      </c>
      <c r="C6093" s="521"/>
      <c r="D6093" s="230"/>
      <c r="E6093" s="390"/>
      <c r="F6093" s="22"/>
      <c r="G6093" s="33"/>
      <c r="H6093" s="458"/>
      <c r="I6093" s="1690"/>
      <c r="J6093" s="366"/>
      <c r="K6093" s="33"/>
      <c r="L6093" s="190"/>
      <c r="M6093" s="190"/>
      <c r="N6093" s="190"/>
      <c r="O6093" s="190"/>
      <c r="P6093" s="190"/>
      <c r="Q6093" s="190"/>
      <c r="R6093" s="190"/>
      <c r="S6093" s="190"/>
      <c r="T6093" s="190"/>
      <c r="U6093" s="190"/>
      <c r="V6093" s="190"/>
      <c r="W6093" s="190"/>
      <c r="X6093" s="190"/>
      <c r="Y6093" s="190"/>
      <c r="Z6093" s="190"/>
      <c r="AA6093" s="190"/>
      <c r="AB6093" s="190"/>
      <c r="AC6093" s="190"/>
      <c r="AD6093" s="190"/>
    </row>
    <row r="6094" spans="1:30" s="191" customFormat="1">
      <c r="A6094" s="528"/>
      <c r="B6094" s="536" t="s">
        <v>11759</v>
      </c>
      <c r="C6094" s="521">
        <v>3100</v>
      </c>
      <c r="D6094" s="230">
        <f t="shared" ref="D6094:D6095" si="809">C6094*(1-VLOOKUP(I6094,descuentos,6,FALSE))*fcl/IF(dol_sol="dólar", TC,1)</f>
        <v>2103.1207598371775</v>
      </c>
      <c r="E6094" s="163">
        <v>210</v>
      </c>
      <c r="F6094" s="22">
        <f t="shared" ref="F6094:F6095" si="810">D6094+E6094</f>
        <v>2313.1207598371775</v>
      </c>
      <c r="G6094" s="22" t="s">
        <v>11760</v>
      </c>
      <c r="H6094" s="458" t="str">
        <f t="shared" ref="H6094:H6095" si="811">B6094</f>
        <v>3KC9000-8TL40</v>
      </c>
      <c r="I6094" s="1690" t="s">
        <v>10969</v>
      </c>
      <c r="J6094" s="366" t="s">
        <v>1935</v>
      </c>
      <c r="K6094" s="33" t="s">
        <v>741</v>
      </c>
      <c r="L6094" s="190"/>
      <c r="M6094" s="190"/>
      <c r="N6094" s="190"/>
      <c r="O6094" s="190"/>
      <c r="P6094" s="190"/>
      <c r="Q6094" s="190"/>
      <c r="R6094" s="190"/>
      <c r="S6094" s="190"/>
      <c r="T6094" s="190"/>
      <c r="U6094" s="190"/>
      <c r="V6094" s="190"/>
      <c r="W6094" s="190"/>
      <c r="X6094" s="190"/>
      <c r="Y6094" s="190"/>
      <c r="Z6094" s="190"/>
      <c r="AA6094" s="190"/>
      <c r="AB6094" s="190"/>
      <c r="AC6094" s="190"/>
      <c r="AD6094" s="190"/>
    </row>
    <row r="6095" spans="1:30" s="191" customFormat="1">
      <c r="A6095" s="528"/>
      <c r="B6095" s="536" t="s">
        <v>11761</v>
      </c>
      <c r="C6095" s="521">
        <v>1671</v>
      </c>
      <c r="D6095" s="230">
        <f t="shared" si="809"/>
        <v>1133.6499321573947</v>
      </c>
      <c r="E6095" s="163">
        <v>50</v>
      </c>
      <c r="F6095" s="22">
        <f t="shared" si="810"/>
        <v>1183.6499321573947</v>
      </c>
      <c r="G6095" s="22" t="s">
        <v>11762</v>
      </c>
      <c r="H6095" s="458" t="str">
        <f t="shared" si="811"/>
        <v>3KC9000-8TL73</v>
      </c>
      <c r="I6095" s="1690" t="s">
        <v>10969</v>
      </c>
      <c r="J6095" s="366" t="s">
        <v>1935</v>
      </c>
      <c r="K6095" s="33" t="s">
        <v>741</v>
      </c>
      <c r="L6095" s="190"/>
      <c r="M6095" s="190"/>
      <c r="N6095" s="190"/>
      <c r="O6095" s="190"/>
      <c r="P6095" s="190"/>
      <c r="Q6095" s="190"/>
      <c r="R6095" s="190"/>
      <c r="S6095" s="190"/>
      <c r="T6095" s="190"/>
      <c r="U6095" s="190"/>
      <c r="V6095" s="190"/>
      <c r="W6095" s="190"/>
      <c r="X6095" s="190"/>
      <c r="Y6095" s="190"/>
      <c r="Z6095" s="190"/>
      <c r="AA6095" s="190"/>
      <c r="AB6095" s="190"/>
      <c r="AC6095" s="190"/>
      <c r="AD6095" s="190"/>
    </row>
    <row r="6096" spans="1:30" s="191" customFormat="1">
      <c r="A6096" s="33"/>
      <c r="B6096" s="536"/>
      <c r="C6096" s="521"/>
      <c r="D6096" s="230"/>
      <c r="E6096" s="163"/>
      <c r="F6096" s="22"/>
      <c r="G6096" s="22"/>
      <c r="H6096" s="458"/>
      <c r="I6096" s="1690"/>
      <c r="J6096" s="366"/>
      <c r="K6096" s="33"/>
    </row>
    <row r="6097" spans="1:11" s="191" customFormat="1">
      <c r="A6097" s="33"/>
      <c r="B6097" s="536"/>
      <c r="C6097" s="521"/>
      <c r="D6097" s="230"/>
      <c r="E6097" s="163"/>
      <c r="F6097" s="22"/>
      <c r="G6097" s="22"/>
      <c r="H6097" s="458"/>
      <c r="I6097" s="1690"/>
      <c r="J6097" s="366"/>
      <c r="K6097" s="33"/>
    </row>
    <row r="6098" spans="1:11" s="191" customFormat="1" ht="16.5" customHeight="1">
      <c r="A6098" s="33"/>
      <c r="B6098" s="2239" t="s">
        <v>13307</v>
      </c>
      <c r="C6098" s="521"/>
      <c r="D6098" s="230"/>
      <c r="E6098" s="390"/>
      <c r="F6098" s="22"/>
      <c r="G6098" s="33"/>
      <c r="H6098" s="458"/>
      <c r="I6098" s="1690"/>
      <c r="J6098" s="366"/>
      <c r="K6098" s="33"/>
    </row>
    <row r="6099" spans="1:11" s="2246" customFormat="1" ht="24.75" customHeight="1">
      <c r="A6099" s="2240"/>
      <c r="B6099" s="2241" t="s">
        <v>13308</v>
      </c>
      <c r="C6099" s="2242">
        <v>4922</v>
      </c>
      <c r="D6099" s="2243">
        <f>C6099*0.5292*fcl/3.34</f>
        <v>1772.402286336418</v>
      </c>
      <c r="E6099" s="2244">
        <v>5</v>
      </c>
      <c r="F6099" s="2245">
        <f t="shared" ref="F6099" si="812">D6099+E6099</f>
        <v>1777.402286336418</v>
      </c>
      <c r="G6099" s="2245" t="s">
        <v>13309</v>
      </c>
      <c r="H6099" s="1830" t="s">
        <v>13308</v>
      </c>
      <c r="I6099" s="1831" t="s">
        <v>10969</v>
      </c>
      <c r="J6099" s="1832" t="s">
        <v>1935</v>
      </c>
      <c r="K6099" s="1824" t="s">
        <v>741</v>
      </c>
    </row>
    <row r="6100" spans="1:11" s="191" customFormat="1">
      <c r="A6100" s="185"/>
      <c r="B6100" s="139"/>
      <c r="C6100" s="521"/>
      <c r="D6100" s="230"/>
      <c r="E6100" s="185"/>
      <c r="F6100" s="185"/>
      <c r="G6100" s="140"/>
      <c r="H6100" s="458"/>
      <c r="I6100" s="1690"/>
      <c r="J6100" s="366"/>
      <c r="K6100" s="33"/>
    </row>
    <row r="6101" spans="1:11" s="191" customFormat="1">
      <c r="A6101" s="33"/>
      <c r="B6101" s="32" t="s">
        <v>13310</v>
      </c>
      <c r="C6101" s="521"/>
      <c r="D6101" s="230"/>
      <c r="E6101" s="390"/>
      <c r="F6101" s="22"/>
      <c r="G6101" s="33"/>
      <c r="H6101" s="458"/>
      <c r="I6101" s="1690"/>
      <c r="J6101" s="366"/>
      <c r="K6101" s="33"/>
    </row>
    <row r="6102" spans="1:11" s="191" customFormat="1" ht="15" customHeight="1">
      <c r="A6102" s="527"/>
      <c r="B6102" s="2247" t="s">
        <v>13311</v>
      </c>
      <c r="C6102" s="2248">
        <v>421</v>
      </c>
      <c r="D6102" s="1983">
        <f t="shared" ref="D6102:D6103" si="813">C6102*(1-VLOOKUP(I6102,descuentos,6,FALSE))*fcl/IF(dol_sol="dólar", TC,1)</f>
        <v>285.61736770691994</v>
      </c>
      <c r="E6102" s="2249">
        <v>5</v>
      </c>
      <c r="F6102" s="1985">
        <f t="shared" ref="F6102:F6103" si="814">D6102+E6102</f>
        <v>290.61736770691994</v>
      </c>
      <c r="G6102" s="1985" t="s">
        <v>13312</v>
      </c>
      <c r="H6102" s="458" t="s">
        <v>13311</v>
      </c>
      <c r="I6102" s="1690" t="s">
        <v>10969</v>
      </c>
      <c r="J6102" s="366" t="s">
        <v>1935</v>
      </c>
      <c r="K6102" s="33" t="s">
        <v>741</v>
      </c>
    </row>
    <row r="6103" spans="1:11" s="191" customFormat="1" ht="16.5" customHeight="1">
      <c r="A6103" s="527"/>
      <c r="B6103" s="2247" t="s">
        <v>13313</v>
      </c>
      <c r="C6103" s="2248">
        <v>544</v>
      </c>
      <c r="D6103" s="1983">
        <f t="shared" si="813"/>
        <v>369.06377204884666</v>
      </c>
      <c r="E6103" s="2249">
        <v>5</v>
      </c>
      <c r="F6103" s="1985">
        <f t="shared" si="814"/>
        <v>374.06377204884666</v>
      </c>
      <c r="G6103" s="1985" t="s">
        <v>13314</v>
      </c>
      <c r="H6103" s="458" t="s">
        <v>13313</v>
      </c>
      <c r="I6103" s="1690" t="s">
        <v>10969</v>
      </c>
      <c r="J6103" s="366" t="s">
        <v>1935</v>
      </c>
      <c r="K6103" s="33" t="s">
        <v>741</v>
      </c>
    </row>
    <row r="6104" spans="1:11" s="191" customFormat="1">
      <c r="A6104" s="185"/>
      <c r="B6104" s="139"/>
      <c r="C6104" s="521"/>
      <c r="D6104" s="230"/>
      <c r="E6104" s="185"/>
      <c r="F6104" s="185"/>
      <c r="G6104" s="140"/>
      <c r="H6104" s="458"/>
      <c r="I6104" s="1690"/>
      <c r="J6104" s="366"/>
      <c r="K6104" s="33"/>
    </row>
    <row r="6105" spans="1:11" s="191" customFormat="1">
      <c r="A6105" s="33"/>
      <c r="B6105" s="32" t="s">
        <v>10817</v>
      </c>
      <c r="C6105" s="521"/>
      <c r="D6105" s="230"/>
      <c r="E6105" s="390"/>
      <c r="F6105" s="22"/>
      <c r="G6105" s="33"/>
      <c r="H6105" s="458"/>
      <c r="I6105" s="1690"/>
      <c r="J6105" s="366"/>
      <c r="K6105" s="33"/>
    </row>
    <row r="6106" spans="1:11" s="191" customFormat="1" ht="16.5" customHeight="1">
      <c r="A6106" s="527"/>
      <c r="B6106" s="2247" t="s">
        <v>13315</v>
      </c>
      <c r="C6106" s="2248">
        <v>345</v>
      </c>
      <c r="D6106" s="1983">
        <f t="shared" ref="D6106" si="815">C6106*(1-VLOOKUP(I6106,descuentos,6,FALSE))*fcl/IF(dol_sol="dólar", TC,1)</f>
        <v>234.05698778833104</v>
      </c>
      <c r="E6106" s="2249">
        <v>5</v>
      </c>
      <c r="F6106" s="1985">
        <f t="shared" ref="F6106:F6107" si="816">D6106+E6106</f>
        <v>239.05698778833104</v>
      </c>
      <c r="G6106" s="1985" t="s">
        <v>13316</v>
      </c>
      <c r="H6106" s="458" t="s">
        <v>13315</v>
      </c>
      <c r="I6106" s="1690" t="s">
        <v>10969</v>
      </c>
      <c r="J6106" s="366" t="s">
        <v>1935</v>
      </c>
      <c r="K6106" s="33" t="s">
        <v>741</v>
      </c>
    </row>
    <row r="6107" spans="1:11" s="191" customFormat="1" ht="16.5" customHeight="1">
      <c r="A6107" s="527"/>
      <c r="B6107" s="2247" t="s">
        <v>13317</v>
      </c>
      <c r="C6107" s="2248">
        <v>438</v>
      </c>
      <c r="D6107" s="1983">
        <f t="shared" ref="D6107" si="817">C6107*(1-VLOOKUP(I6107,descuentos,6,FALSE))*fcl/IF(dol_sol="dólar", TC,1)</f>
        <v>297.15061058344639</v>
      </c>
      <c r="E6107" s="2249">
        <v>5</v>
      </c>
      <c r="F6107" s="1985">
        <f t="shared" si="816"/>
        <v>302.15061058344639</v>
      </c>
      <c r="G6107" s="1985" t="s">
        <v>13318</v>
      </c>
      <c r="H6107" s="458" t="s">
        <v>13317</v>
      </c>
      <c r="I6107" s="1690" t="s">
        <v>10969</v>
      </c>
      <c r="J6107" s="366" t="s">
        <v>1935</v>
      </c>
      <c r="K6107" s="33" t="s">
        <v>741</v>
      </c>
    </row>
    <row r="6108" spans="1:11" s="191" customFormat="1">
      <c r="A6108" s="33"/>
      <c r="B6108" s="536"/>
      <c r="C6108" s="521"/>
      <c r="D6108" s="230"/>
      <c r="E6108" s="163"/>
      <c r="F6108" s="22"/>
      <c r="G6108" s="22"/>
      <c r="H6108" s="458"/>
      <c r="I6108" s="1690"/>
      <c r="J6108" s="366"/>
      <c r="K6108" s="33"/>
    </row>
    <row r="6109" spans="1:11" s="191" customFormat="1">
      <c r="A6109" s="33"/>
      <c r="B6109" s="536"/>
      <c r="C6109" s="521"/>
      <c r="D6109" s="230"/>
      <c r="E6109" s="163"/>
      <c r="F6109" s="22"/>
      <c r="G6109" s="22"/>
      <c r="H6109" s="458"/>
      <c r="I6109" s="1690"/>
      <c r="J6109" s="366"/>
      <c r="K6109" s="33"/>
    </row>
    <row r="6110" spans="1:11" s="191" customFormat="1">
      <c r="A6110" s="33"/>
      <c r="B6110" s="536"/>
      <c r="C6110" s="521"/>
      <c r="D6110" s="230"/>
      <c r="E6110" s="163"/>
      <c r="F6110" s="22"/>
      <c r="G6110" s="22"/>
      <c r="H6110" s="458"/>
      <c r="I6110" s="1690"/>
      <c r="J6110" s="366"/>
      <c r="K6110" s="33"/>
    </row>
    <row r="6111" spans="1:11" s="191" customFormat="1" ht="16.8">
      <c r="A6111" s="529"/>
      <c r="B6111" s="1699" t="s">
        <v>11214</v>
      </c>
      <c r="C6111" s="521"/>
      <c r="D6111" s="230"/>
      <c r="E6111" s="531"/>
      <c r="F6111" s="532"/>
      <c r="G6111" s="532"/>
      <c r="H6111" s="458"/>
      <c r="I6111" s="1690" t="s">
        <v>10969</v>
      </c>
      <c r="J6111" s="366"/>
      <c r="K6111" s="33"/>
    </row>
    <row r="6112" spans="1:11" customFormat="1">
      <c r="A6112" s="1645"/>
      <c r="B6112" t="s">
        <v>11606</v>
      </c>
      <c r="C6112" s="521">
        <f>238*1.2</f>
        <v>285.59999999999997</v>
      </c>
      <c r="D6112" s="230">
        <f t="shared" ref="D6112:D6120" si="818">C6112*(1-VLOOKUP(I6112,descuentos,6,FALSE))*fcl/IF(dol_sol="dólar", TC,1)</f>
        <v>193.75848032564443</v>
      </c>
      <c r="E6112" s="163">
        <v>15</v>
      </c>
      <c r="F6112" s="22">
        <f t="shared" ref="F6112:F6120" si="819">D6112+E6112</f>
        <v>208.75848032564443</v>
      </c>
      <c r="G6112" s="410" t="s">
        <v>11607</v>
      </c>
      <c r="H6112" s="458" t="str">
        <f t="shared" ref="H6112:H6120" si="820">B6112</f>
        <v>3VM1196-3ED12-0AA0</v>
      </c>
      <c r="I6112" s="1690" t="s">
        <v>10969</v>
      </c>
      <c r="J6112" s="366" t="s">
        <v>1935</v>
      </c>
      <c r="K6112" s="33" t="s">
        <v>741</v>
      </c>
    </row>
    <row r="6113" spans="1:11" customFormat="1">
      <c r="A6113" s="1645"/>
      <c r="B6113" t="s">
        <v>11608</v>
      </c>
      <c r="C6113" s="521">
        <f t="shared" ref="C6113:C6118" si="821">238*1.2</f>
        <v>285.59999999999997</v>
      </c>
      <c r="D6113" s="230">
        <f t="shared" si="818"/>
        <v>193.75848032564443</v>
      </c>
      <c r="E6113" s="163">
        <v>15</v>
      </c>
      <c r="F6113" s="22">
        <f t="shared" si="819"/>
        <v>208.75848032564443</v>
      </c>
      <c r="G6113" s="410" t="s">
        <v>11609</v>
      </c>
      <c r="H6113" s="458" t="str">
        <f t="shared" si="820"/>
        <v>3VM1120-3ED12-0AA0</v>
      </c>
      <c r="I6113" s="1690" t="s">
        <v>10969</v>
      </c>
      <c r="J6113" s="366" t="s">
        <v>1935</v>
      </c>
      <c r="K6113" s="33" t="s">
        <v>741</v>
      </c>
    </row>
    <row r="6114" spans="1:11" customFormat="1">
      <c r="A6114" s="1645"/>
      <c r="B6114" t="s">
        <v>11610</v>
      </c>
      <c r="C6114" s="521">
        <f t="shared" si="821"/>
        <v>285.59999999999997</v>
      </c>
      <c r="D6114" s="230">
        <f t="shared" si="818"/>
        <v>193.75848032564443</v>
      </c>
      <c r="E6114" s="163">
        <v>15</v>
      </c>
      <c r="F6114" s="22">
        <f t="shared" si="819"/>
        <v>208.75848032564443</v>
      </c>
      <c r="G6114" s="410" t="s">
        <v>11611</v>
      </c>
      <c r="H6114" s="458" t="str">
        <f t="shared" si="820"/>
        <v>3VM1125-3ED12-0AA0</v>
      </c>
      <c r="I6114" s="1690" t="s">
        <v>10969</v>
      </c>
      <c r="J6114" s="366" t="s">
        <v>1935</v>
      </c>
      <c r="K6114" s="33" t="s">
        <v>741</v>
      </c>
    </row>
    <row r="6115" spans="1:11" customFormat="1" ht="14.25" customHeight="1">
      <c r="A6115" s="1645"/>
      <c r="B6115" t="s">
        <v>11612</v>
      </c>
      <c r="C6115" s="521">
        <f t="shared" si="821"/>
        <v>285.59999999999997</v>
      </c>
      <c r="D6115" s="230">
        <f t="shared" si="818"/>
        <v>193.75848032564443</v>
      </c>
      <c r="E6115" s="163">
        <v>15</v>
      </c>
      <c r="F6115" s="22">
        <f t="shared" si="819"/>
        <v>208.75848032564443</v>
      </c>
      <c r="G6115" s="410" t="s">
        <v>11613</v>
      </c>
      <c r="H6115" s="458" t="str">
        <f t="shared" si="820"/>
        <v>3VM1132-3ED12-0AA0</v>
      </c>
      <c r="I6115" s="1690" t="s">
        <v>10969</v>
      </c>
      <c r="J6115" s="366" t="s">
        <v>1935</v>
      </c>
      <c r="K6115" s="33" t="s">
        <v>741</v>
      </c>
    </row>
    <row r="6116" spans="1:11" customFormat="1" ht="14.25" customHeight="1">
      <c r="A6116" s="1645"/>
      <c r="B6116" t="s">
        <v>11614</v>
      </c>
      <c r="C6116" s="521">
        <f t="shared" si="821"/>
        <v>285.59999999999997</v>
      </c>
      <c r="D6116" s="230">
        <f t="shared" si="818"/>
        <v>193.75848032564443</v>
      </c>
      <c r="E6116" s="163">
        <v>15</v>
      </c>
      <c r="F6116" s="22">
        <f t="shared" si="819"/>
        <v>208.75848032564443</v>
      </c>
      <c r="G6116" s="410" t="s">
        <v>11615</v>
      </c>
      <c r="H6116" s="458" t="str">
        <f t="shared" si="820"/>
        <v>3VM1140-3ED12-0AA0</v>
      </c>
      <c r="I6116" s="1690" t="s">
        <v>10969</v>
      </c>
      <c r="J6116" s="366" t="s">
        <v>1935</v>
      </c>
      <c r="K6116" s="33" t="s">
        <v>741</v>
      </c>
    </row>
    <row r="6117" spans="1:11" customFormat="1" ht="14.25" customHeight="1">
      <c r="A6117" s="1645"/>
      <c r="B6117" t="s">
        <v>11616</v>
      </c>
      <c r="C6117" s="521">
        <f t="shared" si="821"/>
        <v>285.59999999999997</v>
      </c>
      <c r="D6117" s="230">
        <f t="shared" si="818"/>
        <v>193.75848032564443</v>
      </c>
      <c r="E6117" s="163">
        <v>15</v>
      </c>
      <c r="F6117" s="22">
        <f t="shared" si="819"/>
        <v>208.75848032564443</v>
      </c>
      <c r="G6117" s="410" t="s">
        <v>11617</v>
      </c>
      <c r="H6117" s="458" t="str">
        <f t="shared" si="820"/>
        <v>3VM1150-3ED12-0AA0</v>
      </c>
      <c r="I6117" s="1690" t="s">
        <v>10969</v>
      </c>
      <c r="J6117" s="366" t="s">
        <v>1935</v>
      </c>
      <c r="K6117" s="33" t="s">
        <v>741</v>
      </c>
    </row>
    <row r="6118" spans="1:11" customFormat="1">
      <c r="A6118" s="1645"/>
      <c r="B6118" t="s">
        <v>11618</v>
      </c>
      <c r="C6118" s="521">
        <f t="shared" si="821"/>
        <v>285.59999999999997</v>
      </c>
      <c r="D6118" s="230">
        <f t="shared" si="818"/>
        <v>193.75848032564443</v>
      </c>
      <c r="E6118" s="163">
        <v>15</v>
      </c>
      <c r="F6118" s="22">
        <f t="shared" si="819"/>
        <v>208.75848032564443</v>
      </c>
      <c r="G6118" s="410" t="s">
        <v>11619</v>
      </c>
      <c r="H6118" s="458" t="str">
        <f t="shared" si="820"/>
        <v>3VM1163-3ED12-0AA0</v>
      </c>
      <c r="I6118" s="1690" t="s">
        <v>10969</v>
      </c>
      <c r="J6118" s="366" t="s">
        <v>1935</v>
      </c>
      <c r="K6118" s="33" t="s">
        <v>741</v>
      </c>
    </row>
    <row r="6119" spans="1:11" customFormat="1">
      <c r="A6119" s="1645"/>
      <c r="B6119" t="s">
        <v>11620</v>
      </c>
      <c r="C6119" s="521">
        <f>266*1.2</f>
        <v>319.2</v>
      </c>
      <c r="D6119" s="230">
        <f t="shared" si="818"/>
        <v>216.55359565807325</v>
      </c>
      <c r="E6119" s="163">
        <v>15</v>
      </c>
      <c r="F6119" s="22">
        <f t="shared" si="819"/>
        <v>231.55359565807325</v>
      </c>
      <c r="G6119" s="410" t="s">
        <v>11621</v>
      </c>
      <c r="H6119" s="458" t="str">
        <f t="shared" si="820"/>
        <v>3VM1180-3ED12-0AA0</v>
      </c>
      <c r="I6119" s="1690" t="s">
        <v>10969</v>
      </c>
      <c r="J6119" s="366" t="s">
        <v>1935</v>
      </c>
      <c r="K6119" s="33" t="s">
        <v>741</v>
      </c>
    </row>
    <row r="6120" spans="1:11" customFormat="1">
      <c r="A6120" s="1645"/>
      <c r="B6120" t="s">
        <v>11622</v>
      </c>
      <c r="C6120" s="521">
        <f>303*1.2</f>
        <v>363.59999999999997</v>
      </c>
      <c r="D6120" s="230">
        <f t="shared" si="818"/>
        <v>246.67571234735408</v>
      </c>
      <c r="E6120" s="163">
        <v>15</v>
      </c>
      <c r="F6120" s="22">
        <f t="shared" si="819"/>
        <v>261.67571234735408</v>
      </c>
      <c r="G6120" s="410" t="s">
        <v>11623</v>
      </c>
      <c r="H6120" s="458" t="str">
        <f t="shared" si="820"/>
        <v>3VM1110-3ED12-0AA0</v>
      </c>
      <c r="I6120" s="1690" t="s">
        <v>10969</v>
      </c>
      <c r="J6120" s="366" t="s">
        <v>1935</v>
      </c>
      <c r="K6120" s="33" t="s">
        <v>741</v>
      </c>
    </row>
    <row r="6121" spans="1:11" customFormat="1">
      <c r="A6121" s="1645"/>
      <c r="C6121" s="521"/>
      <c r="D6121" s="230"/>
      <c r="E6121" s="163"/>
      <c r="F6121" s="22"/>
      <c r="G6121" s="410"/>
      <c r="H6121" s="458"/>
      <c r="I6121" s="1690"/>
      <c r="J6121" s="366"/>
      <c r="K6121" s="33"/>
    </row>
    <row r="6122" spans="1:11" customFormat="1">
      <c r="A6122" s="1645"/>
      <c r="B6122" t="s">
        <v>10116</v>
      </c>
      <c r="C6122" s="521">
        <v>238</v>
      </c>
      <c r="D6122" s="230">
        <f t="shared" ref="D6122:D6130" si="822">C6122*(1-VLOOKUP(I6122,descuentos,6,FALSE))*fcl/IF(dol_sol="dólar", TC,1)</f>
        <v>161.46540027137041</v>
      </c>
      <c r="E6122" s="163">
        <v>15</v>
      </c>
      <c r="F6122" s="22">
        <f t="shared" ref="F6122:F6130" si="823">D6122+E6122</f>
        <v>176.46540027137041</v>
      </c>
      <c r="G6122" s="410" t="s">
        <v>11624</v>
      </c>
      <c r="H6122" s="458" t="str">
        <f t="shared" ref="H6122:H6130" si="824">B6122</f>
        <v>3VM1196-3ED22-0AA0</v>
      </c>
      <c r="I6122" s="1690" t="s">
        <v>10969</v>
      </c>
      <c r="J6122" s="366" t="s">
        <v>1935</v>
      </c>
      <c r="K6122" s="33" t="s">
        <v>741</v>
      </c>
    </row>
    <row r="6123" spans="1:11" customFormat="1">
      <c r="A6123" s="1645"/>
      <c r="B6123" t="s">
        <v>10163</v>
      </c>
      <c r="C6123" s="521">
        <v>238</v>
      </c>
      <c r="D6123" s="230">
        <f t="shared" si="822"/>
        <v>161.46540027137041</v>
      </c>
      <c r="E6123" s="163">
        <v>15</v>
      </c>
      <c r="F6123" s="22">
        <f t="shared" si="823"/>
        <v>176.46540027137041</v>
      </c>
      <c r="G6123" s="410" t="s">
        <v>11625</v>
      </c>
      <c r="H6123" s="458" t="str">
        <f t="shared" si="824"/>
        <v>3VM1120-3ED22-0AA0</v>
      </c>
      <c r="I6123" s="1690" t="s">
        <v>10969</v>
      </c>
      <c r="J6123" s="366" t="s">
        <v>1935</v>
      </c>
      <c r="K6123" s="33" t="s">
        <v>741</v>
      </c>
    </row>
    <row r="6124" spans="1:11" customFormat="1">
      <c r="A6124" s="1645"/>
      <c r="B6124" t="s">
        <v>10164</v>
      </c>
      <c r="C6124" s="521">
        <v>238</v>
      </c>
      <c r="D6124" s="230">
        <f t="shared" si="822"/>
        <v>161.46540027137041</v>
      </c>
      <c r="E6124" s="163">
        <v>15</v>
      </c>
      <c r="F6124" s="22">
        <f t="shared" si="823"/>
        <v>176.46540027137041</v>
      </c>
      <c r="G6124" s="410" t="s">
        <v>11626</v>
      </c>
      <c r="H6124" s="458" t="str">
        <f t="shared" si="824"/>
        <v>3VM1125-3ED22-0AA0</v>
      </c>
      <c r="I6124" s="1690" t="s">
        <v>10969</v>
      </c>
      <c r="J6124" s="366" t="s">
        <v>1935</v>
      </c>
      <c r="K6124" s="33" t="s">
        <v>741</v>
      </c>
    </row>
    <row r="6125" spans="1:11" customFormat="1" ht="14.25" customHeight="1">
      <c r="A6125" s="1645"/>
      <c r="B6125" t="s">
        <v>10165</v>
      </c>
      <c r="C6125" s="521">
        <v>238</v>
      </c>
      <c r="D6125" s="230">
        <f t="shared" si="822"/>
        <v>161.46540027137041</v>
      </c>
      <c r="E6125" s="163">
        <v>15</v>
      </c>
      <c r="F6125" s="22">
        <f t="shared" si="823"/>
        <v>176.46540027137041</v>
      </c>
      <c r="G6125" s="410" t="s">
        <v>11627</v>
      </c>
      <c r="H6125" s="458" t="str">
        <f t="shared" si="824"/>
        <v>3VM1132-3ED22-0AA0</v>
      </c>
      <c r="I6125" s="1690" t="s">
        <v>10969</v>
      </c>
      <c r="J6125" s="366" t="s">
        <v>1935</v>
      </c>
      <c r="K6125" s="33" t="s">
        <v>741</v>
      </c>
    </row>
    <row r="6126" spans="1:11" customFormat="1" ht="14.25" customHeight="1">
      <c r="A6126" s="1645"/>
      <c r="B6126" t="s">
        <v>10166</v>
      </c>
      <c r="C6126" s="521">
        <v>238</v>
      </c>
      <c r="D6126" s="230">
        <f t="shared" si="822"/>
        <v>161.46540027137041</v>
      </c>
      <c r="E6126" s="163">
        <v>15</v>
      </c>
      <c r="F6126" s="22">
        <f t="shared" si="823"/>
        <v>176.46540027137041</v>
      </c>
      <c r="G6126" s="410" t="s">
        <v>11628</v>
      </c>
      <c r="H6126" s="458" t="str">
        <f t="shared" si="824"/>
        <v>3VM1140-3ED22-0AA0</v>
      </c>
      <c r="I6126" s="1690" t="s">
        <v>10969</v>
      </c>
      <c r="J6126" s="366" t="s">
        <v>1935</v>
      </c>
      <c r="K6126" s="33" t="s">
        <v>741</v>
      </c>
    </row>
    <row r="6127" spans="1:11" customFormat="1" ht="14.25" customHeight="1">
      <c r="A6127" s="1645"/>
      <c r="B6127" t="s">
        <v>10167</v>
      </c>
      <c r="C6127" s="521">
        <v>238</v>
      </c>
      <c r="D6127" s="230">
        <f t="shared" si="822"/>
        <v>161.46540027137041</v>
      </c>
      <c r="E6127" s="163">
        <v>15</v>
      </c>
      <c r="F6127" s="22">
        <f t="shared" si="823"/>
        <v>176.46540027137041</v>
      </c>
      <c r="G6127" s="410" t="s">
        <v>11629</v>
      </c>
      <c r="H6127" s="458" t="str">
        <f t="shared" si="824"/>
        <v>3VM1150-3ED22-0AA0</v>
      </c>
      <c r="I6127" s="1690" t="s">
        <v>10969</v>
      </c>
      <c r="J6127" s="366" t="s">
        <v>1935</v>
      </c>
      <c r="K6127" s="33" t="s">
        <v>741</v>
      </c>
    </row>
    <row r="6128" spans="1:11" customFormat="1">
      <c r="A6128" s="1645"/>
      <c r="B6128" t="s">
        <v>10168</v>
      </c>
      <c r="C6128" s="521">
        <v>238</v>
      </c>
      <c r="D6128" s="230">
        <f t="shared" si="822"/>
        <v>161.46540027137041</v>
      </c>
      <c r="E6128" s="163">
        <v>15</v>
      </c>
      <c r="F6128" s="22">
        <f t="shared" si="823"/>
        <v>176.46540027137041</v>
      </c>
      <c r="G6128" s="410" t="s">
        <v>11630</v>
      </c>
      <c r="H6128" s="458" t="str">
        <f t="shared" si="824"/>
        <v>3VM1163-3ED22-0AA0</v>
      </c>
      <c r="I6128" s="1690" t="s">
        <v>10969</v>
      </c>
      <c r="J6128" s="366" t="s">
        <v>1935</v>
      </c>
      <c r="K6128" s="33" t="s">
        <v>741</v>
      </c>
    </row>
    <row r="6129" spans="1:11" customFormat="1">
      <c r="A6129" s="1645"/>
      <c r="B6129" t="s">
        <v>10169</v>
      </c>
      <c r="C6129" s="521">
        <v>266</v>
      </c>
      <c r="D6129" s="230">
        <f t="shared" si="822"/>
        <v>180.46132971506105</v>
      </c>
      <c r="E6129" s="163">
        <v>15</v>
      </c>
      <c r="F6129" s="22">
        <f t="shared" si="823"/>
        <v>195.46132971506105</v>
      </c>
      <c r="G6129" s="410" t="s">
        <v>11631</v>
      </c>
      <c r="H6129" s="458" t="str">
        <f t="shared" si="824"/>
        <v>3VM1180-3ED22-0AA0</v>
      </c>
      <c r="I6129" s="1690" t="s">
        <v>10969</v>
      </c>
      <c r="J6129" s="366" t="s">
        <v>1935</v>
      </c>
      <c r="K6129" s="33" t="s">
        <v>741</v>
      </c>
    </row>
    <row r="6130" spans="1:11" customFormat="1">
      <c r="A6130" s="1645"/>
      <c r="B6130" t="s">
        <v>10170</v>
      </c>
      <c r="C6130" s="521">
        <v>303</v>
      </c>
      <c r="D6130" s="230">
        <f t="shared" si="822"/>
        <v>205.56309362279507</v>
      </c>
      <c r="E6130" s="163">
        <v>15</v>
      </c>
      <c r="F6130" s="22">
        <f t="shared" si="823"/>
        <v>220.56309362279507</v>
      </c>
      <c r="G6130" s="410" t="s">
        <v>11632</v>
      </c>
      <c r="H6130" s="458" t="str">
        <f t="shared" si="824"/>
        <v>3VM1110-3ED22-0AA0</v>
      </c>
      <c r="I6130" s="1690" t="s">
        <v>10969</v>
      </c>
      <c r="J6130" s="366" t="s">
        <v>1935</v>
      </c>
      <c r="K6130" s="33" t="s">
        <v>741</v>
      </c>
    </row>
    <row r="6131" spans="1:11" s="191" customFormat="1">
      <c r="A6131" s="185"/>
      <c r="B6131" s="538"/>
      <c r="C6131" s="521"/>
      <c r="D6131" s="230"/>
      <c r="E6131" s="540"/>
      <c r="F6131" s="410"/>
      <c r="G6131" s="410"/>
      <c r="H6131" s="458"/>
      <c r="I6131" s="1690"/>
      <c r="J6131" s="366"/>
      <c r="K6131" s="33"/>
    </row>
    <row r="6132" spans="1:11" customFormat="1">
      <c r="A6132" s="1645"/>
      <c r="B6132" t="s">
        <v>10117</v>
      </c>
      <c r="C6132" s="521">
        <v>256</v>
      </c>
      <c r="D6132" s="230">
        <f t="shared" ref="D6132:D6160" si="825">C6132*(1-VLOOKUP(I6132,descuentos,6,FALSE))*fcl/IF(dol_sol="dólar", TC,1)</f>
        <v>173.67706919945724</v>
      </c>
      <c r="E6132" s="163">
        <v>15</v>
      </c>
      <c r="F6132" s="22">
        <f t="shared" ref="F6132:F6143" si="826">D6132+E6132</f>
        <v>188.67706919945724</v>
      </c>
      <c r="G6132" s="410" t="s">
        <v>11215</v>
      </c>
      <c r="H6132" s="458" t="str">
        <f t="shared" ref="H6132:H6177" si="827">B6132</f>
        <v>3VM1020-2ED32-0AA0</v>
      </c>
      <c r="I6132" s="1690" t="s">
        <v>10969</v>
      </c>
      <c r="J6132" s="366" t="s">
        <v>1935</v>
      </c>
      <c r="K6132" s="33" t="s">
        <v>741</v>
      </c>
    </row>
    <row r="6133" spans="1:11" customFormat="1">
      <c r="A6133" s="1645"/>
      <c r="B6133" t="s">
        <v>10171</v>
      </c>
      <c r="C6133" s="521">
        <v>256</v>
      </c>
      <c r="D6133" s="230">
        <f t="shared" si="825"/>
        <v>173.67706919945724</v>
      </c>
      <c r="E6133" s="163">
        <v>15</v>
      </c>
      <c r="F6133" s="22">
        <f t="shared" si="826"/>
        <v>188.67706919945724</v>
      </c>
      <c r="G6133" s="410" t="s">
        <v>11216</v>
      </c>
      <c r="H6133" s="458" t="str">
        <f t="shared" si="827"/>
        <v>3VM1025-2ED32-0AA0</v>
      </c>
      <c r="I6133" s="1690" t="s">
        <v>10969</v>
      </c>
      <c r="J6133" s="366" t="s">
        <v>1935</v>
      </c>
      <c r="K6133" s="33" t="s">
        <v>741</v>
      </c>
    </row>
    <row r="6134" spans="1:11" customFormat="1" ht="14.25" customHeight="1">
      <c r="A6134" s="1645"/>
      <c r="B6134" t="s">
        <v>10172</v>
      </c>
      <c r="C6134" s="521">
        <v>256</v>
      </c>
      <c r="D6134" s="230">
        <f t="shared" si="825"/>
        <v>173.67706919945724</v>
      </c>
      <c r="E6134" s="163">
        <v>15</v>
      </c>
      <c r="F6134" s="22">
        <f t="shared" si="826"/>
        <v>188.67706919945724</v>
      </c>
      <c r="G6134" s="410" t="s">
        <v>11217</v>
      </c>
      <c r="H6134" s="458" t="str">
        <f t="shared" si="827"/>
        <v>3VM1032-2ED32-0AA0</v>
      </c>
      <c r="I6134" s="1690" t="s">
        <v>10969</v>
      </c>
      <c r="J6134" s="366" t="s">
        <v>1935</v>
      </c>
      <c r="K6134" s="33" t="s">
        <v>741</v>
      </c>
    </row>
    <row r="6135" spans="1:11" customFormat="1">
      <c r="A6135" s="1645"/>
      <c r="B6135" t="s">
        <v>10173</v>
      </c>
      <c r="C6135" s="521">
        <v>256</v>
      </c>
      <c r="D6135" s="230">
        <f t="shared" si="825"/>
        <v>173.67706919945724</v>
      </c>
      <c r="E6135" s="163">
        <v>15</v>
      </c>
      <c r="F6135" s="22">
        <f t="shared" si="826"/>
        <v>188.67706919945724</v>
      </c>
      <c r="G6135" s="410" t="s">
        <v>11218</v>
      </c>
      <c r="H6135" s="458" t="str">
        <f t="shared" si="827"/>
        <v>3VM1040-2ED32-0AA0</v>
      </c>
      <c r="I6135" s="1690" t="s">
        <v>10969</v>
      </c>
      <c r="J6135" s="366" t="s">
        <v>1935</v>
      </c>
      <c r="K6135" s="33" t="s">
        <v>741</v>
      </c>
    </row>
    <row r="6136" spans="1:11" customFormat="1">
      <c r="A6136" s="1645"/>
      <c r="B6136" t="s">
        <v>10174</v>
      </c>
      <c r="C6136" s="521">
        <v>256</v>
      </c>
      <c r="D6136" s="230">
        <f t="shared" si="825"/>
        <v>173.67706919945724</v>
      </c>
      <c r="E6136" s="163">
        <v>15</v>
      </c>
      <c r="F6136" s="22">
        <f t="shared" si="826"/>
        <v>188.67706919945724</v>
      </c>
      <c r="G6136" s="410" t="s">
        <v>11219</v>
      </c>
      <c r="H6136" s="458" t="str">
        <f t="shared" si="827"/>
        <v>3VM1050-2ED32-0AA0</v>
      </c>
      <c r="I6136" s="1690" t="s">
        <v>10969</v>
      </c>
      <c r="J6136" s="366" t="s">
        <v>1935</v>
      </c>
      <c r="K6136" s="33" t="s">
        <v>741</v>
      </c>
    </row>
    <row r="6137" spans="1:11" customFormat="1">
      <c r="A6137" s="1645"/>
      <c r="B6137" t="s">
        <v>10175</v>
      </c>
      <c r="C6137" s="521">
        <v>256</v>
      </c>
      <c r="D6137" s="230">
        <f t="shared" si="825"/>
        <v>173.67706919945724</v>
      </c>
      <c r="E6137" s="163">
        <v>15</v>
      </c>
      <c r="F6137" s="22">
        <f t="shared" si="826"/>
        <v>188.67706919945724</v>
      </c>
      <c r="G6137" s="410" t="s">
        <v>11220</v>
      </c>
      <c r="H6137" s="458" t="str">
        <f t="shared" si="827"/>
        <v>3VM1063-2ED32-0AA0</v>
      </c>
      <c r="I6137" s="1690" t="s">
        <v>10969</v>
      </c>
      <c r="J6137" s="366" t="s">
        <v>1935</v>
      </c>
      <c r="K6137" s="33" t="s">
        <v>741</v>
      </c>
    </row>
    <row r="6138" spans="1:11" customFormat="1">
      <c r="A6138" s="1645"/>
      <c r="B6138" t="s">
        <v>10176</v>
      </c>
      <c r="C6138" s="521">
        <v>279</v>
      </c>
      <c r="D6138" s="230">
        <f t="shared" si="825"/>
        <v>189.28086838534597</v>
      </c>
      <c r="E6138" s="163">
        <v>15</v>
      </c>
      <c r="F6138" s="22">
        <f t="shared" si="826"/>
        <v>204.28086838534597</v>
      </c>
      <c r="G6138" s="410" t="s">
        <v>11221</v>
      </c>
      <c r="H6138" s="458" t="str">
        <f t="shared" si="827"/>
        <v>3VM1080-2ED32-0AA0</v>
      </c>
      <c r="I6138" s="1690" t="s">
        <v>10969</v>
      </c>
      <c r="J6138" s="366" t="s">
        <v>1935</v>
      </c>
      <c r="K6138" s="33" t="s">
        <v>741</v>
      </c>
    </row>
    <row r="6139" spans="1:11" customFormat="1">
      <c r="A6139" s="1645"/>
      <c r="B6139" t="s">
        <v>10177</v>
      </c>
      <c r="C6139" s="521">
        <v>317</v>
      </c>
      <c r="D6139" s="230">
        <f t="shared" si="825"/>
        <v>215.0610583446404</v>
      </c>
      <c r="E6139" s="163">
        <v>15</v>
      </c>
      <c r="F6139" s="22">
        <f t="shared" si="826"/>
        <v>230.0610583446404</v>
      </c>
      <c r="G6139" s="410" t="s">
        <v>11222</v>
      </c>
      <c r="H6139" s="458" t="str">
        <f t="shared" si="827"/>
        <v>3VM1010-2ED32-0AA0</v>
      </c>
      <c r="I6139" s="1690" t="s">
        <v>10969</v>
      </c>
      <c r="J6139" s="366" t="s">
        <v>1935</v>
      </c>
      <c r="K6139" s="33" t="s">
        <v>741</v>
      </c>
    </row>
    <row r="6140" spans="1:11" customFormat="1">
      <c r="A6140" s="1645"/>
      <c r="C6140" s="521"/>
      <c r="D6140" s="230"/>
      <c r="E6140" s="163"/>
      <c r="F6140" s="22"/>
      <c r="G6140" s="410"/>
      <c r="H6140" s="458"/>
      <c r="I6140" s="1690"/>
      <c r="J6140" s="366"/>
      <c r="K6140" s="33"/>
    </row>
    <row r="6141" spans="1:11" customFormat="1">
      <c r="A6141" s="1645"/>
      <c r="C6141" s="521"/>
      <c r="D6141" s="230"/>
      <c r="E6141" s="163"/>
      <c r="F6141" s="22"/>
      <c r="G6141" s="410"/>
      <c r="H6141" s="458"/>
      <c r="I6141" s="1690"/>
      <c r="J6141" s="366"/>
      <c r="K6141" s="33"/>
    </row>
    <row r="6142" spans="1:11" customFormat="1">
      <c r="A6142" s="1645"/>
      <c r="B6142" s="19" t="s">
        <v>10178</v>
      </c>
      <c r="C6142" s="521">
        <v>541</v>
      </c>
      <c r="D6142" s="230">
        <f t="shared" si="825"/>
        <v>367.02849389416554</v>
      </c>
      <c r="E6142" s="163">
        <v>15</v>
      </c>
      <c r="F6142" s="22">
        <f t="shared" si="826"/>
        <v>382.02849389416554</v>
      </c>
      <c r="G6142" s="410" t="s">
        <v>11223</v>
      </c>
      <c r="H6142" s="458" t="str">
        <f t="shared" si="827"/>
        <v>3VM1112-3ED32-0AA0</v>
      </c>
      <c r="I6142" s="1690" t="s">
        <v>10969</v>
      </c>
      <c r="J6142" s="366" t="s">
        <v>1935</v>
      </c>
      <c r="K6142" s="33" t="s">
        <v>741</v>
      </c>
    </row>
    <row r="6143" spans="1:11" customFormat="1">
      <c r="A6143" s="1645"/>
      <c r="B6143" s="19" t="s">
        <v>11224</v>
      </c>
      <c r="C6143" s="521">
        <v>634</v>
      </c>
      <c r="D6143" s="230">
        <f t="shared" si="825"/>
        <v>430.1221166892808</v>
      </c>
      <c r="E6143" s="163">
        <v>15</v>
      </c>
      <c r="F6143" s="22">
        <f t="shared" si="826"/>
        <v>445.1221166892808</v>
      </c>
      <c r="G6143" s="410" t="s">
        <v>11225</v>
      </c>
      <c r="H6143" s="458" t="str">
        <f t="shared" si="827"/>
        <v>3VM1116-3ED32-0AA0</v>
      </c>
      <c r="I6143" s="1690" t="s">
        <v>10969</v>
      </c>
      <c r="J6143" s="366" t="s">
        <v>1935</v>
      </c>
      <c r="K6143" s="33" t="s">
        <v>741</v>
      </c>
    </row>
    <row r="6144" spans="1:11" customFormat="1">
      <c r="A6144" s="1645"/>
      <c r="C6144" s="521"/>
      <c r="D6144" s="230"/>
      <c r="E6144" s="163"/>
      <c r="F6144" s="22"/>
      <c r="G6144" s="410"/>
      <c r="H6144" s="458"/>
      <c r="I6144" s="1690"/>
      <c r="J6144" s="366"/>
      <c r="K6144" s="33"/>
    </row>
    <row r="6145" spans="1:30" customFormat="1">
      <c r="A6145" s="1645"/>
      <c r="B6145" s="19" t="s">
        <v>10118</v>
      </c>
      <c r="C6145" s="521">
        <v>854</v>
      </c>
      <c r="D6145" s="230">
        <f t="shared" ref="D6145:D6146" si="828">C6145*(1-VLOOKUP(I6145,descuentos,6,FALSE))*fcl/IF(dol_sol="dólar", TC,1)</f>
        <v>579.37584803256436</v>
      </c>
      <c r="E6145" s="163">
        <v>15</v>
      </c>
      <c r="F6145" s="22">
        <f t="shared" ref="F6145:F6146" si="829">D6145+E6145</f>
        <v>594.37584803256436</v>
      </c>
      <c r="G6145" s="410" t="s">
        <v>11226</v>
      </c>
      <c r="H6145" s="458" t="str">
        <f t="shared" ref="H6145:H6146" si="830">B6145</f>
        <v>3VM1220-4ED32-0AA0</v>
      </c>
      <c r="I6145" s="1690" t="s">
        <v>10969</v>
      </c>
      <c r="J6145" s="366" t="s">
        <v>1935</v>
      </c>
      <c r="K6145" s="33" t="s">
        <v>741</v>
      </c>
    </row>
    <row r="6146" spans="1:30" customFormat="1">
      <c r="A6146" s="1645"/>
      <c r="B6146" s="19" t="s">
        <v>10119</v>
      </c>
      <c r="C6146" s="521">
        <v>970</v>
      </c>
      <c r="D6146" s="230">
        <f t="shared" si="828"/>
        <v>658.0732700135685</v>
      </c>
      <c r="E6146" s="163">
        <v>15</v>
      </c>
      <c r="F6146" s="22">
        <f t="shared" si="829"/>
        <v>673.0732700135685</v>
      </c>
      <c r="G6146" s="410" t="s">
        <v>11227</v>
      </c>
      <c r="H6146" s="458" t="str">
        <f t="shared" si="830"/>
        <v>3VM1225-4ED32-0AA0</v>
      </c>
      <c r="I6146" s="1690" t="s">
        <v>10969</v>
      </c>
      <c r="J6146" s="366" t="s">
        <v>1935</v>
      </c>
      <c r="K6146" s="33" t="s">
        <v>741</v>
      </c>
    </row>
    <row r="6147" spans="1:30" customFormat="1">
      <c r="A6147" s="1645"/>
      <c r="C6147" s="521"/>
      <c r="D6147" s="230"/>
      <c r="E6147" s="163"/>
      <c r="F6147" s="22"/>
      <c r="G6147" s="410"/>
      <c r="H6147" s="458"/>
      <c r="I6147" s="1690"/>
      <c r="J6147" s="366"/>
      <c r="K6147" s="33"/>
    </row>
    <row r="6148" spans="1:30" s="191" customFormat="1">
      <c r="A6148" s="185"/>
      <c r="B6148" s="538"/>
      <c r="C6148" s="521"/>
      <c r="D6148" s="230"/>
      <c r="E6148" s="540"/>
      <c r="F6148" s="410"/>
      <c r="G6148" s="410"/>
      <c r="H6148" s="458"/>
      <c r="I6148" s="1690"/>
      <c r="J6148" s="366"/>
      <c r="K6148" s="33"/>
    </row>
    <row r="6149" spans="1:30" s="191" customFormat="1">
      <c r="A6149" s="33"/>
      <c r="B6149" s="524"/>
      <c r="C6149" s="521"/>
      <c r="D6149" s="230"/>
      <c r="E6149" s="390"/>
      <c r="F6149" s="22"/>
      <c r="G6149" s="22"/>
      <c r="H6149" s="458"/>
      <c r="I6149" s="1690"/>
      <c r="J6149" s="366"/>
      <c r="K6149" s="33"/>
      <c r="L6149" s="102"/>
      <c r="M6149" s="102"/>
      <c r="N6149" s="102"/>
      <c r="O6149" s="102"/>
      <c r="P6149" s="102"/>
      <c r="Q6149" s="102"/>
      <c r="R6149" s="102"/>
      <c r="S6149" s="102"/>
      <c r="T6149" s="102"/>
      <c r="U6149" s="102"/>
      <c r="V6149" s="102"/>
      <c r="W6149" s="102"/>
      <c r="X6149" s="102"/>
      <c r="Y6149" s="102"/>
      <c r="Z6149" s="102"/>
      <c r="AA6149" s="102"/>
      <c r="AB6149" s="102"/>
      <c r="AC6149" s="102"/>
      <c r="AD6149" s="102"/>
    </row>
    <row r="6150" spans="1:30" customFormat="1">
      <c r="A6150" s="1645"/>
      <c r="B6150" s="19" t="s">
        <v>10120</v>
      </c>
      <c r="C6150" s="521">
        <v>343</v>
      </c>
      <c r="D6150" s="230">
        <f t="shared" si="825"/>
        <v>232.70013568521028</v>
      </c>
      <c r="E6150" s="163">
        <v>15</v>
      </c>
      <c r="F6150" s="22">
        <f t="shared" ref="F6150:F6160" si="831">D6150+E6150</f>
        <v>247.70013568521028</v>
      </c>
      <c r="G6150" s="410" t="s">
        <v>11228</v>
      </c>
      <c r="H6150" s="458" t="str">
        <f t="shared" si="827"/>
        <v>3VM1196-3EE32-0AA0</v>
      </c>
      <c r="I6150" s="1690" t="s">
        <v>10969</v>
      </c>
      <c r="J6150" s="366" t="s">
        <v>1935</v>
      </c>
      <c r="K6150" s="33" t="s">
        <v>741</v>
      </c>
    </row>
    <row r="6151" spans="1:30" customFormat="1">
      <c r="A6151" s="1645"/>
      <c r="B6151" t="s">
        <v>10121</v>
      </c>
      <c r="C6151" s="521">
        <v>343</v>
      </c>
      <c r="D6151" s="230">
        <f t="shared" si="825"/>
        <v>232.70013568521028</v>
      </c>
      <c r="E6151" s="163">
        <v>15</v>
      </c>
      <c r="F6151" s="22">
        <f t="shared" si="831"/>
        <v>247.70013568521028</v>
      </c>
      <c r="G6151" s="410" t="s">
        <v>11229</v>
      </c>
      <c r="H6151" s="458" t="str">
        <f t="shared" si="827"/>
        <v>3VM1120-3EE32-0AA0</v>
      </c>
      <c r="I6151" s="1690" t="s">
        <v>10969</v>
      </c>
      <c r="J6151" s="366" t="s">
        <v>1935</v>
      </c>
      <c r="K6151" s="33" t="s">
        <v>741</v>
      </c>
    </row>
    <row r="6152" spans="1:30" customFormat="1" ht="14.25" customHeight="1">
      <c r="A6152" s="1645"/>
      <c r="B6152" t="s">
        <v>10122</v>
      </c>
      <c r="C6152" s="521">
        <v>343</v>
      </c>
      <c r="D6152" s="230">
        <f t="shared" si="825"/>
        <v>232.70013568521028</v>
      </c>
      <c r="E6152" s="163">
        <v>15</v>
      </c>
      <c r="F6152" s="22">
        <f t="shared" si="831"/>
        <v>247.70013568521028</v>
      </c>
      <c r="G6152" s="410" t="s">
        <v>11230</v>
      </c>
      <c r="H6152" s="458" t="str">
        <f t="shared" si="827"/>
        <v>3VM1125-3EE32-0AA0</v>
      </c>
      <c r="I6152" s="1690" t="s">
        <v>10969</v>
      </c>
      <c r="J6152" s="366" t="s">
        <v>1935</v>
      </c>
      <c r="K6152" s="33" t="s">
        <v>741</v>
      </c>
    </row>
    <row r="6153" spans="1:30" customFormat="1">
      <c r="A6153" s="1645"/>
      <c r="B6153" t="s">
        <v>10123</v>
      </c>
      <c r="C6153" s="521">
        <v>343</v>
      </c>
      <c r="D6153" s="230">
        <f t="shared" si="825"/>
        <v>232.70013568521028</v>
      </c>
      <c r="E6153" s="163">
        <v>15</v>
      </c>
      <c r="F6153" s="22">
        <f t="shared" si="831"/>
        <v>247.70013568521028</v>
      </c>
      <c r="G6153" s="410" t="s">
        <v>11231</v>
      </c>
      <c r="H6153" s="458" t="str">
        <f t="shared" si="827"/>
        <v>3VM1132-3EE32-0AA0</v>
      </c>
      <c r="I6153" s="1690" t="s">
        <v>10969</v>
      </c>
      <c r="J6153" s="366" t="s">
        <v>1935</v>
      </c>
      <c r="K6153" s="33" t="s">
        <v>741</v>
      </c>
    </row>
    <row r="6154" spans="1:30" customFormat="1">
      <c r="A6154" s="1645"/>
      <c r="B6154" t="s">
        <v>10124</v>
      </c>
      <c r="C6154" s="521">
        <v>343</v>
      </c>
      <c r="D6154" s="230">
        <f t="shared" si="825"/>
        <v>232.70013568521028</v>
      </c>
      <c r="E6154" s="163">
        <v>15</v>
      </c>
      <c r="F6154" s="22">
        <f t="shared" si="831"/>
        <v>247.70013568521028</v>
      </c>
      <c r="G6154" s="410" t="s">
        <v>11232</v>
      </c>
      <c r="H6154" s="458" t="str">
        <f t="shared" si="827"/>
        <v>3VM1140-3EE32-0AA0</v>
      </c>
      <c r="I6154" s="1690" t="s">
        <v>10969</v>
      </c>
      <c r="J6154" s="366" t="s">
        <v>1935</v>
      </c>
      <c r="K6154" s="33" t="s">
        <v>741</v>
      </c>
    </row>
    <row r="6155" spans="1:30" customFormat="1">
      <c r="A6155" s="1645"/>
      <c r="B6155" t="s">
        <v>10125</v>
      </c>
      <c r="C6155" s="521">
        <v>343</v>
      </c>
      <c r="D6155" s="230">
        <f t="shared" si="825"/>
        <v>232.70013568521028</v>
      </c>
      <c r="E6155" s="163">
        <v>15</v>
      </c>
      <c r="F6155" s="22">
        <f t="shared" si="831"/>
        <v>247.70013568521028</v>
      </c>
      <c r="G6155" s="410" t="s">
        <v>11233</v>
      </c>
      <c r="H6155" s="458" t="str">
        <f t="shared" si="827"/>
        <v>3VM1150-3EE32-0AA0</v>
      </c>
      <c r="I6155" s="1690" t="s">
        <v>10969</v>
      </c>
      <c r="J6155" s="366" t="s">
        <v>1935</v>
      </c>
      <c r="K6155" s="33" t="s">
        <v>741</v>
      </c>
    </row>
    <row r="6156" spans="1:30" customFormat="1">
      <c r="A6156" s="1645"/>
      <c r="B6156" s="19" t="s">
        <v>10126</v>
      </c>
      <c r="C6156" s="521">
        <v>343</v>
      </c>
      <c r="D6156" s="230">
        <f t="shared" si="825"/>
        <v>232.70013568521028</v>
      </c>
      <c r="E6156" s="163">
        <v>15</v>
      </c>
      <c r="F6156" s="22">
        <f t="shared" si="831"/>
        <v>247.70013568521028</v>
      </c>
      <c r="G6156" s="410" t="s">
        <v>11234</v>
      </c>
      <c r="H6156" s="458" t="str">
        <f t="shared" si="827"/>
        <v>3VM1163-3EE32-0AA0</v>
      </c>
      <c r="I6156" s="1690" t="s">
        <v>10969</v>
      </c>
      <c r="J6156" s="366" t="s">
        <v>1935</v>
      </c>
      <c r="K6156" s="33" t="s">
        <v>741</v>
      </c>
    </row>
    <row r="6157" spans="1:30" customFormat="1">
      <c r="A6157" s="1645"/>
      <c r="B6157" t="s">
        <v>10127</v>
      </c>
      <c r="C6157" s="521">
        <v>376</v>
      </c>
      <c r="D6157" s="230">
        <f t="shared" si="825"/>
        <v>255.08819538670284</v>
      </c>
      <c r="E6157" s="163">
        <v>15</v>
      </c>
      <c r="F6157" s="22">
        <f t="shared" si="831"/>
        <v>270.08819538670286</v>
      </c>
      <c r="G6157" s="410" t="s">
        <v>11235</v>
      </c>
      <c r="H6157" s="458" t="str">
        <f t="shared" si="827"/>
        <v>3VM1180-3EE32-0AA0</v>
      </c>
      <c r="I6157" s="1690" t="s">
        <v>10969</v>
      </c>
      <c r="J6157" s="366" t="s">
        <v>1935</v>
      </c>
      <c r="K6157" s="33" t="s">
        <v>741</v>
      </c>
    </row>
    <row r="6158" spans="1:30" customFormat="1">
      <c r="A6158" s="1645"/>
      <c r="B6158" t="s">
        <v>10128</v>
      </c>
      <c r="C6158" s="521">
        <v>374</v>
      </c>
      <c r="D6158" s="230">
        <f t="shared" si="825"/>
        <v>253.73134328358205</v>
      </c>
      <c r="E6158" s="163">
        <v>15</v>
      </c>
      <c r="F6158" s="22">
        <f t="shared" si="831"/>
        <v>268.73134328358208</v>
      </c>
      <c r="G6158" s="410" t="s">
        <v>11236</v>
      </c>
      <c r="H6158" s="458" t="str">
        <f t="shared" si="827"/>
        <v>3VM1110-3EE32-0AA0</v>
      </c>
      <c r="I6158" s="1690" t="s">
        <v>10969</v>
      </c>
      <c r="J6158" s="366" t="s">
        <v>1935</v>
      </c>
      <c r="K6158" s="33" t="s">
        <v>741</v>
      </c>
    </row>
    <row r="6159" spans="1:30" customFormat="1">
      <c r="A6159" s="1645"/>
      <c r="B6159" t="s">
        <v>10129</v>
      </c>
      <c r="C6159" s="521">
        <v>497</v>
      </c>
      <c r="D6159" s="230">
        <f t="shared" si="825"/>
        <v>337.1777476255088</v>
      </c>
      <c r="E6159" s="163">
        <v>15</v>
      </c>
      <c r="F6159" s="22">
        <f t="shared" si="831"/>
        <v>352.1777476255088</v>
      </c>
      <c r="G6159" s="410" t="s">
        <v>11237</v>
      </c>
      <c r="H6159" s="458" t="str">
        <f t="shared" si="827"/>
        <v>3VM1112-3EE32-0AA0</v>
      </c>
      <c r="I6159" s="1690" t="s">
        <v>10969</v>
      </c>
      <c r="J6159" s="366" t="s">
        <v>1935</v>
      </c>
      <c r="K6159" s="33" t="s">
        <v>741</v>
      </c>
    </row>
    <row r="6160" spans="1:30" customFormat="1">
      <c r="A6160" s="1645"/>
      <c r="B6160" t="s">
        <v>10130</v>
      </c>
      <c r="C6160" s="521">
        <v>577</v>
      </c>
      <c r="D6160" s="230">
        <f t="shared" si="825"/>
        <v>391.45183175033918</v>
      </c>
      <c r="E6160" s="163">
        <v>15</v>
      </c>
      <c r="F6160" s="22">
        <f t="shared" si="831"/>
        <v>406.45183175033918</v>
      </c>
      <c r="G6160" s="410" t="s">
        <v>11238</v>
      </c>
      <c r="H6160" s="458" t="str">
        <f t="shared" si="827"/>
        <v>3VM1116-3EE32-0AA0</v>
      </c>
      <c r="I6160" s="1690" t="s">
        <v>10969</v>
      </c>
      <c r="J6160" s="366" t="s">
        <v>1935</v>
      </c>
      <c r="K6160" s="33" t="s">
        <v>741</v>
      </c>
    </row>
    <row r="6161" spans="1:30" s="191" customFormat="1">
      <c r="A6161" s="185"/>
      <c r="B6161" s="139"/>
      <c r="C6161" s="521"/>
      <c r="D6161" s="230"/>
      <c r="E6161" s="185"/>
      <c r="F6161" s="185"/>
      <c r="G6161" s="140"/>
      <c r="H6161" s="458"/>
      <c r="I6161" s="1690"/>
      <c r="J6161" s="366"/>
      <c r="K6161" s="33"/>
    </row>
    <row r="6162" spans="1:30" s="191" customFormat="1">
      <c r="A6162" s="33"/>
      <c r="B6162" s="524"/>
      <c r="C6162" s="521"/>
      <c r="D6162" s="230"/>
      <c r="E6162" s="390"/>
      <c r="F6162" s="22"/>
      <c r="G6162" s="22"/>
      <c r="H6162" s="458"/>
      <c r="I6162" s="1690"/>
      <c r="J6162" s="366"/>
      <c r="K6162" s="33"/>
      <c r="L6162" s="102"/>
      <c r="M6162" s="102"/>
      <c r="N6162" s="102"/>
      <c r="O6162" s="102"/>
      <c r="P6162" s="102"/>
      <c r="Q6162" s="102"/>
      <c r="R6162" s="102"/>
      <c r="S6162" s="102"/>
      <c r="T6162" s="102"/>
      <c r="U6162" s="102"/>
      <c r="V6162" s="102"/>
      <c r="W6162" s="102"/>
      <c r="X6162" s="102"/>
      <c r="Y6162" s="102"/>
      <c r="Z6162" s="102"/>
      <c r="AA6162" s="102"/>
      <c r="AB6162" s="102"/>
      <c r="AC6162" s="102"/>
      <c r="AD6162" s="102"/>
    </row>
    <row r="6163" spans="1:30" customFormat="1">
      <c r="A6163" s="1645"/>
      <c r="B6163" s="19" t="s">
        <v>10131</v>
      </c>
      <c r="C6163" s="521">
        <v>390</v>
      </c>
      <c r="D6163" s="230">
        <f t="shared" ref="D6163:D6224" si="832">C6163*(1-VLOOKUP(I6163,descuentos,6,FALSE))*fcl/IF(dol_sol="dólar", TC,1)</f>
        <v>264.58616010854814</v>
      </c>
      <c r="E6163" s="163">
        <v>15</v>
      </c>
      <c r="F6163" s="22">
        <f t="shared" ref="F6163:F6177" si="833">D6163+E6163</f>
        <v>279.58616010854814</v>
      </c>
      <c r="G6163" s="410" t="s">
        <v>11239</v>
      </c>
      <c r="H6163" s="458" t="str">
        <f t="shared" si="827"/>
        <v>3VM1196-4EE32-0AA0</v>
      </c>
      <c r="I6163" s="1690" t="s">
        <v>10969</v>
      </c>
      <c r="J6163" s="366" t="s">
        <v>1935</v>
      </c>
      <c r="K6163" s="33" t="s">
        <v>741</v>
      </c>
    </row>
    <row r="6164" spans="1:30" customFormat="1">
      <c r="A6164" s="1645"/>
      <c r="B6164" t="s">
        <v>10132</v>
      </c>
      <c r="C6164" s="521">
        <v>390</v>
      </c>
      <c r="D6164" s="230">
        <f t="shared" si="832"/>
        <v>264.58616010854814</v>
      </c>
      <c r="E6164" s="163">
        <v>15</v>
      </c>
      <c r="F6164" s="22">
        <f t="shared" si="833"/>
        <v>279.58616010854814</v>
      </c>
      <c r="G6164" s="410" t="s">
        <v>11240</v>
      </c>
      <c r="H6164" s="458" t="str">
        <f t="shared" si="827"/>
        <v>3VM1120-4EE32-0AA0</v>
      </c>
      <c r="I6164" s="1690" t="s">
        <v>10969</v>
      </c>
      <c r="J6164" s="366" t="s">
        <v>1935</v>
      </c>
      <c r="K6164" s="33" t="s">
        <v>741</v>
      </c>
    </row>
    <row r="6165" spans="1:30" customFormat="1" ht="14.25" customHeight="1">
      <c r="A6165" s="1645"/>
      <c r="B6165" t="s">
        <v>10133</v>
      </c>
      <c r="C6165" s="521">
        <v>390</v>
      </c>
      <c r="D6165" s="230">
        <f t="shared" si="832"/>
        <v>264.58616010854814</v>
      </c>
      <c r="E6165" s="163">
        <v>15</v>
      </c>
      <c r="F6165" s="22">
        <f t="shared" si="833"/>
        <v>279.58616010854814</v>
      </c>
      <c r="G6165" s="410" t="s">
        <v>11241</v>
      </c>
      <c r="H6165" s="458" t="str">
        <f t="shared" si="827"/>
        <v>3VM1125-4EE32-0AA0</v>
      </c>
      <c r="I6165" s="1690" t="s">
        <v>10969</v>
      </c>
      <c r="J6165" s="366" t="s">
        <v>1935</v>
      </c>
      <c r="K6165" s="33" t="s">
        <v>741</v>
      </c>
    </row>
    <row r="6166" spans="1:30" customFormat="1">
      <c r="A6166" s="1645"/>
      <c r="B6166" t="s">
        <v>10134</v>
      </c>
      <c r="C6166" s="521">
        <v>390</v>
      </c>
      <c r="D6166" s="230">
        <f t="shared" si="832"/>
        <v>264.58616010854814</v>
      </c>
      <c r="E6166" s="163">
        <v>15</v>
      </c>
      <c r="F6166" s="22">
        <f t="shared" si="833"/>
        <v>279.58616010854814</v>
      </c>
      <c r="G6166" s="410" t="s">
        <v>11242</v>
      </c>
      <c r="H6166" s="458" t="str">
        <f t="shared" si="827"/>
        <v>3VM1132-4EE32-0AA0</v>
      </c>
      <c r="I6166" s="1690" t="s">
        <v>10969</v>
      </c>
      <c r="J6166" s="366" t="s">
        <v>1935</v>
      </c>
      <c r="K6166" s="33" t="s">
        <v>741</v>
      </c>
    </row>
    <row r="6167" spans="1:30" customFormat="1">
      <c r="A6167" s="1645"/>
      <c r="B6167" s="19" t="s">
        <v>10135</v>
      </c>
      <c r="C6167" s="521">
        <v>390</v>
      </c>
      <c r="D6167" s="230">
        <f t="shared" si="832"/>
        <v>264.58616010854814</v>
      </c>
      <c r="E6167" s="163">
        <v>15</v>
      </c>
      <c r="F6167" s="22">
        <f t="shared" si="833"/>
        <v>279.58616010854814</v>
      </c>
      <c r="G6167" s="410" t="s">
        <v>11243</v>
      </c>
      <c r="H6167" s="458" t="str">
        <f t="shared" si="827"/>
        <v>3VM1140-4EE32-0AA0</v>
      </c>
      <c r="I6167" s="1690" t="s">
        <v>10969</v>
      </c>
      <c r="J6167" s="366" t="s">
        <v>1935</v>
      </c>
      <c r="K6167" s="33" t="s">
        <v>741</v>
      </c>
    </row>
    <row r="6168" spans="1:30" customFormat="1">
      <c r="A6168" s="1645"/>
      <c r="B6168" t="s">
        <v>10136</v>
      </c>
      <c r="C6168" s="521">
        <v>390</v>
      </c>
      <c r="D6168" s="230">
        <f t="shared" si="832"/>
        <v>264.58616010854814</v>
      </c>
      <c r="E6168" s="163">
        <v>15</v>
      </c>
      <c r="F6168" s="22">
        <f t="shared" si="833"/>
        <v>279.58616010854814</v>
      </c>
      <c r="G6168" s="410" t="s">
        <v>11244</v>
      </c>
      <c r="H6168" s="458" t="str">
        <f t="shared" si="827"/>
        <v>3VM1150-4EE32-0AA0</v>
      </c>
      <c r="I6168" s="1690" t="s">
        <v>10969</v>
      </c>
      <c r="J6168" s="366" t="s">
        <v>1935</v>
      </c>
      <c r="K6168" s="33" t="s">
        <v>741</v>
      </c>
    </row>
    <row r="6169" spans="1:30" customFormat="1">
      <c r="A6169" s="1645"/>
      <c r="B6169" s="19" t="s">
        <v>10137</v>
      </c>
      <c r="C6169" s="521">
        <v>390</v>
      </c>
      <c r="D6169" s="230">
        <f t="shared" si="832"/>
        <v>264.58616010854814</v>
      </c>
      <c r="E6169" s="163">
        <v>15</v>
      </c>
      <c r="F6169" s="22">
        <f t="shared" si="833"/>
        <v>279.58616010854814</v>
      </c>
      <c r="G6169" s="410" t="s">
        <v>11245</v>
      </c>
      <c r="H6169" s="458" t="str">
        <f t="shared" si="827"/>
        <v>3VM1163-4EE32-0AA0</v>
      </c>
      <c r="I6169" s="1690" t="s">
        <v>10969</v>
      </c>
      <c r="J6169" s="366" t="s">
        <v>1935</v>
      </c>
      <c r="K6169" s="33" t="s">
        <v>741</v>
      </c>
    </row>
    <row r="6170" spans="1:30" customFormat="1">
      <c r="A6170" s="1645"/>
      <c r="B6170" t="s">
        <v>10138</v>
      </c>
      <c r="C6170" s="521">
        <v>427</v>
      </c>
      <c r="D6170" s="230">
        <f t="shared" si="832"/>
        <v>289.68792401628218</v>
      </c>
      <c r="E6170" s="163">
        <v>15</v>
      </c>
      <c r="F6170" s="22">
        <f t="shared" si="833"/>
        <v>304.68792401628218</v>
      </c>
      <c r="G6170" s="410" t="s">
        <v>11246</v>
      </c>
      <c r="H6170" s="458" t="str">
        <f t="shared" si="827"/>
        <v>3VM1180-4EE32-0AA0</v>
      </c>
      <c r="I6170" s="1690" t="s">
        <v>10969</v>
      </c>
      <c r="J6170" s="366" t="s">
        <v>1935</v>
      </c>
      <c r="K6170" s="33" t="s">
        <v>741</v>
      </c>
    </row>
    <row r="6171" spans="1:30" customFormat="1">
      <c r="A6171" s="1645"/>
      <c r="B6171" t="s">
        <v>10139</v>
      </c>
      <c r="C6171" s="521">
        <v>495</v>
      </c>
      <c r="D6171" s="230">
        <f t="shared" si="832"/>
        <v>335.82089552238796</v>
      </c>
      <c r="E6171" s="163">
        <v>15</v>
      </c>
      <c r="F6171" s="22">
        <f t="shared" si="833"/>
        <v>350.82089552238796</v>
      </c>
      <c r="G6171" s="410" t="s">
        <v>11247</v>
      </c>
      <c r="H6171" s="458" t="str">
        <f t="shared" si="827"/>
        <v>3VM1110-4EE32-0AA0</v>
      </c>
      <c r="I6171" s="1690" t="s">
        <v>10969</v>
      </c>
      <c r="J6171" s="366" t="s">
        <v>1935</v>
      </c>
      <c r="K6171" s="33" t="s">
        <v>741</v>
      </c>
    </row>
    <row r="6172" spans="1:30" customFormat="1">
      <c r="A6172" s="1645"/>
      <c r="B6172" t="s">
        <v>10140</v>
      </c>
      <c r="C6172" s="521">
        <v>659</v>
      </c>
      <c r="D6172" s="230">
        <f t="shared" si="832"/>
        <v>447.08276797829029</v>
      </c>
      <c r="E6172" s="163">
        <v>15</v>
      </c>
      <c r="F6172" s="22">
        <f t="shared" si="833"/>
        <v>462.08276797829029</v>
      </c>
      <c r="G6172" s="410" t="s">
        <v>11248</v>
      </c>
      <c r="H6172" s="458" t="str">
        <f t="shared" si="827"/>
        <v>3VM1112-4EE32-0AA0</v>
      </c>
      <c r="I6172" s="1690" t="s">
        <v>10969</v>
      </c>
      <c r="J6172" s="366" t="s">
        <v>1935</v>
      </c>
      <c r="K6172" s="33" t="s">
        <v>741</v>
      </c>
    </row>
    <row r="6173" spans="1:30" customFormat="1">
      <c r="A6173" s="1645"/>
      <c r="B6173" t="s">
        <v>10141</v>
      </c>
      <c r="C6173" s="521">
        <v>694</v>
      </c>
      <c r="D6173" s="230">
        <f t="shared" si="832"/>
        <v>470.8276797829036</v>
      </c>
      <c r="E6173" s="163">
        <v>15</v>
      </c>
      <c r="F6173" s="22">
        <f t="shared" si="833"/>
        <v>485.8276797829036</v>
      </c>
      <c r="G6173" s="410" t="s">
        <v>11249</v>
      </c>
      <c r="H6173" s="458" t="str">
        <f t="shared" si="827"/>
        <v>3VM1116-4EE32-0AA0</v>
      </c>
      <c r="I6173" s="1690" t="s">
        <v>10969</v>
      </c>
      <c r="J6173" s="366" t="s">
        <v>1935</v>
      </c>
      <c r="K6173" s="33" t="s">
        <v>741</v>
      </c>
    </row>
    <row r="6174" spans="1:30" customFormat="1">
      <c r="A6174" s="1645"/>
      <c r="B6174" t="s">
        <v>10142</v>
      </c>
      <c r="C6174" s="521">
        <v>935</v>
      </c>
      <c r="D6174" s="230">
        <f t="shared" si="832"/>
        <v>634.32835820895525</v>
      </c>
      <c r="E6174" s="163">
        <v>20</v>
      </c>
      <c r="F6174" s="22">
        <f t="shared" si="833"/>
        <v>654.32835820895525</v>
      </c>
      <c r="G6174" s="410" t="s">
        <v>11250</v>
      </c>
      <c r="H6174" s="458" t="str">
        <f t="shared" si="827"/>
        <v>3VM1220-4EE32-0AA0</v>
      </c>
      <c r="I6174" s="1690" t="s">
        <v>10969</v>
      </c>
      <c r="J6174" s="366" t="s">
        <v>1935</v>
      </c>
      <c r="K6174" s="33" t="s">
        <v>741</v>
      </c>
    </row>
    <row r="6175" spans="1:30" customFormat="1">
      <c r="A6175" s="1645"/>
      <c r="B6175" s="19" t="s">
        <v>10143</v>
      </c>
      <c r="C6175" s="521">
        <v>979</v>
      </c>
      <c r="D6175" s="230">
        <f t="shared" si="832"/>
        <v>664.17910447761176</v>
      </c>
      <c r="E6175" s="163">
        <v>20</v>
      </c>
      <c r="F6175" s="22">
        <f t="shared" si="833"/>
        <v>684.17910447761176</v>
      </c>
      <c r="G6175" s="410" t="s">
        <v>11251</v>
      </c>
      <c r="H6175" s="458" t="str">
        <f t="shared" si="827"/>
        <v>3VM1225-4EE32-0AA0</v>
      </c>
      <c r="I6175" s="1690" t="s">
        <v>10969</v>
      </c>
      <c r="J6175" s="366" t="s">
        <v>1935</v>
      </c>
      <c r="K6175" s="33" t="s">
        <v>741</v>
      </c>
    </row>
    <row r="6176" spans="1:30" customFormat="1">
      <c r="A6176" s="1645"/>
      <c r="B6176" t="s">
        <v>14034</v>
      </c>
      <c r="C6176" s="521">
        <v>1465</v>
      </c>
      <c r="D6176" s="230">
        <f t="shared" ref="D6176:D6177" si="834">C6176*(1-VLOOKUP(I6176,descuentos,6,FALSE))*fcl/IF(dol_sol="dólar", TC,1)</f>
        <v>993.8941655359564</v>
      </c>
      <c r="E6176" s="163">
        <v>30</v>
      </c>
      <c r="F6176" s="22">
        <f t="shared" si="833"/>
        <v>1023.8941655359564</v>
      </c>
      <c r="G6176" s="410" t="s">
        <v>14035</v>
      </c>
      <c r="H6176" s="458" t="str">
        <f t="shared" si="827"/>
        <v>3VM1340-4EE32-0AA0</v>
      </c>
      <c r="I6176" s="1690" t="s">
        <v>10969</v>
      </c>
      <c r="J6176" s="366" t="s">
        <v>1935</v>
      </c>
      <c r="K6176" s="33" t="s">
        <v>741</v>
      </c>
    </row>
    <row r="6177" spans="1:11" customFormat="1">
      <c r="A6177" s="1645"/>
      <c r="B6177" s="19" t="s">
        <v>14036</v>
      </c>
      <c r="C6177" s="521">
        <v>1882</v>
      </c>
      <c r="D6177" s="230">
        <f t="shared" si="834"/>
        <v>1276.797829036635</v>
      </c>
      <c r="E6177" s="163">
        <v>30</v>
      </c>
      <c r="F6177" s="22">
        <f t="shared" si="833"/>
        <v>1306.797829036635</v>
      </c>
      <c r="G6177" s="410" t="s">
        <v>14037</v>
      </c>
      <c r="H6177" s="458" t="str">
        <f t="shared" si="827"/>
        <v>3VM1463-4EE32-0AA0</v>
      </c>
      <c r="I6177" s="1690" t="s">
        <v>10969</v>
      </c>
      <c r="J6177" s="366" t="s">
        <v>1935</v>
      </c>
      <c r="K6177" s="33" t="s">
        <v>741</v>
      </c>
    </row>
    <row r="6178" spans="1:11" s="191" customFormat="1">
      <c r="A6178" s="185"/>
      <c r="B6178" s="139"/>
      <c r="C6178" s="521"/>
      <c r="D6178" s="230"/>
      <c r="E6178" s="185"/>
      <c r="F6178" s="185"/>
      <c r="G6178" s="140"/>
      <c r="H6178" s="458"/>
      <c r="I6178" s="1690"/>
      <c r="J6178" s="366"/>
      <c r="K6178" s="33"/>
    </row>
    <row r="6179" spans="1:11" s="191" customFormat="1">
      <c r="A6179" s="185"/>
      <c r="B6179" s="139"/>
      <c r="C6179" s="521"/>
      <c r="D6179" s="230"/>
      <c r="E6179" s="185"/>
      <c r="F6179" s="185"/>
      <c r="G6179" s="140"/>
      <c r="H6179" s="458"/>
      <c r="I6179" s="1690"/>
      <c r="J6179" s="366"/>
      <c r="K6179" s="33"/>
    </row>
    <row r="6180" spans="1:11" customFormat="1">
      <c r="A6180" s="1645"/>
      <c r="B6180" s="19" t="s">
        <v>11252</v>
      </c>
      <c r="C6180" s="521">
        <v>422</v>
      </c>
      <c r="D6180" s="230">
        <f t="shared" ref="D6180:D6192" si="835">C6180*(1-VLOOKUP(I6180,descuentos,6,FALSE))*fcl/IF(dol_sol="dólar", TC,1)</f>
        <v>286.29579375848027</v>
      </c>
      <c r="E6180" s="163">
        <v>15</v>
      </c>
      <c r="F6180" s="22">
        <f t="shared" ref="F6180:F6192" si="836">D6180+E6180</f>
        <v>301.29579375848027</v>
      </c>
      <c r="G6180" s="410" t="s">
        <v>11253</v>
      </c>
      <c r="H6180" s="458" t="str">
        <f t="shared" ref="H6180:H6192" si="837">B6180</f>
        <v>3VM1196-3GE42-0AA0</v>
      </c>
      <c r="I6180" s="1690" t="s">
        <v>10969</v>
      </c>
      <c r="J6180" s="366" t="s">
        <v>1935</v>
      </c>
      <c r="K6180" s="33" t="s">
        <v>741</v>
      </c>
    </row>
    <row r="6181" spans="1:11" customFormat="1">
      <c r="A6181" s="1645"/>
      <c r="B6181" t="s">
        <v>11254</v>
      </c>
      <c r="C6181" s="521">
        <v>422</v>
      </c>
      <c r="D6181" s="230">
        <f t="shared" si="835"/>
        <v>286.29579375848027</v>
      </c>
      <c r="E6181" s="163">
        <v>15</v>
      </c>
      <c r="F6181" s="22">
        <f t="shared" si="836"/>
        <v>301.29579375848027</v>
      </c>
      <c r="G6181" s="410" t="s">
        <v>11255</v>
      </c>
      <c r="H6181" s="458" t="str">
        <f t="shared" si="837"/>
        <v>3VM1120-3GE42-0AA0</v>
      </c>
      <c r="I6181" s="1690" t="s">
        <v>10969</v>
      </c>
      <c r="J6181" s="366" t="s">
        <v>1935</v>
      </c>
      <c r="K6181" s="33" t="s">
        <v>741</v>
      </c>
    </row>
    <row r="6182" spans="1:11" customFormat="1" ht="14.25" customHeight="1">
      <c r="A6182" s="1645"/>
      <c r="B6182" t="s">
        <v>11256</v>
      </c>
      <c r="C6182" s="521">
        <v>422</v>
      </c>
      <c r="D6182" s="230">
        <f t="shared" si="835"/>
        <v>286.29579375848027</v>
      </c>
      <c r="E6182" s="163">
        <v>15</v>
      </c>
      <c r="F6182" s="22">
        <f t="shared" si="836"/>
        <v>301.29579375848027</v>
      </c>
      <c r="G6182" s="410" t="s">
        <v>11257</v>
      </c>
      <c r="H6182" s="458" t="str">
        <f t="shared" si="837"/>
        <v>3VM1125-3GE42-0AA0</v>
      </c>
      <c r="I6182" s="1690" t="s">
        <v>10969</v>
      </c>
      <c r="J6182" s="366" t="s">
        <v>1935</v>
      </c>
      <c r="K6182" s="33" t="s">
        <v>741</v>
      </c>
    </row>
    <row r="6183" spans="1:11" customFormat="1">
      <c r="A6183" s="1645"/>
      <c r="B6183" t="s">
        <v>11258</v>
      </c>
      <c r="C6183" s="521">
        <v>422</v>
      </c>
      <c r="D6183" s="230">
        <f t="shared" si="835"/>
        <v>286.29579375848027</v>
      </c>
      <c r="E6183" s="163">
        <v>15</v>
      </c>
      <c r="F6183" s="22">
        <f t="shared" si="836"/>
        <v>301.29579375848027</v>
      </c>
      <c r="G6183" s="410" t="s">
        <v>11259</v>
      </c>
      <c r="H6183" s="458" t="str">
        <f t="shared" si="837"/>
        <v>3VM1132-3GE42-0AA0</v>
      </c>
      <c r="I6183" s="1690" t="s">
        <v>10969</v>
      </c>
      <c r="J6183" s="366" t="s">
        <v>1935</v>
      </c>
      <c r="K6183" s="33" t="s">
        <v>741</v>
      </c>
    </row>
    <row r="6184" spans="1:11" customFormat="1">
      <c r="A6184" s="1645"/>
      <c r="B6184" s="19" t="s">
        <v>11260</v>
      </c>
      <c r="C6184" s="521">
        <v>422</v>
      </c>
      <c r="D6184" s="230">
        <f t="shared" si="835"/>
        <v>286.29579375848027</v>
      </c>
      <c r="E6184" s="163">
        <v>15</v>
      </c>
      <c r="F6184" s="22">
        <f t="shared" si="836"/>
        <v>301.29579375848027</v>
      </c>
      <c r="G6184" s="410" t="s">
        <v>11261</v>
      </c>
      <c r="H6184" s="458" t="str">
        <f t="shared" si="837"/>
        <v>3VM1140-3GE42-0AA0</v>
      </c>
      <c r="I6184" s="1690" t="s">
        <v>10969</v>
      </c>
      <c r="J6184" s="366" t="s">
        <v>1935</v>
      </c>
      <c r="K6184" s="33" t="s">
        <v>741</v>
      </c>
    </row>
    <row r="6185" spans="1:11" customFormat="1">
      <c r="A6185" s="1645"/>
      <c r="B6185" t="s">
        <v>11262</v>
      </c>
      <c r="C6185" s="521">
        <v>422</v>
      </c>
      <c r="D6185" s="230">
        <f t="shared" si="835"/>
        <v>286.29579375848027</v>
      </c>
      <c r="E6185" s="163">
        <v>15</v>
      </c>
      <c r="F6185" s="22">
        <f t="shared" si="836"/>
        <v>301.29579375848027</v>
      </c>
      <c r="G6185" s="410" t="s">
        <v>11263</v>
      </c>
      <c r="H6185" s="458" t="str">
        <f t="shared" si="837"/>
        <v>3VM1150-3GE42-0AA0</v>
      </c>
      <c r="I6185" s="1690" t="s">
        <v>10969</v>
      </c>
      <c r="J6185" s="366" t="s">
        <v>1935</v>
      </c>
      <c r="K6185" s="33" t="s">
        <v>741</v>
      </c>
    </row>
    <row r="6186" spans="1:11" customFormat="1">
      <c r="A6186" s="1645"/>
      <c r="B6186" s="19" t="s">
        <v>11264</v>
      </c>
      <c r="C6186" s="521">
        <v>422</v>
      </c>
      <c r="D6186" s="230">
        <f t="shared" si="835"/>
        <v>286.29579375848027</v>
      </c>
      <c r="E6186" s="163">
        <v>15</v>
      </c>
      <c r="F6186" s="22">
        <f t="shared" si="836"/>
        <v>301.29579375848027</v>
      </c>
      <c r="G6186" s="410" t="s">
        <v>11265</v>
      </c>
      <c r="H6186" s="458" t="str">
        <f t="shared" si="837"/>
        <v>3VM1163-3GE42-0AA0</v>
      </c>
      <c r="I6186" s="1690" t="s">
        <v>10969</v>
      </c>
      <c r="J6186" s="366" t="s">
        <v>1935</v>
      </c>
      <c r="K6186" s="33" t="s">
        <v>741</v>
      </c>
    </row>
    <row r="6187" spans="1:11" customFormat="1">
      <c r="A6187" s="1645"/>
      <c r="B6187" t="s">
        <v>11266</v>
      </c>
      <c r="C6187" s="521">
        <v>463</v>
      </c>
      <c r="D6187" s="230">
        <f t="shared" si="835"/>
        <v>314.11126187245588</v>
      </c>
      <c r="E6187" s="163">
        <v>15</v>
      </c>
      <c r="F6187" s="22">
        <f t="shared" si="836"/>
        <v>329.11126187245588</v>
      </c>
      <c r="G6187" s="410" t="s">
        <v>11267</v>
      </c>
      <c r="H6187" s="458" t="str">
        <f t="shared" si="837"/>
        <v>3VM1180-3GE42-0AA0</v>
      </c>
      <c r="I6187" s="1690" t="s">
        <v>10969</v>
      </c>
      <c r="J6187" s="366" t="s">
        <v>1935</v>
      </c>
      <c r="K6187" s="33" t="s">
        <v>741</v>
      </c>
    </row>
    <row r="6188" spans="1:11" customFormat="1">
      <c r="A6188" s="1645"/>
      <c r="B6188" t="s">
        <v>11268</v>
      </c>
      <c r="C6188" s="521">
        <v>535</v>
      </c>
      <c r="D6188" s="230">
        <f t="shared" si="835"/>
        <v>362.95793758480318</v>
      </c>
      <c r="E6188" s="163">
        <v>15</v>
      </c>
      <c r="F6188" s="22">
        <f t="shared" si="836"/>
        <v>377.95793758480318</v>
      </c>
      <c r="G6188" s="410" t="s">
        <v>11269</v>
      </c>
      <c r="H6188" s="458" t="str">
        <f t="shared" si="837"/>
        <v>3VM1110-3GE42-0AA0</v>
      </c>
      <c r="I6188" s="1690" t="s">
        <v>10969</v>
      </c>
      <c r="J6188" s="366" t="s">
        <v>1935</v>
      </c>
      <c r="K6188" s="33" t="s">
        <v>741</v>
      </c>
    </row>
    <row r="6189" spans="1:11" customFormat="1">
      <c r="A6189" s="1645"/>
      <c r="B6189" t="s">
        <v>11270</v>
      </c>
      <c r="C6189" s="521">
        <v>866</v>
      </c>
      <c r="D6189" s="230">
        <f t="shared" si="835"/>
        <v>587.51696065128897</v>
      </c>
      <c r="E6189" s="163">
        <v>15</v>
      </c>
      <c r="F6189" s="22">
        <f t="shared" si="836"/>
        <v>602.51696065128897</v>
      </c>
      <c r="G6189" s="410" t="s">
        <v>11271</v>
      </c>
      <c r="H6189" s="458" t="str">
        <f t="shared" si="837"/>
        <v>3VM1112-3GE42-0AA0</v>
      </c>
      <c r="I6189" s="1690" t="s">
        <v>10969</v>
      </c>
      <c r="J6189" s="366" t="s">
        <v>1935</v>
      </c>
      <c r="K6189" s="33" t="s">
        <v>741</v>
      </c>
    </row>
    <row r="6190" spans="1:11" customFormat="1">
      <c r="A6190" s="1645"/>
      <c r="B6190" t="s">
        <v>11272</v>
      </c>
      <c r="C6190" s="521">
        <v>886</v>
      </c>
      <c r="D6190" s="230">
        <f t="shared" si="835"/>
        <v>601.08548168249661</v>
      </c>
      <c r="E6190" s="163">
        <v>15</v>
      </c>
      <c r="F6190" s="22">
        <f t="shared" si="836"/>
        <v>616.08548168249661</v>
      </c>
      <c r="G6190" s="410" t="s">
        <v>11273</v>
      </c>
      <c r="H6190" s="458" t="str">
        <f t="shared" si="837"/>
        <v>3VM1116-3GE42-0AA0</v>
      </c>
      <c r="I6190" s="1690" t="s">
        <v>10969</v>
      </c>
      <c r="J6190" s="366" t="s">
        <v>1935</v>
      </c>
      <c r="K6190" s="33" t="s">
        <v>741</v>
      </c>
    </row>
    <row r="6191" spans="1:11" customFormat="1">
      <c r="A6191" s="1645"/>
      <c r="B6191" t="s">
        <v>11274</v>
      </c>
      <c r="C6191" s="521">
        <v>1137</v>
      </c>
      <c r="D6191" s="230">
        <f t="shared" si="835"/>
        <v>771.37042062415196</v>
      </c>
      <c r="E6191" s="163">
        <v>20</v>
      </c>
      <c r="F6191" s="22">
        <f t="shared" si="836"/>
        <v>791.37042062415196</v>
      </c>
      <c r="G6191" s="410" t="s">
        <v>11275</v>
      </c>
      <c r="H6191" s="458" t="str">
        <f t="shared" si="837"/>
        <v>3VM1220-4GE42-0AA0</v>
      </c>
      <c r="I6191" s="1690" t="s">
        <v>10969</v>
      </c>
      <c r="J6191" s="366" t="s">
        <v>1935</v>
      </c>
      <c r="K6191" s="33" t="s">
        <v>741</v>
      </c>
    </row>
    <row r="6192" spans="1:11" customFormat="1">
      <c r="A6192" s="1645"/>
      <c r="B6192" s="19" t="s">
        <v>11276</v>
      </c>
      <c r="C6192" s="521">
        <v>1269</v>
      </c>
      <c r="D6192" s="230">
        <f t="shared" si="835"/>
        <v>860.92265943012205</v>
      </c>
      <c r="E6192" s="163">
        <v>20</v>
      </c>
      <c r="F6192" s="22">
        <f t="shared" si="836"/>
        <v>880.92265943012205</v>
      </c>
      <c r="G6192" s="410" t="s">
        <v>11277</v>
      </c>
      <c r="H6192" s="458" t="str">
        <f t="shared" si="837"/>
        <v>3VM1225-4GE42-0AA0</v>
      </c>
      <c r="I6192" s="1690" t="s">
        <v>10969</v>
      </c>
      <c r="J6192" s="366" t="s">
        <v>1935</v>
      </c>
      <c r="K6192" s="33" t="s">
        <v>741</v>
      </c>
    </row>
    <row r="6193" spans="1:11" s="191" customFormat="1">
      <c r="A6193" s="185"/>
      <c r="B6193" s="185"/>
      <c r="C6193" s="521"/>
      <c r="D6193" s="230"/>
      <c r="E6193" s="671"/>
      <c r="F6193" s="671"/>
      <c r="G6193" s="185"/>
      <c r="H6193" s="458"/>
      <c r="I6193" s="1690"/>
      <c r="J6193" s="366"/>
      <c r="K6193" s="33"/>
    </row>
    <row r="6194" spans="1:11" customFormat="1">
      <c r="A6194" s="1645"/>
      <c r="B6194" s="19" t="s">
        <v>11278</v>
      </c>
      <c r="C6194" s="521">
        <v>89</v>
      </c>
      <c r="D6194" s="230">
        <f t="shared" ref="D6194:D6195" si="838">C6194*(1-VLOOKUP(I6194,descuentos,6,FALSE))*fcl/IF(dol_sol="dólar", TC,1)</f>
        <v>60.379918588873807</v>
      </c>
      <c r="E6194" s="163">
        <v>5</v>
      </c>
      <c r="F6194" s="22">
        <f t="shared" ref="F6194:F6195" si="839">D6194+E6194</f>
        <v>65.379918588873807</v>
      </c>
      <c r="G6194" s="410" t="s">
        <v>11279</v>
      </c>
      <c r="H6194" s="458" t="str">
        <f t="shared" ref="H6194:H6195" si="840">B6194</f>
        <v>3VM9988-0AA13</v>
      </c>
      <c r="I6194" s="1690" t="s">
        <v>10969</v>
      </c>
      <c r="J6194" s="366" t="s">
        <v>1935</v>
      </c>
      <c r="K6194" s="33" t="s">
        <v>741</v>
      </c>
    </row>
    <row r="6195" spans="1:11" customFormat="1">
      <c r="A6195" s="1645"/>
      <c r="B6195" t="s">
        <v>11280</v>
      </c>
      <c r="C6195" s="521">
        <v>212</v>
      </c>
      <c r="D6195" s="230">
        <f t="shared" si="838"/>
        <v>143.82632293080053</v>
      </c>
      <c r="E6195" s="163">
        <v>10</v>
      </c>
      <c r="F6195" s="22">
        <f t="shared" si="839"/>
        <v>153.82632293080053</v>
      </c>
      <c r="G6195" s="410" t="s">
        <v>11281</v>
      </c>
      <c r="H6195" s="458" t="str">
        <f t="shared" si="840"/>
        <v>3VM9908-0BL33</v>
      </c>
      <c r="I6195" s="1690" t="s">
        <v>10969</v>
      </c>
      <c r="J6195" s="366" t="s">
        <v>1935</v>
      </c>
      <c r="K6195" s="33" t="s">
        <v>741</v>
      </c>
    </row>
    <row r="6196" spans="1:11" s="191" customFormat="1">
      <c r="A6196" s="185"/>
      <c r="B6196" s="185"/>
      <c r="C6196" s="521"/>
      <c r="D6196" s="230"/>
      <c r="E6196" s="671"/>
      <c r="F6196" s="671"/>
      <c r="G6196" s="185"/>
      <c r="H6196" s="458"/>
      <c r="I6196" s="1690"/>
      <c r="J6196" s="366"/>
      <c r="K6196" s="33"/>
    </row>
    <row r="6197" spans="1:11" s="191" customFormat="1" ht="16.8">
      <c r="A6197" s="529"/>
      <c r="B6197" s="1699" t="s">
        <v>11282</v>
      </c>
      <c r="C6197" s="521"/>
      <c r="D6197" s="230"/>
      <c r="E6197" s="531"/>
      <c r="F6197" s="532"/>
      <c r="G6197" s="532"/>
      <c r="H6197" s="458"/>
      <c r="I6197" s="1690"/>
      <c r="J6197" s="366"/>
      <c r="K6197" s="33"/>
    </row>
    <row r="6198" spans="1:11" customFormat="1">
      <c r="A6198" s="19"/>
      <c r="C6198" s="1700"/>
      <c r="D6198" s="1484"/>
      <c r="E6198" s="1551"/>
      <c r="F6198" s="133"/>
      <c r="G6198" s="133"/>
      <c r="H6198" s="135"/>
      <c r="I6198" s="1701"/>
      <c r="J6198" s="371"/>
      <c r="K6198" s="19"/>
    </row>
    <row r="6199" spans="1:11" s="191" customFormat="1">
      <c r="A6199" s="528"/>
      <c r="B6199" t="s">
        <v>13319</v>
      </c>
      <c r="C6199" s="521">
        <v>216</v>
      </c>
      <c r="D6199" s="230">
        <f t="shared" ref="D6199" si="841">C6199*(1-VLOOKUP(I6199,descuentos,6,FALSE))*fcl/IF(dol_sol="dólar", TC,1)</f>
        <v>146.54002713704205</v>
      </c>
      <c r="E6199" s="163">
        <v>20</v>
      </c>
      <c r="F6199" s="22">
        <f t="shared" ref="F6199:F6200" si="842">D6199+E6199</f>
        <v>166.54002713704205</v>
      </c>
      <c r="G6199" s="410" t="s">
        <v>13320</v>
      </c>
      <c r="H6199" s="458" t="str">
        <f t="shared" ref="H6199:H6200" si="843">B6199</f>
        <v>3VA1132-3ED12-0AA0</v>
      </c>
      <c r="I6199" s="1690" t="s">
        <v>10969</v>
      </c>
      <c r="J6199" s="366" t="s">
        <v>1935</v>
      </c>
      <c r="K6199" s="33" t="s">
        <v>741</v>
      </c>
    </row>
    <row r="6200" spans="1:11" s="191" customFormat="1">
      <c r="A6200" s="528"/>
      <c r="B6200" t="s">
        <v>13321</v>
      </c>
      <c r="C6200" s="521">
        <v>256</v>
      </c>
      <c r="D6200" s="230">
        <f t="shared" ref="D6200" si="844">C6200*(1-VLOOKUP(I6200,descuentos,6,FALSE))*fcl/IF(dol_sol="dólar", TC,1)</f>
        <v>173.67706919945724</v>
      </c>
      <c r="E6200" s="163">
        <v>20</v>
      </c>
      <c r="F6200" s="22">
        <f t="shared" si="842"/>
        <v>193.67706919945724</v>
      </c>
      <c r="G6200" s="410" t="s">
        <v>13322</v>
      </c>
      <c r="H6200" s="458" t="str">
        <f t="shared" si="843"/>
        <v>3VA1132-5ED12-0AA0</v>
      </c>
      <c r="I6200" s="1690" t="s">
        <v>10969</v>
      </c>
      <c r="J6200" s="366" t="s">
        <v>1935</v>
      </c>
      <c r="K6200" s="33" t="s">
        <v>741</v>
      </c>
    </row>
    <row r="6201" spans="1:11" customFormat="1">
      <c r="A6201" s="19"/>
      <c r="C6201" s="1700"/>
      <c r="D6201" s="1484"/>
      <c r="E6201" s="1551"/>
      <c r="F6201" s="133"/>
      <c r="G6201" s="133"/>
      <c r="H6201" s="135"/>
      <c r="I6201" s="1701"/>
      <c r="J6201" s="371"/>
      <c r="K6201" s="19"/>
    </row>
    <row r="6202" spans="1:11" s="191" customFormat="1">
      <c r="A6202" s="528"/>
      <c r="B6202" t="s">
        <v>13323</v>
      </c>
      <c r="C6202" s="521">
        <v>430</v>
      </c>
      <c r="D6202" s="230">
        <f t="shared" ref="D6202:D6211" si="845">C6202*(1-VLOOKUP(I6202,descuentos,6,FALSE))*fcl/IF(dol_sol="dólar", TC,1)</f>
        <v>291.7232021709633</v>
      </c>
      <c r="E6202" s="163">
        <v>20</v>
      </c>
      <c r="F6202" s="22">
        <f t="shared" ref="F6202:F6211" si="846">D6202+E6202</f>
        <v>311.7232021709633</v>
      </c>
      <c r="G6202" s="410" t="s">
        <v>13324</v>
      </c>
      <c r="H6202" s="458" t="str">
        <f t="shared" ref="H6202:H6211" si="847">B6202</f>
        <v>3VA1120-3ED32-0AA0</v>
      </c>
      <c r="I6202" s="1690" t="s">
        <v>10969</v>
      </c>
      <c r="J6202" s="366" t="s">
        <v>1935</v>
      </c>
      <c r="K6202" s="33" t="s">
        <v>741</v>
      </c>
    </row>
    <row r="6203" spans="1:11" s="191" customFormat="1">
      <c r="A6203" s="528"/>
      <c r="B6203" t="s">
        <v>13325</v>
      </c>
      <c r="C6203" s="521">
        <v>430</v>
      </c>
      <c r="D6203" s="230">
        <f t="shared" si="845"/>
        <v>291.7232021709633</v>
      </c>
      <c r="E6203" s="163">
        <v>20</v>
      </c>
      <c r="F6203" s="22">
        <f t="shared" si="846"/>
        <v>311.7232021709633</v>
      </c>
      <c r="G6203" s="410" t="s">
        <v>13326</v>
      </c>
      <c r="H6203" s="458" t="str">
        <f t="shared" si="847"/>
        <v>3VA1125-3ED32-0AA0</v>
      </c>
      <c r="I6203" s="1690" t="s">
        <v>10969</v>
      </c>
      <c r="J6203" s="366" t="s">
        <v>1935</v>
      </c>
      <c r="K6203" s="33" t="s">
        <v>741</v>
      </c>
    </row>
    <row r="6204" spans="1:11" s="191" customFormat="1">
      <c r="A6204" s="528"/>
      <c r="B6204" t="s">
        <v>13327</v>
      </c>
      <c r="C6204" s="521">
        <v>430</v>
      </c>
      <c r="D6204" s="230">
        <f t="shared" si="845"/>
        <v>291.7232021709633</v>
      </c>
      <c r="E6204" s="163">
        <v>20</v>
      </c>
      <c r="F6204" s="22">
        <f t="shared" si="846"/>
        <v>311.7232021709633</v>
      </c>
      <c r="G6204" s="410" t="s">
        <v>13328</v>
      </c>
      <c r="H6204" s="458" t="str">
        <f t="shared" si="847"/>
        <v>3VA1132-3ED32-0AA0</v>
      </c>
      <c r="I6204" s="1690" t="s">
        <v>10969</v>
      </c>
      <c r="J6204" s="366" t="s">
        <v>1935</v>
      </c>
      <c r="K6204" s="33" t="s">
        <v>741</v>
      </c>
    </row>
    <row r="6205" spans="1:11" s="102" customFormat="1">
      <c r="A6205" s="528"/>
      <c r="B6205" t="s">
        <v>13329</v>
      </c>
      <c r="C6205" s="521">
        <v>430</v>
      </c>
      <c r="D6205" s="230">
        <f t="shared" si="845"/>
        <v>291.7232021709633</v>
      </c>
      <c r="E6205" s="163">
        <v>20</v>
      </c>
      <c r="F6205" s="22">
        <f t="shared" si="846"/>
        <v>311.7232021709633</v>
      </c>
      <c r="G6205" s="410" t="s">
        <v>13330</v>
      </c>
      <c r="H6205" s="458" t="str">
        <f t="shared" si="847"/>
        <v>3VA1140-3ED32-0AA0</v>
      </c>
      <c r="I6205" s="1690" t="s">
        <v>10969</v>
      </c>
      <c r="J6205" s="366" t="s">
        <v>1935</v>
      </c>
      <c r="K6205" s="33" t="s">
        <v>741</v>
      </c>
    </row>
    <row r="6206" spans="1:11" s="102" customFormat="1">
      <c r="A6206" s="528"/>
      <c r="B6206" t="s">
        <v>13331</v>
      </c>
      <c r="C6206" s="521">
        <v>430</v>
      </c>
      <c r="D6206" s="230">
        <f t="shared" si="845"/>
        <v>291.7232021709633</v>
      </c>
      <c r="E6206" s="163">
        <v>20</v>
      </c>
      <c r="F6206" s="22">
        <f t="shared" si="846"/>
        <v>311.7232021709633</v>
      </c>
      <c r="G6206" s="410" t="s">
        <v>13332</v>
      </c>
      <c r="H6206" s="458" t="str">
        <f t="shared" si="847"/>
        <v>3VA1150-3ED32-0AA0</v>
      </c>
      <c r="I6206" s="1690" t="s">
        <v>10969</v>
      </c>
      <c r="J6206" s="366" t="s">
        <v>1935</v>
      </c>
      <c r="K6206" s="33" t="s">
        <v>741</v>
      </c>
    </row>
    <row r="6207" spans="1:11" s="102" customFormat="1">
      <c r="A6207" s="528"/>
      <c r="B6207" t="s">
        <v>13333</v>
      </c>
      <c r="C6207" s="521">
        <v>430</v>
      </c>
      <c r="D6207" s="230">
        <f t="shared" si="845"/>
        <v>291.7232021709633</v>
      </c>
      <c r="E6207" s="163">
        <v>20</v>
      </c>
      <c r="F6207" s="22">
        <f t="shared" si="846"/>
        <v>311.7232021709633</v>
      </c>
      <c r="G6207" s="410" t="s">
        <v>13334</v>
      </c>
      <c r="H6207" s="458" t="str">
        <f t="shared" si="847"/>
        <v>3VA1163-3ED32-0AA0</v>
      </c>
      <c r="I6207" s="1690" t="s">
        <v>10969</v>
      </c>
      <c r="J6207" s="366" t="s">
        <v>1935</v>
      </c>
      <c r="K6207" s="33" t="s">
        <v>741</v>
      </c>
    </row>
    <row r="6208" spans="1:11" s="191" customFormat="1">
      <c r="A6208" s="528"/>
      <c r="B6208" t="s">
        <v>13335</v>
      </c>
      <c r="C6208" s="521">
        <v>470</v>
      </c>
      <c r="D6208" s="230">
        <f t="shared" si="845"/>
        <v>318.86024423337852</v>
      </c>
      <c r="E6208" s="163">
        <v>20</v>
      </c>
      <c r="F6208" s="22">
        <f t="shared" si="846"/>
        <v>338.86024423337852</v>
      </c>
      <c r="G6208" s="410" t="s">
        <v>13336</v>
      </c>
      <c r="H6208" s="458" t="str">
        <f t="shared" si="847"/>
        <v>3VA1180-3ED32-0AA0</v>
      </c>
      <c r="I6208" s="1690" t="s">
        <v>10969</v>
      </c>
      <c r="J6208" s="366" t="s">
        <v>1935</v>
      </c>
      <c r="K6208" s="33" t="s">
        <v>741</v>
      </c>
    </row>
    <row r="6209" spans="1:11" s="191" customFormat="1">
      <c r="A6209" s="528"/>
      <c r="B6209" t="s">
        <v>13337</v>
      </c>
      <c r="C6209" s="521">
        <v>543</v>
      </c>
      <c r="D6209" s="230">
        <f t="shared" si="845"/>
        <v>368.38534599728627</v>
      </c>
      <c r="E6209" s="163">
        <v>20</v>
      </c>
      <c r="F6209" s="22">
        <f t="shared" si="846"/>
        <v>388.38534599728627</v>
      </c>
      <c r="G6209" s="410" t="s">
        <v>13338</v>
      </c>
      <c r="H6209" s="458" t="str">
        <f t="shared" si="847"/>
        <v>3VA1110-3ED32-0AA0</v>
      </c>
      <c r="I6209" s="1690" t="s">
        <v>10969</v>
      </c>
      <c r="J6209" s="366" t="s">
        <v>1935</v>
      </c>
      <c r="K6209" s="33" t="s">
        <v>741</v>
      </c>
    </row>
    <row r="6210" spans="1:11" s="191" customFormat="1" ht="12" customHeight="1">
      <c r="A6210" s="528"/>
      <c r="B6210" t="s">
        <v>13339</v>
      </c>
      <c r="C6210" s="521">
        <v>883</v>
      </c>
      <c r="D6210" s="230">
        <f t="shared" si="845"/>
        <v>599.05020352781537</v>
      </c>
      <c r="E6210" s="163">
        <v>20</v>
      </c>
      <c r="F6210" s="22">
        <f t="shared" si="846"/>
        <v>619.05020352781537</v>
      </c>
      <c r="G6210" s="410" t="s">
        <v>13340</v>
      </c>
      <c r="H6210" s="458" t="str">
        <f t="shared" si="847"/>
        <v>3VA1112-3ED32-0AA0</v>
      </c>
      <c r="I6210" s="1690" t="s">
        <v>10969</v>
      </c>
      <c r="J6210" s="366" t="s">
        <v>1935</v>
      </c>
      <c r="K6210" s="33" t="s">
        <v>741</v>
      </c>
    </row>
    <row r="6211" spans="1:11" s="191" customFormat="1">
      <c r="A6211" s="528"/>
      <c r="B6211" t="s">
        <v>13341</v>
      </c>
      <c r="C6211" s="521">
        <v>1027</v>
      </c>
      <c r="D6211" s="230">
        <f t="shared" si="845"/>
        <v>696.74355495251018</v>
      </c>
      <c r="E6211" s="163">
        <v>20</v>
      </c>
      <c r="F6211" s="22">
        <f t="shared" si="846"/>
        <v>716.74355495251018</v>
      </c>
      <c r="G6211" s="410" t="s">
        <v>13342</v>
      </c>
      <c r="H6211" s="458" t="str">
        <f t="shared" si="847"/>
        <v>3VA1116-3ED32-0AA0</v>
      </c>
      <c r="I6211" s="1690" t="s">
        <v>10969</v>
      </c>
      <c r="J6211" s="366" t="s">
        <v>1935</v>
      </c>
      <c r="K6211" s="33" t="s">
        <v>741</v>
      </c>
    </row>
    <row r="6212" spans="1:11" customFormat="1">
      <c r="A6212" s="19"/>
      <c r="C6212" s="1700"/>
      <c r="D6212" s="1484"/>
      <c r="E6212" s="1551"/>
      <c r="F6212" s="133"/>
      <c r="G6212" s="133"/>
      <c r="H6212" s="135"/>
      <c r="I6212" s="1701"/>
      <c r="J6212" s="371"/>
      <c r="K6212" s="19"/>
    </row>
    <row r="6213" spans="1:11" customFormat="1">
      <c r="A6213" s="19"/>
      <c r="C6213" s="1700"/>
      <c r="D6213" s="1484"/>
      <c r="E6213" s="1551"/>
      <c r="F6213" s="133"/>
      <c r="G6213" s="133"/>
      <c r="H6213" s="135"/>
      <c r="I6213" s="1701"/>
      <c r="J6213" s="371"/>
      <c r="K6213" s="19"/>
    </row>
    <row r="6214" spans="1:11" s="191" customFormat="1">
      <c r="A6214" s="528"/>
      <c r="B6214" t="s">
        <v>10144</v>
      </c>
      <c r="C6214" s="521">
        <v>579</v>
      </c>
      <c r="D6214" s="230">
        <f t="shared" si="832"/>
        <v>392.80868385345991</v>
      </c>
      <c r="E6214" s="163">
        <v>20</v>
      </c>
      <c r="F6214" s="22">
        <f t="shared" ref="F6214:F6225" si="848">D6214+E6214</f>
        <v>412.80868385345991</v>
      </c>
      <c r="G6214" s="410" t="s">
        <v>11283</v>
      </c>
      <c r="H6214" s="458" t="str">
        <f t="shared" ref="H6214:H6260" si="849">B6214</f>
        <v>3VA1120-5EE32-0AA0</v>
      </c>
      <c r="I6214" s="1690" t="s">
        <v>10969</v>
      </c>
      <c r="J6214" s="366" t="s">
        <v>1935</v>
      </c>
      <c r="K6214" s="33" t="s">
        <v>741</v>
      </c>
    </row>
    <row r="6215" spans="1:11" s="191" customFormat="1">
      <c r="A6215" s="528"/>
      <c r="B6215" t="s">
        <v>1960</v>
      </c>
      <c r="C6215" s="521">
        <v>579</v>
      </c>
      <c r="D6215" s="230">
        <f t="shared" si="832"/>
        <v>392.80868385345991</v>
      </c>
      <c r="E6215" s="163">
        <v>20</v>
      </c>
      <c r="F6215" s="22">
        <f t="shared" si="848"/>
        <v>412.80868385345991</v>
      </c>
      <c r="G6215" s="410" t="s">
        <v>11284</v>
      </c>
      <c r="H6215" s="458" t="str">
        <f t="shared" si="849"/>
        <v>3VA1125-5EE32-0AA0</v>
      </c>
      <c r="I6215" s="1690" t="s">
        <v>10969</v>
      </c>
      <c r="J6215" s="366" t="s">
        <v>1935</v>
      </c>
      <c r="K6215" s="33" t="s">
        <v>741</v>
      </c>
    </row>
    <row r="6216" spans="1:11" s="191" customFormat="1">
      <c r="A6216" s="528"/>
      <c r="B6216" t="s">
        <v>1961</v>
      </c>
      <c r="C6216" s="521">
        <v>579</v>
      </c>
      <c r="D6216" s="230">
        <f t="shared" si="832"/>
        <v>392.80868385345991</v>
      </c>
      <c r="E6216" s="163">
        <v>20</v>
      </c>
      <c r="F6216" s="22">
        <f t="shared" si="848"/>
        <v>412.80868385345991</v>
      </c>
      <c r="G6216" s="410" t="s">
        <v>11285</v>
      </c>
      <c r="H6216" s="458" t="str">
        <f t="shared" si="849"/>
        <v>3VA1132-5EE32-0AA0</v>
      </c>
      <c r="I6216" s="1690" t="s">
        <v>10969</v>
      </c>
      <c r="J6216" s="366" t="s">
        <v>1935</v>
      </c>
      <c r="K6216" s="33" t="s">
        <v>741</v>
      </c>
    </row>
    <row r="6217" spans="1:11" s="102" customFormat="1">
      <c r="A6217" s="528"/>
      <c r="B6217" t="s">
        <v>10145</v>
      </c>
      <c r="C6217" s="521">
        <v>579</v>
      </c>
      <c r="D6217" s="230">
        <f t="shared" si="832"/>
        <v>392.80868385345991</v>
      </c>
      <c r="E6217" s="163">
        <v>20</v>
      </c>
      <c r="F6217" s="22">
        <f t="shared" si="848"/>
        <v>412.80868385345991</v>
      </c>
      <c r="G6217" s="410" t="s">
        <v>11286</v>
      </c>
      <c r="H6217" s="458" t="str">
        <f t="shared" si="849"/>
        <v>3VA1140-5EE32-0AA0</v>
      </c>
      <c r="I6217" s="1690" t="s">
        <v>10969</v>
      </c>
      <c r="J6217" s="366" t="s">
        <v>1935</v>
      </c>
      <c r="K6217" s="33" t="s">
        <v>741</v>
      </c>
    </row>
    <row r="6218" spans="1:11" s="102" customFormat="1">
      <c r="A6218" s="528"/>
      <c r="B6218" t="s">
        <v>10146</v>
      </c>
      <c r="C6218" s="521">
        <v>579</v>
      </c>
      <c r="D6218" s="230">
        <f t="shared" si="832"/>
        <v>392.80868385345991</v>
      </c>
      <c r="E6218" s="163">
        <v>20</v>
      </c>
      <c r="F6218" s="22">
        <f t="shared" si="848"/>
        <v>412.80868385345991</v>
      </c>
      <c r="G6218" s="410" t="s">
        <v>11287</v>
      </c>
      <c r="H6218" s="458" t="str">
        <f t="shared" si="849"/>
        <v>3VA1150-5EE32-0AA0</v>
      </c>
      <c r="I6218" s="1690" t="s">
        <v>10969</v>
      </c>
      <c r="J6218" s="366" t="s">
        <v>1935</v>
      </c>
      <c r="K6218" s="33" t="s">
        <v>741</v>
      </c>
    </row>
    <row r="6219" spans="1:11" s="102" customFormat="1">
      <c r="A6219" s="528"/>
      <c r="B6219" t="s">
        <v>10147</v>
      </c>
      <c r="C6219" s="521">
        <v>579</v>
      </c>
      <c r="D6219" s="230">
        <f t="shared" si="832"/>
        <v>392.80868385345991</v>
      </c>
      <c r="E6219" s="163">
        <v>20</v>
      </c>
      <c r="F6219" s="22">
        <f t="shared" si="848"/>
        <v>412.80868385345991</v>
      </c>
      <c r="G6219" s="410" t="s">
        <v>11288</v>
      </c>
      <c r="H6219" s="458" t="str">
        <f t="shared" si="849"/>
        <v>3VA1163-5EE32-0AA0</v>
      </c>
      <c r="I6219" s="1690" t="s">
        <v>10969</v>
      </c>
      <c r="J6219" s="366" t="s">
        <v>1935</v>
      </c>
      <c r="K6219" s="33" t="s">
        <v>741</v>
      </c>
    </row>
    <row r="6220" spans="1:11" s="191" customFormat="1">
      <c r="A6220" s="528"/>
      <c r="B6220" t="s">
        <v>10148</v>
      </c>
      <c r="C6220" s="521">
        <v>608</v>
      </c>
      <c r="D6220" s="230">
        <f t="shared" si="832"/>
        <v>412.48303934871097</v>
      </c>
      <c r="E6220" s="163">
        <v>20</v>
      </c>
      <c r="F6220" s="22">
        <f t="shared" si="848"/>
        <v>432.48303934871097</v>
      </c>
      <c r="G6220" s="410" t="s">
        <v>11289</v>
      </c>
      <c r="H6220" s="458" t="str">
        <f t="shared" si="849"/>
        <v>3VA1180-5EE32-0AA0</v>
      </c>
      <c r="I6220" s="1690" t="s">
        <v>10969</v>
      </c>
      <c r="J6220" s="366" t="s">
        <v>1935</v>
      </c>
      <c r="K6220" s="33" t="s">
        <v>741</v>
      </c>
    </row>
    <row r="6221" spans="1:11" s="191" customFormat="1">
      <c r="A6221" s="528"/>
      <c r="B6221" t="s">
        <v>10149</v>
      </c>
      <c r="C6221" s="521">
        <v>669</v>
      </c>
      <c r="D6221" s="230">
        <f t="shared" si="832"/>
        <v>453.86702849389411</v>
      </c>
      <c r="E6221" s="163">
        <v>20</v>
      </c>
      <c r="F6221" s="22">
        <f t="shared" si="848"/>
        <v>473.86702849389411</v>
      </c>
      <c r="G6221" s="410" t="s">
        <v>11290</v>
      </c>
      <c r="H6221" s="458" t="str">
        <f t="shared" si="849"/>
        <v>3VA1110-5EE32-0AA0</v>
      </c>
      <c r="I6221" s="1690" t="s">
        <v>10969</v>
      </c>
      <c r="J6221" s="366" t="s">
        <v>1935</v>
      </c>
      <c r="K6221" s="33" t="s">
        <v>741</v>
      </c>
    </row>
    <row r="6222" spans="1:11" s="191" customFormat="1" ht="12" customHeight="1">
      <c r="A6222" s="528"/>
      <c r="B6222" t="s">
        <v>10150</v>
      </c>
      <c r="C6222" s="521">
        <v>846</v>
      </c>
      <c r="D6222" s="230">
        <f t="shared" si="832"/>
        <v>573.94843962008133</v>
      </c>
      <c r="E6222" s="163">
        <v>20</v>
      </c>
      <c r="F6222" s="22">
        <f t="shared" si="848"/>
        <v>593.94843962008133</v>
      </c>
      <c r="G6222" s="410" t="s">
        <v>11291</v>
      </c>
      <c r="H6222" s="458" t="str">
        <f t="shared" si="849"/>
        <v>3VA1112-5EE32-0AA0</v>
      </c>
      <c r="I6222" s="1690" t="s">
        <v>10969</v>
      </c>
      <c r="J6222" s="366" t="s">
        <v>1935</v>
      </c>
      <c r="K6222" s="33" t="s">
        <v>741</v>
      </c>
    </row>
    <row r="6223" spans="1:11" s="191" customFormat="1">
      <c r="A6223" s="528"/>
      <c r="B6223" t="s">
        <v>10151</v>
      </c>
      <c r="C6223" s="521">
        <v>979</v>
      </c>
      <c r="D6223" s="230">
        <f t="shared" si="832"/>
        <v>664.17910447761176</v>
      </c>
      <c r="E6223" s="163">
        <v>20</v>
      </c>
      <c r="F6223" s="22">
        <f t="shared" si="848"/>
        <v>684.17910447761176</v>
      </c>
      <c r="G6223" s="410" t="s">
        <v>11292</v>
      </c>
      <c r="H6223" s="458" t="str">
        <f t="shared" si="849"/>
        <v>3VA1116-5EE32-0AA0</v>
      </c>
      <c r="I6223" s="1690" t="s">
        <v>10969</v>
      </c>
      <c r="J6223" s="366" t="s">
        <v>1935</v>
      </c>
      <c r="K6223" s="33" t="s">
        <v>741</v>
      </c>
    </row>
    <row r="6224" spans="1:11" s="191" customFormat="1">
      <c r="A6224" s="528"/>
      <c r="B6224" t="s">
        <v>10152</v>
      </c>
      <c r="C6224" s="521">
        <v>1292</v>
      </c>
      <c r="D6224" s="230">
        <f t="shared" si="832"/>
        <v>876.5264586160107</v>
      </c>
      <c r="E6224" s="163">
        <v>30</v>
      </c>
      <c r="F6224" s="22">
        <f t="shared" si="848"/>
        <v>906.5264586160107</v>
      </c>
      <c r="G6224" s="410" t="s">
        <v>11293</v>
      </c>
      <c r="H6224" s="458" t="str">
        <f t="shared" si="849"/>
        <v>3VA1220-5EF32-0AA0</v>
      </c>
      <c r="I6224" s="1690" t="s">
        <v>10969</v>
      </c>
      <c r="J6224" s="366" t="s">
        <v>1935</v>
      </c>
      <c r="K6224" s="33" t="s">
        <v>741</v>
      </c>
    </row>
    <row r="6225" spans="1:11" s="191" customFormat="1">
      <c r="A6225" s="528"/>
      <c r="B6225" t="s">
        <v>1962</v>
      </c>
      <c r="C6225" s="521">
        <v>1452</v>
      </c>
      <c r="D6225" s="230">
        <f t="shared" ref="D6225:D6329" si="850">C6225*(1-VLOOKUP(I6225,descuentos,6,FALSE))*fcl/IF(dol_sol="dólar", TC,1)</f>
        <v>985.07462686567146</v>
      </c>
      <c r="E6225" s="163">
        <v>30</v>
      </c>
      <c r="F6225" s="22">
        <f t="shared" si="848"/>
        <v>1015.0746268656715</v>
      </c>
      <c r="G6225" s="410" t="s">
        <v>11294</v>
      </c>
      <c r="H6225" s="458" t="str">
        <f t="shared" si="849"/>
        <v>3VA1225-5EF32-0AA0</v>
      </c>
      <c r="I6225" s="1690" t="s">
        <v>10969</v>
      </c>
      <c r="J6225" s="366" t="s">
        <v>1935</v>
      </c>
      <c r="K6225" s="33" t="s">
        <v>741</v>
      </c>
    </row>
    <row r="6226" spans="1:11" s="191" customFormat="1">
      <c r="A6226" s="185"/>
      <c r="B6226" s="139"/>
      <c r="C6226" s="521"/>
      <c r="D6226" s="230"/>
      <c r="E6226" s="185"/>
      <c r="F6226" s="185"/>
      <c r="G6226" s="140"/>
      <c r="H6226" s="458"/>
      <c r="I6226" s="1690"/>
      <c r="J6226" s="366"/>
      <c r="K6226" s="33"/>
    </row>
    <row r="6227" spans="1:11" s="191" customFormat="1">
      <c r="A6227" s="528"/>
      <c r="B6227" t="s">
        <v>11295</v>
      </c>
      <c r="C6227" s="521">
        <v>665</v>
      </c>
      <c r="D6227" s="230">
        <f t="shared" ref="D6227:D6238" si="851">C6227*(1-VLOOKUP(I6227,descuentos,6,FALSE))*fcl/IF(dol_sol="dólar", TC,1)</f>
        <v>451.15332428765259</v>
      </c>
      <c r="E6227" s="163">
        <v>20</v>
      </c>
      <c r="F6227" s="22">
        <f t="shared" ref="F6227:F6238" si="852">D6227+E6227</f>
        <v>471.15332428765259</v>
      </c>
      <c r="G6227" s="410" t="s">
        <v>11296</v>
      </c>
      <c r="H6227" s="458" t="str">
        <f t="shared" ref="H6227:H6238" si="853">B6227</f>
        <v>3VA1120-6EF32-0AA0</v>
      </c>
      <c r="I6227" s="1690" t="s">
        <v>10969</v>
      </c>
      <c r="J6227" s="366" t="s">
        <v>1935</v>
      </c>
      <c r="K6227" s="33" t="s">
        <v>741</v>
      </c>
    </row>
    <row r="6228" spans="1:11" s="191" customFormat="1">
      <c r="A6228" s="528"/>
      <c r="B6228" t="s">
        <v>11297</v>
      </c>
      <c r="C6228" s="521">
        <v>665</v>
      </c>
      <c r="D6228" s="230">
        <f t="shared" si="851"/>
        <v>451.15332428765259</v>
      </c>
      <c r="E6228" s="163">
        <v>20</v>
      </c>
      <c r="F6228" s="22">
        <f t="shared" si="852"/>
        <v>471.15332428765259</v>
      </c>
      <c r="G6228" s="410" t="s">
        <v>11298</v>
      </c>
      <c r="H6228" s="458" t="str">
        <f t="shared" si="853"/>
        <v>3VA1125-6EF32-0AA0</v>
      </c>
      <c r="I6228" s="1690" t="s">
        <v>10969</v>
      </c>
      <c r="J6228" s="366" t="s">
        <v>1935</v>
      </c>
      <c r="K6228" s="33" t="s">
        <v>741</v>
      </c>
    </row>
    <row r="6229" spans="1:11" s="191" customFormat="1">
      <c r="A6229" s="528"/>
      <c r="B6229" t="s">
        <v>11299</v>
      </c>
      <c r="C6229" s="521">
        <v>665</v>
      </c>
      <c r="D6229" s="230">
        <f t="shared" si="851"/>
        <v>451.15332428765259</v>
      </c>
      <c r="E6229" s="163">
        <v>20</v>
      </c>
      <c r="F6229" s="22">
        <f t="shared" si="852"/>
        <v>471.15332428765259</v>
      </c>
      <c r="G6229" s="410" t="s">
        <v>11300</v>
      </c>
      <c r="H6229" s="458" t="str">
        <f t="shared" si="853"/>
        <v>3VA1132-6EF32-0AA0</v>
      </c>
      <c r="I6229" s="1690" t="s">
        <v>10969</v>
      </c>
      <c r="J6229" s="366" t="s">
        <v>1935</v>
      </c>
      <c r="K6229" s="33" t="s">
        <v>741</v>
      </c>
    </row>
    <row r="6230" spans="1:11" s="102" customFormat="1">
      <c r="A6230" s="528"/>
      <c r="B6230" t="s">
        <v>11301</v>
      </c>
      <c r="C6230" s="521">
        <v>665</v>
      </c>
      <c r="D6230" s="230">
        <f t="shared" si="851"/>
        <v>451.15332428765259</v>
      </c>
      <c r="E6230" s="163">
        <v>20</v>
      </c>
      <c r="F6230" s="22">
        <f t="shared" si="852"/>
        <v>471.15332428765259</v>
      </c>
      <c r="G6230" s="410" t="s">
        <v>11302</v>
      </c>
      <c r="H6230" s="458" t="str">
        <f t="shared" si="853"/>
        <v>3VA1140-6EF32-0AA0</v>
      </c>
      <c r="I6230" s="1690" t="s">
        <v>10969</v>
      </c>
      <c r="J6230" s="366" t="s">
        <v>1935</v>
      </c>
      <c r="K6230" s="33" t="s">
        <v>741</v>
      </c>
    </row>
    <row r="6231" spans="1:11" s="102" customFormat="1">
      <c r="A6231" s="528"/>
      <c r="B6231" t="s">
        <v>11303</v>
      </c>
      <c r="C6231" s="521">
        <v>665</v>
      </c>
      <c r="D6231" s="230">
        <f t="shared" si="851"/>
        <v>451.15332428765259</v>
      </c>
      <c r="E6231" s="163">
        <v>20</v>
      </c>
      <c r="F6231" s="22">
        <f t="shared" si="852"/>
        <v>471.15332428765259</v>
      </c>
      <c r="G6231" s="410" t="s">
        <v>11304</v>
      </c>
      <c r="H6231" s="458" t="str">
        <f t="shared" si="853"/>
        <v>3VA1150-6EF32-0AA0</v>
      </c>
      <c r="I6231" s="1690" t="s">
        <v>10969</v>
      </c>
      <c r="J6231" s="366" t="s">
        <v>1935</v>
      </c>
      <c r="K6231" s="33" t="s">
        <v>741</v>
      </c>
    </row>
    <row r="6232" spans="1:11" s="102" customFormat="1">
      <c r="A6232" s="528"/>
      <c r="B6232" t="s">
        <v>11305</v>
      </c>
      <c r="C6232" s="521">
        <v>665</v>
      </c>
      <c r="D6232" s="230">
        <f t="shared" si="851"/>
        <v>451.15332428765259</v>
      </c>
      <c r="E6232" s="163">
        <v>20</v>
      </c>
      <c r="F6232" s="22">
        <f t="shared" si="852"/>
        <v>471.15332428765259</v>
      </c>
      <c r="G6232" s="410" t="s">
        <v>11306</v>
      </c>
      <c r="H6232" s="458" t="str">
        <f t="shared" si="853"/>
        <v>3VA1163-6EF32-0AA0</v>
      </c>
      <c r="I6232" s="1690" t="s">
        <v>10969</v>
      </c>
      <c r="J6232" s="366" t="s">
        <v>1935</v>
      </c>
      <c r="K6232" s="33" t="s">
        <v>741</v>
      </c>
    </row>
    <row r="6233" spans="1:11" s="191" customFormat="1">
      <c r="A6233" s="528"/>
      <c r="B6233" t="s">
        <v>11307</v>
      </c>
      <c r="C6233" s="521">
        <v>730</v>
      </c>
      <c r="D6233" s="230">
        <f t="shared" si="851"/>
        <v>495.2510176390773</v>
      </c>
      <c r="E6233" s="163">
        <v>20</v>
      </c>
      <c r="F6233" s="22">
        <f t="shared" si="852"/>
        <v>515.2510176390773</v>
      </c>
      <c r="G6233" s="410" t="s">
        <v>11308</v>
      </c>
      <c r="H6233" s="458" t="str">
        <f t="shared" si="853"/>
        <v>3VA1180-6EF32-0AA0</v>
      </c>
      <c r="I6233" s="1690" t="s">
        <v>10969</v>
      </c>
      <c r="J6233" s="366" t="s">
        <v>1935</v>
      </c>
      <c r="K6233" s="33" t="s">
        <v>741</v>
      </c>
    </row>
    <row r="6234" spans="1:11" s="191" customFormat="1">
      <c r="A6234" s="528"/>
      <c r="B6234" t="s">
        <v>11309</v>
      </c>
      <c r="C6234" s="521">
        <v>842</v>
      </c>
      <c r="D6234" s="230">
        <f t="shared" si="851"/>
        <v>571.23473541383987</v>
      </c>
      <c r="E6234" s="163">
        <v>20</v>
      </c>
      <c r="F6234" s="22">
        <f t="shared" si="852"/>
        <v>591.23473541383987</v>
      </c>
      <c r="G6234" s="410" t="s">
        <v>11310</v>
      </c>
      <c r="H6234" s="458" t="str">
        <f t="shared" si="853"/>
        <v>3VA1110-6EF32-0AA0</v>
      </c>
      <c r="I6234" s="1690" t="s">
        <v>10969</v>
      </c>
      <c r="J6234" s="366" t="s">
        <v>1935</v>
      </c>
      <c r="K6234" s="33" t="s">
        <v>741</v>
      </c>
    </row>
    <row r="6235" spans="1:11" s="191" customFormat="1" ht="12" customHeight="1">
      <c r="A6235" s="528"/>
      <c r="B6235" t="s">
        <v>11311</v>
      </c>
      <c r="C6235" s="521">
        <v>1364</v>
      </c>
      <c r="D6235" s="230">
        <f t="shared" si="851"/>
        <v>925.37313432835811</v>
      </c>
      <c r="E6235" s="163">
        <v>20</v>
      </c>
      <c r="F6235" s="22">
        <f t="shared" si="852"/>
        <v>945.37313432835811</v>
      </c>
      <c r="G6235" s="410" t="s">
        <v>11312</v>
      </c>
      <c r="H6235" s="458" t="str">
        <f t="shared" si="853"/>
        <v>3VA1112-6EF32-0AA0</v>
      </c>
      <c r="I6235" s="1690" t="s">
        <v>10969</v>
      </c>
      <c r="J6235" s="366" t="s">
        <v>1935</v>
      </c>
      <c r="K6235" s="33" t="s">
        <v>741</v>
      </c>
    </row>
    <row r="6236" spans="1:11" s="191" customFormat="1">
      <c r="A6236" s="528"/>
      <c r="B6236" t="s">
        <v>11313</v>
      </c>
      <c r="C6236" s="521">
        <v>1516</v>
      </c>
      <c r="D6236" s="230">
        <f t="shared" si="851"/>
        <v>1028.4938941655357</v>
      </c>
      <c r="E6236" s="163">
        <v>20</v>
      </c>
      <c r="F6236" s="22">
        <f t="shared" si="852"/>
        <v>1048.4938941655357</v>
      </c>
      <c r="G6236" s="410" t="s">
        <v>11314</v>
      </c>
      <c r="H6236" s="458" t="str">
        <f t="shared" si="853"/>
        <v>3VA1116-6EF32-0AA0</v>
      </c>
      <c r="I6236" s="1690" t="s">
        <v>10969</v>
      </c>
      <c r="J6236" s="366" t="s">
        <v>1935</v>
      </c>
      <c r="K6236" s="33" t="s">
        <v>741</v>
      </c>
    </row>
    <row r="6237" spans="1:11" s="191" customFormat="1">
      <c r="A6237" s="528"/>
      <c r="B6237" t="s">
        <v>11315</v>
      </c>
      <c r="C6237" s="521">
        <v>1645</v>
      </c>
      <c r="D6237" s="230">
        <f t="shared" si="851"/>
        <v>1116.0108548168248</v>
      </c>
      <c r="E6237" s="163">
        <v>30</v>
      </c>
      <c r="F6237" s="22">
        <f t="shared" si="852"/>
        <v>1146.0108548168248</v>
      </c>
      <c r="G6237" s="410" t="s">
        <v>11316</v>
      </c>
      <c r="H6237" s="458" t="str">
        <f t="shared" si="853"/>
        <v>3VA1220-6EF32-0AA0</v>
      </c>
      <c r="I6237" s="1690" t="s">
        <v>10969</v>
      </c>
      <c r="J6237" s="366" t="s">
        <v>1935</v>
      </c>
      <c r="K6237" s="33" t="s">
        <v>741</v>
      </c>
    </row>
    <row r="6238" spans="1:11" s="191" customFormat="1">
      <c r="A6238" s="528"/>
      <c r="B6238" t="s">
        <v>11317</v>
      </c>
      <c r="C6238" s="521">
        <v>1662</v>
      </c>
      <c r="D6238" s="230">
        <f t="shared" si="851"/>
        <v>1127.5440976933514</v>
      </c>
      <c r="E6238" s="163">
        <v>30</v>
      </c>
      <c r="F6238" s="22">
        <f t="shared" si="852"/>
        <v>1157.5440976933514</v>
      </c>
      <c r="G6238" s="410" t="s">
        <v>11318</v>
      </c>
      <c r="H6238" s="458" t="str">
        <f t="shared" si="853"/>
        <v>3VA1225-6EF32-0AA0</v>
      </c>
      <c r="I6238" s="1690" t="s">
        <v>10969</v>
      </c>
      <c r="J6238" s="366" t="s">
        <v>1935</v>
      </c>
      <c r="K6238" s="33" t="s">
        <v>741</v>
      </c>
    </row>
    <row r="6239" spans="1:11" s="191" customFormat="1">
      <c r="A6239" s="185"/>
      <c r="B6239" s="185"/>
      <c r="C6239" s="521"/>
      <c r="D6239" s="230"/>
      <c r="E6239" s="671"/>
      <c r="F6239" s="671"/>
      <c r="G6239" s="185"/>
      <c r="H6239" s="458"/>
      <c r="I6239" s="1690"/>
      <c r="J6239" s="366"/>
      <c r="K6239" s="33"/>
    </row>
    <row r="6240" spans="1:11" s="191" customFormat="1" ht="12" customHeight="1">
      <c r="A6240" s="528"/>
      <c r="B6240" t="s">
        <v>10998</v>
      </c>
      <c r="C6240" s="521">
        <v>1793</v>
      </c>
      <c r="D6240" s="230">
        <f t="shared" ref="D6240:D6243" si="854">C6240*(1-VLOOKUP(I6240,descuentos,6,FALSE))*fcl/IF(dol_sol="dólar", TC,1)</f>
        <v>1216.417910447761</v>
      </c>
      <c r="E6240" s="163">
        <f>D6240/8</f>
        <v>152.05223880597012</v>
      </c>
      <c r="F6240" s="22">
        <f t="shared" ref="F6240:F6243" si="855">D6240+E6240</f>
        <v>1368.4701492537311</v>
      </c>
      <c r="G6240" s="410" t="s">
        <v>11319</v>
      </c>
      <c r="H6240" s="458" t="str">
        <f t="shared" ref="H6240:H6243" si="856">B6240</f>
        <v>3VA1340-4EF32-0AA0</v>
      </c>
      <c r="I6240" s="1690" t="s">
        <v>10969</v>
      </c>
      <c r="J6240" s="366" t="s">
        <v>1935</v>
      </c>
      <c r="K6240" s="33" t="s">
        <v>741</v>
      </c>
    </row>
    <row r="6241" spans="1:11" s="191" customFormat="1">
      <c r="A6241" s="528"/>
      <c r="B6241" t="s">
        <v>10999</v>
      </c>
      <c r="C6241" s="521">
        <v>2303</v>
      </c>
      <c r="D6241" s="230">
        <f t="shared" si="854"/>
        <v>1562.4151967435546</v>
      </c>
      <c r="E6241" s="163">
        <f t="shared" ref="E6241:E6243" si="857">D6241/8</f>
        <v>195.30189959294432</v>
      </c>
      <c r="F6241" s="22">
        <f t="shared" si="855"/>
        <v>1757.7170963364988</v>
      </c>
      <c r="G6241" s="410" t="s">
        <v>11320</v>
      </c>
      <c r="H6241" s="458" t="str">
        <f t="shared" si="856"/>
        <v>3VA1463-4EF32-0AA0</v>
      </c>
      <c r="I6241" s="1690" t="s">
        <v>10969</v>
      </c>
      <c r="J6241" s="366" t="s">
        <v>1935</v>
      </c>
      <c r="K6241" s="33" t="s">
        <v>741</v>
      </c>
    </row>
    <row r="6242" spans="1:11" s="191" customFormat="1">
      <c r="A6242" s="528"/>
      <c r="B6242" t="s">
        <v>14038</v>
      </c>
      <c r="C6242" s="521">
        <v>4535</v>
      </c>
      <c r="D6242" s="230">
        <f t="shared" si="854"/>
        <v>3076.6621438263223</v>
      </c>
      <c r="E6242" s="163">
        <f t="shared" si="857"/>
        <v>384.58276797829029</v>
      </c>
      <c r="F6242" s="22">
        <f t="shared" si="855"/>
        <v>3461.2449118046125</v>
      </c>
      <c r="G6242" s="410" t="s">
        <v>14039</v>
      </c>
      <c r="H6242" s="458" t="str">
        <f t="shared" si="856"/>
        <v>3VA1580-5EF32-0AA0</v>
      </c>
      <c r="I6242" s="1690" t="s">
        <v>10969</v>
      </c>
      <c r="J6242" s="366" t="s">
        <v>1935</v>
      </c>
      <c r="K6242" s="33" t="s">
        <v>741</v>
      </c>
    </row>
    <row r="6243" spans="1:11" s="191" customFormat="1">
      <c r="A6243" s="528"/>
      <c r="B6243" t="s">
        <v>14040</v>
      </c>
      <c r="C6243" s="521">
        <v>5614</v>
      </c>
      <c r="D6243" s="230">
        <f t="shared" si="854"/>
        <v>3808.6838534599724</v>
      </c>
      <c r="E6243" s="163">
        <f t="shared" si="857"/>
        <v>476.08548168249655</v>
      </c>
      <c r="F6243" s="22">
        <f t="shared" si="855"/>
        <v>4284.7693351424687</v>
      </c>
      <c r="G6243" s="410" t="s">
        <v>14041</v>
      </c>
      <c r="H6243" s="458" t="str">
        <f t="shared" si="856"/>
        <v>3VA1510-5EF32-0AA0</v>
      </c>
      <c r="I6243" s="1690" t="s">
        <v>10969</v>
      </c>
      <c r="J6243" s="366" t="s">
        <v>1935</v>
      </c>
      <c r="K6243" s="33" t="s">
        <v>741</v>
      </c>
    </row>
    <row r="6244" spans="1:11" s="191" customFormat="1">
      <c r="A6244" s="185"/>
      <c r="B6244" s="185"/>
      <c r="C6244" s="521"/>
      <c r="D6244" s="230"/>
      <c r="E6244" s="671"/>
      <c r="F6244" s="671"/>
      <c r="G6244" s="185"/>
      <c r="H6244" s="458"/>
      <c r="I6244" s="1690"/>
      <c r="J6244" s="366"/>
      <c r="K6244" s="33"/>
    </row>
    <row r="6245" spans="1:11" s="191" customFormat="1" ht="12" customHeight="1">
      <c r="A6245" s="528"/>
      <c r="B6245" t="s">
        <v>11321</v>
      </c>
      <c r="C6245" s="521">
        <v>1934</v>
      </c>
      <c r="D6245" s="230">
        <f t="shared" ref="D6245:D6248" si="858">C6245*(1-VLOOKUP(I6245,descuentos,6,FALSE))*fcl/IF(dol_sol="dólar", TC,1)</f>
        <v>1312.0759837177745</v>
      </c>
      <c r="E6245" s="163">
        <f>D6245/8</f>
        <v>164.00949796472182</v>
      </c>
      <c r="F6245" s="22">
        <f t="shared" ref="F6245:F6248" si="859">D6245+E6245</f>
        <v>1476.0854816824963</v>
      </c>
      <c r="G6245" s="410" t="s">
        <v>14042</v>
      </c>
      <c r="H6245" s="458" t="str">
        <f t="shared" ref="H6245:H6248" si="860">B6245</f>
        <v>3VA1340-5EF32-0AA0</v>
      </c>
      <c r="I6245" s="1690" t="s">
        <v>10969</v>
      </c>
      <c r="J6245" s="366" t="s">
        <v>1935</v>
      </c>
      <c r="K6245" s="33" t="s">
        <v>741</v>
      </c>
    </row>
    <row r="6246" spans="1:11" s="191" customFormat="1">
      <c r="A6246" s="528"/>
      <c r="B6246" t="s">
        <v>11322</v>
      </c>
      <c r="C6246" s="521">
        <v>2575</v>
      </c>
      <c r="D6246" s="230">
        <f t="shared" si="858"/>
        <v>1746.9470827679781</v>
      </c>
      <c r="E6246" s="163">
        <f t="shared" ref="E6246:E6248" si="861">D6246/8</f>
        <v>218.36838534599727</v>
      </c>
      <c r="F6246" s="22">
        <f t="shared" si="859"/>
        <v>1965.3154681139754</v>
      </c>
      <c r="G6246" s="410" t="s">
        <v>14043</v>
      </c>
      <c r="H6246" s="458" t="str">
        <f t="shared" si="860"/>
        <v>3VA1463-5EF32-0AA0</v>
      </c>
      <c r="I6246" s="1690" t="s">
        <v>10969</v>
      </c>
      <c r="J6246" s="366" t="s">
        <v>1935</v>
      </c>
      <c r="K6246" s="33" t="s">
        <v>741</v>
      </c>
    </row>
    <row r="6247" spans="1:11" s="191" customFormat="1">
      <c r="A6247" s="528"/>
      <c r="B6247" t="s">
        <v>14044</v>
      </c>
      <c r="C6247" s="521">
        <v>4989</v>
      </c>
      <c r="D6247" s="230">
        <f t="shared" si="858"/>
        <v>3384.6675712347351</v>
      </c>
      <c r="E6247" s="163">
        <f t="shared" si="861"/>
        <v>423.08344640434188</v>
      </c>
      <c r="F6247" s="22">
        <f t="shared" si="859"/>
        <v>3807.751017639077</v>
      </c>
      <c r="G6247" s="410" t="s">
        <v>14045</v>
      </c>
      <c r="H6247" s="458" t="str">
        <f t="shared" si="860"/>
        <v>3VA1580-6EF32-0AA0</v>
      </c>
      <c r="I6247" s="1690" t="s">
        <v>10969</v>
      </c>
      <c r="J6247" s="366" t="s">
        <v>1935</v>
      </c>
      <c r="K6247" s="33" t="s">
        <v>741</v>
      </c>
    </row>
    <row r="6248" spans="1:11" s="191" customFormat="1">
      <c r="A6248" s="528"/>
      <c r="B6248" t="s">
        <v>14046</v>
      </c>
      <c r="C6248" s="521">
        <v>5938</v>
      </c>
      <c r="D6248" s="230">
        <f t="shared" si="858"/>
        <v>4028.4938941655355</v>
      </c>
      <c r="E6248" s="163">
        <f t="shared" si="861"/>
        <v>503.56173677069194</v>
      </c>
      <c r="F6248" s="22">
        <f t="shared" si="859"/>
        <v>4532.0556309362273</v>
      </c>
      <c r="G6248" s="410" t="s">
        <v>14047</v>
      </c>
      <c r="H6248" s="458" t="str">
        <f t="shared" si="860"/>
        <v>3VA1510-6EF32-0AA0</v>
      </c>
      <c r="I6248" s="1690" t="s">
        <v>10969</v>
      </c>
      <c r="J6248" s="366" t="s">
        <v>1935</v>
      </c>
      <c r="K6248" s="33" t="s">
        <v>741</v>
      </c>
    </row>
    <row r="6249" spans="1:11" s="191" customFormat="1">
      <c r="A6249" s="185"/>
      <c r="B6249" s="185"/>
      <c r="C6249" s="521"/>
      <c r="D6249" s="230"/>
      <c r="E6249" s="671"/>
      <c r="F6249" s="671"/>
      <c r="G6249" s="185"/>
      <c r="H6249" s="458"/>
      <c r="I6249" s="1690"/>
      <c r="J6249" s="366"/>
      <c r="K6249" s="33"/>
    </row>
    <row r="6250" spans="1:11" s="191" customFormat="1" ht="16.8">
      <c r="A6250" s="529"/>
      <c r="B6250" s="1699" t="s">
        <v>11323</v>
      </c>
      <c r="C6250" s="521"/>
      <c r="D6250" s="230"/>
      <c r="E6250" s="531"/>
      <c r="F6250" s="532"/>
      <c r="G6250" s="532"/>
      <c r="H6250" s="458"/>
      <c r="I6250" s="1690"/>
      <c r="J6250" s="366"/>
      <c r="K6250" s="33"/>
    </row>
    <row r="6251" spans="1:11" s="191" customFormat="1">
      <c r="A6251" s="185"/>
      <c r="B6251" s="185"/>
      <c r="C6251" s="521"/>
      <c r="D6251" s="230"/>
      <c r="E6251" s="671"/>
      <c r="F6251" s="671"/>
      <c r="G6251" s="185"/>
      <c r="H6251" s="458"/>
      <c r="I6251" s="1690"/>
      <c r="J6251" s="366"/>
      <c r="K6251" s="33"/>
    </row>
    <row r="6252" spans="1:11" s="191" customFormat="1">
      <c r="A6252" s="185"/>
      <c r="B6252" s="185"/>
      <c r="C6252" s="521"/>
      <c r="D6252" s="230"/>
      <c r="E6252" s="671"/>
      <c r="F6252" s="671"/>
      <c r="G6252" s="185"/>
      <c r="H6252" s="458"/>
      <c r="I6252" s="1690"/>
      <c r="J6252" s="366"/>
      <c r="K6252" s="33"/>
    </row>
    <row r="6253" spans="1:11" customFormat="1">
      <c r="A6253" s="528"/>
      <c r="B6253" s="19" t="s">
        <v>10153</v>
      </c>
      <c r="C6253" s="521">
        <v>954</v>
      </c>
      <c r="D6253" s="230">
        <f t="shared" si="850"/>
        <v>647.21845318860233</v>
      </c>
      <c r="E6253" s="163">
        <f>D6253/8</f>
        <v>80.902306648575291</v>
      </c>
      <c r="F6253" s="22">
        <f t="shared" ref="F6253:F6260" si="862">D6253+E6253</f>
        <v>728.12075983717762</v>
      </c>
      <c r="G6253" s="22" t="s">
        <v>11324</v>
      </c>
      <c r="H6253" s="458" t="str">
        <f t="shared" si="849"/>
        <v>3VA2040-5HL32-0AA0</v>
      </c>
      <c r="I6253" s="1690" t="s">
        <v>10969</v>
      </c>
      <c r="J6253" s="366" t="s">
        <v>1935</v>
      </c>
      <c r="K6253" s="33" t="s">
        <v>741</v>
      </c>
    </row>
    <row r="6254" spans="1:11" customFormat="1">
      <c r="A6254" s="528"/>
      <c r="B6254" s="19" t="s">
        <v>10154</v>
      </c>
      <c r="C6254" s="521">
        <v>1030</v>
      </c>
      <c r="D6254" s="230">
        <f t="shared" si="850"/>
        <v>698.77883310719119</v>
      </c>
      <c r="E6254" s="163">
        <f t="shared" ref="E6254:E6270" si="863">D6254/8</f>
        <v>87.347354138398899</v>
      </c>
      <c r="F6254" s="22">
        <f t="shared" si="862"/>
        <v>786.12618724559013</v>
      </c>
      <c r="G6254" s="22" t="s">
        <v>11325</v>
      </c>
      <c r="H6254" s="458" t="str">
        <f t="shared" si="849"/>
        <v>3VA2010-5HL32-0AA0</v>
      </c>
      <c r="I6254" s="1690" t="s">
        <v>10969</v>
      </c>
      <c r="J6254" s="366" t="s">
        <v>1935</v>
      </c>
      <c r="K6254" s="33" t="s">
        <v>741</v>
      </c>
    </row>
    <row r="6255" spans="1:11" customFormat="1">
      <c r="A6255" s="528"/>
      <c r="B6255" s="19" t="s">
        <v>10155</v>
      </c>
      <c r="C6255" s="521">
        <v>1377</v>
      </c>
      <c r="D6255" s="230">
        <f t="shared" si="850"/>
        <v>934.19267299864293</v>
      </c>
      <c r="E6255" s="163">
        <f t="shared" si="863"/>
        <v>116.77408412483037</v>
      </c>
      <c r="F6255" s="22">
        <f t="shared" si="862"/>
        <v>1050.9667571234734</v>
      </c>
      <c r="G6255" s="22" t="s">
        <v>11326</v>
      </c>
      <c r="H6255" s="458" t="str">
        <f t="shared" si="849"/>
        <v>3VA2116-5HL32-0AA0</v>
      </c>
      <c r="I6255" s="1690" t="s">
        <v>10969</v>
      </c>
      <c r="J6255" s="366" t="s">
        <v>1935</v>
      </c>
      <c r="K6255" s="33" t="s">
        <v>741</v>
      </c>
    </row>
    <row r="6256" spans="1:11" customFormat="1">
      <c r="A6256" s="528"/>
      <c r="B6256" s="19" t="s">
        <v>2526</v>
      </c>
      <c r="C6256" s="521">
        <v>1809</v>
      </c>
      <c r="D6256" s="230">
        <f t="shared" si="850"/>
        <v>1227.2727272727273</v>
      </c>
      <c r="E6256" s="163">
        <f t="shared" si="863"/>
        <v>153.40909090909091</v>
      </c>
      <c r="F6256" s="22">
        <f t="shared" si="862"/>
        <v>1380.6818181818182</v>
      </c>
      <c r="G6256" s="22" t="s">
        <v>11327</v>
      </c>
      <c r="H6256" s="458" t="str">
        <f t="shared" si="849"/>
        <v>3VA2225-5HL32-0AA0</v>
      </c>
      <c r="I6256" s="1690" t="s">
        <v>10969</v>
      </c>
      <c r="J6256" s="366" t="s">
        <v>1935</v>
      </c>
      <c r="K6256" s="33" t="s">
        <v>741</v>
      </c>
    </row>
    <row r="6257" spans="1:11" customFormat="1">
      <c r="A6257" s="528"/>
      <c r="B6257" s="19" t="s">
        <v>11328</v>
      </c>
      <c r="C6257" s="521">
        <v>2109</v>
      </c>
      <c r="D6257" s="230">
        <f t="shared" si="850"/>
        <v>1430.8005427408411</v>
      </c>
      <c r="E6257" s="163">
        <f t="shared" si="863"/>
        <v>178.85006784260514</v>
      </c>
      <c r="F6257" s="22">
        <f t="shared" si="862"/>
        <v>1609.6506105834462</v>
      </c>
      <c r="G6257" s="22" t="s">
        <v>11329</v>
      </c>
      <c r="H6257" s="458" t="str">
        <f t="shared" si="849"/>
        <v>3VA2340-5HL32-0AA0</v>
      </c>
      <c r="I6257" s="1690" t="s">
        <v>10969</v>
      </c>
      <c r="J6257" s="366" t="s">
        <v>1935</v>
      </c>
      <c r="K6257" s="33" t="s">
        <v>741</v>
      </c>
    </row>
    <row r="6258" spans="1:11" customFormat="1">
      <c r="A6258" s="528"/>
      <c r="B6258" s="19" t="s">
        <v>11330</v>
      </c>
      <c r="C6258" s="521">
        <v>2709</v>
      </c>
      <c r="D6258" s="230">
        <f t="shared" si="850"/>
        <v>1837.8561736770689</v>
      </c>
      <c r="E6258" s="163">
        <f t="shared" si="863"/>
        <v>229.73202170963361</v>
      </c>
      <c r="F6258" s="22">
        <f t="shared" si="862"/>
        <v>2067.5881953867024</v>
      </c>
      <c r="G6258" s="22" t="s">
        <v>11331</v>
      </c>
      <c r="H6258" s="458" t="str">
        <f t="shared" si="849"/>
        <v>3VA2463-5HL32-0AA0</v>
      </c>
      <c r="I6258" s="1690" t="s">
        <v>10969</v>
      </c>
      <c r="J6258" s="366" t="s">
        <v>1935</v>
      </c>
      <c r="K6258" s="33" t="s">
        <v>741</v>
      </c>
    </row>
    <row r="6259" spans="1:11" customFormat="1">
      <c r="A6259" s="528"/>
      <c r="B6259" s="19" t="s">
        <v>10156</v>
      </c>
      <c r="C6259" s="521">
        <v>5396</v>
      </c>
      <c r="D6259" s="230">
        <f t="shared" si="850"/>
        <v>3660.7869742198095</v>
      </c>
      <c r="E6259" s="163">
        <f t="shared" si="863"/>
        <v>457.59837177747619</v>
      </c>
      <c r="F6259" s="22">
        <f t="shared" si="862"/>
        <v>4118.3853459972861</v>
      </c>
      <c r="G6259" s="22" t="s">
        <v>11332</v>
      </c>
      <c r="H6259" s="458" t="str">
        <f t="shared" si="849"/>
        <v>3VA2580-5HL32-0AA0</v>
      </c>
      <c r="I6259" s="1690" t="s">
        <v>10969</v>
      </c>
      <c r="J6259" s="366" t="s">
        <v>1935</v>
      </c>
      <c r="K6259" s="33" t="s">
        <v>741</v>
      </c>
    </row>
    <row r="6260" spans="1:11" customFormat="1">
      <c r="A6260" s="528"/>
      <c r="B6260" s="19" t="s">
        <v>10157</v>
      </c>
      <c r="C6260" s="521">
        <v>6812</v>
      </c>
      <c r="D6260" s="230">
        <f t="shared" si="850"/>
        <v>4621.4382632293073</v>
      </c>
      <c r="E6260" s="163">
        <f t="shared" si="863"/>
        <v>577.67978290366341</v>
      </c>
      <c r="F6260" s="22">
        <f t="shared" si="862"/>
        <v>5199.1180461329704</v>
      </c>
      <c r="G6260" s="22" t="s">
        <v>11333</v>
      </c>
      <c r="H6260" s="458" t="str">
        <f t="shared" si="849"/>
        <v>3VA2510-5HL32-0AA0</v>
      </c>
      <c r="I6260" s="1690" t="s">
        <v>10969</v>
      </c>
      <c r="J6260" s="366" t="s">
        <v>1935</v>
      </c>
      <c r="K6260" s="33" t="s">
        <v>741</v>
      </c>
    </row>
    <row r="6261" spans="1:11" customFormat="1">
      <c r="A6261" s="19"/>
      <c r="B6261" s="19"/>
      <c r="C6261" s="1700"/>
      <c r="D6261" s="1484"/>
      <c r="E6261" s="1551"/>
      <c r="F6261" s="133"/>
      <c r="G6261" s="133"/>
      <c r="H6261" s="135"/>
      <c r="I6261" s="1701"/>
      <c r="J6261" s="371"/>
      <c r="K6261" s="19"/>
    </row>
    <row r="6262" spans="1:11" customFormat="1">
      <c r="A6262" s="528"/>
      <c r="B6262" s="19" t="s">
        <v>11334</v>
      </c>
      <c r="C6262" s="521">
        <v>2953</v>
      </c>
      <c r="D6262" s="230">
        <f t="shared" ref="D6262:D6265" si="864">C6262*(1-VLOOKUP(I6262,descuentos,6,FALSE))*fcl/IF(dol_sol="dólar", TC,1)</f>
        <v>2003.3921302578017</v>
      </c>
      <c r="E6262" s="163">
        <f t="shared" si="863"/>
        <v>250.42401628222521</v>
      </c>
      <c r="F6262" s="22">
        <f t="shared" ref="F6262:F6265" si="865">D6262+E6262</f>
        <v>2253.8161465400267</v>
      </c>
      <c r="G6262" s="22" t="s">
        <v>11335</v>
      </c>
      <c r="H6262" s="458" t="str">
        <f t="shared" ref="H6262:H6265" si="866">B6262</f>
        <v>3VA2340-6HL32-0AA0</v>
      </c>
      <c r="I6262" s="1690" t="s">
        <v>10969</v>
      </c>
      <c r="J6262" s="366" t="s">
        <v>1935</v>
      </c>
      <c r="K6262" s="33" t="s">
        <v>741</v>
      </c>
    </row>
    <row r="6263" spans="1:11" customFormat="1">
      <c r="A6263" s="528"/>
      <c r="B6263" s="19" t="s">
        <v>11336</v>
      </c>
      <c r="C6263" s="521">
        <v>4031</v>
      </c>
      <c r="D6263" s="230">
        <f t="shared" si="864"/>
        <v>2734.7354138398914</v>
      </c>
      <c r="E6263" s="163">
        <f t="shared" si="863"/>
        <v>341.84192672998643</v>
      </c>
      <c r="F6263" s="22">
        <f t="shared" si="865"/>
        <v>3076.5773405698778</v>
      </c>
      <c r="G6263" s="22" t="s">
        <v>11337</v>
      </c>
      <c r="H6263" s="458" t="str">
        <f t="shared" si="866"/>
        <v>3VA2463-6HL32-0AA0</v>
      </c>
      <c r="I6263" s="1690" t="s">
        <v>10969</v>
      </c>
      <c r="J6263" s="366" t="s">
        <v>1935</v>
      </c>
      <c r="K6263" s="33" t="s">
        <v>741</v>
      </c>
    </row>
    <row r="6264" spans="1:11" customFormat="1">
      <c r="A6264" s="528"/>
      <c r="B6264" s="19" t="s">
        <v>11338</v>
      </c>
      <c r="C6264" s="521">
        <v>6154</v>
      </c>
      <c r="D6264" s="230">
        <f t="shared" si="864"/>
        <v>4175.0339213025773</v>
      </c>
      <c r="E6264" s="163">
        <f t="shared" si="863"/>
        <v>521.87924016282216</v>
      </c>
      <c r="F6264" s="22">
        <f t="shared" si="865"/>
        <v>4696.9131614653998</v>
      </c>
      <c r="G6264" s="22" t="s">
        <v>11339</v>
      </c>
      <c r="H6264" s="458" t="str">
        <f t="shared" si="866"/>
        <v>3VA2580-6HL32-0AA0</v>
      </c>
      <c r="I6264" s="1690" t="s">
        <v>10969</v>
      </c>
      <c r="J6264" s="366" t="s">
        <v>1935</v>
      </c>
      <c r="K6264" s="33" t="s">
        <v>741</v>
      </c>
    </row>
    <row r="6265" spans="1:11" customFormat="1">
      <c r="A6265" s="528"/>
      <c r="B6265" s="19" t="s">
        <v>11340</v>
      </c>
      <c r="C6265" s="521">
        <v>7788</v>
      </c>
      <c r="D6265" s="230">
        <f t="shared" si="864"/>
        <v>5283.5820895522374</v>
      </c>
      <c r="E6265" s="163">
        <f t="shared" si="863"/>
        <v>660.44776119402968</v>
      </c>
      <c r="F6265" s="22">
        <f t="shared" si="865"/>
        <v>5944.0298507462667</v>
      </c>
      <c r="G6265" s="22" t="s">
        <v>11341</v>
      </c>
      <c r="H6265" s="458" t="str">
        <f t="shared" si="866"/>
        <v>3VA2510-6HL32-0AA0</v>
      </c>
      <c r="I6265" s="1690" t="s">
        <v>10969</v>
      </c>
      <c r="J6265" s="366" t="s">
        <v>1935</v>
      </c>
      <c r="K6265" s="33" t="s">
        <v>741</v>
      </c>
    </row>
    <row r="6266" spans="1:11" s="191" customFormat="1">
      <c r="A6266" s="185"/>
      <c r="B6266" s="672"/>
      <c r="C6266" s="521"/>
      <c r="D6266" s="230"/>
      <c r="E6266" s="673"/>
      <c r="F6266" s="409"/>
      <c r="G6266" s="185"/>
      <c r="H6266" s="458"/>
      <c r="I6266" s="1690"/>
      <c r="J6266" s="366"/>
      <c r="K6266" s="33"/>
    </row>
    <row r="6267" spans="1:11" customFormat="1">
      <c r="A6267" s="528"/>
      <c r="B6267" s="19" t="s">
        <v>11342</v>
      </c>
      <c r="C6267" s="521">
        <v>3517</v>
      </c>
      <c r="D6267" s="230">
        <f t="shared" ref="D6267:D6270" si="867">C6267*(1-VLOOKUP(I6267,descuentos,6,FALSE))*fcl/IF(dol_sol="dólar", TC,1)</f>
        <v>2386.0244233378558</v>
      </c>
      <c r="E6267" s="163">
        <f t="shared" si="863"/>
        <v>298.25305291723197</v>
      </c>
      <c r="F6267" s="22">
        <f t="shared" ref="F6267:F6270" si="868">D6267+E6267</f>
        <v>2684.2774762550875</v>
      </c>
      <c r="G6267" s="22" t="s">
        <v>11343</v>
      </c>
      <c r="H6267" s="458" t="str">
        <f t="shared" ref="H6267:H6270" si="869">B6267</f>
        <v>3VA2340-5HL42-0AA0</v>
      </c>
      <c r="I6267" s="1690" t="s">
        <v>10969</v>
      </c>
      <c r="J6267" s="366" t="s">
        <v>1935</v>
      </c>
      <c r="K6267" s="33" t="s">
        <v>741</v>
      </c>
    </row>
    <row r="6268" spans="1:11" customFormat="1">
      <c r="A6268" s="528"/>
      <c r="B6268" s="19" t="s">
        <v>11344</v>
      </c>
      <c r="C6268" s="521">
        <v>4845</v>
      </c>
      <c r="D6268" s="230">
        <f t="shared" si="867"/>
        <v>3286.9742198100407</v>
      </c>
      <c r="E6268" s="163">
        <f t="shared" si="863"/>
        <v>410.87177747625509</v>
      </c>
      <c r="F6268" s="22">
        <f t="shared" si="868"/>
        <v>3697.8459972862956</v>
      </c>
      <c r="G6268" s="22" t="s">
        <v>11345</v>
      </c>
      <c r="H6268" s="458" t="str">
        <f t="shared" si="869"/>
        <v>3VA2463-5HL42-0AA0</v>
      </c>
      <c r="I6268" s="1690" t="s">
        <v>10969</v>
      </c>
      <c r="J6268" s="366" t="s">
        <v>1935</v>
      </c>
      <c r="K6268" s="33" t="s">
        <v>741</v>
      </c>
    </row>
    <row r="6269" spans="1:11" customFormat="1">
      <c r="A6269" s="528"/>
      <c r="B6269" s="19" t="s">
        <v>11346</v>
      </c>
      <c r="C6269" s="521">
        <v>6791</v>
      </c>
      <c r="D6269" s="230">
        <f t="shared" si="867"/>
        <v>4607.19131614654</v>
      </c>
      <c r="E6269" s="163">
        <f t="shared" si="863"/>
        <v>575.8989145183175</v>
      </c>
      <c r="F6269" s="22">
        <f t="shared" si="868"/>
        <v>5183.0902306648577</v>
      </c>
      <c r="G6269" s="22" t="s">
        <v>11347</v>
      </c>
      <c r="H6269" s="458" t="str">
        <f t="shared" si="869"/>
        <v>3VA2580-5HL42-0AA0</v>
      </c>
      <c r="I6269" s="1690" t="s">
        <v>10969</v>
      </c>
      <c r="J6269" s="366" t="s">
        <v>1935</v>
      </c>
      <c r="K6269" s="33" t="s">
        <v>741</v>
      </c>
    </row>
    <row r="6270" spans="1:11" customFormat="1">
      <c r="A6270" s="528"/>
      <c r="B6270" s="19" t="s">
        <v>11348</v>
      </c>
      <c r="C6270" s="521">
        <v>9391</v>
      </c>
      <c r="D6270" s="230">
        <f t="shared" si="867"/>
        <v>6371.0990502035274</v>
      </c>
      <c r="E6270" s="163">
        <f t="shared" si="863"/>
        <v>796.38738127544093</v>
      </c>
      <c r="F6270" s="22">
        <f t="shared" si="868"/>
        <v>7167.4864314789684</v>
      </c>
      <c r="G6270" s="22" t="s">
        <v>11349</v>
      </c>
      <c r="H6270" s="458" t="str">
        <f t="shared" si="869"/>
        <v>3VA2510-5HL42-0AA0</v>
      </c>
      <c r="I6270" s="1690" t="s">
        <v>10969</v>
      </c>
      <c r="J6270" s="366" t="s">
        <v>1935</v>
      </c>
      <c r="K6270" s="33" t="s">
        <v>741</v>
      </c>
    </row>
    <row r="6271" spans="1:11" customFormat="1">
      <c r="C6271" s="521"/>
      <c r="D6271" s="230"/>
      <c r="E6271" s="213"/>
      <c r="H6271" s="458"/>
      <c r="I6271" s="1690"/>
      <c r="J6271" s="366"/>
      <c r="K6271" s="33"/>
    </row>
    <row r="6272" spans="1:11" customFormat="1">
      <c r="C6272" s="521"/>
      <c r="D6272" s="230"/>
      <c r="E6272" s="213"/>
      <c r="H6272" s="458"/>
      <c r="I6272" s="1690"/>
      <c r="J6272" s="366"/>
      <c r="K6272" s="33"/>
    </row>
    <row r="6273" spans="1:11" customFormat="1">
      <c r="A6273" s="528"/>
      <c r="B6273" s="19" t="s">
        <v>11350</v>
      </c>
      <c r="C6273" s="521">
        <v>73</v>
      </c>
      <c r="D6273" s="230">
        <f t="shared" ref="D6273:D6274" si="870">C6273*(1-VLOOKUP(I6273,descuentos,6,FALSE))*fcl/IF(dol_sol="dólar", TC,1)</f>
        <v>49.52510176390772</v>
      </c>
      <c r="E6273" s="163">
        <v>5</v>
      </c>
      <c r="F6273" s="22">
        <f t="shared" ref="F6273:F6295" si="871">D6273+E6273</f>
        <v>54.52510176390772</v>
      </c>
      <c r="G6273" s="22" t="s">
        <v>11351</v>
      </c>
      <c r="H6273" s="458" t="str">
        <f t="shared" ref="H6273:H6295" si="872">B6273</f>
        <v>3VA9988-0AA13</v>
      </c>
      <c r="I6273" s="1690" t="s">
        <v>10969</v>
      </c>
      <c r="J6273" s="366" t="s">
        <v>1935</v>
      </c>
      <c r="K6273" s="33" t="s">
        <v>741</v>
      </c>
    </row>
    <row r="6274" spans="1:11" customFormat="1">
      <c r="A6274" s="528"/>
      <c r="B6274" s="19" t="s">
        <v>11352</v>
      </c>
      <c r="C6274" s="521">
        <v>73</v>
      </c>
      <c r="D6274" s="230">
        <f t="shared" si="870"/>
        <v>49.52510176390772</v>
      </c>
      <c r="E6274" s="163">
        <v>5</v>
      </c>
      <c r="F6274" s="22">
        <f t="shared" si="871"/>
        <v>54.52510176390772</v>
      </c>
      <c r="G6274" s="22" t="s">
        <v>11353</v>
      </c>
      <c r="H6274" s="458" t="str">
        <f t="shared" si="872"/>
        <v>3VA9988-0AB13</v>
      </c>
      <c r="I6274" s="1690" t="s">
        <v>10969</v>
      </c>
      <c r="J6274" s="366" t="s">
        <v>1935</v>
      </c>
      <c r="K6274" s="33" t="s">
        <v>741</v>
      </c>
    </row>
    <row r="6275" spans="1:11" customFormat="1">
      <c r="A6275" s="528"/>
      <c r="B6275" s="19" t="s">
        <v>11354</v>
      </c>
      <c r="C6275" s="521">
        <v>174</v>
      </c>
      <c r="D6275" s="230">
        <f t="shared" ref="D6275:D6276" si="873">C6275*(1-VLOOKUP(I6275,descuentos,6,FALSE))*fcl/IF(dol_sol="dólar", TC,1)</f>
        <v>118.0461329715061</v>
      </c>
      <c r="E6275" s="163">
        <v>10</v>
      </c>
      <c r="F6275" s="22">
        <f t="shared" si="871"/>
        <v>128.0461329715061</v>
      </c>
      <c r="G6275" s="22" t="s">
        <v>11355</v>
      </c>
      <c r="H6275" s="458" t="str">
        <f t="shared" si="872"/>
        <v>3VA9988-0BL33</v>
      </c>
      <c r="I6275" s="1690" t="s">
        <v>10969</v>
      </c>
      <c r="J6275" s="366" t="s">
        <v>1935</v>
      </c>
      <c r="K6275" s="33" t="s">
        <v>741</v>
      </c>
    </row>
    <row r="6276" spans="1:11" customFormat="1">
      <c r="A6276" s="528"/>
      <c r="B6276" s="19" t="s">
        <v>11356</v>
      </c>
      <c r="C6276" s="521">
        <v>225</v>
      </c>
      <c r="D6276" s="230">
        <f t="shared" si="873"/>
        <v>152.64586160108547</v>
      </c>
      <c r="E6276" s="163">
        <v>10</v>
      </c>
      <c r="F6276" s="22">
        <f t="shared" si="871"/>
        <v>162.64586160108547</v>
      </c>
      <c r="G6276" s="22" t="s">
        <v>11357</v>
      </c>
      <c r="H6276" s="458" t="str">
        <f t="shared" si="872"/>
        <v>3VA9908-0BB25</v>
      </c>
      <c r="I6276" s="1690" t="s">
        <v>10969</v>
      </c>
      <c r="J6276" s="366" t="s">
        <v>1935</v>
      </c>
      <c r="K6276" s="33" t="s">
        <v>741</v>
      </c>
    </row>
    <row r="6277" spans="1:11" customFormat="1">
      <c r="A6277" s="528"/>
      <c r="B6277" s="19" t="s">
        <v>11358</v>
      </c>
      <c r="C6277" s="521">
        <v>86</v>
      </c>
      <c r="D6277" s="230">
        <f t="shared" ref="D6277:D6278" si="874">C6277*(1-VLOOKUP(I6277,descuentos,6,FALSE))*fcl/IF(dol_sol="dólar", TC,1)</f>
        <v>58.344640434192669</v>
      </c>
      <c r="E6277" s="163">
        <v>10</v>
      </c>
      <c r="F6277" s="22">
        <f t="shared" si="871"/>
        <v>68.344640434192669</v>
      </c>
      <c r="G6277" s="22" t="s">
        <v>11359</v>
      </c>
      <c r="H6277" s="458" t="str">
        <f t="shared" si="872"/>
        <v>3VA9088-0LB10</v>
      </c>
      <c r="I6277" s="1690" t="s">
        <v>10969</v>
      </c>
      <c r="J6277" s="366" t="s">
        <v>1935</v>
      </c>
      <c r="K6277" s="33" t="s">
        <v>741</v>
      </c>
    </row>
    <row r="6278" spans="1:11" customFormat="1">
      <c r="A6278" s="528"/>
      <c r="B6278" s="19" t="s">
        <v>11360</v>
      </c>
      <c r="C6278" s="521">
        <v>114</v>
      </c>
      <c r="D6278" s="230">
        <f t="shared" si="874"/>
        <v>77.340569877883297</v>
      </c>
      <c r="E6278" s="163">
        <v>10</v>
      </c>
      <c r="F6278" s="22">
        <f t="shared" si="871"/>
        <v>87.340569877883297</v>
      </c>
      <c r="G6278" s="22" t="s">
        <v>11361</v>
      </c>
      <c r="H6278" s="458" t="str">
        <f t="shared" si="872"/>
        <v>3VA9388-0LB10</v>
      </c>
      <c r="I6278" s="1690" t="s">
        <v>10969</v>
      </c>
      <c r="J6278" s="366" t="s">
        <v>1935</v>
      </c>
      <c r="K6278" s="33" t="s">
        <v>741</v>
      </c>
    </row>
    <row r="6279" spans="1:11" customFormat="1">
      <c r="A6279" s="528"/>
      <c r="B6279" s="19" t="s">
        <v>11362</v>
      </c>
      <c r="C6279" s="521">
        <v>534</v>
      </c>
      <c r="D6279" s="230">
        <f t="shared" ref="D6279:D6284" si="875">C6279*(1-VLOOKUP(I6279,descuentos,6,FALSE))*fcl/IF(dol_sol="dólar", TC,1)</f>
        <v>362.27951153324284</v>
      </c>
      <c r="E6279" s="163">
        <v>10</v>
      </c>
      <c r="F6279" s="22">
        <f t="shared" si="871"/>
        <v>372.27951153324284</v>
      </c>
      <c r="G6279" s="22" t="s">
        <v>11363</v>
      </c>
      <c r="H6279" s="458" t="str">
        <f t="shared" si="872"/>
        <v>3VA9088-0VM10</v>
      </c>
      <c r="I6279" s="1690" t="s">
        <v>10969</v>
      </c>
      <c r="J6279" s="366" t="s">
        <v>1935</v>
      </c>
      <c r="K6279" s="33" t="s">
        <v>741</v>
      </c>
    </row>
    <row r="6280" spans="1:11" s="102" customFormat="1">
      <c r="A6280" s="528"/>
      <c r="B6280" s="185" t="s">
        <v>14048</v>
      </c>
      <c r="C6280" s="542">
        <v>205</v>
      </c>
      <c r="D6280" s="230">
        <f t="shared" si="875"/>
        <v>139.07734056987786</v>
      </c>
      <c r="E6280" s="1526">
        <v>10</v>
      </c>
      <c r="F6280" s="410">
        <f t="shared" si="871"/>
        <v>149.07734056987786</v>
      </c>
      <c r="G6280" s="410" t="s">
        <v>14049</v>
      </c>
      <c r="H6280" s="458" t="str">
        <f t="shared" si="872"/>
        <v>3VA9088-0VK10</v>
      </c>
      <c r="I6280" s="2171" t="s">
        <v>10969</v>
      </c>
      <c r="J6280" s="321" t="s">
        <v>1935</v>
      </c>
      <c r="K6280" s="185" t="s">
        <v>741</v>
      </c>
    </row>
    <row r="6281" spans="1:11" s="102" customFormat="1">
      <c r="A6281" s="528"/>
      <c r="B6281" s="185" t="s">
        <v>14050</v>
      </c>
      <c r="C6281" s="542">
        <v>37</v>
      </c>
      <c r="D6281" s="230">
        <f t="shared" ref="D6281" si="876">C6281*(1-VLOOKUP(I6281,descuentos,6,FALSE))*fcl/IF(dol_sol="dólar", TC,1)</f>
        <v>25.101763907734053</v>
      </c>
      <c r="E6281" s="1526">
        <v>10</v>
      </c>
      <c r="F6281" s="410">
        <f t="shared" si="871"/>
        <v>35.101763907734053</v>
      </c>
      <c r="G6281" s="410" t="s">
        <v>14051</v>
      </c>
      <c r="H6281" s="458" t="str">
        <f t="shared" si="872"/>
        <v>3VA9468-0VK20</v>
      </c>
      <c r="I6281" s="2171" t="s">
        <v>10969</v>
      </c>
      <c r="J6281" s="321" t="s">
        <v>1935</v>
      </c>
      <c r="K6281" s="185" t="s">
        <v>741</v>
      </c>
    </row>
    <row r="6282" spans="1:11" customFormat="1">
      <c r="A6282" s="528"/>
      <c r="B6282" s="19" t="s">
        <v>11364</v>
      </c>
      <c r="C6282" s="521">
        <v>941</v>
      </c>
      <c r="D6282" s="230">
        <f t="shared" ref="D6282:D6283" si="877">C6282*(1-VLOOKUP(I6282,descuentos,6,FALSE))*fcl/IF(dol_sol="dólar", TC,1)</f>
        <v>638.3989145183175</v>
      </c>
      <c r="E6282" s="163">
        <v>10</v>
      </c>
      <c r="F6282" s="22">
        <f t="shared" si="871"/>
        <v>648.3989145183175</v>
      </c>
      <c r="G6282" s="22" t="s">
        <v>11365</v>
      </c>
      <c r="H6282" s="458" t="str">
        <f t="shared" si="872"/>
        <v>3VA9157-0HA20</v>
      </c>
      <c r="I6282" s="1690" t="s">
        <v>10969</v>
      </c>
      <c r="J6282" s="366" t="s">
        <v>1935</v>
      </c>
      <c r="K6282" s="33" t="s">
        <v>741</v>
      </c>
    </row>
    <row r="6283" spans="1:11" customFormat="1">
      <c r="A6283" s="528"/>
      <c r="B6283" s="19" t="s">
        <v>11366</v>
      </c>
      <c r="C6283" s="521">
        <v>1225</v>
      </c>
      <c r="D6283" s="230">
        <f t="shared" si="877"/>
        <v>831.07191316146532</v>
      </c>
      <c r="E6283" s="163">
        <v>10</v>
      </c>
      <c r="F6283" s="22">
        <f t="shared" si="871"/>
        <v>841.07191316146532</v>
      </c>
      <c r="G6283" s="22" t="s">
        <v>11367</v>
      </c>
      <c r="H6283" s="458" t="str">
        <f t="shared" si="872"/>
        <v>3VA9257-0HA20</v>
      </c>
      <c r="I6283" s="1690" t="s">
        <v>10969</v>
      </c>
      <c r="J6283" s="366" t="s">
        <v>1935</v>
      </c>
      <c r="K6283" s="33" t="s">
        <v>741</v>
      </c>
    </row>
    <row r="6284" spans="1:11" customFormat="1">
      <c r="A6284" s="528"/>
      <c r="B6284" s="19" t="s">
        <v>2527</v>
      </c>
      <c r="C6284" s="521">
        <v>1225</v>
      </c>
      <c r="D6284" s="230">
        <f t="shared" si="875"/>
        <v>831.07191316146532</v>
      </c>
      <c r="E6284" s="163">
        <v>10</v>
      </c>
      <c r="F6284" s="22">
        <f t="shared" si="871"/>
        <v>841.07191316146532</v>
      </c>
      <c r="G6284" s="22" t="s">
        <v>11368</v>
      </c>
      <c r="H6284" s="458" t="str">
        <f t="shared" si="872"/>
        <v>3VA9267-0HA20</v>
      </c>
      <c r="I6284" s="1690" t="s">
        <v>10969</v>
      </c>
      <c r="J6284" s="366" t="s">
        <v>1935</v>
      </c>
      <c r="K6284" s="33" t="s">
        <v>741</v>
      </c>
    </row>
    <row r="6285" spans="1:11" customFormat="1">
      <c r="A6285" s="528"/>
      <c r="B6285" s="19" t="s">
        <v>11369</v>
      </c>
      <c r="C6285" s="521">
        <v>1527</v>
      </c>
      <c r="D6285" s="230">
        <f t="shared" ref="D6285:D6287" si="878">C6285*(1-VLOOKUP(I6285,descuentos,6,FALSE))*fcl/IF(dol_sol="dólar", TC,1)</f>
        <v>1035.9565807326999</v>
      </c>
      <c r="E6285" s="163">
        <v>10</v>
      </c>
      <c r="F6285" s="22">
        <f t="shared" si="871"/>
        <v>1045.9565807326999</v>
      </c>
      <c r="G6285" s="22" t="s">
        <v>11370</v>
      </c>
      <c r="H6285" s="458" t="str">
        <f t="shared" si="872"/>
        <v>3VA9467-0HA20</v>
      </c>
      <c r="I6285" s="1690" t="s">
        <v>10969</v>
      </c>
      <c r="J6285" s="366" t="s">
        <v>1935</v>
      </c>
      <c r="K6285" s="33" t="s">
        <v>741</v>
      </c>
    </row>
    <row r="6286" spans="1:11" customFormat="1">
      <c r="A6286" s="528"/>
      <c r="B6286" s="19" t="s">
        <v>11371</v>
      </c>
      <c r="C6286" s="521">
        <v>1942</v>
      </c>
      <c r="D6286" s="230">
        <f t="shared" si="878"/>
        <v>1317.5033921302577</v>
      </c>
      <c r="E6286" s="163">
        <v>10</v>
      </c>
      <c r="F6286" s="22">
        <f t="shared" si="871"/>
        <v>1327.5033921302577</v>
      </c>
      <c r="G6286" s="22" t="s">
        <v>11372</v>
      </c>
      <c r="H6286" s="458" t="str">
        <f t="shared" si="872"/>
        <v>3VA9113-0RL20</v>
      </c>
      <c r="I6286" s="1690" t="s">
        <v>10969</v>
      </c>
      <c r="J6286" s="366" t="s">
        <v>1935</v>
      </c>
      <c r="K6286" s="33" t="s">
        <v>741</v>
      </c>
    </row>
    <row r="6287" spans="1:11" customFormat="1">
      <c r="A6287" s="528"/>
      <c r="B6287" s="19" t="s">
        <v>11373</v>
      </c>
      <c r="C6287" s="521">
        <v>2115</v>
      </c>
      <c r="D6287" s="230">
        <f t="shared" si="878"/>
        <v>1434.8710990502032</v>
      </c>
      <c r="E6287" s="163">
        <v>10</v>
      </c>
      <c r="F6287" s="22">
        <f t="shared" si="871"/>
        <v>1444.8710990502032</v>
      </c>
      <c r="G6287" s="22" t="s">
        <v>11374</v>
      </c>
      <c r="H6287" s="458" t="str">
        <f t="shared" si="872"/>
        <v>3VA9213-0RL20</v>
      </c>
      <c r="I6287" s="1690" t="s">
        <v>10969</v>
      </c>
      <c r="J6287" s="366" t="s">
        <v>1935</v>
      </c>
      <c r="K6287" s="33" t="s">
        <v>741</v>
      </c>
    </row>
    <row r="6288" spans="1:11" customFormat="1">
      <c r="A6288" s="528"/>
      <c r="B6288" s="19" t="s">
        <v>11375</v>
      </c>
      <c r="C6288" s="521">
        <v>2680</v>
      </c>
      <c r="D6288" s="230">
        <f t="shared" ref="D6288:D6294" si="879">C6288*(1-VLOOKUP(I6288,descuentos,6,FALSE))*fcl/IF(dol_sol="dólar", TC,1)</f>
        <v>1818.1818181818178</v>
      </c>
      <c r="E6288" s="163">
        <v>10</v>
      </c>
      <c r="F6288" s="22">
        <f t="shared" si="871"/>
        <v>1828.1818181818178</v>
      </c>
      <c r="G6288" s="22" t="s">
        <v>11376</v>
      </c>
      <c r="H6288" s="458" t="str">
        <f t="shared" si="872"/>
        <v>3VA9323-0RL30</v>
      </c>
      <c r="I6288" s="1690" t="s">
        <v>10969</v>
      </c>
      <c r="J6288" s="366" t="s">
        <v>1935</v>
      </c>
      <c r="K6288" s="33" t="s">
        <v>741</v>
      </c>
    </row>
    <row r="6289" spans="1:11" customFormat="1">
      <c r="A6289" s="528"/>
      <c r="B6289" s="19" t="s">
        <v>12885</v>
      </c>
      <c r="C6289" s="521">
        <v>178</v>
      </c>
      <c r="D6289" s="230">
        <f t="shared" si="879"/>
        <v>120.75983717774761</v>
      </c>
      <c r="E6289" s="163">
        <v>5</v>
      </c>
      <c r="F6289" s="22">
        <f t="shared" si="871"/>
        <v>125.75983717774761</v>
      </c>
      <c r="G6289" s="22" t="s">
        <v>12886</v>
      </c>
      <c r="H6289" s="458" t="str">
        <f t="shared" si="872"/>
        <v>3VA9157-0FK21</v>
      </c>
      <c r="I6289" s="1690" t="s">
        <v>10969</v>
      </c>
      <c r="J6289" s="366" t="s">
        <v>1935</v>
      </c>
      <c r="K6289" s="33" t="s">
        <v>741</v>
      </c>
    </row>
    <row r="6290" spans="1:11" customFormat="1">
      <c r="A6290" s="528"/>
      <c r="B6290" s="19" t="s">
        <v>12887</v>
      </c>
      <c r="C6290" s="521">
        <v>201</v>
      </c>
      <c r="D6290" s="230">
        <f t="shared" si="879"/>
        <v>136.36363636363635</v>
      </c>
      <c r="E6290" s="163">
        <v>5</v>
      </c>
      <c r="F6290" s="22">
        <f t="shared" si="871"/>
        <v>141.36363636363635</v>
      </c>
      <c r="G6290" s="22" t="s">
        <v>12888</v>
      </c>
      <c r="H6290" s="458" t="str">
        <f t="shared" si="872"/>
        <v>3VA9257-0FK21</v>
      </c>
      <c r="I6290" s="1690" t="s">
        <v>10969</v>
      </c>
      <c r="J6290" s="366" t="s">
        <v>1935</v>
      </c>
      <c r="K6290" s="33" t="s">
        <v>741</v>
      </c>
    </row>
    <row r="6291" spans="1:11" customFormat="1">
      <c r="A6291" s="528"/>
      <c r="B6291" s="19" t="s">
        <v>12889</v>
      </c>
      <c r="C6291" s="521">
        <v>291</v>
      </c>
      <c r="D6291" s="230">
        <f t="shared" si="879"/>
        <v>197.42198100407052</v>
      </c>
      <c r="E6291" s="163">
        <v>5</v>
      </c>
      <c r="F6291" s="22">
        <f t="shared" si="871"/>
        <v>202.42198100407052</v>
      </c>
      <c r="G6291" s="22" t="s">
        <v>12890</v>
      </c>
      <c r="H6291" s="458" t="str">
        <f t="shared" si="872"/>
        <v>3VA9467-0FK21</v>
      </c>
      <c r="I6291" s="1690" t="s">
        <v>10969</v>
      </c>
      <c r="J6291" s="366" t="s">
        <v>1935</v>
      </c>
      <c r="K6291" s="33" t="s">
        <v>741</v>
      </c>
    </row>
    <row r="6292" spans="1:11" customFormat="1">
      <c r="A6292" s="528"/>
      <c r="B6292" s="19" t="s">
        <v>12891</v>
      </c>
      <c r="C6292" s="521">
        <v>475</v>
      </c>
      <c r="D6292" s="230">
        <f t="shared" si="879"/>
        <v>322.25237449118043</v>
      </c>
      <c r="E6292" s="163">
        <v>5</v>
      </c>
      <c r="F6292" s="22">
        <f t="shared" si="871"/>
        <v>327.25237449118043</v>
      </c>
      <c r="G6292" s="22" t="s">
        <v>12892</v>
      </c>
      <c r="H6292" s="458" t="str">
        <f t="shared" si="872"/>
        <v>3VA9687-0FK21</v>
      </c>
      <c r="I6292" s="1690" t="s">
        <v>10969</v>
      </c>
      <c r="J6292" s="366" t="s">
        <v>1935</v>
      </c>
      <c r="K6292" s="33" t="s">
        <v>741</v>
      </c>
    </row>
    <row r="6293" spans="1:11" customFormat="1">
      <c r="A6293" s="528"/>
      <c r="B6293" s="19" t="s">
        <v>14052</v>
      </c>
      <c r="C6293" s="521">
        <v>37</v>
      </c>
      <c r="D6293" s="230">
        <f t="shared" si="879"/>
        <v>25.101763907734053</v>
      </c>
      <c r="E6293" s="163">
        <v>5</v>
      </c>
      <c r="F6293" s="22">
        <f t="shared" si="871"/>
        <v>30.101763907734053</v>
      </c>
      <c r="G6293" s="22" t="s">
        <v>14053</v>
      </c>
      <c r="H6293" s="458" t="str">
        <f t="shared" si="872"/>
        <v>3VA9158-0VK20</v>
      </c>
      <c r="I6293" s="1690" t="s">
        <v>10969</v>
      </c>
      <c r="J6293" s="366" t="s">
        <v>1935</v>
      </c>
      <c r="K6293" s="33" t="s">
        <v>741</v>
      </c>
    </row>
    <row r="6294" spans="1:11" customFormat="1">
      <c r="A6294" s="528"/>
      <c r="B6294" s="19" t="s">
        <v>14052</v>
      </c>
      <c r="C6294" s="521">
        <v>38</v>
      </c>
      <c r="D6294" s="230">
        <f t="shared" si="879"/>
        <v>25.780189959294436</v>
      </c>
      <c r="E6294" s="163">
        <v>5</v>
      </c>
      <c r="F6294" s="22">
        <f t="shared" si="871"/>
        <v>30.780189959294436</v>
      </c>
      <c r="G6294" s="22" t="s">
        <v>14054</v>
      </c>
      <c r="H6294" s="458" t="str">
        <f t="shared" si="872"/>
        <v>3VA9158-0VK20</v>
      </c>
      <c r="I6294" s="1690" t="s">
        <v>10969</v>
      </c>
      <c r="J6294" s="366" t="s">
        <v>1935</v>
      </c>
      <c r="K6294" s="33" t="s">
        <v>741</v>
      </c>
    </row>
    <row r="6295" spans="1:11" customFormat="1">
      <c r="A6295" s="528"/>
      <c r="B6295" s="19" t="s">
        <v>14050</v>
      </c>
      <c r="C6295" s="521">
        <v>37</v>
      </c>
      <c r="D6295" s="230">
        <f t="shared" ref="D6295" si="880">C6295*(1-VLOOKUP(I6295,descuentos,6,FALSE))*fcl/IF(dol_sol="dólar", TC,1)</f>
        <v>25.101763907734053</v>
      </c>
      <c r="E6295" s="163">
        <v>5</v>
      </c>
      <c r="F6295" s="22">
        <f t="shared" si="871"/>
        <v>30.101763907734053</v>
      </c>
      <c r="G6295" s="22" t="s">
        <v>14055</v>
      </c>
      <c r="H6295" s="458" t="str">
        <f t="shared" si="872"/>
        <v>3VA9468-0VK20</v>
      </c>
      <c r="I6295" s="1690" t="s">
        <v>10969</v>
      </c>
      <c r="J6295" s="366" t="s">
        <v>1935</v>
      </c>
      <c r="K6295" s="33" t="s">
        <v>741</v>
      </c>
    </row>
    <row r="6296" spans="1:11" customFormat="1">
      <c r="C6296" s="521"/>
      <c r="D6296" s="230"/>
      <c r="E6296" s="213"/>
      <c r="H6296" s="458"/>
      <c r="I6296" s="1690"/>
      <c r="J6296" s="366"/>
      <c r="K6296" s="33"/>
    </row>
    <row r="6297" spans="1:11" s="191" customFormat="1" ht="16.8">
      <c r="A6297" s="529"/>
      <c r="B6297" s="1699" t="s">
        <v>11633</v>
      </c>
      <c r="C6297" s="521"/>
      <c r="D6297" s="230"/>
      <c r="E6297" s="531"/>
      <c r="F6297" s="532"/>
      <c r="G6297" s="532"/>
      <c r="H6297" s="458"/>
      <c r="I6297" s="1690"/>
      <c r="J6297" s="366"/>
      <c r="K6297" s="33"/>
    </row>
    <row r="6298" spans="1:11" s="191" customFormat="1">
      <c r="A6298" s="185"/>
      <c r="B6298" s="185"/>
      <c r="C6298" s="521"/>
      <c r="D6298" s="230"/>
      <c r="E6298" s="671"/>
      <c r="F6298" s="671"/>
      <c r="G6298" s="185"/>
      <c r="H6298" s="458"/>
      <c r="I6298" s="1690"/>
      <c r="J6298" s="366"/>
      <c r="K6298" s="33"/>
    </row>
    <row r="6299" spans="1:11" s="191" customFormat="1">
      <c r="A6299" s="185"/>
      <c r="B6299" s="185"/>
      <c r="C6299" s="521"/>
      <c r="D6299" s="230"/>
      <c r="E6299" s="671"/>
      <c r="F6299" s="671"/>
      <c r="G6299" s="185"/>
      <c r="H6299" s="458"/>
      <c r="I6299" s="1690"/>
      <c r="J6299" s="366"/>
      <c r="K6299" s="33"/>
    </row>
    <row r="6300" spans="1:11" customFormat="1">
      <c r="A6300" s="528"/>
      <c r="B6300" s="19" t="s">
        <v>11634</v>
      </c>
      <c r="C6300" s="521">
        <f>3193+1581</f>
        <v>4774</v>
      </c>
      <c r="D6300" s="230">
        <f>C6300*(1-VLOOKUP(I6300,descuentos,6,FALSE))*fcl/IF(dol_sol="dólar", TC,1)</f>
        <v>3238.805970149253</v>
      </c>
      <c r="E6300" s="163">
        <f>D6300/8</f>
        <v>404.85074626865662</v>
      </c>
      <c r="F6300" s="22">
        <f>D6300+E6300</f>
        <v>3643.6567164179096</v>
      </c>
      <c r="G6300" s="22" t="s">
        <v>11635</v>
      </c>
      <c r="H6300" s="458" t="s">
        <v>11636</v>
      </c>
      <c r="I6300" s="1690" t="s">
        <v>10969</v>
      </c>
      <c r="J6300" s="366" t="s">
        <v>1935</v>
      </c>
      <c r="K6300" s="33" t="s">
        <v>741</v>
      </c>
    </row>
    <row r="6301" spans="1:11" customFormat="1">
      <c r="A6301" s="528"/>
      <c r="B6301" s="19" t="s">
        <v>11637</v>
      </c>
      <c r="C6301" s="521">
        <f>3193+2716</f>
        <v>5909</v>
      </c>
      <c r="D6301" s="230">
        <f>C6301*(1-VLOOKUP(I6301,descuentos,6,FALSE))*fcl/IF(dol_sol="dólar", TC,1)</f>
        <v>4008.8195386702841</v>
      </c>
      <c r="E6301" s="163">
        <f>D6301/8</f>
        <v>501.10244233378552</v>
      </c>
      <c r="F6301" s="22">
        <f>D6301+E6301</f>
        <v>4509.9219810040695</v>
      </c>
      <c r="G6301" s="22" t="s">
        <v>11638</v>
      </c>
      <c r="H6301" s="458" t="s">
        <v>11639</v>
      </c>
      <c r="I6301" s="1690" t="s">
        <v>10969</v>
      </c>
      <c r="J6301" s="366" t="s">
        <v>1935</v>
      </c>
      <c r="K6301" s="33" t="s">
        <v>741</v>
      </c>
    </row>
    <row r="6302" spans="1:11" customFormat="1">
      <c r="A6302" s="528"/>
      <c r="B6302" s="19" t="s">
        <v>11640</v>
      </c>
      <c r="C6302" s="521">
        <f>4077+3348</f>
        <v>7425</v>
      </c>
      <c r="D6302" s="230">
        <f>C6302*(1-VLOOKUP(I6302,descuentos,6,FALSE))*fcl/IF(dol_sol="dólar", TC,1)</f>
        <v>5037.313432835821</v>
      </c>
      <c r="E6302" s="163">
        <f>D6302/8</f>
        <v>629.66417910447763</v>
      </c>
      <c r="F6302" s="22">
        <f>D6302+E6302</f>
        <v>5666.9776119402986</v>
      </c>
      <c r="G6302" s="22" t="s">
        <v>11641</v>
      </c>
      <c r="H6302" s="458" t="s">
        <v>11642</v>
      </c>
      <c r="I6302" s="1690" t="s">
        <v>10969</v>
      </c>
      <c r="J6302" s="366" t="s">
        <v>1935</v>
      </c>
      <c r="K6302" s="33" t="s">
        <v>741</v>
      </c>
    </row>
    <row r="6303" spans="1:11" customFormat="1">
      <c r="A6303" s="528"/>
      <c r="B6303" s="19" t="s">
        <v>11643</v>
      </c>
      <c r="C6303" s="521">
        <f>4077+4803</f>
        <v>8880</v>
      </c>
      <c r="D6303" s="230">
        <f t="shared" ref="D6303" si="881">C6303*(1-VLOOKUP(I6303,descuentos,6,FALSE))*fcl/IF(dol_sol="dólar", TC,1)</f>
        <v>6024.423337856173</v>
      </c>
      <c r="E6303" s="163">
        <f t="shared" ref="E6303" si="882">D6303/8</f>
        <v>753.05291723202163</v>
      </c>
      <c r="F6303" s="22">
        <f t="shared" ref="F6303" si="883">D6303+E6303</f>
        <v>6777.4762550881951</v>
      </c>
      <c r="G6303" s="22" t="s">
        <v>11644</v>
      </c>
      <c r="H6303" s="458" t="s">
        <v>11645</v>
      </c>
      <c r="I6303" s="1690" t="s">
        <v>10969</v>
      </c>
      <c r="J6303" s="366" t="s">
        <v>1935</v>
      </c>
      <c r="K6303" s="33" t="s">
        <v>741</v>
      </c>
    </row>
    <row r="6304" spans="1:11" s="191" customFormat="1">
      <c r="A6304" s="185"/>
      <c r="B6304" s="672"/>
      <c r="C6304" s="521"/>
      <c r="D6304" s="230"/>
      <c r="E6304" s="673"/>
      <c r="F6304" s="409"/>
      <c r="G6304" s="185"/>
      <c r="H6304" s="458"/>
      <c r="I6304" s="1690"/>
      <c r="J6304" s="366"/>
      <c r="K6304" s="33"/>
    </row>
    <row r="6305" spans="1:12" s="191" customFormat="1" ht="16.8">
      <c r="A6305" s="529"/>
      <c r="B6305" s="1699" t="s">
        <v>14056</v>
      </c>
      <c r="C6305" s="2406"/>
      <c r="D6305" s="353"/>
      <c r="E6305" s="2407"/>
      <c r="F6305" s="532"/>
      <c r="G6305" s="532"/>
      <c r="H6305" s="458"/>
      <c r="I6305" s="1690"/>
      <c r="J6305" s="366"/>
      <c r="K6305" s="33"/>
    </row>
    <row r="6306" spans="1:12" s="191" customFormat="1">
      <c r="A6306" s="185"/>
      <c r="B6306" s="185"/>
      <c r="C6306" s="521"/>
      <c r="D6306" s="230"/>
      <c r="E6306" s="671"/>
      <c r="F6306" s="671"/>
      <c r="G6306" s="185"/>
      <c r="H6306" s="458"/>
      <c r="I6306" s="1690"/>
      <c r="J6306" s="366"/>
      <c r="K6306" s="33"/>
    </row>
    <row r="6307" spans="1:12" s="191" customFormat="1">
      <c r="A6307" s="185"/>
      <c r="B6307" s="185"/>
      <c r="C6307" s="521"/>
      <c r="D6307" s="230"/>
      <c r="E6307" s="671"/>
      <c r="F6307" s="671"/>
      <c r="G6307" s="185"/>
      <c r="H6307" s="458"/>
      <c r="I6307" s="1690"/>
      <c r="J6307" s="366"/>
      <c r="K6307" s="33"/>
    </row>
    <row r="6308" spans="1:12" customFormat="1">
      <c r="A6308" s="528"/>
      <c r="B6308" s="19" t="s">
        <v>14057</v>
      </c>
      <c r="C6308" s="521">
        <v>2648</v>
      </c>
      <c r="D6308" s="230">
        <f t="shared" ref="D6308" si="884">C6308*(1-VLOOKUP(I6308,descuentos,6,FALSE))*fcl/IF(dol_sol="dólar", TC,1)</f>
        <v>1796.4721845318857</v>
      </c>
      <c r="E6308" s="163">
        <v>10</v>
      </c>
      <c r="F6308" s="22">
        <f>D6308+E6308</f>
        <v>1806.4721845318857</v>
      </c>
      <c r="G6308" s="22" t="s">
        <v>14058</v>
      </c>
      <c r="H6308" s="458" t="str">
        <f t="shared" ref="H6308:H6310" si="885">B6308</f>
        <v>3VT9500-3MQ00</v>
      </c>
      <c r="I6308" s="1690" t="s">
        <v>10969</v>
      </c>
      <c r="J6308" s="366" t="s">
        <v>1935</v>
      </c>
      <c r="K6308" s="33" t="s">
        <v>741</v>
      </c>
    </row>
    <row r="6309" spans="1:12" customFormat="1">
      <c r="A6309" s="528"/>
      <c r="B6309" s="19" t="s">
        <v>14059</v>
      </c>
      <c r="C6309" s="521">
        <v>68</v>
      </c>
      <c r="D6309" s="230">
        <f>C6309*(1-VLOOKUP(I6309,descuentos,6,FALSE))*fcl/IF(dol_sol="dólar", TC,1)</f>
        <v>46.132971506105832</v>
      </c>
      <c r="E6309" s="163">
        <v>5</v>
      </c>
      <c r="F6309" s="22">
        <f>D6309+E6309</f>
        <v>51.132971506105832</v>
      </c>
      <c r="G6309" s="22" t="s">
        <v>14060</v>
      </c>
      <c r="H6309" s="458" t="str">
        <f t="shared" si="885"/>
        <v>3VT9500-2AF10</v>
      </c>
      <c r="I6309" s="1690" t="s">
        <v>10969</v>
      </c>
      <c r="J6309" s="366" t="s">
        <v>1935</v>
      </c>
      <c r="K6309" s="33" t="s">
        <v>741</v>
      </c>
    </row>
    <row r="6310" spans="1:12" customFormat="1">
      <c r="A6310" s="528"/>
      <c r="B6310" s="19" t="s">
        <v>14061</v>
      </c>
      <c r="C6310" s="521">
        <v>406</v>
      </c>
      <c r="D6310" s="230">
        <f>C6310*(1-VLOOKUP(I6310,descuentos,6,FALSE))*fcl/IF(dol_sol="dólar", TC,1)</f>
        <v>275.44097693351421</v>
      </c>
      <c r="E6310" s="163">
        <f>D6310/8</f>
        <v>34.430122116689276</v>
      </c>
      <c r="F6310" s="22">
        <f>D6310+E6310</f>
        <v>309.8710990502035</v>
      </c>
      <c r="G6310" s="22" t="s">
        <v>14062</v>
      </c>
      <c r="H6310" s="458" t="str">
        <f t="shared" si="885"/>
        <v>3VT9500-8LC10</v>
      </c>
      <c r="I6310" s="1690" t="s">
        <v>10969</v>
      </c>
      <c r="J6310" s="366" t="s">
        <v>1935</v>
      </c>
      <c r="K6310" s="33" t="s">
        <v>741</v>
      </c>
    </row>
    <row r="6311" spans="1:12" s="191" customFormat="1">
      <c r="A6311" s="185"/>
      <c r="B6311" s="185"/>
      <c r="C6311" s="521"/>
      <c r="D6311" s="230"/>
      <c r="E6311" s="185"/>
      <c r="F6311" s="185"/>
      <c r="G6311" s="185"/>
      <c r="H6311" s="458"/>
      <c r="I6311" s="1690"/>
      <c r="J6311" s="366"/>
      <c r="K6311" s="33"/>
    </row>
    <row r="6312" spans="1:12" s="191" customFormat="1">
      <c r="A6312" s="529"/>
      <c r="B6312" s="530"/>
      <c r="C6312" s="521"/>
      <c r="D6312" s="230"/>
      <c r="E6312" s="531"/>
      <c r="F6312" s="532"/>
      <c r="G6312" s="532"/>
      <c r="H6312" s="458"/>
      <c r="I6312" s="1690"/>
      <c r="J6312" s="366"/>
      <c r="K6312" s="33"/>
    </row>
    <row r="6313" spans="1:12" s="191" customFormat="1">
      <c r="A6313" s="33"/>
      <c r="B6313" s="32" t="s">
        <v>11377</v>
      </c>
      <c r="C6313" s="521"/>
      <c r="D6313" s="230"/>
      <c r="E6313" s="390"/>
      <c r="F6313" s="22"/>
      <c r="G6313" s="33"/>
      <c r="H6313" s="458"/>
      <c r="I6313" s="1690"/>
      <c r="J6313" s="366"/>
      <c r="K6313" s="33"/>
    </row>
    <row r="6314" spans="1:12">
      <c r="C6314" s="521"/>
      <c r="D6314" s="230"/>
      <c r="H6314" s="135"/>
      <c r="I6314" s="1690"/>
    </row>
    <row r="6315" spans="1:12">
      <c r="A6315" s="527"/>
      <c r="B6315" s="135" t="s">
        <v>11378</v>
      </c>
      <c r="C6315" s="521">
        <v>250</v>
      </c>
      <c r="D6315" s="230">
        <f t="shared" si="850"/>
        <v>169.60651289009496</v>
      </c>
      <c r="E6315" s="163">
        <v>15</v>
      </c>
      <c r="F6315" s="22">
        <f>D6315+E6315</f>
        <v>184.60651289009496</v>
      </c>
      <c r="G6315" s="314" t="s">
        <v>11379</v>
      </c>
      <c r="H6315" s="458" t="s">
        <v>11380</v>
      </c>
      <c r="I6315" s="1690" t="s">
        <v>10969</v>
      </c>
      <c r="J6315" s="366" t="s">
        <v>1935</v>
      </c>
      <c r="K6315" s="33" t="s">
        <v>741</v>
      </c>
      <c r="L6315"/>
    </row>
    <row r="6316" spans="1:12">
      <c r="A6316" s="527"/>
      <c r="B6316" s="135" t="s">
        <v>11381</v>
      </c>
      <c r="C6316" s="521">
        <v>523</v>
      </c>
      <c r="D6316" s="230">
        <f t="shared" si="850"/>
        <v>354.81682496607863</v>
      </c>
      <c r="E6316" s="163">
        <v>15</v>
      </c>
      <c r="F6316" s="22">
        <f>D6316+E6316</f>
        <v>369.81682496607863</v>
      </c>
      <c r="G6316" s="314" t="s">
        <v>11382</v>
      </c>
      <c r="H6316" s="458" t="s">
        <v>11383</v>
      </c>
      <c r="I6316" s="1690" t="s">
        <v>10969</v>
      </c>
      <c r="J6316" s="366" t="s">
        <v>1935</v>
      </c>
      <c r="K6316" s="33" t="s">
        <v>741</v>
      </c>
      <c r="L6316"/>
    </row>
    <row r="6317" spans="1:12">
      <c r="A6317" s="527"/>
      <c r="B6317" s="135" t="s">
        <v>11384</v>
      </c>
      <c r="C6317" s="521">
        <v>1037</v>
      </c>
      <c r="D6317" s="230">
        <f t="shared" si="850"/>
        <v>703.52781546811389</v>
      </c>
      <c r="E6317" s="163">
        <v>15</v>
      </c>
      <c r="F6317" s="22">
        <f>D6317+E6317</f>
        <v>718.52781546811389</v>
      </c>
      <c r="G6317" s="314" t="s">
        <v>11385</v>
      </c>
      <c r="H6317" s="458" t="s">
        <v>10159</v>
      </c>
      <c r="I6317" s="1690" t="s">
        <v>10969</v>
      </c>
      <c r="J6317" s="366" t="s">
        <v>1935</v>
      </c>
      <c r="K6317" s="33" t="s">
        <v>741</v>
      </c>
      <c r="L6317"/>
    </row>
    <row r="6318" spans="1:12">
      <c r="C6318" s="521"/>
      <c r="D6318" s="230"/>
      <c r="H6318" s="458"/>
      <c r="I6318" s="1690"/>
      <c r="J6318" s="366"/>
      <c r="K6318" s="33"/>
      <c r="L6318"/>
    </row>
    <row r="6319" spans="1:12" s="191" customFormat="1">
      <c r="A6319" s="33"/>
      <c r="B6319" s="32" t="s">
        <v>11386</v>
      </c>
      <c r="C6319" s="521"/>
      <c r="D6319" s="230"/>
      <c r="E6319" s="390"/>
      <c r="F6319" s="22"/>
      <c r="G6319" s="33"/>
      <c r="H6319" s="458"/>
      <c r="I6319" s="1690"/>
      <c r="J6319" s="366"/>
      <c r="K6319" s="33"/>
    </row>
    <row r="6320" spans="1:12">
      <c r="C6320" s="521"/>
      <c r="D6320" s="230"/>
      <c r="H6320" s="458"/>
      <c r="I6320" s="1690"/>
      <c r="J6320" s="366"/>
      <c r="K6320" s="33"/>
      <c r="L6320"/>
    </row>
    <row r="6321" spans="1:12">
      <c r="A6321" s="527"/>
      <c r="B6321" s="135" t="s">
        <v>10158</v>
      </c>
      <c r="C6321" s="521">
        <v>3100</v>
      </c>
      <c r="D6321" s="230">
        <f t="shared" ref="D6321" si="886">C6321*(1-VLOOKUP(I6321,descuentos,6,FALSE))*fcl/IF(dol_sol="dólar", TC,1)</f>
        <v>2103.1207598371775</v>
      </c>
      <c r="E6321" s="163">
        <v>15</v>
      </c>
      <c r="F6321" s="22">
        <f>D6321+E6321</f>
        <v>2118.1207598371775</v>
      </c>
      <c r="G6321" s="314" t="s">
        <v>11387</v>
      </c>
      <c r="H6321" s="458" t="str">
        <f>B6321</f>
        <v>TPS3K09100</v>
      </c>
      <c r="I6321" s="1690" t="s">
        <v>10969</v>
      </c>
      <c r="J6321" s="366" t="s">
        <v>1935</v>
      </c>
      <c r="K6321" s="33" t="s">
        <v>741</v>
      </c>
      <c r="L6321"/>
    </row>
    <row r="6322" spans="1:12">
      <c r="C6322" s="521"/>
      <c r="D6322" s="230"/>
      <c r="H6322" s="458"/>
      <c r="I6322" s="1690"/>
      <c r="J6322" s="366"/>
      <c r="K6322" s="33"/>
      <c r="L6322"/>
    </row>
    <row r="6323" spans="1:12" s="191" customFormat="1">
      <c r="A6323" s="529"/>
      <c r="B6323" s="530"/>
      <c r="C6323" s="521"/>
      <c r="D6323" s="230"/>
      <c r="E6323" s="531"/>
      <c r="F6323" s="532"/>
      <c r="G6323" s="532"/>
      <c r="H6323" s="458"/>
      <c r="I6323" s="1690"/>
      <c r="J6323" s="366"/>
      <c r="K6323" s="33"/>
    </row>
    <row r="6324" spans="1:12" s="191" customFormat="1">
      <c r="A6324" s="185"/>
      <c r="B6324" s="139"/>
      <c r="C6324" s="521"/>
      <c r="D6324" s="230"/>
      <c r="E6324" s="185"/>
      <c r="F6324" s="185"/>
      <c r="G6324" s="140"/>
      <c r="H6324" s="458"/>
      <c r="I6324" s="1690"/>
      <c r="J6324" s="366"/>
      <c r="K6324" s="33"/>
    </row>
    <row r="6325" spans="1:12" s="191" customFormat="1">
      <c r="A6325" s="185"/>
      <c r="B6325" s="139"/>
      <c r="C6325" s="521"/>
      <c r="D6325" s="230"/>
      <c r="E6325" s="185"/>
      <c r="F6325" s="185"/>
      <c r="G6325" s="140"/>
      <c r="H6325" s="458"/>
      <c r="I6325" s="1690"/>
      <c r="J6325" s="366"/>
      <c r="K6325" s="33"/>
    </row>
    <row r="6326" spans="1:12" s="191" customFormat="1">
      <c r="A6326" s="33"/>
      <c r="B6326" s="32" t="s">
        <v>10160</v>
      </c>
      <c r="C6326" s="521"/>
      <c r="D6326" s="230"/>
      <c r="E6326" s="390"/>
      <c r="F6326" s="22"/>
      <c r="G6326" s="33"/>
      <c r="H6326" s="458"/>
      <c r="I6326" s="1690"/>
      <c r="J6326" s="366"/>
      <c r="K6326" s="33"/>
    </row>
    <row r="6327" spans="1:12" s="191" customFormat="1">
      <c r="A6327" s="527"/>
      <c r="B6327" s="543" t="s">
        <v>11388</v>
      </c>
      <c r="C6327" s="521">
        <v>91</v>
      </c>
      <c r="D6327" s="230">
        <f t="shared" ref="D6327" si="887">C6327*(1-VLOOKUP(I6327,descuentos,6,FALSE))*fcl/IF(dol_sol="dólar", TC,1)</f>
        <v>61.736770691994558</v>
      </c>
      <c r="E6327" s="163">
        <v>5</v>
      </c>
      <c r="F6327" s="22">
        <f t="shared" ref="F6327:F6340" si="888">D6327+E6327</f>
        <v>66.736770691994565</v>
      </c>
      <c r="G6327" s="410" t="s">
        <v>11389</v>
      </c>
      <c r="H6327" s="458" t="s">
        <v>11390</v>
      </c>
      <c r="I6327" s="1690" t="s">
        <v>10969</v>
      </c>
      <c r="J6327" s="366" t="s">
        <v>1935</v>
      </c>
      <c r="K6327" s="33" t="s">
        <v>741</v>
      </c>
    </row>
    <row r="6328" spans="1:12" s="191" customFormat="1">
      <c r="A6328" s="527"/>
      <c r="B6328" s="543" t="s">
        <v>11391</v>
      </c>
      <c r="C6328" s="521">
        <v>98</v>
      </c>
      <c r="D6328" s="230">
        <f t="shared" si="850"/>
        <v>66.485753052917218</v>
      </c>
      <c r="E6328" s="163">
        <v>5</v>
      </c>
      <c r="F6328" s="22">
        <f t="shared" si="888"/>
        <v>71.485753052917218</v>
      </c>
      <c r="G6328" s="410" t="s">
        <v>11392</v>
      </c>
      <c r="H6328" s="458" t="s">
        <v>10161</v>
      </c>
      <c r="I6328" s="1690" t="s">
        <v>10969</v>
      </c>
      <c r="J6328" s="366" t="s">
        <v>1935</v>
      </c>
      <c r="K6328" s="33" t="s">
        <v>741</v>
      </c>
    </row>
    <row r="6329" spans="1:12" s="191" customFormat="1">
      <c r="A6329" s="527"/>
      <c r="B6329" s="543" t="s">
        <v>11393</v>
      </c>
      <c r="C6329" s="521">
        <v>117</v>
      </c>
      <c r="D6329" s="230">
        <f t="shared" si="850"/>
        <v>79.375848032564434</v>
      </c>
      <c r="E6329" s="163">
        <v>5</v>
      </c>
      <c r="F6329" s="22">
        <f t="shared" si="888"/>
        <v>84.375848032564434</v>
      </c>
      <c r="G6329" s="410" t="s">
        <v>11394</v>
      </c>
      <c r="H6329" s="458" t="s">
        <v>11395</v>
      </c>
      <c r="I6329" s="1690" t="s">
        <v>10969</v>
      </c>
      <c r="J6329" s="366" t="s">
        <v>1935</v>
      </c>
      <c r="K6329" s="33" t="s">
        <v>741</v>
      </c>
    </row>
    <row r="6330" spans="1:12" s="191" customFormat="1">
      <c r="A6330" s="527"/>
      <c r="B6330" s="543" t="s">
        <v>11396</v>
      </c>
      <c r="C6330" s="521">
        <v>152</v>
      </c>
      <c r="D6330" s="230">
        <f t="shared" ref="D6330" si="889">C6330*(1-VLOOKUP(I6330,descuentos,6,FALSE))*fcl/IF(dol_sol="dólar", TC,1)</f>
        <v>103.12075983717774</v>
      </c>
      <c r="E6330" s="163">
        <v>5</v>
      </c>
      <c r="F6330" s="22">
        <f t="shared" si="888"/>
        <v>108.12075983717774</v>
      </c>
      <c r="G6330" s="410" t="s">
        <v>11397</v>
      </c>
      <c r="H6330" s="458" t="s">
        <v>11398</v>
      </c>
      <c r="I6330" s="1690" t="s">
        <v>10969</v>
      </c>
      <c r="J6330" s="366" t="s">
        <v>1935</v>
      </c>
      <c r="K6330" s="33" t="s">
        <v>741</v>
      </c>
    </row>
    <row r="6331" spans="1:12" s="191" customFormat="1">
      <c r="A6331" s="527"/>
      <c r="B6331" s="543" t="s">
        <v>11399</v>
      </c>
      <c r="C6331" s="521">
        <v>176</v>
      </c>
      <c r="D6331" s="230">
        <f t="shared" ref="D6331" si="890">C6331*(1-VLOOKUP(I6331,descuentos,6,FALSE))*fcl/IF(dol_sol="dólar", TC,1)</f>
        <v>119.40298507462684</v>
      </c>
      <c r="E6331" s="163">
        <v>5</v>
      </c>
      <c r="F6331" s="22">
        <f t="shared" si="888"/>
        <v>124.40298507462684</v>
      </c>
      <c r="G6331" s="410" t="s">
        <v>11400</v>
      </c>
      <c r="H6331" s="458" t="s">
        <v>11401</v>
      </c>
      <c r="I6331" s="1690" t="s">
        <v>10969</v>
      </c>
      <c r="J6331" s="366" t="s">
        <v>1935</v>
      </c>
      <c r="K6331" s="33" t="s">
        <v>741</v>
      </c>
    </row>
    <row r="6332" spans="1:12" s="191" customFormat="1">
      <c r="A6332" s="527"/>
      <c r="B6332" s="543" t="s">
        <v>11402</v>
      </c>
      <c r="C6332" s="521">
        <v>248</v>
      </c>
      <c r="D6332" s="230">
        <f t="shared" ref="D6332" si="891">C6332*(1-VLOOKUP(I6332,descuentos,6,FALSE))*fcl/IF(dol_sol="dólar", TC,1)</f>
        <v>168.2496607869742</v>
      </c>
      <c r="E6332" s="163">
        <v>5</v>
      </c>
      <c r="F6332" s="22">
        <f t="shared" si="888"/>
        <v>173.2496607869742</v>
      </c>
      <c r="G6332" s="410" t="s">
        <v>11403</v>
      </c>
      <c r="H6332" s="458" t="s">
        <v>11404</v>
      </c>
      <c r="I6332" s="1690" t="s">
        <v>10969</v>
      </c>
      <c r="J6332" s="366" t="s">
        <v>1935</v>
      </c>
      <c r="K6332" s="33" t="s">
        <v>741</v>
      </c>
    </row>
    <row r="6333" spans="1:12" s="191" customFormat="1">
      <c r="A6333" s="527"/>
      <c r="B6333" s="543" t="s">
        <v>11405</v>
      </c>
      <c r="C6333" s="521">
        <v>377</v>
      </c>
      <c r="D6333" s="230">
        <f t="shared" ref="D6333" si="892">C6333*(1-VLOOKUP(I6333,descuentos,6,FALSE))*fcl/IF(dol_sol="dólar", TC,1)</f>
        <v>255.7666214382632</v>
      </c>
      <c r="E6333" s="163">
        <v>10</v>
      </c>
      <c r="F6333" s="22">
        <f t="shared" si="888"/>
        <v>265.7666214382632</v>
      </c>
      <c r="G6333" s="410" t="s">
        <v>11406</v>
      </c>
      <c r="H6333" s="458" t="s">
        <v>11407</v>
      </c>
      <c r="I6333" s="1690" t="s">
        <v>10969</v>
      </c>
      <c r="J6333" s="366" t="s">
        <v>1935</v>
      </c>
      <c r="K6333" s="33" t="s">
        <v>741</v>
      </c>
    </row>
    <row r="6334" spans="1:12" s="191" customFormat="1">
      <c r="A6334" s="527"/>
      <c r="B6334" s="543" t="s">
        <v>11408</v>
      </c>
      <c r="C6334" s="521">
        <v>423</v>
      </c>
      <c r="D6334" s="230">
        <f t="shared" ref="D6334" si="893">C6334*(1-VLOOKUP(I6334,descuentos,6,FALSE))*fcl/IF(dol_sol="dólar", TC,1)</f>
        <v>286.97421981004067</v>
      </c>
      <c r="E6334" s="163">
        <v>10</v>
      </c>
      <c r="F6334" s="22">
        <f t="shared" si="888"/>
        <v>296.97421981004067</v>
      </c>
      <c r="G6334" s="410" t="s">
        <v>11409</v>
      </c>
      <c r="H6334" s="458" t="s">
        <v>11410</v>
      </c>
      <c r="I6334" s="1690" t="s">
        <v>10969</v>
      </c>
      <c r="J6334" s="366" t="s">
        <v>1935</v>
      </c>
      <c r="K6334" s="33" t="s">
        <v>741</v>
      </c>
    </row>
    <row r="6335" spans="1:12" s="191" customFormat="1">
      <c r="A6335" s="527"/>
      <c r="B6335" s="543" t="s">
        <v>11411</v>
      </c>
      <c r="C6335" s="521">
        <v>438</v>
      </c>
      <c r="D6335" s="230">
        <f t="shared" ref="D6335" si="894">C6335*(1-VLOOKUP(I6335,descuentos,6,FALSE))*fcl/IF(dol_sol="dólar", TC,1)</f>
        <v>297.15061058344639</v>
      </c>
      <c r="E6335" s="163">
        <v>10</v>
      </c>
      <c r="F6335" s="22">
        <f t="shared" si="888"/>
        <v>307.15061058344639</v>
      </c>
      <c r="G6335" s="410" t="s">
        <v>11412</v>
      </c>
      <c r="H6335" s="458" t="s">
        <v>11413</v>
      </c>
      <c r="I6335" s="1690" t="s">
        <v>10969</v>
      </c>
      <c r="J6335" s="366" t="s">
        <v>1935</v>
      </c>
      <c r="K6335" s="33" t="s">
        <v>741</v>
      </c>
    </row>
    <row r="6336" spans="1:12" s="191" customFormat="1">
      <c r="A6336" s="527"/>
      <c r="B6336" s="543" t="s">
        <v>11414</v>
      </c>
      <c r="C6336" s="521">
        <v>550</v>
      </c>
      <c r="D6336" s="230">
        <f t="shared" ref="D6336" si="895">C6336*(1-VLOOKUP(I6336,descuentos,6,FALSE))*fcl/IF(dol_sol="dólar", TC,1)</f>
        <v>373.1343283582089</v>
      </c>
      <c r="E6336" s="163">
        <v>10</v>
      </c>
      <c r="F6336" s="22">
        <f t="shared" si="888"/>
        <v>383.1343283582089</v>
      </c>
      <c r="G6336" s="410" t="s">
        <v>11415</v>
      </c>
      <c r="H6336" s="458" t="s">
        <v>11416</v>
      </c>
      <c r="I6336" s="1690" t="s">
        <v>10969</v>
      </c>
      <c r="J6336" s="366" t="s">
        <v>1935</v>
      </c>
      <c r="K6336" s="33" t="s">
        <v>741</v>
      </c>
    </row>
    <row r="6337" spans="1:11" s="191" customFormat="1">
      <c r="A6337" s="527"/>
      <c r="B6337" s="543" t="s">
        <v>11417</v>
      </c>
      <c r="C6337" s="521">
        <v>686</v>
      </c>
      <c r="D6337" s="230">
        <f t="shared" ref="D6337" si="896">C6337*(1-VLOOKUP(I6337,descuentos,6,FALSE))*fcl/IF(dol_sol="dólar", TC,1)</f>
        <v>465.40027137042057</v>
      </c>
      <c r="E6337" s="163">
        <v>15</v>
      </c>
      <c r="F6337" s="22">
        <f t="shared" si="888"/>
        <v>480.40027137042057</v>
      </c>
      <c r="G6337" s="410" t="s">
        <v>11418</v>
      </c>
      <c r="H6337" s="458" t="s">
        <v>11419</v>
      </c>
      <c r="I6337" s="1690" t="s">
        <v>10969</v>
      </c>
      <c r="J6337" s="366" t="s">
        <v>1935</v>
      </c>
      <c r="K6337" s="33" t="s">
        <v>741</v>
      </c>
    </row>
    <row r="6338" spans="1:11" s="191" customFormat="1">
      <c r="A6338" s="527"/>
      <c r="B6338" s="543" t="s">
        <v>11420</v>
      </c>
      <c r="C6338" s="521">
        <v>845</v>
      </c>
      <c r="D6338" s="230">
        <f t="shared" ref="D6338" si="897">C6338*(1-VLOOKUP(I6338,descuentos,6,FALSE))*fcl/IF(dol_sol="dólar", TC,1)</f>
        <v>573.27001356852099</v>
      </c>
      <c r="E6338" s="163">
        <v>15</v>
      </c>
      <c r="F6338" s="22">
        <f t="shared" si="888"/>
        <v>588.27001356852099</v>
      </c>
      <c r="G6338" s="410" t="s">
        <v>11421</v>
      </c>
      <c r="H6338" s="458" t="s">
        <v>11422</v>
      </c>
      <c r="I6338" s="1690" t="s">
        <v>10969</v>
      </c>
      <c r="J6338" s="366" t="s">
        <v>1935</v>
      </c>
      <c r="K6338" s="33" t="s">
        <v>741</v>
      </c>
    </row>
    <row r="6339" spans="1:11" s="191" customFormat="1">
      <c r="A6339" s="527"/>
      <c r="B6339" s="543" t="s">
        <v>11423</v>
      </c>
      <c r="C6339" s="521">
        <v>1114</v>
      </c>
      <c r="D6339" s="230">
        <f t="shared" ref="D6339" si="898">C6339*(1-VLOOKUP(I6339,descuentos,6,FALSE))*fcl/IF(dol_sol="dólar", TC,1)</f>
        <v>755.76662143826309</v>
      </c>
      <c r="E6339" s="163">
        <v>20</v>
      </c>
      <c r="F6339" s="22">
        <f t="shared" si="888"/>
        <v>775.76662143826309</v>
      </c>
      <c r="G6339" s="410" t="s">
        <v>11424</v>
      </c>
      <c r="H6339" s="458" t="s">
        <v>11425</v>
      </c>
      <c r="I6339" s="1690" t="s">
        <v>10969</v>
      </c>
      <c r="J6339" s="366" t="s">
        <v>1935</v>
      </c>
      <c r="K6339" s="33" t="s">
        <v>741</v>
      </c>
    </row>
    <row r="6340" spans="1:11" s="191" customFormat="1">
      <c r="A6340" s="527"/>
      <c r="B6340" s="543" t="s">
        <v>11426</v>
      </c>
      <c r="C6340" s="521">
        <v>1697</v>
      </c>
      <c r="D6340" s="230">
        <f t="shared" ref="D6340" si="899">C6340*(1-VLOOKUP(I6340,descuentos,6,FALSE))*fcl/IF(dol_sol="dólar", TC,1)</f>
        <v>1151.2890094979646</v>
      </c>
      <c r="E6340" s="163">
        <v>20</v>
      </c>
      <c r="F6340" s="22">
        <f t="shared" si="888"/>
        <v>1171.2890094979646</v>
      </c>
      <c r="G6340" s="410" t="s">
        <v>11427</v>
      </c>
      <c r="H6340" s="458" t="s">
        <v>11428</v>
      </c>
      <c r="I6340" s="1690" t="s">
        <v>10969</v>
      </c>
      <c r="J6340" s="366" t="s">
        <v>1935</v>
      </c>
      <c r="K6340" s="33" t="s">
        <v>741</v>
      </c>
    </row>
    <row r="6341" spans="1:11" s="102" customFormat="1">
      <c r="A6341" s="185"/>
      <c r="B6341" s="139"/>
      <c r="C6341" s="521"/>
      <c r="D6341" s="230"/>
      <c r="E6341" s="185"/>
      <c r="F6341" s="185"/>
      <c r="G6341" s="140"/>
      <c r="H6341" s="458"/>
      <c r="I6341" s="1690"/>
      <c r="J6341" s="366"/>
      <c r="K6341" s="33"/>
    </row>
    <row r="6342" spans="1:11" s="191" customFormat="1">
      <c r="A6342" s="33"/>
      <c r="B6342" s="32" t="s">
        <v>11646</v>
      </c>
      <c r="C6342" s="32"/>
      <c r="D6342" s="230"/>
      <c r="E6342" s="390"/>
      <c r="F6342" s="22"/>
      <c r="G6342" s="33"/>
      <c r="H6342" s="458"/>
      <c r="I6342" s="1690"/>
      <c r="J6342" s="366"/>
      <c r="K6342" s="33"/>
    </row>
    <row r="6343" spans="1:11" s="191" customFormat="1">
      <c r="A6343" s="527"/>
      <c r="B6343" s="543" t="s">
        <v>11429</v>
      </c>
      <c r="C6343" s="521">
        <v>47</v>
      </c>
      <c r="D6343" s="230">
        <f t="shared" ref="D6343:D6347" si="900">C6343*(1-VLOOKUP(I6343,descuentos,6,FALSE))*fcl/IF(dol_sol="dólar", TC,1)</f>
        <v>31.886024423337854</v>
      </c>
      <c r="E6343" s="163">
        <v>3</v>
      </c>
      <c r="F6343" s="22">
        <f t="shared" ref="F6343:F6348" si="901">D6343+E6343</f>
        <v>34.886024423337858</v>
      </c>
      <c r="G6343" s="314" t="s">
        <v>11430</v>
      </c>
      <c r="H6343" s="458" t="str">
        <f>B6343</f>
        <v>3RH2911-1HA31</v>
      </c>
      <c r="I6343" s="1690" t="s">
        <v>10969</v>
      </c>
      <c r="J6343" s="366" t="s">
        <v>1935</v>
      </c>
      <c r="K6343" s="33" t="s">
        <v>741</v>
      </c>
    </row>
    <row r="6344" spans="1:11" s="191" customFormat="1">
      <c r="A6344" s="527"/>
      <c r="B6344" s="543" t="s">
        <v>11431</v>
      </c>
      <c r="C6344" s="521">
        <v>47</v>
      </c>
      <c r="D6344" s="230">
        <f t="shared" si="900"/>
        <v>31.886024423337854</v>
      </c>
      <c r="E6344" s="163">
        <v>3</v>
      </c>
      <c r="F6344" s="22">
        <f t="shared" si="901"/>
        <v>34.886024423337858</v>
      </c>
      <c r="G6344" s="314" t="s">
        <v>11432</v>
      </c>
      <c r="H6344" s="458" t="str">
        <f t="shared" ref="H6344:H6348" si="902">B6344</f>
        <v>3RH2911-1HA22</v>
      </c>
      <c r="I6344" s="1690" t="s">
        <v>10969</v>
      </c>
      <c r="J6344" s="366" t="s">
        <v>1935</v>
      </c>
      <c r="K6344" s="33" t="s">
        <v>741</v>
      </c>
    </row>
    <row r="6345" spans="1:11" s="191" customFormat="1">
      <c r="A6345" s="527"/>
      <c r="B6345" s="543" t="s">
        <v>11433</v>
      </c>
      <c r="C6345" s="521">
        <v>29</v>
      </c>
      <c r="D6345" s="230">
        <f t="shared" si="900"/>
        <v>19.674355495251017</v>
      </c>
      <c r="E6345" s="163">
        <v>3</v>
      </c>
      <c r="F6345" s="22">
        <f t="shared" si="901"/>
        <v>22.674355495251017</v>
      </c>
      <c r="G6345" s="314" t="s">
        <v>11434</v>
      </c>
      <c r="H6345" s="458" t="str">
        <f t="shared" si="902"/>
        <v>3RH2911-1HA11</v>
      </c>
      <c r="I6345" s="1690" t="s">
        <v>10969</v>
      </c>
      <c r="J6345" s="366" t="s">
        <v>1935</v>
      </c>
      <c r="K6345" s="33" t="s">
        <v>741</v>
      </c>
    </row>
    <row r="6346" spans="1:11" s="191" customFormat="1">
      <c r="A6346" s="527"/>
      <c r="B6346" s="543" t="s">
        <v>11435</v>
      </c>
      <c r="C6346" s="521">
        <v>19</v>
      </c>
      <c r="D6346" s="230">
        <f t="shared" si="900"/>
        <v>12.890094979647218</v>
      </c>
      <c r="E6346" s="163">
        <v>3</v>
      </c>
      <c r="F6346" s="22">
        <f t="shared" si="901"/>
        <v>15.890094979647218</v>
      </c>
      <c r="G6346" s="314" t="s">
        <v>11436</v>
      </c>
      <c r="H6346" s="458" t="str">
        <f t="shared" si="902"/>
        <v>3RH2911-1HA01</v>
      </c>
      <c r="I6346" s="1690" t="s">
        <v>10969</v>
      </c>
      <c r="J6346" s="366" t="s">
        <v>1935</v>
      </c>
      <c r="K6346" s="33" t="s">
        <v>741</v>
      </c>
    </row>
    <row r="6347" spans="1:11" s="191" customFormat="1">
      <c r="A6347" s="527"/>
      <c r="B6347" s="543" t="s">
        <v>11437</v>
      </c>
      <c r="C6347" s="521">
        <v>19</v>
      </c>
      <c r="D6347" s="230">
        <f t="shared" si="900"/>
        <v>12.890094979647218</v>
      </c>
      <c r="E6347" s="163">
        <v>3</v>
      </c>
      <c r="F6347" s="22">
        <f t="shared" si="901"/>
        <v>15.890094979647218</v>
      </c>
      <c r="G6347" s="314" t="s">
        <v>11438</v>
      </c>
      <c r="H6347" s="458" t="str">
        <f t="shared" si="902"/>
        <v>3RH2911-1HA10</v>
      </c>
      <c r="I6347" s="1690" t="s">
        <v>10969</v>
      </c>
      <c r="J6347" s="366" t="s">
        <v>1935</v>
      </c>
      <c r="K6347" s="33" t="s">
        <v>741</v>
      </c>
    </row>
    <row r="6348" spans="1:11" s="191" customFormat="1">
      <c r="A6348" s="527"/>
      <c r="B6348" s="543" t="s">
        <v>11437</v>
      </c>
      <c r="C6348" s="521">
        <v>40</v>
      </c>
      <c r="D6348" s="230">
        <f t="shared" ref="D6348:D6354" si="903">C6348*(1-VLOOKUP(I6348,descuentos,6,FALSE))*fcl/IF(dol_sol="dólar", TC,1)</f>
        <v>27.137042062415194</v>
      </c>
      <c r="E6348" s="163">
        <v>3</v>
      </c>
      <c r="F6348" s="22">
        <f t="shared" si="901"/>
        <v>30.137042062415194</v>
      </c>
      <c r="G6348" s="314" t="s">
        <v>11439</v>
      </c>
      <c r="H6348" s="458" t="str">
        <f t="shared" si="902"/>
        <v>3RH2911-1HA10</v>
      </c>
      <c r="I6348" s="1690" t="s">
        <v>10969</v>
      </c>
      <c r="J6348" s="366" t="s">
        <v>1935</v>
      </c>
      <c r="K6348" s="33" t="s">
        <v>741</v>
      </c>
    </row>
    <row r="6349" spans="1:11" customFormat="1">
      <c r="A6349" s="19"/>
      <c r="B6349" s="1724"/>
      <c r="C6349" s="1724"/>
      <c r="D6349" s="1484"/>
      <c r="E6349" s="1725"/>
      <c r="F6349" s="133"/>
      <c r="G6349" s="19"/>
      <c r="H6349" s="135"/>
      <c r="I6349" s="1701"/>
      <c r="J6349" s="371"/>
      <c r="K6349" s="19"/>
    </row>
    <row r="6350" spans="1:11" s="191" customFormat="1">
      <c r="A6350" s="33"/>
      <c r="B6350" s="32" t="s">
        <v>11647</v>
      </c>
      <c r="C6350" s="32"/>
      <c r="D6350" s="230"/>
      <c r="E6350" s="390"/>
      <c r="F6350" s="22"/>
      <c r="G6350" s="33"/>
      <c r="H6350" s="458"/>
      <c r="I6350" s="1690"/>
      <c r="J6350" s="366"/>
      <c r="K6350" s="33"/>
    </row>
    <row r="6351" spans="1:11" s="191" customFormat="1">
      <c r="A6351" s="527"/>
      <c r="B6351" s="543"/>
      <c r="C6351" s="521"/>
      <c r="D6351" s="230"/>
      <c r="E6351" s="163"/>
      <c r="F6351" s="22"/>
      <c r="G6351" s="314"/>
      <c r="H6351" s="458"/>
      <c r="I6351" s="1690"/>
      <c r="J6351" s="366"/>
      <c r="K6351" s="33"/>
    </row>
    <row r="6352" spans="1:11" s="191" customFormat="1">
      <c r="A6352" s="527"/>
      <c r="B6352" s="543" t="s">
        <v>11648</v>
      </c>
      <c r="C6352" s="521">
        <v>10</v>
      </c>
      <c r="D6352" s="230">
        <f t="shared" si="903"/>
        <v>6.7842605156037985</v>
      </c>
      <c r="E6352" s="163">
        <v>3</v>
      </c>
      <c r="F6352" s="22">
        <f t="shared" ref="F6352:F6355" si="904">D6352+E6352</f>
        <v>9.7842605156037976</v>
      </c>
      <c r="G6352" s="160" t="s">
        <v>11649</v>
      </c>
      <c r="H6352" s="458" t="str">
        <f t="shared" ref="H6352:H6355" si="905">B6352</f>
        <v>3RA2912-2H</v>
      </c>
      <c r="I6352" s="1690" t="s">
        <v>10969</v>
      </c>
      <c r="J6352" s="366" t="s">
        <v>1935</v>
      </c>
      <c r="K6352" s="33" t="s">
        <v>741</v>
      </c>
    </row>
    <row r="6353" spans="1:11" s="191" customFormat="1">
      <c r="A6353" s="527"/>
      <c r="B6353" s="543" t="s">
        <v>11650</v>
      </c>
      <c r="C6353" s="521">
        <v>10</v>
      </c>
      <c r="D6353" s="230">
        <f t="shared" si="903"/>
        <v>6.7842605156037985</v>
      </c>
      <c r="E6353" s="163">
        <v>3</v>
      </c>
      <c r="F6353" s="22">
        <f t="shared" si="904"/>
        <v>9.7842605156037976</v>
      </c>
      <c r="G6353" s="160" t="s">
        <v>11651</v>
      </c>
      <c r="H6353" s="458" t="str">
        <f t="shared" si="905"/>
        <v>3RA2922-2H</v>
      </c>
      <c r="I6353" s="1690" t="s">
        <v>10969</v>
      </c>
      <c r="J6353" s="366" t="s">
        <v>1935</v>
      </c>
      <c r="K6353" s="33" t="s">
        <v>741</v>
      </c>
    </row>
    <row r="6354" spans="1:11" s="191" customFormat="1">
      <c r="A6354" s="527"/>
      <c r="B6354" s="543" t="s">
        <v>11652</v>
      </c>
      <c r="C6354" s="521">
        <v>62</v>
      </c>
      <c r="D6354" s="230">
        <f t="shared" si="903"/>
        <v>42.062415196743551</v>
      </c>
      <c r="E6354" s="163">
        <v>3</v>
      </c>
      <c r="F6354" s="22">
        <f t="shared" si="904"/>
        <v>45.062415196743551</v>
      </c>
      <c r="G6354" s="160" t="s">
        <v>11653</v>
      </c>
      <c r="H6354" s="458" t="str">
        <f t="shared" si="905"/>
        <v>3RA2934-2B</v>
      </c>
      <c r="I6354" s="1690" t="s">
        <v>10969</v>
      </c>
      <c r="J6354" s="366" t="s">
        <v>1935</v>
      </c>
      <c r="K6354" s="33" t="s">
        <v>741</v>
      </c>
    </row>
    <row r="6355" spans="1:11" s="191" customFormat="1">
      <c r="A6355" s="527"/>
      <c r="B6355" s="543" t="s">
        <v>11654</v>
      </c>
      <c r="C6355" s="521">
        <v>97</v>
      </c>
      <c r="D6355" s="230">
        <f t="shared" ref="D6355" si="906">C6355*(1-VLOOKUP(I6355,descuentos,6,FALSE))*fcl/IF(dol_sol="dólar", TC,1)</f>
        <v>65.807327001356839</v>
      </c>
      <c r="E6355" s="163">
        <v>3</v>
      </c>
      <c r="F6355" s="22">
        <f t="shared" si="904"/>
        <v>68.807327001356839</v>
      </c>
      <c r="G6355" s="160" t="s">
        <v>11655</v>
      </c>
      <c r="H6355" s="458" t="str">
        <f t="shared" si="905"/>
        <v>3RA1954-2A</v>
      </c>
      <c r="I6355" s="1690" t="s">
        <v>10969</v>
      </c>
      <c r="J6355" s="366" t="s">
        <v>1935</v>
      </c>
      <c r="K6355" s="33" t="s">
        <v>741</v>
      </c>
    </row>
    <row r="6356" spans="1:11" ht="14.4">
      <c r="C6356" s="521"/>
      <c r="D6356" s="230"/>
      <c r="G6356" s="1643"/>
      <c r="H6356" s="135"/>
      <c r="I6356" s="1690"/>
    </row>
    <row r="6357" spans="1:11" s="191" customFormat="1" ht="14.4">
      <c r="A6357" s="529"/>
      <c r="B6357" s="530"/>
      <c r="C6357" s="521"/>
      <c r="D6357" s="230"/>
      <c r="E6357" s="531"/>
      <c r="F6357" s="532"/>
      <c r="G6357" s="1643"/>
      <c r="H6357" s="458"/>
      <c r="I6357" s="1690"/>
      <c r="J6357" s="366"/>
      <c r="K6357" s="33"/>
    </row>
    <row r="6358" spans="1:11" s="191" customFormat="1">
      <c r="A6358" s="185"/>
      <c r="B6358" s="139"/>
      <c r="C6358" s="521"/>
      <c r="D6358" s="230"/>
      <c r="E6358" s="185"/>
      <c r="F6358" s="185"/>
      <c r="G6358" s="140"/>
      <c r="H6358" s="458"/>
      <c r="I6358" s="1690"/>
      <c r="J6358" s="366"/>
      <c r="K6358" s="33"/>
    </row>
    <row r="6359" spans="1:11" s="191" customFormat="1">
      <c r="A6359" s="185"/>
      <c r="B6359" s="32" t="s">
        <v>11440</v>
      </c>
      <c r="C6359" s="32"/>
      <c r="D6359" s="230"/>
      <c r="E6359" s="185"/>
      <c r="F6359" s="185"/>
      <c r="G6359" s="140"/>
      <c r="H6359" s="458"/>
      <c r="I6359" s="1690"/>
      <c r="J6359" s="366"/>
      <c r="K6359" s="33"/>
    </row>
    <row r="6360" spans="1:11" s="191" customFormat="1">
      <c r="A6360" s="185"/>
      <c r="B6360" s="139"/>
      <c r="C6360" s="521"/>
      <c r="D6360" s="230"/>
      <c r="E6360" s="185"/>
      <c r="F6360" s="185"/>
      <c r="G6360" s="140"/>
      <c r="H6360" s="458"/>
      <c r="I6360" s="1690"/>
      <c r="J6360" s="366"/>
      <c r="K6360" s="33"/>
    </row>
    <row r="6361" spans="1:11" s="191" customFormat="1">
      <c r="A6361" s="527"/>
      <c r="B6361" s="543" t="s">
        <v>11441</v>
      </c>
      <c r="C6361" s="521">
        <v>183</v>
      </c>
      <c r="D6361" s="230">
        <f t="shared" ref="D6361:D6376" si="907">C6361*(1-VLOOKUP(I6361,descuentos,6,FALSE))*fcl/IF(dol_sol="dólar", TC,1)</f>
        <v>124.15196743554951</v>
      </c>
      <c r="E6361" s="163">
        <v>3</v>
      </c>
      <c r="F6361" s="22">
        <f t="shared" ref="F6361:F6379" si="908">D6361+E6361</f>
        <v>127.15196743554951</v>
      </c>
      <c r="G6361" s="314" t="s">
        <v>11442</v>
      </c>
      <c r="H6361" s="458" t="str">
        <f>B6361</f>
        <v>3RU2116-0CB0</v>
      </c>
      <c r="I6361" s="1690" t="s">
        <v>10969</v>
      </c>
      <c r="J6361" s="366" t="s">
        <v>1935</v>
      </c>
      <c r="K6361" s="33" t="s">
        <v>741</v>
      </c>
    </row>
    <row r="6362" spans="1:11" s="191" customFormat="1">
      <c r="A6362" s="527"/>
      <c r="B6362" s="543" t="s">
        <v>11443</v>
      </c>
      <c r="C6362" s="521">
        <v>183</v>
      </c>
      <c r="D6362" s="230">
        <f t="shared" si="907"/>
        <v>124.15196743554951</v>
      </c>
      <c r="E6362" s="163">
        <v>3</v>
      </c>
      <c r="F6362" s="22">
        <f t="shared" si="908"/>
        <v>127.15196743554951</v>
      </c>
      <c r="G6362" s="314" t="s">
        <v>11444</v>
      </c>
      <c r="H6362" s="458" t="str">
        <f t="shared" ref="H6362:H6379" si="909">B6362</f>
        <v>3RU2116-0DB0</v>
      </c>
      <c r="I6362" s="1690" t="s">
        <v>10969</v>
      </c>
      <c r="J6362" s="366" t="s">
        <v>1935</v>
      </c>
      <c r="K6362" s="33" t="s">
        <v>741</v>
      </c>
    </row>
    <row r="6363" spans="1:11" s="191" customFormat="1">
      <c r="A6363" s="527"/>
      <c r="B6363" s="543" t="s">
        <v>11445</v>
      </c>
      <c r="C6363" s="521">
        <v>183</v>
      </c>
      <c r="D6363" s="230">
        <f t="shared" ref="D6363:D6372" si="910">C6363*(1-VLOOKUP(I6363,descuentos,6,FALSE))*fcl/IF(dol_sol="dólar", TC,1)</f>
        <v>124.15196743554951</v>
      </c>
      <c r="E6363" s="163">
        <v>3</v>
      </c>
      <c r="F6363" s="22">
        <f t="shared" si="908"/>
        <v>127.15196743554951</v>
      </c>
      <c r="G6363" s="314" t="s">
        <v>11446</v>
      </c>
      <c r="H6363" s="458" t="str">
        <f t="shared" si="909"/>
        <v>3RU2116-0EB0</v>
      </c>
      <c r="I6363" s="1690" t="s">
        <v>10969</v>
      </c>
      <c r="J6363" s="366" t="s">
        <v>1935</v>
      </c>
      <c r="K6363" s="33" t="s">
        <v>741</v>
      </c>
    </row>
    <row r="6364" spans="1:11" s="191" customFormat="1">
      <c r="A6364" s="527"/>
      <c r="B6364" s="543" t="s">
        <v>11447</v>
      </c>
      <c r="C6364" s="521">
        <v>183</v>
      </c>
      <c r="D6364" s="230">
        <f t="shared" ref="D6364:D6369" si="911">C6364*(1-VLOOKUP(I6364,descuentos,6,FALSE))*fcl/IF(dol_sol="dólar", TC,1)</f>
        <v>124.15196743554951</v>
      </c>
      <c r="E6364" s="163">
        <v>3</v>
      </c>
      <c r="F6364" s="22">
        <f t="shared" si="908"/>
        <v>127.15196743554951</v>
      </c>
      <c r="G6364" s="314" t="s">
        <v>11448</v>
      </c>
      <c r="H6364" s="458" t="str">
        <f t="shared" si="909"/>
        <v>3RU2116-0FB0</v>
      </c>
      <c r="I6364" s="1690" t="s">
        <v>10969</v>
      </c>
      <c r="J6364" s="366" t="s">
        <v>1935</v>
      </c>
      <c r="K6364" s="33" t="s">
        <v>741</v>
      </c>
    </row>
    <row r="6365" spans="1:11" s="191" customFormat="1">
      <c r="A6365" s="527"/>
      <c r="B6365" s="543" t="s">
        <v>11449</v>
      </c>
      <c r="C6365" s="521">
        <v>183</v>
      </c>
      <c r="D6365" s="230">
        <f t="shared" si="911"/>
        <v>124.15196743554951</v>
      </c>
      <c r="E6365" s="163">
        <v>3</v>
      </c>
      <c r="F6365" s="22">
        <f t="shared" si="908"/>
        <v>127.15196743554951</v>
      </c>
      <c r="G6365" s="314" t="s">
        <v>11450</v>
      </c>
      <c r="H6365" s="458" t="str">
        <f t="shared" si="909"/>
        <v>3RU2116-0GB0</v>
      </c>
      <c r="I6365" s="1690" t="s">
        <v>10969</v>
      </c>
      <c r="J6365" s="366" t="s">
        <v>1935</v>
      </c>
      <c r="K6365" s="33" t="s">
        <v>741</v>
      </c>
    </row>
    <row r="6366" spans="1:11" s="191" customFormat="1">
      <c r="A6366" s="527"/>
      <c r="B6366" s="543" t="s">
        <v>11451</v>
      </c>
      <c r="C6366" s="521">
        <v>183</v>
      </c>
      <c r="D6366" s="230">
        <f t="shared" si="911"/>
        <v>124.15196743554951</v>
      </c>
      <c r="E6366" s="163">
        <v>3</v>
      </c>
      <c r="F6366" s="22">
        <f t="shared" si="908"/>
        <v>127.15196743554951</v>
      </c>
      <c r="G6366" s="314" t="s">
        <v>11452</v>
      </c>
      <c r="H6366" s="458" t="str">
        <f t="shared" si="909"/>
        <v>3RU2116-0HB0</v>
      </c>
      <c r="I6366" s="1690" t="s">
        <v>10969</v>
      </c>
      <c r="J6366" s="366" t="s">
        <v>1935</v>
      </c>
      <c r="K6366" s="33" t="s">
        <v>741</v>
      </c>
    </row>
    <row r="6367" spans="1:11" s="191" customFormat="1">
      <c r="A6367" s="527"/>
      <c r="B6367" s="543" t="s">
        <v>11453</v>
      </c>
      <c r="C6367" s="521">
        <v>183</v>
      </c>
      <c r="D6367" s="230">
        <f t="shared" si="911"/>
        <v>124.15196743554951</v>
      </c>
      <c r="E6367" s="163">
        <v>3</v>
      </c>
      <c r="F6367" s="22">
        <f t="shared" si="908"/>
        <v>127.15196743554951</v>
      </c>
      <c r="G6367" s="314" t="s">
        <v>11454</v>
      </c>
      <c r="H6367" s="458" t="str">
        <f t="shared" si="909"/>
        <v>3RU2116-0JB0</v>
      </c>
      <c r="I6367" s="1690" t="s">
        <v>10969</v>
      </c>
      <c r="J6367" s="366" t="s">
        <v>1935</v>
      </c>
      <c r="K6367" s="33" t="s">
        <v>741</v>
      </c>
    </row>
    <row r="6368" spans="1:11" s="191" customFormat="1">
      <c r="A6368" s="527"/>
      <c r="B6368" s="543" t="s">
        <v>11455</v>
      </c>
      <c r="C6368" s="521">
        <v>183</v>
      </c>
      <c r="D6368" s="230">
        <f t="shared" si="911"/>
        <v>124.15196743554951</v>
      </c>
      <c r="E6368" s="163">
        <v>3</v>
      </c>
      <c r="F6368" s="22">
        <f t="shared" si="908"/>
        <v>127.15196743554951</v>
      </c>
      <c r="G6368" s="314" t="s">
        <v>11456</v>
      </c>
      <c r="H6368" s="458" t="str">
        <f t="shared" si="909"/>
        <v>3RU2116-0KB0</v>
      </c>
      <c r="I6368" s="1690" t="s">
        <v>10969</v>
      </c>
      <c r="J6368" s="366" t="s">
        <v>1935</v>
      </c>
      <c r="K6368" s="33" t="s">
        <v>741</v>
      </c>
    </row>
    <row r="6369" spans="1:11" s="191" customFormat="1">
      <c r="A6369" s="527"/>
      <c r="B6369" s="543" t="s">
        <v>11457</v>
      </c>
      <c r="C6369" s="521">
        <v>183</v>
      </c>
      <c r="D6369" s="230">
        <f t="shared" si="911"/>
        <v>124.15196743554951</v>
      </c>
      <c r="E6369" s="163">
        <v>3</v>
      </c>
      <c r="F6369" s="22">
        <f t="shared" si="908"/>
        <v>127.15196743554951</v>
      </c>
      <c r="G6369" s="314" t="s">
        <v>11458</v>
      </c>
      <c r="H6369" s="458" t="str">
        <f t="shared" si="909"/>
        <v>3RU2116-1AB0</v>
      </c>
      <c r="I6369" s="1690" t="s">
        <v>10969</v>
      </c>
      <c r="J6369" s="366" t="s">
        <v>1935</v>
      </c>
      <c r="K6369" s="33" t="s">
        <v>741</v>
      </c>
    </row>
    <row r="6370" spans="1:11" s="191" customFormat="1">
      <c r="A6370" s="527"/>
      <c r="B6370" s="543" t="s">
        <v>11459</v>
      </c>
      <c r="C6370" s="521">
        <v>183</v>
      </c>
      <c r="D6370" s="230">
        <f t="shared" si="910"/>
        <v>124.15196743554951</v>
      </c>
      <c r="E6370" s="163">
        <v>3</v>
      </c>
      <c r="F6370" s="22">
        <f t="shared" si="908"/>
        <v>127.15196743554951</v>
      </c>
      <c r="G6370" s="314" t="s">
        <v>11460</v>
      </c>
      <c r="H6370" s="458" t="str">
        <f t="shared" si="909"/>
        <v>3RU2116-1BB0</v>
      </c>
      <c r="I6370" s="1690" t="s">
        <v>10969</v>
      </c>
      <c r="J6370" s="366" t="s">
        <v>1935</v>
      </c>
      <c r="K6370" s="33" t="s">
        <v>741</v>
      </c>
    </row>
    <row r="6371" spans="1:11" s="191" customFormat="1">
      <c r="A6371" s="527"/>
      <c r="B6371" s="543" t="s">
        <v>11461</v>
      </c>
      <c r="C6371" s="521">
        <v>183</v>
      </c>
      <c r="D6371" s="230">
        <f t="shared" si="910"/>
        <v>124.15196743554951</v>
      </c>
      <c r="E6371" s="163">
        <v>3</v>
      </c>
      <c r="F6371" s="22">
        <f t="shared" si="908"/>
        <v>127.15196743554951</v>
      </c>
      <c r="G6371" s="314" t="s">
        <v>11462</v>
      </c>
      <c r="H6371" s="458" t="str">
        <f t="shared" si="909"/>
        <v>3RU2116-1CB0</v>
      </c>
      <c r="I6371" s="1690" t="s">
        <v>10969</v>
      </c>
      <c r="J6371" s="366" t="s">
        <v>1935</v>
      </c>
      <c r="K6371" s="33" t="s">
        <v>741</v>
      </c>
    </row>
    <row r="6372" spans="1:11" s="191" customFormat="1">
      <c r="A6372" s="527"/>
      <c r="B6372" s="543" t="s">
        <v>11463</v>
      </c>
      <c r="C6372" s="521">
        <v>183</v>
      </c>
      <c r="D6372" s="230">
        <f t="shared" si="910"/>
        <v>124.15196743554951</v>
      </c>
      <c r="E6372" s="163">
        <v>3</v>
      </c>
      <c r="F6372" s="22">
        <f t="shared" si="908"/>
        <v>127.15196743554951</v>
      </c>
      <c r="G6372" s="314" t="s">
        <v>11464</v>
      </c>
      <c r="H6372" s="458" t="str">
        <f t="shared" si="909"/>
        <v>3RU2116-1DB0</v>
      </c>
      <c r="I6372" s="1690" t="s">
        <v>10969</v>
      </c>
      <c r="J6372" s="366" t="s">
        <v>1935</v>
      </c>
      <c r="K6372" s="33" t="s">
        <v>741</v>
      </c>
    </row>
    <row r="6373" spans="1:11" s="191" customFormat="1">
      <c r="A6373" s="527"/>
      <c r="B6373" s="543" t="s">
        <v>11465</v>
      </c>
      <c r="C6373" s="521">
        <v>183</v>
      </c>
      <c r="D6373" s="230">
        <f t="shared" si="907"/>
        <v>124.15196743554951</v>
      </c>
      <c r="E6373" s="163">
        <v>3</v>
      </c>
      <c r="F6373" s="22">
        <f t="shared" si="908"/>
        <v>127.15196743554951</v>
      </c>
      <c r="G6373" s="314" t="s">
        <v>11466</v>
      </c>
      <c r="H6373" s="458" t="str">
        <f t="shared" si="909"/>
        <v>3RU2116-1EB0</v>
      </c>
      <c r="I6373" s="1690" t="s">
        <v>10969</v>
      </c>
      <c r="J6373" s="366" t="s">
        <v>1935</v>
      </c>
      <c r="K6373" s="33" t="s">
        <v>741</v>
      </c>
    </row>
    <row r="6374" spans="1:11" s="191" customFormat="1">
      <c r="A6374" s="527"/>
      <c r="B6374" s="543" t="s">
        <v>11467</v>
      </c>
      <c r="C6374" s="521">
        <v>183</v>
      </c>
      <c r="D6374" s="230">
        <f t="shared" si="907"/>
        <v>124.15196743554951</v>
      </c>
      <c r="E6374" s="163">
        <v>3</v>
      </c>
      <c r="F6374" s="22">
        <f t="shared" si="908"/>
        <v>127.15196743554951</v>
      </c>
      <c r="G6374" s="314" t="s">
        <v>11468</v>
      </c>
      <c r="H6374" s="458" t="str">
        <f t="shared" si="909"/>
        <v>3RU2116-1FB0</v>
      </c>
      <c r="I6374" s="1690" t="s">
        <v>10969</v>
      </c>
      <c r="J6374" s="366" t="s">
        <v>1935</v>
      </c>
      <c r="K6374" s="33" t="s">
        <v>741</v>
      </c>
    </row>
    <row r="6375" spans="1:11" s="191" customFormat="1">
      <c r="A6375" s="527"/>
      <c r="B6375" s="543" t="s">
        <v>11469</v>
      </c>
      <c r="C6375" s="521">
        <v>183</v>
      </c>
      <c r="D6375" s="230">
        <f t="shared" si="907"/>
        <v>124.15196743554951</v>
      </c>
      <c r="E6375" s="163">
        <v>3</v>
      </c>
      <c r="F6375" s="22">
        <f t="shared" si="908"/>
        <v>127.15196743554951</v>
      </c>
      <c r="G6375" s="314" t="s">
        <v>11470</v>
      </c>
      <c r="H6375" s="458" t="str">
        <f t="shared" si="909"/>
        <v>3RU2116-1GB0</v>
      </c>
      <c r="I6375" s="1690" t="s">
        <v>10969</v>
      </c>
      <c r="J6375" s="366" t="s">
        <v>1935</v>
      </c>
      <c r="K6375" s="33" t="s">
        <v>741</v>
      </c>
    </row>
    <row r="6376" spans="1:11" s="191" customFormat="1">
      <c r="A6376" s="527"/>
      <c r="B6376" s="543" t="s">
        <v>11471</v>
      </c>
      <c r="C6376" s="521">
        <v>183</v>
      </c>
      <c r="D6376" s="230">
        <f t="shared" si="907"/>
        <v>124.15196743554951</v>
      </c>
      <c r="E6376" s="163">
        <v>3</v>
      </c>
      <c r="F6376" s="22">
        <f t="shared" si="908"/>
        <v>127.15196743554951</v>
      </c>
      <c r="G6376" s="314" t="s">
        <v>11472</v>
      </c>
      <c r="H6376" s="458" t="str">
        <f t="shared" si="909"/>
        <v>3RU2116-1HB0</v>
      </c>
      <c r="I6376" s="1690" t="s">
        <v>10969</v>
      </c>
      <c r="J6376" s="366" t="s">
        <v>1935</v>
      </c>
      <c r="K6376" s="33" t="s">
        <v>741</v>
      </c>
    </row>
    <row r="6377" spans="1:11" s="191" customFormat="1">
      <c r="A6377" s="527"/>
      <c r="B6377" s="543" t="s">
        <v>11473</v>
      </c>
      <c r="C6377" s="521">
        <v>183</v>
      </c>
      <c r="D6377" s="230">
        <f t="shared" ref="D6377:D6379" si="912">C6377*(1-VLOOKUP(I6377,descuentos,6,FALSE))*fcl/IF(dol_sol="dólar", TC,1)</f>
        <v>124.15196743554951</v>
      </c>
      <c r="E6377" s="163">
        <v>3</v>
      </c>
      <c r="F6377" s="22">
        <f t="shared" si="908"/>
        <v>127.15196743554951</v>
      </c>
      <c r="G6377" s="314" t="s">
        <v>11474</v>
      </c>
      <c r="H6377" s="458" t="str">
        <f t="shared" si="909"/>
        <v>3RU2116-1JB0</v>
      </c>
      <c r="I6377" s="1690" t="s">
        <v>10969</v>
      </c>
      <c r="J6377" s="366" t="s">
        <v>1935</v>
      </c>
      <c r="K6377" s="33" t="s">
        <v>741</v>
      </c>
    </row>
    <row r="6378" spans="1:11" s="191" customFormat="1">
      <c r="A6378" s="527"/>
      <c r="B6378" s="543" t="s">
        <v>11475</v>
      </c>
      <c r="C6378" s="521">
        <v>183</v>
      </c>
      <c r="D6378" s="230">
        <f t="shared" si="912"/>
        <v>124.15196743554951</v>
      </c>
      <c r="E6378" s="163">
        <v>3</v>
      </c>
      <c r="F6378" s="22">
        <f t="shared" si="908"/>
        <v>127.15196743554951</v>
      </c>
      <c r="G6378" s="314" t="s">
        <v>11476</v>
      </c>
      <c r="H6378" s="458" t="str">
        <f t="shared" si="909"/>
        <v>3RU2116-1KB0</v>
      </c>
      <c r="I6378" s="1690" t="s">
        <v>10969</v>
      </c>
      <c r="J6378" s="366" t="s">
        <v>1935</v>
      </c>
      <c r="K6378" s="33" t="s">
        <v>741</v>
      </c>
    </row>
    <row r="6379" spans="1:11" s="191" customFormat="1">
      <c r="A6379" s="527"/>
      <c r="B6379" s="543" t="s">
        <v>11477</v>
      </c>
      <c r="C6379" s="521">
        <v>183</v>
      </c>
      <c r="D6379" s="230">
        <f t="shared" si="912"/>
        <v>124.15196743554951</v>
      </c>
      <c r="E6379" s="163">
        <v>3</v>
      </c>
      <c r="F6379" s="22">
        <f t="shared" si="908"/>
        <v>127.15196743554951</v>
      </c>
      <c r="G6379" s="314" t="s">
        <v>11478</v>
      </c>
      <c r="H6379" s="458" t="str">
        <f t="shared" si="909"/>
        <v>3RU2116-4AB0</v>
      </c>
      <c r="I6379" s="1690" t="s">
        <v>10969</v>
      </c>
      <c r="J6379" s="366" t="s">
        <v>1935</v>
      </c>
      <c r="K6379" s="33" t="s">
        <v>741</v>
      </c>
    </row>
    <row r="6380" spans="1:11" s="191" customFormat="1">
      <c r="A6380" s="185"/>
      <c r="B6380" s="139"/>
      <c r="C6380" s="521"/>
      <c r="D6380" s="230"/>
      <c r="E6380" s="185"/>
      <c r="F6380" s="185"/>
      <c r="G6380" s="140"/>
      <c r="H6380" s="458"/>
      <c r="I6380" s="1690"/>
      <c r="J6380" s="366"/>
      <c r="K6380" s="33"/>
    </row>
    <row r="6381" spans="1:11" s="191" customFormat="1">
      <c r="A6381" s="185"/>
      <c r="B6381" s="139"/>
      <c r="C6381" s="521"/>
      <c r="D6381" s="230"/>
      <c r="E6381" s="185"/>
      <c r="F6381" s="185"/>
      <c r="G6381" s="140"/>
      <c r="H6381" s="458"/>
      <c r="I6381" s="1690"/>
      <c r="J6381" s="366"/>
      <c r="K6381" s="33"/>
    </row>
    <row r="6382" spans="1:11" s="191" customFormat="1">
      <c r="A6382" s="527"/>
      <c r="B6382" s="543" t="s">
        <v>11479</v>
      </c>
      <c r="C6382" s="521">
        <v>195</v>
      </c>
      <c r="D6382" s="230">
        <f t="shared" ref="D6382:D6397" si="913">C6382*(1-VLOOKUP(I6382,descuentos,6,FALSE))*fcl/IF(dol_sol="dólar", TC,1)</f>
        <v>132.29308005427407</v>
      </c>
      <c r="E6382" s="163">
        <v>5</v>
      </c>
      <c r="F6382" s="22">
        <f t="shared" ref="F6382:F6397" si="914">D6382+E6382</f>
        <v>137.29308005427407</v>
      </c>
      <c r="G6382" s="314" t="s">
        <v>11480</v>
      </c>
      <c r="H6382" s="458" t="str">
        <f t="shared" ref="H6382:H6397" si="915">B6382</f>
        <v>3RU2126-1CB0</v>
      </c>
      <c r="I6382" s="1690" t="s">
        <v>10969</v>
      </c>
      <c r="J6382" s="366" t="s">
        <v>1935</v>
      </c>
      <c r="K6382" s="33" t="s">
        <v>741</v>
      </c>
    </row>
    <row r="6383" spans="1:11" s="191" customFormat="1">
      <c r="A6383" s="527"/>
      <c r="B6383" s="543" t="s">
        <v>11481</v>
      </c>
      <c r="C6383" s="521">
        <v>195</v>
      </c>
      <c r="D6383" s="230">
        <f t="shared" si="913"/>
        <v>132.29308005427407</v>
      </c>
      <c r="E6383" s="163">
        <v>5</v>
      </c>
      <c r="F6383" s="22">
        <f t="shared" si="914"/>
        <v>137.29308005427407</v>
      </c>
      <c r="G6383" s="314" t="s">
        <v>11482</v>
      </c>
      <c r="H6383" s="458" t="str">
        <f t="shared" si="915"/>
        <v>3RU2126-1DB0</v>
      </c>
      <c r="I6383" s="1690" t="s">
        <v>10969</v>
      </c>
      <c r="J6383" s="366" t="s">
        <v>1935</v>
      </c>
      <c r="K6383" s="33" t="s">
        <v>741</v>
      </c>
    </row>
    <row r="6384" spans="1:11" s="191" customFormat="1">
      <c r="A6384" s="527"/>
      <c r="B6384" s="543" t="s">
        <v>11483</v>
      </c>
      <c r="C6384" s="521">
        <v>195</v>
      </c>
      <c r="D6384" s="230">
        <f t="shared" ref="D6384:D6388" si="916">C6384*(1-VLOOKUP(I6384,descuentos,6,FALSE))*fcl/IF(dol_sol="dólar", TC,1)</f>
        <v>132.29308005427407</v>
      </c>
      <c r="E6384" s="163">
        <v>5</v>
      </c>
      <c r="F6384" s="22">
        <f t="shared" si="914"/>
        <v>137.29308005427407</v>
      </c>
      <c r="G6384" s="314" t="s">
        <v>11484</v>
      </c>
      <c r="H6384" s="458" t="str">
        <f t="shared" si="915"/>
        <v>3RU2126-1EB0</v>
      </c>
      <c r="I6384" s="1690" t="s">
        <v>10969</v>
      </c>
      <c r="J6384" s="366" t="s">
        <v>1935</v>
      </c>
      <c r="K6384" s="33" t="s">
        <v>741</v>
      </c>
    </row>
    <row r="6385" spans="1:11" s="191" customFormat="1">
      <c r="A6385" s="527"/>
      <c r="B6385" s="543" t="s">
        <v>11485</v>
      </c>
      <c r="C6385" s="521">
        <v>195</v>
      </c>
      <c r="D6385" s="230">
        <f t="shared" si="916"/>
        <v>132.29308005427407</v>
      </c>
      <c r="E6385" s="163">
        <v>5</v>
      </c>
      <c r="F6385" s="22">
        <f t="shared" si="914"/>
        <v>137.29308005427407</v>
      </c>
      <c r="G6385" s="314" t="s">
        <v>11486</v>
      </c>
      <c r="H6385" s="458" t="str">
        <f t="shared" si="915"/>
        <v>3RU2126-1FB0</v>
      </c>
      <c r="I6385" s="1690" t="s">
        <v>10969</v>
      </c>
      <c r="J6385" s="366" t="s">
        <v>1935</v>
      </c>
      <c r="K6385" s="33" t="s">
        <v>741</v>
      </c>
    </row>
    <row r="6386" spans="1:11" s="191" customFormat="1">
      <c r="A6386" s="527"/>
      <c r="B6386" s="543" t="s">
        <v>11487</v>
      </c>
      <c r="C6386" s="521">
        <v>195</v>
      </c>
      <c r="D6386" s="230">
        <f t="shared" si="916"/>
        <v>132.29308005427407</v>
      </c>
      <c r="E6386" s="163">
        <v>5</v>
      </c>
      <c r="F6386" s="22">
        <f t="shared" si="914"/>
        <v>137.29308005427407</v>
      </c>
      <c r="G6386" s="314" t="s">
        <v>11488</v>
      </c>
      <c r="H6386" s="458" t="str">
        <f t="shared" si="915"/>
        <v>3RU2126-1GB0</v>
      </c>
      <c r="I6386" s="1690" t="s">
        <v>10969</v>
      </c>
      <c r="J6386" s="366" t="s">
        <v>1935</v>
      </c>
      <c r="K6386" s="33" t="s">
        <v>741</v>
      </c>
    </row>
    <row r="6387" spans="1:11" s="191" customFormat="1">
      <c r="A6387" s="527"/>
      <c r="B6387" s="543" t="s">
        <v>11489</v>
      </c>
      <c r="C6387" s="521">
        <v>195</v>
      </c>
      <c r="D6387" s="230">
        <f t="shared" si="916"/>
        <v>132.29308005427407</v>
      </c>
      <c r="E6387" s="163">
        <v>5</v>
      </c>
      <c r="F6387" s="22">
        <f t="shared" si="914"/>
        <v>137.29308005427407</v>
      </c>
      <c r="G6387" s="314" t="s">
        <v>11490</v>
      </c>
      <c r="H6387" s="458" t="str">
        <f t="shared" si="915"/>
        <v>3RU2126-1HB0</v>
      </c>
      <c r="I6387" s="1690" t="s">
        <v>10969</v>
      </c>
      <c r="J6387" s="366" t="s">
        <v>1935</v>
      </c>
      <c r="K6387" s="33" t="s">
        <v>741</v>
      </c>
    </row>
    <row r="6388" spans="1:11" s="191" customFormat="1">
      <c r="A6388" s="527"/>
      <c r="B6388" s="543" t="s">
        <v>11491</v>
      </c>
      <c r="C6388" s="521">
        <v>195</v>
      </c>
      <c r="D6388" s="230">
        <f t="shared" si="916"/>
        <v>132.29308005427407</v>
      </c>
      <c r="E6388" s="163">
        <v>5</v>
      </c>
      <c r="F6388" s="22">
        <f t="shared" si="914"/>
        <v>137.29308005427407</v>
      </c>
      <c r="G6388" s="314" t="s">
        <v>11492</v>
      </c>
      <c r="H6388" s="458" t="str">
        <f t="shared" si="915"/>
        <v>3RU2126-1JB0</v>
      </c>
      <c r="I6388" s="1690" t="s">
        <v>10969</v>
      </c>
      <c r="J6388" s="366" t="s">
        <v>1935</v>
      </c>
      <c r="K6388" s="33" t="s">
        <v>741</v>
      </c>
    </row>
    <row r="6389" spans="1:11" s="191" customFormat="1">
      <c r="A6389" s="527"/>
      <c r="B6389" s="543" t="s">
        <v>11493</v>
      </c>
      <c r="C6389" s="521">
        <v>195</v>
      </c>
      <c r="D6389" s="230">
        <f t="shared" si="913"/>
        <v>132.29308005427407</v>
      </c>
      <c r="E6389" s="163">
        <v>5</v>
      </c>
      <c r="F6389" s="22">
        <f t="shared" si="914"/>
        <v>137.29308005427407</v>
      </c>
      <c r="G6389" s="314" t="s">
        <v>11494</v>
      </c>
      <c r="H6389" s="458" t="str">
        <f t="shared" si="915"/>
        <v>3RU2126-1KB0</v>
      </c>
      <c r="I6389" s="1690" t="s">
        <v>10969</v>
      </c>
      <c r="J6389" s="366" t="s">
        <v>1935</v>
      </c>
      <c r="K6389" s="33" t="s">
        <v>741</v>
      </c>
    </row>
    <row r="6390" spans="1:11" s="191" customFormat="1">
      <c r="A6390" s="527"/>
      <c r="B6390" s="543" t="s">
        <v>11495</v>
      </c>
      <c r="C6390" s="521">
        <v>195</v>
      </c>
      <c r="D6390" s="230">
        <f t="shared" si="913"/>
        <v>132.29308005427407</v>
      </c>
      <c r="E6390" s="163">
        <v>5</v>
      </c>
      <c r="F6390" s="22">
        <f t="shared" si="914"/>
        <v>137.29308005427407</v>
      </c>
      <c r="G6390" s="314" t="s">
        <v>11496</v>
      </c>
      <c r="H6390" s="458" t="str">
        <f t="shared" si="915"/>
        <v>3RU2126-4AB0</v>
      </c>
      <c r="I6390" s="1690" t="s">
        <v>10969</v>
      </c>
      <c r="J6390" s="366" t="s">
        <v>1935</v>
      </c>
      <c r="K6390" s="33" t="s">
        <v>741</v>
      </c>
    </row>
    <row r="6391" spans="1:11" s="191" customFormat="1">
      <c r="A6391" s="527"/>
      <c r="B6391" s="543" t="s">
        <v>11497</v>
      </c>
      <c r="C6391" s="521">
        <v>195</v>
      </c>
      <c r="D6391" s="230">
        <f t="shared" si="913"/>
        <v>132.29308005427407</v>
      </c>
      <c r="E6391" s="163">
        <v>5</v>
      </c>
      <c r="F6391" s="22">
        <f t="shared" si="914"/>
        <v>137.29308005427407</v>
      </c>
      <c r="G6391" s="314" t="s">
        <v>11498</v>
      </c>
      <c r="H6391" s="458" t="str">
        <f t="shared" si="915"/>
        <v>3RU2126-4BB0</v>
      </c>
      <c r="I6391" s="1690" t="s">
        <v>10969</v>
      </c>
      <c r="J6391" s="366" t="s">
        <v>1935</v>
      </c>
      <c r="K6391" s="33" t="s">
        <v>741</v>
      </c>
    </row>
    <row r="6392" spans="1:11" s="191" customFormat="1">
      <c r="A6392" s="527"/>
      <c r="B6392" s="543" t="s">
        <v>11499</v>
      </c>
      <c r="C6392" s="521">
        <v>195</v>
      </c>
      <c r="D6392" s="230">
        <f t="shared" si="913"/>
        <v>132.29308005427407</v>
      </c>
      <c r="E6392" s="163">
        <v>5</v>
      </c>
      <c r="F6392" s="22">
        <f t="shared" si="914"/>
        <v>137.29308005427407</v>
      </c>
      <c r="G6392" s="314" t="s">
        <v>11500</v>
      </c>
      <c r="H6392" s="458" t="str">
        <f t="shared" si="915"/>
        <v>3RU2126-4CB0</v>
      </c>
      <c r="I6392" s="1690" t="s">
        <v>10969</v>
      </c>
      <c r="J6392" s="366" t="s">
        <v>1935</v>
      </c>
      <c r="K6392" s="33" t="s">
        <v>741</v>
      </c>
    </row>
    <row r="6393" spans="1:11" s="191" customFormat="1">
      <c r="A6393" s="527"/>
      <c r="B6393" s="543" t="s">
        <v>11501</v>
      </c>
      <c r="C6393" s="521">
        <v>195</v>
      </c>
      <c r="D6393" s="230">
        <f t="shared" si="913"/>
        <v>132.29308005427407</v>
      </c>
      <c r="E6393" s="163">
        <v>5</v>
      </c>
      <c r="F6393" s="22">
        <f t="shared" si="914"/>
        <v>137.29308005427407</v>
      </c>
      <c r="G6393" s="314" t="s">
        <v>11502</v>
      </c>
      <c r="H6393" s="458" t="str">
        <f t="shared" si="915"/>
        <v>3RU2126-4DB0</v>
      </c>
      <c r="I6393" s="1690" t="s">
        <v>10969</v>
      </c>
      <c r="J6393" s="366" t="s">
        <v>1935</v>
      </c>
      <c r="K6393" s="33" t="s">
        <v>741</v>
      </c>
    </row>
    <row r="6394" spans="1:11" s="191" customFormat="1">
      <c r="A6394" s="527"/>
      <c r="B6394" s="543" t="s">
        <v>11503</v>
      </c>
      <c r="C6394" s="521">
        <v>298</v>
      </c>
      <c r="D6394" s="230">
        <f t="shared" si="913"/>
        <v>202.17096336499321</v>
      </c>
      <c r="E6394" s="163">
        <v>5</v>
      </c>
      <c r="F6394" s="22">
        <f t="shared" si="914"/>
        <v>207.17096336499321</v>
      </c>
      <c r="G6394" s="314" t="s">
        <v>11504</v>
      </c>
      <c r="H6394" s="458" t="str">
        <f t="shared" si="915"/>
        <v>3RU2126-4NB0</v>
      </c>
      <c r="I6394" s="1690" t="s">
        <v>10969</v>
      </c>
      <c r="J6394" s="366" t="s">
        <v>1935</v>
      </c>
      <c r="K6394" s="33" t="s">
        <v>741</v>
      </c>
    </row>
    <row r="6395" spans="1:11" s="191" customFormat="1">
      <c r="A6395" s="527"/>
      <c r="B6395" s="543" t="s">
        <v>11505</v>
      </c>
      <c r="C6395" s="521">
        <v>298</v>
      </c>
      <c r="D6395" s="230">
        <f t="shared" si="913"/>
        <v>202.17096336499321</v>
      </c>
      <c r="E6395" s="163">
        <v>5</v>
      </c>
      <c r="F6395" s="22">
        <f t="shared" si="914"/>
        <v>207.17096336499321</v>
      </c>
      <c r="G6395" s="314" t="s">
        <v>11506</v>
      </c>
      <c r="H6395" s="458" t="str">
        <f t="shared" si="915"/>
        <v>3RU2126-4EB0</v>
      </c>
      <c r="I6395" s="1690" t="s">
        <v>10969</v>
      </c>
      <c r="J6395" s="366" t="s">
        <v>1935</v>
      </c>
      <c r="K6395" s="33" t="s">
        <v>741</v>
      </c>
    </row>
    <row r="6396" spans="1:11" s="191" customFormat="1">
      <c r="A6396" s="527"/>
      <c r="B6396" s="543" t="s">
        <v>11507</v>
      </c>
      <c r="C6396" s="521">
        <v>298</v>
      </c>
      <c r="D6396" s="230">
        <f t="shared" si="913"/>
        <v>202.17096336499321</v>
      </c>
      <c r="E6396" s="163">
        <v>5</v>
      </c>
      <c r="F6396" s="22">
        <f t="shared" si="914"/>
        <v>207.17096336499321</v>
      </c>
      <c r="G6396" s="314" t="s">
        <v>11508</v>
      </c>
      <c r="H6396" s="458" t="str">
        <f t="shared" si="915"/>
        <v>3RU2126-4PB0</v>
      </c>
      <c r="I6396" s="1690" t="s">
        <v>10969</v>
      </c>
      <c r="J6396" s="366" t="s">
        <v>1935</v>
      </c>
      <c r="K6396" s="33" t="s">
        <v>741</v>
      </c>
    </row>
    <row r="6397" spans="1:11" s="191" customFormat="1">
      <c r="A6397" s="527"/>
      <c r="B6397" s="543" t="s">
        <v>11509</v>
      </c>
      <c r="C6397" s="521">
        <v>298</v>
      </c>
      <c r="D6397" s="230">
        <f t="shared" si="913"/>
        <v>202.17096336499321</v>
      </c>
      <c r="E6397" s="163">
        <v>5</v>
      </c>
      <c r="F6397" s="22">
        <f t="shared" si="914"/>
        <v>207.17096336499321</v>
      </c>
      <c r="G6397" s="314" t="s">
        <v>11510</v>
      </c>
      <c r="H6397" s="458" t="str">
        <f t="shared" si="915"/>
        <v>3RU2126-4FB0</v>
      </c>
      <c r="I6397" s="1690" t="s">
        <v>10969</v>
      </c>
      <c r="J6397" s="366" t="s">
        <v>1935</v>
      </c>
      <c r="K6397" s="33" t="s">
        <v>741</v>
      </c>
    </row>
    <row r="6398" spans="1:11" s="191" customFormat="1">
      <c r="A6398" s="185"/>
      <c r="B6398" s="139"/>
      <c r="C6398" s="521"/>
      <c r="D6398" s="230"/>
      <c r="E6398" s="185"/>
      <c r="F6398" s="185"/>
      <c r="G6398" s="140"/>
      <c r="H6398" s="458"/>
      <c r="I6398" s="1690"/>
      <c r="J6398" s="366"/>
      <c r="K6398" s="33"/>
    </row>
    <row r="6399" spans="1:11" s="191" customFormat="1">
      <c r="A6399" s="185"/>
      <c r="B6399" s="139"/>
      <c r="C6399" s="521"/>
      <c r="D6399" s="230"/>
      <c r="E6399" s="185"/>
      <c r="F6399" s="185"/>
      <c r="G6399" s="140"/>
      <c r="H6399" s="458"/>
      <c r="I6399" s="1690"/>
      <c r="J6399" s="366"/>
      <c r="K6399" s="33"/>
    </row>
    <row r="6400" spans="1:11" s="191" customFormat="1">
      <c r="A6400" s="527"/>
      <c r="B6400" s="543" t="s">
        <v>11511</v>
      </c>
      <c r="C6400" s="521">
        <v>216</v>
      </c>
      <c r="D6400" s="230">
        <f t="shared" ref="D6400:D6409" si="917">C6400*(1-VLOOKUP(I6400,descuentos,6,FALSE))*fcl/IF(dol_sol="dólar", TC,1)</f>
        <v>146.54002713704205</v>
      </c>
      <c r="E6400" s="163">
        <v>10</v>
      </c>
      <c r="F6400" s="22">
        <f t="shared" ref="F6400:F6410" si="918">D6400+E6400</f>
        <v>156.54002713704205</v>
      </c>
      <c r="G6400" s="314" t="s">
        <v>11512</v>
      </c>
      <c r="H6400" s="458" t="str">
        <f t="shared" ref="H6400:H6410" si="919">B6400</f>
        <v>3RU2136-4AB0</v>
      </c>
      <c r="I6400" s="1690" t="s">
        <v>10969</v>
      </c>
      <c r="J6400" s="366" t="s">
        <v>1935</v>
      </c>
      <c r="K6400" s="33" t="s">
        <v>741</v>
      </c>
    </row>
    <row r="6401" spans="1:11" s="191" customFormat="1">
      <c r="A6401" s="527"/>
      <c r="B6401" s="543" t="s">
        <v>11513</v>
      </c>
      <c r="C6401" s="521">
        <v>216</v>
      </c>
      <c r="D6401" s="230">
        <f t="shared" si="917"/>
        <v>146.54002713704205</v>
      </c>
      <c r="E6401" s="163">
        <v>10</v>
      </c>
      <c r="F6401" s="22">
        <f t="shared" si="918"/>
        <v>156.54002713704205</v>
      </c>
      <c r="G6401" s="314" t="s">
        <v>11514</v>
      </c>
      <c r="H6401" s="458" t="str">
        <f t="shared" si="919"/>
        <v>3RU2136-4BB0</v>
      </c>
      <c r="I6401" s="1690" t="s">
        <v>10969</v>
      </c>
      <c r="J6401" s="366" t="s">
        <v>1935</v>
      </c>
      <c r="K6401" s="33" t="s">
        <v>741</v>
      </c>
    </row>
    <row r="6402" spans="1:11" s="191" customFormat="1">
      <c r="A6402" s="527"/>
      <c r="B6402" s="543" t="s">
        <v>11515</v>
      </c>
      <c r="C6402" s="521">
        <v>216</v>
      </c>
      <c r="D6402" s="230">
        <f t="shared" si="917"/>
        <v>146.54002713704205</v>
      </c>
      <c r="E6402" s="163">
        <v>10</v>
      </c>
      <c r="F6402" s="22">
        <f t="shared" si="918"/>
        <v>156.54002713704205</v>
      </c>
      <c r="G6402" s="314" t="s">
        <v>11516</v>
      </c>
      <c r="H6402" s="458" t="str">
        <f t="shared" si="919"/>
        <v>3RU2136-4DB0</v>
      </c>
      <c r="I6402" s="1690" t="s">
        <v>10969</v>
      </c>
      <c r="J6402" s="366" t="s">
        <v>1935</v>
      </c>
      <c r="K6402" s="33" t="s">
        <v>741</v>
      </c>
    </row>
    <row r="6403" spans="1:11" s="191" customFormat="1">
      <c r="A6403" s="527"/>
      <c r="B6403" s="543" t="s">
        <v>11517</v>
      </c>
      <c r="C6403" s="521">
        <v>326</v>
      </c>
      <c r="D6403" s="230">
        <f t="shared" si="917"/>
        <v>221.16689280868383</v>
      </c>
      <c r="E6403" s="163">
        <v>10</v>
      </c>
      <c r="F6403" s="22">
        <f t="shared" si="918"/>
        <v>231.16689280868383</v>
      </c>
      <c r="G6403" s="314" t="s">
        <v>11518</v>
      </c>
      <c r="H6403" s="458" t="str">
        <f t="shared" si="919"/>
        <v>3RU2136-4EB0</v>
      </c>
      <c r="I6403" s="1690" t="s">
        <v>10969</v>
      </c>
      <c r="J6403" s="366" t="s">
        <v>1935</v>
      </c>
      <c r="K6403" s="33" t="s">
        <v>741</v>
      </c>
    </row>
    <row r="6404" spans="1:11" s="191" customFormat="1">
      <c r="A6404" s="527"/>
      <c r="B6404" s="543" t="s">
        <v>11519</v>
      </c>
      <c r="C6404" s="521">
        <v>326</v>
      </c>
      <c r="D6404" s="230">
        <f t="shared" si="917"/>
        <v>221.16689280868383</v>
      </c>
      <c r="E6404" s="163">
        <v>10</v>
      </c>
      <c r="F6404" s="22">
        <f t="shared" si="918"/>
        <v>231.16689280868383</v>
      </c>
      <c r="G6404" s="314" t="s">
        <v>11520</v>
      </c>
      <c r="H6404" s="458" t="str">
        <f t="shared" si="919"/>
        <v>3RU2136-4FB0</v>
      </c>
      <c r="I6404" s="1690" t="s">
        <v>10969</v>
      </c>
      <c r="J6404" s="366" t="s">
        <v>1935</v>
      </c>
      <c r="K6404" s="33" t="s">
        <v>741</v>
      </c>
    </row>
    <row r="6405" spans="1:11" s="191" customFormat="1">
      <c r="A6405" s="527"/>
      <c r="B6405" s="543" t="s">
        <v>11521</v>
      </c>
      <c r="C6405" s="521">
        <v>343</v>
      </c>
      <c r="D6405" s="230">
        <f t="shared" si="917"/>
        <v>232.70013568521028</v>
      </c>
      <c r="E6405" s="163">
        <v>10</v>
      </c>
      <c r="F6405" s="22">
        <f t="shared" si="918"/>
        <v>242.70013568521028</v>
      </c>
      <c r="G6405" s="314" t="s">
        <v>11522</v>
      </c>
      <c r="H6405" s="458" t="str">
        <f t="shared" si="919"/>
        <v>3RU2136-4GB0</v>
      </c>
      <c r="I6405" s="1690" t="s">
        <v>10969</v>
      </c>
      <c r="J6405" s="366" t="s">
        <v>1935</v>
      </c>
      <c r="K6405" s="33" t="s">
        <v>741</v>
      </c>
    </row>
    <row r="6406" spans="1:11" s="191" customFormat="1">
      <c r="A6406" s="527"/>
      <c r="B6406" s="543" t="s">
        <v>11523</v>
      </c>
      <c r="C6406" s="521">
        <v>378</v>
      </c>
      <c r="D6406" s="230">
        <f t="shared" si="917"/>
        <v>256.44504748982359</v>
      </c>
      <c r="E6406" s="163">
        <v>10</v>
      </c>
      <c r="F6406" s="22">
        <f t="shared" si="918"/>
        <v>266.44504748982359</v>
      </c>
      <c r="G6406" s="314" t="s">
        <v>11524</v>
      </c>
      <c r="H6406" s="458" t="str">
        <f t="shared" si="919"/>
        <v>3RU2136-4HB0</v>
      </c>
      <c r="I6406" s="1690" t="s">
        <v>10969</v>
      </c>
      <c r="J6406" s="366" t="s">
        <v>1935</v>
      </c>
      <c r="K6406" s="33" t="s">
        <v>741</v>
      </c>
    </row>
    <row r="6407" spans="1:11" s="191" customFormat="1">
      <c r="A6407" s="527"/>
      <c r="B6407" s="543" t="s">
        <v>11525</v>
      </c>
      <c r="C6407" s="521">
        <v>378</v>
      </c>
      <c r="D6407" s="230">
        <f t="shared" si="917"/>
        <v>256.44504748982359</v>
      </c>
      <c r="E6407" s="163">
        <v>10</v>
      </c>
      <c r="F6407" s="22">
        <f t="shared" si="918"/>
        <v>266.44504748982359</v>
      </c>
      <c r="G6407" s="314" t="s">
        <v>11526</v>
      </c>
      <c r="H6407" s="458" t="str">
        <f t="shared" si="919"/>
        <v>3RU2136-4QB0</v>
      </c>
      <c r="I6407" s="1690" t="s">
        <v>10969</v>
      </c>
      <c r="J6407" s="366" t="s">
        <v>1935</v>
      </c>
      <c r="K6407" s="33" t="s">
        <v>741</v>
      </c>
    </row>
    <row r="6408" spans="1:11" s="191" customFormat="1">
      <c r="A6408" s="527"/>
      <c r="B6408" s="543" t="s">
        <v>11527</v>
      </c>
      <c r="C6408" s="521">
        <v>378</v>
      </c>
      <c r="D6408" s="230">
        <f t="shared" si="917"/>
        <v>256.44504748982359</v>
      </c>
      <c r="E6408" s="163">
        <v>10</v>
      </c>
      <c r="F6408" s="22">
        <f t="shared" si="918"/>
        <v>266.44504748982359</v>
      </c>
      <c r="G6408" s="314" t="s">
        <v>11528</v>
      </c>
      <c r="H6408" s="458" t="str">
        <f t="shared" si="919"/>
        <v>3RU2136-4JB0</v>
      </c>
      <c r="I6408" s="1690" t="s">
        <v>10969</v>
      </c>
      <c r="J6408" s="366" t="s">
        <v>1935</v>
      </c>
      <c r="K6408" s="33" t="s">
        <v>741</v>
      </c>
    </row>
    <row r="6409" spans="1:11" s="191" customFormat="1">
      <c r="A6409" s="527"/>
      <c r="B6409" s="543" t="s">
        <v>11529</v>
      </c>
      <c r="C6409" s="521">
        <v>378</v>
      </c>
      <c r="D6409" s="230">
        <f t="shared" si="917"/>
        <v>256.44504748982359</v>
      </c>
      <c r="E6409" s="163">
        <v>10</v>
      </c>
      <c r="F6409" s="22">
        <f t="shared" si="918"/>
        <v>266.44504748982359</v>
      </c>
      <c r="G6409" s="314" t="s">
        <v>11530</v>
      </c>
      <c r="H6409" s="458" t="str">
        <f t="shared" si="919"/>
        <v>3RU2136-4KB0</v>
      </c>
      <c r="I6409" s="1690" t="s">
        <v>10969</v>
      </c>
      <c r="J6409" s="366" t="s">
        <v>1935</v>
      </c>
      <c r="K6409" s="33" t="s">
        <v>741</v>
      </c>
    </row>
    <row r="6410" spans="1:11" s="191" customFormat="1">
      <c r="A6410" s="527"/>
      <c r="B6410" s="543" t="s">
        <v>11531</v>
      </c>
      <c r="C6410" s="521">
        <v>438</v>
      </c>
      <c r="D6410" s="230">
        <f t="shared" ref="D6410" si="920">C6410*(1-VLOOKUP(I6410,descuentos,6,FALSE))*fcl/IF(dol_sol="dólar", TC,1)</f>
        <v>297.15061058344639</v>
      </c>
      <c r="E6410" s="163">
        <v>10</v>
      </c>
      <c r="F6410" s="22">
        <f t="shared" si="918"/>
        <v>307.15061058344639</v>
      </c>
      <c r="G6410" s="314" t="s">
        <v>11532</v>
      </c>
      <c r="H6410" s="458" t="str">
        <f t="shared" si="919"/>
        <v>3RU2136-4RB0</v>
      </c>
      <c r="I6410" s="1690" t="s">
        <v>10969</v>
      </c>
      <c r="J6410" s="366" t="s">
        <v>1935</v>
      </c>
      <c r="K6410" s="33" t="s">
        <v>741</v>
      </c>
    </row>
    <row r="6411" spans="1:11" s="191" customFormat="1">
      <c r="A6411" s="185"/>
      <c r="B6411" s="139"/>
      <c r="C6411" s="521"/>
      <c r="D6411" s="230"/>
      <c r="E6411" s="185"/>
      <c r="F6411" s="185"/>
      <c r="G6411" s="140"/>
      <c r="H6411" s="458"/>
      <c r="I6411" s="1690"/>
      <c r="J6411" s="366"/>
      <c r="K6411" s="33"/>
    </row>
    <row r="6412" spans="1:11" s="191" customFormat="1">
      <c r="A6412" s="185"/>
      <c r="B6412" s="139"/>
      <c r="C6412" s="521"/>
      <c r="D6412" s="230"/>
      <c r="E6412" s="185"/>
      <c r="F6412" s="185"/>
      <c r="G6412" s="140"/>
      <c r="H6412" s="458"/>
      <c r="I6412" s="1690"/>
      <c r="J6412" s="366"/>
      <c r="K6412" s="33"/>
    </row>
    <row r="6413" spans="1:11" s="191" customFormat="1">
      <c r="A6413" s="527"/>
      <c r="B6413" s="543" t="s">
        <v>11533</v>
      </c>
      <c r="C6413" s="521">
        <v>338</v>
      </c>
      <c r="D6413" s="230">
        <f t="shared" ref="D6413:D6418" si="921">C6413*(1-VLOOKUP(I6413,descuentos,6,FALSE))*fcl/IF(dol_sol="dólar", TC,1)</f>
        <v>229.3080054274084</v>
      </c>
      <c r="E6413" s="163">
        <v>15</v>
      </c>
      <c r="F6413" s="22">
        <f t="shared" ref="F6413:F6418" si="922">D6413+E6413</f>
        <v>244.3080054274084</v>
      </c>
      <c r="G6413" s="314" t="s">
        <v>11534</v>
      </c>
      <c r="H6413" s="458" t="str">
        <f t="shared" ref="H6413:H6418" si="923">B6413</f>
        <v>3RU2146-4FB0</v>
      </c>
      <c r="I6413" s="1690" t="s">
        <v>10969</v>
      </c>
      <c r="J6413" s="366" t="s">
        <v>1935</v>
      </c>
      <c r="K6413" s="33" t="s">
        <v>741</v>
      </c>
    </row>
    <row r="6414" spans="1:11" s="191" customFormat="1">
      <c r="A6414" s="527"/>
      <c r="B6414" s="543" t="s">
        <v>11535</v>
      </c>
      <c r="C6414" s="521">
        <v>400</v>
      </c>
      <c r="D6414" s="230">
        <f t="shared" si="921"/>
        <v>271.37042062415196</v>
      </c>
      <c r="E6414" s="163">
        <v>15</v>
      </c>
      <c r="F6414" s="22">
        <f t="shared" si="922"/>
        <v>286.37042062415196</v>
      </c>
      <c r="G6414" s="314" t="s">
        <v>11536</v>
      </c>
      <c r="H6414" s="458" t="str">
        <f t="shared" si="923"/>
        <v>3RU2146-4HB0</v>
      </c>
      <c r="I6414" s="1690" t="s">
        <v>10969</v>
      </c>
      <c r="J6414" s="366" t="s">
        <v>1935</v>
      </c>
      <c r="K6414" s="33" t="s">
        <v>741</v>
      </c>
    </row>
    <row r="6415" spans="1:11" s="191" customFormat="1">
      <c r="A6415" s="527"/>
      <c r="B6415" s="543" t="s">
        <v>11537</v>
      </c>
      <c r="C6415" s="521">
        <v>415</v>
      </c>
      <c r="D6415" s="230">
        <f t="shared" si="921"/>
        <v>281.54681139755763</v>
      </c>
      <c r="E6415" s="163">
        <v>15</v>
      </c>
      <c r="F6415" s="22">
        <f t="shared" si="922"/>
        <v>296.54681139755763</v>
      </c>
      <c r="G6415" s="314" t="s">
        <v>11538</v>
      </c>
      <c r="H6415" s="458" t="str">
        <f t="shared" si="923"/>
        <v>3RU2146-4JB0</v>
      </c>
      <c r="I6415" s="1690" t="s">
        <v>10969</v>
      </c>
      <c r="J6415" s="366" t="s">
        <v>1935</v>
      </c>
      <c r="K6415" s="33" t="s">
        <v>741</v>
      </c>
    </row>
    <row r="6416" spans="1:11" s="191" customFormat="1">
      <c r="A6416" s="527"/>
      <c r="B6416" s="543" t="s">
        <v>11539</v>
      </c>
      <c r="C6416" s="521">
        <v>408</v>
      </c>
      <c r="D6416" s="230">
        <f t="shared" si="921"/>
        <v>276.79782903663494</v>
      </c>
      <c r="E6416" s="163">
        <v>15</v>
      </c>
      <c r="F6416" s="22">
        <f t="shared" si="922"/>
        <v>291.79782903663494</v>
      </c>
      <c r="G6416" s="314" t="s">
        <v>11540</v>
      </c>
      <c r="H6416" s="458" t="str">
        <f t="shared" si="923"/>
        <v>3RU2146-4KB0</v>
      </c>
      <c r="I6416" s="1690" t="s">
        <v>10969</v>
      </c>
      <c r="J6416" s="366" t="s">
        <v>1935</v>
      </c>
      <c r="K6416" s="33" t="s">
        <v>741</v>
      </c>
    </row>
    <row r="6417" spans="1:11" s="191" customFormat="1">
      <c r="A6417" s="527"/>
      <c r="B6417" s="543" t="s">
        <v>11541</v>
      </c>
      <c r="C6417" s="521">
        <v>480</v>
      </c>
      <c r="D6417" s="230">
        <f t="shared" si="921"/>
        <v>325.64450474898229</v>
      </c>
      <c r="E6417" s="163">
        <v>15</v>
      </c>
      <c r="F6417" s="22">
        <f t="shared" si="922"/>
        <v>340.64450474898229</v>
      </c>
      <c r="G6417" s="314" t="s">
        <v>11542</v>
      </c>
      <c r="H6417" s="458" t="str">
        <f t="shared" si="923"/>
        <v>3RU2146-4LB0</v>
      </c>
      <c r="I6417" s="1690" t="s">
        <v>10969</v>
      </c>
      <c r="J6417" s="366" t="s">
        <v>1935</v>
      </c>
      <c r="K6417" s="33" t="s">
        <v>741</v>
      </c>
    </row>
    <row r="6418" spans="1:11" s="191" customFormat="1">
      <c r="A6418" s="527"/>
      <c r="B6418" s="543" t="s">
        <v>11543</v>
      </c>
      <c r="C6418" s="521">
        <v>604</v>
      </c>
      <c r="D6418" s="230">
        <f t="shared" si="921"/>
        <v>409.7693351424694</v>
      </c>
      <c r="E6418" s="163">
        <v>15</v>
      </c>
      <c r="F6418" s="22">
        <f t="shared" si="922"/>
        <v>424.7693351424694</v>
      </c>
      <c r="G6418" s="314" t="s">
        <v>11544</v>
      </c>
      <c r="H6418" s="458" t="str">
        <f t="shared" si="923"/>
        <v>3RU2146-4MB0</v>
      </c>
      <c r="I6418" s="1690" t="s">
        <v>10969</v>
      </c>
      <c r="J6418" s="366" t="s">
        <v>1935</v>
      </c>
      <c r="K6418" s="33" t="s">
        <v>741</v>
      </c>
    </row>
    <row r="6419" spans="1:11" s="191" customFormat="1">
      <c r="A6419" s="185"/>
      <c r="B6419" s="139"/>
      <c r="C6419" s="521"/>
      <c r="D6419" s="230"/>
      <c r="E6419" s="185"/>
      <c r="F6419" s="185"/>
      <c r="G6419" s="140"/>
      <c r="H6419" s="458"/>
      <c r="I6419" s="1690"/>
      <c r="J6419" s="366"/>
      <c r="K6419" s="33"/>
    </row>
    <row r="6420" spans="1:11" s="191" customFormat="1" ht="14.4">
      <c r="A6420" s="529"/>
      <c r="B6420" s="530"/>
      <c r="C6420" s="521"/>
      <c r="D6420" s="230"/>
      <c r="E6420" s="531"/>
      <c r="F6420" s="532"/>
      <c r="G6420" s="1643"/>
      <c r="H6420" s="458"/>
      <c r="I6420" s="1690"/>
      <c r="J6420" s="366"/>
      <c r="K6420" s="33"/>
    </row>
    <row r="6421" spans="1:11" s="191" customFormat="1">
      <c r="A6421" s="185"/>
      <c r="B6421" s="1469" t="s">
        <v>12893</v>
      </c>
      <c r="C6421" s="32"/>
      <c r="D6421" s="230"/>
      <c r="E6421" s="185"/>
      <c r="F6421" s="185"/>
      <c r="G6421" s="140"/>
      <c r="H6421" s="458"/>
      <c r="I6421" s="1690"/>
      <c r="J6421" s="366"/>
      <c r="K6421" s="33"/>
    </row>
    <row r="6422" spans="1:11" s="191" customFormat="1">
      <c r="A6422" s="185"/>
      <c r="B6422" s="139"/>
      <c r="C6422" s="521"/>
      <c r="D6422" s="230"/>
      <c r="E6422" s="185"/>
      <c r="F6422" s="185"/>
      <c r="G6422" s="140"/>
      <c r="H6422" s="458"/>
      <c r="I6422" s="1690"/>
      <c r="J6422" s="366"/>
      <c r="K6422" s="33"/>
    </row>
    <row r="6423" spans="1:11" s="191" customFormat="1">
      <c r="A6423" s="527"/>
      <c r="B6423" s="543" t="s">
        <v>12894</v>
      </c>
      <c r="C6423" s="521">
        <v>556</v>
      </c>
      <c r="D6423" s="230">
        <f t="shared" ref="D6423:D6435" si="924">C6423*(1-VLOOKUP(I6423,descuentos,6,FALSE))*fcl/IF(dol_sol="dólar", TC,1)</f>
        <v>377.20488466757121</v>
      </c>
      <c r="E6423" s="219">
        <v>15</v>
      </c>
      <c r="F6423" s="22">
        <f t="shared" ref="F6423:F6435" si="925">D6423+E6423</f>
        <v>392.20488466757121</v>
      </c>
      <c r="G6423" s="314" t="s">
        <v>12895</v>
      </c>
      <c r="H6423" s="458" t="str">
        <f>B6423</f>
        <v>3RW3013-1BB14</v>
      </c>
      <c r="I6423" s="1690" t="s">
        <v>10969</v>
      </c>
      <c r="J6423" s="366" t="s">
        <v>1935</v>
      </c>
      <c r="K6423" s="33" t="s">
        <v>741</v>
      </c>
    </row>
    <row r="6424" spans="1:11" s="191" customFormat="1">
      <c r="A6424" s="527"/>
      <c r="B6424" s="543" t="s">
        <v>12896</v>
      </c>
      <c r="C6424" s="521">
        <v>656</v>
      </c>
      <c r="D6424" s="230">
        <f t="shared" si="924"/>
        <v>445.04748982360917</v>
      </c>
      <c r="E6424" s="219">
        <v>15</v>
      </c>
      <c r="F6424" s="22">
        <f t="shared" si="925"/>
        <v>460.04748982360917</v>
      </c>
      <c r="G6424" s="314" t="s">
        <v>12897</v>
      </c>
      <c r="H6424" s="458" t="str">
        <f t="shared" ref="H6424:H6435" si="926">B6424</f>
        <v>3RW3014-1BB14</v>
      </c>
      <c r="I6424" s="1690" t="s">
        <v>10969</v>
      </c>
      <c r="J6424" s="366" t="s">
        <v>1935</v>
      </c>
      <c r="K6424" s="33" t="s">
        <v>741</v>
      </c>
    </row>
    <row r="6425" spans="1:11" s="191" customFormat="1">
      <c r="A6425" s="527"/>
      <c r="B6425" s="543" t="s">
        <v>12898</v>
      </c>
      <c r="C6425" s="521">
        <v>754</v>
      </c>
      <c r="D6425" s="230">
        <f t="shared" si="924"/>
        <v>511.5332428765264</v>
      </c>
      <c r="E6425" s="219">
        <v>15</v>
      </c>
      <c r="F6425" s="22">
        <f t="shared" si="925"/>
        <v>526.5332428765264</v>
      </c>
      <c r="G6425" s="314" t="s">
        <v>12899</v>
      </c>
      <c r="H6425" s="458" t="str">
        <f t="shared" si="926"/>
        <v>3RW3016-1BB14</v>
      </c>
      <c r="I6425" s="1690" t="s">
        <v>10969</v>
      </c>
      <c r="J6425" s="366" t="s">
        <v>1935</v>
      </c>
      <c r="K6425" s="33" t="s">
        <v>741</v>
      </c>
    </row>
    <row r="6426" spans="1:11" s="191" customFormat="1">
      <c r="A6426" s="527"/>
      <c r="B6426" s="543" t="s">
        <v>12900</v>
      </c>
      <c r="C6426" s="521">
        <v>845</v>
      </c>
      <c r="D6426" s="230">
        <f t="shared" si="924"/>
        <v>573.27001356852099</v>
      </c>
      <c r="E6426" s="219">
        <v>15</v>
      </c>
      <c r="F6426" s="22">
        <f t="shared" si="925"/>
        <v>588.27001356852099</v>
      </c>
      <c r="G6426" s="314" t="s">
        <v>12901</v>
      </c>
      <c r="H6426" s="458" t="str">
        <f t="shared" si="926"/>
        <v>3RW3017-1BB14</v>
      </c>
      <c r="I6426" s="1690" t="s">
        <v>10969</v>
      </c>
      <c r="J6426" s="366" t="s">
        <v>1935</v>
      </c>
      <c r="K6426" s="33" t="s">
        <v>741</v>
      </c>
    </row>
    <row r="6427" spans="1:11" s="191" customFormat="1">
      <c r="A6427" s="527"/>
      <c r="B6427" s="543" t="s">
        <v>12902</v>
      </c>
      <c r="C6427" s="521">
        <v>976</v>
      </c>
      <c r="D6427" s="230">
        <f t="shared" si="924"/>
        <v>662.14382632293075</v>
      </c>
      <c r="E6427" s="219">
        <v>15</v>
      </c>
      <c r="F6427" s="22">
        <f t="shared" si="925"/>
        <v>677.14382632293075</v>
      </c>
      <c r="G6427" s="314" t="s">
        <v>12903</v>
      </c>
      <c r="H6427" s="458" t="str">
        <f t="shared" si="926"/>
        <v>3RW3018-1BB14</v>
      </c>
      <c r="I6427" s="1690" t="s">
        <v>10969</v>
      </c>
      <c r="J6427" s="366" t="s">
        <v>1935</v>
      </c>
      <c r="K6427" s="33" t="s">
        <v>741</v>
      </c>
    </row>
    <row r="6428" spans="1:11" s="191" customFormat="1">
      <c r="A6428" s="527"/>
      <c r="B6428" s="543" t="s">
        <v>12904</v>
      </c>
      <c r="C6428" s="521">
        <v>1132</v>
      </c>
      <c r="D6428" s="230">
        <f t="shared" si="924"/>
        <v>767.97829036634994</v>
      </c>
      <c r="E6428" s="219">
        <v>15</v>
      </c>
      <c r="F6428" s="22">
        <f t="shared" si="925"/>
        <v>782.97829036634994</v>
      </c>
      <c r="G6428" s="314" t="s">
        <v>12905</v>
      </c>
      <c r="H6428" s="458" t="str">
        <f t="shared" si="926"/>
        <v>3RW3026-1BB14</v>
      </c>
      <c r="I6428" s="1690" t="s">
        <v>10969</v>
      </c>
      <c r="J6428" s="366" t="s">
        <v>1935</v>
      </c>
      <c r="K6428" s="33" t="s">
        <v>741</v>
      </c>
    </row>
    <row r="6429" spans="1:11" s="191" customFormat="1">
      <c r="A6429" s="527"/>
      <c r="B6429" s="543" t="s">
        <v>12906</v>
      </c>
      <c r="C6429" s="521">
        <v>1321</v>
      </c>
      <c r="D6429" s="230">
        <f t="shared" si="924"/>
        <v>896.20081411126182</v>
      </c>
      <c r="E6429" s="219">
        <v>30</v>
      </c>
      <c r="F6429" s="22">
        <f t="shared" si="925"/>
        <v>926.20081411126182</v>
      </c>
      <c r="G6429" s="314" t="s">
        <v>12907</v>
      </c>
      <c r="H6429" s="458" t="str">
        <f t="shared" si="926"/>
        <v>3RW3027-1BB14</v>
      </c>
      <c r="I6429" s="1690" t="s">
        <v>10969</v>
      </c>
      <c r="J6429" s="366" t="s">
        <v>1935</v>
      </c>
      <c r="K6429" s="33" t="s">
        <v>741</v>
      </c>
    </row>
    <row r="6430" spans="1:11" s="191" customFormat="1">
      <c r="A6430" s="527"/>
      <c r="B6430" s="543" t="s">
        <v>12908</v>
      </c>
      <c r="C6430" s="521">
        <v>1631</v>
      </c>
      <c r="D6430" s="230">
        <f t="shared" si="924"/>
        <v>1106.5128900949796</v>
      </c>
      <c r="E6430" s="219">
        <v>30</v>
      </c>
      <c r="F6430" s="22">
        <f t="shared" si="925"/>
        <v>1136.5128900949796</v>
      </c>
      <c r="G6430" s="314" t="s">
        <v>12909</v>
      </c>
      <c r="H6430" s="458" t="str">
        <f t="shared" si="926"/>
        <v>3RW3028-1BB14</v>
      </c>
      <c r="I6430" s="1690" t="s">
        <v>10969</v>
      </c>
      <c r="J6430" s="366" t="s">
        <v>1935</v>
      </c>
      <c r="K6430" s="33" t="s">
        <v>741</v>
      </c>
    </row>
    <row r="6431" spans="1:11" s="191" customFormat="1">
      <c r="A6431" s="527"/>
      <c r="B6431" s="543" t="s">
        <v>12910</v>
      </c>
      <c r="C6431" s="521">
        <v>2209</v>
      </c>
      <c r="D6431" s="230">
        <f t="shared" si="924"/>
        <v>1498.6431478968791</v>
      </c>
      <c r="E6431" s="219">
        <v>40</v>
      </c>
      <c r="F6431" s="22">
        <f t="shared" si="925"/>
        <v>1538.6431478968791</v>
      </c>
      <c r="G6431" s="314" t="s">
        <v>12911</v>
      </c>
      <c r="H6431" s="458" t="str">
        <f t="shared" si="926"/>
        <v>3RW3036-1BB14</v>
      </c>
      <c r="I6431" s="1690" t="s">
        <v>10969</v>
      </c>
      <c r="J6431" s="366" t="s">
        <v>1935</v>
      </c>
      <c r="K6431" s="33" t="s">
        <v>741</v>
      </c>
    </row>
    <row r="6432" spans="1:11" s="191" customFormat="1">
      <c r="A6432" s="527"/>
      <c r="B6432" s="543" t="s">
        <v>12912</v>
      </c>
      <c r="C6432" s="521">
        <v>2449</v>
      </c>
      <c r="D6432" s="230">
        <f t="shared" si="924"/>
        <v>1661.4654002713701</v>
      </c>
      <c r="E6432" s="219">
        <v>40</v>
      </c>
      <c r="F6432" s="22">
        <f t="shared" si="925"/>
        <v>1701.4654002713701</v>
      </c>
      <c r="G6432" s="314" t="s">
        <v>12913</v>
      </c>
      <c r="H6432" s="458" t="str">
        <f t="shared" si="926"/>
        <v>3RW3037-1BB14</v>
      </c>
      <c r="I6432" s="1690" t="s">
        <v>10969</v>
      </c>
      <c r="J6432" s="366" t="s">
        <v>1935</v>
      </c>
      <c r="K6432" s="33" t="s">
        <v>741</v>
      </c>
    </row>
    <row r="6433" spans="1:11" s="191" customFormat="1">
      <c r="A6433" s="527"/>
      <c r="B6433" s="543" t="s">
        <v>12914</v>
      </c>
      <c r="C6433" s="521">
        <v>2891</v>
      </c>
      <c r="D6433" s="230">
        <f t="shared" si="924"/>
        <v>1961.3297150610581</v>
      </c>
      <c r="E6433" s="219">
        <v>40</v>
      </c>
      <c r="F6433" s="22">
        <f t="shared" si="925"/>
        <v>2001.3297150610581</v>
      </c>
      <c r="G6433" s="314" t="s">
        <v>12915</v>
      </c>
      <c r="H6433" s="458" t="str">
        <f t="shared" si="926"/>
        <v>3RW3038-1BB14</v>
      </c>
      <c r="I6433" s="1690" t="s">
        <v>10969</v>
      </c>
      <c r="J6433" s="366" t="s">
        <v>1935</v>
      </c>
      <c r="K6433" s="33" t="s">
        <v>741</v>
      </c>
    </row>
    <row r="6434" spans="1:11" s="191" customFormat="1">
      <c r="A6434" s="527"/>
      <c r="B6434" s="543" t="s">
        <v>12916</v>
      </c>
      <c r="C6434" s="521">
        <v>3330</v>
      </c>
      <c r="D6434" s="230">
        <f t="shared" si="924"/>
        <v>2259.1587516960649</v>
      </c>
      <c r="E6434" s="219">
        <v>40</v>
      </c>
      <c r="F6434" s="22">
        <f t="shared" si="925"/>
        <v>2299.1587516960649</v>
      </c>
      <c r="G6434" s="314" t="s">
        <v>12917</v>
      </c>
      <c r="H6434" s="458" t="str">
        <f t="shared" si="926"/>
        <v>3RW3046-1BB14</v>
      </c>
      <c r="I6434" s="1690" t="s">
        <v>10969</v>
      </c>
      <c r="J6434" s="366" t="s">
        <v>1935</v>
      </c>
      <c r="K6434" s="33" t="s">
        <v>741</v>
      </c>
    </row>
    <row r="6435" spans="1:11" s="191" customFormat="1">
      <c r="A6435" s="527"/>
      <c r="B6435" s="543" t="s">
        <v>12918</v>
      </c>
      <c r="C6435" s="521">
        <v>3683</v>
      </c>
      <c r="D6435" s="230">
        <f t="shared" si="924"/>
        <v>2498.6431478968789</v>
      </c>
      <c r="E6435" s="219">
        <v>40</v>
      </c>
      <c r="F6435" s="22">
        <f t="shared" si="925"/>
        <v>2538.6431478968789</v>
      </c>
      <c r="G6435" s="314" t="s">
        <v>12919</v>
      </c>
      <c r="H6435" s="458" t="str">
        <f t="shared" si="926"/>
        <v>3RW3047-1BB14</v>
      </c>
      <c r="I6435" s="1690" t="s">
        <v>10969</v>
      </c>
      <c r="J6435" s="366" t="s">
        <v>1935</v>
      </c>
      <c r="K6435" s="33" t="s">
        <v>741</v>
      </c>
    </row>
    <row r="6436" spans="1:11" s="191" customFormat="1">
      <c r="A6436" s="185"/>
      <c r="B6436" s="139"/>
      <c r="C6436" s="521"/>
      <c r="D6436" s="230"/>
      <c r="E6436" s="185"/>
      <c r="F6436" s="185"/>
      <c r="G6436" s="140"/>
      <c r="H6436" s="458"/>
      <c r="I6436" s="1690"/>
      <c r="J6436" s="366"/>
      <c r="K6436" s="33"/>
    </row>
    <row r="6437" spans="1:11" s="191" customFormat="1">
      <c r="A6437" s="185"/>
      <c r="B6437" s="1469" t="s">
        <v>12920</v>
      </c>
      <c r="C6437" s="521"/>
      <c r="D6437" s="230"/>
      <c r="E6437" s="185"/>
      <c r="F6437" s="185"/>
      <c r="G6437" s="140"/>
      <c r="H6437" s="458"/>
      <c r="I6437" s="1690"/>
      <c r="J6437" s="366"/>
      <c r="K6437" s="33"/>
    </row>
    <row r="6438" spans="1:11" s="191" customFormat="1">
      <c r="A6438" s="185"/>
      <c r="B6438" s="139"/>
      <c r="C6438" s="521"/>
      <c r="D6438" s="230"/>
      <c r="E6438" s="185"/>
      <c r="F6438" s="185"/>
      <c r="G6438" s="140"/>
      <c r="H6438" s="458"/>
      <c r="I6438" s="1690"/>
      <c r="J6438" s="366"/>
      <c r="K6438" s="33"/>
    </row>
    <row r="6439" spans="1:11" s="191" customFormat="1">
      <c r="A6439" s="527"/>
      <c r="B6439" s="543" t="s">
        <v>12921</v>
      </c>
      <c r="C6439" s="521">
        <v>1562</v>
      </c>
      <c r="D6439" s="230">
        <f t="shared" ref="D6439:D6453" si="927">C6439*(1-VLOOKUP(I6439,descuentos,6,FALSE))*fcl/IF(dol_sol="dólar", TC,1)</f>
        <v>1059.7014925373132</v>
      </c>
      <c r="E6439" s="219">
        <v>15</v>
      </c>
      <c r="F6439" s="22">
        <f t="shared" ref="F6439:F6453" si="928">D6439+E6439</f>
        <v>1074.7014925373132</v>
      </c>
      <c r="G6439" s="314" t="s">
        <v>12922</v>
      </c>
      <c r="H6439" s="458" t="str">
        <f t="shared" ref="H6439:H6453" si="929">B6439</f>
        <v>3RW4024-1BB14</v>
      </c>
      <c r="I6439" s="1690" t="s">
        <v>10969</v>
      </c>
      <c r="J6439" s="366" t="s">
        <v>1935</v>
      </c>
      <c r="K6439" s="33" t="s">
        <v>741</v>
      </c>
    </row>
    <row r="6440" spans="1:11" s="191" customFormat="1">
      <c r="A6440" s="527"/>
      <c r="B6440" s="543" t="s">
        <v>12923</v>
      </c>
      <c r="C6440" s="521">
        <v>1843</v>
      </c>
      <c r="D6440" s="230">
        <f t="shared" si="927"/>
        <v>1250.3392130257801</v>
      </c>
      <c r="E6440" s="219">
        <v>15</v>
      </c>
      <c r="F6440" s="22">
        <f t="shared" si="928"/>
        <v>1265.3392130257801</v>
      </c>
      <c r="G6440" s="314" t="s">
        <v>12924</v>
      </c>
      <c r="H6440" s="458" t="str">
        <f t="shared" si="929"/>
        <v>3RW4026-1BB14</v>
      </c>
      <c r="I6440" s="1690" t="s">
        <v>10969</v>
      </c>
      <c r="J6440" s="366" t="s">
        <v>1935</v>
      </c>
      <c r="K6440" s="33" t="s">
        <v>741</v>
      </c>
    </row>
    <row r="6441" spans="1:11" s="191" customFormat="1">
      <c r="A6441" s="527"/>
      <c r="B6441" s="543" t="s">
        <v>12925</v>
      </c>
      <c r="C6441" s="521">
        <v>2192</v>
      </c>
      <c r="D6441" s="230">
        <f t="shared" si="927"/>
        <v>1487.1099050203525</v>
      </c>
      <c r="E6441" s="219">
        <v>15</v>
      </c>
      <c r="F6441" s="22">
        <f t="shared" si="928"/>
        <v>1502.1099050203525</v>
      </c>
      <c r="G6441" s="314" t="s">
        <v>12926</v>
      </c>
      <c r="H6441" s="458" t="str">
        <f t="shared" si="929"/>
        <v>3RW4027-1BB14</v>
      </c>
      <c r="I6441" s="1690" t="s">
        <v>10969</v>
      </c>
      <c r="J6441" s="366" t="s">
        <v>1935</v>
      </c>
      <c r="K6441" s="33" t="s">
        <v>741</v>
      </c>
    </row>
    <row r="6442" spans="1:11" s="191" customFormat="1">
      <c r="A6442" s="527"/>
      <c r="B6442" s="543" t="s">
        <v>12927</v>
      </c>
      <c r="C6442" s="521">
        <v>2624</v>
      </c>
      <c r="D6442" s="230">
        <f t="shared" si="927"/>
        <v>1780.1899592944367</v>
      </c>
      <c r="E6442" s="219">
        <v>15</v>
      </c>
      <c r="F6442" s="22">
        <f t="shared" si="928"/>
        <v>1795.1899592944367</v>
      </c>
      <c r="G6442" s="314" t="s">
        <v>12928</v>
      </c>
      <c r="H6442" s="458" t="str">
        <f t="shared" si="929"/>
        <v>3RW4028-1BB14</v>
      </c>
      <c r="I6442" s="1690" t="s">
        <v>10969</v>
      </c>
      <c r="J6442" s="366" t="s">
        <v>1935</v>
      </c>
      <c r="K6442" s="33" t="s">
        <v>741</v>
      </c>
    </row>
    <row r="6443" spans="1:11" s="191" customFormat="1">
      <c r="A6443" s="527"/>
      <c r="B6443" s="543" t="s">
        <v>12929</v>
      </c>
      <c r="C6443" s="521">
        <v>3132</v>
      </c>
      <c r="D6443" s="230">
        <f t="shared" si="927"/>
        <v>2124.8303934871096</v>
      </c>
      <c r="E6443" s="219">
        <v>15</v>
      </c>
      <c r="F6443" s="22">
        <f t="shared" si="928"/>
        <v>2139.8303934871096</v>
      </c>
      <c r="G6443" s="314" t="s">
        <v>12930</v>
      </c>
      <c r="H6443" s="458" t="str">
        <f t="shared" si="929"/>
        <v>3RW4036-1BB14</v>
      </c>
      <c r="I6443" s="1690" t="s">
        <v>10969</v>
      </c>
      <c r="J6443" s="366" t="s">
        <v>1935</v>
      </c>
      <c r="K6443" s="33" t="s">
        <v>741</v>
      </c>
    </row>
    <row r="6444" spans="1:11" s="191" customFormat="1">
      <c r="A6444" s="527"/>
      <c r="B6444" s="543" t="s">
        <v>12931</v>
      </c>
      <c r="C6444" s="521">
        <v>3717</v>
      </c>
      <c r="D6444" s="230">
        <f t="shared" si="927"/>
        <v>2521.7096336499317</v>
      </c>
      <c r="E6444" s="219">
        <v>15</v>
      </c>
      <c r="F6444" s="22">
        <f t="shared" si="928"/>
        <v>2536.7096336499317</v>
      </c>
      <c r="G6444" s="314" t="s">
        <v>12932</v>
      </c>
      <c r="H6444" s="458" t="str">
        <f t="shared" si="929"/>
        <v>3RW4037-1BB14</v>
      </c>
      <c r="I6444" s="1690" t="s">
        <v>10969</v>
      </c>
      <c r="J6444" s="366" t="s">
        <v>1935</v>
      </c>
      <c r="K6444" s="33" t="s">
        <v>741</v>
      </c>
    </row>
    <row r="6445" spans="1:11" s="191" customFormat="1">
      <c r="A6445" s="527"/>
      <c r="B6445" s="543" t="s">
        <v>12933</v>
      </c>
      <c r="C6445" s="521">
        <v>4308</v>
      </c>
      <c r="D6445" s="230">
        <f t="shared" si="927"/>
        <v>2922.6594301221162</v>
      </c>
      <c r="E6445" s="219">
        <v>30</v>
      </c>
      <c r="F6445" s="22">
        <f t="shared" si="928"/>
        <v>2952.6594301221162</v>
      </c>
      <c r="G6445" s="314" t="s">
        <v>12934</v>
      </c>
      <c r="H6445" s="458" t="str">
        <f t="shared" si="929"/>
        <v>3RW4038-1BB14</v>
      </c>
      <c r="I6445" s="1690" t="s">
        <v>10969</v>
      </c>
      <c r="J6445" s="366" t="s">
        <v>1935</v>
      </c>
      <c r="K6445" s="33" t="s">
        <v>741</v>
      </c>
    </row>
    <row r="6446" spans="1:11" s="191" customFormat="1">
      <c r="A6446" s="527"/>
      <c r="B6446" s="543" t="s">
        <v>12935</v>
      </c>
      <c r="C6446" s="521">
        <v>4856</v>
      </c>
      <c r="D6446" s="230">
        <f t="shared" si="927"/>
        <v>3294.4369063772047</v>
      </c>
      <c r="E6446" s="219">
        <v>30</v>
      </c>
      <c r="F6446" s="22">
        <f t="shared" si="928"/>
        <v>3324.4369063772047</v>
      </c>
      <c r="G6446" s="314" t="s">
        <v>12936</v>
      </c>
      <c r="H6446" s="458" t="str">
        <f t="shared" si="929"/>
        <v>3RW4046-1BB14</v>
      </c>
      <c r="I6446" s="1690" t="s">
        <v>10969</v>
      </c>
      <c r="J6446" s="366" t="s">
        <v>1935</v>
      </c>
      <c r="K6446" s="33" t="s">
        <v>741</v>
      </c>
    </row>
    <row r="6447" spans="1:11" s="191" customFormat="1">
      <c r="A6447" s="527"/>
      <c r="B6447" s="543" t="s">
        <v>12937</v>
      </c>
      <c r="C6447" s="521">
        <v>5288</v>
      </c>
      <c r="D6447" s="230">
        <f t="shared" si="927"/>
        <v>3587.5169606512882</v>
      </c>
      <c r="E6447" s="219">
        <v>40</v>
      </c>
      <c r="F6447" s="22">
        <f t="shared" si="928"/>
        <v>3627.5169606512882</v>
      </c>
      <c r="G6447" s="314" t="s">
        <v>12938</v>
      </c>
      <c r="H6447" s="458" t="str">
        <f t="shared" si="929"/>
        <v>3RW4047-1BB14</v>
      </c>
      <c r="I6447" s="1690" t="s">
        <v>10969</v>
      </c>
      <c r="J6447" s="366" t="s">
        <v>1935</v>
      </c>
      <c r="K6447" s="33" t="s">
        <v>741</v>
      </c>
    </row>
    <row r="6448" spans="1:11" s="191" customFormat="1">
      <c r="A6448" s="527"/>
      <c r="B6448" s="543" t="s">
        <v>12939</v>
      </c>
      <c r="C6448" s="521">
        <v>6008</v>
      </c>
      <c r="D6448" s="230">
        <f t="shared" si="927"/>
        <v>4075.9837177747618</v>
      </c>
      <c r="E6448" s="219">
        <v>40</v>
      </c>
      <c r="F6448" s="22">
        <f t="shared" si="928"/>
        <v>4115.9837177747613</v>
      </c>
      <c r="G6448" s="314" t="s">
        <v>12940</v>
      </c>
      <c r="H6448" s="458" t="str">
        <f t="shared" si="929"/>
        <v>3RW4055-6BB44</v>
      </c>
      <c r="I6448" s="1690" t="s">
        <v>10969</v>
      </c>
      <c r="J6448" s="366" t="s">
        <v>1935</v>
      </c>
      <c r="K6448" s="33" t="s">
        <v>741</v>
      </c>
    </row>
    <row r="6449" spans="1:11" s="191" customFormat="1">
      <c r="A6449" s="527"/>
      <c r="B6449" s="543" t="s">
        <v>12941</v>
      </c>
      <c r="C6449" s="521">
        <v>7463</v>
      </c>
      <c r="D6449" s="230">
        <f t="shared" si="927"/>
        <v>5063.0936227951152</v>
      </c>
      <c r="E6449" s="219">
        <v>40</v>
      </c>
      <c r="F6449" s="22">
        <f t="shared" si="928"/>
        <v>5103.0936227951152</v>
      </c>
      <c r="G6449" s="314" t="s">
        <v>12942</v>
      </c>
      <c r="H6449" s="458" t="str">
        <f t="shared" si="929"/>
        <v>3RW4056-6BB44</v>
      </c>
      <c r="I6449" s="1690" t="s">
        <v>10969</v>
      </c>
      <c r="J6449" s="366" t="s">
        <v>1935</v>
      </c>
      <c r="K6449" s="33" t="s">
        <v>741</v>
      </c>
    </row>
    <row r="6450" spans="1:11" s="191" customFormat="1">
      <c r="A6450" s="527"/>
      <c r="B6450" s="543" t="s">
        <v>12943</v>
      </c>
      <c r="C6450" s="521">
        <v>8367</v>
      </c>
      <c r="D6450" s="230">
        <f t="shared" si="927"/>
        <v>5676.3907734056975</v>
      </c>
      <c r="E6450" s="219">
        <v>40</v>
      </c>
      <c r="F6450" s="22">
        <f t="shared" si="928"/>
        <v>5716.3907734056975</v>
      </c>
      <c r="G6450" s="314" t="s">
        <v>12944</v>
      </c>
      <c r="H6450" s="458" t="str">
        <f t="shared" si="929"/>
        <v>3RW4073-6BB44</v>
      </c>
      <c r="I6450" s="1690" t="s">
        <v>10969</v>
      </c>
      <c r="J6450" s="366" t="s">
        <v>1935</v>
      </c>
      <c r="K6450" s="33" t="s">
        <v>741</v>
      </c>
    </row>
    <row r="6451" spans="1:11" s="191" customFormat="1">
      <c r="A6451" s="527"/>
      <c r="B6451" s="543" t="s">
        <v>12945</v>
      </c>
      <c r="C6451" s="521">
        <v>9406</v>
      </c>
      <c r="D6451" s="230">
        <f t="shared" si="927"/>
        <v>6381.2754409769323</v>
      </c>
      <c r="E6451" s="219">
        <v>40</v>
      </c>
      <c r="F6451" s="22">
        <f t="shared" si="928"/>
        <v>6421.2754409769323</v>
      </c>
      <c r="G6451" s="314" t="s">
        <v>12946</v>
      </c>
      <c r="H6451" s="458" t="str">
        <f t="shared" si="929"/>
        <v>3RW4074-6BB44</v>
      </c>
      <c r="I6451" s="1690" t="s">
        <v>10969</v>
      </c>
      <c r="J6451" s="366" t="s">
        <v>1935</v>
      </c>
      <c r="K6451" s="33" t="s">
        <v>741</v>
      </c>
    </row>
    <row r="6452" spans="1:11" s="191" customFormat="1">
      <c r="A6452" s="527"/>
      <c r="B6452" s="543" t="s">
        <v>12947</v>
      </c>
      <c r="C6452" s="521">
        <v>11004</v>
      </c>
      <c r="D6452" s="230">
        <f t="shared" si="927"/>
        <v>7465.4002713704203</v>
      </c>
      <c r="E6452" s="163">
        <v>50</v>
      </c>
      <c r="F6452" s="22">
        <f t="shared" si="928"/>
        <v>7515.4002713704203</v>
      </c>
      <c r="G6452" s="314" t="s">
        <v>12948</v>
      </c>
      <c r="H6452" s="458" t="str">
        <f t="shared" si="929"/>
        <v>3RW4075-6BB44</v>
      </c>
      <c r="I6452" s="1690" t="s">
        <v>10969</v>
      </c>
      <c r="J6452" s="366" t="s">
        <v>1935</v>
      </c>
      <c r="K6452" s="33" t="s">
        <v>741</v>
      </c>
    </row>
    <row r="6453" spans="1:11" s="191" customFormat="1">
      <c r="A6453" s="527"/>
      <c r="B6453" s="543" t="s">
        <v>12949</v>
      </c>
      <c r="C6453" s="521">
        <v>14375</v>
      </c>
      <c r="D6453" s="230">
        <f t="shared" si="927"/>
        <v>9752.3744911804588</v>
      </c>
      <c r="E6453" s="163">
        <v>50</v>
      </c>
      <c r="F6453" s="22">
        <f t="shared" si="928"/>
        <v>9802.3744911804588</v>
      </c>
      <c r="G6453" s="314" t="s">
        <v>12950</v>
      </c>
      <c r="H6453" s="458" t="str">
        <f t="shared" si="929"/>
        <v>3RW4076-6BB44</v>
      </c>
      <c r="I6453" s="1690" t="s">
        <v>10969</v>
      </c>
      <c r="J6453" s="366" t="s">
        <v>1935</v>
      </c>
      <c r="K6453" s="33" t="s">
        <v>741</v>
      </c>
    </row>
    <row r="6454" spans="1:11" s="191" customFormat="1" ht="12" customHeight="1">
      <c r="A6454" s="527"/>
      <c r="B6454" s="543"/>
      <c r="C6454" s="521"/>
      <c r="D6454" s="230"/>
      <c r="E6454" s="163"/>
      <c r="F6454" s="22"/>
      <c r="G6454" s="314"/>
      <c r="H6454" s="458"/>
      <c r="I6454" s="1690"/>
      <c r="J6454" s="366"/>
      <c r="K6454" s="33"/>
    </row>
    <row r="6455" spans="1:11" s="191" customFormat="1" ht="14.4">
      <c r="A6455" s="529"/>
      <c r="B6455" s="530"/>
      <c r="C6455" s="521"/>
      <c r="D6455" s="230"/>
      <c r="E6455" s="531"/>
      <c r="F6455" s="532"/>
      <c r="G6455" s="1643"/>
      <c r="H6455" s="458"/>
      <c r="I6455" s="1690"/>
      <c r="J6455" s="366"/>
      <c r="K6455" s="33"/>
    </row>
    <row r="6456" spans="1:11" s="191" customFormat="1">
      <c r="A6456" s="185"/>
      <c r="B6456" s="32" t="s">
        <v>11763</v>
      </c>
      <c r="C6456" s="32"/>
      <c r="D6456" s="230"/>
      <c r="E6456" s="185"/>
      <c r="F6456" s="185"/>
      <c r="G6456" s="140"/>
      <c r="H6456" s="458"/>
      <c r="I6456" s="1690"/>
      <c r="J6456" s="366"/>
      <c r="K6456" s="33"/>
    </row>
    <row r="6457" spans="1:11" s="191" customFormat="1">
      <c r="A6457" s="185"/>
      <c r="B6457" s="139"/>
      <c r="C6457" s="521"/>
      <c r="D6457" s="230"/>
      <c r="E6457" s="185"/>
      <c r="F6457" s="185"/>
      <c r="G6457" s="140"/>
      <c r="H6457" s="458"/>
      <c r="I6457" s="1690"/>
      <c r="J6457" s="366"/>
      <c r="K6457" s="33"/>
    </row>
    <row r="6458" spans="1:11" s="191" customFormat="1">
      <c r="A6458" s="527"/>
      <c r="B6458" t="s">
        <v>11764</v>
      </c>
      <c r="C6458" s="521">
        <v>130</v>
      </c>
      <c r="D6458" s="230">
        <f t="shared" ref="D6458" si="930">C6458*(1-VLOOKUP(I6458,descuentos,6,FALSE))*fcl/IF(dol_sol="dólar", TC,1)</f>
        <v>88.195386702849376</v>
      </c>
      <c r="E6458" s="163">
        <v>3</v>
      </c>
      <c r="F6458" s="22">
        <f t="shared" ref="F6458:F6459" si="931">D6458+E6458</f>
        <v>91.195386702849376</v>
      </c>
      <c r="G6458" s="314" t="s">
        <v>11765</v>
      </c>
      <c r="H6458" t="s">
        <v>11764</v>
      </c>
      <c r="I6458" s="1690" t="s">
        <v>10969</v>
      </c>
      <c r="J6458" s="366" t="s">
        <v>1935</v>
      </c>
      <c r="K6458" s="33" t="s">
        <v>741</v>
      </c>
    </row>
    <row r="6459" spans="1:11" s="191" customFormat="1">
      <c r="A6459" s="527"/>
      <c r="B6459" t="s">
        <v>12339</v>
      </c>
      <c r="C6459" s="521">
        <v>169</v>
      </c>
      <c r="D6459" s="230">
        <f t="shared" ref="D6459" si="932">C6459*(1-VLOOKUP(I6459,descuentos,6,FALSE))*fcl/IF(dol_sol="dólar", TC,1)</f>
        <v>114.6540027137042</v>
      </c>
      <c r="E6459" s="163">
        <v>3</v>
      </c>
      <c r="F6459" s="22">
        <f t="shared" si="931"/>
        <v>117.6540027137042</v>
      </c>
      <c r="G6459" s="314" t="s">
        <v>12340</v>
      </c>
      <c r="H6459" t="s">
        <v>12339</v>
      </c>
      <c r="I6459" s="1690" t="s">
        <v>10969</v>
      </c>
      <c r="J6459" s="366" t="s">
        <v>1935</v>
      </c>
      <c r="K6459" s="33" t="s">
        <v>741</v>
      </c>
    </row>
    <row r="6460" spans="1:11" s="191" customFormat="1">
      <c r="A6460" s="185"/>
      <c r="B6460" s="139"/>
      <c r="C6460" s="521"/>
      <c r="D6460" s="230"/>
      <c r="E6460" s="185"/>
      <c r="F6460" s="185"/>
      <c r="G6460" s="140"/>
      <c r="H6460" s="458"/>
      <c r="I6460" s="1690"/>
      <c r="J6460" s="366"/>
      <c r="K6460" s="33"/>
    </row>
    <row r="6461" spans="1:11" s="191" customFormat="1">
      <c r="A6461" s="185"/>
      <c r="B6461" s="32" t="s">
        <v>11545</v>
      </c>
      <c r="C6461" s="32"/>
      <c r="D6461" s="230"/>
      <c r="E6461" s="185"/>
      <c r="F6461" s="185"/>
      <c r="G6461" s="140"/>
      <c r="H6461" s="458"/>
      <c r="I6461" s="1690"/>
      <c r="J6461" s="366"/>
      <c r="K6461" s="33"/>
    </row>
    <row r="6462" spans="1:11" s="191" customFormat="1">
      <c r="A6462" s="185"/>
      <c r="B6462" s="139"/>
      <c r="C6462" s="521"/>
      <c r="D6462" s="230"/>
      <c r="E6462" s="185"/>
      <c r="F6462" s="185"/>
      <c r="G6462" s="140"/>
      <c r="H6462" s="458"/>
      <c r="I6462" s="1690"/>
      <c r="J6462" s="366"/>
      <c r="K6462" s="33"/>
    </row>
    <row r="6463" spans="1:11" s="185" customFormat="1">
      <c r="A6463" s="369"/>
      <c r="B6463" s="143" t="s">
        <v>11546</v>
      </c>
      <c r="C6463" s="196">
        <v>740</v>
      </c>
      <c r="D6463" s="230">
        <f t="shared" ref="D6463:D6474" si="933">C6463*(1-VLOOKUP(I6463,descuentos,6,FALSE))*fcl/IF(dol_sol="dólar", TC,1)</f>
        <v>502.03527815468107</v>
      </c>
      <c r="E6463" s="215">
        <v>30</v>
      </c>
      <c r="F6463" s="511">
        <f>ROUNDUP(D6463+E6463,1)</f>
        <v>532.1</v>
      </c>
      <c r="G6463" s="314" t="s">
        <v>11547</v>
      </c>
      <c r="H6463" s="518" t="s">
        <v>11548</v>
      </c>
      <c r="I6463" s="452" t="s">
        <v>10969</v>
      </c>
      <c r="J6463" s="369" t="s">
        <v>1935</v>
      </c>
      <c r="K6463" s="452" t="s">
        <v>741</v>
      </c>
    </row>
    <row r="6464" spans="1:11" s="185" customFormat="1">
      <c r="A6464" s="369"/>
      <c r="B6464" s="143" t="s">
        <v>11549</v>
      </c>
      <c r="C6464" s="196">
        <v>758</v>
      </c>
      <c r="D6464" s="230">
        <f t="shared" si="933"/>
        <v>514.24694708276786</v>
      </c>
      <c r="E6464" s="215">
        <v>30</v>
      </c>
      <c r="F6464" s="511">
        <f>ROUNDUP(D6464+E6464,1)</f>
        <v>544.30000000000007</v>
      </c>
      <c r="G6464" s="314" t="s">
        <v>11550</v>
      </c>
      <c r="H6464" s="518" t="s">
        <v>11551</v>
      </c>
      <c r="I6464" s="452" t="s">
        <v>10969</v>
      </c>
      <c r="J6464" s="369" t="s">
        <v>1935</v>
      </c>
      <c r="K6464" s="452" t="s">
        <v>741</v>
      </c>
    </row>
    <row r="6465" spans="1:11" s="185" customFormat="1">
      <c r="A6465" s="369"/>
      <c r="B6465" s="143"/>
      <c r="C6465" s="196"/>
      <c r="D6465" s="230"/>
      <c r="E6465" s="215"/>
      <c r="F6465" s="511"/>
      <c r="G6465" s="314"/>
      <c r="H6465" s="518"/>
      <c r="I6465" s="452"/>
      <c r="J6465" s="369"/>
      <c r="K6465" s="452"/>
    </row>
    <row r="6466" spans="1:11" s="185" customFormat="1">
      <c r="A6466" s="369"/>
      <c r="B6466" s="143" t="s">
        <v>1936</v>
      </c>
      <c r="C6466" s="196">
        <v>399</v>
      </c>
      <c r="D6466" s="230">
        <f t="shared" si="933"/>
        <v>270.69199457259157</v>
      </c>
      <c r="E6466" s="215">
        <v>20</v>
      </c>
      <c r="F6466" s="511">
        <f>ROUNDUP(D6466+E6466,1)</f>
        <v>290.70000000000005</v>
      </c>
      <c r="G6466" s="314" t="s">
        <v>11552</v>
      </c>
      <c r="H6466" s="518" t="s">
        <v>11553</v>
      </c>
      <c r="I6466" s="452" t="s">
        <v>10969</v>
      </c>
      <c r="J6466" s="369" t="s">
        <v>1935</v>
      </c>
      <c r="K6466" s="452" t="s">
        <v>741</v>
      </c>
    </row>
    <row r="6467" spans="1:11" s="185" customFormat="1">
      <c r="A6467" s="369"/>
      <c r="B6467" s="143" t="s">
        <v>1937</v>
      </c>
      <c r="C6467" s="196">
        <v>399</v>
      </c>
      <c r="D6467" s="230">
        <f t="shared" si="933"/>
        <v>270.69199457259157</v>
      </c>
      <c r="E6467" s="215">
        <v>20</v>
      </c>
      <c r="F6467" s="511">
        <f>ROUNDUP(D6467+E6467,1)</f>
        <v>290.70000000000005</v>
      </c>
      <c r="G6467" s="314" t="s">
        <v>11554</v>
      </c>
      <c r="H6467" s="518" t="s">
        <v>11555</v>
      </c>
      <c r="I6467" s="452" t="s">
        <v>10969</v>
      </c>
      <c r="J6467" s="369" t="s">
        <v>1935</v>
      </c>
      <c r="K6467" s="452" t="s">
        <v>741</v>
      </c>
    </row>
    <row r="6468" spans="1:11" s="185" customFormat="1">
      <c r="A6468" s="369"/>
      <c r="B6468" s="143"/>
      <c r="C6468" s="454"/>
      <c r="D6468" s="230"/>
      <c r="E6468" s="215"/>
      <c r="F6468" s="511"/>
      <c r="G6468" s="314"/>
      <c r="H6468" s="518"/>
      <c r="I6468" s="452"/>
      <c r="J6468" s="369"/>
      <c r="K6468" s="452"/>
    </row>
    <row r="6469" spans="1:11" s="185" customFormat="1">
      <c r="A6469" s="369"/>
      <c r="B6469" s="143" t="s">
        <v>1938</v>
      </c>
      <c r="C6469" s="196">
        <v>651</v>
      </c>
      <c r="D6469" s="230">
        <f t="shared" si="933"/>
        <v>441.65535956580726</v>
      </c>
      <c r="E6469" s="215">
        <v>20</v>
      </c>
      <c r="F6469" s="511">
        <f>ROUNDUP(D6469+E6469,1)</f>
        <v>461.70000000000005</v>
      </c>
      <c r="G6469" s="314" t="s">
        <v>1939</v>
      </c>
      <c r="H6469" s="518" t="s">
        <v>11556</v>
      </c>
      <c r="I6469" s="452" t="s">
        <v>10969</v>
      </c>
      <c r="J6469" s="369" t="s">
        <v>1935</v>
      </c>
      <c r="K6469" s="452" t="s">
        <v>741</v>
      </c>
    </row>
    <row r="6470" spans="1:11" s="185" customFormat="1">
      <c r="A6470" s="369"/>
      <c r="B6470" s="143" t="s">
        <v>1940</v>
      </c>
      <c r="C6470" s="196">
        <v>651</v>
      </c>
      <c r="D6470" s="230">
        <f t="shared" si="933"/>
        <v>441.65535956580726</v>
      </c>
      <c r="E6470" s="215">
        <v>20</v>
      </c>
      <c r="F6470" s="511">
        <f>ROUNDUP(D6470+E6470,1)</f>
        <v>461.70000000000005</v>
      </c>
      <c r="G6470" s="314" t="s">
        <v>11557</v>
      </c>
      <c r="H6470" s="518" t="s">
        <v>11558</v>
      </c>
      <c r="I6470" s="452" t="s">
        <v>10969</v>
      </c>
      <c r="J6470" s="369" t="s">
        <v>1935</v>
      </c>
      <c r="K6470" s="452" t="s">
        <v>741</v>
      </c>
    </row>
    <row r="6471" spans="1:11" s="185" customFormat="1">
      <c r="A6471" s="369"/>
      <c r="B6471" s="143"/>
      <c r="C6471" s="454"/>
      <c r="D6471" s="230"/>
      <c r="E6471" s="215"/>
      <c r="F6471" s="511"/>
      <c r="G6471" s="314"/>
      <c r="H6471" s="518"/>
      <c r="I6471" s="452"/>
      <c r="J6471" s="369"/>
      <c r="K6471" s="452"/>
    </row>
    <row r="6472" spans="1:11" s="185" customFormat="1">
      <c r="A6472" s="369"/>
      <c r="B6472" s="143" t="s">
        <v>1941</v>
      </c>
      <c r="C6472" s="196">
        <v>393</v>
      </c>
      <c r="D6472" s="230">
        <f t="shared" si="933"/>
        <v>266.62143826322927</v>
      </c>
      <c r="E6472" s="215">
        <v>20</v>
      </c>
      <c r="F6472" s="511">
        <f>ROUNDUP(D6472+E6472,1)</f>
        <v>286.70000000000005</v>
      </c>
      <c r="G6472" s="314" t="s">
        <v>11559</v>
      </c>
      <c r="H6472" s="518" t="s">
        <v>11560</v>
      </c>
      <c r="I6472" s="452" t="s">
        <v>10969</v>
      </c>
      <c r="J6472" s="369" t="s">
        <v>1935</v>
      </c>
      <c r="K6472" s="452" t="s">
        <v>741</v>
      </c>
    </row>
    <row r="6473" spans="1:11">
      <c r="A6473" s="369"/>
      <c r="B6473" s="143" t="s">
        <v>11561</v>
      </c>
      <c r="C6473" s="196">
        <v>725</v>
      </c>
      <c r="D6473" s="230">
        <f t="shared" si="933"/>
        <v>491.85888738127539</v>
      </c>
      <c r="E6473" s="215">
        <v>20</v>
      </c>
      <c r="F6473" s="511">
        <f>ROUNDUP(D6473+E6473,1)</f>
        <v>511.90000000000003</v>
      </c>
      <c r="G6473" s="314" t="s">
        <v>11562</v>
      </c>
      <c r="H6473" s="518" t="s">
        <v>11563</v>
      </c>
      <c r="I6473" s="452" t="s">
        <v>10969</v>
      </c>
      <c r="J6473" s="369" t="s">
        <v>1935</v>
      </c>
      <c r="K6473" s="452" t="s">
        <v>741</v>
      </c>
    </row>
    <row r="6474" spans="1:11">
      <c r="A6474" s="369"/>
      <c r="B6474" s="143" t="s">
        <v>1942</v>
      </c>
      <c r="C6474" s="196">
        <v>160</v>
      </c>
      <c r="D6474" s="230">
        <f t="shared" si="933"/>
        <v>108.54816824966078</v>
      </c>
      <c r="E6474" s="215">
        <v>20</v>
      </c>
      <c r="F6474" s="511">
        <f>ROUNDUP(D6474+E6474,1)</f>
        <v>128.6</v>
      </c>
      <c r="G6474" s="314" t="s">
        <v>11564</v>
      </c>
      <c r="H6474" s="518" t="str">
        <f t="shared" ref="H6474" si="934">B6474</f>
        <v>BAT_7Ah</v>
      </c>
      <c r="I6474" s="452" t="s">
        <v>10969</v>
      </c>
      <c r="J6474" s="369" t="s">
        <v>1935</v>
      </c>
      <c r="K6474" s="452" t="s">
        <v>741</v>
      </c>
    </row>
    <row r="6475" spans="1:11" s="102" customFormat="1">
      <c r="A6475" s="185"/>
      <c r="B6475" s="139"/>
      <c r="C6475" s="542"/>
      <c r="D6475" s="230"/>
      <c r="E6475" s="185"/>
      <c r="F6475" s="185"/>
      <c r="G6475" s="140"/>
      <c r="H6475" s="139"/>
      <c r="I6475" s="2171"/>
      <c r="J6475" s="321"/>
      <c r="K6475" s="185"/>
    </row>
    <row r="6476" spans="1:11" s="185" customFormat="1">
      <c r="A6476" s="1469"/>
      <c r="B6476" s="143" t="s">
        <v>12951</v>
      </c>
      <c r="C6476" s="196">
        <v>2578</v>
      </c>
      <c r="D6476" s="230">
        <f t="shared" ref="D6476" si="935">C6476*(1-VLOOKUP(I6476,descuentos,6,FALSE))*fcl/IF(dol_sol="dólar", TC,1)</f>
        <v>1748.9823609226592</v>
      </c>
      <c r="E6476" s="215">
        <v>20</v>
      </c>
      <c r="F6476" s="511">
        <f>ROUNDUP(D6476+E6476,1)</f>
        <v>1769</v>
      </c>
      <c r="G6476" s="314" t="s">
        <v>12952</v>
      </c>
      <c r="H6476" s="518" t="s">
        <v>12953</v>
      </c>
      <c r="I6476" s="452" t="s">
        <v>10969</v>
      </c>
      <c r="J6476" s="369" t="s">
        <v>1935</v>
      </c>
      <c r="K6476" s="452" t="s">
        <v>741</v>
      </c>
    </row>
    <row r="6477" spans="1:11" s="185" customFormat="1">
      <c r="A6477" s="1469"/>
      <c r="B6477" s="143" t="s">
        <v>12954</v>
      </c>
      <c r="C6477" s="196">
        <v>2879</v>
      </c>
      <c r="D6477" s="230">
        <f t="shared" ref="D6477" si="936">C6477*(1-VLOOKUP(I6477,descuentos,6,FALSE))*fcl/IF(dol_sol="dólar", TC,1)</f>
        <v>1953.1886024423334</v>
      </c>
      <c r="E6477" s="215">
        <v>20</v>
      </c>
      <c r="F6477" s="511">
        <f>ROUNDUP(D6477+E6477,1)</f>
        <v>1973.1999999999998</v>
      </c>
      <c r="G6477" s="314" t="s">
        <v>12955</v>
      </c>
      <c r="H6477" s="518" t="s">
        <v>12956</v>
      </c>
      <c r="I6477" s="452" t="s">
        <v>10969</v>
      </c>
      <c r="J6477" s="369" t="s">
        <v>1935</v>
      </c>
      <c r="K6477" s="452" t="s">
        <v>741</v>
      </c>
    </row>
    <row r="6478" spans="1:11" s="185" customFormat="1">
      <c r="A6478" s="369"/>
      <c r="B6478" s="143"/>
      <c r="C6478" s="196"/>
      <c r="D6478" s="230"/>
      <c r="E6478" s="215"/>
      <c r="F6478" s="511"/>
      <c r="G6478" s="314"/>
      <c r="H6478" s="518"/>
      <c r="I6478" s="452"/>
      <c r="J6478" s="369"/>
      <c r="K6478" s="452"/>
    </row>
    <row r="6479" spans="1:11" s="185" customFormat="1">
      <c r="A6479" s="1469"/>
      <c r="B6479" s="143" t="s">
        <v>12957</v>
      </c>
      <c r="C6479" s="196">
        <v>872</v>
      </c>
      <c r="D6479" s="230">
        <f t="shared" ref="D6479" si="937">C6479*(1-VLOOKUP(I6479,descuentos,6,FALSE))*fcl/IF(dol_sol="dólar", TC,1)</f>
        <v>591.58751696065121</v>
      </c>
      <c r="E6479" s="215">
        <v>20</v>
      </c>
      <c r="F6479" s="511">
        <f>ROUNDUP(D6479+E6479,1)</f>
        <v>611.6</v>
      </c>
      <c r="G6479" s="314" t="s">
        <v>12958</v>
      </c>
      <c r="H6479" s="518" t="s">
        <v>12959</v>
      </c>
      <c r="I6479" s="452" t="s">
        <v>10969</v>
      </c>
      <c r="J6479" s="369" t="s">
        <v>1935</v>
      </c>
      <c r="K6479" s="452" t="s">
        <v>741</v>
      </c>
    </row>
    <row r="6480" spans="1:11" s="185" customFormat="1">
      <c r="A6480" s="369"/>
      <c r="B6480" s="143"/>
      <c r="C6480" s="196"/>
      <c r="D6480" s="230"/>
      <c r="E6480" s="215"/>
      <c r="F6480" s="511"/>
      <c r="G6480" s="314"/>
      <c r="H6480" s="518"/>
      <c r="I6480" s="452"/>
      <c r="J6480" s="369"/>
      <c r="K6480" s="452"/>
    </row>
    <row r="6481" spans="1:14" s="185" customFormat="1">
      <c r="A6481" s="369"/>
      <c r="B6481" s="143"/>
      <c r="C6481" s="196"/>
      <c r="D6481" s="230"/>
      <c r="E6481" s="215"/>
      <c r="F6481" s="511"/>
      <c r="G6481" s="314"/>
      <c r="H6481" s="518"/>
      <c r="I6481" s="452"/>
      <c r="J6481" s="369"/>
      <c r="K6481" s="452"/>
    </row>
    <row r="6482" spans="1:14">
      <c r="A6482" s="185"/>
      <c r="B6482" s="194"/>
      <c r="C6482" s="228"/>
      <c r="D6482" s="212"/>
      <c r="E6482" s="108"/>
      <c r="F6482" s="102"/>
      <c r="G6482" s="195"/>
      <c r="H6482" s="194"/>
      <c r="I6482" s="102"/>
      <c r="J6482" s="102"/>
      <c r="K6482" s="102"/>
      <c r="L6482" s="102"/>
      <c r="M6482" s="102"/>
      <c r="N6482" s="102"/>
    </row>
    <row r="6483" spans="1:14" ht="28.2">
      <c r="A6483" s="185"/>
      <c r="B6483" s="2172" t="s">
        <v>1576</v>
      </c>
      <c r="C6483" s="228"/>
      <c r="D6483" s="212"/>
      <c r="E6483" s="108"/>
      <c r="F6483" s="102"/>
      <c r="G6483" s="195"/>
      <c r="H6483" s="194"/>
      <c r="I6483" s="102"/>
      <c r="J6483" s="102"/>
      <c r="K6483" s="102"/>
      <c r="L6483" s="102"/>
      <c r="M6483" s="102"/>
      <c r="N6483" s="102"/>
    </row>
    <row r="6484" spans="1:14" ht="14.4">
      <c r="A6484" s="369"/>
      <c r="B6484" s="2345" t="s">
        <v>14063</v>
      </c>
      <c r="C6484" s="234">
        <v>188</v>
      </c>
      <c r="D6484" s="2408">
        <f>C6484*fcl*(1-0)/TC</f>
        <v>127.54409769335142</v>
      </c>
      <c r="E6484" s="1388">
        <v>6</v>
      </c>
      <c r="F6484" s="517">
        <f>ROUNDUP(D6484+E6484,1)</f>
        <v>133.6</v>
      </c>
      <c r="G6484" s="318" t="s">
        <v>14064</v>
      </c>
      <c r="H6484" s="2368" t="s">
        <v>8555</v>
      </c>
      <c r="I6484" s="452"/>
      <c r="J6484" s="369" t="s">
        <v>1576</v>
      </c>
      <c r="K6484" s="452" t="s">
        <v>741</v>
      </c>
    </row>
    <row r="6485" spans="1:14">
      <c r="A6485" s="369"/>
      <c r="B6485" s="2345" t="s">
        <v>8556</v>
      </c>
      <c r="C6485" s="234">
        <v>2726.8330000000001</v>
      </c>
      <c r="D6485" s="2408">
        <f>C6485*fcl*(1-0.28)/TC</f>
        <v>1331.9672727272725</v>
      </c>
      <c r="E6485" s="1388">
        <v>6</v>
      </c>
      <c r="F6485" s="517">
        <f>ROUNDUP(D6485+E6485,1)</f>
        <v>1338</v>
      </c>
      <c r="G6485" s="318" t="s">
        <v>8557</v>
      </c>
      <c r="H6485" s="632" t="s">
        <v>12960</v>
      </c>
      <c r="I6485" s="452"/>
      <c r="J6485" s="369" t="s">
        <v>1576</v>
      </c>
      <c r="K6485" s="452" t="s">
        <v>741</v>
      </c>
    </row>
    <row r="6486" spans="1:14">
      <c r="A6486" s="369"/>
      <c r="B6486" s="2345" t="s">
        <v>1934</v>
      </c>
      <c r="C6486" s="234">
        <v>2076.88</v>
      </c>
      <c r="D6486" s="2408">
        <f>C6486*fcl*(1-0.28)/TC</f>
        <v>1014.4868385345997</v>
      </c>
      <c r="E6486" s="1388">
        <v>6</v>
      </c>
      <c r="F6486" s="517">
        <f>ROUNDUP(D6486+E6486,1)</f>
        <v>1020.5</v>
      </c>
      <c r="G6486" s="318" t="s">
        <v>11766</v>
      </c>
      <c r="H6486" s="632" t="s">
        <v>11767</v>
      </c>
      <c r="I6486" s="452"/>
      <c r="J6486" s="369" t="s">
        <v>1576</v>
      </c>
      <c r="K6486" s="452" t="s">
        <v>741</v>
      </c>
    </row>
    <row r="6487" spans="1:14">
      <c r="A6487" s="369"/>
      <c r="B6487" s="2345" t="s">
        <v>1932</v>
      </c>
      <c r="C6487" s="234">
        <v>221.62</v>
      </c>
      <c r="D6487" s="2408">
        <f t="shared" ref="D6487:D6488" si="938">C6487*fcl*(1-0.28)/TC</f>
        <v>108.2540027137042</v>
      </c>
      <c r="E6487" s="1388">
        <v>3</v>
      </c>
      <c r="F6487" s="517">
        <f t="shared" ref="F6487:F6491" si="939">ROUNDUP(D6487+E6487,1)</f>
        <v>111.3</v>
      </c>
      <c r="G6487" s="318" t="s">
        <v>1933</v>
      </c>
      <c r="H6487" s="632" t="s">
        <v>8555</v>
      </c>
      <c r="I6487" s="452"/>
      <c r="J6487" s="369" t="s">
        <v>1576</v>
      </c>
      <c r="K6487" s="452" t="s">
        <v>741</v>
      </c>
    </row>
    <row r="6488" spans="1:14">
      <c r="A6488" s="369"/>
      <c r="B6488" s="143" t="s">
        <v>8558</v>
      </c>
      <c r="C6488" s="2409">
        <v>2914.88</v>
      </c>
      <c r="D6488" s="2410">
        <f t="shared" si="938"/>
        <v>1423.8219810040703</v>
      </c>
      <c r="E6488" s="215">
        <v>6</v>
      </c>
      <c r="F6488" s="511">
        <f t="shared" si="939"/>
        <v>1429.8999999999999</v>
      </c>
      <c r="G6488" s="314" t="s">
        <v>8559</v>
      </c>
      <c r="H6488" s="632" t="s">
        <v>12961</v>
      </c>
      <c r="I6488" s="452"/>
      <c r="J6488" s="369" t="s">
        <v>1576</v>
      </c>
      <c r="K6488" s="452" t="s">
        <v>741</v>
      </c>
    </row>
    <row r="6489" spans="1:14">
      <c r="A6489" s="369"/>
      <c r="B6489" s="143" t="s">
        <v>11768</v>
      </c>
      <c r="C6489" s="2409">
        <v>5992.57</v>
      </c>
      <c r="D6489" s="2410">
        <f>C6489*fcl*(1-0)/TC</f>
        <v>4065.5156037991851</v>
      </c>
      <c r="E6489" s="215">
        <v>6</v>
      </c>
      <c r="F6489" s="511">
        <f t="shared" si="939"/>
        <v>4071.6</v>
      </c>
      <c r="G6489" s="314" t="s">
        <v>11769</v>
      </c>
      <c r="H6489" s="632" t="s">
        <v>12962</v>
      </c>
      <c r="I6489" s="452"/>
      <c r="J6489" s="369" t="s">
        <v>1576</v>
      </c>
      <c r="K6489" s="452" t="s">
        <v>741</v>
      </c>
    </row>
    <row r="6490" spans="1:14" s="185" customFormat="1">
      <c r="A6490" s="369"/>
      <c r="B6490" s="143" t="s">
        <v>14065</v>
      </c>
      <c r="C6490" s="381">
        <v>174</v>
      </c>
      <c r="D6490" s="513">
        <f t="shared" ref="D6490" si="940">C6490*fcl*(1-0.28)/TC</f>
        <v>84.993215739484384</v>
      </c>
      <c r="E6490" s="215">
        <v>2</v>
      </c>
      <c r="F6490" s="511">
        <f t="shared" si="939"/>
        <v>87</v>
      </c>
      <c r="G6490" s="314" t="s">
        <v>14066</v>
      </c>
      <c r="H6490" s="632" t="s">
        <v>14067</v>
      </c>
      <c r="I6490" s="452"/>
      <c r="J6490" s="369" t="s">
        <v>1576</v>
      </c>
      <c r="K6490" s="452" t="s">
        <v>741</v>
      </c>
    </row>
    <row r="6491" spans="1:14" s="185" customFormat="1">
      <c r="A6491" s="369"/>
      <c r="B6491" s="143" t="s">
        <v>14068</v>
      </c>
      <c r="C6491" s="381">
        <f>174/10</f>
        <v>17.399999999999999</v>
      </c>
      <c r="D6491" s="513">
        <f t="shared" ref="D6491" si="941">C6491*fcl*(1-0.28)/TC</f>
        <v>8.4993215739484391</v>
      </c>
      <c r="E6491" s="215">
        <v>1</v>
      </c>
      <c r="F6491" s="511">
        <f t="shared" si="939"/>
        <v>9.5</v>
      </c>
      <c r="G6491" s="314" t="s">
        <v>14069</v>
      </c>
      <c r="H6491" s="632" t="s">
        <v>14067</v>
      </c>
      <c r="I6491" s="452"/>
      <c r="J6491" s="369" t="s">
        <v>1576</v>
      </c>
      <c r="K6491" s="452" t="s">
        <v>741</v>
      </c>
    </row>
    <row r="6492" spans="1:14">
      <c r="A6492" s="369"/>
      <c r="B6492" s="143"/>
      <c r="C6492" s="227"/>
      <c r="D6492" s="208"/>
      <c r="E6492" s="208"/>
      <c r="F6492" s="155"/>
      <c r="G6492" s="314"/>
      <c r="H6492" s="518"/>
      <c r="I6492" s="452"/>
      <c r="J6492" s="369"/>
      <c r="K6492" s="452"/>
    </row>
    <row r="6493" spans="1:14">
      <c r="A6493" s="515"/>
      <c r="B6493" s="144"/>
      <c r="C6493" s="196"/>
      <c r="D6493" s="229"/>
      <c r="E6493" s="215"/>
      <c r="F6493" s="511"/>
      <c r="G6493" s="516"/>
      <c r="H6493" s="518"/>
      <c r="I6493" s="452"/>
      <c r="J6493" s="515"/>
      <c r="K6493" s="452"/>
    </row>
    <row r="6494" spans="1:14">
      <c r="A6494" s="369"/>
      <c r="B6494" s="144" t="s">
        <v>1250</v>
      </c>
      <c r="C6494" s="381">
        <v>368</v>
      </c>
      <c r="D6494" s="513">
        <f>C6494*fcl*(1-0.28)/TC</f>
        <v>179.75576662143826</v>
      </c>
      <c r="E6494" s="215">
        <v>10</v>
      </c>
      <c r="F6494" s="511">
        <f>ROUNDUP(D6494+E6494,1)</f>
        <v>189.79999999999998</v>
      </c>
      <c r="G6494" s="516" t="s">
        <v>1253</v>
      </c>
      <c r="H6494" s="458" t="str">
        <f>B6494</f>
        <v>LAMP_FLUOR</v>
      </c>
      <c r="I6494" s="452"/>
      <c r="J6494" s="369" t="s">
        <v>1576</v>
      </c>
      <c r="K6494" s="452" t="s">
        <v>741</v>
      </c>
    </row>
    <row r="6495" spans="1:14">
      <c r="A6495" s="369"/>
      <c r="B6495" s="144" t="s">
        <v>1251</v>
      </c>
      <c r="C6495" s="381">
        <v>126</v>
      </c>
      <c r="D6495" s="513">
        <f>C6495*fcl*(1-0.28)/TC</f>
        <v>61.546811397557647</v>
      </c>
      <c r="E6495" s="215">
        <v>10</v>
      </c>
      <c r="F6495" s="511">
        <f>ROUNDUP(D6495+E6495,1)</f>
        <v>71.599999999999994</v>
      </c>
      <c r="G6495" s="516" t="s">
        <v>1252</v>
      </c>
      <c r="H6495" s="458" t="str">
        <f>B6495</f>
        <v>LIMIT_SWITCH</v>
      </c>
      <c r="I6495" s="452"/>
      <c r="J6495" s="369" t="s">
        <v>1576</v>
      </c>
      <c r="K6495" s="452" t="s">
        <v>741</v>
      </c>
    </row>
    <row r="6496" spans="1:14" ht="28.2">
      <c r="B6496" s="1552"/>
      <c r="C6496" s="228"/>
      <c r="D6496" s="212"/>
      <c r="E6496" s="108"/>
      <c r="F6496" s="102"/>
      <c r="G6496" s="195"/>
      <c r="H6496" s="194"/>
      <c r="I6496" s="102"/>
      <c r="J6496" s="102"/>
      <c r="K6496" s="102"/>
      <c r="L6496" s="102"/>
      <c r="M6496" s="102"/>
      <c r="N6496" s="102"/>
    </row>
    <row r="6497" spans="1:11">
      <c r="A6497" s="369"/>
      <c r="B6497" s="143" t="s">
        <v>8246</v>
      </c>
      <c r="C6497" s="196">
        <v>2388.89</v>
      </c>
      <c r="D6497" s="215">
        <f>C6497*fcl*(1-0)/TC</f>
        <v>1620.6852103120757</v>
      </c>
      <c r="E6497" s="215">
        <v>20</v>
      </c>
      <c r="F6497" s="511">
        <f>ROUNDUP(D6497+E6497,1)</f>
        <v>1640.6999999999998</v>
      </c>
      <c r="G6497" s="314" t="s">
        <v>8247</v>
      </c>
      <c r="H6497" s="458" t="str">
        <f>B6497</f>
        <v>ION-CABLE</v>
      </c>
      <c r="I6497" s="452"/>
      <c r="J6497" s="369" t="s">
        <v>1576</v>
      </c>
      <c r="K6497" s="452" t="s">
        <v>741</v>
      </c>
    </row>
    <row r="6498" spans="1:11">
      <c r="A6498" s="369"/>
      <c r="B6498" s="143" t="s">
        <v>8248</v>
      </c>
      <c r="C6498" s="196">
        <v>11393.33</v>
      </c>
      <c r="D6498" s="215">
        <f>C6498*fcl*(1-0)/TC</f>
        <v>7729.5318860244224</v>
      </c>
      <c r="E6498" s="215">
        <v>0</v>
      </c>
      <c r="F6498" s="511">
        <f>ROUNDUP(D6498+E6498,1)</f>
        <v>7729.6</v>
      </c>
      <c r="G6498" s="314" t="s">
        <v>8249</v>
      </c>
      <c r="H6498" s="458" t="str">
        <f>B6498</f>
        <v>LICENCIA - ION</v>
      </c>
      <c r="I6498" s="452"/>
      <c r="J6498" s="369" t="s">
        <v>1576</v>
      </c>
      <c r="K6498" s="452" t="s">
        <v>741</v>
      </c>
    </row>
    <row r="6499" spans="1:11">
      <c r="A6499" s="369"/>
      <c r="B6499" s="143" t="s">
        <v>8244</v>
      </c>
      <c r="C6499" s="196">
        <v>19577.78</v>
      </c>
      <c r="D6499" s="215">
        <f>C6499*fcl*(1-0)/TC</f>
        <v>13282.075983717772</v>
      </c>
      <c r="E6499" s="215">
        <v>40</v>
      </c>
      <c r="F6499" s="511">
        <f>ROUNDUP(D6499+E6499,1)</f>
        <v>13322.1</v>
      </c>
      <c r="G6499" s="314" t="s">
        <v>8245</v>
      </c>
      <c r="H6499" s="458" t="str">
        <f>B6499</f>
        <v>ION-7550</v>
      </c>
      <c r="I6499" s="452"/>
      <c r="J6499" s="369" t="s">
        <v>1576</v>
      </c>
      <c r="K6499" s="452" t="s">
        <v>741</v>
      </c>
    </row>
    <row r="6500" spans="1:11">
      <c r="A6500" s="369"/>
      <c r="B6500" s="143" t="s">
        <v>8242</v>
      </c>
      <c r="C6500" s="196">
        <f>10919*1.1</f>
        <v>12010.900000000001</v>
      </c>
      <c r="D6500" s="215">
        <f>C6500*fcl*(1-0)/TC</f>
        <v>8148.5074626865671</v>
      </c>
      <c r="E6500" s="215">
        <v>40</v>
      </c>
      <c r="F6500" s="511">
        <f>ROUNDUP(D6500+E6500,1)</f>
        <v>8188.6</v>
      </c>
      <c r="G6500" s="314" t="s">
        <v>8243</v>
      </c>
      <c r="H6500" s="458" t="str">
        <f>B6500</f>
        <v>ION-7400</v>
      </c>
      <c r="I6500" s="452"/>
      <c r="J6500" s="369" t="s">
        <v>1576</v>
      </c>
      <c r="K6500" s="452" t="s">
        <v>741</v>
      </c>
    </row>
    <row r="6501" spans="1:11">
      <c r="A6501" s="369"/>
      <c r="B6501" s="143"/>
      <c r="C6501" s="196"/>
      <c r="D6501" s="215"/>
      <c r="E6501" s="215"/>
      <c r="F6501" s="511"/>
      <c r="G6501" s="314"/>
      <c r="H6501" s="458"/>
      <c r="I6501" s="452"/>
      <c r="J6501" s="369"/>
      <c r="K6501" s="452"/>
    </row>
    <row r="6502" spans="1:11">
      <c r="A6502" s="1362"/>
      <c r="B6502" s="143" t="s">
        <v>13343</v>
      </c>
      <c r="C6502" s="2250">
        <v>1611.43</v>
      </c>
      <c r="D6502" s="2251">
        <f t="shared" ref="D6502:D6507" si="942">C6502*fcl*(1-0.28)/TC</f>
        <v>787.12998643147887</v>
      </c>
      <c r="E6502" s="2251">
        <v>30</v>
      </c>
      <c r="F6502" s="2252">
        <f t="shared" ref="F6502:F6507" si="943">ROUNDUP(D6502+E6502,1)</f>
        <v>817.2</v>
      </c>
      <c r="G6502" s="314" t="s">
        <v>13344</v>
      </c>
      <c r="H6502" s="458" t="s">
        <v>13345</v>
      </c>
      <c r="I6502" s="452"/>
      <c r="J6502" s="369" t="s">
        <v>1576</v>
      </c>
      <c r="K6502" s="452" t="s">
        <v>741</v>
      </c>
    </row>
    <row r="6503" spans="1:11">
      <c r="A6503" s="1362"/>
      <c r="B6503" s="143" t="s">
        <v>1687</v>
      </c>
      <c r="C6503" s="2250">
        <v>2250</v>
      </c>
      <c r="D6503" s="2251">
        <f t="shared" si="942"/>
        <v>1099.0502035278153</v>
      </c>
      <c r="E6503" s="2251">
        <v>30</v>
      </c>
      <c r="F6503" s="2252">
        <f t="shared" si="943"/>
        <v>1129.0999999999999</v>
      </c>
      <c r="G6503" s="314" t="s">
        <v>13346</v>
      </c>
      <c r="H6503" s="458" t="s">
        <v>13347</v>
      </c>
      <c r="I6503" s="452"/>
      <c r="J6503" s="369" t="s">
        <v>1576</v>
      </c>
      <c r="K6503" s="452" t="s">
        <v>741</v>
      </c>
    </row>
    <row r="6504" spans="1:11">
      <c r="A6504" s="1362"/>
      <c r="B6504" s="143" t="s">
        <v>9607</v>
      </c>
      <c r="C6504" s="2250">
        <v>3148.57</v>
      </c>
      <c r="D6504" s="2251">
        <f t="shared" si="942"/>
        <v>1537.9717774762548</v>
      </c>
      <c r="E6504" s="2251">
        <v>30</v>
      </c>
      <c r="F6504" s="2252">
        <f t="shared" si="943"/>
        <v>1568</v>
      </c>
      <c r="G6504" s="314" t="s">
        <v>13348</v>
      </c>
      <c r="H6504" s="458" t="s">
        <v>9036</v>
      </c>
      <c r="I6504" s="452"/>
      <c r="J6504" s="369" t="s">
        <v>1576</v>
      </c>
      <c r="K6504" s="452" t="s">
        <v>741</v>
      </c>
    </row>
    <row r="6505" spans="1:11">
      <c r="A6505" s="1362"/>
      <c r="B6505" s="143" t="s">
        <v>1577</v>
      </c>
      <c r="C6505" s="2250">
        <v>3818.11</v>
      </c>
      <c r="D6505" s="2251">
        <f t="shared" si="942"/>
        <v>1865.0198100407051</v>
      </c>
      <c r="E6505" s="2251">
        <v>30</v>
      </c>
      <c r="F6505" s="2252">
        <f t="shared" si="943"/>
        <v>1895.1</v>
      </c>
      <c r="G6505" s="314" t="s">
        <v>13349</v>
      </c>
      <c r="H6505" s="458" t="s">
        <v>12342</v>
      </c>
      <c r="I6505" s="452"/>
      <c r="J6505" s="369" t="s">
        <v>1576</v>
      </c>
      <c r="K6505" s="452" t="s">
        <v>741</v>
      </c>
    </row>
    <row r="6506" spans="1:11" ht="39.6">
      <c r="A6506" s="1362"/>
      <c r="B6506" s="143" t="s">
        <v>1578</v>
      </c>
      <c r="C6506" s="2250">
        <v>3000</v>
      </c>
      <c r="D6506" s="2251">
        <f>C6506*fcl*(1-0)/TC</f>
        <v>2035.2781546811393</v>
      </c>
      <c r="E6506" s="2251">
        <v>30</v>
      </c>
      <c r="F6506" s="2252">
        <f t="shared" si="943"/>
        <v>2065.2999999999997</v>
      </c>
      <c r="G6506" s="1553" t="s">
        <v>14070</v>
      </c>
      <c r="H6506" s="458" t="s">
        <v>12341</v>
      </c>
      <c r="I6506" s="452"/>
      <c r="J6506" s="369" t="s">
        <v>1576</v>
      </c>
      <c r="K6506" s="452" t="s">
        <v>741</v>
      </c>
    </row>
    <row r="6507" spans="1:11">
      <c r="A6507" s="1362"/>
      <c r="B6507" s="143" t="s">
        <v>13350</v>
      </c>
      <c r="C6507" s="2250">
        <v>17077.5</v>
      </c>
      <c r="D6507" s="2251">
        <f t="shared" si="942"/>
        <v>8341.7910447761169</v>
      </c>
      <c r="E6507" s="2251">
        <v>30</v>
      </c>
      <c r="F6507" s="2252">
        <f t="shared" si="943"/>
        <v>8371.8000000000011</v>
      </c>
      <c r="G6507" s="314" t="s">
        <v>13351</v>
      </c>
      <c r="H6507" s="458" t="s">
        <v>13352</v>
      </c>
      <c r="I6507" s="452"/>
      <c r="J6507" s="369" t="s">
        <v>1576</v>
      </c>
      <c r="K6507" s="452" t="s">
        <v>741</v>
      </c>
    </row>
    <row r="6508" spans="1:11" s="185" customFormat="1">
      <c r="A6508" s="369"/>
      <c r="B6508" s="143"/>
      <c r="C6508" s="196"/>
      <c r="D6508" s="215"/>
      <c r="E6508" s="215"/>
      <c r="F6508" s="511"/>
      <c r="G6508" s="314"/>
      <c r="H6508" s="139"/>
      <c r="I6508" s="452"/>
      <c r="J6508" s="369"/>
      <c r="K6508" s="452"/>
    </row>
    <row r="6509" spans="1:11">
      <c r="A6509" s="1362"/>
      <c r="B6509" s="143" t="s">
        <v>13353</v>
      </c>
      <c r="C6509" s="196">
        <v>355.04</v>
      </c>
      <c r="D6509" s="215">
        <f t="shared" ref="D6509:D6514" si="944">C6509*fcl*(1-0.28)/TC</f>
        <v>173.42523744911801</v>
      </c>
      <c r="E6509" s="215">
        <v>20</v>
      </c>
      <c r="F6509" s="511">
        <f t="shared" ref="F6509:F6514" si="945">ROUNDUP(D6509+E6509,1)</f>
        <v>193.5</v>
      </c>
      <c r="G6509" s="314" t="s">
        <v>13354</v>
      </c>
      <c r="H6509" s="458" t="str">
        <f>B6509</f>
        <v>A9MEM2010</v>
      </c>
      <c r="I6509" s="452"/>
      <c r="J6509" s="369" t="s">
        <v>1576</v>
      </c>
      <c r="K6509" s="452" t="s">
        <v>741</v>
      </c>
    </row>
    <row r="6510" spans="1:11">
      <c r="A6510" s="1362"/>
      <c r="B6510" s="143" t="s">
        <v>13355</v>
      </c>
      <c r="C6510" s="196">
        <v>1125.5999999999999</v>
      </c>
      <c r="D6510" s="215">
        <f t="shared" si="944"/>
        <v>549.81818181818164</v>
      </c>
      <c r="E6510" s="215">
        <v>20</v>
      </c>
      <c r="F6510" s="511">
        <f t="shared" si="945"/>
        <v>569.9</v>
      </c>
      <c r="G6510" s="314" t="s">
        <v>13356</v>
      </c>
      <c r="H6510" s="458" t="s">
        <v>11770</v>
      </c>
      <c r="I6510" s="452"/>
      <c r="J6510" s="369" t="s">
        <v>1576</v>
      </c>
      <c r="K6510" s="452" t="s">
        <v>741</v>
      </c>
    </row>
    <row r="6511" spans="1:11">
      <c r="A6511" s="1362"/>
      <c r="B6511" s="143" t="s">
        <v>11770</v>
      </c>
      <c r="C6511" s="196">
        <v>1479.36</v>
      </c>
      <c r="D6511" s="215">
        <f t="shared" si="944"/>
        <v>722.6181818181816</v>
      </c>
      <c r="E6511" s="215">
        <v>20</v>
      </c>
      <c r="F6511" s="511">
        <f t="shared" si="945"/>
        <v>742.7</v>
      </c>
      <c r="G6511" s="314" t="s">
        <v>13357</v>
      </c>
      <c r="H6511" s="458" t="str">
        <f>B6511</f>
        <v>A9MEM3155</v>
      </c>
      <c r="I6511" s="452"/>
      <c r="J6511" s="369" t="s">
        <v>1576</v>
      </c>
      <c r="K6511" s="452" t="s">
        <v>741</v>
      </c>
    </row>
    <row r="6512" spans="1:11">
      <c r="A6512" s="1362"/>
      <c r="B6512" s="143" t="s">
        <v>13358</v>
      </c>
      <c r="C6512" s="196">
        <v>1194.92</v>
      </c>
      <c r="D6512" s="215">
        <f t="shared" si="944"/>
        <v>583.67869742198093</v>
      </c>
      <c r="E6512" s="215">
        <v>20</v>
      </c>
      <c r="F6512" s="511">
        <f t="shared" si="945"/>
        <v>603.70000000000005</v>
      </c>
      <c r="G6512" s="314" t="s">
        <v>13359</v>
      </c>
      <c r="H6512" s="458" t="s">
        <v>11770</v>
      </c>
      <c r="I6512" s="452"/>
      <c r="J6512" s="369" t="s">
        <v>1576</v>
      </c>
      <c r="K6512" s="452" t="s">
        <v>741</v>
      </c>
    </row>
    <row r="6513" spans="1:14">
      <c r="A6513" s="1362"/>
      <c r="B6513" s="143" t="s">
        <v>13360</v>
      </c>
      <c r="C6513" s="196">
        <v>1331.42</v>
      </c>
      <c r="D6513" s="215">
        <f t="shared" si="944"/>
        <v>650.35440976933512</v>
      </c>
      <c r="E6513" s="215">
        <v>20</v>
      </c>
      <c r="F6513" s="511">
        <f t="shared" si="945"/>
        <v>670.4</v>
      </c>
      <c r="G6513" s="314" t="s">
        <v>13361</v>
      </c>
      <c r="H6513" s="458" t="str">
        <f>B6513</f>
        <v>A9MEM3265</v>
      </c>
      <c r="I6513" s="452"/>
      <c r="J6513" s="369" t="s">
        <v>1576</v>
      </c>
      <c r="K6513" s="452" t="s">
        <v>741</v>
      </c>
    </row>
    <row r="6514" spans="1:14">
      <c r="A6514" s="1362"/>
      <c r="B6514" s="143" t="s">
        <v>13362</v>
      </c>
      <c r="C6514" s="196">
        <v>1548.98</v>
      </c>
      <c r="D6514" s="215">
        <f t="shared" si="944"/>
        <v>756.625237449118</v>
      </c>
      <c r="E6514" s="215">
        <v>20</v>
      </c>
      <c r="F6514" s="511">
        <f t="shared" si="945"/>
        <v>776.7</v>
      </c>
      <c r="G6514" s="314" t="s">
        <v>13363</v>
      </c>
      <c r="H6514" s="458" t="s">
        <v>11770</v>
      </c>
      <c r="I6514" s="452"/>
      <c r="J6514" s="369" t="s">
        <v>1576</v>
      </c>
      <c r="K6514" s="452" t="s">
        <v>741</v>
      </c>
    </row>
    <row r="6515" spans="1:14">
      <c r="A6515" s="369"/>
      <c r="B6515" s="143"/>
      <c r="C6515" s="196"/>
      <c r="D6515" s="215"/>
      <c r="E6515" s="215"/>
      <c r="F6515" s="511"/>
      <c r="G6515" s="314"/>
      <c r="H6515" s="458"/>
      <c r="I6515" s="452"/>
      <c r="J6515" s="369"/>
      <c r="K6515" s="452"/>
    </row>
    <row r="6516" spans="1:14">
      <c r="A6516" s="369"/>
      <c r="B6516" s="143" t="s">
        <v>9038</v>
      </c>
      <c r="C6516" s="196">
        <v>510</v>
      </c>
      <c r="D6516" s="215">
        <f>C6516*fcl*(1-0.28)/TC</f>
        <v>249.1180461329715</v>
      </c>
      <c r="E6516" s="215">
        <v>20</v>
      </c>
      <c r="F6516" s="511">
        <f>ROUNDUP(D6516+E6516,1)</f>
        <v>269.20000000000005</v>
      </c>
      <c r="G6516" s="314" t="s">
        <v>12343</v>
      </c>
      <c r="H6516" s="458" t="s">
        <v>9038</v>
      </c>
      <c r="I6516" s="452"/>
      <c r="J6516" s="369" t="s">
        <v>1576</v>
      </c>
      <c r="K6516" s="452" t="s">
        <v>741</v>
      </c>
    </row>
    <row r="6517" spans="1:14">
      <c r="A6517" s="369"/>
      <c r="B6517" s="143"/>
      <c r="C6517" s="196"/>
      <c r="D6517" s="215"/>
      <c r="E6517" s="215"/>
      <c r="F6517" s="511"/>
      <c r="G6517" s="314"/>
      <c r="H6517" s="458"/>
      <c r="I6517" s="452"/>
      <c r="J6517" s="369"/>
      <c r="K6517" s="452"/>
    </row>
    <row r="6518" spans="1:14" ht="13.8">
      <c r="A6518" s="952"/>
      <c r="B6518" s="1602" t="s">
        <v>9608</v>
      </c>
      <c r="C6518" s="571"/>
      <c r="D6518" s="1409"/>
      <c r="E6518" s="1409"/>
      <c r="F6518" s="511"/>
      <c r="G6518" s="314"/>
      <c r="H6518" s="458"/>
      <c r="I6518" s="452"/>
      <c r="J6518" s="369"/>
      <c r="K6518" s="452"/>
    </row>
    <row r="6519" spans="1:14" ht="13.8">
      <c r="A6519" s="952"/>
      <c r="B6519" s="1603" t="s">
        <v>9609</v>
      </c>
      <c r="C6519" s="1604"/>
      <c r="D6519" s="1605"/>
      <c r="E6519" s="1605"/>
      <c r="F6519" s="511"/>
      <c r="G6519" s="314"/>
      <c r="H6519" s="458"/>
      <c r="I6519" s="452"/>
      <c r="J6519" s="369"/>
      <c r="K6519" s="452"/>
    </row>
    <row r="6520" spans="1:14" ht="13.8">
      <c r="A6520" s="952"/>
      <c r="B6520" s="1603" t="s">
        <v>9610</v>
      </c>
      <c r="C6520" s="1604"/>
      <c r="D6520" s="1605"/>
      <c r="E6520" s="1605"/>
      <c r="F6520" s="511"/>
      <c r="G6520" s="314"/>
      <c r="H6520" s="458"/>
      <c r="I6520" s="452"/>
      <c r="J6520" s="369"/>
      <c r="K6520" s="452"/>
    </row>
    <row r="6521" spans="1:14" ht="13.8">
      <c r="A6521" s="952"/>
      <c r="B6521" s="1603" t="s">
        <v>11656</v>
      </c>
      <c r="C6521" s="1604"/>
      <c r="D6521" s="1605"/>
      <c r="E6521" s="1605"/>
      <c r="F6521" s="511"/>
      <c r="G6521" s="314"/>
      <c r="H6521" s="458"/>
      <c r="I6521" s="452"/>
      <c r="J6521" s="369"/>
      <c r="K6521" s="452"/>
    </row>
    <row r="6522" spans="1:14" ht="13.8">
      <c r="A6522" s="952"/>
      <c r="B6522" s="1603" t="s">
        <v>9611</v>
      </c>
      <c r="C6522" s="1604"/>
      <c r="D6522" s="1605"/>
      <c r="E6522" s="1605"/>
      <c r="F6522" s="511"/>
      <c r="G6522" s="314"/>
      <c r="H6522" s="458"/>
      <c r="I6522" s="452"/>
      <c r="J6522" s="369"/>
      <c r="K6522" s="452"/>
    </row>
    <row r="6523" spans="1:14">
      <c r="B6523" s="194"/>
      <c r="C6523" s="228"/>
      <c r="D6523" s="212"/>
      <c r="E6523" s="108"/>
      <c r="F6523" s="102"/>
      <c r="G6523" s="195"/>
      <c r="H6523" s="194"/>
      <c r="I6523" s="102"/>
      <c r="J6523" s="102"/>
      <c r="K6523" s="102"/>
      <c r="L6523" s="102"/>
      <c r="M6523" s="102"/>
      <c r="N6523" s="102"/>
    </row>
    <row r="6524" spans="1:14">
      <c r="A6524" s="371" t="s">
        <v>9015</v>
      </c>
      <c r="B6524" s="194"/>
      <c r="C6524" s="228"/>
      <c r="D6524" s="212"/>
      <c r="E6524" s="108"/>
      <c r="F6524" s="102"/>
      <c r="G6524" s="195"/>
      <c r="H6524" s="194"/>
      <c r="I6524" s="102"/>
      <c r="J6524" s="102"/>
    </row>
    <row r="6525" spans="1:14">
      <c r="B6525" s="194"/>
      <c r="C6525" s="228"/>
      <c r="D6525" s="212"/>
      <c r="E6525" s="108"/>
      <c r="F6525" s="102"/>
      <c r="G6525" s="195"/>
      <c r="H6525" s="194"/>
      <c r="I6525" s="102"/>
      <c r="J6525" s="102"/>
    </row>
    <row r="6526" spans="1:14" ht="18" customHeight="1">
      <c r="A6526" s="369" t="s">
        <v>9016</v>
      </c>
      <c r="B6526" s="143" t="s">
        <v>9017</v>
      </c>
      <c r="C6526" s="514">
        <v>163.61099999999999</v>
      </c>
      <c r="D6526" s="215">
        <f>C6526*fcl*(1-0)/TC</f>
        <v>110.99796472184529</v>
      </c>
      <c r="E6526" s="215">
        <v>3</v>
      </c>
      <c r="F6526" s="511">
        <f>ROUNDUP(D6526+E6526,1)</f>
        <v>114</v>
      </c>
      <c r="G6526" s="314" t="s">
        <v>9018</v>
      </c>
      <c r="H6526" s="1687" t="str">
        <f>B6526</f>
        <v>A9R71240</v>
      </c>
      <c r="I6526" s="452"/>
      <c r="J6526" s="369" t="s">
        <v>1576</v>
      </c>
      <c r="K6526" s="452" t="s">
        <v>741</v>
      </c>
    </row>
    <row r="6527" spans="1:14" ht="18" customHeight="1">
      <c r="A6527" s="369" t="s">
        <v>9016</v>
      </c>
      <c r="B6527" s="143" t="s">
        <v>9019</v>
      </c>
      <c r="C6527" s="514">
        <v>163.13399999999999</v>
      </c>
      <c r="D6527" s="215">
        <f>C6527*fcl*(1-0)/TC</f>
        <v>110.67435549525099</v>
      </c>
      <c r="E6527" s="215">
        <v>3</v>
      </c>
      <c r="F6527" s="511">
        <f>ROUNDUP(D6527+E6527,1)</f>
        <v>113.69999999999999</v>
      </c>
      <c r="G6527" s="314" t="s">
        <v>9018</v>
      </c>
      <c r="H6527" s="1687" t="str">
        <f>B6527</f>
        <v>A9R71225</v>
      </c>
      <c r="I6527" s="452"/>
      <c r="J6527" s="369" t="s">
        <v>1576</v>
      </c>
      <c r="K6527" s="452" t="s">
        <v>741</v>
      </c>
    </row>
    <row r="6528" spans="1:14" ht="18" customHeight="1">
      <c r="A6528" s="369" t="s">
        <v>9016</v>
      </c>
      <c r="B6528" s="143" t="s">
        <v>9020</v>
      </c>
      <c r="C6528" s="514">
        <v>261.11</v>
      </c>
      <c r="D6528" s="215">
        <f>C6528*fcl*(1-0)/TC</f>
        <v>177.14382632293078</v>
      </c>
      <c r="E6528" s="215">
        <v>9</v>
      </c>
      <c r="F6528" s="511">
        <f>ROUNDUP(D6528+E6528,1)</f>
        <v>186.2</v>
      </c>
      <c r="G6528" s="314" t="s">
        <v>9021</v>
      </c>
      <c r="H6528" s="1687" t="str">
        <f>B6528</f>
        <v>A9R71440</v>
      </c>
      <c r="I6528" s="452"/>
      <c r="J6528" s="369" t="s">
        <v>1576</v>
      </c>
      <c r="K6528" s="452" t="s">
        <v>741</v>
      </c>
    </row>
    <row r="6529" spans="1:11" ht="18" customHeight="1">
      <c r="A6529" s="369" t="s">
        <v>9016</v>
      </c>
      <c r="B6529" s="143" t="s">
        <v>9022</v>
      </c>
      <c r="C6529" s="514">
        <v>235.733</v>
      </c>
      <c r="D6529" s="215">
        <f>C6529*fcl*(1-0)/TC</f>
        <v>159.92740841248303</v>
      </c>
      <c r="E6529" s="215">
        <v>9</v>
      </c>
      <c r="F6529" s="511">
        <f>ROUNDUP(D6529+E6529,1)</f>
        <v>169</v>
      </c>
      <c r="G6529" s="314" t="s">
        <v>9023</v>
      </c>
      <c r="H6529" s="1687" t="str">
        <f>B6529</f>
        <v>A9R71425</v>
      </c>
      <c r="I6529" s="452"/>
      <c r="J6529" s="369" t="s">
        <v>1576</v>
      </c>
      <c r="K6529" s="452" t="s">
        <v>741</v>
      </c>
    </row>
    <row r="6530" spans="1:11" ht="18" customHeight="1">
      <c r="B6530" s="194"/>
      <c r="C6530" s="228"/>
      <c r="D6530" s="212"/>
      <c r="E6530" s="108"/>
      <c r="F6530" s="102"/>
      <c r="G6530" s="195"/>
      <c r="H6530" s="194"/>
      <c r="I6530" s="102"/>
      <c r="J6530" s="102"/>
    </row>
    <row r="6531" spans="1:11" ht="18" customHeight="1">
      <c r="A6531" s="369" t="s">
        <v>9016</v>
      </c>
      <c r="B6531" s="143" t="s">
        <v>9024</v>
      </c>
      <c r="C6531" s="514">
        <v>220.41200000000001</v>
      </c>
      <c r="D6531" s="215">
        <f>C6531*fcl*(1-0)/TC</f>
        <v>149.53324287652643</v>
      </c>
      <c r="E6531" s="215">
        <v>3</v>
      </c>
      <c r="F6531" s="511">
        <f>ROUNDUP(D6531+E6531,1)</f>
        <v>152.6</v>
      </c>
      <c r="G6531" s="314" t="s">
        <v>9025</v>
      </c>
      <c r="H6531" s="1687" t="str">
        <f>B6531</f>
        <v>A9R91240</v>
      </c>
      <c r="I6531" s="452"/>
      <c r="J6531" s="369" t="s">
        <v>1576</v>
      </c>
      <c r="K6531" s="452" t="s">
        <v>741</v>
      </c>
    </row>
    <row r="6532" spans="1:11" ht="18" customHeight="1">
      <c r="A6532" s="369" t="s">
        <v>9016</v>
      </c>
      <c r="B6532" s="143" t="s">
        <v>9026</v>
      </c>
      <c r="C6532" s="514">
        <v>178.303</v>
      </c>
      <c r="D6532" s="215">
        <f>C6532*fcl*(1-0)/TC</f>
        <v>120.9654002713704</v>
      </c>
      <c r="E6532" s="215">
        <v>3</v>
      </c>
      <c r="F6532" s="511">
        <f>ROUNDUP(D6532+E6532,1)</f>
        <v>124</v>
      </c>
      <c r="G6532" s="314" t="s">
        <v>9027</v>
      </c>
      <c r="H6532" s="1687" t="str">
        <f>B6532</f>
        <v>A9R91225</v>
      </c>
      <c r="I6532" s="452"/>
      <c r="J6532" s="369" t="s">
        <v>1576</v>
      </c>
      <c r="K6532" s="452" t="s">
        <v>741</v>
      </c>
    </row>
    <row r="6533" spans="1:11" ht="18" customHeight="1">
      <c r="B6533" s="194"/>
      <c r="C6533" s="228"/>
      <c r="D6533" s="212"/>
      <c r="E6533" s="108"/>
      <c r="F6533" s="102"/>
      <c r="G6533" s="195"/>
      <c r="H6533" s="194"/>
      <c r="I6533" s="102"/>
      <c r="J6533" s="102"/>
    </row>
    <row r="6534" spans="1:11" ht="18" customHeight="1">
      <c r="B6534" s="194"/>
      <c r="C6534" s="228"/>
      <c r="D6534" s="212"/>
      <c r="E6534" s="108"/>
      <c r="F6534" s="102"/>
      <c r="G6534" s="195"/>
      <c r="H6534" s="194"/>
      <c r="I6534" s="102"/>
      <c r="J6534" s="102"/>
    </row>
    <row r="6535" spans="1:11" ht="18" customHeight="1">
      <c r="B6535" s="194"/>
      <c r="C6535" s="228"/>
      <c r="D6535" s="212"/>
      <c r="E6535" s="108"/>
      <c r="F6535" s="102"/>
      <c r="G6535" s="195"/>
      <c r="H6535" s="194"/>
      <c r="I6535" s="102"/>
      <c r="J6535" s="102"/>
    </row>
    <row r="6536" spans="1:11" ht="18" customHeight="1">
      <c r="A6536" s="369" t="s">
        <v>9016</v>
      </c>
      <c r="B6536" s="143" t="s">
        <v>9028</v>
      </c>
      <c r="C6536" s="514">
        <v>1147.923</v>
      </c>
      <c r="D6536" s="215">
        <f>C6536*fcl*(1-0)/TC</f>
        <v>778.78086838534591</v>
      </c>
      <c r="E6536" s="215">
        <v>15</v>
      </c>
      <c r="F6536" s="511">
        <f>ROUNDUP(D6536+E6536,1)</f>
        <v>793.80000000000007</v>
      </c>
      <c r="G6536" s="314" t="s">
        <v>9029</v>
      </c>
      <c r="H6536" s="1687" t="str">
        <f>B6536</f>
        <v>LV430670</v>
      </c>
      <c r="I6536" s="452"/>
      <c r="J6536" s="369" t="s">
        <v>1576</v>
      </c>
      <c r="K6536" s="452" t="s">
        <v>741</v>
      </c>
    </row>
    <row r="6537" spans="1:11" ht="18" customHeight="1">
      <c r="B6537" s="194"/>
      <c r="C6537" s="228"/>
      <c r="D6537" s="212"/>
      <c r="E6537" s="108"/>
      <c r="F6537" s="102"/>
      <c r="G6537" s="195"/>
      <c r="H6537" s="194"/>
      <c r="I6537" s="102"/>
      <c r="J6537" s="102"/>
    </row>
    <row r="6538" spans="1:11" ht="18" customHeight="1">
      <c r="A6538" s="369" t="s">
        <v>9016</v>
      </c>
      <c r="B6538" s="143" t="s">
        <v>9030</v>
      </c>
      <c r="C6538" s="514">
        <v>166.69800000000001</v>
      </c>
      <c r="D6538" s="215">
        <f>C6538*fcl*(1-0)/TC</f>
        <v>113.09226594301219</v>
      </c>
      <c r="E6538" s="215">
        <v>15</v>
      </c>
      <c r="F6538" s="511">
        <f>ROUNDUP(D6538+E6538,1)</f>
        <v>128.1</v>
      </c>
      <c r="G6538" s="1553" t="s">
        <v>9031</v>
      </c>
      <c r="H6538" s="1687" t="str">
        <f>B6538</f>
        <v>EZC100N3080</v>
      </c>
      <c r="I6538" s="452"/>
      <c r="J6538" s="369" t="s">
        <v>1576</v>
      </c>
      <c r="K6538" s="452" t="s">
        <v>741</v>
      </c>
    </row>
    <row r="6539" spans="1:11" ht="18" customHeight="1">
      <c r="A6539" s="369" t="s">
        <v>9016</v>
      </c>
      <c r="B6539" s="143" t="s">
        <v>9032</v>
      </c>
      <c r="C6539" s="514">
        <v>166.69800000000001</v>
      </c>
      <c r="D6539" s="215">
        <f>C6539*fcl*(1-0)/TC</f>
        <v>113.09226594301219</v>
      </c>
      <c r="E6539" s="215">
        <v>15</v>
      </c>
      <c r="F6539" s="511">
        <f>ROUNDUP(D6539+E6539,1)</f>
        <v>128.1</v>
      </c>
      <c r="G6539" s="1553" t="s">
        <v>9033</v>
      </c>
      <c r="H6539" s="1687" t="str">
        <f>B6539</f>
        <v>EZC100N3040</v>
      </c>
      <c r="I6539" s="452"/>
      <c r="J6539" s="369" t="s">
        <v>1576</v>
      </c>
      <c r="K6539" s="452" t="s">
        <v>741</v>
      </c>
    </row>
    <row r="6540" spans="1:11" ht="18" customHeight="1">
      <c r="A6540" s="369" t="s">
        <v>9016</v>
      </c>
      <c r="B6540" s="143" t="s">
        <v>9034</v>
      </c>
      <c r="C6540" s="514">
        <v>166.69800000000001</v>
      </c>
      <c r="D6540" s="215">
        <f>C6540*fcl*(1-0)/TC</f>
        <v>113.09226594301219</v>
      </c>
      <c r="E6540" s="215">
        <v>15</v>
      </c>
      <c r="F6540" s="511">
        <f>ROUNDUP(D6540+E6540,1)</f>
        <v>128.1</v>
      </c>
      <c r="G6540" s="1553" t="s">
        <v>9035</v>
      </c>
      <c r="H6540" s="1687" t="str">
        <f>B6540</f>
        <v>EZC100N3030</v>
      </c>
      <c r="I6540" s="452"/>
      <c r="J6540" s="369" t="s">
        <v>1576</v>
      </c>
      <c r="K6540" s="452" t="s">
        <v>741</v>
      </c>
    </row>
    <row r="6541" spans="1:11" ht="18" customHeight="1">
      <c r="B6541" s="194"/>
      <c r="C6541" s="228"/>
      <c r="D6541" s="212"/>
      <c r="E6541" s="108"/>
      <c r="F6541" s="102"/>
      <c r="G6541" s="195"/>
      <c r="H6541" s="194"/>
      <c r="I6541" s="102"/>
      <c r="J6541" s="102"/>
    </row>
    <row r="6542" spans="1:11" ht="18" customHeight="1">
      <c r="B6542" s="194"/>
      <c r="C6542" s="228"/>
      <c r="D6542" s="212"/>
      <c r="E6542" s="108"/>
      <c r="F6542" s="102"/>
      <c r="G6542" s="195"/>
      <c r="H6542" s="194"/>
      <c r="I6542" s="102"/>
      <c r="J6542" s="102"/>
    </row>
    <row r="6543" spans="1:11" ht="18" customHeight="1">
      <c r="A6543" s="369" t="s">
        <v>9016</v>
      </c>
      <c r="B6543" s="143" t="s">
        <v>9036</v>
      </c>
      <c r="C6543" s="514">
        <v>1897.69</v>
      </c>
      <c r="D6543" s="215">
        <f>C6543*fcl*(1-0)/TC</f>
        <v>1287.4423337856174</v>
      </c>
      <c r="E6543" s="215">
        <v>30</v>
      </c>
      <c r="F6543" s="511">
        <f>ROUNDUP(D6543+E6543,1)</f>
        <v>1317.5</v>
      </c>
      <c r="G6543" s="1553" t="s">
        <v>9037</v>
      </c>
      <c r="H6543" s="1687" t="str">
        <f>B6543</f>
        <v>METSEPM5330</v>
      </c>
      <c r="I6543" s="452"/>
      <c r="J6543" s="369" t="s">
        <v>1576</v>
      </c>
      <c r="K6543" s="452" t="s">
        <v>741</v>
      </c>
    </row>
    <row r="6544" spans="1:11" ht="18" customHeight="1">
      <c r="A6544" s="369" t="s">
        <v>9016</v>
      </c>
      <c r="B6544" s="143" t="s">
        <v>9038</v>
      </c>
      <c r="C6544" s="514">
        <v>346.18799999999999</v>
      </c>
      <c r="D6544" s="215">
        <f>C6544*fcl*(1-0)/TC</f>
        <v>234.86295793758475</v>
      </c>
      <c r="E6544" s="215">
        <v>30</v>
      </c>
      <c r="F6544" s="511">
        <f>ROUNDUP(D6544+E6544,1)</f>
        <v>264.90000000000003</v>
      </c>
      <c r="G6544" s="1553" t="s">
        <v>9039</v>
      </c>
      <c r="H6544" s="1687" t="str">
        <f>B6544</f>
        <v>METSEDM6200</v>
      </c>
      <c r="I6544" s="452"/>
      <c r="J6544" s="369" t="s">
        <v>1576</v>
      </c>
      <c r="K6544" s="452" t="s">
        <v>741</v>
      </c>
    </row>
    <row r="6545" spans="1:14" ht="18" customHeight="1">
      <c r="A6545" s="369" t="s">
        <v>9016</v>
      </c>
      <c r="B6545" s="143" t="s">
        <v>9040</v>
      </c>
      <c r="C6545" s="514">
        <v>9642.35</v>
      </c>
      <c r="D6545" s="215">
        <f>C6545*fcl*(1-0)/TC</f>
        <v>6541.6214382632288</v>
      </c>
      <c r="E6545" s="215">
        <v>30</v>
      </c>
      <c r="F6545" s="511">
        <f>ROUNDUP(D6545+E6545,1)</f>
        <v>6571.7000000000007</v>
      </c>
      <c r="G6545" s="1553" t="s">
        <v>9041</v>
      </c>
      <c r="H6545" s="1687" t="str">
        <f>B6545</f>
        <v>METSEDM8240</v>
      </c>
      <c r="I6545" s="452"/>
      <c r="J6545" s="369" t="s">
        <v>1576</v>
      </c>
      <c r="K6545" s="452" t="s">
        <v>741</v>
      </c>
    </row>
    <row r="6546" spans="1:14" ht="18" customHeight="1">
      <c r="B6546" s="143"/>
      <c r="C6546" s="228"/>
      <c r="D6546" s="212"/>
      <c r="E6546" s="108"/>
      <c r="F6546" s="102"/>
      <c r="G6546" s="195"/>
      <c r="H6546" s="194"/>
      <c r="I6546" s="102"/>
      <c r="J6546" s="102"/>
    </row>
    <row r="6547" spans="1:14" ht="18" customHeight="1">
      <c r="A6547" s="1462"/>
      <c r="B6547" s="143" t="s">
        <v>9042</v>
      </c>
      <c r="C6547" s="514">
        <v>3</v>
      </c>
      <c r="D6547" s="215">
        <f>C6547*fcl*(1-0)/TC</f>
        <v>2.0352781546811394</v>
      </c>
      <c r="E6547" s="215">
        <v>3</v>
      </c>
      <c r="F6547" s="511">
        <f>ROUNDUP(D6547+E6547,1)</f>
        <v>5.0999999999999996</v>
      </c>
      <c r="G6547" s="1553" t="s">
        <v>9043</v>
      </c>
      <c r="H6547" s="1687" t="str">
        <f>B6547</f>
        <v>NSYTRV42</v>
      </c>
      <c r="I6547" s="452"/>
      <c r="J6547" s="369" t="s">
        <v>1576</v>
      </c>
      <c r="K6547" s="452" t="s">
        <v>741</v>
      </c>
    </row>
    <row r="6548" spans="1:14" ht="18" customHeight="1">
      <c r="A6548" s="1462"/>
      <c r="B6548" s="143" t="s">
        <v>9044</v>
      </c>
      <c r="C6548" s="514">
        <v>18</v>
      </c>
      <c r="D6548" s="215">
        <f>C6548*fcl*(1-0)/TC</f>
        <v>12.211668928086837</v>
      </c>
      <c r="E6548" s="215">
        <v>3</v>
      </c>
      <c r="F6548" s="511">
        <f>ROUNDUP(D6548+E6548,1)</f>
        <v>15.299999999999999</v>
      </c>
      <c r="G6548" s="1553" t="s">
        <v>14071</v>
      </c>
      <c r="H6548" s="1687" t="str">
        <f>B6548</f>
        <v>NSYTRAL410</v>
      </c>
      <c r="I6548" s="452"/>
      <c r="J6548" s="369" t="s">
        <v>1576</v>
      </c>
      <c r="K6548" s="452" t="s">
        <v>741</v>
      </c>
    </row>
    <row r="6549" spans="1:14" s="185" customFormat="1" ht="18" customHeight="1">
      <c r="A6549" s="369"/>
      <c r="B6549" s="143"/>
      <c r="C6549" s="196"/>
      <c r="D6549" s="215"/>
      <c r="E6549" s="215"/>
      <c r="F6549" s="511"/>
      <c r="G6549" s="1553"/>
      <c r="H6549" s="139"/>
      <c r="I6549" s="452"/>
      <c r="J6549" s="369"/>
      <c r="K6549" s="452"/>
    </row>
    <row r="6550" spans="1:14" s="185" customFormat="1" ht="18" customHeight="1">
      <c r="A6550" s="369"/>
      <c r="B6550" s="143"/>
      <c r="C6550" s="196"/>
      <c r="D6550" s="215"/>
      <c r="E6550" s="215"/>
      <c r="F6550" s="511"/>
      <c r="G6550" s="1553"/>
      <c r="H6550" s="139"/>
      <c r="I6550" s="452"/>
      <c r="J6550" s="369"/>
      <c r="K6550" s="452"/>
    </row>
    <row r="6551" spans="1:14" ht="18" customHeight="1">
      <c r="B6551" s="194"/>
      <c r="C6551" s="228"/>
      <c r="D6551" s="212"/>
      <c r="E6551" s="108"/>
      <c r="F6551" s="102"/>
      <c r="G6551" s="195"/>
      <c r="H6551" s="194"/>
      <c r="I6551" s="102"/>
      <c r="J6551" s="102"/>
    </row>
    <row r="6552" spans="1:14" ht="18" customHeight="1">
      <c r="A6552" s="1462"/>
      <c r="B6552" s="143" t="s">
        <v>12963</v>
      </c>
      <c r="C6552" s="514">
        <v>54.06</v>
      </c>
      <c r="D6552" s="215">
        <f>C6552*fcl*(1-0)/TC</f>
        <v>36.675712347354136</v>
      </c>
      <c r="E6552" s="215">
        <v>3</v>
      </c>
      <c r="F6552" s="511">
        <f>ROUNDUP(D6552+E6552,1)</f>
        <v>39.700000000000003</v>
      </c>
      <c r="G6552" s="1553" t="s">
        <v>12964</v>
      </c>
      <c r="H6552" s="1687" t="str">
        <f>B6552</f>
        <v>NSYTRV702</v>
      </c>
      <c r="I6552" s="452"/>
      <c r="J6552" s="369" t="s">
        <v>1576</v>
      </c>
      <c r="K6552" s="452" t="s">
        <v>741</v>
      </c>
    </row>
    <row r="6553" spans="1:14" ht="18" customHeight="1">
      <c r="B6553" s="194"/>
      <c r="C6553" s="228"/>
      <c r="D6553" s="212"/>
      <c r="E6553" s="108"/>
      <c r="F6553" s="102"/>
      <c r="G6553" s="195"/>
      <c r="H6553" s="194"/>
      <c r="I6553" s="102"/>
      <c r="J6553" s="102"/>
    </row>
    <row r="6554" spans="1:14" ht="18" customHeight="1">
      <c r="A6554" s="369"/>
      <c r="B6554" s="143" t="s">
        <v>9045</v>
      </c>
      <c r="C6554" s="514">
        <v>1158</v>
      </c>
      <c r="D6554" s="215">
        <f>C6554*fcl*0.8/3.24</f>
        <v>649.83164983164977</v>
      </c>
      <c r="E6554" s="215">
        <v>10</v>
      </c>
      <c r="F6554" s="511">
        <f>ROUNDUP(D6554+E6554,1)</f>
        <v>659.9</v>
      </c>
      <c r="G6554" s="1553" t="s">
        <v>9046</v>
      </c>
      <c r="H6554" s="1687" t="str">
        <f>B6554</f>
        <v>A9XMSB11</v>
      </c>
      <c r="I6554" s="452"/>
      <c r="J6554" s="369" t="s">
        <v>1576</v>
      </c>
      <c r="K6554" s="452" t="s">
        <v>741</v>
      </c>
    </row>
    <row r="6555" spans="1:14" ht="18" customHeight="1">
      <c r="A6555" s="369"/>
      <c r="B6555" s="143" t="s">
        <v>9047</v>
      </c>
      <c r="C6555" s="514">
        <v>66.3</v>
      </c>
      <c r="D6555" s="215">
        <f>C6555*fcl*0.8/3.24</f>
        <v>37.205387205387197</v>
      </c>
      <c r="E6555" s="215">
        <v>5</v>
      </c>
      <c r="F6555" s="511">
        <f>ROUNDUP(D6555+E6555,1)</f>
        <v>42.300000000000004</v>
      </c>
      <c r="G6555" s="1553" t="s">
        <v>9048</v>
      </c>
      <c r="H6555" s="1687" t="str">
        <f>B6555</f>
        <v>A9XCAU06</v>
      </c>
      <c r="I6555" s="452"/>
      <c r="J6555" s="369" t="s">
        <v>1576</v>
      </c>
      <c r="K6555" s="452" t="s">
        <v>741</v>
      </c>
    </row>
    <row r="6556" spans="1:14" ht="18" customHeight="1">
      <c r="B6556" s="194"/>
      <c r="C6556" s="228"/>
      <c r="D6556" s="212"/>
      <c r="E6556" s="108"/>
      <c r="F6556" s="102"/>
      <c r="G6556" s="195"/>
      <c r="H6556" s="194"/>
      <c r="I6556" s="102"/>
      <c r="J6556" s="102"/>
    </row>
    <row r="6557" spans="1:14" s="185" customFormat="1" ht="15" customHeight="1">
      <c r="B6557" s="194"/>
      <c r="C6557" s="228"/>
      <c r="D6557" s="212"/>
      <c r="E6557" s="108"/>
      <c r="F6557" s="102"/>
      <c r="G6557" s="195"/>
      <c r="H6557" s="194"/>
      <c r="I6557" s="102"/>
      <c r="J6557" s="102"/>
    </row>
    <row r="6558" spans="1:14" s="185" customFormat="1">
      <c r="B6558" s="194"/>
      <c r="C6558" s="228"/>
      <c r="D6558" s="212"/>
      <c r="E6558" s="108"/>
      <c r="F6558" s="102"/>
      <c r="G6558" s="195"/>
      <c r="H6558" s="194"/>
      <c r="I6558" s="102"/>
      <c r="J6558" s="102"/>
      <c r="K6558" s="102"/>
      <c r="L6558" s="102"/>
      <c r="M6558" s="102"/>
      <c r="N6558" s="102"/>
    </row>
    <row r="6559" spans="1:14" s="185" customFormat="1" ht="28.2">
      <c r="B6559" s="1552" t="s">
        <v>10594</v>
      </c>
      <c r="C6559" s="228"/>
      <c r="D6559" s="212"/>
      <c r="E6559" s="108"/>
      <c r="F6559" s="102"/>
      <c r="G6559" s="195"/>
      <c r="H6559" s="194"/>
      <c r="I6559" s="102"/>
      <c r="J6559" s="102"/>
      <c r="K6559" s="102"/>
      <c r="L6559" s="102"/>
      <c r="M6559" s="102"/>
      <c r="N6559" s="102"/>
    </row>
    <row r="6560" spans="1:14" s="185" customFormat="1">
      <c r="B6560" s="194"/>
      <c r="C6560" s="228"/>
      <c r="D6560" s="212"/>
      <c r="E6560" s="108"/>
      <c r="F6560" s="102"/>
      <c r="G6560" s="195"/>
      <c r="H6560" s="194"/>
      <c r="I6560" s="102"/>
      <c r="J6560" s="102"/>
      <c r="K6560" s="102"/>
      <c r="L6560" s="102"/>
      <c r="M6560" s="102"/>
      <c r="N6560" s="102"/>
    </row>
    <row r="6561" spans="2:10">
      <c r="B6561" s="26" t="s">
        <v>10316</v>
      </c>
      <c r="C6561" s="2366">
        <v>102.02222222222221</v>
      </c>
      <c r="D6561" s="230">
        <f t="shared" ref="D6561:D6569" si="946">C6561*(1-VLOOKUP(I6561,descuentos,6,FALSE))*fcl/IF(dol_sol="dólar", TC,1)</f>
        <v>69.214533393637851</v>
      </c>
      <c r="E6561" s="203">
        <v>15</v>
      </c>
      <c r="F6561" s="1646">
        <f t="shared" ref="F6561:F6569" si="947">D6561+E6561</f>
        <v>84.214533393637851</v>
      </c>
      <c r="G6561" s="314" t="s">
        <v>11771</v>
      </c>
      <c r="H6561" s="1648">
        <v>27050</v>
      </c>
      <c r="I6561" s="434" t="s">
        <v>10295</v>
      </c>
      <c r="J6561" s="435" t="s">
        <v>10594</v>
      </c>
    </row>
    <row r="6562" spans="2:10">
      <c r="B6562" s="26" t="s">
        <v>10317</v>
      </c>
      <c r="C6562" s="2366">
        <v>102.02222222222221</v>
      </c>
      <c r="D6562" s="230">
        <f t="shared" si="946"/>
        <v>69.214533393637851</v>
      </c>
      <c r="E6562" s="203">
        <v>15</v>
      </c>
      <c r="F6562" s="1646">
        <f t="shared" si="947"/>
        <v>84.214533393637851</v>
      </c>
      <c r="G6562" s="314" t="s">
        <v>11772</v>
      </c>
      <c r="H6562" s="1648" t="s">
        <v>10318</v>
      </c>
      <c r="I6562" s="434" t="s">
        <v>10295</v>
      </c>
      <c r="J6562" s="435" t="s">
        <v>10594</v>
      </c>
    </row>
    <row r="6563" spans="2:10">
      <c r="B6563" s="26" t="s">
        <v>10319</v>
      </c>
      <c r="C6563" s="2366">
        <v>102.02222222222221</v>
      </c>
      <c r="D6563" s="230">
        <f t="shared" si="946"/>
        <v>69.214533393637851</v>
      </c>
      <c r="E6563" s="203">
        <v>15</v>
      </c>
      <c r="F6563" s="1646">
        <f t="shared" si="947"/>
        <v>84.214533393637851</v>
      </c>
      <c r="G6563" s="314" t="s">
        <v>11773</v>
      </c>
      <c r="H6563" s="1648" t="s">
        <v>10320</v>
      </c>
      <c r="I6563" s="434" t="s">
        <v>10295</v>
      </c>
      <c r="J6563" s="435" t="s">
        <v>10594</v>
      </c>
    </row>
    <row r="6564" spans="2:10">
      <c r="B6564" s="26" t="s">
        <v>10321</v>
      </c>
      <c r="C6564" s="2366">
        <v>102.02222222222221</v>
      </c>
      <c r="D6564" s="230">
        <f t="shared" si="946"/>
        <v>69.214533393637851</v>
      </c>
      <c r="E6564" s="203">
        <v>15</v>
      </c>
      <c r="F6564" s="1646">
        <f t="shared" si="947"/>
        <v>84.214533393637851</v>
      </c>
      <c r="G6564" s="314" t="s">
        <v>11774</v>
      </c>
      <c r="H6564" s="1648" t="s">
        <v>10322</v>
      </c>
      <c r="I6564" s="434" t="s">
        <v>10295</v>
      </c>
      <c r="J6564" s="435" t="s">
        <v>10594</v>
      </c>
    </row>
    <row r="6565" spans="2:10">
      <c r="B6565" s="26" t="s">
        <v>10323</v>
      </c>
      <c r="C6565" s="2366">
        <v>102.02222222222221</v>
      </c>
      <c r="D6565" s="230">
        <f t="shared" si="946"/>
        <v>69.214533393637851</v>
      </c>
      <c r="E6565" s="203">
        <v>15</v>
      </c>
      <c r="F6565" s="1646">
        <f t="shared" si="947"/>
        <v>84.214533393637851</v>
      </c>
      <c r="G6565" s="314" t="s">
        <v>11775</v>
      </c>
      <c r="H6565" s="1648" t="s">
        <v>10324</v>
      </c>
      <c r="I6565" s="434" t="s">
        <v>10295</v>
      </c>
      <c r="J6565" s="435" t="s">
        <v>10594</v>
      </c>
    </row>
    <row r="6566" spans="2:10">
      <c r="B6566" s="26" t="s">
        <v>10325</v>
      </c>
      <c r="C6566" s="2366">
        <v>108.95555555555555</v>
      </c>
      <c r="D6566" s="230">
        <f t="shared" si="946"/>
        <v>73.918287351123155</v>
      </c>
      <c r="E6566" s="203">
        <v>15</v>
      </c>
      <c r="F6566" s="1646">
        <f t="shared" si="947"/>
        <v>88.918287351123155</v>
      </c>
      <c r="G6566" s="314" t="s">
        <v>11776</v>
      </c>
      <c r="H6566" s="1648" t="s">
        <v>10326</v>
      </c>
      <c r="I6566" s="434" t="s">
        <v>10295</v>
      </c>
      <c r="J6566" s="435" t="s">
        <v>10594</v>
      </c>
    </row>
    <row r="6567" spans="2:10">
      <c r="B6567" s="26" t="s">
        <v>10327</v>
      </c>
      <c r="C6567" s="2366">
        <v>108.95555555555555</v>
      </c>
      <c r="D6567" s="230">
        <f t="shared" si="946"/>
        <v>73.918287351123155</v>
      </c>
      <c r="E6567" s="203">
        <v>15</v>
      </c>
      <c r="F6567" s="1646">
        <f t="shared" si="947"/>
        <v>88.918287351123155</v>
      </c>
      <c r="G6567" s="314" t="s">
        <v>11777</v>
      </c>
      <c r="H6567" s="1648" t="s">
        <v>10328</v>
      </c>
      <c r="I6567" s="434" t="s">
        <v>10295</v>
      </c>
      <c r="J6567" s="435" t="s">
        <v>10594</v>
      </c>
    </row>
    <row r="6568" spans="2:10">
      <c r="B6568" s="26" t="s">
        <v>10329</v>
      </c>
      <c r="C6568" s="2366">
        <v>120.3</v>
      </c>
      <c r="D6568" s="230">
        <f t="shared" si="946"/>
        <v>81.614654002713692</v>
      </c>
      <c r="E6568" s="203">
        <v>15</v>
      </c>
      <c r="F6568" s="1646">
        <f t="shared" si="947"/>
        <v>96.614654002713692</v>
      </c>
      <c r="G6568" s="314" t="s">
        <v>11778</v>
      </c>
      <c r="H6568" s="1648" t="s">
        <v>10330</v>
      </c>
      <c r="I6568" s="434" t="s">
        <v>10295</v>
      </c>
      <c r="J6568" s="435" t="s">
        <v>10594</v>
      </c>
    </row>
    <row r="6569" spans="2:10">
      <c r="B6569" s="26" t="s">
        <v>10331</v>
      </c>
      <c r="C6569" s="2366">
        <v>120.3</v>
      </c>
      <c r="D6569" s="230">
        <f t="shared" si="946"/>
        <v>81.614654002713692</v>
      </c>
      <c r="E6569" s="203">
        <v>15</v>
      </c>
      <c r="F6569" s="1646">
        <f t="shared" si="947"/>
        <v>96.614654002713692</v>
      </c>
      <c r="G6569" s="314" t="s">
        <v>11779</v>
      </c>
      <c r="H6569" s="1648" t="s">
        <v>10332</v>
      </c>
      <c r="I6569" s="434" t="s">
        <v>10295</v>
      </c>
      <c r="J6569" s="435" t="s">
        <v>10594</v>
      </c>
    </row>
    <row r="6570" spans="2:10">
      <c r="B6570" s="26"/>
      <c r="C6570" s="2366"/>
      <c r="D6570" s="1649"/>
      <c r="E6570" s="203"/>
      <c r="F6570" s="1646"/>
      <c r="G6570" s="195"/>
      <c r="H6570" s="1648"/>
      <c r="I6570" s="434"/>
      <c r="J6570" s="435"/>
    </row>
    <row r="6571" spans="2:10">
      <c r="B6571" s="26" t="s">
        <v>10333</v>
      </c>
      <c r="C6571" s="2366">
        <v>128.47777777777776</v>
      </c>
      <c r="D6571" s="230">
        <f t="shared" ref="D6571:D6579" si="948">C6571*(1-VLOOKUP(I6571,descuentos,6,FALSE))*fcl/IF(dol_sol="dólar", TC,1)</f>
        <v>87.16267149102967</v>
      </c>
      <c r="E6571" s="203">
        <v>15</v>
      </c>
      <c r="F6571" s="1646">
        <f t="shared" ref="F6571:F6579" si="949">D6571+E6571</f>
        <v>102.16267149102967</v>
      </c>
      <c r="G6571" s="314" t="s">
        <v>11780</v>
      </c>
      <c r="H6571" s="1648">
        <v>27000</v>
      </c>
      <c r="I6571" s="434" t="s">
        <v>10295</v>
      </c>
      <c r="J6571" s="435" t="s">
        <v>10594</v>
      </c>
    </row>
    <row r="6572" spans="2:10">
      <c r="B6572" s="26" t="s">
        <v>10334</v>
      </c>
      <c r="C6572" s="2366">
        <v>128.47777777777776</v>
      </c>
      <c r="D6572" s="230">
        <f t="shared" si="948"/>
        <v>87.16267149102967</v>
      </c>
      <c r="E6572" s="203">
        <v>15</v>
      </c>
      <c r="F6572" s="1646">
        <f t="shared" si="949"/>
        <v>102.16267149102967</v>
      </c>
      <c r="G6572" s="314" t="s">
        <v>11781</v>
      </c>
      <c r="H6572" s="1648" t="s">
        <v>10335</v>
      </c>
      <c r="I6572" s="434" t="s">
        <v>10295</v>
      </c>
      <c r="J6572" s="435" t="s">
        <v>10594</v>
      </c>
    </row>
    <row r="6573" spans="2:10">
      <c r="B6573" s="26" t="s">
        <v>10336</v>
      </c>
      <c r="C6573" s="2366">
        <v>128.47777777777776</v>
      </c>
      <c r="D6573" s="230">
        <f t="shared" si="948"/>
        <v>87.16267149102967</v>
      </c>
      <c r="E6573" s="203">
        <v>15</v>
      </c>
      <c r="F6573" s="1646">
        <f t="shared" si="949"/>
        <v>102.16267149102967</v>
      </c>
      <c r="G6573" s="314" t="s">
        <v>11782</v>
      </c>
      <c r="H6573" s="1648" t="s">
        <v>10337</v>
      </c>
      <c r="I6573" s="434" t="s">
        <v>10295</v>
      </c>
      <c r="J6573" s="435" t="s">
        <v>10594</v>
      </c>
    </row>
    <row r="6574" spans="2:10">
      <c r="B6574" s="26" t="s">
        <v>10338</v>
      </c>
      <c r="C6574" s="2366">
        <v>128.47777777777776</v>
      </c>
      <c r="D6574" s="230">
        <f t="shared" si="948"/>
        <v>87.16267149102967</v>
      </c>
      <c r="E6574" s="203">
        <v>15</v>
      </c>
      <c r="F6574" s="1646">
        <f t="shared" si="949"/>
        <v>102.16267149102967</v>
      </c>
      <c r="G6574" s="314" t="s">
        <v>11783</v>
      </c>
      <c r="H6574" s="1648" t="s">
        <v>10339</v>
      </c>
      <c r="I6574" s="434" t="s">
        <v>10295</v>
      </c>
      <c r="J6574" s="435" t="s">
        <v>10594</v>
      </c>
    </row>
    <row r="6575" spans="2:10">
      <c r="B6575" s="26" t="s">
        <v>10340</v>
      </c>
      <c r="C6575" s="2366">
        <v>128.47777777777776</v>
      </c>
      <c r="D6575" s="230">
        <f t="shared" si="948"/>
        <v>87.16267149102967</v>
      </c>
      <c r="E6575" s="203">
        <v>15</v>
      </c>
      <c r="F6575" s="1646">
        <f t="shared" si="949"/>
        <v>102.16267149102967</v>
      </c>
      <c r="G6575" s="314" t="s">
        <v>11784</v>
      </c>
      <c r="H6575" s="1648" t="s">
        <v>10341</v>
      </c>
      <c r="I6575" s="434" t="s">
        <v>10295</v>
      </c>
      <c r="J6575" s="435" t="s">
        <v>10594</v>
      </c>
    </row>
    <row r="6576" spans="2:10">
      <c r="B6576" s="26" t="s">
        <v>10342</v>
      </c>
      <c r="C6576" s="2366">
        <v>128.47777777777776</v>
      </c>
      <c r="D6576" s="230">
        <f t="shared" si="948"/>
        <v>87.16267149102967</v>
      </c>
      <c r="E6576" s="203">
        <v>15</v>
      </c>
      <c r="F6576" s="1646">
        <f t="shared" si="949"/>
        <v>102.16267149102967</v>
      </c>
      <c r="G6576" s="314" t="s">
        <v>11785</v>
      </c>
      <c r="H6576" s="1648" t="s">
        <v>10343</v>
      </c>
      <c r="I6576" s="434" t="s">
        <v>10295</v>
      </c>
      <c r="J6576" s="435" t="s">
        <v>10594</v>
      </c>
    </row>
    <row r="6577" spans="2:10">
      <c r="B6577" s="26" t="s">
        <v>10344</v>
      </c>
      <c r="C6577" s="2366">
        <v>128.47777777777776</v>
      </c>
      <c r="D6577" s="230">
        <f t="shared" si="948"/>
        <v>87.16267149102967</v>
      </c>
      <c r="E6577" s="203">
        <v>15</v>
      </c>
      <c r="F6577" s="1646">
        <f t="shared" si="949"/>
        <v>102.16267149102967</v>
      </c>
      <c r="G6577" s="314" t="s">
        <v>11786</v>
      </c>
      <c r="H6577" s="1648" t="s">
        <v>10345</v>
      </c>
      <c r="I6577" s="434" t="s">
        <v>10295</v>
      </c>
      <c r="J6577" s="435" t="s">
        <v>10594</v>
      </c>
    </row>
    <row r="6578" spans="2:10">
      <c r="B6578" s="26" t="s">
        <v>10346</v>
      </c>
      <c r="C6578" s="2366">
        <v>128.47777777777776</v>
      </c>
      <c r="D6578" s="230">
        <f t="shared" si="948"/>
        <v>87.16267149102967</v>
      </c>
      <c r="E6578" s="203">
        <v>15</v>
      </c>
      <c r="F6578" s="1646">
        <f t="shared" si="949"/>
        <v>102.16267149102967</v>
      </c>
      <c r="G6578" s="314" t="s">
        <v>11787</v>
      </c>
      <c r="H6578" s="1648" t="s">
        <v>10347</v>
      </c>
      <c r="I6578" s="434" t="s">
        <v>10295</v>
      </c>
      <c r="J6578" s="435" t="s">
        <v>10594</v>
      </c>
    </row>
    <row r="6579" spans="2:10">
      <c r="B6579" s="26" t="s">
        <v>10348</v>
      </c>
      <c r="C6579" s="2366">
        <v>135.41111111111113</v>
      </c>
      <c r="D6579" s="230">
        <f t="shared" si="948"/>
        <v>91.866425448514988</v>
      </c>
      <c r="E6579" s="203">
        <v>15</v>
      </c>
      <c r="F6579" s="1646">
        <f t="shared" si="949"/>
        <v>106.86642544851499</v>
      </c>
      <c r="G6579" s="314" t="s">
        <v>11788</v>
      </c>
      <c r="H6579" s="1648" t="s">
        <v>10349</v>
      </c>
      <c r="I6579" s="434" t="s">
        <v>10295</v>
      </c>
      <c r="J6579" s="435" t="s">
        <v>10594</v>
      </c>
    </row>
    <row r="6580" spans="2:10">
      <c r="B6580" s="26"/>
      <c r="C6580" s="2366"/>
      <c r="D6580" s="1649"/>
      <c r="E6580" s="203"/>
      <c r="F6580" s="1646"/>
      <c r="G6580" s="195"/>
      <c r="H6580" s="1648"/>
      <c r="I6580" s="434"/>
      <c r="J6580" s="435"/>
    </row>
    <row r="6581" spans="2:10">
      <c r="B6581" s="26" t="s">
        <v>10350</v>
      </c>
      <c r="C6581" s="2366">
        <v>141.0888888888889</v>
      </c>
      <c r="D6581" s="230">
        <f t="shared" ref="D6581:D6589" si="950">C6581*(1-VLOOKUP(I6581,descuentos,6,FALSE))*fcl/IF(dol_sol="dólar", TC,1)</f>
        <v>95.71837780793004</v>
      </c>
      <c r="E6581" s="203">
        <v>15</v>
      </c>
      <c r="F6581" s="1646">
        <f t="shared" ref="F6581:F6589" si="951">D6581+E6581</f>
        <v>110.71837780793004</v>
      </c>
      <c r="G6581" s="314" t="s">
        <v>11789</v>
      </c>
      <c r="H6581" s="1648">
        <v>27060</v>
      </c>
      <c r="I6581" s="434" t="s">
        <v>10295</v>
      </c>
      <c r="J6581" s="435" t="s">
        <v>10594</v>
      </c>
    </row>
    <row r="6582" spans="2:10">
      <c r="B6582" s="26" t="s">
        <v>10351</v>
      </c>
      <c r="C6582" s="2366">
        <v>141.0888888888889</v>
      </c>
      <c r="D6582" s="230">
        <f t="shared" si="950"/>
        <v>95.71837780793004</v>
      </c>
      <c r="E6582" s="203">
        <v>15</v>
      </c>
      <c r="F6582" s="1646">
        <f t="shared" si="951"/>
        <v>110.71837780793004</v>
      </c>
      <c r="G6582" s="314" t="s">
        <v>11790</v>
      </c>
      <c r="H6582" s="1648" t="s">
        <v>10352</v>
      </c>
      <c r="I6582" s="434" t="s">
        <v>10295</v>
      </c>
      <c r="J6582" s="435" t="s">
        <v>10594</v>
      </c>
    </row>
    <row r="6583" spans="2:10">
      <c r="B6583" s="26" t="s">
        <v>10353</v>
      </c>
      <c r="C6583" s="2366">
        <v>141.0888888888889</v>
      </c>
      <c r="D6583" s="230">
        <f t="shared" si="950"/>
        <v>95.71837780793004</v>
      </c>
      <c r="E6583" s="203">
        <v>15</v>
      </c>
      <c r="F6583" s="1646">
        <f t="shared" si="951"/>
        <v>110.71837780793004</v>
      </c>
      <c r="G6583" s="314" t="s">
        <v>11791</v>
      </c>
      <c r="H6583" s="1648" t="s">
        <v>10354</v>
      </c>
      <c r="I6583" s="434" t="s">
        <v>10295</v>
      </c>
      <c r="J6583" s="435" t="s">
        <v>10594</v>
      </c>
    </row>
    <row r="6584" spans="2:10">
      <c r="B6584" s="26" t="s">
        <v>10355</v>
      </c>
      <c r="C6584" s="2366">
        <v>141.0888888888889</v>
      </c>
      <c r="D6584" s="230">
        <f t="shared" si="950"/>
        <v>95.71837780793004</v>
      </c>
      <c r="E6584" s="203">
        <v>15</v>
      </c>
      <c r="F6584" s="1646">
        <f t="shared" si="951"/>
        <v>110.71837780793004</v>
      </c>
      <c r="G6584" s="314" t="s">
        <v>11792</v>
      </c>
      <c r="H6584" s="1648" t="s">
        <v>10356</v>
      </c>
      <c r="I6584" s="434" t="s">
        <v>10295</v>
      </c>
      <c r="J6584" s="435" t="s">
        <v>10594</v>
      </c>
    </row>
    <row r="6585" spans="2:10">
      <c r="B6585" s="26" t="s">
        <v>10357</v>
      </c>
      <c r="C6585" s="2366">
        <v>141.0888888888889</v>
      </c>
      <c r="D6585" s="230">
        <f t="shared" si="950"/>
        <v>95.71837780793004</v>
      </c>
      <c r="E6585" s="203">
        <v>15</v>
      </c>
      <c r="F6585" s="1646">
        <f t="shared" si="951"/>
        <v>110.71837780793004</v>
      </c>
      <c r="G6585" s="314" t="s">
        <v>11793</v>
      </c>
      <c r="H6585" s="1648" t="s">
        <v>10358</v>
      </c>
      <c r="I6585" s="434" t="s">
        <v>10295</v>
      </c>
      <c r="J6585" s="435" t="s">
        <v>10594</v>
      </c>
    </row>
    <row r="6586" spans="2:10">
      <c r="B6586" s="26" t="s">
        <v>10359</v>
      </c>
      <c r="C6586" s="2366">
        <v>141.0888888888889</v>
      </c>
      <c r="D6586" s="230">
        <f t="shared" si="950"/>
        <v>95.71837780793004</v>
      </c>
      <c r="E6586" s="203">
        <v>15</v>
      </c>
      <c r="F6586" s="1646">
        <f t="shared" si="951"/>
        <v>110.71837780793004</v>
      </c>
      <c r="G6586" s="314" t="s">
        <v>11794</v>
      </c>
      <c r="H6586" s="1648" t="s">
        <v>10360</v>
      </c>
      <c r="I6586" s="434" t="s">
        <v>10295</v>
      </c>
      <c r="J6586" s="435" t="s">
        <v>10594</v>
      </c>
    </row>
    <row r="6587" spans="2:10">
      <c r="B6587" s="26" t="s">
        <v>10361</v>
      </c>
      <c r="C6587" s="2366">
        <v>141.0888888888889</v>
      </c>
      <c r="D6587" s="230">
        <f t="shared" si="950"/>
        <v>95.71837780793004</v>
      </c>
      <c r="E6587" s="203">
        <v>15</v>
      </c>
      <c r="F6587" s="1646">
        <f t="shared" si="951"/>
        <v>110.71837780793004</v>
      </c>
      <c r="G6587" s="314" t="s">
        <v>11795</v>
      </c>
      <c r="H6587" s="1648" t="s">
        <v>10362</v>
      </c>
      <c r="I6587" s="434" t="s">
        <v>10295</v>
      </c>
      <c r="J6587" s="435" t="s">
        <v>10594</v>
      </c>
    </row>
    <row r="6588" spans="2:10">
      <c r="B6588" s="26" t="s">
        <v>10363</v>
      </c>
      <c r="C6588" s="2366">
        <v>141.0888888888889</v>
      </c>
      <c r="D6588" s="230">
        <f t="shared" si="950"/>
        <v>95.71837780793004</v>
      </c>
      <c r="E6588" s="203">
        <v>15</v>
      </c>
      <c r="F6588" s="1646">
        <f t="shared" si="951"/>
        <v>110.71837780793004</v>
      </c>
      <c r="G6588" s="314" t="s">
        <v>11796</v>
      </c>
      <c r="H6588" s="1648" t="s">
        <v>10364</v>
      </c>
      <c r="I6588" s="434" t="s">
        <v>10295</v>
      </c>
      <c r="J6588" s="435" t="s">
        <v>10594</v>
      </c>
    </row>
    <row r="6589" spans="2:10">
      <c r="B6589" s="26" t="s">
        <v>10365</v>
      </c>
      <c r="C6589" s="2366">
        <v>153.67777777777778</v>
      </c>
      <c r="D6589" s="230">
        <f t="shared" si="950"/>
        <v>104.25900799035126</v>
      </c>
      <c r="E6589" s="203">
        <v>15</v>
      </c>
      <c r="F6589" s="1646">
        <f t="shared" si="951"/>
        <v>119.25900799035126</v>
      </c>
      <c r="G6589" s="314" t="s">
        <v>11797</v>
      </c>
      <c r="H6589" s="1648" t="s">
        <v>10366</v>
      </c>
      <c r="I6589" s="434" t="s">
        <v>10295</v>
      </c>
      <c r="J6589" s="435" t="s">
        <v>10594</v>
      </c>
    </row>
    <row r="6590" spans="2:10">
      <c r="B6590" s="26"/>
      <c r="C6590" s="2366"/>
      <c r="D6590" s="1649"/>
      <c r="E6590" s="203"/>
      <c r="F6590" s="1646"/>
      <c r="G6590" s="314"/>
      <c r="H6590" s="1648"/>
      <c r="I6590" s="434"/>
      <c r="J6590" s="435"/>
    </row>
    <row r="6591" spans="2:10">
      <c r="B6591" s="26" t="s">
        <v>10367</v>
      </c>
      <c r="C6591" s="2366">
        <v>230.52222222222221</v>
      </c>
      <c r="D6591" s="230">
        <f t="shared" ref="D6591:D6596" si="952">C6591*(1-VLOOKUP(I6591,descuentos,6,FALSE))*fcl/IF(dol_sol="dólar", TC,1)</f>
        <v>156.39228101914665</v>
      </c>
      <c r="E6591" s="203">
        <v>15</v>
      </c>
      <c r="F6591" s="1646">
        <f t="shared" ref="F6591:F6596" si="953">D6591+E6591</f>
        <v>171.39228101914665</v>
      </c>
      <c r="G6591" s="314" t="s">
        <v>11798</v>
      </c>
      <c r="H6591" s="1648">
        <v>27112</v>
      </c>
      <c r="I6591" s="434" t="s">
        <v>10295</v>
      </c>
      <c r="J6591" s="435" t="s">
        <v>10594</v>
      </c>
    </row>
    <row r="6592" spans="2:10">
      <c r="B6592" s="26" t="s">
        <v>10368</v>
      </c>
      <c r="C6592" s="2366">
        <v>230.52222222222221</v>
      </c>
      <c r="D6592" s="230">
        <f t="shared" si="952"/>
        <v>156.39228101914665</v>
      </c>
      <c r="E6592" s="203">
        <v>15</v>
      </c>
      <c r="F6592" s="1646">
        <f t="shared" si="953"/>
        <v>171.39228101914665</v>
      </c>
      <c r="G6592" s="314" t="s">
        <v>11799</v>
      </c>
      <c r="H6592" s="1648" t="s">
        <v>10369</v>
      </c>
      <c r="I6592" s="434" t="s">
        <v>10295</v>
      </c>
      <c r="J6592" s="435" t="s">
        <v>10594</v>
      </c>
    </row>
    <row r="6593" spans="1:11">
      <c r="B6593" s="26" t="s">
        <v>10370</v>
      </c>
      <c r="C6593" s="2366">
        <v>275.23333333333335</v>
      </c>
      <c r="D6593" s="230">
        <f t="shared" si="952"/>
        <v>186.72546359113522</v>
      </c>
      <c r="E6593" s="203">
        <v>15</v>
      </c>
      <c r="F6593" s="1646">
        <f t="shared" si="953"/>
        <v>201.72546359113522</v>
      </c>
      <c r="G6593" s="314" t="s">
        <v>12344</v>
      </c>
      <c r="H6593" s="1648" t="s">
        <v>10371</v>
      </c>
      <c r="I6593" s="434" t="s">
        <v>10295</v>
      </c>
      <c r="J6593" s="435" t="s">
        <v>10594</v>
      </c>
    </row>
    <row r="6594" spans="1:11">
      <c r="B6594" s="26" t="s">
        <v>10372</v>
      </c>
      <c r="C6594" s="2366">
        <v>279.01111111111112</v>
      </c>
      <c r="D6594" s="230">
        <f t="shared" si="952"/>
        <v>189.28840645258552</v>
      </c>
      <c r="E6594" s="203">
        <v>15</v>
      </c>
      <c r="F6594" s="1646">
        <f t="shared" si="953"/>
        <v>204.28840645258552</v>
      </c>
      <c r="G6594" s="314" t="s">
        <v>11800</v>
      </c>
      <c r="H6594" s="1648" t="s">
        <v>10373</v>
      </c>
      <c r="I6594" s="434" t="s">
        <v>10295</v>
      </c>
      <c r="J6594" s="435" t="s">
        <v>10594</v>
      </c>
    </row>
    <row r="6595" spans="1:11">
      <c r="B6595" s="26" t="s">
        <v>10374</v>
      </c>
      <c r="C6595" s="2366">
        <v>287.83333333333331</v>
      </c>
      <c r="D6595" s="230">
        <f t="shared" si="952"/>
        <v>195.27363184079596</v>
      </c>
      <c r="E6595" s="203">
        <v>15</v>
      </c>
      <c r="F6595" s="1646">
        <f t="shared" si="953"/>
        <v>210.27363184079596</v>
      </c>
      <c r="G6595" s="314" t="s">
        <v>11801</v>
      </c>
      <c r="H6595" s="1648" t="s">
        <v>10375</v>
      </c>
      <c r="I6595" s="434" t="s">
        <v>10295</v>
      </c>
      <c r="J6595" s="435" t="s">
        <v>10594</v>
      </c>
    </row>
    <row r="6596" spans="1:11">
      <c r="B6596" s="26" t="s">
        <v>10376</v>
      </c>
      <c r="C6596" s="2366">
        <v>294.13333333333338</v>
      </c>
      <c r="D6596" s="230">
        <f t="shared" si="952"/>
        <v>199.54771596562642</v>
      </c>
      <c r="E6596" s="203">
        <v>15</v>
      </c>
      <c r="F6596" s="1646">
        <f t="shared" si="953"/>
        <v>214.54771596562642</v>
      </c>
      <c r="G6596" s="314" t="s">
        <v>11802</v>
      </c>
      <c r="H6596" s="1648" t="s">
        <v>10377</v>
      </c>
      <c r="I6596" s="434" t="s">
        <v>10295</v>
      </c>
      <c r="J6596" s="435" t="s">
        <v>10594</v>
      </c>
    </row>
    <row r="6597" spans="1:11">
      <c r="B6597" s="26"/>
      <c r="C6597" s="2366"/>
      <c r="D6597" s="230"/>
      <c r="E6597" s="203"/>
      <c r="F6597" s="1646"/>
      <c r="G6597" s="314"/>
      <c r="H6597" s="1648"/>
      <c r="I6597" s="434"/>
      <c r="J6597" s="435"/>
    </row>
    <row r="6598" spans="1:11" ht="12" customHeight="1">
      <c r="B6598" s="26"/>
      <c r="C6598" s="2366"/>
      <c r="D6598" s="1649"/>
      <c r="E6598" s="203"/>
      <c r="F6598" s="1646"/>
      <c r="G6598" s="195"/>
      <c r="H6598" s="1648"/>
      <c r="I6598" s="434"/>
      <c r="J6598" s="435"/>
    </row>
    <row r="6599" spans="1:11">
      <c r="B6599" s="26"/>
      <c r="C6599" s="2366"/>
      <c r="D6599" s="1649"/>
      <c r="E6599" s="203"/>
      <c r="F6599" s="1646"/>
      <c r="G6599" s="195"/>
      <c r="H6599" s="1648"/>
      <c r="I6599" s="434"/>
      <c r="J6599" s="435"/>
    </row>
    <row r="6600" spans="1:11" s="33" customFormat="1">
      <c r="A6600" s="435"/>
      <c r="B6600" s="26" t="s">
        <v>10378</v>
      </c>
      <c r="C6600" s="2366">
        <v>236.17777777777778</v>
      </c>
      <c r="D6600" s="230">
        <f t="shared" ref="D6600:D6606" si="954">C6600*(1-VLOOKUP(I6600,descuentos,6,FALSE))*fcl/IF(dol_sol="dólar", TC,1)</f>
        <v>160.22915724408259</v>
      </c>
      <c r="E6600" s="1650">
        <v>15</v>
      </c>
      <c r="F6600" s="1646">
        <f t="shared" ref="F6600:F6606" si="955">D6600+E6600</f>
        <v>175.22915724408259</v>
      </c>
      <c r="G6600" s="140" t="s">
        <v>11803</v>
      </c>
      <c r="H6600" s="1648">
        <v>420041</v>
      </c>
      <c r="I6600" s="434" t="s">
        <v>10295</v>
      </c>
      <c r="J6600" s="435" t="s">
        <v>10594</v>
      </c>
      <c r="K6600" s="434"/>
    </row>
    <row r="6601" spans="1:11" s="33" customFormat="1">
      <c r="A6601" s="435"/>
      <c r="B6601" s="26" t="s">
        <v>10379</v>
      </c>
      <c r="C6601" s="2366">
        <v>236.17777777777778</v>
      </c>
      <c r="D6601" s="230">
        <f t="shared" si="954"/>
        <v>160.22915724408259</v>
      </c>
      <c r="E6601" s="1650">
        <v>15</v>
      </c>
      <c r="F6601" s="1646">
        <f t="shared" si="955"/>
        <v>175.22915724408259</v>
      </c>
      <c r="G6601" s="140" t="s">
        <v>11804</v>
      </c>
      <c r="H6601" s="1648" t="s">
        <v>10380</v>
      </c>
      <c r="I6601" s="434" t="s">
        <v>10295</v>
      </c>
      <c r="J6601" s="435" t="s">
        <v>10594</v>
      </c>
      <c r="K6601" s="434"/>
    </row>
    <row r="6602" spans="1:11" s="33" customFormat="1">
      <c r="A6602" s="435"/>
      <c r="B6602" s="26" t="s">
        <v>10381</v>
      </c>
      <c r="C6602" s="2366">
        <v>236.17777777777778</v>
      </c>
      <c r="D6602" s="230">
        <f t="shared" si="954"/>
        <v>160.22915724408259</v>
      </c>
      <c r="E6602" s="1650">
        <v>15</v>
      </c>
      <c r="F6602" s="1646">
        <f t="shared" si="955"/>
        <v>175.22915724408259</v>
      </c>
      <c r="G6602" s="140" t="s">
        <v>11805</v>
      </c>
      <c r="H6602" s="1648" t="s">
        <v>10382</v>
      </c>
      <c r="I6602" s="434" t="s">
        <v>10295</v>
      </c>
      <c r="J6602" s="435" t="s">
        <v>10594</v>
      </c>
      <c r="K6602" s="434"/>
    </row>
    <row r="6603" spans="1:11" s="33" customFormat="1">
      <c r="A6603" s="435"/>
      <c r="B6603" s="26" t="s">
        <v>10383</v>
      </c>
      <c r="C6603" s="2366">
        <v>251.92222222222222</v>
      </c>
      <c r="D6603" s="230">
        <f t="shared" si="954"/>
        <v>170.91059852253881</v>
      </c>
      <c r="E6603" s="1650">
        <v>15</v>
      </c>
      <c r="F6603" s="1646">
        <f t="shared" si="955"/>
        <v>185.91059852253881</v>
      </c>
      <c r="G6603" s="140" t="s">
        <v>11806</v>
      </c>
      <c r="H6603" s="1648" t="s">
        <v>10384</v>
      </c>
      <c r="I6603" s="434" t="s">
        <v>10295</v>
      </c>
      <c r="J6603" s="435" t="s">
        <v>10594</v>
      </c>
      <c r="K6603" s="434"/>
    </row>
    <row r="6604" spans="1:11" s="33" customFormat="1">
      <c r="A6604" s="435"/>
      <c r="B6604" s="26" t="s">
        <v>10385</v>
      </c>
      <c r="C6604" s="2366">
        <v>251.92222222222222</v>
      </c>
      <c r="D6604" s="230">
        <f t="shared" si="954"/>
        <v>170.91059852253881</v>
      </c>
      <c r="E6604" s="1650">
        <v>15</v>
      </c>
      <c r="F6604" s="1646">
        <f t="shared" si="955"/>
        <v>185.91059852253881</v>
      </c>
      <c r="G6604" s="140" t="s">
        <v>11807</v>
      </c>
      <c r="H6604" s="1648" t="s">
        <v>10386</v>
      </c>
      <c r="I6604" s="434" t="s">
        <v>10295</v>
      </c>
      <c r="J6604" s="435" t="s">
        <v>10594</v>
      </c>
      <c r="K6604" s="434"/>
    </row>
    <row r="6605" spans="1:11" s="33" customFormat="1">
      <c r="A6605" s="435"/>
      <c r="B6605" s="26" t="s">
        <v>10387</v>
      </c>
      <c r="C6605" s="2366">
        <v>270.82222222222225</v>
      </c>
      <c r="D6605" s="230">
        <f t="shared" si="954"/>
        <v>183.73285089702998</v>
      </c>
      <c r="E6605" s="1650">
        <v>15</v>
      </c>
      <c r="F6605" s="1646">
        <f t="shared" si="955"/>
        <v>198.73285089702998</v>
      </c>
      <c r="G6605" s="140" t="s">
        <v>11808</v>
      </c>
      <c r="H6605" s="1648" t="s">
        <v>10388</v>
      </c>
      <c r="I6605" s="434" t="s">
        <v>10295</v>
      </c>
      <c r="J6605" s="435" t="s">
        <v>10594</v>
      </c>
      <c r="K6605" s="434"/>
    </row>
    <row r="6606" spans="1:11" s="33" customFormat="1">
      <c r="A6606" s="435"/>
      <c r="B6606" s="26" t="s">
        <v>10389</v>
      </c>
      <c r="C6606" s="2366">
        <v>291.59999999999997</v>
      </c>
      <c r="D6606" s="230">
        <f t="shared" si="954"/>
        <v>197.82903663500676</v>
      </c>
      <c r="E6606" s="1650">
        <v>15</v>
      </c>
      <c r="F6606" s="1646">
        <f t="shared" si="955"/>
        <v>212.82903663500676</v>
      </c>
      <c r="G6606" s="140" t="s">
        <v>11809</v>
      </c>
      <c r="H6606" s="1648" t="s">
        <v>10390</v>
      </c>
      <c r="I6606" s="434" t="s">
        <v>10295</v>
      </c>
      <c r="J6606" s="435" t="s">
        <v>10594</v>
      </c>
      <c r="K6606" s="434"/>
    </row>
    <row r="6607" spans="1:11" s="33" customFormat="1">
      <c r="A6607" s="435"/>
      <c r="B6607" s="26"/>
      <c r="C6607" s="2366"/>
      <c r="D6607" s="1649"/>
      <c r="E6607" s="1650"/>
      <c r="F6607" s="1646"/>
      <c r="G6607" s="140"/>
      <c r="H6607" s="1648"/>
      <c r="I6607" s="434"/>
      <c r="J6607" s="435"/>
      <c r="K6607" s="434"/>
    </row>
    <row r="6608" spans="1:11" s="33" customFormat="1">
      <c r="A6608" s="435"/>
      <c r="B6608" s="26" t="s">
        <v>10391</v>
      </c>
      <c r="C6608" s="2366">
        <v>311.13333333333333</v>
      </c>
      <c r="D6608" s="230">
        <f t="shared" ref="D6608:D6614" si="956">C6608*(1-VLOOKUP(I6608,descuentos,6,FALSE))*fcl/IF(dol_sol="dólar", TC,1)</f>
        <v>211.08095884215282</v>
      </c>
      <c r="E6608" s="1650">
        <v>15</v>
      </c>
      <c r="F6608" s="1646">
        <f t="shared" ref="F6608:F6614" si="957">D6608+E6608</f>
        <v>226.08095884215282</v>
      </c>
      <c r="G6608" s="140" t="s">
        <v>11810</v>
      </c>
      <c r="H6608" s="1648">
        <v>420081</v>
      </c>
      <c r="I6608" s="434" t="s">
        <v>10295</v>
      </c>
      <c r="J6608" s="435" t="s">
        <v>10594</v>
      </c>
      <c r="K6608" s="434"/>
    </row>
    <row r="6609" spans="1:11" s="33" customFormat="1">
      <c r="A6609" s="435"/>
      <c r="B6609" s="26" t="s">
        <v>10392</v>
      </c>
      <c r="C6609" s="2366">
        <v>311.13333333333333</v>
      </c>
      <c r="D6609" s="230">
        <f t="shared" si="956"/>
        <v>211.08095884215282</v>
      </c>
      <c r="E6609" s="1650">
        <v>15</v>
      </c>
      <c r="F6609" s="1646">
        <f t="shared" si="957"/>
        <v>226.08095884215282</v>
      </c>
      <c r="G6609" s="140" t="s">
        <v>11811</v>
      </c>
      <c r="H6609" s="1648" t="s">
        <v>10393</v>
      </c>
      <c r="I6609" s="434" t="s">
        <v>10295</v>
      </c>
      <c r="J6609" s="435" t="s">
        <v>10594</v>
      </c>
      <c r="K6609" s="434"/>
    </row>
    <row r="6610" spans="1:11" s="33" customFormat="1">
      <c r="A6610" s="435"/>
      <c r="B6610" s="26" t="s">
        <v>10394</v>
      </c>
      <c r="C6610" s="2366">
        <v>311.13333333333333</v>
      </c>
      <c r="D6610" s="230">
        <f t="shared" si="956"/>
        <v>211.08095884215282</v>
      </c>
      <c r="E6610" s="1650">
        <v>15</v>
      </c>
      <c r="F6610" s="1646">
        <f t="shared" si="957"/>
        <v>226.08095884215282</v>
      </c>
      <c r="G6610" s="140" t="s">
        <v>11812</v>
      </c>
      <c r="H6610" s="1648" t="s">
        <v>10395</v>
      </c>
      <c r="I6610" s="434" t="s">
        <v>10295</v>
      </c>
      <c r="J6610" s="435" t="s">
        <v>10594</v>
      </c>
      <c r="K6610" s="434"/>
    </row>
    <row r="6611" spans="1:11" s="33" customFormat="1">
      <c r="A6611" s="435"/>
      <c r="B6611" s="26" t="s">
        <v>10396</v>
      </c>
      <c r="C6611" s="2366">
        <v>322.4666666666667</v>
      </c>
      <c r="D6611" s="230">
        <f t="shared" si="956"/>
        <v>218.76978742650383</v>
      </c>
      <c r="E6611" s="1650">
        <v>15</v>
      </c>
      <c r="F6611" s="1646">
        <f t="shared" si="957"/>
        <v>233.76978742650383</v>
      </c>
      <c r="G6611" s="140" t="s">
        <v>11813</v>
      </c>
      <c r="H6611" s="1648">
        <v>420084</v>
      </c>
      <c r="I6611" s="434" t="s">
        <v>10295</v>
      </c>
      <c r="J6611" s="435" t="s">
        <v>10594</v>
      </c>
      <c r="K6611" s="434"/>
    </row>
    <row r="6612" spans="1:11" s="33" customFormat="1">
      <c r="A6612" s="435"/>
      <c r="B6612" s="26" t="s">
        <v>10397</v>
      </c>
      <c r="C6612" s="2366">
        <v>322.4666666666667</v>
      </c>
      <c r="D6612" s="230">
        <f t="shared" si="956"/>
        <v>218.76978742650383</v>
      </c>
      <c r="E6612" s="1650">
        <v>15</v>
      </c>
      <c r="F6612" s="1646">
        <f t="shared" si="957"/>
        <v>233.76978742650383</v>
      </c>
      <c r="G6612" s="140" t="s">
        <v>11814</v>
      </c>
      <c r="H6612" s="1648" t="s">
        <v>10398</v>
      </c>
      <c r="I6612" s="434" t="s">
        <v>10295</v>
      </c>
      <c r="J6612" s="435" t="s">
        <v>10594</v>
      </c>
      <c r="K6612" s="434"/>
    </row>
    <row r="6613" spans="1:11" s="33" customFormat="1">
      <c r="A6613" s="435"/>
      <c r="B6613" s="26" t="s">
        <v>10399</v>
      </c>
      <c r="C6613" s="2366">
        <v>334.44444444444446</v>
      </c>
      <c r="D6613" s="230">
        <f t="shared" si="956"/>
        <v>226.89582391074927</v>
      </c>
      <c r="E6613" s="1650">
        <v>15</v>
      </c>
      <c r="F6613" s="1646">
        <f t="shared" si="957"/>
        <v>241.89582391074927</v>
      </c>
      <c r="G6613" s="140" t="s">
        <v>11815</v>
      </c>
      <c r="H6613" s="1648" t="s">
        <v>10400</v>
      </c>
      <c r="I6613" s="434" t="s">
        <v>10295</v>
      </c>
      <c r="J6613" s="435" t="s">
        <v>10594</v>
      </c>
      <c r="K6613" s="434"/>
    </row>
    <row r="6614" spans="1:11" s="33" customFormat="1">
      <c r="A6614" s="435"/>
      <c r="B6614" s="26" t="s">
        <v>10401</v>
      </c>
      <c r="C6614" s="2366">
        <v>350.81111111111113</v>
      </c>
      <c r="D6614" s="230">
        <f t="shared" si="956"/>
        <v>237.99939695462083</v>
      </c>
      <c r="E6614" s="1650">
        <v>15</v>
      </c>
      <c r="F6614" s="1646">
        <f t="shared" si="957"/>
        <v>252.99939695462083</v>
      </c>
      <c r="G6614" s="140" t="s">
        <v>11816</v>
      </c>
      <c r="H6614" s="1648" t="s">
        <v>10402</v>
      </c>
      <c r="I6614" s="434" t="s">
        <v>10295</v>
      </c>
      <c r="J6614" s="435" t="s">
        <v>10594</v>
      </c>
      <c r="K6614" s="434"/>
    </row>
    <row r="6615" spans="1:11" s="33" customFormat="1">
      <c r="A6615" s="435"/>
      <c r="B6615" s="26"/>
      <c r="C6615" s="2366"/>
      <c r="D6615" s="1649"/>
      <c r="E6615" s="1650"/>
      <c r="F6615" s="1646"/>
      <c r="G6615" s="195"/>
      <c r="H6615" s="1648"/>
      <c r="I6615" s="434"/>
      <c r="J6615" s="435"/>
      <c r="K6615" s="434"/>
    </row>
    <row r="6616" spans="1:11" s="33" customFormat="1">
      <c r="A6616" s="435"/>
      <c r="B6616" s="26" t="s">
        <v>10403</v>
      </c>
      <c r="C6616" s="2366">
        <v>410.64444444444439</v>
      </c>
      <c r="D6616" s="230">
        <f t="shared" ref="D6616:D6622" si="958">C6616*(1-VLOOKUP(I6616,descuentos,6,FALSE))*fcl/IF(dol_sol="dólar", TC,1)</f>
        <v>278.59188903965014</v>
      </c>
      <c r="E6616" s="1650">
        <v>15</v>
      </c>
      <c r="F6616" s="1646">
        <f t="shared" ref="F6616:F6622" si="959">D6616+E6616</f>
        <v>293.59188903965014</v>
      </c>
      <c r="G6616" s="140" t="s">
        <v>11817</v>
      </c>
      <c r="H6616" s="1648">
        <v>420051</v>
      </c>
      <c r="I6616" s="434" t="s">
        <v>10295</v>
      </c>
      <c r="J6616" s="435" t="s">
        <v>10594</v>
      </c>
      <c r="K6616" s="434"/>
    </row>
    <row r="6617" spans="1:11" s="33" customFormat="1">
      <c r="A6617" s="435"/>
      <c r="B6617" s="26" t="s">
        <v>10404</v>
      </c>
      <c r="C6617" s="2366">
        <v>410.64444444444439</v>
      </c>
      <c r="D6617" s="230">
        <f t="shared" si="958"/>
        <v>278.59188903965014</v>
      </c>
      <c r="E6617" s="1650">
        <v>15</v>
      </c>
      <c r="F6617" s="1646">
        <f t="shared" si="959"/>
        <v>293.59188903965014</v>
      </c>
      <c r="G6617" s="140" t="s">
        <v>11818</v>
      </c>
      <c r="H6617" s="1648" t="s">
        <v>10405</v>
      </c>
      <c r="I6617" s="434" t="s">
        <v>10295</v>
      </c>
      <c r="J6617" s="435" t="s">
        <v>10594</v>
      </c>
      <c r="K6617" s="434"/>
    </row>
    <row r="6618" spans="1:11" s="33" customFormat="1">
      <c r="A6618" s="435"/>
      <c r="B6618" s="26" t="s">
        <v>10406</v>
      </c>
      <c r="C6618" s="2366">
        <v>410.64444444444439</v>
      </c>
      <c r="D6618" s="230">
        <f t="shared" si="958"/>
        <v>278.59188903965014</v>
      </c>
      <c r="E6618" s="1650">
        <v>15</v>
      </c>
      <c r="F6618" s="1646">
        <f t="shared" si="959"/>
        <v>293.59188903965014</v>
      </c>
      <c r="G6618" s="140" t="s">
        <v>11819</v>
      </c>
      <c r="H6618" s="1648" t="s">
        <v>10407</v>
      </c>
      <c r="I6618" s="434" t="s">
        <v>10295</v>
      </c>
      <c r="J6618" s="435" t="s">
        <v>10594</v>
      </c>
      <c r="K6618" s="434"/>
    </row>
    <row r="6619" spans="1:11" s="33" customFormat="1">
      <c r="A6619" s="435"/>
      <c r="B6619" s="26" t="s">
        <v>10408</v>
      </c>
      <c r="C6619" s="2366">
        <v>410.64444444444439</v>
      </c>
      <c r="D6619" s="230">
        <f t="shared" si="958"/>
        <v>278.59188903965014</v>
      </c>
      <c r="E6619" s="1650">
        <v>15</v>
      </c>
      <c r="F6619" s="1646">
        <f t="shared" si="959"/>
        <v>293.59188903965014</v>
      </c>
      <c r="G6619" s="140" t="s">
        <v>11820</v>
      </c>
      <c r="H6619" s="1648">
        <v>420054</v>
      </c>
      <c r="I6619" s="434" t="s">
        <v>10295</v>
      </c>
      <c r="J6619" s="435" t="s">
        <v>10594</v>
      </c>
      <c r="K6619" s="434"/>
    </row>
    <row r="6620" spans="1:11" s="33" customFormat="1">
      <c r="A6620" s="435"/>
      <c r="B6620" s="26" t="s">
        <v>10409</v>
      </c>
      <c r="C6620" s="2366">
        <v>440.87777777777779</v>
      </c>
      <c r="D6620" s="230">
        <f t="shared" si="958"/>
        <v>299.10296999849237</v>
      </c>
      <c r="E6620" s="1650">
        <v>15</v>
      </c>
      <c r="F6620" s="1646">
        <f t="shared" si="959"/>
        <v>314.10296999849237</v>
      </c>
      <c r="G6620" s="140" t="s">
        <v>11821</v>
      </c>
      <c r="H6620" s="1648" t="s">
        <v>10410</v>
      </c>
      <c r="I6620" s="434" t="s">
        <v>10295</v>
      </c>
      <c r="J6620" s="435" t="s">
        <v>10594</v>
      </c>
      <c r="K6620" s="434"/>
    </row>
    <row r="6621" spans="1:11" s="33" customFormat="1">
      <c r="A6621" s="435"/>
      <c r="B6621" s="26" t="s">
        <v>10411</v>
      </c>
      <c r="C6621" s="2366">
        <v>466.06666666666661</v>
      </c>
      <c r="D6621" s="230">
        <f t="shared" si="958"/>
        <v>316.19176843057431</v>
      </c>
      <c r="E6621" s="1650">
        <v>15</v>
      </c>
      <c r="F6621" s="1646">
        <f t="shared" si="959"/>
        <v>331.19176843057431</v>
      </c>
      <c r="G6621" s="140" t="s">
        <v>11822</v>
      </c>
      <c r="H6621" s="1648" t="s">
        <v>10412</v>
      </c>
      <c r="I6621" s="434" t="s">
        <v>10295</v>
      </c>
      <c r="J6621" s="435" t="s">
        <v>10594</v>
      </c>
      <c r="K6621" s="434"/>
    </row>
    <row r="6622" spans="1:11" s="33" customFormat="1">
      <c r="A6622" s="435"/>
      <c r="B6622" s="26" t="s">
        <v>10413</v>
      </c>
      <c r="C6622" s="2366">
        <v>476.77777777777777</v>
      </c>
      <c r="D6622" s="230">
        <f t="shared" si="958"/>
        <v>323.45846524950997</v>
      </c>
      <c r="E6622" s="1650">
        <v>15</v>
      </c>
      <c r="F6622" s="1646">
        <f t="shared" si="959"/>
        <v>338.45846524950997</v>
      </c>
      <c r="G6622" s="140" t="s">
        <v>11823</v>
      </c>
      <c r="H6622" s="1648">
        <v>420057</v>
      </c>
      <c r="I6622" s="434" t="s">
        <v>10295</v>
      </c>
      <c r="J6622" s="435" t="s">
        <v>10594</v>
      </c>
      <c r="K6622" s="434"/>
    </row>
    <row r="6623" spans="1:11" s="33" customFormat="1">
      <c r="A6623" s="435"/>
      <c r="B6623" s="26"/>
      <c r="C6623" s="2366"/>
      <c r="D6623" s="1649"/>
      <c r="E6623" s="1650"/>
      <c r="F6623" s="1646"/>
      <c r="G6623" s="195"/>
      <c r="H6623" s="1648"/>
      <c r="I6623" s="434"/>
      <c r="J6623" s="435"/>
      <c r="K6623" s="434"/>
    </row>
    <row r="6624" spans="1:11" s="33" customFormat="1">
      <c r="A6624" s="435"/>
      <c r="B6624" s="26" t="s">
        <v>10414</v>
      </c>
      <c r="C6624" s="2366">
        <v>431.42222222222216</v>
      </c>
      <c r="D6624" s="230">
        <f t="shared" ref="D6624:D6630" si="960">C6624*(1-VLOOKUP(I6624,descuentos,6,FALSE))*fcl/IF(dol_sol="dólar", TC,1)</f>
        <v>292.68807477762692</v>
      </c>
      <c r="E6624" s="1650">
        <v>15</v>
      </c>
      <c r="F6624" s="1646">
        <f t="shared" ref="F6624:F6945" si="961">D6624+E6624</f>
        <v>307.68807477762692</v>
      </c>
      <c r="G6624" s="140" t="s">
        <v>11824</v>
      </c>
      <c r="H6624" s="1648">
        <v>420091</v>
      </c>
      <c r="I6624" s="434" t="s">
        <v>10295</v>
      </c>
      <c r="J6624" s="435" t="s">
        <v>10594</v>
      </c>
      <c r="K6624" s="434"/>
    </row>
    <row r="6625" spans="1:11" s="33" customFormat="1">
      <c r="A6625" s="435"/>
      <c r="B6625" s="26" t="s">
        <v>10415</v>
      </c>
      <c r="C6625" s="2366">
        <v>431.42222222222216</v>
      </c>
      <c r="D6625" s="230">
        <f t="shared" si="960"/>
        <v>292.68807477762692</v>
      </c>
      <c r="E6625" s="1650">
        <v>15</v>
      </c>
      <c r="F6625" s="1646">
        <f t="shared" si="961"/>
        <v>307.68807477762692</v>
      </c>
      <c r="G6625" s="140" t="s">
        <v>11825</v>
      </c>
      <c r="H6625" s="1648" t="s">
        <v>10416</v>
      </c>
      <c r="I6625" s="434" t="s">
        <v>10295</v>
      </c>
      <c r="J6625" s="435" t="s">
        <v>10594</v>
      </c>
      <c r="K6625" s="434"/>
    </row>
    <row r="6626" spans="1:11" s="33" customFormat="1">
      <c r="A6626" s="435"/>
      <c r="B6626" s="26" t="s">
        <v>10417</v>
      </c>
      <c r="C6626" s="2366">
        <v>431.42222222222216</v>
      </c>
      <c r="D6626" s="230">
        <f t="shared" si="960"/>
        <v>292.68807477762692</v>
      </c>
      <c r="E6626" s="1650">
        <v>15</v>
      </c>
      <c r="F6626" s="1646">
        <f t="shared" si="961"/>
        <v>307.68807477762692</v>
      </c>
      <c r="G6626" s="140" t="s">
        <v>11826</v>
      </c>
      <c r="H6626" s="1648" t="s">
        <v>10418</v>
      </c>
      <c r="I6626" s="434" t="s">
        <v>10295</v>
      </c>
      <c r="J6626" s="435" t="s">
        <v>10594</v>
      </c>
      <c r="K6626" s="434"/>
    </row>
    <row r="6627" spans="1:11" s="33" customFormat="1">
      <c r="A6627" s="435"/>
      <c r="B6627" s="26" t="s">
        <v>10419</v>
      </c>
      <c r="C6627" s="2366">
        <v>431.42222222222216</v>
      </c>
      <c r="D6627" s="230">
        <f t="shared" si="960"/>
        <v>292.68807477762692</v>
      </c>
      <c r="E6627" s="1650">
        <v>15</v>
      </c>
      <c r="F6627" s="1646">
        <f t="shared" si="961"/>
        <v>307.68807477762692</v>
      </c>
      <c r="G6627" s="140" t="s">
        <v>11827</v>
      </c>
      <c r="H6627" s="1648" t="s">
        <v>10420</v>
      </c>
      <c r="I6627" s="434" t="s">
        <v>10295</v>
      </c>
      <c r="J6627" s="435" t="s">
        <v>10594</v>
      </c>
      <c r="K6627" s="434"/>
    </row>
    <row r="6628" spans="1:11" s="33" customFormat="1">
      <c r="A6628" s="435"/>
      <c r="B6628" s="26" t="s">
        <v>10421</v>
      </c>
      <c r="C6628" s="2366">
        <v>462.92222222222222</v>
      </c>
      <c r="D6628" s="230">
        <f t="shared" si="960"/>
        <v>314.058495401779</v>
      </c>
      <c r="E6628" s="1650">
        <v>15</v>
      </c>
      <c r="F6628" s="1646">
        <f t="shared" si="961"/>
        <v>329.058495401779</v>
      </c>
      <c r="G6628" s="140" t="s">
        <v>11828</v>
      </c>
      <c r="H6628" s="1648" t="s">
        <v>10422</v>
      </c>
      <c r="I6628" s="434" t="s">
        <v>10295</v>
      </c>
      <c r="J6628" s="435" t="s">
        <v>10594</v>
      </c>
      <c r="K6628" s="434"/>
    </row>
    <row r="6629" spans="1:11" s="33" customFormat="1">
      <c r="A6629" s="435"/>
      <c r="B6629" s="26" t="s">
        <v>10423</v>
      </c>
      <c r="C6629" s="2366">
        <v>489.36666666666667</v>
      </c>
      <c r="D6629" s="230">
        <f t="shared" si="960"/>
        <v>331.99909543193121</v>
      </c>
      <c r="E6629" s="1650">
        <v>15</v>
      </c>
      <c r="F6629" s="1646">
        <f t="shared" si="961"/>
        <v>346.99909543193121</v>
      </c>
      <c r="G6629" s="140" t="s">
        <v>11829</v>
      </c>
      <c r="H6629" s="1648" t="s">
        <v>10424</v>
      </c>
      <c r="I6629" s="434" t="s">
        <v>10295</v>
      </c>
      <c r="J6629" s="435" t="s">
        <v>10594</v>
      </c>
      <c r="K6629" s="434"/>
    </row>
    <row r="6630" spans="1:11" s="33" customFormat="1">
      <c r="A6630" s="435"/>
      <c r="B6630" s="26" t="s">
        <v>10425</v>
      </c>
      <c r="C6630" s="2366">
        <v>500.71111111111111</v>
      </c>
      <c r="D6630" s="230">
        <f t="shared" si="960"/>
        <v>339.69546208352176</v>
      </c>
      <c r="E6630" s="1650">
        <v>15</v>
      </c>
      <c r="F6630" s="1646">
        <f t="shared" si="961"/>
        <v>354.69546208352176</v>
      </c>
      <c r="G6630" s="140" t="s">
        <v>11830</v>
      </c>
      <c r="H6630" s="1648" t="s">
        <v>10426</v>
      </c>
      <c r="I6630" s="434" t="s">
        <v>10295</v>
      </c>
      <c r="J6630" s="435" t="s">
        <v>10594</v>
      </c>
      <c r="K6630" s="434"/>
    </row>
    <row r="6631" spans="1:11" s="33" customFormat="1">
      <c r="A6631" s="435"/>
      <c r="B6631" s="26"/>
      <c r="C6631" s="2366"/>
      <c r="D6631" s="1649"/>
      <c r="E6631" s="1650"/>
      <c r="F6631" s="1646"/>
      <c r="G6631" s="195"/>
      <c r="H6631" s="1648"/>
      <c r="I6631" s="434"/>
      <c r="J6631" s="435"/>
      <c r="K6631" s="434"/>
    </row>
    <row r="6632" spans="1:11" s="33" customFormat="1">
      <c r="A6632" s="435"/>
      <c r="B6632" s="26"/>
      <c r="C6632" s="2366"/>
      <c r="D6632" s="1649"/>
      <c r="E6632" s="1650"/>
      <c r="F6632" s="1646"/>
      <c r="G6632" s="195"/>
      <c r="H6632" s="1648"/>
      <c r="I6632" s="434"/>
      <c r="J6632" s="435"/>
      <c r="K6632" s="434"/>
    </row>
    <row r="6633" spans="1:11" s="33" customFormat="1">
      <c r="A6633" s="435"/>
      <c r="B6633" s="26" t="s">
        <v>12965</v>
      </c>
      <c r="C6633" s="2366">
        <v>321.37777777777779</v>
      </c>
      <c r="D6633" s="230">
        <f t="shared" ref="D6633" si="962">C6633*(1-VLOOKUP(I6633,descuentos,6,FALSE))*fcl/IF(dol_sol="dólar", TC,1)</f>
        <v>218.03105683702699</v>
      </c>
      <c r="E6633" s="1650">
        <v>15</v>
      </c>
      <c r="F6633" s="1651">
        <f t="shared" ref="F6633:F6640" si="963">D6633+E6633</f>
        <v>233.03105683702699</v>
      </c>
      <c r="G6633" s="140" t="s">
        <v>12966</v>
      </c>
      <c r="H6633" s="1648">
        <v>420122</v>
      </c>
      <c r="I6633" s="434" t="s">
        <v>10295</v>
      </c>
      <c r="J6633" s="435" t="s">
        <v>10594</v>
      </c>
      <c r="K6633" s="434"/>
    </row>
    <row r="6634" spans="1:11" s="33" customFormat="1">
      <c r="A6634" s="435"/>
      <c r="B6634" s="26" t="s">
        <v>12967</v>
      </c>
      <c r="C6634" s="2366">
        <v>321.37777777777779</v>
      </c>
      <c r="D6634" s="230">
        <f t="shared" ref="D6634" si="964">C6634*(1-VLOOKUP(I6634,descuentos,6,FALSE))*fcl/IF(dol_sol="dólar", TC,1)</f>
        <v>218.03105683702699</v>
      </c>
      <c r="E6634" s="1650">
        <v>15</v>
      </c>
      <c r="F6634" s="1651">
        <f t="shared" si="963"/>
        <v>233.03105683702699</v>
      </c>
      <c r="G6634" s="140" t="s">
        <v>12968</v>
      </c>
      <c r="H6634" s="1648">
        <v>420122</v>
      </c>
      <c r="I6634" s="434" t="s">
        <v>10295</v>
      </c>
      <c r="J6634" s="435" t="s">
        <v>10594</v>
      </c>
      <c r="K6634" s="434"/>
    </row>
    <row r="6635" spans="1:11" s="33" customFormat="1">
      <c r="A6635" s="435"/>
      <c r="B6635" s="26" t="s">
        <v>11148</v>
      </c>
      <c r="C6635" s="2366">
        <v>321.37777777777779</v>
      </c>
      <c r="D6635" s="230">
        <f t="shared" ref="D6635:D6640" si="965">C6635*(1-VLOOKUP(I6635,descuentos,6,FALSE))*fcl/IF(dol_sol="dólar", TC,1)</f>
        <v>218.03105683702699</v>
      </c>
      <c r="E6635" s="1650">
        <v>15</v>
      </c>
      <c r="F6635" s="1651">
        <f t="shared" si="963"/>
        <v>233.03105683702699</v>
      </c>
      <c r="G6635" s="140" t="s">
        <v>11831</v>
      </c>
      <c r="H6635" s="1648">
        <v>420122</v>
      </c>
      <c r="I6635" s="434" t="s">
        <v>10295</v>
      </c>
      <c r="J6635" s="435" t="s">
        <v>10594</v>
      </c>
      <c r="K6635" s="434"/>
    </row>
    <row r="6636" spans="1:11" s="33" customFormat="1">
      <c r="A6636" s="435"/>
      <c r="B6636" s="26" t="s">
        <v>11149</v>
      </c>
      <c r="C6636" s="2366">
        <v>321.37777777777779</v>
      </c>
      <c r="D6636" s="230">
        <f t="shared" si="965"/>
        <v>218.03105683702699</v>
      </c>
      <c r="E6636" s="1650">
        <v>15</v>
      </c>
      <c r="F6636" s="1651">
        <f t="shared" si="963"/>
        <v>233.03105683702699</v>
      </c>
      <c r="G6636" s="140" t="s">
        <v>11832</v>
      </c>
      <c r="H6636" s="1648">
        <v>420123</v>
      </c>
      <c r="I6636" s="434" t="s">
        <v>10295</v>
      </c>
      <c r="J6636" s="435" t="s">
        <v>10594</v>
      </c>
      <c r="K6636" s="434"/>
    </row>
    <row r="6637" spans="1:11" s="33" customFormat="1">
      <c r="A6637" s="435"/>
      <c r="B6637" s="26" t="s">
        <v>10427</v>
      </c>
      <c r="C6637" s="2366">
        <v>335.68888888888887</v>
      </c>
      <c r="D6637" s="230">
        <f t="shared" si="965"/>
        <v>227.74008744157996</v>
      </c>
      <c r="E6637" s="1650">
        <v>15</v>
      </c>
      <c r="F6637" s="1651">
        <f t="shared" si="963"/>
        <v>242.74008744157996</v>
      </c>
      <c r="G6637" s="140" t="s">
        <v>11833</v>
      </c>
      <c r="H6637" s="1648">
        <v>420124</v>
      </c>
      <c r="I6637" s="434" t="s">
        <v>10295</v>
      </c>
      <c r="J6637" s="435" t="s">
        <v>10594</v>
      </c>
      <c r="K6637" s="434"/>
    </row>
    <row r="6638" spans="1:11" s="33" customFormat="1">
      <c r="A6638" s="435"/>
      <c r="B6638" s="26" t="s">
        <v>10428</v>
      </c>
      <c r="C6638" s="2366">
        <v>335.68888888888887</v>
      </c>
      <c r="D6638" s="230">
        <f t="shared" si="965"/>
        <v>227.74008744157996</v>
      </c>
      <c r="E6638" s="1650">
        <v>15</v>
      </c>
      <c r="F6638" s="1646">
        <f t="shared" si="963"/>
        <v>242.74008744157996</v>
      </c>
      <c r="G6638" s="140" t="s">
        <v>11834</v>
      </c>
      <c r="H6638" s="1648" t="s">
        <v>10429</v>
      </c>
      <c r="I6638" s="434" t="s">
        <v>10295</v>
      </c>
      <c r="J6638" s="435" t="s">
        <v>10594</v>
      </c>
      <c r="K6638" s="434"/>
    </row>
    <row r="6639" spans="1:11" s="33" customFormat="1">
      <c r="A6639" s="435"/>
      <c r="B6639" s="26" t="s">
        <v>10430</v>
      </c>
      <c r="C6639" s="2366">
        <v>343.88888888888886</v>
      </c>
      <c r="D6639" s="230">
        <f t="shared" si="965"/>
        <v>233.30318106437502</v>
      </c>
      <c r="E6639" s="1650">
        <v>15</v>
      </c>
      <c r="F6639" s="1646">
        <f t="shared" si="963"/>
        <v>248.30318106437502</v>
      </c>
      <c r="G6639" s="140" t="s">
        <v>11835</v>
      </c>
      <c r="H6639" s="1648" t="s">
        <v>10431</v>
      </c>
      <c r="I6639" s="434" t="s">
        <v>10295</v>
      </c>
      <c r="J6639" s="435" t="s">
        <v>10594</v>
      </c>
      <c r="K6639" s="434"/>
    </row>
    <row r="6640" spans="1:11" s="33" customFormat="1">
      <c r="A6640" s="435"/>
      <c r="B6640" s="26" t="s">
        <v>10432</v>
      </c>
      <c r="C6640" s="2366">
        <v>359.62222222222226</v>
      </c>
      <c r="D6640" s="230">
        <f t="shared" si="965"/>
        <v>243.97708427559172</v>
      </c>
      <c r="E6640" s="1650">
        <v>15</v>
      </c>
      <c r="F6640" s="1646">
        <f t="shared" si="963"/>
        <v>258.97708427559172</v>
      </c>
      <c r="G6640" s="140" t="s">
        <v>11836</v>
      </c>
      <c r="H6640" s="1648" t="s">
        <v>10433</v>
      </c>
      <c r="I6640" s="434" t="s">
        <v>10295</v>
      </c>
      <c r="J6640" s="435" t="s">
        <v>10594</v>
      </c>
      <c r="K6640" s="434"/>
    </row>
    <row r="6641" spans="1:11" s="33" customFormat="1">
      <c r="A6641" s="435"/>
      <c r="B6641" s="26"/>
      <c r="C6641" s="2366"/>
      <c r="D6641" s="1649"/>
      <c r="E6641" s="1650"/>
      <c r="F6641" s="1646"/>
      <c r="G6641" s="140"/>
      <c r="H6641" s="1648"/>
      <c r="I6641" s="434"/>
      <c r="J6641" s="435"/>
      <c r="K6641" s="434"/>
    </row>
    <row r="6642" spans="1:11" s="33" customFormat="1">
      <c r="A6642" s="435"/>
      <c r="B6642" s="26" t="s">
        <v>11837</v>
      </c>
      <c r="C6642" s="2366">
        <v>422.22222222222223</v>
      </c>
      <c r="D6642" s="230">
        <f>C6642*(1-VLOOKUP(I6642,descuentos,6,FALSE))*fcl/IF(dol_sol="dólar", TC,1)</f>
        <v>286.44655510327146</v>
      </c>
      <c r="E6642" s="1650">
        <v>15</v>
      </c>
      <c r="F6642" s="1646">
        <f t="shared" si="961"/>
        <v>301.44655510327146</v>
      </c>
      <c r="G6642" s="140" t="s">
        <v>11838</v>
      </c>
      <c r="H6642" s="1648" t="s">
        <v>11839</v>
      </c>
      <c r="I6642" s="434" t="s">
        <v>10295</v>
      </c>
      <c r="J6642" s="435" t="s">
        <v>10594</v>
      </c>
      <c r="K6642" s="434"/>
    </row>
    <row r="6643" spans="1:11" s="33" customFormat="1">
      <c r="A6643" s="435"/>
      <c r="B6643" s="26" t="s">
        <v>10434</v>
      </c>
      <c r="C6643" s="2366">
        <v>503.23333333333335</v>
      </c>
      <c r="D6643" s="230">
        <f>C6643*(1-VLOOKUP(I6643,descuentos,6,FALSE))*fcl/IF(dol_sol="dólar", TC,1)</f>
        <v>341.40660334690176</v>
      </c>
      <c r="E6643" s="1650">
        <v>15</v>
      </c>
      <c r="F6643" s="1646">
        <f t="shared" si="961"/>
        <v>356.40660334690176</v>
      </c>
      <c r="G6643" s="140" t="s">
        <v>11840</v>
      </c>
      <c r="H6643" s="1648" t="s">
        <v>10435</v>
      </c>
      <c r="I6643" s="434" t="s">
        <v>10295</v>
      </c>
      <c r="J6643" s="435" t="s">
        <v>10594</v>
      </c>
      <c r="K6643" s="434"/>
    </row>
    <row r="6644" spans="1:11" s="33" customFormat="1">
      <c r="A6644" s="435"/>
      <c r="B6644" s="26" t="s">
        <v>10436</v>
      </c>
      <c r="C6644" s="2366">
        <v>511.4111111111111</v>
      </c>
      <c r="D6644" s="230">
        <f>C6644*(1-VLOOKUP(I6644,descuentos,6,FALSE))*fcl/IF(dol_sol="dólar", TC,1)</f>
        <v>346.95462083521778</v>
      </c>
      <c r="E6644" s="1650">
        <v>15</v>
      </c>
      <c r="F6644" s="1646">
        <f t="shared" si="961"/>
        <v>361.95462083521778</v>
      </c>
      <c r="G6644" s="140" t="s">
        <v>11841</v>
      </c>
      <c r="H6644" s="1648" t="s">
        <v>10437</v>
      </c>
      <c r="I6644" s="434" t="s">
        <v>10295</v>
      </c>
      <c r="J6644" s="435" t="s">
        <v>10594</v>
      </c>
      <c r="K6644" s="434"/>
    </row>
    <row r="6645" spans="1:11" s="33" customFormat="1">
      <c r="A6645" s="435"/>
      <c r="B6645" s="26"/>
      <c r="C6645" s="2366"/>
      <c r="D6645" s="1649"/>
      <c r="E6645" s="1650"/>
      <c r="F6645" s="1646"/>
      <c r="G6645" s="140"/>
      <c r="H6645" s="1648"/>
      <c r="I6645" s="434"/>
      <c r="J6645" s="435"/>
      <c r="K6645" s="434"/>
    </row>
    <row r="6646" spans="1:11" s="33" customFormat="1">
      <c r="A6646" s="435"/>
      <c r="B6646" s="26"/>
      <c r="C6646" s="2366"/>
      <c r="D6646" s="1649"/>
      <c r="E6646" s="1650"/>
      <c r="F6646" s="1646"/>
      <c r="G6646" s="140"/>
      <c r="H6646" s="1648"/>
      <c r="I6646" s="434"/>
      <c r="J6646" s="435"/>
      <c r="K6646" s="434"/>
    </row>
    <row r="6647" spans="1:11" s="33" customFormat="1">
      <c r="A6647" s="435"/>
      <c r="B6647" s="26" t="s">
        <v>13413</v>
      </c>
      <c r="C6647" s="2366">
        <v>1492.2222222222222</v>
      </c>
      <c r="D6647" s="230">
        <f t="shared" ref="D6647:D6655" si="966">C6647*(1-VLOOKUP(I6647,descuentos,6,FALSE))*fcl/IF(dol_sol="dólar", TC,1)</f>
        <v>1012.3624302728779</v>
      </c>
      <c r="E6647" s="1650">
        <v>15</v>
      </c>
      <c r="F6647" s="1646">
        <f t="shared" ref="F6647:F6650" si="967">D6647+E6647</f>
        <v>1027.3624302728779</v>
      </c>
      <c r="G6647" s="140" t="s">
        <v>13414</v>
      </c>
      <c r="H6647" s="1648" t="s">
        <v>13415</v>
      </c>
      <c r="I6647" s="434" t="s">
        <v>10295</v>
      </c>
      <c r="J6647" s="435" t="s">
        <v>10594</v>
      </c>
      <c r="K6647" s="434"/>
    </row>
    <row r="6648" spans="1:11" s="33" customFormat="1">
      <c r="A6648" s="435"/>
      <c r="B6648" s="26" t="s">
        <v>13416</v>
      </c>
      <c r="C6648" s="2366">
        <v>1728.8888888888889</v>
      </c>
      <c r="D6648" s="230">
        <f t="shared" si="966"/>
        <v>1172.9232624755011</v>
      </c>
      <c r="E6648" s="1650">
        <v>15</v>
      </c>
      <c r="F6648" s="1646">
        <f t="shared" si="967"/>
        <v>1187.9232624755011</v>
      </c>
      <c r="G6648" s="140" t="s">
        <v>13417</v>
      </c>
      <c r="H6648" s="1648" t="s">
        <v>13418</v>
      </c>
      <c r="I6648" s="434" t="s">
        <v>10295</v>
      </c>
      <c r="J6648" s="435" t="s">
        <v>10594</v>
      </c>
      <c r="K6648" s="434"/>
    </row>
    <row r="6649" spans="1:11" s="33" customFormat="1">
      <c r="A6649" s="435"/>
      <c r="B6649" s="26" t="s">
        <v>13419</v>
      </c>
      <c r="C6649" s="2366">
        <v>1738.8888888888889</v>
      </c>
      <c r="D6649" s="230">
        <f t="shared" si="966"/>
        <v>1179.707522991105</v>
      </c>
      <c r="E6649" s="1650">
        <v>15</v>
      </c>
      <c r="F6649" s="1646">
        <f t="shared" si="967"/>
        <v>1194.707522991105</v>
      </c>
      <c r="G6649" s="140" t="s">
        <v>13420</v>
      </c>
      <c r="H6649" s="1648" t="s">
        <v>13421</v>
      </c>
      <c r="I6649" s="434" t="s">
        <v>10295</v>
      </c>
      <c r="J6649" s="435" t="s">
        <v>10594</v>
      </c>
      <c r="K6649" s="434"/>
    </row>
    <row r="6650" spans="1:11" s="33" customFormat="1">
      <c r="A6650" s="435"/>
      <c r="B6650" s="26" t="s">
        <v>13422</v>
      </c>
      <c r="C6650" s="2366">
        <v>1472.2222222222222</v>
      </c>
      <c r="D6650" s="230">
        <f t="shared" si="966"/>
        <v>998.79390924167024</v>
      </c>
      <c r="E6650" s="1650">
        <v>15</v>
      </c>
      <c r="F6650" s="1646">
        <f t="shared" si="967"/>
        <v>1013.7939092416702</v>
      </c>
      <c r="G6650" s="140" t="s">
        <v>13423</v>
      </c>
      <c r="H6650" s="1648" t="s">
        <v>13424</v>
      </c>
      <c r="I6650" s="434" t="s">
        <v>10295</v>
      </c>
      <c r="J6650" s="435" t="s">
        <v>10594</v>
      </c>
      <c r="K6650" s="434"/>
    </row>
    <row r="6651" spans="1:11" s="33" customFormat="1">
      <c r="A6651" s="435"/>
      <c r="B6651" s="26"/>
      <c r="C6651" s="2366"/>
      <c r="D6651" s="230"/>
      <c r="E6651" s="1650"/>
      <c r="F6651" s="1646"/>
      <c r="G6651" s="140"/>
      <c r="H6651" s="1648"/>
      <c r="I6651" s="434"/>
      <c r="J6651" s="435"/>
      <c r="K6651" s="434"/>
    </row>
    <row r="6652" spans="1:11" s="33" customFormat="1">
      <c r="A6652" s="435"/>
      <c r="B6652" s="26"/>
      <c r="C6652" s="2366"/>
      <c r="D6652" s="230"/>
      <c r="E6652" s="1650"/>
      <c r="F6652" s="1646"/>
      <c r="G6652" s="140"/>
      <c r="H6652" s="1648"/>
      <c r="I6652" s="434"/>
      <c r="J6652" s="435"/>
      <c r="K6652" s="434"/>
    </row>
    <row r="6653" spans="1:11" s="33" customFormat="1" ht="18" customHeight="1">
      <c r="A6653" s="435"/>
      <c r="B6653" s="1857" t="s">
        <v>13425</v>
      </c>
      <c r="C6653" s="2411">
        <v>1541.11</v>
      </c>
      <c r="D6653" s="2236">
        <f>C6653*(1-VLOOKUP(I6653,descuentos,6,FALSE))*fcl/IF(dol_sol="dólar", TC,1)</f>
        <v>1045.529172320217</v>
      </c>
      <c r="E6653" s="2298">
        <v>15</v>
      </c>
      <c r="F6653" s="2238">
        <f t="shared" ref="F6653:F6655" si="968">D6653+E6653</f>
        <v>1060.529172320217</v>
      </c>
      <c r="G6653" s="2299" t="s">
        <v>13426</v>
      </c>
      <c r="H6653" s="2300">
        <v>420362</v>
      </c>
      <c r="I6653" s="434" t="s">
        <v>10295</v>
      </c>
      <c r="J6653" s="435" t="s">
        <v>10594</v>
      </c>
      <c r="K6653" s="434"/>
    </row>
    <row r="6654" spans="1:11" s="33" customFormat="1" ht="20.25" customHeight="1">
      <c r="A6654" s="435"/>
      <c r="B6654" s="1857" t="s">
        <v>13427</v>
      </c>
      <c r="C6654" s="2411">
        <v>1633.33</v>
      </c>
      <c r="D6654" s="2236">
        <f>C6654*(1-VLOOKUP(I6654,descuentos,6,FALSE))*fcl/IF(dol_sol="dólar", TC,1)</f>
        <v>1108.0936227951152</v>
      </c>
      <c r="E6654" s="2298">
        <v>15</v>
      </c>
      <c r="F6654" s="2238">
        <f t="shared" si="968"/>
        <v>1123.0936227951152</v>
      </c>
      <c r="G6654" s="2299" t="s">
        <v>13428</v>
      </c>
      <c r="H6654" s="2300">
        <v>420365</v>
      </c>
      <c r="I6654" s="434" t="s">
        <v>10295</v>
      </c>
      <c r="J6654" s="435" t="s">
        <v>10594</v>
      </c>
      <c r="K6654" s="434"/>
    </row>
    <row r="6655" spans="1:11" s="33" customFormat="1" ht="14.25" customHeight="1">
      <c r="A6655" s="435"/>
      <c r="B6655" s="1857" t="s">
        <v>13429</v>
      </c>
      <c r="C6655" s="2411">
        <v>1738.89</v>
      </c>
      <c r="D6655" s="2236">
        <f t="shared" si="966"/>
        <v>1179.7082767978288</v>
      </c>
      <c r="E6655" s="2298">
        <v>15</v>
      </c>
      <c r="F6655" s="2238">
        <f t="shared" si="968"/>
        <v>1194.7082767978288</v>
      </c>
      <c r="G6655" s="2299" t="s">
        <v>13430</v>
      </c>
      <c r="H6655" s="2300">
        <v>420369</v>
      </c>
      <c r="I6655" s="434" t="s">
        <v>10295</v>
      </c>
      <c r="J6655" s="435" t="s">
        <v>10594</v>
      </c>
      <c r="K6655" s="434"/>
    </row>
    <row r="6656" spans="1:11" s="33" customFormat="1">
      <c r="A6656" s="435"/>
      <c r="B6656" s="26"/>
      <c r="C6656" s="2366"/>
      <c r="D6656" s="230"/>
      <c r="E6656" s="1650"/>
      <c r="F6656" s="1646"/>
      <c r="G6656" s="140"/>
      <c r="H6656" s="1648"/>
      <c r="I6656" s="434"/>
      <c r="J6656" s="435"/>
      <c r="K6656" s="434"/>
    </row>
    <row r="6657" spans="1:11" s="33" customFormat="1">
      <c r="A6657" s="435"/>
      <c r="B6657" s="26"/>
      <c r="C6657" s="2366"/>
      <c r="D6657" s="1649"/>
      <c r="E6657" s="1650"/>
      <c r="F6657" s="1646"/>
      <c r="G6657" s="140"/>
      <c r="H6657" s="1648"/>
      <c r="I6657" s="434"/>
      <c r="J6657" s="435"/>
      <c r="K6657" s="434"/>
    </row>
    <row r="6658" spans="1:11" s="33" customFormat="1">
      <c r="A6658" s="435"/>
      <c r="B6658" s="26"/>
      <c r="C6658" s="2366"/>
      <c r="D6658" s="230"/>
      <c r="E6658" s="1650"/>
      <c r="F6658" s="1646"/>
      <c r="G6658" s="140"/>
      <c r="H6658" s="1648"/>
      <c r="I6658" s="434"/>
      <c r="J6658" s="435"/>
      <c r="K6658" s="434"/>
    </row>
    <row r="6659" spans="1:11" s="33" customFormat="1" ht="18" customHeight="1">
      <c r="A6659" s="435"/>
      <c r="B6659" s="1857" t="s">
        <v>13431</v>
      </c>
      <c r="C6659" s="2411">
        <v>1698</v>
      </c>
      <c r="D6659" s="2236">
        <f>C6659*(1-VLOOKUP(I6659,descuentos,6,FALSE))*fcl/IF(dol_sol="dólar", TC,1)</f>
        <v>1151.9674355495249</v>
      </c>
      <c r="E6659" s="2298">
        <v>15</v>
      </c>
      <c r="F6659" s="2238">
        <f t="shared" ref="F6659:F6661" si="969">D6659+E6659</f>
        <v>1166.9674355495249</v>
      </c>
      <c r="G6659" s="2299" t="s">
        <v>13432</v>
      </c>
      <c r="H6659" s="2300">
        <v>420362</v>
      </c>
      <c r="I6659" s="434" t="s">
        <v>10295</v>
      </c>
      <c r="J6659" s="435" t="s">
        <v>10594</v>
      </c>
      <c r="K6659" s="434"/>
    </row>
    <row r="6660" spans="1:11" s="33" customFormat="1" ht="20.25" customHeight="1">
      <c r="A6660" s="435"/>
      <c r="B6660" s="1857" t="s">
        <v>13433</v>
      </c>
      <c r="C6660" s="2411">
        <v>1723</v>
      </c>
      <c r="D6660" s="2236">
        <f>C6660*(1-VLOOKUP(I6660,descuentos,6,FALSE))*fcl/IF(dol_sol="dólar", TC,1)</f>
        <v>1168.9280868385345</v>
      </c>
      <c r="E6660" s="2298">
        <v>15</v>
      </c>
      <c r="F6660" s="2238">
        <f t="shared" si="969"/>
        <v>1183.9280868385345</v>
      </c>
      <c r="G6660" s="2299" t="s">
        <v>13434</v>
      </c>
      <c r="H6660" s="2300">
        <v>420365</v>
      </c>
      <c r="I6660" s="434" t="s">
        <v>10295</v>
      </c>
      <c r="J6660" s="435" t="s">
        <v>10594</v>
      </c>
      <c r="K6660" s="434"/>
    </row>
    <row r="6661" spans="1:11" s="33" customFormat="1" ht="14.25" customHeight="1">
      <c r="A6661" s="435"/>
      <c r="B6661" s="1857" t="s">
        <v>13435</v>
      </c>
      <c r="C6661" s="2411">
        <v>1789</v>
      </c>
      <c r="D6661" s="2236">
        <f t="shared" ref="D6661" si="970">C6661*(1-VLOOKUP(I6661,descuentos,6,FALSE))*fcl/IF(dol_sol="dólar", TC,1)</f>
        <v>1213.7042062415196</v>
      </c>
      <c r="E6661" s="2298">
        <v>15</v>
      </c>
      <c r="F6661" s="2238">
        <f t="shared" si="969"/>
        <v>1228.7042062415196</v>
      </c>
      <c r="G6661" s="2299" t="s">
        <v>13436</v>
      </c>
      <c r="H6661" s="2300">
        <v>420369</v>
      </c>
      <c r="I6661" s="434" t="s">
        <v>10295</v>
      </c>
      <c r="J6661" s="435" t="s">
        <v>10594</v>
      </c>
      <c r="K6661" s="434"/>
    </row>
    <row r="6662" spans="1:11" s="33" customFormat="1">
      <c r="A6662" s="435"/>
      <c r="B6662" s="26"/>
      <c r="C6662" s="2366"/>
      <c r="D6662" s="230"/>
      <c r="E6662" s="1650"/>
      <c r="F6662" s="1646"/>
      <c r="G6662" s="140"/>
      <c r="H6662" s="1648"/>
      <c r="I6662" s="434"/>
      <c r="J6662" s="435"/>
      <c r="K6662" s="434"/>
    </row>
    <row r="6663" spans="1:11" s="33" customFormat="1">
      <c r="A6663" s="435"/>
      <c r="B6663" s="26"/>
      <c r="C6663" s="2366"/>
      <c r="D6663" s="230"/>
      <c r="E6663" s="1650"/>
      <c r="F6663" s="1646"/>
      <c r="G6663" s="140"/>
      <c r="H6663" s="1648"/>
      <c r="I6663" s="434"/>
      <c r="J6663" s="435"/>
      <c r="K6663" s="434"/>
    </row>
    <row r="6664" spans="1:11" s="33" customFormat="1">
      <c r="A6664" s="435"/>
      <c r="B6664" s="351" t="s">
        <v>13437</v>
      </c>
      <c r="C6664" s="2366">
        <v>370</v>
      </c>
      <c r="D6664" s="230">
        <f>C6664*(1-VLOOKUP(I6664,descuentos,6,FALSE))*fcl/IF(dol_sol="dólar", TC,1)</f>
        <v>251.01763907734053</v>
      </c>
      <c r="E6664" s="1650">
        <f t="shared" ref="E6664:E6665" si="971">D6664/8</f>
        <v>31.377204884667567</v>
      </c>
      <c r="F6664" s="1646">
        <f t="shared" ref="F6664:F6665" si="972">D6664+E6664</f>
        <v>282.39484396200811</v>
      </c>
      <c r="G6664" s="140" t="s">
        <v>13438</v>
      </c>
      <c r="H6664" s="1648">
        <v>420199</v>
      </c>
      <c r="I6664" s="434" t="s">
        <v>10295</v>
      </c>
      <c r="J6664" s="435" t="s">
        <v>10594</v>
      </c>
      <c r="K6664" s="434"/>
    </row>
    <row r="6665" spans="1:11" s="33" customFormat="1">
      <c r="A6665" s="435"/>
      <c r="B6665" s="351" t="s">
        <v>13439</v>
      </c>
      <c r="C6665" s="2366">
        <v>712</v>
      </c>
      <c r="D6665" s="230">
        <f>C6665*(1-VLOOKUP(I6665,descuentos,6,FALSE))*fcl/IF(dol_sol="dólar", TC,1)</f>
        <v>483.03934871099045</v>
      </c>
      <c r="E6665" s="1650">
        <f t="shared" si="971"/>
        <v>60.379918588873807</v>
      </c>
      <c r="F6665" s="1646">
        <f t="shared" si="972"/>
        <v>543.41926729986426</v>
      </c>
      <c r="G6665" s="140" t="s">
        <v>13440</v>
      </c>
      <c r="H6665" s="1648">
        <v>420300</v>
      </c>
      <c r="I6665" s="434" t="s">
        <v>10295</v>
      </c>
      <c r="J6665" s="435" t="s">
        <v>10594</v>
      </c>
      <c r="K6665" s="434"/>
    </row>
    <row r="6666" spans="1:11" s="33" customFormat="1">
      <c r="A6666" s="435"/>
      <c r="B6666" s="26"/>
      <c r="C6666" s="2366"/>
      <c r="D6666" s="1649"/>
      <c r="E6666" s="1650"/>
      <c r="F6666" s="1646"/>
      <c r="G6666" s="140"/>
      <c r="H6666" s="1648"/>
      <c r="I6666" s="434"/>
      <c r="J6666" s="435"/>
      <c r="K6666" s="434"/>
    </row>
    <row r="6667" spans="1:11" s="33" customFormat="1">
      <c r="A6667" s="435"/>
      <c r="B6667" s="26"/>
      <c r="C6667" s="2366"/>
      <c r="D6667" s="1649"/>
      <c r="E6667" s="1650"/>
      <c r="F6667" s="1646"/>
      <c r="G6667" s="140"/>
      <c r="H6667" s="1648"/>
      <c r="I6667" s="434"/>
      <c r="J6667" s="435"/>
      <c r="K6667" s="434"/>
    </row>
    <row r="6668" spans="1:11" s="33" customFormat="1">
      <c r="A6668" s="435"/>
      <c r="B6668" s="26" t="s">
        <v>10438</v>
      </c>
      <c r="C6668" s="2366">
        <v>505.74444444444447</v>
      </c>
      <c r="D6668" s="230">
        <f>C6668*(1-VLOOKUP(I6668,descuentos,6,FALSE))*fcl/IF(dol_sol="dólar", TC,1)</f>
        <v>343.11020654304235</v>
      </c>
      <c r="E6668" s="1650">
        <f t="shared" ref="E6668:E6669" si="973">D6668/8</f>
        <v>42.888775817880294</v>
      </c>
      <c r="F6668" s="1646">
        <f t="shared" ref="F6668:F6669" si="974">D6668+E6668</f>
        <v>385.99898236092264</v>
      </c>
      <c r="G6668" s="140" t="s">
        <v>11842</v>
      </c>
      <c r="H6668" s="1648">
        <v>420238</v>
      </c>
      <c r="I6668" s="434" t="s">
        <v>10295</v>
      </c>
      <c r="J6668" s="435" t="s">
        <v>10594</v>
      </c>
      <c r="K6668" s="434"/>
    </row>
    <row r="6669" spans="1:11" s="33" customFormat="1">
      <c r="A6669" s="435"/>
      <c r="B6669" s="26" t="s">
        <v>10439</v>
      </c>
      <c r="C6669" s="2366">
        <v>515.82222222222219</v>
      </c>
      <c r="D6669" s="230">
        <f>C6669*(1-VLOOKUP(I6669,descuentos,6,FALSE))*fcl/IF(dol_sol="dólar", TC,1)</f>
        <v>349.947233529323</v>
      </c>
      <c r="E6669" s="1650">
        <f t="shared" si="973"/>
        <v>43.743404191165375</v>
      </c>
      <c r="F6669" s="1646">
        <f t="shared" si="974"/>
        <v>393.69063772048838</v>
      </c>
      <c r="G6669" s="140" t="s">
        <v>11843</v>
      </c>
      <c r="H6669" s="1648" t="s">
        <v>10440</v>
      </c>
      <c r="I6669" s="434" t="s">
        <v>10295</v>
      </c>
      <c r="J6669" s="435" t="s">
        <v>10594</v>
      </c>
      <c r="K6669" s="434"/>
    </row>
    <row r="6670" spans="1:11" s="33" customFormat="1">
      <c r="A6670" s="435"/>
      <c r="B6670" s="26"/>
      <c r="C6670" s="2366"/>
      <c r="D6670" s="230"/>
      <c r="E6670" s="1650"/>
      <c r="F6670" s="1646"/>
      <c r="G6670" s="195"/>
      <c r="H6670" s="1648"/>
      <c r="I6670" s="434"/>
      <c r="J6670" s="435"/>
      <c r="K6670" s="434"/>
    </row>
    <row r="6671" spans="1:11" s="33" customFormat="1">
      <c r="A6671" s="435"/>
      <c r="B6671" s="26" t="s">
        <v>10441</v>
      </c>
      <c r="C6671" s="2366">
        <v>532.20000000000005</v>
      </c>
      <c r="D6671" s="230">
        <f>C6671*(1-VLOOKUP(I6671,descuentos,6,FALSE))*fcl/IF(dol_sol="dólar", TC,1)</f>
        <v>361.05834464043414</v>
      </c>
      <c r="E6671" s="1650">
        <f t="shared" ref="E6671:E6672" si="975">D6671/8</f>
        <v>45.132293080054268</v>
      </c>
      <c r="F6671" s="1646">
        <f t="shared" ref="F6671:F6672" si="976">D6671+E6671</f>
        <v>406.19063772048844</v>
      </c>
      <c r="G6671" s="140" t="s">
        <v>11844</v>
      </c>
      <c r="H6671" s="1648">
        <v>420268</v>
      </c>
      <c r="I6671" s="434" t="s">
        <v>10295</v>
      </c>
      <c r="J6671" s="435" t="s">
        <v>10594</v>
      </c>
      <c r="K6671" s="434"/>
    </row>
    <row r="6672" spans="1:11" s="33" customFormat="1">
      <c r="A6672" s="435"/>
      <c r="B6672" s="26" t="s">
        <v>10442</v>
      </c>
      <c r="C6672" s="2366">
        <v>544.78888888888889</v>
      </c>
      <c r="D6672" s="230">
        <f>C6672*(1-VLOOKUP(I6672,descuentos,6,FALSE))*fcl/IF(dol_sol="dólar", TC,1)</f>
        <v>369.59897482285538</v>
      </c>
      <c r="E6672" s="1650">
        <f t="shared" si="975"/>
        <v>46.199871852856923</v>
      </c>
      <c r="F6672" s="1646">
        <f t="shared" si="976"/>
        <v>415.7988466757123</v>
      </c>
      <c r="G6672" s="140" t="s">
        <v>11845</v>
      </c>
      <c r="H6672" s="1648" t="s">
        <v>10443</v>
      </c>
      <c r="I6672" s="434" t="s">
        <v>10295</v>
      </c>
      <c r="J6672" s="435" t="s">
        <v>10594</v>
      </c>
      <c r="K6672" s="434"/>
    </row>
    <row r="6673" spans="1:11" s="33" customFormat="1">
      <c r="A6673" s="435"/>
      <c r="B6673" s="26"/>
      <c r="C6673" s="2366"/>
      <c r="D6673" s="230"/>
      <c r="E6673" s="1650"/>
      <c r="F6673" s="1646"/>
      <c r="G6673" s="195"/>
      <c r="H6673" s="1648"/>
      <c r="I6673" s="434"/>
      <c r="J6673" s="435"/>
      <c r="K6673" s="434"/>
    </row>
    <row r="6674" spans="1:11" s="33" customFormat="1">
      <c r="A6674" s="435"/>
      <c r="B6674" s="26" t="s">
        <v>10444</v>
      </c>
      <c r="C6674" s="2366">
        <v>748.22222222222217</v>
      </c>
      <c r="D6674" s="230">
        <f>C6674*(1-VLOOKUP(I6674,descuentos,6,FALSE))*fcl/IF(dol_sol="dólar", TC,1)</f>
        <v>507.61344791195523</v>
      </c>
      <c r="E6674" s="1650">
        <f t="shared" ref="E6674:E6675" si="977">D6674/8</f>
        <v>63.451680988994404</v>
      </c>
      <c r="F6674" s="1646">
        <f t="shared" ref="F6674:F6675" si="978">D6674+E6674</f>
        <v>571.06512890094962</v>
      </c>
      <c r="G6674" s="140" t="s">
        <v>11846</v>
      </c>
      <c r="H6674" s="1648">
        <v>420608</v>
      </c>
      <c r="I6674" s="434" t="s">
        <v>10295</v>
      </c>
      <c r="J6674" s="435" t="s">
        <v>10594</v>
      </c>
      <c r="K6674" s="434"/>
    </row>
    <row r="6675" spans="1:11" s="33" customFormat="1">
      <c r="A6675" s="435"/>
      <c r="B6675" s="26" t="s">
        <v>10445</v>
      </c>
      <c r="C6675" s="2366">
        <v>765.86666666666667</v>
      </c>
      <c r="D6675" s="230">
        <f>C6675*(1-VLOOKUP(I6675,descuentos,6,FALSE))*fcl/IF(dol_sol="dólar", TC,1)</f>
        <v>519.58389868837628</v>
      </c>
      <c r="E6675" s="1650">
        <f t="shared" si="977"/>
        <v>64.947987336047035</v>
      </c>
      <c r="F6675" s="1646">
        <f t="shared" si="978"/>
        <v>584.53188602442333</v>
      </c>
      <c r="G6675" s="140" t="s">
        <v>11847</v>
      </c>
      <c r="H6675" s="1648" t="s">
        <v>10446</v>
      </c>
      <c r="I6675" s="434" t="s">
        <v>10295</v>
      </c>
      <c r="J6675" s="435" t="s">
        <v>10594</v>
      </c>
      <c r="K6675" s="434"/>
    </row>
    <row r="6676" spans="1:11" s="33" customFormat="1">
      <c r="A6676" s="435"/>
      <c r="B6676" s="26"/>
      <c r="C6676" s="2366"/>
      <c r="D6676" s="230"/>
      <c r="E6676" s="1650"/>
      <c r="F6676" s="1646"/>
      <c r="G6676" s="140"/>
      <c r="H6676" s="1648"/>
      <c r="I6676" s="434"/>
      <c r="J6676" s="435"/>
      <c r="K6676" s="434"/>
    </row>
    <row r="6677" spans="1:11" s="33" customFormat="1">
      <c r="A6677" s="435"/>
      <c r="B6677" s="26"/>
      <c r="C6677" s="2366"/>
      <c r="D6677" s="230"/>
      <c r="E6677" s="1650"/>
      <c r="F6677" s="1646"/>
      <c r="G6677" s="195"/>
      <c r="H6677" s="1648"/>
      <c r="I6677" s="434"/>
      <c r="J6677" s="435"/>
      <c r="K6677" s="434"/>
    </row>
    <row r="6678" spans="1:11" s="33" customFormat="1">
      <c r="A6678" s="435"/>
      <c r="B6678" s="26" t="s">
        <v>10447</v>
      </c>
      <c r="C6678" s="2366">
        <v>760.19999999999993</v>
      </c>
      <c r="D6678" s="230">
        <f>C6678*(1-VLOOKUP(I6678,descuentos,6,FALSE))*fcl/IF(dol_sol="dólar", TC,1)</f>
        <v>515.73948439620062</v>
      </c>
      <c r="E6678" s="1650">
        <f t="shared" ref="E6678:E6771" si="979">D6678/8</f>
        <v>64.467435549525078</v>
      </c>
      <c r="F6678" s="1646">
        <f t="shared" si="961"/>
        <v>580.20691994572576</v>
      </c>
      <c r="G6678" s="140" t="s">
        <v>11848</v>
      </c>
      <c r="H6678" s="1648">
        <v>420248</v>
      </c>
      <c r="I6678" s="434" t="s">
        <v>10295</v>
      </c>
      <c r="J6678" s="435" t="s">
        <v>10594</v>
      </c>
      <c r="K6678" s="434"/>
    </row>
    <row r="6679" spans="1:11" s="33" customFormat="1">
      <c r="A6679" s="435"/>
      <c r="B6679" s="26" t="s">
        <v>10448</v>
      </c>
      <c r="C6679" s="2366">
        <v>776.56666666666661</v>
      </c>
      <c r="D6679" s="230">
        <f>C6679*(1-VLOOKUP(I6679,descuentos,6,FALSE))*fcl/IF(dol_sol="dólar", TC,1)</f>
        <v>526.84305744007224</v>
      </c>
      <c r="E6679" s="1650">
        <f t="shared" si="979"/>
        <v>65.85538218000903</v>
      </c>
      <c r="F6679" s="1646">
        <f t="shared" si="961"/>
        <v>592.69843962008122</v>
      </c>
      <c r="G6679" s="140" t="s">
        <v>11849</v>
      </c>
      <c r="H6679" s="1648" t="s">
        <v>10449</v>
      </c>
      <c r="I6679" s="434" t="s">
        <v>10295</v>
      </c>
      <c r="J6679" s="435" t="s">
        <v>10594</v>
      </c>
      <c r="K6679" s="434"/>
    </row>
    <row r="6680" spans="1:11" s="33" customFormat="1">
      <c r="A6680" s="435"/>
      <c r="B6680" s="26"/>
      <c r="C6680" s="2366"/>
      <c r="D6680" s="230"/>
      <c r="E6680" s="1650"/>
      <c r="F6680" s="1646"/>
      <c r="G6680" s="195"/>
      <c r="H6680" s="1648"/>
      <c r="I6680" s="434"/>
      <c r="J6680" s="435"/>
      <c r="K6680" s="434"/>
    </row>
    <row r="6681" spans="1:11" s="33" customFormat="1">
      <c r="A6681" s="435"/>
      <c r="B6681" s="26" t="s">
        <v>10450</v>
      </c>
      <c r="C6681" s="2366">
        <v>797.97777777777765</v>
      </c>
      <c r="D6681" s="230">
        <f>C6681*(1-VLOOKUP(I6681,descuentos,6,FALSE))*fcl/IF(dol_sol="dólar", TC,1)</f>
        <v>541.36891301070398</v>
      </c>
      <c r="E6681" s="1650">
        <f t="shared" si="979"/>
        <v>67.671114126337997</v>
      </c>
      <c r="F6681" s="1646">
        <f t="shared" si="961"/>
        <v>609.04002713704199</v>
      </c>
      <c r="G6681" s="140" t="s">
        <v>11850</v>
      </c>
      <c r="H6681" s="1648">
        <v>420278</v>
      </c>
      <c r="I6681" s="434" t="s">
        <v>10295</v>
      </c>
      <c r="J6681" s="435" t="s">
        <v>10594</v>
      </c>
      <c r="K6681" s="434"/>
    </row>
    <row r="6682" spans="1:11" s="33" customFormat="1">
      <c r="A6682" s="435"/>
      <c r="B6682" s="26" t="s">
        <v>10451</v>
      </c>
      <c r="C6682" s="2366">
        <v>815.62222222222215</v>
      </c>
      <c r="D6682" s="230">
        <f>C6682*(1-VLOOKUP(I6682,descuentos,6,FALSE))*fcl/IF(dol_sol="dólar", TC,1)</f>
        <v>553.33936378712485</v>
      </c>
      <c r="E6682" s="1650">
        <f t="shared" si="979"/>
        <v>69.167420473390607</v>
      </c>
      <c r="F6682" s="1646">
        <f t="shared" si="961"/>
        <v>622.50678426051547</v>
      </c>
      <c r="G6682" s="140" t="s">
        <v>11851</v>
      </c>
      <c r="H6682" s="1648" t="s">
        <v>10452</v>
      </c>
      <c r="I6682" s="434" t="s">
        <v>10295</v>
      </c>
      <c r="J6682" s="435" t="s">
        <v>10594</v>
      </c>
      <c r="K6682" s="434"/>
    </row>
    <row r="6683" spans="1:11" s="33" customFormat="1">
      <c r="A6683" s="435"/>
      <c r="B6683" s="26"/>
      <c r="C6683" s="2366"/>
      <c r="D6683" s="230"/>
      <c r="E6683" s="1650"/>
      <c r="F6683" s="1646"/>
      <c r="G6683" s="195"/>
      <c r="H6683" s="1648"/>
      <c r="I6683" s="434"/>
      <c r="J6683" s="435"/>
      <c r="K6683" s="434"/>
    </row>
    <row r="6684" spans="1:11" s="33" customFormat="1">
      <c r="A6684" s="435"/>
      <c r="B6684" s="26" t="s">
        <v>10453</v>
      </c>
      <c r="C6684" s="2366">
        <v>874.82222222222219</v>
      </c>
      <c r="D6684" s="230">
        <f>C6684*(1-VLOOKUP(I6684,descuentos,6,FALSE))*fcl/IF(dol_sol="dólar", TC,1)</f>
        <v>593.50218603949929</v>
      </c>
      <c r="E6684" s="1650">
        <f t="shared" ref="E6684:E6685" si="980">D6684/8</f>
        <v>74.187773254937412</v>
      </c>
      <c r="F6684" s="1646">
        <f t="shared" ref="F6684:F6685" si="981">D6684+E6684</f>
        <v>667.68995929443668</v>
      </c>
      <c r="G6684" s="140" t="s">
        <v>11852</v>
      </c>
      <c r="H6684" s="1648">
        <v>420618</v>
      </c>
      <c r="I6684" s="434" t="s">
        <v>10295</v>
      </c>
      <c r="J6684" s="435" t="s">
        <v>10594</v>
      </c>
      <c r="K6684" s="434"/>
    </row>
    <row r="6685" spans="1:11" s="33" customFormat="1">
      <c r="A6685" s="435"/>
      <c r="B6685" s="26" t="s">
        <v>10454</v>
      </c>
      <c r="C6685" s="2366">
        <v>895.59999999999991</v>
      </c>
      <c r="D6685" s="230">
        <f>C6685*(1-VLOOKUP(I6685,descuentos,6,FALSE))*fcl/IF(dol_sol="dólar", TC,1)</f>
        <v>607.59837177747613</v>
      </c>
      <c r="E6685" s="1650">
        <f t="shared" si="980"/>
        <v>75.949796472184516</v>
      </c>
      <c r="F6685" s="1646">
        <f t="shared" si="981"/>
        <v>683.54816824966065</v>
      </c>
      <c r="G6685" s="140" t="s">
        <v>11853</v>
      </c>
      <c r="H6685" s="1648">
        <v>420619</v>
      </c>
      <c r="I6685" s="434" t="s">
        <v>10295</v>
      </c>
      <c r="J6685" s="435" t="s">
        <v>10594</v>
      </c>
      <c r="K6685" s="434"/>
    </row>
    <row r="6686" spans="1:11" s="33" customFormat="1">
      <c r="A6686" s="435"/>
      <c r="B6686" s="26"/>
      <c r="C6686" s="2366"/>
      <c r="D6686" s="230"/>
      <c r="E6686" s="1650"/>
      <c r="F6686" s="1646"/>
      <c r="G6686" s="140"/>
      <c r="H6686" s="1648"/>
      <c r="I6686" s="434"/>
      <c r="J6686" s="435"/>
      <c r="K6686" s="434"/>
    </row>
    <row r="6687" spans="1:11" s="33" customFormat="1">
      <c r="A6687" s="435"/>
      <c r="B6687" s="26"/>
      <c r="C6687" s="2366"/>
      <c r="D6687" s="230"/>
      <c r="E6687" s="1650"/>
      <c r="F6687" s="1646"/>
      <c r="G6687" s="140"/>
      <c r="H6687" s="1648"/>
      <c r="I6687" s="434"/>
      <c r="J6687" s="435"/>
      <c r="K6687" s="434"/>
    </row>
    <row r="6688" spans="1:11" s="33" customFormat="1">
      <c r="A6688" s="435"/>
      <c r="B6688" s="26"/>
      <c r="C6688" s="2366"/>
      <c r="D6688" s="230"/>
      <c r="E6688" s="1650"/>
      <c r="F6688" s="1646"/>
      <c r="G6688" s="195"/>
      <c r="H6688" s="1648"/>
      <c r="I6688" s="434"/>
      <c r="J6688" s="435"/>
      <c r="K6688" s="434"/>
    </row>
    <row r="6689" spans="1:11" s="33" customFormat="1">
      <c r="A6689" s="435"/>
      <c r="B6689" s="26"/>
      <c r="C6689" s="2366"/>
      <c r="D6689" s="230"/>
      <c r="E6689" s="1650"/>
      <c r="F6689" s="1646"/>
      <c r="G6689" s="195"/>
      <c r="H6689" s="1648"/>
      <c r="I6689" s="434"/>
      <c r="J6689" s="435"/>
      <c r="K6689" s="434"/>
    </row>
    <row r="6690" spans="1:11" s="33" customFormat="1">
      <c r="A6690" s="435"/>
      <c r="B6690" s="26" t="s">
        <v>10455</v>
      </c>
      <c r="C6690" s="2366">
        <v>1086.4444444444443</v>
      </c>
      <c r="D6690" s="230">
        <f>C6690*(1-VLOOKUP(I6690,descuentos,6,FALSE))*fcl/IF(dol_sol="dólar", TC,1)</f>
        <v>737.0722146841548</v>
      </c>
      <c r="E6690" s="1650">
        <f t="shared" ref="E6690:E6693" si="982">D6690/8</f>
        <v>92.13402683551935</v>
      </c>
      <c r="F6690" s="1646">
        <f t="shared" ref="F6690:F6693" si="983">D6690+E6690</f>
        <v>829.20624151967411</v>
      </c>
      <c r="G6690" s="140" t="s">
        <v>11854</v>
      </c>
      <c r="H6690" s="1648">
        <v>422001</v>
      </c>
      <c r="I6690" s="434" t="s">
        <v>10295</v>
      </c>
      <c r="J6690" s="435" t="s">
        <v>10594</v>
      </c>
      <c r="K6690" s="434"/>
    </row>
    <row r="6691" spans="1:11" s="33" customFormat="1">
      <c r="A6691" s="435"/>
      <c r="B6691" s="26" t="s">
        <v>10456</v>
      </c>
      <c r="C6691" s="2366">
        <v>1086.4444444444443</v>
      </c>
      <c r="D6691" s="230">
        <f>C6691*(1-VLOOKUP(I6691,descuentos,6,FALSE))*fcl/IF(dol_sol="dólar", TC,1)</f>
        <v>737.0722146841548</v>
      </c>
      <c r="E6691" s="1650">
        <f t="shared" si="982"/>
        <v>92.13402683551935</v>
      </c>
      <c r="F6691" s="1646">
        <f t="shared" si="983"/>
        <v>829.20624151967411</v>
      </c>
      <c r="G6691" s="140" t="s">
        <v>11855</v>
      </c>
      <c r="H6691" s="1648">
        <v>422002</v>
      </c>
      <c r="I6691" s="434" t="s">
        <v>10295</v>
      </c>
      <c r="J6691" s="435" t="s">
        <v>10594</v>
      </c>
      <c r="K6691" s="434"/>
    </row>
    <row r="6692" spans="1:11" s="33" customFormat="1">
      <c r="A6692" s="435"/>
      <c r="B6692" s="26" t="s">
        <v>10457</v>
      </c>
      <c r="C6692" s="2366">
        <v>1161.3888888888889</v>
      </c>
      <c r="D6692" s="230">
        <f>C6692*(1-VLOOKUP(I6692,descuentos,6,FALSE))*fcl/IF(dol_sol="dólar", TC,1)</f>
        <v>787.91647821498566</v>
      </c>
      <c r="E6692" s="1650">
        <f t="shared" si="982"/>
        <v>98.489559776873207</v>
      </c>
      <c r="F6692" s="1646">
        <f t="shared" si="983"/>
        <v>886.40603799185885</v>
      </c>
      <c r="G6692" s="140" t="s">
        <v>11856</v>
      </c>
      <c r="H6692" s="1648" t="s">
        <v>10458</v>
      </c>
      <c r="I6692" s="434" t="s">
        <v>10295</v>
      </c>
      <c r="J6692" s="435" t="s">
        <v>10594</v>
      </c>
      <c r="K6692" s="434"/>
    </row>
    <row r="6693" spans="1:11" s="33" customFormat="1" ht="15.75" customHeight="1">
      <c r="A6693" s="435"/>
      <c r="B6693" s="26" t="s">
        <v>10459</v>
      </c>
      <c r="C6693" s="2366">
        <v>1243.8888888888889</v>
      </c>
      <c r="D6693" s="230">
        <f>C6693*(1-VLOOKUP(I6693,descuentos,6,FALSE))*fcl/IF(dol_sol="dólar", TC,1)</f>
        <v>843.88662746871694</v>
      </c>
      <c r="E6693" s="1650">
        <f t="shared" si="982"/>
        <v>105.48582843358962</v>
      </c>
      <c r="F6693" s="1646">
        <f t="shared" si="983"/>
        <v>949.37245590230657</v>
      </c>
      <c r="G6693" s="140" t="s">
        <v>11857</v>
      </c>
      <c r="H6693" s="1648" t="s">
        <v>10460</v>
      </c>
      <c r="I6693" s="434" t="s">
        <v>10295</v>
      </c>
      <c r="J6693" s="435" t="s">
        <v>10594</v>
      </c>
      <c r="K6693" s="434"/>
    </row>
    <row r="6694" spans="1:11" s="33" customFormat="1">
      <c r="A6694" s="435"/>
      <c r="B6694" s="26"/>
      <c r="C6694" s="2366"/>
      <c r="D6694" s="230"/>
      <c r="E6694" s="1650"/>
      <c r="F6694" s="1646"/>
      <c r="G6694" s="195"/>
      <c r="H6694" s="1648"/>
      <c r="I6694" s="434"/>
      <c r="J6694" s="435"/>
      <c r="K6694" s="434"/>
    </row>
    <row r="6695" spans="1:11" s="33" customFormat="1">
      <c r="A6695" s="435"/>
      <c r="B6695" s="26" t="s">
        <v>10461</v>
      </c>
      <c r="C6695" s="2366">
        <v>1121.0777777777778</v>
      </c>
      <c r="D6695" s="230">
        <f>C6695*(1-VLOOKUP(I6695,descuentos,6,FALSE))*fcl/IF(dol_sol="dólar", TC,1)</f>
        <v>760.56837026986273</v>
      </c>
      <c r="E6695" s="1650">
        <f t="shared" ref="E6695:E6698" si="984">D6695/8</f>
        <v>95.071046283732841</v>
      </c>
      <c r="F6695" s="1646">
        <f t="shared" ref="F6695:F6698" si="985">D6695+E6695</f>
        <v>855.63941655359554</v>
      </c>
      <c r="G6695" s="140" t="s">
        <v>11858</v>
      </c>
      <c r="H6695" s="1648">
        <v>422015</v>
      </c>
      <c r="I6695" s="434" t="s">
        <v>10295</v>
      </c>
      <c r="J6695" s="435" t="s">
        <v>10594</v>
      </c>
      <c r="K6695" s="434"/>
    </row>
    <row r="6696" spans="1:11" s="33" customFormat="1">
      <c r="A6696" s="435"/>
      <c r="B6696" s="26" t="s">
        <v>10462</v>
      </c>
      <c r="C6696" s="2366">
        <v>1121.0777777777778</v>
      </c>
      <c r="D6696" s="230">
        <f>C6696*(1-VLOOKUP(I6696,descuentos,6,FALSE))*fcl/IF(dol_sol="dólar", TC,1)</f>
        <v>760.56837026986273</v>
      </c>
      <c r="E6696" s="1650">
        <f t="shared" si="984"/>
        <v>95.071046283732841</v>
      </c>
      <c r="F6696" s="1646">
        <f t="shared" si="985"/>
        <v>855.63941655359554</v>
      </c>
      <c r="G6696" s="140" t="s">
        <v>11859</v>
      </c>
      <c r="H6696" s="1648" t="s">
        <v>10463</v>
      </c>
      <c r="I6696" s="434" t="s">
        <v>10295</v>
      </c>
      <c r="J6696" s="435" t="s">
        <v>10594</v>
      </c>
      <c r="K6696" s="434"/>
    </row>
    <row r="6697" spans="1:11" s="33" customFormat="1">
      <c r="A6697" s="435"/>
      <c r="B6697" s="26" t="s">
        <v>10464</v>
      </c>
      <c r="C6697" s="2366">
        <v>1192.8777777777777</v>
      </c>
      <c r="D6697" s="230">
        <f>C6697*(1-VLOOKUP(I6697,descuentos,6,FALSE))*fcl/IF(dol_sol="dólar", TC,1)</f>
        <v>809.27936077189793</v>
      </c>
      <c r="E6697" s="1652">
        <f t="shared" si="984"/>
        <v>101.15992009648724</v>
      </c>
      <c r="F6697" s="1651">
        <f t="shared" si="985"/>
        <v>910.43928086838514</v>
      </c>
      <c r="G6697" s="140" t="s">
        <v>11860</v>
      </c>
      <c r="H6697" s="1648" t="s">
        <v>10465</v>
      </c>
      <c r="I6697" s="434" t="s">
        <v>10295</v>
      </c>
      <c r="J6697" s="435" t="s">
        <v>10594</v>
      </c>
      <c r="K6697" s="434"/>
    </row>
    <row r="6698" spans="1:11" s="33" customFormat="1">
      <c r="A6698" s="435"/>
      <c r="B6698" s="26" t="s">
        <v>10466</v>
      </c>
      <c r="C6698" s="2366">
        <v>1277.2666666666667</v>
      </c>
      <c r="D6698" s="230">
        <f>C6698*(1-VLOOKUP(I6698,descuentos,6,FALSE))*fcl/IF(dol_sol="dólar", TC,1)</f>
        <v>866.53098145635443</v>
      </c>
      <c r="E6698" s="1650">
        <f t="shared" si="984"/>
        <v>108.3163726820443</v>
      </c>
      <c r="F6698" s="1646">
        <f t="shared" si="985"/>
        <v>974.84735413839871</v>
      </c>
      <c r="G6698" s="140" t="s">
        <v>11861</v>
      </c>
      <c r="H6698" s="1648" t="s">
        <v>10467</v>
      </c>
      <c r="I6698" s="434" t="s">
        <v>10295</v>
      </c>
      <c r="J6698" s="435" t="s">
        <v>10594</v>
      </c>
      <c r="K6698" s="434"/>
    </row>
    <row r="6699" spans="1:11" s="33" customFormat="1">
      <c r="A6699" s="435"/>
      <c r="B6699" s="26"/>
      <c r="C6699" s="2366"/>
      <c r="D6699" s="1649"/>
      <c r="E6699" s="1650"/>
      <c r="F6699" s="1646"/>
      <c r="G6699" s="195"/>
      <c r="H6699" s="1648"/>
      <c r="I6699" s="434"/>
      <c r="J6699" s="435"/>
      <c r="K6699" s="434"/>
    </row>
    <row r="6700" spans="1:11" s="33" customFormat="1">
      <c r="A6700" s="435"/>
      <c r="B6700" s="26" t="s">
        <v>10468</v>
      </c>
      <c r="C6700" s="2366">
        <v>1248.3</v>
      </c>
      <c r="D6700" s="230">
        <f>C6700*(1-VLOOKUP(I6700,descuentos,6,FALSE))*fcl/IF(dol_sol="dólar", TC,1)</f>
        <v>846.87924016282204</v>
      </c>
      <c r="E6700" s="1650">
        <f t="shared" ref="E6700:E6703" si="986">D6700/8</f>
        <v>105.85990502035276</v>
      </c>
      <c r="F6700" s="1646">
        <f t="shared" ref="F6700:F6703" si="987">D6700+E6700</f>
        <v>952.73914518317474</v>
      </c>
      <c r="G6700" s="140" t="s">
        <v>11862</v>
      </c>
      <c r="H6700" s="1648">
        <v>422029</v>
      </c>
      <c r="I6700" s="434" t="s">
        <v>10295</v>
      </c>
      <c r="J6700" s="435" t="s">
        <v>10594</v>
      </c>
      <c r="K6700" s="434"/>
    </row>
    <row r="6701" spans="1:11" s="33" customFormat="1">
      <c r="A6701" s="435"/>
      <c r="B6701" s="26" t="s">
        <v>10469</v>
      </c>
      <c r="C6701" s="2366">
        <v>1260.8999999999999</v>
      </c>
      <c r="D6701" s="230">
        <f>C6701*(1-VLOOKUP(I6701,descuentos,6,FALSE))*fcl/IF(dol_sol="dólar", TC,1)</f>
        <v>855.42740841248281</v>
      </c>
      <c r="E6701" s="1650">
        <f t="shared" si="986"/>
        <v>106.92842605156035</v>
      </c>
      <c r="F6701" s="1646">
        <f t="shared" si="987"/>
        <v>962.35583446404314</v>
      </c>
      <c r="G6701" s="140" t="s">
        <v>11863</v>
      </c>
      <c r="H6701" s="1648" t="s">
        <v>10470</v>
      </c>
      <c r="I6701" s="434" t="s">
        <v>10295</v>
      </c>
      <c r="J6701" s="435" t="s">
        <v>10594</v>
      </c>
      <c r="K6701" s="434"/>
    </row>
    <row r="6702" spans="1:11" s="33" customFormat="1">
      <c r="A6702" s="435"/>
      <c r="B6702" s="26" t="s">
        <v>10471</v>
      </c>
      <c r="C6702" s="2366">
        <v>1368.6</v>
      </c>
      <c r="D6702" s="230">
        <f>C6702*(1-VLOOKUP(I6702,descuentos,6,FALSE))*fcl/IF(dol_sol="dólar", TC,1)</f>
        <v>928.49389416553583</v>
      </c>
      <c r="E6702" s="1652">
        <f t="shared" si="986"/>
        <v>116.06173677069198</v>
      </c>
      <c r="F6702" s="1651">
        <f t="shared" si="987"/>
        <v>1044.5556309362278</v>
      </c>
      <c r="G6702" s="140" t="s">
        <v>11864</v>
      </c>
      <c r="H6702" s="1648" t="s">
        <v>10472</v>
      </c>
      <c r="I6702" s="434" t="s">
        <v>10295</v>
      </c>
      <c r="J6702" s="435" t="s">
        <v>10594</v>
      </c>
      <c r="K6702" s="434"/>
    </row>
    <row r="6703" spans="1:11" s="33" customFormat="1">
      <c r="A6703" s="435"/>
      <c r="B6703" s="26" t="s">
        <v>10473</v>
      </c>
      <c r="C6703" s="2366">
        <v>1401.9777777777776</v>
      </c>
      <c r="D6703" s="230">
        <f>C6703*(1-VLOOKUP(I6703,descuentos,6,FALSE))*fcl/IF(dol_sol="dólar", TC,1)</f>
        <v>951.13824815317332</v>
      </c>
      <c r="E6703" s="1650">
        <f t="shared" si="986"/>
        <v>118.89228101914667</v>
      </c>
      <c r="F6703" s="1646">
        <f t="shared" si="987"/>
        <v>1070.03052917232</v>
      </c>
      <c r="G6703" s="140" t="s">
        <v>11865</v>
      </c>
      <c r="H6703" s="1648" t="s">
        <v>10474</v>
      </c>
      <c r="I6703" s="434" t="s">
        <v>10295</v>
      </c>
      <c r="J6703" s="435" t="s">
        <v>10594</v>
      </c>
      <c r="K6703" s="434"/>
    </row>
    <row r="6704" spans="1:11" s="33" customFormat="1">
      <c r="A6704" s="435"/>
      <c r="B6704" s="26"/>
      <c r="C6704" s="2366"/>
      <c r="D6704" s="230"/>
      <c r="E6704" s="1650"/>
      <c r="F6704" s="1646"/>
      <c r="G6704" s="140"/>
      <c r="H6704" s="1648"/>
      <c r="I6704" s="434"/>
      <c r="J6704" s="435"/>
      <c r="K6704" s="434"/>
    </row>
    <row r="6705" spans="1:11" s="33" customFormat="1">
      <c r="A6705" s="435"/>
      <c r="B6705" s="26" t="s">
        <v>10475</v>
      </c>
      <c r="C6705" s="2366">
        <v>1267.8222222222221</v>
      </c>
      <c r="D6705" s="230">
        <f>C6705*(1-VLOOKUP(I6705,descuentos,6,FALSE))*fcl/IF(dol_sol="dólar", TC,1)</f>
        <v>860.12362430272856</v>
      </c>
      <c r="E6705" s="1650">
        <f t="shared" ref="E6705:E6708" si="988">D6705/8</f>
        <v>107.51545303784107</v>
      </c>
      <c r="F6705" s="1646">
        <f t="shared" ref="F6705:F6708" si="989">D6705+E6705</f>
        <v>967.63907734056966</v>
      </c>
      <c r="G6705" s="140" t="s">
        <v>11866</v>
      </c>
      <c r="H6705" s="1648">
        <v>422043</v>
      </c>
      <c r="I6705" s="434" t="s">
        <v>10295</v>
      </c>
      <c r="J6705" s="435" t="s">
        <v>10594</v>
      </c>
      <c r="K6705" s="434"/>
    </row>
    <row r="6706" spans="1:11" s="33" customFormat="1">
      <c r="A6706" s="435"/>
      <c r="B6706" s="26" t="s">
        <v>10476</v>
      </c>
      <c r="C6706" s="2366">
        <v>1280.4222222222222</v>
      </c>
      <c r="D6706" s="230">
        <f>C6706*(1-VLOOKUP(I6706,descuentos,6,FALSE))*fcl/IF(dol_sol="dólar", TC,1)</f>
        <v>868.67179255238943</v>
      </c>
      <c r="E6706" s="1650">
        <f t="shared" si="988"/>
        <v>108.58397406904868</v>
      </c>
      <c r="F6706" s="1646">
        <f t="shared" si="989"/>
        <v>977.25576662143817</v>
      </c>
      <c r="G6706" s="140" t="s">
        <v>11867</v>
      </c>
      <c r="H6706" s="1648" t="s">
        <v>10477</v>
      </c>
      <c r="I6706" s="434" t="s">
        <v>10295</v>
      </c>
      <c r="J6706" s="435" t="s">
        <v>10594</v>
      </c>
      <c r="K6706" s="434"/>
    </row>
    <row r="6707" spans="1:11" s="33" customFormat="1">
      <c r="A6707" s="435"/>
      <c r="B6707" s="26" t="s">
        <v>10478</v>
      </c>
      <c r="C6707" s="2366">
        <v>1390.6444444444444</v>
      </c>
      <c r="D6707" s="230">
        <f>C6707*(1-VLOOKUP(I6707,descuentos,6,FALSE))*fcl/IF(dol_sol="dólar", TC,1)</f>
        <v>943.44941956882246</v>
      </c>
      <c r="E6707" s="1652">
        <f t="shared" si="988"/>
        <v>117.93117744610281</v>
      </c>
      <c r="F6707" s="1651">
        <f t="shared" si="989"/>
        <v>1061.3805970149253</v>
      </c>
      <c r="G6707" s="140" t="s">
        <v>11868</v>
      </c>
      <c r="H6707" s="1648" t="s">
        <v>10479</v>
      </c>
      <c r="I6707" s="434" t="s">
        <v>10295</v>
      </c>
      <c r="J6707" s="435" t="s">
        <v>10594</v>
      </c>
      <c r="K6707" s="434"/>
    </row>
    <row r="6708" spans="1:11" s="33" customFormat="1">
      <c r="A6708" s="435"/>
      <c r="B6708" s="26" t="s">
        <v>10480</v>
      </c>
      <c r="C6708" s="2366">
        <v>1420.8666666666666</v>
      </c>
      <c r="D6708" s="230">
        <f>C6708*(1-VLOOKUP(I6708,descuentos,6,FALSE))*fcl/IF(dol_sol="dólar", TC,1)</f>
        <v>963.95296246042494</v>
      </c>
      <c r="E6708" s="1650">
        <f t="shared" si="988"/>
        <v>120.49412030755312</v>
      </c>
      <c r="F6708" s="1646">
        <f t="shared" si="989"/>
        <v>1084.4470827679781</v>
      </c>
      <c r="G6708" s="140" t="s">
        <v>11869</v>
      </c>
      <c r="H6708" s="1648" t="s">
        <v>10481</v>
      </c>
      <c r="I6708" s="434" t="s">
        <v>10295</v>
      </c>
      <c r="J6708" s="435" t="s">
        <v>10594</v>
      </c>
      <c r="K6708" s="434"/>
    </row>
    <row r="6709" spans="1:11" s="33" customFormat="1">
      <c r="A6709" s="435"/>
      <c r="B6709" s="26"/>
      <c r="C6709" s="2366"/>
      <c r="D6709" s="230"/>
      <c r="E6709" s="1650"/>
      <c r="F6709" s="1646"/>
      <c r="G6709" s="195"/>
      <c r="H6709" s="1648"/>
      <c r="I6709" s="434"/>
      <c r="J6709" s="435"/>
      <c r="K6709" s="434"/>
    </row>
    <row r="6710" spans="1:11" s="33" customFormat="1">
      <c r="A6710" s="435"/>
      <c r="B6710" s="26"/>
      <c r="C6710" s="2366"/>
      <c r="D6710" s="230"/>
      <c r="E6710" s="1650"/>
      <c r="F6710" s="1646"/>
      <c r="G6710" s="195"/>
      <c r="H6710" s="1648"/>
      <c r="I6710" s="434"/>
      <c r="J6710" s="435"/>
      <c r="K6710" s="434"/>
    </row>
    <row r="6711" spans="1:11" s="33" customFormat="1">
      <c r="A6711" s="435"/>
      <c r="B6711" s="26" t="s">
        <v>10482</v>
      </c>
      <c r="C6711" s="2366">
        <v>1714.3666666666668</v>
      </c>
      <c r="D6711" s="230">
        <f>C6711*(1-VLOOKUP(I6711,descuentos,6,FALSE))*fcl/IF(dol_sol="dólar", TC,1)</f>
        <v>1163.0710085933965</v>
      </c>
      <c r="E6711" s="1650">
        <f t="shared" si="979"/>
        <v>145.38387607417457</v>
      </c>
      <c r="F6711" s="1646">
        <f t="shared" si="961"/>
        <v>1308.4548846675712</v>
      </c>
      <c r="G6711" s="140" t="s">
        <v>11870</v>
      </c>
      <c r="H6711" s="1648">
        <v>422006</v>
      </c>
      <c r="I6711" s="434" t="s">
        <v>10295</v>
      </c>
      <c r="J6711" s="435" t="s">
        <v>10594</v>
      </c>
      <c r="K6711" s="434"/>
    </row>
    <row r="6712" spans="1:11" s="33" customFormat="1">
      <c r="A6712" s="435"/>
      <c r="B6712" s="26" t="s">
        <v>10483</v>
      </c>
      <c r="C6712" s="2366">
        <v>1845.3777777777777</v>
      </c>
      <c r="D6712" s="230">
        <f>C6712*(1-VLOOKUP(I6712,descuentos,6,FALSE))*fcl/IF(dol_sol="dólar", TC,1)</f>
        <v>1251.9523594150457</v>
      </c>
      <c r="E6712" s="1650">
        <f t="shared" si="979"/>
        <v>156.49404492688072</v>
      </c>
      <c r="F6712" s="1646">
        <f t="shared" si="961"/>
        <v>1408.4464043419264</v>
      </c>
      <c r="G6712" s="140" t="s">
        <v>11871</v>
      </c>
      <c r="H6712" s="1648" t="s">
        <v>10484</v>
      </c>
      <c r="I6712" s="434" t="s">
        <v>10295</v>
      </c>
      <c r="J6712" s="435" t="s">
        <v>10594</v>
      </c>
      <c r="K6712" s="434"/>
    </row>
    <row r="6713" spans="1:11" s="33" customFormat="1">
      <c r="A6713" s="435"/>
      <c r="B6713" s="26" t="s">
        <v>10485</v>
      </c>
      <c r="C6713" s="2366">
        <v>1937.9555555555555</v>
      </c>
      <c r="D6713" s="230">
        <f>C6713*(1-VLOOKUP(I6713,descuentos,6,FALSE))*fcl/IF(dol_sol="dólar", TC,1)</f>
        <v>1314.759535655058</v>
      </c>
      <c r="E6713" s="1650">
        <f t="shared" si="979"/>
        <v>164.34494195688225</v>
      </c>
      <c r="F6713" s="1646">
        <f t="shared" si="961"/>
        <v>1479.1044776119402</v>
      </c>
      <c r="G6713" s="140" t="s">
        <v>11872</v>
      </c>
      <c r="H6713" s="1648" t="s">
        <v>10486</v>
      </c>
      <c r="I6713" s="434" t="s">
        <v>10295</v>
      </c>
      <c r="J6713" s="435" t="s">
        <v>10594</v>
      </c>
      <c r="K6713" s="434"/>
    </row>
    <row r="6714" spans="1:11" s="33" customFormat="1">
      <c r="A6714" s="435"/>
      <c r="B6714" s="26" t="s">
        <v>10487</v>
      </c>
      <c r="C6714" s="2366">
        <v>2034.9555555555555</v>
      </c>
      <c r="D6714" s="230">
        <f>C6714*(1-VLOOKUP(I6714,descuentos,6,FALSE))*fcl/IF(dol_sol="dólar", TC,1)</f>
        <v>1380.5668626564147</v>
      </c>
      <c r="E6714" s="1650">
        <f t="shared" si="979"/>
        <v>172.57085783205184</v>
      </c>
      <c r="F6714" s="1646">
        <f t="shared" si="961"/>
        <v>1553.1377204884666</v>
      </c>
      <c r="G6714" s="140" t="s">
        <v>11873</v>
      </c>
      <c r="H6714" s="1648" t="s">
        <v>10488</v>
      </c>
      <c r="I6714" s="434" t="s">
        <v>10295</v>
      </c>
      <c r="J6714" s="435" t="s">
        <v>10594</v>
      </c>
      <c r="K6714" s="434"/>
    </row>
    <row r="6715" spans="1:11" s="33" customFormat="1">
      <c r="A6715" s="435"/>
      <c r="B6715" s="26"/>
      <c r="C6715" s="2366"/>
      <c r="D6715" s="230"/>
      <c r="E6715" s="1650"/>
      <c r="F6715" s="1646"/>
      <c r="G6715" s="195"/>
      <c r="H6715" s="1648"/>
      <c r="I6715" s="434"/>
      <c r="J6715" s="435"/>
      <c r="K6715" s="434"/>
    </row>
    <row r="6716" spans="1:11" s="33" customFormat="1">
      <c r="A6716" s="435"/>
      <c r="B6716" s="26" t="s">
        <v>10489</v>
      </c>
      <c r="C6716" s="2366">
        <v>1863.6333333333332</v>
      </c>
      <c r="D6716" s="230">
        <f>C6716*(1-VLOOKUP(I6716,descuentos,6,FALSE))*fcl/IF(dol_sol="dólar", TC,1)</f>
        <v>1264.3374038896425</v>
      </c>
      <c r="E6716" s="1650">
        <f t="shared" si="979"/>
        <v>158.04217548620531</v>
      </c>
      <c r="F6716" s="1646">
        <f t="shared" si="961"/>
        <v>1422.3795793758477</v>
      </c>
      <c r="G6716" s="140" t="s">
        <v>11874</v>
      </c>
      <c r="H6716" s="1648">
        <v>422020</v>
      </c>
      <c r="I6716" s="434" t="s">
        <v>10295</v>
      </c>
      <c r="J6716" s="435" t="s">
        <v>10594</v>
      </c>
      <c r="K6716" s="434"/>
    </row>
    <row r="6717" spans="1:11" s="33" customFormat="1">
      <c r="A6717" s="435"/>
      <c r="B6717" s="26" t="s">
        <v>10490</v>
      </c>
      <c r="C6717" s="2366">
        <v>1919.0666666666666</v>
      </c>
      <c r="D6717" s="230">
        <f>C6717*(1-VLOOKUP(I6717,descuentos,6,FALSE))*fcl/IF(dol_sol="dólar", TC,1)</f>
        <v>1301.9448213478063</v>
      </c>
      <c r="E6717" s="1650">
        <f t="shared" si="979"/>
        <v>162.74310266847579</v>
      </c>
      <c r="F6717" s="1646">
        <f t="shared" si="961"/>
        <v>1464.6879240162821</v>
      </c>
      <c r="G6717" s="140" t="s">
        <v>11875</v>
      </c>
      <c r="H6717" s="1648" t="s">
        <v>10491</v>
      </c>
      <c r="I6717" s="434" t="s">
        <v>10295</v>
      </c>
      <c r="J6717" s="435" t="s">
        <v>10594</v>
      </c>
      <c r="K6717" s="434"/>
    </row>
    <row r="6718" spans="1:11" s="33" customFormat="1">
      <c r="A6718" s="435"/>
      <c r="B6718" s="26" t="s">
        <v>10492</v>
      </c>
      <c r="C6718" s="2366">
        <v>2015.4333333333334</v>
      </c>
      <c r="D6718" s="230">
        <f>C6718*(1-VLOOKUP(I6718,descuentos,6,FALSE))*fcl/IF(dol_sol="dólar", TC,1)</f>
        <v>1367.3224785165082</v>
      </c>
      <c r="E6718" s="1652">
        <f t="shared" si="979"/>
        <v>170.91530981456353</v>
      </c>
      <c r="F6718" s="1651">
        <f t="shared" si="961"/>
        <v>1538.2377883310717</v>
      </c>
      <c r="G6718" s="140" t="s">
        <v>11876</v>
      </c>
      <c r="H6718" s="1648" t="s">
        <v>10493</v>
      </c>
      <c r="I6718" s="434" t="s">
        <v>10295</v>
      </c>
      <c r="J6718" s="435" t="s">
        <v>10594</v>
      </c>
      <c r="K6718" s="434"/>
    </row>
    <row r="6719" spans="1:11" s="33" customFormat="1">
      <c r="A6719" s="435"/>
      <c r="B6719" s="26" t="s">
        <v>10494</v>
      </c>
      <c r="C6719" s="2366">
        <v>2076.5111111111109</v>
      </c>
      <c r="D6719" s="230">
        <f>C6719*(1-VLOOKUP(I6719,descuentos,6,FALSE))*fcl/IF(dol_sol="dólar", TC,1)</f>
        <v>1408.7592341323682</v>
      </c>
      <c r="E6719" s="1650">
        <f t="shared" si="979"/>
        <v>176.09490426654602</v>
      </c>
      <c r="F6719" s="1646">
        <f t="shared" si="961"/>
        <v>1584.8541383989143</v>
      </c>
      <c r="G6719" s="140" t="s">
        <v>11877</v>
      </c>
      <c r="H6719" s="1648" t="s">
        <v>10495</v>
      </c>
      <c r="I6719" s="434" t="s">
        <v>10295</v>
      </c>
      <c r="J6719" s="435" t="s">
        <v>10594</v>
      </c>
      <c r="K6719" s="434"/>
    </row>
    <row r="6720" spans="1:11" s="33" customFormat="1">
      <c r="A6720" s="435"/>
      <c r="B6720" s="26"/>
      <c r="C6720" s="2366"/>
      <c r="D6720" s="230"/>
      <c r="E6720" s="1650"/>
      <c r="F6720" s="1646"/>
      <c r="G6720" s="195"/>
      <c r="H6720" s="1648"/>
      <c r="I6720" s="434"/>
      <c r="J6720" s="435"/>
      <c r="K6720" s="434"/>
    </row>
    <row r="6721" spans="1:11" s="33" customFormat="1">
      <c r="A6721" s="435"/>
      <c r="B6721" s="26" t="s">
        <v>10496</v>
      </c>
      <c r="C6721" s="2366">
        <v>1877.4888888888888</v>
      </c>
      <c r="D6721" s="230">
        <f>C6721*(1-VLOOKUP(I6721,descuentos,6,FALSE))*fcl/IF(dol_sol="dólar", TC,1)</f>
        <v>1273.7373737373734</v>
      </c>
      <c r="E6721" s="1650">
        <f t="shared" ref="E6721:E6724" si="990">D6721/8</f>
        <v>159.21717171717168</v>
      </c>
      <c r="F6721" s="1646">
        <f t="shared" ref="F6721:F6724" si="991">D6721+E6721</f>
        <v>1432.954545454545</v>
      </c>
      <c r="G6721" s="140" t="s">
        <v>11878</v>
      </c>
      <c r="H6721" s="1648">
        <v>422034</v>
      </c>
      <c r="I6721" s="434" t="s">
        <v>10295</v>
      </c>
      <c r="J6721" s="435" t="s">
        <v>10594</v>
      </c>
      <c r="K6721" s="434"/>
    </row>
    <row r="6722" spans="1:11" s="33" customFormat="1">
      <c r="A6722" s="435"/>
      <c r="B6722" s="26" t="s">
        <v>10497</v>
      </c>
      <c r="C6722" s="2366">
        <v>1932.2888888888888</v>
      </c>
      <c r="D6722" s="230">
        <f>C6722*(1-VLOOKUP(I6722,descuentos,6,FALSE))*fcl/IF(dol_sol="dólar", TC,1)</f>
        <v>1310.9151213628822</v>
      </c>
      <c r="E6722" s="1650">
        <f t="shared" si="990"/>
        <v>163.86439017036028</v>
      </c>
      <c r="F6722" s="1646">
        <f t="shared" si="991"/>
        <v>1474.7795115332426</v>
      </c>
      <c r="G6722" s="140" t="s">
        <v>11879</v>
      </c>
      <c r="H6722" s="1648" t="s">
        <v>10498</v>
      </c>
      <c r="I6722" s="434" t="s">
        <v>10295</v>
      </c>
      <c r="J6722" s="435" t="s">
        <v>10594</v>
      </c>
      <c r="K6722" s="434"/>
    </row>
    <row r="6723" spans="1:11" s="33" customFormat="1">
      <c r="A6723" s="435"/>
      <c r="B6723" s="26" t="s">
        <v>10499</v>
      </c>
      <c r="C6723" s="2366">
        <v>2047.5444444444443</v>
      </c>
      <c r="D6723" s="230">
        <f>C6723*(1-VLOOKUP(I6723,descuentos,6,FALSE))*fcl/IF(dol_sol="dólar", TC,1)</f>
        <v>1389.1074928388357</v>
      </c>
      <c r="E6723" s="1652">
        <f t="shared" si="990"/>
        <v>173.63843660485446</v>
      </c>
      <c r="F6723" s="1651">
        <f t="shared" si="991"/>
        <v>1562.7459294436901</v>
      </c>
      <c r="G6723" s="140" t="s">
        <v>11880</v>
      </c>
      <c r="H6723" s="1648" t="s">
        <v>10500</v>
      </c>
      <c r="I6723" s="434" t="s">
        <v>10295</v>
      </c>
      <c r="J6723" s="435" t="s">
        <v>10594</v>
      </c>
      <c r="K6723" s="434"/>
    </row>
    <row r="6724" spans="1:11" s="33" customFormat="1">
      <c r="A6724" s="435"/>
      <c r="B6724" s="26" t="s">
        <v>10501</v>
      </c>
      <c r="C6724" s="2366">
        <v>2096.0333333333333</v>
      </c>
      <c r="D6724" s="230">
        <f>C6724*(1-VLOOKUP(I6724,descuentos,6,FALSE))*fcl/IF(dol_sol="dólar", TC,1)</f>
        <v>1422.0036182722749</v>
      </c>
      <c r="E6724" s="1650">
        <f t="shared" si="990"/>
        <v>177.75045228403437</v>
      </c>
      <c r="F6724" s="1646">
        <f t="shared" si="991"/>
        <v>1599.7540705563092</v>
      </c>
      <c r="G6724" s="140" t="s">
        <v>11881</v>
      </c>
      <c r="H6724" s="1648" t="s">
        <v>10502</v>
      </c>
      <c r="I6724" s="434" t="s">
        <v>10295</v>
      </c>
      <c r="J6724" s="435" t="s">
        <v>10594</v>
      </c>
      <c r="K6724" s="434"/>
    </row>
    <row r="6725" spans="1:11" s="33" customFormat="1">
      <c r="A6725" s="435"/>
      <c r="B6725" s="26"/>
      <c r="C6725" s="2366"/>
      <c r="D6725" s="230"/>
      <c r="E6725" s="1650"/>
      <c r="F6725" s="1646"/>
      <c r="G6725" s="140"/>
      <c r="H6725" s="1648"/>
      <c r="I6725" s="434"/>
      <c r="J6725" s="435"/>
      <c r="K6725" s="434"/>
    </row>
    <row r="6726" spans="1:11" s="33" customFormat="1">
      <c r="A6726" s="435"/>
      <c r="B6726" s="26" t="s">
        <v>10503</v>
      </c>
      <c r="C6726" s="2366">
        <v>1898.2777777777778</v>
      </c>
      <c r="D6726" s="230">
        <f>C6726*(1-VLOOKUP(I6726,descuentos,6,FALSE))*fcl/IF(dol_sol="dólar", TC,1)</f>
        <v>1287.84109754259</v>
      </c>
      <c r="E6726" s="1650">
        <f t="shared" ref="E6726:E6729" si="992">D6726/8</f>
        <v>160.98013719282375</v>
      </c>
      <c r="F6726" s="1646">
        <f t="shared" ref="F6726:F6729" si="993">D6726+E6726</f>
        <v>1448.8212347354138</v>
      </c>
      <c r="G6726" s="140" t="s">
        <v>11882</v>
      </c>
      <c r="H6726" s="1648">
        <v>422048</v>
      </c>
      <c r="I6726" s="434" t="s">
        <v>10295</v>
      </c>
      <c r="J6726" s="435" t="s">
        <v>10594</v>
      </c>
      <c r="K6726" s="434"/>
    </row>
    <row r="6727" spans="1:11" s="33" customFormat="1">
      <c r="A6727" s="435"/>
      <c r="B6727" s="26" t="s">
        <v>10504</v>
      </c>
      <c r="C6727" s="2366">
        <v>1946.7666666666664</v>
      </c>
      <c r="D6727" s="230">
        <f>C6727*(1-VLOOKUP(I6727,descuentos,6,FALSE))*fcl/IF(dol_sol="dólar", TC,1)</f>
        <v>1320.7372229760288</v>
      </c>
      <c r="E6727" s="1650">
        <f t="shared" si="992"/>
        <v>165.0921528720036</v>
      </c>
      <c r="F6727" s="1646">
        <f t="shared" si="993"/>
        <v>1485.8293758480324</v>
      </c>
      <c r="G6727" s="140" t="s">
        <v>11883</v>
      </c>
      <c r="H6727" s="1648">
        <v>422049</v>
      </c>
      <c r="I6727" s="434" t="s">
        <v>10295</v>
      </c>
      <c r="J6727" s="435" t="s">
        <v>10594</v>
      </c>
      <c r="K6727" s="434"/>
    </row>
    <row r="6728" spans="1:11" s="33" customFormat="1">
      <c r="A6728" s="435"/>
      <c r="B6728" s="26" t="s">
        <v>10505</v>
      </c>
      <c r="C6728" s="2366">
        <v>2076.5111111111109</v>
      </c>
      <c r="D6728" s="230">
        <f>C6728*(1-VLOOKUP(I6728,descuentos,6,FALSE))*fcl/IF(dol_sol="dólar", TC,1)</f>
        <v>1408.7592341323682</v>
      </c>
      <c r="E6728" s="1652">
        <f t="shared" si="992"/>
        <v>176.09490426654602</v>
      </c>
      <c r="F6728" s="1651">
        <f t="shared" si="993"/>
        <v>1584.8541383989143</v>
      </c>
      <c r="G6728" s="140" t="s">
        <v>11884</v>
      </c>
      <c r="H6728" s="1648" t="s">
        <v>10506</v>
      </c>
      <c r="I6728" s="434" t="s">
        <v>10295</v>
      </c>
      <c r="J6728" s="435" t="s">
        <v>10594</v>
      </c>
      <c r="K6728" s="434"/>
    </row>
    <row r="6729" spans="1:11" s="33" customFormat="1">
      <c r="A6729" s="435"/>
      <c r="B6729" s="26" t="s">
        <v>10507</v>
      </c>
      <c r="C6729" s="2366">
        <v>2128.8000000000002</v>
      </c>
      <c r="D6729" s="230">
        <f>C6729*(1-VLOOKUP(I6729,descuentos,6,FALSE))*fcl/IF(dol_sol="dólar", TC,1)</f>
        <v>1444.2333785617366</v>
      </c>
      <c r="E6729" s="1650">
        <f t="shared" si="992"/>
        <v>180.52917232021707</v>
      </c>
      <c r="F6729" s="1646">
        <f t="shared" si="993"/>
        <v>1624.7625508819538</v>
      </c>
      <c r="G6729" s="140" t="s">
        <v>11885</v>
      </c>
      <c r="H6729" s="1648" t="s">
        <v>10508</v>
      </c>
      <c r="I6729" s="434" t="s">
        <v>10295</v>
      </c>
      <c r="J6729" s="435" t="s">
        <v>10594</v>
      </c>
      <c r="K6729" s="434"/>
    </row>
    <row r="6730" spans="1:11" s="33" customFormat="1">
      <c r="A6730" s="435"/>
      <c r="B6730" s="26"/>
      <c r="C6730" s="2366"/>
      <c r="D6730" s="230"/>
      <c r="E6730" s="1650"/>
      <c r="F6730" s="1646"/>
      <c r="G6730" s="140"/>
      <c r="H6730" s="1648"/>
      <c r="I6730" s="434"/>
      <c r="J6730" s="435"/>
      <c r="K6730" s="434"/>
    </row>
    <row r="6731" spans="1:11" s="33" customFormat="1">
      <c r="A6731" s="435"/>
      <c r="B6731" s="26" t="s">
        <v>10509</v>
      </c>
      <c r="C6731" s="2366">
        <v>1366.9444444444443</v>
      </c>
      <c r="D6731" s="230">
        <f>C6731*(1-VLOOKUP(I6731,descuentos,6,FALSE))*fcl/IF(dol_sol="dólar", TC,1)</f>
        <v>927.37072214684133</v>
      </c>
      <c r="E6731" s="1650">
        <f t="shared" ref="E6731:E6734" si="994">D6731/8</f>
        <v>115.92134026835517</v>
      </c>
      <c r="F6731" s="1646">
        <f t="shared" ref="F6731:F6734" si="995">D6731+E6731</f>
        <v>1043.2920624151966</v>
      </c>
      <c r="G6731" s="140" t="s">
        <v>11886</v>
      </c>
      <c r="H6731" s="1648">
        <v>422499</v>
      </c>
      <c r="I6731" s="434" t="s">
        <v>10295</v>
      </c>
      <c r="J6731" s="435" t="s">
        <v>10594</v>
      </c>
      <c r="K6731" s="434"/>
    </row>
    <row r="6732" spans="1:11" s="33" customFormat="1">
      <c r="A6732" s="435"/>
      <c r="B6732" s="26" t="s">
        <v>10510</v>
      </c>
      <c r="C6732" s="2366">
        <v>1377.9222222222222</v>
      </c>
      <c r="D6732" s="230">
        <f>C6732*(1-VLOOKUP(I6732,descuentos,6,FALSE))*fcl/IF(dol_sol="dólar", TC,1)</f>
        <v>934.81833257952655</v>
      </c>
      <c r="E6732" s="1650">
        <f t="shared" si="994"/>
        <v>116.85229157244082</v>
      </c>
      <c r="F6732" s="1646">
        <f t="shared" si="995"/>
        <v>1051.6706241519673</v>
      </c>
      <c r="G6732" s="140" t="s">
        <v>11887</v>
      </c>
      <c r="H6732" s="1648" t="s">
        <v>10511</v>
      </c>
      <c r="I6732" s="434" t="s">
        <v>10295</v>
      </c>
      <c r="J6732" s="435" t="s">
        <v>10594</v>
      </c>
      <c r="K6732" s="434"/>
    </row>
    <row r="6733" spans="1:11" s="33" customFormat="1">
      <c r="A6733" s="435"/>
      <c r="B6733" s="26" t="s">
        <v>10512</v>
      </c>
      <c r="C6733" s="2366">
        <v>1569.3666666666668</v>
      </c>
      <c r="D6733" s="230">
        <f>C6733*(1-VLOOKUP(I6733,descuentos,6,FALSE))*fcl/IF(dol_sol="dólar", TC,1)</f>
        <v>1064.6992311171414</v>
      </c>
      <c r="E6733" s="1650">
        <f t="shared" si="994"/>
        <v>133.08740388964267</v>
      </c>
      <c r="F6733" s="1646">
        <f t="shared" si="995"/>
        <v>1197.7866350067841</v>
      </c>
      <c r="G6733" s="140" t="s">
        <v>11888</v>
      </c>
      <c r="H6733" s="1648" t="s">
        <v>10513</v>
      </c>
      <c r="I6733" s="434" t="s">
        <v>10295</v>
      </c>
      <c r="J6733" s="435" t="s">
        <v>10594</v>
      </c>
      <c r="K6733" s="434"/>
    </row>
    <row r="6734" spans="1:11" s="33" customFormat="1">
      <c r="A6734" s="435"/>
      <c r="B6734" s="26" t="s">
        <v>10514</v>
      </c>
      <c r="C6734" s="2366">
        <v>1600.4666666666667</v>
      </c>
      <c r="D6734" s="230">
        <f>C6734*(1-VLOOKUP(I6734,descuentos,6,FALSE))*fcl/IF(dol_sol="dólar", TC,1)</f>
        <v>1085.7982813206693</v>
      </c>
      <c r="E6734" s="1650">
        <f t="shared" si="994"/>
        <v>135.72478516508366</v>
      </c>
      <c r="F6734" s="1646">
        <f t="shared" si="995"/>
        <v>1221.5230664857529</v>
      </c>
      <c r="G6734" s="140" t="s">
        <v>11889</v>
      </c>
      <c r="H6734" s="1648" t="s">
        <v>10515</v>
      </c>
      <c r="I6734" s="434" t="s">
        <v>10295</v>
      </c>
      <c r="J6734" s="435" t="s">
        <v>10594</v>
      </c>
      <c r="K6734" s="434"/>
    </row>
    <row r="6735" spans="1:11" s="33" customFormat="1">
      <c r="A6735" s="435"/>
      <c r="B6735" s="26"/>
      <c r="C6735" s="2366"/>
      <c r="D6735" s="230"/>
      <c r="E6735" s="1650"/>
      <c r="F6735" s="1646"/>
      <c r="G6735" s="195"/>
      <c r="H6735" s="1648"/>
      <c r="I6735" s="434"/>
      <c r="J6735" s="435"/>
      <c r="K6735" s="434"/>
    </row>
    <row r="6736" spans="1:11" s="33" customFormat="1">
      <c r="A6736" s="435"/>
      <c r="B6736" s="26" t="s">
        <v>10516</v>
      </c>
      <c r="C6736" s="2366">
        <v>1415.7222222222224</v>
      </c>
      <c r="D6736" s="230">
        <f>C6736*(1-VLOOKUP(I6736,descuentos,6,FALSE))*fcl/IF(dol_sol="dólar", TC,1)</f>
        <v>960.46283732850907</v>
      </c>
      <c r="E6736" s="1650">
        <f t="shared" ref="E6736:E6739" si="996">D6736/8</f>
        <v>120.05785466606363</v>
      </c>
      <c r="F6736" s="1646">
        <f t="shared" ref="F6736:F6739" si="997">D6736+E6736</f>
        <v>1080.5206919945726</v>
      </c>
      <c r="G6736" s="140" t="s">
        <v>11890</v>
      </c>
      <c r="H6736" s="1648">
        <v>422509</v>
      </c>
      <c r="I6736" s="434" t="s">
        <v>10295</v>
      </c>
      <c r="J6736" s="435" t="s">
        <v>10594</v>
      </c>
      <c r="K6736" s="434"/>
    </row>
    <row r="6737" spans="1:11" s="33" customFormat="1">
      <c r="A6737" s="435"/>
      <c r="B6737" s="26" t="s">
        <v>10517</v>
      </c>
      <c r="C6737" s="2366">
        <v>1446.8222222222223</v>
      </c>
      <c r="D6737" s="230">
        <f>C6737*(1-VLOOKUP(I6737,descuentos,6,FALSE))*fcl/IF(dol_sol="dólar", TC,1)</f>
        <v>981.56188753203662</v>
      </c>
      <c r="E6737" s="1650">
        <f t="shared" si="996"/>
        <v>122.69523594150458</v>
      </c>
      <c r="F6737" s="1646">
        <f t="shared" si="997"/>
        <v>1104.2571234735412</v>
      </c>
      <c r="G6737" s="140" t="s">
        <v>11891</v>
      </c>
      <c r="H6737" s="1648" t="s">
        <v>10518</v>
      </c>
      <c r="I6737" s="434" t="s">
        <v>10295</v>
      </c>
      <c r="J6737" s="435" t="s">
        <v>10594</v>
      </c>
      <c r="K6737" s="434"/>
    </row>
    <row r="6738" spans="1:11" s="33" customFormat="1">
      <c r="A6738" s="435"/>
      <c r="B6738" s="26" t="s">
        <v>10519</v>
      </c>
      <c r="C6738" s="2366">
        <v>1648.0222222222221</v>
      </c>
      <c r="D6738" s="230">
        <f>C6738*(1-VLOOKUP(I6738,descuentos,6,FALSE))*fcl/IF(dol_sol="dólar", TC,1)</f>
        <v>1118.061209105985</v>
      </c>
      <c r="E6738" s="1652">
        <f t="shared" si="996"/>
        <v>139.75765113824812</v>
      </c>
      <c r="F6738" s="1651">
        <f t="shared" si="997"/>
        <v>1257.8188602442331</v>
      </c>
      <c r="G6738" s="140" t="s">
        <v>11892</v>
      </c>
      <c r="H6738" s="1648" t="s">
        <v>10520</v>
      </c>
      <c r="I6738" s="434" t="s">
        <v>10295</v>
      </c>
      <c r="J6738" s="435" t="s">
        <v>10594</v>
      </c>
      <c r="K6738" s="434"/>
    </row>
    <row r="6739" spans="1:11" s="33" customFormat="1">
      <c r="A6739" s="435"/>
      <c r="B6739" s="26" t="s">
        <v>10521</v>
      </c>
      <c r="C6739" s="2366">
        <v>1680.3333333333333</v>
      </c>
      <c r="D6739" s="230">
        <f>C6739*(1-VLOOKUP(I6739,descuentos,6,FALSE))*fcl/IF(dol_sol="dólar", TC,1)</f>
        <v>1139.9819086386249</v>
      </c>
      <c r="E6739" s="1650">
        <f t="shared" si="996"/>
        <v>142.49773857982811</v>
      </c>
      <c r="F6739" s="1646">
        <f t="shared" si="997"/>
        <v>1282.479647218453</v>
      </c>
      <c r="G6739" s="140" t="s">
        <v>11893</v>
      </c>
      <c r="H6739" s="1648" t="s">
        <v>10522</v>
      </c>
      <c r="I6739" s="434" t="s">
        <v>10295</v>
      </c>
      <c r="J6739" s="435" t="s">
        <v>10594</v>
      </c>
      <c r="K6739" s="434"/>
    </row>
    <row r="6740" spans="1:11" s="33" customFormat="1">
      <c r="A6740" s="435"/>
      <c r="B6740" s="26"/>
      <c r="C6740" s="2366"/>
      <c r="D6740" s="230"/>
      <c r="E6740" s="1650"/>
      <c r="F6740" s="1646"/>
      <c r="G6740" s="195"/>
      <c r="H6740" s="1648"/>
      <c r="I6740" s="434"/>
      <c r="J6740" s="435"/>
      <c r="K6740" s="434"/>
    </row>
    <row r="6741" spans="1:11" s="33" customFormat="1">
      <c r="A6741" s="435"/>
      <c r="B6741" s="26" t="s">
        <v>10523</v>
      </c>
      <c r="C6741" s="2366">
        <v>1624.4444444444443</v>
      </c>
      <c r="D6741" s="230">
        <f>C6741*(1-VLOOKUP(I6741,descuentos,6,FALSE))*fcl/IF(dol_sol="dólar", TC,1)</f>
        <v>1102.0654304236391</v>
      </c>
      <c r="E6741" s="1650">
        <f t="shared" ref="E6741:E6744" si="998">D6741/8</f>
        <v>137.75817880295489</v>
      </c>
      <c r="F6741" s="1646">
        <f t="shared" ref="F6741:F6744" si="999">D6741+E6741</f>
        <v>1239.823609226594</v>
      </c>
      <c r="G6741" s="140" t="s">
        <v>11894</v>
      </c>
      <c r="H6741" s="1648">
        <v>422519</v>
      </c>
      <c r="I6741" s="434" t="s">
        <v>10295</v>
      </c>
      <c r="J6741" s="435" t="s">
        <v>10594</v>
      </c>
      <c r="K6741" s="434"/>
    </row>
    <row r="6742" spans="1:11" s="33" customFormat="1">
      <c r="A6742" s="435"/>
      <c r="B6742" s="26" t="s">
        <v>10524</v>
      </c>
      <c r="C6742" s="2366">
        <v>1656.6666666666665</v>
      </c>
      <c r="D6742" s="230">
        <f>C6742*(1-VLOOKUP(I6742,descuentos,6,FALSE))*fcl/IF(dol_sol="dólar", TC,1)</f>
        <v>1123.9258254183626</v>
      </c>
      <c r="E6742" s="1650">
        <f t="shared" si="998"/>
        <v>140.49072817729532</v>
      </c>
      <c r="F6742" s="1646">
        <f t="shared" si="999"/>
        <v>1264.4165535956579</v>
      </c>
      <c r="G6742" s="140" t="s">
        <v>11895</v>
      </c>
      <c r="H6742" s="1648" t="s">
        <v>10525</v>
      </c>
      <c r="I6742" s="434" t="s">
        <v>10295</v>
      </c>
      <c r="J6742" s="435" t="s">
        <v>10594</v>
      </c>
      <c r="K6742" s="434"/>
    </row>
    <row r="6743" spans="1:11" s="33" customFormat="1">
      <c r="A6743" s="435"/>
      <c r="B6743" s="26" t="s">
        <v>10526</v>
      </c>
      <c r="C6743" s="2366">
        <v>1834.4444444444443</v>
      </c>
      <c r="D6743" s="230">
        <f>C6743*(1-VLOOKUP(I6743,descuentos,6,FALSE))*fcl/IF(dol_sol="dólar", TC,1)</f>
        <v>1244.5349012513191</v>
      </c>
      <c r="E6743" s="1652">
        <f t="shared" si="998"/>
        <v>155.56686265641488</v>
      </c>
      <c r="F6743" s="1651">
        <f t="shared" si="999"/>
        <v>1400.101763907734</v>
      </c>
      <c r="G6743" s="140" t="s">
        <v>11896</v>
      </c>
      <c r="H6743" s="1648" t="s">
        <v>10527</v>
      </c>
      <c r="I6743" s="434" t="s">
        <v>10295</v>
      </c>
      <c r="J6743" s="435" t="s">
        <v>10594</v>
      </c>
      <c r="K6743" s="434"/>
    </row>
    <row r="6744" spans="1:11" s="33" customFormat="1">
      <c r="A6744" s="435"/>
      <c r="B6744" s="26" t="s">
        <v>10528</v>
      </c>
      <c r="C6744" s="2366">
        <v>1871.1111111111111</v>
      </c>
      <c r="D6744" s="230">
        <f>C6744*(1-VLOOKUP(I6744,descuentos,6,FALSE))*fcl/IF(dol_sol="dólar", TC,1)</f>
        <v>1269.4105231418662</v>
      </c>
      <c r="E6744" s="1650">
        <f t="shared" si="998"/>
        <v>158.67631539273327</v>
      </c>
      <c r="F6744" s="1646">
        <f t="shared" si="999"/>
        <v>1428.0868385345993</v>
      </c>
      <c r="G6744" s="140" t="s">
        <v>11897</v>
      </c>
      <c r="H6744" s="1648">
        <v>422522</v>
      </c>
      <c r="I6744" s="434" t="s">
        <v>10295</v>
      </c>
      <c r="J6744" s="435" t="s">
        <v>10594</v>
      </c>
      <c r="K6744" s="434"/>
    </row>
    <row r="6745" spans="1:11" s="33" customFormat="1">
      <c r="A6745" s="435"/>
      <c r="B6745" s="26"/>
      <c r="C6745" s="2366"/>
      <c r="D6745" s="230"/>
      <c r="E6745" s="1650"/>
      <c r="F6745" s="1646"/>
      <c r="G6745" s="140"/>
      <c r="H6745" s="1648"/>
      <c r="I6745" s="434"/>
      <c r="J6745" s="435"/>
      <c r="K6745" s="434"/>
    </row>
    <row r="6746" spans="1:11" s="33" customFormat="1">
      <c r="A6746" s="435"/>
      <c r="B6746" s="26" t="s">
        <v>10529</v>
      </c>
      <c r="C6746" s="2366">
        <v>1862.0222222222221</v>
      </c>
      <c r="D6746" s="230">
        <f>C6746*(1-VLOOKUP(I6746,descuentos,6,FALSE))*fcl/IF(dol_sol="dólar", TC,1)</f>
        <v>1263.2443841399063</v>
      </c>
      <c r="E6746" s="1650">
        <f t="shared" ref="E6746:E6749" si="1000">D6746/8</f>
        <v>157.90554801748829</v>
      </c>
      <c r="F6746" s="1646">
        <f t="shared" ref="F6746:F6749" si="1001">D6746+E6746</f>
        <v>1421.1499321573947</v>
      </c>
      <c r="G6746" s="140" t="s">
        <v>11898</v>
      </c>
      <c r="H6746" s="1648">
        <v>422057</v>
      </c>
      <c r="I6746" s="434" t="s">
        <v>10295</v>
      </c>
      <c r="J6746" s="435" t="s">
        <v>10594</v>
      </c>
      <c r="K6746" s="434"/>
    </row>
    <row r="6747" spans="1:11" s="33" customFormat="1">
      <c r="A6747" s="435"/>
      <c r="B6747" s="26" t="s">
        <v>10530</v>
      </c>
      <c r="C6747" s="2366">
        <v>1901.6555555555556</v>
      </c>
      <c r="D6747" s="230">
        <f>C6747*(1-VLOOKUP(I6747,descuentos,6,FALSE))*fcl/IF(dol_sol="dólar", TC,1)</f>
        <v>1290.1326699834162</v>
      </c>
      <c r="E6747" s="1650">
        <f t="shared" si="1000"/>
        <v>161.26658374792703</v>
      </c>
      <c r="F6747" s="1646">
        <f t="shared" si="1001"/>
        <v>1451.3992537313434</v>
      </c>
      <c r="G6747" s="140" t="s">
        <v>11899</v>
      </c>
      <c r="H6747" s="1648" t="s">
        <v>10531</v>
      </c>
      <c r="I6747" s="434" t="s">
        <v>10295</v>
      </c>
      <c r="J6747" s="435" t="s">
        <v>10594</v>
      </c>
      <c r="K6747" s="434"/>
    </row>
    <row r="6748" spans="1:11" s="33" customFormat="1">
      <c r="A6748" s="435"/>
      <c r="B6748" s="26" t="s">
        <v>10532</v>
      </c>
      <c r="C6748" s="2366">
        <v>2028.4666666666665</v>
      </c>
      <c r="D6748" s="230">
        <f>C6748*(1-VLOOKUP(I6748,descuentos,6,FALSE))*fcl/IF(dol_sol="dólar", TC,1)</f>
        <v>1376.1646313885117</v>
      </c>
      <c r="E6748" s="1650">
        <f t="shared" si="1000"/>
        <v>172.02057892356396</v>
      </c>
      <c r="F6748" s="1646">
        <f t="shared" si="1001"/>
        <v>1548.1852103120757</v>
      </c>
      <c r="G6748" s="140" t="s">
        <v>11900</v>
      </c>
      <c r="H6748" s="1648" t="s">
        <v>10533</v>
      </c>
      <c r="I6748" s="434" t="s">
        <v>10295</v>
      </c>
      <c r="J6748" s="435" t="s">
        <v>10594</v>
      </c>
      <c r="K6748" s="434"/>
    </row>
    <row r="6749" spans="1:11" s="33" customFormat="1">
      <c r="A6749" s="435"/>
      <c r="B6749" s="26" t="s">
        <v>10534</v>
      </c>
      <c r="C6749" s="2366">
        <v>2039.4444444444443</v>
      </c>
      <c r="D6749" s="230">
        <f>C6749*(1-VLOOKUP(I6749,descuentos,6,FALSE))*fcl/IF(dol_sol="dólar", TC,1)</f>
        <v>1383.6122418211969</v>
      </c>
      <c r="E6749" s="1650">
        <f t="shared" si="1000"/>
        <v>172.95153022764961</v>
      </c>
      <c r="F6749" s="1646">
        <f t="shared" si="1001"/>
        <v>1556.5637720488464</v>
      </c>
      <c r="G6749" s="140" t="s">
        <v>11901</v>
      </c>
      <c r="H6749" s="1648" t="s">
        <v>10535</v>
      </c>
      <c r="I6749" s="434" t="s">
        <v>10295</v>
      </c>
      <c r="J6749" s="435" t="s">
        <v>10594</v>
      </c>
      <c r="K6749" s="434"/>
    </row>
    <row r="6750" spans="1:11" s="33" customFormat="1">
      <c r="A6750" s="435"/>
      <c r="B6750" s="26"/>
      <c r="C6750" s="2366"/>
      <c r="D6750" s="230"/>
      <c r="E6750" s="1650"/>
      <c r="F6750" s="1646"/>
      <c r="G6750" s="195"/>
      <c r="H6750" s="1648"/>
      <c r="I6750" s="434"/>
      <c r="J6750" s="435"/>
      <c r="K6750" s="434"/>
    </row>
    <row r="6751" spans="1:11" s="33" customFormat="1">
      <c r="A6751" s="435"/>
      <c r="B6751" s="26" t="s">
        <v>10536</v>
      </c>
      <c r="C6751" s="2366">
        <v>2066.2777777777778</v>
      </c>
      <c r="D6751" s="230">
        <f>C6751*(1-VLOOKUP(I6751,descuentos,6,FALSE))*fcl/IF(dol_sol="dólar", TC,1)</f>
        <v>1401.8166742047335</v>
      </c>
      <c r="E6751" s="1650">
        <f t="shared" ref="E6751:E6754" si="1002">D6751/8</f>
        <v>175.22708427559169</v>
      </c>
      <c r="F6751" s="1646">
        <f t="shared" ref="F6751:F6754" si="1003">D6751+E6751</f>
        <v>1577.0437584803253</v>
      </c>
      <c r="G6751" s="140" t="s">
        <v>11902</v>
      </c>
      <c r="H6751" s="1648">
        <v>422067</v>
      </c>
      <c r="I6751" s="434" t="s">
        <v>10295</v>
      </c>
      <c r="J6751" s="435" t="s">
        <v>10594</v>
      </c>
      <c r="K6751" s="434"/>
    </row>
    <row r="6752" spans="1:11" s="33" customFormat="1">
      <c r="A6752" s="435"/>
      <c r="B6752" s="26" t="s">
        <v>10537</v>
      </c>
      <c r="C6752" s="2366">
        <v>2086.3888888888887</v>
      </c>
      <c r="D6752" s="230">
        <f>C6752*(1-VLOOKUP(I6752,descuentos,6,FALSE))*fcl/IF(dol_sol="dólar", TC,1)</f>
        <v>1415.4605759083368</v>
      </c>
      <c r="E6752" s="1650">
        <f t="shared" si="1002"/>
        <v>176.93257198854209</v>
      </c>
      <c r="F6752" s="1646">
        <f t="shared" si="1003"/>
        <v>1592.3931478968789</v>
      </c>
      <c r="G6752" s="140" t="s">
        <v>11903</v>
      </c>
      <c r="H6752" s="1648" t="s">
        <v>10538</v>
      </c>
      <c r="I6752" s="434" t="s">
        <v>10295</v>
      </c>
      <c r="J6752" s="435" t="s">
        <v>10594</v>
      </c>
      <c r="K6752" s="434"/>
    </row>
    <row r="6753" spans="1:11" s="33" customFormat="1">
      <c r="A6753" s="435"/>
      <c r="B6753" s="26" t="s">
        <v>10539</v>
      </c>
      <c r="C6753" s="2366">
        <v>2251.0111111111109</v>
      </c>
      <c r="D6753" s="230">
        <f>C6753*(1-VLOOKUP(I6753,descuentos,6,FALSE))*fcl/IF(dol_sol="dólar", TC,1)</f>
        <v>1527.1445801296545</v>
      </c>
      <c r="E6753" s="1652">
        <f t="shared" si="1002"/>
        <v>190.89307251620681</v>
      </c>
      <c r="F6753" s="1651">
        <f t="shared" si="1003"/>
        <v>1718.0376526458613</v>
      </c>
      <c r="G6753" s="140" t="s">
        <v>11904</v>
      </c>
      <c r="H6753" s="1648" t="s">
        <v>10540</v>
      </c>
      <c r="I6753" s="434" t="s">
        <v>10295</v>
      </c>
      <c r="J6753" s="435" t="s">
        <v>10594</v>
      </c>
      <c r="K6753" s="434"/>
    </row>
    <row r="6754" spans="1:11" s="33" customFormat="1">
      <c r="A6754" s="435"/>
      <c r="B6754" s="26" t="s">
        <v>10541</v>
      </c>
      <c r="C6754" s="2366">
        <v>2261.9888888888886</v>
      </c>
      <c r="D6754" s="230">
        <f>C6754*(1-VLOOKUP(I6754,descuentos,6,FALSE))*fcl/IF(dol_sol="dólar", TC,1)</f>
        <v>1534.5921905623395</v>
      </c>
      <c r="E6754" s="1650">
        <f t="shared" si="1002"/>
        <v>191.82402382029244</v>
      </c>
      <c r="F6754" s="1646">
        <f t="shared" si="1003"/>
        <v>1726.416214382632</v>
      </c>
      <c r="G6754" s="140" t="s">
        <v>11905</v>
      </c>
      <c r="H6754" s="1648" t="s">
        <v>10542</v>
      </c>
      <c r="I6754" s="434" t="s">
        <v>10295</v>
      </c>
      <c r="J6754" s="435" t="s">
        <v>10594</v>
      </c>
      <c r="K6754" s="434"/>
    </row>
    <row r="6755" spans="1:11" s="185" customFormat="1">
      <c r="A6755" s="447"/>
      <c r="B6755" s="453"/>
      <c r="C6755" s="2366"/>
      <c r="D6755" s="230"/>
      <c r="E6755" s="540"/>
      <c r="F6755" s="410"/>
      <c r="G6755" s="195"/>
      <c r="H6755" s="473"/>
      <c r="I6755" s="454"/>
      <c r="J6755" s="447"/>
      <c r="K6755" s="454"/>
    </row>
    <row r="6756" spans="1:11" s="33" customFormat="1">
      <c r="A6756" s="435"/>
      <c r="B6756" s="26" t="s">
        <v>14072</v>
      </c>
      <c r="C6756" s="2366">
        <v>2963.1444444444442</v>
      </c>
      <c r="D6756" s="230">
        <f>C6756*(1-VLOOKUP(I6756,descuentos,6,FALSE))*fcl/IF(dol_sol="dólar", TC,1)</f>
        <v>2010.2743856475197</v>
      </c>
      <c r="E6756" s="1650">
        <f t="shared" ref="E6756:E6759" si="1004">D6756/8</f>
        <v>251.28429820593996</v>
      </c>
      <c r="F6756" s="1646">
        <f t="shared" ref="F6756:F6759" si="1005">D6756+E6756</f>
        <v>2261.5586838534596</v>
      </c>
      <c r="G6756" s="140" t="s">
        <v>14073</v>
      </c>
      <c r="H6756" s="1648" t="s">
        <v>14074</v>
      </c>
      <c r="I6756" s="434" t="s">
        <v>10295</v>
      </c>
      <c r="J6756" s="435" t="s">
        <v>10594</v>
      </c>
      <c r="K6756" s="434"/>
    </row>
    <row r="6757" spans="1:11" s="33" customFormat="1">
      <c r="A6757" s="435"/>
      <c r="B6757" s="26" t="s">
        <v>14075</v>
      </c>
      <c r="C6757" s="2366">
        <v>3038.1333333333337</v>
      </c>
      <c r="D6757" s="230">
        <f>C6757*(1-VLOOKUP(I6757,descuentos,6,FALSE))*fcl/IF(dol_sol="dólar", TC,1)</f>
        <v>2061.1488014473089</v>
      </c>
      <c r="E6757" s="1650">
        <f t="shared" si="1004"/>
        <v>257.64360018091361</v>
      </c>
      <c r="F6757" s="1646">
        <f t="shared" si="1005"/>
        <v>2318.7924016282223</v>
      </c>
      <c r="G6757" s="140" t="s">
        <v>14076</v>
      </c>
      <c r="H6757" s="1648" t="s">
        <v>14077</v>
      </c>
      <c r="I6757" s="434" t="s">
        <v>10295</v>
      </c>
      <c r="J6757" s="435" t="s">
        <v>10594</v>
      </c>
      <c r="K6757" s="434"/>
    </row>
    <row r="6758" spans="1:11" s="33" customFormat="1">
      <c r="A6758" s="435"/>
      <c r="B6758" s="26" t="s">
        <v>14078</v>
      </c>
      <c r="C6758" s="2366">
        <v>3114.344444444444</v>
      </c>
      <c r="D6758" s="230">
        <f>C6758*(1-VLOOKUP(I6758,descuentos,6,FALSE))*fcl/IF(dol_sol="dólar", TC,1)</f>
        <v>2112.8524046434491</v>
      </c>
      <c r="E6758" s="1652">
        <f t="shared" si="1004"/>
        <v>264.10655058043113</v>
      </c>
      <c r="F6758" s="1651">
        <f t="shared" si="1005"/>
        <v>2376.9589552238804</v>
      </c>
      <c r="G6758" s="140" t="s">
        <v>14079</v>
      </c>
      <c r="H6758" s="1648" t="s">
        <v>14080</v>
      </c>
      <c r="I6758" s="434" t="s">
        <v>10295</v>
      </c>
      <c r="J6758" s="435" t="s">
        <v>10594</v>
      </c>
      <c r="K6758" s="434"/>
    </row>
    <row r="6759" spans="1:11" s="33" customFormat="1">
      <c r="A6759" s="435"/>
      <c r="B6759" s="26" t="s">
        <v>13441</v>
      </c>
      <c r="C6759" s="2366">
        <v>3191.7777777777774</v>
      </c>
      <c r="D6759" s="230">
        <f>C6759*(1-VLOOKUP(I6759,descuentos,6,FALSE))*fcl/IF(dol_sol="dólar", TC,1)</f>
        <v>2165.385195235941</v>
      </c>
      <c r="E6759" s="1650">
        <f t="shared" si="1004"/>
        <v>270.67314940449262</v>
      </c>
      <c r="F6759" s="1646">
        <f t="shared" si="1005"/>
        <v>2436.0583446404335</v>
      </c>
      <c r="G6759" s="140" t="s">
        <v>13442</v>
      </c>
      <c r="H6759" s="1648" t="s">
        <v>14081</v>
      </c>
      <c r="I6759" s="434" t="s">
        <v>10295</v>
      </c>
      <c r="J6759" s="435" t="s">
        <v>10594</v>
      </c>
      <c r="K6759" s="434"/>
    </row>
    <row r="6760" spans="1:11" s="185" customFormat="1">
      <c r="A6760" s="447"/>
      <c r="B6760" s="453"/>
      <c r="C6760" s="2366"/>
      <c r="D6760" s="230"/>
      <c r="E6760" s="540"/>
      <c r="F6760" s="410"/>
      <c r="G6760" s="195"/>
      <c r="H6760" s="473"/>
      <c r="I6760" s="454"/>
      <c r="J6760" s="447"/>
      <c r="K6760" s="454"/>
    </row>
    <row r="6761" spans="1:11" s="33" customFormat="1">
      <c r="A6761" s="435"/>
      <c r="B6761" s="26" t="s">
        <v>10543</v>
      </c>
      <c r="C6761" s="2366">
        <v>2149.1888888888889</v>
      </c>
      <c r="D6761" s="230">
        <f>C6761*(1-VLOOKUP(I6761,descuentos,6,FALSE))*fcl/IF(dol_sol="dólar", TC,1)</f>
        <v>1458.0657319463287</v>
      </c>
      <c r="E6761" s="1650">
        <f t="shared" ref="E6761:E6764" si="1006">D6761/8</f>
        <v>182.25821649329109</v>
      </c>
      <c r="F6761" s="1646">
        <f t="shared" ref="F6761:F6764" si="1007">D6761+E6761</f>
        <v>1640.3239484396197</v>
      </c>
      <c r="G6761" s="140" t="s">
        <v>11906</v>
      </c>
      <c r="H6761" s="1648">
        <v>422077</v>
      </c>
      <c r="I6761" s="434" t="s">
        <v>10295</v>
      </c>
      <c r="J6761" s="435" t="s">
        <v>10594</v>
      </c>
      <c r="K6761" s="434"/>
    </row>
    <row r="6762" spans="1:11" s="33" customFormat="1">
      <c r="A6762" s="435"/>
      <c r="B6762" s="26" t="s">
        <v>10544</v>
      </c>
      <c r="C6762" s="2366">
        <v>2169.9222222222224</v>
      </c>
      <c r="D6762" s="230">
        <f>C6762*(1-VLOOKUP(I6762,descuentos,6,FALSE))*fcl/IF(dol_sol="dólar", TC,1)</f>
        <v>1472.1317654153474</v>
      </c>
      <c r="E6762" s="1650">
        <f t="shared" si="1006"/>
        <v>184.01647067691843</v>
      </c>
      <c r="F6762" s="1646">
        <f t="shared" si="1007"/>
        <v>1656.148236092266</v>
      </c>
      <c r="G6762" s="140" t="s">
        <v>11907</v>
      </c>
      <c r="H6762" s="1648" t="s">
        <v>10545</v>
      </c>
      <c r="I6762" s="434" t="s">
        <v>10295</v>
      </c>
      <c r="J6762" s="435" t="s">
        <v>10594</v>
      </c>
      <c r="K6762" s="434"/>
    </row>
    <row r="6763" spans="1:11" s="33" customFormat="1">
      <c r="A6763" s="435"/>
      <c r="B6763" s="26" t="s">
        <v>10546</v>
      </c>
      <c r="C6763" s="2366">
        <v>2341.2444444444441</v>
      </c>
      <c r="D6763" s="230">
        <f>C6763*(1-VLOOKUP(I6763,descuentos,6,FALSE))*fcl/IF(dol_sol="dólar", TC,1)</f>
        <v>1588.3612241821193</v>
      </c>
      <c r="E6763" s="1652">
        <f t="shared" si="1006"/>
        <v>198.54515302276491</v>
      </c>
      <c r="F6763" s="1651">
        <f t="shared" si="1007"/>
        <v>1786.9063772048842</v>
      </c>
      <c r="G6763" s="140" t="s">
        <v>11908</v>
      </c>
      <c r="H6763" s="1648" t="s">
        <v>10547</v>
      </c>
      <c r="I6763" s="434" t="s">
        <v>10295</v>
      </c>
      <c r="J6763" s="435" t="s">
        <v>10594</v>
      </c>
      <c r="K6763" s="434"/>
    </row>
    <row r="6764" spans="1:11" s="33" customFormat="1">
      <c r="A6764" s="435"/>
      <c r="B6764" s="26" t="s">
        <v>10548</v>
      </c>
      <c r="C6764" s="2366">
        <v>2352.2222222222222</v>
      </c>
      <c r="D6764" s="230">
        <f>C6764*(1-VLOOKUP(I6764,descuentos,6,FALSE))*fcl/IF(dol_sol="dólar", TC,1)</f>
        <v>1595.8088346148045</v>
      </c>
      <c r="E6764" s="1650">
        <f t="shared" si="1006"/>
        <v>199.47610432685056</v>
      </c>
      <c r="F6764" s="1646">
        <f t="shared" si="1007"/>
        <v>1795.2849389416551</v>
      </c>
      <c r="G6764" s="140" t="s">
        <v>11909</v>
      </c>
      <c r="H6764" s="1648" t="s">
        <v>10549</v>
      </c>
      <c r="I6764" s="434" t="s">
        <v>10295</v>
      </c>
      <c r="J6764" s="435" t="s">
        <v>10594</v>
      </c>
      <c r="K6764" s="434"/>
    </row>
    <row r="6765" spans="1:11" s="33" customFormat="1">
      <c r="A6765" s="435"/>
      <c r="B6765" s="26"/>
      <c r="C6765" s="2366"/>
      <c r="D6765" s="230"/>
      <c r="E6765" s="1650"/>
      <c r="F6765" s="1646"/>
      <c r="G6765" s="140"/>
      <c r="H6765" s="1648"/>
      <c r="I6765" s="434"/>
      <c r="J6765" s="435"/>
      <c r="K6765" s="434"/>
    </row>
    <row r="6766" spans="1:11" s="33" customFormat="1">
      <c r="A6766" s="435"/>
      <c r="B6766" s="26"/>
      <c r="C6766" s="2366"/>
      <c r="D6766" s="230"/>
      <c r="E6766" s="1650"/>
      <c r="F6766" s="1646"/>
      <c r="G6766" s="140"/>
      <c r="H6766" s="1648"/>
      <c r="I6766" s="434"/>
      <c r="J6766" s="435"/>
      <c r="K6766" s="434"/>
    </row>
    <row r="6767" spans="1:11" s="33" customFormat="1">
      <c r="A6767" s="435"/>
      <c r="B6767" s="26"/>
      <c r="C6767" s="2366"/>
      <c r="D6767" s="230"/>
      <c r="E6767" s="1650"/>
      <c r="F6767" s="1646"/>
      <c r="G6767" s="140"/>
      <c r="H6767" s="1648"/>
      <c r="I6767" s="434"/>
      <c r="J6767" s="435"/>
      <c r="K6767" s="434"/>
    </row>
    <row r="6768" spans="1:11" s="33" customFormat="1">
      <c r="A6768" s="435"/>
      <c r="B6768" s="26"/>
      <c r="C6768" s="2366"/>
      <c r="D6768" s="230"/>
      <c r="E6768" s="1650"/>
      <c r="F6768" s="1646"/>
      <c r="G6768" s="140"/>
      <c r="H6768" s="1648"/>
      <c r="I6768" s="434"/>
      <c r="J6768" s="435"/>
      <c r="K6768" s="434"/>
    </row>
    <row r="6769" spans="1:11" s="33" customFormat="1">
      <c r="A6769" s="435"/>
      <c r="B6769" s="26" t="s">
        <v>10550</v>
      </c>
      <c r="C6769" s="2366">
        <v>2979.0444444444443</v>
      </c>
      <c r="D6769" s="230">
        <f>C6769*(1-VLOOKUP(I6769,descuentos,6,FALSE))*fcl/IF(dol_sol="dólar", TC,1)</f>
        <v>2021.0613598673297</v>
      </c>
      <c r="E6769" s="1650">
        <f t="shared" si="979"/>
        <v>252.63266998341621</v>
      </c>
      <c r="F6769" s="1646">
        <f t="shared" si="961"/>
        <v>2273.6940298507457</v>
      </c>
      <c r="G6769" s="140" t="s">
        <v>11910</v>
      </c>
      <c r="H6769" s="1648">
        <v>422264</v>
      </c>
      <c r="I6769" s="434" t="s">
        <v>10295</v>
      </c>
      <c r="J6769" s="435" t="s">
        <v>10594</v>
      </c>
      <c r="K6769" s="434"/>
    </row>
    <row r="6770" spans="1:11" s="33" customFormat="1">
      <c r="A6770" s="435"/>
      <c r="B6770" s="26" t="s">
        <v>10551</v>
      </c>
      <c r="C6770" s="2366">
        <v>3457.7111111111112</v>
      </c>
      <c r="D6770" s="230">
        <f>C6770*(1-VLOOKUP(I6770,descuentos,6,FALSE))*fcl/IF(dol_sol="dólar", TC,1)</f>
        <v>2345.801296547565</v>
      </c>
      <c r="E6770" s="1650">
        <f t="shared" si="979"/>
        <v>293.22516206844563</v>
      </c>
      <c r="F6770" s="1646">
        <f t="shared" si="961"/>
        <v>2639.0264586160106</v>
      </c>
      <c r="G6770" s="140" t="s">
        <v>11911</v>
      </c>
      <c r="H6770" s="1648" t="s">
        <v>10552</v>
      </c>
      <c r="I6770" s="434" t="s">
        <v>10295</v>
      </c>
      <c r="J6770" s="435" t="s">
        <v>10594</v>
      </c>
      <c r="K6770" s="434"/>
    </row>
    <row r="6771" spans="1:11" s="33" customFormat="1">
      <c r="A6771" s="435"/>
      <c r="B6771" s="26" t="s">
        <v>10553</v>
      </c>
      <c r="C6771" s="2366">
        <v>3544.6222222222218</v>
      </c>
      <c r="D6771" s="230">
        <f>C6771*(1-VLOOKUP(I6771,descuentos,6,FALSE))*fcl/IF(dol_sol="dólar", TC,1)</f>
        <v>2404.7640584954011</v>
      </c>
      <c r="E6771" s="1650">
        <f t="shared" si="979"/>
        <v>300.59550731192513</v>
      </c>
      <c r="F6771" s="1646">
        <f t="shared" si="961"/>
        <v>2705.3595658073264</v>
      </c>
      <c r="G6771" s="140" t="s">
        <v>11912</v>
      </c>
      <c r="H6771" s="1648" t="s">
        <v>10554</v>
      </c>
      <c r="I6771" s="434" t="s">
        <v>10295</v>
      </c>
      <c r="J6771" s="435" t="s">
        <v>10594</v>
      </c>
      <c r="K6771" s="434"/>
    </row>
    <row r="6772" spans="1:11" s="33" customFormat="1">
      <c r="A6772" s="435"/>
      <c r="B6772" s="26"/>
      <c r="C6772" s="2366"/>
      <c r="D6772" s="230"/>
      <c r="E6772" s="1650"/>
      <c r="F6772" s="1646"/>
      <c r="G6772" s="195"/>
      <c r="H6772" s="1648"/>
      <c r="I6772" s="434"/>
      <c r="J6772" s="435"/>
      <c r="K6772" s="434"/>
    </row>
    <row r="6773" spans="1:11" s="33" customFormat="1">
      <c r="A6773" s="435"/>
      <c r="B6773" s="26" t="s">
        <v>10555</v>
      </c>
      <c r="C6773" s="2366">
        <v>3128.3111111111111</v>
      </c>
      <c r="D6773" s="230">
        <f>C6773*(1-VLOOKUP(I6773,descuentos,6,FALSE))*fcl/IF(dol_sol="dólar", TC,1)</f>
        <v>2122.3277551635756</v>
      </c>
      <c r="E6773" s="1650">
        <f t="shared" ref="E6773:E6775" si="1008">D6773/8</f>
        <v>265.29096939544695</v>
      </c>
      <c r="F6773" s="1646">
        <f t="shared" ref="F6773:F6775" si="1009">D6773+E6773</f>
        <v>2387.6187245590227</v>
      </c>
      <c r="G6773" s="140" t="s">
        <v>11913</v>
      </c>
      <c r="H6773" s="1648">
        <v>422276</v>
      </c>
      <c r="I6773" s="434" t="s">
        <v>10295</v>
      </c>
      <c r="J6773" s="435" t="s">
        <v>10594</v>
      </c>
      <c r="K6773" s="434"/>
    </row>
    <row r="6774" spans="1:11" s="33" customFormat="1">
      <c r="A6774" s="435"/>
      <c r="B6774" s="26" t="s">
        <v>10556</v>
      </c>
      <c r="C6774" s="2366">
        <v>3630.2888888888892</v>
      </c>
      <c r="D6774" s="230">
        <f>C6774*(1-VLOOKUP(I6774,descuentos,6,FALSE))*fcl/IF(dol_sol="dólar", TC,1)</f>
        <v>2462.8825569124074</v>
      </c>
      <c r="E6774" s="1650">
        <f t="shared" si="1008"/>
        <v>307.86031961405092</v>
      </c>
      <c r="F6774" s="1646">
        <f t="shared" si="1009"/>
        <v>2770.7428765264585</v>
      </c>
      <c r="G6774" s="140" t="s">
        <v>11914</v>
      </c>
      <c r="H6774" s="1648" t="s">
        <v>10557</v>
      </c>
      <c r="I6774" s="434" t="s">
        <v>10295</v>
      </c>
      <c r="J6774" s="435" t="s">
        <v>10594</v>
      </c>
      <c r="K6774" s="434"/>
    </row>
    <row r="6775" spans="1:11" s="33" customFormat="1">
      <c r="A6775" s="435"/>
      <c r="B6775" s="26" t="s">
        <v>10558</v>
      </c>
      <c r="C6775" s="2366">
        <v>3721.6111111111109</v>
      </c>
      <c r="D6775" s="230">
        <f>C6775*(1-VLOOKUP(I6775,descuentos,6,FALSE))*fcl/IF(dol_sol="dólar", TC,1)</f>
        <v>2524.8379315543489</v>
      </c>
      <c r="E6775" s="1650">
        <f t="shared" si="1008"/>
        <v>315.60474144429361</v>
      </c>
      <c r="F6775" s="1646">
        <f t="shared" si="1009"/>
        <v>2840.4426729986426</v>
      </c>
      <c r="G6775" s="140" t="s">
        <v>11915</v>
      </c>
      <c r="H6775" s="1648" t="s">
        <v>10559</v>
      </c>
      <c r="I6775" s="434" t="s">
        <v>10295</v>
      </c>
      <c r="J6775" s="435" t="s">
        <v>10594</v>
      </c>
      <c r="K6775" s="434"/>
    </row>
    <row r="6776" spans="1:11" s="33" customFormat="1">
      <c r="A6776" s="435"/>
      <c r="B6776" s="26"/>
      <c r="C6776" s="2366"/>
      <c r="D6776" s="230"/>
      <c r="E6776" s="1650"/>
      <c r="F6776" s="1646"/>
      <c r="G6776" s="140"/>
      <c r="H6776" s="1648"/>
      <c r="I6776" s="434"/>
      <c r="J6776" s="435"/>
      <c r="K6776" s="434"/>
    </row>
    <row r="6777" spans="1:11" s="33" customFormat="1">
      <c r="A6777" s="435"/>
      <c r="B6777" s="26" t="s">
        <v>10560</v>
      </c>
      <c r="C6777" s="2366">
        <v>3783.333333333333</v>
      </c>
      <c r="D6777" s="230">
        <f>C6777*(1-VLOOKUP(I6777,descuentos,6,FALSE))*fcl/IF(dol_sol="dólar", TC,1)</f>
        <v>2566.7118950701033</v>
      </c>
      <c r="E6777" s="1650">
        <f t="shared" ref="E6777:E6779" si="1010">D6777/8</f>
        <v>320.83898688376291</v>
      </c>
      <c r="F6777" s="1646">
        <f t="shared" ref="F6777:F6779" si="1011">D6777+E6777</f>
        <v>2887.5508819538663</v>
      </c>
      <c r="G6777" s="140" t="s">
        <v>11916</v>
      </c>
      <c r="H6777" s="1648">
        <v>422288</v>
      </c>
      <c r="I6777" s="434" t="s">
        <v>10295</v>
      </c>
      <c r="J6777" s="435" t="s">
        <v>10594</v>
      </c>
      <c r="K6777" s="434"/>
    </row>
    <row r="6778" spans="1:11" s="33" customFormat="1">
      <c r="A6778" s="435"/>
      <c r="B6778" s="26" t="s">
        <v>10561</v>
      </c>
      <c r="C6778" s="2366">
        <v>4314.2666666666664</v>
      </c>
      <c r="D6778" s="230">
        <f>C6778*(1-VLOOKUP(I6778,descuentos,6,FALSE))*fcl/IF(dol_sol="dólar", TC,1)</f>
        <v>2926.9109000452281</v>
      </c>
      <c r="E6778" s="1650">
        <f t="shared" si="1010"/>
        <v>365.86386250565351</v>
      </c>
      <c r="F6778" s="1646">
        <f t="shared" si="1011"/>
        <v>3292.7747625508819</v>
      </c>
      <c r="G6778" s="140" t="s">
        <v>11917</v>
      </c>
      <c r="H6778" s="1648" t="s">
        <v>10562</v>
      </c>
      <c r="I6778" s="434" t="s">
        <v>10295</v>
      </c>
      <c r="J6778" s="435" t="s">
        <v>10594</v>
      </c>
      <c r="K6778" s="434"/>
    </row>
    <row r="6779" spans="1:11" s="33" customFormat="1">
      <c r="A6779" s="435"/>
      <c r="B6779" s="26" t="s">
        <v>10563</v>
      </c>
      <c r="C6779" s="2366">
        <v>4491.8777777777777</v>
      </c>
      <c r="D6779" s="230">
        <f>C6779*(1-VLOOKUP(I6779,descuentos,6,FALSE))*fcl/IF(dol_sol="dólar", TC,1)</f>
        <v>3047.406904869591</v>
      </c>
      <c r="E6779" s="1650">
        <f t="shared" si="1010"/>
        <v>380.92586310869888</v>
      </c>
      <c r="F6779" s="1646">
        <f t="shared" si="1011"/>
        <v>3428.3327679782897</v>
      </c>
      <c r="G6779" s="140" t="s">
        <v>11918</v>
      </c>
      <c r="H6779" s="1648" t="s">
        <v>10564</v>
      </c>
      <c r="I6779" s="434" t="s">
        <v>10295</v>
      </c>
      <c r="J6779" s="435" t="s">
        <v>10594</v>
      </c>
      <c r="K6779" s="434"/>
    </row>
    <row r="6780" spans="1:11" s="33" customFormat="1">
      <c r="A6780" s="435"/>
      <c r="B6780" s="26"/>
      <c r="C6780" s="2366"/>
      <c r="D6780" s="230"/>
      <c r="E6780" s="1650"/>
      <c r="F6780" s="1646"/>
      <c r="G6780" s="140"/>
      <c r="H6780" s="1648"/>
      <c r="I6780" s="434"/>
      <c r="J6780" s="435"/>
      <c r="K6780" s="434"/>
    </row>
    <row r="6781" spans="1:11" s="33" customFormat="1">
      <c r="A6781" s="435"/>
      <c r="B6781" s="26" t="s">
        <v>10565</v>
      </c>
      <c r="C6781" s="2366">
        <v>3998.1</v>
      </c>
      <c r="D6781" s="230">
        <f>C6781*(1-VLOOKUP(I6781,descuentos,6,FALSE))*fcl/IF(dol_sol="dólar", TC,1)</f>
        <v>2712.4151967435546</v>
      </c>
      <c r="E6781" s="1650">
        <f t="shared" ref="E6781:E6783" si="1012">D6781/8</f>
        <v>339.05189959294432</v>
      </c>
      <c r="F6781" s="1646">
        <f t="shared" ref="F6781:F6783" si="1013">D6781+E6781</f>
        <v>3051.4670963364988</v>
      </c>
      <c r="G6781" s="140" t="s">
        <v>11919</v>
      </c>
      <c r="H6781" s="1648">
        <v>422293</v>
      </c>
      <c r="I6781" s="434" t="s">
        <v>10295</v>
      </c>
      <c r="J6781" s="435" t="s">
        <v>10594</v>
      </c>
      <c r="K6781" s="434"/>
    </row>
    <row r="6782" spans="1:11" s="33" customFormat="1">
      <c r="A6782" s="435"/>
      <c r="B6782" s="26" t="s">
        <v>10566</v>
      </c>
      <c r="C6782" s="2366">
        <v>4559.2666666666664</v>
      </c>
      <c r="D6782" s="230">
        <f>C6782*(1-VLOOKUP(I6782,descuentos,6,FALSE))*fcl/IF(dol_sol="dólar", TC,1)</f>
        <v>3093.1252826775212</v>
      </c>
      <c r="E6782" s="1650">
        <f t="shared" si="1012"/>
        <v>386.64066033469015</v>
      </c>
      <c r="F6782" s="1646">
        <f t="shared" si="1013"/>
        <v>3479.7659430122112</v>
      </c>
      <c r="G6782" s="140" t="s">
        <v>11920</v>
      </c>
      <c r="H6782" s="1648" t="s">
        <v>10567</v>
      </c>
      <c r="I6782" s="434" t="s">
        <v>10295</v>
      </c>
      <c r="J6782" s="435" t="s">
        <v>10594</v>
      </c>
      <c r="K6782" s="434"/>
    </row>
    <row r="6783" spans="1:11" s="33" customFormat="1">
      <c r="A6783" s="435"/>
      <c r="B6783" s="26" t="s">
        <v>10568</v>
      </c>
      <c r="C6783" s="2366">
        <v>4746.9555555555553</v>
      </c>
      <c r="D6783" s="230">
        <f>C6783*(1-VLOOKUP(I6783,descuentos,6,FALSE))*fcl/IF(dol_sol="dólar", TC,1)</f>
        <v>3220.4583144881644</v>
      </c>
      <c r="E6783" s="1650">
        <f t="shared" si="1012"/>
        <v>402.55728931102055</v>
      </c>
      <c r="F6783" s="1646">
        <f t="shared" si="1013"/>
        <v>3623.0156037991851</v>
      </c>
      <c r="G6783" s="140" t="s">
        <v>11921</v>
      </c>
      <c r="H6783" s="1648" t="s">
        <v>10569</v>
      </c>
      <c r="I6783" s="434" t="s">
        <v>10295</v>
      </c>
      <c r="J6783" s="435" t="s">
        <v>10594</v>
      </c>
      <c r="K6783" s="434"/>
    </row>
    <row r="6784" spans="1:11" s="33" customFormat="1">
      <c r="A6784" s="435"/>
      <c r="B6784" s="26"/>
      <c r="C6784" s="2366"/>
      <c r="D6784" s="230"/>
      <c r="E6784" s="1650"/>
      <c r="F6784" s="1646"/>
      <c r="G6784" s="140"/>
      <c r="H6784" s="1648"/>
      <c r="I6784" s="434"/>
      <c r="J6784" s="435"/>
      <c r="K6784" s="434"/>
    </row>
    <row r="6785" spans="1:11" s="33" customFormat="1">
      <c r="A6785" s="435"/>
      <c r="B6785" s="26" t="s">
        <v>10570</v>
      </c>
      <c r="C6785" s="2366">
        <v>3142.3888888888887</v>
      </c>
      <c r="D6785" s="230">
        <f>C6785*(1-VLOOKUP(I6785,descuentos,6,FALSE))*fcl/IF(dol_sol="dólar", TC,1)</f>
        <v>2131.8784863560982</v>
      </c>
      <c r="E6785" s="1650">
        <f t="shared" ref="E6785:E6788" si="1014">D6785/8</f>
        <v>266.48481079451227</v>
      </c>
      <c r="F6785" s="1646">
        <f t="shared" ref="F6785:F6788" si="1015">D6785+E6785</f>
        <v>2398.3632971506104</v>
      </c>
      <c r="G6785" s="140" t="s">
        <v>11922</v>
      </c>
      <c r="H6785" s="1648">
        <v>422552</v>
      </c>
      <c r="I6785" s="434" t="s">
        <v>10295</v>
      </c>
      <c r="J6785" s="435" t="s">
        <v>10594</v>
      </c>
      <c r="K6785" s="434"/>
    </row>
    <row r="6786" spans="1:11" s="33" customFormat="1">
      <c r="A6786" s="435"/>
      <c r="B6786" s="26" t="s">
        <v>10571</v>
      </c>
      <c r="C6786" s="2366">
        <v>3907.5666666666666</v>
      </c>
      <c r="D6786" s="230">
        <f>C6786*(1-VLOOKUP(I6786,descuentos,6,FALSE))*fcl/IF(dol_sol="dólar", TC,1)</f>
        <v>2650.9950248756213</v>
      </c>
      <c r="E6786" s="1650">
        <f t="shared" si="1014"/>
        <v>331.37437810945266</v>
      </c>
      <c r="F6786" s="1646">
        <f t="shared" si="1015"/>
        <v>2982.369402985074</v>
      </c>
      <c r="G6786" s="140" t="s">
        <v>11923</v>
      </c>
      <c r="H6786" s="1648" t="s">
        <v>10572</v>
      </c>
      <c r="I6786" s="434" t="s">
        <v>10295</v>
      </c>
      <c r="J6786" s="435" t="s">
        <v>10594</v>
      </c>
      <c r="K6786" s="434"/>
    </row>
    <row r="6787" spans="1:11" s="33" customFormat="1">
      <c r="A6787" s="435"/>
      <c r="B6787" s="26" t="s">
        <v>10573</v>
      </c>
      <c r="C6787" s="2366">
        <v>4208.7555555555555</v>
      </c>
      <c r="D6787" s="230">
        <f>C6787*(1-VLOOKUP(I6787,descuentos,6,FALSE))*fcl/IF(dol_sol="dólar", TC,1)</f>
        <v>2855.329413538368</v>
      </c>
      <c r="E6787" s="1650">
        <f t="shared" si="1014"/>
        <v>356.91617669229601</v>
      </c>
      <c r="F6787" s="1646">
        <f t="shared" si="1015"/>
        <v>3212.2455902306642</v>
      </c>
      <c r="G6787" s="140" t="s">
        <v>11924</v>
      </c>
      <c r="H6787" s="1648" t="s">
        <v>10574</v>
      </c>
      <c r="I6787" s="434" t="s">
        <v>10295</v>
      </c>
      <c r="J6787" s="435" t="s">
        <v>10594</v>
      </c>
      <c r="K6787" s="434"/>
    </row>
    <row r="6788" spans="1:11" s="33" customFormat="1">
      <c r="A6788" s="435"/>
      <c r="B6788" s="26" t="s">
        <v>10575</v>
      </c>
      <c r="C6788" s="2366">
        <v>5472.0555555555557</v>
      </c>
      <c r="D6788" s="230">
        <f>C6788*(1-VLOOKUP(I6788,descuentos,6,FALSE))*fcl/IF(dol_sol="dólar", TC,1)</f>
        <v>3712.3850444745963</v>
      </c>
      <c r="E6788" s="1650">
        <f t="shared" si="1014"/>
        <v>464.04813055932453</v>
      </c>
      <c r="F6788" s="1646">
        <f t="shared" si="1015"/>
        <v>4176.4331750339206</v>
      </c>
      <c r="G6788" s="140" t="s">
        <v>11925</v>
      </c>
      <c r="H6788" s="1648" t="s">
        <v>10576</v>
      </c>
      <c r="I6788" s="434" t="s">
        <v>10295</v>
      </c>
      <c r="J6788" s="435" t="s">
        <v>10594</v>
      </c>
      <c r="K6788" s="434"/>
    </row>
    <row r="6789" spans="1:11" s="33" customFormat="1">
      <c r="A6789" s="435"/>
      <c r="B6789" s="26"/>
      <c r="C6789" s="2366"/>
      <c r="D6789" s="230"/>
      <c r="E6789" s="1650"/>
      <c r="F6789" s="1646"/>
      <c r="G6789" s="140"/>
      <c r="H6789" s="1648"/>
      <c r="I6789" s="434"/>
      <c r="J6789" s="435"/>
      <c r="K6789" s="434"/>
    </row>
    <row r="6790" spans="1:11" s="33" customFormat="1">
      <c r="A6790" s="435"/>
      <c r="B6790" s="26" t="s">
        <v>12456</v>
      </c>
      <c r="C6790" s="2366">
        <v>3481.1111111111109</v>
      </c>
      <c r="D6790" s="230">
        <f>C6790*(1-VLOOKUP(I6790,descuentos,6,FALSE))*fcl/IF(dol_sol="dólar", TC,1)</f>
        <v>2361.6764661540774</v>
      </c>
      <c r="E6790" s="1650">
        <f t="shared" ref="E6790:E6793" si="1016">D6790/8</f>
        <v>295.20955826925967</v>
      </c>
      <c r="F6790" s="1646">
        <f t="shared" ref="F6790:F6793" si="1017">D6790+E6790</f>
        <v>2656.8860244233369</v>
      </c>
      <c r="G6790" s="140" t="s">
        <v>12457</v>
      </c>
      <c r="H6790" s="1648" t="s">
        <v>12458</v>
      </c>
      <c r="I6790" s="434" t="s">
        <v>10295</v>
      </c>
      <c r="J6790" s="435" t="s">
        <v>10594</v>
      </c>
      <c r="K6790" s="434"/>
    </row>
    <row r="6791" spans="1:11" s="33" customFormat="1">
      <c r="A6791" s="435"/>
      <c r="B6791" s="26" t="s">
        <v>12459</v>
      </c>
      <c r="C6791" s="2366">
        <v>4112.2222222222217</v>
      </c>
      <c r="D6791" s="230">
        <f>C6791*(1-VLOOKUP(I6791,descuentos,6,FALSE))*fcl/IF(dol_sol="dólar", TC,1)</f>
        <v>2789.8386853610727</v>
      </c>
      <c r="E6791" s="1650">
        <f t="shared" si="1016"/>
        <v>348.72983567013409</v>
      </c>
      <c r="F6791" s="1646">
        <f t="shared" si="1017"/>
        <v>3138.5685210312067</v>
      </c>
      <c r="G6791" s="140" t="s">
        <v>12460</v>
      </c>
      <c r="H6791" s="1648" t="s">
        <v>12461</v>
      </c>
      <c r="I6791" s="434" t="s">
        <v>10295</v>
      </c>
      <c r="J6791" s="435" t="s">
        <v>10594</v>
      </c>
      <c r="K6791" s="434"/>
    </row>
    <row r="6792" spans="1:11" s="33" customFormat="1">
      <c r="A6792" s="435"/>
      <c r="B6792" s="26" t="s">
        <v>12462</v>
      </c>
      <c r="C6792" s="2366">
        <v>4431.1111111111113</v>
      </c>
      <c r="D6792" s="230">
        <f>C6792*(1-VLOOKUP(I6792,descuentos,6,FALSE))*fcl/IF(dol_sol="dólar", TC,1)</f>
        <v>3006.1812151364388</v>
      </c>
      <c r="E6792" s="1650">
        <f t="shared" si="1016"/>
        <v>375.77265189205485</v>
      </c>
      <c r="F6792" s="1646">
        <f t="shared" si="1017"/>
        <v>3381.9538670284937</v>
      </c>
      <c r="G6792" s="140" t="s">
        <v>12463</v>
      </c>
      <c r="H6792" s="1648" t="s">
        <v>12464</v>
      </c>
      <c r="I6792" s="434" t="s">
        <v>10295</v>
      </c>
      <c r="J6792" s="435" t="s">
        <v>10594</v>
      </c>
      <c r="K6792" s="434"/>
    </row>
    <row r="6793" spans="1:11" s="33" customFormat="1">
      <c r="A6793" s="435"/>
      <c r="B6793" s="26" t="s">
        <v>12465</v>
      </c>
      <c r="C6793" s="2366">
        <v>6496.6666666666661</v>
      </c>
      <c r="D6793" s="230">
        <f>C6793*(1-VLOOKUP(I6793,descuentos,6,FALSE))*fcl/IF(dol_sol="dólar", TC,1)</f>
        <v>4407.5079149706007</v>
      </c>
      <c r="E6793" s="1650">
        <f t="shared" si="1016"/>
        <v>550.93848937132509</v>
      </c>
      <c r="F6793" s="1646">
        <f t="shared" si="1017"/>
        <v>4958.4464043419257</v>
      </c>
      <c r="G6793" s="140" t="s">
        <v>12466</v>
      </c>
      <c r="H6793" s="1648" t="s">
        <v>12467</v>
      </c>
      <c r="I6793" s="434" t="s">
        <v>10295</v>
      </c>
      <c r="J6793" s="435" t="s">
        <v>10594</v>
      </c>
      <c r="K6793" s="434"/>
    </row>
    <row r="6794" spans="1:11" s="33" customFormat="1">
      <c r="A6794" s="435"/>
      <c r="B6794" s="26"/>
      <c r="C6794" s="2366"/>
      <c r="D6794" s="230"/>
      <c r="E6794" s="1650"/>
      <c r="F6794" s="1646"/>
      <c r="G6794" s="140"/>
      <c r="H6794" s="1648"/>
      <c r="I6794" s="434"/>
      <c r="J6794" s="435"/>
      <c r="K6794" s="434"/>
    </row>
    <row r="6795" spans="1:11" s="33" customFormat="1">
      <c r="A6795" s="435"/>
      <c r="B6795" s="26" t="s">
        <v>10577</v>
      </c>
      <c r="C6795" s="2366">
        <v>3238.7222222222222</v>
      </c>
      <c r="D6795" s="230">
        <f>C6795*(1-VLOOKUP(I6795,descuentos,6,FALSE))*fcl/IF(dol_sol="dólar", TC,1)</f>
        <v>2197.2335293230813</v>
      </c>
      <c r="E6795" s="1650">
        <f t="shared" ref="E6795:E6798" si="1018">D6795/8</f>
        <v>274.65419116538516</v>
      </c>
      <c r="F6795" s="1646">
        <f t="shared" ref="F6795:F6798" si="1019">D6795+E6795</f>
        <v>2471.8877204884666</v>
      </c>
      <c r="G6795" s="140" t="s">
        <v>11926</v>
      </c>
      <c r="H6795" s="1648">
        <v>422564</v>
      </c>
      <c r="I6795" s="434" t="s">
        <v>10295</v>
      </c>
      <c r="J6795" s="435" t="s">
        <v>10594</v>
      </c>
      <c r="K6795" s="434"/>
    </row>
    <row r="6796" spans="1:11" s="33" customFormat="1">
      <c r="A6796" s="435"/>
      <c r="B6796" s="26" t="s">
        <v>10578</v>
      </c>
      <c r="C6796" s="2366">
        <v>4027.0666666666666</v>
      </c>
      <c r="D6796" s="230">
        <f>C6796*(1-VLOOKUP(I6796,descuentos,6,FALSE))*fcl/IF(dol_sol="dólar", TC,1)</f>
        <v>2732.0669380370873</v>
      </c>
      <c r="E6796" s="1650">
        <f t="shared" si="1018"/>
        <v>341.50836725463591</v>
      </c>
      <c r="F6796" s="1646">
        <f t="shared" si="1019"/>
        <v>3073.5753052917235</v>
      </c>
      <c r="G6796" s="140" t="s">
        <v>11927</v>
      </c>
      <c r="H6796" s="1648" t="s">
        <v>10579</v>
      </c>
      <c r="I6796" s="434" t="s">
        <v>10295</v>
      </c>
      <c r="J6796" s="435" t="s">
        <v>10594</v>
      </c>
      <c r="K6796" s="434"/>
    </row>
    <row r="6797" spans="1:11" s="33" customFormat="1">
      <c r="A6797" s="435"/>
      <c r="B6797" s="26" t="s">
        <v>10580</v>
      </c>
      <c r="C6797" s="2366">
        <v>4338.6222222222223</v>
      </c>
      <c r="D6797" s="230">
        <f>C6797*(1-VLOOKUP(I6797,descuentos,6,FALSE))*fcl/IF(dol_sol="dólar", TC,1)</f>
        <v>2943.4343434343432</v>
      </c>
      <c r="E6797" s="1650">
        <f t="shared" si="1018"/>
        <v>367.9292929292929</v>
      </c>
      <c r="F6797" s="1646">
        <f t="shared" si="1019"/>
        <v>3311.363636363636</v>
      </c>
      <c r="G6797" s="140" t="s">
        <v>11928</v>
      </c>
      <c r="H6797" s="1648" t="s">
        <v>10581</v>
      </c>
      <c r="I6797" s="434" t="s">
        <v>10295</v>
      </c>
      <c r="J6797" s="435" t="s">
        <v>10594</v>
      </c>
      <c r="K6797" s="434"/>
    </row>
    <row r="6798" spans="1:11" s="33" customFormat="1">
      <c r="A6798" s="435"/>
      <c r="B6798" s="26" t="s">
        <v>10582</v>
      </c>
      <c r="C6798" s="2366">
        <v>5640.9444444444443</v>
      </c>
      <c r="D6798" s="230">
        <f>C6798*(1-VLOOKUP(I6798,descuentos,6,FALSE))*fcl/IF(dol_sol="dólar", TC,1)</f>
        <v>3826.9636665159046</v>
      </c>
      <c r="E6798" s="1650">
        <f t="shared" si="1018"/>
        <v>478.37045831448808</v>
      </c>
      <c r="F6798" s="1646">
        <f t="shared" si="1019"/>
        <v>4305.3341248303923</v>
      </c>
      <c r="G6798" s="140" t="s">
        <v>11929</v>
      </c>
      <c r="H6798" s="1648" t="s">
        <v>10583</v>
      </c>
      <c r="I6798" s="434" t="s">
        <v>10295</v>
      </c>
      <c r="J6798" s="435" t="s">
        <v>10594</v>
      </c>
      <c r="K6798" s="434"/>
    </row>
    <row r="6799" spans="1:11" s="33" customFormat="1">
      <c r="A6799" s="435"/>
      <c r="B6799" s="26"/>
      <c r="C6799" s="2366"/>
      <c r="D6799" s="230"/>
      <c r="E6799" s="1650"/>
      <c r="F6799" s="1646"/>
      <c r="G6799" s="140"/>
      <c r="H6799" s="1648"/>
      <c r="I6799" s="434"/>
      <c r="J6799" s="435"/>
      <c r="K6799" s="434"/>
    </row>
    <row r="6800" spans="1:11" s="33" customFormat="1">
      <c r="A6800" s="435"/>
      <c r="B6800" s="26" t="s">
        <v>10584</v>
      </c>
      <c r="C6800" s="2366">
        <v>3626.5</v>
      </c>
      <c r="D6800" s="230">
        <f t="shared" ref="D6800:D6805" si="1020">C6800*(1-VLOOKUP(I6800,descuentos,6,FALSE))*fcl/IF(dol_sol="dólar", TC,1)</f>
        <v>2460.3120759837175</v>
      </c>
      <c r="E6800" s="1650">
        <f t="shared" ref="E6800:E6805" si="1021">D6800/8</f>
        <v>307.53900949796468</v>
      </c>
      <c r="F6800" s="1646">
        <f t="shared" ref="F6800:F6805" si="1022">D6800+E6800</f>
        <v>2767.8510854816823</v>
      </c>
      <c r="G6800" s="140" t="s">
        <v>11930</v>
      </c>
      <c r="H6800" s="1648">
        <v>422324</v>
      </c>
      <c r="I6800" s="434" t="s">
        <v>10295</v>
      </c>
      <c r="J6800" s="435" t="s">
        <v>10594</v>
      </c>
      <c r="K6800" s="434"/>
    </row>
    <row r="6801" spans="1:11" s="33" customFormat="1">
      <c r="A6801" s="435"/>
      <c r="B6801" s="1857" t="s">
        <v>13443</v>
      </c>
      <c r="C6801" s="2411">
        <v>5905.56</v>
      </c>
      <c r="D6801" s="2236">
        <f t="shared" si="1020"/>
        <v>4006.4857530529171</v>
      </c>
      <c r="E6801" s="2298">
        <f t="shared" si="1021"/>
        <v>500.81071913161463</v>
      </c>
      <c r="F6801" s="2238">
        <f t="shared" si="1022"/>
        <v>4507.2964721845319</v>
      </c>
      <c r="G6801" s="2299" t="s">
        <v>13444</v>
      </c>
      <c r="H6801" s="1648">
        <v>422330</v>
      </c>
      <c r="I6801" s="434" t="s">
        <v>10295</v>
      </c>
      <c r="J6801" s="435" t="s">
        <v>10594</v>
      </c>
      <c r="K6801" s="434"/>
    </row>
    <row r="6802" spans="1:11" s="33" customFormat="1">
      <c r="A6802" s="435"/>
      <c r="B6802" s="26" t="s">
        <v>10585</v>
      </c>
      <c r="C6802" s="2366">
        <v>4283.7555555555555</v>
      </c>
      <c r="D6802" s="230">
        <f t="shared" si="1020"/>
        <v>2906.2113674053967</v>
      </c>
      <c r="E6802" s="1650">
        <f t="shared" si="1021"/>
        <v>363.27642092567459</v>
      </c>
      <c r="F6802" s="1646">
        <f t="shared" si="1022"/>
        <v>3269.4877883310714</v>
      </c>
      <c r="G6802" s="140" t="s">
        <v>11931</v>
      </c>
      <c r="H6802" s="1648" t="s">
        <v>10586</v>
      </c>
      <c r="I6802" s="434" t="s">
        <v>10295</v>
      </c>
      <c r="J6802" s="435" t="s">
        <v>10594</v>
      </c>
      <c r="K6802" s="434"/>
    </row>
    <row r="6803" spans="1:11" s="33" customFormat="1">
      <c r="A6803" s="435"/>
      <c r="B6803" s="26" t="s">
        <v>10587</v>
      </c>
      <c r="C6803" s="2366">
        <v>4615.4333333333334</v>
      </c>
      <c r="D6803" s="230">
        <f t="shared" si="1020"/>
        <v>3131.2302125734959</v>
      </c>
      <c r="E6803" s="1650">
        <f t="shared" si="1021"/>
        <v>391.40377657168699</v>
      </c>
      <c r="F6803" s="1646">
        <f t="shared" si="1022"/>
        <v>3522.633989145183</v>
      </c>
      <c r="G6803" s="140" t="s">
        <v>11932</v>
      </c>
      <c r="H6803" s="1648" t="s">
        <v>10588</v>
      </c>
      <c r="I6803" s="434" t="s">
        <v>10295</v>
      </c>
      <c r="J6803" s="435" t="s">
        <v>10594</v>
      </c>
      <c r="K6803" s="434"/>
    </row>
    <row r="6804" spans="1:11" s="33" customFormat="1">
      <c r="A6804" s="435"/>
      <c r="B6804" s="1857" t="s">
        <v>13445</v>
      </c>
      <c r="C6804" s="2411">
        <v>6585.37</v>
      </c>
      <c r="D6804" s="2236">
        <f t="shared" si="1020"/>
        <v>4467.6865671641781</v>
      </c>
      <c r="E6804" s="2298">
        <f t="shared" si="1021"/>
        <v>558.46082089552226</v>
      </c>
      <c r="F6804" s="2238">
        <f t="shared" si="1022"/>
        <v>5026.1473880597005</v>
      </c>
      <c r="G6804" s="2299" t="s">
        <v>13446</v>
      </c>
      <c r="H6804" s="1648">
        <v>422332</v>
      </c>
      <c r="I6804" s="434" t="s">
        <v>10295</v>
      </c>
      <c r="J6804" s="435" t="s">
        <v>10594</v>
      </c>
      <c r="K6804" s="434"/>
    </row>
    <row r="6805" spans="1:11" s="33" customFormat="1">
      <c r="A6805" s="435"/>
      <c r="B6805" s="26" t="s">
        <v>10589</v>
      </c>
      <c r="C6805" s="2366">
        <v>6767.6666666666661</v>
      </c>
      <c r="D6805" s="230">
        <f t="shared" si="1020"/>
        <v>4591.3613749434635</v>
      </c>
      <c r="E6805" s="1650">
        <f t="shared" si="1021"/>
        <v>573.92017186793294</v>
      </c>
      <c r="F6805" s="1646">
        <f t="shared" si="1022"/>
        <v>5165.2815468113968</v>
      </c>
      <c r="G6805" s="140" t="s">
        <v>11933</v>
      </c>
      <c r="H6805" s="1648" t="s">
        <v>10590</v>
      </c>
      <c r="I6805" s="434" t="s">
        <v>10295</v>
      </c>
      <c r="J6805" s="435" t="s">
        <v>10594</v>
      </c>
      <c r="K6805" s="434"/>
    </row>
    <row r="6806" spans="1:11" s="33" customFormat="1">
      <c r="A6806" s="435"/>
      <c r="B6806" s="26"/>
      <c r="C6806" s="2366"/>
      <c r="D6806" s="230"/>
      <c r="E6806" s="1650"/>
      <c r="F6806" s="1646"/>
      <c r="G6806" s="140"/>
      <c r="H6806" s="1648"/>
      <c r="I6806" s="434"/>
      <c r="J6806" s="435"/>
      <c r="K6806" s="434"/>
    </row>
    <row r="6807" spans="1:11" s="33" customFormat="1">
      <c r="A6807" s="435"/>
      <c r="B6807" s="26"/>
      <c r="C6807" s="2366"/>
      <c r="D6807" s="230"/>
      <c r="E6807" s="1650"/>
      <c r="F6807" s="1646"/>
      <c r="G6807" s="140"/>
      <c r="H6807" s="1648"/>
      <c r="I6807" s="434"/>
      <c r="J6807" s="435"/>
      <c r="K6807" s="434"/>
    </row>
    <row r="6808" spans="1:11">
      <c r="B6808" s="143" t="s">
        <v>10591</v>
      </c>
      <c r="C6808" s="1653">
        <v>9751.8333333333303</v>
      </c>
      <c r="D6808" s="230">
        <f t="shared" ref="D6808:D6815" si="1023">C6808*(1-VLOOKUP(I6808,descuentos,6,FALSE))*fcl/IF(dol_sol="dólar", TC,1)</f>
        <v>6615.8977838082283</v>
      </c>
      <c r="E6808" s="1650">
        <f>D6808/8</f>
        <v>826.98722297602853</v>
      </c>
      <c r="F6808" s="1646">
        <f>D6808+E6808</f>
        <v>7442.8850067842568</v>
      </c>
      <c r="G6808" s="186" t="s">
        <v>10592</v>
      </c>
      <c r="H6808" s="1654" t="s">
        <v>10593</v>
      </c>
      <c r="I6808" s="28" t="s">
        <v>10295</v>
      </c>
      <c r="J6808" s="366" t="s">
        <v>10594</v>
      </c>
      <c r="K6808" s="33"/>
    </row>
    <row r="6809" spans="1:11">
      <c r="B6809" s="143" t="s">
        <v>10595</v>
      </c>
      <c r="C6809" s="1653">
        <v>9806.5111111111109</v>
      </c>
      <c r="D6809" s="230">
        <f t="shared" si="1023"/>
        <v>6652.9926126941045</v>
      </c>
      <c r="E6809" s="1650">
        <f t="shared" ref="E6809:E6815" si="1024">D6809/8</f>
        <v>831.62407658676307</v>
      </c>
      <c r="F6809" s="1646">
        <f t="shared" ref="F6809:F6815" si="1025">D6809+E6809</f>
        <v>7484.6166892808678</v>
      </c>
      <c r="G6809" s="186" t="s">
        <v>11046</v>
      </c>
      <c r="H6809" s="1654" t="s">
        <v>10596</v>
      </c>
      <c r="I6809" s="28" t="s">
        <v>10295</v>
      </c>
      <c r="J6809" s="366" t="s">
        <v>10594</v>
      </c>
      <c r="K6809" s="33"/>
    </row>
    <row r="6810" spans="1:11" s="20" customFormat="1" ht="21.75" customHeight="1">
      <c r="B6810" s="1873" t="s">
        <v>12345</v>
      </c>
      <c r="C6810" s="1874">
        <v>11591</v>
      </c>
      <c r="D6810" s="1875">
        <f t="shared" ref="D6810" si="1026">C6810*(1-VLOOKUP(I6810,descuentos,6,FALSE))*fcl/IF(dol_sol="dólar", TC,1)</f>
        <v>7863.6363636363631</v>
      </c>
      <c r="E6810" s="1876">
        <f t="shared" si="1024"/>
        <v>982.95454545454538</v>
      </c>
      <c r="F6810" s="1877">
        <f t="shared" si="1025"/>
        <v>8846.5909090909081</v>
      </c>
      <c r="G6810" s="1878" t="s">
        <v>12346</v>
      </c>
      <c r="H6810" s="1879">
        <v>28654</v>
      </c>
      <c r="I6810" s="1880" t="s">
        <v>10295</v>
      </c>
      <c r="J6810" s="1832" t="s">
        <v>10594</v>
      </c>
      <c r="K6810" s="1824"/>
    </row>
    <row r="6811" spans="1:11">
      <c r="B6811" s="143" t="s">
        <v>10597</v>
      </c>
      <c r="C6811" s="1653">
        <v>11113.21111111111</v>
      </c>
      <c r="D6811" s="230">
        <f t="shared" si="1023"/>
        <v>7539.4919342680523</v>
      </c>
      <c r="E6811" s="1650">
        <f t="shared" si="1024"/>
        <v>942.43649178350654</v>
      </c>
      <c r="F6811" s="1646">
        <f t="shared" si="1025"/>
        <v>8481.9284260515597</v>
      </c>
      <c r="G6811" s="186" t="s">
        <v>11047</v>
      </c>
      <c r="H6811" s="1654" t="s">
        <v>10598</v>
      </c>
      <c r="I6811" s="28" t="s">
        <v>10295</v>
      </c>
      <c r="J6811" s="366" t="s">
        <v>10594</v>
      </c>
      <c r="K6811" s="33"/>
    </row>
    <row r="6812" spans="1:11">
      <c r="B6812" s="143" t="s">
        <v>10599</v>
      </c>
      <c r="C6812" s="1653">
        <v>13976.466666666665</v>
      </c>
      <c r="D6812" s="230">
        <f t="shared" si="1023"/>
        <v>9481.9990954319292</v>
      </c>
      <c r="E6812" s="1650">
        <f t="shared" si="1024"/>
        <v>1185.2498869289911</v>
      </c>
      <c r="F6812" s="1646">
        <f t="shared" si="1025"/>
        <v>10667.248982360921</v>
      </c>
      <c r="G6812" s="186" t="s">
        <v>11048</v>
      </c>
      <c r="H6812" s="1654" t="s">
        <v>10600</v>
      </c>
      <c r="I6812" s="28" t="s">
        <v>10295</v>
      </c>
      <c r="J6812" s="366" t="s">
        <v>10594</v>
      </c>
      <c r="K6812" s="33"/>
    </row>
    <row r="6813" spans="1:11">
      <c r="B6813" s="143" t="s">
        <v>10601</v>
      </c>
      <c r="C6813" s="1653">
        <v>16269.433333333332</v>
      </c>
      <c r="D6813" s="230">
        <f t="shared" si="1023"/>
        <v>11037.607417458161</v>
      </c>
      <c r="E6813" s="1650">
        <f t="shared" si="1024"/>
        <v>1379.7009271822701</v>
      </c>
      <c r="F6813" s="1646">
        <f t="shared" si="1025"/>
        <v>12417.308344640431</v>
      </c>
      <c r="G6813" s="186" t="s">
        <v>11049</v>
      </c>
      <c r="H6813" s="1654" t="s">
        <v>10602</v>
      </c>
      <c r="I6813" s="28" t="s">
        <v>10295</v>
      </c>
      <c r="J6813" s="366" t="s">
        <v>10594</v>
      </c>
      <c r="K6813" s="33"/>
    </row>
    <row r="6814" spans="1:11">
      <c r="B6814" s="143" t="s">
        <v>10603</v>
      </c>
      <c r="C6814" s="1653">
        <v>24948.488888888889</v>
      </c>
      <c r="D6814" s="230">
        <f t="shared" si="1023"/>
        <v>16925.704809286897</v>
      </c>
      <c r="E6814" s="1650">
        <f t="shared" si="1024"/>
        <v>2115.7131011608622</v>
      </c>
      <c r="F6814" s="1646">
        <f t="shared" si="1025"/>
        <v>19041.417910447759</v>
      </c>
      <c r="G6814" s="186" t="s">
        <v>11050</v>
      </c>
      <c r="H6814" s="1654" t="s">
        <v>10604</v>
      </c>
      <c r="I6814" s="28" t="s">
        <v>10295</v>
      </c>
      <c r="J6814" s="366" t="s">
        <v>10594</v>
      </c>
      <c r="K6814" s="33"/>
    </row>
    <row r="6815" spans="1:11">
      <c r="B6815" s="143" t="s">
        <v>10605</v>
      </c>
      <c r="C6815" s="1653">
        <v>46414.288888888892</v>
      </c>
      <c r="D6815" s="230">
        <f t="shared" si="1023"/>
        <v>31488.662746871702</v>
      </c>
      <c r="E6815" s="1650">
        <f t="shared" si="1024"/>
        <v>3936.0828433589627</v>
      </c>
      <c r="F6815" s="1646">
        <f t="shared" si="1025"/>
        <v>35424.745590230661</v>
      </c>
      <c r="G6815" s="186" t="s">
        <v>11051</v>
      </c>
      <c r="H6815" s="1654" t="s">
        <v>10606</v>
      </c>
      <c r="I6815" s="28" t="s">
        <v>10295</v>
      </c>
      <c r="J6815" s="366" t="s">
        <v>10594</v>
      </c>
      <c r="K6815" s="33"/>
    </row>
    <row r="6816" spans="1:11">
      <c r="B6816" s="143"/>
      <c r="C6816" s="1653"/>
      <c r="D6816" s="230"/>
      <c r="E6816" s="1650"/>
      <c r="F6816" s="1646"/>
      <c r="G6816" s="186"/>
      <c r="H6816" s="1654"/>
      <c r="I6816" s="28"/>
      <c r="J6816" s="366"/>
      <c r="K6816" s="33"/>
    </row>
    <row r="6817" spans="2:11">
      <c r="B6817" s="143" t="s">
        <v>10607</v>
      </c>
      <c r="C6817" s="1653">
        <v>804.23333333333323</v>
      </c>
      <c r="D6817" s="230">
        <f>C6817*(1-VLOOKUP(I6817,descuentos,6,FALSE))*fcl/IF(dol_sol="dólar", TC,1)</f>
        <v>545.6128448665761</v>
      </c>
      <c r="E6817" s="1650">
        <v>20</v>
      </c>
      <c r="F6817" s="1646">
        <f t="shared" ref="F6817:F6821" si="1027">D6817+E6817</f>
        <v>565.6128448665761</v>
      </c>
      <c r="G6817" s="186" t="s">
        <v>10608</v>
      </c>
      <c r="H6817" s="1654" t="s">
        <v>10609</v>
      </c>
      <c r="I6817" s="28" t="s">
        <v>10295</v>
      </c>
      <c r="J6817" s="366" t="s">
        <v>10594</v>
      </c>
      <c r="K6817" s="33" t="s">
        <v>741</v>
      </c>
    </row>
    <row r="6818" spans="2:11">
      <c r="B6818" s="143" t="s">
        <v>10610</v>
      </c>
      <c r="C6818" s="1653">
        <v>417.34444444444443</v>
      </c>
      <c r="D6818" s="230">
        <f>C6818*(1-VLOOKUP(I6818,descuentos,6,FALSE))*fcl/IF(dol_sol="dólar", TC,1)</f>
        <v>283.13734358510476</v>
      </c>
      <c r="E6818" s="1650">
        <v>10</v>
      </c>
      <c r="F6818" s="1646">
        <f t="shared" si="1027"/>
        <v>293.13734358510476</v>
      </c>
      <c r="G6818" s="186" t="s">
        <v>10611</v>
      </c>
      <c r="H6818" s="1654" t="s">
        <v>10612</v>
      </c>
      <c r="I6818" s="28" t="s">
        <v>10295</v>
      </c>
      <c r="J6818" s="366" t="s">
        <v>10594</v>
      </c>
      <c r="K6818" s="33" t="s">
        <v>741</v>
      </c>
    </row>
    <row r="6819" spans="2:11">
      <c r="B6819" s="143" t="s">
        <v>10613</v>
      </c>
      <c r="C6819" s="1653">
        <v>410.42222222222222</v>
      </c>
      <c r="D6819" s="230">
        <f>C6819*(1-VLOOKUP(I6819,descuentos,6,FALSE))*fcl/IF(dol_sol="dólar", TC,1)</f>
        <v>278.44112769485901</v>
      </c>
      <c r="E6819" s="1650">
        <v>10</v>
      </c>
      <c r="F6819" s="1646">
        <f t="shared" si="1027"/>
        <v>288.44112769485901</v>
      </c>
      <c r="G6819" s="186" t="s">
        <v>10614</v>
      </c>
      <c r="H6819" s="1654" t="s">
        <v>10615</v>
      </c>
      <c r="I6819" s="28" t="s">
        <v>10295</v>
      </c>
      <c r="J6819" s="366" t="s">
        <v>10594</v>
      </c>
      <c r="K6819" s="33" t="s">
        <v>741</v>
      </c>
    </row>
    <row r="6820" spans="2:11">
      <c r="B6820" s="143" t="s">
        <v>10616</v>
      </c>
      <c r="C6820" s="1653">
        <v>417.34444444444443</v>
      </c>
      <c r="D6820" s="230">
        <f>C6820*(1-VLOOKUP(I6820,descuentos,6,FALSE))*fcl/IF(dol_sol="dólar", TC,1)</f>
        <v>283.13734358510476</v>
      </c>
      <c r="E6820" s="1650">
        <v>10</v>
      </c>
      <c r="F6820" s="1646">
        <f t="shared" si="1027"/>
        <v>293.13734358510476</v>
      </c>
      <c r="G6820" s="186" t="s">
        <v>10617</v>
      </c>
      <c r="H6820" s="1654" t="s">
        <v>10618</v>
      </c>
      <c r="I6820" s="28" t="s">
        <v>10295</v>
      </c>
      <c r="J6820" s="366" t="s">
        <v>10594</v>
      </c>
      <c r="K6820" s="33" t="s">
        <v>741</v>
      </c>
    </row>
    <row r="6821" spans="2:11">
      <c r="B6821" s="143" t="s">
        <v>10619</v>
      </c>
      <c r="C6821" s="1653">
        <v>63.677777777777777</v>
      </c>
      <c r="D6821" s="230">
        <f>C6821*(1-VLOOKUP(I6821,descuentos,6,FALSE))*fcl/IF(dol_sol="dólar", TC,1)</f>
        <v>43.200663349917072</v>
      </c>
      <c r="E6821" s="1650">
        <v>5</v>
      </c>
      <c r="F6821" s="1646">
        <f t="shared" si="1027"/>
        <v>48.200663349917072</v>
      </c>
      <c r="G6821" s="186" t="s">
        <v>10620</v>
      </c>
      <c r="H6821" s="1654" t="s">
        <v>10621</v>
      </c>
      <c r="I6821" s="28" t="s">
        <v>10295</v>
      </c>
      <c r="J6821" s="366" t="s">
        <v>10594</v>
      </c>
      <c r="K6821" s="33" t="s">
        <v>741</v>
      </c>
    </row>
    <row r="6822" spans="2:11">
      <c r="D6822" s="230"/>
      <c r="H6822" s="135"/>
    </row>
    <row r="6823" spans="2:11">
      <c r="D6823" s="230"/>
      <c r="H6823" s="135"/>
    </row>
    <row r="6824" spans="2:11">
      <c r="B6824" s="1818" t="s">
        <v>11934</v>
      </c>
      <c r="C6824" s="1653">
        <v>560.61</v>
      </c>
      <c r="D6824" s="230">
        <f>C6824*(1-VLOOKUP(I6824,descuentos,6,FALSE))*fcl/IF(dol_sol="dólar", TC,1)</f>
        <v>380.33242876526452</v>
      </c>
      <c r="E6824" s="1650">
        <v>10</v>
      </c>
      <c r="F6824" s="1646">
        <f t="shared" ref="F6824:F6831" si="1028">D6824+E6824</f>
        <v>390.33242876526452</v>
      </c>
      <c r="G6824" s="186" t="s">
        <v>11053</v>
      </c>
      <c r="H6824" s="1654" t="s">
        <v>11052</v>
      </c>
      <c r="I6824" s="28" t="s">
        <v>10295</v>
      </c>
      <c r="J6824" s="366" t="s">
        <v>10594</v>
      </c>
      <c r="K6824" s="33" t="s">
        <v>741</v>
      </c>
    </row>
    <row r="6825" spans="2:11">
      <c r="B6825" s="1818" t="s">
        <v>11935</v>
      </c>
      <c r="C6825" s="1653">
        <v>314.20999999999998</v>
      </c>
      <c r="D6825" s="230">
        <f>C6825*(1-VLOOKUP(I6825,descuentos,6,FALSE))*fcl/IF(dol_sol="dólar", TC,1)</f>
        <v>213.16824966078693</v>
      </c>
      <c r="E6825" s="1650">
        <v>10</v>
      </c>
      <c r="F6825" s="1646">
        <f t="shared" si="1028"/>
        <v>223.16824966078693</v>
      </c>
      <c r="G6825" s="186" t="s">
        <v>11055</v>
      </c>
      <c r="H6825" s="1654" t="s">
        <v>11054</v>
      </c>
      <c r="I6825" s="28" t="s">
        <v>10295</v>
      </c>
      <c r="J6825" s="366" t="s">
        <v>10594</v>
      </c>
      <c r="K6825" s="33" t="s">
        <v>741</v>
      </c>
    </row>
    <row r="6826" spans="2:11">
      <c r="B6826" s="1818" t="s">
        <v>11936</v>
      </c>
      <c r="C6826" s="1653">
        <v>3114.5</v>
      </c>
      <c r="D6826" s="230">
        <f>C6826*(1-VLOOKUP(I6826,descuentos,6,FALSE))*fcl/IF(dol_sol="dólar", TC,1)</f>
        <v>2112.9579375848029</v>
      </c>
      <c r="E6826" s="1650">
        <v>10</v>
      </c>
      <c r="F6826" s="1646">
        <f t="shared" si="1028"/>
        <v>2122.9579375848029</v>
      </c>
      <c r="G6826" s="186" t="s">
        <v>11057</v>
      </c>
      <c r="H6826" s="1654" t="s">
        <v>11056</v>
      </c>
      <c r="I6826" s="28" t="s">
        <v>10295</v>
      </c>
      <c r="J6826" s="366" t="s">
        <v>10594</v>
      </c>
      <c r="K6826" s="33" t="s">
        <v>741</v>
      </c>
    </row>
    <row r="6827" spans="2:11">
      <c r="B6827" s="143" t="s">
        <v>11937</v>
      </c>
      <c r="C6827" s="1653">
        <v>63.61</v>
      </c>
      <c r="D6827" s="230">
        <f>C6827*(1-VLOOKUP(I6827,descuentos,6,FALSE))*fcl/IF(dol_sol="dólar", TC,1)</f>
        <v>43.154681139755766</v>
      </c>
      <c r="E6827" s="1650">
        <v>10</v>
      </c>
      <c r="F6827" s="1646">
        <f t="shared" si="1028"/>
        <v>53.154681139755766</v>
      </c>
      <c r="G6827" s="186" t="s">
        <v>11058</v>
      </c>
      <c r="H6827" s="1654">
        <v>421011</v>
      </c>
      <c r="I6827" s="28" t="s">
        <v>10295</v>
      </c>
      <c r="J6827" s="366" t="s">
        <v>10594</v>
      </c>
      <c r="K6827" s="33" t="s">
        <v>741</v>
      </c>
    </row>
    <row r="6828" spans="2:11">
      <c r="B6828" s="143"/>
      <c r="C6828" s="1653"/>
      <c r="D6828" s="230"/>
      <c r="E6828" s="1650"/>
      <c r="F6828" s="1646"/>
      <c r="G6828" s="186"/>
      <c r="H6828" s="1654"/>
      <c r="I6828" s="28"/>
      <c r="J6828" s="366"/>
      <c r="K6828" s="33"/>
    </row>
    <row r="6829" spans="2:11">
      <c r="B6829" s="143"/>
      <c r="C6829" s="1653"/>
      <c r="D6829" s="230"/>
      <c r="E6829" s="1650"/>
      <c r="F6829" s="1646"/>
      <c r="G6829" s="186"/>
      <c r="H6829" s="1654"/>
      <c r="I6829" s="28"/>
      <c r="J6829" s="366"/>
      <c r="K6829" s="33"/>
    </row>
    <row r="6830" spans="2:11">
      <c r="B6830" s="1818" t="s">
        <v>12347</v>
      </c>
      <c r="C6830" s="1653">
        <v>1648.8666666666666</v>
      </c>
      <c r="D6830" s="230">
        <f>C6830*(1-VLOOKUP(I6830,descuentos,6,FALSE))*fcl/IF(dol_sol="dólar", TC,1)</f>
        <v>1118.6341022161914</v>
      </c>
      <c r="E6830" s="1650">
        <v>10</v>
      </c>
      <c r="F6830" s="1646">
        <f t="shared" si="1028"/>
        <v>1128.6341022161914</v>
      </c>
      <c r="G6830" s="186" t="s">
        <v>12348</v>
      </c>
      <c r="H6830" s="1654" t="s">
        <v>12349</v>
      </c>
      <c r="I6830" s="28" t="s">
        <v>10295</v>
      </c>
      <c r="J6830" s="366" t="s">
        <v>10594</v>
      </c>
      <c r="K6830" s="33" t="s">
        <v>741</v>
      </c>
    </row>
    <row r="6831" spans="2:11">
      <c r="B6831" s="1818" t="s">
        <v>12350</v>
      </c>
      <c r="C6831" s="1653">
        <v>150.76</v>
      </c>
      <c r="D6831" s="230">
        <f>C6831*(1-VLOOKUP(I6831,descuentos,6,FALSE))*fcl/IF(dol_sol="dólar", TC,1)</f>
        <v>102.27951153324285</v>
      </c>
      <c r="E6831" s="1650">
        <v>10</v>
      </c>
      <c r="F6831" s="1646">
        <f t="shared" si="1028"/>
        <v>112.27951153324285</v>
      </c>
      <c r="G6831" s="186" t="s">
        <v>12351</v>
      </c>
      <c r="H6831" s="1654" t="s">
        <v>12350</v>
      </c>
      <c r="I6831" s="28" t="s">
        <v>10295</v>
      </c>
      <c r="J6831" s="366" t="s">
        <v>10594</v>
      </c>
      <c r="K6831" s="33" t="s">
        <v>741</v>
      </c>
    </row>
    <row r="6832" spans="2:11">
      <c r="B6832" s="143"/>
      <c r="C6832" s="1653"/>
      <c r="D6832" s="230"/>
      <c r="E6832" s="1650"/>
      <c r="F6832" s="1646"/>
      <c r="G6832" s="186"/>
      <c r="H6832" s="1654"/>
      <c r="I6832" s="28"/>
      <c r="J6832" s="366"/>
      <c r="K6832" s="33"/>
    </row>
    <row r="6833" spans="2:11">
      <c r="D6833" s="230"/>
      <c r="H6833" s="135"/>
    </row>
    <row r="6834" spans="2:11">
      <c r="B6834" s="1818" t="s">
        <v>14082</v>
      </c>
      <c r="C6834" s="1653">
        <v>536.39</v>
      </c>
      <c r="D6834" s="230">
        <f>C6834*(1-VLOOKUP(I6834,descuentos,6,FALSE))*fcl/IF(dol_sol="dólar", TC,1)</f>
        <v>363.90094979647216</v>
      </c>
      <c r="E6834" s="1650">
        <v>10</v>
      </c>
      <c r="F6834" s="1646">
        <f t="shared" ref="F6834:F6835" si="1029">D6834+E6834</f>
        <v>373.90094979647216</v>
      </c>
      <c r="G6834" s="1881" t="s">
        <v>12353</v>
      </c>
      <c r="H6834" s="1654" t="s">
        <v>12352</v>
      </c>
      <c r="I6834" s="28" t="s">
        <v>10295</v>
      </c>
      <c r="J6834" s="366" t="s">
        <v>10594</v>
      </c>
      <c r="K6834" s="33" t="s">
        <v>741</v>
      </c>
    </row>
    <row r="6835" spans="2:11">
      <c r="B6835" s="1818" t="s">
        <v>14083</v>
      </c>
      <c r="C6835" s="1653">
        <v>308.69</v>
      </c>
      <c r="D6835" s="230">
        <f>C6835*(1-VLOOKUP(I6835,descuentos,6,FALSE))*fcl/IF(dol_sol="dólar", TC,1)</f>
        <v>209.42333785617365</v>
      </c>
      <c r="E6835" s="1650">
        <v>10</v>
      </c>
      <c r="F6835" s="1646">
        <f t="shared" si="1029"/>
        <v>219.42333785617365</v>
      </c>
      <c r="G6835" s="1881" t="s">
        <v>12355</v>
      </c>
      <c r="H6835" s="1654" t="s">
        <v>12354</v>
      </c>
      <c r="I6835" s="28" t="s">
        <v>10295</v>
      </c>
      <c r="J6835" s="366" t="s">
        <v>10594</v>
      </c>
      <c r="K6835" s="33" t="s">
        <v>741</v>
      </c>
    </row>
    <row r="6836" spans="2:11">
      <c r="B6836" s="143"/>
      <c r="C6836" s="1653"/>
      <c r="D6836" s="230"/>
      <c r="E6836" s="1650"/>
      <c r="F6836" s="1646"/>
      <c r="G6836" s="186"/>
      <c r="H6836" s="1654"/>
      <c r="I6836" s="28"/>
      <c r="J6836" s="366"/>
      <c r="K6836" s="33"/>
    </row>
    <row r="6837" spans="2:11">
      <c r="D6837" s="230"/>
      <c r="H6837" s="135"/>
    </row>
    <row r="6838" spans="2:11">
      <c r="B6838" s="143" t="s">
        <v>10622</v>
      </c>
      <c r="C6838" s="1653">
        <v>2478.9666666666667</v>
      </c>
      <c r="D6838" s="230">
        <f t="shared" ref="D6838:D6843" si="1030">C6838*(1-VLOOKUP(I6838,descuentos,6,FALSE))*fcl/IF(dol_sol="dólar", TC,1)</f>
        <v>1681.7955676164629</v>
      </c>
      <c r="E6838" s="1650">
        <v>20</v>
      </c>
      <c r="F6838" s="1646">
        <f>D6838+E6838</f>
        <v>1701.7955676164629</v>
      </c>
      <c r="G6838" s="186" t="s">
        <v>10623</v>
      </c>
      <c r="H6838" s="1654" t="s">
        <v>10624</v>
      </c>
      <c r="I6838" s="28" t="s">
        <v>10295</v>
      </c>
      <c r="J6838" s="366" t="s">
        <v>10594</v>
      </c>
      <c r="K6838" s="33" t="s">
        <v>741</v>
      </c>
    </row>
    <row r="6839" spans="2:11">
      <c r="B6839" s="143" t="s">
        <v>10625</v>
      </c>
      <c r="C6839" s="1653">
        <v>2478.9666666666667</v>
      </c>
      <c r="D6839" s="230">
        <f t="shared" si="1030"/>
        <v>1681.7955676164629</v>
      </c>
      <c r="E6839" s="1650">
        <v>20</v>
      </c>
      <c r="F6839" s="1646">
        <f>D6839+E6839</f>
        <v>1701.7955676164629</v>
      </c>
      <c r="G6839" s="186" t="s">
        <v>10626</v>
      </c>
      <c r="H6839" s="1654" t="s">
        <v>10627</v>
      </c>
      <c r="I6839" s="28" t="s">
        <v>10295</v>
      </c>
      <c r="J6839" s="366" t="s">
        <v>10594</v>
      </c>
      <c r="K6839" s="33" t="s">
        <v>741</v>
      </c>
    </row>
    <row r="6840" spans="2:11">
      <c r="B6840" s="143" t="s">
        <v>10628</v>
      </c>
      <c r="C6840" s="1653">
        <v>79.989999999999995</v>
      </c>
      <c r="D6840" s="230">
        <f t="shared" si="1030"/>
        <v>54.267299864314779</v>
      </c>
      <c r="E6840" s="1650">
        <v>10</v>
      </c>
      <c r="F6840" s="1646">
        <f t="shared" ref="F6840:F6843" si="1031">D6840+E6840</f>
        <v>64.267299864314779</v>
      </c>
      <c r="G6840" s="186" t="s">
        <v>10629</v>
      </c>
      <c r="H6840" s="1654" t="s">
        <v>10630</v>
      </c>
      <c r="I6840" s="28" t="s">
        <v>10295</v>
      </c>
      <c r="J6840" s="366" t="s">
        <v>10594</v>
      </c>
      <c r="K6840" s="33" t="s">
        <v>741</v>
      </c>
    </row>
    <row r="6841" spans="2:11">
      <c r="B6841" s="143" t="s">
        <v>10631</v>
      </c>
      <c r="C6841" s="1653">
        <v>244.38</v>
      </c>
      <c r="D6841" s="230">
        <f t="shared" si="1030"/>
        <v>165.79375848032564</v>
      </c>
      <c r="E6841" s="1650">
        <v>10</v>
      </c>
      <c r="F6841" s="1646">
        <f t="shared" si="1031"/>
        <v>175.79375848032564</v>
      </c>
      <c r="G6841" s="186" t="s">
        <v>10632</v>
      </c>
      <c r="H6841" s="1654" t="s">
        <v>10633</v>
      </c>
      <c r="I6841" s="28" t="s">
        <v>10295</v>
      </c>
      <c r="J6841" s="366" t="s">
        <v>10594</v>
      </c>
      <c r="K6841" s="33" t="s">
        <v>741</v>
      </c>
    </row>
    <row r="6842" spans="2:11">
      <c r="B6842" s="143" t="s">
        <v>10634</v>
      </c>
      <c r="C6842" s="1653">
        <v>248.78</v>
      </c>
      <c r="D6842" s="230">
        <f t="shared" si="1030"/>
        <v>168.7788331071913</v>
      </c>
      <c r="E6842" s="1650">
        <v>5</v>
      </c>
      <c r="F6842" s="1646">
        <f t="shared" si="1031"/>
        <v>173.7788331071913</v>
      </c>
      <c r="G6842" s="186" t="s">
        <v>10635</v>
      </c>
      <c r="H6842" s="1654" t="s">
        <v>10636</v>
      </c>
      <c r="I6842" s="28" t="s">
        <v>10295</v>
      </c>
      <c r="J6842" s="366" t="s">
        <v>10594</v>
      </c>
      <c r="K6842" s="33" t="s">
        <v>741</v>
      </c>
    </row>
    <row r="6843" spans="2:11">
      <c r="B6843" s="1402" t="s">
        <v>10637</v>
      </c>
      <c r="C6843" s="1653">
        <v>833.26</v>
      </c>
      <c r="D6843" s="230">
        <f t="shared" si="1030"/>
        <v>565.30529172320212</v>
      </c>
      <c r="E6843" s="1650">
        <v>20</v>
      </c>
      <c r="F6843" s="1646">
        <f t="shared" si="1031"/>
        <v>585.30529172320212</v>
      </c>
      <c r="G6843" s="186" t="s">
        <v>10638</v>
      </c>
      <c r="H6843" s="1654" t="s">
        <v>10639</v>
      </c>
      <c r="I6843" s="28" t="s">
        <v>10295</v>
      </c>
      <c r="J6843" s="366" t="s">
        <v>10594</v>
      </c>
      <c r="K6843" s="33" t="s">
        <v>741</v>
      </c>
    </row>
    <row r="6844" spans="2:11">
      <c r="D6844" s="230"/>
      <c r="H6844" s="135"/>
    </row>
    <row r="6845" spans="2:11">
      <c r="D6845" s="230"/>
      <c r="H6845" s="135"/>
    </row>
    <row r="6846" spans="2:11">
      <c r="B6846" s="143" t="s">
        <v>10640</v>
      </c>
      <c r="C6846" s="1653">
        <v>1364.1888888888889</v>
      </c>
      <c r="D6846" s="230">
        <f>C6846*(1-VLOOKUP(I6846,descuentos,6,FALSE))*fcl/IF(dol_sol="dólar", TC,1)</f>
        <v>925.5012814714305</v>
      </c>
      <c r="E6846" s="1650">
        <v>20</v>
      </c>
      <c r="F6846" s="1646">
        <f t="shared" ref="F6846:F6850" si="1032">D6846+E6846</f>
        <v>945.5012814714305</v>
      </c>
      <c r="G6846" s="186" t="s">
        <v>10641</v>
      </c>
      <c r="H6846" s="1654" t="s">
        <v>10642</v>
      </c>
      <c r="I6846" s="28" t="s">
        <v>10295</v>
      </c>
      <c r="J6846" s="366" t="s">
        <v>10594</v>
      </c>
      <c r="K6846" s="33" t="s">
        <v>741</v>
      </c>
    </row>
    <row r="6847" spans="2:11">
      <c r="B6847" s="143" t="s">
        <v>10643</v>
      </c>
      <c r="C6847" s="1653">
        <v>79.989999999999995</v>
      </c>
      <c r="D6847" s="230">
        <f>C6847*(1-VLOOKUP(I6847,descuentos,6,FALSE))*fcl/IF(dol_sol="dólar", TC,1)</f>
        <v>54.267299864314779</v>
      </c>
      <c r="E6847" s="1650">
        <v>10</v>
      </c>
      <c r="F6847" s="1646">
        <f t="shared" si="1032"/>
        <v>64.267299864314779</v>
      </c>
      <c r="G6847" s="186" t="s">
        <v>10644</v>
      </c>
      <c r="H6847" s="1654" t="s">
        <v>10630</v>
      </c>
      <c r="I6847" s="28" t="s">
        <v>10295</v>
      </c>
      <c r="J6847" s="366" t="s">
        <v>10594</v>
      </c>
      <c r="K6847" s="33" t="s">
        <v>741</v>
      </c>
    </row>
    <row r="6848" spans="2:11">
      <c r="B6848" s="143" t="s">
        <v>10645</v>
      </c>
      <c r="C6848" s="1653">
        <v>244.38</v>
      </c>
      <c r="D6848" s="230">
        <f>C6848*(1-VLOOKUP(I6848,descuentos,6,FALSE))*fcl/IF(dol_sol="dólar", TC,1)</f>
        <v>165.79375848032564</v>
      </c>
      <c r="E6848" s="1650">
        <v>10</v>
      </c>
      <c r="F6848" s="1646">
        <f t="shared" si="1032"/>
        <v>175.79375848032564</v>
      </c>
      <c r="G6848" s="186" t="s">
        <v>10646</v>
      </c>
      <c r="H6848" s="1654" t="s">
        <v>10633</v>
      </c>
      <c r="I6848" s="28" t="s">
        <v>10295</v>
      </c>
      <c r="J6848" s="366" t="s">
        <v>10594</v>
      </c>
      <c r="K6848" s="33" t="s">
        <v>741</v>
      </c>
    </row>
    <row r="6849" spans="2:11">
      <c r="B6849" s="143" t="s">
        <v>10647</v>
      </c>
      <c r="C6849" s="1653">
        <v>248.78</v>
      </c>
      <c r="D6849" s="230">
        <f>C6849*(1-VLOOKUP(I6849,descuentos,6,FALSE))*fcl/IF(dol_sol="dólar", TC,1)</f>
        <v>168.7788331071913</v>
      </c>
      <c r="E6849" s="1650">
        <v>5</v>
      </c>
      <c r="F6849" s="1646">
        <f t="shared" si="1032"/>
        <v>173.7788331071913</v>
      </c>
      <c r="G6849" s="186" t="s">
        <v>10635</v>
      </c>
      <c r="H6849" s="1654" t="s">
        <v>10636</v>
      </c>
      <c r="I6849" s="28" t="s">
        <v>10295</v>
      </c>
      <c r="J6849" s="366" t="s">
        <v>10594</v>
      </c>
      <c r="K6849" s="33" t="s">
        <v>741</v>
      </c>
    </row>
    <row r="6850" spans="2:11" ht="13.8">
      <c r="B6850" s="1402" t="s">
        <v>11938</v>
      </c>
      <c r="C6850" s="1653">
        <v>326.24</v>
      </c>
      <c r="D6850" s="230">
        <f t="shared" ref="D6850" si="1033">C6850*(1-VLOOKUP(I6850,descuentos,6,FALSE))*fcl/IF(dol_sol="dólar", TC,1)</f>
        <v>221.32971506105832</v>
      </c>
      <c r="E6850" s="1650">
        <v>20</v>
      </c>
      <c r="F6850" s="1646">
        <f t="shared" si="1032"/>
        <v>241.32971506105832</v>
      </c>
      <c r="G6850" s="186" t="s">
        <v>11939</v>
      </c>
      <c r="H6850" s="1819" t="s">
        <v>11940</v>
      </c>
      <c r="I6850" s="28" t="s">
        <v>10295</v>
      </c>
      <c r="J6850" s="366" t="s">
        <v>10594</v>
      </c>
      <c r="K6850" s="33" t="s">
        <v>741</v>
      </c>
    </row>
    <row r="6851" spans="2:11">
      <c r="D6851" s="230"/>
      <c r="G6851" s="186"/>
      <c r="H6851" s="135"/>
    </row>
    <row r="6852" spans="2:11">
      <c r="D6852" s="230"/>
      <c r="H6852" s="135"/>
    </row>
    <row r="6853" spans="2:11">
      <c r="B6853" s="143" t="s">
        <v>10648</v>
      </c>
      <c r="C6853" s="1653">
        <v>520.87</v>
      </c>
      <c r="D6853" s="230">
        <f>C6853*(1-VLOOKUP(I6853,descuentos,6,FALSE))*fcl/IF(dol_sol="dólar", TC,1)</f>
        <v>353.37177747625509</v>
      </c>
      <c r="E6853" s="1650">
        <v>20</v>
      </c>
      <c r="F6853" s="1646">
        <f t="shared" ref="F6853:F6854" si="1034">D6853+E6853</f>
        <v>373.37177747625509</v>
      </c>
      <c r="G6853" s="186" t="s">
        <v>10649</v>
      </c>
      <c r="H6853" s="1654" t="s">
        <v>10650</v>
      </c>
      <c r="I6853" s="28" t="s">
        <v>10295</v>
      </c>
      <c r="J6853" s="366" t="s">
        <v>10594</v>
      </c>
      <c r="K6853" s="33" t="s">
        <v>741</v>
      </c>
    </row>
    <row r="6854" spans="2:11">
      <c r="B6854" s="143" t="s">
        <v>10651</v>
      </c>
      <c r="C6854" s="1653">
        <v>70.540000000000006</v>
      </c>
      <c r="D6854" s="230">
        <f>C6854*(1-VLOOKUP(I6854,descuentos,6,FALSE))*fcl/IF(dol_sol="dólar", TC,1)</f>
        <v>47.856173677069194</v>
      </c>
      <c r="E6854" s="1650">
        <v>10</v>
      </c>
      <c r="F6854" s="1646">
        <f t="shared" si="1034"/>
        <v>57.856173677069194</v>
      </c>
      <c r="G6854" s="186" t="s">
        <v>10652</v>
      </c>
      <c r="H6854" s="1654" t="s">
        <v>10653</v>
      </c>
      <c r="I6854" s="28" t="s">
        <v>10295</v>
      </c>
      <c r="J6854" s="366" t="s">
        <v>10594</v>
      </c>
      <c r="K6854" s="33" t="s">
        <v>741</v>
      </c>
    </row>
    <row r="6855" spans="2:11">
      <c r="B6855" s="143" t="s">
        <v>10654</v>
      </c>
      <c r="C6855" s="1653">
        <v>192.09</v>
      </c>
      <c r="D6855" s="230">
        <f>C6855*(1-VLOOKUP(I6855,descuentos,6,FALSE))*fcl/IF(dol_sol="dólar", TC,1)</f>
        <v>130.31886024423335</v>
      </c>
      <c r="E6855" s="1650">
        <v>10</v>
      </c>
      <c r="F6855" s="1646">
        <f>D6855+E6855</f>
        <v>140.31886024423335</v>
      </c>
      <c r="G6855" s="186" t="s">
        <v>10655</v>
      </c>
      <c r="H6855" s="1654" t="s">
        <v>10656</v>
      </c>
      <c r="I6855" s="28" t="s">
        <v>10295</v>
      </c>
      <c r="J6855" s="366" t="s">
        <v>10594</v>
      </c>
      <c r="K6855" s="33" t="s">
        <v>741</v>
      </c>
    </row>
    <row r="6856" spans="2:11">
      <c r="B6856" s="143" t="s">
        <v>10657</v>
      </c>
      <c r="C6856" s="1653">
        <v>63.61</v>
      </c>
      <c r="D6856" s="230">
        <f>C6856*(1-VLOOKUP(I6856,descuentos,6,FALSE))*fcl/IF(dol_sol="dólar", TC,1)</f>
        <v>43.154681139755766</v>
      </c>
      <c r="E6856" s="1650">
        <v>5</v>
      </c>
      <c r="F6856" s="1646">
        <f>D6856+E6856</f>
        <v>48.154681139755766</v>
      </c>
      <c r="G6856" s="186" t="s">
        <v>14084</v>
      </c>
      <c r="H6856" s="1654" t="s">
        <v>10658</v>
      </c>
      <c r="I6856" s="28" t="s">
        <v>10295</v>
      </c>
      <c r="J6856" s="366" t="s">
        <v>10594</v>
      </c>
      <c r="K6856" s="33" t="s">
        <v>741</v>
      </c>
    </row>
    <row r="6857" spans="2:11" ht="13.8">
      <c r="B6857" s="143" t="s">
        <v>11941</v>
      </c>
      <c r="C6857" s="1653">
        <v>128.47999999999999</v>
      </c>
      <c r="D6857" s="230">
        <f>C6857*(1-VLOOKUP(I6857,descuentos,6,FALSE))*fcl/IF(dol_sol="dólar", TC,1)</f>
        <v>87.164179104477597</v>
      </c>
      <c r="E6857" s="1650">
        <v>5</v>
      </c>
      <c r="F6857" s="1646">
        <f>D6857+E6857</f>
        <v>92.164179104477597</v>
      </c>
      <c r="G6857" s="1820" t="s">
        <v>11942</v>
      </c>
      <c r="H6857" s="1819" t="s">
        <v>11943</v>
      </c>
      <c r="I6857" s="28" t="s">
        <v>10295</v>
      </c>
      <c r="J6857" s="366" t="s">
        <v>10594</v>
      </c>
      <c r="K6857" s="33" t="s">
        <v>741</v>
      </c>
    </row>
    <row r="6858" spans="2:11">
      <c r="B6858" s="143"/>
      <c r="C6858" s="1653"/>
      <c r="D6858" s="230"/>
      <c r="E6858" s="1650"/>
      <c r="F6858" s="1646"/>
      <c r="G6858" s="186"/>
      <c r="H6858" s="1654"/>
      <c r="I6858" s="28"/>
      <c r="J6858" s="366"/>
      <c r="K6858" s="33"/>
    </row>
    <row r="6859" spans="2:11">
      <c r="B6859" s="143" t="s">
        <v>10843</v>
      </c>
      <c r="C6859" s="1653">
        <v>359.62222222222226</v>
      </c>
      <c r="D6859" s="230">
        <f>C6859*(1-VLOOKUP(I6859,descuentos,6,FALSE))*fcl/IF(dol_sol="dólar", TC,1)</f>
        <v>243.97708427559172</v>
      </c>
      <c r="E6859" s="1650">
        <v>10</v>
      </c>
      <c r="F6859" s="1646">
        <f t="shared" ref="F6859:F6861" si="1035">D6859+E6859</f>
        <v>253.97708427559172</v>
      </c>
      <c r="G6859" s="314" t="s">
        <v>11944</v>
      </c>
      <c r="H6859" s="1654" t="s">
        <v>10844</v>
      </c>
      <c r="I6859" s="28" t="s">
        <v>10295</v>
      </c>
      <c r="J6859" s="366" t="s">
        <v>10594</v>
      </c>
      <c r="K6859" s="33" t="s">
        <v>741</v>
      </c>
    </row>
    <row r="6860" spans="2:11">
      <c r="B6860" s="143" t="s">
        <v>10845</v>
      </c>
      <c r="C6860" s="1653">
        <v>307.97777777777776</v>
      </c>
      <c r="D6860" s="230">
        <f>C6860*(1-VLOOKUP(I6860,descuentos,6,FALSE))*fcl/IF(dol_sol="dólar", TC,1)</f>
        <v>208.94014774611784</v>
      </c>
      <c r="E6860" s="1650">
        <v>20</v>
      </c>
      <c r="F6860" s="1646">
        <f t="shared" si="1035"/>
        <v>228.94014774611784</v>
      </c>
      <c r="G6860" s="314" t="s">
        <v>11945</v>
      </c>
      <c r="H6860" s="1654" t="s">
        <v>10846</v>
      </c>
      <c r="I6860" s="28" t="s">
        <v>10295</v>
      </c>
      <c r="J6860" s="366" t="s">
        <v>10594</v>
      </c>
      <c r="K6860" s="33" t="s">
        <v>741</v>
      </c>
    </row>
    <row r="6861" spans="2:11">
      <c r="B6861" s="143" t="s">
        <v>10847</v>
      </c>
      <c r="C6861" s="1653">
        <v>167.53333333333333</v>
      </c>
      <c r="D6861" s="230">
        <f>C6861*(1-VLOOKUP(I6861,descuentos,6,FALSE))*fcl/IF(dol_sol="dólar", TC,1)</f>
        <v>113.65897783808229</v>
      </c>
      <c r="E6861" s="1650">
        <v>20</v>
      </c>
      <c r="F6861" s="1646">
        <f t="shared" si="1035"/>
        <v>133.65897783808231</v>
      </c>
      <c r="G6861" s="314" t="s">
        <v>11946</v>
      </c>
      <c r="H6861" s="1654" t="s">
        <v>10848</v>
      </c>
      <c r="I6861" s="28" t="s">
        <v>10295</v>
      </c>
      <c r="J6861" s="366" t="s">
        <v>10594</v>
      </c>
      <c r="K6861" s="33" t="s">
        <v>741</v>
      </c>
    </row>
    <row r="6862" spans="2:11">
      <c r="B6862" s="143" t="s">
        <v>10849</v>
      </c>
      <c r="C6862" s="1653">
        <v>215.4</v>
      </c>
      <c r="D6862" s="230">
        <f>C6862*(1-VLOOKUP(I6862,descuentos,6,FALSE))*fcl/IF(dol_sol="dólar", TC,1)</f>
        <v>146.13297150610583</v>
      </c>
      <c r="E6862" s="1650">
        <v>20</v>
      </c>
      <c r="F6862" s="1646">
        <f>D6862+E6862</f>
        <v>166.13297150610583</v>
      </c>
      <c r="G6862" s="314" t="s">
        <v>11947</v>
      </c>
      <c r="H6862" s="1654" t="s">
        <v>10850</v>
      </c>
      <c r="I6862" s="28" t="s">
        <v>10295</v>
      </c>
      <c r="J6862" s="366" t="s">
        <v>10594</v>
      </c>
      <c r="K6862" s="33" t="s">
        <v>741</v>
      </c>
    </row>
    <row r="6863" spans="2:11">
      <c r="B6863" s="143" t="s">
        <v>10851</v>
      </c>
      <c r="C6863" s="1653">
        <v>309.87777777777774</v>
      </c>
      <c r="D6863" s="230">
        <f>C6863*(1-VLOOKUP(I6863,descuentos,6,FALSE))*fcl/IF(dol_sol="dólar", TC,1)</f>
        <v>210.22915724408256</v>
      </c>
      <c r="E6863" s="1650">
        <v>20</v>
      </c>
      <c r="F6863" s="1646">
        <f>D6863+E6863</f>
        <v>230.22915724408256</v>
      </c>
      <c r="G6863" s="314" t="s">
        <v>11948</v>
      </c>
      <c r="H6863" s="1654" t="s">
        <v>10852</v>
      </c>
      <c r="I6863" s="28" t="s">
        <v>10295</v>
      </c>
      <c r="J6863" s="366" t="s">
        <v>10594</v>
      </c>
      <c r="K6863" s="33" t="s">
        <v>741</v>
      </c>
    </row>
    <row r="6864" spans="2:11">
      <c r="B6864" s="143"/>
      <c r="C6864" s="1653"/>
      <c r="D6864" s="230"/>
      <c r="E6864" s="1650"/>
      <c r="F6864" s="1646"/>
      <c r="G6864" s="314"/>
      <c r="H6864" s="1654"/>
      <c r="I6864" s="28"/>
      <c r="J6864" s="366"/>
      <c r="K6864" s="33"/>
    </row>
    <row r="6865" spans="2:14" ht="13.8">
      <c r="B6865" s="1821" t="s">
        <v>11949</v>
      </c>
      <c r="C6865" s="1653">
        <v>31.5</v>
      </c>
      <c r="D6865" s="230">
        <f>C6865*(1-VLOOKUP(I6865,descuentos,6,FALSE))*fcl/IF(dol_sol="dólar", TC,1)</f>
        <v>21.370420624151965</v>
      </c>
      <c r="E6865" s="1650">
        <v>20</v>
      </c>
      <c r="F6865" s="1646">
        <f>D6865+E6865</f>
        <v>41.370420624151961</v>
      </c>
      <c r="G6865" s="1820" t="s">
        <v>11950</v>
      </c>
      <c r="H6865" s="1819" t="s">
        <v>11951</v>
      </c>
      <c r="I6865" s="28" t="s">
        <v>10295</v>
      </c>
      <c r="J6865" s="366" t="s">
        <v>10594</v>
      </c>
      <c r="K6865" s="33" t="s">
        <v>741</v>
      </c>
    </row>
    <row r="6866" spans="2:14" ht="13.8">
      <c r="B6866" s="1820" t="s">
        <v>11952</v>
      </c>
      <c r="C6866" s="1653">
        <v>53.29</v>
      </c>
      <c r="D6866" s="230">
        <f>C6866*(1-VLOOKUP(I6866,descuentos,6,FALSE))*fcl/IF(dol_sol="dólar", TC,1)</f>
        <v>36.153324287652637</v>
      </c>
      <c r="E6866" s="1650">
        <v>20</v>
      </c>
      <c r="F6866" s="1646">
        <f>D6866+E6866</f>
        <v>56.153324287652637</v>
      </c>
      <c r="G6866" s="314" t="s">
        <v>11953</v>
      </c>
      <c r="H6866" s="1819" t="s">
        <v>11954</v>
      </c>
      <c r="I6866" s="28" t="s">
        <v>10295</v>
      </c>
      <c r="J6866" s="366" t="s">
        <v>10594</v>
      </c>
      <c r="K6866" s="33" t="s">
        <v>741</v>
      </c>
    </row>
    <row r="6867" spans="2:14">
      <c r="B6867" s="143"/>
      <c r="C6867" s="1653"/>
      <c r="D6867" s="230"/>
      <c r="E6867" s="1650"/>
      <c r="F6867" s="1646"/>
      <c r="G6867" s="314"/>
      <c r="H6867" s="1654"/>
      <c r="I6867" s="28"/>
      <c r="J6867" s="366"/>
      <c r="K6867" s="33"/>
    </row>
    <row r="6868" spans="2:14">
      <c r="B6868" s="143" t="s">
        <v>12969</v>
      </c>
      <c r="C6868" s="1653">
        <v>43.47</v>
      </c>
      <c r="D6868" s="230">
        <f>C6868*(1-VLOOKUP(I6868,descuentos,6,FALSE))*fcl/IF(dol_sol="dólar", TC,1)</f>
        <v>29.491180461329712</v>
      </c>
      <c r="E6868" s="1650">
        <v>10</v>
      </c>
      <c r="F6868" s="1646">
        <f t="shared" ref="F6868:F6870" si="1036">D6868+E6868</f>
        <v>39.491180461329712</v>
      </c>
      <c r="G6868" s="314" t="s">
        <v>12970</v>
      </c>
      <c r="H6868" s="1654">
        <v>23791</v>
      </c>
      <c r="I6868" s="28" t="s">
        <v>10295</v>
      </c>
      <c r="J6868" s="366" t="s">
        <v>10594</v>
      </c>
      <c r="K6868" s="33" t="s">
        <v>741</v>
      </c>
    </row>
    <row r="6869" spans="2:14">
      <c r="B6869" s="143" t="s">
        <v>12971</v>
      </c>
      <c r="C6869" s="1653">
        <v>43.47</v>
      </c>
      <c r="D6869" s="230">
        <f>C6869*(1-VLOOKUP(I6869,descuentos,6,FALSE))*fcl/IF(dol_sol="dólar", TC,1)</f>
        <v>29.491180461329712</v>
      </c>
      <c r="E6869" s="1650">
        <v>20</v>
      </c>
      <c r="F6869" s="1646">
        <f t="shared" si="1036"/>
        <v>49.491180461329712</v>
      </c>
      <c r="G6869" s="314" t="s">
        <v>12972</v>
      </c>
      <c r="H6869" s="1654">
        <v>23792</v>
      </c>
      <c r="I6869" s="28" t="s">
        <v>10295</v>
      </c>
      <c r="J6869" s="366" t="s">
        <v>10594</v>
      </c>
      <c r="K6869" s="33" t="s">
        <v>741</v>
      </c>
    </row>
    <row r="6870" spans="2:14">
      <c r="B6870" s="143" t="s">
        <v>12973</v>
      </c>
      <c r="C6870" s="1653">
        <v>43.47</v>
      </c>
      <c r="D6870" s="230">
        <f>C6870*(1-VLOOKUP(I6870,descuentos,6,FALSE))*fcl/IF(dol_sol="dólar", TC,1)</f>
        <v>29.491180461329712</v>
      </c>
      <c r="E6870" s="1650">
        <v>20</v>
      </c>
      <c r="F6870" s="1646">
        <f t="shared" si="1036"/>
        <v>49.491180461329712</v>
      </c>
      <c r="G6870" s="314" t="s">
        <v>12974</v>
      </c>
      <c r="H6870" s="1654">
        <v>23794</v>
      </c>
      <c r="I6870" s="28" t="s">
        <v>10295</v>
      </c>
      <c r="J6870" s="366" t="s">
        <v>10594</v>
      </c>
      <c r="K6870" s="33" t="s">
        <v>741</v>
      </c>
    </row>
    <row r="6871" spans="2:14">
      <c r="B6871" s="143"/>
      <c r="C6871" s="1653"/>
      <c r="D6871" s="230"/>
      <c r="E6871" s="1650"/>
      <c r="F6871" s="1646"/>
      <c r="G6871" s="314"/>
      <c r="H6871" s="1654"/>
      <c r="I6871" s="28"/>
      <c r="J6871" s="366"/>
      <c r="K6871" s="33"/>
    </row>
    <row r="6872" spans="2:14" s="185" customFormat="1" ht="14.25" customHeight="1">
      <c r="B6872" s="1821" t="s">
        <v>13447</v>
      </c>
      <c r="C6872" s="542">
        <v>1704</v>
      </c>
      <c r="D6872" s="230">
        <f>C6872*(1-VLOOKUP(I6872,descuentos,6,FALSE))*fcl/IF(dol_sol="dólar", TC,1)</f>
        <v>1156.0379918588874</v>
      </c>
      <c r="E6872" s="540">
        <v>20</v>
      </c>
      <c r="F6872" s="410">
        <f>D6872+E6872</f>
        <v>1176.0379918588874</v>
      </c>
      <c r="G6872" s="1820" t="s">
        <v>13448</v>
      </c>
      <c r="H6872" s="1819" t="s">
        <v>12349</v>
      </c>
      <c r="I6872" s="541" t="s">
        <v>10295</v>
      </c>
      <c r="J6872" s="321" t="s">
        <v>10594</v>
      </c>
      <c r="K6872" s="185" t="s">
        <v>741</v>
      </c>
    </row>
    <row r="6873" spans="2:14" s="185" customFormat="1" ht="13.8">
      <c r="B6873" s="1820" t="s">
        <v>12351</v>
      </c>
      <c r="C6873" s="542">
        <v>156</v>
      </c>
      <c r="D6873" s="230">
        <f>C6873*(1-VLOOKUP(I6873,descuentos,6,FALSE))*fcl/IF(dol_sol="dólar", TC,1)</f>
        <v>105.83446404341925</v>
      </c>
      <c r="E6873" s="540">
        <v>20</v>
      </c>
      <c r="F6873" s="410">
        <f>D6873+E6873</f>
        <v>125.83446404341925</v>
      </c>
      <c r="G6873" s="314" t="s">
        <v>12351</v>
      </c>
      <c r="H6873" s="1819" t="s">
        <v>12350</v>
      </c>
      <c r="I6873" s="541" t="s">
        <v>10295</v>
      </c>
      <c r="J6873" s="321" t="s">
        <v>10594</v>
      </c>
      <c r="K6873" s="185" t="s">
        <v>741</v>
      </c>
    </row>
    <row r="6874" spans="2:14" s="185" customFormat="1" ht="13.8">
      <c r="B6874" s="1521"/>
      <c r="C6874" s="542"/>
      <c r="D6874" s="230"/>
      <c r="E6874" s="540"/>
      <c r="F6874" s="410"/>
      <c r="G6874" s="314"/>
      <c r="H6874" s="2412"/>
      <c r="I6874" s="541"/>
      <c r="J6874" s="321"/>
    </row>
    <row r="6875" spans="2:14" s="185" customFormat="1" ht="14.25" customHeight="1">
      <c r="B6875" s="2413" t="s">
        <v>14085</v>
      </c>
      <c r="C6875" s="2414"/>
      <c r="D6875" s="2414"/>
      <c r="E6875" s="540"/>
      <c r="F6875" s="410"/>
      <c r="G6875" s="314"/>
      <c r="H6875" s="2412"/>
      <c r="I6875" s="541"/>
      <c r="J6875" s="321"/>
    </row>
    <row r="6876" spans="2:14" s="185" customFormat="1" ht="14.25" customHeight="1">
      <c r="B6876" s="2415" t="s">
        <v>14086</v>
      </c>
      <c r="C6876" s="2414"/>
      <c r="D6876" s="2414"/>
      <c r="E6876" s="540"/>
      <c r="F6876" s="410"/>
      <c r="G6876" s="314"/>
      <c r="H6876" s="2412"/>
      <c r="I6876" s="541"/>
      <c r="J6876" s="321"/>
    </row>
    <row r="6877" spans="2:14" s="185" customFormat="1" ht="12.75" customHeight="1">
      <c r="B6877" s="2414"/>
      <c r="C6877" s="2414"/>
      <c r="D6877" s="2414"/>
      <c r="E6877" s="108"/>
      <c r="F6877" s="102"/>
      <c r="G6877" s="195"/>
      <c r="H6877" s="194"/>
      <c r="I6877" s="102"/>
      <c r="J6877" s="102"/>
      <c r="K6877" s="102"/>
      <c r="L6877" s="102"/>
      <c r="M6877" s="102"/>
      <c r="N6877" s="102"/>
    </row>
    <row r="6878" spans="2:14" s="185" customFormat="1" ht="13.8">
      <c r="B6878" s="1521"/>
      <c r="C6878" s="542"/>
      <c r="D6878" s="230"/>
      <c r="E6878" s="540"/>
      <c r="F6878" s="410"/>
      <c r="G6878" s="314"/>
      <c r="H6878" s="2412"/>
      <c r="I6878" s="541"/>
      <c r="J6878" s="321"/>
    </row>
    <row r="6879" spans="2:14" s="185" customFormat="1">
      <c r="B6879" s="26" t="s">
        <v>14087</v>
      </c>
      <c r="C6879" s="542">
        <v>1623.0444444444445</v>
      </c>
      <c r="D6879" s="230">
        <f t="shared" ref="D6879:D6882" si="1037">C6879*(1-VLOOKUP(I6879,descuentos,6,FALSE))*fcl/IF(dol_sol="dólar", TC,1)</f>
        <v>1101.1156339514546</v>
      </c>
      <c r="E6879" s="1650">
        <v>15</v>
      </c>
      <c r="F6879" s="1646">
        <f t="shared" ref="F6879:F6886" si="1038">D6879+E6879</f>
        <v>1116.1156339514546</v>
      </c>
      <c r="G6879" s="1521" t="s">
        <v>14088</v>
      </c>
      <c r="H6879" s="1648" t="s">
        <v>14089</v>
      </c>
      <c r="I6879" s="541" t="s">
        <v>10295</v>
      </c>
      <c r="J6879" s="435" t="s">
        <v>10594</v>
      </c>
    </row>
    <row r="6880" spans="2:14" s="185" customFormat="1">
      <c r="B6880" s="26" t="s">
        <v>14090</v>
      </c>
      <c r="C6880" s="542">
        <v>1623.0444444444445</v>
      </c>
      <c r="D6880" s="230">
        <f t="shared" si="1037"/>
        <v>1101.1156339514546</v>
      </c>
      <c r="E6880" s="1650">
        <v>15</v>
      </c>
      <c r="F6880" s="1646">
        <f t="shared" si="1038"/>
        <v>1116.1156339514546</v>
      </c>
      <c r="G6880" s="1521" t="s">
        <v>14091</v>
      </c>
      <c r="H6880" s="1648" t="s">
        <v>14092</v>
      </c>
      <c r="I6880" s="541" t="s">
        <v>10295</v>
      </c>
      <c r="J6880" s="435" t="s">
        <v>10594</v>
      </c>
    </row>
    <row r="6881" spans="2:10" s="185" customFormat="1">
      <c r="B6881" s="26" t="s">
        <v>14093</v>
      </c>
      <c r="C6881" s="542">
        <v>1623.0444444444445</v>
      </c>
      <c r="D6881" s="230">
        <f t="shared" si="1037"/>
        <v>1101.1156339514546</v>
      </c>
      <c r="E6881" s="1650">
        <v>15</v>
      </c>
      <c r="F6881" s="1646">
        <f t="shared" si="1038"/>
        <v>1116.1156339514546</v>
      </c>
      <c r="G6881" s="1521" t="s">
        <v>14094</v>
      </c>
      <c r="H6881" s="1648" t="s">
        <v>14095</v>
      </c>
      <c r="I6881" s="541" t="s">
        <v>10295</v>
      </c>
      <c r="J6881" s="435" t="s">
        <v>10594</v>
      </c>
    </row>
    <row r="6882" spans="2:10" s="185" customFormat="1">
      <c r="B6882" s="26" t="s">
        <v>14096</v>
      </c>
      <c r="C6882" s="542">
        <v>1623.0444444444445</v>
      </c>
      <c r="D6882" s="230">
        <f t="shared" si="1037"/>
        <v>1101.1156339514546</v>
      </c>
      <c r="E6882" s="1650">
        <v>15</v>
      </c>
      <c r="F6882" s="1646">
        <f t="shared" si="1038"/>
        <v>1116.1156339514546</v>
      </c>
      <c r="G6882" s="1521" t="s">
        <v>14097</v>
      </c>
      <c r="H6882" s="1648" t="s">
        <v>14098</v>
      </c>
      <c r="I6882" s="541" t="s">
        <v>10295</v>
      </c>
      <c r="J6882" s="435" t="s">
        <v>10594</v>
      </c>
    </row>
    <row r="6883" spans="2:10" s="185" customFormat="1">
      <c r="B6883" s="26" t="s">
        <v>14099</v>
      </c>
      <c r="C6883" s="542">
        <v>1581.4777777777776</v>
      </c>
      <c r="D6883" s="230">
        <f t="shared" ref="D6883:D6886" si="1039">C6883*(1-VLOOKUP(I6883,descuentos,6,FALSE))*fcl/IF(dol_sol="dólar", TC,1)</f>
        <v>1072.9157244082614</v>
      </c>
      <c r="E6883" s="1650">
        <v>15</v>
      </c>
      <c r="F6883" s="1646">
        <f t="shared" si="1038"/>
        <v>1087.9157244082614</v>
      </c>
      <c r="G6883" s="1521" t="s">
        <v>14100</v>
      </c>
      <c r="H6883" s="1648" t="s">
        <v>14101</v>
      </c>
      <c r="I6883" s="541" t="s">
        <v>10295</v>
      </c>
      <c r="J6883" s="435" t="s">
        <v>10594</v>
      </c>
    </row>
    <row r="6884" spans="2:10" s="185" customFormat="1">
      <c r="B6884" s="26" t="s">
        <v>14102</v>
      </c>
      <c r="C6884" s="542">
        <v>1674.0555555555557</v>
      </c>
      <c r="D6884" s="230">
        <f t="shared" si="1039"/>
        <v>1135.7229006482737</v>
      </c>
      <c r="E6884" s="1650">
        <v>15</v>
      </c>
      <c r="F6884" s="1646">
        <f t="shared" si="1038"/>
        <v>1150.7229006482737</v>
      </c>
      <c r="G6884" s="1521" t="s">
        <v>14103</v>
      </c>
      <c r="H6884" s="1648" t="s">
        <v>14104</v>
      </c>
      <c r="I6884" s="541" t="s">
        <v>10295</v>
      </c>
      <c r="J6884" s="435" t="s">
        <v>10594</v>
      </c>
    </row>
    <row r="6885" spans="2:10" s="185" customFormat="1">
      <c r="B6885" s="26" t="s">
        <v>14105</v>
      </c>
      <c r="C6885" s="542">
        <v>1745.8666666666666</v>
      </c>
      <c r="D6885" s="230">
        <f t="shared" si="1039"/>
        <v>1184.4414292175484</v>
      </c>
      <c r="E6885" s="1650">
        <v>15</v>
      </c>
      <c r="F6885" s="1646">
        <f t="shared" si="1038"/>
        <v>1199.4414292175484</v>
      </c>
      <c r="G6885" s="1521" t="s">
        <v>14106</v>
      </c>
      <c r="H6885" s="1648" t="s">
        <v>14107</v>
      </c>
      <c r="I6885" s="541" t="s">
        <v>10295</v>
      </c>
      <c r="J6885" s="435" t="s">
        <v>10594</v>
      </c>
    </row>
    <row r="6886" spans="2:10" s="185" customFormat="1">
      <c r="B6886" s="26" t="s">
        <v>14108</v>
      </c>
      <c r="C6886" s="542">
        <v>1754.0444444444445</v>
      </c>
      <c r="D6886" s="230">
        <f t="shared" si="1039"/>
        <v>1189.9894467058646</v>
      </c>
      <c r="E6886" s="1650">
        <v>15</v>
      </c>
      <c r="F6886" s="1646">
        <f t="shared" si="1038"/>
        <v>1204.9894467058646</v>
      </c>
      <c r="G6886" s="1521" t="s">
        <v>14109</v>
      </c>
      <c r="H6886" s="1648" t="s">
        <v>14110</v>
      </c>
      <c r="I6886" s="541" t="s">
        <v>10295</v>
      </c>
      <c r="J6886" s="435" t="s">
        <v>10594</v>
      </c>
    </row>
    <row r="6887" spans="2:10" s="185" customFormat="1" ht="13.8">
      <c r="B6887" s="1521"/>
      <c r="C6887" s="542"/>
      <c r="D6887" s="230"/>
      <c r="E6887" s="540"/>
      <c r="F6887" s="410"/>
      <c r="G6887" s="314"/>
      <c r="H6887" s="2412"/>
      <c r="I6887" s="541"/>
      <c r="J6887" s="321"/>
    </row>
    <row r="6888" spans="2:10" s="185" customFormat="1">
      <c r="B6888" s="26" t="s">
        <v>14111</v>
      </c>
      <c r="C6888" s="542">
        <v>1628.72</v>
      </c>
      <c r="D6888" s="230">
        <f t="shared" ref="D6888" si="1040">C6888*(1-VLOOKUP(I6888,descuentos,6,FALSE))*fcl/IF(dol_sol="dólar", TC,1)</f>
        <v>1104.9660786974218</v>
      </c>
      <c r="E6888" s="1650">
        <v>15</v>
      </c>
      <c r="F6888" s="1646">
        <f t="shared" ref="F6888:F6891" si="1041">D6888+E6888</f>
        <v>1119.9660786974218</v>
      </c>
      <c r="G6888" s="1521" t="s">
        <v>14112</v>
      </c>
      <c r="H6888" s="1648">
        <v>420154</v>
      </c>
      <c r="I6888" s="541" t="s">
        <v>10295</v>
      </c>
      <c r="J6888" s="435" t="s">
        <v>10594</v>
      </c>
    </row>
    <row r="6889" spans="2:10" s="185" customFormat="1">
      <c r="B6889" s="26" t="s">
        <v>14113</v>
      </c>
      <c r="C6889" s="542">
        <v>1723.8111111111111</v>
      </c>
      <c r="D6889" s="230">
        <f t="shared" ref="D6889:D6890" si="1042">C6889*(1-VLOOKUP(I6889,descuentos,6,FALSE))*fcl/IF(dol_sol="dólar", TC,1)</f>
        <v>1169.4783657470223</v>
      </c>
      <c r="E6889" s="1650">
        <v>15</v>
      </c>
      <c r="F6889" s="1646">
        <f t="shared" si="1041"/>
        <v>1184.4783657470223</v>
      </c>
      <c r="G6889" s="1521" t="s">
        <v>14114</v>
      </c>
      <c r="H6889" s="1648">
        <v>420155</v>
      </c>
      <c r="I6889" s="541" t="s">
        <v>10295</v>
      </c>
      <c r="J6889" s="435" t="s">
        <v>10594</v>
      </c>
    </row>
    <row r="6890" spans="2:10" s="185" customFormat="1">
      <c r="B6890" s="26" t="s">
        <v>14115</v>
      </c>
      <c r="C6890" s="542">
        <v>1797.5111111111109</v>
      </c>
      <c r="D6890" s="230">
        <f t="shared" si="1042"/>
        <v>1219.4783657470221</v>
      </c>
      <c r="E6890" s="1650">
        <v>15</v>
      </c>
      <c r="F6890" s="1646">
        <f t="shared" si="1041"/>
        <v>1234.4783657470221</v>
      </c>
      <c r="G6890" s="1521" t="s">
        <v>14116</v>
      </c>
      <c r="H6890" s="1648">
        <v>420156</v>
      </c>
      <c r="I6890" s="541" t="s">
        <v>10295</v>
      </c>
      <c r="J6890" s="435" t="s">
        <v>10594</v>
      </c>
    </row>
    <row r="6891" spans="2:10" s="185" customFormat="1">
      <c r="B6891" s="26" t="s">
        <v>14117</v>
      </c>
      <c r="C6891" s="542">
        <v>1805.7</v>
      </c>
      <c r="D6891" s="230">
        <f t="shared" ref="D6891" si="1043">C6891*(1-VLOOKUP(I6891,descuentos,6,FALSE))*fcl/IF(dol_sol="dólar", TC,1)</f>
        <v>1225.0339213025779</v>
      </c>
      <c r="E6891" s="1650">
        <v>15</v>
      </c>
      <c r="F6891" s="1646">
        <f t="shared" si="1041"/>
        <v>1240.0339213025779</v>
      </c>
      <c r="G6891" s="1521" t="s">
        <v>14118</v>
      </c>
      <c r="H6891" s="1648">
        <v>420157</v>
      </c>
      <c r="I6891" s="541" t="s">
        <v>10295</v>
      </c>
      <c r="J6891" s="435" t="s">
        <v>10594</v>
      </c>
    </row>
    <row r="6892" spans="2:10" s="185" customFormat="1" ht="13.8">
      <c r="B6892" s="1521"/>
      <c r="C6892" s="542"/>
      <c r="D6892" s="230"/>
      <c r="E6892" s="540"/>
      <c r="F6892" s="410"/>
      <c r="G6892" s="314"/>
      <c r="H6892" s="2412"/>
      <c r="I6892" s="541"/>
      <c r="J6892" s="321"/>
    </row>
    <row r="6893" spans="2:10" s="185" customFormat="1">
      <c r="B6893" s="26" t="s">
        <v>14119</v>
      </c>
      <c r="C6893" s="542">
        <v>1894.1111111111111</v>
      </c>
      <c r="D6893" s="230">
        <f t="shared" ref="D6893:D6894" si="1044">C6893*(1-VLOOKUP(I6893,descuentos,6,FALSE))*fcl/IF(dol_sol="dólar", TC,1)</f>
        <v>1285.0143223277551</v>
      </c>
      <c r="E6893" s="1650">
        <v>15</v>
      </c>
      <c r="F6893" s="1646">
        <f t="shared" ref="F6893:F6894" si="1045">D6893+E6893</f>
        <v>1300.0143223277551</v>
      </c>
      <c r="G6893" s="1521" t="s">
        <v>14120</v>
      </c>
      <c r="H6893" s="1648" t="s">
        <v>14121</v>
      </c>
      <c r="I6893" s="541" t="s">
        <v>10295</v>
      </c>
      <c r="J6893" s="435" t="s">
        <v>10594</v>
      </c>
    </row>
    <row r="6894" spans="2:10" s="185" customFormat="1">
      <c r="B6894" s="26" t="s">
        <v>14122</v>
      </c>
      <c r="C6894" s="542">
        <v>1921.0777777777778</v>
      </c>
      <c r="D6894" s="230">
        <f t="shared" si="1044"/>
        <v>1303.3092115181664</v>
      </c>
      <c r="E6894" s="1650">
        <v>15</v>
      </c>
      <c r="F6894" s="1646">
        <f t="shared" si="1045"/>
        <v>1318.3092115181664</v>
      </c>
      <c r="G6894" s="1521" t="s">
        <v>14123</v>
      </c>
      <c r="H6894" s="1648" t="s">
        <v>14124</v>
      </c>
      <c r="I6894" s="541" t="s">
        <v>10295</v>
      </c>
      <c r="J6894" s="435" t="s">
        <v>10594</v>
      </c>
    </row>
    <row r="6895" spans="2:10" s="185" customFormat="1" ht="13.8">
      <c r="B6895" s="1521"/>
      <c r="C6895" s="542"/>
      <c r="D6895" s="230"/>
      <c r="E6895" s="1650"/>
      <c r="F6895" s="1646"/>
      <c r="G6895" s="314"/>
      <c r="H6895" s="2412"/>
      <c r="I6895" s="541"/>
      <c r="J6895" s="321"/>
    </row>
    <row r="6896" spans="2:10" s="185" customFormat="1">
      <c r="B6896" s="26" t="s">
        <v>14125</v>
      </c>
      <c r="C6896" s="542">
        <v>1974.1777777777777</v>
      </c>
      <c r="D6896" s="230">
        <f t="shared" ref="D6896:D6901" si="1046">C6896*(1-VLOOKUP(I6896,descuentos,6,FALSE))*fcl/IF(dol_sol="dólar", TC,1)</f>
        <v>1339.3336348560226</v>
      </c>
      <c r="E6896" s="1650">
        <v>15</v>
      </c>
      <c r="F6896" s="1646">
        <f t="shared" ref="F6896:F6897" si="1047">D6896+E6896</f>
        <v>1354.3336348560226</v>
      </c>
      <c r="G6896" s="1521" t="s">
        <v>14126</v>
      </c>
      <c r="H6896" s="1648">
        <v>420288</v>
      </c>
      <c r="I6896" s="541" t="s">
        <v>10295</v>
      </c>
      <c r="J6896" s="435" t="s">
        <v>10594</v>
      </c>
    </row>
    <row r="6897" spans="1:14" s="185" customFormat="1">
      <c r="B6897" s="26" t="s">
        <v>14127</v>
      </c>
      <c r="C6897" s="542">
        <v>2026.3888888888889</v>
      </c>
      <c r="D6897" s="230">
        <f t="shared" si="1046"/>
        <v>1374.7550128147141</v>
      </c>
      <c r="E6897" s="1650">
        <v>15</v>
      </c>
      <c r="F6897" s="1646">
        <f t="shared" si="1047"/>
        <v>1389.7550128147141</v>
      </c>
      <c r="G6897" s="1521" t="s">
        <v>14128</v>
      </c>
      <c r="H6897" s="1648">
        <v>420289</v>
      </c>
      <c r="I6897" s="541" t="s">
        <v>10295</v>
      </c>
      <c r="J6897" s="435" t="s">
        <v>10594</v>
      </c>
    </row>
    <row r="6898" spans="1:14" s="185" customFormat="1" ht="13.8">
      <c r="B6898" s="1521"/>
      <c r="C6898" s="542"/>
      <c r="D6898" s="230"/>
      <c r="E6898" s="1650"/>
      <c r="F6898" s="1646"/>
      <c r="G6898" s="314"/>
      <c r="H6898" s="2412"/>
      <c r="I6898" s="541"/>
      <c r="J6898" s="321"/>
    </row>
    <row r="6899" spans="1:14" s="185" customFormat="1" ht="13.8">
      <c r="B6899" s="26" t="s">
        <v>14129</v>
      </c>
      <c r="C6899" s="542">
        <v>1119.8222222222223</v>
      </c>
      <c r="D6899" s="230">
        <f t="shared" ref="D6899" si="1048">C6899*(1-VLOOKUP(I6899,descuentos,6,FALSE))*fcl/IF(dol_sol="dólar", TC,1)</f>
        <v>759.71656867179252</v>
      </c>
      <c r="E6899" s="1650">
        <v>15</v>
      </c>
      <c r="F6899" s="1646">
        <f t="shared" ref="F6899:F6902" si="1049">D6899+E6899</f>
        <v>774.71656867179252</v>
      </c>
      <c r="G6899" s="1521" t="s">
        <v>14130</v>
      </c>
      <c r="H6899" s="2412" t="s">
        <v>14131</v>
      </c>
      <c r="I6899" s="541" t="s">
        <v>10295</v>
      </c>
      <c r="J6899" s="435" t="s">
        <v>10594</v>
      </c>
    </row>
    <row r="6900" spans="1:14" s="185" customFormat="1" ht="13.8">
      <c r="B6900" s="26" t="s">
        <v>14132</v>
      </c>
      <c r="C6900" s="542">
        <v>1180.911111111111</v>
      </c>
      <c r="D6900" s="230">
        <f t="shared" ref="D6900" si="1050">C6900*(1-VLOOKUP(I6900,descuentos,6,FALSE))*fcl/IF(dol_sol="dólar", TC,1)</f>
        <v>801.16086235489195</v>
      </c>
      <c r="E6900" s="1650">
        <v>15</v>
      </c>
      <c r="F6900" s="1646">
        <f t="shared" si="1049"/>
        <v>816.16086235489195</v>
      </c>
      <c r="G6900" s="1521" t="s">
        <v>14133</v>
      </c>
      <c r="H6900" s="2412" t="s">
        <v>14134</v>
      </c>
      <c r="I6900" s="541" t="s">
        <v>10295</v>
      </c>
      <c r="J6900" s="435" t="s">
        <v>10594</v>
      </c>
    </row>
    <row r="6901" spans="1:14" s="185" customFormat="1" ht="13.8">
      <c r="B6901" s="26" t="s">
        <v>14135</v>
      </c>
      <c r="C6901" s="542">
        <v>1198.5444444444445</v>
      </c>
      <c r="D6901" s="230">
        <f t="shared" si="1046"/>
        <v>813.12377506407347</v>
      </c>
      <c r="E6901" s="1650">
        <v>15</v>
      </c>
      <c r="F6901" s="1646">
        <f t="shared" si="1049"/>
        <v>828.12377506407347</v>
      </c>
      <c r="G6901" s="1521" t="s">
        <v>14136</v>
      </c>
      <c r="H6901" s="2412" t="s">
        <v>14137</v>
      </c>
      <c r="I6901" s="541" t="s">
        <v>10295</v>
      </c>
      <c r="J6901" s="435" t="s">
        <v>10594</v>
      </c>
    </row>
    <row r="6902" spans="1:14" s="185" customFormat="1" ht="13.8">
      <c r="B6902" s="26" t="s">
        <v>14138</v>
      </c>
      <c r="C6902" s="542">
        <v>1227.5111111111112</v>
      </c>
      <c r="D6902" s="230">
        <f t="shared" ref="D6902" si="1051">C6902*(1-VLOOKUP(I6902,descuentos,6,FALSE))*fcl/IF(dol_sol="dólar", TC,1)</f>
        <v>832.77551635760585</v>
      </c>
      <c r="E6902" s="1650">
        <v>15</v>
      </c>
      <c r="F6902" s="1646">
        <f t="shared" si="1049"/>
        <v>847.77551635760585</v>
      </c>
      <c r="G6902" s="1521" t="s">
        <v>14139</v>
      </c>
      <c r="H6902" s="2412" t="s">
        <v>14140</v>
      </c>
      <c r="I6902" s="541" t="s">
        <v>10295</v>
      </c>
      <c r="J6902" s="435" t="s">
        <v>10594</v>
      </c>
    </row>
    <row r="6903" spans="1:14" s="185" customFormat="1" ht="28.2">
      <c r="B6903" s="1616"/>
      <c r="C6903" s="228"/>
      <c r="D6903" s="212"/>
      <c r="E6903" s="108"/>
      <c r="F6903" s="102"/>
      <c r="G6903" s="195"/>
      <c r="H6903" s="194"/>
      <c r="I6903" s="102"/>
      <c r="J6903" s="102"/>
      <c r="K6903" s="102"/>
      <c r="L6903" s="102"/>
      <c r="M6903" s="102"/>
      <c r="N6903" s="102"/>
    </row>
    <row r="6904" spans="1:14">
      <c r="B6904" s="2541" t="s">
        <v>10659</v>
      </c>
      <c r="C6904" s="2541"/>
      <c r="D6904" s="2541"/>
      <c r="E6904" s="1650"/>
      <c r="F6904" s="1646"/>
      <c r="G6904" s="186"/>
      <c r="H6904" s="1654"/>
      <c r="I6904" s="28"/>
      <c r="J6904" s="366"/>
      <c r="K6904" s="33"/>
    </row>
    <row r="6905" spans="1:14">
      <c r="B6905" s="2541"/>
      <c r="C6905" s="2541"/>
      <c r="D6905" s="2541"/>
      <c r="E6905" s="1650"/>
      <c r="F6905" s="1646"/>
      <c r="G6905" s="186"/>
      <c r="H6905" s="1654"/>
      <c r="I6905" s="28"/>
      <c r="J6905" s="366"/>
      <c r="K6905" s="33"/>
    </row>
    <row r="6906" spans="1:14">
      <c r="B6906" s="2541"/>
      <c r="C6906" s="2541"/>
      <c r="D6906" s="2541"/>
      <c r="E6906" s="1650"/>
      <c r="F6906" s="1646"/>
      <c r="G6906" s="186"/>
      <c r="H6906" s="1654"/>
      <c r="I6906" s="28"/>
      <c r="J6906" s="366"/>
      <c r="K6906" s="33"/>
    </row>
    <row r="6907" spans="1:14">
      <c r="B6907" s="143"/>
      <c r="C6907" s="1653"/>
      <c r="D6907" s="1649"/>
      <c r="E6907" s="1650"/>
      <c r="F6907" s="1646"/>
      <c r="G6907" s="186"/>
      <c r="H6907" s="1654"/>
      <c r="I6907" s="28"/>
      <c r="J6907" s="366"/>
      <c r="K6907" s="33"/>
    </row>
    <row r="6908" spans="1:14" s="33" customFormat="1">
      <c r="A6908" s="435"/>
      <c r="B6908" s="26"/>
      <c r="C6908" s="2366"/>
      <c r="D6908" s="1649"/>
      <c r="E6908" s="1650"/>
      <c r="F6908" s="1646"/>
      <c r="G6908" s="195"/>
      <c r="H6908" s="1648"/>
      <c r="I6908" s="434"/>
      <c r="J6908" s="435"/>
      <c r="K6908" s="434"/>
    </row>
    <row r="6909" spans="1:14" s="33" customFormat="1">
      <c r="A6909" s="435"/>
      <c r="B6909" s="26" t="s">
        <v>10660</v>
      </c>
      <c r="C6909" s="2366">
        <v>25.18888888888889</v>
      </c>
      <c r="D6909" s="230">
        <f t="shared" ref="D6909:D6917" si="1052">C6909*(1-VLOOKUP(I6909,descuentos,6,FALSE))*fcl/IF(dol_sol="dólar", TC,1)</f>
        <v>17.088798432082015</v>
      </c>
      <c r="E6909" s="1650">
        <v>0</v>
      </c>
      <c r="F6909" s="1646">
        <f t="shared" si="961"/>
        <v>17.088798432082015</v>
      </c>
      <c r="G6909" s="314" t="s">
        <v>11955</v>
      </c>
      <c r="H6909" s="1648">
        <v>407666</v>
      </c>
      <c r="I6909" s="434" t="s">
        <v>10295</v>
      </c>
      <c r="J6909" s="435" t="s">
        <v>10594</v>
      </c>
      <c r="K6909" s="434"/>
    </row>
    <row r="6910" spans="1:14" s="33" customFormat="1">
      <c r="A6910" s="435"/>
      <c r="B6910" s="26" t="s">
        <v>10661</v>
      </c>
      <c r="C6910" s="2366">
        <v>22.044444444444444</v>
      </c>
      <c r="D6910" s="230">
        <f t="shared" si="1052"/>
        <v>14.955525403286595</v>
      </c>
      <c r="E6910" s="1650">
        <v>0</v>
      </c>
      <c r="F6910" s="1646">
        <f t="shared" si="961"/>
        <v>14.955525403286595</v>
      </c>
      <c r="G6910" s="314" t="s">
        <v>11956</v>
      </c>
      <c r="H6910" s="1648" t="s">
        <v>10662</v>
      </c>
      <c r="I6910" s="434" t="s">
        <v>10295</v>
      </c>
      <c r="J6910" s="435" t="s">
        <v>10594</v>
      </c>
      <c r="K6910" s="434"/>
    </row>
    <row r="6911" spans="1:14" s="33" customFormat="1">
      <c r="A6911" s="435"/>
      <c r="B6911" s="26" t="s">
        <v>10663</v>
      </c>
      <c r="C6911" s="2366">
        <v>22.044444444444444</v>
      </c>
      <c r="D6911" s="230">
        <f t="shared" si="1052"/>
        <v>14.955525403286595</v>
      </c>
      <c r="E6911" s="1650">
        <v>0</v>
      </c>
      <c r="F6911" s="1646">
        <f t="shared" si="961"/>
        <v>14.955525403286595</v>
      </c>
      <c r="G6911" s="314" t="s">
        <v>11957</v>
      </c>
      <c r="H6911" s="1648" t="s">
        <v>10664</v>
      </c>
      <c r="I6911" s="434" t="s">
        <v>10295</v>
      </c>
      <c r="J6911" s="435" t="s">
        <v>10594</v>
      </c>
      <c r="K6911" s="434"/>
    </row>
    <row r="6912" spans="1:14" s="33" customFormat="1">
      <c r="A6912" s="435"/>
      <c r="B6912" s="26" t="s">
        <v>10665</v>
      </c>
      <c r="C6912" s="2366">
        <v>22.044444444444444</v>
      </c>
      <c r="D6912" s="230">
        <f t="shared" si="1052"/>
        <v>14.955525403286595</v>
      </c>
      <c r="E6912" s="1650">
        <v>0</v>
      </c>
      <c r="F6912" s="1646">
        <f t="shared" si="961"/>
        <v>14.955525403286595</v>
      </c>
      <c r="G6912" s="314" t="s">
        <v>11958</v>
      </c>
      <c r="H6912" s="1648" t="s">
        <v>10666</v>
      </c>
      <c r="I6912" s="434" t="s">
        <v>10295</v>
      </c>
      <c r="J6912" s="435" t="s">
        <v>10594</v>
      </c>
      <c r="K6912" s="434"/>
    </row>
    <row r="6913" spans="1:11" s="33" customFormat="1">
      <c r="A6913" s="435"/>
      <c r="B6913" s="26" t="s">
        <v>10667</v>
      </c>
      <c r="C6913" s="2366">
        <v>22.044444444444444</v>
      </c>
      <c r="D6913" s="230">
        <f t="shared" si="1052"/>
        <v>14.955525403286595</v>
      </c>
      <c r="E6913" s="1650">
        <v>0</v>
      </c>
      <c r="F6913" s="1646">
        <f t="shared" si="961"/>
        <v>14.955525403286595</v>
      </c>
      <c r="G6913" s="314" t="s">
        <v>11959</v>
      </c>
      <c r="H6913" s="1648" t="s">
        <v>10668</v>
      </c>
      <c r="I6913" s="434" t="s">
        <v>10295</v>
      </c>
      <c r="J6913" s="435" t="s">
        <v>10594</v>
      </c>
      <c r="K6913" s="434"/>
    </row>
    <row r="6914" spans="1:11" s="33" customFormat="1">
      <c r="A6914" s="435"/>
      <c r="B6914" s="26" t="s">
        <v>10669</v>
      </c>
      <c r="C6914" s="2366">
        <v>22.044444444444444</v>
      </c>
      <c r="D6914" s="230">
        <f t="shared" si="1052"/>
        <v>14.955525403286595</v>
      </c>
      <c r="E6914" s="1650">
        <v>0</v>
      </c>
      <c r="F6914" s="1646">
        <f t="shared" si="961"/>
        <v>14.955525403286595</v>
      </c>
      <c r="G6914" s="314" t="s">
        <v>11960</v>
      </c>
      <c r="H6914" s="1648" t="s">
        <v>10670</v>
      </c>
      <c r="I6914" s="434" t="s">
        <v>10295</v>
      </c>
      <c r="J6914" s="435" t="s">
        <v>10594</v>
      </c>
      <c r="K6914" s="434"/>
    </row>
    <row r="6915" spans="1:11" s="33" customFormat="1">
      <c r="A6915" s="435"/>
      <c r="B6915" s="26" t="s">
        <v>10671</v>
      </c>
      <c r="C6915" s="2366">
        <v>27.088888888888889</v>
      </c>
      <c r="D6915" s="230">
        <f t="shared" si="1052"/>
        <v>18.377807930046735</v>
      </c>
      <c r="E6915" s="1650">
        <v>0</v>
      </c>
      <c r="F6915" s="1646">
        <f t="shared" si="961"/>
        <v>18.377807930046735</v>
      </c>
      <c r="G6915" s="314" t="s">
        <v>11961</v>
      </c>
      <c r="H6915" s="1648" t="s">
        <v>10672</v>
      </c>
      <c r="I6915" s="434" t="s">
        <v>10295</v>
      </c>
      <c r="J6915" s="435" t="s">
        <v>10594</v>
      </c>
      <c r="K6915" s="434"/>
    </row>
    <row r="6916" spans="1:11" s="33" customFormat="1">
      <c r="A6916" s="435"/>
      <c r="B6916" s="26" t="s">
        <v>10673</v>
      </c>
      <c r="C6916" s="2366">
        <v>27.088888888888889</v>
      </c>
      <c r="D6916" s="230">
        <f t="shared" si="1052"/>
        <v>18.377807930046735</v>
      </c>
      <c r="E6916" s="1650">
        <v>0</v>
      </c>
      <c r="F6916" s="1646">
        <f t="shared" si="961"/>
        <v>18.377807930046735</v>
      </c>
      <c r="G6916" s="314" t="s">
        <v>11962</v>
      </c>
      <c r="H6916" s="1648" t="s">
        <v>10674</v>
      </c>
      <c r="I6916" s="434" t="s">
        <v>10295</v>
      </c>
      <c r="J6916" s="435" t="s">
        <v>10594</v>
      </c>
      <c r="K6916" s="434"/>
    </row>
    <row r="6917" spans="1:11" s="33" customFormat="1">
      <c r="A6917" s="435"/>
      <c r="B6917" s="26" t="s">
        <v>10675</v>
      </c>
      <c r="C6917" s="2366">
        <v>27.088888888888889</v>
      </c>
      <c r="D6917" s="230">
        <f t="shared" si="1052"/>
        <v>18.377807930046735</v>
      </c>
      <c r="E6917" s="1650">
        <v>0</v>
      </c>
      <c r="F6917" s="1646">
        <f t="shared" si="961"/>
        <v>18.377807930046735</v>
      </c>
      <c r="G6917" s="314" t="s">
        <v>11963</v>
      </c>
      <c r="H6917" s="1648" t="s">
        <v>10676</v>
      </c>
      <c r="I6917" s="434" t="s">
        <v>10295</v>
      </c>
      <c r="J6917" s="435" t="s">
        <v>10594</v>
      </c>
      <c r="K6917" s="434"/>
    </row>
    <row r="6918" spans="1:11" s="33" customFormat="1">
      <c r="A6918" s="435"/>
      <c r="B6918" s="26"/>
      <c r="C6918" s="2366"/>
      <c r="D6918" s="230"/>
      <c r="E6918" s="1650"/>
      <c r="F6918" s="1646"/>
      <c r="G6918" s="314"/>
      <c r="H6918" s="1648"/>
      <c r="I6918" s="434"/>
      <c r="J6918" s="435"/>
      <c r="K6918" s="434"/>
    </row>
    <row r="6919" spans="1:11" s="33" customFormat="1">
      <c r="A6919" s="435"/>
      <c r="B6919" s="1982" t="s">
        <v>12395</v>
      </c>
      <c r="C6919" s="2416">
        <v>25.56</v>
      </c>
      <c r="D6919" s="1983">
        <f t="shared" ref="D6919:D6923" si="1053">C6919*(1-VLOOKUP(I6919,descuentos,6,FALSE))*fcl/IF(dol_sol="dólar", TC,1)</f>
        <v>17.340569877883308</v>
      </c>
      <c r="E6919" s="1984">
        <v>0</v>
      </c>
      <c r="F6919" s="1985">
        <f t="shared" ref="F6919:F6930" si="1054">D6919+E6919</f>
        <v>17.340569877883308</v>
      </c>
      <c r="G6919" s="1621" t="s">
        <v>12396</v>
      </c>
      <c r="H6919" s="1986">
        <v>407971</v>
      </c>
      <c r="I6919" s="1987" t="s">
        <v>10295</v>
      </c>
      <c r="J6919" s="1988" t="s">
        <v>10312</v>
      </c>
      <c r="K6919" s="434"/>
    </row>
    <row r="6920" spans="1:11" s="33" customFormat="1">
      <c r="A6920" s="435"/>
      <c r="B6920" s="1982" t="s">
        <v>12397</v>
      </c>
      <c r="C6920" s="2416">
        <v>27.78</v>
      </c>
      <c r="D6920" s="1983">
        <f t="shared" si="1053"/>
        <v>18.846675712347352</v>
      </c>
      <c r="E6920" s="1984">
        <v>0</v>
      </c>
      <c r="F6920" s="1985">
        <f t="shared" si="1054"/>
        <v>18.846675712347352</v>
      </c>
      <c r="G6920" s="1621" t="s">
        <v>12398</v>
      </c>
      <c r="H6920" s="1986">
        <v>407972</v>
      </c>
      <c r="I6920" s="1987" t="s">
        <v>10295</v>
      </c>
      <c r="J6920" s="1988" t="s">
        <v>10312</v>
      </c>
      <c r="K6920" s="434"/>
    </row>
    <row r="6921" spans="1:11" s="33" customFormat="1">
      <c r="A6921" s="435"/>
      <c r="B6921" s="1982" t="s">
        <v>12399</v>
      </c>
      <c r="C6921" s="2416">
        <v>31.11</v>
      </c>
      <c r="D6921" s="1983">
        <f t="shared" si="1053"/>
        <v>21.105834464043415</v>
      </c>
      <c r="E6921" s="1984">
        <v>0</v>
      </c>
      <c r="F6921" s="1985">
        <f t="shared" si="1054"/>
        <v>21.105834464043415</v>
      </c>
      <c r="G6921" s="1621" t="s">
        <v>12400</v>
      </c>
      <c r="H6921" s="1986">
        <v>407974</v>
      </c>
      <c r="I6921" s="1987" t="s">
        <v>10295</v>
      </c>
      <c r="J6921" s="1988" t="s">
        <v>10312</v>
      </c>
      <c r="K6921" s="434"/>
    </row>
    <row r="6922" spans="1:11" s="33" customFormat="1">
      <c r="A6922" s="435"/>
      <c r="B6922" s="1982" t="s">
        <v>12401</v>
      </c>
      <c r="C6922" s="2416">
        <v>36.67</v>
      </c>
      <c r="D6922" s="1983">
        <f t="shared" si="1053"/>
        <v>24.877883310719128</v>
      </c>
      <c r="E6922" s="1984">
        <v>0</v>
      </c>
      <c r="F6922" s="1985">
        <f t="shared" si="1054"/>
        <v>24.877883310719128</v>
      </c>
      <c r="G6922" s="1621" t="s">
        <v>12402</v>
      </c>
      <c r="H6922" s="1986">
        <v>407975</v>
      </c>
      <c r="I6922" s="1987" t="s">
        <v>10295</v>
      </c>
      <c r="J6922" s="1988" t="s">
        <v>10312</v>
      </c>
      <c r="K6922" s="434"/>
    </row>
    <row r="6923" spans="1:11" s="33" customFormat="1">
      <c r="A6923" s="435"/>
      <c r="B6923" s="1982" t="s">
        <v>12403</v>
      </c>
      <c r="C6923" s="2416">
        <v>44.44</v>
      </c>
      <c r="D6923" s="1983">
        <f t="shared" si="1053"/>
        <v>30.149253731343279</v>
      </c>
      <c r="E6923" s="1984">
        <v>0</v>
      </c>
      <c r="F6923" s="1985">
        <f t="shared" si="1054"/>
        <v>30.149253731343279</v>
      </c>
      <c r="G6923" s="1621" t="s">
        <v>12404</v>
      </c>
      <c r="H6923" s="1986">
        <v>407976</v>
      </c>
      <c r="I6923" s="1987" t="s">
        <v>10295</v>
      </c>
      <c r="J6923" s="1988" t="s">
        <v>10312</v>
      </c>
      <c r="K6923" s="434"/>
    </row>
    <row r="6924" spans="1:11" s="33" customFormat="1">
      <c r="A6924" s="435"/>
      <c r="B6924" s="1982" t="s">
        <v>12405</v>
      </c>
      <c r="C6924" s="2416">
        <v>57.78</v>
      </c>
      <c r="D6924" s="1983">
        <f t="shared" ref="D6924" si="1055">C6924*(1-VLOOKUP(I6924,descuentos,6,FALSE))*fcl/IF(dol_sol="dólar", TC,1)</f>
        <v>39.199457259158748</v>
      </c>
      <c r="E6924" s="1984">
        <v>0</v>
      </c>
      <c r="F6924" s="1985">
        <f t="shared" si="1054"/>
        <v>39.199457259158748</v>
      </c>
      <c r="G6924" s="1621" t="s">
        <v>12406</v>
      </c>
      <c r="H6924" s="1986">
        <v>408032</v>
      </c>
      <c r="I6924" s="1987" t="s">
        <v>10295</v>
      </c>
      <c r="J6924" s="1988" t="s">
        <v>10312</v>
      </c>
      <c r="K6924" s="434"/>
    </row>
    <row r="6925" spans="1:11" s="33" customFormat="1">
      <c r="A6925" s="435"/>
      <c r="B6925" s="1982" t="s">
        <v>13449</v>
      </c>
      <c r="C6925" s="2416">
        <v>57.78</v>
      </c>
      <c r="D6925" s="1983">
        <f t="shared" ref="D6925" si="1056">C6925*(1-VLOOKUP(I6925,descuentos,6,FALSE))*fcl/IF(dol_sol="dólar", TC,1)</f>
        <v>39.199457259158748</v>
      </c>
      <c r="E6925" s="1984">
        <v>0</v>
      </c>
      <c r="F6925" s="1985">
        <f t="shared" si="1054"/>
        <v>39.199457259158748</v>
      </c>
      <c r="G6925" s="1621" t="s">
        <v>13450</v>
      </c>
      <c r="H6925" s="1986">
        <v>408033</v>
      </c>
      <c r="I6925" s="1987" t="s">
        <v>10295</v>
      </c>
      <c r="J6925" s="1988" t="s">
        <v>10312</v>
      </c>
      <c r="K6925" s="434"/>
    </row>
    <row r="6926" spans="1:11" s="33" customFormat="1">
      <c r="A6926" s="435"/>
      <c r="B6926" s="1982" t="s">
        <v>12407</v>
      </c>
      <c r="C6926" s="2416">
        <v>85.63</v>
      </c>
      <c r="D6926" s="1983">
        <f t="shared" ref="D6926:D6930" si="1057">C6926*(1-VLOOKUP(I6926,descuentos,6,FALSE))*fcl/IF(dol_sol="dólar", TC,1)</f>
        <v>58.093622795115323</v>
      </c>
      <c r="E6926" s="1984">
        <v>0</v>
      </c>
      <c r="F6926" s="1985">
        <f t="shared" si="1054"/>
        <v>58.093622795115323</v>
      </c>
      <c r="G6926" s="1621" t="s">
        <v>12408</v>
      </c>
      <c r="H6926" s="1986">
        <v>408090</v>
      </c>
      <c r="I6926" s="1987" t="s">
        <v>10295</v>
      </c>
      <c r="J6926" s="1988" t="s">
        <v>10594</v>
      </c>
      <c r="K6926" s="434"/>
    </row>
    <row r="6927" spans="1:11" s="33" customFormat="1">
      <c r="A6927" s="435"/>
      <c r="B6927" s="1982" t="s">
        <v>13451</v>
      </c>
      <c r="C6927" s="2416">
        <v>85.63</v>
      </c>
      <c r="D6927" s="1983">
        <f t="shared" ref="D6927" si="1058">C6927*(1-VLOOKUP(I6927,descuentos,6,FALSE))*fcl/IF(dol_sol="dólar", TC,1)</f>
        <v>58.093622795115323</v>
      </c>
      <c r="E6927" s="1984">
        <v>0</v>
      </c>
      <c r="F6927" s="1985">
        <f t="shared" si="1054"/>
        <v>58.093622795115323</v>
      </c>
      <c r="G6927" s="1621" t="s">
        <v>13452</v>
      </c>
      <c r="H6927" s="1986">
        <v>408091</v>
      </c>
      <c r="I6927" s="1987" t="s">
        <v>10295</v>
      </c>
      <c r="J6927" s="1988" t="s">
        <v>10594</v>
      </c>
      <c r="K6927" s="434"/>
    </row>
    <row r="6928" spans="1:11" s="33" customFormat="1">
      <c r="A6928" s="435"/>
      <c r="B6928" s="1982" t="s">
        <v>12409</v>
      </c>
      <c r="C6928" s="2416">
        <v>85.63</v>
      </c>
      <c r="D6928" s="1983">
        <f t="shared" si="1057"/>
        <v>58.093622795115323</v>
      </c>
      <c r="E6928" s="1984">
        <v>0</v>
      </c>
      <c r="F6928" s="1985">
        <f t="shared" si="1054"/>
        <v>58.093622795115323</v>
      </c>
      <c r="G6928" s="1621" t="s">
        <v>12410</v>
      </c>
      <c r="H6928" s="1986">
        <v>408092</v>
      </c>
      <c r="I6928" s="1987" t="s">
        <v>10295</v>
      </c>
      <c r="J6928" s="1988" t="s">
        <v>10594</v>
      </c>
      <c r="K6928" s="434"/>
    </row>
    <row r="6929" spans="1:11" s="33" customFormat="1">
      <c r="A6929" s="435"/>
      <c r="B6929" s="1982" t="s">
        <v>12411</v>
      </c>
      <c r="C6929" s="2416">
        <v>98.88</v>
      </c>
      <c r="D6929" s="1983">
        <f t="shared" si="1057"/>
        <v>67.082767978290349</v>
      </c>
      <c r="E6929" s="1984">
        <v>0</v>
      </c>
      <c r="F6929" s="1985">
        <f t="shared" si="1054"/>
        <v>67.082767978290349</v>
      </c>
      <c r="G6929" s="1621" t="s">
        <v>12412</v>
      </c>
      <c r="H6929" s="1986">
        <v>408093</v>
      </c>
      <c r="I6929" s="1987" t="s">
        <v>10295</v>
      </c>
      <c r="J6929" s="1988" t="s">
        <v>10594</v>
      </c>
      <c r="K6929" s="434"/>
    </row>
    <row r="6930" spans="1:11" s="33" customFormat="1">
      <c r="A6930" s="435"/>
      <c r="B6930" s="1982" t="s">
        <v>12413</v>
      </c>
      <c r="C6930" s="2416">
        <v>100.78</v>
      </c>
      <c r="D6930" s="1983">
        <f t="shared" si="1057"/>
        <v>68.371777476255076</v>
      </c>
      <c r="E6930" s="1984">
        <v>0</v>
      </c>
      <c r="F6930" s="1985">
        <f t="shared" si="1054"/>
        <v>68.371777476255076</v>
      </c>
      <c r="G6930" s="1621" t="s">
        <v>12414</v>
      </c>
      <c r="H6930" s="1986">
        <v>408095</v>
      </c>
      <c r="I6930" s="1987" t="s">
        <v>10295</v>
      </c>
      <c r="J6930" s="1988" t="s">
        <v>10594</v>
      </c>
      <c r="K6930" s="434"/>
    </row>
    <row r="6931" spans="1:11" s="33" customFormat="1">
      <c r="A6931" s="435"/>
      <c r="B6931" s="26"/>
      <c r="C6931" s="2366"/>
      <c r="D6931" s="230"/>
      <c r="E6931" s="1650"/>
      <c r="F6931" s="1646"/>
      <c r="G6931" s="195"/>
      <c r="H6931" s="1648"/>
      <c r="I6931" s="434"/>
      <c r="J6931" s="435"/>
      <c r="K6931" s="434"/>
    </row>
    <row r="6932" spans="1:11" s="33" customFormat="1">
      <c r="A6932" s="435"/>
      <c r="B6932" s="26" t="s">
        <v>10677</v>
      </c>
      <c r="C6932" s="2366">
        <v>43.455555555555556</v>
      </c>
      <c r="D6932" s="230">
        <f t="shared" ref="D6932:D6940" si="1059">C6932*(1-VLOOKUP(I6932,descuentos,6,FALSE))*fcl/IF(dol_sol="dólar", TC,1)</f>
        <v>29.481380973918284</v>
      </c>
      <c r="E6932" s="1650">
        <v>0</v>
      </c>
      <c r="F6932" s="1646">
        <f t="shared" si="961"/>
        <v>29.481380973918284</v>
      </c>
      <c r="G6932" s="314" t="s">
        <v>11964</v>
      </c>
      <c r="H6932" s="1648">
        <v>407796</v>
      </c>
      <c r="I6932" s="434" t="s">
        <v>10295</v>
      </c>
      <c r="J6932" s="435" t="s">
        <v>10594</v>
      </c>
      <c r="K6932" s="434"/>
    </row>
    <row r="6933" spans="1:11" s="33" customFormat="1">
      <c r="A6933" s="435"/>
      <c r="B6933" s="26" t="s">
        <v>10678</v>
      </c>
      <c r="C6933" s="2366">
        <v>37.788888888888884</v>
      </c>
      <c r="D6933" s="230">
        <f t="shared" si="1059"/>
        <v>25.636966681742795</v>
      </c>
      <c r="E6933" s="1650">
        <v>0</v>
      </c>
      <c r="F6933" s="1646">
        <f t="shared" si="961"/>
        <v>25.636966681742795</v>
      </c>
      <c r="G6933" s="314" t="s">
        <v>11965</v>
      </c>
      <c r="H6933" s="1648" t="s">
        <v>10679</v>
      </c>
      <c r="I6933" s="434" t="s">
        <v>10295</v>
      </c>
      <c r="J6933" s="435" t="s">
        <v>10594</v>
      </c>
      <c r="K6933" s="434"/>
    </row>
    <row r="6934" spans="1:11" s="33" customFormat="1">
      <c r="A6934" s="435"/>
      <c r="B6934" s="26" t="s">
        <v>10680</v>
      </c>
      <c r="C6934" s="2366">
        <v>37.788888888888884</v>
      </c>
      <c r="D6934" s="230">
        <f t="shared" si="1059"/>
        <v>25.636966681742795</v>
      </c>
      <c r="E6934" s="1650">
        <v>0</v>
      </c>
      <c r="F6934" s="1646">
        <f t="shared" si="961"/>
        <v>25.636966681742795</v>
      </c>
      <c r="G6934" s="314" t="s">
        <v>11966</v>
      </c>
      <c r="H6934" s="1648" t="s">
        <v>10681</v>
      </c>
      <c r="I6934" s="434" t="s">
        <v>10295</v>
      </c>
      <c r="J6934" s="435" t="s">
        <v>10594</v>
      </c>
      <c r="K6934" s="434"/>
    </row>
    <row r="6935" spans="1:11" s="33" customFormat="1">
      <c r="A6935" s="435"/>
      <c r="B6935" s="26" t="s">
        <v>10682</v>
      </c>
      <c r="C6935" s="2366">
        <v>37.788888888888884</v>
      </c>
      <c r="D6935" s="230">
        <f t="shared" si="1059"/>
        <v>25.636966681742795</v>
      </c>
      <c r="E6935" s="1650">
        <v>0</v>
      </c>
      <c r="F6935" s="1646">
        <f t="shared" si="961"/>
        <v>25.636966681742795</v>
      </c>
      <c r="G6935" s="314" t="s">
        <v>11967</v>
      </c>
      <c r="H6935" s="1648" t="s">
        <v>10683</v>
      </c>
      <c r="I6935" s="434" t="s">
        <v>10295</v>
      </c>
      <c r="J6935" s="435" t="s">
        <v>10594</v>
      </c>
      <c r="K6935" s="434"/>
    </row>
    <row r="6936" spans="1:11" s="33" customFormat="1">
      <c r="A6936" s="435"/>
      <c r="B6936" s="26" t="s">
        <v>10684</v>
      </c>
      <c r="C6936" s="2366">
        <v>37.788888888888884</v>
      </c>
      <c r="D6936" s="230">
        <f t="shared" si="1059"/>
        <v>25.636966681742795</v>
      </c>
      <c r="E6936" s="1650">
        <v>0</v>
      </c>
      <c r="F6936" s="1646">
        <f t="shared" si="961"/>
        <v>25.636966681742795</v>
      </c>
      <c r="G6936" s="314" t="s">
        <v>11968</v>
      </c>
      <c r="H6936" s="1648" t="s">
        <v>10685</v>
      </c>
      <c r="I6936" s="434" t="s">
        <v>10295</v>
      </c>
      <c r="J6936" s="435" t="s">
        <v>10594</v>
      </c>
      <c r="K6936" s="434"/>
    </row>
    <row r="6937" spans="1:11" s="33" customFormat="1">
      <c r="A6937" s="435"/>
      <c r="B6937" s="26" t="s">
        <v>10686</v>
      </c>
      <c r="C6937" s="2366">
        <v>37.788888888888884</v>
      </c>
      <c r="D6937" s="230">
        <f t="shared" si="1059"/>
        <v>25.636966681742795</v>
      </c>
      <c r="E6937" s="1650">
        <v>0</v>
      </c>
      <c r="F6937" s="1646">
        <f t="shared" si="961"/>
        <v>25.636966681742795</v>
      </c>
      <c r="G6937" s="314" t="s">
        <v>11969</v>
      </c>
      <c r="H6937" s="1648" t="s">
        <v>10687</v>
      </c>
      <c r="I6937" s="434" t="s">
        <v>10295</v>
      </c>
      <c r="J6937" s="435" t="s">
        <v>10594</v>
      </c>
      <c r="K6937" s="434"/>
    </row>
    <row r="6938" spans="1:11" s="33" customFormat="1">
      <c r="A6938" s="435"/>
      <c r="B6938" s="26" t="s">
        <v>10688</v>
      </c>
      <c r="C6938" s="2366">
        <v>49.12222222222222</v>
      </c>
      <c r="D6938" s="230">
        <f t="shared" si="1059"/>
        <v>33.32579526609377</v>
      </c>
      <c r="E6938" s="1650">
        <v>0</v>
      </c>
      <c r="F6938" s="1646">
        <f t="shared" si="961"/>
        <v>33.32579526609377</v>
      </c>
      <c r="G6938" s="314" t="s">
        <v>11970</v>
      </c>
      <c r="H6938" s="1648" t="s">
        <v>10689</v>
      </c>
      <c r="I6938" s="434" t="s">
        <v>10295</v>
      </c>
      <c r="J6938" s="435" t="s">
        <v>10594</v>
      </c>
      <c r="K6938" s="434"/>
    </row>
    <row r="6939" spans="1:11" s="33" customFormat="1">
      <c r="A6939" s="435"/>
      <c r="B6939" s="26" t="s">
        <v>10690</v>
      </c>
      <c r="C6939" s="2366">
        <v>52.266666666666666</v>
      </c>
      <c r="D6939" s="230">
        <f t="shared" si="1059"/>
        <v>35.459068294889185</v>
      </c>
      <c r="E6939" s="1650">
        <v>0</v>
      </c>
      <c r="F6939" s="1646">
        <f t="shared" si="961"/>
        <v>35.459068294889185</v>
      </c>
      <c r="G6939" s="314" t="s">
        <v>11971</v>
      </c>
      <c r="H6939" s="1648" t="s">
        <v>10691</v>
      </c>
      <c r="I6939" s="434" t="s">
        <v>10295</v>
      </c>
      <c r="J6939" s="435" t="s">
        <v>10594</v>
      </c>
      <c r="K6939" s="434"/>
    </row>
    <row r="6940" spans="1:11" s="33" customFormat="1">
      <c r="A6940" s="435"/>
      <c r="B6940" s="26" t="s">
        <v>10692</v>
      </c>
      <c r="C6940" s="2366">
        <v>52.266666666666666</v>
      </c>
      <c r="D6940" s="230">
        <f t="shared" si="1059"/>
        <v>35.459068294889185</v>
      </c>
      <c r="E6940" s="1650">
        <v>0</v>
      </c>
      <c r="F6940" s="1646">
        <f t="shared" si="961"/>
        <v>35.459068294889185</v>
      </c>
      <c r="G6940" s="314" t="s">
        <v>11972</v>
      </c>
      <c r="H6940" s="1648" t="s">
        <v>10693</v>
      </c>
      <c r="I6940" s="434" t="s">
        <v>10295</v>
      </c>
      <c r="J6940" s="435" t="s">
        <v>10594</v>
      </c>
      <c r="K6940" s="434"/>
    </row>
    <row r="6941" spans="1:11" s="33" customFormat="1">
      <c r="A6941" s="435"/>
      <c r="B6941" s="26"/>
      <c r="C6941" s="2366"/>
      <c r="D6941" s="230"/>
      <c r="E6941" s="1650"/>
      <c r="F6941" s="1646"/>
      <c r="G6941" s="195"/>
      <c r="H6941" s="1648"/>
      <c r="I6941" s="434"/>
      <c r="J6941" s="435"/>
      <c r="K6941" s="434"/>
    </row>
    <row r="6942" spans="1:11" s="33" customFormat="1">
      <c r="A6942" s="435"/>
      <c r="B6942" s="26" t="s">
        <v>10694</v>
      </c>
      <c r="C6942" s="2366">
        <v>78.722222222222214</v>
      </c>
      <c r="D6942" s="230">
        <f t="shared" ref="D6942:D6950" si="1060">C6942*(1-VLOOKUP(I6942,descuentos,6,FALSE))*fcl/IF(dol_sol="dólar", TC,1)</f>
        <v>53.407206392281005</v>
      </c>
      <c r="E6942" s="1650">
        <v>0</v>
      </c>
      <c r="F6942" s="1646">
        <f t="shared" si="961"/>
        <v>53.407206392281005</v>
      </c>
      <c r="G6942" s="314" t="s">
        <v>11973</v>
      </c>
      <c r="H6942" s="1648">
        <v>407855</v>
      </c>
      <c r="I6942" s="434" t="s">
        <v>10295</v>
      </c>
      <c r="J6942" s="435" t="s">
        <v>10594</v>
      </c>
      <c r="K6942" s="434"/>
    </row>
    <row r="6943" spans="1:11" s="33" customFormat="1">
      <c r="A6943" s="435"/>
      <c r="B6943" s="26" t="s">
        <v>10695</v>
      </c>
      <c r="C6943" s="2366">
        <v>71.8</v>
      </c>
      <c r="D6943" s="230">
        <f t="shared" si="1060"/>
        <v>48.710990502035273</v>
      </c>
      <c r="E6943" s="1650">
        <v>0</v>
      </c>
      <c r="F6943" s="1646">
        <f t="shared" si="961"/>
        <v>48.710990502035273</v>
      </c>
      <c r="G6943" s="314" t="s">
        <v>11974</v>
      </c>
      <c r="H6943" s="1648" t="s">
        <v>10696</v>
      </c>
      <c r="I6943" s="434" t="s">
        <v>10295</v>
      </c>
      <c r="J6943" s="435" t="s">
        <v>10594</v>
      </c>
      <c r="K6943" s="434"/>
    </row>
    <row r="6944" spans="1:11" s="33" customFormat="1">
      <c r="A6944" s="435"/>
      <c r="B6944" s="26" t="s">
        <v>10697</v>
      </c>
      <c r="C6944" s="2366">
        <v>71.8</v>
      </c>
      <c r="D6944" s="230">
        <f t="shared" si="1060"/>
        <v>48.710990502035273</v>
      </c>
      <c r="E6944" s="1650">
        <v>0</v>
      </c>
      <c r="F6944" s="1646">
        <f t="shared" si="961"/>
        <v>48.710990502035273</v>
      </c>
      <c r="G6944" s="314" t="s">
        <v>11975</v>
      </c>
      <c r="H6944" s="1648" t="s">
        <v>10698</v>
      </c>
      <c r="I6944" s="434" t="s">
        <v>10295</v>
      </c>
      <c r="J6944" s="435" t="s">
        <v>10594</v>
      </c>
      <c r="K6944" s="434"/>
    </row>
    <row r="6945" spans="1:11" s="33" customFormat="1">
      <c r="A6945" s="435"/>
      <c r="B6945" s="26" t="s">
        <v>10699</v>
      </c>
      <c r="C6945" s="2366">
        <v>71.8</v>
      </c>
      <c r="D6945" s="230">
        <f t="shared" si="1060"/>
        <v>48.710990502035273</v>
      </c>
      <c r="E6945" s="1650">
        <v>0</v>
      </c>
      <c r="F6945" s="1646">
        <f t="shared" si="961"/>
        <v>48.710990502035273</v>
      </c>
      <c r="G6945" s="314" t="s">
        <v>11976</v>
      </c>
      <c r="H6945" s="1648" t="s">
        <v>10700</v>
      </c>
      <c r="I6945" s="434" t="s">
        <v>10295</v>
      </c>
      <c r="J6945" s="435" t="s">
        <v>10594</v>
      </c>
      <c r="K6945" s="434"/>
    </row>
    <row r="6946" spans="1:11" s="33" customFormat="1">
      <c r="A6946" s="435"/>
      <c r="B6946" s="26" t="s">
        <v>10701</v>
      </c>
      <c r="C6946" s="2366">
        <v>71.8</v>
      </c>
      <c r="D6946" s="230">
        <f t="shared" si="1060"/>
        <v>48.710990502035273</v>
      </c>
      <c r="E6946" s="1650">
        <v>0</v>
      </c>
      <c r="F6946" s="1646">
        <f t="shared" ref="F6946:F7008" si="1061">D6946+E6946</f>
        <v>48.710990502035273</v>
      </c>
      <c r="G6946" s="314" t="s">
        <v>11977</v>
      </c>
      <c r="H6946" s="1648" t="s">
        <v>10702</v>
      </c>
      <c r="I6946" s="434" t="s">
        <v>10295</v>
      </c>
      <c r="J6946" s="435" t="s">
        <v>10594</v>
      </c>
      <c r="K6946" s="434"/>
    </row>
    <row r="6947" spans="1:11" s="33" customFormat="1">
      <c r="A6947" s="435"/>
      <c r="B6947" s="26" t="s">
        <v>10703</v>
      </c>
      <c r="C6947" s="2366">
        <v>71.8</v>
      </c>
      <c r="D6947" s="230">
        <f t="shared" si="1060"/>
        <v>48.710990502035273</v>
      </c>
      <c r="E6947" s="1650">
        <v>0</v>
      </c>
      <c r="F6947" s="1646">
        <f t="shared" si="1061"/>
        <v>48.710990502035273</v>
      </c>
      <c r="G6947" s="314" t="s">
        <v>11978</v>
      </c>
      <c r="H6947" s="1648" t="s">
        <v>10704</v>
      </c>
      <c r="I6947" s="434" t="s">
        <v>10295</v>
      </c>
      <c r="J6947" s="435" t="s">
        <v>10594</v>
      </c>
      <c r="K6947" s="434"/>
    </row>
    <row r="6948" spans="1:11" s="33" customFormat="1">
      <c r="A6948" s="435"/>
      <c r="B6948" s="26" t="s">
        <v>10705</v>
      </c>
      <c r="C6948" s="2366">
        <v>83.766666666666666</v>
      </c>
      <c r="D6948" s="230">
        <f t="shared" si="1060"/>
        <v>56.829488919041147</v>
      </c>
      <c r="E6948" s="1650">
        <v>0</v>
      </c>
      <c r="F6948" s="1646">
        <f t="shared" si="1061"/>
        <v>56.829488919041147</v>
      </c>
      <c r="G6948" s="314" t="s">
        <v>11979</v>
      </c>
      <c r="H6948" s="1648" t="s">
        <v>10706</v>
      </c>
      <c r="I6948" s="434" t="s">
        <v>10295</v>
      </c>
      <c r="J6948" s="435" t="s">
        <v>10594</v>
      </c>
      <c r="K6948" s="434"/>
    </row>
    <row r="6949" spans="1:11" s="33" customFormat="1">
      <c r="A6949" s="435"/>
      <c r="B6949" s="26" t="s">
        <v>10707</v>
      </c>
      <c r="C6949" s="2366">
        <v>83.766666666666666</v>
      </c>
      <c r="D6949" s="230">
        <f t="shared" si="1060"/>
        <v>56.829488919041147</v>
      </c>
      <c r="E6949" s="1650">
        <v>0</v>
      </c>
      <c r="F6949" s="1646">
        <f t="shared" si="1061"/>
        <v>56.829488919041147</v>
      </c>
      <c r="G6949" s="314" t="s">
        <v>11980</v>
      </c>
      <c r="H6949" s="1648" t="s">
        <v>10708</v>
      </c>
      <c r="I6949" s="434" t="s">
        <v>10295</v>
      </c>
      <c r="J6949" s="435" t="s">
        <v>10594</v>
      </c>
      <c r="K6949" s="434"/>
    </row>
    <row r="6950" spans="1:11" s="33" customFormat="1">
      <c r="A6950" s="435"/>
      <c r="B6950" s="26" t="s">
        <v>10709</v>
      </c>
      <c r="C6950" s="2366">
        <v>83.766666666666666</v>
      </c>
      <c r="D6950" s="230">
        <f t="shared" si="1060"/>
        <v>56.829488919041147</v>
      </c>
      <c r="E6950" s="1650">
        <v>0</v>
      </c>
      <c r="F6950" s="1646">
        <f t="shared" si="1061"/>
        <v>56.829488919041147</v>
      </c>
      <c r="G6950" s="314" t="s">
        <v>11981</v>
      </c>
      <c r="H6950" s="1648" t="s">
        <v>10710</v>
      </c>
      <c r="I6950" s="434" t="s">
        <v>10295</v>
      </c>
      <c r="J6950" s="435" t="s">
        <v>10594</v>
      </c>
      <c r="K6950" s="434"/>
    </row>
    <row r="6951" spans="1:11" s="33" customFormat="1">
      <c r="A6951" s="435"/>
      <c r="B6951" s="26"/>
      <c r="C6951" s="2366"/>
      <c r="D6951" s="230"/>
      <c r="E6951" s="1650"/>
      <c r="F6951" s="1646"/>
      <c r="G6951" s="195"/>
      <c r="H6951" s="1648"/>
      <c r="I6951" s="434"/>
      <c r="J6951" s="435"/>
      <c r="K6951" s="434"/>
    </row>
    <row r="6952" spans="1:11" s="33" customFormat="1">
      <c r="A6952" s="435"/>
      <c r="B6952" s="26" t="s">
        <v>10711</v>
      </c>
      <c r="C6952" s="2366">
        <v>100.77777777777777</v>
      </c>
      <c r="D6952" s="230">
        <f t="shared" ref="D6952:D6960" si="1062">C6952*(1-VLOOKUP(I6952,descuentos,6,FALSE))*fcl/IF(dol_sol="dólar", TC,1)</f>
        <v>68.370269862807163</v>
      </c>
      <c r="E6952" s="1650">
        <v>0</v>
      </c>
      <c r="F6952" s="1646">
        <f t="shared" si="1061"/>
        <v>68.370269862807163</v>
      </c>
      <c r="G6952" s="314" t="s">
        <v>11982</v>
      </c>
      <c r="H6952" s="1648">
        <v>407924</v>
      </c>
      <c r="I6952" s="434" t="s">
        <v>10295</v>
      </c>
      <c r="J6952" s="435" t="s">
        <v>10594</v>
      </c>
      <c r="K6952" s="434"/>
    </row>
    <row r="6953" spans="1:11" s="33" customFormat="1">
      <c r="A6953" s="435"/>
      <c r="B6953" s="26" t="s">
        <v>10712</v>
      </c>
      <c r="C6953" s="2366">
        <v>81.255555555555546</v>
      </c>
      <c r="D6953" s="230">
        <f t="shared" si="1062"/>
        <v>55.125885722900634</v>
      </c>
      <c r="E6953" s="1650">
        <v>0</v>
      </c>
      <c r="F6953" s="1646">
        <f t="shared" si="1061"/>
        <v>55.125885722900634</v>
      </c>
      <c r="G6953" s="314" t="s">
        <v>11983</v>
      </c>
      <c r="H6953" s="1648" t="s">
        <v>10713</v>
      </c>
      <c r="I6953" s="434" t="s">
        <v>10295</v>
      </c>
      <c r="J6953" s="435" t="s">
        <v>10594</v>
      </c>
      <c r="K6953" s="434"/>
    </row>
    <row r="6954" spans="1:11" s="33" customFormat="1">
      <c r="A6954" s="435"/>
      <c r="B6954" s="26" t="s">
        <v>10714</v>
      </c>
      <c r="C6954" s="2366">
        <v>74.944444444444443</v>
      </c>
      <c r="D6954" s="230">
        <f t="shared" si="1062"/>
        <v>50.844263530830681</v>
      </c>
      <c r="E6954" s="1650">
        <v>0</v>
      </c>
      <c r="F6954" s="1646">
        <f t="shared" si="1061"/>
        <v>50.844263530830681</v>
      </c>
      <c r="G6954" s="314" t="s">
        <v>11984</v>
      </c>
      <c r="H6954" s="1648" t="s">
        <v>10715</v>
      </c>
      <c r="I6954" s="434" t="s">
        <v>10295</v>
      </c>
      <c r="J6954" s="435" t="s">
        <v>10594</v>
      </c>
      <c r="K6954" s="434"/>
    </row>
    <row r="6955" spans="1:11" s="33" customFormat="1">
      <c r="A6955" s="435"/>
      <c r="B6955" s="26" t="s">
        <v>10716</v>
      </c>
      <c r="C6955" s="2366">
        <v>86.911111111111111</v>
      </c>
      <c r="D6955" s="230">
        <f t="shared" si="1062"/>
        <v>58.962761947836569</v>
      </c>
      <c r="E6955" s="1650">
        <v>0</v>
      </c>
      <c r="F6955" s="1646">
        <f t="shared" si="1061"/>
        <v>58.962761947836569</v>
      </c>
      <c r="G6955" s="314" t="s">
        <v>11985</v>
      </c>
      <c r="H6955" s="1648" t="s">
        <v>10717</v>
      </c>
      <c r="I6955" s="434" t="s">
        <v>10295</v>
      </c>
      <c r="J6955" s="435" t="s">
        <v>10594</v>
      </c>
      <c r="K6955" s="434"/>
    </row>
    <row r="6956" spans="1:11" s="33" customFormat="1">
      <c r="A6956" s="435"/>
      <c r="B6956" s="26" t="s">
        <v>10718</v>
      </c>
      <c r="C6956" s="2366">
        <v>93.844444444444434</v>
      </c>
      <c r="D6956" s="230">
        <f t="shared" si="1062"/>
        <v>63.666515905321859</v>
      </c>
      <c r="E6956" s="1650">
        <v>0</v>
      </c>
      <c r="F6956" s="1646">
        <f t="shared" si="1061"/>
        <v>63.666515905321859</v>
      </c>
      <c r="G6956" s="314" t="s">
        <v>11986</v>
      </c>
      <c r="H6956" s="1648" t="s">
        <v>10719</v>
      </c>
      <c r="I6956" s="434" t="s">
        <v>10295</v>
      </c>
      <c r="J6956" s="435" t="s">
        <v>10594</v>
      </c>
      <c r="K6956" s="434"/>
    </row>
    <row r="6957" spans="1:11" s="33" customFormat="1">
      <c r="A6957" s="435"/>
      <c r="B6957" s="26" t="s">
        <v>10720</v>
      </c>
      <c r="C6957" s="2366">
        <v>93.844444444444434</v>
      </c>
      <c r="D6957" s="230">
        <f t="shared" si="1062"/>
        <v>63.666515905321859</v>
      </c>
      <c r="E6957" s="1650">
        <v>0</v>
      </c>
      <c r="F6957" s="1646">
        <f t="shared" si="1061"/>
        <v>63.666515905321859</v>
      </c>
      <c r="G6957" s="314" t="s">
        <v>11987</v>
      </c>
      <c r="H6957" s="1648" t="s">
        <v>10721</v>
      </c>
      <c r="I6957" s="434" t="s">
        <v>10295</v>
      </c>
      <c r="J6957" s="435" t="s">
        <v>10594</v>
      </c>
      <c r="K6957" s="434"/>
    </row>
    <row r="6958" spans="1:11" s="33" customFormat="1">
      <c r="A6958" s="435"/>
      <c r="B6958" s="26" t="s">
        <v>10722</v>
      </c>
      <c r="C6958" s="2366">
        <v>119.03333333333333</v>
      </c>
      <c r="D6958" s="230">
        <f t="shared" si="1062"/>
        <v>80.755314337403874</v>
      </c>
      <c r="E6958" s="1650">
        <v>0</v>
      </c>
      <c r="F6958" s="1646">
        <f t="shared" si="1061"/>
        <v>80.755314337403874</v>
      </c>
      <c r="G6958" s="314" t="s">
        <v>11988</v>
      </c>
      <c r="H6958" s="1648" t="s">
        <v>10723</v>
      </c>
      <c r="I6958" s="434" t="s">
        <v>10295</v>
      </c>
      <c r="J6958" s="435" t="s">
        <v>10594</v>
      </c>
      <c r="K6958" s="434"/>
    </row>
    <row r="6959" spans="1:11" s="33" customFormat="1">
      <c r="A6959" s="435"/>
      <c r="B6959" s="26" t="s">
        <v>10724</v>
      </c>
      <c r="C6959" s="2366">
        <v>132.88888888888889</v>
      </c>
      <c r="D6959" s="230">
        <f t="shared" si="1062"/>
        <v>90.155284185134917</v>
      </c>
      <c r="E6959" s="1650">
        <v>0</v>
      </c>
      <c r="F6959" s="1646">
        <f t="shared" si="1061"/>
        <v>90.155284185134917</v>
      </c>
      <c r="G6959" s="314" t="s">
        <v>11989</v>
      </c>
      <c r="H6959" s="1648" t="s">
        <v>10725</v>
      </c>
      <c r="I6959" s="434" t="s">
        <v>10295</v>
      </c>
      <c r="J6959" s="435" t="s">
        <v>10594</v>
      </c>
      <c r="K6959" s="434"/>
    </row>
    <row r="6960" spans="1:11" s="33" customFormat="1">
      <c r="A6960" s="435"/>
      <c r="B6960" s="26" t="s">
        <v>10726</v>
      </c>
      <c r="C6960" s="2366">
        <v>138.55555555555554</v>
      </c>
      <c r="D6960" s="230">
        <f t="shared" si="1062"/>
        <v>93.999698477310403</v>
      </c>
      <c r="E6960" s="1650">
        <v>0</v>
      </c>
      <c r="F6960" s="1646">
        <f t="shared" si="1061"/>
        <v>93.999698477310403</v>
      </c>
      <c r="G6960" s="314" t="s">
        <v>11990</v>
      </c>
      <c r="H6960" s="1648" t="s">
        <v>10727</v>
      </c>
      <c r="I6960" s="434" t="s">
        <v>10295</v>
      </c>
      <c r="J6960" s="435" t="s">
        <v>10594</v>
      </c>
      <c r="K6960" s="434"/>
    </row>
    <row r="6961" spans="1:11" s="33" customFormat="1">
      <c r="A6961" s="435"/>
      <c r="B6961" s="26"/>
      <c r="C6961" s="2366"/>
      <c r="D6961" s="230"/>
      <c r="E6961" s="1650"/>
      <c r="F6961" s="1646"/>
      <c r="G6961" s="195"/>
      <c r="H6961" s="1648"/>
      <c r="I6961" s="434"/>
      <c r="J6961" s="435"/>
      <c r="K6961" s="434"/>
    </row>
    <row r="6962" spans="1:11" s="33" customFormat="1">
      <c r="A6962" s="435"/>
      <c r="B6962" s="26"/>
      <c r="C6962" s="2366"/>
      <c r="D6962" s="230"/>
      <c r="E6962" s="1650"/>
      <c r="F6962" s="1646"/>
      <c r="G6962" s="195"/>
      <c r="H6962" s="1648"/>
      <c r="I6962" s="434"/>
      <c r="J6962" s="435"/>
      <c r="K6962" s="434"/>
    </row>
    <row r="6963" spans="1:11" s="33" customFormat="1">
      <c r="A6963" s="435"/>
      <c r="B6963" s="26"/>
      <c r="C6963" s="2366"/>
      <c r="D6963" s="230"/>
      <c r="E6963" s="1650"/>
      <c r="F6963" s="1646"/>
      <c r="G6963" s="195"/>
      <c r="H6963" s="1648"/>
      <c r="I6963" s="434"/>
      <c r="J6963" s="435"/>
      <c r="K6963" s="434"/>
    </row>
    <row r="6964" spans="1:11" s="33" customFormat="1">
      <c r="A6964" s="435"/>
      <c r="B6964" s="26" t="s">
        <v>10728</v>
      </c>
      <c r="C6964" s="2366">
        <v>77.466666666666669</v>
      </c>
      <c r="D6964" s="230">
        <f>C6964*(1-VLOOKUP(I6964,descuentos,6,FALSE))*fcl/IF(dol_sol="dólar", TC,1)</f>
        <v>52.555404794210752</v>
      </c>
      <c r="E6964" s="1650">
        <v>3</v>
      </c>
      <c r="F6964" s="1646">
        <f t="shared" si="1061"/>
        <v>55.555404794210752</v>
      </c>
      <c r="G6964" s="314" t="s">
        <v>11991</v>
      </c>
      <c r="H6964" s="1648">
        <v>411504</v>
      </c>
      <c r="I6964" s="434" t="s">
        <v>10295</v>
      </c>
      <c r="J6964" s="435" t="s">
        <v>10594</v>
      </c>
      <c r="K6964" s="434"/>
    </row>
    <row r="6965" spans="1:11" s="33" customFormat="1">
      <c r="A6965" s="435"/>
      <c r="B6965" s="26" t="s">
        <v>10729</v>
      </c>
      <c r="C6965" s="2366">
        <v>85.655555555555551</v>
      </c>
      <c r="D6965" s="230">
        <f>C6965*(1-VLOOKUP(I6965,descuentos,6,FALSE))*fcl/IF(dol_sol="dólar", TC,1)</f>
        <v>58.110960349766309</v>
      </c>
      <c r="E6965" s="1650">
        <v>3</v>
      </c>
      <c r="F6965" s="1646">
        <f t="shared" si="1061"/>
        <v>61.110960349766309</v>
      </c>
      <c r="G6965" s="314" t="s">
        <v>11992</v>
      </c>
      <c r="H6965" s="1648" t="s">
        <v>10730</v>
      </c>
      <c r="I6965" s="434" t="s">
        <v>10295</v>
      </c>
      <c r="J6965" s="435" t="s">
        <v>10594</v>
      </c>
      <c r="K6965" s="434"/>
    </row>
    <row r="6966" spans="1:11" s="33" customFormat="1">
      <c r="A6966" s="435"/>
      <c r="B6966" s="26" t="s">
        <v>10731</v>
      </c>
      <c r="C6966" s="2366">
        <v>99.511111111111106</v>
      </c>
      <c r="D6966" s="230">
        <f>C6966*(1-VLOOKUP(I6966,descuentos,6,FALSE))*fcl/IF(dol_sol="dólar", TC,1)</f>
        <v>67.510930197497359</v>
      </c>
      <c r="E6966" s="1650">
        <v>3</v>
      </c>
      <c r="F6966" s="1646">
        <f t="shared" si="1061"/>
        <v>70.510930197497359</v>
      </c>
      <c r="G6966" s="314" t="s">
        <v>11993</v>
      </c>
      <c r="H6966" s="1648" t="s">
        <v>10732</v>
      </c>
      <c r="I6966" s="434" t="s">
        <v>10295</v>
      </c>
      <c r="J6966" s="435" t="s">
        <v>10594</v>
      </c>
      <c r="K6966" s="434"/>
    </row>
    <row r="6967" spans="1:11" s="33" customFormat="1">
      <c r="A6967" s="435"/>
      <c r="B6967" s="26" t="s">
        <v>10733</v>
      </c>
      <c r="C6967" s="2366">
        <v>108.95555555555555</v>
      </c>
      <c r="D6967" s="230">
        <f>C6967*(1-VLOOKUP(I6967,descuentos,6,FALSE))*fcl/IF(dol_sol="dólar", TC,1)</f>
        <v>73.918287351123155</v>
      </c>
      <c r="E6967" s="1650">
        <v>3</v>
      </c>
      <c r="F6967" s="1646">
        <f t="shared" si="1061"/>
        <v>76.918287351123155</v>
      </c>
      <c r="G6967" s="314" t="s">
        <v>11994</v>
      </c>
      <c r="H6967" s="1648" t="s">
        <v>10734</v>
      </c>
      <c r="I6967" s="434" t="s">
        <v>10295</v>
      </c>
      <c r="J6967" s="435" t="s">
        <v>10594</v>
      </c>
      <c r="K6967" s="434"/>
    </row>
    <row r="6968" spans="1:11" s="33" customFormat="1">
      <c r="A6968" s="435"/>
      <c r="B6968" s="26" t="s">
        <v>10735</v>
      </c>
      <c r="C6968" s="2366">
        <v>119.03333333333333</v>
      </c>
      <c r="D6968" s="230">
        <f>C6968*(1-VLOOKUP(I6968,descuentos,6,FALSE))*fcl/IF(dol_sol="dólar", TC,1)</f>
        <v>80.755314337403874</v>
      </c>
      <c r="E6968" s="1650">
        <v>3</v>
      </c>
      <c r="F6968" s="1646">
        <f t="shared" si="1061"/>
        <v>83.755314337403874</v>
      </c>
      <c r="G6968" s="314" t="s">
        <v>11995</v>
      </c>
      <c r="H6968" s="1648" t="s">
        <v>10736</v>
      </c>
      <c r="I6968" s="434" t="s">
        <v>10295</v>
      </c>
      <c r="J6968" s="435" t="s">
        <v>10594</v>
      </c>
      <c r="K6968" s="434"/>
    </row>
    <row r="6969" spans="1:11" s="33" customFormat="1">
      <c r="A6969" s="435"/>
      <c r="B6969" s="26"/>
      <c r="C6969" s="2366"/>
      <c r="D6969" s="230"/>
      <c r="E6969" s="1650"/>
      <c r="F6969" s="1646"/>
      <c r="G6969" s="195"/>
      <c r="H6969" s="1648"/>
      <c r="I6969" s="434"/>
      <c r="J6969" s="435"/>
      <c r="K6969" s="434"/>
    </row>
    <row r="6970" spans="1:11" s="33" customFormat="1">
      <c r="A6970" s="435"/>
      <c r="B6970" s="26" t="s">
        <v>10737</v>
      </c>
      <c r="C6970" s="2366">
        <v>81.866666666666674</v>
      </c>
      <c r="D6970" s="230">
        <f>C6970*(1-VLOOKUP(I6970,descuentos,6,FALSE))*fcl/IF(dol_sol="dólar", TC,1)</f>
        <v>55.540479421076434</v>
      </c>
      <c r="E6970" s="1650">
        <v>3</v>
      </c>
      <c r="F6970" s="1646">
        <f t="shared" si="1061"/>
        <v>58.540479421076434</v>
      </c>
      <c r="G6970" s="314" t="s">
        <v>11996</v>
      </c>
      <c r="H6970" s="1648" t="s">
        <v>10738</v>
      </c>
      <c r="I6970" s="434" t="s">
        <v>10295</v>
      </c>
      <c r="J6970" s="435" t="s">
        <v>10594</v>
      </c>
      <c r="K6970" s="434"/>
    </row>
    <row r="6971" spans="1:11" s="33" customFormat="1">
      <c r="A6971" s="435"/>
      <c r="B6971" s="26" t="s">
        <v>10739</v>
      </c>
      <c r="C6971" s="2366">
        <v>92.577777777777769</v>
      </c>
      <c r="D6971" s="230">
        <f>C6971*(1-VLOOKUP(I6971,descuentos,6,FALSE))*fcl/IF(dol_sol="dólar", TC,1)</f>
        <v>62.807176240012048</v>
      </c>
      <c r="E6971" s="1650">
        <v>3</v>
      </c>
      <c r="F6971" s="1646">
        <f t="shared" si="1061"/>
        <v>65.807176240012041</v>
      </c>
      <c r="G6971" s="314" t="s">
        <v>11997</v>
      </c>
      <c r="H6971" s="1648" t="s">
        <v>10740</v>
      </c>
      <c r="I6971" s="434" t="s">
        <v>10295</v>
      </c>
      <c r="J6971" s="435" t="s">
        <v>10594</v>
      </c>
      <c r="K6971" s="434"/>
    </row>
    <row r="6972" spans="1:11" s="33" customFormat="1">
      <c r="A6972" s="435"/>
      <c r="B6972" s="26" t="s">
        <v>10741</v>
      </c>
      <c r="C6972" s="2366">
        <v>102.65555555555555</v>
      </c>
      <c r="D6972" s="230">
        <f>C6972*(1-VLOOKUP(I6972,descuentos,6,FALSE))*fcl/IF(dol_sol="dólar", TC,1)</f>
        <v>69.64420322629276</v>
      </c>
      <c r="E6972" s="1650">
        <v>3</v>
      </c>
      <c r="F6972" s="1646">
        <f t="shared" si="1061"/>
        <v>72.64420322629276</v>
      </c>
      <c r="G6972" s="314" t="s">
        <v>11998</v>
      </c>
      <c r="H6972" s="1648" t="s">
        <v>10742</v>
      </c>
      <c r="I6972" s="434" t="s">
        <v>10295</v>
      </c>
      <c r="J6972" s="435" t="s">
        <v>10594</v>
      </c>
      <c r="K6972" s="434"/>
    </row>
    <row r="6973" spans="1:11" s="33" customFormat="1">
      <c r="A6973" s="435"/>
      <c r="B6973" s="26"/>
      <c r="C6973" s="2366"/>
      <c r="D6973" s="230"/>
      <c r="E6973" s="1650"/>
      <c r="F6973" s="1646"/>
      <c r="G6973" s="195"/>
      <c r="H6973" s="1648"/>
      <c r="I6973" s="434"/>
      <c r="J6973" s="435"/>
      <c r="K6973" s="434"/>
    </row>
    <row r="6974" spans="1:11" s="33" customFormat="1">
      <c r="A6974" s="435"/>
      <c r="B6974" s="26" t="s">
        <v>10743</v>
      </c>
      <c r="C6974" s="2366">
        <v>141.0888888888889</v>
      </c>
      <c r="D6974" s="230">
        <f>C6974*(1-VLOOKUP(I6974,descuentos,6,FALSE))*fcl/IF(dol_sol="dólar", TC,1)</f>
        <v>95.71837780793004</v>
      </c>
      <c r="E6974" s="1650">
        <v>6</v>
      </c>
      <c r="F6974" s="1646">
        <f t="shared" si="1061"/>
        <v>101.71837780793004</v>
      </c>
      <c r="G6974" s="314" t="s">
        <v>11999</v>
      </c>
      <c r="H6974" s="1648">
        <v>411702</v>
      </c>
      <c r="I6974" s="434" t="s">
        <v>10295</v>
      </c>
      <c r="J6974" s="435" t="s">
        <v>10594</v>
      </c>
      <c r="K6974" s="434"/>
    </row>
    <row r="6975" spans="1:11" s="33" customFormat="1">
      <c r="A6975" s="435"/>
      <c r="B6975" s="26" t="s">
        <v>10744</v>
      </c>
      <c r="C6975" s="2366">
        <v>152.4111111111111</v>
      </c>
      <c r="D6975" s="230">
        <f>C6975*(1-VLOOKUP(I6975,descuentos,6,FALSE))*fcl/IF(dol_sol="dólar", TC,1)</f>
        <v>103.39966832504143</v>
      </c>
      <c r="E6975" s="1650">
        <v>6</v>
      </c>
      <c r="F6975" s="1646">
        <f t="shared" si="1061"/>
        <v>109.39966832504143</v>
      </c>
      <c r="G6975" s="314" t="s">
        <v>12000</v>
      </c>
      <c r="H6975" s="1648" t="s">
        <v>10745</v>
      </c>
      <c r="I6975" s="434" t="s">
        <v>10295</v>
      </c>
      <c r="J6975" s="435" t="s">
        <v>10594</v>
      </c>
      <c r="K6975" s="434"/>
    </row>
    <row r="6976" spans="1:11" s="33" customFormat="1">
      <c r="A6976" s="435"/>
      <c r="B6976" s="26" t="s">
        <v>10746</v>
      </c>
      <c r="C6976" s="2366">
        <v>164.38888888888889</v>
      </c>
      <c r="D6976" s="230">
        <f>C6976*(1-VLOOKUP(I6976,descuentos,6,FALSE))*fcl/IF(dol_sol="dólar", TC,1)</f>
        <v>111.52570480928689</v>
      </c>
      <c r="E6976" s="1650">
        <v>6</v>
      </c>
      <c r="F6976" s="1646">
        <f t="shared" si="1061"/>
        <v>117.52570480928689</v>
      </c>
      <c r="G6976" s="314" t="s">
        <v>12001</v>
      </c>
      <c r="H6976" s="1648" t="s">
        <v>10747</v>
      </c>
      <c r="I6976" s="434" t="s">
        <v>10295</v>
      </c>
      <c r="J6976" s="435" t="s">
        <v>10594</v>
      </c>
      <c r="K6976" s="434"/>
    </row>
    <row r="6977" spans="1:11" s="33" customFormat="1">
      <c r="A6977" s="435"/>
      <c r="B6977" s="26" t="s">
        <v>10748</v>
      </c>
      <c r="C6977" s="2366">
        <v>193.35555555555555</v>
      </c>
      <c r="D6977" s="230">
        <f>C6977*(1-VLOOKUP(I6977,descuentos,6,FALSE))*fcl/IF(dol_sol="dólar", TC,1)</f>
        <v>131.17744610281923</v>
      </c>
      <c r="E6977" s="1650">
        <v>6</v>
      </c>
      <c r="F6977" s="1646">
        <f t="shared" si="1061"/>
        <v>137.17744610281923</v>
      </c>
      <c r="G6977" s="314" t="s">
        <v>12002</v>
      </c>
      <c r="H6977" s="1648" t="s">
        <v>10749</v>
      </c>
      <c r="I6977" s="434" t="s">
        <v>10295</v>
      </c>
      <c r="J6977" s="435" t="s">
        <v>10594</v>
      </c>
      <c r="K6977" s="434"/>
    </row>
    <row r="6978" spans="1:11" s="33" customFormat="1">
      <c r="A6978" s="435"/>
      <c r="B6978" s="26"/>
      <c r="C6978" s="2366"/>
      <c r="D6978" s="230"/>
      <c r="E6978" s="1650"/>
      <c r="F6978" s="1646"/>
      <c r="G6978" s="195"/>
      <c r="H6978" s="1648"/>
      <c r="I6978" s="434"/>
      <c r="J6978" s="435"/>
      <c r="K6978" s="434"/>
    </row>
    <row r="6979" spans="1:11" s="33" customFormat="1">
      <c r="A6979" s="435"/>
      <c r="B6979" s="26" t="s">
        <v>10750</v>
      </c>
      <c r="C6979" s="2366">
        <v>120.3</v>
      </c>
      <c r="D6979" s="230">
        <f>C6979*(1-VLOOKUP(I6979,descuentos,6,FALSE))*fcl/IF(dol_sol="dólar", TC,1)</f>
        <v>81.614654002713692</v>
      </c>
      <c r="E6979" s="1650">
        <v>6</v>
      </c>
      <c r="F6979" s="1646">
        <f t="shared" si="1061"/>
        <v>87.614654002713692</v>
      </c>
      <c r="G6979" s="314" t="s">
        <v>12003</v>
      </c>
      <c r="H6979" s="1648" t="s">
        <v>10751</v>
      </c>
      <c r="I6979" s="434" t="s">
        <v>10295</v>
      </c>
      <c r="J6979" s="435" t="s">
        <v>10594</v>
      </c>
      <c r="K6979" s="434"/>
    </row>
    <row r="6980" spans="1:11" s="33" customFormat="1">
      <c r="A6980" s="435"/>
      <c r="B6980" s="26" t="s">
        <v>10752</v>
      </c>
      <c r="C6980" s="2366">
        <v>127.22222222222221</v>
      </c>
      <c r="D6980" s="230">
        <f>C6980*(1-VLOOKUP(I6980,descuentos,6,FALSE))*fcl/IF(dol_sol="dólar", TC,1)</f>
        <v>86.310869892959431</v>
      </c>
      <c r="E6980" s="1650">
        <v>6</v>
      </c>
      <c r="F6980" s="1646">
        <f t="shared" si="1061"/>
        <v>92.310869892959431</v>
      </c>
      <c r="G6980" s="314" t="s">
        <v>12004</v>
      </c>
      <c r="H6980" s="1648" t="s">
        <v>10753</v>
      </c>
      <c r="I6980" s="434" t="s">
        <v>10295</v>
      </c>
      <c r="J6980" s="435" t="s">
        <v>10594</v>
      </c>
      <c r="K6980" s="434"/>
    </row>
    <row r="6981" spans="1:11" s="33" customFormat="1">
      <c r="A6981" s="435"/>
      <c r="B6981" s="26" t="s">
        <v>10754</v>
      </c>
      <c r="C6981" s="2366">
        <v>144.85555555555555</v>
      </c>
      <c r="D6981" s="230">
        <f>C6981*(1-VLOOKUP(I6981,descuentos,6,FALSE))*fcl/IF(dol_sol="dólar", TC,1)</f>
        <v>98.273782602140784</v>
      </c>
      <c r="E6981" s="1650">
        <v>6</v>
      </c>
      <c r="F6981" s="1646">
        <f t="shared" si="1061"/>
        <v>104.27378260214078</v>
      </c>
      <c r="G6981" s="314" t="s">
        <v>12005</v>
      </c>
      <c r="H6981" s="1648" t="s">
        <v>10755</v>
      </c>
      <c r="I6981" s="434" t="s">
        <v>10295</v>
      </c>
      <c r="J6981" s="435" t="s">
        <v>10594</v>
      </c>
      <c r="K6981" s="434"/>
    </row>
    <row r="6982" spans="1:11" s="33" customFormat="1">
      <c r="A6982" s="435"/>
      <c r="B6982" s="26" t="s">
        <v>10756</v>
      </c>
      <c r="C6982" s="2366">
        <v>151.77777777777777</v>
      </c>
      <c r="D6982" s="230">
        <f>C6982*(1-VLOOKUP(I6982,descuentos,6,FALSE))*fcl/IF(dol_sol="dólar", TC,1)</f>
        <v>102.96999849238654</v>
      </c>
      <c r="E6982" s="1650">
        <v>6</v>
      </c>
      <c r="F6982" s="1646">
        <f t="shared" si="1061"/>
        <v>108.96999849238654</v>
      </c>
      <c r="G6982" s="314" t="s">
        <v>12006</v>
      </c>
      <c r="H6982" s="1648" t="s">
        <v>10757</v>
      </c>
      <c r="I6982" s="434" t="s">
        <v>10295</v>
      </c>
      <c r="J6982" s="435" t="s">
        <v>10594</v>
      </c>
      <c r="K6982" s="434"/>
    </row>
    <row r="6983" spans="1:11" s="33" customFormat="1">
      <c r="A6983" s="435"/>
      <c r="B6983" s="26"/>
      <c r="C6983" s="2366"/>
      <c r="D6983" s="230"/>
      <c r="E6983" s="1650"/>
      <c r="F6983" s="1646"/>
      <c r="G6983" s="195"/>
      <c r="H6983" s="1648"/>
      <c r="I6983" s="434"/>
      <c r="J6983" s="435"/>
      <c r="K6983" s="434"/>
    </row>
    <row r="6984" spans="1:11" s="33" customFormat="1">
      <c r="A6984" s="435"/>
      <c r="B6984" s="26" t="s">
        <v>12007</v>
      </c>
      <c r="C6984" s="2366">
        <v>102.44444444444444</v>
      </c>
      <c r="D6984" s="230">
        <f>C6984*(1-VLOOKUP(I6984,descuentos,6,FALSE))*fcl/IF(dol_sol="dólar", TC,1)</f>
        <v>69.500979948741133</v>
      </c>
      <c r="E6984" s="1650">
        <v>6</v>
      </c>
      <c r="F6984" s="1646">
        <f t="shared" ref="F6984:F6986" si="1063">D6984+E6984</f>
        <v>75.500979948741133</v>
      </c>
      <c r="G6984" s="314" t="s">
        <v>12008</v>
      </c>
      <c r="H6984" s="1648" t="s">
        <v>12009</v>
      </c>
      <c r="I6984" s="434" t="s">
        <v>10295</v>
      </c>
      <c r="J6984" s="435" t="s">
        <v>10594</v>
      </c>
      <c r="K6984" s="434"/>
    </row>
    <row r="6985" spans="1:11" s="33" customFormat="1">
      <c r="A6985" s="435"/>
      <c r="B6985" s="26" t="s">
        <v>12010</v>
      </c>
      <c r="C6985" s="2366">
        <v>117.68888888888888</v>
      </c>
      <c r="D6985" s="230">
        <f>C6985*(1-VLOOKUP(I6985,descuentos,6,FALSE))*fcl/IF(dol_sol="dólar", TC,1)</f>
        <v>79.843208201417156</v>
      </c>
      <c r="E6985" s="1650">
        <v>6</v>
      </c>
      <c r="F6985" s="1646">
        <f t="shared" si="1063"/>
        <v>85.843208201417156</v>
      </c>
      <c r="G6985" s="314" t="s">
        <v>12011</v>
      </c>
      <c r="H6985" s="1648" t="s">
        <v>12012</v>
      </c>
      <c r="I6985" s="434" t="s">
        <v>10295</v>
      </c>
      <c r="J6985" s="435" t="s">
        <v>10594</v>
      </c>
      <c r="K6985" s="434"/>
    </row>
    <row r="6986" spans="1:11" s="33" customFormat="1">
      <c r="A6986" s="435"/>
      <c r="B6986" s="26" t="s">
        <v>12013</v>
      </c>
      <c r="C6986" s="2366">
        <v>126.83333333333334</v>
      </c>
      <c r="D6986" s="230">
        <f>C6986*(1-VLOOKUP(I6986,descuentos,6,FALSE))*fcl/IF(dol_sol="dólar", TC,1)</f>
        <v>86.047037539574845</v>
      </c>
      <c r="E6986" s="1650">
        <v>6</v>
      </c>
      <c r="F6986" s="1646">
        <f t="shared" si="1063"/>
        <v>92.047037539574845</v>
      </c>
      <c r="G6986" s="314" t="s">
        <v>12014</v>
      </c>
      <c r="H6986" s="1648" t="s">
        <v>12015</v>
      </c>
      <c r="I6986" s="434" t="s">
        <v>10295</v>
      </c>
      <c r="J6986" s="435" t="s">
        <v>10594</v>
      </c>
      <c r="K6986" s="434"/>
    </row>
    <row r="6987" spans="1:11" s="33" customFormat="1">
      <c r="A6987" s="435"/>
      <c r="B6987" s="26"/>
      <c r="C6987" s="2366"/>
      <c r="D6987" s="230"/>
      <c r="E6987" s="1650"/>
      <c r="F6987" s="1646"/>
      <c r="G6987" s="195"/>
      <c r="H6987" s="1648"/>
      <c r="I6987" s="434"/>
      <c r="J6987" s="435"/>
      <c r="K6987" s="434"/>
    </row>
    <row r="6988" spans="1:11" s="33" customFormat="1">
      <c r="A6988" s="435"/>
      <c r="B6988" s="26" t="s">
        <v>12016</v>
      </c>
      <c r="C6988" s="2366">
        <v>152.44444444444443</v>
      </c>
      <c r="D6988" s="230">
        <f>C6988*(1-VLOOKUP(I6988,descuentos,6,FALSE))*fcl/IF(dol_sol="dólar", TC,1)</f>
        <v>103.4222825267601</v>
      </c>
      <c r="E6988" s="1650">
        <v>6</v>
      </c>
      <c r="F6988" s="1646">
        <f t="shared" ref="F6988:F6991" si="1064">D6988+E6988</f>
        <v>109.4222825267601</v>
      </c>
      <c r="G6988" s="314" t="s">
        <v>12017</v>
      </c>
      <c r="H6988" s="1648" t="s">
        <v>12018</v>
      </c>
      <c r="I6988" s="434" t="s">
        <v>10295</v>
      </c>
      <c r="J6988" s="435" t="s">
        <v>10594</v>
      </c>
      <c r="K6988" s="434"/>
    </row>
    <row r="6989" spans="1:11" s="33" customFormat="1">
      <c r="A6989" s="435"/>
      <c r="B6989" s="26" t="s">
        <v>12019</v>
      </c>
      <c r="C6989" s="2366">
        <v>164.64444444444445</v>
      </c>
      <c r="D6989" s="230">
        <f>C6989*(1-VLOOKUP(I6989,descuentos,6,FALSE))*fcl/IF(dol_sol="dólar", TC,1)</f>
        <v>111.69908035579677</v>
      </c>
      <c r="E6989" s="1650">
        <v>6</v>
      </c>
      <c r="F6989" s="1646">
        <f t="shared" si="1064"/>
        <v>117.69908035579677</v>
      </c>
      <c r="G6989" s="314" t="s">
        <v>12020</v>
      </c>
      <c r="H6989" s="1648" t="s">
        <v>12021</v>
      </c>
      <c r="I6989" s="434" t="s">
        <v>10295</v>
      </c>
      <c r="J6989" s="435" t="s">
        <v>10594</v>
      </c>
      <c r="K6989" s="434"/>
    </row>
    <row r="6990" spans="1:11" s="33" customFormat="1">
      <c r="A6990" s="435"/>
      <c r="B6990" s="26" t="s">
        <v>12022</v>
      </c>
      <c r="C6990" s="2366">
        <v>174.4</v>
      </c>
      <c r="D6990" s="230">
        <f>C6990*(1-VLOOKUP(I6990,descuentos,6,FALSE))*fcl/IF(dol_sol="dólar", TC,1)</f>
        <v>118.31750339213023</v>
      </c>
      <c r="E6990" s="1650">
        <v>6</v>
      </c>
      <c r="F6990" s="1646">
        <f t="shared" si="1064"/>
        <v>124.31750339213023</v>
      </c>
      <c r="G6990" s="314" t="s">
        <v>12023</v>
      </c>
      <c r="H6990" s="1648" t="s">
        <v>12024</v>
      </c>
      <c r="I6990" s="434" t="s">
        <v>10295</v>
      </c>
      <c r="J6990" s="435" t="s">
        <v>10594</v>
      </c>
      <c r="K6990" s="434"/>
    </row>
    <row r="6991" spans="1:11" s="33" customFormat="1">
      <c r="A6991" s="435"/>
      <c r="B6991" s="26" t="s">
        <v>12025</v>
      </c>
      <c r="C6991" s="2366">
        <v>228.05555555555554</v>
      </c>
      <c r="D6991" s="230">
        <f>C6991*(1-VLOOKUP(I6991,descuentos,6,FALSE))*fcl/IF(dol_sol="dólar", TC,1)</f>
        <v>154.71883009196438</v>
      </c>
      <c r="E6991" s="1650">
        <v>6</v>
      </c>
      <c r="F6991" s="1646">
        <f t="shared" si="1064"/>
        <v>160.71883009196438</v>
      </c>
      <c r="G6991" s="314" t="s">
        <v>12026</v>
      </c>
      <c r="H6991" s="1648" t="s">
        <v>12027</v>
      </c>
      <c r="I6991" s="434" t="s">
        <v>10295</v>
      </c>
      <c r="J6991" s="435" t="s">
        <v>10594</v>
      </c>
      <c r="K6991" s="434"/>
    </row>
    <row r="6992" spans="1:11" s="33" customFormat="1">
      <c r="A6992" s="435"/>
      <c r="B6992" s="26"/>
      <c r="C6992" s="2366"/>
      <c r="D6992" s="230"/>
      <c r="E6992" s="1650"/>
      <c r="F6992" s="1646"/>
      <c r="G6992" s="314"/>
      <c r="H6992" s="1648"/>
      <c r="I6992" s="434"/>
      <c r="J6992" s="435"/>
      <c r="K6992" s="434"/>
    </row>
    <row r="6993" spans="1:11" s="33" customFormat="1">
      <c r="A6993" s="435"/>
      <c r="B6993" s="26" t="s">
        <v>10877</v>
      </c>
      <c r="C6993" s="2366">
        <v>111.33333333333333</v>
      </c>
      <c r="D6993" s="230">
        <f>C6993*(1-VLOOKUP(I6993,descuentos,6,FALSE))*fcl/IF(dol_sol="dólar", TC,1)</f>
        <v>75.531433740388948</v>
      </c>
      <c r="E6993" s="1650">
        <v>3</v>
      </c>
      <c r="F6993" s="1646">
        <f t="shared" ref="F6993:F6995" si="1065">D6993+E6993</f>
        <v>78.531433740388948</v>
      </c>
      <c r="G6993" s="314" t="s">
        <v>12028</v>
      </c>
      <c r="H6993" s="1648">
        <v>411569</v>
      </c>
      <c r="I6993" s="434" t="s">
        <v>10295</v>
      </c>
      <c r="J6993" s="435" t="s">
        <v>10594</v>
      </c>
      <c r="K6993" s="434"/>
    </row>
    <row r="6994" spans="1:11" s="33" customFormat="1">
      <c r="A6994" s="435"/>
      <c r="B6994" s="26" t="s">
        <v>10878</v>
      </c>
      <c r="C6994" s="2366">
        <v>123.33333333333333</v>
      </c>
      <c r="D6994" s="230">
        <f>C6994*(1-VLOOKUP(I6994,descuentos,6,FALSE))*fcl/IF(dol_sol="dólar", TC,1)</f>
        <v>83.672546359113511</v>
      </c>
      <c r="E6994" s="1650">
        <v>3</v>
      </c>
      <c r="F6994" s="1646">
        <f t="shared" si="1065"/>
        <v>86.672546359113511</v>
      </c>
      <c r="G6994" s="314" t="s">
        <v>12029</v>
      </c>
      <c r="H6994" s="1648">
        <v>411570</v>
      </c>
      <c r="I6994" s="434" t="s">
        <v>10295</v>
      </c>
      <c r="J6994" s="435" t="s">
        <v>10594</v>
      </c>
      <c r="K6994" s="434"/>
    </row>
    <row r="6995" spans="1:11" s="33" customFormat="1">
      <c r="A6995" s="435"/>
      <c r="B6995" s="26" t="s">
        <v>10879</v>
      </c>
      <c r="C6995" s="2366">
        <v>133.33333333333334</v>
      </c>
      <c r="D6995" s="230">
        <f>C6995*(1-VLOOKUP(I6995,descuentos,6,FALSE))*fcl/IF(dol_sol="dólar", TC,1)</f>
        <v>90.456806874717316</v>
      </c>
      <c r="E6995" s="1650">
        <v>3</v>
      </c>
      <c r="F6995" s="1646">
        <f t="shared" si="1065"/>
        <v>93.456806874717316</v>
      </c>
      <c r="G6995" s="314" t="s">
        <v>12030</v>
      </c>
      <c r="H6995" s="1648">
        <v>411571</v>
      </c>
      <c r="I6995" s="434" t="s">
        <v>10295</v>
      </c>
      <c r="J6995" s="435" t="s">
        <v>10594</v>
      </c>
      <c r="K6995" s="434"/>
    </row>
    <row r="6996" spans="1:11" s="33" customFormat="1">
      <c r="A6996" s="435"/>
      <c r="B6996" s="26"/>
      <c r="C6996" s="2366"/>
      <c r="D6996" s="230"/>
      <c r="E6996" s="1650"/>
      <c r="F6996" s="1646"/>
      <c r="G6996" s="195"/>
      <c r="H6996" s="1648"/>
      <c r="I6996" s="434"/>
      <c r="J6996" s="435"/>
      <c r="K6996" s="434"/>
    </row>
    <row r="6997" spans="1:11" s="33" customFormat="1">
      <c r="A6997" s="435"/>
      <c r="B6997" s="26" t="s">
        <v>10880</v>
      </c>
      <c r="C6997" s="2366">
        <v>160</v>
      </c>
      <c r="D6997" s="230">
        <f>C6997*(1-VLOOKUP(I6997,descuentos,6,FALSE))*fcl/IF(dol_sol="dólar", TC,1)</f>
        <v>108.54816824966078</v>
      </c>
      <c r="E6997" s="1650">
        <v>6</v>
      </c>
      <c r="F6997" s="1646">
        <f t="shared" ref="F6997:F7000" si="1066">D6997+E6997</f>
        <v>114.54816824966078</v>
      </c>
      <c r="G6997" s="314" t="s">
        <v>12031</v>
      </c>
      <c r="H6997" s="1648">
        <v>411779</v>
      </c>
      <c r="I6997" s="434" t="s">
        <v>10295</v>
      </c>
      <c r="J6997" s="435" t="s">
        <v>10594</v>
      </c>
      <c r="K6997" s="434"/>
    </row>
    <row r="6998" spans="1:11" s="33" customFormat="1">
      <c r="A6998" s="435"/>
      <c r="B6998" s="26" t="s">
        <v>10881</v>
      </c>
      <c r="C6998" s="2366">
        <v>172.22222222222223</v>
      </c>
      <c r="D6998" s="230">
        <f>C6998*(1-VLOOKUP(I6998,descuentos,6,FALSE))*fcl/IF(dol_sol="dólar", TC,1)</f>
        <v>116.84004221317653</v>
      </c>
      <c r="E6998" s="1650">
        <v>6</v>
      </c>
      <c r="F6998" s="1646">
        <f t="shared" si="1066"/>
        <v>122.84004221317653</v>
      </c>
      <c r="G6998" s="314" t="s">
        <v>12032</v>
      </c>
      <c r="H6998" s="1648">
        <v>411780</v>
      </c>
      <c r="I6998" s="434" t="s">
        <v>10295</v>
      </c>
      <c r="J6998" s="435" t="s">
        <v>10594</v>
      </c>
      <c r="K6998" s="434"/>
    </row>
    <row r="6999" spans="1:11" s="33" customFormat="1">
      <c r="A6999" s="435"/>
      <c r="B6999" s="26" t="s">
        <v>10882</v>
      </c>
      <c r="C6999" s="2366">
        <v>183.33333333333334</v>
      </c>
      <c r="D6999" s="230">
        <f>C6999*(1-VLOOKUP(I6999,descuentos,6,FALSE))*fcl/IF(dol_sol="dólar", TC,1)</f>
        <v>124.3781094527363</v>
      </c>
      <c r="E6999" s="1650">
        <v>6</v>
      </c>
      <c r="F6999" s="1646">
        <f t="shared" si="1066"/>
        <v>130.37810945273628</v>
      </c>
      <c r="G6999" s="314" t="s">
        <v>12033</v>
      </c>
      <c r="H6999" s="1648">
        <v>411781</v>
      </c>
      <c r="I6999" s="434" t="s">
        <v>10295</v>
      </c>
      <c r="J6999" s="435" t="s">
        <v>10594</v>
      </c>
      <c r="K6999" s="434"/>
    </row>
    <row r="7000" spans="1:11" s="33" customFormat="1">
      <c r="A7000" s="435"/>
      <c r="B7000" s="26" t="s">
        <v>10883</v>
      </c>
      <c r="C7000" s="2366">
        <v>207.77777777777777</v>
      </c>
      <c r="D7000" s="230">
        <f>C7000*(1-VLOOKUP(I7000,descuentos,6,FALSE))*fcl/IF(dol_sol="dólar", TC,1)</f>
        <v>140.96185737976782</v>
      </c>
      <c r="E7000" s="1650">
        <v>6</v>
      </c>
      <c r="F7000" s="1646">
        <f t="shared" si="1066"/>
        <v>146.96185737976782</v>
      </c>
      <c r="G7000" s="314" t="s">
        <v>12034</v>
      </c>
      <c r="H7000" s="1648">
        <v>411782</v>
      </c>
      <c r="I7000" s="434" t="s">
        <v>10295</v>
      </c>
      <c r="J7000" s="435" t="s">
        <v>10594</v>
      </c>
      <c r="K7000" s="434"/>
    </row>
    <row r="7001" spans="1:11" s="33" customFormat="1">
      <c r="A7001" s="435"/>
      <c r="B7001" s="26"/>
      <c r="C7001" s="2366"/>
      <c r="D7001" s="230"/>
      <c r="E7001" s="1650"/>
      <c r="F7001" s="1646"/>
      <c r="G7001" s="314"/>
      <c r="H7001" s="1648"/>
      <c r="I7001" s="434"/>
      <c r="J7001" s="435"/>
      <c r="K7001" s="434"/>
    </row>
    <row r="7002" spans="1:11" s="33" customFormat="1">
      <c r="A7002" s="435"/>
      <c r="B7002" s="26" t="s">
        <v>10758</v>
      </c>
      <c r="C7002" s="2366">
        <v>139.82222222222222</v>
      </c>
      <c r="D7002" s="230">
        <f>C7002*(1-VLOOKUP(I7002,descuentos,6,FALSE))*fcl/IF(dol_sol="dólar", TC,1)</f>
        <v>94.859038142620221</v>
      </c>
      <c r="E7002" s="1650">
        <v>3</v>
      </c>
      <c r="F7002" s="1646">
        <f t="shared" si="1061"/>
        <v>97.859038142620221</v>
      </c>
      <c r="G7002" s="314" t="s">
        <v>12035</v>
      </c>
      <c r="H7002" s="1648">
        <v>411590</v>
      </c>
      <c r="I7002" s="434" t="s">
        <v>10295</v>
      </c>
      <c r="J7002" s="435" t="s">
        <v>10594</v>
      </c>
      <c r="K7002" s="434"/>
    </row>
    <row r="7003" spans="1:11" s="33" customFormat="1">
      <c r="A7003" s="435"/>
      <c r="B7003" s="26" t="s">
        <v>10759</v>
      </c>
      <c r="C7003" s="2366">
        <v>146.74444444444444</v>
      </c>
      <c r="D7003" s="230">
        <f>C7003*(1-VLOOKUP(I7003,descuentos,6,FALSE))*fcl/IF(dol_sol="dólar", TC,1)</f>
        <v>99.55525403286596</v>
      </c>
      <c r="E7003" s="1650">
        <v>3</v>
      </c>
      <c r="F7003" s="1646">
        <f t="shared" si="1061"/>
        <v>102.55525403286596</v>
      </c>
      <c r="G7003" s="314" t="s">
        <v>12036</v>
      </c>
      <c r="H7003" s="1648" t="s">
        <v>10760</v>
      </c>
      <c r="I7003" s="434" t="s">
        <v>10295</v>
      </c>
      <c r="J7003" s="435" t="s">
        <v>10594</v>
      </c>
      <c r="K7003" s="434"/>
    </row>
    <row r="7004" spans="1:11" s="33" customFormat="1">
      <c r="A7004" s="435"/>
      <c r="B7004" s="26" t="s">
        <v>10761</v>
      </c>
      <c r="C7004" s="2366">
        <v>179.5</v>
      </c>
      <c r="D7004" s="230">
        <f>C7004*(1-VLOOKUP(I7004,descuentos,6,FALSE))*fcl/IF(dol_sol="dólar", TC,1)</f>
        <v>121.77747625508819</v>
      </c>
      <c r="E7004" s="1650">
        <v>3</v>
      </c>
      <c r="F7004" s="1646">
        <f t="shared" si="1061"/>
        <v>124.77747625508819</v>
      </c>
      <c r="G7004" s="314" t="s">
        <v>12037</v>
      </c>
      <c r="H7004" s="1648" t="s">
        <v>10762</v>
      </c>
      <c r="I7004" s="434" t="s">
        <v>10295</v>
      </c>
      <c r="J7004" s="435" t="s">
        <v>10594</v>
      </c>
      <c r="K7004" s="434"/>
    </row>
    <row r="7005" spans="1:11" s="33" customFormat="1">
      <c r="A7005" s="435"/>
      <c r="B7005" s="26"/>
      <c r="C7005" s="2366"/>
      <c r="D7005" s="230"/>
      <c r="E7005" s="1650"/>
      <c r="F7005" s="1646"/>
      <c r="G7005" s="195"/>
      <c r="H7005" s="1648"/>
      <c r="I7005" s="434"/>
      <c r="J7005" s="435"/>
      <c r="K7005" s="434"/>
    </row>
    <row r="7006" spans="1:11" s="33" customFormat="1">
      <c r="A7006" s="435"/>
      <c r="B7006" s="26" t="s">
        <v>10763</v>
      </c>
      <c r="C7006" s="2366">
        <v>211.61111111111109</v>
      </c>
      <c r="D7006" s="230">
        <f>C7006*(1-VLOOKUP(I7006,descuentos,6,FALSE))*fcl/IF(dol_sol="dólar", TC,1)</f>
        <v>143.5624905774159</v>
      </c>
      <c r="E7006" s="1650">
        <v>6</v>
      </c>
      <c r="F7006" s="1646">
        <f t="shared" si="1061"/>
        <v>149.5624905774159</v>
      </c>
      <c r="G7006" s="314" t="s">
        <v>12038</v>
      </c>
      <c r="H7006" s="1648" t="s">
        <v>10764</v>
      </c>
      <c r="I7006" s="434" t="s">
        <v>10295</v>
      </c>
      <c r="J7006" s="435" t="s">
        <v>10594</v>
      </c>
      <c r="K7006" s="434"/>
    </row>
    <row r="7007" spans="1:11" s="33" customFormat="1">
      <c r="A7007" s="435"/>
      <c r="B7007" s="26" t="s">
        <v>10765</v>
      </c>
      <c r="C7007" s="2366">
        <v>211.61111111111109</v>
      </c>
      <c r="D7007" s="230">
        <f>C7007*(1-VLOOKUP(I7007,descuentos,6,FALSE))*fcl/IF(dol_sol="dólar", TC,1)</f>
        <v>143.5624905774159</v>
      </c>
      <c r="E7007" s="1650">
        <v>6</v>
      </c>
      <c r="F7007" s="1646">
        <f t="shared" si="1061"/>
        <v>149.5624905774159</v>
      </c>
      <c r="G7007" s="314" t="s">
        <v>12039</v>
      </c>
      <c r="H7007" s="1648" t="s">
        <v>10766</v>
      </c>
      <c r="I7007" s="434" t="s">
        <v>10295</v>
      </c>
      <c r="J7007" s="435" t="s">
        <v>10594</v>
      </c>
      <c r="K7007" s="434"/>
    </row>
    <row r="7008" spans="1:11" s="33" customFormat="1">
      <c r="A7008" s="435"/>
      <c r="B7008" s="26" t="s">
        <v>10767</v>
      </c>
      <c r="C7008" s="2366">
        <v>287.2</v>
      </c>
      <c r="D7008" s="230">
        <f>C7008*(1-VLOOKUP(I7008,descuentos,6,FALSE))*fcl/IF(dol_sol="dólar", TC,1)</f>
        <v>194.84396200814109</v>
      </c>
      <c r="E7008" s="1650">
        <v>6</v>
      </c>
      <c r="F7008" s="1646">
        <f t="shared" si="1061"/>
        <v>200.84396200814109</v>
      </c>
      <c r="G7008" s="314" t="s">
        <v>12040</v>
      </c>
      <c r="H7008" s="1648" t="s">
        <v>10768</v>
      </c>
      <c r="I7008" s="434" t="s">
        <v>10295</v>
      </c>
      <c r="J7008" s="435" t="s">
        <v>10594</v>
      </c>
      <c r="K7008" s="434"/>
    </row>
    <row r="7009" spans="1:11" s="33" customFormat="1">
      <c r="A7009" s="435"/>
      <c r="B7009" s="26"/>
      <c r="C7009" s="2366"/>
      <c r="D7009" s="230"/>
      <c r="E7009" s="1650"/>
      <c r="F7009" s="1646"/>
      <c r="G7009" s="195"/>
      <c r="H7009" s="1648"/>
      <c r="I7009" s="434"/>
      <c r="J7009" s="435"/>
      <c r="K7009" s="434"/>
    </row>
    <row r="7010" spans="1:11" s="33" customFormat="1">
      <c r="A7010" s="435"/>
      <c r="B7010" s="26"/>
      <c r="C7010" s="2366"/>
      <c r="D7010" s="230"/>
      <c r="E7010" s="1650"/>
      <c r="F7010" s="1646"/>
      <c r="G7010" s="195"/>
      <c r="H7010" s="1648"/>
      <c r="I7010" s="434"/>
      <c r="J7010" s="435"/>
      <c r="K7010" s="434"/>
    </row>
    <row r="7011" spans="1:11" s="33" customFormat="1">
      <c r="A7011" s="435"/>
      <c r="B7011" s="26"/>
      <c r="C7011" s="2366"/>
      <c r="D7011" s="230"/>
      <c r="E7011" s="1650"/>
      <c r="F7011" s="1646"/>
      <c r="G7011" s="195"/>
      <c r="H7011" s="1648"/>
      <c r="I7011" s="434"/>
      <c r="J7011" s="435"/>
      <c r="K7011" s="434"/>
    </row>
    <row r="7012" spans="1:11" s="33" customFormat="1">
      <c r="A7012" s="443"/>
      <c r="B7012" s="26" t="s">
        <v>13453</v>
      </c>
      <c r="C7012" s="2366">
        <v>2357.7777777777778</v>
      </c>
      <c r="D7012" s="230">
        <f>C7012*(1-VLOOKUP(I7012,descuentos,6,FALSE))*fcl/IF(dol_sol="dólar", TC,1)</f>
        <v>1599.5778682345845</v>
      </c>
      <c r="E7012" s="1650">
        <v>6</v>
      </c>
      <c r="F7012" s="1646">
        <f t="shared" ref="F7012:F7016" si="1067">D7012+E7012</f>
        <v>1605.5778682345845</v>
      </c>
      <c r="G7012" s="314" t="s">
        <v>13454</v>
      </c>
      <c r="H7012" s="1648" t="s">
        <v>13455</v>
      </c>
      <c r="I7012" s="434" t="s">
        <v>10295</v>
      </c>
      <c r="J7012" s="435" t="s">
        <v>10594</v>
      </c>
      <c r="K7012" s="434"/>
    </row>
    <row r="7013" spans="1:11" s="33" customFormat="1">
      <c r="A7013" s="443"/>
      <c r="B7013" s="26" t="s">
        <v>13456</v>
      </c>
      <c r="C7013" s="2366">
        <v>3421.1111111111109</v>
      </c>
      <c r="D7013" s="230">
        <f>C7013*(1-VLOOKUP(I7013,descuentos,6,FALSE))*fcl/IF(dol_sol="dólar", TC,1)</f>
        <v>2320.9709030604549</v>
      </c>
      <c r="E7013" s="1650">
        <v>6</v>
      </c>
      <c r="F7013" s="1646">
        <f t="shared" si="1067"/>
        <v>2326.9709030604549</v>
      </c>
      <c r="G7013" s="314" t="s">
        <v>13457</v>
      </c>
      <c r="H7013" s="1648" t="s">
        <v>13458</v>
      </c>
      <c r="I7013" s="434" t="s">
        <v>10295</v>
      </c>
      <c r="J7013" s="435" t="s">
        <v>10594</v>
      </c>
      <c r="K7013" s="434"/>
    </row>
    <row r="7014" spans="1:11" s="33" customFormat="1">
      <c r="A7014" s="443"/>
      <c r="B7014" s="26"/>
      <c r="C7014" s="2366"/>
      <c r="D7014" s="230"/>
      <c r="E7014" s="1650"/>
      <c r="F7014" s="1646"/>
      <c r="G7014" s="314"/>
      <c r="H7014" s="1648"/>
      <c r="I7014" s="434"/>
      <c r="J7014" s="435"/>
      <c r="K7014" s="434"/>
    </row>
    <row r="7015" spans="1:11" s="33" customFormat="1">
      <c r="A7015" s="443"/>
      <c r="B7015" s="26" t="s">
        <v>13459</v>
      </c>
      <c r="C7015" s="2366">
        <v>2177.7777777777778</v>
      </c>
      <c r="D7015" s="230">
        <f>C7015*(1-VLOOKUP(I7015,descuentos,6,FALSE))*fcl/IF(dol_sol="dólar", TC,1)</f>
        <v>1477.4611789537159</v>
      </c>
      <c r="E7015" s="1650">
        <v>6</v>
      </c>
      <c r="F7015" s="1646">
        <f t="shared" si="1067"/>
        <v>1483.4611789537159</v>
      </c>
      <c r="G7015" s="314" t="s">
        <v>13460</v>
      </c>
      <c r="H7015" s="1648" t="s">
        <v>13461</v>
      </c>
      <c r="I7015" s="434" t="s">
        <v>10295</v>
      </c>
      <c r="J7015" s="435" t="s">
        <v>10594</v>
      </c>
      <c r="K7015" s="434"/>
    </row>
    <row r="7016" spans="1:11" s="33" customFormat="1">
      <c r="A7016" s="443"/>
      <c r="B7016" s="26" t="s">
        <v>13462</v>
      </c>
      <c r="C7016" s="2366">
        <v>2444.4444444444443</v>
      </c>
      <c r="D7016" s="230">
        <f>C7016*(1-VLOOKUP(I7016,descuentos,6,FALSE))*fcl/IF(dol_sol="dólar", TC,1)</f>
        <v>1658.3747927031507</v>
      </c>
      <c r="E7016" s="1650">
        <v>6</v>
      </c>
      <c r="F7016" s="1646">
        <f t="shared" si="1067"/>
        <v>1664.3747927031507</v>
      </c>
      <c r="G7016" s="314" t="s">
        <v>13463</v>
      </c>
      <c r="H7016" s="1648" t="s">
        <v>13464</v>
      </c>
      <c r="I7016" s="434" t="s">
        <v>10295</v>
      </c>
      <c r="J7016" s="435" t="s">
        <v>10594</v>
      </c>
      <c r="K7016" s="434"/>
    </row>
    <row r="7017" spans="1:11" s="33" customFormat="1">
      <c r="A7017" s="443"/>
      <c r="B7017" s="26"/>
      <c r="C7017" s="2366"/>
      <c r="D7017" s="230"/>
      <c r="E7017" s="1650"/>
      <c r="F7017" s="1646"/>
      <c r="G7017" s="195"/>
      <c r="H7017" s="1648"/>
      <c r="I7017" s="434"/>
      <c r="J7017" s="435"/>
      <c r="K7017" s="434"/>
    </row>
    <row r="7018" spans="1:11" s="33" customFormat="1">
      <c r="A7018" s="443"/>
      <c r="B7018" s="26" t="s">
        <v>13465</v>
      </c>
      <c r="C7018" s="2366">
        <v>2735.5555555555557</v>
      </c>
      <c r="D7018" s="230">
        <f>C7018*(1-VLOOKUP(I7018,descuentos,6,FALSE))*fcl/IF(dol_sol="dólar", TC,1)</f>
        <v>1855.8721543796169</v>
      </c>
      <c r="E7018" s="1650">
        <v>6</v>
      </c>
      <c r="F7018" s="1646">
        <f t="shared" ref="F7018:F7022" si="1068">D7018+E7018</f>
        <v>1861.8721543796169</v>
      </c>
      <c r="G7018" s="314" t="s">
        <v>13466</v>
      </c>
      <c r="H7018" s="1648" t="s">
        <v>13467</v>
      </c>
      <c r="I7018" s="434" t="s">
        <v>10295</v>
      </c>
      <c r="J7018" s="435" t="s">
        <v>10594</v>
      </c>
      <c r="K7018" s="434"/>
    </row>
    <row r="7019" spans="1:11" s="33" customFormat="1">
      <c r="A7019" s="443"/>
      <c r="B7019" s="26" t="s">
        <v>13468</v>
      </c>
      <c r="C7019" s="2366">
        <v>3645.5555555555557</v>
      </c>
      <c r="D7019" s="230">
        <f>C7019*(1-VLOOKUP(I7019,descuentos,6,FALSE))*fcl/IF(dol_sol="dólar", TC,1)</f>
        <v>2473.2398612995626</v>
      </c>
      <c r="E7019" s="1650">
        <v>6</v>
      </c>
      <c r="F7019" s="1646">
        <f t="shared" si="1068"/>
        <v>2479.2398612995626</v>
      </c>
      <c r="G7019" s="314" t="s">
        <v>13469</v>
      </c>
      <c r="H7019" s="1648" t="s">
        <v>13470</v>
      </c>
      <c r="I7019" s="434" t="s">
        <v>10295</v>
      </c>
      <c r="J7019" s="435" t="s">
        <v>10594</v>
      </c>
      <c r="K7019" s="434"/>
    </row>
    <row r="7020" spans="1:11" s="33" customFormat="1">
      <c r="A7020" s="443"/>
      <c r="B7020" s="26"/>
      <c r="C7020" s="2366"/>
      <c r="D7020" s="230"/>
      <c r="E7020" s="1650"/>
      <c r="F7020" s="1646"/>
      <c r="G7020" s="314"/>
      <c r="H7020" s="1648"/>
      <c r="I7020" s="434"/>
      <c r="J7020" s="435"/>
      <c r="K7020" s="434"/>
    </row>
    <row r="7021" spans="1:11" s="33" customFormat="1">
      <c r="A7021" s="443"/>
      <c r="B7021" s="26" t="s">
        <v>13471</v>
      </c>
      <c r="C7021" s="2366">
        <v>2604.1888888888889</v>
      </c>
      <c r="D7021" s="230">
        <f>C7021*(1-VLOOKUP(I7021,descuentos,6,FALSE))*fcl/IF(dol_sol="dólar", TC,1)</f>
        <v>1766.7495854063015</v>
      </c>
      <c r="E7021" s="1650">
        <v>6</v>
      </c>
      <c r="F7021" s="1646">
        <f t="shared" si="1068"/>
        <v>1772.7495854063015</v>
      </c>
      <c r="G7021" s="314" t="s">
        <v>13472</v>
      </c>
      <c r="H7021" s="1648" t="s">
        <v>13473</v>
      </c>
      <c r="I7021" s="434" t="s">
        <v>10295</v>
      </c>
      <c r="J7021" s="435" t="s">
        <v>10594</v>
      </c>
      <c r="K7021" s="434"/>
    </row>
    <row r="7022" spans="1:11" s="33" customFormat="1">
      <c r="A7022" s="443"/>
      <c r="B7022" s="26" t="s">
        <v>13474</v>
      </c>
      <c r="C7022" s="2366">
        <v>3303.2999999999997</v>
      </c>
      <c r="D7022" s="230">
        <f>C7022*(1-VLOOKUP(I7022,descuentos,6,FALSE))*fcl/IF(dol_sol="dólar", TC,1)</f>
        <v>2241.0447761194023</v>
      </c>
      <c r="E7022" s="1650">
        <v>6</v>
      </c>
      <c r="F7022" s="1646">
        <f t="shared" si="1068"/>
        <v>2247.0447761194023</v>
      </c>
      <c r="G7022" s="314" t="s">
        <v>13475</v>
      </c>
      <c r="H7022" s="1648" t="s">
        <v>13476</v>
      </c>
      <c r="I7022" s="434" t="s">
        <v>10295</v>
      </c>
      <c r="J7022" s="435" t="s">
        <v>10594</v>
      </c>
      <c r="K7022" s="434"/>
    </row>
    <row r="7023" spans="1:11" s="33" customFormat="1">
      <c r="A7023" s="443"/>
      <c r="B7023" s="26"/>
      <c r="C7023" s="2366"/>
      <c r="D7023" s="230"/>
      <c r="E7023" s="1650"/>
      <c r="F7023" s="1646"/>
      <c r="G7023" s="195"/>
      <c r="H7023" s="1648"/>
      <c r="I7023" s="434"/>
      <c r="J7023" s="435"/>
      <c r="K7023" s="434"/>
    </row>
    <row r="7024" spans="1:11" s="33" customFormat="1">
      <c r="A7024" s="435"/>
      <c r="B7024" s="26"/>
      <c r="C7024" s="2366"/>
      <c r="D7024" s="230"/>
      <c r="E7024" s="1650"/>
      <c r="F7024" s="1646"/>
      <c r="G7024" s="195"/>
      <c r="H7024" s="1648"/>
      <c r="I7024" s="434"/>
      <c r="J7024" s="435"/>
      <c r="K7024" s="434"/>
    </row>
    <row r="7025" spans="1:12" s="33" customFormat="1">
      <c r="A7025" s="435"/>
      <c r="B7025" s="26"/>
      <c r="C7025" s="2366"/>
      <c r="D7025" s="230"/>
      <c r="E7025" s="1650"/>
      <c r="F7025" s="1646"/>
      <c r="G7025" s="195"/>
      <c r="H7025" s="1648"/>
      <c r="I7025" s="434"/>
      <c r="J7025" s="435"/>
      <c r="K7025" s="434"/>
    </row>
    <row r="7026" spans="1:12">
      <c r="C7026" s="2417"/>
      <c r="H7026" s="135"/>
    </row>
    <row r="7027" spans="1:12">
      <c r="H7027" s="135"/>
    </row>
    <row r="7028" spans="1:12">
      <c r="B7028" s="2536" t="s">
        <v>10769</v>
      </c>
      <c r="C7028" s="2536"/>
      <c r="D7028" s="2536"/>
      <c r="H7028" s="135"/>
    </row>
    <row r="7029" spans="1:12">
      <c r="B7029" s="2536"/>
      <c r="C7029" s="2536"/>
      <c r="D7029" s="2536"/>
      <c r="H7029" s="135"/>
    </row>
    <row r="7030" spans="1:12">
      <c r="B7030" s="2536"/>
      <c r="C7030" s="2536"/>
      <c r="D7030" s="2536"/>
      <c r="H7030" s="135"/>
    </row>
    <row r="7031" spans="1:12">
      <c r="H7031" s="135"/>
    </row>
    <row r="7032" spans="1:12">
      <c r="B7032" s="26" t="s">
        <v>10770</v>
      </c>
      <c r="C7032" s="2366">
        <v>25.022222222222222</v>
      </c>
      <c r="D7032" s="230">
        <f t="shared" ref="D7032:D7040" si="1069">C7032*(1-VLOOKUP(I7032,descuentos,6,FALSE))*fcl/IF(dol_sol="dólar", TC,1)</f>
        <v>16.975727423488618</v>
      </c>
      <c r="E7032" s="1650">
        <v>0</v>
      </c>
      <c r="F7032" s="1646">
        <f t="shared" ref="F7032:F7040" si="1070">D7032+E7032</f>
        <v>16.975727423488618</v>
      </c>
      <c r="G7032" s="314" t="s">
        <v>12041</v>
      </c>
      <c r="H7032" s="1648">
        <v>419870</v>
      </c>
      <c r="I7032" s="434" t="s">
        <v>10295</v>
      </c>
      <c r="J7032" s="435" t="s">
        <v>10594</v>
      </c>
      <c r="K7032" s="434"/>
      <c r="L7032" s="33"/>
    </row>
    <row r="7033" spans="1:12">
      <c r="B7033" s="26" t="s">
        <v>10771</v>
      </c>
      <c r="C7033" s="2366">
        <v>19.388888888888889</v>
      </c>
      <c r="D7033" s="230">
        <f t="shared" si="1069"/>
        <v>13.15392733303181</v>
      </c>
      <c r="E7033" s="1650">
        <v>0</v>
      </c>
      <c r="F7033" s="1646">
        <f t="shared" si="1070"/>
        <v>13.15392733303181</v>
      </c>
      <c r="G7033" s="314" t="s">
        <v>12042</v>
      </c>
      <c r="H7033" s="1648" t="s">
        <v>10772</v>
      </c>
      <c r="I7033" s="434" t="s">
        <v>10295</v>
      </c>
      <c r="J7033" s="435" t="s">
        <v>10594</v>
      </c>
      <c r="K7033" s="434"/>
      <c r="L7033" s="33"/>
    </row>
    <row r="7034" spans="1:12">
      <c r="B7034" s="26" t="s">
        <v>10773</v>
      </c>
      <c r="C7034" s="2366">
        <v>18.7</v>
      </c>
      <c r="D7034" s="230">
        <f t="shared" si="1069"/>
        <v>12.686567164179102</v>
      </c>
      <c r="E7034" s="1650">
        <v>0</v>
      </c>
      <c r="F7034" s="1646">
        <f t="shared" si="1070"/>
        <v>12.686567164179102</v>
      </c>
      <c r="G7034" s="314" t="s">
        <v>12043</v>
      </c>
      <c r="H7034" s="1648" t="s">
        <v>10774</v>
      </c>
      <c r="I7034" s="434" t="s">
        <v>10295</v>
      </c>
      <c r="J7034" s="435" t="s">
        <v>10594</v>
      </c>
      <c r="K7034" s="434"/>
      <c r="L7034" s="33"/>
    </row>
    <row r="7035" spans="1:12">
      <c r="B7035" s="26" t="s">
        <v>10775</v>
      </c>
      <c r="C7035" s="2366">
        <v>18.7</v>
      </c>
      <c r="D7035" s="230">
        <f t="shared" si="1069"/>
        <v>12.686567164179102</v>
      </c>
      <c r="E7035" s="1650">
        <v>0</v>
      </c>
      <c r="F7035" s="1646">
        <f t="shared" si="1070"/>
        <v>12.686567164179102</v>
      </c>
      <c r="G7035" s="314" t="s">
        <v>12044</v>
      </c>
      <c r="H7035" s="1648" t="s">
        <v>10776</v>
      </c>
      <c r="I7035" s="434" t="s">
        <v>10295</v>
      </c>
      <c r="J7035" s="435" t="s">
        <v>10594</v>
      </c>
      <c r="K7035" s="434"/>
      <c r="L7035" s="33"/>
    </row>
    <row r="7036" spans="1:12">
      <c r="B7036" s="26" t="s">
        <v>10777</v>
      </c>
      <c r="C7036" s="2366">
        <v>18.7</v>
      </c>
      <c r="D7036" s="230">
        <f t="shared" si="1069"/>
        <v>12.686567164179102</v>
      </c>
      <c r="E7036" s="1650">
        <v>0</v>
      </c>
      <c r="F7036" s="1646">
        <f t="shared" si="1070"/>
        <v>12.686567164179102</v>
      </c>
      <c r="G7036" s="314" t="s">
        <v>12045</v>
      </c>
      <c r="H7036" s="1648" t="s">
        <v>10778</v>
      </c>
      <c r="I7036" s="434" t="s">
        <v>10295</v>
      </c>
      <c r="J7036" s="435" t="s">
        <v>10594</v>
      </c>
      <c r="K7036" s="434"/>
      <c r="L7036" s="33"/>
    </row>
    <row r="7037" spans="1:12">
      <c r="B7037" s="26" t="s">
        <v>10779</v>
      </c>
      <c r="C7037" s="2366">
        <v>18.7</v>
      </c>
      <c r="D7037" s="230">
        <f t="shared" si="1069"/>
        <v>12.686567164179102</v>
      </c>
      <c r="E7037" s="1650">
        <v>0</v>
      </c>
      <c r="F7037" s="1646">
        <f t="shared" si="1070"/>
        <v>12.686567164179102</v>
      </c>
      <c r="G7037" s="314" t="s">
        <v>12046</v>
      </c>
      <c r="H7037" s="1648" t="s">
        <v>10780</v>
      </c>
      <c r="I7037" s="434" t="s">
        <v>10295</v>
      </c>
      <c r="J7037" s="435" t="s">
        <v>10594</v>
      </c>
      <c r="K7037" s="434"/>
      <c r="L7037" s="33"/>
    </row>
    <row r="7038" spans="1:12">
      <c r="B7038" s="26" t="s">
        <v>10781</v>
      </c>
      <c r="C7038" s="2366">
        <v>24.555555555555557</v>
      </c>
      <c r="D7038" s="230">
        <f t="shared" si="1069"/>
        <v>16.659128599427106</v>
      </c>
      <c r="E7038" s="1650">
        <v>0</v>
      </c>
      <c r="F7038" s="1646">
        <f t="shared" si="1070"/>
        <v>16.659128599427106</v>
      </c>
      <c r="G7038" s="314" t="s">
        <v>12047</v>
      </c>
      <c r="H7038" s="1648" t="s">
        <v>10782</v>
      </c>
      <c r="I7038" s="434" t="s">
        <v>10295</v>
      </c>
      <c r="J7038" s="435" t="s">
        <v>10594</v>
      </c>
      <c r="K7038" s="434"/>
      <c r="L7038" s="33"/>
    </row>
    <row r="7039" spans="1:12">
      <c r="B7039" s="26" t="s">
        <v>10783</v>
      </c>
      <c r="C7039" s="2366">
        <v>25.566666666666666</v>
      </c>
      <c r="D7039" s="230">
        <f t="shared" si="1069"/>
        <v>17.345092718227043</v>
      </c>
      <c r="E7039" s="1650">
        <v>0</v>
      </c>
      <c r="F7039" s="1646">
        <f t="shared" si="1070"/>
        <v>17.345092718227043</v>
      </c>
      <c r="G7039" s="314" t="s">
        <v>12048</v>
      </c>
      <c r="H7039" s="1648" t="s">
        <v>10784</v>
      </c>
      <c r="I7039" s="434" t="s">
        <v>10295</v>
      </c>
      <c r="J7039" s="435" t="s">
        <v>10594</v>
      </c>
      <c r="K7039" s="434"/>
      <c r="L7039" s="33"/>
    </row>
    <row r="7040" spans="1:12">
      <c r="B7040" s="26" t="s">
        <v>10785</v>
      </c>
      <c r="C7040" s="2366">
        <v>25.566666666666666</v>
      </c>
      <c r="D7040" s="230">
        <f t="shared" si="1069"/>
        <v>17.345092718227043</v>
      </c>
      <c r="E7040" s="1650">
        <v>0</v>
      </c>
      <c r="F7040" s="1646">
        <f t="shared" si="1070"/>
        <v>17.345092718227043</v>
      </c>
      <c r="G7040" s="314" t="s">
        <v>12049</v>
      </c>
      <c r="H7040" s="1648" t="s">
        <v>10786</v>
      </c>
      <c r="I7040" s="434" t="s">
        <v>10295</v>
      </c>
      <c r="J7040" s="435" t="s">
        <v>10594</v>
      </c>
      <c r="K7040" s="434"/>
      <c r="L7040" s="33"/>
    </row>
    <row r="7041" spans="1:12">
      <c r="B7041" s="26"/>
      <c r="C7041" s="2366"/>
      <c r="D7041" s="230"/>
      <c r="E7041" s="1650"/>
      <c r="F7041" s="1646"/>
      <c r="G7041" s="195"/>
      <c r="H7041" s="1648"/>
      <c r="I7041" s="434"/>
      <c r="J7041" s="435"/>
      <c r="K7041" s="434"/>
      <c r="L7041" s="33"/>
    </row>
    <row r="7042" spans="1:12">
      <c r="B7042" s="26" t="s">
        <v>10787</v>
      </c>
      <c r="C7042" s="2366">
        <v>53.522222222222226</v>
      </c>
      <c r="D7042" s="230">
        <f t="shared" ref="D7042:D7050" si="1071">C7042*(1-VLOOKUP(I7042,descuentos,6,FALSE))*fcl/IF(dol_sol="dólar", TC,1)</f>
        <v>36.310869892959438</v>
      </c>
      <c r="E7042" s="1650">
        <v>0</v>
      </c>
      <c r="F7042" s="1646">
        <f t="shared" ref="F7042:F7050" si="1072">D7042+E7042</f>
        <v>36.310869892959438</v>
      </c>
      <c r="G7042" s="314" t="s">
        <v>12050</v>
      </c>
      <c r="H7042" s="1648" t="s">
        <v>10788</v>
      </c>
      <c r="I7042" s="434" t="s">
        <v>10295</v>
      </c>
      <c r="J7042" s="435" t="s">
        <v>10594</v>
      </c>
      <c r="K7042" s="434"/>
      <c r="L7042" s="33"/>
    </row>
    <row r="7043" spans="1:12">
      <c r="B7043" s="26" t="s">
        <v>10789</v>
      </c>
      <c r="C7043" s="2366">
        <v>46.922222222222217</v>
      </c>
      <c r="D7043" s="230">
        <f t="shared" si="1071"/>
        <v>31.833257952660929</v>
      </c>
      <c r="E7043" s="1650">
        <v>0</v>
      </c>
      <c r="F7043" s="1646">
        <f t="shared" si="1072"/>
        <v>31.833257952660929</v>
      </c>
      <c r="G7043" s="314" t="s">
        <v>12051</v>
      </c>
      <c r="H7043" s="1648" t="s">
        <v>10790</v>
      </c>
      <c r="I7043" s="434" t="s">
        <v>10295</v>
      </c>
      <c r="J7043" s="435" t="s">
        <v>10594</v>
      </c>
      <c r="K7043" s="434"/>
      <c r="L7043" s="33"/>
    </row>
    <row r="7044" spans="1:12">
      <c r="B7044" s="26" t="s">
        <v>10791</v>
      </c>
      <c r="C7044" s="2366">
        <v>46.922222222222217</v>
      </c>
      <c r="D7044" s="230">
        <f t="shared" si="1071"/>
        <v>31.833257952660929</v>
      </c>
      <c r="E7044" s="1650">
        <v>0</v>
      </c>
      <c r="F7044" s="1646">
        <f t="shared" si="1072"/>
        <v>31.833257952660929</v>
      </c>
      <c r="G7044" s="314" t="s">
        <v>12052</v>
      </c>
      <c r="H7044" s="1648" t="s">
        <v>10792</v>
      </c>
      <c r="I7044" s="434" t="s">
        <v>10295</v>
      </c>
      <c r="J7044" s="435" t="s">
        <v>10594</v>
      </c>
      <c r="K7044" s="434"/>
      <c r="L7044" s="33"/>
    </row>
    <row r="7045" spans="1:12">
      <c r="B7045" s="26" t="s">
        <v>10793</v>
      </c>
      <c r="C7045" s="2366">
        <v>46.922222222222217</v>
      </c>
      <c r="D7045" s="230">
        <f t="shared" si="1071"/>
        <v>31.833257952660929</v>
      </c>
      <c r="E7045" s="1650">
        <v>0</v>
      </c>
      <c r="F7045" s="1646">
        <f t="shared" si="1072"/>
        <v>31.833257952660929</v>
      </c>
      <c r="G7045" s="314" t="s">
        <v>12053</v>
      </c>
      <c r="H7045" s="1648" t="s">
        <v>10794</v>
      </c>
      <c r="I7045" s="434" t="s">
        <v>10295</v>
      </c>
      <c r="J7045" s="435" t="s">
        <v>10594</v>
      </c>
      <c r="K7045" s="434"/>
      <c r="L7045" s="33"/>
    </row>
    <row r="7046" spans="1:12">
      <c r="B7046" s="26" t="s">
        <v>10795</v>
      </c>
      <c r="C7046" s="2366">
        <v>46.922222222222217</v>
      </c>
      <c r="D7046" s="230">
        <f t="shared" si="1071"/>
        <v>31.833257952660929</v>
      </c>
      <c r="E7046" s="1650">
        <v>0</v>
      </c>
      <c r="F7046" s="1646">
        <f t="shared" si="1072"/>
        <v>31.833257952660929</v>
      </c>
      <c r="G7046" s="314" t="s">
        <v>12054</v>
      </c>
      <c r="H7046" s="1648" t="s">
        <v>10796</v>
      </c>
      <c r="I7046" s="434" t="s">
        <v>10295</v>
      </c>
      <c r="J7046" s="435" t="s">
        <v>10594</v>
      </c>
      <c r="K7046" s="434"/>
      <c r="L7046" s="33"/>
    </row>
    <row r="7047" spans="1:12">
      <c r="B7047" s="26" t="s">
        <v>10797</v>
      </c>
      <c r="C7047" s="2366">
        <v>46.922222222222217</v>
      </c>
      <c r="D7047" s="230">
        <f t="shared" si="1071"/>
        <v>31.833257952660929</v>
      </c>
      <c r="E7047" s="1650">
        <v>0</v>
      </c>
      <c r="F7047" s="1646">
        <f t="shared" si="1072"/>
        <v>31.833257952660929</v>
      </c>
      <c r="G7047" s="314" t="s">
        <v>12055</v>
      </c>
      <c r="H7047" s="1648" t="s">
        <v>10798</v>
      </c>
      <c r="I7047" s="434" t="s">
        <v>10295</v>
      </c>
      <c r="J7047" s="435" t="s">
        <v>10594</v>
      </c>
      <c r="K7047" s="434"/>
      <c r="L7047" s="33"/>
    </row>
    <row r="7048" spans="1:12">
      <c r="B7048" s="26" t="s">
        <v>10799</v>
      </c>
      <c r="C7048" s="2366">
        <v>53.522222222222226</v>
      </c>
      <c r="D7048" s="230">
        <f t="shared" si="1071"/>
        <v>36.310869892959438</v>
      </c>
      <c r="E7048" s="1650">
        <v>0</v>
      </c>
      <c r="F7048" s="1646">
        <f t="shared" si="1072"/>
        <v>36.310869892959438</v>
      </c>
      <c r="G7048" s="314" t="s">
        <v>12056</v>
      </c>
      <c r="H7048" s="1648" t="s">
        <v>10800</v>
      </c>
      <c r="I7048" s="434" t="s">
        <v>10295</v>
      </c>
      <c r="J7048" s="435" t="s">
        <v>10594</v>
      </c>
      <c r="K7048" s="434"/>
      <c r="L7048" s="33"/>
    </row>
    <row r="7049" spans="1:12">
      <c r="B7049" s="26" t="s">
        <v>10801</v>
      </c>
      <c r="C7049" s="2366">
        <v>53.522222222222226</v>
      </c>
      <c r="D7049" s="230">
        <f t="shared" si="1071"/>
        <v>36.310869892959438</v>
      </c>
      <c r="E7049" s="1650">
        <v>0</v>
      </c>
      <c r="F7049" s="1646">
        <f t="shared" si="1072"/>
        <v>36.310869892959438</v>
      </c>
      <c r="G7049" s="314" t="s">
        <v>12057</v>
      </c>
      <c r="H7049" s="1648" t="s">
        <v>10802</v>
      </c>
      <c r="I7049" s="434" t="s">
        <v>10295</v>
      </c>
      <c r="J7049" s="435" t="s">
        <v>10594</v>
      </c>
      <c r="K7049" s="434"/>
      <c r="L7049" s="33"/>
    </row>
    <row r="7050" spans="1:12">
      <c r="B7050" s="26" t="s">
        <v>10803</v>
      </c>
      <c r="C7050" s="2366">
        <v>53.522222222222226</v>
      </c>
      <c r="D7050" s="230">
        <f t="shared" si="1071"/>
        <v>36.310869892959438</v>
      </c>
      <c r="E7050" s="1650">
        <v>0</v>
      </c>
      <c r="F7050" s="1646">
        <f t="shared" si="1072"/>
        <v>36.310869892959438</v>
      </c>
      <c r="G7050" s="314" t="s">
        <v>12058</v>
      </c>
      <c r="H7050" s="1648" t="s">
        <v>10804</v>
      </c>
      <c r="I7050" s="434" t="s">
        <v>10295</v>
      </c>
      <c r="J7050" s="435" t="s">
        <v>10594</v>
      </c>
      <c r="K7050" s="434"/>
      <c r="L7050" s="33"/>
    </row>
    <row r="7051" spans="1:12">
      <c r="D7051" s="230"/>
      <c r="H7051" s="135"/>
    </row>
    <row r="7052" spans="1:12">
      <c r="B7052" s="143"/>
      <c r="C7052" s="1653"/>
      <c r="D7052" s="230"/>
      <c r="E7052" s="1650"/>
      <c r="F7052" s="1646"/>
      <c r="G7052" s="186"/>
      <c r="H7052" s="1654"/>
      <c r="I7052" s="28"/>
      <c r="J7052" s="366"/>
      <c r="K7052" s="33"/>
    </row>
    <row r="7053" spans="1:12" s="33" customFormat="1">
      <c r="A7053" s="435"/>
      <c r="B7053" s="26" t="s">
        <v>10805</v>
      </c>
      <c r="C7053" s="2366">
        <v>65.900000000000006</v>
      </c>
      <c r="D7053" s="230">
        <f>C7053*(1-VLOOKUP(I7053,descuentos,6,FALSE))*fcl/IF(dol_sol="dólar", TC,1)</f>
        <v>44.708276797829036</v>
      </c>
      <c r="E7053" s="1650">
        <v>0</v>
      </c>
      <c r="F7053" s="1646">
        <f t="shared" ref="F7053:F7055" si="1073">D7053+E7053</f>
        <v>44.708276797829036</v>
      </c>
      <c r="G7053" s="314" t="s">
        <v>12059</v>
      </c>
      <c r="H7053" s="1648" t="s">
        <v>10806</v>
      </c>
      <c r="I7053" s="434" t="s">
        <v>10295</v>
      </c>
      <c r="J7053" s="435" t="s">
        <v>10594</v>
      </c>
      <c r="K7053" s="434"/>
    </row>
    <row r="7054" spans="1:12" s="33" customFormat="1">
      <c r="A7054" s="435"/>
      <c r="B7054" s="26" t="s">
        <v>10807</v>
      </c>
      <c r="C7054" s="2366">
        <v>72.766666666666666</v>
      </c>
      <c r="D7054" s="230">
        <f>C7054*(1-VLOOKUP(I7054,descuentos,6,FALSE))*fcl/IF(dol_sol="dólar", TC,1)</f>
        <v>49.36680235187697</v>
      </c>
      <c r="E7054" s="1650">
        <v>0</v>
      </c>
      <c r="F7054" s="1646">
        <f t="shared" si="1073"/>
        <v>49.36680235187697</v>
      </c>
      <c r="G7054" s="314" t="s">
        <v>12060</v>
      </c>
      <c r="H7054" s="1648" t="s">
        <v>10808</v>
      </c>
      <c r="I7054" s="434" t="s">
        <v>10295</v>
      </c>
      <c r="J7054" s="435" t="s">
        <v>10594</v>
      </c>
      <c r="K7054" s="434"/>
    </row>
    <row r="7055" spans="1:12" s="33" customFormat="1">
      <c r="A7055" s="435"/>
      <c r="B7055" s="26" t="s">
        <v>10809</v>
      </c>
      <c r="C7055" s="2366">
        <v>95.888888888888886</v>
      </c>
      <c r="D7055" s="230">
        <f>C7055*(1-VLOOKUP(I7055,descuentos,6,FALSE))*fcl/IF(dol_sol="dólar", TC,1)</f>
        <v>65.053520277400864</v>
      </c>
      <c r="E7055" s="1650">
        <v>0</v>
      </c>
      <c r="F7055" s="1646">
        <f t="shared" si="1073"/>
        <v>65.053520277400864</v>
      </c>
      <c r="G7055" s="314" t="s">
        <v>12061</v>
      </c>
      <c r="H7055" s="1648" t="s">
        <v>10810</v>
      </c>
      <c r="I7055" s="434" t="s">
        <v>10295</v>
      </c>
      <c r="J7055" s="435" t="s">
        <v>10594</v>
      </c>
      <c r="K7055" s="434"/>
    </row>
    <row r="7056" spans="1:12">
      <c r="D7056" s="230"/>
      <c r="H7056" s="135"/>
    </row>
    <row r="7057" spans="1:11" s="33" customFormat="1">
      <c r="A7057" s="435"/>
      <c r="B7057" s="26" t="s">
        <v>10811</v>
      </c>
      <c r="C7057" s="2366">
        <v>137.37777777777777</v>
      </c>
      <c r="D7057" s="230">
        <f>C7057*(1-VLOOKUP(I7057,descuentos,6,FALSE))*fcl/IF(dol_sol="dólar", TC,1)</f>
        <v>93.200663349917065</v>
      </c>
      <c r="E7057" s="1650">
        <v>0</v>
      </c>
      <c r="F7057" s="1646">
        <f t="shared" ref="F7057:F7059" si="1074">D7057+E7057</f>
        <v>93.200663349917065</v>
      </c>
      <c r="G7057" s="314" t="s">
        <v>12062</v>
      </c>
      <c r="H7057" s="1648" t="s">
        <v>10812</v>
      </c>
      <c r="I7057" s="434" t="s">
        <v>10295</v>
      </c>
      <c r="J7057" s="435" t="s">
        <v>10594</v>
      </c>
      <c r="K7057" s="434"/>
    </row>
    <row r="7058" spans="1:11" s="33" customFormat="1">
      <c r="A7058" s="435"/>
      <c r="B7058" s="26" t="s">
        <v>10813</v>
      </c>
      <c r="C7058" s="2366">
        <v>151.65555555555557</v>
      </c>
      <c r="D7058" s="230">
        <f>C7058*(1-VLOOKUP(I7058,descuentos,6,FALSE))*fcl/IF(dol_sol="dólar", TC,1)</f>
        <v>102.88707975275139</v>
      </c>
      <c r="E7058" s="1650">
        <v>0</v>
      </c>
      <c r="F7058" s="1646">
        <f t="shared" si="1074"/>
        <v>102.88707975275139</v>
      </c>
      <c r="G7058" s="314" t="s">
        <v>12063</v>
      </c>
      <c r="H7058" s="1648" t="s">
        <v>10814</v>
      </c>
      <c r="I7058" s="434" t="s">
        <v>10295</v>
      </c>
      <c r="J7058" s="435" t="s">
        <v>10594</v>
      </c>
      <c r="K7058" s="434"/>
    </row>
    <row r="7059" spans="1:11" s="33" customFormat="1">
      <c r="A7059" s="435"/>
      <c r="B7059" s="26" t="s">
        <v>10815</v>
      </c>
      <c r="C7059" s="2366">
        <v>167.96666666666664</v>
      </c>
      <c r="D7059" s="230">
        <f>C7059*(1-VLOOKUP(I7059,descuentos,6,FALSE))*fcl/IF(dol_sol="dólar", TC,1)</f>
        <v>113.95296246042511</v>
      </c>
      <c r="E7059" s="1650">
        <v>0</v>
      </c>
      <c r="F7059" s="1646">
        <f t="shared" si="1074"/>
        <v>113.95296246042511</v>
      </c>
      <c r="G7059" s="314" t="s">
        <v>12064</v>
      </c>
      <c r="H7059" s="1648" t="s">
        <v>10816</v>
      </c>
      <c r="I7059" s="434" t="s">
        <v>10295</v>
      </c>
      <c r="J7059" s="435" t="s">
        <v>10594</v>
      </c>
      <c r="K7059" s="434"/>
    </row>
    <row r="7060" spans="1:11">
      <c r="B7060" s="143"/>
      <c r="C7060" s="1653"/>
      <c r="D7060" s="230"/>
      <c r="E7060" s="1650"/>
      <c r="F7060" s="1646"/>
      <c r="G7060" s="186"/>
      <c r="H7060" s="1654"/>
      <c r="I7060" s="28"/>
      <c r="J7060" s="366"/>
      <c r="K7060" s="33"/>
    </row>
    <row r="7061" spans="1:11">
      <c r="B7061" s="2173" t="s">
        <v>12975</v>
      </c>
      <c r="C7061" s="1653"/>
      <c r="D7061" s="230"/>
      <c r="E7061" s="1650"/>
      <c r="F7061" s="1646"/>
      <c r="G7061" s="186"/>
      <c r="H7061" s="1654"/>
      <c r="I7061" s="28"/>
      <c r="J7061" s="366"/>
      <c r="K7061" s="33"/>
    </row>
    <row r="7062" spans="1:11">
      <c r="B7062" s="143"/>
      <c r="C7062" s="1653"/>
      <c r="D7062" s="230"/>
      <c r="E7062" s="1650"/>
      <c r="F7062" s="1646"/>
      <c r="G7062" s="186"/>
      <c r="H7062" s="1654"/>
      <c r="I7062" s="28"/>
      <c r="J7062" s="366"/>
      <c r="K7062" s="33"/>
    </row>
    <row r="7063" spans="1:11" s="33" customFormat="1">
      <c r="A7063" s="435"/>
      <c r="B7063" s="144" t="s">
        <v>12976</v>
      </c>
      <c r="C7063" s="2366">
        <v>30</v>
      </c>
      <c r="D7063" s="230">
        <f>C7063*(1-VLOOKUP(I7063,descuentos,6,FALSE))*fcl/IF(dol_sol="dólar", TC,1)</f>
        <v>20.352781546811393</v>
      </c>
      <c r="E7063" s="1650">
        <v>3</v>
      </c>
      <c r="F7063" s="1646">
        <f t="shared" ref="F7063:F7067" si="1075">D7063+E7063</f>
        <v>23.352781546811393</v>
      </c>
      <c r="G7063" s="518" t="s">
        <v>12977</v>
      </c>
      <c r="H7063" s="1648" t="s">
        <v>12978</v>
      </c>
      <c r="I7063" s="434" t="s">
        <v>10295</v>
      </c>
      <c r="J7063" s="435" t="s">
        <v>10594</v>
      </c>
      <c r="K7063" s="434"/>
    </row>
    <row r="7064" spans="1:11" s="33" customFormat="1">
      <c r="A7064" s="435"/>
      <c r="B7064" s="144" t="s">
        <v>12979</v>
      </c>
      <c r="C7064" s="2366">
        <v>32.222222222222221</v>
      </c>
      <c r="D7064" s="230">
        <f>C7064*(1-VLOOKUP(I7064,descuentos,6,FALSE))*fcl/IF(dol_sol="dólar", TC,1)</f>
        <v>21.86039499472335</v>
      </c>
      <c r="E7064" s="1650">
        <v>3</v>
      </c>
      <c r="F7064" s="1646">
        <f t="shared" si="1075"/>
        <v>24.86039499472335</v>
      </c>
      <c r="G7064" s="518" t="s">
        <v>12980</v>
      </c>
      <c r="H7064" s="1648" t="s">
        <v>12981</v>
      </c>
      <c r="I7064" s="434" t="s">
        <v>10295</v>
      </c>
      <c r="J7064" s="435" t="s">
        <v>10594</v>
      </c>
      <c r="K7064" s="434"/>
    </row>
    <row r="7065" spans="1:11" s="33" customFormat="1">
      <c r="A7065" s="435"/>
      <c r="B7065" s="144" t="s">
        <v>12982</v>
      </c>
      <c r="C7065" s="2366">
        <v>66.666666666666671</v>
      </c>
      <c r="D7065" s="230">
        <f>C7065*(1-VLOOKUP(I7065,descuentos,6,FALSE))*fcl/IF(dol_sol="dólar", TC,1)</f>
        <v>45.228403437358658</v>
      </c>
      <c r="E7065" s="1650">
        <v>3</v>
      </c>
      <c r="F7065" s="1646">
        <f t="shared" si="1075"/>
        <v>48.228403437358658</v>
      </c>
      <c r="G7065" s="518" t="s">
        <v>12983</v>
      </c>
      <c r="H7065" s="1648" t="s">
        <v>12984</v>
      </c>
      <c r="I7065" s="434" t="s">
        <v>10295</v>
      </c>
      <c r="J7065" s="435" t="s">
        <v>10594</v>
      </c>
      <c r="K7065" s="434"/>
    </row>
    <row r="7066" spans="1:11" s="33" customFormat="1">
      <c r="A7066" s="435"/>
      <c r="B7066" s="144" t="s">
        <v>12985</v>
      </c>
      <c r="C7066" s="2366">
        <v>86.666666666666671</v>
      </c>
      <c r="D7066" s="230">
        <f>C7066*(1-VLOOKUP(I7066,descuentos,6,FALSE))*fcl/IF(dol_sol="dólar", TC,1)</f>
        <v>58.79692446856626</v>
      </c>
      <c r="E7066" s="1650">
        <v>3</v>
      </c>
      <c r="F7066" s="1646">
        <f t="shared" si="1075"/>
        <v>61.79692446856626</v>
      </c>
      <c r="G7066" s="518" t="s">
        <v>12986</v>
      </c>
      <c r="H7066" s="1648" t="s">
        <v>12987</v>
      </c>
      <c r="I7066" s="434" t="s">
        <v>10295</v>
      </c>
      <c r="J7066" s="435" t="s">
        <v>10594</v>
      </c>
      <c r="K7066" s="434"/>
    </row>
    <row r="7067" spans="1:11" s="33" customFormat="1">
      <c r="A7067" s="435"/>
      <c r="B7067" s="144" t="s">
        <v>12988</v>
      </c>
      <c r="C7067" s="2366">
        <v>206.66666666666666</v>
      </c>
      <c r="D7067" s="230">
        <f>C7067*(1-VLOOKUP(I7067,descuentos,6,FALSE))*fcl/IF(dol_sol="dólar", TC,1)</f>
        <v>140.20805065581183</v>
      </c>
      <c r="E7067" s="1650">
        <v>3</v>
      </c>
      <c r="F7067" s="1646">
        <f t="shared" si="1075"/>
        <v>143.20805065581183</v>
      </c>
      <c r="G7067" s="518" t="s">
        <v>12989</v>
      </c>
      <c r="H7067" s="1648" t="s">
        <v>12990</v>
      </c>
      <c r="I7067" s="434" t="s">
        <v>10295</v>
      </c>
      <c r="J7067" s="435" t="s">
        <v>10594</v>
      </c>
      <c r="K7067" s="434"/>
    </row>
    <row r="7068" spans="1:11" s="33" customFormat="1">
      <c r="A7068" s="435"/>
      <c r="B7068" s="144"/>
      <c r="C7068" s="2366"/>
      <c r="D7068" s="230"/>
      <c r="E7068" s="1650"/>
      <c r="F7068" s="1646"/>
      <c r="G7068" s="518"/>
      <c r="H7068" s="1648"/>
      <c r="I7068" s="434"/>
      <c r="J7068" s="435"/>
      <c r="K7068" s="434"/>
    </row>
    <row r="7069" spans="1:11">
      <c r="B7069" s="1400" t="s">
        <v>5862</v>
      </c>
      <c r="D7069" s="230"/>
      <c r="H7069" s="135"/>
    </row>
    <row r="7070" spans="1:11" s="33" customFormat="1" ht="15.6">
      <c r="A7070" s="435"/>
      <c r="B7070" s="26" t="s">
        <v>12991</v>
      </c>
      <c r="C7070" s="2366">
        <v>7.7777777777777777</v>
      </c>
      <c r="D7070" s="230">
        <f>C7070*(1-VLOOKUP(I7070,descuentos,6,FALSE))*fcl/IF(dol_sol="dólar", TC,1)</f>
        <v>5.2766470676918429</v>
      </c>
      <c r="E7070" s="1650">
        <v>0</v>
      </c>
      <c r="F7070" s="1646">
        <f t="shared" ref="F7070:F7071" si="1076">D7070+E7070</f>
        <v>5.2766470676918429</v>
      </c>
      <c r="G7070" s="314" t="s">
        <v>12992</v>
      </c>
      <c r="H7070" s="1648" t="s">
        <v>12993</v>
      </c>
      <c r="I7070" s="434" t="s">
        <v>10295</v>
      </c>
      <c r="J7070" s="435" t="s">
        <v>10594</v>
      </c>
      <c r="K7070" s="434"/>
    </row>
    <row r="7071" spans="1:11" s="33" customFormat="1" ht="15.6">
      <c r="A7071" s="435"/>
      <c r="B7071" s="26" t="s">
        <v>12994</v>
      </c>
      <c r="C7071" s="2366">
        <v>8.8888888888888893</v>
      </c>
      <c r="D7071" s="230">
        <f>C7071*(1-VLOOKUP(I7071,descuentos,6,FALSE))*fcl/IF(dol_sol="dólar", TC,1)</f>
        <v>6.0304537916478207</v>
      </c>
      <c r="E7071" s="1650">
        <v>0</v>
      </c>
      <c r="F7071" s="1646">
        <f t="shared" si="1076"/>
        <v>6.0304537916478207</v>
      </c>
      <c r="G7071" s="314" t="s">
        <v>12995</v>
      </c>
      <c r="H7071" s="1648" t="s">
        <v>12996</v>
      </c>
      <c r="I7071" s="434" t="s">
        <v>10295</v>
      </c>
      <c r="J7071" s="435" t="s">
        <v>10594</v>
      </c>
      <c r="K7071" s="434"/>
    </row>
    <row r="7072" spans="1:11">
      <c r="B7072" s="2536" t="s">
        <v>12065</v>
      </c>
      <c r="C7072" s="2536"/>
      <c r="D7072" s="2536"/>
      <c r="H7072" s="135"/>
    </row>
    <row r="7073" spans="1:30">
      <c r="B7073" s="2536"/>
      <c r="C7073" s="2536"/>
      <c r="D7073" s="2536"/>
      <c r="H7073" s="135"/>
    </row>
    <row r="7074" spans="1:30">
      <c r="B7074" s="2536"/>
      <c r="C7074" s="2536"/>
      <c r="D7074" s="2536"/>
      <c r="H7074" s="135"/>
    </row>
    <row r="7075" spans="1:30">
      <c r="H7075" s="135"/>
    </row>
    <row r="7076" spans="1:30">
      <c r="B7076" s="26" t="s">
        <v>12066</v>
      </c>
      <c r="C7076" s="2366">
        <v>52.27</v>
      </c>
      <c r="D7076" s="230">
        <f t="shared" ref="D7076" si="1077">C7076*(1-VLOOKUP(I7076,descuentos,6,FALSE))*fcl/IF(dol_sol="dólar", TC,1)</f>
        <v>35.461329715061055</v>
      </c>
      <c r="E7076" s="1650">
        <v>5</v>
      </c>
      <c r="F7076" s="1646">
        <f t="shared" ref="F7076:F7084" si="1078">D7076+E7076</f>
        <v>40.461329715061055</v>
      </c>
      <c r="G7076" s="314" t="s">
        <v>12067</v>
      </c>
      <c r="H7076" s="1648">
        <v>412240</v>
      </c>
      <c r="I7076" s="434" t="s">
        <v>10295</v>
      </c>
      <c r="J7076" s="435" t="s">
        <v>10594</v>
      </c>
      <c r="K7076" s="434"/>
      <c r="L7076" s="33"/>
    </row>
    <row r="7077" spans="1:30">
      <c r="B7077" s="26" t="s">
        <v>12068</v>
      </c>
      <c r="C7077" s="2366">
        <v>88.8</v>
      </c>
      <c r="D7077" s="230">
        <f t="shared" ref="D7077:D7082" si="1079">C7077*(1-VLOOKUP(I7077,descuentos,6,FALSE))*fcl/IF(dol_sol="dólar", TC,1)</f>
        <v>60.244233378561724</v>
      </c>
      <c r="E7077" s="1650">
        <v>5</v>
      </c>
      <c r="F7077" s="1646">
        <f t="shared" si="1078"/>
        <v>65.244233378561717</v>
      </c>
      <c r="G7077" s="314" t="s">
        <v>12069</v>
      </c>
      <c r="H7077" s="1648">
        <v>412270</v>
      </c>
      <c r="I7077" s="434" t="s">
        <v>10295</v>
      </c>
      <c r="J7077" s="435" t="s">
        <v>10594</v>
      </c>
      <c r="K7077" s="434"/>
      <c r="L7077" s="33"/>
    </row>
    <row r="7078" spans="1:30">
      <c r="B7078" s="26" t="s">
        <v>12070</v>
      </c>
      <c r="C7078" s="2366">
        <v>283.42</v>
      </c>
      <c r="D7078" s="230">
        <f t="shared" si="1079"/>
        <v>192.27951153324287</v>
      </c>
      <c r="E7078" s="1650">
        <v>5</v>
      </c>
      <c r="F7078" s="1646">
        <f t="shared" si="1078"/>
        <v>197.27951153324287</v>
      </c>
      <c r="G7078" s="314" t="s">
        <v>12071</v>
      </c>
      <c r="H7078" s="1648">
        <v>412272</v>
      </c>
      <c r="I7078" s="434" t="s">
        <v>10295</v>
      </c>
      <c r="J7078" s="435" t="s">
        <v>10594</v>
      </c>
      <c r="K7078" s="434"/>
      <c r="L7078" s="33"/>
    </row>
    <row r="7079" spans="1:30">
      <c r="B7079" s="26" t="s">
        <v>12072</v>
      </c>
      <c r="C7079" s="2366">
        <v>214.14</v>
      </c>
      <c r="D7079" s="230">
        <f t="shared" si="1079"/>
        <v>145.27815468113971</v>
      </c>
      <c r="E7079" s="1650">
        <v>5</v>
      </c>
      <c r="F7079" s="1646">
        <f t="shared" si="1078"/>
        <v>150.27815468113971</v>
      </c>
      <c r="G7079" s="314" t="s">
        <v>12073</v>
      </c>
      <c r="H7079" s="1648">
        <v>412274</v>
      </c>
      <c r="I7079" s="434" t="s">
        <v>10295</v>
      </c>
      <c r="J7079" s="435" t="s">
        <v>10594</v>
      </c>
      <c r="K7079" s="434"/>
      <c r="L7079" s="33"/>
    </row>
    <row r="7080" spans="1:30">
      <c r="B7080" s="26" t="s">
        <v>12074</v>
      </c>
      <c r="C7080" s="2366">
        <v>488.11</v>
      </c>
      <c r="D7080" s="230">
        <f t="shared" si="1079"/>
        <v>331.14654002713701</v>
      </c>
      <c r="E7080" s="1650">
        <v>10</v>
      </c>
      <c r="F7080" s="1646">
        <f t="shared" si="1078"/>
        <v>341.14654002713701</v>
      </c>
      <c r="G7080" s="314" t="s">
        <v>12075</v>
      </c>
      <c r="H7080" s="1648">
        <v>412275</v>
      </c>
      <c r="I7080" s="434" t="s">
        <v>10295</v>
      </c>
      <c r="J7080" s="435" t="s">
        <v>10594</v>
      </c>
      <c r="K7080" s="434"/>
      <c r="L7080" s="33"/>
    </row>
    <row r="7081" spans="1:30">
      <c r="B7081" s="26" t="s">
        <v>12076</v>
      </c>
      <c r="C7081" s="2366">
        <v>1086.44</v>
      </c>
      <c r="D7081" s="230">
        <f t="shared" si="1079"/>
        <v>737.06919945725906</v>
      </c>
      <c r="E7081" s="1650">
        <v>5</v>
      </c>
      <c r="F7081" s="1646">
        <f t="shared" si="1078"/>
        <v>742.06919945725906</v>
      </c>
      <c r="G7081" s="314" t="s">
        <v>12077</v>
      </c>
      <c r="H7081" s="1648">
        <v>412280</v>
      </c>
      <c r="I7081" s="434" t="s">
        <v>10295</v>
      </c>
      <c r="J7081" s="435" t="s">
        <v>10594</v>
      </c>
      <c r="K7081" s="434"/>
      <c r="L7081" s="33"/>
    </row>
    <row r="7082" spans="1:30">
      <c r="B7082" s="26" t="s">
        <v>12078</v>
      </c>
      <c r="C7082" s="2366">
        <v>1567.62</v>
      </c>
      <c r="D7082" s="230">
        <f t="shared" si="1079"/>
        <v>1063.5142469470825</v>
      </c>
      <c r="E7082" s="1650">
        <v>10</v>
      </c>
      <c r="F7082" s="1646">
        <f t="shared" si="1078"/>
        <v>1073.5142469470825</v>
      </c>
      <c r="G7082" s="314" t="s">
        <v>12079</v>
      </c>
      <c r="H7082" s="1648">
        <v>412281</v>
      </c>
      <c r="I7082" s="434" t="s">
        <v>10295</v>
      </c>
      <c r="J7082" s="435" t="s">
        <v>10594</v>
      </c>
      <c r="K7082" s="434"/>
      <c r="L7082" s="33"/>
    </row>
    <row r="7083" spans="1:30">
      <c r="B7083" s="26" t="s">
        <v>12080</v>
      </c>
      <c r="C7083" s="2366">
        <v>2359.9299999999998</v>
      </c>
      <c r="D7083" s="230">
        <f t="shared" ref="D7083:D7084" si="1080">C7083*(1-VLOOKUP(I7083,descuentos,6,FALSE))*fcl/IF(dol_sol="dólar", TC,1)</f>
        <v>1601.0379918588872</v>
      </c>
      <c r="E7083" s="1650">
        <v>20</v>
      </c>
      <c r="F7083" s="1646">
        <f t="shared" si="1078"/>
        <v>1621.0379918588872</v>
      </c>
      <c r="G7083" s="314" t="s">
        <v>12081</v>
      </c>
      <c r="H7083" s="1648">
        <v>412282</v>
      </c>
      <c r="I7083" s="434" t="s">
        <v>10295</v>
      </c>
      <c r="J7083" s="435" t="s">
        <v>10594</v>
      </c>
      <c r="K7083" s="434"/>
      <c r="L7083" s="33"/>
    </row>
    <row r="7084" spans="1:30">
      <c r="B7084" s="26" t="s">
        <v>12082</v>
      </c>
      <c r="C7084" s="2366">
        <v>2563.37</v>
      </c>
      <c r="D7084" s="230">
        <f t="shared" si="1080"/>
        <v>1739.0569877883306</v>
      </c>
      <c r="E7084" s="1650">
        <v>20</v>
      </c>
      <c r="F7084" s="1646">
        <f t="shared" si="1078"/>
        <v>1759.0569877883306</v>
      </c>
      <c r="G7084" s="314" t="s">
        <v>12083</v>
      </c>
      <c r="H7084" s="1648">
        <v>412283</v>
      </c>
      <c r="I7084" s="434" t="s">
        <v>10295</v>
      </c>
      <c r="J7084" s="435" t="s">
        <v>10594</v>
      </c>
      <c r="K7084" s="434"/>
      <c r="L7084" s="33"/>
    </row>
    <row r="7085" spans="1:30">
      <c r="G7085" s="186"/>
      <c r="H7085" s="135"/>
      <c r="I7085" s="28"/>
      <c r="J7085" s="366"/>
      <c r="K7085" s="33"/>
    </row>
    <row r="7086" spans="1:30" s="185" customFormat="1">
      <c r="B7086" s="2536" t="s">
        <v>10817</v>
      </c>
      <c r="C7086" s="2536"/>
      <c r="D7086" s="2536"/>
      <c r="E7086" s="108"/>
      <c r="F7086" s="102"/>
      <c r="G7086" s="195"/>
      <c r="H7086" s="194"/>
      <c r="I7086" s="102"/>
      <c r="J7086" s="102"/>
      <c r="K7086" s="102"/>
      <c r="L7086" s="102"/>
      <c r="M7086" s="102"/>
      <c r="N7086" s="102"/>
    </row>
    <row r="7087" spans="1:30" s="185" customFormat="1">
      <c r="B7087" s="2536"/>
      <c r="C7087" s="2536"/>
      <c r="D7087" s="2536"/>
      <c r="E7087" s="108"/>
      <c r="F7087" s="102"/>
      <c r="G7087" s="195"/>
      <c r="H7087" s="194"/>
      <c r="I7087" s="102"/>
      <c r="J7087" s="102"/>
    </row>
    <row r="7088" spans="1:30" s="102" customFormat="1">
      <c r="A7088" s="185"/>
      <c r="B7088" s="2536"/>
      <c r="C7088" s="2536"/>
      <c r="D7088" s="2536"/>
      <c r="E7088" s="540"/>
      <c r="F7088" s="410"/>
      <c r="G7088" s="410"/>
      <c r="H7088" s="139"/>
      <c r="I7088" s="541"/>
      <c r="J7088" s="185"/>
      <c r="K7088" s="185"/>
      <c r="L7088" s="1502"/>
      <c r="M7088" s="1502"/>
      <c r="N7088" s="1502"/>
      <c r="O7088" s="1502"/>
      <c r="P7088" s="1502"/>
      <c r="Q7088" s="1502"/>
      <c r="R7088" s="1502"/>
      <c r="S7088" s="1502"/>
      <c r="T7088" s="1502"/>
      <c r="U7088" s="1502"/>
      <c r="V7088" s="1502"/>
      <c r="W7088" s="1502"/>
      <c r="X7088" s="1502"/>
      <c r="Y7088" s="1502"/>
      <c r="Z7088" s="1502"/>
      <c r="AA7088" s="1502"/>
      <c r="AB7088" s="1502"/>
      <c r="AC7088" s="1502"/>
      <c r="AD7088" s="1502"/>
    </row>
    <row r="7089" spans="1:30" s="102" customFormat="1" ht="21">
      <c r="A7089" s="185"/>
      <c r="B7089" s="1655"/>
      <c r="C7089" s="1655"/>
      <c r="D7089" s="1655"/>
      <c r="E7089" s="540"/>
      <c r="F7089" s="410"/>
      <c r="G7089" s="410"/>
      <c r="H7089" s="139"/>
      <c r="I7089" s="541"/>
      <c r="J7089" s="185"/>
      <c r="K7089" s="185"/>
      <c r="L7089" s="1502"/>
      <c r="M7089" s="1502"/>
      <c r="N7089" s="1502"/>
      <c r="O7089" s="1502"/>
      <c r="P7089" s="1502"/>
      <c r="Q7089" s="1502"/>
      <c r="R7089" s="1502"/>
      <c r="S7089" s="1502"/>
      <c r="T7089" s="1502"/>
      <c r="U7089" s="1502"/>
      <c r="V7089" s="1502"/>
      <c r="W7089" s="1502"/>
      <c r="X7089" s="1502"/>
      <c r="Y7089" s="1502"/>
      <c r="Z7089" s="1502"/>
      <c r="AA7089" s="1502"/>
      <c r="AB7089" s="1502"/>
      <c r="AC7089" s="1502"/>
      <c r="AD7089" s="1502"/>
    </row>
    <row r="7090" spans="1:30" s="33" customFormat="1">
      <c r="A7090" s="435"/>
      <c r="B7090" s="26" t="s">
        <v>10818</v>
      </c>
      <c r="C7090" s="2366">
        <v>47.233333333333327</v>
      </c>
      <c r="D7090" s="230">
        <f t="shared" ref="D7090:D7105" si="1081">C7090*(1-VLOOKUP(I7090,descuentos,6,FALSE))*fcl/IF(dol_sol="dólar", TC,1)</f>
        <v>32.044323835368608</v>
      </c>
      <c r="E7090" s="203">
        <v>5</v>
      </c>
      <c r="F7090" s="1646">
        <f t="shared" ref="F7090:F7109" si="1082">D7090+E7090</f>
        <v>37.044323835368608</v>
      </c>
      <c r="G7090" s="314" t="s">
        <v>12084</v>
      </c>
      <c r="H7090" s="1648">
        <v>412544</v>
      </c>
      <c r="I7090" s="434" t="s">
        <v>10295</v>
      </c>
      <c r="J7090" s="435" t="s">
        <v>10594</v>
      </c>
      <c r="K7090" s="434"/>
    </row>
    <row r="7091" spans="1:30" s="33" customFormat="1">
      <c r="A7091" s="435"/>
      <c r="B7091" s="26" t="s">
        <v>10819</v>
      </c>
      <c r="C7091" s="2366">
        <v>102.02222222222221</v>
      </c>
      <c r="D7091" s="230">
        <f t="shared" si="1081"/>
        <v>69.214533393637851</v>
      </c>
      <c r="E7091" s="203">
        <v>5</v>
      </c>
      <c r="F7091" s="1646">
        <f t="shared" si="1082"/>
        <v>74.214533393637851</v>
      </c>
      <c r="G7091" s="314" t="s">
        <v>12085</v>
      </c>
      <c r="H7091" s="1648" t="s">
        <v>10820</v>
      </c>
      <c r="I7091" s="434" t="s">
        <v>10295</v>
      </c>
      <c r="J7091" s="435" t="s">
        <v>10594</v>
      </c>
      <c r="K7091" s="434"/>
    </row>
    <row r="7092" spans="1:30" s="33" customFormat="1">
      <c r="A7092" s="435"/>
      <c r="B7092" s="26" t="s">
        <v>10821</v>
      </c>
      <c r="C7092" s="2366">
        <v>125.97</v>
      </c>
      <c r="D7092" s="230">
        <f t="shared" si="1081"/>
        <v>85.461329715061041</v>
      </c>
      <c r="E7092" s="203">
        <v>5</v>
      </c>
      <c r="F7092" s="1646">
        <f t="shared" si="1082"/>
        <v>90.461329715061041</v>
      </c>
      <c r="G7092" s="314" t="s">
        <v>12086</v>
      </c>
      <c r="H7092" s="1648" t="s">
        <v>10822</v>
      </c>
      <c r="I7092" s="434" t="s">
        <v>10295</v>
      </c>
      <c r="J7092" s="435" t="s">
        <v>10594</v>
      </c>
      <c r="K7092" s="434"/>
    </row>
    <row r="7093" spans="1:30" s="33" customFormat="1">
      <c r="A7093" s="435"/>
      <c r="B7093" s="26" t="s">
        <v>10823</v>
      </c>
      <c r="C7093" s="2366">
        <v>52.9</v>
      </c>
      <c r="D7093" s="230">
        <f t="shared" si="1081"/>
        <v>35.888738127544087</v>
      </c>
      <c r="E7093" s="203">
        <v>5</v>
      </c>
      <c r="F7093" s="1646">
        <f t="shared" si="1082"/>
        <v>40.888738127544087</v>
      </c>
      <c r="G7093" s="314" t="s">
        <v>12087</v>
      </c>
      <c r="H7093" s="1648">
        <v>416086</v>
      </c>
      <c r="I7093" s="434" t="s">
        <v>10295</v>
      </c>
      <c r="J7093" s="435" t="s">
        <v>10594</v>
      </c>
      <c r="K7093" s="434"/>
    </row>
    <row r="7094" spans="1:30" s="33" customFormat="1">
      <c r="A7094" s="435"/>
      <c r="B7094" s="26" t="s">
        <v>10824</v>
      </c>
      <c r="C7094" s="2366">
        <v>57.94</v>
      </c>
      <c r="D7094" s="230">
        <f t="shared" si="1081"/>
        <v>39.308005427408403</v>
      </c>
      <c r="E7094" s="203">
        <v>5</v>
      </c>
      <c r="F7094" s="1646">
        <f t="shared" si="1082"/>
        <v>44.308005427408403</v>
      </c>
      <c r="G7094" s="314" t="s">
        <v>12088</v>
      </c>
      <c r="H7094" s="1648">
        <v>416096</v>
      </c>
      <c r="I7094" s="434" t="s">
        <v>10295</v>
      </c>
      <c r="J7094" s="435" t="s">
        <v>10594</v>
      </c>
      <c r="K7094" s="434"/>
    </row>
    <row r="7095" spans="1:30" s="33" customFormat="1">
      <c r="A7095" s="435"/>
      <c r="B7095" s="26" t="s">
        <v>10825</v>
      </c>
      <c r="C7095" s="2366">
        <v>74.94</v>
      </c>
      <c r="D7095" s="230">
        <f t="shared" si="1081"/>
        <v>50.841248303934861</v>
      </c>
      <c r="E7095" s="203">
        <v>5</v>
      </c>
      <c r="F7095" s="1646">
        <f t="shared" si="1082"/>
        <v>55.841248303934861</v>
      </c>
      <c r="G7095" s="314" t="s">
        <v>12089</v>
      </c>
      <c r="H7095" s="1648">
        <v>416106</v>
      </c>
      <c r="I7095" s="434" t="s">
        <v>10295</v>
      </c>
      <c r="J7095" s="435" t="s">
        <v>10594</v>
      </c>
      <c r="K7095" s="434"/>
    </row>
    <row r="7096" spans="1:30" s="33" customFormat="1">
      <c r="A7096" s="435"/>
      <c r="B7096" s="26" t="s">
        <v>10826</v>
      </c>
      <c r="C7096" s="2366">
        <v>93.84</v>
      </c>
      <c r="D7096" s="230">
        <f t="shared" si="1081"/>
        <v>63.663500678426047</v>
      </c>
      <c r="E7096" s="203">
        <v>10</v>
      </c>
      <c r="F7096" s="1646">
        <f t="shared" si="1082"/>
        <v>73.663500678426047</v>
      </c>
      <c r="G7096" s="314" t="s">
        <v>12090</v>
      </c>
      <c r="H7096" s="1648">
        <v>416116</v>
      </c>
      <c r="I7096" s="434" t="s">
        <v>10295</v>
      </c>
      <c r="J7096" s="435" t="s">
        <v>10594</v>
      </c>
      <c r="K7096" s="434"/>
    </row>
    <row r="7097" spans="1:30" s="33" customFormat="1">
      <c r="A7097" s="435"/>
      <c r="B7097" s="26" t="s">
        <v>10827</v>
      </c>
      <c r="C7097" s="2366">
        <v>131.01</v>
      </c>
      <c r="D7097" s="230">
        <f t="shared" si="1081"/>
        <v>88.880597014925357</v>
      </c>
      <c r="E7097" s="203">
        <v>10</v>
      </c>
      <c r="F7097" s="1646">
        <f t="shared" si="1082"/>
        <v>98.880597014925357</v>
      </c>
      <c r="G7097" s="314" t="s">
        <v>12091</v>
      </c>
      <c r="H7097" s="1648">
        <v>416126</v>
      </c>
      <c r="I7097" s="434" t="s">
        <v>10295</v>
      </c>
      <c r="J7097" s="435" t="s">
        <v>10594</v>
      </c>
      <c r="K7097" s="434"/>
    </row>
    <row r="7098" spans="1:30" s="33" customFormat="1">
      <c r="A7098" s="435"/>
      <c r="B7098" s="26" t="s">
        <v>10828</v>
      </c>
      <c r="C7098" s="2366">
        <v>174.47</v>
      </c>
      <c r="D7098" s="230">
        <f t="shared" si="1081"/>
        <v>118.36499321573947</v>
      </c>
      <c r="E7098" s="203">
        <v>15</v>
      </c>
      <c r="F7098" s="1646">
        <f t="shared" si="1082"/>
        <v>133.36499321573947</v>
      </c>
      <c r="G7098" s="314" t="s">
        <v>12092</v>
      </c>
      <c r="H7098" s="1648">
        <v>416136</v>
      </c>
      <c r="I7098" s="434" t="s">
        <v>10295</v>
      </c>
      <c r="J7098" s="435" t="s">
        <v>10594</v>
      </c>
      <c r="K7098" s="434"/>
    </row>
    <row r="7099" spans="1:30" s="33" customFormat="1">
      <c r="A7099" s="435"/>
      <c r="B7099" s="26" t="s">
        <v>10829</v>
      </c>
      <c r="C7099" s="2366">
        <v>240.59</v>
      </c>
      <c r="D7099" s="230">
        <f t="shared" si="1081"/>
        <v>163.2225237449118</v>
      </c>
      <c r="E7099" s="203">
        <v>15</v>
      </c>
      <c r="F7099" s="1646">
        <f t="shared" si="1082"/>
        <v>178.2225237449118</v>
      </c>
      <c r="G7099" s="314" t="s">
        <v>12093</v>
      </c>
      <c r="H7099" s="1648">
        <v>416146</v>
      </c>
      <c r="I7099" s="434" t="s">
        <v>10295</v>
      </c>
      <c r="J7099" s="435" t="s">
        <v>10594</v>
      </c>
      <c r="K7099" s="434"/>
    </row>
    <row r="7100" spans="1:30" s="33" customFormat="1">
      <c r="A7100" s="435"/>
      <c r="B7100" s="26" t="s">
        <v>10830</v>
      </c>
      <c r="C7100" s="2366">
        <v>272.70999999999998</v>
      </c>
      <c r="D7100" s="230">
        <f t="shared" si="1081"/>
        <v>185.01356852103115</v>
      </c>
      <c r="E7100" s="203">
        <v>15</v>
      </c>
      <c r="F7100" s="1646">
        <f t="shared" si="1082"/>
        <v>200.01356852103115</v>
      </c>
      <c r="G7100" s="314" t="s">
        <v>12094</v>
      </c>
      <c r="H7100" s="1648">
        <v>416166</v>
      </c>
      <c r="I7100" s="434" t="s">
        <v>10295</v>
      </c>
      <c r="J7100" s="435" t="s">
        <v>10594</v>
      </c>
      <c r="K7100" s="434"/>
    </row>
    <row r="7101" spans="1:30" s="33" customFormat="1">
      <c r="A7101" s="435"/>
      <c r="B7101" s="26" t="s">
        <v>10831</v>
      </c>
      <c r="C7101" s="2366">
        <v>312.39</v>
      </c>
      <c r="D7101" s="230">
        <f t="shared" si="1081"/>
        <v>211.93351424694706</v>
      </c>
      <c r="E7101" s="203">
        <v>15</v>
      </c>
      <c r="F7101" s="1646">
        <f t="shared" si="1082"/>
        <v>226.93351424694706</v>
      </c>
      <c r="G7101" s="314" t="s">
        <v>12095</v>
      </c>
      <c r="H7101" s="1648">
        <v>416186</v>
      </c>
      <c r="I7101" s="434" t="s">
        <v>10295</v>
      </c>
      <c r="J7101" s="435" t="s">
        <v>10594</v>
      </c>
      <c r="K7101" s="434"/>
    </row>
    <row r="7102" spans="1:30" s="33" customFormat="1">
      <c r="A7102" s="435"/>
      <c r="B7102" s="26" t="s">
        <v>10832</v>
      </c>
      <c r="C7102" s="2366">
        <v>370.33</v>
      </c>
      <c r="D7102" s="230">
        <f t="shared" si="1081"/>
        <v>251.24151967435546</v>
      </c>
      <c r="E7102" s="203">
        <v>20</v>
      </c>
      <c r="F7102" s="1646">
        <f t="shared" si="1082"/>
        <v>271.24151967435546</v>
      </c>
      <c r="G7102" s="314" t="s">
        <v>12096</v>
      </c>
      <c r="H7102" s="1648">
        <v>416206</v>
      </c>
      <c r="I7102" s="434" t="s">
        <v>10295</v>
      </c>
      <c r="J7102" s="435" t="s">
        <v>10594</v>
      </c>
      <c r="K7102" s="434"/>
    </row>
    <row r="7103" spans="1:30" s="33" customFormat="1">
      <c r="A7103" s="435"/>
      <c r="B7103" s="26" t="s">
        <v>10833</v>
      </c>
      <c r="C7103" s="2366">
        <v>495.03</v>
      </c>
      <c r="D7103" s="230">
        <f t="shared" si="1081"/>
        <v>335.84124830393478</v>
      </c>
      <c r="E7103" s="203">
        <v>20</v>
      </c>
      <c r="F7103" s="1646">
        <f t="shared" si="1082"/>
        <v>355.84124830393478</v>
      </c>
      <c r="G7103" s="314" t="s">
        <v>12097</v>
      </c>
      <c r="H7103" s="1648">
        <v>416226</v>
      </c>
      <c r="I7103" s="434" t="s">
        <v>10295</v>
      </c>
      <c r="J7103" s="435" t="s">
        <v>10594</v>
      </c>
      <c r="K7103" s="434"/>
    </row>
    <row r="7104" spans="1:30" s="33" customFormat="1">
      <c r="A7104" s="435"/>
      <c r="B7104" s="26" t="s">
        <v>10834</v>
      </c>
      <c r="C7104" s="2366">
        <v>616.6</v>
      </c>
      <c r="D7104" s="230">
        <f t="shared" si="1081"/>
        <v>418.31750339213022</v>
      </c>
      <c r="E7104" s="203">
        <v>20</v>
      </c>
      <c r="F7104" s="1646">
        <f t="shared" si="1082"/>
        <v>438.31750339213022</v>
      </c>
      <c r="G7104" s="314" t="s">
        <v>12098</v>
      </c>
      <c r="H7104" s="1648">
        <v>416246</v>
      </c>
      <c r="I7104" s="434" t="s">
        <v>10295</v>
      </c>
      <c r="J7104" s="435" t="s">
        <v>10594</v>
      </c>
      <c r="K7104" s="434"/>
    </row>
    <row r="7105" spans="1:30" s="33" customFormat="1">
      <c r="A7105" s="435"/>
      <c r="B7105" s="26" t="s">
        <v>10835</v>
      </c>
      <c r="C7105" s="2366">
        <v>784.12</v>
      </c>
      <c r="D7105" s="230">
        <f t="shared" si="1081"/>
        <v>531.96743554952502</v>
      </c>
      <c r="E7105" s="203">
        <v>20</v>
      </c>
      <c r="F7105" s="1646">
        <f t="shared" si="1082"/>
        <v>551.96743554952502</v>
      </c>
      <c r="G7105" s="314" t="s">
        <v>12099</v>
      </c>
      <c r="H7105" s="1648">
        <v>416266</v>
      </c>
      <c r="I7105" s="434" t="s">
        <v>10295</v>
      </c>
      <c r="J7105" s="435" t="s">
        <v>10594</v>
      </c>
      <c r="K7105" s="434"/>
    </row>
    <row r="7106" spans="1:30" s="33" customFormat="1">
      <c r="A7106" s="435"/>
      <c r="B7106" s="26" t="s">
        <v>12415</v>
      </c>
      <c r="C7106" s="2366">
        <v>993.85555555555561</v>
      </c>
      <c r="D7106" s="230">
        <f>C7106*(1-VLOOKUP(I7106,descuentos,6,FALSE))*fcl/IF(dol_sol="dólar", TC,1)</f>
        <v>674.25750037690341</v>
      </c>
      <c r="E7106" s="203">
        <v>20</v>
      </c>
      <c r="F7106" s="1646">
        <f t="shared" si="1082"/>
        <v>694.25750037690341</v>
      </c>
      <c r="G7106" s="314" t="s">
        <v>12416</v>
      </c>
      <c r="H7106" s="1648">
        <v>416266</v>
      </c>
      <c r="I7106" s="434" t="s">
        <v>10295</v>
      </c>
      <c r="J7106" s="435" t="s">
        <v>10594</v>
      </c>
      <c r="K7106" s="434"/>
    </row>
    <row r="7107" spans="1:30" s="33" customFormat="1">
      <c r="A7107" s="435"/>
      <c r="B7107" s="26" t="s">
        <v>12417</v>
      </c>
      <c r="C7107" s="2366">
        <v>1197.2888888888888</v>
      </c>
      <c r="D7107" s="230">
        <f>C7107*(1-VLOOKUP(I7107,descuentos,6,FALSE))*fcl/IF(dol_sol="dólar", TC,1)</f>
        <v>812.27197346600303</v>
      </c>
      <c r="E7107" s="203">
        <v>20</v>
      </c>
      <c r="F7107" s="1646">
        <f t="shared" si="1082"/>
        <v>832.27197346600303</v>
      </c>
      <c r="G7107" s="314" t="s">
        <v>12418</v>
      </c>
      <c r="H7107" s="1648">
        <v>416266</v>
      </c>
      <c r="I7107" s="434" t="s">
        <v>10295</v>
      </c>
      <c r="J7107" s="435" t="s">
        <v>10594</v>
      </c>
      <c r="K7107" s="434"/>
    </row>
    <row r="7108" spans="1:30" s="33" customFormat="1">
      <c r="A7108" s="435"/>
      <c r="B7108" s="26" t="s">
        <v>12419</v>
      </c>
      <c r="C7108" s="2366">
        <v>1532.9888888888888</v>
      </c>
      <c r="D7108" s="230">
        <f>C7108*(1-VLOOKUP(I7108,descuentos,6,FALSE))*fcl/IF(dol_sol="dólar", TC,1)</f>
        <v>1040.0195989748227</v>
      </c>
      <c r="E7108" s="203">
        <v>20</v>
      </c>
      <c r="F7108" s="1646">
        <f t="shared" si="1082"/>
        <v>1060.0195989748227</v>
      </c>
      <c r="G7108" s="314" t="s">
        <v>12420</v>
      </c>
      <c r="H7108" s="1648">
        <v>416266</v>
      </c>
      <c r="I7108" s="434" t="s">
        <v>10295</v>
      </c>
      <c r="J7108" s="435" t="s">
        <v>10594</v>
      </c>
      <c r="K7108" s="434"/>
    </row>
    <row r="7109" spans="1:30" s="33" customFormat="1">
      <c r="A7109" s="435"/>
      <c r="B7109" s="26" t="s">
        <v>12421</v>
      </c>
      <c r="C7109" s="2366">
        <v>1668.3999999999999</v>
      </c>
      <c r="D7109" s="230">
        <f>C7109*(1-VLOOKUP(I7109,descuentos,6,FALSE))*fcl/IF(dol_sol="dólar", TC,1)</f>
        <v>1131.8860244233376</v>
      </c>
      <c r="E7109" s="203">
        <v>20</v>
      </c>
      <c r="F7109" s="1646">
        <f t="shared" si="1082"/>
        <v>1151.8860244233376</v>
      </c>
      <c r="G7109" s="314" t="s">
        <v>12422</v>
      </c>
      <c r="H7109" s="1648">
        <v>416266</v>
      </c>
      <c r="I7109" s="434" t="s">
        <v>10295</v>
      </c>
      <c r="J7109" s="435" t="s">
        <v>10594</v>
      </c>
      <c r="K7109" s="434"/>
    </row>
    <row r="7110" spans="1:30" s="33" customFormat="1">
      <c r="A7110" s="435"/>
      <c r="B7110" s="26"/>
      <c r="C7110" s="2366"/>
      <c r="D7110" s="230"/>
      <c r="E7110" s="203"/>
      <c r="F7110" s="1646"/>
      <c r="G7110" s="314"/>
      <c r="H7110" s="1648"/>
      <c r="I7110" s="434"/>
      <c r="J7110" s="435"/>
      <c r="K7110" s="434"/>
    </row>
    <row r="7111" spans="1:30" s="33" customFormat="1">
      <c r="A7111" s="435"/>
      <c r="B7111" s="26" t="s">
        <v>12997</v>
      </c>
      <c r="C7111" s="2366">
        <v>15.111111111111111</v>
      </c>
      <c r="D7111" s="230">
        <f t="shared" ref="D7111:D7112" si="1083">C7111*(1-VLOOKUP(I7111,descuentos,6,FALSE))*fcl/IF(dol_sol="dólar", TC,1)</f>
        <v>10.251771445801294</v>
      </c>
      <c r="E7111" s="203">
        <v>2</v>
      </c>
      <c r="F7111" s="1646">
        <f t="shared" ref="F7111:F7119" si="1084">D7111+E7111</f>
        <v>12.251771445801294</v>
      </c>
      <c r="G7111" s="314" t="s">
        <v>12998</v>
      </c>
      <c r="H7111" s="1648" t="s">
        <v>12999</v>
      </c>
      <c r="I7111" s="434" t="s">
        <v>10295</v>
      </c>
      <c r="J7111" s="435" t="s">
        <v>10594</v>
      </c>
      <c r="K7111" s="434"/>
    </row>
    <row r="7112" spans="1:30" s="33" customFormat="1">
      <c r="A7112" s="435"/>
      <c r="B7112" s="26" t="s">
        <v>13000</v>
      </c>
      <c r="C7112" s="2366">
        <v>23.299999999999997</v>
      </c>
      <c r="D7112" s="230">
        <f t="shared" si="1083"/>
        <v>15.807327001356848</v>
      </c>
      <c r="E7112" s="203">
        <v>2</v>
      </c>
      <c r="F7112" s="1646">
        <f t="shared" si="1084"/>
        <v>17.807327001356846</v>
      </c>
      <c r="G7112" s="314" t="s">
        <v>13001</v>
      </c>
      <c r="H7112" s="1648" t="s">
        <v>13002</v>
      </c>
      <c r="I7112" s="434" t="s">
        <v>10295</v>
      </c>
      <c r="J7112" s="435" t="s">
        <v>10594</v>
      </c>
      <c r="K7112" s="434"/>
    </row>
    <row r="7113" spans="1:30" s="33" customFormat="1">
      <c r="A7113" s="435"/>
      <c r="B7113" s="26" t="s">
        <v>13003</v>
      </c>
      <c r="C7113" s="2366">
        <v>23.299999999999997</v>
      </c>
      <c r="D7113" s="230">
        <f>C7113*(1-VLOOKUP(I7113,descuentos,6,FALSE))*fcl/IF(dol_sol="dólar", TC,1)</f>
        <v>15.807327001356848</v>
      </c>
      <c r="E7113" s="203">
        <v>2</v>
      </c>
      <c r="F7113" s="1646">
        <f t="shared" si="1084"/>
        <v>17.807327001356846</v>
      </c>
      <c r="G7113" s="314" t="s">
        <v>13004</v>
      </c>
      <c r="H7113" s="1648" t="s">
        <v>13005</v>
      </c>
      <c r="I7113" s="434" t="s">
        <v>10295</v>
      </c>
      <c r="J7113" s="435" t="s">
        <v>10594</v>
      </c>
      <c r="K7113" s="434"/>
    </row>
    <row r="7114" spans="1:30" s="33" customFormat="1">
      <c r="A7114" s="435"/>
      <c r="B7114" s="26" t="s">
        <v>13006</v>
      </c>
      <c r="C7114" s="2366">
        <v>15.111111111111111</v>
      </c>
      <c r="D7114" s="230">
        <f>C7114*(1-VLOOKUP(I7114,descuentos,6,FALSE))*fcl/IF(dol_sol="dólar", TC,1)</f>
        <v>10.251771445801294</v>
      </c>
      <c r="E7114" s="203">
        <v>2</v>
      </c>
      <c r="F7114" s="1646">
        <f t="shared" si="1084"/>
        <v>12.251771445801294</v>
      </c>
      <c r="G7114" s="314" t="s">
        <v>13007</v>
      </c>
      <c r="H7114" s="1648" t="s">
        <v>13008</v>
      </c>
      <c r="I7114" s="434" t="s">
        <v>10295</v>
      </c>
      <c r="J7114" s="435" t="s">
        <v>10594</v>
      </c>
      <c r="K7114" s="434"/>
    </row>
    <row r="7115" spans="1:30" s="33" customFormat="1">
      <c r="A7115" s="435"/>
      <c r="B7115" s="26" t="s">
        <v>13009</v>
      </c>
      <c r="C7115" s="2366">
        <v>24.566666666666666</v>
      </c>
      <c r="D7115" s="230">
        <f>C7115*(1-VLOOKUP(I7115,descuentos,6,FALSE))*fcl/IF(dol_sol="dólar", TC,1)</f>
        <v>16.666666666666664</v>
      </c>
      <c r="E7115" s="203">
        <v>2</v>
      </c>
      <c r="F7115" s="1646">
        <f t="shared" si="1084"/>
        <v>18.666666666666664</v>
      </c>
      <c r="G7115" s="314" t="s">
        <v>13010</v>
      </c>
      <c r="H7115" s="1648" t="s">
        <v>13011</v>
      </c>
      <c r="I7115" s="434" t="s">
        <v>10295</v>
      </c>
      <c r="J7115" s="435" t="s">
        <v>10594</v>
      </c>
      <c r="K7115" s="434"/>
    </row>
    <row r="7116" spans="1:30" s="33" customFormat="1">
      <c r="A7116" s="435"/>
      <c r="B7116" s="26"/>
      <c r="C7116" s="2366"/>
      <c r="D7116" s="230"/>
      <c r="E7116" s="203"/>
      <c r="F7116" s="1646"/>
      <c r="G7116" s="314"/>
      <c r="H7116" s="1648"/>
      <c r="I7116" s="434"/>
      <c r="J7116" s="435"/>
      <c r="K7116" s="434"/>
    </row>
    <row r="7117" spans="1:30" s="33" customFormat="1">
      <c r="A7117" s="435"/>
      <c r="B7117" s="26" t="s">
        <v>13012</v>
      </c>
      <c r="C7117" s="2366">
        <v>31.5</v>
      </c>
      <c r="D7117" s="230">
        <f t="shared" ref="D7117:D7118" si="1085">C7117*(1-VLOOKUP(I7117,descuentos,6,FALSE))*fcl/IF(dol_sol="dólar", TC,1)</f>
        <v>21.370420624151965</v>
      </c>
      <c r="E7117" s="203">
        <v>5</v>
      </c>
      <c r="F7117" s="1646">
        <f t="shared" si="1084"/>
        <v>26.370420624151965</v>
      </c>
      <c r="G7117" s="314" t="s">
        <v>13013</v>
      </c>
      <c r="H7117" s="1648" t="s">
        <v>11951</v>
      </c>
      <c r="I7117" s="434" t="s">
        <v>10295</v>
      </c>
      <c r="J7117" s="435" t="s">
        <v>10594</v>
      </c>
      <c r="K7117" s="434"/>
    </row>
    <row r="7118" spans="1:30" s="33" customFormat="1">
      <c r="A7118" s="435"/>
      <c r="B7118" s="26" t="s">
        <v>13014</v>
      </c>
      <c r="C7118" s="2366">
        <v>100.77777777777777</v>
      </c>
      <c r="D7118" s="230">
        <f t="shared" si="1085"/>
        <v>68.370269862807163</v>
      </c>
      <c r="E7118" s="203">
        <v>10</v>
      </c>
      <c r="F7118" s="1646">
        <f t="shared" si="1084"/>
        <v>78.370269862807163</v>
      </c>
      <c r="G7118" s="314" t="s">
        <v>13015</v>
      </c>
      <c r="H7118" s="1648" t="s">
        <v>13016</v>
      </c>
      <c r="I7118" s="434" t="s">
        <v>10295</v>
      </c>
      <c r="J7118" s="435" t="s">
        <v>10594</v>
      </c>
      <c r="K7118" s="434"/>
    </row>
    <row r="7119" spans="1:30" s="33" customFormat="1">
      <c r="A7119" s="435"/>
      <c r="B7119" s="26" t="s">
        <v>13017</v>
      </c>
      <c r="C7119" s="2366">
        <v>1587.1444444444444</v>
      </c>
      <c r="D7119" s="230">
        <f>C7119*(1-VLOOKUP(I7119,descuentos,6,FALSE))*fcl/IF(dol_sol="dólar", TC,1)</f>
        <v>1076.760138700437</v>
      </c>
      <c r="E7119" s="203">
        <v>15</v>
      </c>
      <c r="F7119" s="1646">
        <f t="shared" si="1084"/>
        <v>1091.760138700437</v>
      </c>
      <c r="G7119" s="314" t="s">
        <v>13018</v>
      </c>
      <c r="H7119" s="1648" t="s">
        <v>13019</v>
      </c>
      <c r="I7119" s="434" t="s">
        <v>10295</v>
      </c>
      <c r="J7119" s="435" t="s">
        <v>10594</v>
      </c>
      <c r="K7119" s="434"/>
    </row>
    <row r="7120" spans="1:30" s="102" customFormat="1">
      <c r="A7120" s="185"/>
      <c r="B7120" s="1525"/>
      <c r="C7120" s="539"/>
      <c r="D7120" s="410"/>
      <c r="E7120" s="540"/>
      <c r="F7120" s="410"/>
      <c r="G7120" s="185"/>
      <c r="H7120" s="139"/>
      <c r="I7120" s="541"/>
      <c r="J7120" s="185"/>
      <c r="K7120" s="185"/>
      <c r="L7120" s="1502"/>
      <c r="M7120" s="1502"/>
      <c r="N7120" s="1502"/>
      <c r="O7120" s="1502"/>
      <c r="P7120" s="1502"/>
      <c r="Q7120" s="1502"/>
      <c r="R7120" s="1502"/>
      <c r="S7120" s="1502"/>
      <c r="T7120" s="1502"/>
      <c r="U7120" s="1502"/>
      <c r="V7120" s="1502"/>
      <c r="W7120" s="1502"/>
      <c r="X7120" s="1502"/>
      <c r="Y7120" s="1502"/>
      <c r="Z7120" s="1502"/>
      <c r="AA7120" s="1502"/>
      <c r="AB7120" s="1502"/>
      <c r="AC7120" s="1502"/>
      <c r="AD7120" s="1502"/>
    </row>
    <row r="7121" spans="1:30" s="185" customFormat="1">
      <c r="B7121" s="2536" t="s">
        <v>10836</v>
      </c>
      <c r="C7121" s="2536"/>
      <c r="D7121" s="2536"/>
      <c r="E7121" s="108"/>
      <c r="F7121" s="102"/>
      <c r="G7121" s="195"/>
      <c r="H7121" s="194"/>
      <c r="I7121" s="102"/>
      <c r="J7121" s="102"/>
      <c r="K7121" s="102"/>
      <c r="L7121" s="102"/>
      <c r="M7121" s="102"/>
      <c r="N7121" s="102"/>
    </row>
    <row r="7122" spans="1:30" s="185" customFormat="1">
      <c r="B7122" s="2536"/>
      <c r="C7122" s="2536"/>
      <c r="D7122" s="2536"/>
      <c r="E7122" s="108"/>
      <c r="F7122" s="102"/>
      <c r="G7122" s="195"/>
      <c r="H7122" s="194"/>
      <c r="I7122" s="102"/>
      <c r="J7122" s="102"/>
    </row>
    <row r="7123" spans="1:30" s="102" customFormat="1">
      <c r="A7123" s="185"/>
      <c r="B7123" s="2536"/>
      <c r="C7123" s="2536"/>
      <c r="D7123" s="2536"/>
      <c r="E7123" s="540"/>
      <c r="F7123" s="410"/>
      <c r="G7123" s="410"/>
      <c r="H7123" s="139"/>
      <c r="I7123" s="541"/>
      <c r="J7123" s="185"/>
      <c r="K7123" s="185"/>
      <c r="L7123" s="1502"/>
      <c r="M7123" s="1502"/>
      <c r="N7123" s="1502"/>
      <c r="O7123" s="1502"/>
      <c r="P7123" s="1502"/>
      <c r="Q7123" s="1502"/>
      <c r="R7123" s="1502"/>
      <c r="S7123" s="1502"/>
      <c r="T7123" s="1502"/>
      <c r="U7123" s="1502"/>
      <c r="V7123" s="1502"/>
      <c r="W7123" s="1502"/>
      <c r="X7123" s="1502"/>
      <c r="Y7123" s="1502"/>
      <c r="Z7123" s="1502"/>
      <c r="AA7123" s="1502"/>
      <c r="AB7123" s="1502"/>
      <c r="AC7123" s="1502"/>
      <c r="AD7123" s="1502"/>
    </row>
    <row r="7124" spans="1:30" s="102" customFormat="1" ht="21">
      <c r="A7124" s="185"/>
      <c r="B7124" s="1655"/>
      <c r="C7124" s="1655"/>
      <c r="D7124" s="1655"/>
      <c r="E7124" s="540"/>
      <c r="F7124" s="410"/>
      <c r="G7124" s="410"/>
      <c r="H7124" s="139"/>
      <c r="I7124" s="541"/>
      <c r="J7124" s="185"/>
      <c r="K7124" s="185"/>
      <c r="L7124" s="1502"/>
      <c r="M7124" s="1502"/>
      <c r="N7124" s="1502"/>
      <c r="O7124" s="1502"/>
      <c r="P7124" s="1502"/>
      <c r="Q7124" s="1502"/>
      <c r="R7124" s="1502"/>
      <c r="S7124" s="1502"/>
      <c r="T7124" s="1502"/>
      <c r="U7124" s="1502"/>
      <c r="V7124" s="1502"/>
      <c r="W7124" s="1502"/>
      <c r="X7124" s="1502"/>
      <c r="Y7124" s="1502"/>
      <c r="Z7124" s="1502"/>
      <c r="AA7124" s="1502"/>
      <c r="AB7124" s="1502"/>
      <c r="AC7124" s="1502"/>
      <c r="AD7124" s="1502"/>
    </row>
    <row r="7125" spans="1:30" s="33" customFormat="1">
      <c r="A7125" s="435"/>
      <c r="B7125" s="26" t="s">
        <v>10837</v>
      </c>
      <c r="C7125" s="2366">
        <v>42.822222222222223</v>
      </c>
      <c r="D7125" s="230">
        <f>C7125*(1-VLOOKUP(I7125,descuentos,6,FALSE))*fcl/IF(dol_sol="dólar", TC,1)</f>
        <v>29.051711141263379</v>
      </c>
      <c r="E7125" s="203">
        <v>5</v>
      </c>
      <c r="F7125" s="1646">
        <f t="shared" ref="F7125:F7128" si="1086">D7125+E7125</f>
        <v>34.051711141263382</v>
      </c>
      <c r="G7125" s="314" t="s">
        <v>12100</v>
      </c>
      <c r="H7125" s="1648">
        <v>417006</v>
      </c>
      <c r="I7125" s="434" t="s">
        <v>10295</v>
      </c>
      <c r="J7125" s="435" t="s">
        <v>10594</v>
      </c>
      <c r="K7125" s="434"/>
    </row>
    <row r="7126" spans="1:30" s="33" customFormat="1">
      <c r="A7126" s="435"/>
      <c r="B7126" s="26" t="s">
        <v>10838</v>
      </c>
      <c r="C7126" s="2366">
        <v>45.977777777777781</v>
      </c>
      <c r="D7126" s="230">
        <f>C7126*(1-VLOOKUP(I7126,descuentos,6,FALSE))*fcl/IF(dol_sol="dólar", TC,1)</f>
        <v>31.192522237298355</v>
      </c>
      <c r="E7126" s="203">
        <v>5</v>
      </c>
      <c r="F7126" s="1646">
        <f t="shared" si="1086"/>
        <v>36.192522237298355</v>
      </c>
      <c r="G7126" s="314" t="s">
        <v>12101</v>
      </c>
      <c r="H7126" s="1648">
        <v>417026</v>
      </c>
      <c r="I7126" s="434" t="s">
        <v>10295</v>
      </c>
      <c r="J7126" s="435" t="s">
        <v>10594</v>
      </c>
      <c r="K7126" s="434"/>
    </row>
    <row r="7127" spans="1:30" s="33" customFormat="1">
      <c r="A7127" s="435"/>
      <c r="B7127" s="26" t="s">
        <v>10839</v>
      </c>
      <c r="C7127" s="2366">
        <v>49.755555555555553</v>
      </c>
      <c r="D7127" s="230">
        <f>C7127*(1-VLOOKUP(I7127,descuentos,6,FALSE))*fcl/IF(dol_sol="dólar", TC,1)</f>
        <v>33.75546509874868</v>
      </c>
      <c r="E7127" s="203">
        <v>5</v>
      </c>
      <c r="F7127" s="1646">
        <f t="shared" si="1086"/>
        <v>38.75546509874868</v>
      </c>
      <c r="G7127" s="314" t="s">
        <v>12102</v>
      </c>
      <c r="H7127" s="1648" t="s">
        <v>10840</v>
      </c>
      <c r="I7127" s="434" t="s">
        <v>10295</v>
      </c>
      <c r="J7127" s="435" t="s">
        <v>10594</v>
      </c>
      <c r="K7127" s="434"/>
    </row>
    <row r="7128" spans="1:30" s="33" customFormat="1">
      <c r="A7128" s="435"/>
      <c r="B7128" s="26" t="s">
        <v>10841</v>
      </c>
      <c r="C7128" s="2366">
        <v>52.9</v>
      </c>
      <c r="D7128" s="230">
        <f>C7128*(1-VLOOKUP(I7128,descuentos,6,FALSE))*fcl/IF(dol_sol="dólar", TC,1)</f>
        <v>35.888738127544087</v>
      </c>
      <c r="E7128" s="203">
        <v>5</v>
      </c>
      <c r="F7128" s="1646">
        <f t="shared" si="1086"/>
        <v>40.888738127544087</v>
      </c>
      <c r="G7128" s="314" t="s">
        <v>12103</v>
      </c>
      <c r="H7128" s="1648" t="s">
        <v>10842</v>
      </c>
      <c r="I7128" s="434" t="s">
        <v>10295</v>
      </c>
      <c r="J7128" s="435" t="s">
        <v>10594</v>
      </c>
      <c r="K7128" s="434"/>
    </row>
    <row r="7129" spans="1:30" s="102" customFormat="1">
      <c r="A7129" s="185"/>
      <c r="B7129" s="1572"/>
      <c r="C7129" s="542"/>
      <c r="D7129" s="525"/>
      <c r="E7129" s="540"/>
      <c r="F7129" s="410"/>
      <c r="G7129" s="186"/>
      <c r="H7129" s="139"/>
      <c r="I7129" s="541"/>
      <c r="J7129" s="321"/>
      <c r="K7129" s="185"/>
      <c r="L7129" s="1502"/>
      <c r="M7129" s="1502"/>
      <c r="N7129" s="1502"/>
      <c r="O7129" s="1502"/>
      <c r="P7129" s="1502"/>
      <c r="Q7129" s="1502"/>
      <c r="R7129" s="1502"/>
      <c r="S7129" s="1502"/>
      <c r="T7129" s="1502"/>
      <c r="U7129" s="1502"/>
      <c r="V7129" s="1502"/>
      <c r="W7129" s="1502"/>
      <c r="X7129" s="1502"/>
      <c r="Y7129" s="1502"/>
      <c r="Z7129" s="1502"/>
      <c r="AA7129" s="1502"/>
      <c r="AB7129" s="1502"/>
      <c r="AC7129" s="1502"/>
      <c r="AD7129" s="1502"/>
    </row>
    <row r="7130" spans="1:30" s="185" customFormat="1">
      <c r="B7130" s="2536" t="s">
        <v>10916</v>
      </c>
      <c r="C7130" s="2536"/>
      <c r="D7130" s="2536"/>
      <c r="E7130" s="108"/>
      <c r="F7130" s="102"/>
      <c r="G7130" s="195"/>
      <c r="H7130" s="194"/>
      <c r="I7130" s="102"/>
      <c r="J7130" s="102"/>
      <c r="K7130" s="102"/>
      <c r="L7130" s="102"/>
      <c r="M7130" s="102"/>
      <c r="N7130" s="102"/>
    </row>
    <row r="7131" spans="1:30" s="185" customFormat="1">
      <c r="B7131" s="2536"/>
      <c r="C7131" s="2536"/>
      <c r="D7131" s="2536"/>
      <c r="E7131" s="108"/>
      <c r="F7131" s="102"/>
      <c r="G7131" s="195"/>
      <c r="H7131" s="194"/>
      <c r="I7131" s="102"/>
      <c r="J7131" s="102"/>
    </row>
    <row r="7132" spans="1:30" s="102" customFormat="1">
      <c r="A7132" s="185"/>
      <c r="B7132" s="2536"/>
      <c r="C7132" s="2536"/>
      <c r="D7132" s="2536"/>
      <c r="E7132" s="540"/>
      <c r="F7132" s="410"/>
      <c r="G7132" s="410"/>
      <c r="H7132" s="139"/>
      <c r="I7132" s="541"/>
      <c r="J7132" s="185"/>
      <c r="K7132" s="185"/>
      <c r="L7132" s="1502"/>
      <c r="M7132" s="1502"/>
      <c r="N7132" s="1502"/>
      <c r="O7132" s="1502"/>
      <c r="P7132" s="1502"/>
      <c r="Q7132" s="1502"/>
      <c r="R7132" s="1502"/>
      <c r="S7132" s="1502"/>
      <c r="T7132" s="1502"/>
      <c r="U7132" s="1502"/>
      <c r="V7132" s="1502"/>
      <c r="W7132" s="1502"/>
      <c r="X7132" s="1502"/>
      <c r="Y7132" s="1502"/>
      <c r="Z7132" s="1502"/>
      <c r="AA7132" s="1502"/>
      <c r="AB7132" s="1502"/>
      <c r="AC7132" s="1502"/>
      <c r="AD7132" s="1502"/>
    </row>
    <row r="7133" spans="1:30" s="102" customFormat="1">
      <c r="A7133" s="185"/>
      <c r="B7133" s="1572"/>
      <c r="C7133" s="542"/>
      <c r="D7133" s="525"/>
      <c r="E7133" s="540"/>
      <c r="F7133" s="410"/>
      <c r="G7133" s="186"/>
      <c r="H7133" s="139"/>
      <c r="I7133" s="541"/>
      <c r="J7133" s="321"/>
      <c r="K7133" s="185"/>
      <c r="L7133" s="1502"/>
      <c r="M7133" s="1502"/>
      <c r="N7133" s="1502"/>
      <c r="O7133" s="1502"/>
      <c r="P7133" s="1502"/>
      <c r="Q7133" s="1502"/>
      <c r="R7133" s="1502"/>
      <c r="S7133" s="1502"/>
      <c r="T7133" s="1502"/>
      <c r="U7133" s="1502"/>
      <c r="V7133" s="1502"/>
      <c r="W7133" s="1502"/>
      <c r="X7133" s="1502"/>
      <c r="Y7133" s="1502"/>
      <c r="Z7133" s="1502"/>
      <c r="AA7133" s="1502"/>
      <c r="AB7133" s="1502"/>
      <c r="AC7133" s="1502"/>
      <c r="AD7133" s="1502"/>
    </row>
    <row r="7134" spans="1:30" s="102" customFormat="1">
      <c r="A7134" s="185"/>
      <c r="B7134" s="26" t="s">
        <v>10917</v>
      </c>
      <c r="C7134" s="2366">
        <v>62.344444444444441</v>
      </c>
      <c r="D7134" s="230">
        <f t="shared" ref="D7134:D7160" si="1087">C7134*(1-VLOOKUP(I7134,descuentos,6,FALSE))*fcl/IF(dol_sol="dólar", TC,1)</f>
        <v>42.296095281169897</v>
      </c>
      <c r="E7134" s="203">
        <v>5</v>
      </c>
      <c r="F7134" s="1646">
        <f t="shared" ref="F7134:F7160" si="1088">D7134+E7134</f>
        <v>47.296095281169897</v>
      </c>
      <c r="G7134" s="146" t="s">
        <v>12104</v>
      </c>
      <c r="H7134" s="1648">
        <v>416640</v>
      </c>
      <c r="I7134" s="434" t="s">
        <v>10295</v>
      </c>
      <c r="J7134" s="435" t="s">
        <v>10594</v>
      </c>
      <c r="K7134" s="434"/>
      <c r="L7134" s="33"/>
    </row>
    <row r="7135" spans="1:30" s="102" customFormat="1">
      <c r="A7135" s="185"/>
      <c r="B7135" s="26" t="s">
        <v>10918</v>
      </c>
      <c r="C7135" s="2366">
        <v>62.344444444444441</v>
      </c>
      <c r="D7135" s="230">
        <f t="shared" si="1087"/>
        <v>42.296095281169897</v>
      </c>
      <c r="E7135" s="203">
        <v>5</v>
      </c>
      <c r="F7135" s="1646">
        <f t="shared" si="1088"/>
        <v>47.296095281169897</v>
      </c>
      <c r="G7135" s="146" t="s">
        <v>12105</v>
      </c>
      <c r="H7135" s="139" t="s">
        <v>10919</v>
      </c>
      <c r="I7135" s="434" t="s">
        <v>10295</v>
      </c>
      <c r="J7135" s="435" t="s">
        <v>10594</v>
      </c>
      <c r="K7135" s="185"/>
      <c r="L7135" s="1502"/>
      <c r="M7135" s="1502"/>
      <c r="N7135" s="1502"/>
      <c r="O7135" s="1502"/>
      <c r="P7135" s="1502"/>
      <c r="Q7135" s="1502"/>
      <c r="R7135" s="1502"/>
      <c r="S7135" s="1502"/>
      <c r="T7135" s="1502"/>
      <c r="U7135" s="1502"/>
      <c r="V7135" s="1502"/>
      <c r="W7135" s="1502"/>
      <c r="X7135" s="1502"/>
      <c r="Y7135" s="1502"/>
      <c r="Z7135" s="1502"/>
      <c r="AA7135" s="1502"/>
      <c r="AB7135" s="1502"/>
      <c r="AC7135" s="1502"/>
      <c r="AD7135" s="1502"/>
    </row>
    <row r="7136" spans="1:30" s="102" customFormat="1">
      <c r="A7136" s="185"/>
      <c r="B7136" s="26" t="s">
        <v>10920</v>
      </c>
      <c r="C7136" s="2366">
        <v>62.344444444444441</v>
      </c>
      <c r="D7136" s="230">
        <f t="shared" si="1087"/>
        <v>42.296095281169897</v>
      </c>
      <c r="E7136" s="203">
        <v>5</v>
      </c>
      <c r="F7136" s="1646">
        <f t="shared" si="1088"/>
        <v>47.296095281169897</v>
      </c>
      <c r="G7136" s="146" t="s">
        <v>12106</v>
      </c>
      <c r="H7136" s="139" t="s">
        <v>10921</v>
      </c>
      <c r="I7136" s="434" t="s">
        <v>10295</v>
      </c>
      <c r="J7136" s="435" t="s">
        <v>10594</v>
      </c>
      <c r="K7136" s="185"/>
      <c r="L7136" s="1502"/>
      <c r="M7136" s="1502"/>
      <c r="N7136" s="1502"/>
      <c r="O7136" s="1502"/>
      <c r="P7136" s="1502"/>
      <c r="Q7136" s="1502"/>
      <c r="R7136" s="1502"/>
      <c r="S7136" s="1502"/>
      <c r="T7136" s="1502"/>
      <c r="U7136" s="1502"/>
      <c r="V7136" s="1502"/>
      <c r="W7136" s="1502"/>
      <c r="X7136" s="1502"/>
      <c r="Y7136" s="1502"/>
      <c r="Z7136" s="1502"/>
      <c r="AA7136" s="1502"/>
      <c r="AB7136" s="1502"/>
      <c r="AC7136" s="1502"/>
      <c r="AD7136" s="1502"/>
    </row>
    <row r="7137" spans="1:30" s="102" customFormat="1">
      <c r="A7137" s="185"/>
      <c r="B7137" s="26" t="s">
        <v>10922</v>
      </c>
      <c r="C7137" s="2366">
        <v>62.344444444444441</v>
      </c>
      <c r="D7137" s="230">
        <f t="shared" si="1087"/>
        <v>42.296095281169897</v>
      </c>
      <c r="E7137" s="203">
        <v>5</v>
      </c>
      <c r="F7137" s="1646">
        <f t="shared" si="1088"/>
        <v>47.296095281169897</v>
      </c>
      <c r="G7137" s="146" t="s">
        <v>12107</v>
      </c>
      <c r="H7137" s="139" t="s">
        <v>10923</v>
      </c>
      <c r="I7137" s="434" t="s">
        <v>10295</v>
      </c>
      <c r="J7137" s="435" t="s">
        <v>10594</v>
      </c>
      <c r="K7137" s="185"/>
      <c r="L7137" s="1502"/>
      <c r="M7137" s="1502"/>
      <c r="N7137" s="1502"/>
      <c r="O7137" s="1502"/>
      <c r="P7137" s="1502"/>
      <c r="Q7137" s="1502"/>
      <c r="R7137" s="1502"/>
      <c r="S7137" s="1502"/>
      <c r="T7137" s="1502"/>
      <c r="U7137" s="1502"/>
      <c r="V7137" s="1502"/>
      <c r="W7137" s="1502"/>
      <c r="X7137" s="1502"/>
      <c r="Y7137" s="1502"/>
      <c r="Z7137" s="1502"/>
      <c r="AA7137" s="1502"/>
      <c r="AB7137" s="1502"/>
      <c r="AC7137" s="1502"/>
      <c r="AD7137" s="1502"/>
    </row>
    <row r="7138" spans="1:30" s="185" customFormat="1">
      <c r="B7138" s="26" t="s">
        <v>10924</v>
      </c>
      <c r="C7138" s="2366">
        <v>62.344444444444441</v>
      </c>
      <c r="D7138" s="230">
        <f t="shared" si="1087"/>
        <v>42.296095281169897</v>
      </c>
      <c r="E7138" s="203">
        <v>5</v>
      </c>
      <c r="F7138" s="1646">
        <f t="shared" si="1088"/>
        <v>47.296095281169897</v>
      </c>
      <c r="G7138" s="146" t="s">
        <v>12108</v>
      </c>
      <c r="H7138" s="194" t="s">
        <v>10925</v>
      </c>
      <c r="I7138" s="434" t="s">
        <v>10295</v>
      </c>
      <c r="J7138" s="435" t="s">
        <v>10594</v>
      </c>
    </row>
    <row r="7139" spans="1:30" s="185" customFormat="1">
      <c r="B7139" s="26" t="s">
        <v>10926</v>
      </c>
      <c r="C7139" s="2366">
        <v>62.344444444444441</v>
      </c>
      <c r="D7139" s="230">
        <f t="shared" si="1087"/>
        <v>42.296095281169897</v>
      </c>
      <c r="E7139" s="203">
        <v>5</v>
      </c>
      <c r="F7139" s="1646">
        <f t="shared" si="1088"/>
        <v>47.296095281169897</v>
      </c>
      <c r="G7139" s="146" t="s">
        <v>12109</v>
      </c>
      <c r="H7139" s="194" t="s">
        <v>10927</v>
      </c>
      <c r="I7139" s="434" t="s">
        <v>10295</v>
      </c>
      <c r="J7139" s="435" t="s">
        <v>10594</v>
      </c>
    </row>
    <row r="7140" spans="1:30" s="185" customFormat="1">
      <c r="B7140" s="26" t="s">
        <v>10928</v>
      </c>
      <c r="C7140" s="2366">
        <v>62.344444444444441</v>
      </c>
      <c r="D7140" s="230">
        <f t="shared" si="1087"/>
        <v>42.296095281169897</v>
      </c>
      <c r="E7140" s="203">
        <v>5</v>
      </c>
      <c r="F7140" s="1646">
        <f t="shared" si="1088"/>
        <v>47.296095281169897</v>
      </c>
      <c r="G7140" s="146" t="s">
        <v>12110</v>
      </c>
      <c r="H7140" s="194" t="s">
        <v>10929</v>
      </c>
      <c r="I7140" s="434" t="s">
        <v>10295</v>
      </c>
      <c r="J7140" s="435" t="s">
        <v>10594</v>
      </c>
    </row>
    <row r="7141" spans="1:30" s="185" customFormat="1">
      <c r="B7141" s="26" t="s">
        <v>10930</v>
      </c>
      <c r="C7141" s="2366">
        <v>62.344444444444441</v>
      </c>
      <c r="D7141" s="230">
        <f t="shared" si="1087"/>
        <v>42.296095281169897</v>
      </c>
      <c r="E7141" s="203">
        <v>5</v>
      </c>
      <c r="F7141" s="1646">
        <f t="shared" si="1088"/>
        <v>47.296095281169897</v>
      </c>
      <c r="G7141" s="146" t="s">
        <v>12111</v>
      </c>
      <c r="H7141" s="194" t="s">
        <v>10931</v>
      </c>
      <c r="I7141" s="434" t="s">
        <v>10295</v>
      </c>
      <c r="J7141" s="435" t="s">
        <v>10594</v>
      </c>
    </row>
    <row r="7142" spans="1:30" s="185" customFormat="1">
      <c r="B7142" s="26" t="s">
        <v>10932</v>
      </c>
      <c r="C7142" s="2366">
        <v>62.344444444444441</v>
      </c>
      <c r="D7142" s="230">
        <f t="shared" si="1087"/>
        <v>42.296095281169897</v>
      </c>
      <c r="E7142" s="203">
        <v>5</v>
      </c>
      <c r="F7142" s="1646">
        <f t="shared" si="1088"/>
        <v>47.296095281169897</v>
      </c>
      <c r="G7142" s="146" t="s">
        <v>12112</v>
      </c>
      <c r="H7142" s="194" t="s">
        <v>10933</v>
      </c>
      <c r="I7142" s="434" t="s">
        <v>10295</v>
      </c>
      <c r="J7142" s="435" t="s">
        <v>10594</v>
      </c>
    </row>
    <row r="7143" spans="1:30" s="185" customFormat="1">
      <c r="B7143" s="26" t="s">
        <v>10934</v>
      </c>
      <c r="C7143" s="2366">
        <v>62.344444444444441</v>
      </c>
      <c r="D7143" s="230">
        <f t="shared" si="1087"/>
        <v>42.296095281169897</v>
      </c>
      <c r="E7143" s="203">
        <v>5</v>
      </c>
      <c r="F7143" s="1646">
        <f t="shared" si="1088"/>
        <v>47.296095281169897</v>
      </c>
      <c r="G7143" s="146" t="s">
        <v>12113</v>
      </c>
      <c r="H7143" s="194" t="s">
        <v>10935</v>
      </c>
      <c r="I7143" s="434" t="s">
        <v>10295</v>
      </c>
      <c r="J7143" s="435" t="s">
        <v>10594</v>
      </c>
    </row>
    <row r="7144" spans="1:30">
      <c r="B7144" s="26" t="s">
        <v>10936</v>
      </c>
      <c r="C7144" s="2366">
        <v>62.344444444444441</v>
      </c>
      <c r="D7144" s="230">
        <f t="shared" si="1087"/>
        <v>42.296095281169897</v>
      </c>
      <c r="E7144" s="203">
        <v>5</v>
      </c>
      <c r="F7144" s="1646">
        <f t="shared" si="1088"/>
        <v>47.296095281169897</v>
      </c>
      <c r="G7144" s="146" t="s">
        <v>12114</v>
      </c>
      <c r="H7144" s="194" t="s">
        <v>10937</v>
      </c>
      <c r="I7144" s="434" t="s">
        <v>10295</v>
      </c>
      <c r="J7144" s="435" t="s">
        <v>10594</v>
      </c>
    </row>
    <row r="7145" spans="1:30">
      <c r="B7145" s="26" t="s">
        <v>10938</v>
      </c>
      <c r="C7145" s="2366">
        <v>62.344444444444441</v>
      </c>
      <c r="D7145" s="230">
        <f t="shared" si="1087"/>
        <v>42.296095281169897</v>
      </c>
      <c r="E7145" s="203">
        <v>5</v>
      </c>
      <c r="F7145" s="1646">
        <f t="shared" si="1088"/>
        <v>47.296095281169897</v>
      </c>
      <c r="G7145" s="146" t="s">
        <v>12115</v>
      </c>
      <c r="H7145" s="194" t="s">
        <v>10939</v>
      </c>
      <c r="I7145" s="434" t="s">
        <v>10295</v>
      </c>
      <c r="J7145" s="435" t="s">
        <v>10594</v>
      </c>
    </row>
    <row r="7146" spans="1:30">
      <c r="B7146" s="26" t="s">
        <v>10940</v>
      </c>
      <c r="C7146" s="2366">
        <v>62.344444444444441</v>
      </c>
      <c r="D7146" s="230">
        <f t="shared" si="1087"/>
        <v>42.296095281169897</v>
      </c>
      <c r="E7146" s="203">
        <v>5</v>
      </c>
      <c r="F7146" s="1646">
        <f t="shared" si="1088"/>
        <v>47.296095281169897</v>
      </c>
      <c r="G7146" s="146" t="s">
        <v>12116</v>
      </c>
      <c r="H7146" s="194" t="s">
        <v>10941</v>
      </c>
      <c r="I7146" s="434" t="s">
        <v>10295</v>
      </c>
      <c r="J7146" s="435" t="s">
        <v>10594</v>
      </c>
    </row>
    <row r="7147" spans="1:30">
      <c r="B7147" s="26" t="s">
        <v>10942</v>
      </c>
      <c r="C7147" s="2366">
        <v>62.344444444444441</v>
      </c>
      <c r="D7147" s="230">
        <f t="shared" si="1087"/>
        <v>42.296095281169897</v>
      </c>
      <c r="E7147" s="203">
        <v>5</v>
      </c>
      <c r="F7147" s="1646">
        <f t="shared" si="1088"/>
        <v>47.296095281169897</v>
      </c>
      <c r="G7147" s="146" t="s">
        <v>12117</v>
      </c>
      <c r="H7147" s="194" t="s">
        <v>10943</v>
      </c>
      <c r="I7147" s="434" t="s">
        <v>10295</v>
      </c>
      <c r="J7147" s="435" t="s">
        <v>10594</v>
      </c>
    </row>
    <row r="7148" spans="1:30">
      <c r="B7148" s="26" t="s">
        <v>10944</v>
      </c>
      <c r="C7148" s="2366">
        <v>62.344444444444441</v>
      </c>
      <c r="D7148" s="230">
        <f t="shared" si="1087"/>
        <v>42.296095281169897</v>
      </c>
      <c r="E7148" s="203">
        <v>5</v>
      </c>
      <c r="F7148" s="1646">
        <f t="shared" si="1088"/>
        <v>47.296095281169897</v>
      </c>
      <c r="G7148" s="146" t="s">
        <v>12118</v>
      </c>
      <c r="H7148" s="194" t="s">
        <v>10945</v>
      </c>
      <c r="I7148" s="434" t="s">
        <v>10295</v>
      </c>
      <c r="J7148" s="435" t="s">
        <v>10594</v>
      </c>
    </row>
    <row r="7149" spans="1:30">
      <c r="B7149" s="26" t="s">
        <v>10946</v>
      </c>
      <c r="C7149" s="2366">
        <v>62.344444444444441</v>
      </c>
      <c r="D7149" s="230">
        <f t="shared" si="1087"/>
        <v>42.296095281169897</v>
      </c>
      <c r="E7149" s="203">
        <v>5</v>
      </c>
      <c r="F7149" s="1646">
        <f t="shared" si="1088"/>
        <v>47.296095281169897</v>
      </c>
      <c r="G7149" s="146" t="s">
        <v>12119</v>
      </c>
      <c r="H7149" s="194" t="s">
        <v>10947</v>
      </c>
      <c r="I7149" s="434" t="s">
        <v>10295</v>
      </c>
      <c r="J7149" s="435" t="s">
        <v>10594</v>
      </c>
    </row>
    <row r="7150" spans="1:30">
      <c r="B7150" s="26" t="s">
        <v>10948</v>
      </c>
      <c r="C7150" s="2366">
        <v>62.344444444444441</v>
      </c>
      <c r="D7150" s="230">
        <f t="shared" si="1087"/>
        <v>42.296095281169897</v>
      </c>
      <c r="E7150" s="203">
        <v>5</v>
      </c>
      <c r="F7150" s="1646">
        <f t="shared" si="1088"/>
        <v>47.296095281169897</v>
      </c>
      <c r="G7150" s="146" t="s">
        <v>12120</v>
      </c>
      <c r="H7150" s="194" t="s">
        <v>10949</v>
      </c>
      <c r="I7150" s="434" t="s">
        <v>10295</v>
      </c>
      <c r="J7150" s="435" t="s">
        <v>10594</v>
      </c>
    </row>
    <row r="7151" spans="1:30">
      <c r="B7151" s="26" t="s">
        <v>10950</v>
      </c>
      <c r="C7151" s="2366">
        <v>62.344444444444441</v>
      </c>
      <c r="D7151" s="230">
        <f t="shared" si="1087"/>
        <v>42.296095281169897</v>
      </c>
      <c r="E7151" s="203">
        <v>5</v>
      </c>
      <c r="F7151" s="1646">
        <f t="shared" si="1088"/>
        <v>47.296095281169897</v>
      </c>
      <c r="G7151" s="146" t="s">
        <v>12121</v>
      </c>
      <c r="H7151" s="194" t="s">
        <v>10951</v>
      </c>
      <c r="I7151" s="434" t="s">
        <v>10295</v>
      </c>
      <c r="J7151" s="435" t="s">
        <v>10594</v>
      </c>
    </row>
    <row r="7152" spans="1:30">
      <c r="B7152" s="26" t="s">
        <v>10952</v>
      </c>
      <c r="C7152" s="2366">
        <v>103.28888888888888</v>
      </c>
      <c r="D7152" s="230">
        <f t="shared" si="1087"/>
        <v>70.073873058947669</v>
      </c>
      <c r="E7152" s="203">
        <v>5</v>
      </c>
      <c r="F7152" s="1646">
        <f t="shared" si="1088"/>
        <v>75.073873058947669</v>
      </c>
      <c r="G7152" s="146" t="s">
        <v>12122</v>
      </c>
      <c r="H7152" s="194" t="s">
        <v>10953</v>
      </c>
      <c r="I7152" s="434" t="s">
        <v>10295</v>
      </c>
      <c r="J7152" s="435" t="s">
        <v>10594</v>
      </c>
    </row>
    <row r="7153" spans="1:14">
      <c r="B7153" s="26" t="s">
        <v>10954</v>
      </c>
      <c r="C7153" s="2366">
        <v>103.28888888888888</v>
      </c>
      <c r="D7153" s="230">
        <f t="shared" si="1087"/>
        <v>70.073873058947669</v>
      </c>
      <c r="E7153" s="203">
        <v>5</v>
      </c>
      <c r="F7153" s="1646">
        <f t="shared" si="1088"/>
        <v>75.073873058947669</v>
      </c>
      <c r="G7153" s="146" t="s">
        <v>12123</v>
      </c>
      <c r="H7153" s="194" t="s">
        <v>10955</v>
      </c>
      <c r="I7153" s="434" t="s">
        <v>10295</v>
      </c>
      <c r="J7153" s="435" t="s">
        <v>10594</v>
      </c>
    </row>
    <row r="7154" spans="1:14">
      <c r="B7154" s="26" t="s">
        <v>10956</v>
      </c>
      <c r="C7154" s="2366">
        <v>105.81111111111112</v>
      </c>
      <c r="D7154" s="230">
        <f t="shared" si="1087"/>
        <v>71.785014322327754</v>
      </c>
      <c r="E7154" s="203">
        <v>5</v>
      </c>
      <c r="F7154" s="1646">
        <f t="shared" si="1088"/>
        <v>76.785014322327754</v>
      </c>
      <c r="G7154" s="146" t="s">
        <v>12124</v>
      </c>
      <c r="H7154" s="194" t="s">
        <v>10957</v>
      </c>
      <c r="I7154" s="434" t="s">
        <v>10295</v>
      </c>
      <c r="J7154" s="435" t="s">
        <v>10594</v>
      </c>
    </row>
    <row r="7155" spans="1:14">
      <c r="B7155" s="26" t="s">
        <v>10958</v>
      </c>
      <c r="C7155" s="2366">
        <v>105.81111111111112</v>
      </c>
      <c r="D7155" s="230">
        <f t="shared" si="1087"/>
        <v>71.785014322327754</v>
      </c>
      <c r="E7155" s="203">
        <v>8</v>
      </c>
      <c r="F7155" s="1646">
        <f t="shared" si="1088"/>
        <v>79.785014322327754</v>
      </c>
      <c r="G7155" s="146" t="s">
        <v>12125</v>
      </c>
      <c r="H7155" s="194" t="s">
        <v>10959</v>
      </c>
      <c r="I7155" s="434" t="s">
        <v>10295</v>
      </c>
      <c r="J7155" s="435" t="s">
        <v>10594</v>
      </c>
    </row>
    <row r="7156" spans="1:14">
      <c r="B7156" s="26" t="s">
        <v>10960</v>
      </c>
      <c r="C7156" s="2366">
        <v>204.7</v>
      </c>
      <c r="D7156" s="230">
        <f t="shared" si="1087"/>
        <v>138.87381275440973</v>
      </c>
      <c r="E7156" s="203">
        <v>8</v>
      </c>
      <c r="F7156" s="1646">
        <f t="shared" si="1088"/>
        <v>146.87381275440973</v>
      </c>
      <c r="G7156" s="146" t="s">
        <v>12126</v>
      </c>
      <c r="H7156" s="194" t="s">
        <v>10961</v>
      </c>
      <c r="I7156" s="434" t="s">
        <v>10295</v>
      </c>
      <c r="J7156" s="435" t="s">
        <v>10594</v>
      </c>
    </row>
    <row r="7157" spans="1:14">
      <c r="B7157" s="26" t="s">
        <v>10962</v>
      </c>
      <c r="C7157" s="2366">
        <v>204.7</v>
      </c>
      <c r="D7157" s="230">
        <f t="shared" si="1087"/>
        <v>138.87381275440973</v>
      </c>
      <c r="E7157" s="203">
        <v>8</v>
      </c>
      <c r="F7157" s="1646">
        <f t="shared" si="1088"/>
        <v>146.87381275440973</v>
      </c>
      <c r="G7157" s="146" t="s">
        <v>12127</v>
      </c>
      <c r="H7157" s="194" t="s">
        <v>10963</v>
      </c>
      <c r="I7157" s="434" t="s">
        <v>10295</v>
      </c>
      <c r="J7157" s="435" t="s">
        <v>10594</v>
      </c>
    </row>
    <row r="7158" spans="1:14">
      <c r="B7158" s="26" t="s">
        <v>10964</v>
      </c>
      <c r="C7158" s="2366">
        <v>204.7</v>
      </c>
      <c r="D7158" s="230">
        <f t="shared" si="1087"/>
        <v>138.87381275440973</v>
      </c>
      <c r="E7158" s="203">
        <v>8</v>
      </c>
      <c r="F7158" s="1646">
        <f t="shared" si="1088"/>
        <v>146.87381275440973</v>
      </c>
      <c r="G7158" s="146" t="s">
        <v>12128</v>
      </c>
      <c r="H7158" s="194" t="s">
        <v>10965</v>
      </c>
      <c r="I7158" s="434" t="s">
        <v>10295</v>
      </c>
      <c r="J7158" s="435" t="s">
        <v>10594</v>
      </c>
    </row>
    <row r="7159" spans="1:14">
      <c r="B7159" s="26" t="s">
        <v>10966</v>
      </c>
      <c r="C7159" s="2366">
        <v>204.7</v>
      </c>
      <c r="D7159" s="230">
        <f t="shared" si="1087"/>
        <v>138.87381275440973</v>
      </c>
      <c r="E7159" s="203">
        <v>8</v>
      </c>
      <c r="F7159" s="1646">
        <f t="shared" si="1088"/>
        <v>146.87381275440973</v>
      </c>
      <c r="G7159" s="146" t="s">
        <v>12129</v>
      </c>
      <c r="H7159" s="194" t="s">
        <v>10967</v>
      </c>
      <c r="I7159" s="434" t="s">
        <v>10295</v>
      </c>
      <c r="J7159" s="435" t="s">
        <v>10594</v>
      </c>
    </row>
    <row r="7160" spans="1:14">
      <c r="B7160" s="26" t="s">
        <v>10968</v>
      </c>
      <c r="C7160" s="2366">
        <v>297.27777777777777</v>
      </c>
      <c r="D7160" s="230">
        <f t="shared" si="1087"/>
        <v>201.6809889944218</v>
      </c>
      <c r="E7160" s="203">
        <v>8</v>
      </c>
      <c r="F7160" s="1646">
        <f t="shared" si="1088"/>
        <v>209.6809889944218</v>
      </c>
      <c r="G7160" s="146" t="s">
        <v>12130</v>
      </c>
      <c r="H7160" s="194">
        <v>416765</v>
      </c>
      <c r="I7160" s="434" t="s">
        <v>10295</v>
      </c>
      <c r="J7160" s="435" t="s">
        <v>10594</v>
      </c>
    </row>
    <row r="7161" spans="1:14">
      <c r="B7161" s="194"/>
      <c r="C7161" s="228"/>
      <c r="D7161" s="212"/>
      <c r="E7161" s="108"/>
      <c r="F7161" s="102"/>
      <c r="G7161" s="195"/>
      <c r="H7161" s="194"/>
      <c r="I7161" s="102"/>
      <c r="J7161" s="102"/>
    </row>
    <row r="7162" spans="1:14">
      <c r="B7162" s="194"/>
      <c r="C7162" s="228"/>
      <c r="D7162" s="212"/>
      <c r="E7162" s="108"/>
      <c r="F7162" s="102"/>
      <c r="G7162" s="195"/>
      <c r="H7162" s="194"/>
      <c r="I7162" s="102"/>
      <c r="J7162" s="102"/>
    </row>
    <row r="7163" spans="1:14">
      <c r="B7163" s="194"/>
      <c r="C7163" s="228"/>
      <c r="D7163" s="212"/>
      <c r="E7163" s="108"/>
      <c r="F7163" s="102"/>
      <c r="G7163" s="195"/>
      <c r="H7163" s="194"/>
      <c r="I7163" s="102"/>
      <c r="J7163" s="102"/>
    </row>
    <row r="7164" spans="1:14" ht="28.2">
      <c r="A7164" s="185"/>
      <c r="B7164" s="1552" t="s">
        <v>14141</v>
      </c>
      <c r="C7164" s="228"/>
      <c r="D7164" s="212"/>
      <c r="E7164" s="108"/>
      <c r="F7164" s="102"/>
      <c r="G7164" s="195"/>
      <c r="H7164" s="194"/>
      <c r="I7164" s="102"/>
      <c r="J7164" s="102"/>
      <c r="K7164" s="102"/>
      <c r="L7164" s="102"/>
      <c r="M7164" s="102"/>
      <c r="N7164" s="102"/>
    </row>
    <row r="7165" spans="1:14" ht="15" customHeight="1">
      <c r="A7165" s="185"/>
      <c r="B7165" s="1552"/>
      <c r="C7165" s="228"/>
      <c r="D7165" s="212"/>
      <c r="E7165" s="108"/>
      <c r="F7165" s="102"/>
      <c r="G7165" s="195"/>
      <c r="H7165" s="194"/>
      <c r="I7165" s="102"/>
      <c r="J7165" s="102"/>
      <c r="K7165" s="102"/>
      <c r="L7165" s="102"/>
      <c r="M7165" s="102"/>
      <c r="N7165" s="102"/>
    </row>
    <row r="7166" spans="1:14">
      <c r="A7166" s="369"/>
      <c r="B7166" s="143" t="s">
        <v>14142</v>
      </c>
      <c r="C7166" s="2409">
        <v>216</v>
      </c>
      <c r="D7166" s="2410">
        <f t="shared" ref="D7166:D7172" si="1089">C7166*fcl*(1-0.37)/TC</f>
        <v>92.320217096336492</v>
      </c>
      <c r="E7166" s="215">
        <v>6</v>
      </c>
      <c r="F7166" s="511">
        <f>ROUNDUP(D7166+E7166,1)</f>
        <v>98.399999999999991</v>
      </c>
      <c r="G7166" s="314" t="s">
        <v>14143</v>
      </c>
      <c r="H7166" s="632">
        <v>606945</v>
      </c>
      <c r="I7166" s="452" t="s">
        <v>14144</v>
      </c>
      <c r="J7166" s="369" t="s">
        <v>14145</v>
      </c>
      <c r="K7166" s="452"/>
    </row>
    <row r="7167" spans="1:14">
      <c r="A7167" s="369"/>
      <c r="B7167" s="143" t="s">
        <v>14146</v>
      </c>
      <c r="C7167" s="2409">
        <v>209</v>
      </c>
      <c r="D7167" s="2410">
        <f t="shared" si="1089"/>
        <v>89.328358208955208</v>
      </c>
      <c r="E7167" s="215">
        <v>6</v>
      </c>
      <c r="F7167" s="511">
        <f>ROUNDUP(D7167+E7167,1)</f>
        <v>95.399999999999991</v>
      </c>
      <c r="G7167" s="314" t="s">
        <v>14147</v>
      </c>
      <c r="H7167" s="632">
        <v>606946</v>
      </c>
      <c r="I7167" s="452" t="s">
        <v>14144</v>
      </c>
      <c r="J7167" s="369" t="s">
        <v>14145</v>
      </c>
      <c r="K7167" s="452"/>
    </row>
    <row r="7168" spans="1:14">
      <c r="A7168" s="369"/>
      <c r="B7168" s="143" t="s">
        <v>14148</v>
      </c>
      <c r="C7168" s="2409">
        <v>201</v>
      </c>
      <c r="D7168" s="2410">
        <f t="shared" si="1089"/>
        <v>85.909090909090892</v>
      </c>
      <c r="E7168" s="215">
        <v>6</v>
      </c>
      <c r="F7168" s="511">
        <f>ROUNDUP(D7168+E7168,1)</f>
        <v>92</v>
      </c>
      <c r="G7168" s="314" t="s">
        <v>14149</v>
      </c>
      <c r="H7168" s="632">
        <v>606948</v>
      </c>
      <c r="I7168" s="452" t="s">
        <v>14144</v>
      </c>
      <c r="J7168" s="369" t="s">
        <v>14145</v>
      </c>
      <c r="K7168" s="452"/>
    </row>
    <row r="7169" spans="1:11">
      <c r="A7169" s="369"/>
      <c r="B7169" s="143" t="s">
        <v>14150</v>
      </c>
      <c r="C7169" s="2409">
        <v>201</v>
      </c>
      <c r="D7169" s="2410">
        <f t="shared" si="1089"/>
        <v>85.909090909090892</v>
      </c>
      <c r="E7169" s="215">
        <v>3</v>
      </c>
      <c r="F7169" s="511">
        <f t="shared" ref="F7169:F7172" si="1090">ROUNDUP(D7169+E7169,1)</f>
        <v>89</v>
      </c>
      <c r="G7169" s="314" t="s">
        <v>14151</v>
      </c>
      <c r="H7169" s="632">
        <v>606949</v>
      </c>
      <c r="I7169" s="452" t="s">
        <v>14144</v>
      </c>
      <c r="J7169" s="369" t="s">
        <v>14145</v>
      </c>
      <c r="K7169" s="452"/>
    </row>
    <row r="7170" spans="1:11">
      <c r="A7170" s="369"/>
      <c r="B7170" s="143" t="s">
        <v>14152</v>
      </c>
      <c r="C7170" s="2409">
        <v>201</v>
      </c>
      <c r="D7170" s="2410">
        <f t="shared" si="1089"/>
        <v>85.909090909090892</v>
      </c>
      <c r="E7170" s="215">
        <v>6</v>
      </c>
      <c r="F7170" s="511">
        <f t="shared" si="1090"/>
        <v>92</v>
      </c>
      <c r="G7170" s="314" t="s">
        <v>14153</v>
      </c>
      <c r="H7170" s="632">
        <v>606950</v>
      </c>
      <c r="I7170" s="452" t="s">
        <v>14144</v>
      </c>
      <c r="J7170" s="369" t="s">
        <v>14145</v>
      </c>
      <c r="K7170" s="452"/>
    </row>
    <row r="7171" spans="1:11">
      <c r="A7171" s="369"/>
      <c r="B7171" s="143" t="s">
        <v>14154</v>
      </c>
      <c r="C7171" s="2409">
        <v>218</v>
      </c>
      <c r="D7171" s="2410">
        <f t="shared" si="1089"/>
        <v>93.175033921302557</v>
      </c>
      <c r="E7171" s="215">
        <v>6</v>
      </c>
      <c r="F7171" s="511">
        <f t="shared" si="1090"/>
        <v>99.199999999999989</v>
      </c>
      <c r="G7171" s="314" t="s">
        <v>14155</v>
      </c>
      <c r="H7171" s="632">
        <v>606951</v>
      </c>
      <c r="I7171" s="452" t="s">
        <v>14144</v>
      </c>
      <c r="J7171" s="369" t="s">
        <v>14145</v>
      </c>
      <c r="K7171" s="452"/>
    </row>
    <row r="7172" spans="1:11">
      <c r="A7172" s="369"/>
      <c r="B7172" s="143" t="s">
        <v>14156</v>
      </c>
      <c r="C7172" s="2409">
        <v>236</v>
      </c>
      <c r="D7172" s="2410">
        <f t="shared" si="1089"/>
        <v>100.86838534599725</v>
      </c>
      <c r="E7172" s="215">
        <v>2</v>
      </c>
      <c r="F7172" s="511">
        <f t="shared" si="1090"/>
        <v>102.89999999999999</v>
      </c>
      <c r="G7172" s="314" t="s">
        <v>14157</v>
      </c>
      <c r="H7172" s="632">
        <v>606952</v>
      </c>
      <c r="I7172" s="452" t="s">
        <v>14144</v>
      </c>
      <c r="J7172" s="369" t="s">
        <v>14145</v>
      </c>
      <c r="K7172" s="452"/>
    </row>
    <row r="7173" spans="1:11">
      <c r="H7173" s="135"/>
    </row>
    <row r="7174" spans="1:11">
      <c r="H7174" s="135"/>
    </row>
    <row r="7175" spans="1:11">
      <c r="H7175" s="135"/>
    </row>
    <row r="7176" spans="1:11">
      <c r="H7176" s="135"/>
    </row>
    <row r="7177" spans="1:11">
      <c r="H7177" s="135"/>
    </row>
    <row r="7178" spans="1:11">
      <c r="H7178" s="135"/>
    </row>
    <row r="7179" spans="1:11">
      <c r="H7179" s="135"/>
    </row>
    <row r="7180" spans="1:11">
      <c r="H7180" s="135"/>
    </row>
    <row r="7181" spans="1:11">
      <c r="H7181" s="135"/>
    </row>
    <row r="7182" spans="1:11">
      <c r="H7182" s="135"/>
    </row>
    <row r="7183" spans="1:11">
      <c r="H7183" s="135"/>
    </row>
    <row r="7184" spans="1:11">
      <c r="H7184" s="135"/>
    </row>
    <row r="7185" spans="8:8">
      <c r="H7185" s="135"/>
    </row>
    <row r="7186" spans="8:8">
      <c r="H7186" s="135"/>
    </row>
    <row r="7187" spans="8:8">
      <c r="H7187" s="135"/>
    </row>
    <row r="7188" spans="8:8">
      <c r="H7188" s="135"/>
    </row>
    <row r="7189" spans="8:8">
      <c r="H7189" s="135"/>
    </row>
    <row r="7190" spans="8:8">
      <c r="H7190" s="135"/>
    </row>
    <row r="7191" spans="8:8">
      <c r="H7191" s="135"/>
    </row>
    <row r="7192" spans="8:8">
      <c r="H7192" s="135"/>
    </row>
    <row r="7193" spans="8:8">
      <c r="H7193" s="135"/>
    </row>
    <row r="7194" spans="8:8">
      <c r="H7194" s="135"/>
    </row>
    <row r="7195" spans="8:8">
      <c r="H7195" s="135"/>
    </row>
    <row r="7196" spans="8:8">
      <c r="H7196" s="135"/>
    </row>
    <row r="7197" spans="8:8">
      <c r="H7197" s="135"/>
    </row>
    <row r="7198" spans="8:8">
      <c r="H7198" s="135"/>
    </row>
    <row r="7199" spans="8:8">
      <c r="H7199" s="135"/>
    </row>
    <row r="7200" spans="8:8">
      <c r="H7200" s="135"/>
    </row>
    <row r="7201" spans="8:8">
      <c r="H7201" s="135"/>
    </row>
    <row r="7202" spans="8:8">
      <c r="H7202" s="135"/>
    </row>
    <row r="7203" spans="8:8">
      <c r="H7203" s="135"/>
    </row>
    <row r="7204" spans="8:8">
      <c r="H7204" s="135"/>
    </row>
    <row r="7205" spans="8:8">
      <c r="H7205" s="135"/>
    </row>
    <row r="7206" spans="8:8">
      <c r="H7206" s="135"/>
    </row>
    <row r="7207" spans="8:8">
      <c r="H7207" s="135"/>
    </row>
    <row r="7208" spans="8:8">
      <c r="H7208" s="135"/>
    </row>
    <row r="7209" spans="8:8">
      <c r="H7209" s="135"/>
    </row>
    <row r="7210" spans="8:8">
      <c r="H7210" s="135"/>
    </row>
    <row r="7211" spans="8:8">
      <c r="H7211" s="135"/>
    </row>
    <row r="7212" spans="8:8">
      <c r="H7212" s="135"/>
    </row>
    <row r="7213" spans="8:8">
      <c r="H7213" s="135"/>
    </row>
    <row r="7214" spans="8:8">
      <c r="H7214" s="135"/>
    </row>
    <row r="7215" spans="8:8">
      <c r="H7215" s="135"/>
    </row>
    <row r="7216" spans="8:8">
      <c r="H7216" s="135"/>
    </row>
    <row r="7217" spans="8:8">
      <c r="H7217" s="135"/>
    </row>
    <row r="7218" spans="8:8">
      <c r="H7218" s="135"/>
    </row>
    <row r="7219" spans="8:8">
      <c r="H7219" s="135"/>
    </row>
    <row r="7220" spans="8:8">
      <c r="H7220" s="135"/>
    </row>
    <row r="7221" spans="8:8">
      <c r="H7221" s="135"/>
    </row>
    <row r="7222" spans="8:8">
      <c r="H7222" s="135"/>
    </row>
    <row r="7223" spans="8:8">
      <c r="H7223" s="135"/>
    </row>
    <row r="7224" spans="8:8">
      <c r="H7224" s="135"/>
    </row>
    <row r="7225" spans="8:8">
      <c r="H7225" s="135"/>
    </row>
    <row r="7226" spans="8:8">
      <c r="H7226" s="135"/>
    </row>
    <row r="7227" spans="8:8">
      <c r="H7227" s="135"/>
    </row>
    <row r="7228" spans="8:8">
      <c r="H7228" s="135"/>
    </row>
    <row r="7229" spans="8:8">
      <c r="H7229" s="135"/>
    </row>
    <row r="7230" spans="8:8">
      <c r="H7230" s="135"/>
    </row>
    <row r="7231" spans="8:8">
      <c r="H7231" s="135"/>
    </row>
    <row r="7232" spans="8:8">
      <c r="H7232" s="135"/>
    </row>
    <row r="7233" spans="8:8">
      <c r="H7233" s="135"/>
    </row>
    <row r="7234" spans="8:8">
      <c r="H7234" s="135"/>
    </row>
    <row r="7235" spans="8:8">
      <c r="H7235" s="135"/>
    </row>
    <row r="7236" spans="8:8">
      <c r="H7236" s="135"/>
    </row>
    <row r="7237" spans="8:8">
      <c r="H7237" s="135"/>
    </row>
    <row r="7238" spans="8:8">
      <c r="H7238" s="135"/>
    </row>
    <row r="7239" spans="8:8">
      <c r="H7239" s="135"/>
    </row>
    <row r="7240" spans="8:8">
      <c r="H7240" s="135"/>
    </row>
    <row r="7241" spans="8:8">
      <c r="H7241" s="135"/>
    </row>
    <row r="7242" spans="8:8">
      <c r="H7242" s="135"/>
    </row>
    <row r="7243" spans="8:8">
      <c r="H7243" s="135"/>
    </row>
    <row r="7244" spans="8:8">
      <c r="H7244" s="135"/>
    </row>
    <row r="7245" spans="8:8">
      <c r="H7245" s="135"/>
    </row>
    <row r="7246" spans="8:8">
      <c r="H7246" s="135"/>
    </row>
    <row r="7247" spans="8:8">
      <c r="H7247" s="135"/>
    </row>
    <row r="7248" spans="8:8">
      <c r="H7248" s="135"/>
    </row>
    <row r="7249" spans="8:8">
      <c r="H7249" s="135"/>
    </row>
    <row r="7250" spans="8:8">
      <c r="H7250" s="135"/>
    </row>
    <row r="7251" spans="8:8">
      <c r="H7251" s="135"/>
    </row>
    <row r="7252" spans="8:8">
      <c r="H7252" s="135"/>
    </row>
    <row r="7253" spans="8:8">
      <c r="H7253" s="135"/>
    </row>
    <row r="7254" spans="8:8">
      <c r="H7254" s="135"/>
    </row>
    <row r="7255" spans="8:8">
      <c r="H7255" s="135"/>
    </row>
    <row r="7256" spans="8:8">
      <c r="H7256" s="135"/>
    </row>
    <row r="7257" spans="8:8">
      <c r="H7257" s="135"/>
    </row>
    <row r="7258" spans="8:8">
      <c r="H7258" s="135"/>
    </row>
    <row r="7259" spans="8:8">
      <c r="H7259" s="135"/>
    </row>
    <row r="7260" spans="8:8">
      <c r="H7260" s="135"/>
    </row>
    <row r="7261" spans="8:8">
      <c r="H7261" s="135"/>
    </row>
    <row r="7262" spans="8:8">
      <c r="H7262" s="135"/>
    </row>
    <row r="7263" spans="8:8">
      <c r="H7263" s="135"/>
    </row>
    <row r="7264" spans="8:8">
      <c r="H7264" s="135"/>
    </row>
    <row r="7265" spans="8:8">
      <c r="H7265" s="135"/>
    </row>
    <row r="7266" spans="8:8">
      <c r="H7266" s="135"/>
    </row>
    <row r="7267" spans="8:8">
      <c r="H7267" s="135"/>
    </row>
    <row r="7268" spans="8:8">
      <c r="H7268" s="135"/>
    </row>
    <row r="7269" spans="8:8">
      <c r="H7269" s="135"/>
    </row>
    <row r="7270" spans="8:8">
      <c r="H7270" s="135"/>
    </row>
    <row r="7271" spans="8:8">
      <c r="H7271" s="135"/>
    </row>
    <row r="7272" spans="8:8">
      <c r="H7272" s="135"/>
    </row>
    <row r="7273" spans="8:8">
      <c r="H7273" s="135"/>
    </row>
    <row r="7274" spans="8:8">
      <c r="H7274" s="135"/>
    </row>
    <row r="7275" spans="8:8">
      <c r="H7275" s="135"/>
    </row>
    <row r="7276" spans="8:8">
      <c r="H7276" s="135"/>
    </row>
    <row r="7277" spans="8:8">
      <c r="H7277" s="135"/>
    </row>
    <row r="7278" spans="8:8">
      <c r="H7278" s="135"/>
    </row>
    <row r="7279" spans="8:8">
      <c r="H7279" s="135"/>
    </row>
    <row r="7280" spans="8:8">
      <c r="H7280" s="135"/>
    </row>
    <row r="7281" spans="8:8">
      <c r="H7281" s="135"/>
    </row>
    <row r="7282" spans="8:8">
      <c r="H7282" s="135"/>
    </row>
    <row r="7283" spans="8:8">
      <c r="H7283" s="135"/>
    </row>
    <row r="7284" spans="8:8">
      <c r="H7284" s="135"/>
    </row>
    <row r="7285" spans="8:8">
      <c r="H7285" s="135"/>
    </row>
    <row r="7286" spans="8:8">
      <c r="H7286" s="135"/>
    </row>
    <row r="7287" spans="8:8">
      <c r="H7287" s="135"/>
    </row>
    <row r="7288" spans="8:8">
      <c r="H7288" s="135"/>
    </row>
    <row r="7289" spans="8:8">
      <c r="H7289" s="135"/>
    </row>
    <row r="7290" spans="8:8">
      <c r="H7290" s="135"/>
    </row>
    <row r="7291" spans="8:8">
      <c r="H7291" s="135"/>
    </row>
    <row r="7292" spans="8:8">
      <c r="H7292" s="135"/>
    </row>
    <row r="7293" spans="8:8">
      <c r="H7293" s="135"/>
    </row>
    <row r="7294" spans="8:8">
      <c r="H7294" s="135"/>
    </row>
    <row r="7295" spans="8:8">
      <c r="H7295" s="135"/>
    </row>
    <row r="7296" spans="8:8">
      <c r="H7296" s="135"/>
    </row>
    <row r="7297" spans="8:8">
      <c r="H7297" s="135"/>
    </row>
    <row r="7298" spans="8:8">
      <c r="H7298" s="135"/>
    </row>
    <row r="7299" spans="8:8">
      <c r="H7299" s="135"/>
    </row>
    <row r="7300" spans="8:8">
      <c r="H7300" s="135"/>
    </row>
    <row r="7301" spans="8:8">
      <c r="H7301" s="135"/>
    </row>
    <row r="7302" spans="8:8">
      <c r="H7302" s="135"/>
    </row>
    <row r="7303" spans="8:8">
      <c r="H7303" s="135"/>
    </row>
    <row r="7304" spans="8:8">
      <c r="H7304" s="135"/>
    </row>
    <row r="7305" spans="8:8">
      <c r="H7305" s="135"/>
    </row>
    <row r="7306" spans="8:8">
      <c r="H7306" s="135"/>
    </row>
    <row r="7307" spans="8:8">
      <c r="H7307" s="135"/>
    </row>
    <row r="7308" spans="8:8">
      <c r="H7308" s="135"/>
    </row>
    <row r="7309" spans="8:8">
      <c r="H7309" s="135"/>
    </row>
    <row r="7310" spans="8:8">
      <c r="H7310" s="135"/>
    </row>
    <row r="7311" spans="8:8">
      <c r="H7311" s="135"/>
    </row>
    <row r="7312" spans="8:8">
      <c r="H7312" s="135"/>
    </row>
    <row r="7313" spans="8:8">
      <c r="H7313" s="135"/>
    </row>
    <row r="7314" spans="8:8">
      <c r="H7314" s="135"/>
    </row>
    <row r="7315" spans="8:8">
      <c r="H7315" s="135"/>
    </row>
    <row r="7316" spans="8:8">
      <c r="H7316" s="135"/>
    </row>
    <row r="7317" spans="8:8">
      <c r="H7317" s="135"/>
    </row>
    <row r="7318" spans="8:8">
      <c r="H7318" s="135"/>
    </row>
    <row r="7319" spans="8:8">
      <c r="H7319" s="135"/>
    </row>
    <row r="7320" spans="8:8">
      <c r="H7320" s="135"/>
    </row>
    <row r="7321" spans="8:8">
      <c r="H7321" s="135"/>
    </row>
    <row r="7322" spans="8:8">
      <c r="H7322" s="135"/>
    </row>
    <row r="7323" spans="8:8">
      <c r="H7323" s="135"/>
    </row>
    <row r="7324" spans="8:8">
      <c r="H7324" s="135"/>
    </row>
    <row r="7325" spans="8:8">
      <c r="H7325" s="135"/>
    </row>
    <row r="7326" spans="8:8">
      <c r="H7326" s="135"/>
    </row>
    <row r="7327" spans="8:8">
      <c r="H7327" s="135"/>
    </row>
    <row r="7328" spans="8:8">
      <c r="H7328" s="135"/>
    </row>
    <row r="7329" spans="8:8">
      <c r="H7329" s="135"/>
    </row>
    <row r="7330" spans="8:8">
      <c r="H7330" s="135"/>
    </row>
    <row r="7331" spans="8:8">
      <c r="H7331" s="135"/>
    </row>
    <row r="7332" spans="8:8">
      <c r="H7332" s="135"/>
    </row>
    <row r="7333" spans="8:8">
      <c r="H7333" s="135"/>
    </row>
    <row r="7334" spans="8:8">
      <c r="H7334" s="135"/>
    </row>
    <row r="7335" spans="8:8">
      <c r="H7335" s="135"/>
    </row>
    <row r="7336" spans="8:8">
      <c r="H7336" s="135"/>
    </row>
    <row r="7337" spans="8:8">
      <c r="H7337" s="135"/>
    </row>
    <row r="7338" spans="8:8">
      <c r="H7338" s="135"/>
    </row>
    <row r="7339" spans="8:8">
      <c r="H7339" s="135"/>
    </row>
    <row r="7340" spans="8:8">
      <c r="H7340" s="135"/>
    </row>
    <row r="7341" spans="8:8">
      <c r="H7341" s="135"/>
    </row>
    <row r="7342" spans="8:8">
      <c r="H7342" s="135"/>
    </row>
    <row r="7343" spans="8:8">
      <c r="H7343" s="135"/>
    </row>
    <row r="7344" spans="8:8">
      <c r="H7344" s="135"/>
    </row>
    <row r="7345" spans="8:8">
      <c r="H7345" s="135"/>
    </row>
    <row r="7346" spans="8:8">
      <c r="H7346" s="135"/>
    </row>
    <row r="7347" spans="8:8">
      <c r="H7347" s="135"/>
    </row>
    <row r="7348" spans="8:8">
      <c r="H7348" s="135"/>
    </row>
    <row r="7349" spans="8:8">
      <c r="H7349" s="135"/>
    </row>
    <row r="7350" spans="8:8">
      <c r="H7350" s="135"/>
    </row>
    <row r="7351" spans="8:8">
      <c r="H7351" s="135"/>
    </row>
    <row r="7352" spans="8:8">
      <c r="H7352" s="135"/>
    </row>
    <row r="7353" spans="8:8">
      <c r="H7353" s="135"/>
    </row>
    <row r="7354" spans="8:8">
      <c r="H7354" s="135"/>
    </row>
    <row r="7355" spans="8:8">
      <c r="H7355" s="135"/>
    </row>
    <row r="7356" spans="8:8">
      <c r="H7356" s="135"/>
    </row>
    <row r="7357" spans="8:8">
      <c r="H7357" s="135"/>
    </row>
    <row r="7358" spans="8:8">
      <c r="H7358" s="135"/>
    </row>
    <row r="7359" spans="8:8">
      <c r="H7359" s="135"/>
    </row>
    <row r="7360" spans="8:8">
      <c r="H7360" s="135"/>
    </row>
    <row r="7361" spans="8:8">
      <c r="H7361" s="135"/>
    </row>
    <row r="7362" spans="8:8">
      <c r="H7362" s="135"/>
    </row>
    <row r="7363" spans="8:8">
      <c r="H7363" s="135"/>
    </row>
    <row r="7364" spans="8:8">
      <c r="H7364" s="135"/>
    </row>
    <row r="7365" spans="8:8">
      <c r="H7365" s="135"/>
    </row>
    <row r="7366" spans="8:8">
      <c r="H7366" s="135"/>
    </row>
    <row r="7367" spans="8:8">
      <c r="H7367" s="135"/>
    </row>
    <row r="7368" spans="8:8">
      <c r="H7368" s="135"/>
    </row>
    <row r="7369" spans="8:8">
      <c r="H7369" s="135"/>
    </row>
    <row r="7370" spans="8:8">
      <c r="H7370" s="135"/>
    </row>
    <row r="7371" spans="8:8">
      <c r="H7371" s="135"/>
    </row>
    <row r="7372" spans="8:8">
      <c r="H7372" s="135"/>
    </row>
    <row r="7373" spans="8:8">
      <c r="H7373" s="135"/>
    </row>
    <row r="7374" spans="8:8">
      <c r="H7374" s="135"/>
    </row>
    <row r="7375" spans="8:8">
      <c r="H7375" s="135"/>
    </row>
    <row r="7376" spans="8:8">
      <c r="H7376" s="135"/>
    </row>
    <row r="7377" spans="8:8">
      <c r="H7377" s="135"/>
    </row>
    <row r="7378" spans="8:8">
      <c r="H7378" s="135"/>
    </row>
    <row r="7379" spans="8:8">
      <c r="H7379" s="135"/>
    </row>
    <row r="7380" spans="8:8">
      <c r="H7380" s="135"/>
    </row>
    <row r="7381" spans="8:8">
      <c r="H7381" s="135"/>
    </row>
    <row r="7382" spans="8:8">
      <c r="H7382" s="135"/>
    </row>
    <row r="7383" spans="8:8">
      <c r="H7383" s="135"/>
    </row>
    <row r="7384" spans="8:8">
      <c r="H7384" s="135"/>
    </row>
    <row r="7385" spans="8:8">
      <c r="H7385" s="135"/>
    </row>
    <row r="7386" spans="8:8">
      <c r="H7386" s="135"/>
    </row>
    <row r="7387" spans="8:8">
      <c r="H7387" s="135"/>
    </row>
    <row r="7388" spans="8:8">
      <c r="H7388" s="135"/>
    </row>
    <row r="7389" spans="8:8">
      <c r="H7389" s="135"/>
    </row>
    <row r="7390" spans="8:8">
      <c r="H7390" s="135"/>
    </row>
    <row r="7391" spans="8:8">
      <c r="H7391" s="135"/>
    </row>
    <row r="7392" spans="8:8">
      <c r="H7392" s="135"/>
    </row>
    <row r="7393" spans="8:8">
      <c r="H7393" s="135"/>
    </row>
    <row r="7394" spans="8:8">
      <c r="H7394" s="135"/>
    </row>
    <row r="7395" spans="8:8">
      <c r="H7395" s="135"/>
    </row>
    <row r="7396" spans="8:8">
      <c r="H7396" s="135"/>
    </row>
    <row r="7397" spans="8:8">
      <c r="H7397" s="135"/>
    </row>
    <row r="7398" spans="8:8">
      <c r="H7398" s="135"/>
    </row>
    <row r="7399" spans="8:8">
      <c r="H7399" s="135"/>
    </row>
    <row r="7400" spans="8:8">
      <c r="H7400" s="135"/>
    </row>
    <row r="7401" spans="8:8">
      <c r="H7401" s="135"/>
    </row>
    <row r="7402" spans="8:8">
      <c r="H7402" s="135"/>
    </row>
    <row r="7403" spans="8:8">
      <c r="H7403" s="135"/>
    </row>
    <row r="7404" spans="8:8">
      <c r="H7404" s="135"/>
    </row>
    <row r="7405" spans="8:8">
      <c r="H7405" s="135"/>
    </row>
    <row r="7406" spans="8:8">
      <c r="H7406" s="135"/>
    </row>
    <row r="7407" spans="8:8">
      <c r="H7407" s="135"/>
    </row>
    <row r="7408" spans="8:8">
      <c r="H7408" s="135"/>
    </row>
    <row r="7409" spans="8:8">
      <c r="H7409" s="135"/>
    </row>
    <row r="7410" spans="8:8">
      <c r="H7410" s="135"/>
    </row>
    <row r="7411" spans="8:8">
      <c r="H7411" s="135"/>
    </row>
    <row r="7412" spans="8:8">
      <c r="H7412" s="135"/>
    </row>
    <row r="7413" spans="8:8">
      <c r="H7413" s="135"/>
    </row>
    <row r="7414" spans="8:8">
      <c r="H7414" s="135"/>
    </row>
    <row r="7415" spans="8:8">
      <c r="H7415" s="135"/>
    </row>
    <row r="7416" spans="8:8">
      <c r="H7416" s="135"/>
    </row>
    <row r="7417" spans="8:8">
      <c r="H7417" s="135"/>
    </row>
    <row r="7418" spans="8:8">
      <c r="H7418" s="135"/>
    </row>
    <row r="7419" spans="8:8">
      <c r="H7419" s="135"/>
    </row>
    <row r="7420" spans="8:8">
      <c r="H7420" s="135"/>
    </row>
    <row r="7421" spans="8:8">
      <c r="H7421" s="135"/>
    </row>
    <row r="7422" spans="8:8">
      <c r="H7422" s="135"/>
    </row>
    <row r="7423" spans="8:8">
      <c r="H7423" s="135"/>
    </row>
    <row r="7424" spans="8:8">
      <c r="H7424" s="135"/>
    </row>
    <row r="7425" spans="8:8">
      <c r="H7425" s="135"/>
    </row>
    <row r="7426" spans="8:8">
      <c r="H7426" s="135"/>
    </row>
    <row r="7427" spans="8:8">
      <c r="H7427" s="135"/>
    </row>
    <row r="7428" spans="8:8">
      <c r="H7428" s="135"/>
    </row>
    <row r="7429" spans="8:8">
      <c r="H7429" s="135"/>
    </row>
    <row r="7430" spans="8:8">
      <c r="H7430" s="135"/>
    </row>
    <row r="7431" spans="8:8">
      <c r="H7431" s="135"/>
    </row>
    <row r="7432" spans="8:8">
      <c r="H7432" s="135"/>
    </row>
    <row r="7433" spans="8:8">
      <c r="H7433" s="135"/>
    </row>
    <row r="7434" spans="8:8">
      <c r="H7434" s="135"/>
    </row>
    <row r="7435" spans="8:8">
      <c r="H7435" s="135"/>
    </row>
    <row r="7436" spans="8:8">
      <c r="H7436" s="135"/>
    </row>
    <row r="7437" spans="8:8">
      <c r="H7437" s="135"/>
    </row>
    <row r="7438" spans="8:8">
      <c r="H7438" s="135"/>
    </row>
    <row r="7439" spans="8:8">
      <c r="H7439" s="135"/>
    </row>
    <row r="7440" spans="8:8">
      <c r="H7440" s="135"/>
    </row>
    <row r="7441" spans="8:8">
      <c r="H7441" s="135"/>
    </row>
    <row r="7442" spans="8:8">
      <c r="H7442" s="135"/>
    </row>
    <row r="7443" spans="8:8">
      <c r="H7443" s="135"/>
    </row>
    <row r="7444" spans="8:8">
      <c r="H7444" s="135"/>
    </row>
    <row r="7445" spans="8:8">
      <c r="H7445" s="135"/>
    </row>
    <row r="7446" spans="8:8">
      <c r="H7446" s="135"/>
    </row>
    <row r="7447" spans="8:8">
      <c r="H7447" s="135"/>
    </row>
    <row r="7448" spans="8:8">
      <c r="H7448" s="135"/>
    </row>
    <row r="7449" spans="8:8">
      <c r="H7449" s="135"/>
    </row>
    <row r="7450" spans="8:8">
      <c r="H7450" s="135"/>
    </row>
    <row r="7451" spans="8:8">
      <c r="H7451" s="135"/>
    </row>
    <row r="7452" spans="8:8">
      <c r="H7452" s="135"/>
    </row>
    <row r="7453" spans="8:8">
      <c r="H7453" s="135"/>
    </row>
    <row r="7454" spans="8:8">
      <c r="H7454" s="135"/>
    </row>
    <row r="7455" spans="8:8">
      <c r="H7455" s="135"/>
    </row>
    <row r="7456" spans="8:8">
      <c r="H7456" s="135"/>
    </row>
    <row r="7457" spans="8:8">
      <c r="H7457" s="135"/>
    </row>
    <row r="7458" spans="8:8">
      <c r="H7458" s="135"/>
    </row>
    <row r="7459" spans="8:8">
      <c r="H7459" s="135"/>
    </row>
    <row r="7460" spans="8:8">
      <c r="H7460" s="135"/>
    </row>
    <row r="7461" spans="8:8">
      <c r="H7461" s="135"/>
    </row>
    <row r="7462" spans="8:8">
      <c r="H7462" s="135"/>
    </row>
    <row r="7463" spans="8:8">
      <c r="H7463" s="135"/>
    </row>
    <row r="7464" spans="8:8">
      <c r="H7464" s="135"/>
    </row>
    <row r="7465" spans="8:8">
      <c r="H7465" s="135"/>
    </row>
    <row r="7466" spans="8:8">
      <c r="H7466" s="135"/>
    </row>
    <row r="7467" spans="8:8">
      <c r="H7467" s="135"/>
    </row>
    <row r="7468" spans="8:8">
      <c r="H7468" s="135"/>
    </row>
    <row r="7469" spans="8:8">
      <c r="H7469" s="135"/>
    </row>
    <row r="7470" spans="8:8">
      <c r="H7470" s="135"/>
    </row>
    <row r="7471" spans="8:8">
      <c r="H7471" s="135"/>
    </row>
    <row r="7472" spans="8:8">
      <c r="H7472" s="135"/>
    </row>
    <row r="7473" spans="8:8">
      <c r="H7473" s="135"/>
    </row>
    <row r="7474" spans="8:8">
      <c r="H7474" s="135"/>
    </row>
    <row r="7475" spans="8:8">
      <c r="H7475" s="135"/>
    </row>
    <row r="7476" spans="8:8">
      <c r="H7476" s="135"/>
    </row>
    <row r="7477" spans="8:8">
      <c r="H7477" s="135"/>
    </row>
    <row r="7478" spans="8:8">
      <c r="H7478" s="135"/>
    </row>
    <row r="7479" spans="8:8">
      <c r="H7479" s="135"/>
    </row>
    <row r="7480" spans="8:8">
      <c r="H7480" s="135"/>
    </row>
    <row r="7481" spans="8:8">
      <c r="H7481" s="135"/>
    </row>
    <row r="7482" spans="8:8">
      <c r="H7482" s="135"/>
    </row>
    <row r="7483" spans="8:8">
      <c r="H7483" s="135"/>
    </row>
    <row r="7484" spans="8:8">
      <c r="H7484" s="135"/>
    </row>
    <row r="7485" spans="8:8">
      <c r="H7485" s="135"/>
    </row>
    <row r="7486" spans="8:8">
      <c r="H7486" s="135"/>
    </row>
    <row r="7487" spans="8:8">
      <c r="H7487" s="135"/>
    </row>
    <row r="7488" spans="8:8">
      <c r="H7488" s="135"/>
    </row>
    <row r="7489" spans="8:8">
      <c r="H7489" s="135"/>
    </row>
    <row r="7490" spans="8:8">
      <c r="H7490" s="135"/>
    </row>
    <row r="7491" spans="8:8">
      <c r="H7491" s="135"/>
    </row>
    <row r="7492" spans="8:8">
      <c r="H7492" s="135"/>
    </row>
    <row r="7493" spans="8:8">
      <c r="H7493" s="135"/>
    </row>
    <row r="7494" spans="8:8">
      <c r="H7494" s="135"/>
    </row>
    <row r="7495" spans="8:8">
      <c r="H7495" s="135"/>
    </row>
    <row r="7496" spans="8:8">
      <c r="H7496" s="135"/>
    </row>
    <row r="7497" spans="8:8">
      <c r="H7497" s="135"/>
    </row>
    <row r="7498" spans="8:8">
      <c r="H7498" s="135"/>
    </row>
    <row r="7499" spans="8:8">
      <c r="H7499" s="135"/>
    </row>
    <row r="7500" spans="8:8">
      <c r="H7500" s="135"/>
    </row>
    <row r="7501" spans="8:8">
      <c r="H7501" s="135"/>
    </row>
    <row r="7502" spans="8:8">
      <c r="H7502" s="135"/>
    </row>
    <row r="7503" spans="8:8">
      <c r="H7503" s="135"/>
    </row>
    <row r="7504" spans="8:8">
      <c r="H7504" s="135"/>
    </row>
    <row r="7505" spans="8:8">
      <c r="H7505" s="135"/>
    </row>
    <row r="7506" spans="8:8">
      <c r="H7506" s="135"/>
    </row>
    <row r="7507" spans="8:8">
      <c r="H7507" s="135"/>
    </row>
    <row r="7508" spans="8:8">
      <c r="H7508" s="135"/>
    </row>
    <row r="7509" spans="8:8">
      <c r="H7509" s="135"/>
    </row>
    <row r="7510" spans="8:8">
      <c r="H7510" s="135"/>
    </row>
    <row r="7511" spans="8:8">
      <c r="H7511" s="135"/>
    </row>
    <row r="7512" spans="8:8">
      <c r="H7512" s="135"/>
    </row>
    <row r="7513" spans="8:8">
      <c r="H7513" s="135"/>
    </row>
    <row r="7514" spans="8:8">
      <c r="H7514" s="135"/>
    </row>
    <row r="7515" spans="8:8">
      <c r="H7515" s="135"/>
    </row>
    <row r="7516" spans="8:8">
      <c r="H7516" s="135"/>
    </row>
    <row r="7517" spans="8:8">
      <c r="H7517" s="135"/>
    </row>
    <row r="7518" spans="8:8">
      <c r="H7518" s="135"/>
    </row>
    <row r="7519" spans="8:8">
      <c r="H7519" s="135"/>
    </row>
    <row r="7520" spans="8:8">
      <c r="H7520" s="135"/>
    </row>
    <row r="7521" spans="8:8">
      <c r="H7521" s="135"/>
    </row>
    <row r="7522" spans="8:8">
      <c r="H7522" s="135"/>
    </row>
    <row r="7523" spans="8:8">
      <c r="H7523" s="135"/>
    </row>
    <row r="7524" spans="8:8">
      <c r="H7524" s="135"/>
    </row>
    <row r="7525" spans="8:8">
      <c r="H7525" s="135"/>
    </row>
    <row r="7526" spans="8:8">
      <c r="H7526" s="135"/>
    </row>
    <row r="7527" spans="8:8">
      <c r="H7527" s="135"/>
    </row>
    <row r="7528" spans="8:8">
      <c r="H7528" s="135"/>
    </row>
    <row r="7529" spans="8:8">
      <c r="H7529" s="135"/>
    </row>
    <row r="7530" spans="8:8">
      <c r="H7530" s="135"/>
    </row>
    <row r="7531" spans="8:8">
      <c r="H7531" s="135"/>
    </row>
    <row r="7532" spans="8:8">
      <c r="H7532" s="135"/>
    </row>
    <row r="7533" spans="8:8">
      <c r="H7533" s="135"/>
    </row>
    <row r="7534" spans="8:8">
      <c r="H7534" s="135"/>
    </row>
    <row r="7535" spans="8:8">
      <c r="H7535" s="135"/>
    </row>
    <row r="7536" spans="8:8">
      <c r="H7536" s="135"/>
    </row>
    <row r="7537" spans="8:8">
      <c r="H7537" s="135"/>
    </row>
    <row r="7538" spans="8:8">
      <c r="H7538" s="135"/>
    </row>
    <row r="7539" spans="8:8">
      <c r="H7539" s="135"/>
    </row>
    <row r="7540" spans="8:8">
      <c r="H7540" s="135"/>
    </row>
    <row r="7541" spans="8:8">
      <c r="H7541" s="135"/>
    </row>
    <row r="7542" spans="8:8">
      <c r="H7542" s="135"/>
    </row>
    <row r="7543" spans="8:8">
      <c r="H7543" s="135"/>
    </row>
    <row r="7544" spans="8:8">
      <c r="H7544" s="135"/>
    </row>
    <row r="7545" spans="8:8">
      <c r="H7545" s="135"/>
    </row>
    <row r="7546" spans="8:8">
      <c r="H7546" s="135"/>
    </row>
    <row r="7547" spans="8:8">
      <c r="H7547" s="135"/>
    </row>
    <row r="7548" spans="8:8">
      <c r="H7548" s="135"/>
    </row>
    <row r="7549" spans="8:8">
      <c r="H7549" s="135"/>
    </row>
    <row r="7550" spans="8:8">
      <c r="H7550" s="135"/>
    </row>
    <row r="7551" spans="8:8">
      <c r="H7551" s="135"/>
    </row>
    <row r="7552" spans="8:8">
      <c r="H7552" s="135"/>
    </row>
    <row r="7553" spans="8:8">
      <c r="H7553" s="135"/>
    </row>
    <row r="7554" spans="8:8">
      <c r="H7554" s="135"/>
    </row>
    <row r="7555" spans="8:8">
      <c r="H7555" s="135"/>
    </row>
    <row r="7556" spans="8:8">
      <c r="H7556" s="135"/>
    </row>
    <row r="7557" spans="8:8">
      <c r="H7557" s="135"/>
    </row>
    <row r="7558" spans="8:8">
      <c r="H7558" s="135"/>
    </row>
    <row r="7559" spans="8:8">
      <c r="H7559" s="135"/>
    </row>
    <row r="7560" spans="8:8">
      <c r="H7560" s="135"/>
    </row>
    <row r="7561" spans="8:8">
      <c r="H7561" s="135"/>
    </row>
    <row r="7562" spans="8:8">
      <c r="H7562" s="135"/>
    </row>
    <row r="7563" spans="8:8">
      <c r="H7563" s="135"/>
    </row>
    <row r="7564" spans="8:8">
      <c r="H7564" s="135"/>
    </row>
    <row r="7565" spans="8:8">
      <c r="H7565" s="135"/>
    </row>
    <row r="7566" spans="8:8">
      <c r="H7566" s="135"/>
    </row>
    <row r="7567" spans="8:8">
      <c r="H7567" s="135"/>
    </row>
    <row r="7568" spans="8:8">
      <c r="H7568" s="135"/>
    </row>
    <row r="7569" spans="8:8">
      <c r="H7569" s="135"/>
    </row>
    <row r="7570" spans="8:8">
      <c r="H7570" s="135"/>
    </row>
    <row r="7571" spans="8:8">
      <c r="H7571" s="135"/>
    </row>
    <row r="7572" spans="8:8">
      <c r="H7572" s="135"/>
    </row>
    <row r="7573" spans="8:8">
      <c r="H7573" s="135"/>
    </row>
    <row r="7574" spans="8:8">
      <c r="H7574" s="135"/>
    </row>
    <row r="7575" spans="8:8">
      <c r="H7575" s="135"/>
    </row>
    <row r="7576" spans="8:8">
      <c r="H7576" s="135"/>
    </row>
    <row r="7577" spans="8:8">
      <c r="H7577" s="135"/>
    </row>
    <row r="7578" spans="8:8">
      <c r="H7578" s="135"/>
    </row>
    <row r="7579" spans="8:8">
      <c r="H7579" s="135"/>
    </row>
    <row r="7580" spans="8:8">
      <c r="H7580" s="135"/>
    </row>
    <row r="7581" spans="8:8">
      <c r="H7581" s="135"/>
    </row>
    <row r="7582" spans="8:8">
      <c r="H7582" s="135"/>
    </row>
    <row r="7583" spans="8:8">
      <c r="H7583" s="135"/>
    </row>
    <row r="7584" spans="8:8">
      <c r="H7584" s="135"/>
    </row>
    <row r="7585" spans="8:8">
      <c r="H7585" s="135"/>
    </row>
    <row r="7586" spans="8:8">
      <c r="H7586" s="135"/>
    </row>
    <row r="7587" spans="8:8">
      <c r="H7587" s="135"/>
    </row>
    <row r="7588" spans="8:8">
      <c r="H7588" s="135"/>
    </row>
    <row r="7589" spans="8:8">
      <c r="H7589" s="135"/>
    </row>
    <row r="7590" spans="8:8">
      <c r="H7590" s="135"/>
    </row>
    <row r="7591" spans="8:8">
      <c r="H7591" s="135"/>
    </row>
    <row r="7592" spans="8:8">
      <c r="H7592" s="135"/>
    </row>
    <row r="7593" spans="8:8">
      <c r="H7593" s="135"/>
    </row>
    <row r="7594" spans="8:8">
      <c r="H7594" s="135"/>
    </row>
    <row r="7595" spans="8:8">
      <c r="H7595" s="135"/>
    </row>
    <row r="7596" spans="8:8">
      <c r="H7596" s="135"/>
    </row>
    <row r="7597" spans="8:8">
      <c r="H7597" s="135"/>
    </row>
    <row r="7598" spans="8:8">
      <c r="H7598" s="135"/>
    </row>
    <row r="7599" spans="8:8">
      <c r="H7599" s="135"/>
    </row>
    <row r="7600" spans="8:8">
      <c r="H7600" s="135"/>
    </row>
    <row r="7601" spans="8:8">
      <c r="H7601" s="135"/>
    </row>
    <row r="7602" spans="8:8">
      <c r="H7602" s="135"/>
    </row>
    <row r="7603" spans="8:8">
      <c r="H7603" s="135"/>
    </row>
    <row r="7604" spans="8:8">
      <c r="H7604" s="135"/>
    </row>
    <row r="7605" spans="8:8">
      <c r="H7605" s="135"/>
    </row>
    <row r="7606" spans="8:8">
      <c r="H7606" s="135"/>
    </row>
    <row r="7607" spans="8:8">
      <c r="H7607" s="135"/>
    </row>
    <row r="7608" spans="8:8">
      <c r="H7608" s="135"/>
    </row>
    <row r="7609" spans="8:8">
      <c r="H7609" s="135"/>
    </row>
    <row r="7610" spans="8:8">
      <c r="H7610" s="135"/>
    </row>
    <row r="7611" spans="8:8">
      <c r="H7611" s="135"/>
    </row>
    <row r="7612" spans="8:8">
      <c r="H7612" s="135"/>
    </row>
    <row r="7613" spans="8:8">
      <c r="H7613" s="135"/>
    </row>
    <row r="7614" spans="8:8">
      <c r="H7614" s="135"/>
    </row>
    <row r="7615" spans="8:8">
      <c r="H7615" s="135"/>
    </row>
    <row r="7616" spans="8:8">
      <c r="H7616" s="135"/>
    </row>
    <row r="7617" spans="8:8">
      <c r="H7617" s="135"/>
    </row>
    <row r="7618" spans="8:8">
      <c r="H7618" s="135"/>
    </row>
    <row r="7619" spans="8:8">
      <c r="H7619" s="135"/>
    </row>
    <row r="7620" spans="8:8">
      <c r="H7620" s="135"/>
    </row>
    <row r="7621" spans="8:8">
      <c r="H7621" s="135"/>
    </row>
    <row r="7622" spans="8:8">
      <c r="H7622" s="135"/>
    </row>
    <row r="7623" spans="8:8">
      <c r="H7623" s="135"/>
    </row>
    <row r="7624" spans="8:8">
      <c r="H7624" s="135"/>
    </row>
    <row r="7625" spans="8:8">
      <c r="H7625" s="135"/>
    </row>
    <row r="7626" spans="8:8">
      <c r="H7626" s="135"/>
    </row>
    <row r="7627" spans="8:8">
      <c r="H7627" s="135"/>
    </row>
    <row r="7628" spans="8:8">
      <c r="H7628" s="135"/>
    </row>
    <row r="7629" spans="8:8">
      <c r="H7629" s="135"/>
    </row>
    <row r="7630" spans="8:8">
      <c r="H7630" s="135"/>
    </row>
    <row r="7631" spans="8:8">
      <c r="H7631" s="135"/>
    </row>
    <row r="7632" spans="8:8">
      <c r="H7632" s="135"/>
    </row>
    <row r="7633" spans="8:8">
      <c r="H7633" s="135"/>
    </row>
    <row r="7634" spans="8:8">
      <c r="H7634" s="135"/>
    </row>
    <row r="7635" spans="8:8">
      <c r="H7635" s="135"/>
    </row>
    <row r="7636" spans="8:8">
      <c r="H7636" s="135"/>
    </row>
    <row r="7637" spans="8:8">
      <c r="H7637" s="135"/>
    </row>
    <row r="7638" spans="8:8">
      <c r="H7638" s="135"/>
    </row>
    <row r="7639" spans="8:8">
      <c r="H7639" s="135"/>
    </row>
    <row r="7640" spans="8:8">
      <c r="H7640" s="135"/>
    </row>
    <row r="7641" spans="8:8">
      <c r="H7641" s="135"/>
    </row>
    <row r="7642" spans="8:8">
      <c r="H7642" s="135"/>
    </row>
    <row r="7643" spans="8:8">
      <c r="H7643" s="135"/>
    </row>
    <row r="7644" spans="8:8">
      <c r="H7644" s="135"/>
    </row>
    <row r="7645" spans="8:8">
      <c r="H7645" s="135"/>
    </row>
    <row r="7646" spans="8:8">
      <c r="H7646" s="135"/>
    </row>
    <row r="7647" spans="8:8">
      <c r="H7647" s="135"/>
    </row>
    <row r="7648" spans="8:8">
      <c r="H7648" s="135"/>
    </row>
    <row r="7649" spans="8:8">
      <c r="H7649" s="135"/>
    </row>
    <row r="7650" spans="8:8">
      <c r="H7650" s="135"/>
    </row>
    <row r="7651" spans="8:8">
      <c r="H7651" s="135"/>
    </row>
    <row r="7652" spans="8:8">
      <c r="H7652" s="135"/>
    </row>
    <row r="7653" spans="8:8">
      <c r="H7653" s="135"/>
    </row>
    <row r="7654" spans="8:8">
      <c r="H7654" s="135"/>
    </row>
    <row r="7655" spans="8:8">
      <c r="H7655" s="135"/>
    </row>
    <row r="7656" spans="8:8">
      <c r="H7656" s="135"/>
    </row>
    <row r="7657" spans="8:8">
      <c r="H7657" s="135"/>
    </row>
    <row r="7658" spans="8:8">
      <c r="H7658" s="135"/>
    </row>
    <row r="7659" spans="8:8">
      <c r="H7659" s="135"/>
    </row>
    <row r="7660" spans="8:8">
      <c r="H7660" s="135"/>
    </row>
    <row r="7661" spans="8:8">
      <c r="H7661" s="135"/>
    </row>
    <row r="7662" spans="8:8">
      <c r="H7662" s="135"/>
    </row>
    <row r="7663" spans="8:8">
      <c r="H7663" s="135"/>
    </row>
    <row r="7664" spans="8:8">
      <c r="H7664" s="135"/>
    </row>
    <row r="7665" spans="8:8">
      <c r="H7665" s="135"/>
    </row>
    <row r="7666" spans="8:8">
      <c r="H7666" s="135"/>
    </row>
    <row r="7667" spans="8:8">
      <c r="H7667" s="135"/>
    </row>
    <row r="7668" spans="8:8">
      <c r="H7668" s="135"/>
    </row>
    <row r="7669" spans="8:8">
      <c r="H7669" s="135"/>
    </row>
    <row r="7670" spans="8:8">
      <c r="H7670" s="135"/>
    </row>
    <row r="7671" spans="8:8">
      <c r="H7671" s="135"/>
    </row>
    <row r="7672" spans="8:8">
      <c r="H7672" s="135"/>
    </row>
    <row r="7673" spans="8:8">
      <c r="H7673" s="135"/>
    </row>
    <row r="7674" spans="8:8">
      <c r="H7674" s="135"/>
    </row>
    <row r="7675" spans="8:8">
      <c r="H7675" s="135"/>
    </row>
    <row r="7676" spans="8:8">
      <c r="H7676" s="135"/>
    </row>
    <row r="7677" spans="8:8">
      <c r="H7677" s="135"/>
    </row>
    <row r="7678" spans="8:8">
      <c r="H7678" s="135"/>
    </row>
    <row r="7679" spans="8:8">
      <c r="H7679" s="135"/>
    </row>
    <row r="7680" spans="8:8">
      <c r="H7680" s="135"/>
    </row>
    <row r="7681" spans="8:8">
      <c r="H7681" s="135"/>
    </row>
    <row r="7682" spans="8:8">
      <c r="H7682" s="135"/>
    </row>
    <row r="7683" spans="8:8">
      <c r="H7683" s="135"/>
    </row>
    <row r="7684" spans="8:8">
      <c r="H7684" s="135"/>
    </row>
    <row r="7685" spans="8:8">
      <c r="H7685" s="135"/>
    </row>
    <row r="7686" spans="8:8">
      <c r="H7686" s="135"/>
    </row>
    <row r="7687" spans="8:8">
      <c r="H7687" s="135"/>
    </row>
    <row r="7688" spans="8:8">
      <c r="H7688" s="135"/>
    </row>
    <row r="7689" spans="8:8">
      <c r="H7689" s="135"/>
    </row>
    <row r="7690" spans="8:8">
      <c r="H7690" s="135"/>
    </row>
    <row r="7691" spans="8:8">
      <c r="H7691" s="135"/>
    </row>
    <row r="7692" spans="8:8">
      <c r="H7692" s="135"/>
    </row>
    <row r="7693" spans="8:8">
      <c r="H7693" s="135"/>
    </row>
    <row r="7694" spans="8:8">
      <c r="H7694" s="135"/>
    </row>
    <row r="7695" spans="8:8">
      <c r="H7695" s="135"/>
    </row>
    <row r="7696" spans="8:8">
      <c r="H7696" s="135"/>
    </row>
    <row r="7697" spans="8:8">
      <c r="H7697" s="135"/>
    </row>
    <row r="7698" spans="8:8">
      <c r="H7698" s="135"/>
    </row>
    <row r="7699" spans="8:8">
      <c r="H7699" s="135"/>
    </row>
    <row r="7700" spans="8:8">
      <c r="H7700" s="135"/>
    </row>
    <row r="7701" spans="8:8">
      <c r="H7701" s="135"/>
    </row>
    <row r="7702" spans="8:8">
      <c r="H7702" s="135"/>
    </row>
    <row r="7703" spans="8:8">
      <c r="H7703" s="135"/>
    </row>
    <row r="7704" spans="8:8">
      <c r="H7704" s="135"/>
    </row>
    <row r="7705" spans="8:8">
      <c r="H7705" s="135"/>
    </row>
    <row r="7706" spans="8:8">
      <c r="H7706" s="135"/>
    </row>
    <row r="7707" spans="8:8">
      <c r="H7707" s="135"/>
    </row>
    <row r="7708" spans="8:8">
      <c r="H7708" s="135"/>
    </row>
    <row r="7709" spans="8:8">
      <c r="H7709" s="135"/>
    </row>
    <row r="7710" spans="8:8">
      <c r="H7710" s="135"/>
    </row>
    <row r="7711" spans="8:8">
      <c r="H7711" s="135"/>
    </row>
    <row r="7712" spans="8:8">
      <c r="H7712" s="135"/>
    </row>
    <row r="7713" spans="8:8">
      <c r="H7713" s="135"/>
    </row>
    <row r="7714" spans="8:8">
      <c r="H7714" s="135"/>
    </row>
    <row r="7715" spans="8:8">
      <c r="H7715" s="135"/>
    </row>
    <row r="7716" spans="8:8">
      <c r="H7716" s="135"/>
    </row>
    <row r="7717" spans="8:8">
      <c r="H7717" s="135"/>
    </row>
    <row r="7718" spans="8:8">
      <c r="H7718" s="135"/>
    </row>
    <row r="7719" spans="8:8">
      <c r="H7719" s="135"/>
    </row>
    <row r="7720" spans="8:8">
      <c r="H7720" s="135"/>
    </row>
    <row r="7721" spans="8:8">
      <c r="H7721" s="135"/>
    </row>
    <row r="7722" spans="8:8">
      <c r="H7722" s="135"/>
    </row>
    <row r="7723" spans="8:8">
      <c r="H7723" s="135"/>
    </row>
    <row r="7724" spans="8:8">
      <c r="H7724" s="135"/>
    </row>
    <row r="7725" spans="8:8">
      <c r="H7725" s="135"/>
    </row>
    <row r="7726" spans="8:8">
      <c r="H7726" s="135"/>
    </row>
    <row r="7727" spans="8:8">
      <c r="H7727" s="135"/>
    </row>
    <row r="7728" spans="8:8">
      <c r="H7728" s="135"/>
    </row>
    <row r="7729" spans="8:8">
      <c r="H7729" s="135"/>
    </row>
    <row r="7730" spans="8:8">
      <c r="H7730" s="135"/>
    </row>
    <row r="7731" spans="8:8">
      <c r="H7731" s="135"/>
    </row>
    <row r="7732" spans="8:8">
      <c r="H7732" s="135"/>
    </row>
    <row r="7733" spans="8:8">
      <c r="H7733" s="135"/>
    </row>
    <row r="7734" spans="8:8">
      <c r="H7734" s="135"/>
    </row>
    <row r="7735" spans="8:8">
      <c r="H7735" s="135"/>
    </row>
    <row r="7736" spans="8:8">
      <c r="H7736" s="135"/>
    </row>
    <row r="7737" spans="8:8">
      <c r="H7737" s="135"/>
    </row>
    <row r="7738" spans="8:8">
      <c r="H7738" s="135"/>
    </row>
    <row r="7739" spans="8:8">
      <c r="H7739" s="135"/>
    </row>
    <row r="7740" spans="8:8">
      <c r="H7740" s="135"/>
    </row>
    <row r="7741" spans="8:8">
      <c r="H7741" s="135"/>
    </row>
    <row r="7742" spans="8:8">
      <c r="H7742" s="135"/>
    </row>
    <row r="7743" spans="8:8">
      <c r="H7743" s="135"/>
    </row>
    <row r="7744" spans="8:8">
      <c r="H7744" s="135"/>
    </row>
    <row r="7745" spans="8:8">
      <c r="H7745" s="135"/>
    </row>
    <row r="7746" spans="8:8">
      <c r="H7746" s="135"/>
    </row>
    <row r="7747" spans="8:8">
      <c r="H7747" s="135"/>
    </row>
    <row r="7748" spans="8:8">
      <c r="H7748" s="135"/>
    </row>
    <row r="7749" spans="8:8">
      <c r="H7749" s="135"/>
    </row>
    <row r="7750" spans="8:8">
      <c r="H7750" s="135"/>
    </row>
    <row r="7751" spans="8:8">
      <c r="H7751" s="135"/>
    </row>
    <row r="7752" spans="8:8">
      <c r="H7752" s="135"/>
    </row>
    <row r="7753" spans="8:8">
      <c r="H7753" s="135"/>
    </row>
    <row r="7754" spans="8:8">
      <c r="H7754" s="135"/>
    </row>
    <row r="7755" spans="8:8">
      <c r="H7755" s="135"/>
    </row>
    <row r="7756" spans="8:8">
      <c r="H7756" s="135"/>
    </row>
    <row r="7757" spans="8:8">
      <c r="H7757" s="135"/>
    </row>
    <row r="7758" spans="8:8">
      <c r="H7758" s="135"/>
    </row>
    <row r="7759" spans="8:8">
      <c r="H7759" s="135"/>
    </row>
    <row r="7760" spans="8:8">
      <c r="H7760" s="135"/>
    </row>
    <row r="7761" spans="8:8">
      <c r="H7761" s="135"/>
    </row>
    <row r="7762" spans="8:8">
      <c r="H7762" s="135"/>
    </row>
    <row r="7763" spans="8:8">
      <c r="H7763" s="135"/>
    </row>
    <row r="7764" spans="8:8">
      <c r="H7764" s="135"/>
    </row>
    <row r="7765" spans="8:8">
      <c r="H7765" s="135"/>
    </row>
    <row r="7766" spans="8:8">
      <c r="H7766" s="135"/>
    </row>
    <row r="7767" spans="8:8">
      <c r="H7767" s="135"/>
    </row>
    <row r="7768" spans="8:8">
      <c r="H7768" s="135"/>
    </row>
    <row r="7769" spans="8:8">
      <c r="H7769" s="135"/>
    </row>
    <row r="7770" spans="8:8">
      <c r="H7770" s="135"/>
    </row>
    <row r="7771" spans="8:8">
      <c r="H7771" s="135"/>
    </row>
    <row r="7772" spans="8:8">
      <c r="H7772" s="135"/>
    </row>
    <row r="7773" spans="8:8">
      <c r="H7773" s="135"/>
    </row>
    <row r="7774" spans="8:8">
      <c r="H7774" s="135"/>
    </row>
    <row r="7775" spans="8:8">
      <c r="H7775" s="135"/>
    </row>
    <row r="7776" spans="8:8">
      <c r="H7776" s="135"/>
    </row>
    <row r="7777" spans="8:8">
      <c r="H7777" s="135"/>
    </row>
    <row r="7778" spans="8:8">
      <c r="H7778" s="135"/>
    </row>
    <row r="7779" spans="8:8">
      <c r="H7779" s="135"/>
    </row>
    <row r="7780" spans="8:8">
      <c r="H7780" s="135"/>
    </row>
    <row r="7781" spans="8:8">
      <c r="H7781" s="135"/>
    </row>
    <row r="7782" spans="8:8">
      <c r="H7782" s="135"/>
    </row>
    <row r="7783" spans="8:8">
      <c r="H7783" s="135"/>
    </row>
    <row r="7784" spans="8:8">
      <c r="H7784" s="135"/>
    </row>
    <row r="7785" spans="8:8">
      <c r="H7785" s="135"/>
    </row>
    <row r="7786" spans="8:8">
      <c r="H7786" s="135"/>
    </row>
    <row r="7787" spans="8:8">
      <c r="H7787" s="135"/>
    </row>
    <row r="7788" spans="8:8">
      <c r="H7788" s="135"/>
    </row>
    <row r="7789" spans="8:8">
      <c r="H7789" s="135"/>
    </row>
    <row r="7790" spans="8:8">
      <c r="H7790" s="135"/>
    </row>
    <row r="7791" spans="8:8">
      <c r="H7791" s="135"/>
    </row>
    <row r="7792" spans="8:8">
      <c r="H7792" s="135"/>
    </row>
    <row r="7793" spans="8:8">
      <c r="H7793" s="135"/>
    </row>
    <row r="7794" spans="8:8">
      <c r="H7794" s="135"/>
    </row>
    <row r="7795" spans="8:8">
      <c r="H7795" s="135"/>
    </row>
    <row r="7796" spans="8:8">
      <c r="H7796" s="135"/>
    </row>
    <row r="7797" spans="8:8">
      <c r="H7797" s="135"/>
    </row>
    <row r="7798" spans="8:8">
      <c r="H7798" s="135"/>
    </row>
    <row r="7799" spans="8:8">
      <c r="H7799" s="135"/>
    </row>
    <row r="7800" spans="8:8">
      <c r="H7800" s="135"/>
    </row>
    <row r="7801" spans="8:8">
      <c r="H7801" s="135"/>
    </row>
    <row r="7802" spans="8:8">
      <c r="H7802" s="135"/>
    </row>
    <row r="7803" spans="8:8">
      <c r="H7803" s="135"/>
    </row>
    <row r="7804" spans="8:8">
      <c r="H7804" s="135"/>
    </row>
    <row r="7805" spans="8:8">
      <c r="H7805" s="135"/>
    </row>
    <row r="7806" spans="8:8">
      <c r="H7806" s="135"/>
    </row>
    <row r="7807" spans="8:8">
      <c r="H7807" s="135"/>
    </row>
    <row r="7808" spans="8:8">
      <c r="H7808" s="135"/>
    </row>
    <row r="7809" spans="8:8">
      <c r="H7809" s="135"/>
    </row>
    <row r="7810" spans="8:8">
      <c r="H7810" s="135"/>
    </row>
    <row r="7811" spans="8:8">
      <c r="H7811" s="135"/>
    </row>
    <row r="7812" spans="8:8">
      <c r="H7812" s="135"/>
    </row>
    <row r="7813" spans="8:8">
      <c r="H7813" s="135"/>
    </row>
    <row r="7814" spans="8:8">
      <c r="H7814" s="135"/>
    </row>
    <row r="7815" spans="8:8">
      <c r="H7815" s="135"/>
    </row>
    <row r="7816" spans="8:8">
      <c r="H7816" s="135"/>
    </row>
    <row r="7817" spans="8:8">
      <c r="H7817" s="135"/>
    </row>
    <row r="7818" spans="8:8">
      <c r="H7818" s="135"/>
    </row>
    <row r="7819" spans="8:8">
      <c r="H7819" s="135"/>
    </row>
    <row r="7820" spans="8:8">
      <c r="H7820" s="135"/>
    </row>
    <row r="7821" spans="8:8">
      <c r="H7821" s="135"/>
    </row>
    <row r="7822" spans="8:8">
      <c r="H7822" s="135"/>
    </row>
    <row r="7823" spans="8:8">
      <c r="H7823" s="135"/>
    </row>
    <row r="7824" spans="8:8">
      <c r="H7824" s="135"/>
    </row>
    <row r="7825" spans="8:8">
      <c r="H7825" s="135"/>
    </row>
    <row r="7826" spans="8:8">
      <c r="H7826" s="135"/>
    </row>
    <row r="7827" spans="8:8">
      <c r="H7827" s="135"/>
    </row>
    <row r="7828" spans="8:8">
      <c r="H7828" s="135"/>
    </row>
    <row r="7829" spans="8:8">
      <c r="H7829" s="135"/>
    </row>
    <row r="7830" spans="8:8">
      <c r="H7830" s="135"/>
    </row>
    <row r="7831" spans="8:8">
      <c r="H7831" s="135"/>
    </row>
    <row r="7832" spans="8:8">
      <c r="H7832" s="135"/>
    </row>
    <row r="7833" spans="8:8">
      <c r="H7833" s="135"/>
    </row>
    <row r="7834" spans="8:8">
      <c r="H7834" s="135"/>
    </row>
    <row r="7835" spans="8:8">
      <c r="H7835" s="135"/>
    </row>
    <row r="7836" spans="8:8">
      <c r="H7836" s="135"/>
    </row>
    <row r="7837" spans="8:8">
      <c r="H7837" s="135"/>
    </row>
    <row r="7838" spans="8:8">
      <c r="H7838" s="135"/>
    </row>
    <row r="7839" spans="8:8">
      <c r="H7839" s="135"/>
    </row>
    <row r="7840" spans="8:8">
      <c r="H7840" s="135"/>
    </row>
    <row r="7841" spans="8:8">
      <c r="H7841" s="135"/>
    </row>
    <row r="7842" spans="8:8">
      <c r="H7842" s="135"/>
    </row>
    <row r="7843" spans="8:8">
      <c r="H7843" s="135"/>
    </row>
    <row r="7844" spans="8:8">
      <c r="H7844" s="135"/>
    </row>
    <row r="7845" spans="8:8">
      <c r="H7845" s="135"/>
    </row>
    <row r="7846" spans="8:8">
      <c r="H7846" s="135"/>
    </row>
    <row r="7847" spans="8:8">
      <c r="H7847" s="135"/>
    </row>
    <row r="7848" spans="8:8">
      <c r="H7848" s="135"/>
    </row>
    <row r="7849" spans="8:8">
      <c r="H7849" s="135"/>
    </row>
    <row r="7850" spans="8:8">
      <c r="H7850" s="135"/>
    </row>
    <row r="7851" spans="8:8">
      <c r="H7851" s="135"/>
    </row>
    <row r="7852" spans="8:8">
      <c r="H7852" s="135"/>
    </row>
    <row r="7853" spans="8:8">
      <c r="H7853" s="135"/>
    </row>
    <row r="7854" spans="8:8">
      <c r="H7854" s="135"/>
    </row>
    <row r="7855" spans="8:8">
      <c r="H7855" s="135"/>
    </row>
    <row r="7856" spans="8:8">
      <c r="H7856" s="135"/>
    </row>
    <row r="7857" spans="8:8">
      <c r="H7857" s="135"/>
    </row>
    <row r="7858" spans="8:8">
      <c r="H7858" s="135"/>
    </row>
    <row r="7859" spans="8:8">
      <c r="H7859" s="135"/>
    </row>
    <row r="7860" spans="8:8">
      <c r="H7860" s="135"/>
    </row>
    <row r="7861" spans="8:8">
      <c r="H7861" s="135"/>
    </row>
    <row r="7862" spans="8:8">
      <c r="H7862" s="135"/>
    </row>
    <row r="7863" spans="8:8">
      <c r="H7863" s="135"/>
    </row>
    <row r="7864" spans="8:8">
      <c r="H7864" s="135"/>
    </row>
    <row r="7865" spans="8:8">
      <c r="H7865" s="135"/>
    </row>
    <row r="7866" spans="8:8">
      <c r="H7866" s="135"/>
    </row>
    <row r="7867" spans="8:8">
      <c r="H7867" s="135"/>
    </row>
    <row r="7868" spans="8:8">
      <c r="H7868" s="135"/>
    </row>
    <row r="7869" spans="8:8">
      <c r="H7869" s="135"/>
    </row>
    <row r="7870" spans="8:8">
      <c r="H7870" s="135"/>
    </row>
    <row r="7871" spans="8:8">
      <c r="H7871" s="135"/>
    </row>
    <row r="7872" spans="8:8">
      <c r="H7872" s="135"/>
    </row>
    <row r="7873" spans="8:8">
      <c r="H7873" s="135"/>
    </row>
    <row r="7874" spans="8:8">
      <c r="H7874" s="135"/>
    </row>
    <row r="7875" spans="8:8">
      <c r="H7875" s="135"/>
    </row>
    <row r="7876" spans="8:8">
      <c r="H7876" s="135"/>
    </row>
    <row r="7877" spans="8:8">
      <c r="H7877" s="135"/>
    </row>
    <row r="7878" spans="8:8">
      <c r="H7878" s="135"/>
    </row>
    <row r="7879" spans="8:8">
      <c r="H7879" s="135"/>
    </row>
    <row r="7880" spans="8:8">
      <c r="H7880" s="135"/>
    </row>
    <row r="7881" spans="8:8">
      <c r="H7881" s="135"/>
    </row>
    <row r="7882" spans="8:8">
      <c r="H7882" s="135"/>
    </row>
    <row r="7883" spans="8:8">
      <c r="H7883" s="135"/>
    </row>
    <row r="7884" spans="8:8">
      <c r="H7884" s="135"/>
    </row>
    <row r="7885" spans="8:8">
      <c r="H7885" s="135"/>
    </row>
    <row r="7886" spans="8:8">
      <c r="H7886" s="135"/>
    </row>
    <row r="7887" spans="8:8">
      <c r="H7887" s="135"/>
    </row>
    <row r="7888" spans="8:8">
      <c r="H7888" s="135"/>
    </row>
    <row r="7889" spans="8:8">
      <c r="H7889" s="135"/>
    </row>
    <row r="7890" spans="8:8">
      <c r="H7890" s="135"/>
    </row>
    <row r="7891" spans="8:8">
      <c r="H7891" s="135"/>
    </row>
    <row r="7892" spans="8:8">
      <c r="H7892" s="135"/>
    </row>
    <row r="7893" spans="8:8">
      <c r="H7893" s="135"/>
    </row>
    <row r="7894" spans="8:8">
      <c r="H7894" s="135"/>
    </row>
    <row r="7895" spans="8:8">
      <c r="H7895" s="135"/>
    </row>
    <row r="7896" spans="8:8">
      <c r="H7896" s="135"/>
    </row>
    <row r="7897" spans="8:8">
      <c r="H7897" s="135"/>
    </row>
    <row r="7898" spans="8:8">
      <c r="H7898" s="135"/>
    </row>
    <row r="7899" spans="8:8">
      <c r="H7899" s="135"/>
    </row>
    <row r="7900" spans="8:8">
      <c r="H7900" s="135"/>
    </row>
    <row r="7901" spans="8:8">
      <c r="H7901" s="135"/>
    </row>
    <row r="7902" spans="8:8">
      <c r="H7902" s="135"/>
    </row>
    <row r="7903" spans="8:8">
      <c r="H7903" s="135"/>
    </row>
    <row r="7904" spans="8:8">
      <c r="H7904" s="135"/>
    </row>
    <row r="7905" spans="8:8">
      <c r="H7905" s="135"/>
    </row>
    <row r="7906" spans="8:8">
      <c r="H7906" s="135"/>
    </row>
    <row r="7907" spans="8:8">
      <c r="H7907" s="135"/>
    </row>
    <row r="7908" spans="8:8">
      <c r="H7908" s="135"/>
    </row>
    <row r="7909" spans="8:8">
      <c r="H7909" s="135"/>
    </row>
    <row r="7910" spans="8:8">
      <c r="H7910" s="135"/>
    </row>
    <row r="7911" spans="8:8">
      <c r="H7911" s="135"/>
    </row>
    <row r="7912" spans="8:8">
      <c r="H7912" s="135"/>
    </row>
    <row r="7913" spans="8:8">
      <c r="H7913" s="135"/>
    </row>
    <row r="7914" spans="8:8">
      <c r="H7914" s="135"/>
    </row>
    <row r="7915" spans="8:8">
      <c r="H7915" s="135"/>
    </row>
    <row r="7916" spans="8:8">
      <c r="H7916" s="135"/>
    </row>
    <row r="7917" spans="8:8">
      <c r="H7917" s="135"/>
    </row>
    <row r="7918" spans="8:8">
      <c r="H7918" s="135"/>
    </row>
    <row r="7919" spans="8:8">
      <c r="H7919" s="135"/>
    </row>
    <row r="7920" spans="8:8">
      <c r="H7920" s="135"/>
    </row>
    <row r="7921" spans="8:8">
      <c r="H7921" s="135"/>
    </row>
    <row r="7922" spans="8:8">
      <c r="H7922" s="135"/>
    </row>
    <row r="7923" spans="8:8">
      <c r="H7923" s="135"/>
    </row>
    <row r="7924" spans="8:8">
      <c r="H7924" s="135"/>
    </row>
    <row r="7925" spans="8:8">
      <c r="H7925" s="135"/>
    </row>
    <row r="7926" spans="8:8">
      <c r="H7926" s="135"/>
    </row>
    <row r="7927" spans="8:8">
      <c r="H7927" s="135"/>
    </row>
    <row r="7928" spans="8:8">
      <c r="H7928" s="135"/>
    </row>
    <row r="7929" spans="8:8">
      <c r="H7929" s="135"/>
    </row>
    <row r="7930" spans="8:8">
      <c r="H7930" s="135"/>
    </row>
    <row r="7931" spans="8:8">
      <c r="H7931" s="135"/>
    </row>
    <row r="7932" spans="8:8">
      <c r="H7932" s="135"/>
    </row>
    <row r="7933" spans="8:8">
      <c r="H7933" s="135"/>
    </row>
    <row r="7934" spans="8:8">
      <c r="H7934" s="135"/>
    </row>
    <row r="7935" spans="8:8">
      <c r="H7935" s="135"/>
    </row>
    <row r="7936" spans="8:8">
      <c r="H7936" s="135"/>
    </row>
    <row r="7937" spans="8:8">
      <c r="H7937" s="135"/>
    </row>
    <row r="7938" spans="8:8">
      <c r="H7938" s="135"/>
    </row>
    <row r="7939" spans="8:8">
      <c r="H7939" s="135"/>
    </row>
    <row r="7940" spans="8:8">
      <c r="H7940" s="135"/>
    </row>
    <row r="7941" spans="8:8">
      <c r="H7941" s="135"/>
    </row>
    <row r="7942" spans="8:8">
      <c r="H7942" s="135"/>
    </row>
    <row r="7943" spans="8:8">
      <c r="H7943" s="135"/>
    </row>
    <row r="7944" spans="8:8">
      <c r="H7944" s="135"/>
    </row>
    <row r="7945" spans="8:8">
      <c r="H7945" s="135"/>
    </row>
    <row r="7946" spans="8:8">
      <c r="H7946" s="135"/>
    </row>
    <row r="7947" spans="8:8">
      <c r="H7947" s="135"/>
    </row>
    <row r="7948" spans="8:8">
      <c r="H7948" s="135"/>
    </row>
    <row r="7949" spans="8:8">
      <c r="H7949" s="135"/>
    </row>
    <row r="7950" spans="8:8">
      <c r="H7950" s="135"/>
    </row>
    <row r="7951" spans="8:8">
      <c r="H7951" s="135"/>
    </row>
    <row r="7952" spans="8:8">
      <c r="H7952" s="135"/>
    </row>
    <row r="7953" spans="8:8">
      <c r="H7953" s="135"/>
    </row>
    <row r="7954" spans="8:8">
      <c r="H7954" s="135"/>
    </row>
    <row r="7955" spans="8:8">
      <c r="H7955" s="135"/>
    </row>
    <row r="7956" spans="8:8">
      <c r="H7956" s="135"/>
    </row>
    <row r="7957" spans="8:8">
      <c r="H7957" s="135"/>
    </row>
    <row r="7958" spans="8:8">
      <c r="H7958" s="135"/>
    </row>
    <row r="7959" spans="8:8">
      <c r="H7959" s="135"/>
    </row>
    <row r="7960" spans="8:8">
      <c r="H7960" s="135"/>
    </row>
    <row r="7961" spans="8:8">
      <c r="H7961" s="135"/>
    </row>
    <row r="7962" spans="8:8">
      <c r="H7962" s="135"/>
    </row>
    <row r="7963" spans="8:8">
      <c r="H7963" s="135"/>
    </row>
    <row r="7964" spans="8:8">
      <c r="H7964" s="135"/>
    </row>
    <row r="7965" spans="8:8">
      <c r="H7965" s="135"/>
    </row>
    <row r="7966" spans="8:8">
      <c r="H7966" s="135"/>
    </row>
    <row r="7967" spans="8:8">
      <c r="H7967" s="135"/>
    </row>
    <row r="7968" spans="8:8">
      <c r="H7968" s="135"/>
    </row>
    <row r="7969" spans="8:8">
      <c r="H7969" s="135"/>
    </row>
    <row r="7970" spans="8:8">
      <c r="H7970" s="135"/>
    </row>
    <row r="7971" spans="8:8">
      <c r="H7971" s="135"/>
    </row>
    <row r="7972" spans="8:8">
      <c r="H7972" s="135"/>
    </row>
    <row r="7973" spans="8:8">
      <c r="H7973" s="135"/>
    </row>
    <row r="7974" spans="8:8">
      <c r="H7974" s="135"/>
    </row>
    <row r="7975" spans="8:8">
      <c r="H7975" s="135"/>
    </row>
    <row r="7976" spans="8:8">
      <c r="H7976" s="135"/>
    </row>
    <row r="7977" spans="8:8">
      <c r="H7977" s="135"/>
    </row>
    <row r="7978" spans="8:8">
      <c r="H7978" s="135"/>
    </row>
    <row r="7979" spans="8:8">
      <c r="H7979" s="135"/>
    </row>
    <row r="7980" spans="8:8">
      <c r="H7980" s="135"/>
    </row>
    <row r="7981" spans="8:8">
      <c r="H7981" s="135"/>
    </row>
    <row r="7982" spans="8:8">
      <c r="H7982" s="135"/>
    </row>
    <row r="7983" spans="8:8">
      <c r="H7983" s="135"/>
    </row>
    <row r="7984" spans="8:8">
      <c r="H7984" s="135"/>
    </row>
    <row r="7985" spans="8:8">
      <c r="H7985" s="135"/>
    </row>
    <row r="7986" spans="8:8">
      <c r="H7986" s="135"/>
    </row>
    <row r="7987" spans="8:8">
      <c r="H7987" s="135"/>
    </row>
    <row r="7988" spans="8:8">
      <c r="H7988" s="135"/>
    </row>
    <row r="7989" spans="8:8">
      <c r="H7989" s="135"/>
    </row>
    <row r="7990" spans="8:8">
      <c r="H7990" s="135"/>
    </row>
    <row r="7991" spans="8:8">
      <c r="H7991" s="135"/>
    </row>
    <row r="7992" spans="8:8">
      <c r="H7992" s="135"/>
    </row>
    <row r="7993" spans="8:8">
      <c r="H7993" s="135"/>
    </row>
    <row r="7994" spans="8:8">
      <c r="H7994" s="135"/>
    </row>
    <row r="7995" spans="8:8">
      <c r="H7995" s="135"/>
    </row>
    <row r="7996" spans="8:8">
      <c r="H7996" s="135"/>
    </row>
    <row r="7997" spans="8:8">
      <c r="H7997" s="135"/>
    </row>
    <row r="7998" spans="8:8">
      <c r="H7998" s="135"/>
    </row>
    <row r="7999" spans="8:8">
      <c r="H7999" s="135"/>
    </row>
    <row r="8000" spans="8:8">
      <c r="H8000" s="135"/>
    </row>
    <row r="8001" spans="8:8">
      <c r="H8001" s="135"/>
    </row>
    <row r="8002" spans="8:8">
      <c r="H8002" s="135"/>
    </row>
    <row r="8003" spans="8:8">
      <c r="H8003" s="135"/>
    </row>
    <row r="8004" spans="8:8">
      <c r="H8004" s="135"/>
    </row>
    <row r="8005" spans="8:8">
      <c r="H8005" s="135"/>
    </row>
    <row r="8006" spans="8:8">
      <c r="H8006" s="135"/>
    </row>
    <row r="8007" spans="8:8">
      <c r="H8007" s="135"/>
    </row>
    <row r="8008" spans="8:8">
      <c r="H8008" s="135"/>
    </row>
    <row r="8009" spans="8:8">
      <c r="H8009" s="135"/>
    </row>
    <row r="8010" spans="8:8">
      <c r="H8010" s="135"/>
    </row>
    <row r="8011" spans="8:8">
      <c r="H8011" s="135"/>
    </row>
    <row r="8012" spans="8:8">
      <c r="H8012" s="135"/>
    </row>
    <row r="8013" spans="8:8">
      <c r="H8013" s="135"/>
    </row>
    <row r="8014" spans="8:8">
      <c r="H8014" s="135"/>
    </row>
    <row r="8015" spans="8:8">
      <c r="H8015" s="135"/>
    </row>
    <row r="8016" spans="8:8">
      <c r="H8016" s="135"/>
    </row>
    <row r="8017" spans="8:8">
      <c r="H8017" s="135"/>
    </row>
    <row r="8018" spans="8:8">
      <c r="H8018" s="135"/>
    </row>
    <row r="8019" spans="8:8">
      <c r="H8019" s="135"/>
    </row>
    <row r="8020" spans="8:8">
      <c r="H8020" s="135"/>
    </row>
    <row r="8021" spans="8:8">
      <c r="H8021" s="135"/>
    </row>
    <row r="8022" spans="8:8">
      <c r="H8022" s="135"/>
    </row>
    <row r="8023" spans="8:8">
      <c r="H8023" s="135"/>
    </row>
    <row r="8024" spans="8:8">
      <c r="H8024" s="135"/>
    </row>
    <row r="8025" spans="8:8">
      <c r="H8025" s="135"/>
    </row>
    <row r="8026" spans="8:8">
      <c r="H8026" s="135"/>
    </row>
    <row r="8027" spans="8:8">
      <c r="H8027" s="135"/>
    </row>
    <row r="8028" spans="8:8">
      <c r="H8028" s="135"/>
    </row>
  </sheetData>
  <autoFilter ref="B19:K8032" xr:uid="{00000000-0009-0000-0000-000001000000}"/>
  <mergeCells count="9">
    <mergeCell ref="B7130:D7132"/>
    <mergeCell ref="D14:E14"/>
    <mergeCell ref="A4238:A4243"/>
    <mergeCell ref="B4989:B4990"/>
    <mergeCell ref="B6904:D6906"/>
    <mergeCell ref="B7028:D7030"/>
    <mergeCell ref="B7072:D7074"/>
    <mergeCell ref="B7086:D7088"/>
    <mergeCell ref="B7121:D7123"/>
  </mergeCells>
  <phoneticPr fontId="27" type="noConversion"/>
  <conditionalFormatting sqref="D16:D18">
    <cfRule type="expression" dxfId="153" priority="12799">
      <formula>dol_sol="soles"</formula>
    </cfRule>
  </conditionalFormatting>
  <conditionalFormatting sqref="G14">
    <cfRule type="expression" dxfId="152" priority="10755">
      <formula>$D$14&lt;&gt;"Fijo proyectado"</formula>
    </cfRule>
  </conditionalFormatting>
  <conditionalFormatting sqref="C7:F8">
    <cfRule type="expression" dxfId="151" priority="8982">
      <formula>C7&gt;0</formula>
    </cfRule>
  </conditionalFormatting>
  <conditionalFormatting sqref="D21">
    <cfRule type="expression" dxfId="150" priority="8537">
      <formula>dol_sol="soles"</formula>
    </cfRule>
  </conditionalFormatting>
  <conditionalFormatting sqref="C11:F11">
    <cfRule type="expression" dxfId="149" priority="8535">
      <formula>C11&gt;0</formula>
    </cfRule>
  </conditionalFormatting>
  <conditionalFormatting sqref="C9:F9">
    <cfRule type="expression" dxfId="148" priority="4922">
      <formula>C9&gt;0</formula>
    </cfRule>
  </conditionalFormatting>
  <conditionalFormatting sqref="C10:F10">
    <cfRule type="expression" dxfId="147" priority="4533">
      <formula>C10&gt;0</formula>
    </cfRule>
  </conditionalFormatting>
  <conditionalFormatting sqref="D4256:D4257 D5615:D5626 D541 D2308 D2363:D2381 D127:D134 D171:D178 D1830 D2183:D2192 D2202:D2210 D3182:D3185 D572 D137:D138 D181 D4232 D1268 D1893:D1895 D1906:D1907 D1056:D1059 D1138:D1149 D1159 D423:D442 D421 D2349:D2350 D2354 D2356:D2357 D2326:D2333 D2324 D2553 D2561:D2562 D2581:D2599 D2571 D1926 D2499 D2491 D1488:D1490 D1825 D389:D404 D345:D373 D379:D381 D2245:D2283 D2502:D2504 D26:D33 D36:D52 D519 D1642:D1645 D1798:D1800 D1172 D735:D781 D559:D562 D6530 D6533:D6535 D6537 D6541:D6542 D2287:D2297 D1628:D1633 D1635:D1639 D1320 D1418:D1423 D1413 D1399:D1401 D1405 D1403 D1561 D1322:D1324 D2195:D2200 D2213:D2217 D1283:D1290 D564 D550:D553 D1080 D1565:D1566 D1622:D1626 D1411 D1376 D2299 D1367:D1372 D630:D644 D1571:D1574 D1303 D1832:D1837 D299 D1365 D1397 D1395 D1447:D1453 D1858 D1092:D1102 D1552:D1556 D1271:D1274 D223:D230 D92:D99 D2685 D1224:D1241 D1735:D1740 D1597 D1466:D1467 D1012:D1021 D545:D546 D5641:D5644 D1027 D880:D906 D1001:D1010 D987:D991 D993:D997 D1757 D1603:D1611 D506 D1195 D1254 D1259 D1667 D1674 D1513 D1524:D1525 D1793 D1816 D1929:D1932 D1910:D1911 D1586 D2078:D2079 D1936:D1951 D1685:D1693 D1795 D1563 D1533 D2617:D2618 D471:D475 D463:D468 D78:D79 D1483:D1485 D70:D71 D2346:D2347 D1724 D290:D291 D516 D2097:D2103 D2130:D2131 D2134:D2135 D1518:D1520 D1476:D1478 D1108:D1121 D1124:D1133 D1863:D1865 D1492 D1507 D1811 D1527:D1528 D1509:D1511 D1544:D1547 D1498 D1502:D1503 D1500 D1199:D1219 D1469:D1470 D1651:D1655 D1658:D1663 D1496 D1788:D1790 D2157:D2169 D577:D590 D2702 D2764:D2765 D2777 D923 D908:D920 D183:D198 D220:D221 D140 D142:D150 D240 D208:D218 D152:D159 D1472 D500:D502 D1803:D1804 D1809 D308 D242:D250 D1535:D1538 D2564 D1868 D2406:D2407 D2412 D1765 D2312:D2318 D1721 D649:D663 D665:D676 D679:D689 D729 D692:D703 D705:D716 D2543:D2551 D2507:D2532 D2534:D2539 D593 D799 D1578 D1580:D1584 D1461:D1463 D1715:D1716 D1458 D1177 D789:D795 D925:D947 D1697:D1713 D1874:D1876 D1899:D1900 D1903:D1904 D1958:D1976 D2799 D2801 D1870:D1872 D1332:D1336 D6903 D4251 D451:D452 D1531 D2175:D2181 D5637:D5638 D1776 D6482:D6483 D6523:D6525 D6496 D310:D327 D496:D498 D802:D875 D949:D957 D2147:D2152 D1378:D1383 D597:D615 D1913:D1922 D2621:D2623 D2955:D2957 D2604:D2614 D1759:D1763 D1415:D1416 D1313:D1314 D1316 D1330 D1306:D1309 D969:D970 D110:D113 D1576 D555:D556 D1744:D1750 D2340 D1718 D4253 D4237:D4245 D1030:D1050 D1326:D1327 D1819:D1822 D1407:D1409 D1292:D1299 D1385 D973 D1753 D1338:D1340 D2541 D1784:D1786 D1311 D444:D448 D1779 D1767 D1781 D1770 D1772 D5646:D5648 D5628 D1247:D1250 D1522 D1480:D1481 D1540:D1542 D617:D620 D375:D377 D646:D647">
    <cfRule type="expression" dxfId="146" priority="145">
      <formula>dol_sol="soles"</formula>
    </cfRule>
  </conditionalFormatting>
  <conditionalFormatting sqref="C89 C123 C169">
    <cfRule type="cellIs" dxfId="145" priority="144" operator="equal">
      <formula>"Consultar"</formula>
    </cfRule>
  </conditionalFormatting>
  <conditionalFormatting sqref="D1743">
    <cfRule type="expression" dxfId="144" priority="143">
      <formula>dol_sol="soles"</formula>
    </cfRule>
  </conditionalFormatting>
  <conditionalFormatting sqref="D2310">
    <cfRule type="expression" dxfId="143" priority="142">
      <formula>dol_sol="soles"</formula>
    </cfRule>
  </conditionalFormatting>
  <conditionalFormatting sqref="D2155:D2156">
    <cfRule type="expression" dxfId="142" priority="141">
      <formula>dol_sol="soles"</formula>
    </cfRule>
  </conditionalFormatting>
  <conditionalFormatting sqref="D648">
    <cfRule type="expression" dxfId="141" priority="140">
      <formula>dol_sol="soles"</formula>
    </cfRule>
  </conditionalFormatting>
  <conditionalFormatting sqref="D664">
    <cfRule type="expression" dxfId="140" priority="139">
      <formula>dol_sol="soles"</formula>
    </cfRule>
  </conditionalFormatting>
  <conditionalFormatting sqref="D677">
    <cfRule type="expression" dxfId="139" priority="138">
      <formula>dol_sol="soles"</formula>
    </cfRule>
  </conditionalFormatting>
  <conditionalFormatting sqref="D678">
    <cfRule type="expression" dxfId="138" priority="137">
      <formula>dol_sol="soles"</formula>
    </cfRule>
  </conditionalFormatting>
  <conditionalFormatting sqref="D691">
    <cfRule type="expression" dxfId="137" priority="136">
      <formula>dol_sol="soles"</formula>
    </cfRule>
  </conditionalFormatting>
  <conditionalFormatting sqref="D704">
    <cfRule type="expression" dxfId="136" priority="135">
      <formula>dol_sol="soles"</formula>
    </cfRule>
  </conditionalFormatting>
  <conditionalFormatting sqref="D591">
    <cfRule type="expression" dxfId="135" priority="134">
      <formula>dol_sol="soles"</formula>
    </cfRule>
  </conditionalFormatting>
  <conditionalFormatting sqref="D592">
    <cfRule type="expression" dxfId="134" priority="133">
      <formula>dol_sol="soles"</formula>
    </cfRule>
  </conditionalFormatting>
  <conditionalFormatting sqref="D796">
    <cfRule type="expression" dxfId="133" priority="132">
      <formula>dol_sol="soles"</formula>
    </cfRule>
  </conditionalFormatting>
  <conditionalFormatting sqref="D1577">
    <cfRule type="expression" dxfId="132" priority="131">
      <formula>dol_sol="soles"</formula>
    </cfRule>
  </conditionalFormatting>
  <conditionalFormatting sqref="D1579">
    <cfRule type="expression" dxfId="131" priority="130">
      <formula>dol_sol="soles"</formula>
    </cfRule>
  </conditionalFormatting>
  <conditionalFormatting sqref="D1714">
    <cfRule type="expression" dxfId="130" priority="129">
      <formula>dol_sol="soles"</formula>
    </cfRule>
  </conditionalFormatting>
  <conditionalFormatting sqref="D1454">
    <cfRule type="expression" dxfId="129" priority="128">
      <formula>dol_sol="soles"</formula>
    </cfRule>
  </conditionalFormatting>
  <conditionalFormatting sqref="D2600">
    <cfRule type="expression" dxfId="128" priority="127">
      <formula>dol_sol="soles"</formula>
    </cfRule>
  </conditionalFormatting>
  <conditionalFormatting sqref="D2602">
    <cfRule type="expression" dxfId="127" priority="126">
      <formula>dol_sol="soles"</formula>
    </cfRule>
  </conditionalFormatting>
  <conditionalFormatting sqref="D2601">
    <cfRule type="expression" dxfId="126" priority="125">
      <formula>dol_sol="soles"</formula>
    </cfRule>
  </conditionalFormatting>
  <conditionalFormatting sqref="D1173">
    <cfRule type="expression" dxfId="125" priority="124">
      <formula>dol_sol="soles"</formula>
    </cfRule>
  </conditionalFormatting>
  <conditionalFormatting sqref="D782 D784">
    <cfRule type="expression" dxfId="124" priority="123">
      <formula>dol_sol="soles"</formula>
    </cfRule>
  </conditionalFormatting>
  <conditionalFormatting sqref="D783">
    <cfRule type="expression" dxfId="123" priority="122">
      <formula>dol_sol="soles"</formula>
    </cfRule>
  </conditionalFormatting>
  <conditionalFormatting sqref="D785">
    <cfRule type="expression" dxfId="122" priority="121">
      <formula>dol_sol="soles"</formula>
    </cfRule>
  </conditionalFormatting>
  <conditionalFormatting sqref="D6558:D6560">
    <cfRule type="expression" dxfId="121" priority="120">
      <formula>dol_sol="soles"</formula>
    </cfRule>
  </conditionalFormatting>
  <conditionalFormatting sqref="D924">
    <cfRule type="expression" dxfId="120" priority="119">
      <formula>dol_sol="soles"</formula>
    </cfRule>
  </conditionalFormatting>
  <conditionalFormatting sqref="D1897:D1898">
    <cfRule type="expression" dxfId="119" priority="118">
      <formula>dol_sol="soles"</formula>
    </cfRule>
  </conditionalFormatting>
  <conditionalFormatting sqref="D1877:D1878">
    <cfRule type="expression" dxfId="118" priority="117">
      <formula>dol_sol="soles"</formula>
    </cfRule>
  </conditionalFormatting>
  <conditionalFormatting sqref="D1902">
    <cfRule type="expression" dxfId="117" priority="116">
      <formula>dol_sol="soles"</formula>
    </cfRule>
  </conditionalFormatting>
  <conditionalFormatting sqref="D1806">
    <cfRule type="expression" dxfId="116" priority="115">
      <formula>dol_sol="soles"</formula>
    </cfRule>
  </conditionalFormatting>
  <conditionalFormatting sqref="D454 D458">
    <cfRule type="expression" dxfId="115" priority="114">
      <formula>dol_sol="soles"</formula>
    </cfRule>
  </conditionalFormatting>
  <conditionalFormatting sqref="D455">
    <cfRule type="expression" dxfId="114" priority="113">
      <formula>dol_sol="soles"</formula>
    </cfRule>
  </conditionalFormatting>
  <conditionalFormatting sqref="D457">
    <cfRule type="expression" dxfId="113" priority="112">
      <formula>dol_sol="soles"</formula>
    </cfRule>
  </conditionalFormatting>
  <conditionalFormatting sqref="D456">
    <cfRule type="expression" dxfId="112" priority="111">
      <formula>dol_sol="soles"</formula>
    </cfRule>
  </conditionalFormatting>
  <conditionalFormatting sqref="D1873">
    <cfRule type="expression" dxfId="111" priority="110">
      <formula>dol_sol="soles"</formula>
    </cfRule>
  </conditionalFormatting>
  <conditionalFormatting sqref="D2093">
    <cfRule type="expression" dxfId="110" priority="109">
      <formula>dol_sol="soles"</formula>
    </cfRule>
  </conditionalFormatting>
  <conditionalFormatting sqref="D1896">
    <cfRule type="expression" dxfId="109" priority="108">
      <formula>dol_sol="soles"</formula>
    </cfRule>
  </conditionalFormatting>
  <conditionalFormatting sqref="D1901">
    <cfRule type="expression" dxfId="108" priority="107">
      <formula>dol_sol="soles"</formula>
    </cfRule>
  </conditionalFormatting>
  <conditionalFormatting sqref="D1957">
    <cfRule type="expression" dxfId="107" priority="106">
      <formula>dol_sol="soles"</formula>
    </cfRule>
  </conditionalFormatting>
  <conditionalFormatting sqref="D1956">
    <cfRule type="expression" dxfId="106" priority="105">
      <formula>dol_sol="soles"</formula>
    </cfRule>
  </conditionalFormatting>
  <conditionalFormatting sqref="D1953">
    <cfRule type="expression" dxfId="105" priority="104">
      <formula>dol_sol="soles"</formula>
    </cfRule>
  </conditionalFormatting>
  <conditionalFormatting sqref="D2793">
    <cfRule type="expression" dxfId="104" priority="103">
      <formula>dol_sol="soles"</formula>
    </cfRule>
  </conditionalFormatting>
  <conditionalFormatting sqref="D2795">
    <cfRule type="expression" dxfId="103" priority="102">
      <formula>dol_sol="soles"</formula>
    </cfRule>
  </conditionalFormatting>
  <conditionalFormatting sqref="D2794">
    <cfRule type="expression" dxfId="102" priority="101">
      <formula>dol_sol="soles"</formula>
    </cfRule>
  </conditionalFormatting>
  <conditionalFormatting sqref="D2796">
    <cfRule type="expression" dxfId="101" priority="100">
      <formula>dol_sol="soles"</formula>
    </cfRule>
  </conditionalFormatting>
  <conditionalFormatting sqref="D2798">
    <cfRule type="expression" dxfId="100" priority="99">
      <formula>dol_sol="soles"</formula>
    </cfRule>
  </conditionalFormatting>
  <conditionalFormatting sqref="D2577:D2579">
    <cfRule type="expression" dxfId="99" priority="98">
      <formula>dol_sol="soles"</formula>
    </cfRule>
  </conditionalFormatting>
  <conditionalFormatting sqref="D2797">
    <cfRule type="expression" dxfId="98" priority="97">
      <formula>dol_sol="soles"</formula>
    </cfRule>
  </conditionalFormatting>
  <conditionalFormatting sqref="D1867">
    <cfRule type="expression" dxfId="97" priority="96">
      <formula>dol_sol="soles"</formula>
    </cfRule>
  </conditionalFormatting>
  <conditionalFormatting sqref="D1869">
    <cfRule type="expression" dxfId="96" priority="95">
      <formula>dol_sol="soles"</formula>
    </cfRule>
  </conditionalFormatting>
  <conditionalFormatting sqref="D459:D461">
    <cfRule type="expression" dxfId="95" priority="94">
      <formula>dol_sol="soles"</formula>
    </cfRule>
  </conditionalFormatting>
  <conditionalFormatting sqref="D462">
    <cfRule type="expression" dxfId="94" priority="93">
      <formula>dol_sol="soles"</formula>
    </cfRule>
  </conditionalFormatting>
  <conditionalFormatting sqref="D4434">
    <cfRule type="expression" dxfId="93" priority="92">
      <formula>dol_sol="soles"</formula>
    </cfRule>
  </conditionalFormatting>
  <conditionalFormatting sqref="D449">
    <cfRule type="expression" dxfId="92" priority="91">
      <formula>dol_sol="soles"</formula>
    </cfRule>
  </conditionalFormatting>
  <conditionalFormatting sqref="D450">
    <cfRule type="expression" dxfId="91" priority="90">
      <formula>dol_sol="soles"</formula>
    </cfRule>
  </conditionalFormatting>
  <conditionalFormatting sqref="D1529">
    <cfRule type="expression" dxfId="90" priority="89">
      <formula>dol_sol="soles"</formula>
    </cfRule>
  </conditionalFormatting>
  <conditionalFormatting sqref="D2170:D2174">
    <cfRule type="expression" dxfId="89" priority="88">
      <formula>dol_sol="soles"</formula>
    </cfRule>
  </conditionalFormatting>
  <conditionalFormatting sqref="D1775">
    <cfRule type="expression" dxfId="88" priority="86">
      <formula>dol_sol="soles"</formula>
    </cfRule>
  </conditionalFormatting>
  <conditionalFormatting sqref="D1773">
    <cfRule type="expression" dxfId="87" priority="87">
      <formula>dol_sol="soles"</formula>
    </cfRule>
  </conditionalFormatting>
  <conditionalFormatting sqref="D309">
    <cfRule type="expression" dxfId="86" priority="85">
      <formula>dol_sol="soles"</formula>
    </cfRule>
  </conditionalFormatting>
  <conditionalFormatting sqref="D1377">
    <cfRule type="expression" dxfId="85" priority="84">
      <formula>dol_sol="soles"</formula>
    </cfRule>
  </conditionalFormatting>
  <conditionalFormatting sqref="D2352">
    <cfRule type="expression" dxfId="84" priority="83">
      <formula>dol_sol="soles"</formula>
    </cfRule>
  </conditionalFormatting>
  <conditionalFormatting sqref="D1758">
    <cfRule type="expression" dxfId="83" priority="82">
      <formula>dol_sol="soles"</formula>
    </cfRule>
  </conditionalFormatting>
  <conditionalFormatting sqref="D1414">
    <cfRule type="expression" dxfId="82" priority="81">
      <formula>dol_sol="soles"</formula>
    </cfRule>
  </conditionalFormatting>
  <conditionalFormatting sqref="D1312">
    <cfRule type="expression" dxfId="81" priority="80">
      <formula>dol_sol="soles"</formula>
    </cfRule>
  </conditionalFormatting>
  <conditionalFormatting sqref="D1315">
    <cfRule type="expression" dxfId="80" priority="79">
      <formula>dol_sol="soles"</formula>
    </cfRule>
  </conditionalFormatting>
  <conditionalFormatting sqref="D4246:D4249">
    <cfRule type="expression" dxfId="79" priority="78">
      <formula>dol_sol="soles"</formula>
    </cfRule>
  </conditionalFormatting>
  <conditionalFormatting sqref="D958:D968">
    <cfRule type="expression" dxfId="78" priority="77">
      <formula>dol_sol="soles"</formula>
    </cfRule>
  </conditionalFormatting>
  <conditionalFormatting sqref="D1063:D1066">
    <cfRule type="expression" dxfId="77" priority="76">
      <formula>dol_sol="soles"</formula>
    </cfRule>
  </conditionalFormatting>
  <conditionalFormatting sqref="D540">
    <cfRule type="expression" dxfId="76" priority="75">
      <formula>dol_sol="soles"</formula>
    </cfRule>
  </conditionalFormatting>
  <conditionalFormatting sqref="D2353">
    <cfRule type="expression" dxfId="75" priority="74">
      <formula>dol_sol="soles"</formula>
    </cfRule>
  </conditionalFormatting>
  <conditionalFormatting sqref="D100 D102:D109">
    <cfRule type="expression" dxfId="74" priority="73">
      <formula>dol_sol="soles"</formula>
    </cfRule>
  </conditionalFormatting>
  <conditionalFormatting sqref="D1588 D1592">
    <cfRule type="expression" dxfId="73" priority="72">
      <formula>dol_sol="soles"</formula>
    </cfRule>
  </conditionalFormatting>
  <conditionalFormatting sqref="D1587">
    <cfRule type="expression" dxfId="72" priority="71">
      <formula>dol_sol="soles"</formula>
    </cfRule>
  </conditionalFormatting>
  <conditionalFormatting sqref="D1575">
    <cfRule type="expression" dxfId="71" priority="70">
      <formula>dol_sol="soles"</formula>
    </cfRule>
  </conditionalFormatting>
  <conditionalFormatting sqref="D554">
    <cfRule type="expression" dxfId="70" priority="69">
      <formula>dol_sol="soles"</formula>
    </cfRule>
  </conditionalFormatting>
  <conditionalFormatting sqref="D512">
    <cfRule type="expression" dxfId="69" priority="68">
      <formula>dol_sol="soles"</formula>
    </cfRule>
  </conditionalFormatting>
  <conditionalFormatting sqref="D788">
    <cfRule type="expression" dxfId="68" priority="67">
      <formula>dol_sol="soles"</formula>
    </cfRule>
  </conditionalFormatting>
  <conditionalFormatting sqref="D786">
    <cfRule type="expression" dxfId="67" priority="66">
      <formula>dol_sol="soles"</formula>
    </cfRule>
  </conditionalFormatting>
  <conditionalFormatting sqref="D787">
    <cfRule type="expression" dxfId="66" priority="65">
      <formula>dol_sol="soles"</formula>
    </cfRule>
  </conditionalFormatting>
  <conditionalFormatting sqref="D2336">
    <cfRule type="expression" dxfId="65" priority="64">
      <formula>dol_sol="soles"</formula>
    </cfRule>
  </conditionalFormatting>
  <conditionalFormatting sqref="D2339">
    <cfRule type="expression" dxfId="64" priority="63">
      <formula>dol_sol="soles"</formula>
    </cfRule>
  </conditionalFormatting>
  <conditionalFormatting sqref="D2338">
    <cfRule type="expression" dxfId="63" priority="62">
      <formula>dol_sol="soles"</formula>
    </cfRule>
  </conditionalFormatting>
  <conditionalFormatting sqref="D1717">
    <cfRule type="expression" dxfId="62" priority="61">
      <formula>dol_sol="soles"</formula>
    </cfRule>
  </conditionalFormatting>
  <conditionalFormatting sqref="D2342">
    <cfRule type="expression" dxfId="61" priority="60">
      <formula>dol_sol="soles"</formula>
    </cfRule>
  </conditionalFormatting>
  <conditionalFormatting sqref="D2341">
    <cfRule type="expression" dxfId="60" priority="59">
      <formula>dol_sol="soles"</formula>
    </cfRule>
  </conditionalFormatting>
  <conditionalFormatting sqref="D5640">
    <cfRule type="expression" dxfId="59" priority="58">
      <formula>dol_sol="soles"</formula>
    </cfRule>
  </conditionalFormatting>
  <conditionalFormatting sqref="D4252">
    <cfRule type="expression" dxfId="58" priority="57">
      <formula>dol_sol="soles"</formula>
    </cfRule>
  </conditionalFormatting>
  <conditionalFormatting sqref="D1000">
    <cfRule type="expression" dxfId="57" priority="56">
      <formula>dol_sol="soles"</formula>
    </cfRule>
  </conditionalFormatting>
  <conditionalFormatting sqref="D999">
    <cfRule type="expression" dxfId="56" priority="55">
      <formula>dol_sol="soles"</formula>
    </cfRule>
  </conditionalFormatting>
  <conditionalFormatting sqref="D1029">
    <cfRule type="expression" dxfId="55" priority="54">
      <formula>dol_sol="soles"</formula>
    </cfRule>
  </conditionalFormatting>
  <conditionalFormatting sqref="D1028">
    <cfRule type="expression" dxfId="54" priority="53">
      <formula>dol_sol="soles"</formula>
    </cfRule>
  </conditionalFormatting>
  <conditionalFormatting sqref="D1325">
    <cfRule type="expression" dxfId="53" priority="52">
      <formula>dol_sol="soles"</formula>
    </cfRule>
  </conditionalFormatting>
  <conditionalFormatting sqref="D1818">
    <cfRule type="expression" dxfId="52" priority="51">
      <formula>dol_sol="soles"</formula>
    </cfRule>
  </conditionalFormatting>
  <conditionalFormatting sqref="D1817">
    <cfRule type="expression" dxfId="51" priority="50">
      <formula>dol_sol="soles"</formula>
    </cfRule>
  </conditionalFormatting>
  <conditionalFormatting sqref="D1589">
    <cfRule type="expression" dxfId="50" priority="49">
      <formula>dol_sol="soles"</formula>
    </cfRule>
  </conditionalFormatting>
  <conditionalFormatting sqref="D1591">
    <cfRule type="expression" dxfId="49" priority="48">
      <formula>dol_sol="soles"</formula>
    </cfRule>
  </conditionalFormatting>
  <conditionalFormatting sqref="D1406">
    <cfRule type="expression" dxfId="48" priority="47">
      <formula>dol_sol="soles"</formula>
    </cfRule>
  </conditionalFormatting>
  <conditionalFormatting sqref="D1291">
    <cfRule type="expression" dxfId="47" priority="46">
      <formula>dol_sol="soles"</formula>
    </cfRule>
  </conditionalFormatting>
  <conditionalFormatting sqref="D971:D972">
    <cfRule type="expression" dxfId="46" priority="45">
      <formula>dol_sol="soles"</formula>
    </cfRule>
  </conditionalFormatting>
  <conditionalFormatting sqref="D1751">
    <cfRule type="expression" dxfId="45" priority="44">
      <formula>dol_sol="soles"</formula>
    </cfRule>
  </conditionalFormatting>
  <conditionalFormatting sqref="D1337">
    <cfRule type="expression" dxfId="44" priority="43">
      <formula>dol_sol="soles"</formula>
    </cfRule>
  </conditionalFormatting>
  <conditionalFormatting sqref="D2540">
    <cfRule type="expression" dxfId="43" priority="42">
      <formula>dol_sol="soles"</formula>
    </cfRule>
  </conditionalFormatting>
  <conditionalFormatting sqref="D1783">
    <cfRule type="expression" dxfId="42" priority="41">
      <formula>dol_sol="soles"</formula>
    </cfRule>
  </conditionalFormatting>
  <conditionalFormatting sqref="D1310">
    <cfRule type="expression" dxfId="41" priority="40">
      <formula>dol_sol="soles"</formula>
    </cfRule>
  </conditionalFormatting>
  <conditionalFormatting sqref="D443">
    <cfRule type="expression" dxfId="40" priority="39">
      <formula>dol_sol="soles"</formula>
    </cfRule>
  </conditionalFormatting>
  <conditionalFormatting sqref="D1754">
    <cfRule type="expression" dxfId="39" priority="38">
      <formula>dol_sol="soles"</formula>
    </cfRule>
  </conditionalFormatting>
  <conditionalFormatting sqref="D1777">
    <cfRule type="expression" dxfId="38" priority="37">
      <formula>dol_sol="soles"</formula>
    </cfRule>
  </conditionalFormatting>
  <conditionalFormatting sqref="D1768">
    <cfRule type="expression" dxfId="37" priority="36">
      <formula>dol_sol="soles"</formula>
    </cfRule>
  </conditionalFormatting>
  <conditionalFormatting sqref="D1646">
    <cfRule type="expression" dxfId="36" priority="35">
      <formula>dol_sol="soles"</formula>
    </cfRule>
  </conditionalFormatting>
  <conditionalFormatting sqref="D5645">
    <cfRule type="expression" dxfId="35" priority="34">
      <formula>dol_sol="soles"</formula>
    </cfRule>
  </conditionalFormatting>
  <conditionalFormatting sqref="D4231">
    <cfRule type="expression" dxfId="34" priority="33">
      <formula>dol_sol="soles"</formula>
    </cfRule>
  </conditionalFormatting>
  <conditionalFormatting sqref="D4230">
    <cfRule type="expression" dxfId="33" priority="32">
      <formula>dol_sol="soles"</formula>
    </cfRule>
  </conditionalFormatting>
  <conditionalFormatting sqref="D4234">
    <cfRule type="expression" dxfId="32" priority="31">
      <formula>dol_sol="soles"</formula>
    </cfRule>
  </conditionalFormatting>
  <conditionalFormatting sqref="D4235">
    <cfRule type="expression" dxfId="31" priority="30">
      <formula>dol_sol="soles"</formula>
    </cfRule>
  </conditionalFormatting>
  <conditionalFormatting sqref="D4236">
    <cfRule type="expression" dxfId="30" priority="29">
      <formula>dol_sol="soles"</formula>
    </cfRule>
  </conditionalFormatting>
  <conditionalFormatting sqref="D1955">
    <cfRule type="expression" dxfId="29" priority="28">
      <formula>dol_sol="soles"</formula>
    </cfRule>
  </conditionalFormatting>
  <conditionalFormatting sqref="B1682">
    <cfRule type="cellIs" dxfId="28" priority="20" operator="equal">
      <formula>"Cod. NO encontrado"</formula>
    </cfRule>
  </conditionalFormatting>
  <conditionalFormatting sqref="D1242:D1245">
    <cfRule type="expression" dxfId="27" priority="27">
      <formula>dol_sol="soles"</formula>
    </cfRule>
  </conditionalFormatting>
  <conditionalFormatting sqref="B1243:B1245">
    <cfRule type="cellIs" dxfId="26" priority="26" operator="equal">
      <formula>"Cod. NO encontrado"</formula>
    </cfRule>
  </conditionalFormatting>
  <conditionalFormatting sqref="C1243:C1245">
    <cfRule type="cellIs" dxfId="25" priority="25" operator="equal">
      <formula>"Consultar"</formula>
    </cfRule>
  </conditionalFormatting>
  <conditionalFormatting sqref="D1679:D1681">
    <cfRule type="expression" dxfId="24" priority="24">
      <formula>dol_sol="soles"</formula>
    </cfRule>
  </conditionalFormatting>
  <conditionalFormatting sqref="D1682">
    <cfRule type="expression" dxfId="23" priority="23">
      <formula>dol_sol="soles"</formula>
    </cfRule>
  </conditionalFormatting>
  <conditionalFormatting sqref="B1681">
    <cfRule type="cellIs" dxfId="22" priority="21" operator="equal">
      <formula>"Cod. NO encontrado"</formula>
    </cfRule>
  </conditionalFormatting>
  <conditionalFormatting sqref="B1680">
    <cfRule type="cellIs" dxfId="21" priority="22" operator="equal">
      <formula>"Cod. NO encontrado"</formula>
    </cfRule>
  </conditionalFormatting>
  <conditionalFormatting sqref="C1680:C1682">
    <cfRule type="cellIs" dxfId="20" priority="19" operator="equal">
      <formula>"Consultar"</formula>
    </cfRule>
  </conditionalFormatting>
  <conditionalFormatting sqref="D1521">
    <cfRule type="expression" dxfId="19" priority="18">
      <formula>dol_sol="soles"</formula>
    </cfRule>
  </conditionalFormatting>
  <conditionalFormatting sqref="D1479">
    <cfRule type="expression" dxfId="18" priority="17">
      <formula>dol_sol="soles"</formula>
    </cfRule>
  </conditionalFormatting>
  <conditionalFormatting sqref="D1246">
    <cfRule type="expression" dxfId="17" priority="16">
      <formula>dol_sol="soles"</formula>
    </cfRule>
  </conditionalFormatting>
  <conditionalFormatting sqref="B1246">
    <cfRule type="cellIs" dxfId="16" priority="15" operator="equal">
      <formula>"Cod. NO encontrado"</formula>
    </cfRule>
  </conditionalFormatting>
  <conditionalFormatting sqref="C1246">
    <cfRule type="cellIs" dxfId="15" priority="14" operator="equal">
      <formula>"Consultar"</formula>
    </cfRule>
  </conditionalFormatting>
  <conditionalFormatting sqref="D1539">
    <cfRule type="expression" dxfId="14" priority="13">
      <formula>dol_sol="soles"</formula>
    </cfRule>
  </conditionalFormatting>
  <conditionalFormatting sqref="D616">
    <cfRule type="expression" dxfId="13" priority="12">
      <formula>dol_sol="soles"</formula>
    </cfRule>
  </conditionalFormatting>
  <conditionalFormatting sqref="D1774">
    <cfRule type="expression" dxfId="12" priority="11">
      <formula>dol_sol="soles"</formula>
    </cfRule>
  </conditionalFormatting>
  <conditionalFormatting sqref="D374">
    <cfRule type="expression" dxfId="11" priority="10">
      <formula>dol_sol="soles"</formula>
    </cfRule>
  </conditionalFormatting>
  <conditionalFormatting sqref="D7164:D7165">
    <cfRule type="expression" dxfId="10" priority="9">
      <formula>dol_sol="soles"</formula>
    </cfRule>
  </conditionalFormatting>
  <conditionalFormatting sqref="D1752">
    <cfRule type="expression" dxfId="9" priority="8">
      <formula>dol_sol="soles"</formula>
    </cfRule>
  </conditionalFormatting>
  <conditionalFormatting sqref="D2337">
    <cfRule type="expression" dxfId="8" priority="7">
      <formula>dol_sol="soles"</formula>
    </cfRule>
  </conditionalFormatting>
  <conditionalFormatting sqref="D2335">
    <cfRule type="expression" dxfId="7" priority="6">
      <formula>dol_sol="soles"</formula>
    </cfRule>
  </conditionalFormatting>
  <conditionalFormatting sqref="D2334">
    <cfRule type="expression" dxfId="6" priority="5">
      <formula>dol_sol="soles"</formula>
    </cfRule>
  </conditionalFormatting>
  <conditionalFormatting sqref="D548">
    <cfRule type="expression" dxfId="5" priority="4">
      <formula>dol_sol="soles"</formula>
    </cfRule>
  </conditionalFormatting>
  <conditionalFormatting sqref="D549">
    <cfRule type="expression" dxfId="4" priority="3">
      <formula>dol_sol="soles"</formula>
    </cfRule>
  </conditionalFormatting>
  <conditionalFormatting sqref="D1727">
    <cfRule type="expression" dxfId="3" priority="2">
      <formula>dol_sol="soles"</formula>
    </cfRule>
  </conditionalFormatting>
  <conditionalFormatting sqref="D645">
    <cfRule type="expression" dxfId="2" priority="1">
      <formula>dol_sol="soles"</formula>
    </cfRule>
  </conditionalFormatting>
  <dataValidations disablePrompts="1" count="3">
    <dataValidation type="list" allowBlank="1" showInputMessage="1" showErrorMessage="1" sqref="D14" xr:uid="{00000000-0002-0000-0100-000000000000}">
      <formula1>"Fijo, Fijo proyectado, Variable"</formula1>
    </dataValidation>
    <dataValidation type="list" allowBlank="1" showInputMessage="1" showErrorMessage="1" sqref="C13" xr:uid="{00000000-0002-0000-0100-000001000000}">
      <formula1>fcl_opciones</formula1>
    </dataValidation>
    <dataValidation type="list" allowBlank="1" showInputMessage="1" showErrorMessage="1" sqref="C15" xr:uid="{00000000-0002-0000-0100-000002000000}">
      <formula1>"dólar, soles"</formula1>
    </dataValidation>
  </dataValidations>
  <pageMargins left="0.75" right="0.75" top="1" bottom="1" header="0" footer="0"/>
  <pageSetup paperSize="9" scale="27" fitToHeight="0" orientation="landscape" r:id="rId1"/>
  <headerFooter alignWithMargins="0"/>
  <drawing r:id="rId2"/>
  <legacyDrawing r:id="rId3"/>
  <controls>
    <mc:AlternateContent xmlns:mc="http://schemas.openxmlformats.org/markup-compatibility/2006">
      <mc:Choice Requires="x14">
        <control shapeId="332952" r:id="rId4" name="ActBase2_Button">
          <controlPr defaultSize="0" autoLine="0" r:id="rId5">
            <anchor moveWithCells="1">
              <from>
                <xdr:col>6</xdr:col>
                <xdr:colOff>1264920</xdr:colOff>
                <xdr:row>11</xdr:row>
                <xdr:rowOff>137160</xdr:rowOff>
              </from>
              <to>
                <xdr:col>6</xdr:col>
                <xdr:colOff>2148840</xdr:colOff>
                <xdr:row>17</xdr:row>
                <xdr:rowOff>0</xdr:rowOff>
              </to>
            </anchor>
          </controlPr>
        </control>
      </mc:Choice>
      <mc:Fallback>
        <control shapeId="332952" r:id="rId4" name="ActBase2_Butto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8" filterMode="1"/>
  <dimension ref="A2:H173"/>
  <sheetViews>
    <sheetView topLeftCell="A32" zoomScale="70" zoomScaleNormal="70" workbookViewId="0">
      <selection activeCell="B64" sqref="B64"/>
    </sheetView>
  </sheetViews>
  <sheetFormatPr baseColWidth="10" defaultRowHeight="13.2"/>
  <cols>
    <col min="1" max="1" width="32.109375" customWidth="1"/>
    <col min="2" max="2" width="18.33203125" style="121" customWidth="1"/>
    <col min="4" max="4" width="29.33203125" bestFit="1" customWidth="1"/>
    <col min="5" max="5" width="19.88671875" bestFit="1" customWidth="1"/>
    <col min="6" max="6" width="6.5546875" bestFit="1" customWidth="1"/>
    <col min="7" max="7" width="111" bestFit="1" customWidth="1"/>
  </cols>
  <sheetData>
    <row r="2" spans="1:8">
      <c r="A2" s="374" t="s">
        <v>1548</v>
      </c>
      <c r="B2" s="121" t="s">
        <v>1550</v>
      </c>
      <c r="D2" s="375" t="s">
        <v>318</v>
      </c>
      <c r="E2" s="375" t="s">
        <v>1488</v>
      </c>
      <c r="F2" s="376" t="s">
        <v>41</v>
      </c>
      <c r="G2" s="375" t="s">
        <v>2448</v>
      </c>
      <c r="H2" s="375" t="s">
        <v>743</v>
      </c>
    </row>
    <row r="3" spans="1:8" hidden="1">
      <c r="A3" s="360"/>
      <c r="B3" s="121">
        <v>0</v>
      </c>
      <c r="D3" s="377">
        <f>A3</f>
        <v>0</v>
      </c>
      <c r="E3" s="378" t="e">
        <f>VLOOKUP(D3,base_datos,7,FALSE)</f>
        <v>#N/A</v>
      </c>
      <c r="F3" s="379">
        <f>B3</f>
        <v>0</v>
      </c>
      <c r="G3" s="378" t="e">
        <f>VLOOKUP(D3,base_datos,6,FALSE)</f>
        <v>#N/A</v>
      </c>
      <c r="H3" s="378" t="e">
        <f>VLOOKUP(D3,base_datos,9,FALSE)</f>
        <v>#N/A</v>
      </c>
    </row>
    <row r="4" spans="1:8">
      <c r="A4" s="360" t="s">
        <v>1447</v>
      </c>
      <c r="B4" s="121">
        <v>47</v>
      </c>
      <c r="D4" s="377" t="str">
        <f>A4</f>
        <v>AF09-30-10-13_3p</v>
      </c>
      <c r="E4" s="378" t="str">
        <f>VLOOKUP(D4,base_datos,7,FALSE)</f>
        <v>1SBL137001R1310</v>
      </c>
      <c r="F4" s="379">
        <f>B4</f>
        <v>47</v>
      </c>
      <c r="G4" s="378" t="str">
        <f>VLOOKUP(D4,base_datos,6,FALSE)</f>
        <v>Contactor 3x09A(AC-3) / 3x25A(AC-1) +1NA - AF09-30-10-13 - bobina 100-250Vac/dc - marca ABB.</v>
      </c>
      <c r="H4" s="378" t="str">
        <f>VLOOKUP(D4,base_datos,9,FALSE)</f>
        <v>ABB</v>
      </c>
    </row>
    <row r="5" spans="1:8">
      <c r="A5" s="360" t="s">
        <v>986</v>
      </c>
      <c r="B5" s="121">
        <v>16</v>
      </c>
      <c r="D5" s="377" t="str">
        <f>A5</f>
        <v>S203-C-20A</v>
      </c>
      <c r="E5" s="378" t="str">
        <f>VLOOKUP(D5,base_datos,7,FALSE)</f>
        <v>2CDS253001R0204</v>
      </c>
      <c r="F5" s="379">
        <f>B5</f>
        <v>16</v>
      </c>
      <c r="G5" s="378" t="str">
        <f>VLOOKUP(D5,base_datos,6,FALSE)</f>
        <v>ITM Riel-Din 3x20A - S203-C-20A - 10kA@400Vac-IEC60947-2 - marca ABB.</v>
      </c>
      <c r="H5" s="378" t="str">
        <f>VLOOKUP(D5,base_datos,9,FALSE)</f>
        <v>ABB</v>
      </c>
    </row>
    <row r="6" spans="1:8">
      <c r="A6" s="360" t="s">
        <v>981</v>
      </c>
      <c r="B6" s="121">
        <v>27</v>
      </c>
      <c r="D6" s="377" t="str">
        <f>A6</f>
        <v>S203-C-32A</v>
      </c>
      <c r="E6" s="378" t="str">
        <f>VLOOKUP(D6,base_datos,7,FALSE)</f>
        <v>2CDS253001R0324</v>
      </c>
      <c r="F6" s="379">
        <f>B6</f>
        <v>27</v>
      </c>
      <c r="G6" s="378" t="str">
        <f>VLOOKUP(D6,base_datos,6,FALSE)</f>
        <v>ITM Riel-Din 3x32A - S203-C-32A - 10kA@400Vac-IEC60947-2 - marca ABB.</v>
      </c>
      <c r="H6" s="378" t="str">
        <f>VLOOKUP(D6,base_datos,9,FALSE)</f>
        <v>ABB</v>
      </c>
    </row>
    <row r="7" spans="1:8" hidden="1">
      <c r="A7" s="360" t="s">
        <v>12509</v>
      </c>
      <c r="D7" s="377" t="str">
        <f>A7</f>
        <v>(en blanco)</v>
      </c>
      <c r="E7" s="378" t="e">
        <f>VLOOKUP(D7,base_datos,7,FALSE)</f>
        <v>#N/A</v>
      </c>
      <c r="F7" s="379">
        <f>B7</f>
        <v>0</v>
      </c>
      <c r="G7" s="378" t="e">
        <f>VLOOKUP(D7,base_datos,6,FALSE)</f>
        <v>#N/A</v>
      </c>
      <c r="H7" s="378" t="e">
        <f>VLOOKUP(D7,base_datos,9,FALSE)</f>
        <v>#N/A</v>
      </c>
    </row>
    <row r="8" spans="1:8" hidden="1">
      <c r="A8" s="360" t="s">
        <v>773</v>
      </c>
      <c r="B8" s="121">
        <v>1</v>
      </c>
      <c r="D8" s="377" t="str">
        <f t="shared" ref="D8:D71" si="0">A8</f>
        <v>XTRM10A22B</v>
      </c>
      <c r="E8" s="378" t="str">
        <f t="shared" ref="E8:E71" si="1">VLOOKUP(D8,base_datos,7,FALSE)</f>
        <v>XTRM10A22B</v>
      </c>
      <c r="F8" s="379">
        <f t="shared" ref="F8:F71" si="2">B8</f>
        <v>1</v>
      </c>
      <c r="G8" s="378" t="str">
        <f t="shared" ref="G8:G71" si="3">VLOOKUP(D8,base_datos,6,FALSE)</f>
        <v>Minicontactor de control DILER-22 / XTRM10A22B, 10A, 2NA+2NC, bobina 220Vac, marca EATON.</v>
      </c>
      <c r="H8" s="378" t="str">
        <f t="shared" ref="H8:H71" si="4">VLOOKUP(D8,base_datos,9,FALSE)</f>
        <v>EATON</v>
      </c>
    </row>
    <row r="9" spans="1:8">
      <c r="A9" s="360" t="s">
        <v>1229</v>
      </c>
      <c r="B9" s="121">
        <v>1</v>
      </c>
      <c r="D9" s="377" t="str">
        <f t="shared" si="0"/>
        <v>MOE_T4-T5</v>
      </c>
      <c r="E9" s="378" t="str">
        <f t="shared" si="1"/>
        <v>1SDA054897R1</v>
      </c>
      <c r="F9" s="379">
        <f t="shared" si="2"/>
        <v>1</v>
      </c>
      <c r="G9" s="378" t="str">
        <f t="shared" si="3"/>
        <v>Mando motor (MOE) - T4-T5 - 220-250V AC/DC - (YM+YO+YC) - marca ABB.</v>
      </c>
      <c r="H9" s="378" t="str">
        <f t="shared" si="4"/>
        <v>ABB</v>
      </c>
    </row>
    <row r="10" spans="1:8">
      <c r="A10" s="360" t="s">
        <v>852</v>
      </c>
      <c r="B10" s="121">
        <v>3</v>
      </c>
      <c r="D10" s="377" t="str">
        <f t="shared" si="0"/>
        <v>XT2N160-160A-3P-TMA</v>
      </c>
      <c r="E10" s="378" t="str">
        <f t="shared" si="1"/>
        <v>1SDA067020R1</v>
      </c>
      <c r="F10" s="379">
        <f t="shared" si="2"/>
        <v>3</v>
      </c>
      <c r="G10" s="378" t="str">
        <f t="shared" si="3"/>
        <v>ITM Caja Moldeada 3x160A (reg.[0.7-1.0] In) - XT2N160-160A-3P-TMA - 65kA@230Vac, 36kA@415Vac - marca ABB.</v>
      </c>
      <c r="H10" s="378" t="str">
        <f t="shared" si="4"/>
        <v>ABB</v>
      </c>
    </row>
    <row r="11" spans="1:8">
      <c r="A11" s="360" t="s">
        <v>879</v>
      </c>
      <c r="B11" s="121">
        <v>1</v>
      </c>
      <c r="D11" s="377" t="str">
        <f t="shared" si="0"/>
        <v>XT4N250-200A-3P-TMA</v>
      </c>
      <c r="E11" s="378" t="str">
        <f t="shared" si="1"/>
        <v>1SDA068090R1</v>
      </c>
      <c r="F11" s="379">
        <f t="shared" si="2"/>
        <v>1</v>
      </c>
      <c r="G11" s="378" t="str">
        <f t="shared" si="3"/>
        <v>ITM Caja Moldeada 3x200A (reg.[0.7-1.0] In) - XT4N250-200A-3P-TMA - 65kA@230Vac, 36kA@415Vac - marca ABB.</v>
      </c>
      <c r="H11" s="378" t="str">
        <f t="shared" si="4"/>
        <v>ABB</v>
      </c>
    </row>
    <row r="12" spans="1:8">
      <c r="A12" s="360" t="s">
        <v>2198</v>
      </c>
      <c r="B12" s="121">
        <v>2</v>
      </c>
      <c r="D12" s="377" t="str">
        <f t="shared" si="0"/>
        <v>XT2N160-80A-3P-TMA</v>
      </c>
      <c r="E12" s="378" t="str">
        <f t="shared" si="1"/>
        <v>1SDA067017R1</v>
      </c>
      <c r="F12" s="379">
        <f t="shared" si="2"/>
        <v>2</v>
      </c>
      <c r="G12" s="378" t="str">
        <f t="shared" si="3"/>
        <v>ITM Caja Moldeada 3x80A (reg.[0.7-1.0] In) - XT2N160-80A-3P-TMA - 65kA@230Vac, 36kA@415Vac - marca ABB.</v>
      </c>
      <c r="H12" s="378" t="str">
        <f t="shared" si="4"/>
        <v>ABB</v>
      </c>
    </row>
    <row r="13" spans="1:8">
      <c r="A13" s="360" t="s">
        <v>1223</v>
      </c>
      <c r="B13" s="121">
        <v>30</v>
      </c>
      <c r="D13" s="377" t="str">
        <f t="shared" si="0"/>
        <v>SEL_1-0-2</v>
      </c>
      <c r="E13" s="378" t="str">
        <f t="shared" si="1"/>
        <v>1SFA619210R1026</v>
      </c>
      <c r="F13" s="379">
        <f t="shared" si="2"/>
        <v>30</v>
      </c>
      <c r="G13" s="378" t="str">
        <f t="shared" si="3"/>
        <v>Selector 3 posiciones mantenidos - 1-0-2 / M-0-A - maneta corta, contactos 2NA - C3SS1-10B-20 - compacto - marca ABB.</v>
      </c>
      <c r="H13" s="378" t="str">
        <f t="shared" si="4"/>
        <v>ABB</v>
      </c>
    </row>
    <row r="14" spans="1:8" hidden="1">
      <c r="A14" s="360" t="s">
        <v>772</v>
      </c>
      <c r="B14" s="121">
        <v>92</v>
      </c>
      <c r="D14" s="377" t="str">
        <f t="shared" si="0"/>
        <v>D2PR4B+D2PA6</v>
      </c>
      <c r="E14" s="378" t="str">
        <f t="shared" si="1"/>
        <v>D2PR4B+D2PA6</v>
      </c>
      <c r="F14" s="379">
        <f t="shared" si="2"/>
        <v>92</v>
      </c>
      <c r="G14" s="378" t="str">
        <f t="shared" si="3"/>
        <v>Rele auxiliar enchufable +4NA/NC (D2PR4B + base D2PA6), 220Vac - marca EATON.</v>
      </c>
      <c r="H14" s="378" t="str">
        <f t="shared" si="4"/>
        <v>EATON</v>
      </c>
    </row>
    <row r="15" spans="1:8">
      <c r="A15" s="360" t="s">
        <v>847</v>
      </c>
      <c r="B15" s="121">
        <v>4</v>
      </c>
      <c r="D15" s="377" t="str">
        <f t="shared" si="0"/>
        <v>XT2N160-50A-3P-TMA</v>
      </c>
      <c r="E15" s="378" t="str">
        <f t="shared" si="1"/>
        <v>1SDA067015R1</v>
      </c>
      <c r="F15" s="379">
        <f t="shared" si="2"/>
        <v>4</v>
      </c>
      <c r="G15" s="378" t="str">
        <f t="shared" si="3"/>
        <v>ITM Caja Moldeada 3x50A (reg.[0.7-1.0] In) - XT2N160-50A-3P-TMA - 65kA@230Vac, 36kA@415Vac - marca ABB.</v>
      </c>
      <c r="H15" s="378" t="str">
        <f t="shared" si="4"/>
        <v>ABB</v>
      </c>
    </row>
    <row r="16" spans="1:8">
      <c r="A16" s="360" t="s">
        <v>850</v>
      </c>
      <c r="B16" s="121">
        <v>16</v>
      </c>
      <c r="D16" s="377" t="str">
        <f t="shared" si="0"/>
        <v>XT2N160-32A-3P-TMD</v>
      </c>
      <c r="E16" s="378" t="str">
        <f t="shared" si="1"/>
        <v>1SDA067013R1</v>
      </c>
      <c r="F16" s="379">
        <f t="shared" si="2"/>
        <v>16</v>
      </c>
      <c r="G16" s="378" t="str">
        <f t="shared" si="3"/>
        <v>ITM Caja Moldeada 3x32A (reg.[0.7-1.0] In) - XT2N160-32A-3P-TMD - 65kA@230Vac, 36kA@415Vac - marca ABB.</v>
      </c>
      <c r="H16" s="378" t="str">
        <f t="shared" si="4"/>
        <v>ABB</v>
      </c>
    </row>
    <row r="17" spans="1:8">
      <c r="A17" s="360" t="s">
        <v>2439</v>
      </c>
      <c r="B17" s="121">
        <v>174</v>
      </c>
      <c r="D17" s="377" t="str">
        <f t="shared" si="0"/>
        <v>LAMP_ROJO_220V</v>
      </c>
      <c r="E17" s="378" t="str">
        <f t="shared" si="1"/>
        <v>1SFA619403R5231</v>
      </c>
      <c r="F17" s="379">
        <f t="shared" si="2"/>
        <v>174</v>
      </c>
      <c r="G17" s="378" t="str">
        <f t="shared" si="3"/>
        <v>Portalámpara + lampara tipo LED - color Rojo - alimentacion: 220-230Vac, d=22mm. - CL2-523R - línea compacta - marca ABB.</v>
      </c>
      <c r="H17" s="378" t="str">
        <f t="shared" si="4"/>
        <v>ABB</v>
      </c>
    </row>
    <row r="18" spans="1:8">
      <c r="A18" s="360" t="s">
        <v>863</v>
      </c>
      <c r="B18" s="121">
        <v>11</v>
      </c>
      <c r="D18" s="377" t="str">
        <f t="shared" si="0"/>
        <v>XT2N160-40A-3P-TMA</v>
      </c>
      <c r="E18" s="378" t="str">
        <f t="shared" si="1"/>
        <v>1SDA067014R1</v>
      </c>
      <c r="F18" s="379">
        <f t="shared" si="2"/>
        <v>11</v>
      </c>
      <c r="G18" s="378" t="str">
        <f t="shared" si="3"/>
        <v>ITM Caja Moldeada 3x40A (reg.[0.7-1.0] In) - XT2N160-40A-3P-TMA - 65kA@230Vac, 36kA@415Vac - marca ABB.</v>
      </c>
      <c r="H18" s="378" t="str">
        <f t="shared" si="4"/>
        <v>ABB</v>
      </c>
    </row>
    <row r="19" spans="1:8">
      <c r="A19" s="360" t="s">
        <v>848</v>
      </c>
      <c r="B19" s="121">
        <v>2</v>
      </c>
      <c r="D19" s="377" t="str">
        <f t="shared" si="0"/>
        <v>XT2N160-100A-3P-TMA</v>
      </c>
      <c r="E19" s="378" t="str">
        <f t="shared" si="1"/>
        <v>1SDA067018R1</v>
      </c>
      <c r="F19" s="379">
        <f t="shared" si="2"/>
        <v>2</v>
      </c>
      <c r="G19" s="378" t="str">
        <f t="shared" si="3"/>
        <v>ITM Caja Moldeada 3x100A (reg.[0.7-1.0] In) - XT2N160-100A-3P-TMA - 65kA@230Vac, 36kA@415Vac - marca ABB.</v>
      </c>
      <c r="H19" s="378" t="str">
        <f t="shared" si="4"/>
        <v>ABB</v>
      </c>
    </row>
    <row r="20" spans="1:8">
      <c r="A20" s="360" t="s">
        <v>849</v>
      </c>
      <c r="B20" s="121">
        <v>1</v>
      </c>
      <c r="D20" s="377" t="str">
        <f t="shared" si="0"/>
        <v>XT2N160-63A-3P-TMA</v>
      </c>
      <c r="E20" s="378" t="str">
        <f t="shared" si="1"/>
        <v>1SDA067016R1</v>
      </c>
      <c r="F20" s="379">
        <f t="shared" si="2"/>
        <v>1</v>
      </c>
      <c r="G20" s="378" t="str">
        <f t="shared" si="3"/>
        <v>ITM Caja Moldeada 3x63A (reg.[0.7-1.0] In) - XT2N160-63A-3P-TMA - 65kA@230Vac, 36kA@415Vac - marca ABB.</v>
      </c>
      <c r="H20" s="378" t="str">
        <f t="shared" si="4"/>
        <v>ABB</v>
      </c>
    </row>
    <row r="21" spans="1:8">
      <c r="A21" s="360" t="s">
        <v>1325</v>
      </c>
      <c r="B21" s="121">
        <v>2</v>
      </c>
      <c r="D21" s="377" t="str">
        <f t="shared" si="0"/>
        <v>XT2N160-125A-3P-TMA</v>
      </c>
      <c r="E21" s="378" t="str">
        <f t="shared" si="1"/>
        <v>1SDA067019R1</v>
      </c>
      <c r="F21" s="379">
        <f t="shared" si="2"/>
        <v>2</v>
      </c>
      <c r="G21" s="378" t="str">
        <f t="shared" si="3"/>
        <v>ITM Caja Moldeada 3x125A (reg.[0.7-1.0] In) - XT2N160-125A-3P-TMA - 65kA@230Vac, 36kA@415Vac - marca ABB.</v>
      </c>
      <c r="H21" s="378" t="str">
        <f t="shared" si="4"/>
        <v>ABB</v>
      </c>
    </row>
    <row r="22" spans="1:8">
      <c r="A22" s="360" t="s">
        <v>1282</v>
      </c>
      <c r="B22" s="121">
        <v>1</v>
      </c>
      <c r="D22" s="377" t="str">
        <f t="shared" si="0"/>
        <v>3Q+1SY_T4-T5-T6</v>
      </c>
      <c r="E22" s="378" t="str">
        <f t="shared" si="1"/>
        <v>1SDA051369R1</v>
      </c>
      <c r="F22" s="379">
        <f t="shared" si="2"/>
        <v>1</v>
      </c>
      <c r="G22" s="378" t="str">
        <f t="shared" si="3"/>
        <v>3(Q) contactos conmutado NA/NC + 1(SY) contacto por disparo de interruptor - T4-T5-T6 - version no cableada - marca ABB.</v>
      </c>
      <c r="H22" s="378" t="str">
        <f t="shared" si="4"/>
        <v>ABB</v>
      </c>
    </row>
    <row r="23" spans="1:8">
      <c r="A23" s="360" t="s">
        <v>2440</v>
      </c>
      <c r="B23" s="121">
        <v>174</v>
      </c>
      <c r="D23" s="377" t="str">
        <f t="shared" si="0"/>
        <v>LAMP_VERDE_220V</v>
      </c>
      <c r="E23" s="378" t="str">
        <f t="shared" si="1"/>
        <v>1SFA619403R5232</v>
      </c>
      <c r="F23" s="379">
        <f t="shared" si="2"/>
        <v>174</v>
      </c>
      <c r="G23" s="378" t="str">
        <f t="shared" si="3"/>
        <v>Portalámpara + lampara tipo LED - color Verde - alimentacion: 220-230Vac, d=22mm. - CL2-523G - línea compacta - marca ABB.</v>
      </c>
      <c r="H23" s="378" t="str">
        <f t="shared" si="4"/>
        <v>ABB</v>
      </c>
    </row>
    <row r="24" spans="1:8">
      <c r="A24" s="360" t="s">
        <v>3240</v>
      </c>
      <c r="B24" s="121">
        <v>4</v>
      </c>
      <c r="D24" s="377" t="str">
        <f t="shared" si="0"/>
        <v>1Q/1SY_XT1..XT4</v>
      </c>
      <c r="E24" s="378" t="str">
        <f t="shared" si="1"/>
        <v>1SDA066422R1</v>
      </c>
      <c r="F24" s="379">
        <f t="shared" si="2"/>
        <v>4</v>
      </c>
      <c r="G24" s="378" t="str">
        <f t="shared" si="3"/>
        <v>1(Q) contacto conmutado de estado (NA/NC) / 1(SY) contacto por disparo de interruptor - XT1..XT4 - versión no cableada - marca ABB.</v>
      </c>
      <c r="H24" s="378" t="str">
        <f t="shared" si="4"/>
        <v>ABB</v>
      </c>
    </row>
    <row r="25" spans="1:8">
      <c r="A25" s="360" t="s">
        <v>1279</v>
      </c>
      <c r="B25" s="121">
        <v>41</v>
      </c>
      <c r="D25" s="377" t="str">
        <f t="shared" si="0"/>
        <v>PULS_DOBLE</v>
      </c>
      <c r="E25" s="378" t="str">
        <f t="shared" si="1"/>
        <v>1SFA611131P1108</v>
      </c>
      <c r="F25" s="379">
        <f t="shared" si="2"/>
        <v>41</v>
      </c>
      <c r="G25" s="378" t="str">
        <f t="shared" si="3"/>
        <v>Pulsador doble Start+Stop - color Verde+Rojo - contactos 1NA+1NC - MPD2-11C-K - línea modular - marca ABB.</v>
      </c>
      <c r="H25" s="378" t="str">
        <f t="shared" si="4"/>
        <v>ABB</v>
      </c>
    </row>
    <row r="26" spans="1:8">
      <c r="A26" s="360" t="s">
        <v>754</v>
      </c>
      <c r="B26" s="121">
        <v>1</v>
      </c>
      <c r="D26" s="377" t="str">
        <f t="shared" si="0"/>
        <v>ATS022</v>
      </c>
      <c r="E26" s="378" t="str">
        <f t="shared" si="1"/>
        <v>1SDA065524R1</v>
      </c>
      <c r="F26" s="379">
        <f t="shared" si="2"/>
        <v>1</v>
      </c>
      <c r="G26" s="378" t="str">
        <f t="shared" si="3"/>
        <v>Controlador de Conmutación Automática ATS022 - pantalla digital, con módulo de com. Modbus-RS485 para monitoreo - marca ABB.</v>
      </c>
      <c r="H26" s="378" t="str">
        <f t="shared" si="4"/>
        <v>ABB</v>
      </c>
    </row>
    <row r="27" spans="1:8" hidden="1">
      <c r="A27" s="360" t="s">
        <v>12164</v>
      </c>
      <c r="B27" s="121">
        <v>15</v>
      </c>
      <c r="D27" s="377" t="str">
        <f t="shared" si="0"/>
        <v>DIRIS-A30</v>
      </c>
      <c r="E27" s="378" t="str">
        <f t="shared" si="1"/>
        <v>4825 0403</v>
      </c>
      <c r="F27" s="379">
        <f t="shared" si="2"/>
        <v>15</v>
      </c>
      <c r="G27" s="378" t="str">
        <f t="shared" si="3"/>
        <v>Analizador de Redes DIRIS-A30 - precisión (V, I) 0.2%, precisión de energía activa / reactiva: clase 0,5S / clase 2 - marca SOCOMEC.</v>
      </c>
      <c r="H27" s="378">
        <f t="shared" si="4"/>
        <v>0</v>
      </c>
    </row>
    <row r="28" spans="1:8" hidden="1">
      <c r="A28" s="360" t="s">
        <v>12166</v>
      </c>
      <c r="B28" s="121">
        <v>15</v>
      </c>
      <c r="D28" s="377" t="str">
        <f t="shared" si="0"/>
        <v>DIRIS-A30/Com</v>
      </c>
      <c r="E28" s="378" t="str">
        <f t="shared" si="1"/>
        <v>4825 0092</v>
      </c>
      <c r="F28" s="379">
        <f t="shared" si="2"/>
        <v>15</v>
      </c>
      <c r="G28" s="378" t="str">
        <f t="shared" si="3"/>
        <v>Módulo de comunicación RS 485 MODBUS, para Analizador de Red, DIRIS-A30, marca SOCOMEC.</v>
      </c>
      <c r="H28" s="378" t="str">
        <f t="shared" si="4"/>
        <v>SOCOMEC</v>
      </c>
    </row>
    <row r="29" spans="1:8" hidden="1">
      <c r="A29" s="360" t="s">
        <v>8567</v>
      </c>
      <c r="B29" s="121">
        <v>5</v>
      </c>
      <c r="D29" s="377" t="str">
        <f t="shared" si="0"/>
        <v>Placa lamicoid p/autosop.</v>
      </c>
      <c r="E29" s="378" t="str">
        <f t="shared" si="1"/>
        <v>Placa lamicoid p/autosop.</v>
      </c>
      <c r="F29" s="379">
        <f t="shared" si="2"/>
        <v>5</v>
      </c>
      <c r="G29" s="378" t="str">
        <f t="shared" si="3"/>
        <v>Placa lamicoid rotulación de 3mm de espesor, fondo negro y letras blancas.</v>
      </c>
      <c r="H29" s="378" t="str">
        <f t="shared" si="4"/>
        <v>PLACOR</v>
      </c>
    </row>
    <row r="30" spans="1:8">
      <c r="A30" s="360" t="s">
        <v>959</v>
      </c>
      <c r="B30" s="121">
        <v>1</v>
      </c>
      <c r="D30" s="377" t="str">
        <f t="shared" si="0"/>
        <v>FC-CuAl_XT4_3t</v>
      </c>
      <c r="E30" s="378" t="str">
        <f t="shared" si="1"/>
        <v>1SDA067195R1</v>
      </c>
      <c r="F30" s="379">
        <f t="shared" si="2"/>
        <v>1</v>
      </c>
      <c r="G30" s="378" t="str">
        <f t="shared" si="3"/>
        <v>FC-CuAl_XT4 - Terminales + Adaptador - cables de cobre/aluminio hasta 1x240mm2 - 3 terminales (externos)</v>
      </c>
      <c r="H30" s="378" t="str">
        <f t="shared" si="4"/>
        <v>ABB</v>
      </c>
    </row>
    <row r="31" spans="1:8">
      <c r="A31" s="360" t="s">
        <v>957</v>
      </c>
      <c r="B31" s="121">
        <v>9</v>
      </c>
      <c r="D31" s="377" t="str">
        <f t="shared" si="0"/>
        <v>FC-CuAl_XT2_3t</v>
      </c>
      <c r="E31" s="378" t="str">
        <f t="shared" si="1"/>
        <v>1SDA067167R1</v>
      </c>
      <c r="F31" s="379">
        <f t="shared" si="2"/>
        <v>9</v>
      </c>
      <c r="G31" s="378" t="str">
        <f t="shared" si="3"/>
        <v>FC-CuAl_XT2 - Terminales + Cubrebornes - cables de cobre/aluminio hasta 1x185mm2 - 3 terminales (externos)</v>
      </c>
      <c r="H31" s="378" t="str">
        <f t="shared" si="4"/>
        <v>ABB</v>
      </c>
    </row>
    <row r="32" spans="1:8">
      <c r="A32" s="360" t="s">
        <v>1368</v>
      </c>
      <c r="B32" s="121">
        <v>13</v>
      </c>
      <c r="D32" s="377" t="str">
        <f t="shared" si="0"/>
        <v>MOE_XT2-XT4</v>
      </c>
      <c r="E32" s="378" t="str">
        <f t="shared" si="1"/>
        <v>1SDA066466R1</v>
      </c>
      <c r="F32" s="379">
        <f t="shared" si="2"/>
        <v>13</v>
      </c>
      <c r="G32" s="378" t="str">
        <f t="shared" si="3"/>
        <v>Mando motor con energía acumulada (MOE) - para XT2/XT4 - 220-250V AC/DC - (YM+YO+YC) - marca ABB.</v>
      </c>
      <c r="H32" s="378" t="str">
        <f t="shared" si="4"/>
        <v>ABB</v>
      </c>
    </row>
    <row r="33" spans="1:8">
      <c r="A33" s="360" t="s">
        <v>3244</v>
      </c>
      <c r="B33" s="121">
        <v>11</v>
      </c>
      <c r="D33" s="377" t="str">
        <f t="shared" si="0"/>
        <v>2Q+1SY_XT1..XT4</v>
      </c>
      <c r="E33" s="378" t="str">
        <f t="shared" si="1"/>
        <v>1SDA066433R1</v>
      </c>
      <c r="F33" s="379">
        <f t="shared" si="2"/>
        <v>11</v>
      </c>
      <c r="G33" s="378" t="str">
        <f t="shared" si="3"/>
        <v>2(Q) contacto conmutado de estado (NA/NC) + 1(SY) contacto por disparo de interruptor - XT1..XT4 - versión cableada - marca ABB.</v>
      </c>
      <c r="H33" s="378" t="str">
        <f t="shared" si="4"/>
        <v>ABB</v>
      </c>
    </row>
    <row r="34" spans="1:8">
      <c r="A34" s="360" t="s">
        <v>1334</v>
      </c>
      <c r="B34" s="121">
        <v>4</v>
      </c>
      <c r="D34" s="377" t="str">
        <f t="shared" si="0"/>
        <v>XT2S160-40A-3P-TMA</v>
      </c>
      <c r="E34" s="378" t="str">
        <f t="shared" si="1"/>
        <v>1SDA067554R1</v>
      </c>
      <c r="F34" s="379">
        <f t="shared" si="2"/>
        <v>4</v>
      </c>
      <c r="G34" s="378" t="str">
        <f t="shared" si="3"/>
        <v>ITM Caja Moldeada 3x40A (reg.[0.7-1.0] In) - XT2S160-40A-3P-TMA - 85kA@230Vac, 50kA@415Vac - marca ABB.</v>
      </c>
      <c r="H34" s="378" t="str">
        <f t="shared" si="4"/>
        <v>ABB</v>
      </c>
    </row>
    <row r="35" spans="1:8">
      <c r="A35" s="360" t="s">
        <v>1135</v>
      </c>
      <c r="B35" s="121">
        <v>44</v>
      </c>
      <c r="D35" s="377" t="str">
        <f t="shared" si="0"/>
        <v>F202-A APR-25A-30mA</v>
      </c>
      <c r="E35" s="378" t="str">
        <f t="shared" si="1"/>
        <v>2CSF202401R1250</v>
      </c>
      <c r="F35" s="379">
        <f t="shared" si="2"/>
        <v>44</v>
      </c>
      <c r="G35" s="378" t="str">
        <f t="shared" si="3"/>
        <v>Interruptor Diferencial 2x25A - 30mA - clase A-APR (alta inmunización) - F202-A APR-25A-30mA  - marca ABB.</v>
      </c>
      <c r="H35" s="378" t="str">
        <f t="shared" si="4"/>
        <v>ABB</v>
      </c>
    </row>
    <row r="36" spans="1:8">
      <c r="A36" s="360" t="s">
        <v>1335</v>
      </c>
      <c r="B36" s="121">
        <v>1</v>
      </c>
      <c r="D36" s="377" t="str">
        <f t="shared" si="0"/>
        <v>XT2S160-50A-3P-TMA</v>
      </c>
      <c r="E36" s="378" t="str">
        <f t="shared" si="1"/>
        <v>1SDA067555R1</v>
      </c>
      <c r="F36" s="379">
        <f t="shared" si="2"/>
        <v>1</v>
      </c>
      <c r="G36" s="378" t="str">
        <f t="shared" si="3"/>
        <v>ITM Caja Moldeada 3x50A (reg.[0.7-1.0] In) - XT2S160-50A-3P-TMA - 85kA@230Vac, 50kA@415Vac - marca ABB.</v>
      </c>
      <c r="H36" s="378" t="str">
        <f t="shared" si="4"/>
        <v>ABB</v>
      </c>
    </row>
    <row r="37" spans="1:8">
      <c r="A37" s="360" t="s">
        <v>1331</v>
      </c>
      <c r="B37" s="121">
        <v>15</v>
      </c>
      <c r="D37" s="377" t="str">
        <f t="shared" si="0"/>
        <v>XT2N160-20A-3P-TMD</v>
      </c>
      <c r="E37" s="378" t="str">
        <f t="shared" si="1"/>
        <v>1SDA067011R1</v>
      </c>
      <c r="F37" s="379">
        <f t="shared" si="2"/>
        <v>15</v>
      </c>
      <c r="G37" s="378" t="str">
        <f t="shared" si="3"/>
        <v>ITM Caja Moldeada 3x20A (reg.[0.7-1.0] In) - XT2N160-20A-3P-TMD - 65kA@230Vac, 36kA@415Vac - marca ABB.</v>
      </c>
      <c r="H37" s="378" t="str">
        <f t="shared" si="4"/>
        <v>ABB</v>
      </c>
    </row>
    <row r="38" spans="1:8">
      <c r="A38" s="360" t="s">
        <v>882</v>
      </c>
      <c r="B38" s="121">
        <v>1</v>
      </c>
      <c r="D38" s="377" t="str">
        <f t="shared" si="0"/>
        <v>XT4S250-200A-3P-TMA</v>
      </c>
      <c r="E38" s="378" t="str">
        <f t="shared" si="1"/>
        <v>1SDA068310R1</v>
      </c>
      <c r="F38" s="379">
        <f t="shared" si="2"/>
        <v>1</v>
      </c>
      <c r="G38" s="378" t="str">
        <f t="shared" si="3"/>
        <v>ITM Caja Moldeada 3x200A (reg.[0.7-1.0] In) - XT4S250-200A-3P-TMA - 85kA@230Vac, 50kA@415Vac - marca ABB.</v>
      </c>
      <c r="H38" s="378" t="str">
        <f t="shared" si="4"/>
        <v>ABB</v>
      </c>
    </row>
    <row r="39" spans="1:8">
      <c r="A39" s="360" t="s">
        <v>1136</v>
      </c>
      <c r="B39" s="121">
        <v>1</v>
      </c>
      <c r="D39" s="377" t="str">
        <f t="shared" si="0"/>
        <v>F202-A APR-40A-30mA</v>
      </c>
      <c r="E39" s="378" t="str">
        <f t="shared" si="1"/>
        <v>2CSF202401R1400</v>
      </c>
      <c r="F39" s="379">
        <f t="shared" si="2"/>
        <v>1</v>
      </c>
      <c r="G39" s="378" t="str">
        <f t="shared" si="3"/>
        <v>Interruptor Diferencial 2x40A - 30mA - clase A-APR (alta inmunización) - F202-A APR-40A-30mA  - marca ABB.</v>
      </c>
      <c r="H39" s="378" t="str">
        <f t="shared" si="4"/>
        <v>ABB</v>
      </c>
    </row>
    <row r="40" spans="1:8">
      <c r="A40" s="360" t="s">
        <v>821</v>
      </c>
      <c r="B40" s="121">
        <v>1</v>
      </c>
      <c r="D40" s="377" t="str">
        <f t="shared" si="0"/>
        <v>XT2S160-32A-3P-TMD</v>
      </c>
      <c r="E40" s="378" t="str">
        <f t="shared" si="1"/>
        <v>1SDA067553R1</v>
      </c>
      <c r="F40" s="379">
        <f t="shared" si="2"/>
        <v>1</v>
      </c>
      <c r="G40" s="378" t="str">
        <f t="shared" si="3"/>
        <v>ITM Caja Moldeada 3x32A (reg.[0.7-1.0] In) - XT2S160-32A-3P-TMD - 85kA@230Vac, 50kA@415Vac - marca ABB</v>
      </c>
      <c r="H40" s="378" t="str">
        <f t="shared" si="4"/>
        <v>ABB</v>
      </c>
    </row>
    <row r="41" spans="1:8">
      <c r="A41" s="360" t="s">
        <v>984</v>
      </c>
      <c r="B41" s="121">
        <v>55</v>
      </c>
      <c r="D41" s="377" t="str">
        <f t="shared" si="0"/>
        <v>S203-C-16A</v>
      </c>
      <c r="E41" s="378" t="str">
        <f t="shared" si="1"/>
        <v>2CDS253001R0164</v>
      </c>
      <c r="F41" s="379">
        <f t="shared" si="2"/>
        <v>55</v>
      </c>
      <c r="G41" s="378" t="str">
        <f t="shared" si="3"/>
        <v>ITM Riel-Din 3x16A - S203-C-16A - 10kA@400Vac-IEC60947-2 - marca ABB.</v>
      </c>
      <c r="H41" s="378" t="str">
        <f t="shared" si="4"/>
        <v>ABB</v>
      </c>
    </row>
    <row r="42" spans="1:8">
      <c r="A42" s="360" t="s">
        <v>985</v>
      </c>
      <c r="B42" s="121">
        <v>4</v>
      </c>
      <c r="D42" s="377" t="str">
        <f t="shared" si="0"/>
        <v>S203-C-50A</v>
      </c>
      <c r="E42" s="378" t="str">
        <f t="shared" si="1"/>
        <v>2CDS253001R0504</v>
      </c>
      <c r="F42" s="379">
        <f t="shared" si="2"/>
        <v>4</v>
      </c>
      <c r="G42" s="378" t="str">
        <f t="shared" si="3"/>
        <v>ITM Riel-Din 3x50A - S203-C-50A - 10kA@400Vac-IEC60947-2 - marca ABB.</v>
      </c>
      <c r="H42" s="378" t="str">
        <f t="shared" si="4"/>
        <v>ABB</v>
      </c>
    </row>
    <row r="43" spans="1:8">
      <c r="A43" s="360" t="s">
        <v>4366</v>
      </c>
      <c r="B43" s="121">
        <v>7</v>
      </c>
      <c r="D43" s="377" t="str">
        <f t="shared" si="0"/>
        <v>XT1B160-40A-3P-TMD</v>
      </c>
      <c r="E43" s="378" t="str">
        <f t="shared" si="1"/>
        <v>1SDA066803R1</v>
      </c>
      <c r="F43" s="379">
        <f t="shared" si="2"/>
        <v>7</v>
      </c>
      <c r="G43" s="378" t="str">
        <f t="shared" si="3"/>
        <v>ITM Caja Moldeada 3x40A (reg.[0.7-1.0] In) - XT1B160-40A-3P-TMD - 25kA@230Vac, 18kA@415Vac, 18kA@250Vdc - marca ABB.</v>
      </c>
      <c r="H43" s="378" t="str">
        <f t="shared" si="4"/>
        <v>ABB</v>
      </c>
    </row>
    <row r="44" spans="1:8">
      <c r="A44" s="360" t="s">
        <v>1172</v>
      </c>
      <c r="B44" s="121">
        <v>5</v>
      </c>
      <c r="D44" s="377" t="str">
        <f t="shared" si="0"/>
        <v>A1N/P125-16A-2P-TMF</v>
      </c>
      <c r="E44" s="378" t="str">
        <f t="shared" si="1"/>
        <v>1SDA069551R1</v>
      </c>
      <c r="F44" s="379">
        <f t="shared" si="2"/>
        <v>5</v>
      </c>
      <c r="G44" s="378" t="str">
        <f t="shared" si="3"/>
        <v>ITM Caja Moldeada 2x16A - A1N/P125-16A-2P-TMF - 50kA@230Vac, 36kA@400Vac, 10kA@125Vdc - marca ABB.</v>
      </c>
      <c r="H44" s="378" t="str">
        <f t="shared" si="4"/>
        <v>ABB</v>
      </c>
    </row>
    <row r="45" spans="1:8">
      <c r="A45" s="360" t="s">
        <v>970</v>
      </c>
      <c r="B45" s="121">
        <v>329</v>
      </c>
      <c r="D45" s="377" t="str">
        <f t="shared" si="0"/>
        <v>S202-C-16A</v>
      </c>
      <c r="E45" s="378" t="str">
        <f t="shared" si="1"/>
        <v>2CDS252001R0164</v>
      </c>
      <c r="F45" s="379">
        <f t="shared" si="2"/>
        <v>329</v>
      </c>
      <c r="G45" s="378" t="str">
        <f t="shared" si="3"/>
        <v>ITM Riel-Din 2x16A - S202-C-16A - 10kA@400Vac-IEC60947-2 - marca ABB.</v>
      </c>
      <c r="H45" s="378" t="str">
        <f t="shared" si="4"/>
        <v>ABB</v>
      </c>
    </row>
    <row r="46" spans="1:8">
      <c r="A46" s="360" t="s">
        <v>2718</v>
      </c>
      <c r="B46" s="121">
        <v>47</v>
      </c>
      <c r="D46" s="377" t="str">
        <f t="shared" si="0"/>
        <v>CA4-10</v>
      </c>
      <c r="E46" s="378" t="str">
        <f t="shared" si="1"/>
        <v>1SBN010110R1010</v>
      </c>
      <c r="F46" s="379">
        <f t="shared" si="2"/>
        <v>47</v>
      </c>
      <c r="G46" s="378" t="str">
        <f t="shared" si="3"/>
        <v>Contacto auxiliar frontal 1NA para contactor AF09..AF16-30-10, frontal - Modelo CA4-10 - marca ABB.</v>
      </c>
      <c r="H46" s="378" t="str">
        <f t="shared" si="4"/>
        <v>ABB</v>
      </c>
    </row>
    <row r="47" spans="1:8" hidden="1">
      <c r="A47" s="360" t="s">
        <v>8570</v>
      </c>
      <c r="B47" s="121">
        <v>49</v>
      </c>
      <c r="D47" s="377" t="str">
        <f t="shared" si="0"/>
        <v>Placa lamicoid p/distr.</v>
      </c>
      <c r="E47" s="378" t="str">
        <f t="shared" si="1"/>
        <v>Placa lamicoid p/distr.</v>
      </c>
      <c r="F47" s="379">
        <f t="shared" si="2"/>
        <v>49</v>
      </c>
      <c r="G47" s="378" t="str">
        <f t="shared" si="3"/>
        <v>Placa lamicoid rotulación de 3mm de espesor, fondo negro y letras blancas.</v>
      </c>
      <c r="H47" s="378" t="str">
        <f t="shared" si="4"/>
        <v>PLACOR</v>
      </c>
    </row>
    <row r="48" spans="1:8" hidden="1">
      <c r="A48" s="360" t="s">
        <v>12453</v>
      </c>
      <c r="B48" s="121">
        <v>49</v>
      </c>
      <c r="D48" s="377" t="str">
        <f t="shared" si="0"/>
        <v>EMBAL_ADOS_1600x600x220mm</v>
      </c>
      <c r="E48" s="378" t="str">
        <f t="shared" si="1"/>
        <v>EMBAL_ADOS_1600x600x220mm</v>
      </c>
      <c r="F48" s="379">
        <f t="shared" si="2"/>
        <v>49</v>
      </c>
      <c r="G48" s="378" t="str">
        <f t="shared" si="3"/>
        <v>Embalaje especial completamente cerrado para tablero adosado de 1600x600x220mm</v>
      </c>
      <c r="H48" s="378">
        <f t="shared" si="4"/>
        <v>0</v>
      </c>
    </row>
    <row r="49" spans="1:8">
      <c r="A49" s="360" t="s">
        <v>956</v>
      </c>
      <c r="B49" s="121">
        <v>6</v>
      </c>
      <c r="D49" s="377" t="str">
        <f t="shared" si="0"/>
        <v>FC-CuAl_XT1_3t</v>
      </c>
      <c r="E49" s="378" t="str">
        <f t="shared" si="1"/>
        <v>1SDA067155R1</v>
      </c>
      <c r="F49" s="379">
        <f t="shared" si="2"/>
        <v>6</v>
      </c>
      <c r="G49" s="378" t="str">
        <f t="shared" si="3"/>
        <v>FC-CuAl_XT1 - Terminales + Cubrebornes - cables de cobre/aluminio hasta 1x95mm2 - 3 terminales (externos)</v>
      </c>
      <c r="H49" s="378" t="str">
        <f t="shared" si="4"/>
        <v>ABB</v>
      </c>
    </row>
    <row r="50" spans="1:8" hidden="1">
      <c r="A50" s="360" t="s">
        <v>3410</v>
      </c>
      <c r="B50" s="121">
        <v>10</v>
      </c>
      <c r="D50" s="377" t="str">
        <f t="shared" si="0"/>
        <v>FOTOCELDA</v>
      </c>
      <c r="E50" s="378" t="str">
        <f t="shared" si="1"/>
        <v>0400RTF82S</v>
      </c>
      <c r="F50" s="379">
        <f t="shared" si="2"/>
        <v>10</v>
      </c>
      <c r="G50" s="378" t="str">
        <f t="shared" si="3"/>
        <v>FOTOCELDA 1800VA 220V N/C (NF) 10 LUX STIELECTRONICA</v>
      </c>
      <c r="H50" s="378" t="str">
        <f t="shared" si="4"/>
        <v>STIELECTRONICA</v>
      </c>
    </row>
    <row r="51" spans="1:8" hidden="1">
      <c r="A51" s="360" t="s">
        <v>3411</v>
      </c>
      <c r="B51" s="121">
        <v>10</v>
      </c>
      <c r="D51" s="377" t="str">
        <f t="shared" si="0"/>
        <v>BASE_FOTOCELDA</v>
      </c>
      <c r="E51" s="378" t="str">
        <f t="shared" si="1"/>
        <v>0400TPLS476</v>
      </c>
      <c r="F51" s="379">
        <f t="shared" si="2"/>
        <v>10</v>
      </c>
      <c r="G51" s="378" t="str">
        <f t="shared" si="3"/>
        <v>BASE C/SOPORTE P/CONTROL FOTOCELDA P/ADOSAR STIELECTRONICA</v>
      </c>
      <c r="H51" s="378" t="str">
        <f t="shared" si="4"/>
        <v>STIELECTRONICA</v>
      </c>
    </row>
    <row r="52" spans="1:8">
      <c r="A52" s="360" t="s">
        <v>12357</v>
      </c>
      <c r="B52" s="121">
        <v>13</v>
      </c>
      <c r="D52" s="377" t="str">
        <f t="shared" si="0"/>
        <v>OVRHT3C504803D</v>
      </c>
      <c r="E52" s="378" t="str">
        <f t="shared" si="1"/>
        <v>2CJC605480D0000</v>
      </c>
      <c r="F52" s="379">
        <f t="shared" si="2"/>
        <v>13</v>
      </c>
      <c r="G52" s="378" t="str">
        <f t="shared" si="3"/>
        <v>Supresor contra sobretensiones (Tipo 1, UL 1449) - OVRHT3C504803D - I_max=50kA por fase, Un=480V,  MCOV=640V (L-G), VPR=2.5kV (L-G) - marca ABB.</v>
      </c>
      <c r="H52" s="378" t="str">
        <f t="shared" si="4"/>
        <v>ABB</v>
      </c>
    </row>
    <row r="53" spans="1:8" hidden="1">
      <c r="A53" s="360" t="s">
        <v>12450</v>
      </c>
      <c r="B53" s="121">
        <v>5</v>
      </c>
      <c r="D53" s="377" t="str">
        <f t="shared" si="0"/>
        <v>EMBAL_AUTOS_2100x800x800mm</v>
      </c>
      <c r="E53" s="378" t="str">
        <f t="shared" si="1"/>
        <v>EMBAL_AUTOS_2100x800x800mm</v>
      </c>
      <c r="F53" s="379">
        <f t="shared" si="2"/>
        <v>5</v>
      </c>
      <c r="G53" s="378" t="str">
        <f t="shared" si="3"/>
        <v>Embalaje especial completamente cerrado para tablero autosoportado de 2100x800x800mm</v>
      </c>
      <c r="H53" s="378">
        <f t="shared" si="4"/>
        <v>0</v>
      </c>
    </row>
    <row r="54" spans="1:8">
      <c r="A54" s="360" t="s">
        <v>826</v>
      </c>
      <c r="B54" s="121">
        <v>1</v>
      </c>
      <c r="D54" s="377" t="str">
        <f t="shared" si="0"/>
        <v>FC-Cu_XT2_3t</v>
      </c>
      <c r="E54" s="378" t="str">
        <f t="shared" si="1"/>
        <v>1SDA066909R1</v>
      </c>
      <c r="F54" s="379">
        <f t="shared" si="2"/>
        <v>1</v>
      </c>
      <c r="G54" s="378" t="str">
        <f t="shared" si="3"/>
        <v>FC-Cu_XT2 - Terminales - cables de cobre hasta 1x70mm2 - 3 terminales (internos)</v>
      </c>
      <c r="H54" s="378" t="str">
        <f t="shared" si="4"/>
        <v>ABB</v>
      </c>
    </row>
    <row r="55" spans="1:8">
      <c r="A55" s="360" t="s">
        <v>851</v>
      </c>
      <c r="B55" s="121">
        <v>6</v>
      </c>
      <c r="D55" s="377" t="str">
        <f t="shared" si="0"/>
        <v>XT2N160-25A-3P-TMD</v>
      </c>
      <c r="E55" s="378" t="str">
        <f t="shared" si="1"/>
        <v>1SDA067012R1</v>
      </c>
      <c r="F55" s="379">
        <f t="shared" si="2"/>
        <v>6</v>
      </c>
      <c r="G55" s="378" t="str">
        <f t="shared" si="3"/>
        <v>ITM Caja Moldeada 3x25A (reg.[0.7-1.0] In) - XT2N160-25A-3P-TMD - 65kA@230Vac, 36kA@415Vac - marca ABB.</v>
      </c>
      <c r="H55" s="378" t="str">
        <f t="shared" si="4"/>
        <v>ABB</v>
      </c>
    </row>
    <row r="56" spans="1:8">
      <c r="A56" s="360" t="s">
        <v>844</v>
      </c>
      <c r="B56" s="121">
        <v>14</v>
      </c>
      <c r="D56" s="377" t="str">
        <f t="shared" si="0"/>
        <v>XT2N160-16A-3P-TMD</v>
      </c>
      <c r="E56" s="378" t="str">
        <f t="shared" si="1"/>
        <v>1SDA067010R1</v>
      </c>
      <c r="F56" s="379">
        <f t="shared" si="2"/>
        <v>14</v>
      </c>
      <c r="G56" s="378" t="str">
        <f t="shared" si="3"/>
        <v>ITM Caja Moldeada 3x16A (reg.[0.7-1.0] In) - XT2N160-16A-3P-TMD - 65kA@230Vac, 36kA@415Vac - marca ABB.</v>
      </c>
      <c r="H56" s="378" t="str">
        <f t="shared" si="4"/>
        <v>ABB</v>
      </c>
    </row>
    <row r="57" spans="1:8">
      <c r="A57" s="360" t="s">
        <v>823</v>
      </c>
      <c r="B57" s="121">
        <v>1</v>
      </c>
      <c r="D57" s="377" t="str">
        <f t="shared" si="0"/>
        <v>FC-Cu_XT1_3t</v>
      </c>
      <c r="E57" s="378" t="str">
        <f t="shared" si="1"/>
        <v>1SDA066905R1</v>
      </c>
      <c r="F57" s="379">
        <f t="shared" si="2"/>
        <v>1</v>
      </c>
      <c r="G57" s="378" t="str">
        <f t="shared" si="3"/>
        <v>FC-Cu_XT1 - Terminales - cables de cobre hasta 1x50mm2 - 3 terminales (internos)</v>
      </c>
      <c r="H57" s="378" t="str">
        <f t="shared" si="4"/>
        <v>ABB</v>
      </c>
    </row>
    <row r="58" spans="1:8">
      <c r="A58" s="360" t="s">
        <v>969</v>
      </c>
      <c r="B58" s="121">
        <v>34</v>
      </c>
      <c r="D58" s="377" t="str">
        <f t="shared" si="0"/>
        <v>S202-C-20A</v>
      </c>
      <c r="E58" s="378" t="str">
        <f t="shared" si="1"/>
        <v>2CDS252001R0204</v>
      </c>
      <c r="F58" s="379">
        <f t="shared" si="2"/>
        <v>34</v>
      </c>
      <c r="G58" s="378" t="str">
        <f t="shared" si="3"/>
        <v>ITM Riel-Din 2x20A - S202-C-20A - 10kA@400Vac-IEC60947-2 - marca ABB.</v>
      </c>
      <c r="H58" s="378" t="str">
        <f t="shared" si="4"/>
        <v>ABB</v>
      </c>
    </row>
    <row r="59" spans="1:8">
      <c r="A59" s="360" t="s">
        <v>6455</v>
      </c>
      <c r="B59" s="121">
        <v>23</v>
      </c>
      <c r="D59" s="377" t="str">
        <f t="shared" si="0"/>
        <v>OVR T2 3L 40-275 P QS</v>
      </c>
      <c r="E59" s="378" t="str">
        <f t="shared" si="1"/>
        <v>2CTB803873R2400</v>
      </c>
      <c r="F59" s="379">
        <f t="shared" si="2"/>
        <v>23</v>
      </c>
      <c r="G59" s="378" t="str">
        <f t="shared" si="3"/>
        <v>Protector de sobretensiones (Tipo 2) - OVR-T2_3N_40-275_P_3P -  Uc=275V, Up=1.25kV - I_descarga=40kA - marca ABB.</v>
      </c>
      <c r="H59" s="378" t="str">
        <f t="shared" si="4"/>
        <v>ABB</v>
      </c>
    </row>
    <row r="60" spans="1:8">
      <c r="A60" s="360" t="s">
        <v>6448</v>
      </c>
      <c r="B60" s="121">
        <v>16</v>
      </c>
      <c r="D60" s="377" t="str">
        <f t="shared" si="0"/>
        <v>OVR-T2_40-440_P-QS_1P</v>
      </c>
      <c r="E60" s="378" t="str">
        <f t="shared" si="1"/>
        <v>2CTB803871R1200</v>
      </c>
      <c r="F60" s="379">
        <f t="shared" si="2"/>
        <v>16</v>
      </c>
      <c r="G60" s="378" t="str">
        <f t="shared" si="3"/>
        <v>Protector de sobretensiones (Tipo 2) - OVR-T2_40-440_P-QS_1P - Un=230/400V, Uc=440V, Up=1.8kV - I_descarga=40kA - marca ABB.</v>
      </c>
      <c r="H60" s="378" t="str">
        <f t="shared" si="4"/>
        <v>ABB</v>
      </c>
    </row>
    <row r="61" spans="1:8">
      <c r="A61" s="360" t="s">
        <v>1359</v>
      </c>
      <c r="B61" s="121">
        <v>2</v>
      </c>
      <c r="D61" s="377" t="str">
        <f t="shared" si="0"/>
        <v>T5H400-400A-3P-PR221DS-LS/I</v>
      </c>
      <c r="E61" s="378" t="str">
        <f t="shared" si="1"/>
        <v>1SDA054349R1</v>
      </c>
      <c r="F61" s="379">
        <f t="shared" si="2"/>
        <v>2</v>
      </c>
      <c r="G61" s="378" t="str">
        <f t="shared" si="3"/>
        <v>ITM Caja Moldeada 3x400A (electrónico [0.4-1.0] In) - T5H400-400A-3P-PR221DS-LS/I - 100kA@230Vac, 70kA@415Vac - marca ABB.</v>
      </c>
      <c r="H61" s="378" t="str">
        <f t="shared" si="4"/>
        <v>ABB</v>
      </c>
    </row>
    <row r="62" spans="1:8">
      <c r="A62" s="360" t="s">
        <v>1328</v>
      </c>
      <c r="B62" s="121">
        <v>2</v>
      </c>
      <c r="D62" s="377" t="str">
        <f t="shared" si="0"/>
        <v>XT2S160-16A-3P-TMD</v>
      </c>
      <c r="E62" s="378" t="str">
        <f t="shared" si="1"/>
        <v>1SDA067550R1</v>
      </c>
      <c r="F62" s="379">
        <f t="shared" si="2"/>
        <v>2</v>
      </c>
      <c r="G62" s="378" t="str">
        <f t="shared" si="3"/>
        <v>ITM Caja Moldeada 3x16A (reg.[0.7-1.0] In) - XT2S160-16A-3P-TMD - 85kA@230Vac, 50kA@415Vac - marca ABB</v>
      </c>
      <c r="H62" s="378" t="str">
        <f t="shared" si="4"/>
        <v>ABB</v>
      </c>
    </row>
    <row r="63" spans="1:8">
      <c r="A63" s="360" t="s">
        <v>1173</v>
      </c>
      <c r="B63" s="121">
        <v>2</v>
      </c>
      <c r="D63" s="377" t="str">
        <f t="shared" si="0"/>
        <v>A1N/P125-20A-2P-TMF</v>
      </c>
      <c r="E63" s="378" t="str">
        <f t="shared" si="1"/>
        <v>1SDA069552R1</v>
      </c>
      <c r="F63" s="379">
        <f t="shared" si="2"/>
        <v>2</v>
      </c>
      <c r="G63" s="378" t="str">
        <f t="shared" si="3"/>
        <v>ITM Caja Moldeada 2x20A - A1N/P125-20A-2P-TMF - 50kA@230Vac, 36kA@400Vac, 10kA@125Vdc - marca ABB.</v>
      </c>
      <c r="H63" s="378" t="str">
        <f t="shared" si="4"/>
        <v>ABB</v>
      </c>
    </row>
    <row r="64" spans="1:8">
      <c r="A64" s="360" t="s">
        <v>5318</v>
      </c>
      <c r="B64" s="121">
        <v>254</v>
      </c>
      <c r="D64" s="377" t="str">
        <f t="shared" si="0"/>
        <v>FH202-A-25A-30mA</v>
      </c>
      <c r="E64" s="378" t="str">
        <f t="shared" si="1"/>
        <v>2CSF202102R1250</v>
      </c>
      <c r="F64" s="379">
        <f t="shared" si="2"/>
        <v>254</v>
      </c>
      <c r="G64" s="378" t="str">
        <f t="shared" si="3"/>
        <v>Interruptor Diferencial 2x25A - 30mA - clase A (inmunizado) - FH202-A-25A-30mA - marca ABB.</v>
      </c>
      <c r="H64" s="378" t="str">
        <f t="shared" si="4"/>
        <v>ABB</v>
      </c>
    </row>
    <row r="65" spans="1:8">
      <c r="A65" s="360" t="s">
        <v>5330</v>
      </c>
      <c r="B65" s="121">
        <v>3</v>
      </c>
      <c r="D65" s="377" t="str">
        <f t="shared" si="0"/>
        <v>FH204-A-40A-30mA</v>
      </c>
      <c r="E65" s="378" t="str">
        <f t="shared" si="1"/>
        <v>2CSF204102R1400</v>
      </c>
      <c r="F65" s="379">
        <f t="shared" si="2"/>
        <v>3</v>
      </c>
      <c r="G65" s="378" t="str">
        <f t="shared" si="3"/>
        <v>Interruptor Diferencial 4x40A - 30mA - clase A (inmunizado) - FH204-A-40A-30mA - marca ABB.</v>
      </c>
      <c r="H65" s="378" t="str">
        <f t="shared" si="4"/>
        <v>ABB</v>
      </c>
    </row>
    <row r="66" spans="1:8" hidden="1">
      <c r="A66" s="360" t="s">
        <v>5974</v>
      </c>
      <c r="B66" s="121">
        <v>3</v>
      </c>
      <c r="D66" s="377" t="str">
        <f t="shared" si="0"/>
        <v>TOMA-I-EMP_3P+T(32A)_IP67</v>
      </c>
      <c r="E66" s="378">
        <f t="shared" si="1"/>
        <v>1505</v>
      </c>
      <c r="F66" s="379">
        <f t="shared" si="2"/>
        <v>3</v>
      </c>
      <c r="G66" s="378" t="str">
        <f t="shared" si="3"/>
        <v>Tomacorriente industrial, 3P+T, 32A / 250V, Azul, 9H, empotrable, IP67 - (Ref: 1505) - marca MENNEKES.</v>
      </c>
      <c r="H66" s="378" t="str">
        <f t="shared" si="4"/>
        <v>MENNEKES</v>
      </c>
    </row>
    <row r="67" spans="1:8" hidden="1">
      <c r="A67" s="360" t="s">
        <v>5975</v>
      </c>
      <c r="B67" s="121">
        <v>3</v>
      </c>
      <c r="D67" s="377" t="str">
        <f t="shared" si="0"/>
        <v>ENCH-IND 3P+T(32A)_IP67</v>
      </c>
      <c r="E67" s="378">
        <f t="shared" si="1"/>
        <v>293</v>
      </c>
      <c r="F67" s="379">
        <f t="shared" si="2"/>
        <v>3</v>
      </c>
      <c r="G67" s="378" t="str">
        <f t="shared" si="3"/>
        <v>Enchufe industrial, 3P+T, 32A / 250V, Azul, 9H, IP67 - (Ref: 293) - marca MENNEKES.</v>
      </c>
      <c r="H67" s="378" t="str">
        <f t="shared" si="4"/>
        <v>MENNEKES</v>
      </c>
    </row>
    <row r="68" spans="1:8" hidden="1">
      <c r="A68" s="360" t="s">
        <v>5968</v>
      </c>
      <c r="B68" s="121">
        <v>0</v>
      </c>
      <c r="D68" s="377" t="str">
        <f t="shared" si="0"/>
        <v>TOMA-I-EMP_2P+T(16A)_IP67</v>
      </c>
      <c r="E68" s="378">
        <f t="shared" si="1"/>
        <v>1475</v>
      </c>
      <c r="F68" s="379">
        <f t="shared" si="2"/>
        <v>0</v>
      </c>
      <c r="G68" s="378" t="str">
        <f t="shared" si="3"/>
        <v>Tomacorriente industrial, 2P+T, 16A / 250V, Azul, 6H, empotrable, IP67 - (Ref: 1475) - marca MENNEKES.</v>
      </c>
      <c r="H68" s="378" t="str">
        <f t="shared" si="4"/>
        <v>MENNEKES</v>
      </c>
    </row>
    <row r="69" spans="1:8" hidden="1">
      <c r="A69" s="360" t="s">
        <v>5969</v>
      </c>
      <c r="B69" s="121">
        <v>0</v>
      </c>
      <c r="D69" s="377" t="str">
        <f t="shared" si="0"/>
        <v>ENCH-IND 2P+T(16A)_IP67</v>
      </c>
      <c r="E69" s="378">
        <f t="shared" si="1"/>
        <v>278</v>
      </c>
      <c r="F69" s="379">
        <f t="shared" si="2"/>
        <v>0</v>
      </c>
      <c r="G69" s="378" t="str">
        <f t="shared" si="3"/>
        <v>Enchufe industrial, 2P+T, 16A / 250V, Azul, 6H, IP67 - (Ref: 278) - marca MENNEKES.</v>
      </c>
      <c r="H69" s="378" t="str">
        <f t="shared" si="4"/>
        <v>MENNEKES</v>
      </c>
    </row>
    <row r="70" spans="1:8">
      <c r="A70" s="360" t="s">
        <v>1176</v>
      </c>
      <c r="B70" s="121">
        <v>3</v>
      </c>
      <c r="D70" s="377" t="str">
        <f t="shared" si="0"/>
        <v>A1N/P125-40A-2P-TMF</v>
      </c>
      <c r="E70" s="378" t="str">
        <f t="shared" si="1"/>
        <v>1SDA069556R1</v>
      </c>
      <c r="F70" s="379">
        <f t="shared" si="2"/>
        <v>3</v>
      </c>
      <c r="G70" s="378" t="str">
        <f t="shared" si="3"/>
        <v>ITM Caja Moldeada 2x40A - A1N/P125-40A-2P-TMF - 50kA@230Vac, 36kA@400Vac, 10kA@125Vdc - marca ABB.</v>
      </c>
      <c r="H70" s="378" t="str">
        <f t="shared" si="4"/>
        <v>ABB</v>
      </c>
    </row>
    <row r="71" spans="1:8">
      <c r="A71" s="360" t="s">
        <v>1009</v>
      </c>
      <c r="B71" s="121">
        <v>16</v>
      </c>
      <c r="D71" s="377" t="str">
        <f t="shared" si="0"/>
        <v>S202-C-40A</v>
      </c>
      <c r="E71" s="378" t="str">
        <f t="shared" si="1"/>
        <v>2CDS252001R0404</v>
      </c>
      <c r="F71" s="379">
        <f t="shared" si="2"/>
        <v>16</v>
      </c>
      <c r="G71" s="378" t="str">
        <f t="shared" si="3"/>
        <v>ITM Riel-Din 2x40A - S202-C-40A - 10kA@400Vac-IEC60947-2 - marca ABB.</v>
      </c>
      <c r="H71" s="378" t="str">
        <f t="shared" si="4"/>
        <v>ABB</v>
      </c>
    </row>
    <row r="72" spans="1:8">
      <c r="A72" s="360" t="s">
        <v>1175</v>
      </c>
      <c r="B72" s="121">
        <v>2</v>
      </c>
      <c r="D72" s="377" t="str">
        <f t="shared" ref="D72:D135" si="5">A72</f>
        <v>A1N/P125-32A-2P-TMF</v>
      </c>
      <c r="E72" s="378" t="str">
        <f t="shared" ref="E72:E135" si="6">VLOOKUP(D72,base_datos,7,FALSE)</f>
        <v>1SDA069555R1</v>
      </c>
      <c r="F72" s="379">
        <f t="shared" ref="F72:F135" si="7">B72</f>
        <v>2</v>
      </c>
      <c r="G72" s="378" t="str">
        <f t="shared" ref="G72:G135" si="8">VLOOKUP(D72,base_datos,6,FALSE)</f>
        <v>ITM Caja Moldeada 2x32A - A1N/P125-32A-2P-TMF - 50kA@230Vac, 36kA@400Vac, 10kA@125Vdc - marca ABB.</v>
      </c>
      <c r="H72" s="378" t="str">
        <f t="shared" ref="H72:H135" si="9">VLOOKUP(D72,base_datos,9,FALSE)</f>
        <v>ABB</v>
      </c>
    </row>
    <row r="73" spans="1:8">
      <c r="A73" s="360" t="s">
        <v>971</v>
      </c>
      <c r="B73" s="121">
        <v>14</v>
      </c>
      <c r="D73" s="377" t="str">
        <f t="shared" si="5"/>
        <v>S202-C-32A</v>
      </c>
      <c r="E73" s="378" t="str">
        <f t="shared" si="6"/>
        <v>2CDS252001R0324</v>
      </c>
      <c r="F73" s="379">
        <f t="shared" si="7"/>
        <v>14</v>
      </c>
      <c r="G73" s="378" t="str">
        <f t="shared" si="8"/>
        <v>ITM Riel-Din 2x32A - S202-C-32A - 10kA@400Vac-IEC60947-2 - marca ABB.</v>
      </c>
      <c r="H73" s="378" t="str">
        <f t="shared" si="9"/>
        <v>ABB</v>
      </c>
    </row>
    <row r="74" spans="1:8">
      <c r="A74" s="360" t="s">
        <v>4378</v>
      </c>
      <c r="B74" s="121">
        <v>1</v>
      </c>
      <c r="D74" s="377" t="str">
        <f t="shared" si="5"/>
        <v>XT1B160-160A-3P-TMD</v>
      </c>
      <c r="E74" s="378" t="str">
        <f t="shared" si="6"/>
        <v>1SDA066809R1</v>
      </c>
      <c r="F74" s="379">
        <f t="shared" si="7"/>
        <v>1</v>
      </c>
      <c r="G74" s="378" t="str">
        <f t="shared" si="8"/>
        <v>ITM Caja Moldeada 3x160A (reg.[0.7-1.0] In) - XT1B160-160A-3P-TMD - 25kA@230Vac, 18kA@415Vac, 18kA@250Vdc - marca ABB.</v>
      </c>
      <c r="H74" s="378" t="str">
        <f t="shared" si="9"/>
        <v>ABB</v>
      </c>
    </row>
    <row r="75" spans="1:8">
      <c r="A75" s="360" t="s">
        <v>5327</v>
      </c>
      <c r="B75" s="121">
        <v>20</v>
      </c>
      <c r="D75" s="377" t="str">
        <f t="shared" si="5"/>
        <v>FH204-A-25A-30mA</v>
      </c>
      <c r="E75" s="378" t="str">
        <f t="shared" si="6"/>
        <v>2CSF204102R1250</v>
      </c>
      <c r="F75" s="379">
        <f t="shared" si="7"/>
        <v>20</v>
      </c>
      <c r="G75" s="378" t="str">
        <f t="shared" si="8"/>
        <v>Interruptor Diferencial 4x25A - 30mA - clase A (inmunizado) - FH204-A-25A-30mA - marca ABB.</v>
      </c>
      <c r="H75" s="378" t="str">
        <f t="shared" si="9"/>
        <v>ABB</v>
      </c>
    </row>
    <row r="76" spans="1:8">
      <c r="A76" s="360" t="s">
        <v>973</v>
      </c>
      <c r="B76" s="121">
        <v>6</v>
      </c>
      <c r="D76" s="377" t="str">
        <f t="shared" si="5"/>
        <v>S202-C-25A</v>
      </c>
      <c r="E76" s="378" t="str">
        <f t="shared" si="6"/>
        <v>2CDS252001R0254</v>
      </c>
      <c r="F76" s="379">
        <f t="shared" si="7"/>
        <v>6</v>
      </c>
      <c r="G76" s="378" t="str">
        <f t="shared" si="8"/>
        <v>ITM Riel-Din 2x25A - S202-C-25A - 10kA@400Vac-IEC60947-2 - marca ABB.</v>
      </c>
      <c r="H76" s="378" t="str">
        <f t="shared" si="9"/>
        <v>ABB</v>
      </c>
    </row>
    <row r="77" spans="1:8">
      <c r="A77" s="360" t="s">
        <v>4362</v>
      </c>
      <c r="B77" s="121">
        <v>9</v>
      </c>
      <c r="D77" s="377" t="str">
        <f t="shared" si="5"/>
        <v>XT1B160-25A-3P-TMD</v>
      </c>
      <c r="E77" s="378" t="str">
        <f t="shared" si="6"/>
        <v>1SDA066801R1</v>
      </c>
      <c r="F77" s="379">
        <f t="shared" si="7"/>
        <v>9</v>
      </c>
      <c r="G77" s="378" t="str">
        <f t="shared" si="8"/>
        <v>ITM Caja Moldeada 3x25A (reg.[0.7-1.0] In)  - XT1B160-25A-3P-TMD - 25kA@230Vac,18kA@415Vac, 18kA@250Vdc - marca ABB.</v>
      </c>
      <c r="H77" s="378" t="str">
        <f t="shared" si="9"/>
        <v>ABB</v>
      </c>
    </row>
    <row r="78" spans="1:8">
      <c r="A78" s="360" t="s">
        <v>12433</v>
      </c>
      <c r="B78" s="121">
        <v>1</v>
      </c>
      <c r="D78" s="377" t="str">
        <f t="shared" si="5"/>
        <v>UVR-C_A1_A2_240V</v>
      </c>
      <c r="E78" s="378" t="str">
        <f t="shared" si="6"/>
        <v>1SDA066146R1</v>
      </c>
      <c r="F78" s="379">
        <f t="shared" si="7"/>
        <v>1</v>
      </c>
      <c r="G78" s="378" t="str">
        <f t="shared" si="8"/>
        <v>Bobina de minima tension UVR-C 220...240 VAC - 220...250 VDC - A1..A2 - marca ABB.</v>
      </c>
      <c r="H78" s="378" t="str">
        <f t="shared" si="9"/>
        <v>ABB</v>
      </c>
    </row>
    <row r="79" spans="1:8">
      <c r="A79" s="360" t="s">
        <v>989</v>
      </c>
      <c r="B79" s="121">
        <v>5</v>
      </c>
      <c r="D79" s="377" t="str">
        <f t="shared" si="5"/>
        <v>S203-C-25A</v>
      </c>
      <c r="E79" s="378" t="str">
        <f t="shared" si="6"/>
        <v>2CDS253001R0254</v>
      </c>
      <c r="F79" s="379">
        <f t="shared" si="7"/>
        <v>5</v>
      </c>
      <c r="G79" s="378" t="str">
        <f t="shared" si="8"/>
        <v>ITM Riel-Din 3x25A - S203-C-25A - 10kA@400Vac-IEC60947-2 - marca ABB.</v>
      </c>
      <c r="H79" s="378" t="str">
        <f t="shared" si="9"/>
        <v>ABB</v>
      </c>
    </row>
    <row r="80" spans="1:8">
      <c r="A80" s="360" t="s">
        <v>4368</v>
      </c>
      <c r="B80" s="121">
        <v>7</v>
      </c>
      <c r="D80" s="377" t="str">
        <f t="shared" si="5"/>
        <v>XT1B160-50A-3P-TMD</v>
      </c>
      <c r="E80" s="378" t="str">
        <f t="shared" si="6"/>
        <v>1SDA066804R1</v>
      </c>
      <c r="F80" s="379">
        <f t="shared" si="7"/>
        <v>7</v>
      </c>
      <c r="G80" s="378" t="str">
        <f t="shared" si="8"/>
        <v>ITM Caja Moldeada 3x50A (reg.[0.7-1.0] In) - XT1B160-50A-3P-TMD - 25kA@230Vac, 18kA@415Vac, 18kA@250Vdc - marca ABB.</v>
      </c>
      <c r="H80" s="378" t="str">
        <f t="shared" si="9"/>
        <v>ABB</v>
      </c>
    </row>
    <row r="81" spans="1:8">
      <c r="A81" s="360" t="s">
        <v>4360</v>
      </c>
      <c r="B81" s="121">
        <v>14</v>
      </c>
      <c r="D81" s="377" t="str">
        <f t="shared" si="5"/>
        <v>XT1B160-20A-3P-TMD</v>
      </c>
      <c r="E81" s="378" t="str">
        <f t="shared" si="6"/>
        <v>1SDA066800R1</v>
      </c>
      <c r="F81" s="379">
        <f t="shared" si="7"/>
        <v>14</v>
      </c>
      <c r="G81" s="378" t="str">
        <f t="shared" si="8"/>
        <v>ITM Caja Moldeada 3x20A (reg.[0.7-1.0] In) - XT1B160-20A-3P-TMD - 25kA@230Vac, 18kA@415Vac, 18kA@250Vdc - marca ABB.</v>
      </c>
      <c r="H81" s="378" t="str">
        <f t="shared" si="9"/>
        <v>ABB</v>
      </c>
    </row>
    <row r="82" spans="1:8">
      <c r="A82" s="360" t="s">
        <v>4949</v>
      </c>
      <c r="B82" s="121">
        <v>2</v>
      </c>
      <c r="D82" s="377" t="str">
        <f t="shared" si="5"/>
        <v>FC-CuAl_T5_4t_400A</v>
      </c>
      <c r="E82" s="378" t="str">
        <f t="shared" si="6"/>
        <v>1SDA055025R1</v>
      </c>
      <c r="F82" s="379">
        <f t="shared" si="7"/>
        <v>2</v>
      </c>
      <c r="G82" s="378" t="str">
        <f t="shared" si="8"/>
        <v>FC-CuAl_T5-400A - Terminales - cables de cobre/aluminio hasta 1x300mm2 - 4 terminales (internos).</v>
      </c>
      <c r="H82" s="378" t="str">
        <f t="shared" si="9"/>
        <v>ABB</v>
      </c>
    </row>
    <row r="83" spans="1:8">
      <c r="A83" s="360" t="s">
        <v>831</v>
      </c>
      <c r="B83" s="121">
        <v>1</v>
      </c>
      <c r="D83" s="377" t="str">
        <f t="shared" si="5"/>
        <v>FC-Cu_XT4_3t</v>
      </c>
      <c r="E83" s="378" t="str">
        <f t="shared" si="6"/>
        <v>1SDA066917R1</v>
      </c>
      <c r="F83" s="379">
        <f t="shared" si="7"/>
        <v>1</v>
      </c>
      <c r="G83" s="378" t="str">
        <f t="shared" si="8"/>
        <v>FC-Cu_XT4 - Terminales - cables de cobre hasta 1x150mm2 - 3 terminales (internos)</v>
      </c>
      <c r="H83" s="378" t="str">
        <f t="shared" si="9"/>
        <v>ABB</v>
      </c>
    </row>
    <row r="84" spans="1:8">
      <c r="A84" s="360" t="s">
        <v>1333</v>
      </c>
      <c r="B84" s="121">
        <v>3</v>
      </c>
      <c r="D84" s="377" t="str">
        <f t="shared" si="5"/>
        <v>XT2S160-25A-3P-TMD</v>
      </c>
      <c r="E84" s="378" t="str">
        <f t="shared" si="6"/>
        <v>1SDA067552R1</v>
      </c>
      <c r="F84" s="379">
        <f t="shared" si="7"/>
        <v>3</v>
      </c>
      <c r="G84" s="378" t="str">
        <f t="shared" si="8"/>
        <v>ITM Caja Moldeada 3x25A (reg.[0.7-1.0] In) - XT2S160-25A-3P-TMD - 85kA@230Vac, 50kA@415Vac - marca ABB</v>
      </c>
      <c r="H84" s="378" t="str">
        <f t="shared" si="9"/>
        <v>ABB</v>
      </c>
    </row>
    <row r="85" spans="1:8">
      <c r="A85" s="360" t="s">
        <v>4372</v>
      </c>
      <c r="B85" s="121">
        <v>4</v>
      </c>
      <c r="D85" s="377" t="str">
        <f t="shared" si="5"/>
        <v>XT1B160-80A-3P-TMD</v>
      </c>
      <c r="E85" s="378" t="str">
        <f t="shared" si="6"/>
        <v>1SDA066806R1</v>
      </c>
      <c r="F85" s="379">
        <f t="shared" si="7"/>
        <v>4</v>
      </c>
      <c r="G85" s="378" t="str">
        <f t="shared" si="8"/>
        <v>ITM Caja Moldeada 3x80A (reg.[0.7-1.0] In) - XT1B160-80A-3P-TMD - 25kA@230Vac, 18kA@415Vac, 18kA@250Vdc - marca ABB.</v>
      </c>
      <c r="H85" s="378" t="str">
        <f t="shared" si="9"/>
        <v>ABB</v>
      </c>
    </row>
    <row r="86" spans="1:8">
      <c r="A86" s="360" t="s">
        <v>4370</v>
      </c>
      <c r="B86" s="121">
        <v>2</v>
      </c>
      <c r="D86" s="377" t="str">
        <f t="shared" si="5"/>
        <v>XT1B160-63A-3P-TMD</v>
      </c>
      <c r="E86" s="378" t="str">
        <f t="shared" si="6"/>
        <v>1SDA066805R1</v>
      </c>
      <c r="F86" s="379">
        <f t="shared" si="7"/>
        <v>2</v>
      </c>
      <c r="G86" s="378" t="str">
        <f t="shared" si="8"/>
        <v>ITM Caja Moldeada 3x63A (reg.[0.7-1.0] In) - XT1B160-63A-3P-TMD - 25kA@230Vac, 18kA@415Vac, 18kA@250Vdc - marca ABB.</v>
      </c>
      <c r="H86" s="378" t="str">
        <f t="shared" si="9"/>
        <v>ABB</v>
      </c>
    </row>
    <row r="87" spans="1:8">
      <c r="A87" s="360" t="s">
        <v>4364</v>
      </c>
      <c r="B87" s="121">
        <v>5</v>
      </c>
      <c r="D87" s="377" t="str">
        <f t="shared" si="5"/>
        <v>XT1B160-32A-3P-TMD</v>
      </c>
      <c r="E87" s="378" t="str">
        <f t="shared" si="6"/>
        <v>1SDA066802R1</v>
      </c>
      <c r="F87" s="379">
        <f t="shared" si="7"/>
        <v>5</v>
      </c>
      <c r="G87" s="378" t="str">
        <f t="shared" si="8"/>
        <v>ITM Caja Moldeada 3x32A (reg.[0.7-1.0] In) - XT1B160-32A-3P-TMD - 25kA@230Vac, 18kA@415Vac, 18kA@250Vdc - marca ABB.</v>
      </c>
      <c r="H87" s="378" t="str">
        <f t="shared" si="9"/>
        <v>ABB</v>
      </c>
    </row>
    <row r="88" spans="1:8">
      <c r="A88" s="360" t="s">
        <v>4374</v>
      </c>
      <c r="B88" s="121">
        <v>4</v>
      </c>
      <c r="D88" s="377" t="str">
        <f t="shared" si="5"/>
        <v>XT1B160-100A-3P-TMD</v>
      </c>
      <c r="E88" s="378" t="str">
        <f t="shared" si="6"/>
        <v>1SDA066807R1</v>
      </c>
      <c r="F88" s="379">
        <f t="shared" si="7"/>
        <v>4</v>
      </c>
      <c r="G88" s="378" t="str">
        <f t="shared" si="8"/>
        <v>ITM Caja Moldeada 3x100A (reg.[0.7-1.0] In) - XT1B160-100A-3P-TMD - 25kA@230Vac, 18kA@415Vac, 18kA@250Vdc - marca ABB.</v>
      </c>
      <c r="H88" s="378" t="str">
        <f t="shared" si="9"/>
        <v>ABB</v>
      </c>
    </row>
    <row r="89" spans="1:8">
      <c r="A89" s="360" t="s">
        <v>2258</v>
      </c>
      <c r="B89" s="121">
        <v>1</v>
      </c>
      <c r="D89" s="377" t="str">
        <f t="shared" si="5"/>
        <v>MIR-H_XT1-XT4</v>
      </c>
      <c r="E89" s="378" t="str">
        <f t="shared" si="6"/>
        <v>1SDA066637R1</v>
      </c>
      <c r="F89" s="379">
        <f t="shared" si="7"/>
        <v>1</v>
      </c>
      <c r="G89" s="378" t="str">
        <f t="shared" si="8"/>
        <v>MIR-H - XT1, XT2, XT3, XT4 - Grupo armazón para enclavamiento horizontal - marca ABB.</v>
      </c>
      <c r="H89" s="378" t="str">
        <f t="shared" si="9"/>
        <v>ABB</v>
      </c>
    </row>
    <row r="90" spans="1:8">
      <c r="A90" s="360" t="s">
        <v>2270</v>
      </c>
      <c r="B90" s="121">
        <v>2</v>
      </c>
      <c r="D90" s="377" t="str">
        <f t="shared" si="5"/>
        <v>MIR-P_XT2-F</v>
      </c>
      <c r="E90" s="378" t="str">
        <f t="shared" si="6"/>
        <v>1SDA066641R1</v>
      </c>
      <c r="F90" s="379">
        <f t="shared" si="7"/>
        <v>2</v>
      </c>
      <c r="G90" s="378" t="str">
        <f t="shared" si="8"/>
        <v>Placa para enclavamiento XT2 (F) - marca ABB.</v>
      </c>
      <c r="H90" s="378" t="str">
        <f t="shared" si="9"/>
        <v>ABB</v>
      </c>
    </row>
    <row r="91" spans="1:8">
      <c r="A91" s="360" t="s">
        <v>1964</v>
      </c>
      <c r="B91" s="121">
        <v>2</v>
      </c>
      <c r="D91" s="377" t="str">
        <f t="shared" si="5"/>
        <v>S203-C-10A</v>
      </c>
      <c r="E91" s="378" t="str">
        <f t="shared" si="6"/>
        <v>2CDS253001R0104</v>
      </c>
      <c r="F91" s="379">
        <f t="shared" si="7"/>
        <v>2</v>
      </c>
      <c r="G91" s="378" t="str">
        <f t="shared" si="8"/>
        <v>ITM Riel-Din 3x10A - S203-C-10A - 10kA@400Vac-IEC60947-2 - marca ABB.</v>
      </c>
      <c r="H91" s="378" t="str">
        <f t="shared" si="9"/>
        <v>ABB</v>
      </c>
    </row>
    <row r="92" spans="1:8">
      <c r="A92" s="360" t="s">
        <v>6485</v>
      </c>
      <c r="B92" s="121">
        <v>1</v>
      </c>
      <c r="D92" s="377" t="str">
        <f t="shared" si="5"/>
        <v>RD2</v>
      </c>
      <c r="E92" s="378" t="str">
        <f t="shared" si="6"/>
        <v>2CSM142120R1201</v>
      </c>
      <c r="F92" s="379">
        <f t="shared" si="7"/>
        <v>1</v>
      </c>
      <c r="G92" s="378" t="str">
        <f t="shared" si="8"/>
        <v>Relé de protección diferencial RD2 - Reg.: 0.03 - 0.1 - 0.3 - 0.5 - 1 - 2A - Ue=230-400 Vac - marca ABB.</v>
      </c>
      <c r="H92" s="378" t="str">
        <f t="shared" si="9"/>
        <v>ABB</v>
      </c>
    </row>
    <row r="93" spans="1:8">
      <c r="A93" s="360" t="s">
        <v>1658</v>
      </c>
      <c r="B93" s="121">
        <v>1</v>
      </c>
      <c r="D93" s="377" t="str">
        <f t="shared" si="5"/>
        <v>TR2</v>
      </c>
      <c r="E93" s="378" t="str">
        <f t="shared" si="6"/>
        <v>2CSG060100R1211</v>
      </c>
      <c r="F93" s="379">
        <f t="shared" si="7"/>
        <v>1</v>
      </c>
      <c r="G93" s="378" t="str">
        <f t="shared" si="8"/>
        <v>Toroide diferencial TR2 (nucleo cerrado) - d=60mm, In_max=85A@IEC60947-2(anexo M) - marca ABB.</v>
      </c>
      <c r="H93" s="378" t="str">
        <f t="shared" si="9"/>
        <v>ABB</v>
      </c>
    </row>
    <row r="94" spans="1:8">
      <c r="A94" s="360" t="s">
        <v>12542</v>
      </c>
      <c r="B94" s="121">
        <v>1</v>
      </c>
      <c r="D94" s="377" t="str">
        <f t="shared" si="5"/>
        <v>XT1b160-125A-3P-TMD</v>
      </c>
      <c r="E94" s="378" t="str">
        <f t="shared" si="6"/>
        <v>1SDA066808R1</v>
      </c>
      <c r="F94" s="379">
        <f t="shared" si="7"/>
        <v>1</v>
      </c>
      <c r="G94" s="378" t="str">
        <f t="shared" si="8"/>
        <v>ITM Caja Moldeada 3x125A (reg.[0.7-1.0] In) - XT1B160-125A-3P-TMD - 25kA@230Vac, 18kA@415Vac, 18kA@250Vdc - marca ABB.</v>
      </c>
      <c r="H94" s="378" t="str">
        <f t="shared" si="9"/>
        <v>ABB</v>
      </c>
    </row>
    <row r="95" spans="1:8" hidden="1">
      <c r="A95" s="360" t="s">
        <v>1549</v>
      </c>
      <c r="B95" s="121">
        <v>1867</v>
      </c>
      <c r="D95" s="377" t="str">
        <f t="shared" si="5"/>
        <v>Total general</v>
      </c>
      <c r="E95" s="378" t="e">
        <f t="shared" si="6"/>
        <v>#N/A</v>
      </c>
      <c r="F95" s="379">
        <f t="shared" si="7"/>
        <v>1867</v>
      </c>
      <c r="G95" s="378" t="e">
        <f t="shared" si="8"/>
        <v>#N/A</v>
      </c>
      <c r="H95" s="378" t="e">
        <f t="shared" si="9"/>
        <v>#N/A</v>
      </c>
    </row>
    <row r="96" spans="1:8" hidden="1">
      <c r="B96"/>
      <c r="D96" s="377">
        <f t="shared" si="5"/>
        <v>0</v>
      </c>
      <c r="E96" s="378" t="e">
        <f t="shared" si="6"/>
        <v>#N/A</v>
      </c>
      <c r="F96" s="379">
        <f t="shared" si="7"/>
        <v>0</v>
      </c>
      <c r="G96" s="378" t="e">
        <f t="shared" si="8"/>
        <v>#N/A</v>
      </c>
      <c r="H96" s="378" t="e">
        <f t="shared" si="9"/>
        <v>#N/A</v>
      </c>
    </row>
    <row r="97" spans="2:8" hidden="1">
      <c r="B97"/>
      <c r="D97" s="377">
        <f t="shared" si="5"/>
        <v>0</v>
      </c>
      <c r="E97" s="378" t="e">
        <f t="shared" si="6"/>
        <v>#N/A</v>
      </c>
      <c r="F97" s="379">
        <f t="shared" si="7"/>
        <v>0</v>
      </c>
      <c r="G97" s="378" t="e">
        <f t="shared" si="8"/>
        <v>#N/A</v>
      </c>
      <c r="H97" s="378" t="e">
        <f t="shared" si="9"/>
        <v>#N/A</v>
      </c>
    </row>
    <row r="98" spans="2:8" hidden="1">
      <c r="B98"/>
      <c r="D98" s="377">
        <f t="shared" si="5"/>
        <v>0</v>
      </c>
      <c r="E98" s="378" t="e">
        <f t="shared" si="6"/>
        <v>#N/A</v>
      </c>
      <c r="F98" s="379">
        <f t="shared" si="7"/>
        <v>0</v>
      </c>
      <c r="G98" s="378" t="e">
        <f t="shared" si="8"/>
        <v>#N/A</v>
      </c>
      <c r="H98" s="378" t="e">
        <f t="shared" si="9"/>
        <v>#N/A</v>
      </c>
    </row>
    <row r="99" spans="2:8" hidden="1">
      <c r="B99"/>
      <c r="D99" s="377">
        <f t="shared" si="5"/>
        <v>0</v>
      </c>
      <c r="E99" s="378" t="e">
        <f t="shared" si="6"/>
        <v>#N/A</v>
      </c>
      <c r="F99" s="379">
        <f t="shared" si="7"/>
        <v>0</v>
      </c>
      <c r="G99" s="378" t="e">
        <f t="shared" si="8"/>
        <v>#N/A</v>
      </c>
      <c r="H99" s="378" t="e">
        <f t="shared" si="9"/>
        <v>#N/A</v>
      </c>
    </row>
    <row r="100" spans="2:8" hidden="1">
      <c r="B100"/>
      <c r="D100" s="377">
        <f t="shared" si="5"/>
        <v>0</v>
      </c>
      <c r="E100" s="378" t="e">
        <f t="shared" si="6"/>
        <v>#N/A</v>
      </c>
      <c r="F100" s="379">
        <f t="shared" si="7"/>
        <v>0</v>
      </c>
      <c r="G100" s="378" t="e">
        <f t="shared" si="8"/>
        <v>#N/A</v>
      </c>
      <c r="H100" s="378" t="e">
        <f t="shared" si="9"/>
        <v>#N/A</v>
      </c>
    </row>
    <row r="101" spans="2:8" hidden="1">
      <c r="B101"/>
      <c r="D101" s="377">
        <f t="shared" si="5"/>
        <v>0</v>
      </c>
      <c r="E101" s="378" t="e">
        <f t="shared" si="6"/>
        <v>#N/A</v>
      </c>
      <c r="F101" s="379">
        <f t="shared" si="7"/>
        <v>0</v>
      </c>
      <c r="G101" s="378" t="e">
        <f t="shared" si="8"/>
        <v>#N/A</v>
      </c>
      <c r="H101" s="378" t="e">
        <f t="shared" si="9"/>
        <v>#N/A</v>
      </c>
    </row>
    <row r="102" spans="2:8" hidden="1">
      <c r="B102"/>
      <c r="D102" s="377">
        <f t="shared" si="5"/>
        <v>0</v>
      </c>
      <c r="E102" s="378" t="e">
        <f t="shared" si="6"/>
        <v>#N/A</v>
      </c>
      <c r="F102" s="379">
        <f t="shared" si="7"/>
        <v>0</v>
      </c>
      <c r="G102" s="378" t="e">
        <f t="shared" si="8"/>
        <v>#N/A</v>
      </c>
      <c r="H102" s="378" t="e">
        <f t="shared" si="9"/>
        <v>#N/A</v>
      </c>
    </row>
    <row r="103" spans="2:8" hidden="1">
      <c r="B103"/>
      <c r="D103" s="377">
        <f t="shared" si="5"/>
        <v>0</v>
      </c>
      <c r="E103" s="378" t="e">
        <f t="shared" si="6"/>
        <v>#N/A</v>
      </c>
      <c r="F103" s="379">
        <f t="shared" si="7"/>
        <v>0</v>
      </c>
      <c r="G103" s="378" t="e">
        <f t="shared" si="8"/>
        <v>#N/A</v>
      </c>
      <c r="H103" s="378" t="e">
        <f t="shared" si="9"/>
        <v>#N/A</v>
      </c>
    </row>
    <row r="104" spans="2:8" hidden="1">
      <c r="B104"/>
      <c r="D104" s="377">
        <f t="shared" si="5"/>
        <v>0</v>
      </c>
      <c r="E104" s="378" t="e">
        <f t="shared" si="6"/>
        <v>#N/A</v>
      </c>
      <c r="F104" s="379">
        <f t="shared" si="7"/>
        <v>0</v>
      </c>
      <c r="G104" s="378" t="e">
        <f t="shared" si="8"/>
        <v>#N/A</v>
      </c>
      <c r="H104" s="378" t="e">
        <f t="shared" si="9"/>
        <v>#N/A</v>
      </c>
    </row>
    <row r="105" spans="2:8" hidden="1">
      <c r="B105"/>
      <c r="D105" s="377">
        <f t="shared" si="5"/>
        <v>0</v>
      </c>
      <c r="E105" s="378" t="e">
        <f t="shared" si="6"/>
        <v>#N/A</v>
      </c>
      <c r="F105" s="379">
        <f t="shared" si="7"/>
        <v>0</v>
      </c>
      <c r="G105" s="378" t="e">
        <f t="shared" si="8"/>
        <v>#N/A</v>
      </c>
      <c r="H105" s="378" t="e">
        <f t="shared" si="9"/>
        <v>#N/A</v>
      </c>
    </row>
    <row r="106" spans="2:8" hidden="1">
      <c r="B106"/>
      <c r="D106" s="377">
        <f t="shared" si="5"/>
        <v>0</v>
      </c>
      <c r="E106" s="378" t="e">
        <f t="shared" si="6"/>
        <v>#N/A</v>
      </c>
      <c r="F106" s="379">
        <f t="shared" si="7"/>
        <v>0</v>
      </c>
      <c r="G106" s="378" t="e">
        <f t="shared" si="8"/>
        <v>#N/A</v>
      </c>
      <c r="H106" s="378" t="e">
        <f t="shared" si="9"/>
        <v>#N/A</v>
      </c>
    </row>
    <row r="107" spans="2:8" hidden="1">
      <c r="B107"/>
      <c r="D107" s="377">
        <f t="shared" si="5"/>
        <v>0</v>
      </c>
      <c r="E107" s="378" t="e">
        <f t="shared" si="6"/>
        <v>#N/A</v>
      </c>
      <c r="F107" s="379">
        <f t="shared" si="7"/>
        <v>0</v>
      </c>
      <c r="G107" s="378" t="e">
        <f t="shared" si="8"/>
        <v>#N/A</v>
      </c>
      <c r="H107" s="378" t="e">
        <f t="shared" si="9"/>
        <v>#N/A</v>
      </c>
    </row>
    <row r="108" spans="2:8" hidden="1">
      <c r="B108"/>
      <c r="D108" s="377">
        <f t="shared" si="5"/>
        <v>0</v>
      </c>
      <c r="E108" s="378" t="e">
        <f t="shared" si="6"/>
        <v>#N/A</v>
      </c>
      <c r="F108" s="379">
        <f t="shared" si="7"/>
        <v>0</v>
      </c>
      <c r="G108" s="378" t="e">
        <f t="shared" si="8"/>
        <v>#N/A</v>
      </c>
      <c r="H108" s="378" t="e">
        <f t="shared" si="9"/>
        <v>#N/A</v>
      </c>
    </row>
    <row r="109" spans="2:8" hidden="1">
      <c r="B109"/>
      <c r="D109" s="377">
        <f t="shared" si="5"/>
        <v>0</v>
      </c>
      <c r="E109" s="378" t="e">
        <f t="shared" si="6"/>
        <v>#N/A</v>
      </c>
      <c r="F109" s="379">
        <f t="shared" si="7"/>
        <v>0</v>
      </c>
      <c r="G109" s="378" t="e">
        <f t="shared" si="8"/>
        <v>#N/A</v>
      </c>
      <c r="H109" s="378" t="e">
        <f t="shared" si="9"/>
        <v>#N/A</v>
      </c>
    </row>
    <row r="110" spans="2:8" hidden="1">
      <c r="B110"/>
      <c r="D110" s="377">
        <f t="shared" si="5"/>
        <v>0</v>
      </c>
      <c r="E110" s="378" t="e">
        <f t="shared" si="6"/>
        <v>#N/A</v>
      </c>
      <c r="F110" s="379">
        <f t="shared" si="7"/>
        <v>0</v>
      </c>
      <c r="G110" s="378" t="e">
        <f t="shared" si="8"/>
        <v>#N/A</v>
      </c>
      <c r="H110" s="378" t="e">
        <f t="shared" si="9"/>
        <v>#N/A</v>
      </c>
    </row>
    <row r="111" spans="2:8" hidden="1">
      <c r="B111"/>
      <c r="D111" s="377">
        <f t="shared" si="5"/>
        <v>0</v>
      </c>
      <c r="E111" s="378" t="e">
        <f t="shared" si="6"/>
        <v>#N/A</v>
      </c>
      <c r="F111" s="379">
        <f t="shared" si="7"/>
        <v>0</v>
      </c>
      <c r="G111" s="378" t="e">
        <f t="shared" si="8"/>
        <v>#N/A</v>
      </c>
      <c r="H111" s="378" t="e">
        <f t="shared" si="9"/>
        <v>#N/A</v>
      </c>
    </row>
    <row r="112" spans="2:8" hidden="1">
      <c r="B112"/>
      <c r="D112" s="377">
        <f t="shared" si="5"/>
        <v>0</v>
      </c>
      <c r="E112" s="378" t="e">
        <f t="shared" si="6"/>
        <v>#N/A</v>
      </c>
      <c r="F112" s="379">
        <f t="shared" si="7"/>
        <v>0</v>
      </c>
      <c r="G112" s="378" t="e">
        <f t="shared" si="8"/>
        <v>#N/A</v>
      </c>
      <c r="H112" s="378" t="e">
        <f t="shared" si="9"/>
        <v>#N/A</v>
      </c>
    </row>
    <row r="113" spans="2:8" hidden="1">
      <c r="B113"/>
      <c r="D113" s="377">
        <f t="shared" si="5"/>
        <v>0</v>
      </c>
      <c r="E113" s="378" t="e">
        <f t="shared" si="6"/>
        <v>#N/A</v>
      </c>
      <c r="F113" s="379">
        <f t="shared" si="7"/>
        <v>0</v>
      </c>
      <c r="G113" s="378" t="e">
        <f t="shared" si="8"/>
        <v>#N/A</v>
      </c>
      <c r="H113" s="378" t="e">
        <f t="shared" si="9"/>
        <v>#N/A</v>
      </c>
    </row>
    <row r="114" spans="2:8" hidden="1">
      <c r="B114"/>
      <c r="D114" s="377">
        <f t="shared" si="5"/>
        <v>0</v>
      </c>
      <c r="E114" s="378" t="e">
        <f t="shared" si="6"/>
        <v>#N/A</v>
      </c>
      <c r="F114" s="379">
        <f t="shared" si="7"/>
        <v>0</v>
      </c>
      <c r="G114" s="378" t="e">
        <f t="shared" si="8"/>
        <v>#N/A</v>
      </c>
      <c r="H114" s="378" t="e">
        <f t="shared" si="9"/>
        <v>#N/A</v>
      </c>
    </row>
    <row r="115" spans="2:8" hidden="1">
      <c r="B115"/>
      <c r="D115" s="377">
        <f t="shared" si="5"/>
        <v>0</v>
      </c>
      <c r="E115" s="378" t="e">
        <f t="shared" si="6"/>
        <v>#N/A</v>
      </c>
      <c r="F115" s="379">
        <f t="shared" si="7"/>
        <v>0</v>
      </c>
      <c r="G115" s="378" t="e">
        <f t="shared" si="8"/>
        <v>#N/A</v>
      </c>
      <c r="H115" s="378" t="e">
        <f t="shared" si="9"/>
        <v>#N/A</v>
      </c>
    </row>
    <row r="116" spans="2:8" hidden="1">
      <c r="B116"/>
      <c r="D116" s="377">
        <f t="shared" si="5"/>
        <v>0</v>
      </c>
      <c r="E116" s="378" t="e">
        <f t="shared" si="6"/>
        <v>#N/A</v>
      </c>
      <c r="F116" s="379">
        <f t="shared" si="7"/>
        <v>0</v>
      </c>
      <c r="G116" s="378" t="e">
        <f t="shared" si="8"/>
        <v>#N/A</v>
      </c>
      <c r="H116" s="378" t="e">
        <f t="shared" si="9"/>
        <v>#N/A</v>
      </c>
    </row>
    <row r="117" spans="2:8" hidden="1">
      <c r="B117"/>
      <c r="D117" s="377">
        <f t="shared" si="5"/>
        <v>0</v>
      </c>
      <c r="E117" s="378" t="e">
        <f t="shared" si="6"/>
        <v>#N/A</v>
      </c>
      <c r="F117" s="379">
        <f t="shared" si="7"/>
        <v>0</v>
      </c>
      <c r="G117" s="378" t="e">
        <f t="shared" si="8"/>
        <v>#N/A</v>
      </c>
      <c r="H117" s="378" t="e">
        <f t="shared" si="9"/>
        <v>#N/A</v>
      </c>
    </row>
    <row r="118" spans="2:8" hidden="1">
      <c r="B118"/>
      <c r="D118" s="377">
        <f t="shared" si="5"/>
        <v>0</v>
      </c>
      <c r="E118" s="378" t="e">
        <f t="shared" si="6"/>
        <v>#N/A</v>
      </c>
      <c r="F118" s="379">
        <f t="shared" si="7"/>
        <v>0</v>
      </c>
      <c r="G118" s="378" t="e">
        <f t="shared" si="8"/>
        <v>#N/A</v>
      </c>
      <c r="H118" s="378" t="e">
        <f t="shared" si="9"/>
        <v>#N/A</v>
      </c>
    </row>
    <row r="119" spans="2:8" hidden="1">
      <c r="B119"/>
      <c r="D119" s="377">
        <f t="shared" si="5"/>
        <v>0</v>
      </c>
      <c r="E119" s="378" t="e">
        <f t="shared" si="6"/>
        <v>#N/A</v>
      </c>
      <c r="F119" s="379">
        <f t="shared" si="7"/>
        <v>0</v>
      </c>
      <c r="G119" s="378" t="e">
        <f t="shared" si="8"/>
        <v>#N/A</v>
      </c>
      <c r="H119" s="378" t="e">
        <f t="shared" si="9"/>
        <v>#N/A</v>
      </c>
    </row>
    <row r="120" spans="2:8" hidden="1">
      <c r="B120"/>
      <c r="D120" s="377">
        <f t="shared" si="5"/>
        <v>0</v>
      </c>
      <c r="E120" s="378" t="e">
        <f t="shared" si="6"/>
        <v>#N/A</v>
      </c>
      <c r="F120" s="379">
        <f t="shared" si="7"/>
        <v>0</v>
      </c>
      <c r="G120" s="378" t="e">
        <f t="shared" si="8"/>
        <v>#N/A</v>
      </c>
      <c r="H120" s="378" t="e">
        <f t="shared" si="9"/>
        <v>#N/A</v>
      </c>
    </row>
    <row r="121" spans="2:8" hidden="1">
      <c r="B121"/>
      <c r="D121" s="377">
        <f t="shared" si="5"/>
        <v>0</v>
      </c>
      <c r="E121" s="378" t="e">
        <f t="shared" si="6"/>
        <v>#N/A</v>
      </c>
      <c r="F121" s="379">
        <f t="shared" si="7"/>
        <v>0</v>
      </c>
      <c r="G121" s="378" t="e">
        <f t="shared" si="8"/>
        <v>#N/A</v>
      </c>
      <c r="H121" s="378" t="e">
        <f t="shared" si="9"/>
        <v>#N/A</v>
      </c>
    </row>
    <row r="122" spans="2:8" hidden="1">
      <c r="B122"/>
      <c r="D122" s="377">
        <f t="shared" si="5"/>
        <v>0</v>
      </c>
      <c r="E122" s="378" t="e">
        <f t="shared" si="6"/>
        <v>#N/A</v>
      </c>
      <c r="F122" s="379">
        <f t="shared" si="7"/>
        <v>0</v>
      </c>
      <c r="G122" s="378" t="e">
        <f t="shared" si="8"/>
        <v>#N/A</v>
      </c>
      <c r="H122" s="378" t="e">
        <f t="shared" si="9"/>
        <v>#N/A</v>
      </c>
    </row>
    <row r="123" spans="2:8" hidden="1">
      <c r="B123"/>
      <c r="D123" s="377">
        <f t="shared" si="5"/>
        <v>0</v>
      </c>
      <c r="E123" s="378" t="e">
        <f t="shared" si="6"/>
        <v>#N/A</v>
      </c>
      <c r="F123" s="379">
        <f t="shared" si="7"/>
        <v>0</v>
      </c>
      <c r="G123" s="378" t="e">
        <f t="shared" si="8"/>
        <v>#N/A</v>
      </c>
      <c r="H123" s="378" t="e">
        <f t="shared" si="9"/>
        <v>#N/A</v>
      </c>
    </row>
    <row r="124" spans="2:8" hidden="1">
      <c r="B124"/>
      <c r="D124" s="377">
        <f t="shared" si="5"/>
        <v>0</v>
      </c>
      <c r="E124" s="378" t="e">
        <f t="shared" si="6"/>
        <v>#N/A</v>
      </c>
      <c r="F124" s="379">
        <f t="shared" si="7"/>
        <v>0</v>
      </c>
      <c r="G124" s="378" t="e">
        <f t="shared" si="8"/>
        <v>#N/A</v>
      </c>
      <c r="H124" s="378" t="e">
        <f t="shared" si="9"/>
        <v>#N/A</v>
      </c>
    </row>
    <row r="125" spans="2:8" hidden="1">
      <c r="B125"/>
      <c r="D125" s="377">
        <f t="shared" si="5"/>
        <v>0</v>
      </c>
      <c r="E125" s="378" t="e">
        <f t="shared" si="6"/>
        <v>#N/A</v>
      </c>
      <c r="F125" s="379">
        <f t="shared" si="7"/>
        <v>0</v>
      </c>
      <c r="G125" s="378" t="e">
        <f t="shared" si="8"/>
        <v>#N/A</v>
      </c>
      <c r="H125" s="378" t="e">
        <f t="shared" si="9"/>
        <v>#N/A</v>
      </c>
    </row>
    <row r="126" spans="2:8" hidden="1">
      <c r="B126"/>
      <c r="D126" s="377">
        <f t="shared" si="5"/>
        <v>0</v>
      </c>
      <c r="E126" s="378" t="e">
        <f t="shared" si="6"/>
        <v>#N/A</v>
      </c>
      <c r="F126" s="379">
        <f t="shared" si="7"/>
        <v>0</v>
      </c>
      <c r="G126" s="378" t="e">
        <f t="shared" si="8"/>
        <v>#N/A</v>
      </c>
      <c r="H126" s="378" t="e">
        <f t="shared" si="9"/>
        <v>#N/A</v>
      </c>
    </row>
    <row r="127" spans="2:8" hidden="1">
      <c r="B127"/>
      <c r="D127" s="377">
        <f t="shared" si="5"/>
        <v>0</v>
      </c>
      <c r="E127" s="378" t="e">
        <f t="shared" si="6"/>
        <v>#N/A</v>
      </c>
      <c r="F127" s="379">
        <f t="shared" si="7"/>
        <v>0</v>
      </c>
      <c r="G127" s="378" t="e">
        <f t="shared" si="8"/>
        <v>#N/A</v>
      </c>
      <c r="H127" s="378" t="e">
        <f t="shared" si="9"/>
        <v>#N/A</v>
      </c>
    </row>
    <row r="128" spans="2:8" hidden="1">
      <c r="B128"/>
      <c r="D128" s="377">
        <f t="shared" si="5"/>
        <v>0</v>
      </c>
      <c r="E128" s="378" t="e">
        <f t="shared" si="6"/>
        <v>#N/A</v>
      </c>
      <c r="F128" s="379">
        <f t="shared" si="7"/>
        <v>0</v>
      </c>
      <c r="G128" s="378" t="e">
        <f t="shared" si="8"/>
        <v>#N/A</v>
      </c>
      <c r="H128" s="378" t="e">
        <f t="shared" si="9"/>
        <v>#N/A</v>
      </c>
    </row>
    <row r="129" spans="2:8" hidden="1">
      <c r="B129"/>
      <c r="D129" s="377">
        <f t="shared" si="5"/>
        <v>0</v>
      </c>
      <c r="E129" s="378" t="e">
        <f t="shared" si="6"/>
        <v>#N/A</v>
      </c>
      <c r="F129" s="379">
        <f t="shared" si="7"/>
        <v>0</v>
      </c>
      <c r="G129" s="378" t="e">
        <f t="shared" si="8"/>
        <v>#N/A</v>
      </c>
      <c r="H129" s="378" t="e">
        <f t="shared" si="9"/>
        <v>#N/A</v>
      </c>
    </row>
    <row r="130" spans="2:8" hidden="1">
      <c r="B130"/>
      <c r="D130" s="377">
        <f t="shared" si="5"/>
        <v>0</v>
      </c>
      <c r="E130" s="378" t="e">
        <f t="shared" si="6"/>
        <v>#N/A</v>
      </c>
      <c r="F130" s="379">
        <f t="shared" si="7"/>
        <v>0</v>
      </c>
      <c r="G130" s="378" t="e">
        <f t="shared" si="8"/>
        <v>#N/A</v>
      </c>
      <c r="H130" s="378" t="e">
        <f t="shared" si="9"/>
        <v>#N/A</v>
      </c>
    </row>
    <row r="131" spans="2:8" hidden="1">
      <c r="B131"/>
      <c r="D131" s="377">
        <f t="shared" si="5"/>
        <v>0</v>
      </c>
      <c r="E131" s="378" t="e">
        <f t="shared" si="6"/>
        <v>#N/A</v>
      </c>
      <c r="F131" s="379">
        <f t="shared" si="7"/>
        <v>0</v>
      </c>
      <c r="G131" s="378" t="e">
        <f t="shared" si="8"/>
        <v>#N/A</v>
      </c>
      <c r="H131" s="378" t="e">
        <f t="shared" si="9"/>
        <v>#N/A</v>
      </c>
    </row>
    <row r="132" spans="2:8" hidden="1">
      <c r="B132"/>
      <c r="D132" s="377">
        <f t="shared" si="5"/>
        <v>0</v>
      </c>
      <c r="E132" s="378" t="e">
        <f t="shared" si="6"/>
        <v>#N/A</v>
      </c>
      <c r="F132" s="379">
        <f t="shared" si="7"/>
        <v>0</v>
      </c>
      <c r="G132" s="378" t="e">
        <f t="shared" si="8"/>
        <v>#N/A</v>
      </c>
      <c r="H132" s="378" t="e">
        <f t="shared" si="9"/>
        <v>#N/A</v>
      </c>
    </row>
    <row r="133" spans="2:8" hidden="1">
      <c r="B133"/>
      <c r="D133" s="377">
        <f t="shared" si="5"/>
        <v>0</v>
      </c>
      <c r="E133" s="378" t="e">
        <f t="shared" si="6"/>
        <v>#N/A</v>
      </c>
      <c r="F133" s="379">
        <f t="shared" si="7"/>
        <v>0</v>
      </c>
      <c r="G133" s="378" t="e">
        <f t="shared" si="8"/>
        <v>#N/A</v>
      </c>
      <c r="H133" s="378" t="e">
        <f t="shared" si="9"/>
        <v>#N/A</v>
      </c>
    </row>
    <row r="134" spans="2:8" hidden="1">
      <c r="B134"/>
      <c r="D134" s="377">
        <f t="shared" si="5"/>
        <v>0</v>
      </c>
      <c r="E134" s="378" t="e">
        <f t="shared" si="6"/>
        <v>#N/A</v>
      </c>
      <c r="F134" s="379">
        <f t="shared" si="7"/>
        <v>0</v>
      </c>
      <c r="G134" s="378" t="e">
        <f t="shared" si="8"/>
        <v>#N/A</v>
      </c>
      <c r="H134" s="378" t="e">
        <f t="shared" si="9"/>
        <v>#N/A</v>
      </c>
    </row>
    <row r="135" spans="2:8" hidden="1">
      <c r="B135"/>
      <c r="D135" s="377">
        <f t="shared" si="5"/>
        <v>0</v>
      </c>
      <c r="E135" s="378" t="e">
        <f t="shared" si="6"/>
        <v>#N/A</v>
      </c>
      <c r="F135" s="379">
        <f t="shared" si="7"/>
        <v>0</v>
      </c>
      <c r="G135" s="378" t="e">
        <f t="shared" si="8"/>
        <v>#N/A</v>
      </c>
      <c r="H135" s="378" t="e">
        <f t="shared" si="9"/>
        <v>#N/A</v>
      </c>
    </row>
    <row r="136" spans="2:8" hidden="1">
      <c r="B136"/>
      <c r="D136" s="377">
        <f>A136</f>
        <v>0</v>
      </c>
      <c r="E136" s="378" t="e">
        <f>VLOOKUP(D136,base_datos,7,FALSE)</f>
        <v>#N/A</v>
      </c>
      <c r="F136" s="379">
        <f>B136</f>
        <v>0</v>
      </c>
      <c r="G136" s="378" t="e">
        <f>VLOOKUP(D136,base_datos,6,FALSE)</f>
        <v>#N/A</v>
      </c>
      <c r="H136" s="378" t="e">
        <f>VLOOKUP(D136,base_datos,9,FALSE)</f>
        <v>#N/A</v>
      </c>
    </row>
    <row r="137" spans="2:8" hidden="1">
      <c r="B137"/>
      <c r="D137" s="377">
        <f>A137</f>
        <v>0</v>
      </c>
      <c r="E137" s="378" t="e">
        <f>VLOOKUP(D137,base_datos,7,FALSE)</f>
        <v>#N/A</v>
      </c>
      <c r="F137" s="379">
        <f>B137</f>
        <v>0</v>
      </c>
      <c r="G137" s="378" t="e">
        <f>VLOOKUP(D137,base_datos,6,FALSE)</f>
        <v>#N/A</v>
      </c>
      <c r="H137" s="378" t="e">
        <f>VLOOKUP(D137,base_datos,9,FALSE)</f>
        <v>#N/A</v>
      </c>
    </row>
    <row r="138" spans="2:8" hidden="1">
      <c r="B138"/>
      <c r="D138" s="377">
        <f>A138</f>
        <v>0</v>
      </c>
      <c r="E138" s="378" t="e">
        <f>VLOOKUP(D138,base_datos,7,FALSE)</f>
        <v>#N/A</v>
      </c>
      <c r="F138" s="379">
        <f>B138</f>
        <v>0</v>
      </c>
      <c r="G138" s="378" t="e">
        <f>VLOOKUP(D138,base_datos,6,FALSE)</f>
        <v>#N/A</v>
      </c>
      <c r="H138" s="378" t="e">
        <f>VLOOKUP(D138,base_datos,9,FALSE)</f>
        <v>#N/A</v>
      </c>
    </row>
    <row r="139" spans="2:8" hidden="1">
      <c r="B139"/>
      <c r="D139" s="377"/>
      <c r="E139" s="378"/>
      <c r="F139" s="379"/>
      <c r="G139" s="378"/>
      <c r="H139" s="378"/>
    </row>
    <row r="140" spans="2:8" hidden="1">
      <c r="B140"/>
      <c r="D140" s="377"/>
      <c r="E140" s="378"/>
      <c r="F140" s="379"/>
      <c r="G140" s="378"/>
      <c r="H140" s="378"/>
    </row>
    <row r="141" spans="2:8" hidden="1">
      <c r="B141"/>
      <c r="D141" s="377"/>
      <c r="E141" s="378"/>
      <c r="F141" s="379"/>
      <c r="G141" s="378"/>
      <c r="H141" s="378"/>
    </row>
    <row r="142" spans="2:8" hidden="1">
      <c r="B142"/>
      <c r="D142" s="377"/>
      <c r="E142" s="378"/>
      <c r="F142" s="379"/>
      <c r="G142" s="378"/>
      <c r="H142" s="378"/>
    </row>
    <row r="143" spans="2:8" hidden="1">
      <c r="B143"/>
      <c r="D143" s="377"/>
      <c r="E143" s="378"/>
      <c r="F143" s="379"/>
      <c r="G143" s="378"/>
      <c r="H143" s="378"/>
    </row>
    <row r="144" spans="2:8" hidden="1">
      <c r="B144"/>
      <c r="D144" s="377"/>
      <c r="E144" s="378"/>
      <c r="F144" s="379"/>
      <c r="G144" s="378"/>
      <c r="H144" s="378"/>
    </row>
    <row r="145" spans="2:8" hidden="1">
      <c r="B145"/>
      <c r="D145" s="377"/>
      <c r="E145" s="378"/>
      <c r="F145" s="379"/>
      <c r="G145" s="378"/>
      <c r="H145" s="378"/>
    </row>
    <row r="146" spans="2:8" hidden="1">
      <c r="B146"/>
      <c r="D146" s="377"/>
      <c r="E146" s="378"/>
      <c r="F146" s="379"/>
      <c r="G146" s="378"/>
      <c r="H146" s="378"/>
    </row>
    <row r="147" spans="2:8" hidden="1">
      <c r="B147"/>
      <c r="D147" s="377"/>
      <c r="E147" s="378"/>
      <c r="F147" s="379"/>
      <c r="G147" s="378"/>
      <c r="H147" s="378"/>
    </row>
    <row r="148" spans="2:8" hidden="1">
      <c r="B148"/>
      <c r="D148" s="377"/>
      <c r="E148" s="378"/>
      <c r="F148" s="379"/>
      <c r="G148" s="378"/>
      <c r="H148" s="378"/>
    </row>
    <row r="149" spans="2:8" hidden="1">
      <c r="B149"/>
      <c r="D149" s="377"/>
      <c r="E149" s="378"/>
      <c r="F149" s="379"/>
      <c r="G149" s="378"/>
      <c r="H149" s="378"/>
    </row>
    <row r="150" spans="2:8" hidden="1">
      <c r="B150"/>
      <c r="D150" s="377"/>
      <c r="E150" s="378"/>
      <c r="F150" s="379"/>
      <c r="G150" s="378"/>
      <c r="H150" s="378"/>
    </row>
    <row r="151" spans="2:8" hidden="1">
      <c r="B151"/>
      <c r="D151" s="377"/>
      <c r="E151" s="378"/>
      <c r="F151" s="379"/>
      <c r="G151" s="378"/>
      <c r="H151" s="378"/>
    </row>
    <row r="152" spans="2:8" hidden="1">
      <c r="B152"/>
      <c r="D152" s="377"/>
      <c r="E152" s="378"/>
      <c r="F152" s="379"/>
      <c r="G152" s="378"/>
      <c r="H152" s="378"/>
    </row>
    <row r="153" spans="2:8" hidden="1">
      <c r="B153"/>
      <c r="D153" s="377"/>
      <c r="E153" s="378"/>
      <c r="F153" s="379"/>
      <c r="G153" s="378"/>
      <c r="H153" s="378"/>
    </row>
    <row r="154" spans="2:8" hidden="1">
      <c r="B154"/>
      <c r="D154" s="377"/>
      <c r="E154" s="378"/>
      <c r="F154" s="379"/>
      <c r="G154" s="378"/>
      <c r="H154" s="378"/>
    </row>
    <row r="155" spans="2:8" hidden="1">
      <c r="B155"/>
      <c r="D155" s="377"/>
      <c r="E155" s="378"/>
      <c r="F155" s="379"/>
      <c r="G155" s="378"/>
      <c r="H155" s="378"/>
    </row>
    <row r="156" spans="2:8" hidden="1">
      <c r="B156"/>
      <c r="D156" s="377"/>
      <c r="E156" s="378"/>
      <c r="F156" s="379"/>
      <c r="G156" s="378"/>
      <c r="H156" s="378"/>
    </row>
    <row r="157" spans="2:8" hidden="1">
      <c r="B157"/>
      <c r="D157" s="377"/>
      <c r="E157" s="378"/>
      <c r="F157" s="379"/>
      <c r="G157" s="378"/>
      <c r="H157" s="378"/>
    </row>
    <row r="158" spans="2:8" hidden="1">
      <c r="B158"/>
      <c r="D158" s="377"/>
      <c r="E158" s="378"/>
      <c r="F158" s="379"/>
      <c r="G158" s="378"/>
      <c r="H158" s="378"/>
    </row>
    <row r="159" spans="2:8" hidden="1">
      <c r="B159"/>
      <c r="D159" s="377"/>
      <c r="E159" s="378"/>
      <c r="F159" s="379"/>
      <c r="G159" s="378"/>
      <c r="H159" s="378"/>
    </row>
    <row r="160" spans="2:8" hidden="1">
      <c r="B160"/>
      <c r="D160" s="377"/>
      <c r="E160" s="378"/>
      <c r="F160" s="379"/>
      <c r="G160" s="378"/>
      <c r="H160" s="378"/>
    </row>
    <row r="161" spans="2:8" hidden="1">
      <c r="B161"/>
      <c r="D161" s="377"/>
      <c r="E161" s="378"/>
      <c r="F161" s="379"/>
      <c r="G161" s="378"/>
      <c r="H161" s="378"/>
    </row>
    <row r="162" spans="2:8" hidden="1">
      <c r="B162"/>
      <c r="D162" s="377"/>
      <c r="E162" s="378"/>
      <c r="F162" s="379"/>
      <c r="G162" s="378"/>
      <c r="H162" s="378"/>
    </row>
    <row r="163" spans="2:8" hidden="1">
      <c r="B163"/>
      <c r="D163" s="377"/>
      <c r="E163" s="378"/>
      <c r="F163" s="379"/>
      <c r="G163" s="378"/>
      <c r="H163" s="378"/>
    </row>
    <row r="164" spans="2:8" hidden="1">
      <c r="B164"/>
      <c r="D164" s="377"/>
      <c r="E164" s="378"/>
      <c r="F164" s="379"/>
      <c r="G164" s="378"/>
      <c r="H164" s="378"/>
    </row>
    <row r="165" spans="2:8" hidden="1">
      <c r="B165"/>
      <c r="D165" s="377"/>
      <c r="E165" s="378"/>
      <c r="F165" s="379"/>
      <c r="G165" s="378"/>
      <c r="H165" s="378"/>
    </row>
    <row r="166" spans="2:8" hidden="1">
      <c r="B166"/>
      <c r="D166" s="377"/>
      <c r="E166" s="378"/>
      <c r="F166" s="379"/>
      <c r="G166" s="378"/>
      <c r="H166" s="378"/>
    </row>
    <row r="167" spans="2:8" hidden="1">
      <c r="B167"/>
      <c r="D167" s="377"/>
      <c r="E167" s="378"/>
      <c r="F167" s="379"/>
      <c r="G167" s="378"/>
      <c r="H167" s="378"/>
    </row>
    <row r="168" spans="2:8" hidden="1">
      <c r="B168"/>
      <c r="D168" s="377"/>
      <c r="E168" s="378"/>
      <c r="F168" s="379"/>
      <c r="G168" s="378"/>
      <c r="H168" s="378"/>
    </row>
    <row r="169" spans="2:8" hidden="1">
      <c r="B169"/>
      <c r="D169" s="377"/>
      <c r="E169" s="378"/>
      <c r="F169" s="379"/>
      <c r="G169" s="378"/>
      <c r="H169" s="378"/>
    </row>
    <row r="170" spans="2:8">
      <c r="B170"/>
      <c r="D170" s="377"/>
      <c r="E170" s="378"/>
      <c r="F170" s="379"/>
      <c r="G170" s="378"/>
      <c r="H170" s="378"/>
    </row>
    <row r="171" spans="2:8">
      <c r="B171"/>
    </row>
    <row r="172" spans="2:8">
      <c r="B172"/>
    </row>
    <row r="173" spans="2:8">
      <c r="B173"/>
    </row>
  </sheetData>
  <autoFilter ref="D2:H169" xr:uid="{00000000-0009-0000-0000-000002000000}">
    <filterColumn colId="4">
      <filters>
        <filter val="ABB"/>
      </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tabColor indexed="11"/>
  </sheetPr>
  <dimension ref="A1:EP853"/>
  <sheetViews>
    <sheetView zoomScale="85" zoomScaleNormal="85" workbookViewId="0">
      <pane ySplit="5" topLeftCell="A6" activePane="bottomLeft" state="frozen"/>
      <selection pane="bottomLeft" activeCell="P24" sqref="O24:P24"/>
    </sheetView>
  </sheetViews>
  <sheetFormatPr baseColWidth="10" defaultColWidth="11.44140625" defaultRowHeight="13.2"/>
  <cols>
    <col min="1" max="1" width="11.44140625" style="98"/>
    <col min="2" max="2" width="15.33203125" style="13" customWidth="1"/>
    <col min="3" max="3" width="17.109375" style="13" customWidth="1"/>
    <col min="4" max="5" width="18.88671875" style="13" customWidth="1"/>
    <col min="6" max="6" width="15.88671875" style="13" customWidth="1"/>
    <col min="7" max="8" width="14.5546875" style="13" customWidth="1"/>
    <col min="9" max="9" width="11.44140625" style="42"/>
    <col min="10" max="10" width="12.109375" style="42" customWidth="1"/>
    <col min="11" max="11" width="11" style="13" customWidth="1"/>
    <col min="12" max="12" width="11.44140625" style="42"/>
    <col min="13" max="146" width="11.44140625" style="98"/>
    <col min="147" max="16384" width="11.44140625" style="13"/>
  </cols>
  <sheetData>
    <row r="1" spans="1:146" s="98" customFormat="1" ht="21" customHeight="1" thickBot="1">
      <c r="C1" s="2543" t="s">
        <v>585</v>
      </c>
      <c r="D1" s="2544"/>
      <c r="E1" s="2544"/>
      <c r="F1" s="2544"/>
      <c r="G1" s="2544"/>
      <c r="H1" s="2544"/>
      <c r="I1" s="2544"/>
      <c r="J1" s="2544"/>
      <c r="K1" s="2545"/>
      <c r="L1" s="99"/>
    </row>
    <row r="2" spans="1:146" s="98" customFormat="1">
      <c r="I2" s="99"/>
      <c r="J2" s="99"/>
      <c r="L2" s="99"/>
    </row>
    <row r="3" spans="1:146" s="100" customFormat="1" ht="15.6">
      <c r="B3" s="2542" t="s">
        <v>573</v>
      </c>
      <c r="C3" s="2542"/>
      <c r="D3" s="2542"/>
      <c r="E3" s="2542"/>
      <c r="F3" s="2542"/>
      <c r="G3" s="2542"/>
      <c r="H3" s="2542"/>
      <c r="I3" s="2542"/>
      <c r="J3" s="574">
        <v>10</v>
      </c>
      <c r="K3" s="245"/>
      <c r="L3" s="239"/>
    </row>
    <row r="4" spans="1:146" s="100" customFormat="1" ht="15.6">
      <c r="B4" s="236" t="s">
        <v>576</v>
      </c>
      <c r="C4" s="235" t="s">
        <v>575</v>
      </c>
      <c r="D4" s="235"/>
      <c r="E4" s="235"/>
      <c r="F4" s="235"/>
      <c r="G4" s="236"/>
      <c r="H4" s="236"/>
      <c r="I4" s="246" t="s">
        <v>574</v>
      </c>
      <c r="J4" s="246" t="s">
        <v>313</v>
      </c>
      <c r="K4" s="236" t="s">
        <v>71</v>
      </c>
      <c r="L4" s="246" t="s">
        <v>55</v>
      </c>
    </row>
    <row r="5" spans="1:146" s="100" customFormat="1" ht="31.2">
      <c r="B5" s="250" t="s">
        <v>311</v>
      </c>
      <c r="C5" s="250" t="s">
        <v>1031</v>
      </c>
      <c r="D5" s="250" t="s">
        <v>1032</v>
      </c>
      <c r="E5" s="250" t="s">
        <v>1032</v>
      </c>
      <c r="F5" s="250" t="s">
        <v>1034</v>
      </c>
      <c r="G5" s="250" t="s">
        <v>1033</v>
      </c>
      <c r="H5" s="250" t="s">
        <v>1035</v>
      </c>
      <c r="I5" s="241" t="s">
        <v>56</v>
      </c>
      <c r="J5" s="241" t="s">
        <v>57</v>
      </c>
      <c r="K5" s="250" t="s">
        <v>76</v>
      </c>
      <c r="L5" s="241" t="s">
        <v>577</v>
      </c>
    </row>
    <row r="6" spans="1:146" s="80" customFormat="1" ht="13.8">
      <c r="A6" s="101"/>
      <c r="B6" s="248" t="s">
        <v>58</v>
      </c>
      <c r="C6" s="253">
        <v>108</v>
      </c>
      <c r="D6" s="253">
        <v>182</v>
      </c>
      <c r="E6" s="253">
        <v>216</v>
      </c>
      <c r="F6" s="255">
        <v>123</v>
      </c>
      <c r="G6" s="255">
        <v>202</v>
      </c>
      <c r="H6" s="255">
        <v>228</v>
      </c>
      <c r="I6" s="237">
        <v>0.21</v>
      </c>
      <c r="J6" s="237">
        <f t="shared" ref="J6:J23" si="0">BASE*I6</f>
        <v>2.1</v>
      </c>
      <c r="K6" s="248"/>
      <c r="L6" s="237"/>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101"/>
      <c r="AN6" s="101"/>
      <c r="AO6" s="101"/>
      <c r="AP6" s="101"/>
      <c r="AQ6" s="101"/>
      <c r="AR6" s="101"/>
      <c r="AS6" s="101"/>
      <c r="AT6" s="101"/>
      <c r="AU6" s="101"/>
      <c r="AV6" s="101"/>
      <c r="AW6" s="101"/>
      <c r="AX6" s="101"/>
      <c r="AY6" s="101"/>
      <c r="AZ6" s="101"/>
      <c r="BA6" s="101"/>
      <c r="BB6" s="101"/>
      <c r="BC6" s="101"/>
      <c r="BD6" s="101"/>
      <c r="BE6" s="101"/>
      <c r="BF6" s="101"/>
      <c r="BG6" s="101"/>
      <c r="BH6" s="101"/>
      <c r="BI6" s="101"/>
      <c r="BJ6" s="101"/>
      <c r="BK6" s="101"/>
      <c r="BL6" s="101"/>
      <c r="BM6" s="101"/>
      <c r="BN6" s="101"/>
      <c r="BO6" s="101"/>
      <c r="BP6" s="101"/>
      <c r="BQ6" s="101"/>
      <c r="BR6" s="101"/>
      <c r="BS6" s="101"/>
      <c r="BT6" s="101"/>
      <c r="BU6" s="101"/>
      <c r="BV6" s="101"/>
      <c r="BW6" s="101"/>
      <c r="BX6" s="101"/>
      <c r="BY6" s="101"/>
      <c r="BZ6" s="101"/>
      <c r="CA6" s="101"/>
      <c r="CB6" s="101"/>
      <c r="CC6" s="101"/>
      <c r="CD6" s="101"/>
      <c r="CE6" s="101"/>
      <c r="CF6" s="101"/>
      <c r="CG6" s="101"/>
      <c r="CH6" s="101"/>
      <c r="CI6" s="101"/>
      <c r="CJ6" s="101"/>
      <c r="CK6" s="101"/>
      <c r="CL6" s="101"/>
      <c r="CM6" s="101"/>
      <c r="CN6" s="101"/>
      <c r="CO6" s="101"/>
      <c r="CP6" s="101"/>
      <c r="CQ6" s="101"/>
      <c r="CR6" s="101"/>
      <c r="CS6" s="101"/>
      <c r="CT6" s="101"/>
      <c r="CU6" s="101"/>
      <c r="CV6" s="101"/>
      <c r="CW6" s="101"/>
      <c r="CX6" s="101"/>
      <c r="CY6" s="101"/>
      <c r="CZ6" s="101"/>
      <c r="DA6" s="101"/>
      <c r="DB6" s="101"/>
      <c r="DC6" s="101"/>
      <c r="DD6" s="101"/>
      <c r="DE6" s="101"/>
      <c r="DF6" s="101"/>
      <c r="DG6" s="101"/>
      <c r="DH6" s="101"/>
      <c r="DI6" s="101"/>
      <c r="DJ6" s="101"/>
      <c r="DK6" s="101"/>
      <c r="DL6" s="101"/>
      <c r="DM6" s="101"/>
      <c r="DN6" s="101"/>
      <c r="DO6" s="101"/>
      <c r="DP6" s="101"/>
      <c r="DQ6" s="101"/>
      <c r="DR6" s="101"/>
      <c r="DS6" s="101"/>
      <c r="DT6" s="101"/>
      <c r="DU6" s="101"/>
      <c r="DV6" s="101"/>
      <c r="DW6" s="101"/>
      <c r="DX6" s="101"/>
      <c r="DY6" s="101"/>
      <c r="DZ6" s="101"/>
      <c r="EA6" s="101"/>
      <c r="EB6" s="101"/>
      <c r="EC6" s="101"/>
      <c r="ED6" s="101"/>
      <c r="EE6" s="101"/>
      <c r="EF6" s="101"/>
      <c r="EG6" s="101"/>
      <c r="EH6" s="101"/>
      <c r="EI6" s="101"/>
      <c r="EJ6" s="101"/>
      <c r="EK6" s="101"/>
      <c r="EL6" s="101"/>
      <c r="EM6" s="101"/>
      <c r="EN6" s="101"/>
      <c r="EO6" s="101"/>
      <c r="EP6" s="101"/>
    </row>
    <row r="7" spans="1:146" s="80" customFormat="1" ht="13.8">
      <c r="A7" s="101"/>
      <c r="B7" s="248" t="s">
        <v>59</v>
      </c>
      <c r="C7" s="254">
        <v>162</v>
      </c>
      <c r="D7" s="254">
        <v>282</v>
      </c>
      <c r="E7" s="254">
        <v>361</v>
      </c>
      <c r="F7" s="256">
        <v>187</v>
      </c>
      <c r="G7" s="256">
        <v>316</v>
      </c>
      <c r="H7" s="256">
        <v>381</v>
      </c>
      <c r="I7" s="242">
        <v>0.4</v>
      </c>
      <c r="J7" s="237">
        <f t="shared" si="0"/>
        <v>4</v>
      </c>
      <c r="K7" s="249"/>
      <c r="L7" s="242"/>
      <c r="M7" s="101"/>
      <c r="N7" s="101"/>
      <c r="O7" s="101"/>
      <c r="P7" s="101"/>
      <c r="Q7" s="101"/>
      <c r="R7" s="101"/>
      <c r="S7" s="101"/>
      <c r="T7" s="101"/>
      <c r="U7" s="101"/>
      <c r="V7" s="101"/>
      <c r="W7" s="101"/>
      <c r="X7" s="101"/>
      <c r="Y7" s="101"/>
      <c r="Z7" s="101"/>
      <c r="AA7" s="101"/>
      <c r="AB7" s="101"/>
      <c r="AC7" s="101"/>
      <c r="AD7" s="101"/>
      <c r="AE7" s="101"/>
      <c r="AF7" s="101"/>
      <c r="AG7" s="101"/>
      <c r="AH7" s="101"/>
      <c r="AI7" s="101"/>
      <c r="AJ7" s="101"/>
      <c r="AK7" s="101"/>
      <c r="AL7" s="101"/>
      <c r="AM7" s="101"/>
      <c r="AN7" s="101"/>
      <c r="AO7" s="101"/>
      <c r="AP7" s="101"/>
      <c r="AQ7" s="101"/>
      <c r="AR7" s="101"/>
      <c r="AS7" s="101"/>
      <c r="AT7" s="101"/>
      <c r="AU7" s="101"/>
      <c r="AV7" s="101"/>
      <c r="AW7" s="101"/>
      <c r="AX7" s="101"/>
      <c r="AY7" s="101"/>
      <c r="AZ7" s="101"/>
      <c r="BA7" s="101"/>
      <c r="BB7" s="101"/>
      <c r="BC7" s="101"/>
      <c r="BD7" s="101"/>
      <c r="BE7" s="101"/>
      <c r="BF7" s="101"/>
      <c r="BG7" s="101"/>
      <c r="BH7" s="101"/>
      <c r="BI7" s="101"/>
      <c r="BJ7" s="101"/>
      <c r="BK7" s="101"/>
      <c r="BL7" s="101"/>
      <c r="BM7" s="101"/>
      <c r="BN7" s="101"/>
      <c r="BO7" s="101"/>
      <c r="BP7" s="101"/>
      <c r="BQ7" s="101"/>
      <c r="BR7" s="101"/>
      <c r="BS7" s="101"/>
      <c r="BT7" s="101"/>
      <c r="BU7" s="101"/>
      <c r="BV7" s="101"/>
      <c r="BW7" s="101"/>
      <c r="BX7" s="101"/>
      <c r="BY7" s="101"/>
      <c r="BZ7" s="101"/>
      <c r="CA7" s="101"/>
      <c r="CB7" s="101"/>
      <c r="CC7" s="101"/>
      <c r="CD7" s="101"/>
      <c r="CE7" s="101"/>
      <c r="CF7" s="101"/>
      <c r="CG7" s="101"/>
      <c r="CH7" s="101"/>
      <c r="CI7" s="101"/>
      <c r="CJ7" s="101"/>
      <c r="CK7" s="101"/>
      <c r="CL7" s="101"/>
      <c r="CM7" s="101"/>
      <c r="CN7" s="101"/>
      <c r="CO7" s="101"/>
      <c r="CP7" s="101"/>
      <c r="CQ7" s="101"/>
      <c r="CR7" s="101"/>
      <c r="CS7" s="101"/>
      <c r="CT7" s="101"/>
      <c r="CU7" s="101"/>
      <c r="CV7" s="101"/>
      <c r="CW7" s="101"/>
      <c r="CX7" s="101"/>
      <c r="CY7" s="101"/>
      <c r="CZ7" s="101"/>
      <c r="DA7" s="101"/>
      <c r="DB7" s="101"/>
      <c r="DC7" s="101"/>
      <c r="DD7" s="101"/>
      <c r="DE7" s="101"/>
      <c r="DF7" s="101"/>
      <c r="DG7" s="101"/>
      <c r="DH7" s="101"/>
      <c r="DI7" s="101"/>
      <c r="DJ7" s="101"/>
      <c r="DK7" s="101"/>
      <c r="DL7" s="101"/>
      <c r="DM7" s="101"/>
      <c r="DN7" s="101"/>
      <c r="DO7" s="101"/>
      <c r="DP7" s="101"/>
      <c r="DQ7" s="101"/>
      <c r="DR7" s="101"/>
      <c r="DS7" s="101"/>
      <c r="DT7" s="101"/>
      <c r="DU7" s="101"/>
      <c r="DV7" s="101"/>
      <c r="DW7" s="101"/>
      <c r="DX7" s="101"/>
      <c r="DY7" s="101"/>
      <c r="DZ7" s="101"/>
      <c r="EA7" s="101"/>
      <c r="EB7" s="101"/>
      <c r="EC7" s="101"/>
      <c r="ED7" s="101"/>
      <c r="EE7" s="101"/>
      <c r="EF7" s="101"/>
      <c r="EG7" s="101"/>
      <c r="EH7" s="101"/>
      <c r="EI7" s="101"/>
      <c r="EJ7" s="101"/>
      <c r="EK7" s="101"/>
      <c r="EL7" s="101"/>
      <c r="EM7" s="101"/>
      <c r="EN7" s="101"/>
      <c r="EO7" s="101"/>
      <c r="EP7" s="101"/>
    </row>
    <row r="8" spans="1:146" s="80" customFormat="1" ht="13.8">
      <c r="A8" s="101"/>
      <c r="B8" s="248" t="s">
        <v>60</v>
      </c>
      <c r="C8" s="254">
        <v>204</v>
      </c>
      <c r="D8" s="254">
        <v>348</v>
      </c>
      <c r="E8" s="254">
        <v>431</v>
      </c>
      <c r="F8" s="256">
        <v>237</v>
      </c>
      <c r="G8" s="256">
        <v>394</v>
      </c>
      <c r="H8" s="256">
        <v>454</v>
      </c>
      <c r="I8" s="242">
        <v>0.53</v>
      </c>
      <c r="J8" s="237">
        <f t="shared" si="0"/>
        <v>5.3000000000000007</v>
      </c>
      <c r="K8" s="249"/>
      <c r="L8" s="242"/>
      <c r="M8" s="101"/>
      <c r="N8" s="101"/>
      <c r="O8" s="101"/>
      <c r="P8" s="101"/>
      <c r="Q8" s="101"/>
      <c r="R8" s="101"/>
      <c r="S8" s="101"/>
      <c r="T8" s="101"/>
      <c r="U8" s="101"/>
      <c r="V8" s="101"/>
      <c r="W8" s="101"/>
      <c r="X8" s="101"/>
      <c r="Y8" s="101"/>
      <c r="Z8" s="101"/>
      <c r="AA8" s="101"/>
      <c r="AB8" s="101"/>
      <c r="AC8" s="101"/>
      <c r="AD8" s="101"/>
      <c r="AE8" s="101"/>
      <c r="AF8" s="101"/>
      <c r="AG8" s="101"/>
      <c r="AH8" s="101"/>
      <c r="AI8" s="101"/>
      <c r="AJ8" s="101"/>
      <c r="AK8" s="101"/>
      <c r="AL8" s="101"/>
      <c r="AM8" s="101"/>
      <c r="AN8" s="101"/>
      <c r="AO8" s="101"/>
      <c r="AP8" s="101"/>
      <c r="AQ8" s="101"/>
      <c r="AR8" s="101"/>
      <c r="AS8" s="101"/>
      <c r="AT8" s="101"/>
      <c r="AU8" s="101"/>
      <c r="AV8" s="101"/>
      <c r="AW8" s="101"/>
      <c r="AX8" s="101"/>
      <c r="AY8" s="101"/>
      <c r="AZ8" s="101"/>
      <c r="BA8" s="101"/>
      <c r="BB8" s="101"/>
      <c r="BC8" s="101"/>
      <c r="BD8" s="101"/>
      <c r="BE8" s="101"/>
      <c r="BF8" s="101"/>
      <c r="BG8" s="101"/>
      <c r="BH8" s="101"/>
      <c r="BI8" s="101"/>
      <c r="BJ8" s="101"/>
      <c r="BK8" s="101"/>
      <c r="BL8" s="101"/>
      <c r="BM8" s="101"/>
      <c r="BN8" s="101"/>
      <c r="BO8" s="101"/>
      <c r="BP8" s="101"/>
      <c r="BQ8" s="101"/>
      <c r="BR8" s="101"/>
      <c r="BS8" s="101"/>
      <c r="BT8" s="101"/>
      <c r="BU8" s="101"/>
      <c r="BV8" s="101"/>
      <c r="BW8" s="101"/>
      <c r="BX8" s="101"/>
      <c r="BY8" s="101"/>
      <c r="BZ8" s="101"/>
      <c r="CA8" s="101"/>
      <c r="CB8" s="101"/>
      <c r="CC8" s="101"/>
      <c r="CD8" s="101"/>
      <c r="CE8" s="101"/>
      <c r="CF8" s="101"/>
      <c r="CG8" s="101"/>
      <c r="CH8" s="101"/>
      <c r="CI8" s="101"/>
      <c r="CJ8" s="101"/>
      <c r="CK8" s="101"/>
      <c r="CL8" s="101"/>
      <c r="CM8" s="101"/>
      <c r="CN8" s="101"/>
      <c r="CO8" s="101"/>
      <c r="CP8" s="101"/>
      <c r="CQ8" s="101"/>
      <c r="CR8" s="101"/>
      <c r="CS8" s="101"/>
      <c r="CT8" s="101"/>
      <c r="CU8" s="101"/>
      <c r="CV8" s="101"/>
      <c r="CW8" s="101"/>
      <c r="CX8" s="101"/>
      <c r="CY8" s="101"/>
      <c r="CZ8" s="101"/>
      <c r="DA8" s="101"/>
      <c r="DB8" s="101"/>
      <c r="DC8" s="101"/>
      <c r="DD8" s="101"/>
      <c r="DE8" s="101"/>
      <c r="DF8" s="101"/>
      <c r="DG8" s="101"/>
      <c r="DH8" s="101"/>
      <c r="DI8" s="101"/>
      <c r="DJ8" s="101"/>
      <c r="DK8" s="101"/>
      <c r="DL8" s="101"/>
      <c r="DM8" s="101"/>
      <c r="DN8" s="101"/>
      <c r="DO8" s="101"/>
      <c r="DP8" s="101"/>
      <c r="DQ8" s="101"/>
      <c r="DR8" s="101"/>
      <c r="DS8" s="101"/>
      <c r="DT8" s="101"/>
      <c r="DU8" s="101"/>
      <c r="DV8" s="101"/>
      <c r="DW8" s="101"/>
      <c r="DX8" s="101"/>
      <c r="DY8" s="101"/>
      <c r="DZ8" s="101"/>
      <c r="EA8" s="101"/>
      <c r="EB8" s="101"/>
      <c r="EC8" s="101"/>
      <c r="ED8" s="101"/>
      <c r="EE8" s="101"/>
      <c r="EF8" s="101"/>
      <c r="EG8" s="101"/>
      <c r="EH8" s="101"/>
      <c r="EI8" s="101"/>
      <c r="EJ8" s="101"/>
      <c r="EK8" s="101"/>
      <c r="EL8" s="101"/>
      <c r="EM8" s="101"/>
      <c r="EN8" s="101"/>
      <c r="EO8" s="101"/>
      <c r="EP8" s="101"/>
    </row>
    <row r="9" spans="1:146" s="80" customFormat="1" ht="13.8">
      <c r="A9" s="101"/>
      <c r="B9" s="248" t="s">
        <v>61</v>
      </c>
      <c r="C9" s="254">
        <v>274</v>
      </c>
      <c r="D9" s="254">
        <v>500</v>
      </c>
      <c r="E9" s="254">
        <v>690</v>
      </c>
      <c r="F9" s="256">
        <v>319</v>
      </c>
      <c r="G9" s="256">
        <v>560</v>
      </c>
      <c r="H9" s="256">
        <v>728</v>
      </c>
      <c r="I9" s="242">
        <v>0.88</v>
      </c>
      <c r="J9" s="237">
        <f t="shared" si="0"/>
        <v>8.8000000000000007</v>
      </c>
      <c r="K9" s="249"/>
      <c r="L9" s="242"/>
      <c r="M9" s="101"/>
      <c r="N9" s="101"/>
      <c r="O9" s="101"/>
      <c r="P9" s="101"/>
      <c r="Q9" s="101"/>
      <c r="R9" s="101"/>
      <c r="S9" s="101"/>
      <c r="T9" s="101"/>
      <c r="U9" s="101"/>
      <c r="V9" s="101"/>
      <c r="W9" s="101"/>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101"/>
      <c r="BK9" s="101"/>
      <c r="BL9" s="101"/>
      <c r="BM9" s="101"/>
      <c r="BN9" s="101"/>
      <c r="BO9" s="101"/>
      <c r="BP9" s="101"/>
      <c r="BQ9" s="101"/>
      <c r="BR9" s="101"/>
      <c r="BS9" s="101"/>
      <c r="BT9" s="101"/>
      <c r="BU9" s="101"/>
      <c r="BV9" s="101"/>
      <c r="BW9" s="101"/>
      <c r="BX9" s="101"/>
      <c r="BY9" s="101"/>
      <c r="BZ9" s="101"/>
      <c r="CA9" s="101"/>
      <c r="CB9" s="101"/>
      <c r="CC9" s="101"/>
      <c r="CD9" s="101"/>
      <c r="CE9" s="101"/>
      <c r="CF9" s="101"/>
      <c r="CG9" s="101"/>
      <c r="CH9" s="101"/>
      <c r="CI9" s="101"/>
      <c r="CJ9" s="101"/>
      <c r="CK9" s="101"/>
      <c r="CL9" s="101"/>
      <c r="CM9" s="101"/>
      <c r="CN9" s="101"/>
      <c r="CO9" s="101"/>
      <c r="CP9" s="101"/>
      <c r="CQ9" s="101"/>
      <c r="CR9" s="101"/>
      <c r="CS9" s="101"/>
      <c r="CT9" s="101"/>
      <c r="CU9" s="101"/>
      <c r="CV9" s="101"/>
      <c r="CW9" s="101"/>
      <c r="CX9" s="101"/>
      <c r="CY9" s="101"/>
      <c r="CZ9" s="101"/>
      <c r="DA9" s="101"/>
      <c r="DB9" s="101"/>
      <c r="DC9" s="101"/>
      <c r="DD9" s="101"/>
      <c r="DE9" s="101"/>
      <c r="DF9" s="101"/>
      <c r="DG9" s="101"/>
      <c r="DH9" s="101"/>
      <c r="DI9" s="101"/>
      <c r="DJ9" s="101"/>
      <c r="DK9" s="101"/>
      <c r="DL9" s="101"/>
      <c r="DM9" s="101"/>
      <c r="DN9" s="101"/>
      <c r="DO9" s="101"/>
      <c r="DP9" s="101"/>
      <c r="DQ9" s="101"/>
      <c r="DR9" s="101"/>
      <c r="DS9" s="101"/>
      <c r="DT9" s="101"/>
      <c r="DU9" s="101"/>
      <c r="DV9" s="101"/>
      <c r="DW9" s="101"/>
      <c r="DX9" s="101"/>
      <c r="DY9" s="101"/>
      <c r="DZ9" s="101"/>
      <c r="EA9" s="101"/>
      <c r="EB9" s="101"/>
      <c r="EC9" s="101"/>
      <c r="ED9" s="101"/>
      <c r="EE9" s="101"/>
      <c r="EF9" s="101"/>
      <c r="EG9" s="101"/>
      <c r="EH9" s="101"/>
      <c r="EI9" s="101"/>
      <c r="EJ9" s="101"/>
      <c r="EK9" s="101"/>
      <c r="EL9" s="101"/>
      <c r="EM9" s="101"/>
      <c r="EN9" s="101"/>
      <c r="EO9" s="101"/>
      <c r="EP9" s="101"/>
    </row>
    <row r="10" spans="1:146" s="80" customFormat="1" ht="13.8">
      <c r="A10" s="101"/>
      <c r="B10" s="248" t="s">
        <v>62</v>
      </c>
      <c r="C10" s="254">
        <v>427</v>
      </c>
      <c r="D10" s="254">
        <v>825</v>
      </c>
      <c r="E10" s="254">
        <v>1180</v>
      </c>
      <c r="F10" s="256">
        <v>497</v>
      </c>
      <c r="G10" s="256">
        <v>924</v>
      </c>
      <c r="H10" s="256">
        <v>1320</v>
      </c>
      <c r="I10" s="242">
        <v>1.77</v>
      </c>
      <c r="J10" s="237">
        <f>BASE*I10</f>
        <v>17.7</v>
      </c>
      <c r="K10" s="249"/>
      <c r="L10" s="242"/>
      <c r="M10" s="101"/>
      <c r="N10" s="101"/>
      <c r="O10" s="101"/>
      <c r="P10" s="101"/>
      <c r="Q10" s="101"/>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01"/>
      <c r="BB10" s="101"/>
      <c r="BC10" s="101"/>
      <c r="BD10" s="101"/>
      <c r="BE10" s="101"/>
      <c r="BF10" s="101"/>
      <c r="BG10" s="101"/>
      <c r="BH10" s="101"/>
      <c r="BI10" s="101"/>
      <c r="BJ10" s="101"/>
      <c r="BK10" s="101"/>
      <c r="BL10" s="101"/>
      <c r="BM10" s="101"/>
      <c r="BN10" s="101"/>
      <c r="BO10" s="101"/>
      <c r="BP10" s="101"/>
      <c r="BQ10" s="101"/>
      <c r="BR10" s="101"/>
      <c r="BS10" s="101"/>
      <c r="BT10" s="101"/>
      <c r="BU10" s="101"/>
      <c r="BV10" s="101"/>
      <c r="BW10" s="101"/>
      <c r="BX10" s="101"/>
      <c r="BY10" s="101"/>
      <c r="BZ10" s="101"/>
      <c r="CA10" s="101"/>
      <c r="CB10" s="101"/>
      <c r="CC10" s="101"/>
      <c r="CD10" s="101"/>
      <c r="CE10" s="101"/>
      <c r="CF10" s="101"/>
      <c r="CG10" s="101"/>
      <c r="CH10" s="101"/>
      <c r="CI10" s="101"/>
      <c r="CJ10" s="101"/>
      <c r="CK10" s="101"/>
      <c r="CL10" s="101"/>
      <c r="CM10" s="101"/>
      <c r="CN10" s="101"/>
      <c r="CO10" s="101"/>
      <c r="CP10" s="101"/>
      <c r="CQ10" s="101"/>
      <c r="CR10" s="101"/>
      <c r="CS10" s="101"/>
      <c r="CT10" s="101"/>
      <c r="CU10" s="101"/>
      <c r="CV10" s="101"/>
      <c r="CW10" s="101"/>
      <c r="CX10" s="101"/>
      <c r="CY10" s="101"/>
      <c r="CZ10" s="101"/>
      <c r="DA10" s="101"/>
      <c r="DB10" s="101"/>
      <c r="DC10" s="101"/>
      <c r="DD10" s="101"/>
      <c r="DE10" s="101"/>
      <c r="DF10" s="101"/>
      <c r="DG10" s="101"/>
      <c r="DH10" s="101"/>
      <c r="DI10" s="101"/>
      <c r="DJ10" s="101"/>
      <c r="DK10" s="101"/>
      <c r="DL10" s="101"/>
      <c r="DM10" s="101"/>
      <c r="DN10" s="101"/>
      <c r="DO10" s="101"/>
      <c r="DP10" s="101"/>
      <c r="DQ10" s="101"/>
      <c r="DR10" s="101"/>
      <c r="DS10" s="101"/>
      <c r="DT10" s="101"/>
      <c r="DU10" s="101"/>
      <c r="DV10" s="101"/>
      <c r="DW10" s="101"/>
      <c r="DX10" s="101"/>
      <c r="DY10" s="101"/>
      <c r="DZ10" s="101"/>
      <c r="EA10" s="101"/>
      <c r="EB10" s="101"/>
      <c r="EC10" s="101"/>
      <c r="ED10" s="101"/>
      <c r="EE10" s="101"/>
      <c r="EF10" s="101"/>
      <c r="EG10" s="101"/>
      <c r="EH10" s="101"/>
      <c r="EI10" s="101"/>
      <c r="EJ10" s="101"/>
      <c r="EK10" s="101"/>
      <c r="EL10" s="101"/>
      <c r="EM10" s="101"/>
      <c r="EN10" s="101"/>
      <c r="EO10" s="101"/>
      <c r="EP10" s="101"/>
    </row>
    <row r="11" spans="1:146" s="80" customFormat="1" ht="13.8">
      <c r="A11" s="101"/>
      <c r="B11" s="248" t="s">
        <v>63</v>
      </c>
      <c r="C11" s="254">
        <v>327</v>
      </c>
      <c r="D11" s="254">
        <v>586</v>
      </c>
      <c r="E11" s="254">
        <v>795</v>
      </c>
      <c r="F11" s="256">
        <v>384</v>
      </c>
      <c r="G11" s="256">
        <v>662</v>
      </c>
      <c r="H11" s="256">
        <v>839</v>
      </c>
      <c r="I11" s="242">
        <v>1.1100000000000001</v>
      </c>
      <c r="J11" s="237">
        <f t="shared" si="0"/>
        <v>11.100000000000001</v>
      </c>
      <c r="K11" s="249" t="s">
        <v>64</v>
      </c>
      <c r="L11" s="242">
        <v>1.2</v>
      </c>
      <c r="M11" s="101"/>
      <c r="N11" s="101"/>
      <c r="O11" s="101"/>
      <c r="P11" s="101"/>
      <c r="Q11" s="101"/>
      <c r="R11" s="101"/>
      <c r="S11" s="101"/>
      <c r="T11" s="101"/>
      <c r="U11" s="101"/>
      <c r="V11" s="101"/>
      <c r="W11" s="101"/>
      <c r="X11" s="101"/>
      <c r="Y11" s="101"/>
      <c r="Z11" s="101"/>
      <c r="AA11" s="101"/>
      <c r="AB11" s="101"/>
      <c r="AC11" s="101"/>
      <c r="AD11" s="101"/>
      <c r="AE11" s="101"/>
      <c r="AF11" s="101"/>
      <c r="AG11" s="101"/>
      <c r="AH11" s="101"/>
      <c r="AI11" s="101"/>
      <c r="AJ11" s="101"/>
      <c r="AK11" s="101"/>
      <c r="AL11" s="101"/>
      <c r="AM11" s="101"/>
      <c r="AN11" s="101"/>
      <c r="AO11" s="101"/>
      <c r="AP11" s="101"/>
      <c r="AQ11" s="101"/>
      <c r="AR11" s="101"/>
      <c r="AS11" s="101"/>
      <c r="AT11" s="101"/>
      <c r="AU11" s="101"/>
      <c r="AV11" s="101"/>
      <c r="AW11" s="101"/>
      <c r="AX11" s="101"/>
      <c r="AY11" s="101"/>
      <c r="AZ11" s="101"/>
      <c r="BA11" s="101"/>
      <c r="BB11" s="101"/>
      <c r="BC11" s="101"/>
      <c r="BD11" s="101"/>
      <c r="BE11" s="101"/>
      <c r="BF11" s="101"/>
      <c r="BG11" s="101"/>
      <c r="BH11" s="101"/>
      <c r="BI11" s="101"/>
      <c r="BJ11" s="101"/>
      <c r="BK11" s="101"/>
      <c r="BL11" s="101"/>
      <c r="BM11" s="101"/>
      <c r="BN11" s="101"/>
      <c r="BO11" s="101"/>
      <c r="BP11" s="101"/>
      <c r="BQ11" s="101"/>
      <c r="BR11" s="101"/>
      <c r="BS11" s="101"/>
      <c r="BT11" s="101"/>
      <c r="BU11" s="101"/>
      <c r="BV11" s="101"/>
      <c r="BW11" s="101"/>
      <c r="BX11" s="101"/>
      <c r="BY11" s="101"/>
      <c r="BZ11" s="101"/>
      <c r="CA11" s="101"/>
      <c r="CB11" s="101"/>
      <c r="CC11" s="101"/>
      <c r="CD11" s="101"/>
      <c r="CE11" s="101"/>
      <c r="CF11" s="101"/>
      <c r="CG11" s="101"/>
      <c r="CH11" s="101"/>
      <c r="CI11" s="101"/>
      <c r="CJ11" s="101"/>
      <c r="CK11" s="101"/>
      <c r="CL11" s="101"/>
      <c r="CM11" s="101"/>
      <c r="CN11" s="101"/>
      <c r="CO11" s="101"/>
      <c r="CP11" s="101"/>
      <c r="CQ11" s="101"/>
      <c r="CR11" s="101"/>
      <c r="CS11" s="101"/>
      <c r="CT11" s="101"/>
      <c r="CU11" s="101"/>
      <c r="CV11" s="101"/>
      <c r="CW11" s="101"/>
      <c r="CX11" s="101"/>
      <c r="CY11" s="101"/>
      <c r="CZ11" s="101"/>
      <c r="DA11" s="101"/>
      <c r="DB11" s="101"/>
      <c r="DC11" s="101"/>
      <c r="DD11" s="101"/>
      <c r="DE11" s="101"/>
      <c r="DF11" s="101"/>
      <c r="DG11" s="101"/>
      <c r="DH11" s="101"/>
      <c r="DI11" s="101"/>
      <c r="DJ11" s="101"/>
      <c r="DK11" s="101"/>
      <c r="DL11" s="101"/>
      <c r="DM11" s="101"/>
      <c r="DN11" s="101"/>
      <c r="DO11" s="101"/>
      <c r="DP11" s="101"/>
      <c r="DQ11" s="101"/>
      <c r="DR11" s="101"/>
      <c r="DS11" s="101"/>
      <c r="DT11" s="101"/>
      <c r="DU11" s="101"/>
      <c r="DV11" s="101"/>
      <c r="DW11" s="101"/>
      <c r="DX11" s="101"/>
      <c r="DY11" s="101"/>
      <c r="DZ11" s="101"/>
      <c r="EA11" s="101"/>
      <c r="EB11" s="101"/>
      <c r="EC11" s="101"/>
      <c r="ED11" s="101"/>
      <c r="EE11" s="101"/>
      <c r="EF11" s="101"/>
      <c r="EG11" s="101"/>
      <c r="EH11" s="101"/>
      <c r="EI11" s="101"/>
      <c r="EJ11" s="101"/>
      <c r="EK11" s="101"/>
      <c r="EL11" s="101"/>
      <c r="EM11" s="101"/>
      <c r="EN11" s="101"/>
      <c r="EO11" s="101"/>
      <c r="EP11" s="101"/>
    </row>
    <row r="12" spans="1:146" s="80" customFormat="1" ht="13.8">
      <c r="A12" s="101"/>
      <c r="B12" s="248" t="s">
        <v>578</v>
      </c>
      <c r="C12" s="254"/>
      <c r="D12" s="254"/>
      <c r="E12" s="254"/>
      <c r="F12" s="256"/>
      <c r="G12" s="256"/>
      <c r="H12" s="256"/>
      <c r="I12" s="242">
        <v>2.2000000000000002</v>
      </c>
      <c r="J12" s="237">
        <f t="shared" si="0"/>
        <v>22</v>
      </c>
      <c r="K12" s="249" t="s">
        <v>64</v>
      </c>
      <c r="L12" s="242">
        <v>1.2</v>
      </c>
      <c r="M12" s="101"/>
      <c r="N12" s="101"/>
      <c r="O12" s="101"/>
      <c r="P12" s="101"/>
      <c r="Q12" s="101"/>
      <c r="R12" s="101"/>
      <c r="S12" s="101"/>
      <c r="T12" s="101"/>
      <c r="U12" s="101"/>
      <c r="V12" s="101"/>
      <c r="W12" s="101"/>
      <c r="X12" s="101"/>
      <c r="Y12" s="101"/>
      <c r="Z12" s="101"/>
      <c r="AA12" s="101"/>
      <c r="AB12" s="101"/>
      <c r="AC12" s="101"/>
      <c r="AD12" s="101"/>
      <c r="AE12" s="101"/>
      <c r="AF12" s="101"/>
      <c r="AG12" s="101"/>
      <c r="AH12" s="101"/>
      <c r="AI12" s="101"/>
      <c r="AJ12" s="101"/>
      <c r="AK12" s="101"/>
      <c r="AL12" s="101"/>
      <c r="AM12" s="101"/>
      <c r="AN12" s="101"/>
      <c r="AO12" s="101"/>
      <c r="AP12" s="101"/>
      <c r="AQ12" s="101"/>
      <c r="AR12" s="101"/>
      <c r="AS12" s="101"/>
      <c r="AT12" s="101"/>
      <c r="AU12" s="101"/>
      <c r="AV12" s="101"/>
      <c r="AW12" s="101"/>
      <c r="AX12" s="101"/>
      <c r="AY12" s="101"/>
      <c r="AZ12" s="101"/>
      <c r="BA12" s="101"/>
      <c r="BB12" s="101"/>
      <c r="BC12" s="101"/>
      <c r="BD12" s="101"/>
      <c r="BE12" s="101"/>
      <c r="BF12" s="101"/>
      <c r="BG12" s="101"/>
      <c r="BH12" s="101"/>
      <c r="BI12" s="101"/>
      <c r="BJ12" s="101"/>
      <c r="BK12" s="101"/>
      <c r="BL12" s="101"/>
      <c r="BM12" s="101"/>
      <c r="BN12" s="101"/>
      <c r="BO12" s="101"/>
      <c r="BP12" s="101"/>
      <c r="BQ12" s="101"/>
      <c r="BR12" s="101"/>
      <c r="BS12" s="101"/>
      <c r="BT12" s="101"/>
      <c r="BU12" s="101"/>
      <c r="BV12" s="101"/>
      <c r="BW12" s="101"/>
      <c r="BX12" s="101"/>
      <c r="BY12" s="101"/>
      <c r="BZ12" s="101"/>
      <c r="CA12" s="101"/>
      <c r="CB12" s="101"/>
      <c r="CC12" s="101"/>
      <c r="CD12" s="101"/>
      <c r="CE12" s="101"/>
      <c r="CF12" s="101"/>
      <c r="CG12" s="101"/>
      <c r="CH12" s="101"/>
      <c r="CI12" s="101"/>
      <c r="CJ12" s="101"/>
      <c r="CK12" s="101"/>
      <c r="CL12" s="101"/>
      <c r="CM12" s="101"/>
      <c r="CN12" s="101"/>
      <c r="CO12" s="101"/>
      <c r="CP12" s="101"/>
      <c r="CQ12" s="101"/>
      <c r="CR12" s="101"/>
      <c r="CS12" s="101"/>
      <c r="CT12" s="101"/>
      <c r="CU12" s="101"/>
      <c r="CV12" s="101"/>
      <c r="CW12" s="101"/>
      <c r="CX12" s="101"/>
      <c r="CY12" s="101"/>
      <c r="CZ12" s="101"/>
      <c r="DA12" s="101"/>
      <c r="DB12" s="101"/>
      <c r="DC12" s="101"/>
      <c r="DD12" s="101"/>
      <c r="DE12" s="101"/>
      <c r="DF12" s="101"/>
      <c r="DG12" s="101"/>
      <c r="DH12" s="101"/>
      <c r="DI12" s="101"/>
      <c r="DJ12" s="101"/>
      <c r="DK12" s="101"/>
      <c r="DL12" s="101"/>
      <c r="DM12" s="101"/>
      <c r="DN12" s="101"/>
      <c r="DO12" s="101"/>
      <c r="DP12" s="101"/>
      <c r="DQ12" s="101"/>
      <c r="DR12" s="101"/>
      <c r="DS12" s="101"/>
      <c r="DT12" s="101"/>
      <c r="DU12" s="101"/>
      <c r="DV12" s="101"/>
      <c r="DW12" s="101"/>
      <c r="DX12" s="101"/>
      <c r="DY12" s="101"/>
      <c r="DZ12" s="101"/>
      <c r="EA12" s="101"/>
      <c r="EB12" s="101"/>
      <c r="EC12" s="101"/>
      <c r="ED12" s="101"/>
      <c r="EE12" s="101"/>
      <c r="EF12" s="101"/>
      <c r="EG12" s="101"/>
      <c r="EH12" s="101"/>
      <c r="EI12" s="101"/>
      <c r="EJ12" s="101"/>
      <c r="EK12" s="101"/>
      <c r="EL12" s="101"/>
      <c r="EM12" s="101"/>
      <c r="EN12" s="101"/>
      <c r="EO12" s="101"/>
      <c r="EP12" s="101"/>
    </row>
    <row r="13" spans="1:146" s="80" customFormat="1" ht="13.8">
      <c r="A13" s="101"/>
      <c r="B13" s="248" t="s">
        <v>579</v>
      </c>
      <c r="C13" s="254">
        <v>379</v>
      </c>
      <c r="D13" s="254">
        <v>672</v>
      </c>
      <c r="E13" s="254">
        <v>896</v>
      </c>
      <c r="F13" s="256">
        <v>447</v>
      </c>
      <c r="G13" s="256">
        <v>760</v>
      </c>
      <c r="H13" s="256">
        <v>944</v>
      </c>
      <c r="I13" s="242">
        <v>1.33</v>
      </c>
      <c r="J13" s="237">
        <f t="shared" si="0"/>
        <v>13.3</v>
      </c>
      <c r="K13" s="249" t="s">
        <v>64</v>
      </c>
      <c r="L13" s="242">
        <v>1.2</v>
      </c>
      <c r="M13" s="101"/>
      <c r="N13" s="101"/>
      <c r="O13" s="101"/>
      <c r="P13" s="101"/>
      <c r="Q13" s="101"/>
      <c r="R13" s="101"/>
      <c r="S13" s="101"/>
      <c r="T13" s="101"/>
      <c r="U13" s="101"/>
      <c r="V13" s="101"/>
      <c r="W13" s="101"/>
      <c r="X13" s="101"/>
      <c r="Y13" s="101"/>
      <c r="Z13" s="101"/>
      <c r="AA13" s="101"/>
      <c r="AB13" s="101"/>
      <c r="AC13" s="101"/>
      <c r="AD13" s="101"/>
      <c r="AE13" s="101"/>
      <c r="AF13" s="101"/>
      <c r="AG13" s="101"/>
      <c r="AH13" s="101"/>
      <c r="AI13" s="101"/>
      <c r="AJ13" s="101"/>
      <c r="AK13" s="101"/>
      <c r="AL13" s="101"/>
      <c r="AM13" s="101"/>
      <c r="AN13" s="101"/>
      <c r="AO13" s="101"/>
      <c r="AP13" s="101"/>
      <c r="AQ13" s="101"/>
      <c r="AR13" s="101"/>
      <c r="AS13" s="101"/>
      <c r="AT13" s="101"/>
      <c r="AU13" s="101"/>
      <c r="AV13" s="101"/>
      <c r="AW13" s="101"/>
      <c r="AX13" s="101"/>
      <c r="AY13" s="101"/>
      <c r="AZ13" s="101"/>
      <c r="BA13" s="101"/>
      <c r="BB13" s="101"/>
      <c r="BC13" s="101"/>
      <c r="BD13" s="101"/>
      <c r="BE13" s="101"/>
      <c r="BF13" s="101"/>
      <c r="BG13" s="101"/>
      <c r="BH13" s="101"/>
      <c r="BI13" s="101"/>
      <c r="BJ13" s="101"/>
      <c r="BK13" s="101"/>
      <c r="BL13" s="101"/>
      <c r="BM13" s="101"/>
      <c r="BN13" s="101"/>
      <c r="BO13" s="101"/>
      <c r="BP13" s="101"/>
      <c r="BQ13" s="101"/>
      <c r="BR13" s="101"/>
      <c r="BS13" s="101"/>
      <c r="BT13" s="101"/>
      <c r="BU13" s="101"/>
      <c r="BV13" s="101"/>
      <c r="BW13" s="101"/>
      <c r="BX13" s="101"/>
      <c r="BY13" s="101"/>
      <c r="BZ13" s="101"/>
      <c r="CA13" s="101"/>
      <c r="CB13" s="101"/>
      <c r="CC13" s="101"/>
      <c r="CD13" s="101"/>
      <c r="CE13" s="101"/>
      <c r="CF13" s="101"/>
      <c r="CG13" s="101"/>
      <c r="CH13" s="101"/>
      <c r="CI13" s="101"/>
      <c r="CJ13" s="101"/>
      <c r="CK13" s="101"/>
      <c r="CL13" s="101"/>
      <c r="CM13" s="101"/>
      <c r="CN13" s="101"/>
      <c r="CO13" s="101"/>
      <c r="CP13" s="101"/>
      <c r="CQ13" s="101"/>
      <c r="CR13" s="101"/>
      <c r="CS13" s="101"/>
      <c r="CT13" s="101"/>
      <c r="CU13" s="101"/>
      <c r="CV13" s="101"/>
      <c r="CW13" s="101"/>
      <c r="CX13" s="101"/>
      <c r="CY13" s="101"/>
      <c r="CZ13" s="101"/>
      <c r="DA13" s="101"/>
      <c r="DB13" s="101"/>
      <c r="DC13" s="101"/>
      <c r="DD13" s="101"/>
      <c r="DE13" s="101"/>
      <c r="DF13" s="101"/>
      <c r="DG13" s="101"/>
      <c r="DH13" s="101"/>
      <c r="DI13" s="101"/>
      <c r="DJ13" s="101"/>
      <c r="DK13" s="101"/>
      <c r="DL13" s="101"/>
      <c r="DM13" s="101"/>
      <c r="DN13" s="101"/>
      <c r="DO13" s="101"/>
      <c r="DP13" s="101"/>
      <c r="DQ13" s="101"/>
      <c r="DR13" s="101"/>
      <c r="DS13" s="101"/>
      <c r="DT13" s="101"/>
      <c r="DU13" s="101"/>
      <c r="DV13" s="101"/>
      <c r="DW13" s="101"/>
      <c r="DX13" s="101"/>
      <c r="DY13" s="101"/>
      <c r="DZ13" s="101"/>
      <c r="EA13" s="101"/>
      <c r="EB13" s="101"/>
      <c r="EC13" s="101"/>
      <c r="ED13" s="101"/>
      <c r="EE13" s="101"/>
      <c r="EF13" s="101"/>
      <c r="EG13" s="101"/>
      <c r="EH13" s="101"/>
      <c r="EI13" s="101"/>
      <c r="EJ13" s="101"/>
      <c r="EK13" s="101"/>
      <c r="EL13" s="101"/>
      <c r="EM13" s="101"/>
      <c r="EN13" s="101"/>
      <c r="EO13" s="101"/>
      <c r="EP13" s="101"/>
    </row>
    <row r="14" spans="1:146" s="80" customFormat="1" ht="13.8">
      <c r="A14" s="101"/>
      <c r="B14" s="248" t="s">
        <v>314</v>
      </c>
      <c r="C14" s="254">
        <v>573</v>
      </c>
      <c r="D14" s="254">
        <v>1060</v>
      </c>
      <c r="E14" s="254">
        <v>1480</v>
      </c>
      <c r="F14" s="256">
        <v>676</v>
      </c>
      <c r="G14" s="256">
        <v>1200</v>
      </c>
      <c r="H14" s="256">
        <v>1670</v>
      </c>
      <c r="I14" s="242">
        <v>2.66</v>
      </c>
      <c r="J14" s="237">
        <f>BASE*I14</f>
        <v>26.6</v>
      </c>
      <c r="K14" s="249" t="s">
        <v>65</v>
      </c>
      <c r="L14" s="242">
        <v>1.9</v>
      </c>
      <c r="M14" s="101"/>
      <c r="N14" s="101"/>
      <c r="O14" s="101"/>
      <c r="P14" s="101"/>
      <c r="Q14" s="101"/>
      <c r="R14" s="101"/>
      <c r="S14" s="101"/>
      <c r="T14" s="101"/>
      <c r="U14" s="101"/>
      <c r="V14" s="101"/>
      <c r="W14" s="101"/>
      <c r="X14" s="101"/>
      <c r="Y14" s="101"/>
      <c r="Z14" s="101"/>
      <c r="AA14" s="101"/>
      <c r="AB14" s="101"/>
      <c r="AC14" s="101"/>
      <c r="AD14" s="101"/>
      <c r="AE14" s="101"/>
      <c r="AF14" s="101"/>
      <c r="AG14" s="101"/>
      <c r="AH14" s="101"/>
      <c r="AI14" s="101"/>
      <c r="AJ14" s="101"/>
      <c r="AK14" s="101"/>
      <c r="AL14" s="101"/>
      <c r="AM14" s="101"/>
      <c r="AN14" s="101"/>
      <c r="AO14" s="101"/>
      <c r="AP14" s="101"/>
      <c r="AQ14" s="101"/>
      <c r="AR14" s="101"/>
      <c r="AS14" s="101"/>
      <c r="AT14" s="101"/>
      <c r="AU14" s="101"/>
      <c r="AV14" s="101"/>
      <c r="AW14" s="101"/>
      <c r="AX14" s="101"/>
      <c r="AY14" s="101"/>
      <c r="AZ14" s="101"/>
      <c r="BA14" s="101"/>
      <c r="BB14" s="101"/>
      <c r="BC14" s="101"/>
      <c r="BD14" s="101"/>
      <c r="BE14" s="101"/>
      <c r="BF14" s="101"/>
      <c r="BG14" s="101"/>
      <c r="BH14" s="101"/>
      <c r="BI14" s="101"/>
      <c r="BJ14" s="101"/>
      <c r="BK14" s="101"/>
      <c r="BL14" s="101"/>
      <c r="BM14" s="101"/>
      <c r="BN14" s="101"/>
      <c r="BO14" s="101"/>
      <c r="BP14" s="101"/>
      <c r="BQ14" s="101"/>
      <c r="BR14" s="101"/>
      <c r="BS14" s="101"/>
      <c r="BT14" s="101"/>
      <c r="BU14" s="101"/>
      <c r="BV14" s="101"/>
      <c r="BW14" s="101"/>
      <c r="BX14" s="101"/>
      <c r="BY14" s="101"/>
      <c r="BZ14" s="101"/>
      <c r="CA14" s="101"/>
      <c r="CB14" s="101"/>
      <c r="CC14" s="101"/>
      <c r="CD14" s="101"/>
      <c r="CE14" s="101"/>
      <c r="CF14" s="101"/>
      <c r="CG14" s="101"/>
      <c r="CH14" s="101"/>
      <c r="CI14" s="101"/>
      <c r="CJ14" s="101"/>
      <c r="CK14" s="101"/>
      <c r="CL14" s="101"/>
      <c r="CM14" s="101"/>
      <c r="CN14" s="101"/>
      <c r="CO14" s="101"/>
      <c r="CP14" s="101"/>
      <c r="CQ14" s="101"/>
      <c r="CR14" s="101"/>
      <c r="CS14" s="101"/>
      <c r="CT14" s="101"/>
      <c r="CU14" s="101"/>
      <c r="CV14" s="101"/>
      <c r="CW14" s="101"/>
      <c r="CX14" s="101"/>
      <c r="CY14" s="101"/>
      <c r="CZ14" s="101"/>
      <c r="DA14" s="101"/>
      <c r="DB14" s="101"/>
      <c r="DC14" s="101"/>
      <c r="DD14" s="101"/>
      <c r="DE14" s="101"/>
      <c r="DF14" s="101"/>
      <c r="DG14" s="101"/>
      <c r="DH14" s="101"/>
      <c r="DI14" s="101"/>
      <c r="DJ14" s="101"/>
      <c r="DK14" s="101"/>
      <c r="DL14" s="101"/>
      <c r="DM14" s="101"/>
      <c r="DN14" s="101"/>
      <c r="DO14" s="101"/>
      <c r="DP14" s="101"/>
      <c r="DQ14" s="101"/>
      <c r="DR14" s="101"/>
      <c r="DS14" s="101"/>
      <c r="DT14" s="101"/>
      <c r="DU14" s="101"/>
      <c r="DV14" s="101"/>
      <c r="DW14" s="101"/>
      <c r="DX14" s="101"/>
      <c r="DY14" s="101"/>
      <c r="DZ14" s="101"/>
      <c r="EA14" s="101"/>
      <c r="EB14" s="101"/>
      <c r="EC14" s="101"/>
      <c r="ED14" s="101"/>
      <c r="EE14" s="101"/>
      <c r="EF14" s="101"/>
      <c r="EG14" s="101"/>
      <c r="EH14" s="101"/>
      <c r="EI14" s="101"/>
      <c r="EJ14" s="101"/>
      <c r="EK14" s="101"/>
      <c r="EL14" s="101"/>
      <c r="EM14" s="101"/>
      <c r="EN14" s="101"/>
      <c r="EO14" s="101"/>
      <c r="EP14" s="101"/>
    </row>
    <row r="15" spans="1:146" s="80" customFormat="1" ht="13.8">
      <c r="A15" s="101"/>
      <c r="B15" s="248" t="s">
        <v>580</v>
      </c>
      <c r="C15" s="254">
        <v>482</v>
      </c>
      <c r="D15" s="254">
        <v>836</v>
      </c>
      <c r="E15" s="254">
        <v>1090</v>
      </c>
      <c r="F15" s="256">
        <v>573</v>
      </c>
      <c r="G15" s="256">
        <v>952</v>
      </c>
      <c r="H15" s="256">
        <v>1140</v>
      </c>
      <c r="I15" s="242">
        <v>1.77</v>
      </c>
      <c r="J15" s="237">
        <f t="shared" si="0"/>
        <v>17.7</v>
      </c>
      <c r="K15" s="249" t="s">
        <v>65</v>
      </c>
      <c r="L15" s="242">
        <v>1.9</v>
      </c>
      <c r="M15" s="101"/>
      <c r="N15" s="101"/>
      <c r="O15" s="101"/>
      <c r="P15" s="2546"/>
      <c r="Q15" s="2546"/>
      <c r="R15" s="101"/>
      <c r="S15" s="101"/>
      <c r="T15" s="101"/>
      <c r="U15" s="101"/>
      <c r="V15" s="101"/>
      <c r="W15" s="101"/>
      <c r="X15" s="101"/>
      <c r="Y15" s="101"/>
      <c r="Z15" s="101"/>
      <c r="AA15" s="101"/>
      <c r="AB15" s="101"/>
      <c r="AC15" s="101"/>
      <c r="AD15" s="101"/>
      <c r="AE15" s="101"/>
      <c r="AF15" s="101"/>
      <c r="AG15" s="101"/>
      <c r="AH15" s="101"/>
      <c r="AI15" s="101"/>
      <c r="AJ15" s="101"/>
      <c r="AK15" s="101"/>
      <c r="AL15" s="101"/>
      <c r="AM15" s="101"/>
      <c r="AN15" s="101"/>
      <c r="AO15" s="101"/>
      <c r="AP15" s="101"/>
      <c r="AQ15" s="101"/>
      <c r="AR15" s="101"/>
      <c r="AS15" s="101"/>
      <c r="AT15" s="101"/>
      <c r="AU15" s="101"/>
      <c r="AV15" s="101"/>
      <c r="AW15" s="101"/>
      <c r="AX15" s="101"/>
      <c r="AY15" s="101"/>
      <c r="AZ15" s="101"/>
      <c r="BA15" s="101"/>
      <c r="BB15" s="101"/>
      <c r="BC15" s="101"/>
      <c r="BD15" s="101"/>
      <c r="BE15" s="101"/>
      <c r="BF15" s="101"/>
      <c r="BG15" s="101"/>
      <c r="BH15" s="101"/>
      <c r="BI15" s="101"/>
      <c r="BJ15" s="101"/>
      <c r="BK15" s="101"/>
      <c r="BL15" s="101"/>
      <c r="BM15" s="101"/>
      <c r="BN15" s="101"/>
      <c r="BO15" s="101"/>
      <c r="BP15" s="101"/>
      <c r="BQ15" s="101"/>
      <c r="BR15" s="101"/>
      <c r="BS15" s="101"/>
      <c r="BT15" s="101"/>
      <c r="BU15" s="101"/>
      <c r="BV15" s="101"/>
      <c r="BW15" s="101"/>
      <c r="BX15" s="101"/>
      <c r="BY15" s="101"/>
      <c r="BZ15" s="101"/>
      <c r="CA15" s="101"/>
      <c r="CB15" s="101"/>
      <c r="CC15" s="101"/>
      <c r="CD15" s="101"/>
      <c r="CE15" s="101"/>
      <c r="CF15" s="101"/>
      <c r="CG15" s="101"/>
      <c r="CH15" s="101"/>
      <c r="CI15" s="101"/>
      <c r="CJ15" s="101"/>
      <c r="CK15" s="101"/>
      <c r="CL15" s="101"/>
      <c r="CM15" s="101"/>
      <c r="CN15" s="101"/>
      <c r="CO15" s="101"/>
      <c r="CP15" s="101"/>
      <c r="CQ15" s="101"/>
      <c r="CR15" s="101"/>
      <c r="CS15" s="101"/>
      <c r="CT15" s="101"/>
      <c r="CU15" s="101"/>
      <c r="CV15" s="101"/>
      <c r="CW15" s="101"/>
      <c r="CX15" s="101"/>
      <c r="CY15" s="101"/>
      <c r="CZ15" s="101"/>
      <c r="DA15" s="101"/>
      <c r="DB15" s="101"/>
      <c r="DC15" s="101"/>
      <c r="DD15" s="101"/>
      <c r="DE15" s="101"/>
      <c r="DF15" s="101"/>
      <c r="DG15" s="101"/>
      <c r="DH15" s="101"/>
      <c r="DI15" s="101"/>
      <c r="DJ15" s="101"/>
      <c r="DK15" s="101"/>
      <c r="DL15" s="101"/>
      <c r="DM15" s="101"/>
      <c r="DN15" s="101"/>
      <c r="DO15" s="101"/>
      <c r="DP15" s="101"/>
      <c r="DQ15" s="101"/>
      <c r="DR15" s="101"/>
      <c r="DS15" s="101"/>
      <c r="DT15" s="101"/>
      <c r="DU15" s="101"/>
      <c r="DV15" s="101"/>
      <c r="DW15" s="101"/>
      <c r="DX15" s="101"/>
      <c r="DY15" s="101"/>
      <c r="DZ15" s="101"/>
      <c r="EA15" s="101"/>
      <c r="EB15" s="101"/>
      <c r="EC15" s="101"/>
      <c r="ED15" s="101"/>
      <c r="EE15" s="101"/>
      <c r="EF15" s="101"/>
      <c r="EG15" s="101"/>
      <c r="EH15" s="101"/>
      <c r="EI15" s="101"/>
      <c r="EJ15" s="101"/>
      <c r="EK15" s="101"/>
      <c r="EL15" s="101"/>
      <c r="EM15" s="101"/>
      <c r="EN15" s="101"/>
      <c r="EO15" s="101"/>
      <c r="EP15" s="101"/>
    </row>
    <row r="16" spans="1:146" s="80" customFormat="1" ht="13.8">
      <c r="A16" s="101"/>
      <c r="B16" s="248" t="s">
        <v>469</v>
      </c>
      <c r="C16" s="254">
        <v>715</v>
      </c>
      <c r="D16" s="254">
        <v>1290</v>
      </c>
      <c r="E16" s="254">
        <v>1770</v>
      </c>
      <c r="F16" s="256">
        <v>850</v>
      </c>
      <c r="G16" s="256">
        <v>1470</v>
      </c>
      <c r="H16" s="256">
        <v>2000</v>
      </c>
      <c r="I16" s="242">
        <v>3.56</v>
      </c>
      <c r="J16" s="237">
        <f t="shared" si="0"/>
        <v>35.6</v>
      </c>
      <c r="K16" s="249" t="s">
        <v>65</v>
      </c>
      <c r="L16" s="242">
        <v>1.9</v>
      </c>
      <c r="M16" s="101"/>
      <c r="N16" s="101"/>
      <c r="O16" s="101"/>
      <c r="P16" s="101"/>
      <c r="Q16" s="101"/>
      <c r="R16" s="101"/>
      <c r="S16" s="101"/>
      <c r="T16" s="101"/>
      <c r="U16" s="101"/>
      <c r="V16" s="101"/>
      <c r="W16" s="101"/>
      <c r="X16" s="101"/>
      <c r="Y16" s="101"/>
      <c r="Z16" s="101"/>
      <c r="AA16" s="101"/>
      <c r="AB16" s="101"/>
      <c r="AC16" s="101"/>
      <c r="AD16" s="101"/>
      <c r="AE16" s="101"/>
      <c r="AF16" s="101"/>
      <c r="AG16" s="101"/>
      <c r="AH16" s="101"/>
      <c r="AI16" s="101"/>
      <c r="AJ16" s="101"/>
      <c r="AK16" s="101"/>
      <c r="AL16" s="101"/>
      <c r="AM16" s="101"/>
      <c r="AN16" s="101"/>
      <c r="AO16" s="101"/>
      <c r="AP16" s="101"/>
      <c r="AQ16" s="101"/>
      <c r="AR16" s="101"/>
      <c r="AS16" s="101"/>
      <c r="AT16" s="101"/>
      <c r="AU16" s="101"/>
      <c r="AV16" s="101"/>
      <c r="AW16" s="101"/>
      <c r="AX16" s="101"/>
      <c r="AY16" s="101"/>
      <c r="AZ16" s="101"/>
      <c r="BA16" s="101"/>
      <c r="BB16" s="101"/>
      <c r="BC16" s="101"/>
      <c r="BD16" s="101"/>
      <c r="BE16" s="101"/>
      <c r="BF16" s="101"/>
      <c r="BG16" s="101"/>
      <c r="BH16" s="101"/>
      <c r="BI16" s="101"/>
      <c r="BJ16" s="101"/>
      <c r="BK16" s="101"/>
      <c r="BL16" s="101"/>
      <c r="BM16" s="101"/>
      <c r="BN16" s="101"/>
      <c r="BO16" s="101"/>
      <c r="BP16" s="101"/>
      <c r="BQ16" s="101"/>
      <c r="BR16" s="101"/>
      <c r="BS16" s="101"/>
      <c r="BT16" s="101"/>
      <c r="BU16" s="101"/>
      <c r="BV16" s="101"/>
      <c r="BW16" s="101"/>
      <c r="BX16" s="101"/>
      <c r="BY16" s="101"/>
      <c r="BZ16" s="101"/>
      <c r="CA16" s="101"/>
      <c r="CB16" s="101"/>
      <c r="CC16" s="101"/>
      <c r="CD16" s="101"/>
      <c r="CE16" s="101"/>
      <c r="CF16" s="101"/>
      <c r="CG16" s="101"/>
      <c r="CH16" s="101"/>
      <c r="CI16" s="101"/>
      <c r="CJ16" s="101"/>
      <c r="CK16" s="101"/>
      <c r="CL16" s="101"/>
      <c r="CM16" s="101"/>
      <c r="CN16" s="101"/>
      <c r="CO16" s="101"/>
      <c r="CP16" s="101"/>
      <c r="CQ16" s="101"/>
      <c r="CR16" s="101"/>
      <c r="CS16" s="101"/>
      <c r="CT16" s="101"/>
      <c r="CU16" s="101"/>
      <c r="CV16" s="101"/>
      <c r="CW16" s="101"/>
      <c r="CX16" s="101"/>
      <c r="CY16" s="101"/>
      <c r="CZ16" s="101"/>
      <c r="DA16" s="101"/>
      <c r="DB16" s="101"/>
      <c r="DC16" s="101"/>
      <c r="DD16" s="101"/>
      <c r="DE16" s="101"/>
      <c r="DF16" s="101"/>
      <c r="DG16" s="101"/>
      <c r="DH16" s="101"/>
      <c r="DI16" s="101"/>
      <c r="DJ16" s="101"/>
      <c r="DK16" s="101"/>
      <c r="DL16" s="101"/>
      <c r="DM16" s="101"/>
      <c r="DN16" s="101"/>
      <c r="DO16" s="101"/>
      <c r="DP16" s="101"/>
      <c r="DQ16" s="101"/>
      <c r="DR16" s="101"/>
      <c r="DS16" s="101"/>
      <c r="DT16" s="101"/>
      <c r="DU16" s="101"/>
      <c r="DV16" s="101"/>
      <c r="DW16" s="101"/>
      <c r="DX16" s="101"/>
      <c r="DY16" s="101"/>
      <c r="DZ16" s="101"/>
      <c r="EA16" s="101"/>
      <c r="EB16" s="101"/>
      <c r="EC16" s="101"/>
      <c r="ED16" s="101"/>
      <c r="EE16" s="101"/>
      <c r="EF16" s="101"/>
      <c r="EG16" s="101"/>
      <c r="EH16" s="101"/>
      <c r="EI16" s="101"/>
      <c r="EJ16" s="101"/>
      <c r="EK16" s="101"/>
      <c r="EL16" s="101"/>
      <c r="EM16" s="101"/>
      <c r="EN16" s="101"/>
      <c r="EO16" s="101"/>
      <c r="EP16" s="101"/>
    </row>
    <row r="17" spans="1:146" s="80" customFormat="1" ht="13.8">
      <c r="A17" s="101"/>
      <c r="B17" s="914" t="s">
        <v>3165</v>
      </c>
      <c r="C17" s="915">
        <v>583</v>
      </c>
      <c r="D17" s="915">
        <v>994</v>
      </c>
      <c r="E17" s="915">
        <v>1260</v>
      </c>
      <c r="F17" s="916">
        <v>697</v>
      </c>
      <c r="G17" s="916">
        <v>1140</v>
      </c>
      <c r="H17" s="916">
        <v>1330</v>
      </c>
      <c r="I17" s="917">
        <f>(50-40)*(1.77-1.33)/(40-30)+1.77</f>
        <v>2.21</v>
      </c>
      <c r="J17" s="918">
        <f>BASE*I17</f>
        <v>22.1</v>
      </c>
      <c r="K17" s="919" t="s">
        <v>65</v>
      </c>
      <c r="L17" s="917">
        <v>1.9</v>
      </c>
      <c r="M17" s="101"/>
      <c r="N17" s="101"/>
      <c r="O17" s="101"/>
      <c r="P17" s="101"/>
      <c r="Q17" s="101"/>
      <c r="R17" s="101"/>
      <c r="S17" s="101"/>
      <c r="T17" s="101"/>
      <c r="U17" s="101"/>
      <c r="V17" s="101"/>
      <c r="W17" s="101"/>
      <c r="X17" s="101"/>
      <c r="Y17" s="101"/>
      <c r="Z17" s="101"/>
      <c r="AA17" s="101"/>
      <c r="AB17" s="101"/>
      <c r="AC17" s="101"/>
      <c r="AD17" s="101"/>
      <c r="AE17" s="101"/>
      <c r="AF17" s="101"/>
      <c r="AG17" s="101"/>
      <c r="AH17" s="101"/>
      <c r="AI17" s="101"/>
      <c r="AJ17" s="101"/>
      <c r="AK17" s="101"/>
      <c r="AL17" s="101"/>
      <c r="AM17" s="101"/>
      <c r="AN17" s="101"/>
      <c r="AO17" s="101"/>
      <c r="AP17" s="101"/>
      <c r="AQ17" s="101"/>
      <c r="AR17" s="101"/>
      <c r="AS17" s="101"/>
      <c r="AT17" s="101"/>
      <c r="AU17" s="101"/>
      <c r="AV17" s="101"/>
      <c r="AW17" s="101"/>
      <c r="AX17" s="101"/>
      <c r="AY17" s="101"/>
      <c r="AZ17" s="101"/>
      <c r="BA17" s="101"/>
      <c r="BB17" s="101"/>
      <c r="BC17" s="101"/>
      <c r="BD17" s="101"/>
      <c r="BE17" s="101"/>
      <c r="BF17" s="101"/>
      <c r="BG17" s="101"/>
      <c r="BH17" s="101"/>
      <c r="BI17" s="101"/>
      <c r="BJ17" s="101"/>
      <c r="BK17" s="101"/>
      <c r="BL17" s="101"/>
      <c r="BM17" s="101"/>
      <c r="BN17" s="101"/>
      <c r="BO17" s="101"/>
      <c r="BP17" s="101"/>
      <c r="BQ17" s="101"/>
      <c r="BR17" s="101"/>
      <c r="BS17" s="101"/>
      <c r="BT17" s="101"/>
      <c r="BU17" s="101"/>
      <c r="BV17" s="101"/>
      <c r="BW17" s="101"/>
      <c r="BX17" s="101"/>
      <c r="BY17" s="101"/>
      <c r="BZ17" s="101"/>
      <c r="CA17" s="101"/>
      <c r="CB17" s="101"/>
      <c r="CC17" s="101"/>
      <c r="CD17" s="101"/>
      <c r="CE17" s="101"/>
      <c r="CF17" s="101"/>
      <c r="CG17" s="101"/>
      <c r="CH17" s="101"/>
      <c r="CI17" s="101"/>
      <c r="CJ17" s="101"/>
      <c r="CK17" s="101"/>
      <c r="CL17" s="101"/>
      <c r="CM17" s="101"/>
      <c r="CN17" s="101"/>
      <c r="CO17" s="101"/>
      <c r="CP17" s="101"/>
      <c r="CQ17" s="101"/>
      <c r="CR17" s="101"/>
      <c r="CS17" s="101"/>
      <c r="CT17" s="101"/>
      <c r="CU17" s="101"/>
      <c r="CV17" s="101"/>
      <c r="CW17" s="101"/>
      <c r="CX17" s="101"/>
      <c r="CY17" s="101"/>
      <c r="CZ17" s="101"/>
      <c r="DA17" s="101"/>
      <c r="DB17" s="101"/>
      <c r="DC17" s="101"/>
      <c r="DD17" s="101"/>
      <c r="DE17" s="101"/>
      <c r="DF17" s="101"/>
      <c r="DG17" s="101"/>
      <c r="DH17" s="101"/>
      <c r="DI17" s="101"/>
      <c r="DJ17" s="101"/>
      <c r="DK17" s="101"/>
      <c r="DL17" s="101"/>
      <c r="DM17" s="101"/>
      <c r="DN17" s="101"/>
      <c r="DO17" s="101"/>
      <c r="DP17" s="101"/>
      <c r="DQ17" s="101"/>
      <c r="DR17" s="101"/>
      <c r="DS17" s="101"/>
      <c r="DT17" s="101"/>
      <c r="DU17" s="101"/>
      <c r="DV17" s="101"/>
      <c r="DW17" s="101"/>
      <c r="DX17" s="101"/>
      <c r="DY17" s="101"/>
      <c r="DZ17" s="101"/>
      <c r="EA17" s="101"/>
      <c r="EB17" s="101"/>
      <c r="EC17" s="101"/>
      <c r="ED17" s="101"/>
      <c r="EE17" s="101"/>
      <c r="EF17" s="101"/>
      <c r="EG17" s="101"/>
      <c r="EH17" s="101"/>
      <c r="EI17" s="101"/>
      <c r="EJ17" s="101"/>
      <c r="EK17" s="101"/>
      <c r="EL17" s="101"/>
      <c r="EM17" s="101"/>
      <c r="EN17" s="101"/>
      <c r="EO17" s="101"/>
      <c r="EP17" s="101"/>
    </row>
    <row r="18" spans="1:146" s="80" customFormat="1" ht="13.8">
      <c r="A18" s="101"/>
      <c r="B18" s="248" t="s">
        <v>315</v>
      </c>
      <c r="C18" s="254">
        <v>852</v>
      </c>
      <c r="D18" s="254">
        <v>1510</v>
      </c>
      <c r="E18" s="254">
        <v>2040</v>
      </c>
      <c r="F18" s="256">
        <v>1020</v>
      </c>
      <c r="G18" s="256">
        <v>1720</v>
      </c>
      <c r="H18" s="256">
        <v>2320</v>
      </c>
      <c r="I18" s="242">
        <v>4.4400000000000004</v>
      </c>
      <c r="J18" s="237">
        <f t="shared" si="0"/>
        <v>44.400000000000006</v>
      </c>
      <c r="K18" s="249" t="s">
        <v>65</v>
      </c>
      <c r="L18" s="242">
        <v>1.9</v>
      </c>
      <c r="M18" s="101"/>
      <c r="N18" s="101"/>
      <c r="O18" s="101"/>
      <c r="P18" s="101"/>
      <c r="Q18" s="101"/>
      <c r="R18" s="101"/>
      <c r="S18" s="101"/>
      <c r="T18" s="101"/>
      <c r="U18" s="101"/>
      <c r="V18" s="101"/>
      <c r="W18" s="101"/>
      <c r="X18" s="101"/>
      <c r="Y18" s="101"/>
      <c r="Z18" s="101"/>
      <c r="AA18" s="101"/>
      <c r="AB18" s="101"/>
      <c r="AC18" s="101"/>
      <c r="AD18" s="101"/>
      <c r="AE18" s="101"/>
      <c r="AF18" s="101"/>
      <c r="AG18" s="101"/>
      <c r="AH18" s="101"/>
      <c r="AI18" s="101"/>
      <c r="AJ18" s="101"/>
      <c r="AK18" s="101"/>
      <c r="AL18" s="101"/>
      <c r="AM18" s="101"/>
      <c r="AN18" s="101"/>
      <c r="AO18" s="101"/>
      <c r="AP18" s="101"/>
      <c r="AQ18" s="101"/>
      <c r="AR18" s="101"/>
      <c r="AS18" s="101"/>
      <c r="AT18" s="101"/>
      <c r="AU18" s="101"/>
      <c r="AV18" s="101"/>
      <c r="AW18" s="101"/>
      <c r="AX18" s="101"/>
      <c r="AY18" s="101"/>
      <c r="AZ18" s="101"/>
      <c r="BA18" s="101"/>
      <c r="BB18" s="101"/>
      <c r="BC18" s="101"/>
      <c r="BD18" s="101"/>
      <c r="BE18" s="101"/>
      <c r="BF18" s="101"/>
      <c r="BG18" s="101"/>
      <c r="BH18" s="101"/>
      <c r="BI18" s="101"/>
      <c r="BJ18" s="101"/>
      <c r="BK18" s="101"/>
      <c r="BL18" s="101"/>
      <c r="BM18" s="101"/>
      <c r="BN18" s="101"/>
      <c r="BO18" s="101"/>
      <c r="BP18" s="101"/>
      <c r="BQ18" s="101"/>
      <c r="BR18" s="101"/>
      <c r="BS18" s="101"/>
      <c r="BT18" s="101"/>
      <c r="BU18" s="101"/>
      <c r="BV18" s="101"/>
      <c r="BW18" s="101"/>
      <c r="BX18" s="101"/>
      <c r="BY18" s="101"/>
      <c r="BZ18" s="101"/>
      <c r="CA18" s="101"/>
      <c r="CB18" s="101"/>
      <c r="CC18" s="101"/>
      <c r="CD18" s="101"/>
      <c r="CE18" s="101"/>
      <c r="CF18" s="101"/>
      <c r="CG18" s="101"/>
      <c r="CH18" s="101"/>
      <c r="CI18" s="101"/>
      <c r="CJ18" s="101"/>
      <c r="CK18" s="101"/>
      <c r="CL18" s="101"/>
      <c r="CM18" s="101"/>
      <c r="CN18" s="101"/>
      <c r="CO18" s="101"/>
      <c r="CP18" s="101"/>
      <c r="CQ18" s="101"/>
      <c r="CR18" s="101"/>
      <c r="CS18" s="101"/>
      <c r="CT18" s="101"/>
      <c r="CU18" s="101"/>
      <c r="CV18" s="101"/>
      <c r="CW18" s="101"/>
      <c r="CX18" s="101"/>
      <c r="CY18" s="101"/>
      <c r="CZ18" s="101"/>
      <c r="DA18" s="101"/>
      <c r="DB18" s="101"/>
      <c r="DC18" s="101"/>
      <c r="DD18" s="101"/>
      <c r="DE18" s="101"/>
      <c r="DF18" s="101"/>
      <c r="DG18" s="101"/>
      <c r="DH18" s="101"/>
      <c r="DI18" s="101"/>
      <c r="DJ18" s="101"/>
      <c r="DK18" s="101"/>
      <c r="DL18" s="101"/>
      <c r="DM18" s="101"/>
      <c r="DN18" s="101"/>
      <c r="DO18" s="101"/>
      <c r="DP18" s="101"/>
      <c r="DQ18" s="101"/>
      <c r="DR18" s="101"/>
      <c r="DS18" s="101"/>
      <c r="DT18" s="101"/>
      <c r="DU18" s="101"/>
      <c r="DV18" s="101"/>
      <c r="DW18" s="101"/>
      <c r="DX18" s="101"/>
      <c r="DY18" s="101"/>
      <c r="DZ18" s="101"/>
      <c r="EA18" s="101"/>
      <c r="EB18" s="101"/>
      <c r="EC18" s="101"/>
      <c r="ED18" s="101"/>
      <c r="EE18" s="101"/>
      <c r="EF18" s="101"/>
      <c r="EG18" s="101"/>
      <c r="EH18" s="101"/>
      <c r="EI18" s="101"/>
      <c r="EJ18" s="101"/>
      <c r="EK18" s="101"/>
      <c r="EL18" s="101"/>
      <c r="EM18" s="101"/>
      <c r="EN18" s="101"/>
      <c r="EO18" s="101"/>
      <c r="EP18" s="101"/>
    </row>
    <row r="19" spans="1:146" s="80" customFormat="1" ht="13.8">
      <c r="A19" s="101"/>
      <c r="B19" s="248" t="s">
        <v>581</v>
      </c>
      <c r="C19" s="254">
        <v>985</v>
      </c>
      <c r="D19" s="254">
        <v>1720</v>
      </c>
      <c r="E19" s="254">
        <v>2300</v>
      </c>
      <c r="F19" s="256">
        <v>1180</v>
      </c>
      <c r="G19" s="256">
        <v>1960</v>
      </c>
      <c r="H19" s="256">
        <v>2610</v>
      </c>
      <c r="I19" s="242">
        <v>5.33</v>
      </c>
      <c r="J19" s="237">
        <f t="shared" si="0"/>
        <v>53.3</v>
      </c>
      <c r="K19" s="249" t="s">
        <v>65</v>
      </c>
      <c r="L19" s="242">
        <v>1.9</v>
      </c>
      <c r="M19" s="101"/>
      <c r="N19" s="101"/>
      <c r="O19" s="101"/>
      <c r="P19" s="2546"/>
      <c r="Q19" s="2546"/>
      <c r="R19" s="101"/>
      <c r="S19" s="101"/>
      <c r="T19" s="101"/>
      <c r="U19" s="101"/>
      <c r="V19" s="101"/>
      <c r="W19" s="101"/>
      <c r="X19" s="101"/>
      <c r="Y19" s="101"/>
      <c r="Z19" s="101"/>
      <c r="AA19" s="101"/>
      <c r="AB19" s="101"/>
      <c r="AC19" s="101"/>
      <c r="AD19" s="101"/>
      <c r="AE19" s="101"/>
      <c r="AF19" s="101"/>
      <c r="AG19" s="101"/>
      <c r="AH19" s="101"/>
      <c r="AI19" s="101"/>
      <c r="AJ19" s="101"/>
      <c r="AK19" s="101"/>
      <c r="AL19" s="101"/>
      <c r="AM19" s="101"/>
      <c r="AN19" s="101"/>
      <c r="AO19" s="101"/>
      <c r="AP19" s="101"/>
      <c r="AQ19" s="101"/>
      <c r="AR19" s="101"/>
      <c r="AS19" s="101"/>
      <c r="AT19" s="101"/>
      <c r="AU19" s="101"/>
      <c r="AV19" s="101"/>
      <c r="AW19" s="101"/>
      <c r="AX19" s="101"/>
      <c r="AY19" s="101"/>
      <c r="AZ19" s="101"/>
      <c r="BA19" s="101"/>
      <c r="BB19" s="101"/>
      <c r="BC19" s="101"/>
      <c r="BD19" s="101"/>
      <c r="BE19" s="101"/>
      <c r="BF19" s="101"/>
      <c r="BG19" s="101"/>
      <c r="BH19" s="101"/>
      <c r="BI19" s="101"/>
      <c r="BJ19" s="101"/>
      <c r="BK19" s="101"/>
      <c r="BL19" s="101"/>
      <c r="BM19" s="101"/>
      <c r="BN19" s="101"/>
      <c r="BO19" s="101"/>
      <c r="BP19" s="101"/>
      <c r="BQ19" s="101"/>
      <c r="BR19" s="101"/>
      <c r="BS19" s="101"/>
      <c r="BT19" s="101"/>
      <c r="BU19" s="101"/>
      <c r="BV19" s="101"/>
      <c r="BW19" s="101"/>
      <c r="BX19" s="101"/>
      <c r="BY19" s="101"/>
      <c r="BZ19" s="101"/>
      <c r="CA19" s="101"/>
      <c r="CB19" s="101"/>
      <c r="CC19" s="101"/>
      <c r="CD19" s="101"/>
      <c r="CE19" s="101"/>
      <c r="CF19" s="101"/>
      <c r="CG19" s="101"/>
      <c r="CH19" s="101"/>
      <c r="CI19" s="101"/>
      <c r="CJ19" s="101"/>
      <c r="CK19" s="101"/>
      <c r="CL19" s="101"/>
      <c r="CM19" s="101"/>
      <c r="CN19" s="101"/>
      <c r="CO19" s="101"/>
      <c r="CP19" s="101"/>
      <c r="CQ19" s="101"/>
      <c r="CR19" s="101"/>
      <c r="CS19" s="101"/>
      <c r="CT19" s="101"/>
      <c r="CU19" s="101"/>
      <c r="CV19" s="101"/>
      <c r="CW19" s="101"/>
      <c r="CX19" s="101"/>
      <c r="CY19" s="101"/>
      <c r="CZ19" s="101"/>
      <c r="DA19" s="101"/>
      <c r="DB19" s="101"/>
      <c r="DC19" s="101"/>
      <c r="DD19" s="101"/>
      <c r="DE19" s="101"/>
      <c r="DF19" s="101"/>
      <c r="DG19" s="101"/>
      <c r="DH19" s="101"/>
      <c r="DI19" s="101"/>
      <c r="DJ19" s="101"/>
      <c r="DK19" s="101"/>
      <c r="DL19" s="101"/>
      <c r="DM19" s="101"/>
      <c r="DN19" s="101"/>
      <c r="DO19" s="101"/>
      <c r="DP19" s="101"/>
      <c r="DQ19" s="101"/>
      <c r="DR19" s="101"/>
      <c r="DS19" s="101"/>
      <c r="DT19" s="101"/>
      <c r="DU19" s="101"/>
      <c r="DV19" s="101"/>
      <c r="DW19" s="101"/>
      <c r="DX19" s="101"/>
      <c r="DY19" s="101"/>
      <c r="DZ19" s="101"/>
      <c r="EA19" s="101"/>
      <c r="EB19" s="101"/>
      <c r="EC19" s="101"/>
      <c r="ED19" s="101"/>
      <c r="EE19" s="101"/>
      <c r="EF19" s="101"/>
      <c r="EG19" s="101"/>
      <c r="EH19" s="101"/>
      <c r="EI19" s="101"/>
      <c r="EJ19" s="101"/>
      <c r="EK19" s="101"/>
      <c r="EL19" s="101"/>
      <c r="EM19" s="101"/>
      <c r="EN19" s="101"/>
      <c r="EO19" s="101"/>
      <c r="EP19" s="101"/>
    </row>
    <row r="20" spans="1:146" s="80" customFormat="1" ht="13.8">
      <c r="A20" s="101"/>
      <c r="B20" s="248" t="s">
        <v>582</v>
      </c>
      <c r="C20" s="254">
        <v>1240</v>
      </c>
      <c r="D20" s="254">
        <v>2110</v>
      </c>
      <c r="E20" s="254">
        <v>2790</v>
      </c>
      <c r="F20" s="256">
        <v>1500</v>
      </c>
      <c r="G20" s="256">
        <v>2410</v>
      </c>
      <c r="H20" s="256">
        <v>3170</v>
      </c>
      <c r="I20" s="242">
        <v>7.11</v>
      </c>
      <c r="J20" s="237">
        <f t="shared" si="0"/>
        <v>71.100000000000009</v>
      </c>
      <c r="K20" s="249" t="s">
        <v>66</v>
      </c>
      <c r="L20" s="242">
        <v>2.7</v>
      </c>
      <c r="M20" s="101"/>
      <c r="N20" s="101"/>
      <c r="O20" s="101"/>
      <c r="P20" s="101"/>
      <c r="Q20" s="101"/>
      <c r="R20" s="101"/>
      <c r="S20" s="101"/>
      <c r="T20" s="101"/>
      <c r="U20" s="101"/>
      <c r="V20" s="101"/>
      <c r="W20" s="101"/>
      <c r="X20" s="101"/>
      <c r="Y20" s="101"/>
      <c r="Z20" s="101"/>
      <c r="AA20" s="101"/>
      <c r="AB20" s="101"/>
      <c r="AC20" s="101"/>
      <c r="AD20" s="101"/>
      <c r="AE20" s="101"/>
      <c r="AF20" s="101"/>
      <c r="AG20" s="101"/>
      <c r="AH20" s="101"/>
      <c r="AI20" s="101"/>
      <c r="AJ20" s="101"/>
      <c r="AK20" s="101"/>
      <c r="AL20" s="101"/>
      <c r="AM20" s="101"/>
      <c r="AN20" s="101"/>
      <c r="AO20" s="101"/>
      <c r="AP20" s="101"/>
      <c r="AQ20" s="101"/>
      <c r="AR20" s="101"/>
      <c r="AS20" s="101"/>
      <c r="AT20" s="101"/>
      <c r="AU20" s="101"/>
      <c r="AV20" s="101"/>
      <c r="AW20" s="101"/>
      <c r="AX20" s="101"/>
      <c r="AY20" s="101"/>
      <c r="AZ20" s="101"/>
      <c r="BA20" s="101"/>
      <c r="BB20" s="101"/>
      <c r="BC20" s="101"/>
      <c r="BD20" s="101"/>
      <c r="BE20" s="101"/>
      <c r="BF20" s="101"/>
      <c r="BG20" s="101"/>
      <c r="BH20" s="101"/>
      <c r="BI20" s="101"/>
      <c r="BJ20" s="101"/>
      <c r="BK20" s="101"/>
      <c r="BL20" s="101"/>
      <c r="BM20" s="101"/>
      <c r="BN20" s="101"/>
      <c r="BO20" s="101"/>
      <c r="BP20" s="101"/>
      <c r="BQ20" s="101"/>
      <c r="BR20" s="101"/>
      <c r="BS20" s="101"/>
      <c r="BT20" s="101"/>
      <c r="BU20" s="101"/>
      <c r="BV20" s="101"/>
      <c r="BW20" s="101"/>
      <c r="BX20" s="101"/>
      <c r="BY20" s="101"/>
      <c r="BZ20" s="101"/>
      <c r="CA20" s="101"/>
      <c r="CB20" s="101"/>
      <c r="CC20" s="101"/>
      <c r="CD20" s="101"/>
      <c r="CE20" s="101"/>
      <c r="CF20" s="101"/>
      <c r="CG20" s="101"/>
      <c r="CH20" s="101"/>
      <c r="CI20" s="101"/>
      <c r="CJ20" s="101"/>
      <c r="CK20" s="101"/>
      <c r="CL20" s="101"/>
      <c r="CM20" s="101"/>
      <c r="CN20" s="101"/>
      <c r="CO20" s="101"/>
      <c r="CP20" s="101"/>
      <c r="CQ20" s="101"/>
      <c r="CR20" s="101"/>
      <c r="CS20" s="101"/>
      <c r="CT20" s="101"/>
      <c r="CU20" s="101"/>
      <c r="CV20" s="101"/>
      <c r="CW20" s="101"/>
      <c r="CX20" s="101"/>
      <c r="CY20" s="101"/>
      <c r="CZ20" s="101"/>
      <c r="DA20" s="101"/>
      <c r="DB20" s="101"/>
      <c r="DC20" s="101"/>
      <c r="DD20" s="101"/>
      <c r="DE20" s="101"/>
      <c r="DF20" s="101"/>
      <c r="DG20" s="101"/>
      <c r="DH20" s="101"/>
      <c r="DI20" s="101"/>
      <c r="DJ20" s="101"/>
      <c r="DK20" s="101"/>
      <c r="DL20" s="101"/>
      <c r="DM20" s="101"/>
      <c r="DN20" s="101"/>
      <c r="DO20" s="101"/>
      <c r="DP20" s="101"/>
      <c r="DQ20" s="101"/>
      <c r="DR20" s="101"/>
      <c r="DS20" s="101"/>
      <c r="DT20" s="101"/>
      <c r="DU20" s="101"/>
      <c r="DV20" s="101"/>
      <c r="DW20" s="101"/>
      <c r="DX20" s="101"/>
      <c r="DY20" s="101"/>
      <c r="DZ20" s="101"/>
      <c r="EA20" s="101"/>
      <c r="EB20" s="101"/>
      <c r="EC20" s="101"/>
      <c r="ED20" s="101"/>
      <c r="EE20" s="101"/>
      <c r="EF20" s="101"/>
      <c r="EG20" s="101"/>
      <c r="EH20" s="101"/>
      <c r="EI20" s="101"/>
      <c r="EJ20" s="101"/>
      <c r="EK20" s="101"/>
      <c r="EL20" s="101"/>
      <c r="EM20" s="101"/>
      <c r="EN20" s="101"/>
      <c r="EO20" s="101"/>
      <c r="EP20" s="101"/>
    </row>
    <row r="21" spans="1:146" s="80" customFormat="1" ht="13.8">
      <c r="A21" s="101"/>
      <c r="B21" s="248" t="s">
        <v>468</v>
      </c>
      <c r="C21" s="254">
        <v>1490</v>
      </c>
      <c r="D21" s="254">
        <v>2480</v>
      </c>
      <c r="E21" s="254">
        <v>3260</v>
      </c>
      <c r="F21" s="256">
        <v>1810</v>
      </c>
      <c r="G21" s="256">
        <v>2850</v>
      </c>
      <c r="H21" s="256">
        <v>3720</v>
      </c>
      <c r="I21" s="242">
        <v>8.89</v>
      </c>
      <c r="J21" s="237">
        <f t="shared" si="0"/>
        <v>88.9</v>
      </c>
      <c r="K21" s="249" t="s">
        <v>67</v>
      </c>
      <c r="L21" s="242">
        <v>5.5</v>
      </c>
      <c r="M21" s="101"/>
      <c r="N21" s="101"/>
      <c r="O21" s="101"/>
      <c r="P21" s="101"/>
      <c r="Q21" s="101"/>
      <c r="R21" s="101"/>
      <c r="S21" s="101"/>
      <c r="T21" s="101"/>
      <c r="U21" s="101"/>
      <c r="V21" s="101"/>
      <c r="W21" s="101"/>
      <c r="X21" s="101"/>
      <c r="Y21" s="101"/>
      <c r="Z21" s="101"/>
      <c r="AA21" s="101"/>
      <c r="AB21" s="101"/>
      <c r="AC21" s="101"/>
      <c r="AD21" s="101"/>
      <c r="AE21" s="101"/>
      <c r="AF21" s="101"/>
      <c r="AG21" s="101"/>
      <c r="AH21" s="101"/>
      <c r="AI21" s="101"/>
      <c r="AJ21" s="101"/>
      <c r="AK21" s="101"/>
      <c r="AL21" s="101"/>
      <c r="AM21" s="101"/>
      <c r="AN21" s="101"/>
      <c r="AO21" s="101"/>
      <c r="AP21" s="101"/>
      <c r="AQ21" s="101"/>
      <c r="AR21" s="101"/>
      <c r="AS21" s="101"/>
      <c r="AT21" s="101"/>
      <c r="AU21" s="101"/>
      <c r="AV21" s="101"/>
      <c r="AW21" s="101"/>
      <c r="AX21" s="101"/>
      <c r="AY21" s="101"/>
      <c r="AZ21" s="101"/>
      <c r="BA21" s="101"/>
      <c r="BB21" s="101"/>
      <c r="BC21" s="101"/>
      <c r="BD21" s="101"/>
      <c r="BE21" s="101"/>
      <c r="BF21" s="101"/>
      <c r="BG21" s="101"/>
      <c r="BH21" s="101"/>
      <c r="BI21" s="101"/>
      <c r="BJ21" s="101"/>
      <c r="BK21" s="101"/>
      <c r="BL21" s="101"/>
      <c r="BM21" s="101"/>
      <c r="BN21" s="101"/>
      <c r="BO21" s="101"/>
      <c r="BP21" s="101"/>
      <c r="BQ21" s="101"/>
      <c r="BR21" s="101"/>
      <c r="BS21" s="101"/>
      <c r="BT21" s="101"/>
      <c r="BU21" s="101"/>
      <c r="BV21" s="101"/>
      <c r="BW21" s="101"/>
      <c r="BX21" s="101"/>
      <c r="BY21" s="101"/>
      <c r="BZ21" s="101"/>
      <c r="CA21" s="101"/>
      <c r="CB21" s="101"/>
      <c r="CC21" s="101"/>
      <c r="CD21" s="101"/>
      <c r="CE21" s="101"/>
      <c r="CF21" s="101"/>
      <c r="CG21" s="101"/>
      <c r="CH21" s="101"/>
      <c r="CI21" s="101"/>
      <c r="CJ21" s="101"/>
      <c r="CK21" s="101"/>
      <c r="CL21" s="101"/>
      <c r="CM21" s="101"/>
      <c r="CN21" s="101"/>
      <c r="CO21" s="101"/>
      <c r="CP21" s="101"/>
      <c r="CQ21" s="101"/>
      <c r="CR21" s="101"/>
      <c r="CS21" s="101"/>
      <c r="CT21" s="101"/>
      <c r="CU21" s="101"/>
      <c r="CV21" s="101"/>
      <c r="CW21" s="101"/>
      <c r="CX21" s="101"/>
      <c r="CY21" s="101"/>
      <c r="CZ21" s="101"/>
      <c r="DA21" s="101"/>
      <c r="DB21" s="101"/>
      <c r="DC21" s="101"/>
      <c r="DD21" s="101"/>
      <c r="DE21" s="101"/>
      <c r="DF21" s="101"/>
      <c r="DG21" s="101"/>
      <c r="DH21" s="101"/>
      <c r="DI21" s="101"/>
      <c r="DJ21" s="101"/>
      <c r="DK21" s="101"/>
      <c r="DL21" s="101"/>
      <c r="DM21" s="101"/>
      <c r="DN21" s="101"/>
      <c r="DO21" s="101"/>
      <c r="DP21" s="101"/>
      <c r="DQ21" s="101"/>
      <c r="DR21" s="101"/>
      <c r="DS21" s="101"/>
      <c r="DT21" s="101"/>
      <c r="DU21" s="101"/>
      <c r="DV21" s="101"/>
      <c r="DW21" s="101"/>
      <c r="DX21" s="101"/>
      <c r="DY21" s="101"/>
      <c r="DZ21" s="101"/>
      <c r="EA21" s="101"/>
      <c r="EB21" s="101"/>
      <c r="EC21" s="101"/>
      <c r="ED21" s="101"/>
      <c r="EE21" s="101"/>
      <c r="EF21" s="101"/>
      <c r="EG21" s="101"/>
      <c r="EH21" s="101"/>
      <c r="EI21" s="101"/>
      <c r="EJ21" s="101"/>
      <c r="EK21" s="101"/>
      <c r="EL21" s="101"/>
      <c r="EM21" s="101"/>
      <c r="EN21" s="101"/>
      <c r="EO21" s="101"/>
      <c r="EP21" s="101"/>
    </row>
    <row r="22" spans="1:146" s="80" customFormat="1" ht="13.8">
      <c r="A22" s="101"/>
      <c r="B22" s="248" t="s">
        <v>470</v>
      </c>
      <c r="C22" s="254">
        <v>1740</v>
      </c>
      <c r="D22" s="254">
        <v>2860</v>
      </c>
      <c r="E22" s="254">
        <v>3740</v>
      </c>
      <c r="F22" s="256">
        <v>2110</v>
      </c>
      <c r="G22" s="256">
        <v>3280</v>
      </c>
      <c r="H22" s="256">
        <v>4270</v>
      </c>
      <c r="I22" s="242">
        <v>10.7</v>
      </c>
      <c r="J22" s="237">
        <f t="shared" si="0"/>
        <v>107</v>
      </c>
      <c r="K22" s="249" t="s">
        <v>67</v>
      </c>
      <c r="L22" s="242">
        <v>5.5</v>
      </c>
      <c r="M22" s="101"/>
      <c r="N22" s="101"/>
      <c r="O22" s="101"/>
      <c r="P22" s="101"/>
      <c r="Q22" s="101"/>
      <c r="R22" s="101"/>
      <c r="S22" s="101"/>
      <c r="T22" s="101"/>
      <c r="U22" s="101"/>
      <c r="V22" s="101"/>
      <c r="W22" s="101"/>
      <c r="X22" s="101"/>
      <c r="Y22" s="101"/>
      <c r="Z22" s="101"/>
      <c r="AA22" s="101"/>
      <c r="AB22" s="101"/>
      <c r="AC22" s="101"/>
      <c r="AD22" s="101"/>
      <c r="AE22" s="101"/>
      <c r="AF22" s="101"/>
      <c r="AG22" s="101"/>
      <c r="AH22" s="101"/>
      <c r="AI22" s="101"/>
      <c r="AJ22" s="101"/>
      <c r="AK22" s="101"/>
      <c r="AL22" s="101"/>
      <c r="AM22" s="101"/>
      <c r="AN22" s="101"/>
      <c r="AO22" s="101"/>
      <c r="AP22" s="101"/>
      <c r="AQ22" s="101"/>
      <c r="AR22" s="101"/>
      <c r="AS22" s="101"/>
      <c r="AT22" s="101"/>
      <c r="AU22" s="101"/>
      <c r="AV22" s="101"/>
      <c r="AW22" s="101"/>
      <c r="AX22" s="101"/>
      <c r="AY22" s="101"/>
      <c r="AZ22" s="101"/>
      <c r="BA22" s="101"/>
      <c r="BB22" s="101"/>
      <c r="BC22" s="101"/>
      <c r="BD22" s="101"/>
      <c r="BE22" s="101"/>
      <c r="BF22" s="101"/>
      <c r="BG22" s="101"/>
      <c r="BH22" s="101"/>
      <c r="BI22" s="101"/>
      <c r="BJ22" s="101"/>
      <c r="BK22" s="101"/>
      <c r="BL22" s="101"/>
      <c r="BM22" s="101"/>
      <c r="BN22" s="101"/>
      <c r="BO22" s="101"/>
      <c r="BP22" s="101"/>
      <c r="BQ22" s="101"/>
      <c r="BR22" s="101"/>
      <c r="BS22" s="101"/>
      <c r="BT22" s="101"/>
      <c r="BU22" s="101"/>
      <c r="BV22" s="101"/>
      <c r="BW22" s="101"/>
      <c r="BX22" s="101"/>
      <c r="BY22" s="101"/>
      <c r="BZ22" s="101"/>
      <c r="CA22" s="101"/>
      <c r="CB22" s="101"/>
      <c r="CC22" s="101"/>
      <c r="CD22" s="101"/>
      <c r="CE22" s="101"/>
      <c r="CF22" s="101"/>
      <c r="CG22" s="101"/>
      <c r="CH22" s="101"/>
      <c r="CI22" s="101"/>
      <c r="CJ22" s="101"/>
      <c r="CK22" s="101"/>
      <c r="CL22" s="101"/>
      <c r="CM22" s="101"/>
      <c r="CN22" s="101"/>
      <c r="CO22" s="101"/>
      <c r="CP22" s="101"/>
      <c r="CQ22" s="101"/>
      <c r="CR22" s="101"/>
      <c r="CS22" s="101"/>
      <c r="CT22" s="101"/>
      <c r="CU22" s="101"/>
      <c r="CV22" s="101"/>
      <c r="CW22" s="101"/>
      <c r="CX22" s="101"/>
      <c r="CY22" s="101"/>
      <c r="CZ22" s="101"/>
      <c r="DA22" s="101"/>
      <c r="DB22" s="101"/>
      <c r="DC22" s="101"/>
      <c r="DD22" s="101"/>
      <c r="DE22" s="101"/>
      <c r="DF22" s="101"/>
      <c r="DG22" s="101"/>
      <c r="DH22" s="101"/>
      <c r="DI22" s="101"/>
      <c r="DJ22" s="101"/>
      <c r="DK22" s="101"/>
      <c r="DL22" s="101"/>
      <c r="DM22" s="101"/>
      <c r="DN22" s="101"/>
      <c r="DO22" s="101"/>
      <c r="DP22" s="101"/>
      <c r="DQ22" s="101"/>
      <c r="DR22" s="101"/>
      <c r="DS22" s="101"/>
      <c r="DT22" s="101"/>
      <c r="DU22" s="101"/>
      <c r="DV22" s="101"/>
      <c r="DW22" s="101"/>
      <c r="DX22" s="101"/>
      <c r="DY22" s="101"/>
      <c r="DZ22" s="101"/>
      <c r="EA22" s="101"/>
      <c r="EB22" s="101"/>
      <c r="EC22" s="101"/>
      <c r="ED22" s="101"/>
      <c r="EE22" s="101"/>
      <c r="EF22" s="101"/>
      <c r="EG22" s="101"/>
      <c r="EH22" s="101"/>
      <c r="EI22" s="101"/>
      <c r="EJ22" s="101"/>
      <c r="EK22" s="101"/>
      <c r="EL22" s="101"/>
      <c r="EM22" s="101"/>
      <c r="EN22" s="101"/>
      <c r="EO22" s="101"/>
      <c r="EP22" s="101"/>
    </row>
    <row r="23" spans="1:146" s="80" customFormat="1" ht="13.5" customHeight="1">
      <c r="A23" s="101"/>
      <c r="B23" s="248" t="s">
        <v>94</v>
      </c>
      <c r="C23" s="254"/>
      <c r="D23" s="254"/>
      <c r="E23" s="254"/>
      <c r="F23" s="256"/>
      <c r="G23" s="256"/>
      <c r="H23" s="256"/>
      <c r="I23" s="242">
        <v>13.484999999999999</v>
      </c>
      <c r="J23" s="237">
        <f t="shared" si="0"/>
        <v>134.85</v>
      </c>
      <c r="K23" s="249" t="s">
        <v>67</v>
      </c>
      <c r="L23" s="242">
        <v>5.5</v>
      </c>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01"/>
      <c r="AL23" s="101"/>
      <c r="AM23" s="101"/>
      <c r="AN23" s="101"/>
      <c r="AO23" s="101"/>
      <c r="AP23" s="101"/>
      <c r="AQ23" s="101"/>
      <c r="AR23" s="101"/>
      <c r="AS23" s="101"/>
      <c r="AT23" s="101"/>
      <c r="AU23" s="101"/>
      <c r="AV23" s="101"/>
      <c r="AW23" s="101"/>
      <c r="AX23" s="101"/>
      <c r="AY23" s="101"/>
      <c r="AZ23" s="101"/>
      <c r="BA23" s="101"/>
      <c r="BB23" s="101"/>
      <c r="BC23" s="101"/>
      <c r="BD23" s="101"/>
      <c r="BE23" s="101"/>
      <c r="BF23" s="101"/>
      <c r="BG23" s="101"/>
      <c r="BH23" s="101"/>
      <c r="BI23" s="101"/>
      <c r="BJ23" s="101"/>
      <c r="BK23" s="101"/>
      <c r="BL23" s="101"/>
      <c r="BM23" s="101"/>
      <c r="BN23" s="101"/>
      <c r="BO23" s="101"/>
      <c r="BP23" s="101"/>
      <c r="BQ23" s="101"/>
      <c r="BR23" s="101"/>
      <c r="BS23" s="101"/>
      <c r="BT23" s="101"/>
      <c r="BU23" s="101"/>
      <c r="BV23" s="101"/>
      <c r="BW23" s="101"/>
      <c r="BX23" s="101"/>
      <c r="BY23" s="101"/>
      <c r="BZ23" s="101"/>
      <c r="CA23" s="101"/>
      <c r="CB23" s="101"/>
      <c r="CC23" s="101"/>
      <c r="CD23" s="101"/>
      <c r="CE23" s="101"/>
      <c r="CF23" s="101"/>
      <c r="CG23" s="101"/>
      <c r="CH23" s="101"/>
      <c r="CI23" s="101"/>
      <c r="CJ23" s="101"/>
      <c r="CK23" s="101"/>
      <c r="CL23" s="101"/>
      <c r="CM23" s="101"/>
      <c r="CN23" s="101"/>
      <c r="CO23" s="101"/>
      <c r="CP23" s="101"/>
      <c r="CQ23" s="101"/>
      <c r="CR23" s="101"/>
      <c r="CS23" s="101"/>
      <c r="CT23" s="101"/>
      <c r="CU23" s="101"/>
      <c r="CV23" s="101"/>
      <c r="CW23" s="101"/>
      <c r="CX23" s="101"/>
      <c r="CY23" s="101"/>
      <c r="CZ23" s="101"/>
      <c r="DA23" s="101"/>
      <c r="DB23" s="101"/>
      <c r="DC23" s="101"/>
      <c r="DD23" s="101"/>
      <c r="DE23" s="101"/>
      <c r="DF23" s="101"/>
      <c r="DG23" s="101"/>
      <c r="DH23" s="101"/>
      <c r="DI23" s="101"/>
      <c r="DJ23" s="101"/>
      <c r="DK23" s="101"/>
      <c r="DL23" s="101"/>
      <c r="DM23" s="101"/>
      <c r="DN23" s="101"/>
      <c r="DO23" s="101"/>
      <c r="DP23" s="101"/>
      <c r="DQ23" s="101"/>
      <c r="DR23" s="101"/>
      <c r="DS23" s="101"/>
      <c r="DT23" s="101"/>
      <c r="DU23" s="101"/>
      <c r="DV23" s="101"/>
      <c r="DW23" s="101"/>
      <c r="DX23" s="101"/>
      <c r="DY23" s="101"/>
      <c r="DZ23" s="101"/>
      <c r="EA23" s="101"/>
      <c r="EB23" s="101"/>
      <c r="EC23" s="101"/>
      <c r="ED23" s="101"/>
      <c r="EE23" s="101"/>
      <c r="EF23" s="101"/>
      <c r="EG23" s="101"/>
      <c r="EH23" s="101"/>
      <c r="EI23" s="101"/>
      <c r="EJ23" s="101"/>
      <c r="EK23" s="101"/>
      <c r="EL23" s="101"/>
      <c r="EM23" s="101"/>
      <c r="EN23" s="101"/>
      <c r="EO23" s="101"/>
      <c r="EP23" s="101"/>
    </row>
    <row r="24" spans="1:146" s="80" customFormat="1" ht="13.5" customHeight="1">
      <c r="A24" s="101"/>
      <c r="B24" s="248" t="s">
        <v>583</v>
      </c>
      <c r="C24" s="254">
        <v>2220</v>
      </c>
      <c r="D24" s="254">
        <v>3590</v>
      </c>
      <c r="E24" s="254">
        <v>4680</v>
      </c>
      <c r="F24" s="256">
        <v>2700</v>
      </c>
      <c r="G24" s="256">
        <v>4130</v>
      </c>
      <c r="H24" s="256">
        <v>5360</v>
      </c>
      <c r="I24" s="242">
        <v>14.2</v>
      </c>
      <c r="J24" s="237">
        <f>BASE*I24</f>
        <v>142</v>
      </c>
      <c r="K24" s="249" t="s">
        <v>452</v>
      </c>
      <c r="L24" s="242"/>
      <c r="M24" s="101"/>
      <c r="N24" s="101"/>
      <c r="O24" s="101"/>
      <c r="P24" s="101"/>
      <c r="Q24" s="101"/>
      <c r="R24" s="101"/>
      <c r="S24" s="101"/>
      <c r="T24" s="101"/>
      <c r="U24" s="101"/>
      <c r="V24" s="101"/>
      <c r="W24" s="101"/>
      <c r="X24" s="101"/>
      <c r="Y24" s="101"/>
      <c r="Z24" s="101"/>
      <c r="AA24" s="101"/>
      <c r="AB24" s="101"/>
      <c r="AC24" s="101"/>
      <c r="AD24" s="101"/>
      <c r="AE24" s="101"/>
      <c r="AF24" s="101"/>
      <c r="AG24" s="101"/>
      <c r="AH24" s="101"/>
      <c r="AI24" s="101"/>
      <c r="AJ24" s="101"/>
      <c r="AK24" s="101"/>
      <c r="AL24" s="101"/>
      <c r="AM24" s="101"/>
      <c r="AN24" s="101"/>
      <c r="AO24" s="101"/>
      <c r="AP24" s="101"/>
      <c r="AQ24" s="101"/>
      <c r="AR24" s="101"/>
      <c r="AS24" s="101"/>
      <c r="AT24" s="101"/>
      <c r="AU24" s="101"/>
      <c r="AV24" s="101"/>
      <c r="AW24" s="101"/>
      <c r="AX24" s="101"/>
      <c r="AY24" s="101"/>
      <c r="AZ24" s="101"/>
      <c r="BA24" s="101"/>
      <c r="BB24" s="101"/>
      <c r="BC24" s="101"/>
      <c r="BD24" s="101"/>
      <c r="BE24" s="101"/>
      <c r="BF24" s="101"/>
      <c r="BG24" s="101"/>
      <c r="BH24" s="101"/>
      <c r="BI24" s="101"/>
      <c r="BJ24" s="101"/>
      <c r="BK24" s="101"/>
      <c r="BL24" s="101"/>
      <c r="BM24" s="101"/>
      <c r="BN24" s="101"/>
      <c r="BO24" s="101"/>
      <c r="BP24" s="101"/>
      <c r="BQ24" s="101"/>
      <c r="BR24" s="101"/>
      <c r="BS24" s="101"/>
      <c r="BT24" s="101"/>
      <c r="BU24" s="101"/>
      <c r="BV24" s="101"/>
      <c r="BW24" s="101"/>
      <c r="BX24" s="101"/>
      <c r="BY24" s="101"/>
      <c r="BZ24" s="101"/>
      <c r="CA24" s="101"/>
      <c r="CB24" s="101"/>
      <c r="CC24" s="101"/>
      <c r="CD24" s="101"/>
      <c r="CE24" s="101"/>
      <c r="CF24" s="101"/>
      <c r="CG24" s="101"/>
      <c r="CH24" s="101"/>
      <c r="CI24" s="101"/>
      <c r="CJ24" s="101"/>
      <c r="CK24" s="101"/>
      <c r="CL24" s="101"/>
      <c r="CM24" s="101"/>
      <c r="CN24" s="101"/>
      <c r="CO24" s="101"/>
      <c r="CP24" s="101"/>
      <c r="CQ24" s="101"/>
      <c r="CR24" s="101"/>
      <c r="CS24" s="101"/>
      <c r="CT24" s="101"/>
      <c r="CU24" s="101"/>
      <c r="CV24" s="101"/>
      <c r="CW24" s="101"/>
      <c r="CX24" s="101"/>
      <c r="CY24" s="101"/>
      <c r="CZ24" s="101"/>
      <c r="DA24" s="101"/>
      <c r="DB24" s="101"/>
      <c r="DC24" s="101"/>
      <c r="DD24" s="101"/>
      <c r="DE24" s="101"/>
      <c r="DF24" s="101"/>
      <c r="DG24" s="101"/>
      <c r="DH24" s="101"/>
      <c r="DI24" s="101"/>
      <c r="DJ24" s="101"/>
      <c r="DK24" s="101"/>
      <c r="DL24" s="101"/>
      <c r="DM24" s="101"/>
      <c r="DN24" s="101"/>
      <c r="DO24" s="101"/>
      <c r="DP24" s="101"/>
      <c r="DQ24" s="101"/>
      <c r="DR24" s="101"/>
      <c r="DS24" s="101"/>
      <c r="DT24" s="101"/>
      <c r="DU24" s="101"/>
      <c r="DV24" s="101"/>
      <c r="DW24" s="101"/>
      <c r="DX24" s="101"/>
      <c r="DY24" s="101"/>
      <c r="DZ24" s="101"/>
      <c r="EA24" s="101"/>
      <c r="EB24" s="101"/>
      <c r="EC24" s="101"/>
      <c r="ED24" s="101"/>
      <c r="EE24" s="101"/>
      <c r="EF24" s="101"/>
      <c r="EG24" s="101"/>
      <c r="EH24" s="101"/>
      <c r="EI24" s="101"/>
      <c r="EJ24" s="101"/>
      <c r="EK24" s="101"/>
      <c r="EL24" s="101"/>
      <c r="EM24" s="101"/>
      <c r="EN24" s="101"/>
      <c r="EO24" s="101"/>
      <c r="EP24" s="101"/>
    </row>
    <row r="25" spans="1:146" s="80" customFormat="1" ht="13.5" customHeight="1">
      <c r="A25" s="101"/>
      <c r="B25" s="248" t="s">
        <v>584</v>
      </c>
      <c r="C25" s="254">
        <v>2690</v>
      </c>
      <c r="D25" s="254">
        <v>4310</v>
      </c>
      <c r="E25" s="254">
        <v>5610</v>
      </c>
      <c r="F25" s="256">
        <v>3290</v>
      </c>
      <c r="G25" s="256">
        <v>4970</v>
      </c>
      <c r="H25" s="256">
        <v>6430</v>
      </c>
      <c r="I25" s="242"/>
      <c r="J25" s="237">
        <v>231.4</v>
      </c>
      <c r="K25" s="249" t="s">
        <v>452</v>
      </c>
      <c r="L25" s="242">
        <v>22</v>
      </c>
      <c r="M25" s="101"/>
      <c r="N25" s="101"/>
      <c r="O25" s="101"/>
      <c r="P25" s="101"/>
      <c r="Q25" s="101"/>
      <c r="R25" s="101"/>
      <c r="S25" s="101"/>
      <c r="T25" s="101"/>
      <c r="U25" s="101"/>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row>
    <row r="26" spans="1:146" s="80" customFormat="1" ht="13.5" customHeight="1">
      <c r="A26" s="101"/>
      <c r="B26" s="248" t="s">
        <v>451</v>
      </c>
      <c r="C26" s="254"/>
      <c r="D26" s="254"/>
      <c r="E26" s="254"/>
      <c r="F26" s="256"/>
      <c r="G26" s="256"/>
      <c r="H26" s="256"/>
      <c r="I26" s="242"/>
      <c r="J26" s="237">
        <v>224.9</v>
      </c>
      <c r="K26" s="249"/>
      <c r="L26" s="242">
        <v>22</v>
      </c>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01"/>
      <c r="AL26" s="101"/>
      <c r="AM26" s="101"/>
      <c r="AN26" s="101"/>
      <c r="AO26" s="101"/>
      <c r="AP26" s="101"/>
      <c r="AQ26" s="101"/>
      <c r="AR26" s="101"/>
      <c r="AS26" s="101"/>
      <c r="AT26" s="101"/>
      <c r="AU26" s="101"/>
      <c r="AV26" s="101"/>
      <c r="AW26" s="101"/>
      <c r="AX26" s="101"/>
      <c r="AY26" s="101"/>
      <c r="AZ26" s="101"/>
      <c r="BA26" s="101"/>
      <c r="BB26" s="101"/>
      <c r="BC26" s="101"/>
      <c r="BD26" s="101"/>
      <c r="BE26" s="101"/>
      <c r="BF26" s="101"/>
      <c r="BG26" s="101"/>
      <c r="BH26" s="101"/>
      <c r="BI26" s="101"/>
      <c r="BJ26" s="101"/>
      <c r="BK26" s="101"/>
      <c r="BL26" s="101"/>
      <c r="BM26" s="101"/>
      <c r="BN26" s="101"/>
      <c r="BO26" s="101"/>
      <c r="BP26" s="101"/>
      <c r="BQ26" s="101"/>
      <c r="BR26" s="101"/>
      <c r="BS26" s="101"/>
      <c r="BT26" s="101"/>
      <c r="BU26" s="101"/>
      <c r="BV26" s="101"/>
      <c r="BW26" s="101"/>
      <c r="BX26" s="101"/>
      <c r="BY26" s="101"/>
      <c r="BZ26" s="101"/>
      <c r="CA26" s="101"/>
      <c r="CB26" s="101"/>
      <c r="CC26" s="101"/>
      <c r="CD26" s="101"/>
      <c r="CE26" s="101"/>
      <c r="CF26" s="101"/>
      <c r="CG26" s="101"/>
      <c r="CH26" s="101"/>
      <c r="CI26" s="101"/>
      <c r="CJ26" s="101"/>
      <c r="CK26" s="101"/>
      <c r="CL26" s="101"/>
      <c r="CM26" s="101"/>
      <c r="CN26" s="101"/>
      <c r="CO26" s="101"/>
      <c r="CP26" s="101"/>
      <c r="CQ26" s="101"/>
      <c r="CR26" s="101"/>
      <c r="CS26" s="101"/>
      <c r="CT26" s="101"/>
      <c r="CU26" s="101"/>
      <c r="CV26" s="101"/>
      <c r="CW26" s="101"/>
      <c r="CX26" s="101"/>
      <c r="CY26" s="101"/>
      <c r="CZ26" s="101"/>
      <c r="DA26" s="101"/>
      <c r="DB26" s="101"/>
      <c r="DC26" s="101"/>
      <c r="DD26" s="101"/>
      <c r="DE26" s="101"/>
      <c r="DF26" s="101"/>
      <c r="DG26" s="101"/>
      <c r="DH26" s="101"/>
      <c r="DI26" s="101"/>
      <c r="DJ26" s="101"/>
      <c r="DK26" s="101"/>
      <c r="DL26" s="101"/>
      <c r="DM26" s="101"/>
      <c r="DN26" s="101"/>
      <c r="DO26" s="101"/>
      <c r="DP26" s="101"/>
      <c r="DQ26" s="101"/>
      <c r="DR26" s="101"/>
      <c r="DS26" s="101"/>
      <c r="DT26" s="101"/>
      <c r="DU26" s="101"/>
      <c r="DV26" s="101"/>
      <c r="DW26" s="101"/>
      <c r="DX26" s="101"/>
      <c r="DY26" s="101"/>
      <c r="DZ26" s="101"/>
      <c r="EA26" s="101"/>
      <c r="EB26" s="101"/>
      <c r="EC26" s="101"/>
      <c r="ED26" s="101"/>
      <c r="EE26" s="101"/>
      <c r="EF26" s="101"/>
      <c r="EG26" s="101"/>
      <c r="EH26" s="101"/>
      <c r="EI26" s="101"/>
      <c r="EJ26" s="101"/>
      <c r="EK26" s="101"/>
      <c r="EL26" s="101"/>
      <c r="EM26" s="101"/>
      <c r="EN26" s="101"/>
      <c r="EO26" s="101"/>
      <c r="EP26" s="101"/>
    </row>
    <row r="27" spans="1:146" s="98" customFormat="1">
      <c r="I27" s="99"/>
      <c r="J27" s="99"/>
      <c r="L27" s="99"/>
    </row>
    <row r="28" spans="1:146" s="98" customFormat="1">
      <c r="I28" s="99"/>
      <c r="J28" s="99"/>
      <c r="L28" s="99"/>
    </row>
    <row r="29" spans="1:146" s="98" customFormat="1">
      <c r="I29" s="99"/>
      <c r="J29" s="99"/>
      <c r="L29" s="99"/>
    </row>
    <row r="30" spans="1:146" ht="15.6">
      <c r="B30" s="239" t="s">
        <v>71</v>
      </c>
      <c r="C30" s="239" t="s">
        <v>55</v>
      </c>
      <c r="D30" s="247"/>
      <c r="E30" s="247"/>
      <c r="F30" s="98"/>
      <c r="G30" s="98"/>
      <c r="H30" s="98"/>
      <c r="I30" s="99"/>
      <c r="J30" s="99"/>
      <c r="K30" s="98"/>
      <c r="L30" s="99"/>
    </row>
    <row r="31" spans="1:146">
      <c r="B31" s="252" t="s">
        <v>76</v>
      </c>
      <c r="C31" s="252" t="s">
        <v>577</v>
      </c>
      <c r="D31" s="251"/>
      <c r="E31" s="251"/>
      <c r="F31" s="98"/>
      <c r="G31" s="98"/>
      <c r="H31" s="98"/>
      <c r="I31" s="99"/>
      <c r="J31" s="99"/>
      <c r="K31" s="98"/>
      <c r="L31" s="99"/>
    </row>
    <row r="32" spans="1:146" ht="15">
      <c r="B32" s="244" t="s">
        <v>64</v>
      </c>
      <c r="C32" s="238">
        <v>1.2</v>
      </c>
      <c r="D32" s="243"/>
      <c r="E32" s="243"/>
      <c r="F32" s="98"/>
      <c r="G32" s="98"/>
      <c r="H32" s="98"/>
      <c r="I32" s="99"/>
      <c r="J32" s="99"/>
      <c r="K32" s="98"/>
      <c r="L32" s="99"/>
    </row>
    <row r="33" spans="2:12" ht="15">
      <c r="B33" s="244" t="s">
        <v>65</v>
      </c>
      <c r="C33" s="238">
        <v>1.9</v>
      </c>
      <c r="D33" s="243"/>
      <c r="E33" s="243"/>
      <c r="F33" s="98"/>
      <c r="G33" s="98"/>
      <c r="H33" s="98"/>
      <c r="I33" s="99"/>
      <c r="J33" s="99"/>
      <c r="K33" s="98"/>
      <c r="L33" s="99"/>
    </row>
    <row r="34" spans="2:12" ht="15">
      <c r="B34" s="244" t="s">
        <v>66</v>
      </c>
      <c r="C34" s="238">
        <v>2.7</v>
      </c>
      <c r="D34" s="243"/>
      <c r="E34" s="243"/>
      <c r="F34" s="98"/>
      <c r="G34" s="98"/>
      <c r="H34" s="98"/>
      <c r="I34" s="99"/>
      <c r="J34" s="99"/>
      <c r="K34" s="98"/>
      <c r="L34" s="99"/>
    </row>
    <row r="35" spans="2:12" ht="15">
      <c r="B35" s="244" t="s">
        <v>67</v>
      </c>
      <c r="C35" s="238">
        <v>5.5</v>
      </c>
      <c r="D35" s="243"/>
      <c r="E35" s="243"/>
      <c r="F35" s="98"/>
      <c r="G35" s="98"/>
      <c r="H35" s="98"/>
      <c r="I35" s="99"/>
      <c r="J35" s="99"/>
      <c r="K35" s="98"/>
      <c r="L35" s="99"/>
    </row>
    <row r="36" spans="2:12" ht="15">
      <c r="B36" s="244" t="s">
        <v>452</v>
      </c>
      <c r="C36" s="238">
        <v>22</v>
      </c>
      <c r="D36" s="243"/>
      <c r="E36" s="243"/>
      <c r="F36" s="98"/>
      <c r="G36" s="98"/>
      <c r="H36" s="98"/>
      <c r="I36" s="99"/>
      <c r="J36" s="99"/>
      <c r="K36" s="98"/>
      <c r="L36" s="99"/>
    </row>
    <row r="37" spans="2:12" s="98" customFormat="1">
      <c r="I37" s="99"/>
      <c r="J37" s="99"/>
      <c r="L37" s="99"/>
    </row>
    <row r="38" spans="2:12" s="98" customFormat="1">
      <c r="I38" s="99"/>
      <c r="J38" s="99"/>
      <c r="L38" s="99"/>
    </row>
    <row r="39" spans="2:12" s="98" customFormat="1">
      <c r="I39" s="99"/>
      <c r="J39" s="99"/>
      <c r="L39" s="99"/>
    </row>
    <row r="40" spans="2:12" s="98" customFormat="1">
      <c r="I40" s="99"/>
      <c r="J40" s="99"/>
      <c r="L40" s="99"/>
    </row>
    <row r="41" spans="2:12" s="98" customFormat="1">
      <c r="I41" s="99"/>
      <c r="J41" s="99"/>
      <c r="L41" s="99"/>
    </row>
    <row r="42" spans="2:12" s="98" customFormat="1">
      <c r="I42" s="99"/>
      <c r="J42" s="99"/>
      <c r="L42" s="99"/>
    </row>
    <row r="43" spans="2:12" s="98" customFormat="1">
      <c r="I43" s="99"/>
      <c r="J43" s="99"/>
      <c r="L43" s="99"/>
    </row>
    <row r="44" spans="2:12" s="98" customFormat="1">
      <c r="I44" s="99"/>
      <c r="J44" s="99"/>
      <c r="L44" s="99"/>
    </row>
    <row r="45" spans="2:12" s="98" customFormat="1">
      <c r="I45" s="99"/>
      <c r="J45" s="99"/>
      <c r="L45" s="99"/>
    </row>
    <row r="46" spans="2:12" s="98" customFormat="1">
      <c r="I46" s="99"/>
      <c r="J46" s="99"/>
      <c r="L46" s="99"/>
    </row>
    <row r="47" spans="2:12" s="98" customFormat="1">
      <c r="I47" s="99"/>
      <c r="J47" s="99"/>
      <c r="L47" s="99"/>
    </row>
    <row r="48" spans="2:12" s="98" customFormat="1">
      <c r="I48" s="99"/>
      <c r="J48" s="99"/>
      <c r="L48" s="99"/>
    </row>
    <row r="49" spans="9:12" s="98" customFormat="1">
      <c r="I49" s="99"/>
      <c r="J49" s="99"/>
      <c r="L49" s="99"/>
    </row>
    <row r="50" spans="9:12" s="98" customFormat="1">
      <c r="I50" s="99"/>
      <c r="J50" s="99"/>
      <c r="L50" s="99"/>
    </row>
    <row r="51" spans="9:12" s="98" customFormat="1">
      <c r="I51" s="99"/>
      <c r="J51" s="99"/>
      <c r="L51" s="99"/>
    </row>
    <row r="52" spans="9:12" s="98" customFormat="1">
      <c r="I52" s="99"/>
      <c r="J52" s="99"/>
      <c r="L52" s="99"/>
    </row>
    <row r="53" spans="9:12" s="98" customFormat="1">
      <c r="I53" s="99"/>
      <c r="J53" s="99"/>
      <c r="L53" s="99"/>
    </row>
    <row r="54" spans="9:12" s="98" customFormat="1">
      <c r="I54" s="99"/>
      <c r="J54" s="99"/>
      <c r="L54" s="99"/>
    </row>
    <row r="55" spans="9:12" s="98" customFormat="1">
      <c r="I55" s="99"/>
      <c r="J55" s="99"/>
      <c r="L55" s="99"/>
    </row>
    <row r="56" spans="9:12" s="98" customFormat="1">
      <c r="I56" s="99"/>
      <c r="J56" s="99"/>
      <c r="L56" s="99"/>
    </row>
    <row r="57" spans="9:12" s="98" customFormat="1">
      <c r="I57" s="99"/>
      <c r="J57" s="99"/>
      <c r="L57" s="99"/>
    </row>
    <row r="58" spans="9:12" s="98" customFormat="1">
      <c r="I58" s="99"/>
      <c r="J58" s="99"/>
      <c r="L58" s="99"/>
    </row>
    <row r="59" spans="9:12" s="98" customFormat="1">
      <c r="I59" s="99"/>
      <c r="J59" s="99"/>
      <c r="L59" s="99"/>
    </row>
    <row r="60" spans="9:12" s="98" customFormat="1">
      <c r="I60" s="99"/>
      <c r="J60" s="99"/>
      <c r="L60" s="99"/>
    </row>
    <row r="61" spans="9:12" s="98" customFormat="1">
      <c r="I61" s="99"/>
      <c r="J61" s="99"/>
      <c r="L61" s="99"/>
    </row>
    <row r="62" spans="9:12" s="98" customFormat="1">
      <c r="I62" s="99"/>
      <c r="J62" s="99"/>
      <c r="L62" s="99"/>
    </row>
    <row r="63" spans="9:12" s="98" customFormat="1">
      <c r="I63" s="99"/>
      <c r="J63" s="99"/>
      <c r="L63" s="99"/>
    </row>
    <row r="64" spans="9:12" s="98" customFormat="1">
      <c r="I64" s="99"/>
      <c r="J64" s="99"/>
      <c r="L64" s="99"/>
    </row>
    <row r="65" spans="9:12" s="98" customFormat="1">
      <c r="I65" s="99"/>
      <c r="J65" s="99"/>
      <c r="L65" s="99"/>
    </row>
    <row r="66" spans="9:12" s="98" customFormat="1">
      <c r="I66" s="99"/>
      <c r="J66" s="99"/>
      <c r="L66" s="99"/>
    </row>
    <row r="67" spans="9:12" s="98" customFormat="1">
      <c r="I67" s="99"/>
      <c r="J67" s="99"/>
      <c r="L67" s="99"/>
    </row>
    <row r="68" spans="9:12" s="98" customFormat="1">
      <c r="I68" s="99"/>
      <c r="J68" s="99"/>
      <c r="L68" s="99"/>
    </row>
    <row r="69" spans="9:12" s="98" customFormat="1">
      <c r="I69" s="99"/>
      <c r="J69" s="99"/>
      <c r="L69" s="99"/>
    </row>
    <row r="70" spans="9:12" s="98" customFormat="1">
      <c r="I70" s="99"/>
      <c r="J70" s="99"/>
      <c r="L70" s="99"/>
    </row>
    <row r="71" spans="9:12" s="98" customFormat="1">
      <c r="I71" s="99"/>
      <c r="J71" s="99"/>
      <c r="L71" s="99"/>
    </row>
    <row r="72" spans="9:12" s="98" customFormat="1">
      <c r="I72" s="99"/>
      <c r="J72" s="99"/>
      <c r="L72" s="99"/>
    </row>
    <row r="73" spans="9:12" s="98" customFormat="1">
      <c r="I73" s="99"/>
      <c r="J73" s="99"/>
      <c r="L73" s="99"/>
    </row>
    <row r="74" spans="9:12" s="98" customFormat="1">
      <c r="I74" s="99"/>
      <c r="J74" s="99"/>
      <c r="L74" s="99"/>
    </row>
    <row r="75" spans="9:12" s="98" customFormat="1">
      <c r="I75" s="99"/>
      <c r="J75" s="99"/>
      <c r="L75" s="99"/>
    </row>
    <row r="76" spans="9:12" s="98" customFormat="1">
      <c r="I76" s="99"/>
      <c r="J76" s="99"/>
      <c r="L76" s="99"/>
    </row>
    <row r="77" spans="9:12" s="98" customFormat="1">
      <c r="I77" s="99"/>
      <c r="J77" s="99"/>
      <c r="L77" s="99"/>
    </row>
    <row r="78" spans="9:12" s="98" customFormat="1">
      <c r="I78" s="99"/>
      <c r="J78" s="99"/>
      <c r="L78" s="99"/>
    </row>
    <row r="79" spans="9:12" s="98" customFormat="1">
      <c r="I79" s="99"/>
      <c r="J79" s="99"/>
      <c r="L79" s="99"/>
    </row>
    <row r="80" spans="9:12" s="98" customFormat="1">
      <c r="I80" s="99"/>
      <c r="J80" s="99"/>
      <c r="L80" s="99"/>
    </row>
    <row r="81" spans="9:12" s="98" customFormat="1">
      <c r="I81" s="99"/>
      <c r="J81" s="99"/>
      <c r="L81" s="99"/>
    </row>
    <row r="82" spans="9:12" s="98" customFormat="1">
      <c r="I82" s="99"/>
      <c r="J82" s="99"/>
      <c r="L82" s="99"/>
    </row>
    <row r="83" spans="9:12" s="98" customFormat="1">
      <c r="I83" s="99"/>
      <c r="J83" s="99"/>
      <c r="L83" s="99"/>
    </row>
    <row r="84" spans="9:12" s="98" customFormat="1">
      <c r="I84" s="99"/>
      <c r="J84" s="99"/>
      <c r="L84" s="99"/>
    </row>
    <row r="85" spans="9:12" s="98" customFormat="1">
      <c r="I85" s="99"/>
      <c r="J85" s="99"/>
      <c r="L85" s="99"/>
    </row>
    <row r="86" spans="9:12" s="98" customFormat="1">
      <c r="I86" s="99"/>
      <c r="J86" s="99"/>
      <c r="L86" s="99"/>
    </row>
    <row r="87" spans="9:12" s="98" customFormat="1">
      <c r="I87" s="99"/>
      <c r="J87" s="99"/>
      <c r="L87" s="99"/>
    </row>
    <row r="88" spans="9:12" s="98" customFormat="1">
      <c r="I88" s="99"/>
      <c r="J88" s="99"/>
      <c r="L88" s="99"/>
    </row>
    <row r="89" spans="9:12" s="98" customFormat="1">
      <c r="I89" s="99"/>
      <c r="J89" s="99"/>
      <c r="L89" s="99"/>
    </row>
    <row r="90" spans="9:12" s="98" customFormat="1">
      <c r="I90" s="99"/>
      <c r="J90" s="99"/>
      <c r="L90" s="99"/>
    </row>
    <row r="91" spans="9:12" s="98" customFormat="1">
      <c r="I91" s="99"/>
      <c r="J91" s="99"/>
      <c r="L91" s="99"/>
    </row>
    <row r="92" spans="9:12" s="98" customFormat="1">
      <c r="I92" s="99"/>
      <c r="J92" s="99"/>
      <c r="L92" s="99"/>
    </row>
    <row r="93" spans="9:12" s="98" customFormat="1">
      <c r="I93" s="99"/>
      <c r="J93" s="99"/>
      <c r="L93" s="99"/>
    </row>
    <row r="94" spans="9:12" s="98" customFormat="1">
      <c r="I94" s="99"/>
      <c r="J94" s="99"/>
      <c r="L94" s="99"/>
    </row>
    <row r="95" spans="9:12" s="98" customFormat="1">
      <c r="I95" s="99"/>
      <c r="J95" s="99"/>
      <c r="L95" s="99"/>
    </row>
    <row r="96" spans="9:12" s="98" customFormat="1">
      <c r="I96" s="99"/>
      <c r="J96" s="99"/>
      <c r="L96" s="99"/>
    </row>
    <row r="97" spans="9:12" s="98" customFormat="1">
      <c r="I97" s="99"/>
      <c r="J97" s="99"/>
      <c r="L97" s="99"/>
    </row>
    <row r="98" spans="9:12" s="98" customFormat="1">
      <c r="I98" s="99"/>
      <c r="J98" s="99"/>
      <c r="L98" s="99"/>
    </row>
    <row r="99" spans="9:12" s="98" customFormat="1">
      <c r="I99" s="99"/>
      <c r="J99" s="99"/>
      <c r="L99" s="99"/>
    </row>
    <row r="100" spans="9:12" s="98" customFormat="1">
      <c r="I100" s="99"/>
      <c r="J100" s="99"/>
      <c r="L100" s="99"/>
    </row>
    <row r="101" spans="9:12" s="98" customFormat="1">
      <c r="I101" s="99"/>
      <c r="J101" s="99"/>
      <c r="L101" s="99"/>
    </row>
    <row r="102" spans="9:12" s="98" customFormat="1">
      <c r="I102" s="99"/>
      <c r="J102" s="99"/>
      <c r="L102" s="99"/>
    </row>
    <row r="103" spans="9:12" s="98" customFormat="1">
      <c r="I103" s="99"/>
      <c r="J103" s="99"/>
      <c r="L103" s="99"/>
    </row>
    <row r="104" spans="9:12" s="98" customFormat="1">
      <c r="I104" s="99"/>
      <c r="J104" s="99"/>
      <c r="L104" s="99"/>
    </row>
    <row r="105" spans="9:12" s="98" customFormat="1">
      <c r="I105" s="99"/>
      <c r="J105" s="99"/>
      <c r="L105" s="99"/>
    </row>
    <row r="106" spans="9:12" s="98" customFormat="1">
      <c r="I106" s="99"/>
      <c r="J106" s="99"/>
      <c r="L106" s="99"/>
    </row>
    <row r="107" spans="9:12" s="98" customFormat="1">
      <c r="I107" s="99"/>
      <c r="J107" s="99"/>
      <c r="L107" s="99"/>
    </row>
    <row r="108" spans="9:12" s="98" customFormat="1">
      <c r="I108" s="99"/>
      <c r="J108" s="99"/>
      <c r="L108" s="99"/>
    </row>
    <row r="109" spans="9:12" s="98" customFormat="1">
      <c r="I109" s="99"/>
      <c r="J109" s="99"/>
      <c r="L109" s="99"/>
    </row>
    <row r="110" spans="9:12" s="98" customFormat="1">
      <c r="I110" s="99"/>
      <c r="J110" s="99"/>
      <c r="L110" s="99"/>
    </row>
    <row r="111" spans="9:12" s="98" customFormat="1">
      <c r="I111" s="99"/>
      <c r="J111" s="99"/>
      <c r="L111" s="99"/>
    </row>
    <row r="112" spans="9:12" s="98" customFormat="1">
      <c r="I112" s="99"/>
      <c r="J112" s="99"/>
      <c r="L112" s="99"/>
    </row>
    <row r="113" spans="9:12" s="98" customFormat="1">
      <c r="I113" s="99"/>
      <c r="J113" s="99"/>
      <c r="L113" s="99"/>
    </row>
    <row r="114" spans="9:12" s="98" customFormat="1">
      <c r="I114" s="99"/>
      <c r="J114" s="99"/>
      <c r="L114" s="99"/>
    </row>
    <row r="115" spans="9:12" s="98" customFormat="1">
      <c r="I115" s="99"/>
      <c r="J115" s="99"/>
      <c r="L115" s="99"/>
    </row>
    <row r="116" spans="9:12" s="98" customFormat="1">
      <c r="I116" s="99"/>
      <c r="J116" s="99"/>
      <c r="L116" s="99"/>
    </row>
    <row r="117" spans="9:12" s="98" customFormat="1">
      <c r="I117" s="99"/>
      <c r="J117" s="99"/>
      <c r="L117" s="99"/>
    </row>
    <row r="118" spans="9:12" s="98" customFormat="1">
      <c r="I118" s="99"/>
      <c r="J118" s="99"/>
      <c r="L118" s="99"/>
    </row>
    <row r="119" spans="9:12" s="98" customFormat="1">
      <c r="I119" s="99"/>
      <c r="J119" s="99"/>
      <c r="L119" s="99"/>
    </row>
    <row r="120" spans="9:12" s="98" customFormat="1">
      <c r="I120" s="99"/>
      <c r="J120" s="99"/>
      <c r="L120" s="99"/>
    </row>
    <row r="121" spans="9:12" s="98" customFormat="1">
      <c r="I121" s="99"/>
      <c r="J121" s="99"/>
      <c r="L121" s="99"/>
    </row>
    <row r="122" spans="9:12" s="98" customFormat="1">
      <c r="I122" s="99"/>
      <c r="J122" s="99"/>
      <c r="L122" s="99"/>
    </row>
    <row r="123" spans="9:12" s="98" customFormat="1">
      <c r="I123" s="99"/>
      <c r="J123" s="99"/>
      <c r="L123" s="99"/>
    </row>
    <row r="124" spans="9:12" s="98" customFormat="1">
      <c r="I124" s="99"/>
      <c r="J124" s="99"/>
      <c r="L124" s="99"/>
    </row>
    <row r="125" spans="9:12" s="98" customFormat="1">
      <c r="I125" s="99"/>
      <c r="J125" s="99"/>
      <c r="L125" s="99"/>
    </row>
    <row r="126" spans="9:12" s="98" customFormat="1">
      <c r="I126" s="99"/>
      <c r="J126" s="99"/>
      <c r="L126" s="99"/>
    </row>
    <row r="127" spans="9:12" s="98" customFormat="1">
      <c r="I127" s="99"/>
      <c r="J127" s="99"/>
      <c r="L127" s="99"/>
    </row>
    <row r="128" spans="9:12" s="98" customFormat="1">
      <c r="I128" s="99"/>
      <c r="J128" s="99"/>
      <c r="L128" s="99"/>
    </row>
    <row r="129" spans="9:12" s="98" customFormat="1">
      <c r="I129" s="99"/>
      <c r="J129" s="99"/>
      <c r="L129" s="99"/>
    </row>
    <row r="130" spans="9:12" s="98" customFormat="1">
      <c r="I130" s="99"/>
      <c r="J130" s="99"/>
      <c r="L130" s="99"/>
    </row>
    <row r="131" spans="9:12" s="98" customFormat="1">
      <c r="I131" s="99"/>
      <c r="J131" s="99"/>
      <c r="L131" s="99"/>
    </row>
    <row r="132" spans="9:12" s="98" customFormat="1">
      <c r="I132" s="99"/>
      <c r="J132" s="99"/>
      <c r="L132" s="99"/>
    </row>
    <row r="133" spans="9:12" s="98" customFormat="1">
      <c r="I133" s="99"/>
      <c r="J133" s="99"/>
      <c r="L133" s="99"/>
    </row>
    <row r="134" spans="9:12" s="98" customFormat="1">
      <c r="I134" s="99"/>
      <c r="J134" s="99"/>
      <c r="L134" s="99"/>
    </row>
    <row r="135" spans="9:12" s="98" customFormat="1">
      <c r="I135" s="99"/>
      <c r="J135" s="99"/>
      <c r="L135" s="99"/>
    </row>
    <row r="136" spans="9:12" s="98" customFormat="1">
      <c r="I136" s="99"/>
      <c r="J136" s="99"/>
      <c r="L136" s="99"/>
    </row>
    <row r="137" spans="9:12" s="98" customFormat="1">
      <c r="I137" s="99"/>
      <c r="J137" s="99"/>
      <c r="L137" s="99"/>
    </row>
    <row r="138" spans="9:12" s="98" customFormat="1">
      <c r="I138" s="99"/>
      <c r="J138" s="99"/>
      <c r="L138" s="99"/>
    </row>
    <row r="139" spans="9:12" s="98" customFormat="1">
      <c r="I139" s="99"/>
      <c r="J139" s="99"/>
      <c r="L139" s="99"/>
    </row>
    <row r="140" spans="9:12" s="98" customFormat="1">
      <c r="I140" s="99"/>
      <c r="J140" s="99"/>
      <c r="L140" s="99"/>
    </row>
    <row r="141" spans="9:12" s="98" customFormat="1">
      <c r="I141" s="99"/>
      <c r="J141" s="99"/>
      <c r="L141" s="99"/>
    </row>
    <row r="142" spans="9:12" s="98" customFormat="1">
      <c r="I142" s="99"/>
      <c r="J142" s="99"/>
      <c r="L142" s="99"/>
    </row>
    <row r="143" spans="9:12" s="98" customFormat="1">
      <c r="I143" s="99"/>
      <c r="J143" s="99"/>
      <c r="L143" s="99"/>
    </row>
    <row r="144" spans="9:12" s="98" customFormat="1">
      <c r="I144" s="99"/>
      <c r="J144" s="99"/>
      <c r="L144" s="99"/>
    </row>
    <row r="145" spans="9:12" s="98" customFormat="1">
      <c r="I145" s="99"/>
      <c r="J145" s="99"/>
      <c r="L145" s="99"/>
    </row>
    <row r="146" spans="9:12" s="98" customFormat="1">
      <c r="I146" s="99"/>
      <c r="J146" s="99"/>
      <c r="L146" s="99"/>
    </row>
    <row r="147" spans="9:12" s="98" customFormat="1">
      <c r="I147" s="99"/>
      <c r="J147" s="99"/>
      <c r="L147" s="99"/>
    </row>
    <row r="148" spans="9:12" s="98" customFormat="1">
      <c r="I148" s="99"/>
      <c r="J148" s="99"/>
      <c r="L148" s="99"/>
    </row>
    <row r="149" spans="9:12" s="98" customFormat="1">
      <c r="I149" s="99"/>
      <c r="J149" s="99"/>
      <c r="L149" s="99"/>
    </row>
    <row r="150" spans="9:12" s="98" customFormat="1">
      <c r="I150" s="99"/>
      <c r="J150" s="99"/>
      <c r="L150" s="99"/>
    </row>
    <row r="151" spans="9:12" s="98" customFormat="1">
      <c r="I151" s="99"/>
      <c r="J151" s="99"/>
      <c r="L151" s="99"/>
    </row>
    <row r="152" spans="9:12" s="98" customFormat="1">
      <c r="I152" s="99"/>
      <c r="J152" s="99"/>
      <c r="L152" s="99"/>
    </row>
    <row r="153" spans="9:12" s="98" customFormat="1">
      <c r="I153" s="99"/>
      <c r="J153" s="99"/>
      <c r="L153" s="99"/>
    </row>
    <row r="154" spans="9:12" s="98" customFormat="1">
      <c r="I154" s="99"/>
      <c r="J154" s="99"/>
      <c r="L154" s="99"/>
    </row>
    <row r="155" spans="9:12" s="98" customFormat="1">
      <c r="I155" s="99"/>
      <c r="J155" s="99"/>
      <c r="L155" s="99"/>
    </row>
    <row r="156" spans="9:12" s="98" customFormat="1">
      <c r="I156" s="99"/>
      <c r="J156" s="99"/>
      <c r="L156" s="99"/>
    </row>
    <row r="157" spans="9:12" s="98" customFormat="1">
      <c r="I157" s="99"/>
      <c r="J157" s="99"/>
      <c r="L157" s="99"/>
    </row>
    <row r="158" spans="9:12" s="98" customFormat="1">
      <c r="I158" s="99"/>
      <c r="J158" s="99"/>
      <c r="L158" s="99"/>
    </row>
    <row r="159" spans="9:12" s="98" customFormat="1">
      <c r="I159" s="99"/>
      <c r="J159" s="99"/>
      <c r="L159" s="99"/>
    </row>
    <row r="160" spans="9:12" s="98" customFormat="1">
      <c r="I160" s="99"/>
      <c r="J160" s="99"/>
      <c r="L160" s="99"/>
    </row>
    <row r="161" spans="9:12" s="98" customFormat="1">
      <c r="I161" s="99"/>
      <c r="J161" s="99"/>
      <c r="L161" s="99"/>
    </row>
    <row r="162" spans="9:12" s="98" customFormat="1">
      <c r="I162" s="99"/>
      <c r="J162" s="99"/>
      <c r="L162" s="99"/>
    </row>
    <row r="163" spans="9:12" s="98" customFormat="1">
      <c r="I163" s="99"/>
      <c r="J163" s="99"/>
      <c r="L163" s="99"/>
    </row>
    <row r="164" spans="9:12" s="98" customFormat="1">
      <c r="I164" s="99"/>
      <c r="J164" s="99"/>
      <c r="L164" s="99"/>
    </row>
    <row r="165" spans="9:12" s="98" customFormat="1">
      <c r="I165" s="99"/>
      <c r="J165" s="99"/>
      <c r="L165" s="99"/>
    </row>
    <row r="166" spans="9:12" s="98" customFormat="1">
      <c r="I166" s="99"/>
      <c r="J166" s="99"/>
      <c r="L166" s="99"/>
    </row>
    <row r="167" spans="9:12" s="98" customFormat="1">
      <c r="I167" s="99"/>
      <c r="J167" s="99"/>
      <c r="L167" s="99"/>
    </row>
    <row r="168" spans="9:12" s="98" customFormat="1">
      <c r="I168" s="99"/>
      <c r="J168" s="99"/>
      <c r="L168" s="99"/>
    </row>
    <row r="169" spans="9:12" s="98" customFormat="1">
      <c r="I169" s="99"/>
      <c r="J169" s="99"/>
      <c r="L169" s="99"/>
    </row>
    <row r="170" spans="9:12" s="98" customFormat="1">
      <c r="I170" s="99"/>
      <c r="J170" s="99"/>
      <c r="L170" s="99"/>
    </row>
    <row r="171" spans="9:12" s="98" customFormat="1">
      <c r="I171" s="99"/>
      <c r="J171" s="99"/>
      <c r="L171" s="99"/>
    </row>
    <row r="172" spans="9:12" s="98" customFormat="1">
      <c r="I172" s="99"/>
      <c r="J172" s="99"/>
      <c r="L172" s="99"/>
    </row>
    <row r="173" spans="9:12" s="98" customFormat="1">
      <c r="I173" s="99"/>
      <c r="J173" s="99"/>
      <c r="L173" s="99"/>
    </row>
    <row r="174" spans="9:12" s="98" customFormat="1">
      <c r="I174" s="99"/>
      <c r="J174" s="99"/>
      <c r="L174" s="99"/>
    </row>
    <row r="175" spans="9:12" s="98" customFormat="1">
      <c r="I175" s="99"/>
      <c r="J175" s="99"/>
      <c r="L175" s="99"/>
    </row>
    <row r="176" spans="9:12" s="98" customFormat="1">
      <c r="I176" s="99"/>
      <c r="J176" s="99"/>
      <c r="L176" s="99"/>
    </row>
    <row r="177" spans="9:12" s="98" customFormat="1">
      <c r="I177" s="99"/>
      <c r="J177" s="99"/>
      <c r="L177" s="99"/>
    </row>
    <row r="178" spans="9:12" s="98" customFormat="1">
      <c r="I178" s="99"/>
      <c r="J178" s="99"/>
      <c r="L178" s="99"/>
    </row>
    <row r="179" spans="9:12" s="98" customFormat="1">
      <c r="I179" s="99"/>
      <c r="J179" s="99"/>
      <c r="L179" s="99"/>
    </row>
    <row r="180" spans="9:12" s="98" customFormat="1">
      <c r="I180" s="99"/>
      <c r="J180" s="99"/>
      <c r="L180" s="99"/>
    </row>
    <row r="181" spans="9:12" s="98" customFormat="1">
      <c r="I181" s="99"/>
      <c r="J181" s="99"/>
      <c r="L181" s="99"/>
    </row>
    <row r="182" spans="9:12" s="98" customFormat="1">
      <c r="I182" s="99"/>
      <c r="J182" s="99"/>
      <c r="L182" s="99"/>
    </row>
    <row r="183" spans="9:12" s="98" customFormat="1">
      <c r="I183" s="99"/>
      <c r="J183" s="99"/>
      <c r="L183" s="99"/>
    </row>
    <row r="184" spans="9:12" s="98" customFormat="1">
      <c r="I184" s="99"/>
      <c r="J184" s="99"/>
      <c r="L184" s="99"/>
    </row>
    <row r="185" spans="9:12" s="98" customFormat="1">
      <c r="I185" s="99"/>
      <c r="J185" s="99"/>
      <c r="L185" s="99"/>
    </row>
    <row r="186" spans="9:12" s="98" customFormat="1">
      <c r="I186" s="99"/>
      <c r="J186" s="99"/>
      <c r="L186" s="99"/>
    </row>
    <row r="187" spans="9:12" s="98" customFormat="1">
      <c r="I187" s="99"/>
      <c r="J187" s="99"/>
      <c r="L187" s="99"/>
    </row>
    <row r="188" spans="9:12" s="98" customFormat="1">
      <c r="I188" s="99"/>
      <c r="J188" s="99"/>
      <c r="L188" s="99"/>
    </row>
    <row r="189" spans="9:12" s="98" customFormat="1">
      <c r="I189" s="99"/>
      <c r="J189" s="99"/>
      <c r="L189" s="99"/>
    </row>
    <row r="190" spans="9:12" s="98" customFormat="1">
      <c r="I190" s="99"/>
      <c r="J190" s="99"/>
      <c r="L190" s="99"/>
    </row>
    <row r="191" spans="9:12" s="98" customFormat="1">
      <c r="I191" s="99"/>
      <c r="J191" s="99"/>
      <c r="L191" s="99"/>
    </row>
    <row r="192" spans="9:12" s="98" customFormat="1">
      <c r="I192" s="99"/>
      <c r="J192" s="99"/>
      <c r="L192" s="99"/>
    </row>
    <row r="193" spans="9:12" s="98" customFormat="1">
      <c r="I193" s="99"/>
      <c r="J193" s="99"/>
      <c r="L193" s="99"/>
    </row>
    <row r="194" spans="9:12" s="98" customFormat="1">
      <c r="I194" s="99"/>
      <c r="J194" s="99"/>
      <c r="L194" s="99"/>
    </row>
    <row r="195" spans="9:12" s="98" customFormat="1">
      <c r="I195" s="99"/>
      <c r="J195" s="99"/>
      <c r="L195" s="99"/>
    </row>
    <row r="196" spans="9:12" s="98" customFormat="1">
      <c r="I196" s="99"/>
      <c r="J196" s="99"/>
      <c r="L196" s="99"/>
    </row>
    <row r="197" spans="9:12" s="98" customFormat="1">
      <c r="I197" s="99"/>
      <c r="J197" s="99"/>
      <c r="L197" s="99"/>
    </row>
    <row r="198" spans="9:12" s="98" customFormat="1">
      <c r="I198" s="99"/>
      <c r="J198" s="99"/>
      <c r="L198" s="99"/>
    </row>
    <row r="199" spans="9:12" s="98" customFormat="1">
      <c r="I199" s="99"/>
      <c r="J199" s="99"/>
      <c r="L199" s="99"/>
    </row>
    <row r="200" spans="9:12" s="98" customFormat="1">
      <c r="I200" s="99"/>
      <c r="J200" s="99"/>
      <c r="L200" s="99"/>
    </row>
    <row r="201" spans="9:12" s="98" customFormat="1">
      <c r="I201" s="99"/>
      <c r="J201" s="99"/>
      <c r="L201" s="99"/>
    </row>
    <row r="202" spans="9:12" s="98" customFormat="1">
      <c r="I202" s="99"/>
      <c r="J202" s="99"/>
      <c r="L202" s="99"/>
    </row>
    <row r="203" spans="9:12" s="98" customFormat="1">
      <c r="I203" s="99"/>
      <c r="J203" s="99"/>
      <c r="L203" s="99"/>
    </row>
    <row r="204" spans="9:12" s="98" customFormat="1">
      <c r="I204" s="99"/>
      <c r="J204" s="99"/>
      <c r="L204" s="99"/>
    </row>
    <row r="205" spans="9:12" s="98" customFormat="1">
      <c r="I205" s="99"/>
      <c r="J205" s="99"/>
      <c r="L205" s="99"/>
    </row>
    <row r="206" spans="9:12" s="98" customFormat="1">
      <c r="I206" s="99"/>
      <c r="J206" s="99"/>
      <c r="L206" s="99"/>
    </row>
    <row r="207" spans="9:12" s="98" customFormat="1">
      <c r="I207" s="99"/>
      <c r="J207" s="99"/>
      <c r="L207" s="99"/>
    </row>
    <row r="208" spans="9:12" s="98" customFormat="1">
      <c r="I208" s="99"/>
      <c r="J208" s="99"/>
      <c r="L208" s="99"/>
    </row>
    <row r="209" spans="9:12" s="98" customFormat="1">
      <c r="I209" s="99"/>
      <c r="J209" s="99"/>
      <c r="L209" s="99"/>
    </row>
    <row r="210" spans="9:12" s="98" customFormat="1">
      <c r="I210" s="99"/>
      <c r="J210" s="99"/>
      <c r="L210" s="99"/>
    </row>
    <row r="211" spans="9:12" s="98" customFormat="1">
      <c r="I211" s="99"/>
      <c r="J211" s="99"/>
      <c r="L211" s="99"/>
    </row>
    <row r="212" spans="9:12" s="98" customFormat="1">
      <c r="I212" s="99"/>
      <c r="J212" s="99"/>
      <c r="L212" s="99"/>
    </row>
    <row r="213" spans="9:12" s="98" customFormat="1">
      <c r="I213" s="99"/>
      <c r="J213" s="99"/>
      <c r="L213" s="99"/>
    </row>
    <row r="214" spans="9:12" s="98" customFormat="1">
      <c r="I214" s="99"/>
      <c r="J214" s="99"/>
      <c r="L214" s="99"/>
    </row>
    <row r="215" spans="9:12" s="98" customFormat="1">
      <c r="I215" s="99"/>
      <c r="J215" s="99"/>
      <c r="L215" s="99"/>
    </row>
    <row r="216" spans="9:12" s="98" customFormat="1">
      <c r="I216" s="99"/>
      <c r="J216" s="99"/>
      <c r="L216" s="99"/>
    </row>
    <row r="217" spans="9:12" s="98" customFormat="1">
      <c r="I217" s="99"/>
      <c r="J217" s="99"/>
      <c r="L217" s="99"/>
    </row>
    <row r="218" spans="9:12" s="98" customFormat="1">
      <c r="I218" s="99"/>
      <c r="J218" s="99"/>
      <c r="L218" s="99"/>
    </row>
    <row r="219" spans="9:12" s="98" customFormat="1">
      <c r="I219" s="99"/>
      <c r="J219" s="99"/>
      <c r="L219" s="99"/>
    </row>
    <row r="220" spans="9:12" s="98" customFormat="1">
      <c r="I220" s="99"/>
      <c r="J220" s="99"/>
      <c r="L220" s="99"/>
    </row>
    <row r="221" spans="9:12" s="98" customFormat="1">
      <c r="I221" s="99"/>
      <c r="J221" s="99"/>
      <c r="L221" s="99"/>
    </row>
    <row r="222" spans="9:12" s="98" customFormat="1">
      <c r="I222" s="99"/>
      <c r="J222" s="99"/>
      <c r="L222" s="99"/>
    </row>
    <row r="223" spans="9:12" s="98" customFormat="1">
      <c r="I223" s="99"/>
      <c r="J223" s="99"/>
      <c r="L223" s="99"/>
    </row>
    <row r="224" spans="9:12" s="98" customFormat="1">
      <c r="I224" s="99"/>
      <c r="J224" s="99"/>
      <c r="L224" s="99"/>
    </row>
    <row r="225" spans="9:12" s="98" customFormat="1">
      <c r="I225" s="99"/>
      <c r="J225" s="99"/>
      <c r="L225" s="99"/>
    </row>
    <row r="226" spans="9:12" s="98" customFormat="1">
      <c r="I226" s="99"/>
      <c r="J226" s="99"/>
      <c r="L226" s="99"/>
    </row>
    <row r="227" spans="9:12" s="98" customFormat="1">
      <c r="I227" s="99"/>
      <c r="J227" s="99"/>
      <c r="L227" s="99"/>
    </row>
    <row r="228" spans="9:12" s="98" customFormat="1">
      <c r="I228" s="99"/>
      <c r="J228" s="99"/>
      <c r="L228" s="99"/>
    </row>
    <row r="229" spans="9:12" s="98" customFormat="1">
      <c r="I229" s="99"/>
      <c r="J229" s="99"/>
      <c r="L229" s="99"/>
    </row>
    <row r="230" spans="9:12" s="98" customFormat="1">
      <c r="I230" s="99"/>
      <c r="J230" s="99"/>
      <c r="L230" s="99"/>
    </row>
    <row r="231" spans="9:12" s="98" customFormat="1">
      <c r="I231" s="99"/>
      <c r="J231" s="99"/>
      <c r="L231" s="99"/>
    </row>
    <row r="232" spans="9:12" s="98" customFormat="1">
      <c r="I232" s="99"/>
      <c r="J232" s="99"/>
      <c r="L232" s="99"/>
    </row>
    <row r="233" spans="9:12" s="98" customFormat="1">
      <c r="I233" s="99"/>
      <c r="J233" s="99"/>
      <c r="L233" s="99"/>
    </row>
    <row r="234" spans="9:12" s="98" customFormat="1">
      <c r="I234" s="99"/>
      <c r="J234" s="99"/>
      <c r="L234" s="99"/>
    </row>
    <row r="235" spans="9:12" s="98" customFormat="1">
      <c r="I235" s="99"/>
      <c r="J235" s="99"/>
      <c r="L235" s="99"/>
    </row>
    <row r="236" spans="9:12" s="98" customFormat="1">
      <c r="I236" s="99"/>
      <c r="J236" s="99"/>
      <c r="L236" s="99"/>
    </row>
    <row r="237" spans="9:12" s="98" customFormat="1">
      <c r="I237" s="99"/>
      <c r="J237" s="99"/>
      <c r="L237" s="99"/>
    </row>
    <row r="238" spans="9:12" s="98" customFormat="1">
      <c r="I238" s="99"/>
      <c r="J238" s="99"/>
      <c r="L238" s="99"/>
    </row>
    <row r="239" spans="9:12" s="98" customFormat="1">
      <c r="I239" s="99"/>
      <c r="J239" s="99"/>
      <c r="L239" s="99"/>
    </row>
    <row r="240" spans="9:12" s="98" customFormat="1">
      <c r="I240" s="99"/>
      <c r="J240" s="99"/>
      <c r="L240" s="99"/>
    </row>
    <row r="241" spans="9:12" s="98" customFormat="1">
      <c r="I241" s="99"/>
      <c r="J241" s="99"/>
      <c r="L241" s="99"/>
    </row>
    <row r="242" spans="9:12" s="98" customFormat="1">
      <c r="I242" s="99"/>
      <c r="J242" s="99"/>
      <c r="L242" s="99"/>
    </row>
    <row r="243" spans="9:12" s="98" customFormat="1">
      <c r="I243" s="99"/>
      <c r="J243" s="99"/>
      <c r="L243" s="99"/>
    </row>
    <row r="244" spans="9:12" s="98" customFormat="1">
      <c r="I244" s="99"/>
      <c r="J244" s="99"/>
      <c r="L244" s="99"/>
    </row>
    <row r="245" spans="9:12" s="98" customFormat="1">
      <c r="I245" s="99"/>
      <c r="J245" s="99"/>
      <c r="L245" s="99"/>
    </row>
    <row r="246" spans="9:12" s="98" customFormat="1">
      <c r="I246" s="99"/>
      <c r="J246" s="99"/>
      <c r="L246" s="99"/>
    </row>
    <row r="247" spans="9:12" s="98" customFormat="1">
      <c r="I247" s="99"/>
      <c r="J247" s="99"/>
      <c r="L247" s="99"/>
    </row>
    <row r="248" spans="9:12" s="98" customFormat="1">
      <c r="I248" s="99"/>
      <c r="J248" s="99"/>
      <c r="L248" s="99"/>
    </row>
    <row r="249" spans="9:12" s="98" customFormat="1">
      <c r="I249" s="99"/>
      <c r="J249" s="99"/>
      <c r="L249" s="99"/>
    </row>
    <row r="250" spans="9:12" s="98" customFormat="1">
      <c r="I250" s="99"/>
      <c r="J250" s="99"/>
      <c r="L250" s="99"/>
    </row>
    <row r="251" spans="9:12" s="98" customFormat="1">
      <c r="I251" s="99"/>
      <c r="J251" s="99"/>
      <c r="L251" s="99"/>
    </row>
    <row r="252" spans="9:12" s="98" customFormat="1">
      <c r="I252" s="99"/>
      <c r="J252" s="99"/>
      <c r="L252" s="99"/>
    </row>
    <row r="253" spans="9:12" s="98" customFormat="1">
      <c r="I253" s="99"/>
      <c r="J253" s="99"/>
      <c r="L253" s="99"/>
    </row>
    <row r="254" spans="9:12" s="98" customFormat="1">
      <c r="I254" s="99"/>
      <c r="J254" s="99"/>
      <c r="L254" s="99"/>
    </row>
    <row r="255" spans="9:12" s="98" customFormat="1">
      <c r="I255" s="99"/>
      <c r="J255" s="99"/>
      <c r="L255" s="99"/>
    </row>
    <row r="256" spans="9:12" s="98" customFormat="1">
      <c r="I256" s="99"/>
      <c r="J256" s="99"/>
      <c r="L256" s="99"/>
    </row>
    <row r="257" spans="9:12" s="98" customFormat="1">
      <c r="I257" s="99"/>
      <c r="J257" s="99"/>
      <c r="L257" s="99"/>
    </row>
    <row r="258" spans="9:12" s="98" customFormat="1">
      <c r="I258" s="99"/>
      <c r="J258" s="99"/>
      <c r="L258" s="99"/>
    </row>
    <row r="259" spans="9:12" s="98" customFormat="1">
      <c r="I259" s="99"/>
      <c r="J259" s="99"/>
      <c r="L259" s="99"/>
    </row>
    <row r="260" spans="9:12" s="98" customFormat="1">
      <c r="I260" s="99"/>
      <c r="J260" s="99"/>
      <c r="L260" s="99"/>
    </row>
    <row r="261" spans="9:12" s="98" customFormat="1">
      <c r="I261" s="99"/>
      <c r="J261" s="99"/>
      <c r="L261" s="99"/>
    </row>
    <row r="262" spans="9:12" s="98" customFormat="1">
      <c r="I262" s="99"/>
      <c r="J262" s="99"/>
      <c r="L262" s="99"/>
    </row>
    <row r="263" spans="9:12" s="98" customFormat="1">
      <c r="I263" s="99"/>
      <c r="J263" s="99"/>
      <c r="L263" s="99"/>
    </row>
    <row r="264" spans="9:12" s="98" customFormat="1">
      <c r="I264" s="99"/>
      <c r="J264" s="99"/>
      <c r="L264" s="99"/>
    </row>
    <row r="265" spans="9:12" s="98" customFormat="1">
      <c r="I265" s="99"/>
      <c r="J265" s="99"/>
      <c r="L265" s="99"/>
    </row>
    <row r="266" spans="9:12" s="98" customFormat="1">
      <c r="I266" s="99"/>
      <c r="J266" s="99"/>
      <c r="L266" s="99"/>
    </row>
    <row r="267" spans="9:12" s="98" customFormat="1">
      <c r="I267" s="99"/>
      <c r="J267" s="99"/>
      <c r="L267" s="99"/>
    </row>
    <row r="268" spans="9:12" s="98" customFormat="1">
      <c r="I268" s="99"/>
      <c r="J268" s="99"/>
      <c r="L268" s="99"/>
    </row>
    <row r="269" spans="9:12" s="98" customFormat="1">
      <c r="I269" s="99"/>
      <c r="J269" s="99"/>
      <c r="L269" s="99"/>
    </row>
    <row r="270" spans="9:12" s="98" customFormat="1">
      <c r="I270" s="99"/>
      <c r="J270" s="99"/>
      <c r="L270" s="99"/>
    </row>
    <row r="271" spans="9:12" s="98" customFormat="1">
      <c r="I271" s="99"/>
      <c r="J271" s="99"/>
      <c r="L271" s="99"/>
    </row>
    <row r="272" spans="9:12" s="98" customFormat="1">
      <c r="I272" s="99"/>
      <c r="J272" s="99"/>
      <c r="L272" s="99"/>
    </row>
    <row r="273" spans="9:12" s="98" customFormat="1">
      <c r="I273" s="99"/>
      <c r="J273" s="99"/>
      <c r="L273" s="99"/>
    </row>
    <row r="274" spans="9:12" s="98" customFormat="1">
      <c r="I274" s="99"/>
      <c r="J274" s="99"/>
      <c r="L274" s="99"/>
    </row>
    <row r="275" spans="9:12" s="98" customFormat="1">
      <c r="I275" s="99"/>
      <c r="J275" s="99"/>
      <c r="L275" s="99"/>
    </row>
    <row r="276" spans="9:12" s="98" customFormat="1">
      <c r="I276" s="99"/>
      <c r="J276" s="99"/>
      <c r="L276" s="99"/>
    </row>
    <row r="277" spans="9:12" s="98" customFormat="1">
      <c r="I277" s="99"/>
      <c r="J277" s="99"/>
      <c r="L277" s="99"/>
    </row>
    <row r="278" spans="9:12" s="98" customFormat="1">
      <c r="I278" s="99"/>
      <c r="J278" s="99"/>
      <c r="L278" s="99"/>
    </row>
    <row r="279" spans="9:12" s="98" customFormat="1">
      <c r="I279" s="99"/>
      <c r="J279" s="99"/>
      <c r="L279" s="99"/>
    </row>
    <row r="280" spans="9:12" s="98" customFormat="1">
      <c r="I280" s="99"/>
      <c r="J280" s="99"/>
      <c r="L280" s="99"/>
    </row>
    <row r="281" spans="9:12" s="98" customFormat="1">
      <c r="I281" s="99"/>
      <c r="J281" s="99"/>
      <c r="L281" s="99"/>
    </row>
    <row r="282" spans="9:12" s="98" customFormat="1">
      <c r="I282" s="99"/>
      <c r="J282" s="99"/>
      <c r="L282" s="99"/>
    </row>
    <row r="283" spans="9:12" s="98" customFormat="1">
      <c r="I283" s="99"/>
      <c r="J283" s="99"/>
      <c r="L283" s="99"/>
    </row>
    <row r="284" spans="9:12" s="98" customFormat="1">
      <c r="I284" s="99"/>
      <c r="J284" s="99"/>
      <c r="L284" s="99"/>
    </row>
    <row r="285" spans="9:12" s="98" customFormat="1">
      <c r="I285" s="99"/>
      <c r="J285" s="99"/>
      <c r="L285" s="99"/>
    </row>
    <row r="286" spans="9:12" s="98" customFormat="1">
      <c r="I286" s="99"/>
      <c r="J286" s="99"/>
      <c r="L286" s="99"/>
    </row>
    <row r="287" spans="9:12" s="98" customFormat="1">
      <c r="I287" s="99"/>
      <c r="J287" s="99"/>
      <c r="L287" s="99"/>
    </row>
    <row r="288" spans="9:12" s="98" customFormat="1">
      <c r="I288" s="99"/>
      <c r="J288" s="99"/>
      <c r="L288" s="99"/>
    </row>
    <row r="289" spans="9:12" s="98" customFormat="1">
      <c r="I289" s="99"/>
      <c r="J289" s="99"/>
      <c r="L289" s="99"/>
    </row>
    <row r="290" spans="9:12" s="98" customFormat="1">
      <c r="I290" s="99"/>
      <c r="J290" s="99"/>
      <c r="L290" s="99"/>
    </row>
    <row r="291" spans="9:12" s="98" customFormat="1">
      <c r="I291" s="99"/>
      <c r="J291" s="99"/>
      <c r="L291" s="99"/>
    </row>
    <row r="292" spans="9:12" s="98" customFormat="1">
      <c r="I292" s="99"/>
      <c r="J292" s="99"/>
      <c r="L292" s="99"/>
    </row>
    <row r="293" spans="9:12" s="98" customFormat="1">
      <c r="I293" s="99"/>
      <c r="J293" s="99"/>
      <c r="L293" s="99"/>
    </row>
    <row r="294" spans="9:12" s="98" customFormat="1">
      <c r="I294" s="99"/>
      <c r="J294" s="99"/>
      <c r="L294" s="99"/>
    </row>
    <row r="295" spans="9:12" s="98" customFormat="1">
      <c r="I295" s="99"/>
      <c r="J295" s="99"/>
      <c r="L295" s="99"/>
    </row>
    <row r="296" spans="9:12" s="98" customFormat="1">
      <c r="I296" s="99"/>
      <c r="J296" s="99"/>
      <c r="L296" s="99"/>
    </row>
    <row r="297" spans="9:12" s="98" customFormat="1">
      <c r="I297" s="99"/>
      <c r="J297" s="99"/>
      <c r="L297" s="99"/>
    </row>
    <row r="298" spans="9:12" s="98" customFormat="1">
      <c r="I298" s="99"/>
      <c r="J298" s="99"/>
      <c r="L298" s="99"/>
    </row>
    <row r="299" spans="9:12" s="98" customFormat="1">
      <c r="I299" s="99"/>
      <c r="J299" s="99"/>
      <c r="L299" s="99"/>
    </row>
    <row r="300" spans="9:12" s="98" customFormat="1">
      <c r="I300" s="99"/>
      <c r="J300" s="99"/>
      <c r="L300" s="99"/>
    </row>
    <row r="301" spans="9:12" s="98" customFormat="1">
      <c r="I301" s="99"/>
      <c r="J301" s="99"/>
      <c r="L301" s="99"/>
    </row>
    <row r="302" spans="9:12" s="98" customFormat="1">
      <c r="I302" s="99"/>
      <c r="J302" s="99"/>
      <c r="L302" s="99"/>
    </row>
    <row r="303" spans="9:12" s="98" customFormat="1">
      <c r="I303" s="99"/>
      <c r="J303" s="99"/>
      <c r="L303" s="99"/>
    </row>
    <row r="304" spans="9:12" s="98" customFormat="1">
      <c r="I304" s="99"/>
      <c r="J304" s="99"/>
      <c r="L304" s="99"/>
    </row>
    <row r="305" spans="9:12" s="98" customFormat="1">
      <c r="I305" s="99"/>
      <c r="J305" s="99"/>
      <c r="L305" s="99"/>
    </row>
    <row r="306" spans="9:12" s="98" customFormat="1">
      <c r="I306" s="99"/>
      <c r="J306" s="99"/>
      <c r="L306" s="99"/>
    </row>
    <row r="307" spans="9:12" s="98" customFormat="1">
      <c r="I307" s="99"/>
      <c r="J307" s="99"/>
      <c r="L307" s="99"/>
    </row>
    <row r="308" spans="9:12" s="98" customFormat="1">
      <c r="I308" s="99"/>
      <c r="J308" s="99"/>
      <c r="L308" s="99"/>
    </row>
    <row r="309" spans="9:12" s="98" customFormat="1">
      <c r="I309" s="99"/>
      <c r="J309" s="99"/>
      <c r="L309" s="99"/>
    </row>
    <row r="310" spans="9:12" s="98" customFormat="1">
      <c r="I310" s="99"/>
      <c r="J310" s="99"/>
      <c r="L310" s="99"/>
    </row>
    <row r="311" spans="9:12" s="98" customFormat="1">
      <c r="I311" s="99"/>
      <c r="J311" s="99"/>
      <c r="L311" s="99"/>
    </row>
    <row r="312" spans="9:12" s="98" customFormat="1">
      <c r="I312" s="99"/>
      <c r="J312" s="99"/>
      <c r="L312" s="99"/>
    </row>
    <row r="313" spans="9:12" s="98" customFormat="1">
      <c r="I313" s="99"/>
      <c r="J313" s="99"/>
      <c r="L313" s="99"/>
    </row>
    <row r="314" spans="9:12" s="98" customFormat="1">
      <c r="I314" s="99"/>
      <c r="J314" s="99"/>
      <c r="L314" s="99"/>
    </row>
    <row r="315" spans="9:12" s="98" customFormat="1">
      <c r="I315" s="99"/>
      <c r="J315" s="99"/>
      <c r="L315" s="99"/>
    </row>
    <row r="316" spans="9:12" s="98" customFormat="1">
      <c r="I316" s="99"/>
      <c r="J316" s="99"/>
      <c r="L316" s="99"/>
    </row>
    <row r="317" spans="9:12" s="98" customFormat="1">
      <c r="I317" s="99"/>
      <c r="J317" s="99"/>
      <c r="L317" s="99"/>
    </row>
    <row r="318" spans="9:12" s="98" customFormat="1">
      <c r="I318" s="99"/>
      <c r="J318" s="99"/>
      <c r="L318" s="99"/>
    </row>
    <row r="319" spans="9:12" s="98" customFormat="1">
      <c r="I319" s="99"/>
      <c r="J319" s="99"/>
      <c r="L319" s="99"/>
    </row>
    <row r="320" spans="9:12" s="98" customFormat="1">
      <c r="I320" s="99"/>
      <c r="J320" s="99"/>
      <c r="L320" s="99"/>
    </row>
    <row r="321" spans="9:12" s="98" customFormat="1">
      <c r="I321" s="99"/>
      <c r="J321" s="99"/>
      <c r="L321" s="99"/>
    </row>
    <row r="322" spans="9:12" s="98" customFormat="1">
      <c r="I322" s="99"/>
      <c r="J322" s="99"/>
      <c r="L322" s="99"/>
    </row>
    <row r="323" spans="9:12" s="98" customFormat="1">
      <c r="I323" s="99"/>
      <c r="J323" s="99"/>
      <c r="L323" s="99"/>
    </row>
    <row r="324" spans="9:12" s="98" customFormat="1">
      <c r="I324" s="99"/>
      <c r="J324" s="99"/>
      <c r="L324" s="99"/>
    </row>
    <row r="325" spans="9:12" s="98" customFormat="1">
      <c r="I325" s="99"/>
      <c r="J325" s="99"/>
      <c r="L325" s="99"/>
    </row>
    <row r="326" spans="9:12" s="98" customFormat="1">
      <c r="I326" s="99"/>
      <c r="J326" s="99"/>
      <c r="L326" s="99"/>
    </row>
    <row r="327" spans="9:12" s="98" customFormat="1">
      <c r="I327" s="99"/>
      <c r="J327" s="99"/>
      <c r="L327" s="99"/>
    </row>
    <row r="328" spans="9:12" s="98" customFormat="1">
      <c r="I328" s="99"/>
      <c r="J328" s="99"/>
      <c r="L328" s="99"/>
    </row>
    <row r="329" spans="9:12" s="98" customFormat="1">
      <c r="I329" s="99"/>
      <c r="J329" s="99"/>
      <c r="L329" s="99"/>
    </row>
    <row r="330" spans="9:12" s="98" customFormat="1">
      <c r="I330" s="99"/>
      <c r="J330" s="99"/>
      <c r="L330" s="99"/>
    </row>
    <row r="331" spans="9:12" s="98" customFormat="1">
      <c r="I331" s="99"/>
      <c r="J331" s="99"/>
      <c r="L331" s="99"/>
    </row>
    <row r="332" spans="9:12" s="98" customFormat="1">
      <c r="I332" s="99"/>
      <c r="J332" s="99"/>
      <c r="L332" s="99"/>
    </row>
    <row r="333" spans="9:12" s="98" customFormat="1">
      <c r="I333" s="99"/>
      <c r="J333" s="99"/>
      <c r="L333" s="99"/>
    </row>
    <row r="334" spans="9:12" s="98" customFormat="1">
      <c r="I334" s="99"/>
      <c r="J334" s="99"/>
      <c r="L334" s="99"/>
    </row>
    <row r="335" spans="9:12" s="98" customFormat="1">
      <c r="I335" s="99"/>
      <c r="J335" s="99"/>
      <c r="L335" s="99"/>
    </row>
    <row r="336" spans="9:12" s="98" customFormat="1">
      <c r="I336" s="99"/>
      <c r="J336" s="99"/>
      <c r="L336" s="99"/>
    </row>
    <row r="337" spans="9:12" s="98" customFormat="1">
      <c r="I337" s="99"/>
      <c r="J337" s="99"/>
      <c r="L337" s="99"/>
    </row>
    <row r="338" spans="9:12" s="98" customFormat="1">
      <c r="I338" s="99"/>
      <c r="J338" s="99"/>
      <c r="L338" s="99"/>
    </row>
    <row r="339" spans="9:12" s="98" customFormat="1">
      <c r="I339" s="99"/>
      <c r="J339" s="99"/>
      <c r="L339" s="99"/>
    </row>
    <row r="340" spans="9:12" s="98" customFormat="1">
      <c r="I340" s="99"/>
      <c r="J340" s="99"/>
      <c r="L340" s="99"/>
    </row>
    <row r="341" spans="9:12" s="98" customFormat="1">
      <c r="I341" s="99"/>
      <c r="J341" s="99"/>
      <c r="L341" s="99"/>
    </row>
    <row r="342" spans="9:12" s="98" customFormat="1">
      <c r="I342" s="99"/>
      <c r="J342" s="99"/>
      <c r="L342" s="99"/>
    </row>
    <row r="343" spans="9:12" s="98" customFormat="1">
      <c r="I343" s="99"/>
      <c r="J343" s="99"/>
      <c r="L343" s="99"/>
    </row>
    <row r="344" spans="9:12" s="98" customFormat="1">
      <c r="I344" s="99"/>
      <c r="J344" s="99"/>
      <c r="L344" s="99"/>
    </row>
    <row r="345" spans="9:12" s="98" customFormat="1">
      <c r="I345" s="99"/>
      <c r="J345" s="99"/>
      <c r="L345" s="99"/>
    </row>
    <row r="346" spans="9:12" s="98" customFormat="1">
      <c r="I346" s="99"/>
      <c r="J346" s="99"/>
      <c r="L346" s="99"/>
    </row>
    <row r="347" spans="9:12" s="98" customFormat="1">
      <c r="I347" s="99"/>
      <c r="J347" s="99"/>
      <c r="L347" s="99"/>
    </row>
    <row r="348" spans="9:12" s="98" customFormat="1">
      <c r="I348" s="99"/>
      <c r="J348" s="99"/>
      <c r="L348" s="99"/>
    </row>
    <row r="349" spans="9:12" s="98" customFormat="1">
      <c r="I349" s="99"/>
      <c r="J349" s="99"/>
      <c r="L349" s="99"/>
    </row>
    <row r="350" spans="9:12" s="98" customFormat="1">
      <c r="I350" s="99"/>
      <c r="J350" s="99"/>
      <c r="L350" s="99"/>
    </row>
    <row r="351" spans="9:12" s="98" customFormat="1">
      <c r="I351" s="99"/>
      <c r="J351" s="99"/>
      <c r="L351" s="99"/>
    </row>
    <row r="352" spans="9:12" s="98" customFormat="1">
      <c r="I352" s="99"/>
      <c r="J352" s="99"/>
      <c r="L352" s="99"/>
    </row>
    <row r="353" spans="9:12" s="98" customFormat="1">
      <c r="I353" s="99"/>
      <c r="J353" s="99"/>
      <c r="L353" s="99"/>
    </row>
    <row r="354" spans="9:12" s="98" customFormat="1">
      <c r="I354" s="99"/>
      <c r="J354" s="99"/>
      <c r="L354" s="99"/>
    </row>
    <row r="355" spans="9:12" s="98" customFormat="1">
      <c r="I355" s="99"/>
      <c r="J355" s="99"/>
      <c r="L355" s="99"/>
    </row>
    <row r="356" spans="9:12" s="98" customFormat="1">
      <c r="I356" s="99"/>
      <c r="J356" s="99"/>
      <c r="L356" s="99"/>
    </row>
    <row r="357" spans="9:12" s="98" customFormat="1">
      <c r="I357" s="99"/>
      <c r="J357" s="99"/>
      <c r="L357" s="99"/>
    </row>
    <row r="358" spans="9:12" s="98" customFormat="1">
      <c r="I358" s="99"/>
      <c r="J358" s="99"/>
      <c r="L358" s="99"/>
    </row>
    <row r="359" spans="9:12" s="98" customFormat="1">
      <c r="I359" s="99"/>
      <c r="J359" s="99"/>
      <c r="L359" s="99"/>
    </row>
    <row r="360" spans="9:12" s="98" customFormat="1">
      <c r="I360" s="99"/>
      <c r="J360" s="99"/>
      <c r="L360" s="99"/>
    </row>
    <row r="361" spans="9:12" s="98" customFormat="1">
      <c r="I361" s="99"/>
      <c r="J361" s="99"/>
      <c r="L361" s="99"/>
    </row>
    <row r="362" spans="9:12" s="98" customFormat="1">
      <c r="I362" s="99"/>
      <c r="J362" s="99"/>
      <c r="L362" s="99"/>
    </row>
    <row r="363" spans="9:12" s="98" customFormat="1">
      <c r="I363" s="99"/>
      <c r="J363" s="99"/>
      <c r="L363" s="99"/>
    </row>
    <row r="364" spans="9:12" s="98" customFormat="1">
      <c r="I364" s="99"/>
      <c r="J364" s="99"/>
      <c r="L364" s="99"/>
    </row>
    <row r="365" spans="9:12" s="98" customFormat="1">
      <c r="I365" s="99"/>
      <c r="J365" s="99"/>
      <c r="L365" s="99"/>
    </row>
    <row r="366" spans="9:12" s="98" customFormat="1">
      <c r="I366" s="99"/>
      <c r="J366" s="99"/>
      <c r="L366" s="99"/>
    </row>
    <row r="367" spans="9:12" s="98" customFormat="1">
      <c r="I367" s="99"/>
      <c r="J367" s="99"/>
      <c r="L367" s="99"/>
    </row>
    <row r="368" spans="9:12" s="98" customFormat="1">
      <c r="I368" s="99"/>
      <c r="J368" s="99"/>
      <c r="L368" s="99"/>
    </row>
    <row r="369" spans="9:12" s="98" customFormat="1">
      <c r="I369" s="99"/>
      <c r="J369" s="99"/>
      <c r="L369" s="99"/>
    </row>
    <row r="370" spans="9:12" s="98" customFormat="1">
      <c r="I370" s="99"/>
      <c r="J370" s="99"/>
      <c r="L370" s="99"/>
    </row>
    <row r="371" spans="9:12" s="98" customFormat="1">
      <c r="I371" s="99"/>
      <c r="J371" s="99"/>
      <c r="L371" s="99"/>
    </row>
    <row r="372" spans="9:12" s="98" customFormat="1">
      <c r="I372" s="99"/>
      <c r="J372" s="99"/>
      <c r="L372" s="99"/>
    </row>
    <row r="373" spans="9:12" s="98" customFormat="1">
      <c r="I373" s="99"/>
      <c r="J373" s="99"/>
      <c r="L373" s="99"/>
    </row>
    <row r="374" spans="9:12" s="98" customFormat="1">
      <c r="I374" s="99"/>
      <c r="J374" s="99"/>
      <c r="L374" s="99"/>
    </row>
    <row r="375" spans="9:12" s="98" customFormat="1">
      <c r="I375" s="99"/>
      <c r="J375" s="99"/>
      <c r="L375" s="99"/>
    </row>
    <row r="376" spans="9:12" s="98" customFormat="1">
      <c r="I376" s="99"/>
      <c r="J376" s="99"/>
      <c r="L376" s="99"/>
    </row>
    <row r="377" spans="9:12" s="98" customFormat="1">
      <c r="I377" s="99"/>
      <c r="J377" s="99"/>
      <c r="L377" s="99"/>
    </row>
    <row r="378" spans="9:12" s="98" customFormat="1">
      <c r="I378" s="99"/>
      <c r="J378" s="99"/>
      <c r="L378" s="99"/>
    </row>
    <row r="379" spans="9:12" s="98" customFormat="1">
      <c r="I379" s="99"/>
      <c r="J379" s="99"/>
      <c r="L379" s="99"/>
    </row>
    <row r="380" spans="9:12" s="98" customFormat="1">
      <c r="I380" s="99"/>
      <c r="J380" s="99"/>
      <c r="L380" s="99"/>
    </row>
    <row r="381" spans="9:12" s="98" customFormat="1">
      <c r="I381" s="99"/>
      <c r="J381" s="99"/>
      <c r="L381" s="99"/>
    </row>
    <row r="382" spans="9:12" s="98" customFormat="1">
      <c r="I382" s="99"/>
      <c r="J382" s="99"/>
      <c r="L382" s="99"/>
    </row>
    <row r="383" spans="9:12" s="98" customFormat="1">
      <c r="I383" s="99"/>
      <c r="J383" s="99"/>
      <c r="L383" s="99"/>
    </row>
    <row r="384" spans="9:12" s="98" customFormat="1">
      <c r="I384" s="99"/>
      <c r="J384" s="99"/>
      <c r="L384" s="99"/>
    </row>
    <row r="385" spans="9:12" s="98" customFormat="1">
      <c r="I385" s="99"/>
      <c r="J385" s="99"/>
      <c r="L385" s="99"/>
    </row>
    <row r="386" spans="9:12" s="98" customFormat="1">
      <c r="I386" s="99"/>
      <c r="J386" s="99"/>
      <c r="L386" s="99"/>
    </row>
    <row r="387" spans="9:12" s="98" customFormat="1">
      <c r="I387" s="99"/>
      <c r="J387" s="99"/>
      <c r="L387" s="99"/>
    </row>
    <row r="388" spans="9:12" s="98" customFormat="1">
      <c r="I388" s="99"/>
      <c r="J388" s="99"/>
      <c r="L388" s="99"/>
    </row>
    <row r="389" spans="9:12" s="98" customFormat="1">
      <c r="I389" s="99"/>
      <c r="J389" s="99"/>
      <c r="L389" s="99"/>
    </row>
    <row r="390" spans="9:12" s="98" customFormat="1">
      <c r="I390" s="99"/>
      <c r="J390" s="99"/>
      <c r="L390" s="99"/>
    </row>
    <row r="391" spans="9:12" s="98" customFormat="1">
      <c r="I391" s="99"/>
      <c r="J391" s="99"/>
      <c r="L391" s="99"/>
    </row>
    <row r="392" spans="9:12" s="98" customFormat="1">
      <c r="I392" s="99"/>
      <c r="J392" s="99"/>
      <c r="L392" s="99"/>
    </row>
    <row r="393" spans="9:12" s="98" customFormat="1">
      <c r="I393" s="99"/>
      <c r="J393" s="99"/>
      <c r="L393" s="99"/>
    </row>
    <row r="394" spans="9:12" s="98" customFormat="1">
      <c r="I394" s="99"/>
      <c r="J394" s="99"/>
      <c r="L394" s="99"/>
    </row>
    <row r="395" spans="9:12" s="98" customFormat="1">
      <c r="I395" s="99"/>
      <c r="J395" s="99"/>
      <c r="L395" s="99"/>
    </row>
    <row r="396" spans="9:12" s="98" customFormat="1">
      <c r="I396" s="99"/>
      <c r="J396" s="99"/>
      <c r="L396" s="99"/>
    </row>
    <row r="397" spans="9:12" s="98" customFormat="1">
      <c r="I397" s="99"/>
      <c r="J397" s="99"/>
      <c r="L397" s="99"/>
    </row>
    <row r="398" spans="9:12" s="98" customFormat="1">
      <c r="I398" s="99"/>
      <c r="J398" s="99"/>
      <c r="L398" s="99"/>
    </row>
    <row r="399" spans="9:12" s="98" customFormat="1">
      <c r="I399" s="99"/>
      <c r="J399" s="99"/>
      <c r="L399" s="99"/>
    </row>
    <row r="400" spans="9:12" s="98" customFormat="1">
      <c r="I400" s="99"/>
      <c r="J400" s="99"/>
      <c r="L400" s="99"/>
    </row>
    <row r="401" spans="9:12" s="98" customFormat="1">
      <c r="I401" s="99"/>
      <c r="J401" s="99"/>
      <c r="L401" s="99"/>
    </row>
    <row r="402" spans="9:12" s="98" customFormat="1">
      <c r="I402" s="99"/>
      <c r="J402" s="99"/>
      <c r="L402" s="99"/>
    </row>
    <row r="403" spans="9:12" s="98" customFormat="1">
      <c r="I403" s="99"/>
      <c r="J403" s="99"/>
      <c r="L403" s="99"/>
    </row>
    <row r="404" spans="9:12" s="98" customFormat="1">
      <c r="I404" s="99"/>
      <c r="J404" s="99"/>
      <c r="L404" s="99"/>
    </row>
    <row r="405" spans="9:12" s="98" customFormat="1">
      <c r="I405" s="99"/>
      <c r="J405" s="99"/>
      <c r="L405" s="99"/>
    </row>
    <row r="406" spans="9:12" s="98" customFormat="1">
      <c r="I406" s="99"/>
      <c r="J406" s="99"/>
      <c r="L406" s="99"/>
    </row>
    <row r="407" spans="9:12" s="98" customFormat="1">
      <c r="I407" s="99"/>
      <c r="J407" s="99"/>
      <c r="L407" s="99"/>
    </row>
    <row r="408" spans="9:12" s="98" customFormat="1">
      <c r="I408" s="99"/>
      <c r="J408" s="99"/>
      <c r="L408" s="99"/>
    </row>
    <row r="409" spans="9:12" s="98" customFormat="1">
      <c r="I409" s="99"/>
      <c r="J409" s="99"/>
      <c r="L409" s="99"/>
    </row>
    <row r="410" spans="9:12" s="98" customFormat="1">
      <c r="I410" s="99"/>
      <c r="J410" s="99"/>
      <c r="L410" s="99"/>
    </row>
    <row r="411" spans="9:12" s="98" customFormat="1">
      <c r="I411" s="99"/>
      <c r="J411" s="99"/>
      <c r="L411" s="99"/>
    </row>
    <row r="412" spans="9:12" s="98" customFormat="1">
      <c r="I412" s="99"/>
      <c r="J412" s="99"/>
      <c r="L412" s="99"/>
    </row>
    <row r="413" spans="9:12" s="98" customFormat="1">
      <c r="I413" s="99"/>
      <c r="J413" s="99"/>
      <c r="L413" s="99"/>
    </row>
    <row r="414" spans="9:12" s="98" customFormat="1">
      <c r="I414" s="99"/>
      <c r="J414" s="99"/>
      <c r="L414" s="99"/>
    </row>
    <row r="415" spans="9:12" s="98" customFormat="1">
      <c r="I415" s="99"/>
      <c r="J415" s="99"/>
      <c r="L415" s="99"/>
    </row>
    <row r="416" spans="9:12" s="98" customFormat="1">
      <c r="I416" s="99"/>
      <c r="J416" s="99"/>
      <c r="L416" s="99"/>
    </row>
    <row r="417" spans="9:12" s="98" customFormat="1">
      <c r="I417" s="99"/>
      <c r="J417" s="99"/>
      <c r="L417" s="99"/>
    </row>
    <row r="418" spans="9:12" s="98" customFormat="1">
      <c r="I418" s="99"/>
      <c r="J418" s="99"/>
      <c r="L418" s="99"/>
    </row>
    <row r="419" spans="9:12" s="98" customFormat="1">
      <c r="I419" s="99"/>
      <c r="J419" s="99"/>
      <c r="L419" s="99"/>
    </row>
    <row r="420" spans="9:12" s="98" customFormat="1">
      <c r="I420" s="99"/>
      <c r="J420" s="99"/>
      <c r="L420" s="99"/>
    </row>
    <row r="421" spans="9:12" s="98" customFormat="1">
      <c r="I421" s="99"/>
      <c r="J421" s="99"/>
      <c r="L421" s="99"/>
    </row>
    <row r="422" spans="9:12" s="98" customFormat="1">
      <c r="I422" s="99"/>
      <c r="J422" s="99"/>
      <c r="L422" s="99"/>
    </row>
    <row r="423" spans="9:12" s="98" customFormat="1">
      <c r="I423" s="99"/>
      <c r="J423" s="99"/>
      <c r="L423" s="99"/>
    </row>
    <row r="424" spans="9:12" s="98" customFormat="1">
      <c r="I424" s="99"/>
      <c r="J424" s="99"/>
      <c r="L424" s="99"/>
    </row>
    <row r="425" spans="9:12" s="98" customFormat="1">
      <c r="I425" s="99"/>
      <c r="J425" s="99"/>
      <c r="L425" s="99"/>
    </row>
    <row r="426" spans="9:12" s="98" customFormat="1">
      <c r="I426" s="99"/>
      <c r="J426" s="99"/>
      <c r="L426" s="99"/>
    </row>
    <row r="427" spans="9:12" s="98" customFormat="1">
      <c r="I427" s="99"/>
      <c r="J427" s="99"/>
      <c r="L427" s="99"/>
    </row>
    <row r="428" spans="9:12" s="98" customFormat="1">
      <c r="I428" s="99"/>
      <c r="J428" s="99"/>
      <c r="L428" s="99"/>
    </row>
    <row r="429" spans="9:12" s="98" customFormat="1">
      <c r="I429" s="99"/>
      <c r="J429" s="99"/>
      <c r="L429" s="99"/>
    </row>
    <row r="430" spans="9:12" s="98" customFormat="1">
      <c r="I430" s="99"/>
      <c r="J430" s="99"/>
      <c r="L430" s="99"/>
    </row>
    <row r="431" spans="9:12" s="98" customFormat="1">
      <c r="I431" s="99"/>
      <c r="J431" s="99"/>
      <c r="L431" s="99"/>
    </row>
    <row r="432" spans="9:12" s="98" customFormat="1">
      <c r="I432" s="99"/>
      <c r="J432" s="99"/>
      <c r="L432" s="99"/>
    </row>
    <row r="433" spans="9:12" s="98" customFormat="1">
      <c r="I433" s="99"/>
      <c r="J433" s="99"/>
      <c r="L433" s="99"/>
    </row>
    <row r="434" spans="9:12" s="98" customFormat="1">
      <c r="I434" s="99"/>
      <c r="J434" s="99"/>
      <c r="L434" s="99"/>
    </row>
    <row r="435" spans="9:12" s="98" customFormat="1">
      <c r="I435" s="99"/>
      <c r="J435" s="99"/>
      <c r="L435" s="99"/>
    </row>
    <row r="436" spans="9:12" s="98" customFormat="1">
      <c r="I436" s="99"/>
      <c r="J436" s="99"/>
      <c r="L436" s="99"/>
    </row>
    <row r="437" spans="9:12" s="98" customFormat="1">
      <c r="I437" s="99"/>
      <c r="J437" s="99"/>
      <c r="L437" s="99"/>
    </row>
    <row r="438" spans="9:12" s="98" customFormat="1">
      <c r="I438" s="99"/>
      <c r="J438" s="99"/>
      <c r="L438" s="99"/>
    </row>
    <row r="439" spans="9:12" s="98" customFormat="1">
      <c r="I439" s="99"/>
      <c r="J439" s="99"/>
      <c r="L439" s="99"/>
    </row>
    <row r="440" spans="9:12" s="98" customFormat="1">
      <c r="I440" s="99"/>
      <c r="J440" s="99"/>
      <c r="L440" s="99"/>
    </row>
    <row r="441" spans="9:12" s="98" customFormat="1">
      <c r="I441" s="99"/>
      <c r="J441" s="99"/>
      <c r="L441" s="99"/>
    </row>
    <row r="442" spans="9:12" s="98" customFormat="1">
      <c r="I442" s="99"/>
      <c r="J442" s="99"/>
      <c r="L442" s="99"/>
    </row>
    <row r="443" spans="9:12" s="98" customFormat="1">
      <c r="I443" s="99"/>
      <c r="J443" s="99"/>
      <c r="L443" s="99"/>
    </row>
    <row r="444" spans="9:12" s="98" customFormat="1">
      <c r="I444" s="99"/>
      <c r="J444" s="99"/>
      <c r="L444" s="99"/>
    </row>
    <row r="445" spans="9:12" s="98" customFormat="1">
      <c r="I445" s="99"/>
      <c r="J445" s="99"/>
      <c r="L445" s="99"/>
    </row>
    <row r="446" spans="9:12" s="98" customFormat="1">
      <c r="I446" s="99"/>
      <c r="J446" s="99"/>
      <c r="L446" s="99"/>
    </row>
    <row r="447" spans="9:12" s="98" customFormat="1">
      <c r="I447" s="99"/>
      <c r="J447" s="99"/>
      <c r="L447" s="99"/>
    </row>
    <row r="448" spans="9:12" s="98" customFormat="1">
      <c r="I448" s="99"/>
      <c r="J448" s="99"/>
      <c r="L448" s="99"/>
    </row>
    <row r="449" spans="9:12" s="98" customFormat="1">
      <c r="I449" s="99"/>
      <c r="J449" s="99"/>
      <c r="L449" s="99"/>
    </row>
    <row r="450" spans="9:12" s="98" customFormat="1">
      <c r="I450" s="99"/>
      <c r="J450" s="99"/>
      <c r="L450" s="99"/>
    </row>
    <row r="451" spans="9:12" s="98" customFormat="1">
      <c r="I451" s="99"/>
      <c r="J451" s="99"/>
      <c r="L451" s="99"/>
    </row>
    <row r="452" spans="9:12" s="98" customFormat="1">
      <c r="I452" s="99"/>
      <c r="J452" s="99"/>
      <c r="L452" s="99"/>
    </row>
    <row r="453" spans="9:12" s="98" customFormat="1">
      <c r="I453" s="99"/>
      <c r="J453" s="99"/>
      <c r="L453" s="99"/>
    </row>
    <row r="454" spans="9:12" s="98" customFormat="1">
      <c r="I454" s="99"/>
      <c r="J454" s="99"/>
      <c r="L454" s="99"/>
    </row>
    <row r="455" spans="9:12" s="98" customFormat="1">
      <c r="I455" s="99"/>
      <c r="J455" s="99"/>
      <c r="L455" s="99"/>
    </row>
    <row r="456" spans="9:12" s="98" customFormat="1">
      <c r="I456" s="99"/>
      <c r="J456" s="99"/>
      <c r="L456" s="99"/>
    </row>
    <row r="457" spans="9:12" s="98" customFormat="1">
      <c r="I457" s="99"/>
      <c r="J457" s="99"/>
      <c r="L457" s="99"/>
    </row>
    <row r="458" spans="9:12" s="98" customFormat="1">
      <c r="I458" s="99"/>
      <c r="J458" s="99"/>
      <c r="L458" s="99"/>
    </row>
    <row r="459" spans="9:12" s="98" customFormat="1">
      <c r="I459" s="99"/>
      <c r="J459" s="99"/>
      <c r="L459" s="99"/>
    </row>
    <row r="460" spans="9:12" s="98" customFormat="1">
      <c r="I460" s="99"/>
      <c r="J460" s="99"/>
      <c r="L460" s="99"/>
    </row>
    <row r="461" spans="9:12" s="98" customFormat="1">
      <c r="I461" s="99"/>
      <c r="J461" s="99"/>
      <c r="L461" s="99"/>
    </row>
    <row r="462" spans="9:12" s="98" customFormat="1">
      <c r="I462" s="99"/>
      <c r="J462" s="99"/>
      <c r="L462" s="99"/>
    </row>
    <row r="463" spans="9:12" s="98" customFormat="1">
      <c r="I463" s="99"/>
      <c r="J463" s="99"/>
      <c r="L463" s="99"/>
    </row>
    <row r="464" spans="9:12" s="98" customFormat="1">
      <c r="I464" s="99"/>
      <c r="J464" s="99"/>
      <c r="L464" s="99"/>
    </row>
    <row r="465" spans="9:12" s="98" customFormat="1">
      <c r="I465" s="99"/>
      <c r="J465" s="99"/>
      <c r="L465" s="99"/>
    </row>
    <row r="466" spans="9:12" s="98" customFormat="1">
      <c r="I466" s="99"/>
      <c r="J466" s="99"/>
      <c r="L466" s="99"/>
    </row>
    <row r="467" spans="9:12" s="98" customFormat="1">
      <c r="I467" s="99"/>
      <c r="J467" s="99"/>
      <c r="L467" s="99"/>
    </row>
    <row r="468" spans="9:12" s="98" customFormat="1">
      <c r="I468" s="99"/>
      <c r="J468" s="99"/>
      <c r="L468" s="99"/>
    </row>
    <row r="469" spans="9:12" s="98" customFormat="1">
      <c r="I469" s="99"/>
      <c r="J469" s="99"/>
      <c r="L469" s="99"/>
    </row>
    <row r="470" spans="9:12" s="98" customFormat="1">
      <c r="I470" s="99"/>
      <c r="J470" s="99"/>
      <c r="L470" s="99"/>
    </row>
    <row r="471" spans="9:12" s="98" customFormat="1">
      <c r="I471" s="99"/>
      <c r="J471" s="99"/>
      <c r="L471" s="99"/>
    </row>
    <row r="472" spans="9:12" s="98" customFormat="1">
      <c r="I472" s="99"/>
      <c r="J472" s="99"/>
      <c r="L472" s="99"/>
    </row>
    <row r="473" spans="9:12" s="98" customFormat="1">
      <c r="I473" s="99"/>
      <c r="J473" s="99"/>
      <c r="L473" s="99"/>
    </row>
    <row r="474" spans="9:12" s="98" customFormat="1">
      <c r="I474" s="99"/>
      <c r="J474" s="99"/>
      <c r="L474" s="99"/>
    </row>
    <row r="475" spans="9:12" s="98" customFormat="1">
      <c r="I475" s="99"/>
      <c r="J475" s="99"/>
      <c r="L475" s="99"/>
    </row>
    <row r="476" spans="9:12" s="98" customFormat="1">
      <c r="I476" s="99"/>
      <c r="J476" s="99"/>
      <c r="L476" s="99"/>
    </row>
    <row r="477" spans="9:12" s="98" customFormat="1">
      <c r="I477" s="99"/>
      <c r="J477" s="99"/>
      <c r="L477" s="99"/>
    </row>
    <row r="478" spans="9:12" s="98" customFormat="1">
      <c r="I478" s="99"/>
      <c r="J478" s="99"/>
      <c r="L478" s="99"/>
    </row>
    <row r="479" spans="9:12" s="98" customFormat="1">
      <c r="I479" s="99"/>
      <c r="J479" s="99"/>
      <c r="L479" s="99"/>
    </row>
    <row r="480" spans="9:12" s="98" customFormat="1">
      <c r="I480" s="99"/>
      <c r="J480" s="99"/>
      <c r="L480" s="99"/>
    </row>
    <row r="481" spans="9:12" s="98" customFormat="1">
      <c r="I481" s="99"/>
      <c r="J481" s="99"/>
      <c r="L481" s="99"/>
    </row>
    <row r="482" spans="9:12" s="98" customFormat="1">
      <c r="I482" s="99"/>
      <c r="J482" s="99"/>
      <c r="L482" s="99"/>
    </row>
    <row r="483" spans="9:12" s="98" customFormat="1">
      <c r="I483" s="99"/>
      <c r="J483" s="99"/>
      <c r="L483" s="99"/>
    </row>
    <row r="484" spans="9:12" s="98" customFormat="1">
      <c r="I484" s="99"/>
      <c r="J484" s="99"/>
      <c r="L484" s="99"/>
    </row>
    <row r="485" spans="9:12" s="98" customFormat="1">
      <c r="I485" s="99"/>
      <c r="J485" s="99"/>
      <c r="L485" s="99"/>
    </row>
    <row r="486" spans="9:12" s="98" customFormat="1">
      <c r="I486" s="99"/>
      <c r="J486" s="99"/>
      <c r="L486" s="99"/>
    </row>
    <row r="487" spans="9:12" s="98" customFormat="1">
      <c r="I487" s="99"/>
      <c r="J487" s="99"/>
      <c r="L487" s="99"/>
    </row>
    <row r="488" spans="9:12" s="98" customFormat="1">
      <c r="I488" s="99"/>
      <c r="J488" s="99"/>
      <c r="L488" s="99"/>
    </row>
    <row r="489" spans="9:12" s="98" customFormat="1">
      <c r="I489" s="99"/>
      <c r="J489" s="99"/>
      <c r="L489" s="99"/>
    </row>
    <row r="490" spans="9:12" s="98" customFormat="1">
      <c r="I490" s="99"/>
      <c r="J490" s="99"/>
      <c r="L490" s="99"/>
    </row>
    <row r="491" spans="9:12" s="98" customFormat="1">
      <c r="I491" s="99"/>
      <c r="J491" s="99"/>
      <c r="L491" s="99"/>
    </row>
    <row r="492" spans="9:12" s="98" customFormat="1">
      <c r="I492" s="99"/>
      <c r="J492" s="99"/>
      <c r="L492" s="99"/>
    </row>
    <row r="493" spans="9:12" s="98" customFormat="1">
      <c r="I493" s="99"/>
      <c r="J493" s="99"/>
      <c r="L493" s="99"/>
    </row>
    <row r="494" spans="9:12" s="98" customFormat="1">
      <c r="I494" s="99"/>
      <c r="J494" s="99"/>
      <c r="L494" s="99"/>
    </row>
    <row r="495" spans="9:12" s="98" customFormat="1">
      <c r="I495" s="99"/>
      <c r="J495" s="99"/>
      <c r="L495" s="99"/>
    </row>
    <row r="496" spans="9:12" s="98" customFormat="1">
      <c r="I496" s="99"/>
      <c r="J496" s="99"/>
      <c r="L496" s="99"/>
    </row>
    <row r="497" spans="9:12" s="98" customFormat="1">
      <c r="I497" s="99"/>
      <c r="J497" s="99"/>
      <c r="L497" s="99"/>
    </row>
    <row r="498" spans="9:12" s="98" customFormat="1">
      <c r="I498" s="99"/>
      <c r="J498" s="99"/>
      <c r="L498" s="99"/>
    </row>
    <row r="499" spans="9:12" s="98" customFormat="1">
      <c r="I499" s="99"/>
      <c r="J499" s="99"/>
      <c r="L499" s="99"/>
    </row>
    <row r="500" spans="9:12" s="98" customFormat="1">
      <c r="I500" s="99"/>
      <c r="J500" s="99"/>
      <c r="L500" s="99"/>
    </row>
    <row r="501" spans="9:12" s="98" customFormat="1">
      <c r="I501" s="99"/>
      <c r="J501" s="99"/>
      <c r="L501" s="99"/>
    </row>
    <row r="502" spans="9:12" s="98" customFormat="1">
      <c r="I502" s="99"/>
      <c r="J502" s="99"/>
      <c r="L502" s="99"/>
    </row>
    <row r="503" spans="9:12" s="98" customFormat="1">
      <c r="I503" s="99"/>
      <c r="J503" s="99"/>
      <c r="L503" s="99"/>
    </row>
    <row r="504" spans="9:12" s="98" customFormat="1">
      <c r="I504" s="99"/>
      <c r="J504" s="99"/>
      <c r="L504" s="99"/>
    </row>
    <row r="505" spans="9:12" s="98" customFormat="1">
      <c r="I505" s="99"/>
      <c r="J505" s="99"/>
      <c r="L505" s="99"/>
    </row>
    <row r="506" spans="9:12" s="98" customFormat="1">
      <c r="I506" s="99"/>
      <c r="J506" s="99"/>
      <c r="L506" s="99"/>
    </row>
    <row r="507" spans="9:12" s="98" customFormat="1">
      <c r="I507" s="99"/>
      <c r="J507" s="99"/>
      <c r="L507" s="99"/>
    </row>
    <row r="508" spans="9:12" s="98" customFormat="1">
      <c r="I508" s="99"/>
      <c r="J508" s="99"/>
      <c r="L508" s="99"/>
    </row>
    <row r="509" spans="9:12" s="98" customFormat="1">
      <c r="I509" s="99"/>
      <c r="J509" s="99"/>
      <c r="L509" s="99"/>
    </row>
    <row r="510" spans="9:12" s="98" customFormat="1">
      <c r="I510" s="99"/>
      <c r="J510" s="99"/>
      <c r="L510" s="99"/>
    </row>
    <row r="511" spans="9:12" s="98" customFormat="1">
      <c r="I511" s="99"/>
      <c r="J511" s="99"/>
      <c r="L511" s="99"/>
    </row>
    <row r="512" spans="9:12" s="98" customFormat="1">
      <c r="I512" s="99"/>
      <c r="J512" s="99"/>
      <c r="L512" s="99"/>
    </row>
    <row r="513" spans="9:12" s="98" customFormat="1">
      <c r="I513" s="99"/>
      <c r="J513" s="99"/>
      <c r="L513" s="99"/>
    </row>
    <row r="514" spans="9:12" s="98" customFormat="1">
      <c r="I514" s="99"/>
      <c r="J514" s="99"/>
      <c r="L514" s="99"/>
    </row>
    <row r="515" spans="9:12" s="98" customFormat="1">
      <c r="I515" s="99"/>
      <c r="J515" s="99"/>
      <c r="L515" s="99"/>
    </row>
    <row r="516" spans="9:12" s="98" customFormat="1">
      <c r="I516" s="99"/>
      <c r="J516" s="99"/>
      <c r="L516" s="99"/>
    </row>
    <row r="517" spans="9:12" s="98" customFormat="1">
      <c r="I517" s="99"/>
      <c r="J517" s="99"/>
      <c r="L517" s="99"/>
    </row>
    <row r="518" spans="9:12" s="98" customFormat="1">
      <c r="I518" s="99"/>
      <c r="J518" s="99"/>
      <c r="L518" s="99"/>
    </row>
    <row r="519" spans="9:12" s="98" customFormat="1">
      <c r="I519" s="99"/>
      <c r="J519" s="99"/>
      <c r="L519" s="99"/>
    </row>
    <row r="520" spans="9:12" s="98" customFormat="1">
      <c r="I520" s="99"/>
      <c r="J520" s="99"/>
      <c r="L520" s="99"/>
    </row>
    <row r="521" spans="9:12" s="98" customFormat="1">
      <c r="I521" s="99"/>
      <c r="J521" s="99"/>
      <c r="L521" s="99"/>
    </row>
    <row r="522" spans="9:12" s="98" customFormat="1">
      <c r="I522" s="99"/>
      <c r="J522" s="99"/>
      <c r="L522" s="99"/>
    </row>
    <row r="523" spans="9:12" s="98" customFormat="1">
      <c r="I523" s="99"/>
      <c r="J523" s="99"/>
      <c r="L523" s="99"/>
    </row>
    <row r="524" spans="9:12" s="98" customFormat="1">
      <c r="I524" s="99"/>
      <c r="J524" s="99"/>
      <c r="L524" s="99"/>
    </row>
    <row r="525" spans="9:12" s="98" customFormat="1">
      <c r="I525" s="99"/>
      <c r="J525" s="99"/>
      <c r="L525" s="99"/>
    </row>
    <row r="526" spans="9:12" s="98" customFormat="1">
      <c r="I526" s="99"/>
      <c r="J526" s="99"/>
      <c r="L526" s="99"/>
    </row>
    <row r="527" spans="9:12" s="98" customFormat="1">
      <c r="I527" s="99"/>
      <c r="J527" s="99"/>
      <c r="L527" s="99"/>
    </row>
    <row r="528" spans="9:12" s="98" customFormat="1">
      <c r="I528" s="99"/>
      <c r="J528" s="99"/>
      <c r="L528" s="99"/>
    </row>
    <row r="529" spans="9:12" s="98" customFormat="1">
      <c r="I529" s="99"/>
      <c r="J529" s="99"/>
      <c r="L529" s="99"/>
    </row>
    <row r="530" spans="9:12" s="98" customFormat="1">
      <c r="I530" s="99"/>
      <c r="J530" s="99"/>
      <c r="L530" s="99"/>
    </row>
    <row r="531" spans="9:12" s="98" customFormat="1">
      <c r="I531" s="99"/>
      <c r="J531" s="99"/>
      <c r="L531" s="99"/>
    </row>
    <row r="532" spans="9:12" s="98" customFormat="1">
      <c r="I532" s="99"/>
      <c r="J532" s="99"/>
      <c r="L532" s="99"/>
    </row>
    <row r="533" spans="9:12" s="98" customFormat="1">
      <c r="I533" s="99"/>
      <c r="J533" s="99"/>
      <c r="L533" s="99"/>
    </row>
    <row r="534" spans="9:12" s="98" customFormat="1">
      <c r="I534" s="99"/>
      <c r="J534" s="99"/>
      <c r="L534" s="99"/>
    </row>
    <row r="535" spans="9:12" s="98" customFormat="1">
      <c r="I535" s="99"/>
      <c r="J535" s="99"/>
      <c r="L535" s="99"/>
    </row>
    <row r="536" spans="9:12" s="98" customFormat="1">
      <c r="I536" s="99"/>
      <c r="J536" s="99"/>
      <c r="L536" s="99"/>
    </row>
    <row r="537" spans="9:12" s="98" customFormat="1">
      <c r="I537" s="99"/>
      <c r="J537" s="99"/>
      <c r="L537" s="99"/>
    </row>
    <row r="538" spans="9:12" s="98" customFormat="1">
      <c r="I538" s="99"/>
      <c r="J538" s="99"/>
      <c r="L538" s="99"/>
    </row>
    <row r="539" spans="9:12" s="98" customFormat="1">
      <c r="I539" s="99"/>
      <c r="J539" s="99"/>
      <c r="L539" s="99"/>
    </row>
    <row r="540" spans="9:12" s="98" customFormat="1">
      <c r="I540" s="99"/>
      <c r="J540" s="99"/>
      <c r="L540" s="99"/>
    </row>
    <row r="541" spans="9:12" s="98" customFormat="1">
      <c r="I541" s="99"/>
      <c r="J541" s="99"/>
      <c r="L541" s="99"/>
    </row>
    <row r="542" spans="9:12" s="98" customFormat="1">
      <c r="I542" s="99"/>
      <c r="J542" s="99"/>
      <c r="L542" s="99"/>
    </row>
    <row r="543" spans="9:12" s="98" customFormat="1">
      <c r="I543" s="99"/>
      <c r="J543" s="99"/>
      <c r="L543" s="99"/>
    </row>
    <row r="544" spans="9:12" s="98" customFormat="1">
      <c r="I544" s="99"/>
      <c r="J544" s="99"/>
      <c r="L544" s="99"/>
    </row>
    <row r="545" spans="9:12" s="98" customFormat="1">
      <c r="I545" s="99"/>
      <c r="J545" s="99"/>
      <c r="L545" s="99"/>
    </row>
    <row r="546" spans="9:12" s="98" customFormat="1">
      <c r="I546" s="99"/>
      <c r="J546" s="99"/>
      <c r="L546" s="99"/>
    </row>
    <row r="547" spans="9:12" s="98" customFormat="1">
      <c r="I547" s="99"/>
      <c r="J547" s="99"/>
      <c r="L547" s="99"/>
    </row>
    <row r="548" spans="9:12" s="98" customFormat="1">
      <c r="I548" s="99"/>
      <c r="J548" s="99"/>
      <c r="L548" s="99"/>
    </row>
    <row r="549" spans="9:12" s="98" customFormat="1">
      <c r="I549" s="99"/>
      <c r="J549" s="99"/>
      <c r="L549" s="99"/>
    </row>
    <row r="550" spans="9:12" s="98" customFormat="1">
      <c r="I550" s="99"/>
      <c r="J550" s="99"/>
      <c r="L550" s="99"/>
    </row>
    <row r="551" spans="9:12" s="98" customFormat="1">
      <c r="I551" s="99"/>
      <c r="J551" s="99"/>
      <c r="L551" s="99"/>
    </row>
    <row r="552" spans="9:12" s="98" customFormat="1">
      <c r="I552" s="99"/>
      <c r="J552" s="99"/>
      <c r="L552" s="99"/>
    </row>
    <row r="553" spans="9:12" s="98" customFormat="1">
      <c r="I553" s="99"/>
      <c r="J553" s="99"/>
      <c r="L553" s="99"/>
    </row>
    <row r="554" spans="9:12" s="98" customFormat="1">
      <c r="I554" s="99"/>
      <c r="J554" s="99"/>
      <c r="L554" s="99"/>
    </row>
    <row r="555" spans="9:12" s="98" customFormat="1">
      <c r="I555" s="99"/>
      <c r="J555" s="99"/>
      <c r="L555" s="99"/>
    </row>
    <row r="556" spans="9:12" s="98" customFormat="1">
      <c r="I556" s="99"/>
      <c r="J556" s="99"/>
      <c r="L556" s="99"/>
    </row>
    <row r="557" spans="9:12" s="98" customFormat="1">
      <c r="I557" s="99"/>
      <c r="J557" s="99"/>
      <c r="L557" s="99"/>
    </row>
    <row r="558" spans="9:12" s="98" customFormat="1">
      <c r="I558" s="99"/>
      <c r="J558" s="99"/>
      <c r="L558" s="99"/>
    </row>
    <row r="559" spans="9:12" s="98" customFormat="1">
      <c r="I559" s="99"/>
      <c r="J559" s="99"/>
      <c r="L559" s="99"/>
    </row>
    <row r="560" spans="9:12" s="98" customFormat="1">
      <c r="I560" s="99"/>
      <c r="J560" s="99"/>
      <c r="L560" s="99"/>
    </row>
    <row r="561" spans="9:12" s="98" customFormat="1">
      <c r="I561" s="99"/>
      <c r="J561" s="99"/>
      <c r="L561" s="99"/>
    </row>
    <row r="562" spans="9:12" s="98" customFormat="1">
      <c r="I562" s="99"/>
      <c r="J562" s="99"/>
      <c r="L562" s="99"/>
    </row>
    <row r="563" spans="9:12" s="98" customFormat="1">
      <c r="I563" s="99"/>
      <c r="J563" s="99"/>
      <c r="L563" s="99"/>
    </row>
    <row r="564" spans="9:12" s="98" customFormat="1">
      <c r="I564" s="99"/>
      <c r="J564" s="99"/>
      <c r="L564" s="99"/>
    </row>
    <row r="565" spans="9:12" s="98" customFormat="1">
      <c r="I565" s="99"/>
      <c r="J565" s="99"/>
      <c r="L565" s="99"/>
    </row>
    <row r="566" spans="9:12" s="98" customFormat="1">
      <c r="I566" s="99"/>
      <c r="J566" s="99"/>
      <c r="L566" s="99"/>
    </row>
    <row r="567" spans="9:12" s="98" customFormat="1">
      <c r="I567" s="99"/>
      <c r="J567" s="99"/>
      <c r="L567" s="99"/>
    </row>
    <row r="568" spans="9:12" s="98" customFormat="1">
      <c r="I568" s="99"/>
      <c r="J568" s="99"/>
      <c r="L568" s="99"/>
    </row>
    <row r="569" spans="9:12" s="98" customFormat="1">
      <c r="I569" s="99"/>
      <c r="J569" s="99"/>
      <c r="L569" s="99"/>
    </row>
    <row r="570" spans="9:12" s="98" customFormat="1">
      <c r="I570" s="99"/>
      <c r="J570" s="99"/>
      <c r="L570" s="99"/>
    </row>
    <row r="571" spans="9:12" s="98" customFormat="1">
      <c r="I571" s="99"/>
      <c r="J571" s="99"/>
      <c r="L571" s="99"/>
    </row>
    <row r="572" spans="9:12" s="98" customFormat="1">
      <c r="I572" s="99"/>
      <c r="J572" s="99"/>
      <c r="L572" s="99"/>
    </row>
    <row r="573" spans="9:12" s="98" customFormat="1">
      <c r="I573" s="99"/>
      <c r="J573" s="99"/>
      <c r="L573" s="99"/>
    </row>
    <row r="574" spans="9:12" s="98" customFormat="1">
      <c r="I574" s="99"/>
      <c r="J574" s="99"/>
      <c r="L574" s="99"/>
    </row>
    <row r="575" spans="9:12" s="98" customFormat="1">
      <c r="I575" s="99"/>
      <c r="J575" s="99"/>
      <c r="L575" s="99"/>
    </row>
    <row r="576" spans="9:12" s="98" customFormat="1">
      <c r="I576" s="99"/>
      <c r="J576" s="99"/>
      <c r="L576" s="99"/>
    </row>
    <row r="577" spans="9:12" s="98" customFormat="1">
      <c r="I577" s="99"/>
      <c r="J577" s="99"/>
      <c r="L577" s="99"/>
    </row>
    <row r="578" spans="9:12" s="98" customFormat="1">
      <c r="I578" s="99"/>
      <c r="J578" s="99"/>
      <c r="L578" s="99"/>
    </row>
    <row r="579" spans="9:12" s="98" customFormat="1">
      <c r="I579" s="99"/>
      <c r="J579" s="99"/>
      <c r="L579" s="99"/>
    </row>
    <row r="580" spans="9:12" s="98" customFormat="1">
      <c r="I580" s="99"/>
      <c r="J580" s="99"/>
      <c r="L580" s="99"/>
    </row>
    <row r="581" spans="9:12" s="98" customFormat="1">
      <c r="I581" s="99"/>
      <c r="J581" s="99"/>
      <c r="L581" s="99"/>
    </row>
    <row r="582" spans="9:12" s="98" customFormat="1">
      <c r="I582" s="99"/>
      <c r="J582" s="99"/>
      <c r="L582" s="99"/>
    </row>
    <row r="583" spans="9:12" s="98" customFormat="1">
      <c r="I583" s="99"/>
      <c r="J583" s="99"/>
      <c r="L583" s="99"/>
    </row>
    <row r="584" spans="9:12" s="98" customFormat="1">
      <c r="I584" s="99"/>
      <c r="J584" s="99"/>
      <c r="L584" s="99"/>
    </row>
    <row r="585" spans="9:12" s="98" customFormat="1">
      <c r="I585" s="99"/>
      <c r="J585" s="99"/>
      <c r="L585" s="99"/>
    </row>
    <row r="586" spans="9:12" s="98" customFormat="1">
      <c r="I586" s="99"/>
      <c r="J586" s="99"/>
      <c r="L586" s="99"/>
    </row>
    <row r="587" spans="9:12" s="98" customFormat="1">
      <c r="I587" s="99"/>
      <c r="J587" s="99"/>
      <c r="L587" s="99"/>
    </row>
    <row r="588" spans="9:12" s="98" customFormat="1">
      <c r="I588" s="99"/>
      <c r="J588" s="99"/>
      <c r="L588" s="99"/>
    </row>
    <row r="589" spans="9:12" s="98" customFormat="1">
      <c r="I589" s="99"/>
      <c r="J589" s="99"/>
      <c r="L589" s="99"/>
    </row>
    <row r="590" spans="9:12" s="98" customFormat="1">
      <c r="I590" s="99"/>
      <c r="J590" s="99"/>
      <c r="L590" s="99"/>
    </row>
    <row r="591" spans="9:12" s="98" customFormat="1">
      <c r="I591" s="99"/>
      <c r="J591" s="99"/>
      <c r="L591" s="99"/>
    </row>
    <row r="592" spans="9:12" s="98" customFormat="1">
      <c r="I592" s="99"/>
      <c r="J592" s="99"/>
      <c r="L592" s="99"/>
    </row>
    <row r="593" spans="9:12" s="98" customFormat="1">
      <c r="I593" s="99"/>
      <c r="J593" s="99"/>
      <c r="L593" s="99"/>
    </row>
    <row r="594" spans="9:12" s="98" customFormat="1">
      <c r="I594" s="99"/>
      <c r="J594" s="99"/>
      <c r="L594" s="99"/>
    </row>
    <row r="595" spans="9:12" s="98" customFormat="1">
      <c r="I595" s="99"/>
      <c r="J595" s="99"/>
      <c r="L595" s="99"/>
    </row>
    <row r="596" spans="9:12" s="98" customFormat="1">
      <c r="I596" s="99"/>
      <c r="J596" s="99"/>
      <c r="L596" s="99"/>
    </row>
    <row r="597" spans="9:12" s="98" customFormat="1">
      <c r="I597" s="99"/>
      <c r="J597" s="99"/>
      <c r="L597" s="99"/>
    </row>
    <row r="598" spans="9:12" s="98" customFormat="1">
      <c r="I598" s="99"/>
      <c r="J598" s="99"/>
      <c r="L598" s="99"/>
    </row>
    <row r="599" spans="9:12" s="98" customFormat="1">
      <c r="I599" s="99"/>
      <c r="J599" s="99"/>
      <c r="L599" s="99"/>
    </row>
    <row r="600" spans="9:12" s="98" customFormat="1">
      <c r="I600" s="99"/>
      <c r="J600" s="99"/>
      <c r="L600" s="99"/>
    </row>
    <row r="601" spans="9:12" s="98" customFormat="1">
      <c r="I601" s="99"/>
      <c r="J601" s="99"/>
      <c r="L601" s="99"/>
    </row>
    <row r="602" spans="9:12" s="98" customFormat="1">
      <c r="I602" s="99"/>
      <c r="J602" s="99"/>
      <c r="L602" s="99"/>
    </row>
    <row r="603" spans="9:12" s="98" customFormat="1">
      <c r="I603" s="99"/>
      <c r="J603" s="99"/>
      <c r="L603" s="99"/>
    </row>
    <row r="604" spans="9:12" s="98" customFormat="1">
      <c r="I604" s="99"/>
      <c r="J604" s="99"/>
      <c r="L604" s="99"/>
    </row>
    <row r="605" spans="9:12" s="98" customFormat="1">
      <c r="I605" s="99"/>
      <c r="J605" s="99"/>
      <c r="L605" s="99"/>
    </row>
    <row r="606" spans="9:12" s="98" customFormat="1">
      <c r="I606" s="99"/>
      <c r="J606" s="99"/>
      <c r="L606" s="99"/>
    </row>
    <row r="607" spans="9:12" s="98" customFormat="1">
      <c r="I607" s="99"/>
      <c r="J607" s="99"/>
      <c r="L607" s="99"/>
    </row>
    <row r="608" spans="9:12" s="98" customFormat="1">
      <c r="I608" s="99"/>
      <c r="J608" s="99"/>
      <c r="L608" s="99"/>
    </row>
    <row r="609" spans="9:12" s="98" customFormat="1">
      <c r="I609" s="99"/>
      <c r="J609" s="99"/>
      <c r="L609" s="99"/>
    </row>
    <row r="610" spans="9:12" s="98" customFormat="1">
      <c r="I610" s="99"/>
      <c r="J610" s="99"/>
      <c r="L610" s="99"/>
    </row>
    <row r="611" spans="9:12" s="98" customFormat="1">
      <c r="I611" s="99"/>
      <c r="J611" s="99"/>
      <c r="L611" s="99"/>
    </row>
    <row r="612" spans="9:12" s="98" customFormat="1">
      <c r="I612" s="99"/>
      <c r="J612" s="99"/>
      <c r="L612" s="99"/>
    </row>
    <row r="613" spans="9:12" s="98" customFormat="1">
      <c r="I613" s="99"/>
      <c r="J613" s="99"/>
      <c r="L613" s="99"/>
    </row>
    <row r="614" spans="9:12" s="98" customFormat="1">
      <c r="I614" s="99"/>
      <c r="J614" s="99"/>
      <c r="L614" s="99"/>
    </row>
    <row r="615" spans="9:12" s="98" customFormat="1">
      <c r="I615" s="99"/>
      <c r="J615" s="99"/>
      <c r="L615" s="99"/>
    </row>
    <row r="616" spans="9:12" s="98" customFormat="1">
      <c r="I616" s="99"/>
      <c r="J616" s="99"/>
      <c r="L616" s="99"/>
    </row>
    <row r="617" spans="9:12" s="98" customFormat="1">
      <c r="I617" s="99"/>
      <c r="J617" s="99"/>
      <c r="L617" s="99"/>
    </row>
    <row r="618" spans="9:12" s="98" customFormat="1">
      <c r="I618" s="99"/>
      <c r="J618" s="99"/>
      <c r="L618" s="99"/>
    </row>
    <row r="619" spans="9:12" s="98" customFormat="1">
      <c r="I619" s="99"/>
      <c r="J619" s="99"/>
      <c r="L619" s="99"/>
    </row>
    <row r="620" spans="9:12" s="98" customFormat="1">
      <c r="I620" s="99"/>
      <c r="J620" s="99"/>
      <c r="L620" s="99"/>
    </row>
    <row r="621" spans="9:12" s="98" customFormat="1">
      <c r="I621" s="99"/>
      <c r="J621" s="99"/>
      <c r="L621" s="99"/>
    </row>
    <row r="622" spans="9:12" s="98" customFormat="1">
      <c r="I622" s="99"/>
      <c r="J622" s="99"/>
      <c r="L622" s="99"/>
    </row>
    <row r="623" spans="9:12" s="98" customFormat="1">
      <c r="I623" s="99"/>
      <c r="J623" s="99"/>
      <c r="L623" s="99"/>
    </row>
    <row r="624" spans="9:12" s="98" customFormat="1">
      <c r="I624" s="99"/>
      <c r="J624" s="99"/>
      <c r="L624" s="99"/>
    </row>
    <row r="625" spans="9:12" s="98" customFormat="1">
      <c r="I625" s="99"/>
      <c r="J625" s="99"/>
      <c r="L625" s="99"/>
    </row>
    <row r="626" spans="9:12" s="98" customFormat="1">
      <c r="I626" s="99"/>
      <c r="J626" s="99"/>
      <c r="L626" s="99"/>
    </row>
    <row r="627" spans="9:12" s="98" customFormat="1">
      <c r="I627" s="99"/>
      <c r="J627" s="99"/>
      <c r="L627" s="99"/>
    </row>
    <row r="628" spans="9:12" s="98" customFormat="1">
      <c r="I628" s="99"/>
      <c r="J628" s="99"/>
      <c r="L628" s="99"/>
    </row>
    <row r="629" spans="9:12" s="98" customFormat="1">
      <c r="I629" s="99"/>
      <c r="J629" s="99"/>
      <c r="L629" s="99"/>
    </row>
    <row r="630" spans="9:12" s="98" customFormat="1">
      <c r="I630" s="99"/>
      <c r="J630" s="99"/>
      <c r="L630" s="99"/>
    </row>
    <row r="631" spans="9:12" s="98" customFormat="1">
      <c r="I631" s="99"/>
      <c r="J631" s="99"/>
      <c r="L631" s="99"/>
    </row>
    <row r="632" spans="9:12" s="98" customFormat="1">
      <c r="I632" s="99"/>
      <c r="J632" s="99"/>
      <c r="L632" s="99"/>
    </row>
    <row r="633" spans="9:12" s="98" customFormat="1">
      <c r="I633" s="99"/>
      <c r="J633" s="99"/>
      <c r="L633" s="99"/>
    </row>
    <row r="634" spans="9:12" s="98" customFormat="1">
      <c r="I634" s="99"/>
      <c r="J634" s="99"/>
      <c r="L634" s="99"/>
    </row>
    <row r="635" spans="9:12" s="98" customFormat="1">
      <c r="I635" s="99"/>
      <c r="J635" s="99"/>
      <c r="L635" s="99"/>
    </row>
    <row r="636" spans="9:12" s="98" customFormat="1">
      <c r="I636" s="99"/>
      <c r="J636" s="99"/>
      <c r="L636" s="99"/>
    </row>
    <row r="637" spans="9:12" s="98" customFormat="1">
      <c r="I637" s="99"/>
      <c r="J637" s="99"/>
      <c r="L637" s="99"/>
    </row>
    <row r="638" spans="9:12" s="98" customFormat="1">
      <c r="I638" s="99"/>
      <c r="J638" s="99"/>
      <c r="L638" s="99"/>
    </row>
    <row r="639" spans="9:12" s="98" customFormat="1">
      <c r="I639" s="99"/>
      <c r="J639" s="99"/>
      <c r="L639" s="99"/>
    </row>
    <row r="640" spans="9:12" s="98" customFormat="1">
      <c r="I640" s="99"/>
      <c r="J640" s="99"/>
      <c r="L640" s="99"/>
    </row>
    <row r="641" spans="9:12" s="98" customFormat="1">
      <c r="I641" s="99"/>
      <c r="J641" s="99"/>
      <c r="L641" s="99"/>
    </row>
    <row r="642" spans="9:12" s="98" customFormat="1">
      <c r="I642" s="99"/>
      <c r="J642" s="99"/>
      <c r="L642" s="99"/>
    </row>
    <row r="643" spans="9:12" s="98" customFormat="1">
      <c r="I643" s="99"/>
      <c r="J643" s="99"/>
      <c r="L643" s="99"/>
    </row>
    <row r="644" spans="9:12" s="98" customFormat="1">
      <c r="I644" s="99"/>
      <c r="J644" s="99"/>
      <c r="L644" s="99"/>
    </row>
    <row r="645" spans="9:12" s="98" customFormat="1">
      <c r="I645" s="99"/>
      <c r="J645" s="99"/>
      <c r="L645" s="99"/>
    </row>
    <row r="646" spans="9:12" s="98" customFormat="1">
      <c r="I646" s="99"/>
      <c r="J646" s="99"/>
      <c r="L646" s="99"/>
    </row>
    <row r="647" spans="9:12" s="98" customFormat="1">
      <c r="I647" s="99"/>
      <c r="J647" s="99"/>
      <c r="L647" s="99"/>
    </row>
    <row r="648" spans="9:12" s="98" customFormat="1">
      <c r="I648" s="99"/>
      <c r="J648" s="99"/>
      <c r="L648" s="99"/>
    </row>
    <row r="649" spans="9:12" s="98" customFormat="1">
      <c r="I649" s="99"/>
      <c r="J649" s="99"/>
      <c r="L649" s="99"/>
    </row>
    <row r="650" spans="9:12" s="98" customFormat="1">
      <c r="I650" s="99"/>
      <c r="J650" s="99"/>
      <c r="L650" s="99"/>
    </row>
    <row r="651" spans="9:12" s="98" customFormat="1">
      <c r="I651" s="99"/>
      <c r="J651" s="99"/>
      <c r="L651" s="99"/>
    </row>
    <row r="652" spans="9:12" s="98" customFormat="1">
      <c r="I652" s="99"/>
      <c r="J652" s="99"/>
      <c r="L652" s="99"/>
    </row>
    <row r="653" spans="9:12" s="98" customFormat="1">
      <c r="I653" s="99"/>
      <c r="J653" s="99"/>
      <c r="L653" s="99"/>
    </row>
    <row r="654" spans="9:12" s="98" customFormat="1">
      <c r="I654" s="99"/>
      <c r="J654" s="99"/>
      <c r="L654" s="99"/>
    </row>
    <row r="655" spans="9:12" s="98" customFormat="1">
      <c r="I655" s="99"/>
      <c r="J655" s="99"/>
      <c r="L655" s="99"/>
    </row>
    <row r="656" spans="9:12" s="98" customFormat="1">
      <c r="I656" s="99"/>
      <c r="J656" s="99"/>
      <c r="L656" s="99"/>
    </row>
    <row r="657" spans="9:12" s="98" customFormat="1">
      <c r="I657" s="99"/>
      <c r="J657" s="99"/>
      <c r="L657" s="99"/>
    </row>
    <row r="658" spans="9:12" s="98" customFormat="1">
      <c r="I658" s="99"/>
      <c r="J658" s="99"/>
      <c r="L658" s="99"/>
    </row>
    <row r="659" spans="9:12" s="98" customFormat="1">
      <c r="I659" s="99"/>
      <c r="J659" s="99"/>
      <c r="L659" s="99"/>
    </row>
    <row r="660" spans="9:12" s="98" customFormat="1">
      <c r="I660" s="99"/>
      <c r="J660" s="99"/>
      <c r="L660" s="99"/>
    </row>
    <row r="661" spans="9:12" s="98" customFormat="1">
      <c r="I661" s="99"/>
      <c r="J661" s="99"/>
      <c r="L661" s="99"/>
    </row>
    <row r="662" spans="9:12" s="98" customFormat="1">
      <c r="I662" s="99"/>
      <c r="J662" s="99"/>
      <c r="L662" s="99"/>
    </row>
    <row r="663" spans="9:12" s="98" customFormat="1">
      <c r="I663" s="99"/>
      <c r="J663" s="99"/>
      <c r="L663" s="99"/>
    </row>
    <row r="664" spans="9:12" s="98" customFormat="1">
      <c r="I664" s="99"/>
      <c r="J664" s="99"/>
      <c r="L664" s="99"/>
    </row>
    <row r="665" spans="9:12" s="98" customFormat="1">
      <c r="I665" s="99"/>
      <c r="J665" s="99"/>
      <c r="L665" s="99"/>
    </row>
    <row r="666" spans="9:12" s="98" customFormat="1">
      <c r="I666" s="99"/>
      <c r="J666" s="99"/>
      <c r="L666" s="99"/>
    </row>
    <row r="667" spans="9:12" s="98" customFormat="1">
      <c r="I667" s="99"/>
      <c r="J667" s="99"/>
      <c r="L667" s="99"/>
    </row>
    <row r="668" spans="9:12" s="98" customFormat="1">
      <c r="I668" s="99"/>
      <c r="J668" s="99"/>
      <c r="L668" s="99"/>
    </row>
    <row r="669" spans="9:12" s="98" customFormat="1">
      <c r="I669" s="99"/>
      <c r="J669" s="99"/>
      <c r="L669" s="99"/>
    </row>
    <row r="670" spans="9:12" s="98" customFormat="1">
      <c r="I670" s="99"/>
      <c r="J670" s="99"/>
      <c r="L670" s="99"/>
    </row>
    <row r="671" spans="9:12" s="98" customFormat="1">
      <c r="I671" s="99"/>
      <c r="J671" s="99"/>
      <c r="L671" s="99"/>
    </row>
    <row r="672" spans="9:12" s="98" customFormat="1">
      <c r="I672" s="99"/>
      <c r="J672" s="99"/>
      <c r="L672" s="99"/>
    </row>
    <row r="673" spans="9:12" s="98" customFormat="1">
      <c r="I673" s="99"/>
      <c r="J673" s="99"/>
      <c r="L673" s="99"/>
    </row>
    <row r="674" spans="9:12" s="98" customFormat="1">
      <c r="I674" s="99"/>
      <c r="J674" s="99"/>
      <c r="L674" s="99"/>
    </row>
    <row r="675" spans="9:12" s="98" customFormat="1">
      <c r="I675" s="99"/>
      <c r="J675" s="99"/>
      <c r="L675" s="99"/>
    </row>
    <row r="676" spans="9:12" s="98" customFormat="1">
      <c r="I676" s="99"/>
      <c r="J676" s="99"/>
      <c r="L676" s="99"/>
    </row>
    <row r="677" spans="9:12" s="98" customFormat="1">
      <c r="I677" s="99"/>
      <c r="J677" s="99"/>
      <c r="L677" s="99"/>
    </row>
    <row r="678" spans="9:12" s="98" customFormat="1">
      <c r="I678" s="99"/>
      <c r="J678" s="99"/>
      <c r="L678" s="99"/>
    </row>
    <row r="679" spans="9:12" s="98" customFormat="1">
      <c r="I679" s="99"/>
      <c r="J679" s="99"/>
      <c r="L679" s="99"/>
    </row>
    <row r="680" spans="9:12" s="98" customFormat="1">
      <c r="I680" s="99"/>
      <c r="J680" s="99"/>
      <c r="L680" s="99"/>
    </row>
    <row r="681" spans="9:12" s="98" customFormat="1">
      <c r="I681" s="99"/>
      <c r="J681" s="99"/>
      <c r="L681" s="99"/>
    </row>
    <row r="682" spans="9:12" s="98" customFormat="1">
      <c r="I682" s="99"/>
      <c r="J682" s="99"/>
      <c r="L682" s="99"/>
    </row>
    <row r="683" spans="9:12" s="98" customFormat="1">
      <c r="I683" s="99"/>
      <c r="J683" s="99"/>
      <c r="L683" s="99"/>
    </row>
    <row r="684" spans="9:12" s="98" customFormat="1">
      <c r="I684" s="99"/>
      <c r="J684" s="99"/>
      <c r="L684" s="99"/>
    </row>
    <row r="685" spans="9:12" s="98" customFormat="1">
      <c r="I685" s="99"/>
      <c r="J685" s="99"/>
      <c r="L685" s="99"/>
    </row>
    <row r="686" spans="9:12" s="98" customFormat="1">
      <c r="I686" s="99"/>
      <c r="J686" s="99"/>
      <c r="L686" s="99"/>
    </row>
    <row r="687" spans="9:12" s="98" customFormat="1">
      <c r="I687" s="99"/>
      <c r="J687" s="99"/>
      <c r="L687" s="99"/>
    </row>
    <row r="688" spans="9:12" s="98" customFormat="1">
      <c r="I688" s="99"/>
      <c r="J688" s="99"/>
      <c r="L688" s="99"/>
    </row>
    <row r="689" spans="9:12" s="98" customFormat="1">
      <c r="I689" s="99"/>
      <c r="J689" s="99"/>
      <c r="L689" s="99"/>
    </row>
    <row r="690" spans="9:12" s="98" customFormat="1">
      <c r="I690" s="99"/>
      <c r="J690" s="99"/>
      <c r="L690" s="99"/>
    </row>
    <row r="691" spans="9:12" s="98" customFormat="1">
      <c r="I691" s="99"/>
      <c r="J691" s="99"/>
      <c r="L691" s="99"/>
    </row>
    <row r="692" spans="9:12" s="98" customFormat="1">
      <c r="I692" s="99"/>
      <c r="J692" s="99"/>
      <c r="L692" s="99"/>
    </row>
    <row r="693" spans="9:12" s="98" customFormat="1">
      <c r="I693" s="99"/>
      <c r="J693" s="99"/>
      <c r="L693" s="99"/>
    </row>
    <row r="694" spans="9:12" s="98" customFormat="1">
      <c r="I694" s="99"/>
      <c r="J694" s="99"/>
      <c r="L694" s="99"/>
    </row>
    <row r="695" spans="9:12" s="98" customFormat="1">
      <c r="I695" s="99"/>
      <c r="J695" s="99"/>
      <c r="L695" s="99"/>
    </row>
    <row r="696" spans="9:12" s="98" customFormat="1">
      <c r="I696" s="99"/>
      <c r="J696" s="99"/>
      <c r="L696" s="99"/>
    </row>
    <row r="697" spans="9:12" s="98" customFormat="1">
      <c r="I697" s="99"/>
      <c r="J697" s="99"/>
      <c r="L697" s="99"/>
    </row>
    <row r="698" spans="9:12" s="98" customFormat="1">
      <c r="I698" s="99"/>
      <c r="J698" s="99"/>
      <c r="L698" s="99"/>
    </row>
    <row r="699" spans="9:12" s="98" customFormat="1">
      <c r="I699" s="99"/>
      <c r="J699" s="99"/>
      <c r="L699" s="99"/>
    </row>
    <row r="700" spans="9:12" s="98" customFormat="1">
      <c r="I700" s="99"/>
      <c r="J700" s="99"/>
      <c r="L700" s="99"/>
    </row>
    <row r="701" spans="9:12" s="98" customFormat="1">
      <c r="I701" s="99"/>
      <c r="J701" s="99"/>
      <c r="L701" s="99"/>
    </row>
    <row r="702" spans="9:12" s="98" customFormat="1">
      <c r="I702" s="99"/>
      <c r="J702" s="99"/>
      <c r="L702" s="99"/>
    </row>
    <row r="703" spans="9:12" s="98" customFormat="1">
      <c r="I703" s="99"/>
      <c r="J703" s="99"/>
      <c r="L703" s="99"/>
    </row>
    <row r="704" spans="9:12" s="98" customFormat="1">
      <c r="I704" s="99"/>
      <c r="J704" s="99"/>
      <c r="L704" s="99"/>
    </row>
    <row r="705" spans="9:12" s="98" customFormat="1">
      <c r="I705" s="99"/>
      <c r="J705" s="99"/>
      <c r="L705" s="99"/>
    </row>
    <row r="706" spans="9:12" s="98" customFormat="1">
      <c r="I706" s="99"/>
      <c r="J706" s="99"/>
      <c r="L706" s="99"/>
    </row>
    <row r="707" spans="9:12" s="98" customFormat="1">
      <c r="I707" s="99"/>
      <c r="J707" s="99"/>
      <c r="L707" s="99"/>
    </row>
    <row r="708" spans="9:12" s="98" customFormat="1">
      <c r="I708" s="99"/>
      <c r="J708" s="99"/>
      <c r="L708" s="99"/>
    </row>
    <row r="709" spans="9:12" s="98" customFormat="1">
      <c r="I709" s="99"/>
      <c r="J709" s="99"/>
      <c r="L709" s="99"/>
    </row>
    <row r="710" spans="9:12" s="98" customFormat="1">
      <c r="I710" s="99"/>
      <c r="J710" s="99"/>
      <c r="L710" s="99"/>
    </row>
    <row r="711" spans="9:12" s="98" customFormat="1">
      <c r="I711" s="99"/>
      <c r="J711" s="99"/>
      <c r="L711" s="99"/>
    </row>
    <row r="712" spans="9:12" s="98" customFormat="1">
      <c r="I712" s="99"/>
      <c r="J712" s="99"/>
      <c r="L712" s="99"/>
    </row>
    <row r="713" spans="9:12" s="98" customFormat="1">
      <c r="I713" s="99"/>
      <c r="J713" s="99"/>
      <c r="L713" s="99"/>
    </row>
    <row r="714" spans="9:12" s="98" customFormat="1">
      <c r="I714" s="99"/>
      <c r="J714" s="99"/>
      <c r="L714" s="99"/>
    </row>
    <row r="715" spans="9:12" s="98" customFormat="1">
      <c r="I715" s="99"/>
      <c r="J715" s="99"/>
      <c r="L715" s="99"/>
    </row>
    <row r="716" spans="9:12" s="98" customFormat="1">
      <c r="I716" s="99"/>
      <c r="J716" s="99"/>
      <c r="L716" s="99"/>
    </row>
    <row r="717" spans="9:12" s="98" customFormat="1">
      <c r="I717" s="99"/>
      <c r="J717" s="99"/>
      <c r="L717" s="99"/>
    </row>
    <row r="718" spans="9:12" s="98" customFormat="1">
      <c r="I718" s="99"/>
      <c r="J718" s="99"/>
      <c r="L718" s="99"/>
    </row>
    <row r="719" spans="9:12" s="98" customFormat="1">
      <c r="I719" s="99"/>
      <c r="J719" s="99"/>
      <c r="L719" s="99"/>
    </row>
    <row r="720" spans="9:12" s="98" customFormat="1">
      <c r="I720" s="99"/>
      <c r="J720" s="99"/>
      <c r="L720" s="99"/>
    </row>
    <row r="721" spans="9:12" s="98" customFormat="1">
      <c r="I721" s="99"/>
      <c r="J721" s="99"/>
      <c r="L721" s="99"/>
    </row>
    <row r="722" spans="9:12" s="98" customFormat="1">
      <c r="I722" s="99"/>
      <c r="J722" s="99"/>
      <c r="L722" s="99"/>
    </row>
    <row r="723" spans="9:12" s="98" customFormat="1">
      <c r="I723" s="99"/>
      <c r="J723" s="99"/>
      <c r="L723" s="99"/>
    </row>
    <row r="724" spans="9:12" s="98" customFormat="1">
      <c r="I724" s="99"/>
      <c r="J724" s="99"/>
      <c r="L724" s="99"/>
    </row>
    <row r="725" spans="9:12" s="98" customFormat="1">
      <c r="I725" s="99"/>
      <c r="J725" s="99"/>
      <c r="L725" s="99"/>
    </row>
    <row r="726" spans="9:12" s="98" customFormat="1">
      <c r="I726" s="99"/>
      <c r="J726" s="99"/>
      <c r="L726" s="99"/>
    </row>
    <row r="727" spans="9:12" s="98" customFormat="1">
      <c r="I727" s="99"/>
      <c r="J727" s="99"/>
      <c r="L727" s="99"/>
    </row>
    <row r="728" spans="9:12" s="98" customFormat="1">
      <c r="I728" s="99"/>
      <c r="J728" s="99"/>
      <c r="L728" s="99"/>
    </row>
    <row r="729" spans="9:12" s="98" customFormat="1">
      <c r="I729" s="99"/>
      <c r="J729" s="99"/>
      <c r="L729" s="99"/>
    </row>
    <row r="730" spans="9:12" s="98" customFormat="1">
      <c r="I730" s="99"/>
      <c r="J730" s="99"/>
      <c r="L730" s="99"/>
    </row>
    <row r="731" spans="9:12" s="98" customFormat="1">
      <c r="I731" s="99"/>
      <c r="J731" s="99"/>
      <c r="L731" s="99"/>
    </row>
    <row r="732" spans="9:12" s="98" customFormat="1">
      <c r="I732" s="99"/>
      <c r="J732" s="99"/>
      <c r="L732" s="99"/>
    </row>
    <row r="733" spans="9:12" s="98" customFormat="1">
      <c r="I733" s="99"/>
      <c r="J733" s="99"/>
      <c r="L733" s="99"/>
    </row>
    <row r="734" spans="9:12" s="98" customFormat="1">
      <c r="I734" s="99"/>
      <c r="J734" s="99"/>
      <c r="L734" s="99"/>
    </row>
    <row r="735" spans="9:12" s="98" customFormat="1">
      <c r="I735" s="99"/>
      <c r="J735" s="99"/>
      <c r="L735" s="99"/>
    </row>
    <row r="736" spans="9:12" s="98" customFormat="1">
      <c r="I736" s="99"/>
      <c r="J736" s="99"/>
      <c r="L736" s="99"/>
    </row>
    <row r="737" spans="9:12" s="98" customFormat="1">
      <c r="I737" s="99"/>
      <c r="J737" s="99"/>
      <c r="L737" s="99"/>
    </row>
    <row r="738" spans="9:12" s="98" customFormat="1">
      <c r="I738" s="99"/>
      <c r="J738" s="99"/>
      <c r="L738" s="99"/>
    </row>
    <row r="739" spans="9:12" s="98" customFormat="1">
      <c r="I739" s="99"/>
      <c r="J739" s="99"/>
      <c r="L739" s="99"/>
    </row>
    <row r="740" spans="9:12" s="98" customFormat="1">
      <c r="I740" s="99"/>
      <c r="J740" s="99"/>
      <c r="L740" s="99"/>
    </row>
    <row r="741" spans="9:12" s="98" customFormat="1">
      <c r="I741" s="99"/>
      <c r="J741" s="99"/>
      <c r="L741" s="99"/>
    </row>
    <row r="742" spans="9:12" s="98" customFormat="1">
      <c r="I742" s="99"/>
      <c r="J742" s="99"/>
      <c r="L742" s="99"/>
    </row>
    <row r="743" spans="9:12" s="98" customFormat="1">
      <c r="I743" s="99"/>
      <c r="J743" s="99"/>
      <c r="L743" s="99"/>
    </row>
    <row r="744" spans="9:12" s="98" customFormat="1">
      <c r="I744" s="99"/>
      <c r="J744" s="99"/>
      <c r="L744" s="99"/>
    </row>
    <row r="745" spans="9:12" s="98" customFormat="1">
      <c r="I745" s="99"/>
      <c r="J745" s="99"/>
      <c r="L745" s="99"/>
    </row>
    <row r="746" spans="9:12" s="98" customFormat="1">
      <c r="I746" s="99"/>
      <c r="J746" s="99"/>
      <c r="L746" s="99"/>
    </row>
    <row r="747" spans="9:12" s="98" customFormat="1">
      <c r="I747" s="99"/>
      <c r="J747" s="99"/>
      <c r="L747" s="99"/>
    </row>
    <row r="748" spans="9:12" s="98" customFormat="1">
      <c r="I748" s="99"/>
      <c r="J748" s="99"/>
      <c r="L748" s="99"/>
    </row>
    <row r="749" spans="9:12" s="98" customFormat="1">
      <c r="I749" s="99"/>
      <c r="J749" s="99"/>
      <c r="L749" s="99"/>
    </row>
    <row r="750" spans="9:12" s="98" customFormat="1">
      <c r="I750" s="99"/>
      <c r="J750" s="99"/>
      <c r="L750" s="99"/>
    </row>
    <row r="751" spans="9:12" s="98" customFormat="1">
      <c r="I751" s="99"/>
      <c r="J751" s="99"/>
      <c r="L751" s="99"/>
    </row>
    <row r="752" spans="9:12" s="98" customFormat="1">
      <c r="I752" s="99"/>
      <c r="J752" s="99"/>
      <c r="L752" s="99"/>
    </row>
    <row r="753" spans="9:12" s="98" customFormat="1">
      <c r="I753" s="99"/>
      <c r="J753" s="99"/>
      <c r="L753" s="99"/>
    </row>
    <row r="754" spans="9:12" s="98" customFormat="1">
      <c r="I754" s="99"/>
      <c r="J754" s="99"/>
      <c r="L754" s="99"/>
    </row>
    <row r="755" spans="9:12" s="98" customFormat="1">
      <c r="I755" s="99"/>
      <c r="J755" s="99"/>
      <c r="L755" s="99"/>
    </row>
    <row r="756" spans="9:12" s="98" customFormat="1">
      <c r="I756" s="99"/>
      <c r="J756" s="99"/>
      <c r="L756" s="99"/>
    </row>
    <row r="757" spans="9:12" s="98" customFormat="1">
      <c r="I757" s="99"/>
      <c r="J757" s="99"/>
      <c r="L757" s="99"/>
    </row>
    <row r="758" spans="9:12" s="98" customFormat="1">
      <c r="I758" s="99"/>
      <c r="J758" s="99"/>
      <c r="L758" s="99"/>
    </row>
    <row r="759" spans="9:12" s="98" customFormat="1">
      <c r="I759" s="99"/>
      <c r="J759" s="99"/>
      <c r="L759" s="99"/>
    </row>
    <row r="760" spans="9:12" s="98" customFormat="1">
      <c r="I760" s="99"/>
      <c r="J760" s="99"/>
      <c r="L760" s="99"/>
    </row>
    <row r="761" spans="9:12" s="98" customFormat="1">
      <c r="I761" s="99"/>
      <c r="J761" s="99"/>
      <c r="L761" s="99"/>
    </row>
    <row r="762" spans="9:12" s="98" customFormat="1">
      <c r="I762" s="99"/>
      <c r="J762" s="99"/>
      <c r="L762" s="99"/>
    </row>
    <row r="763" spans="9:12" s="98" customFormat="1">
      <c r="I763" s="99"/>
      <c r="J763" s="99"/>
      <c r="L763" s="99"/>
    </row>
    <row r="764" spans="9:12" s="98" customFormat="1">
      <c r="I764" s="99"/>
      <c r="J764" s="99"/>
      <c r="L764" s="99"/>
    </row>
    <row r="765" spans="9:12" s="98" customFormat="1">
      <c r="I765" s="99"/>
      <c r="J765" s="99"/>
      <c r="L765" s="99"/>
    </row>
    <row r="766" spans="9:12" s="98" customFormat="1">
      <c r="I766" s="99"/>
      <c r="J766" s="99"/>
      <c r="L766" s="99"/>
    </row>
    <row r="767" spans="9:12" s="98" customFormat="1">
      <c r="I767" s="99"/>
      <c r="J767" s="99"/>
      <c r="L767" s="99"/>
    </row>
    <row r="768" spans="9:12" s="98" customFormat="1">
      <c r="I768" s="99"/>
      <c r="J768" s="99"/>
      <c r="L768" s="99"/>
    </row>
    <row r="769" spans="9:12" s="98" customFormat="1">
      <c r="I769" s="99"/>
      <c r="J769" s="99"/>
      <c r="L769" s="99"/>
    </row>
    <row r="770" spans="9:12" s="98" customFormat="1">
      <c r="I770" s="99"/>
      <c r="J770" s="99"/>
      <c r="L770" s="99"/>
    </row>
    <row r="771" spans="9:12" s="98" customFormat="1">
      <c r="I771" s="99"/>
      <c r="J771" s="99"/>
      <c r="L771" s="99"/>
    </row>
    <row r="772" spans="9:12" s="98" customFormat="1">
      <c r="I772" s="99"/>
      <c r="J772" s="99"/>
      <c r="L772" s="99"/>
    </row>
    <row r="773" spans="9:12" s="98" customFormat="1">
      <c r="I773" s="99"/>
      <c r="J773" s="99"/>
      <c r="L773" s="99"/>
    </row>
    <row r="774" spans="9:12" s="98" customFormat="1">
      <c r="I774" s="99"/>
      <c r="J774" s="99"/>
      <c r="L774" s="99"/>
    </row>
    <row r="775" spans="9:12" s="98" customFormat="1">
      <c r="I775" s="99"/>
      <c r="J775" s="99"/>
      <c r="L775" s="99"/>
    </row>
    <row r="776" spans="9:12" s="98" customFormat="1">
      <c r="I776" s="99"/>
      <c r="J776" s="99"/>
      <c r="L776" s="99"/>
    </row>
    <row r="777" spans="9:12" s="98" customFormat="1">
      <c r="I777" s="99"/>
      <c r="J777" s="99"/>
      <c r="L777" s="99"/>
    </row>
    <row r="778" spans="9:12" s="98" customFormat="1">
      <c r="I778" s="99"/>
      <c r="J778" s="99"/>
      <c r="L778" s="99"/>
    </row>
    <row r="779" spans="9:12" s="98" customFormat="1">
      <c r="I779" s="99"/>
      <c r="J779" s="99"/>
      <c r="L779" s="99"/>
    </row>
    <row r="780" spans="9:12" s="98" customFormat="1">
      <c r="I780" s="99"/>
      <c r="J780" s="99"/>
      <c r="L780" s="99"/>
    </row>
    <row r="781" spans="9:12" s="98" customFormat="1">
      <c r="I781" s="99"/>
      <c r="J781" s="99"/>
      <c r="L781" s="99"/>
    </row>
    <row r="782" spans="9:12" s="98" customFormat="1">
      <c r="I782" s="99"/>
      <c r="J782" s="99"/>
      <c r="L782" s="99"/>
    </row>
    <row r="783" spans="9:12" s="98" customFormat="1">
      <c r="I783" s="99"/>
      <c r="J783" s="99"/>
      <c r="L783" s="99"/>
    </row>
    <row r="784" spans="9:12" s="98" customFormat="1">
      <c r="I784" s="99"/>
      <c r="J784" s="99"/>
      <c r="L784" s="99"/>
    </row>
    <row r="785" spans="9:12" s="98" customFormat="1">
      <c r="I785" s="99"/>
      <c r="J785" s="99"/>
      <c r="L785" s="99"/>
    </row>
    <row r="786" spans="9:12" s="98" customFormat="1">
      <c r="I786" s="99"/>
      <c r="J786" s="99"/>
      <c r="L786" s="99"/>
    </row>
    <row r="787" spans="9:12" s="98" customFormat="1">
      <c r="I787" s="99"/>
      <c r="J787" s="99"/>
      <c r="L787" s="99"/>
    </row>
    <row r="788" spans="9:12" s="98" customFormat="1">
      <c r="I788" s="99"/>
      <c r="J788" s="99"/>
      <c r="L788" s="99"/>
    </row>
    <row r="789" spans="9:12" s="98" customFormat="1">
      <c r="I789" s="99"/>
      <c r="J789" s="99"/>
      <c r="L789" s="99"/>
    </row>
    <row r="790" spans="9:12" s="98" customFormat="1">
      <c r="I790" s="99"/>
      <c r="J790" s="99"/>
      <c r="L790" s="99"/>
    </row>
    <row r="791" spans="9:12" s="98" customFormat="1">
      <c r="I791" s="99"/>
      <c r="J791" s="99"/>
      <c r="L791" s="99"/>
    </row>
    <row r="792" spans="9:12" s="98" customFormat="1">
      <c r="I792" s="99"/>
      <c r="J792" s="99"/>
      <c r="L792" s="99"/>
    </row>
    <row r="793" spans="9:12" s="98" customFormat="1">
      <c r="I793" s="99"/>
      <c r="J793" s="99"/>
      <c r="L793" s="99"/>
    </row>
    <row r="794" spans="9:12" s="98" customFormat="1">
      <c r="I794" s="99"/>
      <c r="J794" s="99"/>
      <c r="L794" s="99"/>
    </row>
    <row r="795" spans="9:12" s="98" customFormat="1">
      <c r="I795" s="99"/>
      <c r="J795" s="99"/>
      <c r="L795" s="99"/>
    </row>
    <row r="796" spans="9:12" s="98" customFormat="1">
      <c r="I796" s="99"/>
      <c r="J796" s="99"/>
      <c r="L796" s="99"/>
    </row>
    <row r="797" spans="9:12" s="98" customFormat="1">
      <c r="I797" s="99"/>
      <c r="J797" s="99"/>
      <c r="L797" s="99"/>
    </row>
    <row r="798" spans="9:12" s="98" customFormat="1">
      <c r="I798" s="99"/>
      <c r="J798" s="99"/>
      <c r="L798" s="99"/>
    </row>
    <row r="799" spans="9:12" s="98" customFormat="1">
      <c r="I799" s="99"/>
      <c r="J799" s="99"/>
      <c r="L799" s="99"/>
    </row>
    <row r="800" spans="9:12" s="98" customFormat="1">
      <c r="I800" s="99"/>
      <c r="J800" s="99"/>
      <c r="L800" s="99"/>
    </row>
    <row r="801" spans="9:12" s="98" customFormat="1">
      <c r="I801" s="99"/>
      <c r="J801" s="99"/>
      <c r="L801" s="99"/>
    </row>
    <row r="802" spans="9:12" s="98" customFormat="1">
      <c r="I802" s="99"/>
      <c r="J802" s="99"/>
      <c r="L802" s="99"/>
    </row>
    <row r="803" spans="9:12" s="98" customFormat="1">
      <c r="I803" s="99"/>
      <c r="J803" s="99"/>
      <c r="L803" s="99"/>
    </row>
    <row r="804" spans="9:12" s="98" customFormat="1">
      <c r="I804" s="99"/>
      <c r="J804" s="99"/>
      <c r="L804" s="99"/>
    </row>
    <row r="805" spans="9:12" s="98" customFormat="1">
      <c r="I805" s="99"/>
      <c r="J805" s="99"/>
      <c r="L805" s="99"/>
    </row>
    <row r="806" spans="9:12" s="98" customFormat="1">
      <c r="I806" s="99"/>
      <c r="J806" s="99"/>
      <c r="L806" s="99"/>
    </row>
    <row r="807" spans="9:12" s="98" customFormat="1">
      <c r="I807" s="99"/>
      <c r="J807" s="99"/>
      <c r="L807" s="99"/>
    </row>
    <row r="808" spans="9:12" s="98" customFormat="1">
      <c r="I808" s="99"/>
      <c r="J808" s="99"/>
      <c r="L808" s="99"/>
    </row>
    <row r="809" spans="9:12" s="98" customFormat="1">
      <c r="I809" s="99"/>
      <c r="J809" s="99"/>
      <c r="L809" s="99"/>
    </row>
    <row r="810" spans="9:12" s="98" customFormat="1">
      <c r="I810" s="99"/>
      <c r="J810" s="99"/>
      <c r="L810" s="99"/>
    </row>
    <row r="811" spans="9:12" s="98" customFormat="1">
      <c r="I811" s="99"/>
      <c r="J811" s="99"/>
      <c r="L811" s="99"/>
    </row>
    <row r="812" spans="9:12" s="98" customFormat="1">
      <c r="I812" s="99"/>
      <c r="J812" s="99"/>
      <c r="L812" s="99"/>
    </row>
    <row r="813" spans="9:12" s="98" customFormat="1">
      <c r="I813" s="99"/>
      <c r="J813" s="99"/>
      <c r="L813" s="99"/>
    </row>
    <row r="814" spans="9:12" s="98" customFormat="1">
      <c r="I814" s="99"/>
      <c r="J814" s="99"/>
      <c r="L814" s="99"/>
    </row>
    <row r="815" spans="9:12" s="98" customFormat="1">
      <c r="I815" s="99"/>
      <c r="J815" s="99"/>
      <c r="L815" s="99"/>
    </row>
    <row r="816" spans="9:12" s="98" customFormat="1">
      <c r="I816" s="99"/>
      <c r="J816" s="99"/>
      <c r="L816" s="99"/>
    </row>
    <row r="817" spans="9:12" s="98" customFormat="1">
      <c r="I817" s="99"/>
      <c r="J817" s="99"/>
      <c r="L817" s="99"/>
    </row>
    <row r="818" spans="9:12" s="98" customFormat="1">
      <c r="I818" s="99"/>
      <c r="J818" s="99"/>
      <c r="L818" s="99"/>
    </row>
    <row r="819" spans="9:12" s="98" customFormat="1">
      <c r="I819" s="99"/>
      <c r="J819" s="99"/>
      <c r="L819" s="99"/>
    </row>
    <row r="820" spans="9:12" s="98" customFormat="1">
      <c r="I820" s="99"/>
      <c r="J820" s="99"/>
      <c r="L820" s="99"/>
    </row>
    <row r="821" spans="9:12" s="98" customFormat="1">
      <c r="I821" s="99"/>
      <c r="J821" s="99"/>
      <c r="L821" s="99"/>
    </row>
    <row r="822" spans="9:12" s="98" customFormat="1">
      <c r="I822" s="99"/>
      <c r="J822" s="99"/>
      <c r="L822" s="99"/>
    </row>
    <row r="823" spans="9:12" s="98" customFormat="1">
      <c r="I823" s="99"/>
      <c r="J823" s="99"/>
      <c r="L823" s="99"/>
    </row>
    <row r="824" spans="9:12" s="98" customFormat="1">
      <c r="I824" s="99"/>
      <c r="J824" s="99"/>
      <c r="L824" s="99"/>
    </row>
    <row r="825" spans="9:12" s="98" customFormat="1">
      <c r="I825" s="99"/>
      <c r="J825" s="99"/>
      <c r="L825" s="99"/>
    </row>
    <row r="826" spans="9:12" s="98" customFormat="1">
      <c r="I826" s="99"/>
      <c r="J826" s="99"/>
      <c r="L826" s="99"/>
    </row>
    <row r="827" spans="9:12" s="98" customFormat="1">
      <c r="I827" s="99"/>
      <c r="J827" s="99"/>
      <c r="L827" s="99"/>
    </row>
    <row r="828" spans="9:12" s="98" customFormat="1">
      <c r="I828" s="99"/>
      <c r="J828" s="99"/>
      <c r="L828" s="99"/>
    </row>
    <row r="829" spans="9:12" s="98" customFormat="1">
      <c r="I829" s="99"/>
      <c r="J829" s="99"/>
      <c r="L829" s="99"/>
    </row>
    <row r="830" spans="9:12" s="98" customFormat="1">
      <c r="I830" s="99"/>
      <c r="J830" s="99"/>
      <c r="L830" s="99"/>
    </row>
    <row r="831" spans="9:12" s="98" customFormat="1">
      <c r="I831" s="99"/>
      <c r="J831" s="99"/>
      <c r="L831" s="99"/>
    </row>
    <row r="832" spans="9:12" s="98" customFormat="1">
      <c r="I832" s="99"/>
      <c r="J832" s="99"/>
      <c r="L832" s="99"/>
    </row>
    <row r="833" spans="9:12" s="98" customFormat="1">
      <c r="I833" s="99"/>
      <c r="J833" s="99"/>
      <c r="L833" s="99"/>
    </row>
    <row r="834" spans="9:12" s="98" customFormat="1">
      <c r="I834" s="99"/>
      <c r="J834" s="99"/>
      <c r="L834" s="99"/>
    </row>
    <row r="835" spans="9:12" s="98" customFormat="1">
      <c r="I835" s="99"/>
      <c r="J835" s="99"/>
      <c r="L835" s="99"/>
    </row>
    <row r="836" spans="9:12" s="98" customFormat="1">
      <c r="I836" s="99"/>
      <c r="J836" s="99"/>
      <c r="L836" s="99"/>
    </row>
    <row r="837" spans="9:12" s="98" customFormat="1">
      <c r="I837" s="99"/>
      <c r="J837" s="99"/>
      <c r="L837" s="99"/>
    </row>
    <row r="838" spans="9:12" s="98" customFormat="1">
      <c r="I838" s="99"/>
      <c r="J838" s="99"/>
      <c r="L838" s="99"/>
    </row>
    <row r="839" spans="9:12" s="98" customFormat="1">
      <c r="I839" s="99"/>
      <c r="J839" s="99"/>
      <c r="L839" s="99"/>
    </row>
    <row r="840" spans="9:12" s="98" customFormat="1">
      <c r="I840" s="99"/>
      <c r="J840" s="99"/>
      <c r="L840" s="99"/>
    </row>
    <row r="841" spans="9:12" s="98" customFormat="1">
      <c r="I841" s="99"/>
      <c r="J841" s="99"/>
      <c r="L841" s="99"/>
    </row>
    <row r="842" spans="9:12" s="98" customFormat="1">
      <c r="I842" s="99"/>
      <c r="J842" s="99"/>
      <c r="L842" s="99"/>
    </row>
    <row r="843" spans="9:12" s="98" customFormat="1">
      <c r="I843" s="99"/>
      <c r="J843" s="99"/>
      <c r="L843" s="99"/>
    </row>
    <row r="844" spans="9:12" s="98" customFormat="1">
      <c r="I844" s="99"/>
      <c r="J844" s="99"/>
      <c r="L844" s="99"/>
    </row>
    <row r="845" spans="9:12" s="98" customFormat="1">
      <c r="I845" s="99"/>
      <c r="J845" s="99"/>
      <c r="L845" s="99"/>
    </row>
    <row r="846" spans="9:12" s="98" customFormat="1">
      <c r="I846" s="99"/>
      <c r="J846" s="99"/>
      <c r="L846" s="99"/>
    </row>
    <row r="847" spans="9:12" s="98" customFormat="1">
      <c r="I847" s="99"/>
      <c r="J847" s="99"/>
      <c r="L847" s="99"/>
    </row>
    <row r="848" spans="9:12" s="98" customFormat="1">
      <c r="I848" s="99"/>
      <c r="J848" s="99"/>
      <c r="L848" s="99"/>
    </row>
    <row r="849" spans="9:12" s="98" customFormat="1">
      <c r="I849" s="99"/>
      <c r="J849" s="99"/>
      <c r="L849" s="99"/>
    </row>
    <row r="850" spans="9:12" s="98" customFormat="1">
      <c r="I850" s="99"/>
      <c r="J850" s="99"/>
      <c r="L850" s="99"/>
    </row>
    <row r="851" spans="9:12" s="98" customFormat="1">
      <c r="I851" s="99"/>
      <c r="J851" s="99"/>
      <c r="L851" s="99"/>
    </row>
    <row r="852" spans="9:12" s="98" customFormat="1">
      <c r="I852" s="99"/>
      <c r="J852" s="99"/>
      <c r="L852" s="99"/>
    </row>
    <row r="853" spans="9:12" s="98" customFormat="1">
      <c r="I853" s="99"/>
      <c r="J853" s="99"/>
      <c r="L853" s="99"/>
    </row>
  </sheetData>
  <mergeCells count="4">
    <mergeCell ref="B3:I3"/>
    <mergeCell ref="C1:K1"/>
    <mergeCell ref="P19:Q19"/>
    <mergeCell ref="P15:Q15"/>
  </mergeCells>
  <phoneticPr fontId="27" type="noConversion"/>
  <printOptions horizontalCentered="1" verticalCentered="1"/>
  <pageMargins left="0.74803149606299213" right="0.74803149606299213" top="0.98425196850393704" bottom="0.98425196850393704" header="0" footer="0"/>
  <pageSetup paperSize="9" scale="95" pageOrder="overThenDown"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tabColor indexed="11"/>
  </sheetPr>
  <dimension ref="A1:IC1347"/>
  <sheetViews>
    <sheetView zoomScaleNormal="100" zoomScaleSheetLayoutView="100" workbookViewId="0">
      <pane ySplit="6" topLeftCell="A310" activePane="bottomLeft" state="frozen"/>
      <selection pane="bottomLeft" activeCell="E340" sqref="E340"/>
    </sheetView>
  </sheetViews>
  <sheetFormatPr baseColWidth="10" defaultColWidth="11.44140625" defaultRowHeight="13.2"/>
  <cols>
    <col min="1" max="1" width="17.44140625" style="15" customWidth="1"/>
    <col min="2" max="2" width="18.6640625" style="16" customWidth="1"/>
    <col min="3" max="3" width="9.33203125" style="15" customWidth="1"/>
    <col min="4" max="4" width="7.88671875" style="15" customWidth="1"/>
    <col min="5" max="5" width="11.44140625" style="15" customWidth="1"/>
    <col min="6" max="6" width="8.6640625" style="17" customWidth="1"/>
    <col min="7" max="7" width="10.6640625" style="17" customWidth="1"/>
    <col min="8" max="8" width="10.88671875" style="17" customWidth="1"/>
    <col min="9" max="9" width="9" style="15" customWidth="1"/>
    <col min="10" max="10" width="9.109375" style="15" customWidth="1"/>
    <col min="11" max="11" width="6.44140625" style="15" customWidth="1"/>
    <col min="12" max="12" width="10.109375" style="17" customWidth="1"/>
    <col min="13" max="13" width="8.44140625" style="15" customWidth="1"/>
    <col min="14" max="14" width="10.88671875" style="290" customWidth="1"/>
    <col min="15" max="15" width="5" style="105" customWidth="1"/>
    <col min="16" max="16" width="12.33203125" style="107" bestFit="1" customWidth="1"/>
    <col min="17" max="17" width="8.33203125" style="107" bestFit="1" customWidth="1"/>
    <col min="18" max="237" width="11.44140625" style="105"/>
    <col min="238" max="16384" width="11.44140625" style="15"/>
  </cols>
  <sheetData>
    <row r="1" spans="1:237" s="18" customFormat="1" ht="21" customHeight="1" thickBot="1">
      <c r="A1" s="257"/>
      <c r="B1" s="258"/>
      <c r="C1" s="258"/>
      <c r="D1" s="259"/>
      <c r="E1" s="260" t="s">
        <v>556</v>
      </c>
      <c r="F1" s="261"/>
      <c r="G1" s="261"/>
      <c r="H1" s="261"/>
      <c r="I1" s="261"/>
      <c r="J1" s="261"/>
      <c r="K1" s="261"/>
      <c r="L1" s="262"/>
      <c r="M1" s="263"/>
      <c r="N1" s="287"/>
      <c r="O1" s="257"/>
      <c r="P1" s="2551"/>
      <c r="Q1" s="2551"/>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103"/>
      <c r="BS1" s="103"/>
      <c r="BT1" s="103"/>
      <c r="BU1" s="103"/>
      <c r="BV1" s="103"/>
      <c r="BW1" s="103"/>
      <c r="BX1" s="103"/>
      <c r="BY1" s="103"/>
      <c r="BZ1" s="103"/>
      <c r="CA1" s="103"/>
      <c r="CB1" s="103"/>
      <c r="CC1" s="103"/>
      <c r="CD1" s="103"/>
      <c r="CE1" s="103"/>
      <c r="CF1" s="103"/>
      <c r="CG1" s="103"/>
      <c r="CH1" s="103"/>
      <c r="CI1" s="103"/>
      <c r="CJ1" s="103"/>
      <c r="CK1" s="103"/>
      <c r="CL1" s="103"/>
      <c r="CM1" s="103"/>
      <c r="CN1" s="103"/>
      <c r="CO1" s="103"/>
      <c r="CP1" s="103"/>
      <c r="CQ1" s="103"/>
      <c r="CR1" s="103"/>
      <c r="CS1" s="103"/>
      <c r="CT1" s="103"/>
      <c r="CU1" s="103"/>
      <c r="CV1" s="103"/>
      <c r="CW1" s="103"/>
      <c r="CX1" s="103"/>
      <c r="CY1" s="103"/>
      <c r="CZ1" s="103"/>
      <c r="DA1" s="103"/>
      <c r="DB1" s="103"/>
      <c r="DC1" s="103"/>
      <c r="DD1" s="103"/>
      <c r="DE1" s="103"/>
      <c r="DF1" s="103"/>
      <c r="DG1" s="103"/>
      <c r="DH1" s="103"/>
      <c r="DI1" s="103"/>
      <c r="DJ1" s="103"/>
      <c r="DK1" s="103"/>
      <c r="DL1" s="103"/>
      <c r="DM1" s="103"/>
      <c r="DN1" s="103"/>
      <c r="DO1" s="103"/>
      <c r="DP1" s="103"/>
      <c r="DQ1" s="103"/>
      <c r="DR1" s="103"/>
      <c r="DS1" s="103"/>
      <c r="DT1" s="103"/>
      <c r="DU1" s="103"/>
      <c r="DV1" s="103"/>
      <c r="DW1" s="103"/>
      <c r="DX1" s="103"/>
      <c r="DY1" s="103"/>
      <c r="DZ1" s="103"/>
      <c r="EA1" s="103"/>
      <c r="EB1" s="103"/>
      <c r="EC1" s="103"/>
      <c r="ED1" s="103"/>
      <c r="EE1" s="103"/>
      <c r="EF1" s="103"/>
      <c r="EG1" s="103"/>
      <c r="EH1" s="103"/>
      <c r="EI1" s="103"/>
      <c r="EJ1" s="103"/>
      <c r="EK1" s="103"/>
      <c r="EL1" s="103"/>
      <c r="EM1" s="103"/>
      <c r="EN1" s="103"/>
      <c r="EO1" s="103"/>
      <c r="EP1" s="103"/>
      <c r="EQ1" s="103"/>
      <c r="ER1" s="103"/>
      <c r="ES1" s="103"/>
      <c r="ET1" s="103"/>
      <c r="EU1" s="103"/>
      <c r="EV1" s="103"/>
      <c r="EW1" s="103"/>
      <c r="EX1" s="103"/>
      <c r="EY1" s="103"/>
      <c r="EZ1" s="103"/>
      <c r="FA1" s="103"/>
      <c r="FB1" s="103"/>
      <c r="FC1" s="103"/>
      <c r="FD1" s="103"/>
      <c r="FE1" s="103"/>
      <c r="FF1" s="103"/>
      <c r="FG1" s="103"/>
      <c r="FH1" s="103"/>
      <c r="FI1" s="103"/>
      <c r="FJ1" s="103"/>
      <c r="FK1" s="103"/>
      <c r="FL1" s="103"/>
      <c r="FM1" s="103"/>
      <c r="FN1" s="103"/>
      <c r="FO1" s="103"/>
      <c r="FP1" s="103"/>
      <c r="FQ1" s="103"/>
      <c r="FR1" s="103"/>
      <c r="FS1" s="103"/>
      <c r="FT1" s="103"/>
      <c r="FU1" s="103"/>
      <c r="FV1" s="103"/>
      <c r="FW1" s="103"/>
      <c r="FX1" s="103"/>
      <c r="FY1" s="103"/>
      <c r="FZ1" s="103"/>
      <c r="GA1" s="103"/>
      <c r="GB1" s="103"/>
      <c r="GC1" s="103"/>
      <c r="GD1" s="103"/>
      <c r="GE1" s="103"/>
      <c r="GF1" s="103"/>
      <c r="GG1" s="103"/>
      <c r="GH1" s="103"/>
      <c r="GI1" s="103"/>
      <c r="GJ1" s="103"/>
      <c r="GK1" s="103"/>
      <c r="GL1" s="103"/>
      <c r="GM1" s="103"/>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c r="HU1" s="103"/>
      <c r="HV1" s="103"/>
      <c r="HW1" s="103"/>
      <c r="HX1" s="103"/>
      <c r="HY1" s="103"/>
      <c r="HZ1" s="103"/>
      <c r="IA1" s="103"/>
      <c r="IB1" s="103"/>
      <c r="IC1" s="103"/>
    </row>
    <row r="2" spans="1:237" s="41" customFormat="1" ht="17.25" customHeight="1" thickBot="1">
      <c r="A2" s="257"/>
      <c r="B2" s="258"/>
      <c r="C2" s="258"/>
      <c r="D2" s="259"/>
      <c r="E2" s="264" t="s">
        <v>448</v>
      </c>
      <c r="F2" s="265"/>
      <c r="G2" s="265" t="s">
        <v>728</v>
      </c>
      <c r="H2" s="265"/>
      <c r="I2" s="265"/>
      <c r="J2" s="265"/>
      <c r="K2" s="266"/>
      <c r="L2" s="267"/>
      <c r="M2" s="263"/>
      <c r="N2" s="287"/>
      <c r="O2" s="257"/>
      <c r="P2" s="2563" t="s">
        <v>449</v>
      </c>
      <c r="Q2" s="256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4"/>
      <c r="CO2" s="104"/>
      <c r="CP2" s="104"/>
      <c r="CQ2" s="104"/>
      <c r="CR2" s="104"/>
      <c r="CS2" s="104"/>
      <c r="CT2" s="104"/>
      <c r="CU2" s="104"/>
      <c r="CV2" s="104"/>
      <c r="CW2" s="104"/>
      <c r="CX2" s="104"/>
      <c r="CY2" s="104"/>
      <c r="CZ2" s="104"/>
      <c r="DA2" s="104"/>
      <c r="DB2" s="104"/>
      <c r="DC2" s="104"/>
      <c r="DD2" s="104"/>
      <c r="DE2" s="104"/>
      <c r="DF2" s="104"/>
      <c r="DG2" s="104"/>
      <c r="DH2" s="104"/>
      <c r="DI2" s="104"/>
      <c r="DJ2" s="104"/>
      <c r="DK2" s="104"/>
      <c r="DL2" s="104"/>
      <c r="DM2" s="104"/>
      <c r="DN2" s="104"/>
      <c r="DO2" s="104"/>
      <c r="DP2" s="104"/>
      <c r="DQ2" s="104"/>
      <c r="DR2" s="104"/>
      <c r="DS2" s="104"/>
      <c r="DT2" s="104"/>
      <c r="DU2" s="104"/>
      <c r="DV2" s="104"/>
      <c r="DW2" s="104"/>
      <c r="DX2" s="104"/>
      <c r="DY2" s="104"/>
      <c r="DZ2" s="104"/>
      <c r="EA2" s="104"/>
      <c r="EB2" s="104"/>
      <c r="EC2" s="104"/>
      <c r="ED2" s="104"/>
      <c r="EE2" s="104"/>
      <c r="EF2" s="104"/>
      <c r="EG2" s="104"/>
      <c r="EH2" s="104"/>
      <c r="EI2" s="104"/>
      <c r="EJ2" s="104"/>
      <c r="EK2" s="104"/>
      <c r="EL2" s="104"/>
      <c r="EM2" s="104"/>
      <c r="EN2" s="104"/>
      <c r="EO2" s="104"/>
      <c r="EP2" s="104"/>
      <c r="EQ2" s="104"/>
      <c r="ER2" s="104"/>
      <c r="ES2" s="104"/>
      <c r="ET2" s="104"/>
      <c r="EU2" s="104"/>
      <c r="EV2" s="104"/>
      <c r="EW2" s="104"/>
      <c r="EX2" s="104"/>
      <c r="EY2" s="104"/>
      <c r="EZ2" s="104"/>
      <c r="FA2" s="104"/>
      <c r="FB2" s="104"/>
      <c r="FC2" s="104"/>
      <c r="FD2" s="104"/>
      <c r="FE2" s="104"/>
      <c r="FF2" s="104"/>
      <c r="FG2" s="104"/>
      <c r="FH2" s="104"/>
      <c r="FI2" s="104"/>
      <c r="FJ2" s="104"/>
      <c r="FK2" s="104"/>
      <c r="FL2" s="104"/>
      <c r="FM2" s="104"/>
      <c r="FN2" s="104"/>
      <c r="FO2" s="104"/>
      <c r="FP2" s="104"/>
      <c r="FQ2" s="104"/>
      <c r="FR2" s="104"/>
      <c r="FS2" s="104"/>
      <c r="FT2" s="104"/>
      <c r="FU2" s="104"/>
      <c r="FV2" s="104"/>
      <c r="FW2" s="104"/>
      <c r="FX2" s="104"/>
      <c r="FY2" s="104"/>
      <c r="FZ2" s="104"/>
      <c r="GA2" s="104"/>
      <c r="GB2" s="104"/>
      <c r="GC2" s="104"/>
      <c r="GD2" s="104"/>
      <c r="GE2" s="104"/>
      <c r="GF2" s="104"/>
      <c r="GG2" s="104"/>
      <c r="GH2" s="104"/>
      <c r="GI2" s="104"/>
      <c r="GJ2" s="104"/>
      <c r="GK2" s="104"/>
      <c r="GL2" s="104"/>
      <c r="GM2" s="104"/>
      <c r="GN2" s="104"/>
      <c r="GO2" s="104"/>
      <c r="GP2" s="104"/>
      <c r="GQ2" s="104"/>
      <c r="GR2" s="104"/>
      <c r="GS2" s="104"/>
      <c r="GT2" s="104"/>
      <c r="GU2" s="104"/>
      <c r="GV2" s="104"/>
      <c r="GW2" s="104"/>
      <c r="GX2" s="104"/>
      <c r="GY2" s="104"/>
      <c r="GZ2" s="104"/>
      <c r="HA2" s="104"/>
      <c r="HB2" s="104"/>
      <c r="HC2" s="104"/>
      <c r="HD2" s="104"/>
      <c r="HE2" s="104"/>
      <c r="HF2" s="104"/>
      <c r="HG2" s="104"/>
      <c r="HH2" s="104"/>
      <c r="HI2" s="104"/>
      <c r="HJ2" s="104"/>
      <c r="HK2" s="104"/>
      <c r="HL2" s="104"/>
      <c r="HM2" s="104"/>
      <c r="HN2" s="104"/>
      <c r="HO2" s="104"/>
      <c r="HP2" s="104"/>
      <c r="HQ2" s="104"/>
      <c r="HR2" s="104"/>
      <c r="HS2" s="104"/>
      <c r="HT2" s="104"/>
      <c r="HU2" s="104"/>
      <c r="HV2" s="104"/>
      <c r="HW2" s="104"/>
      <c r="HX2" s="104"/>
      <c r="HY2" s="104"/>
      <c r="HZ2" s="104"/>
      <c r="IA2" s="104"/>
      <c r="IB2" s="104"/>
      <c r="IC2" s="104"/>
    </row>
    <row r="3" spans="1:237" s="41" customFormat="1" ht="17.25" customHeight="1" thickBot="1">
      <c r="A3" s="257"/>
      <c r="B3" s="258"/>
      <c r="C3" s="258"/>
      <c r="D3" s="259"/>
      <c r="E3" s="259"/>
      <c r="F3" s="268"/>
      <c r="G3" s="269"/>
      <c r="H3" s="268"/>
      <c r="I3" s="268"/>
      <c r="J3" s="269"/>
      <c r="K3" s="269"/>
      <c r="L3" s="257"/>
      <c r="M3" s="263"/>
      <c r="N3" s="287"/>
      <c r="O3" s="257"/>
      <c r="P3" s="270" t="s">
        <v>309</v>
      </c>
      <c r="Q3" s="271" t="s">
        <v>310</v>
      </c>
      <c r="R3" s="104"/>
      <c r="S3" s="104"/>
      <c r="T3" s="104"/>
      <c r="U3" s="104"/>
      <c r="V3" s="104"/>
      <c r="W3" s="104"/>
      <c r="X3" s="104"/>
      <c r="Y3" s="104"/>
      <c r="Z3" s="104"/>
      <c r="AA3" s="104"/>
      <c r="AB3" s="104"/>
      <c r="AC3" s="104"/>
      <c r="AD3" s="104"/>
      <c r="AE3" s="104"/>
      <c r="AF3" s="104"/>
      <c r="AG3" s="104"/>
      <c r="AH3" s="104"/>
      <c r="AI3" s="104"/>
      <c r="AJ3" s="104"/>
      <c r="AK3" s="104"/>
      <c r="AL3" s="104"/>
      <c r="AM3" s="104"/>
      <c r="AN3" s="104"/>
      <c r="AO3" s="104"/>
      <c r="AP3" s="104"/>
      <c r="AQ3" s="104"/>
      <c r="AR3" s="104"/>
      <c r="AS3" s="104"/>
      <c r="AT3" s="104"/>
      <c r="AU3" s="104"/>
      <c r="AV3" s="104"/>
      <c r="AW3" s="104"/>
      <c r="AX3" s="104"/>
      <c r="AY3" s="104"/>
      <c r="AZ3" s="104"/>
      <c r="BA3" s="104"/>
      <c r="BB3" s="104"/>
      <c r="BC3" s="104"/>
      <c r="BD3" s="104"/>
      <c r="BE3" s="104"/>
      <c r="BF3" s="104"/>
      <c r="BG3" s="104"/>
      <c r="BH3" s="104"/>
      <c r="BI3" s="104"/>
      <c r="BJ3" s="104"/>
      <c r="BK3" s="104"/>
      <c r="BL3" s="104"/>
      <c r="BM3" s="104"/>
      <c r="BN3" s="104"/>
      <c r="BO3" s="104"/>
      <c r="BP3" s="104"/>
      <c r="BQ3" s="104"/>
      <c r="BR3" s="104"/>
      <c r="BS3" s="104"/>
      <c r="BT3" s="104"/>
      <c r="BU3" s="104"/>
      <c r="BV3" s="104"/>
      <c r="BW3" s="104"/>
      <c r="BX3" s="104"/>
      <c r="BY3" s="104"/>
      <c r="BZ3" s="104"/>
      <c r="CA3" s="104"/>
      <c r="CB3" s="104"/>
      <c r="CC3" s="104"/>
      <c r="CD3" s="104"/>
      <c r="CE3" s="104"/>
      <c r="CF3" s="104"/>
      <c r="CG3" s="104"/>
      <c r="CH3" s="104"/>
      <c r="CI3" s="104"/>
      <c r="CJ3" s="104"/>
      <c r="CK3" s="104"/>
      <c r="CL3" s="104"/>
      <c r="CM3" s="104"/>
      <c r="CN3" s="104"/>
      <c r="CO3" s="104"/>
      <c r="CP3" s="104"/>
      <c r="CQ3" s="104"/>
      <c r="CR3" s="104"/>
      <c r="CS3" s="104"/>
      <c r="CT3" s="104"/>
      <c r="CU3" s="104"/>
      <c r="CV3" s="104"/>
      <c r="CW3" s="104"/>
      <c r="CX3" s="104"/>
      <c r="CY3" s="104"/>
      <c r="CZ3" s="104"/>
      <c r="DA3" s="104"/>
      <c r="DB3" s="104"/>
      <c r="DC3" s="104"/>
      <c r="DD3" s="104"/>
      <c r="DE3" s="104"/>
      <c r="DF3" s="104"/>
      <c r="DG3" s="104"/>
      <c r="DH3" s="104"/>
      <c r="DI3" s="104"/>
      <c r="DJ3" s="104"/>
      <c r="DK3" s="104"/>
      <c r="DL3" s="104"/>
      <c r="DM3" s="104"/>
      <c r="DN3" s="104"/>
      <c r="DO3" s="104"/>
      <c r="DP3" s="104"/>
      <c r="DQ3" s="104"/>
      <c r="DR3" s="104"/>
      <c r="DS3" s="104"/>
      <c r="DT3" s="104"/>
      <c r="DU3" s="104"/>
      <c r="DV3" s="104"/>
      <c r="DW3" s="104"/>
      <c r="DX3" s="104"/>
      <c r="DY3" s="104"/>
      <c r="DZ3" s="104"/>
      <c r="EA3" s="104"/>
      <c r="EB3" s="104"/>
      <c r="EC3" s="104"/>
      <c r="ED3" s="104"/>
      <c r="EE3" s="104"/>
      <c r="EF3" s="104"/>
      <c r="EG3" s="104"/>
      <c r="EH3" s="104"/>
      <c r="EI3" s="104"/>
      <c r="EJ3" s="104"/>
      <c r="EK3" s="104"/>
      <c r="EL3" s="104"/>
      <c r="EM3" s="104"/>
      <c r="EN3" s="104"/>
      <c r="EO3" s="104"/>
      <c r="EP3" s="104"/>
      <c r="EQ3" s="104"/>
      <c r="ER3" s="104"/>
      <c r="ES3" s="104"/>
      <c r="ET3" s="104"/>
      <c r="EU3" s="104"/>
      <c r="EV3" s="104"/>
      <c r="EW3" s="104"/>
      <c r="EX3" s="104"/>
      <c r="EY3" s="104"/>
      <c r="EZ3" s="104"/>
      <c r="FA3" s="104"/>
      <c r="FB3" s="104"/>
      <c r="FC3" s="104"/>
      <c r="FD3" s="104"/>
      <c r="FE3" s="104"/>
      <c r="FF3" s="104"/>
      <c r="FG3" s="104"/>
      <c r="FH3" s="104"/>
      <c r="FI3" s="104"/>
      <c r="FJ3" s="104"/>
      <c r="FK3" s="104"/>
      <c r="FL3" s="104"/>
      <c r="FM3" s="104"/>
      <c r="FN3" s="104"/>
      <c r="FO3" s="104"/>
      <c r="FP3" s="104"/>
      <c r="FQ3" s="104"/>
      <c r="FR3" s="104"/>
      <c r="FS3" s="104"/>
      <c r="FT3" s="104"/>
      <c r="FU3" s="104"/>
      <c r="FV3" s="104"/>
      <c r="FW3" s="104"/>
      <c r="FX3" s="104"/>
      <c r="FY3" s="104"/>
      <c r="FZ3" s="104"/>
      <c r="GA3" s="104"/>
      <c r="GB3" s="104"/>
      <c r="GC3" s="104"/>
      <c r="GD3" s="104"/>
      <c r="GE3" s="104"/>
      <c r="GF3" s="104"/>
      <c r="GG3" s="104"/>
      <c r="GH3" s="104"/>
      <c r="GI3" s="104"/>
      <c r="GJ3" s="104"/>
      <c r="GK3" s="104"/>
      <c r="GL3" s="104"/>
      <c r="GM3" s="104"/>
      <c r="GN3" s="104"/>
      <c r="GO3" s="104"/>
      <c r="GP3" s="104"/>
      <c r="GQ3" s="104"/>
      <c r="GR3" s="104"/>
      <c r="GS3" s="104"/>
      <c r="GT3" s="104"/>
      <c r="GU3" s="104"/>
      <c r="GV3" s="104"/>
      <c r="GW3" s="104"/>
      <c r="GX3" s="104"/>
      <c r="GY3" s="104"/>
      <c r="GZ3" s="104"/>
      <c r="HA3" s="104"/>
      <c r="HB3" s="104"/>
      <c r="HC3" s="104"/>
      <c r="HD3" s="104"/>
      <c r="HE3" s="104"/>
      <c r="HF3" s="104"/>
      <c r="HG3" s="104"/>
      <c r="HH3" s="104"/>
      <c r="HI3" s="104"/>
      <c r="HJ3" s="104"/>
      <c r="HK3" s="104"/>
      <c r="HL3" s="104"/>
      <c r="HM3" s="104"/>
      <c r="HN3" s="104"/>
      <c r="HO3" s="104"/>
      <c r="HP3" s="104"/>
      <c r="HQ3" s="104"/>
      <c r="HR3" s="104"/>
      <c r="HS3" s="104"/>
      <c r="HT3" s="104"/>
      <c r="HU3" s="104"/>
      <c r="HV3" s="104"/>
      <c r="HW3" s="104"/>
      <c r="HX3" s="104"/>
      <c r="HY3" s="104"/>
      <c r="HZ3" s="104"/>
      <c r="IA3" s="104"/>
      <c r="IB3" s="104"/>
      <c r="IC3" s="104"/>
    </row>
    <row r="4" spans="1:237" ht="13.8" thickBot="1">
      <c r="A4" s="272"/>
      <c r="B4" s="273"/>
      <c r="C4" s="273"/>
      <c r="D4" s="272"/>
      <c r="E4" s="2552" t="s">
        <v>308</v>
      </c>
      <c r="F4" s="2553"/>
      <c r="G4" s="2553"/>
      <c r="H4" s="2553"/>
      <c r="I4" s="2553"/>
      <c r="J4" s="2554"/>
      <c r="K4" s="2552" t="s">
        <v>68</v>
      </c>
      <c r="L4" s="2553"/>
      <c r="M4" s="2554"/>
      <c r="N4" s="288" t="s">
        <v>450</v>
      </c>
      <c r="O4" s="272"/>
      <c r="P4" s="274">
        <v>4</v>
      </c>
      <c r="Q4" s="275">
        <f>+CONVERT(P4,"in","m")</f>
        <v>0.1016</v>
      </c>
    </row>
    <row r="5" spans="1:237">
      <c r="A5" s="276" t="s">
        <v>554</v>
      </c>
      <c r="B5" s="277" t="s">
        <v>557</v>
      </c>
      <c r="C5" s="2555" t="s">
        <v>72</v>
      </c>
      <c r="D5" s="2557" t="s">
        <v>1029</v>
      </c>
      <c r="E5" s="2561" t="s">
        <v>1040</v>
      </c>
      <c r="F5" s="2559" t="s">
        <v>1036</v>
      </c>
      <c r="G5" s="278" t="s">
        <v>70</v>
      </c>
      <c r="H5" s="2559" t="s">
        <v>1030</v>
      </c>
      <c r="I5" s="278" t="s">
        <v>69</v>
      </c>
      <c r="J5" s="279" t="s">
        <v>313</v>
      </c>
      <c r="K5" s="2561" t="s">
        <v>312</v>
      </c>
      <c r="L5" s="278" t="s">
        <v>71</v>
      </c>
      <c r="M5" s="279" t="s">
        <v>313</v>
      </c>
      <c r="N5" s="2565" t="s">
        <v>1041</v>
      </c>
      <c r="O5" s="272"/>
      <c r="P5" s="280" t="s">
        <v>547</v>
      </c>
      <c r="Q5" s="281"/>
    </row>
    <row r="6" spans="1:237" ht="13.8" thickBot="1">
      <c r="A6" s="282" t="s">
        <v>555</v>
      </c>
      <c r="B6" s="283" t="s">
        <v>558</v>
      </c>
      <c r="C6" s="2556"/>
      <c r="D6" s="2558"/>
      <c r="E6" s="2562"/>
      <c r="F6" s="2560"/>
      <c r="G6" s="284" t="s">
        <v>74</v>
      </c>
      <c r="H6" s="2560"/>
      <c r="I6" s="284" t="s">
        <v>73</v>
      </c>
      <c r="J6" s="285" t="s">
        <v>75</v>
      </c>
      <c r="K6" s="2562"/>
      <c r="L6" s="284" t="s">
        <v>76</v>
      </c>
      <c r="M6" s="285" t="s">
        <v>77</v>
      </c>
      <c r="N6" s="2566"/>
      <c r="O6" s="272"/>
      <c r="P6" s="286" t="s">
        <v>548</v>
      </c>
      <c r="Q6" s="281"/>
    </row>
    <row r="7" spans="1:237" s="102" customFormat="1" ht="13.8" thickBot="1"/>
    <row r="8" spans="1:237" s="101" customFormat="1" ht="15.75" customHeight="1">
      <c r="A8" s="2550" t="s">
        <v>12182</v>
      </c>
      <c r="B8" s="602" t="s">
        <v>2456</v>
      </c>
      <c r="C8" s="303"/>
      <c r="D8" s="304">
        <f t="shared" ref="D8" si="0">IF(H8&lt;&gt;"",VLOOKUP(G8,base_barras,IF(H8="Desnuda",2,5)+F8-1,FALSE),"-")</f>
        <v>6430</v>
      </c>
      <c r="E8" s="305">
        <v>3</v>
      </c>
      <c r="F8" s="306">
        <v>3</v>
      </c>
      <c r="G8" s="307" t="s">
        <v>584</v>
      </c>
      <c r="H8" s="306" t="s">
        <v>1037</v>
      </c>
      <c r="I8" s="308">
        <v>0.9</v>
      </c>
      <c r="J8" s="309">
        <f t="shared" ref="J8:J12" si="1">IF(G8&lt;&gt;"",VLOOKUP(G8,precio_barras,9,FALSE),0)</f>
        <v>231.4</v>
      </c>
      <c r="K8" s="305">
        <v>6</v>
      </c>
      <c r="L8" s="319" t="str">
        <f t="shared" ref="L8" si="2">IF(G8&lt;&gt;"",IF(VLOOKUP(G8,base_barras,10,FALSE)&lt;&gt;"",VLOOKUP(G8,base_barras,10,FALSE),"-"),"-")</f>
        <v>1.5/1600</v>
      </c>
      <c r="M8" s="309">
        <f t="shared" ref="M8" si="3">IF(L8&lt;&gt;"-",VLOOKUP(L8,precio_aislador,2,FALSE),0)</f>
        <v>22</v>
      </c>
      <c r="N8" s="334">
        <f t="shared" ref="N8" si="4">(I8*J8*F8+K8*M8)*E8*1.67*1.25</f>
        <v>4739.33475</v>
      </c>
      <c r="O8" s="272"/>
      <c r="P8" s="281">
        <v>5000</v>
      </c>
      <c r="Q8" s="281">
        <v>2500</v>
      </c>
      <c r="R8" s="98"/>
      <c r="S8" s="98"/>
      <c r="T8" s="98"/>
    </row>
    <row r="9" spans="1:237" s="101" customFormat="1" ht="13.8">
      <c r="A9" s="2548"/>
      <c r="B9" s="603" t="s">
        <v>802</v>
      </c>
      <c r="C9" s="301"/>
      <c r="D9" s="294">
        <f>IF(H9&lt;&gt;"",VLOOKUP(G9,base_barras,IF(H9="Desnuda",2,5)+F9-1,FALSE),"-")</f>
        <v>3720</v>
      </c>
      <c r="E9" s="295">
        <v>3</v>
      </c>
      <c r="F9" s="296">
        <v>3</v>
      </c>
      <c r="G9" s="297" t="s">
        <v>468</v>
      </c>
      <c r="H9" s="604" t="str">
        <f>H8</f>
        <v>Pintada</v>
      </c>
      <c r="I9" s="605">
        <v>0.8</v>
      </c>
      <c r="J9" s="299">
        <f t="shared" si="1"/>
        <v>88.9</v>
      </c>
      <c r="K9" s="606">
        <v>0</v>
      </c>
      <c r="L9" s="300" t="str">
        <f>IF(G9&lt;&gt;"",IF(VLOOKUP(G9,base_barras,10,FALSE)&lt;&gt;"",VLOOKUP(G9,base_barras,10,FALSE),"-"),"-")</f>
        <v>1.5/1250</v>
      </c>
      <c r="M9" s="299">
        <f>IF(L9&lt;&gt;"-",VLOOKUP(L9,precio_aislador,2,FALSE),0)</f>
        <v>5.5</v>
      </c>
      <c r="N9" s="291">
        <f>(I9*J9*F9+K9*M9)*E9*1.67*1.25</f>
        <v>1336.1670000000001</v>
      </c>
      <c r="O9" s="272"/>
      <c r="P9" s="281"/>
      <c r="Q9" s="281"/>
      <c r="R9" s="98"/>
      <c r="S9" s="98"/>
      <c r="T9" s="98"/>
    </row>
    <row r="10" spans="1:237" s="101" customFormat="1" ht="15.75" customHeight="1">
      <c r="A10" s="2548"/>
      <c r="B10" s="607" t="s">
        <v>4738</v>
      </c>
      <c r="C10" s="608"/>
      <c r="D10" s="294">
        <f t="shared" ref="D10:D12" si="5">IF(H10&lt;&gt;"",VLOOKUP(G10,base_barras,IF(H10="Desnuda",2,5)+F10-1,FALSE),"-")</f>
        <v>2410</v>
      </c>
      <c r="E10" s="295">
        <v>3</v>
      </c>
      <c r="F10" s="296">
        <v>2</v>
      </c>
      <c r="G10" s="297" t="s">
        <v>582</v>
      </c>
      <c r="H10" s="296" t="s">
        <v>1037</v>
      </c>
      <c r="I10" s="298"/>
      <c r="J10" s="299">
        <f t="shared" si="1"/>
        <v>71.100000000000009</v>
      </c>
      <c r="K10" s="609">
        <v>0</v>
      </c>
      <c r="L10" s="610" t="str">
        <f t="shared" ref="L10:L12" si="6">IF(G10&lt;&gt;"",IF(VLOOKUP(G10,base_barras,10,FALSE)&lt;&gt;"",VLOOKUP(G10,base_barras,10,FALSE),"-"),"-")</f>
        <v>1/1000</v>
      </c>
      <c r="M10" s="421">
        <f t="shared" ref="M10:M12" si="7">IF(L10&lt;&gt;"-",VLOOKUP(L10,precio_aislador,2,FALSE),0)</f>
        <v>2.7</v>
      </c>
      <c r="N10" s="611">
        <f t="shared" ref="N10:N12" si="8">(I10*J10*F10+K10*M10)*E10*1.67*1.25</f>
        <v>0</v>
      </c>
      <c r="O10" s="272"/>
      <c r="P10" s="281">
        <f>+P8*1.3</f>
        <v>6500</v>
      </c>
      <c r="Q10" s="281">
        <f>+Q8*1.3</f>
        <v>3250</v>
      </c>
      <c r="R10" s="98"/>
      <c r="S10" s="98"/>
      <c r="T10" s="98"/>
    </row>
    <row r="11" spans="1:237" s="101" customFormat="1" ht="15.75" customHeight="1">
      <c r="A11" s="2548"/>
      <c r="B11" s="292" t="s">
        <v>801</v>
      </c>
      <c r="C11" s="608"/>
      <c r="D11" s="294">
        <f t="shared" si="5"/>
        <v>6430</v>
      </c>
      <c r="E11" s="295">
        <v>1</v>
      </c>
      <c r="F11" s="296">
        <v>3</v>
      </c>
      <c r="G11" s="297" t="s">
        <v>584</v>
      </c>
      <c r="H11" s="296" t="s">
        <v>1037</v>
      </c>
      <c r="I11" s="298">
        <v>0.9</v>
      </c>
      <c r="J11" s="299">
        <f t="shared" si="1"/>
        <v>231.4</v>
      </c>
      <c r="K11" s="609">
        <v>6</v>
      </c>
      <c r="L11" s="610" t="str">
        <f t="shared" si="6"/>
        <v>1.5/1600</v>
      </c>
      <c r="M11" s="421">
        <f t="shared" si="7"/>
        <v>22</v>
      </c>
      <c r="N11" s="611">
        <f t="shared" si="8"/>
        <v>1579.7782500000003</v>
      </c>
      <c r="O11" s="272"/>
      <c r="P11" s="281"/>
      <c r="Q11" s="272"/>
      <c r="R11" s="98"/>
      <c r="S11" s="98"/>
      <c r="T11" s="98"/>
    </row>
    <row r="12" spans="1:237" s="101" customFormat="1" ht="15.75" customHeight="1" thickBot="1">
      <c r="A12" s="2549"/>
      <c r="B12" s="302" t="s">
        <v>802</v>
      </c>
      <c r="C12" s="293"/>
      <c r="D12" s="294">
        <f t="shared" si="5"/>
        <v>6430</v>
      </c>
      <c r="E12" s="295">
        <v>1</v>
      </c>
      <c r="F12" s="296">
        <v>3</v>
      </c>
      <c r="G12" s="297" t="s">
        <v>584</v>
      </c>
      <c r="H12" s="296" t="s">
        <v>1037</v>
      </c>
      <c r="I12" s="298">
        <v>0.9</v>
      </c>
      <c r="J12" s="299">
        <f t="shared" si="1"/>
        <v>231.4</v>
      </c>
      <c r="K12" s="295">
        <v>0</v>
      </c>
      <c r="L12" s="300" t="str">
        <f t="shared" si="6"/>
        <v>1.5/1600</v>
      </c>
      <c r="M12" s="299">
        <f t="shared" si="7"/>
        <v>22</v>
      </c>
      <c r="N12" s="291">
        <f t="shared" si="8"/>
        <v>1304.2282500000001</v>
      </c>
      <c r="O12" s="272"/>
      <c r="P12" s="281"/>
      <c r="Q12" s="272"/>
      <c r="R12" s="98"/>
      <c r="S12" s="98"/>
      <c r="T12" s="98"/>
    </row>
    <row r="13" spans="1:237" s="123" customFormat="1" ht="22.5" customHeight="1" thickBot="1">
      <c r="A13" s="335"/>
      <c r="B13" s="337"/>
      <c r="C13" s="339"/>
      <c r="D13" s="340"/>
      <c r="E13" s="337"/>
      <c r="F13" s="337"/>
      <c r="G13" s="337"/>
      <c r="H13" s="337"/>
      <c r="I13" s="338"/>
      <c r="J13" s="338"/>
      <c r="K13" s="337"/>
      <c r="L13" s="337"/>
      <c r="M13" s="336"/>
      <c r="N13" s="612">
        <f>SUM(N8:N12)</f>
        <v>8959.5082500000008</v>
      </c>
      <c r="O13" s="272"/>
      <c r="P13" s="281"/>
      <c r="Q13" s="272"/>
      <c r="R13" s="98"/>
      <c r="S13" s="98"/>
      <c r="T13" s="98"/>
    </row>
    <row r="14" spans="1:237" s="98" customFormat="1" ht="13.8" thickBot="1">
      <c r="B14" s="613"/>
      <c r="F14" s="614"/>
      <c r="G14" s="614"/>
      <c r="H14" s="614"/>
      <c r="L14" s="614"/>
      <c r="N14" s="615"/>
      <c r="P14" s="614"/>
      <c r="Q14" s="614"/>
    </row>
    <row r="15" spans="1:237" s="101" customFormat="1" ht="15.75" customHeight="1">
      <c r="A15" s="2547">
        <v>3</v>
      </c>
      <c r="B15" s="602" t="s">
        <v>2456</v>
      </c>
      <c r="C15" s="303"/>
      <c r="D15" s="304">
        <f t="shared" ref="D15" si="9">IF(H15&lt;&gt;"",VLOOKUP(G15,base_barras,IF(H15="Desnuda",2,5)+F15-1,FALSE),"-")</f>
        <v>6430</v>
      </c>
      <c r="E15" s="305">
        <v>3</v>
      </c>
      <c r="F15" s="306">
        <v>3</v>
      </c>
      <c r="G15" s="307" t="s">
        <v>584</v>
      </c>
      <c r="H15" s="306" t="s">
        <v>1037</v>
      </c>
      <c r="I15" s="308">
        <v>1</v>
      </c>
      <c r="J15" s="309">
        <f t="shared" ref="J15:J38" si="10">IF(G15&lt;&gt;"",VLOOKUP(G15,precio_barras,9,FALSE),0)</f>
        <v>231.4</v>
      </c>
      <c r="K15" s="305">
        <v>6</v>
      </c>
      <c r="L15" s="319" t="str">
        <f t="shared" ref="L15" si="11">IF(G15&lt;&gt;"",IF(VLOOKUP(G15,base_barras,10,FALSE)&lt;&gt;"",VLOOKUP(G15,base_barras,10,FALSE),"-"),"-")</f>
        <v>1.5/1600</v>
      </c>
      <c r="M15" s="309">
        <f t="shared" ref="M15" si="12">IF(L15&lt;&gt;"-",VLOOKUP(L15,precio_aislador,2,FALSE),0)</f>
        <v>22</v>
      </c>
      <c r="N15" s="334">
        <f t="shared" ref="N15" si="13">(I15*J15*F15+K15*M15)*E15*1.67*1.25</f>
        <v>5174.0775000000012</v>
      </c>
      <c r="O15" s="272"/>
      <c r="P15" s="281">
        <v>5000</v>
      </c>
      <c r="Q15" s="281">
        <v>1000</v>
      </c>
      <c r="R15" s="281">
        <v>400</v>
      </c>
      <c r="S15" s="98">
        <v>2500</v>
      </c>
      <c r="T15" s="98"/>
    </row>
    <row r="16" spans="1:237" s="101" customFormat="1" ht="13.8">
      <c r="A16" s="2548"/>
      <c r="B16" s="603" t="s">
        <v>802</v>
      </c>
      <c r="C16" s="301"/>
      <c r="D16" s="294">
        <f>IF(H16&lt;&gt;"",VLOOKUP(G16,base_barras,IF(H16="Desnuda",2,5)+F16-1,FALSE),"-")</f>
        <v>1810</v>
      </c>
      <c r="E16" s="295">
        <v>3</v>
      </c>
      <c r="F16" s="296">
        <v>1</v>
      </c>
      <c r="G16" s="297" t="s">
        <v>468</v>
      </c>
      <c r="H16" s="604" t="str">
        <f>H15</f>
        <v>Pintada</v>
      </c>
      <c r="I16" s="605">
        <v>0.8</v>
      </c>
      <c r="J16" s="299">
        <f t="shared" si="10"/>
        <v>88.9</v>
      </c>
      <c r="K16" s="606">
        <v>0</v>
      </c>
      <c r="L16" s="300" t="str">
        <f>IF(G16&lt;&gt;"",IF(VLOOKUP(G16,base_barras,10,FALSE)&lt;&gt;"",VLOOKUP(G16,base_barras,10,FALSE),"-"),"-")</f>
        <v>1.5/1250</v>
      </c>
      <c r="M16" s="299">
        <f>IF(L16&lt;&gt;"-",VLOOKUP(L16,precio_aislador,2,FALSE),0)</f>
        <v>5.5</v>
      </c>
      <c r="N16" s="291">
        <f>(I16*J16*F16+K16*M16)*E16*1.67*1.25</f>
        <v>445.38900000000001</v>
      </c>
      <c r="O16" s="272"/>
      <c r="P16" s="281"/>
      <c r="Q16" s="281"/>
      <c r="R16" s="281"/>
      <c r="S16" s="98"/>
      <c r="T16" s="98"/>
    </row>
    <row r="17" spans="1:20" s="101" customFormat="1" ht="15.75" customHeight="1">
      <c r="A17" s="2548"/>
      <c r="B17" s="607" t="s">
        <v>4738</v>
      </c>
      <c r="C17" s="608"/>
      <c r="D17" s="294">
        <f t="shared" ref="D17:D38" si="14">IF(H17&lt;&gt;"",VLOOKUP(G17,base_barras,IF(H17="Desnuda",2,5)+F17-1,FALSE),"-")</f>
        <v>1810</v>
      </c>
      <c r="E17" s="295">
        <v>3</v>
      </c>
      <c r="F17" s="296">
        <v>1</v>
      </c>
      <c r="G17" s="297" t="s">
        <v>468</v>
      </c>
      <c r="H17" s="296" t="s">
        <v>1037</v>
      </c>
      <c r="I17" s="298">
        <v>2</v>
      </c>
      <c r="J17" s="299">
        <f t="shared" si="10"/>
        <v>88.9</v>
      </c>
      <c r="K17" s="609">
        <v>4</v>
      </c>
      <c r="L17" s="610" t="str">
        <f t="shared" ref="L17:L38" si="15">IF(G17&lt;&gt;"",IF(VLOOKUP(G17,base_barras,10,FALSE)&lt;&gt;"",VLOOKUP(G17,base_barras,10,FALSE),"-"),"-")</f>
        <v>1.5/1250</v>
      </c>
      <c r="M17" s="421">
        <f t="shared" ref="M17:M38" si="16">IF(L17&lt;&gt;"-",VLOOKUP(L17,precio_aislador,2,FALSE),0)</f>
        <v>5.5</v>
      </c>
      <c r="N17" s="611">
        <f t="shared" ref="N17:N38" si="17">(I17*J17*F17+K17*M17)*E17*1.67*1.25</f>
        <v>1251.2475000000002</v>
      </c>
      <c r="O17" s="272"/>
      <c r="P17" s="281">
        <f>+P15*1.3</f>
        <v>6500</v>
      </c>
      <c r="Q17" s="281">
        <f>+Q15*1.3</f>
        <v>1300</v>
      </c>
      <c r="R17" s="281">
        <f>+R15*1.3</f>
        <v>520</v>
      </c>
      <c r="S17" s="98">
        <f>+S15*1.3</f>
        <v>3250</v>
      </c>
      <c r="T17" s="98"/>
    </row>
    <row r="18" spans="1:20" s="101" customFormat="1" ht="15.75" customHeight="1">
      <c r="A18" s="2548"/>
      <c r="B18" s="607" t="s">
        <v>4739</v>
      </c>
      <c r="C18" s="608"/>
      <c r="D18" s="294">
        <f t="shared" si="14"/>
        <v>1810</v>
      </c>
      <c r="E18" s="295">
        <v>4</v>
      </c>
      <c r="F18" s="296">
        <v>1</v>
      </c>
      <c r="G18" s="297" t="s">
        <v>468</v>
      </c>
      <c r="H18" s="296" t="s">
        <v>1037</v>
      </c>
      <c r="I18" s="298">
        <v>0.8</v>
      </c>
      <c r="J18" s="299">
        <f t="shared" si="10"/>
        <v>88.9</v>
      </c>
      <c r="K18" s="609">
        <v>2</v>
      </c>
      <c r="L18" s="610" t="str">
        <f t="shared" si="15"/>
        <v>1.5/1250</v>
      </c>
      <c r="M18" s="421">
        <f t="shared" si="16"/>
        <v>5.5</v>
      </c>
      <c r="N18" s="611">
        <f t="shared" si="17"/>
        <v>685.702</v>
      </c>
      <c r="O18" s="272"/>
      <c r="P18" s="281"/>
      <c r="Q18" s="272"/>
      <c r="R18" s="98"/>
      <c r="S18" s="98"/>
      <c r="T18" s="98"/>
    </row>
    <row r="19" spans="1:20" s="101" customFormat="1" ht="15.75" customHeight="1">
      <c r="A19" s="2548"/>
      <c r="B19" s="607" t="s">
        <v>4739</v>
      </c>
      <c r="C19" s="608"/>
      <c r="D19" s="294">
        <f t="shared" ref="D19:D22" si="18">IF(H19&lt;&gt;"",VLOOKUP(G19,base_barras,IF(H19="Desnuda",2,5)+F19-1,FALSE),"-")</f>
        <v>6430</v>
      </c>
      <c r="E19" s="1836">
        <v>3</v>
      </c>
      <c r="F19" s="300">
        <v>3</v>
      </c>
      <c r="G19" s="300" t="s">
        <v>584</v>
      </c>
      <c r="H19" s="300" t="s">
        <v>1037</v>
      </c>
      <c r="I19" s="1837">
        <v>0.9</v>
      </c>
      <c r="J19" s="299">
        <f t="shared" ref="J19:J22" si="19">IF(G19&lt;&gt;"",VLOOKUP(G19,precio_barras,9,FALSE),0)</f>
        <v>231.4</v>
      </c>
      <c r="K19" s="1838">
        <v>6</v>
      </c>
      <c r="L19" s="610" t="str">
        <f t="shared" ref="L19:L22" si="20">IF(G19&lt;&gt;"",IF(VLOOKUP(G19,base_barras,10,FALSE)&lt;&gt;"",VLOOKUP(G19,base_barras,10,FALSE),"-"),"-")</f>
        <v>1.5/1600</v>
      </c>
      <c r="M19" s="421">
        <f t="shared" ref="M19:M22" si="21">IF(L19&lt;&gt;"-",VLOOKUP(L19,precio_aislador,2,FALSE),0)</f>
        <v>22</v>
      </c>
      <c r="N19" s="611">
        <f t="shared" ref="N19:N22" si="22">(I19*J19*F19+K19*M19)*E19*1.67*1.25</f>
        <v>4739.33475</v>
      </c>
      <c r="O19" s="272"/>
      <c r="P19" s="281"/>
      <c r="Q19" s="272"/>
      <c r="R19" s="98"/>
      <c r="S19" s="98"/>
      <c r="T19" s="98"/>
    </row>
    <row r="20" spans="1:20" s="101" customFormat="1" ht="15.75" customHeight="1">
      <c r="A20" s="2548"/>
      <c r="B20" s="607" t="s">
        <v>4739</v>
      </c>
      <c r="C20" s="608"/>
      <c r="D20" s="294">
        <f t="shared" si="18"/>
        <v>1810</v>
      </c>
      <c r="E20" s="1836">
        <v>3</v>
      </c>
      <c r="F20" s="300">
        <v>1</v>
      </c>
      <c r="G20" s="300" t="s">
        <v>468</v>
      </c>
      <c r="H20" s="300" t="s">
        <v>1037</v>
      </c>
      <c r="I20" s="1837">
        <v>0.8</v>
      </c>
      <c r="J20" s="299">
        <f t="shared" si="19"/>
        <v>88.9</v>
      </c>
      <c r="K20" s="1838">
        <v>0</v>
      </c>
      <c r="L20" s="610" t="str">
        <f t="shared" si="20"/>
        <v>1.5/1250</v>
      </c>
      <c r="M20" s="421">
        <f t="shared" si="21"/>
        <v>5.5</v>
      </c>
      <c r="N20" s="611">
        <f t="shared" si="22"/>
        <v>445.38900000000001</v>
      </c>
      <c r="O20" s="272"/>
      <c r="P20" s="281"/>
      <c r="Q20" s="272"/>
      <c r="R20" s="98"/>
      <c r="S20" s="98"/>
      <c r="T20" s="98"/>
    </row>
    <row r="21" spans="1:20" s="101" customFormat="1" ht="15.75" customHeight="1">
      <c r="A21" s="2548"/>
      <c r="B21" s="607" t="s">
        <v>4739</v>
      </c>
      <c r="C21" s="608"/>
      <c r="D21" s="294">
        <f t="shared" si="18"/>
        <v>1810</v>
      </c>
      <c r="E21" s="1836">
        <v>3</v>
      </c>
      <c r="F21" s="300">
        <v>1</v>
      </c>
      <c r="G21" s="300" t="s">
        <v>468</v>
      </c>
      <c r="H21" s="300" t="s">
        <v>1037</v>
      </c>
      <c r="I21" s="1837">
        <v>0.4</v>
      </c>
      <c r="J21" s="299">
        <f t="shared" si="19"/>
        <v>88.9</v>
      </c>
      <c r="K21" s="1838">
        <v>0</v>
      </c>
      <c r="L21" s="610" t="str">
        <f t="shared" si="20"/>
        <v>1.5/1250</v>
      </c>
      <c r="M21" s="421">
        <f t="shared" si="21"/>
        <v>5.5</v>
      </c>
      <c r="N21" s="611">
        <f t="shared" si="22"/>
        <v>222.69450000000001</v>
      </c>
      <c r="O21" s="272"/>
      <c r="P21" s="281"/>
      <c r="Q21" s="272"/>
      <c r="R21" s="98"/>
      <c r="S21" s="98"/>
      <c r="T21" s="98"/>
    </row>
    <row r="22" spans="1:20" s="101" customFormat="1" ht="15.75" customHeight="1">
      <c r="A22" s="2548"/>
      <c r="B22" s="607" t="s">
        <v>4739</v>
      </c>
      <c r="C22" s="608"/>
      <c r="D22" s="294">
        <f t="shared" si="18"/>
        <v>1810</v>
      </c>
      <c r="E22" s="1836">
        <v>3</v>
      </c>
      <c r="F22" s="300">
        <v>1</v>
      </c>
      <c r="G22" s="300" t="s">
        <v>468</v>
      </c>
      <c r="H22" s="300" t="s">
        <v>1037</v>
      </c>
      <c r="I22" s="1837">
        <v>0.66</v>
      </c>
      <c r="J22" s="299">
        <f t="shared" si="19"/>
        <v>88.9</v>
      </c>
      <c r="K22" s="1838">
        <v>2</v>
      </c>
      <c r="L22" s="610" t="str">
        <f t="shared" si="20"/>
        <v>1.5/1250</v>
      </c>
      <c r="M22" s="421">
        <f t="shared" si="21"/>
        <v>5.5</v>
      </c>
      <c r="N22" s="611">
        <f t="shared" si="22"/>
        <v>436.33342500000003</v>
      </c>
      <c r="O22" s="272"/>
      <c r="P22" s="281"/>
      <c r="Q22" s="272"/>
      <c r="R22" s="98"/>
      <c r="S22" s="98"/>
      <c r="T22" s="98"/>
    </row>
    <row r="23" spans="1:20" s="101" customFormat="1" ht="15.75" customHeight="1">
      <c r="A23" s="2548"/>
      <c r="B23" s="607" t="s">
        <v>4739</v>
      </c>
      <c r="C23" s="608"/>
      <c r="D23" s="294">
        <f t="shared" si="14"/>
        <v>1810</v>
      </c>
      <c r="E23" s="1836">
        <v>3</v>
      </c>
      <c r="F23" s="300">
        <v>1</v>
      </c>
      <c r="G23" s="300" t="s">
        <v>468</v>
      </c>
      <c r="H23" s="300" t="s">
        <v>1037</v>
      </c>
      <c r="I23" s="1837">
        <v>0.3</v>
      </c>
      <c r="J23" s="299">
        <f t="shared" si="10"/>
        <v>88.9</v>
      </c>
      <c r="K23" s="1838">
        <v>2</v>
      </c>
      <c r="L23" s="610" t="str">
        <f t="shared" si="15"/>
        <v>1.5/1250</v>
      </c>
      <c r="M23" s="421">
        <f t="shared" si="16"/>
        <v>5.5</v>
      </c>
      <c r="N23" s="611">
        <f t="shared" si="17"/>
        <v>235.90837499999998</v>
      </c>
      <c r="O23" s="272"/>
      <c r="P23" s="281"/>
      <c r="Q23" s="272"/>
      <c r="R23" s="98"/>
      <c r="S23" s="98"/>
      <c r="T23" s="98"/>
    </row>
    <row r="24" spans="1:20" s="101" customFormat="1" ht="15.75" customHeight="1">
      <c r="A24" s="2548"/>
      <c r="B24" s="607" t="s">
        <v>4739</v>
      </c>
      <c r="C24" s="608"/>
      <c r="D24" s="294">
        <f t="shared" si="14"/>
        <v>6430</v>
      </c>
      <c r="E24" s="295">
        <v>3</v>
      </c>
      <c r="F24" s="296">
        <v>3</v>
      </c>
      <c r="G24" s="297" t="s">
        <v>584</v>
      </c>
      <c r="H24" s="296" t="s">
        <v>1037</v>
      </c>
      <c r="I24" s="298">
        <v>0.9</v>
      </c>
      <c r="J24" s="299">
        <f t="shared" si="10"/>
        <v>231.4</v>
      </c>
      <c r="K24" s="609">
        <v>6</v>
      </c>
      <c r="L24" s="610" t="str">
        <f t="shared" si="15"/>
        <v>1.5/1600</v>
      </c>
      <c r="M24" s="421">
        <f t="shared" si="16"/>
        <v>22</v>
      </c>
      <c r="N24" s="611">
        <f t="shared" si="17"/>
        <v>4739.33475</v>
      </c>
      <c r="O24" s="272"/>
      <c r="P24" s="281"/>
      <c r="Q24" s="272"/>
      <c r="R24" s="98"/>
      <c r="S24" s="98"/>
      <c r="T24" s="98"/>
    </row>
    <row r="25" spans="1:20" s="101" customFormat="1" ht="15.75" customHeight="1">
      <c r="A25" s="2548"/>
      <c r="B25" s="607" t="s">
        <v>4739</v>
      </c>
      <c r="C25" s="608"/>
      <c r="D25" s="294">
        <f t="shared" ref="D25:D26" si="23">IF(H25&lt;&gt;"",VLOOKUP(G25,base_barras,IF(H25="Desnuda",2,5)+F25-1,FALSE),"-")</f>
        <v>1810</v>
      </c>
      <c r="E25" s="295">
        <v>3</v>
      </c>
      <c r="F25" s="296">
        <v>1</v>
      </c>
      <c r="G25" s="297" t="s">
        <v>468</v>
      </c>
      <c r="H25" s="296" t="s">
        <v>1037</v>
      </c>
      <c r="I25" s="298">
        <v>0.5</v>
      </c>
      <c r="J25" s="299">
        <f t="shared" ref="J25:J26" si="24">IF(G25&lt;&gt;"",VLOOKUP(G25,precio_barras,9,FALSE),0)</f>
        <v>88.9</v>
      </c>
      <c r="K25" s="609">
        <v>0</v>
      </c>
      <c r="L25" s="610" t="str">
        <f t="shared" ref="L25:L26" si="25">IF(G25&lt;&gt;"",IF(VLOOKUP(G25,base_barras,10,FALSE)&lt;&gt;"",VLOOKUP(G25,base_barras,10,FALSE),"-"),"-")</f>
        <v>1.5/1250</v>
      </c>
      <c r="M25" s="421">
        <f t="shared" ref="M25:M26" si="26">IF(L25&lt;&gt;"-",VLOOKUP(L25,precio_aislador,2,FALSE),0)</f>
        <v>5.5</v>
      </c>
      <c r="N25" s="611">
        <f t="shared" ref="N25:N26" si="27">(I25*J25*F25+K25*M25)*E25*1.67*1.25</f>
        <v>278.36812500000002</v>
      </c>
      <c r="O25" s="272"/>
      <c r="P25" s="281"/>
      <c r="Q25" s="272"/>
      <c r="R25" s="98"/>
      <c r="S25" s="98"/>
      <c r="T25" s="98"/>
    </row>
    <row r="26" spans="1:20" s="101" customFormat="1" ht="15.75" customHeight="1">
      <c r="A26" s="2548"/>
      <c r="B26" s="607" t="s">
        <v>4739</v>
      </c>
      <c r="C26" s="608"/>
      <c r="D26" s="294">
        <f t="shared" si="23"/>
        <v>850</v>
      </c>
      <c r="E26" s="295">
        <v>3</v>
      </c>
      <c r="F26" s="296">
        <v>1</v>
      </c>
      <c r="G26" s="297" t="s">
        <v>469</v>
      </c>
      <c r="H26" s="296" t="s">
        <v>1037</v>
      </c>
      <c r="I26" s="298">
        <v>0.5</v>
      </c>
      <c r="J26" s="299">
        <f t="shared" si="24"/>
        <v>35.6</v>
      </c>
      <c r="K26" s="609">
        <v>0</v>
      </c>
      <c r="L26" s="610" t="str">
        <f t="shared" si="25"/>
        <v>1/750</v>
      </c>
      <c r="M26" s="421">
        <f t="shared" si="26"/>
        <v>1.9</v>
      </c>
      <c r="N26" s="611">
        <f t="shared" si="27"/>
        <v>111.47250000000001</v>
      </c>
      <c r="O26" s="272"/>
      <c r="P26" s="281"/>
      <c r="Q26" s="272"/>
      <c r="R26" s="98"/>
      <c r="S26" s="98"/>
      <c r="T26" s="98"/>
    </row>
    <row r="27" spans="1:20" s="101" customFormat="1" ht="15.75" customHeight="1">
      <c r="A27" s="2548"/>
      <c r="B27" s="607" t="s">
        <v>4739</v>
      </c>
      <c r="C27" s="608"/>
      <c r="D27" s="294">
        <f t="shared" ref="D27:D33" si="28">IF(H27&lt;&gt;"",VLOOKUP(G27,base_barras,IF(H27="Desnuda",2,5)+F27-1,FALSE),"-")</f>
        <v>850</v>
      </c>
      <c r="E27" s="295">
        <v>3</v>
      </c>
      <c r="F27" s="296">
        <v>1</v>
      </c>
      <c r="G27" s="297" t="s">
        <v>469</v>
      </c>
      <c r="H27" s="296" t="s">
        <v>1037</v>
      </c>
      <c r="I27" s="298">
        <v>0.2</v>
      </c>
      <c r="J27" s="299">
        <f t="shared" ref="J27:J33" si="29">IF(G27&lt;&gt;"",VLOOKUP(G27,precio_barras,9,FALSE),0)</f>
        <v>35.6</v>
      </c>
      <c r="K27" s="609">
        <v>0</v>
      </c>
      <c r="L27" s="610" t="str">
        <f t="shared" ref="L27:L33" si="30">IF(G27&lt;&gt;"",IF(VLOOKUP(G27,base_barras,10,FALSE)&lt;&gt;"",VLOOKUP(G27,base_barras,10,FALSE),"-"),"-")</f>
        <v>1/750</v>
      </c>
      <c r="M27" s="421">
        <f t="shared" ref="M27:M33" si="31">IF(L27&lt;&gt;"-",VLOOKUP(L27,precio_aislador,2,FALSE),0)</f>
        <v>1.9</v>
      </c>
      <c r="N27" s="611">
        <f t="shared" ref="N27:N33" si="32">(I27*J27*F27+K27*M27)*E27*1.67*1.25</f>
        <v>44.589000000000006</v>
      </c>
      <c r="O27" s="272"/>
      <c r="P27" s="281"/>
      <c r="Q27" s="272"/>
      <c r="R27" s="98"/>
      <c r="S27" s="98"/>
      <c r="T27" s="98"/>
    </row>
    <row r="28" spans="1:20" s="101" customFormat="1" ht="15.75" customHeight="1">
      <c r="A28" s="2548"/>
      <c r="B28" s="607" t="s">
        <v>4739</v>
      </c>
      <c r="C28" s="608"/>
      <c r="D28" s="294">
        <f t="shared" si="28"/>
        <v>850</v>
      </c>
      <c r="E28" s="295">
        <v>3</v>
      </c>
      <c r="F28" s="296">
        <v>1</v>
      </c>
      <c r="G28" s="297" t="s">
        <v>469</v>
      </c>
      <c r="H28" s="296" t="s">
        <v>1037</v>
      </c>
      <c r="I28" s="298">
        <v>0.3</v>
      </c>
      <c r="J28" s="299">
        <f t="shared" si="29"/>
        <v>35.6</v>
      </c>
      <c r="K28" s="609">
        <v>0</v>
      </c>
      <c r="L28" s="610" t="str">
        <f t="shared" si="30"/>
        <v>1/750</v>
      </c>
      <c r="M28" s="421">
        <f t="shared" si="31"/>
        <v>1.9</v>
      </c>
      <c r="N28" s="611">
        <f t="shared" si="32"/>
        <v>66.883499999999998</v>
      </c>
      <c r="O28" s="272"/>
      <c r="P28" s="281"/>
      <c r="Q28" s="272"/>
      <c r="R28" s="98"/>
      <c r="S28" s="98"/>
      <c r="T28" s="98"/>
    </row>
    <row r="29" spans="1:20" s="101" customFormat="1" ht="15.75" customHeight="1">
      <c r="A29" s="2548"/>
      <c r="B29" s="607" t="s">
        <v>4739</v>
      </c>
      <c r="C29" s="608"/>
      <c r="D29" s="294">
        <f t="shared" ref="D29:D32" si="33">IF(H29&lt;&gt;"",VLOOKUP(G29,base_barras,IF(H29="Desnuda",2,5)+F29-1,FALSE),"-")</f>
        <v>6430</v>
      </c>
      <c r="E29" s="1836">
        <v>3</v>
      </c>
      <c r="F29" s="300">
        <v>3</v>
      </c>
      <c r="G29" s="300" t="s">
        <v>584</v>
      </c>
      <c r="H29" s="300" t="s">
        <v>1037</v>
      </c>
      <c r="I29" s="1837">
        <v>0.9</v>
      </c>
      <c r="J29" s="299">
        <f t="shared" ref="J29:J32" si="34">IF(G29&lt;&gt;"",VLOOKUP(G29,precio_barras,9,FALSE),0)</f>
        <v>231.4</v>
      </c>
      <c r="K29" s="1838">
        <v>6</v>
      </c>
      <c r="L29" s="610" t="str">
        <f t="shared" ref="L29:L32" si="35">IF(G29&lt;&gt;"",IF(VLOOKUP(G29,base_barras,10,FALSE)&lt;&gt;"",VLOOKUP(G29,base_barras,10,FALSE),"-"),"-")</f>
        <v>1.5/1600</v>
      </c>
      <c r="M29" s="421">
        <f t="shared" ref="M29:M32" si="36">IF(L29&lt;&gt;"-",VLOOKUP(L29,precio_aislador,2,FALSE),0)</f>
        <v>22</v>
      </c>
      <c r="N29" s="611">
        <f t="shared" ref="N29:N32" si="37">(I29*J29*F29+K29*M29)*E29*1.67*1.25</f>
        <v>4739.33475</v>
      </c>
      <c r="O29" s="272"/>
      <c r="P29" s="281"/>
      <c r="Q29" s="272"/>
      <c r="R29" s="98"/>
      <c r="S29" s="98"/>
      <c r="T29" s="98"/>
    </row>
    <row r="30" spans="1:20" s="101" customFormat="1" ht="15.75" customHeight="1">
      <c r="A30" s="2548"/>
      <c r="B30" s="607" t="s">
        <v>4739</v>
      </c>
      <c r="C30" s="608"/>
      <c r="D30" s="294">
        <f t="shared" si="33"/>
        <v>3720</v>
      </c>
      <c r="E30" s="1836">
        <v>3</v>
      </c>
      <c r="F30" s="300">
        <v>3</v>
      </c>
      <c r="G30" s="300" t="s">
        <v>468</v>
      </c>
      <c r="H30" s="300" t="s">
        <v>1037</v>
      </c>
      <c r="I30" s="1837">
        <v>0.8</v>
      </c>
      <c r="J30" s="299">
        <f t="shared" si="34"/>
        <v>88.9</v>
      </c>
      <c r="K30" s="1838">
        <v>0</v>
      </c>
      <c r="L30" s="610" t="str">
        <f t="shared" si="35"/>
        <v>1.5/1250</v>
      </c>
      <c r="M30" s="421">
        <f t="shared" si="36"/>
        <v>5.5</v>
      </c>
      <c r="N30" s="611">
        <f t="shared" si="37"/>
        <v>1336.1670000000001</v>
      </c>
      <c r="O30" s="272"/>
      <c r="P30" s="281"/>
      <c r="Q30" s="272"/>
      <c r="R30" s="98"/>
      <c r="S30" s="98"/>
      <c r="T30" s="98"/>
    </row>
    <row r="31" spans="1:20" s="101" customFormat="1" ht="15.75" customHeight="1">
      <c r="A31" s="2548"/>
      <c r="B31" s="607" t="s">
        <v>4739</v>
      </c>
      <c r="C31" s="608"/>
      <c r="D31" s="294">
        <f t="shared" si="33"/>
        <v>3720</v>
      </c>
      <c r="E31" s="1836">
        <v>3</v>
      </c>
      <c r="F31" s="300">
        <v>3</v>
      </c>
      <c r="G31" s="300" t="s">
        <v>468</v>
      </c>
      <c r="H31" s="300" t="s">
        <v>1037</v>
      </c>
      <c r="I31" s="1837">
        <v>0.6</v>
      </c>
      <c r="J31" s="299">
        <f t="shared" si="34"/>
        <v>88.9</v>
      </c>
      <c r="K31" s="1838">
        <v>0</v>
      </c>
      <c r="L31" s="610" t="str">
        <f t="shared" si="35"/>
        <v>1.5/1250</v>
      </c>
      <c r="M31" s="421">
        <f t="shared" si="36"/>
        <v>5.5</v>
      </c>
      <c r="N31" s="611">
        <f t="shared" si="37"/>
        <v>1002.1252500000002</v>
      </c>
      <c r="O31" s="272"/>
      <c r="P31" s="281"/>
      <c r="Q31" s="272"/>
      <c r="R31" s="98"/>
      <c r="S31" s="98"/>
      <c r="T31" s="98"/>
    </row>
    <row r="32" spans="1:20" s="101" customFormat="1" ht="15.75" customHeight="1">
      <c r="A32" s="2548"/>
      <c r="B32" s="607" t="s">
        <v>4739</v>
      </c>
      <c r="C32" s="608"/>
      <c r="D32" s="294">
        <f t="shared" si="33"/>
        <v>3720</v>
      </c>
      <c r="E32" s="1836">
        <v>3</v>
      </c>
      <c r="F32" s="300">
        <v>3</v>
      </c>
      <c r="G32" s="300" t="s">
        <v>468</v>
      </c>
      <c r="H32" s="300" t="s">
        <v>1037</v>
      </c>
      <c r="I32" s="1837">
        <v>0.8</v>
      </c>
      <c r="J32" s="299">
        <f t="shared" si="34"/>
        <v>88.9</v>
      </c>
      <c r="K32" s="1838">
        <v>6</v>
      </c>
      <c r="L32" s="610" t="str">
        <f t="shared" si="35"/>
        <v>1.5/1250</v>
      </c>
      <c r="M32" s="421">
        <f t="shared" si="36"/>
        <v>5.5</v>
      </c>
      <c r="N32" s="611">
        <f t="shared" si="37"/>
        <v>1542.8295000000001</v>
      </c>
      <c r="O32" s="272"/>
      <c r="P32" s="281"/>
      <c r="Q32" s="272"/>
      <c r="R32" s="98"/>
      <c r="S32" s="98"/>
      <c r="T32" s="98"/>
    </row>
    <row r="33" spans="1:20" s="101" customFormat="1" ht="15.75" customHeight="1">
      <c r="A33" s="2548"/>
      <c r="B33" s="607" t="s">
        <v>4739</v>
      </c>
      <c r="C33" s="608"/>
      <c r="D33" s="294">
        <f t="shared" si="28"/>
        <v>676</v>
      </c>
      <c r="E33" s="295">
        <v>3</v>
      </c>
      <c r="F33" s="296">
        <v>1</v>
      </c>
      <c r="G33" s="297" t="s">
        <v>314</v>
      </c>
      <c r="H33" s="296" t="s">
        <v>1037</v>
      </c>
      <c r="I33" s="298"/>
      <c r="J33" s="299">
        <f t="shared" si="29"/>
        <v>26.6</v>
      </c>
      <c r="K33" s="609">
        <v>0</v>
      </c>
      <c r="L33" s="610" t="str">
        <f t="shared" si="30"/>
        <v>1/750</v>
      </c>
      <c r="M33" s="421">
        <f t="shared" si="31"/>
        <v>1.9</v>
      </c>
      <c r="N33" s="611">
        <f t="shared" si="32"/>
        <v>0</v>
      </c>
      <c r="O33" s="272"/>
      <c r="P33" s="281"/>
      <c r="Q33" s="272"/>
      <c r="R33" s="98"/>
      <c r="S33" s="98"/>
      <c r="T33" s="98"/>
    </row>
    <row r="34" spans="1:20" s="101" customFormat="1" ht="15.75" customHeight="1">
      <c r="A34" s="2548"/>
      <c r="B34" s="607" t="s">
        <v>4739</v>
      </c>
      <c r="C34" s="608"/>
      <c r="D34" s="294">
        <f t="shared" si="14"/>
        <v>676</v>
      </c>
      <c r="E34" s="295">
        <v>3</v>
      </c>
      <c r="F34" s="296">
        <v>1</v>
      </c>
      <c r="G34" s="297" t="s">
        <v>314</v>
      </c>
      <c r="H34" s="296" t="s">
        <v>1037</v>
      </c>
      <c r="I34" s="298"/>
      <c r="J34" s="299">
        <f t="shared" si="10"/>
        <v>26.6</v>
      </c>
      <c r="K34" s="609">
        <v>0</v>
      </c>
      <c r="L34" s="610" t="str">
        <f t="shared" si="15"/>
        <v>1/750</v>
      </c>
      <c r="M34" s="421">
        <f t="shared" si="16"/>
        <v>1.9</v>
      </c>
      <c r="N34" s="611">
        <f t="shared" si="17"/>
        <v>0</v>
      </c>
      <c r="O34" s="272"/>
      <c r="P34" s="281"/>
      <c r="Q34" s="272"/>
      <c r="R34" s="98"/>
      <c r="S34" s="98"/>
      <c r="T34" s="98"/>
    </row>
    <row r="35" spans="1:20" s="101" customFormat="1" ht="15.75" customHeight="1">
      <c r="A35" s="2548"/>
      <c r="B35" s="607" t="s">
        <v>4739</v>
      </c>
      <c r="C35" s="608"/>
      <c r="D35" s="294">
        <f t="shared" si="14"/>
        <v>676</v>
      </c>
      <c r="E35" s="295">
        <v>3</v>
      </c>
      <c r="F35" s="296">
        <v>1</v>
      </c>
      <c r="G35" s="297" t="s">
        <v>314</v>
      </c>
      <c r="H35" s="296" t="s">
        <v>1037</v>
      </c>
      <c r="I35" s="298"/>
      <c r="J35" s="299">
        <f t="shared" si="10"/>
        <v>26.6</v>
      </c>
      <c r="K35" s="609">
        <v>0</v>
      </c>
      <c r="L35" s="610" t="str">
        <f t="shared" si="15"/>
        <v>1/750</v>
      </c>
      <c r="M35" s="421">
        <f t="shared" si="16"/>
        <v>1.9</v>
      </c>
      <c r="N35" s="611">
        <f t="shared" si="17"/>
        <v>0</v>
      </c>
      <c r="O35" s="272"/>
      <c r="P35" s="281"/>
      <c r="Q35" s="272"/>
      <c r="R35" s="98"/>
      <c r="S35" s="98"/>
      <c r="T35" s="98"/>
    </row>
    <row r="36" spans="1:20" s="101" customFormat="1" ht="15.75" customHeight="1">
      <c r="A36" s="2548"/>
      <c r="B36" s="292" t="s">
        <v>801</v>
      </c>
      <c r="C36" s="608"/>
      <c r="D36" s="294">
        <f t="shared" si="14"/>
        <v>1810</v>
      </c>
      <c r="E36" s="295">
        <v>1</v>
      </c>
      <c r="F36" s="296">
        <v>1</v>
      </c>
      <c r="G36" s="297" t="s">
        <v>468</v>
      </c>
      <c r="H36" s="296" t="s">
        <v>1037</v>
      </c>
      <c r="I36" s="298">
        <v>2.5</v>
      </c>
      <c r="J36" s="299">
        <f t="shared" si="10"/>
        <v>88.9</v>
      </c>
      <c r="K36" s="609">
        <v>4</v>
      </c>
      <c r="L36" s="610" t="str">
        <f t="shared" si="15"/>
        <v>1.5/1250</v>
      </c>
      <c r="M36" s="421">
        <f t="shared" si="16"/>
        <v>5.5</v>
      </c>
      <c r="N36" s="611">
        <f t="shared" si="17"/>
        <v>509.87187499999999</v>
      </c>
      <c r="O36" s="272"/>
      <c r="P36" s="281"/>
      <c r="Q36" s="272"/>
      <c r="R36" s="98"/>
      <c r="S36" s="98"/>
      <c r="T36" s="98"/>
    </row>
    <row r="37" spans="1:20" s="101" customFormat="1" ht="15.75" customHeight="1">
      <c r="A37" s="2548"/>
      <c r="B37" s="292" t="s">
        <v>801</v>
      </c>
      <c r="C37" s="608"/>
      <c r="D37" s="294">
        <f t="shared" si="14"/>
        <v>6430</v>
      </c>
      <c r="E37" s="295">
        <v>1</v>
      </c>
      <c r="F37" s="296">
        <v>3</v>
      </c>
      <c r="G37" s="297" t="s">
        <v>584</v>
      </c>
      <c r="H37" s="296" t="s">
        <v>1037</v>
      </c>
      <c r="I37" s="298">
        <f>1+0.9+0.9+0.9</f>
        <v>3.6999999999999997</v>
      </c>
      <c r="J37" s="299">
        <f t="shared" si="10"/>
        <v>231.4</v>
      </c>
      <c r="K37" s="609">
        <f>6+6+6+6</f>
        <v>24</v>
      </c>
      <c r="L37" s="610" t="str">
        <f t="shared" si="15"/>
        <v>1.5/1600</v>
      </c>
      <c r="M37" s="421">
        <f t="shared" si="16"/>
        <v>22</v>
      </c>
      <c r="N37" s="611">
        <f t="shared" si="17"/>
        <v>6464.0272499999992</v>
      </c>
      <c r="O37" s="272"/>
      <c r="P37" s="281"/>
      <c r="Q37" s="272"/>
      <c r="R37" s="98"/>
      <c r="S37" s="98"/>
      <c r="T37" s="98"/>
    </row>
    <row r="38" spans="1:20" s="101" customFormat="1" ht="15.75" customHeight="1" thickBot="1">
      <c r="A38" s="2549"/>
      <c r="B38" s="302" t="s">
        <v>802</v>
      </c>
      <c r="C38" s="293"/>
      <c r="D38" s="294">
        <f t="shared" si="14"/>
        <v>6430</v>
      </c>
      <c r="E38" s="295">
        <v>1</v>
      </c>
      <c r="F38" s="296">
        <v>3</v>
      </c>
      <c r="G38" s="297" t="s">
        <v>584</v>
      </c>
      <c r="H38" s="296" t="s">
        <v>1037</v>
      </c>
      <c r="I38" s="298">
        <f>1+0.9+0.9+0.9</f>
        <v>3.6999999999999997</v>
      </c>
      <c r="J38" s="299">
        <f t="shared" si="10"/>
        <v>231.4</v>
      </c>
      <c r="K38" s="295">
        <v>0</v>
      </c>
      <c r="L38" s="300" t="str">
        <f t="shared" si="15"/>
        <v>1.5/1600</v>
      </c>
      <c r="M38" s="299">
        <f t="shared" si="16"/>
        <v>22</v>
      </c>
      <c r="N38" s="291">
        <f t="shared" si="17"/>
        <v>5361.8272500000003</v>
      </c>
      <c r="O38" s="272"/>
      <c r="P38" s="281"/>
      <c r="Q38" s="272"/>
      <c r="R38" s="98"/>
      <c r="S38" s="98"/>
      <c r="T38" s="98"/>
    </row>
    <row r="39" spans="1:20" s="123" customFormat="1" ht="22.5" customHeight="1" thickBot="1">
      <c r="A39" s="335"/>
      <c r="B39" s="337"/>
      <c r="C39" s="339"/>
      <c r="D39" s="340"/>
      <c r="E39" s="337"/>
      <c r="F39" s="337"/>
      <c r="G39" s="337"/>
      <c r="H39" s="337"/>
      <c r="I39" s="338"/>
      <c r="J39" s="338"/>
      <c r="K39" s="337"/>
      <c r="L39" s="337"/>
      <c r="M39" s="336"/>
      <c r="N39" s="612">
        <f>SUM(N15:N38)</f>
        <v>39832.906800000012</v>
      </c>
      <c r="O39" s="272"/>
      <c r="P39" s="281"/>
      <c r="Q39" s="272"/>
      <c r="R39" s="98"/>
      <c r="S39" s="98"/>
      <c r="T39" s="98"/>
    </row>
    <row r="40" spans="1:20" s="98" customFormat="1" ht="13.8" thickBot="1">
      <c r="B40" s="613"/>
      <c r="F40" s="614"/>
      <c r="G40" s="614"/>
      <c r="H40" s="614"/>
      <c r="L40" s="614"/>
      <c r="N40" s="615"/>
      <c r="P40" s="614"/>
      <c r="Q40" s="614"/>
    </row>
    <row r="41" spans="1:20" s="101" customFormat="1" ht="15.75" customHeight="1">
      <c r="A41" s="2547">
        <v>4</v>
      </c>
      <c r="B41" s="602" t="s">
        <v>2456</v>
      </c>
      <c r="C41" s="303"/>
      <c r="D41" s="304">
        <f t="shared" ref="D41" si="38">IF(H41&lt;&gt;"",VLOOKUP(G41,base_barras,IF(H41="Desnuda",2,5)+F41-1,FALSE),"-")</f>
        <v>3720</v>
      </c>
      <c r="E41" s="305">
        <v>3</v>
      </c>
      <c r="F41" s="306">
        <v>3</v>
      </c>
      <c r="G41" s="307" t="s">
        <v>468</v>
      </c>
      <c r="H41" s="306" t="s">
        <v>1037</v>
      </c>
      <c r="I41" s="308">
        <f>0.6+0.6</f>
        <v>1.2</v>
      </c>
      <c r="J41" s="309">
        <f t="shared" ref="J41:J50" si="39">IF(G41&lt;&gt;"",VLOOKUP(G41,precio_barras,9,FALSE),0)</f>
        <v>88.9</v>
      </c>
      <c r="K41" s="305">
        <v>6</v>
      </c>
      <c r="L41" s="319" t="str">
        <f t="shared" ref="L41" si="40">IF(G41&lt;&gt;"",IF(VLOOKUP(G41,base_barras,10,FALSE)&lt;&gt;"",VLOOKUP(G41,base_barras,10,FALSE),"-"),"-")</f>
        <v>1.5/1250</v>
      </c>
      <c r="M41" s="309">
        <f t="shared" ref="M41" si="41">IF(L41&lt;&gt;"-",VLOOKUP(L41,precio_aislador,2,FALSE),0)</f>
        <v>5.5</v>
      </c>
      <c r="N41" s="334">
        <f t="shared" ref="N41" si="42">(I41*J41*F41+K41*M41)*E41*1.67*1.25</f>
        <v>2210.913</v>
      </c>
      <c r="O41" s="272"/>
      <c r="P41" s="281">
        <v>5000</v>
      </c>
      <c r="Q41" s="281">
        <v>1000</v>
      </c>
      <c r="R41" s="281">
        <v>400</v>
      </c>
      <c r="S41" s="98">
        <v>2500</v>
      </c>
      <c r="T41" s="98"/>
    </row>
    <row r="42" spans="1:20" s="101" customFormat="1" ht="13.8">
      <c r="A42" s="2548"/>
      <c r="B42" s="603" t="s">
        <v>802</v>
      </c>
      <c r="C42" s="301"/>
      <c r="D42" s="294">
        <f>IF(H42&lt;&gt;"",VLOOKUP(G42,base_barras,IF(H42="Desnuda",2,5)+F42-1,FALSE),"-")</f>
        <v>1810</v>
      </c>
      <c r="E42" s="295">
        <v>3</v>
      </c>
      <c r="F42" s="296">
        <v>1</v>
      </c>
      <c r="G42" s="297" t="s">
        <v>468</v>
      </c>
      <c r="H42" s="604" t="str">
        <f>H41</f>
        <v>Pintada</v>
      </c>
      <c r="I42" s="605">
        <v>0.5</v>
      </c>
      <c r="J42" s="299">
        <f t="shared" si="39"/>
        <v>88.9</v>
      </c>
      <c r="K42" s="606">
        <v>0</v>
      </c>
      <c r="L42" s="300" t="str">
        <f>IF(G42&lt;&gt;"",IF(VLOOKUP(G42,base_barras,10,FALSE)&lt;&gt;"",VLOOKUP(G42,base_barras,10,FALSE),"-"),"-")</f>
        <v>1.5/1250</v>
      </c>
      <c r="M42" s="299">
        <f>IF(L42&lt;&gt;"-",VLOOKUP(L42,precio_aislador,2,FALSE),0)</f>
        <v>5.5</v>
      </c>
      <c r="N42" s="291">
        <f>(I42*J42*F42+K42*M42)*E42*1.67*1.25</f>
        <v>278.36812500000002</v>
      </c>
      <c r="O42" s="272"/>
      <c r="P42" s="281"/>
      <c r="Q42" s="281"/>
      <c r="R42" s="281"/>
      <c r="S42" s="98"/>
      <c r="T42" s="98"/>
    </row>
    <row r="43" spans="1:20" s="101" customFormat="1" ht="15.75" customHeight="1">
      <c r="A43" s="2548"/>
      <c r="B43" s="607" t="s">
        <v>4738</v>
      </c>
      <c r="C43" s="608"/>
      <c r="D43" s="294">
        <f t="shared" ref="D43:D50" si="43">IF(H43&lt;&gt;"",VLOOKUP(G43,base_barras,IF(H43="Desnuda",2,5)+F43-1,FALSE),"-")</f>
        <v>1810</v>
      </c>
      <c r="E43" s="295">
        <v>3</v>
      </c>
      <c r="F43" s="296">
        <v>1</v>
      </c>
      <c r="G43" s="297" t="s">
        <v>468</v>
      </c>
      <c r="H43" s="296" t="s">
        <v>1037</v>
      </c>
      <c r="I43" s="298">
        <v>0.5</v>
      </c>
      <c r="J43" s="299">
        <f t="shared" si="39"/>
        <v>88.9</v>
      </c>
      <c r="K43" s="609">
        <v>0</v>
      </c>
      <c r="L43" s="610" t="str">
        <f t="shared" ref="L43:L50" si="44">IF(G43&lt;&gt;"",IF(VLOOKUP(G43,base_barras,10,FALSE)&lt;&gt;"",VLOOKUP(G43,base_barras,10,FALSE),"-"),"-")</f>
        <v>1.5/1250</v>
      </c>
      <c r="M43" s="421">
        <f t="shared" ref="M43:M50" si="45">IF(L43&lt;&gt;"-",VLOOKUP(L43,precio_aislador,2,FALSE),0)</f>
        <v>5.5</v>
      </c>
      <c r="N43" s="611">
        <f t="shared" ref="N43:N50" si="46">(I43*J43*F43+K43*M43)*E43*1.67*1.25</f>
        <v>278.36812500000002</v>
      </c>
      <c r="O43" s="272"/>
      <c r="P43" s="281">
        <f>+P41*1.3</f>
        <v>6500</v>
      </c>
      <c r="Q43" s="281">
        <f>+Q41*1.3</f>
        <v>1300</v>
      </c>
      <c r="R43" s="281">
        <f>+R41*1.3</f>
        <v>520</v>
      </c>
      <c r="S43" s="98">
        <f>+S41*1.3</f>
        <v>3250</v>
      </c>
      <c r="T43" s="98"/>
    </row>
    <row r="44" spans="1:20" s="101" customFormat="1" ht="15.75" customHeight="1">
      <c r="A44" s="2548"/>
      <c r="B44" s="1835" t="s">
        <v>4739</v>
      </c>
      <c r="C44" s="608"/>
      <c r="D44" s="294">
        <f t="shared" si="43"/>
        <v>3720</v>
      </c>
      <c r="E44" s="1836">
        <v>4</v>
      </c>
      <c r="F44" s="300">
        <v>3</v>
      </c>
      <c r="G44" s="300" t="s">
        <v>468</v>
      </c>
      <c r="H44" s="300" t="s">
        <v>1037</v>
      </c>
      <c r="I44" s="1837">
        <v>0.8</v>
      </c>
      <c r="J44" s="299">
        <f t="shared" si="39"/>
        <v>88.9</v>
      </c>
      <c r="K44" s="1838">
        <v>6</v>
      </c>
      <c r="L44" s="610" t="str">
        <f t="shared" si="44"/>
        <v>1.5/1250</v>
      </c>
      <c r="M44" s="421">
        <f t="shared" si="45"/>
        <v>5.5</v>
      </c>
      <c r="N44" s="611">
        <f t="shared" si="46"/>
        <v>2057.1059999999998</v>
      </c>
      <c r="O44" s="272"/>
      <c r="P44" s="281"/>
      <c r="Q44" s="272"/>
      <c r="R44" s="98"/>
      <c r="S44" s="98"/>
      <c r="T44" s="98"/>
    </row>
    <row r="45" spans="1:20" s="101" customFormat="1" ht="15.75" customHeight="1">
      <c r="A45" s="2548"/>
      <c r="B45" s="607" t="s">
        <v>4739</v>
      </c>
      <c r="C45" s="608"/>
      <c r="D45" s="294">
        <f t="shared" si="43"/>
        <v>3720</v>
      </c>
      <c r="E45" s="1836">
        <v>3</v>
      </c>
      <c r="F45" s="300">
        <v>3</v>
      </c>
      <c r="G45" s="300" t="s">
        <v>468</v>
      </c>
      <c r="H45" s="300" t="s">
        <v>1037</v>
      </c>
      <c r="I45" s="1837">
        <v>1</v>
      </c>
      <c r="J45" s="299">
        <f t="shared" si="39"/>
        <v>88.9</v>
      </c>
      <c r="K45" s="1838">
        <v>0</v>
      </c>
      <c r="L45" s="610" t="str">
        <f t="shared" si="44"/>
        <v>1.5/1250</v>
      </c>
      <c r="M45" s="421">
        <f t="shared" si="45"/>
        <v>5.5</v>
      </c>
      <c r="N45" s="611">
        <f t="shared" si="46"/>
        <v>1670.2087500000002</v>
      </c>
      <c r="O45" s="272"/>
      <c r="P45" s="281"/>
      <c r="Q45" s="272"/>
      <c r="R45" s="98"/>
      <c r="S45" s="98"/>
      <c r="T45" s="98"/>
    </row>
    <row r="46" spans="1:20" s="101" customFormat="1" ht="15.75" customHeight="1">
      <c r="A46" s="2548"/>
      <c r="B46" s="607" t="s">
        <v>4739</v>
      </c>
      <c r="C46" s="608"/>
      <c r="D46" s="294">
        <f t="shared" si="43"/>
        <v>1810</v>
      </c>
      <c r="E46" s="1836">
        <v>3</v>
      </c>
      <c r="F46" s="300">
        <v>1</v>
      </c>
      <c r="G46" s="300" t="s">
        <v>468</v>
      </c>
      <c r="H46" s="300" t="s">
        <v>1037</v>
      </c>
      <c r="I46" s="1837">
        <v>0.5</v>
      </c>
      <c r="J46" s="299">
        <f t="shared" si="39"/>
        <v>88.9</v>
      </c>
      <c r="K46" s="1838">
        <v>0</v>
      </c>
      <c r="L46" s="610" t="str">
        <f t="shared" si="44"/>
        <v>1.5/1250</v>
      </c>
      <c r="M46" s="421">
        <f t="shared" si="45"/>
        <v>5.5</v>
      </c>
      <c r="N46" s="611">
        <f t="shared" si="46"/>
        <v>278.36812500000002</v>
      </c>
      <c r="O46" s="272"/>
      <c r="P46" s="281"/>
      <c r="Q46" s="272"/>
      <c r="R46" s="98"/>
      <c r="S46" s="98"/>
      <c r="T46" s="98"/>
    </row>
    <row r="47" spans="1:20" s="101" customFormat="1" ht="15.75" customHeight="1">
      <c r="A47" s="2548"/>
      <c r="B47" s="607" t="s">
        <v>4739</v>
      </c>
      <c r="C47" s="608"/>
      <c r="D47" s="294">
        <f t="shared" si="43"/>
        <v>3720</v>
      </c>
      <c r="E47" s="295">
        <v>3</v>
      </c>
      <c r="F47" s="296">
        <v>3</v>
      </c>
      <c r="G47" s="297" t="s">
        <v>468</v>
      </c>
      <c r="H47" s="296" t="s">
        <v>1037</v>
      </c>
      <c r="I47" s="298">
        <v>1.2</v>
      </c>
      <c r="J47" s="299">
        <f t="shared" si="39"/>
        <v>88.9</v>
      </c>
      <c r="K47" s="609">
        <v>6</v>
      </c>
      <c r="L47" s="610" t="str">
        <f t="shared" si="44"/>
        <v>1.5/1250</v>
      </c>
      <c r="M47" s="421">
        <f t="shared" si="45"/>
        <v>5.5</v>
      </c>
      <c r="N47" s="611">
        <f t="shared" si="46"/>
        <v>2210.913</v>
      </c>
      <c r="O47" s="272"/>
      <c r="P47" s="281"/>
      <c r="Q47" s="272"/>
      <c r="R47" s="98"/>
      <c r="S47" s="98"/>
      <c r="T47" s="98"/>
    </row>
    <row r="48" spans="1:20" s="101" customFormat="1" ht="15.75" customHeight="1">
      <c r="A48" s="2548"/>
      <c r="B48" s="292" t="s">
        <v>801</v>
      </c>
      <c r="C48" s="608"/>
      <c r="D48" s="294">
        <f t="shared" si="43"/>
        <v>3720</v>
      </c>
      <c r="E48" s="295">
        <v>1</v>
      </c>
      <c r="F48" s="296">
        <v>3</v>
      </c>
      <c r="G48" s="297" t="s">
        <v>468</v>
      </c>
      <c r="H48" s="296" t="s">
        <v>1037</v>
      </c>
      <c r="I48" s="298">
        <v>2.5</v>
      </c>
      <c r="J48" s="299">
        <f t="shared" si="39"/>
        <v>88.9</v>
      </c>
      <c r="K48" s="609">
        <v>4</v>
      </c>
      <c r="L48" s="610" t="str">
        <f t="shared" si="44"/>
        <v>1.5/1250</v>
      </c>
      <c r="M48" s="421">
        <f t="shared" si="45"/>
        <v>5.5</v>
      </c>
      <c r="N48" s="611">
        <f t="shared" si="46"/>
        <v>1437.7656249999998</v>
      </c>
      <c r="O48" s="272"/>
      <c r="P48" s="281"/>
      <c r="Q48" s="272"/>
      <c r="R48" s="98"/>
      <c r="S48" s="98"/>
      <c r="T48" s="98"/>
    </row>
    <row r="49" spans="1:20" s="101" customFormat="1" ht="15.75" customHeight="1">
      <c r="A49" s="2548"/>
      <c r="B49" s="292" t="s">
        <v>801</v>
      </c>
      <c r="C49" s="608"/>
      <c r="D49" s="294">
        <f t="shared" si="43"/>
        <v>3720</v>
      </c>
      <c r="E49" s="295">
        <v>1</v>
      </c>
      <c r="F49" s="296">
        <v>3</v>
      </c>
      <c r="G49" s="297" t="s">
        <v>468</v>
      </c>
      <c r="H49" s="296" t="s">
        <v>1037</v>
      </c>
      <c r="I49" s="298">
        <v>1.2</v>
      </c>
      <c r="J49" s="299">
        <f t="shared" si="39"/>
        <v>88.9</v>
      </c>
      <c r="K49" s="609">
        <v>6</v>
      </c>
      <c r="L49" s="610" t="str">
        <f t="shared" si="44"/>
        <v>1.5/1250</v>
      </c>
      <c r="M49" s="421">
        <f t="shared" si="45"/>
        <v>5.5</v>
      </c>
      <c r="N49" s="611">
        <f t="shared" si="46"/>
        <v>736.971</v>
      </c>
      <c r="O49" s="272"/>
      <c r="P49" s="281"/>
      <c r="Q49" s="272"/>
      <c r="R49" s="98"/>
      <c r="S49" s="98"/>
      <c r="T49" s="98"/>
    </row>
    <row r="50" spans="1:20" s="101" customFormat="1" ht="15.75" customHeight="1" thickBot="1">
      <c r="A50" s="2549"/>
      <c r="B50" s="302" t="s">
        <v>802</v>
      </c>
      <c r="C50" s="293"/>
      <c r="D50" s="294">
        <f t="shared" si="43"/>
        <v>3720</v>
      </c>
      <c r="E50" s="295">
        <v>1</v>
      </c>
      <c r="F50" s="296">
        <v>3</v>
      </c>
      <c r="G50" s="297" t="s">
        <v>468</v>
      </c>
      <c r="H50" s="296" t="s">
        <v>1037</v>
      </c>
      <c r="I50" s="298">
        <v>1.2</v>
      </c>
      <c r="J50" s="299">
        <f t="shared" si="39"/>
        <v>88.9</v>
      </c>
      <c r="K50" s="295">
        <v>0</v>
      </c>
      <c r="L50" s="300" t="str">
        <f t="shared" si="44"/>
        <v>1.5/1250</v>
      </c>
      <c r="M50" s="299">
        <f t="shared" si="45"/>
        <v>5.5</v>
      </c>
      <c r="N50" s="291">
        <f t="shared" si="46"/>
        <v>668.08350000000007</v>
      </c>
      <c r="O50" s="272"/>
      <c r="P50" s="281"/>
      <c r="Q50" s="272"/>
      <c r="R50" s="98"/>
      <c r="S50" s="98"/>
      <c r="T50" s="98"/>
    </row>
    <row r="51" spans="1:20" s="123" customFormat="1" ht="22.5" customHeight="1" thickBot="1">
      <c r="A51" s="335"/>
      <c r="B51" s="337"/>
      <c r="C51" s="339"/>
      <c r="D51" s="340"/>
      <c r="E51" s="337"/>
      <c r="F51" s="337"/>
      <c r="G51" s="337"/>
      <c r="H51" s="337"/>
      <c r="I51" s="338"/>
      <c r="J51" s="338"/>
      <c r="K51" s="337"/>
      <c r="L51" s="337"/>
      <c r="M51" s="336"/>
      <c r="N51" s="612">
        <f>SUM(N41:N50)</f>
        <v>11827.06525</v>
      </c>
      <c r="O51" s="272"/>
      <c r="P51" s="281"/>
      <c r="Q51" s="272"/>
      <c r="R51" s="98"/>
      <c r="S51" s="98"/>
      <c r="T51" s="98"/>
    </row>
    <row r="52" spans="1:20" s="98" customFormat="1">
      <c r="B52" s="613"/>
      <c r="F52" s="614"/>
      <c r="G52" s="614"/>
      <c r="H52" s="614"/>
      <c r="L52" s="614"/>
      <c r="N52" s="615"/>
      <c r="P52" s="614"/>
      <c r="Q52" s="614"/>
    </row>
    <row r="53" spans="1:20" s="98" customFormat="1" ht="13.5" customHeight="1" thickBot="1">
      <c r="B53" s="613"/>
      <c r="F53" s="614"/>
      <c r="G53" s="614"/>
      <c r="H53" s="614"/>
      <c r="L53" s="614"/>
      <c r="N53" s="615"/>
      <c r="P53" s="614"/>
      <c r="Q53" s="614"/>
    </row>
    <row r="54" spans="1:20" s="101" customFormat="1" ht="15.75" customHeight="1">
      <c r="A54" s="2547">
        <v>5</v>
      </c>
      <c r="B54" s="602" t="s">
        <v>2456</v>
      </c>
      <c r="C54" s="303"/>
      <c r="D54" s="304">
        <f t="shared" ref="D54" si="47">IF(H54&lt;&gt;"",VLOOKUP(G54,base_barras,IF(H54="Desnuda",2,5)+F54-1,FALSE),"-")</f>
        <v>3720</v>
      </c>
      <c r="E54" s="305">
        <v>3</v>
      </c>
      <c r="F54" s="306">
        <v>3</v>
      </c>
      <c r="G54" s="307" t="s">
        <v>468</v>
      </c>
      <c r="H54" s="306" t="s">
        <v>1037</v>
      </c>
      <c r="I54" s="308">
        <v>0.9</v>
      </c>
      <c r="J54" s="309">
        <f t="shared" ref="J54:J67" si="48">IF(G54&lt;&gt;"",VLOOKUP(G54,precio_barras,9,FALSE),0)</f>
        <v>88.9</v>
      </c>
      <c r="K54" s="305">
        <v>6</v>
      </c>
      <c r="L54" s="319" t="str">
        <f t="shared" ref="L54" si="49">IF(G54&lt;&gt;"",IF(VLOOKUP(G54,base_barras,10,FALSE)&lt;&gt;"",VLOOKUP(G54,base_barras,10,FALSE),"-"),"-")</f>
        <v>1.5/1250</v>
      </c>
      <c r="M54" s="309">
        <f t="shared" ref="M54" si="50">IF(L54&lt;&gt;"-",VLOOKUP(L54,precio_aislador,2,FALSE),0)</f>
        <v>5.5</v>
      </c>
      <c r="N54" s="334">
        <f t="shared" ref="N54" si="51">(I54*J54*F54+K54*M54)*E54*1.67*1.25</f>
        <v>1709.8503750000004</v>
      </c>
      <c r="O54" s="272"/>
      <c r="P54" s="281">
        <v>5000</v>
      </c>
      <c r="Q54" s="281">
        <v>1000</v>
      </c>
      <c r="R54" s="281">
        <v>630</v>
      </c>
      <c r="S54" s="281">
        <v>2500</v>
      </c>
      <c r="T54" s="98"/>
    </row>
    <row r="55" spans="1:20" s="101" customFormat="1" ht="13.8">
      <c r="A55" s="2548"/>
      <c r="B55" s="603" t="s">
        <v>802</v>
      </c>
      <c r="C55" s="301"/>
      <c r="D55" s="294">
        <f>IF(H55&lt;&gt;"",VLOOKUP(G55,base_barras,IF(H55="Desnuda",2,5)+F55-1,FALSE),"-")</f>
        <v>1020</v>
      </c>
      <c r="E55" s="295">
        <v>3</v>
      </c>
      <c r="F55" s="296">
        <v>1</v>
      </c>
      <c r="G55" s="297" t="s">
        <v>315</v>
      </c>
      <c r="H55" s="604" t="str">
        <f>H54</f>
        <v>Pintada</v>
      </c>
      <c r="I55" s="605">
        <v>0.8</v>
      </c>
      <c r="J55" s="299">
        <f t="shared" si="48"/>
        <v>44.400000000000006</v>
      </c>
      <c r="K55" s="606">
        <v>0</v>
      </c>
      <c r="L55" s="300" t="str">
        <f>IF(G55&lt;&gt;"",IF(VLOOKUP(G55,base_barras,10,FALSE)&lt;&gt;"",VLOOKUP(G55,base_barras,10,FALSE),"-"),"-")</f>
        <v>1/750</v>
      </c>
      <c r="M55" s="299">
        <f>IF(L55&lt;&gt;"-",VLOOKUP(L55,precio_aislador,2,FALSE),0)</f>
        <v>1.9</v>
      </c>
      <c r="N55" s="291">
        <f>(I55*J55*F55+K55*M55)*E55*1.67*1.25</f>
        <v>222.44399999999999</v>
      </c>
      <c r="O55" s="272"/>
      <c r="P55" s="281"/>
      <c r="Q55" s="281"/>
      <c r="R55" s="281"/>
      <c r="S55" s="281"/>
      <c r="T55" s="98"/>
    </row>
    <row r="56" spans="1:20" s="101" customFormat="1" ht="15.75" customHeight="1">
      <c r="A56" s="2548"/>
      <c r="B56" s="607" t="s">
        <v>4738</v>
      </c>
      <c r="C56" s="608"/>
      <c r="D56" s="294">
        <f t="shared" ref="D56:D67" si="52">IF(H56&lt;&gt;"",VLOOKUP(G56,base_barras,IF(H56="Desnuda",2,5)+F56-1,FALSE),"-")</f>
        <v>1810</v>
      </c>
      <c r="E56" s="295">
        <v>3</v>
      </c>
      <c r="F56" s="296">
        <v>1</v>
      </c>
      <c r="G56" s="297" t="s">
        <v>468</v>
      </c>
      <c r="H56" s="296" t="s">
        <v>1037</v>
      </c>
      <c r="I56" s="298"/>
      <c r="J56" s="299">
        <f t="shared" si="48"/>
        <v>88.9</v>
      </c>
      <c r="K56" s="609"/>
      <c r="L56" s="610" t="str">
        <f t="shared" ref="L56:L67" si="53">IF(G56&lt;&gt;"",IF(VLOOKUP(G56,base_barras,10,FALSE)&lt;&gt;"",VLOOKUP(G56,base_barras,10,FALSE),"-"),"-")</f>
        <v>1.5/1250</v>
      </c>
      <c r="M56" s="421">
        <f t="shared" ref="M56:M67" si="54">IF(L56&lt;&gt;"-",VLOOKUP(L56,precio_aislador,2,FALSE),0)</f>
        <v>5.5</v>
      </c>
      <c r="N56" s="611">
        <f t="shared" ref="N56:N67" si="55">(I56*J56*F56+K56*M56)*E56*1.67*1.25</f>
        <v>0</v>
      </c>
      <c r="O56" s="272"/>
      <c r="P56" s="281">
        <f>+P54*1.3</f>
        <v>6500</v>
      </c>
      <c r="Q56" s="281">
        <f>+Q54*1.3</f>
        <v>1300</v>
      </c>
      <c r="R56" s="281">
        <f>+R54*1.3</f>
        <v>819</v>
      </c>
      <c r="S56" s="281">
        <f>+S54*1.3</f>
        <v>3250</v>
      </c>
      <c r="T56" s="98"/>
    </row>
    <row r="57" spans="1:20" s="101" customFormat="1" ht="15.75" customHeight="1">
      <c r="A57" s="2548"/>
      <c r="B57" s="607" t="s">
        <v>4739</v>
      </c>
      <c r="C57" s="608"/>
      <c r="D57" s="294">
        <f t="shared" si="52"/>
        <v>1810</v>
      </c>
      <c r="E57" s="295">
        <v>4</v>
      </c>
      <c r="F57" s="296">
        <v>1</v>
      </c>
      <c r="G57" s="297" t="s">
        <v>468</v>
      </c>
      <c r="H57" s="296" t="s">
        <v>1037</v>
      </c>
      <c r="I57" s="298"/>
      <c r="J57" s="299">
        <f t="shared" si="48"/>
        <v>88.9</v>
      </c>
      <c r="K57" s="609"/>
      <c r="L57" s="610" t="str">
        <f t="shared" si="53"/>
        <v>1.5/1250</v>
      </c>
      <c r="M57" s="421">
        <f t="shared" si="54"/>
        <v>5.5</v>
      </c>
      <c r="N57" s="611">
        <f t="shared" si="55"/>
        <v>0</v>
      </c>
      <c r="O57" s="272"/>
      <c r="P57" s="281"/>
      <c r="Q57" s="272"/>
      <c r="R57" s="98"/>
      <c r="S57" s="98"/>
      <c r="T57" s="98"/>
    </row>
    <row r="58" spans="1:20" s="101" customFormat="1" ht="15.75" customHeight="1">
      <c r="A58" s="2548"/>
      <c r="B58" s="607" t="s">
        <v>4739</v>
      </c>
      <c r="C58" s="608"/>
      <c r="D58" s="294">
        <f t="shared" si="52"/>
        <v>1020</v>
      </c>
      <c r="E58" s="1836">
        <v>3</v>
      </c>
      <c r="F58" s="300">
        <v>1</v>
      </c>
      <c r="G58" s="300" t="s">
        <v>315</v>
      </c>
      <c r="H58" s="300" t="s">
        <v>1037</v>
      </c>
      <c r="I58" s="1837">
        <v>2.5</v>
      </c>
      <c r="J58" s="299">
        <f t="shared" si="48"/>
        <v>44.400000000000006</v>
      </c>
      <c r="K58" s="1838">
        <v>5</v>
      </c>
      <c r="L58" s="610" t="str">
        <f t="shared" si="53"/>
        <v>1/750</v>
      </c>
      <c r="M58" s="421">
        <f t="shared" si="54"/>
        <v>1.9</v>
      </c>
      <c r="N58" s="611">
        <f t="shared" si="55"/>
        <v>754.63125000000002</v>
      </c>
      <c r="O58" s="272"/>
      <c r="P58" s="281"/>
      <c r="Q58" s="272"/>
      <c r="R58" s="98"/>
      <c r="S58" s="98"/>
      <c r="T58" s="98"/>
    </row>
    <row r="59" spans="1:20" s="101" customFormat="1" ht="15.75" customHeight="1">
      <c r="A59" s="2548"/>
      <c r="B59" s="607" t="s">
        <v>4739</v>
      </c>
      <c r="C59" s="608"/>
      <c r="D59" s="294">
        <f t="shared" si="52"/>
        <v>1020</v>
      </c>
      <c r="E59" s="1836">
        <v>4</v>
      </c>
      <c r="F59" s="300">
        <v>1</v>
      </c>
      <c r="G59" s="300" t="s">
        <v>315</v>
      </c>
      <c r="H59" s="300" t="s">
        <v>1037</v>
      </c>
      <c r="I59" s="1837">
        <v>0.8</v>
      </c>
      <c r="J59" s="299">
        <f t="shared" si="48"/>
        <v>44.400000000000006</v>
      </c>
      <c r="K59" s="1838">
        <v>2</v>
      </c>
      <c r="L59" s="610" t="str">
        <f t="shared" si="53"/>
        <v>1/750</v>
      </c>
      <c r="M59" s="421">
        <f t="shared" si="54"/>
        <v>1.9</v>
      </c>
      <c r="N59" s="611">
        <f t="shared" si="55"/>
        <v>328.322</v>
      </c>
      <c r="O59" s="272"/>
      <c r="P59" s="281"/>
      <c r="Q59" s="272"/>
      <c r="R59" s="98"/>
      <c r="S59" s="98"/>
      <c r="T59" s="98"/>
    </row>
    <row r="60" spans="1:20" s="101" customFormat="1" ht="15.75" customHeight="1">
      <c r="A60" s="2548"/>
      <c r="B60" s="607" t="s">
        <v>4739</v>
      </c>
      <c r="C60" s="608"/>
      <c r="D60" s="294">
        <f t="shared" si="52"/>
        <v>3720</v>
      </c>
      <c r="E60" s="295">
        <v>3</v>
      </c>
      <c r="F60" s="296">
        <v>3</v>
      </c>
      <c r="G60" s="297" t="s">
        <v>468</v>
      </c>
      <c r="H60" s="296" t="s">
        <v>1037</v>
      </c>
      <c r="I60" s="298">
        <f>0.8+0.9</f>
        <v>1.7000000000000002</v>
      </c>
      <c r="J60" s="299">
        <f t="shared" si="48"/>
        <v>88.9</v>
      </c>
      <c r="K60" s="609">
        <v>12</v>
      </c>
      <c r="L60" s="610" t="str">
        <f t="shared" si="53"/>
        <v>1.5/1250</v>
      </c>
      <c r="M60" s="421">
        <f t="shared" si="54"/>
        <v>5.5</v>
      </c>
      <c r="N60" s="611">
        <f t="shared" si="55"/>
        <v>3252.6798750000007</v>
      </c>
      <c r="O60" s="272"/>
      <c r="P60" s="281"/>
      <c r="Q60" s="272"/>
      <c r="R60" s="98"/>
      <c r="S60" s="98"/>
      <c r="T60" s="98"/>
    </row>
    <row r="61" spans="1:20" s="101" customFormat="1" ht="15.75" customHeight="1">
      <c r="A61" s="2548"/>
      <c r="B61" s="607" t="s">
        <v>4739</v>
      </c>
      <c r="C61" s="608"/>
      <c r="D61" s="294">
        <f t="shared" si="52"/>
        <v>676</v>
      </c>
      <c r="E61" s="295">
        <v>3</v>
      </c>
      <c r="F61" s="296">
        <v>1</v>
      </c>
      <c r="G61" s="297" t="s">
        <v>314</v>
      </c>
      <c r="H61" s="296" t="s">
        <v>1037</v>
      </c>
      <c r="I61" s="298">
        <v>0.8</v>
      </c>
      <c r="J61" s="299">
        <f t="shared" si="48"/>
        <v>26.6</v>
      </c>
      <c r="K61" s="609">
        <v>0</v>
      </c>
      <c r="L61" s="610" t="str">
        <f t="shared" si="53"/>
        <v>1/750</v>
      </c>
      <c r="M61" s="421">
        <f t="shared" si="54"/>
        <v>1.9</v>
      </c>
      <c r="N61" s="611">
        <f t="shared" si="55"/>
        <v>133.26600000000002</v>
      </c>
      <c r="O61" s="272"/>
      <c r="P61" s="281"/>
      <c r="Q61" s="272"/>
      <c r="R61" s="98"/>
      <c r="S61" s="98"/>
      <c r="T61" s="98"/>
    </row>
    <row r="62" spans="1:20" s="101" customFormat="1" ht="15.75" customHeight="1">
      <c r="A62" s="2548"/>
      <c r="B62" s="607" t="s">
        <v>4739</v>
      </c>
      <c r="C62" s="608"/>
      <c r="D62" s="294">
        <f t="shared" si="52"/>
        <v>676</v>
      </c>
      <c r="E62" s="295">
        <v>3</v>
      </c>
      <c r="F62" s="296">
        <v>1</v>
      </c>
      <c r="G62" s="297" t="s">
        <v>314</v>
      </c>
      <c r="H62" s="296" t="s">
        <v>1037</v>
      </c>
      <c r="I62" s="298">
        <v>0.5</v>
      </c>
      <c r="J62" s="299">
        <f t="shared" si="48"/>
        <v>26.6</v>
      </c>
      <c r="K62" s="609">
        <v>0</v>
      </c>
      <c r="L62" s="610" t="str">
        <f t="shared" si="53"/>
        <v>1/750</v>
      </c>
      <c r="M62" s="421">
        <f t="shared" si="54"/>
        <v>1.9</v>
      </c>
      <c r="N62" s="611">
        <f t="shared" si="55"/>
        <v>83.291250000000019</v>
      </c>
      <c r="O62" s="272"/>
      <c r="P62" s="281"/>
      <c r="Q62" s="272"/>
      <c r="R62" s="98"/>
      <c r="S62" s="98"/>
      <c r="T62" s="98"/>
    </row>
    <row r="63" spans="1:20" s="101" customFormat="1" ht="15.75" customHeight="1">
      <c r="A63" s="2548"/>
      <c r="B63" s="607" t="s">
        <v>4739</v>
      </c>
      <c r="C63" s="608"/>
      <c r="D63" s="294">
        <f t="shared" si="52"/>
        <v>676</v>
      </c>
      <c r="E63" s="295">
        <v>3</v>
      </c>
      <c r="F63" s="296">
        <v>1</v>
      </c>
      <c r="G63" s="297" t="s">
        <v>314</v>
      </c>
      <c r="H63" s="296" t="s">
        <v>1037</v>
      </c>
      <c r="I63" s="298">
        <v>0.51</v>
      </c>
      <c r="J63" s="299">
        <f t="shared" si="48"/>
        <v>26.6</v>
      </c>
      <c r="K63" s="609">
        <v>2</v>
      </c>
      <c r="L63" s="610" t="str">
        <f t="shared" si="53"/>
        <v>1/750</v>
      </c>
      <c r="M63" s="421">
        <f t="shared" si="54"/>
        <v>1.9</v>
      </c>
      <c r="N63" s="611">
        <f t="shared" si="55"/>
        <v>108.75457499999999</v>
      </c>
      <c r="O63" s="272"/>
      <c r="P63" s="281"/>
      <c r="Q63" s="272"/>
      <c r="R63" s="98"/>
      <c r="S63" s="98"/>
      <c r="T63" s="98"/>
    </row>
    <row r="64" spans="1:20" s="101" customFormat="1" ht="15.75" customHeight="1">
      <c r="A64" s="2548"/>
      <c r="B64" s="607" t="s">
        <v>4739</v>
      </c>
      <c r="C64" s="608"/>
      <c r="D64" s="294">
        <f t="shared" si="52"/>
        <v>850</v>
      </c>
      <c r="E64" s="295">
        <v>3</v>
      </c>
      <c r="F64" s="296">
        <v>1</v>
      </c>
      <c r="G64" s="297" t="s">
        <v>469</v>
      </c>
      <c r="H64" s="296" t="s">
        <v>1037</v>
      </c>
      <c r="I64" s="298"/>
      <c r="J64" s="299">
        <f t="shared" si="48"/>
        <v>35.6</v>
      </c>
      <c r="K64" s="609">
        <v>0</v>
      </c>
      <c r="L64" s="610" t="str">
        <f t="shared" si="53"/>
        <v>1/750</v>
      </c>
      <c r="M64" s="421">
        <f t="shared" si="54"/>
        <v>1.9</v>
      </c>
      <c r="N64" s="611">
        <f t="shared" si="55"/>
        <v>0</v>
      </c>
      <c r="O64" s="272"/>
      <c r="P64" s="281"/>
      <c r="Q64" s="272"/>
      <c r="R64" s="98"/>
      <c r="S64" s="98"/>
      <c r="T64" s="98"/>
    </row>
    <row r="65" spans="1:20" s="101" customFormat="1" ht="15.75" customHeight="1">
      <c r="A65" s="2548"/>
      <c r="B65" s="292" t="s">
        <v>801</v>
      </c>
      <c r="C65" s="608"/>
      <c r="D65" s="294">
        <f t="shared" si="52"/>
        <v>3720</v>
      </c>
      <c r="E65" s="295">
        <v>1</v>
      </c>
      <c r="F65" s="296">
        <v>3</v>
      </c>
      <c r="G65" s="297" t="s">
        <v>468</v>
      </c>
      <c r="H65" s="296" t="s">
        <v>1037</v>
      </c>
      <c r="I65" s="298">
        <v>2.5</v>
      </c>
      <c r="J65" s="299">
        <f t="shared" si="48"/>
        <v>88.9</v>
      </c>
      <c r="K65" s="609">
        <v>4</v>
      </c>
      <c r="L65" s="610" t="str">
        <f t="shared" si="53"/>
        <v>1.5/1250</v>
      </c>
      <c r="M65" s="421">
        <f t="shared" si="54"/>
        <v>5.5</v>
      </c>
      <c r="N65" s="611">
        <f t="shared" si="55"/>
        <v>1437.7656249999998</v>
      </c>
      <c r="O65" s="272"/>
      <c r="P65" s="281"/>
      <c r="Q65" s="272"/>
      <c r="R65" s="98"/>
      <c r="S65" s="98"/>
      <c r="T65" s="98"/>
    </row>
    <row r="66" spans="1:20" s="101" customFormat="1" ht="15.75" customHeight="1">
      <c r="A66" s="2548"/>
      <c r="B66" s="292" t="s">
        <v>801</v>
      </c>
      <c r="C66" s="608"/>
      <c r="D66" s="294">
        <f t="shared" si="52"/>
        <v>3720</v>
      </c>
      <c r="E66" s="295">
        <v>1</v>
      </c>
      <c r="F66" s="296">
        <v>3</v>
      </c>
      <c r="G66" s="297" t="s">
        <v>468</v>
      </c>
      <c r="H66" s="296" t="s">
        <v>1037</v>
      </c>
      <c r="I66" s="298">
        <f>0.9+0.9</f>
        <v>1.8</v>
      </c>
      <c r="J66" s="299">
        <f t="shared" si="48"/>
        <v>88.9</v>
      </c>
      <c r="K66" s="609">
        <f>6+6</f>
        <v>12</v>
      </c>
      <c r="L66" s="610" t="str">
        <f t="shared" si="53"/>
        <v>1.5/1250</v>
      </c>
      <c r="M66" s="421">
        <f t="shared" si="54"/>
        <v>5.5</v>
      </c>
      <c r="N66" s="611">
        <f t="shared" si="55"/>
        <v>1139.9002500000001</v>
      </c>
      <c r="O66" s="272"/>
      <c r="P66" s="281"/>
      <c r="Q66" s="272"/>
      <c r="R66" s="98"/>
      <c r="S66" s="98"/>
      <c r="T66" s="98"/>
    </row>
    <row r="67" spans="1:20" s="101" customFormat="1" ht="15.75" customHeight="1" thickBot="1">
      <c r="A67" s="2549"/>
      <c r="B67" s="302" t="s">
        <v>802</v>
      </c>
      <c r="C67" s="293"/>
      <c r="D67" s="294">
        <f t="shared" si="52"/>
        <v>3720</v>
      </c>
      <c r="E67" s="295">
        <v>1</v>
      </c>
      <c r="F67" s="296">
        <v>3</v>
      </c>
      <c r="G67" s="297" t="s">
        <v>468</v>
      </c>
      <c r="H67" s="296" t="s">
        <v>1037</v>
      </c>
      <c r="I67" s="298">
        <f>0.9+0.9</f>
        <v>1.8</v>
      </c>
      <c r="J67" s="299">
        <f t="shared" si="48"/>
        <v>88.9</v>
      </c>
      <c r="K67" s="609">
        <v>0</v>
      </c>
      <c r="L67" s="300" t="str">
        <f t="shared" si="53"/>
        <v>1.5/1250</v>
      </c>
      <c r="M67" s="299">
        <f t="shared" si="54"/>
        <v>5.5</v>
      </c>
      <c r="N67" s="291">
        <f t="shared" si="55"/>
        <v>1002.1252500000002</v>
      </c>
      <c r="O67" s="272"/>
      <c r="P67" s="281"/>
      <c r="Q67" s="272"/>
      <c r="R67" s="98"/>
      <c r="S67" s="98"/>
      <c r="T67" s="98"/>
    </row>
    <row r="68" spans="1:20" s="123" customFormat="1" ht="22.5" customHeight="1" thickBot="1">
      <c r="A68" s="335"/>
      <c r="B68" s="337"/>
      <c r="C68" s="339"/>
      <c r="D68" s="340"/>
      <c r="E68" s="337"/>
      <c r="F68" s="337"/>
      <c r="G68" s="337"/>
      <c r="H68" s="337"/>
      <c r="I68" s="338"/>
      <c r="J68" s="338"/>
      <c r="K68" s="337"/>
      <c r="L68" s="337"/>
      <c r="M68" s="336"/>
      <c r="N68" s="612">
        <f>SUM(N54:N67)</f>
        <v>10173.030450000002</v>
      </c>
      <c r="O68" s="272"/>
      <c r="P68" s="281"/>
      <c r="Q68" s="272"/>
      <c r="R68" s="98"/>
      <c r="S68" s="98"/>
      <c r="T68" s="98"/>
    </row>
    <row r="69" spans="1:20" s="98" customFormat="1">
      <c r="B69" s="613"/>
      <c r="F69" s="614"/>
      <c r="G69" s="614"/>
      <c r="H69" s="614"/>
      <c r="L69" s="614"/>
      <c r="N69" s="615"/>
      <c r="P69" s="614"/>
      <c r="Q69" s="614"/>
    </row>
    <row r="70" spans="1:20" s="98" customFormat="1" ht="13.8" thickBot="1">
      <c r="B70" s="613"/>
      <c r="F70" s="614"/>
      <c r="G70" s="614"/>
      <c r="H70" s="614"/>
      <c r="L70" s="614"/>
      <c r="N70" s="615"/>
      <c r="P70" s="614"/>
      <c r="Q70" s="614"/>
    </row>
    <row r="71" spans="1:20" s="101" customFormat="1" ht="15.75" customHeight="1">
      <c r="A71" s="2547">
        <v>6</v>
      </c>
      <c r="B71" s="602" t="s">
        <v>2456</v>
      </c>
      <c r="C71" s="303"/>
      <c r="D71" s="304">
        <f t="shared" ref="D71" si="56">IF(H71&lt;&gt;"",VLOOKUP(G71,base_barras,IF(H71="Desnuda",2,5)+F71-1,FALSE),"-")</f>
        <v>3720</v>
      </c>
      <c r="E71" s="305">
        <v>3</v>
      </c>
      <c r="F71" s="306">
        <v>3</v>
      </c>
      <c r="G71" s="307" t="s">
        <v>468</v>
      </c>
      <c r="H71" s="306" t="s">
        <v>1037</v>
      </c>
      <c r="I71" s="308"/>
      <c r="J71" s="309">
        <f t="shared" ref="J71:J94" si="57">IF(G71&lt;&gt;"",VLOOKUP(G71,precio_barras,9,FALSE),0)</f>
        <v>88.9</v>
      </c>
      <c r="K71" s="305">
        <v>6</v>
      </c>
      <c r="L71" s="319" t="str">
        <f t="shared" ref="L71" si="58">IF(G71&lt;&gt;"",IF(VLOOKUP(G71,base_barras,10,FALSE)&lt;&gt;"",VLOOKUP(G71,base_barras,10,FALSE),"-"),"-")</f>
        <v>1.5/1250</v>
      </c>
      <c r="M71" s="309">
        <f t="shared" ref="M71" si="59">IF(L71&lt;&gt;"-",VLOOKUP(L71,precio_aislador,2,FALSE),0)</f>
        <v>5.5</v>
      </c>
      <c r="N71" s="334">
        <f t="shared" ref="N71" si="60">(I71*J71*F71+K71*M71)*E71*1.67*1.25</f>
        <v>206.66249999999997</v>
      </c>
      <c r="O71" s="272"/>
      <c r="P71" s="281">
        <v>5000</v>
      </c>
      <c r="Q71" s="281">
        <v>1000</v>
      </c>
      <c r="R71" s="281">
        <v>630</v>
      </c>
      <c r="S71" s="281">
        <v>2500</v>
      </c>
      <c r="T71" s="281">
        <v>200</v>
      </c>
    </row>
    <row r="72" spans="1:20" s="101" customFormat="1" ht="13.8">
      <c r="A72" s="2548"/>
      <c r="B72" s="603" t="s">
        <v>802</v>
      </c>
      <c r="C72" s="301"/>
      <c r="D72" s="294">
        <f>IF(H72&lt;&gt;"",VLOOKUP(G72,base_barras,IF(H72="Desnuda",2,5)+F72-1,FALSE),"-")</f>
        <v>1020</v>
      </c>
      <c r="E72" s="295">
        <v>3</v>
      </c>
      <c r="F72" s="296">
        <v>1</v>
      </c>
      <c r="G72" s="297" t="s">
        <v>315</v>
      </c>
      <c r="H72" s="604" t="str">
        <f>H71</f>
        <v>Pintada</v>
      </c>
      <c r="I72" s="605"/>
      <c r="J72" s="299">
        <f t="shared" si="57"/>
        <v>44.400000000000006</v>
      </c>
      <c r="K72" s="606">
        <v>0</v>
      </c>
      <c r="L72" s="300" t="str">
        <f>IF(G72&lt;&gt;"",IF(VLOOKUP(G72,base_barras,10,FALSE)&lt;&gt;"",VLOOKUP(G72,base_barras,10,FALSE),"-"),"-")</f>
        <v>1/750</v>
      </c>
      <c r="M72" s="299">
        <f>IF(L72&lt;&gt;"-",VLOOKUP(L72,precio_aislador,2,FALSE),0)</f>
        <v>1.9</v>
      </c>
      <c r="N72" s="291">
        <f>(I72*J72*F72+K72*M72)*E72*1.67*1.25</f>
        <v>0</v>
      </c>
      <c r="O72" s="272"/>
      <c r="P72" s="281"/>
      <c r="Q72" s="281"/>
      <c r="R72" s="281"/>
      <c r="S72" s="281"/>
      <c r="T72" s="281"/>
    </row>
    <row r="73" spans="1:20" s="101" customFormat="1" ht="15.75" customHeight="1">
      <c r="A73" s="2548"/>
      <c r="B73" s="607" t="s">
        <v>4738</v>
      </c>
      <c r="C73" s="608"/>
      <c r="D73" s="294">
        <f t="shared" ref="D73:D94" si="61">IF(H73&lt;&gt;"",VLOOKUP(G73,base_barras,IF(H73="Desnuda",2,5)+F73-1,FALSE),"-")</f>
        <v>1810</v>
      </c>
      <c r="E73" s="295">
        <v>3</v>
      </c>
      <c r="F73" s="296">
        <v>1</v>
      </c>
      <c r="G73" s="297" t="s">
        <v>468</v>
      </c>
      <c r="H73" s="296" t="s">
        <v>1037</v>
      </c>
      <c r="I73" s="298"/>
      <c r="J73" s="299">
        <f t="shared" si="57"/>
        <v>88.9</v>
      </c>
      <c r="K73" s="609"/>
      <c r="L73" s="610" t="str">
        <f t="shared" ref="L73:L94" si="62">IF(G73&lt;&gt;"",IF(VLOOKUP(G73,base_barras,10,FALSE)&lt;&gt;"",VLOOKUP(G73,base_barras,10,FALSE),"-"),"-")</f>
        <v>1.5/1250</v>
      </c>
      <c r="M73" s="421">
        <f t="shared" ref="M73:M94" si="63">IF(L73&lt;&gt;"-",VLOOKUP(L73,precio_aislador,2,FALSE),0)</f>
        <v>5.5</v>
      </c>
      <c r="N73" s="611">
        <f t="shared" ref="N73:N94" si="64">(I73*J73*F73+K73*M73)*E73*1.67*1.25</f>
        <v>0</v>
      </c>
      <c r="O73" s="272"/>
      <c r="P73" s="281">
        <f>+P71*1.3</f>
        <v>6500</v>
      </c>
      <c r="Q73" s="281">
        <f>+Q71*1.3</f>
        <v>1300</v>
      </c>
      <c r="R73" s="281">
        <f>+R71*1.3</f>
        <v>819</v>
      </c>
      <c r="S73" s="281">
        <f>+S71*1.3</f>
        <v>3250</v>
      </c>
      <c r="T73" s="281">
        <f>+T71*1.3</f>
        <v>260</v>
      </c>
    </row>
    <row r="74" spans="1:20" s="101" customFormat="1" ht="15.75" customHeight="1">
      <c r="A74" s="2548"/>
      <c r="B74" s="607" t="s">
        <v>4739</v>
      </c>
      <c r="C74" s="608"/>
      <c r="D74" s="294">
        <f t="shared" si="61"/>
        <v>1810</v>
      </c>
      <c r="E74" s="295">
        <v>4</v>
      </c>
      <c r="F74" s="296">
        <v>1</v>
      </c>
      <c r="G74" s="297" t="s">
        <v>468</v>
      </c>
      <c r="H74" s="296" t="s">
        <v>1037</v>
      </c>
      <c r="I74" s="298"/>
      <c r="J74" s="299">
        <f t="shared" si="57"/>
        <v>88.9</v>
      </c>
      <c r="K74" s="609"/>
      <c r="L74" s="610" t="str">
        <f t="shared" si="62"/>
        <v>1.5/1250</v>
      </c>
      <c r="M74" s="421">
        <f t="shared" si="63"/>
        <v>5.5</v>
      </c>
      <c r="N74" s="611">
        <f t="shared" si="64"/>
        <v>0</v>
      </c>
      <c r="O74" s="272"/>
      <c r="P74" s="281"/>
      <c r="Q74" s="272"/>
      <c r="R74" s="98"/>
      <c r="S74" s="98"/>
      <c r="T74" s="98"/>
    </row>
    <row r="75" spans="1:20" s="101" customFormat="1" ht="15.75" customHeight="1">
      <c r="A75" s="2548"/>
      <c r="B75" s="607" t="s">
        <v>4739</v>
      </c>
      <c r="C75" s="608"/>
      <c r="D75" s="294">
        <f t="shared" si="61"/>
        <v>1020</v>
      </c>
      <c r="E75" s="1836">
        <v>3</v>
      </c>
      <c r="F75" s="300">
        <v>1</v>
      </c>
      <c r="G75" s="300" t="s">
        <v>315</v>
      </c>
      <c r="H75" s="300" t="s">
        <v>1037</v>
      </c>
      <c r="I75" s="1837"/>
      <c r="J75" s="299">
        <f t="shared" si="57"/>
        <v>44.400000000000006</v>
      </c>
      <c r="K75" s="1838">
        <v>5</v>
      </c>
      <c r="L75" s="610" t="str">
        <f t="shared" si="62"/>
        <v>1/750</v>
      </c>
      <c r="M75" s="421">
        <f t="shared" si="63"/>
        <v>1.9</v>
      </c>
      <c r="N75" s="611">
        <f t="shared" si="64"/>
        <v>59.493749999999999</v>
      </c>
      <c r="O75" s="272"/>
      <c r="P75" s="281"/>
      <c r="Q75" s="272"/>
      <c r="R75" s="98"/>
      <c r="S75" s="98"/>
      <c r="T75" s="98"/>
    </row>
    <row r="76" spans="1:20" s="101" customFormat="1" ht="15.75" customHeight="1">
      <c r="A76" s="2548"/>
      <c r="B76" s="607" t="s">
        <v>4739</v>
      </c>
      <c r="C76" s="608"/>
      <c r="D76" s="294">
        <f t="shared" si="61"/>
        <v>1020</v>
      </c>
      <c r="E76" s="1836">
        <v>4</v>
      </c>
      <c r="F76" s="300">
        <v>1</v>
      </c>
      <c r="G76" s="300" t="s">
        <v>315</v>
      </c>
      <c r="H76" s="300" t="s">
        <v>1037</v>
      </c>
      <c r="I76" s="1837"/>
      <c r="J76" s="299">
        <f t="shared" si="57"/>
        <v>44.400000000000006</v>
      </c>
      <c r="K76" s="1838">
        <v>2</v>
      </c>
      <c r="L76" s="610" t="str">
        <f t="shared" si="62"/>
        <v>1/750</v>
      </c>
      <c r="M76" s="421">
        <f t="shared" si="63"/>
        <v>1.9</v>
      </c>
      <c r="N76" s="611">
        <f t="shared" si="64"/>
        <v>31.729999999999997</v>
      </c>
      <c r="O76" s="272"/>
      <c r="P76" s="281"/>
      <c r="Q76" s="272"/>
      <c r="R76" s="98"/>
      <c r="S76" s="98"/>
      <c r="T76" s="98"/>
    </row>
    <row r="77" spans="1:20" s="101" customFormat="1" ht="15.75" customHeight="1">
      <c r="A77" s="2548"/>
      <c r="B77" s="607" t="s">
        <v>4739</v>
      </c>
      <c r="C77" s="608"/>
      <c r="D77" s="294">
        <f t="shared" si="61"/>
        <v>3720</v>
      </c>
      <c r="E77" s="295">
        <v>3</v>
      </c>
      <c r="F77" s="296">
        <v>3</v>
      </c>
      <c r="G77" s="297" t="s">
        <v>468</v>
      </c>
      <c r="H77" s="296" t="s">
        <v>1037</v>
      </c>
      <c r="I77" s="298"/>
      <c r="J77" s="299">
        <f t="shared" si="57"/>
        <v>88.9</v>
      </c>
      <c r="K77" s="609">
        <v>12</v>
      </c>
      <c r="L77" s="610" t="str">
        <f t="shared" si="62"/>
        <v>1.5/1250</v>
      </c>
      <c r="M77" s="421">
        <f t="shared" si="63"/>
        <v>5.5</v>
      </c>
      <c r="N77" s="611">
        <f t="shared" si="64"/>
        <v>413.32499999999993</v>
      </c>
      <c r="O77" s="272"/>
      <c r="P77" s="281"/>
      <c r="Q77" s="272"/>
      <c r="R77" s="98"/>
      <c r="S77" s="98"/>
      <c r="T77" s="98"/>
    </row>
    <row r="78" spans="1:20" s="101" customFormat="1" ht="15.75" customHeight="1">
      <c r="A78" s="2548"/>
      <c r="B78" s="607" t="s">
        <v>4739</v>
      </c>
      <c r="C78" s="608"/>
      <c r="D78" s="294">
        <f t="shared" si="61"/>
        <v>676</v>
      </c>
      <c r="E78" s="295">
        <v>3</v>
      </c>
      <c r="F78" s="296">
        <v>1</v>
      </c>
      <c r="G78" s="297" t="s">
        <v>314</v>
      </c>
      <c r="H78" s="296" t="s">
        <v>1037</v>
      </c>
      <c r="I78" s="298"/>
      <c r="J78" s="299">
        <f t="shared" si="57"/>
        <v>26.6</v>
      </c>
      <c r="K78" s="609">
        <v>0</v>
      </c>
      <c r="L78" s="610" t="str">
        <f t="shared" si="62"/>
        <v>1/750</v>
      </c>
      <c r="M78" s="421">
        <f t="shared" si="63"/>
        <v>1.9</v>
      </c>
      <c r="N78" s="611">
        <f t="shared" si="64"/>
        <v>0</v>
      </c>
      <c r="O78" s="272"/>
      <c r="P78" s="281"/>
      <c r="Q78" s="272"/>
      <c r="R78" s="98"/>
      <c r="S78" s="98"/>
      <c r="T78" s="98"/>
    </row>
    <row r="79" spans="1:20" s="101" customFormat="1" ht="15.75" customHeight="1">
      <c r="A79" s="2548"/>
      <c r="B79" s="607" t="s">
        <v>4739</v>
      </c>
      <c r="C79" s="608"/>
      <c r="D79" s="294">
        <f t="shared" si="61"/>
        <v>676</v>
      </c>
      <c r="E79" s="295">
        <v>3</v>
      </c>
      <c r="F79" s="296">
        <v>1</v>
      </c>
      <c r="G79" s="297" t="s">
        <v>314</v>
      </c>
      <c r="H79" s="296" t="s">
        <v>1037</v>
      </c>
      <c r="I79" s="298"/>
      <c r="J79" s="299">
        <f t="shared" si="57"/>
        <v>26.6</v>
      </c>
      <c r="K79" s="609">
        <v>0</v>
      </c>
      <c r="L79" s="610" t="str">
        <f t="shared" si="62"/>
        <v>1/750</v>
      </c>
      <c r="M79" s="421">
        <f t="shared" si="63"/>
        <v>1.9</v>
      </c>
      <c r="N79" s="611">
        <f t="shared" si="64"/>
        <v>0</v>
      </c>
      <c r="O79" s="272"/>
      <c r="P79" s="281"/>
      <c r="Q79" s="272"/>
      <c r="R79" s="98"/>
      <c r="S79" s="98"/>
      <c r="T79" s="98"/>
    </row>
    <row r="80" spans="1:20" s="101" customFormat="1" ht="15.75" customHeight="1">
      <c r="A80" s="2548"/>
      <c r="B80" s="607" t="s">
        <v>4739</v>
      </c>
      <c r="C80" s="608"/>
      <c r="D80" s="294">
        <f t="shared" si="61"/>
        <v>676</v>
      </c>
      <c r="E80" s="295">
        <v>3</v>
      </c>
      <c r="F80" s="296">
        <v>1</v>
      </c>
      <c r="G80" s="297" t="s">
        <v>314</v>
      </c>
      <c r="H80" s="296" t="s">
        <v>1037</v>
      </c>
      <c r="I80" s="298"/>
      <c r="J80" s="299">
        <f t="shared" si="57"/>
        <v>26.6</v>
      </c>
      <c r="K80" s="609">
        <v>2</v>
      </c>
      <c r="L80" s="610" t="str">
        <f t="shared" si="62"/>
        <v>1/750</v>
      </c>
      <c r="M80" s="421">
        <f t="shared" si="63"/>
        <v>1.9</v>
      </c>
      <c r="N80" s="611">
        <f t="shared" si="64"/>
        <v>23.797499999999996</v>
      </c>
      <c r="O80" s="272"/>
      <c r="P80" s="281"/>
      <c r="Q80" s="272"/>
      <c r="R80" s="98"/>
      <c r="S80" s="98"/>
      <c r="T80" s="98"/>
    </row>
    <row r="81" spans="1:20" s="101" customFormat="1" ht="15.75" customHeight="1">
      <c r="A81" s="2548"/>
      <c r="B81" s="607" t="s">
        <v>4739</v>
      </c>
      <c r="C81" s="608"/>
      <c r="D81" s="294">
        <f t="shared" si="61"/>
        <v>850</v>
      </c>
      <c r="E81" s="295">
        <v>3</v>
      </c>
      <c r="F81" s="296">
        <v>1</v>
      </c>
      <c r="G81" s="297" t="s">
        <v>469</v>
      </c>
      <c r="H81" s="296" t="s">
        <v>1037</v>
      </c>
      <c r="I81" s="298"/>
      <c r="J81" s="299">
        <f t="shared" si="57"/>
        <v>35.6</v>
      </c>
      <c r="K81" s="609">
        <v>0</v>
      </c>
      <c r="L81" s="610" t="str">
        <f t="shared" si="62"/>
        <v>1/750</v>
      </c>
      <c r="M81" s="421">
        <f t="shared" si="63"/>
        <v>1.9</v>
      </c>
      <c r="N81" s="611">
        <f t="shared" si="64"/>
        <v>0</v>
      </c>
      <c r="O81" s="272"/>
      <c r="P81" s="281"/>
      <c r="Q81" s="272"/>
      <c r="R81" s="98"/>
      <c r="S81" s="98"/>
      <c r="T81" s="98"/>
    </row>
    <row r="82" spans="1:20" s="101" customFormat="1" ht="15.75" customHeight="1">
      <c r="A82" s="2548"/>
      <c r="B82" s="607" t="s">
        <v>4739</v>
      </c>
      <c r="C82" s="608"/>
      <c r="D82" s="294">
        <f t="shared" si="61"/>
        <v>3720</v>
      </c>
      <c r="E82" s="1836">
        <v>3</v>
      </c>
      <c r="F82" s="300">
        <v>3</v>
      </c>
      <c r="G82" s="300" t="s">
        <v>468</v>
      </c>
      <c r="H82" s="300" t="s">
        <v>1037</v>
      </c>
      <c r="I82" s="1837">
        <v>1</v>
      </c>
      <c r="J82" s="299">
        <f t="shared" si="57"/>
        <v>88.9</v>
      </c>
      <c r="K82" s="1838">
        <v>6</v>
      </c>
      <c r="L82" s="610" t="str">
        <f t="shared" si="62"/>
        <v>1.5/1250</v>
      </c>
      <c r="M82" s="421">
        <f t="shared" si="63"/>
        <v>5.5</v>
      </c>
      <c r="N82" s="611">
        <f t="shared" si="64"/>
        <v>1876.8712500000001</v>
      </c>
      <c r="O82" s="272"/>
      <c r="P82" s="281"/>
      <c r="Q82" s="272"/>
      <c r="R82" s="98"/>
      <c r="S82" s="98"/>
      <c r="T82" s="98"/>
    </row>
    <row r="83" spans="1:20" s="101" customFormat="1" ht="15.75" customHeight="1">
      <c r="A83" s="2548"/>
      <c r="B83" s="607" t="s">
        <v>4739</v>
      </c>
      <c r="C83" s="608"/>
      <c r="D83" s="294">
        <f t="shared" si="61"/>
        <v>1810</v>
      </c>
      <c r="E83" s="1836">
        <v>3</v>
      </c>
      <c r="F83" s="300">
        <v>1</v>
      </c>
      <c r="G83" s="300" t="s">
        <v>468</v>
      </c>
      <c r="H83" s="300" t="s">
        <v>1037</v>
      </c>
      <c r="I83" s="1837">
        <v>0.8</v>
      </c>
      <c r="J83" s="299">
        <f t="shared" si="57"/>
        <v>88.9</v>
      </c>
      <c r="K83" s="1838">
        <v>0</v>
      </c>
      <c r="L83" s="610" t="str">
        <f t="shared" si="62"/>
        <v>1.5/1250</v>
      </c>
      <c r="M83" s="421">
        <f t="shared" si="63"/>
        <v>5.5</v>
      </c>
      <c r="N83" s="611">
        <f t="shared" si="64"/>
        <v>445.38900000000001</v>
      </c>
      <c r="O83" s="272"/>
      <c r="P83" s="281"/>
      <c r="Q83" s="272"/>
      <c r="R83" s="98"/>
      <c r="S83" s="98"/>
      <c r="T83" s="98"/>
    </row>
    <row r="84" spans="1:20" s="101" customFormat="1" ht="15.75" customHeight="1">
      <c r="A84" s="2548"/>
      <c r="B84" s="607" t="s">
        <v>4739</v>
      </c>
      <c r="C84" s="608"/>
      <c r="D84" s="294">
        <f t="shared" si="61"/>
        <v>3720</v>
      </c>
      <c r="E84" s="1836">
        <v>3</v>
      </c>
      <c r="F84" s="300">
        <v>3</v>
      </c>
      <c r="G84" s="300" t="s">
        <v>468</v>
      </c>
      <c r="H84" s="300" t="s">
        <v>1037</v>
      </c>
      <c r="I84" s="1837">
        <v>2</v>
      </c>
      <c r="J84" s="299">
        <f t="shared" si="57"/>
        <v>88.9</v>
      </c>
      <c r="K84" s="1838">
        <v>15</v>
      </c>
      <c r="L84" s="610" t="str">
        <f t="shared" si="62"/>
        <v>1.5/1250</v>
      </c>
      <c r="M84" s="421">
        <f t="shared" si="63"/>
        <v>5.5</v>
      </c>
      <c r="N84" s="611">
        <f t="shared" si="64"/>
        <v>3857.07375</v>
      </c>
      <c r="O84" s="272"/>
      <c r="P84" s="281"/>
      <c r="Q84" s="272"/>
      <c r="R84" s="98"/>
      <c r="S84" s="98"/>
      <c r="T84" s="98"/>
    </row>
    <row r="85" spans="1:20" s="101" customFormat="1" ht="15.75" customHeight="1">
      <c r="A85" s="2548"/>
      <c r="B85" s="607" t="s">
        <v>4739</v>
      </c>
      <c r="C85" s="608"/>
      <c r="D85" s="294">
        <f t="shared" si="61"/>
        <v>3720</v>
      </c>
      <c r="E85" s="1836">
        <v>4</v>
      </c>
      <c r="F85" s="300">
        <v>3</v>
      </c>
      <c r="G85" s="300" t="s">
        <v>468</v>
      </c>
      <c r="H85" s="300" t="s">
        <v>1037</v>
      </c>
      <c r="I85" s="1837">
        <v>0.8</v>
      </c>
      <c r="J85" s="299">
        <f t="shared" si="57"/>
        <v>88.9</v>
      </c>
      <c r="K85" s="1838">
        <v>6</v>
      </c>
      <c r="L85" s="610" t="str">
        <f t="shared" si="62"/>
        <v>1.5/1250</v>
      </c>
      <c r="M85" s="421">
        <f t="shared" si="63"/>
        <v>5.5</v>
      </c>
      <c r="N85" s="611">
        <f t="shared" si="64"/>
        <v>2057.1059999999998</v>
      </c>
      <c r="O85" s="272"/>
      <c r="P85" s="281"/>
      <c r="Q85" s="272"/>
      <c r="R85" s="98"/>
      <c r="S85" s="98"/>
      <c r="T85" s="98"/>
    </row>
    <row r="86" spans="1:20" s="101" customFormat="1" ht="15.75" customHeight="1">
      <c r="A86" s="2548"/>
      <c r="B86" s="607" t="s">
        <v>4739</v>
      </c>
      <c r="C86" s="608"/>
      <c r="D86" s="294">
        <f t="shared" si="61"/>
        <v>3720</v>
      </c>
      <c r="E86" s="1836">
        <v>3</v>
      </c>
      <c r="F86" s="300">
        <v>3</v>
      </c>
      <c r="G86" s="300" t="s">
        <v>468</v>
      </c>
      <c r="H86" s="300" t="s">
        <v>1037</v>
      </c>
      <c r="I86" s="1837"/>
      <c r="J86" s="299">
        <f t="shared" si="57"/>
        <v>88.9</v>
      </c>
      <c r="K86" s="1838">
        <v>6</v>
      </c>
      <c r="L86" s="610" t="str">
        <f t="shared" si="62"/>
        <v>1.5/1250</v>
      </c>
      <c r="M86" s="421">
        <f t="shared" si="63"/>
        <v>5.5</v>
      </c>
      <c r="N86" s="611">
        <f t="shared" si="64"/>
        <v>206.66249999999997</v>
      </c>
      <c r="O86" s="272"/>
      <c r="P86" s="281"/>
      <c r="Q86" s="272"/>
      <c r="R86" s="98"/>
      <c r="S86" s="98"/>
      <c r="T86" s="98"/>
    </row>
    <row r="87" spans="1:20" s="101" customFormat="1" ht="15.75" customHeight="1">
      <c r="A87" s="2548"/>
      <c r="B87" s="607" t="s">
        <v>4739</v>
      </c>
      <c r="C87" s="608"/>
      <c r="D87" s="294">
        <f t="shared" ref="D87:D91" si="65">IF(H87&lt;&gt;"",VLOOKUP(G87,base_barras,IF(H87="Desnuda",2,5)+F87-1,FALSE),"-")</f>
        <v>3720</v>
      </c>
      <c r="E87" s="295">
        <v>3</v>
      </c>
      <c r="F87" s="296">
        <v>3</v>
      </c>
      <c r="G87" s="297" t="s">
        <v>468</v>
      </c>
      <c r="H87" s="296" t="s">
        <v>1037</v>
      </c>
      <c r="I87" s="298">
        <v>0.8</v>
      </c>
      <c r="J87" s="299">
        <f t="shared" ref="J87:J91" si="66">IF(G87&lt;&gt;"",VLOOKUP(G87,precio_barras,9,FALSE),0)</f>
        <v>88.9</v>
      </c>
      <c r="K87" s="609">
        <v>6</v>
      </c>
      <c r="L87" s="610" t="str">
        <f t="shared" ref="L87:L91" si="67">IF(G87&lt;&gt;"",IF(VLOOKUP(G87,base_barras,10,FALSE)&lt;&gt;"",VLOOKUP(G87,base_barras,10,FALSE),"-"),"-")</f>
        <v>1.5/1250</v>
      </c>
      <c r="M87" s="421">
        <f t="shared" ref="M87:M91" si="68">IF(L87&lt;&gt;"-",VLOOKUP(L87,precio_aislador,2,FALSE),0)</f>
        <v>5.5</v>
      </c>
      <c r="N87" s="611">
        <f t="shared" ref="N87:N91" si="69">(I87*J87*F87+K87*M87)*E87*1.67*1.25</f>
        <v>1542.8295000000001</v>
      </c>
      <c r="O87" s="272"/>
      <c r="P87" s="281"/>
      <c r="Q87" s="272"/>
      <c r="R87" s="98"/>
      <c r="S87" s="98"/>
      <c r="T87" s="98"/>
    </row>
    <row r="88" spans="1:20" s="101" customFormat="1" ht="15.75" customHeight="1">
      <c r="A88" s="2548"/>
      <c r="B88" s="607" t="s">
        <v>4739</v>
      </c>
      <c r="C88" s="608"/>
      <c r="D88" s="294">
        <f t="shared" si="65"/>
        <v>497</v>
      </c>
      <c r="E88" s="295">
        <v>3</v>
      </c>
      <c r="F88" s="296">
        <v>1</v>
      </c>
      <c r="G88" s="297" t="s">
        <v>62</v>
      </c>
      <c r="H88" s="296" t="s">
        <v>1037</v>
      </c>
      <c r="I88" s="298">
        <v>0.8</v>
      </c>
      <c r="J88" s="299">
        <f t="shared" si="66"/>
        <v>17.7</v>
      </c>
      <c r="K88" s="609">
        <v>0</v>
      </c>
      <c r="L88" s="610" t="str">
        <f t="shared" si="67"/>
        <v>-</v>
      </c>
      <c r="M88" s="421">
        <f t="shared" si="68"/>
        <v>0</v>
      </c>
      <c r="N88" s="611">
        <f t="shared" si="69"/>
        <v>88.677000000000007</v>
      </c>
      <c r="O88" s="272"/>
      <c r="P88" s="281"/>
      <c r="Q88" s="272"/>
      <c r="R88" s="98"/>
      <c r="S88" s="98"/>
      <c r="T88" s="98"/>
    </row>
    <row r="89" spans="1:20" s="101" customFormat="1" ht="15.75" customHeight="1">
      <c r="A89" s="2548"/>
      <c r="B89" s="607" t="s">
        <v>4739</v>
      </c>
      <c r="C89" s="608"/>
      <c r="D89" s="294">
        <f t="shared" si="65"/>
        <v>497</v>
      </c>
      <c r="E89" s="295">
        <v>3</v>
      </c>
      <c r="F89" s="296">
        <v>1</v>
      </c>
      <c r="G89" s="297" t="s">
        <v>62</v>
      </c>
      <c r="H89" s="296" t="s">
        <v>1037</v>
      </c>
      <c r="I89" s="298">
        <v>0.5</v>
      </c>
      <c r="J89" s="299">
        <f t="shared" si="66"/>
        <v>17.7</v>
      </c>
      <c r="K89" s="609">
        <v>0</v>
      </c>
      <c r="L89" s="610" t="str">
        <f t="shared" si="67"/>
        <v>-</v>
      </c>
      <c r="M89" s="421">
        <f t="shared" si="68"/>
        <v>0</v>
      </c>
      <c r="N89" s="611">
        <f t="shared" si="69"/>
        <v>55.423124999999999</v>
      </c>
      <c r="O89" s="272"/>
      <c r="P89" s="281"/>
      <c r="Q89" s="272"/>
      <c r="R89" s="98"/>
      <c r="S89" s="98"/>
      <c r="T89" s="98"/>
    </row>
    <row r="90" spans="1:20" s="101" customFormat="1" ht="15.75" customHeight="1">
      <c r="A90" s="2548"/>
      <c r="B90" s="607" t="s">
        <v>4739</v>
      </c>
      <c r="C90" s="608"/>
      <c r="D90" s="294">
        <f t="shared" si="65"/>
        <v>676</v>
      </c>
      <c r="E90" s="295">
        <v>3</v>
      </c>
      <c r="F90" s="296">
        <v>1</v>
      </c>
      <c r="G90" s="297" t="s">
        <v>314</v>
      </c>
      <c r="H90" s="296" t="s">
        <v>1037</v>
      </c>
      <c r="I90" s="298">
        <v>0.51</v>
      </c>
      <c r="J90" s="299">
        <f t="shared" si="66"/>
        <v>26.6</v>
      </c>
      <c r="K90" s="609"/>
      <c r="L90" s="610" t="str">
        <f t="shared" si="67"/>
        <v>1/750</v>
      </c>
      <c r="M90" s="421">
        <f t="shared" si="68"/>
        <v>1.9</v>
      </c>
      <c r="N90" s="611">
        <f t="shared" si="69"/>
        <v>84.957075000000003</v>
      </c>
      <c r="O90" s="272"/>
      <c r="P90" s="281"/>
      <c r="Q90" s="272"/>
      <c r="R90" s="98"/>
      <c r="S90" s="98"/>
      <c r="T90" s="98"/>
    </row>
    <row r="91" spans="1:20" s="101" customFormat="1" ht="15.75" customHeight="1">
      <c r="A91" s="2548"/>
      <c r="B91" s="607" t="s">
        <v>4739</v>
      </c>
      <c r="C91" s="608"/>
      <c r="D91" s="294">
        <f t="shared" si="65"/>
        <v>850</v>
      </c>
      <c r="E91" s="295">
        <v>3</v>
      </c>
      <c r="F91" s="296">
        <v>1</v>
      </c>
      <c r="G91" s="297" t="s">
        <v>469</v>
      </c>
      <c r="H91" s="296" t="s">
        <v>1037</v>
      </c>
      <c r="I91" s="298"/>
      <c r="J91" s="299">
        <f t="shared" si="66"/>
        <v>35.6</v>
      </c>
      <c r="K91" s="609"/>
      <c r="L91" s="610" t="str">
        <f t="shared" si="67"/>
        <v>1/750</v>
      </c>
      <c r="M91" s="421">
        <f t="shared" si="68"/>
        <v>1.9</v>
      </c>
      <c r="N91" s="611">
        <f t="shared" si="69"/>
        <v>0</v>
      </c>
      <c r="O91" s="272"/>
      <c r="P91" s="281"/>
      <c r="Q91" s="272"/>
      <c r="R91" s="98"/>
      <c r="S91" s="98"/>
      <c r="T91" s="98"/>
    </row>
    <row r="92" spans="1:20" s="101" customFormat="1" ht="15.75" customHeight="1">
      <c r="A92" s="2548"/>
      <c r="B92" s="292" t="s">
        <v>801</v>
      </c>
      <c r="C92" s="608"/>
      <c r="D92" s="294">
        <f t="shared" si="61"/>
        <v>3720</v>
      </c>
      <c r="E92" s="295">
        <v>1</v>
      </c>
      <c r="F92" s="296">
        <v>3</v>
      </c>
      <c r="G92" s="297" t="s">
        <v>468</v>
      </c>
      <c r="H92" s="296" t="s">
        <v>1037</v>
      </c>
      <c r="I92" s="298">
        <v>2.5</v>
      </c>
      <c r="J92" s="299">
        <f t="shared" si="57"/>
        <v>88.9</v>
      </c>
      <c r="K92" s="609">
        <v>15</v>
      </c>
      <c r="L92" s="610" t="str">
        <f t="shared" si="62"/>
        <v>1.5/1250</v>
      </c>
      <c r="M92" s="421">
        <f t="shared" si="63"/>
        <v>5.5</v>
      </c>
      <c r="N92" s="611">
        <f t="shared" si="64"/>
        <v>1564.0593749999998</v>
      </c>
      <c r="O92" s="272"/>
      <c r="P92" s="281"/>
      <c r="Q92" s="272"/>
      <c r="R92" s="98"/>
      <c r="S92" s="98"/>
      <c r="T92" s="98"/>
    </row>
    <row r="93" spans="1:20" s="101" customFormat="1" ht="15.75" customHeight="1">
      <c r="A93" s="2548"/>
      <c r="B93" s="292" t="s">
        <v>801</v>
      </c>
      <c r="C93" s="608"/>
      <c r="D93" s="294">
        <f t="shared" si="61"/>
        <v>3720</v>
      </c>
      <c r="E93" s="295">
        <v>1</v>
      </c>
      <c r="F93" s="296">
        <v>3</v>
      </c>
      <c r="G93" s="297" t="s">
        <v>468</v>
      </c>
      <c r="H93" s="296" t="s">
        <v>1037</v>
      </c>
      <c r="I93" s="298">
        <f>1+0.09</f>
        <v>1.0900000000000001</v>
      </c>
      <c r="J93" s="299">
        <f t="shared" si="57"/>
        <v>88.9</v>
      </c>
      <c r="K93" s="609">
        <f>6+6</f>
        <v>12</v>
      </c>
      <c r="L93" s="610" t="str">
        <f t="shared" si="62"/>
        <v>1.5/1250</v>
      </c>
      <c r="M93" s="421">
        <f t="shared" si="63"/>
        <v>5.5</v>
      </c>
      <c r="N93" s="611">
        <f t="shared" si="64"/>
        <v>744.61751250000009</v>
      </c>
      <c r="O93" s="272"/>
      <c r="P93" s="281"/>
      <c r="Q93" s="272"/>
      <c r="R93" s="98"/>
      <c r="S93" s="98"/>
      <c r="T93" s="98"/>
    </row>
    <row r="94" spans="1:20" s="101" customFormat="1" ht="15.75" customHeight="1" thickBot="1">
      <c r="A94" s="2549"/>
      <c r="B94" s="302" t="s">
        <v>802</v>
      </c>
      <c r="C94" s="293"/>
      <c r="D94" s="294">
        <f t="shared" si="61"/>
        <v>3720</v>
      </c>
      <c r="E94" s="295">
        <v>1</v>
      </c>
      <c r="F94" s="296">
        <v>3</v>
      </c>
      <c r="G94" s="297" t="s">
        <v>468</v>
      </c>
      <c r="H94" s="296" t="s">
        <v>1037</v>
      </c>
      <c r="I94" s="298">
        <f>1+0.09</f>
        <v>1.0900000000000001</v>
      </c>
      <c r="J94" s="299">
        <f t="shared" si="57"/>
        <v>88.9</v>
      </c>
      <c r="K94" s="609">
        <v>0</v>
      </c>
      <c r="L94" s="300" t="str">
        <f t="shared" si="62"/>
        <v>1.5/1250</v>
      </c>
      <c r="M94" s="299">
        <f t="shared" si="63"/>
        <v>5.5</v>
      </c>
      <c r="N94" s="291">
        <f t="shared" si="64"/>
        <v>606.8425125</v>
      </c>
      <c r="O94" s="272"/>
      <c r="P94" s="281"/>
      <c r="Q94" s="272"/>
      <c r="R94" s="98"/>
      <c r="S94" s="98"/>
      <c r="T94" s="98"/>
    </row>
    <row r="95" spans="1:20" s="123" customFormat="1" ht="22.5" customHeight="1" thickBot="1">
      <c r="A95" s="335"/>
      <c r="B95" s="337"/>
      <c r="C95" s="339"/>
      <c r="D95" s="340"/>
      <c r="E95" s="337"/>
      <c r="F95" s="337"/>
      <c r="G95" s="337"/>
      <c r="H95" s="337"/>
      <c r="I95" s="338"/>
      <c r="J95" s="338"/>
      <c r="K95" s="337"/>
      <c r="L95" s="337"/>
      <c r="M95" s="336"/>
      <c r="N95" s="612">
        <f>SUM(N71:N94)</f>
        <v>13865.517349999998</v>
      </c>
      <c r="O95" s="272"/>
      <c r="P95" s="281"/>
      <c r="Q95" s="272"/>
      <c r="R95" s="98"/>
      <c r="S95" s="98"/>
      <c r="T95" s="98"/>
    </row>
    <row r="96" spans="1:20" s="98" customFormat="1" ht="13.5" customHeight="1" thickBot="1">
      <c r="B96" s="613"/>
      <c r="F96" s="614"/>
      <c r="G96" s="614"/>
      <c r="H96" s="614"/>
      <c r="L96" s="614"/>
      <c r="N96" s="615"/>
      <c r="P96" s="614"/>
      <c r="Q96" s="614"/>
    </row>
    <row r="97" spans="1:20" s="101" customFormat="1" ht="15.75" customHeight="1">
      <c r="A97" s="2547">
        <v>7</v>
      </c>
      <c r="B97" s="602" t="s">
        <v>2456</v>
      </c>
      <c r="C97" s="303"/>
      <c r="D97" s="304">
        <f t="shared" ref="D97" si="70">IF(H97&lt;&gt;"",VLOOKUP(G97,base_barras,IF(H97="Desnuda",2,5)+F97-1,FALSE),"-")</f>
        <v>2110</v>
      </c>
      <c r="E97" s="305">
        <v>3</v>
      </c>
      <c r="F97" s="306">
        <v>1</v>
      </c>
      <c r="G97" s="307" t="s">
        <v>470</v>
      </c>
      <c r="H97" s="306" t="s">
        <v>1037</v>
      </c>
      <c r="I97" s="308">
        <v>0.6</v>
      </c>
      <c r="J97" s="309">
        <f t="shared" ref="J97:J110" si="71">IF(G97&lt;&gt;"",VLOOKUP(G97,precio_barras,9,FALSE),0)</f>
        <v>107</v>
      </c>
      <c r="K97" s="305">
        <v>6</v>
      </c>
      <c r="L97" s="319" t="str">
        <f t="shared" ref="L97" si="72">IF(G97&lt;&gt;"",IF(VLOOKUP(G97,base_barras,10,FALSE)&lt;&gt;"",VLOOKUP(G97,base_barras,10,FALSE),"-"),"-")</f>
        <v>1.5/1250</v>
      </c>
      <c r="M97" s="309">
        <f t="shared" ref="M97" si="73">IF(L97&lt;&gt;"-",VLOOKUP(L97,precio_aislador,2,FALSE),0)</f>
        <v>5.5</v>
      </c>
      <c r="N97" s="334">
        <f t="shared" ref="N97" si="74">(I97*J97*F97+K97*M97)*E97*1.67*1.25</f>
        <v>608.71500000000003</v>
      </c>
      <c r="O97" s="272"/>
      <c r="P97" s="281">
        <v>1250</v>
      </c>
      <c r="Q97" s="281">
        <v>2500</v>
      </c>
      <c r="R97" s="281"/>
      <c r="T97" s="98"/>
    </row>
    <row r="98" spans="1:20" s="101" customFormat="1" ht="13.8">
      <c r="A98" s="2548"/>
      <c r="B98" s="603" t="s">
        <v>802</v>
      </c>
      <c r="C98" s="301"/>
      <c r="D98" s="294">
        <f>IF(H98&lt;&gt;"",VLOOKUP(G98,base_barras,IF(H98="Desnuda",2,5)+F98-1,FALSE),"-")</f>
        <v>2110</v>
      </c>
      <c r="E98" s="295">
        <v>3</v>
      </c>
      <c r="F98" s="296">
        <v>1</v>
      </c>
      <c r="G98" s="297" t="s">
        <v>470</v>
      </c>
      <c r="H98" s="604" t="str">
        <f>H97</f>
        <v>Pintada</v>
      </c>
      <c r="I98" s="605">
        <v>0.6</v>
      </c>
      <c r="J98" s="299">
        <f t="shared" si="71"/>
        <v>107</v>
      </c>
      <c r="K98" s="606">
        <v>0</v>
      </c>
      <c r="L98" s="300" t="str">
        <f>IF(G98&lt;&gt;"",IF(VLOOKUP(G98,base_barras,10,FALSE)&lt;&gt;"",VLOOKUP(G98,base_barras,10,FALSE),"-"),"-")</f>
        <v>1.5/1250</v>
      </c>
      <c r="M98" s="299">
        <f>IF(L98&lt;&gt;"-",VLOOKUP(L98,precio_aislador,2,FALSE),0)</f>
        <v>5.5</v>
      </c>
      <c r="N98" s="291">
        <f>(I98*J98*F98+K98*M98)*E98*1.67*1.25</f>
        <v>402.05250000000001</v>
      </c>
      <c r="O98" s="272"/>
      <c r="P98" s="281"/>
      <c r="Q98" s="281"/>
      <c r="R98" s="281"/>
      <c r="T98" s="98"/>
    </row>
    <row r="99" spans="1:20" s="101" customFormat="1" ht="15.75" customHeight="1">
      <c r="A99" s="2548"/>
      <c r="B99" s="607" t="s">
        <v>4738</v>
      </c>
      <c r="C99" s="608"/>
      <c r="D99" s="294">
        <f t="shared" ref="D99:D110" si="75">IF(H99&lt;&gt;"",VLOOKUP(G99,base_barras,IF(H99="Desnuda",2,5)+F99-1,FALSE),"-")</f>
        <v>3720</v>
      </c>
      <c r="E99" s="295">
        <v>3</v>
      </c>
      <c r="F99" s="296">
        <v>3</v>
      </c>
      <c r="G99" s="297" t="s">
        <v>468</v>
      </c>
      <c r="H99" s="296" t="s">
        <v>1037</v>
      </c>
      <c r="I99" s="298">
        <f>0.8+1</f>
        <v>1.8</v>
      </c>
      <c r="J99" s="299">
        <f t="shared" si="71"/>
        <v>88.9</v>
      </c>
      <c r="K99" s="609">
        <v>12</v>
      </c>
      <c r="L99" s="610" t="str">
        <f t="shared" ref="L99:L110" si="76">IF(G99&lt;&gt;"",IF(VLOOKUP(G99,base_barras,10,FALSE)&lt;&gt;"",VLOOKUP(G99,base_barras,10,FALSE),"-"),"-")</f>
        <v>1.5/1250</v>
      </c>
      <c r="M99" s="421">
        <f t="shared" ref="M99:M110" si="77">IF(L99&lt;&gt;"-",VLOOKUP(L99,precio_aislador,2,FALSE),0)</f>
        <v>5.5</v>
      </c>
      <c r="N99" s="611">
        <f t="shared" ref="N99:N110" si="78">(I99*J99*F99+K99*M99)*E99*1.67*1.25</f>
        <v>3419.7007500000009</v>
      </c>
      <c r="O99" s="272"/>
      <c r="P99" s="281">
        <f>+P97*1.3</f>
        <v>1625</v>
      </c>
      <c r="Q99" s="281">
        <f>+Q97*1.3</f>
        <v>3250</v>
      </c>
      <c r="R99" s="281"/>
      <c r="T99" s="98"/>
    </row>
    <row r="100" spans="1:20" s="101" customFormat="1" ht="15.75" customHeight="1">
      <c r="A100" s="2548"/>
      <c r="B100" s="607" t="s">
        <v>4739</v>
      </c>
      <c r="C100" s="608"/>
      <c r="D100" s="294">
        <f t="shared" si="75"/>
        <v>3720</v>
      </c>
      <c r="E100" s="295">
        <v>3</v>
      </c>
      <c r="F100" s="296">
        <v>3</v>
      </c>
      <c r="G100" s="297" t="s">
        <v>468</v>
      </c>
      <c r="H100" s="296" t="s">
        <v>1037</v>
      </c>
      <c r="I100" s="298">
        <v>0.8</v>
      </c>
      <c r="J100" s="299">
        <f t="shared" si="71"/>
        <v>88.9</v>
      </c>
      <c r="K100" s="609">
        <v>0</v>
      </c>
      <c r="L100" s="610" t="str">
        <f t="shared" si="76"/>
        <v>1.5/1250</v>
      </c>
      <c r="M100" s="421">
        <f t="shared" si="77"/>
        <v>5.5</v>
      </c>
      <c r="N100" s="611">
        <f t="shared" si="78"/>
        <v>1336.1670000000001</v>
      </c>
      <c r="O100" s="272"/>
      <c r="P100" s="281"/>
      <c r="Q100" s="272"/>
      <c r="R100" s="98"/>
      <c r="S100" s="98"/>
      <c r="T100" s="98"/>
    </row>
    <row r="101" spans="1:20" s="101" customFormat="1" ht="15.75" customHeight="1">
      <c r="A101" s="2548"/>
      <c r="B101" s="607" t="s">
        <v>4739</v>
      </c>
      <c r="C101" s="608"/>
      <c r="D101" s="294">
        <f t="shared" si="75"/>
        <v>3720</v>
      </c>
      <c r="E101" s="1836">
        <v>3</v>
      </c>
      <c r="F101" s="300">
        <v>3</v>
      </c>
      <c r="G101" s="300" t="s">
        <v>468</v>
      </c>
      <c r="H101" s="300" t="s">
        <v>1037</v>
      </c>
      <c r="I101" s="1837">
        <v>2.5</v>
      </c>
      <c r="J101" s="299">
        <f t="shared" si="71"/>
        <v>88.9</v>
      </c>
      <c r="K101" s="1838">
        <v>12</v>
      </c>
      <c r="L101" s="610" t="str">
        <f t="shared" si="76"/>
        <v>1.5/1250</v>
      </c>
      <c r="M101" s="421">
        <f t="shared" si="77"/>
        <v>5.5</v>
      </c>
      <c r="N101" s="611">
        <f t="shared" si="78"/>
        <v>4588.8468750000002</v>
      </c>
      <c r="O101" s="272"/>
      <c r="P101" s="281"/>
      <c r="Q101" s="272"/>
      <c r="R101" s="98"/>
      <c r="S101" s="98"/>
      <c r="T101" s="98"/>
    </row>
    <row r="102" spans="1:20" s="101" customFormat="1" ht="15.75" customHeight="1">
      <c r="A102" s="2548"/>
      <c r="B102" s="607" t="s">
        <v>4739</v>
      </c>
      <c r="C102" s="608"/>
      <c r="D102" s="294">
        <f t="shared" si="75"/>
        <v>3720</v>
      </c>
      <c r="E102" s="1836">
        <v>4</v>
      </c>
      <c r="F102" s="300">
        <v>3</v>
      </c>
      <c r="G102" s="300" t="s">
        <v>468</v>
      </c>
      <c r="H102" s="300" t="s">
        <v>1037</v>
      </c>
      <c r="I102" s="1837">
        <v>0.8</v>
      </c>
      <c r="J102" s="299">
        <f t="shared" si="71"/>
        <v>88.9</v>
      </c>
      <c r="K102" s="1838">
        <v>6</v>
      </c>
      <c r="L102" s="610" t="str">
        <f t="shared" si="76"/>
        <v>1.5/1250</v>
      </c>
      <c r="M102" s="421">
        <f t="shared" si="77"/>
        <v>5.5</v>
      </c>
      <c r="N102" s="611">
        <f t="shared" si="78"/>
        <v>2057.1059999999998</v>
      </c>
      <c r="O102" s="272"/>
      <c r="P102" s="281"/>
      <c r="Q102" s="272"/>
      <c r="R102" s="98"/>
      <c r="S102" s="98"/>
      <c r="T102" s="98"/>
    </row>
    <row r="103" spans="1:20" s="101" customFormat="1" ht="15.75" customHeight="1">
      <c r="A103" s="2548"/>
      <c r="B103" s="607" t="s">
        <v>4739</v>
      </c>
      <c r="C103" s="608"/>
      <c r="D103" s="294">
        <f t="shared" si="75"/>
        <v>3720</v>
      </c>
      <c r="E103" s="295">
        <v>3</v>
      </c>
      <c r="F103" s="296">
        <v>3</v>
      </c>
      <c r="G103" s="297" t="s">
        <v>468</v>
      </c>
      <c r="H103" s="296" t="s">
        <v>1037</v>
      </c>
      <c r="I103" s="298"/>
      <c r="J103" s="299">
        <f t="shared" si="71"/>
        <v>88.9</v>
      </c>
      <c r="K103" s="609"/>
      <c r="L103" s="610" t="str">
        <f t="shared" si="76"/>
        <v>1.5/1250</v>
      </c>
      <c r="M103" s="421">
        <f t="shared" si="77"/>
        <v>5.5</v>
      </c>
      <c r="N103" s="611">
        <f t="shared" si="78"/>
        <v>0</v>
      </c>
      <c r="O103" s="272"/>
      <c r="P103" s="281"/>
      <c r="Q103" s="272"/>
      <c r="R103" s="98"/>
      <c r="S103" s="98"/>
      <c r="T103" s="98"/>
    </row>
    <row r="104" spans="1:20" s="101" customFormat="1" ht="15.75" customHeight="1">
      <c r="A104" s="2548"/>
      <c r="B104" s="607" t="s">
        <v>4739</v>
      </c>
      <c r="C104" s="608"/>
      <c r="D104" s="294">
        <f t="shared" si="75"/>
        <v>676</v>
      </c>
      <c r="E104" s="295">
        <v>3</v>
      </c>
      <c r="F104" s="296">
        <v>1</v>
      </c>
      <c r="G104" s="297" t="s">
        <v>314</v>
      </c>
      <c r="H104" s="296" t="s">
        <v>1037</v>
      </c>
      <c r="I104" s="298"/>
      <c r="J104" s="299">
        <f t="shared" si="71"/>
        <v>26.6</v>
      </c>
      <c r="K104" s="609"/>
      <c r="L104" s="610" t="str">
        <f t="shared" si="76"/>
        <v>1/750</v>
      </c>
      <c r="M104" s="421">
        <f t="shared" si="77"/>
        <v>1.9</v>
      </c>
      <c r="N104" s="611">
        <f t="shared" si="78"/>
        <v>0</v>
      </c>
      <c r="O104" s="272"/>
      <c r="P104" s="281"/>
      <c r="Q104" s="272"/>
      <c r="R104" s="98"/>
      <c r="S104" s="98"/>
      <c r="T104" s="98"/>
    </row>
    <row r="105" spans="1:20" s="101" customFormat="1" ht="15.75" customHeight="1">
      <c r="A105" s="2548"/>
      <c r="B105" s="607" t="s">
        <v>4739</v>
      </c>
      <c r="C105" s="608"/>
      <c r="D105" s="294">
        <f t="shared" si="75"/>
        <v>676</v>
      </c>
      <c r="E105" s="295">
        <v>3</v>
      </c>
      <c r="F105" s="296">
        <v>1</v>
      </c>
      <c r="G105" s="297" t="s">
        <v>314</v>
      </c>
      <c r="H105" s="296" t="s">
        <v>1037</v>
      </c>
      <c r="I105" s="298"/>
      <c r="J105" s="299">
        <f t="shared" si="71"/>
        <v>26.6</v>
      </c>
      <c r="K105" s="609"/>
      <c r="L105" s="610" t="str">
        <f t="shared" si="76"/>
        <v>1/750</v>
      </c>
      <c r="M105" s="421">
        <f t="shared" si="77"/>
        <v>1.9</v>
      </c>
      <c r="N105" s="611">
        <f t="shared" si="78"/>
        <v>0</v>
      </c>
      <c r="O105" s="272"/>
      <c r="P105" s="281"/>
      <c r="Q105" s="272"/>
      <c r="R105" s="98"/>
      <c r="S105" s="98"/>
      <c r="T105" s="98"/>
    </row>
    <row r="106" spans="1:20" s="101" customFormat="1" ht="15.75" customHeight="1">
      <c r="A106" s="2548"/>
      <c r="B106" s="607" t="s">
        <v>4739</v>
      </c>
      <c r="C106" s="608"/>
      <c r="D106" s="294">
        <f t="shared" si="75"/>
        <v>676</v>
      </c>
      <c r="E106" s="295">
        <v>3</v>
      </c>
      <c r="F106" s="296">
        <v>1</v>
      </c>
      <c r="G106" s="297" t="s">
        <v>314</v>
      </c>
      <c r="H106" s="296" t="s">
        <v>1037</v>
      </c>
      <c r="I106" s="298"/>
      <c r="J106" s="299">
        <f t="shared" si="71"/>
        <v>26.6</v>
      </c>
      <c r="K106" s="609"/>
      <c r="L106" s="610" t="str">
        <f t="shared" si="76"/>
        <v>1/750</v>
      </c>
      <c r="M106" s="421">
        <f t="shared" si="77"/>
        <v>1.9</v>
      </c>
      <c r="N106" s="611">
        <f t="shared" si="78"/>
        <v>0</v>
      </c>
      <c r="O106" s="272"/>
      <c r="P106" s="281"/>
      <c r="Q106" s="272"/>
      <c r="R106" s="98"/>
      <c r="S106" s="98"/>
      <c r="T106" s="98"/>
    </row>
    <row r="107" spans="1:20" s="101" customFormat="1" ht="15.75" customHeight="1">
      <c r="A107" s="2548"/>
      <c r="B107" s="607" t="s">
        <v>4739</v>
      </c>
      <c r="C107" s="608"/>
      <c r="D107" s="294">
        <f t="shared" si="75"/>
        <v>850</v>
      </c>
      <c r="E107" s="295">
        <v>3</v>
      </c>
      <c r="F107" s="296">
        <v>1</v>
      </c>
      <c r="G107" s="297" t="s">
        <v>469</v>
      </c>
      <c r="H107" s="296" t="s">
        <v>1037</v>
      </c>
      <c r="I107" s="298"/>
      <c r="J107" s="299">
        <f t="shared" si="71"/>
        <v>35.6</v>
      </c>
      <c r="K107" s="609"/>
      <c r="L107" s="610" t="str">
        <f t="shared" si="76"/>
        <v>1/750</v>
      </c>
      <c r="M107" s="421">
        <f t="shared" si="77"/>
        <v>1.9</v>
      </c>
      <c r="N107" s="611">
        <f t="shared" si="78"/>
        <v>0</v>
      </c>
      <c r="O107" s="272"/>
      <c r="P107" s="281"/>
      <c r="Q107" s="272"/>
      <c r="R107" s="98"/>
      <c r="S107" s="98"/>
      <c r="T107" s="98"/>
    </row>
    <row r="108" spans="1:20" s="101" customFormat="1" ht="15.75" customHeight="1">
      <c r="A108" s="2548"/>
      <c r="B108" s="292" t="s">
        <v>801</v>
      </c>
      <c r="C108" s="608"/>
      <c r="D108" s="294">
        <f t="shared" si="75"/>
        <v>3720</v>
      </c>
      <c r="E108" s="295">
        <v>1</v>
      </c>
      <c r="F108" s="296">
        <v>3</v>
      </c>
      <c r="G108" s="297" t="s">
        <v>468</v>
      </c>
      <c r="H108" s="296" t="s">
        <v>1037</v>
      </c>
      <c r="I108" s="298">
        <v>2</v>
      </c>
      <c r="J108" s="299">
        <f t="shared" si="71"/>
        <v>88.9</v>
      </c>
      <c r="K108" s="609">
        <v>12</v>
      </c>
      <c r="L108" s="610" t="str">
        <f t="shared" si="76"/>
        <v>1.5/1250</v>
      </c>
      <c r="M108" s="421">
        <f t="shared" si="77"/>
        <v>5.5</v>
      </c>
      <c r="N108" s="611">
        <f t="shared" si="78"/>
        <v>1251.2475000000002</v>
      </c>
      <c r="O108" s="272"/>
      <c r="P108" s="281"/>
      <c r="Q108" s="272"/>
      <c r="R108" s="98"/>
      <c r="S108" s="98"/>
      <c r="T108" s="98"/>
    </row>
    <row r="109" spans="1:20" s="101" customFormat="1" ht="15.75" customHeight="1">
      <c r="A109" s="2548"/>
      <c r="B109" s="292" t="s">
        <v>801</v>
      </c>
      <c r="C109" s="608"/>
      <c r="D109" s="294">
        <f t="shared" si="75"/>
        <v>3720</v>
      </c>
      <c r="E109" s="295">
        <v>1</v>
      </c>
      <c r="F109" s="296">
        <v>3</v>
      </c>
      <c r="G109" s="297" t="s">
        <v>468</v>
      </c>
      <c r="H109" s="296" t="s">
        <v>1037</v>
      </c>
      <c r="I109" s="298">
        <f>0.8+1</f>
        <v>1.8</v>
      </c>
      <c r="J109" s="299">
        <f t="shared" si="71"/>
        <v>88.9</v>
      </c>
      <c r="K109" s="609">
        <f>6+6</f>
        <v>12</v>
      </c>
      <c r="L109" s="610" t="str">
        <f t="shared" si="76"/>
        <v>1.5/1250</v>
      </c>
      <c r="M109" s="421">
        <f t="shared" si="77"/>
        <v>5.5</v>
      </c>
      <c r="N109" s="611">
        <f t="shared" si="78"/>
        <v>1139.9002500000001</v>
      </c>
      <c r="O109" s="272"/>
      <c r="P109" s="281"/>
      <c r="Q109" s="272"/>
      <c r="R109" s="98"/>
      <c r="S109" s="98"/>
      <c r="T109" s="98"/>
    </row>
    <row r="110" spans="1:20" s="101" customFormat="1" ht="15.75" customHeight="1" thickBot="1">
      <c r="A110" s="2549"/>
      <c r="B110" s="302" t="s">
        <v>802</v>
      </c>
      <c r="C110" s="293"/>
      <c r="D110" s="294">
        <f t="shared" si="75"/>
        <v>3720</v>
      </c>
      <c r="E110" s="295">
        <v>1</v>
      </c>
      <c r="F110" s="296">
        <v>3</v>
      </c>
      <c r="G110" s="297" t="s">
        <v>468</v>
      </c>
      <c r="H110" s="296" t="s">
        <v>1037</v>
      </c>
      <c r="I110" s="298">
        <f>0.8+1</f>
        <v>1.8</v>
      </c>
      <c r="J110" s="299">
        <f t="shared" si="71"/>
        <v>88.9</v>
      </c>
      <c r="K110" s="609">
        <v>0</v>
      </c>
      <c r="L110" s="300" t="str">
        <f t="shared" si="76"/>
        <v>1.5/1250</v>
      </c>
      <c r="M110" s="299">
        <f t="shared" si="77"/>
        <v>5.5</v>
      </c>
      <c r="N110" s="291">
        <f t="shared" si="78"/>
        <v>1002.1252500000002</v>
      </c>
      <c r="O110" s="272"/>
      <c r="P110" s="281"/>
      <c r="Q110" s="272"/>
      <c r="R110" s="98"/>
      <c r="S110" s="98"/>
      <c r="T110" s="98"/>
    </row>
    <row r="111" spans="1:20" s="123" customFormat="1" ht="22.5" customHeight="1" thickBot="1">
      <c r="A111" s="335"/>
      <c r="B111" s="337"/>
      <c r="C111" s="339"/>
      <c r="D111" s="340"/>
      <c r="E111" s="337"/>
      <c r="F111" s="337"/>
      <c r="G111" s="337"/>
      <c r="H111" s="337"/>
      <c r="I111" s="338"/>
      <c r="J111" s="338"/>
      <c r="K111" s="337"/>
      <c r="L111" s="337"/>
      <c r="M111" s="336"/>
      <c r="N111" s="612">
        <f>SUM(N97:N110)</f>
        <v>15805.861125000003</v>
      </c>
      <c r="O111" s="272"/>
      <c r="P111" s="281"/>
      <c r="Q111" s="272"/>
      <c r="R111" s="98"/>
      <c r="S111" s="98"/>
      <c r="T111" s="98"/>
    </row>
    <row r="112" spans="1:20" s="98" customFormat="1">
      <c r="B112" s="613"/>
      <c r="F112" s="614"/>
      <c r="G112" s="614"/>
      <c r="H112" s="614"/>
      <c r="L112" s="614"/>
      <c r="N112" s="615"/>
      <c r="P112" s="614"/>
      <c r="Q112" s="614"/>
    </row>
    <row r="113" spans="1:20" s="98" customFormat="1" ht="13.8" thickBot="1">
      <c r="B113" s="613"/>
      <c r="F113" s="614"/>
      <c r="G113" s="614"/>
      <c r="H113" s="614"/>
      <c r="L113" s="614"/>
      <c r="N113" s="615"/>
      <c r="P113" s="614"/>
      <c r="Q113" s="614"/>
    </row>
    <row r="114" spans="1:20" s="101" customFormat="1" ht="15.75" customHeight="1">
      <c r="A114" s="2547">
        <v>9</v>
      </c>
      <c r="B114" s="602" t="s">
        <v>2456</v>
      </c>
      <c r="C114" s="303"/>
      <c r="D114" s="304">
        <f t="shared" ref="D114" si="79">IF(H114&lt;&gt;"",VLOOKUP(G114,base_barras,IF(H114="Desnuda",2,5)+F114-1,FALSE),"-")</f>
        <v>1810</v>
      </c>
      <c r="E114" s="305">
        <v>3</v>
      </c>
      <c r="F114" s="306">
        <v>1</v>
      </c>
      <c r="G114" s="307" t="s">
        <v>468</v>
      </c>
      <c r="H114" s="306" t="s">
        <v>1037</v>
      </c>
      <c r="I114" s="308">
        <v>0.4</v>
      </c>
      <c r="J114" s="309">
        <f t="shared" ref="J114:J137" si="80">IF(G114&lt;&gt;"",VLOOKUP(G114,precio_barras,9,FALSE),0)</f>
        <v>88.9</v>
      </c>
      <c r="K114" s="305">
        <v>0</v>
      </c>
      <c r="L114" s="319" t="str">
        <f t="shared" ref="L114" si="81">IF(G114&lt;&gt;"",IF(VLOOKUP(G114,base_barras,10,FALSE)&lt;&gt;"",VLOOKUP(G114,base_barras,10,FALSE),"-"),"-")</f>
        <v>1.5/1250</v>
      </c>
      <c r="M114" s="309">
        <f t="shared" ref="M114" si="82">IF(L114&lt;&gt;"-",VLOOKUP(L114,precio_aislador,2,FALSE),0)</f>
        <v>5.5</v>
      </c>
      <c r="N114" s="334">
        <f t="shared" ref="N114" si="83">(I114*J114*F114+K114*M114)*E114*1.67*1.25</f>
        <v>222.69450000000001</v>
      </c>
      <c r="O114" s="272"/>
      <c r="P114" s="281"/>
      <c r="Q114" s="281">
        <v>1000</v>
      </c>
      <c r="R114" s="281"/>
      <c r="S114" s="281"/>
      <c r="T114" s="281"/>
    </row>
    <row r="115" spans="1:20" s="101" customFormat="1" ht="13.8">
      <c r="A115" s="2548"/>
      <c r="B115" s="603" t="s">
        <v>802</v>
      </c>
      <c r="C115" s="301"/>
      <c r="D115" s="294">
        <f>IF(H115&lt;&gt;"",VLOOKUP(G115,base_barras,IF(H115="Desnuda",2,5)+F115-1,FALSE),"-")</f>
        <v>1810</v>
      </c>
      <c r="E115" s="295">
        <v>3</v>
      </c>
      <c r="F115" s="296">
        <v>1</v>
      </c>
      <c r="G115" s="297" t="s">
        <v>468</v>
      </c>
      <c r="H115" s="604" t="str">
        <f>H114</f>
        <v>Pintada</v>
      </c>
      <c r="I115" s="605">
        <v>0.61</v>
      </c>
      <c r="J115" s="299">
        <f t="shared" si="80"/>
        <v>88.9</v>
      </c>
      <c r="K115" s="606">
        <v>2</v>
      </c>
      <c r="L115" s="300" t="str">
        <f>IF(G115&lt;&gt;"",IF(VLOOKUP(G115,base_barras,10,FALSE)&lt;&gt;"",VLOOKUP(G115,base_barras,10,FALSE),"-"),"-")</f>
        <v>1.5/1250</v>
      </c>
      <c r="M115" s="299">
        <f>IF(L115&lt;&gt;"-",VLOOKUP(L115,precio_aislador,2,FALSE),0)</f>
        <v>5.5</v>
      </c>
      <c r="N115" s="291">
        <f>(I115*J115*F115+K115*M115)*E115*1.67*1.25</f>
        <v>408.49661250000003</v>
      </c>
      <c r="O115" s="272"/>
      <c r="P115" s="281"/>
      <c r="Q115" s="281"/>
      <c r="R115" s="281"/>
      <c r="S115" s="281"/>
      <c r="T115" s="281"/>
    </row>
    <row r="116" spans="1:20" s="101" customFormat="1" ht="15.75" customHeight="1">
      <c r="A116" s="2548"/>
      <c r="B116" s="607" t="s">
        <v>4738</v>
      </c>
      <c r="C116" s="608"/>
      <c r="D116" s="294">
        <f t="shared" ref="D116:D137" si="84">IF(H116&lt;&gt;"",VLOOKUP(G116,base_barras,IF(H116="Desnuda",2,5)+F116-1,FALSE),"-")</f>
        <v>1810</v>
      </c>
      <c r="E116" s="295">
        <v>3</v>
      </c>
      <c r="F116" s="296">
        <v>1</v>
      </c>
      <c r="G116" s="297" t="s">
        <v>468</v>
      </c>
      <c r="H116" s="296" t="s">
        <v>1037</v>
      </c>
      <c r="I116" s="298"/>
      <c r="J116" s="299">
        <f t="shared" si="80"/>
        <v>88.9</v>
      </c>
      <c r="K116" s="609"/>
      <c r="L116" s="610" t="str">
        <f t="shared" ref="L116:L137" si="85">IF(G116&lt;&gt;"",IF(VLOOKUP(G116,base_barras,10,FALSE)&lt;&gt;"",VLOOKUP(G116,base_barras,10,FALSE),"-"),"-")</f>
        <v>1.5/1250</v>
      </c>
      <c r="M116" s="421">
        <f t="shared" ref="M116:M137" si="86">IF(L116&lt;&gt;"-",VLOOKUP(L116,precio_aislador,2,FALSE),0)</f>
        <v>5.5</v>
      </c>
      <c r="N116" s="611">
        <f t="shared" ref="N116:N137" si="87">(I116*J116*F116+K116*M116)*E116*1.67*1.25</f>
        <v>0</v>
      </c>
      <c r="O116" s="272"/>
      <c r="P116" s="281"/>
      <c r="Q116" s="281">
        <f>+Q114*1.3</f>
        <v>1300</v>
      </c>
      <c r="R116" s="281"/>
      <c r="S116" s="281"/>
      <c r="T116" s="281"/>
    </row>
    <row r="117" spans="1:20" s="101" customFormat="1" ht="15.75" customHeight="1">
      <c r="A117" s="2548"/>
      <c r="B117" s="607" t="s">
        <v>4739</v>
      </c>
      <c r="C117" s="608"/>
      <c r="D117" s="294">
        <f t="shared" si="84"/>
        <v>1810</v>
      </c>
      <c r="E117" s="295">
        <v>4</v>
      </c>
      <c r="F117" s="296">
        <v>1</v>
      </c>
      <c r="G117" s="297" t="s">
        <v>468</v>
      </c>
      <c r="H117" s="296" t="s">
        <v>1037</v>
      </c>
      <c r="I117" s="298"/>
      <c r="J117" s="299">
        <f t="shared" si="80"/>
        <v>88.9</v>
      </c>
      <c r="K117" s="609"/>
      <c r="L117" s="610" t="str">
        <f t="shared" si="85"/>
        <v>1.5/1250</v>
      </c>
      <c r="M117" s="421">
        <f t="shared" si="86"/>
        <v>5.5</v>
      </c>
      <c r="N117" s="611">
        <f t="shared" si="87"/>
        <v>0</v>
      </c>
      <c r="O117" s="272"/>
      <c r="P117" s="281"/>
      <c r="Q117" s="272"/>
      <c r="R117" s="98"/>
      <c r="S117" s="98"/>
      <c r="T117" s="98"/>
    </row>
    <row r="118" spans="1:20" s="101" customFormat="1" ht="15.75" customHeight="1">
      <c r="A118" s="2548"/>
      <c r="B118" s="607" t="s">
        <v>4739</v>
      </c>
      <c r="C118" s="608"/>
      <c r="D118" s="294">
        <f t="shared" si="84"/>
        <v>1020</v>
      </c>
      <c r="E118" s="1836">
        <v>3</v>
      </c>
      <c r="F118" s="300">
        <v>1</v>
      </c>
      <c r="G118" s="300" t="s">
        <v>315</v>
      </c>
      <c r="H118" s="300" t="s">
        <v>1037</v>
      </c>
      <c r="I118" s="1837"/>
      <c r="J118" s="299">
        <f t="shared" si="80"/>
        <v>44.400000000000006</v>
      </c>
      <c r="K118" s="1838"/>
      <c r="L118" s="610" t="str">
        <f t="shared" si="85"/>
        <v>1/750</v>
      </c>
      <c r="M118" s="421">
        <f t="shared" si="86"/>
        <v>1.9</v>
      </c>
      <c r="N118" s="611">
        <f t="shared" si="87"/>
        <v>0</v>
      </c>
      <c r="O118" s="272"/>
      <c r="P118" s="281"/>
      <c r="Q118" s="272"/>
      <c r="R118" s="98"/>
      <c r="S118" s="98"/>
      <c r="T118" s="98"/>
    </row>
    <row r="119" spans="1:20" s="101" customFormat="1" ht="15.75" customHeight="1">
      <c r="A119" s="2548"/>
      <c r="B119" s="607" t="s">
        <v>4739</v>
      </c>
      <c r="C119" s="608"/>
      <c r="D119" s="294">
        <f t="shared" si="84"/>
        <v>1020</v>
      </c>
      <c r="E119" s="1836">
        <v>4</v>
      </c>
      <c r="F119" s="300">
        <v>1</v>
      </c>
      <c r="G119" s="300" t="s">
        <v>315</v>
      </c>
      <c r="H119" s="300" t="s">
        <v>1037</v>
      </c>
      <c r="I119" s="1837"/>
      <c r="J119" s="299">
        <f t="shared" si="80"/>
        <v>44.400000000000006</v>
      </c>
      <c r="K119" s="1838"/>
      <c r="L119" s="610" t="str">
        <f t="shared" si="85"/>
        <v>1/750</v>
      </c>
      <c r="M119" s="421">
        <f t="shared" si="86"/>
        <v>1.9</v>
      </c>
      <c r="N119" s="611">
        <f t="shared" si="87"/>
        <v>0</v>
      </c>
      <c r="O119" s="272"/>
      <c r="P119" s="281"/>
      <c r="Q119" s="272"/>
      <c r="R119" s="98"/>
      <c r="S119" s="98"/>
      <c r="T119" s="98"/>
    </row>
    <row r="120" spans="1:20" s="101" customFormat="1" ht="15.75" customHeight="1">
      <c r="A120" s="2548"/>
      <c r="B120" s="607" t="s">
        <v>4739</v>
      </c>
      <c r="C120" s="608"/>
      <c r="D120" s="294">
        <f t="shared" si="84"/>
        <v>3720</v>
      </c>
      <c r="E120" s="295">
        <v>3</v>
      </c>
      <c r="F120" s="296">
        <v>3</v>
      </c>
      <c r="G120" s="297" t="s">
        <v>468</v>
      </c>
      <c r="H120" s="296" t="s">
        <v>1037</v>
      </c>
      <c r="I120" s="298"/>
      <c r="J120" s="299">
        <f t="shared" si="80"/>
        <v>88.9</v>
      </c>
      <c r="K120" s="609"/>
      <c r="L120" s="610" t="str">
        <f t="shared" si="85"/>
        <v>1.5/1250</v>
      </c>
      <c r="M120" s="421">
        <f t="shared" si="86"/>
        <v>5.5</v>
      </c>
      <c r="N120" s="611">
        <f t="shared" si="87"/>
        <v>0</v>
      </c>
      <c r="O120" s="272"/>
      <c r="P120" s="281"/>
      <c r="Q120" s="272"/>
      <c r="R120" s="98"/>
      <c r="S120" s="98"/>
      <c r="T120" s="98"/>
    </row>
    <row r="121" spans="1:20" s="101" customFormat="1" ht="15.75" customHeight="1">
      <c r="A121" s="2548"/>
      <c r="B121" s="607" t="s">
        <v>4739</v>
      </c>
      <c r="C121" s="608"/>
      <c r="D121" s="294">
        <f t="shared" si="84"/>
        <v>676</v>
      </c>
      <c r="E121" s="295">
        <v>3</v>
      </c>
      <c r="F121" s="296">
        <v>1</v>
      </c>
      <c r="G121" s="297" t="s">
        <v>314</v>
      </c>
      <c r="H121" s="296" t="s">
        <v>1037</v>
      </c>
      <c r="I121" s="298"/>
      <c r="J121" s="299">
        <f t="shared" si="80"/>
        <v>26.6</v>
      </c>
      <c r="K121" s="609"/>
      <c r="L121" s="610" t="str">
        <f t="shared" si="85"/>
        <v>1/750</v>
      </c>
      <c r="M121" s="421">
        <f t="shared" si="86"/>
        <v>1.9</v>
      </c>
      <c r="N121" s="611">
        <f t="shared" si="87"/>
        <v>0</v>
      </c>
      <c r="O121" s="272"/>
      <c r="P121" s="281"/>
      <c r="Q121" s="272"/>
      <c r="R121" s="98"/>
      <c r="S121" s="98"/>
      <c r="T121" s="98"/>
    </row>
    <row r="122" spans="1:20" s="101" customFormat="1" ht="15.75" customHeight="1">
      <c r="A122" s="2548"/>
      <c r="B122" s="607" t="s">
        <v>4739</v>
      </c>
      <c r="C122" s="608"/>
      <c r="D122" s="294">
        <f t="shared" si="84"/>
        <v>676</v>
      </c>
      <c r="E122" s="295">
        <v>3</v>
      </c>
      <c r="F122" s="296">
        <v>1</v>
      </c>
      <c r="G122" s="297" t="s">
        <v>314</v>
      </c>
      <c r="H122" s="296" t="s">
        <v>1037</v>
      </c>
      <c r="I122" s="298"/>
      <c r="J122" s="299">
        <f t="shared" si="80"/>
        <v>26.6</v>
      </c>
      <c r="K122" s="609"/>
      <c r="L122" s="610" t="str">
        <f t="shared" si="85"/>
        <v>1/750</v>
      </c>
      <c r="M122" s="421">
        <f t="shared" si="86"/>
        <v>1.9</v>
      </c>
      <c r="N122" s="611">
        <f t="shared" si="87"/>
        <v>0</v>
      </c>
      <c r="O122" s="272"/>
      <c r="P122" s="281"/>
      <c r="Q122" s="272"/>
      <c r="R122" s="98"/>
      <c r="S122" s="98"/>
      <c r="T122" s="98"/>
    </row>
    <row r="123" spans="1:20" s="101" customFormat="1" ht="15.75" customHeight="1">
      <c r="A123" s="2548"/>
      <c r="B123" s="607" t="s">
        <v>4739</v>
      </c>
      <c r="C123" s="608"/>
      <c r="D123" s="294">
        <f t="shared" si="84"/>
        <v>676</v>
      </c>
      <c r="E123" s="295">
        <v>3</v>
      </c>
      <c r="F123" s="296">
        <v>1</v>
      </c>
      <c r="G123" s="297" t="s">
        <v>314</v>
      </c>
      <c r="H123" s="296" t="s">
        <v>1037</v>
      </c>
      <c r="I123" s="298"/>
      <c r="J123" s="299">
        <f t="shared" si="80"/>
        <v>26.6</v>
      </c>
      <c r="K123" s="609"/>
      <c r="L123" s="610" t="str">
        <f t="shared" si="85"/>
        <v>1/750</v>
      </c>
      <c r="M123" s="421">
        <f t="shared" si="86"/>
        <v>1.9</v>
      </c>
      <c r="N123" s="611">
        <f t="shared" si="87"/>
        <v>0</v>
      </c>
      <c r="O123" s="272"/>
      <c r="P123" s="281"/>
      <c r="Q123" s="272"/>
      <c r="R123" s="98"/>
      <c r="S123" s="98"/>
      <c r="T123" s="98"/>
    </row>
    <row r="124" spans="1:20" s="101" customFormat="1" ht="15.75" customHeight="1">
      <c r="A124" s="2548"/>
      <c r="B124" s="607" t="s">
        <v>4739</v>
      </c>
      <c r="C124" s="608"/>
      <c r="D124" s="294">
        <f t="shared" si="84"/>
        <v>850</v>
      </c>
      <c r="E124" s="295">
        <v>3</v>
      </c>
      <c r="F124" s="296">
        <v>1</v>
      </c>
      <c r="G124" s="297" t="s">
        <v>469</v>
      </c>
      <c r="H124" s="296" t="s">
        <v>1037</v>
      </c>
      <c r="I124" s="298"/>
      <c r="J124" s="299">
        <f t="shared" si="80"/>
        <v>35.6</v>
      </c>
      <c r="K124" s="609"/>
      <c r="L124" s="610" t="str">
        <f t="shared" si="85"/>
        <v>1/750</v>
      </c>
      <c r="M124" s="421">
        <f t="shared" si="86"/>
        <v>1.9</v>
      </c>
      <c r="N124" s="611">
        <f t="shared" si="87"/>
        <v>0</v>
      </c>
      <c r="O124" s="272"/>
      <c r="P124" s="281"/>
      <c r="Q124" s="272"/>
      <c r="R124" s="98"/>
      <c r="S124" s="98"/>
      <c r="T124" s="98"/>
    </row>
    <row r="125" spans="1:20" s="101" customFormat="1" ht="15.75" customHeight="1">
      <c r="A125" s="2548"/>
      <c r="B125" s="607" t="s">
        <v>4739</v>
      </c>
      <c r="C125" s="608"/>
      <c r="D125" s="294">
        <f t="shared" si="84"/>
        <v>3720</v>
      </c>
      <c r="E125" s="1836">
        <v>3</v>
      </c>
      <c r="F125" s="300">
        <v>3</v>
      </c>
      <c r="G125" s="300" t="s">
        <v>468</v>
      </c>
      <c r="H125" s="300" t="s">
        <v>1037</v>
      </c>
      <c r="I125" s="1837"/>
      <c r="J125" s="299">
        <f t="shared" si="80"/>
        <v>88.9</v>
      </c>
      <c r="K125" s="1838"/>
      <c r="L125" s="610" t="str">
        <f t="shared" si="85"/>
        <v>1.5/1250</v>
      </c>
      <c r="M125" s="421">
        <f t="shared" si="86"/>
        <v>5.5</v>
      </c>
      <c r="N125" s="611">
        <f t="shared" si="87"/>
        <v>0</v>
      </c>
      <c r="O125" s="272"/>
      <c r="P125" s="281"/>
      <c r="Q125" s="272"/>
      <c r="R125" s="98"/>
      <c r="S125" s="98"/>
      <c r="T125" s="98"/>
    </row>
    <row r="126" spans="1:20" s="101" customFormat="1" ht="15.75" customHeight="1">
      <c r="A126" s="2548"/>
      <c r="B126" s="607" t="s">
        <v>4739</v>
      </c>
      <c r="C126" s="608"/>
      <c r="D126" s="294">
        <f t="shared" si="84"/>
        <v>1810</v>
      </c>
      <c r="E126" s="1836">
        <v>3</v>
      </c>
      <c r="F126" s="300">
        <v>1</v>
      </c>
      <c r="G126" s="300" t="s">
        <v>468</v>
      </c>
      <c r="H126" s="300" t="s">
        <v>1037</v>
      </c>
      <c r="I126" s="1837"/>
      <c r="J126" s="299">
        <f t="shared" si="80"/>
        <v>88.9</v>
      </c>
      <c r="K126" s="1838"/>
      <c r="L126" s="610" t="str">
        <f t="shared" si="85"/>
        <v>1.5/1250</v>
      </c>
      <c r="M126" s="421">
        <f t="shared" si="86"/>
        <v>5.5</v>
      </c>
      <c r="N126" s="611">
        <f t="shared" si="87"/>
        <v>0</v>
      </c>
      <c r="O126" s="272"/>
      <c r="P126" s="281"/>
      <c r="Q126" s="272"/>
      <c r="R126" s="98"/>
      <c r="S126" s="98"/>
      <c r="T126" s="98"/>
    </row>
    <row r="127" spans="1:20" s="101" customFormat="1" ht="15.75" customHeight="1">
      <c r="A127" s="2548"/>
      <c r="B127" s="607" t="s">
        <v>4739</v>
      </c>
      <c r="C127" s="608"/>
      <c r="D127" s="294">
        <f t="shared" si="84"/>
        <v>3720</v>
      </c>
      <c r="E127" s="1836">
        <v>3</v>
      </c>
      <c r="F127" s="300">
        <v>3</v>
      </c>
      <c r="G127" s="300" t="s">
        <v>468</v>
      </c>
      <c r="H127" s="300" t="s">
        <v>1037</v>
      </c>
      <c r="I127" s="1837"/>
      <c r="J127" s="299">
        <f t="shared" si="80"/>
        <v>88.9</v>
      </c>
      <c r="K127" s="1838"/>
      <c r="L127" s="610" t="str">
        <f t="shared" si="85"/>
        <v>1.5/1250</v>
      </c>
      <c r="M127" s="421">
        <f t="shared" si="86"/>
        <v>5.5</v>
      </c>
      <c r="N127" s="611">
        <f t="shared" si="87"/>
        <v>0</v>
      </c>
      <c r="O127" s="272"/>
      <c r="P127" s="281"/>
      <c r="Q127" s="272"/>
      <c r="R127" s="98"/>
      <c r="S127" s="98"/>
      <c r="T127" s="98"/>
    </row>
    <row r="128" spans="1:20" s="101" customFormat="1" ht="15.75" customHeight="1">
      <c r="A128" s="2548"/>
      <c r="B128" s="607" t="s">
        <v>4739</v>
      </c>
      <c r="C128" s="608"/>
      <c r="D128" s="294">
        <f t="shared" si="84"/>
        <v>3720</v>
      </c>
      <c r="E128" s="1836">
        <v>4</v>
      </c>
      <c r="F128" s="300">
        <v>3</v>
      </c>
      <c r="G128" s="300" t="s">
        <v>468</v>
      </c>
      <c r="H128" s="300" t="s">
        <v>1037</v>
      </c>
      <c r="I128" s="1837"/>
      <c r="J128" s="299">
        <f t="shared" si="80"/>
        <v>88.9</v>
      </c>
      <c r="K128" s="1838"/>
      <c r="L128" s="610" t="str">
        <f t="shared" si="85"/>
        <v>1.5/1250</v>
      </c>
      <c r="M128" s="421">
        <f t="shared" si="86"/>
        <v>5.5</v>
      </c>
      <c r="N128" s="611">
        <f t="shared" si="87"/>
        <v>0</v>
      </c>
      <c r="O128" s="272"/>
      <c r="P128" s="281"/>
      <c r="Q128" s="272"/>
      <c r="R128" s="98"/>
      <c r="S128" s="98"/>
      <c r="T128" s="98"/>
    </row>
    <row r="129" spans="1:20" s="101" customFormat="1" ht="15.75" customHeight="1">
      <c r="A129" s="2548"/>
      <c r="B129" s="607" t="s">
        <v>4739</v>
      </c>
      <c r="C129" s="608"/>
      <c r="D129" s="294">
        <f t="shared" si="84"/>
        <v>3720</v>
      </c>
      <c r="E129" s="1836">
        <v>3</v>
      </c>
      <c r="F129" s="300">
        <v>3</v>
      </c>
      <c r="G129" s="300" t="s">
        <v>468</v>
      </c>
      <c r="H129" s="300" t="s">
        <v>1037</v>
      </c>
      <c r="I129" s="1837"/>
      <c r="J129" s="299">
        <f t="shared" si="80"/>
        <v>88.9</v>
      </c>
      <c r="K129" s="1838"/>
      <c r="L129" s="610" t="str">
        <f t="shared" si="85"/>
        <v>1.5/1250</v>
      </c>
      <c r="M129" s="421">
        <f t="shared" si="86"/>
        <v>5.5</v>
      </c>
      <c r="N129" s="611">
        <f t="shared" si="87"/>
        <v>0</v>
      </c>
      <c r="O129" s="272"/>
      <c r="P129" s="281"/>
      <c r="Q129" s="272"/>
      <c r="R129" s="98"/>
      <c r="S129" s="98"/>
      <c r="T129" s="98"/>
    </row>
    <row r="130" spans="1:20" s="101" customFormat="1" ht="15.75" customHeight="1">
      <c r="A130" s="2548"/>
      <c r="B130" s="607" t="s">
        <v>4739</v>
      </c>
      <c r="C130" s="608"/>
      <c r="D130" s="294">
        <f t="shared" si="84"/>
        <v>3720</v>
      </c>
      <c r="E130" s="295">
        <v>3</v>
      </c>
      <c r="F130" s="296">
        <v>3</v>
      </c>
      <c r="G130" s="297" t="s">
        <v>468</v>
      </c>
      <c r="H130" s="296" t="s">
        <v>1037</v>
      </c>
      <c r="I130" s="298"/>
      <c r="J130" s="299">
        <f t="shared" si="80"/>
        <v>88.9</v>
      </c>
      <c r="K130" s="609"/>
      <c r="L130" s="610" t="str">
        <f t="shared" si="85"/>
        <v>1.5/1250</v>
      </c>
      <c r="M130" s="421">
        <f t="shared" si="86"/>
        <v>5.5</v>
      </c>
      <c r="N130" s="611">
        <f t="shared" si="87"/>
        <v>0</v>
      </c>
      <c r="O130" s="272"/>
      <c r="P130" s="281"/>
      <c r="Q130" s="272"/>
      <c r="R130" s="98"/>
      <c r="S130" s="98"/>
      <c r="T130" s="98"/>
    </row>
    <row r="131" spans="1:20" s="101" customFormat="1" ht="15.75" customHeight="1">
      <c r="A131" s="2548"/>
      <c r="B131" s="607" t="s">
        <v>4739</v>
      </c>
      <c r="C131" s="608"/>
      <c r="D131" s="294">
        <f t="shared" si="84"/>
        <v>497</v>
      </c>
      <c r="E131" s="295">
        <v>3</v>
      </c>
      <c r="F131" s="296">
        <v>1</v>
      </c>
      <c r="G131" s="297" t="s">
        <v>62</v>
      </c>
      <c r="H131" s="296" t="s">
        <v>1037</v>
      </c>
      <c r="I131" s="298"/>
      <c r="J131" s="299">
        <f t="shared" si="80"/>
        <v>17.7</v>
      </c>
      <c r="K131" s="609"/>
      <c r="L131" s="610" t="str">
        <f t="shared" si="85"/>
        <v>-</v>
      </c>
      <c r="M131" s="421">
        <f t="shared" si="86"/>
        <v>0</v>
      </c>
      <c r="N131" s="611">
        <f t="shared" si="87"/>
        <v>0</v>
      </c>
      <c r="O131" s="272"/>
      <c r="P131" s="281"/>
      <c r="Q131" s="272"/>
      <c r="R131" s="98"/>
      <c r="S131" s="98"/>
      <c r="T131" s="98"/>
    </row>
    <row r="132" spans="1:20" s="101" customFormat="1" ht="15.75" customHeight="1">
      <c r="A132" s="2548"/>
      <c r="B132" s="607" t="s">
        <v>4739</v>
      </c>
      <c r="C132" s="608"/>
      <c r="D132" s="294">
        <f t="shared" si="84"/>
        <v>497</v>
      </c>
      <c r="E132" s="295">
        <v>3</v>
      </c>
      <c r="F132" s="296">
        <v>1</v>
      </c>
      <c r="G132" s="297" t="s">
        <v>62</v>
      </c>
      <c r="H132" s="296" t="s">
        <v>1037</v>
      </c>
      <c r="I132" s="298"/>
      <c r="J132" s="299">
        <f t="shared" si="80"/>
        <v>17.7</v>
      </c>
      <c r="K132" s="609"/>
      <c r="L132" s="610" t="str">
        <f t="shared" si="85"/>
        <v>-</v>
      </c>
      <c r="M132" s="421">
        <f t="shared" si="86"/>
        <v>0</v>
      </c>
      <c r="N132" s="611">
        <f t="shared" si="87"/>
        <v>0</v>
      </c>
      <c r="O132" s="272"/>
      <c r="P132" s="281"/>
      <c r="Q132" s="272"/>
      <c r="R132" s="98"/>
      <c r="S132" s="98"/>
      <c r="T132" s="98"/>
    </row>
    <row r="133" spans="1:20" s="101" customFormat="1" ht="15.75" customHeight="1">
      <c r="A133" s="2548"/>
      <c r="B133" s="607" t="s">
        <v>4739</v>
      </c>
      <c r="C133" s="608"/>
      <c r="D133" s="294">
        <f t="shared" si="84"/>
        <v>676</v>
      </c>
      <c r="E133" s="295">
        <v>3</v>
      </c>
      <c r="F133" s="296">
        <v>1</v>
      </c>
      <c r="G133" s="297" t="s">
        <v>314</v>
      </c>
      <c r="H133" s="296" t="s">
        <v>1037</v>
      </c>
      <c r="I133" s="298"/>
      <c r="J133" s="299">
        <f t="shared" si="80"/>
        <v>26.6</v>
      </c>
      <c r="K133" s="609"/>
      <c r="L133" s="610" t="str">
        <f t="shared" si="85"/>
        <v>1/750</v>
      </c>
      <c r="M133" s="421">
        <f t="shared" si="86"/>
        <v>1.9</v>
      </c>
      <c r="N133" s="611">
        <f t="shared" si="87"/>
        <v>0</v>
      </c>
      <c r="O133" s="272"/>
      <c r="P133" s="281"/>
      <c r="Q133" s="272"/>
      <c r="R133" s="98"/>
      <c r="S133" s="98"/>
      <c r="T133" s="98"/>
    </row>
    <row r="134" spans="1:20" s="101" customFormat="1" ht="15.75" customHeight="1">
      <c r="A134" s="2548"/>
      <c r="B134" s="607" t="s">
        <v>4739</v>
      </c>
      <c r="C134" s="608"/>
      <c r="D134" s="294">
        <f t="shared" si="84"/>
        <v>850</v>
      </c>
      <c r="E134" s="295">
        <v>3</v>
      </c>
      <c r="F134" s="296">
        <v>1</v>
      </c>
      <c r="G134" s="297" t="s">
        <v>469</v>
      </c>
      <c r="H134" s="296" t="s">
        <v>1037</v>
      </c>
      <c r="I134" s="298"/>
      <c r="J134" s="299">
        <f t="shared" si="80"/>
        <v>35.6</v>
      </c>
      <c r="K134" s="609"/>
      <c r="L134" s="610" t="str">
        <f t="shared" si="85"/>
        <v>1/750</v>
      </c>
      <c r="M134" s="421">
        <f t="shared" si="86"/>
        <v>1.9</v>
      </c>
      <c r="N134" s="611">
        <f t="shared" si="87"/>
        <v>0</v>
      </c>
      <c r="O134" s="272"/>
      <c r="P134" s="281"/>
      <c r="Q134" s="272"/>
      <c r="R134" s="98"/>
      <c r="S134" s="98"/>
      <c r="T134" s="98"/>
    </row>
    <row r="135" spans="1:20" s="101" customFormat="1" ht="15.75" customHeight="1">
      <c r="A135" s="2548"/>
      <c r="B135" s="292" t="s">
        <v>801</v>
      </c>
      <c r="C135" s="608"/>
      <c r="D135" s="294">
        <f t="shared" si="84"/>
        <v>3720</v>
      </c>
      <c r="E135" s="295">
        <v>1</v>
      </c>
      <c r="F135" s="296">
        <v>3</v>
      </c>
      <c r="G135" s="297" t="s">
        <v>468</v>
      </c>
      <c r="H135" s="296" t="s">
        <v>1037</v>
      </c>
      <c r="I135" s="298"/>
      <c r="J135" s="299">
        <f t="shared" si="80"/>
        <v>88.9</v>
      </c>
      <c r="K135" s="609"/>
      <c r="L135" s="610" t="str">
        <f t="shared" si="85"/>
        <v>1.5/1250</v>
      </c>
      <c r="M135" s="421">
        <f t="shared" si="86"/>
        <v>5.5</v>
      </c>
      <c r="N135" s="611">
        <f t="shared" si="87"/>
        <v>0</v>
      </c>
      <c r="O135" s="272"/>
      <c r="P135" s="281"/>
      <c r="Q135" s="272"/>
      <c r="R135" s="98"/>
      <c r="S135" s="98"/>
      <c r="T135" s="98"/>
    </row>
    <row r="136" spans="1:20" s="101" customFormat="1" ht="15.75" customHeight="1">
      <c r="A136" s="2548"/>
      <c r="B136" s="292" t="s">
        <v>801</v>
      </c>
      <c r="C136" s="608"/>
      <c r="D136" s="294">
        <f t="shared" si="84"/>
        <v>1810</v>
      </c>
      <c r="E136" s="295">
        <v>1</v>
      </c>
      <c r="F136" s="296">
        <v>1</v>
      </c>
      <c r="G136" s="297" t="s">
        <v>468</v>
      </c>
      <c r="H136" s="296" t="s">
        <v>1037</v>
      </c>
      <c r="I136" s="298">
        <f>0.9+0.9</f>
        <v>1.8</v>
      </c>
      <c r="J136" s="299">
        <f t="shared" si="80"/>
        <v>88.9</v>
      </c>
      <c r="K136" s="609">
        <v>4</v>
      </c>
      <c r="L136" s="610" t="str">
        <f t="shared" si="85"/>
        <v>1.5/1250</v>
      </c>
      <c r="M136" s="421">
        <f t="shared" si="86"/>
        <v>5.5</v>
      </c>
      <c r="N136" s="611">
        <f t="shared" si="87"/>
        <v>379.96675000000005</v>
      </c>
      <c r="O136" s="272"/>
      <c r="P136" s="281"/>
      <c r="Q136" s="272"/>
      <c r="R136" s="98"/>
      <c r="S136" s="98"/>
      <c r="T136" s="98"/>
    </row>
    <row r="137" spans="1:20" s="101" customFormat="1" ht="15.75" customHeight="1" thickBot="1">
      <c r="A137" s="2549"/>
      <c r="B137" s="302" t="s">
        <v>802</v>
      </c>
      <c r="C137" s="293"/>
      <c r="D137" s="294">
        <f t="shared" si="84"/>
        <v>1810</v>
      </c>
      <c r="E137" s="295">
        <v>1</v>
      </c>
      <c r="F137" s="296">
        <v>1</v>
      </c>
      <c r="G137" s="297" t="s">
        <v>468</v>
      </c>
      <c r="H137" s="296" t="s">
        <v>1037</v>
      </c>
      <c r="I137" s="298">
        <f>0.9+0.9</f>
        <v>1.8</v>
      </c>
      <c r="J137" s="299">
        <f t="shared" si="80"/>
        <v>88.9</v>
      </c>
      <c r="K137" s="609">
        <v>0</v>
      </c>
      <c r="L137" s="300" t="str">
        <f t="shared" si="85"/>
        <v>1.5/1250</v>
      </c>
      <c r="M137" s="299">
        <f t="shared" si="86"/>
        <v>5.5</v>
      </c>
      <c r="N137" s="291">
        <f t="shared" si="87"/>
        <v>334.04175000000004</v>
      </c>
      <c r="O137" s="272"/>
      <c r="P137" s="281"/>
      <c r="Q137" s="272"/>
      <c r="R137" s="98"/>
      <c r="S137" s="98"/>
      <c r="T137" s="98"/>
    </row>
    <row r="138" spans="1:20" s="123" customFormat="1" ht="22.5" customHeight="1" thickBot="1">
      <c r="A138" s="335"/>
      <c r="B138" s="337"/>
      <c r="C138" s="339"/>
      <c r="D138" s="340"/>
      <c r="E138" s="337"/>
      <c r="F138" s="337"/>
      <c r="G138" s="337"/>
      <c r="H138" s="337"/>
      <c r="I138" s="338"/>
      <c r="J138" s="338"/>
      <c r="K138" s="337"/>
      <c r="L138" s="337"/>
      <c r="M138" s="336"/>
      <c r="N138" s="612">
        <f>SUM(N114:N137)</f>
        <v>1345.1996125000001</v>
      </c>
      <c r="O138" s="272"/>
      <c r="P138" s="281"/>
      <c r="Q138" s="272"/>
      <c r="R138" s="98"/>
      <c r="S138" s="98"/>
      <c r="T138" s="98"/>
    </row>
    <row r="139" spans="1:20" s="98" customFormat="1">
      <c r="A139" s="1846"/>
      <c r="B139" s="1847"/>
      <c r="F139" s="614"/>
      <c r="G139" s="614"/>
      <c r="H139" s="614"/>
      <c r="L139" s="614"/>
      <c r="N139" s="615"/>
      <c r="P139" s="614"/>
      <c r="Q139" s="614"/>
    </row>
    <row r="140" spans="1:20" s="98" customFormat="1" ht="13.8" thickBot="1">
      <c r="B140" s="613"/>
      <c r="F140" s="614"/>
      <c r="G140" s="614"/>
      <c r="H140" s="614"/>
      <c r="L140" s="614"/>
      <c r="N140" s="615"/>
      <c r="P140" s="614"/>
      <c r="Q140" s="614"/>
    </row>
    <row r="141" spans="1:20" s="101" customFormat="1" ht="15.75" customHeight="1">
      <c r="A141" s="2547" t="s">
        <v>12242</v>
      </c>
      <c r="B141" s="602" t="s">
        <v>2456</v>
      </c>
      <c r="C141" s="303"/>
      <c r="D141" s="304">
        <f t="shared" ref="D141" si="88">IF(H141&lt;&gt;"",VLOOKUP(G141,base_barras,IF(H141="Desnuda",2,5)+F141-1,FALSE),"-")</f>
        <v>497</v>
      </c>
      <c r="E141" s="305">
        <v>3</v>
      </c>
      <c r="F141" s="306">
        <v>1</v>
      </c>
      <c r="G141" s="307" t="s">
        <v>62</v>
      </c>
      <c r="H141" s="306" t="s">
        <v>1037</v>
      </c>
      <c r="I141" s="308">
        <v>0.25</v>
      </c>
      <c r="J141" s="309">
        <f t="shared" ref="J141:J149" si="89">IF(G141&lt;&gt;"",VLOOKUP(G141,precio_barras,9,FALSE),0)</f>
        <v>17.7</v>
      </c>
      <c r="K141" s="305">
        <v>0</v>
      </c>
      <c r="L141" s="319" t="str">
        <f t="shared" ref="L141" si="90">IF(G141&lt;&gt;"",IF(VLOOKUP(G141,base_barras,10,FALSE)&lt;&gt;"",VLOOKUP(G141,base_barras,10,FALSE),"-"),"-")</f>
        <v>-</v>
      </c>
      <c r="M141" s="309">
        <f t="shared" ref="M141" si="91">IF(L141&lt;&gt;"-",VLOOKUP(L141,precio_aislador,2,FALSE),0)</f>
        <v>0</v>
      </c>
      <c r="N141" s="334">
        <f t="shared" ref="N141" si="92">(I141*J141*F141+K141*M141)*E141*1.67*1.25</f>
        <v>27.711562499999999</v>
      </c>
      <c r="O141" s="272"/>
      <c r="P141" s="281"/>
      <c r="Q141" s="272"/>
      <c r="R141" s="98"/>
      <c r="S141" s="98"/>
      <c r="T141" s="98"/>
    </row>
    <row r="142" spans="1:20" s="101" customFormat="1" ht="13.8">
      <c r="A142" s="2548"/>
      <c r="B142" s="603" t="s">
        <v>802</v>
      </c>
      <c r="C142" s="301"/>
      <c r="D142" s="294">
        <f>IF(H142&lt;&gt;"",VLOOKUP(G142,base_barras,IF(H142="Desnuda",2,5)+F142-1,FALSE),"-")</f>
        <v>497</v>
      </c>
      <c r="E142" s="295">
        <v>3</v>
      </c>
      <c r="F142" s="296">
        <v>1</v>
      </c>
      <c r="G142" s="297" t="s">
        <v>62</v>
      </c>
      <c r="H142" s="604" t="str">
        <f>H141</f>
        <v>Pintada</v>
      </c>
      <c r="I142" s="605">
        <v>0.3</v>
      </c>
      <c r="J142" s="299">
        <f t="shared" si="89"/>
        <v>17.7</v>
      </c>
      <c r="K142" s="606">
        <v>2</v>
      </c>
      <c r="L142" s="300" t="str">
        <f>IF(G142&lt;&gt;"",IF(VLOOKUP(G142,base_barras,10,FALSE)&lt;&gt;"",VLOOKUP(G142,base_barras,10,FALSE),"-"),"-")</f>
        <v>-</v>
      </c>
      <c r="M142" s="299">
        <f>IF(L142&lt;&gt;"-",VLOOKUP(L142,precio_aislador,2,FALSE),0)</f>
        <v>0</v>
      </c>
      <c r="N142" s="291">
        <f>(I142*J142*F142+K142*M142)*E142*1.67*1.25</f>
        <v>33.253874999999994</v>
      </c>
      <c r="O142" s="272"/>
      <c r="P142" s="281"/>
      <c r="Q142" s="272"/>
      <c r="R142" s="98"/>
      <c r="S142" s="98"/>
      <c r="T142" s="98"/>
    </row>
    <row r="143" spans="1:20" s="101" customFormat="1" ht="15.75" customHeight="1">
      <c r="A143" s="2548"/>
      <c r="B143" s="607" t="s">
        <v>4738</v>
      </c>
      <c r="C143" s="608"/>
      <c r="D143" s="294">
        <f t="shared" ref="D143:D149" si="93">IF(H143&lt;&gt;"",VLOOKUP(G143,base_barras,IF(H143="Desnuda",2,5)+F143-1,FALSE),"-")</f>
        <v>2410</v>
      </c>
      <c r="E143" s="295">
        <v>3</v>
      </c>
      <c r="F143" s="296">
        <v>2</v>
      </c>
      <c r="G143" s="297" t="s">
        <v>582</v>
      </c>
      <c r="H143" s="296" t="s">
        <v>1037</v>
      </c>
      <c r="I143" s="298"/>
      <c r="J143" s="299">
        <f t="shared" si="89"/>
        <v>71.100000000000009</v>
      </c>
      <c r="K143" s="609">
        <v>0</v>
      </c>
      <c r="L143" s="610" t="str">
        <f t="shared" ref="L143:L149" si="94">IF(G143&lt;&gt;"",IF(VLOOKUP(G143,base_barras,10,FALSE)&lt;&gt;"",VLOOKUP(G143,base_barras,10,FALSE),"-"),"-")</f>
        <v>1/1000</v>
      </c>
      <c r="M143" s="421">
        <f t="shared" ref="M143:M149" si="95">IF(L143&lt;&gt;"-",VLOOKUP(L143,precio_aislador,2,FALSE),0)</f>
        <v>2.7</v>
      </c>
      <c r="N143" s="611">
        <f t="shared" ref="N143:N149" si="96">(I143*J143*F143+K143*M143)*E143*1.67*1.25</f>
        <v>0</v>
      </c>
      <c r="O143" s="272"/>
      <c r="P143" s="281"/>
      <c r="Q143" s="272"/>
      <c r="R143" s="98"/>
      <c r="S143" s="98"/>
      <c r="T143" s="98"/>
    </row>
    <row r="144" spans="1:20" s="101" customFormat="1" ht="15.75" customHeight="1">
      <c r="A144" s="2548"/>
      <c r="B144" s="607" t="s">
        <v>4739</v>
      </c>
      <c r="C144" s="608"/>
      <c r="D144" s="294">
        <f t="shared" si="93"/>
        <v>676</v>
      </c>
      <c r="E144" s="295">
        <v>4</v>
      </c>
      <c r="F144" s="296">
        <v>1</v>
      </c>
      <c r="G144" s="297" t="s">
        <v>314</v>
      </c>
      <c r="H144" s="296" t="s">
        <v>1037</v>
      </c>
      <c r="I144" s="298"/>
      <c r="J144" s="299">
        <f t="shared" si="89"/>
        <v>26.6</v>
      </c>
      <c r="K144" s="609">
        <v>0</v>
      </c>
      <c r="L144" s="610" t="str">
        <f t="shared" si="94"/>
        <v>1/750</v>
      </c>
      <c r="M144" s="421">
        <f t="shared" si="95"/>
        <v>1.9</v>
      </c>
      <c r="N144" s="611">
        <f t="shared" si="96"/>
        <v>0</v>
      </c>
      <c r="O144" s="272"/>
      <c r="P144" s="281"/>
      <c r="Q144" s="272"/>
      <c r="R144" s="98"/>
      <c r="S144" s="98"/>
      <c r="T144" s="98"/>
    </row>
    <row r="145" spans="1:20" s="101" customFormat="1" ht="15.75" customHeight="1">
      <c r="A145" s="2548"/>
      <c r="B145" s="607" t="s">
        <v>4739</v>
      </c>
      <c r="C145" s="608"/>
      <c r="D145" s="294">
        <f t="shared" si="93"/>
        <v>676</v>
      </c>
      <c r="E145" s="295">
        <v>4</v>
      </c>
      <c r="F145" s="296">
        <v>1</v>
      </c>
      <c r="G145" s="297" t="s">
        <v>314</v>
      </c>
      <c r="H145" s="296" t="s">
        <v>1037</v>
      </c>
      <c r="I145" s="298"/>
      <c r="J145" s="299">
        <f t="shared" si="89"/>
        <v>26.6</v>
      </c>
      <c r="K145" s="609">
        <v>0</v>
      </c>
      <c r="L145" s="610" t="str">
        <f t="shared" si="94"/>
        <v>1/750</v>
      </c>
      <c r="M145" s="421">
        <f t="shared" si="95"/>
        <v>1.9</v>
      </c>
      <c r="N145" s="611">
        <f t="shared" si="96"/>
        <v>0</v>
      </c>
      <c r="O145" s="272"/>
      <c r="P145" s="281"/>
      <c r="Q145" s="272"/>
      <c r="R145" s="98"/>
      <c r="S145" s="98"/>
      <c r="T145" s="98"/>
    </row>
    <row r="146" spans="1:20" s="101" customFormat="1" ht="15.75" customHeight="1">
      <c r="A146" s="2548"/>
      <c r="B146" s="607" t="s">
        <v>4739</v>
      </c>
      <c r="C146" s="608"/>
      <c r="D146" s="294">
        <f t="shared" si="93"/>
        <v>676</v>
      </c>
      <c r="E146" s="295">
        <v>4</v>
      </c>
      <c r="F146" s="296">
        <v>1</v>
      </c>
      <c r="G146" s="297" t="s">
        <v>314</v>
      </c>
      <c r="H146" s="296" t="s">
        <v>1037</v>
      </c>
      <c r="I146" s="298"/>
      <c r="J146" s="299">
        <f t="shared" si="89"/>
        <v>26.6</v>
      </c>
      <c r="K146" s="609">
        <v>0</v>
      </c>
      <c r="L146" s="610" t="str">
        <f t="shared" si="94"/>
        <v>1/750</v>
      </c>
      <c r="M146" s="421">
        <f t="shared" si="95"/>
        <v>1.9</v>
      </c>
      <c r="N146" s="611">
        <f t="shared" si="96"/>
        <v>0</v>
      </c>
      <c r="O146" s="272"/>
      <c r="P146" s="281"/>
      <c r="Q146" s="272"/>
      <c r="R146" s="98"/>
      <c r="S146" s="98"/>
      <c r="T146" s="98"/>
    </row>
    <row r="147" spans="1:20" s="101" customFormat="1" ht="15.75" customHeight="1">
      <c r="A147" s="2548"/>
      <c r="B147" s="607" t="s">
        <v>4739</v>
      </c>
      <c r="C147" s="608"/>
      <c r="D147" s="294">
        <f t="shared" si="93"/>
        <v>676</v>
      </c>
      <c r="E147" s="295">
        <v>4</v>
      </c>
      <c r="F147" s="296">
        <v>1</v>
      </c>
      <c r="G147" s="297" t="s">
        <v>314</v>
      </c>
      <c r="H147" s="296" t="s">
        <v>1037</v>
      </c>
      <c r="I147" s="298"/>
      <c r="J147" s="299">
        <f t="shared" si="89"/>
        <v>26.6</v>
      </c>
      <c r="K147" s="609">
        <v>0</v>
      </c>
      <c r="L147" s="610" t="str">
        <f t="shared" si="94"/>
        <v>1/750</v>
      </c>
      <c r="M147" s="421">
        <f t="shared" si="95"/>
        <v>1.9</v>
      </c>
      <c r="N147" s="611">
        <f t="shared" si="96"/>
        <v>0</v>
      </c>
      <c r="O147" s="272"/>
      <c r="P147" s="281"/>
      <c r="Q147" s="272"/>
      <c r="R147" s="98"/>
      <c r="S147" s="98"/>
      <c r="T147" s="98"/>
    </row>
    <row r="148" spans="1:20" s="101" customFormat="1" ht="15.75" customHeight="1">
      <c r="A148" s="2548"/>
      <c r="B148" s="292" t="s">
        <v>801</v>
      </c>
      <c r="C148" s="608"/>
      <c r="D148" s="294">
        <f t="shared" si="93"/>
        <v>497</v>
      </c>
      <c r="E148" s="295">
        <v>1</v>
      </c>
      <c r="F148" s="296">
        <v>1</v>
      </c>
      <c r="G148" s="297" t="s">
        <v>62</v>
      </c>
      <c r="H148" s="296" t="s">
        <v>1037</v>
      </c>
      <c r="I148" s="298">
        <v>0.53</v>
      </c>
      <c r="J148" s="299">
        <f t="shared" si="89"/>
        <v>17.7</v>
      </c>
      <c r="K148" s="609">
        <v>2</v>
      </c>
      <c r="L148" s="610" t="str">
        <f t="shared" si="94"/>
        <v>-</v>
      </c>
      <c r="M148" s="421">
        <f t="shared" si="95"/>
        <v>0</v>
      </c>
      <c r="N148" s="611">
        <f t="shared" si="96"/>
        <v>19.5828375</v>
      </c>
      <c r="O148" s="272"/>
      <c r="P148" s="281"/>
      <c r="Q148" s="272"/>
      <c r="R148" s="98"/>
      <c r="S148" s="98"/>
      <c r="T148" s="98"/>
    </row>
    <row r="149" spans="1:20" s="101" customFormat="1" ht="15.75" customHeight="1" thickBot="1">
      <c r="A149" s="2549"/>
      <c r="B149" s="302" t="s">
        <v>802</v>
      </c>
      <c r="C149" s="293"/>
      <c r="D149" s="294">
        <f t="shared" si="93"/>
        <v>427</v>
      </c>
      <c r="E149" s="295">
        <v>1</v>
      </c>
      <c r="F149" s="296">
        <v>1</v>
      </c>
      <c r="G149" s="297" t="s">
        <v>62</v>
      </c>
      <c r="H149" s="296" t="s">
        <v>1038</v>
      </c>
      <c r="I149" s="298">
        <v>0.53</v>
      </c>
      <c r="J149" s="299">
        <f t="shared" si="89"/>
        <v>17.7</v>
      </c>
      <c r="K149" s="295">
        <v>0</v>
      </c>
      <c r="L149" s="300" t="str">
        <f t="shared" si="94"/>
        <v>-</v>
      </c>
      <c r="M149" s="299">
        <f t="shared" si="95"/>
        <v>0</v>
      </c>
      <c r="N149" s="291">
        <f t="shared" si="96"/>
        <v>19.5828375</v>
      </c>
      <c r="O149" s="272"/>
      <c r="P149" s="281"/>
      <c r="Q149" s="272"/>
      <c r="R149" s="98"/>
      <c r="S149" s="98"/>
      <c r="T149" s="98"/>
    </row>
    <row r="150" spans="1:20" s="123" customFormat="1" ht="22.5" customHeight="1" thickBot="1">
      <c r="A150" s="335"/>
      <c r="B150" s="337"/>
      <c r="C150" s="339"/>
      <c r="D150" s="340"/>
      <c r="E150" s="337"/>
      <c r="F150" s="337"/>
      <c r="G150" s="337"/>
      <c r="H150" s="337"/>
      <c r="I150" s="338"/>
      <c r="J150" s="338"/>
      <c r="K150" s="337"/>
      <c r="L150" s="337"/>
      <c r="M150" s="336"/>
      <c r="N150" s="612">
        <f>SUM(N141:N149)</f>
        <v>100.13111249999999</v>
      </c>
      <c r="O150" s="272"/>
      <c r="P150" s="281"/>
      <c r="Q150" s="272"/>
      <c r="R150" s="98"/>
      <c r="S150" s="98"/>
      <c r="T150" s="98"/>
    </row>
    <row r="151" spans="1:20" s="98" customFormat="1" ht="13.8" thickBot="1">
      <c r="B151" s="613"/>
      <c r="F151" s="614"/>
      <c r="G151" s="614"/>
      <c r="H151" s="614"/>
      <c r="L151" s="614"/>
      <c r="N151" s="615"/>
      <c r="P151" s="614"/>
      <c r="Q151" s="614"/>
    </row>
    <row r="152" spans="1:20" s="101" customFormat="1" ht="15.75" customHeight="1">
      <c r="A152" s="2547">
        <v>33</v>
      </c>
      <c r="B152" s="602" t="s">
        <v>2456</v>
      </c>
      <c r="C152" s="303"/>
      <c r="D152" s="304">
        <f t="shared" ref="D152" si="97">IF(H152&lt;&gt;"",VLOOKUP(G152,base_barras,IF(H152="Desnuda",2,5)+F152-1,FALSE),"-")</f>
        <v>850</v>
      </c>
      <c r="E152" s="305">
        <v>3</v>
      </c>
      <c r="F152" s="306">
        <v>1</v>
      </c>
      <c r="G152" s="307" t="s">
        <v>469</v>
      </c>
      <c r="H152" s="306" t="s">
        <v>1037</v>
      </c>
      <c r="I152" s="308">
        <v>0.25</v>
      </c>
      <c r="J152" s="309">
        <f t="shared" ref="J152:J160" si="98">IF(G152&lt;&gt;"",VLOOKUP(G152,precio_barras,9,FALSE),0)</f>
        <v>35.6</v>
      </c>
      <c r="K152" s="305">
        <v>0</v>
      </c>
      <c r="L152" s="319" t="str">
        <f t="shared" ref="L152" si="99">IF(G152&lt;&gt;"",IF(VLOOKUP(G152,base_barras,10,FALSE)&lt;&gt;"",VLOOKUP(G152,base_barras,10,FALSE),"-"),"-")</f>
        <v>1/750</v>
      </c>
      <c r="M152" s="309">
        <f t="shared" ref="M152" si="100">IF(L152&lt;&gt;"-",VLOOKUP(L152,precio_aislador,2,FALSE),0)</f>
        <v>1.9</v>
      </c>
      <c r="N152" s="334">
        <f t="shared" ref="N152" si="101">(I152*J152*F152+K152*M152)*E152*1.67*1.25</f>
        <v>55.736250000000005</v>
      </c>
      <c r="O152" s="272"/>
      <c r="P152" s="281"/>
      <c r="Q152" s="272"/>
      <c r="R152" s="98"/>
      <c r="S152" s="98"/>
      <c r="T152" s="98"/>
    </row>
    <row r="153" spans="1:20" s="101" customFormat="1" ht="13.8">
      <c r="A153" s="2548"/>
      <c r="B153" s="603" t="s">
        <v>802</v>
      </c>
      <c r="C153" s="301"/>
      <c r="D153" s="294">
        <f>IF(H153&lt;&gt;"",VLOOKUP(G153,base_barras,IF(H153="Desnuda",2,5)+F153-1,FALSE),"-")</f>
        <v>850</v>
      </c>
      <c r="E153" s="295">
        <v>3</v>
      </c>
      <c r="F153" s="296">
        <v>1</v>
      </c>
      <c r="G153" s="297" t="s">
        <v>469</v>
      </c>
      <c r="H153" s="604" t="str">
        <f>H152</f>
        <v>Pintada</v>
      </c>
      <c r="I153" s="605">
        <v>0.15</v>
      </c>
      <c r="J153" s="299">
        <f t="shared" si="98"/>
        <v>35.6</v>
      </c>
      <c r="K153" s="606">
        <v>2</v>
      </c>
      <c r="L153" s="300" t="str">
        <f>IF(G153&lt;&gt;"",IF(VLOOKUP(G153,base_barras,10,FALSE)&lt;&gt;"",VLOOKUP(G153,base_barras,10,FALSE),"-"),"-")</f>
        <v>1/750</v>
      </c>
      <c r="M153" s="299">
        <f>IF(L153&lt;&gt;"-",VLOOKUP(L153,precio_aislador,2,FALSE),0)</f>
        <v>1.9</v>
      </c>
      <c r="N153" s="291">
        <f>(I153*J153*F153+K153*M153)*E153*1.67*1.25</f>
        <v>57.239250000000006</v>
      </c>
      <c r="O153" s="272"/>
      <c r="P153" s="281"/>
      <c r="Q153" s="272"/>
      <c r="R153" s="98"/>
      <c r="S153" s="98"/>
      <c r="T153" s="98"/>
    </row>
    <row r="154" spans="1:20" s="101" customFormat="1" ht="15.75" customHeight="1">
      <c r="A154" s="2548"/>
      <c r="B154" s="607" t="s">
        <v>4738</v>
      </c>
      <c r="C154" s="608"/>
      <c r="D154" s="294">
        <f t="shared" ref="D154:D160" si="102">IF(H154&lt;&gt;"",VLOOKUP(G154,base_barras,IF(H154="Desnuda",2,5)+F154-1,FALSE),"-")</f>
        <v>2410</v>
      </c>
      <c r="E154" s="295">
        <v>3</v>
      </c>
      <c r="F154" s="296">
        <v>2</v>
      </c>
      <c r="G154" s="297" t="s">
        <v>582</v>
      </c>
      <c r="H154" s="296" t="s">
        <v>1037</v>
      </c>
      <c r="I154" s="298"/>
      <c r="J154" s="299">
        <f t="shared" si="98"/>
        <v>71.100000000000009</v>
      </c>
      <c r="K154" s="609">
        <v>0</v>
      </c>
      <c r="L154" s="610" t="str">
        <f t="shared" ref="L154:L160" si="103">IF(G154&lt;&gt;"",IF(VLOOKUP(G154,base_barras,10,FALSE)&lt;&gt;"",VLOOKUP(G154,base_barras,10,FALSE),"-"),"-")</f>
        <v>1/1000</v>
      </c>
      <c r="M154" s="421">
        <f t="shared" ref="M154:M160" si="104">IF(L154&lt;&gt;"-",VLOOKUP(L154,precio_aislador,2,FALSE),0)</f>
        <v>2.7</v>
      </c>
      <c r="N154" s="611">
        <f t="shared" ref="N154:N160" si="105">(I154*J154*F154+K154*M154)*E154*1.67*1.25</f>
        <v>0</v>
      </c>
      <c r="O154" s="272"/>
      <c r="P154" s="281"/>
      <c r="Q154" s="272"/>
      <c r="R154" s="98"/>
      <c r="S154" s="98"/>
      <c r="T154" s="98"/>
    </row>
    <row r="155" spans="1:20" s="101" customFormat="1" ht="15.75" customHeight="1">
      <c r="A155" s="2548"/>
      <c r="B155" s="607" t="s">
        <v>4739</v>
      </c>
      <c r="C155" s="608"/>
      <c r="D155" s="294">
        <f t="shared" si="102"/>
        <v>676</v>
      </c>
      <c r="E155" s="295">
        <v>4</v>
      </c>
      <c r="F155" s="296">
        <v>1</v>
      </c>
      <c r="G155" s="297" t="s">
        <v>314</v>
      </c>
      <c r="H155" s="296" t="s">
        <v>1037</v>
      </c>
      <c r="I155" s="298"/>
      <c r="J155" s="299">
        <f t="shared" si="98"/>
        <v>26.6</v>
      </c>
      <c r="K155" s="609">
        <v>0</v>
      </c>
      <c r="L155" s="610" t="str">
        <f t="shared" si="103"/>
        <v>1/750</v>
      </c>
      <c r="M155" s="421">
        <f t="shared" si="104"/>
        <v>1.9</v>
      </c>
      <c r="N155" s="611">
        <f t="shared" si="105"/>
        <v>0</v>
      </c>
      <c r="O155" s="272"/>
      <c r="P155" s="281"/>
      <c r="Q155" s="272"/>
      <c r="R155" s="98"/>
      <c r="S155" s="98"/>
      <c r="T155" s="98"/>
    </row>
    <row r="156" spans="1:20" s="101" customFormat="1" ht="15.75" customHeight="1">
      <c r="A156" s="2548"/>
      <c r="B156" s="607" t="s">
        <v>4739</v>
      </c>
      <c r="C156" s="608"/>
      <c r="D156" s="294">
        <f t="shared" si="102"/>
        <v>676</v>
      </c>
      <c r="E156" s="295">
        <v>4</v>
      </c>
      <c r="F156" s="296">
        <v>1</v>
      </c>
      <c r="G156" s="297" t="s">
        <v>314</v>
      </c>
      <c r="H156" s="296" t="s">
        <v>1037</v>
      </c>
      <c r="I156" s="298"/>
      <c r="J156" s="299">
        <f t="shared" si="98"/>
        <v>26.6</v>
      </c>
      <c r="K156" s="609">
        <v>0</v>
      </c>
      <c r="L156" s="610" t="str">
        <f t="shared" si="103"/>
        <v>1/750</v>
      </c>
      <c r="M156" s="421">
        <f t="shared" si="104"/>
        <v>1.9</v>
      </c>
      <c r="N156" s="611">
        <f t="shared" si="105"/>
        <v>0</v>
      </c>
      <c r="O156" s="272"/>
      <c r="P156" s="281"/>
      <c r="Q156" s="272"/>
      <c r="R156" s="98"/>
      <c r="S156" s="98"/>
      <c r="T156" s="98"/>
    </row>
    <row r="157" spans="1:20" s="101" customFormat="1" ht="15.75" customHeight="1">
      <c r="A157" s="2548"/>
      <c r="B157" s="607" t="s">
        <v>4739</v>
      </c>
      <c r="C157" s="608"/>
      <c r="D157" s="294">
        <f t="shared" si="102"/>
        <v>676</v>
      </c>
      <c r="E157" s="295">
        <v>4</v>
      </c>
      <c r="F157" s="296">
        <v>1</v>
      </c>
      <c r="G157" s="297" t="s">
        <v>314</v>
      </c>
      <c r="H157" s="296" t="s">
        <v>1037</v>
      </c>
      <c r="I157" s="298"/>
      <c r="J157" s="299">
        <f t="shared" si="98"/>
        <v>26.6</v>
      </c>
      <c r="K157" s="609">
        <v>0</v>
      </c>
      <c r="L157" s="610" t="str">
        <f t="shared" si="103"/>
        <v>1/750</v>
      </c>
      <c r="M157" s="421">
        <f t="shared" si="104"/>
        <v>1.9</v>
      </c>
      <c r="N157" s="611">
        <f t="shared" si="105"/>
        <v>0</v>
      </c>
      <c r="O157" s="272"/>
      <c r="P157" s="281"/>
      <c r="Q157" s="272"/>
      <c r="R157" s="98"/>
      <c r="S157" s="98"/>
      <c r="T157" s="98"/>
    </row>
    <row r="158" spans="1:20" s="101" customFormat="1" ht="15.75" customHeight="1">
      <c r="A158" s="2548"/>
      <c r="B158" s="607" t="s">
        <v>4739</v>
      </c>
      <c r="C158" s="608"/>
      <c r="D158" s="294">
        <f t="shared" si="102"/>
        <v>676</v>
      </c>
      <c r="E158" s="295">
        <v>4</v>
      </c>
      <c r="F158" s="296">
        <v>1</v>
      </c>
      <c r="G158" s="297" t="s">
        <v>314</v>
      </c>
      <c r="H158" s="296" t="s">
        <v>1037</v>
      </c>
      <c r="I158" s="298"/>
      <c r="J158" s="299">
        <f t="shared" si="98"/>
        <v>26.6</v>
      </c>
      <c r="K158" s="609">
        <v>0</v>
      </c>
      <c r="L158" s="610" t="str">
        <f t="shared" si="103"/>
        <v>1/750</v>
      </c>
      <c r="M158" s="421">
        <f t="shared" si="104"/>
        <v>1.9</v>
      </c>
      <c r="N158" s="611">
        <f t="shared" si="105"/>
        <v>0</v>
      </c>
      <c r="O158" s="272"/>
      <c r="P158" s="281"/>
      <c r="Q158" s="272"/>
      <c r="R158" s="98"/>
      <c r="S158" s="98"/>
      <c r="T158" s="98"/>
    </row>
    <row r="159" spans="1:20" s="101" customFormat="1" ht="15.75" customHeight="1">
      <c r="A159" s="2548"/>
      <c r="B159" s="292" t="s">
        <v>801</v>
      </c>
      <c r="C159" s="608"/>
      <c r="D159" s="294">
        <f t="shared" si="102"/>
        <v>850</v>
      </c>
      <c r="E159" s="295">
        <v>1</v>
      </c>
      <c r="F159" s="296">
        <v>1</v>
      </c>
      <c r="G159" s="297" t="s">
        <v>469</v>
      </c>
      <c r="H159" s="296" t="s">
        <v>1037</v>
      </c>
      <c r="I159" s="298">
        <v>0.53</v>
      </c>
      <c r="J159" s="299">
        <f t="shared" si="98"/>
        <v>35.6</v>
      </c>
      <c r="K159" s="609">
        <v>2</v>
      </c>
      <c r="L159" s="610" t="str">
        <f t="shared" si="103"/>
        <v>1/750</v>
      </c>
      <c r="M159" s="421">
        <f t="shared" si="104"/>
        <v>1.9</v>
      </c>
      <c r="N159" s="611">
        <f t="shared" si="105"/>
        <v>47.319450000000003</v>
      </c>
      <c r="O159" s="272"/>
      <c r="P159" s="281"/>
      <c r="Q159" s="272"/>
      <c r="R159" s="98"/>
      <c r="S159" s="98"/>
      <c r="T159" s="98"/>
    </row>
    <row r="160" spans="1:20" s="101" customFormat="1" ht="15.75" customHeight="1" thickBot="1">
      <c r="A160" s="2549"/>
      <c r="B160" s="302" t="s">
        <v>802</v>
      </c>
      <c r="C160" s="293"/>
      <c r="D160" s="294">
        <f t="shared" si="102"/>
        <v>715</v>
      </c>
      <c r="E160" s="295">
        <v>1</v>
      </c>
      <c r="F160" s="296">
        <v>1</v>
      </c>
      <c r="G160" s="297" t="s">
        <v>469</v>
      </c>
      <c r="H160" s="296" t="s">
        <v>1038</v>
      </c>
      <c r="I160" s="298">
        <v>0.53</v>
      </c>
      <c r="J160" s="299">
        <f t="shared" si="98"/>
        <v>35.6</v>
      </c>
      <c r="K160" s="295">
        <v>0</v>
      </c>
      <c r="L160" s="300" t="str">
        <f t="shared" si="103"/>
        <v>1/750</v>
      </c>
      <c r="M160" s="299">
        <f t="shared" si="104"/>
        <v>1.9</v>
      </c>
      <c r="N160" s="291">
        <f t="shared" si="105"/>
        <v>39.386949999999999</v>
      </c>
      <c r="O160" s="272"/>
      <c r="P160" s="281"/>
      <c r="Q160" s="272"/>
      <c r="R160" s="98"/>
      <c r="S160" s="98"/>
      <c r="T160" s="98"/>
    </row>
    <row r="161" spans="1:20" s="123" customFormat="1" ht="22.5" customHeight="1" thickBot="1">
      <c r="A161" s="335"/>
      <c r="B161" s="337"/>
      <c r="C161" s="339"/>
      <c r="D161" s="340"/>
      <c r="E161" s="337"/>
      <c r="F161" s="337"/>
      <c r="G161" s="337"/>
      <c r="H161" s="337"/>
      <c r="I161" s="338"/>
      <c r="J161" s="338"/>
      <c r="K161" s="337"/>
      <c r="L161" s="337"/>
      <c r="M161" s="336"/>
      <c r="N161" s="612">
        <f>SUM(N152:N160)</f>
        <v>199.68190000000004</v>
      </c>
      <c r="O161" s="272"/>
      <c r="P161" s="281"/>
      <c r="Q161" s="272"/>
      <c r="R161" s="98"/>
      <c r="S161" s="98"/>
      <c r="T161" s="98"/>
    </row>
    <row r="162" spans="1:20" s="98" customFormat="1">
      <c r="B162" s="613"/>
      <c r="F162" s="614"/>
      <c r="G162" s="614"/>
      <c r="H162" s="614"/>
      <c r="L162" s="614"/>
      <c r="N162" s="615"/>
      <c r="P162" s="614"/>
      <c r="Q162" s="614"/>
    </row>
    <row r="163" spans="1:20" s="98" customFormat="1">
      <c r="B163" s="613"/>
      <c r="F163" s="614"/>
      <c r="G163" s="614"/>
      <c r="H163" s="614"/>
      <c r="L163" s="614"/>
      <c r="N163" s="615"/>
      <c r="P163" s="614"/>
      <c r="Q163" s="614"/>
    </row>
    <row r="164" spans="1:20" s="98" customFormat="1" ht="13.8" thickBot="1">
      <c r="B164" s="613"/>
      <c r="F164" s="614"/>
      <c r="G164" s="614"/>
      <c r="H164" s="614"/>
      <c r="L164" s="614"/>
      <c r="N164" s="615"/>
      <c r="P164" s="614"/>
      <c r="Q164" s="614"/>
    </row>
    <row r="165" spans="1:20" s="101" customFormat="1" ht="15.75" customHeight="1">
      <c r="A165" s="2547">
        <v>35</v>
      </c>
      <c r="B165" s="602" t="s">
        <v>2456</v>
      </c>
      <c r="C165" s="303"/>
      <c r="D165" s="304">
        <f t="shared" ref="D165" si="106">IF(H165&lt;&gt;"",VLOOKUP(G165,base_barras,IF(H165="Desnuda",2,5)+F165-1,FALSE),"-")</f>
        <v>497</v>
      </c>
      <c r="E165" s="305">
        <v>3</v>
      </c>
      <c r="F165" s="306">
        <v>1</v>
      </c>
      <c r="G165" s="307" t="s">
        <v>62</v>
      </c>
      <c r="H165" s="306" t="s">
        <v>1037</v>
      </c>
      <c r="I165" s="308">
        <v>0.25</v>
      </c>
      <c r="J165" s="309">
        <f t="shared" ref="J165:J173" si="107">IF(G165&lt;&gt;"",VLOOKUP(G165,precio_barras,9,FALSE),0)</f>
        <v>17.7</v>
      </c>
      <c r="K165" s="305">
        <v>0</v>
      </c>
      <c r="L165" s="319" t="str">
        <f t="shared" ref="L165" si="108">IF(G165&lt;&gt;"",IF(VLOOKUP(G165,base_barras,10,FALSE)&lt;&gt;"",VLOOKUP(G165,base_barras,10,FALSE),"-"),"-")</f>
        <v>-</v>
      </c>
      <c r="M165" s="309">
        <f t="shared" ref="M165" si="109">IF(L165&lt;&gt;"-",VLOOKUP(L165,precio_aislador,2,FALSE),0)</f>
        <v>0</v>
      </c>
      <c r="N165" s="334">
        <f t="shared" ref="N165" si="110">(I165*J165*F165+K165*M165)*E165*1.67*1.25</f>
        <v>27.711562499999999</v>
      </c>
      <c r="O165" s="272"/>
      <c r="P165" s="281"/>
      <c r="Q165" s="272"/>
      <c r="R165" s="98"/>
      <c r="S165" s="98"/>
      <c r="T165" s="98"/>
    </row>
    <row r="166" spans="1:20" s="101" customFormat="1" ht="13.8">
      <c r="A166" s="2548"/>
      <c r="B166" s="603" t="s">
        <v>802</v>
      </c>
      <c r="C166" s="301"/>
      <c r="D166" s="294">
        <f>IF(H166&lt;&gt;"",VLOOKUP(G166,base_barras,IF(H166="Desnuda",2,5)+F166-1,FALSE),"-")</f>
        <v>497</v>
      </c>
      <c r="E166" s="295">
        <v>3</v>
      </c>
      <c r="F166" s="296">
        <v>1</v>
      </c>
      <c r="G166" s="297" t="s">
        <v>62</v>
      </c>
      <c r="H166" s="604" t="str">
        <f>H165</f>
        <v>Pintada</v>
      </c>
      <c r="I166" s="605">
        <v>0.25</v>
      </c>
      <c r="J166" s="299">
        <f t="shared" si="107"/>
        <v>17.7</v>
      </c>
      <c r="K166" s="606">
        <v>2</v>
      </c>
      <c r="L166" s="300" t="str">
        <f>IF(G166&lt;&gt;"",IF(VLOOKUP(G166,base_barras,10,FALSE)&lt;&gt;"",VLOOKUP(G166,base_barras,10,FALSE),"-"),"-")</f>
        <v>-</v>
      </c>
      <c r="M166" s="299">
        <f>IF(L166&lt;&gt;"-",VLOOKUP(L166,precio_aislador,2,FALSE),0)</f>
        <v>0</v>
      </c>
      <c r="N166" s="291">
        <f>(I166*J166*F166+K166*M166)*E166*1.67*1.25</f>
        <v>27.711562499999999</v>
      </c>
      <c r="O166" s="272"/>
      <c r="P166" s="281"/>
      <c r="Q166" s="272"/>
      <c r="R166" s="98"/>
      <c r="S166" s="98"/>
      <c r="T166" s="98"/>
    </row>
    <row r="167" spans="1:20" s="101" customFormat="1" ht="15.75" customHeight="1">
      <c r="A167" s="2548"/>
      <c r="B167" s="607" t="s">
        <v>4738</v>
      </c>
      <c r="C167" s="608"/>
      <c r="D167" s="294">
        <f t="shared" ref="D167:D173" si="111">IF(H167&lt;&gt;"",VLOOKUP(G167,base_barras,IF(H167="Desnuda",2,5)+F167-1,FALSE),"-")</f>
        <v>1500</v>
      </c>
      <c r="E167" s="295">
        <v>3</v>
      </c>
      <c r="F167" s="296">
        <v>1</v>
      </c>
      <c r="G167" s="297" t="s">
        <v>582</v>
      </c>
      <c r="H167" s="296" t="s">
        <v>1037</v>
      </c>
      <c r="I167" s="298"/>
      <c r="J167" s="299">
        <f t="shared" si="107"/>
        <v>71.100000000000009</v>
      </c>
      <c r="K167" s="609">
        <v>0</v>
      </c>
      <c r="L167" s="610" t="str">
        <f t="shared" ref="L167:L173" si="112">IF(G167&lt;&gt;"",IF(VLOOKUP(G167,base_barras,10,FALSE)&lt;&gt;"",VLOOKUP(G167,base_barras,10,FALSE),"-"),"-")</f>
        <v>1/1000</v>
      </c>
      <c r="M167" s="421">
        <f t="shared" ref="M167:M173" si="113">IF(L167&lt;&gt;"-",VLOOKUP(L167,precio_aislador,2,FALSE),0)</f>
        <v>2.7</v>
      </c>
      <c r="N167" s="611">
        <f t="shared" ref="N167:N173" si="114">(I167*J167*F167+K167*M167)*E167*1.67*1.25</f>
        <v>0</v>
      </c>
      <c r="O167" s="272"/>
      <c r="P167" s="281"/>
      <c r="Q167" s="272"/>
      <c r="R167" s="98"/>
      <c r="S167" s="98"/>
      <c r="T167" s="98"/>
    </row>
    <row r="168" spans="1:20" s="101" customFormat="1" ht="15.75" customHeight="1">
      <c r="A168" s="2548"/>
      <c r="B168" s="607" t="s">
        <v>4739</v>
      </c>
      <c r="C168" s="608"/>
      <c r="D168" s="294">
        <f t="shared" si="111"/>
        <v>676</v>
      </c>
      <c r="E168" s="295">
        <v>4</v>
      </c>
      <c r="F168" s="296">
        <v>1</v>
      </c>
      <c r="G168" s="297" t="s">
        <v>314</v>
      </c>
      <c r="H168" s="296" t="s">
        <v>1037</v>
      </c>
      <c r="I168" s="298"/>
      <c r="J168" s="299">
        <f t="shared" si="107"/>
        <v>26.6</v>
      </c>
      <c r="K168" s="609">
        <v>0</v>
      </c>
      <c r="L168" s="610" t="str">
        <f t="shared" si="112"/>
        <v>1/750</v>
      </c>
      <c r="M168" s="421">
        <f t="shared" si="113"/>
        <v>1.9</v>
      </c>
      <c r="N168" s="611">
        <f t="shared" si="114"/>
        <v>0</v>
      </c>
      <c r="O168" s="272"/>
      <c r="P168" s="281"/>
      <c r="Q168" s="272"/>
      <c r="R168" s="98"/>
      <c r="S168" s="98"/>
      <c r="T168" s="98"/>
    </row>
    <row r="169" spans="1:20" s="101" customFormat="1" ht="15.75" customHeight="1">
      <c r="A169" s="2548"/>
      <c r="B169" s="607" t="s">
        <v>4739</v>
      </c>
      <c r="C169" s="608"/>
      <c r="D169" s="294">
        <f t="shared" si="111"/>
        <v>676</v>
      </c>
      <c r="E169" s="295">
        <v>4</v>
      </c>
      <c r="F169" s="296">
        <v>1</v>
      </c>
      <c r="G169" s="297" t="s">
        <v>314</v>
      </c>
      <c r="H169" s="296" t="s">
        <v>1037</v>
      </c>
      <c r="I169" s="298"/>
      <c r="J169" s="299">
        <f t="shared" si="107"/>
        <v>26.6</v>
      </c>
      <c r="K169" s="609">
        <v>0</v>
      </c>
      <c r="L169" s="610" t="str">
        <f t="shared" si="112"/>
        <v>1/750</v>
      </c>
      <c r="M169" s="421">
        <f t="shared" si="113"/>
        <v>1.9</v>
      </c>
      <c r="N169" s="611">
        <f t="shared" si="114"/>
        <v>0</v>
      </c>
      <c r="O169" s="272"/>
      <c r="P169" s="281"/>
      <c r="Q169" s="272"/>
      <c r="R169" s="98"/>
      <c r="S169" s="98"/>
      <c r="T169" s="98"/>
    </row>
    <row r="170" spans="1:20" s="101" customFormat="1" ht="15.75" customHeight="1">
      <c r="A170" s="2548"/>
      <c r="B170" s="607" t="s">
        <v>4739</v>
      </c>
      <c r="C170" s="608"/>
      <c r="D170" s="294">
        <f t="shared" si="111"/>
        <v>676</v>
      </c>
      <c r="E170" s="295">
        <v>4</v>
      </c>
      <c r="F170" s="296">
        <v>1</v>
      </c>
      <c r="G170" s="297" t="s">
        <v>314</v>
      </c>
      <c r="H170" s="296" t="s">
        <v>1037</v>
      </c>
      <c r="I170" s="298"/>
      <c r="J170" s="299">
        <f t="shared" si="107"/>
        <v>26.6</v>
      </c>
      <c r="K170" s="609">
        <v>0</v>
      </c>
      <c r="L170" s="610" t="str">
        <f t="shared" si="112"/>
        <v>1/750</v>
      </c>
      <c r="M170" s="421">
        <f t="shared" si="113"/>
        <v>1.9</v>
      </c>
      <c r="N170" s="611">
        <f t="shared" si="114"/>
        <v>0</v>
      </c>
      <c r="O170" s="272"/>
      <c r="P170" s="281"/>
      <c r="Q170" s="272"/>
      <c r="R170" s="98"/>
      <c r="S170" s="98"/>
      <c r="T170" s="98"/>
    </row>
    <row r="171" spans="1:20" s="101" customFormat="1" ht="15.75" customHeight="1">
      <c r="A171" s="2548"/>
      <c r="B171" s="607" t="s">
        <v>4739</v>
      </c>
      <c r="C171" s="608"/>
      <c r="D171" s="294">
        <f t="shared" si="111"/>
        <v>676</v>
      </c>
      <c r="E171" s="295">
        <v>4</v>
      </c>
      <c r="F171" s="296">
        <v>1</v>
      </c>
      <c r="G171" s="297" t="s">
        <v>314</v>
      </c>
      <c r="H171" s="296" t="s">
        <v>1037</v>
      </c>
      <c r="I171" s="298"/>
      <c r="J171" s="299">
        <f t="shared" si="107"/>
        <v>26.6</v>
      </c>
      <c r="K171" s="609">
        <v>0</v>
      </c>
      <c r="L171" s="610" t="str">
        <f t="shared" si="112"/>
        <v>1/750</v>
      </c>
      <c r="M171" s="421">
        <f t="shared" si="113"/>
        <v>1.9</v>
      </c>
      <c r="N171" s="611">
        <f t="shared" si="114"/>
        <v>0</v>
      </c>
      <c r="O171" s="272"/>
      <c r="P171" s="281"/>
      <c r="Q171" s="272"/>
      <c r="R171" s="98"/>
      <c r="S171" s="98"/>
      <c r="T171" s="98"/>
    </row>
    <row r="172" spans="1:20" s="101" customFormat="1" ht="15.75" customHeight="1">
      <c r="A172" s="2548"/>
      <c r="B172" s="292" t="s">
        <v>801</v>
      </c>
      <c r="C172" s="608"/>
      <c r="D172" s="294">
        <f t="shared" si="111"/>
        <v>497</v>
      </c>
      <c r="E172" s="295">
        <v>1</v>
      </c>
      <c r="F172" s="296">
        <v>1</v>
      </c>
      <c r="G172" s="297" t="s">
        <v>62</v>
      </c>
      <c r="H172" s="296" t="s">
        <v>1037</v>
      </c>
      <c r="I172" s="298">
        <v>0.53</v>
      </c>
      <c r="J172" s="299">
        <f t="shared" si="107"/>
        <v>17.7</v>
      </c>
      <c r="K172" s="609">
        <v>2</v>
      </c>
      <c r="L172" s="610" t="str">
        <f t="shared" si="112"/>
        <v>-</v>
      </c>
      <c r="M172" s="421">
        <f t="shared" si="113"/>
        <v>0</v>
      </c>
      <c r="N172" s="611">
        <f t="shared" si="114"/>
        <v>19.5828375</v>
      </c>
      <c r="O172" s="272"/>
      <c r="P172" s="281"/>
      <c r="Q172" s="272"/>
      <c r="R172" s="98"/>
      <c r="S172" s="98"/>
      <c r="T172" s="98"/>
    </row>
    <row r="173" spans="1:20" s="101" customFormat="1" ht="15.75" customHeight="1" thickBot="1">
      <c r="A173" s="2549"/>
      <c r="B173" s="302" t="s">
        <v>802</v>
      </c>
      <c r="C173" s="293"/>
      <c r="D173" s="294">
        <f t="shared" si="111"/>
        <v>427</v>
      </c>
      <c r="E173" s="295">
        <v>1</v>
      </c>
      <c r="F173" s="296">
        <v>1</v>
      </c>
      <c r="G173" s="297" t="s">
        <v>62</v>
      </c>
      <c r="H173" s="296" t="s">
        <v>1038</v>
      </c>
      <c r="I173" s="298">
        <v>0.53</v>
      </c>
      <c r="J173" s="299">
        <f t="shared" si="107"/>
        <v>17.7</v>
      </c>
      <c r="K173" s="295">
        <v>0</v>
      </c>
      <c r="L173" s="300" t="str">
        <f t="shared" si="112"/>
        <v>-</v>
      </c>
      <c r="M173" s="299">
        <f t="shared" si="113"/>
        <v>0</v>
      </c>
      <c r="N173" s="291">
        <f t="shared" si="114"/>
        <v>19.5828375</v>
      </c>
      <c r="O173" s="272"/>
      <c r="P173" s="281"/>
      <c r="Q173" s="272"/>
      <c r="R173" s="98"/>
      <c r="S173" s="98"/>
      <c r="T173" s="98"/>
    </row>
    <row r="174" spans="1:20" s="123" customFormat="1" ht="22.5" customHeight="1" thickBot="1">
      <c r="A174" s="335"/>
      <c r="B174" s="337"/>
      <c r="C174" s="339"/>
      <c r="D174" s="340"/>
      <c r="E174" s="337"/>
      <c r="F174" s="337"/>
      <c r="G174" s="337"/>
      <c r="H174" s="337"/>
      <c r="I174" s="338"/>
      <c r="J174" s="338"/>
      <c r="K174" s="337"/>
      <c r="L174" s="337"/>
      <c r="M174" s="336"/>
      <c r="N174" s="612">
        <f>SUM(N165:N173)</f>
        <v>94.588799999999992</v>
      </c>
      <c r="O174" s="272"/>
      <c r="P174" s="281"/>
      <c r="Q174" s="272"/>
      <c r="R174" s="98"/>
      <c r="S174" s="98"/>
      <c r="T174" s="98"/>
    </row>
    <row r="175" spans="1:20" s="98" customFormat="1">
      <c r="B175" s="613"/>
      <c r="F175" s="614"/>
      <c r="G175" s="614"/>
      <c r="H175" s="614"/>
      <c r="L175" s="614"/>
      <c r="N175" s="615"/>
      <c r="P175" s="614"/>
      <c r="Q175" s="614"/>
    </row>
    <row r="176" spans="1:20" s="98" customFormat="1" ht="13.8" thickBot="1">
      <c r="B176" s="613"/>
      <c r="F176" s="614"/>
      <c r="G176" s="614"/>
      <c r="H176" s="614"/>
      <c r="L176" s="614"/>
      <c r="N176" s="615"/>
      <c r="P176" s="614"/>
      <c r="Q176" s="614"/>
    </row>
    <row r="177" spans="1:20" s="101" customFormat="1" ht="15.75" customHeight="1">
      <c r="A177" s="2547">
        <v>38</v>
      </c>
      <c r="B177" s="602" t="s">
        <v>2456</v>
      </c>
      <c r="C177" s="303"/>
      <c r="D177" s="304">
        <f t="shared" ref="D177" si="115">IF(H177&lt;&gt;"",VLOOKUP(G177,base_barras,IF(H177="Desnuda",2,5)+F177-1,FALSE),"-")</f>
        <v>497</v>
      </c>
      <c r="E177" s="305">
        <v>3</v>
      </c>
      <c r="F177" s="306">
        <v>1</v>
      </c>
      <c r="G177" s="307" t="s">
        <v>62</v>
      </c>
      <c r="H177" s="306" t="s">
        <v>1037</v>
      </c>
      <c r="I177" s="308">
        <v>0.25</v>
      </c>
      <c r="J177" s="309">
        <f t="shared" ref="J177:J185" si="116">IF(G177&lt;&gt;"",VLOOKUP(G177,precio_barras,9,FALSE),0)</f>
        <v>17.7</v>
      </c>
      <c r="K177" s="305">
        <v>0</v>
      </c>
      <c r="L177" s="319" t="str">
        <f t="shared" ref="L177" si="117">IF(G177&lt;&gt;"",IF(VLOOKUP(G177,base_barras,10,FALSE)&lt;&gt;"",VLOOKUP(G177,base_barras,10,FALSE),"-"),"-")</f>
        <v>-</v>
      </c>
      <c r="M177" s="309">
        <f t="shared" ref="M177" si="118">IF(L177&lt;&gt;"-",VLOOKUP(L177,precio_aislador,2,FALSE),0)</f>
        <v>0</v>
      </c>
      <c r="N177" s="334">
        <f t="shared" ref="N177" si="119">(I177*J177*F177+K177*M177)*E177*1.67*1.25</f>
        <v>27.711562499999999</v>
      </c>
      <c r="O177" s="272"/>
      <c r="P177" s="281"/>
      <c r="Q177" s="272"/>
      <c r="R177" s="98"/>
      <c r="S177" s="98"/>
      <c r="T177" s="98"/>
    </row>
    <row r="178" spans="1:20" s="101" customFormat="1" ht="13.8">
      <c r="A178" s="2548"/>
      <c r="B178" s="603" t="s">
        <v>802</v>
      </c>
      <c r="C178" s="301"/>
      <c r="D178" s="294">
        <f>IF(H178&lt;&gt;"",VLOOKUP(G178,base_barras,IF(H178="Desnuda",2,5)+F178-1,FALSE),"-")</f>
        <v>497</v>
      </c>
      <c r="E178" s="295">
        <v>3</v>
      </c>
      <c r="F178" s="296">
        <v>1</v>
      </c>
      <c r="G178" s="297" t="s">
        <v>62</v>
      </c>
      <c r="H178" s="604" t="str">
        <f>H177</f>
        <v>Pintada</v>
      </c>
      <c r="I178" s="605">
        <v>0.3</v>
      </c>
      <c r="J178" s="299">
        <f t="shared" si="116"/>
        <v>17.7</v>
      </c>
      <c r="K178" s="606">
        <v>2</v>
      </c>
      <c r="L178" s="300" t="str">
        <f>IF(G178&lt;&gt;"",IF(VLOOKUP(G178,base_barras,10,FALSE)&lt;&gt;"",VLOOKUP(G178,base_barras,10,FALSE),"-"),"-")</f>
        <v>-</v>
      </c>
      <c r="M178" s="299">
        <f>IF(L178&lt;&gt;"-",VLOOKUP(L178,precio_aislador,2,FALSE),0)</f>
        <v>0</v>
      </c>
      <c r="N178" s="291">
        <f>(I178*J178*F178+K178*M178)*E178*1.67*1.25</f>
        <v>33.253874999999994</v>
      </c>
      <c r="O178" s="272"/>
      <c r="P178" s="281"/>
      <c r="Q178" s="272"/>
      <c r="R178" s="98"/>
      <c r="S178" s="98"/>
      <c r="T178" s="98"/>
    </row>
    <row r="179" spans="1:20" s="101" customFormat="1" ht="15.75" customHeight="1">
      <c r="A179" s="2548"/>
      <c r="B179" s="607" t="s">
        <v>4738</v>
      </c>
      <c r="C179" s="608"/>
      <c r="D179" s="294">
        <f t="shared" ref="D179:D185" si="120">IF(H179&lt;&gt;"",VLOOKUP(G179,base_barras,IF(H179="Desnuda",2,5)+F179-1,FALSE),"-")</f>
        <v>1500</v>
      </c>
      <c r="E179" s="295">
        <v>3</v>
      </c>
      <c r="F179" s="296">
        <v>1</v>
      </c>
      <c r="G179" s="297" t="s">
        <v>582</v>
      </c>
      <c r="H179" s="296" t="s">
        <v>1037</v>
      </c>
      <c r="I179" s="298"/>
      <c r="J179" s="299">
        <f t="shared" si="116"/>
        <v>71.100000000000009</v>
      </c>
      <c r="K179" s="609">
        <v>0</v>
      </c>
      <c r="L179" s="610" t="str">
        <f t="shared" ref="L179:L185" si="121">IF(G179&lt;&gt;"",IF(VLOOKUP(G179,base_barras,10,FALSE)&lt;&gt;"",VLOOKUP(G179,base_barras,10,FALSE),"-"),"-")</f>
        <v>1/1000</v>
      </c>
      <c r="M179" s="421">
        <f t="shared" ref="M179:M185" si="122">IF(L179&lt;&gt;"-",VLOOKUP(L179,precio_aislador,2,FALSE),0)</f>
        <v>2.7</v>
      </c>
      <c r="N179" s="611">
        <f t="shared" ref="N179:N185" si="123">(I179*J179*F179+K179*M179)*E179*1.67*1.25</f>
        <v>0</v>
      </c>
      <c r="O179" s="272"/>
      <c r="P179" s="281"/>
      <c r="Q179" s="272"/>
      <c r="R179" s="98"/>
      <c r="S179" s="98"/>
      <c r="T179" s="98"/>
    </row>
    <row r="180" spans="1:20" s="101" customFormat="1" ht="15.75" customHeight="1">
      <c r="A180" s="2548"/>
      <c r="B180" s="607" t="s">
        <v>4739</v>
      </c>
      <c r="C180" s="608"/>
      <c r="D180" s="294">
        <f t="shared" si="120"/>
        <v>676</v>
      </c>
      <c r="E180" s="295">
        <v>4</v>
      </c>
      <c r="F180" s="296">
        <v>1</v>
      </c>
      <c r="G180" s="297" t="s">
        <v>314</v>
      </c>
      <c r="H180" s="296" t="s">
        <v>1037</v>
      </c>
      <c r="I180" s="298"/>
      <c r="J180" s="299">
        <f t="shared" si="116"/>
        <v>26.6</v>
      </c>
      <c r="K180" s="609">
        <v>0</v>
      </c>
      <c r="L180" s="610" t="str">
        <f t="shared" si="121"/>
        <v>1/750</v>
      </c>
      <c r="M180" s="421">
        <f t="shared" si="122"/>
        <v>1.9</v>
      </c>
      <c r="N180" s="611">
        <f t="shared" si="123"/>
        <v>0</v>
      </c>
      <c r="O180" s="272"/>
      <c r="P180" s="281"/>
      <c r="Q180" s="272"/>
      <c r="R180" s="98"/>
      <c r="S180" s="98"/>
      <c r="T180" s="98"/>
    </row>
    <row r="181" spans="1:20" s="101" customFormat="1" ht="15.75" customHeight="1">
      <c r="A181" s="2548"/>
      <c r="B181" s="607" t="s">
        <v>4739</v>
      </c>
      <c r="C181" s="608"/>
      <c r="D181" s="294">
        <f t="shared" si="120"/>
        <v>676</v>
      </c>
      <c r="E181" s="295">
        <v>4</v>
      </c>
      <c r="F181" s="296">
        <v>1</v>
      </c>
      <c r="G181" s="297" t="s">
        <v>314</v>
      </c>
      <c r="H181" s="296" t="s">
        <v>1037</v>
      </c>
      <c r="I181" s="298"/>
      <c r="J181" s="299">
        <f t="shared" si="116"/>
        <v>26.6</v>
      </c>
      <c r="K181" s="609">
        <v>0</v>
      </c>
      <c r="L181" s="610" t="str">
        <f t="shared" si="121"/>
        <v>1/750</v>
      </c>
      <c r="M181" s="421">
        <f t="shared" si="122"/>
        <v>1.9</v>
      </c>
      <c r="N181" s="611">
        <f t="shared" si="123"/>
        <v>0</v>
      </c>
      <c r="O181" s="272"/>
      <c r="P181" s="281"/>
      <c r="Q181" s="272"/>
      <c r="R181" s="98"/>
      <c r="S181" s="98"/>
      <c r="T181" s="98"/>
    </row>
    <row r="182" spans="1:20" s="101" customFormat="1" ht="15.75" customHeight="1">
      <c r="A182" s="2548"/>
      <c r="B182" s="607" t="s">
        <v>4739</v>
      </c>
      <c r="C182" s="608"/>
      <c r="D182" s="294">
        <f t="shared" si="120"/>
        <v>676</v>
      </c>
      <c r="E182" s="295">
        <v>4</v>
      </c>
      <c r="F182" s="296">
        <v>1</v>
      </c>
      <c r="G182" s="297" t="s">
        <v>314</v>
      </c>
      <c r="H182" s="296" t="s">
        <v>1037</v>
      </c>
      <c r="I182" s="298"/>
      <c r="J182" s="299">
        <f t="shared" si="116"/>
        <v>26.6</v>
      </c>
      <c r="K182" s="609">
        <v>0</v>
      </c>
      <c r="L182" s="610" t="str">
        <f t="shared" si="121"/>
        <v>1/750</v>
      </c>
      <c r="M182" s="421">
        <f t="shared" si="122"/>
        <v>1.9</v>
      </c>
      <c r="N182" s="611">
        <f t="shared" si="123"/>
        <v>0</v>
      </c>
      <c r="O182" s="272"/>
      <c r="P182" s="281"/>
      <c r="Q182" s="272"/>
      <c r="R182" s="98"/>
      <c r="S182" s="98"/>
      <c r="T182" s="98"/>
    </row>
    <row r="183" spans="1:20" s="101" customFormat="1" ht="15.75" customHeight="1">
      <c r="A183" s="2548"/>
      <c r="B183" s="607" t="s">
        <v>4739</v>
      </c>
      <c r="C183" s="608"/>
      <c r="D183" s="294">
        <f t="shared" si="120"/>
        <v>676</v>
      </c>
      <c r="E183" s="295">
        <v>4</v>
      </c>
      <c r="F183" s="296">
        <v>1</v>
      </c>
      <c r="G183" s="297" t="s">
        <v>314</v>
      </c>
      <c r="H183" s="296" t="s">
        <v>1037</v>
      </c>
      <c r="I183" s="298"/>
      <c r="J183" s="299">
        <f t="shared" si="116"/>
        <v>26.6</v>
      </c>
      <c r="K183" s="609">
        <v>0</v>
      </c>
      <c r="L183" s="610" t="str">
        <f t="shared" si="121"/>
        <v>1/750</v>
      </c>
      <c r="M183" s="421">
        <f t="shared" si="122"/>
        <v>1.9</v>
      </c>
      <c r="N183" s="611">
        <f t="shared" si="123"/>
        <v>0</v>
      </c>
      <c r="O183" s="272"/>
      <c r="P183" s="281"/>
      <c r="Q183" s="272"/>
      <c r="R183" s="98"/>
      <c r="S183" s="98"/>
      <c r="T183" s="98"/>
    </row>
    <row r="184" spans="1:20" s="101" customFormat="1" ht="15.75" customHeight="1">
      <c r="A184" s="2548"/>
      <c r="B184" s="292" t="s">
        <v>801</v>
      </c>
      <c r="C184" s="608"/>
      <c r="D184" s="294">
        <f t="shared" si="120"/>
        <v>497</v>
      </c>
      <c r="E184" s="295">
        <v>1</v>
      </c>
      <c r="F184" s="296">
        <v>1</v>
      </c>
      <c r="G184" s="297" t="s">
        <v>62</v>
      </c>
      <c r="H184" s="296" t="s">
        <v>1037</v>
      </c>
      <c r="I184" s="298">
        <v>0.53</v>
      </c>
      <c r="J184" s="299">
        <f t="shared" si="116"/>
        <v>17.7</v>
      </c>
      <c r="K184" s="609">
        <v>2</v>
      </c>
      <c r="L184" s="610" t="str">
        <f t="shared" si="121"/>
        <v>-</v>
      </c>
      <c r="M184" s="421">
        <f t="shared" si="122"/>
        <v>0</v>
      </c>
      <c r="N184" s="611">
        <f t="shared" si="123"/>
        <v>19.5828375</v>
      </c>
      <c r="O184" s="272"/>
      <c r="P184" s="281"/>
      <c r="Q184" s="272"/>
      <c r="R184" s="98"/>
      <c r="S184" s="98"/>
      <c r="T184" s="98"/>
    </row>
    <row r="185" spans="1:20" s="101" customFormat="1" ht="15.75" customHeight="1" thickBot="1">
      <c r="A185" s="2549"/>
      <c r="B185" s="302" t="s">
        <v>802</v>
      </c>
      <c r="C185" s="293"/>
      <c r="D185" s="294">
        <f t="shared" si="120"/>
        <v>427</v>
      </c>
      <c r="E185" s="295">
        <v>1</v>
      </c>
      <c r="F185" s="296">
        <v>1</v>
      </c>
      <c r="G185" s="297" t="s">
        <v>62</v>
      </c>
      <c r="H185" s="296" t="s">
        <v>1038</v>
      </c>
      <c r="I185" s="298">
        <v>0.53</v>
      </c>
      <c r="J185" s="299">
        <f t="shared" si="116"/>
        <v>17.7</v>
      </c>
      <c r="K185" s="295">
        <v>0</v>
      </c>
      <c r="L185" s="300" t="str">
        <f t="shared" si="121"/>
        <v>-</v>
      </c>
      <c r="M185" s="299">
        <f t="shared" si="122"/>
        <v>0</v>
      </c>
      <c r="N185" s="291">
        <f t="shared" si="123"/>
        <v>19.5828375</v>
      </c>
      <c r="O185" s="272"/>
      <c r="P185" s="281"/>
      <c r="Q185" s="272"/>
      <c r="R185" s="98"/>
      <c r="S185" s="98"/>
      <c r="T185" s="98"/>
    </row>
    <row r="186" spans="1:20" s="123" customFormat="1" ht="22.5" customHeight="1" thickBot="1">
      <c r="A186" s="335"/>
      <c r="B186" s="337"/>
      <c r="C186" s="339"/>
      <c r="D186" s="340"/>
      <c r="E186" s="337"/>
      <c r="F186" s="337"/>
      <c r="G186" s="337"/>
      <c r="H186" s="337"/>
      <c r="I186" s="338"/>
      <c r="J186" s="338"/>
      <c r="K186" s="337"/>
      <c r="L186" s="337"/>
      <c r="M186" s="336"/>
      <c r="N186" s="612">
        <f>SUM(N177:N185)</f>
        <v>100.13111249999999</v>
      </c>
      <c r="O186" s="272"/>
      <c r="P186" s="281"/>
      <c r="Q186" s="272"/>
      <c r="R186" s="98"/>
      <c r="S186" s="98"/>
      <c r="T186" s="98"/>
    </row>
    <row r="187" spans="1:20" s="98" customFormat="1">
      <c r="B187" s="613"/>
      <c r="F187" s="614"/>
      <c r="G187" s="614"/>
      <c r="H187" s="614"/>
      <c r="L187" s="614"/>
      <c r="N187" s="615"/>
      <c r="P187" s="614"/>
      <c r="Q187" s="614"/>
    </row>
    <row r="188" spans="1:20" s="98" customFormat="1" ht="13.8" thickBot="1">
      <c r="B188" s="613"/>
      <c r="F188" s="614"/>
      <c r="G188" s="614"/>
      <c r="H188" s="614"/>
      <c r="L188" s="614"/>
      <c r="N188" s="615"/>
      <c r="P188" s="614"/>
      <c r="Q188" s="614"/>
    </row>
    <row r="189" spans="1:20" s="101" customFormat="1" ht="15.75" customHeight="1">
      <c r="A189" s="2547">
        <v>42</v>
      </c>
      <c r="B189" s="602" t="s">
        <v>2456</v>
      </c>
      <c r="C189" s="303"/>
      <c r="D189" s="304">
        <f t="shared" ref="D189" si="124">IF(H189&lt;&gt;"",VLOOKUP(G189,base_barras,IF(H189="Desnuda",2,5)+F189-1,FALSE),"-")</f>
        <v>497</v>
      </c>
      <c r="E189" s="305">
        <v>3</v>
      </c>
      <c r="F189" s="306">
        <v>1</v>
      </c>
      <c r="G189" s="307" t="s">
        <v>62</v>
      </c>
      <c r="H189" s="306" t="s">
        <v>1037</v>
      </c>
      <c r="I189" s="308">
        <v>0.25</v>
      </c>
      <c r="J189" s="309">
        <f t="shared" ref="J189:J197" si="125">IF(G189&lt;&gt;"",VLOOKUP(G189,precio_barras,9,FALSE),0)</f>
        <v>17.7</v>
      </c>
      <c r="K189" s="305">
        <v>0</v>
      </c>
      <c r="L189" s="319" t="str">
        <f t="shared" ref="L189" si="126">IF(G189&lt;&gt;"",IF(VLOOKUP(G189,base_barras,10,FALSE)&lt;&gt;"",VLOOKUP(G189,base_barras,10,FALSE),"-"),"-")</f>
        <v>-</v>
      </c>
      <c r="M189" s="309">
        <f t="shared" ref="M189" si="127">IF(L189&lt;&gt;"-",VLOOKUP(L189,precio_aislador,2,FALSE),0)</f>
        <v>0</v>
      </c>
      <c r="N189" s="334">
        <f t="shared" ref="N189" si="128">(I189*J189*F189+K189*M189)*E189*1.67*1.25</f>
        <v>27.711562499999999</v>
      </c>
      <c r="O189" s="272"/>
      <c r="P189" s="281"/>
      <c r="Q189" s="272"/>
      <c r="R189" s="98"/>
      <c r="S189" s="98"/>
      <c r="T189" s="98"/>
    </row>
    <row r="190" spans="1:20" s="101" customFormat="1" ht="13.8">
      <c r="A190" s="2548"/>
      <c r="B190" s="603" t="s">
        <v>802</v>
      </c>
      <c r="C190" s="301"/>
      <c r="D190" s="294">
        <f>IF(H190&lt;&gt;"",VLOOKUP(G190,base_barras,IF(H190="Desnuda",2,5)+F190-1,FALSE),"-")</f>
        <v>497</v>
      </c>
      <c r="E190" s="295">
        <v>3</v>
      </c>
      <c r="F190" s="296">
        <v>1</v>
      </c>
      <c r="G190" s="297" t="s">
        <v>62</v>
      </c>
      <c r="H190" s="604" t="str">
        <f>H189</f>
        <v>Pintada</v>
      </c>
      <c r="I190" s="605">
        <v>0.3</v>
      </c>
      <c r="J190" s="299">
        <f t="shared" si="125"/>
        <v>17.7</v>
      </c>
      <c r="K190" s="606">
        <v>2</v>
      </c>
      <c r="L190" s="300" t="str">
        <f>IF(G190&lt;&gt;"",IF(VLOOKUP(G190,base_barras,10,FALSE)&lt;&gt;"",VLOOKUP(G190,base_barras,10,FALSE),"-"),"-")</f>
        <v>-</v>
      </c>
      <c r="M190" s="299">
        <f>IF(L190&lt;&gt;"-",VLOOKUP(L190,precio_aislador,2,FALSE),0)</f>
        <v>0</v>
      </c>
      <c r="N190" s="291">
        <f>(I190*J190*F190+K190*M190)*E190*1.67*1.25</f>
        <v>33.253874999999994</v>
      </c>
      <c r="O190" s="272"/>
      <c r="P190" s="281"/>
      <c r="Q190" s="272"/>
      <c r="R190" s="98"/>
      <c r="S190" s="98"/>
      <c r="T190" s="98"/>
    </row>
    <row r="191" spans="1:20" s="101" customFormat="1" ht="15.75" customHeight="1">
      <c r="A191" s="2548"/>
      <c r="B191" s="607" t="s">
        <v>4738</v>
      </c>
      <c r="C191" s="608"/>
      <c r="D191" s="294">
        <f t="shared" ref="D191:D197" si="129">IF(H191&lt;&gt;"",VLOOKUP(G191,base_barras,IF(H191="Desnuda",2,5)+F191-1,FALSE),"-")</f>
        <v>1500</v>
      </c>
      <c r="E191" s="295">
        <v>3</v>
      </c>
      <c r="F191" s="296">
        <v>1</v>
      </c>
      <c r="G191" s="297" t="s">
        <v>582</v>
      </c>
      <c r="H191" s="296" t="s">
        <v>1037</v>
      </c>
      <c r="I191" s="298"/>
      <c r="J191" s="299">
        <f t="shared" si="125"/>
        <v>71.100000000000009</v>
      </c>
      <c r="K191" s="609">
        <v>0</v>
      </c>
      <c r="L191" s="610" t="str">
        <f t="shared" ref="L191:L197" si="130">IF(G191&lt;&gt;"",IF(VLOOKUP(G191,base_barras,10,FALSE)&lt;&gt;"",VLOOKUP(G191,base_barras,10,FALSE),"-"),"-")</f>
        <v>1/1000</v>
      </c>
      <c r="M191" s="421">
        <f t="shared" ref="M191:M197" si="131">IF(L191&lt;&gt;"-",VLOOKUP(L191,precio_aislador,2,FALSE),0)</f>
        <v>2.7</v>
      </c>
      <c r="N191" s="611">
        <f t="shared" ref="N191:N197" si="132">(I191*J191*F191+K191*M191)*E191*1.67*1.25</f>
        <v>0</v>
      </c>
      <c r="O191" s="272"/>
      <c r="P191" s="281"/>
      <c r="Q191" s="272"/>
      <c r="R191" s="98"/>
      <c r="S191" s="98"/>
      <c r="T191" s="98"/>
    </row>
    <row r="192" spans="1:20" s="101" customFormat="1" ht="15.75" customHeight="1">
      <c r="A192" s="2548"/>
      <c r="B192" s="607" t="s">
        <v>4739</v>
      </c>
      <c r="C192" s="608"/>
      <c r="D192" s="294">
        <f t="shared" si="129"/>
        <v>676</v>
      </c>
      <c r="E192" s="295">
        <v>4</v>
      </c>
      <c r="F192" s="296">
        <v>1</v>
      </c>
      <c r="G192" s="297" t="s">
        <v>314</v>
      </c>
      <c r="H192" s="296" t="s">
        <v>1037</v>
      </c>
      <c r="I192" s="298"/>
      <c r="J192" s="299">
        <f t="shared" si="125"/>
        <v>26.6</v>
      </c>
      <c r="K192" s="609">
        <v>0</v>
      </c>
      <c r="L192" s="610" t="str">
        <f t="shared" si="130"/>
        <v>1/750</v>
      </c>
      <c r="M192" s="421">
        <f t="shared" si="131"/>
        <v>1.9</v>
      </c>
      <c r="N192" s="611">
        <f t="shared" si="132"/>
        <v>0</v>
      </c>
      <c r="O192" s="272"/>
      <c r="P192" s="281"/>
      <c r="Q192" s="272"/>
      <c r="R192" s="98"/>
      <c r="S192" s="98"/>
      <c r="T192" s="98"/>
    </row>
    <row r="193" spans="1:20" s="101" customFormat="1" ht="15.75" customHeight="1">
      <c r="A193" s="2548"/>
      <c r="B193" s="607" t="s">
        <v>4739</v>
      </c>
      <c r="C193" s="608"/>
      <c r="D193" s="294">
        <f t="shared" si="129"/>
        <v>676</v>
      </c>
      <c r="E193" s="295">
        <v>4</v>
      </c>
      <c r="F193" s="296">
        <v>1</v>
      </c>
      <c r="G193" s="297" t="s">
        <v>314</v>
      </c>
      <c r="H193" s="296" t="s">
        <v>1037</v>
      </c>
      <c r="I193" s="298"/>
      <c r="J193" s="299">
        <f t="shared" si="125"/>
        <v>26.6</v>
      </c>
      <c r="K193" s="609">
        <v>0</v>
      </c>
      <c r="L193" s="610" t="str">
        <f t="shared" si="130"/>
        <v>1/750</v>
      </c>
      <c r="M193" s="421">
        <f t="shared" si="131"/>
        <v>1.9</v>
      </c>
      <c r="N193" s="611">
        <f t="shared" si="132"/>
        <v>0</v>
      </c>
      <c r="O193" s="272"/>
      <c r="P193" s="281"/>
      <c r="Q193" s="272"/>
      <c r="R193" s="98"/>
      <c r="S193" s="98"/>
      <c r="T193" s="98"/>
    </row>
    <row r="194" spans="1:20" s="101" customFormat="1" ht="15.75" customHeight="1">
      <c r="A194" s="2548"/>
      <c r="B194" s="607" t="s">
        <v>4739</v>
      </c>
      <c r="C194" s="608"/>
      <c r="D194" s="294">
        <f t="shared" si="129"/>
        <v>676</v>
      </c>
      <c r="E194" s="295">
        <v>4</v>
      </c>
      <c r="F194" s="296">
        <v>1</v>
      </c>
      <c r="G194" s="297" t="s">
        <v>314</v>
      </c>
      <c r="H194" s="296" t="s">
        <v>1037</v>
      </c>
      <c r="I194" s="298"/>
      <c r="J194" s="299">
        <f t="shared" si="125"/>
        <v>26.6</v>
      </c>
      <c r="K194" s="609">
        <v>0</v>
      </c>
      <c r="L194" s="610" t="str">
        <f t="shared" si="130"/>
        <v>1/750</v>
      </c>
      <c r="M194" s="421">
        <f t="shared" si="131"/>
        <v>1.9</v>
      </c>
      <c r="N194" s="611">
        <f t="shared" si="132"/>
        <v>0</v>
      </c>
      <c r="O194" s="272"/>
      <c r="P194" s="281"/>
      <c r="Q194" s="272"/>
      <c r="R194" s="98"/>
      <c r="S194" s="98"/>
      <c r="T194" s="98"/>
    </row>
    <row r="195" spans="1:20" s="101" customFormat="1" ht="15.75" customHeight="1">
      <c r="A195" s="2548"/>
      <c r="B195" s="607" t="s">
        <v>4739</v>
      </c>
      <c r="C195" s="608"/>
      <c r="D195" s="294">
        <f t="shared" si="129"/>
        <v>676</v>
      </c>
      <c r="E195" s="295">
        <v>4</v>
      </c>
      <c r="F195" s="296">
        <v>1</v>
      </c>
      <c r="G195" s="297" t="s">
        <v>314</v>
      </c>
      <c r="H195" s="296" t="s">
        <v>1037</v>
      </c>
      <c r="I195" s="298"/>
      <c r="J195" s="299">
        <f t="shared" si="125"/>
        <v>26.6</v>
      </c>
      <c r="K195" s="609">
        <v>0</v>
      </c>
      <c r="L195" s="610" t="str">
        <f t="shared" si="130"/>
        <v>1/750</v>
      </c>
      <c r="M195" s="421">
        <f t="shared" si="131"/>
        <v>1.9</v>
      </c>
      <c r="N195" s="611">
        <f t="shared" si="132"/>
        <v>0</v>
      </c>
      <c r="O195" s="272"/>
      <c r="P195" s="281"/>
      <c r="Q195" s="272"/>
      <c r="R195" s="98"/>
      <c r="S195" s="98"/>
      <c r="T195" s="98"/>
    </row>
    <row r="196" spans="1:20" s="101" customFormat="1" ht="15.75" customHeight="1">
      <c r="A196" s="2548"/>
      <c r="B196" s="292" t="s">
        <v>801</v>
      </c>
      <c r="C196" s="608"/>
      <c r="D196" s="294">
        <f t="shared" si="129"/>
        <v>497</v>
      </c>
      <c r="E196" s="295">
        <v>1</v>
      </c>
      <c r="F196" s="296">
        <v>1</v>
      </c>
      <c r="G196" s="297" t="s">
        <v>62</v>
      </c>
      <c r="H196" s="296" t="s">
        <v>1037</v>
      </c>
      <c r="I196" s="298">
        <v>0.53</v>
      </c>
      <c r="J196" s="299">
        <f t="shared" si="125"/>
        <v>17.7</v>
      </c>
      <c r="K196" s="609">
        <v>2</v>
      </c>
      <c r="L196" s="610" t="str">
        <f t="shared" si="130"/>
        <v>-</v>
      </c>
      <c r="M196" s="421">
        <f t="shared" si="131"/>
        <v>0</v>
      </c>
      <c r="N196" s="611">
        <f t="shared" si="132"/>
        <v>19.5828375</v>
      </c>
      <c r="O196" s="272"/>
      <c r="P196" s="281"/>
      <c r="Q196" s="272"/>
      <c r="R196" s="98"/>
      <c r="S196" s="98"/>
      <c r="T196" s="98"/>
    </row>
    <row r="197" spans="1:20" s="101" customFormat="1" ht="15.75" customHeight="1" thickBot="1">
      <c r="A197" s="2549"/>
      <c r="B197" s="302" t="s">
        <v>802</v>
      </c>
      <c r="C197" s="293"/>
      <c r="D197" s="294">
        <f t="shared" si="129"/>
        <v>427</v>
      </c>
      <c r="E197" s="295">
        <v>1</v>
      </c>
      <c r="F197" s="296">
        <v>1</v>
      </c>
      <c r="G197" s="297" t="s">
        <v>62</v>
      </c>
      <c r="H197" s="296" t="s">
        <v>1038</v>
      </c>
      <c r="I197" s="298">
        <v>0.53</v>
      </c>
      <c r="J197" s="299">
        <f t="shared" si="125"/>
        <v>17.7</v>
      </c>
      <c r="K197" s="295">
        <v>0</v>
      </c>
      <c r="L197" s="300" t="str">
        <f t="shared" si="130"/>
        <v>-</v>
      </c>
      <c r="M197" s="299">
        <f t="shared" si="131"/>
        <v>0</v>
      </c>
      <c r="N197" s="291">
        <f t="shared" si="132"/>
        <v>19.5828375</v>
      </c>
      <c r="O197" s="272"/>
      <c r="P197" s="281"/>
      <c r="Q197" s="272"/>
      <c r="R197" s="98"/>
      <c r="S197" s="98"/>
      <c r="T197" s="98"/>
    </row>
    <row r="198" spans="1:20" s="123" customFormat="1" ht="22.5" customHeight="1" thickBot="1">
      <c r="A198" s="335"/>
      <c r="B198" s="337"/>
      <c r="C198" s="339"/>
      <c r="D198" s="340"/>
      <c r="E198" s="337"/>
      <c r="F198" s="337"/>
      <c r="G198" s="337"/>
      <c r="H198" s="337"/>
      <c r="I198" s="338"/>
      <c r="J198" s="338"/>
      <c r="K198" s="337"/>
      <c r="L198" s="337"/>
      <c r="M198" s="336"/>
      <c r="N198" s="612">
        <f>SUM(N189:N197)</f>
        <v>100.13111249999999</v>
      </c>
      <c r="O198" s="272"/>
      <c r="P198" s="281"/>
      <c r="Q198" s="272"/>
      <c r="R198" s="98"/>
      <c r="S198" s="98"/>
      <c r="T198" s="98"/>
    </row>
    <row r="199" spans="1:20" s="98" customFormat="1">
      <c r="B199" s="613"/>
      <c r="F199" s="614"/>
      <c r="G199" s="614"/>
      <c r="H199" s="614"/>
      <c r="L199" s="614"/>
      <c r="N199" s="615"/>
      <c r="P199" s="614"/>
      <c r="Q199" s="614"/>
    </row>
    <row r="200" spans="1:20" s="98" customFormat="1" ht="13.8" thickBot="1">
      <c r="B200" s="613"/>
      <c r="F200" s="614"/>
      <c r="G200" s="614"/>
      <c r="H200" s="614"/>
      <c r="L200" s="614"/>
      <c r="N200" s="615"/>
      <c r="P200" s="614"/>
      <c r="Q200" s="614"/>
    </row>
    <row r="201" spans="1:20" s="101" customFormat="1" ht="15.75" customHeight="1">
      <c r="A201" s="2547">
        <v>53</v>
      </c>
      <c r="B201" s="602" t="s">
        <v>2456</v>
      </c>
      <c r="C201" s="303"/>
      <c r="D201" s="304">
        <f t="shared" ref="D201" si="133">IF(H201&lt;&gt;"",VLOOKUP(G201,base_barras,IF(H201="Desnuda",2,5)+F201-1,FALSE),"-")</f>
        <v>497</v>
      </c>
      <c r="E201" s="305">
        <v>3</v>
      </c>
      <c r="F201" s="306">
        <v>1</v>
      </c>
      <c r="G201" s="307" t="s">
        <v>62</v>
      </c>
      <c r="H201" s="306" t="s">
        <v>1037</v>
      </c>
      <c r="I201" s="308">
        <v>0.25</v>
      </c>
      <c r="J201" s="309">
        <f t="shared" ref="J201:J209" si="134">IF(G201&lt;&gt;"",VLOOKUP(G201,precio_barras,9,FALSE),0)</f>
        <v>17.7</v>
      </c>
      <c r="K201" s="305">
        <v>0</v>
      </c>
      <c r="L201" s="319" t="str">
        <f t="shared" ref="L201" si="135">IF(G201&lt;&gt;"",IF(VLOOKUP(G201,base_barras,10,FALSE)&lt;&gt;"",VLOOKUP(G201,base_barras,10,FALSE),"-"),"-")</f>
        <v>-</v>
      </c>
      <c r="M201" s="309">
        <f t="shared" ref="M201" si="136">IF(L201&lt;&gt;"-",VLOOKUP(L201,precio_aislador,2,FALSE),0)</f>
        <v>0</v>
      </c>
      <c r="N201" s="334">
        <f t="shared" ref="N201" si="137">(I201*J201*F201+K201*M201)*E201*1.67*1.25</f>
        <v>27.711562499999999</v>
      </c>
      <c r="O201" s="272"/>
      <c r="P201" s="281"/>
      <c r="Q201" s="272"/>
      <c r="R201" s="98"/>
      <c r="S201" s="98"/>
      <c r="T201" s="98"/>
    </row>
    <row r="202" spans="1:20" s="101" customFormat="1" ht="13.8">
      <c r="A202" s="2548"/>
      <c r="B202" s="603" t="s">
        <v>802</v>
      </c>
      <c r="C202" s="301"/>
      <c r="D202" s="294">
        <f>IF(H202&lt;&gt;"",VLOOKUP(G202,base_barras,IF(H202="Desnuda",2,5)+F202-1,FALSE),"-")</f>
        <v>497</v>
      </c>
      <c r="E202" s="295">
        <v>3</v>
      </c>
      <c r="F202" s="296">
        <v>1</v>
      </c>
      <c r="G202" s="297" t="s">
        <v>62</v>
      </c>
      <c r="H202" s="604" t="str">
        <f>H201</f>
        <v>Pintada</v>
      </c>
      <c r="I202" s="605">
        <v>0.41</v>
      </c>
      <c r="J202" s="299">
        <f t="shared" si="134"/>
        <v>17.7</v>
      </c>
      <c r="K202" s="606">
        <v>2</v>
      </c>
      <c r="L202" s="300" t="str">
        <f>IF(G202&lt;&gt;"",IF(VLOOKUP(G202,base_barras,10,FALSE)&lt;&gt;"",VLOOKUP(G202,base_barras,10,FALSE),"-"),"-")</f>
        <v>-</v>
      </c>
      <c r="M202" s="299">
        <f>IF(L202&lt;&gt;"-",VLOOKUP(L202,precio_aislador,2,FALSE),0)</f>
        <v>0</v>
      </c>
      <c r="N202" s="291">
        <f>(I202*J202*F202+K202*M202)*E202*1.67*1.25</f>
        <v>45.446962500000005</v>
      </c>
      <c r="O202" s="272"/>
      <c r="P202" s="281"/>
      <c r="Q202" s="272"/>
      <c r="R202" s="98"/>
      <c r="S202" s="98"/>
      <c r="T202" s="98"/>
    </row>
    <row r="203" spans="1:20" s="101" customFormat="1" ht="15.75" customHeight="1">
      <c r="A203" s="2548"/>
      <c r="B203" s="607" t="s">
        <v>4738</v>
      </c>
      <c r="C203" s="608"/>
      <c r="D203" s="294">
        <f t="shared" ref="D203:D209" si="138">IF(H203&lt;&gt;"",VLOOKUP(G203,base_barras,IF(H203="Desnuda",2,5)+F203-1,FALSE),"-")</f>
        <v>1500</v>
      </c>
      <c r="E203" s="295">
        <v>3</v>
      </c>
      <c r="F203" s="296">
        <v>1</v>
      </c>
      <c r="G203" s="297" t="s">
        <v>582</v>
      </c>
      <c r="H203" s="296" t="s">
        <v>1037</v>
      </c>
      <c r="I203" s="298"/>
      <c r="J203" s="299">
        <f t="shared" si="134"/>
        <v>71.100000000000009</v>
      </c>
      <c r="K203" s="609">
        <v>0</v>
      </c>
      <c r="L203" s="610" t="str">
        <f t="shared" ref="L203:L209" si="139">IF(G203&lt;&gt;"",IF(VLOOKUP(G203,base_barras,10,FALSE)&lt;&gt;"",VLOOKUP(G203,base_barras,10,FALSE),"-"),"-")</f>
        <v>1/1000</v>
      </c>
      <c r="M203" s="421">
        <f t="shared" ref="M203:M209" si="140">IF(L203&lt;&gt;"-",VLOOKUP(L203,precio_aislador,2,FALSE),0)</f>
        <v>2.7</v>
      </c>
      <c r="N203" s="611">
        <f t="shared" ref="N203:N209" si="141">(I203*J203*F203+K203*M203)*E203*1.67*1.25</f>
        <v>0</v>
      </c>
      <c r="O203" s="272"/>
      <c r="P203" s="281"/>
      <c r="Q203" s="272"/>
      <c r="R203" s="98"/>
      <c r="S203" s="98"/>
      <c r="T203" s="98"/>
    </row>
    <row r="204" spans="1:20" s="101" customFormat="1" ht="15.75" customHeight="1">
      <c r="A204" s="2548"/>
      <c r="B204" s="607" t="s">
        <v>4739</v>
      </c>
      <c r="C204" s="608"/>
      <c r="D204" s="294">
        <f t="shared" si="138"/>
        <v>676</v>
      </c>
      <c r="E204" s="295">
        <v>4</v>
      </c>
      <c r="F204" s="296">
        <v>1</v>
      </c>
      <c r="G204" s="297" t="s">
        <v>314</v>
      </c>
      <c r="H204" s="296" t="s">
        <v>1037</v>
      </c>
      <c r="I204" s="298"/>
      <c r="J204" s="299">
        <f t="shared" si="134"/>
        <v>26.6</v>
      </c>
      <c r="K204" s="609">
        <v>0</v>
      </c>
      <c r="L204" s="610" t="str">
        <f t="shared" si="139"/>
        <v>1/750</v>
      </c>
      <c r="M204" s="421">
        <f t="shared" si="140"/>
        <v>1.9</v>
      </c>
      <c r="N204" s="611">
        <f t="shared" si="141"/>
        <v>0</v>
      </c>
      <c r="O204" s="272"/>
      <c r="P204" s="281"/>
      <c r="Q204" s="272"/>
      <c r="R204" s="98"/>
      <c r="S204" s="98"/>
      <c r="T204" s="98"/>
    </row>
    <row r="205" spans="1:20" s="101" customFormat="1" ht="15.75" customHeight="1">
      <c r="A205" s="2548"/>
      <c r="B205" s="607" t="s">
        <v>4739</v>
      </c>
      <c r="C205" s="608"/>
      <c r="D205" s="294">
        <f t="shared" si="138"/>
        <v>676</v>
      </c>
      <c r="E205" s="295">
        <v>4</v>
      </c>
      <c r="F205" s="296">
        <v>1</v>
      </c>
      <c r="G205" s="297" t="s">
        <v>314</v>
      </c>
      <c r="H205" s="296" t="s">
        <v>1037</v>
      </c>
      <c r="I205" s="298"/>
      <c r="J205" s="299">
        <f t="shared" si="134"/>
        <v>26.6</v>
      </c>
      <c r="K205" s="609">
        <v>0</v>
      </c>
      <c r="L205" s="610" t="str">
        <f t="shared" si="139"/>
        <v>1/750</v>
      </c>
      <c r="M205" s="421">
        <f t="shared" si="140"/>
        <v>1.9</v>
      </c>
      <c r="N205" s="611">
        <f t="shared" si="141"/>
        <v>0</v>
      </c>
      <c r="O205" s="272"/>
      <c r="P205" s="281"/>
      <c r="Q205" s="272"/>
      <c r="R205" s="98"/>
      <c r="S205" s="98"/>
      <c r="T205" s="98"/>
    </row>
    <row r="206" spans="1:20" s="101" customFormat="1" ht="15.75" customHeight="1">
      <c r="A206" s="2548"/>
      <c r="B206" s="607" t="s">
        <v>4739</v>
      </c>
      <c r="C206" s="608"/>
      <c r="D206" s="294">
        <f t="shared" si="138"/>
        <v>676</v>
      </c>
      <c r="E206" s="295">
        <v>4</v>
      </c>
      <c r="F206" s="296">
        <v>1</v>
      </c>
      <c r="G206" s="297" t="s">
        <v>314</v>
      </c>
      <c r="H206" s="296" t="s">
        <v>1037</v>
      </c>
      <c r="I206" s="298"/>
      <c r="J206" s="299">
        <f t="shared" si="134"/>
        <v>26.6</v>
      </c>
      <c r="K206" s="609">
        <v>0</v>
      </c>
      <c r="L206" s="610" t="str">
        <f t="shared" si="139"/>
        <v>1/750</v>
      </c>
      <c r="M206" s="421">
        <f t="shared" si="140"/>
        <v>1.9</v>
      </c>
      <c r="N206" s="611">
        <f t="shared" si="141"/>
        <v>0</v>
      </c>
      <c r="O206" s="272"/>
      <c r="P206" s="281"/>
      <c r="Q206" s="272"/>
      <c r="R206" s="98"/>
      <c r="S206" s="98"/>
      <c r="T206" s="98"/>
    </row>
    <row r="207" spans="1:20" s="101" customFormat="1" ht="15.75" customHeight="1">
      <c r="A207" s="2548"/>
      <c r="B207" s="607" t="s">
        <v>4739</v>
      </c>
      <c r="C207" s="608"/>
      <c r="D207" s="294">
        <f t="shared" si="138"/>
        <v>676</v>
      </c>
      <c r="E207" s="295">
        <v>4</v>
      </c>
      <c r="F207" s="296">
        <v>1</v>
      </c>
      <c r="G207" s="297" t="s">
        <v>314</v>
      </c>
      <c r="H207" s="296" t="s">
        <v>1037</v>
      </c>
      <c r="I207" s="298"/>
      <c r="J207" s="299">
        <f t="shared" si="134"/>
        <v>26.6</v>
      </c>
      <c r="K207" s="609">
        <v>0</v>
      </c>
      <c r="L207" s="610" t="str">
        <f t="shared" si="139"/>
        <v>1/750</v>
      </c>
      <c r="M207" s="421">
        <f t="shared" si="140"/>
        <v>1.9</v>
      </c>
      <c r="N207" s="611">
        <f t="shared" si="141"/>
        <v>0</v>
      </c>
      <c r="O207" s="272"/>
      <c r="P207" s="281"/>
      <c r="Q207" s="272"/>
      <c r="R207" s="98"/>
      <c r="S207" s="98"/>
      <c r="T207" s="98"/>
    </row>
    <row r="208" spans="1:20" s="101" customFormat="1" ht="15.75" customHeight="1">
      <c r="A208" s="2548"/>
      <c r="B208" s="292" t="s">
        <v>801</v>
      </c>
      <c r="C208" s="608"/>
      <c r="D208" s="294">
        <f t="shared" si="138"/>
        <v>497</v>
      </c>
      <c r="E208" s="295">
        <v>1</v>
      </c>
      <c r="F208" s="296">
        <v>1</v>
      </c>
      <c r="G208" s="297" t="s">
        <v>62</v>
      </c>
      <c r="H208" s="296" t="s">
        <v>1037</v>
      </c>
      <c r="I208" s="298">
        <v>0.53</v>
      </c>
      <c r="J208" s="299">
        <f t="shared" si="134"/>
        <v>17.7</v>
      </c>
      <c r="K208" s="609">
        <v>2</v>
      </c>
      <c r="L208" s="610" t="str">
        <f t="shared" si="139"/>
        <v>-</v>
      </c>
      <c r="M208" s="421">
        <f t="shared" si="140"/>
        <v>0</v>
      </c>
      <c r="N208" s="611">
        <f t="shared" si="141"/>
        <v>19.5828375</v>
      </c>
      <c r="O208" s="272"/>
      <c r="P208" s="281"/>
      <c r="Q208" s="272"/>
      <c r="R208" s="98"/>
      <c r="S208" s="98"/>
      <c r="T208" s="98"/>
    </row>
    <row r="209" spans="1:20" s="101" customFormat="1" ht="15.75" customHeight="1" thickBot="1">
      <c r="A209" s="2549"/>
      <c r="B209" s="302" t="s">
        <v>802</v>
      </c>
      <c r="C209" s="293"/>
      <c r="D209" s="294">
        <f t="shared" si="138"/>
        <v>427</v>
      </c>
      <c r="E209" s="295">
        <v>1</v>
      </c>
      <c r="F209" s="296">
        <v>1</v>
      </c>
      <c r="G209" s="297" t="s">
        <v>62</v>
      </c>
      <c r="H209" s="296" t="s">
        <v>1038</v>
      </c>
      <c r="I209" s="298">
        <v>0.53</v>
      </c>
      <c r="J209" s="299">
        <f t="shared" si="134"/>
        <v>17.7</v>
      </c>
      <c r="K209" s="295">
        <v>0</v>
      </c>
      <c r="L209" s="300" t="str">
        <f t="shared" si="139"/>
        <v>-</v>
      </c>
      <c r="M209" s="299">
        <f t="shared" si="140"/>
        <v>0</v>
      </c>
      <c r="N209" s="291">
        <f t="shared" si="141"/>
        <v>19.5828375</v>
      </c>
      <c r="O209" s="272"/>
      <c r="P209" s="281"/>
      <c r="Q209" s="272"/>
      <c r="R209" s="98"/>
      <c r="S209" s="98"/>
      <c r="T209" s="98"/>
    </row>
    <row r="210" spans="1:20" s="123" customFormat="1" ht="22.5" customHeight="1" thickBot="1">
      <c r="A210" s="335"/>
      <c r="B210" s="337"/>
      <c r="C210" s="339"/>
      <c r="D210" s="340"/>
      <c r="E210" s="337"/>
      <c r="F210" s="337"/>
      <c r="G210" s="337"/>
      <c r="H210" s="337"/>
      <c r="I210" s="338"/>
      <c r="J210" s="338"/>
      <c r="K210" s="337"/>
      <c r="L210" s="337"/>
      <c r="M210" s="336"/>
      <c r="N210" s="612">
        <f>SUM(N201:N209)</f>
        <v>112.32419999999999</v>
      </c>
      <c r="O210" s="272"/>
      <c r="P210" s="281"/>
      <c r="Q210" s="272"/>
      <c r="R210" s="98"/>
      <c r="S210" s="98"/>
      <c r="T210" s="98"/>
    </row>
    <row r="211" spans="1:20" s="98" customFormat="1">
      <c r="B211" s="613"/>
      <c r="F211" s="614"/>
      <c r="G211" s="614"/>
      <c r="H211" s="614"/>
      <c r="L211" s="614"/>
      <c r="N211" s="615"/>
      <c r="P211" s="614"/>
      <c r="Q211" s="614"/>
    </row>
    <row r="212" spans="1:20" s="98" customFormat="1" ht="13.8" thickBot="1">
      <c r="B212" s="613"/>
      <c r="F212" s="614"/>
      <c r="G212" s="614"/>
      <c r="H212" s="614"/>
      <c r="L212" s="614"/>
      <c r="N212" s="615"/>
      <c r="P212" s="614"/>
      <c r="Q212" s="614"/>
    </row>
    <row r="213" spans="1:20" s="101" customFormat="1" ht="15.75" customHeight="1">
      <c r="A213" s="2547">
        <v>74</v>
      </c>
      <c r="B213" s="602" t="s">
        <v>2456</v>
      </c>
      <c r="C213" s="303"/>
      <c r="D213" s="304">
        <f t="shared" ref="D213" si="142">IF(H213&lt;&gt;"",VLOOKUP(G213,base_barras,IF(H213="Desnuda",2,5)+F213-1,FALSE),"-")</f>
        <v>676</v>
      </c>
      <c r="E213" s="305">
        <v>3</v>
      </c>
      <c r="F213" s="306">
        <v>1</v>
      </c>
      <c r="G213" s="307" t="s">
        <v>314</v>
      </c>
      <c r="H213" s="306" t="s">
        <v>1037</v>
      </c>
      <c r="I213" s="308">
        <v>0.25</v>
      </c>
      <c r="J213" s="309">
        <f t="shared" ref="J213:J221" si="143">IF(G213&lt;&gt;"",VLOOKUP(G213,precio_barras,9,FALSE),0)</f>
        <v>26.6</v>
      </c>
      <c r="K213" s="305">
        <v>0</v>
      </c>
      <c r="L213" s="319" t="str">
        <f t="shared" ref="L213" si="144">IF(G213&lt;&gt;"",IF(VLOOKUP(G213,base_barras,10,FALSE)&lt;&gt;"",VLOOKUP(G213,base_barras,10,FALSE),"-"),"-")</f>
        <v>1/750</v>
      </c>
      <c r="M213" s="309">
        <f t="shared" ref="M213" si="145">IF(L213&lt;&gt;"-",VLOOKUP(L213,precio_aislador,2,FALSE),0)</f>
        <v>1.9</v>
      </c>
      <c r="N213" s="334">
        <f t="shared" ref="N213" si="146">(I213*J213*F213+K213*M213)*E213*1.67*1.25</f>
        <v>41.64562500000001</v>
      </c>
      <c r="O213" s="272"/>
      <c r="P213" s="281"/>
      <c r="Q213" s="272"/>
      <c r="R213" s="98"/>
      <c r="S213" s="98"/>
      <c r="T213" s="98"/>
    </row>
    <row r="214" spans="1:20" s="101" customFormat="1" ht="13.8">
      <c r="A214" s="2548"/>
      <c r="B214" s="603" t="s">
        <v>802</v>
      </c>
      <c r="C214" s="301"/>
      <c r="D214" s="294">
        <f>IF(H214&lt;&gt;"",VLOOKUP(G214,base_barras,IF(H214="Desnuda",2,5)+F214-1,FALSE),"-")</f>
        <v>676</v>
      </c>
      <c r="E214" s="295">
        <v>3</v>
      </c>
      <c r="F214" s="296">
        <v>1</v>
      </c>
      <c r="G214" s="297" t="s">
        <v>314</v>
      </c>
      <c r="H214" s="604" t="str">
        <f>H213</f>
        <v>Pintada</v>
      </c>
      <c r="I214" s="605">
        <v>0.51</v>
      </c>
      <c r="J214" s="299">
        <f t="shared" si="143"/>
        <v>26.6</v>
      </c>
      <c r="K214" s="606">
        <v>2</v>
      </c>
      <c r="L214" s="300" t="str">
        <f>IF(G214&lt;&gt;"",IF(VLOOKUP(G214,base_barras,10,FALSE)&lt;&gt;"",VLOOKUP(G214,base_barras,10,FALSE),"-"),"-")</f>
        <v>1/750</v>
      </c>
      <c r="M214" s="299">
        <f>IF(L214&lt;&gt;"-",VLOOKUP(L214,precio_aislador,2,FALSE),0)</f>
        <v>1.9</v>
      </c>
      <c r="N214" s="291">
        <f>(I214*J214*F214+K214*M214)*E214*1.67*1.25</f>
        <v>108.75457499999999</v>
      </c>
      <c r="O214" s="272"/>
      <c r="P214" s="281"/>
      <c r="Q214" s="272"/>
      <c r="R214" s="98"/>
      <c r="S214" s="98"/>
      <c r="T214" s="98"/>
    </row>
    <row r="215" spans="1:20" s="101" customFormat="1" ht="15.75" customHeight="1">
      <c r="A215" s="2548"/>
      <c r="B215" s="607" t="s">
        <v>4738</v>
      </c>
      <c r="C215" s="608"/>
      <c r="D215" s="294">
        <f t="shared" ref="D215:D221" si="147">IF(H215&lt;&gt;"",VLOOKUP(G215,base_barras,IF(H215="Desnuda",2,5)+F215-1,FALSE),"-")</f>
        <v>1500</v>
      </c>
      <c r="E215" s="295">
        <v>3</v>
      </c>
      <c r="F215" s="296">
        <v>1</v>
      </c>
      <c r="G215" s="297" t="s">
        <v>582</v>
      </c>
      <c r="H215" s="296" t="s">
        <v>1037</v>
      </c>
      <c r="I215" s="298"/>
      <c r="J215" s="299">
        <f t="shared" si="143"/>
        <v>71.100000000000009</v>
      </c>
      <c r="K215" s="609">
        <v>0</v>
      </c>
      <c r="L215" s="610" t="str">
        <f t="shared" ref="L215:L221" si="148">IF(G215&lt;&gt;"",IF(VLOOKUP(G215,base_barras,10,FALSE)&lt;&gt;"",VLOOKUP(G215,base_barras,10,FALSE),"-"),"-")</f>
        <v>1/1000</v>
      </c>
      <c r="M215" s="421">
        <f t="shared" ref="M215:M221" si="149">IF(L215&lt;&gt;"-",VLOOKUP(L215,precio_aislador,2,FALSE),0)</f>
        <v>2.7</v>
      </c>
      <c r="N215" s="611">
        <f t="shared" ref="N215:N221" si="150">(I215*J215*F215+K215*M215)*E215*1.67*1.25</f>
        <v>0</v>
      </c>
      <c r="O215" s="272"/>
      <c r="P215" s="281"/>
      <c r="Q215" s="272"/>
      <c r="R215" s="98"/>
      <c r="S215" s="98"/>
      <c r="T215" s="98"/>
    </row>
    <row r="216" spans="1:20" s="101" customFormat="1" ht="15.75" customHeight="1">
      <c r="A216" s="2548"/>
      <c r="B216" s="607" t="s">
        <v>4739</v>
      </c>
      <c r="C216" s="608"/>
      <c r="D216" s="294">
        <f t="shared" si="147"/>
        <v>676</v>
      </c>
      <c r="E216" s="295">
        <v>4</v>
      </c>
      <c r="F216" s="296">
        <v>1</v>
      </c>
      <c r="G216" s="297" t="s">
        <v>314</v>
      </c>
      <c r="H216" s="296" t="s">
        <v>1037</v>
      </c>
      <c r="I216" s="298"/>
      <c r="J216" s="299">
        <f t="shared" si="143"/>
        <v>26.6</v>
      </c>
      <c r="K216" s="609">
        <v>0</v>
      </c>
      <c r="L216" s="610" t="str">
        <f t="shared" si="148"/>
        <v>1/750</v>
      </c>
      <c r="M216" s="421">
        <f t="shared" si="149"/>
        <v>1.9</v>
      </c>
      <c r="N216" s="611">
        <f t="shared" si="150"/>
        <v>0</v>
      </c>
      <c r="O216" s="272"/>
      <c r="P216" s="281"/>
      <c r="Q216" s="272"/>
      <c r="R216" s="98"/>
      <c r="S216" s="98"/>
      <c r="T216" s="98"/>
    </row>
    <row r="217" spans="1:20" s="101" customFormat="1" ht="15.75" customHeight="1">
      <c r="A217" s="2548"/>
      <c r="B217" s="607" t="s">
        <v>4739</v>
      </c>
      <c r="C217" s="608"/>
      <c r="D217" s="294">
        <f t="shared" si="147"/>
        <v>676</v>
      </c>
      <c r="E217" s="295">
        <v>4</v>
      </c>
      <c r="F217" s="296">
        <v>1</v>
      </c>
      <c r="G217" s="297" t="s">
        <v>314</v>
      </c>
      <c r="H217" s="296" t="s">
        <v>1037</v>
      </c>
      <c r="I217" s="298"/>
      <c r="J217" s="299">
        <f t="shared" si="143"/>
        <v>26.6</v>
      </c>
      <c r="K217" s="609">
        <v>0</v>
      </c>
      <c r="L217" s="610" t="str">
        <f t="shared" si="148"/>
        <v>1/750</v>
      </c>
      <c r="M217" s="421">
        <f t="shared" si="149"/>
        <v>1.9</v>
      </c>
      <c r="N217" s="611">
        <f t="shared" si="150"/>
        <v>0</v>
      </c>
      <c r="O217" s="272"/>
      <c r="P217" s="281"/>
      <c r="Q217" s="272"/>
      <c r="R217" s="98"/>
      <c r="S217" s="98"/>
      <c r="T217" s="98"/>
    </row>
    <row r="218" spans="1:20" s="101" customFormat="1" ht="15.75" customHeight="1">
      <c r="A218" s="2548"/>
      <c r="B218" s="607" t="s">
        <v>4739</v>
      </c>
      <c r="C218" s="608"/>
      <c r="D218" s="294">
        <f t="shared" si="147"/>
        <v>676</v>
      </c>
      <c r="E218" s="295">
        <v>4</v>
      </c>
      <c r="F218" s="296">
        <v>1</v>
      </c>
      <c r="G218" s="297" t="s">
        <v>314</v>
      </c>
      <c r="H218" s="296" t="s">
        <v>1037</v>
      </c>
      <c r="I218" s="298"/>
      <c r="J218" s="299">
        <f t="shared" si="143"/>
        <v>26.6</v>
      </c>
      <c r="K218" s="609">
        <v>0</v>
      </c>
      <c r="L218" s="610" t="str">
        <f t="shared" si="148"/>
        <v>1/750</v>
      </c>
      <c r="M218" s="421">
        <f t="shared" si="149"/>
        <v>1.9</v>
      </c>
      <c r="N218" s="611">
        <f t="shared" si="150"/>
        <v>0</v>
      </c>
      <c r="O218" s="272"/>
      <c r="P218" s="281"/>
      <c r="Q218" s="272"/>
      <c r="R218" s="98"/>
      <c r="S218" s="98"/>
      <c r="T218" s="98"/>
    </row>
    <row r="219" spans="1:20" s="101" customFormat="1" ht="15.75" customHeight="1">
      <c r="A219" s="2548"/>
      <c r="B219" s="607" t="s">
        <v>4739</v>
      </c>
      <c r="C219" s="608"/>
      <c r="D219" s="294">
        <f t="shared" si="147"/>
        <v>676</v>
      </c>
      <c r="E219" s="295">
        <v>4</v>
      </c>
      <c r="F219" s="296">
        <v>1</v>
      </c>
      <c r="G219" s="297" t="s">
        <v>314</v>
      </c>
      <c r="H219" s="296" t="s">
        <v>1037</v>
      </c>
      <c r="I219" s="298"/>
      <c r="J219" s="299">
        <f t="shared" si="143"/>
        <v>26.6</v>
      </c>
      <c r="K219" s="609">
        <v>0</v>
      </c>
      <c r="L219" s="610" t="str">
        <f t="shared" si="148"/>
        <v>1/750</v>
      </c>
      <c r="M219" s="421">
        <f t="shared" si="149"/>
        <v>1.9</v>
      </c>
      <c r="N219" s="611">
        <f t="shared" si="150"/>
        <v>0</v>
      </c>
      <c r="O219" s="272"/>
      <c r="P219" s="281"/>
      <c r="Q219" s="272"/>
      <c r="R219" s="98"/>
      <c r="S219" s="98"/>
      <c r="T219" s="98"/>
    </row>
    <row r="220" spans="1:20" s="101" customFormat="1" ht="15.75" customHeight="1">
      <c r="A220" s="2548"/>
      <c r="B220" s="292" t="s">
        <v>801</v>
      </c>
      <c r="C220" s="608"/>
      <c r="D220" s="294">
        <f t="shared" si="147"/>
        <v>497</v>
      </c>
      <c r="E220" s="295">
        <v>1</v>
      </c>
      <c r="F220" s="296">
        <v>1</v>
      </c>
      <c r="G220" s="297" t="s">
        <v>62</v>
      </c>
      <c r="H220" s="296" t="s">
        <v>1037</v>
      </c>
      <c r="I220" s="298">
        <f>2*0.53</f>
        <v>1.06</v>
      </c>
      <c r="J220" s="299">
        <f t="shared" si="143"/>
        <v>17.7</v>
      </c>
      <c r="K220" s="609">
        <v>4</v>
      </c>
      <c r="L220" s="610" t="str">
        <f t="shared" si="148"/>
        <v>-</v>
      </c>
      <c r="M220" s="421">
        <f t="shared" si="149"/>
        <v>0</v>
      </c>
      <c r="N220" s="611">
        <f t="shared" si="150"/>
        <v>39.165675</v>
      </c>
      <c r="O220" s="272"/>
      <c r="P220" s="281"/>
      <c r="Q220" s="272"/>
      <c r="R220" s="98"/>
      <c r="S220" s="98"/>
      <c r="T220" s="98"/>
    </row>
    <row r="221" spans="1:20" s="101" customFormat="1" ht="15.75" customHeight="1" thickBot="1">
      <c r="A221" s="2549"/>
      <c r="B221" s="302" t="s">
        <v>802</v>
      </c>
      <c r="C221" s="293"/>
      <c r="D221" s="294">
        <f t="shared" si="147"/>
        <v>427</v>
      </c>
      <c r="E221" s="295">
        <v>1</v>
      </c>
      <c r="F221" s="296">
        <v>1</v>
      </c>
      <c r="G221" s="297" t="s">
        <v>62</v>
      </c>
      <c r="H221" s="296" t="s">
        <v>1038</v>
      </c>
      <c r="I221" s="298">
        <f>2*0.53</f>
        <v>1.06</v>
      </c>
      <c r="J221" s="299">
        <f t="shared" si="143"/>
        <v>17.7</v>
      </c>
      <c r="K221" s="295">
        <v>0</v>
      </c>
      <c r="L221" s="300" t="str">
        <f t="shared" si="148"/>
        <v>-</v>
      </c>
      <c r="M221" s="299">
        <f t="shared" si="149"/>
        <v>0</v>
      </c>
      <c r="N221" s="291">
        <f t="shared" si="150"/>
        <v>39.165675</v>
      </c>
      <c r="O221" s="272"/>
      <c r="P221" s="281"/>
      <c r="Q221" s="272"/>
      <c r="R221" s="98"/>
      <c r="S221" s="98"/>
      <c r="T221" s="98"/>
    </row>
    <row r="222" spans="1:20" s="123" customFormat="1" ht="22.5" customHeight="1" thickBot="1">
      <c r="A222" s="335"/>
      <c r="B222" s="337"/>
      <c r="C222" s="339"/>
      <c r="D222" s="340"/>
      <c r="E222" s="337"/>
      <c r="F222" s="337"/>
      <c r="G222" s="337"/>
      <c r="H222" s="337"/>
      <c r="I222" s="338"/>
      <c r="J222" s="338"/>
      <c r="K222" s="337"/>
      <c r="L222" s="337"/>
      <c r="M222" s="336"/>
      <c r="N222" s="612">
        <f>SUM(N213:N221)</f>
        <v>228.73154999999997</v>
      </c>
      <c r="O222" s="272"/>
      <c r="P222" s="281"/>
      <c r="Q222" s="272"/>
      <c r="R222" s="98"/>
      <c r="S222" s="98"/>
      <c r="T222" s="98"/>
    </row>
    <row r="223" spans="1:20" s="98" customFormat="1">
      <c r="B223" s="613"/>
      <c r="F223" s="614"/>
      <c r="G223" s="614"/>
      <c r="H223" s="614"/>
      <c r="L223" s="614"/>
      <c r="N223" s="615"/>
      <c r="P223" s="614"/>
      <c r="Q223" s="614"/>
    </row>
    <row r="224" spans="1:20" s="98" customFormat="1" ht="13.8" thickBot="1">
      <c r="B224" s="613"/>
      <c r="F224" s="614"/>
      <c r="G224" s="614"/>
      <c r="H224" s="614"/>
      <c r="L224" s="614"/>
      <c r="N224" s="615"/>
      <c r="P224" s="614"/>
      <c r="Q224" s="614"/>
    </row>
    <row r="225" spans="1:20" s="101" customFormat="1" ht="15.75" customHeight="1">
      <c r="A225" s="2547">
        <v>79</v>
      </c>
      <c r="B225" s="602" t="s">
        <v>2456</v>
      </c>
      <c r="C225" s="303"/>
      <c r="D225" s="304">
        <f t="shared" ref="D225" si="151">IF(H225&lt;&gt;"",VLOOKUP(G225,base_barras,IF(H225="Desnuda",2,5)+F225-1,FALSE),"-")</f>
        <v>497</v>
      </c>
      <c r="E225" s="305">
        <v>3</v>
      </c>
      <c r="F225" s="306">
        <v>1</v>
      </c>
      <c r="G225" s="307" t="s">
        <v>62</v>
      </c>
      <c r="H225" s="306" t="s">
        <v>1037</v>
      </c>
      <c r="I225" s="308">
        <v>0.25</v>
      </c>
      <c r="J225" s="309">
        <f t="shared" ref="J225:J233" si="152">IF(G225&lt;&gt;"",VLOOKUP(G225,precio_barras,9,FALSE),0)</f>
        <v>17.7</v>
      </c>
      <c r="K225" s="305">
        <v>0</v>
      </c>
      <c r="L225" s="319" t="str">
        <f t="shared" ref="L225" si="153">IF(G225&lt;&gt;"",IF(VLOOKUP(G225,base_barras,10,FALSE)&lt;&gt;"",VLOOKUP(G225,base_barras,10,FALSE),"-"),"-")</f>
        <v>-</v>
      </c>
      <c r="M225" s="309">
        <f t="shared" ref="M225" si="154">IF(L225&lt;&gt;"-",VLOOKUP(L225,precio_aislador,2,FALSE),0)</f>
        <v>0</v>
      </c>
      <c r="N225" s="334">
        <f t="shared" ref="N225" si="155">(I225*J225*F225+K225*M225)*E225*1.67*1.25</f>
        <v>27.711562499999999</v>
      </c>
      <c r="O225" s="272"/>
      <c r="P225" s="281"/>
      <c r="Q225" s="272"/>
      <c r="R225" s="98"/>
      <c r="S225" s="98"/>
      <c r="T225" s="98"/>
    </row>
    <row r="226" spans="1:20" s="101" customFormat="1" ht="13.8">
      <c r="A226" s="2548"/>
      <c r="B226" s="603" t="s">
        <v>802</v>
      </c>
      <c r="C226" s="301"/>
      <c r="D226" s="294">
        <f>IF(H226&lt;&gt;"",VLOOKUP(G226,base_barras,IF(H226="Desnuda",2,5)+F226-1,FALSE),"-")</f>
        <v>497</v>
      </c>
      <c r="E226" s="295">
        <v>3</v>
      </c>
      <c r="F226" s="296">
        <v>1</v>
      </c>
      <c r="G226" s="297" t="s">
        <v>62</v>
      </c>
      <c r="H226" s="604" t="str">
        <f>H225</f>
        <v>Pintada</v>
      </c>
      <c r="I226" s="605">
        <v>0.25</v>
      </c>
      <c r="J226" s="299">
        <f t="shared" si="152"/>
        <v>17.7</v>
      </c>
      <c r="K226" s="606">
        <v>2</v>
      </c>
      <c r="L226" s="300" t="str">
        <f>IF(G226&lt;&gt;"",IF(VLOOKUP(G226,base_barras,10,FALSE)&lt;&gt;"",VLOOKUP(G226,base_barras,10,FALSE),"-"),"-")</f>
        <v>-</v>
      </c>
      <c r="M226" s="299">
        <f>IF(L226&lt;&gt;"-",VLOOKUP(L226,precio_aislador,2,FALSE),0)</f>
        <v>0</v>
      </c>
      <c r="N226" s="291">
        <f>(I226*J226*F226+K226*M226)*E226*1.67*1.25</f>
        <v>27.711562499999999</v>
      </c>
      <c r="O226" s="272"/>
      <c r="P226" s="281"/>
      <c r="Q226" s="272"/>
      <c r="R226" s="98"/>
      <c r="S226" s="98"/>
      <c r="T226" s="98"/>
    </row>
    <row r="227" spans="1:20" s="101" customFormat="1" ht="15.75" customHeight="1">
      <c r="A227" s="2548"/>
      <c r="B227" s="607" t="s">
        <v>4738</v>
      </c>
      <c r="C227" s="608"/>
      <c r="D227" s="294">
        <f t="shared" ref="D227:D233" si="156">IF(H227&lt;&gt;"",VLOOKUP(G227,base_barras,IF(H227="Desnuda",2,5)+F227-1,FALSE),"-")</f>
        <v>1500</v>
      </c>
      <c r="E227" s="295">
        <v>3</v>
      </c>
      <c r="F227" s="296">
        <v>1</v>
      </c>
      <c r="G227" s="297" t="s">
        <v>582</v>
      </c>
      <c r="H227" s="296" t="s">
        <v>1037</v>
      </c>
      <c r="I227" s="298"/>
      <c r="J227" s="299">
        <f t="shared" si="152"/>
        <v>71.100000000000009</v>
      </c>
      <c r="K227" s="609">
        <v>0</v>
      </c>
      <c r="L227" s="610" t="str">
        <f t="shared" ref="L227:L233" si="157">IF(G227&lt;&gt;"",IF(VLOOKUP(G227,base_barras,10,FALSE)&lt;&gt;"",VLOOKUP(G227,base_barras,10,FALSE),"-"),"-")</f>
        <v>1/1000</v>
      </c>
      <c r="M227" s="421">
        <f t="shared" ref="M227:M233" si="158">IF(L227&lt;&gt;"-",VLOOKUP(L227,precio_aislador,2,FALSE),0)</f>
        <v>2.7</v>
      </c>
      <c r="N227" s="611">
        <f t="shared" ref="N227:N233" si="159">(I227*J227*F227+K227*M227)*E227*1.67*1.25</f>
        <v>0</v>
      </c>
      <c r="O227" s="272"/>
      <c r="P227" s="281"/>
      <c r="Q227" s="272"/>
      <c r="R227" s="98"/>
      <c r="S227" s="98"/>
      <c r="T227" s="98"/>
    </row>
    <row r="228" spans="1:20" s="101" customFormat="1" ht="15.75" customHeight="1">
      <c r="A228" s="2548"/>
      <c r="B228" s="607" t="s">
        <v>4739</v>
      </c>
      <c r="C228" s="608"/>
      <c r="D228" s="294">
        <f t="shared" si="156"/>
        <v>676</v>
      </c>
      <c r="E228" s="295">
        <v>4</v>
      </c>
      <c r="F228" s="296">
        <v>1</v>
      </c>
      <c r="G228" s="297" t="s">
        <v>314</v>
      </c>
      <c r="H228" s="296" t="s">
        <v>1037</v>
      </c>
      <c r="I228" s="298"/>
      <c r="J228" s="299">
        <f t="shared" si="152"/>
        <v>26.6</v>
      </c>
      <c r="K228" s="609">
        <v>0</v>
      </c>
      <c r="L228" s="610" t="str">
        <f t="shared" si="157"/>
        <v>1/750</v>
      </c>
      <c r="M228" s="421">
        <f t="shared" si="158"/>
        <v>1.9</v>
      </c>
      <c r="N228" s="611">
        <f t="shared" si="159"/>
        <v>0</v>
      </c>
      <c r="O228" s="272"/>
      <c r="P228" s="281"/>
      <c r="Q228" s="272"/>
      <c r="R228" s="98"/>
      <c r="S228" s="98"/>
      <c r="T228" s="98"/>
    </row>
    <row r="229" spans="1:20" s="101" customFormat="1" ht="15.75" customHeight="1">
      <c r="A229" s="2548"/>
      <c r="B229" s="607" t="s">
        <v>4739</v>
      </c>
      <c r="C229" s="608"/>
      <c r="D229" s="294">
        <f t="shared" si="156"/>
        <v>676</v>
      </c>
      <c r="E229" s="295">
        <v>4</v>
      </c>
      <c r="F229" s="296">
        <v>1</v>
      </c>
      <c r="G229" s="297" t="s">
        <v>314</v>
      </c>
      <c r="H229" s="296" t="s">
        <v>1037</v>
      </c>
      <c r="I229" s="298"/>
      <c r="J229" s="299">
        <f t="shared" si="152"/>
        <v>26.6</v>
      </c>
      <c r="K229" s="609">
        <v>0</v>
      </c>
      <c r="L229" s="610" t="str">
        <f t="shared" si="157"/>
        <v>1/750</v>
      </c>
      <c r="M229" s="421">
        <f t="shared" si="158"/>
        <v>1.9</v>
      </c>
      <c r="N229" s="611">
        <f t="shared" si="159"/>
        <v>0</v>
      </c>
      <c r="O229" s="272"/>
      <c r="P229" s="281"/>
      <c r="Q229" s="272"/>
      <c r="R229" s="98"/>
      <c r="S229" s="98"/>
      <c r="T229" s="98"/>
    </row>
    <row r="230" spans="1:20" s="101" customFormat="1" ht="15.75" customHeight="1">
      <c r="A230" s="2548"/>
      <c r="B230" s="607" t="s">
        <v>4739</v>
      </c>
      <c r="C230" s="608"/>
      <c r="D230" s="294">
        <f t="shared" si="156"/>
        <v>676</v>
      </c>
      <c r="E230" s="295">
        <v>4</v>
      </c>
      <c r="F230" s="296">
        <v>1</v>
      </c>
      <c r="G230" s="297" t="s">
        <v>314</v>
      </c>
      <c r="H230" s="296" t="s">
        <v>1037</v>
      </c>
      <c r="I230" s="298"/>
      <c r="J230" s="299">
        <f t="shared" si="152"/>
        <v>26.6</v>
      </c>
      <c r="K230" s="609">
        <v>0</v>
      </c>
      <c r="L230" s="610" t="str">
        <f t="shared" si="157"/>
        <v>1/750</v>
      </c>
      <c r="M230" s="421">
        <f t="shared" si="158"/>
        <v>1.9</v>
      </c>
      <c r="N230" s="611">
        <f t="shared" si="159"/>
        <v>0</v>
      </c>
      <c r="O230" s="272"/>
      <c r="P230" s="281"/>
      <c r="Q230" s="272"/>
      <c r="R230" s="98"/>
      <c r="S230" s="98"/>
      <c r="T230" s="98"/>
    </row>
    <row r="231" spans="1:20" s="101" customFormat="1" ht="15.75" customHeight="1">
      <c r="A231" s="2548"/>
      <c r="B231" s="607" t="s">
        <v>4739</v>
      </c>
      <c r="C231" s="608"/>
      <c r="D231" s="294">
        <f t="shared" si="156"/>
        <v>676</v>
      </c>
      <c r="E231" s="295">
        <v>4</v>
      </c>
      <c r="F231" s="296">
        <v>1</v>
      </c>
      <c r="G231" s="297" t="s">
        <v>314</v>
      </c>
      <c r="H231" s="296" t="s">
        <v>1037</v>
      </c>
      <c r="I231" s="298"/>
      <c r="J231" s="299">
        <f t="shared" si="152"/>
        <v>26.6</v>
      </c>
      <c r="K231" s="609">
        <v>0</v>
      </c>
      <c r="L231" s="610" t="str">
        <f t="shared" si="157"/>
        <v>1/750</v>
      </c>
      <c r="M231" s="421">
        <f t="shared" si="158"/>
        <v>1.9</v>
      </c>
      <c r="N231" s="611">
        <f t="shared" si="159"/>
        <v>0</v>
      </c>
      <c r="O231" s="272"/>
      <c r="P231" s="281"/>
      <c r="Q231" s="272"/>
      <c r="R231" s="98"/>
      <c r="S231" s="98"/>
      <c r="T231" s="98"/>
    </row>
    <row r="232" spans="1:20" s="101" customFormat="1" ht="15.75" customHeight="1">
      <c r="A232" s="2548"/>
      <c r="B232" s="292" t="s">
        <v>801</v>
      </c>
      <c r="C232" s="608"/>
      <c r="D232" s="294">
        <f t="shared" si="156"/>
        <v>497</v>
      </c>
      <c r="E232" s="295">
        <v>1</v>
      </c>
      <c r="F232" s="296">
        <v>1</v>
      </c>
      <c r="G232" s="297" t="s">
        <v>62</v>
      </c>
      <c r="H232" s="296" t="s">
        <v>1037</v>
      </c>
      <c r="I232" s="298">
        <v>0.53</v>
      </c>
      <c r="J232" s="299">
        <f t="shared" si="152"/>
        <v>17.7</v>
      </c>
      <c r="K232" s="609">
        <v>2</v>
      </c>
      <c r="L232" s="610" t="str">
        <f t="shared" si="157"/>
        <v>-</v>
      </c>
      <c r="M232" s="421">
        <f t="shared" si="158"/>
        <v>0</v>
      </c>
      <c r="N232" s="611">
        <f t="shared" si="159"/>
        <v>19.5828375</v>
      </c>
      <c r="O232" s="272"/>
      <c r="P232" s="281"/>
      <c r="Q232" s="272"/>
      <c r="R232" s="98"/>
      <c r="S232" s="98"/>
      <c r="T232" s="98"/>
    </row>
    <row r="233" spans="1:20" s="101" customFormat="1" ht="15.75" customHeight="1" thickBot="1">
      <c r="A233" s="2549"/>
      <c r="B233" s="302" t="s">
        <v>802</v>
      </c>
      <c r="C233" s="293"/>
      <c r="D233" s="294">
        <f t="shared" si="156"/>
        <v>427</v>
      </c>
      <c r="E233" s="295">
        <v>1</v>
      </c>
      <c r="F233" s="296">
        <v>1</v>
      </c>
      <c r="G233" s="297" t="s">
        <v>62</v>
      </c>
      <c r="H233" s="296" t="s">
        <v>1038</v>
      </c>
      <c r="I233" s="298">
        <v>0.53</v>
      </c>
      <c r="J233" s="299">
        <f t="shared" si="152"/>
        <v>17.7</v>
      </c>
      <c r="K233" s="295">
        <v>0</v>
      </c>
      <c r="L233" s="300" t="str">
        <f t="shared" si="157"/>
        <v>-</v>
      </c>
      <c r="M233" s="299">
        <f t="shared" si="158"/>
        <v>0</v>
      </c>
      <c r="N233" s="291">
        <f t="shared" si="159"/>
        <v>19.5828375</v>
      </c>
      <c r="O233" s="272"/>
      <c r="P233" s="281"/>
      <c r="Q233" s="272"/>
      <c r="R233" s="98"/>
      <c r="S233" s="98"/>
      <c r="T233" s="98"/>
    </row>
    <row r="234" spans="1:20" s="123" customFormat="1" ht="22.5" customHeight="1" thickBot="1">
      <c r="A234" s="335"/>
      <c r="B234" s="337"/>
      <c r="C234" s="339"/>
      <c r="D234" s="340"/>
      <c r="E234" s="337"/>
      <c r="F234" s="337"/>
      <c r="G234" s="337"/>
      <c r="H234" s="337"/>
      <c r="I234" s="338"/>
      <c r="J234" s="338"/>
      <c r="K234" s="337"/>
      <c r="L234" s="337"/>
      <c r="M234" s="336"/>
      <c r="N234" s="612">
        <f>SUM(N225:N233)</f>
        <v>94.588799999999992</v>
      </c>
      <c r="O234" s="272"/>
      <c r="P234" s="281"/>
      <c r="Q234" s="272"/>
      <c r="R234" s="98"/>
      <c r="S234" s="98"/>
      <c r="T234" s="98"/>
    </row>
    <row r="235" spans="1:20" s="98" customFormat="1">
      <c r="B235" s="613"/>
      <c r="F235" s="614"/>
      <c r="G235" s="614"/>
      <c r="H235" s="614"/>
      <c r="L235" s="614"/>
      <c r="N235" s="615"/>
      <c r="P235" s="614"/>
      <c r="Q235" s="614"/>
    </row>
    <row r="236" spans="1:20" s="98" customFormat="1" ht="13.8" thickBot="1">
      <c r="B236" s="613"/>
      <c r="F236" s="614"/>
      <c r="G236" s="614"/>
      <c r="H236" s="614"/>
      <c r="L236" s="614"/>
      <c r="N236" s="615"/>
      <c r="P236" s="614"/>
      <c r="Q236" s="614"/>
    </row>
    <row r="237" spans="1:20" s="101" customFormat="1" ht="15.75" customHeight="1">
      <c r="A237" s="2547">
        <v>172</v>
      </c>
      <c r="B237" s="602" t="s">
        <v>2456</v>
      </c>
      <c r="C237" s="303"/>
      <c r="D237" s="304">
        <f t="shared" ref="D237" si="160">IF(H237&lt;&gt;"",VLOOKUP(G237,base_barras,IF(H237="Desnuda",2,5)+F237-1,FALSE),"-")</f>
        <v>676</v>
      </c>
      <c r="E237" s="305">
        <v>3</v>
      </c>
      <c r="F237" s="306">
        <v>1</v>
      </c>
      <c r="G237" s="307" t="s">
        <v>314</v>
      </c>
      <c r="H237" s="306" t="s">
        <v>1037</v>
      </c>
      <c r="I237" s="308">
        <v>0.3</v>
      </c>
      <c r="J237" s="309">
        <f t="shared" ref="J237:J245" si="161">IF(G237&lt;&gt;"",VLOOKUP(G237,precio_barras,9,FALSE),0)</f>
        <v>26.6</v>
      </c>
      <c r="K237" s="305">
        <v>0</v>
      </c>
      <c r="L237" s="319" t="str">
        <f t="shared" ref="L237" si="162">IF(G237&lt;&gt;"",IF(VLOOKUP(G237,base_barras,10,FALSE)&lt;&gt;"",VLOOKUP(G237,base_barras,10,FALSE),"-"),"-")</f>
        <v>1/750</v>
      </c>
      <c r="M237" s="309">
        <f t="shared" ref="M237" si="163">IF(L237&lt;&gt;"-",VLOOKUP(L237,precio_aislador,2,FALSE),0)</f>
        <v>1.9</v>
      </c>
      <c r="N237" s="334">
        <f t="shared" ref="N237" si="164">(I237*J237*F237+K237*M237)*E237*1.67*1.25</f>
        <v>49.97475</v>
      </c>
      <c r="O237" s="272"/>
      <c r="P237" s="281"/>
      <c r="Q237" s="272"/>
      <c r="R237" s="98"/>
      <c r="S237" s="98"/>
      <c r="T237" s="98"/>
    </row>
    <row r="238" spans="1:20" s="101" customFormat="1" ht="13.8">
      <c r="A238" s="2548"/>
      <c r="B238" s="603" t="s">
        <v>802</v>
      </c>
      <c r="C238" s="301"/>
      <c r="D238" s="294">
        <f>IF(H238&lt;&gt;"",VLOOKUP(G238,base_barras,IF(H238="Desnuda",2,5)+F238-1,FALSE),"-")</f>
        <v>676</v>
      </c>
      <c r="E238" s="295">
        <v>3</v>
      </c>
      <c r="F238" s="296">
        <v>1</v>
      </c>
      <c r="G238" s="297" t="s">
        <v>314</v>
      </c>
      <c r="H238" s="604" t="str">
        <f>H237</f>
        <v>Pintada</v>
      </c>
      <c r="I238" s="605">
        <v>0.3</v>
      </c>
      <c r="J238" s="299">
        <f t="shared" si="161"/>
        <v>26.6</v>
      </c>
      <c r="K238" s="606">
        <v>2</v>
      </c>
      <c r="L238" s="300" t="str">
        <f>IF(G238&lt;&gt;"",IF(VLOOKUP(G238,base_barras,10,FALSE)&lt;&gt;"",VLOOKUP(G238,base_barras,10,FALSE),"-"),"-")</f>
        <v>1/750</v>
      </c>
      <c r="M238" s="299">
        <f>IF(L238&lt;&gt;"-",VLOOKUP(L238,precio_aislador,2,FALSE),0)</f>
        <v>1.9</v>
      </c>
      <c r="N238" s="291">
        <f>(I238*J238*F238+K238*M238)*E238*1.67*1.25</f>
        <v>73.77225</v>
      </c>
      <c r="O238" s="272"/>
      <c r="P238" s="281"/>
      <c r="Q238" s="272"/>
      <c r="R238" s="98"/>
      <c r="S238" s="98"/>
      <c r="T238" s="98"/>
    </row>
    <row r="239" spans="1:20" s="101" customFormat="1" ht="15.75" customHeight="1">
      <c r="A239" s="2548"/>
      <c r="B239" s="607" t="s">
        <v>4738</v>
      </c>
      <c r="C239" s="608"/>
      <c r="D239" s="294">
        <f t="shared" ref="D239:D245" si="165">IF(H239&lt;&gt;"",VLOOKUP(G239,base_barras,IF(H239="Desnuda",2,5)+F239-1,FALSE),"-")</f>
        <v>1500</v>
      </c>
      <c r="E239" s="295">
        <v>3</v>
      </c>
      <c r="F239" s="296">
        <v>1</v>
      </c>
      <c r="G239" s="297" t="s">
        <v>582</v>
      </c>
      <c r="H239" s="296" t="s">
        <v>1037</v>
      </c>
      <c r="I239" s="298"/>
      <c r="J239" s="299">
        <f t="shared" si="161"/>
        <v>71.100000000000009</v>
      </c>
      <c r="K239" s="609">
        <v>0</v>
      </c>
      <c r="L239" s="610" t="str">
        <f t="shared" ref="L239:L245" si="166">IF(G239&lt;&gt;"",IF(VLOOKUP(G239,base_barras,10,FALSE)&lt;&gt;"",VLOOKUP(G239,base_barras,10,FALSE),"-"),"-")</f>
        <v>1/1000</v>
      </c>
      <c r="M239" s="421">
        <f t="shared" ref="M239:M245" si="167">IF(L239&lt;&gt;"-",VLOOKUP(L239,precio_aislador,2,FALSE),0)</f>
        <v>2.7</v>
      </c>
      <c r="N239" s="611">
        <f t="shared" ref="N239:N245" si="168">(I239*J239*F239+K239*M239)*E239*1.67*1.25</f>
        <v>0</v>
      </c>
      <c r="O239" s="272"/>
      <c r="P239" s="281"/>
      <c r="Q239" s="272"/>
      <c r="R239" s="98"/>
      <c r="S239" s="98"/>
      <c r="T239" s="98"/>
    </row>
    <row r="240" spans="1:20" s="101" customFormat="1" ht="15.75" customHeight="1">
      <c r="A240" s="2548"/>
      <c r="B240" s="607" t="s">
        <v>4739</v>
      </c>
      <c r="C240" s="608"/>
      <c r="D240" s="294">
        <f t="shared" si="165"/>
        <v>676</v>
      </c>
      <c r="E240" s="295">
        <v>4</v>
      </c>
      <c r="F240" s="296">
        <v>1</v>
      </c>
      <c r="G240" s="297" t="s">
        <v>314</v>
      </c>
      <c r="H240" s="296" t="s">
        <v>1037</v>
      </c>
      <c r="I240" s="298"/>
      <c r="J240" s="299">
        <f t="shared" si="161"/>
        <v>26.6</v>
      </c>
      <c r="K240" s="609">
        <v>0</v>
      </c>
      <c r="L240" s="610" t="str">
        <f t="shared" si="166"/>
        <v>1/750</v>
      </c>
      <c r="M240" s="421">
        <f t="shared" si="167"/>
        <v>1.9</v>
      </c>
      <c r="N240" s="611">
        <f t="shared" si="168"/>
        <v>0</v>
      </c>
      <c r="O240" s="272"/>
      <c r="P240" s="281"/>
      <c r="Q240" s="272"/>
      <c r="R240" s="98"/>
      <c r="S240" s="98"/>
      <c r="T240" s="98"/>
    </row>
    <row r="241" spans="1:20" s="101" customFormat="1" ht="15.75" customHeight="1">
      <c r="A241" s="2548"/>
      <c r="B241" s="607" t="s">
        <v>4739</v>
      </c>
      <c r="C241" s="608"/>
      <c r="D241" s="294">
        <f t="shared" si="165"/>
        <v>676</v>
      </c>
      <c r="E241" s="295">
        <v>4</v>
      </c>
      <c r="F241" s="296">
        <v>1</v>
      </c>
      <c r="G241" s="297" t="s">
        <v>314</v>
      </c>
      <c r="H241" s="296" t="s">
        <v>1037</v>
      </c>
      <c r="I241" s="298"/>
      <c r="J241" s="299">
        <f t="shared" si="161"/>
        <v>26.6</v>
      </c>
      <c r="K241" s="609">
        <v>0</v>
      </c>
      <c r="L241" s="610" t="str">
        <f t="shared" si="166"/>
        <v>1/750</v>
      </c>
      <c r="M241" s="421">
        <f t="shared" si="167"/>
        <v>1.9</v>
      </c>
      <c r="N241" s="611">
        <f t="shared" si="168"/>
        <v>0</v>
      </c>
      <c r="O241" s="272"/>
      <c r="P241" s="281"/>
      <c r="Q241" s="272"/>
      <c r="R241" s="98"/>
      <c r="S241" s="98"/>
      <c r="T241" s="98"/>
    </row>
    <row r="242" spans="1:20" s="101" customFormat="1" ht="15.75" customHeight="1">
      <c r="A242" s="2548"/>
      <c r="B242" s="607" t="s">
        <v>4739</v>
      </c>
      <c r="C242" s="608"/>
      <c r="D242" s="294">
        <f t="shared" si="165"/>
        <v>676</v>
      </c>
      <c r="E242" s="295">
        <v>4</v>
      </c>
      <c r="F242" s="296">
        <v>1</v>
      </c>
      <c r="G242" s="297" t="s">
        <v>314</v>
      </c>
      <c r="H242" s="296" t="s">
        <v>1037</v>
      </c>
      <c r="I242" s="298"/>
      <c r="J242" s="299">
        <f t="shared" si="161"/>
        <v>26.6</v>
      </c>
      <c r="K242" s="609">
        <v>0</v>
      </c>
      <c r="L242" s="610" t="str">
        <f t="shared" si="166"/>
        <v>1/750</v>
      </c>
      <c r="M242" s="421">
        <f t="shared" si="167"/>
        <v>1.9</v>
      </c>
      <c r="N242" s="611">
        <f t="shared" si="168"/>
        <v>0</v>
      </c>
      <c r="O242" s="272"/>
      <c r="P242" s="281"/>
      <c r="Q242" s="272"/>
      <c r="R242" s="98"/>
      <c r="S242" s="98"/>
      <c r="T242" s="98"/>
    </row>
    <row r="243" spans="1:20" s="101" customFormat="1" ht="15.75" customHeight="1">
      <c r="A243" s="2548"/>
      <c r="B243" s="607" t="s">
        <v>4739</v>
      </c>
      <c r="C243" s="608"/>
      <c r="D243" s="294">
        <f t="shared" si="165"/>
        <v>676</v>
      </c>
      <c r="E243" s="295">
        <v>4</v>
      </c>
      <c r="F243" s="296">
        <v>1</v>
      </c>
      <c r="G243" s="297" t="s">
        <v>314</v>
      </c>
      <c r="H243" s="296" t="s">
        <v>1037</v>
      </c>
      <c r="I243" s="298"/>
      <c r="J243" s="299">
        <f t="shared" si="161"/>
        <v>26.6</v>
      </c>
      <c r="K243" s="609">
        <v>0</v>
      </c>
      <c r="L243" s="610" t="str">
        <f t="shared" si="166"/>
        <v>1/750</v>
      </c>
      <c r="M243" s="421">
        <f t="shared" si="167"/>
        <v>1.9</v>
      </c>
      <c r="N243" s="611">
        <f t="shared" si="168"/>
        <v>0</v>
      </c>
      <c r="O243" s="272"/>
      <c r="P243" s="281"/>
      <c r="Q243" s="272"/>
      <c r="R243" s="98"/>
      <c r="S243" s="98"/>
      <c r="T243" s="98"/>
    </row>
    <row r="244" spans="1:20" s="101" customFormat="1" ht="15.75" customHeight="1">
      <c r="A244" s="2548"/>
      <c r="B244" s="292" t="s">
        <v>801</v>
      </c>
      <c r="C244" s="608"/>
      <c r="D244" s="294">
        <f t="shared" si="165"/>
        <v>676</v>
      </c>
      <c r="E244" s="295">
        <v>1</v>
      </c>
      <c r="F244" s="296">
        <v>1</v>
      </c>
      <c r="G244" s="297" t="s">
        <v>314</v>
      </c>
      <c r="H244" s="296" t="s">
        <v>1037</v>
      </c>
      <c r="I244" s="298">
        <v>0.7</v>
      </c>
      <c r="J244" s="299">
        <f t="shared" si="161"/>
        <v>26.6</v>
      </c>
      <c r="K244" s="609">
        <v>2</v>
      </c>
      <c r="L244" s="610" t="str">
        <f t="shared" si="166"/>
        <v>1/750</v>
      </c>
      <c r="M244" s="421">
        <f t="shared" si="167"/>
        <v>1.9</v>
      </c>
      <c r="N244" s="611">
        <f t="shared" si="168"/>
        <v>46.801749999999998</v>
      </c>
      <c r="O244" s="272"/>
      <c r="P244" s="281"/>
      <c r="Q244" s="272"/>
      <c r="R244" s="98"/>
      <c r="S244" s="98"/>
      <c r="T244" s="98"/>
    </row>
    <row r="245" spans="1:20" s="101" customFormat="1" ht="15.75" customHeight="1" thickBot="1">
      <c r="A245" s="2549"/>
      <c r="B245" s="302" t="s">
        <v>802</v>
      </c>
      <c r="C245" s="293"/>
      <c r="D245" s="294">
        <f t="shared" si="165"/>
        <v>327</v>
      </c>
      <c r="E245" s="295">
        <v>1</v>
      </c>
      <c r="F245" s="296">
        <v>1</v>
      </c>
      <c r="G245" s="297" t="s">
        <v>63</v>
      </c>
      <c r="H245" s="296" t="s">
        <v>1038</v>
      </c>
      <c r="I245" s="298">
        <v>0.7</v>
      </c>
      <c r="J245" s="299">
        <f t="shared" si="161"/>
        <v>11.100000000000001</v>
      </c>
      <c r="K245" s="295">
        <v>0</v>
      </c>
      <c r="L245" s="300" t="str">
        <f t="shared" si="166"/>
        <v>0.5/400</v>
      </c>
      <c r="M245" s="299">
        <f t="shared" si="167"/>
        <v>1.2</v>
      </c>
      <c r="N245" s="291">
        <f t="shared" si="168"/>
        <v>16.219875000000002</v>
      </c>
      <c r="O245" s="272"/>
      <c r="P245" s="281"/>
      <c r="Q245" s="272"/>
      <c r="R245" s="98"/>
      <c r="S245" s="98"/>
      <c r="T245" s="98"/>
    </row>
    <row r="246" spans="1:20" s="123" customFormat="1" ht="22.5" customHeight="1" thickBot="1">
      <c r="A246" s="335"/>
      <c r="B246" s="337"/>
      <c r="C246" s="339"/>
      <c r="D246" s="340"/>
      <c r="E246" s="337"/>
      <c r="F246" s="337"/>
      <c r="G246" s="337"/>
      <c r="H246" s="337"/>
      <c r="I246" s="338"/>
      <c r="J246" s="338"/>
      <c r="K246" s="337"/>
      <c r="L246" s="337"/>
      <c r="M246" s="336"/>
      <c r="N246" s="612">
        <f>SUM(N237:N245)</f>
        <v>186.76862499999999</v>
      </c>
      <c r="O246" s="272"/>
      <c r="P246" s="281"/>
      <c r="Q246" s="272"/>
      <c r="R246" s="98"/>
      <c r="S246" s="98"/>
      <c r="T246" s="98"/>
    </row>
    <row r="247" spans="1:20" s="105" customFormat="1">
      <c r="B247" s="106"/>
      <c r="F247" s="107"/>
      <c r="G247" s="107"/>
      <c r="H247" s="107"/>
      <c r="L247" s="107"/>
      <c r="N247" s="289"/>
      <c r="P247" s="107"/>
      <c r="Q247" s="107"/>
    </row>
    <row r="248" spans="1:20" s="105" customFormat="1">
      <c r="B248" s="106"/>
      <c r="F248" s="107"/>
      <c r="G248" s="107"/>
      <c r="H248" s="107"/>
      <c r="L248" s="107"/>
      <c r="N248" s="289"/>
      <c r="P248" s="107"/>
      <c r="Q248" s="107"/>
    </row>
    <row r="249" spans="1:20" s="98" customFormat="1">
      <c r="A249" s="1726"/>
      <c r="B249" s="613"/>
      <c r="F249" s="614"/>
      <c r="G249" s="614"/>
      <c r="H249" s="614"/>
      <c r="L249" s="614"/>
      <c r="N249" s="615"/>
      <c r="P249" s="614"/>
      <c r="Q249" s="614"/>
    </row>
    <row r="250" spans="1:20" s="98" customFormat="1" ht="13.8" thickBot="1">
      <c r="B250" s="613"/>
      <c r="F250" s="614"/>
      <c r="G250" s="614"/>
      <c r="H250" s="614"/>
      <c r="L250" s="614"/>
      <c r="N250" s="615"/>
      <c r="P250" s="614"/>
      <c r="Q250" s="614"/>
    </row>
    <row r="251" spans="1:20" s="101" customFormat="1" ht="15.75" customHeight="1">
      <c r="A251" s="2547">
        <v>30</v>
      </c>
      <c r="B251" s="602" t="s">
        <v>2456</v>
      </c>
      <c r="C251" s="303"/>
      <c r="D251" s="304">
        <f t="shared" ref="D251" si="169">IF(H251&lt;&gt;"",VLOOKUP(G251,base_barras,IF(H251="Desnuda",2,5)+F251-1,FALSE),"-")</f>
        <v>1020</v>
      </c>
      <c r="E251" s="305">
        <v>3</v>
      </c>
      <c r="F251" s="306">
        <v>1</v>
      </c>
      <c r="G251" s="307" t="s">
        <v>315</v>
      </c>
      <c r="H251" s="306" t="s">
        <v>1037</v>
      </c>
      <c r="I251" s="308">
        <v>0.3</v>
      </c>
      <c r="J251" s="309">
        <f t="shared" ref="J251:J259" si="170">IF(G251&lt;&gt;"",VLOOKUP(G251,precio_barras,9,FALSE),0)</f>
        <v>44.400000000000006</v>
      </c>
      <c r="K251" s="305">
        <v>0</v>
      </c>
      <c r="L251" s="319" t="str">
        <f t="shared" ref="L251" si="171">IF(G251&lt;&gt;"",IF(VLOOKUP(G251,base_barras,10,FALSE)&lt;&gt;"",VLOOKUP(G251,base_barras,10,FALSE),"-"),"-")</f>
        <v>1/750</v>
      </c>
      <c r="M251" s="309">
        <f t="shared" ref="M251" si="172">IF(L251&lt;&gt;"-",VLOOKUP(L251,precio_aislador,2,FALSE),0)</f>
        <v>1.9</v>
      </c>
      <c r="N251" s="334">
        <f t="shared" ref="N251" si="173">(I251*J251*F251+K251*M251)*E251*1.67*1.25</f>
        <v>83.416500000000013</v>
      </c>
      <c r="O251" s="272"/>
      <c r="P251" s="281"/>
      <c r="Q251" s="272"/>
      <c r="R251" s="98"/>
      <c r="S251" s="98"/>
      <c r="T251" s="98"/>
    </row>
    <row r="252" spans="1:20" s="101" customFormat="1" ht="13.8">
      <c r="A252" s="2548"/>
      <c r="B252" s="603" t="s">
        <v>802</v>
      </c>
      <c r="C252" s="301"/>
      <c r="D252" s="294">
        <f>IF(H252&lt;&gt;"",VLOOKUP(G252,base_barras,IF(H252="Desnuda",2,5)+F252-1,FALSE),"-")</f>
        <v>1020</v>
      </c>
      <c r="E252" s="295">
        <v>3</v>
      </c>
      <c r="F252" s="296">
        <v>1</v>
      </c>
      <c r="G252" s="297" t="s">
        <v>315</v>
      </c>
      <c r="H252" s="604" t="str">
        <f>H251</f>
        <v>Pintada</v>
      </c>
      <c r="I252" s="605">
        <v>0.41</v>
      </c>
      <c r="J252" s="299">
        <f t="shared" si="170"/>
        <v>44.400000000000006</v>
      </c>
      <c r="K252" s="606">
        <v>2</v>
      </c>
      <c r="L252" s="300" t="str">
        <f>IF(G252&lt;&gt;"",IF(VLOOKUP(G252,base_barras,10,FALSE)&lt;&gt;"",VLOOKUP(G252,base_barras,10,FALSE),"-"),"-")</f>
        <v>1/750</v>
      </c>
      <c r="M252" s="299">
        <f>IF(L252&lt;&gt;"-",VLOOKUP(L252,precio_aislador,2,FALSE),0)</f>
        <v>1.9</v>
      </c>
      <c r="N252" s="291">
        <f>(I252*J252*F252+K252*M252)*E252*1.67*1.25</f>
        <v>137.80005</v>
      </c>
      <c r="O252" s="272"/>
      <c r="P252" s="281"/>
      <c r="Q252" s="272"/>
      <c r="R252" s="98"/>
      <c r="S252" s="98"/>
      <c r="T252" s="98"/>
    </row>
    <row r="253" spans="1:20" s="101" customFormat="1" ht="15.75" customHeight="1">
      <c r="A253" s="2548"/>
      <c r="B253" s="607" t="s">
        <v>4738</v>
      </c>
      <c r="C253" s="608"/>
      <c r="D253" s="294">
        <f t="shared" ref="D253:D259" si="174">IF(H253&lt;&gt;"",VLOOKUP(G253,base_barras,IF(H253="Desnuda",2,5)+F253-1,FALSE),"-")</f>
        <v>2410</v>
      </c>
      <c r="E253" s="295">
        <v>3</v>
      </c>
      <c r="F253" s="296">
        <v>2</v>
      </c>
      <c r="G253" s="297" t="s">
        <v>582</v>
      </c>
      <c r="H253" s="296" t="s">
        <v>1037</v>
      </c>
      <c r="I253" s="298"/>
      <c r="J253" s="299">
        <f t="shared" si="170"/>
        <v>71.100000000000009</v>
      </c>
      <c r="K253" s="609">
        <v>0</v>
      </c>
      <c r="L253" s="610" t="str">
        <f t="shared" ref="L253:L259" si="175">IF(G253&lt;&gt;"",IF(VLOOKUP(G253,base_barras,10,FALSE)&lt;&gt;"",VLOOKUP(G253,base_barras,10,FALSE),"-"),"-")</f>
        <v>1/1000</v>
      </c>
      <c r="M253" s="421">
        <f t="shared" ref="M253:M259" si="176">IF(L253&lt;&gt;"-",VLOOKUP(L253,precio_aislador,2,FALSE),0)</f>
        <v>2.7</v>
      </c>
      <c r="N253" s="611">
        <f t="shared" ref="N253:N259" si="177">(I253*J253*F253+K253*M253)*E253*1.67*1.25</f>
        <v>0</v>
      </c>
      <c r="O253" s="272"/>
      <c r="P253" s="281"/>
      <c r="Q253" s="272"/>
      <c r="R253" s="98"/>
      <c r="S253" s="98"/>
      <c r="T253" s="98"/>
    </row>
    <row r="254" spans="1:20" s="101" customFormat="1" ht="15.75" customHeight="1">
      <c r="A254" s="2548"/>
      <c r="B254" s="607" t="s">
        <v>4739</v>
      </c>
      <c r="C254" s="608"/>
      <c r="D254" s="294">
        <f t="shared" si="174"/>
        <v>676</v>
      </c>
      <c r="E254" s="295">
        <v>4</v>
      </c>
      <c r="F254" s="296">
        <v>1</v>
      </c>
      <c r="G254" s="297" t="s">
        <v>314</v>
      </c>
      <c r="H254" s="296" t="s">
        <v>1037</v>
      </c>
      <c r="I254" s="298"/>
      <c r="J254" s="299">
        <f t="shared" si="170"/>
        <v>26.6</v>
      </c>
      <c r="K254" s="609">
        <v>0</v>
      </c>
      <c r="L254" s="610" t="str">
        <f t="shared" si="175"/>
        <v>1/750</v>
      </c>
      <c r="M254" s="421">
        <f t="shared" si="176"/>
        <v>1.9</v>
      </c>
      <c r="N254" s="611">
        <f t="shared" si="177"/>
        <v>0</v>
      </c>
      <c r="O254" s="272"/>
      <c r="P254" s="281"/>
      <c r="Q254" s="272"/>
      <c r="R254" s="98"/>
      <c r="S254" s="98"/>
      <c r="T254" s="98"/>
    </row>
    <row r="255" spans="1:20" s="101" customFormat="1" ht="15.75" customHeight="1">
      <c r="A255" s="2548"/>
      <c r="B255" s="607" t="s">
        <v>4739</v>
      </c>
      <c r="C255" s="608"/>
      <c r="D255" s="294">
        <f t="shared" si="174"/>
        <v>676</v>
      </c>
      <c r="E255" s="295">
        <v>4</v>
      </c>
      <c r="F255" s="296">
        <v>1</v>
      </c>
      <c r="G255" s="297" t="s">
        <v>314</v>
      </c>
      <c r="H255" s="296" t="s">
        <v>1037</v>
      </c>
      <c r="I255" s="298"/>
      <c r="J255" s="299">
        <f t="shared" si="170"/>
        <v>26.6</v>
      </c>
      <c r="K255" s="609">
        <v>0</v>
      </c>
      <c r="L255" s="610" t="str">
        <f t="shared" si="175"/>
        <v>1/750</v>
      </c>
      <c r="M255" s="421">
        <f t="shared" si="176"/>
        <v>1.9</v>
      </c>
      <c r="N255" s="611">
        <f t="shared" si="177"/>
        <v>0</v>
      </c>
      <c r="O255" s="272"/>
      <c r="P255" s="281"/>
      <c r="Q255" s="272"/>
      <c r="R255" s="98"/>
      <c r="S255" s="98"/>
      <c r="T255" s="98"/>
    </row>
    <row r="256" spans="1:20" s="101" customFormat="1" ht="15.75" customHeight="1">
      <c r="A256" s="2548"/>
      <c r="B256" s="607" t="s">
        <v>4739</v>
      </c>
      <c r="C256" s="608"/>
      <c r="D256" s="294">
        <f t="shared" si="174"/>
        <v>676</v>
      </c>
      <c r="E256" s="295">
        <v>4</v>
      </c>
      <c r="F256" s="296">
        <v>1</v>
      </c>
      <c r="G256" s="297" t="s">
        <v>314</v>
      </c>
      <c r="H256" s="296" t="s">
        <v>1037</v>
      </c>
      <c r="I256" s="298"/>
      <c r="J256" s="299">
        <f t="shared" si="170"/>
        <v>26.6</v>
      </c>
      <c r="K256" s="609">
        <v>0</v>
      </c>
      <c r="L256" s="610" t="str">
        <f t="shared" si="175"/>
        <v>1/750</v>
      </c>
      <c r="M256" s="421">
        <f t="shared" si="176"/>
        <v>1.9</v>
      </c>
      <c r="N256" s="611">
        <f t="shared" si="177"/>
        <v>0</v>
      </c>
      <c r="O256" s="272"/>
      <c r="P256" s="281"/>
      <c r="Q256" s="272"/>
      <c r="R256" s="98"/>
      <c r="S256" s="98"/>
      <c r="T256" s="98"/>
    </row>
    <row r="257" spans="1:20" s="101" customFormat="1" ht="15.75" customHeight="1">
      <c r="A257" s="2548"/>
      <c r="B257" s="607" t="s">
        <v>4739</v>
      </c>
      <c r="C257" s="608"/>
      <c r="D257" s="294">
        <f t="shared" si="174"/>
        <v>676</v>
      </c>
      <c r="E257" s="295">
        <v>4</v>
      </c>
      <c r="F257" s="296">
        <v>1</v>
      </c>
      <c r="G257" s="297" t="s">
        <v>314</v>
      </c>
      <c r="H257" s="296" t="s">
        <v>1037</v>
      </c>
      <c r="I257" s="298"/>
      <c r="J257" s="299">
        <f t="shared" si="170"/>
        <v>26.6</v>
      </c>
      <c r="K257" s="609">
        <v>0</v>
      </c>
      <c r="L257" s="610" t="str">
        <f t="shared" si="175"/>
        <v>1/750</v>
      </c>
      <c r="M257" s="421">
        <f t="shared" si="176"/>
        <v>1.9</v>
      </c>
      <c r="N257" s="611">
        <f t="shared" si="177"/>
        <v>0</v>
      </c>
      <c r="O257" s="272"/>
      <c r="P257" s="281"/>
      <c r="Q257" s="272"/>
      <c r="R257" s="98"/>
      <c r="S257" s="98"/>
      <c r="T257" s="98"/>
    </row>
    <row r="258" spans="1:20" s="101" customFormat="1" ht="15.75" customHeight="1">
      <c r="A258" s="2548"/>
      <c r="B258" s="292" t="s">
        <v>801</v>
      </c>
      <c r="C258" s="608"/>
      <c r="D258" s="294">
        <f t="shared" si="174"/>
        <v>1020</v>
      </c>
      <c r="E258" s="295">
        <v>4</v>
      </c>
      <c r="F258" s="296">
        <v>1</v>
      </c>
      <c r="G258" s="297" t="s">
        <v>315</v>
      </c>
      <c r="H258" s="296" t="s">
        <v>1037</v>
      </c>
      <c r="I258" s="298">
        <v>0.6</v>
      </c>
      <c r="J258" s="299">
        <f t="shared" si="170"/>
        <v>44.400000000000006</v>
      </c>
      <c r="K258" s="609">
        <v>2</v>
      </c>
      <c r="L258" s="610" t="str">
        <f t="shared" si="175"/>
        <v>1/750</v>
      </c>
      <c r="M258" s="421">
        <f t="shared" si="176"/>
        <v>1.9</v>
      </c>
      <c r="N258" s="611">
        <f t="shared" si="177"/>
        <v>254.17400000000004</v>
      </c>
      <c r="O258" s="272"/>
      <c r="P258" s="281"/>
      <c r="Q258" s="272"/>
      <c r="R258" s="98"/>
      <c r="S258" s="98"/>
      <c r="T258" s="98"/>
    </row>
    <row r="259" spans="1:20" s="101" customFormat="1" ht="15.75" customHeight="1" thickBot="1">
      <c r="A259" s="2549"/>
      <c r="B259" s="302" t="s">
        <v>802</v>
      </c>
      <c r="C259" s="293"/>
      <c r="D259" s="294">
        <f t="shared" si="174"/>
        <v>327</v>
      </c>
      <c r="E259" s="295">
        <v>4</v>
      </c>
      <c r="F259" s="296">
        <v>1</v>
      </c>
      <c r="G259" s="297" t="s">
        <v>63</v>
      </c>
      <c r="H259" s="296" t="s">
        <v>1038</v>
      </c>
      <c r="I259" s="298">
        <v>0.6</v>
      </c>
      <c r="J259" s="299">
        <f t="shared" si="170"/>
        <v>11.100000000000001</v>
      </c>
      <c r="K259" s="295">
        <v>0</v>
      </c>
      <c r="L259" s="300" t="str">
        <f t="shared" si="175"/>
        <v>0.5/400</v>
      </c>
      <c r="M259" s="299">
        <f t="shared" si="176"/>
        <v>1.2</v>
      </c>
      <c r="N259" s="291">
        <f t="shared" si="177"/>
        <v>55.611000000000004</v>
      </c>
      <c r="O259" s="272"/>
      <c r="P259" s="281"/>
      <c r="Q259" s="272"/>
      <c r="R259" s="98"/>
      <c r="S259" s="98"/>
      <c r="T259" s="98"/>
    </row>
    <row r="260" spans="1:20" s="123" customFormat="1" ht="22.5" customHeight="1" thickBot="1">
      <c r="A260" s="335"/>
      <c r="B260" s="337"/>
      <c r="C260" s="339"/>
      <c r="D260" s="340"/>
      <c r="E260" s="337"/>
      <c r="F260" s="337"/>
      <c r="G260" s="337"/>
      <c r="H260" s="337"/>
      <c r="I260" s="338"/>
      <c r="J260" s="338"/>
      <c r="K260" s="337"/>
      <c r="L260" s="337"/>
      <c r="M260" s="336"/>
      <c r="N260" s="612">
        <f>SUM(N251:N259)</f>
        <v>531.00155000000007</v>
      </c>
      <c r="O260" s="272"/>
      <c r="P260" s="281"/>
      <c r="Q260" s="272"/>
      <c r="R260" s="98"/>
      <c r="S260" s="98"/>
      <c r="T260" s="98"/>
    </row>
    <row r="261" spans="1:20" s="98" customFormat="1">
      <c r="B261" s="613"/>
      <c r="F261" s="614"/>
      <c r="G261" s="614"/>
      <c r="H261" s="614"/>
      <c r="L261" s="614"/>
      <c r="N261" s="615"/>
      <c r="P261" s="614"/>
      <c r="Q261" s="614"/>
    </row>
    <row r="262" spans="1:20" s="98" customFormat="1">
      <c r="B262" s="613"/>
      <c r="F262" s="614"/>
      <c r="G262" s="614"/>
      <c r="H262" s="614"/>
      <c r="L262" s="614"/>
      <c r="N262" s="615"/>
      <c r="P262" s="614"/>
      <c r="Q262" s="614"/>
    </row>
    <row r="263" spans="1:20" s="98" customFormat="1" ht="13.8" thickBot="1">
      <c r="B263" s="613"/>
      <c r="F263" s="614"/>
      <c r="G263" s="614"/>
      <c r="H263" s="614"/>
      <c r="L263" s="614"/>
      <c r="N263" s="615"/>
      <c r="P263" s="614"/>
      <c r="Q263" s="614"/>
    </row>
    <row r="264" spans="1:20" s="101" customFormat="1" ht="15.75" customHeight="1">
      <c r="A264" s="2547">
        <v>31</v>
      </c>
      <c r="B264" s="602" t="s">
        <v>2456</v>
      </c>
      <c r="C264" s="303"/>
      <c r="D264" s="304">
        <f t="shared" ref="D264" si="178">IF(H264&lt;&gt;"",VLOOKUP(G264,base_barras,IF(H264="Desnuda",2,5)+F264-1,FALSE),"-")</f>
        <v>676</v>
      </c>
      <c r="E264" s="305">
        <v>3</v>
      </c>
      <c r="F264" s="306">
        <v>1</v>
      </c>
      <c r="G264" s="307" t="s">
        <v>314</v>
      </c>
      <c r="H264" s="306" t="s">
        <v>1037</v>
      </c>
      <c r="I264" s="308">
        <v>0.3</v>
      </c>
      <c r="J264" s="309">
        <f t="shared" ref="J264:J272" si="179">IF(G264&lt;&gt;"",VLOOKUP(G264,precio_barras,9,FALSE),0)</f>
        <v>26.6</v>
      </c>
      <c r="K264" s="305">
        <v>0</v>
      </c>
      <c r="L264" s="319" t="str">
        <f t="shared" ref="L264" si="180">IF(G264&lt;&gt;"",IF(VLOOKUP(G264,base_barras,10,FALSE)&lt;&gt;"",VLOOKUP(G264,base_barras,10,FALSE),"-"),"-")</f>
        <v>1/750</v>
      </c>
      <c r="M264" s="309">
        <f t="shared" ref="M264" si="181">IF(L264&lt;&gt;"-",VLOOKUP(L264,precio_aislador,2,FALSE),0)</f>
        <v>1.9</v>
      </c>
      <c r="N264" s="334">
        <f t="shared" ref="N264" si="182">(I264*J264*F264+K264*M264)*E264*1.67*1.25</f>
        <v>49.97475</v>
      </c>
      <c r="O264" s="272"/>
      <c r="P264" s="281"/>
      <c r="Q264" s="272"/>
      <c r="R264" s="98"/>
      <c r="S264" s="98"/>
      <c r="T264" s="98"/>
    </row>
    <row r="265" spans="1:20" s="101" customFormat="1" ht="13.8">
      <c r="A265" s="2548"/>
      <c r="B265" s="603" t="s">
        <v>802</v>
      </c>
      <c r="C265" s="301"/>
      <c r="D265" s="294">
        <f>IF(H265&lt;&gt;"",VLOOKUP(G265,base_barras,IF(H265="Desnuda",2,5)+F265-1,FALSE),"-")</f>
        <v>676</v>
      </c>
      <c r="E265" s="295">
        <v>3</v>
      </c>
      <c r="F265" s="296">
        <v>1</v>
      </c>
      <c r="G265" s="297" t="s">
        <v>314</v>
      </c>
      <c r="H265" s="604" t="str">
        <f>H264</f>
        <v>Pintada</v>
      </c>
      <c r="I265" s="605"/>
      <c r="J265" s="299">
        <f t="shared" si="179"/>
        <v>26.6</v>
      </c>
      <c r="K265" s="606">
        <v>0</v>
      </c>
      <c r="L265" s="300" t="str">
        <f>IF(G265&lt;&gt;"",IF(VLOOKUP(G265,base_barras,10,FALSE)&lt;&gt;"",VLOOKUP(G265,base_barras,10,FALSE),"-"),"-")</f>
        <v>1/750</v>
      </c>
      <c r="M265" s="299">
        <f>IF(L265&lt;&gt;"-",VLOOKUP(L265,precio_aislador,2,FALSE),0)</f>
        <v>1.9</v>
      </c>
      <c r="N265" s="291">
        <f>(I265*J265*F265+K265*M265)*E265*1.67*1.25</f>
        <v>0</v>
      </c>
      <c r="O265" s="272"/>
      <c r="P265" s="281"/>
      <c r="Q265" s="272"/>
      <c r="R265" s="98"/>
      <c r="S265" s="98"/>
      <c r="T265" s="98"/>
    </row>
    <row r="266" spans="1:20" s="101" customFormat="1" ht="15.75" customHeight="1">
      <c r="A266" s="2548"/>
      <c r="B266" s="607" t="s">
        <v>4738</v>
      </c>
      <c r="C266" s="608"/>
      <c r="D266" s="294">
        <f t="shared" ref="D266:D272" si="183">IF(H266&lt;&gt;"",VLOOKUP(G266,base_barras,IF(H266="Desnuda",2,5)+F266-1,FALSE),"-")</f>
        <v>2410</v>
      </c>
      <c r="E266" s="295">
        <v>3</v>
      </c>
      <c r="F266" s="296">
        <v>2</v>
      </c>
      <c r="G266" s="297" t="s">
        <v>582</v>
      </c>
      <c r="H266" s="296" t="s">
        <v>1037</v>
      </c>
      <c r="I266" s="298"/>
      <c r="J266" s="299">
        <f t="shared" si="179"/>
        <v>71.100000000000009</v>
      </c>
      <c r="K266" s="609">
        <v>0</v>
      </c>
      <c r="L266" s="610" t="str">
        <f t="shared" ref="L266:L272" si="184">IF(G266&lt;&gt;"",IF(VLOOKUP(G266,base_barras,10,FALSE)&lt;&gt;"",VLOOKUP(G266,base_barras,10,FALSE),"-"),"-")</f>
        <v>1/1000</v>
      </c>
      <c r="M266" s="421">
        <f t="shared" ref="M266:M272" si="185">IF(L266&lt;&gt;"-",VLOOKUP(L266,precio_aislador,2,FALSE),0)</f>
        <v>2.7</v>
      </c>
      <c r="N266" s="611">
        <f t="shared" ref="N266:N272" si="186">(I266*J266*F266+K266*M266)*E266*1.67*1.25</f>
        <v>0</v>
      </c>
      <c r="O266" s="272"/>
      <c r="P266" s="281"/>
      <c r="Q266" s="272"/>
      <c r="R266" s="98"/>
      <c r="S266" s="98"/>
      <c r="T266" s="98"/>
    </row>
    <row r="267" spans="1:20" s="101" customFormat="1" ht="15.75" customHeight="1">
      <c r="A267" s="2548"/>
      <c r="B267" s="607" t="s">
        <v>4739</v>
      </c>
      <c r="C267" s="608"/>
      <c r="D267" s="294">
        <f t="shared" si="183"/>
        <v>676</v>
      </c>
      <c r="E267" s="295">
        <v>4</v>
      </c>
      <c r="F267" s="296">
        <v>1</v>
      </c>
      <c r="G267" s="297" t="s">
        <v>314</v>
      </c>
      <c r="H267" s="296" t="s">
        <v>1037</v>
      </c>
      <c r="I267" s="298"/>
      <c r="J267" s="299">
        <f t="shared" si="179"/>
        <v>26.6</v>
      </c>
      <c r="K267" s="609">
        <v>0</v>
      </c>
      <c r="L267" s="610" t="str">
        <f t="shared" si="184"/>
        <v>1/750</v>
      </c>
      <c r="M267" s="421">
        <f t="shared" si="185"/>
        <v>1.9</v>
      </c>
      <c r="N267" s="611">
        <f t="shared" si="186"/>
        <v>0</v>
      </c>
      <c r="O267" s="272"/>
      <c r="P267" s="281"/>
      <c r="Q267" s="272"/>
      <c r="R267" s="98"/>
      <c r="S267" s="98"/>
      <c r="T267" s="98"/>
    </row>
    <row r="268" spans="1:20" s="101" customFormat="1" ht="15.75" customHeight="1">
      <c r="A268" s="2548"/>
      <c r="B268" s="607" t="s">
        <v>4739</v>
      </c>
      <c r="C268" s="608"/>
      <c r="D268" s="294">
        <f t="shared" si="183"/>
        <v>676</v>
      </c>
      <c r="E268" s="295">
        <v>4</v>
      </c>
      <c r="F268" s="296">
        <v>1</v>
      </c>
      <c r="G268" s="297" t="s">
        <v>314</v>
      </c>
      <c r="H268" s="296" t="s">
        <v>1037</v>
      </c>
      <c r="I268" s="298"/>
      <c r="J268" s="299">
        <f t="shared" si="179"/>
        <v>26.6</v>
      </c>
      <c r="K268" s="609">
        <v>0</v>
      </c>
      <c r="L268" s="610" t="str">
        <f t="shared" si="184"/>
        <v>1/750</v>
      </c>
      <c r="M268" s="421">
        <f t="shared" si="185"/>
        <v>1.9</v>
      </c>
      <c r="N268" s="611">
        <f t="shared" si="186"/>
        <v>0</v>
      </c>
      <c r="O268" s="272"/>
      <c r="P268" s="281"/>
      <c r="Q268" s="272"/>
      <c r="R268" s="98"/>
      <c r="S268" s="98"/>
      <c r="T268" s="98"/>
    </row>
    <row r="269" spans="1:20" s="101" customFormat="1" ht="15.75" customHeight="1">
      <c r="A269" s="2548"/>
      <c r="B269" s="607" t="s">
        <v>4739</v>
      </c>
      <c r="C269" s="608"/>
      <c r="D269" s="294">
        <f t="shared" si="183"/>
        <v>676</v>
      </c>
      <c r="E269" s="295">
        <v>4</v>
      </c>
      <c r="F269" s="296">
        <v>1</v>
      </c>
      <c r="G269" s="297" t="s">
        <v>314</v>
      </c>
      <c r="H269" s="296" t="s">
        <v>1037</v>
      </c>
      <c r="I269" s="298"/>
      <c r="J269" s="299">
        <f t="shared" si="179"/>
        <v>26.6</v>
      </c>
      <c r="K269" s="609">
        <v>0</v>
      </c>
      <c r="L269" s="610" t="str">
        <f t="shared" si="184"/>
        <v>1/750</v>
      </c>
      <c r="M269" s="421">
        <f t="shared" si="185"/>
        <v>1.9</v>
      </c>
      <c r="N269" s="611">
        <f t="shared" si="186"/>
        <v>0</v>
      </c>
      <c r="O269" s="272"/>
      <c r="P269" s="281"/>
      <c r="Q269" s="272"/>
      <c r="R269" s="98"/>
      <c r="S269" s="98"/>
      <c r="T269" s="98"/>
    </row>
    <row r="270" spans="1:20" s="101" customFormat="1" ht="15.75" customHeight="1">
      <c r="A270" s="2548"/>
      <c r="B270" s="607" t="s">
        <v>4739</v>
      </c>
      <c r="C270" s="608"/>
      <c r="D270" s="294">
        <f t="shared" si="183"/>
        <v>676</v>
      </c>
      <c r="E270" s="295">
        <v>4</v>
      </c>
      <c r="F270" s="296">
        <v>1</v>
      </c>
      <c r="G270" s="297" t="s">
        <v>314</v>
      </c>
      <c r="H270" s="296" t="s">
        <v>1037</v>
      </c>
      <c r="I270" s="298"/>
      <c r="J270" s="299">
        <f t="shared" si="179"/>
        <v>26.6</v>
      </c>
      <c r="K270" s="609">
        <v>0</v>
      </c>
      <c r="L270" s="610" t="str">
        <f t="shared" si="184"/>
        <v>1/750</v>
      </c>
      <c r="M270" s="421">
        <f t="shared" si="185"/>
        <v>1.9</v>
      </c>
      <c r="N270" s="611">
        <f t="shared" si="186"/>
        <v>0</v>
      </c>
      <c r="O270" s="272"/>
      <c r="P270" s="281"/>
      <c r="Q270" s="272"/>
      <c r="R270" s="98"/>
      <c r="S270" s="98"/>
      <c r="T270" s="98"/>
    </row>
    <row r="271" spans="1:20" s="101" customFormat="1" ht="15.75" customHeight="1">
      <c r="A271" s="2548"/>
      <c r="B271" s="292" t="s">
        <v>801</v>
      </c>
      <c r="C271" s="608"/>
      <c r="D271" s="294">
        <f t="shared" si="183"/>
        <v>676</v>
      </c>
      <c r="E271" s="295">
        <v>4</v>
      </c>
      <c r="F271" s="296">
        <v>1</v>
      </c>
      <c r="G271" s="297" t="s">
        <v>314</v>
      </c>
      <c r="H271" s="296" t="s">
        <v>1037</v>
      </c>
      <c r="I271" s="298">
        <v>0.53</v>
      </c>
      <c r="J271" s="299">
        <f t="shared" si="179"/>
        <v>26.6</v>
      </c>
      <c r="K271" s="609">
        <v>2</v>
      </c>
      <c r="L271" s="610" t="str">
        <f t="shared" si="184"/>
        <v>1/750</v>
      </c>
      <c r="M271" s="421">
        <f t="shared" si="185"/>
        <v>1.9</v>
      </c>
      <c r="N271" s="611">
        <f t="shared" si="186"/>
        <v>149.44829999999999</v>
      </c>
      <c r="O271" s="272"/>
      <c r="P271" s="281"/>
      <c r="Q271" s="272"/>
      <c r="R271" s="98"/>
      <c r="S271" s="98"/>
      <c r="T271" s="98"/>
    </row>
    <row r="272" spans="1:20" s="101" customFormat="1" ht="15.75" customHeight="1" thickBot="1">
      <c r="A272" s="2549"/>
      <c r="B272" s="302" t="s">
        <v>802</v>
      </c>
      <c r="C272" s="293"/>
      <c r="D272" s="294">
        <f t="shared" si="183"/>
        <v>427</v>
      </c>
      <c r="E272" s="295">
        <v>4</v>
      </c>
      <c r="F272" s="296">
        <v>1</v>
      </c>
      <c r="G272" s="297" t="s">
        <v>62</v>
      </c>
      <c r="H272" s="296" t="s">
        <v>1038</v>
      </c>
      <c r="I272" s="298">
        <v>0.53</v>
      </c>
      <c r="J272" s="299">
        <f t="shared" si="179"/>
        <v>17.7</v>
      </c>
      <c r="K272" s="295">
        <v>0</v>
      </c>
      <c r="L272" s="300" t="str">
        <f t="shared" si="184"/>
        <v>-</v>
      </c>
      <c r="M272" s="299">
        <f t="shared" si="185"/>
        <v>0</v>
      </c>
      <c r="N272" s="291">
        <f t="shared" si="186"/>
        <v>78.33135</v>
      </c>
      <c r="O272" s="272"/>
      <c r="P272" s="281"/>
      <c r="Q272" s="272"/>
      <c r="R272" s="98"/>
      <c r="S272" s="98"/>
      <c r="T272" s="98"/>
    </row>
    <row r="273" spans="1:20" s="123" customFormat="1" ht="22.5" customHeight="1" thickBot="1">
      <c r="A273" s="335"/>
      <c r="B273" s="337"/>
      <c r="C273" s="339"/>
      <c r="D273" s="340"/>
      <c r="E273" s="337"/>
      <c r="F273" s="337"/>
      <c r="G273" s="337"/>
      <c r="H273" s="337"/>
      <c r="I273" s="338"/>
      <c r="J273" s="338"/>
      <c r="K273" s="337"/>
      <c r="L273" s="337"/>
      <c r="M273" s="336"/>
      <c r="N273" s="612">
        <f>SUM(N264:N272)</f>
        <v>277.75439999999998</v>
      </c>
      <c r="O273" s="272"/>
      <c r="P273" s="281"/>
      <c r="Q273" s="272"/>
      <c r="R273" s="98"/>
      <c r="S273" s="98"/>
      <c r="T273" s="98"/>
    </row>
    <row r="274" spans="1:20" s="98" customFormat="1">
      <c r="B274" s="613"/>
      <c r="F274" s="614"/>
      <c r="G274" s="614"/>
      <c r="H274" s="614"/>
      <c r="L274" s="614"/>
      <c r="N274" s="615"/>
      <c r="P274" s="614"/>
      <c r="Q274" s="614"/>
    </row>
    <row r="275" spans="1:20" s="98" customFormat="1">
      <c r="B275" s="613"/>
      <c r="F275" s="614"/>
      <c r="G275" s="614"/>
      <c r="H275" s="614"/>
      <c r="L275" s="614"/>
      <c r="N275" s="615"/>
      <c r="P275" s="614"/>
      <c r="Q275" s="614"/>
    </row>
    <row r="276" spans="1:20" s="98" customFormat="1">
      <c r="B276" s="613"/>
      <c r="F276" s="614"/>
      <c r="G276" s="614"/>
      <c r="H276" s="614"/>
      <c r="L276" s="614"/>
      <c r="N276" s="615"/>
      <c r="P276" s="614"/>
      <c r="Q276" s="614"/>
    </row>
    <row r="277" spans="1:20" s="98" customFormat="1" ht="13.8" thickBot="1">
      <c r="B277" s="613"/>
      <c r="F277" s="614"/>
      <c r="G277" s="614"/>
      <c r="H277" s="614"/>
      <c r="L277" s="614"/>
      <c r="N277" s="615"/>
      <c r="P277" s="614"/>
      <c r="Q277" s="614"/>
    </row>
    <row r="278" spans="1:20" s="101" customFormat="1" ht="15.75" customHeight="1">
      <c r="A278" s="2547">
        <v>47</v>
      </c>
      <c r="B278" s="602" t="s">
        <v>2456</v>
      </c>
      <c r="C278" s="303"/>
      <c r="D278" s="304">
        <f t="shared" ref="D278" si="187">IF(H278&lt;&gt;"",VLOOKUP(G278,base_barras,IF(H278="Desnuda",2,5)+F278-1,FALSE),"-")</f>
        <v>676</v>
      </c>
      <c r="E278" s="305">
        <v>3</v>
      </c>
      <c r="F278" s="306">
        <v>1</v>
      </c>
      <c r="G278" s="307" t="s">
        <v>314</v>
      </c>
      <c r="H278" s="306" t="s">
        <v>1037</v>
      </c>
      <c r="I278" s="308">
        <v>0.3</v>
      </c>
      <c r="J278" s="309">
        <f t="shared" ref="J278:J286" si="188">IF(G278&lt;&gt;"",VLOOKUP(G278,precio_barras,9,FALSE),0)</f>
        <v>26.6</v>
      </c>
      <c r="K278" s="305">
        <v>0</v>
      </c>
      <c r="L278" s="319" t="str">
        <f t="shared" ref="L278" si="189">IF(G278&lt;&gt;"",IF(VLOOKUP(G278,base_barras,10,FALSE)&lt;&gt;"",VLOOKUP(G278,base_barras,10,FALSE),"-"),"-")</f>
        <v>1/750</v>
      </c>
      <c r="M278" s="309">
        <f t="shared" ref="M278" si="190">IF(L278&lt;&gt;"-",VLOOKUP(L278,precio_aislador,2,FALSE),0)</f>
        <v>1.9</v>
      </c>
      <c r="N278" s="334">
        <f t="shared" ref="N278" si="191">(I278*J278*F278+K278*M278)*E278*1.67*1.25</f>
        <v>49.97475</v>
      </c>
      <c r="O278" s="272"/>
      <c r="P278" s="281"/>
      <c r="Q278" s="272"/>
      <c r="R278" s="98"/>
      <c r="S278" s="98"/>
      <c r="T278" s="98"/>
    </row>
    <row r="279" spans="1:20" s="101" customFormat="1" ht="13.8">
      <c r="A279" s="2548"/>
      <c r="B279" s="603" t="s">
        <v>802</v>
      </c>
      <c r="C279" s="301"/>
      <c r="D279" s="294">
        <f>IF(H279&lt;&gt;"",VLOOKUP(G279,base_barras,IF(H279="Desnuda",2,5)+F279-1,FALSE),"-")</f>
        <v>676</v>
      </c>
      <c r="E279" s="295">
        <v>3</v>
      </c>
      <c r="F279" s="296">
        <v>1</v>
      </c>
      <c r="G279" s="297" t="s">
        <v>314</v>
      </c>
      <c r="H279" s="604" t="str">
        <f>H278</f>
        <v>Pintada</v>
      </c>
      <c r="I279" s="605">
        <v>0.53</v>
      </c>
      <c r="J279" s="299">
        <f t="shared" si="188"/>
        <v>26.6</v>
      </c>
      <c r="K279" s="606">
        <v>2</v>
      </c>
      <c r="L279" s="300" t="str">
        <f>IF(G279&lt;&gt;"",IF(VLOOKUP(G279,base_barras,10,FALSE)&lt;&gt;"",VLOOKUP(G279,base_barras,10,FALSE),"-"),"-")</f>
        <v>1/750</v>
      </c>
      <c r="M279" s="299">
        <f>IF(L279&lt;&gt;"-",VLOOKUP(L279,precio_aislador,2,FALSE),0)</f>
        <v>1.9</v>
      </c>
      <c r="N279" s="291">
        <f>(I279*J279*F279+K279*M279)*E279*1.67*1.25</f>
        <v>112.08622500000001</v>
      </c>
      <c r="O279" s="272"/>
      <c r="P279" s="281"/>
      <c r="Q279" s="272"/>
      <c r="R279" s="98"/>
      <c r="S279" s="98"/>
      <c r="T279" s="98"/>
    </row>
    <row r="280" spans="1:20" s="101" customFormat="1" ht="15.75" customHeight="1">
      <c r="A280" s="2548"/>
      <c r="B280" s="607" t="s">
        <v>4738</v>
      </c>
      <c r="C280" s="608"/>
      <c r="D280" s="294">
        <f t="shared" ref="D280:D286" si="192">IF(H280&lt;&gt;"",VLOOKUP(G280,base_barras,IF(H280="Desnuda",2,5)+F280-1,FALSE),"-")</f>
        <v>2410</v>
      </c>
      <c r="E280" s="295">
        <v>3</v>
      </c>
      <c r="F280" s="296">
        <v>2</v>
      </c>
      <c r="G280" s="297" t="s">
        <v>582</v>
      </c>
      <c r="H280" s="296" t="s">
        <v>1037</v>
      </c>
      <c r="I280" s="298"/>
      <c r="J280" s="299">
        <f t="shared" si="188"/>
        <v>71.100000000000009</v>
      </c>
      <c r="K280" s="609">
        <v>0</v>
      </c>
      <c r="L280" s="610" t="str">
        <f t="shared" ref="L280:L286" si="193">IF(G280&lt;&gt;"",IF(VLOOKUP(G280,base_barras,10,FALSE)&lt;&gt;"",VLOOKUP(G280,base_barras,10,FALSE),"-"),"-")</f>
        <v>1/1000</v>
      </c>
      <c r="M280" s="421">
        <f t="shared" ref="M280:M286" si="194">IF(L280&lt;&gt;"-",VLOOKUP(L280,precio_aislador,2,FALSE),0)</f>
        <v>2.7</v>
      </c>
      <c r="N280" s="611">
        <f t="shared" ref="N280:N286" si="195">(I280*J280*F280+K280*M280)*E280*1.67*1.25</f>
        <v>0</v>
      </c>
      <c r="O280" s="272"/>
      <c r="P280" s="281"/>
      <c r="Q280" s="272"/>
      <c r="R280" s="98"/>
      <c r="S280" s="98"/>
      <c r="T280" s="98"/>
    </row>
    <row r="281" spans="1:20" s="101" customFormat="1" ht="15.75" customHeight="1">
      <c r="A281" s="2548"/>
      <c r="B281" s="607" t="s">
        <v>4739</v>
      </c>
      <c r="C281" s="608"/>
      <c r="D281" s="294">
        <f t="shared" si="192"/>
        <v>676</v>
      </c>
      <c r="E281" s="295">
        <v>4</v>
      </c>
      <c r="F281" s="296">
        <v>1</v>
      </c>
      <c r="G281" s="297" t="s">
        <v>314</v>
      </c>
      <c r="H281" s="296" t="s">
        <v>1037</v>
      </c>
      <c r="I281" s="298"/>
      <c r="J281" s="299">
        <f t="shared" si="188"/>
        <v>26.6</v>
      </c>
      <c r="K281" s="609">
        <v>0</v>
      </c>
      <c r="L281" s="610" t="str">
        <f t="shared" si="193"/>
        <v>1/750</v>
      </c>
      <c r="M281" s="421">
        <f t="shared" si="194"/>
        <v>1.9</v>
      </c>
      <c r="N281" s="611">
        <f t="shared" si="195"/>
        <v>0</v>
      </c>
      <c r="O281" s="272"/>
      <c r="P281" s="281"/>
      <c r="Q281" s="272"/>
      <c r="R281" s="98"/>
      <c r="S281" s="98"/>
      <c r="T281" s="98"/>
    </row>
    <row r="282" spans="1:20" s="101" customFormat="1" ht="15.75" customHeight="1">
      <c r="A282" s="2548"/>
      <c r="B282" s="607" t="s">
        <v>4739</v>
      </c>
      <c r="C282" s="608"/>
      <c r="D282" s="294">
        <f t="shared" si="192"/>
        <v>676</v>
      </c>
      <c r="E282" s="295">
        <v>4</v>
      </c>
      <c r="F282" s="296">
        <v>1</v>
      </c>
      <c r="G282" s="297" t="s">
        <v>314</v>
      </c>
      <c r="H282" s="296" t="s">
        <v>1037</v>
      </c>
      <c r="I282" s="298"/>
      <c r="J282" s="299">
        <f t="shared" si="188"/>
        <v>26.6</v>
      </c>
      <c r="K282" s="609">
        <v>0</v>
      </c>
      <c r="L282" s="610" t="str">
        <f t="shared" si="193"/>
        <v>1/750</v>
      </c>
      <c r="M282" s="421">
        <f t="shared" si="194"/>
        <v>1.9</v>
      </c>
      <c r="N282" s="611">
        <f t="shared" si="195"/>
        <v>0</v>
      </c>
      <c r="O282" s="272"/>
      <c r="P282" s="281"/>
      <c r="Q282" s="272"/>
      <c r="R282" s="98"/>
      <c r="S282" s="98"/>
      <c r="T282" s="98"/>
    </row>
    <row r="283" spans="1:20" s="101" customFormat="1" ht="15.75" customHeight="1">
      <c r="A283" s="2548"/>
      <c r="B283" s="607" t="s">
        <v>4739</v>
      </c>
      <c r="C283" s="608"/>
      <c r="D283" s="294">
        <f t="shared" si="192"/>
        <v>676</v>
      </c>
      <c r="E283" s="295">
        <v>4</v>
      </c>
      <c r="F283" s="296">
        <v>1</v>
      </c>
      <c r="G283" s="297" t="s">
        <v>314</v>
      </c>
      <c r="H283" s="296" t="s">
        <v>1037</v>
      </c>
      <c r="I283" s="298"/>
      <c r="J283" s="299">
        <f t="shared" si="188"/>
        <v>26.6</v>
      </c>
      <c r="K283" s="609">
        <v>0</v>
      </c>
      <c r="L283" s="610" t="str">
        <f t="shared" si="193"/>
        <v>1/750</v>
      </c>
      <c r="M283" s="421">
        <f t="shared" si="194"/>
        <v>1.9</v>
      </c>
      <c r="N283" s="611">
        <f t="shared" si="195"/>
        <v>0</v>
      </c>
      <c r="O283" s="272"/>
      <c r="P283" s="281"/>
      <c r="Q283" s="272"/>
      <c r="R283" s="98"/>
      <c r="S283" s="98"/>
      <c r="T283" s="98"/>
    </row>
    <row r="284" spans="1:20" s="101" customFormat="1" ht="15.75" customHeight="1">
      <c r="A284" s="2548"/>
      <c r="B284" s="607" t="s">
        <v>4739</v>
      </c>
      <c r="C284" s="608"/>
      <c r="D284" s="294">
        <f t="shared" si="192"/>
        <v>676</v>
      </c>
      <c r="E284" s="295">
        <v>4</v>
      </c>
      <c r="F284" s="296">
        <v>1</v>
      </c>
      <c r="G284" s="297" t="s">
        <v>314</v>
      </c>
      <c r="H284" s="296" t="s">
        <v>1037</v>
      </c>
      <c r="I284" s="298"/>
      <c r="J284" s="299">
        <f t="shared" si="188"/>
        <v>26.6</v>
      </c>
      <c r="K284" s="609">
        <v>0</v>
      </c>
      <c r="L284" s="610" t="str">
        <f t="shared" si="193"/>
        <v>1/750</v>
      </c>
      <c r="M284" s="421">
        <f t="shared" si="194"/>
        <v>1.9</v>
      </c>
      <c r="N284" s="611">
        <f t="shared" si="195"/>
        <v>0</v>
      </c>
      <c r="O284" s="272"/>
      <c r="P284" s="281"/>
      <c r="Q284" s="272"/>
      <c r="R284" s="98"/>
      <c r="S284" s="98"/>
      <c r="T284" s="98"/>
    </row>
    <row r="285" spans="1:20" s="101" customFormat="1" ht="15.75" customHeight="1">
      <c r="A285" s="2548"/>
      <c r="B285" s="292" t="s">
        <v>801</v>
      </c>
      <c r="C285" s="608"/>
      <c r="D285" s="294">
        <f t="shared" si="192"/>
        <v>676</v>
      </c>
      <c r="E285" s="295">
        <v>4</v>
      </c>
      <c r="F285" s="296">
        <v>1</v>
      </c>
      <c r="G285" s="297" t="s">
        <v>314</v>
      </c>
      <c r="H285" s="296" t="s">
        <v>1037</v>
      </c>
      <c r="I285" s="298">
        <v>0.6</v>
      </c>
      <c r="J285" s="299">
        <f t="shared" si="188"/>
        <v>26.6</v>
      </c>
      <c r="K285" s="609">
        <v>2</v>
      </c>
      <c r="L285" s="610" t="str">
        <f t="shared" si="193"/>
        <v>1/750</v>
      </c>
      <c r="M285" s="421">
        <f t="shared" si="194"/>
        <v>1.9</v>
      </c>
      <c r="N285" s="611">
        <f t="shared" si="195"/>
        <v>164.99600000000001</v>
      </c>
      <c r="O285" s="272"/>
      <c r="P285" s="281"/>
      <c r="Q285" s="272"/>
      <c r="R285" s="98"/>
      <c r="S285" s="98"/>
      <c r="T285" s="98"/>
    </row>
    <row r="286" spans="1:20" s="101" customFormat="1" ht="15.75" customHeight="1" thickBot="1">
      <c r="A286" s="2549"/>
      <c r="B286" s="302" t="s">
        <v>802</v>
      </c>
      <c r="C286" s="293"/>
      <c r="D286" s="294">
        <f t="shared" si="192"/>
        <v>427</v>
      </c>
      <c r="E286" s="295">
        <v>4</v>
      </c>
      <c r="F286" s="296">
        <v>1</v>
      </c>
      <c r="G286" s="297" t="s">
        <v>62</v>
      </c>
      <c r="H286" s="296" t="s">
        <v>1038</v>
      </c>
      <c r="I286" s="298">
        <v>0.6</v>
      </c>
      <c r="J286" s="299">
        <f t="shared" si="188"/>
        <v>17.7</v>
      </c>
      <c r="K286" s="295">
        <v>0</v>
      </c>
      <c r="L286" s="300" t="str">
        <f t="shared" si="193"/>
        <v>-</v>
      </c>
      <c r="M286" s="299">
        <f t="shared" si="194"/>
        <v>0</v>
      </c>
      <c r="N286" s="291">
        <f t="shared" si="195"/>
        <v>88.676999999999992</v>
      </c>
      <c r="O286" s="272"/>
      <c r="P286" s="281"/>
      <c r="Q286" s="272"/>
      <c r="R286" s="98"/>
      <c r="S286" s="98"/>
      <c r="T286" s="98"/>
    </row>
    <row r="287" spans="1:20" s="123" customFormat="1" ht="22.5" customHeight="1" thickBot="1">
      <c r="A287" s="335"/>
      <c r="B287" s="337"/>
      <c r="C287" s="339"/>
      <c r="D287" s="340"/>
      <c r="E287" s="337"/>
      <c r="F287" s="337"/>
      <c r="G287" s="337"/>
      <c r="H287" s="337"/>
      <c r="I287" s="338"/>
      <c r="J287" s="338"/>
      <c r="K287" s="337"/>
      <c r="L287" s="337"/>
      <c r="M287" s="336"/>
      <c r="N287" s="612">
        <f>SUM(N278:N286)</f>
        <v>415.73397499999999</v>
      </c>
      <c r="O287" s="272"/>
      <c r="P287" s="281"/>
      <c r="Q287" s="272"/>
      <c r="R287" s="98"/>
      <c r="S287" s="98"/>
      <c r="T287" s="98"/>
    </row>
    <row r="288" spans="1:20" s="98" customFormat="1">
      <c r="B288" s="613"/>
      <c r="F288" s="614"/>
      <c r="G288" s="614"/>
      <c r="H288" s="614"/>
      <c r="L288" s="614"/>
      <c r="N288" s="615"/>
      <c r="P288" s="614"/>
      <c r="Q288" s="614"/>
    </row>
    <row r="289" spans="2:17" s="98" customFormat="1">
      <c r="B289" s="613"/>
      <c r="F289" s="614"/>
      <c r="G289" s="614"/>
      <c r="H289" s="614"/>
      <c r="L289" s="614"/>
      <c r="N289" s="615"/>
      <c r="P289" s="614"/>
      <c r="Q289" s="614"/>
    </row>
    <row r="290" spans="2:17" s="98" customFormat="1">
      <c r="B290" s="613"/>
      <c r="F290" s="614"/>
      <c r="G290" s="614"/>
      <c r="H290" s="614"/>
      <c r="L290" s="614"/>
      <c r="N290" s="615"/>
      <c r="P290" s="614"/>
      <c r="Q290" s="614"/>
    </row>
    <row r="291" spans="2:17" s="105" customFormat="1">
      <c r="B291" s="106"/>
      <c r="F291" s="107"/>
      <c r="G291" s="107"/>
      <c r="H291" s="107"/>
      <c r="L291" s="107"/>
      <c r="N291" s="289"/>
      <c r="P291" s="107"/>
      <c r="Q291" s="107"/>
    </row>
    <row r="292" spans="2:17" s="105" customFormat="1">
      <c r="B292" s="106"/>
      <c r="F292" s="107"/>
      <c r="G292" s="107"/>
      <c r="H292" s="107"/>
      <c r="L292" s="107"/>
      <c r="N292" s="289"/>
      <c r="P292" s="107"/>
      <c r="Q292" s="107"/>
    </row>
    <row r="293" spans="2:17" s="105" customFormat="1">
      <c r="B293" s="106"/>
      <c r="F293" s="107"/>
      <c r="G293" s="107"/>
      <c r="H293" s="107"/>
      <c r="L293" s="107"/>
      <c r="N293" s="289"/>
      <c r="P293" s="107"/>
      <c r="Q293" s="107"/>
    </row>
    <row r="294" spans="2:17" s="105" customFormat="1">
      <c r="B294" s="106"/>
      <c r="F294" s="107"/>
      <c r="G294" s="107"/>
      <c r="H294" s="107"/>
      <c r="L294" s="107"/>
      <c r="N294" s="289"/>
      <c r="P294" s="107"/>
      <c r="Q294" s="107"/>
    </row>
    <row r="295" spans="2:17" s="105" customFormat="1">
      <c r="B295" s="106"/>
      <c r="F295" s="107"/>
      <c r="G295" s="107"/>
      <c r="H295" s="107"/>
      <c r="L295" s="107"/>
      <c r="N295" s="289"/>
      <c r="P295" s="107"/>
      <c r="Q295" s="107"/>
    </row>
    <row r="296" spans="2:17" s="105" customFormat="1">
      <c r="B296" s="106"/>
      <c r="F296" s="107"/>
      <c r="G296" s="107"/>
      <c r="H296" s="107"/>
      <c r="L296" s="107"/>
      <c r="N296" s="289"/>
      <c r="P296" s="107"/>
      <c r="Q296" s="107"/>
    </row>
    <row r="297" spans="2:17" s="105" customFormat="1">
      <c r="B297" s="106"/>
      <c r="F297" s="107"/>
      <c r="G297" s="107"/>
      <c r="H297" s="107"/>
      <c r="L297" s="107"/>
      <c r="N297" s="289"/>
      <c r="P297" s="107"/>
      <c r="Q297" s="107"/>
    </row>
    <row r="298" spans="2:17" s="105" customFormat="1">
      <c r="B298" s="106"/>
      <c r="F298" s="107"/>
      <c r="G298" s="107"/>
      <c r="H298" s="107"/>
      <c r="L298" s="107"/>
      <c r="N298" s="289"/>
      <c r="P298" s="107"/>
      <c r="Q298" s="107"/>
    </row>
    <row r="299" spans="2:17" s="105" customFormat="1">
      <c r="B299" s="106"/>
      <c r="F299" s="107"/>
      <c r="G299" s="107"/>
      <c r="H299" s="107"/>
      <c r="L299" s="107"/>
      <c r="N299" s="289"/>
      <c r="P299" s="107"/>
      <c r="Q299" s="107"/>
    </row>
    <row r="300" spans="2:17" s="105" customFormat="1">
      <c r="B300" s="106"/>
      <c r="F300" s="107"/>
      <c r="G300" s="107"/>
      <c r="H300" s="107"/>
      <c r="L300" s="107"/>
      <c r="N300" s="289"/>
      <c r="P300" s="107"/>
      <c r="Q300" s="107"/>
    </row>
    <row r="301" spans="2:17" s="105" customFormat="1">
      <c r="B301" s="106"/>
      <c r="F301" s="107"/>
      <c r="G301" s="107"/>
      <c r="H301" s="107"/>
      <c r="L301" s="107"/>
      <c r="N301" s="289"/>
      <c r="P301" s="107"/>
      <c r="Q301" s="107"/>
    </row>
    <row r="302" spans="2:17" s="105" customFormat="1">
      <c r="B302" s="106"/>
      <c r="F302" s="107"/>
      <c r="G302" s="107"/>
      <c r="H302" s="107"/>
      <c r="L302" s="107"/>
      <c r="N302" s="289"/>
      <c r="P302" s="107"/>
      <c r="Q302" s="107"/>
    </row>
    <row r="303" spans="2:17" s="105" customFormat="1">
      <c r="B303" s="106"/>
      <c r="F303" s="107"/>
      <c r="G303" s="107"/>
      <c r="H303" s="107"/>
      <c r="L303" s="107"/>
      <c r="N303" s="289"/>
      <c r="P303" s="107"/>
      <c r="Q303" s="107"/>
    </row>
    <row r="304" spans="2:17" s="105" customFormat="1">
      <c r="B304" s="106"/>
      <c r="F304" s="107"/>
      <c r="G304" s="107"/>
      <c r="H304" s="107"/>
      <c r="L304" s="107"/>
      <c r="N304" s="289"/>
      <c r="P304" s="107"/>
      <c r="Q304" s="107"/>
    </row>
    <row r="305" spans="2:17" s="105" customFormat="1">
      <c r="B305" s="106"/>
      <c r="F305" s="107"/>
      <c r="G305" s="107"/>
      <c r="H305" s="107"/>
      <c r="L305" s="107"/>
      <c r="N305" s="289"/>
      <c r="P305" s="107"/>
      <c r="Q305" s="107"/>
    </row>
    <row r="306" spans="2:17" s="105" customFormat="1">
      <c r="B306" s="106"/>
      <c r="F306" s="107"/>
      <c r="G306" s="107"/>
      <c r="H306" s="107"/>
      <c r="L306" s="107"/>
      <c r="N306" s="289"/>
      <c r="P306" s="107"/>
      <c r="Q306" s="107"/>
    </row>
    <row r="307" spans="2:17" s="105" customFormat="1">
      <c r="B307" s="106"/>
      <c r="F307" s="107"/>
      <c r="G307" s="107"/>
      <c r="H307" s="107"/>
      <c r="L307" s="107"/>
      <c r="N307" s="289"/>
      <c r="P307" s="107"/>
      <c r="Q307" s="107"/>
    </row>
    <row r="308" spans="2:17" s="105" customFormat="1">
      <c r="B308" s="106"/>
      <c r="F308" s="107"/>
      <c r="G308" s="107"/>
      <c r="H308" s="107"/>
      <c r="L308" s="107"/>
      <c r="N308" s="289"/>
      <c r="P308" s="107"/>
      <c r="Q308" s="107"/>
    </row>
    <row r="309" spans="2:17" s="105" customFormat="1">
      <c r="B309" s="106"/>
      <c r="F309" s="107"/>
      <c r="G309" s="107"/>
      <c r="H309" s="107"/>
      <c r="L309" s="107"/>
      <c r="N309" s="289"/>
      <c r="P309" s="107"/>
      <c r="Q309" s="107"/>
    </row>
    <row r="310" spans="2:17" s="105" customFormat="1">
      <c r="B310" s="106"/>
      <c r="F310" s="107"/>
      <c r="G310" s="107"/>
      <c r="H310" s="107"/>
      <c r="L310" s="107"/>
      <c r="N310" s="289"/>
      <c r="P310" s="107"/>
      <c r="Q310" s="107"/>
    </row>
    <row r="311" spans="2:17" s="105" customFormat="1">
      <c r="B311" s="106"/>
      <c r="F311" s="107"/>
      <c r="G311" s="107"/>
      <c r="H311" s="107"/>
      <c r="L311" s="107"/>
      <c r="N311" s="289"/>
      <c r="P311" s="107"/>
      <c r="Q311" s="107"/>
    </row>
    <row r="312" spans="2:17" s="105" customFormat="1">
      <c r="B312" s="106"/>
      <c r="F312" s="107"/>
      <c r="G312" s="107"/>
      <c r="H312" s="107"/>
      <c r="L312" s="107"/>
      <c r="N312" s="289"/>
      <c r="P312" s="107"/>
      <c r="Q312" s="107"/>
    </row>
    <row r="313" spans="2:17" s="105" customFormat="1">
      <c r="B313" s="106"/>
      <c r="F313" s="107"/>
      <c r="G313" s="107"/>
      <c r="H313" s="107"/>
      <c r="L313" s="107"/>
      <c r="N313" s="289"/>
      <c r="P313" s="107"/>
      <c r="Q313" s="107"/>
    </row>
    <row r="314" spans="2:17" s="105" customFormat="1">
      <c r="B314" s="106"/>
      <c r="F314" s="107"/>
      <c r="G314" s="107"/>
      <c r="H314" s="107"/>
      <c r="L314" s="107"/>
      <c r="N314" s="289"/>
      <c r="P314" s="107"/>
      <c r="Q314" s="107"/>
    </row>
    <row r="315" spans="2:17" s="105" customFormat="1">
      <c r="B315" s="106"/>
      <c r="F315" s="107"/>
      <c r="G315" s="107"/>
      <c r="H315" s="107"/>
      <c r="L315" s="107"/>
      <c r="N315" s="289"/>
      <c r="P315" s="107"/>
      <c r="Q315" s="107"/>
    </row>
    <row r="316" spans="2:17" s="105" customFormat="1">
      <c r="B316" s="106"/>
      <c r="F316" s="107"/>
      <c r="G316" s="107"/>
      <c r="H316" s="107"/>
      <c r="L316" s="107"/>
      <c r="N316" s="289"/>
      <c r="P316" s="107"/>
      <c r="Q316" s="107"/>
    </row>
    <row r="317" spans="2:17" s="105" customFormat="1">
      <c r="B317" s="106"/>
      <c r="F317" s="107"/>
      <c r="G317" s="107"/>
      <c r="H317" s="107"/>
      <c r="L317" s="107"/>
      <c r="N317" s="289"/>
      <c r="P317" s="107"/>
      <c r="Q317" s="107"/>
    </row>
    <row r="318" spans="2:17" s="105" customFormat="1">
      <c r="B318" s="106"/>
      <c r="F318" s="107"/>
      <c r="G318" s="107"/>
      <c r="H318" s="107"/>
      <c r="L318" s="107"/>
      <c r="N318" s="289"/>
      <c r="P318" s="107"/>
      <c r="Q318" s="107"/>
    </row>
    <row r="319" spans="2:17" s="105" customFormat="1">
      <c r="B319" s="106"/>
      <c r="F319" s="107"/>
      <c r="G319" s="107"/>
      <c r="H319" s="107"/>
      <c r="L319" s="107"/>
      <c r="N319" s="289"/>
      <c r="P319" s="107"/>
      <c r="Q319" s="107"/>
    </row>
    <row r="320" spans="2:17" s="105" customFormat="1">
      <c r="B320" s="106"/>
      <c r="F320" s="107"/>
      <c r="G320" s="107"/>
      <c r="H320" s="107"/>
      <c r="L320" s="107"/>
      <c r="N320" s="289"/>
      <c r="P320" s="107"/>
      <c r="Q320" s="107"/>
    </row>
    <row r="321" spans="2:17" s="105" customFormat="1">
      <c r="B321" s="106"/>
      <c r="F321" s="107"/>
      <c r="G321" s="107"/>
      <c r="H321" s="107"/>
      <c r="L321" s="107"/>
      <c r="N321" s="289"/>
      <c r="P321" s="107"/>
      <c r="Q321" s="107"/>
    </row>
    <row r="322" spans="2:17" s="105" customFormat="1">
      <c r="B322" s="106"/>
      <c r="F322" s="107"/>
      <c r="G322" s="107"/>
      <c r="H322" s="107"/>
      <c r="L322" s="107"/>
      <c r="N322" s="289"/>
      <c r="P322" s="107"/>
      <c r="Q322" s="107"/>
    </row>
    <row r="323" spans="2:17" s="105" customFormat="1">
      <c r="B323" s="106"/>
      <c r="F323" s="107"/>
      <c r="G323" s="107"/>
      <c r="H323" s="107"/>
      <c r="L323" s="107"/>
      <c r="N323" s="289"/>
      <c r="P323" s="107"/>
      <c r="Q323" s="107"/>
    </row>
    <row r="324" spans="2:17" s="105" customFormat="1">
      <c r="B324" s="106"/>
      <c r="F324" s="107"/>
      <c r="G324" s="107"/>
      <c r="H324" s="107"/>
      <c r="L324" s="107"/>
      <c r="N324" s="289"/>
      <c r="P324" s="107"/>
      <c r="Q324" s="107"/>
    </row>
    <row r="325" spans="2:17" s="105" customFormat="1">
      <c r="B325" s="106"/>
      <c r="F325" s="107"/>
      <c r="G325" s="107"/>
      <c r="H325" s="107"/>
      <c r="L325" s="107"/>
      <c r="N325" s="289"/>
      <c r="P325" s="107"/>
      <c r="Q325" s="107"/>
    </row>
    <row r="326" spans="2:17" s="105" customFormat="1">
      <c r="B326" s="106"/>
      <c r="F326" s="107"/>
      <c r="G326" s="107"/>
      <c r="H326" s="107"/>
      <c r="L326" s="107"/>
      <c r="N326" s="289"/>
      <c r="P326" s="107"/>
      <c r="Q326" s="107"/>
    </row>
    <row r="327" spans="2:17" s="105" customFormat="1">
      <c r="B327" s="106"/>
      <c r="F327" s="107"/>
      <c r="G327" s="107"/>
      <c r="H327" s="107"/>
      <c r="L327" s="107"/>
      <c r="N327" s="289"/>
      <c r="P327" s="107"/>
      <c r="Q327" s="107"/>
    </row>
    <row r="328" spans="2:17" s="105" customFormat="1">
      <c r="B328" s="106"/>
      <c r="F328" s="107"/>
      <c r="G328" s="107"/>
      <c r="H328" s="107"/>
      <c r="L328" s="107"/>
      <c r="N328" s="289"/>
      <c r="P328" s="107"/>
      <c r="Q328" s="107"/>
    </row>
    <row r="329" spans="2:17" s="105" customFormat="1">
      <c r="B329" s="106"/>
      <c r="F329" s="107"/>
      <c r="G329" s="107"/>
      <c r="H329" s="107"/>
      <c r="L329" s="107"/>
      <c r="N329" s="289"/>
      <c r="P329" s="107"/>
      <c r="Q329" s="107"/>
    </row>
    <row r="330" spans="2:17" s="105" customFormat="1">
      <c r="B330" s="106"/>
      <c r="F330" s="107"/>
      <c r="G330" s="107"/>
      <c r="H330" s="107"/>
      <c r="L330" s="107"/>
      <c r="N330" s="289"/>
      <c r="P330" s="107"/>
      <c r="Q330" s="107"/>
    </row>
    <row r="331" spans="2:17" s="105" customFormat="1">
      <c r="B331" s="106"/>
      <c r="F331" s="107"/>
      <c r="G331" s="107"/>
      <c r="H331" s="107"/>
      <c r="L331" s="107"/>
      <c r="N331" s="289"/>
      <c r="P331" s="107"/>
      <c r="Q331" s="107"/>
    </row>
    <row r="332" spans="2:17" s="105" customFormat="1">
      <c r="B332" s="106"/>
      <c r="F332" s="107"/>
      <c r="G332" s="107"/>
      <c r="H332" s="107"/>
      <c r="L332" s="107"/>
      <c r="N332" s="289"/>
      <c r="P332" s="107"/>
      <c r="Q332" s="107"/>
    </row>
    <row r="333" spans="2:17" s="105" customFormat="1">
      <c r="B333" s="106"/>
      <c r="F333" s="107"/>
      <c r="G333" s="107"/>
      <c r="H333" s="107"/>
      <c r="L333" s="107"/>
      <c r="N333" s="289"/>
      <c r="P333" s="107"/>
      <c r="Q333" s="107"/>
    </row>
    <row r="334" spans="2:17" s="105" customFormat="1">
      <c r="B334" s="106"/>
      <c r="F334" s="107"/>
      <c r="G334" s="107"/>
      <c r="H334" s="107"/>
      <c r="L334" s="107"/>
      <c r="N334" s="289"/>
      <c r="P334" s="107"/>
      <c r="Q334" s="107"/>
    </row>
    <row r="335" spans="2:17" s="105" customFormat="1">
      <c r="B335" s="106"/>
      <c r="F335" s="107"/>
      <c r="G335" s="107"/>
      <c r="H335" s="107"/>
      <c r="L335" s="107"/>
      <c r="N335" s="289"/>
      <c r="P335" s="107"/>
      <c r="Q335" s="107"/>
    </row>
    <row r="336" spans="2:17" s="105" customFormat="1">
      <c r="B336" s="106"/>
      <c r="F336" s="107"/>
      <c r="G336" s="107"/>
      <c r="H336" s="107"/>
      <c r="L336" s="107"/>
      <c r="N336" s="289"/>
      <c r="P336" s="107"/>
      <c r="Q336" s="107"/>
    </row>
    <row r="337" spans="2:17" s="105" customFormat="1">
      <c r="B337" s="106"/>
      <c r="F337" s="107"/>
      <c r="G337" s="107"/>
      <c r="H337" s="107"/>
      <c r="L337" s="107"/>
      <c r="N337" s="289"/>
      <c r="P337" s="107"/>
      <c r="Q337" s="107"/>
    </row>
    <row r="338" spans="2:17" s="105" customFormat="1">
      <c r="B338" s="106"/>
      <c r="F338" s="107"/>
      <c r="G338" s="107"/>
      <c r="H338" s="107"/>
      <c r="L338" s="107"/>
      <c r="N338" s="289"/>
      <c r="P338" s="107"/>
      <c r="Q338" s="107"/>
    </row>
    <row r="339" spans="2:17" s="105" customFormat="1">
      <c r="B339" s="106"/>
      <c r="F339" s="107"/>
      <c r="G339" s="107"/>
      <c r="H339" s="107"/>
      <c r="L339" s="107"/>
      <c r="N339" s="289"/>
      <c r="P339" s="107"/>
      <c r="Q339" s="107"/>
    </row>
    <row r="340" spans="2:17" s="105" customFormat="1">
      <c r="B340" s="106"/>
      <c r="F340" s="107"/>
      <c r="G340" s="107"/>
      <c r="H340" s="107"/>
      <c r="L340" s="107"/>
      <c r="N340" s="289"/>
      <c r="P340" s="107"/>
      <c r="Q340" s="107"/>
    </row>
    <row r="341" spans="2:17" s="105" customFormat="1">
      <c r="B341" s="106"/>
      <c r="F341" s="107"/>
      <c r="G341" s="107"/>
      <c r="H341" s="107"/>
      <c r="L341" s="107"/>
      <c r="N341" s="289"/>
      <c r="P341" s="107"/>
      <c r="Q341" s="107"/>
    </row>
    <row r="342" spans="2:17" s="105" customFormat="1">
      <c r="B342" s="106"/>
      <c r="F342" s="107"/>
      <c r="G342" s="107"/>
      <c r="H342" s="107"/>
      <c r="L342" s="107"/>
      <c r="N342" s="289"/>
      <c r="P342" s="107"/>
      <c r="Q342" s="107"/>
    </row>
    <row r="343" spans="2:17" s="105" customFormat="1">
      <c r="B343" s="106"/>
      <c r="F343" s="107"/>
      <c r="G343" s="107"/>
      <c r="H343" s="107"/>
      <c r="L343" s="107"/>
      <c r="N343" s="289"/>
      <c r="P343" s="107"/>
      <c r="Q343" s="107"/>
    </row>
    <row r="344" spans="2:17" s="105" customFormat="1">
      <c r="B344" s="106"/>
      <c r="F344" s="107"/>
      <c r="G344" s="107"/>
      <c r="H344" s="107"/>
      <c r="L344" s="107"/>
      <c r="N344" s="289"/>
      <c r="P344" s="107"/>
      <c r="Q344" s="107"/>
    </row>
    <row r="345" spans="2:17" s="105" customFormat="1">
      <c r="B345" s="106"/>
      <c r="F345" s="107"/>
      <c r="G345" s="107"/>
      <c r="H345" s="107"/>
      <c r="L345" s="107"/>
      <c r="N345" s="289"/>
      <c r="P345" s="107"/>
      <c r="Q345" s="107"/>
    </row>
    <row r="346" spans="2:17" s="105" customFormat="1">
      <c r="B346" s="106"/>
      <c r="F346" s="107"/>
      <c r="G346" s="107"/>
      <c r="H346" s="107"/>
      <c r="L346" s="107"/>
      <c r="N346" s="289"/>
      <c r="P346" s="107"/>
      <c r="Q346" s="107"/>
    </row>
    <row r="347" spans="2:17" s="105" customFormat="1">
      <c r="B347" s="106"/>
      <c r="F347" s="107"/>
      <c r="G347" s="107"/>
      <c r="H347" s="107"/>
      <c r="L347" s="107"/>
      <c r="N347" s="289"/>
      <c r="P347" s="107"/>
      <c r="Q347" s="107"/>
    </row>
    <row r="348" spans="2:17" s="105" customFormat="1">
      <c r="B348" s="106"/>
      <c r="F348" s="107"/>
      <c r="G348" s="107"/>
      <c r="H348" s="107"/>
      <c r="L348" s="107"/>
      <c r="N348" s="289"/>
      <c r="P348" s="107"/>
      <c r="Q348" s="107"/>
    </row>
    <row r="349" spans="2:17" s="105" customFormat="1">
      <c r="B349" s="106"/>
      <c r="F349" s="107"/>
      <c r="G349" s="107"/>
      <c r="H349" s="107"/>
      <c r="L349" s="107"/>
      <c r="N349" s="289"/>
      <c r="P349" s="107"/>
      <c r="Q349" s="107"/>
    </row>
    <row r="350" spans="2:17" s="105" customFormat="1">
      <c r="B350" s="106"/>
      <c r="F350" s="107"/>
      <c r="G350" s="107"/>
      <c r="H350" s="107"/>
      <c r="L350" s="107"/>
      <c r="N350" s="289"/>
      <c r="P350" s="107"/>
      <c r="Q350" s="107"/>
    </row>
    <row r="351" spans="2:17" s="105" customFormat="1">
      <c r="B351" s="106"/>
      <c r="F351" s="107"/>
      <c r="G351" s="107"/>
      <c r="H351" s="107"/>
      <c r="L351" s="107"/>
      <c r="N351" s="289"/>
      <c r="P351" s="107"/>
      <c r="Q351" s="107"/>
    </row>
    <row r="352" spans="2:17" s="105" customFormat="1">
      <c r="B352" s="106"/>
      <c r="F352" s="107"/>
      <c r="G352" s="107"/>
      <c r="H352" s="107"/>
      <c r="L352" s="107"/>
      <c r="N352" s="289"/>
      <c r="P352" s="107"/>
      <c r="Q352" s="107"/>
    </row>
    <row r="353" spans="2:17" s="105" customFormat="1">
      <c r="B353" s="106"/>
      <c r="F353" s="107"/>
      <c r="G353" s="107"/>
      <c r="H353" s="107"/>
      <c r="L353" s="107"/>
      <c r="N353" s="289"/>
      <c r="P353" s="107"/>
      <c r="Q353" s="107"/>
    </row>
    <row r="354" spans="2:17" s="105" customFormat="1">
      <c r="B354" s="106"/>
      <c r="F354" s="107"/>
      <c r="G354" s="107"/>
      <c r="H354" s="107"/>
      <c r="L354" s="107"/>
      <c r="N354" s="289"/>
      <c r="P354" s="107"/>
      <c r="Q354" s="107"/>
    </row>
    <row r="355" spans="2:17" s="105" customFormat="1">
      <c r="B355" s="106"/>
      <c r="F355" s="107"/>
      <c r="G355" s="107"/>
      <c r="H355" s="107"/>
      <c r="L355" s="107"/>
      <c r="N355" s="289"/>
      <c r="P355" s="107"/>
      <c r="Q355" s="107"/>
    </row>
    <row r="356" spans="2:17" s="105" customFormat="1">
      <c r="B356" s="106"/>
      <c r="F356" s="107"/>
      <c r="G356" s="107"/>
      <c r="H356" s="107"/>
      <c r="L356" s="107"/>
      <c r="N356" s="289"/>
      <c r="P356" s="107"/>
      <c r="Q356" s="107"/>
    </row>
    <row r="357" spans="2:17" s="105" customFormat="1">
      <c r="B357" s="106"/>
      <c r="F357" s="107"/>
      <c r="G357" s="107"/>
      <c r="H357" s="107"/>
      <c r="L357" s="107"/>
      <c r="N357" s="289"/>
      <c r="P357" s="107"/>
      <c r="Q357" s="107"/>
    </row>
    <row r="358" spans="2:17" s="105" customFormat="1">
      <c r="B358" s="106"/>
      <c r="F358" s="107"/>
      <c r="G358" s="107"/>
      <c r="H358" s="107"/>
      <c r="L358" s="107"/>
      <c r="N358" s="289"/>
      <c r="P358" s="107"/>
      <c r="Q358" s="107"/>
    </row>
    <row r="359" spans="2:17" s="105" customFormat="1">
      <c r="B359" s="106"/>
      <c r="F359" s="107"/>
      <c r="G359" s="107"/>
      <c r="H359" s="107"/>
      <c r="L359" s="107"/>
      <c r="N359" s="289"/>
      <c r="P359" s="107"/>
      <c r="Q359" s="107"/>
    </row>
    <row r="360" spans="2:17" s="105" customFormat="1">
      <c r="B360" s="106"/>
      <c r="F360" s="107"/>
      <c r="G360" s="107"/>
      <c r="H360" s="107"/>
      <c r="L360" s="107"/>
      <c r="N360" s="289"/>
      <c r="P360" s="107"/>
      <c r="Q360" s="107"/>
    </row>
    <row r="361" spans="2:17" s="105" customFormat="1">
      <c r="B361" s="106"/>
      <c r="F361" s="107"/>
      <c r="G361" s="107"/>
      <c r="H361" s="107"/>
      <c r="L361" s="107"/>
      <c r="N361" s="289"/>
      <c r="P361" s="107"/>
      <c r="Q361" s="107"/>
    </row>
    <row r="362" spans="2:17" s="105" customFormat="1">
      <c r="B362" s="106"/>
      <c r="F362" s="107"/>
      <c r="G362" s="107"/>
      <c r="H362" s="107"/>
      <c r="L362" s="107"/>
      <c r="N362" s="289"/>
      <c r="P362" s="107"/>
      <c r="Q362" s="107"/>
    </row>
    <row r="363" spans="2:17" s="105" customFormat="1">
      <c r="B363" s="106"/>
      <c r="F363" s="107"/>
      <c r="G363" s="107"/>
      <c r="H363" s="107"/>
      <c r="L363" s="107"/>
      <c r="N363" s="289"/>
      <c r="P363" s="107"/>
      <c r="Q363" s="107"/>
    </row>
    <row r="364" spans="2:17" s="105" customFormat="1">
      <c r="B364" s="106"/>
      <c r="F364" s="107"/>
      <c r="G364" s="107"/>
      <c r="H364" s="107"/>
      <c r="L364" s="107"/>
      <c r="N364" s="289"/>
      <c r="P364" s="107"/>
      <c r="Q364" s="107"/>
    </row>
    <row r="365" spans="2:17" s="105" customFormat="1">
      <c r="B365" s="106"/>
      <c r="F365" s="107"/>
      <c r="G365" s="107"/>
      <c r="H365" s="107"/>
      <c r="L365" s="107"/>
      <c r="N365" s="289"/>
      <c r="P365" s="107"/>
      <c r="Q365" s="107"/>
    </row>
    <row r="366" spans="2:17" s="105" customFormat="1">
      <c r="B366" s="106"/>
      <c r="F366" s="107"/>
      <c r="G366" s="107"/>
      <c r="H366" s="107"/>
      <c r="L366" s="107"/>
      <c r="N366" s="289"/>
      <c r="P366" s="107"/>
      <c r="Q366" s="107"/>
    </row>
    <row r="367" spans="2:17" s="105" customFormat="1">
      <c r="B367" s="106"/>
      <c r="F367" s="107"/>
      <c r="G367" s="107"/>
      <c r="H367" s="107"/>
      <c r="L367" s="107"/>
      <c r="N367" s="289"/>
      <c r="P367" s="107"/>
      <c r="Q367" s="107"/>
    </row>
    <row r="368" spans="2:17" s="105" customFormat="1">
      <c r="B368" s="106"/>
      <c r="F368" s="107"/>
      <c r="G368" s="107"/>
      <c r="H368" s="107"/>
      <c r="L368" s="107"/>
      <c r="N368" s="289"/>
      <c r="P368" s="107"/>
      <c r="Q368" s="107"/>
    </row>
    <row r="369" spans="2:17" s="105" customFormat="1">
      <c r="B369" s="106"/>
      <c r="F369" s="107"/>
      <c r="G369" s="107"/>
      <c r="H369" s="107"/>
      <c r="L369" s="107"/>
      <c r="N369" s="289"/>
      <c r="P369" s="107"/>
      <c r="Q369" s="107"/>
    </row>
    <row r="370" spans="2:17" s="105" customFormat="1">
      <c r="B370" s="106"/>
      <c r="F370" s="107"/>
      <c r="G370" s="107"/>
      <c r="H370" s="107"/>
      <c r="L370" s="107"/>
      <c r="N370" s="289"/>
      <c r="P370" s="107"/>
      <c r="Q370" s="107"/>
    </row>
    <row r="371" spans="2:17" s="105" customFormat="1">
      <c r="B371" s="106"/>
      <c r="F371" s="107"/>
      <c r="G371" s="107"/>
      <c r="H371" s="107"/>
      <c r="L371" s="107"/>
      <c r="N371" s="289"/>
      <c r="P371" s="107"/>
      <c r="Q371" s="107"/>
    </row>
    <row r="372" spans="2:17" s="105" customFormat="1">
      <c r="B372" s="106"/>
      <c r="F372" s="107"/>
      <c r="G372" s="107"/>
      <c r="H372" s="107"/>
      <c r="L372" s="107"/>
      <c r="N372" s="289"/>
      <c r="P372" s="107"/>
      <c r="Q372" s="107"/>
    </row>
    <row r="373" spans="2:17" s="105" customFormat="1">
      <c r="B373" s="106"/>
      <c r="F373" s="107"/>
      <c r="G373" s="107"/>
      <c r="H373" s="107"/>
      <c r="L373" s="107"/>
      <c r="N373" s="289"/>
      <c r="P373" s="107"/>
      <c r="Q373" s="107"/>
    </row>
    <row r="374" spans="2:17" s="105" customFormat="1">
      <c r="B374" s="106"/>
      <c r="F374" s="107"/>
      <c r="G374" s="107"/>
      <c r="H374" s="107"/>
      <c r="L374" s="107"/>
      <c r="N374" s="289"/>
      <c r="P374" s="107"/>
      <c r="Q374" s="107"/>
    </row>
    <row r="375" spans="2:17" s="105" customFormat="1">
      <c r="B375" s="106"/>
      <c r="F375" s="107"/>
      <c r="G375" s="107"/>
      <c r="H375" s="107"/>
      <c r="L375" s="107"/>
      <c r="N375" s="289"/>
      <c r="P375" s="107"/>
      <c r="Q375" s="107"/>
    </row>
    <row r="376" spans="2:17" s="105" customFormat="1">
      <c r="B376" s="106"/>
      <c r="F376" s="107"/>
      <c r="G376" s="107"/>
      <c r="H376" s="107"/>
      <c r="L376" s="107"/>
      <c r="N376" s="289"/>
      <c r="P376" s="107"/>
      <c r="Q376" s="107"/>
    </row>
    <row r="377" spans="2:17" s="105" customFormat="1">
      <c r="B377" s="106"/>
      <c r="F377" s="107"/>
      <c r="G377" s="107"/>
      <c r="H377" s="107"/>
      <c r="L377" s="107"/>
      <c r="N377" s="289"/>
      <c r="P377" s="107"/>
      <c r="Q377" s="107"/>
    </row>
    <row r="378" spans="2:17" s="105" customFormat="1">
      <c r="B378" s="106"/>
      <c r="F378" s="107"/>
      <c r="G378" s="107"/>
      <c r="H378" s="107"/>
      <c r="L378" s="107"/>
      <c r="N378" s="289"/>
      <c r="P378" s="107"/>
      <c r="Q378" s="107"/>
    </row>
    <row r="379" spans="2:17" s="105" customFormat="1">
      <c r="B379" s="106"/>
      <c r="F379" s="107"/>
      <c r="G379" s="107"/>
      <c r="H379" s="107"/>
      <c r="L379" s="107"/>
      <c r="N379" s="289"/>
      <c r="P379" s="107"/>
      <c r="Q379" s="107"/>
    </row>
    <row r="380" spans="2:17" s="105" customFormat="1">
      <c r="B380" s="106"/>
      <c r="F380" s="107"/>
      <c r="G380" s="107"/>
      <c r="H380" s="107"/>
      <c r="L380" s="107"/>
      <c r="N380" s="289"/>
      <c r="P380" s="107"/>
      <c r="Q380" s="107"/>
    </row>
    <row r="381" spans="2:17" s="105" customFormat="1">
      <c r="B381" s="106"/>
      <c r="F381" s="107"/>
      <c r="G381" s="107"/>
      <c r="H381" s="107"/>
      <c r="L381" s="107"/>
      <c r="N381" s="289"/>
      <c r="P381" s="107"/>
      <c r="Q381" s="107"/>
    </row>
    <row r="382" spans="2:17" s="105" customFormat="1">
      <c r="B382" s="106"/>
      <c r="F382" s="107"/>
      <c r="G382" s="107"/>
      <c r="H382" s="107"/>
      <c r="L382" s="107"/>
      <c r="N382" s="289"/>
      <c r="P382" s="107"/>
      <c r="Q382" s="107"/>
    </row>
    <row r="383" spans="2:17" s="105" customFormat="1">
      <c r="B383" s="106"/>
      <c r="F383" s="107"/>
      <c r="G383" s="107"/>
      <c r="H383" s="107"/>
      <c r="L383" s="107"/>
      <c r="N383" s="289"/>
      <c r="P383" s="107"/>
      <c r="Q383" s="107"/>
    </row>
    <row r="384" spans="2:17" s="105" customFormat="1">
      <c r="B384" s="106"/>
      <c r="F384" s="107"/>
      <c r="G384" s="107"/>
      <c r="H384" s="107"/>
      <c r="L384" s="107"/>
      <c r="N384" s="289"/>
      <c r="P384" s="107"/>
      <c r="Q384" s="107"/>
    </row>
    <row r="385" spans="2:17" s="105" customFormat="1">
      <c r="B385" s="106"/>
      <c r="F385" s="107"/>
      <c r="G385" s="107"/>
      <c r="H385" s="107"/>
      <c r="L385" s="107"/>
      <c r="N385" s="289"/>
      <c r="P385" s="107"/>
      <c r="Q385" s="107"/>
    </row>
    <row r="386" spans="2:17" s="105" customFormat="1">
      <c r="B386" s="106"/>
      <c r="F386" s="107"/>
      <c r="G386" s="107"/>
      <c r="H386" s="107"/>
      <c r="L386" s="107"/>
      <c r="N386" s="289"/>
      <c r="P386" s="107"/>
      <c r="Q386" s="107"/>
    </row>
    <row r="387" spans="2:17" s="105" customFormat="1">
      <c r="B387" s="106"/>
      <c r="F387" s="107"/>
      <c r="G387" s="107"/>
      <c r="H387" s="107"/>
      <c r="L387" s="107"/>
      <c r="N387" s="289"/>
      <c r="P387" s="107"/>
      <c r="Q387" s="107"/>
    </row>
    <row r="388" spans="2:17" s="105" customFormat="1">
      <c r="B388" s="106"/>
      <c r="F388" s="107"/>
      <c r="G388" s="107"/>
      <c r="H388" s="107"/>
      <c r="L388" s="107"/>
      <c r="N388" s="289"/>
      <c r="P388" s="107"/>
      <c r="Q388" s="107"/>
    </row>
    <row r="389" spans="2:17" s="105" customFormat="1">
      <c r="B389" s="106"/>
      <c r="F389" s="107"/>
      <c r="G389" s="107"/>
      <c r="H389" s="107"/>
      <c r="L389" s="107"/>
      <c r="N389" s="289"/>
      <c r="P389" s="107"/>
      <c r="Q389" s="107"/>
    </row>
    <row r="390" spans="2:17" s="105" customFormat="1">
      <c r="B390" s="106"/>
      <c r="F390" s="107"/>
      <c r="G390" s="107"/>
      <c r="H390" s="107"/>
      <c r="L390" s="107"/>
      <c r="N390" s="289"/>
      <c r="P390" s="107"/>
      <c r="Q390" s="107"/>
    </row>
    <row r="391" spans="2:17" s="105" customFormat="1">
      <c r="B391" s="106"/>
      <c r="F391" s="107"/>
      <c r="G391" s="107"/>
      <c r="H391" s="107"/>
      <c r="L391" s="107"/>
      <c r="N391" s="289"/>
      <c r="P391" s="107"/>
      <c r="Q391" s="107"/>
    </row>
    <row r="392" spans="2:17" s="105" customFormat="1">
      <c r="B392" s="106"/>
      <c r="F392" s="107"/>
      <c r="G392" s="107"/>
      <c r="H392" s="107"/>
      <c r="L392" s="107"/>
      <c r="N392" s="289"/>
      <c r="P392" s="107"/>
      <c r="Q392" s="107"/>
    </row>
    <row r="393" spans="2:17" s="105" customFormat="1">
      <c r="B393" s="106"/>
      <c r="F393" s="107"/>
      <c r="G393" s="107"/>
      <c r="H393" s="107"/>
      <c r="L393" s="107"/>
      <c r="N393" s="289"/>
      <c r="P393" s="107"/>
      <c r="Q393" s="107"/>
    </row>
    <row r="394" spans="2:17" s="105" customFormat="1">
      <c r="B394" s="106"/>
      <c r="F394" s="107"/>
      <c r="G394" s="107"/>
      <c r="H394" s="107"/>
      <c r="L394" s="107"/>
      <c r="N394" s="289"/>
      <c r="P394" s="107"/>
      <c r="Q394" s="107"/>
    </row>
    <row r="395" spans="2:17" s="105" customFormat="1">
      <c r="B395" s="106"/>
      <c r="F395" s="107"/>
      <c r="G395" s="107"/>
      <c r="H395" s="107"/>
      <c r="L395" s="107"/>
      <c r="N395" s="289"/>
      <c r="P395" s="107"/>
      <c r="Q395" s="107"/>
    </row>
    <row r="396" spans="2:17" s="105" customFormat="1">
      <c r="B396" s="106"/>
      <c r="F396" s="107"/>
      <c r="G396" s="107"/>
      <c r="H396" s="107"/>
      <c r="L396" s="107"/>
      <c r="N396" s="289"/>
      <c r="P396" s="107"/>
      <c r="Q396" s="107"/>
    </row>
    <row r="397" spans="2:17" s="105" customFormat="1">
      <c r="B397" s="106"/>
      <c r="F397" s="107"/>
      <c r="G397" s="107"/>
      <c r="H397" s="107"/>
      <c r="L397" s="107"/>
      <c r="N397" s="289"/>
      <c r="P397" s="107"/>
      <c r="Q397" s="107"/>
    </row>
    <row r="398" spans="2:17" s="105" customFormat="1">
      <c r="B398" s="106"/>
      <c r="F398" s="107"/>
      <c r="G398" s="107"/>
      <c r="H398" s="107"/>
      <c r="L398" s="107"/>
      <c r="N398" s="289"/>
      <c r="P398" s="107"/>
      <c r="Q398" s="107"/>
    </row>
    <row r="399" spans="2:17" s="105" customFormat="1">
      <c r="B399" s="106"/>
      <c r="F399" s="107"/>
      <c r="G399" s="107"/>
      <c r="H399" s="107"/>
      <c r="L399" s="107"/>
      <c r="N399" s="289"/>
      <c r="P399" s="107"/>
      <c r="Q399" s="107"/>
    </row>
    <row r="400" spans="2:17" s="105" customFormat="1">
      <c r="B400" s="106"/>
      <c r="F400" s="107"/>
      <c r="G400" s="107"/>
      <c r="H400" s="107"/>
      <c r="L400" s="107"/>
      <c r="N400" s="289"/>
      <c r="P400" s="107"/>
      <c r="Q400" s="107"/>
    </row>
    <row r="401" spans="2:17" s="105" customFormat="1">
      <c r="B401" s="106"/>
      <c r="F401" s="107"/>
      <c r="G401" s="107"/>
      <c r="H401" s="107"/>
      <c r="L401" s="107"/>
      <c r="N401" s="289"/>
      <c r="P401" s="107"/>
      <c r="Q401" s="107"/>
    </row>
    <row r="402" spans="2:17" s="105" customFormat="1">
      <c r="B402" s="106"/>
      <c r="F402" s="107"/>
      <c r="G402" s="107"/>
      <c r="H402" s="107"/>
      <c r="L402" s="107"/>
      <c r="N402" s="289"/>
      <c r="P402" s="107"/>
      <c r="Q402" s="107"/>
    </row>
    <row r="403" spans="2:17" s="105" customFormat="1">
      <c r="B403" s="106"/>
      <c r="F403" s="107"/>
      <c r="G403" s="107"/>
      <c r="H403" s="107"/>
      <c r="L403" s="107"/>
      <c r="N403" s="289"/>
      <c r="P403" s="107"/>
      <c r="Q403" s="107"/>
    </row>
    <row r="404" spans="2:17" s="105" customFormat="1">
      <c r="B404" s="106"/>
      <c r="F404" s="107"/>
      <c r="G404" s="107"/>
      <c r="H404" s="107"/>
      <c r="L404" s="107"/>
      <c r="N404" s="289"/>
      <c r="P404" s="107"/>
      <c r="Q404" s="107"/>
    </row>
    <row r="405" spans="2:17" s="105" customFormat="1">
      <c r="B405" s="106"/>
      <c r="F405" s="107"/>
      <c r="G405" s="107"/>
      <c r="H405" s="107"/>
      <c r="L405" s="107"/>
      <c r="N405" s="289"/>
      <c r="P405" s="107"/>
      <c r="Q405" s="107"/>
    </row>
    <row r="406" spans="2:17" s="105" customFormat="1">
      <c r="B406" s="106"/>
      <c r="F406" s="107"/>
      <c r="G406" s="107"/>
      <c r="H406" s="107"/>
      <c r="L406" s="107"/>
      <c r="N406" s="289"/>
      <c r="P406" s="107"/>
      <c r="Q406" s="107"/>
    </row>
    <row r="407" spans="2:17" s="105" customFormat="1">
      <c r="B407" s="106"/>
      <c r="F407" s="107"/>
      <c r="G407" s="107"/>
      <c r="H407" s="107"/>
      <c r="L407" s="107"/>
      <c r="N407" s="289"/>
      <c r="P407" s="107"/>
      <c r="Q407" s="107"/>
    </row>
    <row r="408" spans="2:17" s="105" customFormat="1">
      <c r="B408" s="106"/>
      <c r="F408" s="107"/>
      <c r="G408" s="107"/>
      <c r="H408" s="107"/>
      <c r="L408" s="107"/>
      <c r="N408" s="289"/>
      <c r="P408" s="107"/>
      <c r="Q408" s="107"/>
    </row>
    <row r="409" spans="2:17" s="105" customFormat="1">
      <c r="B409" s="106"/>
      <c r="F409" s="107"/>
      <c r="G409" s="107"/>
      <c r="H409" s="107"/>
      <c r="L409" s="107"/>
      <c r="N409" s="289"/>
      <c r="P409" s="107"/>
      <c r="Q409" s="107"/>
    </row>
    <row r="410" spans="2:17" s="105" customFormat="1">
      <c r="B410" s="106"/>
      <c r="F410" s="107"/>
      <c r="G410" s="107"/>
      <c r="H410" s="107"/>
      <c r="L410" s="107"/>
      <c r="N410" s="289"/>
      <c r="P410" s="107"/>
      <c r="Q410" s="107"/>
    </row>
    <row r="411" spans="2:17" s="105" customFormat="1">
      <c r="B411" s="106"/>
      <c r="F411" s="107"/>
      <c r="G411" s="107"/>
      <c r="H411" s="107"/>
      <c r="L411" s="107"/>
      <c r="N411" s="289"/>
      <c r="P411" s="107"/>
      <c r="Q411" s="107"/>
    </row>
    <row r="412" spans="2:17" s="105" customFormat="1">
      <c r="B412" s="106"/>
      <c r="F412" s="107"/>
      <c r="G412" s="107"/>
      <c r="H412" s="107"/>
      <c r="L412" s="107"/>
      <c r="N412" s="289"/>
      <c r="P412" s="107"/>
      <c r="Q412" s="107"/>
    </row>
    <row r="413" spans="2:17" s="105" customFormat="1">
      <c r="B413" s="106"/>
      <c r="F413" s="107"/>
      <c r="G413" s="107"/>
      <c r="H413" s="107"/>
      <c r="L413" s="107"/>
      <c r="N413" s="289"/>
      <c r="P413" s="107"/>
      <c r="Q413" s="107"/>
    </row>
    <row r="414" spans="2:17" s="105" customFormat="1">
      <c r="B414" s="106"/>
      <c r="F414" s="107"/>
      <c r="G414" s="107"/>
      <c r="H414" s="107"/>
      <c r="L414" s="107"/>
      <c r="N414" s="289"/>
      <c r="P414" s="107"/>
      <c r="Q414" s="107"/>
    </row>
    <row r="415" spans="2:17" s="105" customFormat="1">
      <c r="B415" s="106"/>
      <c r="F415" s="107"/>
      <c r="G415" s="107"/>
      <c r="H415" s="107"/>
      <c r="L415" s="107"/>
      <c r="N415" s="289"/>
      <c r="P415" s="107"/>
      <c r="Q415" s="107"/>
    </row>
    <row r="416" spans="2:17" s="105" customFormat="1">
      <c r="B416" s="106"/>
      <c r="F416" s="107"/>
      <c r="G416" s="107"/>
      <c r="H416" s="107"/>
      <c r="L416" s="107"/>
      <c r="N416" s="289"/>
      <c r="P416" s="107"/>
      <c r="Q416" s="107"/>
    </row>
    <row r="417" spans="2:17" s="105" customFormat="1">
      <c r="B417" s="106"/>
      <c r="F417" s="107"/>
      <c r="G417" s="107"/>
      <c r="H417" s="107"/>
      <c r="L417" s="107"/>
      <c r="N417" s="289"/>
      <c r="P417" s="107"/>
      <c r="Q417" s="107"/>
    </row>
    <row r="418" spans="2:17" s="105" customFormat="1">
      <c r="B418" s="106"/>
      <c r="F418" s="107"/>
      <c r="G418" s="107"/>
      <c r="H418" s="107"/>
      <c r="L418" s="107"/>
      <c r="N418" s="289"/>
      <c r="P418" s="107"/>
      <c r="Q418" s="107"/>
    </row>
    <row r="419" spans="2:17" s="105" customFormat="1">
      <c r="B419" s="106"/>
      <c r="F419" s="107"/>
      <c r="G419" s="107"/>
      <c r="H419" s="107"/>
      <c r="L419" s="107"/>
      <c r="N419" s="289"/>
      <c r="P419" s="107"/>
      <c r="Q419" s="107"/>
    </row>
    <row r="420" spans="2:17" s="105" customFormat="1">
      <c r="B420" s="106"/>
      <c r="F420" s="107"/>
      <c r="G420" s="107"/>
      <c r="H420" s="107"/>
      <c r="L420" s="107"/>
      <c r="N420" s="289"/>
      <c r="P420" s="107"/>
      <c r="Q420" s="107"/>
    </row>
    <row r="421" spans="2:17" s="105" customFormat="1">
      <c r="B421" s="106"/>
      <c r="F421" s="107"/>
      <c r="G421" s="107"/>
      <c r="H421" s="107"/>
      <c r="L421" s="107"/>
      <c r="N421" s="289"/>
      <c r="P421" s="107"/>
      <c r="Q421" s="107"/>
    </row>
    <row r="422" spans="2:17" s="105" customFormat="1">
      <c r="B422" s="106"/>
      <c r="F422" s="107"/>
      <c r="G422" s="107"/>
      <c r="H422" s="107"/>
      <c r="L422" s="107"/>
      <c r="N422" s="289"/>
      <c r="P422" s="107"/>
      <c r="Q422" s="107"/>
    </row>
    <row r="423" spans="2:17" s="105" customFormat="1">
      <c r="B423" s="106"/>
      <c r="F423" s="107"/>
      <c r="G423" s="107"/>
      <c r="H423" s="107"/>
      <c r="L423" s="107"/>
      <c r="N423" s="289"/>
      <c r="P423" s="107"/>
      <c r="Q423" s="107"/>
    </row>
    <row r="424" spans="2:17" s="105" customFormat="1">
      <c r="B424" s="106"/>
      <c r="F424" s="107"/>
      <c r="G424" s="107"/>
      <c r="H424" s="107"/>
      <c r="L424" s="107"/>
      <c r="N424" s="289"/>
      <c r="P424" s="107"/>
      <c r="Q424" s="107"/>
    </row>
    <row r="425" spans="2:17" s="105" customFormat="1">
      <c r="B425" s="106"/>
      <c r="F425" s="107"/>
      <c r="G425" s="107"/>
      <c r="H425" s="107"/>
      <c r="L425" s="107"/>
      <c r="N425" s="289"/>
      <c r="P425" s="107"/>
      <c r="Q425" s="107"/>
    </row>
    <row r="426" spans="2:17" s="105" customFormat="1">
      <c r="B426" s="106"/>
      <c r="F426" s="107"/>
      <c r="G426" s="107"/>
      <c r="H426" s="107"/>
      <c r="L426" s="107"/>
      <c r="N426" s="289"/>
      <c r="P426" s="107"/>
      <c r="Q426" s="107"/>
    </row>
    <row r="427" spans="2:17" s="105" customFormat="1">
      <c r="B427" s="106"/>
      <c r="F427" s="107"/>
      <c r="G427" s="107"/>
      <c r="H427" s="107"/>
      <c r="L427" s="107"/>
      <c r="N427" s="289"/>
      <c r="P427" s="107"/>
      <c r="Q427" s="107"/>
    </row>
    <row r="428" spans="2:17" s="105" customFormat="1">
      <c r="B428" s="106"/>
      <c r="F428" s="107"/>
      <c r="G428" s="107"/>
      <c r="H428" s="107"/>
      <c r="L428" s="107"/>
      <c r="N428" s="289"/>
      <c r="P428" s="107"/>
      <c r="Q428" s="107"/>
    </row>
    <row r="429" spans="2:17" s="105" customFormat="1">
      <c r="B429" s="106"/>
      <c r="F429" s="107"/>
      <c r="G429" s="107"/>
      <c r="H429" s="107"/>
      <c r="L429" s="107"/>
      <c r="N429" s="289"/>
      <c r="P429" s="107"/>
      <c r="Q429" s="107"/>
    </row>
    <row r="430" spans="2:17" s="105" customFormat="1">
      <c r="B430" s="106"/>
      <c r="F430" s="107"/>
      <c r="G430" s="107"/>
      <c r="H430" s="107"/>
      <c r="L430" s="107"/>
      <c r="N430" s="289"/>
      <c r="P430" s="107"/>
      <c r="Q430" s="107"/>
    </row>
    <row r="431" spans="2:17" s="105" customFormat="1">
      <c r="B431" s="106"/>
      <c r="F431" s="107"/>
      <c r="G431" s="107"/>
      <c r="H431" s="107"/>
      <c r="L431" s="107"/>
      <c r="N431" s="289"/>
      <c r="P431" s="107"/>
      <c r="Q431" s="107"/>
    </row>
    <row r="432" spans="2:17" s="105" customFormat="1">
      <c r="B432" s="106"/>
      <c r="F432" s="107"/>
      <c r="G432" s="107"/>
      <c r="H432" s="107"/>
      <c r="L432" s="107"/>
      <c r="N432" s="289"/>
      <c r="P432" s="107"/>
      <c r="Q432" s="107"/>
    </row>
    <row r="433" spans="2:17" s="105" customFormat="1">
      <c r="B433" s="106"/>
      <c r="F433" s="107"/>
      <c r="G433" s="107"/>
      <c r="H433" s="107"/>
      <c r="L433" s="107"/>
      <c r="N433" s="289"/>
      <c r="P433" s="107"/>
      <c r="Q433" s="107"/>
    </row>
    <row r="434" spans="2:17" s="105" customFormat="1">
      <c r="B434" s="106"/>
      <c r="F434" s="107"/>
      <c r="G434" s="107"/>
      <c r="H434" s="107"/>
      <c r="L434" s="107"/>
      <c r="N434" s="289"/>
      <c r="P434" s="107"/>
      <c r="Q434" s="107"/>
    </row>
    <row r="435" spans="2:17" s="105" customFormat="1">
      <c r="B435" s="106"/>
      <c r="F435" s="107"/>
      <c r="G435" s="107"/>
      <c r="H435" s="107"/>
      <c r="L435" s="107"/>
      <c r="N435" s="289"/>
      <c r="P435" s="107"/>
      <c r="Q435" s="107"/>
    </row>
    <row r="436" spans="2:17" s="105" customFormat="1">
      <c r="B436" s="106"/>
      <c r="F436" s="107"/>
      <c r="G436" s="107"/>
      <c r="H436" s="107"/>
      <c r="L436" s="107"/>
      <c r="N436" s="289"/>
      <c r="P436" s="107"/>
      <c r="Q436" s="107"/>
    </row>
    <row r="437" spans="2:17" s="105" customFormat="1">
      <c r="B437" s="106"/>
      <c r="F437" s="107"/>
      <c r="G437" s="107"/>
      <c r="H437" s="107"/>
      <c r="L437" s="107"/>
      <c r="N437" s="289"/>
      <c r="P437" s="107"/>
      <c r="Q437" s="107"/>
    </row>
    <row r="438" spans="2:17" s="105" customFormat="1">
      <c r="B438" s="106"/>
      <c r="F438" s="107"/>
      <c r="G438" s="107"/>
      <c r="H438" s="107"/>
      <c r="L438" s="107"/>
      <c r="N438" s="289"/>
      <c r="P438" s="107"/>
      <c r="Q438" s="107"/>
    </row>
    <row r="439" spans="2:17" s="105" customFormat="1">
      <c r="B439" s="106"/>
      <c r="F439" s="107"/>
      <c r="G439" s="107"/>
      <c r="H439" s="107"/>
      <c r="L439" s="107"/>
      <c r="N439" s="289"/>
      <c r="P439" s="107"/>
      <c r="Q439" s="107"/>
    </row>
    <row r="440" spans="2:17" s="105" customFormat="1">
      <c r="B440" s="106"/>
      <c r="F440" s="107"/>
      <c r="G440" s="107"/>
      <c r="H440" s="107"/>
      <c r="L440" s="107"/>
      <c r="N440" s="289"/>
      <c r="P440" s="107"/>
      <c r="Q440" s="107"/>
    </row>
    <row r="441" spans="2:17" s="105" customFormat="1">
      <c r="B441" s="106"/>
      <c r="F441" s="107"/>
      <c r="G441" s="107"/>
      <c r="H441" s="107"/>
      <c r="L441" s="107"/>
      <c r="N441" s="289"/>
      <c r="P441" s="107"/>
      <c r="Q441" s="107"/>
    </row>
    <row r="442" spans="2:17" s="105" customFormat="1">
      <c r="B442" s="106"/>
      <c r="F442" s="107"/>
      <c r="G442" s="107"/>
      <c r="H442" s="107"/>
      <c r="L442" s="107"/>
      <c r="N442" s="289"/>
      <c r="P442" s="107"/>
      <c r="Q442" s="107"/>
    </row>
    <row r="443" spans="2:17" s="105" customFormat="1">
      <c r="B443" s="106"/>
      <c r="F443" s="107"/>
      <c r="G443" s="107"/>
      <c r="H443" s="107"/>
      <c r="L443" s="107"/>
      <c r="N443" s="289"/>
      <c r="P443" s="107"/>
      <c r="Q443" s="107"/>
    </row>
    <row r="444" spans="2:17" s="105" customFormat="1">
      <c r="B444" s="106"/>
      <c r="F444" s="107"/>
      <c r="G444" s="107"/>
      <c r="H444" s="107"/>
      <c r="L444" s="107"/>
      <c r="N444" s="289"/>
      <c r="P444" s="107"/>
      <c r="Q444" s="107"/>
    </row>
    <row r="445" spans="2:17" s="105" customFormat="1">
      <c r="B445" s="106"/>
      <c r="F445" s="107"/>
      <c r="G445" s="107"/>
      <c r="H445" s="107"/>
      <c r="L445" s="107"/>
      <c r="N445" s="289"/>
      <c r="P445" s="107"/>
      <c r="Q445" s="107"/>
    </row>
    <row r="446" spans="2:17" s="105" customFormat="1">
      <c r="B446" s="106"/>
      <c r="F446" s="107"/>
      <c r="G446" s="107"/>
      <c r="H446" s="107"/>
      <c r="L446" s="107"/>
      <c r="N446" s="289"/>
      <c r="P446" s="107"/>
      <c r="Q446" s="107"/>
    </row>
    <row r="447" spans="2:17" s="105" customFormat="1">
      <c r="B447" s="106"/>
      <c r="F447" s="107"/>
      <c r="G447" s="107"/>
      <c r="H447" s="107"/>
      <c r="L447" s="107"/>
      <c r="N447" s="289"/>
      <c r="P447" s="107"/>
      <c r="Q447" s="107"/>
    </row>
    <row r="448" spans="2:17" s="105" customFormat="1">
      <c r="B448" s="106"/>
      <c r="F448" s="107"/>
      <c r="G448" s="107"/>
      <c r="H448" s="107"/>
      <c r="L448" s="107"/>
      <c r="N448" s="289"/>
      <c r="P448" s="107"/>
      <c r="Q448" s="107"/>
    </row>
    <row r="449" spans="2:17" s="105" customFormat="1">
      <c r="B449" s="106"/>
      <c r="F449" s="107"/>
      <c r="G449" s="107"/>
      <c r="H449" s="107"/>
      <c r="L449" s="107"/>
      <c r="N449" s="289"/>
      <c r="P449" s="107"/>
      <c r="Q449" s="107"/>
    </row>
    <row r="450" spans="2:17" s="105" customFormat="1">
      <c r="B450" s="106"/>
      <c r="F450" s="107"/>
      <c r="G450" s="107"/>
      <c r="H450" s="107"/>
      <c r="L450" s="107"/>
      <c r="N450" s="289"/>
      <c r="P450" s="107"/>
      <c r="Q450" s="107"/>
    </row>
    <row r="451" spans="2:17" s="105" customFormat="1">
      <c r="B451" s="106"/>
      <c r="F451" s="107"/>
      <c r="G451" s="107"/>
      <c r="H451" s="107"/>
      <c r="L451" s="107"/>
      <c r="N451" s="289"/>
      <c r="P451" s="107"/>
      <c r="Q451" s="107"/>
    </row>
    <row r="452" spans="2:17" s="105" customFormat="1">
      <c r="B452" s="106"/>
      <c r="F452" s="107"/>
      <c r="G452" s="107"/>
      <c r="H452" s="107"/>
      <c r="L452" s="107"/>
      <c r="N452" s="289"/>
      <c r="P452" s="107"/>
      <c r="Q452" s="107"/>
    </row>
    <row r="453" spans="2:17" s="105" customFormat="1">
      <c r="B453" s="106"/>
      <c r="F453" s="107"/>
      <c r="G453" s="107"/>
      <c r="H453" s="107"/>
      <c r="L453" s="107"/>
      <c r="N453" s="289"/>
      <c r="P453" s="107"/>
      <c r="Q453" s="107"/>
    </row>
    <row r="454" spans="2:17" s="105" customFormat="1">
      <c r="B454" s="106"/>
      <c r="F454" s="107"/>
      <c r="G454" s="107"/>
      <c r="H454" s="107"/>
      <c r="L454" s="107"/>
      <c r="N454" s="289"/>
      <c r="P454" s="107"/>
      <c r="Q454" s="107"/>
    </row>
    <row r="455" spans="2:17" s="105" customFormat="1">
      <c r="B455" s="106"/>
      <c r="F455" s="107"/>
      <c r="G455" s="107"/>
      <c r="H455" s="107"/>
      <c r="L455" s="107"/>
      <c r="N455" s="289"/>
      <c r="P455" s="107"/>
      <c r="Q455" s="107"/>
    </row>
    <row r="456" spans="2:17" s="105" customFormat="1">
      <c r="B456" s="106"/>
      <c r="F456" s="107"/>
      <c r="G456" s="107"/>
      <c r="H456" s="107"/>
      <c r="L456" s="107"/>
      <c r="N456" s="289"/>
      <c r="P456" s="107"/>
      <c r="Q456" s="107"/>
    </row>
    <row r="457" spans="2:17" s="105" customFormat="1">
      <c r="B457" s="106"/>
      <c r="F457" s="107"/>
      <c r="G457" s="107"/>
      <c r="H457" s="107"/>
      <c r="L457" s="107"/>
      <c r="N457" s="289"/>
      <c r="P457" s="107"/>
      <c r="Q457" s="107"/>
    </row>
    <row r="458" spans="2:17" s="105" customFormat="1">
      <c r="B458" s="106"/>
      <c r="F458" s="107"/>
      <c r="G458" s="107"/>
      <c r="H458" s="107"/>
      <c r="L458" s="107"/>
      <c r="N458" s="289"/>
      <c r="P458" s="107"/>
      <c r="Q458" s="107"/>
    </row>
    <row r="459" spans="2:17" s="105" customFormat="1">
      <c r="B459" s="106"/>
      <c r="F459" s="107"/>
      <c r="G459" s="107"/>
      <c r="H459" s="107"/>
      <c r="L459" s="107"/>
      <c r="N459" s="289"/>
      <c r="P459" s="107"/>
      <c r="Q459" s="107"/>
    </row>
    <row r="460" spans="2:17" s="105" customFormat="1">
      <c r="B460" s="106"/>
      <c r="F460" s="107"/>
      <c r="G460" s="107"/>
      <c r="H460" s="107"/>
      <c r="L460" s="107"/>
      <c r="N460" s="289"/>
      <c r="P460" s="107"/>
      <c r="Q460" s="107"/>
    </row>
    <row r="461" spans="2:17" s="105" customFormat="1">
      <c r="B461" s="106"/>
      <c r="F461" s="107"/>
      <c r="G461" s="107"/>
      <c r="H461" s="107"/>
      <c r="L461" s="107"/>
      <c r="N461" s="289"/>
      <c r="P461" s="107"/>
      <c r="Q461" s="107"/>
    </row>
    <row r="462" spans="2:17" s="105" customFormat="1">
      <c r="B462" s="106"/>
      <c r="F462" s="107"/>
      <c r="G462" s="107"/>
      <c r="H462" s="107"/>
      <c r="L462" s="107"/>
      <c r="N462" s="289"/>
      <c r="P462" s="107"/>
      <c r="Q462" s="107"/>
    </row>
    <row r="463" spans="2:17" s="105" customFormat="1">
      <c r="B463" s="106"/>
      <c r="F463" s="107"/>
      <c r="G463" s="107"/>
      <c r="H463" s="107"/>
      <c r="L463" s="107"/>
      <c r="N463" s="289"/>
      <c r="P463" s="107"/>
      <c r="Q463" s="107"/>
    </row>
    <row r="464" spans="2:17" s="105" customFormat="1">
      <c r="B464" s="106"/>
      <c r="F464" s="107"/>
      <c r="G464" s="107"/>
      <c r="H464" s="107"/>
      <c r="L464" s="107"/>
      <c r="N464" s="289"/>
      <c r="P464" s="107"/>
      <c r="Q464" s="107"/>
    </row>
    <row r="465" spans="2:17" s="105" customFormat="1">
      <c r="B465" s="106"/>
      <c r="F465" s="107"/>
      <c r="G465" s="107"/>
      <c r="H465" s="107"/>
      <c r="L465" s="107"/>
      <c r="N465" s="289"/>
      <c r="P465" s="107"/>
      <c r="Q465" s="107"/>
    </row>
    <row r="466" spans="2:17" s="105" customFormat="1">
      <c r="B466" s="106"/>
      <c r="F466" s="107"/>
      <c r="G466" s="107"/>
      <c r="H466" s="107"/>
      <c r="L466" s="107"/>
      <c r="N466" s="289"/>
      <c r="P466" s="107"/>
      <c r="Q466" s="107"/>
    </row>
    <row r="467" spans="2:17" s="105" customFormat="1">
      <c r="B467" s="106"/>
      <c r="F467" s="107"/>
      <c r="G467" s="107"/>
      <c r="H467" s="107"/>
      <c r="L467" s="107"/>
      <c r="N467" s="289"/>
      <c r="P467" s="107"/>
      <c r="Q467" s="107"/>
    </row>
    <row r="468" spans="2:17" s="105" customFormat="1">
      <c r="B468" s="106"/>
      <c r="F468" s="107"/>
      <c r="G468" s="107"/>
      <c r="H468" s="107"/>
      <c r="L468" s="107"/>
      <c r="N468" s="289"/>
      <c r="P468" s="107"/>
      <c r="Q468" s="107"/>
    </row>
    <row r="469" spans="2:17" s="105" customFormat="1">
      <c r="B469" s="106"/>
      <c r="F469" s="107"/>
      <c r="G469" s="107"/>
      <c r="H469" s="107"/>
      <c r="L469" s="107"/>
      <c r="N469" s="289"/>
      <c r="P469" s="107"/>
      <c r="Q469" s="107"/>
    </row>
    <row r="470" spans="2:17" s="105" customFormat="1">
      <c r="B470" s="106"/>
      <c r="F470" s="107"/>
      <c r="G470" s="107"/>
      <c r="H470" s="107"/>
      <c r="L470" s="107"/>
      <c r="N470" s="289"/>
      <c r="P470" s="107"/>
      <c r="Q470" s="107"/>
    </row>
    <row r="471" spans="2:17" s="105" customFormat="1">
      <c r="B471" s="106"/>
      <c r="F471" s="107"/>
      <c r="G471" s="107"/>
      <c r="H471" s="107"/>
      <c r="L471" s="107"/>
      <c r="N471" s="289"/>
      <c r="P471" s="107"/>
      <c r="Q471" s="107"/>
    </row>
    <row r="472" spans="2:17" s="105" customFormat="1">
      <c r="B472" s="106"/>
      <c r="F472" s="107"/>
      <c r="G472" s="107"/>
      <c r="H472" s="107"/>
      <c r="L472" s="107"/>
      <c r="N472" s="289"/>
      <c r="P472" s="107"/>
      <c r="Q472" s="107"/>
    </row>
    <row r="473" spans="2:17" s="105" customFormat="1">
      <c r="B473" s="106"/>
      <c r="F473" s="107"/>
      <c r="G473" s="107"/>
      <c r="H473" s="107"/>
      <c r="L473" s="107"/>
      <c r="N473" s="289"/>
      <c r="P473" s="107"/>
      <c r="Q473" s="107"/>
    </row>
    <row r="474" spans="2:17" s="105" customFormat="1">
      <c r="B474" s="106"/>
      <c r="F474" s="107"/>
      <c r="G474" s="107"/>
      <c r="H474" s="107"/>
      <c r="L474" s="107"/>
      <c r="N474" s="289"/>
      <c r="P474" s="107"/>
      <c r="Q474" s="107"/>
    </row>
    <row r="475" spans="2:17" s="105" customFormat="1">
      <c r="B475" s="106"/>
      <c r="F475" s="107"/>
      <c r="G475" s="107"/>
      <c r="H475" s="107"/>
      <c r="L475" s="107"/>
      <c r="N475" s="289"/>
      <c r="P475" s="107"/>
      <c r="Q475" s="107"/>
    </row>
    <row r="476" spans="2:17" s="105" customFormat="1">
      <c r="B476" s="106"/>
      <c r="F476" s="107"/>
      <c r="G476" s="107"/>
      <c r="H476" s="107"/>
      <c r="L476" s="107"/>
      <c r="N476" s="289"/>
      <c r="P476" s="107"/>
      <c r="Q476" s="107"/>
    </row>
    <row r="477" spans="2:17" s="105" customFormat="1">
      <c r="B477" s="106"/>
      <c r="F477" s="107"/>
      <c r="G477" s="107"/>
      <c r="H477" s="107"/>
      <c r="L477" s="107"/>
      <c r="N477" s="289"/>
      <c r="P477" s="107"/>
      <c r="Q477" s="107"/>
    </row>
    <row r="478" spans="2:17" s="105" customFormat="1">
      <c r="B478" s="106"/>
      <c r="F478" s="107"/>
      <c r="G478" s="107"/>
      <c r="H478" s="107"/>
      <c r="L478" s="107"/>
      <c r="N478" s="289"/>
      <c r="P478" s="107"/>
      <c r="Q478" s="107"/>
    </row>
    <row r="479" spans="2:17" s="105" customFormat="1">
      <c r="B479" s="106"/>
      <c r="F479" s="107"/>
      <c r="G479" s="107"/>
      <c r="H479" s="107"/>
      <c r="L479" s="107"/>
      <c r="N479" s="289"/>
      <c r="P479" s="107"/>
      <c r="Q479" s="107"/>
    </row>
    <row r="480" spans="2:17" s="105" customFormat="1">
      <c r="B480" s="106"/>
      <c r="F480" s="107"/>
      <c r="G480" s="107"/>
      <c r="H480" s="107"/>
      <c r="L480" s="107"/>
      <c r="N480" s="289"/>
      <c r="P480" s="107"/>
      <c r="Q480" s="107"/>
    </row>
    <row r="481" spans="2:17" s="105" customFormat="1">
      <c r="B481" s="106"/>
      <c r="F481" s="107"/>
      <c r="G481" s="107"/>
      <c r="H481" s="107"/>
      <c r="L481" s="107"/>
      <c r="N481" s="289"/>
      <c r="P481" s="107"/>
      <c r="Q481" s="107"/>
    </row>
    <row r="482" spans="2:17" s="105" customFormat="1">
      <c r="B482" s="106"/>
      <c r="F482" s="107"/>
      <c r="G482" s="107"/>
      <c r="H482" s="107"/>
      <c r="L482" s="107"/>
      <c r="N482" s="289"/>
      <c r="P482" s="107"/>
      <c r="Q482" s="107"/>
    </row>
    <row r="483" spans="2:17" s="105" customFormat="1">
      <c r="B483" s="106"/>
      <c r="F483" s="107"/>
      <c r="G483" s="107"/>
      <c r="H483" s="107"/>
      <c r="L483" s="107"/>
      <c r="N483" s="289"/>
      <c r="P483" s="107"/>
      <c r="Q483" s="107"/>
    </row>
    <row r="484" spans="2:17" s="105" customFormat="1">
      <c r="B484" s="106"/>
      <c r="F484" s="107"/>
      <c r="G484" s="107"/>
      <c r="H484" s="107"/>
      <c r="L484" s="107"/>
      <c r="N484" s="289"/>
      <c r="P484" s="107"/>
      <c r="Q484" s="107"/>
    </row>
    <row r="485" spans="2:17" s="105" customFormat="1">
      <c r="B485" s="106"/>
      <c r="F485" s="107"/>
      <c r="G485" s="107"/>
      <c r="H485" s="107"/>
      <c r="L485" s="107"/>
      <c r="N485" s="289"/>
      <c r="P485" s="107"/>
      <c r="Q485" s="107"/>
    </row>
    <row r="486" spans="2:17" s="105" customFormat="1">
      <c r="B486" s="106"/>
      <c r="F486" s="107"/>
      <c r="G486" s="107"/>
      <c r="H486" s="107"/>
      <c r="L486" s="107"/>
      <c r="N486" s="289"/>
      <c r="P486" s="107"/>
      <c r="Q486" s="107"/>
    </row>
    <row r="487" spans="2:17" s="105" customFormat="1">
      <c r="B487" s="106"/>
      <c r="F487" s="107"/>
      <c r="G487" s="107"/>
      <c r="H487" s="107"/>
      <c r="L487" s="107"/>
      <c r="N487" s="289"/>
      <c r="P487" s="107"/>
      <c r="Q487" s="107"/>
    </row>
    <row r="488" spans="2:17" s="105" customFormat="1">
      <c r="B488" s="106"/>
      <c r="F488" s="107"/>
      <c r="G488" s="107"/>
      <c r="H488" s="107"/>
      <c r="L488" s="107"/>
      <c r="N488" s="289"/>
      <c r="P488" s="107"/>
      <c r="Q488" s="107"/>
    </row>
    <row r="489" spans="2:17" s="105" customFormat="1">
      <c r="B489" s="106"/>
      <c r="F489" s="107"/>
      <c r="G489" s="107"/>
      <c r="H489" s="107"/>
      <c r="L489" s="107"/>
      <c r="N489" s="289"/>
      <c r="P489" s="107"/>
      <c r="Q489" s="107"/>
    </row>
    <row r="490" spans="2:17" s="105" customFormat="1">
      <c r="B490" s="106"/>
      <c r="F490" s="107"/>
      <c r="G490" s="107"/>
      <c r="H490" s="107"/>
      <c r="L490" s="107"/>
      <c r="N490" s="289"/>
      <c r="P490" s="107"/>
      <c r="Q490" s="107"/>
    </row>
    <row r="491" spans="2:17" s="105" customFormat="1">
      <c r="B491" s="106"/>
      <c r="F491" s="107"/>
      <c r="G491" s="107"/>
      <c r="H491" s="107"/>
      <c r="L491" s="107"/>
      <c r="N491" s="289"/>
      <c r="P491" s="107"/>
      <c r="Q491" s="107"/>
    </row>
    <row r="492" spans="2:17" s="105" customFormat="1">
      <c r="B492" s="106"/>
      <c r="F492" s="107"/>
      <c r="G492" s="107"/>
      <c r="H492" s="107"/>
      <c r="L492" s="107"/>
      <c r="N492" s="289"/>
      <c r="P492" s="107"/>
      <c r="Q492" s="107"/>
    </row>
    <row r="493" spans="2:17" s="105" customFormat="1">
      <c r="B493" s="106"/>
      <c r="F493" s="107"/>
      <c r="G493" s="107"/>
      <c r="H493" s="107"/>
      <c r="L493" s="107"/>
      <c r="N493" s="289"/>
      <c r="P493" s="107"/>
      <c r="Q493" s="107"/>
    </row>
    <row r="494" spans="2:17" s="105" customFormat="1">
      <c r="B494" s="106"/>
      <c r="F494" s="107"/>
      <c r="G494" s="107"/>
      <c r="H494" s="107"/>
      <c r="L494" s="107"/>
      <c r="N494" s="289"/>
      <c r="P494" s="107"/>
      <c r="Q494" s="107"/>
    </row>
    <row r="495" spans="2:17" s="105" customFormat="1">
      <c r="B495" s="106"/>
      <c r="F495" s="107"/>
      <c r="G495" s="107"/>
      <c r="H495" s="107"/>
      <c r="L495" s="107"/>
      <c r="N495" s="289"/>
      <c r="P495" s="107"/>
      <c r="Q495" s="107"/>
    </row>
    <row r="496" spans="2:17" s="105" customFormat="1">
      <c r="B496" s="106"/>
      <c r="F496" s="107"/>
      <c r="G496" s="107"/>
      <c r="H496" s="107"/>
      <c r="L496" s="107"/>
      <c r="N496" s="289"/>
      <c r="P496" s="107"/>
      <c r="Q496" s="107"/>
    </row>
    <row r="497" spans="2:17" s="105" customFormat="1">
      <c r="B497" s="106"/>
      <c r="F497" s="107"/>
      <c r="G497" s="107"/>
      <c r="H497" s="107"/>
      <c r="L497" s="107"/>
      <c r="N497" s="289"/>
      <c r="P497" s="107"/>
      <c r="Q497" s="107"/>
    </row>
    <row r="498" spans="2:17" s="105" customFormat="1">
      <c r="B498" s="106"/>
      <c r="F498" s="107"/>
      <c r="G498" s="107"/>
      <c r="H498" s="107"/>
      <c r="L498" s="107"/>
      <c r="N498" s="289"/>
      <c r="P498" s="107"/>
      <c r="Q498" s="107"/>
    </row>
    <row r="499" spans="2:17" s="105" customFormat="1">
      <c r="B499" s="106"/>
      <c r="F499" s="107"/>
      <c r="G499" s="107"/>
      <c r="H499" s="107"/>
      <c r="L499" s="107"/>
      <c r="N499" s="289"/>
      <c r="P499" s="107"/>
      <c r="Q499" s="107"/>
    </row>
    <row r="500" spans="2:17" s="105" customFormat="1">
      <c r="B500" s="106"/>
      <c r="F500" s="107"/>
      <c r="G500" s="107"/>
      <c r="H500" s="107"/>
      <c r="L500" s="107"/>
      <c r="N500" s="289"/>
      <c r="P500" s="107"/>
      <c r="Q500" s="107"/>
    </row>
    <row r="501" spans="2:17" s="105" customFormat="1">
      <c r="B501" s="106"/>
      <c r="F501" s="107"/>
      <c r="G501" s="107"/>
      <c r="H501" s="107"/>
      <c r="L501" s="107"/>
      <c r="N501" s="289"/>
      <c r="P501" s="107"/>
      <c r="Q501" s="107"/>
    </row>
    <row r="502" spans="2:17" s="105" customFormat="1">
      <c r="B502" s="106"/>
      <c r="F502" s="107"/>
      <c r="G502" s="107"/>
      <c r="H502" s="107"/>
      <c r="L502" s="107"/>
      <c r="N502" s="289"/>
      <c r="P502" s="107"/>
      <c r="Q502" s="107"/>
    </row>
    <row r="503" spans="2:17" s="105" customFormat="1">
      <c r="B503" s="106"/>
      <c r="F503" s="107"/>
      <c r="G503" s="107"/>
      <c r="H503" s="107"/>
      <c r="L503" s="107"/>
      <c r="N503" s="289"/>
      <c r="P503" s="107"/>
      <c r="Q503" s="107"/>
    </row>
    <row r="504" spans="2:17" s="105" customFormat="1">
      <c r="B504" s="106"/>
      <c r="F504" s="107"/>
      <c r="G504" s="107"/>
      <c r="H504" s="107"/>
      <c r="L504" s="107"/>
      <c r="N504" s="289"/>
      <c r="P504" s="107"/>
      <c r="Q504" s="107"/>
    </row>
    <row r="505" spans="2:17" s="105" customFormat="1">
      <c r="B505" s="106"/>
      <c r="F505" s="107"/>
      <c r="G505" s="107"/>
      <c r="H505" s="107"/>
      <c r="L505" s="107"/>
      <c r="N505" s="289"/>
      <c r="P505" s="107"/>
      <c r="Q505" s="107"/>
    </row>
    <row r="506" spans="2:17" s="105" customFormat="1">
      <c r="B506" s="106"/>
      <c r="F506" s="107"/>
      <c r="G506" s="107"/>
      <c r="H506" s="107"/>
      <c r="L506" s="107"/>
      <c r="N506" s="289"/>
      <c r="P506" s="107"/>
      <c r="Q506" s="107"/>
    </row>
    <row r="507" spans="2:17" s="105" customFormat="1">
      <c r="B507" s="106"/>
      <c r="F507" s="107"/>
      <c r="G507" s="107"/>
      <c r="H507" s="107"/>
      <c r="L507" s="107"/>
      <c r="N507" s="289"/>
      <c r="P507" s="107"/>
      <c r="Q507" s="107"/>
    </row>
    <row r="508" spans="2:17" s="105" customFormat="1">
      <c r="B508" s="106"/>
      <c r="F508" s="107"/>
      <c r="G508" s="107"/>
      <c r="H508" s="107"/>
      <c r="L508" s="107"/>
      <c r="N508" s="289"/>
      <c r="P508" s="107"/>
      <c r="Q508" s="107"/>
    </row>
    <row r="509" spans="2:17" s="105" customFormat="1">
      <c r="B509" s="106"/>
      <c r="F509" s="107"/>
      <c r="G509" s="107"/>
      <c r="H509" s="107"/>
      <c r="L509" s="107"/>
      <c r="N509" s="289"/>
      <c r="P509" s="107"/>
      <c r="Q509" s="107"/>
    </row>
    <row r="510" spans="2:17" s="105" customFormat="1">
      <c r="B510" s="106"/>
      <c r="F510" s="107"/>
      <c r="G510" s="107"/>
      <c r="H510" s="107"/>
      <c r="L510" s="107"/>
      <c r="N510" s="289"/>
      <c r="P510" s="107"/>
      <c r="Q510" s="107"/>
    </row>
    <row r="511" spans="2:17" s="105" customFormat="1">
      <c r="B511" s="106"/>
      <c r="F511" s="107"/>
      <c r="G511" s="107"/>
      <c r="H511" s="107"/>
      <c r="L511" s="107"/>
      <c r="N511" s="289"/>
      <c r="P511" s="107"/>
      <c r="Q511" s="107"/>
    </row>
    <row r="512" spans="2:17" s="105" customFormat="1">
      <c r="B512" s="106"/>
      <c r="F512" s="107"/>
      <c r="G512" s="107"/>
      <c r="H512" s="107"/>
      <c r="L512" s="107"/>
      <c r="N512" s="289"/>
      <c r="P512" s="107"/>
      <c r="Q512" s="107"/>
    </row>
    <row r="513" spans="2:17" s="105" customFormat="1">
      <c r="B513" s="106"/>
      <c r="F513" s="107"/>
      <c r="G513" s="107"/>
      <c r="H513" s="107"/>
      <c r="L513" s="107"/>
      <c r="N513" s="289"/>
      <c r="P513" s="107"/>
      <c r="Q513" s="107"/>
    </row>
    <row r="514" spans="2:17" s="105" customFormat="1">
      <c r="B514" s="106"/>
      <c r="F514" s="107"/>
      <c r="G514" s="107"/>
      <c r="H514" s="107"/>
      <c r="L514" s="107"/>
      <c r="N514" s="289"/>
      <c r="P514" s="107"/>
      <c r="Q514" s="107"/>
    </row>
    <row r="515" spans="2:17" s="105" customFormat="1">
      <c r="B515" s="106"/>
      <c r="F515" s="107"/>
      <c r="G515" s="107"/>
      <c r="H515" s="107"/>
      <c r="L515" s="107"/>
      <c r="N515" s="289"/>
      <c r="P515" s="107"/>
      <c r="Q515" s="107"/>
    </row>
    <row r="516" spans="2:17" s="105" customFormat="1">
      <c r="B516" s="106"/>
      <c r="F516" s="107"/>
      <c r="G516" s="107"/>
      <c r="H516" s="107"/>
      <c r="L516" s="107"/>
      <c r="N516" s="289"/>
      <c r="P516" s="107"/>
      <c r="Q516" s="107"/>
    </row>
    <row r="517" spans="2:17" s="105" customFormat="1">
      <c r="B517" s="106"/>
      <c r="F517" s="107"/>
      <c r="G517" s="107"/>
      <c r="H517" s="107"/>
      <c r="L517" s="107"/>
      <c r="N517" s="289"/>
      <c r="P517" s="107"/>
      <c r="Q517" s="107"/>
    </row>
    <row r="518" spans="2:17" s="105" customFormat="1">
      <c r="B518" s="106"/>
      <c r="F518" s="107"/>
      <c r="G518" s="107"/>
      <c r="H518" s="107"/>
      <c r="L518" s="107"/>
      <c r="N518" s="289"/>
      <c r="P518" s="107"/>
      <c r="Q518" s="107"/>
    </row>
    <row r="519" spans="2:17" s="105" customFormat="1">
      <c r="B519" s="106"/>
      <c r="F519" s="107"/>
      <c r="G519" s="107"/>
      <c r="H519" s="107"/>
      <c r="L519" s="107"/>
      <c r="N519" s="289"/>
      <c r="P519" s="107"/>
      <c r="Q519" s="107"/>
    </row>
    <row r="520" spans="2:17" s="105" customFormat="1">
      <c r="B520" s="106"/>
      <c r="F520" s="107"/>
      <c r="G520" s="107"/>
      <c r="H520" s="107"/>
      <c r="L520" s="107"/>
      <c r="N520" s="289"/>
      <c r="P520" s="107"/>
      <c r="Q520" s="107"/>
    </row>
    <row r="521" spans="2:17" s="105" customFormat="1">
      <c r="B521" s="106"/>
      <c r="F521" s="107"/>
      <c r="G521" s="107"/>
      <c r="H521" s="107"/>
      <c r="L521" s="107"/>
      <c r="N521" s="289"/>
      <c r="P521" s="107"/>
      <c r="Q521" s="107"/>
    </row>
    <row r="522" spans="2:17" s="105" customFormat="1">
      <c r="B522" s="106"/>
      <c r="F522" s="107"/>
      <c r="G522" s="107"/>
      <c r="H522" s="107"/>
      <c r="L522" s="107"/>
      <c r="N522" s="289"/>
      <c r="P522" s="107"/>
      <c r="Q522" s="107"/>
    </row>
    <row r="523" spans="2:17" s="105" customFormat="1">
      <c r="B523" s="106"/>
      <c r="F523" s="107"/>
      <c r="G523" s="107"/>
      <c r="H523" s="107"/>
      <c r="L523" s="107"/>
      <c r="N523" s="289"/>
      <c r="P523" s="107"/>
      <c r="Q523" s="107"/>
    </row>
    <row r="524" spans="2:17" s="105" customFormat="1">
      <c r="B524" s="106"/>
      <c r="F524" s="107"/>
      <c r="G524" s="107"/>
      <c r="H524" s="107"/>
      <c r="L524" s="107"/>
      <c r="N524" s="289"/>
      <c r="P524" s="107"/>
      <c r="Q524" s="107"/>
    </row>
    <row r="525" spans="2:17" s="105" customFormat="1">
      <c r="B525" s="106"/>
      <c r="F525" s="107"/>
      <c r="G525" s="107"/>
      <c r="H525" s="107"/>
      <c r="L525" s="107"/>
      <c r="N525" s="289"/>
      <c r="P525" s="107"/>
      <c r="Q525" s="107"/>
    </row>
    <row r="526" spans="2:17" s="105" customFormat="1">
      <c r="B526" s="106"/>
      <c r="F526" s="107"/>
      <c r="G526" s="107"/>
      <c r="H526" s="107"/>
      <c r="L526" s="107"/>
      <c r="N526" s="289"/>
      <c r="P526" s="107"/>
      <c r="Q526" s="107"/>
    </row>
    <row r="527" spans="2:17" s="105" customFormat="1">
      <c r="B527" s="106"/>
      <c r="F527" s="107"/>
      <c r="G527" s="107"/>
      <c r="H527" s="107"/>
      <c r="L527" s="107"/>
      <c r="N527" s="289"/>
      <c r="P527" s="107"/>
      <c r="Q527" s="107"/>
    </row>
    <row r="528" spans="2:17" s="105" customFormat="1">
      <c r="B528" s="106"/>
      <c r="F528" s="107"/>
      <c r="G528" s="107"/>
      <c r="H528" s="107"/>
      <c r="L528" s="107"/>
      <c r="N528" s="289"/>
      <c r="P528" s="107"/>
      <c r="Q528" s="107"/>
    </row>
    <row r="529" spans="2:17" s="105" customFormat="1">
      <c r="B529" s="106"/>
      <c r="F529" s="107"/>
      <c r="G529" s="107"/>
      <c r="H529" s="107"/>
      <c r="L529" s="107"/>
      <c r="N529" s="289"/>
      <c r="P529" s="107"/>
      <c r="Q529" s="107"/>
    </row>
    <row r="530" spans="2:17" s="105" customFormat="1">
      <c r="B530" s="106"/>
      <c r="F530" s="107"/>
      <c r="G530" s="107"/>
      <c r="H530" s="107"/>
      <c r="L530" s="107"/>
      <c r="N530" s="289"/>
      <c r="P530" s="107"/>
      <c r="Q530" s="107"/>
    </row>
    <row r="531" spans="2:17" s="105" customFormat="1">
      <c r="B531" s="106"/>
      <c r="F531" s="107"/>
      <c r="G531" s="107"/>
      <c r="H531" s="107"/>
      <c r="L531" s="107"/>
      <c r="N531" s="289"/>
      <c r="P531" s="107"/>
      <c r="Q531" s="107"/>
    </row>
    <row r="532" spans="2:17" s="105" customFormat="1">
      <c r="B532" s="106"/>
      <c r="F532" s="107"/>
      <c r="G532" s="107"/>
      <c r="H532" s="107"/>
      <c r="L532" s="107"/>
      <c r="N532" s="289"/>
      <c r="P532" s="107"/>
      <c r="Q532" s="107"/>
    </row>
    <row r="533" spans="2:17" s="105" customFormat="1">
      <c r="B533" s="106"/>
      <c r="F533" s="107"/>
      <c r="G533" s="107"/>
      <c r="H533" s="107"/>
      <c r="L533" s="107"/>
      <c r="N533" s="289"/>
      <c r="P533" s="107"/>
      <c r="Q533" s="107"/>
    </row>
    <row r="534" spans="2:17" s="105" customFormat="1">
      <c r="B534" s="106"/>
      <c r="F534" s="107"/>
      <c r="G534" s="107"/>
      <c r="H534" s="107"/>
      <c r="L534" s="107"/>
      <c r="N534" s="289"/>
      <c r="P534" s="107"/>
      <c r="Q534" s="107"/>
    </row>
    <row r="535" spans="2:17" s="105" customFormat="1">
      <c r="B535" s="106"/>
      <c r="F535" s="107"/>
      <c r="G535" s="107"/>
      <c r="H535" s="107"/>
      <c r="L535" s="107"/>
      <c r="N535" s="289"/>
      <c r="P535" s="107"/>
      <c r="Q535" s="107"/>
    </row>
    <row r="536" spans="2:17" s="105" customFormat="1">
      <c r="B536" s="106"/>
      <c r="F536" s="107"/>
      <c r="G536" s="107"/>
      <c r="H536" s="107"/>
      <c r="L536" s="107"/>
      <c r="N536" s="289"/>
      <c r="P536" s="107"/>
      <c r="Q536" s="107"/>
    </row>
    <row r="537" spans="2:17" s="105" customFormat="1">
      <c r="B537" s="106"/>
      <c r="F537" s="107"/>
      <c r="G537" s="107"/>
      <c r="H537" s="107"/>
      <c r="L537" s="107"/>
      <c r="N537" s="289"/>
      <c r="P537" s="107"/>
      <c r="Q537" s="107"/>
    </row>
    <row r="538" spans="2:17" s="105" customFormat="1">
      <c r="B538" s="106"/>
      <c r="F538" s="107"/>
      <c r="G538" s="107"/>
      <c r="H538" s="107"/>
      <c r="L538" s="107"/>
      <c r="N538" s="289"/>
      <c r="P538" s="107"/>
      <c r="Q538" s="107"/>
    </row>
    <row r="539" spans="2:17" s="105" customFormat="1">
      <c r="B539" s="106"/>
      <c r="F539" s="107"/>
      <c r="G539" s="107"/>
      <c r="H539" s="107"/>
      <c r="L539" s="107"/>
      <c r="N539" s="289"/>
      <c r="P539" s="107"/>
      <c r="Q539" s="107"/>
    </row>
    <row r="540" spans="2:17" s="105" customFormat="1">
      <c r="B540" s="106"/>
      <c r="F540" s="107"/>
      <c r="G540" s="107"/>
      <c r="H540" s="107"/>
      <c r="L540" s="107"/>
      <c r="N540" s="289"/>
      <c r="P540" s="107"/>
      <c r="Q540" s="107"/>
    </row>
    <row r="541" spans="2:17" s="105" customFormat="1">
      <c r="B541" s="106"/>
      <c r="F541" s="107"/>
      <c r="G541" s="107"/>
      <c r="H541" s="107"/>
      <c r="L541" s="107"/>
      <c r="N541" s="289"/>
      <c r="P541" s="107"/>
      <c r="Q541" s="107"/>
    </row>
    <row r="542" spans="2:17" s="105" customFormat="1">
      <c r="B542" s="106"/>
      <c r="F542" s="107"/>
      <c r="G542" s="107"/>
      <c r="H542" s="107"/>
      <c r="L542" s="107"/>
      <c r="N542" s="289"/>
      <c r="P542" s="107"/>
      <c r="Q542" s="107"/>
    </row>
    <row r="543" spans="2:17" s="105" customFormat="1">
      <c r="B543" s="106"/>
      <c r="F543" s="107"/>
      <c r="G543" s="107"/>
      <c r="H543" s="107"/>
      <c r="L543" s="107"/>
      <c r="N543" s="289"/>
      <c r="P543" s="107"/>
      <c r="Q543" s="107"/>
    </row>
    <row r="544" spans="2:17" s="105" customFormat="1">
      <c r="B544" s="106"/>
      <c r="F544" s="107"/>
      <c r="G544" s="107"/>
      <c r="H544" s="107"/>
      <c r="L544" s="107"/>
      <c r="N544" s="289"/>
      <c r="P544" s="107"/>
      <c r="Q544" s="107"/>
    </row>
    <row r="545" spans="2:17" s="105" customFormat="1">
      <c r="B545" s="106"/>
      <c r="F545" s="107"/>
      <c r="G545" s="107"/>
      <c r="H545" s="107"/>
      <c r="L545" s="107"/>
      <c r="N545" s="289"/>
      <c r="P545" s="107"/>
      <c r="Q545" s="107"/>
    </row>
    <row r="546" spans="2:17" s="105" customFormat="1">
      <c r="B546" s="106"/>
      <c r="F546" s="107"/>
      <c r="G546" s="107"/>
      <c r="H546" s="107"/>
      <c r="L546" s="107"/>
      <c r="N546" s="289"/>
      <c r="P546" s="107"/>
      <c r="Q546" s="107"/>
    </row>
    <row r="547" spans="2:17" s="105" customFormat="1">
      <c r="B547" s="106"/>
      <c r="F547" s="107"/>
      <c r="G547" s="107"/>
      <c r="H547" s="107"/>
      <c r="L547" s="107"/>
      <c r="N547" s="289"/>
      <c r="P547" s="107"/>
      <c r="Q547" s="107"/>
    </row>
    <row r="548" spans="2:17" s="105" customFormat="1">
      <c r="B548" s="106"/>
      <c r="F548" s="107"/>
      <c r="G548" s="107"/>
      <c r="H548" s="107"/>
      <c r="L548" s="107"/>
      <c r="N548" s="289"/>
      <c r="P548" s="107"/>
      <c r="Q548" s="107"/>
    </row>
    <row r="549" spans="2:17" s="105" customFormat="1">
      <c r="B549" s="106"/>
      <c r="F549" s="107"/>
      <c r="G549" s="107"/>
      <c r="H549" s="107"/>
      <c r="L549" s="107"/>
      <c r="N549" s="289"/>
      <c r="P549" s="107"/>
      <c r="Q549" s="107"/>
    </row>
    <row r="550" spans="2:17" s="105" customFormat="1">
      <c r="B550" s="106"/>
      <c r="F550" s="107"/>
      <c r="G550" s="107"/>
      <c r="H550" s="107"/>
      <c r="L550" s="107"/>
      <c r="N550" s="289"/>
      <c r="P550" s="107"/>
      <c r="Q550" s="107"/>
    </row>
    <row r="551" spans="2:17" s="105" customFormat="1">
      <c r="B551" s="106"/>
      <c r="F551" s="107"/>
      <c r="G551" s="107"/>
      <c r="H551" s="107"/>
      <c r="L551" s="107"/>
      <c r="N551" s="289"/>
      <c r="P551" s="107"/>
      <c r="Q551" s="107"/>
    </row>
    <row r="552" spans="2:17" s="105" customFormat="1">
      <c r="B552" s="106"/>
      <c r="F552" s="107"/>
      <c r="G552" s="107"/>
      <c r="H552" s="107"/>
      <c r="L552" s="107"/>
      <c r="N552" s="289"/>
      <c r="P552" s="107"/>
      <c r="Q552" s="107"/>
    </row>
    <row r="553" spans="2:17" s="105" customFormat="1">
      <c r="B553" s="106"/>
      <c r="F553" s="107"/>
      <c r="G553" s="107"/>
      <c r="H553" s="107"/>
      <c r="L553" s="107"/>
      <c r="N553" s="289"/>
      <c r="P553" s="107"/>
      <c r="Q553" s="107"/>
    </row>
    <row r="554" spans="2:17" s="105" customFormat="1">
      <c r="B554" s="106"/>
      <c r="F554" s="107"/>
      <c r="G554" s="107"/>
      <c r="H554" s="107"/>
      <c r="L554" s="107"/>
      <c r="N554" s="289"/>
      <c r="P554" s="107"/>
      <c r="Q554" s="107"/>
    </row>
    <row r="555" spans="2:17" s="105" customFormat="1">
      <c r="B555" s="106"/>
      <c r="F555" s="107"/>
      <c r="G555" s="107"/>
      <c r="H555" s="107"/>
      <c r="L555" s="107"/>
      <c r="N555" s="289"/>
      <c r="P555" s="107"/>
      <c r="Q555" s="107"/>
    </row>
    <row r="556" spans="2:17" s="105" customFormat="1">
      <c r="B556" s="106"/>
      <c r="F556" s="107"/>
      <c r="G556" s="107"/>
      <c r="H556" s="107"/>
      <c r="L556" s="107"/>
      <c r="N556" s="289"/>
      <c r="P556" s="107"/>
      <c r="Q556" s="107"/>
    </row>
    <row r="557" spans="2:17" s="105" customFormat="1">
      <c r="B557" s="106"/>
      <c r="F557" s="107"/>
      <c r="G557" s="107"/>
      <c r="H557" s="107"/>
      <c r="L557" s="107"/>
      <c r="N557" s="289"/>
      <c r="P557" s="107"/>
      <c r="Q557" s="107"/>
    </row>
    <row r="558" spans="2:17" s="105" customFormat="1">
      <c r="B558" s="106"/>
      <c r="F558" s="107"/>
      <c r="G558" s="107"/>
      <c r="H558" s="107"/>
      <c r="L558" s="107"/>
      <c r="N558" s="289"/>
      <c r="P558" s="107"/>
      <c r="Q558" s="107"/>
    </row>
    <row r="559" spans="2:17" s="105" customFormat="1">
      <c r="B559" s="106"/>
      <c r="F559" s="107"/>
      <c r="G559" s="107"/>
      <c r="H559" s="107"/>
      <c r="L559" s="107"/>
      <c r="N559" s="289"/>
      <c r="P559" s="107"/>
      <c r="Q559" s="107"/>
    </row>
    <row r="560" spans="2:17" s="105" customFormat="1">
      <c r="B560" s="106"/>
      <c r="F560" s="107"/>
      <c r="G560" s="107"/>
      <c r="H560" s="107"/>
      <c r="L560" s="107"/>
      <c r="N560" s="289"/>
      <c r="P560" s="107"/>
      <c r="Q560" s="107"/>
    </row>
    <row r="561" spans="2:17" s="105" customFormat="1">
      <c r="B561" s="106"/>
      <c r="F561" s="107"/>
      <c r="G561" s="107"/>
      <c r="H561" s="107"/>
      <c r="L561" s="107"/>
      <c r="N561" s="289"/>
      <c r="P561" s="107"/>
      <c r="Q561" s="107"/>
    </row>
    <row r="562" spans="2:17" s="105" customFormat="1">
      <c r="B562" s="106"/>
      <c r="F562" s="107"/>
      <c r="G562" s="107"/>
      <c r="H562" s="107"/>
      <c r="L562" s="107"/>
      <c r="N562" s="289"/>
      <c r="P562" s="107"/>
      <c r="Q562" s="107"/>
    </row>
    <row r="563" spans="2:17" s="105" customFormat="1">
      <c r="B563" s="106"/>
      <c r="F563" s="107"/>
      <c r="G563" s="107"/>
      <c r="H563" s="107"/>
      <c r="L563" s="107"/>
      <c r="N563" s="289"/>
      <c r="P563" s="107"/>
      <c r="Q563" s="107"/>
    </row>
    <row r="564" spans="2:17" s="105" customFormat="1">
      <c r="B564" s="106"/>
      <c r="F564" s="107"/>
      <c r="G564" s="107"/>
      <c r="H564" s="107"/>
      <c r="L564" s="107"/>
      <c r="N564" s="289"/>
      <c r="P564" s="107"/>
      <c r="Q564" s="107"/>
    </row>
    <row r="565" spans="2:17" s="105" customFormat="1">
      <c r="B565" s="106"/>
      <c r="F565" s="107"/>
      <c r="G565" s="107"/>
      <c r="H565" s="107"/>
      <c r="L565" s="107"/>
      <c r="N565" s="289"/>
      <c r="P565" s="107"/>
      <c r="Q565" s="107"/>
    </row>
    <row r="566" spans="2:17" s="105" customFormat="1">
      <c r="B566" s="106"/>
      <c r="F566" s="107"/>
      <c r="G566" s="107"/>
      <c r="H566" s="107"/>
      <c r="L566" s="107"/>
      <c r="N566" s="289"/>
      <c r="P566" s="107"/>
      <c r="Q566" s="107"/>
    </row>
    <row r="567" spans="2:17" s="105" customFormat="1">
      <c r="B567" s="106"/>
      <c r="F567" s="107"/>
      <c r="G567" s="107"/>
      <c r="H567" s="107"/>
      <c r="L567" s="107"/>
      <c r="N567" s="289"/>
      <c r="P567" s="107"/>
      <c r="Q567" s="107"/>
    </row>
    <row r="568" spans="2:17" s="105" customFormat="1">
      <c r="B568" s="106"/>
      <c r="F568" s="107"/>
      <c r="G568" s="107"/>
      <c r="H568" s="107"/>
      <c r="L568" s="107"/>
      <c r="N568" s="289"/>
      <c r="P568" s="107"/>
      <c r="Q568" s="107"/>
    </row>
    <row r="569" spans="2:17" s="105" customFormat="1">
      <c r="B569" s="106"/>
      <c r="F569" s="107"/>
      <c r="G569" s="107"/>
      <c r="H569" s="107"/>
      <c r="L569" s="107"/>
      <c r="N569" s="289"/>
      <c r="P569" s="107"/>
      <c r="Q569" s="107"/>
    </row>
    <row r="570" spans="2:17" s="105" customFormat="1">
      <c r="B570" s="106"/>
      <c r="F570" s="107"/>
      <c r="G570" s="107"/>
      <c r="H570" s="107"/>
      <c r="L570" s="107"/>
      <c r="N570" s="289"/>
      <c r="P570" s="107"/>
      <c r="Q570" s="107"/>
    </row>
    <row r="571" spans="2:17" s="105" customFormat="1">
      <c r="B571" s="106"/>
      <c r="F571" s="107"/>
      <c r="G571" s="107"/>
      <c r="H571" s="107"/>
      <c r="L571" s="107"/>
      <c r="N571" s="289"/>
      <c r="P571" s="107"/>
      <c r="Q571" s="107"/>
    </row>
    <row r="572" spans="2:17" s="105" customFormat="1">
      <c r="B572" s="106"/>
      <c r="F572" s="107"/>
      <c r="G572" s="107"/>
      <c r="H572" s="107"/>
      <c r="L572" s="107"/>
      <c r="N572" s="289"/>
      <c r="P572" s="107"/>
      <c r="Q572" s="107"/>
    </row>
    <row r="573" spans="2:17" s="105" customFormat="1">
      <c r="B573" s="106"/>
      <c r="F573" s="107"/>
      <c r="G573" s="107"/>
      <c r="H573" s="107"/>
      <c r="L573" s="107"/>
      <c r="N573" s="289"/>
      <c r="P573" s="107"/>
      <c r="Q573" s="107"/>
    </row>
    <row r="574" spans="2:17" s="105" customFormat="1">
      <c r="B574" s="106"/>
      <c r="F574" s="107"/>
      <c r="G574" s="107"/>
      <c r="H574" s="107"/>
      <c r="L574" s="107"/>
      <c r="N574" s="289"/>
      <c r="P574" s="107"/>
      <c r="Q574" s="107"/>
    </row>
    <row r="575" spans="2:17" s="105" customFormat="1">
      <c r="B575" s="106"/>
      <c r="F575" s="107"/>
      <c r="G575" s="107"/>
      <c r="H575" s="107"/>
      <c r="L575" s="107"/>
      <c r="N575" s="289"/>
      <c r="P575" s="107"/>
      <c r="Q575" s="107"/>
    </row>
    <row r="576" spans="2:17" s="105" customFormat="1">
      <c r="B576" s="106"/>
      <c r="F576" s="107"/>
      <c r="G576" s="107"/>
      <c r="H576" s="107"/>
      <c r="L576" s="107"/>
      <c r="N576" s="289"/>
      <c r="P576" s="107"/>
      <c r="Q576" s="107"/>
    </row>
    <row r="577" spans="2:17" s="105" customFormat="1">
      <c r="B577" s="106"/>
      <c r="F577" s="107"/>
      <c r="G577" s="107"/>
      <c r="H577" s="107"/>
      <c r="L577" s="107"/>
      <c r="N577" s="289"/>
      <c r="P577" s="107"/>
      <c r="Q577" s="107"/>
    </row>
    <row r="578" spans="2:17" s="105" customFormat="1">
      <c r="B578" s="106"/>
      <c r="F578" s="107"/>
      <c r="G578" s="107"/>
      <c r="H578" s="107"/>
      <c r="L578" s="107"/>
      <c r="N578" s="289"/>
      <c r="P578" s="107"/>
      <c r="Q578" s="107"/>
    </row>
    <row r="579" spans="2:17" s="105" customFormat="1">
      <c r="B579" s="106"/>
      <c r="F579" s="107"/>
      <c r="G579" s="107"/>
      <c r="H579" s="107"/>
      <c r="L579" s="107"/>
      <c r="N579" s="289"/>
      <c r="P579" s="107"/>
      <c r="Q579" s="107"/>
    </row>
    <row r="580" spans="2:17" s="105" customFormat="1">
      <c r="B580" s="106"/>
      <c r="F580" s="107"/>
      <c r="G580" s="107"/>
      <c r="H580" s="107"/>
      <c r="L580" s="107"/>
      <c r="N580" s="289"/>
      <c r="P580" s="107"/>
      <c r="Q580" s="107"/>
    </row>
    <row r="581" spans="2:17" s="105" customFormat="1">
      <c r="B581" s="106"/>
      <c r="F581" s="107"/>
      <c r="G581" s="107"/>
      <c r="H581" s="107"/>
      <c r="L581" s="107"/>
      <c r="N581" s="289"/>
      <c r="P581" s="107"/>
      <c r="Q581" s="107"/>
    </row>
    <row r="582" spans="2:17" s="105" customFormat="1">
      <c r="B582" s="106"/>
      <c r="F582" s="107"/>
      <c r="G582" s="107"/>
      <c r="H582" s="107"/>
      <c r="L582" s="107"/>
      <c r="N582" s="289"/>
      <c r="P582" s="107"/>
      <c r="Q582" s="107"/>
    </row>
    <row r="583" spans="2:17" s="105" customFormat="1">
      <c r="B583" s="106"/>
      <c r="F583" s="107"/>
      <c r="G583" s="107"/>
      <c r="H583" s="107"/>
      <c r="L583" s="107"/>
      <c r="N583" s="289"/>
      <c r="P583" s="107"/>
      <c r="Q583" s="107"/>
    </row>
    <row r="584" spans="2:17" s="105" customFormat="1">
      <c r="B584" s="106"/>
      <c r="F584" s="107"/>
      <c r="G584" s="107"/>
      <c r="H584" s="107"/>
      <c r="L584" s="107"/>
      <c r="N584" s="289"/>
      <c r="P584" s="107"/>
      <c r="Q584" s="107"/>
    </row>
    <row r="585" spans="2:17" s="105" customFormat="1">
      <c r="B585" s="106"/>
      <c r="F585" s="107"/>
      <c r="G585" s="107"/>
      <c r="H585" s="107"/>
      <c r="L585" s="107"/>
      <c r="N585" s="289"/>
      <c r="P585" s="107"/>
      <c r="Q585" s="107"/>
    </row>
    <row r="586" spans="2:17" s="105" customFormat="1">
      <c r="B586" s="106"/>
      <c r="F586" s="107"/>
      <c r="G586" s="107"/>
      <c r="H586" s="107"/>
      <c r="L586" s="107"/>
      <c r="N586" s="289"/>
      <c r="P586" s="107"/>
      <c r="Q586" s="107"/>
    </row>
    <row r="587" spans="2:17" s="105" customFormat="1">
      <c r="B587" s="106"/>
      <c r="F587" s="107"/>
      <c r="G587" s="107"/>
      <c r="H587" s="107"/>
      <c r="L587" s="107"/>
      <c r="N587" s="289"/>
      <c r="P587" s="107"/>
      <c r="Q587" s="107"/>
    </row>
    <row r="588" spans="2:17" s="105" customFormat="1">
      <c r="B588" s="106"/>
      <c r="F588" s="107"/>
      <c r="G588" s="107"/>
      <c r="H588" s="107"/>
      <c r="L588" s="107"/>
      <c r="N588" s="289"/>
      <c r="P588" s="107"/>
      <c r="Q588" s="107"/>
    </row>
    <row r="589" spans="2:17" s="105" customFormat="1">
      <c r="B589" s="106"/>
      <c r="F589" s="107"/>
      <c r="G589" s="107"/>
      <c r="H589" s="107"/>
      <c r="L589" s="107"/>
      <c r="N589" s="289"/>
      <c r="P589" s="107"/>
      <c r="Q589" s="107"/>
    </row>
    <row r="590" spans="2:17" s="105" customFormat="1">
      <c r="B590" s="106"/>
      <c r="F590" s="107"/>
      <c r="G590" s="107"/>
      <c r="H590" s="107"/>
      <c r="L590" s="107"/>
      <c r="N590" s="289"/>
      <c r="P590" s="107"/>
      <c r="Q590" s="107"/>
    </row>
    <row r="591" spans="2:17" s="105" customFormat="1">
      <c r="B591" s="106"/>
      <c r="F591" s="107"/>
      <c r="G591" s="107"/>
      <c r="H591" s="107"/>
      <c r="L591" s="107"/>
      <c r="N591" s="289"/>
      <c r="P591" s="107"/>
      <c r="Q591" s="107"/>
    </row>
    <row r="592" spans="2:17" s="105" customFormat="1">
      <c r="B592" s="106"/>
      <c r="F592" s="107"/>
      <c r="G592" s="107"/>
      <c r="H592" s="107"/>
      <c r="L592" s="107"/>
      <c r="N592" s="289"/>
      <c r="P592" s="107"/>
      <c r="Q592" s="107"/>
    </row>
    <row r="593" spans="2:17" s="105" customFormat="1">
      <c r="B593" s="106"/>
      <c r="F593" s="107"/>
      <c r="G593" s="107"/>
      <c r="H593" s="107"/>
      <c r="L593" s="107"/>
      <c r="N593" s="289"/>
      <c r="P593" s="107"/>
      <c r="Q593" s="107"/>
    </row>
    <row r="594" spans="2:17" s="105" customFormat="1">
      <c r="B594" s="106"/>
      <c r="F594" s="107"/>
      <c r="G594" s="107"/>
      <c r="H594" s="107"/>
      <c r="L594" s="107"/>
      <c r="N594" s="289"/>
      <c r="P594" s="107"/>
      <c r="Q594" s="107"/>
    </row>
    <row r="595" spans="2:17" s="105" customFormat="1">
      <c r="B595" s="106"/>
      <c r="F595" s="107"/>
      <c r="G595" s="107"/>
      <c r="H595" s="107"/>
      <c r="L595" s="107"/>
      <c r="N595" s="289"/>
      <c r="P595" s="107"/>
      <c r="Q595" s="107"/>
    </row>
    <row r="596" spans="2:17" s="105" customFormat="1">
      <c r="B596" s="106"/>
      <c r="F596" s="107"/>
      <c r="G596" s="107"/>
      <c r="H596" s="107"/>
      <c r="L596" s="107"/>
      <c r="N596" s="289"/>
      <c r="P596" s="107"/>
      <c r="Q596" s="107"/>
    </row>
    <row r="597" spans="2:17" s="105" customFormat="1">
      <c r="B597" s="106"/>
      <c r="F597" s="107"/>
      <c r="G597" s="107"/>
      <c r="H597" s="107"/>
      <c r="L597" s="107"/>
      <c r="N597" s="289"/>
      <c r="P597" s="107"/>
      <c r="Q597" s="107"/>
    </row>
    <row r="598" spans="2:17" s="105" customFormat="1">
      <c r="B598" s="106"/>
      <c r="F598" s="107"/>
      <c r="G598" s="107"/>
      <c r="H598" s="107"/>
      <c r="L598" s="107"/>
      <c r="N598" s="289"/>
      <c r="P598" s="107"/>
      <c r="Q598" s="107"/>
    </row>
    <row r="599" spans="2:17" s="105" customFormat="1">
      <c r="B599" s="106"/>
      <c r="F599" s="107"/>
      <c r="G599" s="107"/>
      <c r="H599" s="107"/>
      <c r="L599" s="107"/>
      <c r="N599" s="289"/>
      <c r="P599" s="107"/>
      <c r="Q599" s="107"/>
    </row>
    <row r="600" spans="2:17" s="105" customFormat="1">
      <c r="B600" s="106"/>
      <c r="F600" s="107"/>
      <c r="G600" s="107"/>
      <c r="H600" s="107"/>
      <c r="L600" s="107"/>
      <c r="N600" s="289"/>
      <c r="P600" s="107"/>
      <c r="Q600" s="107"/>
    </row>
    <row r="601" spans="2:17" s="105" customFormat="1">
      <c r="B601" s="106"/>
      <c r="F601" s="107"/>
      <c r="G601" s="107"/>
      <c r="H601" s="107"/>
      <c r="L601" s="107"/>
      <c r="N601" s="289"/>
      <c r="P601" s="107"/>
      <c r="Q601" s="107"/>
    </row>
    <row r="602" spans="2:17" s="105" customFormat="1">
      <c r="B602" s="106"/>
      <c r="F602" s="107"/>
      <c r="G602" s="107"/>
      <c r="H602" s="107"/>
      <c r="L602" s="107"/>
      <c r="N602" s="289"/>
      <c r="P602" s="107"/>
      <c r="Q602" s="107"/>
    </row>
    <row r="603" spans="2:17" s="105" customFormat="1">
      <c r="B603" s="106"/>
      <c r="F603" s="107"/>
      <c r="G603" s="107"/>
      <c r="H603" s="107"/>
      <c r="L603" s="107"/>
      <c r="N603" s="289"/>
      <c r="P603" s="107"/>
      <c r="Q603" s="107"/>
    </row>
    <row r="604" spans="2:17" s="105" customFormat="1">
      <c r="B604" s="106"/>
      <c r="F604" s="107"/>
      <c r="G604" s="107"/>
      <c r="H604" s="107"/>
      <c r="L604" s="107"/>
      <c r="N604" s="289"/>
      <c r="P604" s="107"/>
      <c r="Q604" s="107"/>
    </row>
    <row r="605" spans="2:17" s="105" customFormat="1">
      <c r="B605" s="106"/>
      <c r="F605" s="107"/>
      <c r="G605" s="107"/>
      <c r="H605" s="107"/>
      <c r="L605" s="107"/>
      <c r="N605" s="289"/>
      <c r="P605" s="107"/>
      <c r="Q605" s="107"/>
    </row>
    <row r="606" spans="2:17" s="105" customFormat="1">
      <c r="B606" s="106"/>
      <c r="F606" s="107"/>
      <c r="G606" s="107"/>
      <c r="H606" s="107"/>
      <c r="L606" s="107"/>
      <c r="N606" s="289"/>
      <c r="P606" s="107"/>
      <c r="Q606" s="107"/>
    </row>
    <row r="607" spans="2:17" s="105" customFormat="1">
      <c r="B607" s="106"/>
      <c r="F607" s="107"/>
      <c r="G607" s="107"/>
      <c r="H607" s="107"/>
      <c r="L607" s="107"/>
      <c r="N607" s="289"/>
      <c r="P607" s="107"/>
      <c r="Q607" s="107"/>
    </row>
    <row r="608" spans="2:17" s="105" customFormat="1">
      <c r="B608" s="106"/>
      <c r="F608" s="107"/>
      <c r="G608" s="107"/>
      <c r="H608" s="107"/>
      <c r="L608" s="107"/>
      <c r="N608" s="289"/>
      <c r="P608" s="107"/>
      <c r="Q608" s="107"/>
    </row>
    <row r="609" spans="2:17" s="105" customFormat="1">
      <c r="B609" s="106"/>
      <c r="F609" s="107"/>
      <c r="G609" s="107"/>
      <c r="H609" s="107"/>
      <c r="L609" s="107"/>
      <c r="N609" s="289"/>
      <c r="P609" s="107"/>
      <c r="Q609" s="107"/>
    </row>
    <row r="610" spans="2:17" s="105" customFormat="1">
      <c r="B610" s="106"/>
      <c r="F610" s="107"/>
      <c r="G610" s="107"/>
      <c r="H610" s="107"/>
      <c r="L610" s="107"/>
      <c r="N610" s="289"/>
      <c r="P610" s="107"/>
      <c r="Q610" s="107"/>
    </row>
    <row r="611" spans="2:17" s="105" customFormat="1">
      <c r="B611" s="106"/>
      <c r="F611" s="107"/>
      <c r="G611" s="107"/>
      <c r="H611" s="107"/>
      <c r="L611" s="107"/>
      <c r="N611" s="289"/>
      <c r="P611" s="107"/>
      <c r="Q611" s="107"/>
    </row>
    <row r="612" spans="2:17" s="105" customFormat="1">
      <c r="B612" s="106"/>
      <c r="F612" s="107"/>
      <c r="G612" s="107"/>
      <c r="H612" s="107"/>
      <c r="L612" s="107"/>
      <c r="N612" s="289"/>
      <c r="P612" s="107"/>
      <c r="Q612" s="107"/>
    </row>
    <row r="613" spans="2:17" s="105" customFormat="1">
      <c r="B613" s="106"/>
      <c r="F613" s="107"/>
      <c r="G613" s="107"/>
      <c r="H613" s="107"/>
      <c r="L613" s="107"/>
      <c r="N613" s="289"/>
      <c r="P613" s="107"/>
      <c r="Q613" s="107"/>
    </row>
    <row r="614" spans="2:17" s="105" customFormat="1">
      <c r="B614" s="106"/>
      <c r="F614" s="107"/>
      <c r="G614" s="107"/>
      <c r="H614" s="107"/>
      <c r="L614" s="107"/>
      <c r="N614" s="289"/>
      <c r="P614" s="107"/>
      <c r="Q614" s="107"/>
    </row>
    <row r="615" spans="2:17" s="105" customFormat="1">
      <c r="B615" s="106"/>
      <c r="F615" s="107"/>
      <c r="G615" s="107"/>
      <c r="H615" s="107"/>
      <c r="L615" s="107"/>
      <c r="N615" s="289"/>
      <c r="P615" s="107"/>
      <c r="Q615" s="107"/>
    </row>
    <row r="616" spans="2:17" s="105" customFormat="1">
      <c r="B616" s="106"/>
      <c r="F616" s="107"/>
      <c r="G616" s="107"/>
      <c r="H616" s="107"/>
      <c r="L616" s="107"/>
      <c r="N616" s="289"/>
      <c r="P616" s="107"/>
      <c r="Q616" s="107"/>
    </row>
    <row r="617" spans="2:17" s="105" customFormat="1">
      <c r="B617" s="106"/>
      <c r="F617" s="107"/>
      <c r="G617" s="107"/>
      <c r="H617" s="107"/>
      <c r="L617" s="107"/>
      <c r="N617" s="289"/>
      <c r="P617" s="107"/>
      <c r="Q617" s="107"/>
    </row>
    <row r="618" spans="2:17" s="105" customFormat="1">
      <c r="B618" s="106"/>
      <c r="F618" s="107"/>
      <c r="G618" s="107"/>
      <c r="H618" s="107"/>
      <c r="L618" s="107"/>
      <c r="N618" s="289"/>
      <c r="P618" s="107"/>
      <c r="Q618" s="107"/>
    </row>
    <row r="619" spans="2:17" s="105" customFormat="1">
      <c r="B619" s="106"/>
      <c r="F619" s="107"/>
      <c r="G619" s="107"/>
      <c r="H619" s="107"/>
      <c r="L619" s="107"/>
      <c r="N619" s="289"/>
      <c r="P619" s="107"/>
      <c r="Q619" s="107"/>
    </row>
    <row r="620" spans="2:17" s="105" customFormat="1">
      <c r="B620" s="106"/>
      <c r="F620" s="107"/>
      <c r="G620" s="107"/>
      <c r="H620" s="107"/>
      <c r="L620" s="107"/>
      <c r="N620" s="289"/>
      <c r="P620" s="107"/>
      <c r="Q620" s="107"/>
    </row>
    <row r="621" spans="2:17" s="105" customFormat="1">
      <c r="B621" s="106"/>
      <c r="F621" s="107"/>
      <c r="G621" s="107"/>
      <c r="H621" s="107"/>
      <c r="L621" s="107"/>
      <c r="N621" s="289"/>
      <c r="P621" s="107"/>
      <c r="Q621" s="107"/>
    </row>
    <row r="622" spans="2:17" s="105" customFormat="1">
      <c r="B622" s="106"/>
      <c r="F622" s="107"/>
      <c r="G622" s="107"/>
      <c r="H622" s="107"/>
      <c r="L622" s="107"/>
      <c r="N622" s="289"/>
      <c r="P622" s="107"/>
      <c r="Q622" s="107"/>
    </row>
    <row r="623" spans="2:17" s="105" customFormat="1">
      <c r="B623" s="106"/>
      <c r="F623" s="107"/>
      <c r="G623" s="107"/>
      <c r="H623" s="107"/>
      <c r="L623" s="107"/>
      <c r="N623" s="289"/>
      <c r="P623" s="107"/>
      <c r="Q623" s="107"/>
    </row>
    <row r="624" spans="2:17" s="105" customFormat="1">
      <c r="B624" s="106"/>
      <c r="F624" s="107"/>
      <c r="G624" s="107"/>
      <c r="H624" s="107"/>
      <c r="L624" s="107"/>
      <c r="N624" s="289"/>
      <c r="P624" s="107"/>
      <c r="Q624" s="107"/>
    </row>
    <row r="625" spans="2:17" s="105" customFormat="1">
      <c r="B625" s="106"/>
      <c r="F625" s="107"/>
      <c r="G625" s="107"/>
      <c r="H625" s="107"/>
      <c r="L625" s="107"/>
      <c r="N625" s="289"/>
      <c r="P625" s="107"/>
      <c r="Q625" s="107"/>
    </row>
    <row r="626" spans="2:17" s="105" customFormat="1">
      <c r="B626" s="106"/>
      <c r="F626" s="107"/>
      <c r="G626" s="107"/>
      <c r="H626" s="107"/>
      <c r="L626" s="107"/>
      <c r="N626" s="289"/>
      <c r="P626" s="107"/>
      <c r="Q626" s="107"/>
    </row>
    <row r="627" spans="2:17" s="105" customFormat="1">
      <c r="B627" s="106"/>
      <c r="F627" s="107"/>
      <c r="G627" s="107"/>
      <c r="H627" s="107"/>
      <c r="L627" s="107"/>
      <c r="N627" s="289"/>
      <c r="P627" s="107"/>
      <c r="Q627" s="107"/>
    </row>
    <row r="628" spans="2:17" s="105" customFormat="1">
      <c r="B628" s="106"/>
      <c r="F628" s="107"/>
      <c r="G628" s="107"/>
      <c r="H628" s="107"/>
      <c r="L628" s="107"/>
      <c r="N628" s="289"/>
      <c r="P628" s="107"/>
      <c r="Q628" s="107"/>
    </row>
    <row r="629" spans="2:17" s="105" customFormat="1">
      <c r="B629" s="106"/>
      <c r="F629" s="107"/>
      <c r="G629" s="107"/>
      <c r="H629" s="107"/>
      <c r="L629" s="107"/>
      <c r="N629" s="289"/>
      <c r="P629" s="107"/>
      <c r="Q629" s="107"/>
    </row>
    <row r="630" spans="2:17" s="105" customFormat="1">
      <c r="B630" s="106"/>
      <c r="F630" s="107"/>
      <c r="G630" s="107"/>
      <c r="H630" s="107"/>
      <c r="L630" s="107"/>
      <c r="N630" s="289"/>
      <c r="P630" s="107"/>
      <c r="Q630" s="107"/>
    </row>
    <row r="631" spans="2:17" s="105" customFormat="1">
      <c r="B631" s="106"/>
      <c r="F631" s="107"/>
      <c r="G631" s="107"/>
      <c r="H631" s="107"/>
      <c r="L631" s="107"/>
      <c r="N631" s="289"/>
      <c r="P631" s="107"/>
      <c r="Q631" s="107"/>
    </row>
    <row r="632" spans="2:17" s="105" customFormat="1">
      <c r="B632" s="106"/>
      <c r="F632" s="107"/>
      <c r="G632" s="107"/>
      <c r="H632" s="107"/>
      <c r="L632" s="107"/>
      <c r="N632" s="289"/>
      <c r="P632" s="107"/>
      <c r="Q632" s="107"/>
    </row>
    <row r="633" spans="2:17" s="105" customFormat="1">
      <c r="B633" s="106"/>
      <c r="F633" s="107"/>
      <c r="G633" s="107"/>
      <c r="H633" s="107"/>
      <c r="L633" s="107"/>
      <c r="N633" s="289"/>
      <c r="P633" s="107"/>
      <c r="Q633" s="107"/>
    </row>
    <row r="634" spans="2:17" s="105" customFormat="1">
      <c r="B634" s="106"/>
      <c r="F634" s="107"/>
      <c r="G634" s="107"/>
      <c r="H634" s="107"/>
      <c r="L634" s="107"/>
      <c r="N634" s="289"/>
      <c r="P634" s="107"/>
      <c r="Q634" s="107"/>
    </row>
    <row r="635" spans="2:17" s="105" customFormat="1">
      <c r="B635" s="106"/>
      <c r="F635" s="107"/>
      <c r="G635" s="107"/>
      <c r="H635" s="107"/>
      <c r="L635" s="107"/>
      <c r="N635" s="289"/>
      <c r="P635" s="107"/>
      <c r="Q635" s="107"/>
    </row>
    <row r="636" spans="2:17" s="105" customFormat="1">
      <c r="B636" s="106"/>
      <c r="F636" s="107"/>
      <c r="G636" s="107"/>
      <c r="H636" s="107"/>
      <c r="L636" s="107"/>
      <c r="N636" s="289"/>
      <c r="P636" s="107"/>
      <c r="Q636" s="107"/>
    </row>
    <row r="637" spans="2:17" s="105" customFormat="1">
      <c r="B637" s="106"/>
      <c r="F637" s="107"/>
      <c r="G637" s="107"/>
      <c r="H637" s="107"/>
      <c r="L637" s="107"/>
      <c r="N637" s="289"/>
      <c r="P637" s="107"/>
      <c r="Q637" s="107"/>
    </row>
    <row r="638" spans="2:17" s="105" customFormat="1">
      <c r="B638" s="106"/>
      <c r="F638" s="107"/>
      <c r="G638" s="107"/>
      <c r="H638" s="107"/>
      <c r="L638" s="107"/>
      <c r="N638" s="289"/>
      <c r="P638" s="107"/>
      <c r="Q638" s="107"/>
    </row>
    <row r="639" spans="2:17" s="105" customFormat="1">
      <c r="B639" s="106"/>
      <c r="F639" s="107"/>
      <c r="G639" s="107"/>
      <c r="H639" s="107"/>
      <c r="L639" s="107"/>
      <c r="N639" s="289"/>
      <c r="P639" s="107"/>
      <c r="Q639" s="107"/>
    </row>
    <row r="640" spans="2:17" s="105" customFormat="1">
      <c r="B640" s="106"/>
      <c r="F640" s="107"/>
      <c r="G640" s="107"/>
      <c r="H640" s="107"/>
      <c r="L640" s="107"/>
      <c r="N640" s="289"/>
      <c r="P640" s="107"/>
      <c r="Q640" s="107"/>
    </row>
    <row r="641" spans="2:17" s="105" customFormat="1">
      <c r="B641" s="106"/>
      <c r="F641" s="107"/>
      <c r="G641" s="107"/>
      <c r="H641" s="107"/>
      <c r="L641" s="107"/>
      <c r="N641" s="289"/>
      <c r="P641" s="107"/>
      <c r="Q641" s="107"/>
    </row>
    <row r="642" spans="2:17" s="105" customFormat="1">
      <c r="B642" s="106"/>
      <c r="F642" s="107"/>
      <c r="G642" s="107"/>
      <c r="H642" s="107"/>
      <c r="L642" s="107"/>
      <c r="N642" s="289"/>
      <c r="P642" s="107"/>
      <c r="Q642" s="107"/>
    </row>
    <row r="643" spans="2:17" s="105" customFormat="1">
      <c r="B643" s="106"/>
      <c r="F643" s="107"/>
      <c r="G643" s="107"/>
      <c r="H643" s="107"/>
      <c r="L643" s="107"/>
      <c r="N643" s="289"/>
      <c r="P643" s="107"/>
      <c r="Q643" s="107"/>
    </row>
    <row r="644" spans="2:17" s="105" customFormat="1">
      <c r="B644" s="106"/>
      <c r="F644" s="107"/>
      <c r="G644" s="107"/>
      <c r="H644" s="107"/>
      <c r="L644" s="107"/>
      <c r="N644" s="289"/>
      <c r="P644" s="107"/>
      <c r="Q644" s="107"/>
    </row>
    <row r="645" spans="2:17" s="105" customFormat="1">
      <c r="B645" s="106"/>
      <c r="F645" s="107"/>
      <c r="G645" s="107"/>
      <c r="H645" s="107"/>
      <c r="L645" s="107"/>
      <c r="N645" s="289"/>
      <c r="P645" s="107"/>
      <c r="Q645" s="107"/>
    </row>
    <row r="646" spans="2:17" s="105" customFormat="1">
      <c r="B646" s="106"/>
      <c r="F646" s="107"/>
      <c r="G646" s="107"/>
      <c r="H646" s="107"/>
      <c r="L646" s="107"/>
      <c r="N646" s="289"/>
      <c r="P646" s="107"/>
      <c r="Q646" s="107"/>
    </row>
    <row r="647" spans="2:17" s="105" customFormat="1">
      <c r="B647" s="106"/>
      <c r="F647" s="107"/>
      <c r="G647" s="107"/>
      <c r="H647" s="107"/>
      <c r="L647" s="107"/>
      <c r="N647" s="289"/>
      <c r="P647" s="107"/>
      <c r="Q647" s="107"/>
    </row>
    <row r="648" spans="2:17" s="105" customFormat="1">
      <c r="B648" s="106"/>
      <c r="F648" s="107"/>
      <c r="G648" s="107"/>
      <c r="H648" s="107"/>
      <c r="L648" s="107"/>
      <c r="N648" s="289"/>
      <c r="P648" s="107"/>
      <c r="Q648" s="107"/>
    </row>
    <row r="649" spans="2:17" s="105" customFormat="1">
      <c r="B649" s="106"/>
      <c r="F649" s="107"/>
      <c r="G649" s="107"/>
      <c r="H649" s="107"/>
      <c r="L649" s="107"/>
      <c r="N649" s="289"/>
      <c r="P649" s="107"/>
      <c r="Q649" s="107"/>
    </row>
    <row r="650" spans="2:17" s="105" customFormat="1">
      <c r="B650" s="106"/>
      <c r="F650" s="107"/>
      <c r="G650" s="107"/>
      <c r="H650" s="107"/>
      <c r="L650" s="107"/>
      <c r="N650" s="289"/>
      <c r="P650" s="107"/>
      <c r="Q650" s="107"/>
    </row>
    <row r="651" spans="2:17" s="105" customFormat="1">
      <c r="B651" s="106"/>
      <c r="F651" s="107"/>
      <c r="G651" s="107"/>
      <c r="H651" s="107"/>
      <c r="L651" s="107"/>
      <c r="N651" s="289"/>
      <c r="P651" s="107"/>
      <c r="Q651" s="107"/>
    </row>
    <row r="652" spans="2:17" s="105" customFormat="1">
      <c r="B652" s="106"/>
      <c r="F652" s="107"/>
      <c r="G652" s="107"/>
      <c r="H652" s="107"/>
      <c r="L652" s="107"/>
      <c r="N652" s="289"/>
      <c r="P652" s="107"/>
      <c r="Q652" s="107"/>
    </row>
    <row r="653" spans="2:17" s="105" customFormat="1">
      <c r="B653" s="106"/>
      <c r="F653" s="107"/>
      <c r="G653" s="107"/>
      <c r="H653" s="107"/>
      <c r="L653" s="107"/>
      <c r="N653" s="289"/>
      <c r="P653" s="107"/>
      <c r="Q653" s="107"/>
    </row>
    <row r="654" spans="2:17" s="105" customFormat="1">
      <c r="B654" s="106"/>
      <c r="F654" s="107"/>
      <c r="G654" s="107"/>
      <c r="H654" s="107"/>
      <c r="L654" s="107"/>
      <c r="N654" s="289"/>
      <c r="P654" s="107"/>
      <c r="Q654" s="107"/>
    </row>
    <row r="655" spans="2:17" s="105" customFormat="1">
      <c r="B655" s="106"/>
      <c r="F655" s="107"/>
      <c r="G655" s="107"/>
      <c r="H655" s="107"/>
      <c r="L655" s="107"/>
      <c r="N655" s="289"/>
      <c r="P655" s="107"/>
      <c r="Q655" s="107"/>
    </row>
    <row r="656" spans="2:17" s="105" customFormat="1">
      <c r="B656" s="106"/>
      <c r="F656" s="107"/>
      <c r="G656" s="107"/>
      <c r="H656" s="107"/>
      <c r="L656" s="107"/>
      <c r="N656" s="289"/>
      <c r="P656" s="107"/>
      <c r="Q656" s="107"/>
    </row>
    <row r="657" spans="2:17" s="105" customFormat="1">
      <c r="B657" s="106"/>
      <c r="F657" s="107"/>
      <c r="G657" s="107"/>
      <c r="H657" s="107"/>
      <c r="L657" s="107"/>
      <c r="N657" s="289"/>
      <c r="P657" s="107"/>
      <c r="Q657" s="107"/>
    </row>
    <row r="658" spans="2:17" s="105" customFormat="1">
      <c r="B658" s="106"/>
      <c r="F658" s="107"/>
      <c r="G658" s="107"/>
      <c r="H658" s="107"/>
      <c r="L658" s="107"/>
      <c r="N658" s="289"/>
      <c r="P658" s="107"/>
      <c r="Q658" s="107"/>
    </row>
    <row r="659" spans="2:17" s="105" customFormat="1">
      <c r="B659" s="106"/>
      <c r="F659" s="107"/>
      <c r="G659" s="107"/>
      <c r="H659" s="107"/>
      <c r="L659" s="107"/>
      <c r="N659" s="289"/>
      <c r="P659" s="107"/>
      <c r="Q659" s="107"/>
    </row>
    <row r="660" spans="2:17" s="105" customFormat="1">
      <c r="B660" s="106"/>
      <c r="F660" s="107"/>
      <c r="G660" s="107"/>
      <c r="H660" s="107"/>
      <c r="L660" s="107"/>
      <c r="N660" s="289"/>
      <c r="P660" s="107"/>
      <c r="Q660" s="107"/>
    </row>
    <row r="661" spans="2:17" s="105" customFormat="1">
      <c r="B661" s="106"/>
      <c r="F661" s="107"/>
      <c r="G661" s="107"/>
      <c r="H661" s="107"/>
      <c r="L661" s="107"/>
      <c r="N661" s="289"/>
      <c r="P661" s="107"/>
      <c r="Q661" s="107"/>
    </row>
    <row r="662" spans="2:17" s="105" customFormat="1">
      <c r="B662" s="106"/>
      <c r="F662" s="107"/>
      <c r="G662" s="107"/>
      <c r="H662" s="107"/>
      <c r="L662" s="107"/>
      <c r="N662" s="289"/>
      <c r="P662" s="107"/>
      <c r="Q662" s="107"/>
    </row>
    <row r="663" spans="2:17" s="105" customFormat="1">
      <c r="B663" s="106"/>
      <c r="F663" s="107"/>
      <c r="G663" s="107"/>
      <c r="H663" s="107"/>
      <c r="L663" s="107"/>
      <c r="N663" s="289"/>
      <c r="P663" s="107"/>
      <c r="Q663" s="107"/>
    </row>
    <row r="664" spans="2:17" s="105" customFormat="1">
      <c r="B664" s="106"/>
      <c r="F664" s="107"/>
      <c r="G664" s="107"/>
      <c r="H664" s="107"/>
      <c r="L664" s="107"/>
      <c r="N664" s="289"/>
      <c r="P664" s="107"/>
      <c r="Q664" s="107"/>
    </row>
    <row r="665" spans="2:17" s="105" customFormat="1">
      <c r="B665" s="106"/>
      <c r="F665" s="107"/>
      <c r="G665" s="107"/>
      <c r="H665" s="107"/>
      <c r="L665" s="107"/>
      <c r="N665" s="289"/>
      <c r="P665" s="107"/>
      <c r="Q665" s="107"/>
    </row>
    <row r="666" spans="2:17" s="105" customFormat="1">
      <c r="B666" s="106"/>
      <c r="F666" s="107"/>
      <c r="G666" s="107"/>
      <c r="H666" s="107"/>
      <c r="L666" s="107"/>
      <c r="N666" s="289"/>
      <c r="P666" s="107"/>
      <c r="Q666" s="107"/>
    </row>
    <row r="667" spans="2:17" s="105" customFormat="1">
      <c r="B667" s="106"/>
      <c r="F667" s="107"/>
      <c r="G667" s="107"/>
      <c r="H667" s="107"/>
      <c r="L667" s="107"/>
      <c r="N667" s="289"/>
      <c r="P667" s="107"/>
      <c r="Q667" s="107"/>
    </row>
    <row r="668" spans="2:17" s="105" customFormat="1">
      <c r="B668" s="106"/>
      <c r="F668" s="107"/>
      <c r="G668" s="107"/>
      <c r="H668" s="107"/>
      <c r="L668" s="107"/>
      <c r="N668" s="289"/>
      <c r="P668" s="107"/>
      <c r="Q668" s="107"/>
    </row>
    <row r="669" spans="2:17" s="105" customFormat="1">
      <c r="B669" s="106"/>
      <c r="F669" s="107"/>
      <c r="G669" s="107"/>
      <c r="H669" s="107"/>
      <c r="L669" s="107"/>
      <c r="N669" s="289"/>
      <c r="P669" s="107"/>
      <c r="Q669" s="107"/>
    </row>
    <row r="670" spans="2:17" s="105" customFormat="1">
      <c r="B670" s="106"/>
      <c r="F670" s="107"/>
      <c r="G670" s="107"/>
      <c r="H670" s="107"/>
      <c r="L670" s="107"/>
      <c r="N670" s="289"/>
      <c r="P670" s="107"/>
      <c r="Q670" s="107"/>
    </row>
    <row r="671" spans="2:17" s="105" customFormat="1">
      <c r="B671" s="106"/>
      <c r="F671" s="107"/>
      <c r="G671" s="107"/>
      <c r="H671" s="107"/>
      <c r="L671" s="107"/>
      <c r="N671" s="289"/>
      <c r="P671" s="107"/>
      <c r="Q671" s="107"/>
    </row>
    <row r="672" spans="2:17" s="105" customFormat="1">
      <c r="B672" s="106"/>
      <c r="F672" s="107"/>
      <c r="G672" s="107"/>
      <c r="H672" s="107"/>
      <c r="L672" s="107"/>
      <c r="N672" s="289"/>
      <c r="P672" s="107"/>
      <c r="Q672" s="107"/>
    </row>
    <row r="673" spans="2:17" s="105" customFormat="1">
      <c r="B673" s="106"/>
      <c r="F673" s="107"/>
      <c r="G673" s="107"/>
      <c r="H673" s="107"/>
      <c r="L673" s="107"/>
      <c r="N673" s="289"/>
      <c r="P673" s="107"/>
      <c r="Q673" s="107"/>
    </row>
    <row r="674" spans="2:17" s="105" customFormat="1">
      <c r="B674" s="106"/>
      <c r="F674" s="107"/>
      <c r="G674" s="107"/>
      <c r="H674" s="107"/>
      <c r="L674" s="107"/>
      <c r="N674" s="289"/>
      <c r="P674" s="107"/>
      <c r="Q674" s="107"/>
    </row>
    <row r="675" spans="2:17" s="105" customFormat="1">
      <c r="B675" s="106"/>
      <c r="F675" s="107"/>
      <c r="G675" s="107"/>
      <c r="H675" s="107"/>
      <c r="L675" s="107"/>
      <c r="N675" s="289"/>
      <c r="P675" s="107"/>
      <c r="Q675" s="107"/>
    </row>
    <row r="676" spans="2:17" s="105" customFormat="1">
      <c r="B676" s="106"/>
      <c r="F676" s="107"/>
      <c r="G676" s="107"/>
      <c r="H676" s="107"/>
      <c r="L676" s="107"/>
      <c r="N676" s="289"/>
      <c r="P676" s="107"/>
      <c r="Q676" s="107"/>
    </row>
    <row r="677" spans="2:17" s="105" customFormat="1">
      <c r="B677" s="106"/>
      <c r="F677" s="107"/>
      <c r="G677" s="107"/>
      <c r="H677" s="107"/>
      <c r="L677" s="107"/>
      <c r="N677" s="289"/>
      <c r="P677" s="107"/>
      <c r="Q677" s="107"/>
    </row>
    <row r="678" spans="2:17" s="105" customFormat="1">
      <c r="B678" s="106"/>
      <c r="F678" s="107"/>
      <c r="G678" s="107"/>
      <c r="H678" s="107"/>
      <c r="L678" s="107"/>
      <c r="N678" s="289"/>
      <c r="P678" s="107"/>
      <c r="Q678" s="107"/>
    </row>
    <row r="679" spans="2:17" s="105" customFormat="1">
      <c r="B679" s="106"/>
      <c r="F679" s="107"/>
      <c r="G679" s="107"/>
      <c r="H679" s="107"/>
      <c r="L679" s="107"/>
      <c r="N679" s="289"/>
      <c r="P679" s="107"/>
      <c r="Q679" s="107"/>
    </row>
    <row r="680" spans="2:17" s="105" customFormat="1">
      <c r="B680" s="106"/>
      <c r="F680" s="107"/>
      <c r="G680" s="107"/>
      <c r="H680" s="107"/>
      <c r="L680" s="107"/>
      <c r="N680" s="289"/>
      <c r="P680" s="107"/>
      <c r="Q680" s="107"/>
    </row>
    <row r="681" spans="2:17" s="105" customFormat="1">
      <c r="B681" s="106"/>
      <c r="F681" s="107"/>
      <c r="G681" s="107"/>
      <c r="H681" s="107"/>
      <c r="L681" s="107"/>
      <c r="N681" s="289"/>
      <c r="P681" s="107"/>
      <c r="Q681" s="107"/>
    </row>
    <row r="682" spans="2:17" s="105" customFormat="1">
      <c r="B682" s="106"/>
      <c r="F682" s="107"/>
      <c r="G682" s="107"/>
      <c r="H682" s="107"/>
      <c r="L682" s="107"/>
      <c r="N682" s="289"/>
      <c r="P682" s="107"/>
      <c r="Q682" s="107"/>
    </row>
    <row r="683" spans="2:17" s="105" customFormat="1">
      <c r="B683" s="106"/>
      <c r="F683" s="107"/>
      <c r="G683" s="107"/>
      <c r="H683" s="107"/>
      <c r="L683" s="107"/>
      <c r="N683" s="289"/>
      <c r="P683" s="107"/>
      <c r="Q683" s="107"/>
    </row>
    <row r="684" spans="2:17" s="105" customFormat="1">
      <c r="B684" s="106"/>
      <c r="F684" s="107"/>
      <c r="G684" s="107"/>
      <c r="H684" s="107"/>
      <c r="L684" s="107"/>
      <c r="N684" s="289"/>
      <c r="P684" s="107"/>
      <c r="Q684" s="107"/>
    </row>
    <row r="685" spans="2:17" s="105" customFormat="1">
      <c r="B685" s="106"/>
      <c r="F685" s="107"/>
      <c r="G685" s="107"/>
      <c r="H685" s="107"/>
      <c r="L685" s="107"/>
      <c r="N685" s="289"/>
      <c r="P685" s="107"/>
      <c r="Q685" s="107"/>
    </row>
    <row r="686" spans="2:17" s="105" customFormat="1">
      <c r="B686" s="106"/>
      <c r="F686" s="107"/>
      <c r="G686" s="107"/>
      <c r="H686" s="107"/>
      <c r="L686" s="107"/>
      <c r="N686" s="289"/>
      <c r="P686" s="107"/>
      <c r="Q686" s="107"/>
    </row>
    <row r="687" spans="2:17" s="105" customFormat="1">
      <c r="B687" s="106"/>
      <c r="F687" s="107"/>
      <c r="G687" s="107"/>
      <c r="H687" s="107"/>
      <c r="L687" s="107"/>
      <c r="N687" s="289"/>
      <c r="P687" s="107"/>
      <c r="Q687" s="107"/>
    </row>
    <row r="688" spans="2:17" s="105" customFormat="1">
      <c r="B688" s="106"/>
      <c r="F688" s="107"/>
      <c r="G688" s="107"/>
      <c r="H688" s="107"/>
      <c r="L688" s="107"/>
      <c r="N688" s="289"/>
      <c r="P688" s="107"/>
      <c r="Q688" s="107"/>
    </row>
    <row r="689" spans="2:17" s="105" customFormat="1">
      <c r="B689" s="106"/>
      <c r="F689" s="107"/>
      <c r="G689" s="107"/>
      <c r="H689" s="107"/>
      <c r="L689" s="107"/>
      <c r="N689" s="289"/>
      <c r="P689" s="107"/>
      <c r="Q689" s="107"/>
    </row>
    <row r="690" spans="2:17" s="105" customFormat="1">
      <c r="B690" s="106"/>
      <c r="F690" s="107"/>
      <c r="G690" s="107"/>
      <c r="H690" s="107"/>
      <c r="L690" s="107"/>
      <c r="N690" s="289"/>
      <c r="P690" s="107"/>
      <c r="Q690" s="107"/>
    </row>
    <row r="691" spans="2:17" s="105" customFormat="1">
      <c r="B691" s="106"/>
      <c r="F691" s="107"/>
      <c r="G691" s="107"/>
      <c r="H691" s="107"/>
      <c r="L691" s="107"/>
      <c r="N691" s="289"/>
      <c r="P691" s="107"/>
      <c r="Q691" s="107"/>
    </row>
    <row r="692" spans="2:17" s="105" customFormat="1">
      <c r="B692" s="106"/>
      <c r="F692" s="107"/>
      <c r="G692" s="107"/>
      <c r="H692" s="107"/>
      <c r="L692" s="107"/>
      <c r="N692" s="289"/>
      <c r="P692" s="107"/>
      <c r="Q692" s="107"/>
    </row>
    <row r="693" spans="2:17" s="105" customFormat="1">
      <c r="B693" s="106"/>
      <c r="F693" s="107"/>
      <c r="G693" s="107"/>
      <c r="H693" s="107"/>
      <c r="L693" s="107"/>
      <c r="N693" s="289"/>
      <c r="P693" s="107"/>
      <c r="Q693" s="107"/>
    </row>
    <row r="694" spans="2:17" s="105" customFormat="1">
      <c r="B694" s="106"/>
      <c r="F694" s="107"/>
      <c r="G694" s="107"/>
      <c r="H694" s="107"/>
      <c r="L694" s="107"/>
      <c r="N694" s="289"/>
      <c r="P694" s="107"/>
      <c r="Q694" s="107"/>
    </row>
    <row r="695" spans="2:17" s="105" customFormat="1">
      <c r="B695" s="106"/>
      <c r="F695" s="107"/>
      <c r="G695" s="107"/>
      <c r="H695" s="107"/>
      <c r="L695" s="107"/>
      <c r="N695" s="289"/>
      <c r="P695" s="107"/>
      <c r="Q695" s="107"/>
    </row>
    <row r="696" spans="2:17" s="105" customFormat="1">
      <c r="B696" s="106"/>
      <c r="F696" s="107"/>
      <c r="G696" s="107"/>
      <c r="H696" s="107"/>
      <c r="L696" s="107"/>
      <c r="N696" s="289"/>
      <c r="P696" s="107"/>
      <c r="Q696" s="107"/>
    </row>
    <row r="697" spans="2:17" s="105" customFormat="1">
      <c r="B697" s="106"/>
      <c r="F697" s="107"/>
      <c r="G697" s="107"/>
      <c r="H697" s="107"/>
      <c r="L697" s="107"/>
      <c r="N697" s="289"/>
      <c r="P697" s="107"/>
      <c r="Q697" s="107"/>
    </row>
    <row r="698" spans="2:17" s="105" customFormat="1">
      <c r="B698" s="106"/>
      <c r="F698" s="107"/>
      <c r="G698" s="107"/>
      <c r="H698" s="107"/>
      <c r="L698" s="107"/>
      <c r="N698" s="289"/>
      <c r="P698" s="107"/>
      <c r="Q698" s="107"/>
    </row>
    <row r="699" spans="2:17" s="105" customFormat="1">
      <c r="B699" s="106"/>
      <c r="F699" s="107"/>
      <c r="G699" s="107"/>
      <c r="H699" s="107"/>
      <c r="L699" s="107"/>
      <c r="N699" s="289"/>
      <c r="P699" s="107"/>
      <c r="Q699" s="107"/>
    </row>
    <row r="700" spans="2:17" s="105" customFormat="1">
      <c r="B700" s="106"/>
      <c r="F700" s="107"/>
      <c r="G700" s="107"/>
      <c r="H700" s="107"/>
      <c r="L700" s="107"/>
      <c r="N700" s="289"/>
      <c r="P700" s="107"/>
      <c r="Q700" s="107"/>
    </row>
    <row r="701" spans="2:17" s="105" customFormat="1">
      <c r="B701" s="106"/>
      <c r="F701" s="107"/>
      <c r="G701" s="107"/>
      <c r="H701" s="107"/>
      <c r="L701" s="107"/>
      <c r="N701" s="289"/>
      <c r="P701" s="107"/>
      <c r="Q701" s="107"/>
    </row>
    <row r="702" spans="2:17" s="105" customFormat="1">
      <c r="B702" s="106"/>
      <c r="F702" s="107"/>
      <c r="G702" s="107"/>
      <c r="H702" s="107"/>
      <c r="L702" s="107"/>
      <c r="N702" s="289"/>
      <c r="P702" s="107"/>
      <c r="Q702" s="107"/>
    </row>
    <row r="703" spans="2:17" s="105" customFormat="1">
      <c r="B703" s="106"/>
      <c r="F703" s="107"/>
      <c r="G703" s="107"/>
      <c r="H703" s="107"/>
      <c r="L703" s="107"/>
      <c r="N703" s="289"/>
      <c r="P703" s="107"/>
      <c r="Q703" s="107"/>
    </row>
    <row r="704" spans="2:17" s="105" customFormat="1">
      <c r="B704" s="106"/>
      <c r="F704" s="107"/>
      <c r="G704" s="107"/>
      <c r="H704" s="107"/>
      <c r="L704" s="107"/>
      <c r="N704" s="289"/>
      <c r="P704" s="107"/>
      <c r="Q704" s="107"/>
    </row>
    <row r="705" spans="2:17" s="105" customFormat="1">
      <c r="B705" s="106"/>
      <c r="F705" s="107"/>
      <c r="G705" s="107"/>
      <c r="H705" s="107"/>
      <c r="L705" s="107"/>
      <c r="N705" s="289"/>
      <c r="P705" s="107"/>
      <c r="Q705" s="107"/>
    </row>
    <row r="706" spans="2:17" s="105" customFormat="1">
      <c r="B706" s="106"/>
      <c r="F706" s="107"/>
      <c r="G706" s="107"/>
      <c r="H706" s="107"/>
      <c r="L706" s="107"/>
      <c r="N706" s="289"/>
      <c r="P706" s="107"/>
      <c r="Q706" s="107"/>
    </row>
    <row r="707" spans="2:17" s="105" customFormat="1">
      <c r="B707" s="106"/>
      <c r="F707" s="107"/>
      <c r="G707" s="107"/>
      <c r="H707" s="107"/>
      <c r="L707" s="107"/>
      <c r="N707" s="289"/>
      <c r="P707" s="107"/>
      <c r="Q707" s="107"/>
    </row>
    <row r="708" spans="2:17" s="105" customFormat="1">
      <c r="B708" s="106"/>
      <c r="F708" s="107"/>
      <c r="G708" s="107"/>
      <c r="H708" s="107"/>
      <c r="L708" s="107"/>
      <c r="N708" s="289"/>
      <c r="P708" s="107"/>
      <c r="Q708" s="107"/>
    </row>
    <row r="709" spans="2:17" s="105" customFormat="1">
      <c r="B709" s="106"/>
      <c r="F709" s="107"/>
      <c r="G709" s="107"/>
      <c r="H709" s="107"/>
      <c r="L709" s="107"/>
      <c r="N709" s="289"/>
      <c r="P709" s="107"/>
      <c r="Q709" s="107"/>
    </row>
    <row r="710" spans="2:17" s="105" customFormat="1">
      <c r="B710" s="106"/>
      <c r="F710" s="107"/>
      <c r="G710" s="107"/>
      <c r="H710" s="107"/>
      <c r="L710" s="107"/>
      <c r="N710" s="289"/>
      <c r="P710" s="107"/>
      <c r="Q710" s="107"/>
    </row>
    <row r="711" spans="2:17" s="105" customFormat="1">
      <c r="B711" s="106"/>
      <c r="F711" s="107"/>
      <c r="G711" s="107"/>
      <c r="H711" s="107"/>
      <c r="L711" s="107"/>
      <c r="N711" s="289"/>
      <c r="P711" s="107"/>
      <c r="Q711" s="107"/>
    </row>
    <row r="712" spans="2:17" s="105" customFormat="1">
      <c r="B712" s="106"/>
      <c r="F712" s="107"/>
      <c r="G712" s="107"/>
      <c r="H712" s="107"/>
      <c r="L712" s="107"/>
      <c r="N712" s="289"/>
      <c r="P712" s="107"/>
      <c r="Q712" s="107"/>
    </row>
    <row r="713" spans="2:17" s="105" customFormat="1">
      <c r="B713" s="106"/>
      <c r="F713" s="107"/>
      <c r="G713" s="107"/>
      <c r="H713" s="107"/>
      <c r="L713" s="107"/>
      <c r="N713" s="289"/>
      <c r="P713" s="107"/>
      <c r="Q713" s="107"/>
    </row>
    <row r="714" spans="2:17" s="105" customFormat="1">
      <c r="B714" s="106"/>
      <c r="F714" s="107"/>
      <c r="G714" s="107"/>
      <c r="H714" s="107"/>
      <c r="L714" s="107"/>
      <c r="N714" s="289"/>
      <c r="P714" s="107"/>
      <c r="Q714" s="107"/>
    </row>
    <row r="715" spans="2:17" s="105" customFormat="1">
      <c r="B715" s="106"/>
      <c r="F715" s="107"/>
      <c r="G715" s="107"/>
      <c r="H715" s="107"/>
      <c r="L715" s="107"/>
      <c r="N715" s="289"/>
      <c r="P715" s="107"/>
      <c r="Q715" s="107"/>
    </row>
    <row r="716" spans="2:17" s="105" customFormat="1">
      <c r="B716" s="106"/>
      <c r="F716" s="107"/>
      <c r="G716" s="107"/>
      <c r="H716" s="107"/>
      <c r="L716" s="107"/>
      <c r="N716" s="289"/>
      <c r="P716" s="107"/>
      <c r="Q716" s="107"/>
    </row>
    <row r="717" spans="2:17" s="105" customFormat="1">
      <c r="B717" s="106"/>
      <c r="F717" s="107"/>
      <c r="G717" s="107"/>
      <c r="H717" s="107"/>
      <c r="L717" s="107"/>
      <c r="N717" s="289"/>
      <c r="P717" s="107"/>
      <c r="Q717" s="107"/>
    </row>
    <row r="718" spans="2:17" s="105" customFormat="1">
      <c r="B718" s="106"/>
      <c r="F718" s="107"/>
      <c r="G718" s="107"/>
      <c r="H718" s="107"/>
      <c r="L718" s="107"/>
      <c r="N718" s="289"/>
      <c r="P718" s="107"/>
      <c r="Q718" s="107"/>
    </row>
    <row r="719" spans="2:17" s="105" customFormat="1">
      <c r="B719" s="106"/>
      <c r="F719" s="107"/>
      <c r="G719" s="107"/>
      <c r="H719" s="107"/>
      <c r="L719" s="107"/>
      <c r="N719" s="289"/>
      <c r="P719" s="107"/>
      <c r="Q719" s="107"/>
    </row>
    <row r="720" spans="2:17" s="105" customFormat="1">
      <c r="B720" s="106"/>
      <c r="F720" s="107"/>
      <c r="G720" s="107"/>
      <c r="H720" s="107"/>
      <c r="L720" s="107"/>
      <c r="N720" s="289"/>
      <c r="P720" s="107"/>
      <c r="Q720" s="107"/>
    </row>
    <row r="721" spans="2:17" s="105" customFormat="1">
      <c r="B721" s="106"/>
      <c r="F721" s="107"/>
      <c r="G721" s="107"/>
      <c r="H721" s="107"/>
      <c r="L721" s="107"/>
      <c r="N721" s="289"/>
      <c r="P721" s="107"/>
      <c r="Q721" s="107"/>
    </row>
    <row r="722" spans="2:17" s="105" customFormat="1">
      <c r="B722" s="106"/>
      <c r="F722" s="107"/>
      <c r="G722" s="107"/>
      <c r="H722" s="107"/>
      <c r="L722" s="107"/>
      <c r="N722" s="289"/>
      <c r="P722" s="107"/>
      <c r="Q722" s="107"/>
    </row>
    <row r="723" spans="2:17" s="105" customFormat="1">
      <c r="B723" s="106"/>
      <c r="F723" s="107"/>
      <c r="G723" s="107"/>
      <c r="H723" s="107"/>
      <c r="L723" s="107"/>
      <c r="N723" s="289"/>
      <c r="P723" s="107"/>
      <c r="Q723" s="107"/>
    </row>
    <row r="724" spans="2:17" s="105" customFormat="1">
      <c r="B724" s="106"/>
      <c r="F724" s="107"/>
      <c r="G724" s="107"/>
      <c r="H724" s="107"/>
      <c r="L724" s="107"/>
      <c r="N724" s="289"/>
      <c r="P724" s="107"/>
      <c r="Q724" s="107"/>
    </row>
    <row r="725" spans="2:17" s="105" customFormat="1">
      <c r="B725" s="106"/>
      <c r="F725" s="107"/>
      <c r="G725" s="107"/>
      <c r="H725" s="107"/>
      <c r="L725" s="107"/>
      <c r="N725" s="289"/>
      <c r="P725" s="107"/>
      <c r="Q725" s="107"/>
    </row>
    <row r="726" spans="2:17" s="105" customFormat="1">
      <c r="B726" s="106"/>
      <c r="F726" s="107"/>
      <c r="G726" s="107"/>
      <c r="H726" s="107"/>
      <c r="L726" s="107"/>
      <c r="N726" s="289"/>
      <c r="P726" s="107"/>
      <c r="Q726" s="107"/>
    </row>
    <row r="727" spans="2:17" s="105" customFormat="1">
      <c r="B727" s="106"/>
      <c r="F727" s="107"/>
      <c r="G727" s="107"/>
      <c r="H727" s="107"/>
      <c r="L727" s="107"/>
      <c r="N727" s="289"/>
      <c r="P727" s="107"/>
      <c r="Q727" s="107"/>
    </row>
    <row r="728" spans="2:17" s="105" customFormat="1">
      <c r="B728" s="106"/>
      <c r="F728" s="107"/>
      <c r="G728" s="107"/>
      <c r="H728" s="107"/>
      <c r="L728" s="107"/>
      <c r="N728" s="289"/>
      <c r="P728" s="107"/>
      <c r="Q728" s="107"/>
    </row>
    <row r="729" spans="2:17" s="105" customFormat="1">
      <c r="B729" s="106"/>
      <c r="F729" s="107"/>
      <c r="G729" s="107"/>
      <c r="H729" s="107"/>
      <c r="L729" s="107"/>
      <c r="N729" s="289"/>
      <c r="P729" s="107"/>
      <c r="Q729" s="107"/>
    </row>
    <row r="730" spans="2:17" s="105" customFormat="1">
      <c r="B730" s="106"/>
      <c r="F730" s="107"/>
      <c r="G730" s="107"/>
      <c r="H730" s="107"/>
      <c r="L730" s="107"/>
      <c r="N730" s="289"/>
      <c r="P730" s="107"/>
      <c r="Q730" s="107"/>
    </row>
    <row r="731" spans="2:17" s="105" customFormat="1">
      <c r="B731" s="106"/>
      <c r="F731" s="107"/>
      <c r="G731" s="107"/>
      <c r="H731" s="107"/>
      <c r="L731" s="107"/>
      <c r="N731" s="289"/>
      <c r="P731" s="107"/>
      <c r="Q731" s="107"/>
    </row>
    <row r="732" spans="2:17" s="105" customFormat="1">
      <c r="B732" s="106"/>
      <c r="F732" s="107"/>
      <c r="G732" s="107"/>
      <c r="H732" s="107"/>
      <c r="L732" s="107"/>
      <c r="N732" s="289"/>
      <c r="P732" s="107"/>
      <c r="Q732" s="107"/>
    </row>
    <row r="733" spans="2:17" s="105" customFormat="1">
      <c r="B733" s="106"/>
      <c r="F733" s="107"/>
      <c r="G733" s="107"/>
      <c r="H733" s="107"/>
      <c r="L733" s="107"/>
      <c r="N733" s="289"/>
      <c r="P733" s="107"/>
      <c r="Q733" s="107"/>
    </row>
    <row r="734" spans="2:17" s="105" customFormat="1">
      <c r="B734" s="106"/>
      <c r="F734" s="107"/>
      <c r="G734" s="107"/>
      <c r="H734" s="107"/>
      <c r="L734" s="107"/>
      <c r="N734" s="289"/>
      <c r="P734" s="107"/>
      <c r="Q734" s="107"/>
    </row>
    <row r="735" spans="2:17" s="105" customFormat="1">
      <c r="B735" s="106"/>
      <c r="F735" s="107"/>
      <c r="G735" s="107"/>
      <c r="H735" s="107"/>
      <c r="L735" s="107"/>
      <c r="N735" s="289"/>
      <c r="P735" s="107"/>
      <c r="Q735" s="107"/>
    </row>
    <row r="736" spans="2:17" s="105" customFormat="1">
      <c r="B736" s="106"/>
      <c r="F736" s="107"/>
      <c r="G736" s="107"/>
      <c r="H736" s="107"/>
      <c r="L736" s="107"/>
      <c r="N736" s="289"/>
      <c r="P736" s="107"/>
      <c r="Q736" s="107"/>
    </row>
    <row r="737" spans="2:17" s="105" customFormat="1">
      <c r="B737" s="106"/>
      <c r="F737" s="107"/>
      <c r="G737" s="107"/>
      <c r="H737" s="107"/>
      <c r="L737" s="107"/>
      <c r="N737" s="289"/>
      <c r="P737" s="107"/>
      <c r="Q737" s="107"/>
    </row>
    <row r="738" spans="2:17" s="105" customFormat="1">
      <c r="B738" s="106"/>
      <c r="F738" s="107"/>
      <c r="G738" s="107"/>
      <c r="H738" s="107"/>
      <c r="L738" s="107"/>
      <c r="N738" s="289"/>
      <c r="P738" s="107"/>
      <c r="Q738" s="107"/>
    </row>
    <row r="739" spans="2:17" s="105" customFormat="1">
      <c r="B739" s="106"/>
      <c r="F739" s="107"/>
      <c r="G739" s="107"/>
      <c r="H739" s="107"/>
      <c r="L739" s="107"/>
      <c r="N739" s="289"/>
      <c r="P739" s="107"/>
      <c r="Q739" s="107"/>
    </row>
    <row r="740" spans="2:17" s="105" customFormat="1">
      <c r="B740" s="106"/>
      <c r="F740" s="107"/>
      <c r="G740" s="107"/>
      <c r="H740" s="107"/>
      <c r="L740" s="107"/>
      <c r="N740" s="289"/>
      <c r="P740" s="107"/>
      <c r="Q740" s="107"/>
    </row>
    <row r="741" spans="2:17" s="105" customFormat="1">
      <c r="B741" s="106"/>
      <c r="F741" s="107"/>
      <c r="G741" s="107"/>
      <c r="H741" s="107"/>
      <c r="L741" s="107"/>
      <c r="N741" s="289"/>
      <c r="P741" s="107"/>
      <c r="Q741" s="107"/>
    </row>
    <row r="742" spans="2:17" s="105" customFormat="1">
      <c r="B742" s="106"/>
      <c r="F742" s="107"/>
      <c r="G742" s="107"/>
      <c r="H742" s="107"/>
      <c r="L742" s="107"/>
      <c r="N742" s="289"/>
      <c r="P742" s="107"/>
      <c r="Q742" s="107"/>
    </row>
    <row r="743" spans="2:17" s="105" customFormat="1">
      <c r="B743" s="106"/>
      <c r="F743" s="107"/>
      <c r="G743" s="107"/>
      <c r="H743" s="107"/>
      <c r="L743" s="107"/>
      <c r="N743" s="289"/>
      <c r="P743" s="107"/>
      <c r="Q743" s="107"/>
    </row>
    <row r="744" spans="2:17" s="105" customFormat="1">
      <c r="B744" s="106"/>
      <c r="F744" s="107"/>
      <c r="G744" s="107"/>
      <c r="H744" s="107"/>
      <c r="L744" s="107"/>
      <c r="N744" s="289"/>
      <c r="P744" s="107"/>
      <c r="Q744" s="107"/>
    </row>
    <row r="745" spans="2:17" s="105" customFormat="1">
      <c r="B745" s="106"/>
      <c r="F745" s="107"/>
      <c r="G745" s="107"/>
      <c r="H745" s="107"/>
      <c r="L745" s="107"/>
      <c r="N745" s="289"/>
      <c r="P745" s="107"/>
      <c r="Q745" s="107"/>
    </row>
    <row r="746" spans="2:17" s="105" customFormat="1">
      <c r="B746" s="106"/>
      <c r="F746" s="107"/>
      <c r="G746" s="107"/>
      <c r="H746" s="107"/>
      <c r="L746" s="107"/>
      <c r="N746" s="289"/>
      <c r="P746" s="107"/>
      <c r="Q746" s="107"/>
    </row>
    <row r="747" spans="2:17" s="105" customFormat="1">
      <c r="B747" s="106"/>
      <c r="F747" s="107"/>
      <c r="G747" s="107"/>
      <c r="H747" s="107"/>
      <c r="L747" s="107"/>
      <c r="N747" s="289"/>
      <c r="P747" s="107"/>
      <c r="Q747" s="107"/>
    </row>
    <row r="748" spans="2:17" s="105" customFormat="1">
      <c r="B748" s="106"/>
      <c r="F748" s="107"/>
      <c r="G748" s="107"/>
      <c r="H748" s="107"/>
      <c r="L748" s="107"/>
      <c r="N748" s="289"/>
      <c r="P748" s="107"/>
      <c r="Q748" s="107"/>
    </row>
    <row r="749" spans="2:17" s="105" customFormat="1">
      <c r="B749" s="106"/>
      <c r="F749" s="107"/>
      <c r="G749" s="107"/>
      <c r="H749" s="107"/>
      <c r="L749" s="107"/>
      <c r="N749" s="289"/>
      <c r="P749" s="107"/>
      <c r="Q749" s="107"/>
    </row>
    <row r="750" spans="2:17" s="105" customFormat="1">
      <c r="B750" s="106"/>
      <c r="F750" s="107"/>
      <c r="G750" s="107"/>
      <c r="H750" s="107"/>
      <c r="L750" s="107"/>
      <c r="N750" s="289"/>
      <c r="P750" s="107"/>
      <c r="Q750" s="107"/>
    </row>
    <row r="751" spans="2:17" s="105" customFormat="1">
      <c r="B751" s="106"/>
      <c r="F751" s="107"/>
      <c r="G751" s="107"/>
      <c r="H751" s="107"/>
      <c r="L751" s="107"/>
      <c r="N751" s="289"/>
      <c r="P751" s="107"/>
      <c r="Q751" s="107"/>
    </row>
    <row r="752" spans="2:17" s="105" customFormat="1">
      <c r="B752" s="106"/>
      <c r="F752" s="107"/>
      <c r="G752" s="107"/>
      <c r="H752" s="107"/>
      <c r="L752" s="107"/>
      <c r="N752" s="289"/>
      <c r="P752" s="107"/>
      <c r="Q752" s="107"/>
    </row>
    <row r="753" spans="2:17" s="105" customFormat="1">
      <c r="B753" s="106"/>
      <c r="F753" s="107"/>
      <c r="G753" s="107"/>
      <c r="H753" s="107"/>
      <c r="L753" s="107"/>
      <c r="N753" s="289"/>
      <c r="P753" s="107"/>
      <c r="Q753" s="107"/>
    </row>
    <row r="754" spans="2:17" s="105" customFormat="1">
      <c r="B754" s="106"/>
      <c r="F754" s="107"/>
      <c r="G754" s="107"/>
      <c r="H754" s="107"/>
      <c r="L754" s="107"/>
      <c r="N754" s="289"/>
      <c r="P754" s="107"/>
      <c r="Q754" s="107"/>
    </row>
    <row r="755" spans="2:17" s="105" customFormat="1">
      <c r="B755" s="106"/>
      <c r="F755" s="107"/>
      <c r="G755" s="107"/>
      <c r="H755" s="107"/>
      <c r="L755" s="107"/>
      <c r="N755" s="289"/>
      <c r="P755" s="107"/>
      <c r="Q755" s="107"/>
    </row>
    <row r="756" spans="2:17" s="105" customFormat="1">
      <c r="B756" s="106"/>
      <c r="F756" s="107"/>
      <c r="G756" s="107"/>
      <c r="H756" s="107"/>
      <c r="L756" s="107"/>
      <c r="N756" s="289"/>
      <c r="P756" s="107"/>
      <c r="Q756" s="107"/>
    </row>
    <row r="757" spans="2:17" s="105" customFormat="1">
      <c r="B757" s="106"/>
      <c r="F757" s="107"/>
      <c r="G757" s="107"/>
      <c r="H757" s="107"/>
      <c r="L757" s="107"/>
      <c r="N757" s="289"/>
      <c r="P757" s="107"/>
      <c r="Q757" s="107"/>
    </row>
    <row r="758" spans="2:17" s="105" customFormat="1">
      <c r="B758" s="106"/>
      <c r="F758" s="107"/>
      <c r="G758" s="107"/>
      <c r="H758" s="107"/>
      <c r="L758" s="107"/>
      <c r="N758" s="289"/>
      <c r="P758" s="107"/>
      <c r="Q758" s="107"/>
    </row>
    <row r="759" spans="2:17" s="105" customFormat="1">
      <c r="B759" s="106"/>
      <c r="F759" s="107"/>
      <c r="G759" s="107"/>
      <c r="H759" s="107"/>
      <c r="L759" s="107"/>
      <c r="N759" s="289"/>
      <c r="P759" s="107"/>
      <c r="Q759" s="107"/>
    </row>
    <row r="760" spans="2:17" s="105" customFormat="1">
      <c r="B760" s="106"/>
      <c r="F760" s="107"/>
      <c r="G760" s="107"/>
      <c r="H760" s="107"/>
      <c r="L760" s="107"/>
      <c r="N760" s="289"/>
      <c r="P760" s="107"/>
      <c r="Q760" s="107"/>
    </row>
    <row r="761" spans="2:17" s="105" customFormat="1">
      <c r="B761" s="106"/>
      <c r="F761" s="107"/>
      <c r="G761" s="107"/>
      <c r="H761" s="107"/>
      <c r="L761" s="107"/>
      <c r="N761" s="289"/>
      <c r="P761" s="107"/>
      <c r="Q761" s="107"/>
    </row>
    <row r="762" spans="2:17" s="105" customFormat="1">
      <c r="B762" s="106"/>
      <c r="F762" s="107"/>
      <c r="G762" s="107"/>
      <c r="H762" s="107"/>
      <c r="L762" s="107"/>
      <c r="N762" s="289"/>
      <c r="P762" s="107"/>
      <c r="Q762" s="107"/>
    </row>
    <row r="763" spans="2:17" s="105" customFormat="1">
      <c r="B763" s="106"/>
      <c r="F763" s="107"/>
      <c r="G763" s="107"/>
      <c r="H763" s="107"/>
      <c r="L763" s="107"/>
      <c r="N763" s="289"/>
      <c r="P763" s="107"/>
      <c r="Q763" s="107"/>
    </row>
    <row r="764" spans="2:17" s="105" customFormat="1">
      <c r="B764" s="106"/>
      <c r="F764" s="107"/>
      <c r="G764" s="107"/>
      <c r="H764" s="107"/>
      <c r="L764" s="107"/>
      <c r="N764" s="289"/>
      <c r="P764" s="107"/>
      <c r="Q764" s="107"/>
    </row>
    <row r="765" spans="2:17" s="105" customFormat="1">
      <c r="B765" s="106"/>
      <c r="F765" s="107"/>
      <c r="G765" s="107"/>
      <c r="H765" s="107"/>
      <c r="L765" s="107"/>
      <c r="N765" s="289"/>
      <c r="P765" s="107"/>
      <c r="Q765" s="107"/>
    </row>
    <row r="766" spans="2:17" s="105" customFormat="1">
      <c r="B766" s="106"/>
      <c r="F766" s="107"/>
      <c r="G766" s="107"/>
      <c r="H766" s="107"/>
      <c r="L766" s="107"/>
      <c r="N766" s="289"/>
      <c r="P766" s="107"/>
      <c r="Q766" s="107"/>
    </row>
    <row r="767" spans="2:17" s="105" customFormat="1">
      <c r="B767" s="106"/>
      <c r="F767" s="107"/>
      <c r="G767" s="107"/>
      <c r="H767" s="107"/>
      <c r="L767" s="107"/>
      <c r="N767" s="289"/>
      <c r="P767" s="107"/>
      <c r="Q767" s="107"/>
    </row>
    <row r="768" spans="2:17" s="105" customFormat="1">
      <c r="B768" s="106"/>
      <c r="F768" s="107"/>
      <c r="G768" s="107"/>
      <c r="H768" s="107"/>
      <c r="L768" s="107"/>
      <c r="N768" s="289"/>
      <c r="P768" s="107"/>
      <c r="Q768" s="107"/>
    </row>
    <row r="769" spans="2:17" s="105" customFormat="1">
      <c r="B769" s="106"/>
      <c r="F769" s="107"/>
      <c r="G769" s="107"/>
      <c r="H769" s="107"/>
      <c r="L769" s="107"/>
      <c r="N769" s="289"/>
      <c r="P769" s="107"/>
      <c r="Q769" s="107"/>
    </row>
    <row r="770" spans="2:17" s="105" customFormat="1">
      <c r="B770" s="106"/>
      <c r="F770" s="107"/>
      <c r="G770" s="107"/>
      <c r="H770" s="107"/>
      <c r="L770" s="107"/>
      <c r="N770" s="289"/>
      <c r="P770" s="107"/>
      <c r="Q770" s="107"/>
    </row>
    <row r="771" spans="2:17" s="105" customFormat="1">
      <c r="B771" s="106"/>
      <c r="F771" s="107"/>
      <c r="G771" s="107"/>
      <c r="H771" s="107"/>
      <c r="L771" s="107"/>
      <c r="N771" s="289"/>
      <c r="P771" s="107"/>
      <c r="Q771" s="107"/>
    </row>
    <row r="772" spans="2:17" s="105" customFormat="1">
      <c r="B772" s="106"/>
      <c r="F772" s="107"/>
      <c r="G772" s="107"/>
      <c r="H772" s="107"/>
      <c r="L772" s="107"/>
      <c r="N772" s="289"/>
      <c r="P772" s="107"/>
      <c r="Q772" s="107"/>
    </row>
    <row r="773" spans="2:17" s="105" customFormat="1">
      <c r="B773" s="106"/>
      <c r="F773" s="107"/>
      <c r="G773" s="107"/>
      <c r="H773" s="107"/>
      <c r="L773" s="107"/>
      <c r="N773" s="289"/>
      <c r="P773" s="107"/>
      <c r="Q773" s="107"/>
    </row>
    <row r="774" spans="2:17" s="105" customFormat="1">
      <c r="B774" s="106"/>
      <c r="F774" s="107"/>
      <c r="G774" s="107"/>
      <c r="H774" s="107"/>
      <c r="L774" s="107"/>
      <c r="N774" s="289"/>
      <c r="P774" s="107"/>
      <c r="Q774" s="107"/>
    </row>
    <row r="775" spans="2:17" s="105" customFormat="1">
      <c r="B775" s="106"/>
      <c r="F775" s="107"/>
      <c r="G775" s="107"/>
      <c r="H775" s="107"/>
      <c r="L775" s="107"/>
      <c r="N775" s="289"/>
      <c r="P775" s="107"/>
      <c r="Q775" s="107"/>
    </row>
    <row r="776" spans="2:17" s="105" customFormat="1">
      <c r="B776" s="106"/>
      <c r="F776" s="107"/>
      <c r="G776" s="107"/>
      <c r="H776" s="107"/>
      <c r="L776" s="107"/>
      <c r="N776" s="289"/>
      <c r="P776" s="107"/>
      <c r="Q776" s="107"/>
    </row>
    <row r="777" spans="2:17" s="105" customFormat="1">
      <c r="B777" s="106"/>
      <c r="F777" s="107"/>
      <c r="G777" s="107"/>
      <c r="H777" s="107"/>
      <c r="L777" s="107"/>
      <c r="N777" s="289"/>
      <c r="P777" s="107"/>
      <c r="Q777" s="107"/>
    </row>
    <row r="778" spans="2:17" s="105" customFormat="1">
      <c r="B778" s="106"/>
      <c r="F778" s="107"/>
      <c r="G778" s="107"/>
      <c r="H778" s="107"/>
      <c r="L778" s="107"/>
      <c r="N778" s="289"/>
      <c r="P778" s="107"/>
      <c r="Q778" s="107"/>
    </row>
    <row r="779" spans="2:17" s="105" customFormat="1">
      <c r="B779" s="106"/>
      <c r="F779" s="107"/>
      <c r="G779" s="107"/>
      <c r="H779" s="107"/>
      <c r="L779" s="107"/>
      <c r="N779" s="289"/>
      <c r="P779" s="107"/>
      <c r="Q779" s="107"/>
    </row>
    <row r="780" spans="2:17" s="105" customFormat="1">
      <c r="B780" s="106"/>
      <c r="F780" s="107"/>
      <c r="G780" s="107"/>
      <c r="H780" s="107"/>
      <c r="L780" s="107"/>
      <c r="N780" s="289"/>
      <c r="P780" s="107"/>
      <c r="Q780" s="107"/>
    </row>
    <row r="781" spans="2:17" s="105" customFormat="1">
      <c r="B781" s="106"/>
      <c r="F781" s="107"/>
      <c r="G781" s="107"/>
      <c r="H781" s="107"/>
      <c r="L781" s="107"/>
      <c r="N781" s="289"/>
      <c r="P781" s="107"/>
      <c r="Q781" s="107"/>
    </row>
    <row r="782" spans="2:17" s="105" customFormat="1">
      <c r="B782" s="106"/>
      <c r="F782" s="107"/>
      <c r="G782" s="107"/>
      <c r="H782" s="107"/>
      <c r="L782" s="107"/>
      <c r="N782" s="289"/>
      <c r="P782" s="107"/>
      <c r="Q782" s="107"/>
    </row>
    <row r="783" spans="2:17" s="105" customFormat="1">
      <c r="B783" s="106"/>
      <c r="F783" s="107"/>
      <c r="G783" s="107"/>
      <c r="H783" s="107"/>
      <c r="L783" s="107"/>
      <c r="N783" s="289"/>
      <c r="P783" s="107"/>
      <c r="Q783" s="107"/>
    </row>
    <row r="784" spans="2:17" s="105" customFormat="1">
      <c r="B784" s="106"/>
      <c r="F784" s="107"/>
      <c r="G784" s="107"/>
      <c r="H784" s="107"/>
      <c r="L784" s="107"/>
      <c r="N784" s="289"/>
      <c r="P784" s="107"/>
      <c r="Q784" s="107"/>
    </row>
    <row r="785" spans="2:17" s="105" customFormat="1">
      <c r="B785" s="106"/>
      <c r="F785" s="107"/>
      <c r="G785" s="107"/>
      <c r="H785" s="107"/>
      <c r="L785" s="107"/>
      <c r="N785" s="289"/>
      <c r="P785" s="107"/>
      <c r="Q785" s="107"/>
    </row>
    <row r="786" spans="2:17" s="105" customFormat="1">
      <c r="B786" s="106"/>
      <c r="F786" s="107"/>
      <c r="G786" s="107"/>
      <c r="H786" s="107"/>
      <c r="L786" s="107"/>
      <c r="N786" s="289"/>
      <c r="P786" s="107"/>
      <c r="Q786" s="107"/>
    </row>
    <row r="787" spans="2:17" s="105" customFormat="1">
      <c r="B787" s="106"/>
      <c r="F787" s="107"/>
      <c r="G787" s="107"/>
      <c r="H787" s="107"/>
      <c r="L787" s="107"/>
      <c r="N787" s="289"/>
      <c r="P787" s="107"/>
      <c r="Q787" s="107"/>
    </row>
    <row r="788" spans="2:17" s="105" customFormat="1">
      <c r="B788" s="106"/>
      <c r="F788" s="107"/>
      <c r="G788" s="107"/>
      <c r="H788" s="107"/>
      <c r="L788" s="107"/>
      <c r="N788" s="289"/>
      <c r="P788" s="107"/>
      <c r="Q788" s="107"/>
    </row>
    <row r="789" spans="2:17" s="105" customFormat="1">
      <c r="B789" s="106"/>
      <c r="F789" s="107"/>
      <c r="G789" s="107"/>
      <c r="H789" s="107"/>
      <c r="L789" s="107"/>
      <c r="N789" s="289"/>
      <c r="P789" s="107"/>
      <c r="Q789" s="107"/>
    </row>
    <row r="790" spans="2:17" s="105" customFormat="1">
      <c r="B790" s="106"/>
      <c r="F790" s="107"/>
      <c r="G790" s="107"/>
      <c r="H790" s="107"/>
      <c r="L790" s="107"/>
      <c r="N790" s="289"/>
      <c r="P790" s="107"/>
      <c r="Q790" s="107"/>
    </row>
    <row r="791" spans="2:17" s="105" customFormat="1">
      <c r="B791" s="106"/>
      <c r="F791" s="107"/>
      <c r="G791" s="107"/>
      <c r="H791" s="107"/>
      <c r="L791" s="107"/>
      <c r="N791" s="289"/>
      <c r="P791" s="107"/>
      <c r="Q791" s="107"/>
    </row>
    <row r="792" spans="2:17" s="105" customFormat="1">
      <c r="B792" s="106"/>
      <c r="F792" s="107"/>
      <c r="G792" s="107"/>
      <c r="H792" s="107"/>
      <c r="L792" s="107"/>
      <c r="N792" s="289"/>
      <c r="P792" s="107"/>
      <c r="Q792" s="107"/>
    </row>
    <row r="793" spans="2:17" s="105" customFormat="1">
      <c r="B793" s="106"/>
      <c r="F793" s="107"/>
      <c r="G793" s="107"/>
      <c r="H793" s="107"/>
      <c r="L793" s="107"/>
      <c r="N793" s="289"/>
      <c r="P793" s="107"/>
      <c r="Q793" s="107"/>
    </row>
    <row r="794" spans="2:17" s="105" customFormat="1">
      <c r="B794" s="106"/>
      <c r="F794" s="107"/>
      <c r="G794" s="107"/>
      <c r="H794" s="107"/>
      <c r="L794" s="107"/>
      <c r="N794" s="289"/>
      <c r="P794" s="107"/>
      <c r="Q794" s="107"/>
    </row>
    <row r="795" spans="2:17" s="105" customFormat="1">
      <c r="B795" s="106"/>
      <c r="F795" s="107"/>
      <c r="G795" s="107"/>
      <c r="H795" s="107"/>
      <c r="L795" s="107"/>
      <c r="N795" s="289"/>
      <c r="P795" s="107"/>
      <c r="Q795" s="107"/>
    </row>
    <row r="796" spans="2:17" s="105" customFormat="1">
      <c r="B796" s="106"/>
      <c r="F796" s="107"/>
      <c r="G796" s="107"/>
      <c r="H796" s="107"/>
      <c r="L796" s="107"/>
      <c r="N796" s="289"/>
      <c r="P796" s="107"/>
      <c r="Q796" s="107"/>
    </row>
    <row r="797" spans="2:17" s="105" customFormat="1">
      <c r="B797" s="106"/>
      <c r="F797" s="107"/>
      <c r="G797" s="107"/>
      <c r="H797" s="107"/>
      <c r="L797" s="107"/>
      <c r="N797" s="289"/>
      <c r="P797" s="107"/>
      <c r="Q797" s="107"/>
    </row>
    <row r="798" spans="2:17" s="105" customFormat="1">
      <c r="B798" s="106"/>
      <c r="F798" s="107"/>
      <c r="G798" s="107"/>
      <c r="H798" s="107"/>
      <c r="L798" s="107"/>
      <c r="N798" s="289"/>
      <c r="P798" s="107"/>
      <c r="Q798" s="107"/>
    </row>
    <row r="799" spans="2:17" s="105" customFormat="1">
      <c r="B799" s="106"/>
      <c r="F799" s="107"/>
      <c r="G799" s="107"/>
      <c r="H799" s="107"/>
      <c r="L799" s="107"/>
      <c r="N799" s="289"/>
      <c r="P799" s="107"/>
      <c r="Q799" s="107"/>
    </row>
    <row r="800" spans="2:17" s="105" customFormat="1">
      <c r="B800" s="106"/>
      <c r="F800" s="107"/>
      <c r="G800" s="107"/>
      <c r="H800" s="107"/>
      <c r="L800" s="107"/>
      <c r="N800" s="289"/>
      <c r="P800" s="107"/>
      <c r="Q800" s="107"/>
    </row>
    <row r="801" spans="2:17" s="105" customFormat="1">
      <c r="B801" s="106"/>
      <c r="F801" s="107"/>
      <c r="G801" s="107"/>
      <c r="H801" s="107"/>
      <c r="L801" s="107"/>
      <c r="N801" s="289"/>
      <c r="P801" s="107"/>
      <c r="Q801" s="107"/>
    </row>
    <row r="802" spans="2:17" s="105" customFormat="1">
      <c r="B802" s="106"/>
      <c r="F802" s="107"/>
      <c r="G802" s="107"/>
      <c r="H802" s="107"/>
      <c r="L802" s="107"/>
      <c r="N802" s="289"/>
      <c r="P802" s="107"/>
      <c r="Q802" s="107"/>
    </row>
    <row r="803" spans="2:17" s="105" customFormat="1">
      <c r="B803" s="106"/>
      <c r="F803" s="107"/>
      <c r="G803" s="107"/>
      <c r="H803" s="107"/>
      <c r="L803" s="107"/>
      <c r="N803" s="289"/>
      <c r="P803" s="107"/>
      <c r="Q803" s="107"/>
    </row>
    <row r="804" spans="2:17" s="105" customFormat="1">
      <c r="B804" s="106"/>
      <c r="F804" s="107"/>
      <c r="G804" s="107"/>
      <c r="H804" s="107"/>
      <c r="L804" s="107"/>
      <c r="N804" s="289"/>
      <c r="P804" s="107"/>
      <c r="Q804" s="107"/>
    </row>
    <row r="805" spans="2:17" s="105" customFormat="1">
      <c r="B805" s="106"/>
      <c r="F805" s="107"/>
      <c r="G805" s="107"/>
      <c r="H805" s="107"/>
      <c r="L805" s="107"/>
      <c r="N805" s="289"/>
      <c r="P805" s="107"/>
      <c r="Q805" s="107"/>
    </row>
    <row r="806" spans="2:17" s="105" customFormat="1">
      <c r="B806" s="106"/>
      <c r="F806" s="107"/>
      <c r="G806" s="107"/>
      <c r="H806" s="107"/>
      <c r="L806" s="107"/>
      <c r="N806" s="289"/>
      <c r="P806" s="107"/>
      <c r="Q806" s="107"/>
    </row>
    <row r="807" spans="2:17" s="105" customFormat="1">
      <c r="B807" s="106"/>
      <c r="F807" s="107"/>
      <c r="G807" s="107"/>
      <c r="H807" s="107"/>
      <c r="L807" s="107"/>
      <c r="N807" s="289"/>
      <c r="P807" s="107"/>
      <c r="Q807" s="107"/>
    </row>
    <row r="808" spans="2:17" s="105" customFormat="1">
      <c r="B808" s="106"/>
      <c r="F808" s="107"/>
      <c r="G808" s="107"/>
      <c r="H808" s="107"/>
      <c r="L808" s="107"/>
      <c r="N808" s="289"/>
      <c r="P808" s="107"/>
      <c r="Q808" s="107"/>
    </row>
    <row r="809" spans="2:17" s="105" customFormat="1">
      <c r="B809" s="106"/>
      <c r="F809" s="107"/>
      <c r="G809" s="107"/>
      <c r="H809" s="107"/>
      <c r="L809" s="107"/>
      <c r="N809" s="289"/>
      <c r="P809" s="107"/>
      <c r="Q809" s="107"/>
    </row>
    <row r="810" spans="2:17" s="105" customFormat="1">
      <c r="B810" s="106"/>
      <c r="F810" s="107"/>
      <c r="G810" s="107"/>
      <c r="H810" s="107"/>
      <c r="L810" s="107"/>
      <c r="N810" s="289"/>
      <c r="P810" s="107"/>
      <c r="Q810" s="107"/>
    </row>
    <row r="811" spans="2:17" s="105" customFormat="1">
      <c r="B811" s="106"/>
      <c r="F811" s="107"/>
      <c r="G811" s="107"/>
      <c r="H811" s="107"/>
      <c r="L811" s="107"/>
      <c r="N811" s="289"/>
      <c r="P811" s="107"/>
      <c r="Q811" s="107"/>
    </row>
    <row r="812" spans="2:17" s="105" customFormat="1">
      <c r="B812" s="106"/>
      <c r="F812" s="107"/>
      <c r="G812" s="107"/>
      <c r="H812" s="107"/>
      <c r="L812" s="107"/>
      <c r="N812" s="289"/>
      <c r="P812" s="107"/>
      <c r="Q812" s="107"/>
    </row>
    <row r="813" spans="2:17" s="105" customFormat="1">
      <c r="B813" s="106"/>
      <c r="F813" s="107"/>
      <c r="G813" s="107"/>
      <c r="H813" s="107"/>
      <c r="L813" s="107"/>
      <c r="N813" s="289"/>
      <c r="P813" s="107"/>
      <c r="Q813" s="107"/>
    </row>
    <row r="814" spans="2:17" s="105" customFormat="1">
      <c r="B814" s="106"/>
      <c r="F814" s="107"/>
      <c r="G814" s="107"/>
      <c r="H814" s="107"/>
      <c r="L814" s="107"/>
      <c r="N814" s="289"/>
      <c r="P814" s="107"/>
      <c r="Q814" s="107"/>
    </row>
    <row r="815" spans="2:17" s="105" customFormat="1">
      <c r="B815" s="106"/>
      <c r="F815" s="107"/>
      <c r="G815" s="107"/>
      <c r="H815" s="107"/>
      <c r="L815" s="107"/>
      <c r="N815" s="289"/>
      <c r="P815" s="107"/>
      <c r="Q815" s="107"/>
    </row>
    <row r="816" spans="2:17" s="105" customFormat="1">
      <c r="B816" s="106"/>
      <c r="F816" s="107"/>
      <c r="G816" s="107"/>
      <c r="H816" s="107"/>
      <c r="L816" s="107"/>
      <c r="N816" s="289"/>
      <c r="P816" s="107"/>
      <c r="Q816" s="107"/>
    </row>
    <row r="817" spans="2:17" s="105" customFormat="1">
      <c r="B817" s="106"/>
      <c r="F817" s="107"/>
      <c r="G817" s="107"/>
      <c r="H817" s="107"/>
      <c r="L817" s="107"/>
      <c r="N817" s="289"/>
      <c r="P817" s="107"/>
      <c r="Q817" s="107"/>
    </row>
    <row r="818" spans="2:17" s="105" customFormat="1">
      <c r="B818" s="106"/>
      <c r="F818" s="107"/>
      <c r="G818" s="107"/>
      <c r="H818" s="107"/>
      <c r="L818" s="107"/>
      <c r="N818" s="289"/>
      <c r="P818" s="107"/>
      <c r="Q818" s="107"/>
    </row>
    <row r="819" spans="2:17" s="105" customFormat="1">
      <c r="B819" s="106"/>
      <c r="F819" s="107"/>
      <c r="G819" s="107"/>
      <c r="H819" s="107"/>
      <c r="L819" s="107"/>
      <c r="N819" s="289"/>
      <c r="P819" s="107"/>
      <c r="Q819" s="107"/>
    </row>
    <row r="820" spans="2:17" s="105" customFormat="1">
      <c r="B820" s="106"/>
      <c r="F820" s="107"/>
      <c r="G820" s="107"/>
      <c r="H820" s="107"/>
      <c r="L820" s="107"/>
      <c r="N820" s="289"/>
      <c r="P820" s="107"/>
      <c r="Q820" s="107"/>
    </row>
    <row r="821" spans="2:17" s="105" customFormat="1">
      <c r="B821" s="106"/>
      <c r="F821" s="107"/>
      <c r="G821" s="107"/>
      <c r="H821" s="107"/>
      <c r="L821" s="107"/>
      <c r="N821" s="289"/>
      <c r="P821" s="107"/>
      <c r="Q821" s="107"/>
    </row>
    <row r="822" spans="2:17" s="105" customFormat="1">
      <c r="B822" s="106"/>
      <c r="F822" s="107"/>
      <c r="G822" s="107"/>
      <c r="H822" s="107"/>
      <c r="L822" s="107"/>
      <c r="N822" s="289"/>
      <c r="P822" s="107"/>
      <c r="Q822" s="107"/>
    </row>
    <row r="823" spans="2:17" s="105" customFormat="1">
      <c r="B823" s="106"/>
      <c r="F823" s="107"/>
      <c r="G823" s="107"/>
      <c r="H823" s="107"/>
      <c r="L823" s="107"/>
      <c r="N823" s="289"/>
      <c r="P823" s="107"/>
      <c r="Q823" s="107"/>
    </row>
    <row r="824" spans="2:17" s="105" customFormat="1">
      <c r="B824" s="106"/>
      <c r="F824" s="107"/>
      <c r="G824" s="107"/>
      <c r="H824" s="107"/>
      <c r="L824" s="107"/>
      <c r="N824" s="289"/>
      <c r="P824" s="107"/>
      <c r="Q824" s="107"/>
    </row>
    <row r="825" spans="2:17" s="105" customFormat="1">
      <c r="B825" s="106"/>
      <c r="F825" s="107"/>
      <c r="G825" s="107"/>
      <c r="H825" s="107"/>
      <c r="L825" s="107"/>
      <c r="N825" s="289"/>
      <c r="P825" s="107"/>
      <c r="Q825" s="107"/>
    </row>
    <row r="826" spans="2:17" s="105" customFormat="1">
      <c r="B826" s="106"/>
      <c r="F826" s="107"/>
      <c r="G826" s="107"/>
      <c r="H826" s="107"/>
      <c r="L826" s="107"/>
      <c r="N826" s="289"/>
      <c r="P826" s="107"/>
      <c r="Q826" s="107"/>
    </row>
    <row r="827" spans="2:17" s="105" customFormat="1">
      <c r="B827" s="106"/>
      <c r="F827" s="107"/>
      <c r="G827" s="107"/>
      <c r="H827" s="107"/>
      <c r="L827" s="107"/>
      <c r="N827" s="289"/>
      <c r="P827" s="107"/>
      <c r="Q827" s="107"/>
    </row>
    <row r="828" spans="2:17" s="105" customFormat="1">
      <c r="B828" s="106"/>
      <c r="F828" s="107"/>
      <c r="G828" s="107"/>
      <c r="H828" s="107"/>
      <c r="L828" s="107"/>
      <c r="N828" s="289"/>
      <c r="P828" s="107"/>
      <c r="Q828" s="107"/>
    </row>
    <row r="829" spans="2:17" s="105" customFormat="1">
      <c r="B829" s="106"/>
      <c r="F829" s="107"/>
      <c r="G829" s="107"/>
      <c r="H829" s="107"/>
      <c r="L829" s="107"/>
      <c r="N829" s="289"/>
      <c r="P829" s="107"/>
      <c r="Q829" s="107"/>
    </row>
    <row r="830" spans="2:17" s="105" customFormat="1">
      <c r="B830" s="106"/>
      <c r="F830" s="107"/>
      <c r="G830" s="107"/>
      <c r="H830" s="107"/>
      <c r="L830" s="107"/>
      <c r="N830" s="289"/>
      <c r="P830" s="107"/>
      <c r="Q830" s="107"/>
    </row>
    <row r="831" spans="2:17" s="105" customFormat="1">
      <c r="B831" s="106"/>
      <c r="F831" s="107"/>
      <c r="G831" s="107"/>
      <c r="H831" s="107"/>
      <c r="L831" s="107"/>
      <c r="N831" s="289"/>
      <c r="P831" s="107"/>
      <c r="Q831" s="107"/>
    </row>
    <row r="832" spans="2:17" s="105" customFormat="1">
      <c r="B832" s="106"/>
      <c r="F832" s="107"/>
      <c r="G832" s="107"/>
      <c r="H832" s="107"/>
      <c r="L832" s="107"/>
      <c r="N832" s="289"/>
      <c r="P832" s="107"/>
      <c r="Q832" s="107"/>
    </row>
    <row r="833" spans="2:17" s="105" customFormat="1">
      <c r="B833" s="106"/>
      <c r="F833" s="107"/>
      <c r="G833" s="107"/>
      <c r="H833" s="107"/>
      <c r="L833" s="107"/>
      <c r="N833" s="289"/>
      <c r="P833" s="107"/>
      <c r="Q833" s="107"/>
    </row>
    <row r="834" spans="2:17" s="105" customFormat="1">
      <c r="B834" s="106"/>
      <c r="F834" s="107"/>
      <c r="G834" s="107"/>
      <c r="H834" s="107"/>
      <c r="L834" s="107"/>
      <c r="N834" s="289"/>
      <c r="P834" s="107"/>
      <c r="Q834" s="107"/>
    </row>
    <row r="835" spans="2:17" s="105" customFormat="1">
      <c r="B835" s="106"/>
      <c r="F835" s="107"/>
      <c r="G835" s="107"/>
      <c r="H835" s="107"/>
      <c r="L835" s="107"/>
      <c r="N835" s="289"/>
      <c r="P835" s="107"/>
      <c r="Q835" s="107"/>
    </row>
    <row r="836" spans="2:17" s="105" customFormat="1">
      <c r="B836" s="106"/>
      <c r="F836" s="107"/>
      <c r="G836" s="107"/>
      <c r="H836" s="107"/>
      <c r="L836" s="107"/>
      <c r="N836" s="289"/>
      <c r="P836" s="107"/>
      <c r="Q836" s="107"/>
    </row>
    <row r="837" spans="2:17" s="105" customFormat="1">
      <c r="B837" s="106"/>
      <c r="F837" s="107"/>
      <c r="G837" s="107"/>
      <c r="H837" s="107"/>
      <c r="L837" s="107"/>
      <c r="N837" s="289"/>
      <c r="P837" s="107"/>
      <c r="Q837" s="107"/>
    </row>
    <row r="838" spans="2:17" s="105" customFormat="1">
      <c r="B838" s="106"/>
      <c r="F838" s="107"/>
      <c r="G838" s="107"/>
      <c r="H838" s="107"/>
      <c r="L838" s="107"/>
      <c r="N838" s="289"/>
      <c r="P838" s="107"/>
      <c r="Q838" s="107"/>
    </row>
    <row r="839" spans="2:17" s="105" customFormat="1">
      <c r="B839" s="106"/>
      <c r="F839" s="107"/>
      <c r="G839" s="107"/>
      <c r="H839" s="107"/>
      <c r="L839" s="107"/>
      <c r="N839" s="289"/>
      <c r="P839" s="107"/>
      <c r="Q839" s="107"/>
    </row>
    <row r="840" spans="2:17" s="105" customFormat="1">
      <c r="B840" s="106"/>
      <c r="F840" s="107"/>
      <c r="G840" s="107"/>
      <c r="H840" s="107"/>
      <c r="L840" s="107"/>
      <c r="N840" s="289"/>
      <c r="P840" s="107"/>
      <c r="Q840" s="107"/>
    </row>
    <row r="841" spans="2:17" s="105" customFormat="1">
      <c r="B841" s="106"/>
      <c r="F841" s="107"/>
      <c r="G841" s="107"/>
      <c r="H841" s="107"/>
      <c r="L841" s="107"/>
      <c r="N841" s="289"/>
      <c r="P841" s="107"/>
      <c r="Q841" s="107"/>
    </row>
    <row r="842" spans="2:17" s="105" customFormat="1">
      <c r="B842" s="106"/>
      <c r="F842" s="107"/>
      <c r="G842" s="107"/>
      <c r="H842" s="107"/>
      <c r="L842" s="107"/>
      <c r="N842" s="289"/>
      <c r="P842" s="107"/>
      <c r="Q842" s="107"/>
    </row>
    <row r="843" spans="2:17" s="105" customFormat="1">
      <c r="B843" s="106"/>
      <c r="F843" s="107"/>
      <c r="G843" s="107"/>
      <c r="H843" s="107"/>
      <c r="L843" s="107"/>
      <c r="N843" s="289"/>
      <c r="P843" s="107"/>
      <c r="Q843" s="107"/>
    </row>
    <row r="844" spans="2:17" s="105" customFormat="1">
      <c r="B844" s="106"/>
      <c r="F844" s="107"/>
      <c r="G844" s="107"/>
      <c r="H844" s="107"/>
      <c r="L844" s="107"/>
      <c r="N844" s="289"/>
      <c r="P844" s="107"/>
      <c r="Q844" s="107"/>
    </row>
    <row r="845" spans="2:17" s="105" customFormat="1">
      <c r="B845" s="106"/>
      <c r="F845" s="107"/>
      <c r="G845" s="107"/>
      <c r="H845" s="107"/>
      <c r="L845" s="107"/>
      <c r="N845" s="289"/>
      <c r="P845" s="107"/>
      <c r="Q845" s="107"/>
    </row>
    <row r="846" spans="2:17" s="105" customFormat="1">
      <c r="B846" s="106"/>
      <c r="F846" s="107"/>
      <c r="G846" s="107"/>
      <c r="H846" s="107"/>
      <c r="L846" s="107"/>
      <c r="N846" s="289"/>
      <c r="P846" s="107"/>
      <c r="Q846" s="107"/>
    </row>
    <row r="847" spans="2:17" s="105" customFormat="1">
      <c r="B847" s="106"/>
      <c r="F847" s="107"/>
      <c r="G847" s="107"/>
      <c r="H847" s="107"/>
      <c r="L847" s="107"/>
      <c r="N847" s="289"/>
      <c r="P847" s="107"/>
      <c r="Q847" s="107"/>
    </row>
    <row r="848" spans="2:17" s="105" customFormat="1">
      <c r="B848" s="106"/>
      <c r="F848" s="107"/>
      <c r="G848" s="107"/>
      <c r="H848" s="107"/>
      <c r="L848" s="107"/>
      <c r="N848" s="289"/>
      <c r="P848" s="107"/>
      <c r="Q848" s="107"/>
    </row>
    <row r="849" spans="2:17" s="105" customFormat="1">
      <c r="B849" s="106"/>
      <c r="F849" s="107"/>
      <c r="G849" s="107"/>
      <c r="H849" s="107"/>
      <c r="L849" s="107"/>
      <c r="N849" s="289"/>
      <c r="P849" s="107"/>
      <c r="Q849" s="107"/>
    </row>
    <row r="850" spans="2:17" s="105" customFormat="1">
      <c r="B850" s="106"/>
      <c r="F850" s="107"/>
      <c r="G850" s="107"/>
      <c r="H850" s="107"/>
      <c r="L850" s="107"/>
      <c r="N850" s="289"/>
      <c r="P850" s="107"/>
      <c r="Q850" s="107"/>
    </row>
    <row r="851" spans="2:17" s="105" customFormat="1">
      <c r="B851" s="106"/>
      <c r="F851" s="107"/>
      <c r="G851" s="107"/>
      <c r="H851" s="107"/>
      <c r="L851" s="107"/>
      <c r="N851" s="289"/>
      <c r="P851" s="107"/>
      <c r="Q851" s="107"/>
    </row>
    <row r="852" spans="2:17" s="105" customFormat="1">
      <c r="B852" s="106"/>
      <c r="F852" s="107"/>
      <c r="G852" s="107"/>
      <c r="H852" s="107"/>
      <c r="L852" s="107"/>
      <c r="N852" s="289"/>
      <c r="P852" s="107"/>
      <c r="Q852" s="107"/>
    </row>
    <row r="853" spans="2:17" s="105" customFormat="1">
      <c r="B853" s="106"/>
      <c r="F853" s="107"/>
      <c r="G853" s="107"/>
      <c r="H853" s="107"/>
      <c r="L853" s="107"/>
      <c r="N853" s="289"/>
      <c r="P853" s="107"/>
      <c r="Q853" s="107"/>
    </row>
    <row r="854" spans="2:17" s="105" customFormat="1">
      <c r="B854" s="106"/>
      <c r="F854" s="107"/>
      <c r="G854" s="107"/>
      <c r="H854" s="107"/>
      <c r="L854" s="107"/>
      <c r="N854" s="289"/>
      <c r="P854" s="107"/>
      <c r="Q854" s="107"/>
    </row>
    <row r="855" spans="2:17" s="105" customFormat="1">
      <c r="B855" s="106"/>
      <c r="F855" s="107"/>
      <c r="G855" s="107"/>
      <c r="H855" s="107"/>
      <c r="L855" s="107"/>
      <c r="N855" s="289"/>
      <c r="P855" s="107"/>
      <c r="Q855" s="107"/>
    </row>
    <row r="856" spans="2:17" s="105" customFormat="1">
      <c r="B856" s="106"/>
      <c r="F856" s="107"/>
      <c r="G856" s="107"/>
      <c r="H856" s="107"/>
      <c r="L856" s="107"/>
      <c r="N856" s="289"/>
      <c r="P856" s="107"/>
      <c r="Q856" s="107"/>
    </row>
    <row r="857" spans="2:17" s="105" customFormat="1">
      <c r="B857" s="106"/>
      <c r="F857" s="107"/>
      <c r="G857" s="107"/>
      <c r="H857" s="107"/>
      <c r="L857" s="107"/>
      <c r="N857" s="289"/>
      <c r="P857" s="107"/>
      <c r="Q857" s="107"/>
    </row>
    <row r="858" spans="2:17" s="105" customFormat="1">
      <c r="B858" s="106"/>
      <c r="F858" s="107"/>
      <c r="G858" s="107"/>
      <c r="H858" s="107"/>
      <c r="L858" s="107"/>
      <c r="N858" s="289"/>
      <c r="P858" s="107"/>
      <c r="Q858" s="107"/>
    </row>
    <row r="859" spans="2:17" s="105" customFormat="1">
      <c r="B859" s="106"/>
      <c r="F859" s="107"/>
      <c r="G859" s="107"/>
      <c r="H859" s="107"/>
      <c r="L859" s="107"/>
      <c r="N859" s="289"/>
      <c r="P859" s="107"/>
      <c r="Q859" s="107"/>
    </row>
    <row r="860" spans="2:17" s="105" customFormat="1">
      <c r="B860" s="106"/>
      <c r="F860" s="107"/>
      <c r="G860" s="107"/>
      <c r="H860" s="107"/>
      <c r="L860" s="107"/>
      <c r="N860" s="289"/>
      <c r="P860" s="107"/>
      <c r="Q860" s="107"/>
    </row>
    <row r="861" spans="2:17" s="105" customFormat="1">
      <c r="B861" s="106"/>
      <c r="F861" s="107"/>
      <c r="G861" s="107"/>
      <c r="H861" s="107"/>
      <c r="L861" s="107"/>
      <c r="N861" s="289"/>
      <c r="P861" s="107"/>
      <c r="Q861" s="107"/>
    </row>
    <row r="862" spans="2:17" s="105" customFormat="1">
      <c r="B862" s="106"/>
      <c r="F862" s="107"/>
      <c r="G862" s="107"/>
      <c r="H862" s="107"/>
      <c r="L862" s="107"/>
      <c r="N862" s="289"/>
      <c r="P862" s="107"/>
      <c r="Q862" s="107"/>
    </row>
    <row r="863" spans="2:17" s="105" customFormat="1">
      <c r="B863" s="106"/>
      <c r="F863" s="107"/>
      <c r="G863" s="107"/>
      <c r="H863" s="107"/>
      <c r="L863" s="107"/>
      <c r="N863" s="289"/>
      <c r="P863" s="107"/>
      <c r="Q863" s="107"/>
    </row>
    <row r="864" spans="2:17" s="105" customFormat="1">
      <c r="B864" s="106"/>
      <c r="F864" s="107"/>
      <c r="G864" s="107"/>
      <c r="H864" s="107"/>
      <c r="L864" s="107"/>
      <c r="N864" s="289"/>
      <c r="P864" s="107"/>
      <c r="Q864" s="107"/>
    </row>
    <row r="865" spans="2:17" s="105" customFormat="1">
      <c r="B865" s="106"/>
      <c r="F865" s="107"/>
      <c r="G865" s="107"/>
      <c r="H865" s="107"/>
      <c r="L865" s="107"/>
      <c r="N865" s="289"/>
      <c r="P865" s="107"/>
      <c r="Q865" s="107"/>
    </row>
    <row r="866" spans="2:17" s="105" customFormat="1">
      <c r="B866" s="106"/>
      <c r="F866" s="107"/>
      <c r="G866" s="107"/>
      <c r="H866" s="107"/>
      <c r="L866" s="107"/>
      <c r="N866" s="289"/>
      <c r="P866" s="107"/>
      <c r="Q866" s="107"/>
    </row>
    <row r="867" spans="2:17" s="105" customFormat="1">
      <c r="B867" s="106"/>
      <c r="F867" s="107"/>
      <c r="G867" s="107"/>
      <c r="H867" s="107"/>
      <c r="L867" s="107"/>
      <c r="N867" s="289"/>
      <c r="P867" s="107"/>
      <c r="Q867" s="107"/>
    </row>
    <row r="868" spans="2:17" s="105" customFormat="1">
      <c r="B868" s="106"/>
      <c r="F868" s="107"/>
      <c r="G868" s="107"/>
      <c r="H868" s="107"/>
      <c r="L868" s="107"/>
      <c r="N868" s="289"/>
      <c r="P868" s="107"/>
      <c r="Q868" s="107"/>
    </row>
    <row r="869" spans="2:17" s="105" customFormat="1">
      <c r="B869" s="106"/>
      <c r="F869" s="107"/>
      <c r="G869" s="107"/>
      <c r="H869" s="107"/>
      <c r="L869" s="107"/>
      <c r="N869" s="289"/>
      <c r="P869" s="107"/>
      <c r="Q869" s="107"/>
    </row>
    <row r="870" spans="2:17" s="105" customFormat="1">
      <c r="B870" s="106"/>
      <c r="F870" s="107"/>
      <c r="G870" s="107"/>
      <c r="H870" s="107"/>
      <c r="L870" s="107"/>
      <c r="N870" s="289"/>
      <c r="P870" s="107"/>
      <c r="Q870" s="107"/>
    </row>
    <row r="871" spans="2:17" s="105" customFormat="1">
      <c r="B871" s="106"/>
      <c r="F871" s="107"/>
      <c r="G871" s="107"/>
      <c r="H871" s="107"/>
      <c r="L871" s="107"/>
      <c r="N871" s="289"/>
      <c r="P871" s="107"/>
      <c r="Q871" s="107"/>
    </row>
    <row r="872" spans="2:17" s="105" customFormat="1">
      <c r="B872" s="106"/>
      <c r="F872" s="107"/>
      <c r="G872" s="107"/>
      <c r="H872" s="107"/>
      <c r="L872" s="107"/>
      <c r="N872" s="289"/>
      <c r="P872" s="107"/>
      <c r="Q872" s="107"/>
    </row>
    <row r="873" spans="2:17" s="105" customFormat="1">
      <c r="B873" s="106"/>
      <c r="F873" s="107"/>
      <c r="G873" s="107"/>
      <c r="H873" s="107"/>
      <c r="L873" s="107"/>
      <c r="N873" s="289"/>
      <c r="P873" s="107"/>
      <c r="Q873" s="107"/>
    </row>
    <row r="874" spans="2:17" s="105" customFormat="1">
      <c r="B874" s="106"/>
      <c r="F874" s="107"/>
      <c r="G874" s="107"/>
      <c r="H874" s="107"/>
      <c r="L874" s="107"/>
      <c r="N874" s="289"/>
      <c r="P874" s="107"/>
      <c r="Q874" s="107"/>
    </row>
    <row r="875" spans="2:17" s="105" customFormat="1">
      <c r="B875" s="106"/>
      <c r="F875" s="107"/>
      <c r="G875" s="107"/>
      <c r="H875" s="107"/>
      <c r="L875" s="107"/>
      <c r="N875" s="289"/>
      <c r="P875" s="107"/>
      <c r="Q875" s="107"/>
    </row>
    <row r="876" spans="2:17" s="105" customFormat="1">
      <c r="B876" s="106"/>
      <c r="F876" s="107"/>
      <c r="G876" s="107"/>
      <c r="H876" s="107"/>
      <c r="L876" s="107"/>
      <c r="N876" s="289"/>
      <c r="P876" s="107"/>
      <c r="Q876" s="107"/>
    </row>
    <row r="877" spans="2:17" s="105" customFormat="1">
      <c r="B877" s="106"/>
      <c r="F877" s="107"/>
      <c r="G877" s="107"/>
      <c r="H877" s="107"/>
      <c r="L877" s="107"/>
      <c r="N877" s="289"/>
      <c r="P877" s="107"/>
      <c r="Q877" s="107"/>
    </row>
    <row r="878" spans="2:17" s="105" customFormat="1">
      <c r="B878" s="106"/>
      <c r="F878" s="107"/>
      <c r="G878" s="107"/>
      <c r="H878" s="107"/>
      <c r="L878" s="107"/>
      <c r="N878" s="289"/>
      <c r="P878" s="107"/>
      <c r="Q878" s="107"/>
    </row>
    <row r="879" spans="2:17" s="105" customFormat="1">
      <c r="B879" s="106"/>
      <c r="F879" s="107"/>
      <c r="G879" s="107"/>
      <c r="H879" s="107"/>
      <c r="L879" s="107"/>
      <c r="N879" s="289"/>
      <c r="P879" s="107"/>
      <c r="Q879" s="107"/>
    </row>
    <row r="880" spans="2:17" s="105" customFormat="1">
      <c r="B880" s="106"/>
      <c r="F880" s="107"/>
      <c r="G880" s="107"/>
      <c r="H880" s="107"/>
      <c r="L880" s="107"/>
      <c r="N880" s="289"/>
      <c r="P880" s="107"/>
      <c r="Q880" s="107"/>
    </row>
    <row r="881" spans="2:17" s="105" customFormat="1">
      <c r="B881" s="106"/>
      <c r="F881" s="107"/>
      <c r="G881" s="107"/>
      <c r="H881" s="107"/>
      <c r="L881" s="107"/>
      <c r="N881" s="289"/>
      <c r="P881" s="107"/>
      <c r="Q881" s="107"/>
    </row>
    <row r="882" spans="2:17" s="105" customFormat="1">
      <c r="B882" s="106"/>
      <c r="F882" s="107"/>
      <c r="G882" s="107"/>
      <c r="H882" s="107"/>
      <c r="L882" s="107"/>
      <c r="N882" s="289"/>
      <c r="P882" s="107"/>
      <c r="Q882" s="107"/>
    </row>
    <row r="883" spans="2:17" s="105" customFormat="1">
      <c r="B883" s="106"/>
      <c r="F883" s="107"/>
      <c r="G883" s="107"/>
      <c r="H883" s="107"/>
      <c r="L883" s="107"/>
      <c r="N883" s="289"/>
      <c r="P883" s="107"/>
      <c r="Q883" s="107"/>
    </row>
    <row r="884" spans="2:17" s="105" customFormat="1">
      <c r="B884" s="106"/>
      <c r="F884" s="107"/>
      <c r="G884" s="107"/>
      <c r="H884" s="107"/>
      <c r="L884" s="107"/>
      <c r="N884" s="289"/>
      <c r="P884" s="107"/>
      <c r="Q884" s="107"/>
    </row>
    <row r="885" spans="2:17" s="105" customFormat="1">
      <c r="B885" s="106"/>
      <c r="F885" s="107"/>
      <c r="G885" s="107"/>
      <c r="H885" s="107"/>
      <c r="L885" s="107"/>
      <c r="N885" s="289"/>
      <c r="P885" s="107"/>
      <c r="Q885" s="107"/>
    </row>
    <row r="886" spans="2:17" s="105" customFormat="1">
      <c r="B886" s="106"/>
      <c r="F886" s="107"/>
      <c r="G886" s="107"/>
      <c r="H886" s="107"/>
      <c r="L886" s="107"/>
      <c r="N886" s="289"/>
      <c r="P886" s="107"/>
      <c r="Q886" s="107"/>
    </row>
    <row r="887" spans="2:17" s="105" customFormat="1">
      <c r="B887" s="106"/>
      <c r="F887" s="107"/>
      <c r="G887" s="107"/>
      <c r="H887" s="107"/>
      <c r="L887" s="107"/>
      <c r="N887" s="289"/>
      <c r="P887" s="107"/>
      <c r="Q887" s="107"/>
    </row>
    <row r="888" spans="2:17" s="105" customFormat="1">
      <c r="B888" s="106"/>
      <c r="F888" s="107"/>
      <c r="G888" s="107"/>
      <c r="H888" s="107"/>
      <c r="L888" s="107"/>
      <c r="N888" s="289"/>
      <c r="P888" s="107"/>
      <c r="Q888" s="107"/>
    </row>
    <row r="889" spans="2:17" s="105" customFormat="1">
      <c r="B889" s="106"/>
      <c r="F889" s="107"/>
      <c r="G889" s="107"/>
      <c r="H889" s="107"/>
      <c r="L889" s="107"/>
      <c r="N889" s="289"/>
      <c r="P889" s="107"/>
      <c r="Q889" s="107"/>
    </row>
    <row r="890" spans="2:17" s="105" customFormat="1">
      <c r="B890" s="106"/>
      <c r="F890" s="107"/>
      <c r="G890" s="107"/>
      <c r="H890" s="107"/>
      <c r="L890" s="107"/>
      <c r="N890" s="289"/>
      <c r="P890" s="107"/>
      <c r="Q890" s="107"/>
    </row>
    <row r="891" spans="2:17" s="105" customFormat="1">
      <c r="B891" s="106"/>
      <c r="F891" s="107"/>
      <c r="G891" s="107"/>
      <c r="H891" s="107"/>
      <c r="L891" s="107"/>
      <c r="N891" s="289"/>
      <c r="P891" s="107"/>
      <c r="Q891" s="107"/>
    </row>
    <row r="892" spans="2:17" s="105" customFormat="1">
      <c r="B892" s="106"/>
      <c r="F892" s="107"/>
      <c r="G892" s="107"/>
      <c r="H892" s="107"/>
      <c r="L892" s="107"/>
      <c r="N892" s="289"/>
      <c r="P892" s="107"/>
      <c r="Q892" s="107"/>
    </row>
    <row r="893" spans="2:17" s="105" customFormat="1">
      <c r="B893" s="106"/>
      <c r="F893" s="107"/>
      <c r="G893" s="107"/>
      <c r="H893" s="107"/>
      <c r="L893" s="107"/>
      <c r="N893" s="289"/>
      <c r="P893" s="107"/>
      <c r="Q893" s="107"/>
    </row>
    <row r="894" spans="2:17" s="105" customFormat="1">
      <c r="B894" s="106"/>
      <c r="F894" s="107"/>
      <c r="G894" s="107"/>
      <c r="H894" s="107"/>
      <c r="L894" s="107"/>
      <c r="N894" s="289"/>
      <c r="P894" s="107"/>
      <c r="Q894" s="107"/>
    </row>
    <row r="895" spans="2:17" s="105" customFormat="1">
      <c r="B895" s="106"/>
      <c r="F895" s="107"/>
      <c r="G895" s="107"/>
      <c r="H895" s="107"/>
      <c r="L895" s="107"/>
      <c r="N895" s="289"/>
      <c r="P895" s="107"/>
      <c r="Q895" s="107"/>
    </row>
    <row r="896" spans="2:17" s="105" customFormat="1">
      <c r="B896" s="106"/>
      <c r="F896" s="107"/>
      <c r="G896" s="107"/>
      <c r="H896" s="107"/>
      <c r="L896" s="107"/>
      <c r="N896" s="289"/>
      <c r="P896" s="107"/>
      <c r="Q896" s="107"/>
    </row>
    <row r="897" spans="2:17" s="105" customFormat="1">
      <c r="B897" s="106"/>
      <c r="F897" s="107"/>
      <c r="G897" s="107"/>
      <c r="H897" s="107"/>
      <c r="L897" s="107"/>
      <c r="N897" s="289"/>
      <c r="P897" s="107"/>
      <c r="Q897" s="107"/>
    </row>
    <row r="898" spans="2:17" s="105" customFormat="1">
      <c r="B898" s="106"/>
      <c r="F898" s="107"/>
      <c r="G898" s="107"/>
      <c r="H898" s="107"/>
      <c r="L898" s="107"/>
      <c r="N898" s="289"/>
      <c r="P898" s="107"/>
      <c r="Q898" s="107"/>
    </row>
    <row r="899" spans="2:17" s="105" customFormat="1">
      <c r="B899" s="106"/>
      <c r="F899" s="107"/>
      <c r="G899" s="107"/>
      <c r="H899" s="107"/>
      <c r="L899" s="107"/>
      <c r="N899" s="289"/>
      <c r="P899" s="107"/>
      <c r="Q899" s="107"/>
    </row>
    <row r="900" spans="2:17" s="105" customFormat="1">
      <c r="B900" s="106"/>
      <c r="F900" s="107"/>
      <c r="G900" s="107"/>
      <c r="H900" s="107"/>
      <c r="L900" s="107"/>
      <c r="N900" s="289"/>
      <c r="P900" s="107"/>
      <c r="Q900" s="107"/>
    </row>
    <row r="901" spans="2:17" s="105" customFormat="1">
      <c r="B901" s="106"/>
      <c r="F901" s="107"/>
      <c r="G901" s="107"/>
      <c r="H901" s="107"/>
      <c r="L901" s="107"/>
      <c r="N901" s="289"/>
      <c r="P901" s="107"/>
      <c r="Q901" s="107"/>
    </row>
    <row r="902" spans="2:17" s="105" customFormat="1">
      <c r="B902" s="106"/>
      <c r="F902" s="107"/>
      <c r="G902" s="107"/>
      <c r="H902" s="107"/>
      <c r="L902" s="107"/>
      <c r="N902" s="289"/>
      <c r="P902" s="107"/>
      <c r="Q902" s="107"/>
    </row>
    <row r="903" spans="2:17" s="105" customFormat="1">
      <c r="B903" s="106"/>
      <c r="F903" s="107"/>
      <c r="G903" s="107"/>
      <c r="H903" s="107"/>
      <c r="L903" s="107"/>
      <c r="N903" s="289"/>
      <c r="P903" s="107"/>
      <c r="Q903" s="107"/>
    </row>
    <row r="904" spans="2:17" s="105" customFormat="1">
      <c r="B904" s="106"/>
      <c r="F904" s="107"/>
      <c r="G904" s="107"/>
      <c r="H904" s="107"/>
      <c r="L904" s="107"/>
      <c r="N904" s="289"/>
      <c r="P904" s="107"/>
      <c r="Q904" s="107"/>
    </row>
    <row r="905" spans="2:17" s="105" customFormat="1">
      <c r="B905" s="106"/>
      <c r="F905" s="107"/>
      <c r="G905" s="107"/>
      <c r="H905" s="107"/>
      <c r="L905" s="107"/>
      <c r="N905" s="289"/>
      <c r="P905" s="107"/>
      <c r="Q905" s="107"/>
    </row>
    <row r="906" spans="2:17" s="105" customFormat="1">
      <c r="B906" s="106"/>
      <c r="F906" s="107"/>
      <c r="G906" s="107"/>
      <c r="H906" s="107"/>
      <c r="L906" s="107"/>
      <c r="N906" s="289"/>
      <c r="P906" s="107"/>
      <c r="Q906" s="107"/>
    </row>
    <row r="907" spans="2:17" s="105" customFormat="1">
      <c r="B907" s="106"/>
      <c r="F907" s="107"/>
      <c r="G907" s="107"/>
      <c r="H907" s="107"/>
      <c r="L907" s="107"/>
      <c r="N907" s="289"/>
      <c r="P907" s="107"/>
      <c r="Q907" s="107"/>
    </row>
    <row r="908" spans="2:17" s="105" customFormat="1">
      <c r="B908" s="106"/>
      <c r="F908" s="107"/>
      <c r="G908" s="107"/>
      <c r="H908" s="107"/>
      <c r="L908" s="107"/>
      <c r="N908" s="289"/>
      <c r="P908" s="107"/>
      <c r="Q908" s="107"/>
    </row>
    <row r="909" spans="2:17" s="105" customFormat="1">
      <c r="B909" s="106"/>
      <c r="F909" s="107"/>
      <c r="G909" s="107"/>
      <c r="H909" s="107"/>
      <c r="L909" s="107"/>
      <c r="N909" s="289"/>
      <c r="P909" s="107"/>
      <c r="Q909" s="107"/>
    </row>
    <row r="910" spans="2:17" s="105" customFormat="1">
      <c r="B910" s="106"/>
      <c r="F910" s="107"/>
      <c r="G910" s="107"/>
      <c r="H910" s="107"/>
      <c r="L910" s="107"/>
      <c r="N910" s="289"/>
      <c r="P910" s="107"/>
      <c r="Q910" s="107"/>
    </row>
    <row r="911" spans="2:17" s="105" customFormat="1">
      <c r="B911" s="106"/>
      <c r="F911" s="107"/>
      <c r="G911" s="107"/>
      <c r="H911" s="107"/>
      <c r="L911" s="107"/>
      <c r="N911" s="289"/>
      <c r="P911" s="107"/>
      <c r="Q911" s="107"/>
    </row>
    <row r="912" spans="2:17" s="105" customFormat="1">
      <c r="B912" s="106"/>
      <c r="F912" s="107"/>
      <c r="G912" s="107"/>
      <c r="H912" s="107"/>
      <c r="L912" s="107"/>
      <c r="N912" s="289"/>
      <c r="P912" s="107"/>
      <c r="Q912" s="107"/>
    </row>
    <row r="913" spans="2:17" s="105" customFormat="1">
      <c r="B913" s="106"/>
      <c r="F913" s="107"/>
      <c r="G913" s="107"/>
      <c r="H913" s="107"/>
      <c r="L913" s="107"/>
      <c r="N913" s="289"/>
      <c r="P913" s="107"/>
      <c r="Q913" s="107"/>
    </row>
    <row r="914" spans="2:17" s="105" customFormat="1">
      <c r="B914" s="106"/>
      <c r="F914" s="107"/>
      <c r="G914" s="107"/>
      <c r="H914" s="107"/>
      <c r="L914" s="107"/>
      <c r="N914" s="289"/>
      <c r="P914" s="107"/>
      <c r="Q914" s="107"/>
    </row>
    <row r="915" spans="2:17" s="105" customFormat="1">
      <c r="B915" s="106"/>
      <c r="F915" s="107"/>
      <c r="G915" s="107"/>
      <c r="H915" s="107"/>
      <c r="L915" s="107"/>
      <c r="N915" s="289"/>
      <c r="P915" s="107"/>
      <c r="Q915" s="107"/>
    </row>
    <row r="916" spans="2:17" s="105" customFormat="1">
      <c r="B916" s="106"/>
      <c r="F916" s="107"/>
      <c r="G916" s="107"/>
      <c r="H916" s="107"/>
      <c r="L916" s="107"/>
      <c r="N916" s="289"/>
      <c r="P916" s="107"/>
      <c r="Q916" s="107"/>
    </row>
    <row r="917" spans="2:17" s="105" customFormat="1">
      <c r="B917" s="106"/>
      <c r="F917" s="107"/>
      <c r="G917" s="107"/>
      <c r="H917" s="107"/>
      <c r="L917" s="107"/>
      <c r="N917" s="289"/>
      <c r="P917" s="107"/>
      <c r="Q917" s="107"/>
    </row>
    <row r="918" spans="2:17" s="105" customFormat="1">
      <c r="B918" s="106"/>
      <c r="F918" s="107"/>
      <c r="G918" s="107"/>
      <c r="H918" s="107"/>
      <c r="L918" s="107"/>
      <c r="N918" s="289"/>
      <c r="P918" s="107"/>
      <c r="Q918" s="107"/>
    </row>
    <row r="919" spans="2:17" s="105" customFormat="1">
      <c r="B919" s="106"/>
      <c r="F919" s="107"/>
      <c r="G919" s="107"/>
      <c r="H919" s="107"/>
      <c r="L919" s="107"/>
      <c r="N919" s="289"/>
      <c r="P919" s="107"/>
      <c r="Q919" s="107"/>
    </row>
    <row r="920" spans="2:17" s="105" customFormat="1">
      <c r="B920" s="106"/>
      <c r="F920" s="107"/>
      <c r="G920" s="107"/>
      <c r="H920" s="107"/>
      <c r="L920" s="107"/>
      <c r="N920" s="289"/>
      <c r="P920" s="107"/>
      <c r="Q920" s="107"/>
    </row>
    <row r="921" spans="2:17" s="105" customFormat="1">
      <c r="B921" s="106"/>
      <c r="F921" s="107"/>
      <c r="G921" s="107"/>
      <c r="H921" s="107"/>
      <c r="L921" s="107"/>
      <c r="N921" s="289"/>
      <c r="P921" s="107"/>
      <c r="Q921" s="107"/>
    </row>
    <row r="922" spans="2:17" s="105" customFormat="1">
      <c r="B922" s="106"/>
      <c r="F922" s="107"/>
      <c r="G922" s="107"/>
      <c r="H922" s="107"/>
      <c r="L922" s="107"/>
      <c r="N922" s="289"/>
      <c r="P922" s="107"/>
      <c r="Q922" s="107"/>
    </row>
    <row r="923" spans="2:17" s="105" customFormat="1">
      <c r="B923" s="106"/>
      <c r="F923" s="107"/>
      <c r="G923" s="107"/>
      <c r="H923" s="107"/>
      <c r="L923" s="107"/>
      <c r="N923" s="289"/>
      <c r="P923" s="107"/>
      <c r="Q923" s="107"/>
    </row>
    <row r="924" spans="2:17" s="105" customFormat="1">
      <c r="B924" s="106"/>
      <c r="F924" s="107"/>
      <c r="G924" s="107"/>
      <c r="H924" s="107"/>
      <c r="L924" s="107"/>
      <c r="N924" s="289"/>
      <c r="P924" s="107"/>
      <c r="Q924" s="107"/>
    </row>
    <row r="925" spans="2:17" s="105" customFormat="1">
      <c r="B925" s="106"/>
      <c r="F925" s="107"/>
      <c r="G925" s="107"/>
      <c r="H925" s="107"/>
      <c r="L925" s="107"/>
      <c r="N925" s="289"/>
      <c r="P925" s="107"/>
      <c r="Q925" s="107"/>
    </row>
    <row r="926" spans="2:17" s="105" customFormat="1">
      <c r="B926" s="106"/>
      <c r="F926" s="107"/>
      <c r="G926" s="107"/>
      <c r="H926" s="107"/>
      <c r="L926" s="107"/>
      <c r="N926" s="289"/>
      <c r="P926" s="107"/>
      <c r="Q926" s="107"/>
    </row>
    <row r="927" spans="2:17" s="105" customFormat="1">
      <c r="B927" s="106"/>
      <c r="F927" s="107"/>
      <c r="G927" s="107"/>
      <c r="H927" s="107"/>
      <c r="L927" s="107"/>
      <c r="N927" s="289"/>
      <c r="P927" s="107"/>
      <c r="Q927" s="107"/>
    </row>
    <row r="928" spans="2:17" s="105" customFormat="1">
      <c r="B928" s="106"/>
      <c r="F928" s="107"/>
      <c r="G928" s="107"/>
      <c r="H928" s="107"/>
      <c r="L928" s="107"/>
      <c r="N928" s="289"/>
      <c r="P928" s="107"/>
      <c r="Q928" s="107"/>
    </row>
    <row r="929" spans="2:17" s="105" customFormat="1">
      <c r="B929" s="106"/>
      <c r="F929" s="107"/>
      <c r="G929" s="107"/>
      <c r="H929" s="107"/>
      <c r="L929" s="107"/>
      <c r="N929" s="289"/>
      <c r="P929" s="107"/>
      <c r="Q929" s="107"/>
    </row>
    <row r="930" spans="2:17" s="105" customFormat="1">
      <c r="B930" s="106"/>
      <c r="F930" s="107"/>
      <c r="G930" s="107"/>
      <c r="H930" s="107"/>
      <c r="L930" s="107"/>
      <c r="N930" s="289"/>
      <c r="P930" s="107"/>
      <c r="Q930" s="107"/>
    </row>
    <row r="931" spans="2:17" s="105" customFormat="1">
      <c r="B931" s="106"/>
      <c r="F931" s="107"/>
      <c r="G931" s="107"/>
      <c r="H931" s="107"/>
      <c r="L931" s="107"/>
      <c r="N931" s="289"/>
      <c r="P931" s="107"/>
      <c r="Q931" s="107"/>
    </row>
    <row r="932" spans="2:17" s="105" customFormat="1">
      <c r="B932" s="106"/>
      <c r="F932" s="107"/>
      <c r="G932" s="107"/>
      <c r="H932" s="107"/>
      <c r="L932" s="107"/>
      <c r="N932" s="289"/>
      <c r="P932" s="107"/>
      <c r="Q932" s="107"/>
    </row>
    <row r="933" spans="2:17" s="105" customFormat="1">
      <c r="B933" s="106"/>
      <c r="F933" s="107"/>
      <c r="G933" s="107"/>
      <c r="H933" s="107"/>
      <c r="L933" s="107"/>
      <c r="N933" s="289"/>
      <c r="P933" s="107"/>
      <c r="Q933" s="107"/>
    </row>
    <row r="934" spans="2:17" s="105" customFormat="1">
      <c r="B934" s="106"/>
      <c r="F934" s="107"/>
      <c r="G934" s="107"/>
      <c r="H934" s="107"/>
      <c r="L934" s="107"/>
      <c r="N934" s="289"/>
      <c r="P934" s="107"/>
      <c r="Q934" s="107"/>
    </row>
    <row r="935" spans="2:17" s="105" customFormat="1">
      <c r="B935" s="106"/>
      <c r="F935" s="107"/>
      <c r="G935" s="107"/>
      <c r="H935" s="107"/>
      <c r="L935" s="107"/>
      <c r="N935" s="289"/>
      <c r="P935" s="107"/>
      <c r="Q935" s="107"/>
    </row>
    <row r="936" spans="2:17" s="105" customFormat="1">
      <c r="B936" s="106"/>
      <c r="F936" s="107"/>
      <c r="G936" s="107"/>
      <c r="H936" s="107"/>
      <c r="L936" s="107"/>
      <c r="N936" s="289"/>
      <c r="P936" s="107"/>
      <c r="Q936" s="107"/>
    </row>
    <row r="937" spans="2:17" s="105" customFormat="1">
      <c r="B937" s="106"/>
      <c r="F937" s="107"/>
      <c r="G937" s="107"/>
      <c r="H937" s="107"/>
      <c r="L937" s="107"/>
      <c r="N937" s="289"/>
      <c r="P937" s="107"/>
      <c r="Q937" s="107"/>
    </row>
    <row r="938" spans="2:17" s="105" customFormat="1">
      <c r="B938" s="106"/>
      <c r="F938" s="107"/>
      <c r="G938" s="107"/>
      <c r="H938" s="107"/>
      <c r="L938" s="107"/>
      <c r="N938" s="289"/>
      <c r="P938" s="107"/>
      <c r="Q938" s="107"/>
    </row>
    <row r="939" spans="2:17" s="105" customFormat="1">
      <c r="B939" s="106"/>
      <c r="F939" s="107"/>
      <c r="G939" s="107"/>
      <c r="H939" s="107"/>
      <c r="L939" s="107"/>
      <c r="N939" s="289"/>
      <c r="P939" s="107"/>
      <c r="Q939" s="107"/>
    </row>
    <row r="940" spans="2:17" s="105" customFormat="1">
      <c r="B940" s="106"/>
      <c r="F940" s="107"/>
      <c r="G940" s="107"/>
      <c r="H940" s="107"/>
      <c r="L940" s="107"/>
      <c r="N940" s="289"/>
      <c r="P940" s="107"/>
      <c r="Q940" s="107"/>
    </row>
    <row r="941" spans="2:17" s="105" customFormat="1">
      <c r="B941" s="106"/>
      <c r="F941" s="107"/>
      <c r="G941" s="107"/>
      <c r="H941" s="107"/>
      <c r="L941" s="107"/>
      <c r="N941" s="289"/>
      <c r="P941" s="107"/>
      <c r="Q941" s="107"/>
    </row>
    <row r="942" spans="2:17" s="105" customFormat="1">
      <c r="B942" s="106"/>
      <c r="F942" s="107"/>
      <c r="G942" s="107"/>
      <c r="H942" s="107"/>
      <c r="L942" s="107"/>
      <c r="N942" s="289"/>
      <c r="P942" s="107"/>
      <c r="Q942" s="107"/>
    </row>
    <row r="943" spans="2:17" s="105" customFormat="1">
      <c r="B943" s="106"/>
      <c r="F943" s="107"/>
      <c r="G943" s="107"/>
      <c r="H943" s="107"/>
      <c r="L943" s="107"/>
      <c r="N943" s="289"/>
      <c r="P943" s="107"/>
      <c r="Q943" s="107"/>
    </row>
    <row r="944" spans="2:17" s="105" customFormat="1">
      <c r="B944" s="106"/>
      <c r="F944" s="107"/>
      <c r="G944" s="107"/>
      <c r="H944" s="107"/>
      <c r="L944" s="107"/>
      <c r="N944" s="289"/>
      <c r="P944" s="107"/>
      <c r="Q944" s="107"/>
    </row>
    <row r="945" spans="2:17" s="105" customFormat="1">
      <c r="B945" s="106"/>
      <c r="F945" s="107"/>
      <c r="G945" s="107"/>
      <c r="H945" s="107"/>
      <c r="L945" s="107"/>
      <c r="N945" s="289"/>
      <c r="P945" s="107"/>
      <c r="Q945" s="107"/>
    </row>
    <row r="946" spans="2:17" s="105" customFormat="1">
      <c r="B946" s="106"/>
      <c r="F946" s="107"/>
      <c r="G946" s="107"/>
      <c r="H946" s="107"/>
      <c r="L946" s="107"/>
      <c r="N946" s="289"/>
      <c r="P946" s="107"/>
      <c r="Q946" s="107"/>
    </row>
    <row r="947" spans="2:17" s="105" customFormat="1">
      <c r="B947" s="106"/>
      <c r="F947" s="107"/>
      <c r="G947" s="107"/>
      <c r="H947" s="107"/>
      <c r="L947" s="107"/>
      <c r="N947" s="289"/>
      <c r="P947" s="107"/>
      <c r="Q947" s="107"/>
    </row>
    <row r="948" spans="2:17" s="105" customFormat="1">
      <c r="B948" s="106"/>
      <c r="F948" s="107"/>
      <c r="G948" s="107"/>
      <c r="H948" s="107"/>
      <c r="L948" s="107"/>
      <c r="N948" s="289"/>
      <c r="P948" s="107"/>
      <c r="Q948" s="107"/>
    </row>
    <row r="949" spans="2:17" s="105" customFormat="1">
      <c r="B949" s="106"/>
      <c r="F949" s="107"/>
      <c r="G949" s="107"/>
      <c r="H949" s="107"/>
      <c r="L949" s="107"/>
      <c r="N949" s="289"/>
      <c r="P949" s="107"/>
      <c r="Q949" s="107"/>
    </row>
    <row r="950" spans="2:17" s="105" customFormat="1">
      <c r="B950" s="106"/>
      <c r="F950" s="107"/>
      <c r="G950" s="107"/>
      <c r="H950" s="107"/>
      <c r="L950" s="107"/>
      <c r="N950" s="289"/>
      <c r="P950" s="107"/>
      <c r="Q950" s="107"/>
    </row>
    <row r="951" spans="2:17" s="105" customFormat="1">
      <c r="B951" s="106"/>
      <c r="F951" s="107"/>
      <c r="G951" s="107"/>
      <c r="H951" s="107"/>
      <c r="L951" s="107"/>
      <c r="N951" s="289"/>
      <c r="P951" s="107"/>
      <c r="Q951" s="107"/>
    </row>
    <row r="952" spans="2:17" s="105" customFormat="1">
      <c r="B952" s="106"/>
      <c r="F952" s="107"/>
      <c r="G952" s="107"/>
      <c r="H952" s="107"/>
      <c r="L952" s="107"/>
      <c r="N952" s="289"/>
      <c r="P952" s="107"/>
      <c r="Q952" s="107"/>
    </row>
    <row r="953" spans="2:17" s="105" customFormat="1">
      <c r="B953" s="106"/>
      <c r="F953" s="107"/>
      <c r="G953" s="107"/>
      <c r="H953" s="107"/>
      <c r="L953" s="107"/>
      <c r="N953" s="289"/>
      <c r="P953" s="107"/>
      <c r="Q953" s="107"/>
    </row>
    <row r="954" spans="2:17" s="105" customFormat="1">
      <c r="B954" s="106"/>
      <c r="F954" s="107"/>
      <c r="G954" s="107"/>
      <c r="H954" s="107"/>
      <c r="L954" s="107"/>
      <c r="N954" s="289"/>
      <c r="P954" s="107"/>
      <c r="Q954" s="107"/>
    </row>
    <row r="955" spans="2:17" s="105" customFormat="1">
      <c r="B955" s="106"/>
      <c r="F955" s="107"/>
      <c r="G955" s="107"/>
      <c r="H955" s="107"/>
      <c r="L955" s="107"/>
      <c r="N955" s="289"/>
      <c r="P955" s="107"/>
      <c r="Q955" s="107"/>
    </row>
    <row r="956" spans="2:17" s="105" customFormat="1">
      <c r="B956" s="106"/>
      <c r="F956" s="107"/>
      <c r="G956" s="107"/>
      <c r="H956" s="107"/>
      <c r="L956" s="107"/>
      <c r="N956" s="289"/>
      <c r="P956" s="107"/>
      <c r="Q956" s="107"/>
    </row>
    <row r="957" spans="2:17" s="105" customFormat="1">
      <c r="B957" s="106"/>
      <c r="F957" s="107"/>
      <c r="G957" s="107"/>
      <c r="H957" s="107"/>
      <c r="L957" s="107"/>
      <c r="N957" s="289"/>
      <c r="P957" s="107"/>
      <c r="Q957" s="107"/>
    </row>
    <row r="958" spans="2:17" s="105" customFormat="1">
      <c r="B958" s="106"/>
      <c r="F958" s="107"/>
      <c r="G958" s="107"/>
      <c r="H958" s="107"/>
      <c r="L958" s="107"/>
      <c r="N958" s="289"/>
      <c r="P958" s="107"/>
      <c r="Q958" s="107"/>
    </row>
    <row r="959" spans="2:17" s="105" customFormat="1">
      <c r="B959" s="106"/>
      <c r="F959" s="107"/>
      <c r="G959" s="107"/>
      <c r="H959" s="107"/>
      <c r="L959" s="107"/>
      <c r="N959" s="289"/>
      <c r="P959" s="107"/>
      <c r="Q959" s="107"/>
    </row>
    <row r="960" spans="2:17" s="105" customFormat="1">
      <c r="B960" s="106"/>
      <c r="F960" s="107"/>
      <c r="G960" s="107"/>
      <c r="H960" s="107"/>
      <c r="L960" s="107"/>
      <c r="N960" s="289"/>
      <c r="P960" s="107"/>
      <c r="Q960" s="107"/>
    </row>
    <row r="961" spans="2:17" s="105" customFormat="1">
      <c r="B961" s="106"/>
      <c r="F961" s="107"/>
      <c r="G961" s="107"/>
      <c r="H961" s="107"/>
      <c r="L961" s="107"/>
      <c r="N961" s="289"/>
      <c r="P961" s="107"/>
      <c r="Q961" s="107"/>
    </row>
    <row r="962" spans="2:17" s="105" customFormat="1">
      <c r="B962" s="106"/>
      <c r="F962" s="107"/>
      <c r="G962" s="107"/>
      <c r="H962" s="107"/>
      <c r="L962" s="107"/>
      <c r="N962" s="289"/>
      <c r="P962" s="107"/>
      <c r="Q962" s="107"/>
    </row>
    <row r="963" spans="2:17" s="105" customFormat="1">
      <c r="B963" s="106"/>
      <c r="F963" s="107"/>
      <c r="G963" s="107"/>
      <c r="H963" s="107"/>
      <c r="L963" s="107"/>
      <c r="N963" s="289"/>
      <c r="P963" s="107"/>
      <c r="Q963" s="107"/>
    </row>
    <row r="964" spans="2:17" s="105" customFormat="1">
      <c r="B964" s="106"/>
      <c r="F964" s="107"/>
      <c r="G964" s="107"/>
      <c r="H964" s="107"/>
      <c r="L964" s="107"/>
      <c r="N964" s="289"/>
      <c r="P964" s="107"/>
      <c r="Q964" s="107"/>
    </row>
    <row r="965" spans="2:17" s="105" customFormat="1">
      <c r="B965" s="106"/>
      <c r="F965" s="107"/>
      <c r="G965" s="107"/>
      <c r="H965" s="107"/>
      <c r="L965" s="107"/>
      <c r="N965" s="289"/>
      <c r="P965" s="107"/>
      <c r="Q965" s="107"/>
    </row>
    <row r="966" spans="2:17" s="105" customFormat="1">
      <c r="B966" s="106"/>
      <c r="F966" s="107"/>
      <c r="G966" s="107"/>
      <c r="H966" s="107"/>
      <c r="L966" s="107"/>
      <c r="N966" s="289"/>
      <c r="P966" s="107"/>
      <c r="Q966" s="107"/>
    </row>
    <row r="967" spans="2:17" s="105" customFormat="1">
      <c r="B967" s="106"/>
      <c r="F967" s="107"/>
      <c r="G967" s="107"/>
      <c r="H967" s="107"/>
      <c r="L967" s="107"/>
      <c r="N967" s="289"/>
      <c r="P967" s="107"/>
      <c r="Q967" s="107"/>
    </row>
    <row r="968" spans="2:17" s="105" customFormat="1">
      <c r="B968" s="106"/>
      <c r="F968" s="107"/>
      <c r="G968" s="107"/>
      <c r="H968" s="107"/>
      <c r="L968" s="107"/>
      <c r="N968" s="289"/>
      <c r="P968" s="107"/>
      <c r="Q968" s="107"/>
    </row>
    <row r="969" spans="2:17" s="105" customFormat="1">
      <c r="B969" s="106"/>
      <c r="F969" s="107"/>
      <c r="G969" s="107"/>
      <c r="H969" s="107"/>
      <c r="L969" s="107"/>
      <c r="N969" s="289"/>
      <c r="P969" s="107"/>
      <c r="Q969" s="107"/>
    </row>
    <row r="970" spans="2:17" s="105" customFormat="1">
      <c r="B970" s="106"/>
      <c r="F970" s="107"/>
      <c r="G970" s="107"/>
      <c r="H970" s="107"/>
      <c r="L970" s="107"/>
      <c r="N970" s="289"/>
      <c r="P970" s="107"/>
      <c r="Q970" s="107"/>
    </row>
    <row r="971" spans="2:17" s="105" customFormat="1">
      <c r="B971" s="106"/>
      <c r="F971" s="107"/>
      <c r="G971" s="107"/>
      <c r="H971" s="107"/>
      <c r="L971" s="107"/>
      <c r="N971" s="289"/>
      <c r="P971" s="107"/>
      <c r="Q971" s="107"/>
    </row>
    <row r="972" spans="2:17" s="105" customFormat="1">
      <c r="B972" s="106"/>
      <c r="F972" s="107"/>
      <c r="G972" s="107"/>
      <c r="H972" s="107"/>
      <c r="L972" s="107"/>
      <c r="N972" s="289"/>
      <c r="P972" s="107"/>
      <c r="Q972" s="107"/>
    </row>
    <row r="973" spans="2:17" s="105" customFormat="1">
      <c r="B973" s="106"/>
      <c r="F973" s="107"/>
      <c r="G973" s="107"/>
      <c r="H973" s="107"/>
      <c r="L973" s="107"/>
      <c r="N973" s="289"/>
      <c r="P973" s="107"/>
      <c r="Q973" s="107"/>
    </row>
    <row r="974" spans="2:17" s="105" customFormat="1">
      <c r="B974" s="106"/>
      <c r="F974" s="107"/>
      <c r="G974" s="107"/>
      <c r="H974" s="107"/>
      <c r="L974" s="107"/>
      <c r="N974" s="289"/>
      <c r="P974" s="107"/>
      <c r="Q974" s="107"/>
    </row>
    <row r="975" spans="2:17" s="105" customFormat="1">
      <c r="B975" s="106"/>
      <c r="F975" s="107"/>
      <c r="G975" s="107"/>
      <c r="H975" s="107"/>
      <c r="L975" s="107"/>
      <c r="N975" s="289"/>
      <c r="P975" s="107"/>
      <c r="Q975" s="107"/>
    </row>
    <row r="976" spans="2:17" s="105" customFormat="1">
      <c r="B976" s="106"/>
      <c r="F976" s="107"/>
      <c r="G976" s="107"/>
      <c r="H976" s="107"/>
      <c r="L976" s="107"/>
      <c r="N976" s="289"/>
      <c r="P976" s="107"/>
      <c r="Q976" s="107"/>
    </row>
    <row r="977" spans="2:17" s="105" customFormat="1">
      <c r="B977" s="106"/>
      <c r="F977" s="107"/>
      <c r="G977" s="107"/>
      <c r="H977" s="107"/>
      <c r="L977" s="107"/>
      <c r="N977" s="289"/>
      <c r="P977" s="107"/>
      <c r="Q977" s="107"/>
    </row>
    <row r="978" spans="2:17" s="105" customFormat="1">
      <c r="B978" s="106"/>
      <c r="F978" s="107"/>
      <c r="G978" s="107"/>
      <c r="H978" s="107"/>
      <c r="L978" s="107"/>
      <c r="N978" s="289"/>
      <c r="P978" s="107"/>
      <c r="Q978" s="107"/>
    </row>
    <row r="979" spans="2:17" s="105" customFormat="1">
      <c r="B979" s="106"/>
      <c r="F979" s="107"/>
      <c r="G979" s="107"/>
      <c r="H979" s="107"/>
      <c r="L979" s="107"/>
      <c r="N979" s="289"/>
      <c r="P979" s="107"/>
      <c r="Q979" s="107"/>
    </row>
    <row r="980" spans="2:17" s="105" customFormat="1">
      <c r="B980" s="106"/>
      <c r="F980" s="107"/>
      <c r="G980" s="107"/>
      <c r="H980" s="107"/>
      <c r="L980" s="107"/>
      <c r="N980" s="289"/>
      <c r="P980" s="107"/>
      <c r="Q980" s="107"/>
    </row>
    <row r="981" spans="2:17" s="105" customFormat="1">
      <c r="B981" s="106"/>
      <c r="F981" s="107"/>
      <c r="G981" s="107"/>
      <c r="H981" s="107"/>
      <c r="L981" s="107"/>
      <c r="N981" s="289"/>
      <c r="P981" s="107"/>
      <c r="Q981" s="107"/>
    </row>
    <row r="982" spans="2:17" s="105" customFormat="1">
      <c r="B982" s="106"/>
      <c r="F982" s="107"/>
      <c r="G982" s="107"/>
      <c r="H982" s="107"/>
      <c r="L982" s="107"/>
      <c r="N982" s="289"/>
      <c r="P982" s="107"/>
      <c r="Q982" s="107"/>
    </row>
    <row r="983" spans="2:17" s="105" customFormat="1">
      <c r="B983" s="106"/>
      <c r="F983" s="107"/>
      <c r="G983" s="107"/>
      <c r="H983" s="107"/>
      <c r="L983" s="107"/>
      <c r="N983" s="289"/>
      <c r="P983" s="107"/>
      <c r="Q983" s="107"/>
    </row>
    <row r="984" spans="2:17" s="105" customFormat="1">
      <c r="B984" s="106"/>
      <c r="F984" s="107"/>
      <c r="G984" s="107"/>
      <c r="H984" s="107"/>
      <c r="L984" s="107"/>
      <c r="N984" s="289"/>
      <c r="P984" s="107"/>
      <c r="Q984" s="107"/>
    </row>
    <row r="985" spans="2:17" s="105" customFormat="1">
      <c r="B985" s="106"/>
      <c r="F985" s="107"/>
      <c r="G985" s="107"/>
      <c r="H985" s="107"/>
      <c r="L985" s="107"/>
      <c r="N985" s="289"/>
      <c r="P985" s="107"/>
      <c r="Q985" s="107"/>
    </row>
    <row r="986" spans="2:17" s="105" customFormat="1">
      <c r="B986" s="106"/>
      <c r="F986" s="107"/>
      <c r="G986" s="107"/>
      <c r="H986" s="107"/>
      <c r="L986" s="107"/>
      <c r="N986" s="289"/>
      <c r="P986" s="107"/>
      <c r="Q986" s="107"/>
    </row>
    <row r="987" spans="2:17" s="105" customFormat="1">
      <c r="B987" s="106"/>
      <c r="F987" s="107"/>
      <c r="G987" s="107"/>
      <c r="H987" s="107"/>
      <c r="L987" s="107"/>
      <c r="N987" s="289"/>
      <c r="P987" s="107"/>
      <c r="Q987" s="107"/>
    </row>
    <row r="988" spans="2:17" s="105" customFormat="1">
      <c r="B988" s="106"/>
      <c r="F988" s="107"/>
      <c r="G988" s="107"/>
      <c r="H988" s="107"/>
      <c r="L988" s="107"/>
      <c r="N988" s="289"/>
      <c r="P988" s="107"/>
      <c r="Q988" s="107"/>
    </row>
    <row r="989" spans="2:17" s="105" customFormat="1">
      <c r="B989" s="106"/>
      <c r="F989" s="107"/>
      <c r="G989" s="107"/>
      <c r="H989" s="107"/>
      <c r="L989" s="107"/>
      <c r="N989" s="289"/>
      <c r="P989" s="107"/>
      <c r="Q989" s="107"/>
    </row>
    <row r="990" spans="2:17" s="105" customFormat="1">
      <c r="B990" s="106"/>
      <c r="F990" s="107"/>
      <c r="G990" s="107"/>
      <c r="H990" s="107"/>
      <c r="L990" s="107"/>
      <c r="N990" s="289"/>
      <c r="P990" s="107"/>
      <c r="Q990" s="107"/>
    </row>
    <row r="991" spans="2:17" s="105" customFormat="1">
      <c r="B991" s="106"/>
      <c r="F991" s="107"/>
      <c r="G991" s="107"/>
      <c r="H991" s="107"/>
      <c r="L991" s="107"/>
      <c r="N991" s="289"/>
      <c r="P991" s="107"/>
      <c r="Q991" s="107"/>
    </row>
    <row r="992" spans="2:17" s="105" customFormat="1">
      <c r="B992" s="106"/>
      <c r="F992" s="107"/>
      <c r="G992" s="107"/>
      <c r="H992" s="107"/>
      <c r="L992" s="107"/>
      <c r="N992" s="289"/>
      <c r="P992" s="107"/>
      <c r="Q992" s="107"/>
    </row>
    <row r="993" spans="2:17" s="105" customFormat="1">
      <c r="B993" s="106"/>
      <c r="F993" s="107"/>
      <c r="G993" s="107"/>
      <c r="H993" s="107"/>
      <c r="L993" s="107"/>
      <c r="N993" s="289"/>
      <c r="P993" s="107"/>
      <c r="Q993" s="107"/>
    </row>
    <row r="994" spans="2:17" s="105" customFormat="1">
      <c r="B994" s="106"/>
      <c r="F994" s="107"/>
      <c r="G994" s="107"/>
      <c r="H994" s="107"/>
      <c r="L994" s="107"/>
      <c r="N994" s="289"/>
      <c r="P994" s="107"/>
      <c r="Q994" s="107"/>
    </row>
    <row r="995" spans="2:17" s="105" customFormat="1">
      <c r="B995" s="106"/>
      <c r="F995" s="107"/>
      <c r="G995" s="107"/>
      <c r="H995" s="107"/>
      <c r="L995" s="107"/>
      <c r="N995" s="289"/>
      <c r="P995" s="107"/>
      <c r="Q995" s="107"/>
    </row>
    <row r="996" spans="2:17" s="105" customFormat="1">
      <c r="B996" s="106"/>
      <c r="F996" s="107"/>
      <c r="G996" s="107"/>
      <c r="H996" s="107"/>
      <c r="L996" s="107"/>
      <c r="N996" s="289"/>
      <c r="P996" s="107"/>
      <c r="Q996" s="107"/>
    </row>
    <row r="997" spans="2:17" s="105" customFormat="1">
      <c r="B997" s="106"/>
      <c r="F997" s="107"/>
      <c r="G997" s="107"/>
      <c r="H997" s="107"/>
      <c r="L997" s="107"/>
      <c r="N997" s="289"/>
      <c r="P997" s="107"/>
      <c r="Q997" s="107"/>
    </row>
    <row r="998" spans="2:17" s="105" customFormat="1">
      <c r="B998" s="106"/>
      <c r="F998" s="107"/>
      <c r="G998" s="107"/>
      <c r="H998" s="107"/>
      <c r="L998" s="107"/>
      <c r="N998" s="289"/>
      <c r="P998" s="107"/>
      <c r="Q998" s="107"/>
    </row>
    <row r="999" spans="2:17" s="105" customFormat="1">
      <c r="B999" s="106"/>
      <c r="F999" s="107"/>
      <c r="G999" s="107"/>
      <c r="H999" s="107"/>
      <c r="L999" s="107"/>
      <c r="N999" s="289"/>
      <c r="P999" s="107"/>
      <c r="Q999" s="107"/>
    </row>
    <row r="1000" spans="2:17" s="105" customFormat="1">
      <c r="B1000" s="106"/>
      <c r="F1000" s="107"/>
      <c r="G1000" s="107"/>
      <c r="H1000" s="107"/>
      <c r="L1000" s="107"/>
      <c r="N1000" s="289"/>
      <c r="P1000" s="107"/>
      <c r="Q1000" s="107"/>
    </row>
    <row r="1001" spans="2:17" s="105" customFormat="1">
      <c r="B1001" s="106"/>
      <c r="F1001" s="107"/>
      <c r="G1001" s="107"/>
      <c r="H1001" s="107"/>
      <c r="L1001" s="107"/>
      <c r="N1001" s="289"/>
      <c r="P1001" s="107"/>
      <c r="Q1001" s="107"/>
    </row>
    <row r="1002" spans="2:17" s="105" customFormat="1">
      <c r="B1002" s="106"/>
      <c r="F1002" s="107"/>
      <c r="G1002" s="107"/>
      <c r="H1002" s="107"/>
      <c r="L1002" s="107"/>
      <c r="N1002" s="289"/>
      <c r="P1002" s="107"/>
      <c r="Q1002" s="107"/>
    </row>
    <row r="1003" spans="2:17" s="105" customFormat="1">
      <c r="B1003" s="106"/>
      <c r="F1003" s="107"/>
      <c r="G1003" s="107"/>
      <c r="H1003" s="107"/>
      <c r="L1003" s="107"/>
      <c r="N1003" s="289"/>
      <c r="P1003" s="107"/>
      <c r="Q1003" s="107"/>
    </row>
    <row r="1004" spans="2:17" s="105" customFormat="1">
      <c r="B1004" s="106"/>
      <c r="F1004" s="107"/>
      <c r="G1004" s="107"/>
      <c r="H1004" s="107"/>
      <c r="L1004" s="107"/>
      <c r="N1004" s="289"/>
      <c r="P1004" s="107"/>
      <c r="Q1004" s="107"/>
    </row>
    <row r="1005" spans="2:17" s="105" customFormat="1">
      <c r="B1005" s="106"/>
      <c r="F1005" s="107"/>
      <c r="G1005" s="107"/>
      <c r="H1005" s="107"/>
      <c r="L1005" s="107"/>
      <c r="N1005" s="289"/>
      <c r="P1005" s="107"/>
      <c r="Q1005" s="107"/>
    </row>
    <row r="1006" spans="2:17" s="105" customFormat="1">
      <c r="B1006" s="106"/>
      <c r="F1006" s="107"/>
      <c r="G1006" s="107"/>
      <c r="H1006" s="107"/>
      <c r="L1006" s="107"/>
      <c r="N1006" s="289"/>
      <c r="P1006" s="107"/>
      <c r="Q1006" s="107"/>
    </row>
    <row r="1007" spans="2:17" s="105" customFormat="1">
      <c r="B1007" s="106"/>
      <c r="F1007" s="107"/>
      <c r="G1007" s="107"/>
      <c r="H1007" s="107"/>
      <c r="L1007" s="107"/>
      <c r="N1007" s="289"/>
      <c r="P1007" s="107"/>
      <c r="Q1007" s="107"/>
    </row>
    <row r="1008" spans="2:17" s="105" customFormat="1">
      <c r="B1008" s="106"/>
      <c r="F1008" s="107"/>
      <c r="G1008" s="107"/>
      <c r="H1008" s="107"/>
      <c r="L1008" s="107"/>
      <c r="N1008" s="289"/>
      <c r="P1008" s="107"/>
      <c r="Q1008" s="107"/>
    </row>
    <row r="1009" spans="2:17" s="105" customFormat="1">
      <c r="B1009" s="106"/>
      <c r="F1009" s="107"/>
      <c r="G1009" s="107"/>
      <c r="H1009" s="107"/>
      <c r="L1009" s="107"/>
      <c r="N1009" s="289"/>
      <c r="P1009" s="107"/>
      <c r="Q1009" s="107"/>
    </row>
    <row r="1010" spans="2:17" s="105" customFormat="1">
      <c r="B1010" s="106"/>
      <c r="F1010" s="107"/>
      <c r="G1010" s="107"/>
      <c r="H1010" s="107"/>
      <c r="L1010" s="107"/>
      <c r="N1010" s="289"/>
      <c r="P1010" s="107"/>
      <c r="Q1010" s="107"/>
    </row>
    <row r="1011" spans="2:17" s="105" customFormat="1">
      <c r="B1011" s="106"/>
      <c r="F1011" s="107"/>
      <c r="G1011" s="107"/>
      <c r="H1011" s="107"/>
      <c r="L1011" s="107"/>
      <c r="N1011" s="289"/>
      <c r="P1011" s="107"/>
      <c r="Q1011" s="107"/>
    </row>
    <row r="1012" spans="2:17" s="105" customFormat="1">
      <c r="B1012" s="106"/>
      <c r="F1012" s="107"/>
      <c r="G1012" s="107"/>
      <c r="H1012" s="107"/>
      <c r="L1012" s="107"/>
      <c r="N1012" s="289"/>
      <c r="P1012" s="107"/>
      <c r="Q1012" s="107"/>
    </row>
    <row r="1013" spans="2:17" s="105" customFormat="1">
      <c r="B1013" s="106"/>
      <c r="F1013" s="107"/>
      <c r="G1013" s="107"/>
      <c r="H1013" s="107"/>
      <c r="L1013" s="107"/>
      <c r="N1013" s="289"/>
      <c r="P1013" s="107"/>
      <c r="Q1013" s="107"/>
    </row>
    <row r="1014" spans="2:17" s="105" customFormat="1">
      <c r="B1014" s="106"/>
      <c r="F1014" s="107"/>
      <c r="G1014" s="107"/>
      <c r="H1014" s="107"/>
      <c r="L1014" s="107"/>
      <c r="N1014" s="289"/>
      <c r="P1014" s="107"/>
      <c r="Q1014" s="107"/>
    </row>
    <row r="1015" spans="2:17" s="105" customFormat="1">
      <c r="B1015" s="106"/>
      <c r="F1015" s="107"/>
      <c r="G1015" s="107"/>
      <c r="H1015" s="107"/>
      <c r="L1015" s="107"/>
      <c r="N1015" s="289"/>
      <c r="P1015" s="107"/>
      <c r="Q1015" s="107"/>
    </row>
    <row r="1016" spans="2:17" s="105" customFormat="1">
      <c r="B1016" s="106"/>
      <c r="F1016" s="107"/>
      <c r="G1016" s="107"/>
      <c r="H1016" s="107"/>
      <c r="L1016" s="107"/>
      <c r="N1016" s="289"/>
      <c r="P1016" s="107"/>
      <c r="Q1016" s="107"/>
    </row>
    <row r="1017" spans="2:17" s="105" customFormat="1">
      <c r="B1017" s="106"/>
      <c r="F1017" s="107"/>
      <c r="G1017" s="107"/>
      <c r="H1017" s="107"/>
      <c r="L1017" s="107"/>
      <c r="N1017" s="289"/>
      <c r="P1017" s="107"/>
      <c r="Q1017" s="107"/>
    </row>
    <row r="1018" spans="2:17" s="105" customFormat="1">
      <c r="B1018" s="106"/>
      <c r="F1018" s="107"/>
      <c r="G1018" s="107"/>
      <c r="H1018" s="107"/>
      <c r="L1018" s="107"/>
      <c r="N1018" s="289"/>
      <c r="P1018" s="107"/>
      <c r="Q1018" s="107"/>
    </row>
    <row r="1019" spans="2:17" s="105" customFormat="1">
      <c r="B1019" s="106"/>
      <c r="F1019" s="107"/>
      <c r="G1019" s="107"/>
      <c r="H1019" s="107"/>
      <c r="L1019" s="107"/>
      <c r="N1019" s="289"/>
      <c r="P1019" s="107"/>
      <c r="Q1019" s="107"/>
    </row>
    <row r="1020" spans="2:17" s="105" customFormat="1">
      <c r="B1020" s="106"/>
      <c r="F1020" s="107"/>
      <c r="G1020" s="107"/>
      <c r="H1020" s="107"/>
      <c r="L1020" s="107"/>
      <c r="N1020" s="289"/>
      <c r="P1020" s="107"/>
      <c r="Q1020" s="107"/>
    </row>
    <row r="1021" spans="2:17" s="105" customFormat="1">
      <c r="B1021" s="106"/>
      <c r="F1021" s="107"/>
      <c r="G1021" s="107"/>
      <c r="H1021" s="107"/>
      <c r="L1021" s="107"/>
      <c r="N1021" s="289"/>
      <c r="P1021" s="107"/>
      <c r="Q1021" s="107"/>
    </row>
    <row r="1022" spans="2:17" s="105" customFormat="1">
      <c r="B1022" s="106"/>
      <c r="F1022" s="107"/>
      <c r="G1022" s="107"/>
      <c r="H1022" s="107"/>
      <c r="L1022" s="107"/>
      <c r="N1022" s="289"/>
      <c r="P1022" s="107"/>
      <c r="Q1022" s="107"/>
    </row>
    <row r="1023" spans="2:17" s="105" customFormat="1">
      <c r="B1023" s="106"/>
      <c r="F1023" s="107"/>
      <c r="G1023" s="107"/>
      <c r="H1023" s="107"/>
      <c r="L1023" s="107"/>
      <c r="N1023" s="289"/>
      <c r="P1023" s="107"/>
      <c r="Q1023" s="107"/>
    </row>
    <row r="1024" spans="2:17" s="105" customFormat="1">
      <c r="B1024" s="106"/>
      <c r="F1024" s="107"/>
      <c r="G1024" s="107"/>
      <c r="H1024" s="107"/>
      <c r="L1024" s="107"/>
      <c r="N1024" s="289"/>
      <c r="P1024" s="107"/>
      <c r="Q1024" s="107"/>
    </row>
    <row r="1025" spans="2:17" s="105" customFormat="1">
      <c r="B1025" s="106"/>
      <c r="F1025" s="107"/>
      <c r="G1025" s="107"/>
      <c r="H1025" s="107"/>
      <c r="L1025" s="107"/>
      <c r="N1025" s="289"/>
      <c r="P1025" s="107"/>
      <c r="Q1025" s="107"/>
    </row>
    <row r="1026" spans="2:17" s="105" customFormat="1">
      <c r="B1026" s="106"/>
      <c r="F1026" s="107"/>
      <c r="G1026" s="107"/>
      <c r="H1026" s="107"/>
      <c r="L1026" s="107"/>
      <c r="N1026" s="289"/>
      <c r="P1026" s="107"/>
      <c r="Q1026" s="107"/>
    </row>
    <row r="1027" spans="2:17" s="105" customFormat="1">
      <c r="B1027" s="106"/>
      <c r="F1027" s="107"/>
      <c r="G1027" s="107"/>
      <c r="H1027" s="107"/>
      <c r="L1027" s="107"/>
      <c r="N1027" s="289"/>
      <c r="P1027" s="107"/>
      <c r="Q1027" s="107"/>
    </row>
    <row r="1028" spans="2:17" s="105" customFormat="1">
      <c r="B1028" s="106"/>
      <c r="F1028" s="107"/>
      <c r="G1028" s="107"/>
      <c r="H1028" s="107"/>
      <c r="L1028" s="107"/>
      <c r="N1028" s="289"/>
      <c r="P1028" s="107"/>
      <c r="Q1028" s="107"/>
    </row>
    <row r="1029" spans="2:17" s="105" customFormat="1">
      <c r="B1029" s="106"/>
      <c r="F1029" s="107"/>
      <c r="G1029" s="107"/>
      <c r="H1029" s="107"/>
      <c r="L1029" s="107"/>
      <c r="N1029" s="289"/>
      <c r="P1029" s="107"/>
      <c r="Q1029" s="107"/>
    </row>
    <row r="1030" spans="2:17" s="105" customFormat="1">
      <c r="B1030" s="106"/>
      <c r="F1030" s="107"/>
      <c r="G1030" s="107"/>
      <c r="H1030" s="107"/>
      <c r="L1030" s="107"/>
      <c r="N1030" s="289"/>
      <c r="P1030" s="107"/>
      <c r="Q1030" s="107"/>
    </row>
    <row r="1031" spans="2:17" s="105" customFormat="1">
      <c r="B1031" s="106"/>
      <c r="F1031" s="107"/>
      <c r="G1031" s="107"/>
      <c r="H1031" s="107"/>
      <c r="L1031" s="107"/>
      <c r="N1031" s="289"/>
      <c r="P1031" s="107"/>
      <c r="Q1031" s="107"/>
    </row>
    <row r="1032" spans="2:17" s="105" customFormat="1">
      <c r="B1032" s="106"/>
      <c r="F1032" s="107"/>
      <c r="G1032" s="107"/>
      <c r="H1032" s="107"/>
      <c r="L1032" s="107"/>
      <c r="N1032" s="289"/>
      <c r="P1032" s="107"/>
      <c r="Q1032" s="107"/>
    </row>
    <row r="1033" spans="2:17" s="105" customFormat="1">
      <c r="B1033" s="106"/>
      <c r="F1033" s="107"/>
      <c r="G1033" s="107"/>
      <c r="H1033" s="107"/>
      <c r="L1033" s="107"/>
      <c r="N1033" s="289"/>
      <c r="P1033" s="107"/>
      <c r="Q1033" s="107"/>
    </row>
    <row r="1034" spans="2:17" s="105" customFormat="1">
      <c r="B1034" s="106"/>
      <c r="F1034" s="107"/>
      <c r="G1034" s="107"/>
      <c r="H1034" s="107"/>
      <c r="L1034" s="107"/>
      <c r="N1034" s="289"/>
      <c r="P1034" s="107"/>
      <c r="Q1034" s="107"/>
    </row>
    <row r="1035" spans="2:17" s="105" customFormat="1">
      <c r="B1035" s="106"/>
      <c r="F1035" s="107"/>
      <c r="G1035" s="107"/>
      <c r="H1035" s="107"/>
      <c r="L1035" s="107"/>
      <c r="N1035" s="289"/>
      <c r="P1035" s="107"/>
      <c r="Q1035" s="107"/>
    </row>
    <row r="1036" spans="2:17" s="105" customFormat="1">
      <c r="B1036" s="106"/>
      <c r="F1036" s="107"/>
      <c r="G1036" s="107"/>
      <c r="H1036" s="107"/>
      <c r="L1036" s="107"/>
      <c r="N1036" s="289"/>
      <c r="P1036" s="107"/>
      <c r="Q1036" s="107"/>
    </row>
    <row r="1037" spans="2:17" s="105" customFormat="1">
      <c r="B1037" s="106"/>
      <c r="F1037" s="107"/>
      <c r="G1037" s="107"/>
      <c r="H1037" s="107"/>
      <c r="L1037" s="107"/>
      <c r="N1037" s="289"/>
      <c r="P1037" s="107"/>
      <c r="Q1037" s="107"/>
    </row>
    <row r="1038" spans="2:17" s="105" customFormat="1">
      <c r="B1038" s="106"/>
      <c r="F1038" s="107"/>
      <c r="G1038" s="107"/>
      <c r="H1038" s="107"/>
      <c r="L1038" s="107"/>
      <c r="N1038" s="289"/>
      <c r="P1038" s="107"/>
      <c r="Q1038" s="107"/>
    </row>
    <row r="1039" spans="2:17" s="105" customFormat="1">
      <c r="B1039" s="106"/>
      <c r="F1039" s="107"/>
      <c r="G1039" s="107"/>
      <c r="H1039" s="107"/>
      <c r="L1039" s="107"/>
      <c r="N1039" s="289"/>
      <c r="P1039" s="107"/>
      <c r="Q1039" s="107"/>
    </row>
    <row r="1040" spans="2:17" s="105" customFormat="1">
      <c r="B1040" s="106"/>
      <c r="F1040" s="107"/>
      <c r="G1040" s="107"/>
      <c r="H1040" s="107"/>
      <c r="L1040" s="107"/>
      <c r="N1040" s="289"/>
      <c r="P1040" s="107"/>
      <c r="Q1040" s="107"/>
    </row>
    <row r="1041" spans="2:17" s="105" customFormat="1">
      <c r="B1041" s="106"/>
      <c r="F1041" s="107"/>
      <c r="G1041" s="107"/>
      <c r="H1041" s="107"/>
      <c r="L1041" s="107"/>
      <c r="N1041" s="289"/>
      <c r="P1041" s="107"/>
      <c r="Q1041" s="107"/>
    </row>
    <row r="1042" spans="2:17" s="105" customFormat="1">
      <c r="B1042" s="106"/>
      <c r="F1042" s="107"/>
      <c r="G1042" s="107"/>
      <c r="H1042" s="107"/>
      <c r="L1042" s="107"/>
      <c r="N1042" s="289"/>
      <c r="P1042" s="107"/>
      <c r="Q1042" s="107"/>
    </row>
    <row r="1043" spans="2:17" s="105" customFormat="1">
      <c r="B1043" s="106"/>
      <c r="F1043" s="107"/>
      <c r="G1043" s="107"/>
      <c r="H1043" s="107"/>
      <c r="L1043" s="107"/>
      <c r="N1043" s="289"/>
      <c r="P1043" s="107"/>
      <c r="Q1043" s="107"/>
    </row>
    <row r="1044" spans="2:17" s="105" customFormat="1">
      <c r="B1044" s="106"/>
      <c r="F1044" s="107"/>
      <c r="G1044" s="107"/>
      <c r="H1044" s="107"/>
      <c r="L1044" s="107"/>
      <c r="N1044" s="289"/>
      <c r="P1044" s="107"/>
      <c r="Q1044" s="107"/>
    </row>
    <row r="1045" spans="2:17" s="105" customFormat="1">
      <c r="B1045" s="106"/>
      <c r="F1045" s="107"/>
      <c r="G1045" s="107"/>
      <c r="H1045" s="107"/>
      <c r="L1045" s="107"/>
      <c r="N1045" s="289"/>
      <c r="P1045" s="107"/>
      <c r="Q1045" s="107"/>
    </row>
    <row r="1046" spans="2:17" s="105" customFormat="1">
      <c r="B1046" s="106"/>
      <c r="F1046" s="107"/>
      <c r="G1046" s="107"/>
      <c r="H1046" s="107"/>
      <c r="L1046" s="107"/>
      <c r="N1046" s="289"/>
      <c r="P1046" s="107"/>
      <c r="Q1046" s="107"/>
    </row>
    <row r="1047" spans="2:17" s="105" customFormat="1">
      <c r="B1047" s="106"/>
      <c r="F1047" s="107"/>
      <c r="G1047" s="107"/>
      <c r="H1047" s="107"/>
      <c r="L1047" s="107"/>
      <c r="N1047" s="289"/>
      <c r="P1047" s="107"/>
      <c r="Q1047" s="107"/>
    </row>
    <row r="1048" spans="2:17" s="105" customFormat="1">
      <c r="B1048" s="106"/>
      <c r="F1048" s="107"/>
      <c r="G1048" s="107"/>
      <c r="H1048" s="107"/>
      <c r="L1048" s="107"/>
      <c r="N1048" s="289"/>
      <c r="P1048" s="107"/>
      <c r="Q1048" s="107"/>
    </row>
    <row r="1049" spans="2:17" s="105" customFormat="1">
      <c r="B1049" s="106"/>
      <c r="F1049" s="107"/>
      <c r="G1049" s="107"/>
      <c r="H1049" s="107"/>
      <c r="L1049" s="107"/>
      <c r="N1049" s="289"/>
      <c r="P1049" s="107"/>
      <c r="Q1049" s="107"/>
    </row>
    <row r="1050" spans="2:17" s="105" customFormat="1">
      <c r="B1050" s="106"/>
      <c r="F1050" s="107"/>
      <c r="G1050" s="107"/>
      <c r="H1050" s="107"/>
      <c r="L1050" s="107"/>
      <c r="N1050" s="289"/>
      <c r="P1050" s="107"/>
      <c r="Q1050" s="107"/>
    </row>
    <row r="1051" spans="2:17" s="105" customFormat="1">
      <c r="B1051" s="106"/>
      <c r="F1051" s="107"/>
      <c r="G1051" s="107"/>
      <c r="H1051" s="107"/>
      <c r="L1051" s="107"/>
      <c r="N1051" s="289"/>
      <c r="P1051" s="107"/>
      <c r="Q1051" s="107"/>
    </row>
    <row r="1052" spans="2:17" s="105" customFormat="1">
      <c r="B1052" s="106"/>
      <c r="F1052" s="107"/>
      <c r="G1052" s="107"/>
      <c r="H1052" s="107"/>
      <c r="L1052" s="107"/>
      <c r="N1052" s="289"/>
      <c r="P1052" s="107"/>
      <c r="Q1052" s="107"/>
    </row>
    <row r="1053" spans="2:17" s="105" customFormat="1">
      <c r="B1053" s="106"/>
      <c r="F1053" s="107"/>
      <c r="G1053" s="107"/>
      <c r="H1053" s="107"/>
      <c r="L1053" s="107"/>
      <c r="N1053" s="289"/>
      <c r="P1053" s="107"/>
      <c r="Q1053" s="107"/>
    </row>
    <row r="1054" spans="2:17" s="105" customFormat="1">
      <c r="B1054" s="106"/>
      <c r="F1054" s="107"/>
      <c r="G1054" s="107"/>
      <c r="H1054" s="107"/>
      <c r="L1054" s="107"/>
      <c r="N1054" s="289"/>
      <c r="P1054" s="107"/>
      <c r="Q1054" s="107"/>
    </row>
    <row r="1055" spans="2:17" s="105" customFormat="1">
      <c r="B1055" s="106"/>
      <c r="F1055" s="107"/>
      <c r="G1055" s="107"/>
      <c r="H1055" s="107"/>
      <c r="L1055" s="107"/>
      <c r="N1055" s="289"/>
      <c r="P1055" s="107"/>
      <c r="Q1055" s="107"/>
    </row>
    <row r="1056" spans="2:17" s="105" customFormat="1">
      <c r="B1056" s="106"/>
      <c r="F1056" s="107"/>
      <c r="G1056" s="107"/>
      <c r="H1056" s="107"/>
      <c r="L1056" s="107"/>
      <c r="N1056" s="289"/>
      <c r="P1056" s="107"/>
      <c r="Q1056" s="107"/>
    </row>
    <row r="1057" spans="2:17" s="105" customFormat="1">
      <c r="B1057" s="106"/>
      <c r="F1057" s="107"/>
      <c r="G1057" s="107"/>
      <c r="H1057" s="107"/>
      <c r="L1057" s="107"/>
      <c r="N1057" s="289"/>
      <c r="P1057" s="107"/>
      <c r="Q1057" s="107"/>
    </row>
    <row r="1058" spans="2:17" s="105" customFormat="1">
      <c r="B1058" s="106"/>
      <c r="F1058" s="107"/>
      <c r="G1058" s="107"/>
      <c r="H1058" s="107"/>
      <c r="L1058" s="107"/>
      <c r="N1058" s="289"/>
      <c r="P1058" s="107"/>
      <c r="Q1058" s="107"/>
    </row>
    <row r="1059" spans="2:17" s="105" customFormat="1">
      <c r="B1059" s="106"/>
      <c r="F1059" s="107"/>
      <c r="G1059" s="107"/>
      <c r="H1059" s="107"/>
      <c r="L1059" s="107"/>
      <c r="N1059" s="289"/>
      <c r="P1059" s="107"/>
      <c r="Q1059" s="107"/>
    </row>
    <row r="1060" spans="2:17" s="105" customFormat="1">
      <c r="B1060" s="106"/>
      <c r="F1060" s="107"/>
      <c r="G1060" s="107"/>
      <c r="H1060" s="107"/>
      <c r="L1060" s="107"/>
      <c r="N1060" s="289"/>
      <c r="P1060" s="107"/>
      <c r="Q1060" s="107"/>
    </row>
    <row r="1061" spans="2:17" s="105" customFormat="1">
      <c r="B1061" s="106"/>
      <c r="F1061" s="107"/>
      <c r="G1061" s="107"/>
      <c r="H1061" s="107"/>
      <c r="L1061" s="107"/>
      <c r="N1061" s="289"/>
      <c r="P1061" s="107"/>
      <c r="Q1061" s="107"/>
    </row>
    <row r="1062" spans="2:17" s="105" customFormat="1">
      <c r="B1062" s="106"/>
      <c r="F1062" s="107"/>
      <c r="G1062" s="107"/>
      <c r="H1062" s="107"/>
      <c r="L1062" s="107"/>
      <c r="N1062" s="289"/>
      <c r="P1062" s="107"/>
      <c r="Q1062" s="107"/>
    </row>
    <row r="1063" spans="2:17" s="105" customFormat="1">
      <c r="B1063" s="106"/>
      <c r="F1063" s="107"/>
      <c r="G1063" s="107"/>
      <c r="H1063" s="107"/>
      <c r="L1063" s="107"/>
      <c r="N1063" s="289"/>
      <c r="P1063" s="107"/>
      <c r="Q1063" s="107"/>
    </row>
    <row r="1064" spans="2:17" s="105" customFormat="1">
      <c r="B1064" s="106"/>
      <c r="F1064" s="107"/>
      <c r="G1064" s="107"/>
      <c r="H1064" s="107"/>
      <c r="L1064" s="107"/>
      <c r="N1064" s="289"/>
      <c r="P1064" s="107"/>
      <c r="Q1064" s="107"/>
    </row>
    <row r="1065" spans="2:17" s="105" customFormat="1">
      <c r="B1065" s="106"/>
      <c r="F1065" s="107"/>
      <c r="G1065" s="107"/>
      <c r="H1065" s="107"/>
      <c r="L1065" s="107"/>
      <c r="N1065" s="289"/>
      <c r="P1065" s="107"/>
      <c r="Q1065" s="107"/>
    </row>
    <row r="1066" spans="2:17" s="105" customFormat="1">
      <c r="B1066" s="106"/>
      <c r="F1066" s="107"/>
      <c r="G1066" s="107"/>
      <c r="H1066" s="107"/>
      <c r="L1066" s="107"/>
      <c r="N1066" s="289"/>
      <c r="P1066" s="107"/>
      <c r="Q1066" s="107"/>
    </row>
    <row r="1067" spans="2:17" s="105" customFormat="1">
      <c r="B1067" s="106"/>
      <c r="F1067" s="107"/>
      <c r="G1067" s="107"/>
      <c r="H1067" s="107"/>
      <c r="L1067" s="107"/>
      <c r="N1067" s="289"/>
      <c r="P1067" s="107"/>
      <c r="Q1067" s="107"/>
    </row>
    <row r="1068" spans="2:17" s="105" customFormat="1">
      <c r="B1068" s="106"/>
      <c r="F1068" s="107"/>
      <c r="G1068" s="107"/>
      <c r="H1068" s="107"/>
      <c r="L1068" s="107"/>
      <c r="N1068" s="289"/>
      <c r="P1068" s="107"/>
      <c r="Q1068" s="107"/>
    </row>
    <row r="1069" spans="2:17" s="105" customFormat="1">
      <c r="B1069" s="106"/>
      <c r="F1069" s="107"/>
      <c r="G1069" s="107"/>
      <c r="H1069" s="107"/>
      <c r="L1069" s="107"/>
      <c r="N1069" s="289"/>
      <c r="P1069" s="107"/>
      <c r="Q1069" s="107"/>
    </row>
    <row r="1070" spans="2:17" s="105" customFormat="1">
      <c r="B1070" s="106"/>
      <c r="F1070" s="107"/>
      <c r="G1070" s="107"/>
      <c r="H1070" s="107"/>
      <c r="L1070" s="107"/>
      <c r="N1070" s="289"/>
      <c r="P1070" s="107"/>
      <c r="Q1070" s="107"/>
    </row>
    <row r="1071" spans="2:17" s="105" customFormat="1">
      <c r="B1071" s="106"/>
      <c r="F1071" s="107"/>
      <c r="G1071" s="107"/>
      <c r="H1071" s="107"/>
      <c r="L1071" s="107"/>
      <c r="N1071" s="289"/>
      <c r="P1071" s="107"/>
      <c r="Q1071" s="107"/>
    </row>
    <row r="1072" spans="2:17" s="105" customFormat="1">
      <c r="B1072" s="106"/>
      <c r="F1072" s="107"/>
      <c r="G1072" s="107"/>
      <c r="H1072" s="107"/>
      <c r="L1072" s="107"/>
      <c r="N1072" s="289"/>
      <c r="P1072" s="107"/>
      <c r="Q1072" s="107"/>
    </row>
    <row r="1073" spans="2:17" s="105" customFormat="1">
      <c r="B1073" s="106"/>
      <c r="F1073" s="107"/>
      <c r="G1073" s="107"/>
      <c r="H1073" s="107"/>
      <c r="L1073" s="107"/>
      <c r="N1073" s="289"/>
      <c r="P1073" s="107"/>
      <c r="Q1073" s="107"/>
    </row>
    <row r="1074" spans="2:17" s="105" customFormat="1">
      <c r="B1074" s="106"/>
      <c r="F1074" s="107"/>
      <c r="G1074" s="107"/>
      <c r="H1074" s="107"/>
      <c r="L1074" s="107"/>
      <c r="N1074" s="289"/>
      <c r="P1074" s="107"/>
      <c r="Q1074" s="107"/>
    </row>
    <row r="1075" spans="2:17" s="105" customFormat="1">
      <c r="B1075" s="106"/>
      <c r="F1075" s="107"/>
      <c r="G1075" s="107"/>
      <c r="H1075" s="107"/>
      <c r="L1075" s="107"/>
      <c r="N1075" s="289"/>
      <c r="P1075" s="107"/>
      <c r="Q1075" s="107"/>
    </row>
    <row r="1076" spans="2:17" s="105" customFormat="1">
      <c r="B1076" s="106"/>
      <c r="F1076" s="107"/>
      <c r="G1076" s="107"/>
      <c r="H1076" s="107"/>
      <c r="L1076" s="107"/>
      <c r="N1076" s="289"/>
      <c r="P1076" s="107"/>
      <c r="Q1076" s="107"/>
    </row>
    <row r="1077" spans="2:17" s="105" customFormat="1">
      <c r="B1077" s="106"/>
      <c r="F1077" s="107"/>
      <c r="G1077" s="107"/>
      <c r="H1077" s="107"/>
      <c r="L1077" s="107"/>
      <c r="N1077" s="289"/>
      <c r="P1077" s="107"/>
      <c r="Q1077" s="107"/>
    </row>
    <row r="1078" spans="2:17" s="105" customFormat="1">
      <c r="B1078" s="106"/>
      <c r="F1078" s="107"/>
      <c r="G1078" s="107"/>
      <c r="H1078" s="107"/>
      <c r="L1078" s="107"/>
      <c r="N1078" s="289"/>
      <c r="P1078" s="107"/>
      <c r="Q1078" s="107"/>
    </row>
    <row r="1079" spans="2:17" s="105" customFormat="1">
      <c r="B1079" s="106"/>
      <c r="F1079" s="107"/>
      <c r="G1079" s="107"/>
      <c r="H1079" s="107"/>
      <c r="L1079" s="107"/>
      <c r="N1079" s="289"/>
      <c r="P1079" s="107"/>
      <c r="Q1079" s="107"/>
    </row>
    <row r="1080" spans="2:17" s="105" customFormat="1">
      <c r="B1080" s="106"/>
      <c r="F1080" s="107"/>
      <c r="G1080" s="107"/>
      <c r="H1080" s="107"/>
      <c r="L1080" s="107"/>
      <c r="N1080" s="289"/>
      <c r="P1080" s="107"/>
      <c r="Q1080" s="107"/>
    </row>
    <row r="1081" spans="2:17" s="105" customFormat="1">
      <c r="B1081" s="106"/>
      <c r="F1081" s="107"/>
      <c r="G1081" s="107"/>
      <c r="H1081" s="107"/>
      <c r="L1081" s="107"/>
      <c r="N1081" s="289"/>
      <c r="P1081" s="107"/>
      <c r="Q1081" s="107"/>
    </row>
    <row r="1082" spans="2:17" s="105" customFormat="1">
      <c r="B1082" s="106"/>
      <c r="F1082" s="107"/>
      <c r="G1082" s="107"/>
      <c r="H1082" s="107"/>
      <c r="L1082" s="107"/>
      <c r="N1082" s="289"/>
      <c r="P1082" s="107"/>
      <c r="Q1082" s="107"/>
    </row>
    <row r="1083" spans="2:17" s="105" customFormat="1">
      <c r="B1083" s="106"/>
      <c r="F1083" s="107"/>
      <c r="G1083" s="107"/>
      <c r="H1083" s="107"/>
      <c r="L1083" s="107"/>
      <c r="N1083" s="289"/>
      <c r="P1083" s="107"/>
      <c r="Q1083" s="107"/>
    </row>
    <row r="1084" spans="2:17" s="105" customFormat="1">
      <c r="B1084" s="106"/>
      <c r="F1084" s="107"/>
      <c r="G1084" s="107"/>
      <c r="H1084" s="107"/>
      <c r="L1084" s="107"/>
      <c r="N1084" s="289"/>
      <c r="P1084" s="107"/>
      <c r="Q1084" s="107"/>
    </row>
    <row r="1085" spans="2:17" s="105" customFormat="1">
      <c r="B1085" s="106"/>
      <c r="F1085" s="107"/>
      <c r="G1085" s="107"/>
      <c r="H1085" s="107"/>
      <c r="L1085" s="107"/>
      <c r="N1085" s="289"/>
      <c r="P1085" s="107"/>
      <c r="Q1085" s="107"/>
    </row>
    <row r="1086" spans="2:17" s="105" customFormat="1">
      <c r="B1086" s="106"/>
      <c r="F1086" s="107"/>
      <c r="G1086" s="107"/>
      <c r="H1086" s="107"/>
      <c r="L1086" s="107"/>
      <c r="N1086" s="289"/>
      <c r="P1086" s="107"/>
      <c r="Q1086" s="107"/>
    </row>
    <row r="1087" spans="2:17" s="105" customFormat="1">
      <c r="B1087" s="106"/>
      <c r="F1087" s="107"/>
      <c r="G1087" s="107"/>
      <c r="H1087" s="107"/>
      <c r="L1087" s="107"/>
      <c r="N1087" s="289"/>
      <c r="P1087" s="107"/>
      <c r="Q1087" s="107"/>
    </row>
    <row r="1088" spans="2:17" s="105" customFormat="1">
      <c r="B1088" s="106"/>
      <c r="F1088" s="107"/>
      <c r="G1088" s="107"/>
      <c r="H1088" s="107"/>
      <c r="L1088" s="107"/>
      <c r="N1088" s="289"/>
      <c r="P1088" s="107"/>
      <c r="Q1088" s="107"/>
    </row>
    <row r="1089" spans="2:17" s="105" customFormat="1">
      <c r="B1089" s="106"/>
      <c r="F1089" s="107"/>
      <c r="G1089" s="107"/>
      <c r="H1089" s="107"/>
      <c r="L1089" s="107"/>
      <c r="N1089" s="289"/>
      <c r="P1089" s="107"/>
      <c r="Q1089" s="107"/>
    </row>
    <row r="1090" spans="2:17" s="105" customFormat="1">
      <c r="B1090" s="106"/>
      <c r="F1090" s="107"/>
      <c r="G1090" s="107"/>
      <c r="H1090" s="107"/>
      <c r="L1090" s="107"/>
      <c r="N1090" s="289"/>
      <c r="P1090" s="107"/>
      <c r="Q1090" s="107"/>
    </row>
    <row r="1091" spans="2:17" s="105" customFormat="1">
      <c r="B1091" s="106"/>
      <c r="F1091" s="107"/>
      <c r="G1091" s="107"/>
      <c r="H1091" s="107"/>
      <c r="L1091" s="107"/>
      <c r="N1091" s="289"/>
      <c r="P1091" s="107"/>
      <c r="Q1091" s="107"/>
    </row>
    <row r="1092" spans="2:17" s="105" customFormat="1">
      <c r="B1092" s="106"/>
      <c r="F1092" s="107"/>
      <c r="G1092" s="107"/>
      <c r="H1092" s="107"/>
      <c r="L1092" s="107"/>
      <c r="N1092" s="289"/>
      <c r="P1092" s="107"/>
      <c r="Q1092" s="107"/>
    </row>
    <row r="1093" spans="2:17" s="105" customFormat="1">
      <c r="B1093" s="106"/>
      <c r="F1093" s="107"/>
      <c r="G1093" s="107"/>
      <c r="H1093" s="107"/>
      <c r="L1093" s="107"/>
      <c r="N1093" s="289"/>
      <c r="P1093" s="107"/>
      <c r="Q1093" s="107"/>
    </row>
    <row r="1094" spans="2:17" s="105" customFormat="1">
      <c r="B1094" s="106"/>
      <c r="F1094" s="107"/>
      <c r="G1094" s="107"/>
      <c r="H1094" s="107"/>
      <c r="L1094" s="107"/>
      <c r="N1094" s="289"/>
      <c r="P1094" s="107"/>
      <c r="Q1094" s="107"/>
    </row>
    <row r="1095" spans="2:17" s="105" customFormat="1">
      <c r="B1095" s="106"/>
      <c r="F1095" s="107"/>
      <c r="G1095" s="107"/>
      <c r="H1095" s="107"/>
      <c r="L1095" s="107"/>
      <c r="N1095" s="289"/>
      <c r="P1095" s="107"/>
      <c r="Q1095" s="107"/>
    </row>
    <row r="1096" spans="2:17" s="105" customFormat="1">
      <c r="B1096" s="106"/>
      <c r="F1096" s="107"/>
      <c r="G1096" s="107"/>
      <c r="H1096" s="107"/>
      <c r="L1096" s="107"/>
      <c r="N1096" s="289"/>
      <c r="P1096" s="107"/>
      <c r="Q1096" s="107"/>
    </row>
    <row r="1097" spans="2:17" s="105" customFormat="1">
      <c r="B1097" s="106"/>
      <c r="F1097" s="107"/>
      <c r="G1097" s="107"/>
      <c r="H1097" s="107"/>
      <c r="L1097" s="107"/>
      <c r="N1097" s="289"/>
      <c r="P1097" s="107"/>
      <c r="Q1097" s="107"/>
    </row>
    <row r="1098" spans="2:17" s="105" customFormat="1">
      <c r="B1098" s="106"/>
      <c r="F1098" s="107"/>
      <c r="G1098" s="107"/>
      <c r="H1098" s="107"/>
      <c r="L1098" s="107"/>
      <c r="N1098" s="289"/>
      <c r="P1098" s="107"/>
      <c r="Q1098" s="107"/>
    </row>
    <row r="1099" spans="2:17" s="105" customFormat="1">
      <c r="B1099" s="106"/>
      <c r="F1099" s="107"/>
      <c r="G1099" s="107"/>
      <c r="H1099" s="107"/>
      <c r="L1099" s="107"/>
      <c r="N1099" s="289"/>
      <c r="P1099" s="107"/>
      <c r="Q1099" s="107"/>
    </row>
    <row r="1100" spans="2:17" s="105" customFormat="1">
      <c r="B1100" s="106"/>
      <c r="F1100" s="107"/>
      <c r="G1100" s="107"/>
      <c r="H1100" s="107"/>
      <c r="L1100" s="107"/>
      <c r="N1100" s="289"/>
      <c r="P1100" s="107"/>
      <c r="Q1100" s="107"/>
    </row>
    <row r="1101" spans="2:17" s="105" customFormat="1">
      <c r="B1101" s="106"/>
      <c r="F1101" s="107"/>
      <c r="G1101" s="107"/>
      <c r="H1101" s="107"/>
      <c r="L1101" s="107"/>
      <c r="N1101" s="289"/>
      <c r="P1101" s="107"/>
      <c r="Q1101" s="107"/>
    </row>
    <row r="1102" spans="2:17" s="105" customFormat="1">
      <c r="B1102" s="106"/>
      <c r="F1102" s="107"/>
      <c r="G1102" s="107"/>
      <c r="H1102" s="107"/>
      <c r="L1102" s="107"/>
      <c r="N1102" s="289"/>
      <c r="P1102" s="107"/>
      <c r="Q1102" s="107"/>
    </row>
    <row r="1103" spans="2:17" s="105" customFormat="1">
      <c r="B1103" s="106"/>
      <c r="F1103" s="107"/>
      <c r="G1103" s="107"/>
      <c r="H1103" s="107"/>
      <c r="L1103" s="107"/>
      <c r="N1103" s="289"/>
      <c r="P1103" s="107"/>
      <c r="Q1103" s="107"/>
    </row>
    <row r="1104" spans="2:17" s="105" customFormat="1">
      <c r="B1104" s="106"/>
      <c r="F1104" s="107"/>
      <c r="G1104" s="107"/>
      <c r="H1104" s="107"/>
      <c r="L1104" s="107"/>
      <c r="N1104" s="289"/>
      <c r="P1104" s="107"/>
      <c r="Q1104" s="107"/>
    </row>
    <row r="1105" spans="2:17" s="105" customFormat="1">
      <c r="B1105" s="106"/>
      <c r="F1105" s="107"/>
      <c r="G1105" s="107"/>
      <c r="H1105" s="107"/>
      <c r="L1105" s="107"/>
      <c r="N1105" s="289"/>
      <c r="P1105" s="107"/>
      <c r="Q1105" s="107"/>
    </row>
    <row r="1106" spans="2:17" s="105" customFormat="1">
      <c r="B1106" s="106"/>
      <c r="F1106" s="107"/>
      <c r="G1106" s="107"/>
      <c r="H1106" s="107"/>
      <c r="L1106" s="107"/>
      <c r="N1106" s="289"/>
      <c r="P1106" s="107"/>
      <c r="Q1106" s="107"/>
    </row>
    <row r="1107" spans="2:17" s="105" customFormat="1">
      <c r="B1107" s="106"/>
      <c r="F1107" s="107"/>
      <c r="G1107" s="107"/>
      <c r="H1107" s="107"/>
      <c r="L1107" s="107"/>
      <c r="N1107" s="289"/>
      <c r="P1107" s="107"/>
      <c r="Q1107" s="107"/>
    </row>
    <row r="1108" spans="2:17" s="105" customFormat="1">
      <c r="B1108" s="106"/>
      <c r="F1108" s="107"/>
      <c r="G1108" s="107"/>
      <c r="H1108" s="107"/>
      <c r="L1108" s="107"/>
      <c r="N1108" s="289"/>
      <c r="P1108" s="107"/>
      <c r="Q1108" s="107"/>
    </row>
    <row r="1109" spans="2:17" s="105" customFormat="1">
      <c r="B1109" s="106"/>
      <c r="F1109" s="107"/>
      <c r="G1109" s="107"/>
      <c r="H1109" s="107"/>
      <c r="L1109" s="107"/>
      <c r="N1109" s="289"/>
      <c r="P1109" s="107"/>
      <c r="Q1109" s="107"/>
    </row>
    <row r="1110" spans="2:17" s="105" customFormat="1">
      <c r="B1110" s="106"/>
      <c r="F1110" s="107"/>
      <c r="G1110" s="107"/>
      <c r="H1110" s="107"/>
      <c r="L1110" s="107"/>
      <c r="N1110" s="289"/>
      <c r="P1110" s="107"/>
      <c r="Q1110" s="107"/>
    </row>
    <row r="1111" spans="2:17" s="105" customFormat="1">
      <c r="B1111" s="106"/>
      <c r="F1111" s="107"/>
      <c r="G1111" s="107"/>
      <c r="H1111" s="107"/>
      <c r="L1111" s="107"/>
      <c r="N1111" s="289"/>
      <c r="P1111" s="107"/>
      <c r="Q1111" s="107"/>
    </row>
    <row r="1112" spans="2:17" s="105" customFormat="1">
      <c r="B1112" s="106"/>
      <c r="F1112" s="107"/>
      <c r="G1112" s="107"/>
      <c r="H1112" s="107"/>
      <c r="L1112" s="107"/>
      <c r="N1112" s="289"/>
      <c r="P1112" s="107"/>
      <c r="Q1112" s="107"/>
    </row>
    <row r="1113" spans="2:17" s="105" customFormat="1">
      <c r="B1113" s="106"/>
      <c r="F1113" s="107"/>
      <c r="G1113" s="107"/>
      <c r="H1113" s="107"/>
      <c r="L1113" s="107"/>
      <c r="N1113" s="289"/>
      <c r="P1113" s="107"/>
      <c r="Q1113" s="107"/>
    </row>
    <row r="1114" spans="2:17" s="105" customFormat="1">
      <c r="B1114" s="106"/>
      <c r="F1114" s="107"/>
      <c r="G1114" s="107"/>
      <c r="H1114" s="107"/>
      <c r="L1114" s="107"/>
      <c r="N1114" s="289"/>
      <c r="P1114" s="107"/>
      <c r="Q1114" s="107"/>
    </row>
    <row r="1115" spans="2:17" s="105" customFormat="1">
      <c r="B1115" s="106"/>
      <c r="F1115" s="107"/>
      <c r="G1115" s="107"/>
      <c r="H1115" s="107"/>
      <c r="L1115" s="107"/>
      <c r="N1115" s="289"/>
      <c r="P1115" s="107"/>
      <c r="Q1115" s="107"/>
    </row>
    <row r="1116" spans="2:17" s="105" customFormat="1">
      <c r="B1116" s="106"/>
      <c r="F1116" s="107"/>
      <c r="G1116" s="107"/>
      <c r="H1116" s="107"/>
      <c r="L1116" s="107"/>
      <c r="N1116" s="289"/>
      <c r="P1116" s="107"/>
      <c r="Q1116" s="107"/>
    </row>
    <row r="1117" spans="2:17" s="105" customFormat="1">
      <c r="B1117" s="106"/>
      <c r="F1117" s="107"/>
      <c r="G1117" s="107"/>
      <c r="H1117" s="107"/>
      <c r="L1117" s="107"/>
      <c r="N1117" s="289"/>
      <c r="P1117" s="107"/>
      <c r="Q1117" s="107"/>
    </row>
    <row r="1118" spans="2:17" s="105" customFormat="1">
      <c r="B1118" s="106"/>
      <c r="F1118" s="107"/>
      <c r="G1118" s="107"/>
      <c r="H1118" s="107"/>
      <c r="L1118" s="107"/>
      <c r="N1118" s="289"/>
      <c r="P1118" s="107"/>
      <c r="Q1118" s="107"/>
    </row>
    <row r="1119" spans="2:17" s="105" customFormat="1">
      <c r="B1119" s="106"/>
      <c r="F1119" s="107"/>
      <c r="G1119" s="107"/>
      <c r="H1119" s="107"/>
      <c r="L1119" s="107"/>
      <c r="N1119" s="289"/>
      <c r="P1119" s="107"/>
      <c r="Q1119" s="107"/>
    </row>
    <row r="1120" spans="2:17" s="105" customFormat="1">
      <c r="B1120" s="106"/>
      <c r="F1120" s="107"/>
      <c r="G1120" s="107"/>
      <c r="H1120" s="107"/>
      <c r="L1120" s="107"/>
      <c r="N1120" s="289"/>
      <c r="P1120" s="107"/>
      <c r="Q1120" s="107"/>
    </row>
    <row r="1121" spans="2:17" s="105" customFormat="1">
      <c r="B1121" s="106"/>
      <c r="F1121" s="107"/>
      <c r="G1121" s="107"/>
      <c r="H1121" s="107"/>
      <c r="L1121" s="107"/>
      <c r="N1121" s="289"/>
      <c r="P1121" s="107"/>
      <c r="Q1121" s="107"/>
    </row>
    <row r="1122" spans="2:17" s="105" customFormat="1">
      <c r="B1122" s="106"/>
      <c r="F1122" s="107"/>
      <c r="G1122" s="107"/>
      <c r="H1122" s="107"/>
      <c r="L1122" s="107"/>
      <c r="N1122" s="289"/>
      <c r="P1122" s="107"/>
      <c r="Q1122" s="107"/>
    </row>
    <row r="1123" spans="2:17" s="105" customFormat="1">
      <c r="B1123" s="106"/>
      <c r="F1123" s="107"/>
      <c r="G1123" s="107"/>
      <c r="H1123" s="107"/>
      <c r="L1123" s="107"/>
      <c r="N1123" s="289"/>
      <c r="P1123" s="107"/>
      <c r="Q1123" s="107"/>
    </row>
    <row r="1124" spans="2:17" s="105" customFormat="1">
      <c r="B1124" s="106"/>
      <c r="F1124" s="107"/>
      <c r="G1124" s="107"/>
      <c r="H1124" s="107"/>
      <c r="L1124" s="107"/>
      <c r="N1124" s="289"/>
      <c r="P1124" s="107"/>
      <c r="Q1124" s="107"/>
    </row>
    <row r="1125" spans="2:17" s="105" customFormat="1">
      <c r="B1125" s="106"/>
      <c r="F1125" s="107"/>
      <c r="G1125" s="107"/>
      <c r="H1125" s="107"/>
      <c r="L1125" s="107"/>
      <c r="N1125" s="289"/>
      <c r="P1125" s="107"/>
      <c r="Q1125" s="107"/>
    </row>
    <row r="1126" spans="2:17" s="105" customFormat="1">
      <c r="B1126" s="106"/>
      <c r="F1126" s="107"/>
      <c r="G1126" s="107"/>
      <c r="H1126" s="107"/>
      <c r="L1126" s="107"/>
      <c r="N1126" s="289"/>
      <c r="P1126" s="107"/>
      <c r="Q1126" s="107"/>
    </row>
    <row r="1127" spans="2:17" s="105" customFormat="1">
      <c r="B1127" s="106"/>
      <c r="F1127" s="107"/>
      <c r="G1127" s="107"/>
      <c r="H1127" s="107"/>
      <c r="L1127" s="107"/>
      <c r="N1127" s="289"/>
      <c r="P1127" s="107"/>
      <c r="Q1127" s="107"/>
    </row>
    <row r="1128" spans="2:17" s="105" customFormat="1">
      <c r="B1128" s="106"/>
      <c r="F1128" s="107"/>
      <c r="G1128" s="107"/>
      <c r="H1128" s="107"/>
      <c r="L1128" s="107"/>
      <c r="N1128" s="289"/>
      <c r="P1128" s="107"/>
      <c r="Q1128" s="107"/>
    </row>
    <row r="1129" spans="2:17" s="105" customFormat="1">
      <c r="B1129" s="106"/>
      <c r="F1129" s="107"/>
      <c r="G1129" s="107"/>
      <c r="H1129" s="107"/>
      <c r="L1129" s="107"/>
      <c r="N1129" s="289"/>
      <c r="P1129" s="107"/>
      <c r="Q1129" s="107"/>
    </row>
    <row r="1130" spans="2:17" s="105" customFormat="1">
      <c r="B1130" s="106"/>
      <c r="F1130" s="107"/>
      <c r="G1130" s="107"/>
      <c r="H1130" s="107"/>
      <c r="L1130" s="107"/>
      <c r="N1130" s="289"/>
      <c r="P1130" s="107"/>
      <c r="Q1130" s="107"/>
    </row>
    <row r="1131" spans="2:17" s="105" customFormat="1">
      <c r="B1131" s="106"/>
      <c r="F1131" s="107"/>
      <c r="G1131" s="107"/>
      <c r="H1131" s="107"/>
      <c r="L1131" s="107"/>
      <c r="N1131" s="289"/>
      <c r="P1131" s="107"/>
      <c r="Q1131" s="107"/>
    </row>
    <row r="1132" spans="2:17" s="105" customFormat="1">
      <c r="B1132" s="106"/>
      <c r="F1132" s="107"/>
      <c r="G1132" s="107"/>
      <c r="H1132" s="107"/>
      <c r="L1132" s="107"/>
      <c r="N1132" s="289"/>
      <c r="P1132" s="107"/>
      <c r="Q1132" s="107"/>
    </row>
    <row r="1133" spans="2:17" s="105" customFormat="1">
      <c r="B1133" s="106"/>
      <c r="F1133" s="107"/>
      <c r="G1133" s="107"/>
      <c r="H1133" s="107"/>
      <c r="L1133" s="107"/>
      <c r="N1133" s="289"/>
      <c r="P1133" s="107"/>
      <c r="Q1133" s="107"/>
    </row>
    <row r="1134" spans="2:17" s="105" customFormat="1">
      <c r="B1134" s="106"/>
      <c r="F1134" s="107"/>
      <c r="G1134" s="107"/>
      <c r="H1134" s="107"/>
      <c r="L1134" s="107"/>
      <c r="N1134" s="289"/>
      <c r="P1134" s="107"/>
      <c r="Q1134" s="107"/>
    </row>
    <row r="1135" spans="2:17" s="105" customFormat="1">
      <c r="B1135" s="106"/>
      <c r="F1135" s="107"/>
      <c r="G1135" s="107"/>
      <c r="H1135" s="107"/>
      <c r="L1135" s="107"/>
      <c r="N1135" s="289"/>
      <c r="P1135" s="107"/>
      <c r="Q1135" s="107"/>
    </row>
    <row r="1136" spans="2:17" s="105" customFormat="1">
      <c r="B1136" s="106"/>
      <c r="F1136" s="107"/>
      <c r="G1136" s="107"/>
      <c r="H1136" s="107"/>
      <c r="L1136" s="107"/>
      <c r="N1136" s="289"/>
      <c r="P1136" s="107"/>
      <c r="Q1136" s="107"/>
    </row>
    <row r="1137" spans="2:17" s="105" customFormat="1">
      <c r="B1137" s="106"/>
      <c r="F1137" s="107"/>
      <c r="G1137" s="107"/>
      <c r="H1137" s="107"/>
      <c r="L1137" s="107"/>
      <c r="N1137" s="289"/>
      <c r="P1137" s="107"/>
      <c r="Q1137" s="107"/>
    </row>
    <row r="1138" spans="2:17" s="105" customFormat="1">
      <c r="B1138" s="106"/>
      <c r="F1138" s="107"/>
      <c r="G1138" s="107"/>
      <c r="H1138" s="107"/>
      <c r="L1138" s="107"/>
      <c r="N1138" s="289"/>
      <c r="P1138" s="107"/>
      <c r="Q1138" s="107"/>
    </row>
    <row r="1139" spans="2:17" s="105" customFormat="1">
      <c r="B1139" s="106"/>
      <c r="F1139" s="107"/>
      <c r="G1139" s="107"/>
      <c r="H1139" s="107"/>
      <c r="L1139" s="107"/>
      <c r="N1139" s="289"/>
      <c r="P1139" s="107"/>
      <c r="Q1139" s="107"/>
    </row>
    <row r="1140" spans="2:17" s="105" customFormat="1">
      <c r="B1140" s="106"/>
      <c r="F1140" s="107"/>
      <c r="G1140" s="107"/>
      <c r="H1140" s="107"/>
      <c r="L1140" s="107"/>
      <c r="N1140" s="289"/>
      <c r="P1140" s="107"/>
      <c r="Q1140" s="107"/>
    </row>
    <row r="1141" spans="2:17" s="105" customFormat="1">
      <c r="B1141" s="106"/>
      <c r="F1141" s="107"/>
      <c r="G1141" s="107"/>
      <c r="H1141" s="107"/>
      <c r="L1141" s="107"/>
      <c r="N1141" s="289"/>
      <c r="P1141" s="107"/>
      <c r="Q1141" s="107"/>
    </row>
    <row r="1142" spans="2:17" s="105" customFormat="1">
      <c r="B1142" s="106"/>
      <c r="F1142" s="107"/>
      <c r="G1142" s="107"/>
      <c r="H1142" s="107"/>
      <c r="L1142" s="107"/>
      <c r="N1142" s="289"/>
      <c r="P1142" s="107"/>
      <c r="Q1142" s="107"/>
    </row>
    <row r="1143" spans="2:17" s="105" customFormat="1">
      <c r="B1143" s="106"/>
      <c r="F1143" s="107"/>
      <c r="G1143" s="107"/>
      <c r="H1143" s="107"/>
      <c r="L1143" s="107"/>
      <c r="N1143" s="289"/>
      <c r="P1143" s="107"/>
      <c r="Q1143" s="107"/>
    </row>
    <row r="1144" spans="2:17" s="105" customFormat="1">
      <c r="B1144" s="106"/>
      <c r="F1144" s="107"/>
      <c r="G1144" s="107"/>
      <c r="H1144" s="107"/>
      <c r="L1144" s="107"/>
      <c r="N1144" s="289"/>
      <c r="P1144" s="107"/>
      <c r="Q1144" s="107"/>
    </row>
    <row r="1145" spans="2:17" s="105" customFormat="1">
      <c r="B1145" s="106"/>
      <c r="F1145" s="107"/>
      <c r="G1145" s="107"/>
      <c r="H1145" s="107"/>
      <c r="L1145" s="107"/>
      <c r="N1145" s="289"/>
      <c r="P1145" s="107"/>
      <c r="Q1145" s="107"/>
    </row>
    <row r="1146" spans="2:17" s="105" customFormat="1">
      <c r="B1146" s="106"/>
      <c r="F1146" s="107"/>
      <c r="G1146" s="107"/>
      <c r="H1146" s="107"/>
      <c r="L1146" s="107"/>
      <c r="N1146" s="289"/>
      <c r="P1146" s="107"/>
      <c r="Q1146" s="107"/>
    </row>
    <row r="1147" spans="2:17" s="105" customFormat="1">
      <c r="B1147" s="106"/>
      <c r="F1147" s="107"/>
      <c r="G1147" s="107"/>
      <c r="H1147" s="107"/>
      <c r="L1147" s="107"/>
      <c r="N1147" s="289"/>
      <c r="P1147" s="107"/>
      <c r="Q1147" s="107"/>
    </row>
    <row r="1148" spans="2:17" s="105" customFormat="1">
      <c r="B1148" s="106"/>
      <c r="F1148" s="107"/>
      <c r="G1148" s="107"/>
      <c r="H1148" s="107"/>
      <c r="L1148" s="107"/>
      <c r="N1148" s="289"/>
      <c r="P1148" s="107"/>
      <c r="Q1148" s="107"/>
    </row>
    <row r="1149" spans="2:17" s="105" customFormat="1">
      <c r="B1149" s="106"/>
      <c r="F1149" s="107"/>
      <c r="G1149" s="107"/>
      <c r="H1149" s="107"/>
      <c r="L1149" s="107"/>
      <c r="N1149" s="289"/>
      <c r="P1149" s="107"/>
      <c r="Q1149" s="107"/>
    </row>
    <row r="1150" spans="2:17" s="105" customFormat="1">
      <c r="B1150" s="106"/>
      <c r="F1150" s="107"/>
      <c r="G1150" s="107"/>
      <c r="H1150" s="107"/>
      <c r="L1150" s="107"/>
      <c r="N1150" s="289"/>
      <c r="P1150" s="107"/>
      <c r="Q1150" s="107"/>
    </row>
    <row r="1151" spans="2:17" s="105" customFormat="1">
      <c r="B1151" s="106"/>
      <c r="F1151" s="107"/>
      <c r="G1151" s="107"/>
      <c r="H1151" s="107"/>
      <c r="L1151" s="107"/>
      <c r="N1151" s="289"/>
      <c r="P1151" s="107"/>
      <c r="Q1151" s="107"/>
    </row>
    <row r="1152" spans="2:17" s="105" customFormat="1">
      <c r="B1152" s="106"/>
      <c r="F1152" s="107"/>
      <c r="G1152" s="107"/>
      <c r="H1152" s="107"/>
      <c r="L1152" s="107"/>
      <c r="N1152" s="289"/>
      <c r="P1152" s="107"/>
      <c r="Q1152" s="107"/>
    </row>
    <row r="1153" spans="2:17" s="105" customFormat="1">
      <c r="B1153" s="106"/>
      <c r="F1153" s="107"/>
      <c r="G1153" s="107"/>
      <c r="H1153" s="107"/>
      <c r="L1153" s="107"/>
      <c r="N1153" s="289"/>
      <c r="P1153" s="107"/>
      <c r="Q1153" s="107"/>
    </row>
    <row r="1154" spans="2:17" s="105" customFormat="1">
      <c r="B1154" s="106"/>
      <c r="F1154" s="107"/>
      <c r="G1154" s="107"/>
      <c r="H1154" s="107"/>
      <c r="L1154" s="107"/>
      <c r="N1154" s="289"/>
      <c r="P1154" s="107"/>
      <c r="Q1154" s="107"/>
    </row>
    <row r="1155" spans="2:17" s="105" customFormat="1">
      <c r="B1155" s="106"/>
      <c r="F1155" s="107"/>
      <c r="G1155" s="107"/>
      <c r="H1155" s="107"/>
      <c r="L1155" s="107"/>
      <c r="N1155" s="289"/>
      <c r="P1155" s="107"/>
      <c r="Q1155" s="107"/>
    </row>
    <row r="1156" spans="2:17" s="105" customFormat="1">
      <c r="B1156" s="106"/>
      <c r="F1156" s="107"/>
      <c r="G1156" s="107"/>
      <c r="H1156" s="107"/>
      <c r="L1156" s="107"/>
      <c r="N1156" s="289"/>
      <c r="P1156" s="107"/>
      <c r="Q1156" s="107"/>
    </row>
    <row r="1157" spans="2:17" s="105" customFormat="1">
      <c r="B1157" s="106"/>
      <c r="F1157" s="107"/>
      <c r="G1157" s="107"/>
      <c r="H1157" s="107"/>
      <c r="L1157" s="107"/>
      <c r="N1157" s="289"/>
      <c r="P1157" s="107"/>
      <c r="Q1157" s="107"/>
    </row>
    <row r="1158" spans="2:17" s="105" customFormat="1">
      <c r="B1158" s="106"/>
      <c r="F1158" s="107"/>
      <c r="G1158" s="107"/>
      <c r="H1158" s="107"/>
      <c r="L1158" s="107"/>
      <c r="N1158" s="289"/>
      <c r="P1158" s="107"/>
      <c r="Q1158" s="107"/>
    </row>
    <row r="1159" spans="2:17" s="105" customFormat="1">
      <c r="B1159" s="106"/>
      <c r="F1159" s="107"/>
      <c r="G1159" s="107"/>
      <c r="H1159" s="107"/>
      <c r="L1159" s="107"/>
      <c r="N1159" s="289"/>
      <c r="P1159" s="107"/>
      <c r="Q1159" s="107"/>
    </row>
    <row r="1160" spans="2:17" s="105" customFormat="1">
      <c r="B1160" s="106"/>
      <c r="F1160" s="107"/>
      <c r="G1160" s="107"/>
      <c r="H1160" s="107"/>
      <c r="L1160" s="107"/>
      <c r="N1160" s="289"/>
      <c r="P1160" s="107"/>
      <c r="Q1160" s="107"/>
    </row>
    <row r="1161" spans="2:17" s="105" customFormat="1">
      <c r="B1161" s="106"/>
      <c r="F1161" s="107"/>
      <c r="G1161" s="107"/>
      <c r="H1161" s="107"/>
      <c r="L1161" s="107"/>
      <c r="N1161" s="289"/>
      <c r="P1161" s="107"/>
      <c r="Q1161" s="107"/>
    </row>
    <row r="1162" spans="2:17" s="105" customFormat="1">
      <c r="B1162" s="106"/>
      <c r="F1162" s="107"/>
      <c r="G1162" s="107"/>
      <c r="H1162" s="107"/>
      <c r="L1162" s="107"/>
      <c r="N1162" s="289"/>
      <c r="P1162" s="107"/>
      <c r="Q1162" s="107"/>
    </row>
    <row r="1163" spans="2:17" s="105" customFormat="1">
      <c r="B1163" s="106"/>
      <c r="F1163" s="107"/>
      <c r="G1163" s="107"/>
      <c r="H1163" s="107"/>
      <c r="L1163" s="107"/>
      <c r="N1163" s="289"/>
      <c r="P1163" s="107"/>
      <c r="Q1163" s="107"/>
    </row>
    <row r="1164" spans="2:17" s="105" customFormat="1">
      <c r="B1164" s="106"/>
      <c r="F1164" s="107"/>
      <c r="G1164" s="107"/>
      <c r="H1164" s="107"/>
      <c r="L1164" s="107"/>
      <c r="N1164" s="289"/>
      <c r="P1164" s="107"/>
      <c r="Q1164" s="107"/>
    </row>
    <row r="1165" spans="2:17" s="105" customFormat="1">
      <c r="B1165" s="106"/>
      <c r="F1165" s="107"/>
      <c r="G1165" s="107"/>
      <c r="H1165" s="107"/>
      <c r="L1165" s="107"/>
      <c r="N1165" s="289"/>
      <c r="P1165" s="107"/>
      <c r="Q1165" s="107"/>
    </row>
    <row r="1166" spans="2:17" s="105" customFormat="1">
      <c r="B1166" s="106"/>
      <c r="F1166" s="107"/>
      <c r="G1166" s="107"/>
      <c r="H1166" s="107"/>
      <c r="L1166" s="107"/>
      <c r="N1166" s="289"/>
      <c r="P1166" s="107"/>
      <c r="Q1166" s="107"/>
    </row>
    <row r="1167" spans="2:17" s="105" customFormat="1">
      <c r="B1167" s="106"/>
      <c r="F1167" s="107"/>
      <c r="G1167" s="107"/>
      <c r="H1167" s="107"/>
      <c r="L1167" s="107"/>
      <c r="N1167" s="289"/>
      <c r="P1167" s="107"/>
      <c r="Q1167" s="107"/>
    </row>
    <row r="1168" spans="2:17" s="105" customFormat="1">
      <c r="B1168" s="106"/>
      <c r="F1168" s="107"/>
      <c r="G1168" s="107"/>
      <c r="H1168" s="107"/>
      <c r="L1168" s="107"/>
      <c r="N1168" s="289"/>
      <c r="P1168" s="107"/>
      <c r="Q1168" s="107"/>
    </row>
    <row r="1169" spans="2:17" s="105" customFormat="1">
      <c r="B1169" s="106"/>
      <c r="F1169" s="107"/>
      <c r="G1169" s="107"/>
      <c r="H1169" s="107"/>
      <c r="L1169" s="107"/>
      <c r="N1169" s="289"/>
      <c r="P1169" s="107"/>
      <c r="Q1169" s="107"/>
    </row>
    <row r="1170" spans="2:17" s="105" customFormat="1">
      <c r="B1170" s="106"/>
      <c r="F1170" s="107"/>
      <c r="G1170" s="107"/>
      <c r="H1170" s="107"/>
      <c r="L1170" s="107"/>
      <c r="N1170" s="289"/>
      <c r="P1170" s="107"/>
      <c r="Q1170" s="107"/>
    </row>
    <row r="1171" spans="2:17" s="105" customFormat="1">
      <c r="B1171" s="106"/>
      <c r="F1171" s="107"/>
      <c r="G1171" s="107"/>
      <c r="H1171" s="107"/>
      <c r="L1171" s="107"/>
      <c r="N1171" s="289"/>
      <c r="P1171" s="107"/>
      <c r="Q1171" s="107"/>
    </row>
    <row r="1172" spans="2:17" s="105" customFormat="1">
      <c r="B1172" s="106"/>
      <c r="F1172" s="107"/>
      <c r="G1172" s="107"/>
      <c r="H1172" s="107"/>
      <c r="L1172" s="107"/>
      <c r="N1172" s="289"/>
      <c r="P1172" s="107"/>
      <c r="Q1172" s="107"/>
    </row>
    <row r="1173" spans="2:17" s="105" customFormat="1">
      <c r="B1173" s="106"/>
      <c r="F1173" s="107"/>
      <c r="G1173" s="107"/>
      <c r="H1173" s="107"/>
      <c r="L1173" s="107"/>
      <c r="N1173" s="289"/>
      <c r="P1173" s="107"/>
      <c r="Q1173" s="107"/>
    </row>
    <row r="1174" spans="2:17" s="105" customFormat="1">
      <c r="B1174" s="106"/>
      <c r="F1174" s="107"/>
      <c r="G1174" s="107"/>
      <c r="H1174" s="107"/>
      <c r="L1174" s="107"/>
      <c r="N1174" s="289"/>
      <c r="P1174" s="107"/>
      <c r="Q1174" s="107"/>
    </row>
    <row r="1175" spans="2:17" s="105" customFormat="1">
      <c r="B1175" s="106"/>
      <c r="F1175" s="107"/>
      <c r="G1175" s="107"/>
      <c r="H1175" s="107"/>
      <c r="L1175" s="107"/>
      <c r="N1175" s="289"/>
      <c r="P1175" s="107"/>
      <c r="Q1175" s="107"/>
    </row>
    <row r="1176" spans="2:17" s="105" customFormat="1">
      <c r="B1176" s="106"/>
      <c r="F1176" s="107"/>
      <c r="G1176" s="107"/>
      <c r="H1176" s="107"/>
      <c r="L1176" s="107"/>
      <c r="N1176" s="289"/>
      <c r="P1176" s="107"/>
      <c r="Q1176" s="107"/>
    </row>
    <row r="1177" spans="2:17" s="105" customFormat="1">
      <c r="B1177" s="106"/>
      <c r="F1177" s="107"/>
      <c r="G1177" s="107"/>
      <c r="H1177" s="107"/>
      <c r="L1177" s="107"/>
      <c r="N1177" s="289"/>
      <c r="P1177" s="107"/>
      <c r="Q1177" s="107"/>
    </row>
    <row r="1178" spans="2:17" s="105" customFormat="1">
      <c r="B1178" s="106"/>
      <c r="F1178" s="107"/>
      <c r="G1178" s="107"/>
      <c r="H1178" s="107"/>
      <c r="L1178" s="107"/>
      <c r="N1178" s="289"/>
      <c r="P1178" s="107"/>
      <c r="Q1178" s="107"/>
    </row>
    <row r="1179" spans="2:17" s="105" customFormat="1">
      <c r="B1179" s="106"/>
      <c r="F1179" s="107"/>
      <c r="G1179" s="107"/>
      <c r="H1179" s="107"/>
      <c r="L1179" s="107"/>
      <c r="N1179" s="289"/>
      <c r="P1179" s="107"/>
      <c r="Q1179" s="107"/>
    </row>
    <row r="1180" spans="2:17" s="105" customFormat="1">
      <c r="B1180" s="106"/>
      <c r="F1180" s="107"/>
      <c r="G1180" s="107"/>
      <c r="H1180" s="107"/>
      <c r="L1180" s="107"/>
      <c r="N1180" s="289"/>
      <c r="P1180" s="107"/>
      <c r="Q1180" s="107"/>
    </row>
    <row r="1181" spans="2:17" s="105" customFormat="1">
      <c r="B1181" s="106"/>
      <c r="F1181" s="107"/>
      <c r="G1181" s="107"/>
      <c r="H1181" s="107"/>
      <c r="L1181" s="107"/>
      <c r="N1181" s="289"/>
      <c r="P1181" s="107"/>
      <c r="Q1181" s="107"/>
    </row>
    <row r="1182" spans="2:17" s="105" customFormat="1">
      <c r="B1182" s="106"/>
      <c r="F1182" s="107"/>
      <c r="G1182" s="107"/>
      <c r="H1182" s="107"/>
      <c r="L1182" s="107"/>
      <c r="N1182" s="289"/>
      <c r="P1182" s="107"/>
      <c r="Q1182" s="107"/>
    </row>
    <row r="1183" spans="2:17" s="105" customFormat="1">
      <c r="B1183" s="106"/>
      <c r="F1183" s="107"/>
      <c r="G1183" s="107"/>
      <c r="H1183" s="107"/>
      <c r="L1183" s="107"/>
      <c r="N1183" s="289"/>
      <c r="P1183" s="107"/>
      <c r="Q1183" s="107"/>
    </row>
    <row r="1184" spans="2:17" s="105" customFormat="1">
      <c r="B1184" s="106"/>
      <c r="F1184" s="107"/>
      <c r="G1184" s="107"/>
      <c r="H1184" s="107"/>
      <c r="L1184" s="107"/>
      <c r="N1184" s="289"/>
      <c r="P1184" s="107"/>
      <c r="Q1184" s="107"/>
    </row>
    <row r="1185" spans="2:17" s="105" customFormat="1">
      <c r="B1185" s="106"/>
      <c r="F1185" s="107"/>
      <c r="G1185" s="107"/>
      <c r="H1185" s="107"/>
      <c r="L1185" s="107"/>
      <c r="N1185" s="289"/>
      <c r="P1185" s="107"/>
      <c r="Q1185" s="107"/>
    </row>
    <row r="1186" spans="2:17" s="105" customFormat="1">
      <c r="B1186" s="106"/>
      <c r="F1186" s="107"/>
      <c r="G1186" s="107"/>
      <c r="H1186" s="107"/>
      <c r="L1186" s="107"/>
      <c r="N1186" s="289"/>
      <c r="P1186" s="107"/>
      <c r="Q1186" s="107"/>
    </row>
    <row r="1187" spans="2:17" s="105" customFormat="1">
      <c r="B1187" s="106"/>
      <c r="F1187" s="107"/>
      <c r="G1187" s="107"/>
      <c r="H1187" s="107"/>
      <c r="L1187" s="107"/>
      <c r="N1187" s="289"/>
      <c r="P1187" s="107"/>
      <c r="Q1187" s="107"/>
    </row>
    <row r="1188" spans="2:17" s="105" customFormat="1">
      <c r="B1188" s="106"/>
      <c r="F1188" s="107"/>
      <c r="G1188" s="107"/>
      <c r="H1188" s="107"/>
      <c r="L1188" s="107"/>
      <c r="N1188" s="289"/>
      <c r="P1188" s="107"/>
      <c r="Q1188" s="107"/>
    </row>
    <row r="1189" spans="2:17" s="105" customFormat="1">
      <c r="B1189" s="106"/>
      <c r="F1189" s="107"/>
      <c r="G1189" s="107"/>
      <c r="H1189" s="107"/>
      <c r="L1189" s="107"/>
      <c r="N1189" s="289"/>
      <c r="P1189" s="107"/>
      <c r="Q1189" s="107"/>
    </row>
    <row r="1190" spans="2:17" s="105" customFormat="1">
      <c r="B1190" s="106"/>
      <c r="F1190" s="107"/>
      <c r="G1190" s="107"/>
      <c r="H1190" s="107"/>
      <c r="L1190" s="107"/>
      <c r="N1190" s="289"/>
      <c r="P1190" s="107"/>
      <c r="Q1190" s="107"/>
    </row>
    <row r="1191" spans="2:17" s="105" customFormat="1">
      <c r="B1191" s="106"/>
      <c r="F1191" s="107"/>
      <c r="G1191" s="107"/>
      <c r="H1191" s="107"/>
      <c r="L1191" s="107"/>
      <c r="N1191" s="289"/>
      <c r="P1191" s="107"/>
      <c r="Q1191" s="107"/>
    </row>
    <row r="1192" spans="2:17" s="105" customFormat="1">
      <c r="B1192" s="106"/>
      <c r="F1192" s="107"/>
      <c r="G1192" s="107"/>
      <c r="H1192" s="107"/>
      <c r="L1192" s="107"/>
      <c r="N1192" s="289"/>
      <c r="P1192" s="107"/>
      <c r="Q1192" s="107"/>
    </row>
    <row r="1193" spans="2:17" s="105" customFormat="1">
      <c r="B1193" s="106"/>
      <c r="F1193" s="107"/>
      <c r="G1193" s="107"/>
      <c r="H1193" s="107"/>
      <c r="L1193" s="107"/>
      <c r="N1193" s="289"/>
      <c r="P1193" s="107"/>
      <c r="Q1193" s="107"/>
    </row>
    <row r="1194" spans="2:17" s="105" customFormat="1">
      <c r="B1194" s="106"/>
      <c r="F1194" s="107"/>
      <c r="G1194" s="107"/>
      <c r="H1194" s="107"/>
      <c r="L1194" s="107"/>
      <c r="N1194" s="289"/>
      <c r="P1194" s="107"/>
      <c r="Q1194" s="107"/>
    </row>
    <row r="1195" spans="2:17" s="105" customFormat="1">
      <c r="B1195" s="106"/>
      <c r="F1195" s="107"/>
      <c r="G1195" s="107"/>
      <c r="H1195" s="107"/>
      <c r="L1195" s="107"/>
      <c r="N1195" s="289"/>
      <c r="P1195" s="107"/>
      <c r="Q1195" s="107"/>
    </row>
    <row r="1196" spans="2:17" s="105" customFormat="1">
      <c r="B1196" s="106"/>
      <c r="F1196" s="107"/>
      <c r="G1196" s="107"/>
      <c r="H1196" s="107"/>
      <c r="L1196" s="107"/>
      <c r="N1196" s="289"/>
      <c r="P1196" s="107"/>
      <c r="Q1196" s="107"/>
    </row>
    <row r="1197" spans="2:17" s="105" customFormat="1">
      <c r="B1197" s="106"/>
      <c r="F1197" s="107"/>
      <c r="G1197" s="107"/>
      <c r="H1197" s="107"/>
      <c r="L1197" s="107"/>
      <c r="N1197" s="289"/>
      <c r="P1197" s="107"/>
      <c r="Q1197" s="107"/>
    </row>
    <row r="1198" spans="2:17" s="105" customFormat="1">
      <c r="B1198" s="106"/>
      <c r="F1198" s="107"/>
      <c r="G1198" s="107"/>
      <c r="H1198" s="107"/>
      <c r="L1198" s="107"/>
      <c r="N1198" s="289"/>
      <c r="P1198" s="107"/>
      <c r="Q1198" s="107"/>
    </row>
    <row r="1199" spans="2:17" s="105" customFormat="1">
      <c r="B1199" s="106"/>
      <c r="F1199" s="107"/>
      <c r="G1199" s="107"/>
      <c r="H1199" s="107"/>
      <c r="L1199" s="107"/>
      <c r="N1199" s="289"/>
      <c r="P1199" s="107"/>
      <c r="Q1199" s="107"/>
    </row>
    <row r="1200" spans="2:17" s="105" customFormat="1">
      <c r="B1200" s="106"/>
      <c r="F1200" s="107"/>
      <c r="G1200" s="107"/>
      <c r="H1200" s="107"/>
      <c r="L1200" s="107"/>
      <c r="N1200" s="289"/>
      <c r="P1200" s="107"/>
      <c r="Q1200" s="107"/>
    </row>
    <row r="1201" spans="2:17" s="105" customFormat="1">
      <c r="B1201" s="106"/>
      <c r="F1201" s="107"/>
      <c r="G1201" s="107"/>
      <c r="H1201" s="107"/>
      <c r="L1201" s="107"/>
      <c r="N1201" s="289"/>
      <c r="P1201" s="107"/>
      <c r="Q1201" s="107"/>
    </row>
    <row r="1202" spans="2:17" s="105" customFormat="1">
      <c r="B1202" s="106"/>
      <c r="F1202" s="107"/>
      <c r="G1202" s="107"/>
      <c r="H1202" s="107"/>
      <c r="L1202" s="107"/>
      <c r="N1202" s="289"/>
      <c r="P1202" s="107"/>
      <c r="Q1202" s="107"/>
    </row>
    <row r="1203" spans="2:17" s="105" customFormat="1">
      <c r="B1203" s="106"/>
      <c r="F1203" s="107"/>
      <c r="G1203" s="107"/>
      <c r="H1203" s="107"/>
      <c r="L1203" s="107"/>
      <c r="N1203" s="289"/>
      <c r="P1203" s="107"/>
      <c r="Q1203" s="107"/>
    </row>
    <row r="1204" spans="2:17" s="105" customFormat="1">
      <c r="B1204" s="106"/>
      <c r="F1204" s="107"/>
      <c r="G1204" s="107"/>
      <c r="H1204" s="107"/>
      <c r="L1204" s="107"/>
      <c r="N1204" s="289"/>
      <c r="P1204" s="107"/>
      <c r="Q1204" s="107"/>
    </row>
    <row r="1205" spans="2:17" s="105" customFormat="1">
      <c r="B1205" s="106"/>
      <c r="F1205" s="107"/>
      <c r="G1205" s="107"/>
      <c r="H1205" s="107"/>
      <c r="L1205" s="107"/>
      <c r="N1205" s="289"/>
      <c r="P1205" s="107"/>
      <c r="Q1205" s="107"/>
    </row>
    <row r="1206" spans="2:17" s="105" customFormat="1">
      <c r="B1206" s="106"/>
      <c r="F1206" s="107"/>
      <c r="G1206" s="107"/>
      <c r="H1206" s="107"/>
      <c r="L1206" s="107"/>
      <c r="N1206" s="289"/>
      <c r="P1206" s="107"/>
      <c r="Q1206" s="107"/>
    </row>
    <row r="1207" spans="2:17" s="105" customFormat="1">
      <c r="B1207" s="106"/>
      <c r="F1207" s="107"/>
      <c r="G1207" s="107"/>
      <c r="H1207" s="107"/>
      <c r="L1207" s="107"/>
      <c r="N1207" s="289"/>
      <c r="P1207" s="107"/>
      <c r="Q1207" s="107"/>
    </row>
    <row r="1208" spans="2:17" s="105" customFormat="1">
      <c r="B1208" s="106"/>
      <c r="F1208" s="107"/>
      <c r="G1208" s="107"/>
      <c r="H1208" s="107"/>
      <c r="L1208" s="107"/>
      <c r="N1208" s="289"/>
      <c r="P1208" s="107"/>
      <c r="Q1208" s="107"/>
    </row>
    <row r="1209" spans="2:17" s="105" customFormat="1">
      <c r="B1209" s="106"/>
      <c r="F1209" s="107"/>
      <c r="G1209" s="107"/>
      <c r="H1209" s="107"/>
      <c r="L1209" s="107"/>
      <c r="N1209" s="289"/>
      <c r="P1209" s="107"/>
      <c r="Q1209" s="107"/>
    </row>
    <row r="1210" spans="2:17" s="105" customFormat="1">
      <c r="B1210" s="106"/>
      <c r="F1210" s="107"/>
      <c r="G1210" s="107"/>
      <c r="H1210" s="107"/>
      <c r="L1210" s="107"/>
      <c r="N1210" s="289"/>
      <c r="P1210" s="107"/>
      <c r="Q1210" s="107"/>
    </row>
    <row r="1211" spans="2:17" s="105" customFormat="1">
      <c r="B1211" s="106"/>
      <c r="F1211" s="107"/>
      <c r="G1211" s="107"/>
      <c r="H1211" s="107"/>
      <c r="L1211" s="107"/>
      <c r="N1211" s="289"/>
      <c r="P1211" s="107"/>
      <c r="Q1211" s="107"/>
    </row>
    <row r="1212" spans="2:17" s="105" customFormat="1">
      <c r="B1212" s="106"/>
      <c r="F1212" s="107"/>
      <c r="G1212" s="107"/>
      <c r="H1212" s="107"/>
      <c r="L1212" s="107"/>
      <c r="N1212" s="289"/>
      <c r="P1212" s="107"/>
      <c r="Q1212" s="107"/>
    </row>
    <row r="1213" spans="2:17" s="105" customFormat="1">
      <c r="B1213" s="106"/>
      <c r="F1213" s="107"/>
      <c r="G1213" s="107"/>
      <c r="H1213" s="107"/>
      <c r="L1213" s="107"/>
      <c r="N1213" s="289"/>
      <c r="P1213" s="107"/>
      <c r="Q1213" s="107"/>
    </row>
    <row r="1214" spans="2:17" s="105" customFormat="1">
      <c r="B1214" s="106"/>
      <c r="F1214" s="107"/>
      <c r="G1214" s="107"/>
      <c r="H1214" s="107"/>
      <c r="L1214" s="107"/>
      <c r="N1214" s="289"/>
      <c r="P1214" s="107"/>
      <c r="Q1214" s="107"/>
    </row>
    <row r="1215" spans="2:17" s="105" customFormat="1">
      <c r="B1215" s="106"/>
      <c r="F1215" s="107"/>
      <c r="G1215" s="107"/>
      <c r="H1215" s="107"/>
      <c r="L1215" s="107"/>
      <c r="N1215" s="289"/>
      <c r="P1215" s="107"/>
      <c r="Q1215" s="107"/>
    </row>
    <row r="1216" spans="2:17" s="105" customFormat="1">
      <c r="B1216" s="106"/>
      <c r="F1216" s="107"/>
      <c r="G1216" s="107"/>
      <c r="H1216" s="107"/>
      <c r="L1216" s="107"/>
      <c r="N1216" s="289"/>
      <c r="P1216" s="107"/>
      <c r="Q1216" s="107"/>
    </row>
    <row r="1217" spans="2:17" s="105" customFormat="1">
      <c r="B1217" s="106"/>
      <c r="F1217" s="107"/>
      <c r="G1217" s="107"/>
      <c r="H1217" s="107"/>
      <c r="L1217" s="107"/>
      <c r="N1217" s="289"/>
      <c r="P1217" s="107"/>
      <c r="Q1217" s="107"/>
    </row>
    <row r="1218" spans="2:17" s="105" customFormat="1">
      <c r="B1218" s="106"/>
      <c r="F1218" s="107"/>
      <c r="G1218" s="107"/>
      <c r="H1218" s="107"/>
      <c r="L1218" s="107"/>
      <c r="N1218" s="289"/>
      <c r="P1218" s="107"/>
      <c r="Q1218" s="107"/>
    </row>
    <row r="1219" spans="2:17" s="105" customFormat="1">
      <c r="B1219" s="106"/>
      <c r="F1219" s="107"/>
      <c r="G1219" s="107"/>
      <c r="H1219" s="107"/>
      <c r="L1219" s="107"/>
      <c r="N1219" s="289"/>
      <c r="P1219" s="107"/>
      <c r="Q1219" s="107"/>
    </row>
    <row r="1220" spans="2:17" s="105" customFormat="1">
      <c r="B1220" s="106"/>
      <c r="F1220" s="107"/>
      <c r="G1220" s="107"/>
      <c r="H1220" s="107"/>
      <c r="L1220" s="107"/>
      <c r="N1220" s="289"/>
      <c r="P1220" s="107"/>
      <c r="Q1220" s="107"/>
    </row>
    <row r="1221" spans="2:17" s="105" customFormat="1">
      <c r="B1221" s="106"/>
      <c r="F1221" s="107"/>
      <c r="G1221" s="107"/>
      <c r="H1221" s="107"/>
      <c r="L1221" s="107"/>
      <c r="N1221" s="289"/>
      <c r="P1221" s="107"/>
      <c r="Q1221" s="107"/>
    </row>
    <row r="1222" spans="2:17" s="105" customFormat="1">
      <c r="B1222" s="106"/>
      <c r="F1222" s="107"/>
      <c r="G1222" s="107"/>
      <c r="H1222" s="107"/>
      <c r="L1222" s="107"/>
      <c r="N1222" s="289"/>
      <c r="P1222" s="107"/>
      <c r="Q1222" s="107"/>
    </row>
    <row r="1223" spans="2:17" s="105" customFormat="1">
      <c r="B1223" s="106"/>
      <c r="F1223" s="107"/>
      <c r="G1223" s="107"/>
      <c r="H1223" s="107"/>
      <c r="L1223" s="107"/>
      <c r="N1223" s="289"/>
      <c r="P1223" s="107"/>
      <c r="Q1223" s="107"/>
    </row>
    <row r="1224" spans="2:17" s="105" customFormat="1">
      <c r="B1224" s="106"/>
      <c r="F1224" s="107"/>
      <c r="G1224" s="107"/>
      <c r="H1224" s="107"/>
      <c r="L1224" s="107"/>
      <c r="N1224" s="289"/>
      <c r="P1224" s="107"/>
      <c r="Q1224" s="107"/>
    </row>
    <row r="1225" spans="2:17" s="105" customFormat="1">
      <c r="B1225" s="106"/>
      <c r="F1225" s="107"/>
      <c r="G1225" s="107"/>
      <c r="H1225" s="107"/>
      <c r="L1225" s="107"/>
      <c r="N1225" s="289"/>
      <c r="P1225" s="107"/>
      <c r="Q1225" s="107"/>
    </row>
    <row r="1226" spans="2:17" s="105" customFormat="1">
      <c r="B1226" s="106"/>
      <c r="F1226" s="107"/>
      <c r="G1226" s="107"/>
      <c r="H1226" s="107"/>
      <c r="L1226" s="107"/>
      <c r="N1226" s="289"/>
      <c r="P1226" s="107"/>
      <c r="Q1226" s="107"/>
    </row>
    <row r="1227" spans="2:17" s="105" customFormat="1">
      <c r="B1227" s="106"/>
      <c r="F1227" s="107"/>
      <c r="G1227" s="107"/>
      <c r="H1227" s="107"/>
      <c r="L1227" s="107"/>
      <c r="N1227" s="289"/>
      <c r="P1227" s="107"/>
      <c r="Q1227" s="107"/>
    </row>
    <row r="1228" spans="2:17" s="105" customFormat="1">
      <c r="B1228" s="106"/>
      <c r="F1228" s="107"/>
      <c r="G1228" s="107"/>
      <c r="H1228" s="107"/>
      <c r="L1228" s="107"/>
      <c r="N1228" s="289"/>
      <c r="P1228" s="107"/>
      <c r="Q1228" s="107"/>
    </row>
    <row r="1229" spans="2:17" s="105" customFormat="1">
      <c r="B1229" s="106"/>
      <c r="F1229" s="107"/>
      <c r="G1229" s="107"/>
      <c r="H1229" s="107"/>
      <c r="L1229" s="107"/>
      <c r="N1229" s="289"/>
      <c r="P1229" s="107"/>
      <c r="Q1229" s="107"/>
    </row>
    <row r="1230" spans="2:17" s="105" customFormat="1">
      <c r="B1230" s="106"/>
      <c r="F1230" s="107"/>
      <c r="G1230" s="107"/>
      <c r="H1230" s="107"/>
      <c r="L1230" s="107"/>
      <c r="N1230" s="289"/>
      <c r="P1230" s="107"/>
      <c r="Q1230" s="107"/>
    </row>
    <row r="1231" spans="2:17" s="105" customFormat="1">
      <c r="B1231" s="106"/>
      <c r="F1231" s="107"/>
      <c r="G1231" s="107"/>
      <c r="H1231" s="107"/>
      <c r="L1231" s="107"/>
      <c r="N1231" s="289"/>
      <c r="P1231" s="107"/>
      <c r="Q1231" s="107"/>
    </row>
    <row r="1232" spans="2:17" s="105" customFormat="1">
      <c r="B1232" s="106"/>
      <c r="F1232" s="107"/>
      <c r="G1232" s="107"/>
      <c r="H1232" s="107"/>
      <c r="L1232" s="107"/>
      <c r="N1232" s="289"/>
      <c r="P1232" s="107"/>
      <c r="Q1232" s="107"/>
    </row>
    <row r="1233" spans="2:17" s="105" customFormat="1">
      <c r="B1233" s="106"/>
      <c r="F1233" s="107"/>
      <c r="G1233" s="107"/>
      <c r="H1233" s="107"/>
      <c r="L1233" s="107"/>
      <c r="N1233" s="289"/>
      <c r="P1233" s="107"/>
      <c r="Q1233" s="107"/>
    </row>
    <row r="1234" spans="2:17" s="105" customFormat="1">
      <c r="B1234" s="106"/>
      <c r="F1234" s="107"/>
      <c r="G1234" s="107"/>
      <c r="H1234" s="107"/>
      <c r="L1234" s="107"/>
      <c r="N1234" s="289"/>
      <c r="P1234" s="107"/>
      <c r="Q1234" s="107"/>
    </row>
    <row r="1235" spans="2:17" s="105" customFormat="1">
      <c r="B1235" s="106"/>
      <c r="F1235" s="107"/>
      <c r="G1235" s="107"/>
      <c r="H1235" s="107"/>
      <c r="L1235" s="107"/>
      <c r="N1235" s="289"/>
      <c r="P1235" s="107"/>
      <c r="Q1235" s="107"/>
    </row>
    <row r="1236" spans="2:17" s="105" customFormat="1">
      <c r="B1236" s="106"/>
      <c r="F1236" s="107"/>
      <c r="G1236" s="107"/>
      <c r="H1236" s="107"/>
      <c r="L1236" s="107"/>
      <c r="N1236" s="289"/>
      <c r="P1236" s="107"/>
      <c r="Q1236" s="107"/>
    </row>
    <row r="1237" spans="2:17" s="105" customFormat="1">
      <c r="B1237" s="106"/>
      <c r="F1237" s="107"/>
      <c r="G1237" s="107"/>
      <c r="H1237" s="107"/>
      <c r="L1237" s="107"/>
      <c r="N1237" s="289"/>
      <c r="P1237" s="107"/>
      <c r="Q1237" s="107"/>
    </row>
    <row r="1238" spans="2:17" s="105" customFormat="1">
      <c r="B1238" s="106"/>
      <c r="F1238" s="107"/>
      <c r="G1238" s="107"/>
      <c r="H1238" s="107"/>
      <c r="L1238" s="107"/>
      <c r="N1238" s="289"/>
      <c r="P1238" s="107"/>
      <c r="Q1238" s="107"/>
    </row>
    <row r="1239" spans="2:17" s="105" customFormat="1">
      <c r="B1239" s="106"/>
      <c r="F1239" s="107"/>
      <c r="G1239" s="107"/>
      <c r="H1239" s="107"/>
      <c r="L1239" s="107"/>
      <c r="N1239" s="289"/>
      <c r="P1239" s="107"/>
      <c r="Q1239" s="107"/>
    </row>
    <row r="1240" spans="2:17" s="105" customFormat="1">
      <c r="B1240" s="106"/>
      <c r="F1240" s="107"/>
      <c r="G1240" s="107"/>
      <c r="H1240" s="107"/>
      <c r="L1240" s="107"/>
      <c r="N1240" s="289"/>
      <c r="P1240" s="107"/>
      <c r="Q1240" s="107"/>
    </row>
    <row r="1241" spans="2:17" s="105" customFormat="1">
      <c r="B1241" s="106"/>
      <c r="F1241" s="107"/>
      <c r="G1241" s="107"/>
      <c r="H1241" s="107"/>
      <c r="L1241" s="107"/>
      <c r="N1241" s="289"/>
      <c r="P1241" s="107"/>
      <c r="Q1241" s="107"/>
    </row>
    <row r="1242" spans="2:17" s="105" customFormat="1">
      <c r="B1242" s="106"/>
      <c r="F1242" s="107"/>
      <c r="G1242" s="107"/>
      <c r="H1242" s="107"/>
      <c r="L1242" s="107"/>
      <c r="N1242" s="289"/>
      <c r="P1242" s="107"/>
      <c r="Q1242" s="107"/>
    </row>
    <row r="1243" spans="2:17" s="105" customFormat="1">
      <c r="B1243" s="106"/>
      <c r="F1243" s="107"/>
      <c r="G1243" s="107"/>
      <c r="H1243" s="107"/>
      <c r="L1243" s="107"/>
      <c r="N1243" s="289"/>
      <c r="P1243" s="107"/>
      <c r="Q1243" s="107"/>
    </row>
    <row r="1244" spans="2:17" s="105" customFormat="1">
      <c r="B1244" s="106"/>
      <c r="F1244" s="107"/>
      <c r="G1244" s="107"/>
      <c r="H1244" s="107"/>
      <c r="L1244" s="107"/>
      <c r="N1244" s="289"/>
      <c r="P1244" s="107"/>
      <c r="Q1244" s="107"/>
    </row>
    <row r="1245" spans="2:17" s="105" customFormat="1">
      <c r="B1245" s="106"/>
      <c r="F1245" s="107"/>
      <c r="G1245" s="107"/>
      <c r="H1245" s="107"/>
      <c r="L1245" s="107"/>
      <c r="N1245" s="289"/>
      <c r="P1245" s="107"/>
      <c r="Q1245" s="107"/>
    </row>
    <row r="1246" spans="2:17" s="105" customFormat="1">
      <c r="B1246" s="106"/>
      <c r="F1246" s="107"/>
      <c r="G1246" s="107"/>
      <c r="H1246" s="107"/>
      <c r="L1246" s="107"/>
      <c r="N1246" s="289"/>
      <c r="P1246" s="107"/>
      <c r="Q1246" s="107"/>
    </row>
    <row r="1247" spans="2:17" s="105" customFormat="1">
      <c r="B1247" s="106"/>
      <c r="F1247" s="107"/>
      <c r="G1247" s="107"/>
      <c r="H1247" s="107"/>
      <c r="L1247" s="107"/>
      <c r="N1247" s="289"/>
      <c r="P1247" s="107"/>
      <c r="Q1247" s="107"/>
    </row>
    <row r="1248" spans="2:17" s="105" customFormat="1">
      <c r="B1248" s="106"/>
      <c r="F1248" s="107"/>
      <c r="G1248" s="107"/>
      <c r="H1248" s="107"/>
      <c r="L1248" s="107"/>
      <c r="N1248" s="289"/>
      <c r="P1248" s="107"/>
      <c r="Q1248" s="107"/>
    </row>
    <row r="1249" spans="2:17" s="105" customFormat="1">
      <c r="B1249" s="106"/>
      <c r="F1249" s="107"/>
      <c r="G1249" s="107"/>
      <c r="H1249" s="107"/>
      <c r="L1249" s="107"/>
      <c r="N1249" s="289"/>
      <c r="P1249" s="107"/>
      <c r="Q1249" s="107"/>
    </row>
    <row r="1250" spans="2:17" s="105" customFormat="1">
      <c r="B1250" s="106"/>
      <c r="F1250" s="107"/>
      <c r="G1250" s="107"/>
      <c r="H1250" s="107"/>
      <c r="L1250" s="107"/>
      <c r="N1250" s="289"/>
      <c r="P1250" s="107"/>
      <c r="Q1250" s="107"/>
    </row>
    <row r="1251" spans="2:17" s="105" customFormat="1">
      <c r="B1251" s="106"/>
      <c r="F1251" s="107"/>
      <c r="G1251" s="107"/>
      <c r="H1251" s="107"/>
      <c r="L1251" s="107"/>
      <c r="N1251" s="289"/>
      <c r="P1251" s="107"/>
      <c r="Q1251" s="107"/>
    </row>
    <row r="1252" spans="2:17" s="105" customFormat="1">
      <c r="B1252" s="106"/>
      <c r="F1252" s="107"/>
      <c r="G1252" s="107"/>
      <c r="H1252" s="107"/>
      <c r="L1252" s="107"/>
      <c r="N1252" s="289"/>
      <c r="P1252" s="107"/>
      <c r="Q1252" s="107"/>
    </row>
    <row r="1253" spans="2:17" s="105" customFormat="1">
      <c r="B1253" s="106"/>
      <c r="F1253" s="107"/>
      <c r="G1253" s="107"/>
      <c r="H1253" s="107"/>
      <c r="L1253" s="107"/>
      <c r="N1253" s="289"/>
      <c r="P1253" s="107"/>
      <c r="Q1253" s="107"/>
    </row>
    <row r="1254" spans="2:17" s="105" customFormat="1">
      <c r="B1254" s="106"/>
      <c r="F1254" s="107"/>
      <c r="G1254" s="107"/>
      <c r="H1254" s="107"/>
      <c r="L1254" s="107"/>
      <c r="N1254" s="289"/>
      <c r="P1254" s="107"/>
      <c r="Q1254" s="107"/>
    </row>
    <row r="1255" spans="2:17" s="105" customFormat="1">
      <c r="B1255" s="106"/>
      <c r="F1255" s="107"/>
      <c r="G1255" s="107"/>
      <c r="H1255" s="107"/>
      <c r="L1255" s="107"/>
      <c r="N1255" s="289"/>
      <c r="P1255" s="107"/>
      <c r="Q1255" s="107"/>
    </row>
    <row r="1256" spans="2:17" s="105" customFormat="1">
      <c r="B1256" s="106"/>
      <c r="F1256" s="107"/>
      <c r="G1256" s="107"/>
      <c r="H1256" s="107"/>
      <c r="L1256" s="107"/>
      <c r="N1256" s="289"/>
      <c r="P1256" s="107"/>
      <c r="Q1256" s="107"/>
    </row>
    <row r="1257" spans="2:17" s="105" customFormat="1">
      <c r="B1257" s="106"/>
      <c r="F1257" s="107"/>
      <c r="G1257" s="107"/>
      <c r="H1257" s="107"/>
      <c r="L1257" s="107"/>
      <c r="N1257" s="289"/>
      <c r="P1257" s="107"/>
      <c r="Q1257" s="107"/>
    </row>
    <row r="1258" spans="2:17" s="105" customFormat="1">
      <c r="B1258" s="106"/>
      <c r="F1258" s="107"/>
      <c r="G1258" s="107"/>
      <c r="H1258" s="107"/>
      <c r="L1258" s="107"/>
      <c r="N1258" s="289"/>
      <c r="P1258" s="107"/>
      <c r="Q1258" s="107"/>
    </row>
    <row r="1259" spans="2:17" s="105" customFormat="1">
      <c r="B1259" s="106"/>
      <c r="F1259" s="107"/>
      <c r="G1259" s="107"/>
      <c r="H1259" s="107"/>
      <c r="L1259" s="107"/>
      <c r="N1259" s="289"/>
      <c r="P1259" s="107"/>
      <c r="Q1259" s="107"/>
    </row>
    <row r="1260" spans="2:17" s="105" customFormat="1">
      <c r="B1260" s="106"/>
      <c r="F1260" s="107"/>
      <c r="G1260" s="107"/>
      <c r="H1260" s="107"/>
      <c r="L1260" s="107"/>
      <c r="N1260" s="289"/>
      <c r="P1260" s="107"/>
      <c r="Q1260" s="107"/>
    </row>
    <row r="1261" spans="2:17" s="105" customFormat="1">
      <c r="B1261" s="106"/>
      <c r="F1261" s="107"/>
      <c r="G1261" s="107"/>
      <c r="H1261" s="107"/>
      <c r="L1261" s="107"/>
      <c r="N1261" s="289"/>
      <c r="P1261" s="107"/>
      <c r="Q1261" s="107"/>
    </row>
    <row r="1262" spans="2:17" s="105" customFormat="1">
      <c r="B1262" s="106"/>
      <c r="F1262" s="107"/>
      <c r="G1262" s="107"/>
      <c r="H1262" s="107"/>
      <c r="L1262" s="107"/>
      <c r="N1262" s="289"/>
      <c r="P1262" s="107"/>
      <c r="Q1262" s="107"/>
    </row>
    <row r="1263" spans="2:17" s="105" customFormat="1">
      <c r="B1263" s="106"/>
      <c r="F1263" s="107"/>
      <c r="G1263" s="107"/>
      <c r="H1263" s="107"/>
      <c r="L1263" s="107"/>
      <c r="N1263" s="289"/>
      <c r="P1263" s="107"/>
      <c r="Q1263" s="107"/>
    </row>
    <row r="1264" spans="2:17" s="105" customFormat="1">
      <c r="B1264" s="106"/>
      <c r="F1264" s="107"/>
      <c r="G1264" s="107"/>
      <c r="H1264" s="107"/>
      <c r="L1264" s="107"/>
      <c r="N1264" s="289"/>
      <c r="P1264" s="107"/>
      <c r="Q1264" s="107"/>
    </row>
    <row r="1265" spans="2:17" s="105" customFormat="1">
      <c r="B1265" s="106"/>
      <c r="F1265" s="107"/>
      <c r="G1265" s="107"/>
      <c r="H1265" s="107"/>
      <c r="L1265" s="107"/>
      <c r="N1265" s="289"/>
      <c r="P1265" s="107"/>
      <c r="Q1265" s="107"/>
    </row>
    <row r="1266" spans="2:17" s="105" customFormat="1">
      <c r="B1266" s="106"/>
      <c r="F1266" s="107"/>
      <c r="G1266" s="107"/>
      <c r="H1266" s="107"/>
      <c r="L1266" s="107"/>
      <c r="N1266" s="289"/>
      <c r="P1266" s="107"/>
      <c r="Q1266" s="107"/>
    </row>
    <row r="1267" spans="2:17" s="105" customFormat="1">
      <c r="B1267" s="106"/>
      <c r="F1267" s="107"/>
      <c r="G1267" s="107"/>
      <c r="H1267" s="107"/>
      <c r="L1267" s="107"/>
      <c r="N1267" s="289"/>
      <c r="P1267" s="107"/>
      <c r="Q1267" s="107"/>
    </row>
    <row r="1268" spans="2:17" s="105" customFormat="1">
      <c r="B1268" s="106"/>
      <c r="F1268" s="107"/>
      <c r="G1268" s="107"/>
      <c r="H1268" s="107"/>
      <c r="L1268" s="107"/>
      <c r="N1268" s="289"/>
      <c r="P1268" s="107"/>
      <c r="Q1268" s="107"/>
    </row>
    <row r="1269" spans="2:17" s="105" customFormat="1">
      <c r="B1269" s="106"/>
      <c r="F1269" s="107"/>
      <c r="G1269" s="107"/>
      <c r="H1269" s="107"/>
      <c r="L1269" s="107"/>
      <c r="N1269" s="289"/>
      <c r="P1269" s="107"/>
      <c r="Q1269" s="107"/>
    </row>
    <row r="1270" spans="2:17" s="105" customFormat="1">
      <c r="B1270" s="106"/>
      <c r="F1270" s="107"/>
      <c r="G1270" s="107"/>
      <c r="H1270" s="107"/>
      <c r="L1270" s="107"/>
      <c r="N1270" s="289"/>
      <c r="P1270" s="107"/>
      <c r="Q1270" s="107"/>
    </row>
    <row r="1271" spans="2:17" s="105" customFormat="1">
      <c r="B1271" s="106"/>
      <c r="F1271" s="107"/>
      <c r="G1271" s="107"/>
      <c r="H1271" s="107"/>
      <c r="L1271" s="107"/>
      <c r="N1271" s="289"/>
      <c r="P1271" s="107"/>
      <c r="Q1271" s="107"/>
    </row>
    <row r="1272" spans="2:17" s="105" customFormat="1">
      <c r="B1272" s="106"/>
      <c r="F1272" s="107"/>
      <c r="G1272" s="107"/>
      <c r="H1272" s="107"/>
      <c r="L1272" s="107"/>
      <c r="N1272" s="289"/>
      <c r="P1272" s="107"/>
      <c r="Q1272" s="107"/>
    </row>
    <row r="1273" spans="2:17" s="105" customFormat="1">
      <c r="B1273" s="106"/>
      <c r="F1273" s="107"/>
      <c r="G1273" s="107"/>
      <c r="H1273" s="107"/>
      <c r="L1273" s="107"/>
      <c r="N1273" s="289"/>
      <c r="P1273" s="107"/>
      <c r="Q1273" s="107"/>
    </row>
    <row r="1274" spans="2:17" s="105" customFormat="1">
      <c r="B1274" s="106"/>
      <c r="F1274" s="107"/>
      <c r="G1274" s="107"/>
      <c r="H1274" s="107"/>
      <c r="L1274" s="107"/>
      <c r="N1274" s="289"/>
      <c r="P1274" s="107"/>
      <c r="Q1274" s="107"/>
    </row>
    <row r="1275" spans="2:17" s="105" customFormat="1">
      <c r="B1275" s="106"/>
      <c r="F1275" s="107"/>
      <c r="G1275" s="107"/>
      <c r="H1275" s="107"/>
      <c r="L1275" s="107"/>
      <c r="N1275" s="289"/>
      <c r="P1275" s="107"/>
      <c r="Q1275" s="107"/>
    </row>
    <row r="1276" spans="2:17" s="105" customFormat="1">
      <c r="B1276" s="106"/>
      <c r="F1276" s="107"/>
      <c r="G1276" s="107"/>
      <c r="H1276" s="107"/>
      <c r="L1276" s="107"/>
      <c r="N1276" s="289"/>
      <c r="P1276" s="107"/>
      <c r="Q1276" s="107"/>
    </row>
    <row r="1277" spans="2:17" s="105" customFormat="1">
      <c r="B1277" s="106"/>
      <c r="F1277" s="107"/>
      <c r="G1277" s="107"/>
      <c r="H1277" s="107"/>
      <c r="L1277" s="107"/>
      <c r="N1277" s="289"/>
      <c r="P1277" s="107"/>
      <c r="Q1277" s="107"/>
    </row>
    <row r="1278" spans="2:17" s="105" customFormat="1">
      <c r="B1278" s="106"/>
      <c r="F1278" s="107"/>
      <c r="G1278" s="107"/>
      <c r="H1278" s="107"/>
      <c r="L1278" s="107"/>
      <c r="N1278" s="289"/>
      <c r="P1278" s="107"/>
      <c r="Q1278" s="107"/>
    </row>
    <row r="1279" spans="2:17" s="105" customFormat="1">
      <c r="B1279" s="106"/>
      <c r="F1279" s="107"/>
      <c r="G1279" s="107"/>
      <c r="H1279" s="107"/>
      <c r="L1279" s="107"/>
      <c r="N1279" s="289"/>
      <c r="P1279" s="107"/>
      <c r="Q1279" s="107"/>
    </row>
    <row r="1280" spans="2:17" s="105" customFormat="1">
      <c r="B1280" s="106"/>
      <c r="F1280" s="107"/>
      <c r="G1280" s="107"/>
      <c r="H1280" s="107"/>
      <c r="L1280" s="107"/>
      <c r="N1280" s="289"/>
      <c r="P1280" s="107"/>
      <c r="Q1280" s="107"/>
    </row>
    <row r="1281" spans="2:17" s="105" customFormat="1">
      <c r="B1281" s="106"/>
      <c r="F1281" s="107"/>
      <c r="G1281" s="107"/>
      <c r="H1281" s="107"/>
      <c r="L1281" s="107"/>
      <c r="N1281" s="289"/>
      <c r="P1281" s="107"/>
      <c r="Q1281" s="107"/>
    </row>
    <row r="1282" spans="2:17" s="105" customFormat="1">
      <c r="B1282" s="106"/>
      <c r="F1282" s="107"/>
      <c r="G1282" s="107"/>
      <c r="H1282" s="107"/>
      <c r="L1282" s="107"/>
      <c r="N1282" s="289"/>
      <c r="P1282" s="107"/>
      <c r="Q1282" s="107"/>
    </row>
    <row r="1283" spans="2:17" s="105" customFormat="1">
      <c r="B1283" s="106"/>
      <c r="F1283" s="107"/>
      <c r="G1283" s="107"/>
      <c r="H1283" s="107"/>
      <c r="L1283" s="107"/>
      <c r="N1283" s="289"/>
      <c r="P1283" s="107"/>
      <c r="Q1283" s="107"/>
    </row>
    <row r="1284" spans="2:17" s="105" customFormat="1">
      <c r="B1284" s="106"/>
      <c r="F1284" s="107"/>
      <c r="G1284" s="107"/>
      <c r="H1284" s="107"/>
      <c r="L1284" s="107"/>
      <c r="N1284" s="289"/>
      <c r="P1284" s="107"/>
      <c r="Q1284" s="107"/>
    </row>
    <row r="1285" spans="2:17" s="105" customFormat="1">
      <c r="B1285" s="106"/>
      <c r="F1285" s="107"/>
      <c r="G1285" s="107"/>
      <c r="H1285" s="107"/>
      <c r="L1285" s="107"/>
      <c r="N1285" s="289"/>
      <c r="P1285" s="107"/>
      <c r="Q1285" s="107"/>
    </row>
    <row r="1286" spans="2:17" s="105" customFormat="1">
      <c r="B1286" s="106"/>
      <c r="F1286" s="107"/>
      <c r="G1286" s="107"/>
      <c r="H1286" s="107"/>
      <c r="L1286" s="107"/>
      <c r="N1286" s="289"/>
      <c r="P1286" s="107"/>
      <c r="Q1286" s="107"/>
    </row>
    <row r="1287" spans="2:17" s="105" customFormat="1">
      <c r="B1287" s="106"/>
      <c r="F1287" s="107"/>
      <c r="G1287" s="107"/>
      <c r="H1287" s="107"/>
      <c r="L1287" s="107"/>
      <c r="N1287" s="289"/>
      <c r="P1287" s="107"/>
      <c r="Q1287" s="107"/>
    </row>
    <row r="1288" spans="2:17" s="105" customFormat="1">
      <c r="B1288" s="106"/>
      <c r="F1288" s="107"/>
      <c r="G1288" s="107"/>
      <c r="H1288" s="107"/>
      <c r="L1288" s="107"/>
      <c r="N1288" s="289"/>
      <c r="P1288" s="107"/>
      <c r="Q1288" s="107"/>
    </row>
    <row r="1289" spans="2:17" s="105" customFormat="1">
      <c r="B1289" s="106"/>
      <c r="F1289" s="107"/>
      <c r="G1289" s="107"/>
      <c r="H1289" s="107"/>
      <c r="L1289" s="107"/>
      <c r="N1289" s="289"/>
      <c r="P1289" s="107"/>
      <c r="Q1289" s="107"/>
    </row>
    <row r="1290" spans="2:17" s="105" customFormat="1">
      <c r="B1290" s="106"/>
      <c r="F1290" s="107"/>
      <c r="G1290" s="107"/>
      <c r="H1290" s="107"/>
      <c r="L1290" s="107"/>
      <c r="N1290" s="289"/>
      <c r="P1290" s="107"/>
      <c r="Q1290" s="107"/>
    </row>
    <row r="1291" spans="2:17" s="105" customFormat="1">
      <c r="B1291" s="106"/>
      <c r="F1291" s="107"/>
      <c r="G1291" s="107"/>
      <c r="H1291" s="107"/>
      <c r="L1291" s="107"/>
      <c r="N1291" s="289"/>
      <c r="P1291" s="107"/>
      <c r="Q1291" s="107"/>
    </row>
    <row r="1292" spans="2:17" s="105" customFormat="1">
      <c r="B1292" s="106"/>
      <c r="F1292" s="107"/>
      <c r="G1292" s="107"/>
      <c r="H1292" s="107"/>
      <c r="L1292" s="107"/>
      <c r="N1292" s="289"/>
      <c r="P1292" s="107"/>
      <c r="Q1292" s="107"/>
    </row>
    <row r="1293" spans="2:17" s="105" customFormat="1">
      <c r="B1293" s="106"/>
      <c r="F1293" s="107"/>
      <c r="G1293" s="107"/>
      <c r="H1293" s="107"/>
      <c r="L1293" s="107"/>
      <c r="N1293" s="289"/>
      <c r="P1293" s="107"/>
      <c r="Q1293" s="107"/>
    </row>
    <row r="1294" spans="2:17" s="105" customFormat="1">
      <c r="B1294" s="106"/>
      <c r="F1294" s="107"/>
      <c r="G1294" s="107"/>
      <c r="H1294" s="107"/>
      <c r="L1294" s="107"/>
      <c r="N1294" s="289"/>
      <c r="P1294" s="107"/>
      <c r="Q1294" s="107"/>
    </row>
    <row r="1295" spans="2:17" s="105" customFormat="1">
      <c r="B1295" s="106"/>
      <c r="F1295" s="107"/>
      <c r="G1295" s="107"/>
      <c r="H1295" s="107"/>
      <c r="L1295" s="107"/>
      <c r="N1295" s="289"/>
      <c r="P1295" s="107"/>
      <c r="Q1295" s="107"/>
    </row>
    <row r="1296" spans="2:17" s="105" customFormat="1">
      <c r="B1296" s="106"/>
      <c r="F1296" s="107"/>
      <c r="G1296" s="107"/>
      <c r="H1296" s="107"/>
      <c r="L1296" s="107"/>
      <c r="N1296" s="289"/>
      <c r="P1296" s="107"/>
      <c r="Q1296" s="107"/>
    </row>
    <row r="1297" spans="2:17" s="105" customFormat="1">
      <c r="B1297" s="106"/>
      <c r="F1297" s="107"/>
      <c r="G1297" s="107"/>
      <c r="H1297" s="107"/>
      <c r="L1297" s="107"/>
      <c r="N1297" s="289"/>
      <c r="P1297" s="107"/>
      <c r="Q1297" s="107"/>
    </row>
    <row r="1298" spans="2:17" s="105" customFormat="1">
      <c r="B1298" s="106"/>
      <c r="F1298" s="107"/>
      <c r="G1298" s="107"/>
      <c r="H1298" s="107"/>
      <c r="L1298" s="107"/>
      <c r="N1298" s="289"/>
      <c r="P1298" s="107"/>
      <c r="Q1298" s="107"/>
    </row>
    <row r="1299" spans="2:17" s="105" customFormat="1">
      <c r="B1299" s="106"/>
      <c r="F1299" s="107"/>
      <c r="G1299" s="107"/>
      <c r="H1299" s="107"/>
      <c r="L1299" s="107"/>
      <c r="N1299" s="289"/>
      <c r="P1299" s="107"/>
      <c r="Q1299" s="107"/>
    </row>
    <row r="1300" spans="2:17" s="105" customFormat="1">
      <c r="B1300" s="106"/>
      <c r="F1300" s="107"/>
      <c r="G1300" s="107"/>
      <c r="H1300" s="107"/>
      <c r="L1300" s="107"/>
      <c r="N1300" s="289"/>
      <c r="P1300" s="107"/>
      <c r="Q1300" s="107"/>
    </row>
    <row r="1301" spans="2:17" s="105" customFormat="1">
      <c r="B1301" s="106"/>
      <c r="F1301" s="107"/>
      <c r="G1301" s="107"/>
      <c r="H1301" s="107"/>
      <c r="L1301" s="107"/>
      <c r="N1301" s="289"/>
      <c r="P1301" s="107"/>
      <c r="Q1301" s="107"/>
    </row>
    <row r="1302" spans="2:17" s="105" customFormat="1">
      <c r="B1302" s="106"/>
      <c r="F1302" s="107"/>
      <c r="G1302" s="107"/>
      <c r="H1302" s="107"/>
      <c r="L1302" s="107"/>
      <c r="N1302" s="289"/>
      <c r="P1302" s="107"/>
      <c r="Q1302" s="107"/>
    </row>
    <row r="1303" spans="2:17" s="105" customFormat="1">
      <c r="B1303" s="106"/>
      <c r="F1303" s="107"/>
      <c r="G1303" s="107"/>
      <c r="H1303" s="107"/>
      <c r="L1303" s="107"/>
      <c r="N1303" s="289"/>
      <c r="P1303" s="107"/>
      <c r="Q1303" s="107"/>
    </row>
    <row r="1304" spans="2:17" s="105" customFormat="1">
      <c r="B1304" s="106"/>
      <c r="F1304" s="107"/>
      <c r="G1304" s="107"/>
      <c r="H1304" s="107"/>
      <c r="L1304" s="107"/>
      <c r="N1304" s="289"/>
      <c r="P1304" s="107"/>
      <c r="Q1304" s="107"/>
    </row>
    <row r="1305" spans="2:17" s="105" customFormat="1">
      <c r="B1305" s="106"/>
      <c r="F1305" s="107"/>
      <c r="G1305" s="107"/>
      <c r="H1305" s="107"/>
      <c r="L1305" s="107"/>
      <c r="N1305" s="289"/>
      <c r="P1305" s="107"/>
      <c r="Q1305" s="107"/>
    </row>
    <row r="1306" spans="2:17" s="105" customFormat="1">
      <c r="B1306" s="106"/>
      <c r="F1306" s="107"/>
      <c r="G1306" s="107"/>
      <c r="H1306" s="107"/>
      <c r="L1306" s="107"/>
      <c r="N1306" s="289"/>
      <c r="P1306" s="107"/>
      <c r="Q1306" s="107"/>
    </row>
    <row r="1307" spans="2:17" s="105" customFormat="1">
      <c r="B1307" s="106"/>
      <c r="F1307" s="107"/>
      <c r="G1307" s="107"/>
      <c r="H1307" s="107"/>
      <c r="L1307" s="107"/>
      <c r="N1307" s="289"/>
      <c r="P1307" s="107"/>
      <c r="Q1307" s="107"/>
    </row>
    <row r="1308" spans="2:17" s="105" customFormat="1">
      <c r="B1308" s="106"/>
      <c r="F1308" s="107"/>
      <c r="G1308" s="107"/>
      <c r="H1308" s="107"/>
      <c r="L1308" s="107"/>
      <c r="N1308" s="289"/>
      <c r="P1308" s="107"/>
      <c r="Q1308" s="107"/>
    </row>
    <row r="1309" spans="2:17" s="105" customFormat="1">
      <c r="B1309" s="106"/>
      <c r="F1309" s="107"/>
      <c r="G1309" s="107"/>
      <c r="H1309" s="107"/>
      <c r="L1309" s="107"/>
      <c r="N1309" s="289"/>
      <c r="P1309" s="107"/>
      <c r="Q1309" s="107"/>
    </row>
    <row r="1310" spans="2:17" s="105" customFormat="1">
      <c r="B1310" s="106"/>
      <c r="F1310" s="107"/>
      <c r="G1310" s="107"/>
      <c r="H1310" s="107"/>
      <c r="L1310" s="107"/>
      <c r="N1310" s="289"/>
      <c r="P1310" s="107"/>
      <c r="Q1310" s="107"/>
    </row>
    <row r="1311" spans="2:17" s="105" customFormat="1">
      <c r="B1311" s="106"/>
      <c r="F1311" s="107"/>
      <c r="G1311" s="107"/>
      <c r="H1311" s="107"/>
      <c r="L1311" s="107"/>
      <c r="N1311" s="289"/>
      <c r="P1311" s="107"/>
      <c r="Q1311" s="107"/>
    </row>
    <row r="1312" spans="2:17" s="105" customFormat="1">
      <c r="B1312" s="106"/>
      <c r="F1312" s="107"/>
      <c r="G1312" s="107"/>
      <c r="H1312" s="107"/>
      <c r="L1312" s="107"/>
      <c r="N1312" s="289"/>
      <c r="P1312" s="107"/>
      <c r="Q1312" s="107"/>
    </row>
    <row r="1313" spans="2:17" s="105" customFormat="1">
      <c r="B1313" s="106"/>
      <c r="F1313" s="107"/>
      <c r="G1313" s="107"/>
      <c r="H1313" s="107"/>
      <c r="L1313" s="107"/>
      <c r="N1313" s="289"/>
      <c r="P1313" s="107"/>
      <c r="Q1313" s="107"/>
    </row>
    <row r="1314" spans="2:17" s="105" customFormat="1">
      <c r="B1314" s="106"/>
      <c r="F1314" s="107"/>
      <c r="G1314" s="107"/>
      <c r="H1314" s="107"/>
      <c r="L1314" s="107"/>
      <c r="N1314" s="289"/>
      <c r="P1314" s="107"/>
      <c r="Q1314" s="107"/>
    </row>
    <row r="1315" spans="2:17" s="105" customFormat="1">
      <c r="B1315" s="106"/>
      <c r="F1315" s="107"/>
      <c r="G1315" s="107"/>
      <c r="H1315" s="107"/>
      <c r="L1315" s="107"/>
      <c r="N1315" s="289"/>
      <c r="P1315" s="107"/>
      <c r="Q1315" s="107"/>
    </row>
    <row r="1316" spans="2:17" s="105" customFormat="1">
      <c r="B1316" s="106"/>
      <c r="F1316" s="107"/>
      <c r="G1316" s="107"/>
      <c r="H1316" s="107"/>
      <c r="L1316" s="107"/>
      <c r="N1316" s="289"/>
      <c r="P1316" s="107"/>
      <c r="Q1316" s="107"/>
    </row>
    <row r="1317" spans="2:17" s="105" customFormat="1">
      <c r="B1317" s="106"/>
      <c r="F1317" s="107"/>
      <c r="G1317" s="107"/>
      <c r="H1317" s="107"/>
      <c r="L1317" s="107"/>
      <c r="N1317" s="289"/>
      <c r="P1317" s="107"/>
      <c r="Q1317" s="107"/>
    </row>
    <row r="1318" spans="2:17" s="105" customFormat="1">
      <c r="B1318" s="106"/>
      <c r="F1318" s="107"/>
      <c r="G1318" s="107"/>
      <c r="H1318" s="107"/>
      <c r="L1318" s="107"/>
      <c r="N1318" s="289"/>
      <c r="P1318" s="107"/>
      <c r="Q1318" s="107"/>
    </row>
    <row r="1319" spans="2:17" s="105" customFormat="1">
      <c r="B1319" s="106"/>
      <c r="F1319" s="107"/>
      <c r="G1319" s="107"/>
      <c r="H1319" s="107"/>
      <c r="L1319" s="107"/>
      <c r="N1319" s="289"/>
      <c r="P1319" s="107"/>
      <c r="Q1319" s="107"/>
    </row>
    <row r="1320" spans="2:17" s="105" customFormat="1">
      <c r="B1320" s="106"/>
      <c r="F1320" s="107"/>
      <c r="G1320" s="107"/>
      <c r="H1320" s="107"/>
      <c r="L1320" s="107"/>
      <c r="N1320" s="289"/>
      <c r="P1320" s="107"/>
      <c r="Q1320" s="107"/>
    </row>
    <row r="1321" spans="2:17" s="105" customFormat="1">
      <c r="B1321" s="106"/>
      <c r="F1321" s="107"/>
      <c r="G1321" s="107"/>
      <c r="H1321" s="107"/>
      <c r="L1321" s="107"/>
      <c r="N1321" s="289"/>
      <c r="P1321" s="107"/>
      <c r="Q1321" s="107"/>
    </row>
    <row r="1322" spans="2:17" s="105" customFormat="1">
      <c r="B1322" s="106"/>
      <c r="F1322" s="107"/>
      <c r="G1322" s="107"/>
      <c r="H1322" s="107"/>
      <c r="L1322" s="107"/>
      <c r="N1322" s="289"/>
      <c r="P1322" s="107"/>
      <c r="Q1322" s="107"/>
    </row>
    <row r="1323" spans="2:17" s="105" customFormat="1">
      <c r="B1323" s="106"/>
      <c r="F1323" s="107"/>
      <c r="G1323" s="107"/>
      <c r="H1323" s="107"/>
      <c r="L1323" s="107"/>
      <c r="N1323" s="289"/>
      <c r="P1323" s="107"/>
      <c r="Q1323" s="107"/>
    </row>
    <row r="1324" spans="2:17" s="105" customFormat="1">
      <c r="B1324" s="106"/>
      <c r="F1324" s="107"/>
      <c r="G1324" s="107"/>
      <c r="H1324" s="107"/>
      <c r="L1324" s="107"/>
      <c r="N1324" s="289"/>
      <c r="P1324" s="107"/>
      <c r="Q1324" s="107"/>
    </row>
    <row r="1325" spans="2:17" s="105" customFormat="1">
      <c r="B1325" s="106"/>
      <c r="F1325" s="107"/>
      <c r="G1325" s="107"/>
      <c r="H1325" s="107"/>
      <c r="L1325" s="107"/>
      <c r="N1325" s="289"/>
      <c r="P1325" s="107"/>
      <c r="Q1325" s="107"/>
    </row>
    <row r="1326" spans="2:17" s="105" customFormat="1">
      <c r="B1326" s="106"/>
      <c r="F1326" s="107"/>
      <c r="G1326" s="107"/>
      <c r="H1326" s="107"/>
      <c r="L1326" s="107"/>
      <c r="N1326" s="289"/>
      <c r="P1326" s="107"/>
      <c r="Q1326" s="107"/>
    </row>
    <row r="1327" spans="2:17" s="105" customFormat="1">
      <c r="B1327" s="106"/>
      <c r="F1327" s="107"/>
      <c r="G1327" s="107"/>
      <c r="H1327" s="107"/>
      <c r="L1327" s="107"/>
      <c r="N1327" s="289"/>
      <c r="P1327" s="107"/>
      <c r="Q1327" s="107"/>
    </row>
    <row r="1328" spans="2:17" s="105" customFormat="1">
      <c r="B1328" s="106"/>
      <c r="F1328" s="107"/>
      <c r="G1328" s="107"/>
      <c r="H1328" s="107"/>
      <c r="L1328" s="107"/>
      <c r="N1328" s="289"/>
      <c r="P1328" s="107"/>
      <c r="Q1328" s="107"/>
    </row>
    <row r="1329" spans="2:17" s="105" customFormat="1">
      <c r="B1329" s="106"/>
      <c r="F1329" s="107"/>
      <c r="G1329" s="107"/>
      <c r="H1329" s="107"/>
      <c r="L1329" s="107"/>
      <c r="N1329" s="289"/>
      <c r="P1329" s="107"/>
      <c r="Q1329" s="107"/>
    </row>
    <row r="1330" spans="2:17" s="105" customFormat="1">
      <c r="B1330" s="106"/>
      <c r="F1330" s="107"/>
      <c r="G1330" s="107"/>
      <c r="H1330" s="107"/>
      <c r="L1330" s="107"/>
      <c r="N1330" s="289"/>
      <c r="P1330" s="107"/>
      <c r="Q1330" s="107"/>
    </row>
    <row r="1331" spans="2:17" s="105" customFormat="1">
      <c r="B1331" s="106"/>
      <c r="F1331" s="107"/>
      <c r="G1331" s="107"/>
      <c r="H1331" s="107"/>
      <c r="L1331" s="107"/>
      <c r="N1331" s="289"/>
      <c r="P1331" s="107"/>
      <c r="Q1331" s="107"/>
    </row>
    <row r="1332" spans="2:17" s="105" customFormat="1">
      <c r="B1332" s="106"/>
      <c r="F1332" s="107"/>
      <c r="G1332" s="107"/>
      <c r="H1332" s="107"/>
      <c r="L1332" s="107"/>
      <c r="N1332" s="289"/>
      <c r="P1332" s="107"/>
      <c r="Q1332" s="107"/>
    </row>
    <row r="1333" spans="2:17" s="105" customFormat="1">
      <c r="B1333" s="106"/>
      <c r="F1333" s="107"/>
      <c r="G1333" s="107"/>
      <c r="H1333" s="107"/>
      <c r="L1333" s="107"/>
      <c r="N1333" s="289"/>
      <c r="P1333" s="107"/>
      <c r="Q1333" s="107"/>
    </row>
    <row r="1334" spans="2:17" s="105" customFormat="1">
      <c r="B1334" s="106"/>
      <c r="F1334" s="107"/>
      <c r="G1334" s="107"/>
      <c r="H1334" s="107"/>
      <c r="L1334" s="107"/>
      <c r="N1334" s="289"/>
      <c r="P1334" s="107"/>
      <c r="Q1334" s="107"/>
    </row>
    <row r="1335" spans="2:17" s="105" customFormat="1">
      <c r="B1335" s="106"/>
      <c r="F1335" s="107"/>
      <c r="G1335" s="107"/>
      <c r="H1335" s="107"/>
      <c r="L1335" s="107"/>
      <c r="N1335" s="289"/>
      <c r="P1335" s="107"/>
      <c r="Q1335" s="107"/>
    </row>
    <row r="1336" spans="2:17" s="105" customFormat="1">
      <c r="B1336" s="106"/>
      <c r="F1336" s="107"/>
      <c r="G1336" s="107"/>
      <c r="H1336" s="107"/>
      <c r="L1336" s="107"/>
      <c r="N1336" s="289"/>
      <c r="P1336" s="107"/>
      <c r="Q1336" s="107"/>
    </row>
    <row r="1337" spans="2:17" s="105" customFormat="1">
      <c r="B1337" s="106"/>
      <c r="F1337" s="107"/>
      <c r="G1337" s="107"/>
      <c r="H1337" s="107"/>
      <c r="L1337" s="107"/>
      <c r="N1337" s="289"/>
      <c r="P1337" s="107"/>
      <c r="Q1337" s="107"/>
    </row>
    <row r="1338" spans="2:17" s="105" customFormat="1">
      <c r="B1338" s="106"/>
      <c r="F1338" s="107"/>
      <c r="G1338" s="107"/>
      <c r="H1338" s="107"/>
      <c r="L1338" s="107"/>
      <c r="N1338" s="289"/>
      <c r="P1338" s="107"/>
      <c r="Q1338" s="107"/>
    </row>
    <row r="1339" spans="2:17" s="105" customFormat="1">
      <c r="B1339" s="106"/>
      <c r="F1339" s="107"/>
      <c r="G1339" s="107"/>
      <c r="H1339" s="107"/>
      <c r="L1339" s="107"/>
      <c r="N1339" s="289"/>
      <c r="P1339" s="107"/>
      <c r="Q1339" s="107"/>
    </row>
    <row r="1340" spans="2:17" s="105" customFormat="1">
      <c r="B1340" s="106"/>
      <c r="F1340" s="107"/>
      <c r="G1340" s="107"/>
      <c r="H1340" s="107"/>
      <c r="L1340" s="107"/>
      <c r="N1340" s="289"/>
      <c r="P1340" s="107"/>
      <c r="Q1340" s="107"/>
    </row>
    <row r="1341" spans="2:17" s="105" customFormat="1">
      <c r="B1341" s="106"/>
      <c r="F1341" s="107"/>
      <c r="G1341" s="107"/>
      <c r="H1341" s="107"/>
      <c r="L1341" s="107"/>
      <c r="N1341" s="289"/>
      <c r="P1341" s="107"/>
      <c r="Q1341" s="107"/>
    </row>
    <row r="1342" spans="2:17" s="105" customFormat="1">
      <c r="B1342" s="106"/>
      <c r="F1342" s="107"/>
      <c r="G1342" s="107"/>
      <c r="H1342" s="107"/>
      <c r="L1342" s="107"/>
      <c r="N1342" s="289"/>
      <c r="P1342" s="107"/>
      <c r="Q1342" s="107"/>
    </row>
    <row r="1343" spans="2:17" s="105" customFormat="1">
      <c r="B1343" s="106"/>
      <c r="F1343" s="107"/>
      <c r="G1343" s="107"/>
      <c r="H1343" s="107"/>
      <c r="L1343" s="107"/>
      <c r="N1343" s="289"/>
      <c r="P1343" s="107"/>
      <c r="Q1343" s="107"/>
    </row>
    <row r="1344" spans="2:17" s="105" customFormat="1">
      <c r="B1344" s="106"/>
      <c r="F1344" s="107"/>
      <c r="G1344" s="107"/>
      <c r="H1344" s="107"/>
      <c r="L1344" s="107"/>
      <c r="N1344" s="289"/>
      <c r="P1344" s="107"/>
      <c r="Q1344" s="107"/>
    </row>
    <row r="1345" spans="2:17" s="105" customFormat="1">
      <c r="B1345" s="106"/>
      <c r="F1345" s="107"/>
      <c r="G1345" s="107"/>
      <c r="H1345" s="107"/>
      <c r="L1345" s="107"/>
      <c r="N1345" s="289"/>
      <c r="P1345" s="107"/>
      <c r="Q1345" s="107"/>
    </row>
    <row r="1346" spans="2:17" s="105" customFormat="1">
      <c r="B1346" s="106"/>
      <c r="F1346" s="107"/>
      <c r="G1346" s="107"/>
      <c r="H1346" s="107"/>
      <c r="L1346" s="107"/>
      <c r="N1346" s="289"/>
      <c r="P1346" s="107"/>
      <c r="Q1346" s="107"/>
    </row>
    <row r="1347" spans="2:17" s="105" customFormat="1">
      <c r="B1347" s="106"/>
      <c r="F1347" s="107"/>
      <c r="G1347" s="107"/>
      <c r="H1347" s="107"/>
      <c r="L1347" s="107"/>
      <c r="N1347" s="289"/>
      <c r="P1347" s="107"/>
      <c r="Q1347" s="107"/>
    </row>
  </sheetData>
  <mergeCells count="30">
    <mergeCell ref="A264:A272"/>
    <mergeCell ref="A278:A286"/>
    <mergeCell ref="A251:A259"/>
    <mergeCell ref="A15:A38"/>
    <mergeCell ref="A141:A149"/>
    <mergeCell ref="A237:A245"/>
    <mergeCell ref="A165:A173"/>
    <mergeCell ref="A41:A50"/>
    <mergeCell ref="A54:A67"/>
    <mergeCell ref="A71:A94"/>
    <mergeCell ref="A114:A137"/>
    <mergeCell ref="A97:A110"/>
    <mergeCell ref="A152:A160"/>
    <mergeCell ref="A177:A185"/>
    <mergeCell ref="A189:A197"/>
    <mergeCell ref="A201:A209"/>
    <mergeCell ref="A213:A221"/>
    <mergeCell ref="A225:A233"/>
    <mergeCell ref="A8:A12"/>
    <mergeCell ref="P1:Q1"/>
    <mergeCell ref="K4:M4"/>
    <mergeCell ref="C5:C6"/>
    <mergeCell ref="D5:D6"/>
    <mergeCell ref="F5:F6"/>
    <mergeCell ref="K5:K6"/>
    <mergeCell ref="P2:Q2"/>
    <mergeCell ref="H5:H6"/>
    <mergeCell ref="E4:J4"/>
    <mergeCell ref="E5:E6"/>
    <mergeCell ref="N5:N6"/>
  </mergeCells>
  <phoneticPr fontId="27" type="noConversion"/>
  <dataValidations count="2">
    <dataValidation type="list" allowBlank="1" showInputMessage="1" showErrorMessage="1" sqref="UES8:UES12 UES141:UES149 UOO141:UOO149 UYK141:UYK149 VIG141:VIG149 VSC141:VSC149 WBY141:WBY149 WVQ141:WVQ149 WLU141:WLU149 JE141:JE149 TA141:TA149 ACW141:ACW149 AMS141:AMS149 AWO141:AWO149 BGK141:BGK149 BQG141:BQG149 CAC141:CAC149 CJY141:CJY149 CTU141:CTU149 DDQ141:DDQ149 DNM141:DNM149 DXI141:DXI149 EHE141:EHE149 ERA141:ERA149 FAW141:FAW149 FKS141:FKS149 FUO141:FUO149 GEK141:GEK149 GOG141:GOG149 GYC141:GYC149 HHY141:HHY149 HRU141:HRU149 IBQ141:IBQ149 ILM141:ILM149 IVI141:IVI149 JFE141:JFE149 JPA141:JPA149 JYW141:JYW149 KIS141:KIS149 KSO141:KSO149 LCK141:LCK149 LMG141:LMG149 LWC141:LWC149 MFY141:MFY149 MPU141:MPU149 MZQ141:MZQ149 NJM141:NJM149 NTI141:NTI149 ODE141:ODE149 ONA141:ONA149 OWW141:OWW149 PGS141:PGS149 PQO141:PQO149 QAK141:QAK149 QKG141:QKG149 QUC141:QUC149 RDY141:RDY149 RNU141:RNU149 RXQ141:RXQ149 SHM141:SHM149 SRI141:SRI149 TBE141:TBE149 TLA141:TLA149 TUW141:TUW149 G141:G149 UES165:UES173 UOO165:UOO173 UYK165:UYK173 VIG165:VIG173 VSC165:VSC173 WBY165:WBY173 WVQ165:WVQ173 WLU165:WLU173 JE165:JE173 TA165:TA173 ACW165:ACW173 AMS165:AMS173 AWO165:AWO173 BGK165:BGK173 BQG165:BQG173 CAC165:CAC173 CJY165:CJY173 CTU165:CTU173 DDQ165:DDQ173 DNM165:DNM173 DXI165:DXI173 EHE165:EHE173 ERA165:ERA173 FAW165:FAW173 FKS165:FKS173 FUO165:FUO173 GEK165:GEK173 GOG165:GOG173 GYC165:GYC173 HHY165:HHY173 HRU165:HRU173 IBQ165:IBQ173 ILM165:ILM173 IVI165:IVI173 JFE165:JFE173 JPA165:JPA173 JYW165:JYW173 KIS165:KIS173 KSO165:KSO173 LCK165:LCK173 LMG165:LMG173 LWC165:LWC173 MFY165:MFY173 MPU165:MPU173 MZQ165:MZQ173 NJM165:NJM173 NTI165:NTI173 ODE165:ODE173 ONA165:ONA173 OWW165:OWW173 PGS165:PGS173 PQO165:PQO173 QAK165:QAK173 QKG165:QKG173 QUC165:QUC173 RDY165:RDY173 RNU165:RNU173 RXQ165:RXQ173 SHM165:SHM173 SRI165:SRI173 TBE165:TBE173 TLA165:TLA173 TUW165:TUW173 G165:G173 UES264:UES272 UOO264:UOO272 UYK264:UYK272 VIG264:VIG272 VSC264:VSC272 WBY264:WBY272 WVQ264:WVQ272 WLU264:WLU272 JE264:JE272 TA264:TA272 ACW264:ACW272 AMS264:AMS272 AWO264:AWO272 BGK264:BGK272 BQG264:BQG272 CAC264:CAC272 CJY264:CJY272 CTU264:CTU272 DDQ264:DDQ272 DNM264:DNM272 DXI264:DXI272 EHE264:EHE272 ERA264:ERA272 FAW264:FAW272 FKS264:FKS272 FUO264:FUO272 GEK264:GEK272 GOG264:GOG272 GYC264:GYC272 HHY264:HHY272 HRU264:HRU272 IBQ264:IBQ272 ILM264:ILM272 IVI264:IVI272 JFE264:JFE272 JPA264:JPA272 JYW264:JYW272 KIS264:KIS272 KSO264:KSO272 LCK264:LCK272 LMG264:LMG272 LWC264:LWC272 MFY264:MFY272 MPU264:MPU272 MZQ264:MZQ272 NJM264:NJM272 NTI264:NTI272 ODE264:ODE272 ONA264:ONA272 OWW264:OWW272 PGS264:PGS272 PQO264:PQO272 QAK264:QAK272 QKG264:QKG272 QUC264:QUC272 RDY264:RDY272 RNU264:RNU272 RXQ264:RXQ272 SHM264:SHM272 SRI264:SRI272 TBE264:TBE272 TLA264:TLA272 TUW264:TUW272 G264:G272 UES278:UES286 UOO278:UOO286 UYK278:UYK286 VIG278:VIG286 VSC278:VSC286 WBY278:WBY286 WVQ278:WVQ286 WLU278:WLU286 JE278:JE286 TA278:TA286 ACW278:ACW286 AMS278:AMS286 AWO278:AWO286 BGK278:BGK286 BQG278:BQG286 CAC278:CAC286 CJY278:CJY286 CTU278:CTU286 DDQ278:DDQ286 DNM278:DNM286 DXI278:DXI286 EHE278:EHE286 ERA278:ERA286 FAW278:FAW286 FKS278:FKS286 FUO278:FUO286 GEK278:GEK286 GOG278:GOG286 GYC278:GYC286 HHY278:HHY286 HRU278:HRU286 IBQ278:IBQ286 ILM278:ILM286 IVI278:IVI286 JFE278:JFE286 JPA278:JPA286 JYW278:JYW286 KIS278:KIS286 KSO278:KSO286 LCK278:LCK286 LMG278:LMG286 LWC278:LWC286 MFY278:MFY286 MPU278:MPU286 MZQ278:MZQ286 NJM278:NJM286 NTI278:NTI286 ODE278:ODE286 ONA278:ONA286 OWW278:OWW286 PGS278:PGS286 PQO278:PQO286 QAK278:QAK286 QKG278:QKG286 QUC278:QUC286 RDY278:RDY286 RNU278:RNU286 RXQ278:RXQ286 SHM278:SHM286 SRI278:SRI286 TBE278:TBE286 TLA278:TLA286 TUW278:TUW286 G278:G286 UES251:UES259 UOO251:UOO259 UYK251:UYK259 VIG251:VIG259 VSC251:VSC259 WBY251:WBY259 WVQ251:WVQ259 WLU251:WLU259 JE251:JE259 TA251:TA259 ACW251:ACW259 AMS251:AMS259 AWO251:AWO259 BGK251:BGK259 BQG251:BQG259 CAC251:CAC259 CJY251:CJY259 CTU251:CTU259 DDQ251:DDQ259 DNM251:DNM259 DXI251:DXI259 EHE251:EHE259 ERA251:ERA259 FAW251:FAW259 FKS251:FKS259 FUO251:FUO259 GEK251:GEK259 GOG251:GOG259 GYC251:GYC259 HHY251:HHY259 HRU251:HRU259 IBQ251:IBQ259 ILM251:ILM259 IVI251:IVI259 JFE251:JFE259 JPA251:JPA259 JYW251:JYW259 KIS251:KIS259 KSO251:KSO259 LCK251:LCK259 LMG251:LMG259 LWC251:LWC259 MFY251:MFY259 MPU251:MPU259 MZQ251:MZQ259 NJM251:NJM259 NTI251:NTI259 ODE251:ODE259 ONA251:ONA259 OWW251:OWW259 PGS251:PGS259 PQO251:PQO259 QAK251:QAK259 QKG251:QKG259 QUC251:QUC259 RDY251:RDY259 RNU251:RNU259 RXQ251:RXQ259 SHM251:SHM259 SRI251:SRI259 TBE251:TBE259 TLA251:TLA259 TUW251:TUW259 G251:G259 UES237:UES245 UOO237:UOO245 UYK237:UYK245 VIG237:VIG245 VSC237:VSC245 WBY237:WBY245 WVQ237:WVQ245 WLU237:WLU245 JE237:JE245 TA237:TA245 ACW237:ACW245 AMS237:AMS245 AWO237:AWO245 BGK237:BGK245 BQG237:BQG245 CAC237:CAC245 CJY237:CJY245 CTU237:CTU245 DDQ237:DDQ245 DNM237:DNM245 DXI237:DXI245 EHE237:EHE245 ERA237:ERA245 FAW237:FAW245 FKS237:FKS245 FUO237:FUO245 GEK237:GEK245 GOG237:GOG245 GYC237:GYC245 HHY237:HHY245 HRU237:HRU245 IBQ237:IBQ245 ILM237:ILM245 IVI237:IVI245 JFE237:JFE245 JPA237:JPA245 JYW237:JYW245 KIS237:KIS245 KSO237:KSO245 LCK237:LCK245 LMG237:LMG245 LWC237:LWC245 MFY237:MFY245 MPU237:MPU245 MZQ237:MZQ245 NJM237:NJM245 NTI237:NTI245 ODE237:ODE245 ONA237:ONA245 OWW237:OWW245 PGS237:PGS245 PQO237:PQO245 QAK237:QAK245 QKG237:QKG245 QUC237:QUC245 RDY237:RDY245 RNU237:RNU245 RXQ237:RXQ245 SHM237:SHM245 SRI237:SRI245 TBE237:TBE245 TLA237:TLA245 TUW237:TUW245 G237:G245 G7:G12 TUW8:TUW12 TLA8:TLA12 TBE8:TBE12 SRI8:SRI12 SHM8:SHM12 RXQ8:RXQ12 RNU8:RNU12 RDY8:RDY12 QUC8:QUC12 QKG8:QKG12 QAK8:QAK12 PQO8:PQO12 PGS8:PGS12 OWW8:OWW12 ONA8:ONA12 ODE8:ODE12 NTI8:NTI12 NJM8:NJM12 MZQ8:MZQ12 MPU8:MPU12 MFY8:MFY12 LWC8:LWC12 LMG8:LMG12 LCK8:LCK12 KSO8:KSO12 KIS8:KIS12 JYW8:JYW12 JPA8:JPA12 JFE8:JFE12 IVI8:IVI12 ILM8:ILM12 IBQ8:IBQ12 HRU8:HRU12 HHY8:HHY12 GYC8:GYC12 GOG8:GOG12 GEK8:GEK12 FUO8:FUO12 FKS8:FKS12 FAW8:FAW12 ERA8:ERA12 EHE8:EHE12 DXI8:DXI12 DNM8:DNM12 DDQ8:DDQ12 CTU8:CTU12 CJY8:CJY12 CAC8:CAC12 BQG8:BQG12 BGK8:BGK12 AWO8:AWO12 AMS8:AMS12 ACW8:ACW12 TA8:TA12 JE8:JE12 WLU8:WLU12 WVQ8:WVQ12 WBY8:WBY12 VSC8:VSC12 VIG8:VIG12 UYK8:UYK12 UOO8:UOO12 UES15:UES38 UOO15:UOO38 UYK15:UYK38 VIG15:VIG38 VSC15:VSC38 WBY15:WBY38 WVQ15:WVQ38 WLU15:WLU38 JE15:JE38 TA15:TA38 ACW15:ACW38 AMS15:AMS38 AWO15:AWO38 BGK15:BGK38 BQG15:BQG38 CAC15:CAC38 CJY15:CJY38 CTU15:CTU38 DDQ15:DDQ38 DNM15:DNM38 DXI15:DXI38 EHE15:EHE38 ERA15:ERA38 FAW15:FAW38 FKS15:FKS38 FUO15:FUO38 GEK15:GEK38 GOG15:GOG38 GYC15:GYC38 HHY15:HHY38 HRU15:HRU38 IBQ15:IBQ38 ILM15:ILM38 IVI15:IVI38 JFE15:JFE38 JPA15:JPA38 JYW15:JYW38 KIS15:KIS38 KSO15:KSO38 LCK15:LCK38 LMG15:LMG38 LWC15:LWC38 MFY15:MFY38 MPU15:MPU38 MZQ15:MZQ38 NJM15:NJM38 NTI15:NTI38 ODE15:ODE38 ONA15:ONA38 OWW15:OWW38 PGS15:PGS38 PQO15:PQO38 QAK15:QAK38 QKG15:QKG38 QUC15:QUC38 RDY15:RDY38 RNU15:RNU38 RXQ15:RXQ38 SHM15:SHM38 SRI15:SRI38 TBE15:TBE38 TLA15:TLA38 TUW15:TUW38 G15:G38 UES41:UES50 UOO41:UOO50 UYK41:UYK50 VIG41:VIG50 VSC41:VSC50 WBY41:WBY50 WVQ41:WVQ50 WLU41:WLU50 JE41:JE50 TA41:TA50 ACW41:ACW50 AMS41:AMS50 AWO41:AWO50 BGK41:BGK50 BQG41:BQG50 CAC41:CAC50 CJY41:CJY50 CTU41:CTU50 DDQ41:DDQ50 DNM41:DNM50 DXI41:DXI50 EHE41:EHE50 ERA41:ERA50 FAW41:FAW50 FKS41:FKS50 FUO41:FUO50 GEK41:GEK50 GOG41:GOG50 GYC41:GYC50 HHY41:HHY50 HRU41:HRU50 IBQ41:IBQ50 ILM41:ILM50 IVI41:IVI50 JFE41:JFE50 JPA41:JPA50 JYW41:JYW50 KIS41:KIS50 KSO41:KSO50 LCK41:LCK50 LMG41:LMG50 LWC41:LWC50 MFY41:MFY50 MPU41:MPU50 MZQ41:MZQ50 NJM41:NJM50 NTI41:NTI50 ODE41:ODE50 ONA41:ONA50 OWW41:OWW50 PGS41:PGS50 PQO41:PQO50 QAK41:QAK50 QKG41:QKG50 QUC41:QUC50 RDY41:RDY50 RNU41:RNU50 RXQ41:RXQ50 SHM41:SHM50 SRI41:SRI50 TBE41:TBE50 TLA41:TLA50 TUW41:TUW50 G41:G50 G54:G67 UES54:UES67 UOO54:UOO67 UYK54:UYK67 VIG54:VIG67 VSC54:VSC67 WBY54:WBY67 WVQ54:WVQ67 WLU54:WLU67 JE54:JE67 TA54:TA67 ACW54:ACW67 AMS54:AMS67 AWO54:AWO67 BGK54:BGK67 BQG54:BQG67 CAC54:CAC67 CJY54:CJY67 CTU54:CTU67 DDQ54:DDQ67 DNM54:DNM67 DXI54:DXI67 EHE54:EHE67 ERA54:ERA67 FAW54:FAW67 FKS54:FKS67 FUO54:FUO67 GEK54:GEK67 GOG54:GOG67 GYC54:GYC67 HHY54:HHY67 HRU54:HRU67 IBQ54:IBQ67 ILM54:ILM67 IVI54:IVI67 JFE54:JFE67 JPA54:JPA67 JYW54:JYW67 KIS54:KIS67 KSO54:KSO67 LCK54:LCK67 LMG54:LMG67 LWC54:LWC67 MFY54:MFY67 MPU54:MPU67 MZQ54:MZQ67 NJM54:NJM67 NTI54:NTI67 ODE54:ODE67 ONA54:ONA67 OWW54:OWW67 PGS54:PGS67 PQO54:PQO67 QAK54:QAK67 QKG54:QKG67 QUC54:QUC67 RDY54:RDY67 RNU54:RNU67 RXQ54:RXQ67 SHM54:SHM67 SRI54:SRI67 TBE54:TBE67 TLA54:TLA67 TUW54:TUW67 UES71:UES94 UOO71:UOO94 UYK71:UYK94 VIG71:VIG94 VSC71:VSC94 WBY71:WBY94 WVQ71:WVQ94 WLU71:WLU94 JE71:JE94 TA71:TA94 ACW71:ACW94 AMS71:AMS94 AWO71:AWO94 BGK71:BGK94 BQG71:BQG94 CAC71:CAC94 CJY71:CJY94 CTU71:CTU94 DDQ71:DDQ94 DNM71:DNM94 DXI71:DXI94 EHE71:EHE94 ERA71:ERA94 FAW71:FAW94 FKS71:FKS94 FUO71:FUO94 GEK71:GEK94 GOG71:GOG94 GYC71:GYC94 HHY71:HHY94 HRU71:HRU94 IBQ71:IBQ94 ILM71:ILM94 IVI71:IVI94 JFE71:JFE94 JPA71:JPA94 JYW71:JYW94 KIS71:KIS94 KSO71:KSO94 LCK71:LCK94 LMG71:LMG94 LWC71:LWC94 MFY71:MFY94 MPU71:MPU94 MZQ71:MZQ94 NJM71:NJM94 NTI71:NTI94 ODE71:ODE94 ONA71:ONA94 OWW71:OWW94 PGS71:PGS94 PQO71:PQO94 QAK71:QAK94 QKG71:QKG94 QUC71:QUC94 RDY71:RDY94 RNU71:RNU94 RXQ71:RXQ94 SHM71:SHM94 SRI71:SRI94 TBE71:TBE94 TLA71:TLA94 TUW71:TUW94 G71:G94 UES114:UES137 UOO114:UOO137 UYK114:UYK137 VIG114:VIG137 VSC114:VSC137 WBY114:WBY137 WVQ114:WVQ137 WLU114:WLU137 JE114:JE137 TA114:TA137 ACW114:ACW137 AMS114:AMS137 AWO114:AWO137 BGK114:BGK137 BQG114:BQG137 CAC114:CAC137 CJY114:CJY137 CTU114:CTU137 DDQ114:DDQ137 DNM114:DNM137 DXI114:DXI137 EHE114:EHE137 ERA114:ERA137 FAW114:FAW137 FKS114:FKS137 FUO114:FUO137 GEK114:GEK137 GOG114:GOG137 GYC114:GYC137 HHY114:HHY137 HRU114:HRU137 IBQ114:IBQ137 ILM114:ILM137 IVI114:IVI137 JFE114:JFE137 JPA114:JPA137 JYW114:JYW137 KIS114:KIS137 KSO114:KSO137 LCK114:LCK137 LMG114:LMG137 LWC114:LWC137 MFY114:MFY137 MPU114:MPU137 MZQ114:MZQ137 NJM114:NJM137 NTI114:NTI137 ODE114:ODE137 ONA114:ONA137 OWW114:OWW137 PGS114:PGS137 PQO114:PQO137 QAK114:QAK137 QKG114:QKG137 QUC114:QUC137 RDY114:RDY137 RNU114:RNU137 RXQ114:RXQ137 SHM114:SHM137 SRI114:SRI137 TBE114:TBE137 TLA114:TLA137 TUW114:TUW137 G114:G137 G97:G110 UES97:UES110 UOO97:UOO110 UYK97:UYK110 VIG97:VIG110 VSC97:VSC110 WBY97:WBY110 WVQ97:WVQ110 WLU97:WLU110 JE97:JE110 TA97:TA110 ACW97:ACW110 AMS97:AMS110 AWO97:AWO110 BGK97:BGK110 BQG97:BQG110 CAC97:CAC110 CJY97:CJY110 CTU97:CTU110 DDQ97:DDQ110 DNM97:DNM110 DXI97:DXI110 EHE97:EHE110 ERA97:ERA110 FAW97:FAW110 FKS97:FKS110 FUO97:FUO110 GEK97:GEK110 GOG97:GOG110 GYC97:GYC110 HHY97:HHY110 HRU97:HRU110 IBQ97:IBQ110 ILM97:ILM110 IVI97:IVI110 JFE97:JFE110 JPA97:JPA110 JYW97:JYW110 KIS97:KIS110 KSO97:KSO110 LCK97:LCK110 LMG97:LMG110 LWC97:LWC110 MFY97:MFY110 MPU97:MPU110 MZQ97:MZQ110 NJM97:NJM110 NTI97:NTI110 ODE97:ODE110 ONA97:ONA110 OWW97:OWW110 PGS97:PGS110 PQO97:PQO110 QAK97:QAK110 QKG97:QKG110 QUC97:QUC110 RDY97:RDY110 RNU97:RNU110 RXQ97:RXQ110 SHM97:SHM110 SRI97:SRI110 TBE97:TBE110 TLA97:TLA110 TUW97:TUW110 UES152:UES160 UOO152:UOO160 UYK152:UYK160 VIG152:VIG160 VSC152:VSC160 WBY152:WBY160 WVQ152:WVQ160 WLU152:WLU160 JE152:JE160 TA152:TA160 ACW152:ACW160 AMS152:AMS160 AWO152:AWO160 BGK152:BGK160 BQG152:BQG160 CAC152:CAC160 CJY152:CJY160 CTU152:CTU160 DDQ152:DDQ160 DNM152:DNM160 DXI152:DXI160 EHE152:EHE160 ERA152:ERA160 FAW152:FAW160 FKS152:FKS160 FUO152:FUO160 GEK152:GEK160 GOG152:GOG160 GYC152:GYC160 HHY152:HHY160 HRU152:HRU160 IBQ152:IBQ160 ILM152:ILM160 IVI152:IVI160 JFE152:JFE160 JPA152:JPA160 JYW152:JYW160 KIS152:KIS160 KSO152:KSO160 LCK152:LCK160 LMG152:LMG160 LWC152:LWC160 MFY152:MFY160 MPU152:MPU160 MZQ152:MZQ160 NJM152:NJM160 NTI152:NTI160 ODE152:ODE160 ONA152:ONA160 OWW152:OWW160 PGS152:PGS160 PQO152:PQO160 QAK152:QAK160 QKG152:QKG160 QUC152:QUC160 RDY152:RDY160 RNU152:RNU160 RXQ152:RXQ160 SHM152:SHM160 SRI152:SRI160 TBE152:TBE160 TLA152:TLA160 TUW152:TUW160 G152:G160 UES177:UES185 UOO177:UOO185 UYK177:UYK185 VIG177:VIG185 VSC177:VSC185 WBY177:WBY185 WVQ177:WVQ185 WLU177:WLU185 JE177:JE185 TA177:TA185 ACW177:ACW185 AMS177:AMS185 AWO177:AWO185 BGK177:BGK185 BQG177:BQG185 CAC177:CAC185 CJY177:CJY185 CTU177:CTU185 DDQ177:DDQ185 DNM177:DNM185 DXI177:DXI185 EHE177:EHE185 ERA177:ERA185 FAW177:FAW185 FKS177:FKS185 FUO177:FUO185 GEK177:GEK185 GOG177:GOG185 GYC177:GYC185 HHY177:HHY185 HRU177:HRU185 IBQ177:IBQ185 ILM177:ILM185 IVI177:IVI185 JFE177:JFE185 JPA177:JPA185 JYW177:JYW185 KIS177:KIS185 KSO177:KSO185 LCK177:LCK185 LMG177:LMG185 LWC177:LWC185 MFY177:MFY185 MPU177:MPU185 MZQ177:MZQ185 NJM177:NJM185 NTI177:NTI185 ODE177:ODE185 ONA177:ONA185 OWW177:OWW185 PGS177:PGS185 PQO177:PQO185 QAK177:QAK185 QKG177:QKG185 QUC177:QUC185 RDY177:RDY185 RNU177:RNU185 RXQ177:RXQ185 SHM177:SHM185 SRI177:SRI185 TBE177:TBE185 TLA177:TLA185 TUW177:TUW185 G177:G185 UES189:UES197 UOO189:UOO197 UYK189:UYK197 VIG189:VIG197 VSC189:VSC197 WBY189:WBY197 WVQ189:WVQ197 WLU189:WLU197 JE189:JE197 TA189:TA197 ACW189:ACW197 AMS189:AMS197 AWO189:AWO197 BGK189:BGK197 BQG189:BQG197 CAC189:CAC197 CJY189:CJY197 CTU189:CTU197 DDQ189:DDQ197 DNM189:DNM197 DXI189:DXI197 EHE189:EHE197 ERA189:ERA197 FAW189:FAW197 FKS189:FKS197 FUO189:FUO197 GEK189:GEK197 GOG189:GOG197 GYC189:GYC197 HHY189:HHY197 HRU189:HRU197 IBQ189:IBQ197 ILM189:ILM197 IVI189:IVI197 JFE189:JFE197 JPA189:JPA197 JYW189:JYW197 KIS189:KIS197 KSO189:KSO197 LCK189:LCK197 LMG189:LMG197 LWC189:LWC197 MFY189:MFY197 MPU189:MPU197 MZQ189:MZQ197 NJM189:NJM197 NTI189:NTI197 ODE189:ODE197 ONA189:ONA197 OWW189:OWW197 PGS189:PGS197 PQO189:PQO197 QAK189:QAK197 QKG189:QKG197 QUC189:QUC197 RDY189:RDY197 RNU189:RNU197 RXQ189:RXQ197 SHM189:SHM197 SRI189:SRI197 TBE189:TBE197 TLA189:TLA197 TUW189:TUW197 G189:G197 UES201:UES209 UOO201:UOO209 UYK201:UYK209 VIG201:VIG209 VSC201:VSC209 WBY201:WBY209 WVQ201:WVQ209 WLU201:WLU209 JE201:JE209 TA201:TA209 ACW201:ACW209 AMS201:AMS209 AWO201:AWO209 BGK201:BGK209 BQG201:BQG209 CAC201:CAC209 CJY201:CJY209 CTU201:CTU209 DDQ201:DDQ209 DNM201:DNM209 DXI201:DXI209 EHE201:EHE209 ERA201:ERA209 FAW201:FAW209 FKS201:FKS209 FUO201:FUO209 GEK201:GEK209 GOG201:GOG209 GYC201:GYC209 HHY201:HHY209 HRU201:HRU209 IBQ201:IBQ209 ILM201:ILM209 IVI201:IVI209 JFE201:JFE209 JPA201:JPA209 JYW201:JYW209 KIS201:KIS209 KSO201:KSO209 LCK201:LCK209 LMG201:LMG209 LWC201:LWC209 MFY201:MFY209 MPU201:MPU209 MZQ201:MZQ209 NJM201:NJM209 NTI201:NTI209 ODE201:ODE209 ONA201:ONA209 OWW201:OWW209 PGS201:PGS209 PQO201:PQO209 QAK201:QAK209 QKG201:QKG209 QUC201:QUC209 RDY201:RDY209 RNU201:RNU209 RXQ201:RXQ209 SHM201:SHM209 SRI201:SRI209 TBE201:TBE209 TLA201:TLA209 TUW201:TUW209 G201:G209 UES213:UES221 UOO213:UOO221 UYK213:UYK221 VIG213:VIG221 VSC213:VSC221 WBY213:WBY221 WVQ213:WVQ221 WLU213:WLU221 JE213:JE221 TA213:TA221 ACW213:ACW221 AMS213:AMS221 AWO213:AWO221 BGK213:BGK221 BQG213:BQG221 CAC213:CAC221 CJY213:CJY221 CTU213:CTU221 DDQ213:DDQ221 DNM213:DNM221 DXI213:DXI221 EHE213:EHE221 ERA213:ERA221 FAW213:FAW221 FKS213:FKS221 FUO213:FUO221 GEK213:GEK221 GOG213:GOG221 GYC213:GYC221 HHY213:HHY221 HRU213:HRU221 IBQ213:IBQ221 ILM213:ILM221 IVI213:IVI221 JFE213:JFE221 JPA213:JPA221 JYW213:JYW221 KIS213:KIS221 KSO213:KSO221 LCK213:LCK221 LMG213:LMG221 LWC213:LWC221 MFY213:MFY221 MPU213:MPU221 MZQ213:MZQ221 NJM213:NJM221 NTI213:NTI221 ODE213:ODE221 ONA213:ONA221 OWW213:OWW221 PGS213:PGS221 PQO213:PQO221 QAK213:QAK221 QKG213:QKG221 QUC213:QUC221 RDY213:RDY221 RNU213:RNU221 RXQ213:RXQ221 SHM213:SHM221 SRI213:SRI221 TBE213:TBE221 TLA213:TLA221 TUW213:TUW221 G213:G221 UES225:UES233 UOO225:UOO233 UYK225:UYK233 VIG225:VIG233 VSC225:VSC233 WBY225:WBY233 WVQ225:WVQ233 WLU225:WLU233 JE225:JE233 TA225:TA233 ACW225:ACW233 AMS225:AMS233 AWO225:AWO233 BGK225:BGK233 BQG225:BQG233 CAC225:CAC233 CJY225:CJY233 CTU225:CTU233 DDQ225:DDQ233 DNM225:DNM233 DXI225:DXI233 EHE225:EHE233 ERA225:ERA233 FAW225:FAW233 FKS225:FKS233 FUO225:FUO233 GEK225:GEK233 GOG225:GOG233 GYC225:GYC233 HHY225:HHY233 HRU225:HRU233 IBQ225:IBQ233 ILM225:ILM233 IVI225:IVI233 JFE225:JFE233 JPA225:JPA233 JYW225:JYW233 KIS225:KIS233 KSO225:KSO233 LCK225:LCK233 LMG225:LMG233 LWC225:LWC233 MFY225:MFY233 MPU225:MPU233 MZQ225:MZQ233 NJM225:NJM233 NTI225:NTI233 ODE225:ODE233 ONA225:ONA233 OWW225:OWW233 PGS225:PGS233 PQO225:PQO233 QAK225:QAK233 QKG225:QKG233 QUC225:QUC233 RDY225:RDY233 RNU225:RNU233 RXQ225:RXQ233 SHM225:SHM233 SRI225:SRI233 TBE225:TBE233 TLA225:TLA233 TUW225:TUW233 G225:G233" xr:uid="{00000000-0002-0000-0400-000000000000}">
      <formula1>seccion.</formula1>
    </dataValidation>
    <dataValidation type="list" allowBlank="1" showInputMessage="1" showErrorMessage="1" sqref="WCB8:WCB12 WCB141:WCB149 WVT141:WVT149 WLX141:WLX149 JH141:JH149 TD141:TD149 ACZ141:ACZ149 AMV141:AMV149 AWR141:AWR149 BGN141:BGN149 BQJ141:BQJ149 CAF141:CAF149 CKB141:CKB149 CTX141:CTX149 DDT141:DDT149 DNP141:DNP149 DXL141:DXL149 EHH141:EHH149 ERD141:ERD149 FAZ141:FAZ149 FKV141:FKV149 FUR141:FUR149 GEN141:GEN149 GOJ141:GOJ149 GYF141:GYF149 HIB141:HIB149 HRX141:HRX149 IBT141:IBT149 ILP141:ILP149 IVL141:IVL149 JFH141:JFH149 JPD141:JPD149 JYZ141:JYZ149 KIV141:KIV149 KSR141:KSR149 LCN141:LCN149 LMJ141:LMJ149 LWF141:LWF149 MGB141:MGB149 MPX141:MPX149 MZT141:MZT149 NJP141:NJP149 NTL141:NTL149 ODH141:ODH149 OND141:OND149 OWZ141:OWZ149 PGV141:PGV149 PQR141:PQR149 QAN141:QAN149 QKJ141:QKJ149 QUF141:QUF149 REB141:REB149 RNX141:RNX149 RXT141:RXT149 SHP141:SHP149 SRL141:SRL149 TBH141:TBH149 TLD141:TLD149 TUZ141:TUZ149 UEV141:UEV149 UOR141:UOR149 UYN141:UYN149 VIJ141:VIJ149 VSF141:VSF149 WCB165:WCB173 WVT165:WVT173 WLX165:WLX173 JH165:JH173 TD165:TD173 ACZ165:ACZ173 AMV165:AMV173 AWR165:AWR173 BGN165:BGN173 BQJ165:BQJ173 CAF165:CAF173 CKB165:CKB173 CTX165:CTX173 DDT165:DDT173 DNP165:DNP173 DXL165:DXL173 EHH165:EHH173 ERD165:ERD173 FAZ165:FAZ173 FKV165:FKV173 FUR165:FUR173 GEN165:GEN173 GOJ165:GOJ173 GYF165:GYF173 HIB165:HIB173 HRX165:HRX173 IBT165:IBT173 ILP165:ILP173 IVL165:IVL173 JFH165:JFH173 JPD165:JPD173 JYZ165:JYZ173 KIV165:KIV173 KSR165:KSR173 LCN165:LCN173 LMJ165:LMJ173 LWF165:LWF173 MGB165:MGB173 MPX165:MPX173 MZT165:MZT173 NJP165:NJP173 NTL165:NTL173 ODH165:ODH173 OND165:OND173 OWZ165:OWZ173 PGV165:PGV173 PQR165:PQR173 QAN165:QAN173 QKJ165:QKJ173 QUF165:QUF173 REB165:REB173 RNX165:RNX173 RXT165:RXT173 SHP165:SHP173 SRL165:SRL173 TBH165:TBH173 TLD165:TLD173 TUZ165:TUZ173 UEV165:UEV173 UOR165:UOR173 UYN165:UYN173 VIJ165:VIJ173 VSF165:VSF173 WCB264:WCB272 WVT264:WVT272 WLX264:WLX272 JH264:JH272 TD264:TD272 ACZ264:ACZ272 AMV264:AMV272 AWR264:AWR272 BGN264:BGN272 BQJ264:BQJ272 CAF264:CAF272 CKB264:CKB272 CTX264:CTX272 DDT264:DDT272 DNP264:DNP272 DXL264:DXL272 EHH264:EHH272 ERD264:ERD272 FAZ264:FAZ272 FKV264:FKV272 FUR264:FUR272 GEN264:GEN272 GOJ264:GOJ272 GYF264:GYF272 HIB264:HIB272 HRX264:HRX272 IBT264:IBT272 ILP264:ILP272 IVL264:IVL272 JFH264:JFH272 JPD264:JPD272 JYZ264:JYZ272 KIV264:KIV272 KSR264:KSR272 LCN264:LCN272 LMJ264:LMJ272 LWF264:LWF272 MGB264:MGB272 MPX264:MPX272 MZT264:MZT272 NJP264:NJP272 NTL264:NTL272 ODH264:ODH272 OND264:OND272 OWZ264:OWZ272 PGV264:PGV272 PQR264:PQR272 QAN264:QAN272 QKJ264:QKJ272 QUF264:QUF272 REB264:REB272 RNX264:RNX272 RXT264:RXT272 SHP264:SHP272 SRL264:SRL272 TBH264:TBH272 TLD264:TLD272 TUZ264:TUZ272 UEV264:UEV272 UOR264:UOR272 UYN264:UYN272 VIJ264:VIJ272 VSF264:VSF272 WCB278:WCB286 WVT278:WVT286 WLX278:WLX286 JH278:JH286 TD278:TD286 ACZ278:ACZ286 AMV278:AMV286 AWR278:AWR286 BGN278:BGN286 BQJ278:BQJ286 CAF278:CAF286 CKB278:CKB286 CTX278:CTX286 DDT278:DDT286 DNP278:DNP286 DXL278:DXL286 EHH278:EHH286 ERD278:ERD286 FAZ278:FAZ286 FKV278:FKV286 FUR278:FUR286 GEN278:GEN286 GOJ278:GOJ286 GYF278:GYF286 HIB278:HIB286 HRX278:HRX286 IBT278:IBT286 ILP278:ILP286 IVL278:IVL286 JFH278:JFH286 JPD278:JPD286 JYZ278:JYZ286 KIV278:KIV286 KSR278:KSR286 LCN278:LCN286 LMJ278:LMJ286 LWF278:LWF286 MGB278:MGB286 MPX278:MPX286 MZT278:MZT286 NJP278:NJP286 NTL278:NTL286 ODH278:ODH286 OND278:OND286 OWZ278:OWZ286 PGV278:PGV286 PQR278:PQR286 QAN278:QAN286 QKJ278:QKJ286 QUF278:QUF286 REB278:REB286 RNX278:RNX286 RXT278:RXT286 SHP278:SHP286 SRL278:SRL286 TBH278:TBH286 TLD278:TLD286 TUZ278:TUZ286 UEV278:UEV286 UOR278:UOR286 UYN278:UYN286 VIJ278:VIJ286 VSF278:VSF286 WCB251:WCB259 WVT251:WVT259 WLX251:WLX259 JH251:JH259 TD251:TD259 ACZ251:ACZ259 AMV251:AMV259 AWR251:AWR259 BGN251:BGN259 BQJ251:BQJ259 CAF251:CAF259 CKB251:CKB259 CTX251:CTX259 DDT251:DDT259 DNP251:DNP259 DXL251:DXL259 EHH251:EHH259 ERD251:ERD259 FAZ251:FAZ259 FKV251:FKV259 FUR251:FUR259 GEN251:GEN259 GOJ251:GOJ259 GYF251:GYF259 HIB251:HIB259 HRX251:HRX259 IBT251:IBT259 ILP251:ILP259 IVL251:IVL259 JFH251:JFH259 JPD251:JPD259 JYZ251:JYZ259 KIV251:KIV259 KSR251:KSR259 LCN251:LCN259 LMJ251:LMJ259 LWF251:LWF259 MGB251:MGB259 MPX251:MPX259 MZT251:MZT259 NJP251:NJP259 NTL251:NTL259 ODH251:ODH259 OND251:OND259 OWZ251:OWZ259 PGV251:PGV259 PQR251:PQR259 QAN251:QAN259 QKJ251:QKJ259 QUF251:QUF259 REB251:REB259 RNX251:RNX259 RXT251:RXT259 SHP251:SHP259 SRL251:SRL259 TBH251:TBH259 TLD251:TLD259 TUZ251:TUZ259 UEV251:UEV259 UOR251:UOR259 UYN251:UYN259 VIJ251:VIJ259 VSF251:VSF259 WCB237:WCB245 WVT237:WVT245 WLX237:WLX245 JH237:JH245 TD237:TD245 ACZ237:ACZ245 AMV237:AMV245 AWR237:AWR245 BGN237:BGN245 BQJ237:BQJ245 CAF237:CAF245 CKB237:CKB245 CTX237:CTX245 DDT237:DDT245 DNP237:DNP245 DXL237:DXL245 EHH237:EHH245 ERD237:ERD245 FAZ237:FAZ245 FKV237:FKV245 FUR237:FUR245 GEN237:GEN245 GOJ237:GOJ245 GYF237:GYF245 HIB237:HIB245 HRX237:HRX245 IBT237:IBT245 ILP237:ILP245 IVL237:IVL245 JFH237:JFH245 JPD237:JPD245 JYZ237:JYZ245 KIV237:KIV245 KSR237:KSR245 LCN237:LCN245 LMJ237:LMJ245 LWF237:LWF245 MGB237:MGB245 MPX237:MPX245 MZT237:MZT245 NJP237:NJP245 NTL237:NTL245 ODH237:ODH245 OND237:OND245 OWZ237:OWZ245 PGV237:PGV245 PQR237:PQR245 QAN237:QAN245 QKJ237:QKJ245 QUF237:QUF245 REB237:REB245 RNX237:RNX245 RXT237:RXT245 SHP237:SHP245 SRL237:SRL245 TBH237:TBH245 TLD237:TLD245 TUZ237:TUZ245 UEV237:UEV245 UOR237:UOR245 UYN237:UYN245 VIJ237:VIJ245 VSF237:VSF245 VSF8:VSF12 VIJ8:VIJ12 UYN8:UYN12 UOR8:UOR12 UEV8:UEV12 TUZ8:TUZ12 TLD8:TLD12 TBH8:TBH12 SRL8:SRL12 SHP8:SHP12 RXT8:RXT12 RNX8:RNX12 REB8:REB12 QUF8:QUF12 QKJ8:QKJ12 QAN8:QAN12 PQR8:PQR12 PGV8:PGV12 OWZ8:OWZ12 OND8:OND12 ODH8:ODH12 NTL8:NTL12 NJP8:NJP12 MZT8:MZT12 MPX8:MPX12 MGB8:MGB12 LWF8:LWF12 LMJ8:LMJ12 LCN8:LCN12 KSR8:KSR12 KIV8:KIV12 JYZ8:JYZ12 JPD8:JPD12 JFH8:JFH12 IVL8:IVL12 ILP8:ILP12 IBT8:IBT12 HRX8:HRX12 HIB8:HIB12 GYF8:GYF12 GOJ8:GOJ12 GEN8:GEN12 FUR8:FUR12 FKV8:FKV12 FAZ8:FAZ12 ERD8:ERD12 EHH8:EHH12 DXL8:DXL12 DNP8:DNP12 DDT8:DDT12 CTX8:CTX12 CKB8:CKB12 CAF8:CAF12 BQJ8:BQJ12 BGN8:BGN12 AWR8:AWR12 AMV8:AMV12 ACZ8:ACZ12 TD8:TD12 JH8:JH12 WLX8:WLX12 WVT8:WVT12 WCB15:WCB38 WVT15:WVT38 WLX15:WLX38 JH15:JH38 TD15:TD38 ACZ15:ACZ38 AMV15:AMV38 AWR15:AWR38 BGN15:BGN38 BQJ15:BQJ38 CAF15:CAF38 CKB15:CKB38 CTX15:CTX38 DDT15:DDT38 DNP15:DNP38 DXL15:DXL38 EHH15:EHH38 ERD15:ERD38 FAZ15:FAZ38 FKV15:FKV38 FUR15:FUR38 GEN15:GEN38 GOJ15:GOJ38 GYF15:GYF38 HIB15:HIB38 HRX15:HRX38 IBT15:IBT38 ILP15:ILP38 IVL15:IVL38 JFH15:JFH38 JPD15:JPD38 JYZ15:JYZ38 KIV15:KIV38 KSR15:KSR38 LCN15:LCN38 LMJ15:LMJ38 LWF15:LWF38 MGB15:MGB38 MPX15:MPX38 MZT15:MZT38 NJP15:NJP38 NTL15:NTL38 ODH15:ODH38 OND15:OND38 OWZ15:OWZ38 PGV15:PGV38 PQR15:PQR38 QAN15:QAN38 QKJ15:QKJ38 QUF15:QUF38 REB15:REB38 RNX15:RNX38 RXT15:RXT38 SHP15:SHP38 SRL15:SRL38 TBH15:TBH38 TLD15:TLD38 TUZ15:TUZ38 UEV15:UEV38 UOR15:UOR38 UYN15:UYN38 VIJ15:VIJ38 VSF15:VSF38 WCB41:WCB50 WVT41:WVT50 WLX41:WLX50 JH41:JH50 TD41:TD50 ACZ41:ACZ50 AMV41:AMV50 AWR41:AWR50 BGN41:BGN50 BQJ41:BQJ50 CAF41:CAF50 CKB41:CKB50 CTX41:CTX50 DDT41:DDT50 DNP41:DNP50 DXL41:DXL50 EHH41:EHH50 ERD41:ERD50 FAZ41:FAZ50 FKV41:FKV50 FUR41:FUR50 GEN41:GEN50 GOJ41:GOJ50 GYF41:GYF50 HIB41:HIB50 HRX41:HRX50 IBT41:IBT50 ILP41:ILP50 IVL41:IVL50 JFH41:JFH50 JPD41:JPD50 JYZ41:JYZ50 KIV41:KIV50 KSR41:KSR50 LCN41:LCN50 LMJ41:LMJ50 LWF41:LWF50 MGB41:MGB50 MPX41:MPX50 MZT41:MZT50 NJP41:NJP50 NTL41:NTL50 ODH41:ODH50 OND41:OND50 OWZ41:OWZ50 PGV41:PGV50 PQR41:PQR50 QAN41:QAN50 QKJ41:QKJ50 QUF41:QUF50 REB41:REB50 RNX41:RNX50 RXT41:RXT50 SHP41:SHP50 SRL41:SRL50 TBH41:TBH50 TLD41:TLD50 TUZ41:TUZ50 UEV41:UEV50 UOR41:UOR50 UYN41:UYN50 VIJ41:VIJ50 VSF41:VSF50 VSF54:VSF67 WCB54:WCB67 WVT54:WVT67 WLX54:WLX67 JH54:JH67 TD54:TD67 ACZ54:ACZ67 AMV54:AMV67 AWR54:AWR67 BGN54:BGN67 BQJ54:BQJ67 CAF54:CAF67 CKB54:CKB67 CTX54:CTX67 DDT54:DDT67 DNP54:DNP67 DXL54:DXL67 EHH54:EHH67 ERD54:ERD67 FAZ54:FAZ67 FKV54:FKV67 FUR54:FUR67 GEN54:GEN67 GOJ54:GOJ67 GYF54:GYF67 HIB54:HIB67 HRX54:HRX67 IBT54:IBT67 ILP54:ILP67 IVL54:IVL67 JFH54:JFH67 JPD54:JPD67 JYZ54:JYZ67 KIV54:KIV67 KSR54:KSR67 LCN54:LCN67 LMJ54:LMJ67 LWF54:LWF67 MGB54:MGB67 MPX54:MPX67 MZT54:MZT67 NJP54:NJP67 NTL54:NTL67 ODH54:ODH67 OND54:OND67 OWZ54:OWZ67 PGV54:PGV67 PQR54:PQR67 QAN54:QAN67 QKJ54:QKJ67 QUF54:QUF67 REB54:REB67 RNX54:RNX67 RXT54:RXT67 SHP54:SHP67 SRL54:SRL67 TBH54:TBH67 TLD54:TLD67 TUZ54:TUZ67 UEV54:UEV67 UOR54:UOR67 UYN54:UYN67 VIJ54:VIJ67 WCB71:WCB94 WVT71:WVT94 WLX71:WLX94 JH71:JH94 TD71:TD94 ACZ71:ACZ94 AMV71:AMV94 AWR71:AWR94 BGN71:BGN94 BQJ71:BQJ94 CAF71:CAF94 CKB71:CKB94 CTX71:CTX94 DDT71:DDT94 DNP71:DNP94 DXL71:DXL94 EHH71:EHH94 ERD71:ERD94 FAZ71:FAZ94 FKV71:FKV94 FUR71:FUR94 GEN71:GEN94 GOJ71:GOJ94 GYF71:GYF94 HIB71:HIB94 HRX71:HRX94 IBT71:IBT94 ILP71:ILP94 IVL71:IVL94 JFH71:JFH94 JPD71:JPD94 JYZ71:JYZ94 KIV71:KIV94 KSR71:KSR94 LCN71:LCN94 LMJ71:LMJ94 LWF71:LWF94 MGB71:MGB94 MPX71:MPX94 MZT71:MZT94 NJP71:NJP94 NTL71:NTL94 ODH71:ODH94 OND71:OND94 OWZ71:OWZ94 PGV71:PGV94 PQR71:PQR94 QAN71:QAN94 QKJ71:QKJ94 QUF71:QUF94 REB71:REB94 RNX71:RNX94 RXT71:RXT94 SHP71:SHP94 SRL71:SRL94 TBH71:TBH94 TLD71:TLD94 TUZ71:TUZ94 UEV71:UEV94 UOR71:UOR94 UYN71:UYN94 VIJ71:VIJ94 VSF71:VSF94 WCB114:WCB137 WVT114:WVT137 WLX114:WLX137 JH114:JH137 TD114:TD137 ACZ114:ACZ137 AMV114:AMV137 AWR114:AWR137 BGN114:BGN137 BQJ114:BQJ137 CAF114:CAF137 CKB114:CKB137 CTX114:CTX137 DDT114:DDT137 DNP114:DNP137 DXL114:DXL137 EHH114:EHH137 ERD114:ERD137 FAZ114:FAZ137 FKV114:FKV137 FUR114:FUR137 GEN114:GEN137 GOJ114:GOJ137 GYF114:GYF137 HIB114:HIB137 HRX114:HRX137 IBT114:IBT137 ILP114:ILP137 IVL114:IVL137 JFH114:JFH137 JPD114:JPD137 JYZ114:JYZ137 KIV114:KIV137 KSR114:KSR137 LCN114:LCN137 LMJ114:LMJ137 LWF114:LWF137 MGB114:MGB137 MPX114:MPX137 MZT114:MZT137 NJP114:NJP137 NTL114:NTL137 ODH114:ODH137 OND114:OND137 OWZ114:OWZ137 PGV114:PGV137 PQR114:PQR137 QAN114:QAN137 QKJ114:QKJ137 QUF114:QUF137 REB114:REB137 RNX114:RNX137 RXT114:RXT137 SHP114:SHP137 SRL114:SRL137 TBH114:TBH137 TLD114:TLD137 TUZ114:TUZ137 UEV114:UEV137 UOR114:UOR137 UYN114:UYN137 VIJ114:VIJ137 VSF114:VSF137 VSF97:VSF110 WCB97:WCB110 WVT97:WVT110 WLX97:WLX110 JH97:JH110 TD97:TD110 ACZ97:ACZ110 AMV97:AMV110 AWR97:AWR110 BGN97:BGN110 BQJ97:BQJ110 CAF97:CAF110 CKB97:CKB110 CTX97:CTX110 DDT97:DDT110 DNP97:DNP110 DXL97:DXL110 EHH97:EHH110 ERD97:ERD110 FAZ97:FAZ110 FKV97:FKV110 FUR97:FUR110 GEN97:GEN110 GOJ97:GOJ110 GYF97:GYF110 HIB97:HIB110 HRX97:HRX110 IBT97:IBT110 ILP97:ILP110 IVL97:IVL110 JFH97:JFH110 JPD97:JPD110 JYZ97:JYZ110 KIV97:KIV110 KSR97:KSR110 LCN97:LCN110 LMJ97:LMJ110 LWF97:LWF110 MGB97:MGB110 MPX97:MPX110 MZT97:MZT110 NJP97:NJP110 NTL97:NTL110 ODH97:ODH110 OND97:OND110 OWZ97:OWZ110 PGV97:PGV110 PQR97:PQR110 QAN97:QAN110 QKJ97:QKJ110 QUF97:QUF110 REB97:REB110 RNX97:RNX110 RXT97:RXT110 SHP97:SHP110 SRL97:SRL110 TBH97:TBH110 TLD97:TLD110 TUZ97:TUZ110 UEV97:UEV110 UOR97:UOR110 UYN97:UYN110 VIJ97:VIJ110 WCB152:WCB160 WVT152:WVT160 WLX152:WLX160 JH152:JH160 TD152:TD160 ACZ152:ACZ160 AMV152:AMV160 AWR152:AWR160 BGN152:BGN160 BQJ152:BQJ160 CAF152:CAF160 CKB152:CKB160 CTX152:CTX160 DDT152:DDT160 DNP152:DNP160 DXL152:DXL160 EHH152:EHH160 ERD152:ERD160 FAZ152:FAZ160 FKV152:FKV160 FUR152:FUR160 GEN152:GEN160 GOJ152:GOJ160 GYF152:GYF160 HIB152:HIB160 HRX152:HRX160 IBT152:IBT160 ILP152:ILP160 IVL152:IVL160 JFH152:JFH160 JPD152:JPD160 JYZ152:JYZ160 KIV152:KIV160 KSR152:KSR160 LCN152:LCN160 LMJ152:LMJ160 LWF152:LWF160 MGB152:MGB160 MPX152:MPX160 MZT152:MZT160 NJP152:NJP160 NTL152:NTL160 ODH152:ODH160 OND152:OND160 OWZ152:OWZ160 PGV152:PGV160 PQR152:PQR160 QAN152:QAN160 QKJ152:QKJ160 QUF152:QUF160 REB152:REB160 RNX152:RNX160 RXT152:RXT160 SHP152:SHP160 SRL152:SRL160 TBH152:TBH160 TLD152:TLD160 TUZ152:TUZ160 UEV152:UEV160 UOR152:UOR160 UYN152:UYN160 VIJ152:VIJ160 VSF152:VSF160 WCB177:WCB185 WVT177:WVT185 WLX177:WLX185 JH177:JH185 TD177:TD185 ACZ177:ACZ185 AMV177:AMV185 AWR177:AWR185 BGN177:BGN185 BQJ177:BQJ185 CAF177:CAF185 CKB177:CKB185 CTX177:CTX185 DDT177:DDT185 DNP177:DNP185 DXL177:DXL185 EHH177:EHH185 ERD177:ERD185 FAZ177:FAZ185 FKV177:FKV185 FUR177:FUR185 GEN177:GEN185 GOJ177:GOJ185 GYF177:GYF185 HIB177:HIB185 HRX177:HRX185 IBT177:IBT185 ILP177:ILP185 IVL177:IVL185 JFH177:JFH185 JPD177:JPD185 JYZ177:JYZ185 KIV177:KIV185 KSR177:KSR185 LCN177:LCN185 LMJ177:LMJ185 LWF177:LWF185 MGB177:MGB185 MPX177:MPX185 MZT177:MZT185 NJP177:NJP185 NTL177:NTL185 ODH177:ODH185 OND177:OND185 OWZ177:OWZ185 PGV177:PGV185 PQR177:PQR185 QAN177:QAN185 QKJ177:QKJ185 QUF177:QUF185 REB177:REB185 RNX177:RNX185 RXT177:RXT185 SHP177:SHP185 SRL177:SRL185 TBH177:TBH185 TLD177:TLD185 TUZ177:TUZ185 UEV177:UEV185 UOR177:UOR185 UYN177:UYN185 VIJ177:VIJ185 VSF177:VSF185 WCB189:WCB197 WVT189:WVT197 WLX189:WLX197 JH189:JH197 TD189:TD197 ACZ189:ACZ197 AMV189:AMV197 AWR189:AWR197 BGN189:BGN197 BQJ189:BQJ197 CAF189:CAF197 CKB189:CKB197 CTX189:CTX197 DDT189:DDT197 DNP189:DNP197 DXL189:DXL197 EHH189:EHH197 ERD189:ERD197 FAZ189:FAZ197 FKV189:FKV197 FUR189:FUR197 GEN189:GEN197 GOJ189:GOJ197 GYF189:GYF197 HIB189:HIB197 HRX189:HRX197 IBT189:IBT197 ILP189:ILP197 IVL189:IVL197 JFH189:JFH197 JPD189:JPD197 JYZ189:JYZ197 KIV189:KIV197 KSR189:KSR197 LCN189:LCN197 LMJ189:LMJ197 LWF189:LWF197 MGB189:MGB197 MPX189:MPX197 MZT189:MZT197 NJP189:NJP197 NTL189:NTL197 ODH189:ODH197 OND189:OND197 OWZ189:OWZ197 PGV189:PGV197 PQR189:PQR197 QAN189:QAN197 QKJ189:QKJ197 QUF189:QUF197 REB189:REB197 RNX189:RNX197 RXT189:RXT197 SHP189:SHP197 SRL189:SRL197 TBH189:TBH197 TLD189:TLD197 TUZ189:TUZ197 UEV189:UEV197 UOR189:UOR197 UYN189:UYN197 VIJ189:VIJ197 VSF189:VSF197 WCB201:WCB209 WVT201:WVT209 WLX201:WLX209 JH201:JH209 TD201:TD209 ACZ201:ACZ209 AMV201:AMV209 AWR201:AWR209 BGN201:BGN209 BQJ201:BQJ209 CAF201:CAF209 CKB201:CKB209 CTX201:CTX209 DDT201:DDT209 DNP201:DNP209 DXL201:DXL209 EHH201:EHH209 ERD201:ERD209 FAZ201:FAZ209 FKV201:FKV209 FUR201:FUR209 GEN201:GEN209 GOJ201:GOJ209 GYF201:GYF209 HIB201:HIB209 HRX201:HRX209 IBT201:IBT209 ILP201:ILP209 IVL201:IVL209 JFH201:JFH209 JPD201:JPD209 JYZ201:JYZ209 KIV201:KIV209 KSR201:KSR209 LCN201:LCN209 LMJ201:LMJ209 LWF201:LWF209 MGB201:MGB209 MPX201:MPX209 MZT201:MZT209 NJP201:NJP209 NTL201:NTL209 ODH201:ODH209 OND201:OND209 OWZ201:OWZ209 PGV201:PGV209 PQR201:PQR209 QAN201:QAN209 QKJ201:QKJ209 QUF201:QUF209 REB201:REB209 RNX201:RNX209 RXT201:RXT209 SHP201:SHP209 SRL201:SRL209 TBH201:TBH209 TLD201:TLD209 TUZ201:TUZ209 UEV201:UEV209 UOR201:UOR209 UYN201:UYN209 VIJ201:VIJ209 VSF201:VSF209 WCB213:WCB221 WVT213:WVT221 WLX213:WLX221 JH213:JH221 TD213:TD221 ACZ213:ACZ221 AMV213:AMV221 AWR213:AWR221 BGN213:BGN221 BQJ213:BQJ221 CAF213:CAF221 CKB213:CKB221 CTX213:CTX221 DDT213:DDT221 DNP213:DNP221 DXL213:DXL221 EHH213:EHH221 ERD213:ERD221 FAZ213:FAZ221 FKV213:FKV221 FUR213:FUR221 GEN213:GEN221 GOJ213:GOJ221 GYF213:GYF221 HIB213:HIB221 HRX213:HRX221 IBT213:IBT221 ILP213:ILP221 IVL213:IVL221 JFH213:JFH221 JPD213:JPD221 JYZ213:JYZ221 KIV213:KIV221 KSR213:KSR221 LCN213:LCN221 LMJ213:LMJ221 LWF213:LWF221 MGB213:MGB221 MPX213:MPX221 MZT213:MZT221 NJP213:NJP221 NTL213:NTL221 ODH213:ODH221 OND213:OND221 OWZ213:OWZ221 PGV213:PGV221 PQR213:PQR221 QAN213:QAN221 QKJ213:QKJ221 QUF213:QUF221 REB213:REB221 RNX213:RNX221 RXT213:RXT221 SHP213:SHP221 SRL213:SRL221 TBH213:TBH221 TLD213:TLD221 TUZ213:TUZ221 UEV213:UEV221 UOR213:UOR221 UYN213:UYN221 VIJ213:VIJ221 VSF213:VSF221 WCB225:WCB233 WVT225:WVT233 WLX225:WLX233 JH225:JH233 TD225:TD233 ACZ225:ACZ233 AMV225:AMV233 AWR225:AWR233 BGN225:BGN233 BQJ225:BQJ233 CAF225:CAF233 CKB225:CKB233 CTX225:CTX233 DDT225:DDT233 DNP225:DNP233 DXL225:DXL233 EHH225:EHH233 ERD225:ERD233 FAZ225:FAZ233 FKV225:FKV233 FUR225:FUR233 GEN225:GEN233 GOJ225:GOJ233 GYF225:GYF233 HIB225:HIB233 HRX225:HRX233 IBT225:IBT233 ILP225:ILP233 IVL225:IVL233 JFH225:JFH233 JPD225:JPD233 JYZ225:JYZ233 KIV225:KIV233 KSR225:KSR233 LCN225:LCN233 LMJ225:LMJ233 LWF225:LWF233 MGB225:MGB233 MPX225:MPX233 MZT225:MZT233 NJP225:NJP233 NTL225:NTL233 ODH225:ODH233 OND225:OND233 OWZ225:OWZ233 PGV225:PGV233 PQR225:PQR233 QAN225:QAN233 QKJ225:QKJ233 QUF225:QUF233 REB225:REB233 RNX225:RNX233 RXT225:RXT233 SHP225:SHP233 SRL225:SRL233 TBH225:TBH233 TLD225:TLD233 TUZ225:TUZ233 UEV225:UEV233 UOR225:UOR233 UYN225:UYN233 VIJ225:VIJ233 VSF225:VSF233" xr:uid="{00000000-0002-0000-0400-000001000000}">
      <formula1 xml:space="preserve"> a</formula1>
    </dataValidation>
  </dataValidations>
  <pageMargins left="0.74803149606299213" right="0.39370078740157483" top="0.98425196850393704" bottom="0.98425196850393704" header="0" footer="0"/>
  <pageSetup paperSize="9" scale="85" orientation="landscape"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FJ949"/>
  <sheetViews>
    <sheetView zoomScale="85" zoomScaleNormal="85" workbookViewId="0">
      <pane ySplit="3" topLeftCell="A4" activePane="bottomLeft" state="frozen"/>
      <selection pane="bottomLeft" activeCell="B9" sqref="B9"/>
    </sheetView>
  </sheetViews>
  <sheetFormatPr baseColWidth="10" defaultColWidth="11.44140625" defaultRowHeight="13.2"/>
  <cols>
    <col min="1" max="1" width="9.5546875" style="118" bestFit="1" customWidth="1"/>
    <col min="2" max="2" width="10.109375" style="161" bestFit="1" customWidth="1"/>
    <col min="3" max="3" width="10.6640625" style="137" bestFit="1" customWidth="1"/>
    <col min="4" max="4" width="4.88671875" style="185" customWidth="1"/>
    <col min="5" max="5" width="10.109375" style="19" bestFit="1" customWidth="1"/>
    <col min="6" max="6" width="10.6640625" style="137" bestFit="1" customWidth="1"/>
    <col min="7" max="7" width="5.88671875" style="185" customWidth="1"/>
    <col min="8" max="8" width="11.33203125" style="19" bestFit="1" customWidth="1"/>
    <col min="9" max="9" width="10.6640625" style="137" bestFit="1" customWidth="1"/>
    <col min="10" max="10" width="8.5546875" style="185" customWidth="1"/>
    <col min="11" max="11" width="9.5546875" style="185" bestFit="1" customWidth="1"/>
    <col min="12" max="12" width="10.109375" style="185" bestFit="1" customWidth="1"/>
    <col min="13" max="13" width="10.6640625" style="185" bestFit="1" customWidth="1"/>
    <col min="14" max="14" width="2.33203125" style="185" customWidth="1"/>
    <col min="15" max="15" width="8.33203125" style="185" customWidth="1"/>
    <col min="16" max="16" width="7.88671875" style="185" customWidth="1"/>
    <col min="17" max="17" width="2.5546875" style="185" customWidth="1"/>
    <col min="18" max="18" width="7.6640625" style="185" customWidth="1"/>
    <col min="19" max="19" width="8.44140625" style="185" customWidth="1"/>
    <col min="20" max="20" width="7.44140625" style="185" customWidth="1"/>
    <col min="21" max="21" width="9.5546875" style="185" bestFit="1" customWidth="1"/>
    <col min="22" max="22" width="10.109375" style="185" bestFit="1" customWidth="1"/>
    <col min="23" max="23" width="10.6640625" style="185" bestFit="1" customWidth="1"/>
    <col min="24" max="24" width="10.109375" style="185" bestFit="1" customWidth="1"/>
    <col min="25" max="25" width="10.6640625" style="185" bestFit="1" customWidth="1"/>
    <col min="26" max="26" width="4.6640625" style="185" customWidth="1"/>
    <col min="27" max="27" width="11.33203125" style="185" bestFit="1" customWidth="1"/>
    <col min="28" max="28" width="10.6640625" style="185" bestFit="1" customWidth="1"/>
    <col min="29" max="29" width="4.6640625" style="185" customWidth="1"/>
    <col min="30" max="30" width="10.109375" style="185" bestFit="1" customWidth="1"/>
    <col min="31" max="31" width="10.6640625" style="185" bestFit="1" customWidth="1"/>
    <col min="32" max="32" width="7.44140625" style="185" customWidth="1"/>
    <col min="33" max="33" width="9.5546875" style="185" bestFit="1" customWidth="1"/>
    <col min="34" max="34" width="10.109375" style="185" bestFit="1" customWidth="1"/>
    <col min="35" max="35" width="10.6640625" style="185" bestFit="1" customWidth="1"/>
    <col min="36" max="36" width="10.109375" style="185" bestFit="1" customWidth="1"/>
    <col min="37" max="37" width="10.6640625" style="185" bestFit="1" customWidth="1"/>
    <col min="38" max="38" width="4.6640625" style="185" customWidth="1"/>
    <col min="39" max="39" width="11.33203125" style="185" bestFit="1" customWidth="1"/>
    <col min="40" max="40" width="10.6640625" style="185" customWidth="1"/>
    <col min="41" max="41" width="4.6640625" style="185" customWidth="1"/>
    <col min="42" max="42" width="10.109375" style="185" bestFit="1" customWidth="1"/>
    <col min="43" max="43" width="10.6640625" style="185" bestFit="1" customWidth="1"/>
    <col min="44" max="44" width="11.44140625" style="185"/>
    <col min="45" max="45" width="9.5546875" style="185" bestFit="1" customWidth="1"/>
    <col min="46" max="46" width="9.33203125" style="185" customWidth="1"/>
    <col min="47" max="47" width="10.109375" style="185" customWidth="1"/>
    <col min="48" max="48" width="10.109375" style="185" bestFit="1" customWidth="1"/>
    <col min="49" max="49" width="10.6640625" style="185" bestFit="1" customWidth="1"/>
    <col min="50" max="50" width="4.6640625" style="185" customWidth="1"/>
    <col min="51" max="51" width="11.33203125" style="185" bestFit="1" customWidth="1"/>
    <col min="52" max="52" width="10.6640625" style="185" bestFit="1" customWidth="1"/>
    <col min="53" max="53" width="4.6640625" style="185" customWidth="1"/>
    <col min="54" max="54" width="10.109375" style="185" bestFit="1" customWidth="1"/>
    <col min="55" max="55" width="10.6640625" style="185" bestFit="1" customWidth="1"/>
    <col min="56" max="166" width="11.44140625" style="185"/>
    <col min="167" max="16384" width="11.44140625" style="19"/>
  </cols>
  <sheetData>
    <row r="1" spans="1:166" s="20" customFormat="1" ht="14.25" customHeight="1">
      <c r="A1" s="2569"/>
      <c r="B1" s="2571" t="s">
        <v>2664</v>
      </c>
      <c r="C1" s="2572"/>
      <c r="D1" s="2572"/>
      <c r="E1" s="2572"/>
      <c r="F1" s="2572"/>
      <c r="G1" s="2572"/>
      <c r="H1" s="2572"/>
      <c r="I1" s="2573"/>
      <c r="J1" s="120"/>
      <c r="K1" s="2569"/>
      <c r="L1" s="2571" t="s">
        <v>2665</v>
      </c>
      <c r="M1" s="2572"/>
      <c r="N1" s="2572"/>
      <c r="O1" s="2572"/>
      <c r="P1" s="2572"/>
      <c r="Q1" s="2572"/>
      <c r="R1" s="2572"/>
      <c r="S1" s="2573"/>
      <c r="T1" s="120"/>
      <c r="U1" s="2569"/>
      <c r="V1" s="2571" t="s">
        <v>2449</v>
      </c>
      <c r="W1" s="2572"/>
      <c r="X1" s="2572"/>
      <c r="Y1" s="2572"/>
      <c r="Z1" s="2572"/>
      <c r="AA1" s="2572"/>
      <c r="AB1" s="2572"/>
      <c r="AC1" s="2572"/>
      <c r="AD1" s="2572"/>
      <c r="AE1" s="2573"/>
      <c r="AF1" s="120"/>
      <c r="AG1" s="578"/>
      <c r="AH1" s="2581" t="s">
        <v>1789</v>
      </c>
      <c r="AI1" s="2582"/>
      <c r="AJ1" s="2582"/>
      <c r="AK1" s="2582"/>
      <c r="AL1" s="2582"/>
      <c r="AM1" s="2582"/>
      <c r="AN1" s="2582"/>
      <c r="AO1" s="2582"/>
      <c r="AP1" s="2582"/>
      <c r="AQ1" s="2582"/>
      <c r="AR1" s="120"/>
      <c r="AS1" s="2569"/>
      <c r="AT1" s="2571" t="s">
        <v>2663</v>
      </c>
      <c r="AU1" s="2572"/>
      <c r="AV1" s="2572"/>
      <c r="AW1" s="2572"/>
      <c r="AX1" s="2572"/>
      <c r="AY1" s="2572"/>
      <c r="AZ1" s="2572"/>
      <c r="BA1" s="2572"/>
      <c r="BB1" s="2572"/>
      <c r="BC1" s="2573"/>
      <c r="BD1" s="120"/>
      <c r="BE1" s="120"/>
      <c r="BF1" s="120"/>
      <c r="BG1" s="120"/>
      <c r="BH1" s="120"/>
      <c r="BI1" s="120"/>
      <c r="BJ1" s="120"/>
      <c r="BK1" s="120"/>
      <c r="BL1" s="120"/>
      <c r="BM1" s="120"/>
      <c r="BN1" s="120"/>
      <c r="BO1" s="120"/>
      <c r="BP1" s="120"/>
      <c r="BQ1" s="120"/>
      <c r="BR1" s="120"/>
      <c r="BS1" s="120"/>
      <c r="BT1" s="120"/>
      <c r="BU1" s="120"/>
      <c r="BV1" s="120"/>
      <c r="BW1" s="120"/>
      <c r="BX1" s="120"/>
      <c r="BY1" s="120"/>
      <c r="BZ1" s="120"/>
      <c r="CA1" s="120"/>
      <c r="CB1" s="120"/>
      <c r="CC1" s="120"/>
      <c r="CD1" s="120"/>
      <c r="CE1" s="120"/>
      <c r="CF1" s="120"/>
      <c r="CG1" s="120"/>
      <c r="CH1" s="120"/>
      <c r="CI1" s="120"/>
      <c r="CJ1" s="120"/>
      <c r="CK1" s="120"/>
      <c r="CL1" s="120"/>
      <c r="CM1" s="120"/>
      <c r="CN1" s="120"/>
      <c r="CO1" s="120"/>
      <c r="CP1" s="120"/>
      <c r="CQ1" s="120"/>
      <c r="CR1" s="120"/>
      <c r="CS1" s="120"/>
      <c r="CT1" s="120"/>
      <c r="CU1" s="120"/>
      <c r="CV1" s="120"/>
      <c r="CW1" s="120"/>
      <c r="CX1" s="120"/>
      <c r="CY1" s="120"/>
      <c r="CZ1" s="120"/>
      <c r="DA1" s="120"/>
      <c r="DB1" s="120"/>
      <c r="DC1" s="120"/>
      <c r="DD1" s="120"/>
      <c r="DE1" s="120"/>
      <c r="DF1" s="120"/>
      <c r="DG1" s="120"/>
      <c r="DH1" s="120"/>
      <c r="DI1" s="120"/>
      <c r="DJ1" s="120"/>
      <c r="DK1" s="120"/>
      <c r="DL1" s="120"/>
      <c r="DM1" s="120"/>
      <c r="DN1" s="120"/>
      <c r="DO1" s="120"/>
      <c r="DP1" s="120"/>
      <c r="DQ1" s="120"/>
      <c r="DR1" s="120"/>
      <c r="DS1" s="120"/>
      <c r="DT1" s="120"/>
      <c r="DU1" s="120"/>
      <c r="DV1" s="120"/>
      <c r="DW1" s="120"/>
      <c r="DX1" s="120"/>
      <c r="DY1" s="120"/>
      <c r="DZ1" s="120"/>
      <c r="EA1" s="120"/>
      <c r="EB1" s="120"/>
      <c r="EC1" s="120"/>
      <c r="ED1" s="120"/>
      <c r="EE1" s="120"/>
      <c r="EF1" s="120"/>
      <c r="EG1" s="120"/>
      <c r="EH1" s="120"/>
      <c r="EI1" s="120"/>
      <c r="EJ1" s="120"/>
      <c r="EK1" s="120"/>
      <c r="EL1" s="120"/>
      <c r="EM1" s="120"/>
      <c r="EN1" s="120"/>
      <c r="EO1" s="120"/>
      <c r="EP1" s="120"/>
      <c r="EQ1" s="120"/>
      <c r="ER1" s="120"/>
      <c r="ES1" s="120"/>
      <c r="ET1" s="120"/>
      <c r="EU1" s="120"/>
      <c r="EV1" s="120"/>
      <c r="EW1" s="120"/>
      <c r="EX1" s="120"/>
      <c r="EY1" s="120"/>
      <c r="EZ1" s="120"/>
      <c r="FA1" s="120"/>
      <c r="FB1" s="120"/>
      <c r="FC1" s="120"/>
      <c r="FD1" s="120"/>
      <c r="FE1" s="120"/>
      <c r="FF1" s="120"/>
      <c r="FG1" s="120"/>
      <c r="FH1" s="120"/>
      <c r="FI1" s="120"/>
      <c r="FJ1" s="120"/>
    </row>
    <row r="2" spans="1:166" s="20" customFormat="1" ht="16.5" customHeight="1" thickBot="1">
      <c r="A2" s="2570"/>
      <c r="B2" s="2574"/>
      <c r="C2" s="2575"/>
      <c r="D2" s="2575"/>
      <c r="E2" s="2575"/>
      <c r="F2" s="2575"/>
      <c r="G2" s="2575"/>
      <c r="H2" s="2575"/>
      <c r="I2" s="2576"/>
      <c r="J2" s="120"/>
      <c r="K2" s="2570"/>
      <c r="L2" s="2574"/>
      <c r="M2" s="2575"/>
      <c r="N2" s="2575"/>
      <c r="O2" s="2575"/>
      <c r="P2" s="2575"/>
      <c r="Q2" s="2575"/>
      <c r="R2" s="2575"/>
      <c r="S2" s="2576"/>
      <c r="T2" s="120"/>
      <c r="U2" s="2570"/>
      <c r="V2" s="2574"/>
      <c r="W2" s="2575"/>
      <c r="X2" s="2575"/>
      <c r="Y2" s="2575"/>
      <c r="Z2" s="2575"/>
      <c r="AA2" s="2575"/>
      <c r="AB2" s="2575"/>
      <c r="AC2" s="2575"/>
      <c r="AD2" s="2575"/>
      <c r="AE2" s="2576"/>
      <c r="AF2" s="120"/>
      <c r="AG2" s="579"/>
      <c r="AH2" s="2581"/>
      <c r="AI2" s="2582"/>
      <c r="AJ2" s="2582"/>
      <c r="AK2" s="2582"/>
      <c r="AL2" s="2582"/>
      <c r="AM2" s="2582"/>
      <c r="AN2" s="2582"/>
      <c r="AO2" s="2582"/>
      <c r="AP2" s="2582"/>
      <c r="AQ2" s="2582"/>
      <c r="AR2" s="120"/>
      <c r="AS2" s="2570"/>
      <c r="AT2" s="2574"/>
      <c r="AU2" s="2575"/>
      <c r="AV2" s="2575"/>
      <c r="AW2" s="2575"/>
      <c r="AX2" s="2575"/>
      <c r="AY2" s="2575"/>
      <c r="AZ2" s="2575"/>
      <c r="BA2" s="2575"/>
      <c r="BB2" s="2575"/>
      <c r="BC2" s="2576"/>
      <c r="BD2" s="120"/>
      <c r="BE2" s="120"/>
      <c r="BF2" s="120"/>
      <c r="BG2" s="120"/>
      <c r="BH2" s="120"/>
      <c r="BI2" s="120"/>
      <c r="BJ2" s="120"/>
      <c r="BK2" s="120"/>
      <c r="BL2" s="120"/>
      <c r="BM2" s="120"/>
      <c r="BN2" s="120"/>
      <c r="BO2" s="120"/>
      <c r="BP2" s="120"/>
      <c r="BQ2" s="120"/>
      <c r="BR2" s="120"/>
      <c r="BS2" s="120"/>
      <c r="BT2" s="120"/>
      <c r="BU2" s="120"/>
      <c r="BV2" s="120"/>
      <c r="BW2" s="120"/>
      <c r="BX2" s="120"/>
      <c r="BY2" s="120"/>
      <c r="BZ2" s="120"/>
      <c r="CA2" s="120"/>
      <c r="CB2" s="120"/>
      <c r="CC2" s="120"/>
      <c r="CD2" s="120"/>
      <c r="CE2" s="120"/>
      <c r="CF2" s="120"/>
      <c r="CG2" s="120"/>
      <c r="CH2" s="120"/>
      <c r="CI2" s="120"/>
      <c r="CJ2" s="120"/>
      <c r="CK2" s="120"/>
      <c r="CL2" s="120"/>
      <c r="CM2" s="120"/>
      <c r="CN2" s="120"/>
      <c r="CO2" s="120"/>
      <c r="CP2" s="120"/>
      <c r="CQ2" s="120"/>
      <c r="CR2" s="120"/>
      <c r="CS2" s="120"/>
      <c r="CT2" s="120"/>
      <c r="CU2" s="120"/>
      <c r="CV2" s="120"/>
      <c r="CW2" s="120"/>
      <c r="CX2" s="120"/>
      <c r="CY2" s="120"/>
      <c r="CZ2" s="120"/>
      <c r="DA2" s="120"/>
      <c r="DB2" s="120"/>
      <c r="DC2" s="120"/>
      <c r="DD2" s="120"/>
      <c r="DE2" s="120"/>
      <c r="DF2" s="120"/>
      <c r="DG2" s="120"/>
      <c r="DH2" s="120"/>
      <c r="DI2" s="120"/>
      <c r="DJ2" s="120"/>
      <c r="DK2" s="120"/>
      <c r="DL2" s="120"/>
      <c r="DM2" s="120"/>
      <c r="DN2" s="120"/>
      <c r="DO2" s="120"/>
      <c r="DP2" s="120"/>
      <c r="DQ2" s="120"/>
      <c r="DR2" s="120"/>
      <c r="DS2" s="120"/>
      <c r="DT2" s="120"/>
      <c r="DU2" s="120"/>
      <c r="DV2" s="120"/>
      <c r="DW2" s="120"/>
      <c r="DX2" s="120"/>
      <c r="DY2" s="120"/>
      <c r="DZ2" s="120"/>
      <c r="EA2" s="120"/>
      <c r="EB2" s="120"/>
      <c r="EC2" s="120"/>
      <c r="ED2" s="120"/>
      <c r="EE2" s="120"/>
      <c r="EF2" s="120"/>
      <c r="EG2" s="120"/>
      <c r="EH2" s="120"/>
      <c r="EI2" s="120"/>
      <c r="EJ2" s="120"/>
      <c r="EK2" s="120"/>
      <c r="EL2" s="120"/>
      <c r="EM2" s="120"/>
      <c r="EN2" s="120"/>
      <c r="EO2" s="120"/>
      <c r="EP2" s="120"/>
      <c r="EQ2" s="120"/>
      <c r="ER2" s="120"/>
      <c r="ES2" s="120"/>
      <c r="ET2" s="120"/>
      <c r="EU2" s="120"/>
      <c r="EV2" s="120"/>
      <c r="EW2" s="120"/>
      <c r="EX2" s="120"/>
      <c r="EY2" s="120"/>
      <c r="EZ2" s="120"/>
      <c r="FA2" s="120"/>
      <c r="FB2" s="120"/>
      <c r="FC2" s="120"/>
      <c r="FD2" s="120"/>
      <c r="FE2" s="120"/>
      <c r="FF2" s="120"/>
      <c r="FG2" s="120"/>
      <c r="FH2" s="120"/>
      <c r="FI2" s="120"/>
      <c r="FJ2" s="120"/>
    </row>
    <row r="3" spans="1:166" s="20" customFormat="1" ht="38.25" customHeight="1" thickBot="1">
      <c r="A3" s="164" t="s">
        <v>727</v>
      </c>
      <c r="B3" s="2577" t="s">
        <v>716</v>
      </c>
      <c r="C3" s="2578"/>
      <c r="D3" s="165"/>
      <c r="E3" s="2577" t="s">
        <v>717</v>
      </c>
      <c r="F3" s="2578"/>
      <c r="G3" s="165"/>
      <c r="H3" s="2577" t="s">
        <v>718</v>
      </c>
      <c r="I3" s="2578"/>
      <c r="J3" s="120"/>
      <c r="K3" s="164" t="s">
        <v>727</v>
      </c>
      <c r="L3" s="2577" t="s">
        <v>716</v>
      </c>
      <c r="M3" s="2578"/>
      <c r="N3" s="166"/>
      <c r="O3" s="2579"/>
      <c r="P3" s="2580"/>
      <c r="Q3" s="166"/>
      <c r="R3" s="2579"/>
      <c r="S3" s="2580"/>
      <c r="T3" s="120"/>
      <c r="U3" s="164" t="s">
        <v>727</v>
      </c>
      <c r="V3" s="2567" t="s">
        <v>716</v>
      </c>
      <c r="W3" s="2568"/>
      <c r="X3" s="2567" t="s">
        <v>717</v>
      </c>
      <c r="Y3" s="2568"/>
      <c r="Z3" s="165"/>
      <c r="AA3" s="2567" t="s">
        <v>718</v>
      </c>
      <c r="AB3" s="2568"/>
      <c r="AC3" s="165"/>
      <c r="AD3" s="2567" t="s">
        <v>1788</v>
      </c>
      <c r="AE3" s="2568"/>
      <c r="AF3" s="120"/>
      <c r="AG3" s="164" t="s">
        <v>727</v>
      </c>
      <c r="AH3" s="2577" t="s">
        <v>716</v>
      </c>
      <c r="AI3" s="2578"/>
      <c r="AJ3" s="2577" t="s">
        <v>717</v>
      </c>
      <c r="AK3" s="2578"/>
      <c r="AL3" s="575"/>
      <c r="AM3" s="2577" t="s">
        <v>718</v>
      </c>
      <c r="AN3" s="2578"/>
      <c r="AO3" s="575"/>
      <c r="AP3" s="2577" t="s">
        <v>1788</v>
      </c>
      <c r="AQ3" s="2578"/>
      <c r="AR3" s="120"/>
      <c r="AS3" s="164" t="s">
        <v>727</v>
      </c>
      <c r="AT3" s="2577" t="s">
        <v>716</v>
      </c>
      <c r="AU3" s="2578"/>
      <c r="AV3" s="2567" t="s">
        <v>717</v>
      </c>
      <c r="AW3" s="2568"/>
      <c r="AX3" s="165"/>
      <c r="AY3" s="2567" t="s">
        <v>718</v>
      </c>
      <c r="AZ3" s="2568"/>
      <c r="BA3" s="165"/>
      <c r="BB3" s="2567" t="s">
        <v>1788</v>
      </c>
      <c r="BC3" s="2568"/>
      <c r="BD3" s="120"/>
      <c r="BE3" s="120"/>
      <c r="BF3" s="120"/>
      <c r="BG3" s="120"/>
      <c r="BH3" s="120"/>
      <c r="BI3" s="120"/>
      <c r="BJ3" s="120"/>
      <c r="BK3" s="120"/>
      <c r="BL3" s="120"/>
      <c r="BM3" s="120"/>
      <c r="BN3" s="120"/>
      <c r="BO3" s="120"/>
      <c r="BP3" s="120"/>
      <c r="BQ3" s="120"/>
      <c r="BR3" s="120"/>
      <c r="BS3" s="120"/>
      <c r="BT3" s="120"/>
      <c r="BU3" s="120"/>
      <c r="BV3" s="120"/>
      <c r="BW3" s="120"/>
      <c r="BX3" s="120"/>
      <c r="BY3" s="120"/>
      <c r="BZ3" s="120"/>
      <c r="CA3" s="120"/>
      <c r="CB3" s="120"/>
      <c r="CC3" s="120"/>
      <c r="CD3" s="120"/>
      <c r="CE3" s="120"/>
      <c r="CF3" s="120"/>
      <c r="CG3" s="120"/>
      <c r="CH3" s="120"/>
      <c r="CI3" s="120"/>
      <c r="CJ3" s="120"/>
      <c r="CK3" s="120"/>
      <c r="CL3" s="120"/>
      <c r="CM3" s="120"/>
      <c r="CN3" s="120"/>
      <c r="CO3" s="120"/>
      <c r="CP3" s="120"/>
      <c r="CQ3" s="120"/>
      <c r="CR3" s="120"/>
      <c r="CS3" s="120"/>
      <c r="CT3" s="120"/>
      <c r="CU3" s="120"/>
      <c r="CV3" s="120"/>
      <c r="CW3" s="120"/>
      <c r="CX3" s="120"/>
      <c r="CY3" s="120"/>
      <c r="CZ3" s="120"/>
      <c r="DA3" s="120"/>
      <c r="DB3" s="120"/>
      <c r="DC3" s="120"/>
      <c r="DD3" s="120"/>
      <c r="DE3" s="120"/>
      <c r="DF3" s="120"/>
      <c r="DG3" s="120"/>
      <c r="DH3" s="120"/>
      <c r="DI3" s="120"/>
      <c r="DJ3" s="120"/>
      <c r="DK3" s="120"/>
      <c r="DL3" s="120"/>
      <c r="DM3" s="120"/>
      <c r="DN3" s="120"/>
      <c r="DO3" s="120"/>
      <c r="DP3" s="120"/>
      <c r="DQ3" s="120"/>
      <c r="DR3" s="120"/>
      <c r="DS3" s="120"/>
      <c r="DT3" s="120"/>
      <c r="DU3" s="120"/>
      <c r="DV3" s="120"/>
      <c r="DW3" s="120"/>
      <c r="DX3" s="120"/>
      <c r="DY3" s="120"/>
      <c r="DZ3" s="120"/>
      <c r="EA3" s="120"/>
      <c r="EB3" s="120"/>
      <c r="EC3" s="120"/>
      <c r="ED3" s="120"/>
      <c r="EE3" s="120"/>
      <c r="EF3" s="120"/>
      <c r="EG3" s="120"/>
      <c r="EH3" s="120"/>
      <c r="EI3" s="120"/>
      <c r="EJ3" s="120"/>
      <c r="EK3" s="120"/>
      <c r="EL3" s="120"/>
      <c r="EM3" s="120"/>
      <c r="EN3" s="120"/>
      <c r="EO3" s="120"/>
      <c r="EP3" s="120"/>
      <c r="EQ3" s="120"/>
      <c r="ER3" s="120"/>
      <c r="ES3" s="120"/>
      <c r="ET3" s="120"/>
      <c r="EU3" s="120"/>
      <c r="EV3" s="120"/>
      <c r="EW3" s="120"/>
      <c r="EX3" s="120"/>
      <c r="EY3" s="120"/>
      <c r="EZ3" s="120"/>
      <c r="FA3" s="120"/>
      <c r="FB3" s="120"/>
      <c r="FC3" s="120"/>
      <c r="FD3" s="120"/>
      <c r="FE3" s="120"/>
      <c r="FF3" s="120"/>
      <c r="FG3" s="120"/>
      <c r="FH3" s="120"/>
      <c r="FI3" s="120"/>
      <c r="FJ3" s="120"/>
    </row>
    <row r="4" spans="1:166" s="20" customFormat="1" ht="21" customHeight="1" thickBot="1">
      <c r="A4" s="364" t="s">
        <v>1506</v>
      </c>
      <c r="B4" s="310" t="s">
        <v>1043</v>
      </c>
      <c r="C4" s="310" t="s">
        <v>719</v>
      </c>
      <c r="D4" s="167"/>
      <c r="E4" s="310" t="s">
        <v>1043</v>
      </c>
      <c r="F4" s="310" t="s">
        <v>719</v>
      </c>
      <c r="G4" s="167"/>
      <c r="H4" s="310" t="s">
        <v>1043</v>
      </c>
      <c r="I4" s="310" t="s">
        <v>719</v>
      </c>
      <c r="J4" s="120"/>
      <c r="K4" s="364" t="s">
        <v>1507</v>
      </c>
      <c r="L4" s="310" t="s">
        <v>1043</v>
      </c>
      <c r="M4" s="311" t="s">
        <v>719</v>
      </c>
      <c r="N4" s="168"/>
      <c r="O4" s="312"/>
      <c r="P4" s="312"/>
      <c r="Q4" s="168"/>
      <c r="R4" s="312"/>
      <c r="S4" s="312"/>
      <c r="T4" s="120"/>
      <c r="U4" s="364" t="s">
        <v>1506</v>
      </c>
      <c r="V4" s="310" t="s">
        <v>1043</v>
      </c>
      <c r="W4" s="310" t="s">
        <v>719</v>
      </c>
      <c r="X4" s="310" t="s">
        <v>1043</v>
      </c>
      <c r="Y4" s="310" t="s">
        <v>719</v>
      </c>
      <c r="Z4" s="167"/>
      <c r="AA4" s="310" t="s">
        <v>1043</v>
      </c>
      <c r="AB4" s="310" t="s">
        <v>719</v>
      </c>
      <c r="AC4" s="167"/>
      <c r="AD4" s="310" t="s">
        <v>1043</v>
      </c>
      <c r="AE4" s="310" t="s">
        <v>719</v>
      </c>
      <c r="AF4" s="120"/>
      <c r="AG4" s="364" t="s">
        <v>1506</v>
      </c>
      <c r="AH4" s="310" t="s">
        <v>1043</v>
      </c>
      <c r="AI4" s="310" t="s">
        <v>719</v>
      </c>
      <c r="AJ4" s="310" t="s">
        <v>1043</v>
      </c>
      <c r="AK4" s="310" t="s">
        <v>719</v>
      </c>
      <c r="AL4" s="167"/>
      <c r="AM4" s="310" t="s">
        <v>1043</v>
      </c>
      <c r="AN4" s="310" t="s">
        <v>719</v>
      </c>
      <c r="AO4" s="167"/>
      <c r="AP4" s="310" t="s">
        <v>1043</v>
      </c>
      <c r="AQ4" s="310" t="s">
        <v>719</v>
      </c>
      <c r="AR4" s="120"/>
      <c r="AS4" s="364" t="s">
        <v>1506</v>
      </c>
      <c r="AT4" s="310"/>
      <c r="AU4" s="310"/>
      <c r="AV4" s="310" t="s">
        <v>1043</v>
      </c>
      <c r="AW4" s="310" t="s">
        <v>719</v>
      </c>
      <c r="AX4" s="167"/>
      <c r="AY4" s="310" t="s">
        <v>1043</v>
      </c>
      <c r="AZ4" s="310" t="s">
        <v>719</v>
      </c>
      <c r="BA4" s="167"/>
      <c r="BB4" s="310" t="s">
        <v>1043</v>
      </c>
      <c r="BC4" s="310" t="s">
        <v>719</v>
      </c>
      <c r="BD4" s="120"/>
      <c r="BE4" s="120"/>
      <c r="BF4" s="120"/>
      <c r="BG4" s="120"/>
      <c r="BH4" s="120"/>
      <c r="BI4" s="120"/>
      <c r="BJ4" s="120"/>
      <c r="BK4" s="120"/>
      <c r="BL4" s="120"/>
      <c r="BM4" s="120"/>
      <c r="BN4" s="120"/>
      <c r="BO4" s="120"/>
      <c r="BP4" s="120"/>
      <c r="BQ4" s="120"/>
      <c r="BR4" s="120"/>
      <c r="BS4" s="120"/>
      <c r="BT4" s="120"/>
      <c r="BU4" s="120"/>
      <c r="BV4" s="120"/>
      <c r="BW4" s="120"/>
      <c r="BX4" s="120"/>
      <c r="BY4" s="120"/>
      <c r="BZ4" s="120"/>
      <c r="CA4" s="120"/>
      <c r="CB4" s="120"/>
      <c r="CC4" s="120"/>
      <c r="CD4" s="120"/>
      <c r="CE4" s="120"/>
      <c r="CF4" s="120"/>
      <c r="CG4" s="120"/>
      <c r="CH4" s="120"/>
      <c r="CI4" s="120"/>
      <c r="CJ4" s="120"/>
      <c r="CK4" s="120"/>
      <c r="CL4" s="120"/>
      <c r="CM4" s="120"/>
      <c r="CN4" s="120"/>
      <c r="CO4" s="120"/>
      <c r="CP4" s="120"/>
      <c r="CQ4" s="120"/>
      <c r="CR4" s="120"/>
      <c r="CS4" s="120"/>
      <c r="CT4" s="120"/>
      <c r="CU4" s="120"/>
      <c r="CV4" s="120"/>
      <c r="CW4" s="120"/>
      <c r="CX4" s="120"/>
      <c r="CY4" s="120"/>
      <c r="CZ4" s="120"/>
      <c r="DA4" s="120"/>
      <c r="DB4" s="120"/>
      <c r="DC4" s="120"/>
      <c r="DD4" s="120"/>
      <c r="DE4" s="120"/>
      <c r="DF4" s="120"/>
      <c r="DG4" s="120"/>
      <c r="DH4" s="120"/>
      <c r="DI4" s="120"/>
      <c r="DJ4" s="120"/>
      <c r="DK4" s="120"/>
      <c r="DL4" s="120"/>
      <c r="DM4" s="120"/>
      <c r="DN4" s="120"/>
      <c r="DO4" s="120"/>
      <c r="DP4" s="120"/>
      <c r="DQ4" s="120"/>
      <c r="DR4" s="120"/>
      <c r="DS4" s="120"/>
      <c r="DT4" s="120"/>
      <c r="DU4" s="120"/>
      <c r="DV4" s="120"/>
      <c r="DW4" s="120"/>
      <c r="DX4" s="120"/>
      <c r="DY4" s="120"/>
      <c r="DZ4" s="120"/>
      <c r="EA4" s="120"/>
      <c r="EB4" s="120"/>
      <c r="EC4" s="120"/>
      <c r="ED4" s="120"/>
      <c r="EE4" s="120"/>
      <c r="EF4" s="120"/>
      <c r="EG4" s="120"/>
      <c r="EH4" s="120"/>
      <c r="EI4" s="120"/>
      <c r="EJ4" s="120"/>
      <c r="EK4" s="120"/>
      <c r="EL4" s="120"/>
      <c r="EM4" s="120"/>
      <c r="EN4" s="120"/>
      <c r="EO4" s="120"/>
      <c r="EP4" s="120"/>
      <c r="EQ4" s="120"/>
      <c r="ER4" s="120"/>
      <c r="ES4" s="120"/>
      <c r="ET4" s="120"/>
      <c r="EU4" s="120"/>
      <c r="EV4" s="120"/>
      <c r="EW4" s="120"/>
      <c r="EX4" s="120"/>
      <c r="EY4" s="120"/>
      <c r="EZ4" s="120"/>
      <c r="FA4" s="120"/>
      <c r="FB4" s="120"/>
      <c r="FC4" s="120"/>
      <c r="FD4" s="120"/>
      <c r="FE4" s="120"/>
      <c r="FF4" s="120"/>
      <c r="FG4" s="120"/>
      <c r="FH4" s="120"/>
      <c r="FI4" s="120"/>
      <c r="FJ4" s="120"/>
    </row>
    <row r="5" spans="1:166" s="185" customFormat="1" ht="13.5" customHeight="1">
      <c r="A5" s="118"/>
      <c r="B5" s="169" t="s">
        <v>724</v>
      </c>
      <c r="C5" s="170">
        <v>16</v>
      </c>
      <c r="D5" s="140"/>
      <c r="E5" s="169" t="s">
        <v>724</v>
      </c>
      <c r="F5" s="171">
        <v>28.6</v>
      </c>
      <c r="G5" s="140"/>
      <c r="H5" s="169" t="s">
        <v>724</v>
      </c>
      <c r="I5" s="171">
        <v>44</v>
      </c>
      <c r="K5" s="118"/>
      <c r="L5" s="169" t="s">
        <v>724</v>
      </c>
      <c r="M5" s="172">
        <f t="shared" ref="M5:M26" si="0">C5*(9/12)</f>
        <v>12</v>
      </c>
      <c r="N5" s="140"/>
      <c r="O5" s="173"/>
      <c r="P5" s="174"/>
      <c r="Q5" s="140"/>
      <c r="R5" s="173"/>
      <c r="S5" s="313"/>
      <c r="U5" s="118"/>
      <c r="V5" s="118"/>
      <c r="W5" s="118"/>
      <c r="X5" s="169"/>
      <c r="Y5" s="171"/>
      <c r="Z5" s="140"/>
      <c r="AA5" s="169"/>
      <c r="AB5" s="171"/>
      <c r="AC5" s="140"/>
      <c r="AD5" s="169"/>
      <c r="AE5" s="171"/>
      <c r="AG5" s="118"/>
      <c r="AH5" s="118"/>
      <c r="AI5" s="412"/>
      <c r="AJ5" s="413"/>
      <c r="AK5" s="171"/>
      <c r="AL5" s="140"/>
      <c r="AM5" s="169"/>
      <c r="AN5" s="171"/>
      <c r="AO5" s="140"/>
      <c r="AP5" s="169"/>
      <c r="AQ5" s="171"/>
      <c r="AS5" s="118"/>
      <c r="AT5" s="118"/>
      <c r="AU5" s="118"/>
      <c r="AV5" s="169"/>
      <c r="AW5" s="171"/>
      <c r="AX5" s="140"/>
      <c r="AY5" s="169"/>
      <c r="AZ5" s="171"/>
      <c r="BA5" s="140"/>
      <c r="BB5" s="169"/>
      <c r="BC5" s="171"/>
    </row>
    <row r="6" spans="1:166" s="185" customFormat="1" ht="13.5" customHeight="1">
      <c r="A6" s="118"/>
      <c r="B6" s="169" t="s">
        <v>725</v>
      </c>
      <c r="C6" s="170">
        <v>24</v>
      </c>
      <c r="D6" s="140"/>
      <c r="E6" s="169" t="s">
        <v>725</v>
      </c>
      <c r="F6" s="171">
        <v>43</v>
      </c>
      <c r="G6" s="140"/>
      <c r="H6" s="169" t="s">
        <v>725</v>
      </c>
      <c r="I6" s="171">
        <v>66</v>
      </c>
      <c r="K6" s="118"/>
      <c r="L6" s="169" t="s">
        <v>725</v>
      </c>
      <c r="M6" s="171">
        <f t="shared" si="0"/>
        <v>18</v>
      </c>
      <c r="N6" s="140"/>
      <c r="O6" s="173"/>
      <c r="P6" s="313"/>
      <c r="Q6" s="140"/>
      <c r="R6" s="173"/>
      <c r="S6" s="313"/>
      <c r="U6" s="118"/>
      <c r="V6" s="356" t="str">
        <f t="shared" ref="V6:V14" si="1">$E6</f>
        <v>06</v>
      </c>
      <c r="W6" s="357">
        <f t="shared" ref="W6:W14" si="2">$C6*(25/(17.5+12))</f>
        <v>20.338983050847457</v>
      </c>
      <c r="X6" s="169" t="str">
        <f>$E6</f>
        <v>06</v>
      </c>
      <c r="Y6" s="171">
        <f t="shared" ref="Y6:Y16" si="3">$F6*(25/(17.5+12))</f>
        <v>36.440677966101696</v>
      </c>
      <c r="Z6" s="140"/>
      <c r="AA6" s="419" t="str">
        <f t="shared" ref="AA6:AA16" si="4">$H6</f>
        <v>06</v>
      </c>
      <c r="AB6" s="420">
        <v>74.28</v>
      </c>
      <c r="AC6" s="140"/>
      <c r="AD6" s="419" t="str">
        <f t="shared" ref="AD6:AD19" si="5">$H6</f>
        <v>06</v>
      </c>
      <c r="AE6" s="420">
        <v>114.48</v>
      </c>
      <c r="AG6" s="118"/>
      <c r="AH6" s="356" t="str">
        <f>$E6</f>
        <v>06</v>
      </c>
      <c r="AI6" s="357">
        <f>W6*(30/25)</f>
        <v>24.406779661016948</v>
      </c>
      <c r="AJ6" s="169" t="str">
        <f>$E6</f>
        <v>06</v>
      </c>
      <c r="AK6" s="170">
        <f>Y6*(30/25)</f>
        <v>43.728813559322035</v>
      </c>
      <c r="AL6" s="140"/>
      <c r="AM6" s="580" t="str">
        <f>$H6</f>
        <v>06</v>
      </c>
      <c r="AN6" s="581">
        <f>(AB6+AZ6)/2</f>
        <v>78.33</v>
      </c>
      <c r="AO6" s="140"/>
      <c r="AP6" s="580" t="str">
        <f>$H6</f>
        <v>06</v>
      </c>
      <c r="AQ6" s="581">
        <f>(AE6+BC6)/2</f>
        <v>122.28999999999999</v>
      </c>
      <c r="AS6" s="118"/>
      <c r="AT6" s="118"/>
      <c r="AU6" s="118"/>
      <c r="AV6" s="169" t="str">
        <f>$E6</f>
        <v>06</v>
      </c>
      <c r="AW6" s="170">
        <f>AK6*(30/25)</f>
        <v>52.474576271186443</v>
      </c>
      <c r="AX6" s="140"/>
      <c r="AY6" s="419" t="str">
        <f t="shared" ref="AY6:AY16" si="6">$H6</f>
        <v>06</v>
      </c>
      <c r="AZ6" s="420">
        <v>82.38</v>
      </c>
      <c r="BA6" s="140"/>
      <c r="BB6" s="419" t="str">
        <f t="shared" ref="BB6:BB19" si="7">$H6</f>
        <v>06</v>
      </c>
      <c r="BC6" s="420">
        <v>130.1</v>
      </c>
    </row>
    <row r="7" spans="1:166" s="185" customFormat="1" ht="13.5" customHeight="1">
      <c r="A7" s="118"/>
      <c r="B7" s="169" t="s">
        <v>726</v>
      </c>
      <c r="C7" s="170">
        <v>32</v>
      </c>
      <c r="D7" s="140"/>
      <c r="E7" s="169" t="s">
        <v>726</v>
      </c>
      <c r="F7" s="171">
        <v>57.3</v>
      </c>
      <c r="G7" s="140"/>
      <c r="H7" s="169" t="s">
        <v>726</v>
      </c>
      <c r="I7" s="171">
        <v>88</v>
      </c>
      <c r="K7" s="118"/>
      <c r="L7" s="169" t="s">
        <v>726</v>
      </c>
      <c r="M7" s="171">
        <f t="shared" si="0"/>
        <v>24</v>
      </c>
      <c r="N7" s="140"/>
      <c r="O7" s="173"/>
      <c r="P7" s="313"/>
      <c r="Q7" s="140"/>
      <c r="R7" s="173"/>
      <c r="S7" s="313"/>
      <c r="U7" s="118"/>
      <c r="V7" s="356" t="str">
        <f t="shared" si="1"/>
        <v>08</v>
      </c>
      <c r="W7" s="357">
        <f t="shared" si="2"/>
        <v>27.118644067796609</v>
      </c>
      <c r="X7" s="169" t="str">
        <f t="shared" ref="X7:X16" si="8">$E7</f>
        <v>08</v>
      </c>
      <c r="Y7" s="171">
        <f t="shared" si="3"/>
        <v>48.559322033898297</v>
      </c>
      <c r="Z7" s="140"/>
      <c r="AA7" s="576" t="str">
        <f t="shared" si="4"/>
        <v>08</v>
      </c>
      <c r="AB7" s="577">
        <f>AB$6-(AA$6-AA7)*(AB$11-AB$6)/(AA$11-AA$6)</f>
        <v>81.028333333333336</v>
      </c>
      <c r="AC7" s="140"/>
      <c r="AD7" s="576" t="str">
        <f t="shared" si="5"/>
        <v>08</v>
      </c>
      <c r="AE7" s="577">
        <f>AE$6-(AD$6-AD7)*(AE$11-AE$6)/(AD$11-AD$6)</f>
        <v>126.19083333333333</v>
      </c>
      <c r="AG7" s="118"/>
      <c r="AH7" s="356" t="str">
        <f>$E7</f>
        <v>08</v>
      </c>
      <c r="AI7" s="357">
        <f>W7*(30/25)</f>
        <v>32.542372881355931</v>
      </c>
      <c r="AJ7" s="169" t="str">
        <f t="shared" ref="AJ7:AJ16" si="9">$E7</f>
        <v>08</v>
      </c>
      <c r="AK7" s="170">
        <f>Y7*(30/25)</f>
        <v>58.271186440677951</v>
      </c>
      <c r="AL7" s="140"/>
      <c r="AM7" s="580" t="str">
        <f t="shared" ref="AM7:AM16" si="10">$H7</f>
        <v>08</v>
      </c>
      <c r="AN7" s="581">
        <f t="shared" ref="AN7:AN16" si="11">(AB7+AZ7)/2</f>
        <v>86.427916666666675</v>
      </c>
      <c r="AO7" s="140"/>
      <c r="AP7" s="580" t="str">
        <f t="shared" ref="AP7:AP19" si="12">$H7</f>
        <v>08</v>
      </c>
      <c r="AQ7" s="581">
        <f t="shared" ref="AQ7:AQ19" si="13">(AE7+BC7)/2</f>
        <v>136.60249999999999</v>
      </c>
      <c r="AS7" s="118"/>
      <c r="AT7" s="118"/>
      <c r="AU7" s="118"/>
      <c r="AV7" s="169"/>
      <c r="AW7" s="171"/>
      <c r="AX7" s="140"/>
      <c r="AY7" s="576" t="str">
        <f t="shared" si="6"/>
        <v>08</v>
      </c>
      <c r="AZ7" s="577">
        <f>AZ$6-(AY$6-AY7)*(AZ$11-AZ$6)/(AY$11-AY$6)</f>
        <v>91.827500000000001</v>
      </c>
      <c r="BA7" s="140"/>
      <c r="BB7" s="576" t="str">
        <f t="shared" si="7"/>
        <v>08</v>
      </c>
      <c r="BC7" s="577">
        <f>BC$6-(BB$6-BB7)*(BC$11-BC$6)/(BB$11-BB$6)</f>
        <v>147.01416666666665</v>
      </c>
    </row>
    <row r="8" spans="1:166" s="185" customFormat="1" ht="13.5" customHeight="1">
      <c r="A8" s="118"/>
      <c r="B8" s="169">
        <v>12</v>
      </c>
      <c r="C8" s="170">
        <v>48</v>
      </c>
      <c r="D8" s="140"/>
      <c r="E8" s="169">
        <v>12</v>
      </c>
      <c r="F8" s="171">
        <v>86</v>
      </c>
      <c r="G8" s="140"/>
      <c r="H8" s="169">
        <v>12</v>
      </c>
      <c r="I8" s="171">
        <v>132</v>
      </c>
      <c r="K8" s="118"/>
      <c r="L8" s="169">
        <v>12</v>
      </c>
      <c r="M8" s="171">
        <f t="shared" si="0"/>
        <v>36</v>
      </c>
      <c r="N8" s="140"/>
      <c r="O8" s="173"/>
      <c r="P8" s="313"/>
      <c r="Q8" s="140"/>
      <c r="R8" s="173"/>
      <c r="S8" s="313"/>
      <c r="U8" s="118"/>
      <c r="V8" s="356">
        <f t="shared" si="1"/>
        <v>12</v>
      </c>
      <c r="W8" s="357">
        <f t="shared" si="2"/>
        <v>40.677966101694913</v>
      </c>
      <c r="X8" s="169">
        <f t="shared" si="8"/>
        <v>12</v>
      </c>
      <c r="Y8" s="171">
        <f t="shared" si="3"/>
        <v>72.881355932203391</v>
      </c>
      <c r="Z8" s="140"/>
      <c r="AA8" s="576">
        <f t="shared" si="4"/>
        <v>12</v>
      </c>
      <c r="AB8" s="577">
        <f>AB$6-(AA$6-AA8)*(AB$11-AB$6)/(AA$11-AA$6)</f>
        <v>94.525000000000006</v>
      </c>
      <c r="AC8" s="140"/>
      <c r="AD8" s="576">
        <f t="shared" si="5"/>
        <v>12</v>
      </c>
      <c r="AE8" s="577">
        <f>AE$6-(AD$6-AD8)*(AE$11-AE$6)/(AD$11-AD$6)</f>
        <v>149.61250000000001</v>
      </c>
      <c r="AG8" s="118"/>
      <c r="AH8" s="356">
        <f>$E8</f>
        <v>12</v>
      </c>
      <c r="AI8" s="357">
        <f>W8*(30/25)</f>
        <v>48.813559322033896</v>
      </c>
      <c r="AJ8" s="169">
        <f t="shared" si="9"/>
        <v>12</v>
      </c>
      <c r="AK8" s="170">
        <f t="shared" ref="AK8:AK16" si="14">Y8*(30/25)</f>
        <v>87.457627118644069</v>
      </c>
      <c r="AL8" s="140"/>
      <c r="AM8" s="580">
        <f t="shared" si="10"/>
        <v>12</v>
      </c>
      <c r="AN8" s="581">
        <f t="shared" si="11"/>
        <v>102.62375</v>
      </c>
      <c r="AO8" s="140"/>
      <c r="AP8" s="580">
        <f t="shared" si="12"/>
        <v>12</v>
      </c>
      <c r="AQ8" s="581">
        <f t="shared" si="13"/>
        <v>165.22750000000002</v>
      </c>
      <c r="AS8" s="118"/>
      <c r="AT8" s="118"/>
      <c r="AU8" s="118"/>
      <c r="AV8" s="169"/>
      <c r="AW8" s="171"/>
      <c r="AX8" s="140"/>
      <c r="AY8" s="576">
        <f t="shared" si="6"/>
        <v>12</v>
      </c>
      <c r="AZ8" s="577">
        <f>AZ$6-(AY$6-AY8)*(AZ$11-AZ$6)/(AY$11-AY$6)</f>
        <v>110.7225</v>
      </c>
      <c r="BA8" s="140"/>
      <c r="BB8" s="576">
        <f t="shared" si="7"/>
        <v>12</v>
      </c>
      <c r="BC8" s="577">
        <f>BC$6-(BB$6-BB8)*(BC$11-BC$6)/(BB$11-BB$6)</f>
        <v>180.8425</v>
      </c>
    </row>
    <row r="9" spans="1:166" s="185" customFormat="1" ht="13.5" customHeight="1">
      <c r="A9" s="118"/>
      <c r="B9" s="169">
        <v>18</v>
      </c>
      <c r="C9" s="170">
        <v>59</v>
      </c>
      <c r="D9" s="140"/>
      <c r="E9" s="169">
        <v>18</v>
      </c>
      <c r="F9" s="171">
        <v>100</v>
      </c>
      <c r="G9" s="140"/>
      <c r="H9" s="169">
        <v>18</v>
      </c>
      <c r="I9" s="171">
        <v>156</v>
      </c>
      <c r="K9" s="118"/>
      <c r="L9" s="169">
        <v>18</v>
      </c>
      <c r="M9" s="171">
        <f t="shared" si="0"/>
        <v>44.25</v>
      </c>
      <c r="N9" s="140"/>
      <c r="O9" s="173"/>
      <c r="P9" s="313"/>
      <c r="Q9" s="140"/>
      <c r="R9" s="173"/>
      <c r="S9" s="313"/>
      <c r="U9" s="118"/>
      <c r="V9" s="356">
        <f t="shared" si="1"/>
        <v>18</v>
      </c>
      <c r="W9" s="357">
        <f t="shared" si="2"/>
        <v>50</v>
      </c>
      <c r="X9" s="169">
        <f t="shared" si="8"/>
        <v>18</v>
      </c>
      <c r="Y9" s="171">
        <f t="shared" si="3"/>
        <v>84.745762711864401</v>
      </c>
      <c r="Z9" s="140"/>
      <c r="AA9" s="576">
        <f t="shared" si="4"/>
        <v>18</v>
      </c>
      <c r="AB9" s="577">
        <f>AB$6-(AA$6-AA9)*(AB$11-AB$6)/(AA$11-AA$6)</f>
        <v>114.77</v>
      </c>
      <c r="AC9" s="140"/>
      <c r="AD9" s="576">
        <f t="shared" si="5"/>
        <v>18</v>
      </c>
      <c r="AE9" s="577">
        <f>AE$6-(AD$6-AD9)*(AE$11-AE$6)/(AD$11-AD$6)</f>
        <v>184.745</v>
      </c>
      <c r="AG9" s="118"/>
      <c r="AH9" s="356">
        <f>$E9</f>
        <v>18</v>
      </c>
      <c r="AI9" s="357">
        <f>W9*(30/25)</f>
        <v>60</v>
      </c>
      <c r="AJ9" s="169">
        <f t="shared" si="9"/>
        <v>18</v>
      </c>
      <c r="AK9" s="170">
        <f t="shared" si="14"/>
        <v>101.69491525423727</v>
      </c>
      <c r="AL9" s="140"/>
      <c r="AM9" s="580">
        <f t="shared" si="10"/>
        <v>18</v>
      </c>
      <c r="AN9" s="581">
        <f t="shared" si="11"/>
        <v>126.91749999999999</v>
      </c>
      <c r="AO9" s="140"/>
      <c r="AP9" s="580">
        <f t="shared" si="12"/>
        <v>18</v>
      </c>
      <c r="AQ9" s="581">
        <f t="shared" si="13"/>
        <v>208.16499999999999</v>
      </c>
      <c r="AS9" s="118"/>
      <c r="AT9" s="118"/>
      <c r="AU9" s="118"/>
      <c r="AV9" s="169"/>
      <c r="AW9" s="171"/>
      <c r="AX9" s="140"/>
      <c r="AY9" s="576">
        <f t="shared" si="6"/>
        <v>18</v>
      </c>
      <c r="AZ9" s="577">
        <f>AZ$6-(AY$6-AY9)*(AZ$11-AZ$6)/(AY$11-AY$6)</f>
        <v>139.065</v>
      </c>
      <c r="BA9" s="140"/>
      <c r="BB9" s="576">
        <f t="shared" si="7"/>
        <v>18</v>
      </c>
      <c r="BC9" s="577">
        <f>BC$6-(BB$6-BB9)*(BC$11-BC$6)/(BB$11-BB$6)</f>
        <v>231.58499999999998</v>
      </c>
    </row>
    <row r="10" spans="1:166" s="185" customFormat="1" ht="13.5" customHeight="1">
      <c r="A10" s="118"/>
      <c r="B10" s="169">
        <v>24</v>
      </c>
      <c r="C10" s="170">
        <v>70</v>
      </c>
      <c r="D10" s="140"/>
      <c r="E10" s="169">
        <v>24</v>
      </c>
      <c r="F10" s="171">
        <v>114</v>
      </c>
      <c r="G10" s="140"/>
      <c r="H10" s="169">
        <v>24</v>
      </c>
      <c r="I10" s="171">
        <v>178</v>
      </c>
      <c r="K10" s="118"/>
      <c r="L10" s="169">
        <v>24</v>
      </c>
      <c r="M10" s="171">
        <f t="shared" si="0"/>
        <v>52.5</v>
      </c>
      <c r="N10" s="140"/>
      <c r="O10" s="173"/>
      <c r="P10" s="313"/>
      <c r="Q10" s="140"/>
      <c r="R10" s="173"/>
      <c r="S10" s="313"/>
      <c r="U10" s="118"/>
      <c r="V10" s="356">
        <f t="shared" si="1"/>
        <v>24</v>
      </c>
      <c r="W10" s="357">
        <f t="shared" si="2"/>
        <v>59.322033898305079</v>
      </c>
      <c r="X10" s="169">
        <f t="shared" si="8"/>
        <v>24</v>
      </c>
      <c r="Y10" s="171">
        <f t="shared" si="3"/>
        <v>96.610169491525426</v>
      </c>
      <c r="Z10" s="140"/>
      <c r="AA10" s="576">
        <f t="shared" si="4"/>
        <v>24</v>
      </c>
      <c r="AB10" s="577">
        <f>AB$6-(AA$6-AA10)*(AB$11-AB$6)/(AA$11-AA$6)</f>
        <v>135.01499999999999</v>
      </c>
      <c r="AC10" s="140"/>
      <c r="AD10" s="576">
        <f t="shared" si="5"/>
        <v>24</v>
      </c>
      <c r="AE10" s="577">
        <f>AE$6-(AD$6-AD10)*(AE$11-AE$6)/(AD$11-AD$6)</f>
        <v>219.8775</v>
      </c>
      <c r="AG10" s="118"/>
      <c r="AH10" s="356">
        <f>$E10</f>
        <v>24</v>
      </c>
      <c r="AI10" s="357">
        <f>W10*(30/25)</f>
        <v>71.18644067796609</v>
      </c>
      <c r="AJ10" s="169">
        <f t="shared" si="9"/>
        <v>24</v>
      </c>
      <c r="AK10" s="170">
        <f t="shared" si="14"/>
        <v>115.93220338983051</v>
      </c>
      <c r="AL10" s="140"/>
      <c r="AM10" s="580">
        <f t="shared" si="10"/>
        <v>24</v>
      </c>
      <c r="AN10" s="581">
        <f t="shared" si="11"/>
        <v>151.21125000000001</v>
      </c>
      <c r="AO10" s="140"/>
      <c r="AP10" s="580">
        <f t="shared" si="12"/>
        <v>24</v>
      </c>
      <c r="AQ10" s="581">
        <f t="shared" si="13"/>
        <v>251.10249999999999</v>
      </c>
      <c r="AS10" s="118"/>
      <c r="AT10" s="118"/>
      <c r="AU10" s="118"/>
      <c r="AV10" s="169"/>
      <c r="AW10" s="171"/>
      <c r="AX10" s="140"/>
      <c r="AY10" s="576">
        <f t="shared" si="6"/>
        <v>24</v>
      </c>
      <c r="AZ10" s="577">
        <f>AZ$6-(AY$6-AY10)*(AZ$11-AZ$6)/(AY$11-AY$6)</f>
        <v>167.4075</v>
      </c>
      <c r="BA10" s="140"/>
      <c r="BB10" s="576">
        <f t="shared" si="7"/>
        <v>24</v>
      </c>
      <c r="BC10" s="577">
        <f>BC$6-(BB$6-BB10)*(BC$11-BC$6)/(BB$11-BB$6)</f>
        <v>282.32749999999999</v>
      </c>
    </row>
    <row r="11" spans="1:166" s="185" customFormat="1" ht="13.5" customHeight="1">
      <c r="A11" s="118"/>
      <c r="B11" s="169">
        <v>30</v>
      </c>
      <c r="C11" s="170">
        <v>81</v>
      </c>
      <c r="D11" s="140"/>
      <c r="E11" s="169">
        <v>30</v>
      </c>
      <c r="F11" s="171">
        <v>128</v>
      </c>
      <c r="G11" s="140"/>
      <c r="H11" s="169">
        <v>30</v>
      </c>
      <c r="I11" s="171">
        <v>201</v>
      </c>
      <c r="K11" s="118"/>
      <c r="L11" s="169">
        <v>30</v>
      </c>
      <c r="M11" s="171">
        <f t="shared" si="0"/>
        <v>60.75</v>
      </c>
      <c r="N11" s="140"/>
      <c r="O11" s="173"/>
      <c r="P11" s="313"/>
      <c r="Q11" s="140"/>
      <c r="R11" s="173"/>
      <c r="S11" s="313"/>
      <c r="U11" s="118"/>
      <c r="V11" s="356">
        <f t="shared" si="1"/>
        <v>30</v>
      </c>
      <c r="W11" s="357">
        <f t="shared" si="2"/>
        <v>68.644067796610173</v>
      </c>
      <c r="X11" s="169">
        <f t="shared" si="8"/>
        <v>30</v>
      </c>
      <c r="Y11" s="171">
        <f t="shared" si="3"/>
        <v>108.47457627118644</v>
      </c>
      <c r="Z11" s="140"/>
      <c r="AA11" s="419">
        <f t="shared" si="4"/>
        <v>30</v>
      </c>
      <c r="AB11" s="420">
        <v>155.26</v>
      </c>
      <c r="AC11" s="140"/>
      <c r="AD11" s="419">
        <f t="shared" si="5"/>
        <v>30</v>
      </c>
      <c r="AE11" s="420">
        <v>255.01</v>
      </c>
      <c r="AG11" s="118"/>
      <c r="AH11" s="118"/>
      <c r="AI11" s="355"/>
      <c r="AJ11" s="169">
        <f t="shared" si="9"/>
        <v>30</v>
      </c>
      <c r="AK11" s="170">
        <f t="shared" si="14"/>
        <v>130.16949152542372</v>
      </c>
      <c r="AL11" s="140"/>
      <c r="AM11" s="580">
        <f t="shared" si="10"/>
        <v>30</v>
      </c>
      <c r="AN11" s="581">
        <f t="shared" si="11"/>
        <v>175.505</v>
      </c>
      <c r="AO11" s="140"/>
      <c r="AP11" s="580">
        <f t="shared" si="12"/>
        <v>30</v>
      </c>
      <c r="AQ11" s="581">
        <f t="shared" si="13"/>
        <v>294.03999999999996</v>
      </c>
      <c r="AS11" s="118"/>
      <c r="AT11" s="118"/>
      <c r="AU11" s="118"/>
      <c r="AV11" s="169"/>
      <c r="AW11" s="171"/>
      <c r="AX11" s="140"/>
      <c r="AY11" s="419">
        <f t="shared" si="6"/>
        <v>30</v>
      </c>
      <c r="AZ11" s="420">
        <v>195.75</v>
      </c>
      <c r="BA11" s="140"/>
      <c r="BB11" s="419">
        <f t="shared" si="7"/>
        <v>30</v>
      </c>
      <c r="BC11" s="420">
        <v>333.07</v>
      </c>
    </row>
    <row r="12" spans="1:166" s="185" customFormat="1" ht="13.5" customHeight="1">
      <c r="A12" s="118"/>
      <c r="B12" s="169">
        <v>36</v>
      </c>
      <c r="C12" s="170">
        <v>93</v>
      </c>
      <c r="D12" s="140"/>
      <c r="E12" s="169">
        <v>36</v>
      </c>
      <c r="F12" s="171">
        <v>143</v>
      </c>
      <c r="G12" s="140"/>
      <c r="H12" s="169">
        <v>36</v>
      </c>
      <c r="I12" s="171">
        <v>224</v>
      </c>
      <c r="K12" s="118"/>
      <c r="L12" s="169">
        <v>36</v>
      </c>
      <c r="M12" s="171">
        <f t="shared" si="0"/>
        <v>69.75</v>
      </c>
      <c r="N12" s="140"/>
      <c r="O12" s="173"/>
      <c r="P12" s="313"/>
      <c r="Q12" s="140"/>
      <c r="R12" s="173"/>
      <c r="S12" s="313"/>
      <c r="U12" s="118"/>
      <c r="V12" s="356">
        <f t="shared" si="1"/>
        <v>36</v>
      </c>
      <c r="W12" s="357">
        <f t="shared" si="2"/>
        <v>78.813559322033896</v>
      </c>
      <c r="X12" s="169">
        <f t="shared" si="8"/>
        <v>36</v>
      </c>
      <c r="Y12" s="171">
        <f t="shared" si="3"/>
        <v>121.18644067796609</v>
      </c>
      <c r="Z12" s="140"/>
      <c r="AA12" s="576">
        <f t="shared" si="4"/>
        <v>36</v>
      </c>
      <c r="AB12" s="577">
        <f>AB$6-(AA$6-AA12)*(AB$11-AB$6)/(AA$11-AA$6)</f>
        <v>175.505</v>
      </c>
      <c r="AC12" s="140"/>
      <c r="AD12" s="576">
        <f t="shared" si="5"/>
        <v>36</v>
      </c>
      <c r="AE12" s="577">
        <f t="shared" ref="AE12:AE19" si="15">AE$6-(AD$6-AD12)*(AE$11-AE$6)/(AD$11-AD$6)</f>
        <v>290.14249999999998</v>
      </c>
      <c r="AG12" s="118"/>
      <c r="AH12" s="118"/>
      <c r="AI12" s="355"/>
      <c r="AJ12" s="169">
        <f t="shared" si="9"/>
        <v>36</v>
      </c>
      <c r="AK12" s="170">
        <f t="shared" si="14"/>
        <v>145.42372881355931</v>
      </c>
      <c r="AL12" s="140"/>
      <c r="AM12" s="580">
        <f t="shared" si="10"/>
        <v>36</v>
      </c>
      <c r="AN12" s="581">
        <f t="shared" si="11"/>
        <v>199.79874999999998</v>
      </c>
      <c r="AO12" s="140"/>
      <c r="AP12" s="580">
        <f t="shared" si="12"/>
        <v>36</v>
      </c>
      <c r="AQ12" s="581">
        <f t="shared" si="13"/>
        <v>336.97749999999996</v>
      </c>
      <c r="AS12" s="118"/>
      <c r="AT12" s="118"/>
      <c r="AU12" s="118"/>
      <c r="AV12" s="169"/>
      <c r="AW12" s="171"/>
      <c r="AX12" s="140"/>
      <c r="AY12" s="576">
        <f t="shared" si="6"/>
        <v>36</v>
      </c>
      <c r="AZ12" s="577">
        <f>AZ$6-(AY$6-AY12)*(AZ$11-AZ$6)/(AY$11-AY$6)</f>
        <v>224.0925</v>
      </c>
      <c r="BA12" s="140"/>
      <c r="BB12" s="576">
        <f t="shared" si="7"/>
        <v>36</v>
      </c>
      <c r="BC12" s="577">
        <f t="shared" ref="BC12:BC19" si="16">BC$6-(BB$6-BB12)*(BC$11-BC$6)/(BB$11-BB$6)</f>
        <v>383.8125</v>
      </c>
    </row>
    <row r="13" spans="1:166" s="185" customFormat="1" ht="13.5" customHeight="1">
      <c r="A13" s="118"/>
      <c r="B13" s="169">
        <v>42</v>
      </c>
      <c r="C13" s="170">
        <v>105</v>
      </c>
      <c r="D13" s="140"/>
      <c r="E13" s="169">
        <v>42</v>
      </c>
      <c r="F13" s="171">
        <v>157</v>
      </c>
      <c r="G13" s="140"/>
      <c r="H13" s="169">
        <v>42</v>
      </c>
      <c r="I13" s="171">
        <v>247</v>
      </c>
      <c r="K13" s="118"/>
      <c r="L13" s="169">
        <v>42</v>
      </c>
      <c r="M13" s="171">
        <f t="shared" si="0"/>
        <v>78.75</v>
      </c>
      <c r="N13" s="140"/>
      <c r="O13" s="173"/>
      <c r="P13" s="313"/>
      <c r="Q13" s="140"/>
      <c r="R13" s="173"/>
      <c r="S13" s="313"/>
      <c r="U13" s="118"/>
      <c r="V13" s="356">
        <f t="shared" si="1"/>
        <v>42</v>
      </c>
      <c r="W13" s="357">
        <f t="shared" si="2"/>
        <v>88.983050847457619</v>
      </c>
      <c r="X13" s="169">
        <f t="shared" si="8"/>
        <v>42</v>
      </c>
      <c r="Y13" s="171">
        <f t="shared" si="3"/>
        <v>133.0508474576271</v>
      </c>
      <c r="Z13" s="140"/>
      <c r="AA13" s="576">
        <f t="shared" si="4"/>
        <v>42</v>
      </c>
      <c r="AB13" s="577">
        <f>AB$6-(AA$6-AA13)*(AB$11-AB$6)/(AA$11-AA$6)</f>
        <v>195.75</v>
      </c>
      <c r="AC13" s="140"/>
      <c r="AD13" s="576">
        <f t="shared" si="5"/>
        <v>42</v>
      </c>
      <c r="AE13" s="577">
        <f t="shared" si="15"/>
        <v>325.27499999999998</v>
      </c>
      <c r="AG13" s="118"/>
      <c r="AH13" s="118"/>
      <c r="AI13" s="355"/>
      <c r="AJ13" s="169">
        <f t="shared" si="9"/>
        <v>42</v>
      </c>
      <c r="AK13" s="170">
        <f t="shared" si="14"/>
        <v>159.66101694915253</v>
      </c>
      <c r="AL13" s="140"/>
      <c r="AM13" s="580">
        <f t="shared" si="10"/>
        <v>42</v>
      </c>
      <c r="AN13" s="581">
        <f t="shared" si="11"/>
        <v>224.0925</v>
      </c>
      <c r="AO13" s="140"/>
      <c r="AP13" s="580">
        <f t="shared" si="12"/>
        <v>42</v>
      </c>
      <c r="AQ13" s="581">
        <f t="shared" si="13"/>
        <v>379.91499999999996</v>
      </c>
      <c r="AS13" s="118"/>
      <c r="AT13" s="118"/>
      <c r="AU13" s="118"/>
      <c r="AV13" s="169"/>
      <c r="AW13" s="171"/>
      <c r="AX13" s="140"/>
      <c r="AY13" s="576">
        <f t="shared" si="6"/>
        <v>42</v>
      </c>
      <c r="AZ13" s="577">
        <f>AZ$6-(AY$6-AY13)*(AZ$11-AZ$6)/(AY$11-AY$6)</f>
        <v>252.435</v>
      </c>
      <c r="BA13" s="140"/>
      <c r="BB13" s="576">
        <f t="shared" si="7"/>
        <v>42</v>
      </c>
      <c r="BC13" s="577">
        <f t="shared" si="16"/>
        <v>434.55499999999995</v>
      </c>
    </row>
    <row r="14" spans="1:166" s="185" customFormat="1" ht="13.5" customHeight="1">
      <c r="A14" s="118"/>
      <c r="B14" s="169">
        <v>48</v>
      </c>
      <c r="C14" s="170">
        <v>116</v>
      </c>
      <c r="D14" s="140"/>
      <c r="E14" s="169">
        <v>48</v>
      </c>
      <c r="F14" s="171">
        <v>172</v>
      </c>
      <c r="G14" s="140"/>
      <c r="H14" s="169">
        <v>48</v>
      </c>
      <c r="I14" s="171">
        <v>273</v>
      </c>
      <c r="K14" s="118"/>
      <c r="L14" s="169">
        <v>48</v>
      </c>
      <c r="M14" s="171">
        <f t="shared" si="0"/>
        <v>87</v>
      </c>
      <c r="N14" s="140"/>
      <c r="O14" s="173"/>
      <c r="P14" s="313"/>
      <c r="Q14" s="140"/>
      <c r="R14" s="173"/>
      <c r="S14" s="313"/>
      <c r="U14" s="118"/>
      <c r="V14" s="356">
        <f t="shared" si="1"/>
        <v>48</v>
      </c>
      <c r="W14" s="357">
        <f t="shared" si="2"/>
        <v>98.305084745762713</v>
      </c>
      <c r="X14" s="169">
        <f t="shared" si="8"/>
        <v>48</v>
      </c>
      <c r="Y14" s="171">
        <f t="shared" si="3"/>
        <v>145.76271186440678</v>
      </c>
      <c r="Z14" s="140"/>
      <c r="AA14" s="576">
        <f t="shared" si="4"/>
        <v>48</v>
      </c>
      <c r="AB14" s="577">
        <f>AB$6-(AA$6-AA14)*(AB$11-AB$6)/(AA$11-AA$6)</f>
        <v>215.99499999999998</v>
      </c>
      <c r="AC14" s="140"/>
      <c r="AD14" s="576">
        <f t="shared" si="5"/>
        <v>48</v>
      </c>
      <c r="AE14" s="577">
        <f t="shared" si="15"/>
        <v>360.40749999999991</v>
      </c>
      <c r="AG14" s="118"/>
      <c r="AH14" s="118"/>
      <c r="AI14" s="355"/>
      <c r="AJ14" s="169">
        <f t="shared" si="9"/>
        <v>48</v>
      </c>
      <c r="AK14" s="170">
        <f t="shared" si="14"/>
        <v>174.91525423728814</v>
      </c>
      <c r="AL14" s="140"/>
      <c r="AM14" s="580">
        <f t="shared" si="10"/>
        <v>48</v>
      </c>
      <c r="AN14" s="581">
        <f t="shared" si="11"/>
        <v>248.38625000000002</v>
      </c>
      <c r="AO14" s="140"/>
      <c r="AP14" s="580">
        <f t="shared" si="12"/>
        <v>48</v>
      </c>
      <c r="AQ14" s="581">
        <f>(AE14+BC14)/2</f>
        <v>422.85249999999996</v>
      </c>
      <c r="AS14" s="118"/>
      <c r="AT14" s="118"/>
      <c r="AU14" s="118"/>
      <c r="AV14" s="169"/>
      <c r="AW14" s="171"/>
      <c r="AX14" s="140"/>
      <c r="AY14" s="576">
        <f t="shared" si="6"/>
        <v>48</v>
      </c>
      <c r="AZ14" s="577">
        <f>AZ$6-(AY$6-AY14)*(AZ$11-AZ$6)/(AY$11-AY$6)</f>
        <v>280.77750000000003</v>
      </c>
      <c r="BA14" s="140"/>
      <c r="BB14" s="576">
        <f t="shared" si="7"/>
        <v>48</v>
      </c>
      <c r="BC14" s="577">
        <f t="shared" si="16"/>
        <v>485.29750000000001</v>
      </c>
    </row>
    <row r="15" spans="1:166" s="185" customFormat="1" ht="13.5" customHeight="1">
      <c r="A15" s="118"/>
      <c r="B15" s="169">
        <v>54</v>
      </c>
      <c r="C15" s="170">
        <v>127</v>
      </c>
      <c r="D15" s="140"/>
      <c r="E15" s="169">
        <v>54</v>
      </c>
      <c r="F15" s="171">
        <v>186</v>
      </c>
      <c r="G15" s="140"/>
      <c r="H15" s="169">
        <v>54</v>
      </c>
      <c r="I15" s="171">
        <v>296</v>
      </c>
      <c r="K15" s="118"/>
      <c r="L15" s="169">
        <v>54</v>
      </c>
      <c r="M15" s="171">
        <f t="shared" si="0"/>
        <v>95.25</v>
      </c>
      <c r="N15" s="140"/>
      <c r="O15" s="173"/>
      <c r="P15" s="313"/>
      <c r="Q15" s="140"/>
      <c r="R15" s="173"/>
      <c r="S15" s="313"/>
      <c r="U15" s="118"/>
      <c r="V15" s="118"/>
      <c r="W15" s="118"/>
      <c r="X15" s="169">
        <f t="shared" si="8"/>
        <v>54</v>
      </c>
      <c r="Y15" s="171">
        <f t="shared" si="3"/>
        <v>157.62711864406779</v>
      </c>
      <c r="Z15" s="140"/>
      <c r="AA15" s="576">
        <f t="shared" si="4"/>
        <v>54</v>
      </c>
      <c r="AB15" s="577">
        <f>AB$6-(AA$6-AA15)*(AB$11-AB$6)/(AA$11-AA$6)</f>
        <v>236.23999999999998</v>
      </c>
      <c r="AC15" s="140"/>
      <c r="AD15" s="576">
        <f t="shared" si="5"/>
        <v>54</v>
      </c>
      <c r="AE15" s="577">
        <f t="shared" si="15"/>
        <v>395.53999999999996</v>
      </c>
      <c r="AG15" s="118"/>
      <c r="AH15" s="118"/>
      <c r="AI15" s="355"/>
      <c r="AJ15" s="169">
        <f t="shared" si="9"/>
        <v>54</v>
      </c>
      <c r="AK15" s="170">
        <f t="shared" si="14"/>
        <v>189.15254237288136</v>
      </c>
      <c r="AL15" s="140"/>
      <c r="AM15" s="580">
        <f t="shared" si="10"/>
        <v>54</v>
      </c>
      <c r="AN15" s="581">
        <f t="shared" si="11"/>
        <v>272.68</v>
      </c>
      <c r="AO15" s="140"/>
      <c r="AP15" s="580">
        <f t="shared" si="12"/>
        <v>54</v>
      </c>
      <c r="AQ15" s="581">
        <f t="shared" si="13"/>
        <v>465.78999999999996</v>
      </c>
      <c r="AS15" s="118"/>
      <c r="AT15" s="118"/>
      <c r="AU15" s="118"/>
      <c r="AV15" s="169"/>
      <c r="AW15" s="171"/>
      <c r="AX15" s="140"/>
      <c r="AY15" s="576">
        <f t="shared" si="6"/>
        <v>54</v>
      </c>
      <c r="AZ15" s="577">
        <f>AZ$6-(AY$6-AY15)*(AZ$11-AZ$6)/(AY$11-AY$6)</f>
        <v>309.12</v>
      </c>
      <c r="BA15" s="140"/>
      <c r="BB15" s="576">
        <f t="shared" si="7"/>
        <v>54</v>
      </c>
      <c r="BC15" s="577">
        <f t="shared" si="16"/>
        <v>536.04</v>
      </c>
    </row>
    <row r="16" spans="1:166" s="185" customFormat="1" ht="13.5" customHeight="1">
      <c r="A16" s="118"/>
      <c r="B16" s="169">
        <v>60</v>
      </c>
      <c r="C16" s="170">
        <v>139</v>
      </c>
      <c r="D16" s="140"/>
      <c r="E16" s="169">
        <v>60</v>
      </c>
      <c r="F16" s="171">
        <v>200</v>
      </c>
      <c r="G16" s="140"/>
      <c r="H16" s="169">
        <v>60</v>
      </c>
      <c r="I16" s="171">
        <v>319</v>
      </c>
      <c r="K16" s="118"/>
      <c r="L16" s="169">
        <v>60</v>
      </c>
      <c r="M16" s="171">
        <f t="shared" si="0"/>
        <v>104.25</v>
      </c>
      <c r="N16" s="140"/>
      <c r="O16" s="173"/>
      <c r="P16" s="313"/>
      <c r="Q16" s="140"/>
      <c r="R16" s="173"/>
      <c r="S16" s="313"/>
      <c r="U16" s="118"/>
      <c r="V16" s="118"/>
      <c r="W16" s="118"/>
      <c r="X16" s="169">
        <f t="shared" si="8"/>
        <v>60</v>
      </c>
      <c r="Y16" s="171">
        <f t="shared" si="3"/>
        <v>169.4915254237288</v>
      </c>
      <c r="Z16" s="140"/>
      <c r="AA16" s="576">
        <f t="shared" si="4"/>
        <v>60</v>
      </c>
      <c r="AB16" s="577">
        <f>AB$6-(AA$6-AA16)*(AB$11-AB$6)/(AA$11-AA$6)</f>
        <v>256.48499999999996</v>
      </c>
      <c r="AC16" s="140"/>
      <c r="AD16" s="576">
        <f t="shared" si="5"/>
        <v>60</v>
      </c>
      <c r="AE16" s="577">
        <f t="shared" si="15"/>
        <v>430.67249999999996</v>
      </c>
      <c r="AG16" s="118"/>
      <c r="AH16" s="118"/>
      <c r="AI16" s="355"/>
      <c r="AJ16" s="169">
        <f t="shared" si="9"/>
        <v>60</v>
      </c>
      <c r="AK16" s="170">
        <f t="shared" si="14"/>
        <v>203.38983050847455</v>
      </c>
      <c r="AL16" s="140"/>
      <c r="AM16" s="580">
        <f t="shared" si="10"/>
        <v>60</v>
      </c>
      <c r="AN16" s="581">
        <f t="shared" si="11"/>
        <v>296.97375</v>
      </c>
      <c r="AO16" s="140"/>
      <c r="AP16" s="580">
        <f t="shared" si="12"/>
        <v>60</v>
      </c>
      <c r="AQ16" s="581">
        <f t="shared" si="13"/>
        <v>508.72749999999996</v>
      </c>
      <c r="AS16" s="118"/>
      <c r="AT16" s="118"/>
      <c r="AU16" s="118"/>
      <c r="AV16" s="169"/>
      <c r="AW16" s="171"/>
      <c r="AX16" s="140"/>
      <c r="AY16" s="576">
        <f t="shared" si="6"/>
        <v>60</v>
      </c>
      <c r="AZ16" s="577">
        <f>AZ$6-(AY$6-AY16)*(AZ$11-AZ$6)/(AY$11-AY$6)</f>
        <v>337.46249999999998</v>
      </c>
      <c r="BA16" s="140"/>
      <c r="BB16" s="576">
        <f t="shared" si="7"/>
        <v>60</v>
      </c>
      <c r="BC16" s="577">
        <f t="shared" si="16"/>
        <v>586.78249999999991</v>
      </c>
    </row>
    <row r="17" spans="1:166" s="185" customFormat="1" ht="13.5" customHeight="1">
      <c r="A17" s="118"/>
      <c r="B17" s="169">
        <v>66</v>
      </c>
      <c r="C17" s="170">
        <v>150</v>
      </c>
      <c r="D17" s="140"/>
      <c r="E17" s="169">
        <v>66</v>
      </c>
      <c r="F17" s="171">
        <v>214</v>
      </c>
      <c r="H17" s="169">
        <v>66</v>
      </c>
      <c r="I17" s="171">
        <v>342</v>
      </c>
      <c r="K17" s="118"/>
      <c r="L17" s="169">
        <v>66</v>
      </c>
      <c r="M17" s="171">
        <f t="shared" si="0"/>
        <v>112.5</v>
      </c>
      <c r="N17" s="140"/>
      <c r="O17" s="173"/>
      <c r="P17" s="313"/>
      <c r="R17" s="173"/>
      <c r="S17" s="313"/>
      <c r="U17" s="118"/>
      <c r="V17" s="118"/>
      <c r="W17" s="118"/>
      <c r="X17" s="169"/>
      <c r="Y17" s="171"/>
      <c r="AA17" s="169"/>
      <c r="AB17" s="171"/>
      <c r="AD17" s="576">
        <f t="shared" si="5"/>
        <v>66</v>
      </c>
      <c r="AE17" s="577">
        <f t="shared" si="15"/>
        <v>465.80500000000001</v>
      </c>
      <c r="AG17" s="118"/>
      <c r="AH17" s="118"/>
      <c r="AI17" s="355"/>
      <c r="AJ17" s="169"/>
      <c r="AK17" s="170"/>
      <c r="AM17" s="580"/>
      <c r="AN17" s="581"/>
      <c r="AP17" s="580">
        <f t="shared" si="12"/>
        <v>66</v>
      </c>
      <c r="AQ17" s="581">
        <f t="shared" si="13"/>
        <v>551.66499999999996</v>
      </c>
      <c r="AS17" s="118"/>
      <c r="AT17" s="118"/>
      <c r="AU17" s="118"/>
      <c r="AV17" s="169"/>
      <c r="AW17" s="171"/>
      <c r="AY17" s="169"/>
      <c r="AZ17" s="171"/>
      <c r="BB17" s="576">
        <f t="shared" si="7"/>
        <v>66</v>
      </c>
      <c r="BC17" s="577">
        <f t="shared" si="16"/>
        <v>637.52499999999998</v>
      </c>
    </row>
    <row r="18" spans="1:166" s="185" customFormat="1" ht="13.5" customHeight="1">
      <c r="A18" s="118"/>
      <c r="B18" s="169">
        <v>72</v>
      </c>
      <c r="C18" s="170">
        <v>161</v>
      </c>
      <c r="D18" s="140"/>
      <c r="E18" s="169">
        <v>72</v>
      </c>
      <c r="F18" s="171">
        <v>228</v>
      </c>
      <c r="H18" s="169">
        <v>72</v>
      </c>
      <c r="I18" s="171">
        <v>365</v>
      </c>
      <c r="K18" s="118"/>
      <c r="L18" s="169">
        <v>72</v>
      </c>
      <c r="M18" s="171">
        <f t="shared" si="0"/>
        <v>120.75</v>
      </c>
      <c r="N18" s="140"/>
      <c r="O18" s="173"/>
      <c r="P18" s="313"/>
      <c r="R18" s="173"/>
      <c r="S18" s="313"/>
      <c r="U18" s="118"/>
      <c r="V18" s="118"/>
      <c r="W18" s="118"/>
      <c r="X18" s="169"/>
      <c r="Y18" s="171"/>
      <c r="AA18" s="169"/>
      <c r="AB18" s="171"/>
      <c r="AD18" s="576">
        <f t="shared" si="5"/>
        <v>72</v>
      </c>
      <c r="AE18" s="577">
        <f t="shared" si="15"/>
        <v>500.93749999999994</v>
      </c>
      <c r="AG18" s="118"/>
      <c r="AH18" s="118"/>
      <c r="AI18" s="355"/>
      <c r="AJ18" s="169"/>
      <c r="AK18" s="170"/>
      <c r="AM18" s="580"/>
      <c r="AN18" s="581"/>
      <c r="AP18" s="580">
        <f t="shared" si="12"/>
        <v>72</v>
      </c>
      <c r="AQ18" s="581">
        <f t="shared" si="13"/>
        <v>594.60249999999996</v>
      </c>
      <c r="AS18" s="118"/>
      <c r="AT18" s="118"/>
      <c r="AU18" s="118"/>
      <c r="AV18" s="169"/>
      <c r="AW18" s="171"/>
      <c r="AY18" s="169"/>
      <c r="AZ18" s="171"/>
      <c r="BB18" s="576">
        <f t="shared" si="7"/>
        <v>72</v>
      </c>
      <c r="BC18" s="577">
        <f t="shared" si="16"/>
        <v>688.26750000000004</v>
      </c>
    </row>
    <row r="19" spans="1:166" s="185" customFormat="1" ht="13.5" customHeight="1">
      <c r="A19" s="118"/>
      <c r="B19" s="169">
        <v>78</v>
      </c>
      <c r="C19" s="170">
        <f t="shared" ref="C19:C26" si="17">+C18+11</f>
        <v>172</v>
      </c>
      <c r="E19" s="169">
        <v>78</v>
      </c>
      <c r="F19" s="171">
        <f>+F18+14</f>
        <v>242</v>
      </c>
      <c r="H19" s="169">
        <v>78</v>
      </c>
      <c r="I19" s="171">
        <f>+I18+23</f>
        <v>388</v>
      </c>
      <c r="K19" s="118"/>
      <c r="L19" s="169">
        <v>78</v>
      </c>
      <c r="M19" s="171">
        <f t="shared" si="0"/>
        <v>129</v>
      </c>
      <c r="O19" s="173"/>
      <c r="P19" s="313"/>
      <c r="R19" s="173"/>
      <c r="S19" s="313"/>
      <c r="U19" s="118"/>
      <c r="V19" s="118"/>
      <c r="W19" s="118"/>
      <c r="X19" s="169"/>
      <c r="Y19" s="171"/>
      <c r="AA19" s="169"/>
      <c r="AB19" s="171"/>
      <c r="AD19" s="576">
        <f t="shared" si="5"/>
        <v>78</v>
      </c>
      <c r="AE19" s="577">
        <f t="shared" si="15"/>
        <v>536.06999999999994</v>
      </c>
      <c r="AG19" s="118"/>
      <c r="AH19" s="118"/>
      <c r="AI19" s="355"/>
      <c r="AJ19" s="169"/>
      <c r="AK19" s="170"/>
      <c r="AM19" s="169"/>
      <c r="AN19" s="171"/>
      <c r="AP19" s="580">
        <f t="shared" si="12"/>
        <v>78</v>
      </c>
      <c r="AQ19" s="581">
        <f t="shared" si="13"/>
        <v>637.54</v>
      </c>
      <c r="AS19" s="118"/>
      <c r="AT19" s="118"/>
      <c r="AU19" s="118"/>
      <c r="AV19" s="169"/>
      <c r="AW19" s="171"/>
      <c r="AY19" s="169"/>
      <c r="AZ19" s="171"/>
      <c r="BB19" s="576">
        <f t="shared" si="7"/>
        <v>78</v>
      </c>
      <c r="BC19" s="577">
        <f t="shared" si="16"/>
        <v>739.01</v>
      </c>
    </row>
    <row r="20" spans="1:166" s="185" customFormat="1" ht="13.5" customHeight="1">
      <c r="A20" s="118"/>
      <c r="B20" s="169">
        <f>+B19+6</f>
        <v>84</v>
      </c>
      <c r="C20" s="170">
        <f t="shared" si="17"/>
        <v>183</v>
      </c>
      <c r="E20" s="169">
        <f>+E19+6</f>
        <v>84</v>
      </c>
      <c r="F20" s="171">
        <f>+F19+14</f>
        <v>256</v>
      </c>
      <c r="H20" s="169">
        <f>+H19+6</f>
        <v>84</v>
      </c>
      <c r="I20" s="171">
        <f>+I19+23</f>
        <v>411</v>
      </c>
      <c r="K20" s="118"/>
      <c r="L20" s="169">
        <f>+L19+6</f>
        <v>84</v>
      </c>
      <c r="M20" s="171">
        <f t="shared" si="0"/>
        <v>137.25</v>
      </c>
      <c r="O20" s="173"/>
      <c r="P20" s="313"/>
      <c r="R20" s="173"/>
      <c r="S20" s="313"/>
      <c r="U20" s="118"/>
      <c r="V20" s="118"/>
      <c r="W20" s="118"/>
      <c r="X20" s="169"/>
      <c r="Y20" s="171"/>
      <c r="AA20" s="169"/>
      <c r="AB20" s="171"/>
      <c r="AD20" s="576"/>
      <c r="AE20" s="577"/>
      <c r="AG20" s="118"/>
      <c r="AH20" s="118"/>
      <c r="AI20" s="355"/>
      <c r="AJ20" s="169"/>
      <c r="AK20" s="170"/>
      <c r="AM20" s="169"/>
      <c r="AN20" s="171"/>
      <c r="AP20" s="580"/>
      <c r="AQ20" s="581"/>
      <c r="AS20" s="118"/>
      <c r="AT20" s="118"/>
      <c r="AU20" s="118"/>
      <c r="AV20" s="169"/>
      <c r="AW20" s="171"/>
      <c r="AY20" s="169"/>
      <c r="AZ20" s="171"/>
      <c r="BB20" s="576"/>
      <c r="BC20" s="577"/>
    </row>
    <row r="21" spans="1:166" s="185" customFormat="1" ht="13.5" customHeight="1">
      <c r="A21" s="118"/>
      <c r="B21" s="169">
        <v>90</v>
      </c>
      <c r="C21" s="170">
        <f t="shared" si="17"/>
        <v>194</v>
      </c>
      <c r="E21" s="169">
        <v>90</v>
      </c>
      <c r="F21" s="171">
        <f>+F20+14</f>
        <v>270</v>
      </c>
      <c r="H21" s="169">
        <v>90</v>
      </c>
      <c r="I21" s="171">
        <f>+I20+23</f>
        <v>434</v>
      </c>
      <c r="K21" s="118"/>
      <c r="L21" s="169">
        <v>90</v>
      </c>
      <c r="M21" s="171">
        <f t="shared" si="0"/>
        <v>145.5</v>
      </c>
      <c r="O21" s="173"/>
      <c r="P21" s="313"/>
      <c r="R21" s="173"/>
      <c r="S21" s="313"/>
      <c r="U21" s="118"/>
      <c r="V21" s="118"/>
      <c r="W21" s="118"/>
      <c r="X21" s="169"/>
      <c r="Y21" s="171"/>
      <c r="AA21" s="169"/>
      <c r="AB21" s="171"/>
      <c r="AD21" s="576"/>
      <c r="AE21" s="577"/>
      <c r="AG21" s="118"/>
      <c r="AH21" s="118"/>
      <c r="AI21" s="355"/>
      <c r="AJ21" s="169"/>
      <c r="AK21" s="170"/>
      <c r="AM21" s="169"/>
      <c r="AN21" s="171"/>
      <c r="AP21" s="580"/>
      <c r="AQ21" s="581"/>
      <c r="AS21" s="118"/>
      <c r="AT21" s="118"/>
      <c r="AU21" s="118"/>
      <c r="AV21" s="169"/>
      <c r="AW21" s="171"/>
      <c r="AY21" s="169"/>
      <c r="AZ21" s="171"/>
      <c r="BB21" s="576"/>
      <c r="BC21" s="577"/>
    </row>
    <row r="22" spans="1:166" s="185" customFormat="1" ht="13.5" customHeight="1">
      <c r="A22" s="118"/>
      <c r="B22" s="169">
        <v>96</v>
      </c>
      <c r="C22" s="170">
        <f t="shared" si="17"/>
        <v>205</v>
      </c>
      <c r="E22" s="169">
        <v>96</v>
      </c>
      <c r="F22" s="171">
        <f>+F21+11</f>
        <v>281</v>
      </c>
      <c r="H22" s="169">
        <v>94</v>
      </c>
      <c r="I22" s="171">
        <f>+I21+11</f>
        <v>445</v>
      </c>
      <c r="K22" s="118"/>
      <c r="L22" s="169">
        <v>96</v>
      </c>
      <c r="M22" s="171">
        <f t="shared" si="0"/>
        <v>153.75</v>
      </c>
      <c r="O22" s="173"/>
      <c r="P22" s="313"/>
      <c r="R22" s="173"/>
      <c r="S22" s="313"/>
      <c r="U22" s="118"/>
      <c r="V22" s="118"/>
      <c r="W22" s="118"/>
      <c r="X22" s="169"/>
      <c r="Y22" s="171"/>
      <c r="AA22" s="169"/>
      <c r="AB22" s="171"/>
      <c r="AD22" s="576"/>
      <c r="AE22" s="577"/>
      <c r="AG22" s="118"/>
      <c r="AH22" s="118"/>
      <c r="AI22" s="355"/>
      <c r="AJ22" s="169"/>
      <c r="AK22" s="170"/>
      <c r="AM22" s="169"/>
      <c r="AN22" s="171"/>
      <c r="AP22" s="580"/>
      <c r="AQ22" s="581"/>
      <c r="AS22" s="118"/>
      <c r="AT22" s="118"/>
      <c r="AU22" s="118"/>
      <c r="AV22" s="169"/>
      <c r="AW22" s="171"/>
      <c r="AY22" s="169"/>
      <c r="AZ22" s="171"/>
      <c r="BB22" s="576"/>
      <c r="BC22" s="577"/>
    </row>
    <row r="23" spans="1:166" s="185" customFormat="1" ht="13.5" customHeight="1">
      <c r="A23" s="118"/>
      <c r="B23" s="169">
        <v>102</v>
      </c>
      <c r="C23" s="170">
        <f t="shared" si="17"/>
        <v>216</v>
      </c>
      <c r="E23" s="169">
        <v>102</v>
      </c>
      <c r="F23" s="361">
        <f>(F22-F21)*(E23-E22)/(E22-E21)+F22</f>
        <v>292</v>
      </c>
      <c r="H23" s="169">
        <v>102</v>
      </c>
      <c r="I23" s="361">
        <f>(I22-I21)*(H23-H22)/(H22-H21)+I22</f>
        <v>467</v>
      </c>
      <c r="K23" s="118"/>
      <c r="L23" s="169">
        <v>102</v>
      </c>
      <c r="M23" s="171">
        <f t="shared" si="0"/>
        <v>162</v>
      </c>
      <c r="O23" s="173"/>
      <c r="P23" s="313"/>
      <c r="R23" s="173"/>
      <c r="S23" s="313"/>
      <c r="U23" s="118"/>
      <c r="V23" s="118"/>
      <c r="W23" s="118"/>
      <c r="X23" s="169"/>
      <c r="Y23" s="171"/>
      <c r="AA23" s="169"/>
      <c r="AB23" s="171"/>
      <c r="AD23" s="576"/>
      <c r="AE23" s="577"/>
      <c r="AG23" s="118"/>
      <c r="AH23" s="118"/>
      <c r="AI23" s="355"/>
      <c r="AJ23" s="169"/>
      <c r="AK23" s="170"/>
      <c r="AM23" s="169"/>
      <c r="AN23" s="171"/>
      <c r="AP23" s="580"/>
      <c r="AQ23" s="581"/>
      <c r="AS23" s="118"/>
      <c r="AT23" s="118"/>
      <c r="AU23" s="118"/>
      <c r="AV23" s="169"/>
      <c r="AW23" s="171"/>
      <c r="AY23" s="169"/>
      <c r="AZ23" s="171"/>
      <c r="BB23" s="576"/>
      <c r="BC23" s="577"/>
    </row>
    <row r="24" spans="1:166" s="185" customFormat="1" ht="13.5" customHeight="1">
      <c r="A24" s="118"/>
      <c r="B24" s="169">
        <v>108</v>
      </c>
      <c r="C24" s="170">
        <f t="shared" si="17"/>
        <v>227</v>
      </c>
      <c r="E24" s="169">
        <v>108</v>
      </c>
      <c r="F24" s="361">
        <f>(F23-F22)*(E24-E23)/(E23-E22)+F23</f>
        <v>303</v>
      </c>
      <c r="H24" s="169">
        <v>108</v>
      </c>
      <c r="I24" s="361">
        <f>(I23-I22)*(H24-H23)/(H23-H22)+I23</f>
        <v>483.5</v>
      </c>
      <c r="K24" s="118"/>
      <c r="L24" s="169">
        <v>108</v>
      </c>
      <c r="M24" s="171">
        <f t="shared" si="0"/>
        <v>170.25</v>
      </c>
      <c r="O24" s="173"/>
      <c r="P24" s="313"/>
      <c r="R24" s="173"/>
      <c r="S24" s="313"/>
      <c r="U24" s="118"/>
      <c r="V24" s="118"/>
      <c r="W24" s="118"/>
      <c r="X24" s="169"/>
      <c r="Y24" s="171"/>
      <c r="AA24" s="169"/>
      <c r="AB24" s="171"/>
      <c r="AD24" s="576"/>
      <c r="AE24" s="577"/>
      <c r="AG24" s="118"/>
      <c r="AH24" s="118"/>
      <c r="AI24" s="355"/>
      <c r="AJ24" s="169"/>
      <c r="AK24" s="170"/>
      <c r="AM24" s="169"/>
      <c r="AN24" s="171"/>
      <c r="AP24" s="580"/>
      <c r="AQ24" s="581"/>
      <c r="AS24" s="118"/>
      <c r="AT24" s="118"/>
      <c r="AU24" s="118"/>
      <c r="AV24" s="169"/>
      <c r="AW24" s="171"/>
      <c r="AY24" s="169"/>
      <c r="AZ24" s="171"/>
      <c r="BB24" s="576"/>
      <c r="BC24" s="577"/>
    </row>
    <row r="25" spans="1:166" s="185" customFormat="1" ht="13.5" customHeight="1">
      <c r="A25" s="118"/>
      <c r="B25" s="169">
        <v>114</v>
      </c>
      <c r="C25" s="170">
        <f t="shared" si="17"/>
        <v>238</v>
      </c>
      <c r="E25" s="169">
        <v>114</v>
      </c>
      <c r="F25" s="361">
        <f>(F24-F23)*(E25-E24)/(E24-E23)+F24</f>
        <v>314</v>
      </c>
      <c r="H25" s="169">
        <v>114</v>
      </c>
      <c r="I25" s="361">
        <f>(I24-I23)*(H25-H24)/(H24-H23)+I24</f>
        <v>500</v>
      </c>
      <c r="K25" s="118"/>
      <c r="L25" s="169">
        <v>114</v>
      </c>
      <c r="M25" s="171">
        <f t="shared" si="0"/>
        <v>178.5</v>
      </c>
      <c r="O25" s="173"/>
      <c r="P25" s="313"/>
      <c r="R25" s="173"/>
      <c r="S25" s="313"/>
      <c r="U25" s="118"/>
      <c r="V25" s="118"/>
      <c r="W25" s="118"/>
      <c r="X25" s="169"/>
      <c r="Y25" s="171"/>
      <c r="AA25" s="169"/>
      <c r="AB25" s="171"/>
      <c r="AD25" s="576"/>
      <c r="AE25" s="577"/>
      <c r="AG25" s="118"/>
      <c r="AH25" s="118"/>
      <c r="AI25" s="355"/>
      <c r="AJ25" s="169"/>
      <c r="AK25" s="170"/>
      <c r="AM25" s="169"/>
      <c r="AN25" s="171"/>
      <c r="AP25" s="580"/>
      <c r="AQ25" s="581"/>
      <c r="AS25" s="118"/>
      <c r="AT25" s="118"/>
      <c r="AU25" s="118"/>
      <c r="AV25" s="169"/>
      <c r="AW25" s="171"/>
      <c r="AY25" s="169"/>
      <c r="AZ25" s="171"/>
      <c r="BB25" s="576"/>
      <c r="BC25" s="577"/>
    </row>
    <row r="26" spans="1:166" s="185" customFormat="1" ht="13.5" customHeight="1">
      <c r="A26" s="118"/>
      <c r="B26" s="175">
        <v>120</v>
      </c>
      <c r="C26" s="176">
        <f t="shared" si="17"/>
        <v>249</v>
      </c>
      <c r="E26" s="175">
        <v>120</v>
      </c>
      <c r="F26" s="361">
        <f>(F25-F24)*(E26-E25)/(E25-E24)+F25</f>
        <v>325</v>
      </c>
      <c r="H26" s="175">
        <v>120</v>
      </c>
      <c r="I26" s="361">
        <f>(I25-I24)*(H26-H25)/(H25-H24)+I25</f>
        <v>516.5</v>
      </c>
      <c r="K26" s="118"/>
      <c r="L26" s="175">
        <v>120</v>
      </c>
      <c r="M26" s="177">
        <f t="shared" si="0"/>
        <v>186.75</v>
      </c>
      <c r="O26" s="178"/>
      <c r="P26" s="179"/>
      <c r="R26" s="178"/>
      <c r="S26" s="179"/>
      <c r="U26" s="118"/>
      <c r="V26" s="118"/>
      <c r="W26" s="118"/>
      <c r="X26" s="175"/>
      <c r="Y26" s="177"/>
      <c r="AA26" s="175"/>
      <c r="AB26" s="177"/>
      <c r="AD26" s="175"/>
      <c r="AE26" s="177"/>
      <c r="AG26" s="118"/>
      <c r="AH26" s="118"/>
      <c r="AI26" s="355"/>
      <c r="AJ26" s="175"/>
      <c r="AK26" s="176"/>
      <c r="AM26" s="175"/>
      <c r="AN26" s="177"/>
      <c r="AP26" s="175"/>
      <c r="AQ26" s="177"/>
      <c r="AS26" s="118"/>
      <c r="AT26" s="118"/>
      <c r="AU26" s="118"/>
      <c r="AV26" s="175"/>
      <c r="AW26" s="177"/>
      <c r="AY26" s="175"/>
      <c r="AZ26" s="177"/>
      <c r="BB26" s="175"/>
      <c r="BC26" s="177"/>
    </row>
    <row r="27" spans="1:166" s="185" customFormat="1" ht="16.5" customHeight="1" thickBot="1">
      <c r="A27" s="118"/>
      <c r="B27" s="180"/>
      <c r="C27" s="117"/>
      <c r="E27" s="116"/>
      <c r="F27" s="117"/>
      <c r="H27" s="116"/>
      <c r="I27" s="117"/>
    </row>
    <row r="28" spans="1:166" s="20" customFormat="1" ht="25.5" customHeight="1" thickBot="1">
      <c r="A28" s="364" t="s">
        <v>1508</v>
      </c>
      <c r="B28" s="310" t="s">
        <v>1043</v>
      </c>
      <c r="C28" s="310" t="s">
        <v>719</v>
      </c>
      <c r="D28" s="167"/>
      <c r="E28" s="310" t="s">
        <v>1043</v>
      </c>
      <c r="F28" s="310" t="s">
        <v>719</v>
      </c>
      <c r="G28" s="167"/>
      <c r="H28" s="310" t="s">
        <v>1043</v>
      </c>
      <c r="I28" s="310" t="s">
        <v>719</v>
      </c>
      <c r="J28" s="120"/>
      <c r="K28" s="120"/>
      <c r="L28" s="120"/>
      <c r="M28" s="120"/>
      <c r="N28" s="120"/>
      <c r="O28" s="120"/>
      <c r="P28" s="120"/>
      <c r="Q28" s="120"/>
      <c r="R28" s="120"/>
      <c r="S28" s="120"/>
      <c r="T28" s="120"/>
      <c r="U28" s="364" t="s">
        <v>1508</v>
      </c>
      <c r="V28" s="310" t="s">
        <v>1043</v>
      </c>
      <c r="W28" s="310" t="s">
        <v>719</v>
      </c>
      <c r="X28" s="310" t="s">
        <v>1043</v>
      </c>
      <c r="Y28" s="310" t="s">
        <v>719</v>
      </c>
      <c r="Z28" s="167"/>
      <c r="AA28" s="310" t="s">
        <v>1043</v>
      </c>
      <c r="AB28" s="310" t="s">
        <v>719</v>
      </c>
      <c r="AC28" s="167"/>
      <c r="AD28" s="310" t="s">
        <v>1043</v>
      </c>
      <c r="AE28" s="310" t="s">
        <v>719</v>
      </c>
      <c r="AF28" s="120"/>
      <c r="AG28" s="364" t="s">
        <v>1508</v>
      </c>
      <c r="AH28" s="310"/>
      <c r="AI28" s="310"/>
      <c r="AJ28" s="310" t="s">
        <v>1043</v>
      </c>
      <c r="AK28" s="310" t="s">
        <v>719</v>
      </c>
      <c r="AL28" s="167"/>
      <c r="AM28" s="310" t="s">
        <v>1043</v>
      </c>
      <c r="AN28" s="310" t="s">
        <v>719</v>
      </c>
      <c r="AO28" s="167"/>
      <c r="AP28" s="310" t="s">
        <v>1043</v>
      </c>
      <c r="AQ28" s="310" t="s">
        <v>719</v>
      </c>
      <c r="AR28" s="120"/>
      <c r="AS28" s="364" t="s">
        <v>1508</v>
      </c>
      <c r="AT28" s="310"/>
      <c r="AU28" s="310"/>
      <c r="AV28" s="310" t="s">
        <v>1043</v>
      </c>
      <c r="AW28" s="310" t="s">
        <v>719</v>
      </c>
      <c r="AX28" s="167"/>
      <c r="AY28" s="310" t="s">
        <v>1043</v>
      </c>
      <c r="AZ28" s="310" t="s">
        <v>719</v>
      </c>
      <c r="BA28" s="167"/>
      <c r="BB28" s="310" t="s">
        <v>1043</v>
      </c>
      <c r="BC28" s="310" t="s">
        <v>719</v>
      </c>
      <c r="BD28" s="120"/>
      <c r="BE28" s="120"/>
      <c r="BF28" s="120"/>
      <c r="BG28" s="120"/>
      <c r="BH28" s="120"/>
      <c r="BI28" s="120"/>
      <c r="BJ28" s="120"/>
      <c r="BK28" s="120"/>
      <c r="BL28" s="120"/>
      <c r="BM28" s="120"/>
      <c r="BN28" s="120"/>
      <c r="BO28" s="120"/>
      <c r="BP28" s="120"/>
      <c r="BQ28" s="120"/>
      <c r="BR28" s="120"/>
      <c r="BS28" s="120"/>
      <c r="BT28" s="120"/>
      <c r="BU28" s="120"/>
      <c r="BV28" s="120"/>
      <c r="BW28" s="120"/>
      <c r="BX28" s="120"/>
      <c r="BY28" s="120"/>
      <c r="BZ28" s="120"/>
      <c r="CA28" s="120"/>
      <c r="CB28" s="120"/>
      <c r="CC28" s="120"/>
      <c r="CD28" s="120"/>
      <c r="CE28" s="120"/>
      <c r="CF28" s="120"/>
      <c r="CG28" s="120"/>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c r="EU28" s="120"/>
      <c r="EV28" s="120"/>
      <c r="EW28" s="120"/>
      <c r="EX28" s="120"/>
      <c r="EY28" s="120"/>
      <c r="EZ28" s="120"/>
      <c r="FA28" s="120"/>
      <c r="FB28" s="120"/>
      <c r="FC28" s="120"/>
      <c r="FD28" s="120"/>
      <c r="FE28" s="120"/>
      <c r="FF28" s="120"/>
      <c r="FG28" s="120"/>
      <c r="FH28" s="120"/>
      <c r="FI28" s="120"/>
      <c r="FJ28" s="120"/>
    </row>
    <row r="29" spans="1:166" s="185" customFormat="1">
      <c r="A29" s="118"/>
      <c r="B29" s="181" t="s">
        <v>724</v>
      </c>
      <c r="C29" s="171">
        <v>20.8</v>
      </c>
      <c r="D29" s="140"/>
      <c r="E29" s="181" t="s">
        <v>724</v>
      </c>
      <c r="F29" s="171">
        <v>37.18</v>
      </c>
      <c r="G29" s="140"/>
      <c r="H29" s="181" t="s">
        <v>724</v>
      </c>
      <c r="I29" s="171">
        <v>57.2</v>
      </c>
      <c r="U29" s="118"/>
      <c r="V29" s="118"/>
      <c r="W29" s="118"/>
      <c r="X29" s="169"/>
      <c r="Y29" s="171"/>
      <c r="Z29" s="140"/>
      <c r="AA29" s="169"/>
      <c r="AB29" s="171"/>
      <c r="AC29" s="140"/>
      <c r="AD29" s="169"/>
      <c r="AE29" s="171"/>
      <c r="AG29" s="118"/>
      <c r="AH29" s="118"/>
      <c r="AI29" s="118"/>
      <c r="AJ29" s="169"/>
      <c r="AK29" s="171"/>
      <c r="AL29" s="140"/>
      <c r="AM29" s="169"/>
      <c r="AN29" s="171"/>
      <c r="AO29" s="140"/>
      <c r="AP29" s="169"/>
      <c r="AQ29" s="171"/>
      <c r="AS29" s="118"/>
      <c r="AT29" s="118"/>
      <c r="AU29" s="118"/>
      <c r="AV29" s="169"/>
      <c r="AW29" s="171"/>
      <c r="AX29" s="140"/>
      <c r="AY29" s="169"/>
      <c r="AZ29" s="171"/>
      <c r="BA29" s="140"/>
      <c r="BB29" s="169"/>
      <c r="BC29" s="171"/>
    </row>
    <row r="30" spans="1:166" s="185" customFormat="1">
      <c r="A30" s="118"/>
      <c r="B30" s="169" t="s">
        <v>725</v>
      </c>
      <c r="C30" s="171">
        <v>31.2</v>
      </c>
      <c r="D30" s="140"/>
      <c r="E30" s="169" t="s">
        <v>725</v>
      </c>
      <c r="F30" s="171">
        <v>55.9</v>
      </c>
      <c r="G30" s="140"/>
      <c r="H30" s="169" t="s">
        <v>725</v>
      </c>
      <c r="I30" s="171">
        <v>85.8</v>
      </c>
      <c r="U30" s="118"/>
      <c r="V30" s="356" t="str">
        <f>$E30</f>
        <v>06</v>
      </c>
      <c r="W30" s="357">
        <f>$C30*(25/(17.5+12))</f>
        <v>26.440677966101692</v>
      </c>
      <c r="X30" s="169" t="str">
        <f>$B30</f>
        <v>06</v>
      </c>
      <c r="Y30" s="171">
        <f t="shared" ref="Y30:Y40" si="18">$F30*(25/(17.5+11))</f>
        <v>49.03508771929824</v>
      </c>
      <c r="Z30" s="140"/>
      <c r="AA30" s="419" t="str">
        <f t="shared" ref="AA30:AA40" si="19">$H30</f>
        <v>06</v>
      </c>
      <c r="AB30" s="420">
        <v>96.71</v>
      </c>
      <c r="AC30" s="140"/>
      <c r="AD30" s="419" t="str">
        <f t="shared" ref="AD30:AD43" si="20">$H30</f>
        <v>06</v>
      </c>
      <c r="AE30" s="420">
        <v>148.44999999999999</v>
      </c>
      <c r="AG30" s="118"/>
      <c r="AH30" s="414" t="str">
        <f>$E30</f>
        <v>06</v>
      </c>
      <c r="AI30" s="357">
        <f>W30*(30/25)</f>
        <v>31.728813559322028</v>
      </c>
      <c r="AJ30" s="169" t="str">
        <f>$E30</f>
        <v>06</v>
      </c>
      <c r="AK30" s="170">
        <f>Y30*(30/25)</f>
        <v>58.842105263157883</v>
      </c>
      <c r="AL30" s="140"/>
      <c r="AM30" s="580" t="str">
        <f>$H30</f>
        <v>06</v>
      </c>
      <c r="AN30" s="581">
        <f>(AB30+AZ30)/2</f>
        <v>101.50999999999999</v>
      </c>
      <c r="AO30" s="140"/>
      <c r="AP30" s="580" t="str">
        <f>$H30</f>
        <v>06</v>
      </c>
      <c r="AQ30" s="581">
        <f>(AE30+BC30)/2</f>
        <v>157.755</v>
      </c>
      <c r="AS30" s="118"/>
      <c r="AT30" s="118"/>
      <c r="AU30" s="118"/>
      <c r="AV30" s="169" t="str">
        <f>$E30</f>
        <v>06</v>
      </c>
      <c r="AW30" s="170">
        <f>AK30*(30/25)</f>
        <v>70.610526315789457</v>
      </c>
      <c r="AX30" s="140"/>
      <c r="AY30" s="419" t="str">
        <f t="shared" ref="AY30:AY40" si="21">$H30</f>
        <v>06</v>
      </c>
      <c r="AZ30" s="420">
        <v>106.31</v>
      </c>
      <c r="BA30" s="140"/>
      <c r="BB30" s="419" t="str">
        <f t="shared" ref="BB30:BB43" si="22">$H30</f>
        <v>06</v>
      </c>
      <c r="BC30" s="420">
        <v>167.06</v>
      </c>
    </row>
    <row r="31" spans="1:166" s="185" customFormat="1">
      <c r="A31" s="118"/>
      <c r="B31" s="169" t="s">
        <v>726</v>
      </c>
      <c r="C31" s="171">
        <v>41.6</v>
      </c>
      <c r="D31" s="140"/>
      <c r="E31" s="169" t="s">
        <v>726</v>
      </c>
      <c r="F31" s="171">
        <v>74.489999999999995</v>
      </c>
      <c r="G31" s="140"/>
      <c r="H31" s="169" t="s">
        <v>726</v>
      </c>
      <c r="I31" s="171">
        <v>114.4</v>
      </c>
      <c r="U31" s="118"/>
      <c r="V31" s="356" t="str">
        <f t="shared" ref="V31:V39" si="23">$E31</f>
        <v>08</v>
      </c>
      <c r="W31" s="357">
        <f>$C31*(25/(17.5+12))</f>
        <v>35.254237288135592</v>
      </c>
      <c r="X31" s="169" t="str">
        <f t="shared" ref="X31:X38" si="24">$B31</f>
        <v>08</v>
      </c>
      <c r="Y31" s="171">
        <f t="shared" si="18"/>
        <v>65.34210526315789</v>
      </c>
      <c r="Z31" s="140"/>
      <c r="AA31" s="576" t="str">
        <f t="shared" si="19"/>
        <v>08</v>
      </c>
      <c r="AB31" s="577">
        <f>AB$30-(AA$30-AA31)*(AB$35-AB$30)/(AA$35-AA$30)</f>
        <v>104.7075</v>
      </c>
      <c r="AC31" s="140"/>
      <c r="AD31" s="576" t="str">
        <f t="shared" si="20"/>
        <v>08</v>
      </c>
      <c r="AE31" s="577">
        <f>AE$30-(AD$30-AD31)*(AE$35-AE$30)/(AD$35-AD$30)</f>
        <v>162.66333333333333</v>
      </c>
      <c r="AG31" s="118"/>
      <c r="AH31" s="415" t="str">
        <f>$E31</f>
        <v>08</v>
      </c>
      <c r="AI31" s="357">
        <f>W31*(30/25)</f>
        <v>42.305084745762706</v>
      </c>
      <c r="AJ31" s="169" t="str">
        <f t="shared" ref="AJ31:AJ40" si="25">$E31</f>
        <v>08</v>
      </c>
      <c r="AK31" s="170">
        <f>Y31*(30/25)</f>
        <v>78.410526315789468</v>
      </c>
      <c r="AL31" s="140"/>
      <c r="AM31" s="580" t="str">
        <f t="shared" ref="AM31:AM40" si="26">$H31</f>
        <v>08</v>
      </c>
      <c r="AN31" s="581">
        <f t="shared" ref="AN31:AN40" si="27">(AB31+AZ31)/2</f>
        <v>111.10666666666665</v>
      </c>
      <c r="AO31" s="140"/>
      <c r="AP31" s="580" t="str">
        <f t="shared" ref="AP31:AP43" si="28">$H31</f>
        <v>08</v>
      </c>
      <c r="AQ31" s="581">
        <f t="shared" ref="AQ31:AQ43" si="29">(AE31+BC31)/2</f>
        <v>175.07124999999999</v>
      </c>
      <c r="AS31" s="118"/>
      <c r="AT31" s="118"/>
      <c r="AU31" s="118"/>
      <c r="AV31" s="169"/>
      <c r="AW31" s="171"/>
      <c r="AX31" s="140"/>
      <c r="AY31" s="576" t="str">
        <f t="shared" si="21"/>
        <v>08</v>
      </c>
      <c r="AZ31" s="577">
        <f>AZ$30-(AY$30-AY31)*(AZ$35-AZ$30)/(AY$35-AY$30)</f>
        <v>117.50583333333333</v>
      </c>
      <c r="BA31" s="140"/>
      <c r="BB31" s="576" t="str">
        <f t="shared" si="22"/>
        <v>08</v>
      </c>
      <c r="BC31" s="577">
        <f>BC$30-(BB$30-BB31)*(BC$35-BC$30)/(BB$35-BB$30)</f>
        <v>187.47916666666666</v>
      </c>
    </row>
    <row r="32" spans="1:166" s="185" customFormat="1">
      <c r="A32" s="118"/>
      <c r="B32" s="169">
        <v>12</v>
      </c>
      <c r="C32" s="171">
        <v>62.4</v>
      </c>
      <c r="D32" s="140"/>
      <c r="E32" s="169">
        <v>12</v>
      </c>
      <c r="F32" s="171">
        <v>111.8</v>
      </c>
      <c r="G32" s="140"/>
      <c r="H32" s="169">
        <v>12</v>
      </c>
      <c r="I32" s="171">
        <v>171.6</v>
      </c>
      <c r="U32" s="118"/>
      <c r="V32" s="356">
        <f t="shared" si="23"/>
        <v>12</v>
      </c>
      <c r="W32" s="357">
        <f t="shared" ref="W32:W39" si="30">$C32*(25/(17.5+12))</f>
        <v>52.881355932203384</v>
      </c>
      <c r="X32" s="169">
        <f t="shared" si="24"/>
        <v>12</v>
      </c>
      <c r="Y32" s="171">
        <f t="shared" si="18"/>
        <v>98.070175438596479</v>
      </c>
      <c r="Z32" s="140"/>
      <c r="AA32" s="576">
        <f t="shared" si="19"/>
        <v>12</v>
      </c>
      <c r="AB32" s="577">
        <f>AB$30-(AA$30-AA32)*(AB$35-AB$30)/(AA$35-AA$30)</f>
        <v>120.7025</v>
      </c>
      <c r="AC32" s="140"/>
      <c r="AD32" s="576">
        <f t="shared" si="20"/>
        <v>12</v>
      </c>
      <c r="AE32" s="577">
        <f>AE$30-(AD$30-AD32)*(AE$35-AE$30)/(AD$35-AD$30)</f>
        <v>191.08999999999997</v>
      </c>
      <c r="AG32" s="118"/>
      <c r="AH32" s="416">
        <f>$E32</f>
        <v>12</v>
      </c>
      <c r="AI32" s="357">
        <f>W32*(30/25)</f>
        <v>63.457627118644055</v>
      </c>
      <c r="AJ32" s="173">
        <f t="shared" si="25"/>
        <v>12</v>
      </c>
      <c r="AK32" s="170">
        <f>Y32*(30/25)</f>
        <v>117.68421052631577</v>
      </c>
      <c r="AL32" s="140"/>
      <c r="AM32" s="580">
        <f t="shared" si="26"/>
        <v>12</v>
      </c>
      <c r="AN32" s="581">
        <f t="shared" si="27"/>
        <v>130.30000000000001</v>
      </c>
      <c r="AO32" s="140"/>
      <c r="AP32" s="580">
        <f t="shared" si="28"/>
        <v>12</v>
      </c>
      <c r="AQ32" s="581">
        <f t="shared" si="29"/>
        <v>209.70374999999999</v>
      </c>
      <c r="AS32" s="118"/>
      <c r="AT32" s="118"/>
      <c r="AU32" s="118"/>
      <c r="AV32" s="169"/>
      <c r="AW32" s="171"/>
      <c r="AX32" s="140"/>
      <c r="AY32" s="576">
        <f t="shared" si="21"/>
        <v>12</v>
      </c>
      <c r="AZ32" s="577">
        <f>AZ$30-(AY$30-AY32)*(AZ$35-AZ$30)/(AY$35-AY$30)</f>
        <v>139.89750000000001</v>
      </c>
      <c r="BA32" s="140"/>
      <c r="BB32" s="576">
        <f t="shared" si="22"/>
        <v>12</v>
      </c>
      <c r="BC32" s="577">
        <f>BC$30-(BB$30-BB32)*(BC$35-BC$30)/(BB$35-BB$30)</f>
        <v>228.3175</v>
      </c>
    </row>
    <row r="33" spans="1:55" s="185" customFormat="1">
      <c r="A33" s="118"/>
      <c r="B33" s="169">
        <v>18</v>
      </c>
      <c r="C33" s="171">
        <v>76.7</v>
      </c>
      <c r="D33" s="140"/>
      <c r="E33" s="169">
        <v>18</v>
      </c>
      <c r="F33" s="171">
        <v>130</v>
      </c>
      <c r="G33" s="140"/>
      <c r="H33" s="169">
        <v>18</v>
      </c>
      <c r="I33" s="171">
        <v>202.8</v>
      </c>
      <c r="U33" s="118"/>
      <c r="V33" s="356">
        <f t="shared" si="23"/>
        <v>18</v>
      </c>
      <c r="W33" s="357">
        <f t="shared" si="30"/>
        <v>65</v>
      </c>
      <c r="X33" s="169">
        <f t="shared" si="24"/>
        <v>18</v>
      </c>
      <c r="Y33" s="171">
        <f t="shared" si="18"/>
        <v>114.03508771929823</v>
      </c>
      <c r="Z33" s="140"/>
      <c r="AA33" s="576">
        <f t="shared" si="19"/>
        <v>18</v>
      </c>
      <c r="AB33" s="577">
        <f>AB$30-(AA$30-AA33)*(AB$35-AB$30)/(AA$35-AA$30)</f>
        <v>144.69499999999999</v>
      </c>
      <c r="AC33" s="140"/>
      <c r="AD33" s="576">
        <f t="shared" si="20"/>
        <v>18</v>
      </c>
      <c r="AE33" s="577">
        <f>AE$30-(AD$30-AD33)*(AE$35-AE$30)/(AD$35-AD$30)</f>
        <v>233.73</v>
      </c>
      <c r="AG33" s="118"/>
      <c r="AH33" s="118"/>
      <c r="AI33" s="354"/>
      <c r="AJ33" s="173">
        <f t="shared" si="25"/>
        <v>18</v>
      </c>
      <c r="AK33" s="170">
        <f t="shared" ref="AK33:AK40" si="31">Y33*(30/25)</f>
        <v>136.84210526315786</v>
      </c>
      <c r="AL33" s="140"/>
      <c r="AM33" s="580">
        <f t="shared" si="26"/>
        <v>18</v>
      </c>
      <c r="AN33" s="581">
        <f t="shared" si="27"/>
        <v>159.09</v>
      </c>
      <c r="AO33" s="140"/>
      <c r="AP33" s="580">
        <f t="shared" si="28"/>
        <v>18</v>
      </c>
      <c r="AQ33" s="581">
        <f t="shared" si="29"/>
        <v>261.65249999999997</v>
      </c>
      <c r="AS33" s="118"/>
      <c r="AT33" s="118"/>
      <c r="AU33" s="118"/>
      <c r="AV33" s="169"/>
      <c r="AW33" s="171"/>
      <c r="AX33" s="140"/>
      <c r="AY33" s="576">
        <f t="shared" si="21"/>
        <v>18</v>
      </c>
      <c r="AZ33" s="577">
        <f>AZ$30-(AY$30-AY33)*(AZ$35-AZ$30)/(AY$35-AY$30)</f>
        <v>173.48500000000001</v>
      </c>
      <c r="BA33" s="140"/>
      <c r="BB33" s="576">
        <f t="shared" si="22"/>
        <v>18</v>
      </c>
      <c r="BC33" s="577">
        <f>BC$30-(BB$30-BB33)*(BC$35-BC$30)/(BB$35-BB$30)</f>
        <v>289.57499999999999</v>
      </c>
    </row>
    <row r="34" spans="1:55" s="185" customFormat="1">
      <c r="A34" s="118"/>
      <c r="B34" s="169">
        <v>24</v>
      </c>
      <c r="C34" s="171">
        <v>91</v>
      </c>
      <c r="D34" s="140"/>
      <c r="E34" s="169">
        <v>24</v>
      </c>
      <c r="F34" s="171">
        <v>148.19999999999999</v>
      </c>
      <c r="G34" s="140"/>
      <c r="H34" s="169">
        <v>24</v>
      </c>
      <c r="I34" s="171">
        <v>231.4</v>
      </c>
      <c r="U34" s="118"/>
      <c r="V34" s="356">
        <f t="shared" si="23"/>
        <v>24</v>
      </c>
      <c r="W34" s="357">
        <f t="shared" si="30"/>
        <v>77.118644067796609</v>
      </c>
      <c r="X34" s="169">
        <f t="shared" si="24"/>
        <v>24</v>
      </c>
      <c r="Y34" s="171">
        <f t="shared" si="18"/>
        <v>129.99999999999997</v>
      </c>
      <c r="Z34" s="140"/>
      <c r="AA34" s="576">
        <f t="shared" si="19"/>
        <v>24</v>
      </c>
      <c r="AB34" s="577">
        <f>AB$30-(AA$30-AA34)*(AB$35-AB$30)/(AA$35-AA$30)</f>
        <v>168.6875</v>
      </c>
      <c r="AC34" s="140"/>
      <c r="AD34" s="576">
        <f t="shared" si="20"/>
        <v>24</v>
      </c>
      <c r="AE34" s="577">
        <f>AE$30-(AD$30-AD34)*(AE$35-AE$30)/(AD$35-AD$30)</f>
        <v>276.37</v>
      </c>
      <c r="AG34" s="118"/>
      <c r="AH34" s="118"/>
      <c r="AI34" s="355"/>
      <c r="AJ34" s="169">
        <f t="shared" si="25"/>
        <v>24</v>
      </c>
      <c r="AK34" s="170">
        <f t="shared" si="31"/>
        <v>155.99999999999997</v>
      </c>
      <c r="AL34" s="140"/>
      <c r="AM34" s="580">
        <f t="shared" si="26"/>
        <v>24</v>
      </c>
      <c r="AN34" s="581">
        <f t="shared" si="27"/>
        <v>187.88</v>
      </c>
      <c r="AO34" s="140"/>
      <c r="AP34" s="580">
        <f t="shared" si="28"/>
        <v>24</v>
      </c>
      <c r="AQ34" s="581">
        <f t="shared" si="29"/>
        <v>313.60124999999999</v>
      </c>
      <c r="AS34" s="118"/>
      <c r="AT34" s="118"/>
      <c r="AU34" s="118"/>
      <c r="AV34" s="169"/>
      <c r="AW34" s="171"/>
      <c r="AX34" s="140"/>
      <c r="AY34" s="576">
        <f t="shared" si="21"/>
        <v>24</v>
      </c>
      <c r="AZ34" s="577">
        <f>AZ$30-(AY$30-AY34)*(AZ$35-AZ$30)/(AY$35-AY$30)</f>
        <v>207.07249999999999</v>
      </c>
      <c r="BA34" s="140"/>
      <c r="BB34" s="576">
        <f t="shared" si="22"/>
        <v>24</v>
      </c>
      <c r="BC34" s="577">
        <f>BC$30-(BB$30-BB34)*(BC$35-BC$30)/(BB$35-BB$30)</f>
        <v>350.83249999999998</v>
      </c>
    </row>
    <row r="35" spans="1:55" s="185" customFormat="1">
      <c r="A35" s="118"/>
      <c r="B35" s="169">
        <v>30</v>
      </c>
      <c r="C35" s="171">
        <v>105.3</v>
      </c>
      <c r="D35" s="140"/>
      <c r="E35" s="169">
        <v>30</v>
      </c>
      <c r="F35" s="171">
        <v>166.4</v>
      </c>
      <c r="G35" s="140"/>
      <c r="H35" s="169">
        <v>30</v>
      </c>
      <c r="I35" s="171">
        <v>261.3</v>
      </c>
      <c r="U35" s="118"/>
      <c r="V35" s="356">
        <f t="shared" si="23"/>
        <v>30</v>
      </c>
      <c r="W35" s="357">
        <f t="shared" si="30"/>
        <v>89.237288135593218</v>
      </c>
      <c r="X35" s="169">
        <f t="shared" si="24"/>
        <v>30</v>
      </c>
      <c r="Y35" s="171">
        <f t="shared" si="18"/>
        <v>145.96491228070175</v>
      </c>
      <c r="Z35" s="140"/>
      <c r="AA35" s="419">
        <f t="shared" si="19"/>
        <v>30</v>
      </c>
      <c r="AB35" s="420">
        <v>192.68</v>
      </c>
      <c r="AC35" s="140"/>
      <c r="AD35" s="419">
        <f t="shared" si="20"/>
        <v>30</v>
      </c>
      <c r="AE35" s="420">
        <v>319.01</v>
      </c>
      <c r="AG35" s="118"/>
      <c r="AH35" s="118"/>
      <c r="AI35" s="355"/>
      <c r="AJ35" s="169">
        <f t="shared" si="25"/>
        <v>30</v>
      </c>
      <c r="AK35" s="170">
        <f t="shared" si="31"/>
        <v>175.15789473684211</v>
      </c>
      <c r="AL35" s="140"/>
      <c r="AM35" s="580">
        <f t="shared" si="26"/>
        <v>30</v>
      </c>
      <c r="AN35" s="581">
        <f t="shared" si="27"/>
        <v>216.67000000000002</v>
      </c>
      <c r="AO35" s="140"/>
      <c r="AP35" s="580">
        <f t="shared" si="28"/>
        <v>30</v>
      </c>
      <c r="AQ35" s="581">
        <f t="shared" si="29"/>
        <v>365.54999999999995</v>
      </c>
      <c r="AS35" s="118"/>
      <c r="AT35" s="118"/>
      <c r="AU35" s="118"/>
      <c r="AV35" s="169"/>
      <c r="AW35" s="171"/>
      <c r="AX35" s="140"/>
      <c r="AY35" s="419">
        <f t="shared" si="21"/>
        <v>30</v>
      </c>
      <c r="AZ35" s="420">
        <v>240.66</v>
      </c>
      <c r="BA35" s="140"/>
      <c r="BB35" s="419">
        <f t="shared" si="22"/>
        <v>30</v>
      </c>
      <c r="BC35" s="420">
        <v>412.09</v>
      </c>
    </row>
    <row r="36" spans="1:55" s="185" customFormat="1">
      <c r="A36" s="118"/>
      <c r="B36" s="169">
        <v>36</v>
      </c>
      <c r="C36" s="171">
        <v>120.9</v>
      </c>
      <c r="D36" s="140"/>
      <c r="E36" s="169">
        <v>36</v>
      </c>
      <c r="F36" s="171">
        <v>185.9</v>
      </c>
      <c r="G36" s="140"/>
      <c r="H36" s="169">
        <v>36</v>
      </c>
      <c r="I36" s="171">
        <v>291.2</v>
      </c>
      <c r="U36" s="118"/>
      <c r="V36" s="356">
        <f t="shared" si="23"/>
        <v>36</v>
      </c>
      <c r="W36" s="357">
        <f t="shared" si="30"/>
        <v>102.45762711864407</v>
      </c>
      <c r="X36" s="169">
        <f t="shared" si="24"/>
        <v>36</v>
      </c>
      <c r="Y36" s="171">
        <f t="shared" si="18"/>
        <v>163.07017543859649</v>
      </c>
      <c r="Z36" s="140"/>
      <c r="AA36" s="576">
        <f t="shared" si="19"/>
        <v>36</v>
      </c>
      <c r="AB36" s="577">
        <f>AB$30-(AA$30-AA36)*(AB$35-AB$30)/(AA$35-AA$30)</f>
        <v>216.67250000000001</v>
      </c>
      <c r="AC36" s="140"/>
      <c r="AD36" s="576">
        <f t="shared" si="20"/>
        <v>36</v>
      </c>
      <c r="AE36" s="577">
        <f t="shared" ref="AE36:AE43" si="32">AE$30-(AD$30-AD36)*(AE$35-AE$30)/(AD$35-AD$30)</f>
        <v>361.65</v>
      </c>
      <c r="AG36" s="118"/>
      <c r="AH36" s="118"/>
      <c r="AI36" s="355"/>
      <c r="AJ36" s="169">
        <f t="shared" si="25"/>
        <v>36</v>
      </c>
      <c r="AK36" s="170">
        <f t="shared" si="31"/>
        <v>195.68421052631578</v>
      </c>
      <c r="AL36" s="140"/>
      <c r="AM36" s="580">
        <f t="shared" si="26"/>
        <v>36</v>
      </c>
      <c r="AN36" s="581">
        <f t="shared" si="27"/>
        <v>245.46</v>
      </c>
      <c r="AO36" s="140"/>
      <c r="AP36" s="580">
        <f t="shared" si="28"/>
        <v>36</v>
      </c>
      <c r="AQ36" s="581">
        <f t="shared" si="29"/>
        <v>417.49874999999997</v>
      </c>
      <c r="AS36" s="118"/>
      <c r="AT36" s="118"/>
      <c r="AU36" s="118"/>
      <c r="AV36" s="169"/>
      <c r="AW36" s="171"/>
      <c r="AX36" s="140"/>
      <c r="AY36" s="576">
        <f t="shared" si="21"/>
        <v>36</v>
      </c>
      <c r="AZ36" s="577">
        <f>AZ$30-(AY$30-AY36)*(AZ$35-AZ$30)/(AY$35-AY$30)</f>
        <v>274.2475</v>
      </c>
      <c r="BA36" s="140"/>
      <c r="BB36" s="576">
        <f t="shared" si="22"/>
        <v>36</v>
      </c>
      <c r="BC36" s="577">
        <f t="shared" ref="BC36:BC43" si="33">BC$30-(BB$30-BB36)*(BC$35-BC$30)/(BB$35-BB$30)</f>
        <v>473.34749999999997</v>
      </c>
    </row>
    <row r="37" spans="1:55" s="185" customFormat="1">
      <c r="A37" s="118"/>
      <c r="B37" s="169">
        <v>42</v>
      </c>
      <c r="C37" s="171">
        <v>136.5</v>
      </c>
      <c r="D37" s="140"/>
      <c r="E37" s="169">
        <v>42</v>
      </c>
      <c r="F37" s="171">
        <v>204.1</v>
      </c>
      <c r="G37" s="140"/>
      <c r="H37" s="169">
        <v>42</v>
      </c>
      <c r="I37" s="171">
        <v>321.10000000000002</v>
      </c>
      <c r="U37" s="118"/>
      <c r="V37" s="356">
        <f t="shared" si="23"/>
        <v>42</v>
      </c>
      <c r="W37" s="357">
        <f t="shared" si="30"/>
        <v>115.67796610169491</v>
      </c>
      <c r="X37" s="169">
        <f t="shared" si="24"/>
        <v>42</v>
      </c>
      <c r="Y37" s="171">
        <f t="shared" si="18"/>
        <v>179.03508771929822</v>
      </c>
      <c r="Z37" s="140"/>
      <c r="AA37" s="576">
        <f t="shared" si="19"/>
        <v>42</v>
      </c>
      <c r="AB37" s="577">
        <f>AB$30-(AA$30-AA37)*(AB$35-AB$30)/(AA$35-AA$30)</f>
        <v>240.66500000000002</v>
      </c>
      <c r="AC37" s="140"/>
      <c r="AD37" s="576">
        <f t="shared" si="20"/>
        <v>42</v>
      </c>
      <c r="AE37" s="577">
        <f t="shared" si="32"/>
        <v>404.28999999999996</v>
      </c>
      <c r="AG37" s="118"/>
      <c r="AH37" s="118"/>
      <c r="AI37" s="355"/>
      <c r="AJ37" s="169">
        <f t="shared" si="25"/>
        <v>42</v>
      </c>
      <c r="AK37" s="170">
        <f t="shared" si="31"/>
        <v>214.84210526315786</v>
      </c>
      <c r="AL37" s="140"/>
      <c r="AM37" s="580">
        <f t="shared" si="26"/>
        <v>42</v>
      </c>
      <c r="AN37" s="581">
        <f t="shared" si="27"/>
        <v>274.25</v>
      </c>
      <c r="AO37" s="140"/>
      <c r="AP37" s="580">
        <f t="shared" si="28"/>
        <v>42</v>
      </c>
      <c r="AQ37" s="581">
        <f t="shared" si="29"/>
        <v>469.44749999999993</v>
      </c>
      <c r="AS37" s="118"/>
      <c r="AT37" s="118"/>
      <c r="AU37" s="118"/>
      <c r="AV37" s="169"/>
      <c r="AW37" s="171"/>
      <c r="AX37" s="140"/>
      <c r="AY37" s="576">
        <f t="shared" si="21"/>
        <v>42</v>
      </c>
      <c r="AZ37" s="577">
        <f>AZ$30-(AY$30-AY37)*(AZ$35-AZ$30)/(AY$35-AY$30)</f>
        <v>307.83499999999998</v>
      </c>
      <c r="BA37" s="140"/>
      <c r="BB37" s="576">
        <f t="shared" si="22"/>
        <v>42</v>
      </c>
      <c r="BC37" s="577">
        <f t="shared" si="33"/>
        <v>534.6049999999999</v>
      </c>
    </row>
    <row r="38" spans="1:55" s="185" customFormat="1">
      <c r="A38" s="118"/>
      <c r="B38" s="169">
        <v>48</v>
      </c>
      <c r="C38" s="171">
        <v>150.80000000000001</v>
      </c>
      <c r="D38" s="140"/>
      <c r="E38" s="169">
        <v>48</v>
      </c>
      <c r="F38" s="171">
        <v>223.6</v>
      </c>
      <c r="G38" s="140"/>
      <c r="H38" s="169">
        <v>48</v>
      </c>
      <c r="I38" s="171">
        <v>354.9</v>
      </c>
      <c r="U38" s="118"/>
      <c r="V38" s="356">
        <f t="shared" si="23"/>
        <v>48</v>
      </c>
      <c r="W38" s="357">
        <f t="shared" si="30"/>
        <v>127.79661016949153</v>
      </c>
      <c r="X38" s="169">
        <f t="shared" si="24"/>
        <v>48</v>
      </c>
      <c r="Y38" s="171">
        <f t="shared" si="18"/>
        <v>196.14035087719296</v>
      </c>
      <c r="Z38" s="140"/>
      <c r="AA38" s="576">
        <f t="shared" si="19"/>
        <v>48</v>
      </c>
      <c r="AB38" s="577">
        <f>AB$30-(AA$30-AA38)*(AB$35-AB$30)/(AA$35-AA$30)</f>
        <v>264.65750000000003</v>
      </c>
      <c r="AC38" s="140"/>
      <c r="AD38" s="576">
        <f t="shared" si="20"/>
        <v>48</v>
      </c>
      <c r="AE38" s="577">
        <f t="shared" si="32"/>
        <v>446.93</v>
      </c>
      <c r="AG38" s="118"/>
      <c r="AH38" s="118"/>
      <c r="AI38" s="355"/>
      <c r="AJ38" s="169">
        <f t="shared" si="25"/>
        <v>48</v>
      </c>
      <c r="AK38" s="170">
        <f t="shared" si="31"/>
        <v>235.36842105263153</v>
      </c>
      <c r="AL38" s="140"/>
      <c r="AM38" s="580">
        <f t="shared" si="26"/>
        <v>48</v>
      </c>
      <c r="AN38" s="581">
        <f t="shared" si="27"/>
        <v>303.04000000000002</v>
      </c>
      <c r="AO38" s="140"/>
      <c r="AP38" s="580">
        <f t="shared" si="28"/>
        <v>48</v>
      </c>
      <c r="AQ38" s="581">
        <f t="shared" si="29"/>
        <v>521.39625000000001</v>
      </c>
      <c r="AS38" s="118"/>
      <c r="AT38" s="118"/>
      <c r="AU38" s="118"/>
      <c r="AV38" s="169"/>
      <c r="AW38" s="171"/>
      <c r="AX38" s="140"/>
      <c r="AY38" s="576">
        <f t="shared" si="21"/>
        <v>48</v>
      </c>
      <c r="AZ38" s="577">
        <f>AZ$30-(AY$30-AY38)*(AZ$35-AZ$30)/(AY$35-AY$30)</f>
        <v>341.42250000000001</v>
      </c>
      <c r="BA38" s="140"/>
      <c r="BB38" s="576">
        <f t="shared" si="22"/>
        <v>48</v>
      </c>
      <c r="BC38" s="577">
        <f t="shared" si="33"/>
        <v>595.86249999999995</v>
      </c>
    </row>
    <row r="39" spans="1:55" s="185" customFormat="1">
      <c r="A39" s="118"/>
      <c r="B39" s="169">
        <v>54</v>
      </c>
      <c r="C39" s="171">
        <v>165.1</v>
      </c>
      <c r="D39" s="140"/>
      <c r="E39" s="169">
        <v>54</v>
      </c>
      <c r="F39" s="171">
        <v>241.8</v>
      </c>
      <c r="G39" s="140"/>
      <c r="H39" s="169">
        <v>54</v>
      </c>
      <c r="I39" s="171">
        <v>384.8</v>
      </c>
      <c r="U39" s="118"/>
      <c r="V39" s="356">
        <f t="shared" si="23"/>
        <v>54</v>
      </c>
      <c r="W39" s="357">
        <f t="shared" si="30"/>
        <v>139.91525423728814</v>
      </c>
      <c r="X39" s="169">
        <f>$B39</f>
        <v>54</v>
      </c>
      <c r="Y39" s="171">
        <f t="shared" si="18"/>
        <v>212.10526315789474</v>
      </c>
      <c r="Z39" s="140"/>
      <c r="AA39" s="576">
        <f t="shared" si="19"/>
        <v>54</v>
      </c>
      <c r="AB39" s="577">
        <f>AB$30-(AA$30-AA39)*(AB$35-AB$30)/(AA$35-AA$30)</f>
        <v>288.65000000000003</v>
      </c>
      <c r="AC39" s="140"/>
      <c r="AD39" s="576">
        <f t="shared" si="20"/>
        <v>54</v>
      </c>
      <c r="AE39" s="577">
        <f t="shared" si="32"/>
        <v>489.57</v>
      </c>
      <c r="AG39" s="118"/>
      <c r="AH39" s="118"/>
      <c r="AI39" s="355"/>
      <c r="AJ39" s="169">
        <f t="shared" si="25"/>
        <v>54</v>
      </c>
      <c r="AK39" s="170">
        <f t="shared" si="31"/>
        <v>254.52631578947367</v>
      </c>
      <c r="AL39" s="140"/>
      <c r="AM39" s="580">
        <f t="shared" si="26"/>
        <v>54</v>
      </c>
      <c r="AN39" s="581">
        <f t="shared" si="27"/>
        <v>331.83000000000004</v>
      </c>
      <c r="AO39" s="140"/>
      <c r="AP39" s="580">
        <f t="shared" si="28"/>
        <v>54</v>
      </c>
      <c r="AQ39" s="581">
        <f t="shared" si="29"/>
        <v>573.34499999999991</v>
      </c>
      <c r="AS39" s="118"/>
      <c r="AT39" s="118"/>
      <c r="AU39" s="118"/>
      <c r="AV39" s="169"/>
      <c r="AW39" s="171"/>
      <c r="AX39" s="140"/>
      <c r="AY39" s="576">
        <f t="shared" si="21"/>
        <v>54</v>
      </c>
      <c r="AZ39" s="577">
        <f>AZ$30-(AY$30-AY39)*(AZ$35-AZ$30)/(AY$35-AY$30)</f>
        <v>375.01</v>
      </c>
      <c r="BA39" s="140"/>
      <c r="BB39" s="576">
        <f t="shared" si="22"/>
        <v>54</v>
      </c>
      <c r="BC39" s="577">
        <f t="shared" si="33"/>
        <v>657.11999999999989</v>
      </c>
    </row>
    <row r="40" spans="1:55" s="185" customFormat="1">
      <c r="A40" s="118"/>
      <c r="B40" s="169">
        <v>60</v>
      </c>
      <c r="C40" s="171">
        <v>180.7</v>
      </c>
      <c r="D40" s="140"/>
      <c r="E40" s="169">
        <v>60</v>
      </c>
      <c r="F40" s="171">
        <v>260</v>
      </c>
      <c r="G40" s="140"/>
      <c r="H40" s="169">
        <v>60</v>
      </c>
      <c r="I40" s="171">
        <v>414.7</v>
      </c>
      <c r="U40" s="118"/>
      <c r="V40" s="118"/>
      <c r="W40" s="118"/>
      <c r="X40" s="169">
        <f>$B40</f>
        <v>60</v>
      </c>
      <c r="Y40" s="171">
        <f t="shared" si="18"/>
        <v>228.07017543859646</v>
      </c>
      <c r="Z40" s="140"/>
      <c r="AA40" s="576">
        <f t="shared" si="19"/>
        <v>60</v>
      </c>
      <c r="AB40" s="577">
        <f>AB$30-(AA$30-AA40)*(AB$35-AB$30)/(AA$35-AA$30)</f>
        <v>312.64250000000004</v>
      </c>
      <c r="AC40" s="140"/>
      <c r="AD40" s="576">
        <f t="shared" si="20"/>
        <v>60</v>
      </c>
      <c r="AE40" s="577">
        <f t="shared" si="32"/>
        <v>532.21</v>
      </c>
      <c r="AG40" s="118"/>
      <c r="AH40" s="118"/>
      <c r="AI40" s="355"/>
      <c r="AJ40" s="169">
        <f t="shared" si="25"/>
        <v>60</v>
      </c>
      <c r="AK40" s="170">
        <f t="shared" si="31"/>
        <v>273.68421052631572</v>
      </c>
      <c r="AL40" s="140"/>
      <c r="AM40" s="580">
        <f t="shared" si="26"/>
        <v>60</v>
      </c>
      <c r="AN40" s="581">
        <f t="shared" si="27"/>
        <v>360.62</v>
      </c>
      <c r="AO40" s="140"/>
      <c r="AP40" s="580">
        <f t="shared" si="28"/>
        <v>60</v>
      </c>
      <c r="AQ40" s="581">
        <f t="shared" si="29"/>
        <v>625.29375000000005</v>
      </c>
      <c r="AS40" s="118"/>
      <c r="AT40" s="118"/>
      <c r="AU40" s="118"/>
      <c r="AV40" s="169"/>
      <c r="AW40" s="171"/>
      <c r="AX40" s="140"/>
      <c r="AY40" s="576">
        <f t="shared" si="21"/>
        <v>60</v>
      </c>
      <c r="AZ40" s="577">
        <f>AZ$30-(AY$30-AY40)*(AZ$35-AZ$30)/(AY$35-AY$30)</f>
        <v>408.59749999999997</v>
      </c>
      <c r="BA40" s="140"/>
      <c r="BB40" s="576">
        <f t="shared" si="22"/>
        <v>60</v>
      </c>
      <c r="BC40" s="577">
        <f t="shared" si="33"/>
        <v>718.37750000000005</v>
      </c>
    </row>
    <row r="41" spans="1:55" s="185" customFormat="1">
      <c r="A41" s="118"/>
      <c r="B41" s="169">
        <v>66</v>
      </c>
      <c r="C41" s="171">
        <v>195</v>
      </c>
      <c r="D41" s="140"/>
      <c r="E41" s="169">
        <v>66</v>
      </c>
      <c r="F41" s="171">
        <v>278.2</v>
      </c>
      <c r="H41" s="169">
        <v>66</v>
      </c>
      <c r="I41" s="171">
        <v>444.6</v>
      </c>
      <c r="U41" s="118"/>
      <c r="V41" s="118"/>
      <c r="W41" s="118"/>
      <c r="X41" s="169"/>
      <c r="Y41" s="171"/>
      <c r="AA41" s="169"/>
      <c r="AB41" s="171"/>
      <c r="AD41" s="576">
        <f t="shared" si="20"/>
        <v>66</v>
      </c>
      <c r="AE41" s="577">
        <f t="shared" si="32"/>
        <v>574.85</v>
      </c>
      <c r="AG41" s="118"/>
      <c r="AH41" s="118"/>
      <c r="AI41" s="355"/>
      <c r="AJ41" s="169"/>
      <c r="AK41" s="170"/>
      <c r="AM41" s="169"/>
      <c r="AN41" s="171"/>
      <c r="AP41" s="580">
        <f t="shared" si="28"/>
        <v>66</v>
      </c>
      <c r="AQ41" s="581">
        <f t="shared" si="29"/>
        <v>677.24250000000006</v>
      </c>
      <c r="AS41" s="118"/>
      <c r="AT41" s="118"/>
      <c r="AU41" s="118"/>
      <c r="AV41" s="169"/>
      <c r="AW41" s="171"/>
      <c r="AY41" s="169"/>
      <c r="AZ41" s="171"/>
      <c r="BB41" s="576">
        <f t="shared" si="22"/>
        <v>66</v>
      </c>
      <c r="BC41" s="577">
        <f t="shared" si="33"/>
        <v>779.63499999999999</v>
      </c>
    </row>
    <row r="42" spans="1:55" s="185" customFormat="1">
      <c r="A42" s="118"/>
      <c r="B42" s="169">
        <v>72</v>
      </c>
      <c r="C42" s="171">
        <v>209.3</v>
      </c>
      <c r="D42" s="140"/>
      <c r="E42" s="169">
        <v>72</v>
      </c>
      <c r="F42" s="171">
        <v>296.39999999999998</v>
      </c>
      <c r="H42" s="169">
        <v>72</v>
      </c>
      <c r="I42" s="171">
        <v>474.5</v>
      </c>
      <c r="U42" s="118"/>
      <c r="V42" s="118"/>
      <c r="W42" s="118"/>
      <c r="X42" s="169"/>
      <c r="Y42" s="171"/>
      <c r="AA42" s="169"/>
      <c r="AB42" s="171"/>
      <c r="AD42" s="576">
        <f t="shared" si="20"/>
        <v>72</v>
      </c>
      <c r="AE42" s="577">
        <f t="shared" si="32"/>
        <v>617.49</v>
      </c>
      <c r="AG42" s="118"/>
      <c r="AH42" s="118"/>
      <c r="AI42" s="118"/>
      <c r="AJ42" s="169"/>
      <c r="AK42" s="171"/>
      <c r="AM42" s="169"/>
      <c r="AN42" s="171"/>
      <c r="AP42" s="580">
        <f t="shared" si="28"/>
        <v>72</v>
      </c>
      <c r="AQ42" s="581">
        <f t="shared" si="29"/>
        <v>729.19124999999997</v>
      </c>
      <c r="AS42" s="118"/>
      <c r="AT42" s="118"/>
      <c r="AU42" s="118"/>
      <c r="AV42" s="169"/>
      <c r="AW42" s="171"/>
      <c r="AY42" s="169"/>
      <c r="AZ42" s="171"/>
      <c r="BB42" s="576">
        <f t="shared" si="22"/>
        <v>72</v>
      </c>
      <c r="BC42" s="577">
        <f t="shared" si="33"/>
        <v>840.89249999999993</v>
      </c>
    </row>
    <row r="43" spans="1:55" s="185" customFormat="1">
      <c r="A43" s="118"/>
      <c r="B43" s="169">
        <v>78</v>
      </c>
      <c r="C43" s="171">
        <v>223.6</v>
      </c>
      <c r="E43" s="169">
        <v>78</v>
      </c>
      <c r="F43" s="171">
        <v>314.60000000000002</v>
      </c>
      <c r="H43" s="169">
        <v>78</v>
      </c>
      <c r="I43" s="171">
        <v>504.4</v>
      </c>
      <c r="U43" s="118"/>
      <c r="V43" s="118"/>
      <c r="W43" s="118"/>
      <c r="X43" s="169"/>
      <c r="Y43" s="171"/>
      <c r="AA43" s="169"/>
      <c r="AB43" s="171"/>
      <c r="AD43" s="576">
        <f t="shared" si="20"/>
        <v>78</v>
      </c>
      <c r="AE43" s="577">
        <f t="shared" si="32"/>
        <v>660.13</v>
      </c>
      <c r="AG43" s="118"/>
      <c r="AH43" s="118"/>
      <c r="AI43" s="118"/>
      <c r="AJ43" s="169"/>
      <c r="AK43" s="171"/>
      <c r="AM43" s="169"/>
      <c r="AN43" s="171"/>
      <c r="AP43" s="580">
        <f t="shared" si="28"/>
        <v>78</v>
      </c>
      <c r="AQ43" s="581">
        <f t="shared" si="29"/>
        <v>781.13999999999987</v>
      </c>
      <c r="AS43" s="118"/>
      <c r="AT43" s="118"/>
      <c r="AU43" s="118"/>
      <c r="AV43" s="169"/>
      <c r="AW43" s="171"/>
      <c r="AY43" s="169"/>
      <c r="AZ43" s="171"/>
      <c r="BB43" s="576">
        <f t="shared" si="22"/>
        <v>78</v>
      </c>
      <c r="BC43" s="577">
        <f t="shared" si="33"/>
        <v>902.14999999999986</v>
      </c>
    </row>
    <row r="44" spans="1:55" s="185" customFormat="1">
      <c r="A44" s="118"/>
      <c r="B44" s="169">
        <f>+B43+6</f>
        <v>84</v>
      </c>
      <c r="C44" s="171">
        <v>237.9</v>
      </c>
      <c r="E44" s="169">
        <f>+E43+6</f>
        <v>84</v>
      </c>
      <c r="F44" s="171">
        <v>332.8</v>
      </c>
      <c r="H44" s="169">
        <f>+H43+6</f>
        <v>84</v>
      </c>
      <c r="I44" s="171">
        <v>534.29999999999995</v>
      </c>
      <c r="U44" s="118"/>
      <c r="V44" s="118"/>
      <c r="W44" s="118"/>
      <c r="X44" s="169"/>
      <c r="Y44" s="171"/>
      <c r="AA44" s="169"/>
      <c r="AB44" s="171"/>
      <c r="AD44" s="576"/>
      <c r="AE44" s="577"/>
      <c r="AG44" s="118"/>
      <c r="AH44" s="118"/>
      <c r="AI44" s="118"/>
      <c r="AJ44" s="169"/>
      <c r="AK44" s="171"/>
      <c r="AM44" s="169"/>
      <c r="AN44" s="171"/>
      <c r="AP44" s="580"/>
      <c r="AQ44" s="581"/>
      <c r="AS44" s="118"/>
      <c r="AT44" s="118"/>
      <c r="AU44" s="118"/>
      <c r="AV44" s="169"/>
      <c r="AW44" s="171"/>
      <c r="AY44" s="169"/>
      <c r="AZ44" s="171"/>
      <c r="BB44" s="576"/>
      <c r="BC44" s="577"/>
    </row>
    <row r="45" spans="1:55" s="185" customFormat="1">
      <c r="A45" s="118"/>
      <c r="B45" s="169">
        <v>90</v>
      </c>
      <c r="C45" s="171">
        <v>252.2</v>
      </c>
      <c r="E45" s="169">
        <v>90</v>
      </c>
      <c r="F45" s="171">
        <v>351</v>
      </c>
      <c r="H45" s="169">
        <v>90</v>
      </c>
      <c r="I45" s="171">
        <v>564.20000000000005</v>
      </c>
      <c r="U45" s="118"/>
      <c r="V45" s="118"/>
      <c r="W45" s="118"/>
      <c r="X45" s="169"/>
      <c r="Y45" s="171"/>
      <c r="AA45" s="169"/>
      <c r="AB45" s="171"/>
      <c r="AD45" s="169"/>
      <c r="AE45" s="171"/>
      <c r="AG45" s="118"/>
      <c r="AH45" s="118"/>
      <c r="AI45" s="118"/>
      <c r="AJ45" s="169"/>
      <c r="AK45" s="171"/>
      <c r="AM45" s="169"/>
      <c r="AN45" s="171"/>
      <c r="AP45" s="169"/>
      <c r="AQ45" s="171"/>
      <c r="AS45" s="118"/>
      <c r="AT45" s="118"/>
      <c r="AU45" s="118"/>
      <c r="AV45" s="169"/>
      <c r="AW45" s="171"/>
      <c r="AY45" s="169"/>
      <c r="AZ45" s="171"/>
      <c r="BB45" s="169"/>
      <c r="BC45" s="171"/>
    </row>
    <row r="46" spans="1:55" s="185" customFormat="1">
      <c r="A46" s="118"/>
      <c r="B46" s="169">
        <v>96</v>
      </c>
      <c r="C46" s="171">
        <v>266.5</v>
      </c>
      <c r="E46" s="169">
        <v>96</v>
      </c>
      <c r="F46" s="171">
        <v>365.3</v>
      </c>
      <c r="H46" s="169">
        <v>94</v>
      </c>
      <c r="I46" s="171">
        <v>578.5</v>
      </c>
      <c r="U46" s="118"/>
      <c r="V46" s="118"/>
      <c r="W46" s="118"/>
      <c r="X46" s="169"/>
      <c r="Y46" s="171"/>
      <c r="AA46" s="169"/>
      <c r="AB46" s="171"/>
      <c r="AD46" s="169"/>
      <c r="AE46" s="171"/>
      <c r="AG46" s="118"/>
      <c r="AH46" s="118"/>
      <c r="AI46" s="118"/>
      <c r="AJ46" s="169"/>
      <c r="AK46" s="171"/>
      <c r="AM46" s="169"/>
      <c r="AN46" s="171"/>
      <c r="AP46" s="169"/>
      <c r="AQ46" s="171"/>
      <c r="AS46" s="118"/>
      <c r="AT46" s="118"/>
      <c r="AU46" s="118"/>
      <c r="AV46" s="169"/>
      <c r="AW46" s="171"/>
      <c r="AY46" s="169"/>
      <c r="AZ46" s="171"/>
      <c r="BB46" s="169"/>
      <c r="BC46" s="171"/>
    </row>
    <row r="47" spans="1:55" s="185" customFormat="1">
      <c r="A47" s="118"/>
      <c r="B47" s="169">
        <v>102</v>
      </c>
      <c r="C47" s="171">
        <v>280.8</v>
      </c>
      <c r="E47" s="169">
        <v>102</v>
      </c>
      <c r="F47" s="361">
        <f>(F46-F45)*(E47-E46)/(E46-E45)+F46</f>
        <v>379.6</v>
      </c>
      <c r="H47" s="169">
        <v>102</v>
      </c>
      <c r="I47" s="361">
        <f>(I46-I45)*(H47-H46)/(H46-H45)+I46</f>
        <v>607.09999999999991</v>
      </c>
      <c r="U47" s="118"/>
      <c r="V47" s="118"/>
      <c r="W47" s="118"/>
      <c r="X47" s="169"/>
      <c r="Y47" s="171"/>
      <c r="AA47" s="169"/>
      <c r="AB47" s="171"/>
      <c r="AD47" s="169"/>
      <c r="AE47" s="171"/>
      <c r="AG47" s="118"/>
      <c r="AH47" s="118"/>
      <c r="AI47" s="118"/>
      <c r="AJ47" s="169"/>
      <c r="AK47" s="171"/>
      <c r="AM47" s="169"/>
      <c r="AN47" s="171"/>
      <c r="AP47" s="169"/>
      <c r="AQ47" s="171"/>
      <c r="AS47" s="118"/>
      <c r="AT47" s="118"/>
      <c r="AU47" s="118"/>
      <c r="AV47" s="169"/>
      <c r="AW47" s="171"/>
      <c r="AY47" s="169"/>
      <c r="AZ47" s="171"/>
      <c r="BB47" s="169"/>
      <c r="BC47" s="171"/>
    </row>
    <row r="48" spans="1:55" s="185" customFormat="1">
      <c r="A48" s="118"/>
      <c r="B48" s="169">
        <v>108</v>
      </c>
      <c r="C48" s="171">
        <v>295.10000000000002</v>
      </c>
      <c r="E48" s="169">
        <v>108</v>
      </c>
      <c r="F48" s="361">
        <f>(F47-F46)*(E48-E47)/(E47-E46)+F47</f>
        <v>393.90000000000003</v>
      </c>
      <c r="H48" s="169">
        <v>108</v>
      </c>
      <c r="I48" s="361">
        <f>(I47-I46)*(H48-H47)/(H47-H46)+I47</f>
        <v>628.54999999999984</v>
      </c>
      <c r="U48" s="118"/>
      <c r="V48" s="118"/>
      <c r="W48" s="118"/>
      <c r="X48" s="169"/>
      <c r="Y48" s="171"/>
      <c r="AA48" s="169"/>
      <c r="AB48" s="171"/>
      <c r="AD48" s="169"/>
      <c r="AE48" s="171"/>
      <c r="AG48" s="118"/>
      <c r="AH48" s="118"/>
      <c r="AI48" s="118"/>
      <c r="AJ48" s="169"/>
      <c r="AK48" s="171"/>
      <c r="AM48" s="169"/>
      <c r="AN48" s="171"/>
      <c r="AP48" s="169"/>
      <c r="AQ48" s="171"/>
      <c r="AS48" s="118"/>
      <c r="AT48" s="118"/>
      <c r="AU48" s="118"/>
      <c r="AV48" s="169"/>
      <c r="AW48" s="171"/>
      <c r="AY48" s="169"/>
      <c r="AZ48" s="171"/>
      <c r="BB48" s="169"/>
      <c r="BC48" s="171"/>
    </row>
    <row r="49" spans="1:55" s="185" customFormat="1">
      <c r="A49" s="118"/>
      <c r="B49" s="169">
        <v>114</v>
      </c>
      <c r="C49" s="171">
        <v>309.39999999999998</v>
      </c>
      <c r="E49" s="169">
        <v>114</v>
      </c>
      <c r="F49" s="361">
        <f>(F48-F47)*(E49-E48)/(E48-E47)+F48</f>
        <v>408.20000000000005</v>
      </c>
      <c r="H49" s="169">
        <v>114</v>
      </c>
      <c r="I49" s="361">
        <f>(I48-I47)*(H49-H48)/(H48-H47)+I48</f>
        <v>649.99999999999977</v>
      </c>
      <c r="U49" s="118"/>
      <c r="V49" s="118"/>
      <c r="W49" s="118"/>
      <c r="X49" s="169"/>
      <c r="Y49" s="171"/>
      <c r="AA49" s="169"/>
      <c r="AB49" s="171"/>
      <c r="AD49" s="169"/>
      <c r="AE49" s="171"/>
      <c r="AG49" s="118"/>
      <c r="AH49" s="118"/>
      <c r="AI49" s="118"/>
      <c r="AJ49" s="169"/>
      <c r="AK49" s="171"/>
      <c r="AM49" s="169"/>
      <c r="AN49" s="171"/>
      <c r="AP49" s="169"/>
      <c r="AQ49" s="171"/>
      <c r="AS49" s="118"/>
      <c r="AT49" s="118"/>
      <c r="AU49" s="118"/>
      <c r="AV49" s="169"/>
      <c r="AW49" s="171"/>
      <c r="AY49" s="169"/>
      <c r="AZ49" s="171"/>
      <c r="BB49" s="169"/>
      <c r="BC49" s="171"/>
    </row>
    <row r="50" spans="1:55" s="185" customFormat="1">
      <c r="A50" s="118"/>
      <c r="B50" s="175">
        <v>120</v>
      </c>
      <c r="C50" s="177">
        <v>323.7</v>
      </c>
      <c r="E50" s="175">
        <v>120</v>
      </c>
      <c r="F50" s="361">
        <f>(F49-F48)*(E50-E49)/(E49-E48)+F49</f>
        <v>422.50000000000006</v>
      </c>
      <c r="H50" s="175">
        <v>120</v>
      </c>
      <c r="I50" s="361">
        <f>(I49-I48)*(H50-H49)/(H49-H48)+I49</f>
        <v>671.4499999999997</v>
      </c>
      <c r="U50" s="118"/>
      <c r="V50" s="118"/>
      <c r="W50" s="118"/>
      <c r="X50" s="175"/>
      <c r="Y50" s="177"/>
      <c r="AA50" s="175"/>
      <c r="AB50" s="177"/>
      <c r="AD50" s="175"/>
      <c r="AE50" s="177"/>
      <c r="AG50" s="118"/>
      <c r="AH50" s="118"/>
      <c r="AI50" s="118"/>
      <c r="AJ50" s="175"/>
      <c r="AK50" s="177"/>
      <c r="AM50" s="175"/>
      <c r="AN50" s="177"/>
      <c r="AP50" s="175"/>
      <c r="AQ50" s="177"/>
      <c r="AS50" s="118"/>
      <c r="AT50" s="118"/>
      <c r="AU50" s="118"/>
      <c r="AV50" s="175"/>
      <c r="AW50" s="177"/>
      <c r="AY50" s="175"/>
      <c r="AZ50" s="177"/>
      <c r="BB50" s="175"/>
      <c r="BC50" s="177"/>
    </row>
    <row r="51" spans="1:55" s="185" customFormat="1">
      <c r="A51" s="118"/>
      <c r="B51" s="118"/>
      <c r="C51" s="119"/>
      <c r="F51" s="119"/>
      <c r="I51" s="119"/>
    </row>
    <row r="52" spans="1:55" s="185" customFormat="1">
      <c r="A52" s="118"/>
      <c r="B52" s="118"/>
      <c r="C52" s="119"/>
      <c r="F52" s="119"/>
      <c r="I52" s="119"/>
    </row>
    <row r="53" spans="1:55" s="185" customFormat="1">
      <c r="A53" s="118"/>
      <c r="B53" s="118"/>
      <c r="C53" s="119"/>
      <c r="F53" s="119"/>
      <c r="I53" s="119"/>
    </row>
    <row r="54" spans="1:55" s="185" customFormat="1">
      <c r="A54" s="118"/>
      <c r="B54" s="118"/>
      <c r="C54" s="119"/>
      <c r="F54" s="119"/>
      <c r="I54" s="119"/>
    </row>
    <row r="55" spans="1:55" s="185" customFormat="1">
      <c r="A55" s="118"/>
      <c r="B55" s="118"/>
      <c r="C55" s="119"/>
      <c r="F55" s="119"/>
      <c r="I55" s="119"/>
    </row>
    <row r="56" spans="1:55" s="185" customFormat="1">
      <c r="A56" s="118"/>
      <c r="B56" s="118"/>
      <c r="C56" s="119"/>
      <c r="F56" s="119"/>
      <c r="I56" s="119"/>
    </row>
    <row r="57" spans="1:55" s="185" customFormat="1">
      <c r="A57" s="118"/>
      <c r="B57" s="118"/>
      <c r="C57" s="119"/>
      <c r="F57" s="119"/>
      <c r="I57" s="119"/>
    </row>
    <row r="58" spans="1:55" s="185" customFormat="1">
      <c r="A58" s="118"/>
      <c r="B58" s="118"/>
      <c r="C58" s="119"/>
      <c r="F58" s="119"/>
      <c r="I58" s="119"/>
    </row>
    <row r="59" spans="1:55" s="185" customFormat="1">
      <c r="A59" s="118"/>
      <c r="B59" s="118"/>
      <c r="C59" s="119"/>
      <c r="F59" s="119"/>
      <c r="I59" s="119"/>
    </row>
    <row r="60" spans="1:55" s="185" customFormat="1">
      <c r="A60" s="118"/>
      <c r="B60" s="118"/>
      <c r="C60" s="119"/>
      <c r="F60" s="119"/>
      <c r="I60" s="119"/>
    </row>
    <row r="61" spans="1:55" s="185" customFormat="1">
      <c r="A61" s="118"/>
      <c r="B61" s="118"/>
      <c r="C61" s="119"/>
      <c r="F61" s="119"/>
      <c r="I61" s="119"/>
    </row>
    <row r="62" spans="1:55" s="185" customFormat="1">
      <c r="A62" s="118"/>
      <c r="B62" s="118"/>
      <c r="C62" s="119"/>
      <c r="F62" s="119"/>
      <c r="I62" s="119"/>
    </row>
    <row r="63" spans="1:55" s="185" customFormat="1">
      <c r="A63" s="118"/>
      <c r="B63" s="118"/>
      <c r="C63" s="119"/>
      <c r="F63" s="119"/>
      <c r="I63" s="119"/>
    </row>
    <row r="64" spans="1:55" s="185" customFormat="1">
      <c r="A64" s="118"/>
      <c r="B64" s="118"/>
      <c r="C64" s="119"/>
      <c r="F64" s="119"/>
      <c r="I64" s="119"/>
    </row>
    <row r="65" spans="1:9" s="185" customFormat="1">
      <c r="A65" s="118"/>
      <c r="B65" s="118"/>
      <c r="C65" s="119"/>
      <c r="F65" s="119"/>
      <c r="I65" s="119"/>
    </row>
    <row r="66" spans="1:9" s="185" customFormat="1">
      <c r="A66" s="118"/>
      <c r="B66" s="118"/>
      <c r="C66" s="119"/>
      <c r="F66" s="119"/>
      <c r="I66" s="119"/>
    </row>
    <row r="67" spans="1:9" s="185" customFormat="1">
      <c r="A67" s="118"/>
      <c r="B67" s="118"/>
      <c r="C67" s="119"/>
      <c r="F67" s="119"/>
      <c r="I67" s="119"/>
    </row>
    <row r="68" spans="1:9" s="185" customFormat="1">
      <c r="A68" s="118"/>
      <c r="B68" s="118"/>
      <c r="C68" s="119"/>
      <c r="F68" s="119"/>
      <c r="I68" s="119"/>
    </row>
    <row r="69" spans="1:9" s="185" customFormat="1">
      <c r="A69" s="118"/>
      <c r="B69" s="118"/>
      <c r="C69" s="119"/>
      <c r="F69" s="119"/>
      <c r="I69" s="119"/>
    </row>
    <row r="70" spans="1:9" s="185" customFormat="1">
      <c r="A70" s="118"/>
      <c r="B70" s="118"/>
      <c r="C70" s="119"/>
      <c r="F70" s="119"/>
      <c r="I70" s="119"/>
    </row>
    <row r="71" spans="1:9" s="185" customFormat="1">
      <c r="A71" s="118"/>
      <c r="B71" s="118"/>
      <c r="C71" s="119"/>
      <c r="F71" s="119"/>
      <c r="I71" s="119"/>
    </row>
    <row r="72" spans="1:9" s="185" customFormat="1">
      <c r="A72" s="118"/>
      <c r="B72" s="118"/>
      <c r="C72" s="119"/>
      <c r="F72" s="119"/>
      <c r="I72" s="119"/>
    </row>
    <row r="73" spans="1:9" s="185" customFormat="1">
      <c r="A73" s="118"/>
      <c r="B73" s="118"/>
      <c r="C73" s="119"/>
      <c r="F73" s="119"/>
      <c r="I73" s="119"/>
    </row>
    <row r="74" spans="1:9" s="185" customFormat="1">
      <c r="A74" s="118"/>
      <c r="B74" s="118"/>
      <c r="C74" s="119"/>
      <c r="F74" s="119"/>
      <c r="I74" s="119"/>
    </row>
    <row r="75" spans="1:9" s="185" customFormat="1">
      <c r="A75" s="118"/>
      <c r="B75" s="118"/>
      <c r="C75" s="119"/>
      <c r="F75" s="119"/>
      <c r="I75" s="119"/>
    </row>
    <row r="76" spans="1:9" s="185" customFormat="1">
      <c r="A76" s="118"/>
      <c r="B76" s="118"/>
      <c r="C76" s="119"/>
      <c r="F76" s="119"/>
      <c r="I76" s="119"/>
    </row>
    <row r="77" spans="1:9" s="185" customFormat="1">
      <c r="A77" s="118"/>
      <c r="B77" s="118"/>
      <c r="C77" s="119"/>
      <c r="F77" s="119"/>
      <c r="I77" s="119"/>
    </row>
    <row r="78" spans="1:9" s="185" customFormat="1">
      <c r="A78" s="118"/>
      <c r="B78" s="118"/>
      <c r="C78" s="119"/>
      <c r="F78" s="119"/>
      <c r="I78" s="119"/>
    </row>
    <row r="79" spans="1:9" s="185" customFormat="1">
      <c r="A79" s="118"/>
      <c r="B79" s="118"/>
      <c r="C79" s="119"/>
      <c r="F79" s="119"/>
      <c r="I79" s="119"/>
    </row>
    <row r="80" spans="1:9" s="185" customFormat="1">
      <c r="A80" s="118"/>
      <c r="B80" s="118"/>
      <c r="C80" s="119"/>
      <c r="F80" s="119"/>
      <c r="I80" s="119"/>
    </row>
    <row r="81" spans="1:9" s="185" customFormat="1">
      <c r="A81" s="118"/>
      <c r="B81" s="118"/>
      <c r="C81" s="119"/>
      <c r="F81" s="119"/>
      <c r="I81" s="119"/>
    </row>
    <row r="82" spans="1:9" s="185" customFormat="1">
      <c r="A82" s="118"/>
      <c r="B82" s="118"/>
      <c r="C82" s="119"/>
      <c r="F82" s="119"/>
      <c r="I82" s="119"/>
    </row>
    <row r="83" spans="1:9" s="185" customFormat="1">
      <c r="A83" s="118"/>
      <c r="B83" s="118"/>
      <c r="C83" s="119"/>
      <c r="F83" s="119"/>
      <c r="I83" s="119"/>
    </row>
    <row r="84" spans="1:9" s="185" customFormat="1">
      <c r="A84" s="118"/>
      <c r="B84" s="118"/>
      <c r="C84" s="119"/>
      <c r="F84" s="119"/>
      <c r="I84" s="119"/>
    </row>
    <row r="85" spans="1:9" s="185" customFormat="1">
      <c r="A85" s="118"/>
      <c r="B85" s="118"/>
      <c r="C85" s="119"/>
      <c r="F85" s="119"/>
      <c r="I85" s="119"/>
    </row>
    <row r="86" spans="1:9" s="185" customFormat="1">
      <c r="A86" s="118"/>
      <c r="B86" s="118"/>
      <c r="C86" s="119"/>
      <c r="F86" s="119"/>
      <c r="I86" s="119"/>
    </row>
    <row r="87" spans="1:9" s="185" customFormat="1">
      <c r="A87" s="118"/>
      <c r="B87" s="118"/>
      <c r="C87" s="119"/>
      <c r="F87" s="119"/>
      <c r="I87" s="119"/>
    </row>
    <row r="88" spans="1:9" s="185" customFormat="1">
      <c r="A88" s="118"/>
      <c r="B88" s="118"/>
      <c r="C88" s="119"/>
      <c r="F88" s="119"/>
      <c r="I88" s="119"/>
    </row>
    <row r="89" spans="1:9" s="185" customFormat="1">
      <c r="A89" s="118"/>
      <c r="B89" s="118"/>
      <c r="C89" s="119"/>
      <c r="F89" s="119"/>
      <c r="I89" s="119"/>
    </row>
    <row r="90" spans="1:9" s="185" customFormat="1">
      <c r="A90" s="118"/>
      <c r="B90" s="118"/>
      <c r="C90" s="119"/>
      <c r="F90" s="119"/>
      <c r="I90" s="119"/>
    </row>
    <row r="91" spans="1:9" s="185" customFormat="1">
      <c r="A91" s="118"/>
      <c r="B91" s="118"/>
      <c r="C91" s="119"/>
      <c r="F91" s="119"/>
      <c r="I91" s="119"/>
    </row>
    <row r="92" spans="1:9" s="185" customFormat="1">
      <c r="A92" s="118"/>
      <c r="B92" s="118"/>
      <c r="C92" s="119"/>
      <c r="F92" s="119"/>
      <c r="I92" s="119"/>
    </row>
    <row r="93" spans="1:9" s="185" customFormat="1">
      <c r="A93" s="118"/>
      <c r="B93" s="118"/>
      <c r="C93" s="119"/>
      <c r="F93" s="119"/>
      <c r="I93" s="119"/>
    </row>
    <row r="94" spans="1:9" s="185" customFormat="1">
      <c r="A94" s="118"/>
      <c r="B94" s="118"/>
      <c r="C94" s="119"/>
      <c r="F94" s="119"/>
      <c r="I94" s="119"/>
    </row>
    <row r="95" spans="1:9" s="185" customFormat="1">
      <c r="A95" s="118"/>
      <c r="B95" s="118"/>
      <c r="C95" s="119"/>
      <c r="F95" s="119"/>
      <c r="I95" s="119"/>
    </row>
    <row r="96" spans="1:9" s="185" customFormat="1">
      <c r="A96" s="118"/>
      <c r="B96" s="118"/>
      <c r="C96" s="119"/>
      <c r="F96" s="119"/>
      <c r="I96" s="119"/>
    </row>
    <row r="97" spans="1:9" s="185" customFormat="1">
      <c r="A97" s="118"/>
      <c r="B97" s="118"/>
      <c r="C97" s="119"/>
      <c r="F97" s="119"/>
      <c r="I97" s="119"/>
    </row>
    <row r="98" spans="1:9" s="185" customFormat="1">
      <c r="A98" s="118"/>
      <c r="B98" s="118"/>
      <c r="C98" s="119"/>
      <c r="F98" s="119"/>
      <c r="I98" s="119"/>
    </row>
    <row r="99" spans="1:9" s="185" customFormat="1">
      <c r="A99" s="118"/>
      <c r="B99" s="118"/>
      <c r="C99" s="119"/>
      <c r="F99" s="119"/>
      <c r="I99" s="119"/>
    </row>
    <row r="100" spans="1:9" s="185" customFormat="1">
      <c r="A100" s="118"/>
      <c r="B100" s="118"/>
      <c r="C100" s="119"/>
      <c r="F100" s="119"/>
      <c r="I100" s="119"/>
    </row>
    <row r="101" spans="1:9" s="185" customFormat="1">
      <c r="A101" s="118"/>
      <c r="B101" s="118"/>
      <c r="C101" s="119"/>
      <c r="F101" s="119"/>
      <c r="I101" s="119"/>
    </row>
    <row r="102" spans="1:9" s="185" customFormat="1">
      <c r="A102" s="118"/>
      <c r="B102" s="118"/>
      <c r="C102" s="119"/>
      <c r="F102" s="119"/>
      <c r="I102" s="119"/>
    </row>
    <row r="103" spans="1:9" s="185" customFormat="1">
      <c r="A103" s="118"/>
      <c r="B103" s="118"/>
      <c r="C103" s="119"/>
      <c r="F103" s="119"/>
      <c r="I103" s="119"/>
    </row>
    <row r="104" spans="1:9" s="185" customFormat="1">
      <c r="A104" s="118"/>
      <c r="B104" s="118"/>
      <c r="C104" s="119"/>
      <c r="F104" s="119"/>
      <c r="I104" s="119"/>
    </row>
    <row r="105" spans="1:9" s="185" customFormat="1">
      <c r="A105" s="118"/>
      <c r="B105" s="118"/>
      <c r="C105" s="119"/>
      <c r="F105" s="119"/>
      <c r="I105" s="119"/>
    </row>
    <row r="106" spans="1:9" s="185" customFormat="1">
      <c r="A106" s="118"/>
      <c r="B106" s="118"/>
      <c r="C106" s="119"/>
      <c r="F106" s="119"/>
      <c r="I106" s="119"/>
    </row>
    <row r="107" spans="1:9" s="185" customFormat="1">
      <c r="A107" s="118"/>
      <c r="B107" s="118"/>
      <c r="C107" s="119"/>
      <c r="F107" s="119"/>
      <c r="I107" s="119"/>
    </row>
    <row r="108" spans="1:9" s="185" customFormat="1">
      <c r="A108" s="118"/>
      <c r="B108" s="118"/>
      <c r="C108" s="119"/>
      <c r="F108" s="119"/>
      <c r="I108" s="119"/>
    </row>
    <row r="109" spans="1:9" s="185" customFormat="1">
      <c r="A109" s="118"/>
      <c r="B109" s="118"/>
      <c r="C109" s="119"/>
      <c r="F109" s="119"/>
      <c r="I109" s="119"/>
    </row>
    <row r="110" spans="1:9" s="185" customFormat="1">
      <c r="A110" s="118"/>
      <c r="B110" s="118"/>
      <c r="C110" s="119"/>
      <c r="F110" s="119"/>
      <c r="I110" s="119"/>
    </row>
    <row r="111" spans="1:9" s="185" customFormat="1">
      <c r="A111" s="118"/>
      <c r="B111" s="118"/>
      <c r="C111" s="119"/>
      <c r="F111" s="119"/>
      <c r="I111" s="119"/>
    </row>
    <row r="112" spans="1:9" s="185" customFormat="1">
      <c r="A112" s="118"/>
      <c r="B112" s="118"/>
      <c r="C112" s="119"/>
      <c r="F112" s="119"/>
      <c r="I112" s="119"/>
    </row>
    <row r="113" spans="1:9" s="185" customFormat="1">
      <c r="A113" s="118"/>
      <c r="B113" s="118"/>
      <c r="C113" s="119"/>
      <c r="F113" s="119"/>
      <c r="I113" s="119"/>
    </row>
    <row r="114" spans="1:9" s="185" customFormat="1">
      <c r="A114" s="118"/>
      <c r="B114" s="118"/>
      <c r="C114" s="119"/>
      <c r="F114" s="119"/>
      <c r="I114" s="119"/>
    </row>
    <row r="115" spans="1:9" s="185" customFormat="1">
      <c r="A115" s="118"/>
      <c r="B115" s="118"/>
      <c r="C115" s="119"/>
      <c r="F115" s="119"/>
      <c r="I115" s="119"/>
    </row>
    <row r="116" spans="1:9" s="185" customFormat="1">
      <c r="A116" s="118"/>
      <c r="B116" s="118"/>
      <c r="C116" s="119"/>
      <c r="F116" s="119"/>
      <c r="I116" s="119"/>
    </row>
    <row r="117" spans="1:9" s="185" customFormat="1">
      <c r="A117" s="118"/>
      <c r="B117" s="118"/>
      <c r="C117" s="119"/>
      <c r="F117" s="119"/>
      <c r="I117" s="119"/>
    </row>
    <row r="118" spans="1:9" s="185" customFormat="1">
      <c r="A118" s="118"/>
      <c r="B118" s="118"/>
      <c r="C118" s="119"/>
      <c r="F118" s="119"/>
      <c r="I118" s="119"/>
    </row>
    <row r="119" spans="1:9" s="185" customFormat="1">
      <c r="A119" s="118"/>
      <c r="B119" s="118"/>
      <c r="C119" s="119"/>
      <c r="F119" s="119"/>
      <c r="I119" s="119"/>
    </row>
    <row r="120" spans="1:9" s="185" customFormat="1">
      <c r="A120" s="118"/>
      <c r="B120" s="118"/>
      <c r="C120" s="119"/>
      <c r="F120" s="119"/>
      <c r="I120" s="119"/>
    </row>
    <row r="121" spans="1:9" s="185" customFormat="1">
      <c r="A121" s="118"/>
      <c r="B121" s="118"/>
      <c r="C121" s="119"/>
      <c r="F121" s="119"/>
      <c r="I121" s="119"/>
    </row>
    <row r="122" spans="1:9" s="185" customFormat="1">
      <c r="A122" s="118"/>
      <c r="B122" s="118"/>
      <c r="C122" s="119"/>
      <c r="F122" s="119"/>
      <c r="I122" s="119"/>
    </row>
    <row r="123" spans="1:9" s="185" customFormat="1">
      <c r="A123" s="118"/>
      <c r="B123" s="118"/>
      <c r="C123" s="119"/>
      <c r="F123" s="119"/>
      <c r="I123" s="119"/>
    </row>
    <row r="124" spans="1:9" s="185" customFormat="1">
      <c r="A124" s="118"/>
      <c r="B124" s="118"/>
      <c r="C124" s="119"/>
      <c r="F124" s="119"/>
      <c r="I124" s="119"/>
    </row>
    <row r="125" spans="1:9" s="185" customFormat="1">
      <c r="A125" s="118"/>
      <c r="B125" s="118"/>
      <c r="C125" s="119"/>
      <c r="F125" s="119"/>
      <c r="I125" s="119"/>
    </row>
    <row r="126" spans="1:9" s="185" customFormat="1">
      <c r="A126" s="118"/>
      <c r="B126" s="118"/>
      <c r="C126" s="119"/>
      <c r="F126" s="119"/>
      <c r="I126" s="119"/>
    </row>
    <row r="127" spans="1:9" s="185" customFormat="1">
      <c r="A127" s="118"/>
      <c r="B127" s="118"/>
      <c r="C127" s="119"/>
      <c r="F127" s="119"/>
      <c r="I127" s="119"/>
    </row>
    <row r="128" spans="1:9" s="185" customFormat="1">
      <c r="A128" s="118"/>
      <c r="B128" s="118"/>
      <c r="C128" s="119"/>
      <c r="F128" s="119"/>
      <c r="I128" s="119"/>
    </row>
    <row r="129" spans="1:9" s="185" customFormat="1">
      <c r="A129" s="118"/>
      <c r="B129" s="118"/>
      <c r="C129" s="119"/>
      <c r="F129" s="119"/>
      <c r="I129" s="119"/>
    </row>
    <row r="130" spans="1:9" s="185" customFormat="1">
      <c r="A130" s="118"/>
      <c r="B130" s="118"/>
      <c r="C130" s="119"/>
      <c r="F130" s="119"/>
      <c r="I130" s="119"/>
    </row>
    <row r="131" spans="1:9" s="185" customFormat="1">
      <c r="A131" s="118"/>
      <c r="B131" s="118"/>
      <c r="C131" s="119"/>
      <c r="F131" s="119"/>
      <c r="I131" s="119"/>
    </row>
    <row r="132" spans="1:9" s="185" customFormat="1">
      <c r="A132" s="118"/>
      <c r="B132" s="118"/>
      <c r="C132" s="119"/>
      <c r="F132" s="119"/>
      <c r="I132" s="119"/>
    </row>
    <row r="133" spans="1:9" s="185" customFormat="1">
      <c r="A133" s="118"/>
      <c r="B133" s="118"/>
      <c r="C133" s="119"/>
      <c r="F133" s="119"/>
      <c r="I133" s="119"/>
    </row>
    <row r="134" spans="1:9" s="185" customFormat="1">
      <c r="A134" s="118"/>
      <c r="B134" s="118"/>
      <c r="C134" s="119"/>
      <c r="F134" s="119"/>
      <c r="I134" s="119"/>
    </row>
    <row r="135" spans="1:9" s="185" customFormat="1">
      <c r="A135" s="118"/>
      <c r="B135" s="118"/>
      <c r="C135" s="119"/>
      <c r="F135" s="119"/>
      <c r="I135" s="119"/>
    </row>
    <row r="136" spans="1:9" s="185" customFormat="1">
      <c r="A136" s="118"/>
      <c r="B136" s="118"/>
      <c r="C136" s="119"/>
      <c r="F136" s="119"/>
      <c r="I136" s="119"/>
    </row>
    <row r="137" spans="1:9" s="185" customFormat="1">
      <c r="A137" s="118"/>
      <c r="B137" s="118"/>
      <c r="C137" s="119"/>
      <c r="F137" s="119"/>
      <c r="I137" s="119"/>
    </row>
    <row r="138" spans="1:9" s="185" customFormat="1">
      <c r="A138" s="118"/>
      <c r="B138" s="118"/>
      <c r="C138" s="119"/>
      <c r="F138" s="119"/>
      <c r="I138" s="119"/>
    </row>
    <row r="139" spans="1:9" s="185" customFormat="1">
      <c r="A139" s="118"/>
      <c r="B139" s="118"/>
      <c r="C139" s="119"/>
      <c r="F139" s="119"/>
      <c r="I139" s="119"/>
    </row>
    <row r="140" spans="1:9" s="185" customFormat="1">
      <c r="A140" s="118"/>
      <c r="B140" s="118"/>
      <c r="C140" s="119"/>
      <c r="F140" s="119"/>
      <c r="I140" s="119"/>
    </row>
    <row r="141" spans="1:9" s="185" customFormat="1">
      <c r="A141" s="118"/>
      <c r="B141" s="118"/>
      <c r="C141" s="119"/>
      <c r="F141" s="119"/>
      <c r="I141" s="119"/>
    </row>
    <row r="142" spans="1:9" s="185" customFormat="1">
      <c r="A142" s="118"/>
      <c r="B142" s="118"/>
      <c r="C142" s="119"/>
      <c r="F142" s="119"/>
      <c r="I142" s="119"/>
    </row>
    <row r="143" spans="1:9" s="185" customFormat="1">
      <c r="A143" s="118"/>
      <c r="B143" s="118"/>
      <c r="C143" s="119"/>
      <c r="F143" s="119"/>
      <c r="I143" s="119"/>
    </row>
    <row r="144" spans="1:9" s="185" customFormat="1">
      <c r="A144" s="118"/>
      <c r="B144" s="118"/>
      <c r="C144" s="119"/>
      <c r="F144" s="119"/>
      <c r="I144" s="119"/>
    </row>
    <row r="145" spans="1:9" s="185" customFormat="1">
      <c r="A145" s="118"/>
      <c r="B145" s="118"/>
      <c r="C145" s="119"/>
      <c r="F145" s="119"/>
      <c r="I145" s="119"/>
    </row>
    <row r="146" spans="1:9" s="185" customFormat="1">
      <c r="A146" s="118"/>
      <c r="B146" s="118"/>
      <c r="C146" s="119"/>
      <c r="F146" s="119"/>
      <c r="I146" s="119"/>
    </row>
    <row r="147" spans="1:9" s="185" customFormat="1">
      <c r="A147" s="118"/>
      <c r="B147" s="118"/>
      <c r="C147" s="119"/>
      <c r="F147" s="119"/>
      <c r="I147" s="119"/>
    </row>
    <row r="148" spans="1:9" s="185" customFormat="1">
      <c r="A148" s="118"/>
      <c r="B148" s="118"/>
      <c r="C148" s="119"/>
      <c r="F148" s="119"/>
      <c r="I148" s="119"/>
    </row>
    <row r="149" spans="1:9" s="185" customFormat="1">
      <c r="A149" s="118"/>
      <c r="B149" s="118"/>
      <c r="C149" s="119"/>
      <c r="F149" s="119"/>
      <c r="I149" s="119"/>
    </row>
    <row r="150" spans="1:9" s="185" customFormat="1">
      <c r="A150" s="118"/>
      <c r="B150" s="118"/>
      <c r="C150" s="119"/>
      <c r="F150" s="119"/>
      <c r="I150" s="119"/>
    </row>
    <row r="151" spans="1:9" s="185" customFormat="1">
      <c r="A151" s="118"/>
      <c r="B151" s="118"/>
      <c r="C151" s="119"/>
      <c r="F151" s="119"/>
      <c r="I151" s="119"/>
    </row>
    <row r="152" spans="1:9" s="185" customFormat="1">
      <c r="A152" s="118"/>
      <c r="B152" s="118"/>
      <c r="C152" s="119"/>
      <c r="F152" s="119"/>
      <c r="I152" s="119"/>
    </row>
    <row r="153" spans="1:9" s="185" customFormat="1">
      <c r="A153" s="118"/>
      <c r="B153" s="118"/>
      <c r="C153" s="119"/>
      <c r="F153" s="119"/>
      <c r="I153" s="119"/>
    </row>
    <row r="154" spans="1:9" s="185" customFormat="1">
      <c r="A154" s="118"/>
      <c r="B154" s="118"/>
      <c r="C154" s="119"/>
      <c r="F154" s="119"/>
      <c r="I154" s="119"/>
    </row>
    <row r="155" spans="1:9" s="185" customFormat="1">
      <c r="A155" s="118"/>
      <c r="B155" s="118"/>
      <c r="C155" s="119"/>
      <c r="F155" s="119"/>
      <c r="I155" s="119"/>
    </row>
    <row r="156" spans="1:9" s="185" customFormat="1">
      <c r="A156" s="118"/>
      <c r="B156" s="118"/>
      <c r="C156" s="119"/>
      <c r="F156" s="119"/>
      <c r="I156" s="119"/>
    </row>
    <row r="157" spans="1:9" s="185" customFormat="1">
      <c r="A157" s="118"/>
      <c r="B157" s="118"/>
      <c r="C157" s="119"/>
      <c r="F157" s="119"/>
      <c r="I157" s="119"/>
    </row>
    <row r="158" spans="1:9" s="185" customFormat="1">
      <c r="A158" s="118"/>
      <c r="B158" s="118"/>
      <c r="C158" s="119"/>
      <c r="F158" s="119"/>
      <c r="I158" s="119"/>
    </row>
    <row r="159" spans="1:9" s="185" customFormat="1">
      <c r="A159" s="118"/>
      <c r="B159" s="118"/>
      <c r="C159" s="119"/>
      <c r="F159" s="119"/>
      <c r="I159" s="119"/>
    </row>
    <row r="160" spans="1:9" s="185" customFormat="1">
      <c r="A160" s="118"/>
      <c r="B160" s="118"/>
      <c r="C160" s="119"/>
      <c r="F160" s="119"/>
      <c r="I160" s="119"/>
    </row>
    <row r="161" spans="1:9" s="185" customFormat="1">
      <c r="A161" s="118"/>
      <c r="B161" s="118"/>
      <c r="C161" s="119"/>
      <c r="F161" s="119"/>
      <c r="I161" s="119"/>
    </row>
    <row r="162" spans="1:9" s="185" customFormat="1">
      <c r="A162" s="118"/>
      <c r="B162" s="118"/>
      <c r="C162" s="119"/>
      <c r="F162" s="119"/>
      <c r="I162" s="119"/>
    </row>
    <row r="163" spans="1:9" s="185" customFormat="1">
      <c r="A163" s="118"/>
      <c r="B163" s="118"/>
      <c r="C163" s="119"/>
      <c r="F163" s="119"/>
      <c r="I163" s="119"/>
    </row>
    <row r="164" spans="1:9" s="185" customFormat="1">
      <c r="A164" s="118"/>
      <c r="B164" s="118"/>
      <c r="C164" s="119"/>
      <c r="F164" s="119"/>
      <c r="I164" s="119"/>
    </row>
    <row r="165" spans="1:9" s="185" customFormat="1">
      <c r="A165" s="118"/>
      <c r="B165" s="118"/>
      <c r="C165" s="119"/>
      <c r="F165" s="119"/>
      <c r="I165" s="119"/>
    </row>
    <row r="166" spans="1:9" s="185" customFormat="1">
      <c r="A166" s="118"/>
      <c r="B166" s="118"/>
      <c r="C166" s="119"/>
      <c r="F166" s="119"/>
      <c r="I166" s="119"/>
    </row>
    <row r="167" spans="1:9" s="185" customFormat="1">
      <c r="A167" s="118"/>
      <c r="B167" s="118"/>
      <c r="C167" s="119"/>
      <c r="F167" s="119"/>
      <c r="I167" s="119"/>
    </row>
    <row r="168" spans="1:9" s="185" customFormat="1">
      <c r="A168" s="118"/>
      <c r="B168" s="118"/>
      <c r="C168" s="119"/>
      <c r="F168" s="119"/>
      <c r="I168" s="119"/>
    </row>
    <row r="169" spans="1:9" s="185" customFormat="1">
      <c r="A169" s="118"/>
      <c r="B169" s="118"/>
      <c r="C169" s="119"/>
      <c r="F169" s="119"/>
      <c r="I169" s="119"/>
    </row>
    <row r="170" spans="1:9" s="185" customFormat="1">
      <c r="A170" s="118"/>
      <c r="B170" s="118"/>
      <c r="C170" s="119"/>
      <c r="F170" s="119"/>
      <c r="I170" s="119"/>
    </row>
    <row r="171" spans="1:9" s="185" customFormat="1">
      <c r="A171" s="118"/>
      <c r="B171" s="118"/>
      <c r="C171" s="119"/>
      <c r="F171" s="119"/>
      <c r="I171" s="119"/>
    </row>
    <row r="172" spans="1:9" s="185" customFormat="1">
      <c r="A172" s="118"/>
      <c r="B172" s="118"/>
      <c r="C172" s="119"/>
      <c r="F172" s="119"/>
      <c r="I172" s="119"/>
    </row>
    <row r="173" spans="1:9" s="185" customFormat="1">
      <c r="A173" s="118"/>
      <c r="B173" s="118"/>
      <c r="C173" s="119"/>
      <c r="F173" s="119"/>
      <c r="I173" s="119"/>
    </row>
    <row r="174" spans="1:9" s="185" customFormat="1">
      <c r="A174" s="118"/>
      <c r="B174" s="118"/>
      <c r="C174" s="119"/>
      <c r="F174" s="119"/>
      <c r="I174" s="119"/>
    </row>
    <row r="175" spans="1:9" s="185" customFormat="1">
      <c r="A175" s="118"/>
      <c r="B175" s="118"/>
      <c r="C175" s="119"/>
      <c r="F175" s="119"/>
      <c r="I175" s="119"/>
    </row>
    <row r="176" spans="1:9" s="185" customFormat="1">
      <c r="A176" s="118"/>
      <c r="B176" s="118"/>
      <c r="C176" s="119"/>
      <c r="F176" s="119"/>
      <c r="I176" s="119"/>
    </row>
    <row r="177" spans="1:9" s="185" customFormat="1">
      <c r="A177" s="118"/>
      <c r="B177" s="118"/>
      <c r="C177" s="119"/>
      <c r="F177" s="119"/>
      <c r="I177" s="119"/>
    </row>
    <row r="178" spans="1:9" s="185" customFormat="1">
      <c r="A178" s="118"/>
      <c r="B178" s="118"/>
      <c r="C178" s="119"/>
      <c r="F178" s="119"/>
      <c r="I178" s="119"/>
    </row>
    <row r="179" spans="1:9" s="185" customFormat="1">
      <c r="A179" s="118"/>
      <c r="B179" s="118"/>
      <c r="C179" s="119"/>
      <c r="F179" s="119"/>
      <c r="I179" s="119"/>
    </row>
    <row r="180" spans="1:9" s="185" customFormat="1">
      <c r="A180" s="118"/>
      <c r="B180" s="118"/>
      <c r="C180" s="119"/>
      <c r="F180" s="119"/>
      <c r="I180" s="119"/>
    </row>
    <row r="181" spans="1:9" s="185" customFormat="1">
      <c r="A181" s="118"/>
      <c r="B181" s="118"/>
      <c r="C181" s="119"/>
      <c r="F181" s="119"/>
      <c r="I181" s="119"/>
    </row>
    <row r="182" spans="1:9" s="185" customFormat="1">
      <c r="A182" s="118"/>
      <c r="B182" s="118"/>
      <c r="C182" s="119"/>
      <c r="F182" s="119"/>
      <c r="I182" s="119"/>
    </row>
    <row r="183" spans="1:9" s="185" customFormat="1">
      <c r="A183" s="118"/>
      <c r="B183" s="118"/>
      <c r="C183" s="119"/>
      <c r="F183" s="119"/>
      <c r="I183" s="119"/>
    </row>
    <row r="184" spans="1:9" s="185" customFormat="1">
      <c r="A184" s="118"/>
      <c r="B184" s="118"/>
      <c r="C184" s="119"/>
      <c r="F184" s="119"/>
      <c r="I184" s="119"/>
    </row>
    <row r="185" spans="1:9" s="185" customFormat="1">
      <c r="A185" s="118"/>
      <c r="B185" s="118"/>
      <c r="C185" s="119"/>
      <c r="F185" s="119"/>
      <c r="I185" s="119"/>
    </row>
    <row r="186" spans="1:9" s="185" customFormat="1">
      <c r="A186" s="118"/>
      <c r="B186" s="118"/>
      <c r="C186" s="119"/>
      <c r="F186" s="119"/>
      <c r="I186" s="119"/>
    </row>
    <row r="187" spans="1:9" s="185" customFormat="1">
      <c r="A187" s="118"/>
      <c r="B187" s="118"/>
      <c r="C187" s="119"/>
      <c r="F187" s="119"/>
      <c r="I187" s="119"/>
    </row>
    <row r="188" spans="1:9" s="185" customFormat="1">
      <c r="A188" s="118"/>
      <c r="B188" s="118"/>
      <c r="C188" s="119"/>
      <c r="F188" s="119"/>
      <c r="I188" s="119"/>
    </row>
    <row r="189" spans="1:9" s="185" customFormat="1">
      <c r="A189" s="118"/>
      <c r="B189" s="118"/>
      <c r="C189" s="119"/>
      <c r="F189" s="119"/>
      <c r="I189" s="119"/>
    </row>
    <row r="190" spans="1:9" s="185" customFormat="1">
      <c r="A190" s="118"/>
      <c r="B190" s="118"/>
      <c r="C190" s="119"/>
      <c r="F190" s="119"/>
      <c r="I190" s="119"/>
    </row>
    <row r="191" spans="1:9" s="185" customFormat="1">
      <c r="A191" s="118"/>
      <c r="B191" s="118"/>
      <c r="C191" s="119"/>
      <c r="F191" s="119"/>
      <c r="I191" s="119"/>
    </row>
    <row r="192" spans="1:9" s="185" customFormat="1">
      <c r="A192" s="118"/>
      <c r="B192" s="118"/>
      <c r="C192" s="119"/>
      <c r="F192" s="119"/>
      <c r="I192" s="119"/>
    </row>
    <row r="193" spans="1:9" s="185" customFormat="1">
      <c r="A193" s="118"/>
      <c r="B193" s="118"/>
      <c r="C193" s="119"/>
      <c r="F193" s="119"/>
      <c r="I193" s="119"/>
    </row>
    <row r="194" spans="1:9" s="185" customFormat="1">
      <c r="A194" s="118"/>
      <c r="B194" s="118"/>
      <c r="C194" s="119"/>
      <c r="F194" s="119"/>
      <c r="I194" s="119"/>
    </row>
    <row r="195" spans="1:9" s="185" customFormat="1">
      <c r="A195" s="118"/>
      <c r="B195" s="118"/>
      <c r="C195" s="119"/>
      <c r="F195" s="119"/>
      <c r="I195" s="119"/>
    </row>
    <row r="196" spans="1:9" s="185" customFormat="1">
      <c r="A196" s="118"/>
      <c r="B196" s="118"/>
      <c r="C196" s="119"/>
      <c r="F196" s="119"/>
      <c r="I196" s="119"/>
    </row>
    <row r="197" spans="1:9" s="185" customFormat="1">
      <c r="A197" s="118"/>
      <c r="B197" s="118"/>
      <c r="C197" s="119"/>
      <c r="F197" s="119"/>
      <c r="I197" s="119"/>
    </row>
    <row r="198" spans="1:9" s="185" customFormat="1">
      <c r="A198" s="118"/>
      <c r="B198" s="118"/>
      <c r="C198" s="119"/>
      <c r="F198" s="119"/>
      <c r="I198" s="119"/>
    </row>
    <row r="199" spans="1:9" s="185" customFormat="1">
      <c r="A199" s="118"/>
      <c r="B199" s="118"/>
      <c r="C199" s="119"/>
      <c r="F199" s="119"/>
      <c r="I199" s="119"/>
    </row>
    <row r="200" spans="1:9" s="185" customFormat="1">
      <c r="A200" s="118"/>
      <c r="B200" s="118"/>
      <c r="C200" s="119"/>
      <c r="F200" s="119"/>
      <c r="I200" s="119"/>
    </row>
    <row r="201" spans="1:9" s="185" customFormat="1">
      <c r="A201" s="118"/>
      <c r="B201" s="118"/>
      <c r="C201" s="119"/>
      <c r="F201" s="119"/>
      <c r="I201" s="119"/>
    </row>
    <row r="202" spans="1:9" s="185" customFormat="1">
      <c r="A202" s="118"/>
      <c r="B202" s="118"/>
      <c r="C202" s="119"/>
      <c r="F202" s="119"/>
      <c r="I202" s="119"/>
    </row>
    <row r="203" spans="1:9" s="185" customFormat="1">
      <c r="A203" s="118"/>
      <c r="B203" s="118"/>
      <c r="C203" s="119"/>
      <c r="F203" s="119"/>
      <c r="I203" s="119"/>
    </row>
    <row r="204" spans="1:9" s="185" customFormat="1">
      <c r="A204" s="118"/>
      <c r="B204" s="118"/>
      <c r="C204" s="119"/>
      <c r="F204" s="119"/>
      <c r="I204" s="119"/>
    </row>
    <row r="205" spans="1:9" s="185" customFormat="1">
      <c r="A205" s="118"/>
      <c r="B205" s="118"/>
      <c r="C205" s="119"/>
      <c r="F205" s="119"/>
      <c r="I205" s="119"/>
    </row>
    <row r="206" spans="1:9" s="185" customFormat="1">
      <c r="A206" s="118"/>
      <c r="B206" s="118"/>
      <c r="C206" s="119"/>
      <c r="F206" s="119"/>
      <c r="I206" s="119"/>
    </row>
    <row r="207" spans="1:9" s="185" customFormat="1">
      <c r="A207" s="118"/>
      <c r="B207" s="118"/>
      <c r="C207" s="119"/>
      <c r="F207" s="119"/>
      <c r="I207" s="119"/>
    </row>
    <row r="208" spans="1:9" s="185" customFormat="1">
      <c r="A208" s="118"/>
      <c r="B208" s="118"/>
      <c r="C208" s="119"/>
      <c r="F208" s="119"/>
      <c r="I208" s="119"/>
    </row>
    <row r="209" spans="1:9" s="185" customFormat="1">
      <c r="A209" s="118"/>
      <c r="B209" s="118"/>
      <c r="C209" s="119"/>
      <c r="F209" s="119"/>
      <c r="I209" s="119"/>
    </row>
    <row r="210" spans="1:9" s="185" customFormat="1">
      <c r="A210" s="118"/>
      <c r="B210" s="118"/>
      <c r="C210" s="119"/>
      <c r="F210" s="119"/>
      <c r="I210" s="119"/>
    </row>
    <row r="211" spans="1:9" s="185" customFormat="1">
      <c r="A211" s="118"/>
      <c r="B211" s="118"/>
      <c r="C211" s="119"/>
      <c r="F211" s="119"/>
      <c r="I211" s="119"/>
    </row>
    <row r="212" spans="1:9" s="185" customFormat="1">
      <c r="A212" s="118"/>
      <c r="B212" s="118"/>
      <c r="C212" s="119"/>
      <c r="F212" s="119"/>
      <c r="I212" s="119"/>
    </row>
    <row r="213" spans="1:9" s="185" customFormat="1">
      <c r="A213" s="118"/>
      <c r="B213" s="118"/>
      <c r="C213" s="119"/>
      <c r="F213" s="119"/>
      <c r="I213" s="119"/>
    </row>
    <row r="214" spans="1:9" s="185" customFormat="1">
      <c r="A214" s="118"/>
      <c r="B214" s="118"/>
      <c r="C214" s="119"/>
      <c r="F214" s="119"/>
      <c r="I214" s="119"/>
    </row>
    <row r="215" spans="1:9" s="185" customFormat="1">
      <c r="A215" s="118"/>
      <c r="B215" s="118"/>
      <c r="C215" s="119"/>
      <c r="F215" s="119"/>
      <c r="I215" s="119"/>
    </row>
    <row r="216" spans="1:9" s="185" customFormat="1">
      <c r="A216" s="118"/>
      <c r="B216" s="118"/>
      <c r="C216" s="119"/>
      <c r="F216" s="119"/>
      <c r="I216" s="119"/>
    </row>
    <row r="217" spans="1:9" s="185" customFormat="1">
      <c r="A217" s="118"/>
      <c r="B217" s="118"/>
      <c r="C217" s="119"/>
      <c r="F217" s="119"/>
      <c r="I217" s="119"/>
    </row>
    <row r="218" spans="1:9" s="185" customFormat="1">
      <c r="A218" s="118"/>
      <c r="B218" s="118"/>
      <c r="C218" s="119"/>
      <c r="F218" s="119"/>
      <c r="I218" s="119"/>
    </row>
    <row r="219" spans="1:9" s="185" customFormat="1">
      <c r="A219" s="118"/>
      <c r="B219" s="118"/>
      <c r="C219" s="119"/>
      <c r="F219" s="119"/>
      <c r="I219" s="119"/>
    </row>
    <row r="220" spans="1:9" s="185" customFormat="1">
      <c r="A220" s="118"/>
      <c r="B220" s="118"/>
      <c r="C220" s="119"/>
      <c r="F220" s="119"/>
      <c r="I220" s="119"/>
    </row>
    <row r="221" spans="1:9" s="185" customFormat="1">
      <c r="A221" s="118"/>
      <c r="B221" s="118"/>
      <c r="C221" s="119"/>
      <c r="F221" s="119"/>
      <c r="I221" s="119"/>
    </row>
    <row r="222" spans="1:9" s="185" customFormat="1">
      <c r="A222" s="118"/>
      <c r="B222" s="118"/>
      <c r="C222" s="119"/>
      <c r="F222" s="119"/>
      <c r="I222" s="119"/>
    </row>
    <row r="223" spans="1:9" s="185" customFormat="1">
      <c r="A223" s="118"/>
      <c r="B223" s="118"/>
      <c r="C223" s="119"/>
      <c r="F223" s="119"/>
      <c r="I223" s="119"/>
    </row>
    <row r="224" spans="1:9" s="185" customFormat="1">
      <c r="A224" s="118"/>
      <c r="B224" s="118"/>
      <c r="C224" s="119"/>
      <c r="F224" s="119"/>
      <c r="I224" s="119"/>
    </row>
    <row r="225" spans="1:9" s="185" customFormat="1">
      <c r="A225" s="118"/>
      <c r="B225" s="118"/>
      <c r="C225" s="119"/>
      <c r="F225" s="119"/>
      <c r="I225" s="119"/>
    </row>
    <row r="226" spans="1:9" s="185" customFormat="1">
      <c r="A226" s="118"/>
      <c r="B226" s="118"/>
      <c r="C226" s="119"/>
      <c r="F226" s="119"/>
      <c r="I226" s="119"/>
    </row>
    <row r="227" spans="1:9" s="185" customFormat="1">
      <c r="A227" s="118"/>
      <c r="B227" s="118"/>
      <c r="C227" s="119"/>
      <c r="F227" s="119"/>
      <c r="I227" s="119"/>
    </row>
    <row r="228" spans="1:9" s="185" customFormat="1">
      <c r="A228" s="118"/>
      <c r="B228" s="118"/>
      <c r="C228" s="119"/>
      <c r="F228" s="119"/>
      <c r="I228" s="119"/>
    </row>
    <row r="229" spans="1:9" s="185" customFormat="1">
      <c r="A229" s="118"/>
      <c r="B229" s="118"/>
      <c r="C229" s="119"/>
      <c r="F229" s="119"/>
      <c r="I229" s="119"/>
    </row>
    <row r="230" spans="1:9" s="185" customFormat="1">
      <c r="A230" s="118"/>
      <c r="B230" s="118"/>
      <c r="C230" s="119"/>
      <c r="F230" s="119"/>
      <c r="I230" s="119"/>
    </row>
    <row r="231" spans="1:9" s="185" customFormat="1">
      <c r="A231" s="118"/>
      <c r="B231" s="118"/>
      <c r="C231" s="119"/>
      <c r="F231" s="119"/>
      <c r="I231" s="119"/>
    </row>
    <row r="232" spans="1:9" s="185" customFormat="1">
      <c r="A232" s="118"/>
      <c r="B232" s="118"/>
      <c r="C232" s="119"/>
      <c r="F232" s="119"/>
      <c r="I232" s="119"/>
    </row>
    <row r="233" spans="1:9" s="185" customFormat="1">
      <c r="A233" s="118"/>
      <c r="B233" s="118"/>
      <c r="C233" s="119"/>
      <c r="F233" s="119"/>
      <c r="I233" s="119"/>
    </row>
    <row r="234" spans="1:9" s="185" customFormat="1">
      <c r="A234" s="118"/>
      <c r="B234" s="118"/>
      <c r="C234" s="119"/>
      <c r="F234" s="119"/>
      <c r="I234" s="119"/>
    </row>
    <row r="235" spans="1:9" s="185" customFormat="1">
      <c r="A235" s="118"/>
      <c r="B235" s="118"/>
      <c r="C235" s="119"/>
      <c r="F235" s="119"/>
      <c r="I235" s="119"/>
    </row>
    <row r="236" spans="1:9" s="185" customFormat="1">
      <c r="A236" s="118"/>
      <c r="B236" s="118"/>
      <c r="C236" s="119"/>
      <c r="F236" s="119"/>
      <c r="I236" s="119"/>
    </row>
    <row r="237" spans="1:9" s="185" customFormat="1">
      <c r="A237" s="118"/>
      <c r="B237" s="118"/>
      <c r="C237" s="119"/>
      <c r="F237" s="119"/>
      <c r="I237" s="119"/>
    </row>
    <row r="238" spans="1:9" s="185" customFormat="1">
      <c r="A238" s="118"/>
      <c r="B238" s="118"/>
      <c r="C238" s="119"/>
      <c r="F238" s="119"/>
      <c r="I238" s="119"/>
    </row>
    <row r="239" spans="1:9" s="185" customFormat="1">
      <c r="A239" s="118"/>
      <c r="B239" s="118"/>
      <c r="C239" s="119"/>
      <c r="F239" s="119"/>
      <c r="I239" s="119"/>
    </row>
    <row r="240" spans="1:9" s="185" customFormat="1">
      <c r="A240" s="118"/>
      <c r="B240" s="118"/>
      <c r="C240" s="119"/>
      <c r="F240" s="119"/>
      <c r="I240" s="119"/>
    </row>
    <row r="241" spans="1:9" s="185" customFormat="1">
      <c r="A241" s="118"/>
      <c r="B241" s="118"/>
      <c r="C241" s="119"/>
      <c r="F241" s="119"/>
      <c r="I241" s="119"/>
    </row>
    <row r="242" spans="1:9" s="185" customFormat="1">
      <c r="A242" s="118"/>
      <c r="B242" s="118"/>
      <c r="C242" s="119"/>
      <c r="F242" s="119"/>
      <c r="I242" s="119"/>
    </row>
    <row r="243" spans="1:9" s="185" customFormat="1">
      <c r="A243" s="118"/>
      <c r="B243" s="118"/>
      <c r="C243" s="119"/>
      <c r="F243" s="119"/>
      <c r="I243" s="119"/>
    </row>
    <row r="244" spans="1:9" s="185" customFormat="1">
      <c r="A244" s="118"/>
      <c r="B244" s="118"/>
      <c r="C244" s="119"/>
      <c r="F244" s="119"/>
      <c r="I244" s="119"/>
    </row>
    <row r="245" spans="1:9" s="185" customFormat="1">
      <c r="A245" s="118"/>
      <c r="B245" s="118"/>
      <c r="C245" s="119"/>
      <c r="F245" s="119"/>
      <c r="I245" s="119"/>
    </row>
    <row r="246" spans="1:9" s="185" customFormat="1">
      <c r="A246" s="118"/>
      <c r="B246" s="118"/>
      <c r="C246" s="119"/>
      <c r="F246" s="119"/>
      <c r="I246" s="119"/>
    </row>
    <row r="247" spans="1:9" s="185" customFormat="1">
      <c r="A247" s="118"/>
      <c r="B247" s="118"/>
      <c r="C247" s="119"/>
      <c r="F247" s="119"/>
      <c r="I247" s="119"/>
    </row>
    <row r="248" spans="1:9" s="185" customFormat="1">
      <c r="A248" s="118"/>
      <c r="B248" s="118"/>
      <c r="C248" s="119"/>
      <c r="F248" s="119"/>
      <c r="I248" s="119"/>
    </row>
    <row r="249" spans="1:9" s="185" customFormat="1">
      <c r="A249" s="118"/>
      <c r="B249" s="118"/>
      <c r="C249" s="119"/>
      <c r="F249" s="119"/>
      <c r="I249" s="119"/>
    </row>
    <row r="250" spans="1:9" s="185" customFormat="1">
      <c r="A250" s="118"/>
      <c r="B250" s="118"/>
      <c r="C250" s="119"/>
      <c r="F250" s="119"/>
      <c r="I250" s="119"/>
    </row>
    <row r="251" spans="1:9" s="185" customFormat="1">
      <c r="A251" s="118"/>
      <c r="B251" s="118"/>
      <c r="C251" s="119"/>
      <c r="F251" s="119"/>
      <c r="I251" s="119"/>
    </row>
    <row r="252" spans="1:9" s="185" customFormat="1">
      <c r="A252" s="118"/>
      <c r="B252" s="118"/>
      <c r="C252" s="119"/>
      <c r="F252" s="119"/>
      <c r="I252" s="119"/>
    </row>
    <row r="253" spans="1:9" s="185" customFormat="1">
      <c r="A253" s="118"/>
      <c r="B253" s="118"/>
      <c r="C253" s="119"/>
      <c r="F253" s="119"/>
      <c r="I253" s="119"/>
    </row>
    <row r="254" spans="1:9" s="185" customFormat="1">
      <c r="A254" s="118"/>
      <c r="B254" s="118"/>
      <c r="C254" s="119"/>
      <c r="F254" s="119"/>
      <c r="I254" s="119"/>
    </row>
    <row r="255" spans="1:9" s="185" customFormat="1">
      <c r="A255" s="118"/>
      <c r="B255" s="118"/>
      <c r="C255" s="119"/>
      <c r="F255" s="119"/>
      <c r="I255" s="119"/>
    </row>
    <row r="256" spans="1:9" s="185" customFormat="1">
      <c r="A256" s="118"/>
      <c r="B256" s="118"/>
      <c r="C256" s="119"/>
      <c r="F256" s="119"/>
      <c r="I256" s="119"/>
    </row>
    <row r="257" spans="1:9" s="185" customFormat="1">
      <c r="A257" s="118"/>
      <c r="B257" s="118"/>
      <c r="C257" s="119"/>
      <c r="F257" s="119"/>
      <c r="I257" s="119"/>
    </row>
    <row r="258" spans="1:9" s="185" customFormat="1">
      <c r="A258" s="118"/>
      <c r="B258" s="118"/>
      <c r="C258" s="119"/>
      <c r="F258" s="119"/>
      <c r="I258" s="119"/>
    </row>
    <row r="259" spans="1:9" s="185" customFormat="1">
      <c r="A259" s="118"/>
      <c r="B259" s="118"/>
      <c r="C259" s="119"/>
      <c r="F259" s="119"/>
      <c r="I259" s="119"/>
    </row>
    <row r="260" spans="1:9" s="185" customFormat="1">
      <c r="A260" s="118"/>
      <c r="B260" s="118"/>
      <c r="C260" s="119"/>
      <c r="F260" s="119"/>
      <c r="I260" s="119"/>
    </row>
    <row r="261" spans="1:9" s="185" customFormat="1">
      <c r="A261" s="118"/>
      <c r="B261" s="118"/>
      <c r="C261" s="119"/>
      <c r="F261" s="119"/>
      <c r="I261" s="119"/>
    </row>
    <row r="262" spans="1:9" s="185" customFormat="1">
      <c r="A262" s="118"/>
      <c r="B262" s="118"/>
      <c r="C262" s="119"/>
      <c r="F262" s="119"/>
      <c r="I262" s="119"/>
    </row>
    <row r="263" spans="1:9" s="185" customFormat="1">
      <c r="A263" s="118"/>
      <c r="B263" s="118"/>
      <c r="C263" s="119"/>
      <c r="F263" s="119"/>
      <c r="I263" s="119"/>
    </row>
    <row r="264" spans="1:9" s="185" customFormat="1">
      <c r="A264" s="118"/>
      <c r="B264" s="118"/>
      <c r="C264" s="119"/>
      <c r="F264" s="119"/>
      <c r="I264" s="119"/>
    </row>
    <row r="265" spans="1:9" s="185" customFormat="1">
      <c r="A265" s="118"/>
      <c r="B265" s="118"/>
      <c r="C265" s="119"/>
      <c r="F265" s="119"/>
      <c r="I265" s="119"/>
    </row>
    <row r="266" spans="1:9" s="185" customFormat="1">
      <c r="A266" s="118"/>
      <c r="B266" s="118"/>
      <c r="C266" s="119"/>
      <c r="F266" s="119"/>
      <c r="I266" s="119"/>
    </row>
    <row r="267" spans="1:9" s="185" customFormat="1">
      <c r="A267" s="118"/>
      <c r="B267" s="118"/>
      <c r="C267" s="119"/>
      <c r="F267" s="119"/>
      <c r="I267" s="119"/>
    </row>
    <row r="268" spans="1:9" s="185" customFormat="1">
      <c r="A268" s="118"/>
      <c r="B268" s="118"/>
      <c r="C268" s="119"/>
      <c r="F268" s="119"/>
      <c r="I268" s="119"/>
    </row>
    <row r="269" spans="1:9" s="185" customFormat="1">
      <c r="A269" s="118"/>
      <c r="B269" s="118"/>
      <c r="C269" s="119"/>
      <c r="F269" s="119"/>
      <c r="I269" s="119"/>
    </row>
    <row r="270" spans="1:9" s="185" customFormat="1">
      <c r="A270" s="118"/>
      <c r="B270" s="118"/>
      <c r="C270" s="119"/>
      <c r="F270" s="119"/>
      <c r="I270" s="119"/>
    </row>
    <row r="271" spans="1:9" s="185" customFormat="1">
      <c r="A271" s="118"/>
      <c r="B271" s="118"/>
      <c r="C271" s="119"/>
      <c r="F271" s="119"/>
      <c r="I271" s="119"/>
    </row>
    <row r="272" spans="1:9" s="185" customFormat="1">
      <c r="A272" s="118"/>
      <c r="B272" s="118"/>
      <c r="C272" s="119"/>
      <c r="F272" s="119"/>
      <c r="I272" s="119"/>
    </row>
    <row r="273" spans="1:9" s="185" customFormat="1">
      <c r="A273" s="118"/>
      <c r="B273" s="118"/>
      <c r="C273" s="119"/>
      <c r="F273" s="119"/>
      <c r="I273" s="119"/>
    </row>
    <row r="274" spans="1:9" s="185" customFormat="1">
      <c r="A274" s="118"/>
      <c r="B274" s="118"/>
      <c r="C274" s="119"/>
      <c r="F274" s="119"/>
      <c r="I274" s="119"/>
    </row>
    <row r="275" spans="1:9" s="185" customFormat="1">
      <c r="A275" s="118"/>
      <c r="B275" s="118"/>
      <c r="C275" s="119"/>
      <c r="F275" s="119"/>
      <c r="I275" s="119"/>
    </row>
    <row r="276" spans="1:9" s="185" customFormat="1">
      <c r="A276" s="118"/>
      <c r="B276" s="118"/>
      <c r="C276" s="119"/>
      <c r="F276" s="119"/>
      <c r="I276" s="119"/>
    </row>
    <row r="277" spans="1:9" s="185" customFormat="1">
      <c r="A277" s="118"/>
      <c r="B277" s="118"/>
      <c r="C277" s="119"/>
      <c r="F277" s="119"/>
      <c r="I277" s="119"/>
    </row>
    <row r="278" spans="1:9" s="185" customFormat="1">
      <c r="A278" s="118"/>
      <c r="B278" s="118"/>
      <c r="C278" s="119"/>
      <c r="F278" s="119"/>
      <c r="I278" s="119"/>
    </row>
    <row r="279" spans="1:9" s="185" customFormat="1">
      <c r="A279" s="118"/>
      <c r="B279" s="118"/>
      <c r="C279" s="119"/>
      <c r="F279" s="119"/>
      <c r="I279" s="119"/>
    </row>
    <row r="280" spans="1:9" s="185" customFormat="1">
      <c r="A280" s="118"/>
      <c r="B280" s="118"/>
      <c r="C280" s="119"/>
      <c r="F280" s="119"/>
      <c r="I280" s="119"/>
    </row>
    <row r="281" spans="1:9" s="185" customFormat="1">
      <c r="A281" s="118"/>
      <c r="B281" s="118"/>
      <c r="C281" s="119"/>
      <c r="F281" s="119"/>
      <c r="I281" s="119"/>
    </row>
    <row r="282" spans="1:9" s="185" customFormat="1">
      <c r="A282" s="118"/>
      <c r="B282" s="118"/>
      <c r="C282" s="119"/>
      <c r="F282" s="119"/>
      <c r="I282" s="119"/>
    </row>
    <row r="283" spans="1:9" s="185" customFormat="1">
      <c r="A283" s="118"/>
      <c r="B283" s="118"/>
      <c r="C283" s="119"/>
      <c r="F283" s="119"/>
      <c r="I283" s="119"/>
    </row>
    <row r="284" spans="1:9" s="185" customFormat="1">
      <c r="A284" s="118"/>
      <c r="B284" s="118"/>
      <c r="C284" s="119"/>
      <c r="F284" s="119"/>
      <c r="I284" s="119"/>
    </row>
    <row r="285" spans="1:9" s="185" customFormat="1">
      <c r="A285" s="118"/>
      <c r="B285" s="118"/>
      <c r="C285" s="119"/>
      <c r="F285" s="119"/>
      <c r="I285" s="119"/>
    </row>
    <row r="286" spans="1:9" s="185" customFormat="1">
      <c r="A286" s="118"/>
      <c r="B286" s="118"/>
      <c r="C286" s="119"/>
      <c r="F286" s="119"/>
      <c r="I286" s="119"/>
    </row>
    <row r="287" spans="1:9" s="185" customFormat="1">
      <c r="A287" s="118"/>
      <c r="B287" s="118"/>
      <c r="C287" s="119"/>
      <c r="F287" s="119"/>
      <c r="I287" s="119"/>
    </row>
    <row r="288" spans="1:9" s="185" customFormat="1">
      <c r="A288" s="118"/>
      <c r="B288" s="118"/>
      <c r="C288" s="119"/>
      <c r="F288" s="119"/>
      <c r="I288" s="119"/>
    </row>
    <row r="289" spans="1:9" s="185" customFormat="1">
      <c r="A289" s="118"/>
      <c r="B289" s="118"/>
      <c r="C289" s="119"/>
      <c r="F289" s="119"/>
      <c r="I289" s="119"/>
    </row>
    <row r="290" spans="1:9" s="185" customFormat="1">
      <c r="A290" s="118"/>
      <c r="B290" s="118"/>
      <c r="C290" s="119"/>
      <c r="F290" s="119"/>
      <c r="I290" s="119"/>
    </row>
    <row r="291" spans="1:9" s="185" customFormat="1">
      <c r="A291" s="118"/>
      <c r="B291" s="118"/>
      <c r="C291" s="119"/>
      <c r="F291" s="119"/>
      <c r="I291" s="119"/>
    </row>
    <row r="292" spans="1:9" s="185" customFormat="1">
      <c r="A292" s="118"/>
      <c r="B292" s="118"/>
      <c r="C292" s="119"/>
      <c r="F292" s="119"/>
      <c r="I292" s="119"/>
    </row>
    <row r="293" spans="1:9" s="185" customFormat="1">
      <c r="A293" s="118"/>
      <c r="B293" s="118"/>
      <c r="C293" s="119"/>
      <c r="F293" s="119"/>
      <c r="I293" s="119"/>
    </row>
    <row r="294" spans="1:9" s="185" customFormat="1">
      <c r="A294" s="118"/>
      <c r="B294" s="118"/>
      <c r="C294" s="119"/>
      <c r="F294" s="119"/>
      <c r="I294" s="119"/>
    </row>
    <row r="295" spans="1:9" s="185" customFormat="1">
      <c r="A295" s="118"/>
      <c r="B295" s="118"/>
      <c r="C295" s="119"/>
      <c r="F295" s="119"/>
      <c r="I295" s="119"/>
    </row>
    <row r="296" spans="1:9" s="185" customFormat="1">
      <c r="A296" s="118"/>
      <c r="B296" s="118"/>
      <c r="C296" s="119"/>
      <c r="F296" s="119"/>
      <c r="I296" s="119"/>
    </row>
    <row r="297" spans="1:9" s="185" customFormat="1">
      <c r="A297" s="118"/>
      <c r="B297" s="118"/>
      <c r="C297" s="119"/>
      <c r="F297" s="119"/>
      <c r="I297" s="119"/>
    </row>
    <row r="298" spans="1:9" s="185" customFormat="1">
      <c r="A298" s="118"/>
      <c r="B298" s="118"/>
      <c r="C298" s="119"/>
      <c r="F298" s="119"/>
      <c r="I298" s="119"/>
    </row>
    <row r="299" spans="1:9" s="185" customFormat="1">
      <c r="A299" s="118"/>
      <c r="B299" s="118"/>
      <c r="C299" s="119"/>
      <c r="F299" s="119"/>
      <c r="I299" s="119"/>
    </row>
    <row r="300" spans="1:9" s="185" customFormat="1">
      <c r="A300" s="118"/>
      <c r="B300" s="118"/>
      <c r="C300" s="119"/>
      <c r="F300" s="119"/>
      <c r="I300" s="119"/>
    </row>
    <row r="301" spans="1:9" s="185" customFormat="1">
      <c r="A301" s="118"/>
      <c r="B301" s="118"/>
      <c r="C301" s="119"/>
      <c r="F301" s="119"/>
      <c r="I301" s="119"/>
    </row>
    <row r="302" spans="1:9" s="185" customFormat="1">
      <c r="A302" s="118"/>
      <c r="B302" s="118"/>
      <c r="C302" s="119"/>
      <c r="F302" s="119"/>
      <c r="I302" s="119"/>
    </row>
    <row r="303" spans="1:9" s="185" customFormat="1">
      <c r="A303" s="118"/>
      <c r="B303" s="118"/>
      <c r="C303" s="119"/>
      <c r="F303" s="119"/>
      <c r="I303" s="119"/>
    </row>
    <row r="304" spans="1:9" s="185" customFormat="1">
      <c r="A304" s="118"/>
      <c r="B304" s="118"/>
      <c r="C304" s="119"/>
      <c r="F304" s="119"/>
      <c r="I304" s="119"/>
    </row>
    <row r="305" spans="1:9" s="185" customFormat="1">
      <c r="A305" s="118"/>
      <c r="B305" s="118"/>
      <c r="C305" s="119"/>
      <c r="F305" s="119"/>
      <c r="I305" s="119"/>
    </row>
    <row r="306" spans="1:9" s="185" customFormat="1">
      <c r="A306" s="118"/>
      <c r="B306" s="118"/>
      <c r="C306" s="119"/>
      <c r="F306" s="119"/>
      <c r="I306" s="119"/>
    </row>
    <row r="307" spans="1:9" s="185" customFormat="1">
      <c r="A307" s="118"/>
      <c r="B307" s="118"/>
      <c r="C307" s="119"/>
      <c r="F307" s="119"/>
      <c r="I307" s="119"/>
    </row>
    <row r="308" spans="1:9" s="185" customFormat="1">
      <c r="A308" s="118"/>
      <c r="B308" s="118"/>
      <c r="C308" s="119"/>
      <c r="F308" s="119"/>
      <c r="I308" s="119"/>
    </row>
    <row r="309" spans="1:9" s="185" customFormat="1">
      <c r="A309" s="118"/>
      <c r="B309" s="118"/>
      <c r="C309" s="119"/>
      <c r="F309" s="119"/>
      <c r="I309" s="119"/>
    </row>
    <row r="310" spans="1:9" s="185" customFormat="1">
      <c r="A310" s="118"/>
      <c r="B310" s="118"/>
      <c r="C310" s="119"/>
      <c r="F310" s="119"/>
      <c r="I310" s="119"/>
    </row>
    <row r="311" spans="1:9" s="185" customFormat="1">
      <c r="A311" s="118"/>
      <c r="B311" s="118"/>
      <c r="C311" s="119"/>
      <c r="F311" s="119"/>
      <c r="I311" s="119"/>
    </row>
    <row r="312" spans="1:9" s="185" customFormat="1">
      <c r="A312" s="118"/>
      <c r="B312" s="118"/>
      <c r="C312" s="119"/>
      <c r="F312" s="119"/>
      <c r="I312" s="119"/>
    </row>
    <row r="313" spans="1:9" s="185" customFormat="1">
      <c r="A313" s="118"/>
      <c r="B313" s="118"/>
      <c r="C313" s="119"/>
      <c r="F313" s="119"/>
      <c r="I313" s="119"/>
    </row>
    <row r="314" spans="1:9" s="185" customFormat="1">
      <c r="A314" s="118"/>
      <c r="B314" s="118"/>
      <c r="C314" s="119"/>
      <c r="F314" s="119"/>
      <c r="I314" s="119"/>
    </row>
    <row r="315" spans="1:9" s="185" customFormat="1">
      <c r="A315" s="118"/>
      <c r="B315" s="118"/>
      <c r="C315" s="119"/>
      <c r="F315" s="119"/>
      <c r="I315" s="119"/>
    </row>
    <row r="316" spans="1:9" s="185" customFormat="1">
      <c r="A316" s="118"/>
      <c r="B316" s="118"/>
      <c r="C316" s="119"/>
      <c r="F316" s="119"/>
      <c r="I316" s="119"/>
    </row>
    <row r="317" spans="1:9" s="185" customFormat="1">
      <c r="A317" s="118"/>
      <c r="B317" s="118"/>
      <c r="C317" s="119"/>
      <c r="F317" s="119"/>
      <c r="I317" s="119"/>
    </row>
    <row r="318" spans="1:9" s="185" customFormat="1">
      <c r="A318" s="118"/>
      <c r="B318" s="118"/>
      <c r="C318" s="119"/>
      <c r="F318" s="119"/>
      <c r="I318" s="119"/>
    </row>
    <row r="319" spans="1:9" s="185" customFormat="1">
      <c r="A319" s="118"/>
      <c r="B319" s="118"/>
      <c r="C319" s="119"/>
      <c r="F319" s="119"/>
      <c r="I319" s="119"/>
    </row>
    <row r="320" spans="1:9" s="185" customFormat="1">
      <c r="A320" s="118"/>
      <c r="B320" s="118"/>
      <c r="C320" s="119"/>
      <c r="F320" s="119"/>
      <c r="I320" s="119"/>
    </row>
    <row r="321" spans="1:9" s="185" customFormat="1">
      <c r="A321" s="118"/>
      <c r="B321" s="118"/>
      <c r="C321" s="119"/>
      <c r="F321" s="119"/>
      <c r="I321" s="119"/>
    </row>
    <row r="322" spans="1:9" s="185" customFormat="1">
      <c r="A322" s="118"/>
      <c r="B322" s="118"/>
      <c r="C322" s="119"/>
      <c r="F322" s="119"/>
      <c r="I322" s="119"/>
    </row>
    <row r="323" spans="1:9" s="185" customFormat="1">
      <c r="A323" s="118"/>
      <c r="B323" s="118"/>
      <c r="C323" s="119"/>
      <c r="F323" s="119"/>
      <c r="I323" s="119"/>
    </row>
    <row r="324" spans="1:9" s="185" customFormat="1">
      <c r="A324" s="118"/>
      <c r="B324" s="118"/>
      <c r="C324" s="119"/>
      <c r="F324" s="119"/>
      <c r="I324" s="119"/>
    </row>
    <row r="325" spans="1:9" s="185" customFormat="1">
      <c r="A325" s="118"/>
      <c r="B325" s="118"/>
      <c r="C325" s="119"/>
      <c r="F325" s="119"/>
      <c r="I325" s="119"/>
    </row>
    <row r="326" spans="1:9" s="185" customFormat="1">
      <c r="A326" s="118"/>
      <c r="B326" s="118"/>
      <c r="C326" s="119"/>
      <c r="F326" s="119"/>
      <c r="I326" s="119"/>
    </row>
    <row r="327" spans="1:9" s="185" customFormat="1">
      <c r="A327" s="118"/>
      <c r="B327" s="118"/>
      <c r="C327" s="119"/>
      <c r="F327" s="119"/>
      <c r="I327" s="119"/>
    </row>
    <row r="328" spans="1:9" s="185" customFormat="1">
      <c r="A328" s="118"/>
      <c r="B328" s="118"/>
      <c r="C328" s="119"/>
      <c r="F328" s="119"/>
      <c r="I328" s="119"/>
    </row>
    <row r="329" spans="1:9" s="185" customFormat="1">
      <c r="A329" s="118"/>
      <c r="B329" s="118"/>
      <c r="C329" s="119"/>
      <c r="F329" s="119"/>
      <c r="I329" s="119"/>
    </row>
    <row r="330" spans="1:9" s="185" customFormat="1">
      <c r="A330" s="118"/>
      <c r="B330" s="118"/>
      <c r="C330" s="119"/>
      <c r="F330" s="119"/>
      <c r="I330" s="119"/>
    </row>
    <row r="331" spans="1:9" s="185" customFormat="1">
      <c r="A331" s="118"/>
      <c r="B331" s="118"/>
      <c r="C331" s="119"/>
      <c r="F331" s="119"/>
      <c r="I331" s="119"/>
    </row>
    <row r="332" spans="1:9" s="185" customFormat="1">
      <c r="A332" s="118"/>
      <c r="B332" s="118"/>
      <c r="C332" s="119"/>
      <c r="F332" s="119"/>
      <c r="I332" s="119"/>
    </row>
    <row r="333" spans="1:9" s="185" customFormat="1">
      <c r="A333" s="118"/>
      <c r="B333" s="118"/>
      <c r="C333" s="119"/>
      <c r="F333" s="119"/>
      <c r="I333" s="119"/>
    </row>
    <row r="334" spans="1:9" s="185" customFormat="1">
      <c r="A334" s="118"/>
      <c r="B334" s="118"/>
      <c r="C334" s="119"/>
      <c r="F334" s="119"/>
      <c r="I334" s="119"/>
    </row>
    <row r="335" spans="1:9" s="185" customFormat="1">
      <c r="A335" s="118"/>
      <c r="B335" s="118"/>
      <c r="C335" s="119"/>
      <c r="F335" s="119"/>
      <c r="I335" s="119"/>
    </row>
    <row r="336" spans="1:9" s="185" customFormat="1">
      <c r="A336" s="118"/>
      <c r="B336" s="118"/>
      <c r="C336" s="119"/>
      <c r="F336" s="119"/>
      <c r="I336" s="119"/>
    </row>
    <row r="337" spans="1:9" s="185" customFormat="1">
      <c r="A337" s="118"/>
      <c r="B337" s="118"/>
      <c r="C337" s="119"/>
      <c r="F337" s="119"/>
      <c r="I337" s="119"/>
    </row>
    <row r="338" spans="1:9" s="185" customFormat="1">
      <c r="A338" s="118"/>
      <c r="B338" s="118"/>
      <c r="C338" s="119"/>
      <c r="F338" s="119"/>
      <c r="I338" s="119"/>
    </row>
    <row r="339" spans="1:9" s="185" customFormat="1">
      <c r="A339" s="118"/>
      <c r="B339" s="118"/>
      <c r="C339" s="119"/>
      <c r="F339" s="119"/>
      <c r="I339" s="119"/>
    </row>
    <row r="340" spans="1:9" s="185" customFormat="1">
      <c r="A340" s="118"/>
      <c r="B340" s="118"/>
      <c r="C340" s="119"/>
      <c r="F340" s="119"/>
      <c r="I340" s="119"/>
    </row>
    <row r="341" spans="1:9" s="185" customFormat="1">
      <c r="A341" s="118"/>
      <c r="B341" s="118"/>
      <c r="C341" s="119"/>
      <c r="F341" s="119"/>
      <c r="I341" s="119"/>
    </row>
    <row r="342" spans="1:9" s="185" customFormat="1">
      <c r="A342" s="118"/>
      <c r="B342" s="118"/>
      <c r="C342" s="119"/>
      <c r="F342" s="119"/>
      <c r="I342" s="119"/>
    </row>
    <row r="343" spans="1:9" s="185" customFormat="1">
      <c r="A343" s="118"/>
      <c r="B343" s="118"/>
      <c r="C343" s="119"/>
      <c r="F343" s="119"/>
      <c r="I343" s="119"/>
    </row>
    <row r="344" spans="1:9" s="185" customFormat="1">
      <c r="A344" s="118"/>
      <c r="B344" s="118"/>
      <c r="C344" s="119"/>
      <c r="F344" s="119"/>
      <c r="I344" s="119"/>
    </row>
    <row r="345" spans="1:9" s="185" customFormat="1">
      <c r="A345" s="118"/>
      <c r="B345" s="118"/>
      <c r="C345" s="119"/>
      <c r="F345" s="119"/>
      <c r="I345" s="119"/>
    </row>
    <row r="346" spans="1:9" s="185" customFormat="1">
      <c r="A346" s="118"/>
      <c r="B346" s="118"/>
      <c r="C346" s="119"/>
      <c r="F346" s="119"/>
      <c r="I346" s="119"/>
    </row>
    <row r="347" spans="1:9" s="185" customFormat="1">
      <c r="A347" s="118"/>
      <c r="B347" s="118"/>
      <c r="C347" s="119"/>
      <c r="F347" s="119"/>
      <c r="I347" s="119"/>
    </row>
    <row r="348" spans="1:9" s="185" customFormat="1">
      <c r="A348" s="118"/>
      <c r="B348" s="118"/>
      <c r="C348" s="119"/>
      <c r="F348" s="119"/>
      <c r="I348" s="119"/>
    </row>
    <row r="349" spans="1:9" s="185" customFormat="1">
      <c r="A349" s="118"/>
      <c r="B349" s="118"/>
      <c r="C349" s="119"/>
      <c r="F349" s="119"/>
      <c r="I349" s="119"/>
    </row>
    <row r="350" spans="1:9" s="185" customFormat="1">
      <c r="A350" s="118"/>
      <c r="B350" s="118"/>
      <c r="C350" s="119"/>
      <c r="F350" s="119"/>
      <c r="I350" s="119"/>
    </row>
    <row r="351" spans="1:9" s="185" customFormat="1">
      <c r="A351" s="118"/>
      <c r="B351" s="118"/>
      <c r="C351" s="119"/>
      <c r="F351" s="119"/>
      <c r="I351" s="119"/>
    </row>
    <row r="352" spans="1:9" s="185" customFormat="1">
      <c r="A352" s="118"/>
      <c r="B352" s="118"/>
      <c r="C352" s="119"/>
      <c r="F352" s="119"/>
      <c r="I352" s="119"/>
    </row>
    <row r="353" spans="1:9" s="185" customFormat="1">
      <c r="A353" s="118"/>
      <c r="B353" s="118"/>
      <c r="C353" s="119"/>
      <c r="F353" s="119"/>
      <c r="I353" s="119"/>
    </row>
    <row r="354" spans="1:9" s="185" customFormat="1">
      <c r="A354" s="118"/>
      <c r="B354" s="118"/>
      <c r="C354" s="119"/>
      <c r="F354" s="119"/>
      <c r="I354" s="119"/>
    </row>
    <row r="355" spans="1:9" s="185" customFormat="1">
      <c r="A355" s="118"/>
      <c r="B355" s="118"/>
      <c r="C355" s="119"/>
      <c r="F355" s="119"/>
      <c r="I355" s="119"/>
    </row>
    <row r="356" spans="1:9" s="185" customFormat="1">
      <c r="A356" s="118"/>
      <c r="B356" s="118"/>
      <c r="C356" s="119"/>
      <c r="F356" s="119"/>
      <c r="I356" s="119"/>
    </row>
    <row r="357" spans="1:9" s="185" customFormat="1">
      <c r="A357" s="118"/>
      <c r="B357" s="118"/>
      <c r="C357" s="119"/>
      <c r="F357" s="119"/>
      <c r="I357" s="119"/>
    </row>
    <row r="358" spans="1:9" s="185" customFormat="1">
      <c r="A358" s="118"/>
      <c r="B358" s="118"/>
      <c r="C358" s="119"/>
      <c r="F358" s="119"/>
      <c r="I358" s="119"/>
    </row>
    <row r="359" spans="1:9" s="185" customFormat="1">
      <c r="A359" s="118"/>
      <c r="B359" s="118"/>
      <c r="C359" s="119"/>
      <c r="F359" s="119"/>
      <c r="I359" s="119"/>
    </row>
    <row r="360" spans="1:9" s="185" customFormat="1">
      <c r="A360" s="118"/>
      <c r="B360" s="118"/>
      <c r="C360" s="119"/>
      <c r="F360" s="119"/>
      <c r="I360" s="119"/>
    </row>
    <row r="361" spans="1:9" s="185" customFormat="1">
      <c r="A361" s="118"/>
      <c r="B361" s="118"/>
      <c r="C361" s="119"/>
      <c r="F361" s="119"/>
      <c r="I361" s="119"/>
    </row>
    <row r="362" spans="1:9" s="185" customFormat="1">
      <c r="A362" s="118"/>
      <c r="B362" s="118"/>
      <c r="C362" s="119"/>
      <c r="F362" s="119"/>
      <c r="I362" s="119"/>
    </row>
    <row r="363" spans="1:9" s="185" customFormat="1">
      <c r="A363" s="118"/>
      <c r="B363" s="118"/>
      <c r="C363" s="119"/>
      <c r="F363" s="119"/>
      <c r="I363" s="119"/>
    </row>
    <row r="364" spans="1:9" s="185" customFormat="1">
      <c r="A364" s="118"/>
      <c r="B364" s="118"/>
      <c r="C364" s="119"/>
      <c r="F364" s="119"/>
      <c r="I364" s="119"/>
    </row>
    <row r="365" spans="1:9" s="185" customFormat="1">
      <c r="A365" s="118"/>
      <c r="B365" s="118"/>
      <c r="C365" s="119"/>
      <c r="F365" s="119"/>
      <c r="I365" s="119"/>
    </row>
    <row r="366" spans="1:9" s="185" customFormat="1">
      <c r="A366" s="118"/>
      <c r="B366" s="118"/>
      <c r="C366" s="119"/>
      <c r="F366" s="119"/>
      <c r="I366" s="119"/>
    </row>
    <row r="367" spans="1:9" s="185" customFormat="1">
      <c r="A367" s="118"/>
      <c r="B367" s="118"/>
      <c r="C367" s="119"/>
      <c r="F367" s="119"/>
      <c r="I367" s="119"/>
    </row>
    <row r="368" spans="1:9" s="185" customFormat="1">
      <c r="A368" s="118"/>
      <c r="B368" s="118"/>
      <c r="C368" s="119"/>
      <c r="F368" s="119"/>
      <c r="I368" s="119"/>
    </row>
    <row r="369" spans="1:9" s="185" customFormat="1">
      <c r="A369" s="118"/>
      <c r="B369" s="118"/>
      <c r="C369" s="119"/>
      <c r="F369" s="119"/>
      <c r="I369" s="119"/>
    </row>
    <row r="370" spans="1:9" s="185" customFormat="1">
      <c r="A370" s="118"/>
      <c r="B370" s="118"/>
      <c r="C370" s="119"/>
      <c r="F370" s="119"/>
      <c r="I370" s="119"/>
    </row>
    <row r="371" spans="1:9" s="185" customFormat="1">
      <c r="A371" s="118"/>
      <c r="B371" s="118"/>
      <c r="C371" s="119"/>
      <c r="F371" s="119"/>
      <c r="I371" s="119"/>
    </row>
    <row r="372" spans="1:9" s="185" customFormat="1">
      <c r="A372" s="118"/>
      <c r="B372" s="118"/>
      <c r="C372" s="119"/>
      <c r="F372" s="119"/>
      <c r="I372" s="119"/>
    </row>
    <row r="373" spans="1:9" s="185" customFormat="1">
      <c r="A373" s="118"/>
      <c r="B373" s="118"/>
      <c r="C373" s="119"/>
      <c r="F373" s="119"/>
      <c r="I373" s="119"/>
    </row>
    <row r="374" spans="1:9" s="185" customFormat="1">
      <c r="A374" s="118"/>
      <c r="B374" s="118"/>
      <c r="C374" s="119"/>
      <c r="F374" s="119"/>
      <c r="I374" s="119"/>
    </row>
    <row r="375" spans="1:9" s="185" customFormat="1">
      <c r="A375" s="118"/>
      <c r="B375" s="118"/>
      <c r="C375" s="119"/>
      <c r="F375" s="119"/>
      <c r="I375" s="119"/>
    </row>
    <row r="376" spans="1:9" s="185" customFormat="1">
      <c r="A376" s="118"/>
      <c r="B376" s="118"/>
      <c r="C376" s="119"/>
      <c r="F376" s="119"/>
      <c r="I376" s="119"/>
    </row>
    <row r="377" spans="1:9" s="185" customFormat="1">
      <c r="A377" s="118"/>
      <c r="B377" s="118"/>
      <c r="C377" s="119"/>
      <c r="F377" s="119"/>
      <c r="I377" s="119"/>
    </row>
    <row r="378" spans="1:9" s="185" customFormat="1">
      <c r="A378" s="118"/>
      <c r="B378" s="118"/>
      <c r="C378" s="119"/>
      <c r="F378" s="119"/>
      <c r="I378" s="119"/>
    </row>
    <row r="379" spans="1:9" s="185" customFormat="1">
      <c r="A379" s="118"/>
      <c r="B379" s="118"/>
      <c r="C379" s="119"/>
      <c r="F379" s="119"/>
      <c r="I379" s="119"/>
    </row>
    <row r="380" spans="1:9" s="185" customFormat="1">
      <c r="A380" s="118"/>
      <c r="B380" s="118"/>
      <c r="C380" s="119"/>
      <c r="F380" s="119"/>
      <c r="I380" s="119"/>
    </row>
    <row r="381" spans="1:9" s="185" customFormat="1">
      <c r="A381" s="118"/>
      <c r="B381" s="118"/>
      <c r="C381" s="119"/>
      <c r="F381" s="119"/>
      <c r="I381" s="119"/>
    </row>
    <row r="382" spans="1:9" s="185" customFormat="1">
      <c r="A382" s="118"/>
      <c r="B382" s="118"/>
      <c r="C382" s="119"/>
      <c r="F382" s="119"/>
      <c r="I382" s="119"/>
    </row>
    <row r="383" spans="1:9" s="185" customFormat="1">
      <c r="A383" s="118"/>
      <c r="B383" s="118"/>
      <c r="C383" s="119"/>
      <c r="F383" s="119"/>
      <c r="I383" s="119"/>
    </row>
    <row r="384" spans="1:9" s="185" customFormat="1">
      <c r="A384" s="118"/>
      <c r="B384" s="118"/>
      <c r="C384" s="119"/>
      <c r="F384" s="119"/>
      <c r="I384" s="119"/>
    </row>
    <row r="385" spans="1:9" s="185" customFormat="1">
      <c r="A385" s="118"/>
      <c r="B385" s="118"/>
      <c r="C385" s="119"/>
      <c r="F385" s="119"/>
      <c r="I385" s="119"/>
    </row>
    <row r="386" spans="1:9" s="185" customFormat="1">
      <c r="A386" s="118"/>
      <c r="B386" s="118"/>
      <c r="C386" s="119"/>
      <c r="F386" s="119"/>
      <c r="I386" s="119"/>
    </row>
    <row r="387" spans="1:9" s="185" customFormat="1">
      <c r="A387" s="118"/>
      <c r="B387" s="118"/>
      <c r="C387" s="119"/>
      <c r="F387" s="119"/>
      <c r="I387" s="119"/>
    </row>
    <row r="388" spans="1:9" s="185" customFormat="1">
      <c r="A388" s="118"/>
      <c r="B388" s="118"/>
      <c r="C388" s="119"/>
      <c r="F388" s="119"/>
      <c r="I388" s="119"/>
    </row>
    <row r="389" spans="1:9" s="185" customFormat="1">
      <c r="A389" s="118"/>
      <c r="B389" s="118"/>
      <c r="C389" s="119"/>
      <c r="F389" s="119"/>
      <c r="I389" s="119"/>
    </row>
    <row r="390" spans="1:9" s="185" customFormat="1">
      <c r="A390" s="118"/>
      <c r="B390" s="118"/>
      <c r="C390" s="119"/>
      <c r="F390" s="119"/>
      <c r="I390" s="119"/>
    </row>
    <row r="391" spans="1:9" s="185" customFormat="1">
      <c r="A391" s="118"/>
      <c r="B391" s="118"/>
      <c r="C391" s="119"/>
      <c r="F391" s="119"/>
      <c r="I391" s="119"/>
    </row>
    <row r="392" spans="1:9" s="185" customFormat="1">
      <c r="A392" s="118"/>
      <c r="B392" s="118"/>
      <c r="C392" s="119"/>
      <c r="F392" s="119"/>
      <c r="I392" s="119"/>
    </row>
    <row r="393" spans="1:9" s="185" customFormat="1">
      <c r="A393" s="118"/>
      <c r="B393" s="118"/>
      <c r="C393" s="119"/>
      <c r="F393" s="119"/>
      <c r="I393" s="119"/>
    </row>
    <row r="394" spans="1:9" s="185" customFormat="1">
      <c r="A394" s="118"/>
      <c r="B394" s="118"/>
      <c r="C394" s="119"/>
      <c r="F394" s="119"/>
      <c r="I394" s="119"/>
    </row>
    <row r="395" spans="1:9" s="185" customFormat="1">
      <c r="A395" s="118"/>
      <c r="B395" s="118"/>
      <c r="C395" s="119"/>
      <c r="F395" s="119"/>
      <c r="I395" s="119"/>
    </row>
    <row r="396" spans="1:9" s="185" customFormat="1">
      <c r="A396" s="118"/>
      <c r="B396" s="118"/>
      <c r="C396" s="119"/>
      <c r="F396" s="119"/>
      <c r="I396" s="119"/>
    </row>
    <row r="397" spans="1:9" s="185" customFormat="1">
      <c r="A397" s="118"/>
      <c r="B397" s="118"/>
      <c r="C397" s="119"/>
      <c r="F397" s="119"/>
      <c r="I397" s="119"/>
    </row>
    <row r="398" spans="1:9" s="185" customFormat="1">
      <c r="A398" s="118"/>
      <c r="B398" s="118"/>
      <c r="C398" s="119"/>
      <c r="F398" s="119"/>
      <c r="I398" s="119"/>
    </row>
    <row r="399" spans="1:9" s="185" customFormat="1">
      <c r="A399" s="118"/>
      <c r="B399" s="118"/>
      <c r="C399" s="119"/>
      <c r="F399" s="119"/>
      <c r="I399" s="119"/>
    </row>
    <row r="400" spans="1:9" s="185" customFormat="1">
      <c r="A400" s="118"/>
      <c r="B400" s="118"/>
      <c r="C400" s="119"/>
      <c r="F400" s="119"/>
      <c r="I400" s="119"/>
    </row>
    <row r="401" spans="1:9" s="185" customFormat="1">
      <c r="A401" s="118"/>
      <c r="B401" s="118"/>
      <c r="C401" s="119"/>
      <c r="F401" s="119"/>
      <c r="I401" s="119"/>
    </row>
    <row r="402" spans="1:9" s="185" customFormat="1">
      <c r="A402" s="118"/>
      <c r="B402" s="118"/>
      <c r="C402" s="119"/>
      <c r="F402" s="119"/>
      <c r="I402" s="119"/>
    </row>
    <row r="403" spans="1:9" s="185" customFormat="1">
      <c r="A403" s="118"/>
      <c r="B403" s="118"/>
      <c r="C403" s="119"/>
      <c r="F403" s="119"/>
      <c r="I403" s="119"/>
    </row>
    <row r="404" spans="1:9" s="185" customFormat="1">
      <c r="A404" s="118"/>
      <c r="B404" s="118"/>
      <c r="C404" s="119"/>
      <c r="F404" s="119"/>
      <c r="I404" s="119"/>
    </row>
    <row r="405" spans="1:9" s="185" customFormat="1">
      <c r="A405" s="118"/>
      <c r="B405" s="118"/>
      <c r="C405" s="119"/>
      <c r="F405" s="119"/>
      <c r="I405" s="119"/>
    </row>
    <row r="406" spans="1:9" s="185" customFormat="1">
      <c r="A406" s="118"/>
      <c r="B406" s="118"/>
      <c r="C406" s="119"/>
      <c r="F406" s="119"/>
      <c r="I406" s="119"/>
    </row>
    <row r="407" spans="1:9" s="185" customFormat="1">
      <c r="A407" s="118"/>
      <c r="B407" s="118"/>
      <c r="C407" s="119"/>
      <c r="F407" s="119"/>
      <c r="I407" s="119"/>
    </row>
    <row r="408" spans="1:9" s="185" customFormat="1">
      <c r="A408" s="118"/>
      <c r="B408" s="118"/>
      <c r="C408" s="119"/>
      <c r="F408" s="119"/>
      <c r="I408" s="119"/>
    </row>
    <row r="409" spans="1:9" s="185" customFormat="1">
      <c r="A409" s="118"/>
      <c r="B409" s="118"/>
      <c r="C409" s="119"/>
      <c r="F409" s="119"/>
      <c r="I409" s="119"/>
    </row>
    <row r="410" spans="1:9" s="185" customFormat="1">
      <c r="A410" s="118"/>
      <c r="B410" s="118"/>
      <c r="C410" s="119"/>
      <c r="F410" s="119"/>
      <c r="I410" s="119"/>
    </row>
    <row r="411" spans="1:9" s="185" customFormat="1">
      <c r="A411" s="118"/>
      <c r="B411" s="118"/>
      <c r="C411" s="119"/>
      <c r="F411" s="119"/>
      <c r="I411" s="119"/>
    </row>
    <row r="412" spans="1:9" s="185" customFormat="1">
      <c r="A412" s="118"/>
      <c r="B412" s="118"/>
      <c r="C412" s="119"/>
      <c r="F412" s="119"/>
      <c r="I412" s="119"/>
    </row>
    <row r="413" spans="1:9" s="185" customFormat="1">
      <c r="A413" s="118"/>
      <c r="B413" s="118"/>
      <c r="C413" s="119"/>
      <c r="F413" s="119"/>
      <c r="I413" s="119"/>
    </row>
    <row r="414" spans="1:9" s="185" customFormat="1">
      <c r="A414" s="118"/>
      <c r="B414" s="118"/>
      <c r="C414" s="119"/>
      <c r="F414" s="119"/>
      <c r="I414" s="119"/>
    </row>
    <row r="415" spans="1:9" s="185" customFormat="1">
      <c r="A415" s="118"/>
      <c r="B415" s="118"/>
      <c r="C415" s="119"/>
      <c r="F415" s="119"/>
      <c r="I415" s="119"/>
    </row>
    <row r="416" spans="1:9" s="185" customFormat="1">
      <c r="A416" s="118"/>
      <c r="B416" s="118"/>
      <c r="C416" s="119"/>
      <c r="F416" s="119"/>
      <c r="I416" s="119"/>
    </row>
    <row r="417" spans="1:9" s="185" customFormat="1">
      <c r="A417" s="118"/>
      <c r="B417" s="118"/>
      <c r="C417" s="119"/>
      <c r="F417" s="119"/>
      <c r="I417" s="119"/>
    </row>
    <row r="418" spans="1:9" s="185" customFormat="1">
      <c r="A418" s="118"/>
      <c r="B418" s="118"/>
      <c r="C418" s="119"/>
      <c r="F418" s="119"/>
      <c r="I418" s="119"/>
    </row>
    <row r="419" spans="1:9" s="185" customFormat="1">
      <c r="A419" s="118"/>
      <c r="B419" s="118"/>
      <c r="C419" s="119"/>
      <c r="F419" s="119"/>
      <c r="I419" s="119"/>
    </row>
    <row r="420" spans="1:9" s="185" customFormat="1">
      <c r="A420" s="118"/>
      <c r="B420" s="118"/>
      <c r="C420" s="119"/>
      <c r="F420" s="119"/>
      <c r="I420" s="119"/>
    </row>
    <row r="421" spans="1:9" s="185" customFormat="1">
      <c r="A421" s="118"/>
      <c r="B421" s="118"/>
      <c r="C421" s="119"/>
      <c r="F421" s="119"/>
      <c r="I421" s="119"/>
    </row>
    <row r="422" spans="1:9" s="185" customFormat="1">
      <c r="A422" s="118"/>
      <c r="B422" s="118"/>
      <c r="C422" s="119"/>
      <c r="F422" s="119"/>
      <c r="I422" s="119"/>
    </row>
    <row r="423" spans="1:9" s="185" customFormat="1">
      <c r="A423" s="118"/>
      <c r="B423" s="118"/>
      <c r="C423" s="119"/>
      <c r="F423" s="119"/>
      <c r="I423" s="119"/>
    </row>
    <row r="424" spans="1:9" s="185" customFormat="1">
      <c r="A424" s="118"/>
      <c r="B424" s="118"/>
      <c r="C424" s="119"/>
      <c r="F424" s="119"/>
      <c r="I424" s="119"/>
    </row>
    <row r="425" spans="1:9" s="185" customFormat="1">
      <c r="A425" s="118"/>
      <c r="B425" s="118"/>
      <c r="C425" s="119"/>
      <c r="F425" s="119"/>
      <c r="I425" s="119"/>
    </row>
    <row r="426" spans="1:9" s="185" customFormat="1">
      <c r="A426" s="118"/>
      <c r="B426" s="118"/>
      <c r="C426" s="119"/>
      <c r="F426" s="119"/>
      <c r="I426" s="119"/>
    </row>
    <row r="427" spans="1:9" s="185" customFormat="1">
      <c r="A427" s="118"/>
      <c r="B427" s="118"/>
      <c r="C427" s="119"/>
      <c r="F427" s="119"/>
      <c r="I427" s="119"/>
    </row>
    <row r="428" spans="1:9" s="185" customFormat="1">
      <c r="A428" s="118"/>
      <c r="B428" s="118"/>
      <c r="C428" s="119"/>
      <c r="F428" s="119"/>
      <c r="I428" s="119"/>
    </row>
    <row r="429" spans="1:9" s="185" customFormat="1">
      <c r="A429" s="118"/>
      <c r="B429" s="118"/>
      <c r="C429" s="119"/>
      <c r="F429" s="119"/>
      <c r="I429" s="119"/>
    </row>
    <row r="430" spans="1:9" s="185" customFormat="1">
      <c r="A430" s="118"/>
      <c r="B430" s="118"/>
      <c r="C430" s="119"/>
      <c r="F430" s="119"/>
      <c r="I430" s="119"/>
    </row>
    <row r="431" spans="1:9" s="185" customFormat="1">
      <c r="A431" s="118"/>
      <c r="B431" s="118"/>
      <c r="C431" s="119"/>
      <c r="F431" s="119"/>
      <c r="I431" s="119"/>
    </row>
    <row r="432" spans="1:9" s="185" customFormat="1">
      <c r="A432" s="118"/>
      <c r="B432" s="118"/>
      <c r="C432" s="119"/>
      <c r="F432" s="119"/>
      <c r="I432" s="119"/>
    </row>
    <row r="433" spans="1:9" s="185" customFormat="1">
      <c r="A433" s="118"/>
      <c r="B433" s="118"/>
      <c r="C433" s="119"/>
      <c r="F433" s="119"/>
      <c r="I433" s="119"/>
    </row>
    <row r="434" spans="1:9" s="185" customFormat="1">
      <c r="A434" s="118"/>
      <c r="B434" s="118"/>
      <c r="C434" s="119"/>
      <c r="F434" s="119"/>
      <c r="I434" s="119"/>
    </row>
    <row r="435" spans="1:9" s="185" customFormat="1">
      <c r="A435" s="118"/>
      <c r="B435" s="118"/>
      <c r="C435" s="119"/>
      <c r="F435" s="119"/>
      <c r="I435" s="119"/>
    </row>
    <row r="436" spans="1:9" s="185" customFormat="1">
      <c r="A436" s="118"/>
      <c r="B436" s="118"/>
      <c r="C436" s="119"/>
      <c r="F436" s="119"/>
      <c r="I436" s="119"/>
    </row>
    <row r="437" spans="1:9" s="185" customFormat="1">
      <c r="A437" s="118"/>
      <c r="B437" s="118"/>
      <c r="C437" s="119"/>
      <c r="F437" s="119"/>
      <c r="I437" s="119"/>
    </row>
    <row r="438" spans="1:9" s="185" customFormat="1">
      <c r="A438" s="118"/>
      <c r="B438" s="118"/>
      <c r="C438" s="119"/>
      <c r="F438" s="119"/>
      <c r="I438" s="119"/>
    </row>
    <row r="439" spans="1:9" s="185" customFormat="1">
      <c r="A439" s="118"/>
      <c r="B439" s="118"/>
      <c r="C439" s="119"/>
      <c r="F439" s="119"/>
      <c r="I439" s="119"/>
    </row>
    <row r="440" spans="1:9" s="185" customFormat="1">
      <c r="A440" s="118"/>
      <c r="B440" s="118"/>
      <c r="C440" s="119"/>
      <c r="F440" s="119"/>
      <c r="I440" s="119"/>
    </row>
    <row r="441" spans="1:9" s="185" customFormat="1">
      <c r="A441" s="118"/>
      <c r="B441" s="118"/>
      <c r="C441" s="119"/>
      <c r="F441" s="119"/>
      <c r="I441" s="119"/>
    </row>
    <row r="442" spans="1:9" s="185" customFormat="1">
      <c r="A442" s="118"/>
      <c r="B442" s="118"/>
      <c r="C442" s="119"/>
      <c r="F442" s="119"/>
      <c r="I442" s="119"/>
    </row>
    <row r="443" spans="1:9" s="185" customFormat="1">
      <c r="A443" s="118"/>
      <c r="B443" s="118"/>
      <c r="C443" s="119"/>
      <c r="F443" s="119"/>
      <c r="I443" s="119"/>
    </row>
    <row r="444" spans="1:9" s="185" customFormat="1">
      <c r="A444" s="118"/>
      <c r="B444" s="118"/>
      <c r="C444" s="119"/>
      <c r="F444" s="119"/>
      <c r="I444" s="119"/>
    </row>
    <row r="445" spans="1:9" s="185" customFormat="1">
      <c r="A445" s="118"/>
      <c r="B445" s="118"/>
      <c r="C445" s="119"/>
      <c r="F445" s="119"/>
      <c r="I445" s="119"/>
    </row>
    <row r="446" spans="1:9" s="185" customFormat="1">
      <c r="A446" s="118"/>
      <c r="B446" s="118"/>
      <c r="C446" s="119"/>
      <c r="F446" s="119"/>
      <c r="I446" s="119"/>
    </row>
    <row r="447" spans="1:9" s="185" customFormat="1">
      <c r="A447" s="118"/>
      <c r="B447" s="118"/>
      <c r="C447" s="119"/>
      <c r="F447" s="119"/>
      <c r="I447" s="119"/>
    </row>
    <row r="448" spans="1:9" s="185" customFormat="1">
      <c r="A448" s="118"/>
      <c r="B448" s="118"/>
      <c r="C448" s="119"/>
      <c r="F448" s="119"/>
      <c r="I448" s="119"/>
    </row>
    <row r="449" spans="1:9" s="185" customFormat="1">
      <c r="A449" s="118"/>
      <c r="B449" s="118"/>
      <c r="C449" s="119"/>
      <c r="F449" s="119"/>
      <c r="I449" s="119"/>
    </row>
    <row r="450" spans="1:9" s="185" customFormat="1">
      <c r="A450" s="118"/>
      <c r="B450" s="118"/>
      <c r="C450" s="119"/>
      <c r="F450" s="119"/>
      <c r="I450" s="119"/>
    </row>
    <row r="451" spans="1:9" s="185" customFormat="1">
      <c r="A451" s="118"/>
      <c r="B451" s="118"/>
      <c r="C451" s="119"/>
      <c r="F451" s="119"/>
      <c r="I451" s="119"/>
    </row>
    <row r="452" spans="1:9" s="185" customFormat="1">
      <c r="A452" s="118"/>
      <c r="B452" s="118"/>
      <c r="C452" s="119"/>
      <c r="F452" s="119"/>
      <c r="I452" s="119"/>
    </row>
    <row r="453" spans="1:9" s="185" customFormat="1">
      <c r="A453" s="118"/>
      <c r="B453" s="118"/>
      <c r="C453" s="119"/>
      <c r="F453" s="119"/>
      <c r="I453" s="119"/>
    </row>
    <row r="454" spans="1:9" s="185" customFormat="1">
      <c r="A454" s="118"/>
      <c r="B454" s="118"/>
      <c r="C454" s="119"/>
      <c r="F454" s="119"/>
      <c r="I454" s="119"/>
    </row>
    <row r="455" spans="1:9" s="185" customFormat="1">
      <c r="A455" s="118"/>
      <c r="B455" s="118"/>
      <c r="C455" s="119"/>
      <c r="F455" s="119"/>
      <c r="I455" s="119"/>
    </row>
    <row r="456" spans="1:9" s="185" customFormat="1">
      <c r="A456" s="118"/>
      <c r="B456" s="118"/>
      <c r="C456" s="119"/>
      <c r="F456" s="119"/>
      <c r="I456" s="119"/>
    </row>
    <row r="457" spans="1:9" s="185" customFormat="1">
      <c r="A457" s="118"/>
      <c r="B457" s="118"/>
      <c r="C457" s="119"/>
      <c r="F457" s="119"/>
      <c r="I457" s="119"/>
    </row>
    <row r="458" spans="1:9" s="185" customFormat="1">
      <c r="A458" s="118"/>
      <c r="B458" s="118"/>
      <c r="C458" s="119"/>
      <c r="F458" s="119"/>
      <c r="I458" s="119"/>
    </row>
    <row r="459" spans="1:9" s="185" customFormat="1">
      <c r="A459" s="118"/>
      <c r="B459" s="118"/>
      <c r="C459" s="119"/>
      <c r="F459" s="119"/>
      <c r="I459" s="119"/>
    </row>
    <row r="460" spans="1:9" s="185" customFormat="1">
      <c r="A460" s="118"/>
      <c r="B460" s="118"/>
      <c r="C460" s="119"/>
      <c r="F460" s="119"/>
      <c r="I460" s="119"/>
    </row>
    <row r="461" spans="1:9" s="185" customFormat="1">
      <c r="A461" s="118"/>
      <c r="B461" s="118"/>
      <c r="C461" s="119"/>
      <c r="F461" s="119"/>
      <c r="I461" s="119"/>
    </row>
    <row r="462" spans="1:9" s="185" customFormat="1">
      <c r="A462" s="118"/>
      <c r="B462" s="118"/>
      <c r="C462" s="119"/>
      <c r="F462" s="119"/>
      <c r="I462" s="119"/>
    </row>
    <row r="463" spans="1:9" s="185" customFormat="1">
      <c r="A463" s="118"/>
      <c r="B463" s="118"/>
      <c r="C463" s="119"/>
      <c r="F463" s="119"/>
      <c r="I463" s="119"/>
    </row>
    <row r="464" spans="1:9" s="185" customFormat="1">
      <c r="A464" s="118"/>
      <c r="B464" s="118"/>
      <c r="C464" s="119"/>
      <c r="F464" s="119"/>
      <c r="I464" s="119"/>
    </row>
    <row r="465" spans="1:9" s="185" customFormat="1">
      <c r="A465" s="118"/>
      <c r="B465" s="118"/>
      <c r="C465" s="119"/>
      <c r="F465" s="119"/>
      <c r="I465" s="119"/>
    </row>
    <row r="466" spans="1:9" s="185" customFormat="1">
      <c r="A466" s="118"/>
      <c r="B466" s="118"/>
      <c r="C466" s="119"/>
      <c r="F466" s="119"/>
      <c r="I466" s="119"/>
    </row>
    <row r="467" spans="1:9" s="185" customFormat="1">
      <c r="A467" s="118"/>
      <c r="B467" s="118"/>
      <c r="C467" s="119"/>
      <c r="F467" s="119"/>
      <c r="I467" s="119"/>
    </row>
    <row r="468" spans="1:9" s="185" customFormat="1">
      <c r="A468" s="118"/>
      <c r="B468" s="118"/>
      <c r="C468" s="119"/>
      <c r="F468" s="119"/>
      <c r="I468" s="119"/>
    </row>
    <row r="469" spans="1:9" s="185" customFormat="1">
      <c r="A469" s="118"/>
      <c r="B469" s="118"/>
      <c r="C469" s="119"/>
      <c r="F469" s="119"/>
      <c r="I469" s="119"/>
    </row>
    <row r="470" spans="1:9" s="185" customFormat="1">
      <c r="A470" s="118"/>
      <c r="B470" s="118"/>
      <c r="C470" s="119"/>
      <c r="F470" s="119"/>
      <c r="I470" s="119"/>
    </row>
    <row r="471" spans="1:9" s="185" customFormat="1">
      <c r="A471" s="118"/>
      <c r="B471" s="118"/>
      <c r="C471" s="119"/>
      <c r="F471" s="119"/>
      <c r="I471" s="119"/>
    </row>
    <row r="472" spans="1:9" s="185" customFormat="1">
      <c r="A472" s="118"/>
      <c r="B472" s="118"/>
      <c r="C472" s="119"/>
      <c r="F472" s="119"/>
      <c r="I472" s="119"/>
    </row>
    <row r="473" spans="1:9" s="185" customFormat="1">
      <c r="A473" s="118"/>
      <c r="B473" s="118"/>
      <c r="C473" s="119"/>
      <c r="F473" s="119"/>
      <c r="I473" s="119"/>
    </row>
    <row r="474" spans="1:9" s="185" customFormat="1">
      <c r="A474" s="118"/>
      <c r="B474" s="118"/>
      <c r="C474" s="119"/>
      <c r="F474" s="119"/>
      <c r="I474" s="119"/>
    </row>
    <row r="475" spans="1:9" s="185" customFormat="1">
      <c r="A475" s="118"/>
      <c r="B475" s="118"/>
      <c r="C475" s="119"/>
      <c r="F475" s="119"/>
      <c r="I475" s="119"/>
    </row>
    <row r="476" spans="1:9" s="185" customFormat="1">
      <c r="A476" s="118"/>
      <c r="B476" s="118"/>
      <c r="C476" s="119"/>
      <c r="F476" s="119"/>
      <c r="I476" s="119"/>
    </row>
    <row r="477" spans="1:9" s="185" customFormat="1">
      <c r="A477" s="118"/>
      <c r="B477" s="118"/>
      <c r="C477" s="119"/>
      <c r="F477" s="119"/>
      <c r="I477" s="119"/>
    </row>
    <row r="478" spans="1:9" s="185" customFormat="1">
      <c r="A478" s="118"/>
      <c r="B478" s="118"/>
      <c r="C478" s="119"/>
      <c r="F478" s="119"/>
      <c r="I478" s="119"/>
    </row>
    <row r="479" spans="1:9" s="185" customFormat="1">
      <c r="A479" s="118"/>
      <c r="B479" s="118"/>
      <c r="C479" s="119"/>
      <c r="F479" s="119"/>
      <c r="I479" s="119"/>
    </row>
    <row r="480" spans="1:9" s="185" customFormat="1">
      <c r="A480" s="118"/>
      <c r="B480" s="118"/>
      <c r="C480" s="119"/>
      <c r="F480" s="119"/>
      <c r="I480" s="119"/>
    </row>
    <row r="481" spans="1:9" s="185" customFormat="1">
      <c r="A481" s="118"/>
      <c r="B481" s="118"/>
      <c r="C481" s="119"/>
      <c r="F481" s="119"/>
      <c r="I481" s="119"/>
    </row>
    <row r="482" spans="1:9" s="185" customFormat="1">
      <c r="A482" s="118"/>
      <c r="B482" s="118"/>
      <c r="C482" s="119"/>
      <c r="F482" s="119"/>
      <c r="I482" s="119"/>
    </row>
    <row r="483" spans="1:9" s="185" customFormat="1">
      <c r="A483" s="118"/>
      <c r="B483" s="118"/>
      <c r="C483" s="119"/>
      <c r="F483" s="119"/>
      <c r="I483" s="119"/>
    </row>
    <row r="484" spans="1:9" s="185" customFormat="1">
      <c r="A484" s="118"/>
      <c r="B484" s="118"/>
      <c r="C484" s="119"/>
      <c r="F484" s="119"/>
      <c r="I484" s="119"/>
    </row>
    <row r="485" spans="1:9" s="185" customFormat="1">
      <c r="A485" s="118"/>
      <c r="B485" s="118"/>
      <c r="C485" s="119"/>
      <c r="F485" s="119"/>
      <c r="I485" s="119"/>
    </row>
    <row r="486" spans="1:9" s="185" customFormat="1">
      <c r="A486" s="118"/>
      <c r="B486" s="118"/>
      <c r="C486" s="119"/>
      <c r="F486" s="119"/>
      <c r="I486" s="119"/>
    </row>
    <row r="487" spans="1:9" s="185" customFormat="1">
      <c r="A487" s="118"/>
      <c r="B487" s="118"/>
      <c r="C487" s="119"/>
      <c r="F487" s="119"/>
      <c r="I487" s="119"/>
    </row>
    <row r="488" spans="1:9" s="185" customFormat="1">
      <c r="A488" s="118"/>
      <c r="B488" s="118"/>
      <c r="C488" s="119"/>
      <c r="F488" s="119"/>
      <c r="I488" s="119"/>
    </row>
    <row r="489" spans="1:9" s="185" customFormat="1">
      <c r="A489" s="118"/>
      <c r="B489" s="118"/>
      <c r="C489" s="119"/>
      <c r="F489" s="119"/>
      <c r="I489" s="119"/>
    </row>
    <row r="490" spans="1:9" s="185" customFormat="1">
      <c r="A490" s="118"/>
      <c r="B490" s="118"/>
      <c r="C490" s="119"/>
      <c r="F490" s="119"/>
      <c r="I490" s="119"/>
    </row>
    <row r="491" spans="1:9" s="185" customFormat="1">
      <c r="A491" s="118"/>
      <c r="B491" s="118"/>
      <c r="C491" s="119"/>
      <c r="F491" s="119"/>
      <c r="I491" s="119"/>
    </row>
    <row r="492" spans="1:9" s="185" customFormat="1">
      <c r="A492" s="118"/>
      <c r="B492" s="118"/>
      <c r="C492" s="119"/>
      <c r="F492" s="119"/>
      <c r="I492" s="119"/>
    </row>
    <row r="493" spans="1:9" s="185" customFormat="1">
      <c r="A493" s="118"/>
      <c r="B493" s="118"/>
      <c r="C493" s="119"/>
      <c r="F493" s="119"/>
      <c r="I493" s="119"/>
    </row>
    <row r="494" spans="1:9" s="185" customFormat="1">
      <c r="A494" s="118"/>
      <c r="B494" s="118"/>
      <c r="C494" s="119"/>
      <c r="F494" s="119"/>
      <c r="I494" s="119"/>
    </row>
    <row r="495" spans="1:9" s="185" customFormat="1">
      <c r="A495" s="118"/>
      <c r="B495" s="118"/>
      <c r="C495" s="119"/>
      <c r="F495" s="119"/>
      <c r="I495" s="119"/>
    </row>
    <row r="496" spans="1:9" s="185" customFormat="1">
      <c r="A496" s="118"/>
      <c r="B496" s="118"/>
      <c r="C496" s="119"/>
      <c r="F496" s="119"/>
      <c r="I496" s="119"/>
    </row>
    <row r="497" spans="1:9" s="185" customFormat="1">
      <c r="A497" s="118"/>
      <c r="B497" s="118"/>
      <c r="C497" s="119"/>
      <c r="F497" s="119"/>
      <c r="I497" s="119"/>
    </row>
    <row r="498" spans="1:9" s="185" customFormat="1">
      <c r="A498" s="118"/>
      <c r="B498" s="118"/>
      <c r="C498" s="119"/>
      <c r="F498" s="119"/>
      <c r="I498" s="119"/>
    </row>
    <row r="499" spans="1:9" s="185" customFormat="1">
      <c r="A499" s="118"/>
      <c r="B499" s="118"/>
      <c r="C499" s="119"/>
      <c r="F499" s="119"/>
      <c r="I499" s="119"/>
    </row>
    <row r="500" spans="1:9" s="185" customFormat="1">
      <c r="A500" s="118"/>
      <c r="B500" s="118"/>
      <c r="C500" s="119"/>
      <c r="F500" s="119"/>
      <c r="I500" s="119"/>
    </row>
    <row r="501" spans="1:9" s="185" customFormat="1">
      <c r="A501" s="118"/>
      <c r="B501" s="118"/>
      <c r="C501" s="119"/>
      <c r="F501" s="119"/>
      <c r="I501" s="119"/>
    </row>
    <row r="502" spans="1:9" s="185" customFormat="1">
      <c r="A502" s="118"/>
      <c r="B502" s="118"/>
      <c r="C502" s="119"/>
      <c r="F502" s="119"/>
      <c r="I502" s="119"/>
    </row>
    <row r="503" spans="1:9" s="185" customFormat="1">
      <c r="A503" s="118"/>
      <c r="B503" s="118"/>
      <c r="C503" s="119"/>
      <c r="F503" s="119"/>
      <c r="I503" s="119"/>
    </row>
    <row r="504" spans="1:9" s="185" customFormat="1">
      <c r="A504" s="118"/>
      <c r="B504" s="118"/>
      <c r="C504" s="119"/>
      <c r="F504" s="119"/>
      <c r="I504" s="119"/>
    </row>
    <row r="505" spans="1:9" s="185" customFormat="1">
      <c r="A505" s="118"/>
      <c r="B505" s="118"/>
      <c r="C505" s="119"/>
      <c r="F505" s="119"/>
      <c r="I505" s="119"/>
    </row>
    <row r="506" spans="1:9" s="185" customFormat="1">
      <c r="A506" s="118"/>
      <c r="B506" s="118"/>
      <c r="C506" s="119"/>
      <c r="F506" s="119"/>
      <c r="I506" s="119"/>
    </row>
    <row r="507" spans="1:9" s="185" customFormat="1">
      <c r="A507" s="118"/>
      <c r="B507" s="118"/>
      <c r="C507" s="119"/>
      <c r="F507" s="119"/>
      <c r="I507" s="119"/>
    </row>
    <row r="508" spans="1:9" s="185" customFormat="1">
      <c r="A508" s="118"/>
      <c r="B508" s="118"/>
      <c r="C508" s="119"/>
      <c r="F508" s="119"/>
      <c r="I508" s="119"/>
    </row>
    <row r="509" spans="1:9" s="185" customFormat="1">
      <c r="A509" s="118"/>
      <c r="B509" s="118"/>
      <c r="C509" s="119"/>
      <c r="F509" s="119"/>
      <c r="I509" s="119"/>
    </row>
    <row r="510" spans="1:9" s="185" customFormat="1">
      <c r="A510" s="118"/>
      <c r="B510" s="118"/>
      <c r="C510" s="119"/>
      <c r="F510" s="119"/>
      <c r="I510" s="119"/>
    </row>
    <row r="511" spans="1:9" s="185" customFormat="1">
      <c r="A511" s="118"/>
      <c r="B511" s="118"/>
      <c r="C511" s="119"/>
      <c r="F511" s="119"/>
      <c r="I511" s="119"/>
    </row>
    <row r="512" spans="1:9" s="185" customFormat="1">
      <c r="A512" s="118"/>
      <c r="B512" s="118"/>
      <c r="C512" s="119"/>
      <c r="F512" s="119"/>
      <c r="I512" s="119"/>
    </row>
    <row r="513" spans="1:9" s="185" customFormat="1">
      <c r="A513" s="118"/>
      <c r="B513" s="118"/>
      <c r="C513" s="119"/>
      <c r="F513" s="119"/>
      <c r="I513" s="119"/>
    </row>
    <row r="514" spans="1:9" s="185" customFormat="1">
      <c r="A514" s="118"/>
      <c r="B514" s="118"/>
      <c r="C514" s="119"/>
      <c r="F514" s="119"/>
      <c r="I514" s="119"/>
    </row>
    <row r="515" spans="1:9" s="185" customFormat="1">
      <c r="A515" s="118"/>
      <c r="B515" s="118"/>
      <c r="C515" s="119"/>
      <c r="F515" s="119"/>
      <c r="I515" s="119"/>
    </row>
    <row r="516" spans="1:9" s="185" customFormat="1">
      <c r="A516" s="118"/>
      <c r="B516" s="118"/>
      <c r="C516" s="119"/>
      <c r="F516" s="119"/>
      <c r="I516" s="119"/>
    </row>
    <row r="517" spans="1:9" s="185" customFormat="1">
      <c r="A517" s="118"/>
      <c r="B517" s="118"/>
      <c r="C517" s="119"/>
      <c r="F517" s="119"/>
      <c r="I517" s="119"/>
    </row>
    <row r="518" spans="1:9" s="185" customFormat="1">
      <c r="A518" s="118"/>
      <c r="B518" s="118"/>
      <c r="C518" s="119"/>
      <c r="F518" s="119"/>
      <c r="I518" s="119"/>
    </row>
    <row r="519" spans="1:9" s="185" customFormat="1">
      <c r="A519" s="118"/>
      <c r="B519" s="118"/>
      <c r="C519" s="119"/>
      <c r="F519" s="119"/>
      <c r="I519" s="119"/>
    </row>
    <row r="520" spans="1:9" s="185" customFormat="1">
      <c r="A520" s="118"/>
      <c r="B520" s="118"/>
      <c r="C520" s="119"/>
      <c r="F520" s="119"/>
      <c r="I520" s="119"/>
    </row>
    <row r="521" spans="1:9" s="185" customFormat="1">
      <c r="A521" s="118"/>
      <c r="B521" s="118"/>
      <c r="C521" s="119"/>
      <c r="F521" s="119"/>
      <c r="I521" s="119"/>
    </row>
    <row r="522" spans="1:9" s="185" customFormat="1">
      <c r="A522" s="118"/>
      <c r="B522" s="118"/>
      <c r="C522" s="119"/>
      <c r="F522" s="119"/>
      <c r="I522" s="119"/>
    </row>
    <row r="523" spans="1:9" s="185" customFormat="1">
      <c r="A523" s="118"/>
      <c r="B523" s="118"/>
      <c r="C523" s="119"/>
      <c r="F523" s="119"/>
      <c r="I523" s="119"/>
    </row>
    <row r="524" spans="1:9" s="185" customFormat="1">
      <c r="A524" s="118"/>
      <c r="B524" s="118"/>
      <c r="C524" s="119"/>
      <c r="F524" s="119"/>
      <c r="I524" s="119"/>
    </row>
    <row r="525" spans="1:9" s="185" customFormat="1">
      <c r="A525" s="118"/>
      <c r="B525" s="118"/>
      <c r="C525" s="119"/>
      <c r="F525" s="119"/>
      <c r="I525" s="119"/>
    </row>
    <row r="526" spans="1:9" s="185" customFormat="1">
      <c r="A526" s="118"/>
      <c r="B526" s="118"/>
      <c r="C526" s="119"/>
      <c r="F526" s="119"/>
      <c r="I526" s="119"/>
    </row>
    <row r="527" spans="1:9" s="185" customFormat="1">
      <c r="A527" s="118"/>
      <c r="B527" s="118"/>
      <c r="C527" s="119"/>
      <c r="F527" s="119"/>
      <c r="I527" s="119"/>
    </row>
    <row r="528" spans="1:9" s="185" customFormat="1">
      <c r="A528" s="118"/>
      <c r="B528" s="118"/>
      <c r="C528" s="119"/>
      <c r="F528" s="119"/>
      <c r="I528" s="119"/>
    </row>
    <row r="529" spans="1:9" s="185" customFormat="1">
      <c r="A529" s="118"/>
      <c r="B529" s="118"/>
      <c r="C529" s="119"/>
      <c r="F529" s="119"/>
      <c r="I529" s="119"/>
    </row>
    <row r="530" spans="1:9" s="185" customFormat="1">
      <c r="A530" s="118"/>
      <c r="B530" s="118"/>
      <c r="C530" s="119"/>
      <c r="F530" s="119"/>
      <c r="I530" s="119"/>
    </row>
    <row r="531" spans="1:9" s="185" customFormat="1">
      <c r="A531" s="118"/>
      <c r="B531" s="118"/>
      <c r="C531" s="119"/>
      <c r="F531" s="119"/>
      <c r="I531" s="119"/>
    </row>
    <row r="532" spans="1:9" s="185" customFormat="1">
      <c r="A532" s="118"/>
      <c r="B532" s="118"/>
      <c r="C532" s="119"/>
      <c r="F532" s="119"/>
      <c r="I532" s="119"/>
    </row>
    <row r="533" spans="1:9" s="185" customFormat="1">
      <c r="A533" s="118"/>
      <c r="B533" s="118"/>
      <c r="C533" s="119"/>
      <c r="F533" s="119"/>
      <c r="I533" s="119"/>
    </row>
    <row r="534" spans="1:9" s="185" customFormat="1">
      <c r="A534" s="118"/>
      <c r="B534" s="118"/>
      <c r="C534" s="119"/>
      <c r="F534" s="119"/>
      <c r="I534" s="119"/>
    </row>
    <row r="535" spans="1:9" s="185" customFormat="1">
      <c r="A535" s="118"/>
      <c r="B535" s="118"/>
      <c r="C535" s="119"/>
      <c r="F535" s="119"/>
      <c r="I535" s="119"/>
    </row>
    <row r="536" spans="1:9" s="185" customFormat="1">
      <c r="A536" s="118"/>
      <c r="B536" s="118"/>
      <c r="C536" s="119"/>
      <c r="F536" s="119"/>
      <c r="I536" s="119"/>
    </row>
    <row r="537" spans="1:9" s="185" customFormat="1">
      <c r="A537" s="118"/>
      <c r="B537" s="118"/>
      <c r="C537" s="119"/>
      <c r="F537" s="119"/>
      <c r="I537" s="119"/>
    </row>
    <row r="538" spans="1:9" s="185" customFormat="1">
      <c r="A538" s="118"/>
      <c r="B538" s="118"/>
      <c r="C538" s="119"/>
      <c r="F538" s="119"/>
      <c r="I538" s="119"/>
    </row>
    <row r="539" spans="1:9" s="185" customFormat="1">
      <c r="A539" s="118"/>
      <c r="B539" s="118"/>
      <c r="C539" s="119"/>
      <c r="F539" s="119"/>
      <c r="I539" s="119"/>
    </row>
    <row r="540" spans="1:9" s="185" customFormat="1">
      <c r="A540" s="118"/>
      <c r="B540" s="118"/>
      <c r="C540" s="119"/>
      <c r="F540" s="119"/>
      <c r="I540" s="119"/>
    </row>
    <row r="541" spans="1:9" s="185" customFormat="1">
      <c r="A541" s="118"/>
      <c r="B541" s="118"/>
      <c r="C541" s="119"/>
      <c r="F541" s="119"/>
      <c r="I541" s="119"/>
    </row>
    <row r="542" spans="1:9" s="185" customFormat="1">
      <c r="A542" s="118"/>
      <c r="B542" s="118"/>
      <c r="C542" s="119"/>
      <c r="F542" s="119"/>
      <c r="I542" s="119"/>
    </row>
    <row r="543" spans="1:9" s="185" customFormat="1">
      <c r="A543" s="118"/>
      <c r="B543" s="118"/>
      <c r="C543" s="119"/>
      <c r="F543" s="119"/>
      <c r="I543" s="119"/>
    </row>
    <row r="544" spans="1:9" s="185" customFormat="1">
      <c r="A544" s="118"/>
      <c r="B544" s="118"/>
      <c r="C544" s="119"/>
      <c r="F544" s="119"/>
      <c r="I544" s="119"/>
    </row>
    <row r="545" spans="1:9" s="185" customFormat="1">
      <c r="A545" s="118"/>
      <c r="B545" s="118"/>
      <c r="C545" s="119"/>
      <c r="F545" s="119"/>
      <c r="I545" s="119"/>
    </row>
    <row r="546" spans="1:9" s="185" customFormat="1">
      <c r="A546" s="118"/>
      <c r="B546" s="118"/>
      <c r="C546" s="119"/>
      <c r="F546" s="119"/>
      <c r="I546" s="119"/>
    </row>
    <row r="547" spans="1:9" s="185" customFormat="1">
      <c r="A547" s="118"/>
      <c r="B547" s="118"/>
      <c r="C547" s="119"/>
      <c r="F547" s="119"/>
      <c r="I547" s="119"/>
    </row>
    <row r="548" spans="1:9" s="185" customFormat="1">
      <c r="A548" s="118"/>
      <c r="B548" s="118"/>
      <c r="C548" s="119"/>
      <c r="F548" s="119"/>
      <c r="I548" s="119"/>
    </row>
    <row r="549" spans="1:9" s="185" customFormat="1">
      <c r="A549" s="118"/>
      <c r="B549" s="118"/>
      <c r="C549" s="119"/>
      <c r="F549" s="119"/>
      <c r="I549" s="119"/>
    </row>
    <row r="550" spans="1:9" s="185" customFormat="1">
      <c r="A550" s="118"/>
      <c r="B550" s="118"/>
      <c r="C550" s="119"/>
      <c r="F550" s="119"/>
      <c r="I550" s="119"/>
    </row>
    <row r="551" spans="1:9" s="185" customFormat="1">
      <c r="A551" s="118"/>
      <c r="B551" s="118"/>
      <c r="C551" s="119"/>
      <c r="F551" s="119"/>
      <c r="I551" s="119"/>
    </row>
    <row r="552" spans="1:9" s="185" customFormat="1">
      <c r="A552" s="118"/>
      <c r="B552" s="118"/>
      <c r="C552" s="119"/>
      <c r="F552" s="119"/>
      <c r="I552" s="119"/>
    </row>
    <row r="553" spans="1:9" s="185" customFormat="1">
      <c r="A553" s="118"/>
      <c r="B553" s="118"/>
      <c r="C553" s="119"/>
      <c r="F553" s="119"/>
      <c r="I553" s="119"/>
    </row>
    <row r="554" spans="1:9" s="185" customFormat="1">
      <c r="A554" s="118"/>
      <c r="B554" s="118"/>
      <c r="C554" s="119"/>
      <c r="F554" s="119"/>
      <c r="I554" s="119"/>
    </row>
    <row r="555" spans="1:9" s="185" customFormat="1">
      <c r="A555" s="118"/>
      <c r="B555" s="118"/>
      <c r="C555" s="119"/>
      <c r="F555" s="119"/>
      <c r="I555" s="119"/>
    </row>
    <row r="556" spans="1:9" s="185" customFormat="1">
      <c r="A556" s="118"/>
      <c r="B556" s="118"/>
      <c r="C556" s="119"/>
      <c r="F556" s="119"/>
      <c r="I556" s="119"/>
    </row>
    <row r="557" spans="1:9" s="185" customFormat="1">
      <c r="A557" s="118"/>
      <c r="B557" s="118"/>
      <c r="C557" s="119"/>
      <c r="F557" s="119"/>
      <c r="I557" s="119"/>
    </row>
    <row r="558" spans="1:9" s="185" customFormat="1">
      <c r="A558" s="118"/>
      <c r="B558" s="118"/>
      <c r="C558" s="119"/>
      <c r="F558" s="119"/>
      <c r="I558" s="119"/>
    </row>
    <row r="559" spans="1:9" s="185" customFormat="1">
      <c r="A559" s="118"/>
      <c r="B559" s="118"/>
      <c r="C559" s="119"/>
      <c r="F559" s="119"/>
      <c r="I559" s="119"/>
    </row>
    <row r="560" spans="1:9" s="185" customFormat="1">
      <c r="A560" s="118"/>
      <c r="B560" s="118"/>
      <c r="C560" s="119"/>
      <c r="F560" s="119"/>
      <c r="I560" s="119"/>
    </row>
    <row r="561" spans="1:9" s="185" customFormat="1">
      <c r="A561" s="118"/>
      <c r="B561" s="118"/>
      <c r="C561" s="119"/>
      <c r="F561" s="119"/>
      <c r="I561" s="119"/>
    </row>
    <row r="562" spans="1:9" s="185" customFormat="1">
      <c r="A562" s="118"/>
      <c r="B562" s="118"/>
      <c r="C562" s="119"/>
      <c r="F562" s="119"/>
      <c r="I562" s="119"/>
    </row>
    <row r="563" spans="1:9" s="185" customFormat="1">
      <c r="A563" s="118"/>
      <c r="B563" s="118"/>
      <c r="C563" s="119"/>
      <c r="F563" s="119"/>
      <c r="I563" s="119"/>
    </row>
    <row r="564" spans="1:9" s="185" customFormat="1">
      <c r="A564" s="118"/>
      <c r="B564" s="118"/>
      <c r="C564" s="119"/>
      <c r="F564" s="119"/>
      <c r="I564" s="119"/>
    </row>
    <row r="565" spans="1:9" s="185" customFormat="1">
      <c r="A565" s="118"/>
      <c r="B565" s="118"/>
      <c r="C565" s="119"/>
      <c r="F565" s="119"/>
      <c r="I565" s="119"/>
    </row>
    <row r="566" spans="1:9" s="185" customFormat="1">
      <c r="A566" s="118"/>
      <c r="B566" s="118"/>
      <c r="C566" s="119"/>
      <c r="F566" s="119"/>
      <c r="I566" s="119"/>
    </row>
    <row r="567" spans="1:9" s="185" customFormat="1">
      <c r="A567" s="118"/>
      <c r="B567" s="118"/>
      <c r="C567" s="119"/>
      <c r="F567" s="119"/>
      <c r="I567" s="119"/>
    </row>
    <row r="568" spans="1:9" s="185" customFormat="1">
      <c r="A568" s="118"/>
      <c r="B568" s="118"/>
      <c r="C568" s="119"/>
      <c r="F568" s="119"/>
      <c r="I568" s="119"/>
    </row>
    <row r="569" spans="1:9" s="185" customFormat="1">
      <c r="A569" s="118"/>
      <c r="B569" s="118"/>
      <c r="C569" s="119"/>
      <c r="F569" s="119"/>
      <c r="I569" s="119"/>
    </row>
    <row r="570" spans="1:9" s="185" customFormat="1">
      <c r="A570" s="118"/>
      <c r="B570" s="118"/>
      <c r="C570" s="119"/>
      <c r="F570" s="119"/>
      <c r="I570" s="119"/>
    </row>
    <row r="571" spans="1:9" s="185" customFormat="1">
      <c r="A571" s="118"/>
      <c r="B571" s="118"/>
      <c r="C571" s="119"/>
      <c r="F571" s="119"/>
      <c r="I571" s="119"/>
    </row>
    <row r="572" spans="1:9" s="185" customFormat="1">
      <c r="A572" s="118"/>
      <c r="B572" s="118"/>
      <c r="C572" s="119"/>
      <c r="F572" s="119"/>
      <c r="I572" s="119"/>
    </row>
    <row r="573" spans="1:9" s="185" customFormat="1">
      <c r="A573" s="118"/>
      <c r="B573" s="118"/>
      <c r="C573" s="119"/>
      <c r="F573" s="119"/>
      <c r="I573" s="119"/>
    </row>
    <row r="574" spans="1:9" s="185" customFormat="1">
      <c r="A574" s="118"/>
      <c r="B574" s="118"/>
      <c r="C574" s="119"/>
      <c r="F574" s="119"/>
      <c r="I574" s="119"/>
    </row>
    <row r="575" spans="1:9" s="185" customFormat="1">
      <c r="A575" s="118"/>
      <c r="B575" s="118"/>
      <c r="C575" s="119"/>
      <c r="F575" s="119"/>
      <c r="I575" s="119"/>
    </row>
    <row r="576" spans="1:9" s="185" customFormat="1">
      <c r="A576" s="118"/>
      <c r="B576" s="118"/>
      <c r="C576" s="119"/>
      <c r="F576" s="119"/>
      <c r="I576" s="119"/>
    </row>
    <row r="577" spans="1:9" s="185" customFormat="1">
      <c r="A577" s="118"/>
      <c r="B577" s="118"/>
      <c r="C577" s="119"/>
      <c r="F577" s="119"/>
      <c r="I577" s="119"/>
    </row>
    <row r="578" spans="1:9" s="185" customFormat="1">
      <c r="A578" s="118"/>
      <c r="B578" s="118"/>
      <c r="C578" s="119"/>
      <c r="F578" s="119"/>
      <c r="I578" s="119"/>
    </row>
    <row r="579" spans="1:9" s="185" customFormat="1">
      <c r="A579" s="118"/>
      <c r="B579" s="118"/>
      <c r="C579" s="119"/>
      <c r="F579" s="119"/>
      <c r="I579" s="119"/>
    </row>
    <row r="580" spans="1:9" s="185" customFormat="1">
      <c r="A580" s="118"/>
      <c r="B580" s="118"/>
      <c r="C580" s="119"/>
      <c r="F580" s="119"/>
      <c r="I580" s="119"/>
    </row>
    <row r="581" spans="1:9" s="185" customFormat="1">
      <c r="A581" s="118"/>
      <c r="B581" s="118"/>
      <c r="C581" s="119"/>
      <c r="F581" s="119"/>
      <c r="I581" s="119"/>
    </row>
    <row r="582" spans="1:9" s="185" customFormat="1">
      <c r="A582" s="118"/>
      <c r="B582" s="118"/>
      <c r="C582" s="119"/>
      <c r="F582" s="119"/>
      <c r="I582" s="119"/>
    </row>
    <row r="583" spans="1:9" s="185" customFormat="1">
      <c r="A583" s="118"/>
      <c r="B583" s="118"/>
      <c r="C583" s="119"/>
      <c r="F583" s="119"/>
      <c r="I583" s="119"/>
    </row>
    <row r="584" spans="1:9" s="185" customFormat="1">
      <c r="A584" s="118"/>
      <c r="B584" s="118"/>
      <c r="C584" s="119"/>
      <c r="F584" s="119"/>
      <c r="I584" s="119"/>
    </row>
    <row r="585" spans="1:9" s="185" customFormat="1">
      <c r="A585" s="118"/>
      <c r="B585" s="118"/>
      <c r="C585" s="119"/>
      <c r="F585" s="119"/>
      <c r="I585" s="119"/>
    </row>
    <row r="586" spans="1:9" s="185" customFormat="1">
      <c r="A586" s="118"/>
      <c r="B586" s="118"/>
      <c r="C586" s="119"/>
      <c r="F586" s="119"/>
      <c r="I586" s="119"/>
    </row>
    <row r="587" spans="1:9" s="185" customFormat="1">
      <c r="A587" s="118"/>
      <c r="B587" s="118"/>
      <c r="C587" s="119"/>
      <c r="F587" s="119"/>
      <c r="I587" s="119"/>
    </row>
    <row r="588" spans="1:9" s="185" customFormat="1">
      <c r="A588" s="118"/>
      <c r="B588" s="118"/>
      <c r="C588" s="119"/>
      <c r="F588" s="119"/>
      <c r="I588" s="119"/>
    </row>
    <row r="589" spans="1:9" s="185" customFormat="1">
      <c r="A589" s="118"/>
      <c r="B589" s="118"/>
      <c r="C589" s="119"/>
      <c r="F589" s="119"/>
      <c r="I589" s="119"/>
    </row>
    <row r="590" spans="1:9" s="185" customFormat="1">
      <c r="A590" s="118"/>
      <c r="B590" s="118"/>
      <c r="C590" s="119"/>
      <c r="F590" s="119"/>
      <c r="I590" s="119"/>
    </row>
    <row r="591" spans="1:9" s="185" customFormat="1">
      <c r="A591" s="118"/>
      <c r="B591" s="118"/>
      <c r="C591" s="119"/>
      <c r="F591" s="119"/>
      <c r="I591" s="119"/>
    </row>
    <row r="592" spans="1:9" s="185" customFormat="1">
      <c r="A592" s="118"/>
      <c r="B592" s="118"/>
      <c r="C592" s="119"/>
      <c r="F592" s="119"/>
      <c r="I592" s="119"/>
    </row>
    <row r="593" spans="1:9" s="185" customFormat="1">
      <c r="A593" s="118"/>
      <c r="B593" s="118"/>
      <c r="C593" s="119"/>
      <c r="F593" s="119"/>
      <c r="I593" s="119"/>
    </row>
    <row r="594" spans="1:9" s="185" customFormat="1">
      <c r="A594" s="118"/>
      <c r="B594" s="118"/>
      <c r="C594" s="119"/>
      <c r="F594" s="119"/>
      <c r="I594" s="119"/>
    </row>
    <row r="595" spans="1:9" s="185" customFormat="1">
      <c r="A595" s="118"/>
      <c r="B595" s="118"/>
      <c r="C595" s="119"/>
      <c r="F595" s="119"/>
      <c r="I595" s="119"/>
    </row>
    <row r="596" spans="1:9" s="185" customFormat="1">
      <c r="A596" s="118"/>
      <c r="B596" s="118"/>
      <c r="C596" s="119"/>
      <c r="F596" s="119"/>
      <c r="I596" s="119"/>
    </row>
    <row r="597" spans="1:9" s="185" customFormat="1">
      <c r="A597" s="118"/>
      <c r="B597" s="118"/>
      <c r="C597" s="119"/>
      <c r="F597" s="119"/>
      <c r="I597" s="119"/>
    </row>
    <row r="598" spans="1:9" s="185" customFormat="1">
      <c r="A598" s="118"/>
      <c r="B598" s="118"/>
      <c r="C598" s="119"/>
      <c r="F598" s="119"/>
      <c r="I598" s="119"/>
    </row>
    <row r="599" spans="1:9" s="185" customFormat="1">
      <c r="A599" s="118"/>
      <c r="B599" s="118"/>
      <c r="C599" s="119"/>
      <c r="F599" s="119"/>
      <c r="I599" s="119"/>
    </row>
    <row r="600" spans="1:9" s="185" customFormat="1">
      <c r="A600" s="118"/>
      <c r="B600" s="118"/>
      <c r="C600" s="119"/>
      <c r="F600" s="119"/>
      <c r="I600" s="119"/>
    </row>
    <row r="601" spans="1:9" s="185" customFormat="1">
      <c r="A601" s="118"/>
      <c r="B601" s="118"/>
      <c r="C601" s="119"/>
      <c r="F601" s="119"/>
      <c r="I601" s="119"/>
    </row>
    <row r="602" spans="1:9" s="185" customFormat="1">
      <c r="A602" s="118"/>
      <c r="B602" s="118"/>
      <c r="C602" s="119"/>
      <c r="F602" s="119"/>
      <c r="I602" s="119"/>
    </row>
    <row r="603" spans="1:9" s="185" customFormat="1">
      <c r="A603" s="118"/>
      <c r="B603" s="118"/>
      <c r="C603" s="119"/>
      <c r="F603" s="119"/>
      <c r="I603" s="119"/>
    </row>
    <row r="604" spans="1:9" s="185" customFormat="1">
      <c r="A604" s="118"/>
      <c r="B604" s="118"/>
      <c r="C604" s="119"/>
      <c r="F604" s="119"/>
      <c r="I604" s="119"/>
    </row>
    <row r="605" spans="1:9" s="185" customFormat="1">
      <c r="A605" s="118"/>
      <c r="B605" s="118"/>
      <c r="C605" s="119"/>
      <c r="F605" s="119"/>
      <c r="I605" s="119"/>
    </row>
    <row r="606" spans="1:9" s="185" customFormat="1">
      <c r="A606" s="118"/>
      <c r="B606" s="118"/>
      <c r="C606" s="119"/>
      <c r="F606" s="119"/>
      <c r="I606" s="119"/>
    </row>
    <row r="607" spans="1:9" s="185" customFormat="1">
      <c r="A607" s="118"/>
      <c r="B607" s="118"/>
      <c r="C607" s="119"/>
      <c r="F607" s="119"/>
      <c r="I607" s="119"/>
    </row>
    <row r="608" spans="1:9" s="185" customFormat="1">
      <c r="A608" s="118"/>
      <c r="B608" s="118"/>
      <c r="C608" s="119"/>
      <c r="F608" s="119"/>
      <c r="I608" s="119"/>
    </row>
    <row r="609" spans="1:9" s="185" customFormat="1">
      <c r="A609" s="118"/>
      <c r="B609" s="118"/>
      <c r="C609" s="119"/>
      <c r="F609" s="119"/>
      <c r="I609" s="119"/>
    </row>
    <row r="610" spans="1:9" s="185" customFormat="1">
      <c r="A610" s="118"/>
      <c r="B610" s="118"/>
      <c r="C610" s="119"/>
      <c r="F610" s="119"/>
      <c r="I610" s="119"/>
    </row>
    <row r="611" spans="1:9" s="185" customFormat="1">
      <c r="A611" s="118"/>
      <c r="B611" s="118"/>
      <c r="C611" s="119"/>
      <c r="F611" s="119"/>
      <c r="I611" s="119"/>
    </row>
    <row r="612" spans="1:9" s="185" customFormat="1">
      <c r="A612" s="118"/>
      <c r="B612" s="118"/>
      <c r="C612" s="119"/>
      <c r="F612" s="119"/>
      <c r="I612" s="119"/>
    </row>
    <row r="613" spans="1:9" s="185" customFormat="1">
      <c r="A613" s="118"/>
      <c r="B613" s="118"/>
      <c r="C613" s="119"/>
      <c r="F613" s="119"/>
      <c r="I613" s="119"/>
    </row>
    <row r="614" spans="1:9" s="185" customFormat="1">
      <c r="A614" s="118"/>
      <c r="B614" s="118"/>
      <c r="C614" s="119"/>
      <c r="F614" s="119"/>
      <c r="I614" s="119"/>
    </row>
    <row r="615" spans="1:9" s="185" customFormat="1">
      <c r="A615" s="118"/>
      <c r="B615" s="118"/>
      <c r="C615" s="119"/>
      <c r="F615" s="119"/>
      <c r="I615" s="119"/>
    </row>
    <row r="616" spans="1:9" s="185" customFormat="1">
      <c r="A616" s="118"/>
      <c r="B616" s="118"/>
      <c r="C616" s="119"/>
      <c r="F616" s="119"/>
      <c r="I616" s="119"/>
    </row>
    <row r="617" spans="1:9" s="185" customFormat="1">
      <c r="A617" s="118"/>
      <c r="B617" s="118"/>
      <c r="C617" s="119"/>
      <c r="F617" s="119"/>
      <c r="I617" s="119"/>
    </row>
    <row r="618" spans="1:9" s="185" customFormat="1">
      <c r="A618" s="118"/>
      <c r="B618" s="118"/>
      <c r="C618" s="119"/>
      <c r="F618" s="119"/>
      <c r="I618" s="119"/>
    </row>
    <row r="619" spans="1:9" s="185" customFormat="1">
      <c r="A619" s="118"/>
      <c r="B619" s="118"/>
      <c r="C619" s="119"/>
      <c r="F619" s="119"/>
      <c r="I619" s="119"/>
    </row>
    <row r="620" spans="1:9" s="185" customFormat="1">
      <c r="A620" s="118"/>
      <c r="B620" s="118"/>
      <c r="C620" s="119"/>
      <c r="F620" s="119"/>
      <c r="I620" s="119"/>
    </row>
    <row r="621" spans="1:9" s="185" customFormat="1">
      <c r="A621" s="118"/>
      <c r="B621" s="118"/>
      <c r="C621" s="119"/>
      <c r="F621" s="119"/>
      <c r="I621" s="119"/>
    </row>
    <row r="622" spans="1:9" s="185" customFormat="1">
      <c r="A622" s="118"/>
      <c r="B622" s="118"/>
      <c r="C622" s="119"/>
      <c r="F622" s="119"/>
      <c r="I622" s="119"/>
    </row>
    <row r="623" spans="1:9" s="185" customFormat="1">
      <c r="A623" s="118"/>
      <c r="B623" s="118"/>
      <c r="C623" s="119"/>
      <c r="F623" s="119"/>
      <c r="I623" s="119"/>
    </row>
    <row r="624" spans="1:9" s="185" customFormat="1">
      <c r="A624" s="118"/>
      <c r="B624" s="118"/>
      <c r="C624" s="119"/>
      <c r="F624" s="119"/>
      <c r="I624" s="119"/>
    </row>
    <row r="625" spans="1:9" s="185" customFormat="1">
      <c r="A625" s="118"/>
      <c r="B625" s="118"/>
      <c r="C625" s="119"/>
      <c r="F625" s="119"/>
      <c r="I625" s="119"/>
    </row>
    <row r="626" spans="1:9" s="185" customFormat="1">
      <c r="A626" s="118"/>
      <c r="B626" s="118"/>
      <c r="C626" s="119"/>
      <c r="F626" s="119"/>
      <c r="I626" s="119"/>
    </row>
    <row r="627" spans="1:9" s="185" customFormat="1">
      <c r="A627" s="118"/>
      <c r="B627" s="118"/>
      <c r="C627" s="119"/>
      <c r="F627" s="119"/>
      <c r="I627" s="119"/>
    </row>
    <row r="628" spans="1:9" s="185" customFormat="1">
      <c r="A628" s="118"/>
      <c r="B628" s="118"/>
      <c r="C628" s="119"/>
      <c r="F628" s="119"/>
      <c r="I628" s="119"/>
    </row>
    <row r="629" spans="1:9" s="185" customFormat="1">
      <c r="A629" s="118"/>
      <c r="B629" s="118"/>
      <c r="C629" s="119"/>
      <c r="F629" s="119"/>
      <c r="I629" s="119"/>
    </row>
    <row r="630" spans="1:9" s="185" customFormat="1">
      <c r="A630" s="118"/>
      <c r="B630" s="118"/>
      <c r="C630" s="119"/>
      <c r="F630" s="119"/>
      <c r="I630" s="119"/>
    </row>
    <row r="631" spans="1:9" s="185" customFormat="1">
      <c r="A631" s="118"/>
      <c r="B631" s="118"/>
      <c r="C631" s="119"/>
      <c r="F631" s="119"/>
      <c r="I631" s="119"/>
    </row>
    <row r="632" spans="1:9" s="185" customFormat="1">
      <c r="A632" s="118"/>
      <c r="B632" s="118"/>
      <c r="C632" s="119"/>
      <c r="F632" s="119"/>
      <c r="I632" s="119"/>
    </row>
    <row r="633" spans="1:9" s="185" customFormat="1">
      <c r="A633" s="118"/>
      <c r="B633" s="118"/>
      <c r="C633" s="119"/>
      <c r="F633" s="119"/>
      <c r="I633" s="119"/>
    </row>
    <row r="634" spans="1:9" s="185" customFormat="1">
      <c r="A634" s="118"/>
      <c r="B634" s="118"/>
      <c r="C634" s="119"/>
      <c r="F634" s="119"/>
      <c r="I634" s="119"/>
    </row>
    <row r="635" spans="1:9" s="185" customFormat="1">
      <c r="A635" s="118"/>
      <c r="B635" s="118"/>
      <c r="C635" s="119"/>
      <c r="F635" s="119"/>
      <c r="I635" s="119"/>
    </row>
    <row r="636" spans="1:9" s="185" customFormat="1">
      <c r="A636" s="118"/>
      <c r="B636" s="118"/>
      <c r="C636" s="119"/>
      <c r="F636" s="119"/>
      <c r="I636" s="119"/>
    </row>
    <row r="637" spans="1:9" s="185" customFormat="1">
      <c r="A637" s="118"/>
      <c r="B637" s="118"/>
      <c r="C637" s="119"/>
      <c r="F637" s="119"/>
      <c r="I637" s="119"/>
    </row>
    <row r="638" spans="1:9" s="185" customFormat="1">
      <c r="A638" s="118"/>
      <c r="B638" s="118"/>
      <c r="C638" s="119"/>
      <c r="F638" s="119"/>
      <c r="I638" s="119"/>
    </row>
    <row r="639" spans="1:9" s="185" customFormat="1">
      <c r="A639" s="118"/>
      <c r="B639" s="118"/>
      <c r="C639" s="119"/>
      <c r="F639" s="119"/>
      <c r="I639" s="119"/>
    </row>
    <row r="640" spans="1:9" s="185" customFormat="1">
      <c r="A640" s="118"/>
      <c r="B640" s="118"/>
      <c r="C640" s="119"/>
      <c r="F640" s="119"/>
      <c r="I640" s="119"/>
    </row>
    <row r="641" spans="1:9" s="185" customFormat="1">
      <c r="A641" s="118"/>
      <c r="B641" s="118"/>
      <c r="C641" s="119"/>
      <c r="F641" s="119"/>
      <c r="I641" s="119"/>
    </row>
    <row r="642" spans="1:9" s="185" customFormat="1">
      <c r="A642" s="118"/>
      <c r="B642" s="118"/>
      <c r="C642" s="119"/>
      <c r="F642" s="119"/>
      <c r="I642" s="119"/>
    </row>
    <row r="643" spans="1:9" s="185" customFormat="1">
      <c r="A643" s="118"/>
      <c r="B643" s="118"/>
      <c r="C643" s="119"/>
      <c r="F643" s="119"/>
      <c r="I643" s="119"/>
    </row>
    <row r="644" spans="1:9" s="185" customFormat="1">
      <c r="A644" s="118"/>
      <c r="B644" s="118"/>
      <c r="C644" s="119"/>
      <c r="F644" s="119"/>
      <c r="I644" s="119"/>
    </row>
    <row r="645" spans="1:9" s="185" customFormat="1">
      <c r="A645" s="118"/>
      <c r="B645" s="118"/>
      <c r="C645" s="119"/>
      <c r="F645" s="119"/>
      <c r="I645" s="119"/>
    </row>
    <row r="646" spans="1:9" s="185" customFormat="1">
      <c r="A646" s="118"/>
      <c r="B646" s="118"/>
      <c r="C646" s="119"/>
      <c r="F646" s="119"/>
      <c r="I646" s="119"/>
    </row>
    <row r="647" spans="1:9" s="185" customFormat="1">
      <c r="A647" s="118"/>
      <c r="B647" s="118"/>
      <c r="C647" s="119"/>
      <c r="F647" s="119"/>
      <c r="I647" s="119"/>
    </row>
    <row r="648" spans="1:9" s="185" customFormat="1">
      <c r="A648" s="118"/>
      <c r="B648" s="118"/>
      <c r="C648" s="119"/>
      <c r="F648" s="119"/>
      <c r="I648" s="119"/>
    </row>
    <row r="649" spans="1:9" s="185" customFormat="1">
      <c r="A649" s="118"/>
      <c r="B649" s="118"/>
      <c r="C649" s="119"/>
      <c r="F649" s="119"/>
      <c r="I649" s="119"/>
    </row>
    <row r="650" spans="1:9" s="185" customFormat="1">
      <c r="A650" s="118"/>
      <c r="B650" s="118"/>
      <c r="C650" s="119"/>
      <c r="F650" s="119"/>
      <c r="I650" s="119"/>
    </row>
    <row r="651" spans="1:9" s="185" customFormat="1">
      <c r="A651" s="118"/>
      <c r="B651" s="118"/>
      <c r="C651" s="119"/>
      <c r="F651" s="119"/>
      <c r="I651" s="119"/>
    </row>
    <row r="652" spans="1:9" s="185" customFormat="1">
      <c r="A652" s="118"/>
      <c r="B652" s="118"/>
      <c r="C652" s="119"/>
      <c r="F652" s="119"/>
      <c r="I652" s="119"/>
    </row>
    <row r="653" spans="1:9" s="185" customFormat="1">
      <c r="A653" s="118"/>
      <c r="B653" s="118"/>
      <c r="C653" s="119"/>
      <c r="F653" s="119"/>
      <c r="I653" s="119"/>
    </row>
    <row r="654" spans="1:9" s="185" customFormat="1">
      <c r="A654" s="118"/>
      <c r="B654" s="118"/>
      <c r="C654" s="119"/>
      <c r="F654" s="119"/>
      <c r="I654" s="119"/>
    </row>
    <row r="655" spans="1:9" s="185" customFormat="1">
      <c r="A655" s="118"/>
      <c r="B655" s="118"/>
      <c r="C655" s="119"/>
      <c r="F655" s="119"/>
      <c r="I655" s="119"/>
    </row>
    <row r="656" spans="1:9" s="185" customFormat="1">
      <c r="A656" s="118"/>
      <c r="B656" s="118"/>
      <c r="C656" s="119"/>
      <c r="F656" s="119"/>
      <c r="I656" s="119"/>
    </row>
    <row r="657" spans="1:9" s="185" customFormat="1">
      <c r="A657" s="118"/>
      <c r="B657" s="118"/>
      <c r="C657" s="119"/>
      <c r="F657" s="119"/>
      <c r="I657" s="119"/>
    </row>
    <row r="658" spans="1:9" s="185" customFormat="1">
      <c r="A658" s="118"/>
      <c r="B658" s="118"/>
      <c r="C658" s="119"/>
      <c r="F658" s="119"/>
      <c r="I658" s="119"/>
    </row>
    <row r="659" spans="1:9" s="185" customFormat="1">
      <c r="A659" s="118"/>
      <c r="B659" s="118"/>
      <c r="C659" s="119"/>
      <c r="F659" s="119"/>
      <c r="I659" s="119"/>
    </row>
    <row r="660" spans="1:9" s="185" customFormat="1">
      <c r="A660" s="118"/>
      <c r="B660" s="118"/>
      <c r="C660" s="119"/>
      <c r="F660" s="119"/>
      <c r="I660" s="119"/>
    </row>
    <row r="661" spans="1:9" s="185" customFormat="1">
      <c r="A661" s="118"/>
      <c r="B661" s="118"/>
      <c r="C661" s="119"/>
      <c r="F661" s="119"/>
      <c r="I661" s="119"/>
    </row>
    <row r="662" spans="1:9" s="185" customFormat="1">
      <c r="A662" s="118"/>
      <c r="B662" s="118"/>
      <c r="C662" s="119"/>
      <c r="F662" s="119"/>
      <c r="I662" s="119"/>
    </row>
    <row r="663" spans="1:9" s="185" customFormat="1">
      <c r="A663" s="118"/>
      <c r="B663" s="118"/>
      <c r="C663" s="119"/>
      <c r="F663" s="119"/>
      <c r="I663" s="119"/>
    </row>
    <row r="664" spans="1:9" s="185" customFormat="1">
      <c r="A664" s="118"/>
      <c r="B664" s="118"/>
      <c r="C664" s="119"/>
      <c r="F664" s="119"/>
      <c r="I664" s="119"/>
    </row>
    <row r="665" spans="1:9" s="185" customFormat="1">
      <c r="A665" s="118"/>
      <c r="B665" s="118"/>
      <c r="C665" s="119"/>
      <c r="F665" s="119"/>
      <c r="I665" s="119"/>
    </row>
    <row r="666" spans="1:9" s="185" customFormat="1">
      <c r="A666" s="118"/>
      <c r="B666" s="118"/>
      <c r="C666" s="119"/>
      <c r="F666" s="119"/>
      <c r="I666" s="119"/>
    </row>
    <row r="667" spans="1:9" s="185" customFormat="1">
      <c r="A667" s="118"/>
      <c r="B667" s="118"/>
      <c r="C667" s="119"/>
      <c r="F667" s="119"/>
      <c r="I667" s="119"/>
    </row>
    <row r="668" spans="1:9" s="185" customFormat="1">
      <c r="A668" s="118"/>
      <c r="B668" s="118"/>
      <c r="C668" s="119"/>
      <c r="F668" s="119"/>
      <c r="I668" s="119"/>
    </row>
    <row r="669" spans="1:9" s="185" customFormat="1">
      <c r="A669" s="118"/>
      <c r="B669" s="118"/>
      <c r="C669" s="119"/>
      <c r="F669" s="119"/>
      <c r="I669" s="119"/>
    </row>
    <row r="670" spans="1:9" s="185" customFormat="1">
      <c r="A670" s="118"/>
      <c r="B670" s="118"/>
      <c r="C670" s="119"/>
      <c r="F670" s="119"/>
      <c r="I670" s="119"/>
    </row>
    <row r="671" spans="1:9" s="185" customFormat="1">
      <c r="A671" s="118"/>
      <c r="B671" s="118"/>
      <c r="C671" s="119"/>
      <c r="F671" s="119"/>
      <c r="I671" s="119"/>
    </row>
    <row r="672" spans="1:9" s="185" customFormat="1">
      <c r="A672" s="118"/>
      <c r="B672" s="118"/>
      <c r="C672" s="119"/>
      <c r="F672" s="119"/>
      <c r="I672" s="119"/>
    </row>
    <row r="673" spans="1:9" s="185" customFormat="1">
      <c r="A673" s="118"/>
      <c r="B673" s="118"/>
      <c r="C673" s="119"/>
      <c r="F673" s="119"/>
      <c r="I673" s="119"/>
    </row>
    <row r="674" spans="1:9" s="185" customFormat="1">
      <c r="A674" s="118"/>
      <c r="B674" s="118"/>
      <c r="C674" s="119"/>
      <c r="F674" s="119"/>
      <c r="I674" s="119"/>
    </row>
    <row r="675" spans="1:9" s="185" customFormat="1">
      <c r="A675" s="118"/>
      <c r="B675" s="118"/>
      <c r="C675" s="119"/>
      <c r="F675" s="119"/>
      <c r="I675" s="119"/>
    </row>
    <row r="676" spans="1:9" s="185" customFormat="1">
      <c r="A676" s="118"/>
      <c r="B676" s="118"/>
      <c r="C676" s="119"/>
      <c r="F676" s="119"/>
      <c r="I676" s="119"/>
    </row>
    <row r="677" spans="1:9" s="185" customFormat="1">
      <c r="A677" s="118"/>
      <c r="B677" s="118"/>
      <c r="C677" s="119"/>
      <c r="F677" s="119"/>
      <c r="I677" s="119"/>
    </row>
    <row r="678" spans="1:9" s="185" customFormat="1">
      <c r="A678" s="118"/>
      <c r="B678" s="118"/>
      <c r="C678" s="119"/>
      <c r="F678" s="119"/>
      <c r="I678" s="119"/>
    </row>
    <row r="679" spans="1:9" s="185" customFormat="1">
      <c r="A679" s="118"/>
      <c r="B679" s="118"/>
      <c r="C679" s="119"/>
      <c r="F679" s="119"/>
      <c r="I679" s="119"/>
    </row>
    <row r="680" spans="1:9" s="185" customFormat="1">
      <c r="A680" s="118"/>
      <c r="B680" s="118"/>
      <c r="C680" s="119"/>
      <c r="F680" s="119"/>
      <c r="I680" s="119"/>
    </row>
    <row r="681" spans="1:9" s="185" customFormat="1">
      <c r="A681" s="118"/>
      <c r="B681" s="118"/>
      <c r="C681" s="119"/>
      <c r="F681" s="119"/>
      <c r="I681" s="119"/>
    </row>
    <row r="682" spans="1:9" s="185" customFormat="1">
      <c r="A682" s="118"/>
      <c r="B682" s="118"/>
      <c r="C682" s="119"/>
      <c r="F682" s="119"/>
      <c r="I682" s="119"/>
    </row>
    <row r="683" spans="1:9" s="185" customFormat="1">
      <c r="A683" s="118"/>
      <c r="B683" s="118"/>
      <c r="C683" s="119"/>
      <c r="F683" s="119"/>
      <c r="I683" s="119"/>
    </row>
    <row r="684" spans="1:9" s="185" customFormat="1">
      <c r="A684" s="118"/>
      <c r="B684" s="118"/>
      <c r="C684" s="119"/>
      <c r="F684" s="119"/>
      <c r="I684" s="119"/>
    </row>
    <row r="685" spans="1:9" s="185" customFormat="1">
      <c r="A685" s="118"/>
      <c r="B685" s="118"/>
      <c r="C685" s="119"/>
      <c r="F685" s="119"/>
      <c r="I685" s="119"/>
    </row>
    <row r="686" spans="1:9" s="185" customFormat="1">
      <c r="A686" s="118"/>
      <c r="B686" s="118"/>
      <c r="C686" s="119"/>
      <c r="F686" s="119"/>
      <c r="I686" s="119"/>
    </row>
    <row r="687" spans="1:9" s="185" customFormat="1">
      <c r="A687" s="118"/>
      <c r="B687" s="118"/>
      <c r="C687" s="119"/>
      <c r="F687" s="119"/>
      <c r="I687" s="119"/>
    </row>
    <row r="688" spans="1:9" s="185" customFormat="1">
      <c r="A688" s="118"/>
      <c r="B688" s="118"/>
      <c r="C688" s="119"/>
      <c r="F688" s="119"/>
      <c r="I688" s="119"/>
    </row>
    <row r="689" spans="1:9" s="185" customFormat="1">
      <c r="A689" s="118"/>
      <c r="B689" s="118"/>
      <c r="C689" s="119"/>
      <c r="F689" s="119"/>
      <c r="I689" s="119"/>
    </row>
    <row r="690" spans="1:9" s="185" customFormat="1">
      <c r="A690" s="118"/>
      <c r="B690" s="118"/>
      <c r="C690" s="119"/>
      <c r="F690" s="119"/>
      <c r="I690" s="119"/>
    </row>
    <row r="691" spans="1:9" s="185" customFormat="1">
      <c r="A691" s="118"/>
      <c r="B691" s="118"/>
      <c r="C691" s="119"/>
      <c r="F691" s="119"/>
      <c r="I691" s="119"/>
    </row>
    <row r="692" spans="1:9" s="185" customFormat="1">
      <c r="A692" s="118"/>
      <c r="B692" s="118"/>
      <c r="C692" s="119"/>
      <c r="F692" s="119"/>
      <c r="I692" s="119"/>
    </row>
    <row r="693" spans="1:9" s="185" customFormat="1">
      <c r="A693" s="118"/>
      <c r="B693" s="118"/>
      <c r="C693" s="119"/>
      <c r="F693" s="119"/>
      <c r="I693" s="119"/>
    </row>
    <row r="694" spans="1:9" s="185" customFormat="1">
      <c r="A694" s="118"/>
      <c r="B694" s="118"/>
      <c r="C694" s="119"/>
      <c r="F694" s="119"/>
      <c r="I694" s="119"/>
    </row>
    <row r="695" spans="1:9" s="185" customFormat="1">
      <c r="A695" s="118"/>
      <c r="B695" s="118"/>
      <c r="C695" s="119"/>
      <c r="F695" s="119"/>
      <c r="I695" s="119"/>
    </row>
    <row r="696" spans="1:9" s="185" customFormat="1">
      <c r="A696" s="118"/>
      <c r="B696" s="118"/>
      <c r="C696" s="119"/>
      <c r="F696" s="119"/>
      <c r="I696" s="119"/>
    </row>
    <row r="697" spans="1:9" s="185" customFormat="1">
      <c r="A697" s="118"/>
      <c r="B697" s="118"/>
      <c r="C697" s="119"/>
      <c r="F697" s="119"/>
      <c r="I697" s="119"/>
    </row>
    <row r="698" spans="1:9" s="185" customFormat="1">
      <c r="A698" s="118"/>
      <c r="B698" s="118"/>
      <c r="C698" s="119"/>
      <c r="F698" s="119"/>
      <c r="I698" s="119"/>
    </row>
    <row r="699" spans="1:9" s="185" customFormat="1">
      <c r="A699" s="118"/>
      <c r="B699" s="118"/>
      <c r="C699" s="119"/>
      <c r="F699" s="119"/>
      <c r="I699" s="119"/>
    </row>
    <row r="700" spans="1:9" s="185" customFormat="1">
      <c r="A700" s="118"/>
      <c r="B700" s="118"/>
      <c r="C700" s="119"/>
      <c r="F700" s="119"/>
      <c r="I700" s="119"/>
    </row>
    <row r="701" spans="1:9" s="185" customFormat="1">
      <c r="A701" s="118"/>
      <c r="B701" s="118"/>
      <c r="C701" s="119"/>
      <c r="F701" s="119"/>
      <c r="I701" s="119"/>
    </row>
    <row r="702" spans="1:9" s="185" customFormat="1">
      <c r="A702" s="118"/>
      <c r="B702" s="118"/>
      <c r="C702" s="119"/>
      <c r="F702" s="119"/>
      <c r="I702" s="119"/>
    </row>
    <row r="703" spans="1:9" s="185" customFormat="1">
      <c r="A703" s="118"/>
      <c r="B703" s="118"/>
      <c r="C703" s="119"/>
      <c r="F703" s="119"/>
      <c r="I703" s="119"/>
    </row>
    <row r="704" spans="1:9" s="185" customFormat="1">
      <c r="A704" s="118"/>
      <c r="B704" s="118"/>
      <c r="C704" s="119"/>
      <c r="F704" s="119"/>
      <c r="I704" s="119"/>
    </row>
    <row r="705" spans="1:9" s="185" customFormat="1">
      <c r="A705" s="118"/>
      <c r="B705" s="118"/>
      <c r="C705" s="119"/>
      <c r="F705" s="119"/>
      <c r="I705" s="119"/>
    </row>
    <row r="706" spans="1:9" s="185" customFormat="1">
      <c r="A706" s="118"/>
      <c r="B706" s="118"/>
      <c r="C706" s="119"/>
      <c r="F706" s="119"/>
      <c r="I706" s="119"/>
    </row>
    <row r="707" spans="1:9" s="185" customFormat="1">
      <c r="A707" s="118"/>
      <c r="B707" s="118"/>
      <c r="C707" s="119"/>
      <c r="F707" s="119"/>
      <c r="I707" s="119"/>
    </row>
    <row r="708" spans="1:9" s="185" customFormat="1">
      <c r="A708" s="118"/>
      <c r="B708" s="118"/>
      <c r="C708" s="119"/>
      <c r="F708" s="119"/>
      <c r="I708" s="119"/>
    </row>
    <row r="709" spans="1:9" s="185" customFormat="1">
      <c r="A709" s="118"/>
      <c r="B709" s="118"/>
      <c r="C709" s="119"/>
      <c r="F709" s="119"/>
      <c r="I709" s="119"/>
    </row>
    <row r="710" spans="1:9" s="185" customFormat="1">
      <c r="A710" s="118"/>
      <c r="B710" s="118"/>
      <c r="C710" s="119"/>
      <c r="F710" s="119"/>
      <c r="I710" s="119"/>
    </row>
    <row r="711" spans="1:9" s="185" customFormat="1">
      <c r="A711" s="118"/>
      <c r="B711" s="118"/>
      <c r="C711" s="119"/>
      <c r="F711" s="119"/>
      <c r="I711" s="119"/>
    </row>
    <row r="712" spans="1:9" s="185" customFormat="1">
      <c r="A712" s="118"/>
      <c r="B712" s="118"/>
      <c r="C712" s="119"/>
      <c r="F712" s="119"/>
      <c r="I712" s="119"/>
    </row>
    <row r="713" spans="1:9" s="185" customFormat="1">
      <c r="A713" s="118"/>
      <c r="B713" s="118"/>
      <c r="C713" s="119"/>
      <c r="F713" s="119"/>
      <c r="I713" s="119"/>
    </row>
    <row r="714" spans="1:9" s="185" customFormat="1">
      <c r="A714" s="118"/>
      <c r="B714" s="118"/>
      <c r="C714" s="119"/>
      <c r="F714" s="119"/>
      <c r="I714" s="119"/>
    </row>
    <row r="715" spans="1:9" s="185" customFormat="1">
      <c r="A715" s="118"/>
      <c r="B715" s="118"/>
      <c r="C715" s="119"/>
      <c r="F715" s="119"/>
      <c r="I715" s="119"/>
    </row>
    <row r="716" spans="1:9" s="185" customFormat="1">
      <c r="A716" s="118"/>
      <c r="B716" s="118"/>
      <c r="C716" s="119"/>
      <c r="F716" s="119"/>
      <c r="I716" s="119"/>
    </row>
    <row r="717" spans="1:9" s="185" customFormat="1">
      <c r="A717" s="118"/>
      <c r="B717" s="118"/>
      <c r="C717" s="119"/>
      <c r="F717" s="119"/>
      <c r="I717" s="119"/>
    </row>
    <row r="718" spans="1:9" s="185" customFormat="1">
      <c r="A718" s="118"/>
      <c r="B718" s="118"/>
      <c r="C718" s="119"/>
      <c r="F718" s="119"/>
      <c r="I718" s="119"/>
    </row>
    <row r="719" spans="1:9" s="185" customFormat="1">
      <c r="A719" s="118"/>
      <c r="B719" s="118"/>
      <c r="C719" s="119"/>
      <c r="F719" s="119"/>
      <c r="I719" s="119"/>
    </row>
    <row r="720" spans="1:9" s="185" customFormat="1">
      <c r="A720" s="118"/>
      <c r="B720" s="118"/>
      <c r="C720" s="119"/>
      <c r="F720" s="119"/>
      <c r="I720" s="119"/>
    </row>
    <row r="721" spans="1:9" s="185" customFormat="1">
      <c r="A721" s="118"/>
      <c r="B721" s="118"/>
      <c r="C721" s="119"/>
      <c r="F721" s="119"/>
      <c r="I721" s="119"/>
    </row>
    <row r="722" spans="1:9" s="185" customFormat="1">
      <c r="A722" s="118"/>
      <c r="B722" s="118"/>
      <c r="C722" s="119"/>
      <c r="F722" s="119"/>
      <c r="I722" s="119"/>
    </row>
    <row r="723" spans="1:9" s="185" customFormat="1">
      <c r="A723" s="118"/>
      <c r="B723" s="118"/>
      <c r="C723" s="119"/>
      <c r="F723" s="119"/>
      <c r="I723" s="119"/>
    </row>
    <row r="724" spans="1:9" s="185" customFormat="1">
      <c r="A724" s="118"/>
      <c r="B724" s="118"/>
      <c r="C724" s="119"/>
      <c r="F724" s="119"/>
      <c r="I724" s="119"/>
    </row>
    <row r="725" spans="1:9" s="185" customFormat="1">
      <c r="A725" s="118"/>
      <c r="B725" s="118"/>
      <c r="C725" s="119"/>
      <c r="F725" s="119"/>
      <c r="I725" s="119"/>
    </row>
    <row r="726" spans="1:9" s="185" customFormat="1">
      <c r="A726" s="118"/>
      <c r="B726" s="118"/>
      <c r="C726" s="119"/>
      <c r="F726" s="119"/>
      <c r="I726" s="119"/>
    </row>
    <row r="727" spans="1:9" s="185" customFormat="1">
      <c r="A727" s="118"/>
      <c r="B727" s="118"/>
      <c r="C727" s="119"/>
      <c r="F727" s="119"/>
      <c r="I727" s="119"/>
    </row>
    <row r="728" spans="1:9" s="185" customFormat="1">
      <c r="A728" s="118"/>
      <c r="B728" s="118"/>
      <c r="C728" s="119"/>
      <c r="F728" s="119"/>
      <c r="I728" s="119"/>
    </row>
    <row r="729" spans="1:9" s="185" customFormat="1">
      <c r="A729" s="118"/>
      <c r="B729" s="118"/>
      <c r="C729" s="119"/>
      <c r="F729" s="119"/>
      <c r="I729" s="119"/>
    </row>
    <row r="730" spans="1:9" s="185" customFormat="1">
      <c r="A730" s="118"/>
      <c r="B730" s="118"/>
      <c r="C730" s="119"/>
      <c r="F730" s="119"/>
      <c r="I730" s="119"/>
    </row>
    <row r="731" spans="1:9" s="185" customFormat="1">
      <c r="A731" s="118"/>
      <c r="B731" s="118"/>
      <c r="C731" s="119"/>
      <c r="F731" s="119"/>
      <c r="I731" s="119"/>
    </row>
    <row r="732" spans="1:9" s="185" customFormat="1">
      <c r="A732" s="118"/>
      <c r="B732" s="118"/>
      <c r="C732" s="119"/>
      <c r="F732" s="119"/>
      <c r="I732" s="119"/>
    </row>
    <row r="733" spans="1:9" s="185" customFormat="1">
      <c r="A733" s="118"/>
      <c r="B733" s="118"/>
      <c r="C733" s="119"/>
      <c r="F733" s="119"/>
      <c r="I733" s="119"/>
    </row>
    <row r="734" spans="1:9" s="185" customFormat="1">
      <c r="A734" s="118"/>
      <c r="B734" s="118"/>
      <c r="C734" s="119"/>
      <c r="F734" s="119"/>
      <c r="I734" s="119"/>
    </row>
    <row r="735" spans="1:9" s="185" customFormat="1">
      <c r="A735" s="118"/>
      <c r="B735" s="118"/>
      <c r="C735" s="119"/>
      <c r="F735" s="119"/>
      <c r="I735" s="119"/>
    </row>
    <row r="736" spans="1:9" s="185" customFormat="1">
      <c r="A736" s="118"/>
      <c r="B736" s="118"/>
      <c r="C736" s="119"/>
      <c r="F736" s="119"/>
      <c r="I736" s="119"/>
    </row>
    <row r="737" spans="1:9" s="185" customFormat="1">
      <c r="A737" s="118"/>
      <c r="B737" s="118"/>
      <c r="C737" s="119"/>
      <c r="F737" s="119"/>
      <c r="I737" s="119"/>
    </row>
    <row r="738" spans="1:9" s="185" customFormat="1">
      <c r="A738" s="118"/>
      <c r="B738" s="118"/>
      <c r="C738" s="119"/>
      <c r="F738" s="119"/>
      <c r="I738" s="119"/>
    </row>
    <row r="739" spans="1:9" s="185" customFormat="1">
      <c r="A739" s="118"/>
      <c r="B739" s="118"/>
      <c r="C739" s="119"/>
      <c r="F739" s="119"/>
      <c r="I739" s="119"/>
    </row>
    <row r="740" spans="1:9" s="185" customFormat="1">
      <c r="A740" s="118"/>
      <c r="B740" s="118"/>
      <c r="C740" s="119"/>
      <c r="F740" s="119"/>
      <c r="I740" s="119"/>
    </row>
    <row r="741" spans="1:9" s="185" customFormat="1">
      <c r="A741" s="118"/>
      <c r="B741" s="118"/>
      <c r="C741" s="119"/>
      <c r="F741" s="119"/>
      <c r="I741" s="119"/>
    </row>
    <row r="742" spans="1:9" s="185" customFormat="1">
      <c r="A742" s="118"/>
      <c r="B742" s="118"/>
      <c r="C742" s="119"/>
      <c r="F742" s="119"/>
      <c r="I742" s="119"/>
    </row>
    <row r="743" spans="1:9" s="185" customFormat="1">
      <c r="A743" s="118"/>
      <c r="B743" s="118"/>
      <c r="C743" s="119"/>
      <c r="F743" s="119"/>
      <c r="I743" s="119"/>
    </row>
    <row r="744" spans="1:9" s="185" customFormat="1">
      <c r="A744" s="118"/>
      <c r="B744" s="118"/>
      <c r="C744" s="119"/>
      <c r="F744" s="119"/>
      <c r="I744" s="119"/>
    </row>
    <row r="745" spans="1:9" s="185" customFormat="1">
      <c r="A745" s="118"/>
      <c r="B745" s="118"/>
      <c r="C745" s="119"/>
      <c r="F745" s="119"/>
      <c r="I745" s="119"/>
    </row>
    <row r="746" spans="1:9" s="185" customFormat="1">
      <c r="A746" s="118"/>
      <c r="B746" s="118"/>
      <c r="C746" s="119"/>
      <c r="F746" s="119"/>
      <c r="I746" s="119"/>
    </row>
    <row r="747" spans="1:9" s="185" customFormat="1">
      <c r="A747" s="118"/>
      <c r="B747" s="118"/>
      <c r="C747" s="119"/>
      <c r="F747" s="119"/>
      <c r="I747" s="119"/>
    </row>
    <row r="748" spans="1:9" s="185" customFormat="1">
      <c r="A748" s="118"/>
      <c r="B748" s="118"/>
      <c r="C748" s="119"/>
      <c r="F748" s="119"/>
      <c r="I748" s="119"/>
    </row>
    <row r="749" spans="1:9" s="185" customFormat="1">
      <c r="A749" s="118"/>
      <c r="B749" s="118"/>
      <c r="C749" s="119"/>
      <c r="F749" s="119"/>
      <c r="I749" s="119"/>
    </row>
    <row r="750" spans="1:9" s="185" customFormat="1">
      <c r="A750" s="118"/>
      <c r="B750" s="118"/>
      <c r="C750" s="119"/>
      <c r="F750" s="119"/>
      <c r="I750" s="119"/>
    </row>
    <row r="751" spans="1:9" s="185" customFormat="1">
      <c r="A751" s="118"/>
      <c r="B751" s="118"/>
      <c r="C751" s="119"/>
      <c r="F751" s="119"/>
      <c r="I751" s="119"/>
    </row>
    <row r="752" spans="1:9" s="185" customFormat="1">
      <c r="A752" s="118"/>
      <c r="B752" s="118"/>
      <c r="C752" s="119"/>
      <c r="F752" s="119"/>
      <c r="I752" s="119"/>
    </row>
    <row r="753" spans="1:9" s="185" customFormat="1">
      <c r="A753" s="118"/>
      <c r="B753" s="118"/>
      <c r="C753" s="119"/>
      <c r="F753" s="119"/>
      <c r="I753" s="119"/>
    </row>
    <row r="754" spans="1:9" s="185" customFormat="1">
      <c r="A754" s="118"/>
      <c r="B754" s="118"/>
      <c r="C754" s="119"/>
      <c r="F754" s="119"/>
      <c r="I754" s="119"/>
    </row>
    <row r="755" spans="1:9" s="185" customFormat="1">
      <c r="A755" s="118"/>
      <c r="B755" s="118"/>
      <c r="C755" s="119"/>
      <c r="F755" s="119"/>
      <c r="I755" s="119"/>
    </row>
    <row r="756" spans="1:9" s="185" customFormat="1">
      <c r="A756" s="118"/>
      <c r="B756" s="118"/>
      <c r="C756" s="119"/>
      <c r="F756" s="119"/>
      <c r="I756" s="119"/>
    </row>
    <row r="757" spans="1:9" s="185" customFormat="1">
      <c r="A757" s="118"/>
      <c r="B757" s="118"/>
      <c r="C757" s="119"/>
      <c r="F757" s="119"/>
      <c r="I757" s="119"/>
    </row>
    <row r="758" spans="1:9" s="185" customFormat="1">
      <c r="A758" s="118"/>
      <c r="B758" s="118"/>
      <c r="C758" s="119"/>
      <c r="F758" s="119"/>
      <c r="I758" s="119"/>
    </row>
    <row r="759" spans="1:9" s="185" customFormat="1">
      <c r="A759" s="118"/>
      <c r="B759" s="118"/>
      <c r="C759" s="119"/>
      <c r="F759" s="119"/>
      <c r="I759" s="119"/>
    </row>
    <row r="760" spans="1:9" s="185" customFormat="1">
      <c r="A760" s="118"/>
      <c r="B760" s="118"/>
      <c r="C760" s="119"/>
      <c r="F760" s="119"/>
      <c r="I760" s="119"/>
    </row>
    <row r="761" spans="1:9" s="185" customFormat="1">
      <c r="A761" s="118"/>
      <c r="B761" s="118"/>
      <c r="C761" s="119"/>
      <c r="F761" s="119"/>
      <c r="I761" s="119"/>
    </row>
    <row r="762" spans="1:9" s="185" customFormat="1">
      <c r="A762" s="118"/>
      <c r="B762" s="118"/>
      <c r="C762" s="119"/>
      <c r="F762" s="119"/>
      <c r="I762" s="119"/>
    </row>
    <row r="763" spans="1:9" s="185" customFormat="1">
      <c r="A763" s="118"/>
      <c r="B763" s="118"/>
      <c r="C763" s="119"/>
      <c r="F763" s="119"/>
      <c r="I763" s="119"/>
    </row>
    <row r="764" spans="1:9" s="185" customFormat="1">
      <c r="A764" s="118"/>
      <c r="B764" s="118"/>
      <c r="C764" s="119"/>
      <c r="F764" s="119"/>
      <c r="I764" s="119"/>
    </row>
    <row r="765" spans="1:9" s="185" customFormat="1">
      <c r="A765" s="118"/>
      <c r="B765" s="118"/>
      <c r="C765" s="119"/>
      <c r="F765" s="119"/>
      <c r="I765" s="119"/>
    </row>
    <row r="766" spans="1:9" s="185" customFormat="1">
      <c r="A766" s="118"/>
      <c r="B766" s="118"/>
      <c r="C766" s="119"/>
      <c r="F766" s="119"/>
      <c r="I766" s="119"/>
    </row>
    <row r="767" spans="1:9" s="185" customFormat="1">
      <c r="A767" s="118"/>
      <c r="B767" s="118"/>
      <c r="C767" s="119"/>
      <c r="F767" s="119"/>
      <c r="I767" s="119"/>
    </row>
    <row r="768" spans="1:9" s="185" customFormat="1">
      <c r="A768" s="118"/>
      <c r="B768" s="118"/>
      <c r="C768" s="119"/>
      <c r="F768" s="119"/>
      <c r="I768" s="119"/>
    </row>
    <row r="769" spans="1:9" s="185" customFormat="1">
      <c r="A769" s="118"/>
      <c r="B769" s="118"/>
      <c r="C769" s="119"/>
      <c r="F769" s="119"/>
      <c r="I769" s="119"/>
    </row>
    <row r="770" spans="1:9" s="185" customFormat="1">
      <c r="A770" s="118"/>
      <c r="B770" s="118"/>
      <c r="C770" s="119"/>
      <c r="F770" s="119"/>
      <c r="I770" s="119"/>
    </row>
    <row r="771" spans="1:9" s="185" customFormat="1">
      <c r="A771" s="118"/>
      <c r="B771" s="118"/>
      <c r="C771" s="119"/>
      <c r="F771" s="119"/>
      <c r="I771" s="119"/>
    </row>
    <row r="772" spans="1:9" s="185" customFormat="1">
      <c r="A772" s="118"/>
      <c r="B772" s="118"/>
      <c r="C772" s="119"/>
      <c r="F772" s="119"/>
      <c r="I772" s="119"/>
    </row>
    <row r="773" spans="1:9" s="185" customFormat="1">
      <c r="A773" s="118"/>
      <c r="B773" s="118"/>
      <c r="C773" s="119"/>
      <c r="F773" s="119"/>
      <c r="I773" s="119"/>
    </row>
    <row r="774" spans="1:9" s="185" customFormat="1">
      <c r="A774" s="118"/>
      <c r="B774" s="118"/>
      <c r="C774" s="119"/>
      <c r="F774" s="119"/>
      <c r="I774" s="119"/>
    </row>
    <row r="775" spans="1:9" s="185" customFormat="1">
      <c r="A775" s="118"/>
      <c r="B775" s="118"/>
      <c r="C775" s="119"/>
      <c r="F775" s="119"/>
      <c r="I775" s="119"/>
    </row>
    <row r="776" spans="1:9" s="185" customFormat="1">
      <c r="A776" s="118"/>
      <c r="B776" s="118"/>
      <c r="C776" s="119"/>
      <c r="F776" s="119"/>
      <c r="I776" s="119"/>
    </row>
    <row r="777" spans="1:9" s="185" customFormat="1">
      <c r="A777" s="118"/>
      <c r="B777" s="118"/>
      <c r="C777" s="119"/>
      <c r="F777" s="119"/>
      <c r="I777" s="119"/>
    </row>
    <row r="778" spans="1:9" s="185" customFormat="1">
      <c r="A778" s="118"/>
      <c r="B778" s="118"/>
      <c r="C778" s="119"/>
      <c r="F778" s="119"/>
      <c r="I778" s="119"/>
    </row>
    <row r="779" spans="1:9" s="185" customFormat="1">
      <c r="A779" s="118"/>
      <c r="B779" s="118"/>
      <c r="C779" s="119"/>
      <c r="F779" s="119"/>
      <c r="I779" s="119"/>
    </row>
    <row r="780" spans="1:9" s="185" customFormat="1">
      <c r="A780" s="118"/>
      <c r="B780" s="118"/>
      <c r="C780" s="119"/>
      <c r="F780" s="119"/>
      <c r="I780" s="119"/>
    </row>
    <row r="781" spans="1:9" s="185" customFormat="1">
      <c r="A781" s="118"/>
      <c r="B781" s="118"/>
      <c r="C781" s="119"/>
      <c r="F781" s="119"/>
      <c r="I781" s="119"/>
    </row>
    <row r="782" spans="1:9" s="185" customFormat="1">
      <c r="A782" s="118"/>
      <c r="B782" s="118"/>
      <c r="C782" s="119"/>
      <c r="F782" s="119"/>
      <c r="I782" s="119"/>
    </row>
    <row r="783" spans="1:9" s="185" customFormat="1">
      <c r="A783" s="118"/>
      <c r="B783" s="118"/>
      <c r="C783" s="119"/>
      <c r="F783" s="119"/>
      <c r="I783" s="119"/>
    </row>
    <row r="784" spans="1:9" s="185" customFormat="1">
      <c r="A784" s="118"/>
      <c r="B784" s="118"/>
      <c r="C784" s="119"/>
      <c r="F784" s="119"/>
      <c r="I784" s="119"/>
    </row>
    <row r="785" spans="1:9" s="185" customFormat="1">
      <c r="A785" s="118"/>
      <c r="B785" s="118"/>
      <c r="C785" s="119"/>
      <c r="F785" s="119"/>
      <c r="I785" s="119"/>
    </row>
    <row r="786" spans="1:9" s="185" customFormat="1">
      <c r="A786" s="118"/>
      <c r="B786" s="118"/>
      <c r="C786" s="119"/>
      <c r="F786" s="119"/>
      <c r="I786" s="119"/>
    </row>
    <row r="787" spans="1:9" s="185" customFormat="1">
      <c r="A787" s="118"/>
      <c r="B787" s="118"/>
      <c r="C787" s="119"/>
      <c r="F787" s="119"/>
      <c r="I787" s="119"/>
    </row>
    <row r="788" spans="1:9" s="185" customFormat="1">
      <c r="A788" s="118"/>
      <c r="B788" s="118"/>
      <c r="C788" s="119"/>
      <c r="F788" s="119"/>
      <c r="I788" s="119"/>
    </row>
    <row r="789" spans="1:9" s="185" customFormat="1">
      <c r="A789" s="118"/>
      <c r="B789" s="118"/>
      <c r="C789" s="119"/>
      <c r="F789" s="119"/>
      <c r="I789" s="119"/>
    </row>
    <row r="790" spans="1:9" s="185" customFormat="1">
      <c r="A790" s="118"/>
      <c r="B790" s="118"/>
      <c r="C790" s="119"/>
      <c r="F790" s="119"/>
      <c r="I790" s="119"/>
    </row>
    <row r="791" spans="1:9" s="185" customFormat="1">
      <c r="A791" s="118"/>
      <c r="B791" s="118"/>
      <c r="C791" s="119"/>
      <c r="F791" s="119"/>
      <c r="I791" s="119"/>
    </row>
    <row r="792" spans="1:9" s="185" customFormat="1">
      <c r="A792" s="118"/>
      <c r="B792" s="118"/>
      <c r="C792" s="119"/>
      <c r="F792" s="119"/>
      <c r="I792" s="119"/>
    </row>
    <row r="793" spans="1:9" s="185" customFormat="1">
      <c r="A793" s="118"/>
      <c r="B793" s="118"/>
      <c r="C793" s="119"/>
      <c r="F793" s="119"/>
      <c r="I793" s="119"/>
    </row>
    <row r="794" spans="1:9" s="185" customFormat="1">
      <c r="A794" s="118"/>
      <c r="B794" s="118"/>
      <c r="C794" s="119"/>
      <c r="F794" s="119"/>
      <c r="I794" s="119"/>
    </row>
    <row r="795" spans="1:9" s="185" customFormat="1">
      <c r="A795" s="118"/>
      <c r="B795" s="118"/>
      <c r="C795" s="119"/>
      <c r="F795" s="119"/>
      <c r="I795" s="119"/>
    </row>
    <row r="796" spans="1:9" s="185" customFormat="1">
      <c r="A796" s="118"/>
      <c r="B796" s="118"/>
      <c r="C796" s="119"/>
      <c r="F796" s="119"/>
      <c r="I796" s="119"/>
    </row>
    <row r="797" spans="1:9" s="185" customFormat="1">
      <c r="A797" s="118"/>
      <c r="B797" s="118"/>
      <c r="C797" s="119"/>
      <c r="F797" s="119"/>
      <c r="I797" s="119"/>
    </row>
    <row r="798" spans="1:9" s="185" customFormat="1">
      <c r="A798" s="118"/>
      <c r="B798" s="118"/>
      <c r="C798" s="119"/>
      <c r="F798" s="119"/>
      <c r="I798" s="119"/>
    </row>
    <row r="799" spans="1:9" s="185" customFormat="1">
      <c r="A799" s="118"/>
      <c r="B799" s="118"/>
      <c r="C799" s="119"/>
      <c r="F799" s="119"/>
      <c r="I799" s="119"/>
    </row>
    <row r="800" spans="1:9" s="185" customFormat="1">
      <c r="A800" s="118"/>
      <c r="B800" s="118"/>
      <c r="C800" s="119"/>
      <c r="F800" s="119"/>
      <c r="I800" s="119"/>
    </row>
    <row r="801" spans="1:9" s="185" customFormat="1">
      <c r="A801" s="118"/>
      <c r="B801" s="118"/>
      <c r="C801" s="119"/>
      <c r="F801" s="119"/>
      <c r="I801" s="119"/>
    </row>
    <row r="802" spans="1:9" s="185" customFormat="1">
      <c r="A802" s="118"/>
      <c r="B802" s="118"/>
      <c r="C802" s="119"/>
      <c r="F802" s="119"/>
      <c r="I802" s="119"/>
    </row>
    <row r="803" spans="1:9" s="185" customFormat="1">
      <c r="A803" s="118"/>
      <c r="B803" s="118"/>
      <c r="C803" s="119"/>
      <c r="F803" s="119"/>
      <c r="I803" s="119"/>
    </row>
    <row r="804" spans="1:9" s="185" customFormat="1">
      <c r="A804" s="118"/>
      <c r="B804" s="118"/>
      <c r="C804" s="119"/>
      <c r="F804" s="119"/>
      <c r="I804" s="119"/>
    </row>
    <row r="805" spans="1:9" s="185" customFormat="1">
      <c r="A805" s="118"/>
      <c r="B805" s="118"/>
      <c r="C805" s="119"/>
      <c r="F805" s="119"/>
      <c r="I805" s="119"/>
    </row>
    <row r="806" spans="1:9" s="185" customFormat="1">
      <c r="A806" s="118"/>
      <c r="B806" s="118"/>
      <c r="C806" s="119"/>
      <c r="F806" s="119"/>
      <c r="I806" s="119"/>
    </row>
    <row r="807" spans="1:9" s="185" customFormat="1">
      <c r="A807" s="118"/>
      <c r="B807" s="118"/>
      <c r="C807" s="119"/>
      <c r="F807" s="119"/>
      <c r="I807" s="119"/>
    </row>
    <row r="808" spans="1:9" s="185" customFormat="1">
      <c r="A808" s="118"/>
      <c r="B808" s="118"/>
      <c r="C808" s="119"/>
      <c r="F808" s="119"/>
      <c r="I808" s="119"/>
    </row>
    <row r="809" spans="1:9" s="185" customFormat="1">
      <c r="A809" s="118"/>
      <c r="B809" s="118"/>
      <c r="C809" s="119"/>
      <c r="F809" s="119"/>
      <c r="I809" s="119"/>
    </row>
    <row r="810" spans="1:9" s="185" customFormat="1">
      <c r="A810" s="118"/>
      <c r="B810" s="118"/>
      <c r="C810" s="119"/>
      <c r="F810" s="119"/>
      <c r="I810" s="119"/>
    </row>
    <row r="811" spans="1:9" s="185" customFormat="1">
      <c r="A811" s="118"/>
      <c r="B811" s="118"/>
      <c r="C811" s="119"/>
      <c r="F811" s="119"/>
      <c r="I811" s="119"/>
    </row>
    <row r="812" spans="1:9" s="185" customFormat="1">
      <c r="A812" s="118"/>
      <c r="B812" s="118"/>
      <c r="C812" s="119"/>
      <c r="F812" s="119"/>
      <c r="I812" s="119"/>
    </row>
    <row r="813" spans="1:9" s="185" customFormat="1">
      <c r="A813" s="118"/>
      <c r="B813" s="118"/>
      <c r="C813" s="119"/>
      <c r="F813" s="119"/>
      <c r="I813" s="119"/>
    </row>
    <row r="814" spans="1:9" s="185" customFormat="1">
      <c r="A814" s="118"/>
      <c r="B814" s="118"/>
      <c r="C814" s="119"/>
      <c r="F814" s="119"/>
      <c r="I814" s="119"/>
    </row>
    <row r="815" spans="1:9" s="185" customFormat="1">
      <c r="A815" s="118"/>
      <c r="B815" s="118"/>
      <c r="C815" s="119"/>
      <c r="F815" s="119"/>
      <c r="I815" s="119"/>
    </row>
    <row r="816" spans="1:9" s="185" customFormat="1">
      <c r="A816" s="118"/>
      <c r="B816" s="118"/>
      <c r="C816" s="119"/>
      <c r="F816" s="119"/>
      <c r="I816" s="119"/>
    </row>
    <row r="817" spans="1:9" s="185" customFormat="1">
      <c r="A817" s="118"/>
      <c r="B817" s="118"/>
      <c r="C817" s="119"/>
      <c r="F817" s="119"/>
      <c r="I817" s="119"/>
    </row>
    <row r="818" spans="1:9" s="185" customFormat="1">
      <c r="A818" s="118"/>
      <c r="B818" s="118"/>
      <c r="C818" s="119"/>
      <c r="F818" s="119"/>
      <c r="I818" s="119"/>
    </row>
    <row r="819" spans="1:9" s="185" customFormat="1">
      <c r="A819" s="118"/>
      <c r="B819" s="118"/>
      <c r="C819" s="119"/>
      <c r="F819" s="119"/>
      <c r="I819" s="119"/>
    </row>
    <row r="820" spans="1:9" s="185" customFormat="1">
      <c r="A820" s="118"/>
      <c r="B820" s="118"/>
      <c r="C820" s="119"/>
      <c r="F820" s="119"/>
      <c r="I820" s="119"/>
    </row>
    <row r="821" spans="1:9" s="185" customFormat="1">
      <c r="A821" s="118"/>
      <c r="B821" s="118"/>
      <c r="C821" s="119"/>
      <c r="F821" s="119"/>
      <c r="I821" s="119"/>
    </row>
    <row r="822" spans="1:9" s="185" customFormat="1">
      <c r="A822" s="118"/>
      <c r="B822" s="118"/>
      <c r="C822" s="119"/>
      <c r="F822" s="119"/>
      <c r="I822" s="119"/>
    </row>
    <row r="823" spans="1:9" s="185" customFormat="1">
      <c r="A823" s="118"/>
      <c r="B823" s="118"/>
      <c r="C823" s="119"/>
      <c r="F823" s="119"/>
      <c r="I823" s="119"/>
    </row>
    <row r="824" spans="1:9" s="185" customFormat="1">
      <c r="A824" s="118"/>
      <c r="B824" s="118"/>
      <c r="C824" s="119"/>
      <c r="F824" s="119"/>
      <c r="I824" s="119"/>
    </row>
    <row r="825" spans="1:9" s="185" customFormat="1">
      <c r="A825" s="118"/>
      <c r="B825" s="118"/>
      <c r="C825" s="119"/>
      <c r="F825" s="119"/>
      <c r="I825" s="119"/>
    </row>
    <row r="826" spans="1:9" s="185" customFormat="1">
      <c r="A826" s="118"/>
      <c r="B826" s="118"/>
      <c r="C826" s="119"/>
      <c r="F826" s="119"/>
      <c r="I826" s="119"/>
    </row>
    <row r="827" spans="1:9" s="185" customFormat="1">
      <c r="A827" s="118"/>
      <c r="B827" s="118"/>
      <c r="C827" s="119"/>
      <c r="F827" s="119"/>
      <c r="I827" s="119"/>
    </row>
    <row r="828" spans="1:9" s="185" customFormat="1">
      <c r="A828" s="118"/>
      <c r="B828" s="118"/>
      <c r="C828" s="119"/>
      <c r="F828" s="119"/>
      <c r="I828" s="119"/>
    </row>
    <row r="829" spans="1:9" s="185" customFormat="1">
      <c r="A829" s="118"/>
      <c r="B829" s="118"/>
      <c r="C829" s="119"/>
      <c r="F829" s="119"/>
      <c r="I829" s="119"/>
    </row>
    <row r="830" spans="1:9" s="185" customFormat="1">
      <c r="A830" s="118"/>
      <c r="B830" s="118"/>
      <c r="C830" s="119"/>
      <c r="F830" s="119"/>
      <c r="I830" s="119"/>
    </row>
    <row r="831" spans="1:9" s="185" customFormat="1">
      <c r="A831" s="118"/>
      <c r="B831" s="118"/>
      <c r="C831" s="119"/>
      <c r="F831" s="119"/>
      <c r="I831" s="119"/>
    </row>
    <row r="832" spans="1:9" s="185" customFormat="1">
      <c r="A832" s="118"/>
      <c r="B832" s="118"/>
      <c r="C832" s="119"/>
      <c r="F832" s="119"/>
      <c r="I832" s="119"/>
    </row>
    <row r="833" spans="1:9" s="185" customFormat="1">
      <c r="A833" s="118"/>
      <c r="B833" s="118"/>
      <c r="C833" s="119"/>
      <c r="F833" s="119"/>
      <c r="I833" s="119"/>
    </row>
    <row r="834" spans="1:9" s="185" customFormat="1">
      <c r="A834" s="118"/>
      <c r="B834" s="118"/>
      <c r="C834" s="119"/>
      <c r="F834" s="119"/>
      <c r="I834" s="119"/>
    </row>
    <row r="835" spans="1:9" s="185" customFormat="1">
      <c r="A835" s="118"/>
      <c r="B835" s="118"/>
      <c r="C835" s="119"/>
      <c r="F835" s="119"/>
      <c r="I835" s="119"/>
    </row>
    <row r="836" spans="1:9" s="185" customFormat="1">
      <c r="A836" s="118"/>
      <c r="B836" s="118"/>
      <c r="C836" s="119"/>
      <c r="F836" s="119"/>
      <c r="I836" s="119"/>
    </row>
    <row r="837" spans="1:9" s="185" customFormat="1">
      <c r="A837" s="118"/>
      <c r="B837" s="118"/>
      <c r="C837" s="119"/>
      <c r="F837" s="119"/>
      <c r="I837" s="119"/>
    </row>
    <row r="838" spans="1:9" s="185" customFormat="1">
      <c r="A838" s="118"/>
      <c r="B838" s="118"/>
      <c r="C838" s="119"/>
      <c r="F838" s="119"/>
      <c r="I838" s="119"/>
    </row>
    <row r="839" spans="1:9" s="185" customFormat="1">
      <c r="A839" s="118"/>
      <c r="B839" s="118"/>
      <c r="C839" s="119"/>
      <c r="F839" s="119"/>
      <c r="I839" s="119"/>
    </row>
    <row r="840" spans="1:9" s="185" customFormat="1">
      <c r="A840" s="118"/>
      <c r="B840" s="118"/>
      <c r="C840" s="119"/>
      <c r="F840" s="119"/>
      <c r="I840" s="119"/>
    </row>
    <row r="841" spans="1:9" s="185" customFormat="1">
      <c r="A841" s="118"/>
      <c r="B841" s="118"/>
      <c r="C841" s="119"/>
      <c r="F841" s="119"/>
      <c r="I841" s="119"/>
    </row>
    <row r="842" spans="1:9" s="185" customFormat="1">
      <c r="A842" s="118"/>
      <c r="B842" s="118"/>
      <c r="C842" s="119"/>
      <c r="F842" s="119"/>
      <c r="I842" s="119"/>
    </row>
    <row r="843" spans="1:9" s="185" customFormat="1">
      <c r="A843" s="118"/>
      <c r="B843" s="118"/>
      <c r="C843" s="119"/>
      <c r="F843" s="119"/>
      <c r="I843" s="119"/>
    </row>
    <row r="844" spans="1:9" s="185" customFormat="1">
      <c r="A844" s="118"/>
      <c r="B844" s="118"/>
      <c r="C844" s="119"/>
      <c r="F844" s="119"/>
      <c r="I844" s="119"/>
    </row>
    <row r="845" spans="1:9" s="185" customFormat="1">
      <c r="A845" s="118"/>
      <c r="B845" s="118"/>
      <c r="C845" s="119"/>
      <c r="F845" s="119"/>
      <c r="I845" s="119"/>
    </row>
    <row r="846" spans="1:9" s="185" customFormat="1">
      <c r="A846" s="118"/>
      <c r="B846" s="118"/>
      <c r="C846" s="119"/>
      <c r="F846" s="119"/>
      <c r="I846" s="119"/>
    </row>
    <row r="847" spans="1:9" s="185" customFormat="1">
      <c r="A847" s="118"/>
      <c r="B847" s="118"/>
      <c r="C847" s="119"/>
      <c r="F847" s="119"/>
      <c r="I847" s="119"/>
    </row>
    <row r="848" spans="1:9" s="185" customFormat="1">
      <c r="A848" s="118"/>
      <c r="B848" s="118"/>
      <c r="C848" s="119"/>
      <c r="F848" s="119"/>
      <c r="I848" s="119"/>
    </row>
    <row r="849" spans="1:9" s="185" customFormat="1">
      <c r="A849" s="118"/>
      <c r="B849" s="118"/>
      <c r="C849" s="119"/>
      <c r="F849" s="119"/>
      <c r="I849" s="119"/>
    </row>
    <row r="850" spans="1:9" s="185" customFormat="1">
      <c r="A850" s="118"/>
      <c r="B850" s="118"/>
      <c r="C850" s="119"/>
      <c r="F850" s="119"/>
      <c r="I850" s="119"/>
    </row>
    <row r="851" spans="1:9" s="185" customFormat="1">
      <c r="A851" s="118"/>
      <c r="B851" s="118"/>
      <c r="C851" s="119"/>
      <c r="F851" s="119"/>
      <c r="I851" s="119"/>
    </row>
    <row r="852" spans="1:9" s="185" customFormat="1">
      <c r="A852" s="118"/>
      <c r="B852" s="118"/>
      <c r="C852" s="119"/>
      <c r="F852" s="119"/>
      <c r="I852" s="119"/>
    </row>
    <row r="853" spans="1:9" s="185" customFormat="1">
      <c r="A853" s="118"/>
      <c r="B853" s="118"/>
      <c r="C853" s="119"/>
      <c r="F853" s="119"/>
      <c r="I853" s="119"/>
    </row>
    <row r="854" spans="1:9" s="185" customFormat="1">
      <c r="A854" s="118"/>
      <c r="B854" s="118"/>
      <c r="C854" s="119"/>
      <c r="F854" s="119"/>
      <c r="I854" s="119"/>
    </row>
    <row r="855" spans="1:9" s="185" customFormat="1">
      <c r="A855" s="118"/>
      <c r="B855" s="118"/>
      <c r="C855" s="119"/>
      <c r="F855" s="119"/>
      <c r="I855" s="119"/>
    </row>
    <row r="856" spans="1:9" s="185" customFormat="1">
      <c r="A856" s="118"/>
      <c r="B856" s="118"/>
      <c r="C856" s="119"/>
      <c r="F856" s="119"/>
      <c r="I856" s="119"/>
    </row>
    <row r="857" spans="1:9" s="185" customFormat="1">
      <c r="A857" s="118"/>
      <c r="B857" s="118"/>
      <c r="C857" s="119"/>
      <c r="F857" s="119"/>
      <c r="I857" s="119"/>
    </row>
    <row r="858" spans="1:9" s="185" customFormat="1">
      <c r="A858" s="118"/>
      <c r="B858" s="118"/>
      <c r="C858" s="119"/>
      <c r="F858" s="119"/>
      <c r="I858" s="119"/>
    </row>
    <row r="859" spans="1:9" s="185" customFormat="1">
      <c r="A859" s="118"/>
      <c r="B859" s="118"/>
      <c r="C859" s="119"/>
      <c r="F859" s="119"/>
      <c r="I859" s="119"/>
    </row>
    <row r="860" spans="1:9" s="185" customFormat="1">
      <c r="A860" s="118"/>
      <c r="B860" s="118"/>
      <c r="C860" s="119"/>
      <c r="F860" s="119"/>
      <c r="I860" s="119"/>
    </row>
    <row r="861" spans="1:9" s="185" customFormat="1">
      <c r="A861" s="118"/>
      <c r="B861" s="118"/>
      <c r="C861" s="119"/>
      <c r="F861" s="119"/>
      <c r="I861" s="119"/>
    </row>
    <row r="862" spans="1:9" s="185" customFormat="1">
      <c r="A862" s="118"/>
      <c r="B862" s="118"/>
      <c r="C862" s="119"/>
      <c r="F862" s="119"/>
      <c r="I862" s="119"/>
    </row>
    <row r="863" spans="1:9" s="185" customFormat="1">
      <c r="A863" s="118"/>
      <c r="B863" s="118"/>
      <c r="C863" s="119"/>
      <c r="F863" s="119"/>
      <c r="I863" s="119"/>
    </row>
    <row r="864" spans="1:9" s="185" customFormat="1">
      <c r="A864" s="118"/>
      <c r="B864" s="118"/>
      <c r="C864" s="119"/>
      <c r="F864" s="119"/>
      <c r="I864" s="119"/>
    </row>
    <row r="865" spans="1:9" s="185" customFormat="1">
      <c r="A865" s="118"/>
      <c r="B865" s="118"/>
      <c r="C865" s="119"/>
      <c r="F865" s="119"/>
      <c r="I865" s="119"/>
    </row>
    <row r="866" spans="1:9" s="185" customFormat="1">
      <c r="A866" s="118"/>
      <c r="B866" s="118"/>
      <c r="C866" s="119"/>
      <c r="F866" s="119"/>
      <c r="I866" s="119"/>
    </row>
    <row r="867" spans="1:9" s="185" customFormat="1">
      <c r="A867" s="118"/>
      <c r="B867" s="118"/>
      <c r="C867" s="119"/>
      <c r="F867" s="119"/>
      <c r="I867" s="119"/>
    </row>
    <row r="868" spans="1:9" s="185" customFormat="1">
      <c r="A868" s="118"/>
      <c r="B868" s="118"/>
      <c r="C868" s="119"/>
      <c r="F868" s="119"/>
      <c r="I868" s="119"/>
    </row>
    <row r="869" spans="1:9" s="185" customFormat="1">
      <c r="A869" s="118"/>
      <c r="B869" s="118"/>
      <c r="C869" s="119"/>
      <c r="F869" s="119"/>
      <c r="I869" s="119"/>
    </row>
    <row r="870" spans="1:9" s="185" customFormat="1">
      <c r="A870" s="118"/>
      <c r="B870" s="118"/>
      <c r="C870" s="119"/>
      <c r="F870" s="119"/>
      <c r="I870" s="119"/>
    </row>
    <row r="871" spans="1:9" s="185" customFormat="1">
      <c r="A871" s="118"/>
      <c r="B871" s="118"/>
      <c r="C871" s="119"/>
      <c r="F871" s="119"/>
      <c r="I871" s="119"/>
    </row>
    <row r="872" spans="1:9" s="185" customFormat="1">
      <c r="A872" s="118"/>
      <c r="B872" s="118"/>
      <c r="C872" s="119"/>
      <c r="F872" s="119"/>
      <c r="I872" s="119"/>
    </row>
    <row r="873" spans="1:9" s="185" customFormat="1">
      <c r="A873" s="118"/>
      <c r="B873" s="118"/>
      <c r="C873" s="119"/>
      <c r="F873" s="119"/>
      <c r="I873" s="119"/>
    </row>
    <row r="874" spans="1:9" s="185" customFormat="1">
      <c r="A874" s="118"/>
      <c r="B874" s="118"/>
      <c r="C874" s="119"/>
      <c r="F874" s="119"/>
      <c r="I874" s="119"/>
    </row>
    <row r="875" spans="1:9" s="185" customFormat="1">
      <c r="A875" s="118"/>
      <c r="B875" s="118"/>
      <c r="C875" s="119"/>
      <c r="F875" s="119"/>
      <c r="I875" s="119"/>
    </row>
    <row r="876" spans="1:9" s="185" customFormat="1">
      <c r="A876" s="118"/>
      <c r="B876" s="118"/>
      <c r="C876" s="119"/>
      <c r="F876" s="119"/>
      <c r="I876" s="119"/>
    </row>
    <row r="877" spans="1:9" s="185" customFormat="1">
      <c r="A877" s="118"/>
      <c r="B877" s="118"/>
      <c r="C877" s="119"/>
      <c r="F877" s="119"/>
      <c r="I877" s="119"/>
    </row>
    <row r="878" spans="1:9" s="185" customFormat="1">
      <c r="A878" s="118"/>
      <c r="B878" s="118"/>
      <c r="C878" s="119"/>
      <c r="F878" s="119"/>
      <c r="I878" s="119"/>
    </row>
    <row r="879" spans="1:9" s="185" customFormat="1">
      <c r="A879" s="118"/>
      <c r="B879" s="118"/>
      <c r="C879" s="119"/>
      <c r="F879" s="119"/>
      <c r="I879" s="119"/>
    </row>
    <row r="880" spans="1:9" s="185" customFormat="1">
      <c r="A880" s="118"/>
      <c r="B880" s="118"/>
      <c r="C880" s="119"/>
      <c r="F880" s="119"/>
      <c r="I880" s="119"/>
    </row>
    <row r="881" spans="1:9" s="185" customFormat="1">
      <c r="A881" s="118"/>
      <c r="B881" s="118"/>
      <c r="C881" s="119"/>
      <c r="F881" s="119"/>
      <c r="I881" s="119"/>
    </row>
    <row r="882" spans="1:9" s="185" customFormat="1">
      <c r="A882" s="118"/>
      <c r="B882" s="118"/>
      <c r="C882" s="119"/>
      <c r="F882" s="119"/>
      <c r="I882" s="119"/>
    </row>
    <row r="883" spans="1:9" s="185" customFormat="1">
      <c r="A883" s="118"/>
      <c r="B883" s="118"/>
      <c r="C883" s="119"/>
      <c r="F883" s="119"/>
      <c r="I883" s="119"/>
    </row>
    <row r="884" spans="1:9" s="185" customFormat="1">
      <c r="A884" s="118"/>
      <c r="B884" s="118"/>
      <c r="C884" s="119"/>
      <c r="F884" s="119"/>
      <c r="I884" s="119"/>
    </row>
    <row r="885" spans="1:9" s="185" customFormat="1">
      <c r="A885" s="118"/>
      <c r="B885" s="118"/>
      <c r="C885" s="119"/>
      <c r="F885" s="119"/>
      <c r="I885" s="119"/>
    </row>
    <row r="886" spans="1:9" s="185" customFormat="1">
      <c r="A886" s="118"/>
      <c r="B886" s="118"/>
      <c r="C886" s="119"/>
      <c r="F886" s="119"/>
      <c r="I886" s="119"/>
    </row>
    <row r="887" spans="1:9" s="185" customFormat="1">
      <c r="A887" s="118"/>
      <c r="B887" s="118"/>
      <c r="C887" s="119"/>
      <c r="F887" s="119"/>
      <c r="I887" s="119"/>
    </row>
    <row r="888" spans="1:9" s="185" customFormat="1">
      <c r="A888" s="118"/>
      <c r="B888" s="118"/>
      <c r="C888" s="119"/>
      <c r="F888" s="119"/>
      <c r="I888" s="119"/>
    </row>
    <row r="889" spans="1:9" s="185" customFormat="1">
      <c r="A889" s="118"/>
      <c r="B889" s="118"/>
      <c r="C889" s="119"/>
      <c r="F889" s="119"/>
      <c r="I889" s="119"/>
    </row>
    <row r="890" spans="1:9" s="185" customFormat="1">
      <c r="A890" s="118"/>
      <c r="B890" s="118"/>
      <c r="C890" s="119"/>
      <c r="F890" s="119"/>
      <c r="I890" s="119"/>
    </row>
    <row r="891" spans="1:9" s="185" customFormat="1">
      <c r="A891" s="118"/>
      <c r="B891" s="118"/>
      <c r="C891" s="119"/>
      <c r="F891" s="119"/>
      <c r="I891" s="119"/>
    </row>
    <row r="892" spans="1:9" s="185" customFormat="1">
      <c r="A892" s="118"/>
      <c r="B892" s="118"/>
      <c r="C892" s="119"/>
      <c r="F892" s="119"/>
      <c r="I892" s="119"/>
    </row>
    <row r="893" spans="1:9" s="185" customFormat="1">
      <c r="A893" s="118"/>
      <c r="B893" s="118"/>
      <c r="C893" s="119"/>
      <c r="F893" s="119"/>
      <c r="I893" s="119"/>
    </row>
    <row r="894" spans="1:9" s="185" customFormat="1">
      <c r="A894" s="118"/>
      <c r="B894" s="118"/>
      <c r="C894" s="119"/>
      <c r="F894" s="119"/>
      <c r="I894" s="119"/>
    </row>
    <row r="895" spans="1:9" s="185" customFormat="1">
      <c r="A895" s="118"/>
      <c r="B895" s="118"/>
      <c r="C895" s="119"/>
      <c r="F895" s="119"/>
      <c r="I895" s="119"/>
    </row>
    <row r="896" spans="1:9" s="185" customFormat="1">
      <c r="A896" s="118"/>
      <c r="B896" s="118"/>
      <c r="C896" s="119"/>
      <c r="F896" s="119"/>
      <c r="I896" s="119"/>
    </row>
    <row r="897" spans="1:9" s="185" customFormat="1">
      <c r="A897" s="118"/>
      <c r="B897" s="118"/>
      <c r="C897" s="119"/>
      <c r="F897" s="119"/>
      <c r="I897" s="119"/>
    </row>
    <row r="898" spans="1:9" s="185" customFormat="1">
      <c r="A898" s="118"/>
      <c r="B898" s="118"/>
      <c r="C898" s="119"/>
      <c r="F898" s="119"/>
      <c r="I898" s="119"/>
    </row>
    <row r="899" spans="1:9" s="185" customFormat="1">
      <c r="A899" s="118"/>
      <c r="B899" s="118"/>
      <c r="C899" s="119"/>
      <c r="F899" s="119"/>
      <c r="I899" s="119"/>
    </row>
    <row r="900" spans="1:9" s="185" customFormat="1">
      <c r="A900" s="118"/>
      <c r="B900" s="118"/>
      <c r="C900" s="119"/>
      <c r="F900" s="119"/>
      <c r="I900" s="119"/>
    </row>
    <row r="901" spans="1:9" s="185" customFormat="1">
      <c r="A901" s="118"/>
      <c r="B901" s="118"/>
      <c r="C901" s="119"/>
      <c r="F901" s="119"/>
      <c r="I901" s="119"/>
    </row>
    <row r="902" spans="1:9" s="185" customFormat="1">
      <c r="A902" s="118"/>
      <c r="B902" s="118"/>
      <c r="C902" s="119"/>
      <c r="F902" s="119"/>
      <c r="I902" s="119"/>
    </row>
    <row r="903" spans="1:9" s="185" customFormat="1">
      <c r="A903" s="118"/>
      <c r="B903" s="118"/>
      <c r="C903" s="119"/>
      <c r="F903" s="119"/>
      <c r="I903" s="119"/>
    </row>
    <row r="904" spans="1:9" s="185" customFormat="1">
      <c r="A904" s="118"/>
      <c r="B904" s="118"/>
      <c r="C904" s="119"/>
      <c r="F904" s="119"/>
      <c r="I904" s="119"/>
    </row>
    <row r="905" spans="1:9" s="185" customFormat="1">
      <c r="A905" s="118"/>
      <c r="B905" s="118"/>
      <c r="C905" s="119"/>
      <c r="F905" s="119"/>
      <c r="I905" s="119"/>
    </row>
    <row r="906" spans="1:9" s="185" customFormat="1">
      <c r="A906" s="118"/>
      <c r="B906" s="118"/>
      <c r="C906" s="119"/>
      <c r="F906" s="119"/>
      <c r="I906" s="119"/>
    </row>
    <row r="907" spans="1:9" s="185" customFormat="1">
      <c r="A907" s="118"/>
      <c r="B907" s="118"/>
      <c r="C907" s="119"/>
      <c r="F907" s="119"/>
      <c r="I907" s="119"/>
    </row>
    <row r="908" spans="1:9" s="185" customFormat="1">
      <c r="A908" s="118"/>
      <c r="B908" s="118"/>
      <c r="C908" s="119"/>
      <c r="F908" s="119"/>
      <c r="I908" s="119"/>
    </row>
    <row r="909" spans="1:9" s="185" customFormat="1">
      <c r="A909" s="118"/>
      <c r="B909" s="118"/>
      <c r="C909" s="119"/>
      <c r="F909" s="119"/>
      <c r="I909" s="119"/>
    </row>
    <row r="910" spans="1:9" s="185" customFormat="1">
      <c r="A910" s="118"/>
      <c r="B910" s="118"/>
      <c r="C910" s="119"/>
      <c r="F910" s="119"/>
      <c r="I910" s="119"/>
    </row>
    <row r="911" spans="1:9" s="185" customFormat="1">
      <c r="A911" s="118"/>
      <c r="B911" s="118"/>
      <c r="C911" s="119"/>
      <c r="F911" s="119"/>
      <c r="I911" s="119"/>
    </row>
    <row r="912" spans="1:9" s="185" customFormat="1">
      <c r="A912" s="118"/>
      <c r="B912" s="118"/>
      <c r="C912" s="119"/>
      <c r="F912" s="119"/>
      <c r="I912" s="119"/>
    </row>
    <row r="913" spans="1:9" s="185" customFormat="1">
      <c r="A913" s="118"/>
      <c r="B913" s="118"/>
      <c r="C913" s="119"/>
      <c r="F913" s="119"/>
      <c r="I913" s="119"/>
    </row>
    <row r="914" spans="1:9" s="185" customFormat="1">
      <c r="A914" s="118"/>
      <c r="B914" s="118"/>
      <c r="C914" s="119"/>
      <c r="F914" s="119"/>
      <c r="I914" s="119"/>
    </row>
    <row r="915" spans="1:9" s="185" customFormat="1">
      <c r="A915" s="118"/>
      <c r="B915" s="118"/>
      <c r="C915" s="119"/>
      <c r="F915" s="119"/>
      <c r="I915" s="119"/>
    </row>
    <row r="916" spans="1:9" s="185" customFormat="1">
      <c r="A916" s="118"/>
      <c r="B916" s="118"/>
      <c r="C916" s="119"/>
      <c r="F916" s="119"/>
      <c r="I916" s="119"/>
    </row>
    <row r="917" spans="1:9" s="185" customFormat="1">
      <c r="A917" s="118"/>
      <c r="B917" s="118"/>
      <c r="C917" s="119"/>
      <c r="F917" s="119"/>
      <c r="I917" s="119"/>
    </row>
    <row r="918" spans="1:9" s="185" customFormat="1">
      <c r="A918" s="118"/>
      <c r="B918" s="118"/>
      <c r="C918" s="119"/>
      <c r="F918" s="119"/>
      <c r="I918" s="119"/>
    </row>
    <row r="919" spans="1:9" s="185" customFormat="1">
      <c r="A919" s="118"/>
      <c r="B919" s="118"/>
      <c r="C919" s="119"/>
      <c r="F919" s="119"/>
      <c r="I919" s="119"/>
    </row>
    <row r="920" spans="1:9" s="185" customFormat="1">
      <c r="A920" s="118"/>
      <c r="B920" s="118"/>
      <c r="C920" s="119"/>
      <c r="F920" s="119"/>
      <c r="I920" s="119"/>
    </row>
    <row r="921" spans="1:9" s="185" customFormat="1">
      <c r="A921" s="118"/>
      <c r="B921" s="118"/>
      <c r="C921" s="119"/>
      <c r="F921" s="119"/>
      <c r="I921" s="119"/>
    </row>
    <row r="922" spans="1:9" s="185" customFormat="1">
      <c r="A922" s="118"/>
      <c r="B922" s="118"/>
      <c r="C922" s="119"/>
      <c r="F922" s="119"/>
      <c r="I922" s="119"/>
    </row>
    <row r="923" spans="1:9" s="185" customFormat="1">
      <c r="A923" s="118"/>
      <c r="B923" s="118"/>
      <c r="C923" s="119"/>
      <c r="F923" s="119"/>
      <c r="I923" s="119"/>
    </row>
    <row r="924" spans="1:9" s="185" customFormat="1">
      <c r="A924" s="118"/>
      <c r="B924" s="118"/>
      <c r="C924" s="119"/>
      <c r="F924" s="119"/>
      <c r="I924" s="119"/>
    </row>
    <row r="925" spans="1:9" s="185" customFormat="1">
      <c r="A925" s="118"/>
      <c r="B925" s="118"/>
      <c r="C925" s="119"/>
      <c r="F925" s="119"/>
      <c r="I925" s="119"/>
    </row>
    <row r="926" spans="1:9" s="185" customFormat="1">
      <c r="A926" s="118"/>
      <c r="B926" s="118"/>
      <c r="C926" s="119"/>
      <c r="F926" s="119"/>
      <c r="I926" s="119"/>
    </row>
    <row r="927" spans="1:9" s="185" customFormat="1">
      <c r="A927" s="118"/>
      <c r="B927" s="118"/>
      <c r="C927" s="119"/>
      <c r="F927" s="119"/>
      <c r="I927" s="119"/>
    </row>
    <row r="928" spans="1:9" s="185" customFormat="1">
      <c r="A928" s="118"/>
      <c r="B928" s="118"/>
      <c r="C928" s="119"/>
      <c r="F928" s="119"/>
      <c r="I928" s="119"/>
    </row>
    <row r="929" spans="1:9" s="185" customFormat="1">
      <c r="A929" s="118"/>
      <c r="B929" s="118"/>
      <c r="C929" s="119"/>
      <c r="F929" s="119"/>
      <c r="I929" s="119"/>
    </row>
    <row r="930" spans="1:9" s="185" customFormat="1">
      <c r="A930" s="118"/>
      <c r="B930" s="118"/>
      <c r="C930" s="119"/>
      <c r="F930" s="119"/>
      <c r="I930" s="119"/>
    </row>
    <row r="931" spans="1:9" s="185" customFormat="1">
      <c r="A931" s="118"/>
      <c r="B931" s="118"/>
      <c r="C931" s="119"/>
      <c r="F931" s="119"/>
      <c r="I931" s="119"/>
    </row>
    <row r="932" spans="1:9" s="185" customFormat="1">
      <c r="A932" s="118"/>
      <c r="B932" s="118"/>
      <c r="C932" s="119"/>
      <c r="F932" s="119"/>
      <c r="I932" s="119"/>
    </row>
    <row r="933" spans="1:9" s="185" customFormat="1">
      <c r="A933" s="118"/>
      <c r="B933" s="118"/>
      <c r="C933" s="119"/>
      <c r="F933" s="119"/>
      <c r="I933" s="119"/>
    </row>
    <row r="934" spans="1:9" s="185" customFormat="1">
      <c r="A934" s="118"/>
      <c r="B934" s="118"/>
      <c r="C934" s="119"/>
      <c r="F934" s="119"/>
      <c r="I934" s="119"/>
    </row>
    <row r="935" spans="1:9" s="185" customFormat="1">
      <c r="A935" s="118"/>
      <c r="B935" s="118"/>
      <c r="C935" s="119"/>
      <c r="F935" s="119"/>
      <c r="I935" s="119"/>
    </row>
    <row r="936" spans="1:9" s="185" customFormat="1">
      <c r="A936" s="118"/>
      <c r="B936" s="118"/>
      <c r="C936" s="119"/>
      <c r="F936" s="119"/>
      <c r="I936" s="119"/>
    </row>
    <row r="937" spans="1:9" s="185" customFormat="1">
      <c r="A937" s="118"/>
      <c r="B937" s="118"/>
      <c r="C937" s="119"/>
      <c r="F937" s="119"/>
      <c r="I937" s="119"/>
    </row>
    <row r="938" spans="1:9" s="185" customFormat="1">
      <c r="A938" s="118"/>
      <c r="B938" s="118"/>
      <c r="C938" s="119"/>
      <c r="F938" s="119"/>
      <c r="I938" s="119"/>
    </row>
    <row r="939" spans="1:9" s="185" customFormat="1">
      <c r="A939" s="118"/>
      <c r="B939" s="118"/>
      <c r="C939" s="119"/>
      <c r="F939" s="119"/>
      <c r="I939" s="119"/>
    </row>
    <row r="940" spans="1:9" s="185" customFormat="1">
      <c r="A940" s="118"/>
      <c r="B940" s="118"/>
      <c r="C940" s="119"/>
      <c r="F940" s="119"/>
      <c r="I940" s="119"/>
    </row>
    <row r="941" spans="1:9" s="185" customFormat="1">
      <c r="A941" s="118"/>
      <c r="B941" s="118"/>
      <c r="C941" s="119"/>
      <c r="F941" s="119"/>
      <c r="I941" s="119"/>
    </row>
    <row r="942" spans="1:9" s="185" customFormat="1">
      <c r="A942" s="118"/>
      <c r="B942" s="118"/>
      <c r="C942" s="119"/>
      <c r="F942" s="119"/>
      <c r="I942" s="119"/>
    </row>
    <row r="943" spans="1:9" s="185" customFormat="1">
      <c r="A943" s="118"/>
      <c r="B943" s="118"/>
      <c r="C943" s="119"/>
      <c r="F943" s="119"/>
      <c r="I943" s="119"/>
    </row>
    <row r="944" spans="1:9" s="185" customFormat="1">
      <c r="A944" s="118"/>
      <c r="B944" s="118"/>
      <c r="C944" s="119"/>
      <c r="F944" s="119"/>
      <c r="I944" s="119"/>
    </row>
    <row r="945" spans="1:9" s="185" customFormat="1">
      <c r="A945" s="118"/>
      <c r="B945" s="118"/>
      <c r="C945" s="119"/>
      <c r="F945" s="119"/>
      <c r="I945" s="119"/>
    </row>
    <row r="946" spans="1:9" s="185" customFormat="1">
      <c r="A946" s="118"/>
      <c r="B946" s="118"/>
      <c r="C946" s="119"/>
      <c r="F946" s="119"/>
      <c r="I946" s="119"/>
    </row>
    <row r="947" spans="1:9" s="185" customFormat="1">
      <c r="A947" s="118"/>
      <c r="B947" s="118"/>
      <c r="C947" s="119"/>
      <c r="F947" s="119"/>
      <c r="I947" s="119"/>
    </row>
    <row r="948" spans="1:9" s="185" customFormat="1">
      <c r="A948" s="118"/>
      <c r="B948" s="118"/>
      <c r="C948" s="119"/>
      <c r="F948" s="119"/>
      <c r="I948" s="119"/>
    </row>
    <row r="949" spans="1:9" s="185" customFormat="1">
      <c r="A949" s="118"/>
      <c r="B949" s="118"/>
      <c r="C949" s="119"/>
      <c r="F949" s="119"/>
      <c r="I949" s="119"/>
    </row>
  </sheetData>
  <mergeCells count="27">
    <mergeCell ref="AP3:AQ3"/>
    <mergeCell ref="AH1:AQ2"/>
    <mergeCell ref="AJ3:AK3"/>
    <mergeCell ref="V1:AE2"/>
    <mergeCell ref="AD3:AE3"/>
    <mergeCell ref="AH3:AI3"/>
    <mergeCell ref="AM3:AN3"/>
    <mergeCell ref="U1:U2"/>
    <mergeCell ref="K1:K2"/>
    <mergeCell ref="L1:S2"/>
    <mergeCell ref="X3:Y3"/>
    <mergeCell ref="AA3:AB3"/>
    <mergeCell ref="L3:M3"/>
    <mergeCell ref="O3:P3"/>
    <mergeCell ref="R3:S3"/>
    <mergeCell ref="V3:W3"/>
    <mergeCell ref="A1:A2"/>
    <mergeCell ref="B3:C3"/>
    <mergeCell ref="E3:F3"/>
    <mergeCell ref="H3:I3"/>
    <mergeCell ref="B1:I2"/>
    <mergeCell ref="AV3:AW3"/>
    <mergeCell ref="AS1:AS2"/>
    <mergeCell ref="AT1:BC2"/>
    <mergeCell ref="AT3:AU3"/>
    <mergeCell ref="AY3:AZ3"/>
    <mergeCell ref="BB3:BC3"/>
  </mergeCells>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DG1046"/>
  <sheetViews>
    <sheetView topLeftCell="A23" zoomScale="120" zoomScaleNormal="120" workbookViewId="0">
      <selection activeCell="A46" sqref="A46:XFD46"/>
    </sheetView>
  </sheetViews>
  <sheetFormatPr baseColWidth="10" defaultRowHeight="13.2"/>
  <cols>
    <col min="1" max="1" width="7.109375" style="121" customWidth="1"/>
    <col min="2" max="2" width="2.33203125" style="121" customWidth="1"/>
    <col min="3" max="13" width="6.6640625" style="121" customWidth="1"/>
    <col min="14" max="27" width="6.6640625" customWidth="1"/>
    <col min="28" max="43" width="6.6640625" style="102" customWidth="1"/>
    <col min="44" max="111" width="11.44140625" style="102"/>
  </cols>
  <sheetData>
    <row r="1" spans="1:27" s="102" customFormat="1" ht="12" customHeight="1" thickBot="1">
      <c r="A1" s="2583"/>
      <c r="B1" s="2583"/>
      <c r="C1" s="122"/>
      <c r="D1" s="122"/>
      <c r="E1" s="122"/>
      <c r="F1" s="122"/>
      <c r="G1" s="122"/>
      <c r="H1" s="122"/>
      <c r="I1" s="122"/>
      <c r="J1" s="122"/>
      <c r="K1" s="122"/>
      <c r="L1" s="122"/>
      <c r="M1" s="122"/>
    </row>
    <row r="2" spans="1:27" s="102" customFormat="1" ht="17.25" customHeight="1" thickBot="1">
      <c r="A2" s="2584" t="s">
        <v>545</v>
      </c>
      <c r="B2" s="2585"/>
      <c r="C2" s="766"/>
      <c r="D2" s="766"/>
      <c r="E2" s="766"/>
      <c r="F2" s="766"/>
      <c r="G2" s="766"/>
      <c r="H2" s="766"/>
      <c r="I2" s="766"/>
      <c r="J2" s="766"/>
      <c r="K2" s="766"/>
      <c r="L2" s="766"/>
      <c r="M2" s="766"/>
      <c r="N2" s="767"/>
      <c r="O2" s="767"/>
      <c r="P2" s="767"/>
      <c r="Q2" s="767"/>
      <c r="R2" s="767"/>
      <c r="S2" s="767"/>
      <c r="T2" s="767"/>
      <c r="U2" s="767"/>
      <c r="V2" s="767"/>
      <c r="W2" s="767"/>
      <c r="X2" s="767" t="s">
        <v>1391</v>
      </c>
      <c r="Y2" s="767"/>
      <c r="Z2" s="767"/>
      <c r="AA2" s="767" t="s">
        <v>1391</v>
      </c>
    </row>
    <row r="3" spans="1:27" ht="12" customHeight="1">
      <c r="A3" s="2593" t="s">
        <v>720</v>
      </c>
      <c r="B3" s="2594"/>
      <c r="C3" s="768">
        <v>4.5</v>
      </c>
      <c r="D3" s="768">
        <v>2.5</v>
      </c>
      <c r="E3" s="768">
        <v>3.5</v>
      </c>
      <c r="F3" s="768">
        <v>4.5</v>
      </c>
      <c r="G3" s="769">
        <v>6</v>
      </c>
      <c r="H3" s="768">
        <v>8</v>
      </c>
      <c r="I3" s="768">
        <v>10</v>
      </c>
      <c r="J3" s="768">
        <v>12</v>
      </c>
      <c r="K3" s="770">
        <v>4.5</v>
      </c>
      <c r="L3" s="770">
        <v>6</v>
      </c>
      <c r="M3" s="770">
        <v>8</v>
      </c>
      <c r="N3" s="768">
        <v>4.5</v>
      </c>
      <c r="O3" s="771">
        <v>6</v>
      </c>
      <c r="P3" s="772">
        <v>8</v>
      </c>
      <c r="Q3" s="768">
        <v>10</v>
      </c>
      <c r="R3" s="768">
        <v>12</v>
      </c>
      <c r="S3" s="768">
        <v>4.5</v>
      </c>
      <c r="T3" s="768">
        <v>6</v>
      </c>
      <c r="U3" s="768">
        <v>8</v>
      </c>
      <c r="V3" s="768">
        <v>10</v>
      </c>
      <c r="W3" s="768">
        <v>12</v>
      </c>
      <c r="X3" s="770">
        <v>6</v>
      </c>
      <c r="Y3" s="768">
        <v>12</v>
      </c>
      <c r="Z3" s="768">
        <v>12</v>
      </c>
      <c r="AA3" s="770">
        <v>12</v>
      </c>
    </row>
    <row r="4" spans="1:27" ht="12" customHeight="1">
      <c r="A4" s="2595" t="s">
        <v>721</v>
      </c>
      <c r="B4" s="2596"/>
      <c r="C4" s="773">
        <v>10</v>
      </c>
      <c r="D4" s="773">
        <v>12</v>
      </c>
      <c r="E4" s="773">
        <v>12</v>
      </c>
      <c r="F4" s="773">
        <v>14.5</v>
      </c>
      <c r="G4" s="769">
        <v>14.5</v>
      </c>
      <c r="H4" s="773">
        <v>14.5</v>
      </c>
      <c r="I4" s="773">
        <v>14.5</v>
      </c>
      <c r="J4" s="773">
        <v>14.5</v>
      </c>
      <c r="K4" s="774">
        <v>16.5</v>
      </c>
      <c r="L4" s="774">
        <v>16.5</v>
      </c>
      <c r="M4" s="774">
        <v>16.5</v>
      </c>
      <c r="N4" s="773">
        <v>20</v>
      </c>
      <c r="O4" s="771">
        <v>20</v>
      </c>
      <c r="P4" s="772">
        <v>20</v>
      </c>
      <c r="Q4" s="773">
        <v>20</v>
      </c>
      <c r="R4" s="773">
        <v>20</v>
      </c>
      <c r="S4" s="773">
        <v>24</v>
      </c>
      <c r="T4" s="773">
        <v>24</v>
      </c>
      <c r="U4" s="773">
        <v>24</v>
      </c>
      <c r="V4" s="773">
        <v>24</v>
      </c>
      <c r="W4" s="773">
        <v>24</v>
      </c>
      <c r="X4" s="774">
        <v>26</v>
      </c>
      <c r="Y4" s="773">
        <v>30</v>
      </c>
      <c r="Z4" s="773">
        <v>36</v>
      </c>
      <c r="AA4" s="774">
        <v>46</v>
      </c>
    </row>
    <row r="5" spans="1:27" ht="12" customHeight="1">
      <c r="A5" s="2587" t="s">
        <v>722</v>
      </c>
      <c r="B5" s="2592"/>
      <c r="C5" s="775"/>
      <c r="D5" s="775"/>
      <c r="E5" s="775"/>
      <c r="F5" s="775"/>
      <c r="G5" s="776"/>
      <c r="H5" s="775"/>
      <c r="I5" s="775"/>
      <c r="J5" s="775"/>
      <c r="K5" s="775"/>
      <c r="L5" s="775"/>
      <c r="M5" s="775"/>
      <c r="N5" s="777"/>
      <c r="O5" s="778"/>
      <c r="P5" s="779"/>
      <c r="Q5" s="777"/>
      <c r="R5" s="777"/>
      <c r="S5" s="777"/>
      <c r="T5" s="777"/>
      <c r="U5" s="777"/>
      <c r="V5" s="777"/>
      <c r="W5" s="777"/>
      <c r="X5" s="775"/>
      <c r="Y5" s="777"/>
      <c r="Z5" s="777"/>
      <c r="AA5" s="775"/>
    </row>
    <row r="6" spans="1:27" ht="12" customHeight="1">
      <c r="A6" s="2591">
        <v>10</v>
      </c>
      <c r="B6" s="2592"/>
      <c r="C6" s="780">
        <v>32</v>
      </c>
      <c r="D6" s="780">
        <v>32</v>
      </c>
      <c r="E6" s="781">
        <v>33</v>
      </c>
      <c r="F6" s="780">
        <v>34</v>
      </c>
      <c r="G6" s="782">
        <v>36</v>
      </c>
      <c r="H6" s="780">
        <v>42</v>
      </c>
      <c r="I6" s="780">
        <v>44</v>
      </c>
      <c r="J6" s="781">
        <v>46</v>
      </c>
      <c r="K6" s="783">
        <f>(N6-F6)*($K$4-$F$4)/($N$4-$F$4)+F6</f>
        <v>38</v>
      </c>
      <c r="L6" s="783">
        <f>(O6-G6)*($L$4-$G$4)/($O$4-$G$4)+G6</f>
        <v>40</v>
      </c>
      <c r="M6" s="783">
        <f>(P6-H6)*($M$4-$H$4)/($P$4-$H$4)+H6</f>
        <v>45.636363636363633</v>
      </c>
      <c r="N6" s="784">
        <v>45</v>
      </c>
      <c r="O6" s="785">
        <v>47</v>
      </c>
      <c r="P6" s="786">
        <v>52</v>
      </c>
      <c r="Q6" s="780">
        <v>52</v>
      </c>
      <c r="R6" s="781">
        <v>55</v>
      </c>
      <c r="S6" s="784">
        <v>50</v>
      </c>
      <c r="T6" s="780">
        <v>52</v>
      </c>
      <c r="U6" s="787">
        <v>55</v>
      </c>
      <c r="V6" s="780">
        <v>58</v>
      </c>
      <c r="W6" s="781">
        <v>62</v>
      </c>
      <c r="X6" s="788">
        <f>(T6-O6)*(X$4-O$4)/(T$4-O$4)+O6</f>
        <v>54.5</v>
      </c>
      <c r="Y6" s="780">
        <v>71</v>
      </c>
      <c r="Z6" s="780">
        <v>81</v>
      </c>
      <c r="AA6" s="788">
        <f t="shared" ref="AA6:AA11" si="0">(Z6-Y6)*(AA$4-Y$4)/(Z$4-Y$4)+Y6</f>
        <v>97.666666666666671</v>
      </c>
    </row>
    <row r="7" spans="1:27" ht="12" customHeight="1">
      <c r="A7" s="2591">
        <v>13</v>
      </c>
      <c r="B7" s="2592"/>
      <c r="C7" s="780">
        <v>36</v>
      </c>
      <c r="D7" s="780">
        <v>36</v>
      </c>
      <c r="E7" s="781">
        <v>37</v>
      </c>
      <c r="F7" s="780">
        <v>38</v>
      </c>
      <c r="G7" s="782">
        <v>40</v>
      </c>
      <c r="H7" s="780">
        <v>47</v>
      </c>
      <c r="I7" s="780">
        <v>49</v>
      </c>
      <c r="J7" s="781">
        <v>52</v>
      </c>
      <c r="K7" s="783">
        <f t="shared" ref="K7:K26" si="1">(N7-F7)*($K$4-$F$4)/($N$4-$F$4)+F7</f>
        <v>42.36363636363636</v>
      </c>
      <c r="L7" s="783">
        <f t="shared" ref="L7:L26" si="2">(O7-G7)*($L$4-$G$4)/($O$4-$G$4)+G7</f>
        <v>44.727272727272727</v>
      </c>
      <c r="M7" s="783">
        <f t="shared" ref="M7:M26" si="3">(P7-H7)*($M$4-$H$4)/($P$4-$H$4)+H7</f>
        <v>50.272727272727273</v>
      </c>
      <c r="N7" s="784">
        <v>50</v>
      </c>
      <c r="O7" s="785">
        <v>53</v>
      </c>
      <c r="P7" s="786">
        <v>56</v>
      </c>
      <c r="Q7" s="780">
        <v>59</v>
      </c>
      <c r="R7" s="781">
        <v>62</v>
      </c>
      <c r="S7" s="784">
        <v>56</v>
      </c>
      <c r="T7" s="780">
        <v>59</v>
      </c>
      <c r="U7" s="787">
        <v>62</v>
      </c>
      <c r="V7" s="780">
        <v>66</v>
      </c>
      <c r="W7" s="781">
        <v>69</v>
      </c>
      <c r="X7" s="788">
        <f>(T7-O7)*(X$4-O$4)/(T$4-O$4)+O7</f>
        <v>62</v>
      </c>
      <c r="Y7" s="780">
        <v>80</v>
      </c>
      <c r="Z7" s="780">
        <v>90</v>
      </c>
      <c r="AA7" s="788">
        <f t="shared" si="0"/>
        <v>106.66666666666667</v>
      </c>
    </row>
    <row r="8" spans="1:27" ht="12" customHeight="1">
      <c r="A8" s="2591">
        <v>16</v>
      </c>
      <c r="B8" s="2592"/>
      <c r="C8" s="780">
        <v>40</v>
      </c>
      <c r="D8" s="780">
        <v>40</v>
      </c>
      <c r="E8" s="781">
        <v>42</v>
      </c>
      <c r="F8" s="780">
        <v>43</v>
      </c>
      <c r="G8" s="782">
        <v>45</v>
      </c>
      <c r="H8" s="780">
        <v>52</v>
      </c>
      <c r="I8" s="780">
        <v>55</v>
      </c>
      <c r="J8" s="781">
        <v>58</v>
      </c>
      <c r="K8" s="783">
        <f t="shared" si="1"/>
        <v>47.727272727272727</v>
      </c>
      <c r="L8" s="783">
        <f t="shared" si="2"/>
        <v>49.727272727272727</v>
      </c>
      <c r="M8" s="783">
        <f t="shared" si="3"/>
        <v>55.636363636363633</v>
      </c>
      <c r="N8" s="784">
        <v>56</v>
      </c>
      <c r="O8" s="785">
        <v>58</v>
      </c>
      <c r="P8" s="786">
        <v>62</v>
      </c>
      <c r="Q8" s="780">
        <v>65</v>
      </c>
      <c r="R8" s="781">
        <v>68</v>
      </c>
      <c r="S8" s="784">
        <v>63</v>
      </c>
      <c r="T8" s="780">
        <v>65</v>
      </c>
      <c r="U8" s="787">
        <v>69</v>
      </c>
      <c r="V8" s="780">
        <v>73</v>
      </c>
      <c r="W8" s="781">
        <v>76</v>
      </c>
      <c r="X8" s="788">
        <f t="shared" ref="X8:X26" si="4">(T8-O8)*(X$4-O$4)/(T$4-O$4)+O8</f>
        <v>68.5</v>
      </c>
      <c r="Y8" s="780">
        <v>88</v>
      </c>
      <c r="Z8" s="780">
        <v>100</v>
      </c>
      <c r="AA8" s="788">
        <f t="shared" si="0"/>
        <v>120</v>
      </c>
    </row>
    <row r="9" spans="1:27" ht="12" customHeight="1">
      <c r="A9" s="2591">
        <v>19</v>
      </c>
      <c r="B9" s="2592"/>
      <c r="C9" s="780">
        <v>44</v>
      </c>
      <c r="D9" s="780">
        <v>44</v>
      </c>
      <c r="E9" s="781">
        <v>46</v>
      </c>
      <c r="F9" s="780">
        <v>47</v>
      </c>
      <c r="G9" s="782">
        <v>49</v>
      </c>
      <c r="H9" s="780">
        <v>57</v>
      </c>
      <c r="I9" s="780">
        <v>60</v>
      </c>
      <c r="J9" s="781">
        <v>63</v>
      </c>
      <c r="K9" s="783">
        <f t="shared" si="1"/>
        <v>52.454545454545453</v>
      </c>
      <c r="L9" s="783">
        <f t="shared" si="2"/>
        <v>54.454545454545453</v>
      </c>
      <c r="M9" s="783">
        <f t="shared" si="3"/>
        <v>61</v>
      </c>
      <c r="N9" s="784">
        <v>62</v>
      </c>
      <c r="O9" s="785">
        <v>64</v>
      </c>
      <c r="P9" s="786">
        <v>68</v>
      </c>
      <c r="Q9" s="780">
        <v>71</v>
      </c>
      <c r="R9" s="781">
        <v>75</v>
      </c>
      <c r="S9" s="784">
        <v>69</v>
      </c>
      <c r="T9" s="780">
        <v>72</v>
      </c>
      <c r="U9" s="787">
        <v>76</v>
      </c>
      <c r="V9" s="780">
        <v>80</v>
      </c>
      <c r="W9" s="781">
        <v>83</v>
      </c>
      <c r="X9" s="788">
        <f t="shared" si="4"/>
        <v>76</v>
      </c>
      <c r="Y9" s="780">
        <v>96</v>
      </c>
      <c r="Z9" s="780">
        <v>109</v>
      </c>
      <c r="AA9" s="788">
        <f t="shared" si="0"/>
        <v>130.66666666666666</v>
      </c>
    </row>
    <row r="10" spans="1:27" ht="12" customHeight="1">
      <c r="A10" s="2591">
        <v>22</v>
      </c>
      <c r="B10" s="2592"/>
      <c r="C10" s="780">
        <v>48</v>
      </c>
      <c r="D10" s="780">
        <v>48</v>
      </c>
      <c r="E10" s="781">
        <v>50</v>
      </c>
      <c r="F10" s="780">
        <v>51</v>
      </c>
      <c r="G10" s="782">
        <v>54</v>
      </c>
      <c r="H10" s="780">
        <v>62</v>
      </c>
      <c r="I10" s="780">
        <v>66</v>
      </c>
      <c r="J10" s="781">
        <v>69</v>
      </c>
      <c r="K10" s="783">
        <f t="shared" si="1"/>
        <v>56.81818181818182</v>
      </c>
      <c r="L10" s="783">
        <f t="shared" si="2"/>
        <v>59.81818181818182</v>
      </c>
      <c r="M10" s="783">
        <f t="shared" si="3"/>
        <v>66.36363636363636</v>
      </c>
      <c r="N10" s="784">
        <v>67</v>
      </c>
      <c r="O10" s="785">
        <v>70</v>
      </c>
      <c r="P10" s="786">
        <v>74</v>
      </c>
      <c r="Q10" s="780">
        <v>78</v>
      </c>
      <c r="R10" s="781">
        <v>82</v>
      </c>
      <c r="S10" s="784">
        <v>75</v>
      </c>
      <c r="T10" s="780">
        <v>78</v>
      </c>
      <c r="U10" s="787">
        <v>82</v>
      </c>
      <c r="V10" s="780">
        <v>87</v>
      </c>
      <c r="W10" s="781">
        <v>91</v>
      </c>
      <c r="X10" s="788">
        <f t="shared" si="4"/>
        <v>82</v>
      </c>
      <c r="Y10" s="780">
        <v>104</v>
      </c>
      <c r="Z10" s="780">
        <v>118</v>
      </c>
      <c r="AA10" s="788">
        <f t="shared" si="0"/>
        <v>141.33333333333334</v>
      </c>
    </row>
    <row r="11" spans="1:27" ht="12" customHeight="1">
      <c r="A11" s="2591">
        <v>25</v>
      </c>
      <c r="B11" s="2592"/>
      <c r="C11" s="780">
        <v>52</v>
      </c>
      <c r="D11" s="780">
        <v>52</v>
      </c>
      <c r="E11" s="781">
        <v>54</v>
      </c>
      <c r="F11" s="780">
        <v>56</v>
      </c>
      <c r="G11" s="782">
        <v>58</v>
      </c>
      <c r="H11" s="780">
        <v>67</v>
      </c>
      <c r="I11" s="780">
        <v>71</v>
      </c>
      <c r="J11" s="781">
        <v>75</v>
      </c>
      <c r="K11" s="783">
        <f t="shared" si="1"/>
        <v>62.18181818181818</v>
      </c>
      <c r="L11" s="783">
        <f t="shared" si="2"/>
        <v>64.545454545454547</v>
      </c>
      <c r="M11" s="783">
        <f t="shared" si="3"/>
        <v>71.727272727272734</v>
      </c>
      <c r="N11" s="784">
        <v>73</v>
      </c>
      <c r="O11" s="785">
        <v>76</v>
      </c>
      <c r="P11" s="786">
        <v>80</v>
      </c>
      <c r="Q11" s="780">
        <v>84</v>
      </c>
      <c r="R11" s="781">
        <v>88</v>
      </c>
      <c r="S11" s="784">
        <v>82</v>
      </c>
      <c r="T11" s="780">
        <v>85</v>
      </c>
      <c r="U11" s="787">
        <v>89</v>
      </c>
      <c r="V11" s="780">
        <v>94</v>
      </c>
      <c r="W11" s="781">
        <v>98</v>
      </c>
      <c r="X11" s="788">
        <f t="shared" si="4"/>
        <v>89.5</v>
      </c>
      <c r="Y11" s="780">
        <v>113</v>
      </c>
      <c r="Z11" s="780">
        <v>127</v>
      </c>
      <c r="AA11" s="788">
        <f t="shared" si="0"/>
        <v>150.33333333333334</v>
      </c>
    </row>
    <row r="12" spans="1:27" ht="12" customHeight="1">
      <c r="A12" s="2591">
        <v>28</v>
      </c>
      <c r="B12" s="2592"/>
      <c r="C12" s="780">
        <v>55</v>
      </c>
      <c r="D12" s="780">
        <v>57</v>
      </c>
      <c r="E12" s="781">
        <v>58</v>
      </c>
      <c r="F12" s="780">
        <v>60</v>
      </c>
      <c r="G12" s="782">
        <v>63</v>
      </c>
      <c r="H12" s="780">
        <v>73</v>
      </c>
      <c r="I12" s="780">
        <v>76</v>
      </c>
      <c r="J12" s="781">
        <v>80</v>
      </c>
      <c r="K12" s="783">
        <f t="shared" si="1"/>
        <v>66.909090909090907</v>
      </c>
      <c r="L12" s="783">
        <f t="shared" si="2"/>
        <v>69.909090909090907</v>
      </c>
      <c r="M12" s="783">
        <f t="shared" si="3"/>
        <v>77.727272727272734</v>
      </c>
      <c r="N12" s="784">
        <v>79</v>
      </c>
      <c r="O12" s="785">
        <v>82</v>
      </c>
      <c r="P12" s="786">
        <v>86</v>
      </c>
      <c r="Q12" s="780">
        <v>90</v>
      </c>
      <c r="R12" s="781">
        <v>95</v>
      </c>
      <c r="S12" s="784">
        <v>88</v>
      </c>
      <c r="T12" s="780">
        <v>91</v>
      </c>
      <c r="U12" s="787">
        <v>96</v>
      </c>
      <c r="V12" s="780">
        <v>101</v>
      </c>
      <c r="W12" s="781">
        <v>105</v>
      </c>
      <c r="X12" s="788">
        <f t="shared" si="4"/>
        <v>95.5</v>
      </c>
      <c r="Y12" s="780">
        <v>121</v>
      </c>
      <c r="Z12" s="780">
        <v>137</v>
      </c>
      <c r="AA12" s="788">
        <f t="shared" ref="AA12:AA27" si="5">(Z12-Y12)*(AA$4-Y$4)/(Z$4-Y$4)+Y12</f>
        <v>163.66666666666666</v>
      </c>
    </row>
    <row r="13" spans="1:27" ht="12" customHeight="1">
      <c r="A13" s="2591">
        <v>31</v>
      </c>
      <c r="B13" s="2592"/>
      <c r="C13" s="780">
        <v>59</v>
      </c>
      <c r="D13" s="780">
        <v>61</v>
      </c>
      <c r="E13" s="781">
        <v>63</v>
      </c>
      <c r="F13" s="780">
        <v>64</v>
      </c>
      <c r="G13" s="782">
        <v>67</v>
      </c>
      <c r="H13" s="780">
        <v>78</v>
      </c>
      <c r="I13" s="780">
        <v>82</v>
      </c>
      <c r="J13" s="781">
        <v>86</v>
      </c>
      <c r="K13" s="783">
        <f t="shared" si="1"/>
        <v>71.272727272727266</v>
      </c>
      <c r="L13" s="783">
        <f t="shared" si="2"/>
        <v>74.63636363636364</v>
      </c>
      <c r="M13" s="783">
        <f t="shared" si="3"/>
        <v>83.090909090909093</v>
      </c>
      <c r="N13" s="784">
        <v>84</v>
      </c>
      <c r="O13" s="785">
        <v>88</v>
      </c>
      <c r="P13" s="786">
        <v>92</v>
      </c>
      <c r="Q13" s="780">
        <v>97</v>
      </c>
      <c r="R13" s="781">
        <v>101</v>
      </c>
      <c r="S13" s="784">
        <v>94</v>
      </c>
      <c r="T13" s="789">
        <v>98</v>
      </c>
      <c r="U13" s="787">
        <v>103</v>
      </c>
      <c r="V13" s="780">
        <v>108</v>
      </c>
      <c r="W13" s="781">
        <v>112</v>
      </c>
      <c r="X13" s="788">
        <f t="shared" si="4"/>
        <v>103</v>
      </c>
      <c r="Y13" s="780">
        <v>129</v>
      </c>
      <c r="Z13" s="780">
        <v>146</v>
      </c>
      <c r="AA13" s="788">
        <f>(Z13-Y13)*(AA$4-Y$4)/(Z$4-Y$4)+Y13</f>
        <v>174.33333333333334</v>
      </c>
    </row>
    <row r="14" spans="1:27" ht="12" customHeight="1">
      <c r="A14" s="2591">
        <v>34</v>
      </c>
      <c r="B14" s="2592"/>
      <c r="C14" s="780">
        <v>63</v>
      </c>
      <c r="D14" s="780">
        <v>65</v>
      </c>
      <c r="E14" s="781">
        <v>67</v>
      </c>
      <c r="F14" s="780">
        <v>69</v>
      </c>
      <c r="G14" s="782">
        <v>71</v>
      </c>
      <c r="H14" s="780">
        <v>83</v>
      </c>
      <c r="I14" s="780">
        <v>87</v>
      </c>
      <c r="J14" s="781">
        <v>92</v>
      </c>
      <c r="K14" s="783">
        <f t="shared" si="1"/>
        <v>76.63636363636364</v>
      </c>
      <c r="L14" s="783">
        <f t="shared" si="2"/>
        <v>79.36363636363636</v>
      </c>
      <c r="M14" s="783">
        <f t="shared" si="3"/>
        <v>88.454545454545453</v>
      </c>
      <c r="N14" s="784">
        <v>90</v>
      </c>
      <c r="O14" s="785">
        <v>94</v>
      </c>
      <c r="P14" s="786">
        <v>98</v>
      </c>
      <c r="Q14" s="780">
        <v>103</v>
      </c>
      <c r="R14" s="781">
        <v>108</v>
      </c>
      <c r="S14" s="784">
        <v>101</v>
      </c>
      <c r="T14" s="780">
        <v>104</v>
      </c>
      <c r="U14" s="787">
        <v>110</v>
      </c>
      <c r="V14" s="780">
        <v>115</v>
      </c>
      <c r="W14" s="781">
        <v>120</v>
      </c>
      <c r="X14" s="788">
        <f t="shared" si="4"/>
        <v>109</v>
      </c>
      <c r="Y14" s="780">
        <v>138</v>
      </c>
      <c r="Z14" s="780">
        <v>155</v>
      </c>
      <c r="AA14" s="788">
        <f t="shared" si="5"/>
        <v>183.33333333333334</v>
      </c>
    </row>
    <row r="15" spans="1:27" ht="12" customHeight="1">
      <c r="A15" s="2591">
        <v>37</v>
      </c>
      <c r="B15" s="2592"/>
      <c r="C15" s="780">
        <v>67</v>
      </c>
      <c r="D15" s="780">
        <v>69</v>
      </c>
      <c r="E15" s="781">
        <v>71</v>
      </c>
      <c r="F15" s="780">
        <v>73</v>
      </c>
      <c r="G15" s="782">
        <v>76</v>
      </c>
      <c r="H15" s="780">
        <v>88</v>
      </c>
      <c r="I15" s="780">
        <v>93</v>
      </c>
      <c r="J15" s="781">
        <v>97</v>
      </c>
      <c r="K15" s="783">
        <f t="shared" si="1"/>
        <v>81</v>
      </c>
      <c r="L15" s="783">
        <f t="shared" si="2"/>
        <v>84.36363636363636</v>
      </c>
      <c r="M15" s="783">
        <f t="shared" si="3"/>
        <v>93.818181818181813</v>
      </c>
      <c r="N15" s="784">
        <v>95</v>
      </c>
      <c r="O15" s="785">
        <v>99</v>
      </c>
      <c r="P15" s="786">
        <v>104</v>
      </c>
      <c r="Q15" s="780">
        <v>109</v>
      </c>
      <c r="R15" s="781">
        <v>114</v>
      </c>
      <c r="S15" s="784">
        <v>107</v>
      </c>
      <c r="T15" s="780">
        <v>111</v>
      </c>
      <c r="U15" s="787">
        <v>116</v>
      </c>
      <c r="V15" s="780">
        <v>122</v>
      </c>
      <c r="W15" s="781">
        <v>127</v>
      </c>
      <c r="X15" s="788">
        <f t="shared" si="4"/>
        <v>117</v>
      </c>
      <c r="Y15" s="780">
        <v>146</v>
      </c>
      <c r="Z15" s="780">
        <v>165</v>
      </c>
      <c r="AA15" s="788">
        <f t="shared" si="5"/>
        <v>196.66666666666666</v>
      </c>
    </row>
    <row r="16" spans="1:27" ht="12" customHeight="1">
      <c r="A16" s="2591">
        <v>40</v>
      </c>
      <c r="B16" s="2592"/>
      <c r="C16" s="780">
        <v>71</v>
      </c>
      <c r="D16" s="780">
        <v>73</v>
      </c>
      <c r="E16" s="781">
        <v>75</v>
      </c>
      <c r="F16" s="780">
        <v>77</v>
      </c>
      <c r="G16" s="782">
        <v>80</v>
      </c>
      <c r="H16" s="780">
        <v>93</v>
      </c>
      <c r="I16" s="780">
        <v>98</v>
      </c>
      <c r="J16" s="781">
        <v>103</v>
      </c>
      <c r="K16" s="783">
        <f t="shared" si="1"/>
        <v>85.72727272727272</v>
      </c>
      <c r="L16" s="783">
        <f t="shared" si="2"/>
        <v>89.090909090909093</v>
      </c>
      <c r="M16" s="783">
        <f t="shared" si="3"/>
        <v>99.545454545454547</v>
      </c>
      <c r="N16" s="784">
        <v>101</v>
      </c>
      <c r="O16" s="785">
        <v>105</v>
      </c>
      <c r="P16" s="786">
        <v>111</v>
      </c>
      <c r="Q16" s="780">
        <v>116</v>
      </c>
      <c r="R16" s="781">
        <v>121</v>
      </c>
      <c r="S16" s="784">
        <v>113</v>
      </c>
      <c r="T16" s="789">
        <v>118</v>
      </c>
      <c r="U16" s="787">
        <v>123</v>
      </c>
      <c r="V16" s="780">
        <v>129</v>
      </c>
      <c r="W16" s="781">
        <v>134</v>
      </c>
      <c r="X16" s="788">
        <f t="shared" si="4"/>
        <v>124.5</v>
      </c>
      <c r="Y16" s="780">
        <v>154</v>
      </c>
      <c r="Z16" s="780">
        <v>174</v>
      </c>
      <c r="AA16" s="788">
        <f t="shared" si="5"/>
        <v>207.33333333333334</v>
      </c>
    </row>
    <row r="17" spans="1:111" ht="12" customHeight="1">
      <c r="A17" s="2591">
        <v>43</v>
      </c>
      <c r="B17" s="2592"/>
      <c r="C17" s="780">
        <v>75</v>
      </c>
      <c r="D17" s="780">
        <v>77</v>
      </c>
      <c r="E17" s="781">
        <v>79</v>
      </c>
      <c r="F17" s="780">
        <v>81</v>
      </c>
      <c r="G17" s="782">
        <v>85</v>
      </c>
      <c r="H17" s="780">
        <v>98</v>
      </c>
      <c r="I17" s="780">
        <v>103</v>
      </c>
      <c r="J17" s="781">
        <v>109</v>
      </c>
      <c r="K17" s="783">
        <f t="shared" si="1"/>
        <v>90.454545454545453</v>
      </c>
      <c r="L17" s="783">
        <f t="shared" si="2"/>
        <v>94.454545454545453</v>
      </c>
      <c r="M17" s="783">
        <f t="shared" si="3"/>
        <v>104.90909090909091</v>
      </c>
      <c r="N17" s="784">
        <v>107</v>
      </c>
      <c r="O17" s="785">
        <v>111</v>
      </c>
      <c r="P17" s="786">
        <v>117</v>
      </c>
      <c r="Q17" s="780">
        <v>122</v>
      </c>
      <c r="R17" s="781">
        <v>128</v>
      </c>
      <c r="S17" s="784">
        <v>120</v>
      </c>
      <c r="T17" s="780">
        <v>124</v>
      </c>
      <c r="U17" s="787">
        <v>130</v>
      </c>
      <c r="V17" s="780">
        <v>136</v>
      </c>
      <c r="W17" s="781">
        <v>142</v>
      </c>
      <c r="X17" s="788">
        <f t="shared" si="4"/>
        <v>130.5</v>
      </c>
      <c r="Y17" s="780">
        <v>162</v>
      </c>
      <c r="Z17" s="780">
        <v>183</v>
      </c>
      <c r="AA17" s="788">
        <f t="shared" si="5"/>
        <v>218</v>
      </c>
    </row>
    <row r="18" spans="1:111" ht="12" customHeight="1">
      <c r="A18" s="2591">
        <v>46</v>
      </c>
      <c r="B18" s="2592"/>
      <c r="C18" s="780">
        <v>79</v>
      </c>
      <c r="D18" s="780">
        <v>81</v>
      </c>
      <c r="E18" s="781">
        <v>83</v>
      </c>
      <c r="F18" s="1442">
        <v>86</v>
      </c>
      <c r="G18" s="782">
        <v>89</v>
      </c>
      <c r="H18" s="780">
        <v>104</v>
      </c>
      <c r="I18" s="780">
        <v>109</v>
      </c>
      <c r="J18" s="781">
        <v>114</v>
      </c>
      <c r="K18" s="783">
        <f t="shared" si="1"/>
        <v>95.818181818181813</v>
      </c>
      <c r="L18" s="783">
        <f t="shared" si="2"/>
        <v>99.181818181818187</v>
      </c>
      <c r="M18" s="783">
        <f t="shared" si="3"/>
        <v>110.90909090909091</v>
      </c>
      <c r="N18" s="1441">
        <v>113</v>
      </c>
      <c r="O18" s="785">
        <v>117</v>
      </c>
      <c r="P18" s="786">
        <v>123</v>
      </c>
      <c r="Q18" s="780">
        <v>128</v>
      </c>
      <c r="R18" s="781">
        <v>134</v>
      </c>
      <c r="S18" s="784">
        <v>126</v>
      </c>
      <c r="T18" s="780">
        <v>131</v>
      </c>
      <c r="U18" s="787">
        <v>137</v>
      </c>
      <c r="V18" s="780">
        <v>143</v>
      </c>
      <c r="W18" s="781">
        <v>149</v>
      </c>
      <c r="X18" s="788">
        <f t="shared" si="4"/>
        <v>138</v>
      </c>
      <c r="Y18" s="780">
        <v>171</v>
      </c>
      <c r="Z18" s="780">
        <v>193</v>
      </c>
      <c r="AA18" s="788">
        <f t="shared" si="5"/>
        <v>229.66666666666666</v>
      </c>
    </row>
    <row r="19" spans="1:111" ht="12" customHeight="1">
      <c r="A19" s="2591">
        <v>48</v>
      </c>
      <c r="B19" s="2592"/>
      <c r="C19" s="780">
        <v>82</v>
      </c>
      <c r="D19" s="780">
        <v>84</v>
      </c>
      <c r="E19" s="781">
        <v>86</v>
      </c>
      <c r="F19" s="780">
        <v>89</v>
      </c>
      <c r="G19" s="782">
        <v>92</v>
      </c>
      <c r="H19" s="780">
        <v>107</v>
      </c>
      <c r="I19" s="780">
        <v>113</v>
      </c>
      <c r="J19" s="781">
        <v>118</v>
      </c>
      <c r="K19" s="783">
        <f t="shared" si="1"/>
        <v>98.818181818181813</v>
      </c>
      <c r="L19" s="783">
        <f t="shared" si="2"/>
        <v>102.54545454545455</v>
      </c>
      <c r="M19" s="783">
        <f t="shared" si="3"/>
        <v>114.27272727272727</v>
      </c>
      <c r="N19" s="784">
        <v>116</v>
      </c>
      <c r="O19" s="785">
        <v>121</v>
      </c>
      <c r="P19" s="786">
        <v>127</v>
      </c>
      <c r="Q19" s="780">
        <v>133</v>
      </c>
      <c r="R19" s="781">
        <v>139</v>
      </c>
      <c r="S19" s="784">
        <v>130</v>
      </c>
      <c r="T19" s="789">
        <v>135</v>
      </c>
      <c r="U19" s="787">
        <v>141</v>
      </c>
      <c r="V19" s="780">
        <v>147</v>
      </c>
      <c r="W19" s="781">
        <v>154</v>
      </c>
      <c r="X19" s="788">
        <f t="shared" si="4"/>
        <v>142</v>
      </c>
      <c r="Y19" s="780">
        <v>176</v>
      </c>
      <c r="Z19" s="780">
        <v>199</v>
      </c>
      <c r="AA19" s="788">
        <f t="shared" si="5"/>
        <v>237.33333333333334</v>
      </c>
    </row>
    <row r="20" spans="1:111" ht="12" customHeight="1">
      <c r="A20" s="2591">
        <v>52</v>
      </c>
      <c r="B20" s="2592"/>
      <c r="C20" s="780">
        <v>87</v>
      </c>
      <c r="D20" s="780">
        <v>89</v>
      </c>
      <c r="E20" s="781">
        <v>92</v>
      </c>
      <c r="F20" s="780">
        <v>94</v>
      </c>
      <c r="G20" s="782">
        <v>98</v>
      </c>
      <c r="H20" s="780">
        <v>114</v>
      </c>
      <c r="I20" s="780">
        <v>120</v>
      </c>
      <c r="J20" s="781">
        <v>126</v>
      </c>
      <c r="K20" s="783">
        <f t="shared" si="1"/>
        <v>104.90909090909091</v>
      </c>
      <c r="L20" s="783">
        <f t="shared" si="2"/>
        <v>109.27272727272728</v>
      </c>
      <c r="M20" s="783">
        <f t="shared" si="3"/>
        <v>121.63636363636364</v>
      </c>
      <c r="N20" s="784">
        <v>124</v>
      </c>
      <c r="O20" s="785">
        <v>129</v>
      </c>
      <c r="P20" s="786">
        <v>135</v>
      </c>
      <c r="Q20" s="780">
        <v>141</v>
      </c>
      <c r="R20" s="781">
        <v>147</v>
      </c>
      <c r="S20" s="784">
        <v>139</v>
      </c>
      <c r="T20" s="780">
        <v>144</v>
      </c>
      <c r="U20" s="787">
        <v>150</v>
      </c>
      <c r="V20" s="780">
        <v>157</v>
      </c>
      <c r="W20" s="781">
        <v>163</v>
      </c>
      <c r="X20" s="788">
        <f t="shared" si="4"/>
        <v>151.5</v>
      </c>
      <c r="Y20" s="780">
        <v>187</v>
      </c>
      <c r="Z20" s="780">
        <v>211</v>
      </c>
      <c r="AA20" s="788">
        <f t="shared" si="5"/>
        <v>251</v>
      </c>
    </row>
    <row r="21" spans="1:111" ht="12" customHeight="1">
      <c r="A21" s="2591">
        <v>55</v>
      </c>
      <c r="B21" s="2592"/>
      <c r="C21" s="780">
        <v>91</v>
      </c>
      <c r="D21" s="780">
        <v>93</v>
      </c>
      <c r="E21" s="781">
        <v>96</v>
      </c>
      <c r="F21" s="780">
        <v>99</v>
      </c>
      <c r="G21" s="782">
        <v>103</v>
      </c>
      <c r="H21" s="780">
        <v>119</v>
      </c>
      <c r="I21" s="780">
        <v>125</v>
      </c>
      <c r="J21" s="781">
        <v>131</v>
      </c>
      <c r="K21" s="783">
        <f t="shared" si="1"/>
        <v>110.27272727272728</v>
      </c>
      <c r="L21" s="783">
        <f t="shared" si="2"/>
        <v>114.63636363636364</v>
      </c>
      <c r="M21" s="783">
        <f t="shared" si="3"/>
        <v>127</v>
      </c>
      <c r="N21" s="784">
        <v>130</v>
      </c>
      <c r="O21" s="785">
        <v>135</v>
      </c>
      <c r="P21" s="786">
        <v>141</v>
      </c>
      <c r="Q21" s="780">
        <v>148</v>
      </c>
      <c r="R21" s="781">
        <v>154</v>
      </c>
      <c r="S21" s="784">
        <v>145</v>
      </c>
      <c r="T21" s="780">
        <v>150</v>
      </c>
      <c r="U21" s="787">
        <v>157</v>
      </c>
      <c r="V21" s="780">
        <v>164</v>
      </c>
      <c r="W21" s="781">
        <v>171</v>
      </c>
      <c r="X21" s="788">
        <f t="shared" si="4"/>
        <v>157.5</v>
      </c>
      <c r="Y21" s="780">
        <v>196</v>
      </c>
      <c r="Z21" s="780">
        <v>220</v>
      </c>
      <c r="AA21" s="788">
        <f t="shared" si="5"/>
        <v>260</v>
      </c>
    </row>
    <row r="22" spans="1:111" ht="12" customHeight="1">
      <c r="A22" s="2591">
        <v>58</v>
      </c>
      <c r="B22" s="2592"/>
      <c r="C22" s="780">
        <v>95</v>
      </c>
      <c r="D22" s="780">
        <v>97</v>
      </c>
      <c r="E22" s="781">
        <v>100</v>
      </c>
      <c r="F22" s="780">
        <v>103</v>
      </c>
      <c r="G22" s="782">
        <v>107</v>
      </c>
      <c r="H22" s="780">
        <v>124</v>
      </c>
      <c r="I22" s="780">
        <v>131</v>
      </c>
      <c r="J22" s="781">
        <v>137</v>
      </c>
      <c r="K22" s="783">
        <f t="shared" si="1"/>
        <v>114.63636363636364</v>
      </c>
      <c r="L22" s="783">
        <f t="shared" si="2"/>
        <v>119</v>
      </c>
      <c r="M22" s="783">
        <f t="shared" si="3"/>
        <v>132.36363636363637</v>
      </c>
      <c r="N22" s="784">
        <v>135</v>
      </c>
      <c r="O22" s="785">
        <v>140</v>
      </c>
      <c r="P22" s="786">
        <v>147</v>
      </c>
      <c r="Q22" s="780">
        <v>154</v>
      </c>
      <c r="R22" s="781">
        <v>161</v>
      </c>
      <c r="S22" s="784">
        <v>151</v>
      </c>
      <c r="T22" s="789">
        <v>157</v>
      </c>
      <c r="U22" s="787">
        <v>164</v>
      </c>
      <c r="V22" s="780">
        <v>171</v>
      </c>
      <c r="W22" s="781">
        <v>178</v>
      </c>
      <c r="X22" s="788">
        <f t="shared" si="4"/>
        <v>165.5</v>
      </c>
      <c r="Y22" s="780">
        <v>204</v>
      </c>
      <c r="Z22" s="780">
        <v>230</v>
      </c>
      <c r="AA22" s="788">
        <f t="shared" si="5"/>
        <v>273.33333333333331</v>
      </c>
    </row>
    <row r="23" spans="1:111" ht="12" customHeight="1">
      <c r="A23" s="2591">
        <v>61</v>
      </c>
      <c r="B23" s="2592"/>
      <c r="C23" s="780">
        <v>99</v>
      </c>
      <c r="D23" s="780">
        <v>101</v>
      </c>
      <c r="E23" s="781">
        <v>104</v>
      </c>
      <c r="F23" s="780">
        <v>107</v>
      </c>
      <c r="G23" s="782">
        <v>112</v>
      </c>
      <c r="H23" s="780">
        <v>129</v>
      </c>
      <c r="I23" s="780">
        <v>136</v>
      </c>
      <c r="J23" s="781">
        <v>142</v>
      </c>
      <c r="K23" s="783">
        <f t="shared" si="1"/>
        <v>119.36363636363636</v>
      </c>
      <c r="L23" s="783">
        <f t="shared" si="2"/>
        <v>124.36363636363636</v>
      </c>
      <c r="M23" s="783">
        <f t="shared" si="3"/>
        <v>137.72727272727272</v>
      </c>
      <c r="N23" s="784">
        <v>141</v>
      </c>
      <c r="O23" s="785">
        <v>146</v>
      </c>
      <c r="P23" s="786">
        <v>153</v>
      </c>
      <c r="Q23" s="780">
        <v>160</v>
      </c>
      <c r="R23" s="781">
        <v>167</v>
      </c>
      <c r="S23" s="784">
        <v>158</v>
      </c>
      <c r="T23" s="780">
        <v>163</v>
      </c>
      <c r="U23" s="787">
        <v>171</v>
      </c>
      <c r="V23" s="780">
        <v>178</v>
      </c>
      <c r="W23" s="781">
        <v>185</v>
      </c>
      <c r="X23" s="788">
        <f t="shared" si="4"/>
        <v>171.5</v>
      </c>
      <c r="Y23" s="780">
        <v>212</v>
      </c>
      <c r="Z23" s="780">
        <v>239</v>
      </c>
      <c r="AA23" s="788">
        <f t="shared" si="5"/>
        <v>284</v>
      </c>
    </row>
    <row r="24" spans="1:111" ht="12" customHeight="1">
      <c r="A24" s="2591">
        <v>64</v>
      </c>
      <c r="B24" s="2592"/>
      <c r="C24" s="780">
        <v>103</v>
      </c>
      <c r="D24" s="780">
        <v>105</v>
      </c>
      <c r="E24" s="781">
        <v>109</v>
      </c>
      <c r="F24" s="780">
        <v>112</v>
      </c>
      <c r="G24" s="782">
        <v>116</v>
      </c>
      <c r="H24" s="780">
        <v>135</v>
      </c>
      <c r="I24" s="780">
        <v>141</v>
      </c>
      <c r="J24" s="781">
        <v>148</v>
      </c>
      <c r="K24" s="783">
        <f t="shared" si="1"/>
        <v>124.72727272727272</v>
      </c>
      <c r="L24" s="783">
        <f t="shared" si="2"/>
        <v>129.09090909090909</v>
      </c>
      <c r="M24" s="783">
        <f t="shared" si="3"/>
        <v>143.72727272727272</v>
      </c>
      <c r="N24" s="784">
        <v>147</v>
      </c>
      <c r="O24" s="785">
        <v>152</v>
      </c>
      <c r="P24" s="786">
        <v>159</v>
      </c>
      <c r="Q24" s="780">
        <v>167</v>
      </c>
      <c r="R24" s="781">
        <v>174</v>
      </c>
      <c r="S24" s="784">
        <v>164</v>
      </c>
      <c r="T24" s="780">
        <v>170</v>
      </c>
      <c r="U24" s="787">
        <v>177</v>
      </c>
      <c r="V24" s="780">
        <v>185</v>
      </c>
      <c r="W24" s="781">
        <v>192</v>
      </c>
      <c r="X24" s="788">
        <f t="shared" si="4"/>
        <v>179</v>
      </c>
      <c r="Y24" s="780">
        <v>220</v>
      </c>
      <c r="Z24" s="780">
        <v>246</v>
      </c>
      <c r="AA24" s="788">
        <f t="shared" si="5"/>
        <v>289.33333333333331</v>
      </c>
    </row>
    <row r="25" spans="1:111" ht="12" customHeight="1">
      <c r="A25" s="2591">
        <v>67</v>
      </c>
      <c r="B25" s="2592"/>
      <c r="C25" s="780">
        <v>107</v>
      </c>
      <c r="D25" s="780">
        <v>109</v>
      </c>
      <c r="E25" s="781">
        <v>113</v>
      </c>
      <c r="F25" s="780">
        <v>116</v>
      </c>
      <c r="G25" s="782">
        <v>121</v>
      </c>
      <c r="H25" s="780">
        <v>140</v>
      </c>
      <c r="I25" s="780">
        <v>147</v>
      </c>
      <c r="J25" s="781">
        <v>154</v>
      </c>
      <c r="K25" s="783">
        <f t="shared" si="1"/>
        <v>129.09090909090909</v>
      </c>
      <c r="L25" s="783">
        <f t="shared" si="2"/>
        <v>134.45454545454547</v>
      </c>
      <c r="M25" s="783">
        <f t="shared" si="3"/>
        <v>149.09090909090909</v>
      </c>
      <c r="N25" s="784">
        <v>152</v>
      </c>
      <c r="O25" s="785">
        <v>158</v>
      </c>
      <c r="P25" s="786">
        <v>165</v>
      </c>
      <c r="Q25" s="780">
        <v>173</v>
      </c>
      <c r="R25" s="781">
        <v>180</v>
      </c>
      <c r="S25" s="784">
        <v>170</v>
      </c>
      <c r="T25" s="780">
        <v>176</v>
      </c>
      <c r="U25" s="787">
        <v>184</v>
      </c>
      <c r="V25" s="780">
        <v>192</v>
      </c>
      <c r="W25" s="781">
        <v>200</v>
      </c>
      <c r="X25" s="788">
        <f t="shared" si="4"/>
        <v>185</v>
      </c>
      <c r="Y25" s="780">
        <v>229</v>
      </c>
      <c r="Z25" s="780">
        <v>258</v>
      </c>
      <c r="AA25" s="788">
        <f t="shared" si="5"/>
        <v>306.33333333333331</v>
      </c>
    </row>
    <row r="26" spans="1:111" ht="12" customHeight="1">
      <c r="A26" s="2587">
        <v>70</v>
      </c>
      <c r="B26" s="2592"/>
      <c r="C26" s="790">
        <v>111</v>
      </c>
      <c r="D26" s="790">
        <v>113</v>
      </c>
      <c r="E26" s="791">
        <v>117</v>
      </c>
      <c r="F26" s="790">
        <v>120</v>
      </c>
      <c r="G26" s="792">
        <v>125</v>
      </c>
      <c r="H26" s="790">
        <v>145</v>
      </c>
      <c r="I26" s="790">
        <v>152</v>
      </c>
      <c r="J26" s="791">
        <v>159</v>
      </c>
      <c r="K26" s="783">
        <f t="shared" si="1"/>
        <v>133.09090909090909</v>
      </c>
      <c r="L26" s="783">
        <f t="shared" si="2"/>
        <v>139.18181818181819</v>
      </c>
      <c r="M26" s="783">
        <f t="shared" si="3"/>
        <v>154.81818181818181</v>
      </c>
      <c r="N26" s="793">
        <v>156</v>
      </c>
      <c r="O26" s="794">
        <v>164</v>
      </c>
      <c r="P26" s="795">
        <v>172</v>
      </c>
      <c r="Q26" s="790">
        <v>179</v>
      </c>
      <c r="R26" s="791">
        <v>187</v>
      </c>
      <c r="S26" s="793">
        <v>177</v>
      </c>
      <c r="T26" s="790">
        <v>183</v>
      </c>
      <c r="U26" s="796">
        <v>191</v>
      </c>
      <c r="V26" s="790">
        <v>199</v>
      </c>
      <c r="W26" s="791">
        <v>207</v>
      </c>
      <c r="X26" s="788">
        <f t="shared" si="4"/>
        <v>192.5</v>
      </c>
      <c r="Y26" s="790">
        <v>237</v>
      </c>
      <c r="Z26" s="790">
        <v>267</v>
      </c>
      <c r="AA26" s="788">
        <f t="shared" si="5"/>
        <v>317</v>
      </c>
    </row>
    <row r="27" spans="1:111" ht="12" customHeight="1">
      <c r="A27" s="2589">
        <v>73</v>
      </c>
      <c r="B27" s="2590"/>
      <c r="C27" s="797">
        <f>(C25-C26)*($A$27-$A$26)/($A$25-$A$26)+C26</f>
        <v>115</v>
      </c>
      <c r="D27" s="797">
        <f t="shared" ref="D27:Z27" si="6">(D25-D26)*($A$27-$A$26)/($A$25-$A$26)+D26</f>
        <v>117</v>
      </c>
      <c r="E27" s="797">
        <f t="shared" si="6"/>
        <v>121</v>
      </c>
      <c r="F27" s="797">
        <f t="shared" si="6"/>
        <v>124</v>
      </c>
      <c r="G27" s="797">
        <f t="shared" si="6"/>
        <v>129</v>
      </c>
      <c r="H27" s="797">
        <f t="shared" si="6"/>
        <v>150</v>
      </c>
      <c r="I27" s="797">
        <f t="shared" si="6"/>
        <v>157</v>
      </c>
      <c r="J27" s="797">
        <f t="shared" si="6"/>
        <v>164</v>
      </c>
      <c r="K27" s="797">
        <f t="shared" si="6"/>
        <v>137.09090909090909</v>
      </c>
      <c r="L27" s="797">
        <f t="shared" si="6"/>
        <v>143.90909090909091</v>
      </c>
      <c r="M27" s="797">
        <f t="shared" si="6"/>
        <v>160.54545454545453</v>
      </c>
      <c r="N27" s="797">
        <f t="shared" si="6"/>
        <v>160</v>
      </c>
      <c r="O27" s="797">
        <f t="shared" si="6"/>
        <v>170</v>
      </c>
      <c r="P27" s="797">
        <f t="shared" si="6"/>
        <v>179</v>
      </c>
      <c r="Q27" s="797">
        <f t="shared" si="6"/>
        <v>185</v>
      </c>
      <c r="R27" s="797">
        <f t="shared" si="6"/>
        <v>194</v>
      </c>
      <c r="S27" s="797">
        <f t="shared" si="6"/>
        <v>184</v>
      </c>
      <c r="T27" s="797">
        <f t="shared" si="6"/>
        <v>190</v>
      </c>
      <c r="U27" s="797">
        <f t="shared" si="6"/>
        <v>198</v>
      </c>
      <c r="V27" s="797">
        <f t="shared" si="6"/>
        <v>206</v>
      </c>
      <c r="W27" s="797">
        <f t="shared" si="6"/>
        <v>214</v>
      </c>
      <c r="X27" s="798">
        <f t="shared" si="6"/>
        <v>200</v>
      </c>
      <c r="Y27" s="797">
        <f t="shared" si="6"/>
        <v>245</v>
      </c>
      <c r="Z27" s="797">
        <f t="shared" si="6"/>
        <v>276</v>
      </c>
      <c r="AA27" s="798">
        <f t="shared" si="5"/>
        <v>327.66666666666669</v>
      </c>
      <c r="DC27"/>
      <c r="DD27"/>
      <c r="DE27"/>
      <c r="DF27"/>
      <c r="DG27"/>
    </row>
    <row r="28" spans="1:111" s="102" customFormat="1" ht="12" customHeight="1" thickBot="1">
      <c r="A28" s="766"/>
      <c r="B28" s="766"/>
      <c r="C28" s="766"/>
      <c r="D28" s="766"/>
      <c r="E28" s="766"/>
      <c r="F28" s="766"/>
      <c r="G28" s="766"/>
      <c r="H28" s="766"/>
      <c r="I28" s="766"/>
      <c r="J28" s="766"/>
      <c r="K28" s="766"/>
      <c r="L28" s="766"/>
      <c r="M28" s="766"/>
      <c r="N28" s="767"/>
      <c r="O28" s="767"/>
      <c r="P28" s="767"/>
      <c r="Q28" s="767"/>
      <c r="R28" s="767"/>
      <c r="S28" s="767"/>
      <c r="T28" s="767"/>
      <c r="U28" s="767"/>
      <c r="V28" s="767"/>
      <c r="W28" s="767"/>
      <c r="X28" s="767"/>
      <c r="Y28" s="767"/>
      <c r="Z28" s="767"/>
      <c r="AA28" s="767"/>
    </row>
    <row r="29" spans="1:111" s="102" customFormat="1" ht="17.25" customHeight="1" thickBot="1">
      <c r="A29" s="2584" t="s">
        <v>458</v>
      </c>
      <c r="B29" s="2585"/>
      <c r="C29" s="766"/>
      <c r="D29" s="766"/>
      <c r="E29" s="766"/>
      <c r="F29" s="766"/>
      <c r="G29" s="766"/>
      <c r="H29" s="766"/>
      <c r="I29" s="766"/>
      <c r="J29" s="766"/>
      <c r="K29" s="767"/>
      <c r="L29" s="767"/>
      <c r="M29" s="767" t="s">
        <v>1391</v>
      </c>
      <c r="N29" s="767"/>
      <c r="O29" s="767"/>
      <c r="P29" s="767"/>
      <c r="Q29" s="767"/>
      <c r="R29" s="767" t="s">
        <v>1391</v>
      </c>
      <c r="S29" s="767" t="s">
        <v>1391</v>
      </c>
      <c r="T29" s="767" t="s">
        <v>1391</v>
      </c>
      <c r="U29" s="767" t="s">
        <v>1391</v>
      </c>
      <c r="V29" s="767"/>
      <c r="W29" s="767"/>
      <c r="X29" s="767" t="s">
        <v>1391</v>
      </c>
      <c r="Y29" s="767"/>
      <c r="Z29" s="767"/>
      <c r="AA29" s="767"/>
    </row>
    <row r="30" spans="1:111" s="102" customFormat="1" ht="12" customHeight="1">
      <c r="A30" s="2598" t="s">
        <v>720</v>
      </c>
      <c r="B30" s="2598"/>
      <c r="C30" s="768">
        <v>4.5</v>
      </c>
      <c r="D30" s="768">
        <v>6</v>
      </c>
      <c r="E30" s="768">
        <v>8</v>
      </c>
      <c r="F30" s="768">
        <v>10</v>
      </c>
      <c r="G30" s="768">
        <v>12</v>
      </c>
      <c r="H30" s="768">
        <v>4.5</v>
      </c>
      <c r="I30" s="768">
        <v>6</v>
      </c>
      <c r="J30" s="768">
        <v>8</v>
      </c>
      <c r="K30" s="768">
        <v>10</v>
      </c>
      <c r="L30" s="768">
        <v>12</v>
      </c>
      <c r="M30" s="770">
        <v>5</v>
      </c>
      <c r="N30" s="768">
        <v>6</v>
      </c>
      <c r="O30" s="768">
        <v>8</v>
      </c>
      <c r="P30" s="768">
        <v>10</v>
      </c>
      <c r="Q30" s="768">
        <v>12</v>
      </c>
      <c r="R30" s="770">
        <v>6</v>
      </c>
      <c r="S30" s="770">
        <v>8</v>
      </c>
      <c r="T30" s="770">
        <v>8</v>
      </c>
      <c r="U30" s="770">
        <v>8</v>
      </c>
      <c r="V30" s="768">
        <v>12</v>
      </c>
      <c r="W30" s="768">
        <v>12</v>
      </c>
      <c r="X30" s="770">
        <v>12</v>
      </c>
      <c r="Y30" s="767"/>
      <c r="Z30" s="767"/>
      <c r="AA30" s="767"/>
    </row>
    <row r="31" spans="1:111" s="102" customFormat="1" ht="12" customHeight="1">
      <c r="A31" s="2599" t="s">
        <v>721</v>
      </c>
      <c r="B31" s="2599"/>
      <c r="C31" s="799">
        <v>16.5</v>
      </c>
      <c r="D31" s="799">
        <v>16.5</v>
      </c>
      <c r="E31" s="799">
        <v>16.5</v>
      </c>
      <c r="F31" s="799">
        <v>16.5</v>
      </c>
      <c r="G31" s="799">
        <v>16.5</v>
      </c>
      <c r="H31" s="799">
        <v>20</v>
      </c>
      <c r="I31" s="799">
        <v>20</v>
      </c>
      <c r="J31" s="799">
        <v>20</v>
      </c>
      <c r="K31" s="799">
        <v>20</v>
      </c>
      <c r="L31" s="799">
        <v>20</v>
      </c>
      <c r="M31" s="774">
        <v>24</v>
      </c>
      <c r="N31" s="799">
        <v>24</v>
      </c>
      <c r="O31" s="799">
        <v>24</v>
      </c>
      <c r="P31" s="799">
        <v>24</v>
      </c>
      <c r="Q31" s="799">
        <v>24</v>
      </c>
      <c r="R31" s="774">
        <v>26</v>
      </c>
      <c r="S31" s="774">
        <v>26</v>
      </c>
      <c r="T31" s="774">
        <v>30</v>
      </c>
      <c r="U31" s="774">
        <v>50</v>
      </c>
      <c r="V31" s="799">
        <v>30</v>
      </c>
      <c r="W31" s="799">
        <v>36</v>
      </c>
      <c r="X31" s="774">
        <v>46</v>
      </c>
      <c r="Y31" s="767"/>
      <c r="Z31" s="767"/>
      <c r="AA31" s="767"/>
    </row>
    <row r="32" spans="1:111" s="102" customFormat="1" ht="12" customHeight="1">
      <c r="A32" s="2588" t="s">
        <v>722</v>
      </c>
      <c r="B32" s="2588"/>
      <c r="C32" s="775"/>
      <c r="D32" s="775"/>
      <c r="E32" s="775"/>
      <c r="F32" s="775"/>
      <c r="G32" s="775"/>
      <c r="H32" s="775"/>
      <c r="I32" s="775"/>
      <c r="J32" s="775"/>
      <c r="K32" s="775"/>
      <c r="L32" s="775"/>
      <c r="M32" s="775"/>
      <c r="N32" s="775"/>
      <c r="O32" s="775"/>
      <c r="P32" s="775"/>
      <c r="Q32" s="775"/>
      <c r="R32" s="775"/>
      <c r="S32" s="775"/>
      <c r="T32" s="775"/>
      <c r="U32" s="775"/>
      <c r="V32" s="775"/>
      <c r="W32" s="775"/>
      <c r="X32" s="775"/>
      <c r="Y32" s="767"/>
      <c r="Z32" s="767"/>
      <c r="AA32" s="767"/>
    </row>
    <row r="33" spans="1:34" s="102" customFormat="1" ht="12" customHeight="1">
      <c r="A33" s="2600">
        <v>17.5</v>
      </c>
      <c r="B33" s="2601"/>
      <c r="C33" s="780">
        <v>87</v>
      </c>
      <c r="D33" s="780">
        <v>91</v>
      </c>
      <c r="E33" s="780">
        <v>98</v>
      </c>
      <c r="F33" s="780">
        <v>104</v>
      </c>
      <c r="G33" s="780">
        <v>110</v>
      </c>
      <c r="H33" s="780">
        <v>96</v>
      </c>
      <c r="I33" s="780">
        <v>102</v>
      </c>
      <c r="J33" s="780">
        <v>109</v>
      </c>
      <c r="K33" s="780">
        <v>116</v>
      </c>
      <c r="L33" s="780">
        <v>123</v>
      </c>
      <c r="M33" s="783">
        <f t="shared" ref="M33:M49" si="7">(N33-O33)*($M$30-$N$30)/($N$30-$O$30)+N33</f>
        <v>110.5</v>
      </c>
      <c r="N33" s="780">
        <v>114</v>
      </c>
      <c r="O33" s="780">
        <v>121</v>
      </c>
      <c r="P33" s="780">
        <v>129</v>
      </c>
      <c r="Q33" s="780">
        <v>137</v>
      </c>
      <c r="R33" s="788">
        <f t="shared" ref="R33:R49" si="8">($R$31-$N$31)*(N33-I33)/($N$31-$I$31)+N33</f>
        <v>120</v>
      </c>
      <c r="S33" s="788">
        <f t="shared" ref="S33:S49" si="9">($S$31-$O$31)*(O33-J33)/($O$31-$J$31)+O33</f>
        <v>127</v>
      </c>
      <c r="T33" s="788">
        <f t="shared" ref="T33:T49" si="10">(S33-O33)*($T$31-$S$31)/($S$31-$O$31)+S33</f>
        <v>139</v>
      </c>
      <c r="U33" s="788">
        <f t="shared" ref="U33:U51" si="11">(T33-S33)*($U$31-$T$31)/($T$31-$S$31)+T33</f>
        <v>199</v>
      </c>
      <c r="V33" s="780">
        <v>159</v>
      </c>
      <c r="W33" s="780">
        <v>180</v>
      </c>
      <c r="X33" s="788">
        <f t="shared" ref="X33:X49" si="12">(W33-V33)*($X$31-$W$31)/($W$31-$V$31)+W33</f>
        <v>215</v>
      </c>
      <c r="Y33" s="767"/>
      <c r="Z33" s="321" t="s">
        <v>1164</v>
      </c>
      <c r="AF33" s="766"/>
      <c r="AG33" s="766"/>
      <c r="AH33" s="766"/>
    </row>
    <row r="34" spans="1:34" s="102" customFormat="1" ht="12" customHeight="1">
      <c r="A34" s="2586">
        <v>20.5</v>
      </c>
      <c r="B34" s="2587"/>
      <c r="C34" s="780">
        <v>94</v>
      </c>
      <c r="D34" s="780">
        <v>99</v>
      </c>
      <c r="E34" s="780">
        <v>105</v>
      </c>
      <c r="F34" s="780">
        <v>112</v>
      </c>
      <c r="G34" s="780">
        <v>119</v>
      </c>
      <c r="H34" s="780">
        <v>104</v>
      </c>
      <c r="I34" s="780">
        <v>110</v>
      </c>
      <c r="J34" s="780">
        <v>117</v>
      </c>
      <c r="K34" s="780">
        <v>124</v>
      </c>
      <c r="L34" s="780">
        <v>132</v>
      </c>
      <c r="M34" s="783">
        <f t="shared" si="7"/>
        <v>118</v>
      </c>
      <c r="N34" s="780">
        <v>122</v>
      </c>
      <c r="O34" s="780">
        <v>130</v>
      </c>
      <c r="P34" s="780">
        <v>139</v>
      </c>
      <c r="Q34" s="780">
        <v>147</v>
      </c>
      <c r="R34" s="783">
        <f t="shared" si="8"/>
        <v>128</v>
      </c>
      <c r="S34" s="783">
        <f t="shared" si="9"/>
        <v>136.5</v>
      </c>
      <c r="T34" s="783">
        <f t="shared" si="10"/>
        <v>149.5</v>
      </c>
      <c r="U34" s="783">
        <f t="shared" si="11"/>
        <v>214.5</v>
      </c>
      <c r="V34" s="780">
        <v>170</v>
      </c>
      <c r="W34" s="780">
        <v>192</v>
      </c>
      <c r="X34" s="783">
        <f t="shared" si="12"/>
        <v>228.66666666666666</v>
      </c>
      <c r="Y34" s="767"/>
      <c r="Z34" s="882" t="s">
        <v>732</v>
      </c>
      <c r="AA34" s="883"/>
      <c r="AB34" s="884" t="s">
        <v>1163</v>
      </c>
      <c r="AC34" s="884"/>
      <c r="AD34" s="884"/>
      <c r="AE34" s="884"/>
      <c r="AF34" s="884"/>
      <c r="AG34" s="884"/>
      <c r="AH34" s="885"/>
    </row>
    <row r="35" spans="1:34" s="102" customFormat="1" ht="12" customHeight="1">
      <c r="A35" s="2586">
        <v>23.5</v>
      </c>
      <c r="B35" s="2587"/>
      <c r="C35" s="780">
        <v>100</v>
      </c>
      <c r="D35" s="780">
        <v>106</v>
      </c>
      <c r="E35" s="780">
        <v>113</v>
      </c>
      <c r="F35" s="780">
        <v>120</v>
      </c>
      <c r="G35" s="780">
        <v>127</v>
      </c>
      <c r="H35" s="780">
        <v>112</v>
      </c>
      <c r="I35" s="780">
        <v>118</v>
      </c>
      <c r="J35" s="780">
        <v>125</v>
      </c>
      <c r="K35" s="780">
        <v>133</v>
      </c>
      <c r="L35" s="780">
        <v>141</v>
      </c>
      <c r="M35" s="783">
        <f t="shared" si="7"/>
        <v>126.5</v>
      </c>
      <c r="N35" s="780">
        <v>131</v>
      </c>
      <c r="O35" s="780">
        <v>140</v>
      </c>
      <c r="P35" s="780">
        <v>148</v>
      </c>
      <c r="Q35" s="780">
        <v>157</v>
      </c>
      <c r="R35" s="783">
        <f t="shared" si="8"/>
        <v>137.5</v>
      </c>
      <c r="S35" s="783">
        <f t="shared" si="9"/>
        <v>147.5</v>
      </c>
      <c r="T35" s="783">
        <f t="shared" si="10"/>
        <v>162.5</v>
      </c>
      <c r="U35" s="783">
        <f t="shared" si="11"/>
        <v>237.5</v>
      </c>
      <c r="V35" s="780">
        <v>181</v>
      </c>
      <c r="W35" s="780">
        <v>205</v>
      </c>
      <c r="X35" s="783">
        <f t="shared" si="12"/>
        <v>245</v>
      </c>
      <c r="Y35" s="767"/>
      <c r="Z35" s="886"/>
      <c r="AA35" s="887"/>
      <c r="AB35" s="887"/>
      <c r="AC35" s="888"/>
      <c r="AD35" s="888"/>
      <c r="AE35" s="888"/>
      <c r="AF35" s="889"/>
      <c r="AG35" s="889"/>
      <c r="AH35" s="890"/>
    </row>
    <row r="36" spans="1:34" s="102" customFormat="1" ht="12" customHeight="1">
      <c r="A36" s="2586">
        <v>26.5</v>
      </c>
      <c r="B36" s="2587"/>
      <c r="C36" s="780">
        <v>107</v>
      </c>
      <c r="D36" s="780">
        <v>113</v>
      </c>
      <c r="E36" s="780">
        <v>120</v>
      </c>
      <c r="F36" s="780">
        <v>128</v>
      </c>
      <c r="G36" s="780">
        <v>135</v>
      </c>
      <c r="H36" s="780">
        <v>119</v>
      </c>
      <c r="I36" s="780">
        <v>125</v>
      </c>
      <c r="J36" s="780">
        <v>134</v>
      </c>
      <c r="K36" s="780">
        <v>142</v>
      </c>
      <c r="L36" s="780">
        <v>150</v>
      </c>
      <c r="M36" s="783">
        <f t="shared" si="7"/>
        <v>135.5</v>
      </c>
      <c r="N36" s="780">
        <v>140</v>
      </c>
      <c r="O36" s="780">
        <v>149</v>
      </c>
      <c r="P36" s="780">
        <v>157</v>
      </c>
      <c r="Q36" s="780">
        <v>166</v>
      </c>
      <c r="R36" s="783">
        <f t="shared" si="8"/>
        <v>147.5</v>
      </c>
      <c r="S36" s="783">
        <f t="shared" si="9"/>
        <v>156.5</v>
      </c>
      <c r="T36" s="783">
        <f t="shared" si="10"/>
        <v>171.5</v>
      </c>
      <c r="U36" s="783">
        <f t="shared" si="11"/>
        <v>246.5</v>
      </c>
      <c r="V36" s="780">
        <v>192</v>
      </c>
      <c r="W36" s="780">
        <v>217</v>
      </c>
      <c r="X36" s="783">
        <f t="shared" si="12"/>
        <v>258.66666666666669</v>
      </c>
      <c r="Y36" s="767"/>
      <c r="Z36" s="891"/>
      <c r="AA36" s="892"/>
      <c r="AB36" s="893" t="s">
        <v>730</v>
      </c>
      <c r="AC36" s="893"/>
      <c r="AD36" s="893"/>
      <c r="AE36" s="893"/>
      <c r="AF36" s="893"/>
      <c r="AG36" s="893"/>
      <c r="AH36" s="894"/>
    </row>
    <row r="37" spans="1:34" s="102" customFormat="1" ht="12" customHeight="1">
      <c r="A37" s="2586">
        <v>29.5</v>
      </c>
      <c r="B37" s="2587"/>
      <c r="C37" s="780">
        <v>114</v>
      </c>
      <c r="D37" s="780">
        <v>120</v>
      </c>
      <c r="E37" s="780">
        <v>128</v>
      </c>
      <c r="F37" s="780">
        <v>135</v>
      </c>
      <c r="G37" s="780">
        <v>143</v>
      </c>
      <c r="H37" s="780">
        <v>127</v>
      </c>
      <c r="I37" s="780">
        <v>133</v>
      </c>
      <c r="J37" s="780">
        <v>142</v>
      </c>
      <c r="K37" s="780">
        <v>150</v>
      </c>
      <c r="L37" s="780">
        <v>158</v>
      </c>
      <c r="M37" s="783">
        <f t="shared" si="7"/>
        <v>144.5</v>
      </c>
      <c r="N37" s="780">
        <v>149</v>
      </c>
      <c r="O37" s="780">
        <v>158</v>
      </c>
      <c r="P37" s="780">
        <v>167</v>
      </c>
      <c r="Q37" s="780">
        <v>176</v>
      </c>
      <c r="R37" s="783">
        <f t="shared" si="8"/>
        <v>157</v>
      </c>
      <c r="S37" s="783">
        <f t="shared" si="9"/>
        <v>166</v>
      </c>
      <c r="T37" s="783">
        <f t="shared" si="10"/>
        <v>182</v>
      </c>
      <c r="U37" s="783">
        <f t="shared" si="11"/>
        <v>262</v>
      </c>
      <c r="V37" s="780">
        <v>202</v>
      </c>
      <c r="W37" s="780">
        <v>229</v>
      </c>
      <c r="X37" s="783">
        <f t="shared" si="12"/>
        <v>274</v>
      </c>
      <c r="Y37" s="767"/>
      <c r="Z37" s="767"/>
      <c r="AA37" s="767"/>
    </row>
    <row r="38" spans="1:34" s="102" customFormat="1" ht="12" customHeight="1">
      <c r="A38" s="2586">
        <v>32.5</v>
      </c>
      <c r="B38" s="2587"/>
      <c r="C38" s="780">
        <v>121</v>
      </c>
      <c r="D38" s="780">
        <v>127</v>
      </c>
      <c r="E38" s="780">
        <v>135</v>
      </c>
      <c r="F38" s="780">
        <v>143</v>
      </c>
      <c r="G38" s="780">
        <v>151</v>
      </c>
      <c r="H38" s="780">
        <v>135</v>
      </c>
      <c r="I38" s="780">
        <v>141</v>
      </c>
      <c r="J38" s="780">
        <v>150</v>
      </c>
      <c r="K38" s="780">
        <v>159</v>
      </c>
      <c r="L38" s="780">
        <v>167</v>
      </c>
      <c r="M38" s="783">
        <f t="shared" si="7"/>
        <v>152</v>
      </c>
      <c r="N38" s="789">
        <v>157</v>
      </c>
      <c r="O38" s="780">
        <v>167</v>
      </c>
      <c r="P38" s="780">
        <v>176</v>
      </c>
      <c r="Q38" s="780">
        <v>186</v>
      </c>
      <c r="R38" s="783">
        <f t="shared" si="8"/>
        <v>165</v>
      </c>
      <c r="S38" s="783">
        <f t="shared" si="9"/>
        <v>175.5</v>
      </c>
      <c r="T38" s="783">
        <f t="shared" si="10"/>
        <v>192.5</v>
      </c>
      <c r="U38" s="783">
        <f t="shared" si="11"/>
        <v>277.5</v>
      </c>
      <c r="V38" s="780">
        <v>213</v>
      </c>
      <c r="W38" s="780">
        <v>241</v>
      </c>
      <c r="X38" s="783">
        <f t="shared" si="12"/>
        <v>287.66666666666669</v>
      </c>
      <c r="Y38" s="767"/>
      <c r="Z38" s="767"/>
      <c r="AA38" s="767"/>
    </row>
    <row r="39" spans="1:34" s="102" customFormat="1" ht="12" customHeight="1">
      <c r="A39" s="2586">
        <v>35.5</v>
      </c>
      <c r="B39" s="2587"/>
      <c r="C39" s="780">
        <v>128</v>
      </c>
      <c r="D39" s="780">
        <v>135</v>
      </c>
      <c r="E39" s="780">
        <v>143</v>
      </c>
      <c r="F39" s="780">
        <v>151</v>
      </c>
      <c r="G39" s="780">
        <v>159</v>
      </c>
      <c r="H39" s="780">
        <v>143</v>
      </c>
      <c r="I39" s="780">
        <v>149</v>
      </c>
      <c r="J39" s="780">
        <v>156</v>
      </c>
      <c r="K39" s="780">
        <v>167</v>
      </c>
      <c r="L39" s="780">
        <v>176</v>
      </c>
      <c r="M39" s="783">
        <f t="shared" si="7"/>
        <v>161</v>
      </c>
      <c r="N39" s="780">
        <v>166</v>
      </c>
      <c r="O39" s="780">
        <v>176</v>
      </c>
      <c r="P39" s="780">
        <v>186</v>
      </c>
      <c r="Q39" s="780">
        <v>195</v>
      </c>
      <c r="R39" s="783">
        <f t="shared" si="8"/>
        <v>174.5</v>
      </c>
      <c r="S39" s="783">
        <f t="shared" si="9"/>
        <v>186</v>
      </c>
      <c r="T39" s="783">
        <f t="shared" si="10"/>
        <v>206</v>
      </c>
      <c r="U39" s="783">
        <f t="shared" si="11"/>
        <v>306</v>
      </c>
      <c r="V39" s="780">
        <v>224</v>
      </c>
      <c r="W39" s="780">
        <v>253</v>
      </c>
      <c r="X39" s="783">
        <f t="shared" si="12"/>
        <v>301.33333333333331</v>
      </c>
      <c r="Y39" s="767"/>
      <c r="Z39" s="767"/>
      <c r="AA39" s="767"/>
    </row>
    <row r="40" spans="1:34" s="102" customFormat="1" ht="12" customHeight="1">
      <c r="A40" s="2586">
        <v>38.5</v>
      </c>
      <c r="B40" s="2587"/>
      <c r="C40" s="780">
        <v>135</v>
      </c>
      <c r="D40" s="780">
        <v>142</v>
      </c>
      <c r="E40" s="780">
        <v>150</v>
      </c>
      <c r="F40" s="780">
        <v>159</v>
      </c>
      <c r="G40" s="780">
        <v>167</v>
      </c>
      <c r="H40" s="780">
        <v>150</v>
      </c>
      <c r="I40" s="780">
        <v>157</v>
      </c>
      <c r="J40" s="780">
        <v>167</v>
      </c>
      <c r="K40" s="780">
        <v>176</v>
      </c>
      <c r="L40" s="780">
        <v>185</v>
      </c>
      <c r="M40" s="783">
        <f t="shared" si="7"/>
        <v>170</v>
      </c>
      <c r="N40" s="780">
        <v>175</v>
      </c>
      <c r="O40" s="780">
        <v>185</v>
      </c>
      <c r="P40" s="780">
        <v>195</v>
      </c>
      <c r="Q40" s="780">
        <v>205</v>
      </c>
      <c r="R40" s="783">
        <f t="shared" si="8"/>
        <v>184</v>
      </c>
      <c r="S40" s="783">
        <f t="shared" si="9"/>
        <v>194</v>
      </c>
      <c r="T40" s="783">
        <f t="shared" si="10"/>
        <v>212</v>
      </c>
      <c r="U40" s="783">
        <f t="shared" si="11"/>
        <v>302</v>
      </c>
      <c r="V40" s="780">
        <v>235</v>
      </c>
      <c r="W40" s="780">
        <v>265</v>
      </c>
      <c r="X40" s="783">
        <f t="shared" si="12"/>
        <v>315</v>
      </c>
      <c r="Y40" s="767"/>
      <c r="Z40" s="767"/>
      <c r="AA40" s="767"/>
    </row>
    <row r="41" spans="1:34" s="102" customFormat="1" ht="12" customHeight="1">
      <c r="A41" s="2586">
        <v>41.5</v>
      </c>
      <c r="B41" s="2587"/>
      <c r="C41" s="780">
        <v>142</v>
      </c>
      <c r="D41" s="780">
        <v>149</v>
      </c>
      <c r="E41" s="780">
        <v>158</v>
      </c>
      <c r="F41" s="780">
        <v>167</v>
      </c>
      <c r="G41" s="780">
        <v>176</v>
      </c>
      <c r="H41" s="780">
        <v>158</v>
      </c>
      <c r="I41" s="780">
        <v>165</v>
      </c>
      <c r="J41" s="780">
        <v>175</v>
      </c>
      <c r="K41" s="780">
        <v>184</v>
      </c>
      <c r="L41" s="780">
        <v>194</v>
      </c>
      <c r="M41" s="783">
        <f t="shared" si="7"/>
        <v>179</v>
      </c>
      <c r="N41" s="789">
        <v>184</v>
      </c>
      <c r="O41" s="780">
        <v>194</v>
      </c>
      <c r="P41" s="780">
        <v>204</v>
      </c>
      <c r="Q41" s="780">
        <v>215</v>
      </c>
      <c r="R41" s="783">
        <f t="shared" si="8"/>
        <v>193.5</v>
      </c>
      <c r="S41" s="783">
        <f t="shared" si="9"/>
        <v>203.5</v>
      </c>
      <c r="T41" s="783">
        <f t="shared" si="10"/>
        <v>222.5</v>
      </c>
      <c r="U41" s="783">
        <f t="shared" si="11"/>
        <v>317.5</v>
      </c>
      <c r="V41" s="780">
        <v>246</v>
      </c>
      <c r="W41" s="780">
        <v>277</v>
      </c>
      <c r="X41" s="783">
        <f t="shared" si="12"/>
        <v>328.66666666666669</v>
      </c>
      <c r="Y41" s="767"/>
      <c r="Z41" s="767"/>
      <c r="AA41" s="767"/>
    </row>
    <row r="42" spans="1:34" s="102" customFormat="1" ht="12" customHeight="1">
      <c r="A42" s="2586">
        <v>44.5</v>
      </c>
      <c r="B42" s="2587"/>
      <c r="C42" s="800">
        <v>149</v>
      </c>
      <c r="D42" s="780">
        <v>156</v>
      </c>
      <c r="E42" s="780">
        <v>165</v>
      </c>
      <c r="F42" s="780">
        <v>175</v>
      </c>
      <c r="G42" s="780">
        <v>184</v>
      </c>
      <c r="H42" s="780">
        <v>166</v>
      </c>
      <c r="I42" s="780">
        <v>173</v>
      </c>
      <c r="J42" s="780">
        <v>188</v>
      </c>
      <c r="K42" s="780">
        <v>193</v>
      </c>
      <c r="L42" s="780">
        <v>203</v>
      </c>
      <c r="M42" s="783">
        <f t="shared" si="7"/>
        <v>186.5</v>
      </c>
      <c r="N42" s="780">
        <v>192</v>
      </c>
      <c r="O42" s="780">
        <v>203</v>
      </c>
      <c r="P42" s="780">
        <v>214</v>
      </c>
      <c r="Q42" s="780">
        <v>224</v>
      </c>
      <c r="R42" s="783">
        <f t="shared" si="8"/>
        <v>201.5</v>
      </c>
      <c r="S42" s="783">
        <f t="shared" si="9"/>
        <v>210.5</v>
      </c>
      <c r="T42" s="783">
        <f t="shared" si="10"/>
        <v>225.5</v>
      </c>
      <c r="U42" s="783">
        <f t="shared" si="11"/>
        <v>300.5</v>
      </c>
      <c r="V42" s="780">
        <v>257</v>
      </c>
      <c r="W42" s="780">
        <v>290</v>
      </c>
      <c r="X42" s="783">
        <f t="shared" si="12"/>
        <v>345</v>
      </c>
      <c r="Y42" s="767"/>
      <c r="Z42" s="767"/>
      <c r="AA42" s="767"/>
    </row>
    <row r="43" spans="1:34" s="102" customFormat="1" ht="12" customHeight="1">
      <c r="A43" s="2586">
        <v>47.5</v>
      </c>
      <c r="B43" s="2587"/>
      <c r="C43" s="780">
        <v>156</v>
      </c>
      <c r="D43" s="780">
        <v>164</v>
      </c>
      <c r="E43" s="780">
        <v>173</v>
      </c>
      <c r="F43" s="780">
        <v>182</v>
      </c>
      <c r="G43" s="780">
        <v>192</v>
      </c>
      <c r="H43" s="780">
        <v>173</v>
      </c>
      <c r="I43" s="780">
        <v>181</v>
      </c>
      <c r="J43" s="780">
        <v>191</v>
      </c>
      <c r="K43" s="780">
        <v>201</v>
      </c>
      <c r="L43" s="780">
        <v>212</v>
      </c>
      <c r="M43" s="783">
        <f t="shared" si="7"/>
        <v>195.5</v>
      </c>
      <c r="N43" s="780">
        <v>201</v>
      </c>
      <c r="O43" s="780">
        <v>212</v>
      </c>
      <c r="P43" s="780">
        <v>223</v>
      </c>
      <c r="Q43" s="780">
        <v>234</v>
      </c>
      <c r="R43" s="783">
        <f t="shared" si="8"/>
        <v>211</v>
      </c>
      <c r="S43" s="783">
        <f t="shared" si="9"/>
        <v>222.5</v>
      </c>
      <c r="T43" s="783">
        <f t="shared" si="10"/>
        <v>243.5</v>
      </c>
      <c r="U43" s="783">
        <f t="shared" si="11"/>
        <v>348.5</v>
      </c>
      <c r="V43" s="780">
        <v>268</v>
      </c>
      <c r="W43" s="780">
        <v>302</v>
      </c>
      <c r="X43" s="783">
        <f t="shared" si="12"/>
        <v>358.66666666666669</v>
      </c>
      <c r="Y43" s="767"/>
      <c r="Z43" s="767"/>
      <c r="AA43" s="767"/>
    </row>
    <row r="44" spans="1:34" s="102" customFormat="1" ht="12" customHeight="1">
      <c r="A44" s="2586">
        <v>50.5</v>
      </c>
      <c r="B44" s="2587"/>
      <c r="C44" s="780">
        <v>163</v>
      </c>
      <c r="D44" s="780">
        <v>171</v>
      </c>
      <c r="E44" s="780">
        <v>181</v>
      </c>
      <c r="F44" s="780">
        <v>190</v>
      </c>
      <c r="G44" s="780">
        <v>200</v>
      </c>
      <c r="H44" s="780">
        <v>181</v>
      </c>
      <c r="I44" s="780">
        <v>189</v>
      </c>
      <c r="J44" s="780">
        <v>200</v>
      </c>
      <c r="K44" s="780">
        <v>210</v>
      </c>
      <c r="L44" s="780">
        <v>221</v>
      </c>
      <c r="M44" s="783">
        <f t="shared" si="7"/>
        <v>209</v>
      </c>
      <c r="N44" s="789">
        <v>210</v>
      </c>
      <c r="O44" s="780">
        <v>212</v>
      </c>
      <c r="P44" s="780">
        <v>233</v>
      </c>
      <c r="Q44" s="780">
        <v>244</v>
      </c>
      <c r="R44" s="783">
        <f t="shared" si="8"/>
        <v>220.5</v>
      </c>
      <c r="S44" s="783">
        <f t="shared" si="9"/>
        <v>218</v>
      </c>
      <c r="T44" s="783">
        <f t="shared" si="10"/>
        <v>230</v>
      </c>
      <c r="U44" s="783">
        <f t="shared" si="11"/>
        <v>290</v>
      </c>
      <c r="V44" s="780">
        <v>279</v>
      </c>
      <c r="W44" s="780">
        <v>314</v>
      </c>
      <c r="X44" s="783">
        <f t="shared" si="12"/>
        <v>372.33333333333331</v>
      </c>
      <c r="Y44" s="767"/>
      <c r="Z44" s="767"/>
      <c r="AA44" s="767"/>
    </row>
    <row r="45" spans="1:34" s="102" customFormat="1" ht="12" customHeight="1">
      <c r="A45" s="2586">
        <v>53.5</v>
      </c>
      <c r="B45" s="2587"/>
      <c r="C45" s="780">
        <v>170</v>
      </c>
      <c r="D45" s="780">
        <v>178</v>
      </c>
      <c r="E45" s="780">
        <v>188</v>
      </c>
      <c r="F45" s="780">
        <v>196</v>
      </c>
      <c r="G45" s="780">
        <v>208</v>
      </c>
      <c r="H45" s="780">
        <v>189</v>
      </c>
      <c r="I45" s="780">
        <v>197</v>
      </c>
      <c r="J45" s="780">
        <v>208</v>
      </c>
      <c r="K45" s="780">
        <v>219</v>
      </c>
      <c r="L45" s="780">
        <v>222</v>
      </c>
      <c r="M45" s="783">
        <f t="shared" si="7"/>
        <v>213.5</v>
      </c>
      <c r="N45" s="780">
        <v>219</v>
      </c>
      <c r="O45" s="780">
        <v>230</v>
      </c>
      <c r="P45" s="780">
        <v>242</v>
      </c>
      <c r="Q45" s="780">
        <v>254</v>
      </c>
      <c r="R45" s="783">
        <f t="shared" si="8"/>
        <v>230</v>
      </c>
      <c r="S45" s="783">
        <f t="shared" si="9"/>
        <v>241</v>
      </c>
      <c r="T45" s="783">
        <f t="shared" si="10"/>
        <v>263</v>
      </c>
      <c r="U45" s="783">
        <f t="shared" si="11"/>
        <v>373</v>
      </c>
      <c r="V45" s="780">
        <v>290</v>
      </c>
      <c r="W45" s="780">
        <v>326</v>
      </c>
      <c r="X45" s="783">
        <f t="shared" si="12"/>
        <v>386</v>
      </c>
      <c r="Y45" s="767"/>
      <c r="Z45" s="767"/>
      <c r="AA45" s="767"/>
    </row>
    <row r="46" spans="1:34" s="102" customFormat="1" ht="12" customHeight="1">
      <c r="A46" s="2586">
        <v>56.5</v>
      </c>
      <c r="B46" s="2587"/>
      <c r="C46" s="780">
        <v>177</v>
      </c>
      <c r="D46" s="780">
        <v>185</v>
      </c>
      <c r="E46" s="780">
        <v>198</v>
      </c>
      <c r="F46" s="780">
        <v>206</v>
      </c>
      <c r="G46" s="780">
        <v>216</v>
      </c>
      <c r="H46" s="780">
        <v>197</v>
      </c>
      <c r="I46" s="780">
        <v>205</v>
      </c>
      <c r="J46" s="780">
        <v>216</v>
      </c>
      <c r="K46" s="780">
        <v>227</v>
      </c>
      <c r="L46" s="780">
        <v>236</v>
      </c>
      <c r="M46" s="783">
        <f t="shared" si="7"/>
        <v>221</v>
      </c>
      <c r="N46" s="780">
        <v>227</v>
      </c>
      <c r="O46" s="780">
        <v>239</v>
      </c>
      <c r="P46" s="780">
        <v>251</v>
      </c>
      <c r="Q46" s="780">
        <v>263</v>
      </c>
      <c r="R46" s="783">
        <f t="shared" si="8"/>
        <v>238</v>
      </c>
      <c r="S46" s="783">
        <f t="shared" si="9"/>
        <v>250.5</v>
      </c>
      <c r="T46" s="783">
        <f t="shared" si="10"/>
        <v>273.5</v>
      </c>
      <c r="U46" s="783">
        <f t="shared" si="11"/>
        <v>388.5</v>
      </c>
      <c r="V46" s="780">
        <v>301</v>
      </c>
      <c r="W46" s="780">
        <v>338</v>
      </c>
      <c r="X46" s="783">
        <f t="shared" si="12"/>
        <v>399.66666666666669</v>
      </c>
      <c r="Y46" s="767"/>
      <c r="Z46" s="767"/>
      <c r="AA46" s="767"/>
    </row>
    <row r="47" spans="1:34" s="102" customFormat="1" ht="12" customHeight="1">
      <c r="A47" s="2586">
        <v>59.5</v>
      </c>
      <c r="B47" s="2587"/>
      <c r="C47" s="780">
        <v>184</v>
      </c>
      <c r="D47" s="780">
        <v>192</v>
      </c>
      <c r="E47" s="780">
        <v>203</v>
      </c>
      <c r="F47" s="780">
        <v>214</v>
      </c>
      <c r="G47" s="780">
        <v>225</v>
      </c>
      <c r="H47" s="780">
        <v>204</v>
      </c>
      <c r="I47" s="780">
        <v>213</v>
      </c>
      <c r="J47" s="780">
        <v>224</v>
      </c>
      <c r="K47" s="780">
        <v>236</v>
      </c>
      <c r="L47" s="780">
        <v>247</v>
      </c>
      <c r="M47" s="783">
        <f t="shared" si="7"/>
        <v>230</v>
      </c>
      <c r="N47" s="789">
        <v>236</v>
      </c>
      <c r="O47" s="780">
        <v>248</v>
      </c>
      <c r="P47" s="780">
        <v>261</v>
      </c>
      <c r="Q47" s="780">
        <v>273</v>
      </c>
      <c r="R47" s="783">
        <f t="shared" si="8"/>
        <v>247.5</v>
      </c>
      <c r="S47" s="783">
        <f t="shared" si="9"/>
        <v>260</v>
      </c>
      <c r="T47" s="783">
        <f t="shared" si="10"/>
        <v>284</v>
      </c>
      <c r="U47" s="783">
        <f t="shared" si="11"/>
        <v>404</v>
      </c>
      <c r="V47" s="780">
        <v>312</v>
      </c>
      <c r="W47" s="780">
        <v>350</v>
      </c>
      <c r="X47" s="783">
        <f t="shared" si="12"/>
        <v>413.33333333333331</v>
      </c>
      <c r="Y47" s="767"/>
      <c r="Z47" s="767"/>
      <c r="AA47" s="767"/>
    </row>
    <row r="48" spans="1:34" s="102" customFormat="1" ht="12" customHeight="1">
      <c r="A48" s="2586">
        <v>62.5</v>
      </c>
      <c r="B48" s="2587"/>
      <c r="C48" s="780">
        <v>191</v>
      </c>
      <c r="D48" s="780">
        <v>200</v>
      </c>
      <c r="E48" s="780">
        <v>211</v>
      </c>
      <c r="F48" s="780">
        <v>222</v>
      </c>
      <c r="G48" s="780">
        <v>233</v>
      </c>
      <c r="H48" s="780">
        <v>212</v>
      </c>
      <c r="I48" s="780">
        <v>221</v>
      </c>
      <c r="J48" s="780">
        <v>233</v>
      </c>
      <c r="K48" s="780">
        <v>244</v>
      </c>
      <c r="L48" s="780">
        <v>256</v>
      </c>
      <c r="M48" s="783">
        <f t="shared" si="7"/>
        <v>238.5</v>
      </c>
      <c r="N48" s="780">
        <v>245</v>
      </c>
      <c r="O48" s="780">
        <v>258</v>
      </c>
      <c r="P48" s="780">
        <v>270</v>
      </c>
      <c r="Q48" s="780">
        <v>283</v>
      </c>
      <c r="R48" s="783">
        <f t="shared" si="8"/>
        <v>257</v>
      </c>
      <c r="S48" s="783">
        <f t="shared" si="9"/>
        <v>270.5</v>
      </c>
      <c r="T48" s="783">
        <f t="shared" si="10"/>
        <v>295.5</v>
      </c>
      <c r="U48" s="783">
        <f t="shared" si="11"/>
        <v>420.5</v>
      </c>
      <c r="V48" s="780">
        <v>323</v>
      </c>
      <c r="W48" s="780">
        <v>363</v>
      </c>
      <c r="X48" s="783">
        <f t="shared" si="12"/>
        <v>429.66666666666669</v>
      </c>
      <c r="Y48" s="767"/>
      <c r="Z48" s="767"/>
      <c r="AA48" s="767"/>
    </row>
    <row r="49" spans="1:27" s="102" customFormat="1" ht="12" customHeight="1">
      <c r="A49" s="2588">
        <v>65.5</v>
      </c>
      <c r="B49" s="2588"/>
      <c r="C49" s="790">
        <v>198</v>
      </c>
      <c r="D49" s="790">
        <v>207</v>
      </c>
      <c r="E49" s="790">
        <v>218</v>
      </c>
      <c r="F49" s="790">
        <v>230</v>
      </c>
      <c r="G49" s="790">
        <v>241</v>
      </c>
      <c r="H49" s="790">
        <v>220</v>
      </c>
      <c r="I49" s="790">
        <v>229</v>
      </c>
      <c r="J49" s="790">
        <v>241</v>
      </c>
      <c r="K49" s="790">
        <v>253</v>
      </c>
      <c r="L49" s="780">
        <v>265</v>
      </c>
      <c r="M49" s="783">
        <f t="shared" si="7"/>
        <v>247.5</v>
      </c>
      <c r="N49" s="780">
        <v>254</v>
      </c>
      <c r="O49" s="780">
        <v>267</v>
      </c>
      <c r="P49" s="780">
        <v>279</v>
      </c>
      <c r="Q49" s="780">
        <v>292</v>
      </c>
      <c r="R49" s="783">
        <f t="shared" si="8"/>
        <v>266.5</v>
      </c>
      <c r="S49" s="783">
        <f t="shared" si="9"/>
        <v>280</v>
      </c>
      <c r="T49" s="783">
        <f t="shared" si="10"/>
        <v>306</v>
      </c>
      <c r="U49" s="783">
        <f t="shared" si="11"/>
        <v>436</v>
      </c>
      <c r="V49" s="780">
        <v>334</v>
      </c>
      <c r="W49" s="780">
        <v>375</v>
      </c>
      <c r="X49" s="783">
        <f t="shared" si="12"/>
        <v>443.33333333333331</v>
      </c>
      <c r="Y49" s="767"/>
      <c r="Z49" s="767"/>
      <c r="AA49" s="767"/>
    </row>
    <row r="50" spans="1:27" s="102" customFormat="1" ht="12" customHeight="1">
      <c r="A50" s="2597">
        <v>68.5</v>
      </c>
      <c r="B50" s="2597"/>
      <c r="C50" s="797">
        <f t="shared" ref="C50:T50" si="13">(C48-C49)*($A$50-$A$49)/($A$48-$A$49)+C49</f>
        <v>205</v>
      </c>
      <c r="D50" s="797">
        <f t="shared" si="13"/>
        <v>214</v>
      </c>
      <c r="E50" s="797">
        <f t="shared" si="13"/>
        <v>225</v>
      </c>
      <c r="F50" s="797">
        <f t="shared" si="13"/>
        <v>238</v>
      </c>
      <c r="G50" s="797">
        <f t="shared" si="13"/>
        <v>249</v>
      </c>
      <c r="H50" s="797">
        <f t="shared" si="13"/>
        <v>228</v>
      </c>
      <c r="I50" s="797">
        <f t="shared" si="13"/>
        <v>237</v>
      </c>
      <c r="J50" s="797">
        <f t="shared" si="13"/>
        <v>249</v>
      </c>
      <c r="K50" s="797">
        <f t="shared" si="13"/>
        <v>262</v>
      </c>
      <c r="L50" s="798">
        <f t="shared" si="13"/>
        <v>274</v>
      </c>
      <c r="M50" s="798">
        <f t="shared" si="13"/>
        <v>256.5</v>
      </c>
      <c r="N50" s="798">
        <f t="shared" si="13"/>
        <v>263</v>
      </c>
      <c r="O50" s="798">
        <f t="shared" si="13"/>
        <v>276</v>
      </c>
      <c r="P50" s="798">
        <f t="shared" si="13"/>
        <v>288</v>
      </c>
      <c r="Q50" s="798">
        <f t="shared" si="13"/>
        <v>301</v>
      </c>
      <c r="R50" s="798">
        <f t="shared" si="13"/>
        <v>276</v>
      </c>
      <c r="S50" s="798">
        <f t="shared" si="13"/>
        <v>289.5</v>
      </c>
      <c r="T50" s="798">
        <f t="shared" si="13"/>
        <v>316.5</v>
      </c>
      <c r="U50" s="798">
        <f t="shared" si="11"/>
        <v>451.5</v>
      </c>
      <c r="V50" s="798">
        <f>(V48-V49)*($A$50-$A$49)/($A$48-$A$49)+V49</f>
        <v>345</v>
      </c>
      <c r="W50" s="798">
        <f>(W48-W49)*($A$50-$A$49)/($A$48-$A$49)+W49</f>
        <v>387</v>
      </c>
      <c r="X50" s="798">
        <f>(X48-X49)*($A$50-$A$49)/($A$48-$A$49)+X49</f>
        <v>456.99999999999994</v>
      </c>
      <c r="Y50" s="767"/>
      <c r="Z50" s="767"/>
      <c r="AA50" s="767"/>
    </row>
    <row r="51" spans="1:27" s="102" customFormat="1" ht="12" customHeight="1">
      <c r="A51" s="2597">
        <v>71.5</v>
      </c>
      <c r="B51" s="2597"/>
      <c r="C51" s="797">
        <f t="shared" ref="C51:T51" si="14">(C49-C50)*($A$51-$A$50)/($A$49-$A$50)+C50</f>
        <v>212</v>
      </c>
      <c r="D51" s="797">
        <f t="shared" si="14"/>
        <v>221</v>
      </c>
      <c r="E51" s="797">
        <f t="shared" si="14"/>
        <v>232</v>
      </c>
      <c r="F51" s="797">
        <f t="shared" si="14"/>
        <v>246</v>
      </c>
      <c r="G51" s="797">
        <f t="shared" si="14"/>
        <v>257</v>
      </c>
      <c r="H51" s="797">
        <f t="shared" si="14"/>
        <v>236</v>
      </c>
      <c r="I51" s="797">
        <f t="shared" si="14"/>
        <v>245</v>
      </c>
      <c r="J51" s="797">
        <f t="shared" si="14"/>
        <v>257</v>
      </c>
      <c r="K51" s="797">
        <f t="shared" si="14"/>
        <v>271</v>
      </c>
      <c r="L51" s="798">
        <f t="shared" si="14"/>
        <v>283</v>
      </c>
      <c r="M51" s="798">
        <f t="shared" si="14"/>
        <v>265.5</v>
      </c>
      <c r="N51" s="798">
        <f t="shared" si="14"/>
        <v>272</v>
      </c>
      <c r="O51" s="798">
        <f t="shared" si="14"/>
        <v>285</v>
      </c>
      <c r="P51" s="798">
        <f t="shared" si="14"/>
        <v>297</v>
      </c>
      <c r="Q51" s="798">
        <f t="shared" si="14"/>
        <v>310</v>
      </c>
      <c r="R51" s="798">
        <f t="shared" si="14"/>
        <v>285.5</v>
      </c>
      <c r="S51" s="798">
        <f t="shared" si="14"/>
        <v>299</v>
      </c>
      <c r="T51" s="798">
        <f t="shared" si="14"/>
        <v>327</v>
      </c>
      <c r="U51" s="798">
        <f t="shared" si="11"/>
        <v>467</v>
      </c>
      <c r="V51" s="798">
        <f>(V49-V50)*($A$51-$A$50)/($A$49-$A$50)+V50</f>
        <v>356</v>
      </c>
      <c r="W51" s="798">
        <f>(W49-W50)*($A$51-$A$50)/($A$49-$A$50)+W50</f>
        <v>399</v>
      </c>
      <c r="X51" s="798">
        <f>(X49-X50)*($A$51-$A$50)/($A$49-$A$50)+X50</f>
        <v>470.66666666666657</v>
      </c>
      <c r="Y51" s="767"/>
      <c r="Z51" s="767"/>
      <c r="AA51" s="767"/>
    </row>
    <row r="52" spans="1:27" s="102" customFormat="1" ht="12" customHeight="1">
      <c r="A52" s="766"/>
      <c r="B52" s="766"/>
      <c r="C52" s="766"/>
      <c r="D52" s="766"/>
      <c r="E52" s="766"/>
      <c r="F52" s="766"/>
      <c r="G52" s="766"/>
      <c r="H52" s="766"/>
      <c r="I52" s="766"/>
      <c r="J52" s="766"/>
      <c r="K52" s="766"/>
      <c r="L52" s="766"/>
      <c r="M52" s="766"/>
      <c r="N52" s="767"/>
      <c r="O52" s="767"/>
      <c r="P52" s="767"/>
      <c r="Q52" s="767"/>
      <c r="R52" s="767"/>
      <c r="S52" s="767"/>
      <c r="T52" s="767"/>
      <c r="U52" s="767"/>
      <c r="V52" s="767"/>
      <c r="W52" s="767"/>
      <c r="X52" s="767"/>
      <c r="Y52" s="767"/>
      <c r="Z52" s="767"/>
      <c r="AA52" s="767"/>
    </row>
    <row r="53" spans="1:27" s="102" customFormat="1">
      <c r="A53" s="766"/>
      <c r="B53" s="766"/>
      <c r="C53" s="766"/>
      <c r="D53" s="766"/>
      <c r="E53" s="766"/>
      <c r="F53" s="766"/>
      <c r="G53" s="766"/>
      <c r="H53" s="766"/>
      <c r="I53" s="766"/>
      <c r="J53" s="766"/>
      <c r="K53" s="766"/>
      <c r="L53" s="766"/>
      <c r="M53" s="766"/>
      <c r="N53" s="767"/>
      <c r="O53" s="767"/>
      <c r="P53" s="767"/>
      <c r="Q53" s="767"/>
      <c r="R53" s="767"/>
      <c r="S53" s="767"/>
      <c r="T53" s="767"/>
      <c r="U53" s="767"/>
      <c r="V53" s="767"/>
      <c r="W53" s="767"/>
      <c r="X53" s="767"/>
      <c r="Y53" s="767"/>
      <c r="Z53" s="767"/>
      <c r="AA53" s="767"/>
    </row>
    <row r="54" spans="1:27" s="102" customFormat="1">
      <c r="A54" s="766"/>
      <c r="B54" s="766"/>
      <c r="L54" s="766"/>
      <c r="M54" s="766"/>
      <c r="N54" s="767"/>
      <c r="O54" s="767"/>
      <c r="P54" s="767"/>
      <c r="Q54" s="767"/>
      <c r="R54" s="767"/>
      <c r="S54" s="767"/>
      <c r="T54" s="767"/>
      <c r="U54" s="767"/>
      <c r="V54" s="767"/>
      <c r="W54" s="767"/>
      <c r="X54" s="767"/>
      <c r="Y54" s="767"/>
      <c r="Z54" s="767"/>
      <c r="AA54" s="767"/>
    </row>
    <row r="55" spans="1:27" s="102" customFormat="1">
      <c r="A55" s="766"/>
      <c r="B55" s="766"/>
      <c r="L55" s="766"/>
      <c r="M55" s="766"/>
      <c r="N55" s="767"/>
      <c r="O55" s="767"/>
      <c r="P55" s="767"/>
      <c r="Q55" s="767"/>
      <c r="R55" s="767"/>
      <c r="S55" s="767"/>
      <c r="T55" s="767"/>
      <c r="U55" s="767"/>
      <c r="V55" s="767"/>
      <c r="W55" s="767"/>
      <c r="X55" s="767"/>
      <c r="Y55" s="767"/>
      <c r="Z55" s="767"/>
      <c r="AA55" s="767"/>
    </row>
    <row r="56" spans="1:27" s="102" customFormat="1">
      <c r="A56" s="766"/>
      <c r="B56" s="766"/>
      <c r="L56" s="766"/>
      <c r="M56" s="766"/>
      <c r="N56" s="767"/>
      <c r="O56" s="767"/>
      <c r="P56" s="767"/>
      <c r="Q56" s="767"/>
      <c r="R56" s="767"/>
      <c r="S56" s="767"/>
      <c r="T56" s="767"/>
      <c r="U56" s="767"/>
      <c r="V56" s="767"/>
      <c r="W56" s="767"/>
      <c r="X56" s="767"/>
      <c r="Y56" s="767"/>
      <c r="Z56" s="767"/>
      <c r="AA56" s="767"/>
    </row>
    <row r="57" spans="1:27" s="102" customFormat="1">
      <c r="A57" s="766"/>
      <c r="B57" s="766"/>
      <c r="L57" s="766"/>
      <c r="M57" s="766"/>
      <c r="N57" s="767"/>
      <c r="O57" s="767"/>
      <c r="P57" s="767"/>
      <c r="Q57" s="767"/>
      <c r="R57" s="767"/>
      <c r="S57" s="767"/>
      <c r="T57" s="767"/>
      <c r="U57" s="767"/>
      <c r="V57" s="767"/>
      <c r="W57" s="767"/>
      <c r="X57" s="767"/>
      <c r="Y57" s="767"/>
      <c r="Z57" s="767"/>
      <c r="AA57" s="767"/>
    </row>
    <row r="58" spans="1:27" s="102" customFormat="1">
      <c r="A58" s="766"/>
      <c r="B58" s="766"/>
      <c r="C58" s="766"/>
      <c r="D58" s="766"/>
      <c r="E58" s="766"/>
      <c r="F58" s="766"/>
      <c r="G58" s="766"/>
      <c r="H58" s="766"/>
      <c r="I58" s="766"/>
      <c r="J58" s="766"/>
      <c r="K58" s="766"/>
      <c r="L58" s="766"/>
      <c r="M58" s="766"/>
      <c r="N58" s="767"/>
      <c r="O58" s="767"/>
      <c r="P58" s="767"/>
      <c r="Q58" s="767"/>
      <c r="R58" s="767"/>
      <c r="S58" s="767"/>
      <c r="T58" s="767"/>
      <c r="U58" s="767"/>
      <c r="V58" s="767"/>
      <c r="W58" s="767"/>
      <c r="X58" s="767"/>
      <c r="Y58" s="767"/>
      <c r="Z58" s="767"/>
      <c r="AA58" s="767"/>
    </row>
    <row r="59" spans="1:27" s="102" customFormat="1">
      <c r="A59" s="766"/>
      <c r="B59" s="766"/>
      <c r="C59" s="766"/>
      <c r="D59" s="766"/>
      <c r="E59" s="766"/>
      <c r="F59" s="766"/>
      <c r="G59" s="766"/>
      <c r="H59" s="766"/>
      <c r="I59" s="766"/>
      <c r="J59" s="766"/>
      <c r="K59" s="766"/>
      <c r="L59" s="766"/>
      <c r="M59" s="766"/>
      <c r="N59" s="767"/>
      <c r="O59" s="767"/>
      <c r="P59" s="767"/>
      <c r="Q59" s="767"/>
      <c r="R59" s="767"/>
      <c r="S59" s="767"/>
      <c r="T59" s="767"/>
      <c r="U59" s="767"/>
      <c r="V59" s="767"/>
      <c r="W59" s="767"/>
      <c r="X59" s="767"/>
      <c r="Y59" s="767"/>
      <c r="Z59" s="767"/>
      <c r="AA59" s="767"/>
    </row>
    <row r="60" spans="1:27" s="102" customFormat="1">
      <c r="A60" s="766"/>
      <c r="B60" s="766"/>
      <c r="C60" s="766"/>
      <c r="D60" s="766"/>
      <c r="E60" s="766"/>
      <c r="F60" s="766"/>
      <c r="G60" s="766"/>
      <c r="H60" s="766"/>
      <c r="I60" s="766"/>
      <c r="J60" s="766"/>
      <c r="K60" s="766"/>
      <c r="L60" s="766"/>
      <c r="M60" s="766"/>
      <c r="N60" s="767"/>
      <c r="O60" s="767"/>
      <c r="P60" s="767"/>
      <c r="Q60" s="767"/>
      <c r="R60" s="767"/>
      <c r="S60" s="767"/>
      <c r="T60" s="767"/>
      <c r="U60" s="767"/>
      <c r="V60" s="767"/>
      <c r="W60" s="767"/>
      <c r="X60" s="767"/>
      <c r="Y60" s="767"/>
      <c r="Z60" s="767"/>
      <c r="AA60" s="767"/>
    </row>
    <row r="61" spans="1:27" s="102" customFormat="1">
      <c r="A61" s="766"/>
      <c r="B61" s="766"/>
      <c r="C61" s="766"/>
      <c r="D61" s="766"/>
      <c r="E61" s="766"/>
      <c r="F61" s="766"/>
      <c r="G61" s="766"/>
      <c r="H61" s="766"/>
      <c r="I61" s="766"/>
      <c r="J61" s="766"/>
      <c r="K61" s="766"/>
      <c r="L61" s="766"/>
      <c r="M61" s="766"/>
      <c r="N61" s="767"/>
      <c r="O61" s="767"/>
      <c r="P61" s="767"/>
      <c r="Q61" s="767"/>
      <c r="R61" s="767"/>
      <c r="S61" s="767"/>
      <c r="T61" s="767"/>
      <c r="U61" s="767"/>
      <c r="V61" s="767"/>
      <c r="W61" s="767"/>
      <c r="X61" s="767"/>
      <c r="Y61" s="767"/>
      <c r="Z61" s="767"/>
      <c r="AA61" s="767"/>
    </row>
    <row r="62" spans="1:27" s="102" customFormat="1">
      <c r="A62" s="766"/>
      <c r="B62" s="766"/>
      <c r="C62" s="766"/>
      <c r="D62" s="766"/>
      <c r="E62" s="766"/>
      <c r="F62" s="766"/>
      <c r="G62" s="766"/>
      <c r="H62" s="766"/>
      <c r="I62" s="766"/>
      <c r="J62" s="766"/>
      <c r="K62" s="766"/>
      <c r="L62" s="766"/>
      <c r="M62" s="766"/>
      <c r="N62" s="767"/>
      <c r="O62" s="767"/>
      <c r="P62" s="767"/>
      <c r="Q62" s="767"/>
      <c r="R62" s="767"/>
      <c r="S62" s="767"/>
      <c r="T62" s="767"/>
      <c r="U62" s="767"/>
      <c r="V62" s="767"/>
      <c r="W62" s="767"/>
      <c r="X62" s="767"/>
      <c r="Y62" s="767"/>
      <c r="Z62" s="767"/>
      <c r="AA62" s="767"/>
    </row>
    <row r="63" spans="1:27" s="102" customFormat="1">
      <c r="A63" s="766"/>
      <c r="B63" s="766"/>
      <c r="C63" s="766"/>
      <c r="D63" s="766"/>
      <c r="E63" s="766"/>
      <c r="F63" s="766"/>
      <c r="G63" s="766"/>
      <c r="H63" s="766"/>
      <c r="I63" s="766"/>
      <c r="J63" s="766"/>
      <c r="K63" s="766"/>
      <c r="L63" s="766"/>
      <c r="M63" s="766"/>
      <c r="N63" s="767"/>
      <c r="O63" s="767"/>
      <c r="P63" s="767"/>
      <c r="Q63" s="767"/>
      <c r="R63" s="767"/>
      <c r="S63" s="767"/>
      <c r="T63" s="767"/>
      <c r="U63" s="767"/>
      <c r="V63" s="767"/>
      <c r="W63" s="767"/>
      <c r="X63" s="767"/>
      <c r="Y63" s="767"/>
      <c r="Z63" s="767"/>
      <c r="AA63" s="767"/>
    </row>
    <row r="64" spans="1:27" s="102" customFormat="1">
      <c r="A64" s="766"/>
      <c r="B64" s="766"/>
      <c r="C64" s="766"/>
      <c r="D64" s="766"/>
      <c r="E64" s="766"/>
      <c r="F64" s="766"/>
      <c r="G64" s="766"/>
      <c r="H64" s="766"/>
      <c r="I64" s="766"/>
      <c r="J64" s="766"/>
      <c r="K64" s="766"/>
      <c r="L64" s="766"/>
      <c r="M64" s="766"/>
      <c r="N64" s="767"/>
      <c r="O64" s="767"/>
      <c r="P64" s="767"/>
      <c r="Q64" s="767"/>
      <c r="R64" s="767"/>
      <c r="S64" s="767"/>
      <c r="T64" s="767"/>
      <c r="U64" s="767"/>
      <c r="V64" s="767"/>
      <c r="W64" s="767"/>
      <c r="X64" s="767"/>
      <c r="Y64" s="767"/>
      <c r="Z64" s="767"/>
      <c r="AA64" s="767"/>
    </row>
    <row r="65" spans="1:27" s="102" customFormat="1">
      <c r="A65" s="766"/>
      <c r="B65" s="766"/>
      <c r="C65" s="766"/>
      <c r="D65" s="766"/>
      <c r="E65" s="766"/>
      <c r="F65" s="766"/>
      <c r="G65" s="766"/>
      <c r="H65" s="766"/>
      <c r="I65" s="766"/>
      <c r="J65" s="766"/>
      <c r="K65" s="766"/>
      <c r="L65" s="766"/>
      <c r="M65" s="766"/>
      <c r="N65" s="767"/>
      <c r="O65" s="767"/>
      <c r="P65" s="767"/>
      <c r="Q65" s="767"/>
      <c r="R65" s="767"/>
      <c r="S65" s="767"/>
      <c r="T65" s="767"/>
      <c r="U65" s="767"/>
      <c r="V65" s="767"/>
      <c r="W65" s="767"/>
      <c r="X65" s="767"/>
      <c r="Y65" s="767"/>
      <c r="Z65" s="767"/>
      <c r="AA65" s="767"/>
    </row>
    <row r="66" spans="1:27" s="102" customFormat="1">
      <c r="A66" s="766"/>
      <c r="B66" s="766"/>
      <c r="C66" s="766"/>
      <c r="D66" s="766"/>
      <c r="E66" s="766"/>
      <c r="F66" s="766"/>
      <c r="G66" s="766"/>
      <c r="H66" s="766"/>
      <c r="I66" s="766"/>
      <c r="J66" s="766"/>
      <c r="K66" s="766"/>
      <c r="L66" s="766"/>
      <c r="M66" s="766"/>
      <c r="N66" s="767"/>
      <c r="O66" s="767"/>
      <c r="P66" s="767"/>
      <c r="Q66" s="767"/>
      <c r="R66" s="767"/>
      <c r="S66" s="767"/>
      <c r="T66" s="767"/>
      <c r="U66" s="767"/>
      <c r="V66" s="767"/>
      <c r="W66" s="767"/>
      <c r="X66" s="767"/>
      <c r="Y66" s="767"/>
      <c r="Z66" s="767"/>
      <c r="AA66" s="767"/>
    </row>
    <row r="67" spans="1:27" s="102" customFormat="1">
      <c r="A67" s="766"/>
      <c r="B67" s="766"/>
      <c r="C67" s="766"/>
      <c r="D67" s="766"/>
      <c r="E67" s="766"/>
      <c r="F67" s="766"/>
      <c r="G67" s="766"/>
      <c r="H67" s="766"/>
      <c r="I67" s="766"/>
      <c r="J67" s="766"/>
      <c r="K67" s="766"/>
      <c r="L67" s="766"/>
      <c r="M67" s="766"/>
      <c r="N67" s="767"/>
      <c r="O67" s="767"/>
      <c r="P67" s="767"/>
      <c r="Q67" s="767"/>
      <c r="R67" s="767"/>
      <c r="S67" s="767"/>
      <c r="T67" s="767"/>
      <c r="U67" s="767"/>
      <c r="V67" s="767"/>
      <c r="W67" s="767"/>
      <c r="X67" s="767"/>
      <c r="Y67" s="767"/>
      <c r="Z67" s="767"/>
      <c r="AA67" s="767"/>
    </row>
    <row r="68" spans="1:27" s="102" customFormat="1">
      <c r="A68" s="122"/>
      <c r="B68" s="122"/>
      <c r="C68" s="122"/>
      <c r="D68" s="122"/>
      <c r="E68" s="122"/>
      <c r="F68" s="122"/>
      <c r="G68" s="122"/>
      <c r="H68" s="122"/>
      <c r="I68" s="122"/>
      <c r="J68" s="122"/>
      <c r="K68" s="122"/>
      <c r="L68" s="122"/>
      <c r="M68" s="122"/>
    </row>
    <row r="69" spans="1:27" s="102" customFormat="1">
      <c r="A69" s="122"/>
      <c r="B69" s="122"/>
      <c r="C69" s="122"/>
      <c r="D69" s="122"/>
      <c r="E69" s="122"/>
      <c r="F69" s="122"/>
      <c r="G69" s="122"/>
      <c r="H69" s="122"/>
      <c r="I69" s="122"/>
      <c r="J69" s="122"/>
      <c r="K69" s="122"/>
      <c r="L69" s="122"/>
      <c r="M69" s="122"/>
    </row>
    <row r="70" spans="1:27" s="102" customFormat="1">
      <c r="A70" s="122"/>
      <c r="B70" s="122"/>
      <c r="C70" s="122"/>
      <c r="D70" s="122"/>
      <c r="E70" s="122"/>
      <c r="F70" s="122"/>
      <c r="G70" s="122"/>
      <c r="H70" s="122"/>
      <c r="I70" s="122"/>
      <c r="J70" s="122"/>
      <c r="K70" s="122"/>
      <c r="L70" s="122"/>
      <c r="M70" s="122"/>
    </row>
    <row r="71" spans="1:27" s="102" customFormat="1">
      <c r="A71" s="122"/>
      <c r="B71" s="122"/>
      <c r="C71" s="122"/>
      <c r="D71" s="122"/>
      <c r="E71" s="122"/>
      <c r="F71" s="122"/>
      <c r="G71" s="122"/>
      <c r="H71" s="122"/>
      <c r="I71" s="122"/>
      <c r="J71" s="122"/>
      <c r="K71" s="122"/>
      <c r="L71" s="122"/>
      <c r="M71" s="122"/>
    </row>
    <row r="72" spans="1:27" s="102" customFormat="1">
      <c r="A72" s="122"/>
      <c r="B72" s="122"/>
      <c r="C72" s="122"/>
      <c r="D72" s="122"/>
      <c r="E72" s="122"/>
      <c r="F72" s="122"/>
      <c r="G72" s="122"/>
      <c r="H72" s="122"/>
      <c r="I72" s="122"/>
      <c r="J72" s="122"/>
      <c r="K72" s="122"/>
      <c r="L72" s="122"/>
      <c r="M72" s="122"/>
    </row>
    <row r="73" spans="1:27" s="102" customFormat="1">
      <c r="A73" s="122"/>
      <c r="B73" s="122"/>
      <c r="C73" s="122"/>
      <c r="D73" s="122"/>
      <c r="E73" s="122"/>
      <c r="F73" s="122"/>
      <c r="G73" s="122"/>
      <c r="H73" s="122"/>
      <c r="I73" s="122"/>
      <c r="J73" s="122"/>
      <c r="K73" s="122"/>
      <c r="L73" s="122"/>
      <c r="M73" s="122"/>
    </row>
    <row r="74" spans="1:27" s="102" customFormat="1">
      <c r="A74" s="122"/>
      <c r="B74" s="122"/>
      <c r="C74" s="122"/>
      <c r="D74" s="122"/>
      <c r="E74" s="122"/>
      <c r="F74" s="122"/>
      <c r="G74" s="122"/>
      <c r="H74" s="122"/>
      <c r="I74" s="122"/>
      <c r="J74" s="122"/>
      <c r="K74" s="122"/>
      <c r="L74" s="122"/>
      <c r="M74" s="122"/>
    </row>
    <row r="75" spans="1:27" s="102" customFormat="1">
      <c r="A75" s="122"/>
      <c r="B75" s="122"/>
      <c r="C75" s="122"/>
      <c r="D75" s="122"/>
      <c r="E75" s="122"/>
      <c r="F75" s="122"/>
      <c r="G75" s="122"/>
      <c r="H75" s="122"/>
      <c r="I75" s="122"/>
      <c r="J75" s="122"/>
      <c r="K75" s="122"/>
      <c r="L75" s="122"/>
      <c r="M75" s="122"/>
    </row>
    <row r="76" spans="1:27" s="102" customFormat="1">
      <c r="A76" s="122"/>
      <c r="B76" s="122"/>
      <c r="C76" s="122"/>
      <c r="D76" s="122"/>
      <c r="E76" s="122"/>
      <c r="F76" s="122"/>
      <c r="G76" s="122"/>
      <c r="H76" s="122"/>
      <c r="I76" s="122"/>
      <c r="J76" s="122"/>
      <c r="K76" s="122"/>
      <c r="L76" s="122"/>
      <c r="M76" s="122"/>
    </row>
    <row r="77" spans="1:27" s="102" customFormat="1">
      <c r="A77" s="122"/>
      <c r="B77" s="122"/>
      <c r="C77" s="122"/>
      <c r="D77" s="122"/>
      <c r="E77" s="122"/>
      <c r="F77" s="122"/>
      <c r="G77" s="122"/>
      <c r="H77" s="122"/>
      <c r="I77" s="122"/>
      <c r="J77" s="122"/>
      <c r="K77" s="122"/>
      <c r="L77" s="122"/>
      <c r="M77" s="122"/>
    </row>
    <row r="78" spans="1:27" s="102" customFormat="1">
      <c r="A78" s="122"/>
      <c r="B78" s="122"/>
      <c r="C78" s="122"/>
      <c r="D78" s="122"/>
      <c r="E78" s="122"/>
      <c r="F78" s="122"/>
      <c r="G78" s="122"/>
      <c r="H78" s="122"/>
      <c r="I78" s="122"/>
      <c r="J78" s="122"/>
      <c r="K78" s="122"/>
      <c r="L78" s="122"/>
      <c r="M78" s="122"/>
    </row>
    <row r="79" spans="1:27" s="102" customFormat="1">
      <c r="A79" s="122"/>
      <c r="B79" s="122"/>
      <c r="C79" s="122"/>
      <c r="D79" s="122"/>
      <c r="E79" s="122"/>
      <c r="F79" s="122"/>
      <c r="G79" s="122"/>
      <c r="H79" s="122"/>
      <c r="I79" s="122"/>
      <c r="J79" s="122"/>
      <c r="K79" s="122"/>
      <c r="L79" s="122"/>
      <c r="M79" s="122"/>
    </row>
    <row r="80" spans="1:27" s="102" customFormat="1">
      <c r="A80" s="122"/>
      <c r="B80" s="122"/>
      <c r="C80" s="122"/>
      <c r="D80" s="122"/>
      <c r="E80" s="122"/>
      <c r="F80" s="122"/>
      <c r="G80" s="122"/>
      <c r="H80" s="122"/>
      <c r="I80" s="122"/>
      <c r="J80" s="122"/>
      <c r="K80" s="122"/>
      <c r="L80" s="122"/>
      <c r="M80" s="122"/>
    </row>
    <row r="81" spans="1:13" s="102" customFormat="1">
      <c r="A81" s="122"/>
      <c r="B81" s="122"/>
      <c r="C81" s="122"/>
      <c r="D81" s="122"/>
      <c r="E81" s="122"/>
      <c r="F81" s="122"/>
      <c r="G81" s="122"/>
      <c r="H81" s="122"/>
      <c r="I81" s="122"/>
      <c r="J81" s="122"/>
      <c r="K81" s="122"/>
      <c r="L81" s="122"/>
      <c r="M81" s="122"/>
    </row>
    <row r="82" spans="1:13" s="102" customFormat="1">
      <c r="A82" s="122"/>
      <c r="B82" s="122"/>
      <c r="C82" s="122"/>
      <c r="D82" s="122"/>
      <c r="E82" s="122"/>
      <c r="F82" s="122"/>
      <c r="G82" s="122"/>
      <c r="H82" s="122"/>
      <c r="I82" s="122"/>
      <c r="J82" s="122"/>
      <c r="K82" s="122"/>
      <c r="L82" s="122"/>
      <c r="M82" s="122"/>
    </row>
    <row r="83" spans="1:13" s="102" customFormat="1">
      <c r="A83" s="122"/>
      <c r="B83" s="122"/>
      <c r="C83" s="122"/>
      <c r="D83" s="122"/>
      <c r="E83" s="122"/>
      <c r="F83" s="122"/>
      <c r="G83" s="122"/>
      <c r="H83" s="122"/>
      <c r="I83" s="122"/>
      <c r="J83" s="122"/>
      <c r="K83" s="122"/>
      <c r="L83" s="122"/>
      <c r="M83" s="122"/>
    </row>
    <row r="84" spans="1:13" s="102" customFormat="1">
      <c r="A84" s="122"/>
      <c r="B84" s="122"/>
      <c r="C84" s="122"/>
      <c r="D84" s="122"/>
      <c r="E84" s="122"/>
      <c r="F84" s="122"/>
      <c r="G84" s="122"/>
      <c r="H84" s="122"/>
      <c r="I84" s="122"/>
      <c r="J84" s="122"/>
      <c r="K84" s="122"/>
      <c r="L84" s="122"/>
      <c r="M84" s="122"/>
    </row>
    <row r="85" spans="1:13" s="102" customFormat="1">
      <c r="A85" s="122"/>
      <c r="B85" s="122"/>
      <c r="C85" s="122"/>
      <c r="D85" s="122"/>
      <c r="E85" s="122"/>
      <c r="F85" s="122"/>
      <c r="G85" s="122"/>
      <c r="H85" s="122"/>
      <c r="I85" s="122"/>
      <c r="J85" s="122"/>
      <c r="K85" s="122"/>
      <c r="L85" s="122"/>
      <c r="M85" s="122"/>
    </row>
    <row r="86" spans="1:13" s="102" customFormat="1">
      <c r="A86" s="122"/>
      <c r="B86" s="122"/>
      <c r="C86" s="122"/>
      <c r="D86" s="122"/>
      <c r="E86" s="122"/>
      <c r="F86" s="122"/>
      <c r="G86" s="122"/>
      <c r="H86" s="122"/>
      <c r="I86" s="122"/>
      <c r="J86" s="122"/>
      <c r="K86" s="122"/>
      <c r="L86" s="122"/>
      <c r="M86" s="122"/>
    </row>
    <row r="87" spans="1:13" s="102" customFormat="1">
      <c r="A87" s="122"/>
      <c r="B87" s="122"/>
      <c r="C87" s="122"/>
      <c r="D87" s="122"/>
      <c r="E87" s="122"/>
      <c r="F87" s="122"/>
      <c r="G87" s="122"/>
      <c r="H87" s="122"/>
      <c r="I87" s="122"/>
      <c r="J87" s="122"/>
      <c r="K87" s="122"/>
      <c r="L87" s="122"/>
      <c r="M87" s="122"/>
    </row>
    <row r="88" spans="1:13" s="102" customFormat="1">
      <c r="A88" s="122"/>
      <c r="B88" s="122"/>
      <c r="C88" s="122"/>
      <c r="D88" s="122"/>
      <c r="E88" s="122"/>
      <c r="F88" s="122"/>
      <c r="G88" s="122"/>
      <c r="H88" s="122"/>
      <c r="I88" s="122"/>
      <c r="J88" s="122"/>
      <c r="K88" s="122"/>
      <c r="L88" s="122"/>
      <c r="M88" s="122"/>
    </row>
    <row r="89" spans="1:13" s="102" customFormat="1">
      <c r="A89" s="122"/>
      <c r="B89" s="122"/>
      <c r="C89" s="122"/>
      <c r="D89" s="122"/>
      <c r="E89" s="122"/>
      <c r="F89" s="122"/>
      <c r="G89" s="122"/>
      <c r="H89" s="122"/>
      <c r="I89" s="122"/>
      <c r="J89" s="122"/>
      <c r="K89" s="122"/>
      <c r="L89" s="122"/>
      <c r="M89" s="122"/>
    </row>
    <row r="90" spans="1:13" s="102" customFormat="1">
      <c r="A90" s="122"/>
      <c r="B90" s="122"/>
      <c r="C90" s="122"/>
      <c r="D90" s="122"/>
      <c r="E90" s="122"/>
      <c r="F90" s="122"/>
      <c r="G90" s="122"/>
      <c r="H90" s="122"/>
      <c r="I90" s="122"/>
      <c r="J90" s="122"/>
      <c r="K90" s="122"/>
      <c r="L90" s="122"/>
      <c r="M90" s="122"/>
    </row>
    <row r="91" spans="1:13" s="102" customFormat="1">
      <c r="A91" s="122"/>
      <c r="B91" s="122"/>
      <c r="C91" s="122"/>
      <c r="D91" s="122"/>
      <c r="E91" s="122"/>
      <c r="F91" s="122"/>
      <c r="G91" s="122"/>
      <c r="H91" s="122"/>
      <c r="I91" s="122"/>
      <c r="J91" s="122"/>
      <c r="K91" s="122"/>
      <c r="L91" s="122"/>
      <c r="M91" s="122"/>
    </row>
    <row r="92" spans="1:13" s="102" customFormat="1">
      <c r="A92" s="122"/>
      <c r="B92" s="122"/>
      <c r="C92" s="122"/>
      <c r="D92" s="122"/>
      <c r="E92" s="122"/>
      <c r="F92" s="122"/>
      <c r="G92" s="122"/>
      <c r="H92" s="122"/>
      <c r="I92" s="122"/>
      <c r="J92" s="122"/>
      <c r="K92" s="122"/>
      <c r="L92" s="122"/>
      <c r="M92" s="122"/>
    </row>
    <row r="93" spans="1:13" s="102" customFormat="1">
      <c r="A93" s="122"/>
      <c r="B93" s="122"/>
      <c r="C93" s="122"/>
      <c r="D93" s="122"/>
      <c r="E93" s="122"/>
      <c r="F93" s="122"/>
      <c r="G93" s="122"/>
      <c r="H93" s="122"/>
      <c r="I93" s="122"/>
      <c r="J93" s="122"/>
      <c r="K93" s="122"/>
      <c r="L93" s="122"/>
      <c r="M93" s="122"/>
    </row>
    <row r="94" spans="1:13" s="102" customFormat="1">
      <c r="A94" s="122"/>
      <c r="B94" s="122"/>
      <c r="C94" s="122"/>
      <c r="D94" s="122"/>
      <c r="E94" s="122"/>
      <c r="F94" s="122"/>
      <c r="G94" s="122"/>
      <c r="H94" s="122"/>
      <c r="I94" s="122"/>
      <c r="J94" s="122"/>
      <c r="K94" s="122"/>
      <c r="L94" s="122"/>
      <c r="M94" s="122"/>
    </row>
    <row r="95" spans="1:13" s="102" customFormat="1">
      <c r="A95" s="122"/>
      <c r="B95" s="122"/>
      <c r="C95" s="122"/>
      <c r="D95" s="122"/>
      <c r="E95" s="122"/>
      <c r="F95" s="122"/>
      <c r="G95" s="122"/>
      <c r="H95" s="122"/>
      <c r="I95" s="122"/>
      <c r="J95" s="122"/>
      <c r="K95" s="122"/>
      <c r="L95" s="122"/>
      <c r="M95" s="122"/>
    </row>
    <row r="96" spans="1:13" s="102" customFormat="1">
      <c r="A96" s="122"/>
      <c r="B96" s="122"/>
      <c r="C96" s="122"/>
      <c r="D96" s="122"/>
      <c r="E96" s="122"/>
      <c r="F96" s="122"/>
      <c r="G96" s="122"/>
      <c r="H96" s="122"/>
      <c r="I96" s="122"/>
      <c r="J96" s="122"/>
      <c r="K96" s="122"/>
      <c r="L96" s="122"/>
      <c r="M96" s="122"/>
    </row>
    <row r="97" spans="1:13" s="102" customFormat="1">
      <c r="A97" s="122"/>
      <c r="B97" s="122"/>
      <c r="C97" s="122"/>
      <c r="D97" s="122"/>
      <c r="E97" s="122"/>
      <c r="F97" s="122"/>
      <c r="G97" s="122"/>
      <c r="H97" s="122"/>
      <c r="I97" s="122"/>
      <c r="J97" s="122"/>
      <c r="K97" s="122"/>
      <c r="L97" s="122"/>
      <c r="M97" s="122"/>
    </row>
    <row r="98" spans="1:13" s="102" customFormat="1">
      <c r="A98" s="122"/>
      <c r="B98" s="122"/>
      <c r="C98" s="122"/>
      <c r="D98" s="122"/>
      <c r="E98" s="122"/>
      <c r="F98" s="122"/>
      <c r="G98" s="122"/>
      <c r="H98" s="122"/>
      <c r="I98" s="122"/>
      <c r="J98" s="122"/>
      <c r="K98" s="122"/>
      <c r="L98" s="122"/>
      <c r="M98" s="122"/>
    </row>
    <row r="99" spans="1:13" s="102" customFormat="1">
      <c r="A99" s="122"/>
      <c r="B99" s="122"/>
      <c r="C99" s="122"/>
      <c r="D99" s="122"/>
      <c r="E99" s="122"/>
      <c r="F99" s="122"/>
      <c r="G99" s="122"/>
      <c r="H99" s="122"/>
      <c r="I99" s="122"/>
      <c r="J99" s="122"/>
      <c r="K99" s="122"/>
      <c r="L99" s="122"/>
      <c r="M99" s="122"/>
    </row>
    <row r="100" spans="1:13" s="102" customFormat="1">
      <c r="A100" s="122"/>
      <c r="B100" s="122"/>
      <c r="C100" s="122"/>
      <c r="D100" s="122"/>
      <c r="E100" s="122"/>
      <c r="F100" s="122"/>
      <c r="G100" s="122"/>
      <c r="H100" s="122"/>
      <c r="I100" s="122"/>
      <c r="J100" s="122"/>
      <c r="K100" s="122"/>
      <c r="L100" s="122"/>
      <c r="M100" s="122"/>
    </row>
    <row r="101" spans="1:13" s="102" customFormat="1">
      <c r="A101" s="122"/>
      <c r="B101" s="122"/>
      <c r="C101" s="122"/>
      <c r="D101" s="122"/>
      <c r="E101" s="122"/>
      <c r="F101" s="122"/>
      <c r="G101" s="122"/>
      <c r="H101" s="122"/>
      <c r="I101" s="122"/>
      <c r="J101" s="122"/>
      <c r="K101" s="122"/>
      <c r="L101" s="122"/>
      <c r="M101" s="122"/>
    </row>
    <row r="102" spans="1:13" s="102" customFormat="1">
      <c r="A102" s="122"/>
      <c r="B102" s="122"/>
      <c r="C102" s="122"/>
      <c r="D102" s="122"/>
      <c r="E102" s="122"/>
      <c r="F102" s="122"/>
      <c r="G102" s="122"/>
      <c r="H102" s="122"/>
      <c r="I102" s="122"/>
      <c r="J102" s="122"/>
      <c r="K102" s="122"/>
      <c r="L102" s="122"/>
      <c r="M102" s="122"/>
    </row>
    <row r="103" spans="1:13" s="102" customFormat="1">
      <c r="A103" s="122"/>
      <c r="B103" s="122"/>
      <c r="C103" s="122"/>
      <c r="D103" s="122"/>
      <c r="E103" s="122"/>
      <c r="F103" s="122"/>
      <c r="G103" s="122"/>
      <c r="H103" s="122"/>
      <c r="I103" s="122"/>
      <c r="J103" s="122"/>
      <c r="K103" s="122"/>
      <c r="L103" s="122"/>
      <c r="M103" s="122"/>
    </row>
    <row r="104" spans="1:13" s="102" customFormat="1">
      <c r="A104" s="122"/>
      <c r="B104" s="122"/>
      <c r="C104" s="122"/>
      <c r="D104" s="122"/>
      <c r="E104" s="122"/>
      <c r="F104" s="122"/>
      <c r="G104" s="122"/>
      <c r="H104" s="122"/>
      <c r="I104" s="122"/>
      <c r="J104" s="122"/>
      <c r="K104" s="122"/>
      <c r="L104" s="122"/>
      <c r="M104" s="122"/>
    </row>
    <row r="105" spans="1:13" s="102" customFormat="1">
      <c r="A105" s="122"/>
      <c r="B105" s="122"/>
      <c r="C105" s="122"/>
      <c r="D105" s="122"/>
      <c r="E105" s="122"/>
      <c r="F105" s="122"/>
      <c r="G105" s="122"/>
      <c r="H105" s="122"/>
      <c r="I105" s="122"/>
      <c r="J105" s="122"/>
      <c r="K105" s="122"/>
      <c r="L105" s="122"/>
      <c r="M105" s="122"/>
    </row>
    <row r="106" spans="1:13" s="102" customFormat="1">
      <c r="A106" s="122"/>
      <c r="B106" s="122"/>
      <c r="C106" s="122"/>
      <c r="D106" s="122"/>
      <c r="E106" s="122"/>
      <c r="F106" s="122"/>
      <c r="G106" s="122"/>
      <c r="H106" s="122"/>
      <c r="I106" s="122"/>
      <c r="J106" s="122"/>
      <c r="K106" s="122"/>
      <c r="L106" s="122"/>
      <c r="M106" s="122"/>
    </row>
    <row r="107" spans="1:13" s="102" customFormat="1">
      <c r="A107" s="122"/>
      <c r="B107" s="122"/>
      <c r="C107" s="122"/>
      <c r="D107" s="122"/>
      <c r="E107" s="122"/>
      <c r="F107" s="122"/>
      <c r="G107" s="122"/>
      <c r="H107" s="122"/>
      <c r="I107" s="122"/>
      <c r="J107" s="122"/>
      <c r="K107" s="122"/>
      <c r="L107" s="122"/>
      <c r="M107" s="122"/>
    </row>
    <row r="108" spans="1:13" s="102" customFormat="1">
      <c r="A108" s="122"/>
      <c r="B108" s="122"/>
      <c r="C108" s="122"/>
      <c r="D108" s="122"/>
      <c r="E108" s="122"/>
      <c r="F108" s="122"/>
      <c r="G108" s="122"/>
      <c r="H108" s="122"/>
      <c r="I108" s="122"/>
      <c r="J108" s="122"/>
      <c r="K108" s="122"/>
      <c r="L108" s="122"/>
      <c r="M108" s="122"/>
    </row>
    <row r="109" spans="1:13" s="102" customFormat="1">
      <c r="A109" s="122"/>
      <c r="B109" s="122"/>
      <c r="C109" s="122"/>
      <c r="D109" s="122"/>
      <c r="E109" s="122"/>
      <c r="F109" s="122"/>
      <c r="G109" s="122"/>
      <c r="H109" s="122"/>
      <c r="I109" s="122"/>
      <c r="J109" s="122"/>
      <c r="K109" s="122"/>
      <c r="L109" s="122"/>
      <c r="M109" s="122"/>
    </row>
    <row r="110" spans="1:13" s="102" customFormat="1">
      <c r="A110" s="122"/>
      <c r="B110" s="122"/>
      <c r="C110" s="122"/>
      <c r="D110" s="122"/>
      <c r="E110" s="122"/>
      <c r="F110" s="122"/>
      <c r="G110" s="122"/>
      <c r="H110" s="122"/>
      <c r="I110" s="122"/>
      <c r="J110" s="122"/>
      <c r="K110" s="122"/>
      <c r="L110" s="122"/>
      <c r="M110" s="122"/>
    </row>
    <row r="111" spans="1:13" s="102" customFormat="1">
      <c r="A111" s="122"/>
      <c r="B111" s="122"/>
      <c r="C111" s="122"/>
      <c r="D111" s="122"/>
      <c r="E111" s="122"/>
      <c r="F111" s="122"/>
      <c r="G111" s="122"/>
      <c r="H111" s="122"/>
      <c r="I111" s="122"/>
      <c r="J111" s="122"/>
      <c r="K111" s="122"/>
      <c r="L111" s="122"/>
      <c r="M111" s="122"/>
    </row>
    <row r="112" spans="1:13" s="102" customFormat="1">
      <c r="A112" s="122"/>
      <c r="B112" s="122"/>
      <c r="C112" s="122"/>
      <c r="D112" s="122"/>
      <c r="E112" s="122"/>
      <c r="F112" s="122"/>
      <c r="G112" s="122"/>
      <c r="H112" s="122"/>
      <c r="I112" s="122"/>
      <c r="J112" s="122"/>
      <c r="K112" s="122"/>
      <c r="L112" s="122"/>
      <c r="M112" s="122"/>
    </row>
    <row r="113" spans="1:13" s="102" customFormat="1">
      <c r="A113" s="122"/>
      <c r="B113" s="122"/>
      <c r="C113" s="122"/>
      <c r="D113" s="122"/>
      <c r="E113" s="122"/>
      <c r="F113" s="122"/>
      <c r="G113" s="122"/>
      <c r="H113" s="122"/>
      <c r="I113" s="122"/>
      <c r="J113" s="122"/>
      <c r="K113" s="122"/>
      <c r="L113" s="122"/>
      <c r="M113" s="122"/>
    </row>
    <row r="114" spans="1:13" s="102" customFormat="1">
      <c r="A114" s="122"/>
      <c r="B114" s="122"/>
      <c r="C114" s="122"/>
      <c r="D114" s="122"/>
      <c r="E114" s="122"/>
      <c r="F114" s="122"/>
      <c r="G114" s="122"/>
      <c r="H114" s="122"/>
      <c r="I114" s="122"/>
      <c r="J114" s="122"/>
      <c r="K114" s="122"/>
      <c r="L114" s="122"/>
      <c r="M114" s="122"/>
    </row>
    <row r="115" spans="1:13" s="102" customFormat="1">
      <c r="A115" s="122"/>
      <c r="B115" s="122"/>
      <c r="C115" s="122"/>
      <c r="D115" s="122"/>
      <c r="E115" s="122"/>
      <c r="F115" s="122"/>
      <c r="G115" s="122"/>
      <c r="H115" s="122"/>
      <c r="I115" s="122"/>
      <c r="J115" s="122"/>
      <c r="K115" s="122"/>
      <c r="L115" s="122"/>
      <c r="M115" s="122"/>
    </row>
    <row r="116" spans="1:13" s="102" customFormat="1">
      <c r="A116" s="122"/>
      <c r="B116" s="122"/>
      <c r="C116" s="122"/>
      <c r="D116" s="122"/>
      <c r="E116" s="122"/>
      <c r="F116" s="122"/>
      <c r="G116" s="122"/>
      <c r="H116" s="122"/>
      <c r="I116" s="122"/>
      <c r="J116" s="122"/>
      <c r="K116" s="122"/>
      <c r="L116" s="122"/>
      <c r="M116" s="122"/>
    </row>
    <row r="117" spans="1:13" s="102" customFormat="1">
      <c r="A117" s="122"/>
      <c r="B117" s="122"/>
      <c r="C117" s="122"/>
      <c r="D117" s="122"/>
      <c r="E117" s="122"/>
      <c r="F117" s="122"/>
      <c r="G117" s="122"/>
      <c r="H117" s="122"/>
      <c r="I117" s="122"/>
      <c r="J117" s="122"/>
      <c r="K117" s="122"/>
      <c r="L117" s="122"/>
      <c r="M117" s="122"/>
    </row>
    <row r="118" spans="1:13" s="102" customFormat="1">
      <c r="A118" s="122"/>
      <c r="B118" s="122"/>
      <c r="C118" s="122"/>
      <c r="D118" s="122"/>
      <c r="E118" s="122"/>
      <c r="F118" s="122"/>
      <c r="G118" s="122"/>
      <c r="H118" s="122"/>
      <c r="I118" s="122"/>
      <c r="J118" s="122"/>
      <c r="K118" s="122"/>
      <c r="L118" s="122"/>
      <c r="M118" s="122"/>
    </row>
    <row r="119" spans="1:13" s="102" customFormat="1">
      <c r="A119" s="122"/>
      <c r="B119" s="122"/>
      <c r="C119" s="122"/>
      <c r="D119" s="122"/>
      <c r="E119" s="122"/>
      <c r="F119" s="122"/>
      <c r="G119" s="122"/>
      <c r="H119" s="122"/>
      <c r="I119" s="122"/>
      <c r="J119" s="122"/>
      <c r="K119" s="122"/>
      <c r="L119" s="122"/>
      <c r="M119" s="122"/>
    </row>
    <row r="120" spans="1:13" s="102" customFormat="1">
      <c r="A120" s="122"/>
      <c r="B120" s="122"/>
      <c r="C120" s="122"/>
      <c r="D120" s="122"/>
      <c r="E120" s="122"/>
      <c r="F120" s="122"/>
      <c r="G120" s="122"/>
      <c r="H120" s="122"/>
      <c r="I120" s="122"/>
      <c r="J120" s="122"/>
      <c r="K120" s="122"/>
      <c r="L120" s="122"/>
      <c r="M120" s="122"/>
    </row>
    <row r="121" spans="1:13" s="102" customFormat="1">
      <c r="A121" s="122"/>
      <c r="B121" s="122"/>
      <c r="C121" s="122"/>
      <c r="D121" s="122"/>
      <c r="E121" s="122"/>
      <c r="F121" s="122"/>
      <c r="G121" s="122"/>
      <c r="H121" s="122"/>
      <c r="I121" s="122"/>
      <c r="J121" s="122"/>
      <c r="K121" s="122"/>
      <c r="L121" s="122"/>
      <c r="M121" s="122"/>
    </row>
    <row r="122" spans="1:13" s="102" customFormat="1">
      <c r="A122" s="122"/>
      <c r="B122" s="122"/>
      <c r="C122" s="122"/>
      <c r="D122" s="122"/>
      <c r="E122" s="122"/>
      <c r="F122" s="122"/>
      <c r="G122" s="122"/>
      <c r="H122" s="122"/>
      <c r="I122" s="122"/>
      <c r="J122" s="122"/>
      <c r="K122" s="122"/>
      <c r="L122" s="122"/>
      <c r="M122" s="122"/>
    </row>
    <row r="123" spans="1:13" s="102" customFormat="1">
      <c r="A123" s="122"/>
      <c r="B123" s="122"/>
      <c r="C123" s="122"/>
      <c r="D123" s="122"/>
      <c r="E123" s="122"/>
      <c r="F123" s="122"/>
      <c r="G123" s="122"/>
      <c r="H123" s="122"/>
      <c r="I123" s="122"/>
      <c r="J123" s="122"/>
      <c r="K123" s="122"/>
      <c r="L123" s="122"/>
      <c r="M123" s="122"/>
    </row>
    <row r="124" spans="1:13" s="102" customFormat="1">
      <c r="A124" s="122"/>
      <c r="B124" s="122"/>
      <c r="C124" s="122"/>
      <c r="D124" s="122"/>
      <c r="E124" s="122"/>
      <c r="F124" s="122"/>
      <c r="G124" s="122"/>
      <c r="H124" s="122"/>
      <c r="I124" s="122"/>
      <c r="J124" s="122"/>
      <c r="K124" s="122"/>
      <c r="L124" s="122"/>
      <c r="M124" s="122"/>
    </row>
    <row r="125" spans="1:13" s="102" customFormat="1">
      <c r="A125" s="122"/>
      <c r="B125" s="122"/>
      <c r="C125" s="122"/>
      <c r="D125" s="122"/>
      <c r="E125" s="122"/>
      <c r="F125" s="122"/>
      <c r="G125" s="122"/>
      <c r="H125" s="122"/>
      <c r="I125" s="122"/>
      <c r="J125" s="122"/>
      <c r="K125" s="122"/>
      <c r="L125" s="122"/>
      <c r="M125" s="122"/>
    </row>
    <row r="126" spans="1:13" s="102" customFormat="1">
      <c r="A126" s="122"/>
      <c r="B126" s="122"/>
      <c r="C126" s="122"/>
      <c r="D126" s="122"/>
      <c r="E126" s="122"/>
      <c r="F126" s="122"/>
      <c r="G126" s="122"/>
      <c r="H126" s="122"/>
      <c r="I126" s="122"/>
      <c r="J126" s="122"/>
      <c r="K126" s="122"/>
      <c r="L126" s="122"/>
      <c r="M126" s="122"/>
    </row>
    <row r="127" spans="1:13" s="102" customFormat="1">
      <c r="A127" s="122"/>
      <c r="B127" s="122"/>
      <c r="C127" s="122"/>
      <c r="D127" s="122"/>
      <c r="E127" s="122"/>
      <c r="F127" s="122"/>
      <c r="G127" s="122"/>
      <c r="H127" s="122"/>
      <c r="I127" s="122"/>
      <c r="J127" s="122"/>
      <c r="K127" s="122"/>
      <c r="L127" s="122"/>
      <c r="M127" s="122"/>
    </row>
    <row r="128" spans="1:13" s="102" customFormat="1">
      <c r="A128" s="122"/>
      <c r="B128" s="122"/>
      <c r="C128" s="122"/>
      <c r="D128" s="122"/>
      <c r="E128" s="122"/>
      <c r="F128" s="122"/>
      <c r="G128" s="122"/>
      <c r="H128" s="122"/>
      <c r="I128" s="122"/>
      <c r="J128" s="122"/>
      <c r="K128" s="122"/>
      <c r="L128" s="122"/>
      <c r="M128" s="122"/>
    </row>
    <row r="129" spans="1:13" s="102" customFormat="1">
      <c r="A129" s="122"/>
      <c r="B129" s="122"/>
      <c r="C129" s="122"/>
      <c r="D129" s="122"/>
      <c r="E129" s="122"/>
      <c r="F129" s="122"/>
      <c r="G129" s="122"/>
      <c r="H129" s="122"/>
      <c r="I129" s="122"/>
      <c r="J129" s="122"/>
      <c r="K129" s="122"/>
      <c r="L129" s="122"/>
      <c r="M129" s="122"/>
    </row>
    <row r="130" spans="1:13" s="102" customFormat="1">
      <c r="A130" s="122"/>
      <c r="B130" s="122"/>
      <c r="C130" s="122"/>
      <c r="D130" s="122"/>
      <c r="E130" s="122"/>
      <c r="F130" s="122"/>
      <c r="G130" s="122"/>
      <c r="H130" s="122"/>
      <c r="I130" s="122"/>
      <c r="J130" s="122"/>
      <c r="K130" s="122"/>
      <c r="L130" s="122"/>
      <c r="M130" s="122"/>
    </row>
    <row r="131" spans="1:13" s="102" customFormat="1">
      <c r="A131" s="122"/>
      <c r="B131" s="122"/>
      <c r="C131" s="122"/>
      <c r="D131" s="122"/>
      <c r="E131" s="122"/>
      <c r="F131" s="122"/>
      <c r="G131" s="122"/>
      <c r="H131" s="122"/>
      <c r="I131" s="122"/>
      <c r="J131" s="122"/>
      <c r="K131" s="122"/>
      <c r="L131" s="122"/>
      <c r="M131" s="122"/>
    </row>
    <row r="132" spans="1:13" s="102" customFormat="1">
      <c r="A132" s="122"/>
      <c r="B132" s="122"/>
      <c r="C132" s="122"/>
      <c r="D132" s="122"/>
      <c r="E132" s="122"/>
      <c r="F132" s="122"/>
      <c r="G132" s="122"/>
      <c r="H132" s="122"/>
      <c r="I132" s="122"/>
      <c r="J132" s="122"/>
      <c r="K132" s="122"/>
      <c r="L132" s="122"/>
      <c r="M132" s="122"/>
    </row>
    <row r="133" spans="1:13" s="102" customFormat="1">
      <c r="A133" s="122"/>
      <c r="B133" s="122"/>
      <c r="C133" s="122"/>
      <c r="D133" s="122"/>
      <c r="E133" s="122"/>
      <c r="F133" s="122"/>
      <c r="G133" s="122"/>
      <c r="H133" s="122"/>
      <c r="I133" s="122"/>
      <c r="J133" s="122"/>
      <c r="K133" s="122"/>
      <c r="L133" s="122"/>
      <c r="M133" s="122"/>
    </row>
    <row r="134" spans="1:13" s="102" customFormat="1">
      <c r="A134" s="122"/>
      <c r="B134" s="122"/>
      <c r="C134" s="122"/>
      <c r="D134" s="122"/>
      <c r="E134" s="122"/>
      <c r="F134" s="122"/>
      <c r="G134" s="122"/>
      <c r="H134" s="122"/>
      <c r="I134" s="122"/>
      <c r="J134" s="122"/>
      <c r="K134" s="122"/>
      <c r="L134" s="122"/>
      <c r="M134" s="122"/>
    </row>
    <row r="135" spans="1:13" s="102" customFormat="1">
      <c r="A135" s="122"/>
      <c r="B135" s="122"/>
      <c r="C135" s="122"/>
      <c r="D135" s="122"/>
      <c r="E135" s="122"/>
      <c r="F135" s="122"/>
      <c r="G135" s="122"/>
      <c r="H135" s="122"/>
      <c r="I135" s="122"/>
      <c r="J135" s="122"/>
      <c r="K135" s="122"/>
      <c r="L135" s="122"/>
      <c r="M135" s="122"/>
    </row>
    <row r="136" spans="1:13" s="102" customFormat="1">
      <c r="A136" s="122"/>
      <c r="B136" s="122"/>
      <c r="C136" s="122"/>
      <c r="D136" s="122"/>
      <c r="E136" s="122"/>
      <c r="F136" s="122"/>
      <c r="G136" s="122"/>
      <c r="H136" s="122"/>
      <c r="I136" s="122"/>
      <c r="J136" s="122"/>
      <c r="K136" s="122"/>
      <c r="L136" s="122"/>
      <c r="M136" s="122"/>
    </row>
    <row r="137" spans="1:13" s="102" customFormat="1">
      <c r="A137" s="122"/>
      <c r="B137" s="122"/>
      <c r="C137" s="122"/>
      <c r="D137" s="122"/>
      <c r="E137" s="122"/>
      <c r="F137" s="122"/>
      <c r="G137" s="122"/>
      <c r="H137" s="122"/>
      <c r="I137" s="122"/>
      <c r="J137" s="122"/>
      <c r="K137" s="122"/>
      <c r="L137" s="122"/>
      <c r="M137" s="122"/>
    </row>
    <row r="138" spans="1:13" s="102" customFormat="1">
      <c r="A138" s="122"/>
      <c r="B138" s="122"/>
      <c r="C138" s="122"/>
      <c r="D138" s="122"/>
      <c r="E138" s="122"/>
      <c r="F138" s="122"/>
      <c r="G138" s="122"/>
      <c r="H138" s="122"/>
      <c r="I138" s="122"/>
      <c r="J138" s="122"/>
      <c r="K138" s="122"/>
      <c r="L138" s="122"/>
      <c r="M138" s="122"/>
    </row>
    <row r="139" spans="1:13" s="102" customFormat="1">
      <c r="A139" s="122"/>
      <c r="B139" s="122"/>
      <c r="C139" s="122"/>
      <c r="D139" s="122"/>
      <c r="E139" s="122"/>
      <c r="F139" s="122"/>
      <c r="G139" s="122"/>
      <c r="H139" s="122"/>
      <c r="I139" s="122"/>
      <c r="J139" s="122"/>
      <c r="K139" s="122"/>
      <c r="L139" s="122"/>
      <c r="M139" s="122"/>
    </row>
    <row r="140" spans="1:13" s="102" customFormat="1">
      <c r="A140" s="122"/>
      <c r="B140" s="122"/>
      <c r="C140" s="122"/>
      <c r="D140" s="122"/>
      <c r="E140" s="122"/>
      <c r="F140" s="122"/>
      <c r="G140" s="122"/>
      <c r="H140" s="122"/>
      <c r="I140" s="122"/>
      <c r="J140" s="122"/>
      <c r="K140" s="122"/>
      <c r="L140" s="122"/>
      <c r="M140" s="122"/>
    </row>
    <row r="141" spans="1:13" s="102" customFormat="1">
      <c r="A141" s="122"/>
      <c r="B141" s="122"/>
      <c r="C141" s="122"/>
      <c r="D141" s="122"/>
      <c r="E141" s="122"/>
      <c r="F141" s="122"/>
      <c r="G141" s="122"/>
      <c r="H141" s="122"/>
      <c r="I141" s="122"/>
      <c r="J141" s="122"/>
      <c r="K141" s="122"/>
      <c r="L141" s="122"/>
      <c r="M141" s="122"/>
    </row>
    <row r="142" spans="1:13" s="102" customFormat="1">
      <c r="A142" s="122"/>
      <c r="B142" s="122"/>
      <c r="C142" s="122"/>
      <c r="D142" s="122"/>
      <c r="E142" s="122"/>
      <c r="F142" s="122"/>
      <c r="G142" s="122"/>
      <c r="H142" s="122"/>
      <c r="I142" s="122"/>
      <c r="J142" s="122"/>
      <c r="K142" s="122"/>
      <c r="L142" s="122"/>
      <c r="M142" s="122"/>
    </row>
    <row r="143" spans="1:13" s="102" customFormat="1">
      <c r="A143" s="122"/>
      <c r="B143" s="122"/>
      <c r="C143" s="122"/>
      <c r="D143" s="122"/>
      <c r="E143" s="122"/>
      <c r="F143" s="122"/>
      <c r="G143" s="122"/>
      <c r="H143" s="122"/>
      <c r="I143" s="122"/>
      <c r="J143" s="122"/>
      <c r="K143" s="122"/>
      <c r="L143" s="122"/>
      <c r="M143" s="122"/>
    </row>
    <row r="144" spans="1:13" s="102" customFormat="1">
      <c r="A144" s="122"/>
      <c r="B144" s="122"/>
      <c r="C144" s="122"/>
      <c r="D144" s="122"/>
      <c r="E144" s="122"/>
      <c r="F144" s="122"/>
      <c r="G144" s="122"/>
      <c r="H144" s="122"/>
      <c r="I144" s="122"/>
      <c r="J144" s="122"/>
      <c r="K144" s="122"/>
      <c r="L144" s="122"/>
      <c r="M144" s="122"/>
    </row>
    <row r="145" spans="1:13" s="102" customFormat="1">
      <c r="A145" s="122"/>
      <c r="B145" s="122"/>
      <c r="C145" s="122"/>
      <c r="D145" s="122"/>
      <c r="E145" s="122"/>
      <c r="F145" s="122"/>
      <c r="G145" s="122"/>
      <c r="H145" s="122"/>
      <c r="I145" s="122"/>
      <c r="J145" s="122"/>
      <c r="K145" s="122"/>
      <c r="L145" s="122"/>
      <c r="M145" s="122"/>
    </row>
    <row r="146" spans="1:13" s="102" customFormat="1">
      <c r="A146" s="122"/>
      <c r="B146" s="122"/>
      <c r="C146" s="122"/>
      <c r="D146" s="122"/>
      <c r="E146" s="122"/>
      <c r="F146" s="122"/>
      <c r="G146" s="122"/>
      <c r="H146" s="122"/>
      <c r="I146" s="122"/>
      <c r="J146" s="122"/>
      <c r="K146" s="122"/>
      <c r="L146" s="122"/>
      <c r="M146" s="122"/>
    </row>
    <row r="147" spans="1:13" s="102" customFormat="1">
      <c r="A147" s="122"/>
      <c r="B147" s="122"/>
      <c r="C147" s="122"/>
      <c r="D147" s="122"/>
      <c r="E147" s="122"/>
      <c r="F147" s="122"/>
      <c r="G147" s="122"/>
      <c r="H147" s="122"/>
      <c r="I147" s="122"/>
      <c r="J147" s="122"/>
      <c r="K147" s="122"/>
      <c r="L147" s="122"/>
      <c r="M147" s="122"/>
    </row>
    <row r="148" spans="1:13" s="102" customFormat="1">
      <c r="A148" s="122"/>
      <c r="B148" s="122"/>
      <c r="C148" s="122"/>
      <c r="D148" s="122"/>
      <c r="E148" s="122"/>
      <c r="F148" s="122"/>
      <c r="G148" s="122"/>
      <c r="H148" s="122"/>
      <c r="I148" s="122"/>
      <c r="J148" s="122"/>
      <c r="K148" s="122"/>
      <c r="L148" s="122"/>
      <c r="M148" s="122"/>
    </row>
    <row r="149" spans="1:13" s="102" customFormat="1">
      <c r="A149" s="122"/>
      <c r="B149" s="122"/>
      <c r="C149" s="122"/>
      <c r="D149" s="122"/>
      <c r="E149" s="122"/>
      <c r="F149" s="122"/>
      <c r="G149" s="122"/>
      <c r="H149" s="122"/>
      <c r="I149" s="122"/>
      <c r="J149" s="122"/>
      <c r="K149" s="122"/>
      <c r="L149" s="122"/>
      <c r="M149" s="122"/>
    </row>
    <row r="150" spans="1:13" s="102" customFormat="1">
      <c r="A150" s="122"/>
      <c r="B150" s="122"/>
      <c r="C150" s="122"/>
      <c r="D150" s="122"/>
      <c r="E150" s="122"/>
      <c r="F150" s="122"/>
      <c r="G150" s="122"/>
      <c r="H150" s="122"/>
      <c r="I150" s="122"/>
      <c r="J150" s="122"/>
      <c r="K150" s="122"/>
      <c r="L150" s="122"/>
      <c r="M150" s="122"/>
    </row>
    <row r="151" spans="1:13" s="102" customFormat="1">
      <c r="A151" s="122"/>
      <c r="B151" s="122"/>
      <c r="C151" s="122"/>
      <c r="D151" s="122"/>
      <c r="E151" s="122"/>
      <c r="F151" s="122"/>
      <c r="G151" s="122"/>
      <c r="H151" s="122"/>
      <c r="I151" s="122"/>
      <c r="J151" s="122"/>
      <c r="K151" s="122"/>
      <c r="L151" s="122"/>
      <c r="M151" s="122"/>
    </row>
    <row r="152" spans="1:13" s="102" customFormat="1">
      <c r="A152" s="122"/>
      <c r="B152" s="122"/>
      <c r="C152" s="122"/>
      <c r="D152" s="122"/>
      <c r="E152" s="122"/>
      <c r="F152" s="122"/>
      <c r="G152" s="122"/>
      <c r="H152" s="122"/>
      <c r="I152" s="122"/>
      <c r="J152" s="122"/>
      <c r="K152" s="122"/>
      <c r="L152" s="122"/>
      <c r="M152" s="122"/>
    </row>
    <row r="153" spans="1:13" s="102" customFormat="1">
      <c r="A153" s="122"/>
      <c r="B153" s="122"/>
      <c r="C153" s="122"/>
      <c r="D153" s="122"/>
      <c r="E153" s="122"/>
      <c r="F153" s="122"/>
      <c r="G153" s="122"/>
      <c r="H153" s="122"/>
      <c r="I153" s="122"/>
      <c r="J153" s="122"/>
      <c r="K153" s="122"/>
      <c r="L153" s="122"/>
      <c r="M153" s="122"/>
    </row>
    <row r="154" spans="1:13" s="102" customFormat="1">
      <c r="A154" s="122"/>
      <c r="B154" s="122"/>
      <c r="C154" s="122"/>
      <c r="D154" s="122"/>
      <c r="E154" s="122"/>
      <c r="F154" s="122"/>
      <c r="G154" s="122"/>
      <c r="H154" s="122"/>
      <c r="I154" s="122"/>
      <c r="J154" s="122"/>
      <c r="K154" s="122"/>
      <c r="L154" s="122"/>
      <c r="M154" s="122"/>
    </row>
    <row r="155" spans="1:13" s="102" customFormat="1">
      <c r="A155" s="122"/>
      <c r="B155" s="122"/>
      <c r="C155" s="122"/>
      <c r="D155" s="122"/>
      <c r="E155" s="122"/>
      <c r="F155" s="122"/>
      <c r="G155" s="122"/>
      <c r="H155" s="122"/>
      <c r="I155" s="122"/>
      <c r="J155" s="122"/>
      <c r="K155" s="122"/>
      <c r="L155" s="122"/>
      <c r="M155" s="122"/>
    </row>
    <row r="156" spans="1:13" s="102" customFormat="1">
      <c r="A156" s="122"/>
      <c r="B156" s="122"/>
      <c r="C156" s="122"/>
      <c r="D156" s="122"/>
      <c r="E156" s="122"/>
      <c r="F156" s="122"/>
      <c r="G156" s="122"/>
      <c r="H156" s="122"/>
      <c r="I156" s="122"/>
      <c r="J156" s="122"/>
      <c r="K156" s="122"/>
      <c r="L156" s="122"/>
      <c r="M156" s="122"/>
    </row>
    <row r="157" spans="1:13" s="102" customFormat="1">
      <c r="A157" s="122"/>
      <c r="B157" s="122"/>
      <c r="C157" s="122"/>
      <c r="D157" s="122"/>
      <c r="E157" s="122"/>
      <c r="F157" s="122"/>
      <c r="G157" s="122"/>
      <c r="H157" s="122"/>
      <c r="I157" s="122"/>
      <c r="J157" s="122"/>
      <c r="K157" s="122"/>
      <c r="L157" s="122"/>
      <c r="M157" s="122"/>
    </row>
    <row r="158" spans="1:13" s="102" customFormat="1">
      <c r="A158" s="122"/>
      <c r="B158" s="122"/>
      <c r="C158" s="122"/>
      <c r="D158" s="122"/>
      <c r="E158" s="122"/>
      <c r="F158" s="122"/>
      <c r="G158" s="122"/>
      <c r="H158" s="122"/>
      <c r="I158" s="122"/>
      <c r="J158" s="122"/>
      <c r="K158" s="122"/>
      <c r="L158" s="122"/>
      <c r="M158" s="122"/>
    </row>
    <row r="159" spans="1:13" s="102" customFormat="1">
      <c r="A159" s="122"/>
      <c r="B159" s="122"/>
      <c r="C159" s="122"/>
      <c r="D159" s="122"/>
      <c r="E159" s="122"/>
      <c r="F159" s="122"/>
      <c r="G159" s="122"/>
      <c r="H159" s="122"/>
      <c r="I159" s="122"/>
      <c r="J159" s="122"/>
      <c r="K159" s="122"/>
      <c r="L159" s="122"/>
      <c r="M159" s="122"/>
    </row>
    <row r="160" spans="1:13" s="102" customFormat="1">
      <c r="A160" s="122"/>
      <c r="B160" s="122"/>
      <c r="C160" s="122"/>
      <c r="D160" s="122"/>
      <c r="E160" s="122"/>
      <c r="F160" s="122"/>
      <c r="G160" s="122"/>
      <c r="H160" s="122"/>
      <c r="I160" s="122"/>
      <c r="J160" s="122"/>
      <c r="K160" s="122"/>
      <c r="L160" s="122"/>
      <c r="M160" s="122"/>
    </row>
    <row r="161" spans="1:16" s="102" customFormat="1">
      <c r="A161" s="122"/>
      <c r="B161" s="122"/>
      <c r="C161" s="122"/>
      <c r="D161" s="122"/>
      <c r="E161" s="122"/>
      <c r="F161" s="122"/>
      <c r="G161" s="122"/>
      <c r="H161" s="122"/>
      <c r="I161" s="122"/>
      <c r="J161" s="122"/>
      <c r="K161" s="122"/>
      <c r="L161" s="122"/>
      <c r="M161" s="122"/>
    </row>
    <row r="162" spans="1:16" s="102" customFormat="1">
      <c r="A162" s="122"/>
      <c r="B162" s="122"/>
      <c r="C162" s="122"/>
      <c r="D162" s="122"/>
      <c r="E162" s="122"/>
      <c r="F162" s="122"/>
      <c r="G162" s="122"/>
      <c r="H162" s="122"/>
      <c r="I162" s="122"/>
      <c r="J162" s="122"/>
      <c r="K162" s="122"/>
      <c r="L162" s="122"/>
      <c r="M162" s="122"/>
    </row>
    <row r="163" spans="1:16" s="102" customFormat="1">
      <c r="A163" s="122"/>
      <c r="B163" s="122"/>
      <c r="C163" s="122"/>
      <c r="D163" s="122"/>
      <c r="E163" s="122"/>
      <c r="F163" s="122"/>
      <c r="G163" s="121"/>
      <c r="H163" s="122"/>
      <c r="I163" s="122"/>
      <c r="J163" s="122"/>
      <c r="K163" s="122"/>
      <c r="L163" s="121"/>
      <c r="M163" s="122"/>
      <c r="O163"/>
      <c r="P163"/>
    </row>
    <row r="164" spans="1:16" s="102" customFormat="1">
      <c r="A164" s="122"/>
      <c r="B164" s="122"/>
      <c r="C164" s="122"/>
      <c r="D164" s="122"/>
      <c r="E164" s="122"/>
      <c r="F164" s="122"/>
      <c r="G164" s="121"/>
      <c r="H164" s="122"/>
      <c r="I164" s="122"/>
      <c r="J164" s="122"/>
      <c r="K164" s="122"/>
      <c r="L164" s="121"/>
      <c r="M164" s="122"/>
      <c r="O164"/>
      <c r="P164"/>
    </row>
    <row r="165" spans="1:16" s="102" customFormat="1">
      <c r="A165" s="122"/>
      <c r="B165" s="122"/>
      <c r="C165" s="122"/>
      <c r="D165" s="122"/>
      <c r="E165" s="122"/>
      <c r="F165" s="122"/>
      <c r="G165" s="121"/>
      <c r="H165" s="122"/>
      <c r="I165" s="122"/>
      <c r="J165" s="122"/>
      <c r="K165" s="122"/>
      <c r="L165" s="121"/>
      <c r="M165" s="122"/>
      <c r="O165"/>
      <c r="P165"/>
    </row>
    <row r="166" spans="1:16" s="102" customFormat="1">
      <c r="A166" s="122"/>
      <c r="B166" s="122"/>
      <c r="C166" s="122"/>
      <c r="D166" s="122"/>
      <c r="E166" s="122"/>
      <c r="F166" s="122"/>
      <c r="G166" s="121"/>
      <c r="H166" s="122"/>
      <c r="I166" s="122"/>
      <c r="J166" s="122"/>
      <c r="K166" s="122"/>
      <c r="L166" s="121"/>
      <c r="M166" s="122"/>
      <c r="O166"/>
      <c r="P166"/>
    </row>
    <row r="167" spans="1:16" s="102" customFormat="1">
      <c r="A167" s="122"/>
      <c r="B167" s="122"/>
      <c r="C167" s="122"/>
      <c r="D167" s="122"/>
      <c r="E167" s="122"/>
      <c r="F167" s="122"/>
      <c r="G167" s="121"/>
      <c r="H167" s="122"/>
      <c r="I167" s="122"/>
      <c r="J167" s="122"/>
      <c r="K167" s="122"/>
      <c r="L167" s="121"/>
      <c r="M167" s="122"/>
      <c r="O167"/>
      <c r="P167"/>
    </row>
    <row r="168" spans="1:16" s="102" customFormat="1">
      <c r="A168" s="122"/>
      <c r="B168" s="122"/>
      <c r="C168" s="122"/>
      <c r="D168" s="122"/>
      <c r="E168" s="122"/>
      <c r="F168" s="122"/>
      <c r="G168" s="121"/>
      <c r="H168" s="122"/>
      <c r="I168" s="122"/>
      <c r="J168" s="122"/>
      <c r="K168" s="122"/>
      <c r="L168" s="121"/>
      <c r="M168" s="122"/>
      <c r="O168"/>
      <c r="P168"/>
    </row>
    <row r="169" spans="1:16" s="102" customFormat="1">
      <c r="A169" s="122"/>
      <c r="B169" s="122"/>
      <c r="C169" s="122"/>
      <c r="D169" s="122"/>
      <c r="E169" s="122"/>
      <c r="F169" s="122"/>
      <c r="G169" s="121"/>
      <c r="H169" s="122"/>
      <c r="I169" s="122"/>
      <c r="J169" s="122"/>
      <c r="K169" s="122"/>
      <c r="L169" s="121"/>
      <c r="M169" s="122"/>
      <c r="O169"/>
      <c r="P169"/>
    </row>
    <row r="170" spans="1:16" s="102" customFormat="1">
      <c r="A170" s="122"/>
      <c r="B170" s="122"/>
      <c r="C170" s="122"/>
      <c r="D170" s="122"/>
      <c r="E170" s="122"/>
      <c r="F170" s="122"/>
      <c r="G170" s="121"/>
      <c r="H170" s="122"/>
      <c r="I170" s="122"/>
      <c r="J170" s="122"/>
      <c r="K170" s="122"/>
      <c r="L170" s="121"/>
      <c r="M170" s="122"/>
      <c r="O170"/>
      <c r="P170"/>
    </row>
    <row r="171" spans="1:16" s="102" customFormat="1">
      <c r="A171" s="122"/>
      <c r="B171" s="122"/>
      <c r="C171" s="122"/>
      <c r="D171" s="122"/>
      <c r="E171" s="122"/>
      <c r="F171" s="122"/>
      <c r="G171" s="121"/>
      <c r="H171" s="122"/>
      <c r="I171" s="122"/>
      <c r="J171" s="122"/>
      <c r="K171" s="122"/>
      <c r="L171" s="121"/>
      <c r="M171" s="122"/>
      <c r="O171"/>
      <c r="P171"/>
    </row>
    <row r="172" spans="1:16" s="102" customFormat="1">
      <c r="A172" s="122"/>
      <c r="B172" s="122"/>
      <c r="C172" s="122"/>
      <c r="D172" s="122"/>
      <c r="E172" s="122"/>
      <c r="F172" s="122"/>
      <c r="G172" s="121"/>
      <c r="H172" s="122"/>
      <c r="I172" s="122"/>
      <c r="J172" s="122"/>
      <c r="K172" s="122"/>
      <c r="L172" s="121"/>
      <c r="M172" s="122"/>
      <c r="O172"/>
      <c r="P172"/>
    </row>
    <row r="173" spans="1:16" s="102" customFormat="1">
      <c r="A173" s="122"/>
      <c r="B173" s="122"/>
      <c r="C173" s="122"/>
      <c r="D173" s="122"/>
      <c r="E173" s="122"/>
      <c r="F173" s="122"/>
      <c r="G173" s="121"/>
      <c r="H173" s="122"/>
      <c r="I173" s="122"/>
      <c r="J173" s="122"/>
      <c r="K173" s="122"/>
      <c r="L173" s="121"/>
      <c r="M173" s="122"/>
      <c r="O173"/>
      <c r="P173"/>
    </row>
    <row r="174" spans="1:16" s="102" customFormat="1">
      <c r="A174" s="122"/>
      <c r="B174" s="122"/>
      <c r="C174" s="122"/>
      <c r="D174" s="122"/>
      <c r="E174" s="122"/>
      <c r="F174" s="122"/>
      <c r="G174" s="121"/>
      <c r="H174" s="122"/>
      <c r="I174" s="122"/>
      <c r="J174" s="122"/>
      <c r="K174" s="122"/>
      <c r="L174" s="121"/>
      <c r="M174" s="122"/>
      <c r="O174"/>
      <c r="P174"/>
    </row>
    <row r="175" spans="1:16" s="102" customFormat="1">
      <c r="A175" s="122"/>
      <c r="B175" s="122"/>
      <c r="C175" s="122"/>
      <c r="D175" s="122"/>
      <c r="E175" s="122"/>
      <c r="F175" s="122"/>
      <c r="G175" s="121"/>
      <c r="H175" s="122"/>
      <c r="I175" s="122"/>
      <c r="J175" s="122"/>
      <c r="K175" s="122"/>
      <c r="L175" s="121"/>
      <c r="M175" s="122"/>
      <c r="O175"/>
      <c r="P175"/>
    </row>
    <row r="176" spans="1:16" s="102" customFormat="1">
      <c r="A176" s="122"/>
      <c r="B176" s="122"/>
      <c r="C176" s="122"/>
      <c r="D176" s="122"/>
      <c r="E176" s="122"/>
      <c r="F176" s="122"/>
      <c r="G176" s="121"/>
      <c r="H176" s="122"/>
      <c r="I176" s="122"/>
      <c r="J176" s="122"/>
      <c r="K176" s="122"/>
      <c r="L176" s="121"/>
      <c r="M176" s="122"/>
      <c r="O176"/>
      <c r="P176"/>
    </row>
    <row r="177" spans="1:16" s="102" customFormat="1">
      <c r="A177" s="122"/>
      <c r="B177" s="122"/>
      <c r="C177" s="122"/>
      <c r="D177" s="122"/>
      <c r="E177" s="122"/>
      <c r="F177" s="122"/>
      <c r="G177" s="121"/>
      <c r="H177" s="122"/>
      <c r="I177" s="122"/>
      <c r="J177" s="122"/>
      <c r="K177" s="122"/>
      <c r="L177" s="121"/>
      <c r="M177" s="122"/>
      <c r="O177"/>
      <c r="P177"/>
    </row>
    <row r="178" spans="1:16" s="102" customFormat="1">
      <c r="A178" s="122"/>
      <c r="B178" s="122"/>
      <c r="C178" s="122"/>
      <c r="D178" s="122"/>
      <c r="E178" s="122"/>
      <c r="F178" s="122"/>
      <c r="G178" s="121"/>
      <c r="H178" s="122"/>
      <c r="I178" s="122"/>
      <c r="J178" s="122"/>
      <c r="K178" s="122"/>
      <c r="L178" s="121"/>
      <c r="M178" s="122"/>
      <c r="O178"/>
      <c r="P178"/>
    </row>
    <row r="179" spans="1:16" s="102" customFormat="1">
      <c r="A179" s="122"/>
      <c r="B179" s="122"/>
      <c r="C179" s="122"/>
      <c r="D179" s="122"/>
      <c r="E179" s="122"/>
      <c r="F179" s="122"/>
      <c r="G179" s="121"/>
      <c r="H179" s="122"/>
      <c r="I179" s="122"/>
      <c r="J179" s="122"/>
      <c r="K179" s="122"/>
      <c r="L179" s="121"/>
      <c r="M179" s="122"/>
      <c r="O179"/>
      <c r="P179"/>
    </row>
    <row r="180" spans="1:16" s="102" customFormat="1">
      <c r="A180" s="122"/>
      <c r="B180" s="122"/>
      <c r="C180" s="122"/>
      <c r="D180" s="122"/>
      <c r="E180" s="122"/>
      <c r="F180" s="122"/>
      <c r="G180" s="121"/>
      <c r="H180" s="122"/>
      <c r="I180" s="122"/>
      <c r="J180" s="122"/>
      <c r="K180" s="122"/>
      <c r="L180" s="121"/>
      <c r="M180" s="122"/>
      <c r="O180"/>
      <c r="P180"/>
    </row>
    <row r="181" spans="1:16" s="102" customFormat="1">
      <c r="A181" s="122"/>
      <c r="B181" s="122"/>
      <c r="C181" s="122"/>
      <c r="D181" s="122"/>
      <c r="E181" s="122"/>
      <c r="F181" s="122"/>
      <c r="G181" s="121"/>
      <c r="H181" s="122"/>
      <c r="I181" s="122"/>
      <c r="J181" s="122"/>
      <c r="K181" s="122"/>
      <c r="L181" s="121"/>
      <c r="M181" s="122"/>
      <c r="O181"/>
      <c r="P181"/>
    </row>
    <row r="182" spans="1:16" s="102" customFormat="1">
      <c r="A182" s="122"/>
      <c r="B182" s="122"/>
      <c r="C182" s="122"/>
      <c r="D182" s="122"/>
      <c r="E182" s="122"/>
      <c r="F182" s="122"/>
      <c r="G182" s="121"/>
      <c r="H182" s="122"/>
      <c r="I182" s="122"/>
      <c r="J182" s="122"/>
      <c r="K182" s="122"/>
      <c r="L182" s="121"/>
      <c r="M182" s="122"/>
      <c r="O182"/>
      <c r="P182"/>
    </row>
    <row r="183" spans="1:16" s="102" customFormat="1">
      <c r="A183" s="122"/>
      <c r="B183" s="122"/>
      <c r="C183" s="122"/>
      <c r="D183" s="122"/>
      <c r="E183" s="122"/>
      <c r="F183" s="122"/>
      <c r="G183" s="121"/>
      <c r="H183" s="122"/>
      <c r="I183" s="122"/>
      <c r="J183" s="122"/>
      <c r="K183" s="122"/>
      <c r="L183" s="121"/>
      <c r="M183" s="122"/>
      <c r="O183"/>
      <c r="P183"/>
    </row>
    <row r="184" spans="1:16" s="102" customFormat="1">
      <c r="A184" s="122"/>
      <c r="B184" s="122"/>
      <c r="C184" s="122"/>
      <c r="D184" s="122"/>
      <c r="E184" s="122"/>
      <c r="F184" s="122"/>
      <c r="G184" s="121"/>
      <c r="H184" s="122"/>
      <c r="I184" s="122"/>
      <c r="J184" s="122"/>
      <c r="K184" s="122"/>
      <c r="L184" s="121"/>
      <c r="M184" s="122"/>
      <c r="O184"/>
      <c r="P184"/>
    </row>
    <row r="185" spans="1:16" s="102" customFormat="1">
      <c r="A185" s="122"/>
      <c r="B185" s="122"/>
      <c r="C185" s="122"/>
      <c r="D185" s="122"/>
      <c r="E185" s="122"/>
      <c r="F185" s="122"/>
      <c r="G185" s="121"/>
      <c r="H185" s="122"/>
      <c r="I185" s="122"/>
      <c r="J185" s="122"/>
      <c r="K185" s="122"/>
      <c r="L185" s="121"/>
      <c r="M185" s="122"/>
      <c r="O185"/>
      <c r="P185"/>
    </row>
    <row r="186" spans="1:16" s="102" customFormat="1">
      <c r="A186" s="122"/>
      <c r="B186" s="122"/>
      <c r="C186" s="122"/>
      <c r="D186" s="122"/>
      <c r="E186" s="122"/>
      <c r="F186" s="122"/>
      <c r="G186" s="121"/>
      <c r="H186" s="122"/>
      <c r="I186" s="122"/>
      <c r="J186" s="122"/>
      <c r="K186" s="122"/>
      <c r="L186" s="121"/>
      <c r="M186" s="122"/>
      <c r="O186"/>
      <c r="P186"/>
    </row>
    <row r="187" spans="1:16" s="102" customFormat="1">
      <c r="A187" s="122"/>
      <c r="B187" s="122"/>
      <c r="C187" s="122"/>
      <c r="D187" s="122"/>
      <c r="E187" s="122"/>
      <c r="F187" s="122"/>
      <c r="G187" s="121"/>
      <c r="H187" s="122"/>
      <c r="I187" s="122"/>
      <c r="J187" s="122"/>
      <c r="K187" s="122"/>
      <c r="L187" s="121"/>
      <c r="M187" s="122"/>
      <c r="O187"/>
      <c r="P187"/>
    </row>
    <row r="188" spans="1:16" s="102" customFormat="1">
      <c r="A188" s="122"/>
      <c r="B188" s="122"/>
      <c r="C188" s="122"/>
      <c r="D188" s="122"/>
      <c r="E188" s="122"/>
      <c r="F188" s="122"/>
      <c r="G188" s="121"/>
      <c r="H188" s="122"/>
      <c r="I188" s="122"/>
      <c r="J188" s="122"/>
      <c r="K188" s="122"/>
      <c r="L188" s="121"/>
      <c r="M188" s="122"/>
      <c r="O188"/>
      <c r="P188"/>
    </row>
    <row r="189" spans="1:16" s="102" customFormat="1">
      <c r="A189" s="122"/>
      <c r="B189" s="122"/>
      <c r="C189" s="122"/>
      <c r="D189" s="122"/>
      <c r="E189" s="122"/>
      <c r="F189" s="122"/>
      <c r="G189" s="121"/>
      <c r="H189" s="122"/>
      <c r="I189" s="122"/>
      <c r="J189" s="122"/>
      <c r="K189" s="122"/>
      <c r="L189" s="121"/>
      <c r="M189" s="122"/>
      <c r="O189"/>
      <c r="P189"/>
    </row>
    <row r="190" spans="1:16" s="102" customFormat="1">
      <c r="A190" s="122"/>
      <c r="B190" s="122"/>
      <c r="C190" s="122"/>
      <c r="D190" s="122"/>
      <c r="E190" s="122"/>
      <c r="F190" s="122"/>
      <c r="G190" s="121"/>
      <c r="H190" s="122"/>
      <c r="I190" s="122"/>
      <c r="J190" s="122"/>
      <c r="K190" s="122"/>
      <c r="L190" s="121"/>
      <c r="M190" s="122"/>
      <c r="O190"/>
      <c r="P190"/>
    </row>
    <row r="191" spans="1:16" s="102" customFormat="1">
      <c r="A191" s="122"/>
      <c r="B191" s="122"/>
      <c r="C191" s="122"/>
      <c r="D191" s="122"/>
      <c r="E191" s="122"/>
      <c r="F191" s="122"/>
      <c r="G191" s="121"/>
      <c r="H191" s="122"/>
      <c r="I191" s="122"/>
      <c r="J191" s="122"/>
      <c r="K191" s="122"/>
      <c r="L191" s="121"/>
      <c r="M191" s="122"/>
      <c r="O191"/>
      <c r="P191"/>
    </row>
    <row r="192" spans="1:16" s="102" customFormat="1">
      <c r="A192" s="122"/>
      <c r="B192" s="122"/>
      <c r="C192" s="122"/>
      <c r="D192" s="122"/>
      <c r="E192" s="122"/>
      <c r="F192" s="122"/>
      <c r="G192" s="121"/>
      <c r="H192" s="122"/>
      <c r="I192" s="122"/>
      <c r="J192" s="122"/>
      <c r="K192" s="122"/>
      <c r="L192" s="121"/>
      <c r="M192" s="122"/>
      <c r="O192"/>
      <c r="P192"/>
    </row>
    <row r="193" spans="1:16" s="102" customFormat="1">
      <c r="A193" s="122"/>
      <c r="B193" s="122"/>
      <c r="C193" s="122"/>
      <c r="D193" s="122"/>
      <c r="E193" s="122"/>
      <c r="F193" s="122"/>
      <c r="G193" s="121"/>
      <c r="H193" s="122"/>
      <c r="I193" s="122"/>
      <c r="J193" s="122"/>
      <c r="K193" s="122"/>
      <c r="L193" s="121"/>
      <c r="M193" s="122"/>
      <c r="O193"/>
      <c r="P193"/>
    </row>
    <row r="194" spans="1:16" s="102" customFormat="1">
      <c r="A194" s="122"/>
      <c r="B194" s="122"/>
      <c r="C194" s="122"/>
      <c r="D194" s="122"/>
      <c r="E194" s="122"/>
      <c r="F194" s="122"/>
      <c r="G194" s="121"/>
      <c r="H194" s="122"/>
      <c r="I194" s="122"/>
      <c r="J194" s="122"/>
      <c r="K194" s="122"/>
      <c r="L194" s="121"/>
      <c r="M194" s="122"/>
      <c r="O194"/>
      <c r="P194"/>
    </row>
    <row r="195" spans="1:16" s="102" customFormat="1">
      <c r="A195" s="122"/>
      <c r="B195" s="122"/>
      <c r="C195" s="122"/>
      <c r="D195" s="122"/>
      <c r="E195" s="122"/>
      <c r="F195" s="122"/>
      <c r="G195" s="121"/>
      <c r="H195" s="122"/>
      <c r="I195" s="122"/>
      <c r="J195" s="122"/>
      <c r="K195" s="122"/>
      <c r="L195" s="121"/>
      <c r="M195" s="122"/>
      <c r="O195"/>
      <c r="P195"/>
    </row>
    <row r="196" spans="1:16" s="102" customFormat="1">
      <c r="A196" s="122"/>
      <c r="B196" s="122"/>
      <c r="C196" s="122"/>
      <c r="D196" s="122"/>
      <c r="E196" s="122"/>
      <c r="F196" s="122"/>
      <c r="G196" s="121"/>
      <c r="H196" s="122"/>
      <c r="I196" s="122"/>
      <c r="J196" s="122"/>
      <c r="K196" s="122"/>
      <c r="L196" s="121"/>
      <c r="M196" s="122"/>
      <c r="O196"/>
      <c r="P196"/>
    </row>
    <row r="197" spans="1:16" s="102" customFormat="1">
      <c r="A197" s="122"/>
      <c r="B197" s="122"/>
      <c r="C197" s="122"/>
      <c r="D197" s="122"/>
      <c r="E197" s="122"/>
      <c r="F197" s="122"/>
      <c r="G197" s="121"/>
      <c r="H197" s="122"/>
      <c r="I197" s="122"/>
      <c r="J197" s="122"/>
      <c r="K197" s="122"/>
      <c r="L197" s="121"/>
      <c r="M197" s="122"/>
      <c r="O197"/>
      <c r="P197"/>
    </row>
    <row r="198" spans="1:16" s="102" customFormat="1">
      <c r="A198" s="122"/>
      <c r="B198" s="122"/>
      <c r="C198" s="122"/>
      <c r="D198" s="122"/>
      <c r="E198" s="122"/>
      <c r="F198" s="122"/>
      <c r="G198" s="121"/>
      <c r="H198" s="122"/>
      <c r="I198" s="122"/>
      <c r="J198" s="122"/>
      <c r="K198" s="122"/>
      <c r="L198" s="121"/>
      <c r="M198" s="122"/>
      <c r="O198"/>
      <c r="P198"/>
    </row>
    <row r="199" spans="1:16" s="102" customFormat="1">
      <c r="A199" s="122"/>
      <c r="B199" s="122"/>
      <c r="C199" s="122"/>
      <c r="D199" s="122"/>
      <c r="E199" s="122"/>
      <c r="F199" s="122"/>
      <c r="G199" s="121"/>
      <c r="H199" s="122"/>
      <c r="I199" s="122"/>
      <c r="J199" s="122"/>
      <c r="K199" s="122"/>
      <c r="L199" s="121"/>
      <c r="M199" s="122"/>
      <c r="O199"/>
      <c r="P199"/>
    </row>
    <row r="200" spans="1:16" s="102" customFormat="1">
      <c r="A200" s="122"/>
      <c r="B200" s="122"/>
      <c r="C200" s="122"/>
      <c r="D200" s="122"/>
      <c r="E200" s="122"/>
      <c r="F200" s="122"/>
      <c r="G200" s="121"/>
      <c r="H200" s="122"/>
      <c r="I200" s="122"/>
      <c r="J200" s="122"/>
      <c r="K200" s="122"/>
      <c r="L200" s="121"/>
      <c r="M200" s="122"/>
      <c r="O200"/>
      <c r="P200"/>
    </row>
    <row r="201" spans="1:16" s="102" customFormat="1">
      <c r="A201" s="122"/>
      <c r="B201" s="122"/>
      <c r="C201" s="122"/>
      <c r="D201" s="122"/>
      <c r="E201" s="122"/>
      <c r="F201" s="122"/>
      <c r="G201" s="121"/>
      <c r="H201" s="122"/>
      <c r="I201" s="122"/>
      <c r="J201" s="122"/>
      <c r="K201" s="122"/>
      <c r="L201" s="121"/>
      <c r="M201" s="122"/>
      <c r="O201"/>
      <c r="P201"/>
    </row>
    <row r="202" spans="1:16" s="102" customFormat="1">
      <c r="A202" s="122"/>
      <c r="B202" s="122"/>
      <c r="C202" s="122"/>
      <c r="D202" s="122"/>
      <c r="E202" s="122"/>
      <c r="F202" s="122"/>
      <c r="G202" s="121"/>
      <c r="H202" s="122"/>
      <c r="I202" s="122"/>
      <c r="J202" s="122"/>
      <c r="K202" s="122"/>
      <c r="L202" s="121"/>
      <c r="M202" s="122"/>
      <c r="O202"/>
      <c r="P202"/>
    </row>
    <row r="203" spans="1:16" s="102" customFormat="1">
      <c r="A203" s="122"/>
      <c r="B203" s="122"/>
      <c r="C203" s="122"/>
      <c r="D203" s="122"/>
      <c r="E203" s="122"/>
      <c r="F203" s="122"/>
      <c r="G203" s="121"/>
      <c r="H203" s="122"/>
      <c r="I203" s="122"/>
      <c r="J203" s="122"/>
      <c r="K203" s="122"/>
      <c r="L203" s="121"/>
      <c r="M203" s="122"/>
      <c r="O203"/>
      <c r="P203"/>
    </row>
    <row r="204" spans="1:16" s="102" customFormat="1">
      <c r="A204" s="122"/>
      <c r="B204" s="122"/>
      <c r="C204" s="122"/>
      <c r="D204" s="122"/>
      <c r="E204" s="122"/>
      <c r="F204" s="122"/>
      <c r="G204" s="121"/>
      <c r="H204" s="122"/>
      <c r="I204" s="122"/>
      <c r="J204" s="122"/>
      <c r="K204" s="122"/>
      <c r="L204" s="121"/>
      <c r="M204" s="122"/>
      <c r="O204"/>
      <c r="P204"/>
    </row>
    <row r="205" spans="1:16" s="102" customFormat="1">
      <c r="A205" s="122"/>
      <c r="B205" s="122"/>
      <c r="C205" s="122"/>
      <c r="D205" s="122"/>
      <c r="E205" s="122"/>
      <c r="F205" s="122"/>
      <c r="G205" s="121"/>
      <c r="H205" s="122"/>
      <c r="I205" s="122"/>
      <c r="J205" s="122"/>
      <c r="K205" s="122"/>
      <c r="L205" s="121"/>
      <c r="M205" s="122"/>
      <c r="O205"/>
      <c r="P205"/>
    </row>
    <row r="206" spans="1:16" s="102" customFormat="1">
      <c r="A206" s="122"/>
      <c r="B206" s="122"/>
      <c r="C206" s="122"/>
      <c r="D206" s="122"/>
      <c r="E206" s="122"/>
      <c r="F206" s="122"/>
      <c r="G206" s="121"/>
      <c r="H206" s="122"/>
      <c r="I206" s="122"/>
      <c r="J206" s="122"/>
      <c r="K206" s="122"/>
      <c r="L206" s="121"/>
      <c r="M206" s="122"/>
      <c r="O206"/>
      <c r="P206"/>
    </row>
    <row r="207" spans="1:16" s="102" customFormat="1">
      <c r="A207" s="122"/>
      <c r="B207" s="122"/>
      <c r="C207" s="122"/>
      <c r="D207" s="122"/>
      <c r="E207" s="122"/>
      <c r="F207" s="122"/>
      <c r="G207" s="121"/>
      <c r="H207" s="122"/>
      <c r="I207" s="122"/>
      <c r="J207" s="122"/>
      <c r="K207" s="122"/>
      <c r="L207" s="121"/>
      <c r="M207" s="122"/>
      <c r="O207"/>
      <c r="P207"/>
    </row>
    <row r="208" spans="1:16" s="102" customFormat="1">
      <c r="A208" s="122"/>
      <c r="B208" s="122"/>
      <c r="C208" s="122"/>
      <c r="D208" s="122"/>
      <c r="E208" s="122"/>
      <c r="F208" s="122"/>
      <c r="G208" s="121"/>
      <c r="H208" s="122"/>
      <c r="I208" s="122"/>
      <c r="J208" s="122"/>
      <c r="K208" s="122"/>
      <c r="L208" s="121"/>
      <c r="M208" s="122"/>
      <c r="O208"/>
      <c r="P208"/>
    </row>
    <row r="209" spans="1:16" s="102" customFormat="1">
      <c r="A209" s="122"/>
      <c r="B209" s="122"/>
      <c r="C209" s="122"/>
      <c r="D209" s="122"/>
      <c r="E209" s="122"/>
      <c r="F209" s="122"/>
      <c r="G209" s="121"/>
      <c r="H209" s="122"/>
      <c r="I209" s="122"/>
      <c r="J209" s="122"/>
      <c r="K209" s="122"/>
      <c r="L209" s="121"/>
      <c r="M209" s="122"/>
      <c r="O209"/>
      <c r="P209"/>
    </row>
    <row r="210" spans="1:16" s="102" customFormat="1">
      <c r="A210" s="122"/>
      <c r="B210" s="122"/>
      <c r="C210" s="122"/>
      <c r="D210" s="122"/>
      <c r="E210" s="122"/>
      <c r="F210" s="122"/>
      <c r="G210" s="121"/>
      <c r="H210" s="122"/>
      <c r="I210" s="122"/>
      <c r="J210" s="122"/>
      <c r="K210" s="122"/>
      <c r="L210" s="121"/>
      <c r="M210" s="122"/>
      <c r="O210"/>
      <c r="P210"/>
    </row>
    <row r="211" spans="1:16" s="102" customFormat="1">
      <c r="A211" s="122"/>
      <c r="B211" s="122"/>
      <c r="C211" s="122"/>
      <c r="D211" s="122"/>
      <c r="E211" s="122"/>
      <c r="F211" s="122"/>
      <c r="G211" s="121"/>
      <c r="H211" s="122"/>
      <c r="I211" s="122"/>
      <c r="J211" s="122"/>
      <c r="K211" s="122"/>
      <c r="L211" s="121"/>
      <c r="M211" s="122"/>
      <c r="O211"/>
      <c r="P211"/>
    </row>
    <row r="212" spans="1:16" s="102" customFormat="1">
      <c r="A212" s="122"/>
      <c r="B212" s="122"/>
      <c r="C212" s="122"/>
      <c r="D212" s="122"/>
      <c r="E212" s="122"/>
      <c r="F212" s="122"/>
      <c r="G212" s="121"/>
      <c r="H212" s="122"/>
      <c r="I212" s="122"/>
      <c r="J212" s="122"/>
      <c r="K212" s="122"/>
      <c r="L212" s="121"/>
      <c r="M212" s="122"/>
      <c r="O212"/>
      <c r="P212"/>
    </row>
    <row r="213" spans="1:16" s="102" customFormat="1">
      <c r="A213" s="122"/>
      <c r="B213" s="122"/>
      <c r="C213" s="122"/>
      <c r="D213" s="122"/>
      <c r="E213" s="122"/>
      <c r="F213" s="122"/>
      <c r="G213" s="121"/>
      <c r="H213" s="122"/>
      <c r="I213" s="122"/>
      <c r="J213" s="122"/>
      <c r="K213" s="122"/>
      <c r="L213" s="121"/>
      <c r="M213" s="122"/>
      <c r="O213"/>
      <c r="P213"/>
    </row>
    <row r="214" spans="1:16" s="102" customFormat="1">
      <c r="A214" s="122"/>
      <c r="B214" s="122"/>
      <c r="C214" s="122"/>
      <c r="D214" s="122"/>
      <c r="E214" s="122"/>
      <c r="F214" s="122"/>
      <c r="G214" s="121"/>
      <c r="H214" s="122"/>
      <c r="I214" s="122"/>
      <c r="J214" s="122"/>
      <c r="K214" s="122"/>
      <c r="L214" s="121"/>
      <c r="M214" s="122"/>
      <c r="O214"/>
      <c r="P214"/>
    </row>
    <row r="215" spans="1:16" s="102" customFormat="1">
      <c r="A215" s="122"/>
      <c r="B215" s="122"/>
      <c r="C215" s="122"/>
      <c r="D215" s="122"/>
      <c r="E215" s="122"/>
      <c r="F215" s="122"/>
      <c r="G215" s="121"/>
      <c r="H215" s="122"/>
      <c r="I215" s="122"/>
      <c r="J215" s="122"/>
      <c r="K215" s="122"/>
      <c r="L215" s="121"/>
      <c r="M215" s="122"/>
      <c r="O215"/>
      <c r="P215"/>
    </row>
    <row r="216" spans="1:16" s="102" customFormat="1">
      <c r="A216" s="122"/>
      <c r="B216" s="122"/>
      <c r="C216" s="122"/>
      <c r="D216" s="122"/>
      <c r="E216" s="122"/>
      <c r="F216" s="122"/>
      <c r="G216" s="121"/>
      <c r="H216" s="122"/>
      <c r="I216" s="122"/>
      <c r="J216" s="122"/>
      <c r="K216" s="122"/>
      <c r="L216" s="121"/>
      <c r="M216" s="122"/>
      <c r="O216"/>
      <c r="P216"/>
    </row>
    <row r="217" spans="1:16" s="102" customFormat="1">
      <c r="A217" s="122"/>
      <c r="B217" s="122"/>
      <c r="C217" s="122"/>
      <c r="D217" s="122"/>
      <c r="E217" s="122"/>
      <c r="F217" s="122"/>
      <c r="G217" s="121"/>
      <c r="H217" s="122"/>
      <c r="I217" s="122"/>
      <c r="J217" s="122"/>
      <c r="K217" s="122"/>
      <c r="L217" s="121"/>
      <c r="M217" s="122"/>
      <c r="O217"/>
      <c r="P217"/>
    </row>
    <row r="218" spans="1:16" s="102" customFormat="1">
      <c r="A218" s="122"/>
      <c r="B218" s="122"/>
      <c r="C218" s="122"/>
      <c r="D218" s="122"/>
      <c r="E218" s="122"/>
      <c r="F218" s="122"/>
      <c r="G218" s="121"/>
      <c r="H218" s="122"/>
      <c r="I218" s="122"/>
      <c r="J218" s="122"/>
      <c r="K218" s="122"/>
      <c r="L218" s="121"/>
      <c r="M218" s="122"/>
      <c r="O218"/>
      <c r="P218"/>
    </row>
    <row r="219" spans="1:16" s="102" customFormat="1">
      <c r="A219" s="122"/>
      <c r="B219" s="122"/>
      <c r="C219" s="122"/>
      <c r="D219" s="122"/>
      <c r="E219" s="122"/>
      <c r="F219" s="122"/>
      <c r="G219" s="121"/>
      <c r="H219" s="122"/>
      <c r="I219" s="122"/>
      <c r="J219" s="122"/>
      <c r="K219" s="122"/>
      <c r="L219" s="121"/>
      <c r="M219" s="122"/>
      <c r="O219"/>
      <c r="P219"/>
    </row>
    <row r="220" spans="1:16" s="102" customFormat="1">
      <c r="A220" s="122"/>
      <c r="B220" s="122"/>
      <c r="C220" s="122"/>
      <c r="D220" s="122"/>
      <c r="E220" s="122"/>
      <c r="F220" s="122"/>
      <c r="G220" s="121"/>
      <c r="H220" s="122"/>
      <c r="I220" s="122"/>
      <c r="J220" s="122"/>
      <c r="K220" s="122"/>
      <c r="L220" s="121"/>
      <c r="M220" s="122"/>
      <c r="O220"/>
      <c r="P220"/>
    </row>
    <row r="221" spans="1:16" s="102" customFormat="1">
      <c r="A221" s="122"/>
      <c r="B221" s="122"/>
      <c r="C221" s="122"/>
      <c r="D221" s="122"/>
      <c r="E221" s="122"/>
      <c r="F221" s="122"/>
      <c r="G221" s="121"/>
      <c r="H221" s="122"/>
      <c r="I221" s="122"/>
      <c r="J221" s="122"/>
      <c r="K221" s="122"/>
      <c r="L221" s="121"/>
      <c r="M221" s="122"/>
      <c r="O221"/>
      <c r="P221"/>
    </row>
    <row r="222" spans="1:16" s="102" customFormat="1">
      <c r="A222" s="122"/>
      <c r="B222" s="122"/>
      <c r="C222" s="122"/>
      <c r="D222" s="122"/>
      <c r="E222" s="122"/>
      <c r="F222" s="122"/>
      <c r="G222" s="121"/>
      <c r="H222" s="122"/>
      <c r="I222" s="122"/>
      <c r="J222" s="122"/>
      <c r="K222" s="122"/>
      <c r="L222" s="121"/>
      <c r="M222" s="122"/>
      <c r="O222"/>
      <c r="P222"/>
    </row>
    <row r="223" spans="1:16" s="102" customFormat="1">
      <c r="A223" s="122"/>
      <c r="B223" s="122"/>
      <c r="C223" s="122"/>
      <c r="D223" s="122"/>
      <c r="E223" s="122"/>
      <c r="F223" s="122"/>
      <c r="G223" s="121"/>
      <c r="H223" s="122"/>
      <c r="I223" s="122"/>
      <c r="J223" s="122"/>
      <c r="K223" s="122"/>
      <c r="L223" s="121"/>
      <c r="M223" s="122"/>
      <c r="O223"/>
      <c r="P223"/>
    </row>
    <row r="224" spans="1:16" s="102" customFormat="1">
      <c r="A224" s="122"/>
      <c r="B224" s="122"/>
      <c r="C224" s="122"/>
      <c r="D224" s="122"/>
      <c r="E224" s="122"/>
      <c r="F224" s="122"/>
      <c r="G224" s="121"/>
      <c r="H224" s="122"/>
      <c r="I224" s="122"/>
      <c r="J224" s="122"/>
      <c r="K224" s="122"/>
      <c r="L224" s="121"/>
      <c r="M224" s="122"/>
      <c r="O224"/>
      <c r="P224"/>
    </row>
    <row r="225" spans="1:16" s="102" customFormat="1">
      <c r="A225" s="122"/>
      <c r="B225" s="122"/>
      <c r="C225" s="122"/>
      <c r="D225" s="122"/>
      <c r="E225" s="122"/>
      <c r="F225" s="122"/>
      <c r="G225" s="121"/>
      <c r="H225" s="122"/>
      <c r="I225" s="122"/>
      <c r="J225" s="122"/>
      <c r="K225" s="122"/>
      <c r="L225" s="121"/>
      <c r="M225" s="122"/>
      <c r="O225"/>
      <c r="P225"/>
    </row>
    <row r="226" spans="1:16" s="102" customFormat="1">
      <c r="A226" s="122"/>
      <c r="B226" s="122"/>
      <c r="C226" s="122"/>
      <c r="D226" s="122"/>
      <c r="E226" s="122"/>
      <c r="F226" s="122"/>
      <c r="G226" s="121"/>
      <c r="H226" s="122"/>
      <c r="I226" s="122"/>
      <c r="J226" s="122"/>
      <c r="K226" s="122"/>
      <c r="L226" s="121"/>
      <c r="M226" s="122"/>
      <c r="O226"/>
      <c r="P226"/>
    </row>
    <row r="227" spans="1:16" s="102" customFormat="1">
      <c r="A227" s="122"/>
      <c r="B227" s="122"/>
      <c r="C227" s="122"/>
      <c r="D227" s="122"/>
      <c r="E227" s="122"/>
      <c r="F227" s="122"/>
      <c r="G227" s="121"/>
      <c r="H227" s="122"/>
      <c r="I227" s="122"/>
      <c r="J227" s="122"/>
      <c r="K227" s="122"/>
      <c r="L227" s="121"/>
      <c r="M227" s="122"/>
      <c r="O227"/>
      <c r="P227"/>
    </row>
    <row r="228" spans="1:16" s="102" customFormat="1">
      <c r="A228" s="122"/>
      <c r="B228" s="122"/>
      <c r="C228" s="122"/>
      <c r="D228" s="122"/>
      <c r="E228" s="122"/>
      <c r="F228" s="122"/>
      <c r="G228" s="121"/>
      <c r="H228" s="122"/>
      <c r="I228" s="122"/>
      <c r="J228" s="122"/>
      <c r="K228" s="122"/>
      <c r="L228" s="121"/>
      <c r="M228" s="122"/>
      <c r="O228"/>
      <c r="P228"/>
    </row>
    <row r="229" spans="1:16" s="102" customFormat="1">
      <c r="A229" s="122"/>
      <c r="B229" s="122"/>
      <c r="C229" s="122"/>
      <c r="D229" s="122"/>
      <c r="E229" s="122"/>
      <c r="F229" s="122"/>
      <c r="G229" s="121"/>
      <c r="H229" s="122"/>
      <c r="I229" s="122"/>
      <c r="J229" s="122"/>
      <c r="K229" s="122"/>
      <c r="L229" s="121"/>
      <c r="M229" s="122"/>
      <c r="O229"/>
      <c r="P229"/>
    </row>
    <row r="230" spans="1:16" s="102" customFormat="1">
      <c r="A230" s="122"/>
      <c r="B230" s="122"/>
      <c r="C230" s="122"/>
      <c r="D230" s="122"/>
      <c r="E230" s="122"/>
      <c r="F230" s="122"/>
      <c r="G230" s="121"/>
      <c r="H230" s="122"/>
      <c r="I230" s="122"/>
      <c r="J230" s="122"/>
      <c r="K230" s="122"/>
      <c r="L230" s="121"/>
      <c r="M230" s="122"/>
      <c r="O230"/>
      <c r="P230"/>
    </row>
    <row r="231" spans="1:16" s="102" customFormat="1">
      <c r="A231" s="122"/>
      <c r="B231" s="122"/>
      <c r="C231" s="122"/>
      <c r="D231" s="122"/>
      <c r="E231" s="122"/>
      <c r="F231" s="122"/>
      <c r="G231" s="121"/>
      <c r="H231" s="122"/>
      <c r="I231" s="122"/>
      <c r="J231" s="122"/>
      <c r="K231" s="122"/>
      <c r="L231" s="121"/>
      <c r="M231" s="122"/>
      <c r="O231"/>
      <c r="P231"/>
    </row>
    <row r="232" spans="1:16" s="102" customFormat="1">
      <c r="A232" s="122"/>
      <c r="B232" s="122"/>
      <c r="C232" s="122"/>
      <c r="D232" s="122"/>
      <c r="E232" s="122"/>
      <c r="F232" s="122"/>
      <c r="G232" s="121"/>
      <c r="H232" s="122"/>
      <c r="I232" s="122"/>
      <c r="J232" s="122"/>
      <c r="K232" s="122"/>
      <c r="L232" s="121"/>
      <c r="M232" s="122"/>
      <c r="O232"/>
      <c r="P232"/>
    </row>
    <row r="233" spans="1:16" s="102" customFormat="1">
      <c r="A233" s="122"/>
      <c r="B233" s="122"/>
      <c r="C233" s="122"/>
      <c r="D233" s="122"/>
      <c r="E233" s="122"/>
      <c r="F233" s="122"/>
      <c r="G233" s="121"/>
      <c r="H233" s="122"/>
      <c r="I233" s="122"/>
      <c r="J233" s="122"/>
      <c r="K233" s="122"/>
      <c r="L233" s="121"/>
      <c r="M233" s="122"/>
      <c r="O233"/>
      <c r="P233"/>
    </row>
    <row r="234" spans="1:16" s="102" customFormat="1">
      <c r="A234" s="122"/>
      <c r="B234" s="122"/>
      <c r="C234" s="122"/>
      <c r="D234" s="122"/>
      <c r="E234" s="122"/>
      <c r="F234" s="122"/>
      <c r="G234" s="121"/>
      <c r="H234" s="122"/>
      <c r="I234" s="122"/>
      <c r="J234" s="122"/>
      <c r="K234" s="122"/>
      <c r="L234" s="121"/>
      <c r="M234" s="122"/>
      <c r="O234"/>
      <c r="P234"/>
    </row>
    <row r="235" spans="1:16" s="102" customFormat="1">
      <c r="A235" s="122"/>
      <c r="B235" s="122"/>
      <c r="C235" s="122"/>
      <c r="D235" s="122"/>
      <c r="E235" s="122"/>
      <c r="F235" s="122"/>
      <c r="G235" s="121"/>
      <c r="H235" s="122"/>
      <c r="I235" s="122"/>
      <c r="J235" s="122"/>
      <c r="K235" s="122"/>
      <c r="L235" s="121"/>
      <c r="M235" s="122"/>
      <c r="O235"/>
      <c r="P235"/>
    </row>
    <row r="236" spans="1:16" s="102" customFormat="1">
      <c r="A236" s="122"/>
      <c r="B236" s="122"/>
      <c r="C236" s="122"/>
      <c r="D236" s="122"/>
      <c r="E236" s="122"/>
      <c r="F236" s="122"/>
      <c r="G236" s="121"/>
      <c r="H236" s="122"/>
      <c r="I236" s="122"/>
      <c r="J236" s="122"/>
      <c r="K236" s="122"/>
      <c r="L236" s="121"/>
      <c r="M236" s="122"/>
      <c r="O236"/>
      <c r="P236"/>
    </row>
    <row r="237" spans="1:16" s="102" customFormat="1">
      <c r="A237" s="122"/>
      <c r="B237" s="122"/>
      <c r="C237" s="122"/>
      <c r="D237" s="122"/>
      <c r="E237" s="122"/>
      <c r="F237" s="122"/>
      <c r="G237" s="121"/>
      <c r="H237" s="122"/>
      <c r="I237" s="122"/>
      <c r="J237" s="122"/>
      <c r="K237" s="122"/>
      <c r="L237" s="121"/>
      <c r="M237" s="122"/>
      <c r="O237"/>
      <c r="P237"/>
    </row>
    <row r="238" spans="1:16" s="102" customFormat="1">
      <c r="A238" s="122"/>
      <c r="B238" s="122"/>
      <c r="C238" s="122"/>
      <c r="D238" s="122"/>
      <c r="E238" s="122"/>
      <c r="F238" s="122"/>
      <c r="G238" s="121"/>
      <c r="H238" s="122"/>
      <c r="I238" s="122"/>
      <c r="J238" s="122"/>
      <c r="K238" s="122"/>
      <c r="L238" s="121"/>
      <c r="M238" s="122"/>
      <c r="O238"/>
      <c r="P238"/>
    </row>
    <row r="239" spans="1:16" s="102" customFormat="1">
      <c r="A239" s="122"/>
      <c r="B239" s="122"/>
      <c r="C239" s="122"/>
      <c r="D239" s="122"/>
      <c r="E239" s="122"/>
      <c r="F239" s="122"/>
      <c r="G239" s="121"/>
      <c r="H239" s="122"/>
      <c r="I239" s="122"/>
      <c r="J239" s="122"/>
      <c r="K239" s="122"/>
      <c r="L239" s="121"/>
      <c r="M239" s="122"/>
      <c r="O239"/>
      <c r="P239"/>
    </row>
    <row r="240" spans="1:16" s="102" customFormat="1">
      <c r="A240" s="122"/>
      <c r="B240" s="122"/>
      <c r="C240" s="122"/>
      <c r="D240" s="122"/>
      <c r="E240" s="122"/>
      <c r="F240" s="122"/>
      <c r="G240" s="121"/>
      <c r="H240" s="122"/>
      <c r="I240" s="122"/>
      <c r="J240" s="122"/>
      <c r="K240" s="122"/>
      <c r="L240" s="121"/>
      <c r="M240" s="122"/>
      <c r="O240"/>
      <c r="P240"/>
    </row>
    <row r="241" spans="1:16" s="102" customFormat="1">
      <c r="A241" s="122"/>
      <c r="B241" s="122"/>
      <c r="C241" s="122"/>
      <c r="D241" s="122"/>
      <c r="E241" s="122"/>
      <c r="F241" s="122"/>
      <c r="G241" s="121"/>
      <c r="H241" s="122"/>
      <c r="I241" s="122"/>
      <c r="J241" s="122"/>
      <c r="K241" s="122"/>
      <c r="L241" s="121"/>
      <c r="M241" s="122"/>
      <c r="O241"/>
      <c r="P241"/>
    </row>
    <row r="242" spans="1:16" s="102" customFormat="1">
      <c r="A242" s="122"/>
      <c r="B242" s="122"/>
      <c r="C242" s="122"/>
      <c r="D242" s="122"/>
      <c r="E242" s="122"/>
      <c r="F242" s="122"/>
      <c r="G242" s="121"/>
      <c r="H242" s="122"/>
      <c r="I242" s="122"/>
      <c r="J242" s="122"/>
      <c r="K242" s="122"/>
      <c r="L242" s="121"/>
      <c r="M242" s="122"/>
      <c r="O242"/>
      <c r="P242"/>
    </row>
    <row r="243" spans="1:16" s="102" customFormat="1">
      <c r="A243" s="122"/>
      <c r="B243" s="122"/>
      <c r="C243" s="122"/>
      <c r="D243" s="122"/>
      <c r="E243" s="122"/>
      <c r="F243" s="122"/>
      <c r="G243" s="121"/>
      <c r="H243" s="122"/>
      <c r="I243" s="122"/>
      <c r="J243" s="122"/>
      <c r="K243" s="122"/>
      <c r="L243" s="121"/>
      <c r="M243" s="122"/>
      <c r="O243"/>
      <c r="P243"/>
    </row>
    <row r="244" spans="1:16" s="102" customFormat="1">
      <c r="A244" s="122"/>
      <c r="B244" s="122"/>
      <c r="C244" s="122"/>
      <c r="D244" s="122"/>
      <c r="E244" s="122"/>
      <c r="F244" s="122"/>
      <c r="G244" s="121"/>
      <c r="H244" s="122"/>
      <c r="I244" s="122"/>
      <c r="J244" s="122"/>
      <c r="K244" s="122"/>
      <c r="L244" s="121"/>
      <c r="M244" s="122"/>
      <c r="O244"/>
      <c r="P244"/>
    </row>
    <row r="245" spans="1:16" s="102" customFormat="1">
      <c r="A245" s="122"/>
      <c r="B245" s="122"/>
      <c r="C245" s="122"/>
      <c r="D245" s="122"/>
      <c r="E245" s="122"/>
      <c r="F245" s="122"/>
      <c r="G245" s="121"/>
      <c r="H245" s="122"/>
      <c r="I245" s="122"/>
      <c r="J245" s="122"/>
      <c r="K245" s="122"/>
      <c r="L245" s="121"/>
      <c r="M245" s="122"/>
      <c r="O245"/>
      <c r="P245"/>
    </row>
    <row r="246" spans="1:16" s="102" customFormat="1">
      <c r="A246" s="122"/>
      <c r="B246" s="122"/>
      <c r="C246" s="122"/>
      <c r="D246" s="122"/>
      <c r="E246" s="122"/>
      <c r="F246" s="122"/>
      <c r="G246" s="121"/>
      <c r="H246" s="122"/>
      <c r="I246" s="122"/>
      <c r="J246" s="122"/>
      <c r="K246" s="122"/>
      <c r="L246" s="121"/>
      <c r="M246" s="122"/>
      <c r="O246"/>
      <c r="P246"/>
    </row>
    <row r="247" spans="1:16" s="102" customFormat="1">
      <c r="A247" s="122"/>
      <c r="B247" s="122"/>
      <c r="C247" s="122"/>
      <c r="D247" s="122"/>
      <c r="E247" s="122"/>
      <c r="F247" s="122"/>
      <c r="G247" s="121"/>
      <c r="H247" s="122"/>
      <c r="I247" s="122"/>
      <c r="J247" s="122"/>
      <c r="K247" s="122"/>
      <c r="L247" s="121"/>
      <c r="M247" s="122"/>
      <c r="O247"/>
      <c r="P247"/>
    </row>
    <row r="248" spans="1:16" s="102" customFormat="1">
      <c r="A248" s="122"/>
      <c r="B248" s="122"/>
      <c r="C248" s="122"/>
      <c r="D248" s="122"/>
      <c r="E248" s="122"/>
      <c r="F248" s="122"/>
      <c r="G248" s="121"/>
      <c r="H248" s="122"/>
      <c r="I248" s="122"/>
      <c r="J248" s="122"/>
      <c r="K248" s="122"/>
      <c r="L248" s="121"/>
      <c r="M248" s="122"/>
      <c r="O248"/>
      <c r="P248"/>
    </row>
    <row r="249" spans="1:16" s="102" customFormat="1">
      <c r="A249" s="122"/>
      <c r="B249" s="122"/>
      <c r="C249" s="122"/>
      <c r="D249" s="122"/>
      <c r="E249" s="122"/>
      <c r="F249" s="122"/>
      <c r="G249" s="121"/>
      <c r="H249" s="122"/>
      <c r="I249" s="122"/>
      <c r="J249" s="122"/>
      <c r="K249" s="122"/>
      <c r="L249" s="121"/>
      <c r="M249" s="122"/>
      <c r="O249"/>
      <c r="P249"/>
    </row>
    <row r="250" spans="1:16" s="102" customFormat="1">
      <c r="A250" s="122"/>
      <c r="B250" s="122"/>
      <c r="C250" s="122"/>
      <c r="D250" s="122"/>
      <c r="E250" s="122"/>
      <c r="F250" s="122"/>
      <c r="G250" s="121"/>
      <c r="H250" s="122"/>
      <c r="I250" s="122"/>
      <c r="J250" s="122"/>
      <c r="K250" s="122"/>
      <c r="L250" s="121"/>
      <c r="M250" s="122"/>
      <c r="O250"/>
      <c r="P250"/>
    </row>
    <row r="251" spans="1:16" s="102" customFormat="1">
      <c r="A251" s="122"/>
      <c r="B251" s="122"/>
      <c r="C251" s="122"/>
      <c r="D251" s="122"/>
      <c r="E251" s="122"/>
      <c r="F251" s="122"/>
      <c r="G251" s="121"/>
      <c r="H251" s="122"/>
      <c r="I251" s="122"/>
      <c r="J251" s="122"/>
      <c r="K251" s="122"/>
      <c r="L251" s="121"/>
      <c r="M251" s="122"/>
      <c r="O251"/>
      <c r="P251"/>
    </row>
    <row r="252" spans="1:16" s="102" customFormat="1">
      <c r="A252" s="122"/>
      <c r="B252" s="122"/>
      <c r="C252" s="122"/>
      <c r="D252" s="122"/>
      <c r="E252" s="122"/>
      <c r="F252" s="122"/>
      <c r="G252" s="121"/>
      <c r="H252" s="122"/>
      <c r="I252" s="122"/>
      <c r="J252" s="122"/>
      <c r="K252" s="122"/>
      <c r="L252" s="121"/>
      <c r="M252" s="122"/>
      <c r="O252"/>
      <c r="P252"/>
    </row>
    <row r="253" spans="1:16" s="102" customFormat="1">
      <c r="A253" s="122"/>
      <c r="B253" s="122"/>
      <c r="C253" s="122"/>
      <c r="D253" s="122"/>
      <c r="E253" s="122"/>
      <c r="F253" s="122"/>
      <c r="G253" s="121"/>
      <c r="H253" s="122"/>
      <c r="I253" s="122"/>
      <c r="J253" s="122"/>
      <c r="K253" s="122"/>
      <c r="L253" s="121"/>
      <c r="M253" s="122"/>
      <c r="O253"/>
      <c r="P253"/>
    </row>
    <row r="254" spans="1:16" s="102" customFormat="1">
      <c r="A254" s="122"/>
      <c r="B254" s="122"/>
      <c r="C254" s="122"/>
      <c r="D254" s="122"/>
      <c r="E254" s="122"/>
      <c r="F254" s="122"/>
      <c r="G254" s="121"/>
      <c r="H254" s="122"/>
      <c r="I254" s="122"/>
      <c r="J254" s="122"/>
      <c r="K254" s="122"/>
      <c r="L254" s="121"/>
      <c r="M254" s="122"/>
      <c r="O254"/>
      <c r="P254"/>
    </row>
    <row r="255" spans="1:16" s="102" customFormat="1">
      <c r="A255" s="122"/>
      <c r="B255" s="122"/>
      <c r="C255" s="122"/>
      <c r="D255" s="122"/>
      <c r="E255" s="122"/>
      <c r="F255" s="122"/>
      <c r="G255" s="121"/>
      <c r="H255" s="122"/>
      <c r="I255" s="122"/>
      <c r="J255" s="122"/>
      <c r="K255" s="122"/>
      <c r="L255" s="121"/>
      <c r="M255" s="122"/>
      <c r="O255"/>
      <c r="P255"/>
    </row>
    <row r="256" spans="1:16" s="102" customFormat="1">
      <c r="A256" s="122"/>
      <c r="B256" s="122"/>
      <c r="C256" s="122"/>
      <c r="D256" s="122"/>
      <c r="E256" s="122"/>
      <c r="F256" s="122"/>
      <c r="G256" s="121"/>
      <c r="H256" s="122"/>
      <c r="I256" s="122"/>
      <c r="J256" s="122"/>
      <c r="K256" s="122"/>
      <c r="L256" s="121"/>
      <c r="M256" s="122"/>
      <c r="O256"/>
      <c r="P256"/>
    </row>
    <row r="257" spans="1:16" s="102" customFormat="1">
      <c r="A257" s="122"/>
      <c r="B257" s="122"/>
      <c r="C257" s="122"/>
      <c r="D257" s="122"/>
      <c r="E257" s="122"/>
      <c r="F257" s="122"/>
      <c r="G257" s="121"/>
      <c r="H257" s="122"/>
      <c r="I257" s="122"/>
      <c r="J257" s="122"/>
      <c r="K257" s="122"/>
      <c r="L257" s="121"/>
      <c r="M257" s="122"/>
      <c r="O257"/>
      <c r="P257"/>
    </row>
    <row r="258" spans="1:16" s="102" customFormat="1">
      <c r="A258" s="122"/>
      <c r="B258" s="122"/>
      <c r="C258" s="122"/>
      <c r="D258" s="122"/>
      <c r="E258" s="122"/>
      <c r="F258" s="122"/>
      <c r="G258" s="121"/>
      <c r="H258" s="122"/>
      <c r="I258" s="122"/>
      <c r="J258" s="122"/>
      <c r="K258" s="122"/>
      <c r="L258" s="121"/>
      <c r="M258" s="122"/>
      <c r="O258"/>
      <c r="P258"/>
    </row>
    <row r="259" spans="1:16" s="102" customFormat="1">
      <c r="A259" s="122"/>
      <c r="B259" s="122"/>
      <c r="C259" s="122"/>
      <c r="D259" s="122"/>
      <c r="E259" s="122"/>
      <c r="F259" s="122"/>
      <c r="G259" s="121"/>
      <c r="H259" s="122"/>
      <c r="I259" s="122"/>
      <c r="J259" s="122"/>
      <c r="K259" s="122"/>
      <c r="L259" s="121"/>
      <c r="M259" s="122"/>
      <c r="O259"/>
      <c r="P259"/>
    </row>
    <row r="260" spans="1:16" s="102" customFormat="1">
      <c r="A260" s="122"/>
      <c r="B260" s="122"/>
      <c r="C260" s="122"/>
      <c r="D260" s="122"/>
      <c r="E260" s="122"/>
      <c r="F260" s="122"/>
      <c r="G260" s="121"/>
      <c r="H260" s="122"/>
      <c r="I260" s="122"/>
      <c r="J260" s="122"/>
      <c r="K260" s="122"/>
      <c r="L260" s="121"/>
      <c r="M260" s="122"/>
      <c r="O260"/>
      <c r="P260"/>
    </row>
    <row r="261" spans="1:16" s="102" customFormat="1">
      <c r="A261" s="122"/>
      <c r="B261" s="122"/>
      <c r="C261" s="122"/>
      <c r="D261" s="122"/>
      <c r="E261" s="122"/>
      <c r="F261" s="122"/>
      <c r="G261" s="121"/>
      <c r="H261" s="122"/>
      <c r="I261" s="122"/>
      <c r="J261" s="122"/>
      <c r="K261" s="122"/>
      <c r="L261" s="121"/>
      <c r="M261" s="122"/>
      <c r="O261"/>
      <c r="P261"/>
    </row>
    <row r="262" spans="1:16" s="102" customFormat="1">
      <c r="A262" s="122"/>
      <c r="B262" s="122"/>
      <c r="C262" s="122"/>
      <c r="D262" s="122"/>
      <c r="E262" s="122"/>
      <c r="F262" s="122"/>
      <c r="G262" s="121"/>
      <c r="H262" s="122"/>
      <c r="I262" s="122"/>
      <c r="J262" s="122"/>
      <c r="K262" s="122"/>
      <c r="L262" s="121"/>
      <c r="M262" s="122"/>
      <c r="O262"/>
      <c r="P262"/>
    </row>
    <row r="263" spans="1:16" s="102" customFormat="1">
      <c r="A263" s="122"/>
      <c r="B263" s="122"/>
      <c r="C263" s="122"/>
      <c r="D263" s="122"/>
      <c r="E263" s="122"/>
      <c r="F263" s="122"/>
      <c r="G263" s="121"/>
      <c r="H263" s="122"/>
      <c r="I263" s="122"/>
      <c r="J263" s="122"/>
      <c r="K263" s="122"/>
      <c r="L263" s="121"/>
      <c r="M263" s="122"/>
      <c r="O263"/>
      <c r="P263"/>
    </row>
    <row r="264" spans="1:16" s="102" customFormat="1">
      <c r="A264" s="122"/>
      <c r="B264" s="122"/>
      <c r="C264" s="122"/>
      <c r="D264" s="122"/>
      <c r="E264" s="122"/>
      <c r="F264" s="122"/>
      <c r="G264" s="121"/>
      <c r="H264" s="122"/>
      <c r="I264" s="122"/>
      <c r="J264" s="122"/>
      <c r="K264" s="122"/>
      <c r="L264" s="121"/>
      <c r="M264" s="122"/>
      <c r="O264"/>
      <c r="P264"/>
    </row>
    <row r="265" spans="1:16" s="102" customFormat="1">
      <c r="A265" s="122"/>
      <c r="B265" s="122"/>
      <c r="C265" s="122"/>
      <c r="D265" s="122"/>
      <c r="E265" s="122"/>
      <c r="F265" s="122"/>
      <c r="G265" s="121"/>
      <c r="H265" s="122"/>
      <c r="I265" s="122"/>
      <c r="J265" s="122"/>
      <c r="K265" s="122"/>
      <c r="L265" s="121"/>
      <c r="M265" s="122"/>
      <c r="O265"/>
      <c r="P265"/>
    </row>
    <row r="266" spans="1:16" s="102" customFormat="1">
      <c r="A266" s="122"/>
      <c r="B266" s="122"/>
      <c r="C266" s="122"/>
      <c r="D266" s="122"/>
      <c r="E266" s="122"/>
      <c r="F266" s="122"/>
      <c r="G266" s="121"/>
      <c r="H266" s="122"/>
      <c r="I266" s="122"/>
      <c r="J266" s="122"/>
      <c r="K266" s="122"/>
      <c r="L266" s="121"/>
      <c r="M266" s="122"/>
      <c r="O266"/>
      <c r="P266"/>
    </row>
    <row r="267" spans="1:16" s="102" customFormat="1">
      <c r="A267" s="122"/>
      <c r="B267" s="122"/>
      <c r="C267" s="122"/>
      <c r="D267" s="122"/>
      <c r="E267" s="122"/>
      <c r="F267" s="122"/>
      <c r="G267" s="121"/>
      <c r="H267" s="122"/>
      <c r="I267" s="122"/>
      <c r="J267" s="122"/>
      <c r="K267" s="122"/>
      <c r="L267" s="121"/>
      <c r="M267" s="122"/>
      <c r="O267"/>
      <c r="P267"/>
    </row>
    <row r="268" spans="1:16" s="102" customFormat="1">
      <c r="A268" s="122"/>
      <c r="B268" s="122"/>
      <c r="C268" s="122"/>
      <c r="D268" s="122"/>
      <c r="E268" s="122"/>
      <c r="F268" s="122"/>
      <c r="G268" s="121"/>
      <c r="H268" s="122"/>
      <c r="I268" s="122"/>
      <c r="J268" s="122"/>
      <c r="K268" s="122"/>
      <c r="L268" s="121"/>
      <c r="M268" s="122"/>
      <c r="O268"/>
      <c r="P268"/>
    </row>
    <row r="269" spans="1:16" s="102" customFormat="1">
      <c r="A269" s="122"/>
      <c r="B269" s="122"/>
      <c r="C269" s="122"/>
      <c r="D269" s="122"/>
      <c r="E269" s="122"/>
      <c r="F269" s="122"/>
      <c r="G269" s="121"/>
      <c r="H269" s="122"/>
      <c r="I269" s="122"/>
      <c r="J269" s="122"/>
      <c r="K269" s="122"/>
      <c r="L269" s="121"/>
      <c r="M269" s="122"/>
      <c r="O269"/>
      <c r="P269"/>
    </row>
    <row r="270" spans="1:16" s="102" customFormat="1">
      <c r="A270" s="122"/>
      <c r="B270" s="122"/>
      <c r="C270" s="122"/>
      <c r="D270" s="122"/>
      <c r="E270" s="122"/>
      <c r="F270" s="122"/>
      <c r="G270" s="121"/>
      <c r="H270" s="122"/>
      <c r="I270" s="122"/>
      <c r="J270" s="122"/>
      <c r="K270" s="122"/>
      <c r="L270" s="121"/>
      <c r="M270" s="122"/>
      <c r="O270"/>
      <c r="P270"/>
    </row>
    <row r="271" spans="1:16" s="102" customFormat="1">
      <c r="A271" s="122"/>
      <c r="B271" s="122"/>
      <c r="C271" s="122"/>
      <c r="D271" s="122"/>
      <c r="E271" s="122"/>
      <c r="F271" s="122"/>
      <c r="G271" s="121"/>
      <c r="H271" s="122"/>
      <c r="I271" s="122"/>
      <c r="J271" s="122"/>
      <c r="K271" s="122"/>
      <c r="L271" s="121"/>
      <c r="M271" s="122"/>
      <c r="O271"/>
      <c r="P271"/>
    </row>
    <row r="272" spans="1:16" s="102" customFormat="1">
      <c r="A272" s="122"/>
      <c r="B272" s="122"/>
      <c r="C272" s="122"/>
      <c r="D272" s="122"/>
      <c r="E272" s="122"/>
      <c r="F272" s="122"/>
      <c r="G272" s="121"/>
      <c r="H272" s="122"/>
      <c r="I272" s="122"/>
      <c r="J272" s="122"/>
      <c r="K272" s="122"/>
      <c r="L272" s="121"/>
      <c r="M272" s="122"/>
      <c r="O272"/>
      <c r="P272"/>
    </row>
    <row r="273" spans="1:16" s="102" customFormat="1">
      <c r="A273" s="122"/>
      <c r="B273" s="122"/>
      <c r="C273" s="122"/>
      <c r="D273" s="122"/>
      <c r="E273" s="122"/>
      <c r="F273" s="122"/>
      <c r="G273" s="121"/>
      <c r="H273" s="122"/>
      <c r="I273" s="122"/>
      <c r="J273" s="122"/>
      <c r="K273" s="122"/>
      <c r="L273" s="121"/>
      <c r="M273" s="122"/>
      <c r="O273"/>
      <c r="P273"/>
    </row>
    <row r="274" spans="1:16" s="102" customFormat="1">
      <c r="A274" s="122"/>
      <c r="B274" s="122"/>
      <c r="C274" s="122"/>
      <c r="D274" s="122"/>
      <c r="E274" s="122"/>
      <c r="F274" s="122"/>
      <c r="G274" s="121"/>
      <c r="H274" s="122"/>
      <c r="I274" s="122"/>
      <c r="J274" s="122"/>
      <c r="K274" s="122"/>
      <c r="L274" s="121"/>
      <c r="M274" s="122"/>
      <c r="O274"/>
      <c r="P274"/>
    </row>
    <row r="275" spans="1:16" s="102" customFormat="1">
      <c r="A275" s="122"/>
      <c r="B275" s="122"/>
      <c r="C275" s="122"/>
      <c r="D275" s="122"/>
      <c r="E275" s="122"/>
      <c r="F275" s="122"/>
      <c r="G275" s="121"/>
      <c r="H275" s="122"/>
      <c r="I275" s="122"/>
      <c r="J275" s="122"/>
      <c r="K275" s="122"/>
      <c r="L275" s="121"/>
      <c r="M275" s="122"/>
      <c r="O275"/>
      <c r="P275"/>
    </row>
    <row r="276" spans="1:16" s="102" customFormat="1">
      <c r="A276" s="122"/>
      <c r="B276" s="122"/>
      <c r="C276" s="122"/>
      <c r="D276" s="122"/>
      <c r="E276" s="122"/>
      <c r="F276" s="122"/>
      <c r="G276" s="121"/>
      <c r="H276" s="122"/>
      <c r="I276" s="122"/>
      <c r="J276" s="122"/>
      <c r="K276" s="122"/>
      <c r="L276" s="121"/>
      <c r="M276" s="122"/>
      <c r="O276"/>
      <c r="P276"/>
    </row>
    <row r="277" spans="1:16" s="102" customFormat="1">
      <c r="A277" s="122"/>
      <c r="B277" s="122"/>
      <c r="C277" s="122"/>
      <c r="D277" s="122"/>
      <c r="E277" s="122"/>
      <c r="F277" s="122"/>
      <c r="G277" s="121"/>
      <c r="H277" s="122"/>
      <c r="I277" s="122"/>
      <c r="J277" s="122"/>
      <c r="K277" s="122"/>
      <c r="L277" s="121"/>
      <c r="M277" s="122"/>
      <c r="O277"/>
      <c r="P277"/>
    </row>
    <row r="278" spans="1:16" s="102" customFormat="1">
      <c r="A278" s="122"/>
      <c r="B278" s="122"/>
      <c r="C278" s="122"/>
      <c r="D278" s="122"/>
      <c r="E278" s="122"/>
      <c r="F278" s="122"/>
      <c r="G278" s="121"/>
      <c r="H278" s="122"/>
      <c r="I278" s="122"/>
      <c r="J278" s="122"/>
      <c r="K278" s="122"/>
      <c r="L278" s="121"/>
      <c r="M278" s="122"/>
      <c r="O278"/>
      <c r="P278"/>
    </row>
    <row r="279" spans="1:16" s="102" customFormat="1">
      <c r="A279" s="122"/>
      <c r="B279" s="122"/>
      <c r="C279" s="122"/>
      <c r="D279" s="122"/>
      <c r="E279" s="122"/>
      <c r="F279" s="122"/>
      <c r="G279" s="121"/>
      <c r="H279" s="122"/>
      <c r="I279" s="122"/>
      <c r="J279" s="122"/>
      <c r="K279" s="122"/>
      <c r="L279" s="121"/>
      <c r="M279" s="122"/>
      <c r="O279"/>
      <c r="P279"/>
    </row>
    <row r="280" spans="1:16" s="102" customFormat="1">
      <c r="A280" s="122"/>
      <c r="B280" s="122"/>
      <c r="C280" s="122"/>
      <c r="D280" s="122"/>
      <c r="E280" s="122"/>
      <c r="F280" s="122"/>
      <c r="G280" s="121"/>
      <c r="H280" s="122"/>
      <c r="I280" s="122"/>
      <c r="J280" s="122"/>
      <c r="K280" s="122"/>
      <c r="L280" s="121"/>
      <c r="M280" s="122"/>
      <c r="O280"/>
      <c r="P280"/>
    </row>
    <row r="281" spans="1:16" s="102" customFormat="1">
      <c r="A281" s="122"/>
      <c r="B281" s="122"/>
      <c r="C281" s="122"/>
      <c r="D281" s="122"/>
      <c r="E281" s="122"/>
      <c r="F281" s="122"/>
      <c r="G281" s="121"/>
      <c r="H281" s="122"/>
      <c r="I281" s="122"/>
      <c r="J281" s="122"/>
      <c r="K281" s="122"/>
      <c r="L281" s="121"/>
      <c r="M281" s="122"/>
      <c r="O281"/>
      <c r="P281"/>
    </row>
    <row r="282" spans="1:16" s="102" customFormat="1">
      <c r="A282" s="122"/>
      <c r="B282" s="122"/>
      <c r="C282" s="122"/>
      <c r="D282" s="122"/>
      <c r="E282" s="122"/>
      <c r="F282" s="122"/>
      <c r="G282" s="121"/>
      <c r="H282" s="122"/>
      <c r="I282" s="122"/>
      <c r="J282" s="122"/>
      <c r="K282" s="122"/>
      <c r="L282" s="121"/>
      <c r="M282" s="122"/>
      <c r="O282"/>
      <c r="P282"/>
    </row>
    <row r="283" spans="1:16" s="102" customFormat="1">
      <c r="A283" s="122"/>
      <c r="B283" s="122"/>
      <c r="C283" s="122"/>
      <c r="D283" s="122"/>
      <c r="E283" s="122"/>
      <c r="F283" s="122"/>
      <c r="G283" s="121"/>
      <c r="H283" s="122"/>
      <c r="I283" s="122"/>
      <c r="J283" s="122"/>
      <c r="K283" s="122"/>
      <c r="L283" s="121"/>
      <c r="M283" s="122"/>
      <c r="O283"/>
      <c r="P283"/>
    </row>
    <row r="284" spans="1:16" s="102" customFormat="1">
      <c r="A284" s="122"/>
      <c r="B284" s="122"/>
      <c r="C284" s="122"/>
      <c r="D284" s="122"/>
      <c r="E284" s="122"/>
      <c r="F284" s="122"/>
      <c r="G284" s="121"/>
      <c r="H284" s="122"/>
      <c r="I284" s="122"/>
      <c r="J284" s="122"/>
      <c r="K284" s="122"/>
      <c r="L284" s="121"/>
      <c r="M284" s="122"/>
      <c r="O284"/>
      <c r="P284"/>
    </row>
    <row r="285" spans="1:16" s="102" customFormat="1">
      <c r="A285" s="122"/>
      <c r="B285" s="122"/>
      <c r="C285" s="122"/>
      <c r="D285" s="122"/>
      <c r="E285" s="122"/>
      <c r="F285" s="122"/>
      <c r="G285" s="121"/>
      <c r="H285" s="122"/>
      <c r="I285" s="122"/>
      <c r="J285" s="122"/>
      <c r="K285" s="122"/>
      <c r="L285" s="121"/>
      <c r="M285" s="122"/>
      <c r="O285"/>
      <c r="P285"/>
    </row>
    <row r="286" spans="1:16" s="102" customFormat="1">
      <c r="A286" s="122"/>
      <c r="B286" s="122"/>
      <c r="C286" s="122"/>
      <c r="D286" s="122"/>
      <c r="E286" s="122"/>
      <c r="F286" s="122"/>
      <c r="G286" s="121"/>
      <c r="H286" s="122"/>
      <c r="I286" s="122"/>
      <c r="J286" s="122"/>
      <c r="K286" s="122"/>
      <c r="L286" s="121"/>
      <c r="M286" s="122"/>
      <c r="O286"/>
      <c r="P286"/>
    </row>
    <row r="287" spans="1:16" s="102" customFormat="1">
      <c r="A287" s="122"/>
      <c r="B287" s="122"/>
      <c r="C287" s="122"/>
      <c r="D287" s="122"/>
      <c r="E287" s="122"/>
      <c r="F287" s="122"/>
      <c r="G287" s="121"/>
      <c r="H287" s="122"/>
      <c r="I287" s="122"/>
      <c r="J287" s="122"/>
      <c r="K287" s="122"/>
      <c r="L287" s="121"/>
      <c r="M287" s="122"/>
      <c r="O287"/>
      <c r="P287"/>
    </row>
    <row r="288" spans="1:16" s="102" customFormat="1">
      <c r="A288" s="122"/>
      <c r="B288" s="122"/>
      <c r="C288" s="122"/>
      <c r="D288" s="122"/>
      <c r="E288" s="122"/>
      <c r="F288" s="122"/>
      <c r="G288" s="121"/>
      <c r="H288" s="122"/>
      <c r="I288" s="122"/>
      <c r="J288" s="122"/>
      <c r="K288" s="122"/>
      <c r="L288" s="121"/>
      <c r="M288" s="122"/>
      <c r="O288"/>
      <c r="P288"/>
    </row>
    <row r="289" spans="1:16" s="102" customFormat="1">
      <c r="A289" s="122"/>
      <c r="B289" s="122"/>
      <c r="C289" s="122"/>
      <c r="D289" s="122"/>
      <c r="E289" s="122"/>
      <c r="F289" s="122"/>
      <c r="G289" s="121"/>
      <c r="H289" s="122"/>
      <c r="I289" s="122"/>
      <c r="J289" s="122"/>
      <c r="K289" s="122"/>
      <c r="L289" s="121"/>
      <c r="M289" s="122"/>
      <c r="O289"/>
      <c r="P289"/>
    </row>
    <row r="290" spans="1:16" s="102" customFormat="1">
      <c r="A290" s="122"/>
      <c r="B290" s="122"/>
      <c r="C290" s="122"/>
      <c r="D290" s="122"/>
      <c r="E290" s="122"/>
      <c r="F290" s="122"/>
      <c r="G290" s="121"/>
      <c r="H290" s="122"/>
      <c r="I290" s="122"/>
      <c r="J290" s="122"/>
      <c r="K290" s="122"/>
      <c r="L290" s="121"/>
      <c r="M290" s="122"/>
      <c r="O290"/>
      <c r="P290"/>
    </row>
    <row r="291" spans="1:16" s="102" customFormat="1">
      <c r="A291" s="122"/>
      <c r="B291" s="122"/>
      <c r="C291" s="122"/>
      <c r="D291" s="122"/>
      <c r="E291" s="122"/>
      <c r="F291" s="122"/>
      <c r="G291" s="121"/>
      <c r="H291" s="122"/>
      <c r="I291" s="122"/>
      <c r="J291" s="122"/>
      <c r="K291" s="122"/>
      <c r="L291" s="121"/>
      <c r="M291" s="122"/>
      <c r="O291"/>
      <c r="P291"/>
    </row>
    <row r="292" spans="1:16" s="102" customFormat="1">
      <c r="A292" s="122"/>
      <c r="B292" s="122"/>
      <c r="C292" s="122"/>
      <c r="D292" s="122"/>
      <c r="E292" s="122"/>
      <c r="F292" s="122"/>
      <c r="G292" s="121"/>
      <c r="H292" s="122"/>
      <c r="I292" s="122"/>
      <c r="J292" s="122"/>
      <c r="K292" s="122"/>
      <c r="L292" s="121"/>
      <c r="M292" s="122"/>
      <c r="O292"/>
      <c r="P292"/>
    </row>
    <row r="293" spans="1:16" s="102" customFormat="1">
      <c r="A293" s="122"/>
      <c r="B293" s="122"/>
      <c r="C293" s="122"/>
      <c r="D293" s="122"/>
      <c r="E293" s="122"/>
      <c r="F293" s="122"/>
      <c r="G293" s="121"/>
      <c r="H293" s="122"/>
      <c r="I293" s="122"/>
      <c r="J293" s="122"/>
      <c r="K293" s="122"/>
      <c r="L293" s="121"/>
      <c r="M293" s="122"/>
      <c r="O293"/>
      <c r="P293"/>
    </row>
    <row r="294" spans="1:16" s="102" customFormat="1">
      <c r="A294" s="122"/>
      <c r="B294" s="122"/>
      <c r="C294" s="122"/>
      <c r="D294" s="122"/>
      <c r="E294" s="122"/>
      <c r="F294" s="122"/>
      <c r="G294" s="121"/>
      <c r="H294" s="122"/>
      <c r="I294" s="122"/>
      <c r="J294" s="122"/>
      <c r="K294" s="122"/>
      <c r="L294" s="121"/>
      <c r="M294" s="122"/>
      <c r="O294"/>
      <c r="P294"/>
    </row>
    <row r="295" spans="1:16" s="102" customFormat="1">
      <c r="A295" s="122"/>
      <c r="B295" s="122"/>
      <c r="C295" s="122"/>
      <c r="D295" s="122"/>
      <c r="E295" s="122"/>
      <c r="F295" s="122"/>
      <c r="G295" s="121"/>
      <c r="H295" s="122"/>
      <c r="I295" s="122"/>
      <c r="J295" s="122"/>
      <c r="K295" s="122"/>
      <c r="L295" s="121"/>
      <c r="M295" s="122"/>
      <c r="O295"/>
      <c r="P295"/>
    </row>
    <row r="296" spans="1:16" s="102" customFormat="1">
      <c r="A296" s="122"/>
      <c r="B296" s="122"/>
      <c r="C296" s="122"/>
      <c r="D296" s="122"/>
      <c r="E296" s="122"/>
      <c r="F296" s="122"/>
      <c r="G296" s="121"/>
      <c r="H296" s="122"/>
      <c r="I296" s="122"/>
      <c r="J296" s="122"/>
      <c r="K296" s="122"/>
      <c r="L296" s="121"/>
      <c r="M296" s="122"/>
      <c r="O296"/>
      <c r="P296"/>
    </row>
    <row r="297" spans="1:16" s="102" customFormat="1">
      <c r="A297" s="122"/>
      <c r="B297" s="122"/>
      <c r="C297" s="122"/>
      <c r="D297" s="122"/>
      <c r="E297" s="122"/>
      <c r="F297" s="122"/>
      <c r="G297" s="121"/>
      <c r="H297" s="122"/>
      <c r="I297" s="122"/>
      <c r="J297" s="122"/>
      <c r="K297" s="122"/>
      <c r="L297" s="121"/>
      <c r="M297" s="122"/>
      <c r="O297"/>
      <c r="P297"/>
    </row>
    <row r="298" spans="1:16" s="102" customFormat="1">
      <c r="A298" s="122"/>
      <c r="B298" s="122"/>
      <c r="C298" s="122"/>
      <c r="D298" s="122"/>
      <c r="E298" s="122"/>
      <c r="F298" s="122"/>
      <c r="G298" s="121"/>
      <c r="H298" s="122"/>
      <c r="I298" s="122"/>
      <c r="J298" s="122"/>
      <c r="K298" s="122"/>
      <c r="L298" s="121"/>
      <c r="M298" s="122"/>
      <c r="O298"/>
      <c r="P298"/>
    </row>
    <row r="299" spans="1:16" s="102" customFormat="1">
      <c r="A299" s="122"/>
      <c r="B299" s="122"/>
      <c r="C299" s="122"/>
      <c r="D299" s="122"/>
      <c r="E299" s="122"/>
      <c r="F299" s="122"/>
      <c r="G299" s="121"/>
      <c r="H299" s="122"/>
      <c r="I299" s="122"/>
      <c r="J299" s="122"/>
      <c r="K299" s="122"/>
      <c r="L299" s="121"/>
      <c r="M299" s="122"/>
      <c r="O299"/>
      <c r="P299"/>
    </row>
    <row r="300" spans="1:16" s="102" customFormat="1">
      <c r="A300" s="122"/>
      <c r="B300" s="122"/>
      <c r="C300" s="122"/>
      <c r="D300" s="122"/>
      <c r="E300" s="122"/>
      <c r="F300" s="122"/>
      <c r="G300" s="121"/>
      <c r="H300" s="122"/>
      <c r="I300" s="122"/>
      <c r="J300" s="122"/>
      <c r="K300" s="122"/>
      <c r="L300" s="121"/>
      <c r="M300" s="122"/>
      <c r="O300"/>
      <c r="P300"/>
    </row>
    <row r="301" spans="1:16" s="102" customFormat="1">
      <c r="A301" s="122"/>
      <c r="B301" s="122"/>
      <c r="C301" s="122"/>
      <c r="D301" s="122"/>
      <c r="E301" s="122"/>
      <c r="F301" s="122"/>
      <c r="G301" s="121"/>
      <c r="H301" s="122"/>
      <c r="I301" s="122"/>
      <c r="J301" s="122"/>
      <c r="K301" s="122"/>
      <c r="L301" s="121"/>
      <c r="M301" s="122"/>
      <c r="O301"/>
      <c r="P301"/>
    </row>
    <row r="302" spans="1:16" s="102" customFormat="1">
      <c r="A302" s="122"/>
      <c r="B302" s="122"/>
      <c r="C302" s="122"/>
      <c r="D302" s="122"/>
      <c r="E302" s="122"/>
      <c r="F302" s="122"/>
      <c r="G302" s="121"/>
      <c r="H302" s="122"/>
      <c r="I302" s="122"/>
      <c r="J302" s="122"/>
      <c r="K302" s="122"/>
      <c r="L302" s="121"/>
      <c r="M302" s="122"/>
      <c r="O302"/>
      <c r="P302"/>
    </row>
    <row r="303" spans="1:16" s="102" customFormat="1">
      <c r="A303" s="122"/>
      <c r="B303" s="122"/>
      <c r="C303" s="122"/>
      <c r="D303" s="122"/>
      <c r="E303" s="122"/>
      <c r="F303" s="122"/>
      <c r="G303" s="121"/>
      <c r="H303" s="122"/>
      <c r="I303" s="122"/>
      <c r="J303" s="122"/>
      <c r="K303" s="122"/>
      <c r="L303" s="121"/>
      <c r="M303" s="122"/>
      <c r="O303"/>
      <c r="P303"/>
    </row>
    <row r="304" spans="1:16" s="102" customFormat="1">
      <c r="A304" s="122"/>
      <c r="B304" s="122"/>
      <c r="C304" s="122"/>
      <c r="D304" s="122"/>
      <c r="E304" s="122"/>
      <c r="F304" s="122"/>
      <c r="G304" s="121"/>
      <c r="H304" s="122"/>
      <c r="I304" s="122"/>
      <c r="J304" s="122"/>
      <c r="K304" s="122"/>
      <c r="L304" s="121"/>
      <c r="M304" s="122"/>
      <c r="O304"/>
      <c r="P304"/>
    </row>
    <row r="305" spans="1:16" s="102" customFormat="1">
      <c r="A305" s="122"/>
      <c r="B305" s="122"/>
      <c r="C305" s="122"/>
      <c r="D305" s="122"/>
      <c r="E305" s="122"/>
      <c r="F305" s="122"/>
      <c r="G305" s="121"/>
      <c r="H305" s="122"/>
      <c r="I305" s="122"/>
      <c r="J305" s="122"/>
      <c r="K305" s="122"/>
      <c r="L305" s="121"/>
      <c r="M305" s="122"/>
      <c r="O305"/>
      <c r="P305"/>
    </row>
    <row r="306" spans="1:16" s="102" customFormat="1">
      <c r="A306" s="122"/>
      <c r="B306" s="122"/>
      <c r="C306" s="122"/>
      <c r="D306" s="122"/>
      <c r="E306" s="122"/>
      <c r="F306" s="122"/>
      <c r="G306" s="121"/>
      <c r="H306" s="122"/>
      <c r="I306" s="122"/>
      <c r="J306" s="122"/>
      <c r="K306" s="122"/>
      <c r="L306" s="121"/>
      <c r="M306" s="122"/>
      <c r="O306"/>
      <c r="P306"/>
    </row>
    <row r="307" spans="1:16" s="102" customFormat="1">
      <c r="A307" s="122"/>
      <c r="B307" s="122"/>
      <c r="C307" s="122"/>
      <c r="D307" s="122"/>
      <c r="E307" s="122"/>
      <c r="F307" s="122"/>
      <c r="G307" s="121"/>
      <c r="H307" s="122"/>
      <c r="I307" s="122"/>
      <c r="J307" s="122"/>
      <c r="K307" s="122"/>
      <c r="L307" s="121"/>
      <c r="M307" s="122"/>
      <c r="O307"/>
      <c r="P307"/>
    </row>
    <row r="308" spans="1:16" s="102" customFormat="1">
      <c r="A308" s="122"/>
      <c r="B308" s="122"/>
      <c r="C308" s="122"/>
      <c r="D308" s="122"/>
      <c r="E308" s="122"/>
      <c r="F308" s="122"/>
      <c r="G308" s="121"/>
      <c r="H308" s="122"/>
      <c r="I308" s="122"/>
      <c r="J308" s="122"/>
      <c r="K308" s="122"/>
      <c r="L308" s="121"/>
      <c r="M308" s="122"/>
      <c r="O308"/>
      <c r="P308"/>
    </row>
    <row r="309" spans="1:16" s="102" customFormat="1">
      <c r="A309" s="122"/>
      <c r="B309" s="122"/>
      <c r="C309" s="122"/>
      <c r="D309" s="122"/>
      <c r="E309" s="122"/>
      <c r="F309" s="122"/>
      <c r="G309" s="121"/>
      <c r="H309" s="122"/>
      <c r="I309" s="122"/>
      <c r="J309" s="122"/>
      <c r="K309" s="122"/>
      <c r="L309" s="121"/>
      <c r="M309" s="122"/>
      <c r="O309"/>
      <c r="P309"/>
    </row>
    <row r="310" spans="1:16" s="102" customFormat="1">
      <c r="A310" s="122"/>
      <c r="B310" s="122"/>
      <c r="C310" s="122"/>
      <c r="D310" s="122"/>
      <c r="E310" s="122"/>
      <c r="F310" s="122"/>
      <c r="G310" s="121"/>
      <c r="H310" s="122"/>
      <c r="I310" s="122"/>
      <c r="J310" s="122"/>
      <c r="K310" s="122"/>
      <c r="L310" s="121"/>
      <c r="M310" s="122"/>
      <c r="O310"/>
      <c r="P310"/>
    </row>
    <row r="311" spans="1:16" s="102" customFormat="1">
      <c r="A311" s="122"/>
      <c r="B311" s="122"/>
      <c r="C311" s="122"/>
      <c r="D311" s="122"/>
      <c r="E311" s="122"/>
      <c r="F311" s="122"/>
      <c r="G311" s="121"/>
      <c r="H311" s="122"/>
      <c r="I311" s="122"/>
      <c r="J311" s="122"/>
      <c r="K311" s="122"/>
      <c r="L311" s="121"/>
      <c r="M311" s="122"/>
      <c r="O311"/>
      <c r="P311"/>
    </row>
    <row r="312" spans="1:16" s="102" customFormat="1">
      <c r="A312" s="122"/>
      <c r="B312" s="122"/>
      <c r="C312" s="122"/>
      <c r="D312" s="122"/>
      <c r="E312" s="122"/>
      <c r="F312" s="122"/>
      <c r="G312" s="121"/>
      <c r="H312" s="122"/>
      <c r="I312" s="122"/>
      <c r="J312" s="122"/>
      <c r="K312" s="122"/>
      <c r="L312" s="121"/>
      <c r="M312" s="122"/>
      <c r="O312"/>
      <c r="P312"/>
    </row>
    <row r="313" spans="1:16" s="102" customFormat="1">
      <c r="A313" s="122"/>
      <c r="B313" s="122"/>
      <c r="C313" s="122"/>
      <c r="D313" s="122"/>
      <c r="E313" s="122"/>
      <c r="F313" s="122"/>
      <c r="G313" s="121"/>
      <c r="H313" s="122"/>
      <c r="I313" s="122"/>
      <c r="J313" s="122"/>
      <c r="K313" s="122"/>
      <c r="L313" s="121"/>
      <c r="M313" s="122"/>
      <c r="O313"/>
      <c r="P313"/>
    </row>
    <row r="314" spans="1:16" s="102" customFormat="1">
      <c r="A314" s="122"/>
      <c r="B314" s="122"/>
      <c r="C314" s="122"/>
      <c r="D314" s="122"/>
      <c r="E314" s="122"/>
      <c r="F314" s="122"/>
      <c r="G314" s="121"/>
      <c r="H314" s="122"/>
      <c r="I314" s="122"/>
      <c r="J314" s="122"/>
      <c r="K314" s="122"/>
      <c r="L314" s="121"/>
      <c r="M314" s="122"/>
      <c r="O314"/>
      <c r="P314"/>
    </row>
    <row r="315" spans="1:16" s="102" customFormat="1">
      <c r="A315" s="122"/>
      <c r="B315" s="122"/>
      <c r="C315" s="122"/>
      <c r="D315" s="122"/>
      <c r="E315" s="122"/>
      <c r="F315" s="122"/>
      <c r="G315" s="121"/>
      <c r="H315" s="122"/>
      <c r="I315" s="122"/>
      <c r="J315" s="122"/>
      <c r="K315" s="122"/>
      <c r="L315" s="121"/>
      <c r="M315" s="122"/>
      <c r="O315"/>
      <c r="P315"/>
    </row>
    <row r="316" spans="1:16" s="102" customFormat="1">
      <c r="A316" s="122"/>
      <c r="B316" s="122"/>
      <c r="C316" s="122"/>
      <c r="D316" s="122"/>
      <c r="E316" s="122"/>
      <c r="F316" s="122"/>
      <c r="G316" s="121"/>
      <c r="H316" s="122"/>
      <c r="I316" s="122"/>
      <c r="J316" s="122"/>
      <c r="K316" s="122"/>
      <c r="L316" s="121"/>
      <c r="M316" s="122"/>
      <c r="O316"/>
      <c r="P316"/>
    </row>
    <row r="317" spans="1:16" s="102" customFormat="1">
      <c r="A317" s="122"/>
      <c r="B317" s="122"/>
      <c r="C317" s="122"/>
      <c r="D317" s="122"/>
      <c r="E317" s="122"/>
      <c r="F317" s="122"/>
      <c r="G317" s="121"/>
      <c r="H317" s="122"/>
      <c r="I317" s="122"/>
      <c r="J317" s="122"/>
      <c r="K317" s="122"/>
      <c r="L317" s="121"/>
      <c r="M317" s="122"/>
      <c r="O317"/>
      <c r="P317"/>
    </row>
    <row r="318" spans="1:16" s="102" customFormat="1">
      <c r="A318" s="122"/>
      <c r="B318" s="122"/>
      <c r="C318" s="122"/>
      <c r="D318" s="122"/>
      <c r="E318" s="122"/>
      <c r="F318" s="122"/>
      <c r="G318" s="121"/>
      <c r="H318" s="122"/>
      <c r="I318" s="122"/>
      <c r="J318" s="122"/>
      <c r="K318" s="122"/>
      <c r="L318" s="121"/>
      <c r="M318" s="122"/>
      <c r="O318"/>
      <c r="P318"/>
    </row>
    <row r="319" spans="1:16" s="102" customFormat="1">
      <c r="A319" s="122"/>
      <c r="B319" s="122"/>
      <c r="C319" s="122"/>
      <c r="D319" s="122"/>
      <c r="E319" s="122"/>
      <c r="F319" s="122"/>
      <c r="G319" s="121"/>
      <c r="H319" s="122"/>
      <c r="I319" s="122"/>
      <c r="J319" s="122"/>
      <c r="K319" s="122"/>
      <c r="L319" s="121"/>
      <c r="M319" s="122"/>
      <c r="O319"/>
      <c r="P319"/>
    </row>
    <row r="320" spans="1:16" s="102" customFormat="1">
      <c r="A320" s="122"/>
      <c r="B320" s="122"/>
      <c r="C320" s="122"/>
      <c r="D320" s="122"/>
      <c r="E320" s="122"/>
      <c r="F320" s="122"/>
      <c r="G320" s="121"/>
      <c r="H320" s="122"/>
      <c r="I320" s="122"/>
      <c r="J320" s="122"/>
      <c r="K320" s="122"/>
      <c r="L320" s="121"/>
      <c r="M320" s="122"/>
      <c r="O320"/>
      <c r="P320"/>
    </row>
    <row r="321" spans="1:16" s="102" customFormat="1">
      <c r="A321" s="122"/>
      <c r="B321" s="122"/>
      <c r="C321" s="122"/>
      <c r="D321" s="122"/>
      <c r="E321" s="122"/>
      <c r="F321" s="122"/>
      <c r="G321" s="121"/>
      <c r="H321" s="122"/>
      <c r="I321" s="122"/>
      <c r="J321" s="122"/>
      <c r="K321" s="122"/>
      <c r="L321" s="121"/>
      <c r="M321" s="122"/>
      <c r="O321"/>
      <c r="P321"/>
    </row>
    <row r="322" spans="1:16" s="102" customFormat="1">
      <c r="A322" s="122"/>
      <c r="B322" s="122"/>
      <c r="C322" s="122"/>
      <c r="D322" s="122"/>
      <c r="E322" s="122"/>
      <c r="F322" s="122"/>
      <c r="G322" s="121"/>
      <c r="H322" s="122"/>
      <c r="I322" s="122"/>
      <c r="J322" s="122"/>
      <c r="K322" s="122"/>
      <c r="L322" s="121"/>
      <c r="M322" s="122"/>
      <c r="O322"/>
      <c r="P322"/>
    </row>
    <row r="323" spans="1:16" s="102" customFormat="1">
      <c r="A323" s="122"/>
      <c r="B323" s="122"/>
      <c r="C323" s="122"/>
      <c r="D323" s="122"/>
      <c r="E323" s="122"/>
      <c r="F323" s="122"/>
      <c r="G323" s="121"/>
      <c r="H323" s="122"/>
      <c r="I323" s="122"/>
      <c r="J323" s="122"/>
      <c r="K323" s="122"/>
      <c r="L323" s="121"/>
      <c r="M323" s="122"/>
      <c r="O323"/>
      <c r="P323"/>
    </row>
    <row r="324" spans="1:16" s="102" customFormat="1">
      <c r="A324" s="122"/>
      <c r="B324" s="122"/>
      <c r="C324" s="122"/>
      <c r="D324" s="122"/>
      <c r="E324" s="122"/>
      <c r="F324" s="122"/>
      <c r="G324" s="121"/>
      <c r="H324" s="122"/>
      <c r="I324" s="122"/>
      <c r="J324" s="122"/>
      <c r="K324" s="122"/>
      <c r="L324" s="121"/>
      <c r="M324" s="122"/>
      <c r="O324"/>
      <c r="P324"/>
    </row>
    <row r="325" spans="1:16" s="102" customFormat="1">
      <c r="A325" s="122"/>
      <c r="B325" s="122"/>
      <c r="C325" s="122"/>
      <c r="D325" s="122"/>
      <c r="E325" s="122"/>
      <c r="F325" s="122"/>
      <c r="G325" s="121"/>
      <c r="H325" s="122"/>
      <c r="I325" s="122"/>
      <c r="J325" s="122"/>
      <c r="K325" s="122"/>
      <c r="L325" s="121"/>
      <c r="M325" s="122"/>
      <c r="O325"/>
      <c r="P325"/>
    </row>
    <row r="326" spans="1:16" s="102" customFormat="1">
      <c r="A326" s="122"/>
      <c r="B326" s="122"/>
      <c r="C326" s="122"/>
      <c r="D326" s="122"/>
      <c r="E326" s="122"/>
      <c r="F326" s="122"/>
      <c r="G326" s="121"/>
      <c r="H326" s="122"/>
      <c r="I326" s="122"/>
      <c r="J326" s="122"/>
      <c r="K326" s="122"/>
      <c r="L326" s="121"/>
      <c r="M326" s="122"/>
      <c r="O326"/>
      <c r="P326"/>
    </row>
    <row r="327" spans="1:16" s="102" customFormat="1">
      <c r="A327" s="122"/>
      <c r="B327" s="122"/>
      <c r="C327" s="122"/>
      <c r="D327" s="122"/>
      <c r="E327" s="122"/>
      <c r="F327" s="122"/>
      <c r="G327" s="121"/>
      <c r="H327" s="122"/>
      <c r="I327" s="122"/>
      <c r="J327" s="122"/>
      <c r="K327" s="122"/>
      <c r="L327" s="121"/>
      <c r="M327" s="122"/>
      <c r="O327"/>
      <c r="P327"/>
    </row>
    <row r="328" spans="1:16" s="102" customFormat="1">
      <c r="A328" s="122"/>
      <c r="B328" s="122"/>
      <c r="C328" s="122"/>
      <c r="D328" s="122"/>
      <c r="E328" s="122"/>
      <c r="F328" s="122"/>
      <c r="G328" s="121"/>
      <c r="H328" s="122"/>
      <c r="I328" s="122"/>
      <c r="J328" s="122"/>
      <c r="K328" s="122"/>
      <c r="L328" s="121"/>
      <c r="M328" s="122"/>
      <c r="O328"/>
      <c r="P328"/>
    </row>
    <row r="329" spans="1:16" s="102" customFormat="1">
      <c r="A329" s="122"/>
      <c r="B329" s="122"/>
      <c r="C329" s="122"/>
      <c r="D329" s="122"/>
      <c r="E329" s="122"/>
      <c r="F329" s="122"/>
      <c r="G329" s="121"/>
      <c r="H329" s="122"/>
      <c r="I329" s="122"/>
      <c r="J329" s="122"/>
      <c r="K329" s="122"/>
      <c r="L329" s="121"/>
      <c r="M329" s="122"/>
      <c r="O329"/>
      <c r="P329"/>
    </row>
    <row r="330" spans="1:16" s="102" customFormat="1">
      <c r="A330" s="122"/>
      <c r="B330" s="122"/>
      <c r="C330" s="122"/>
      <c r="D330" s="122"/>
      <c r="E330" s="122"/>
      <c r="F330" s="122"/>
      <c r="G330" s="121"/>
      <c r="H330" s="122"/>
      <c r="I330" s="122"/>
      <c r="J330" s="122"/>
      <c r="K330" s="122"/>
      <c r="L330" s="121"/>
      <c r="M330" s="122"/>
      <c r="O330"/>
      <c r="P330"/>
    </row>
    <row r="331" spans="1:16" s="102" customFormat="1">
      <c r="A331" s="122"/>
      <c r="B331" s="122"/>
      <c r="C331" s="122"/>
      <c r="D331" s="122"/>
      <c r="E331" s="122"/>
      <c r="F331" s="122"/>
      <c r="G331" s="121"/>
      <c r="H331" s="122"/>
      <c r="I331" s="122"/>
      <c r="J331" s="122"/>
      <c r="K331" s="122"/>
      <c r="L331" s="121"/>
      <c r="M331" s="122"/>
      <c r="O331"/>
      <c r="P331"/>
    </row>
    <row r="332" spans="1:16" s="102" customFormat="1">
      <c r="A332" s="122"/>
      <c r="B332" s="122"/>
      <c r="C332" s="122"/>
      <c r="D332" s="122"/>
      <c r="E332" s="122"/>
      <c r="F332" s="122"/>
      <c r="G332" s="121"/>
      <c r="H332" s="122"/>
      <c r="I332" s="122"/>
      <c r="J332" s="122"/>
      <c r="K332" s="122"/>
      <c r="L332" s="121"/>
      <c r="M332" s="122"/>
      <c r="O332"/>
      <c r="P332"/>
    </row>
    <row r="333" spans="1:16" s="102" customFormat="1">
      <c r="A333" s="122"/>
      <c r="B333" s="122"/>
      <c r="C333" s="122"/>
      <c r="D333" s="122"/>
      <c r="E333" s="122"/>
      <c r="F333" s="122"/>
      <c r="G333" s="121"/>
      <c r="H333" s="122"/>
      <c r="I333" s="122"/>
      <c r="J333" s="122"/>
      <c r="K333" s="122"/>
      <c r="L333" s="121"/>
      <c r="M333" s="122"/>
      <c r="O333"/>
      <c r="P333"/>
    </row>
    <row r="334" spans="1:16" s="102" customFormat="1">
      <c r="A334" s="122"/>
      <c r="B334" s="122"/>
      <c r="C334" s="122"/>
      <c r="D334" s="122"/>
      <c r="E334" s="122"/>
      <c r="F334" s="122"/>
      <c r="G334" s="121"/>
      <c r="H334" s="122"/>
      <c r="I334" s="122"/>
      <c r="J334" s="122"/>
      <c r="K334" s="122"/>
      <c r="L334" s="121"/>
      <c r="M334" s="122"/>
      <c r="O334"/>
      <c r="P334"/>
    </row>
    <row r="335" spans="1:16" s="102" customFormat="1">
      <c r="A335" s="122"/>
      <c r="B335" s="122"/>
      <c r="C335" s="122"/>
      <c r="D335" s="122"/>
      <c r="E335" s="122"/>
      <c r="F335" s="122"/>
      <c r="G335" s="121"/>
      <c r="H335" s="122"/>
      <c r="I335" s="122"/>
      <c r="J335" s="122"/>
      <c r="K335" s="122"/>
      <c r="L335" s="121"/>
      <c r="M335" s="122"/>
      <c r="O335"/>
      <c r="P335"/>
    </row>
    <row r="336" spans="1:16" s="102" customFormat="1">
      <c r="A336" s="122"/>
      <c r="B336" s="122"/>
      <c r="C336" s="122"/>
      <c r="D336" s="122"/>
      <c r="E336" s="122"/>
      <c r="F336" s="122"/>
      <c r="G336" s="121"/>
      <c r="H336" s="122"/>
      <c r="I336" s="122"/>
      <c r="J336" s="122"/>
      <c r="K336" s="122"/>
      <c r="L336" s="121"/>
      <c r="M336" s="122"/>
      <c r="O336"/>
      <c r="P336"/>
    </row>
    <row r="337" spans="1:16" s="102" customFormat="1">
      <c r="A337" s="122"/>
      <c r="B337" s="122"/>
      <c r="C337" s="122"/>
      <c r="D337" s="122"/>
      <c r="E337" s="122"/>
      <c r="F337" s="122"/>
      <c r="G337" s="121"/>
      <c r="H337" s="122"/>
      <c r="I337" s="122"/>
      <c r="J337" s="122"/>
      <c r="K337" s="122"/>
      <c r="L337" s="121"/>
      <c r="M337" s="122"/>
      <c r="O337"/>
      <c r="P337"/>
    </row>
    <row r="338" spans="1:16" s="102" customFormat="1">
      <c r="A338" s="122"/>
      <c r="B338" s="122"/>
      <c r="C338" s="122"/>
      <c r="D338" s="122"/>
      <c r="E338" s="122"/>
      <c r="F338" s="122"/>
      <c r="G338" s="121"/>
      <c r="H338" s="122"/>
      <c r="I338" s="122"/>
      <c r="J338" s="122"/>
      <c r="K338" s="122"/>
      <c r="L338" s="121"/>
      <c r="M338" s="122"/>
      <c r="O338"/>
      <c r="P338"/>
    </row>
    <row r="339" spans="1:16" s="102" customFormat="1">
      <c r="A339" s="122"/>
      <c r="B339" s="122"/>
      <c r="C339" s="122"/>
      <c r="D339" s="122"/>
      <c r="E339" s="122"/>
      <c r="F339" s="122"/>
      <c r="G339" s="121"/>
      <c r="H339" s="122"/>
      <c r="I339" s="122"/>
      <c r="J339" s="122"/>
      <c r="K339" s="122"/>
      <c r="L339" s="121"/>
      <c r="M339" s="122"/>
      <c r="O339"/>
      <c r="P339"/>
    </row>
    <row r="340" spans="1:16" s="102" customFormat="1">
      <c r="A340" s="122"/>
      <c r="B340" s="122"/>
      <c r="C340" s="122"/>
      <c r="D340" s="122"/>
      <c r="E340" s="122"/>
      <c r="F340" s="122"/>
      <c r="G340" s="121"/>
      <c r="H340" s="122"/>
      <c r="I340" s="122"/>
      <c r="J340" s="122"/>
      <c r="K340" s="122"/>
      <c r="L340" s="121"/>
      <c r="M340" s="122"/>
      <c r="O340"/>
      <c r="P340"/>
    </row>
    <row r="341" spans="1:16" s="102" customFormat="1">
      <c r="A341" s="122"/>
      <c r="B341" s="122"/>
      <c r="C341" s="122"/>
      <c r="D341" s="122"/>
      <c r="E341" s="122"/>
      <c r="F341" s="122"/>
      <c r="G341" s="121"/>
      <c r="H341" s="122"/>
      <c r="I341" s="122"/>
      <c r="J341" s="122"/>
      <c r="K341" s="122"/>
      <c r="L341" s="121"/>
      <c r="M341" s="122"/>
      <c r="O341"/>
      <c r="P341"/>
    </row>
    <row r="342" spans="1:16" s="102" customFormat="1">
      <c r="A342" s="122"/>
      <c r="B342" s="122"/>
      <c r="C342" s="122"/>
      <c r="D342" s="122"/>
      <c r="E342" s="122"/>
      <c r="F342" s="122"/>
      <c r="G342" s="121"/>
      <c r="H342" s="122"/>
      <c r="I342" s="122"/>
      <c r="J342" s="122"/>
      <c r="K342" s="122"/>
      <c r="L342" s="121"/>
      <c r="M342" s="122"/>
      <c r="O342"/>
      <c r="P342"/>
    </row>
    <row r="343" spans="1:16" s="102" customFormat="1">
      <c r="A343" s="122"/>
      <c r="B343" s="122"/>
      <c r="C343" s="122"/>
      <c r="D343" s="122"/>
      <c r="E343" s="122"/>
      <c r="F343" s="122"/>
      <c r="G343" s="121"/>
      <c r="H343" s="122"/>
      <c r="I343" s="122"/>
      <c r="J343" s="122"/>
      <c r="K343" s="122"/>
      <c r="L343" s="121"/>
      <c r="M343" s="122"/>
      <c r="O343"/>
      <c r="P343"/>
    </row>
    <row r="344" spans="1:16" s="102" customFormat="1">
      <c r="A344" s="122"/>
      <c r="B344" s="122"/>
      <c r="C344" s="122"/>
      <c r="D344" s="122"/>
      <c r="E344" s="122"/>
      <c r="F344" s="122"/>
      <c r="G344" s="121"/>
      <c r="H344" s="122"/>
      <c r="I344" s="122"/>
      <c r="J344" s="122"/>
      <c r="K344" s="122"/>
      <c r="L344" s="121"/>
      <c r="M344" s="122"/>
      <c r="O344"/>
      <c r="P344"/>
    </row>
    <row r="345" spans="1:16" s="102" customFormat="1">
      <c r="A345" s="122"/>
      <c r="B345" s="122"/>
      <c r="C345" s="122"/>
      <c r="D345" s="122"/>
      <c r="E345" s="122"/>
      <c r="F345" s="122"/>
      <c r="G345" s="121"/>
      <c r="H345" s="122"/>
      <c r="I345" s="122"/>
      <c r="J345" s="122"/>
      <c r="K345" s="122"/>
      <c r="L345" s="121"/>
      <c r="M345" s="122"/>
      <c r="O345"/>
      <c r="P345"/>
    </row>
    <row r="346" spans="1:16" s="102" customFormat="1">
      <c r="A346" s="122"/>
      <c r="B346" s="122"/>
      <c r="C346" s="122"/>
      <c r="D346" s="122"/>
      <c r="E346" s="122"/>
      <c r="F346" s="122"/>
      <c r="G346" s="121"/>
      <c r="H346" s="122"/>
      <c r="I346" s="122"/>
      <c r="J346" s="122"/>
      <c r="K346" s="122"/>
      <c r="L346" s="121"/>
      <c r="M346" s="122"/>
      <c r="O346"/>
      <c r="P346"/>
    </row>
    <row r="347" spans="1:16" s="102" customFormat="1">
      <c r="A347" s="122"/>
      <c r="B347" s="122"/>
      <c r="C347" s="122"/>
      <c r="D347" s="122"/>
      <c r="E347" s="122"/>
      <c r="F347" s="122"/>
      <c r="G347" s="121"/>
      <c r="H347" s="122"/>
      <c r="I347" s="122"/>
      <c r="J347" s="122"/>
      <c r="K347" s="122"/>
      <c r="L347" s="121"/>
      <c r="M347" s="122"/>
      <c r="O347"/>
      <c r="P347"/>
    </row>
    <row r="348" spans="1:16" s="102" customFormat="1">
      <c r="A348" s="122"/>
      <c r="B348" s="122"/>
      <c r="C348" s="122"/>
      <c r="D348" s="122"/>
      <c r="E348" s="122"/>
      <c r="F348" s="122"/>
      <c r="G348" s="121"/>
      <c r="H348" s="122"/>
      <c r="I348" s="122"/>
      <c r="J348" s="122"/>
      <c r="K348" s="122"/>
      <c r="L348" s="121"/>
      <c r="M348" s="122"/>
      <c r="O348"/>
      <c r="P348"/>
    </row>
    <row r="349" spans="1:16" s="102" customFormat="1">
      <c r="A349" s="122"/>
      <c r="B349" s="122"/>
      <c r="C349" s="122"/>
      <c r="D349" s="122"/>
      <c r="E349" s="122"/>
      <c r="F349" s="122"/>
      <c r="G349" s="121"/>
      <c r="H349" s="122"/>
      <c r="I349" s="122"/>
      <c r="J349" s="122"/>
      <c r="K349" s="122"/>
      <c r="L349" s="121"/>
      <c r="M349" s="122"/>
      <c r="O349"/>
      <c r="P349"/>
    </row>
    <row r="350" spans="1:16" s="102" customFormat="1">
      <c r="A350" s="122"/>
      <c r="B350" s="122"/>
      <c r="C350" s="122"/>
      <c r="D350" s="122"/>
      <c r="E350" s="122"/>
      <c r="F350" s="122"/>
      <c r="G350" s="121"/>
      <c r="H350" s="122"/>
      <c r="I350" s="122"/>
      <c r="J350" s="122"/>
      <c r="K350" s="122"/>
      <c r="L350" s="121"/>
      <c r="M350" s="122"/>
      <c r="O350"/>
      <c r="P350"/>
    </row>
    <row r="351" spans="1:16" s="102" customFormat="1">
      <c r="A351" s="122"/>
      <c r="B351" s="122"/>
      <c r="C351" s="122"/>
      <c r="D351" s="122"/>
      <c r="E351" s="122"/>
      <c r="F351" s="122"/>
      <c r="G351" s="121"/>
      <c r="H351" s="122"/>
      <c r="I351" s="122"/>
      <c r="J351" s="122"/>
      <c r="K351" s="122"/>
      <c r="L351" s="121"/>
      <c r="M351" s="122"/>
      <c r="O351"/>
      <c r="P351"/>
    </row>
    <row r="352" spans="1:16" s="102" customFormat="1">
      <c r="A352" s="122"/>
      <c r="B352" s="122"/>
      <c r="C352" s="122"/>
      <c r="D352" s="122"/>
      <c r="E352" s="122"/>
      <c r="F352" s="122"/>
      <c r="G352" s="121"/>
      <c r="H352" s="122"/>
      <c r="I352" s="122"/>
      <c r="J352" s="122"/>
      <c r="K352" s="122"/>
      <c r="L352" s="121"/>
      <c r="M352" s="122"/>
      <c r="O352"/>
      <c r="P352"/>
    </row>
    <row r="353" spans="1:16" s="102" customFormat="1">
      <c r="A353" s="122"/>
      <c r="B353" s="122"/>
      <c r="C353" s="122"/>
      <c r="D353" s="122"/>
      <c r="E353" s="122"/>
      <c r="F353" s="122"/>
      <c r="G353" s="121"/>
      <c r="H353" s="122"/>
      <c r="I353" s="122"/>
      <c r="J353" s="122"/>
      <c r="K353" s="122"/>
      <c r="L353" s="121"/>
      <c r="M353" s="122"/>
      <c r="O353"/>
      <c r="P353"/>
    </row>
    <row r="354" spans="1:16" s="102" customFormat="1">
      <c r="A354" s="122"/>
      <c r="B354" s="122"/>
      <c r="C354" s="122"/>
      <c r="D354" s="122"/>
      <c r="E354" s="122"/>
      <c r="F354" s="122"/>
      <c r="G354" s="121"/>
      <c r="H354" s="122"/>
      <c r="I354" s="122"/>
      <c r="J354" s="122"/>
      <c r="K354" s="122"/>
      <c r="L354" s="121"/>
      <c r="M354" s="122"/>
      <c r="O354"/>
      <c r="P354"/>
    </row>
    <row r="355" spans="1:16" s="102" customFormat="1">
      <c r="A355" s="122"/>
      <c r="B355" s="122"/>
      <c r="C355" s="122"/>
      <c r="D355" s="122"/>
      <c r="E355" s="122"/>
      <c r="F355" s="122"/>
      <c r="G355" s="121"/>
      <c r="H355" s="122"/>
      <c r="I355" s="122"/>
      <c r="J355" s="122"/>
      <c r="K355" s="122"/>
      <c r="L355" s="121"/>
      <c r="M355" s="122"/>
      <c r="O355"/>
      <c r="P355"/>
    </row>
    <row r="356" spans="1:16" s="102" customFormat="1">
      <c r="A356" s="122"/>
      <c r="B356" s="122"/>
      <c r="C356" s="122"/>
      <c r="D356" s="122"/>
      <c r="E356" s="122"/>
      <c r="F356" s="122"/>
      <c r="G356" s="121"/>
      <c r="H356" s="122"/>
      <c r="I356" s="122"/>
      <c r="J356" s="122"/>
      <c r="K356" s="122"/>
      <c r="L356" s="121"/>
      <c r="M356" s="122"/>
      <c r="O356"/>
      <c r="P356"/>
    </row>
    <row r="357" spans="1:16" s="102" customFormat="1">
      <c r="A357" s="122"/>
      <c r="B357" s="122"/>
      <c r="C357" s="122"/>
      <c r="D357" s="122"/>
      <c r="E357" s="122"/>
      <c r="F357" s="122"/>
      <c r="G357" s="121"/>
      <c r="H357" s="122"/>
      <c r="I357" s="122"/>
      <c r="J357" s="122"/>
      <c r="K357" s="122"/>
      <c r="L357" s="121"/>
      <c r="M357" s="122"/>
      <c r="O357"/>
      <c r="P357"/>
    </row>
    <row r="358" spans="1:16" s="102" customFormat="1">
      <c r="A358" s="122"/>
      <c r="B358" s="122"/>
      <c r="C358" s="122"/>
      <c r="D358" s="122"/>
      <c r="E358" s="122"/>
      <c r="F358" s="122"/>
      <c r="G358" s="121"/>
      <c r="H358" s="122"/>
      <c r="I358" s="122"/>
      <c r="J358" s="122"/>
      <c r="K358" s="122"/>
      <c r="L358" s="121"/>
      <c r="M358" s="122"/>
      <c r="O358"/>
      <c r="P358"/>
    </row>
    <row r="359" spans="1:16" s="102" customFormat="1">
      <c r="A359" s="122"/>
      <c r="B359" s="122"/>
      <c r="C359" s="122"/>
      <c r="D359" s="122"/>
      <c r="E359" s="122"/>
      <c r="F359" s="122"/>
      <c r="G359" s="121"/>
      <c r="H359" s="122"/>
      <c r="I359" s="122"/>
      <c r="J359" s="122"/>
      <c r="K359" s="122"/>
      <c r="L359" s="121"/>
      <c r="M359" s="122"/>
      <c r="O359"/>
      <c r="P359"/>
    </row>
    <row r="360" spans="1:16" s="102" customFormat="1">
      <c r="A360" s="122"/>
      <c r="B360" s="122"/>
      <c r="C360" s="122"/>
      <c r="D360" s="122"/>
      <c r="E360" s="122"/>
      <c r="F360" s="122"/>
      <c r="G360" s="121"/>
      <c r="H360" s="122"/>
      <c r="I360" s="122"/>
      <c r="J360" s="122"/>
      <c r="K360" s="122"/>
      <c r="L360" s="121"/>
      <c r="M360" s="122"/>
      <c r="O360"/>
      <c r="P360"/>
    </row>
    <row r="361" spans="1:16" s="102" customFormat="1">
      <c r="A361" s="122"/>
      <c r="B361" s="122"/>
      <c r="C361" s="122"/>
      <c r="D361" s="122"/>
      <c r="E361" s="122"/>
      <c r="F361" s="122"/>
      <c r="G361" s="121"/>
      <c r="H361" s="122"/>
      <c r="I361" s="122"/>
      <c r="J361" s="122"/>
      <c r="K361" s="122"/>
      <c r="L361" s="121"/>
      <c r="M361" s="122"/>
      <c r="O361"/>
      <c r="P361"/>
    </row>
    <row r="362" spans="1:16" s="102" customFormat="1">
      <c r="A362" s="122"/>
      <c r="B362" s="122"/>
      <c r="C362" s="122"/>
      <c r="D362" s="122"/>
      <c r="E362" s="122"/>
      <c r="F362" s="122"/>
      <c r="G362" s="121"/>
      <c r="H362" s="122"/>
      <c r="I362" s="122"/>
      <c r="J362" s="122"/>
      <c r="K362" s="122"/>
      <c r="L362" s="121"/>
      <c r="M362" s="122"/>
      <c r="O362"/>
      <c r="P362"/>
    </row>
    <row r="363" spans="1:16" s="102" customFormat="1">
      <c r="A363" s="122"/>
      <c r="B363" s="122"/>
      <c r="C363" s="122"/>
      <c r="D363" s="122"/>
      <c r="E363" s="122"/>
      <c r="F363" s="122"/>
      <c r="G363" s="121"/>
      <c r="H363" s="122"/>
      <c r="I363" s="122"/>
      <c r="J363" s="122"/>
      <c r="K363" s="122"/>
      <c r="L363" s="121"/>
      <c r="M363" s="122"/>
      <c r="O363"/>
      <c r="P363"/>
    </row>
    <row r="364" spans="1:16" s="102" customFormat="1">
      <c r="A364" s="122"/>
      <c r="B364" s="122"/>
      <c r="C364" s="122"/>
      <c r="D364" s="122"/>
      <c r="E364" s="122"/>
      <c r="F364" s="122"/>
      <c r="G364" s="121"/>
      <c r="H364" s="122"/>
      <c r="I364" s="122"/>
      <c r="J364" s="122"/>
      <c r="K364" s="122"/>
      <c r="L364" s="121"/>
      <c r="M364" s="122"/>
      <c r="O364"/>
      <c r="P364"/>
    </row>
    <row r="365" spans="1:16" s="102" customFormat="1">
      <c r="A365" s="122"/>
      <c r="B365" s="122"/>
      <c r="C365" s="122"/>
      <c r="D365" s="122"/>
      <c r="E365" s="122"/>
      <c r="F365" s="122"/>
      <c r="G365" s="121"/>
      <c r="H365" s="122"/>
      <c r="I365" s="122"/>
      <c r="J365" s="122"/>
      <c r="K365" s="122"/>
      <c r="L365" s="121"/>
      <c r="M365" s="122"/>
      <c r="O365"/>
      <c r="P365"/>
    </row>
    <row r="366" spans="1:16" s="102" customFormat="1">
      <c r="A366" s="122"/>
      <c r="B366" s="122"/>
      <c r="C366" s="122"/>
      <c r="D366" s="122"/>
      <c r="E366" s="122"/>
      <c r="F366" s="122"/>
      <c r="G366" s="121"/>
      <c r="H366" s="122"/>
      <c r="I366" s="122"/>
      <c r="J366" s="122"/>
      <c r="K366" s="122"/>
      <c r="L366" s="121"/>
      <c r="M366" s="122"/>
      <c r="O366"/>
      <c r="P366"/>
    </row>
    <row r="367" spans="1:16" s="102" customFormat="1">
      <c r="A367" s="122"/>
      <c r="B367" s="122"/>
      <c r="C367" s="122"/>
      <c r="D367" s="122"/>
      <c r="E367" s="122"/>
      <c r="F367" s="122"/>
      <c r="G367" s="121"/>
      <c r="H367" s="122"/>
      <c r="I367" s="122"/>
      <c r="J367" s="122"/>
      <c r="K367" s="122"/>
      <c r="L367" s="121"/>
      <c r="M367" s="122"/>
      <c r="O367"/>
      <c r="P367"/>
    </row>
    <row r="368" spans="1:16" s="102" customFormat="1">
      <c r="A368" s="122"/>
      <c r="B368" s="122"/>
      <c r="C368" s="122"/>
      <c r="D368" s="122"/>
      <c r="E368" s="122"/>
      <c r="F368" s="122"/>
      <c r="G368" s="121"/>
      <c r="H368" s="122"/>
      <c r="I368" s="122"/>
      <c r="J368" s="122"/>
      <c r="K368" s="122"/>
      <c r="L368" s="121"/>
      <c r="M368" s="122"/>
      <c r="O368"/>
      <c r="P368"/>
    </row>
    <row r="369" spans="1:16" s="102" customFormat="1">
      <c r="A369" s="122"/>
      <c r="B369" s="122"/>
      <c r="C369" s="122"/>
      <c r="D369" s="122"/>
      <c r="E369" s="122"/>
      <c r="F369" s="122"/>
      <c r="G369" s="121"/>
      <c r="H369" s="122"/>
      <c r="I369" s="122"/>
      <c r="J369" s="122"/>
      <c r="K369" s="122"/>
      <c r="L369" s="121"/>
      <c r="M369" s="122"/>
      <c r="O369"/>
      <c r="P369"/>
    </row>
    <row r="370" spans="1:16" s="102" customFormat="1">
      <c r="A370" s="122"/>
      <c r="B370" s="122"/>
      <c r="C370" s="122"/>
      <c r="D370" s="122"/>
      <c r="E370" s="122"/>
      <c r="F370" s="122"/>
      <c r="G370" s="121"/>
      <c r="H370" s="122"/>
      <c r="I370" s="122"/>
      <c r="J370" s="122"/>
      <c r="K370" s="122"/>
      <c r="L370" s="121"/>
      <c r="M370" s="122"/>
      <c r="O370"/>
      <c r="P370"/>
    </row>
    <row r="371" spans="1:16" s="102" customFormat="1">
      <c r="A371" s="122"/>
      <c r="B371" s="122"/>
      <c r="C371" s="122"/>
      <c r="D371" s="122"/>
      <c r="E371" s="122"/>
      <c r="F371" s="122"/>
      <c r="G371" s="121"/>
      <c r="H371" s="122"/>
      <c r="I371" s="122"/>
      <c r="J371" s="122"/>
      <c r="K371" s="122"/>
      <c r="L371" s="121"/>
      <c r="M371" s="122"/>
      <c r="O371"/>
      <c r="P371"/>
    </row>
    <row r="372" spans="1:16" s="102" customFormat="1">
      <c r="A372" s="122"/>
      <c r="B372" s="122"/>
      <c r="C372" s="122"/>
      <c r="D372" s="122"/>
      <c r="E372" s="122"/>
      <c r="F372" s="122"/>
      <c r="G372" s="121"/>
      <c r="H372" s="122"/>
      <c r="I372" s="122"/>
      <c r="J372" s="122"/>
      <c r="K372" s="122"/>
      <c r="L372" s="121"/>
      <c r="M372" s="122"/>
      <c r="O372"/>
      <c r="P372"/>
    </row>
    <row r="373" spans="1:16" s="102" customFormat="1">
      <c r="A373" s="122"/>
      <c r="B373" s="122"/>
      <c r="C373" s="122"/>
      <c r="D373" s="122"/>
      <c r="E373" s="122"/>
      <c r="F373" s="122"/>
      <c r="G373" s="121"/>
      <c r="H373" s="122"/>
      <c r="I373" s="122"/>
      <c r="J373" s="122"/>
      <c r="K373" s="122"/>
      <c r="L373" s="121"/>
      <c r="M373" s="122"/>
      <c r="O373"/>
      <c r="P373"/>
    </row>
    <row r="374" spans="1:16" s="102" customFormat="1">
      <c r="A374" s="122"/>
      <c r="B374" s="122"/>
      <c r="C374" s="122"/>
      <c r="D374" s="122"/>
      <c r="E374" s="122"/>
      <c r="F374" s="122"/>
      <c r="G374" s="121"/>
      <c r="H374" s="122"/>
      <c r="I374" s="122"/>
      <c r="J374" s="122"/>
      <c r="K374" s="122"/>
      <c r="L374" s="121"/>
      <c r="M374" s="122"/>
      <c r="O374"/>
      <c r="P374"/>
    </row>
    <row r="375" spans="1:16" s="102" customFormat="1">
      <c r="A375" s="122"/>
      <c r="B375" s="122"/>
      <c r="C375" s="122"/>
      <c r="D375" s="122"/>
      <c r="E375" s="122"/>
      <c r="F375" s="122"/>
      <c r="G375" s="121"/>
      <c r="H375" s="122"/>
      <c r="I375" s="122"/>
      <c r="J375" s="122"/>
      <c r="K375" s="122"/>
      <c r="L375" s="121"/>
      <c r="M375" s="122"/>
      <c r="O375"/>
      <c r="P375"/>
    </row>
    <row r="376" spans="1:16" s="102" customFormat="1">
      <c r="A376" s="122"/>
      <c r="B376" s="122"/>
      <c r="C376" s="122"/>
      <c r="D376" s="122"/>
      <c r="E376" s="122"/>
      <c r="F376" s="122"/>
      <c r="G376" s="121"/>
      <c r="H376" s="122"/>
      <c r="I376" s="122"/>
      <c r="J376" s="122"/>
      <c r="K376" s="122"/>
      <c r="L376" s="121"/>
      <c r="M376" s="122"/>
      <c r="O376"/>
      <c r="P376"/>
    </row>
    <row r="377" spans="1:16" s="102" customFormat="1">
      <c r="A377" s="122"/>
      <c r="B377" s="122"/>
      <c r="C377" s="122"/>
      <c r="D377" s="122"/>
      <c r="E377" s="122"/>
      <c r="F377" s="122"/>
      <c r="G377" s="121"/>
      <c r="H377" s="122"/>
      <c r="I377" s="122"/>
      <c r="J377" s="122"/>
      <c r="K377" s="122"/>
      <c r="L377" s="121"/>
      <c r="M377" s="122"/>
      <c r="O377"/>
      <c r="P377"/>
    </row>
    <row r="378" spans="1:16" s="102" customFormat="1">
      <c r="A378" s="122"/>
      <c r="B378" s="122"/>
      <c r="C378" s="122"/>
      <c r="D378" s="122"/>
      <c r="E378" s="122"/>
      <c r="F378" s="122"/>
      <c r="G378" s="121"/>
      <c r="H378" s="122"/>
      <c r="I378" s="122"/>
      <c r="J378" s="122"/>
      <c r="K378" s="122"/>
      <c r="L378" s="121"/>
      <c r="M378" s="122"/>
      <c r="O378"/>
      <c r="P378"/>
    </row>
    <row r="379" spans="1:16" s="102" customFormat="1">
      <c r="A379" s="122"/>
      <c r="B379" s="122"/>
      <c r="C379" s="122"/>
      <c r="D379" s="122"/>
      <c r="E379" s="122"/>
      <c r="F379" s="122"/>
      <c r="G379" s="121"/>
      <c r="H379" s="122"/>
      <c r="I379" s="122"/>
      <c r="J379" s="122"/>
      <c r="K379" s="122"/>
      <c r="L379" s="121"/>
      <c r="M379" s="122"/>
      <c r="O379"/>
      <c r="P379"/>
    </row>
    <row r="380" spans="1:16" s="102" customFormat="1">
      <c r="A380" s="122"/>
      <c r="B380" s="122"/>
      <c r="C380" s="122"/>
      <c r="D380" s="122"/>
      <c r="E380" s="122"/>
      <c r="F380" s="122"/>
      <c r="G380" s="121"/>
      <c r="H380" s="122"/>
      <c r="I380" s="122"/>
      <c r="J380" s="122"/>
      <c r="K380" s="122"/>
      <c r="L380" s="121"/>
      <c r="M380" s="122"/>
      <c r="O380"/>
      <c r="P380"/>
    </row>
    <row r="381" spans="1:16" s="102" customFormat="1">
      <c r="A381" s="122"/>
      <c r="B381" s="122"/>
      <c r="C381" s="122"/>
      <c r="D381" s="122"/>
      <c r="E381" s="122"/>
      <c r="F381" s="122"/>
      <c r="G381" s="121"/>
      <c r="H381" s="122"/>
      <c r="I381" s="122"/>
      <c r="J381" s="122"/>
      <c r="K381" s="122"/>
      <c r="L381" s="121"/>
      <c r="M381" s="122"/>
      <c r="O381"/>
      <c r="P381"/>
    </row>
    <row r="382" spans="1:16" s="102" customFormat="1">
      <c r="A382" s="122"/>
      <c r="B382" s="122"/>
      <c r="C382" s="122"/>
      <c r="D382" s="122"/>
      <c r="E382" s="122"/>
      <c r="F382" s="122"/>
      <c r="G382" s="121"/>
      <c r="H382" s="122"/>
      <c r="I382" s="122"/>
      <c r="J382" s="122"/>
      <c r="K382" s="122"/>
      <c r="L382" s="121"/>
      <c r="M382" s="122"/>
      <c r="O382"/>
      <c r="P382"/>
    </row>
    <row r="383" spans="1:16" s="102" customFormat="1">
      <c r="A383" s="122"/>
      <c r="B383" s="122"/>
      <c r="C383" s="122"/>
      <c r="D383" s="122"/>
      <c r="E383" s="122"/>
      <c r="F383" s="122"/>
      <c r="G383" s="121"/>
      <c r="H383" s="122"/>
      <c r="I383" s="122"/>
      <c r="J383" s="122"/>
      <c r="K383" s="122"/>
      <c r="L383" s="121"/>
      <c r="M383" s="122"/>
      <c r="O383"/>
      <c r="P383"/>
    </row>
    <row r="384" spans="1:16" s="102" customFormat="1">
      <c r="A384" s="122"/>
      <c r="B384" s="122"/>
      <c r="C384" s="122"/>
      <c r="D384" s="122"/>
      <c r="E384" s="122"/>
      <c r="F384" s="122"/>
      <c r="G384" s="121"/>
      <c r="H384" s="122"/>
      <c r="I384" s="122"/>
      <c r="J384" s="122"/>
      <c r="K384" s="122"/>
      <c r="L384" s="121"/>
      <c r="M384" s="122"/>
      <c r="O384"/>
      <c r="P384"/>
    </row>
    <row r="385" spans="1:16" s="102" customFormat="1">
      <c r="A385" s="122"/>
      <c r="B385" s="122"/>
      <c r="C385" s="122"/>
      <c r="D385" s="122"/>
      <c r="E385" s="122"/>
      <c r="F385" s="122"/>
      <c r="G385" s="121"/>
      <c r="H385" s="122"/>
      <c r="I385" s="122"/>
      <c r="J385" s="122"/>
      <c r="K385" s="122"/>
      <c r="L385" s="121"/>
      <c r="M385" s="122"/>
      <c r="O385"/>
      <c r="P385"/>
    </row>
    <row r="386" spans="1:16" s="102" customFormat="1">
      <c r="A386" s="122"/>
      <c r="B386" s="122"/>
      <c r="C386" s="122"/>
      <c r="D386" s="122"/>
      <c r="E386" s="122"/>
      <c r="F386" s="122"/>
      <c r="G386" s="121"/>
      <c r="H386" s="122"/>
      <c r="I386" s="122"/>
      <c r="J386" s="122"/>
      <c r="K386" s="122"/>
      <c r="L386" s="121"/>
      <c r="M386" s="122"/>
      <c r="O386"/>
      <c r="P386"/>
    </row>
    <row r="387" spans="1:16" s="102" customFormat="1">
      <c r="A387" s="122"/>
      <c r="B387" s="122"/>
      <c r="C387" s="122"/>
      <c r="D387" s="122"/>
      <c r="E387" s="122"/>
      <c r="F387" s="122"/>
      <c r="G387" s="121"/>
      <c r="H387" s="122"/>
      <c r="I387" s="122"/>
      <c r="J387" s="122"/>
      <c r="K387" s="122"/>
      <c r="L387" s="121"/>
      <c r="M387" s="122"/>
      <c r="O387"/>
      <c r="P387"/>
    </row>
    <row r="388" spans="1:16" s="102" customFormat="1">
      <c r="A388" s="122"/>
      <c r="B388" s="122"/>
      <c r="C388" s="122"/>
      <c r="D388" s="122"/>
      <c r="E388" s="122"/>
      <c r="F388" s="122"/>
      <c r="G388" s="121"/>
      <c r="H388" s="122"/>
      <c r="I388" s="122"/>
      <c r="J388" s="122"/>
      <c r="K388" s="122"/>
      <c r="L388" s="121"/>
      <c r="M388" s="122"/>
      <c r="O388"/>
      <c r="P388"/>
    </row>
    <row r="389" spans="1:16" s="102" customFormat="1">
      <c r="A389" s="122"/>
      <c r="B389" s="122"/>
      <c r="C389" s="122"/>
      <c r="D389" s="122"/>
      <c r="E389" s="122"/>
      <c r="F389" s="122"/>
      <c r="G389" s="121"/>
      <c r="H389" s="122"/>
      <c r="I389" s="122"/>
      <c r="J389" s="122"/>
      <c r="K389" s="122"/>
      <c r="L389" s="121"/>
      <c r="M389" s="122"/>
      <c r="O389"/>
      <c r="P389"/>
    </row>
    <row r="390" spans="1:16" s="102" customFormat="1">
      <c r="A390" s="122"/>
      <c r="B390" s="122"/>
      <c r="C390" s="122"/>
      <c r="D390" s="122"/>
      <c r="E390" s="122"/>
      <c r="F390" s="122"/>
      <c r="G390" s="121"/>
      <c r="H390" s="122"/>
      <c r="I390" s="122"/>
      <c r="J390" s="122"/>
      <c r="K390" s="122"/>
      <c r="L390" s="121"/>
      <c r="M390" s="122"/>
      <c r="O390"/>
      <c r="P390"/>
    </row>
    <row r="391" spans="1:16" s="102" customFormat="1">
      <c r="A391" s="122"/>
      <c r="B391" s="122"/>
      <c r="C391" s="122"/>
      <c r="D391" s="122"/>
      <c r="E391" s="122"/>
      <c r="F391" s="122"/>
      <c r="G391" s="121"/>
      <c r="H391" s="122"/>
      <c r="I391" s="122"/>
      <c r="J391" s="122"/>
      <c r="K391" s="122"/>
      <c r="L391" s="121"/>
      <c r="M391" s="122"/>
      <c r="O391"/>
      <c r="P391"/>
    </row>
    <row r="392" spans="1:16" s="102" customFormat="1">
      <c r="A392" s="122"/>
      <c r="B392" s="122"/>
      <c r="C392" s="122"/>
      <c r="D392" s="122"/>
      <c r="E392" s="122"/>
      <c r="F392" s="122"/>
      <c r="G392" s="121"/>
      <c r="H392" s="122"/>
      <c r="I392" s="122"/>
      <c r="J392" s="122"/>
      <c r="K392" s="122"/>
      <c r="L392" s="121"/>
      <c r="M392" s="122"/>
      <c r="O392"/>
      <c r="P392"/>
    </row>
    <row r="393" spans="1:16" s="102" customFormat="1">
      <c r="A393" s="122"/>
      <c r="B393" s="122"/>
      <c r="C393" s="122"/>
      <c r="D393" s="122"/>
      <c r="E393" s="122"/>
      <c r="F393" s="122"/>
      <c r="G393" s="121"/>
      <c r="H393" s="122"/>
      <c r="I393" s="122"/>
      <c r="J393" s="122"/>
      <c r="K393" s="122"/>
      <c r="L393" s="121"/>
      <c r="M393" s="122"/>
      <c r="O393"/>
      <c r="P393"/>
    </row>
    <row r="394" spans="1:16" s="102" customFormat="1">
      <c r="A394" s="122"/>
      <c r="B394" s="122"/>
      <c r="C394" s="122"/>
      <c r="D394" s="122"/>
      <c r="E394" s="122"/>
      <c r="F394" s="122"/>
      <c r="G394" s="121"/>
      <c r="H394" s="122"/>
      <c r="I394" s="122"/>
      <c r="J394" s="122"/>
      <c r="K394" s="122"/>
      <c r="L394" s="121"/>
      <c r="M394" s="122"/>
      <c r="O394"/>
      <c r="P394"/>
    </row>
    <row r="395" spans="1:16" s="102" customFormat="1">
      <c r="A395" s="122"/>
      <c r="B395" s="122"/>
      <c r="C395" s="122"/>
      <c r="D395" s="122"/>
      <c r="E395" s="122"/>
      <c r="F395" s="122"/>
      <c r="G395" s="121"/>
      <c r="H395" s="122"/>
      <c r="I395" s="122"/>
      <c r="J395" s="122"/>
      <c r="K395" s="122"/>
      <c r="L395" s="121"/>
      <c r="M395" s="122"/>
      <c r="O395"/>
      <c r="P395"/>
    </row>
    <row r="396" spans="1:16" s="102" customFormat="1">
      <c r="A396" s="122"/>
      <c r="B396" s="122"/>
      <c r="C396" s="122"/>
      <c r="D396" s="122"/>
      <c r="E396" s="122"/>
      <c r="F396" s="122"/>
      <c r="G396" s="121"/>
      <c r="H396" s="122"/>
      <c r="I396" s="122"/>
      <c r="J396" s="122"/>
      <c r="K396" s="122"/>
      <c r="L396" s="121"/>
      <c r="M396" s="122"/>
      <c r="O396"/>
      <c r="P396"/>
    </row>
    <row r="397" spans="1:16" s="102" customFormat="1">
      <c r="A397" s="122"/>
      <c r="B397" s="122"/>
      <c r="C397" s="122"/>
      <c r="D397" s="122"/>
      <c r="E397" s="122"/>
      <c r="F397" s="122"/>
      <c r="G397" s="121"/>
      <c r="H397" s="122"/>
      <c r="I397" s="122"/>
      <c r="J397" s="122"/>
      <c r="K397" s="122"/>
      <c r="L397" s="121"/>
      <c r="M397" s="122"/>
      <c r="O397"/>
      <c r="P397"/>
    </row>
    <row r="398" spans="1:16" s="102" customFormat="1">
      <c r="A398" s="122"/>
      <c r="B398" s="122"/>
      <c r="C398" s="122"/>
      <c r="D398" s="122"/>
      <c r="E398" s="122"/>
      <c r="F398" s="122"/>
      <c r="G398" s="121"/>
      <c r="H398" s="122"/>
      <c r="I398" s="122"/>
      <c r="J398" s="122"/>
      <c r="K398" s="122"/>
      <c r="L398" s="121"/>
      <c r="M398" s="122"/>
      <c r="O398"/>
      <c r="P398"/>
    </row>
    <row r="399" spans="1:16" s="102" customFormat="1">
      <c r="A399" s="122"/>
      <c r="B399" s="122"/>
      <c r="C399" s="122"/>
      <c r="D399" s="122"/>
      <c r="E399" s="122"/>
      <c r="F399" s="122"/>
      <c r="G399" s="121"/>
      <c r="H399" s="122"/>
      <c r="I399" s="122"/>
      <c r="J399" s="122"/>
      <c r="K399" s="122"/>
      <c r="L399" s="121"/>
      <c r="M399" s="122"/>
      <c r="O399"/>
      <c r="P399"/>
    </row>
    <row r="400" spans="1:16" s="102" customFormat="1">
      <c r="A400" s="122"/>
      <c r="B400" s="122"/>
      <c r="C400" s="122"/>
      <c r="D400" s="122"/>
      <c r="E400" s="122"/>
      <c r="F400" s="122"/>
      <c r="G400" s="121"/>
      <c r="H400" s="122"/>
      <c r="I400" s="122"/>
      <c r="J400" s="122"/>
      <c r="K400" s="122"/>
      <c r="L400" s="121"/>
      <c r="M400" s="122"/>
      <c r="O400"/>
      <c r="P400"/>
    </row>
    <row r="401" spans="1:16" s="102" customFormat="1">
      <c r="A401" s="122"/>
      <c r="B401" s="122"/>
      <c r="C401" s="122"/>
      <c r="D401" s="122"/>
      <c r="E401" s="122"/>
      <c r="F401" s="122"/>
      <c r="G401" s="121"/>
      <c r="H401" s="122"/>
      <c r="I401" s="122"/>
      <c r="J401" s="122"/>
      <c r="K401" s="122"/>
      <c r="L401" s="121"/>
      <c r="M401" s="122"/>
      <c r="O401"/>
      <c r="P401"/>
    </row>
    <row r="402" spans="1:16" s="102" customFormat="1">
      <c r="A402" s="122"/>
      <c r="B402" s="122"/>
      <c r="C402" s="122"/>
      <c r="D402" s="122"/>
      <c r="E402" s="122"/>
      <c r="F402" s="122"/>
      <c r="G402" s="121"/>
      <c r="H402" s="122"/>
      <c r="I402" s="122"/>
      <c r="J402" s="122"/>
      <c r="K402" s="122"/>
      <c r="L402" s="121"/>
      <c r="M402" s="122"/>
      <c r="O402"/>
      <c r="P402"/>
    </row>
    <row r="403" spans="1:16" s="102" customFormat="1">
      <c r="A403" s="122"/>
      <c r="B403" s="122"/>
      <c r="C403" s="122"/>
      <c r="D403" s="122"/>
      <c r="E403" s="122"/>
      <c r="F403" s="122"/>
      <c r="G403" s="121"/>
      <c r="H403" s="122"/>
      <c r="I403" s="122"/>
      <c r="J403" s="122"/>
      <c r="K403" s="122"/>
      <c r="L403" s="121"/>
      <c r="M403" s="122"/>
      <c r="O403"/>
      <c r="P403"/>
    </row>
    <row r="404" spans="1:16" s="102" customFormat="1">
      <c r="A404" s="122"/>
      <c r="B404" s="122"/>
      <c r="C404" s="122"/>
      <c r="D404" s="122"/>
      <c r="E404" s="122"/>
      <c r="F404" s="122"/>
      <c r="G404" s="121"/>
      <c r="H404" s="122"/>
      <c r="I404" s="122"/>
      <c r="J404" s="122"/>
      <c r="K404" s="122"/>
      <c r="L404" s="121"/>
      <c r="M404" s="122"/>
      <c r="O404"/>
      <c r="P404"/>
    </row>
    <row r="405" spans="1:16" s="102" customFormat="1">
      <c r="A405" s="122"/>
      <c r="B405" s="122"/>
      <c r="C405" s="122"/>
      <c r="D405" s="122"/>
      <c r="E405" s="122"/>
      <c r="F405" s="122"/>
      <c r="G405" s="121"/>
      <c r="H405" s="122"/>
      <c r="I405" s="122"/>
      <c r="J405" s="122"/>
      <c r="K405" s="122"/>
      <c r="L405" s="121"/>
      <c r="M405" s="122"/>
      <c r="O405"/>
      <c r="P405"/>
    </row>
    <row r="406" spans="1:16" s="102" customFormat="1">
      <c r="A406" s="122"/>
      <c r="B406" s="122"/>
      <c r="C406" s="122"/>
      <c r="D406" s="122"/>
      <c r="E406" s="122"/>
      <c r="F406" s="122"/>
      <c r="G406" s="121"/>
      <c r="H406" s="122"/>
      <c r="I406" s="122"/>
      <c r="J406" s="122"/>
      <c r="K406" s="122"/>
      <c r="L406" s="121"/>
      <c r="M406" s="122"/>
      <c r="O406"/>
      <c r="P406"/>
    </row>
    <row r="407" spans="1:16" s="102" customFormat="1">
      <c r="A407" s="122"/>
      <c r="B407" s="122"/>
      <c r="C407" s="122"/>
      <c r="D407" s="122"/>
      <c r="E407" s="122"/>
      <c r="F407" s="122"/>
      <c r="G407" s="121"/>
      <c r="H407" s="122"/>
      <c r="I407" s="122"/>
      <c r="J407" s="122"/>
      <c r="K407" s="122"/>
      <c r="L407" s="121"/>
      <c r="M407" s="122"/>
      <c r="O407"/>
      <c r="P407"/>
    </row>
    <row r="408" spans="1:16" s="102" customFormat="1">
      <c r="A408" s="122"/>
      <c r="B408" s="122"/>
      <c r="C408" s="122"/>
      <c r="D408" s="122"/>
      <c r="E408" s="122"/>
      <c r="F408" s="122"/>
      <c r="G408" s="121"/>
      <c r="H408" s="122"/>
      <c r="I408" s="122"/>
      <c r="J408" s="122"/>
      <c r="K408" s="122"/>
      <c r="L408" s="121"/>
      <c r="M408" s="122"/>
      <c r="O408"/>
      <c r="P408"/>
    </row>
    <row r="409" spans="1:16" s="102" customFormat="1">
      <c r="A409" s="122"/>
      <c r="B409" s="122"/>
      <c r="C409" s="122"/>
      <c r="D409" s="122"/>
      <c r="E409" s="122"/>
      <c r="F409" s="122"/>
      <c r="G409" s="121"/>
      <c r="H409" s="122"/>
      <c r="I409" s="122"/>
      <c r="J409" s="122"/>
      <c r="K409" s="122"/>
      <c r="L409" s="121"/>
      <c r="M409" s="122"/>
      <c r="O409"/>
      <c r="P409"/>
    </row>
    <row r="410" spans="1:16" s="102" customFormat="1">
      <c r="A410" s="122"/>
      <c r="B410" s="122"/>
      <c r="C410" s="122"/>
      <c r="D410" s="122"/>
      <c r="E410" s="122"/>
      <c r="F410" s="122"/>
      <c r="G410" s="121"/>
      <c r="H410" s="122"/>
      <c r="I410" s="122"/>
      <c r="J410" s="122"/>
      <c r="K410" s="122"/>
      <c r="L410" s="121"/>
      <c r="M410" s="122"/>
      <c r="O410"/>
      <c r="P410"/>
    </row>
    <row r="411" spans="1:16" s="102" customFormat="1">
      <c r="A411" s="122"/>
      <c r="B411" s="122"/>
      <c r="C411" s="122"/>
      <c r="D411" s="122"/>
      <c r="E411" s="122"/>
      <c r="F411" s="122"/>
      <c r="G411" s="121"/>
      <c r="H411" s="122"/>
      <c r="I411" s="122"/>
      <c r="J411" s="122"/>
      <c r="K411" s="122"/>
      <c r="L411" s="121"/>
      <c r="M411" s="122"/>
      <c r="O411"/>
      <c r="P411"/>
    </row>
    <row r="412" spans="1:16" s="102" customFormat="1">
      <c r="A412" s="122"/>
      <c r="B412" s="122"/>
      <c r="C412" s="122"/>
      <c r="D412" s="122"/>
      <c r="E412" s="122"/>
      <c r="F412" s="122"/>
      <c r="G412" s="121"/>
      <c r="H412" s="122"/>
      <c r="I412" s="122"/>
      <c r="J412" s="122"/>
      <c r="K412" s="122"/>
      <c r="L412" s="121"/>
      <c r="M412" s="122"/>
      <c r="O412"/>
      <c r="P412"/>
    </row>
    <row r="413" spans="1:16" s="102" customFormat="1">
      <c r="A413" s="122"/>
      <c r="B413" s="122"/>
      <c r="C413" s="122"/>
      <c r="D413" s="122"/>
      <c r="E413" s="122"/>
      <c r="F413" s="122"/>
      <c r="G413" s="121"/>
      <c r="H413" s="122"/>
      <c r="I413" s="122"/>
      <c r="J413" s="122"/>
      <c r="K413" s="122"/>
      <c r="L413" s="121"/>
      <c r="M413" s="122"/>
      <c r="O413"/>
      <c r="P413"/>
    </row>
    <row r="414" spans="1:16" s="102" customFormat="1">
      <c r="A414" s="122"/>
      <c r="B414" s="122"/>
      <c r="C414" s="122"/>
      <c r="D414" s="122"/>
      <c r="E414" s="122"/>
      <c r="F414" s="122"/>
      <c r="G414" s="121"/>
      <c r="H414" s="122"/>
      <c r="I414" s="122"/>
      <c r="J414" s="122"/>
      <c r="K414" s="122"/>
      <c r="L414" s="121"/>
      <c r="M414" s="122"/>
      <c r="O414"/>
      <c r="P414"/>
    </row>
    <row r="415" spans="1:16" s="102" customFormat="1">
      <c r="A415" s="122"/>
      <c r="B415" s="122"/>
      <c r="C415" s="122"/>
      <c r="D415" s="122"/>
      <c r="E415" s="122"/>
      <c r="F415" s="122"/>
      <c r="G415" s="121"/>
      <c r="H415" s="122"/>
      <c r="I415" s="122"/>
      <c r="J415" s="122"/>
      <c r="K415" s="122"/>
      <c r="L415" s="121"/>
      <c r="M415" s="122"/>
      <c r="O415"/>
      <c r="P415"/>
    </row>
    <row r="416" spans="1:16" s="102" customFormat="1">
      <c r="A416" s="122"/>
      <c r="B416" s="122"/>
      <c r="C416" s="122"/>
      <c r="D416" s="122"/>
      <c r="E416" s="122"/>
      <c r="F416" s="122"/>
      <c r="G416" s="121"/>
      <c r="H416" s="122"/>
      <c r="I416" s="122"/>
      <c r="J416" s="122"/>
      <c r="K416" s="122"/>
      <c r="L416" s="121"/>
      <c r="M416" s="122"/>
      <c r="O416"/>
      <c r="P416"/>
    </row>
    <row r="417" spans="1:16" s="102" customFormat="1">
      <c r="A417" s="122"/>
      <c r="B417" s="122"/>
      <c r="C417" s="122"/>
      <c r="D417" s="122"/>
      <c r="E417" s="122"/>
      <c r="F417" s="122"/>
      <c r="G417" s="121"/>
      <c r="H417" s="122"/>
      <c r="I417" s="122"/>
      <c r="J417" s="122"/>
      <c r="K417" s="122"/>
      <c r="L417" s="121"/>
      <c r="M417" s="122"/>
      <c r="O417"/>
      <c r="P417"/>
    </row>
    <row r="418" spans="1:16" s="102" customFormat="1">
      <c r="A418" s="122"/>
      <c r="B418" s="122"/>
      <c r="C418" s="122"/>
      <c r="D418" s="122"/>
      <c r="E418" s="122"/>
      <c r="F418" s="122"/>
      <c r="G418" s="121"/>
      <c r="H418" s="122"/>
      <c r="I418" s="122"/>
      <c r="J418" s="122"/>
      <c r="K418" s="122"/>
      <c r="L418" s="121"/>
      <c r="M418" s="122"/>
      <c r="O418"/>
      <c r="P418"/>
    </row>
    <row r="419" spans="1:16" s="102" customFormat="1">
      <c r="A419" s="122"/>
      <c r="B419" s="122"/>
      <c r="C419" s="122"/>
      <c r="D419" s="122"/>
      <c r="E419" s="122"/>
      <c r="F419" s="122"/>
      <c r="G419" s="121"/>
      <c r="H419" s="122"/>
      <c r="I419" s="122"/>
      <c r="J419" s="122"/>
      <c r="K419" s="122"/>
      <c r="L419" s="121"/>
      <c r="M419" s="122"/>
      <c r="O419"/>
      <c r="P419"/>
    </row>
    <row r="420" spans="1:16" s="102" customFormat="1">
      <c r="A420" s="122"/>
      <c r="B420" s="122"/>
      <c r="C420" s="122"/>
      <c r="D420" s="122"/>
      <c r="E420" s="122"/>
      <c r="F420" s="122"/>
      <c r="G420" s="121"/>
      <c r="H420" s="122"/>
      <c r="I420" s="122"/>
      <c r="J420" s="122"/>
      <c r="K420" s="122"/>
      <c r="L420" s="121"/>
      <c r="M420" s="122"/>
      <c r="O420"/>
      <c r="P420"/>
    </row>
    <row r="421" spans="1:16" s="102" customFormat="1">
      <c r="A421" s="122"/>
      <c r="B421" s="122"/>
      <c r="C421" s="122"/>
      <c r="D421" s="122"/>
      <c r="E421" s="122"/>
      <c r="F421" s="122"/>
      <c r="G421" s="121"/>
      <c r="H421" s="122"/>
      <c r="I421" s="122"/>
      <c r="J421" s="122"/>
      <c r="K421" s="122"/>
      <c r="L421" s="121"/>
      <c r="M421" s="122"/>
      <c r="O421"/>
      <c r="P421"/>
    </row>
    <row r="422" spans="1:16" s="102" customFormat="1">
      <c r="A422" s="122"/>
      <c r="B422" s="122"/>
      <c r="C422" s="122"/>
      <c r="D422" s="122"/>
      <c r="E422" s="122"/>
      <c r="F422" s="122"/>
      <c r="G422" s="121"/>
      <c r="H422" s="122"/>
      <c r="I422" s="122"/>
      <c r="J422" s="122"/>
      <c r="K422" s="122"/>
      <c r="L422" s="121"/>
      <c r="M422" s="122"/>
      <c r="O422"/>
      <c r="P422"/>
    </row>
    <row r="423" spans="1:16" s="102" customFormat="1">
      <c r="A423" s="122"/>
      <c r="B423" s="122"/>
      <c r="C423" s="122"/>
      <c r="D423" s="122"/>
      <c r="E423" s="122"/>
      <c r="F423" s="122"/>
      <c r="G423" s="121"/>
      <c r="H423" s="122"/>
      <c r="I423" s="122"/>
      <c r="J423" s="122"/>
      <c r="K423" s="122"/>
      <c r="L423" s="121"/>
      <c r="M423" s="122"/>
      <c r="O423"/>
      <c r="P423"/>
    </row>
    <row r="424" spans="1:16" s="102" customFormat="1">
      <c r="A424" s="122"/>
      <c r="B424" s="122"/>
      <c r="C424" s="122"/>
      <c r="D424" s="122"/>
      <c r="E424" s="122"/>
      <c r="F424" s="122"/>
      <c r="G424" s="121"/>
      <c r="H424" s="122"/>
      <c r="I424" s="122"/>
      <c r="J424" s="122"/>
      <c r="K424" s="122"/>
      <c r="L424" s="121"/>
      <c r="M424" s="122"/>
      <c r="O424"/>
      <c r="P424"/>
    </row>
    <row r="425" spans="1:16" s="102" customFormat="1">
      <c r="A425" s="122"/>
      <c r="B425" s="122"/>
      <c r="C425" s="122"/>
      <c r="D425" s="122"/>
      <c r="E425" s="122"/>
      <c r="F425" s="122"/>
      <c r="G425" s="121"/>
      <c r="H425" s="122"/>
      <c r="I425" s="122"/>
      <c r="J425" s="122"/>
      <c r="K425" s="122"/>
      <c r="L425" s="121"/>
      <c r="M425" s="122"/>
      <c r="O425"/>
      <c r="P425"/>
    </row>
    <row r="426" spans="1:16" s="102" customFormat="1">
      <c r="A426" s="122"/>
      <c r="B426" s="122"/>
      <c r="C426" s="122"/>
      <c r="D426" s="122"/>
      <c r="E426" s="122"/>
      <c r="F426" s="122"/>
      <c r="G426" s="121"/>
      <c r="H426" s="122"/>
      <c r="I426" s="122"/>
      <c r="J426" s="122"/>
      <c r="K426" s="122"/>
      <c r="L426" s="121"/>
      <c r="M426" s="122"/>
      <c r="O426"/>
      <c r="P426"/>
    </row>
    <row r="427" spans="1:16" s="102" customFormat="1">
      <c r="A427" s="122"/>
      <c r="B427" s="122"/>
      <c r="C427" s="122"/>
      <c r="D427" s="122"/>
      <c r="E427" s="122"/>
      <c r="F427" s="122"/>
      <c r="G427" s="121"/>
      <c r="H427" s="122"/>
      <c r="I427" s="122"/>
      <c r="J427" s="122"/>
      <c r="K427" s="122"/>
      <c r="L427" s="121"/>
      <c r="M427" s="122"/>
      <c r="O427"/>
      <c r="P427"/>
    </row>
    <row r="428" spans="1:16" s="102" customFormat="1">
      <c r="A428" s="122"/>
      <c r="B428" s="122"/>
      <c r="C428" s="122"/>
      <c r="D428" s="122"/>
      <c r="E428" s="122"/>
      <c r="F428" s="122"/>
      <c r="G428" s="121"/>
      <c r="H428" s="122"/>
      <c r="I428" s="122"/>
      <c r="J428" s="122"/>
      <c r="K428" s="122"/>
      <c r="L428" s="121"/>
      <c r="M428" s="122"/>
      <c r="O428"/>
      <c r="P428"/>
    </row>
    <row r="429" spans="1:16" s="102" customFormat="1">
      <c r="A429" s="122"/>
      <c r="B429" s="122"/>
      <c r="C429" s="122"/>
      <c r="D429" s="122"/>
      <c r="E429" s="122"/>
      <c r="F429" s="122"/>
      <c r="G429" s="121"/>
      <c r="H429" s="122"/>
      <c r="I429" s="122"/>
      <c r="J429" s="122"/>
      <c r="K429" s="122"/>
      <c r="L429" s="121"/>
      <c r="M429" s="122"/>
      <c r="O429"/>
      <c r="P429"/>
    </row>
    <row r="430" spans="1:16" s="102" customFormat="1">
      <c r="A430" s="122"/>
      <c r="B430" s="122"/>
      <c r="C430" s="122"/>
      <c r="D430" s="122"/>
      <c r="E430" s="122"/>
      <c r="F430" s="122"/>
      <c r="G430" s="121"/>
      <c r="H430" s="122"/>
      <c r="I430" s="122"/>
      <c r="J430" s="122"/>
      <c r="K430" s="122"/>
      <c r="L430" s="121"/>
      <c r="M430" s="122"/>
      <c r="O430"/>
      <c r="P430"/>
    </row>
    <row r="431" spans="1:16" s="102" customFormat="1">
      <c r="A431" s="122"/>
      <c r="B431" s="122"/>
      <c r="C431" s="122"/>
      <c r="D431" s="122"/>
      <c r="E431" s="122"/>
      <c r="F431" s="122"/>
      <c r="G431" s="121"/>
      <c r="H431" s="122"/>
      <c r="I431" s="122"/>
      <c r="J431" s="122"/>
      <c r="K431" s="122"/>
      <c r="L431" s="121"/>
      <c r="M431" s="122"/>
      <c r="O431"/>
      <c r="P431"/>
    </row>
    <row r="432" spans="1:16" s="102" customFormat="1">
      <c r="A432" s="122"/>
      <c r="B432" s="122"/>
      <c r="C432" s="122"/>
      <c r="D432" s="122"/>
      <c r="E432" s="122"/>
      <c r="F432" s="122"/>
      <c r="G432" s="121"/>
      <c r="H432" s="122"/>
      <c r="I432" s="122"/>
      <c r="J432" s="122"/>
      <c r="K432" s="122"/>
      <c r="L432" s="121"/>
      <c r="M432" s="122"/>
      <c r="O432"/>
      <c r="P432"/>
    </row>
    <row r="433" spans="1:16" s="102" customFormat="1">
      <c r="A433" s="122"/>
      <c r="B433" s="122"/>
      <c r="C433" s="122"/>
      <c r="D433" s="122"/>
      <c r="E433" s="122"/>
      <c r="F433" s="122"/>
      <c r="G433" s="121"/>
      <c r="H433" s="122"/>
      <c r="I433" s="122"/>
      <c r="J433" s="122"/>
      <c r="K433" s="122"/>
      <c r="L433" s="121"/>
      <c r="M433" s="122"/>
      <c r="O433"/>
      <c r="P433"/>
    </row>
    <row r="434" spans="1:16" s="102" customFormat="1">
      <c r="A434" s="122"/>
      <c r="B434" s="122"/>
      <c r="C434" s="122"/>
      <c r="D434" s="122"/>
      <c r="E434" s="122"/>
      <c r="F434" s="122"/>
      <c r="G434" s="121"/>
      <c r="H434" s="122"/>
      <c r="I434" s="122"/>
      <c r="J434" s="122"/>
      <c r="K434" s="122"/>
      <c r="L434" s="121"/>
      <c r="M434" s="122"/>
      <c r="O434"/>
      <c r="P434"/>
    </row>
    <row r="435" spans="1:16" s="102" customFormat="1">
      <c r="A435" s="122"/>
      <c r="B435" s="122"/>
      <c r="C435" s="122"/>
      <c r="D435" s="122"/>
      <c r="E435" s="122"/>
      <c r="F435" s="122"/>
      <c r="G435" s="121"/>
      <c r="H435" s="122"/>
      <c r="I435" s="122"/>
      <c r="J435" s="122"/>
      <c r="K435" s="122"/>
      <c r="L435" s="121"/>
      <c r="M435" s="122"/>
      <c r="O435"/>
      <c r="P435"/>
    </row>
    <row r="436" spans="1:16" s="102" customFormat="1">
      <c r="A436" s="122"/>
      <c r="B436" s="122"/>
      <c r="C436" s="122"/>
      <c r="D436" s="122"/>
      <c r="E436" s="122"/>
      <c r="F436" s="122"/>
      <c r="G436" s="121"/>
      <c r="H436" s="122"/>
      <c r="I436" s="122"/>
      <c r="J436" s="122"/>
      <c r="K436" s="122"/>
      <c r="L436" s="121"/>
      <c r="M436" s="122"/>
      <c r="O436"/>
      <c r="P436"/>
    </row>
    <row r="437" spans="1:16" s="102" customFormat="1">
      <c r="A437" s="122"/>
      <c r="B437" s="122"/>
      <c r="C437" s="122"/>
      <c r="D437" s="122"/>
      <c r="E437" s="122"/>
      <c r="F437" s="122"/>
      <c r="G437" s="121"/>
      <c r="H437" s="122"/>
      <c r="I437" s="122"/>
      <c r="J437" s="122"/>
      <c r="K437" s="122"/>
      <c r="L437" s="121"/>
      <c r="M437" s="122"/>
      <c r="O437"/>
      <c r="P437"/>
    </row>
    <row r="438" spans="1:16" s="102" customFormat="1">
      <c r="A438" s="122"/>
      <c r="B438" s="122"/>
      <c r="C438" s="122"/>
      <c r="D438" s="122"/>
      <c r="E438" s="122"/>
      <c r="F438" s="122"/>
      <c r="G438" s="121"/>
      <c r="H438" s="122"/>
      <c r="I438" s="122"/>
      <c r="J438" s="122"/>
      <c r="K438" s="122"/>
      <c r="L438" s="121"/>
      <c r="M438" s="122"/>
      <c r="O438"/>
      <c r="P438"/>
    </row>
    <row r="439" spans="1:16" s="102" customFormat="1">
      <c r="A439" s="122"/>
      <c r="B439" s="122"/>
      <c r="C439" s="122"/>
      <c r="D439" s="122"/>
      <c r="E439" s="122"/>
      <c r="F439" s="122"/>
      <c r="G439" s="121"/>
      <c r="H439" s="122"/>
      <c r="I439" s="122"/>
      <c r="J439" s="122"/>
      <c r="K439" s="122"/>
      <c r="L439" s="121"/>
      <c r="M439" s="122"/>
      <c r="O439"/>
      <c r="P439"/>
    </row>
    <row r="440" spans="1:16" s="102" customFormat="1">
      <c r="A440" s="122"/>
      <c r="B440" s="122"/>
      <c r="C440" s="122"/>
      <c r="D440" s="122"/>
      <c r="E440" s="122"/>
      <c r="F440" s="122"/>
      <c r="G440" s="121"/>
      <c r="H440" s="122"/>
      <c r="I440" s="122"/>
      <c r="J440" s="122"/>
      <c r="K440" s="122"/>
      <c r="L440" s="121"/>
      <c r="M440" s="122"/>
      <c r="O440"/>
      <c r="P440"/>
    </row>
    <row r="441" spans="1:16" s="102" customFormat="1">
      <c r="A441" s="122"/>
      <c r="B441" s="122"/>
      <c r="C441" s="122"/>
      <c r="D441" s="122"/>
      <c r="E441" s="122"/>
      <c r="F441" s="122"/>
      <c r="G441" s="121"/>
      <c r="H441" s="122"/>
      <c r="I441" s="122"/>
      <c r="J441" s="122"/>
      <c r="K441" s="122"/>
      <c r="L441" s="121"/>
      <c r="M441" s="122"/>
      <c r="O441"/>
      <c r="P441"/>
    </row>
    <row r="442" spans="1:16" s="102" customFormat="1">
      <c r="A442" s="122"/>
      <c r="B442" s="122"/>
      <c r="C442" s="122"/>
      <c r="D442" s="122"/>
      <c r="E442" s="122"/>
      <c r="F442" s="122"/>
      <c r="G442" s="121"/>
      <c r="H442" s="122"/>
      <c r="I442" s="122"/>
      <c r="J442" s="122"/>
      <c r="K442" s="122"/>
      <c r="L442" s="121"/>
      <c r="M442" s="122"/>
      <c r="O442"/>
      <c r="P442"/>
    </row>
    <row r="443" spans="1:16" s="102" customFormat="1">
      <c r="A443" s="122"/>
      <c r="B443" s="122"/>
      <c r="C443" s="122"/>
      <c r="D443" s="122"/>
      <c r="E443" s="122"/>
      <c r="F443" s="122"/>
      <c r="G443" s="121"/>
      <c r="H443" s="122"/>
      <c r="I443" s="122"/>
      <c r="J443" s="122"/>
      <c r="K443" s="122"/>
      <c r="L443" s="121"/>
      <c r="M443" s="122"/>
      <c r="O443"/>
      <c r="P443"/>
    </row>
    <row r="444" spans="1:16" s="102" customFormat="1">
      <c r="A444" s="122"/>
      <c r="B444" s="122"/>
      <c r="C444" s="122"/>
      <c r="D444" s="122"/>
      <c r="E444" s="122"/>
      <c r="F444" s="122"/>
      <c r="G444" s="121"/>
      <c r="H444" s="122"/>
      <c r="I444" s="122"/>
      <c r="J444" s="122"/>
      <c r="K444" s="122"/>
      <c r="L444" s="121"/>
      <c r="M444" s="122"/>
      <c r="O444"/>
      <c r="P444"/>
    </row>
    <row r="445" spans="1:16" s="102" customFormat="1">
      <c r="A445" s="122"/>
      <c r="B445" s="122"/>
      <c r="C445" s="122"/>
      <c r="D445" s="122"/>
      <c r="E445" s="122"/>
      <c r="F445" s="122"/>
      <c r="G445" s="121"/>
      <c r="H445" s="122"/>
      <c r="I445" s="122"/>
      <c r="J445" s="122"/>
      <c r="K445" s="122"/>
      <c r="L445" s="121"/>
      <c r="M445" s="122"/>
      <c r="O445"/>
      <c r="P445"/>
    </row>
    <row r="446" spans="1:16" s="102" customFormat="1">
      <c r="A446" s="122"/>
      <c r="B446" s="122"/>
      <c r="C446" s="122"/>
      <c r="D446" s="122"/>
      <c r="E446" s="122"/>
      <c r="F446" s="122"/>
      <c r="G446" s="121"/>
      <c r="H446" s="122"/>
      <c r="I446" s="122"/>
      <c r="J446" s="122"/>
      <c r="K446" s="122"/>
      <c r="L446" s="121"/>
      <c r="M446" s="122"/>
      <c r="O446"/>
      <c r="P446"/>
    </row>
    <row r="447" spans="1:16" s="102" customFormat="1">
      <c r="A447" s="122"/>
      <c r="B447" s="122"/>
      <c r="C447" s="122"/>
      <c r="D447" s="122"/>
      <c r="E447" s="122"/>
      <c r="F447" s="122"/>
      <c r="G447" s="121"/>
      <c r="H447" s="122"/>
      <c r="I447" s="122"/>
      <c r="J447" s="122"/>
      <c r="K447" s="122"/>
      <c r="L447" s="121"/>
      <c r="M447" s="122"/>
      <c r="O447"/>
      <c r="P447"/>
    </row>
    <row r="448" spans="1:16" s="102" customFormat="1">
      <c r="A448" s="122"/>
      <c r="B448" s="122"/>
      <c r="C448" s="122"/>
      <c r="D448" s="122"/>
      <c r="E448" s="122"/>
      <c r="F448" s="122"/>
      <c r="G448" s="121"/>
      <c r="H448" s="122"/>
      <c r="I448" s="122"/>
      <c r="J448" s="122"/>
      <c r="K448" s="122"/>
      <c r="L448" s="121"/>
      <c r="M448" s="122"/>
      <c r="O448"/>
      <c r="P448"/>
    </row>
    <row r="449" spans="1:16" s="102" customFormat="1">
      <c r="A449" s="122"/>
      <c r="B449" s="122"/>
      <c r="C449" s="122"/>
      <c r="D449" s="122"/>
      <c r="E449" s="122"/>
      <c r="F449" s="122"/>
      <c r="G449" s="121"/>
      <c r="H449" s="122"/>
      <c r="I449" s="122"/>
      <c r="J449" s="122"/>
      <c r="K449" s="122"/>
      <c r="L449" s="121"/>
      <c r="M449" s="122"/>
      <c r="O449"/>
      <c r="P449"/>
    </row>
    <row r="450" spans="1:16" s="102" customFormat="1">
      <c r="A450" s="122"/>
      <c r="B450" s="122"/>
      <c r="C450" s="122"/>
      <c r="D450" s="122"/>
      <c r="E450" s="122"/>
      <c r="F450" s="122"/>
      <c r="G450" s="121"/>
      <c r="H450" s="122"/>
      <c r="I450" s="122"/>
      <c r="J450" s="122"/>
      <c r="K450" s="122"/>
      <c r="L450" s="121"/>
      <c r="M450" s="122"/>
      <c r="O450"/>
      <c r="P450"/>
    </row>
    <row r="451" spans="1:16" s="102" customFormat="1">
      <c r="A451" s="122"/>
      <c r="B451" s="122"/>
      <c r="C451" s="122"/>
      <c r="D451" s="122"/>
      <c r="E451" s="122"/>
      <c r="F451" s="122"/>
      <c r="G451" s="121"/>
      <c r="H451" s="122"/>
      <c r="I451" s="122"/>
      <c r="J451" s="122"/>
      <c r="K451" s="122"/>
      <c r="L451" s="121"/>
      <c r="M451" s="122"/>
      <c r="O451"/>
      <c r="P451"/>
    </row>
    <row r="452" spans="1:16" s="102" customFormat="1">
      <c r="A452" s="122"/>
      <c r="B452" s="122"/>
      <c r="C452" s="122"/>
      <c r="D452" s="122"/>
      <c r="E452" s="122"/>
      <c r="F452" s="122"/>
      <c r="G452" s="121"/>
      <c r="H452" s="122"/>
      <c r="I452" s="122"/>
      <c r="J452" s="122"/>
      <c r="K452" s="122"/>
      <c r="L452" s="121"/>
      <c r="M452" s="122"/>
      <c r="O452"/>
      <c r="P452"/>
    </row>
    <row r="453" spans="1:16" s="102" customFormat="1">
      <c r="A453" s="122"/>
      <c r="B453" s="122"/>
      <c r="C453" s="122"/>
      <c r="D453" s="122"/>
      <c r="E453" s="122"/>
      <c r="F453" s="122"/>
      <c r="G453" s="121"/>
      <c r="H453" s="122"/>
      <c r="I453" s="122"/>
      <c r="J453" s="122"/>
      <c r="K453" s="122"/>
      <c r="L453" s="121"/>
      <c r="M453" s="122"/>
      <c r="O453"/>
      <c r="P453"/>
    </row>
    <row r="454" spans="1:16" s="102" customFormat="1">
      <c r="A454" s="122"/>
      <c r="B454" s="122"/>
      <c r="C454" s="122"/>
      <c r="D454" s="122"/>
      <c r="E454" s="122"/>
      <c r="F454" s="122"/>
      <c r="G454" s="121"/>
      <c r="H454" s="122"/>
      <c r="I454" s="122"/>
      <c r="J454" s="122"/>
      <c r="K454" s="122"/>
      <c r="L454" s="121"/>
      <c r="M454" s="122"/>
      <c r="O454"/>
      <c r="P454"/>
    </row>
    <row r="455" spans="1:16" s="102" customFormat="1">
      <c r="A455" s="122"/>
      <c r="B455" s="122"/>
      <c r="C455" s="122"/>
      <c r="D455" s="122"/>
      <c r="E455" s="122"/>
      <c r="F455" s="122"/>
      <c r="G455" s="121"/>
      <c r="H455" s="122"/>
      <c r="I455" s="122"/>
      <c r="J455" s="122"/>
      <c r="K455" s="122"/>
      <c r="L455" s="121"/>
      <c r="M455" s="122"/>
      <c r="O455"/>
      <c r="P455"/>
    </row>
    <row r="456" spans="1:16" s="102" customFormat="1">
      <c r="A456" s="122"/>
      <c r="B456" s="122"/>
      <c r="C456" s="122"/>
      <c r="D456" s="122"/>
      <c r="E456" s="122"/>
      <c r="F456" s="122"/>
      <c r="G456" s="121"/>
      <c r="H456" s="122"/>
      <c r="I456" s="122"/>
      <c r="J456" s="122"/>
      <c r="K456" s="122"/>
      <c r="L456" s="121"/>
      <c r="M456" s="122"/>
      <c r="O456"/>
      <c r="P456"/>
    </row>
    <row r="457" spans="1:16" s="102" customFormat="1">
      <c r="A457" s="122"/>
      <c r="B457" s="122"/>
      <c r="C457" s="122"/>
      <c r="D457" s="122"/>
      <c r="E457" s="122"/>
      <c r="F457" s="122"/>
      <c r="G457" s="121"/>
      <c r="H457" s="122"/>
      <c r="I457" s="122"/>
      <c r="J457" s="122"/>
      <c r="K457" s="122"/>
      <c r="L457" s="121"/>
      <c r="M457" s="122"/>
      <c r="O457"/>
      <c r="P457"/>
    </row>
    <row r="458" spans="1:16" s="102" customFormat="1">
      <c r="A458" s="122"/>
      <c r="B458" s="122"/>
      <c r="C458" s="122"/>
      <c r="D458" s="122"/>
      <c r="E458" s="122"/>
      <c r="F458" s="122"/>
      <c r="G458" s="121"/>
      <c r="H458" s="122"/>
      <c r="I458" s="122"/>
      <c r="J458" s="122"/>
      <c r="K458" s="122"/>
      <c r="L458" s="121"/>
      <c r="M458" s="122"/>
      <c r="O458"/>
      <c r="P458"/>
    </row>
    <row r="459" spans="1:16" s="102" customFormat="1">
      <c r="A459" s="122"/>
      <c r="B459" s="122"/>
      <c r="C459" s="122"/>
      <c r="D459" s="122"/>
      <c r="E459" s="122"/>
      <c r="F459" s="122"/>
      <c r="G459" s="121"/>
      <c r="H459" s="122"/>
      <c r="I459" s="122"/>
      <c r="J459" s="122"/>
      <c r="K459" s="122"/>
      <c r="L459" s="121"/>
      <c r="M459" s="122"/>
      <c r="O459"/>
      <c r="P459"/>
    </row>
    <row r="460" spans="1:16" s="102" customFormat="1">
      <c r="A460" s="122"/>
      <c r="B460" s="122"/>
      <c r="C460" s="122"/>
      <c r="D460" s="122"/>
      <c r="E460" s="122"/>
      <c r="F460" s="122"/>
      <c r="G460" s="121"/>
      <c r="H460" s="122"/>
      <c r="I460" s="122"/>
      <c r="J460" s="122"/>
      <c r="K460" s="122"/>
      <c r="L460" s="121"/>
      <c r="M460" s="122"/>
      <c r="O460"/>
      <c r="P460"/>
    </row>
    <row r="461" spans="1:16" s="102" customFormat="1">
      <c r="A461" s="122"/>
      <c r="B461" s="122"/>
      <c r="C461" s="122"/>
      <c r="D461" s="122"/>
      <c r="E461" s="122"/>
      <c r="F461" s="122"/>
      <c r="G461" s="121"/>
      <c r="H461" s="122"/>
      <c r="I461" s="122"/>
      <c r="J461" s="122"/>
      <c r="K461" s="122"/>
      <c r="L461" s="121"/>
      <c r="M461" s="122"/>
      <c r="O461"/>
      <c r="P461"/>
    </row>
    <row r="462" spans="1:16" s="102" customFormat="1">
      <c r="A462" s="122"/>
      <c r="B462" s="122"/>
      <c r="C462" s="122"/>
      <c r="D462" s="122"/>
      <c r="E462" s="122"/>
      <c r="F462" s="122"/>
      <c r="G462" s="121"/>
      <c r="H462" s="122"/>
      <c r="I462" s="122"/>
      <c r="J462" s="122"/>
      <c r="K462" s="122"/>
      <c r="L462" s="121"/>
      <c r="M462" s="122"/>
      <c r="O462"/>
      <c r="P462"/>
    </row>
    <row r="463" spans="1:16" s="102" customFormat="1">
      <c r="A463" s="122"/>
      <c r="B463" s="122"/>
      <c r="C463" s="122"/>
      <c r="D463" s="122"/>
      <c r="E463" s="122"/>
      <c r="F463" s="122"/>
      <c r="G463" s="121"/>
      <c r="H463" s="122"/>
      <c r="I463" s="122"/>
      <c r="J463" s="122"/>
      <c r="K463" s="122"/>
      <c r="L463" s="121"/>
      <c r="M463" s="122"/>
      <c r="O463"/>
      <c r="P463"/>
    </row>
    <row r="464" spans="1:16" s="102" customFormat="1">
      <c r="A464" s="122"/>
      <c r="B464" s="122"/>
      <c r="C464" s="122"/>
      <c r="D464" s="122"/>
      <c r="E464" s="122"/>
      <c r="F464" s="122"/>
      <c r="G464" s="121"/>
      <c r="H464" s="122"/>
      <c r="I464" s="122"/>
      <c r="J464" s="122"/>
      <c r="K464" s="122"/>
      <c r="L464" s="121"/>
      <c r="M464" s="122"/>
      <c r="O464"/>
      <c r="P464"/>
    </row>
    <row r="465" spans="1:16" s="102" customFormat="1">
      <c r="A465" s="122"/>
      <c r="B465" s="122"/>
      <c r="C465" s="122"/>
      <c r="D465" s="122"/>
      <c r="E465" s="122"/>
      <c r="F465" s="122"/>
      <c r="G465" s="121"/>
      <c r="H465" s="122"/>
      <c r="I465" s="122"/>
      <c r="J465" s="122"/>
      <c r="K465" s="122"/>
      <c r="L465" s="121"/>
      <c r="M465" s="122"/>
      <c r="O465"/>
      <c r="P465"/>
    </row>
    <row r="466" spans="1:16" s="102" customFormat="1">
      <c r="A466" s="122"/>
      <c r="B466" s="122"/>
      <c r="C466" s="122"/>
      <c r="D466" s="122"/>
      <c r="E466" s="122"/>
      <c r="F466" s="122"/>
      <c r="G466" s="121"/>
      <c r="H466" s="122"/>
      <c r="I466" s="122"/>
      <c r="J466" s="122"/>
      <c r="K466" s="122"/>
      <c r="L466" s="121"/>
      <c r="M466" s="122"/>
      <c r="O466"/>
      <c r="P466"/>
    </row>
    <row r="467" spans="1:16" s="102" customFormat="1">
      <c r="A467" s="122"/>
      <c r="B467" s="122"/>
      <c r="C467" s="122"/>
      <c r="D467" s="122"/>
      <c r="E467" s="122"/>
      <c r="F467" s="122"/>
      <c r="G467" s="121"/>
      <c r="H467" s="122"/>
      <c r="I467" s="122"/>
      <c r="J467" s="122"/>
      <c r="K467" s="122"/>
      <c r="L467" s="121"/>
      <c r="M467" s="122"/>
      <c r="O467"/>
      <c r="P467"/>
    </row>
    <row r="468" spans="1:16" s="102" customFormat="1">
      <c r="A468" s="122"/>
      <c r="B468" s="122"/>
      <c r="C468" s="122"/>
      <c r="D468" s="122"/>
      <c r="E468" s="122"/>
      <c r="F468" s="122"/>
      <c r="G468" s="121"/>
      <c r="H468" s="122"/>
      <c r="I468" s="122"/>
      <c r="J468" s="122"/>
      <c r="K468" s="122"/>
      <c r="L468" s="121"/>
      <c r="M468" s="122"/>
      <c r="O468"/>
      <c r="P468"/>
    </row>
    <row r="469" spans="1:16" s="102" customFormat="1">
      <c r="A469" s="122"/>
      <c r="B469" s="122"/>
      <c r="C469" s="122"/>
      <c r="D469" s="122"/>
      <c r="E469" s="122"/>
      <c r="F469" s="122"/>
      <c r="G469" s="121"/>
      <c r="H469" s="122"/>
      <c r="I469" s="122"/>
      <c r="J469" s="122"/>
      <c r="K469" s="122"/>
      <c r="L469" s="121"/>
      <c r="M469" s="122"/>
      <c r="O469"/>
      <c r="P469"/>
    </row>
    <row r="470" spans="1:16" s="102" customFormat="1">
      <c r="A470" s="122"/>
      <c r="B470" s="122"/>
      <c r="C470" s="122"/>
      <c r="D470" s="122"/>
      <c r="E470" s="122"/>
      <c r="F470" s="122"/>
      <c r="G470" s="121"/>
      <c r="H470" s="122"/>
      <c r="I470" s="122"/>
      <c r="J470" s="122"/>
      <c r="K470" s="122"/>
      <c r="L470" s="121"/>
      <c r="M470" s="122"/>
      <c r="O470"/>
      <c r="P470"/>
    </row>
    <row r="471" spans="1:16" s="102" customFormat="1">
      <c r="A471" s="122"/>
      <c r="B471" s="122"/>
      <c r="C471" s="122"/>
      <c r="D471" s="122"/>
      <c r="E471" s="122"/>
      <c r="F471" s="122"/>
      <c r="G471" s="121"/>
      <c r="H471" s="122"/>
      <c r="I471" s="122"/>
      <c r="J471" s="122"/>
      <c r="K471" s="122"/>
      <c r="L471" s="121"/>
      <c r="M471" s="122"/>
      <c r="O471"/>
      <c r="P471"/>
    </row>
    <row r="472" spans="1:16" s="102" customFormat="1">
      <c r="A472" s="122"/>
      <c r="B472" s="122"/>
      <c r="C472" s="122"/>
      <c r="D472" s="122"/>
      <c r="E472" s="122"/>
      <c r="F472" s="122"/>
      <c r="G472" s="121"/>
      <c r="H472" s="122"/>
      <c r="I472" s="122"/>
      <c r="J472" s="122"/>
      <c r="K472" s="122"/>
      <c r="L472" s="121"/>
      <c r="M472" s="122"/>
      <c r="O472"/>
      <c r="P472"/>
    </row>
    <row r="473" spans="1:16" s="102" customFormat="1">
      <c r="A473" s="122"/>
      <c r="B473" s="122"/>
      <c r="C473" s="122"/>
      <c r="D473" s="122"/>
      <c r="E473" s="122"/>
      <c r="F473" s="122"/>
      <c r="G473" s="121"/>
      <c r="H473" s="122"/>
      <c r="I473" s="122"/>
      <c r="J473" s="122"/>
      <c r="K473" s="122"/>
      <c r="L473" s="121"/>
      <c r="M473" s="122"/>
      <c r="O473"/>
      <c r="P473"/>
    </row>
    <row r="474" spans="1:16" s="102" customFormat="1">
      <c r="A474" s="122"/>
      <c r="B474" s="122"/>
      <c r="C474" s="122"/>
      <c r="D474" s="122"/>
      <c r="E474" s="122"/>
      <c r="F474" s="122"/>
      <c r="G474" s="121"/>
      <c r="H474" s="122"/>
      <c r="I474" s="122"/>
      <c r="J474" s="122"/>
      <c r="K474" s="122"/>
      <c r="L474" s="121"/>
      <c r="M474" s="122"/>
      <c r="O474"/>
      <c r="P474"/>
    </row>
    <row r="475" spans="1:16" s="102" customFormat="1">
      <c r="A475" s="122"/>
      <c r="B475" s="122"/>
      <c r="C475" s="122"/>
      <c r="D475" s="122"/>
      <c r="E475" s="122"/>
      <c r="F475" s="122"/>
      <c r="G475" s="121"/>
      <c r="H475" s="122"/>
      <c r="I475" s="122"/>
      <c r="J475" s="122"/>
      <c r="K475" s="122"/>
      <c r="L475" s="121"/>
      <c r="M475" s="122"/>
      <c r="O475"/>
      <c r="P475"/>
    </row>
    <row r="476" spans="1:16" s="102" customFormat="1">
      <c r="A476" s="122"/>
      <c r="B476" s="122"/>
      <c r="C476" s="122"/>
      <c r="D476" s="122"/>
      <c r="E476" s="122"/>
      <c r="F476" s="122"/>
      <c r="G476" s="121"/>
      <c r="H476" s="122"/>
      <c r="I476" s="122"/>
      <c r="J476" s="122"/>
      <c r="K476" s="122"/>
      <c r="L476" s="121"/>
      <c r="M476" s="122"/>
      <c r="O476"/>
      <c r="P476"/>
    </row>
    <row r="477" spans="1:16" s="102" customFormat="1">
      <c r="A477" s="122"/>
      <c r="B477" s="122"/>
      <c r="C477" s="122"/>
      <c r="D477" s="122"/>
      <c r="E477" s="122"/>
      <c r="F477" s="122"/>
      <c r="G477" s="121"/>
      <c r="H477" s="122"/>
      <c r="I477" s="122"/>
      <c r="J477" s="122"/>
      <c r="K477" s="122"/>
      <c r="L477" s="121"/>
      <c r="M477" s="122"/>
      <c r="O477"/>
      <c r="P477"/>
    </row>
    <row r="478" spans="1:16" s="102" customFormat="1">
      <c r="A478" s="122"/>
      <c r="B478" s="122"/>
      <c r="C478" s="122"/>
      <c r="D478" s="122"/>
      <c r="E478" s="122"/>
      <c r="F478" s="122"/>
      <c r="G478" s="121"/>
      <c r="H478" s="122"/>
      <c r="I478" s="122"/>
      <c r="J478" s="122"/>
      <c r="K478" s="122"/>
      <c r="L478" s="121"/>
      <c r="M478" s="122"/>
      <c r="O478"/>
      <c r="P478"/>
    </row>
    <row r="479" spans="1:16" s="102" customFormat="1">
      <c r="A479" s="122"/>
      <c r="B479" s="122"/>
      <c r="C479" s="122"/>
      <c r="D479" s="122"/>
      <c r="E479" s="122"/>
      <c r="F479" s="122"/>
      <c r="G479" s="121"/>
      <c r="H479" s="122"/>
      <c r="I479" s="122"/>
      <c r="J479" s="122"/>
      <c r="K479" s="122"/>
      <c r="L479" s="121"/>
      <c r="M479" s="122"/>
      <c r="O479"/>
      <c r="P479"/>
    </row>
    <row r="480" spans="1:16" s="102" customFormat="1">
      <c r="A480" s="122"/>
      <c r="B480" s="122"/>
      <c r="C480" s="122"/>
      <c r="D480" s="122"/>
      <c r="E480" s="122"/>
      <c r="F480" s="122"/>
      <c r="G480" s="121"/>
      <c r="H480" s="122"/>
      <c r="I480" s="122"/>
      <c r="J480" s="122"/>
      <c r="K480" s="122"/>
      <c r="L480" s="121"/>
      <c r="M480" s="122"/>
      <c r="O480"/>
      <c r="P480"/>
    </row>
    <row r="481" spans="1:16" s="102" customFormat="1">
      <c r="A481" s="122"/>
      <c r="B481" s="122"/>
      <c r="C481" s="122"/>
      <c r="D481" s="122"/>
      <c r="E481" s="122"/>
      <c r="F481" s="122"/>
      <c r="G481" s="121"/>
      <c r="H481" s="122"/>
      <c r="I481" s="122"/>
      <c r="J481" s="122"/>
      <c r="K481" s="122"/>
      <c r="L481" s="121"/>
      <c r="M481" s="122"/>
      <c r="O481"/>
      <c r="P481"/>
    </row>
    <row r="482" spans="1:16" s="102" customFormat="1">
      <c r="A482" s="122"/>
      <c r="B482" s="122"/>
      <c r="C482" s="122"/>
      <c r="D482" s="122"/>
      <c r="E482" s="122"/>
      <c r="F482" s="122"/>
      <c r="G482" s="121"/>
      <c r="H482" s="122"/>
      <c r="I482" s="122"/>
      <c r="J482" s="122"/>
      <c r="K482" s="122"/>
      <c r="L482" s="121"/>
      <c r="M482" s="122"/>
      <c r="O482"/>
      <c r="P482"/>
    </row>
    <row r="483" spans="1:16" s="102" customFormat="1">
      <c r="A483" s="122"/>
      <c r="B483" s="122"/>
      <c r="C483" s="122"/>
      <c r="D483" s="122"/>
      <c r="E483" s="122"/>
      <c r="F483" s="122"/>
      <c r="G483" s="121"/>
      <c r="H483" s="122"/>
      <c r="I483" s="122"/>
      <c r="J483" s="122"/>
      <c r="K483" s="122"/>
      <c r="L483" s="121"/>
      <c r="M483" s="122"/>
      <c r="O483"/>
      <c r="P483"/>
    </row>
    <row r="484" spans="1:16" s="102" customFormat="1">
      <c r="A484" s="122"/>
      <c r="B484" s="122"/>
      <c r="C484" s="122"/>
      <c r="D484" s="122"/>
      <c r="E484" s="122"/>
      <c r="F484" s="122"/>
      <c r="G484" s="121"/>
      <c r="H484" s="122"/>
      <c r="I484" s="122"/>
      <c r="J484" s="122"/>
      <c r="K484" s="122"/>
      <c r="L484" s="121"/>
      <c r="M484" s="122"/>
      <c r="O484"/>
      <c r="P484"/>
    </row>
    <row r="485" spans="1:16" s="102" customFormat="1">
      <c r="A485" s="122"/>
      <c r="B485" s="122"/>
      <c r="C485" s="122"/>
      <c r="D485" s="122"/>
      <c r="E485" s="122"/>
      <c r="F485" s="122"/>
      <c r="G485" s="121"/>
      <c r="H485" s="122"/>
      <c r="I485" s="122"/>
      <c r="J485" s="122"/>
      <c r="K485" s="122"/>
      <c r="L485" s="121"/>
      <c r="M485" s="122"/>
      <c r="O485"/>
      <c r="P485"/>
    </row>
    <row r="486" spans="1:16" s="102" customFormat="1">
      <c r="A486" s="122"/>
      <c r="B486" s="122"/>
      <c r="C486" s="122"/>
      <c r="D486" s="122"/>
      <c r="E486" s="122"/>
      <c r="F486" s="122"/>
      <c r="G486" s="121"/>
      <c r="H486" s="122"/>
      <c r="I486" s="122"/>
      <c r="J486" s="122"/>
      <c r="K486" s="122"/>
      <c r="L486" s="121"/>
      <c r="M486" s="122"/>
      <c r="O486"/>
      <c r="P486"/>
    </row>
    <row r="487" spans="1:16" s="102" customFormat="1">
      <c r="A487" s="122"/>
      <c r="B487" s="122"/>
      <c r="C487" s="122"/>
      <c r="D487" s="122"/>
      <c r="E487" s="122"/>
      <c r="F487" s="122"/>
      <c r="G487" s="121"/>
      <c r="H487" s="122"/>
      <c r="I487" s="122"/>
      <c r="J487" s="122"/>
      <c r="K487" s="122"/>
      <c r="L487" s="121"/>
      <c r="M487" s="122"/>
      <c r="O487"/>
      <c r="P487"/>
    </row>
    <row r="488" spans="1:16" s="102" customFormat="1">
      <c r="A488" s="122"/>
      <c r="B488" s="122"/>
      <c r="C488" s="122"/>
      <c r="D488" s="122"/>
      <c r="E488" s="122"/>
      <c r="F488" s="122"/>
      <c r="G488" s="121"/>
      <c r="H488" s="122"/>
      <c r="I488" s="122"/>
      <c r="J488" s="122"/>
      <c r="K488" s="122"/>
      <c r="L488" s="121"/>
      <c r="M488" s="122"/>
      <c r="O488"/>
      <c r="P488"/>
    </row>
    <row r="489" spans="1:16" s="102" customFormat="1">
      <c r="A489" s="122"/>
      <c r="B489" s="122"/>
      <c r="C489" s="122"/>
      <c r="D489" s="122"/>
      <c r="E489" s="122"/>
      <c r="F489" s="122"/>
      <c r="G489" s="121"/>
      <c r="H489" s="122"/>
      <c r="I489" s="122"/>
      <c r="J489" s="122"/>
      <c r="K489" s="122"/>
      <c r="L489" s="121"/>
      <c r="M489" s="122"/>
      <c r="O489"/>
      <c r="P489"/>
    </row>
    <row r="490" spans="1:16" s="102" customFormat="1">
      <c r="A490" s="122"/>
      <c r="B490" s="122"/>
      <c r="C490" s="122"/>
      <c r="D490" s="122"/>
      <c r="E490" s="122"/>
      <c r="F490" s="122"/>
      <c r="G490" s="121"/>
      <c r="H490" s="122"/>
      <c r="I490" s="122"/>
      <c r="J490" s="122"/>
      <c r="K490" s="122"/>
      <c r="L490" s="121"/>
      <c r="M490" s="122"/>
      <c r="O490"/>
      <c r="P490"/>
    </row>
    <row r="491" spans="1:16" s="102" customFormat="1">
      <c r="A491" s="122"/>
      <c r="B491" s="122"/>
      <c r="C491" s="122"/>
      <c r="D491" s="122"/>
      <c r="E491" s="122"/>
      <c r="F491" s="122"/>
      <c r="G491" s="121"/>
      <c r="H491" s="122"/>
      <c r="I491" s="122"/>
      <c r="J491" s="122"/>
      <c r="K491" s="122"/>
      <c r="L491" s="121"/>
      <c r="M491" s="122"/>
      <c r="O491"/>
      <c r="P491"/>
    </row>
    <row r="492" spans="1:16" s="102" customFormat="1">
      <c r="A492" s="122"/>
      <c r="B492" s="122"/>
      <c r="C492" s="122"/>
      <c r="D492" s="122"/>
      <c r="E492" s="122"/>
      <c r="F492" s="122"/>
      <c r="G492" s="121"/>
      <c r="H492" s="122"/>
      <c r="I492" s="122"/>
      <c r="J492" s="122"/>
      <c r="K492" s="122"/>
      <c r="L492" s="121"/>
      <c r="M492" s="122"/>
      <c r="O492"/>
      <c r="P492"/>
    </row>
    <row r="493" spans="1:16" s="102" customFormat="1">
      <c r="A493" s="122"/>
      <c r="B493" s="122"/>
      <c r="C493" s="122"/>
      <c r="D493" s="122"/>
      <c r="E493" s="122"/>
      <c r="F493" s="122"/>
      <c r="G493" s="121"/>
      <c r="H493" s="122"/>
      <c r="I493" s="122"/>
      <c r="J493" s="122"/>
      <c r="K493" s="122"/>
      <c r="L493" s="121"/>
      <c r="M493" s="122"/>
      <c r="O493"/>
      <c r="P493"/>
    </row>
    <row r="494" spans="1:16" s="102" customFormat="1">
      <c r="A494" s="122"/>
      <c r="B494" s="122"/>
      <c r="C494" s="122"/>
      <c r="D494" s="122"/>
      <c r="E494" s="122"/>
      <c r="F494" s="122"/>
      <c r="G494" s="121"/>
      <c r="H494" s="122"/>
      <c r="I494" s="122"/>
      <c r="J494" s="122"/>
      <c r="K494" s="122"/>
      <c r="L494" s="121"/>
      <c r="M494" s="122"/>
      <c r="O494"/>
      <c r="P494"/>
    </row>
    <row r="495" spans="1:16" s="102" customFormat="1">
      <c r="A495" s="122"/>
      <c r="B495" s="122"/>
      <c r="C495" s="122"/>
      <c r="D495" s="122"/>
      <c r="E495" s="122"/>
      <c r="F495" s="122"/>
      <c r="G495" s="121"/>
      <c r="H495" s="122"/>
      <c r="I495" s="122"/>
      <c r="J495" s="122"/>
      <c r="K495" s="122"/>
      <c r="L495" s="121"/>
      <c r="M495" s="122"/>
      <c r="O495"/>
      <c r="P495"/>
    </row>
    <row r="496" spans="1:16" s="102" customFormat="1">
      <c r="A496" s="122"/>
      <c r="B496" s="122"/>
      <c r="C496" s="122"/>
      <c r="D496" s="122"/>
      <c r="E496" s="122"/>
      <c r="F496" s="122"/>
      <c r="G496" s="121"/>
      <c r="H496" s="122"/>
      <c r="I496" s="122"/>
      <c r="J496" s="122"/>
      <c r="K496" s="122"/>
      <c r="L496" s="121"/>
      <c r="M496" s="122"/>
      <c r="O496"/>
      <c r="P496"/>
    </row>
    <row r="497" spans="1:16" s="102" customFormat="1">
      <c r="A497" s="122"/>
      <c r="B497" s="122"/>
      <c r="C497" s="122"/>
      <c r="D497" s="122"/>
      <c r="E497" s="122"/>
      <c r="F497" s="122"/>
      <c r="G497" s="121"/>
      <c r="H497" s="122"/>
      <c r="I497" s="122"/>
      <c r="J497" s="122"/>
      <c r="K497" s="122"/>
      <c r="L497" s="121"/>
      <c r="M497" s="122"/>
      <c r="O497"/>
      <c r="P497"/>
    </row>
    <row r="498" spans="1:16" s="102" customFormat="1">
      <c r="A498" s="122"/>
      <c r="B498" s="122"/>
      <c r="C498" s="122"/>
      <c r="D498" s="122"/>
      <c r="E498" s="122"/>
      <c r="F498" s="122"/>
      <c r="G498" s="121"/>
      <c r="H498" s="122"/>
      <c r="I498" s="122"/>
      <c r="J498" s="122"/>
      <c r="K498" s="122"/>
      <c r="L498" s="121"/>
      <c r="M498" s="122"/>
      <c r="O498"/>
      <c r="P498"/>
    </row>
    <row r="499" spans="1:16" s="102" customFormat="1">
      <c r="A499" s="122"/>
      <c r="B499" s="122"/>
      <c r="C499" s="122"/>
      <c r="D499" s="122"/>
      <c r="E499" s="122"/>
      <c r="F499" s="122"/>
      <c r="G499" s="121"/>
      <c r="H499" s="122"/>
      <c r="I499" s="122"/>
      <c r="J499" s="122"/>
      <c r="K499" s="122"/>
      <c r="L499" s="121"/>
      <c r="M499" s="122"/>
      <c r="O499"/>
      <c r="P499"/>
    </row>
    <row r="500" spans="1:16" s="102" customFormat="1">
      <c r="A500" s="122"/>
      <c r="B500" s="122"/>
      <c r="C500" s="122"/>
      <c r="D500" s="122"/>
      <c r="E500" s="122"/>
      <c r="F500" s="122"/>
      <c r="G500" s="121"/>
      <c r="H500" s="122"/>
      <c r="I500" s="122"/>
      <c r="J500" s="122"/>
      <c r="K500" s="122"/>
      <c r="L500" s="121"/>
      <c r="M500" s="122"/>
      <c r="O500"/>
      <c r="P500"/>
    </row>
    <row r="501" spans="1:16" s="102" customFormat="1">
      <c r="A501" s="122"/>
      <c r="B501" s="122"/>
      <c r="C501" s="122"/>
      <c r="D501" s="122"/>
      <c r="E501" s="122"/>
      <c r="F501" s="122"/>
      <c r="G501" s="121"/>
      <c r="H501" s="122"/>
      <c r="I501" s="122"/>
      <c r="J501" s="122"/>
      <c r="K501" s="122"/>
      <c r="L501" s="121"/>
      <c r="M501" s="122"/>
      <c r="O501"/>
      <c r="P501"/>
    </row>
    <row r="502" spans="1:16" s="102" customFormat="1">
      <c r="A502" s="122"/>
      <c r="B502" s="122"/>
      <c r="C502" s="122"/>
      <c r="D502" s="122"/>
      <c r="E502" s="122"/>
      <c r="F502" s="122"/>
      <c r="G502" s="121"/>
      <c r="H502" s="122"/>
      <c r="I502" s="122"/>
      <c r="J502" s="122"/>
      <c r="K502" s="122"/>
      <c r="L502" s="121"/>
      <c r="M502" s="122"/>
      <c r="O502"/>
      <c r="P502"/>
    </row>
    <row r="503" spans="1:16" s="102" customFormat="1">
      <c r="A503" s="122"/>
      <c r="B503" s="122"/>
      <c r="C503" s="122"/>
      <c r="D503" s="122"/>
      <c r="E503" s="122"/>
      <c r="F503" s="122"/>
      <c r="G503" s="121"/>
      <c r="H503" s="122"/>
      <c r="I503" s="122"/>
      <c r="J503" s="122"/>
      <c r="K503" s="122"/>
      <c r="L503" s="121"/>
      <c r="M503" s="122"/>
      <c r="O503"/>
      <c r="P503"/>
    </row>
    <row r="504" spans="1:16" s="102" customFormat="1">
      <c r="A504" s="122"/>
      <c r="B504" s="122"/>
      <c r="C504" s="122"/>
      <c r="D504" s="122"/>
      <c r="E504" s="122"/>
      <c r="F504" s="122"/>
      <c r="G504" s="121"/>
      <c r="H504" s="122"/>
      <c r="I504" s="122"/>
      <c r="J504" s="122"/>
      <c r="K504" s="122"/>
      <c r="L504" s="121"/>
      <c r="M504" s="122"/>
      <c r="O504"/>
      <c r="P504"/>
    </row>
    <row r="505" spans="1:16" s="102" customFormat="1">
      <c r="A505" s="122"/>
      <c r="B505" s="122"/>
      <c r="C505" s="122"/>
      <c r="D505" s="122"/>
      <c r="E505" s="122"/>
      <c r="F505" s="122"/>
      <c r="G505" s="121"/>
      <c r="H505" s="122"/>
      <c r="I505" s="122"/>
      <c r="J505" s="122"/>
      <c r="K505" s="122"/>
      <c r="L505" s="121"/>
      <c r="M505" s="122"/>
      <c r="O505"/>
      <c r="P505"/>
    </row>
    <row r="506" spans="1:16" s="102" customFormat="1">
      <c r="A506" s="122"/>
      <c r="B506" s="122"/>
      <c r="C506" s="122"/>
      <c r="D506" s="122"/>
      <c r="E506" s="122"/>
      <c r="F506" s="122"/>
      <c r="G506" s="121"/>
      <c r="H506" s="122"/>
      <c r="I506" s="122"/>
      <c r="J506" s="122"/>
      <c r="K506" s="122"/>
      <c r="L506" s="121"/>
      <c r="M506" s="122"/>
      <c r="O506"/>
      <c r="P506"/>
    </row>
    <row r="507" spans="1:16" s="102" customFormat="1">
      <c r="A507" s="122"/>
      <c r="B507" s="122"/>
      <c r="C507" s="122"/>
      <c r="D507" s="122"/>
      <c r="E507" s="122"/>
      <c r="F507" s="122"/>
      <c r="G507" s="121"/>
      <c r="H507" s="122"/>
      <c r="I507" s="122"/>
      <c r="J507" s="122"/>
      <c r="K507" s="122"/>
      <c r="L507" s="121"/>
      <c r="M507" s="122"/>
      <c r="O507"/>
      <c r="P507"/>
    </row>
    <row r="508" spans="1:16" s="102" customFormat="1">
      <c r="A508" s="122"/>
      <c r="B508" s="122"/>
      <c r="C508" s="122"/>
      <c r="D508" s="122"/>
      <c r="E508" s="122"/>
      <c r="F508" s="122"/>
      <c r="G508" s="121"/>
      <c r="H508" s="122"/>
      <c r="I508" s="122"/>
      <c r="J508" s="122"/>
      <c r="K508" s="122"/>
      <c r="L508" s="121"/>
      <c r="M508" s="122"/>
      <c r="O508"/>
      <c r="P508"/>
    </row>
    <row r="509" spans="1:16" s="102" customFormat="1">
      <c r="A509" s="122"/>
      <c r="B509" s="122"/>
      <c r="C509" s="122"/>
      <c r="D509" s="122"/>
      <c r="E509" s="122"/>
      <c r="F509" s="122"/>
      <c r="G509" s="121"/>
      <c r="H509" s="122"/>
      <c r="I509" s="122"/>
      <c r="J509" s="122"/>
      <c r="K509" s="122"/>
      <c r="L509" s="121"/>
      <c r="M509" s="122"/>
      <c r="O509"/>
      <c r="P509"/>
    </row>
    <row r="510" spans="1:16" s="102" customFormat="1">
      <c r="A510" s="122"/>
      <c r="B510" s="122"/>
      <c r="C510" s="122"/>
      <c r="D510" s="122"/>
      <c r="E510" s="122"/>
      <c r="F510" s="122"/>
      <c r="G510" s="121"/>
      <c r="H510" s="122"/>
      <c r="I510" s="122"/>
      <c r="J510" s="122"/>
      <c r="K510" s="122"/>
      <c r="L510" s="121"/>
      <c r="M510" s="122"/>
      <c r="O510"/>
      <c r="P510"/>
    </row>
    <row r="511" spans="1:16" s="102" customFormat="1">
      <c r="A511" s="122"/>
      <c r="B511" s="122"/>
      <c r="C511" s="122"/>
      <c r="D511" s="122"/>
      <c r="E511" s="122"/>
      <c r="F511" s="122"/>
      <c r="G511" s="121"/>
      <c r="H511" s="122"/>
      <c r="I511" s="122"/>
      <c r="J511" s="122"/>
      <c r="K511" s="122"/>
      <c r="L511" s="121"/>
      <c r="M511" s="122"/>
      <c r="O511"/>
      <c r="P511"/>
    </row>
    <row r="512" spans="1:16" s="102" customFormat="1">
      <c r="A512" s="122"/>
      <c r="B512" s="122"/>
      <c r="C512" s="122"/>
      <c r="D512" s="122"/>
      <c r="E512" s="122"/>
      <c r="F512" s="122"/>
      <c r="G512" s="121"/>
      <c r="H512" s="122"/>
      <c r="I512" s="122"/>
      <c r="J512" s="122"/>
      <c r="K512" s="122"/>
      <c r="L512" s="121"/>
      <c r="M512" s="122"/>
      <c r="O512"/>
      <c r="P512"/>
    </row>
    <row r="513" spans="1:16" s="102" customFormat="1">
      <c r="A513" s="122"/>
      <c r="B513" s="122"/>
      <c r="C513" s="122"/>
      <c r="D513" s="122"/>
      <c r="E513" s="122"/>
      <c r="F513" s="122"/>
      <c r="G513" s="121"/>
      <c r="H513" s="122"/>
      <c r="I513" s="122"/>
      <c r="J513" s="122"/>
      <c r="K513" s="122"/>
      <c r="L513" s="121"/>
      <c r="M513" s="122"/>
      <c r="O513"/>
      <c r="P513"/>
    </row>
    <row r="514" spans="1:16" s="102" customFormat="1">
      <c r="A514" s="122"/>
      <c r="B514" s="122"/>
      <c r="C514" s="122"/>
      <c r="D514" s="122"/>
      <c r="E514" s="122"/>
      <c r="F514" s="122"/>
      <c r="G514" s="121"/>
      <c r="H514" s="122"/>
      <c r="I514" s="122"/>
      <c r="J514" s="122"/>
      <c r="K514" s="122"/>
      <c r="L514" s="121"/>
      <c r="M514" s="122"/>
      <c r="O514"/>
      <c r="P514"/>
    </row>
    <row r="515" spans="1:16" s="102" customFormat="1">
      <c r="A515" s="122"/>
      <c r="B515" s="122"/>
      <c r="C515" s="122"/>
      <c r="D515" s="122"/>
      <c r="E515" s="122"/>
      <c r="F515" s="122"/>
      <c r="G515" s="121"/>
      <c r="H515" s="122"/>
      <c r="I515" s="122"/>
      <c r="J515" s="122"/>
      <c r="K515" s="122"/>
      <c r="L515" s="121"/>
      <c r="M515" s="122"/>
      <c r="O515"/>
      <c r="P515"/>
    </row>
    <row r="516" spans="1:16" s="102" customFormat="1">
      <c r="A516" s="122"/>
      <c r="B516" s="122"/>
      <c r="C516" s="122"/>
      <c r="D516" s="122"/>
      <c r="E516" s="122"/>
      <c r="F516" s="122"/>
      <c r="G516" s="121"/>
      <c r="H516" s="122"/>
      <c r="I516" s="122"/>
      <c r="J516" s="122"/>
      <c r="K516" s="122"/>
      <c r="L516" s="121"/>
      <c r="M516" s="122"/>
      <c r="O516"/>
      <c r="P516"/>
    </row>
    <row r="517" spans="1:16" s="102" customFormat="1">
      <c r="A517" s="122"/>
      <c r="B517" s="122"/>
      <c r="C517" s="122"/>
      <c r="D517" s="122"/>
      <c r="E517" s="122"/>
      <c r="F517" s="122"/>
      <c r="G517" s="121"/>
      <c r="H517" s="122"/>
      <c r="I517" s="122"/>
      <c r="J517" s="122"/>
      <c r="K517" s="122"/>
      <c r="L517" s="121"/>
      <c r="M517" s="122"/>
      <c r="O517"/>
      <c r="P517"/>
    </row>
    <row r="518" spans="1:16" s="102" customFormat="1">
      <c r="A518" s="122"/>
      <c r="B518" s="122"/>
      <c r="C518" s="122"/>
      <c r="D518" s="122"/>
      <c r="E518" s="122"/>
      <c r="F518" s="122"/>
      <c r="G518" s="121"/>
      <c r="H518" s="122"/>
      <c r="I518" s="122"/>
      <c r="J518" s="122"/>
      <c r="K518" s="122"/>
      <c r="L518" s="121"/>
      <c r="M518" s="122"/>
      <c r="O518"/>
      <c r="P518"/>
    </row>
    <row r="519" spans="1:16" s="102" customFormat="1">
      <c r="A519" s="122"/>
      <c r="B519" s="122"/>
      <c r="C519" s="122"/>
      <c r="D519" s="122"/>
      <c r="E519" s="122"/>
      <c r="F519" s="122"/>
      <c r="G519" s="121"/>
      <c r="H519" s="122"/>
      <c r="I519" s="122"/>
      <c r="J519" s="122"/>
      <c r="K519" s="122"/>
      <c r="L519" s="121"/>
      <c r="M519" s="122"/>
      <c r="O519"/>
      <c r="P519"/>
    </row>
    <row r="520" spans="1:16" s="102" customFormat="1">
      <c r="A520" s="122"/>
      <c r="B520" s="122"/>
      <c r="C520" s="122"/>
      <c r="D520" s="122"/>
      <c r="E520" s="122"/>
      <c r="F520" s="122"/>
      <c r="G520" s="121"/>
      <c r="H520" s="122"/>
      <c r="I520" s="122"/>
      <c r="J520" s="122"/>
      <c r="K520" s="122"/>
      <c r="L520" s="121"/>
      <c r="M520" s="122"/>
      <c r="O520"/>
      <c r="P520"/>
    </row>
    <row r="521" spans="1:16" s="102" customFormat="1">
      <c r="A521" s="122"/>
      <c r="B521" s="122"/>
      <c r="C521" s="122"/>
      <c r="D521" s="122"/>
      <c r="E521" s="122"/>
      <c r="F521" s="122"/>
      <c r="G521" s="121"/>
      <c r="H521" s="122"/>
      <c r="I521" s="122"/>
      <c r="J521" s="122"/>
      <c r="K521" s="122"/>
      <c r="L521" s="121"/>
      <c r="M521" s="122"/>
      <c r="O521"/>
      <c r="P521"/>
    </row>
    <row r="522" spans="1:16" s="102" customFormat="1">
      <c r="A522" s="122"/>
      <c r="B522" s="122"/>
      <c r="C522" s="122"/>
      <c r="D522" s="122"/>
      <c r="E522" s="122"/>
      <c r="F522" s="122"/>
      <c r="G522" s="121"/>
      <c r="H522" s="122"/>
      <c r="I522" s="122"/>
      <c r="J522" s="122"/>
      <c r="K522" s="122"/>
      <c r="L522" s="121"/>
      <c r="M522" s="122"/>
      <c r="O522"/>
      <c r="P522"/>
    </row>
    <row r="523" spans="1:16" s="102" customFormat="1">
      <c r="A523" s="122"/>
      <c r="B523" s="122"/>
      <c r="C523" s="122"/>
      <c r="D523" s="122"/>
      <c r="E523" s="122"/>
      <c r="F523" s="122"/>
      <c r="G523" s="121"/>
      <c r="H523" s="122"/>
      <c r="I523" s="122"/>
      <c r="J523" s="122"/>
      <c r="K523" s="122"/>
      <c r="L523" s="121"/>
      <c r="M523" s="122"/>
      <c r="O523"/>
      <c r="P523"/>
    </row>
    <row r="524" spans="1:16" s="102" customFormat="1">
      <c r="A524" s="122"/>
      <c r="B524" s="122"/>
      <c r="C524" s="122"/>
      <c r="D524" s="122"/>
      <c r="E524" s="122"/>
      <c r="F524" s="122"/>
      <c r="G524" s="121"/>
      <c r="H524" s="122"/>
      <c r="I524" s="122"/>
      <c r="J524" s="122"/>
      <c r="K524" s="122"/>
      <c r="L524" s="121"/>
      <c r="M524" s="122"/>
      <c r="O524"/>
      <c r="P524"/>
    </row>
    <row r="525" spans="1:16" s="102" customFormat="1">
      <c r="A525" s="122"/>
      <c r="B525" s="122"/>
      <c r="C525" s="122"/>
      <c r="D525" s="122"/>
      <c r="E525" s="122"/>
      <c r="F525" s="122"/>
      <c r="G525" s="121"/>
      <c r="H525" s="122"/>
      <c r="I525" s="122"/>
      <c r="J525" s="122"/>
      <c r="K525" s="122"/>
      <c r="L525" s="121"/>
      <c r="M525" s="122"/>
      <c r="O525"/>
      <c r="P525"/>
    </row>
    <row r="526" spans="1:16" s="102" customFormat="1">
      <c r="A526" s="122"/>
      <c r="B526" s="122"/>
      <c r="C526" s="122"/>
      <c r="D526" s="122"/>
      <c r="E526" s="122"/>
      <c r="F526" s="122"/>
      <c r="G526" s="121"/>
      <c r="H526" s="122"/>
      <c r="I526" s="122"/>
      <c r="J526" s="122"/>
      <c r="K526" s="122"/>
      <c r="L526" s="121"/>
      <c r="M526" s="122"/>
      <c r="O526"/>
      <c r="P526"/>
    </row>
    <row r="527" spans="1:16" s="102" customFormat="1">
      <c r="A527" s="122"/>
      <c r="B527" s="122"/>
      <c r="C527" s="122"/>
      <c r="D527" s="122"/>
      <c r="E527" s="122"/>
      <c r="F527" s="122"/>
      <c r="G527" s="121"/>
      <c r="H527" s="122"/>
      <c r="I527" s="122"/>
      <c r="J527" s="122"/>
      <c r="K527" s="122"/>
      <c r="L527" s="121"/>
      <c r="M527" s="122"/>
      <c r="O527"/>
      <c r="P527"/>
    </row>
    <row r="528" spans="1:16" s="102" customFormat="1">
      <c r="A528" s="122"/>
      <c r="B528" s="122"/>
      <c r="C528" s="122"/>
      <c r="D528" s="122"/>
      <c r="E528" s="122"/>
      <c r="F528" s="122"/>
      <c r="G528" s="121"/>
      <c r="H528" s="122"/>
      <c r="I528" s="122"/>
      <c r="J528" s="122"/>
      <c r="K528" s="122"/>
      <c r="L528" s="121"/>
      <c r="M528" s="122"/>
      <c r="O528"/>
      <c r="P528"/>
    </row>
    <row r="529" spans="1:16" s="102" customFormat="1">
      <c r="A529" s="122"/>
      <c r="B529" s="122"/>
      <c r="C529" s="122"/>
      <c r="D529" s="122"/>
      <c r="E529" s="122"/>
      <c r="F529" s="122"/>
      <c r="G529" s="121"/>
      <c r="H529" s="122"/>
      <c r="I529" s="122"/>
      <c r="J529" s="122"/>
      <c r="K529" s="122"/>
      <c r="L529" s="121"/>
      <c r="M529" s="122"/>
      <c r="O529"/>
      <c r="P529"/>
    </row>
    <row r="530" spans="1:16" s="102" customFormat="1">
      <c r="A530" s="122"/>
      <c r="B530" s="122"/>
      <c r="C530" s="122"/>
      <c r="D530" s="122"/>
      <c r="E530" s="122"/>
      <c r="F530" s="122"/>
      <c r="G530" s="121"/>
      <c r="H530" s="122"/>
      <c r="I530" s="122"/>
      <c r="J530" s="122"/>
      <c r="K530" s="122"/>
      <c r="L530" s="121"/>
      <c r="M530" s="122"/>
      <c r="O530"/>
      <c r="P530"/>
    </row>
    <row r="531" spans="1:16" s="102" customFormat="1">
      <c r="A531" s="122"/>
      <c r="B531" s="122"/>
      <c r="C531" s="122"/>
      <c r="D531" s="122"/>
      <c r="E531" s="122"/>
      <c r="F531" s="122"/>
      <c r="G531" s="121"/>
      <c r="H531" s="122"/>
      <c r="I531" s="122"/>
      <c r="J531" s="122"/>
      <c r="K531" s="122"/>
      <c r="L531" s="121"/>
      <c r="M531" s="122"/>
      <c r="O531"/>
      <c r="P531"/>
    </row>
    <row r="532" spans="1:16" s="102" customFormat="1">
      <c r="A532" s="122"/>
      <c r="B532" s="122"/>
      <c r="C532" s="122"/>
      <c r="D532" s="122"/>
      <c r="E532" s="122"/>
      <c r="F532" s="122"/>
      <c r="G532" s="121"/>
      <c r="H532" s="122"/>
      <c r="I532" s="122"/>
      <c r="J532" s="122"/>
      <c r="K532" s="122"/>
      <c r="L532" s="121"/>
      <c r="M532" s="122"/>
      <c r="O532"/>
      <c r="P532"/>
    </row>
    <row r="533" spans="1:16" s="102" customFormat="1">
      <c r="A533" s="122"/>
      <c r="B533" s="122"/>
      <c r="C533" s="122"/>
      <c r="D533" s="122"/>
      <c r="E533" s="122"/>
      <c r="F533" s="122"/>
      <c r="G533" s="121"/>
      <c r="H533" s="122"/>
      <c r="I533" s="122"/>
      <c r="J533" s="122"/>
      <c r="K533" s="122"/>
      <c r="L533" s="121"/>
      <c r="M533" s="122"/>
      <c r="O533"/>
      <c r="P533"/>
    </row>
    <row r="534" spans="1:16" s="102" customFormat="1">
      <c r="A534" s="122"/>
      <c r="B534" s="122"/>
      <c r="C534" s="122"/>
      <c r="D534" s="122"/>
      <c r="E534" s="122"/>
      <c r="F534" s="122"/>
      <c r="G534" s="121"/>
      <c r="H534" s="122"/>
      <c r="I534" s="122"/>
      <c r="J534" s="122"/>
      <c r="K534" s="122"/>
      <c r="L534" s="121"/>
      <c r="M534" s="122"/>
      <c r="O534"/>
      <c r="P534"/>
    </row>
    <row r="535" spans="1:16" s="102" customFormat="1">
      <c r="A535" s="122"/>
      <c r="B535" s="122"/>
      <c r="C535" s="122"/>
      <c r="D535" s="122"/>
      <c r="E535" s="122"/>
      <c r="F535" s="122"/>
      <c r="G535" s="121"/>
      <c r="H535" s="122"/>
      <c r="I535" s="122"/>
      <c r="J535" s="122"/>
      <c r="K535" s="122"/>
      <c r="L535" s="121"/>
      <c r="M535" s="122"/>
      <c r="O535"/>
      <c r="P535"/>
    </row>
    <row r="536" spans="1:16" s="102" customFormat="1">
      <c r="A536" s="122"/>
      <c r="B536" s="122"/>
      <c r="C536" s="122"/>
      <c r="D536" s="122"/>
      <c r="E536" s="122"/>
      <c r="F536" s="122"/>
      <c r="G536" s="121"/>
      <c r="H536" s="122"/>
      <c r="I536" s="122"/>
      <c r="J536" s="122"/>
      <c r="K536" s="122"/>
      <c r="L536" s="121"/>
      <c r="M536" s="122"/>
      <c r="O536"/>
      <c r="P536"/>
    </row>
    <row r="537" spans="1:16" s="102" customFormat="1">
      <c r="A537" s="122"/>
      <c r="B537" s="122"/>
      <c r="C537" s="122"/>
      <c r="D537" s="122"/>
      <c r="E537" s="122"/>
      <c r="F537" s="122"/>
      <c r="G537" s="121"/>
      <c r="H537" s="122"/>
      <c r="I537" s="122"/>
      <c r="J537" s="122"/>
      <c r="K537" s="122"/>
      <c r="L537" s="121"/>
      <c r="M537" s="122"/>
      <c r="O537"/>
      <c r="P537"/>
    </row>
    <row r="538" spans="1:16" s="102" customFormat="1">
      <c r="A538" s="122"/>
      <c r="B538" s="122"/>
      <c r="C538" s="122"/>
      <c r="D538" s="122"/>
      <c r="E538" s="122"/>
      <c r="F538" s="122"/>
      <c r="G538" s="121"/>
      <c r="H538" s="122"/>
      <c r="I538" s="122"/>
      <c r="J538" s="122"/>
      <c r="K538" s="122"/>
      <c r="L538" s="121"/>
      <c r="M538" s="122"/>
      <c r="O538"/>
      <c r="P538"/>
    </row>
    <row r="539" spans="1:16" s="102" customFormat="1">
      <c r="A539" s="122"/>
      <c r="B539" s="122"/>
      <c r="C539" s="122"/>
      <c r="D539" s="122"/>
      <c r="E539" s="122"/>
      <c r="F539" s="122"/>
      <c r="G539" s="121"/>
      <c r="H539" s="122"/>
      <c r="I539" s="122"/>
      <c r="J539" s="122"/>
      <c r="K539" s="122"/>
      <c r="L539" s="121"/>
      <c r="M539" s="122"/>
      <c r="O539"/>
      <c r="P539"/>
    </row>
    <row r="540" spans="1:16" s="102" customFormat="1">
      <c r="A540" s="122"/>
      <c r="B540" s="122"/>
      <c r="C540" s="122"/>
      <c r="D540" s="122"/>
      <c r="E540" s="122"/>
      <c r="F540" s="122"/>
      <c r="G540" s="121"/>
      <c r="H540" s="122"/>
      <c r="I540" s="122"/>
      <c r="J540" s="122"/>
      <c r="K540" s="122"/>
      <c r="L540" s="121"/>
      <c r="M540" s="122"/>
      <c r="O540"/>
      <c r="P540"/>
    </row>
    <row r="541" spans="1:16" s="102" customFormat="1">
      <c r="A541" s="122"/>
      <c r="B541" s="122"/>
      <c r="C541" s="122"/>
      <c r="D541" s="122"/>
      <c r="E541" s="122"/>
      <c r="F541" s="122"/>
      <c r="G541" s="121"/>
      <c r="H541" s="122"/>
      <c r="I541" s="122"/>
      <c r="J541" s="122"/>
      <c r="K541" s="122"/>
      <c r="L541" s="121"/>
      <c r="M541" s="122"/>
      <c r="O541"/>
      <c r="P541"/>
    </row>
    <row r="542" spans="1:16" s="102" customFormat="1">
      <c r="A542" s="122"/>
      <c r="B542" s="122"/>
      <c r="C542" s="122"/>
      <c r="D542" s="122"/>
      <c r="E542" s="122"/>
      <c r="F542" s="122"/>
      <c r="G542" s="121"/>
      <c r="H542" s="122"/>
      <c r="I542" s="122"/>
      <c r="J542" s="122"/>
      <c r="K542" s="122"/>
      <c r="L542" s="121"/>
      <c r="M542" s="122"/>
      <c r="O542"/>
      <c r="P542"/>
    </row>
    <row r="543" spans="1:16" s="102" customFormat="1">
      <c r="A543" s="122"/>
      <c r="B543" s="122"/>
      <c r="C543" s="122"/>
      <c r="D543" s="122"/>
      <c r="E543" s="122"/>
      <c r="F543" s="122"/>
      <c r="G543" s="121"/>
      <c r="H543" s="122"/>
      <c r="I543" s="122"/>
      <c r="J543" s="122"/>
      <c r="K543" s="122"/>
      <c r="L543" s="121"/>
      <c r="M543" s="122"/>
      <c r="O543"/>
      <c r="P543"/>
    </row>
    <row r="544" spans="1:16" s="102" customFormat="1">
      <c r="A544" s="122"/>
      <c r="B544" s="122"/>
      <c r="C544" s="122"/>
      <c r="D544" s="122"/>
      <c r="E544" s="122"/>
      <c r="F544" s="122"/>
      <c r="G544" s="121"/>
      <c r="H544" s="122"/>
      <c r="I544" s="122"/>
      <c r="J544" s="122"/>
      <c r="K544" s="122"/>
      <c r="L544" s="121"/>
      <c r="M544" s="122"/>
      <c r="O544"/>
      <c r="P544"/>
    </row>
    <row r="545" spans="1:16" s="102" customFormat="1">
      <c r="A545" s="122"/>
      <c r="B545" s="122"/>
      <c r="C545" s="122"/>
      <c r="D545" s="122"/>
      <c r="E545" s="122"/>
      <c r="F545" s="122"/>
      <c r="G545" s="121"/>
      <c r="H545" s="122"/>
      <c r="I545" s="122"/>
      <c r="J545" s="122"/>
      <c r="K545" s="122"/>
      <c r="L545" s="121"/>
      <c r="M545" s="122"/>
      <c r="O545"/>
      <c r="P545"/>
    </row>
    <row r="546" spans="1:16" s="102" customFormat="1">
      <c r="A546" s="122"/>
      <c r="B546" s="122"/>
      <c r="C546" s="122"/>
      <c r="D546" s="122"/>
      <c r="E546" s="122"/>
      <c r="F546" s="122"/>
      <c r="G546" s="121"/>
      <c r="H546" s="122"/>
      <c r="I546" s="122"/>
      <c r="J546" s="122"/>
      <c r="K546" s="122"/>
      <c r="L546" s="121"/>
      <c r="M546" s="122"/>
      <c r="O546"/>
      <c r="P546"/>
    </row>
    <row r="547" spans="1:16" s="102" customFormat="1">
      <c r="A547" s="122"/>
      <c r="B547" s="122"/>
      <c r="C547" s="122"/>
      <c r="D547" s="122"/>
      <c r="E547" s="122"/>
      <c r="F547" s="122"/>
      <c r="G547" s="121"/>
      <c r="H547" s="122"/>
      <c r="I547" s="122"/>
      <c r="J547" s="122"/>
      <c r="K547" s="122"/>
      <c r="L547" s="121"/>
      <c r="M547" s="122"/>
      <c r="O547"/>
      <c r="P547"/>
    </row>
    <row r="548" spans="1:16" s="102" customFormat="1">
      <c r="A548" s="122"/>
      <c r="B548" s="122"/>
      <c r="C548" s="122"/>
      <c r="D548" s="122"/>
      <c r="E548" s="122"/>
      <c r="F548" s="122"/>
      <c r="G548" s="121"/>
      <c r="H548" s="122"/>
      <c r="I548" s="122"/>
      <c r="J548" s="122"/>
      <c r="K548" s="122"/>
      <c r="L548" s="121"/>
      <c r="M548" s="122"/>
      <c r="O548"/>
      <c r="P548"/>
    </row>
    <row r="549" spans="1:16" s="102" customFormat="1">
      <c r="A549" s="122"/>
      <c r="B549" s="122"/>
      <c r="C549" s="122"/>
      <c r="D549" s="122"/>
      <c r="E549" s="122"/>
      <c r="F549" s="122"/>
      <c r="G549" s="121"/>
      <c r="H549" s="122"/>
      <c r="I549" s="122"/>
      <c r="J549" s="122"/>
      <c r="K549" s="122"/>
      <c r="L549" s="121"/>
      <c r="M549" s="122"/>
      <c r="O549"/>
      <c r="P549"/>
    </row>
    <row r="550" spans="1:16" s="102" customFormat="1">
      <c r="A550" s="122"/>
      <c r="B550" s="122"/>
      <c r="C550" s="122"/>
      <c r="D550" s="122"/>
      <c r="E550" s="122"/>
      <c r="F550" s="122"/>
      <c r="G550" s="121"/>
      <c r="H550" s="122"/>
      <c r="I550" s="122"/>
      <c r="J550" s="122"/>
      <c r="K550" s="122"/>
      <c r="L550" s="121"/>
      <c r="M550" s="122"/>
      <c r="O550"/>
      <c r="P550"/>
    </row>
    <row r="551" spans="1:16" s="102" customFormat="1">
      <c r="A551" s="122"/>
      <c r="B551" s="122"/>
      <c r="C551" s="122"/>
      <c r="D551" s="122"/>
      <c r="E551" s="122"/>
      <c r="F551" s="122"/>
      <c r="G551" s="121"/>
      <c r="H551" s="122"/>
      <c r="I551" s="122"/>
      <c r="J551" s="122"/>
      <c r="K551" s="122"/>
      <c r="L551" s="121"/>
      <c r="M551" s="122"/>
      <c r="O551"/>
      <c r="P551"/>
    </row>
    <row r="552" spans="1:16" s="102" customFormat="1">
      <c r="A552" s="122"/>
      <c r="B552" s="122"/>
      <c r="C552" s="122"/>
      <c r="D552" s="122"/>
      <c r="E552" s="122"/>
      <c r="F552" s="122"/>
      <c r="G552" s="121"/>
      <c r="H552" s="122"/>
      <c r="I552" s="122"/>
      <c r="J552" s="122"/>
      <c r="K552" s="122"/>
      <c r="L552" s="121"/>
      <c r="M552" s="122"/>
      <c r="O552"/>
      <c r="P552"/>
    </row>
    <row r="553" spans="1:16" s="102" customFormat="1">
      <c r="A553" s="122"/>
      <c r="B553" s="122"/>
      <c r="C553" s="122"/>
      <c r="D553" s="122"/>
      <c r="E553" s="122"/>
      <c r="F553" s="122"/>
      <c r="G553" s="121"/>
      <c r="H553" s="122"/>
      <c r="I553" s="122"/>
      <c r="J553" s="122"/>
      <c r="K553" s="122"/>
      <c r="L553" s="121"/>
      <c r="M553" s="122"/>
      <c r="O553"/>
      <c r="P553"/>
    </row>
    <row r="554" spans="1:16" s="102" customFormat="1">
      <c r="A554" s="122"/>
      <c r="B554" s="122"/>
      <c r="C554" s="122"/>
      <c r="D554" s="122"/>
      <c r="E554" s="122"/>
      <c r="F554" s="122"/>
      <c r="G554" s="121"/>
      <c r="H554" s="122"/>
      <c r="I554" s="122"/>
      <c r="J554" s="122"/>
      <c r="K554" s="122"/>
      <c r="L554" s="121"/>
      <c r="M554" s="122"/>
      <c r="O554"/>
      <c r="P554"/>
    </row>
    <row r="555" spans="1:16" s="102" customFormat="1">
      <c r="A555" s="122"/>
      <c r="B555" s="122"/>
      <c r="C555" s="122"/>
      <c r="D555" s="122"/>
      <c r="E555" s="122"/>
      <c r="F555" s="122"/>
      <c r="G555" s="121"/>
      <c r="H555" s="122"/>
      <c r="I555" s="122"/>
      <c r="J555" s="122"/>
      <c r="K555" s="122"/>
      <c r="L555" s="121"/>
      <c r="M555" s="122"/>
      <c r="O555"/>
      <c r="P555"/>
    </row>
    <row r="556" spans="1:16" s="102" customFormat="1">
      <c r="A556" s="122"/>
      <c r="B556" s="122"/>
      <c r="C556" s="122"/>
      <c r="D556" s="122"/>
      <c r="E556" s="122"/>
      <c r="F556" s="122"/>
      <c r="G556" s="121"/>
      <c r="H556" s="122"/>
      <c r="I556" s="122"/>
      <c r="J556" s="122"/>
      <c r="K556" s="122"/>
      <c r="L556" s="121"/>
      <c r="M556" s="122"/>
      <c r="O556"/>
      <c r="P556"/>
    </row>
    <row r="557" spans="1:16" s="102" customFormat="1">
      <c r="A557" s="122"/>
      <c r="B557" s="122"/>
      <c r="C557" s="122"/>
      <c r="D557" s="122"/>
      <c r="E557" s="122"/>
      <c r="F557" s="122"/>
      <c r="G557" s="121"/>
      <c r="H557" s="122"/>
      <c r="I557" s="122"/>
      <c r="J557" s="122"/>
      <c r="K557" s="122"/>
      <c r="L557" s="121"/>
      <c r="M557" s="122"/>
      <c r="O557"/>
      <c r="P557"/>
    </row>
    <row r="558" spans="1:16" s="102" customFormat="1">
      <c r="A558" s="122"/>
      <c r="B558" s="122"/>
      <c r="C558" s="122"/>
      <c r="D558" s="122"/>
      <c r="E558" s="122"/>
      <c r="F558" s="122"/>
      <c r="G558" s="121"/>
      <c r="H558" s="122"/>
      <c r="I558" s="122"/>
      <c r="J558" s="122"/>
      <c r="K558" s="122"/>
      <c r="L558" s="121"/>
      <c r="M558" s="122"/>
      <c r="O558"/>
      <c r="P558"/>
    </row>
    <row r="559" spans="1:16" s="102" customFormat="1">
      <c r="A559" s="122"/>
      <c r="B559" s="122"/>
      <c r="C559" s="122"/>
      <c r="D559" s="122"/>
      <c r="E559" s="122"/>
      <c r="F559" s="122"/>
      <c r="G559" s="121"/>
      <c r="H559" s="122"/>
      <c r="I559" s="122"/>
      <c r="J559" s="122"/>
      <c r="K559" s="122"/>
      <c r="L559" s="121"/>
      <c r="M559" s="122"/>
      <c r="O559"/>
      <c r="P559"/>
    </row>
    <row r="560" spans="1:16" s="102" customFormat="1">
      <c r="A560" s="122"/>
      <c r="B560" s="122"/>
      <c r="C560" s="122"/>
      <c r="D560" s="122"/>
      <c r="E560" s="122"/>
      <c r="F560" s="122"/>
      <c r="G560" s="121"/>
      <c r="H560" s="122"/>
      <c r="I560" s="122"/>
      <c r="J560" s="122"/>
      <c r="K560" s="122"/>
      <c r="L560" s="121"/>
      <c r="M560" s="122"/>
      <c r="O560"/>
      <c r="P560"/>
    </row>
    <row r="561" spans="1:16" s="102" customFormat="1">
      <c r="A561" s="122"/>
      <c r="B561" s="122"/>
      <c r="C561" s="122"/>
      <c r="D561" s="122"/>
      <c r="E561" s="122"/>
      <c r="F561" s="122"/>
      <c r="G561" s="121"/>
      <c r="H561" s="122"/>
      <c r="I561" s="122"/>
      <c r="J561" s="122"/>
      <c r="K561" s="122"/>
      <c r="L561" s="121"/>
      <c r="M561" s="122"/>
      <c r="O561"/>
      <c r="P561"/>
    </row>
    <row r="562" spans="1:16" s="102" customFormat="1">
      <c r="A562" s="122"/>
      <c r="B562" s="122"/>
      <c r="C562" s="122"/>
      <c r="D562" s="122"/>
      <c r="E562" s="122"/>
      <c r="F562" s="122"/>
      <c r="G562" s="121"/>
      <c r="H562" s="122"/>
      <c r="I562" s="122"/>
      <c r="J562" s="122"/>
      <c r="K562" s="122"/>
      <c r="L562" s="121"/>
      <c r="M562" s="122"/>
      <c r="O562"/>
      <c r="P562"/>
    </row>
    <row r="563" spans="1:16" s="102" customFormat="1">
      <c r="A563" s="122"/>
      <c r="B563" s="122"/>
      <c r="C563" s="122"/>
      <c r="D563" s="122"/>
      <c r="E563" s="122"/>
      <c r="F563" s="122"/>
      <c r="G563" s="121"/>
      <c r="H563" s="122"/>
      <c r="I563" s="122"/>
      <c r="J563" s="122"/>
      <c r="K563" s="122"/>
      <c r="L563" s="121"/>
      <c r="M563" s="122"/>
      <c r="O563"/>
      <c r="P563"/>
    </row>
    <row r="564" spans="1:16" s="102" customFormat="1">
      <c r="A564" s="122"/>
      <c r="B564" s="122"/>
      <c r="C564" s="122"/>
      <c r="D564" s="122"/>
      <c r="E564" s="122"/>
      <c r="F564" s="122"/>
      <c r="G564" s="121"/>
      <c r="H564" s="122"/>
      <c r="I564" s="122"/>
      <c r="J564" s="122"/>
      <c r="K564" s="122"/>
      <c r="L564" s="121"/>
      <c r="M564" s="122"/>
      <c r="O564"/>
      <c r="P564"/>
    </row>
    <row r="565" spans="1:16" s="102" customFormat="1">
      <c r="A565" s="122"/>
      <c r="B565" s="122"/>
      <c r="C565" s="122"/>
      <c r="D565" s="122"/>
      <c r="E565" s="122"/>
      <c r="F565" s="122"/>
      <c r="G565" s="121"/>
      <c r="H565" s="122"/>
      <c r="I565" s="122"/>
      <c r="J565" s="122"/>
      <c r="K565" s="122"/>
      <c r="L565" s="121"/>
      <c r="M565" s="122"/>
      <c r="O565"/>
      <c r="P565"/>
    </row>
    <row r="566" spans="1:16" s="102" customFormat="1">
      <c r="A566" s="122"/>
      <c r="B566" s="122"/>
      <c r="C566" s="122"/>
      <c r="D566" s="122"/>
      <c r="E566" s="122"/>
      <c r="F566" s="122"/>
      <c r="G566" s="121"/>
      <c r="H566" s="122"/>
      <c r="I566" s="122"/>
      <c r="J566" s="122"/>
      <c r="K566" s="122"/>
      <c r="L566" s="121"/>
      <c r="M566" s="122"/>
      <c r="O566"/>
      <c r="P566"/>
    </row>
    <row r="567" spans="1:16" s="102" customFormat="1">
      <c r="A567" s="122"/>
      <c r="B567" s="122"/>
      <c r="C567" s="122"/>
      <c r="D567" s="122"/>
      <c r="E567" s="122"/>
      <c r="F567" s="122"/>
      <c r="G567" s="121"/>
      <c r="H567" s="122"/>
      <c r="I567" s="122"/>
      <c r="J567" s="122"/>
      <c r="K567" s="122"/>
      <c r="L567" s="121"/>
      <c r="M567" s="122"/>
      <c r="O567"/>
      <c r="P567"/>
    </row>
    <row r="568" spans="1:16" s="102" customFormat="1">
      <c r="A568" s="122"/>
      <c r="B568" s="122"/>
      <c r="C568" s="122"/>
      <c r="D568" s="122"/>
      <c r="E568" s="122"/>
      <c r="F568" s="122"/>
      <c r="G568" s="121"/>
      <c r="H568" s="122"/>
      <c r="I568" s="122"/>
      <c r="J568" s="122"/>
      <c r="K568" s="122"/>
      <c r="L568" s="121"/>
      <c r="M568" s="122"/>
      <c r="O568"/>
      <c r="P568"/>
    </row>
    <row r="569" spans="1:16" s="102" customFormat="1">
      <c r="A569" s="122"/>
      <c r="B569" s="122"/>
      <c r="C569" s="122"/>
      <c r="D569" s="122"/>
      <c r="E569" s="122"/>
      <c r="F569" s="122"/>
      <c r="G569" s="121"/>
      <c r="H569" s="122"/>
      <c r="I569" s="122"/>
      <c r="J569" s="122"/>
      <c r="K569" s="122"/>
      <c r="L569" s="121"/>
      <c r="M569" s="122"/>
      <c r="O569"/>
      <c r="P569"/>
    </row>
    <row r="570" spans="1:16" s="102" customFormat="1">
      <c r="A570" s="122"/>
      <c r="B570" s="122"/>
      <c r="C570" s="122"/>
      <c r="D570" s="122"/>
      <c r="E570" s="122"/>
      <c r="F570" s="122"/>
      <c r="G570" s="121"/>
      <c r="H570" s="122"/>
      <c r="I570" s="122"/>
      <c r="J570" s="122"/>
      <c r="K570" s="122"/>
      <c r="L570" s="121"/>
      <c r="M570" s="122"/>
      <c r="O570"/>
      <c r="P570"/>
    </row>
    <row r="571" spans="1:16" s="102" customFormat="1">
      <c r="A571" s="122"/>
      <c r="B571" s="122"/>
      <c r="C571" s="122"/>
      <c r="D571" s="122"/>
      <c r="E571" s="122"/>
      <c r="F571" s="122"/>
      <c r="G571" s="121"/>
      <c r="H571" s="122"/>
      <c r="I571" s="122"/>
      <c r="J571" s="122"/>
      <c r="K571" s="122"/>
      <c r="L571" s="121"/>
      <c r="M571" s="122"/>
      <c r="O571"/>
      <c r="P571"/>
    </row>
    <row r="572" spans="1:16" s="102" customFormat="1">
      <c r="A572" s="122"/>
      <c r="B572" s="122"/>
      <c r="C572" s="122"/>
      <c r="D572" s="122"/>
      <c r="E572" s="122"/>
      <c r="F572" s="122"/>
      <c r="G572" s="121"/>
      <c r="H572" s="122"/>
      <c r="I572" s="122"/>
      <c r="J572" s="122"/>
      <c r="K572" s="122"/>
      <c r="L572" s="121"/>
      <c r="M572" s="122"/>
      <c r="O572"/>
      <c r="P572"/>
    </row>
    <row r="573" spans="1:16" s="102" customFormat="1">
      <c r="A573" s="122"/>
      <c r="B573" s="122"/>
      <c r="C573" s="122"/>
      <c r="D573" s="122"/>
      <c r="E573" s="122"/>
      <c r="F573" s="122"/>
      <c r="G573" s="121"/>
      <c r="H573" s="122"/>
      <c r="I573" s="122"/>
      <c r="J573" s="122"/>
      <c r="K573" s="122"/>
      <c r="L573" s="121"/>
      <c r="M573" s="122"/>
      <c r="O573"/>
      <c r="P573"/>
    </row>
    <row r="574" spans="1:16" s="102" customFormat="1">
      <c r="A574" s="122"/>
      <c r="B574" s="122"/>
      <c r="C574" s="122"/>
      <c r="D574" s="122"/>
      <c r="E574" s="122"/>
      <c r="F574" s="122"/>
      <c r="G574" s="121"/>
      <c r="H574" s="122"/>
      <c r="I574" s="122"/>
      <c r="J574" s="122"/>
      <c r="K574" s="122"/>
      <c r="L574" s="121"/>
      <c r="M574" s="122"/>
      <c r="O574"/>
      <c r="P574"/>
    </row>
    <row r="575" spans="1:16" s="102" customFormat="1">
      <c r="A575" s="122"/>
      <c r="B575" s="122"/>
      <c r="C575" s="122"/>
      <c r="D575" s="122"/>
      <c r="E575" s="122"/>
      <c r="F575" s="122"/>
      <c r="G575" s="121"/>
      <c r="H575" s="122"/>
      <c r="I575" s="122"/>
      <c r="J575" s="122"/>
      <c r="K575" s="122"/>
      <c r="L575" s="121"/>
      <c r="M575" s="122"/>
      <c r="O575"/>
      <c r="P575"/>
    </row>
    <row r="576" spans="1:16" s="102" customFormat="1">
      <c r="A576" s="122"/>
      <c r="B576" s="122"/>
      <c r="C576" s="122"/>
      <c r="D576" s="122"/>
      <c r="E576" s="122"/>
      <c r="F576" s="122"/>
      <c r="G576" s="121"/>
      <c r="H576" s="122"/>
      <c r="I576" s="122"/>
      <c r="J576" s="122"/>
      <c r="K576" s="122"/>
      <c r="L576" s="121"/>
      <c r="M576" s="122"/>
      <c r="O576"/>
      <c r="P576"/>
    </row>
    <row r="577" spans="1:16" s="102" customFormat="1">
      <c r="A577" s="122"/>
      <c r="B577" s="122"/>
      <c r="C577" s="122"/>
      <c r="D577" s="122"/>
      <c r="E577" s="122"/>
      <c r="F577" s="122"/>
      <c r="G577" s="121"/>
      <c r="H577" s="122"/>
      <c r="I577" s="122"/>
      <c r="J577" s="122"/>
      <c r="K577" s="122"/>
      <c r="L577" s="121"/>
      <c r="M577" s="122"/>
      <c r="O577"/>
      <c r="P577"/>
    </row>
    <row r="578" spans="1:16" s="102" customFormat="1">
      <c r="A578" s="122"/>
      <c r="B578" s="122"/>
      <c r="C578" s="122"/>
      <c r="D578" s="122"/>
      <c r="E578" s="122"/>
      <c r="F578" s="122"/>
      <c r="G578" s="121"/>
      <c r="H578" s="122"/>
      <c r="I578" s="122"/>
      <c r="J578" s="122"/>
      <c r="K578" s="122"/>
      <c r="L578" s="121"/>
      <c r="M578" s="122"/>
      <c r="O578"/>
      <c r="P578"/>
    </row>
    <row r="579" spans="1:16" s="102" customFormat="1">
      <c r="A579" s="122"/>
      <c r="B579" s="122"/>
      <c r="C579" s="122"/>
      <c r="D579" s="122"/>
      <c r="E579" s="122"/>
      <c r="F579" s="122"/>
      <c r="G579" s="121"/>
      <c r="H579" s="122"/>
      <c r="I579" s="122"/>
      <c r="J579" s="122"/>
      <c r="K579" s="122"/>
      <c r="L579" s="121"/>
      <c r="M579" s="122"/>
      <c r="O579"/>
      <c r="P579"/>
    </row>
    <row r="580" spans="1:16" s="102" customFormat="1">
      <c r="A580" s="122"/>
      <c r="B580" s="122"/>
      <c r="C580" s="122"/>
      <c r="D580" s="122"/>
      <c r="E580" s="122"/>
      <c r="F580" s="122"/>
      <c r="G580" s="121"/>
      <c r="H580" s="122"/>
      <c r="I580" s="122"/>
      <c r="J580" s="122"/>
      <c r="K580" s="122"/>
      <c r="L580" s="121"/>
      <c r="M580" s="122"/>
      <c r="O580"/>
      <c r="P580"/>
    </row>
    <row r="581" spans="1:16" s="102" customFormat="1">
      <c r="A581" s="122"/>
      <c r="B581" s="122"/>
      <c r="C581" s="122"/>
      <c r="D581" s="122"/>
      <c r="E581" s="122"/>
      <c r="F581" s="122"/>
      <c r="G581" s="121"/>
      <c r="H581" s="122"/>
      <c r="I581" s="122"/>
      <c r="J581" s="122"/>
      <c r="K581" s="122"/>
      <c r="L581" s="121"/>
      <c r="M581" s="122"/>
      <c r="O581"/>
      <c r="P581"/>
    </row>
    <row r="582" spans="1:16" s="102" customFormat="1">
      <c r="A582" s="122"/>
      <c r="B582" s="122"/>
      <c r="C582" s="122"/>
      <c r="D582" s="122"/>
      <c r="E582" s="122"/>
      <c r="F582" s="122"/>
      <c r="G582" s="121"/>
      <c r="H582" s="122"/>
      <c r="I582" s="122"/>
      <c r="J582" s="122"/>
      <c r="K582" s="122"/>
      <c r="L582" s="121"/>
      <c r="M582" s="122"/>
      <c r="O582"/>
      <c r="P582"/>
    </row>
    <row r="583" spans="1:16" s="102" customFormat="1">
      <c r="A583" s="122"/>
      <c r="B583" s="122"/>
      <c r="C583" s="122"/>
      <c r="D583" s="122"/>
      <c r="E583" s="122"/>
      <c r="F583" s="122"/>
      <c r="G583" s="121"/>
      <c r="H583" s="122"/>
      <c r="I583" s="122"/>
      <c r="J583" s="122"/>
      <c r="K583" s="122"/>
      <c r="L583" s="121"/>
      <c r="M583" s="122"/>
      <c r="O583"/>
      <c r="P583"/>
    </row>
    <row r="584" spans="1:16" s="102" customFormat="1">
      <c r="A584" s="122"/>
      <c r="B584" s="122"/>
      <c r="C584" s="122"/>
      <c r="D584" s="122"/>
      <c r="E584" s="122"/>
      <c r="F584" s="122"/>
      <c r="G584" s="121"/>
      <c r="H584" s="122"/>
      <c r="I584" s="122"/>
      <c r="J584" s="122"/>
      <c r="K584" s="122"/>
      <c r="L584" s="121"/>
      <c r="M584" s="122"/>
      <c r="O584"/>
      <c r="P584"/>
    </row>
    <row r="585" spans="1:16" s="102" customFormat="1">
      <c r="A585" s="122"/>
      <c r="B585" s="122"/>
      <c r="C585" s="122"/>
      <c r="D585" s="122"/>
      <c r="E585" s="122"/>
      <c r="F585" s="122"/>
      <c r="G585" s="121"/>
      <c r="H585" s="122"/>
      <c r="I585" s="122"/>
      <c r="J585" s="122"/>
      <c r="K585" s="122"/>
      <c r="L585" s="121"/>
      <c r="M585" s="122"/>
      <c r="O585"/>
      <c r="P585"/>
    </row>
    <row r="586" spans="1:16" s="102" customFormat="1">
      <c r="A586" s="122"/>
      <c r="B586" s="122"/>
      <c r="C586" s="122"/>
      <c r="D586" s="122"/>
      <c r="E586" s="122"/>
      <c r="F586" s="122"/>
      <c r="G586" s="121"/>
      <c r="H586" s="122"/>
      <c r="I586" s="122"/>
      <c r="J586" s="122"/>
      <c r="K586" s="122"/>
      <c r="L586" s="121"/>
      <c r="M586" s="122"/>
      <c r="O586"/>
      <c r="P586"/>
    </row>
    <row r="587" spans="1:16" s="102" customFormat="1">
      <c r="A587" s="122"/>
      <c r="B587" s="122"/>
      <c r="C587" s="122"/>
      <c r="D587" s="122"/>
      <c r="E587" s="122"/>
      <c r="F587" s="122"/>
      <c r="G587" s="121"/>
      <c r="H587" s="122"/>
      <c r="I587" s="122"/>
      <c r="J587" s="122"/>
      <c r="K587" s="122"/>
      <c r="L587" s="121"/>
      <c r="M587" s="122"/>
      <c r="O587"/>
      <c r="P587"/>
    </row>
    <row r="588" spans="1:16" s="102" customFormat="1">
      <c r="A588" s="122"/>
      <c r="B588" s="122"/>
      <c r="C588" s="122"/>
      <c r="D588" s="122"/>
      <c r="E588" s="122"/>
      <c r="F588" s="122"/>
      <c r="G588" s="121"/>
      <c r="H588" s="122"/>
      <c r="I588" s="122"/>
      <c r="J588" s="122"/>
      <c r="K588" s="122"/>
      <c r="L588" s="121"/>
      <c r="M588" s="122"/>
      <c r="O588"/>
      <c r="P588"/>
    </row>
    <row r="589" spans="1:16" s="102" customFormat="1">
      <c r="A589" s="122"/>
      <c r="B589" s="122"/>
      <c r="C589" s="122"/>
      <c r="D589" s="122"/>
      <c r="E589" s="122"/>
      <c r="F589" s="122"/>
      <c r="G589" s="121"/>
      <c r="H589" s="122"/>
      <c r="I589" s="122"/>
      <c r="J589" s="122"/>
      <c r="K589" s="122"/>
      <c r="L589" s="121"/>
      <c r="M589" s="122"/>
      <c r="O589"/>
      <c r="P589"/>
    </row>
    <row r="590" spans="1:16" s="102" customFormat="1">
      <c r="A590" s="122"/>
      <c r="B590" s="122"/>
      <c r="C590" s="122"/>
      <c r="D590" s="122"/>
      <c r="E590" s="122"/>
      <c r="F590" s="122"/>
      <c r="G590" s="121"/>
      <c r="H590" s="122"/>
      <c r="I590" s="122"/>
      <c r="J590" s="122"/>
      <c r="K590" s="122"/>
      <c r="L590" s="121"/>
      <c r="M590" s="122"/>
      <c r="O590"/>
      <c r="P590"/>
    </row>
    <row r="591" spans="1:16" s="102" customFormat="1">
      <c r="A591" s="122"/>
      <c r="B591" s="122"/>
      <c r="C591" s="122"/>
      <c r="D591" s="122"/>
      <c r="E591" s="122"/>
      <c r="F591" s="122"/>
      <c r="G591" s="121"/>
      <c r="H591" s="122"/>
      <c r="I591" s="122"/>
      <c r="J591" s="122"/>
      <c r="K591" s="122"/>
      <c r="L591" s="121"/>
      <c r="M591" s="122"/>
      <c r="O591"/>
      <c r="P591"/>
    </row>
    <row r="592" spans="1:16" s="102" customFormat="1">
      <c r="A592" s="122"/>
      <c r="B592" s="122"/>
      <c r="C592" s="122"/>
      <c r="D592" s="122"/>
      <c r="E592" s="122"/>
      <c r="F592" s="122"/>
      <c r="G592" s="121"/>
      <c r="H592" s="122"/>
      <c r="I592" s="122"/>
      <c r="J592" s="122"/>
      <c r="K592" s="122"/>
      <c r="L592" s="121"/>
      <c r="M592" s="122"/>
      <c r="O592"/>
      <c r="P592"/>
    </row>
    <row r="593" spans="1:16" s="102" customFormat="1">
      <c r="A593" s="122"/>
      <c r="B593" s="122"/>
      <c r="C593" s="122"/>
      <c r="D593" s="122"/>
      <c r="E593" s="122"/>
      <c r="F593" s="122"/>
      <c r="G593" s="121"/>
      <c r="H593" s="122"/>
      <c r="I593" s="122"/>
      <c r="J593" s="122"/>
      <c r="K593" s="122"/>
      <c r="L593" s="121"/>
      <c r="M593" s="122"/>
      <c r="O593"/>
      <c r="P593"/>
    </row>
    <row r="594" spans="1:16" s="102" customFormat="1">
      <c r="A594" s="122"/>
      <c r="B594" s="122"/>
      <c r="C594" s="122"/>
      <c r="D594" s="122"/>
      <c r="E594" s="122"/>
      <c r="F594" s="122"/>
      <c r="G594" s="121"/>
      <c r="H594" s="122"/>
      <c r="I594" s="122"/>
      <c r="J594" s="122"/>
      <c r="K594" s="122"/>
      <c r="L594" s="121"/>
      <c r="M594" s="122"/>
      <c r="O594"/>
      <c r="P594"/>
    </row>
    <row r="595" spans="1:16" s="102" customFormat="1">
      <c r="A595" s="122"/>
      <c r="B595" s="122"/>
      <c r="C595" s="122"/>
      <c r="D595" s="122"/>
      <c r="E595" s="122"/>
      <c r="F595" s="122"/>
      <c r="G595" s="121"/>
      <c r="H595" s="122"/>
      <c r="I595" s="122"/>
      <c r="J595" s="122"/>
      <c r="K595" s="122"/>
      <c r="L595" s="121"/>
      <c r="M595" s="122"/>
      <c r="O595"/>
      <c r="P595"/>
    </row>
    <row r="596" spans="1:16" s="102" customFormat="1">
      <c r="A596" s="122"/>
      <c r="B596" s="122"/>
      <c r="C596" s="122"/>
      <c r="D596" s="122"/>
      <c r="E596" s="122"/>
      <c r="F596" s="122"/>
      <c r="G596" s="121"/>
      <c r="H596" s="122"/>
      <c r="I596" s="122"/>
      <c r="J596" s="122"/>
      <c r="K596" s="122"/>
      <c r="L596" s="121"/>
      <c r="M596" s="122"/>
      <c r="O596"/>
      <c r="P596"/>
    </row>
    <row r="597" spans="1:16" s="102" customFormat="1">
      <c r="A597" s="122"/>
      <c r="B597" s="122"/>
      <c r="C597" s="122"/>
      <c r="D597" s="122"/>
      <c r="E597" s="122"/>
      <c r="F597" s="122"/>
      <c r="G597" s="121"/>
      <c r="H597" s="122"/>
      <c r="I597" s="122"/>
      <c r="J597" s="122"/>
      <c r="K597" s="122"/>
      <c r="L597" s="121"/>
      <c r="M597" s="122"/>
      <c r="O597"/>
      <c r="P597"/>
    </row>
    <row r="598" spans="1:16" s="102" customFormat="1">
      <c r="A598" s="122"/>
      <c r="B598" s="122"/>
      <c r="C598" s="122"/>
      <c r="D598" s="122"/>
      <c r="E598" s="122"/>
      <c r="F598" s="122"/>
      <c r="G598" s="121"/>
      <c r="H598" s="122"/>
      <c r="I598" s="122"/>
      <c r="J598" s="122"/>
      <c r="K598" s="122"/>
      <c r="L598" s="121"/>
      <c r="M598" s="122"/>
      <c r="O598"/>
      <c r="P598"/>
    </row>
    <row r="599" spans="1:16" s="102" customFormat="1">
      <c r="A599" s="122"/>
      <c r="B599" s="122"/>
      <c r="C599" s="122"/>
      <c r="D599" s="122"/>
      <c r="E599" s="122"/>
      <c r="F599" s="122"/>
      <c r="G599" s="121"/>
      <c r="H599" s="122"/>
      <c r="I599" s="122"/>
      <c r="J599" s="122"/>
      <c r="K599" s="122"/>
      <c r="L599" s="121"/>
      <c r="M599" s="122"/>
      <c r="O599"/>
      <c r="P599"/>
    </row>
    <row r="600" spans="1:16" s="102" customFormat="1">
      <c r="A600" s="122"/>
      <c r="B600" s="122"/>
      <c r="C600" s="122"/>
      <c r="D600" s="122"/>
      <c r="E600" s="122"/>
      <c r="F600" s="122"/>
      <c r="G600" s="121"/>
      <c r="H600" s="122"/>
      <c r="I600" s="122"/>
      <c r="J600" s="122"/>
      <c r="K600" s="122"/>
      <c r="L600" s="121"/>
      <c r="M600" s="122"/>
      <c r="O600"/>
      <c r="P600"/>
    </row>
    <row r="601" spans="1:16" s="102" customFormat="1">
      <c r="A601" s="122"/>
      <c r="B601" s="122"/>
      <c r="C601" s="122"/>
      <c r="D601" s="122"/>
      <c r="E601" s="122"/>
      <c r="F601" s="122"/>
      <c r="G601" s="121"/>
      <c r="H601" s="122"/>
      <c r="I601" s="122"/>
      <c r="J601" s="122"/>
      <c r="K601" s="122"/>
      <c r="L601" s="121"/>
      <c r="M601" s="122"/>
      <c r="O601"/>
      <c r="P601"/>
    </row>
    <row r="602" spans="1:16" s="102" customFormat="1">
      <c r="A602" s="122"/>
      <c r="B602" s="122"/>
      <c r="C602" s="122"/>
      <c r="D602" s="122"/>
      <c r="E602" s="122"/>
      <c r="F602" s="122"/>
      <c r="G602" s="121"/>
      <c r="H602" s="122"/>
      <c r="I602" s="122"/>
      <c r="J602" s="122"/>
      <c r="K602" s="122"/>
      <c r="L602" s="121"/>
      <c r="M602" s="122"/>
      <c r="O602"/>
      <c r="P602"/>
    </row>
    <row r="603" spans="1:16" s="102" customFormat="1">
      <c r="A603" s="122"/>
      <c r="B603" s="122"/>
      <c r="C603" s="122"/>
      <c r="D603" s="122"/>
      <c r="E603" s="122"/>
      <c r="F603" s="122"/>
      <c r="G603" s="121"/>
      <c r="H603" s="122"/>
      <c r="I603" s="122"/>
      <c r="J603" s="122"/>
      <c r="K603" s="122"/>
      <c r="L603" s="121"/>
      <c r="M603" s="122"/>
      <c r="O603"/>
      <c r="P603"/>
    </row>
    <row r="604" spans="1:16" s="102" customFormat="1">
      <c r="A604" s="122"/>
      <c r="B604" s="122"/>
      <c r="C604" s="122"/>
      <c r="D604" s="122"/>
      <c r="E604" s="122"/>
      <c r="F604" s="122"/>
      <c r="G604" s="121"/>
      <c r="H604" s="122"/>
      <c r="I604" s="122"/>
      <c r="J604" s="122"/>
      <c r="K604" s="122"/>
      <c r="L604" s="121"/>
      <c r="M604" s="122"/>
      <c r="O604"/>
      <c r="P604"/>
    </row>
    <row r="605" spans="1:16" s="102" customFormat="1">
      <c r="A605" s="122"/>
      <c r="B605" s="122"/>
      <c r="C605" s="122"/>
      <c r="D605" s="122"/>
      <c r="E605" s="122"/>
      <c r="F605" s="122"/>
      <c r="G605" s="121"/>
      <c r="H605" s="122"/>
      <c r="I605" s="122"/>
      <c r="J605" s="122"/>
      <c r="K605" s="122"/>
      <c r="L605" s="121"/>
      <c r="M605" s="122"/>
      <c r="O605"/>
      <c r="P605"/>
    </row>
    <row r="606" spans="1:16" s="102" customFormat="1">
      <c r="A606" s="122"/>
      <c r="B606" s="122"/>
      <c r="C606" s="122"/>
      <c r="D606" s="122"/>
      <c r="E606" s="122"/>
      <c r="F606" s="122"/>
      <c r="G606" s="121"/>
      <c r="H606" s="122"/>
      <c r="I606" s="122"/>
      <c r="J606" s="122"/>
      <c r="K606" s="122"/>
      <c r="L606" s="121"/>
      <c r="M606" s="122"/>
      <c r="O606"/>
      <c r="P606"/>
    </row>
    <row r="607" spans="1:16" s="102" customFormat="1">
      <c r="A607" s="122"/>
      <c r="B607" s="122"/>
      <c r="C607" s="122"/>
      <c r="D607" s="122"/>
      <c r="E607" s="122"/>
      <c r="F607" s="122"/>
      <c r="G607" s="121"/>
      <c r="H607" s="122"/>
      <c r="I607" s="122"/>
      <c r="J607" s="122"/>
      <c r="K607" s="122"/>
      <c r="L607" s="121"/>
      <c r="M607" s="122"/>
      <c r="O607"/>
      <c r="P607"/>
    </row>
    <row r="608" spans="1:16" s="102" customFormat="1">
      <c r="A608" s="122"/>
      <c r="B608" s="122"/>
      <c r="C608" s="122"/>
      <c r="D608" s="122"/>
      <c r="E608" s="122"/>
      <c r="F608" s="122"/>
      <c r="G608" s="121"/>
      <c r="H608" s="122"/>
      <c r="I608" s="122"/>
      <c r="J608" s="122"/>
      <c r="K608" s="122"/>
      <c r="L608" s="121"/>
      <c r="M608" s="122"/>
      <c r="O608"/>
      <c r="P608"/>
    </row>
    <row r="609" spans="1:16" s="102" customFormat="1">
      <c r="A609" s="122"/>
      <c r="B609" s="122"/>
      <c r="C609" s="122"/>
      <c r="D609" s="122"/>
      <c r="E609" s="122"/>
      <c r="F609" s="122"/>
      <c r="G609" s="121"/>
      <c r="H609" s="122"/>
      <c r="I609" s="122"/>
      <c r="J609" s="122"/>
      <c r="K609" s="122"/>
      <c r="L609" s="121"/>
      <c r="M609" s="122"/>
      <c r="O609"/>
      <c r="P609"/>
    </row>
    <row r="610" spans="1:16" s="102" customFormat="1">
      <c r="A610" s="122"/>
      <c r="B610" s="122"/>
      <c r="C610" s="122"/>
      <c r="D610" s="122"/>
      <c r="E610" s="122"/>
      <c r="F610" s="122"/>
      <c r="G610" s="121"/>
      <c r="H610" s="122"/>
      <c r="I610" s="122"/>
      <c r="J610" s="122"/>
      <c r="K610" s="122"/>
      <c r="L610" s="121"/>
      <c r="M610" s="122"/>
      <c r="O610"/>
      <c r="P610"/>
    </row>
    <row r="611" spans="1:16" s="102" customFormat="1">
      <c r="A611" s="122"/>
      <c r="B611" s="122"/>
      <c r="C611" s="122"/>
      <c r="D611" s="122"/>
      <c r="E611" s="122"/>
      <c r="F611" s="122"/>
      <c r="G611" s="121"/>
      <c r="H611" s="122"/>
      <c r="I611" s="122"/>
      <c r="J611" s="122"/>
      <c r="K611" s="122"/>
      <c r="L611" s="121"/>
      <c r="M611" s="122"/>
      <c r="O611"/>
      <c r="P611"/>
    </row>
    <row r="612" spans="1:16" s="102" customFormat="1">
      <c r="A612" s="122"/>
      <c r="B612" s="122"/>
      <c r="C612" s="122"/>
      <c r="D612" s="122"/>
      <c r="E612" s="122"/>
      <c r="F612" s="122"/>
      <c r="G612" s="121"/>
      <c r="H612" s="122"/>
      <c r="I612" s="122"/>
      <c r="J612" s="122"/>
      <c r="K612" s="122"/>
      <c r="L612" s="121"/>
      <c r="M612" s="122"/>
      <c r="O612"/>
      <c r="P612"/>
    </row>
    <row r="613" spans="1:16" s="102" customFormat="1">
      <c r="A613" s="122"/>
      <c r="B613" s="122"/>
      <c r="C613" s="122"/>
      <c r="D613" s="122"/>
      <c r="E613" s="122"/>
      <c r="F613" s="122"/>
      <c r="G613" s="121"/>
      <c r="H613" s="122"/>
      <c r="I613" s="122"/>
      <c r="J613" s="122"/>
      <c r="K613" s="122"/>
      <c r="L613" s="121"/>
      <c r="M613" s="122"/>
      <c r="O613"/>
      <c r="P613"/>
    </row>
    <row r="614" spans="1:16" s="102" customFormat="1">
      <c r="A614" s="122"/>
      <c r="B614" s="122"/>
      <c r="C614" s="122"/>
      <c r="D614" s="122"/>
      <c r="E614" s="122"/>
      <c r="F614" s="122"/>
      <c r="G614" s="121"/>
      <c r="H614" s="122"/>
      <c r="I614" s="122"/>
      <c r="J614" s="122"/>
      <c r="K614" s="122"/>
      <c r="L614" s="121"/>
      <c r="M614" s="122"/>
      <c r="O614"/>
      <c r="P614"/>
    </row>
    <row r="615" spans="1:16" s="102" customFormat="1">
      <c r="A615" s="122"/>
      <c r="B615" s="122"/>
      <c r="C615" s="122"/>
      <c r="D615" s="122"/>
      <c r="E615" s="122"/>
      <c r="F615" s="122"/>
      <c r="G615" s="121"/>
      <c r="H615" s="122"/>
      <c r="I615" s="122"/>
      <c r="J615" s="122"/>
      <c r="K615" s="122"/>
      <c r="L615" s="121"/>
      <c r="M615" s="122"/>
      <c r="O615"/>
      <c r="P615"/>
    </row>
    <row r="616" spans="1:16" s="102" customFormat="1">
      <c r="A616" s="122"/>
      <c r="B616" s="122"/>
      <c r="C616" s="122"/>
      <c r="D616" s="122"/>
      <c r="E616" s="122"/>
      <c r="F616" s="122"/>
      <c r="G616" s="121"/>
      <c r="H616" s="122"/>
      <c r="I616" s="122"/>
      <c r="J616" s="122"/>
      <c r="K616" s="122"/>
      <c r="L616" s="121"/>
      <c r="M616" s="122"/>
      <c r="O616"/>
      <c r="P616"/>
    </row>
    <row r="617" spans="1:16" s="102" customFormat="1">
      <c r="A617" s="122"/>
      <c r="B617" s="122"/>
      <c r="C617" s="122"/>
      <c r="D617" s="122"/>
      <c r="E617" s="122"/>
      <c r="F617" s="122"/>
      <c r="G617" s="121"/>
      <c r="H617" s="122"/>
      <c r="I617" s="122"/>
      <c r="J617" s="122"/>
      <c r="K617" s="122"/>
      <c r="L617" s="121"/>
      <c r="M617" s="122"/>
      <c r="O617"/>
      <c r="P617"/>
    </row>
    <row r="618" spans="1:16" s="102" customFormat="1">
      <c r="A618" s="122"/>
      <c r="B618" s="122"/>
      <c r="C618" s="122"/>
      <c r="D618" s="122"/>
      <c r="E618" s="122"/>
      <c r="F618" s="122"/>
      <c r="G618" s="121"/>
      <c r="H618" s="122"/>
      <c r="I618" s="122"/>
      <c r="J618" s="122"/>
      <c r="K618" s="122"/>
      <c r="L618" s="121"/>
      <c r="M618" s="122"/>
      <c r="O618"/>
      <c r="P618"/>
    </row>
    <row r="619" spans="1:16" s="102" customFormat="1">
      <c r="A619" s="122"/>
      <c r="B619" s="122"/>
      <c r="C619" s="122"/>
      <c r="D619" s="122"/>
      <c r="E619" s="122"/>
      <c r="F619" s="122"/>
      <c r="G619" s="121"/>
      <c r="H619" s="122"/>
      <c r="I619" s="122"/>
      <c r="J619" s="122"/>
      <c r="K619" s="122"/>
      <c r="L619" s="121"/>
      <c r="M619" s="122"/>
      <c r="O619"/>
      <c r="P619"/>
    </row>
    <row r="620" spans="1:16" s="102" customFormat="1">
      <c r="A620" s="122"/>
      <c r="B620" s="122"/>
      <c r="C620" s="122"/>
      <c r="D620" s="122"/>
      <c r="E620" s="122"/>
      <c r="F620" s="122"/>
      <c r="G620" s="121"/>
      <c r="H620" s="122"/>
      <c r="I620" s="122"/>
      <c r="J620" s="122"/>
      <c r="K620" s="122"/>
      <c r="L620" s="121"/>
      <c r="M620" s="122"/>
      <c r="O620"/>
      <c r="P620"/>
    </row>
    <row r="621" spans="1:16" s="102" customFormat="1">
      <c r="A621" s="122"/>
      <c r="B621" s="122"/>
      <c r="C621" s="122"/>
      <c r="D621" s="122"/>
      <c r="E621" s="122"/>
      <c r="F621" s="122"/>
      <c r="G621" s="121"/>
      <c r="H621" s="122"/>
      <c r="I621" s="122"/>
      <c r="J621" s="122"/>
      <c r="K621" s="122"/>
      <c r="L621" s="121"/>
      <c r="M621" s="122"/>
      <c r="O621"/>
      <c r="P621"/>
    </row>
    <row r="622" spans="1:16" s="102" customFormat="1">
      <c r="A622" s="122"/>
      <c r="B622" s="122"/>
      <c r="C622" s="122"/>
      <c r="D622" s="122"/>
      <c r="E622" s="122"/>
      <c r="F622" s="122"/>
      <c r="G622" s="121"/>
      <c r="H622" s="122"/>
      <c r="I622" s="122"/>
      <c r="J622" s="122"/>
      <c r="K622" s="122"/>
      <c r="L622" s="121"/>
      <c r="M622" s="122"/>
      <c r="O622"/>
      <c r="P622"/>
    </row>
    <row r="623" spans="1:16" s="102" customFormat="1">
      <c r="A623" s="122"/>
      <c r="B623" s="122"/>
      <c r="C623" s="122"/>
      <c r="D623" s="122"/>
      <c r="E623" s="122"/>
      <c r="F623" s="122"/>
      <c r="G623" s="121"/>
      <c r="H623" s="122"/>
      <c r="I623" s="122"/>
      <c r="J623" s="122"/>
      <c r="K623" s="122"/>
      <c r="L623" s="121"/>
      <c r="M623" s="122"/>
      <c r="O623"/>
      <c r="P623"/>
    </row>
    <row r="624" spans="1:16" s="102" customFormat="1">
      <c r="A624" s="122"/>
      <c r="B624" s="122"/>
      <c r="C624" s="122"/>
      <c r="D624" s="122"/>
      <c r="E624" s="122"/>
      <c r="F624" s="122"/>
      <c r="G624" s="121"/>
      <c r="H624" s="122"/>
      <c r="I624" s="122"/>
      <c r="J624" s="122"/>
      <c r="K624" s="122"/>
      <c r="L624" s="121"/>
      <c r="M624" s="122"/>
      <c r="O624"/>
      <c r="P624"/>
    </row>
    <row r="625" spans="1:16" s="102" customFormat="1">
      <c r="A625" s="122"/>
      <c r="B625" s="122"/>
      <c r="C625" s="122"/>
      <c r="D625" s="122"/>
      <c r="E625" s="122"/>
      <c r="F625" s="122"/>
      <c r="G625" s="121"/>
      <c r="H625" s="122"/>
      <c r="I625" s="122"/>
      <c r="J625" s="122"/>
      <c r="K625" s="122"/>
      <c r="L625" s="121"/>
      <c r="M625" s="122"/>
      <c r="O625"/>
      <c r="P625"/>
    </row>
    <row r="626" spans="1:16" s="102" customFormat="1">
      <c r="A626" s="122"/>
      <c r="B626" s="122"/>
      <c r="C626" s="122"/>
      <c r="D626" s="122"/>
      <c r="E626" s="122"/>
      <c r="F626" s="122"/>
      <c r="G626" s="121"/>
      <c r="H626" s="122"/>
      <c r="I626" s="122"/>
      <c r="J626" s="122"/>
      <c r="K626" s="122"/>
      <c r="L626" s="121"/>
      <c r="M626" s="122"/>
      <c r="O626"/>
      <c r="P626"/>
    </row>
    <row r="627" spans="1:16" s="102" customFormat="1">
      <c r="A627" s="122"/>
      <c r="B627" s="122"/>
      <c r="C627" s="122"/>
      <c r="D627" s="122"/>
      <c r="E627" s="122"/>
      <c r="F627" s="122"/>
      <c r="G627" s="121"/>
      <c r="H627" s="122"/>
      <c r="I627" s="122"/>
      <c r="J627" s="122"/>
      <c r="K627" s="122"/>
      <c r="L627" s="121"/>
      <c r="M627" s="122"/>
      <c r="O627"/>
      <c r="P627"/>
    </row>
    <row r="628" spans="1:16" s="102" customFormat="1">
      <c r="A628" s="122"/>
      <c r="B628" s="122"/>
      <c r="C628" s="122"/>
      <c r="D628" s="122"/>
      <c r="E628" s="122"/>
      <c r="F628" s="122"/>
      <c r="G628" s="121"/>
      <c r="H628" s="122"/>
      <c r="I628" s="122"/>
      <c r="J628" s="122"/>
      <c r="K628" s="122"/>
      <c r="L628" s="121"/>
      <c r="M628" s="122"/>
      <c r="O628"/>
      <c r="P628"/>
    </row>
    <row r="629" spans="1:16" s="102" customFormat="1">
      <c r="A629" s="122"/>
      <c r="B629" s="122"/>
      <c r="C629" s="122"/>
      <c r="D629" s="122"/>
      <c r="E629" s="122"/>
      <c r="F629" s="122"/>
      <c r="G629" s="121"/>
      <c r="H629" s="122"/>
      <c r="I629" s="122"/>
      <c r="J629" s="122"/>
      <c r="K629" s="122"/>
      <c r="L629" s="121"/>
      <c r="M629" s="122"/>
      <c r="O629"/>
      <c r="P629"/>
    </row>
    <row r="630" spans="1:16" s="102" customFormat="1">
      <c r="A630" s="122"/>
      <c r="B630" s="122"/>
      <c r="C630" s="122"/>
      <c r="D630" s="122"/>
      <c r="E630" s="122"/>
      <c r="F630" s="122"/>
      <c r="G630" s="121"/>
      <c r="H630" s="122"/>
      <c r="I630" s="122"/>
      <c r="J630" s="122"/>
      <c r="K630" s="122"/>
      <c r="L630" s="121"/>
      <c r="M630" s="122"/>
      <c r="O630"/>
      <c r="P630"/>
    </row>
    <row r="631" spans="1:16" s="102" customFormat="1">
      <c r="A631" s="122"/>
      <c r="B631" s="122"/>
      <c r="C631" s="122"/>
      <c r="D631" s="122"/>
      <c r="E631" s="122"/>
      <c r="F631" s="122"/>
      <c r="G631" s="121"/>
      <c r="H631" s="122"/>
      <c r="I631" s="122"/>
      <c r="J631" s="122"/>
      <c r="K631" s="122"/>
      <c r="L631" s="121"/>
      <c r="M631" s="122"/>
      <c r="O631"/>
      <c r="P631"/>
    </row>
    <row r="632" spans="1:16" s="102" customFormat="1">
      <c r="A632" s="122"/>
      <c r="B632" s="122"/>
      <c r="C632" s="122"/>
      <c r="D632" s="122"/>
      <c r="E632" s="122"/>
      <c r="F632" s="122"/>
      <c r="G632" s="121"/>
      <c r="H632" s="122"/>
      <c r="I632" s="122"/>
      <c r="J632" s="122"/>
      <c r="K632" s="122"/>
      <c r="L632" s="121"/>
      <c r="M632" s="122"/>
      <c r="O632"/>
      <c r="P632"/>
    </row>
    <row r="633" spans="1:16" s="102" customFormat="1">
      <c r="A633" s="122"/>
      <c r="B633" s="122"/>
      <c r="C633" s="122"/>
      <c r="D633" s="122"/>
      <c r="E633" s="122"/>
      <c r="F633" s="122"/>
      <c r="G633" s="121"/>
      <c r="H633" s="122"/>
      <c r="I633" s="122"/>
      <c r="J633" s="122"/>
      <c r="K633" s="122"/>
      <c r="L633" s="121"/>
      <c r="M633" s="122"/>
      <c r="O633"/>
      <c r="P633"/>
    </row>
    <row r="634" spans="1:16" s="102" customFormat="1">
      <c r="A634" s="122"/>
      <c r="B634" s="122"/>
      <c r="C634" s="122"/>
      <c r="D634" s="122"/>
      <c r="E634" s="122"/>
      <c r="F634" s="122"/>
      <c r="G634" s="121"/>
      <c r="H634" s="122"/>
      <c r="I634" s="122"/>
      <c r="J634" s="122"/>
      <c r="K634" s="122"/>
      <c r="L634" s="121"/>
      <c r="M634" s="122"/>
      <c r="O634"/>
      <c r="P634"/>
    </row>
    <row r="635" spans="1:16" s="102" customFormat="1">
      <c r="A635" s="122"/>
      <c r="B635" s="122"/>
      <c r="C635" s="122"/>
      <c r="D635" s="122"/>
      <c r="E635" s="122"/>
      <c r="F635" s="122"/>
      <c r="G635" s="121"/>
      <c r="H635" s="122"/>
      <c r="I635" s="122"/>
      <c r="J635" s="122"/>
      <c r="K635" s="122"/>
      <c r="L635" s="121"/>
      <c r="M635" s="122"/>
      <c r="O635"/>
      <c r="P635"/>
    </row>
    <row r="636" spans="1:16" s="102" customFormat="1">
      <c r="A636" s="122"/>
      <c r="B636" s="122"/>
      <c r="C636" s="122"/>
      <c r="D636" s="122"/>
      <c r="E636" s="122"/>
      <c r="F636" s="122"/>
      <c r="G636" s="121"/>
      <c r="H636" s="122"/>
      <c r="I636" s="122"/>
      <c r="J636" s="122"/>
      <c r="K636" s="122"/>
      <c r="L636" s="121"/>
      <c r="M636" s="122"/>
      <c r="O636"/>
      <c r="P636"/>
    </row>
    <row r="637" spans="1:16" s="102" customFormat="1">
      <c r="A637" s="122"/>
      <c r="B637" s="122"/>
      <c r="C637" s="122"/>
      <c r="D637" s="122"/>
      <c r="E637" s="122"/>
      <c r="F637" s="122"/>
      <c r="G637" s="121"/>
      <c r="H637" s="122"/>
      <c r="I637" s="122"/>
      <c r="J637" s="122"/>
      <c r="K637" s="122"/>
      <c r="L637" s="121"/>
      <c r="M637" s="122"/>
      <c r="O637"/>
      <c r="P637"/>
    </row>
    <row r="638" spans="1:16" s="102" customFormat="1">
      <c r="A638" s="122"/>
      <c r="B638" s="122"/>
      <c r="C638" s="122"/>
      <c r="D638" s="122"/>
      <c r="E638" s="122"/>
      <c r="F638" s="122"/>
      <c r="G638" s="121"/>
      <c r="H638" s="122"/>
      <c r="I638" s="122"/>
      <c r="J638" s="122"/>
      <c r="K638" s="122"/>
      <c r="L638" s="121"/>
      <c r="M638" s="122"/>
      <c r="O638"/>
      <c r="P638"/>
    </row>
    <row r="639" spans="1:16" s="102" customFormat="1">
      <c r="A639" s="122"/>
      <c r="B639" s="122"/>
      <c r="C639" s="122"/>
      <c r="D639" s="122"/>
      <c r="E639" s="122"/>
      <c r="F639" s="122"/>
      <c r="G639" s="121"/>
      <c r="H639" s="122"/>
      <c r="I639" s="122"/>
      <c r="J639" s="122"/>
      <c r="K639" s="122"/>
      <c r="L639" s="121"/>
      <c r="M639" s="122"/>
      <c r="O639"/>
      <c r="P639"/>
    </row>
    <row r="640" spans="1:16" s="102" customFormat="1">
      <c r="A640" s="122"/>
      <c r="B640" s="122"/>
      <c r="C640" s="122"/>
      <c r="D640" s="122"/>
      <c r="E640" s="122"/>
      <c r="F640" s="122"/>
      <c r="G640" s="121"/>
      <c r="H640" s="122"/>
      <c r="I640" s="122"/>
      <c r="J640" s="122"/>
      <c r="K640" s="122"/>
      <c r="L640" s="121"/>
      <c r="M640" s="122"/>
      <c r="O640"/>
      <c r="P640"/>
    </row>
    <row r="641" spans="1:16" s="102" customFormat="1">
      <c r="A641" s="122"/>
      <c r="B641" s="122"/>
      <c r="C641" s="122"/>
      <c r="D641" s="122"/>
      <c r="E641" s="122"/>
      <c r="F641" s="122"/>
      <c r="G641" s="121"/>
      <c r="H641" s="122"/>
      <c r="I641" s="122"/>
      <c r="J641" s="122"/>
      <c r="K641" s="122"/>
      <c r="L641" s="121"/>
      <c r="M641" s="122"/>
      <c r="O641"/>
      <c r="P641"/>
    </row>
    <row r="642" spans="1:16" s="102" customFormat="1">
      <c r="A642" s="122"/>
      <c r="B642" s="122"/>
      <c r="C642" s="122"/>
      <c r="D642" s="122"/>
      <c r="E642" s="122"/>
      <c r="F642" s="122"/>
      <c r="G642" s="121"/>
      <c r="H642" s="122"/>
      <c r="I642" s="122"/>
      <c r="J642" s="122"/>
      <c r="K642" s="122"/>
      <c r="L642" s="121"/>
      <c r="M642" s="122"/>
      <c r="O642"/>
      <c r="P642"/>
    </row>
    <row r="643" spans="1:16" s="102" customFormat="1">
      <c r="A643" s="122"/>
      <c r="B643" s="122"/>
      <c r="C643" s="122"/>
      <c r="D643" s="122"/>
      <c r="E643" s="122"/>
      <c r="F643" s="122"/>
      <c r="G643" s="121"/>
      <c r="H643" s="122"/>
      <c r="I643" s="122"/>
      <c r="J643" s="122"/>
      <c r="K643" s="122"/>
      <c r="L643" s="121"/>
      <c r="M643" s="122"/>
      <c r="O643"/>
      <c r="P643"/>
    </row>
    <row r="644" spans="1:16" s="102" customFormat="1">
      <c r="A644" s="122"/>
      <c r="B644" s="122"/>
      <c r="C644" s="122"/>
      <c r="D644" s="122"/>
      <c r="E644" s="122"/>
      <c r="F644" s="122"/>
      <c r="G644" s="121"/>
      <c r="H644" s="122"/>
      <c r="I644" s="122"/>
      <c r="J644" s="122"/>
      <c r="K644" s="122"/>
      <c r="L644" s="121"/>
      <c r="M644" s="122"/>
      <c r="O644"/>
      <c r="P644"/>
    </row>
    <row r="645" spans="1:16" s="102" customFormat="1">
      <c r="A645" s="122"/>
      <c r="B645" s="122"/>
      <c r="C645" s="122"/>
      <c r="D645" s="122"/>
      <c r="E645" s="122"/>
      <c r="F645" s="122"/>
      <c r="G645" s="121"/>
      <c r="H645" s="122"/>
      <c r="I645" s="122"/>
      <c r="J645" s="122"/>
      <c r="K645" s="122"/>
      <c r="L645" s="121"/>
      <c r="M645" s="122"/>
      <c r="O645"/>
      <c r="P645"/>
    </row>
    <row r="646" spans="1:16" s="102" customFormat="1">
      <c r="A646" s="122"/>
      <c r="B646" s="122"/>
      <c r="C646" s="122"/>
      <c r="D646" s="122"/>
      <c r="E646" s="122"/>
      <c r="F646" s="122"/>
      <c r="G646" s="121"/>
      <c r="H646" s="122"/>
      <c r="I646" s="122"/>
      <c r="J646" s="122"/>
      <c r="K646" s="122"/>
      <c r="L646" s="121"/>
      <c r="M646" s="122"/>
      <c r="O646"/>
      <c r="P646"/>
    </row>
    <row r="647" spans="1:16" s="102" customFormat="1">
      <c r="A647" s="122"/>
      <c r="B647" s="122"/>
      <c r="C647" s="122"/>
      <c r="D647" s="122"/>
      <c r="E647" s="122"/>
      <c r="F647" s="122"/>
      <c r="G647" s="121"/>
      <c r="H647" s="122"/>
      <c r="I647" s="122"/>
      <c r="J647" s="122"/>
      <c r="K647" s="122"/>
      <c r="L647" s="121"/>
      <c r="M647" s="122"/>
      <c r="O647"/>
      <c r="P647"/>
    </row>
    <row r="648" spans="1:16" s="102" customFormat="1">
      <c r="A648" s="122"/>
      <c r="B648" s="122"/>
      <c r="C648" s="122"/>
      <c r="D648" s="122"/>
      <c r="E648" s="122"/>
      <c r="F648" s="122"/>
      <c r="G648" s="121"/>
      <c r="H648" s="122"/>
      <c r="I648" s="122"/>
      <c r="J648" s="122"/>
      <c r="K648" s="122"/>
      <c r="L648" s="121"/>
      <c r="M648" s="122"/>
      <c r="O648"/>
      <c r="P648"/>
    </row>
    <row r="649" spans="1:16" s="102" customFormat="1">
      <c r="A649" s="122"/>
      <c r="B649" s="122"/>
      <c r="C649" s="122"/>
      <c r="D649" s="122"/>
      <c r="E649" s="122"/>
      <c r="F649" s="122"/>
      <c r="G649" s="121"/>
      <c r="H649" s="122"/>
      <c r="I649" s="122"/>
      <c r="J649" s="122"/>
      <c r="K649" s="122"/>
      <c r="L649" s="121"/>
      <c r="M649" s="122"/>
      <c r="O649"/>
      <c r="P649"/>
    </row>
    <row r="650" spans="1:16" s="102" customFormat="1">
      <c r="A650" s="122"/>
      <c r="B650" s="122"/>
      <c r="C650" s="122"/>
      <c r="D650" s="122"/>
      <c r="E650" s="122"/>
      <c r="F650" s="122"/>
      <c r="G650" s="121"/>
      <c r="H650" s="122"/>
      <c r="I650" s="122"/>
      <c r="J650" s="122"/>
      <c r="K650" s="122"/>
      <c r="L650" s="121"/>
      <c r="M650" s="122"/>
      <c r="O650"/>
      <c r="P650"/>
    </row>
    <row r="651" spans="1:16" s="102" customFormat="1">
      <c r="A651" s="122"/>
      <c r="B651" s="122"/>
      <c r="C651" s="122"/>
      <c r="D651" s="122"/>
      <c r="E651" s="122"/>
      <c r="F651" s="122"/>
      <c r="G651" s="121"/>
      <c r="H651" s="122"/>
      <c r="I651" s="122"/>
      <c r="J651" s="122"/>
      <c r="K651" s="122"/>
      <c r="L651" s="121"/>
      <c r="M651" s="122"/>
      <c r="O651"/>
      <c r="P651"/>
    </row>
    <row r="652" spans="1:16" s="102" customFormat="1">
      <c r="A652" s="122"/>
      <c r="B652" s="122"/>
      <c r="C652" s="122"/>
      <c r="D652" s="122"/>
      <c r="E652" s="122"/>
      <c r="F652" s="122"/>
      <c r="G652" s="121"/>
      <c r="H652" s="122"/>
      <c r="I652" s="122"/>
      <c r="J652" s="122"/>
      <c r="K652" s="122"/>
      <c r="L652" s="121"/>
      <c r="M652" s="122"/>
      <c r="O652"/>
      <c r="P652"/>
    </row>
    <row r="653" spans="1:16" s="102" customFormat="1">
      <c r="A653" s="122"/>
      <c r="B653" s="122"/>
      <c r="C653" s="122"/>
      <c r="D653" s="122"/>
      <c r="E653" s="122"/>
      <c r="F653" s="122"/>
      <c r="G653" s="121"/>
      <c r="H653" s="122"/>
      <c r="I653" s="122"/>
      <c r="J653" s="122"/>
      <c r="K653" s="122"/>
      <c r="L653" s="121"/>
      <c r="M653" s="122"/>
      <c r="O653"/>
      <c r="P653"/>
    </row>
    <row r="654" spans="1:16" s="102" customFormat="1">
      <c r="A654" s="122"/>
      <c r="B654" s="122"/>
      <c r="C654" s="122"/>
      <c r="D654" s="122"/>
      <c r="E654" s="122"/>
      <c r="F654" s="122"/>
      <c r="G654" s="121"/>
      <c r="H654" s="122"/>
      <c r="I654" s="122"/>
      <c r="J654" s="122"/>
      <c r="K654" s="122"/>
      <c r="L654" s="121"/>
      <c r="M654" s="122"/>
      <c r="O654"/>
      <c r="P654"/>
    </row>
    <row r="655" spans="1:16" s="102" customFormat="1">
      <c r="A655" s="122"/>
      <c r="B655" s="122"/>
      <c r="C655" s="122"/>
      <c r="D655" s="122"/>
      <c r="E655" s="122"/>
      <c r="F655" s="122"/>
      <c r="G655" s="121"/>
      <c r="H655" s="122"/>
      <c r="I655" s="122"/>
      <c r="J655" s="122"/>
      <c r="K655" s="122"/>
      <c r="L655" s="121"/>
      <c r="M655" s="122"/>
      <c r="O655"/>
      <c r="P655"/>
    </row>
    <row r="656" spans="1:16" s="102" customFormat="1">
      <c r="A656" s="122"/>
      <c r="B656" s="122"/>
      <c r="C656" s="122"/>
      <c r="D656" s="122"/>
      <c r="E656" s="122"/>
      <c r="F656" s="122"/>
      <c r="G656" s="121"/>
      <c r="H656" s="122"/>
      <c r="I656" s="122"/>
      <c r="J656" s="122"/>
      <c r="K656" s="122"/>
      <c r="L656" s="121"/>
      <c r="M656" s="122"/>
      <c r="O656"/>
      <c r="P656"/>
    </row>
    <row r="657" spans="1:16" s="102" customFormat="1">
      <c r="A657" s="122"/>
      <c r="B657" s="122"/>
      <c r="C657" s="122"/>
      <c r="D657" s="122"/>
      <c r="E657" s="122"/>
      <c r="F657" s="122"/>
      <c r="G657" s="121"/>
      <c r="H657" s="122"/>
      <c r="I657" s="122"/>
      <c r="J657" s="122"/>
      <c r="K657" s="122"/>
      <c r="L657" s="121"/>
      <c r="M657" s="122"/>
      <c r="O657"/>
      <c r="P657"/>
    </row>
    <row r="658" spans="1:16" s="102" customFormat="1">
      <c r="A658" s="122"/>
      <c r="B658" s="122"/>
      <c r="C658" s="122"/>
      <c r="D658" s="122"/>
      <c r="E658" s="122"/>
      <c r="F658" s="122"/>
      <c r="G658" s="121"/>
      <c r="H658" s="122"/>
      <c r="I658" s="122"/>
      <c r="J658" s="122"/>
      <c r="K658" s="122"/>
      <c r="L658" s="121"/>
      <c r="M658" s="122"/>
      <c r="O658"/>
      <c r="P658"/>
    </row>
    <row r="659" spans="1:16" s="102" customFormat="1">
      <c r="A659" s="122"/>
      <c r="B659" s="122"/>
      <c r="C659" s="122"/>
      <c r="D659" s="122"/>
      <c r="E659" s="122"/>
      <c r="F659" s="122"/>
      <c r="G659" s="121"/>
      <c r="H659" s="122"/>
      <c r="I659" s="122"/>
      <c r="J659" s="122"/>
      <c r="K659" s="122"/>
      <c r="L659" s="121"/>
      <c r="M659" s="122"/>
      <c r="O659"/>
      <c r="P659"/>
    </row>
    <row r="660" spans="1:16" s="102" customFormat="1">
      <c r="A660" s="122"/>
      <c r="B660" s="122"/>
      <c r="C660" s="122"/>
      <c r="D660" s="122"/>
      <c r="E660" s="122"/>
      <c r="F660" s="122"/>
      <c r="G660" s="121"/>
      <c r="H660" s="122"/>
      <c r="I660" s="122"/>
      <c r="J660" s="122"/>
      <c r="K660" s="122"/>
      <c r="L660" s="121"/>
      <c r="M660" s="122"/>
      <c r="O660"/>
      <c r="P660"/>
    </row>
    <row r="661" spans="1:16" s="102" customFormat="1">
      <c r="A661" s="122"/>
      <c r="B661" s="122"/>
      <c r="C661" s="122"/>
      <c r="D661" s="122"/>
      <c r="E661" s="122"/>
      <c r="F661" s="122"/>
      <c r="G661" s="121"/>
      <c r="H661" s="122"/>
      <c r="I661" s="122"/>
      <c r="J661" s="122"/>
      <c r="K661" s="122"/>
      <c r="L661" s="121"/>
      <c r="M661" s="122"/>
      <c r="O661"/>
      <c r="P661"/>
    </row>
    <row r="662" spans="1:16" s="102" customFormat="1">
      <c r="A662" s="122"/>
      <c r="B662" s="122"/>
      <c r="C662" s="122"/>
      <c r="D662" s="122"/>
      <c r="E662" s="122"/>
      <c r="F662" s="122"/>
      <c r="G662" s="121"/>
      <c r="H662" s="122"/>
      <c r="I662" s="122"/>
      <c r="J662" s="122"/>
      <c r="K662" s="122"/>
      <c r="L662" s="121"/>
      <c r="M662" s="122"/>
      <c r="O662"/>
      <c r="P662"/>
    </row>
    <row r="663" spans="1:16" s="102" customFormat="1">
      <c r="A663" s="122"/>
      <c r="B663" s="122"/>
      <c r="C663" s="122"/>
      <c r="D663" s="122"/>
      <c r="E663" s="122"/>
      <c r="F663" s="122"/>
      <c r="G663" s="121"/>
      <c r="H663" s="122"/>
      <c r="I663" s="122"/>
      <c r="J663" s="122"/>
      <c r="K663" s="122"/>
      <c r="L663" s="121"/>
      <c r="M663" s="122"/>
      <c r="O663"/>
      <c r="P663"/>
    </row>
    <row r="664" spans="1:16" s="102" customFormat="1">
      <c r="A664" s="122"/>
      <c r="B664" s="122"/>
      <c r="C664" s="122"/>
      <c r="D664" s="122"/>
      <c r="E664" s="122"/>
      <c r="F664" s="122"/>
      <c r="G664" s="121"/>
      <c r="H664" s="122"/>
      <c r="I664" s="122"/>
      <c r="J664" s="122"/>
      <c r="K664" s="122"/>
      <c r="L664" s="121"/>
      <c r="M664" s="122"/>
      <c r="O664"/>
      <c r="P664"/>
    </row>
    <row r="665" spans="1:16" s="102" customFormat="1">
      <c r="A665" s="122"/>
      <c r="B665" s="122"/>
      <c r="C665" s="122"/>
      <c r="D665" s="122"/>
      <c r="E665" s="122"/>
      <c r="F665" s="122"/>
      <c r="G665" s="121"/>
      <c r="H665" s="122"/>
      <c r="I665" s="122"/>
      <c r="J665" s="122"/>
      <c r="K665" s="122"/>
      <c r="L665" s="121"/>
      <c r="M665" s="122"/>
      <c r="O665"/>
      <c r="P665"/>
    </row>
    <row r="666" spans="1:16" s="102" customFormat="1">
      <c r="A666" s="122"/>
      <c r="B666" s="122"/>
      <c r="C666" s="122"/>
      <c r="D666" s="122"/>
      <c r="E666" s="122"/>
      <c r="F666" s="122"/>
      <c r="G666" s="121"/>
      <c r="H666" s="122"/>
      <c r="I666" s="122"/>
      <c r="J666" s="122"/>
      <c r="K666" s="122"/>
      <c r="L666" s="121"/>
      <c r="M666" s="122"/>
      <c r="O666"/>
      <c r="P666"/>
    </row>
    <row r="667" spans="1:16" s="102" customFormat="1">
      <c r="A667" s="122"/>
      <c r="B667" s="122"/>
      <c r="C667" s="122"/>
      <c r="D667" s="122"/>
      <c r="E667" s="122"/>
      <c r="F667" s="122"/>
      <c r="G667" s="121"/>
      <c r="H667" s="122"/>
      <c r="I667" s="122"/>
      <c r="J667" s="122"/>
      <c r="K667" s="122"/>
      <c r="L667" s="121"/>
      <c r="M667" s="122"/>
      <c r="O667"/>
      <c r="P667"/>
    </row>
    <row r="668" spans="1:16" s="102" customFormat="1">
      <c r="A668" s="122"/>
      <c r="B668" s="122"/>
      <c r="C668" s="122"/>
      <c r="D668" s="122"/>
      <c r="E668" s="122"/>
      <c r="F668" s="122"/>
      <c r="G668" s="121"/>
      <c r="H668" s="122"/>
      <c r="I668" s="122"/>
      <c r="J668" s="122"/>
      <c r="K668" s="122"/>
      <c r="L668" s="121"/>
      <c r="M668" s="122"/>
      <c r="O668"/>
      <c r="P668"/>
    </row>
    <row r="669" spans="1:16" s="102" customFormat="1">
      <c r="A669" s="122"/>
      <c r="B669" s="122"/>
      <c r="C669" s="122"/>
      <c r="D669" s="122"/>
      <c r="E669" s="122"/>
      <c r="F669" s="122"/>
      <c r="G669" s="121"/>
      <c r="H669" s="122"/>
      <c r="I669" s="122"/>
      <c r="J669" s="122"/>
      <c r="K669" s="122"/>
      <c r="L669" s="121"/>
      <c r="M669" s="122"/>
      <c r="O669"/>
      <c r="P669"/>
    </row>
    <row r="670" spans="1:16" s="102" customFormat="1">
      <c r="A670" s="122"/>
      <c r="B670" s="122"/>
      <c r="C670" s="122"/>
      <c r="D670" s="122"/>
      <c r="E670" s="122"/>
      <c r="F670" s="122"/>
      <c r="G670" s="121"/>
      <c r="H670" s="122"/>
      <c r="I670" s="122"/>
      <c r="J670" s="122"/>
      <c r="K670" s="122"/>
      <c r="L670" s="121"/>
      <c r="M670" s="122"/>
      <c r="O670"/>
      <c r="P670"/>
    </row>
    <row r="671" spans="1:16" s="102" customFormat="1">
      <c r="A671" s="122"/>
      <c r="B671" s="122"/>
      <c r="C671" s="122"/>
      <c r="D671" s="122"/>
      <c r="E671" s="122"/>
      <c r="F671" s="122"/>
      <c r="G671" s="121"/>
      <c r="H671" s="122"/>
      <c r="I671" s="122"/>
      <c r="J671" s="122"/>
      <c r="K671" s="122"/>
      <c r="L671" s="121"/>
      <c r="M671" s="122"/>
      <c r="O671"/>
      <c r="P671"/>
    </row>
    <row r="672" spans="1:16" s="102" customFormat="1">
      <c r="A672" s="122"/>
      <c r="B672" s="122"/>
      <c r="C672" s="122"/>
      <c r="D672" s="122"/>
      <c r="E672" s="122"/>
      <c r="F672" s="122"/>
      <c r="G672" s="121"/>
      <c r="H672" s="122"/>
      <c r="I672" s="122"/>
      <c r="J672" s="122"/>
      <c r="K672" s="122"/>
      <c r="L672" s="121"/>
      <c r="M672" s="122"/>
      <c r="O672"/>
      <c r="P672"/>
    </row>
    <row r="673" spans="1:16" s="102" customFormat="1">
      <c r="A673" s="122"/>
      <c r="B673" s="122"/>
      <c r="C673" s="122"/>
      <c r="D673" s="122"/>
      <c r="E673" s="122"/>
      <c r="F673" s="122"/>
      <c r="G673" s="121"/>
      <c r="H673" s="122"/>
      <c r="I673" s="122"/>
      <c r="J673" s="122"/>
      <c r="K673" s="122"/>
      <c r="L673" s="121"/>
      <c r="M673" s="122"/>
      <c r="O673"/>
      <c r="P673"/>
    </row>
    <row r="674" spans="1:16" s="102" customFormat="1">
      <c r="A674" s="122"/>
      <c r="B674" s="122"/>
      <c r="C674" s="122"/>
      <c r="D674" s="122"/>
      <c r="E674" s="122"/>
      <c r="F674" s="122"/>
      <c r="G674" s="121"/>
      <c r="H674" s="122"/>
      <c r="I674" s="122"/>
      <c r="J674" s="122"/>
      <c r="K674" s="122"/>
      <c r="L674" s="121"/>
      <c r="M674" s="122"/>
      <c r="O674"/>
      <c r="P674"/>
    </row>
    <row r="675" spans="1:16" s="102" customFormat="1">
      <c r="A675" s="122"/>
      <c r="B675" s="122"/>
      <c r="C675" s="122"/>
      <c r="D675" s="122"/>
      <c r="E675" s="122"/>
      <c r="F675" s="122"/>
      <c r="G675" s="121"/>
      <c r="H675" s="122"/>
      <c r="I675" s="122"/>
      <c r="J675" s="122"/>
      <c r="K675" s="122"/>
      <c r="L675" s="121"/>
      <c r="M675" s="122"/>
      <c r="O675"/>
      <c r="P675"/>
    </row>
    <row r="676" spans="1:16" s="102" customFormat="1">
      <c r="A676" s="122"/>
      <c r="B676" s="122"/>
      <c r="C676" s="122"/>
      <c r="D676" s="122"/>
      <c r="E676" s="122"/>
      <c r="F676" s="122"/>
      <c r="G676" s="121"/>
      <c r="H676" s="122"/>
      <c r="I676" s="122"/>
      <c r="J676" s="122"/>
      <c r="K676" s="122"/>
      <c r="L676" s="121"/>
      <c r="M676" s="122"/>
      <c r="O676"/>
      <c r="P676"/>
    </row>
    <row r="677" spans="1:16" s="102" customFormat="1">
      <c r="A677" s="122"/>
      <c r="B677" s="122"/>
      <c r="C677" s="122"/>
      <c r="D677" s="122"/>
      <c r="E677" s="122"/>
      <c r="F677" s="122"/>
      <c r="G677" s="121"/>
      <c r="H677" s="122"/>
      <c r="I677" s="122"/>
      <c r="J677" s="122"/>
      <c r="K677" s="122"/>
      <c r="L677" s="121"/>
      <c r="M677" s="122"/>
      <c r="O677"/>
      <c r="P677"/>
    </row>
    <row r="678" spans="1:16" s="102" customFormat="1">
      <c r="A678" s="122"/>
      <c r="B678" s="122"/>
      <c r="C678" s="122"/>
      <c r="D678" s="122"/>
      <c r="E678" s="122"/>
      <c r="F678" s="122"/>
      <c r="G678" s="121"/>
      <c r="H678" s="122"/>
      <c r="I678" s="122"/>
      <c r="J678" s="122"/>
      <c r="K678" s="122"/>
      <c r="L678" s="121"/>
      <c r="M678" s="122"/>
      <c r="O678"/>
      <c r="P678"/>
    </row>
    <row r="679" spans="1:16" s="102" customFormat="1">
      <c r="A679" s="122"/>
      <c r="B679" s="122"/>
      <c r="C679" s="122"/>
      <c r="D679" s="122"/>
      <c r="E679" s="122"/>
      <c r="F679" s="122"/>
      <c r="G679" s="121"/>
      <c r="H679" s="122"/>
      <c r="I679" s="122"/>
      <c r="J679" s="122"/>
      <c r="K679" s="122"/>
      <c r="L679" s="121"/>
      <c r="M679" s="122"/>
      <c r="O679"/>
      <c r="P679"/>
    </row>
    <row r="680" spans="1:16" s="102" customFormat="1">
      <c r="A680" s="122"/>
      <c r="B680" s="122"/>
      <c r="C680" s="122"/>
      <c r="D680" s="122"/>
      <c r="E680" s="122"/>
      <c r="F680" s="122"/>
      <c r="G680" s="121"/>
      <c r="H680" s="122"/>
      <c r="I680" s="122"/>
      <c r="J680" s="122"/>
      <c r="K680" s="122"/>
      <c r="L680" s="121"/>
      <c r="M680" s="122"/>
      <c r="O680"/>
      <c r="P680"/>
    </row>
    <row r="681" spans="1:16" s="102" customFormat="1">
      <c r="A681" s="122"/>
      <c r="B681" s="122"/>
      <c r="C681" s="122"/>
      <c r="D681" s="122"/>
      <c r="E681" s="122"/>
      <c r="F681" s="122"/>
      <c r="G681" s="121"/>
      <c r="H681" s="122"/>
      <c r="I681" s="122"/>
      <c r="J681" s="122"/>
      <c r="K681" s="122"/>
      <c r="L681" s="121"/>
      <c r="M681" s="122"/>
      <c r="O681"/>
      <c r="P681"/>
    </row>
    <row r="682" spans="1:16" s="102" customFormat="1">
      <c r="A682" s="122"/>
      <c r="B682" s="122"/>
      <c r="C682" s="122"/>
      <c r="D682" s="122"/>
      <c r="E682" s="122"/>
      <c r="F682" s="122"/>
      <c r="G682" s="121"/>
      <c r="H682" s="122"/>
      <c r="I682" s="122"/>
      <c r="J682" s="122"/>
      <c r="K682" s="122"/>
      <c r="L682" s="121"/>
      <c r="M682" s="122"/>
      <c r="O682"/>
      <c r="P682"/>
    </row>
    <row r="683" spans="1:16" s="102" customFormat="1">
      <c r="A683" s="122"/>
      <c r="B683" s="122"/>
      <c r="C683" s="122"/>
      <c r="D683" s="122"/>
      <c r="E683" s="122"/>
      <c r="F683" s="122"/>
      <c r="G683" s="121"/>
      <c r="H683" s="122"/>
      <c r="I683" s="122"/>
      <c r="J683" s="122"/>
      <c r="K683" s="122"/>
      <c r="L683" s="121"/>
      <c r="M683" s="122"/>
      <c r="O683"/>
      <c r="P683"/>
    </row>
    <row r="684" spans="1:16" s="102" customFormat="1">
      <c r="A684" s="122"/>
      <c r="B684" s="122"/>
      <c r="C684" s="122"/>
      <c r="D684" s="122"/>
      <c r="E684" s="122"/>
      <c r="F684" s="122"/>
      <c r="G684" s="121"/>
      <c r="H684" s="122"/>
      <c r="I684" s="122"/>
      <c r="J684" s="122"/>
      <c r="K684" s="122"/>
      <c r="L684" s="121"/>
      <c r="M684" s="122"/>
      <c r="O684"/>
      <c r="P684"/>
    </row>
    <row r="685" spans="1:16" s="102" customFormat="1">
      <c r="A685" s="122"/>
      <c r="B685" s="122"/>
      <c r="C685" s="122"/>
      <c r="D685" s="122"/>
      <c r="E685" s="122"/>
      <c r="F685" s="122"/>
      <c r="G685" s="121"/>
      <c r="H685" s="122"/>
      <c r="I685" s="122"/>
      <c r="J685" s="122"/>
      <c r="K685" s="122"/>
      <c r="L685" s="121"/>
      <c r="M685" s="122"/>
      <c r="O685"/>
      <c r="P685"/>
    </row>
    <row r="686" spans="1:16" s="102" customFormat="1">
      <c r="A686" s="122"/>
      <c r="B686" s="122"/>
      <c r="C686" s="122"/>
      <c r="D686" s="122"/>
      <c r="E686" s="122"/>
      <c r="F686" s="122"/>
      <c r="G686" s="121"/>
      <c r="H686" s="122"/>
      <c r="I686" s="122"/>
      <c r="J686" s="122"/>
      <c r="K686" s="122"/>
      <c r="L686" s="121"/>
      <c r="M686" s="122"/>
      <c r="O686"/>
      <c r="P686"/>
    </row>
    <row r="687" spans="1:16" s="102" customFormat="1">
      <c r="A687" s="122"/>
      <c r="B687" s="122"/>
      <c r="C687" s="122"/>
      <c r="D687" s="122"/>
      <c r="E687" s="122"/>
      <c r="F687" s="122"/>
      <c r="G687" s="121"/>
      <c r="H687" s="122"/>
      <c r="I687" s="122"/>
      <c r="J687" s="122"/>
      <c r="K687" s="122"/>
      <c r="L687" s="121"/>
      <c r="M687" s="122"/>
      <c r="O687"/>
      <c r="P687"/>
    </row>
    <row r="688" spans="1:16" s="102" customFormat="1">
      <c r="A688" s="122"/>
      <c r="B688" s="122"/>
      <c r="C688" s="122"/>
      <c r="D688" s="122"/>
      <c r="E688" s="122"/>
      <c r="F688" s="122"/>
      <c r="G688" s="121"/>
      <c r="H688" s="122"/>
      <c r="I688" s="122"/>
      <c r="J688" s="122"/>
      <c r="K688" s="122"/>
      <c r="L688" s="121"/>
      <c r="M688" s="122"/>
      <c r="O688"/>
      <c r="P688"/>
    </row>
    <row r="689" spans="1:16" s="102" customFormat="1">
      <c r="A689" s="122"/>
      <c r="B689" s="122"/>
      <c r="C689" s="122"/>
      <c r="D689" s="122"/>
      <c r="E689" s="122"/>
      <c r="F689" s="122"/>
      <c r="G689" s="121"/>
      <c r="H689" s="122"/>
      <c r="I689" s="122"/>
      <c r="J689" s="122"/>
      <c r="K689" s="122"/>
      <c r="L689" s="121"/>
      <c r="M689" s="122"/>
      <c r="O689"/>
      <c r="P689"/>
    </row>
    <row r="690" spans="1:16" s="102" customFormat="1">
      <c r="A690" s="122"/>
      <c r="B690" s="122"/>
      <c r="C690" s="122"/>
      <c r="D690" s="122"/>
      <c r="E690" s="122"/>
      <c r="F690" s="122"/>
      <c r="G690" s="121"/>
      <c r="H690" s="122"/>
      <c r="I690" s="122"/>
      <c r="J690" s="122"/>
      <c r="K690" s="122"/>
      <c r="L690" s="121"/>
      <c r="M690" s="122"/>
      <c r="O690"/>
      <c r="P690"/>
    </row>
    <row r="691" spans="1:16" s="102" customFormat="1">
      <c r="A691" s="122"/>
      <c r="B691" s="122"/>
      <c r="C691" s="122"/>
      <c r="D691" s="122"/>
      <c r="E691" s="122"/>
      <c r="F691" s="122"/>
      <c r="G691" s="121"/>
      <c r="H691" s="122"/>
      <c r="I691" s="122"/>
      <c r="J691" s="122"/>
      <c r="K691" s="122"/>
      <c r="L691" s="121"/>
      <c r="M691" s="122"/>
      <c r="O691"/>
      <c r="P691"/>
    </row>
    <row r="692" spans="1:16" s="102" customFormat="1">
      <c r="A692" s="122"/>
      <c r="B692" s="122"/>
      <c r="C692" s="122"/>
      <c r="D692" s="122"/>
      <c r="E692" s="122"/>
      <c r="F692" s="122"/>
      <c r="G692" s="121"/>
      <c r="H692" s="122"/>
      <c r="I692" s="122"/>
      <c r="J692" s="122"/>
      <c r="K692" s="122"/>
      <c r="L692" s="121"/>
      <c r="M692" s="122"/>
      <c r="O692"/>
      <c r="P692"/>
    </row>
    <row r="693" spans="1:16" s="102" customFormat="1">
      <c r="A693" s="122"/>
      <c r="B693" s="122"/>
      <c r="C693" s="122"/>
      <c r="D693" s="122"/>
      <c r="E693" s="122"/>
      <c r="F693" s="122"/>
      <c r="G693" s="121"/>
      <c r="H693" s="122"/>
      <c r="I693" s="122"/>
      <c r="J693" s="122"/>
      <c r="K693" s="122"/>
      <c r="L693" s="121"/>
      <c r="M693" s="122"/>
      <c r="O693"/>
      <c r="P693"/>
    </row>
    <row r="694" spans="1:16" s="102" customFormat="1">
      <c r="A694" s="122"/>
      <c r="B694" s="122"/>
      <c r="C694" s="122"/>
      <c r="D694" s="122"/>
      <c r="E694" s="122"/>
      <c r="F694" s="122"/>
      <c r="G694" s="121"/>
      <c r="H694" s="122"/>
      <c r="I694" s="122"/>
      <c r="J694" s="122"/>
      <c r="K694" s="122"/>
      <c r="L694" s="121"/>
      <c r="M694" s="122"/>
      <c r="O694"/>
      <c r="P694"/>
    </row>
    <row r="695" spans="1:16" s="102" customFormat="1">
      <c r="A695" s="122"/>
      <c r="B695" s="122"/>
      <c r="C695" s="122"/>
      <c r="D695" s="122"/>
      <c r="E695" s="122"/>
      <c r="F695" s="122"/>
      <c r="G695" s="121"/>
      <c r="H695" s="122"/>
      <c r="I695" s="122"/>
      <c r="J695" s="122"/>
      <c r="K695" s="122"/>
      <c r="L695" s="121"/>
      <c r="M695" s="122"/>
      <c r="O695"/>
      <c r="P695"/>
    </row>
    <row r="696" spans="1:16" s="102" customFormat="1">
      <c r="A696" s="122"/>
      <c r="B696" s="122"/>
      <c r="C696" s="122"/>
      <c r="D696" s="122"/>
      <c r="E696" s="122"/>
      <c r="F696" s="122"/>
      <c r="G696" s="121"/>
      <c r="H696" s="122"/>
      <c r="I696" s="122"/>
      <c r="J696" s="122"/>
      <c r="K696" s="122"/>
      <c r="L696" s="121"/>
      <c r="M696" s="122"/>
      <c r="O696"/>
      <c r="P696"/>
    </row>
    <row r="697" spans="1:16" s="102" customFormat="1">
      <c r="A697" s="122"/>
      <c r="B697" s="122"/>
      <c r="C697" s="122"/>
      <c r="D697" s="122"/>
      <c r="E697" s="122"/>
      <c r="F697" s="122"/>
      <c r="G697" s="121"/>
      <c r="H697" s="122"/>
      <c r="I697" s="122"/>
      <c r="J697" s="122"/>
      <c r="K697" s="122"/>
      <c r="L697" s="121"/>
      <c r="M697" s="122"/>
      <c r="O697"/>
      <c r="P697"/>
    </row>
    <row r="698" spans="1:16" s="102" customFormat="1">
      <c r="A698" s="122"/>
      <c r="B698" s="122"/>
      <c r="C698" s="122"/>
      <c r="D698" s="122"/>
      <c r="E698" s="122"/>
      <c r="F698" s="122"/>
      <c r="G698" s="121"/>
      <c r="H698" s="122"/>
      <c r="I698" s="122"/>
      <c r="J698" s="122"/>
      <c r="K698" s="122"/>
      <c r="L698" s="121"/>
      <c r="M698" s="122"/>
      <c r="O698"/>
      <c r="P698"/>
    </row>
    <row r="699" spans="1:16" s="102" customFormat="1">
      <c r="A699" s="122"/>
      <c r="B699" s="122"/>
      <c r="C699" s="122"/>
      <c r="D699" s="122"/>
      <c r="E699" s="122"/>
      <c r="F699" s="122"/>
      <c r="G699" s="121"/>
      <c r="H699" s="122"/>
      <c r="I699" s="122"/>
      <c r="J699" s="122"/>
      <c r="K699" s="122"/>
      <c r="L699" s="121"/>
      <c r="M699" s="122"/>
      <c r="O699"/>
      <c r="P699"/>
    </row>
    <row r="700" spans="1:16" s="102" customFormat="1">
      <c r="A700" s="122"/>
      <c r="B700" s="122"/>
      <c r="C700" s="122"/>
      <c r="D700" s="122"/>
      <c r="E700" s="122"/>
      <c r="F700" s="122"/>
      <c r="G700" s="121"/>
      <c r="H700" s="122"/>
      <c r="I700" s="122"/>
      <c r="J700" s="122"/>
      <c r="K700" s="122"/>
      <c r="L700" s="121"/>
      <c r="M700" s="122"/>
      <c r="O700"/>
      <c r="P700"/>
    </row>
    <row r="701" spans="1:16" s="102" customFormat="1">
      <c r="A701" s="122"/>
      <c r="B701" s="122"/>
      <c r="C701" s="122"/>
      <c r="D701" s="122"/>
      <c r="E701" s="122"/>
      <c r="F701" s="122"/>
      <c r="G701" s="121"/>
      <c r="H701" s="122"/>
      <c r="I701" s="122"/>
      <c r="J701" s="122"/>
      <c r="K701" s="122"/>
      <c r="L701" s="121"/>
      <c r="M701" s="122"/>
      <c r="O701"/>
      <c r="P701"/>
    </row>
    <row r="702" spans="1:16" s="102" customFormat="1">
      <c r="A702" s="122"/>
      <c r="B702" s="122"/>
      <c r="C702" s="122"/>
      <c r="D702" s="122"/>
      <c r="E702" s="122"/>
      <c r="F702" s="122"/>
      <c r="G702" s="121"/>
      <c r="H702" s="122"/>
      <c r="I702" s="122"/>
      <c r="J702" s="122"/>
      <c r="K702" s="122"/>
      <c r="L702" s="121"/>
      <c r="M702" s="122"/>
      <c r="O702"/>
      <c r="P702"/>
    </row>
    <row r="703" spans="1:16" s="102" customFormat="1">
      <c r="A703" s="122"/>
      <c r="B703" s="122"/>
      <c r="C703" s="122"/>
      <c r="D703" s="122"/>
      <c r="E703" s="122"/>
      <c r="F703" s="122"/>
      <c r="G703" s="121"/>
      <c r="H703" s="122"/>
      <c r="I703" s="122"/>
      <c r="J703" s="122"/>
      <c r="K703" s="122"/>
      <c r="L703" s="121"/>
      <c r="M703" s="122"/>
      <c r="O703"/>
      <c r="P703"/>
    </row>
    <row r="704" spans="1:16" s="102" customFormat="1">
      <c r="A704" s="122"/>
      <c r="B704" s="122"/>
      <c r="C704" s="122"/>
      <c r="D704" s="122"/>
      <c r="E704" s="122"/>
      <c r="F704" s="122"/>
      <c r="G704" s="121"/>
      <c r="H704" s="122"/>
      <c r="I704" s="122"/>
      <c r="J704" s="122"/>
      <c r="K704" s="122"/>
      <c r="L704" s="121"/>
      <c r="M704" s="122"/>
      <c r="O704"/>
      <c r="P704"/>
    </row>
    <row r="705" spans="1:16" s="102" customFormat="1">
      <c r="A705" s="122"/>
      <c r="B705" s="122"/>
      <c r="C705" s="122"/>
      <c r="D705" s="122"/>
      <c r="E705" s="122"/>
      <c r="F705" s="122"/>
      <c r="G705" s="121"/>
      <c r="H705" s="122"/>
      <c r="I705" s="122"/>
      <c r="J705" s="122"/>
      <c r="K705" s="122"/>
      <c r="L705" s="121"/>
      <c r="M705" s="122"/>
      <c r="O705"/>
      <c r="P705"/>
    </row>
    <row r="706" spans="1:16" s="102" customFormat="1">
      <c r="A706" s="122"/>
      <c r="B706" s="122"/>
      <c r="C706" s="122"/>
      <c r="D706" s="122"/>
      <c r="E706" s="122"/>
      <c r="F706" s="122"/>
      <c r="G706" s="121"/>
      <c r="H706" s="122"/>
      <c r="I706" s="122"/>
      <c r="J706" s="122"/>
      <c r="K706" s="122"/>
      <c r="L706" s="121"/>
      <c r="M706" s="122"/>
      <c r="O706"/>
      <c r="P706"/>
    </row>
    <row r="707" spans="1:16" s="102" customFormat="1">
      <c r="A707" s="122"/>
      <c r="B707" s="122"/>
      <c r="C707" s="122"/>
      <c r="D707" s="122"/>
      <c r="E707" s="122"/>
      <c r="F707" s="122"/>
      <c r="G707" s="121"/>
      <c r="H707" s="122"/>
      <c r="I707" s="122"/>
      <c r="J707" s="122"/>
      <c r="K707" s="122"/>
      <c r="L707" s="121"/>
      <c r="M707" s="122"/>
      <c r="O707"/>
      <c r="P707"/>
    </row>
    <row r="708" spans="1:16" s="102" customFormat="1">
      <c r="A708" s="122"/>
      <c r="B708" s="122"/>
      <c r="C708" s="122"/>
      <c r="D708" s="122"/>
      <c r="E708" s="122"/>
      <c r="F708" s="122"/>
      <c r="G708" s="121"/>
      <c r="H708" s="122"/>
      <c r="I708" s="122"/>
      <c r="J708" s="122"/>
      <c r="K708" s="122"/>
      <c r="L708" s="121"/>
      <c r="M708" s="122"/>
      <c r="O708"/>
      <c r="P708"/>
    </row>
    <row r="709" spans="1:16" s="102" customFormat="1">
      <c r="A709" s="122"/>
      <c r="B709" s="122"/>
      <c r="C709" s="122"/>
      <c r="D709" s="122"/>
      <c r="E709" s="122"/>
      <c r="F709" s="122"/>
      <c r="G709" s="121"/>
      <c r="H709" s="122"/>
      <c r="I709" s="122"/>
      <c r="J709" s="122"/>
      <c r="K709" s="122"/>
      <c r="L709" s="121"/>
      <c r="M709" s="122"/>
      <c r="O709"/>
      <c r="P709"/>
    </row>
    <row r="710" spans="1:16" s="102" customFormat="1">
      <c r="A710" s="122"/>
      <c r="B710" s="122"/>
      <c r="C710" s="122"/>
      <c r="D710" s="122"/>
      <c r="E710" s="122"/>
      <c r="F710" s="122"/>
      <c r="G710" s="121"/>
      <c r="H710" s="122"/>
      <c r="I710" s="122"/>
      <c r="J710" s="122"/>
      <c r="K710" s="122"/>
      <c r="L710" s="121"/>
      <c r="M710" s="122"/>
      <c r="O710"/>
      <c r="P710"/>
    </row>
    <row r="711" spans="1:16" s="102" customFormat="1">
      <c r="A711" s="122"/>
      <c r="B711" s="122"/>
      <c r="C711" s="122"/>
      <c r="D711" s="122"/>
      <c r="E711" s="122"/>
      <c r="F711" s="122"/>
      <c r="G711" s="121"/>
      <c r="H711" s="122"/>
      <c r="I711" s="122"/>
      <c r="J711" s="122"/>
      <c r="K711" s="122"/>
      <c r="L711" s="121"/>
      <c r="M711" s="122"/>
      <c r="O711"/>
      <c r="P711"/>
    </row>
    <row r="712" spans="1:16" s="102" customFormat="1">
      <c r="A712" s="122"/>
      <c r="B712" s="122"/>
      <c r="C712" s="122"/>
      <c r="D712" s="122"/>
      <c r="E712" s="122"/>
      <c r="F712" s="122"/>
      <c r="G712" s="121"/>
      <c r="H712" s="122"/>
      <c r="I712" s="122"/>
      <c r="J712" s="122"/>
      <c r="K712" s="122"/>
      <c r="L712" s="121"/>
      <c r="M712" s="122"/>
      <c r="O712"/>
      <c r="P712"/>
    </row>
    <row r="713" spans="1:16" s="102" customFormat="1">
      <c r="A713" s="122"/>
      <c r="B713" s="122"/>
      <c r="C713" s="122"/>
      <c r="D713" s="122"/>
      <c r="E713" s="122"/>
      <c r="F713" s="122"/>
      <c r="G713" s="121"/>
      <c r="H713" s="122"/>
      <c r="I713" s="122"/>
      <c r="J713" s="122"/>
      <c r="K713" s="122"/>
      <c r="L713" s="121"/>
      <c r="M713" s="122"/>
      <c r="O713"/>
      <c r="P713"/>
    </row>
    <row r="714" spans="1:16" s="102" customFormat="1">
      <c r="A714" s="122"/>
      <c r="B714" s="122"/>
      <c r="C714" s="122"/>
      <c r="D714" s="122"/>
      <c r="E714" s="122"/>
      <c r="F714" s="122"/>
      <c r="G714" s="121"/>
      <c r="H714" s="122"/>
      <c r="I714" s="122"/>
      <c r="J714" s="122"/>
      <c r="K714" s="122"/>
      <c r="L714" s="121"/>
      <c r="M714" s="122"/>
      <c r="O714"/>
      <c r="P714"/>
    </row>
    <row r="715" spans="1:16" s="102" customFormat="1">
      <c r="A715" s="122"/>
      <c r="B715" s="122"/>
      <c r="C715" s="122"/>
      <c r="D715" s="122"/>
      <c r="E715" s="122"/>
      <c r="F715" s="122"/>
      <c r="G715" s="121"/>
      <c r="H715" s="122"/>
      <c r="I715" s="122"/>
      <c r="J715" s="122"/>
      <c r="K715" s="122"/>
      <c r="L715" s="121"/>
      <c r="M715" s="122"/>
      <c r="O715"/>
      <c r="P715"/>
    </row>
    <row r="716" spans="1:16" s="102" customFormat="1">
      <c r="A716" s="122"/>
      <c r="B716" s="122"/>
      <c r="C716" s="122"/>
      <c r="D716" s="122"/>
      <c r="E716" s="122"/>
      <c r="F716" s="122"/>
      <c r="G716" s="121"/>
      <c r="H716" s="122"/>
      <c r="I716" s="122"/>
      <c r="J716" s="122"/>
      <c r="K716" s="122"/>
      <c r="L716" s="121"/>
      <c r="M716" s="122"/>
      <c r="O716"/>
      <c r="P716"/>
    </row>
    <row r="717" spans="1:16" s="102" customFormat="1">
      <c r="A717" s="122"/>
      <c r="B717" s="122"/>
      <c r="C717" s="122"/>
      <c r="D717" s="122"/>
      <c r="E717" s="122"/>
      <c r="F717" s="122"/>
      <c r="G717" s="121"/>
      <c r="H717" s="122"/>
      <c r="I717" s="122"/>
      <c r="J717" s="122"/>
      <c r="K717" s="122"/>
      <c r="L717" s="121"/>
      <c r="M717" s="122"/>
      <c r="O717"/>
      <c r="P717"/>
    </row>
    <row r="718" spans="1:16" s="102" customFormat="1">
      <c r="A718" s="122"/>
      <c r="B718" s="122"/>
      <c r="C718" s="122"/>
      <c r="D718" s="122"/>
      <c r="E718" s="122"/>
      <c r="F718" s="122"/>
      <c r="G718" s="121"/>
      <c r="H718" s="122"/>
      <c r="I718" s="122"/>
      <c r="J718" s="122"/>
      <c r="K718" s="122"/>
      <c r="L718" s="121"/>
      <c r="M718" s="122"/>
      <c r="O718"/>
      <c r="P718"/>
    </row>
    <row r="719" spans="1:16" s="102" customFormat="1">
      <c r="A719" s="122"/>
      <c r="B719" s="122"/>
      <c r="C719" s="122"/>
      <c r="D719" s="122"/>
      <c r="E719" s="122"/>
      <c r="F719" s="122"/>
      <c r="G719" s="121"/>
      <c r="H719" s="122"/>
      <c r="I719" s="122"/>
      <c r="J719" s="122"/>
      <c r="K719" s="122"/>
      <c r="L719" s="121"/>
      <c r="M719" s="122"/>
      <c r="O719"/>
      <c r="P719"/>
    </row>
    <row r="720" spans="1:16" s="102" customFormat="1">
      <c r="A720" s="122"/>
      <c r="B720" s="122"/>
      <c r="C720" s="122"/>
      <c r="D720" s="122"/>
      <c r="E720" s="122"/>
      <c r="F720" s="122"/>
      <c r="G720" s="121"/>
      <c r="H720" s="122"/>
      <c r="I720" s="122"/>
      <c r="J720" s="122"/>
      <c r="K720" s="122"/>
      <c r="L720" s="121"/>
      <c r="M720" s="122"/>
      <c r="O720"/>
      <c r="P720"/>
    </row>
    <row r="721" spans="1:16" s="102" customFormat="1">
      <c r="A721" s="122"/>
      <c r="B721" s="122"/>
      <c r="C721" s="122"/>
      <c r="D721" s="122"/>
      <c r="E721" s="122"/>
      <c r="F721" s="122"/>
      <c r="G721" s="121"/>
      <c r="H721" s="122"/>
      <c r="I721" s="122"/>
      <c r="J721" s="122"/>
      <c r="K721" s="122"/>
      <c r="L721" s="121"/>
      <c r="M721" s="122"/>
      <c r="O721"/>
      <c r="P721"/>
    </row>
    <row r="722" spans="1:16" s="102" customFormat="1">
      <c r="A722" s="122"/>
      <c r="B722" s="122"/>
      <c r="C722" s="122"/>
      <c r="D722" s="122"/>
      <c r="E722" s="122"/>
      <c r="F722" s="122"/>
      <c r="G722" s="121"/>
      <c r="H722" s="122"/>
      <c r="I722" s="122"/>
      <c r="J722" s="122"/>
      <c r="K722" s="122"/>
      <c r="L722" s="121"/>
      <c r="M722" s="122"/>
      <c r="O722"/>
      <c r="P722"/>
    </row>
    <row r="723" spans="1:16" s="102" customFormat="1">
      <c r="A723" s="122"/>
      <c r="B723" s="122"/>
      <c r="C723" s="122"/>
      <c r="D723" s="122"/>
      <c r="E723" s="122"/>
      <c r="F723" s="122"/>
      <c r="G723" s="121"/>
      <c r="H723" s="122"/>
      <c r="I723" s="122"/>
      <c r="J723" s="122"/>
      <c r="K723" s="122"/>
      <c r="L723" s="121"/>
      <c r="M723" s="122"/>
      <c r="O723"/>
      <c r="P723"/>
    </row>
    <row r="724" spans="1:16" s="102" customFormat="1">
      <c r="A724" s="122"/>
      <c r="B724" s="122"/>
      <c r="C724" s="122"/>
      <c r="D724" s="122"/>
      <c r="E724" s="122"/>
      <c r="F724" s="122"/>
      <c r="G724" s="121"/>
      <c r="H724" s="122"/>
      <c r="I724" s="122"/>
      <c r="J724" s="122"/>
      <c r="K724" s="122"/>
      <c r="L724" s="121"/>
      <c r="M724" s="122"/>
      <c r="O724"/>
      <c r="P724"/>
    </row>
    <row r="725" spans="1:16" s="102" customFormat="1">
      <c r="A725" s="122"/>
      <c r="B725" s="122"/>
      <c r="C725" s="122"/>
      <c r="D725" s="122"/>
      <c r="E725" s="122"/>
      <c r="F725" s="122"/>
      <c r="G725" s="121"/>
      <c r="H725" s="122"/>
      <c r="I725" s="122"/>
      <c r="J725" s="122"/>
      <c r="K725" s="122"/>
      <c r="L725" s="121"/>
      <c r="M725" s="122"/>
      <c r="O725"/>
      <c r="P725"/>
    </row>
    <row r="726" spans="1:16" s="102" customFormat="1">
      <c r="A726" s="122"/>
      <c r="B726" s="122"/>
      <c r="C726" s="122"/>
      <c r="D726" s="122"/>
      <c r="E726" s="122"/>
      <c r="F726" s="122"/>
      <c r="G726" s="121"/>
      <c r="H726" s="122"/>
      <c r="I726" s="122"/>
      <c r="J726" s="122"/>
      <c r="K726" s="122"/>
      <c r="L726" s="121"/>
      <c r="M726" s="122"/>
      <c r="O726"/>
      <c r="P726"/>
    </row>
    <row r="727" spans="1:16" s="102" customFormat="1">
      <c r="A727" s="122"/>
      <c r="B727" s="122"/>
      <c r="C727" s="122"/>
      <c r="D727" s="122"/>
      <c r="E727" s="122"/>
      <c r="F727" s="122"/>
      <c r="G727" s="121"/>
      <c r="H727" s="122"/>
      <c r="I727" s="122"/>
      <c r="J727" s="122"/>
      <c r="K727" s="122"/>
      <c r="L727" s="121"/>
      <c r="M727" s="122"/>
      <c r="O727"/>
      <c r="P727"/>
    </row>
    <row r="728" spans="1:16" s="102" customFormat="1">
      <c r="A728" s="122"/>
      <c r="B728" s="122"/>
      <c r="C728" s="122"/>
      <c r="D728" s="122"/>
      <c r="E728" s="122"/>
      <c r="F728" s="122"/>
      <c r="G728" s="121"/>
      <c r="H728" s="122"/>
      <c r="I728" s="122"/>
      <c r="J728" s="122"/>
      <c r="K728" s="122"/>
      <c r="L728" s="121"/>
      <c r="M728" s="122"/>
      <c r="O728"/>
      <c r="P728"/>
    </row>
    <row r="729" spans="1:16" s="102" customFormat="1">
      <c r="A729" s="122"/>
      <c r="B729" s="122"/>
      <c r="C729" s="122"/>
      <c r="D729" s="122"/>
      <c r="E729" s="122"/>
      <c r="F729" s="122"/>
      <c r="G729" s="121"/>
      <c r="H729" s="122"/>
      <c r="I729" s="122"/>
      <c r="J729" s="122"/>
      <c r="K729" s="122"/>
      <c r="L729" s="121"/>
      <c r="M729" s="122"/>
      <c r="O729"/>
      <c r="P729"/>
    </row>
    <row r="730" spans="1:16" s="102" customFormat="1">
      <c r="A730" s="122"/>
      <c r="B730" s="122"/>
      <c r="C730" s="122"/>
      <c r="D730" s="122"/>
      <c r="E730" s="122"/>
      <c r="F730" s="122"/>
      <c r="G730" s="121"/>
      <c r="H730" s="122"/>
      <c r="I730" s="122"/>
      <c r="J730" s="122"/>
      <c r="K730" s="122"/>
      <c r="L730" s="121"/>
      <c r="M730" s="122"/>
      <c r="O730"/>
      <c r="P730"/>
    </row>
    <row r="731" spans="1:16" s="102" customFormat="1">
      <c r="A731" s="122"/>
      <c r="B731" s="122"/>
      <c r="C731" s="122"/>
      <c r="D731" s="122"/>
      <c r="E731" s="122"/>
      <c r="F731" s="122"/>
      <c r="G731" s="121"/>
      <c r="H731" s="122"/>
      <c r="I731" s="122"/>
      <c r="J731" s="122"/>
      <c r="K731" s="122"/>
      <c r="L731" s="121"/>
      <c r="M731" s="122"/>
      <c r="O731"/>
      <c r="P731"/>
    </row>
    <row r="732" spans="1:16" s="102" customFormat="1">
      <c r="A732" s="122"/>
      <c r="B732" s="122"/>
      <c r="C732" s="122"/>
      <c r="D732" s="122"/>
      <c r="E732" s="122"/>
      <c r="F732" s="122"/>
      <c r="G732" s="121"/>
      <c r="H732" s="122"/>
      <c r="I732" s="122"/>
      <c r="J732" s="122"/>
      <c r="K732" s="122"/>
      <c r="L732" s="121"/>
      <c r="M732" s="122"/>
      <c r="O732"/>
      <c r="P732"/>
    </row>
    <row r="733" spans="1:16" s="102" customFormat="1">
      <c r="A733" s="122"/>
      <c r="B733" s="122"/>
      <c r="C733" s="122"/>
      <c r="D733" s="122"/>
      <c r="E733" s="122"/>
      <c r="F733" s="122"/>
      <c r="G733" s="121"/>
      <c r="H733" s="122"/>
      <c r="I733" s="122"/>
      <c r="J733" s="122"/>
      <c r="K733" s="122"/>
      <c r="L733" s="121"/>
      <c r="M733" s="122"/>
      <c r="O733"/>
      <c r="P733"/>
    </row>
    <row r="734" spans="1:16" s="102" customFormat="1">
      <c r="A734" s="122"/>
      <c r="B734" s="122"/>
      <c r="C734" s="122"/>
      <c r="D734" s="122"/>
      <c r="E734" s="122"/>
      <c r="F734" s="122"/>
      <c r="G734" s="121"/>
      <c r="H734" s="122"/>
      <c r="I734" s="122"/>
      <c r="J734" s="122"/>
      <c r="K734" s="122"/>
      <c r="L734" s="121"/>
      <c r="M734" s="122"/>
      <c r="O734"/>
      <c r="P734"/>
    </row>
    <row r="735" spans="1:16" s="102" customFormat="1">
      <c r="A735" s="122"/>
      <c r="B735" s="122"/>
      <c r="C735" s="122"/>
      <c r="D735" s="122"/>
      <c r="E735" s="122"/>
      <c r="F735" s="122"/>
      <c r="G735" s="121"/>
      <c r="H735" s="122"/>
      <c r="I735" s="122"/>
      <c r="J735" s="122"/>
      <c r="K735" s="122"/>
      <c r="L735" s="121"/>
      <c r="M735" s="122"/>
      <c r="O735"/>
      <c r="P735"/>
    </row>
    <row r="736" spans="1:16" s="102" customFormat="1">
      <c r="A736" s="122"/>
      <c r="B736" s="122"/>
      <c r="C736" s="122"/>
      <c r="D736" s="122"/>
      <c r="E736" s="122"/>
      <c r="F736" s="122"/>
      <c r="G736" s="121"/>
      <c r="H736" s="122"/>
      <c r="I736" s="122"/>
      <c r="J736" s="122"/>
      <c r="K736" s="122"/>
      <c r="L736" s="121"/>
      <c r="M736" s="122"/>
      <c r="O736"/>
      <c r="P736"/>
    </row>
    <row r="737" spans="1:16" s="102" customFormat="1">
      <c r="A737" s="122"/>
      <c r="B737" s="122"/>
      <c r="C737" s="122"/>
      <c r="D737" s="122"/>
      <c r="E737" s="122"/>
      <c r="F737" s="122"/>
      <c r="G737" s="121"/>
      <c r="H737" s="122"/>
      <c r="I737" s="122"/>
      <c r="J737" s="122"/>
      <c r="K737" s="122"/>
      <c r="L737" s="121"/>
      <c r="M737" s="122"/>
      <c r="O737"/>
      <c r="P737"/>
    </row>
    <row r="738" spans="1:16" s="102" customFormat="1">
      <c r="A738" s="122"/>
      <c r="B738" s="122"/>
      <c r="C738" s="122"/>
      <c r="D738" s="122"/>
      <c r="E738" s="122"/>
      <c r="F738" s="122"/>
      <c r="G738" s="121"/>
      <c r="H738" s="122"/>
      <c r="I738" s="122"/>
      <c r="J738" s="122"/>
      <c r="K738" s="122"/>
      <c r="L738" s="121"/>
      <c r="M738" s="122"/>
      <c r="O738"/>
      <c r="P738"/>
    </row>
    <row r="739" spans="1:16" s="102" customFormat="1">
      <c r="A739" s="122"/>
      <c r="B739" s="122"/>
      <c r="C739" s="122"/>
      <c r="D739" s="122"/>
      <c r="E739" s="122"/>
      <c r="F739" s="122"/>
      <c r="G739" s="121"/>
      <c r="H739" s="122"/>
      <c r="I739" s="122"/>
      <c r="J739" s="122"/>
      <c r="K739" s="122"/>
      <c r="L739" s="121"/>
      <c r="M739" s="122"/>
      <c r="O739"/>
      <c r="P739"/>
    </row>
    <row r="740" spans="1:16" s="102" customFormat="1">
      <c r="A740" s="122"/>
      <c r="B740" s="122"/>
      <c r="C740" s="122"/>
      <c r="D740" s="122"/>
      <c r="E740" s="122"/>
      <c r="F740" s="122"/>
      <c r="G740" s="121"/>
      <c r="H740" s="122"/>
      <c r="I740" s="122"/>
      <c r="J740" s="122"/>
      <c r="K740" s="122"/>
      <c r="L740" s="121"/>
      <c r="M740" s="122"/>
      <c r="O740"/>
      <c r="P740"/>
    </row>
    <row r="741" spans="1:16" s="102" customFormat="1">
      <c r="A741" s="122"/>
      <c r="B741" s="122"/>
      <c r="C741" s="122"/>
      <c r="D741" s="122"/>
      <c r="E741" s="122"/>
      <c r="F741" s="122"/>
      <c r="G741" s="121"/>
      <c r="H741" s="122"/>
      <c r="I741" s="122"/>
      <c r="J741" s="122"/>
      <c r="K741" s="122"/>
      <c r="L741" s="121"/>
      <c r="M741" s="122"/>
      <c r="O741"/>
      <c r="P741"/>
    </row>
    <row r="742" spans="1:16" s="102" customFormat="1">
      <c r="A742" s="122"/>
      <c r="B742" s="122"/>
      <c r="C742" s="122"/>
      <c r="D742" s="122"/>
      <c r="E742" s="122"/>
      <c r="F742" s="122"/>
      <c r="G742" s="121"/>
      <c r="H742" s="122"/>
      <c r="I742" s="122"/>
      <c r="J742" s="122"/>
      <c r="K742" s="122"/>
      <c r="L742" s="121"/>
      <c r="M742" s="122"/>
      <c r="O742"/>
      <c r="P742"/>
    </row>
    <row r="743" spans="1:16" s="102" customFormat="1">
      <c r="A743" s="122"/>
      <c r="B743" s="122"/>
      <c r="C743" s="122"/>
      <c r="D743" s="122"/>
      <c r="E743" s="122"/>
      <c r="F743" s="122"/>
      <c r="G743" s="121"/>
      <c r="H743" s="122"/>
      <c r="I743" s="122"/>
      <c r="J743" s="122"/>
      <c r="K743" s="122"/>
      <c r="L743" s="121"/>
      <c r="M743" s="122"/>
      <c r="O743"/>
      <c r="P743"/>
    </row>
    <row r="744" spans="1:16" s="102" customFormat="1">
      <c r="A744" s="122"/>
      <c r="B744" s="122"/>
      <c r="C744" s="122"/>
      <c r="D744" s="122"/>
      <c r="E744" s="122"/>
      <c r="F744" s="122"/>
      <c r="G744" s="121"/>
      <c r="H744" s="122"/>
      <c r="I744" s="122"/>
      <c r="J744" s="122"/>
      <c r="K744" s="122"/>
      <c r="L744" s="121"/>
      <c r="M744" s="122"/>
      <c r="O744"/>
      <c r="P744"/>
    </row>
    <row r="745" spans="1:16" s="102" customFormat="1">
      <c r="A745" s="122"/>
      <c r="B745" s="122"/>
      <c r="C745" s="122"/>
      <c r="D745" s="122"/>
      <c r="E745" s="122"/>
      <c r="F745" s="122"/>
      <c r="G745" s="121"/>
      <c r="H745" s="122"/>
      <c r="I745" s="122"/>
      <c r="J745" s="122"/>
      <c r="K745" s="122"/>
      <c r="L745" s="121"/>
      <c r="M745" s="122"/>
      <c r="O745"/>
      <c r="P745"/>
    </row>
    <row r="746" spans="1:16" s="102" customFormat="1">
      <c r="A746" s="122"/>
      <c r="B746" s="122"/>
      <c r="C746" s="122"/>
      <c r="D746" s="122"/>
      <c r="E746" s="122"/>
      <c r="F746" s="122"/>
      <c r="G746" s="121"/>
      <c r="H746" s="122"/>
      <c r="I746" s="122"/>
      <c r="J746" s="122"/>
      <c r="K746" s="122"/>
      <c r="L746" s="121"/>
      <c r="M746" s="122"/>
      <c r="O746"/>
      <c r="P746"/>
    </row>
    <row r="747" spans="1:16" s="102" customFormat="1">
      <c r="A747" s="122"/>
      <c r="B747" s="122"/>
      <c r="C747" s="122"/>
      <c r="D747" s="122"/>
      <c r="E747" s="122"/>
      <c r="F747" s="122"/>
      <c r="G747" s="121"/>
      <c r="H747" s="122"/>
      <c r="I747" s="122"/>
      <c r="J747" s="122"/>
      <c r="K747" s="122"/>
      <c r="L747" s="121"/>
      <c r="M747" s="122"/>
      <c r="O747"/>
      <c r="P747"/>
    </row>
    <row r="748" spans="1:16" s="102" customFormat="1">
      <c r="A748" s="122"/>
      <c r="B748" s="122"/>
      <c r="C748" s="122"/>
      <c r="D748" s="122"/>
      <c r="E748" s="122"/>
      <c r="F748" s="122"/>
      <c r="G748" s="121"/>
      <c r="H748" s="122"/>
      <c r="I748" s="122"/>
      <c r="J748" s="122"/>
      <c r="K748" s="122"/>
      <c r="L748" s="121"/>
      <c r="M748" s="122"/>
      <c r="O748"/>
      <c r="P748"/>
    </row>
    <row r="749" spans="1:16" s="102" customFormat="1">
      <c r="A749" s="122"/>
      <c r="B749" s="122"/>
      <c r="C749" s="122"/>
      <c r="D749" s="122"/>
      <c r="E749" s="122"/>
      <c r="F749" s="122"/>
      <c r="G749" s="121"/>
      <c r="H749" s="122"/>
      <c r="I749" s="122"/>
      <c r="J749" s="122"/>
      <c r="K749" s="122"/>
      <c r="L749" s="121"/>
      <c r="M749" s="122"/>
      <c r="O749"/>
      <c r="P749"/>
    </row>
    <row r="750" spans="1:16" s="102" customFormat="1">
      <c r="A750" s="122"/>
      <c r="B750" s="122"/>
      <c r="C750" s="122"/>
      <c r="D750" s="122"/>
      <c r="E750" s="122"/>
      <c r="F750" s="122"/>
      <c r="G750" s="121"/>
      <c r="H750" s="122"/>
      <c r="I750" s="122"/>
      <c r="J750" s="122"/>
      <c r="K750" s="122"/>
      <c r="L750" s="121"/>
      <c r="M750" s="122"/>
      <c r="O750"/>
      <c r="P750"/>
    </row>
    <row r="751" spans="1:16" s="102" customFormat="1">
      <c r="A751" s="122"/>
      <c r="B751" s="122"/>
      <c r="C751" s="122"/>
      <c r="D751" s="122"/>
      <c r="E751" s="122"/>
      <c r="F751" s="122"/>
      <c r="G751" s="121"/>
      <c r="H751" s="122"/>
      <c r="I751" s="122"/>
      <c r="J751" s="122"/>
      <c r="K751" s="122"/>
      <c r="L751" s="121"/>
      <c r="M751" s="122"/>
      <c r="O751"/>
      <c r="P751"/>
    </row>
    <row r="752" spans="1:16" s="102" customFormat="1">
      <c r="A752" s="122"/>
      <c r="B752" s="122"/>
      <c r="C752" s="122"/>
      <c r="D752" s="122"/>
      <c r="E752" s="122"/>
      <c r="F752" s="122"/>
      <c r="G752" s="121"/>
      <c r="H752" s="122"/>
      <c r="I752" s="122"/>
      <c r="J752" s="122"/>
      <c r="K752" s="122"/>
      <c r="L752" s="121"/>
      <c r="M752" s="122"/>
      <c r="O752"/>
      <c r="P752"/>
    </row>
    <row r="753" spans="1:16" s="102" customFormat="1">
      <c r="A753" s="122"/>
      <c r="B753" s="122"/>
      <c r="C753" s="122"/>
      <c r="D753" s="122"/>
      <c r="E753" s="122"/>
      <c r="F753" s="122"/>
      <c r="G753" s="121"/>
      <c r="H753" s="122"/>
      <c r="I753" s="122"/>
      <c r="J753" s="122"/>
      <c r="K753" s="122"/>
      <c r="L753" s="121"/>
      <c r="M753" s="122"/>
      <c r="O753"/>
      <c r="P753"/>
    </row>
    <row r="754" spans="1:16" s="102" customFormat="1">
      <c r="A754" s="122"/>
      <c r="B754" s="122"/>
      <c r="C754" s="122"/>
      <c r="D754" s="122"/>
      <c r="E754" s="122"/>
      <c r="F754" s="122"/>
      <c r="G754" s="121"/>
      <c r="H754" s="122"/>
      <c r="I754" s="122"/>
      <c r="J754" s="122"/>
      <c r="K754" s="122"/>
      <c r="L754" s="121"/>
      <c r="M754" s="122"/>
      <c r="O754"/>
      <c r="P754"/>
    </row>
    <row r="755" spans="1:16" s="102" customFormat="1">
      <c r="A755" s="122"/>
      <c r="B755" s="122"/>
      <c r="C755" s="122"/>
      <c r="D755" s="122"/>
      <c r="E755" s="122"/>
      <c r="F755" s="122"/>
      <c r="G755" s="121"/>
      <c r="H755" s="122"/>
      <c r="I755" s="122"/>
      <c r="J755" s="122"/>
      <c r="K755" s="122"/>
      <c r="L755" s="121"/>
      <c r="M755" s="122"/>
      <c r="O755"/>
      <c r="P755"/>
    </row>
    <row r="756" spans="1:16" s="102" customFormat="1">
      <c r="A756" s="122"/>
      <c r="B756" s="122"/>
      <c r="C756" s="122"/>
      <c r="D756" s="122"/>
      <c r="E756" s="122"/>
      <c r="F756" s="122"/>
      <c r="G756" s="121"/>
      <c r="H756" s="122"/>
      <c r="I756" s="122"/>
      <c r="J756" s="122"/>
      <c r="K756" s="122"/>
      <c r="L756" s="121"/>
      <c r="M756" s="122"/>
      <c r="O756"/>
      <c r="P756"/>
    </row>
    <row r="757" spans="1:16" s="102" customFormat="1">
      <c r="A757" s="122"/>
      <c r="B757" s="122"/>
      <c r="C757" s="122"/>
      <c r="D757" s="122"/>
      <c r="E757" s="122"/>
      <c r="F757" s="122"/>
      <c r="G757" s="121"/>
      <c r="H757" s="122"/>
      <c r="I757" s="122"/>
      <c r="J757" s="122"/>
      <c r="K757" s="122"/>
      <c r="L757" s="121"/>
      <c r="M757" s="122"/>
      <c r="O757"/>
      <c r="P757"/>
    </row>
    <row r="758" spans="1:16" s="102" customFormat="1">
      <c r="A758" s="122"/>
      <c r="B758" s="122"/>
      <c r="C758" s="122"/>
      <c r="D758" s="122"/>
      <c r="E758" s="122"/>
      <c r="F758" s="122"/>
      <c r="G758" s="121"/>
      <c r="H758" s="122"/>
      <c r="I758" s="122"/>
      <c r="J758" s="122"/>
      <c r="K758" s="122"/>
      <c r="L758" s="121"/>
      <c r="M758" s="122"/>
      <c r="O758"/>
      <c r="P758"/>
    </row>
    <row r="759" spans="1:16" s="102" customFormat="1">
      <c r="A759" s="122"/>
      <c r="B759" s="122"/>
      <c r="C759" s="122"/>
      <c r="D759" s="122"/>
      <c r="E759" s="122"/>
      <c r="F759" s="122"/>
      <c r="G759" s="121"/>
      <c r="H759" s="122"/>
      <c r="I759" s="122"/>
      <c r="J759" s="122"/>
      <c r="K759" s="122"/>
      <c r="L759" s="121"/>
      <c r="M759" s="122"/>
      <c r="O759"/>
      <c r="P759"/>
    </row>
    <row r="760" spans="1:16" s="102" customFormat="1">
      <c r="A760" s="122"/>
      <c r="B760" s="122"/>
      <c r="C760" s="122"/>
      <c r="D760" s="122"/>
      <c r="E760" s="122"/>
      <c r="F760" s="122"/>
      <c r="G760" s="121"/>
      <c r="H760" s="122"/>
      <c r="I760" s="122"/>
      <c r="J760" s="122"/>
      <c r="K760" s="122"/>
      <c r="L760" s="121"/>
      <c r="M760" s="122"/>
      <c r="O760"/>
      <c r="P760"/>
    </row>
    <row r="761" spans="1:16" s="102" customFormat="1">
      <c r="A761" s="122"/>
      <c r="B761" s="122"/>
      <c r="C761" s="122"/>
      <c r="D761" s="122"/>
      <c r="E761" s="122"/>
      <c r="F761" s="122"/>
      <c r="G761" s="121"/>
      <c r="H761" s="122"/>
      <c r="I761" s="122"/>
      <c r="J761" s="122"/>
      <c r="K761" s="122"/>
      <c r="L761" s="121"/>
      <c r="M761" s="122"/>
      <c r="O761"/>
      <c r="P761"/>
    </row>
    <row r="762" spans="1:16" s="102" customFormat="1">
      <c r="A762" s="122"/>
      <c r="B762" s="122"/>
      <c r="C762" s="122"/>
      <c r="D762" s="122"/>
      <c r="E762" s="122"/>
      <c r="F762" s="122"/>
      <c r="G762" s="121"/>
      <c r="H762" s="122"/>
      <c r="I762" s="122"/>
      <c r="J762" s="122"/>
      <c r="K762" s="122"/>
      <c r="L762" s="121"/>
      <c r="M762" s="122"/>
      <c r="O762"/>
      <c r="P762"/>
    </row>
    <row r="763" spans="1:16" s="102" customFormat="1">
      <c r="A763" s="122"/>
      <c r="B763" s="122"/>
      <c r="C763" s="122"/>
      <c r="D763" s="122"/>
      <c r="E763" s="122"/>
      <c r="F763" s="122"/>
      <c r="G763" s="121"/>
      <c r="H763" s="122"/>
      <c r="I763" s="122"/>
      <c r="J763" s="122"/>
      <c r="K763" s="122"/>
      <c r="L763" s="121"/>
      <c r="M763" s="122"/>
      <c r="O763"/>
      <c r="P763"/>
    </row>
    <row r="764" spans="1:16" s="102" customFormat="1">
      <c r="A764" s="122"/>
      <c r="B764" s="122"/>
      <c r="C764" s="122"/>
      <c r="D764" s="122"/>
      <c r="E764" s="122"/>
      <c r="F764" s="122"/>
      <c r="G764" s="121"/>
      <c r="H764" s="122"/>
      <c r="I764" s="122"/>
      <c r="J764" s="122"/>
      <c r="K764" s="122"/>
      <c r="L764" s="121"/>
      <c r="M764" s="122"/>
      <c r="O764"/>
      <c r="P764"/>
    </row>
    <row r="765" spans="1:16" s="102" customFormat="1">
      <c r="A765" s="122"/>
      <c r="B765" s="122"/>
      <c r="C765" s="122"/>
      <c r="D765" s="122"/>
      <c r="E765" s="122"/>
      <c r="F765" s="122"/>
      <c r="G765" s="121"/>
      <c r="H765" s="122"/>
      <c r="I765" s="122"/>
      <c r="J765" s="122"/>
      <c r="K765" s="122"/>
      <c r="L765" s="121"/>
      <c r="M765" s="122"/>
      <c r="O765"/>
      <c r="P765"/>
    </row>
    <row r="766" spans="1:16" s="102" customFormat="1">
      <c r="A766" s="122"/>
      <c r="B766" s="122"/>
      <c r="C766" s="122"/>
      <c r="D766" s="122"/>
      <c r="E766" s="122"/>
      <c r="F766" s="122"/>
      <c r="G766" s="121"/>
      <c r="H766" s="122"/>
      <c r="I766" s="122"/>
      <c r="J766" s="122"/>
      <c r="K766" s="122"/>
      <c r="L766" s="121"/>
      <c r="M766" s="122"/>
      <c r="O766"/>
      <c r="P766"/>
    </row>
    <row r="767" spans="1:16" s="102" customFormat="1">
      <c r="A767" s="122"/>
      <c r="B767" s="122"/>
      <c r="C767" s="122"/>
      <c r="D767" s="122"/>
      <c r="E767" s="122"/>
      <c r="F767" s="122"/>
      <c r="G767" s="121"/>
      <c r="H767" s="122"/>
      <c r="I767" s="122"/>
      <c r="J767" s="122"/>
      <c r="K767" s="122"/>
      <c r="L767" s="121"/>
      <c r="M767" s="122"/>
      <c r="O767"/>
      <c r="P767"/>
    </row>
    <row r="768" spans="1:16" s="102" customFormat="1">
      <c r="A768" s="122"/>
      <c r="B768" s="122"/>
      <c r="C768" s="122"/>
      <c r="D768" s="122"/>
      <c r="E768" s="122"/>
      <c r="F768" s="122"/>
      <c r="G768" s="121"/>
      <c r="H768" s="122"/>
      <c r="I768" s="122"/>
      <c r="J768" s="122"/>
      <c r="K768" s="122"/>
      <c r="L768" s="121"/>
      <c r="M768" s="122"/>
      <c r="O768"/>
      <c r="P768"/>
    </row>
    <row r="769" spans="1:16" s="102" customFormat="1">
      <c r="A769" s="122"/>
      <c r="B769" s="122"/>
      <c r="C769" s="122"/>
      <c r="D769" s="122"/>
      <c r="E769" s="122"/>
      <c r="F769" s="122"/>
      <c r="G769" s="121"/>
      <c r="H769" s="122"/>
      <c r="I769" s="122"/>
      <c r="J769" s="122"/>
      <c r="K769" s="122"/>
      <c r="L769" s="121"/>
      <c r="M769" s="122"/>
      <c r="O769"/>
      <c r="P769"/>
    </row>
    <row r="770" spans="1:16" s="102" customFormat="1">
      <c r="A770" s="122"/>
      <c r="B770" s="122"/>
      <c r="C770" s="122"/>
      <c r="D770" s="122"/>
      <c r="E770" s="122"/>
      <c r="F770" s="122"/>
      <c r="G770" s="121"/>
      <c r="H770" s="122"/>
      <c r="I770" s="122"/>
      <c r="J770" s="122"/>
      <c r="K770" s="122"/>
      <c r="L770" s="121"/>
      <c r="M770" s="122"/>
      <c r="O770"/>
      <c r="P770"/>
    </row>
    <row r="771" spans="1:16" s="102" customFormat="1">
      <c r="A771" s="122"/>
      <c r="B771" s="122"/>
      <c r="C771" s="122"/>
      <c r="D771" s="122"/>
      <c r="E771" s="122"/>
      <c r="F771" s="122"/>
      <c r="G771" s="121"/>
      <c r="H771" s="122"/>
      <c r="I771" s="122"/>
      <c r="J771" s="122"/>
      <c r="K771" s="122"/>
      <c r="L771" s="121"/>
      <c r="M771" s="122"/>
      <c r="O771"/>
      <c r="P771"/>
    </row>
    <row r="772" spans="1:16" s="102" customFormat="1">
      <c r="A772" s="122"/>
      <c r="B772" s="122"/>
      <c r="C772" s="122"/>
      <c r="D772" s="122"/>
      <c r="E772" s="122"/>
      <c r="F772" s="122"/>
      <c r="G772" s="121"/>
      <c r="H772" s="122"/>
      <c r="I772" s="122"/>
      <c r="J772" s="122"/>
      <c r="K772" s="122"/>
      <c r="L772" s="121"/>
      <c r="M772" s="122"/>
      <c r="O772"/>
      <c r="P772"/>
    </row>
    <row r="773" spans="1:16" s="102" customFormat="1">
      <c r="A773" s="122"/>
      <c r="B773" s="122"/>
      <c r="C773" s="122"/>
      <c r="D773" s="122"/>
      <c r="E773" s="122"/>
      <c r="F773" s="122"/>
      <c r="G773" s="121"/>
      <c r="H773" s="122"/>
      <c r="I773" s="122"/>
      <c r="J773" s="122"/>
      <c r="K773" s="122"/>
      <c r="L773" s="121"/>
      <c r="M773" s="122"/>
      <c r="O773"/>
      <c r="P773"/>
    </row>
    <row r="774" spans="1:16" s="102" customFormat="1">
      <c r="A774" s="122"/>
      <c r="B774" s="122"/>
      <c r="C774" s="122"/>
      <c r="D774" s="122"/>
      <c r="E774" s="122"/>
      <c r="F774" s="122"/>
      <c r="G774" s="121"/>
      <c r="H774" s="122"/>
      <c r="I774" s="122"/>
      <c r="J774" s="122"/>
      <c r="K774" s="122"/>
      <c r="L774" s="121"/>
      <c r="M774" s="122"/>
      <c r="O774"/>
      <c r="P774"/>
    </row>
    <row r="775" spans="1:16" s="102" customFormat="1">
      <c r="A775" s="122"/>
      <c r="B775" s="122"/>
      <c r="C775" s="122"/>
      <c r="D775" s="122"/>
      <c r="E775" s="122"/>
      <c r="F775" s="122"/>
      <c r="G775" s="121"/>
      <c r="H775" s="122"/>
      <c r="I775" s="122"/>
      <c r="J775" s="122"/>
      <c r="K775" s="122"/>
      <c r="L775" s="121"/>
      <c r="M775" s="122"/>
      <c r="O775"/>
      <c r="P775"/>
    </row>
    <row r="776" spans="1:16" s="102" customFormat="1">
      <c r="A776" s="122"/>
      <c r="B776" s="122"/>
      <c r="C776" s="122"/>
      <c r="D776" s="122"/>
      <c r="E776" s="122"/>
      <c r="F776" s="122"/>
      <c r="G776" s="121"/>
      <c r="H776" s="122"/>
      <c r="I776" s="122"/>
      <c r="J776" s="122"/>
      <c r="K776" s="122"/>
      <c r="L776" s="121"/>
      <c r="M776" s="122"/>
      <c r="O776"/>
      <c r="P776"/>
    </row>
    <row r="777" spans="1:16" s="102" customFormat="1">
      <c r="A777" s="122"/>
      <c r="B777" s="122"/>
      <c r="C777" s="122"/>
      <c r="D777" s="122"/>
      <c r="E777" s="122"/>
      <c r="F777" s="122"/>
      <c r="G777" s="121"/>
      <c r="H777" s="122"/>
      <c r="I777" s="122"/>
      <c r="J777" s="122"/>
      <c r="K777" s="122"/>
      <c r="L777" s="121"/>
      <c r="M777" s="122"/>
      <c r="O777"/>
      <c r="P777"/>
    </row>
    <row r="778" spans="1:16" s="102" customFormat="1">
      <c r="A778" s="122"/>
      <c r="B778" s="122"/>
      <c r="C778" s="122"/>
      <c r="D778" s="122"/>
      <c r="E778" s="122"/>
      <c r="F778" s="122"/>
      <c r="G778" s="121"/>
      <c r="H778" s="122"/>
      <c r="I778" s="122"/>
      <c r="J778" s="122"/>
      <c r="K778" s="122"/>
      <c r="L778" s="121"/>
      <c r="M778" s="122"/>
      <c r="O778"/>
      <c r="P778"/>
    </row>
    <row r="779" spans="1:16" s="102" customFormat="1">
      <c r="A779" s="122"/>
      <c r="B779" s="122"/>
      <c r="C779" s="122"/>
      <c r="D779" s="122"/>
      <c r="E779" s="122"/>
      <c r="F779" s="122"/>
      <c r="G779" s="121"/>
      <c r="H779" s="122"/>
      <c r="I779" s="122"/>
      <c r="J779" s="122"/>
      <c r="K779" s="122"/>
      <c r="L779" s="121"/>
      <c r="M779" s="122"/>
      <c r="O779"/>
      <c r="P779"/>
    </row>
    <row r="780" spans="1:16" s="102" customFormat="1">
      <c r="A780" s="122"/>
      <c r="B780" s="122"/>
      <c r="C780" s="122"/>
      <c r="D780" s="122"/>
      <c r="E780" s="122"/>
      <c r="F780" s="122"/>
      <c r="G780" s="121"/>
      <c r="H780" s="122"/>
      <c r="I780" s="122"/>
      <c r="J780" s="122"/>
      <c r="K780" s="122"/>
      <c r="L780" s="121"/>
      <c r="M780" s="122"/>
      <c r="O780"/>
      <c r="P780"/>
    </row>
    <row r="781" spans="1:16" s="102" customFormat="1">
      <c r="A781" s="122"/>
      <c r="B781" s="122"/>
      <c r="C781" s="122"/>
      <c r="D781" s="122"/>
      <c r="E781" s="122"/>
      <c r="F781" s="122"/>
      <c r="G781" s="121"/>
      <c r="H781" s="122"/>
      <c r="I781" s="122"/>
      <c r="J781" s="122"/>
      <c r="K781" s="122"/>
      <c r="L781" s="121"/>
      <c r="M781" s="122"/>
      <c r="O781"/>
      <c r="P781"/>
    </row>
    <row r="782" spans="1:16" s="102" customFormat="1">
      <c r="A782" s="122"/>
      <c r="B782" s="122"/>
      <c r="C782" s="122"/>
      <c r="D782" s="122"/>
      <c r="E782" s="122"/>
      <c r="F782" s="122"/>
      <c r="G782" s="121"/>
      <c r="H782" s="122"/>
      <c r="I782" s="122"/>
      <c r="J782" s="122"/>
      <c r="K782" s="122"/>
      <c r="L782" s="121"/>
      <c r="M782" s="122"/>
      <c r="O782"/>
      <c r="P782"/>
    </row>
    <row r="783" spans="1:16" s="102" customFormat="1">
      <c r="A783" s="122"/>
      <c r="B783" s="122"/>
      <c r="C783" s="122"/>
      <c r="D783" s="122"/>
      <c r="E783" s="122"/>
      <c r="F783" s="122"/>
      <c r="G783" s="121"/>
      <c r="H783" s="122"/>
      <c r="I783" s="122"/>
      <c r="J783" s="122"/>
      <c r="K783" s="122"/>
      <c r="L783" s="121"/>
      <c r="M783" s="122"/>
      <c r="O783"/>
      <c r="P783"/>
    </row>
    <row r="784" spans="1:16" s="102" customFormat="1">
      <c r="A784" s="122"/>
      <c r="B784" s="122"/>
      <c r="C784" s="122"/>
      <c r="D784" s="122"/>
      <c r="E784" s="122"/>
      <c r="F784" s="122"/>
      <c r="G784" s="121"/>
      <c r="H784" s="122"/>
      <c r="I784" s="122"/>
      <c r="J784" s="122"/>
      <c r="K784" s="122"/>
      <c r="L784" s="121"/>
      <c r="M784" s="122"/>
      <c r="O784"/>
      <c r="P784"/>
    </row>
    <row r="785" spans="1:16" s="102" customFormat="1">
      <c r="A785" s="122"/>
      <c r="B785" s="122"/>
      <c r="C785" s="122"/>
      <c r="D785" s="122"/>
      <c r="E785" s="122"/>
      <c r="F785" s="122"/>
      <c r="G785" s="121"/>
      <c r="H785" s="122"/>
      <c r="I785" s="122"/>
      <c r="J785" s="122"/>
      <c r="K785" s="122"/>
      <c r="L785" s="121"/>
      <c r="M785" s="122"/>
      <c r="O785"/>
      <c r="P785"/>
    </row>
    <row r="786" spans="1:16" s="102" customFormat="1">
      <c r="A786" s="122"/>
      <c r="B786" s="122"/>
      <c r="C786" s="122"/>
      <c r="D786" s="122"/>
      <c r="E786" s="122"/>
      <c r="F786" s="122"/>
      <c r="G786" s="121"/>
      <c r="H786" s="122"/>
      <c r="I786" s="122"/>
      <c r="J786" s="122"/>
      <c r="K786" s="122"/>
      <c r="L786" s="121"/>
      <c r="M786" s="122"/>
      <c r="O786"/>
      <c r="P786"/>
    </row>
    <row r="787" spans="1:16" s="102" customFormat="1">
      <c r="A787" s="122"/>
      <c r="B787" s="122"/>
      <c r="C787" s="122"/>
      <c r="D787" s="122"/>
      <c r="E787" s="122"/>
      <c r="F787" s="122"/>
      <c r="G787" s="121"/>
      <c r="H787" s="122"/>
      <c r="I787" s="122"/>
      <c r="J787" s="122"/>
      <c r="K787" s="122"/>
      <c r="L787" s="121"/>
      <c r="M787" s="122"/>
      <c r="O787"/>
      <c r="P787"/>
    </row>
    <row r="788" spans="1:16" s="102" customFormat="1">
      <c r="A788" s="122"/>
      <c r="B788" s="122"/>
      <c r="C788" s="122"/>
      <c r="D788" s="122"/>
      <c r="E788" s="122"/>
      <c r="F788" s="122"/>
      <c r="G788" s="121"/>
      <c r="H788" s="122"/>
      <c r="I788" s="122"/>
      <c r="J788" s="122"/>
      <c r="K788" s="122"/>
      <c r="L788" s="121"/>
      <c r="M788" s="122"/>
      <c r="O788"/>
      <c r="P788"/>
    </row>
    <row r="789" spans="1:16" s="102" customFormat="1">
      <c r="A789" s="122"/>
      <c r="B789" s="122"/>
      <c r="C789" s="122"/>
      <c r="D789" s="122"/>
      <c r="E789" s="122"/>
      <c r="F789" s="122"/>
      <c r="G789" s="121"/>
      <c r="H789" s="122"/>
      <c r="I789" s="122"/>
      <c r="J789" s="122"/>
      <c r="K789" s="122"/>
      <c r="L789" s="121"/>
      <c r="M789" s="122"/>
      <c r="O789"/>
      <c r="P789"/>
    </row>
    <row r="790" spans="1:16" s="102" customFormat="1">
      <c r="A790" s="122"/>
      <c r="B790" s="122"/>
      <c r="C790" s="122"/>
      <c r="D790" s="122"/>
      <c r="E790" s="122"/>
      <c r="F790" s="122"/>
      <c r="G790" s="121"/>
      <c r="H790" s="122"/>
      <c r="I790" s="122"/>
      <c r="J790" s="122"/>
      <c r="K790" s="122"/>
      <c r="L790" s="121"/>
      <c r="M790" s="122"/>
      <c r="O790"/>
      <c r="P790"/>
    </row>
    <row r="791" spans="1:16" s="102" customFormat="1">
      <c r="A791" s="122"/>
      <c r="B791" s="122"/>
      <c r="C791" s="122"/>
      <c r="D791" s="122"/>
      <c r="E791" s="122"/>
      <c r="F791" s="122"/>
      <c r="G791" s="121"/>
      <c r="H791" s="122"/>
      <c r="I791" s="122"/>
      <c r="J791" s="122"/>
      <c r="K791" s="122"/>
      <c r="L791" s="121"/>
      <c r="M791" s="122"/>
      <c r="O791"/>
      <c r="P791"/>
    </row>
    <row r="792" spans="1:16" s="102" customFormat="1">
      <c r="A792" s="122"/>
      <c r="B792" s="122"/>
      <c r="C792" s="122"/>
      <c r="D792" s="122"/>
      <c r="E792" s="122"/>
      <c r="F792" s="122"/>
      <c r="G792" s="121"/>
      <c r="H792" s="122"/>
      <c r="I792" s="122"/>
      <c r="J792" s="122"/>
      <c r="K792" s="122"/>
      <c r="L792" s="121"/>
      <c r="M792" s="122"/>
      <c r="O792"/>
      <c r="P792"/>
    </row>
    <row r="793" spans="1:16" s="102" customFormat="1">
      <c r="A793" s="122"/>
      <c r="B793" s="122"/>
      <c r="C793" s="122"/>
      <c r="D793" s="122"/>
      <c r="E793" s="122"/>
      <c r="F793" s="122"/>
      <c r="G793" s="121"/>
      <c r="H793" s="122"/>
      <c r="I793" s="122"/>
      <c r="J793" s="122"/>
      <c r="K793" s="122"/>
      <c r="L793" s="121"/>
      <c r="M793" s="122"/>
      <c r="O793"/>
      <c r="P793"/>
    </row>
    <row r="794" spans="1:16" s="102" customFormat="1">
      <c r="A794" s="122"/>
      <c r="B794" s="122"/>
      <c r="C794" s="122"/>
      <c r="D794" s="122"/>
      <c r="E794" s="122"/>
      <c r="F794" s="122"/>
      <c r="G794" s="121"/>
      <c r="H794" s="122"/>
      <c r="I794" s="122"/>
      <c r="J794" s="122"/>
      <c r="K794" s="122"/>
      <c r="L794" s="121"/>
      <c r="M794" s="122"/>
      <c r="O794"/>
      <c r="P794"/>
    </row>
    <row r="795" spans="1:16" s="102" customFormat="1">
      <c r="A795" s="122"/>
      <c r="B795" s="122"/>
      <c r="C795" s="122"/>
      <c r="D795" s="122"/>
      <c r="E795" s="122"/>
      <c r="F795" s="122"/>
      <c r="G795" s="121"/>
      <c r="H795" s="122"/>
      <c r="I795" s="122"/>
      <c r="J795" s="122"/>
      <c r="K795" s="122"/>
      <c r="L795" s="121"/>
      <c r="M795" s="122"/>
      <c r="O795"/>
      <c r="P795"/>
    </row>
    <row r="796" spans="1:16" s="102" customFormat="1">
      <c r="A796" s="122"/>
      <c r="B796" s="122"/>
      <c r="C796" s="122"/>
      <c r="D796" s="122"/>
      <c r="E796" s="122"/>
      <c r="F796" s="122"/>
      <c r="G796" s="121"/>
      <c r="H796" s="122"/>
      <c r="I796" s="122"/>
      <c r="J796" s="122"/>
      <c r="K796" s="122"/>
      <c r="L796" s="121"/>
      <c r="M796" s="122"/>
      <c r="O796"/>
      <c r="P796"/>
    </row>
    <row r="797" spans="1:16" s="102" customFormat="1">
      <c r="A797" s="122"/>
      <c r="B797" s="122"/>
      <c r="C797" s="122"/>
      <c r="D797" s="122"/>
      <c r="E797" s="122"/>
      <c r="F797" s="122"/>
      <c r="G797" s="121"/>
      <c r="H797" s="122"/>
      <c r="I797" s="122"/>
      <c r="J797" s="122"/>
      <c r="K797" s="122"/>
      <c r="L797" s="121"/>
      <c r="M797" s="122"/>
      <c r="O797"/>
      <c r="P797"/>
    </row>
    <row r="798" spans="1:16" s="102" customFormat="1">
      <c r="A798" s="122"/>
      <c r="B798" s="122"/>
      <c r="C798" s="122"/>
      <c r="D798" s="122"/>
      <c r="E798" s="122"/>
      <c r="F798" s="122"/>
      <c r="G798" s="121"/>
      <c r="H798" s="122"/>
      <c r="I798" s="122"/>
      <c r="J798" s="122"/>
      <c r="K798" s="122"/>
      <c r="L798" s="121"/>
      <c r="M798" s="122"/>
      <c r="O798"/>
      <c r="P798"/>
    </row>
    <row r="799" spans="1:16" s="102" customFormat="1">
      <c r="A799" s="122"/>
      <c r="B799" s="122"/>
      <c r="C799" s="122"/>
      <c r="D799" s="122"/>
      <c r="E799" s="122"/>
      <c r="F799" s="122"/>
      <c r="G799" s="121"/>
      <c r="H799" s="122"/>
      <c r="I799" s="122"/>
      <c r="J799" s="122"/>
      <c r="K799" s="122"/>
      <c r="L799" s="121"/>
      <c r="M799" s="122"/>
      <c r="O799"/>
      <c r="P799"/>
    </row>
    <row r="800" spans="1:16" s="102" customFormat="1">
      <c r="A800" s="122"/>
      <c r="B800" s="122"/>
      <c r="C800" s="122"/>
      <c r="D800" s="122"/>
      <c r="E800" s="122"/>
      <c r="F800" s="122"/>
      <c r="G800" s="121"/>
      <c r="H800" s="122"/>
      <c r="I800" s="122"/>
      <c r="J800" s="122"/>
      <c r="K800" s="122"/>
      <c r="L800" s="121"/>
      <c r="M800" s="122"/>
      <c r="O800"/>
      <c r="P800"/>
    </row>
    <row r="801" spans="1:16" s="102" customFormat="1">
      <c r="A801" s="122"/>
      <c r="B801" s="122"/>
      <c r="C801" s="122"/>
      <c r="D801" s="122"/>
      <c r="E801" s="122"/>
      <c r="F801" s="122"/>
      <c r="G801" s="121"/>
      <c r="H801" s="122"/>
      <c r="I801" s="122"/>
      <c r="J801" s="122"/>
      <c r="K801" s="122"/>
      <c r="L801" s="121"/>
      <c r="M801" s="122"/>
      <c r="O801"/>
      <c r="P801"/>
    </row>
    <row r="802" spans="1:16" s="102" customFormat="1">
      <c r="A802" s="122"/>
      <c r="B802" s="122"/>
      <c r="C802" s="122"/>
      <c r="D802" s="122"/>
      <c r="E802" s="122"/>
      <c r="F802" s="122"/>
      <c r="G802" s="121"/>
      <c r="H802" s="122"/>
      <c r="I802" s="122"/>
      <c r="J802" s="122"/>
      <c r="K802" s="122"/>
      <c r="L802" s="121"/>
      <c r="M802" s="122"/>
      <c r="O802"/>
      <c r="P802"/>
    </row>
    <row r="803" spans="1:16" s="102" customFormat="1">
      <c r="A803" s="122"/>
      <c r="B803" s="122"/>
      <c r="C803" s="122"/>
      <c r="D803" s="122"/>
      <c r="E803" s="122"/>
      <c r="F803" s="122"/>
      <c r="G803" s="121"/>
      <c r="H803" s="122"/>
      <c r="I803" s="122"/>
      <c r="J803" s="122"/>
      <c r="K803" s="122"/>
      <c r="L803" s="121"/>
      <c r="M803" s="122"/>
      <c r="O803"/>
      <c r="P803"/>
    </row>
    <row r="804" spans="1:16" s="102" customFormat="1">
      <c r="A804" s="122"/>
      <c r="B804" s="122"/>
      <c r="C804" s="122"/>
      <c r="D804" s="122"/>
      <c r="E804" s="122"/>
      <c r="F804" s="122"/>
      <c r="G804" s="121"/>
      <c r="H804" s="122"/>
      <c r="I804" s="122"/>
      <c r="J804" s="122"/>
      <c r="K804" s="122"/>
      <c r="L804" s="121"/>
      <c r="M804" s="122"/>
      <c r="O804"/>
      <c r="P804"/>
    </row>
    <row r="805" spans="1:16" s="102" customFormat="1">
      <c r="A805" s="122"/>
      <c r="B805" s="122"/>
      <c r="C805" s="122"/>
      <c r="D805" s="122"/>
      <c r="E805" s="122"/>
      <c r="F805" s="122"/>
      <c r="G805" s="121"/>
      <c r="H805" s="122"/>
      <c r="I805" s="122"/>
      <c r="J805" s="122"/>
      <c r="K805" s="122"/>
      <c r="L805" s="121"/>
      <c r="M805" s="122"/>
      <c r="O805"/>
      <c r="P805"/>
    </row>
    <row r="806" spans="1:16" s="102" customFormat="1">
      <c r="A806" s="122"/>
      <c r="B806" s="122"/>
      <c r="C806" s="122"/>
      <c r="D806" s="122"/>
      <c r="E806" s="122"/>
      <c r="F806" s="122"/>
      <c r="G806" s="121"/>
      <c r="H806" s="122"/>
      <c r="I806" s="122"/>
      <c r="J806" s="122"/>
      <c r="K806" s="122"/>
      <c r="L806" s="121"/>
      <c r="M806" s="122"/>
      <c r="O806"/>
      <c r="P806"/>
    </row>
    <row r="807" spans="1:16" s="102" customFormat="1">
      <c r="A807" s="122"/>
      <c r="B807" s="122"/>
      <c r="C807" s="122"/>
      <c r="D807" s="122"/>
      <c r="E807" s="122"/>
      <c r="F807" s="122"/>
      <c r="G807" s="121"/>
      <c r="H807" s="122"/>
      <c r="I807" s="122"/>
      <c r="J807" s="122"/>
      <c r="K807" s="122"/>
      <c r="L807" s="121"/>
      <c r="M807" s="122"/>
      <c r="O807"/>
      <c r="P807"/>
    </row>
    <row r="808" spans="1:16" s="102" customFormat="1">
      <c r="A808" s="122"/>
      <c r="B808" s="122"/>
      <c r="C808" s="122"/>
      <c r="D808" s="122"/>
      <c r="E808" s="122"/>
      <c r="F808" s="122"/>
      <c r="G808" s="121"/>
      <c r="H808" s="122"/>
      <c r="I808" s="122"/>
      <c r="J808" s="122"/>
      <c r="K808" s="122"/>
      <c r="L808" s="121"/>
      <c r="M808" s="122"/>
      <c r="O808"/>
      <c r="P808"/>
    </row>
    <row r="809" spans="1:16" s="102" customFormat="1">
      <c r="A809" s="122"/>
      <c r="B809" s="122"/>
      <c r="C809" s="122"/>
      <c r="D809" s="122"/>
      <c r="E809" s="122"/>
      <c r="F809" s="122"/>
      <c r="G809" s="121"/>
      <c r="H809" s="122"/>
      <c r="I809" s="122"/>
      <c r="J809" s="122"/>
      <c r="K809" s="122"/>
      <c r="L809" s="121"/>
      <c r="M809" s="122"/>
      <c r="O809"/>
      <c r="P809"/>
    </row>
    <row r="810" spans="1:16" s="102" customFormat="1">
      <c r="A810" s="122"/>
      <c r="B810" s="122"/>
      <c r="C810" s="122"/>
      <c r="D810" s="122"/>
      <c r="E810" s="122"/>
      <c r="F810" s="122"/>
      <c r="G810" s="121"/>
      <c r="H810" s="122"/>
      <c r="I810" s="122"/>
      <c r="J810" s="122"/>
      <c r="K810" s="122"/>
      <c r="L810" s="121"/>
      <c r="M810" s="122"/>
      <c r="O810"/>
      <c r="P810"/>
    </row>
    <row r="811" spans="1:16" s="102" customFormat="1">
      <c r="A811" s="122"/>
      <c r="B811" s="122"/>
      <c r="C811" s="122"/>
      <c r="D811" s="122"/>
      <c r="E811" s="122"/>
      <c r="F811" s="122"/>
      <c r="G811" s="121"/>
      <c r="H811" s="122"/>
      <c r="I811" s="122"/>
      <c r="J811" s="122"/>
      <c r="K811" s="122"/>
      <c r="L811" s="121"/>
      <c r="M811" s="122"/>
      <c r="O811"/>
      <c r="P811"/>
    </row>
    <row r="812" spans="1:16" s="102" customFormat="1">
      <c r="A812" s="122"/>
      <c r="B812" s="122"/>
      <c r="C812" s="122"/>
      <c r="D812" s="122"/>
      <c r="E812" s="122"/>
      <c r="F812" s="122"/>
      <c r="G812" s="121"/>
      <c r="H812" s="122"/>
      <c r="I812" s="122"/>
      <c r="J812" s="122"/>
      <c r="K812" s="122"/>
      <c r="L812" s="121"/>
      <c r="M812" s="122"/>
      <c r="O812"/>
      <c r="P812"/>
    </row>
    <row r="813" spans="1:16" s="102" customFormat="1">
      <c r="A813" s="122"/>
      <c r="B813" s="122"/>
      <c r="C813" s="122"/>
      <c r="D813" s="122"/>
      <c r="E813" s="122"/>
      <c r="F813" s="122"/>
      <c r="G813" s="121"/>
      <c r="H813" s="122"/>
      <c r="I813" s="122"/>
      <c r="J813" s="122"/>
      <c r="K813" s="122"/>
      <c r="L813" s="121"/>
      <c r="M813" s="122"/>
      <c r="O813"/>
      <c r="P813"/>
    </row>
    <row r="814" spans="1:16" s="102" customFormat="1">
      <c r="A814" s="122"/>
      <c r="B814" s="122"/>
      <c r="C814" s="122"/>
      <c r="D814" s="122"/>
      <c r="E814" s="122"/>
      <c r="F814" s="122"/>
      <c r="G814" s="121"/>
      <c r="H814" s="122"/>
      <c r="I814" s="122"/>
      <c r="J814" s="122"/>
      <c r="K814" s="122"/>
      <c r="L814" s="121"/>
      <c r="M814" s="122"/>
      <c r="O814"/>
      <c r="P814"/>
    </row>
    <row r="815" spans="1:16" s="102" customFormat="1">
      <c r="A815" s="122"/>
      <c r="B815" s="122"/>
      <c r="C815" s="122"/>
      <c r="D815" s="122"/>
      <c r="E815" s="122"/>
      <c r="F815" s="122"/>
      <c r="G815" s="121"/>
      <c r="H815" s="122"/>
      <c r="I815" s="122"/>
      <c r="J815" s="122"/>
      <c r="K815" s="122"/>
      <c r="L815" s="121"/>
      <c r="M815" s="122"/>
      <c r="O815"/>
      <c r="P815"/>
    </row>
    <row r="816" spans="1:16" s="102" customFormat="1">
      <c r="A816" s="122"/>
      <c r="B816" s="122"/>
      <c r="C816" s="122"/>
      <c r="D816" s="122"/>
      <c r="E816" s="122"/>
      <c r="F816" s="122"/>
      <c r="G816" s="121"/>
      <c r="H816" s="122"/>
      <c r="I816" s="122"/>
      <c r="J816" s="122"/>
      <c r="K816" s="122"/>
      <c r="L816" s="121"/>
      <c r="M816" s="122"/>
      <c r="O816"/>
      <c r="P816"/>
    </row>
    <row r="817" spans="1:16" s="102" customFormat="1">
      <c r="A817" s="122"/>
      <c r="B817" s="122"/>
      <c r="C817" s="122"/>
      <c r="D817" s="122"/>
      <c r="E817" s="122"/>
      <c r="F817" s="122"/>
      <c r="G817" s="121"/>
      <c r="H817" s="122"/>
      <c r="I817" s="122"/>
      <c r="J817" s="122"/>
      <c r="K817" s="122"/>
      <c r="L817" s="121"/>
      <c r="M817" s="122"/>
      <c r="O817"/>
      <c r="P817"/>
    </row>
    <row r="818" spans="1:16" s="102" customFormat="1">
      <c r="A818" s="122"/>
      <c r="B818" s="122"/>
      <c r="C818" s="122"/>
      <c r="D818" s="122"/>
      <c r="E818" s="122"/>
      <c r="F818" s="122"/>
      <c r="G818" s="121"/>
      <c r="H818" s="122"/>
      <c r="I818" s="122"/>
      <c r="J818" s="122"/>
      <c r="K818" s="122"/>
      <c r="L818" s="121"/>
      <c r="M818" s="122"/>
      <c r="O818"/>
      <c r="P818"/>
    </row>
    <row r="819" spans="1:16" s="102" customFormat="1">
      <c r="A819" s="122"/>
      <c r="B819" s="122"/>
      <c r="C819" s="122"/>
      <c r="D819" s="122"/>
      <c r="E819" s="122"/>
      <c r="F819" s="122"/>
      <c r="G819" s="121"/>
      <c r="H819" s="122"/>
      <c r="I819" s="122"/>
      <c r="J819" s="122"/>
      <c r="K819" s="122"/>
      <c r="L819" s="121"/>
      <c r="M819" s="122"/>
      <c r="O819"/>
      <c r="P819"/>
    </row>
    <row r="820" spans="1:16" s="102" customFormat="1">
      <c r="A820" s="122"/>
      <c r="B820" s="122"/>
      <c r="C820" s="122"/>
      <c r="D820" s="122"/>
      <c r="E820" s="122"/>
      <c r="F820" s="122"/>
      <c r="G820" s="121"/>
      <c r="H820" s="122"/>
      <c r="I820" s="122"/>
      <c r="J820" s="122"/>
      <c r="K820" s="122"/>
      <c r="L820" s="121"/>
      <c r="M820" s="122"/>
      <c r="O820"/>
      <c r="P820"/>
    </row>
    <row r="821" spans="1:16" s="102" customFormat="1">
      <c r="A821" s="122"/>
      <c r="B821" s="122"/>
      <c r="C821" s="122"/>
      <c r="D821" s="122"/>
      <c r="E821" s="122"/>
      <c r="F821" s="122"/>
      <c r="G821" s="121"/>
      <c r="H821" s="122"/>
      <c r="I821" s="122"/>
      <c r="J821" s="122"/>
      <c r="K821" s="122"/>
      <c r="L821" s="121"/>
      <c r="M821" s="122"/>
      <c r="O821"/>
      <c r="P821"/>
    </row>
    <row r="822" spans="1:16" s="102" customFormat="1">
      <c r="A822" s="122"/>
      <c r="B822" s="122"/>
      <c r="C822" s="122"/>
      <c r="D822" s="122"/>
      <c r="E822" s="122"/>
      <c r="F822" s="122"/>
      <c r="G822" s="121"/>
      <c r="H822" s="122"/>
      <c r="I822" s="122"/>
      <c r="J822" s="122"/>
      <c r="K822" s="122"/>
      <c r="L822" s="121"/>
      <c r="M822" s="122"/>
      <c r="O822"/>
      <c r="P822"/>
    </row>
    <row r="823" spans="1:16" s="102" customFormat="1">
      <c r="A823" s="122"/>
      <c r="B823" s="122"/>
      <c r="C823" s="122"/>
      <c r="D823" s="122"/>
      <c r="E823" s="122"/>
      <c r="F823" s="122"/>
      <c r="G823" s="121"/>
      <c r="H823" s="122"/>
      <c r="I823" s="122"/>
      <c r="J823" s="122"/>
      <c r="K823" s="122"/>
      <c r="L823" s="121"/>
      <c r="M823" s="122"/>
      <c r="O823"/>
      <c r="P823"/>
    </row>
    <row r="824" spans="1:16" s="102" customFormat="1">
      <c r="A824" s="122"/>
      <c r="B824" s="122"/>
      <c r="C824" s="122"/>
      <c r="D824" s="122"/>
      <c r="E824" s="122"/>
      <c r="F824" s="122"/>
      <c r="G824" s="121"/>
      <c r="H824" s="122"/>
      <c r="I824" s="122"/>
      <c r="J824" s="122"/>
      <c r="K824" s="122"/>
      <c r="L824" s="121"/>
      <c r="M824" s="122"/>
      <c r="O824"/>
      <c r="P824"/>
    </row>
    <row r="825" spans="1:16" s="102" customFormat="1">
      <c r="A825" s="122"/>
      <c r="B825" s="122"/>
      <c r="C825" s="122"/>
      <c r="D825" s="122"/>
      <c r="E825" s="122"/>
      <c r="F825" s="122"/>
      <c r="G825" s="121"/>
      <c r="H825" s="122"/>
      <c r="I825" s="122"/>
      <c r="J825" s="122"/>
      <c r="K825" s="122"/>
      <c r="L825" s="121"/>
      <c r="M825" s="122"/>
      <c r="O825"/>
      <c r="P825"/>
    </row>
    <row r="826" spans="1:16" s="102" customFormat="1">
      <c r="A826" s="122"/>
      <c r="B826" s="122"/>
      <c r="C826" s="122"/>
      <c r="D826" s="122"/>
      <c r="E826" s="122"/>
      <c r="F826" s="122"/>
      <c r="G826" s="121"/>
      <c r="H826" s="122"/>
      <c r="I826" s="122"/>
      <c r="J826" s="122"/>
      <c r="K826" s="122"/>
      <c r="L826" s="121"/>
      <c r="M826" s="122"/>
      <c r="O826"/>
      <c r="P826"/>
    </row>
    <row r="827" spans="1:16" s="102" customFormat="1">
      <c r="A827" s="122"/>
      <c r="B827" s="122"/>
      <c r="C827" s="122"/>
      <c r="D827" s="122"/>
      <c r="E827" s="122"/>
      <c r="F827" s="122"/>
      <c r="G827" s="121"/>
      <c r="H827" s="122"/>
      <c r="I827" s="122"/>
      <c r="J827" s="122"/>
      <c r="K827" s="122"/>
      <c r="L827" s="121"/>
      <c r="M827" s="122"/>
      <c r="O827"/>
      <c r="P827"/>
    </row>
    <row r="828" spans="1:16" s="102" customFormat="1">
      <c r="A828" s="122"/>
      <c r="B828" s="122"/>
      <c r="C828" s="122"/>
      <c r="D828" s="122"/>
      <c r="E828" s="122"/>
      <c r="F828" s="122"/>
      <c r="G828" s="121"/>
      <c r="H828" s="122"/>
      <c r="I828" s="122"/>
      <c r="J828" s="122"/>
      <c r="K828" s="122"/>
      <c r="L828" s="121"/>
      <c r="M828" s="122"/>
      <c r="O828"/>
      <c r="P828"/>
    </row>
    <row r="829" spans="1:16" s="102" customFormat="1">
      <c r="A829" s="122"/>
      <c r="B829" s="122"/>
      <c r="C829" s="122"/>
      <c r="D829" s="122"/>
      <c r="E829" s="122"/>
      <c r="F829" s="122"/>
      <c r="G829" s="121"/>
      <c r="H829" s="122"/>
      <c r="I829" s="122"/>
      <c r="J829" s="122"/>
      <c r="K829" s="122"/>
      <c r="L829" s="121"/>
      <c r="M829" s="122"/>
      <c r="O829"/>
      <c r="P829"/>
    </row>
    <row r="830" spans="1:16" s="102" customFormat="1">
      <c r="A830" s="122"/>
      <c r="B830" s="122"/>
      <c r="C830" s="122"/>
      <c r="D830" s="122"/>
      <c r="E830" s="122"/>
      <c r="F830" s="122"/>
      <c r="G830" s="121"/>
      <c r="H830" s="122"/>
      <c r="I830" s="122"/>
      <c r="J830" s="122"/>
      <c r="K830" s="122"/>
      <c r="L830" s="121"/>
      <c r="M830" s="122"/>
      <c r="O830"/>
      <c r="P830"/>
    </row>
    <row r="831" spans="1:16" s="102" customFormat="1">
      <c r="A831" s="122"/>
      <c r="B831" s="122"/>
      <c r="C831" s="122"/>
      <c r="D831" s="122"/>
      <c r="E831" s="122"/>
      <c r="F831" s="122"/>
      <c r="G831" s="121"/>
      <c r="H831" s="122"/>
      <c r="I831" s="122"/>
      <c r="J831" s="122"/>
      <c r="K831" s="122"/>
      <c r="L831" s="121"/>
      <c r="M831" s="122"/>
      <c r="O831"/>
      <c r="P831"/>
    </row>
    <row r="832" spans="1:16" s="102" customFormat="1">
      <c r="A832" s="122"/>
      <c r="B832" s="122"/>
      <c r="C832" s="122"/>
      <c r="D832" s="122"/>
      <c r="E832" s="122"/>
      <c r="F832" s="122"/>
      <c r="G832" s="121"/>
      <c r="H832" s="122"/>
      <c r="I832" s="122"/>
      <c r="J832" s="122"/>
      <c r="K832" s="122"/>
      <c r="L832" s="121"/>
      <c r="M832" s="122"/>
      <c r="O832"/>
      <c r="P832"/>
    </row>
    <row r="833" spans="1:16" s="102" customFormat="1">
      <c r="A833" s="122"/>
      <c r="B833" s="122"/>
      <c r="C833" s="122"/>
      <c r="D833" s="122"/>
      <c r="E833" s="122"/>
      <c r="F833" s="122"/>
      <c r="G833" s="121"/>
      <c r="H833" s="122"/>
      <c r="I833" s="122"/>
      <c r="J833" s="122"/>
      <c r="K833" s="122"/>
      <c r="L833" s="121"/>
      <c r="M833" s="122"/>
      <c r="O833"/>
      <c r="P833"/>
    </row>
    <row r="834" spans="1:16" s="102" customFormat="1">
      <c r="A834" s="122"/>
      <c r="B834" s="122"/>
      <c r="C834" s="122"/>
      <c r="D834" s="122"/>
      <c r="E834" s="122"/>
      <c r="F834" s="122"/>
      <c r="G834" s="121"/>
      <c r="H834" s="122"/>
      <c r="I834" s="122"/>
      <c r="J834" s="122"/>
      <c r="K834" s="122"/>
      <c r="L834" s="121"/>
      <c r="M834" s="122"/>
      <c r="O834"/>
      <c r="P834"/>
    </row>
    <row r="835" spans="1:16" s="102" customFormat="1">
      <c r="A835" s="122"/>
      <c r="B835" s="122"/>
      <c r="C835" s="122"/>
      <c r="D835" s="122"/>
      <c r="E835" s="122"/>
      <c r="F835" s="122"/>
      <c r="G835" s="121"/>
      <c r="H835" s="122"/>
      <c r="I835" s="122"/>
      <c r="J835" s="122"/>
      <c r="K835" s="122"/>
      <c r="L835" s="121"/>
      <c r="M835" s="122"/>
      <c r="O835"/>
      <c r="P835"/>
    </row>
    <row r="836" spans="1:16" s="102" customFormat="1">
      <c r="A836" s="122"/>
      <c r="B836" s="122"/>
      <c r="C836" s="122"/>
      <c r="D836" s="122"/>
      <c r="E836" s="122"/>
      <c r="F836" s="122"/>
      <c r="G836" s="121"/>
      <c r="H836" s="122"/>
      <c r="I836" s="122"/>
      <c r="J836" s="122"/>
      <c r="K836" s="122"/>
      <c r="L836" s="121"/>
      <c r="M836" s="122"/>
      <c r="O836"/>
      <c r="P836"/>
    </row>
    <row r="837" spans="1:16" s="102" customFormat="1">
      <c r="A837" s="122"/>
      <c r="B837" s="122"/>
      <c r="C837" s="122"/>
      <c r="D837" s="122"/>
      <c r="E837" s="122"/>
      <c r="F837" s="122"/>
      <c r="G837" s="121"/>
      <c r="H837" s="122"/>
      <c r="I837" s="122"/>
      <c r="J837" s="122"/>
      <c r="K837" s="122"/>
      <c r="L837" s="121"/>
      <c r="M837" s="122"/>
      <c r="O837"/>
      <c r="P837"/>
    </row>
    <row r="838" spans="1:16" s="102" customFormat="1">
      <c r="A838" s="122"/>
      <c r="B838" s="122"/>
      <c r="C838" s="122"/>
      <c r="D838" s="122"/>
      <c r="E838" s="122"/>
      <c r="F838" s="122"/>
      <c r="G838" s="121"/>
      <c r="H838" s="122"/>
      <c r="I838" s="122"/>
      <c r="J838" s="122"/>
      <c r="K838" s="122"/>
      <c r="L838" s="121"/>
      <c r="M838" s="122"/>
      <c r="O838"/>
      <c r="P838"/>
    </row>
    <row r="839" spans="1:16" s="102" customFormat="1">
      <c r="A839" s="122"/>
      <c r="B839" s="122"/>
      <c r="C839" s="122"/>
      <c r="D839" s="122"/>
      <c r="E839" s="122"/>
      <c r="F839" s="122"/>
      <c r="G839" s="121"/>
      <c r="H839" s="122"/>
      <c r="I839" s="122"/>
      <c r="J839" s="122"/>
      <c r="K839" s="122"/>
      <c r="L839" s="121"/>
      <c r="M839" s="122"/>
      <c r="O839"/>
      <c r="P839"/>
    </row>
    <row r="840" spans="1:16" s="102" customFormat="1">
      <c r="A840" s="122"/>
      <c r="B840" s="122"/>
      <c r="C840" s="122"/>
      <c r="D840" s="122"/>
      <c r="E840" s="122"/>
      <c r="F840" s="122"/>
      <c r="G840" s="121"/>
      <c r="H840" s="122"/>
      <c r="I840" s="122"/>
      <c r="J840" s="122"/>
      <c r="K840" s="122"/>
      <c r="L840" s="121"/>
      <c r="M840" s="122"/>
      <c r="O840"/>
      <c r="P840"/>
    </row>
    <row r="841" spans="1:16" s="102" customFormat="1">
      <c r="A841" s="122"/>
      <c r="B841" s="122"/>
      <c r="C841" s="122"/>
      <c r="D841" s="122"/>
      <c r="E841" s="122"/>
      <c r="F841" s="122"/>
      <c r="G841" s="121"/>
      <c r="H841" s="122"/>
      <c r="I841" s="122"/>
      <c r="J841" s="122"/>
      <c r="K841" s="122"/>
      <c r="L841" s="121"/>
      <c r="M841" s="122"/>
      <c r="O841"/>
      <c r="P841"/>
    </row>
    <row r="842" spans="1:16" s="102" customFormat="1">
      <c r="A842" s="122"/>
      <c r="B842" s="122"/>
      <c r="C842" s="122"/>
      <c r="D842" s="122"/>
      <c r="E842" s="122"/>
      <c r="F842" s="122"/>
      <c r="G842" s="121"/>
      <c r="H842" s="122"/>
      <c r="I842" s="122"/>
      <c r="J842" s="122"/>
      <c r="K842" s="122"/>
      <c r="L842" s="121"/>
      <c r="M842" s="122"/>
      <c r="O842"/>
      <c r="P842"/>
    </row>
    <row r="843" spans="1:16" s="102" customFormat="1">
      <c r="A843" s="122"/>
      <c r="B843" s="122"/>
      <c r="C843" s="122"/>
      <c r="D843" s="122"/>
      <c r="E843" s="122"/>
      <c r="F843" s="122"/>
      <c r="G843" s="121"/>
      <c r="H843" s="122"/>
      <c r="I843" s="122"/>
      <c r="J843" s="122"/>
      <c r="K843" s="122"/>
      <c r="L843" s="121"/>
      <c r="M843" s="122"/>
      <c r="O843"/>
      <c r="P843"/>
    </row>
    <row r="844" spans="1:16" s="102" customFormat="1">
      <c r="A844" s="122"/>
      <c r="B844" s="122"/>
      <c r="C844" s="122"/>
      <c r="D844" s="122"/>
      <c r="E844" s="122"/>
      <c r="F844" s="122"/>
      <c r="G844" s="121"/>
      <c r="H844" s="122"/>
      <c r="I844" s="122"/>
      <c r="J844" s="122"/>
      <c r="K844" s="122"/>
      <c r="L844" s="121"/>
      <c r="M844" s="122"/>
      <c r="O844"/>
      <c r="P844"/>
    </row>
    <row r="845" spans="1:16" s="102" customFormat="1">
      <c r="A845" s="122"/>
      <c r="B845" s="122"/>
      <c r="C845" s="122"/>
      <c r="D845" s="122"/>
      <c r="E845" s="122"/>
      <c r="F845" s="122"/>
      <c r="G845" s="121"/>
      <c r="H845" s="122"/>
      <c r="I845" s="122"/>
      <c r="J845" s="122"/>
      <c r="K845" s="122"/>
      <c r="L845" s="121"/>
      <c r="M845" s="122"/>
      <c r="O845"/>
      <c r="P845"/>
    </row>
    <row r="846" spans="1:16" s="102" customFormat="1">
      <c r="A846" s="122"/>
      <c r="B846" s="122"/>
      <c r="C846" s="122"/>
      <c r="D846" s="122"/>
      <c r="E846" s="122"/>
      <c r="F846" s="122"/>
      <c r="G846" s="121"/>
      <c r="H846" s="122"/>
      <c r="I846" s="122"/>
      <c r="J846" s="122"/>
      <c r="K846" s="122"/>
      <c r="L846" s="121"/>
      <c r="M846" s="122"/>
      <c r="O846"/>
      <c r="P846"/>
    </row>
    <row r="847" spans="1:16" s="102" customFormat="1">
      <c r="A847" s="122"/>
      <c r="B847" s="122"/>
      <c r="C847" s="122"/>
      <c r="D847" s="122"/>
      <c r="E847" s="122"/>
      <c r="F847" s="122"/>
      <c r="G847" s="121"/>
      <c r="H847" s="122"/>
      <c r="I847" s="122"/>
      <c r="J847" s="122"/>
      <c r="K847" s="122"/>
      <c r="L847" s="121"/>
      <c r="M847" s="122"/>
      <c r="O847"/>
      <c r="P847"/>
    </row>
    <row r="848" spans="1:16" s="102" customFormat="1">
      <c r="A848" s="122"/>
      <c r="B848" s="122"/>
      <c r="C848" s="122"/>
      <c r="D848" s="122"/>
      <c r="E848" s="122"/>
      <c r="F848" s="122"/>
      <c r="G848" s="121"/>
      <c r="H848" s="122"/>
      <c r="I848" s="122"/>
      <c r="J848" s="122"/>
      <c r="K848" s="122"/>
      <c r="L848" s="121"/>
      <c r="M848" s="122"/>
      <c r="O848"/>
      <c r="P848"/>
    </row>
    <row r="849" spans="1:16" s="102" customFormat="1">
      <c r="A849" s="122"/>
      <c r="B849" s="122"/>
      <c r="C849" s="122"/>
      <c r="D849" s="122"/>
      <c r="E849" s="122"/>
      <c r="F849" s="122"/>
      <c r="G849" s="121"/>
      <c r="H849" s="122"/>
      <c r="I849" s="122"/>
      <c r="J849" s="122"/>
      <c r="K849" s="122"/>
      <c r="L849" s="121"/>
      <c r="M849" s="122"/>
      <c r="O849"/>
      <c r="P849"/>
    </row>
    <row r="850" spans="1:16" s="102" customFormat="1">
      <c r="A850" s="122"/>
      <c r="B850" s="122"/>
      <c r="C850" s="122"/>
      <c r="D850" s="122"/>
      <c r="E850" s="122"/>
      <c r="F850" s="122"/>
      <c r="G850" s="121"/>
      <c r="H850" s="122"/>
      <c r="I850" s="122"/>
      <c r="J850" s="122"/>
      <c r="K850" s="122"/>
      <c r="L850" s="121"/>
      <c r="M850" s="122"/>
      <c r="O850"/>
      <c r="P850"/>
    </row>
    <row r="851" spans="1:16" s="102" customFormat="1">
      <c r="A851" s="122"/>
      <c r="B851" s="122"/>
      <c r="C851" s="122"/>
      <c r="D851" s="122"/>
      <c r="E851" s="122"/>
      <c r="F851" s="122"/>
      <c r="G851" s="121"/>
      <c r="H851" s="122"/>
      <c r="I851" s="122"/>
      <c r="J851" s="122"/>
      <c r="K851" s="122"/>
      <c r="L851" s="121"/>
      <c r="M851" s="122"/>
      <c r="O851"/>
      <c r="P851"/>
    </row>
    <row r="852" spans="1:16" s="102" customFormat="1">
      <c r="A852" s="122"/>
      <c r="B852" s="122"/>
      <c r="C852" s="122"/>
      <c r="D852" s="122"/>
      <c r="E852" s="122"/>
      <c r="F852" s="122"/>
      <c r="G852" s="121"/>
      <c r="H852" s="122"/>
      <c r="I852" s="122"/>
      <c r="J852" s="122"/>
      <c r="K852" s="122"/>
      <c r="L852" s="121"/>
      <c r="M852" s="122"/>
      <c r="O852"/>
      <c r="P852"/>
    </row>
    <row r="853" spans="1:16" s="102" customFormat="1">
      <c r="A853" s="122"/>
      <c r="B853" s="122"/>
      <c r="C853" s="122"/>
      <c r="D853" s="122"/>
      <c r="E853" s="122"/>
      <c r="F853" s="122"/>
      <c r="G853" s="121"/>
      <c r="H853" s="122"/>
      <c r="I853" s="122"/>
      <c r="J853" s="122"/>
      <c r="K853" s="122"/>
      <c r="L853" s="121"/>
      <c r="M853" s="122"/>
      <c r="O853"/>
      <c r="P853"/>
    </row>
    <row r="854" spans="1:16" s="102" customFormat="1">
      <c r="A854" s="122"/>
      <c r="B854" s="122"/>
      <c r="C854" s="122"/>
      <c r="D854" s="122"/>
      <c r="E854" s="122"/>
      <c r="F854" s="122"/>
      <c r="G854" s="121"/>
      <c r="H854" s="122"/>
      <c r="I854" s="122"/>
      <c r="J854" s="122"/>
      <c r="K854" s="122"/>
      <c r="L854" s="121"/>
      <c r="M854" s="122"/>
      <c r="O854"/>
      <c r="P854"/>
    </row>
    <row r="855" spans="1:16" s="102" customFormat="1">
      <c r="A855" s="122"/>
      <c r="B855" s="122"/>
      <c r="C855" s="122"/>
      <c r="D855" s="122"/>
      <c r="E855" s="122"/>
      <c r="F855" s="122"/>
      <c r="G855" s="121"/>
      <c r="H855" s="122"/>
      <c r="I855" s="122"/>
      <c r="J855" s="122"/>
      <c r="K855" s="122"/>
      <c r="L855" s="121"/>
      <c r="M855" s="122"/>
      <c r="O855"/>
      <c r="P855"/>
    </row>
    <row r="856" spans="1:16" s="102" customFormat="1">
      <c r="A856" s="122"/>
      <c r="B856" s="122"/>
      <c r="C856" s="122"/>
      <c r="D856" s="122"/>
      <c r="E856" s="122"/>
      <c r="F856" s="122"/>
      <c r="G856" s="121"/>
      <c r="H856" s="122"/>
      <c r="I856" s="122"/>
      <c r="J856" s="122"/>
      <c r="K856" s="122"/>
      <c r="L856" s="121"/>
      <c r="M856" s="122"/>
      <c r="O856"/>
      <c r="P856"/>
    </row>
    <row r="857" spans="1:16" s="102" customFormat="1">
      <c r="A857" s="122"/>
      <c r="B857" s="122"/>
      <c r="C857" s="122"/>
      <c r="D857" s="122"/>
      <c r="E857" s="122"/>
      <c r="F857" s="122"/>
      <c r="G857" s="121"/>
      <c r="H857" s="122"/>
      <c r="I857" s="122"/>
      <c r="J857" s="122"/>
      <c r="K857" s="122"/>
      <c r="L857" s="121"/>
      <c r="M857" s="122"/>
      <c r="O857"/>
      <c r="P857"/>
    </row>
    <row r="858" spans="1:16" s="102" customFormat="1">
      <c r="A858" s="122"/>
      <c r="B858" s="122"/>
      <c r="C858" s="122"/>
      <c r="D858" s="122"/>
      <c r="E858" s="122"/>
      <c r="F858" s="122"/>
      <c r="G858" s="121"/>
      <c r="H858" s="122"/>
      <c r="I858" s="122"/>
      <c r="J858" s="122"/>
      <c r="K858" s="122"/>
      <c r="L858" s="121"/>
      <c r="M858" s="122"/>
      <c r="O858"/>
      <c r="P858"/>
    </row>
    <row r="859" spans="1:16" s="102" customFormat="1">
      <c r="A859" s="122"/>
      <c r="B859" s="122"/>
      <c r="C859" s="122"/>
      <c r="D859" s="122"/>
      <c r="E859" s="122"/>
      <c r="F859" s="122"/>
      <c r="G859" s="121"/>
      <c r="H859" s="122"/>
      <c r="I859" s="122"/>
      <c r="J859" s="122"/>
      <c r="K859" s="122"/>
      <c r="L859" s="121"/>
      <c r="M859" s="122"/>
      <c r="O859"/>
      <c r="P859"/>
    </row>
    <row r="860" spans="1:16" s="102" customFormat="1">
      <c r="A860" s="122"/>
      <c r="B860" s="122"/>
      <c r="C860" s="122"/>
      <c r="D860" s="122"/>
      <c r="E860" s="122"/>
      <c r="F860" s="122"/>
      <c r="G860" s="121"/>
      <c r="H860" s="122"/>
      <c r="I860" s="122"/>
      <c r="J860" s="122"/>
      <c r="K860" s="122"/>
      <c r="L860" s="121"/>
      <c r="M860" s="122"/>
      <c r="O860"/>
      <c r="P860"/>
    </row>
    <row r="861" spans="1:16" s="102" customFormat="1">
      <c r="A861" s="122"/>
      <c r="B861" s="122"/>
      <c r="C861" s="122"/>
      <c r="D861" s="122"/>
      <c r="E861" s="122"/>
      <c r="F861" s="122"/>
      <c r="G861" s="121"/>
      <c r="H861" s="122"/>
      <c r="I861" s="122"/>
      <c r="J861" s="122"/>
      <c r="K861" s="122"/>
      <c r="L861" s="121"/>
      <c r="M861" s="122"/>
      <c r="O861"/>
      <c r="P861"/>
    </row>
    <row r="862" spans="1:16" s="102" customFormat="1">
      <c r="A862" s="122"/>
      <c r="B862" s="122"/>
      <c r="C862" s="122"/>
      <c r="D862" s="122"/>
      <c r="E862" s="122"/>
      <c r="F862" s="122"/>
      <c r="G862" s="121"/>
      <c r="H862" s="122"/>
      <c r="I862" s="122"/>
      <c r="J862" s="122"/>
      <c r="K862" s="122"/>
      <c r="L862" s="121"/>
      <c r="M862" s="122"/>
      <c r="O862"/>
      <c r="P862"/>
    </row>
    <row r="863" spans="1:16" s="102" customFormat="1">
      <c r="A863" s="122"/>
      <c r="B863" s="122"/>
      <c r="C863" s="122"/>
      <c r="D863" s="122"/>
      <c r="E863" s="122"/>
      <c r="F863" s="122"/>
      <c r="G863" s="121"/>
      <c r="H863" s="122"/>
      <c r="I863" s="122"/>
      <c r="J863" s="122"/>
      <c r="K863" s="122"/>
      <c r="L863" s="121"/>
      <c r="M863" s="122"/>
      <c r="O863"/>
      <c r="P863"/>
    </row>
    <row r="864" spans="1:16" s="102" customFormat="1">
      <c r="A864" s="122"/>
      <c r="B864" s="122"/>
      <c r="C864" s="122"/>
      <c r="D864" s="122"/>
      <c r="E864" s="122"/>
      <c r="F864" s="122"/>
      <c r="G864" s="121"/>
      <c r="H864" s="122"/>
      <c r="I864" s="122"/>
      <c r="J864" s="122"/>
      <c r="K864" s="122"/>
      <c r="L864" s="121"/>
      <c r="M864" s="122"/>
      <c r="O864"/>
      <c r="P864"/>
    </row>
    <row r="865" spans="1:16" s="102" customFormat="1">
      <c r="A865" s="122"/>
      <c r="B865" s="122"/>
      <c r="C865" s="122"/>
      <c r="D865" s="122"/>
      <c r="E865" s="122"/>
      <c r="F865" s="122"/>
      <c r="G865" s="121"/>
      <c r="H865" s="122"/>
      <c r="I865" s="122"/>
      <c r="J865" s="122"/>
      <c r="K865" s="122"/>
      <c r="L865" s="121"/>
      <c r="M865" s="122"/>
      <c r="O865"/>
      <c r="P865"/>
    </row>
    <row r="866" spans="1:16" s="102" customFormat="1">
      <c r="A866" s="122"/>
      <c r="B866" s="122"/>
      <c r="C866" s="122"/>
      <c r="D866" s="122"/>
      <c r="E866" s="122"/>
      <c r="F866" s="122"/>
      <c r="G866" s="121"/>
      <c r="H866" s="122"/>
      <c r="I866" s="122"/>
      <c r="J866" s="122"/>
      <c r="K866" s="122"/>
      <c r="L866" s="121"/>
      <c r="M866" s="122"/>
      <c r="O866"/>
      <c r="P866"/>
    </row>
    <row r="867" spans="1:16" s="102" customFormat="1">
      <c r="A867" s="122"/>
      <c r="B867" s="122"/>
      <c r="C867" s="122"/>
      <c r="D867" s="122"/>
      <c r="E867" s="122"/>
      <c r="F867" s="122"/>
      <c r="G867" s="121"/>
      <c r="H867" s="122"/>
      <c r="I867" s="122"/>
      <c r="J867" s="122"/>
      <c r="K867" s="122"/>
      <c r="L867" s="121"/>
      <c r="M867" s="122"/>
      <c r="O867"/>
      <c r="P867"/>
    </row>
    <row r="868" spans="1:16" s="102" customFormat="1">
      <c r="A868" s="122"/>
      <c r="B868" s="122"/>
      <c r="C868" s="122"/>
      <c r="D868" s="122"/>
      <c r="E868" s="122"/>
      <c r="F868" s="122"/>
      <c r="G868" s="121"/>
      <c r="H868" s="122"/>
      <c r="I868" s="122"/>
      <c r="J868" s="122"/>
      <c r="K868" s="122"/>
      <c r="L868" s="121"/>
      <c r="M868" s="122"/>
      <c r="O868"/>
      <c r="P868"/>
    </row>
    <row r="869" spans="1:16" s="102" customFormat="1">
      <c r="A869" s="122"/>
      <c r="B869" s="122"/>
      <c r="C869" s="122"/>
      <c r="D869" s="122"/>
      <c r="E869" s="122"/>
      <c r="F869" s="122"/>
      <c r="G869" s="121"/>
      <c r="H869" s="122"/>
      <c r="I869" s="122"/>
      <c r="J869" s="122"/>
      <c r="K869" s="122"/>
      <c r="L869" s="121"/>
      <c r="M869" s="122"/>
      <c r="O869"/>
      <c r="P869"/>
    </row>
    <row r="870" spans="1:16" s="102" customFormat="1">
      <c r="A870" s="122"/>
      <c r="B870" s="122"/>
      <c r="C870" s="122"/>
      <c r="D870" s="122"/>
      <c r="E870" s="122"/>
      <c r="F870" s="122"/>
      <c r="G870" s="121"/>
      <c r="H870" s="122"/>
      <c r="I870" s="122"/>
      <c r="J870" s="122"/>
      <c r="K870" s="122"/>
      <c r="L870" s="121"/>
      <c r="M870" s="122"/>
      <c r="O870"/>
      <c r="P870"/>
    </row>
    <row r="871" spans="1:16" s="102" customFormat="1">
      <c r="A871" s="122"/>
      <c r="B871" s="122"/>
      <c r="C871" s="122"/>
      <c r="D871" s="122"/>
      <c r="E871" s="122"/>
      <c r="F871" s="122"/>
      <c r="G871" s="121"/>
      <c r="H871" s="122"/>
      <c r="I871" s="122"/>
      <c r="J871" s="122"/>
      <c r="K871" s="122"/>
      <c r="L871" s="121"/>
      <c r="M871" s="122"/>
      <c r="O871"/>
      <c r="P871"/>
    </row>
    <row r="872" spans="1:16" s="102" customFormat="1">
      <c r="A872" s="122"/>
      <c r="B872" s="122"/>
      <c r="C872" s="122"/>
      <c r="D872" s="122"/>
      <c r="E872" s="122"/>
      <c r="F872" s="122"/>
      <c r="G872" s="121"/>
      <c r="H872" s="122"/>
      <c r="I872" s="122"/>
      <c r="J872" s="122"/>
      <c r="K872" s="122"/>
      <c r="L872" s="121"/>
      <c r="M872" s="122"/>
      <c r="O872"/>
      <c r="P872"/>
    </row>
    <row r="873" spans="1:16" s="102" customFormat="1">
      <c r="A873" s="122"/>
      <c r="B873" s="122"/>
      <c r="C873" s="122"/>
      <c r="D873" s="122"/>
      <c r="E873" s="122"/>
      <c r="F873" s="122"/>
      <c r="G873" s="121"/>
      <c r="H873" s="122"/>
      <c r="I873" s="122"/>
      <c r="J873" s="122"/>
      <c r="K873" s="122"/>
      <c r="L873" s="121"/>
      <c r="M873" s="122"/>
      <c r="O873"/>
      <c r="P873"/>
    </row>
    <row r="874" spans="1:16" s="102" customFormat="1">
      <c r="A874" s="122"/>
      <c r="B874" s="122"/>
      <c r="C874" s="122"/>
      <c r="D874" s="122"/>
      <c r="E874" s="122"/>
      <c r="F874" s="122"/>
      <c r="G874" s="121"/>
      <c r="H874" s="122"/>
      <c r="I874" s="122"/>
      <c r="J874" s="122"/>
      <c r="K874" s="122"/>
      <c r="L874" s="121"/>
      <c r="M874" s="122"/>
      <c r="O874"/>
      <c r="P874"/>
    </row>
    <row r="875" spans="1:16" s="102" customFormat="1">
      <c r="A875" s="122"/>
      <c r="B875" s="122"/>
      <c r="C875" s="122"/>
      <c r="D875" s="122"/>
      <c r="E875" s="122"/>
      <c r="F875" s="122"/>
      <c r="G875" s="121"/>
      <c r="H875" s="122"/>
      <c r="I875" s="122"/>
      <c r="J875" s="122"/>
      <c r="K875" s="122"/>
      <c r="L875" s="121"/>
      <c r="M875" s="122"/>
      <c r="O875"/>
      <c r="P875"/>
    </row>
    <row r="876" spans="1:16" s="102" customFormat="1">
      <c r="A876" s="122"/>
      <c r="B876" s="122"/>
      <c r="C876" s="122"/>
      <c r="D876" s="122"/>
      <c r="E876" s="122"/>
      <c r="F876" s="122"/>
      <c r="G876" s="121"/>
      <c r="H876" s="122"/>
      <c r="I876" s="122"/>
      <c r="J876" s="122"/>
      <c r="K876" s="122"/>
      <c r="L876" s="121"/>
      <c r="M876" s="122"/>
      <c r="O876"/>
      <c r="P876"/>
    </row>
    <row r="877" spans="1:16" s="102" customFormat="1">
      <c r="A877" s="122"/>
      <c r="B877" s="122"/>
      <c r="C877" s="122"/>
      <c r="D877" s="122"/>
      <c r="E877" s="122"/>
      <c r="F877" s="122"/>
      <c r="G877" s="121"/>
      <c r="H877" s="122"/>
      <c r="I877" s="122"/>
      <c r="J877" s="122"/>
      <c r="K877" s="122"/>
      <c r="L877" s="121"/>
      <c r="M877" s="122"/>
      <c r="O877"/>
      <c r="P877"/>
    </row>
    <row r="878" spans="1:16" s="102" customFormat="1">
      <c r="A878" s="122"/>
      <c r="B878" s="122"/>
      <c r="C878" s="122"/>
      <c r="D878" s="122"/>
      <c r="E878" s="122"/>
      <c r="F878" s="122"/>
      <c r="G878" s="121"/>
      <c r="H878" s="122"/>
      <c r="I878" s="122"/>
      <c r="J878" s="122"/>
      <c r="K878" s="122"/>
      <c r="L878" s="121"/>
      <c r="M878" s="122"/>
      <c r="O878"/>
      <c r="P878"/>
    </row>
    <row r="879" spans="1:16" s="102" customFormat="1">
      <c r="A879" s="122"/>
      <c r="B879" s="122"/>
      <c r="C879" s="122"/>
      <c r="D879" s="122"/>
      <c r="E879" s="122"/>
      <c r="F879" s="122"/>
      <c r="G879" s="121"/>
      <c r="H879" s="122"/>
      <c r="I879" s="122"/>
      <c r="J879" s="122"/>
      <c r="K879" s="122"/>
      <c r="L879" s="121"/>
      <c r="M879" s="122"/>
      <c r="O879"/>
      <c r="P879"/>
    </row>
    <row r="880" spans="1:16" s="102" customFormat="1">
      <c r="A880" s="122"/>
      <c r="B880" s="122"/>
      <c r="C880" s="122"/>
      <c r="D880" s="122"/>
      <c r="E880" s="122"/>
      <c r="F880" s="122"/>
      <c r="G880" s="121"/>
      <c r="H880" s="122"/>
      <c r="I880" s="122"/>
      <c r="J880" s="122"/>
      <c r="K880" s="122"/>
      <c r="L880" s="121"/>
      <c r="M880" s="122"/>
      <c r="O880"/>
      <c r="P880"/>
    </row>
    <row r="881" spans="1:16" s="102" customFormat="1">
      <c r="A881" s="122"/>
      <c r="B881" s="122"/>
      <c r="C881" s="122"/>
      <c r="D881" s="122"/>
      <c r="E881" s="122"/>
      <c r="F881" s="122"/>
      <c r="G881" s="121"/>
      <c r="H881" s="122"/>
      <c r="I881" s="122"/>
      <c r="J881" s="122"/>
      <c r="K881" s="122"/>
      <c r="L881" s="121"/>
      <c r="M881" s="122"/>
      <c r="O881"/>
      <c r="P881"/>
    </row>
    <row r="882" spans="1:16" s="102" customFormat="1">
      <c r="A882" s="122"/>
      <c r="B882" s="122"/>
      <c r="C882" s="122"/>
      <c r="D882" s="122"/>
      <c r="E882" s="122"/>
      <c r="F882" s="122"/>
      <c r="G882" s="121"/>
      <c r="H882" s="122"/>
      <c r="I882" s="122"/>
      <c r="J882" s="122"/>
      <c r="K882" s="122"/>
      <c r="L882" s="121"/>
      <c r="M882" s="122"/>
      <c r="O882"/>
      <c r="P882"/>
    </row>
    <row r="883" spans="1:16" s="102" customFormat="1">
      <c r="A883" s="122"/>
      <c r="B883" s="122"/>
      <c r="C883" s="122"/>
      <c r="D883" s="122"/>
      <c r="E883" s="122"/>
      <c r="F883" s="122"/>
      <c r="G883" s="121"/>
      <c r="H883" s="122"/>
      <c r="I883" s="122"/>
      <c r="J883" s="122"/>
      <c r="K883" s="122"/>
      <c r="L883" s="121"/>
      <c r="M883" s="122"/>
      <c r="O883"/>
      <c r="P883"/>
    </row>
    <row r="884" spans="1:16" s="102" customFormat="1">
      <c r="A884" s="122"/>
      <c r="B884" s="122"/>
      <c r="C884" s="122"/>
      <c r="D884" s="122"/>
      <c r="E884" s="122"/>
      <c r="F884" s="122"/>
      <c r="G884" s="121"/>
      <c r="H884" s="122"/>
      <c r="I884" s="122"/>
      <c r="J884" s="122"/>
      <c r="K884" s="122"/>
      <c r="L884" s="121"/>
      <c r="M884" s="122"/>
      <c r="O884"/>
      <c r="P884"/>
    </row>
    <row r="885" spans="1:16" s="102" customFormat="1">
      <c r="A885" s="122"/>
      <c r="B885" s="122"/>
      <c r="C885" s="122"/>
      <c r="D885" s="122"/>
      <c r="E885" s="122"/>
      <c r="F885" s="122"/>
      <c r="G885" s="121"/>
      <c r="H885" s="122"/>
      <c r="I885" s="122"/>
      <c r="J885" s="122"/>
      <c r="K885" s="122"/>
      <c r="L885" s="121"/>
      <c r="M885" s="122"/>
      <c r="O885"/>
      <c r="P885"/>
    </row>
    <row r="886" spans="1:16" s="102" customFormat="1">
      <c r="A886" s="122"/>
      <c r="B886" s="122"/>
      <c r="C886" s="122"/>
      <c r="D886" s="122"/>
      <c r="E886" s="122"/>
      <c r="F886" s="122"/>
      <c r="G886" s="121"/>
      <c r="H886" s="122"/>
      <c r="I886" s="122"/>
      <c r="J886" s="122"/>
      <c r="K886" s="122"/>
      <c r="L886" s="121"/>
      <c r="M886" s="122"/>
      <c r="O886"/>
      <c r="P886"/>
    </row>
    <row r="887" spans="1:16" s="102" customFormat="1">
      <c r="A887" s="122"/>
      <c r="B887" s="122"/>
      <c r="C887" s="122"/>
      <c r="D887" s="122"/>
      <c r="E887" s="122"/>
      <c r="F887" s="122"/>
      <c r="G887" s="121"/>
      <c r="H887" s="122"/>
      <c r="I887" s="122"/>
      <c r="J887" s="122"/>
      <c r="K887" s="122"/>
      <c r="L887" s="121"/>
      <c r="M887" s="122"/>
      <c r="O887"/>
      <c r="P887"/>
    </row>
    <row r="888" spans="1:16" s="102" customFormat="1">
      <c r="A888" s="122"/>
      <c r="B888" s="122"/>
      <c r="C888" s="122"/>
      <c r="D888" s="122"/>
      <c r="E888" s="122"/>
      <c r="F888" s="122"/>
      <c r="G888" s="121"/>
      <c r="H888" s="122"/>
      <c r="I888" s="122"/>
      <c r="J888" s="122"/>
      <c r="K888" s="122"/>
      <c r="L888" s="121"/>
      <c r="M888" s="122"/>
      <c r="O888"/>
      <c r="P888"/>
    </row>
    <row r="889" spans="1:16" s="102" customFormat="1">
      <c r="A889" s="122"/>
      <c r="B889" s="122"/>
      <c r="C889" s="122"/>
      <c r="D889" s="122"/>
      <c r="E889" s="122"/>
      <c r="F889" s="122"/>
      <c r="G889" s="121"/>
      <c r="H889" s="122"/>
      <c r="I889" s="122"/>
      <c r="J889" s="122"/>
      <c r="K889" s="122"/>
      <c r="L889" s="121"/>
      <c r="M889" s="122"/>
      <c r="O889"/>
      <c r="P889"/>
    </row>
    <row r="890" spans="1:16" s="102" customFormat="1">
      <c r="A890" s="122"/>
      <c r="B890" s="122"/>
      <c r="C890" s="122"/>
      <c r="D890" s="122"/>
      <c r="E890" s="122"/>
      <c r="F890" s="122"/>
      <c r="G890" s="121"/>
      <c r="H890" s="122"/>
      <c r="I890" s="122"/>
      <c r="J890" s="122"/>
      <c r="K890" s="122"/>
      <c r="L890" s="121"/>
      <c r="M890" s="122"/>
      <c r="O890"/>
      <c r="P890"/>
    </row>
    <row r="891" spans="1:16" s="102" customFormat="1">
      <c r="A891" s="122"/>
      <c r="B891" s="122"/>
      <c r="C891" s="122"/>
      <c r="D891" s="122"/>
      <c r="E891" s="122"/>
      <c r="F891" s="122"/>
      <c r="G891" s="121"/>
      <c r="H891" s="122"/>
      <c r="I891" s="122"/>
      <c r="J891" s="122"/>
      <c r="K891" s="122"/>
      <c r="L891" s="121"/>
      <c r="M891" s="122"/>
      <c r="O891"/>
      <c r="P891"/>
    </row>
    <row r="892" spans="1:16" s="102" customFormat="1">
      <c r="A892" s="122"/>
      <c r="B892" s="122"/>
      <c r="C892" s="122"/>
      <c r="D892" s="122"/>
      <c r="E892" s="122"/>
      <c r="F892" s="122"/>
      <c r="G892" s="121"/>
      <c r="H892" s="122"/>
      <c r="I892" s="122"/>
      <c r="J892" s="122"/>
      <c r="K892" s="122"/>
      <c r="L892" s="121"/>
      <c r="M892" s="122"/>
      <c r="O892"/>
      <c r="P892"/>
    </row>
    <row r="893" spans="1:16" s="102" customFormat="1">
      <c r="A893" s="122"/>
      <c r="B893" s="122"/>
      <c r="C893" s="122"/>
      <c r="D893" s="122"/>
      <c r="E893" s="122"/>
      <c r="F893" s="122"/>
      <c r="G893" s="121"/>
      <c r="H893" s="122"/>
      <c r="I893" s="122"/>
      <c r="J893" s="122"/>
      <c r="K893" s="122"/>
      <c r="L893" s="121"/>
      <c r="M893" s="122"/>
      <c r="O893"/>
      <c r="P893"/>
    </row>
    <row r="894" spans="1:16" s="102" customFormat="1">
      <c r="A894" s="122"/>
      <c r="B894" s="122"/>
      <c r="C894" s="122"/>
      <c r="D894" s="122"/>
      <c r="E894" s="122"/>
      <c r="F894" s="122"/>
      <c r="G894" s="121"/>
      <c r="H894" s="122"/>
      <c r="I894" s="122"/>
      <c r="J894" s="122"/>
      <c r="K894" s="122"/>
      <c r="L894" s="121"/>
      <c r="M894" s="122"/>
      <c r="O894"/>
      <c r="P894"/>
    </row>
    <row r="895" spans="1:16" s="102" customFormat="1">
      <c r="A895" s="122"/>
      <c r="B895" s="122"/>
      <c r="C895" s="122"/>
      <c r="D895" s="122"/>
      <c r="E895" s="122"/>
      <c r="F895" s="122"/>
      <c r="G895" s="121"/>
      <c r="H895" s="122"/>
      <c r="I895" s="122"/>
      <c r="J895" s="122"/>
      <c r="K895" s="122"/>
      <c r="L895" s="121"/>
      <c r="M895" s="122"/>
      <c r="O895"/>
      <c r="P895"/>
    </row>
    <row r="896" spans="1:16" s="102" customFormat="1">
      <c r="A896" s="122"/>
      <c r="B896" s="122"/>
      <c r="C896" s="122"/>
      <c r="D896" s="122"/>
      <c r="E896" s="122"/>
      <c r="F896" s="122"/>
      <c r="G896" s="121"/>
      <c r="H896" s="122"/>
      <c r="I896" s="122"/>
      <c r="J896" s="122"/>
      <c r="K896" s="122"/>
      <c r="L896" s="121"/>
      <c r="M896" s="122"/>
      <c r="O896"/>
      <c r="P896"/>
    </row>
    <row r="897" spans="1:16" s="102" customFormat="1">
      <c r="A897" s="122"/>
      <c r="B897" s="122"/>
      <c r="C897" s="122"/>
      <c r="D897" s="122"/>
      <c r="E897" s="122"/>
      <c r="F897" s="122"/>
      <c r="G897" s="121"/>
      <c r="H897" s="122"/>
      <c r="I897" s="122"/>
      <c r="J897" s="122"/>
      <c r="K897" s="122"/>
      <c r="L897" s="121"/>
      <c r="M897" s="122"/>
      <c r="O897"/>
      <c r="P897"/>
    </row>
    <row r="898" spans="1:16" s="102" customFormat="1">
      <c r="A898" s="122"/>
      <c r="B898" s="122"/>
      <c r="C898" s="122"/>
      <c r="D898" s="122"/>
      <c r="E898" s="122"/>
      <c r="F898" s="122"/>
      <c r="G898" s="121"/>
      <c r="H898" s="122"/>
      <c r="I898" s="122"/>
      <c r="J898" s="122"/>
      <c r="K898" s="122"/>
      <c r="L898" s="121"/>
      <c r="M898" s="122"/>
      <c r="O898"/>
      <c r="P898"/>
    </row>
    <row r="899" spans="1:16" s="102" customFormat="1">
      <c r="A899" s="122"/>
      <c r="B899" s="122"/>
      <c r="C899" s="122"/>
      <c r="D899" s="122"/>
      <c r="E899" s="122"/>
      <c r="F899" s="122"/>
      <c r="G899" s="121"/>
      <c r="H899" s="122"/>
      <c r="I899" s="122"/>
      <c r="J899" s="122"/>
      <c r="K899" s="122"/>
      <c r="L899" s="121"/>
      <c r="M899" s="122"/>
      <c r="O899"/>
      <c r="P899"/>
    </row>
    <row r="900" spans="1:16" s="102" customFormat="1">
      <c r="A900" s="122"/>
      <c r="B900" s="122"/>
      <c r="C900" s="122"/>
      <c r="D900" s="122"/>
      <c r="E900" s="122"/>
      <c r="F900" s="122"/>
      <c r="G900" s="121"/>
      <c r="H900" s="122"/>
      <c r="I900" s="122"/>
      <c r="J900" s="122"/>
      <c r="K900" s="122"/>
      <c r="L900" s="121"/>
      <c r="M900" s="122"/>
      <c r="O900"/>
      <c r="P900"/>
    </row>
    <row r="901" spans="1:16" s="102" customFormat="1">
      <c r="A901" s="122"/>
      <c r="B901" s="122"/>
      <c r="C901" s="122"/>
      <c r="D901" s="122"/>
      <c r="E901" s="122"/>
      <c r="F901" s="122"/>
      <c r="G901" s="121"/>
      <c r="H901" s="122"/>
      <c r="I901" s="122"/>
      <c r="J901" s="122"/>
      <c r="K901" s="122"/>
      <c r="L901" s="121"/>
      <c r="M901" s="122"/>
      <c r="O901"/>
      <c r="P901"/>
    </row>
    <row r="902" spans="1:16" s="102" customFormat="1">
      <c r="A902" s="122"/>
      <c r="B902" s="122"/>
      <c r="C902" s="122"/>
      <c r="D902" s="122"/>
      <c r="E902" s="122"/>
      <c r="F902" s="122"/>
      <c r="G902" s="121"/>
      <c r="H902" s="122"/>
      <c r="I902" s="122"/>
      <c r="J902" s="122"/>
      <c r="K902" s="122"/>
      <c r="L902" s="121"/>
      <c r="M902" s="122"/>
      <c r="O902"/>
      <c r="P902"/>
    </row>
    <row r="903" spans="1:16" s="102" customFormat="1">
      <c r="A903" s="122"/>
      <c r="B903" s="122"/>
      <c r="C903" s="122"/>
      <c r="D903" s="122"/>
      <c r="E903" s="122"/>
      <c r="F903" s="122"/>
      <c r="G903" s="121"/>
      <c r="H903" s="122"/>
      <c r="I903" s="122"/>
      <c r="J903" s="122"/>
      <c r="K903" s="122"/>
      <c r="L903" s="121"/>
      <c r="M903" s="122"/>
      <c r="O903"/>
      <c r="P903"/>
    </row>
    <row r="904" spans="1:16" s="102" customFormat="1">
      <c r="A904" s="122"/>
      <c r="B904" s="122"/>
      <c r="C904" s="122"/>
      <c r="D904" s="122"/>
      <c r="E904" s="122"/>
      <c r="F904" s="122"/>
      <c r="G904" s="121"/>
      <c r="H904" s="122"/>
      <c r="I904" s="122"/>
      <c r="J904" s="122"/>
      <c r="K904" s="122"/>
      <c r="L904" s="121"/>
      <c r="M904" s="122"/>
      <c r="O904"/>
      <c r="P904"/>
    </row>
    <row r="905" spans="1:16" s="102" customFormat="1">
      <c r="A905" s="122"/>
      <c r="B905" s="122"/>
      <c r="C905" s="122"/>
      <c r="D905" s="122"/>
      <c r="E905" s="122"/>
      <c r="F905" s="122"/>
      <c r="G905" s="121"/>
      <c r="H905" s="122"/>
      <c r="I905" s="122"/>
      <c r="J905" s="122"/>
      <c r="K905" s="122"/>
      <c r="L905" s="121"/>
      <c r="M905" s="122"/>
      <c r="O905"/>
      <c r="P905"/>
    </row>
    <row r="906" spans="1:16" s="102" customFormat="1">
      <c r="A906" s="122"/>
      <c r="B906" s="122"/>
      <c r="C906" s="122"/>
      <c r="D906" s="122"/>
      <c r="E906" s="122"/>
      <c r="F906" s="122"/>
      <c r="G906" s="121"/>
      <c r="H906" s="122"/>
      <c r="I906" s="122"/>
      <c r="J906" s="122"/>
      <c r="K906" s="122"/>
      <c r="L906" s="121"/>
      <c r="M906" s="122"/>
      <c r="O906"/>
      <c r="P906"/>
    </row>
    <row r="907" spans="1:16" s="102" customFormat="1">
      <c r="A907" s="122"/>
      <c r="B907" s="122"/>
      <c r="C907" s="122"/>
      <c r="D907" s="122"/>
      <c r="E907" s="122"/>
      <c r="F907" s="122"/>
      <c r="G907" s="121"/>
      <c r="H907" s="122"/>
      <c r="I907" s="122"/>
      <c r="J907" s="122"/>
      <c r="K907" s="122"/>
      <c r="L907" s="121"/>
      <c r="M907" s="122"/>
      <c r="O907"/>
      <c r="P907"/>
    </row>
    <row r="908" spans="1:16" s="102" customFormat="1">
      <c r="A908" s="122"/>
      <c r="B908" s="122"/>
      <c r="C908" s="122"/>
      <c r="D908" s="122"/>
      <c r="E908" s="122"/>
      <c r="F908" s="122"/>
      <c r="G908" s="121"/>
      <c r="H908" s="122"/>
      <c r="I908" s="122"/>
      <c r="J908" s="122"/>
      <c r="K908" s="122"/>
      <c r="L908" s="121"/>
      <c r="M908" s="122"/>
      <c r="O908"/>
      <c r="P908"/>
    </row>
    <row r="909" spans="1:16" s="102" customFormat="1">
      <c r="A909" s="122"/>
      <c r="B909" s="122"/>
      <c r="C909" s="122"/>
      <c r="D909" s="122"/>
      <c r="E909" s="122"/>
      <c r="F909" s="122"/>
      <c r="G909" s="121"/>
      <c r="H909" s="122"/>
      <c r="I909" s="122"/>
      <c r="J909" s="122"/>
      <c r="K909" s="122"/>
      <c r="L909" s="121"/>
      <c r="M909" s="122"/>
      <c r="O909"/>
      <c r="P909"/>
    </row>
    <row r="910" spans="1:16" s="102" customFormat="1">
      <c r="A910" s="122"/>
      <c r="B910" s="122"/>
      <c r="C910" s="122"/>
      <c r="D910" s="122"/>
      <c r="E910" s="122"/>
      <c r="F910" s="122"/>
      <c r="G910" s="121"/>
      <c r="H910" s="122"/>
      <c r="I910" s="122"/>
      <c r="J910" s="122"/>
      <c r="K910" s="122"/>
      <c r="L910" s="121"/>
      <c r="M910" s="122"/>
      <c r="O910"/>
      <c r="P910"/>
    </row>
    <row r="911" spans="1:16" s="102" customFormat="1">
      <c r="A911" s="122"/>
      <c r="B911" s="122"/>
      <c r="C911" s="122"/>
      <c r="D911" s="122"/>
      <c r="E911" s="122"/>
      <c r="F911" s="122"/>
      <c r="G911" s="121"/>
      <c r="H911" s="122"/>
      <c r="I911" s="122"/>
      <c r="J911" s="122"/>
      <c r="K911" s="122"/>
      <c r="L911" s="121"/>
      <c r="M911" s="122"/>
      <c r="O911"/>
      <c r="P911"/>
    </row>
    <row r="912" spans="1:16" s="102" customFormat="1">
      <c r="A912" s="122"/>
      <c r="B912" s="122"/>
      <c r="C912" s="122"/>
      <c r="D912" s="122"/>
      <c r="E912" s="122"/>
      <c r="F912" s="122"/>
      <c r="G912" s="121"/>
      <c r="H912" s="122"/>
      <c r="I912" s="122"/>
      <c r="J912" s="122"/>
      <c r="K912" s="122"/>
      <c r="L912" s="121"/>
      <c r="M912" s="122"/>
      <c r="O912"/>
      <c r="P912"/>
    </row>
    <row r="913" spans="1:16" s="102" customFormat="1">
      <c r="A913" s="122"/>
      <c r="B913" s="122"/>
      <c r="C913" s="122"/>
      <c r="D913" s="122"/>
      <c r="E913" s="122"/>
      <c r="F913" s="122"/>
      <c r="G913" s="121"/>
      <c r="H913" s="122"/>
      <c r="I913" s="122"/>
      <c r="J913" s="122"/>
      <c r="K913" s="122"/>
      <c r="L913" s="121"/>
      <c r="M913" s="122"/>
      <c r="O913"/>
      <c r="P913"/>
    </row>
    <row r="914" spans="1:16" s="102" customFormat="1">
      <c r="A914" s="122"/>
      <c r="B914" s="122"/>
      <c r="C914" s="122"/>
      <c r="D914" s="122"/>
      <c r="E914" s="122"/>
      <c r="F914" s="122"/>
      <c r="G914" s="121"/>
      <c r="H914" s="122"/>
      <c r="I914" s="122"/>
      <c r="J914" s="122"/>
      <c r="K914" s="122"/>
      <c r="L914" s="121"/>
      <c r="M914" s="122"/>
      <c r="O914"/>
      <c r="P914"/>
    </row>
    <row r="915" spans="1:16" s="102" customFormat="1">
      <c r="A915" s="122"/>
      <c r="B915" s="122"/>
      <c r="C915" s="122"/>
      <c r="D915" s="122"/>
      <c r="E915" s="122"/>
      <c r="F915" s="122"/>
      <c r="G915" s="121"/>
      <c r="H915" s="122"/>
      <c r="I915" s="122"/>
      <c r="J915" s="122"/>
      <c r="K915" s="122"/>
      <c r="L915" s="121"/>
      <c r="M915" s="122"/>
      <c r="O915"/>
      <c r="P915"/>
    </row>
    <row r="916" spans="1:16" s="102" customFormat="1">
      <c r="A916" s="122"/>
      <c r="B916" s="122"/>
      <c r="C916" s="122"/>
      <c r="D916" s="122"/>
      <c r="E916" s="122"/>
      <c r="F916" s="122"/>
      <c r="G916" s="121"/>
      <c r="H916" s="122"/>
      <c r="I916" s="122"/>
      <c r="J916" s="122"/>
      <c r="K916" s="122"/>
      <c r="L916" s="121"/>
      <c r="M916" s="122"/>
      <c r="O916"/>
      <c r="P916"/>
    </row>
    <row r="917" spans="1:16" s="102" customFormat="1">
      <c r="A917" s="122"/>
      <c r="B917" s="122"/>
      <c r="C917" s="122"/>
      <c r="D917" s="122"/>
      <c r="E917" s="122"/>
      <c r="F917" s="122"/>
      <c r="G917" s="121"/>
      <c r="H917" s="122"/>
      <c r="I917" s="122"/>
      <c r="J917" s="122"/>
      <c r="K917" s="122"/>
      <c r="L917" s="121"/>
      <c r="M917" s="122"/>
      <c r="O917"/>
      <c r="P917"/>
    </row>
    <row r="918" spans="1:16" s="102" customFormat="1">
      <c r="A918" s="122"/>
      <c r="B918" s="122"/>
      <c r="C918" s="122"/>
      <c r="D918" s="122"/>
      <c r="E918" s="122"/>
      <c r="F918" s="122"/>
      <c r="G918" s="121"/>
      <c r="H918" s="122"/>
      <c r="I918" s="122"/>
      <c r="J918" s="122"/>
      <c r="K918" s="122"/>
      <c r="L918" s="121"/>
      <c r="M918" s="122"/>
      <c r="O918"/>
      <c r="P918"/>
    </row>
    <row r="919" spans="1:16" s="102" customFormat="1">
      <c r="A919" s="122"/>
      <c r="B919" s="122"/>
      <c r="C919" s="122"/>
      <c r="D919" s="122"/>
      <c r="E919" s="122"/>
      <c r="F919" s="122"/>
      <c r="G919" s="121"/>
      <c r="H919" s="122"/>
      <c r="I919" s="122"/>
      <c r="J919" s="122"/>
      <c r="K919" s="122"/>
      <c r="L919" s="121"/>
      <c r="M919" s="122"/>
      <c r="O919"/>
      <c r="P919"/>
    </row>
    <row r="920" spans="1:16" s="102" customFormat="1">
      <c r="A920" s="122"/>
      <c r="B920" s="122"/>
      <c r="C920" s="122"/>
      <c r="D920" s="122"/>
      <c r="E920" s="122"/>
      <c r="F920" s="122"/>
      <c r="G920" s="121"/>
      <c r="H920" s="122"/>
      <c r="I920" s="122"/>
      <c r="J920" s="122"/>
      <c r="K920" s="122"/>
      <c r="L920" s="121"/>
      <c r="M920" s="122"/>
      <c r="O920"/>
      <c r="P920"/>
    </row>
    <row r="921" spans="1:16" s="102" customFormat="1">
      <c r="A921" s="122"/>
      <c r="B921" s="122"/>
      <c r="C921" s="122"/>
      <c r="D921" s="122"/>
      <c r="E921" s="122"/>
      <c r="F921" s="122"/>
      <c r="G921" s="121"/>
      <c r="H921" s="122"/>
      <c r="I921" s="122"/>
      <c r="J921" s="122"/>
      <c r="K921" s="122"/>
      <c r="L921" s="121"/>
      <c r="M921" s="122"/>
      <c r="O921"/>
      <c r="P921"/>
    </row>
    <row r="922" spans="1:16" s="102" customFormat="1">
      <c r="A922" s="122"/>
      <c r="B922" s="122"/>
      <c r="C922" s="122"/>
      <c r="D922" s="122"/>
      <c r="E922" s="122"/>
      <c r="F922" s="122"/>
      <c r="G922" s="121"/>
      <c r="H922" s="122"/>
      <c r="I922" s="122"/>
      <c r="J922" s="122"/>
      <c r="K922" s="122"/>
      <c r="L922" s="121"/>
      <c r="M922" s="122"/>
      <c r="O922"/>
      <c r="P922"/>
    </row>
    <row r="923" spans="1:16" s="102" customFormat="1">
      <c r="A923" s="122"/>
      <c r="B923" s="122"/>
      <c r="C923" s="122"/>
      <c r="D923" s="122"/>
      <c r="E923" s="122"/>
      <c r="F923" s="122"/>
      <c r="G923" s="121"/>
      <c r="H923" s="122"/>
      <c r="I923" s="122"/>
      <c r="J923" s="122"/>
      <c r="K923" s="122"/>
      <c r="L923" s="121"/>
      <c r="M923" s="122"/>
      <c r="O923"/>
      <c r="P923"/>
    </row>
    <row r="924" spans="1:16" s="102" customFormat="1">
      <c r="A924" s="122"/>
      <c r="B924" s="122"/>
      <c r="C924" s="122"/>
      <c r="D924" s="122"/>
      <c r="E924" s="122"/>
      <c r="F924" s="122"/>
      <c r="G924" s="121"/>
      <c r="H924" s="122"/>
      <c r="I924" s="122"/>
      <c r="J924" s="122"/>
      <c r="K924" s="122"/>
      <c r="L924" s="121"/>
      <c r="M924" s="122"/>
      <c r="O924"/>
      <c r="P924"/>
    </row>
    <row r="925" spans="1:16" s="102" customFormat="1">
      <c r="A925" s="122"/>
      <c r="B925" s="122"/>
      <c r="C925" s="122"/>
      <c r="D925" s="122"/>
      <c r="E925" s="122"/>
      <c r="F925" s="122"/>
      <c r="G925" s="121"/>
      <c r="H925" s="122"/>
      <c r="I925" s="122"/>
      <c r="J925" s="122"/>
      <c r="K925" s="122"/>
      <c r="L925" s="121"/>
      <c r="M925" s="122"/>
      <c r="O925"/>
      <c r="P925"/>
    </row>
    <row r="926" spans="1:16" s="102" customFormat="1">
      <c r="A926" s="122"/>
      <c r="B926" s="122"/>
      <c r="C926" s="122"/>
      <c r="D926" s="122"/>
      <c r="E926" s="122"/>
      <c r="F926" s="122"/>
      <c r="G926" s="121"/>
      <c r="H926" s="122"/>
      <c r="I926" s="122"/>
      <c r="J926" s="122"/>
      <c r="K926" s="122"/>
      <c r="L926" s="121"/>
      <c r="M926" s="122"/>
      <c r="O926"/>
      <c r="P926"/>
    </row>
    <row r="927" spans="1:16" s="102" customFormat="1">
      <c r="A927" s="122"/>
      <c r="B927" s="122"/>
      <c r="C927" s="122"/>
      <c r="D927" s="122"/>
      <c r="E927" s="122"/>
      <c r="F927" s="122"/>
      <c r="G927" s="121"/>
      <c r="H927" s="122"/>
      <c r="I927" s="122"/>
      <c r="J927" s="122"/>
      <c r="K927" s="122"/>
      <c r="L927" s="121"/>
      <c r="M927" s="122"/>
      <c r="O927"/>
      <c r="P927"/>
    </row>
    <row r="928" spans="1:16" s="102" customFormat="1">
      <c r="A928" s="122"/>
      <c r="B928" s="122"/>
      <c r="C928" s="122"/>
      <c r="D928" s="122"/>
      <c r="E928" s="122"/>
      <c r="F928" s="122"/>
      <c r="G928" s="121"/>
      <c r="H928" s="122"/>
      <c r="I928" s="122"/>
      <c r="J928" s="122"/>
      <c r="K928" s="122"/>
      <c r="L928" s="121"/>
      <c r="M928" s="122"/>
      <c r="O928"/>
      <c r="P928"/>
    </row>
    <row r="929" spans="24:27">
      <c r="X929" s="102"/>
      <c r="AA929" s="102"/>
    </row>
    <row r="930" spans="24:27">
      <c r="X930" s="102"/>
      <c r="AA930" s="102"/>
    </row>
    <row r="931" spans="24:27">
      <c r="X931" s="102"/>
      <c r="AA931" s="102"/>
    </row>
    <row r="932" spans="24:27">
      <c r="X932" s="102"/>
      <c r="AA932" s="102"/>
    </row>
    <row r="933" spans="24:27">
      <c r="X933" s="102"/>
      <c r="AA933" s="102"/>
    </row>
    <row r="934" spans="24:27">
      <c r="X934" s="102"/>
      <c r="AA934" s="102"/>
    </row>
    <row r="935" spans="24:27">
      <c r="X935" s="102"/>
      <c r="AA935" s="102"/>
    </row>
    <row r="936" spans="24:27">
      <c r="X936" s="102"/>
      <c r="AA936" s="102"/>
    </row>
    <row r="937" spans="24:27">
      <c r="X937" s="102"/>
      <c r="AA937" s="102"/>
    </row>
    <row r="938" spans="24:27">
      <c r="X938" s="102"/>
      <c r="AA938" s="102"/>
    </row>
    <row r="939" spans="24:27">
      <c r="X939" s="102"/>
      <c r="AA939" s="102"/>
    </row>
    <row r="940" spans="24:27">
      <c r="X940" s="102"/>
      <c r="AA940" s="102"/>
    </row>
    <row r="941" spans="24:27">
      <c r="X941" s="102"/>
      <c r="AA941" s="102"/>
    </row>
    <row r="942" spans="24:27">
      <c r="X942" s="102"/>
      <c r="AA942" s="102"/>
    </row>
    <row r="943" spans="24:27">
      <c r="X943" s="102"/>
      <c r="AA943" s="102"/>
    </row>
    <row r="944" spans="24:27">
      <c r="X944" s="102"/>
      <c r="AA944" s="102"/>
    </row>
    <row r="945" spans="24:27">
      <c r="X945" s="102"/>
      <c r="AA945" s="102"/>
    </row>
    <row r="946" spans="24:27">
      <c r="X946" s="102"/>
      <c r="AA946" s="102"/>
    </row>
    <row r="947" spans="24:27">
      <c r="X947" s="102"/>
      <c r="AA947" s="102"/>
    </row>
    <row r="948" spans="24:27">
      <c r="X948" s="102"/>
      <c r="AA948" s="102"/>
    </row>
    <row r="949" spans="24:27">
      <c r="X949" s="102"/>
      <c r="AA949" s="102"/>
    </row>
    <row r="950" spans="24:27">
      <c r="X950" s="102"/>
      <c r="AA950" s="102"/>
    </row>
    <row r="951" spans="24:27">
      <c r="X951" s="102"/>
      <c r="AA951" s="102"/>
    </row>
    <row r="952" spans="24:27">
      <c r="X952" s="102"/>
      <c r="AA952" s="102"/>
    </row>
    <row r="953" spans="24:27">
      <c r="X953" s="102"/>
      <c r="AA953" s="102"/>
    </row>
    <row r="954" spans="24:27">
      <c r="X954" s="102"/>
      <c r="AA954" s="102"/>
    </row>
    <row r="955" spans="24:27">
      <c r="X955" s="102"/>
      <c r="AA955" s="102"/>
    </row>
    <row r="956" spans="24:27">
      <c r="X956" s="102"/>
      <c r="AA956" s="102"/>
    </row>
    <row r="957" spans="24:27">
      <c r="X957" s="102"/>
      <c r="AA957" s="102"/>
    </row>
    <row r="958" spans="24:27">
      <c r="X958" s="102"/>
      <c r="AA958" s="102"/>
    </row>
    <row r="959" spans="24:27">
      <c r="X959" s="102"/>
      <c r="AA959" s="102"/>
    </row>
    <row r="960" spans="24:27">
      <c r="X960" s="102"/>
      <c r="AA960" s="102"/>
    </row>
    <row r="961" spans="24:27">
      <c r="X961" s="102"/>
      <c r="AA961" s="102"/>
    </row>
    <row r="962" spans="24:27">
      <c r="X962" s="102"/>
      <c r="AA962" s="102"/>
    </row>
    <row r="963" spans="24:27">
      <c r="X963" s="102"/>
      <c r="AA963" s="102"/>
    </row>
    <row r="964" spans="24:27">
      <c r="X964" s="102"/>
      <c r="AA964" s="102"/>
    </row>
    <row r="965" spans="24:27">
      <c r="X965" s="102"/>
      <c r="AA965" s="102"/>
    </row>
    <row r="966" spans="24:27">
      <c r="X966" s="102"/>
      <c r="AA966" s="102"/>
    </row>
    <row r="967" spans="24:27">
      <c r="X967" s="102"/>
      <c r="AA967" s="102"/>
    </row>
    <row r="968" spans="24:27">
      <c r="X968" s="102"/>
      <c r="AA968" s="102"/>
    </row>
    <row r="969" spans="24:27">
      <c r="X969" s="102"/>
      <c r="AA969" s="102"/>
    </row>
    <row r="970" spans="24:27">
      <c r="X970" s="102"/>
      <c r="AA970" s="102"/>
    </row>
    <row r="971" spans="24:27">
      <c r="X971" s="102"/>
      <c r="AA971" s="102"/>
    </row>
    <row r="972" spans="24:27">
      <c r="X972" s="102"/>
      <c r="AA972" s="102"/>
    </row>
    <row r="973" spans="24:27">
      <c r="X973" s="102"/>
      <c r="AA973" s="102"/>
    </row>
    <row r="974" spans="24:27">
      <c r="X974" s="102"/>
      <c r="AA974" s="102"/>
    </row>
    <row r="975" spans="24:27">
      <c r="X975" s="102"/>
      <c r="AA975" s="102"/>
    </row>
    <row r="976" spans="24:27">
      <c r="X976" s="102"/>
      <c r="AA976" s="102"/>
    </row>
    <row r="977" spans="24:27">
      <c r="X977" s="102"/>
      <c r="AA977" s="102"/>
    </row>
    <row r="978" spans="24:27">
      <c r="X978" s="102"/>
      <c r="AA978" s="102"/>
    </row>
    <row r="979" spans="24:27">
      <c r="X979" s="102"/>
      <c r="AA979" s="102"/>
    </row>
    <row r="980" spans="24:27">
      <c r="X980" s="102"/>
      <c r="AA980" s="102"/>
    </row>
    <row r="981" spans="24:27">
      <c r="X981" s="102"/>
      <c r="AA981" s="102"/>
    </row>
    <row r="982" spans="24:27">
      <c r="X982" s="102"/>
      <c r="AA982" s="102"/>
    </row>
    <row r="983" spans="24:27">
      <c r="X983" s="102"/>
      <c r="AA983" s="102"/>
    </row>
    <row r="984" spans="24:27">
      <c r="X984" s="102"/>
      <c r="AA984" s="102"/>
    </row>
    <row r="985" spans="24:27">
      <c r="X985" s="102"/>
      <c r="AA985" s="102"/>
    </row>
    <row r="986" spans="24:27">
      <c r="X986" s="102"/>
      <c r="AA986" s="102"/>
    </row>
    <row r="987" spans="24:27">
      <c r="X987" s="102"/>
      <c r="AA987" s="102"/>
    </row>
    <row r="988" spans="24:27">
      <c r="X988" s="102"/>
      <c r="AA988" s="102"/>
    </row>
    <row r="989" spans="24:27">
      <c r="X989" s="102"/>
      <c r="AA989" s="102"/>
    </row>
    <row r="990" spans="24:27">
      <c r="X990" s="102"/>
      <c r="AA990" s="102"/>
    </row>
    <row r="991" spans="24:27">
      <c r="X991" s="102"/>
      <c r="AA991" s="102"/>
    </row>
    <row r="992" spans="24:27">
      <c r="X992" s="102"/>
      <c r="AA992" s="102"/>
    </row>
    <row r="993" spans="24:27">
      <c r="X993" s="102"/>
      <c r="AA993" s="102"/>
    </row>
    <row r="994" spans="24:27">
      <c r="X994" s="102"/>
      <c r="AA994" s="102"/>
    </row>
    <row r="995" spans="24:27">
      <c r="X995" s="102"/>
      <c r="AA995" s="102"/>
    </row>
    <row r="996" spans="24:27">
      <c r="X996" s="102"/>
      <c r="AA996" s="102"/>
    </row>
    <row r="997" spans="24:27">
      <c r="X997" s="102"/>
      <c r="AA997" s="102"/>
    </row>
    <row r="998" spans="24:27">
      <c r="X998" s="102"/>
      <c r="AA998" s="102"/>
    </row>
    <row r="999" spans="24:27">
      <c r="X999" s="102"/>
      <c r="AA999" s="102"/>
    </row>
    <row r="1000" spans="24:27">
      <c r="X1000" s="102"/>
      <c r="AA1000" s="102"/>
    </row>
    <row r="1001" spans="24:27">
      <c r="X1001" s="102"/>
      <c r="AA1001" s="102"/>
    </row>
    <row r="1002" spans="24:27">
      <c r="X1002" s="102"/>
      <c r="AA1002" s="102"/>
    </row>
    <row r="1003" spans="24:27">
      <c r="X1003" s="102"/>
      <c r="AA1003" s="102"/>
    </row>
    <row r="1004" spans="24:27">
      <c r="X1004" s="102"/>
      <c r="AA1004" s="102"/>
    </row>
    <row r="1005" spans="24:27">
      <c r="X1005" s="102"/>
      <c r="AA1005" s="102"/>
    </row>
    <row r="1006" spans="24:27">
      <c r="X1006" s="102"/>
      <c r="AA1006" s="102"/>
    </row>
    <row r="1007" spans="24:27">
      <c r="X1007" s="102"/>
      <c r="AA1007" s="102"/>
    </row>
    <row r="1008" spans="24:27">
      <c r="X1008" s="102"/>
      <c r="AA1008" s="102"/>
    </row>
    <row r="1009" spans="24:27">
      <c r="X1009" s="102"/>
      <c r="AA1009" s="102"/>
    </row>
    <row r="1010" spans="24:27">
      <c r="X1010" s="102"/>
      <c r="AA1010" s="102"/>
    </row>
    <row r="1011" spans="24:27">
      <c r="X1011" s="102"/>
      <c r="AA1011" s="102"/>
    </row>
    <row r="1012" spans="24:27">
      <c r="X1012" s="102"/>
      <c r="AA1012" s="102"/>
    </row>
    <row r="1013" spans="24:27">
      <c r="X1013" s="102"/>
      <c r="AA1013" s="102"/>
    </row>
    <row r="1014" spans="24:27">
      <c r="X1014" s="102"/>
      <c r="AA1014" s="102"/>
    </row>
    <row r="1015" spans="24:27">
      <c r="X1015" s="102"/>
      <c r="AA1015" s="102"/>
    </row>
    <row r="1016" spans="24:27">
      <c r="X1016" s="102"/>
      <c r="AA1016" s="102"/>
    </row>
    <row r="1017" spans="24:27">
      <c r="X1017" s="102"/>
      <c r="AA1017" s="102"/>
    </row>
    <row r="1018" spans="24:27">
      <c r="X1018" s="102"/>
      <c r="AA1018" s="102"/>
    </row>
    <row r="1019" spans="24:27">
      <c r="X1019" s="102"/>
      <c r="AA1019" s="102"/>
    </row>
    <row r="1020" spans="24:27">
      <c r="X1020" s="102"/>
      <c r="AA1020" s="102"/>
    </row>
    <row r="1021" spans="24:27">
      <c r="X1021" s="102"/>
      <c r="AA1021" s="102"/>
    </row>
    <row r="1022" spans="24:27">
      <c r="X1022" s="102"/>
      <c r="AA1022" s="102"/>
    </row>
    <row r="1023" spans="24:27">
      <c r="X1023" s="102"/>
      <c r="AA1023" s="102"/>
    </row>
    <row r="1024" spans="24:27">
      <c r="X1024" s="102"/>
      <c r="AA1024" s="102"/>
    </row>
    <row r="1025" spans="24:27">
      <c r="X1025" s="102"/>
      <c r="AA1025" s="102"/>
    </row>
    <row r="1026" spans="24:27">
      <c r="X1026" s="102"/>
      <c r="AA1026" s="102"/>
    </row>
    <row r="1027" spans="24:27">
      <c r="X1027" s="102"/>
      <c r="AA1027" s="102"/>
    </row>
    <row r="1028" spans="24:27">
      <c r="X1028" s="102"/>
      <c r="AA1028" s="102"/>
    </row>
    <row r="1029" spans="24:27">
      <c r="X1029" s="102"/>
      <c r="AA1029" s="102"/>
    </row>
    <row r="1030" spans="24:27">
      <c r="X1030" s="102"/>
      <c r="AA1030" s="102"/>
    </row>
    <row r="1031" spans="24:27">
      <c r="X1031" s="102"/>
      <c r="AA1031" s="102"/>
    </row>
    <row r="1032" spans="24:27">
      <c r="X1032" s="102"/>
      <c r="AA1032" s="102"/>
    </row>
    <row r="1033" spans="24:27">
      <c r="X1033" s="102"/>
      <c r="AA1033" s="102"/>
    </row>
    <row r="1034" spans="24:27">
      <c r="X1034" s="102"/>
      <c r="AA1034" s="102"/>
    </row>
    <row r="1035" spans="24:27">
      <c r="X1035" s="102"/>
      <c r="AA1035" s="102"/>
    </row>
    <row r="1036" spans="24:27">
      <c r="X1036" s="102"/>
      <c r="AA1036" s="102"/>
    </row>
    <row r="1037" spans="24:27">
      <c r="X1037" s="102"/>
      <c r="AA1037" s="102"/>
    </row>
    <row r="1038" spans="24:27">
      <c r="X1038" s="102"/>
      <c r="AA1038" s="102"/>
    </row>
    <row r="1039" spans="24:27">
      <c r="X1039" s="102"/>
      <c r="AA1039" s="102"/>
    </row>
    <row r="1040" spans="24:27">
      <c r="X1040" s="102"/>
      <c r="AA1040" s="102"/>
    </row>
    <row r="1041" spans="24:27">
      <c r="X1041" s="102"/>
      <c r="AA1041" s="102"/>
    </row>
    <row r="1042" spans="24:27">
      <c r="X1042" s="102"/>
      <c r="AA1042" s="102"/>
    </row>
    <row r="1043" spans="24:27">
      <c r="X1043" s="102"/>
      <c r="AA1043" s="102"/>
    </row>
    <row r="1044" spans="24:27">
      <c r="X1044" s="102"/>
      <c r="AA1044" s="102"/>
    </row>
    <row r="1045" spans="24:27">
      <c r="X1045" s="102"/>
      <c r="AA1045" s="102"/>
    </row>
    <row r="1046" spans="24:27">
      <c r="X1046" s="102"/>
      <c r="AA1046" s="102"/>
    </row>
  </sheetData>
  <mergeCells count="50">
    <mergeCell ref="A26:B26"/>
    <mergeCell ref="A20:B20"/>
    <mergeCell ref="A21:B21"/>
    <mergeCell ref="A22:B22"/>
    <mergeCell ref="A23:B23"/>
    <mergeCell ref="A24:B24"/>
    <mergeCell ref="A25:B25"/>
    <mergeCell ref="A6:B6"/>
    <mergeCell ref="A19:B19"/>
    <mergeCell ref="A8:B8"/>
    <mergeCell ref="A9:B9"/>
    <mergeCell ref="A10:B10"/>
    <mergeCell ref="A11:B11"/>
    <mergeCell ref="A12:B12"/>
    <mergeCell ref="A13:B13"/>
    <mergeCell ref="A14:B14"/>
    <mergeCell ref="A15:B15"/>
    <mergeCell ref="A16:B16"/>
    <mergeCell ref="A17:B17"/>
    <mergeCell ref="A18:B18"/>
    <mergeCell ref="A50:B50"/>
    <mergeCell ref="A51:B51"/>
    <mergeCell ref="A40:B40"/>
    <mergeCell ref="A30:B30"/>
    <mergeCell ref="A31:B31"/>
    <mergeCell ref="A32:B32"/>
    <mergeCell ref="A33:B33"/>
    <mergeCell ref="A34:B34"/>
    <mergeCell ref="A35:B35"/>
    <mergeCell ref="A36:B36"/>
    <mergeCell ref="A37:B37"/>
    <mergeCell ref="A38:B38"/>
    <mergeCell ref="A39:B39"/>
    <mergeCell ref="A47:B47"/>
    <mergeCell ref="A1:B1"/>
    <mergeCell ref="A29:B29"/>
    <mergeCell ref="A48:B48"/>
    <mergeCell ref="A49:B49"/>
    <mergeCell ref="A41:B41"/>
    <mergeCell ref="A42:B42"/>
    <mergeCell ref="A43:B43"/>
    <mergeCell ref="A44:B44"/>
    <mergeCell ref="A45:B45"/>
    <mergeCell ref="A46:B46"/>
    <mergeCell ref="A2:B2"/>
    <mergeCell ref="A27:B27"/>
    <mergeCell ref="A7:B7"/>
    <mergeCell ref="A3:B3"/>
    <mergeCell ref="A4:B4"/>
    <mergeCell ref="A5:B5"/>
  </mergeCells>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dimension ref="A1:DD887"/>
  <sheetViews>
    <sheetView zoomScaleNormal="100" workbookViewId="0">
      <pane ySplit="3" topLeftCell="A79" activePane="bottomLeft" state="frozen"/>
      <selection pane="bottomLeft" activeCell="C93" sqref="C93"/>
    </sheetView>
  </sheetViews>
  <sheetFormatPr baseColWidth="10" defaultRowHeight="13.2"/>
  <cols>
    <col min="1" max="1" width="19" style="102" customWidth="1"/>
    <col min="2" max="2" width="18.88671875" customWidth="1"/>
    <col min="3" max="3" width="19.33203125" customWidth="1"/>
    <col min="4" max="4" width="23.109375" customWidth="1"/>
    <col min="5" max="5" width="14.109375" customWidth="1"/>
    <col min="6" max="6" width="19.33203125" customWidth="1"/>
    <col min="7" max="7" width="16.6640625" style="102" customWidth="1"/>
    <col min="8" max="8" width="27.33203125" style="102" customWidth="1"/>
    <col min="9" max="9" width="14" style="102" customWidth="1"/>
    <col min="10" max="108" width="11.44140625" style="102"/>
  </cols>
  <sheetData>
    <row r="1" spans="1:108" s="102" customFormat="1" ht="13.8" thickBot="1"/>
    <row r="2" spans="1:108">
      <c r="C2" s="2603" t="s">
        <v>723</v>
      </c>
      <c r="D2" s="2604"/>
      <c r="E2" s="2604"/>
      <c r="F2" s="2605"/>
    </row>
    <row r="3" spans="1:108" s="102" customFormat="1" ht="13.8" thickBot="1">
      <c r="C3" s="2606"/>
      <c r="D3" s="2607"/>
      <c r="E3" s="2607"/>
      <c r="F3" s="2608"/>
    </row>
    <row r="4" spans="1:108" s="102" customFormat="1" ht="13.8" thickBot="1"/>
    <row r="5" spans="1:108" s="65" customFormat="1" ht="17.25" customHeight="1" thickBot="1">
      <c r="A5" s="108"/>
      <c r="B5" s="2614" t="s">
        <v>545</v>
      </c>
      <c r="C5" s="2615"/>
      <c r="E5" s="2614" t="s">
        <v>458</v>
      </c>
      <c r="F5" s="2615"/>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S5" s="108"/>
      <c r="AT5" s="108"/>
      <c r="AU5" s="108"/>
      <c r="AV5" s="108"/>
      <c r="AW5" s="108"/>
      <c r="AX5" s="108"/>
      <c r="AY5" s="108"/>
      <c r="AZ5" s="108"/>
      <c r="BA5" s="108"/>
      <c r="BB5" s="108"/>
      <c r="BC5" s="108"/>
      <c r="BD5" s="108"/>
      <c r="BE5" s="108"/>
      <c r="BF5" s="108"/>
      <c r="BG5" s="108"/>
      <c r="BH5" s="108"/>
      <c r="BI5" s="108"/>
      <c r="BJ5" s="108"/>
      <c r="BK5" s="108"/>
      <c r="BL5" s="108"/>
      <c r="BM5" s="108"/>
      <c r="BN5" s="108"/>
      <c r="BO5" s="108"/>
      <c r="BP5" s="108"/>
      <c r="BQ5" s="108"/>
      <c r="BR5" s="108"/>
      <c r="BS5" s="108"/>
      <c r="BT5" s="108"/>
      <c r="BU5" s="108"/>
      <c r="BV5" s="108"/>
      <c r="BW5" s="108"/>
      <c r="BX5" s="108"/>
      <c r="BY5" s="108"/>
      <c r="BZ5" s="108"/>
      <c r="CA5" s="108"/>
      <c r="CB5" s="108"/>
      <c r="CC5" s="108"/>
      <c r="CD5" s="108"/>
      <c r="CE5" s="108"/>
      <c r="CF5" s="108"/>
      <c r="CG5" s="108"/>
      <c r="CH5" s="108"/>
      <c r="CI5" s="108"/>
      <c r="CJ5" s="108"/>
      <c r="CK5" s="108"/>
      <c r="CL5" s="108"/>
      <c r="CM5" s="108"/>
      <c r="CN5" s="108"/>
      <c r="CO5" s="108"/>
      <c r="CP5" s="108"/>
      <c r="CQ5" s="108"/>
      <c r="CR5" s="108"/>
      <c r="CS5" s="108"/>
      <c r="CT5" s="108"/>
      <c r="CU5" s="108"/>
      <c r="CV5" s="108"/>
      <c r="CW5" s="108"/>
      <c r="CX5" s="108"/>
      <c r="CY5" s="108"/>
      <c r="CZ5" s="108"/>
      <c r="DA5" s="108"/>
      <c r="DB5" s="108"/>
      <c r="DC5" s="108"/>
      <c r="DD5" s="108"/>
    </row>
    <row r="6" spans="1:108" s="68" customFormat="1" ht="18.75" customHeight="1" thickBot="1">
      <c r="A6" s="109"/>
      <c r="B6" s="66" t="s">
        <v>546</v>
      </c>
      <c r="C6" s="67" t="s">
        <v>559</v>
      </c>
      <c r="D6" s="109"/>
      <c r="E6" s="66" t="s">
        <v>546</v>
      </c>
      <c r="F6" s="67" t="s">
        <v>560</v>
      </c>
      <c r="G6" s="109"/>
      <c r="H6" s="109"/>
      <c r="I6" s="109"/>
      <c r="J6" s="109"/>
      <c r="K6" s="109"/>
      <c r="L6" s="109"/>
      <c r="M6" s="109"/>
      <c r="N6" s="109"/>
      <c r="O6" s="109"/>
      <c r="P6" s="109"/>
      <c r="Q6" s="109"/>
      <c r="R6" s="109"/>
      <c r="S6" s="109"/>
      <c r="T6" s="109"/>
      <c r="U6" s="109"/>
      <c r="V6" s="109"/>
      <c r="W6" s="109"/>
      <c r="X6" s="109"/>
      <c r="Y6" s="109"/>
      <c r="Z6" s="109"/>
      <c r="AA6" s="109"/>
      <c r="AB6" s="109"/>
      <c r="AC6" s="109"/>
      <c r="AD6" s="109"/>
      <c r="AE6" s="109"/>
      <c r="AF6" s="109"/>
      <c r="AG6" s="109"/>
      <c r="AH6" s="109"/>
      <c r="AI6" s="109"/>
      <c r="AJ6" s="109"/>
      <c r="AK6" s="109"/>
      <c r="AL6" s="109"/>
      <c r="AM6" s="109"/>
      <c r="AN6" s="109"/>
      <c r="AO6" s="109"/>
      <c r="AP6" s="109"/>
      <c r="AQ6" s="109"/>
      <c r="AR6" s="109"/>
      <c r="AS6" s="109"/>
      <c r="AT6" s="109"/>
      <c r="AU6" s="109"/>
      <c r="AV6" s="109"/>
      <c r="AW6" s="109"/>
      <c r="AX6" s="109"/>
      <c r="AY6" s="109"/>
      <c r="AZ6" s="109"/>
      <c r="BA6" s="109"/>
      <c r="BB6" s="109"/>
      <c r="BC6" s="109"/>
      <c r="BD6" s="109"/>
      <c r="BE6" s="109"/>
      <c r="BF6" s="109"/>
      <c r="BG6" s="109"/>
      <c r="BH6" s="109"/>
      <c r="BI6" s="109"/>
      <c r="BJ6" s="109"/>
      <c r="BK6" s="109"/>
      <c r="BL6" s="109"/>
      <c r="BM6" s="109"/>
      <c r="BN6" s="109"/>
      <c r="BO6" s="109"/>
      <c r="BP6" s="109"/>
      <c r="BQ6" s="109"/>
      <c r="BR6" s="109"/>
      <c r="BS6" s="109"/>
      <c r="BT6" s="109"/>
      <c r="BU6" s="109"/>
      <c r="BV6" s="109"/>
      <c r="BW6" s="109"/>
      <c r="BX6" s="109"/>
      <c r="BY6" s="109"/>
      <c r="BZ6" s="109"/>
      <c r="CA6" s="109"/>
      <c r="CB6" s="109"/>
      <c r="CC6" s="109"/>
      <c r="CD6" s="109"/>
      <c r="CE6" s="109"/>
      <c r="CF6" s="109"/>
      <c r="CG6" s="109"/>
      <c r="CH6" s="109"/>
      <c r="CI6" s="109"/>
      <c r="CJ6" s="109"/>
      <c r="CK6" s="109"/>
      <c r="CL6" s="109"/>
      <c r="CM6" s="109"/>
      <c r="CN6" s="109"/>
      <c r="CO6" s="109"/>
      <c r="CP6" s="109"/>
      <c r="CQ6" s="109"/>
      <c r="CR6" s="109"/>
      <c r="CS6" s="109"/>
      <c r="CT6" s="109"/>
      <c r="CU6" s="109"/>
      <c r="CV6" s="109"/>
      <c r="CW6" s="109"/>
      <c r="CX6" s="109"/>
      <c r="CY6" s="109"/>
      <c r="CZ6" s="109"/>
      <c r="DA6" s="109"/>
      <c r="DB6" s="109"/>
      <c r="DC6" s="109"/>
      <c r="DD6" s="109"/>
    </row>
    <row r="7" spans="1:108" s="61" customFormat="1" ht="18" customHeight="1" thickBot="1">
      <c r="A7" s="110"/>
      <c r="B7" s="162">
        <f>(0.5)*C7</f>
        <v>1600</v>
      </c>
      <c r="C7" s="62">
        <f>2*(1000+600)</f>
        <v>3200</v>
      </c>
      <c r="D7" s="111"/>
      <c r="E7" s="162">
        <f>(13/24)*F7</f>
        <v>2600</v>
      </c>
      <c r="F7" s="62">
        <f>2*(2*800+800)</f>
        <v>4800</v>
      </c>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c r="CY7" s="110"/>
      <c r="CZ7" s="110"/>
      <c r="DA7" s="110"/>
      <c r="DB7" s="110"/>
      <c r="DC7" s="110"/>
      <c r="DD7" s="110"/>
    </row>
    <row r="8" spans="1:108">
      <c r="B8" s="102"/>
      <c r="C8" s="63" t="s">
        <v>547</v>
      </c>
      <c r="D8" s="102"/>
      <c r="E8" s="102"/>
      <c r="F8" s="63" t="s">
        <v>547</v>
      </c>
    </row>
    <row r="9" spans="1:108" ht="13.8" thickBot="1">
      <c r="B9" s="102"/>
      <c r="C9" s="64" t="s">
        <v>548</v>
      </c>
      <c r="D9" s="102"/>
      <c r="F9" s="64" t="s">
        <v>548</v>
      </c>
    </row>
    <row r="10" spans="1:108" s="102" customFormat="1">
      <c r="C10" s="112"/>
      <c r="F10" s="112"/>
    </row>
    <row r="11" spans="1:108" s="102" customFormat="1" ht="13.8" thickBot="1">
      <c r="C11" s="112"/>
      <c r="F11" s="112"/>
    </row>
    <row r="12" spans="1:108" ht="17.399999999999999" thickBot="1">
      <c r="B12" s="102"/>
      <c r="C12" s="2609" t="s">
        <v>564</v>
      </c>
      <c r="D12" s="2610"/>
      <c r="E12" s="2611"/>
      <c r="F12" s="112"/>
    </row>
    <row r="13" spans="1:108" ht="21" thickBot="1">
      <c r="B13" s="102"/>
      <c r="C13" s="2609" t="s">
        <v>562</v>
      </c>
      <c r="D13" s="2610"/>
      <c r="E13" s="2611"/>
      <c r="F13" s="112"/>
    </row>
    <row r="14" spans="1:108" ht="16.8" thickBot="1">
      <c r="B14" s="102"/>
      <c r="C14" s="69" t="s">
        <v>550</v>
      </c>
      <c r="D14" s="70" t="s">
        <v>561</v>
      </c>
      <c r="E14" s="77" t="s">
        <v>546</v>
      </c>
      <c r="F14" s="112"/>
      <c r="G14" s="78"/>
    </row>
    <row r="15" spans="1:108" ht="15.6" thickBot="1">
      <c r="B15" s="102"/>
      <c r="C15" s="71" t="s">
        <v>545</v>
      </c>
      <c r="D15" s="72" t="s">
        <v>563</v>
      </c>
      <c r="E15" s="79">
        <v>1200</v>
      </c>
      <c r="F15" s="112"/>
    </row>
    <row r="16" spans="1:108" ht="5.25" customHeight="1" thickBot="1">
      <c r="B16" s="102"/>
      <c r="C16" s="73"/>
      <c r="D16" s="74"/>
      <c r="E16" s="74"/>
      <c r="F16" s="112"/>
    </row>
    <row r="17" spans="2:8" ht="15.6" thickBot="1">
      <c r="B17" s="102"/>
      <c r="C17" s="71" t="s">
        <v>458</v>
      </c>
      <c r="D17" s="72" t="s">
        <v>563</v>
      </c>
      <c r="E17" s="79">
        <v>1300</v>
      </c>
      <c r="F17" s="112"/>
    </row>
    <row r="18" spans="2:8" s="102" customFormat="1" ht="15.6" thickBot="1">
      <c r="C18" s="113"/>
      <c r="D18" s="114"/>
      <c r="E18" s="114"/>
      <c r="F18" s="112"/>
    </row>
    <row r="19" spans="2:8" ht="13.8" thickBot="1">
      <c r="B19" s="102"/>
      <c r="C19" s="75" t="s">
        <v>551</v>
      </c>
      <c r="D19" s="102"/>
      <c r="E19" s="102"/>
      <c r="F19" s="112"/>
    </row>
    <row r="20" spans="2:8" ht="13.8" thickBot="1">
      <c r="B20" s="102"/>
      <c r="C20" s="76" t="s">
        <v>552</v>
      </c>
      <c r="D20" s="102"/>
      <c r="E20" s="102"/>
      <c r="F20" s="112"/>
    </row>
    <row r="21" spans="2:8" ht="13.8" thickBot="1">
      <c r="B21" s="102"/>
      <c r="C21" s="76" t="s">
        <v>553</v>
      </c>
      <c r="D21" s="102"/>
      <c r="E21" s="102"/>
      <c r="F21" s="112"/>
    </row>
    <row r="22" spans="2:8" s="102" customFormat="1">
      <c r="C22" s="112"/>
    </row>
    <row r="23" spans="2:8" ht="15">
      <c r="B23" s="102"/>
      <c r="C23" s="127" t="s">
        <v>732</v>
      </c>
      <c r="D23" s="2612" t="s">
        <v>731</v>
      </c>
      <c r="E23" s="2613"/>
      <c r="F23" s="127" t="s">
        <v>733</v>
      </c>
      <c r="G23" s="188" t="s">
        <v>1162</v>
      </c>
      <c r="H23" s="128"/>
    </row>
    <row r="24" spans="2:8" s="102" customFormat="1" ht="15">
      <c r="C24" s="125"/>
      <c r="D24" s="115"/>
      <c r="E24" s="124"/>
      <c r="F24" s="125"/>
      <c r="G24" s="102" t="s">
        <v>734</v>
      </c>
      <c r="H24" s="126"/>
    </row>
    <row r="25" spans="2:8" s="102" customFormat="1" ht="15">
      <c r="C25" s="129"/>
      <c r="D25" s="2620" t="s">
        <v>730</v>
      </c>
      <c r="E25" s="2621"/>
      <c r="F25" s="129"/>
      <c r="G25" s="130"/>
      <c r="H25" s="131"/>
    </row>
    <row r="26" spans="2:8" s="102" customFormat="1"/>
    <row r="27" spans="2:8" s="102" customFormat="1">
      <c r="C27" s="321" t="s">
        <v>1164</v>
      </c>
    </row>
    <row r="28" spans="2:8" s="102" customFormat="1" ht="15">
      <c r="C28" s="322" t="s">
        <v>732</v>
      </c>
      <c r="D28" s="2616" t="s">
        <v>1163</v>
      </c>
      <c r="E28" s="2617"/>
      <c r="F28" s="322" t="s">
        <v>733</v>
      </c>
      <c r="G28" s="323" t="s">
        <v>1162</v>
      </c>
      <c r="H28" s="324"/>
    </row>
    <row r="29" spans="2:8" s="102" customFormat="1" ht="15">
      <c r="C29" s="325"/>
      <c r="D29" s="326"/>
      <c r="E29" s="327"/>
      <c r="F29" s="325"/>
      <c r="G29" s="328" t="s">
        <v>734</v>
      </c>
      <c r="H29" s="329"/>
    </row>
    <row r="30" spans="2:8" s="102" customFormat="1" ht="15">
      <c r="C30" s="330"/>
      <c r="D30" s="2618" t="s">
        <v>730</v>
      </c>
      <c r="E30" s="2619"/>
      <c r="F30" s="330"/>
      <c r="G30" s="331"/>
      <c r="H30" s="332"/>
    </row>
    <row r="31" spans="2:8" s="102" customFormat="1"/>
    <row r="32" spans="2:8" s="102" customFormat="1"/>
    <row r="33" spans="1:3" s="102" customFormat="1">
      <c r="A33" s="120"/>
      <c r="B33" s="110"/>
      <c r="C33" s="110"/>
    </row>
    <row r="34" spans="1:3" s="102" customFormat="1" ht="17.399999999999999">
      <c r="A34" s="349" t="s">
        <v>34</v>
      </c>
      <c r="B34" s="2602" t="s">
        <v>458</v>
      </c>
      <c r="C34" s="2602"/>
    </row>
    <row r="35" spans="1:3" s="102" customFormat="1" ht="16.2">
      <c r="A35" s="110"/>
      <c r="B35" s="348" t="s">
        <v>560</v>
      </c>
      <c r="C35" s="348" t="s">
        <v>546</v>
      </c>
    </row>
    <row r="36" spans="1:3" s="102" customFormat="1" ht="15">
      <c r="A36" s="110"/>
      <c r="B36" s="344">
        <f>2*((1000+1000)+1000)</f>
        <v>6000</v>
      </c>
      <c r="C36" s="347">
        <f>(13/24)*B36</f>
        <v>3250</v>
      </c>
    </row>
    <row r="37" spans="1:3" s="102" customFormat="1"/>
    <row r="38" spans="1:3" s="102" customFormat="1" ht="17.399999999999999">
      <c r="A38" s="349" t="s">
        <v>3402</v>
      </c>
      <c r="B38" s="2602" t="s">
        <v>458</v>
      </c>
      <c r="C38" s="2602"/>
    </row>
    <row r="39" spans="1:3" s="102" customFormat="1" ht="16.2">
      <c r="A39" s="110"/>
      <c r="B39" s="348" t="s">
        <v>560</v>
      </c>
      <c r="C39" s="348" t="s">
        <v>546</v>
      </c>
    </row>
    <row r="40" spans="1:3" s="102" customFormat="1" ht="15">
      <c r="A40" s="110"/>
      <c r="B40" s="344">
        <f>2*((1200+900+1200)+1200)</f>
        <v>9000</v>
      </c>
      <c r="C40" s="347">
        <f>(13/24)*B40</f>
        <v>4875</v>
      </c>
    </row>
    <row r="41" spans="1:3" s="102" customFormat="1"/>
    <row r="42" spans="1:3" s="102" customFormat="1" ht="17.399999999999999">
      <c r="A42" s="349" t="s">
        <v>2457</v>
      </c>
      <c r="B42" s="2602" t="s">
        <v>458</v>
      </c>
      <c r="C42" s="2602"/>
    </row>
    <row r="43" spans="1:3" s="102" customFormat="1" ht="16.2">
      <c r="A43" s="110"/>
      <c r="B43" s="348" t="s">
        <v>560</v>
      </c>
      <c r="C43" s="348" t="s">
        <v>546</v>
      </c>
    </row>
    <row r="44" spans="1:3" s="102" customFormat="1" ht="15">
      <c r="A44" s="110"/>
      <c r="B44" s="344">
        <f>2*((1000+900+1000)+1200)</f>
        <v>8200</v>
      </c>
      <c r="C44" s="347">
        <f>(13/24)*B44</f>
        <v>4441.6666666666661</v>
      </c>
    </row>
    <row r="45" spans="1:3" s="102" customFormat="1"/>
    <row r="46" spans="1:3" s="102" customFormat="1" ht="17.399999999999999">
      <c r="A46" s="349" t="s">
        <v>3454</v>
      </c>
      <c r="B46" s="2602" t="s">
        <v>458</v>
      </c>
      <c r="C46" s="2602"/>
    </row>
    <row r="47" spans="1:3" s="102" customFormat="1" ht="16.2">
      <c r="A47" s="110"/>
      <c r="B47" s="348" t="s">
        <v>560</v>
      </c>
      <c r="C47" s="348" t="s">
        <v>546</v>
      </c>
    </row>
    <row r="48" spans="1:3" s="102" customFormat="1" ht="15">
      <c r="A48" s="110"/>
      <c r="B48" s="344">
        <f>2*((900+900)+800)</f>
        <v>5200</v>
      </c>
      <c r="C48" s="347">
        <f>(13/24)*B48</f>
        <v>2816.6666666666665</v>
      </c>
    </row>
    <row r="49" spans="1:3" s="102" customFormat="1"/>
    <row r="50" spans="1:3" s="102" customFormat="1" ht="17.399999999999999">
      <c r="A50" s="349" t="s">
        <v>3457</v>
      </c>
      <c r="B50" s="2602" t="s">
        <v>458</v>
      </c>
      <c r="C50" s="2602"/>
    </row>
    <row r="51" spans="1:3" s="102" customFormat="1" ht="16.2">
      <c r="A51" s="110"/>
      <c r="B51" s="348" t="s">
        <v>560</v>
      </c>
      <c r="C51" s="348" t="s">
        <v>546</v>
      </c>
    </row>
    <row r="52" spans="1:3" s="102" customFormat="1" ht="15">
      <c r="A52" s="110"/>
      <c r="B52" s="344">
        <f>2*((900)+800)</f>
        <v>3400</v>
      </c>
      <c r="C52" s="347">
        <f>(13/24)*B52</f>
        <v>1841.6666666666665</v>
      </c>
    </row>
    <row r="53" spans="1:3" s="102" customFormat="1"/>
    <row r="54" spans="1:3" s="102" customFormat="1" ht="17.399999999999999">
      <c r="A54" s="349" t="s">
        <v>3460</v>
      </c>
      <c r="B54" s="2602" t="s">
        <v>458</v>
      </c>
      <c r="C54" s="2602"/>
    </row>
    <row r="55" spans="1:3" s="102" customFormat="1" ht="16.2">
      <c r="A55" s="110"/>
      <c r="B55" s="348" t="s">
        <v>560</v>
      </c>
      <c r="C55" s="348" t="s">
        <v>546</v>
      </c>
    </row>
    <row r="56" spans="1:3" s="102" customFormat="1" ht="15">
      <c r="A56" s="110"/>
      <c r="B56" s="344">
        <f>2*((800+800)+800)</f>
        <v>4800</v>
      </c>
      <c r="C56" s="347">
        <f>(13/24)*B56</f>
        <v>2600</v>
      </c>
    </row>
    <row r="57" spans="1:3" s="102" customFormat="1"/>
    <row r="58" spans="1:3" s="102" customFormat="1" ht="17.399999999999999">
      <c r="A58" s="349" t="s">
        <v>3506</v>
      </c>
      <c r="B58" s="2602" t="s">
        <v>458</v>
      </c>
      <c r="C58" s="2602"/>
    </row>
    <row r="59" spans="1:3" s="102" customFormat="1" ht="16.2">
      <c r="A59" s="110"/>
      <c r="B59" s="348" t="s">
        <v>560</v>
      </c>
      <c r="C59" s="348" t="s">
        <v>546</v>
      </c>
    </row>
    <row r="60" spans="1:3" s="102" customFormat="1" ht="15">
      <c r="A60" s="110"/>
      <c r="B60" s="344">
        <f>2*((800+900)+800)</f>
        <v>5000</v>
      </c>
      <c r="C60" s="347">
        <f>(13/24)*B60</f>
        <v>2708.333333333333</v>
      </c>
    </row>
    <row r="61" spans="1:3" s="102" customFormat="1"/>
    <row r="62" spans="1:3" s="102" customFormat="1" ht="17.399999999999999">
      <c r="A62" s="349" t="s">
        <v>3524</v>
      </c>
      <c r="B62" s="2602" t="s">
        <v>458</v>
      </c>
      <c r="C62" s="2602"/>
    </row>
    <row r="63" spans="1:3" s="102" customFormat="1" ht="16.2">
      <c r="A63" s="110"/>
      <c r="B63" s="348" t="s">
        <v>560</v>
      </c>
      <c r="C63" s="348" t="s">
        <v>546</v>
      </c>
    </row>
    <row r="64" spans="1:3" s="102" customFormat="1" ht="15">
      <c r="A64" s="110"/>
      <c r="B64" s="344">
        <f>2*((1200+900+900+1200)+1200)</f>
        <v>10800</v>
      </c>
      <c r="C64" s="347">
        <f>(13/24)*B64</f>
        <v>5850</v>
      </c>
    </row>
    <row r="65" spans="1:3" s="102" customFormat="1"/>
    <row r="66" spans="1:3" s="102" customFormat="1"/>
    <row r="67" spans="1:3" s="102" customFormat="1" ht="15">
      <c r="A67" s="110"/>
      <c r="B67" s="644"/>
      <c r="C67" s="645"/>
    </row>
    <row r="68" spans="1:3" s="102" customFormat="1">
      <c r="A68" s="639" t="s">
        <v>2503</v>
      </c>
    </row>
    <row r="69" spans="1:3" s="102" customFormat="1"/>
    <row r="70" spans="1:3" s="102" customFormat="1" ht="17.399999999999999">
      <c r="A70" s="349" t="s">
        <v>1681</v>
      </c>
      <c r="B70" s="2602" t="s">
        <v>458</v>
      </c>
      <c r="C70" s="2602"/>
    </row>
    <row r="71" spans="1:3" s="102" customFormat="1" ht="16.2">
      <c r="A71" s="110"/>
      <c r="B71" s="348" t="s">
        <v>560</v>
      </c>
      <c r="C71" s="348" t="s">
        <v>546</v>
      </c>
    </row>
    <row r="72" spans="1:3" s="102" customFormat="1" ht="15">
      <c r="A72" s="110"/>
      <c r="B72" s="344">
        <f>2*((800+800)+800)</f>
        <v>4800</v>
      </c>
      <c r="C72" s="347">
        <f>(13/24)*B72</f>
        <v>2600</v>
      </c>
    </row>
    <row r="73" spans="1:3" s="102" customFormat="1"/>
    <row r="74" spans="1:3" s="102" customFormat="1"/>
    <row r="75" spans="1:3" s="102" customFormat="1" ht="17.399999999999999">
      <c r="A75" s="349" t="s">
        <v>1682</v>
      </c>
      <c r="B75" s="2602" t="s">
        <v>458</v>
      </c>
      <c r="C75" s="2602"/>
    </row>
    <row r="76" spans="1:3" s="102" customFormat="1" ht="16.2">
      <c r="A76" s="110"/>
      <c r="B76" s="348" t="s">
        <v>560</v>
      </c>
      <c r="C76" s="348" t="s">
        <v>546</v>
      </c>
    </row>
    <row r="77" spans="1:3" s="102" customFormat="1" ht="15">
      <c r="A77" s="110"/>
      <c r="B77" s="344">
        <f>2*((800+800)+800)</f>
        <v>4800</v>
      </c>
      <c r="C77" s="347">
        <f>(13/24)*B77</f>
        <v>2600</v>
      </c>
    </row>
    <row r="78" spans="1:3" s="102" customFormat="1"/>
    <row r="79" spans="1:3" s="102" customFormat="1"/>
    <row r="80" spans="1:3" s="102" customFormat="1"/>
    <row r="81" spans="1:3" s="102" customFormat="1" ht="17.399999999999999">
      <c r="A81" s="349" t="s">
        <v>2510</v>
      </c>
      <c r="B81" s="2602" t="s">
        <v>458</v>
      </c>
      <c r="C81" s="2602"/>
    </row>
    <row r="82" spans="1:3" s="102" customFormat="1" ht="16.2">
      <c r="A82" s="110"/>
      <c r="B82" s="348" t="s">
        <v>560</v>
      </c>
      <c r="C82" s="348" t="s">
        <v>546</v>
      </c>
    </row>
    <row r="83" spans="1:3" s="102" customFormat="1" ht="15">
      <c r="A83" s="110"/>
      <c r="B83" s="344">
        <f>2*((800+800)+800)</f>
        <v>4800</v>
      </c>
      <c r="C83" s="347">
        <f>(13/24)*B83</f>
        <v>2600</v>
      </c>
    </row>
    <row r="84" spans="1:3" s="102" customFormat="1"/>
    <row r="85" spans="1:3" s="102" customFormat="1"/>
    <row r="86" spans="1:3" s="102" customFormat="1" ht="17.399999999999999">
      <c r="A86" s="349" t="s">
        <v>2550</v>
      </c>
      <c r="B86" s="2602" t="s">
        <v>458</v>
      </c>
      <c r="C86" s="2602"/>
    </row>
    <row r="87" spans="1:3" s="102" customFormat="1" ht="16.2">
      <c r="A87" s="110"/>
      <c r="B87" s="348" t="s">
        <v>560</v>
      </c>
      <c r="C87" s="348" t="s">
        <v>546</v>
      </c>
    </row>
    <row r="88" spans="1:3" s="102" customFormat="1" ht="15">
      <c r="A88" s="110"/>
      <c r="B88" s="344">
        <f>2*((800)+800)</f>
        <v>3200</v>
      </c>
      <c r="C88" s="347">
        <f>(13/24)*B88</f>
        <v>1733.3333333333333</v>
      </c>
    </row>
    <row r="89" spans="1:3" s="102" customFormat="1"/>
    <row r="90" spans="1:3" s="102" customFormat="1"/>
    <row r="91" spans="1:3" s="102" customFormat="1" ht="17.399999999999999">
      <c r="A91" s="349" t="s">
        <v>2552</v>
      </c>
      <c r="B91" s="2602" t="s">
        <v>458</v>
      </c>
      <c r="C91" s="2602"/>
    </row>
    <row r="92" spans="1:3" s="102" customFormat="1" ht="16.2">
      <c r="A92" s="110"/>
      <c r="B92" s="348" t="s">
        <v>560</v>
      </c>
      <c r="C92" s="348" t="s">
        <v>546</v>
      </c>
    </row>
    <row r="93" spans="1:3" s="102" customFormat="1" ht="15">
      <c r="A93" s="110"/>
      <c r="B93" s="344">
        <v>2800</v>
      </c>
      <c r="C93" s="347">
        <f>(13/24)*B93</f>
        <v>1516.6666666666665</v>
      </c>
    </row>
    <row r="94" spans="1:3" s="102" customFormat="1"/>
    <row r="95" spans="1:3" s="102" customFormat="1"/>
    <row r="96" spans="1:3" s="102" customFormat="1" ht="17.399999999999999">
      <c r="A96" s="352"/>
      <c r="B96" s="2602"/>
      <c r="C96" s="2602"/>
    </row>
    <row r="97" spans="1:3" s="102" customFormat="1" ht="13.8">
      <c r="A97" s="110"/>
      <c r="B97" s="348"/>
      <c r="C97" s="348"/>
    </row>
    <row r="98" spans="1:3" s="102" customFormat="1" ht="15">
      <c r="A98" s="110"/>
      <c r="B98" s="344"/>
      <c r="C98" s="347"/>
    </row>
    <row r="99" spans="1:3" s="102" customFormat="1"/>
    <row r="100" spans="1:3" s="102" customFormat="1"/>
    <row r="101" spans="1:3" s="102" customFormat="1" ht="17.399999999999999">
      <c r="A101" s="352"/>
      <c r="B101" s="2602"/>
      <c r="C101" s="2602"/>
    </row>
    <row r="102" spans="1:3" s="102" customFormat="1" ht="13.8">
      <c r="A102" s="110"/>
      <c r="B102" s="348"/>
      <c r="C102" s="348"/>
    </row>
    <row r="103" spans="1:3" s="102" customFormat="1" ht="15">
      <c r="A103" s="110"/>
      <c r="B103" s="344"/>
      <c r="C103" s="347"/>
    </row>
    <row r="104" spans="1:3" s="102" customFormat="1"/>
    <row r="105" spans="1:3" s="102" customFormat="1"/>
    <row r="106" spans="1:3" s="102" customFormat="1" ht="17.399999999999999">
      <c r="A106" s="352"/>
      <c r="B106" s="2602"/>
      <c r="C106" s="2602"/>
    </row>
    <row r="107" spans="1:3" s="102" customFormat="1" ht="13.8">
      <c r="A107" s="110"/>
      <c r="B107" s="348"/>
      <c r="C107" s="348"/>
    </row>
    <row r="108" spans="1:3" s="102" customFormat="1" ht="15">
      <c r="A108" s="110"/>
      <c r="B108" s="344"/>
      <c r="C108" s="347"/>
    </row>
    <row r="109" spans="1:3" s="102" customFormat="1"/>
    <row r="110" spans="1:3" s="102" customFormat="1"/>
    <row r="111" spans="1:3" s="102" customFormat="1" ht="17.399999999999999">
      <c r="A111" s="352"/>
      <c r="B111" s="2602"/>
      <c r="C111" s="2602"/>
    </row>
    <row r="112" spans="1:3" s="102" customFormat="1" ht="13.8">
      <c r="A112" s="110"/>
      <c r="B112" s="348"/>
      <c r="C112" s="348"/>
    </row>
    <row r="113" spans="1:3" s="102" customFormat="1" ht="15">
      <c r="A113" s="110"/>
      <c r="B113" s="344"/>
      <c r="C113" s="347"/>
    </row>
    <row r="114" spans="1:3" s="102" customFormat="1"/>
    <row r="115" spans="1:3" s="102" customFormat="1"/>
    <row r="116" spans="1:3" s="102" customFormat="1"/>
    <row r="117" spans="1:3" s="102" customFormat="1"/>
    <row r="118" spans="1:3" s="102" customFormat="1"/>
    <row r="119" spans="1:3" s="102" customFormat="1"/>
    <row r="120" spans="1:3" s="102" customFormat="1"/>
    <row r="121" spans="1:3" s="102" customFormat="1"/>
    <row r="122" spans="1:3" s="102" customFormat="1"/>
    <row r="123" spans="1:3" s="102" customFormat="1"/>
    <row r="124" spans="1:3" s="102" customFormat="1"/>
    <row r="125" spans="1:3" s="102" customFormat="1"/>
    <row r="126" spans="1:3" s="102" customFormat="1"/>
    <row r="127" spans="1:3" s="102" customFormat="1"/>
    <row r="128" spans="1:3" s="102" customFormat="1"/>
    <row r="129" s="102" customFormat="1"/>
    <row r="130" s="102" customFormat="1"/>
    <row r="131" s="102" customFormat="1"/>
    <row r="132" s="102" customFormat="1"/>
    <row r="133" s="102" customFormat="1"/>
    <row r="134" s="102" customFormat="1"/>
    <row r="135" s="102" customFormat="1"/>
    <row r="136" s="102" customFormat="1"/>
    <row r="137" s="102" customFormat="1"/>
    <row r="138" s="102" customFormat="1"/>
    <row r="139" s="102" customFormat="1"/>
    <row r="140" s="102" customFormat="1"/>
    <row r="141" s="102" customFormat="1"/>
    <row r="142" s="102" customFormat="1"/>
    <row r="143" s="102" customFormat="1"/>
    <row r="144" s="102" customFormat="1"/>
    <row r="145" s="102" customFormat="1"/>
    <row r="146" s="102" customFormat="1"/>
    <row r="147" s="102" customFormat="1"/>
    <row r="148" s="102" customFormat="1"/>
    <row r="149" s="102" customFormat="1"/>
    <row r="150" s="102" customFormat="1"/>
    <row r="151" s="102" customFormat="1"/>
    <row r="152" s="102" customFormat="1"/>
    <row r="153" s="102" customFormat="1"/>
    <row r="154" s="102" customFormat="1"/>
    <row r="155" s="102" customFormat="1"/>
    <row r="156" s="102" customFormat="1"/>
    <row r="157" s="102" customFormat="1"/>
    <row r="158" s="102" customFormat="1"/>
    <row r="159" s="102" customFormat="1"/>
    <row r="160" s="102" customFormat="1"/>
    <row r="161" s="102" customFormat="1"/>
    <row r="162" s="102" customFormat="1"/>
    <row r="163" s="102" customFormat="1"/>
    <row r="164" s="102" customFormat="1"/>
    <row r="165" s="102" customFormat="1"/>
    <row r="166" s="102" customFormat="1"/>
    <row r="167" s="102" customFormat="1"/>
    <row r="168" s="102" customFormat="1"/>
    <row r="169" s="102" customFormat="1"/>
    <row r="170" s="102" customFormat="1"/>
    <row r="171" s="102" customFormat="1"/>
    <row r="172" s="102" customFormat="1"/>
    <row r="173" s="102" customFormat="1"/>
    <row r="174" s="102" customFormat="1"/>
    <row r="175" s="102" customFormat="1"/>
    <row r="176" s="102" customFormat="1"/>
    <row r="177" s="102" customFormat="1"/>
    <row r="178" s="102" customFormat="1"/>
    <row r="179" s="102" customFormat="1"/>
    <row r="180" s="102" customFormat="1"/>
    <row r="181" s="102" customFormat="1"/>
    <row r="182" s="102" customFormat="1"/>
    <row r="183" s="102" customFormat="1"/>
    <row r="184" s="102" customFormat="1"/>
    <row r="185" s="102" customFormat="1"/>
    <row r="186" s="102" customFormat="1"/>
    <row r="187" s="102" customFormat="1"/>
    <row r="188" s="102" customFormat="1"/>
    <row r="189" s="102" customFormat="1"/>
    <row r="190" s="102" customFormat="1"/>
    <row r="191" s="102" customFormat="1"/>
    <row r="192" s="102" customFormat="1"/>
    <row r="193" s="102" customFormat="1"/>
    <row r="194" s="102" customFormat="1"/>
    <row r="195" s="102" customFormat="1"/>
    <row r="196" s="102" customFormat="1"/>
    <row r="197" s="102" customFormat="1"/>
    <row r="198" s="102" customFormat="1"/>
    <row r="199" s="102" customFormat="1"/>
    <row r="200" s="102" customFormat="1"/>
    <row r="201" s="102" customFormat="1"/>
    <row r="202" s="102" customFormat="1"/>
    <row r="203" s="102" customFormat="1"/>
    <row r="204" s="102" customFormat="1"/>
    <row r="205" s="102" customFormat="1"/>
    <row r="206" s="102" customFormat="1"/>
    <row r="207" s="102" customFormat="1"/>
    <row r="208" s="102" customFormat="1"/>
    <row r="209" s="102" customFormat="1"/>
    <row r="210" s="102" customFormat="1"/>
    <row r="211" s="102" customFormat="1"/>
    <row r="212" s="102" customFormat="1"/>
    <row r="213" s="102" customFormat="1"/>
    <row r="214" s="102" customFormat="1"/>
    <row r="215" s="102" customFormat="1"/>
    <row r="216" s="102" customFormat="1"/>
    <row r="217" s="102" customFormat="1"/>
    <row r="218" s="102" customFormat="1"/>
    <row r="219" s="102" customFormat="1"/>
    <row r="220" s="102" customFormat="1"/>
    <row r="221" s="102" customFormat="1"/>
    <row r="222" s="102" customFormat="1"/>
    <row r="223" s="102" customFormat="1"/>
    <row r="224" s="102" customFormat="1"/>
    <row r="225" s="102" customFormat="1"/>
    <row r="226" s="102" customFormat="1"/>
    <row r="227" s="102" customFormat="1"/>
    <row r="228" s="102" customFormat="1"/>
    <row r="229" s="102" customFormat="1"/>
    <row r="230" s="102" customFormat="1"/>
    <row r="231" s="102" customFormat="1"/>
    <row r="232" s="102" customFormat="1"/>
    <row r="233" s="102" customFormat="1"/>
    <row r="234" s="102" customFormat="1"/>
    <row r="235" s="102" customFormat="1"/>
    <row r="236" s="102" customFormat="1"/>
    <row r="237" s="102" customFormat="1"/>
    <row r="238" s="102" customFormat="1"/>
    <row r="239" s="102" customFormat="1"/>
    <row r="240" s="102" customFormat="1"/>
    <row r="241" s="102" customFormat="1"/>
    <row r="242" s="102" customFormat="1"/>
    <row r="243" s="102" customFormat="1"/>
    <row r="244" s="102" customFormat="1"/>
    <row r="245" s="102" customFormat="1"/>
    <row r="246" s="102" customFormat="1"/>
    <row r="247" s="102" customFormat="1"/>
    <row r="248" s="102" customFormat="1"/>
    <row r="249" s="102" customFormat="1"/>
    <row r="250" s="102" customFormat="1"/>
    <row r="251" s="102" customFormat="1"/>
    <row r="252" s="102" customFormat="1"/>
    <row r="253" s="102" customFormat="1"/>
    <row r="254" s="102" customFormat="1"/>
    <row r="255" s="102" customFormat="1"/>
    <row r="256" s="102" customFormat="1"/>
    <row r="257" s="102" customFormat="1"/>
    <row r="258" s="102" customFormat="1"/>
    <row r="259" s="102" customFormat="1"/>
    <row r="260" s="102" customFormat="1"/>
    <row r="261" s="102" customFormat="1"/>
    <row r="262" s="102" customFormat="1"/>
    <row r="263" s="102" customFormat="1"/>
    <row r="264" s="102" customFormat="1"/>
    <row r="265" s="102" customFormat="1"/>
    <row r="266" s="102" customFormat="1"/>
    <row r="267" s="102" customFormat="1"/>
    <row r="268" s="102" customFormat="1"/>
    <row r="269" s="102" customFormat="1"/>
    <row r="270" s="102" customFormat="1"/>
    <row r="271" s="102" customFormat="1"/>
    <row r="272" s="102" customFormat="1"/>
    <row r="273" s="102" customFormat="1"/>
    <row r="274" s="102" customFormat="1"/>
    <row r="275" s="102" customFormat="1"/>
    <row r="276" s="102" customFormat="1"/>
    <row r="277" s="102" customFormat="1"/>
    <row r="278" s="102" customFormat="1"/>
    <row r="279" s="102" customFormat="1"/>
    <row r="280" s="102" customFormat="1"/>
    <row r="281" s="102" customFormat="1"/>
    <row r="282" s="102" customFormat="1"/>
    <row r="283" s="102" customFormat="1"/>
    <row r="284" s="102" customFormat="1"/>
    <row r="285" s="102" customFormat="1"/>
    <row r="286" s="102" customFormat="1"/>
    <row r="287" s="102" customFormat="1"/>
    <row r="288" s="102" customFormat="1"/>
    <row r="289" s="102" customFormat="1"/>
    <row r="290" s="102" customFormat="1"/>
    <row r="291" s="102" customFormat="1"/>
    <row r="292" s="102" customFormat="1"/>
    <row r="293" s="102" customFormat="1"/>
    <row r="294" s="102" customFormat="1"/>
    <row r="295" s="102" customFormat="1"/>
    <row r="296" s="102" customFormat="1"/>
    <row r="297" s="102" customFormat="1"/>
    <row r="298" s="102" customFormat="1"/>
    <row r="299" s="102" customFormat="1"/>
    <row r="300" s="102" customFormat="1"/>
    <row r="301" s="102" customFormat="1"/>
    <row r="302" s="102" customFormat="1"/>
    <row r="303" s="102" customFormat="1"/>
    <row r="304" s="102" customFormat="1"/>
    <row r="305" s="102" customFormat="1"/>
    <row r="306" s="102" customFormat="1"/>
    <row r="307" s="102" customFormat="1"/>
    <row r="308" s="102" customFormat="1"/>
    <row r="309" s="102" customFormat="1"/>
    <row r="310" s="102" customFormat="1"/>
    <row r="311" s="102" customFormat="1"/>
    <row r="312" s="102" customFormat="1"/>
    <row r="313" s="102" customFormat="1"/>
    <row r="314" s="102" customFormat="1"/>
    <row r="315" s="102" customFormat="1"/>
    <row r="316" s="102" customFormat="1"/>
    <row r="317" s="102" customFormat="1"/>
    <row r="318" s="102" customFormat="1"/>
    <row r="319" s="102" customFormat="1"/>
    <row r="320" s="102" customFormat="1"/>
    <row r="321" s="102" customFormat="1"/>
    <row r="322" s="102" customFormat="1"/>
    <row r="323" s="102" customFormat="1"/>
    <row r="324" s="102" customFormat="1"/>
    <row r="325" s="102" customFormat="1"/>
    <row r="326" s="102" customFormat="1"/>
    <row r="327" s="102" customFormat="1"/>
    <row r="328" s="102" customFormat="1"/>
    <row r="329" s="102" customFormat="1"/>
    <row r="330" s="102" customFormat="1"/>
    <row r="331" s="102" customFormat="1"/>
    <row r="332" s="102" customFormat="1"/>
    <row r="333" s="102" customFormat="1"/>
    <row r="334" s="102" customFormat="1"/>
    <row r="335" s="102" customFormat="1"/>
    <row r="336" s="102" customFormat="1"/>
    <row r="337" s="102" customFormat="1"/>
    <row r="338" s="102" customFormat="1"/>
    <row r="339" s="102" customFormat="1"/>
    <row r="340" s="102" customFormat="1"/>
    <row r="341" s="102" customFormat="1"/>
    <row r="342" s="102" customFormat="1"/>
    <row r="343" s="102" customFormat="1"/>
    <row r="344" s="102" customFormat="1"/>
    <row r="345" s="102" customFormat="1"/>
    <row r="346" s="102" customFormat="1"/>
    <row r="347" s="102" customFormat="1"/>
    <row r="348" s="102" customFormat="1"/>
    <row r="349" s="102" customFormat="1"/>
    <row r="350" s="102" customFormat="1"/>
    <row r="351" s="102" customFormat="1"/>
    <row r="352" s="102" customFormat="1"/>
    <row r="353" s="102" customFormat="1"/>
    <row r="354" s="102" customFormat="1"/>
    <row r="355" s="102" customFormat="1"/>
    <row r="356" s="102" customFormat="1"/>
    <row r="357" s="102" customFormat="1"/>
    <row r="358" s="102" customFormat="1"/>
    <row r="359" s="102" customFormat="1"/>
    <row r="360" s="102" customFormat="1"/>
    <row r="361" s="102" customFormat="1"/>
    <row r="362" s="102" customFormat="1"/>
    <row r="363" s="102" customFormat="1"/>
    <row r="364" s="102" customFormat="1"/>
    <row r="365" s="102" customFormat="1"/>
    <row r="366" s="102" customFormat="1"/>
    <row r="367" s="102" customFormat="1"/>
    <row r="368" s="102" customFormat="1"/>
    <row r="369" s="102" customFormat="1"/>
    <row r="370" s="102" customFormat="1"/>
    <row r="371" s="102" customFormat="1"/>
    <row r="372" s="102" customFormat="1"/>
    <row r="373" s="102" customFormat="1"/>
    <row r="374" s="102" customFormat="1"/>
    <row r="375" s="102" customFormat="1"/>
    <row r="376" s="102" customFormat="1"/>
    <row r="377" s="102" customFormat="1"/>
    <row r="378" s="102" customFormat="1"/>
    <row r="379" s="102" customFormat="1"/>
    <row r="380" s="102" customFormat="1"/>
    <row r="381" s="102" customFormat="1"/>
    <row r="382" s="102" customFormat="1"/>
    <row r="383" s="102" customFormat="1"/>
    <row r="384" s="102" customFormat="1"/>
    <row r="385" s="102" customFormat="1"/>
    <row r="386" s="102" customFormat="1"/>
    <row r="387" s="102" customFormat="1"/>
    <row r="388" s="102" customFormat="1"/>
    <row r="389" s="102" customFormat="1"/>
    <row r="390" s="102" customFormat="1"/>
    <row r="391" s="102" customFormat="1"/>
    <row r="392" s="102" customFormat="1"/>
    <row r="393" s="102" customFormat="1"/>
    <row r="394" s="102" customFormat="1"/>
    <row r="395" s="102" customFormat="1"/>
    <row r="396" s="102" customFormat="1"/>
    <row r="397" s="102" customFormat="1"/>
    <row r="398" s="102" customFormat="1"/>
    <row r="399" s="102" customFormat="1"/>
    <row r="400" s="102" customFormat="1"/>
    <row r="401" s="102" customFormat="1"/>
    <row r="402" s="102" customFormat="1"/>
    <row r="403" s="102" customFormat="1"/>
    <row r="404" s="102" customFormat="1"/>
    <row r="405" s="102" customFormat="1"/>
    <row r="406" s="102" customFormat="1"/>
    <row r="407" s="102" customFormat="1"/>
    <row r="408" s="102" customFormat="1"/>
    <row r="409" s="102" customFormat="1"/>
    <row r="410" s="102" customFormat="1"/>
    <row r="411" s="102" customFormat="1"/>
    <row r="412" s="102" customFormat="1"/>
    <row r="413" s="102" customFormat="1"/>
    <row r="414" s="102" customFormat="1"/>
    <row r="415" s="102" customFormat="1"/>
    <row r="416" s="102" customFormat="1"/>
    <row r="417" s="102" customFormat="1"/>
    <row r="418" s="102" customFormat="1"/>
    <row r="419" s="102" customFormat="1"/>
    <row r="420" s="102" customFormat="1"/>
    <row r="421" s="102" customFormat="1"/>
    <row r="422" s="102" customFormat="1"/>
    <row r="423" s="102" customFormat="1"/>
    <row r="424" s="102" customFormat="1"/>
    <row r="425" s="102" customFormat="1"/>
    <row r="426" s="102" customFormat="1"/>
    <row r="427" s="102" customFormat="1"/>
    <row r="428" s="102" customFormat="1"/>
    <row r="429" s="102" customFormat="1"/>
    <row r="430" s="102" customFormat="1"/>
    <row r="431" s="102" customFormat="1"/>
    <row r="432" s="102" customFormat="1"/>
    <row r="433" s="102" customFormat="1"/>
    <row r="434" s="102" customFormat="1"/>
    <row r="435" s="102" customFormat="1"/>
    <row r="436" s="102" customFormat="1"/>
    <row r="437" s="102" customFormat="1"/>
    <row r="438" s="102" customFormat="1"/>
    <row r="439" s="102" customFormat="1"/>
    <row r="440" s="102" customFormat="1"/>
    <row r="441" s="102" customFormat="1"/>
    <row r="442" s="102" customFormat="1"/>
    <row r="443" s="102" customFormat="1"/>
    <row r="444" s="102" customFormat="1"/>
    <row r="445" s="102" customFormat="1"/>
    <row r="446" s="102" customFormat="1"/>
    <row r="447" s="102" customFormat="1"/>
    <row r="448" s="102" customFormat="1"/>
    <row r="449" s="102" customFormat="1"/>
    <row r="450" s="102" customFormat="1"/>
    <row r="451" s="102" customFormat="1"/>
    <row r="452" s="102" customFormat="1"/>
    <row r="453" s="102" customFormat="1"/>
    <row r="454" s="102" customFormat="1"/>
    <row r="455" s="102" customFormat="1"/>
    <row r="456" s="102" customFormat="1"/>
    <row r="457" s="102" customFormat="1"/>
    <row r="458" s="102" customFormat="1"/>
    <row r="459" s="102" customFormat="1"/>
    <row r="460" s="102" customFormat="1"/>
    <row r="461" s="102" customFormat="1"/>
    <row r="462" s="102" customFormat="1"/>
    <row r="463" s="102" customFormat="1"/>
    <row r="464" s="102" customFormat="1"/>
    <row r="465" s="102" customFormat="1"/>
    <row r="466" s="102" customFormat="1"/>
    <row r="467" s="102" customFormat="1"/>
    <row r="468" s="102" customFormat="1"/>
    <row r="469" s="102" customFormat="1"/>
    <row r="470" s="102" customFormat="1"/>
    <row r="471" s="102" customFormat="1"/>
    <row r="472" s="102" customFormat="1"/>
    <row r="473" s="102" customFormat="1"/>
    <row r="474" s="102" customFormat="1"/>
    <row r="475" s="102" customFormat="1"/>
    <row r="476" s="102" customFormat="1"/>
    <row r="477" s="102" customFormat="1"/>
    <row r="478" s="102" customFormat="1"/>
    <row r="479" s="102" customFormat="1"/>
    <row r="480" s="102" customFormat="1"/>
    <row r="481" s="102" customFormat="1"/>
    <row r="482" s="102" customFormat="1"/>
    <row r="483" s="102" customFormat="1"/>
    <row r="484" s="102" customFormat="1"/>
    <row r="485" s="102" customFormat="1"/>
    <row r="486" s="102" customFormat="1"/>
    <row r="487" s="102" customFormat="1"/>
    <row r="488" s="102" customFormat="1"/>
    <row r="489" s="102" customFormat="1"/>
    <row r="490" s="102" customFormat="1"/>
    <row r="491" s="102" customFormat="1"/>
    <row r="492" s="102" customFormat="1"/>
    <row r="493" s="102" customFormat="1"/>
    <row r="494" s="102" customFormat="1"/>
    <row r="495" s="102" customFormat="1"/>
    <row r="496" s="102" customFormat="1"/>
    <row r="497" s="102" customFormat="1"/>
    <row r="498" s="102" customFormat="1"/>
    <row r="499" s="102" customFormat="1"/>
    <row r="500" s="102" customFormat="1"/>
    <row r="501" s="102" customFormat="1"/>
    <row r="502" s="102" customFormat="1"/>
    <row r="503" s="102" customFormat="1"/>
    <row r="504" s="102" customFormat="1"/>
    <row r="505" s="102" customFormat="1"/>
    <row r="506" s="102" customFormat="1"/>
    <row r="507" s="102" customFormat="1"/>
    <row r="508" s="102" customFormat="1"/>
    <row r="509" s="102" customFormat="1"/>
    <row r="510" s="102" customFormat="1"/>
    <row r="511" s="102" customFormat="1"/>
    <row r="512" s="102" customFormat="1"/>
    <row r="513" s="102" customFormat="1"/>
    <row r="514" s="102" customFormat="1"/>
    <row r="515" s="102" customFormat="1"/>
    <row r="516" s="102" customFormat="1"/>
    <row r="517" s="102" customFormat="1"/>
    <row r="518" s="102" customFormat="1"/>
    <row r="519" s="102" customFormat="1"/>
    <row r="520" s="102" customFormat="1"/>
    <row r="521" s="102" customFormat="1"/>
    <row r="522" s="102" customFormat="1"/>
    <row r="523" s="102" customFormat="1"/>
    <row r="524" s="102" customFormat="1"/>
    <row r="525" s="102" customFormat="1"/>
    <row r="526" s="102" customFormat="1"/>
    <row r="527" s="102" customFormat="1"/>
    <row r="528" s="102" customFormat="1"/>
    <row r="529" s="102" customFormat="1"/>
    <row r="530" s="102" customFormat="1"/>
    <row r="531" s="102" customFormat="1"/>
    <row r="532" s="102" customFormat="1"/>
    <row r="533" s="102" customFormat="1"/>
    <row r="534" s="102" customFormat="1"/>
    <row r="535" s="102" customFormat="1"/>
    <row r="536" s="102" customFormat="1"/>
    <row r="537" s="102" customFormat="1"/>
    <row r="538" s="102" customFormat="1"/>
    <row r="539" s="102" customFormat="1"/>
    <row r="540" s="102" customFormat="1"/>
    <row r="541" s="102" customFormat="1"/>
    <row r="542" s="102" customFormat="1"/>
    <row r="543" s="102" customFormat="1"/>
    <row r="544" s="102" customFormat="1"/>
    <row r="545" s="102" customFormat="1"/>
    <row r="546" s="102" customFormat="1"/>
    <row r="547" s="102" customFormat="1"/>
    <row r="548" s="102" customFormat="1"/>
    <row r="549" s="102" customFormat="1"/>
    <row r="550" s="102" customFormat="1"/>
    <row r="551" s="102" customFormat="1"/>
    <row r="552" s="102" customFormat="1"/>
    <row r="553" s="102" customFormat="1"/>
    <row r="554" s="102" customFormat="1"/>
    <row r="555" s="102" customFormat="1"/>
    <row r="556" s="102" customFormat="1"/>
    <row r="557" s="102" customFormat="1"/>
    <row r="558" s="102" customFormat="1"/>
    <row r="559" s="102" customFormat="1"/>
    <row r="560" s="102" customFormat="1"/>
    <row r="561" s="102" customFormat="1"/>
    <row r="562" s="102" customFormat="1"/>
    <row r="563" s="102" customFormat="1"/>
    <row r="564" s="102" customFormat="1"/>
    <row r="565" s="102" customFormat="1"/>
    <row r="566" s="102" customFormat="1"/>
    <row r="567" s="102" customFormat="1"/>
    <row r="568" s="102" customFormat="1"/>
    <row r="569" s="102" customFormat="1"/>
    <row r="570" s="102" customFormat="1"/>
    <row r="571" s="102" customFormat="1"/>
    <row r="572" s="102" customFormat="1"/>
    <row r="573" s="102" customFormat="1"/>
    <row r="574" s="102" customFormat="1"/>
    <row r="575" s="102" customFormat="1"/>
    <row r="576" s="102" customFormat="1"/>
    <row r="577" s="102" customFormat="1"/>
    <row r="578" s="102" customFormat="1"/>
    <row r="579" s="102" customFormat="1"/>
    <row r="580" s="102" customFormat="1"/>
    <row r="581" s="102" customFormat="1"/>
    <row r="582" s="102" customFormat="1"/>
    <row r="583" s="102" customFormat="1"/>
    <row r="584" s="102" customFormat="1"/>
    <row r="585" s="102" customFormat="1"/>
    <row r="586" s="102" customFormat="1"/>
    <row r="587" s="102" customFormat="1"/>
    <row r="588" s="102" customFormat="1"/>
    <row r="589" s="102" customFormat="1"/>
    <row r="590" s="102" customFormat="1"/>
    <row r="591" s="102" customFormat="1"/>
    <row r="592" s="102" customFormat="1"/>
    <row r="593" s="102" customFormat="1"/>
    <row r="594" s="102" customFormat="1"/>
    <row r="595" s="102" customFormat="1"/>
    <row r="596" s="102" customFormat="1"/>
    <row r="597" s="102" customFormat="1"/>
    <row r="598" s="102" customFormat="1"/>
    <row r="599" s="102" customFormat="1"/>
    <row r="600" s="102" customFormat="1"/>
    <row r="601" s="102" customFormat="1"/>
    <row r="602" s="102" customFormat="1"/>
    <row r="603" s="102" customFormat="1"/>
    <row r="604" s="102" customFormat="1"/>
    <row r="605" s="102" customFormat="1"/>
    <row r="606" s="102" customFormat="1"/>
    <row r="607" s="102" customFormat="1"/>
    <row r="608" s="102" customFormat="1"/>
    <row r="609" s="102" customFormat="1"/>
    <row r="610" s="102" customFormat="1"/>
    <row r="611" s="102" customFormat="1"/>
    <row r="612" s="102" customFormat="1"/>
    <row r="613" s="102" customFormat="1"/>
    <row r="614" s="102" customFormat="1"/>
    <row r="615" s="102" customFormat="1"/>
    <row r="616" s="102" customFormat="1"/>
    <row r="617" s="102" customFormat="1"/>
    <row r="618" s="102" customFormat="1"/>
    <row r="619" s="102" customFormat="1"/>
    <row r="620" s="102" customFormat="1"/>
    <row r="621" s="102" customFormat="1"/>
    <row r="622" s="102" customFormat="1"/>
    <row r="623" s="102" customFormat="1"/>
    <row r="624" s="102" customFormat="1"/>
    <row r="625" s="102" customFormat="1"/>
    <row r="626" s="102" customFormat="1"/>
    <row r="627" s="102" customFormat="1"/>
    <row r="628" s="102" customFormat="1"/>
    <row r="629" s="102" customFormat="1"/>
    <row r="630" s="102" customFormat="1"/>
    <row r="631" s="102" customFormat="1"/>
    <row r="632" s="102" customFormat="1"/>
    <row r="633" s="102" customFormat="1"/>
    <row r="634" s="102" customFormat="1"/>
    <row r="635" s="102" customFormat="1"/>
    <row r="636" s="102" customFormat="1"/>
    <row r="637" s="102" customFormat="1"/>
    <row r="638" s="102" customFormat="1"/>
    <row r="639" s="102" customFormat="1"/>
    <row r="640" s="102" customFormat="1"/>
    <row r="641" s="102" customFormat="1"/>
    <row r="642" s="102" customFormat="1"/>
    <row r="643" s="102" customFormat="1"/>
    <row r="644" s="102" customFormat="1"/>
    <row r="645" s="102" customFormat="1"/>
    <row r="646" s="102" customFormat="1"/>
    <row r="647" s="102" customFormat="1"/>
    <row r="648" s="102" customFormat="1"/>
    <row r="649" s="102" customFormat="1"/>
    <row r="650" s="102" customFormat="1"/>
    <row r="651" s="102" customFormat="1"/>
    <row r="652" s="102" customFormat="1"/>
    <row r="653" s="102" customFormat="1"/>
    <row r="654" s="102" customFormat="1"/>
    <row r="655" s="102" customFormat="1"/>
    <row r="656" s="102" customFormat="1"/>
    <row r="657" s="102" customFormat="1"/>
    <row r="658" s="102" customFormat="1"/>
    <row r="659" s="102" customFormat="1"/>
    <row r="660" s="102" customFormat="1"/>
    <row r="661" s="102" customFormat="1"/>
    <row r="662" s="102" customFormat="1"/>
    <row r="663" s="102" customFormat="1"/>
    <row r="664" s="102" customFormat="1"/>
    <row r="665" s="102" customFormat="1"/>
    <row r="666" s="102" customFormat="1"/>
    <row r="667" s="102" customFormat="1"/>
    <row r="668" s="102" customFormat="1"/>
    <row r="669" s="102" customFormat="1"/>
    <row r="670" s="102" customFormat="1"/>
    <row r="671" s="102" customFormat="1"/>
    <row r="672" s="102" customFormat="1"/>
    <row r="673" s="102" customFormat="1"/>
    <row r="674" s="102" customFormat="1"/>
    <row r="675" s="102" customFormat="1"/>
    <row r="676" s="102" customFormat="1"/>
    <row r="677" s="102" customFormat="1"/>
    <row r="678" s="102" customFormat="1"/>
    <row r="679" s="102" customFormat="1"/>
    <row r="680" s="102" customFormat="1"/>
    <row r="681" s="102" customFormat="1"/>
    <row r="682" s="102" customFormat="1"/>
    <row r="683" s="102" customFormat="1"/>
    <row r="684" s="102" customFormat="1"/>
    <row r="685" s="102" customFormat="1"/>
    <row r="686" s="102" customFormat="1"/>
    <row r="687" s="102" customFormat="1"/>
    <row r="688" s="102" customFormat="1"/>
    <row r="689" s="102" customFormat="1"/>
    <row r="690" s="102" customFormat="1"/>
    <row r="691" s="102" customFormat="1"/>
    <row r="692" s="102" customFormat="1"/>
    <row r="693" s="102" customFormat="1"/>
    <row r="694" s="102" customFormat="1"/>
    <row r="695" s="102" customFormat="1"/>
    <row r="696" s="102" customFormat="1"/>
    <row r="697" s="102" customFormat="1"/>
    <row r="698" s="102" customFormat="1"/>
    <row r="699" s="102" customFormat="1"/>
    <row r="700" s="102" customFormat="1"/>
    <row r="701" s="102" customFormat="1"/>
    <row r="702" s="102" customFormat="1"/>
    <row r="703" s="102" customFormat="1"/>
    <row r="704" s="102" customFormat="1"/>
    <row r="705" s="102" customFormat="1"/>
    <row r="706" s="102" customFormat="1"/>
    <row r="707" s="102" customFormat="1"/>
    <row r="708" s="102" customFormat="1"/>
    <row r="709" s="102" customFormat="1"/>
    <row r="710" s="102" customFormat="1"/>
    <row r="711" s="102" customFormat="1"/>
    <row r="712" s="102" customFormat="1"/>
    <row r="713" s="102" customFormat="1"/>
    <row r="714" s="102" customFormat="1"/>
    <row r="715" s="102" customFormat="1"/>
    <row r="716" s="102" customFormat="1"/>
    <row r="717" s="102" customFormat="1"/>
    <row r="718" s="102" customFormat="1"/>
    <row r="719" s="102" customFormat="1"/>
    <row r="720" s="102" customFormat="1"/>
    <row r="721" s="102" customFormat="1"/>
    <row r="722" s="102" customFormat="1"/>
    <row r="723" s="102" customFormat="1"/>
    <row r="724" s="102" customFormat="1"/>
    <row r="725" s="102" customFormat="1"/>
    <row r="726" s="102" customFormat="1"/>
    <row r="727" s="102" customFormat="1"/>
    <row r="728" s="102" customFormat="1"/>
    <row r="729" s="102" customFormat="1"/>
    <row r="730" s="102" customFormat="1"/>
    <row r="731" s="102" customFormat="1"/>
    <row r="732" s="102" customFormat="1"/>
    <row r="733" s="102" customFormat="1"/>
    <row r="734" s="102" customFormat="1"/>
    <row r="735" s="102" customFormat="1"/>
    <row r="736" s="102" customFormat="1"/>
    <row r="737" s="102" customFormat="1"/>
    <row r="738" s="102" customFormat="1"/>
    <row r="739" s="102" customFormat="1"/>
    <row r="740" s="102" customFormat="1"/>
    <row r="741" s="102" customFormat="1"/>
    <row r="742" s="102" customFormat="1"/>
    <row r="743" s="102" customFormat="1"/>
    <row r="744" s="102" customFormat="1"/>
    <row r="745" s="102" customFormat="1"/>
    <row r="746" s="102" customFormat="1"/>
    <row r="747" s="102" customFormat="1"/>
    <row r="748" s="102" customFormat="1"/>
    <row r="749" s="102" customFormat="1"/>
    <row r="750" s="102" customFormat="1"/>
    <row r="751" s="102" customFormat="1"/>
    <row r="752" s="102" customFormat="1"/>
    <row r="753" s="102" customFormat="1"/>
    <row r="754" s="102" customFormat="1"/>
    <row r="755" s="102" customFormat="1"/>
    <row r="756" s="102" customFormat="1"/>
    <row r="757" s="102" customFormat="1"/>
    <row r="758" s="102" customFormat="1"/>
    <row r="759" s="102" customFormat="1"/>
    <row r="760" s="102" customFormat="1"/>
    <row r="761" s="102" customFormat="1"/>
    <row r="762" s="102" customFormat="1"/>
    <row r="763" s="102" customFormat="1"/>
    <row r="764" s="102" customFormat="1"/>
    <row r="765" s="102" customFormat="1"/>
    <row r="766" s="102" customFormat="1"/>
    <row r="767" s="102" customFormat="1"/>
    <row r="768" s="102" customFormat="1"/>
    <row r="769" s="102" customFormat="1"/>
    <row r="770" s="102" customFormat="1"/>
    <row r="771" s="102" customFormat="1"/>
    <row r="772" s="102" customFormat="1"/>
    <row r="773" s="102" customFormat="1"/>
    <row r="774" s="102" customFormat="1"/>
    <row r="775" s="102" customFormat="1"/>
    <row r="776" s="102" customFormat="1"/>
    <row r="777" s="102" customFormat="1"/>
    <row r="778" s="102" customFormat="1"/>
    <row r="779" s="102" customFormat="1"/>
    <row r="780" s="102" customFormat="1"/>
    <row r="781" s="102" customFormat="1"/>
    <row r="782" s="102" customFormat="1"/>
    <row r="783" s="102" customFormat="1"/>
    <row r="784" s="102" customFormat="1"/>
    <row r="785" s="102" customFormat="1"/>
    <row r="786" s="102" customFormat="1"/>
    <row r="787" s="102" customFormat="1"/>
    <row r="788" s="102" customFormat="1"/>
    <row r="789" s="102" customFormat="1"/>
    <row r="790" s="102" customFormat="1"/>
    <row r="791" s="102" customFormat="1"/>
    <row r="792" s="102" customFormat="1"/>
    <row r="793" s="102" customFormat="1"/>
    <row r="794" s="102" customFormat="1"/>
    <row r="795" s="102" customFormat="1"/>
    <row r="796" s="102" customFormat="1"/>
    <row r="797" s="102" customFormat="1"/>
    <row r="798" s="102" customFormat="1"/>
    <row r="799" s="102" customFormat="1"/>
    <row r="800" s="102" customFormat="1"/>
    <row r="801" s="102" customFormat="1"/>
    <row r="802" s="102" customFormat="1"/>
    <row r="803" s="102" customFormat="1"/>
    <row r="804" s="102" customFormat="1"/>
    <row r="805" s="102" customFormat="1"/>
    <row r="806" s="102" customFormat="1"/>
    <row r="807" s="102" customFormat="1"/>
    <row r="808" s="102" customFormat="1"/>
    <row r="809" s="102" customFormat="1"/>
    <row r="810" s="102" customFormat="1"/>
    <row r="811" s="102" customFormat="1"/>
    <row r="812" s="102" customFormat="1"/>
    <row r="813" s="102" customFormat="1"/>
    <row r="814" s="102" customFormat="1"/>
    <row r="815" s="102" customFormat="1"/>
    <row r="816" s="102" customFormat="1"/>
    <row r="817" spans="2:2" s="102" customFormat="1"/>
    <row r="818" spans="2:2" s="102" customFormat="1"/>
    <row r="819" spans="2:2" s="102" customFormat="1"/>
    <row r="820" spans="2:2" s="102" customFormat="1"/>
    <row r="821" spans="2:2" s="102" customFormat="1"/>
    <row r="822" spans="2:2" s="102" customFormat="1"/>
    <row r="823" spans="2:2" s="102" customFormat="1"/>
    <row r="824" spans="2:2" s="102" customFormat="1"/>
    <row r="825" spans="2:2" s="102" customFormat="1"/>
    <row r="826" spans="2:2" s="102" customFormat="1"/>
    <row r="827" spans="2:2" s="102" customFormat="1"/>
    <row r="828" spans="2:2" s="102" customFormat="1"/>
    <row r="829" spans="2:2" s="102" customFormat="1"/>
    <row r="830" spans="2:2" s="102" customFormat="1"/>
    <row r="831" spans="2:2" s="102" customFormat="1"/>
    <row r="832" spans="2:2">
      <c r="B832" s="102"/>
    </row>
    <row r="833" spans="2:2">
      <c r="B833" s="102"/>
    </row>
    <row r="834" spans="2:2">
      <c r="B834" s="102"/>
    </row>
    <row r="835" spans="2:2">
      <c r="B835" s="102"/>
    </row>
    <row r="836" spans="2:2">
      <c r="B836" s="102"/>
    </row>
    <row r="837" spans="2:2">
      <c r="B837" s="102"/>
    </row>
    <row r="838" spans="2:2">
      <c r="B838" s="102"/>
    </row>
    <row r="839" spans="2:2">
      <c r="B839" s="102"/>
    </row>
    <row r="840" spans="2:2">
      <c r="B840" s="102"/>
    </row>
    <row r="841" spans="2:2">
      <c r="B841" s="102"/>
    </row>
    <row r="842" spans="2:2">
      <c r="B842" s="102"/>
    </row>
    <row r="843" spans="2:2">
      <c r="B843" s="102"/>
    </row>
    <row r="844" spans="2:2">
      <c r="B844" s="102"/>
    </row>
    <row r="845" spans="2:2">
      <c r="B845" s="102"/>
    </row>
    <row r="846" spans="2:2">
      <c r="B846" s="102"/>
    </row>
    <row r="847" spans="2:2">
      <c r="B847" s="102"/>
    </row>
    <row r="848" spans="2:2">
      <c r="B848" s="102"/>
    </row>
    <row r="849" spans="2:2">
      <c r="B849" s="102"/>
    </row>
    <row r="850" spans="2:2">
      <c r="B850" s="102"/>
    </row>
    <row r="851" spans="2:2">
      <c r="B851" s="102"/>
    </row>
    <row r="852" spans="2:2">
      <c r="B852" s="102"/>
    </row>
    <row r="853" spans="2:2">
      <c r="B853" s="102"/>
    </row>
    <row r="854" spans="2:2">
      <c r="B854" s="102"/>
    </row>
    <row r="855" spans="2:2">
      <c r="B855" s="102"/>
    </row>
    <row r="856" spans="2:2">
      <c r="B856" s="102"/>
    </row>
    <row r="857" spans="2:2">
      <c r="B857" s="102"/>
    </row>
    <row r="858" spans="2:2">
      <c r="B858" s="102"/>
    </row>
    <row r="859" spans="2:2">
      <c r="B859" s="102"/>
    </row>
    <row r="860" spans="2:2">
      <c r="B860" s="102"/>
    </row>
    <row r="861" spans="2:2">
      <c r="B861" s="102"/>
    </row>
    <row r="862" spans="2:2">
      <c r="B862" s="102"/>
    </row>
    <row r="863" spans="2:2">
      <c r="B863" s="102"/>
    </row>
    <row r="864" spans="2:2">
      <c r="B864" s="102"/>
    </row>
    <row r="865" spans="2:2">
      <c r="B865" s="102"/>
    </row>
    <row r="866" spans="2:2">
      <c r="B866" s="102"/>
    </row>
    <row r="867" spans="2:2">
      <c r="B867" s="102"/>
    </row>
    <row r="868" spans="2:2">
      <c r="B868" s="102"/>
    </row>
    <row r="869" spans="2:2">
      <c r="B869" s="102"/>
    </row>
    <row r="870" spans="2:2">
      <c r="B870" s="102"/>
    </row>
    <row r="871" spans="2:2">
      <c r="B871" s="102"/>
    </row>
    <row r="872" spans="2:2">
      <c r="B872" s="102"/>
    </row>
    <row r="873" spans="2:2">
      <c r="B873" s="102"/>
    </row>
    <row r="874" spans="2:2">
      <c r="B874" s="102"/>
    </row>
    <row r="875" spans="2:2">
      <c r="B875" s="102"/>
    </row>
    <row r="876" spans="2:2">
      <c r="B876" s="102"/>
    </row>
    <row r="877" spans="2:2">
      <c r="B877" s="102"/>
    </row>
    <row r="878" spans="2:2">
      <c r="B878" s="102"/>
    </row>
    <row r="879" spans="2:2">
      <c r="B879" s="102"/>
    </row>
    <row r="880" spans="2:2">
      <c r="B880" s="102"/>
    </row>
    <row r="881" spans="2:2">
      <c r="B881" s="102"/>
    </row>
    <row r="882" spans="2:2">
      <c r="B882" s="102"/>
    </row>
    <row r="883" spans="2:2">
      <c r="B883" s="102"/>
    </row>
    <row r="884" spans="2:2">
      <c r="B884" s="102"/>
    </row>
    <row r="885" spans="2:2">
      <c r="B885" s="102"/>
    </row>
    <row r="886" spans="2:2">
      <c r="B886" s="102"/>
    </row>
    <row r="887" spans="2:2">
      <c r="B887" s="102"/>
    </row>
  </sheetData>
  <mergeCells count="26">
    <mergeCell ref="B111:C111"/>
    <mergeCell ref="D28:E28"/>
    <mergeCell ref="D30:E30"/>
    <mergeCell ref="D25:E25"/>
    <mergeCell ref="B96:C96"/>
    <mergeCell ref="B101:C101"/>
    <mergeCell ref="B106:C106"/>
    <mergeCell ref="B86:C86"/>
    <mergeCell ref="B91:C91"/>
    <mergeCell ref="B70:C70"/>
    <mergeCell ref="B75:C75"/>
    <mergeCell ref="B81:C81"/>
    <mergeCell ref="B34:C34"/>
    <mergeCell ref="B38:C38"/>
    <mergeCell ref="B42:C42"/>
    <mergeCell ref="B46:C46"/>
    <mergeCell ref="B50:C50"/>
    <mergeCell ref="B54:C54"/>
    <mergeCell ref="B58:C58"/>
    <mergeCell ref="B62:C62"/>
    <mergeCell ref="C2:F3"/>
    <mergeCell ref="C13:E13"/>
    <mergeCell ref="C12:E12"/>
    <mergeCell ref="D23:E23"/>
    <mergeCell ref="B5:C5"/>
    <mergeCell ref="E5:F5"/>
  </mergeCells>
  <pageMargins left="0.7" right="0.7" top="0.75" bottom="0.75" header="0.3" footer="0.3"/>
  <pageSetup paperSize="9" orientation="portrait" verticalDpi="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dimension ref="A1:C138"/>
  <sheetViews>
    <sheetView workbookViewId="0"/>
  </sheetViews>
  <sheetFormatPr baseColWidth="10" defaultRowHeight="13.2"/>
  <cols>
    <col min="3" max="3" width="80.33203125" customWidth="1"/>
  </cols>
  <sheetData>
    <row r="1" spans="1:3" ht="24" customHeight="1">
      <c r="A1" s="801" t="s">
        <v>1798</v>
      </c>
    </row>
    <row r="2" spans="1:3" ht="14.4">
      <c r="C2" s="83" t="s">
        <v>636</v>
      </c>
    </row>
    <row r="4" spans="1:3">
      <c r="C4" s="81" t="s">
        <v>637</v>
      </c>
    </row>
    <row r="5" spans="1:3">
      <c r="C5" s="81" t="s">
        <v>638</v>
      </c>
    </row>
    <row r="6" spans="1:3">
      <c r="C6" s="81" t="s">
        <v>639</v>
      </c>
    </row>
    <row r="7" spans="1:3">
      <c r="C7" s="81" t="s">
        <v>640</v>
      </c>
    </row>
    <row r="8" spans="1:3">
      <c r="C8" s="81" t="s">
        <v>641</v>
      </c>
    </row>
    <row r="9" spans="1:3">
      <c r="C9" s="81" t="s">
        <v>642</v>
      </c>
    </row>
    <row r="10" spans="1:3">
      <c r="C10" s="81" t="s">
        <v>643</v>
      </c>
    </row>
    <row r="11" spans="1:3">
      <c r="C11" s="81" t="s">
        <v>644</v>
      </c>
    </row>
    <row r="12" spans="1:3">
      <c r="C12" s="81" t="s">
        <v>645</v>
      </c>
    </row>
    <row r="13" spans="1:3">
      <c r="C13" s="81" t="s">
        <v>646</v>
      </c>
    </row>
    <row r="14" spans="1:3">
      <c r="C14" s="81" t="s">
        <v>647</v>
      </c>
    </row>
    <row r="15" spans="1:3">
      <c r="C15" s="81" t="s">
        <v>648</v>
      </c>
    </row>
    <row r="16" spans="1:3">
      <c r="C16" s="81" t="s">
        <v>649</v>
      </c>
    </row>
    <row r="17" spans="3:3">
      <c r="C17" s="81" t="s">
        <v>650</v>
      </c>
    </row>
    <row r="18" spans="3:3">
      <c r="C18" s="81" t="s">
        <v>651</v>
      </c>
    </row>
    <row r="19" spans="3:3">
      <c r="C19" s="81" t="s">
        <v>652</v>
      </c>
    </row>
    <row r="20" spans="3:3">
      <c r="C20" s="84" t="s">
        <v>653</v>
      </c>
    </row>
    <row r="21" spans="3:3">
      <c r="C21" s="84" t="s">
        <v>654</v>
      </c>
    </row>
    <row r="22" spans="3:3">
      <c r="C22" s="81" t="s">
        <v>655</v>
      </c>
    </row>
    <row r="23" spans="3:3">
      <c r="C23" s="81" t="s">
        <v>656</v>
      </c>
    </row>
    <row r="24" spans="3:3">
      <c r="C24" s="81" t="s">
        <v>657</v>
      </c>
    </row>
    <row r="25" spans="3:3">
      <c r="C25" s="81" t="s">
        <v>658</v>
      </c>
    </row>
    <row r="26" spans="3:3">
      <c r="C26" s="81" t="s">
        <v>659</v>
      </c>
    </row>
    <row r="27" spans="3:3">
      <c r="C27" s="81" t="s">
        <v>660</v>
      </c>
    </row>
    <row r="28" spans="3:3">
      <c r="C28" s="81" t="s">
        <v>661</v>
      </c>
    </row>
    <row r="29" spans="3:3">
      <c r="C29" s="81" t="s">
        <v>662</v>
      </c>
    </row>
    <row r="30" spans="3:3">
      <c r="C30" s="81" t="s">
        <v>663</v>
      </c>
    </row>
    <row r="31" spans="3:3">
      <c r="C31" s="81" t="s">
        <v>664</v>
      </c>
    </row>
    <row r="32" spans="3:3">
      <c r="C32" t="s">
        <v>665</v>
      </c>
    </row>
    <row r="35" spans="3:3" ht="14.4">
      <c r="C35" s="83" t="s">
        <v>666</v>
      </c>
    </row>
    <row r="36" spans="3:3" ht="13.8">
      <c r="C36" s="85" t="s">
        <v>667</v>
      </c>
    </row>
    <row r="37" spans="3:3" ht="13.8">
      <c r="C37" s="85" t="s">
        <v>668</v>
      </c>
    </row>
    <row r="38" spans="3:3" ht="13.8">
      <c r="C38" s="85" t="s">
        <v>669</v>
      </c>
    </row>
    <row r="39" spans="3:3" ht="13.8">
      <c r="C39" s="85" t="s">
        <v>670</v>
      </c>
    </row>
    <row r="40" spans="3:3" ht="13.8">
      <c r="C40" s="85" t="s">
        <v>671</v>
      </c>
    </row>
    <row r="41" spans="3:3" ht="13.8">
      <c r="C41" s="85" t="s">
        <v>672</v>
      </c>
    </row>
    <row r="42" spans="3:3" ht="13.8">
      <c r="C42" s="85" t="s">
        <v>673</v>
      </c>
    </row>
    <row r="43" spans="3:3" ht="16.2">
      <c r="C43" s="86" t="s">
        <v>674</v>
      </c>
    </row>
    <row r="44" spans="3:3" ht="13.8">
      <c r="C44" s="86" t="s">
        <v>675</v>
      </c>
    </row>
    <row r="45" spans="3:3" ht="13.8">
      <c r="C45" s="85" t="s">
        <v>676</v>
      </c>
    </row>
    <row r="46" spans="3:3" ht="13.8">
      <c r="C46" s="87" t="s">
        <v>677</v>
      </c>
    </row>
    <row r="47" spans="3:3" ht="13.8">
      <c r="C47" s="87" t="s">
        <v>678</v>
      </c>
    </row>
    <row r="48" spans="3:3" ht="13.8">
      <c r="C48" s="87" t="s">
        <v>679</v>
      </c>
    </row>
    <row r="49" spans="3:3" ht="13.8">
      <c r="C49" s="87" t="s">
        <v>680</v>
      </c>
    </row>
    <row r="50" spans="3:3" ht="13.8">
      <c r="C50" s="87" t="s">
        <v>681</v>
      </c>
    </row>
    <row r="51" spans="3:3" ht="13.8">
      <c r="C51" s="88" t="s">
        <v>682</v>
      </c>
    </row>
    <row r="52" spans="3:3" ht="13.8">
      <c r="C52" s="89" t="s">
        <v>683</v>
      </c>
    </row>
    <row r="53" spans="3:3" ht="13.8">
      <c r="C53" s="89" t="s">
        <v>684</v>
      </c>
    </row>
    <row r="54" spans="3:3" ht="13.8">
      <c r="C54" s="89" t="s">
        <v>685</v>
      </c>
    </row>
    <row r="55" spans="3:3" ht="13.8">
      <c r="C55" s="89" t="s">
        <v>686</v>
      </c>
    </row>
    <row r="56" spans="3:3" ht="13.8">
      <c r="C56" s="89" t="s">
        <v>687</v>
      </c>
    </row>
    <row r="57" spans="3:3" ht="13.8">
      <c r="C57" s="89" t="s">
        <v>688</v>
      </c>
    </row>
    <row r="58" spans="3:3">
      <c r="C58" s="90"/>
    </row>
    <row r="59" spans="3:3">
      <c r="C59" s="90" t="s">
        <v>689</v>
      </c>
    </row>
    <row r="60" spans="3:3">
      <c r="C60" s="90"/>
    </row>
    <row r="61" spans="3:3">
      <c r="C61" s="91" t="s">
        <v>690</v>
      </c>
    </row>
    <row r="62" spans="3:3">
      <c r="C62" s="92" t="s">
        <v>691</v>
      </c>
    </row>
    <row r="63" spans="3:3">
      <c r="C63" s="93" t="s">
        <v>692</v>
      </c>
    </row>
    <row r="67" spans="1:3" ht="24" customHeight="1">
      <c r="A67" s="801" t="s">
        <v>753</v>
      </c>
    </row>
    <row r="68" spans="1:3">
      <c r="C68" s="82" t="s">
        <v>2477</v>
      </c>
    </row>
    <row r="69" spans="1:3">
      <c r="C69" s="81" t="s">
        <v>606</v>
      </c>
    </row>
    <row r="70" spans="1:3">
      <c r="C70" s="81" t="s">
        <v>607</v>
      </c>
    </row>
    <row r="71" spans="1:3">
      <c r="C71" s="81" t="s">
        <v>608</v>
      </c>
    </row>
    <row r="72" spans="1:3">
      <c r="C72" s="81" t="s">
        <v>609</v>
      </c>
    </row>
    <row r="73" spans="1:3">
      <c r="C73" s="81" t="s">
        <v>610</v>
      </c>
    </row>
    <row r="74" spans="1:3">
      <c r="C74" s="81" t="s">
        <v>611</v>
      </c>
    </row>
    <row r="75" spans="1:3">
      <c r="C75" s="81" t="s">
        <v>612</v>
      </c>
    </row>
    <row r="76" spans="1:3">
      <c r="C76" s="81" t="s">
        <v>613</v>
      </c>
    </row>
    <row r="77" spans="1:3">
      <c r="C77" s="81" t="s">
        <v>614</v>
      </c>
    </row>
    <row r="78" spans="1:3">
      <c r="C78" s="81" t="s">
        <v>615</v>
      </c>
    </row>
    <row r="79" spans="1:3">
      <c r="C79" s="81" t="s">
        <v>616</v>
      </c>
    </row>
    <row r="80" spans="1:3">
      <c r="C80" s="81" t="s">
        <v>617</v>
      </c>
    </row>
    <row r="81" spans="3:3">
      <c r="C81" s="81" t="s">
        <v>618</v>
      </c>
    </row>
    <row r="82" spans="3:3">
      <c r="C82" s="81" t="s">
        <v>619</v>
      </c>
    </row>
    <row r="83" spans="3:3">
      <c r="C83" s="81" t="s">
        <v>620</v>
      </c>
    </row>
    <row r="84" spans="3:3">
      <c r="C84" s="81" t="s">
        <v>621</v>
      </c>
    </row>
    <row r="85" spans="3:3">
      <c r="C85" s="81" t="s">
        <v>622</v>
      </c>
    </row>
    <row r="86" spans="3:3">
      <c r="C86" s="81" t="s">
        <v>623</v>
      </c>
    </row>
    <row r="87" spans="3:3">
      <c r="C87" s="81" t="s">
        <v>624</v>
      </c>
    </row>
    <row r="88" spans="3:3">
      <c r="C88" s="81" t="s">
        <v>625</v>
      </c>
    </row>
    <row r="89" spans="3:3">
      <c r="C89" s="81" t="s">
        <v>626</v>
      </c>
    </row>
    <row r="90" spans="3:3">
      <c r="C90" s="81" t="s">
        <v>627</v>
      </c>
    </row>
    <row r="91" spans="3:3">
      <c r="C91" s="81" t="s">
        <v>628</v>
      </c>
    </row>
    <row r="92" spans="3:3">
      <c r="C92" s="81" t="s">
        <v>629</v>
      </c>
    </row>
    <row r="93" spans="3:3">
      <c r="C93" s="81" t="s">
        <v>630</v>
      </c>
    </row>
    <row r="94" spans="3:3">
      <c r="C94" s="81" t="s">
        <v>631</v>
      </c>
    </row>
    <row r="95" spans="3:3">
      <c r="C95" s="81" t="s">
        <v>632</v>
      </c>
    </row>
    <row r="96" spans="3:3">
      <c r="C96" s="81" t="s">
        <v>633</v>
      </c>
    </row>
    <row r="97" spans="1:3">
      <c r="C97" s="81" t="s">
        <v>634</v>
      </c>
    </row>
    <row r="98" spans="1:3">
      <c r="C98" t="s">
        <v>635</v>
      </c>
    </row>
    <row r="102" spans="1:3" ht="24" customHeight="1">
      <c r="A102" s="801" t="s">
        <v>2980</v>
      </c>
    </row>
    <row r="104" spans="1:3">
      <c r="C104" s="43" t="s">
        <v>586</v>
      </c>
    </row>
    <row r="105" spans="1:3">
      <c r="C105" s="19" t="s">
        <v>587</v>
      </c>
    </row>
    <row r="106" spans="1:3">
      <c r="C106" s="81" t="s">
        <v>588</v>
      </c>
    </row>
    <row r="107" spans="1:3">
      <c r="C107" s="81" t="s">
        <v>589</v>
      </c>
    </row>
    <row r="108" spans="1:3">
      <c r="C108" s="81" t="s">
        <v>590</v>
      </c>
    </row>
    <row r="109" spans="1:3">
      <c r="C109" s="81" t="s">
        <v>591</v>
      </c>
    </row>
    <row r="110" spans="1:3">
      <c r="C110" s="81" t="s">
        <v>592</v>
      </c>
    </row>
    <row r="111" spans="1:3">
      <c r="C111" s="81" t="s">
        <v>593</v>
      </c>
    </row>
    <row r="112" spans="1:3">
      <c r="C112" s="81" t="s">
        <v>594</v>
      </c>
    </row>
    <row r="113" spans="3:3">
      <c r="C113" s="81" t="s">
        <v>595</v>
      </c>
    </row>
    <row r="114" spans="3:3">
      <c r="C114" s="81" t="s">
        <v>596</v>
      </c>
    </row>
    <row r="115" spans="3:3">
      <c r="C115" s="81" t="s">
        <v>597</v>
      </c>
    </row>
    <row r="116" spans="3:3">
      <c r="C116" s="81" t="s">
        <v>598</v>
      </c>
    </row>
    <row r="117" spans="3:3">
      <c r="C117" s="81" t="s">
        <v>599</v>
      </c>
    </row>
    <row r="118" spans="3:3">
      <c r="C118" s="81" t="s">
        <v>600</v>
      </c>
    </row>
    <row r="119" spans="3:3">
      <c r="C119" s="81" t="s">
        <v>601</v>
      </c>
    </row>
    <row r="120" spans="3:3">
      <c r="C120" s="81" t="s">
        <v>602</v>
      </c>
    </row>
    <row r="123" spans="3:3">
      <c r="C123" s="43" t="s">
        <v>603</v>
      </c>
    </row>
    <row r="124" spans="3:3">
      <c r="C124" s="19" t="s">
        <v>587</v>
      </c>
    </row>
    <row r="125" spans="3:3">
      <c r="C125" s="81" t="s">
        <v>588</v>
      </c>
    </row>
    <row r="126" spans="3:3">
      <c r="C126" s="81" t="s">
        <v>589</v>
      </c>
    </row>
    <row r="127" spans="3:3">
      <c r="C127" s="81" t="s">
        <v>590</v>
      </c>
    </row>
    <row r="128" spans="3:3">
      <c r="C128" s="81" t="s">
        <v>591</v>
      </c>
    </row>
    <row r="129" spans="3:3">
      <c r="C129" s="81" t="s">
        <v>592</v>
      </c>
    </row>
    <row r="130" spans="3:3">
      <c r="C130" s="81" t="s">
        <v>593</v>
      </c>
    </row>
    <row r="131" spans="3:3">
      <c r="C131" s="81" t="s">
        <v>594</v>
      </c>
    </row>
    <row r="132" spans="3:3">
      <c r="C132" s="81" t="s">
        <v>595</v>
      </c>
    </row>
    <row r="133" spans="3:3">
      <c r="C133" s="81" t="s">
        <v>596</v>
      </c>
    </row>
    <row r="134" spans="3:3">
      <c r="C134" s="81" t="s">
        <v>597</v>
      </c>
    </row>
    <row r="135" spans="3:3">
      <c r="C135" s="81" t="s">
        <v>604</v>
      </c>
    </row>
    <row r="136" spans="3:3">
      <c r="C136" s="81" t="s">
        <v>600</v>
      </c>
    </row>
    <row r="137" spans="3:3">
      <c r="C137" s="81" t="s">
        <v>601</v>
      </c>
    </row>
    <row r="138" spans="3:3">
      <c r="C138" s="81" t="s">
        <v>605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5">
    <pageSetUpPr fitToPage="1"/>
  </sheetPr>
  <dimension ref="A1:IQ240"/>
  <sheetViews>
    <sheetView topLeftCell="A195" zoomScale="85" zoomScaleNormal="85" workbookViewId="0">
      <selection activeCell="E234" sqref="E234"/>
    </sheetView>
  </sheetViews>
  <sheetFormatPr baseColWidth="10" defaultRowHeight="13.2"/>
  <cols>
    <col min="1" max="1" width="4.5546875" customWidth="1"/>
    <col min="2" max="2" width="3.6640625" bestFit="1" customWidth="1"/>
    <col min="3" max="3" width="5.33203125" style="97" customWidth="1"/>
    <col min="4" max="4" width="6.5546875" style="4" customWidth="1"/>
    <col min="5" max="5" width="88" style="4" customWidth="1"/>
    <col min="6" max="6" width="10.109375" style="4" customWidth="1"/>
    <col min="7" max="7" width="5.33203125" style="4" customWidth="1"/>
    <col min="8" max="8" width="15.88671875" style="4" customWidth="1"/>
    <col min="10" max="11" width="0" hidden="1" customWidth="1"/>
  </cols>
  <sheetData>
    <row r="1" spans="2:8">
      <c r="B1" s="6"/>
      <c r="C1" s="95"/>
      <c r="D1" s="6"/>
      <c r="E1" s="6"/>
      <c r="F1" s="7"/>
      <c r="G1" s="7"/>
      <c r="H1" s="7"/>
    </row>
    <row r="2" spans="2:8">
      <c r="B2" s="6"/>
      <c r="C2" s="95"/>
      <c r="D2" s="6"/>
      <c r="E2" s="6"/>
      <c r="F2" s="7"/>
      <c r="G2" s="7"/>
      <c r="H2" s="7"/>
    </row>
    <row r="3" spans="2:8">
      <c r="B3" s="6"/>
      <c r="C3" s="95"/>
      <c r="D3" s="6"/>
      <c r="E3" s="6"/>
      <c r="F3" s="7"/>
      <c r="G3" s="7"/>
      <c r="H3" s="7"/>
    </row>
    <row r="4" spans="2:8">
      <c r="B4" s="6"/>
      <c r="C4" s="95"/>
      <c r="D4" s="6"/>
      <c r="E4" s="6"/>
      <c r="F4" s="7"/>
      <c r="G4" s="7"/>
      <c r="H4" s="7"/>
    </row>
    <row r="5" spans="2:8">
      <c r="B5" s="6"/>
      <c r="C5" s="95"/>
      <c r="D5" s="6"/>
      <c r="E5" s="6"/>
      <c r="F5" s="7"/>
      <c r="G5" s="7"/>
      <c r="H5" s="7"/>
    </row>
    <row r="6" spans="2:8" ht="13.8">
      <c r="B6" s="6"/>
      <c r="C6" s="95"/>
      <c r="D6" s="6"/>
      <c r="E6" s="588" t="s">
        <v>2454</v>
      </c>
      <c r="F6" s="7"/>
      <c r="G6" s="7"/>
      <c r="H6" s="7"/>
    </row>
    <row r="7" spans="2:8">
      <c r="B7" s="6"/>
      <c r="C7" s="95"/>
      <c r="D7" s="6"/>
      <c r="E7" s="6"/>
      <c r="F7" s="7"/>
      <c r="G7" s="7"/>
      <c r="H7" s="7"/>
    </row>
    <row r="8" spans="2:8">
      <c r="B8" s="6"/>
      <c r="C8" s="95"/>
      <c r="D8" s="6"/>
      <c r="E8" s="6"/>
      <c r="F8" s="7"/>
      <c r="G8" s="7"/>
      <c r="H8" s="8" t="s">
        <v>3758</v>
      </c>
    </row>
    <row r="9" spans="2:8" ht="13.8">
      <c r="C9" s="939" t="s">
        <v>3372</v>
      </c>
      <c r="D9" s="940"/>
      <c r="E9" s="940"/>
      <c r="H9" s="94" t="s">
        <v>3759</v>
      </c>
    </row>
    <row r="10" spans="2:8" ht="13.8">
      <c r="C10" s="941" t="s">
        <v>3760</v>
      </c>
      <c r="D10" s="940"/>
      <c r="E10" s="940"/>
      <c r="F10" s="9"/>
      <c r="G10" s="9"/>
    </row>
    <row r="11" spans="2:8" ht="13.8">
      <c r="C11" s="942" t="s">
        <v>2453</v>
      </c>
      <c r="D11" s="943"/>
      <c r="E11" s="944" t="s">
        <v>3761</v>
      </c>
      <c r="F11" s="601"/>
      <c r="G11" s="944"/>
      <c r="H11" s="601"/>
    </row>
    <row r="12" spans="2:8">
      <c r="C12" s="96"/>
      <c r="D12" s="3"/>
      <c r="E12" s="5"/>
      <c r="F12" s="10"/>
      <c r="G12" s="10"/>
      <c r="H12" s="10"/>
    </row>
    <row r="13" spans="2:8">
      <c r="C13" s="96"/>
      <c r="D13" s="3"/>
      <c r="E13" s="5"/>
      <c r="F13" s="10"/>
      <c r="G13" s="10"/>
      <c r="H13" s="10"/>
    </row>
    <row r="14" spans="2:8">
      <c r="C14" s="95" t="s">
        <v>43</v>
      </c>
      <c r="D14" s="6"/>
      <c r="E14" s="6"/>
      <c r="F14" s="7"/>
      <c r="G14" s="7"/>
      <c r="H14" s="7"/>
    </row>
    <row r="15" spans="2:8">
      <c r="C15" s="95" t="s">
        <v>44</v>
      </c>
      <c r="D15" s="6"/>
      <c r="E15" s="6"/>
      <c r="F15" s="7"/>
      <c r="G15" s="7"/>
      <c r="H15" s="7"/>
    </row>
    <row r="16" spans="2:8" ht="13.8" thickBot="1"/>
    <row r="17" spans="3:8" s="61" customFormat="1" ht="31.5" customHeight="1">
      <c r="C17" s="735" t="s">
        <v>45</v>
      </c>
      <c r="D17" s="736" t="s">
        <v>46</v>
      </c>
      <c r="E17" s="736" t="s">
        <v>0</v>
      </c>
      <c r="F17" s="2624" t="s">
        <v>3373</v>
      </c>
      <c r="G17" s="2625"/>
      <c r="H17" s="934" t="s">
        <v>3374</v>
      </c>
    </row>
    <row r="18" spans="3:8" s="61" customFormat="1" ht="21" customHeight="1">
      <c r="C18" s="589">
        <v>1</v>
      </c>
      <c r="D18" s="591" t="s">
        <v>2452</v>
      </c>
      <c r="E18" s="590" t="s">
        <v>3382</v>
      </c>
      <c r="F18" s="2623" t="e">
        <f t="shared" ref="F18:F39" si="0">VLOOKUP(E18,TABLEROS,7,FALSE)</f>
        <v>#N/A</v>
      </c>
      <c r="G18" s="2623"/>
      <c r="H18" s="930" t="e">
        <f t="shared" ref="H18:H39" si="1">+F18*D18</f>
        <v>#N/A</v>
      </c>
    </row>
    <row r="19" spans="3:8" s="61" customFormat="1" ht="21" customHeight="1">
      <c r="C19" s="589">
        <f t="shared" ref="C19:C35" si="2">C18+1</f>
        <v>2</v>
      </c>
      <c r="D19" s="591" t="s">
        <v>2452</v>
      </c>
      <c r="E19" s="737" t="s">
        <v>3401</v>
      </c>
      <c r="F19" s="2623" t="e">
        <f t="shared" si="0"/>
        <v>#N/A</v>
      </c>
      <c r="G19" s="2623"/>
      <c r="H19" s="930" t="e">
        <f t="shared" si="1"/>
        <v>#N/A</v>
      </c>
    </row>
    <row r="20" spans="3:8" s="61" customFormat="1" ht="21" customHeight="1">
      <c r="C20" s="589">
        <f t="shared" si="2"/>
        <v>3</v>
      </c>
      <c r="D20" s="591" t="s">
        <v>2452</v>
      </c>
      <c r="E20" s="737" t="s">
        <v>3751</v>
      </c>
      <c r="F20" s="2623" t="e">
        <f t="shared" si="0"/>
        <v>#N/A</v>
      </c>
      <c r="G20" s="2623"/>
      <c r="H20" s="930" t="e">
        <f t="shared" si="1"/>
        <v>#N/A</v>
      </c>
    </row>
    <row r="21" spans="3:8" s="61" customFormat="1" ht="21" customHeight="1">
      <c r="C21" s="589">
        <f t="shared" si="2"/>
        <v>4</v>
      </c>
      <c r="D21" s="591" t="s">
        <v>2452</v>
      </c>
      <c r="E21" s="737" t="s">
        <v>3450</v>
      </c>
      <c r="F21" s="2623" t="e">
        <f t="shared" si="0"/>
        <v>#N/A</v>
      </c>
      <c r="G21" s="2623"/>
      <c r="H21" s="930" t="e">
        <f t="shared" si="1"/>
        <v>#N/A</v>
      </c>
    </row>
    <row r="22" spans="3:8" s="61" customFormat="1" ht="21" customHeight="1">
      <c r="C22" s="589">
        <f t="shared" si="2"/>
        <v>5</v>
      </c>
      <c r="D22" s="591" t="s">
        <v>2452</v>
      </c>
      <c r="E22" s="737" t="s">
        <v>3455</v>
      </c>
      <c r="F22" s="2623" t="e">
        <f t="shared" si="0"/>
        <v>#N/A</v>
      </c>
      <c r="G22" s="2623"/>
      <c r="H22" s="930" t="e">
        <f t="shared" si="1"/>
        <v>#N/A</v>
      </c>
    </row>
    <row r="23" spans="3:8" s="61" customFormat="1" ht="21" customHeight="1">
      <c r="C23" s="589">
        <f t="shared" si="2"/>
        <v>6</v>
      </c>
      <c r="D23" s="591" t="s">
        <v>2452</v>
      </c>
      <c r="E23" s="737" t="s">
        <v>3458</v>
      </c>
      <c r="F23" s="2623" t="e">
        <f t="shared" si="0"/>
        <v>#N/A</v>
      </c>
      <c r="G23" s="2623"/>
      <c r="H23" s="930" t="e">
        <f t="shared" si="1"/>
        <v>#N/A</v>
      </c>
    </row>
    <row r="24" spans="3:8" s="61" customFormat="1" ht="21" customHeight="1">
      <c r="C24" s="589">
        <f t="shared" si="2"/>
        <v>7</v>
      </c>
      <c r="D24" s="591" t="s">
        <v>2452</v>
      </c>
      <c r="E24" s="737" t="s">
        <v>3459</v>
      </c>
      <c r="F24" s="2623" t="e">
        <f t="shared" si="0"/>
        <v>#N/A</v>
      </c>
      <c r="G24" s="2623"/>
      <c r="H24" s="930" t="e">
        <f t="shared" si="1"/>
        <v>#N/A</v>
      </c>
    </row>
    <row r="25" spans="3:8" s="61" customFormat="1" ht="21" customHeight="1">
      <c r="C25" s="589">
        <f t="shared" si="2"/>
        <v>8</v>
      </c>
      <c r="D25" s="591" t="s">
        <v>2452</v>
      </c>
      <c r="E25" s="737" t="s">
        <v>3467</v>
      </c>
      <c r="F25" s="2623" t="e">
        <f t="shared" si="0"/>
        <v>#N/A</v>
      </c>
      <c r="G25" s="2623"/>
      <c r="H25" s="930" t="e">
        <f t="shared" si="1"/>
        <v>#N/A</v>
      </c>
    </row>
    <row r="26" spans="3:8" s="61" customFormat="1" ht="21" customHeight="1">
      <c r="C26" s="589">
        <f t="shared" si="2"/>
        <v>9</v>
      </c>
      <c r="D26" s="591" t="s">
        <v>2452</v>
      </c>
      <c r="E26" s="737" t="s">
        <v>3468</v>
      </c>
      <c r="F26" s="2623" t="e">
        <f t="shared" si="0"/>
        <v>#N/A</v>
      </c>
      <c r="G26" s="2623"/>
      <c r="H26" s="930" t="e">
        <f t="shared" si="1"/>
        <v>#N/A</v>
      </c>
    </row>
    <row r="27" spans="3:8" s="61" customFormat="1" ht="21" customHeight="1">
      <c r="C27" s="589">
        <f t="shared" si="2"/>
        <v>10</v>
      </c>
      <c r="D27" s="591" t="s">
        <v>2452</v>
      </c>
      <c r="E27" s="737" t="s">
        <v>3469</v>
      </c>
      <c r="F27" s="2623" t="e">
        <f t="shared" si="0"/>
        <v>#N/A</v>
      </c>
      <c r="G27" s="2623"/>
      <c r="H27" s="930" t="e">
        <f t="shared" si="1"/>
        <v>#N/A</v>
      </c>
    </row>
    <row r="28" spans="3:8" s="61" customFormat="1" ht="21" customHeight="1">
      <c r="C28" s="589">
        <f t="shared" si="2"/>
        <v>11</v>
      </c>
      <c r="D28" s="591" t="s">
        <v>2452</v>
      </c>
      <c r="E28" s="737" t="s">
        <v>3389</v>
      </c>
      <c r="F28" s="2623" t="e">
        <f t="shared" si="0"/>
        <v>#N/A</v>
      </c>
      <c r="G28" s="2623"/>
      <c r="H28" s="930" t="e">
        <f t="shared" si="1"/>
        <v>#N/A</v>
      </c>
    </row>
    <row r="29" spans="3:8" s="61" customFormat="1" ht="21" customHeight="1">
      <c r="C29" s="589">
        <f t="shared" si="2"/>
        <v>12</v>
      </c>
      <c r="D29" s="591" t="s">
        <v>2452</v>
      </c>
      <c r="E29" s="737" t="s">
        <v>3503</v>
      </c>
      <c r="F29" s="2623" t="e">
        <f t="shared" si="0"/>
        <v>#N/A</v>
      </c>
      <c r="G29" s="2623"/>
      <c r="H29" s="930" t="e">
        <f t="shared" si="1"/>
        <v>#N/A</v>
      </c>
    </row>
    <row r="30" spans="3:8" s="61" customFormat="1" ht="21" customHeight="1">
      <c r="C30" s="589">
        <f t="shared" si="2"/>
        <v>13</v>
      </c>
      <c r="D30" s="591" t="s">
        <v>2452</v>
      </c>
      <c r="E30" s="737" t="s">
        <v>3752</v>
      </c>
      <c r="F30" s="2623" t="e">
        <f t="shared" si="0"/>
        <v>#N/A</v>
      </c>
      <c r="G30" s="2623"/>
      <c r="H30" s="930" t="e">
        <f t="shared" si="1"/>
        <v>#N/A</v>
      </c>
    </row>
    <row r="31" spans="3:8" s="61" customFormat="1" ht="21" customHeight="1">
      <c r="C31" s="589">
        <f t="shared" si="2"/>
        <v>14</v>
      </c>
      <c r="D31" s="591" t="s">
        <v>2452</v>
      </c>
      <c r="E31" s="737" t="s">
        <v>3504</v>
      </c>
      <c r="F31" s="2623" t="e">
        <f t="shared" si="0"/>
        <v>#N/A</v>
      </c>
      <c r="G31" s="2623"/>
      <c r="H31" s="930" t="e">
        <f t="shared" si="1"/>
        <v>#N/A</v>
      </c>
    </row>
    <row r="32" spans="3:8" s="61" customFormat="1" ht="21" customHeight="1">
      <c r="C32" s="589">
        <f t="shared" si="2"/>
        <v>15</v>
      </c>
      <c r="D32" s="591" t="s">
        <v>2452</v>
      </c>
      <c r="E32" s="737" t="s">
        <v>3505</v>
      </c>
      <c r="F32" s="2623" t="e">
        <f t="shared" si="0"/>
        <v>#N/A</v>
      </c>
      <c r="G32" s="2623"/>
      <c r="H32" s="930" t="e">
        <f t="shared" si="1"/>
        <v>#N/A</v>
      </c>
    </row>
    <row r="33" spans="3:8" s="61" customFormat="1" ht="21" customHeight="1">
      <c r="C33" s="589">
        <f t="shared" si="2"/>
        <v>16</v>
      </c>
      <c r="D33" s="591" t="s">
        <v>2452</v>
      </c>
      <c r="E33" s="737" t="s">
        <v>3507</v>
      </c>
      <c r="F33" s="2623" t="e">
        <f t="shared" si="0"/>
        <v>#N/A</v>
      </c>
      <c r="G33" s="2623"/>
      <c r="H33" s="930" t="e">
        <f t="shared" si="1"/>
        <v>#N/A</v>
      </c>
    </row>
    <row r="34" spans="3:8" s="61" customFormat="1" ht="21" customHeight="1">
      <c r="C34" s="589">
        <f t="shared" si="2"/>
        <v>17</v>
      </c>
      <c r="D34" s="591" t="s">
        <v>2452</v>
      </c>
      <c r="E34" s="737" t="s">
        <v>3508</v>
      </c>
      <c r="F34" s="2623" t="e">
        <f t="shared" si="0"/>
        <v>#N/A</v>
      </c>
      <c r="G34" s="2623"/>
      <c r="H34" s="930" t="e">
        <f t="shared" si="1"/>
        <v>#N/A</v>
      </c>
    </row>
    <row r="35" spans="3:8" s="61" customFormat="1" ht="21" customHeight="1">
      <c r="C35" s="589">
        <f t="shared" si="2"/>
        <v>18</v>
      </c>
      <c r="D35" s="591" t="s">
        <v>2452</v>
      </c>
      <c r="E35" s="737" t="s">
        <v>3516</v>
      </c>
      <c r="F35" s="2623" t="e">
        <f t="shared" si="0"/>
        <v>#N/A</v>
      </c>
      <c r="G35" s="2623"/>
      <c r="H35" s="930" t="e">
        <f t="shared" si="1"/>
        <v>#N/A</v>
      </c>
    </row>
    <row r="36" spans="3:8" s="61" customFormat="1" ht="21" customHeight="1">
      <c r="C36" s="589">
        <f t="shared" ref="C36:C99" si="3">C35+1</f>
        <v>19</v>
      </c>
      <c r="D36" s="591" t="s">
        <v>2452</v>
      </c>
      <c r="E36" s="737" t="s">
        <v>3517</v>
      </c>
      <c r="F36" s="2623" t="e">
        <f t="shared" si="0"/>
        <v>#N/A</v>
      </c>
      <c r="G36" s="2623"/>
      <c r="H36" s="930" t="e">
        <f t="shared" si="1"/>
        <v>#N/A</v>
      </c>
    </row>
    <row r="37" spans="3:8" s="61" customFormat="1" ht="21" customHeight="1">
      <c r="C37" s="589">
        <f t="shared" si="3"/>
        <v>20</v>
      </c>
      <c r="D37" s="591" t="s">
        <v>2452</v>
      </c>
      <c r="E37" s="737" t="s">
        <v>3520</v>
      </c>
      <c r="F37" s="2623" t="e">
        <f t="shared" si="0"/>
        <v>#N/A</v>
      </c>
      <c r="G37" s="2623"/>
      <c r="H37" s="930" t="e">
        <f t="shared" si="1"/>
        <v>#N/A</v>
      </c>
    </row>
    <row r="38" spans="3:8" s="61" customFormat="1" ht="21" customHeight="1">
      <c r="C38" s="589">
        <f t="shared" si="3"/>
        <v>21</v>
      </c>
      <c r="D38" s="591" t="s">
        <v>2452</v>
      </c>
      <c r="E38" s="737" t="s">
        <v>3521</v>
      </c>
      <c r="F38" s="2623" t="e">
        <f t="shared" si="0"/>
        <v>#N/A</v>
      </c>
      <c r="G38" s="2623"/>
      <c r="H38" s="930" t="e">
        <f t="shared" si="1"/>
        <v>#N/A</v>
      </c>
    </row>
    <row r="39" spans="3:8" s="61" customFormat="1" ht="21" customHeight="1">
      <c r="C39" s="589">
        <f t="shared" si="3"/>
        <v>22</v>
      </c>
      <c r="D39" s="591" t="s">
        <v>2452</v>
      </c>
      <c r="E39" s="737" t="s">
        <v>3522</v>
      </c>
      <c r="F39" s="2623" t="e">
        <f t="shared" si="0"/>
        <v>#N/A</v>
      </c>
      <c r="G39" s="2623"/>
      <c r="H39" s="930" t="e">
        <f t="shared" si="1"/>
        <v>#N/A</v>
      </c>
    </row>
    <row r="40" spans="3:8" s="61" customFormat="1" ht="21" customHeight="1">
      <c r="C40" s="589">
        <f t="shared" si="3"/>
        <v>23</v>
      </c>
      <c r="D40" s="591" t="s">
        <v>2452</v>
      </c>
      <c r="E40" s="737" t="s">
        <v>3390</v>
      </c>
      <c r="F40" s="2623" t="e">
        <f t="shared" ref="F40:F60" si="4">VLOOKUP(E40,TABLEROS,7,FALSE)</f>
        <v>#N/A</v>
      </c>
      <c r="G40" s="2623"/>
      <c r="H40" s="930" t="e">
        <f t="shared" ref="H40:H60" si="5">+F40*D40</f>
        <v>#N/A</v>
      </c>
    </row>
    <row r="41" spans="3:8" s="61" customFormat="1" ht="21" customHeight="1">
      <c r="C41" s="589">
        <f t="shared" si="3"/>
        <v>24</v>
      </c>
      <c r="D41" s="591" t="s">
        <v>2452</v>
      </c>
      <c r="E41" s="737" t="s">
        <v>3523</v>
      </c>
      <c r="F41" s="2623" t="e">
        <f t="shared" si="4"/>
        <v>#N/A</v>
      </c>
      <c r="G41" s="2623"/>
      <c r="H41" s="930" t="e">
        <f t="shared" si="5"/>
        <v>#N/A</v>
      </c>
    </row>
    <row r="42" spans="3:8" s="61" customFormat="1" ht="21" customHeight="1">
      <c r="C42" s="589">
        <f t="shared" si="3"/>
        <v>25</v>
      </c>
      <c r="D42" s="591" t="s">
        <v>2452</v>
      </c>
      <c r="E42" s="737" t="s">
        <v>3753</v>
      </c>
      <c r="F42" s="2623" t="e">
        <f t="shared" si="4"/>
        <v>#N/A</v>
      </c>
      <c r="G42" s="2623"/>
      <c r="H42" s="930" t="e">
        <f t="shared" si="5"/>
        <v>#N/A</v>
      </c>
    </row>
    <row r="43" spans="3:8" s="61" customFormat="1" ht="21" customHeight="1">
      <c r="C43" s="589">
        <f t="shared" si="3"/>
        <v>26</v>
      </c>
      <c r="D43" s="591" t="s">
        <v>2452</v>
      </c>
      <c r="E43" s="737" t="s">
        <v>3525</v>
      </c>
      <c r="F43" s="2623" t="e">
        <f t="shared" si="4"/>
        <v>#N/A</v>
      </c>
      <c r="G43" s="2623"/>
      <c r="H43" s="930" t="e">
        <f t="shared" si="5"/>
        <v>#N/A</v>
      </c>
    </row>
    <row r="44" spans="3:8" s="61" customFormat="1" ht="21" customHeight="1">
      <c r="C44" s="589">
        <f t="shared" si="3"/>
        <v>27</v>
      </c>
      <c r="D44" s="591" t="s">
        <v>2452</v>
      </c>
      <c r="E44" s="737" t="s">
        <v>3536</v>
      </c>
      <c r="F44" s="2623" t="e">
        <f t="shared" si="4"/>
        <v>#N/A</v>
      </c>
      <c r="G44" s="2623"/>
      <c r="H44" s="930" t="e">
        <f t="shared" si="5"/>
        <v>#N/A</v>
      </c>
    </row>
    <row r="45" spans="3:8" s="61" customFormat="1" ht="21" customHeight="1">
      <c r="C45" s="589">
        <f t="shared" si="3"/>
        <v>28</v>
      </c>
      <c r="D45" s="591" t="s">
        <v>2452</v>
      </c>
      <c r="E45" s="737" t="s">
        <v>3537</v>
      </c>
      <c r="F45" s="2623" t="e">
        <f t="shared" si="4"/>
        <v>#N/A</v>
      </c>
      <c r="G45" s="2623"/>
      <c r="H45" s="930" t="e">
        <f t="shared" si="5"/>
        <v>#N/A</v>
      </c>
    </row>
    <row r="46" spans="3:8" s="61" customFormat="1" ht="21" customHeight="1">
      <c r="C46" s="589">
        <f t="shared" si="3"/>
        <v>29</v>
      </c>
      <c r="D46" s="591" t="s">
        <v>2452</v>
      </c>
      <c r="E46" s="737" t="s">
        <v>3391</v>
      </c>
      <c r="F46" s="2623" t="e">
        <f t="shared" si="4"/>
        <v>#N/A</v>
      </c>
      <c r="G46" s="2623"/>
      <c r="H46" s="930" t="e">
        <f t="shared" si="5"/>
        <v>#N/A</v>
      </c>
    </row>
    <row r="47" spans="3:8" s="61" customFormat="1" ht="21" customHeight="1">
      <c r="C47" s="589">
        <f t="shared" si="3"/>
        <v>30</v>
      </c>
      <c r="D47" s="591" t="s">
        <v>2452</v>
      </c>
      <c r="E47" s="737" t="s">
        <v>3538</v>
      </c>
      <c r="F47" s="2623" t="e">
        <f t="shared" si="4"/>
        <v>#N/A</v>
      </c>
      <c r="G47" s="2623"/>
      <c r="H47" s="930" t="e">
        <f t="shared" si="5"/>
        <v>#N/A</v>
      </c>
    </row>
    <row r="48" spans="3:8" s="61" customFormat="1" ht="21" customHeight="1">
      <c r="C48" s="589">
        <f t="shared" si="3"/>
        <v>31</v>
      </c>
      <c r="D48" s="591" t="s">
        <v>2452</v>
      </c>
      <c r="E48" s="737" t="s">
        <v>3754</v>
      </c>
      <c r="F48" s="2623" t="e">
        <f t="shared" si="4"/>
        <v>#N/A</v>
      </c>
      <c r="G48" s="2623"/>
      <c r="H48" s="930" t="e">
        <f t="shared" si="5"/>
        <v>#N/A</v>
      </c>
    </row>
    <row r="49" spans="3:8" s="61" customFormat="1" ht="21" customHeight="1">
      <c r="C49" s="589">
        <f t="shared" si="3"/>
        <v>32</v>
      </c>
      <c r="D49" s="591" t="s">
        <v>2452</v>
      </c>
      <c r="E49" s="737" t="s">
        <v>3539</v>
      </c>
      <c r="F49" s="2623" t="e">
        <f t="shared" si="4"/>
        <v>#N/A</v>
      </c>
      <c r="G49" s="2623"/>
      <c r="H49" s="930" t="e">
        <f t="shared" si="5"/>
        <v>#N/A</v>
      </c>
    </row>
    <row r="50" spans="3:8" s="61" customFormat="1" ht="21" customHeight="1">
      <c r="C50" s="589">
        <f t="shared" si="3"/>
        <v>33</v>
      </c>
      <c r="D50" s="591" t="s">
        <v>2452</v>
      </c>
      <c r="E50" s="737" t="s">
        <v>3545</v>
      </c>
      <c r="F50" s="2623" t="e">
        <f t="shared" si="4"/>
        <v>#N/A</v>
      </c>
      <c r="G50" s="2623"/>
      <c r="H50" s="930" t="e">
        <f t="shared" si="5"/>
        <v>#N/A</v>
      </c>
    </row>
    <row r="51" spans="3:8" s="61" customFormat="1" ht="21" customHeight="1">
      <c r="C51" s="589">
        <f t="shared" si="3"/>
        <v>34</v>
      </c>
      <c r="D51" s="591" t="s">
        <v>2452</v>
      </c>
      <c r="E51" s="737" t="s">
        <v>3553</v>
      </c>
      <c r="F51" s="2623" t="e">
        <f t="shared" si="4"/>
        <v>#N/A</v>
      </c>
      <c r="G51" s="2623"/>
      <c r="H51" s="930" t="e">
        <f t="shared" si="5"/>
        <v>#N/A</v>
      </c>
    </row>
    <row r="52" spans="3:8" s="61" customFormat="1" ht="21" customHeight="1">
      <c r="C52" s="589">
        <f t="shared" si="3"/>
        <v>35</v>
      </c>
      <c r="D52" s="591" t="s">
        <v>2452</v>
      </c>
      <c r="E52" s="737" t="s">
        <v>3552</v>
      </c>
      <c r="F52" s="2623" t="e">
        <f t="shared" si="4"/>
        <v>#N/A</v>
      </c>
      <c r="G52" s="2623"/>
      <c r="H52" s="930" t="e">
        <f t="shared" si="5"/>
        <v>#N/A</v>
      </c>
    </row>
    <row r="53" spans="3:8" s="61" customFormat="1" ht="21" customHeight="1">
      <c r="C53" s="589">
        <f t="shared" si="3"/>
        <v>36</v>
      </c>
      <c r="D53" s="591" t="s">
        <v>2452</v>
      </c>
      <c r="E53" s="737" t="s">
        <v>3551</v>
      </c>
      <c r="F53" s="2623" t="e">
        <f t="shared" si="4"/>
        <v>#N/A</v>
      </c>
      <c r="G53" s="2623"/>
      <c r="H53" s="930" t="e">
        <f t="shared" si="5"/>
        <v>#N/A</v>
      </c>
    </row>
    <row r="54" spans="3:8" s="61" customFormat="1" ht="21" customHeight="1">
      <c r="C54" s="589">
        <f t="shared" si="3"/>
        <v>37</v>
      </c>
      <c r="D54" s="591" t="s">
        <v>2452</v>
      </c>
      <c r="E54" s="737" t="s">
        <v>3550</v>
      </c>
      <c r="F54" s="2623" t="e">
        <f t="shared" si="4"/>
        <v>#N/A</v>
      </c>
      <c r="G54" s="2623"/>
      <c r="H54" s="930" t="e">
        <f t="shared" si="5"/>
        <v>#N/A</v>
      </c>
    </row>
    <row r="55" spans="3:8" s="61" customFormat="1" ht="21" customHeight="1">
      <c r="C55" s="589">
        <f t="shared" si="3"/>
        <v>38</v>
      </c>
      <c r="D55" s="591" t="s">
        <v>2452</v>
      </c>
      <c r="E55" s="737" t="s">
        <v>3549</v>
      </c>
      <c r="F55" s="2623" t="e">
        <f t="shared" si="4"/>
        <v>#N/A</v>
      </c>
      <c r="G55" s="2623"/>
      <c r="H55" s="930" t="e">
        <f t="shared" si="5"/>
        <v>#N/A</v>
      </c>
    </row>
    <row r="56" spans="3:8" s="61" customFormat="1" ht="21" customHeight="1">
      <c r="C56" s="589">
        <f t="shared" si="3"/>
        <v>39</v>
      </c>
      <c r="D56" s="591" t="s">
        <v>2452</v>
      </c>
      <c r="E56" s="737" t="s">
        <v>3548</v>
      </c>
      <c r="F56" s="2623" t="e">
        <f t="shared" si="4"/>
        <v>#N/A</v>
      </c>
      <c r="G56" s="2623"/>
      <c r="H56" s="930" t="e">
        <f t="shared" si="5"/>
        <v>#N/A</v>
      </c>
    </row>
    <row r="57" spans="3:8" s="61" customFormat="1" ht="21" customHeight="1">
      <c r="C57" s="589">
        <f t="shared" si="3"/>
        <v>40</v>
      </c>
      <c r="D57" s="591" t="s">
        <v>2452</v>
      </c>
      <c r="E57" s="737" t="s">
        <v>3547</v>
      </c>
      <c r="F57" s="2623" t="e">
        <f t="shared" si="4"/>
        <v>#N/A</v>
      </c>
      <c r="G57" s="2623"/>
      <c r="H57" s="930" t="e">
        <f t="shared" si="5"/>
        <v>#N/A</v>
      </c>
    </row>
    <row r="58" spans="3:8" s="61" customFormat="1" ht="21" customHeight="1">
      <c r="C58" s="589">
        <f t="shared" si="3"/>
        <v>41</v>
      </c>
      <c r="D58" s="591" t="s">
        <v>2452</v>
      </c>
      <c r="E58" s="737" t="s">
        <v>3546</v>
      </c>
      <c r="F58" s="2623" t="e">
        <f t="shared" si="4"/>
        <v>#N/A</v>
      </c>
      <c r="G58" s="2623"/>
      <c r="H58" s="930" t="e">
        <f t="shared" si="5"/>
        <v>#N/A</v>
      </c>
    </row>
    <row r="59" spans="3:8" s="61" customFormat="1" ht="21" customHeight="1">
      <c r="C59" s="589">
        <f t="shared" si="3"/>
        <v>42</v>
      </c>
      <c r="D59" s="591" t="s">
        <v>2452</v>
      </c>
      <c r="E59" s="737" t="s">
        <v>3392</v>
      </c>
      <c r="F59" s="2623" t="e">
        <f t="shared" si="4"/>
        <v>#N/A</v>
      </c>
      <c r="G59" s="2623"/>
      <c r="H59" s="930" t="e">
        <f t="shared" si="5"/>
        <v>#N/A</v>
      </c>
    </row>
    <row r="60" spans="3:8" s="61" customFormat="1" ht="21" customHeight="1">
      <c r="C60" s="589">
        <f t="shared" si="3"/>
        <v>43</v>
      </c>
      <c r="D60" s="591" t="s">
        <v>2452</v>
      </c>
      <c r="E60" s="737" t="s">
        <v>3555</v>
      </c>
      <c r="F60" s="2623" t="e">
        <f t="shared" si="4"/>
        <v>#N/A</v>
      </c>
      <c r="G60" s="2623"/>
      <c r="H60" s="930" t="e">
        <f t="shared" si="5"/>
        <v>#N/A</v>
      </c>
    </row>
    <row r="61" spans="3:8" s="61" customFormat="1" ht="21" customHeight="1">
      <c r="C61" s="589">
        <f t="shared" si="3"/>
        <v>44</v>
      </c>
      <c r="D61" s="591" t="s">
        <v>2452</v>
      </c>
      <c r="E61" s="737" t="s">
        <v>3579</v>
      </c>
      <c r="F61" s="2623" t="e">
        <f t="shared" ref="F61:F81" si="6">VLOOKUP(E61,TABLEROS,7,FALSE)</f>
        <v>#N/A</v>
      </c>
      <c r="G61" s="2623"/>
      <c r="H61" s="930" t="e">
        <f t="shared" ref="H61:H81" si="7">+F61*D61</f>
        <v>#N/A</v>
      </c>
    </row>
    <row r="62" spans="3:8" s="61" customFormat="1" ht="21" customHeight="1">
      <c r="C62" s="589">
        <f t="shared" si="3"/>
        <v>45</v>
      </c>
      <c r="D62" s="591" t="s">
        <v>2452</v>
      </c>
      <c r="E62" s="737" t="s">
        <v>3580</v>
      </c>
      <c r="F62" s="2623" t="e">
        <f t="shared" si="6"/>
        <v>#N/A</v>
      </c>
      <c r="G62" s="2623"/>
      <c r="H62" s="930" t="e">
        <f t="shared" si="7"/>
        <v>#N/A</v>
      </c>
    </row>
    <row r="63" spans="3:8" s="61" customFormat="1" ht="21" customHeight="1">
      <c r="C63" s="589">
        <f t="shared" si="3"/>
        <v>46</v>
      </c>
      <c r="D63" s="591" t="s">
        <v>2452</v>
      </c>
      <c r="E63" s="737" t="s">
        <v>3581</v>
      </c>
      <c r="F63" s="2623" t="e">
        <f t="shared" si="6"/>
        <v>#N/A</v>
      </c>
      <c r="G63" s="2623"/>
      <c r="H63" s="930" t="e">
        <f t="shared" si="7"/>
        <v>#N/A</v>
      </c>
    </row>
    <row r="64" spans="3:8" s="61" customFormat="1" ht="21" customHeight="1">
      <c r="C64" s="589">
        <f t="shared" si="3"/>
        <v>47</v>
      </c>
      <c r="D64" s="591" t="s">
        <v>2452</v>
      </c>
      <c r="E64" s="737" t="s">
        <v>3582</v>
      </c>
      <c r="F64" s="2623" t="e">
        <f t="shared" si="6"/>
        <v>#N/A</v>
      </c>
      <c r="G64" s="2623"/>
      <c r="H64" s="930" t="e">
        <f t="shared" si="7"/>
        <v>#N/A</v>
      </c>
    </row>
    <row r="65" spans="3:8" s="61" customFormat="1" ht="21" customHeight="1">
      <c r="C65" s="589">
        <f t="shared" si="3"/>
        <v>48</v>
      </c>
      <c r="D65" s="591" t="s">
        <v>2452</v>
      </c>
      <c r="E65" s="737" t="s">
        <v>3591</v>
      </c>
      <c r="F65" s="2623" t="e">
        <f t="shared" si="6"/>
        <v>#N/A</v>
      </c>
      <c r="G65" s="2623"/>
      <c r="H65" s="930" t="e">
        <f t="shared" si="7"/>
        <v>#N/A</v>
      </c>
    </row>
    <row r="66" spans="3:8" s="61" customFormat="1" ht="21" customHeight="1">
      <c r="C66" s="589">
        <f t="shared" si="3"/>
        <v>49</v>
      </c>
      <c r="D66" s="591" t="s">
        <v>2452</v>
      </c>
      <c r="E66" s="737" t="s">
        <v>3592</v>
      </c>
      <c r="F66" s="2623" t="e">
        <f t="shared" si="6"/>
        <v>#N/A</v>
      </c>
      <c r="G66" s="2623"/>
      <c r="H66" s="930" t="e">
        <f t="shared" si="7"/>
        <v>#N/A</v>
      </c>
    </row>
    <row r="67" spans="3:8" s="61" customFormat="1" ht="21" customHeight="1">
      <c r="C67" s="589">
        <f t="shared" si="3"/>
        <v>50</v>
      </c>
      <c r="D67" s="591" t="s">
        <v>2452</v>
      </c>
      <c r="E67" s="737" t="s">
        <v>3593</v>
      </c>
      <c r="F67" s="2623" t="e">
        <f t="shared" si="6"/>
        <v>#N/A</v>
      </c>
      <c r="G67" s="2623"/>
      <c r="H67" s="930" t="e">
        <f t="shared" si="7"/>
        <v>#N/A</v>
      </c>
    </row>
    <row r="68" spans="3:8" s="61" customFormat="1" ht="21" customHeight="1">
      <c r="C68" s="589">
        <f t="shared" si="3"/>
        <v>51</v>
      </c>
      <c r="D68" s="591" t="s">
        <v>2452</v>
      </c>
      <c r="E68" s="737" t="s">
        <v>3594</v>
      </c>
      <c r="F68" s="2623" t="e">
        <f t="shared" si="6"/>
        <v>#N/A</v>
      </c>
      <c r="G68" s="2623"/>
      <c r="H68" s="930" t="e">
        <f t="shared" si="7"/>
        <v>#N/A</v>
      </c>
    </row>
    <row r="69" spans="3:8" s="61" customFormat="1" ht="21" customHeight="1">
      <c r="C69" s="589">
        <f t="shared" si="3"/>
        <v>52</v>
      </c>
      <c r="D69" s="591" t="s">
        <v>2452</v>
      </c>
      <c r="E69" s="737" t="s">
        <v>3595</v>
      </c>
      <c r="F69" s="2623" t="e">
        <f t="shared" si="6"/>
        <v>#N/A</v>
      </c>
      <c r="G69" s="2623"/>
      <c r="H69" s="930" t="e">
        <f t="shared" si="7"/>
        <v>#N/A</v>
      </c>
    </row>
    <row r="70" spans="3:8" s="61" customFormat="1" ht="21" customHeight="1">
      <c r="C70" s="589">
        <f t="shared" si="3"/>
        <v>53</v>
      </c>
      <c r="D70" s="591" t="s">
        <v>2452</v>
      </c>
      <c r="E70" s="737" t="s">
        <v>3596</v>
      </c>
      <c r="F70" s="2623" t="e">
        <f t="shared" si="6"/>
        <v>#N/A</v>
      </c>
      <c r="G70" s="2623"/>
      <c r="H70" s="930" t="e">
        <f t="shared" si="7"/>
        <v>#N/A</v>
      </c>
    </row>
    <row r="71" spans="3:8" s="61" customFormat="1" ht="21" customHeight="1">
      <c r="C71" s="589">
        <f t="shared" si="3"/>
        <v>54</v>
      </c>
      <c r="D71" s="591" t="s">
        <v>2452</v>
      </c>
      <c r="E71" s="737" t="s">
        <v>3597</v>
      </c>
      <c r="F71" s="2623" t="e">
        <f t="shared" si="6"/>
        <v>#N/A</v>
      </c>
      <c r="G71" s="2623"/>
      <c r="H71" s="930" t="e">
        <f t="shared" si="7"/>
        <v>#N/A</v>
      </c>
    </row>
    <row r="72" spans="3:8" s="61" customFormat="1" ht="21" customHeight="1">
      <c r="C72" s="589">
        <f t="shared" si="3"/>
        <v>55</v>
      </c>
      <c r="D72" s="591" t="s">
        <v>2452</v>
      </c>
      <c r="E72" s="737" t="s">
        <v>3559</v>
      </c>
      <c r="F72" s="2623" t="e">
        <f t="shared" si="6"/>
        <v>#N/A</v>
      </c>
      <c r="G72" s="2623"/>
      <c r="H72" s="930" t="e">
        <f t="shared" si="7"/>
        <v>#N/A</v>
      </c>
    </row>
    <row r="73" spans="3:8" s="61" customFormat="1" ht="21" customHeight="1">
      <c r="C73" s="589">
        <f t="shared" si="3"/>
        <v>56</v>
      </c>
      <c r="D73" s="591" t="s">
        <v>2452</v>
      </c>
      <c r="E73" s="737" t="s">
        <v>3558</v>
      </c>
      <c r="F73" s="2623" t="e">
        <f t="shared" si="6"/>
        <v>#N/A</v>
      </c>
      <c r="G73" s="2623"/>
      <c r="H73" s="930" t="e">
        <f t="shared" si="7"/>
        <v>#N/A</v>
      </c>
    </row>
    <row r="74" spans="3:8" s="61" customFormat="1" ht="21" customHeight="1">
      <c r="C74" s="589">
        <f t="shared" si="3"/>
        <v>57</v>
      </c>
      <c r="D74" s="591" t="s">
        <v>2452</v>
      </c>
      <c r="E74" s="737" t="s">
        <v>3557</v>
      </c>
      <c r="F74" s="2623" t="e">
        <f t="shared" si="6"/>
        <v>#N/A</v>
      </c>
      <c r="G74" s="2623"/>
      <c r="H74" s="930" t="e">
        <f t="shared" si="7"/>
        <v>#N/A</v>
      </c>
    </row>
    <row r="75" spans="3:8" s="61" customFormat="1" ht="21" customHeight="1">
      <c r="C75" s="589">
        <f t="shared" si="3"/>
        <v>58</v>
      </c>
      <c r="D75" s="591" t="s">
        <v>2452</v>
      </c>
      <c r="E75" s="737" t="s">
        <v>3556</v>
      </c>
      <c r="F75" s="2623" t="e">
        <f t="shared" si="6"/>
        <v>#N/A</v>
      </c>
      <c r="G75" s="2623"/>
      <c r="H75" s="930" t="e">
        <f t="shared" si="7"/>
        <v>#N/A</v>
      </c>
    </row>
    <row r="76" spans="3:8" s="61" customFormat="1" ht="21" customHeight="1">
      <c r="C76" s="589">
        <f t="shared" si="3"/>
        <v>59</v>
      </c>
      <c r="D76" s="591" t="s">
        <v>2452</v>
      </c>
      <c r="E76" s="737" t="s">
        <v>3560</v>
      </c>
      <c r="F76" s="2623" t="e">
        <f t="shared" si="6"/>
        <v>#N/A</v>
      </c>
      <c r="G76" s="2623"/>
      <c r="H76" s="930" t="e">
        <f t="shared" si="7"/>
        <v>#N/A</v>
      </c>
    </row>
    <row r="77" spans="3:8" s="61" customFormat="1" ht="21" customHeight="1">
      <c r="C77" s="589">
        <f t="shared" si="3"/>
        <v>60</v>
      </c>
      <c r="D77" s="591" t="s">
        <v>2452</v>
      </c>
      <c r="E77" s="737" t="s">
        <v>3561</v>
      </c>
      <c r="F77" s="2623" t="e">
        <f t="shared" si="6"/>
        <v>#N/A</v>
      </c>
      <c r="G77" s="2623"/>
      <c r="H77" s="930" t="e">
        <f t="shared" si="7"/>
        <v>#N/A</v>
      </c>
    </row>
    <row r="78" spans="3:8" s="61" customFormat="1" ht="21" customHeight="1">
      <c r="C78" s="589">
        <f t="shared" si="3"/>
        <v>61</v>
      </c>
      <c r="D78" s="591" t="s">
        <v>2452</v>
      </c>
      <c r="E78" s="737" t="s">
        <v>3562</v>
      </c>
      <c r="F78" s="2623" t="e">
        <f t="shared" si="6"/>
        <v>#N/A</v>
      </c>
      <c r="G78" s="2623"/>
      <c r="H78" s="930" t="e">
        <f t="shared" si="7"/>
        <v>#N/A</v>
      </c>
    </row>
    <row r="79" spans="3:8" s="61" customFormat="1" ht="21" customHeight="1">
      <c r="C79" s="589">
        <f t="shared" si="3"/>
        <v>62</v>
      </c>
      <c r="D79" s="591" t="s">
        <v>2452</v>
      </c>
      <c r="E79" s="737" t="s">
        <v>3563</v>
      </c>
      <c r="F79" s="2623" t="e">
        <f t="shared" si="6"/>
        <v>#N/A</v>
      </c>
      <c r="G79" s="2623"/>
      <c r="H79" s="930" t="e">
        <f t="shared" si="7"/>
        <v>#N/A</v>
      </c>
    </row>
    <row r="80" spans="3:8" s="61" customFormat="1" ht="21" customHeight="1">
      <c r="C80" s="589">
        <f t="shared" si="3"/>
        <v>63</v>
      </c>
      <c r="D80" s="591" t="s">
        <v>2452</v>
      </c>
      <c r="E80" s="737" t="s">
        <v>3564</v>
      </c>
      <c r="F80" s="2623" t="e">
        <f t="shared" si="6"/>
        <v>#N/A</v>
      </c>
      <c r="G80" s="2623"/>
      <c r="H80" s="930" t="e">
        <f t="shared" si="7"/>
        <v>#N/A</v>
      </c>
    </row>
    <row r="81" spans="3:8" s="61" customFormat="1" ht="21" customHeight="1">
      <c r="C81" s="589">
        <f t="shared" si="3"/>
        <v>64</v>
      </c>
      <c r="D81" s="591" t="s">
        <v>2452</v>
      </c>
      <c r="E81" s="737" t="s">
        <v>3565</v>
      </c>
      <c r="F81" s="2623" t="e">
        <f t="shared" si="6"/>
        <v>#N/A</v>
      </c>
      <c r="G81" s="2623"/>
      <c r="H81" s="930" t="e">
        <f t="shared" si="7"/>
        <v>#N/A</v>
      </c>
    </row>
    <row r="82" spans="3:8" s="61" customFormat="1" ht="21" customHeight="1">
      <c r="C82" s="589">
        <f t="shared" si="3"/>
        <v>65</v>
      </c>
      <c r="D82" s="591" t="s">
        <v>2452</v>
      </c>
      <c r="E82" s="737" t="s">
        <v>3566</v>
      </c>
      <c r="F82" s="2623" t="e">
        <f t="shared" ref="F82:F102" si="8">VLOOKUP(E82,TABLEROS,7,FALSE)</f>
        <v>#N/A</v>
      </c>
      <c r="G82" s="2623"/>
      <c r="H82" s="930" t="e">
        <f t="shared" ref="H82:H102" si="9">+F82*D82</f>
        <v>#N/A</v>
      </c>
    </row>
    <row r="83" spans="3:8" s="61" customFormat="1" ht="21" customHeight="1">
      <c r="C83" s="589">
        <f t="shared" si="3"/>
        <v>66</v>
      </c>
      <c r="D83" s="591" t="s">
        <v>2452</v>
      </c>
      <c r="E83" s="737" t="s">
        <v>3567</v>
      </c>
      <c r="F83" s="2623" t="e">
        <f t="shared" si="8"/>
        <v>#N/A</v>
      </c>
      <c r="G83" s="2623"/>
      <c r="H83" s="930" t="e">
        <f t="shared" si="9"/>
        <v>#N/A</v>
      </c>
    </row>
    <row r="84" spans="3:8" s="61" customFormat="1" ht="21" customHeight="1">
      <c r="C84" s="589">
        <f t="shared" si="3"/>
        <v>67</v>
      </c>
      <c r="D84" s="591" t="s">
        <v>2452</v>
      </c>
      <c r="E84" s="737" t="s">
        <v>3568</v>
      </c>
      <c r="F84" s="2623" t="e">
        <f t="shared" si="8"/>
        <v>#N/A</v>
      </c>
      <c r="G84" s="2623"/>
      <c r="H84" s="930" t="e">
        <f t="shared" si="9"/>
        <v>#N/A</v>
      </c>
    </row>
    <row r="85" spans="3:8" s="61" customFormat="1" ht="21" customHeight="1">
      <c r="C85" s="589">
        <f t="shared" si="3"/>
        <v>68</v>
      </c>
      <c r="D85" s="591" t="s">
        <v>2452</v>
      </c>
      <c r="E85" s="737" t="s">
        <v>3569</v>
      </c>
      <c r="F85" s="2623" t="e">
        <f t="shared" si="8"/>
        <v>#N/A</v>
      </c>
      <c r="G85" s="2623"/>
      <c r="H85" s="930" t="e">
        <f t="shared" si="9"/>
        <v>#N/A</v>
      </c>
    </row>
    <row r="86" spans="3:8" s="61" customFormat="1" ht="21" customHeight="1">
      <c r="C86" s="589">
        <f t="shared" si="3"/>
        <v>69</v>
      </c>
      <c r="D86" s="591" t="s">
        <v>2452</v>
      </c>
      <c r="E86" s="737" t="s">
        <v>3570</v>
      </c>
      <c r="F86" s="2623" t="e">
        <f t="shared" si="8"/>
        <v>#N/A</v>
      </c>
      <c r="G86" s="2623"/>
      <c r="H86" s="930" t="e">
        <f t="shared" si="9"/>
        <v>#N/A</v>
      </c>
    </row>
    <row r="87" spans="3:8" s="61" customFormat="1" ht="21" customHeight="1">
      <c r="C87" s="589">
        <f t="shared" si="3"/>
        <v>70</v>
      </c>
      <c r="D87" s="591" t="s">
        <v>2452</v>
      </c>
      <c r="E87" s="737" t="s">
        <v>3571</v>
      </c>
      <c r="F87" s="2623" t="e">
        <f t="shared" si="8"/>
        <v>#N/A</v>
      </c>
      <c r="G87" s="2623"/>
      <c r="H87" s="930" t="e">
        <f t="shared" si="9"/>
        <v>#N/A</v>
      </c>
    </row>
    <row r="88" spans="3:8" s="61" customFormat="1" ht="21" customHeight="1">
      <c r="C88" s="589">
        <f t="shared" si="3"/>
        <v>71</v>
      </c>
      <c r="D88" s="591" t="s">
        <v>2452</v>
      </c>
      <c r="E88" s="737" t="s">
        <v>3572</v>
      </c>
      <c r="F88" s="2623" t="e">
        <f t="shared" si="8"/>
        <v>#N/A</v>
      </c>
      <c r="G88" s="2623"/>
      <c r="H88" s="930" t="e">
        <f t="shared" si="9"/>
        <v>#N/A</v>
      </c>
    </row>
    <row r="89" spans="3:8" s="61" customFormat="1" ht="21" customHeight="1">
      <c r="C89" s="589">
        <f t="shared" si="3"/>
        <v>72</v>
      </c>
      <c r="D89" s="591" t="s">
        <v>2452</v>
      </c>
      <c r="E89" s="737" t="s">
        <v>3573</v>
      </c>
      <c r="F89" s="2623" t="e">
        <f t="shared" si="8"/>
        <v>#N/A</v>
      </c>
      <c r="G89" s="2623"/>
      <c r="H89" s="930" t="e">
        <f t="shared" si="9"/>
        <v>#N/A</v>
      </c>
    </row>
    <row r="90" spans="3:8" s="61" customFormat="1" ht="21" customHeight="1">
      <c r="C90" s="589">
        <f t="shared" si="3"/>
        <v>73</v>
      </c>
      <c r="D90" s="591" t="s">
        <v>2452</v>
      </c>
      <c r="E90" s="737" t="s">
        <v>3574</v>
      </c>
      <c r="F90" s="2623" t="e">
        <f t="shared" si="8"/>
        <v>#N/A</v>
      </c>
      <c r="G90" s="2623"/>
      <c r="H90" s="930" t="e">
        <f t="shared" si="9"/>
        <v>#N/A</v>
      </c>
    </row>
    <row r="91" spans="3:8" s="61" customFormat="1" ht="21" customHeight="1">
      <c r="C91" s="589">
        <f t="shared" si="3"/>
        <v>74</v>
      </c>
      <c r="D91" s="591" t="s">
        <v>2452</v>
      </c>
      <c r="E91" s="737" t="s">
        <v>3575</v>
      </c>
      <c r="F91" s="2623" t="e">
        <f t="shared" si="8"/>
        <v>#N/A</v>
      </c>
      <c r="G91" s="2623"/>
      <c r="H91" s="930" t="e">
        <f t="shared" si="9"/>
        <v>#N/A</v>
      </c>
    </row>
    <row r="92" spans="3:8" s="61" customFormat="1" ht="21" customHeight="1">
      <c r="C92" s="589">
        <f t="shared" si="3"/>
        <v>75</v>
      </c>
      <c r="D92" s="591" t="s">
        <v>2452</v>
      </c>
      <c r="E92" s="737" t="s">
        <v>3578</v>
      </c>
      <c r="F92" s="2623" t="e">
        <f t="shared" si="8"/>
        <v>#N/A</v>
      </c>
      <c r="G92" s="2623"/>
      <c r="H92" s="930" t="e">
        <f t="shared" si="9"/>
        <v>#N/A</v>
      </c>
    </row>
    <row r="93" spans="3:8" s="61" customFormat="1" ht="21" customHeight="1">
      <c r="C93" s="589">
        <f t="shared" si="3"/>
        <v>76</v>
      </c>
      <c r="D93" s="591" t="s">
        <v>2452</v>
      </c>
      <c r="E93" s="737" t="s">
        <v>3577</v>
      </c>
      <c r="F93" s="2623" t="e">
        <f t="shared" si="8"/>
        <v>#N/A</v>
      </c>
      <c r="G93" s="2623"/>
      <c r="H93" s="930" t="e">
        <f t="shared" si="9"/>
        <v>#N/A</v>
      </c>
    </row>
    <row r="94" spans="3:8" s="61" customFormat="1" ht="21" customHeight="1">
      <c r="C94" s="589">
        <f t="shared" si="3"/>
        <v>77</v>
      </c>
      <c r="D94" s="591" t="s">
        <v>2452</v>
      </c>
      <c r="E94" s="737" t="s">
        <v>3576</v>
      </c>
      <c r="F94" s="2623" t="e">
        <f t="shared" si="8"/>
        <v>#N/A</v>
      </c>
      <c r="G94" s="2623"/>
      <c r="H94" s="930" t="e">
        <f t="shared" si="9"/>
        <v>#N/A</v>
      </c>
    </row>
    <row r="95" spans="3:8" s="61" customFormat="1" ht="21" customHeight="1">
      <c r="C95" s="589">
        <f t="shared" si="3"/>
        <v>78</v>
      </c>
      <c r="D95" s="591" t="s">
        <v>2452</v>
      </c>
      <c r="E95" s="737" t="s">
        <v>3598</v>
      </c>
      <c r="F95" s="2623" t="e">
        <f t="shared" si="8"/>
        <v>#N/A</v>
      </c>
      <c r="G95" s="2623"/>
      <c r="H95" s="930" t="e">
        <f t="shared" si="9"/>
        <v>#N/A</v>
      </c>
    </row>
    <row r="96" spans="3:8" s="61" customFormat="1" ht="21" customHeight="1">
      <c r="C96" s="589">
        <f t="shared" si="3"/>
        <v>79</v>
      </c>
      <c r="D96" s="591" t="s">
        <v>2452</v>
      </c>
      <c r="E96" s="737" t="s">
        <v>3599</v>
      </c>
      <c r="F96" s="2623" t="e">
        <f t="shared" si="8"/>
        <v>#N/A</v>
      </c>
      <c r="G96" s="2623"/>
      <c r="H96" s="930" t="e">
        <f t="shared" si="9"/>
        <v>#N/A</v>
      </c>
    </row>
    <row r="97" spans="3:8" s="61" customFormat="1" ht="21" customHeight="1">
      <c r="C97" s="589">
        <f t="shared" si="3"/>
        <v>80</v>
      </c>
      <c r="D97" s="591" t="s">
        <v>2452</v>
      </c>
      <c r="E97" s="737" t="s">
        <v>3600</v>
      </c>
      <c r="F97" s="2623" t="e">
        <f t="shared" si="8"/>
        <v>#N/A</v>
      </c>
      <c r="G97" s="2623"/>
      <c r="H97" s="930" t="e">
        <f t="shared" si="9"/>
        <v>#N/A</v>
      </c>
    </row>
    <row r="98" spans="3:8" s="61" customFormat="1" ht="21" customHeight="1">
      <c r="C98" s="589">
        <f t="shared" si="3"/>
        <v>81</v>
      </c>
      <c r="D98" s="591" t="s">
        <v>2452</v>
      </c>
      <c r="E98" s="737" t="s">
        <v>3601</v>
      </c>
      <c r="F98" s="2623" t="e">
        <f t="shared" si="8"/>
        <v>#N/A</v>
      </c>
      <c r="G98" s="2623"/>
      <c r="H98" s="930" t="e">
        <f t="shared" si="9"/>
        <v>#N/A</v>
      </c>
    </row>
    <row r="99" spans="3:8" s="61" customFormat="1" ht="21" customHeight="1">
      <c r="C99" s="589">
        <f t="shared" si="3"/>
        <v>82</v>
      </c>
      <c r="D99" s="591" t="s">
        <v>2452</v>
      </c>
      <c r="E99" s="737" t="s">
        <v>3602</v>
      </c>
      <c r="F99" s="2623" t="e">
        <f t="shared" si="8"/>
        <v>#N/A</v>
      </c>
      <c r="G99" s="2623"/>
      <c r="H99" s="930" t="e">
        <f t="shared" si="9"/>
        <v>#N/A</v>
      </c>
    </row>
    <row r="100" spans="3:8" s="61" customFormat="1" ht="21" customHeight="1">
      <c r="C100" s="589">
        <f t="shared" ref="C100:C163" si="10">C99+1</f>
        <v>83</v>
      </c>
      <c r="D100" s="591" t="s">
        <v>2452</v>
      </c>
      <c r="E100" s="737" t="s">
        <v>3603</v>
      </c>
      <c r="F100" s="2623" t="e">
        <f t="shared" si="8"/>
        <v>#N/A</v>
      </c>
      <c r="G100" s="2623"/>
      <c r="H100" s="930" t="e">
        <f t="shared" si="9"/>
        <v>#N/A</v>
      </c>
    </row>
    <row r="101" spans="3:8" s="61" customFormat="1" ht="21" customHeight="1">
      <c r="C101" s="589">
        <f t="shared" si="10"/>
        <v>84</v>
      </c>
      <c r="D101" s="591" t="s">
        <v>2452</v>
      </c>
      <c r="E101" s="737" t="s">
        <v>3604</v>
      </c>
      <c r="F101" s="2623" t="e">
        <f t="shared" si="8"/>
        <v>#N/A</v>
      </c>
      <c r="G101" s="2623"/>
      <c r="H101" s="930" t="e">
        <f t="shared" si="9"/>
        <v>#N/A</v>
      </c>
    </row>
    <row r="102" spans="3:8" s="61" customFormat="1" ht="21" customHeight="1">
      <c r="C102" s="589">
        <f t="shared" si="10"/>
        <v>85</v>
      </c>
      <c r="D102" s="591" t="s">
        <v>2452</v>
      </c>
      <c r="E102" s="737" t="s">
        <v>3607</v>
      </c>
      <c r="F102" s="2623" t="e">
        <f t="shared" si="8"/>
        <v>#N/A</v>
      </c>
      <c r="G102" s="2623"/>
      <c r="H102" s="930" t="e">
        <f t="shared" si="9"/>
        <v>#N/A</v>
      </c>
    </row>
    <row r="103" spans="3:8" s="61" customFormat="1" ht="21" customHeight="1">
      <c r="C103" s="589">
        <f t="shared" si="10"/>
        <v>86</v>
      </c>
      <c r="D103" s="591" t="s">
        <v>2452</v>
      </c>
      <c r="E103" s="737" t="s">
        <v>3608</v>
      </c>
      <c r="F103" s="2623" t="e">
        <f t="shared" ref="F103:F123" si="11">VLOOKUP(E103,TABLEROS,7,FALSE)</f>
        <v>#N/A</v>
      </c>
      <c r="G103" s="2623"/>
      <c r="H103" s="930" t="e">
        <f t="shared" ref="H103:H123" si="12">+F103*D103</f>
        <v>#N/A</v>
      </c>
    </row>
    <row r="104" spans="3:8" s="61" customFormat="1" ht="21" customHeight="1">
      <c r="C104" s="589">
        <f t="shared" si="10"/>
        <v>87</v>
      </c>
      <c r="D104" s="591" t="s">
        <v>2452</v>
      </c>
      <c r="E104" s="737" t="s">
        <v>3609</v>
      </c>
      <c r="F104" s="2623" t="e">
        <f t="shared" si="11"/>
        <v>#N/A</v>
      </c>
      <c r="G104" s="2623"/>
      <c r="H104" s="930" t="e">
        <f t="shared" si="12"/>
        <v>#N/A</v>
      </c>
    </row>
    <row r="105" spans="3:8" s="61" customFormat="1" ht="21" customHeight="1">
      <c r="C105" s="589">
        <f t="shared" si="10"/>
        <v>88</v>
      </c>
      <c r="D105" s="591" t="s">
        <v>2452</v>
      </c>
      <c r="E105" s="737" t="s">
        <v>3615</v>
      </c>
      <c r="F105" s="2623" t="e">
        <f t="shared" si="11"/>
        <v>#N/A</v>
      </c>
      <c r="G105" s="2623"/>
      <c r="H105" s="930" t="e">
        <f t="shared" si="12"/>
        <v>#N/A</v>
      </c>
    </row>
    <row r="106" spans="3:8" s="61" customFormat="1" ht="21" customHeight="1">
      <c r="C106" s="589">
        <f t="shared" si="10"/>
        <v>89</v>
      </c>
      <c r="D106" s="591" t="s">
        <v>2452</v>
      </c>
      <c r="E106" s="737" t="s">
        <v>3616</v>
      </c>
      <c r="F106" s="2623" t="e">
        <f t="shared" si="11"/>
        <v>#N/A</v>
      </c>
      <c r="G106" s="2623"/>
      <c r="H106" s="930" t="e">
        <f t="shared" si="12"/>
        <v>#N/A</v>
      </c>
    </row>
    <row r="107" spans="3:8" s="61" customFormat="1" ht="21" customHeight="1">
      <c r="C107" s="589">
        <f t="shared" si="10"/>
        <v>90</v>
      </c>
      <c r="D107" s="591" t="s">
        <v>2452</v>
      </c>
      <c r="E107" s="737" t="s">
        <v>3617</v>
      </c>
      <c r="F107" s="2623" t="e">
        <f t="shared" si="11"/>
        <v>#N/A</v>
      </c>
      <c r="G107" s="2623"/>
      <c r="H107" s="930" t="e">
        <f t="shared" si="12"/>
        <v>#N/A</v>
      </c>
    </row>
    <row r="108" spans="3:8" s="61" customFormat="1" ht="21" customHeight="1">
      <c r="C108" s="589">
        <f t="shared" si="10"/>
        <v>91</v>
      </c>
      <c r="D108" s="591" t="s">
        <v>2452</v>
      </c>
      <c r="E108" s="737" t="s">
        <v>3618</v>
      </c>
      <c r="F108" s="2623" t="e">
        <f t="shared" si="11"/>
        <v>#N/A</v>
      </c>
      <c r="G108" s="2623"/>
      <c r="H108" s="930" t="e">
        <f t="shared" si="12"/>
        <v>#N/A</v>
      </c>
    </row>
    <row r="109" spans="3:8" s="61" customFormat="1" ht="21" customHeight="1">
      <c r="C109" s="589">
        <f t="shared" si="10"/>
        <v>92</v>
      </c>
      <c r="D109" s="591" t="s">
        <v>2452</v>
      </c>
      <c r="E109" s="737" t="s">
        <v>3619</v>
      </c>
      <c r="F109" s="2623" t="e">
        <f t="shared" si="11"/>
        <v>#N/A</v>
      </c>
      <c r="G109" s="2623"/>
      <c r="H109" s="930" t="e">
        <f t="shared" si="12"/>
        <v>#N/A</v>
      </c>
    </row>
    <row r="110" spans="3:8" s="61" customFormat="1" ht="21" customHeight="1">
      <c r="C110" s="589">
        <f t="shared" si="10"/>
        <v>93</v>
      </c>
      <c r="D110" s="591" t="s">
        <v>2452</v>
      </c>
      <c r="E110" s="737" t="s">
        <v>3620</v>
      </c>
      <c r="F110" s="2623" t="e">
        <f t="shared" si="11"/>
        <v>#N/A</v>
      </c>
      <c r="G110" s="2623"/>
      <c r="H110" s="930" t="e">
        <f t="shared" si="12"/>
        <v>#N/A</v>
      </c>
    </row>
    <row r="111" spans="3:8" s="61" customFormat="1" ht="21" customHeight="1">
      <c r="C111" s="589">
        <f t="shared" si="10"/>
        <v>94</v>
      </c>
      <c r="D111" s="591" t="s">
        <v>2452</v>
      </c>
      <c r="E111" s="737" t="s">
        <v>3621</v>
      </c>
      <c r="F111" s="2623" t="e">
        <f t="shared" si="11"/>
        <v>#N/A</v>
      </c>
      <c r="G111" s="2623"/>
      <c r="H111" s="930" t="e">
        <f t="shared" si="12"/>
        <v>#N/A</v>
      </c>
    </row>
    <row r="112" spans="3:8" s="61" customFormat="1" ht="21" customHeight="1">
      <c r="C112" s="589">
        <f t="shared" si="10"/>
        <v>95</v>
      </c>
      <c r="D112" s="591" t="s">
        <v>2452</v>
      </c>
      <c r="E112" s="737" t="s">
        <v>3622</v>
      </c>
      <c r="F112" s="2623" t="e">
        <f t="shared" si="11"/>
        <v>#N/A</v>
      </c>
      <c r="G112" s="2623"/>
      <c r="H112" s="930" t="e">
        <f t="shared" si="12"/>
        <v>#N/A</v>
      </c>
    </row>
    <row r="113" spans="3:8" s="61" customFormat="1" ht="21" customHeight="1">
      <c r="C113" s="589">
        <f t="shared" si="10"/>
        <v>96</v>
      </c>
      <c r="D113" s="591" t="s">
        <v>2452</v>
      </c>
      <c r="E113" s="737" t="s">
        <v>3623</v>
      </c>
      <c r="F113" s="2623" t="e">
        <f t="shared" si="11"/>
        <v>#N/A</v>
      </c>
      <c r="G113" s="2623"/>
      <c r="H113" s="930" t="e">
        <f t="shared" si="12"/>
        <v>#N/A</v>
      </c>
    </row>
    <row r="114" spans="3:8" s="61" customFormat="1" ht="21" customHeight="1">
      <c r="C114" s="589">
        <f t="shared" si="10"/>
        <v>97</v>
      </c>
      <c r="D114" s="591" t="s">
        <v>2452</v>
      </c>
      <c r="E114" s="737" t="s">
        <v>3624</v>
      </c>
      <c r="F114" s="2623" t="e">
        <f t="shared" si="11"/>
        <v>#N/A</v>
      </c>
      <c r="G114" s="2623"/>
      <c r="H114" s="930" t="e">
        <f t="shared" si="12"/>
        <v>#N/A</v>
      </c>
    </row>
    <row r="115" spans="3:8" s="61" customFormat="1" ht="21" customHeight="1">
      <c r="C115" s="589">
        <f t="shared" si="10"/>
        <v>98</v>
      </c>
      <c r="D115" s="591" t="s">
        <v>2452</v>
      </c>
      <c r="E115" s="737" t="s">
        <v>3625</v>
      </c>
      <c r="F115" s="2623" t="e">
        <f t="shared" si="11"/>
        <v>#N/A</v>
      </c>
      <c r="G115" s="2623"/>
      <c r="H115" s="930" t="e">
        <f t="shared" si="12"/>
        <v>#N/A</v>
      </c>
    </row>
    <row r="116" spans="3:8" s="61" customFormat="1" ht="21" customHeight="1">
      <c r="C116" s="589">
        <f t="shared" si="10"/>
        <v>99</v>
      </c>
      <c r="D116" s="591" t="s">
        <v>2452</v>
      </c>
      <c r="E116" s="737" t="s">
        <v>3626</v>
      </c>
      <c r="F116" s="2623" t="e">
        <f t="shared" si="11"/>
        <v>#N/A</v>
      </c>
      <c r="G116" s="2623"/>
      <c r="H116" s="930" t="e">
        <f t="shared" si="12"/>
        <v>#N/A</v>
      </c>
    </row>
    <row r="117" spans="3:8" s="61" customFormat="1" ht="21" customHeight="1">
      <c r="C117" s="589">
        <f t="shared" si="10"/>
        <v>100</v>
      </c>
      <c r="D117" s="591" t="s">
        <v>2452</v>
      </c>
      <c r="E117" s="737" t="s">
        <v>3627</v>
      </c>
      <c r="F117" s="2623" t="e">
        <f t="shared" si="11"/>
        <v>#N/A</v>
      </c>
      <c r="G117" s="2623"/>
      <c r="H117" s="930" t="e">
        <f t="shared" si="12"/>
        <v>#N/A</v>
      </c>
    </row>
    <row r="118" spans="3:8" s="61" customFormat="1" ht="21" customHeight="1">
      <c r="C118" s="589">
        <f t="shared" si="10"/>
        <v>101</v>
      </c>
      <c r="D118" s="591" t="s">
        <v>2452</v>
      </c>
      <c r="E118" s="737" t="s">
        <v>3628</v>
      </c>
      <c r="F118" s="2623" t="e">
        <f t="shared" si="11"/>
        <v>#N/A</v>
      </c>
      <c r="G118" s="2623"/>
      <c r="H118" s="930" t="e">
        <f t="shared" si="12"/>
        <v>#N/A</v>
      </c>
    </row>
    <row r="119" spans="3:8" s="61" customFormat="1" ht="21" customHeight="1">
      <c r="C119" s="589">
        <f t="shared" si="10"/>
        <v>102</v>
      </c>
      <c r="D119" s="591" t="s">
        <v>2452</v>
      </c>
      <c r="E119" s="737" t="s">
        <v>3629</v>
      </c>
      <c r="F119" s="2623" t="e">
        <f t="shared" si="11"/>
        <v>#N/A</v>
      </c>
      <c r="G119" s="2623"/>
      <c r="H119" s="930" t="e">
        <f t="shared" si="12"/>
        <v>#N/A</v>
      </c>
    </row>
    <row r="120" spans="3:8" s="61" customFormat="1" ht="21" customHeight="1">
      <c r="C120" s="589">
        <f t="shared" si="10"/>
        <v>103</v>
      </c>
      <c r="D120" s="591" t="s">
        <v>2452</v>
      </c>
      <c r="E120" s="737" t="s">
        <v>3630</v>
      </c>
      <c r="F120" s="2623" t="e">
        <f t="shared" si="11"/>
        <v>#N/A</v>
      </c>
      <c r="G120" s="2623"/>
      <c r="H120" s="930" t="e">
        <f t="shared" si="12"/>
        <v>#N/A</v>
      </c>
    </row>
    <row r="121" spans="3:8" s="61" customFormat="1" ht="21" customHeight="1">
      <c r="C121" s="589">
        <f t="shared" si="10"/>
        <v>104</v>
      </c>
      <c r="D121" s="591" t="s">
        <v>2452</v>
      </c>
      <c r="E121" s="737" t="s">
        <v>3631</v>
      </c>
      <c r="F121" s="2623" t="e">
        <f t="shared" si="11"/>
        <v>#N/A</v>
      </c>
      <c r="G121" s="2623"/>
      <c r="H121" s="930" t="e">
        <f t="shared" si="12"/>
        <v>#N/A</v>
      </c>
    </row>
    <row r="122" spans="3:8" s="61" customFormat="1" ht="21" customHeight="1">
      <c r="C122" s="589">
        <f t="shared" si="10"/>
        <v>105</v>
      </c>
      <c r="D122" s="591" t="s">
        <v>2452</v>
      </c>
      <c r="E122" s="737" t="s">
        <v>3632</v>
      </c>
      <c r="F122" s="2623" t="e">
        <f t="shared" si="11"/>
        <v>#N/A</v>
      </c>
      <c r="G122" s="2623"/>
      <c r="H122" s="930" t="e">
        <f t="shared" si="12"/>
        <v>#N/A</v>
      </c>
    </row>
    <row r="123" spans="3:8" s="61" customFormat="1" ht="21" customHeight="1">
      <c r="C123" s="589">
        <f t="shared" si="10"/>
        <v>106</v>
      </c>
      <c r="D123" s="591" t="s">
        <v>2452</v>
      </c>
      <c r="E123" s="737" t="s">
        <v>3633</v>
      </c>
      <c r="F123" s="2623" t="e">
        <f t="shared" si="11"/>
        <v>#N/A</v>
      </c>
      <c r="G123" s="2623"/>
      <c r="H123" s="930" t="e">
        <f t="shared" si="12"/>
        <v>#N/A</v>
      </c>
    </row>
    <row r="124" spans="3:8" s="61" customFormat="1" ht="21" customHeight="1">
      <c r="C124" s="589">
        <f t="shared" si="10"/>
        <v>107</v>
      </c>
      <c r="D124" s="591" t="s">
        <v>2452</v>
      </c>
      <c r="E124" s="737" t="s">
        <v>3634</v>
      </c>
      <c r="F124" s="2623" t="e">
        <f t="shared" ref="F124:F144" si="13">VLOOKUP(E124,TABLEROS,7,FALSE)</f>
        <v>#N/A</v>
      </c>
      <c r="G124" s="2623"/>
      <c r="H124" s="930" t="e">
        <f t="shared" ref="H124:H144" si="14">+F124*D124</f>
        <v>#N/A</v>
      </c>
    </row>
    <row r="125" spans="3:8" s="61" customFormat="1" ht="21" customHeight="1">
      <c r="C125" s="589">
        <f t="shared" si="10"/>
        <v>108</v>
      </c>
      <c r="D125" s="591" t="s">
        <v>2452</v>
      </c>
      <c r="E125" s="737" t="s">
        <v>3635</v>
      </c>
      <c r="F125" s="2623" t="e">
        <f t="shared" si="13"/>
        <v>#N/A</v>
      </c>
      <c r="G125" s="2623"/>
      <c r="H125" s="930" t="e">
        <f t="shared" si="14"/>
        <v>#N/A</v>
      </c>
    </row>
    <row r="126" spans="3:8" s="61" customFormat="1" ht="21" customHeight="1">
      <c r="C126" s="589">
        <f t="shared" si="10"/>
        <v>109</v>
      </c>
      <c r="D126" s="591" t="s">
        <v>2452</v>
      </c>
      <c r="E126" s="737" t="s">
        <v>3636</v>
      </c>
      <c r="F126" s="2623" t="e">
        <f t="shared" si="13"/>
        <v>#N/A</v>
      </c>
      <c r="G126" s="2623"/>
      <c r="H126" s="930" t="e">
        <f t="shared" si="14"/>
        <v>#N/A</v>
      </c>
    </row>
    <row r="127" spans="3:8" s="61" customFormat="1" ht="21" customHeight="1">
      <c r="C127" s="589">
        <f t="shared" si="10"/>
        <v>110</v>
      </c>
      <c r="D127" s="591" t="s">
        <v>2452</v>
      </c>
      <c r="E127" s="737" t="s">
        <v>3637</v>
      </c>
      <c r="F127" s="2623" t="e">
        <f t="shared" si="13"/>
        <v>#N/A</v>
      </c>
      <c r="G127" s="2623"/>
      <c r="H127" s="930" t="e">
        <f t="shared" si="14"/>
        <v>#N/A</v>
      </c>
    </row>
    <row r="128" spans="3:8" s="61" customFormat="1" ht="21" customHeight="1">
      <c r="C128" s="589">
        <f t="shared" si="10"/>
        <v>111</v>
      </c>
      <c r="D128" s="591" t="s">
        <v>2452</v>
      </c>
      <c r="E128" s="737" t="s">
        <v>3638</v>
      </c>
      <c r="F128" s="2623" t="e">
        <f t="shared" si="13"/>
        <v>#N/A</v>
      </c>
      <c r="G128" s="2623"/>
      <c r="H128" s="930" t="e">
        <f t="shared" si="14"/>
        <v>#N/A</v>
      </c>
    </row>
    <row r="129" spans="3:8" s="61" customFormat="1" ht="21" customHeight="1">
      <c r="C129" s="589">
        <f t="shared" si="10"/>
        <v>112</v>
      </c>
      <c r="D129" s="591" t="s">
        <v>2452</v>
      </c>
      <c r="E129" s="737" t="s">
        <v>3639</v>
      </c>
      <c r="F129" s="2623" t="e">
        <f t="shared" si="13"/>
        <v>#N/A</v>
      </c>
      <c r="G129" s="2623"/>
      <c r="H129" s="930" t="e">
        <f t="shared" si="14"/>
        <v>#N/A</v>
      </c>
    </row>
    <row r="130" spans="3:8" s="61" customFormat="1" ht="21" customHeight="1">
      <c r="C130" s="589">
        <f t="shared" si="10"/>
        <v>113</v>
      </c>
      <c r="D130" s="591" t="s">
        <v>2452</v>
      </c>
      <c r="E130" s="737" t="s">
        <v>3640</v>
      </c>
      <c r="F130" s="2623" t="e">
        <f t="shared" si="13"/>
        <v>#N/A</v>
      </c>
      <c r="G130" s="2623"/>
      <c r="H130" s="930" t="e">
        <f t="shared" si="14"/>
        <v>#N/A</v>
      </c>
    </row>
    <row r="131" spans="3:8" s="61" customFormat="1" ht="21" customHeight="1">
      <c r="C131" s="589">
        <f t="shared" si="10"/>
        <v>114</v>
      </c>
      <c r="D131" s="591" t="s">
        <v>2452</v>
      </c>
      <c r="E131" s="737" t="s">
        <v>3641</v>
      </c>
      <c r="F131" s="2623" t="e">
        <f t="shared" si="13"/>
        <v>#N/A</v>
      </c>
      <c r="G131" s="2623"/>
      <c r="H131" s="930" t="e">
        <f t="shared" si="14"/>
        <v>#N/A</v>
      </c>
    </row>
    <row r="132" spans="3:8" s="61" customFormat="1" ht="21" customHeight="1">
      <c r="C132" s="589">
        <f t="shared" si="10"/>
        <v>115</v>
      </c>
      <c r="D132" s="591" t="s">
        <v>2452</v>
      </c>
      <c r="E132" s="737" t="s">
        <v>3642</v>
      </c>
      <c r="F132" s="2623" t="e">
        <f t="shared" si="13"/>
        <v>#N/A</v>
      </c>
      <c r="G132" s="2623"/>
      <c r="H132" s="930" t="e">
        <f t="shared" si="14"/>
        <v>#N/A</v>
      </c>
    </row>
    <row r="133" spans="3:8" s="61" customFormat="1" ht="21" customHeight="1">
      <c r="C133" s="589">
        <f t="shared" si="10"/>
        <v>116</v>
      </c>
      <c r="D133" s="591" t="s">
        <v>2452</v>
      </c>
      <c r="E133" s="737" t="s">
        <v>3643</v>
      </c>
      <c r="F133" s="2623" t="e">
        <f t="shared" si="13"/>
        <v>#N/A</v>
      </c>
      <c r="G133" s="2623"/>
      <c r="H133" s="930" t="e">
        <f t="shared" si="14"/>
        <v>#N/A</v>
      </c>
    </row>
    <row r="134" spans="3:8" s="61" customFormat="1" ht="21" customHeight="1">
      <c r="C134" s="589">
        <f t="shared" si="10"/>
        <v>117</v>
      </c>
      <c r="D134" s="591" t="s">
        <v>2452</v>
      </c>
      <c r="E134" s="737" t="s">
        <v>3644</v>
      </c>
      <c r="F134" s="2623" t="e">
        <f t="shared" si="13"/>
        <v>#N/A</v>
      </c>
      <c r="G134" s="2623"/>
      <c r="H134" s="930" t="e">
        <f t="shared" si="14"/>
        <v>#N/A</v>
      </c>
    </row>
    <row r="135" spans="3:8" s="61" customFormat="1" ht="21" customHeight="1">
      <c r="C135" s="589">
        <f t="shared" si="10"/>
        <v>118</v>
      </c>
      <c r="D135" s="591" t="s">
        <v>2452</v>
      </c>
      <c r="E135" s="737" t="s">
        <v>3645</v>
      </c>
      <c r="F135" s="2623" t="e">
        <f t="shared" si="13"/>
        <v>#N/A</v>
      </c>
      <c r="G135" s="2623"/>
      <c r="H135" s="930" t="e">
        <f t="shared" si="14"/>
        <v>#N/A</v>
      </c>
    </row>
    <row r="136" spans="3:8" s="61" customFormat="1" ht="21" customHeight="1">
      <c r="C136" s="589">
        <f t="shared" si="10"/>
        <v>119</v>
      </c>
      <c r="D136" s="591" t="s">
        <v>2452</v>
      </c>
      <c r="E136" s="737" t="s">
        <v>3646</v>
      </c>
      <c r="F136" s="2623" t="e">
        <f t="shared" si="13"/>
        <v>#N/A</v>
      </c>
      <c r="G136" s="2623"/>
      <c r="H136" s="930" t="e">
        <f t="shared" si="14"/>
        <v>#N/A</v>
      </c>
    </row>
    <row r="137" spans="3:8" s="61" customFormat="1" ht="21" customHeight="1">
      <c r="C137" s="589">
        <f t="shared" si="10"/>
        <v>120</v>
      </c>
      <c r="D137" s="591" t="s">
        <v>2452</v>
      </c>
      <c r="E137" s="737" t="s">
        <v>3647</v>
      </c>
      <c r="F137" s="2623" t="e">
        <f t="shared" si="13"/>
        <v>#N/A</v>
      </c>
      <c r="G137" s="2623"/>
      <c r="H137" s="930" t="e">
        <f t="shared" si="14"/>
        <v>#N/A</v>
      </c>
    </row>
    <row r="138" spans="3:8" s="61" customFormat="1" ht="21" customHeight="1">
      <c r="C138" s="589">
        <f t="shared" si="10"/>
        <v>121</v>
      </c>
      <c r="D138" s="591" t="s">
        <v>2452</v>
      </c>
      <c r="E138" s="737" t="s">
        <v>3648</v>
      </c>
      <c r="F138" s="2623" t="e">
        <f t="shared" si="13"/>
        <v>#N/A</v>
      </c>
      <c r="G138" s="2623"/>
      <c r="H138" s="930" t="e">
        <f t="shared" si="14"/>
        <v>#N/A</v>
      </c>
    </row>
    <row r="139" spans="3:8" s="61" customFormat="1" ht="21" customHeight="1">
      <c r="C139" s="589">
        <f t="shared" si="10"/>
        <v>122</v>
      </c>
      <c r="D139" s="591" t="s">
        <v>2452</v>
      </c>
      <c r="E139" s="737" t="s">
        <v>3649</v>
      </c>
      <c r="F139" s="2623" t="e">
        <f t="shared" si="13"/>
        <v>#N/A</v>
      </c>
      <c r="G139" s="2623"/>
      <c r="H139" s="930" t="e">
        <f t="shared" si="14"/>
        <v>#N/A</v>
      </c>
    </row>
    <row r="140" spans="3:8" s="61" customFormat="1" ht="21" customHeight="1">
      <c r="C140" s="589">
        <f t="shared" si="10"/>
        <v>123</v>
      </c>
      <c r="D140" s="591" t="s">
        <v>2452</v>
      </c>
      <c r="E140" s="737" t="s">
        <v>3650</v>
      </c>
      <c r="F140" s="2623" t="e">
        <f t="shared" si="13"/>
        <v>#N/A</v>
      </c>
      <c r="G140" s="2623"/>
      <c r="H140" s="930" t="e">
        <f t="shared" si="14"/>
        <v>#N/A</v>
      </c>
    </row>
    <row r="141" spans="3:8" s="61" customFormat="1" ht="21" customHeight="1">
      <c r="C141" s="589">
        <f t="shared" si="10"/>
        <v>124</v>
      </c>
      <c r="D141" s="591" t="s">
        <v>2452</v>
      </c>
      <c r="E141" s="737" t="s">
        <v>3651</v>
      </c>
      <c r="F141" s="2623" t="e">
        <f t="shared" si="13"/>
        <v>#N/A</v>
      </c>
      <c r="G141" s="2623"/>
      <c r="H141" s="930" t="e">
        <f t="shared" si="14"/>
        <v>#N/A</v>
      </c>
    </row>
    <row r="142" spans="3:8" s="61" customFormat="1" ht="21" customHeight="1">
      <c r="C142" s="589">
        <f t="shared" si="10"/>
        <v>125</v>
      </c>
      <c r="D142" s="591" t="s">
        <v>2452</v>
      </c>
      <c r="E142" s="737" t="s">
        <v>3652</v>
      </c>
      <c r="F142" s="2623" t="e">
        <f t="shared" si="13"/>
        <v>#N/A</v>
      </c>
      <c r="G142" s="2623"/>
      <c r="H142" s="930" t="e">
        <f t="shared" si="14"/>
        <v>#N/A</v>
      </c>
    </row>
    <row r="143" spans="3:8" s="61" customFormat="1" ht="21" customHeight="1">
      <c r="C143" s="589">
        <f t="shared" si="10"/>
        <v>126</v>
      </c>
      <c r="D143" s="591" t="s">
        <v>2452</v>
      </c>
      <c r="E143" s="737" t="s">
        <v>3653</v>
      </c>
      <c r="F143" s="2623" t="e">
        <f t="shared" si="13"/>
        <v>#N/A</v>
      </c>
      <c r="G143" s="2623"/>
      <c r="H143" s="930" t="e">
        <f t="shared" si="14"/>
        <v>#N/A</v>
      </c>
    </row>
    <row r="144" spans="3:8" s="61" customFormat="1" ht="21" customHeight="1">
      <c r="C144" s="589">
        <f t="shared" si="10"/>
        <v>127</v>
      </c>
      <c r="D144" s="591" t="s">
        <v>2452</v>
      </c>
      <c r="E144" s="737" t="s">
        <v>3654</v>
      </c>
      <c r="F144" s="2623" t="e">
        <f t="shared" si="13"/>
        <v>#N/A</v>
      </c>
      <c r="G144" s="2623"/>
      <c r="H144" s="930" t="e">
        <f t="shared" si="14"/>
        <v>#N/A</v>
      </c>
    </row>
    <row r="145" spans="3:8" s="61" customFormat="1" ht="21" customHeight="1">
      <c r="C145" s="589">
        <f t="shared" si="10"/>
        <v>128</v>
      </c>
      <c r="D145" s="591" t="s">
        <v>2452</v>
      </c>
      <c r="E145" s="737" t="s">
        <v>3655</v>
      </c>
      <c r="F145" s="2623" t="e">
        <f t="shared" ref="F145:F165" si="15">VLOOKUP(E145,TABLEROS,7,FALSE)</f>
        <v>#N/A</v>
      </c>
      <c r="G145" s="2623"/>
      <c r="H145" s="930" t="e">
        <f t="shared" ref="H145:H165" si="16">+F145*D145</f>
        <v>#N/A</v>
      </c>
    </row>
    <row r="146" spans="3:8" s="61" customFormat="1" ht="21" customHeight="1">
      <c r="C146" s="589">
        <f t="shared" si="10"/>
        <v>129</v>
      </c>
      <c r="D146" s="591" t="s">
        <v>2452</v>
      </c>
      <c r="E146" s="737" t="s">
        <v>3656</v>
      </c>
      <c r="F146" s="2623" t="e">
        <f t="shared" si="15"/>
        <v>#N/A</v>
      </c>
      <c r="G146" s="2623"/>
      <c r="H146" s="930" t="e">
        <f t="shared" si="16"/>
        <v>#N/A</v>
      </c>
    </row>
    <row r="147" spans="3:8" s="61" customFormat="1" ht="21" customHeight="1">
      <c r="C147" s="589">
        <f t="shared" si="10"/>
        <v>130</v>
      </c>
      <c r="D147" s="591" t="s">
        <v>2452</v>
      </c>
      <c r="E147" s="737" t="s">
        <v>3657</v>
      </c>
      <c r="F147" s="2623" t="e">
        <f t="shared" si="15"/>
        <v>#N/A</v>
      </c>
      <c r="G147" s="2623"/>
      <c r="H147" s="930" t="e">
        <f t="shared" si="16"/>
        <v>#N/A</v>
      </c>
    </row>
    <row r="148" spans="3:8" s="61" customFormat="1" ht="21" customHeight="1">
      <c r="C148" s="589">
        <f t="shared" si="10"/>
        <v>131</v>
      </c>
      <c r="D148" s="591" t="s">
        <v>2452</v>
      </c>
      <c r="E148" s="737" t="s">
        <v>3658</v>
      </c>
      <c r="F148" s="2623" t="e">
        <f t="shared" si="15"/>
        <v>#N/A</v>
      </c>
      <c r="G148" s="2623"/>
      <c r="H148" s="930" t="e">
        <f t="shared" si="16"/>
        <v>#N/A</v>
      </c>
    </row>
    <row r="149" spans="3:8" s="61" customFormat="1" ht="21" customHeight="1">
      <c r="C149" s="589">
        <f t="shared" si="10"/>
        <v>132</v>
      </c>
      <c r="D149" s="591" t="s">
        <v>2452</v>
      </c>
      <c r="E149" s="737" t="s">
        <v>3659</v>
      </c>
      <c r="F149" s="2623" t="e">
        <f t="shared" si="15"/>
        <v>#N/A</v>
      </c>
      <c r="G149" s="2623"/>
      <c r="H149" s="930" t="e">
        <f t="shared" si="16"/>
        <v>#N/A</v>
      </c>
    </row>
    <row r="150" spans="3:8" s="61" customFormat="1" ht="21" customHeight="1">
      <c r="C150" s="589">
        <f t="shared" si="10"/>
        <v>133</v>
      </c>
      <c r="D150" s="591" t="s">
        <v>2452</v>
      </c>
      <c r="E150" s="737" t="s">
        <v>3660</v>
      </c>
      <c r="F150" s="2623" t="e">
        <f t="shared" si="15"/>
        <v>#N/A</v>
      </c>
      <c r="G150" s="2623"/>
      <c r="H150" s="930" t="e">
        <f t="shared" si="16"/>
        <v>#N/A</v>
      </c>
    </row>
    <row r="151" spans="3:8" s="61" customFormat="1" ht="21" customHeight="1">
      <c r="C151" s="589">
        <f t="shared" si="10"/>
        <v>134</v>
      </c>
      <c r="D151" s="591" t="s">
        <v>2452</v>
      </c>
      <c r="E151" s="737" t="s">
        <v>3661</v>
      </c>
      <c r="F151" s="2623" t="e">
        <f t="shared" si="15"/>
        <v>#N/A</v>
      </c>
      <c r="G151" s="2623"/>
      <c r="H151" s="930" t="e">
        <f t="shared" si="16"/>
        <v>#N/A</v>
      </c>
    </row>
    <row r="152" spans="3:8" s="61" customFormat="1" ht="21" customHeight="1">
      <c r="C152" s="589">
        <f t="shared" si="10"/>
        <v>135</v>
      </c>
      <c r="D152" s="591" t="s">
        <v>2452</v>
      </c>
      <c r="E152" s="737" t="s">
        <v>3662</v>
      </c>
      <c r="F152" s="2623" t="e">
        <f t="shared" si="15"/>
        <v>#N/A</v>
      </c>
      <c r="G152" s="2623"/>
      <c r="H152" s="930" t="e">
        <f t="shared" si="16"/>
        <v>#N/A</v>
      </c>
    </row>
    <row r="153" spans="3:8" s="61" customFormat="1" ht="21" customHeight="1">
      <c r="C153" s="589">
        <f t="shared" si="10"/>
        <v>136</v>
      </c>
      <c r="D153" s="591" t="s">
        <v>2452</v>
      </c>
      <c r="E153" s="737" t="s">
        <v>3663</v>
      </c>
      <c r="F153" s="2623" t="e">
        <f t="shared" si="15"/>
        <v>#N/A</v>
      </c>
      <c r="G153" s="2623"/>
      <c r="H153" s="930" t="e">
        <f t="shared" si="16"/>
        <v>#N/A</v>
      </c>
    </row>
    <row r="154" spans="3:8" s="61" customFormat="1" ht="21" customHeight="1">
      <c r="C154" s="589">
        <f t="shared" si="10"/>
        <v>137</v>
      </c>
      <c r="D154" s="591" t="s">
        <v>2452</v>
      </c>
      <c r="E154" s="737" t="s">
        <v>3664</v>
      </c>
      <c r="F154" s="2623" t="e">
        <f t="shared" si="15"/>
        <v>#N/A</v>
      </c>
      <c r="G154" s="2623"/>
      <c r="H154" s="930" t="e">
        <f t="shared" si="16"/>
        <v>#N/A</v>
      </c>
    </row>
    <row r="155" spans="3:8" s="61" customFormat="1" ht="21" customHeight="1">
      <c r="C155" s="589">
        <f t="shared" si="10"/>
        <v>138</v>
      </c>
      <c r="D155" s="591" t="s">
        <v>2452</v>
      </c>
      <c r="E155" s="737" t="s">
        <v>3665</v>
      </c>
      <c r="F155" s="2623" t="e">
        <f t="shared" si="15"/>
        <v>#N/A</v>
      </c>
      <c r="G155" s="2623"/>
      <c r="H155" s="930" t="e">
        <f t="shared" si="16"/>
        <v>#N/A</v>
      </c>
    </row>
    <row r="156" spans="3:8" s="61" customFormat="1" ht="21" customHeight="1">
      <c r="C156" s="589">
        <f t="shared" si="10"/>
        <v>139</v>
      </c>
      <c r="D156" s="591" t="s">
        <v>2452</v>
      </c>
      <c r="E156" s="737" t="s">
        <v>3666</v>
      </c>
      <c r="F156" s="2623" t="e">
        <f t="shared" si="15"/>
        <v>#N/A</v>
      </c>
      <c r="G156" s="2623"/>
      <c r="H156" s="930" t="e">
        <f t="shared" si="16"/>
        <v>#N/A</v>
      </c>
    </row>
    <row r="157" spans="3:8" s="61" customFormat="1" ht="21" customHeight="1">
      <c r="C157" s="589">
        <f t="shared" si="10"/>
        <v>140</v>
      </c>
      <c r="D157" s="591" t="s">
        <v>2452</v>
      </c>
      <c r="E157" s="737" t="s">
        <v>3667</v>
      </c>
      <c r="F157" s="2623" t="e">
        <f t="shared" si="15"/>
        <v>#N/A</v>
      </c>
      <c r="G157" s="2623"/>
      <c r="H157" s="930" t="e">
        <f t="shared" si="16"/>
        <v>#N/A</v>
      </c>
    </row>
    <row r="158" spans="3:8" s="61" customFormat="1" ht="21" customHeight="1">
      <c r="C158" s="589">
        <f t="shared" si="10"/>
        <v>141</v>
      </c>
      <c r="D158" s="591" t="s">
        <v>2452</v>
      </c>
      <c r="E158" s="737" t="s">
        <v>3668</v>
      </c>
      <c r="F158" s="2623" t="e">
        <f t="shared" si="15"/>
        <v>#N/A</v>
      </c>
      <c r="G158" s="2623"/>
      <c r="H158" s="930" t="e">
        <f t="shared" si="16"/>
        <v>#N/A</v>
      </c>
    </row>
    <row r="159" spans="3:8" s="61" customFormat="1" ht="21" customHeight="1">
      <c r="C159" s="589">
        <f t="shared" si="10"/>
        <v>142</v>
      </c>
      <c r="D159" s="591" t="s">
        <v>2452</v>
      </c>
      <c r="E159" s="737" t="s">
        <v>3669</v>
      </c>
      <c r="F159" s="2623" t="e">
        <f t="shared" si="15"/>
        <v>#N/A</v>
      </c>
      <c r="G159" s="2623"/>
      <c r="H159" s="930" t="e">
        <f t="shared" si="16"/>
        <v>#N/A</v>
      </c>
    </row>
    <row r="160" spans="3:8" s="61" customFormat="1" ht="21" customHeight="1">
      <c r="C160" s="589">
        <f t="shared" si="10"/>
        <v>143</v>
      </c>
      <c r="D160" s="591" t="s">
        <v>2452</v>
      </c>
      <c r="E160" s="737" t="s">
        <v>3670</v>
      </c>
      <c r="F160" s="2623" t="e">
        <f t="shared" si="15"/>
        <v>#N/A</v>
      </c>
      <c r="G160" s="2623"/>
      <c r="H160" s="930" t="e">
        <f t="shared" si="16"/>
        <v>#N/A</v>
      </c>
    </row>
    <row r="161" spans="3:8" s="61" customFormat="1" ht="21" customHeight="1">
      <c r="C161" s="589">
        <f t="shared" si="10"/>
        <v>144</v>
      </c>
      <c r="D161" s="591" t="s">
        <v>2452</v>
      </c>
      <c r="E161" s="737" t="s">
        <v>3671</v>
      </c>
      <c r="F161" s="2623" t="e">
        <f t="shared" si="15"/>
        <v>#N/A</v>
      </c>
      <c r="G161" s="2623"/>
      <c r="H161" s="930" t="e">
        <f t="shared" si="16"/>
        <v>#N/A</v>
      </c>
    </row>
    <row r="162" spans="3:8" s="61" customFormat="1" ht="21" customHeight="1">
      <c r="C162" s="589">
        <f t="shared" si="10"/>
        <v>145</v>
      </c>
      <c r="D162" s="591" t="s">
        <v>2452</v>
      </c>
      <c r="E162" s="737" t="s">
        <v>3672</v>
      </c>
      <c r="F162" s="2623" t="e">
        <f t="shared" si="15"/>
        <v>#N/A</v>
      </c>
      <c r="G162" s="2623"/>
      <c r="H162" s="930" t="e">
        <f t="shared" si="16"/>
        <v>#N/A</v>
      </c>
    </row>
    <row r="163" spans="3:8" s="61" customFormat="1" ht="21" customHeight="1">
      <c r="C163" s="589">
        <f t="shared" si="10"/>
        <v>146</v>
      </c>
      <c r="D163" s="591" t="s">
        <v>2452</v>
      </c>
      <c r="E163" s="737" t="s">
        <v>3673</v>
      </c>
      <c r="F163" s="2623" t="e">
        <f t="shared" si="15"/>
        <v>#N/A</v>
      </c>
      <c r="G163" s="2623"/>
      <c r="H163" s="930" t="e">
        <f t="shared" si="16"/>
        <v>#N/A</v>
      </c>
    </row>
    <row r="164" spans="3:8" s="61" customFormat="1" ht="21" customHeight="1">
      <c r="C164" s="589">
        <f t="shared" ref="C164:C186" si="17">C163+1</f>
        <v>147</v>
      </c>
      <c r="D164" s="591" t="s">
        <v>2452</v>
      </c>
      <c r="E164" s="737" t="s">
        <v>3674</v>
      </c>
      <c r="F164" s="2623" t="e">
        <f t="shared" si="15"/>
        <v>#N/A</v>
      </c>
      <c r="G164" s="2623"/>
      <c r="H164" s="930" t="e">
        <f t="shared" si="16"/>
        <v>#N/A</v>
      </c>
    </row>
    <row r="165" spans="3:8" s="61" customFormat="1" ht="21" customHeight="1">
      <c r="C165" s="589">
        <f t="shared" si="17"/>
        <v>148</v>
      </c>
      <c r="D165" s="591" t="s">
        <v>2452</v>
      </c>
      <c r="E165" s="737" t="s">
        <v>3675</v>
      </c>
      <c r="F165" s="2623" t="e">
        <f t="shared" si="15"/>
        <v>#N/A</v>
      </c>
      <c r="G165" s="2623"/>
      <c r="H165" s="930" t="e">
        <f t="shared" si="16"/>
        <v>#N/A</v>
      </c>
    </row>
    <row r="166" spans="3:8" s="61" customFormat="1" ht="21" customHeight="1">
      <c r="C166" s="589">
        <f t="shared" si="17"/>
        <v>149</v>
      </c>
      <c r="D166" s="970" t="s">
        <v>3755</v>
      </c>
      <c r="E166" s="737" t="s">
        <v>3676</v>
      </c>
      <c r="F166" s="2623" t="e">
        <f t="shared" ref="F166:F186" si="18">VLOOKUP(E166,TABLEROS,7,FALSE)</f>
        <v>#N/A</v>
      </c>
      <c r="G166" s="2623"/>
      <c r="H166" s="930" t="e">
        <f t="shared" ref="H166:H186" si="19">+F166*D166</f>
        <v>#N/A</v>
      </c>
    </row>
    <row r="167" spans="3:8" s="61" customFormat="1" ht="21" customHeight="1">
      <c r="C167" s="589">
        <f t="shared" si="17"/>
        <v>150</v>
      </c>
      <c r="D167" s="591" t="s">
        <v>2452</v>
      </c>
      <c r="E167" s="737" t="s">
        <v>3677</v>
      </c>
      <c r="F167" s="2623" t="e">
        <f t="shared" si="18"/>
        <v>#N/A</v>
      </c>
      <c r="G167" s="2623"/>
      <c r="H167" s="930" t="e">
        <f t="shared" si="19"/>
        <v>#N/A</v>
      </c>
    </row>
    <row r="168" spans="3:8" s="61" customFormat="1" ht="21" customHeight="1">
      <c r="C168" s="589">
        <f t="shared" si="17"/>
        <v>151</v>
      </c>
      <c r="D168" s="591" t="s">
        <v>2452</v>
      </c>
      <c r="E168" s="737" t="s">
        <v>3678</v>
      </c>
      <c r="F168" s="2623" t="e">
        <f t="shared" si="18"/>
        <v>#N/A</v>
      </c>
      <c r="G168" s="2623"/>
      <c r="H168" s="930" t="e">
        <f t="shared" si="19"/>
        <v>#N/A</v>
      </c>
    </row>
    <row r="169" spans="3:8" s="61" customFormat="1" ht="21" customHeight="1">
      <c r="C169" s="589">
        <f t="shared" si="17"/>
        <v>152</v>
      </c>
      <c r="D169" s="591" t="s">
        <v>2452</v>
      </c>
      <c r="E169" s="737" t="s">
        <v>3679</v>
      </c>
      <c r="F169" s="2623" t="e">
        <f t="shared" si="18"/>
        <v>#N/A</v>
      </c>
      <c r="G169" s="2623"/>
      <c r="H169" s="930" t="e">
        <f t="shared" si="19"/>
        <v>#N/A</v>
      </c>
    </row>
    <row r="170" spans="3:8" s="61" customFormat="1" ht="21" customHeight="1">
      <c r="C170" s="589">
        <f t="shared" si="17"/>
        <v>153</v>
      </c>
      <c r="D170" s="591" t="s">
        <v>2452</v>
      </c>
      <c r="E170" s="737" t="s">
        <v>3680</v>
      </c>
      <c r="F170" s="2623" t="e">
        <f t="shared" si="18"/>
        <v>#N/A</v>
      </c>
      <c r="G170" s="2623"/>
      <c r="H170" s="930" t="e">
        <f t="shared" si="19"/>
        <v>#N/A</v>
      </c>
    </row>
    <row r="171" spans="3:8" s="61" customFormat="1" ht="21" customHeight="1">
      <c r="C171" s="589">
        <f t="shared" si="17"/>
        <v>154</v>
      </c>
      <c r="D171" s="591" t="s">
        <v>2452</v>
      </c>
      <c r="E171" s="737" t="s">
        <v>3681</v>
      </c>
      <c r="F171" s="2623" t="e">
        <f t="shared" si="18"/>
        <v>#N/A</v>
      </c>
      <c r="G171" s="2623"/>
      <c r="H171" s="930" t="e">
        <f t="shared" si="19"/>
        <v>#N/A</v>
      </c>
    </row>
    <row r="172" spans="3:8" s="61" customFormat="1" ht="21" customHeight="1">
      <c r="C172" s="589">
        <f t="shared" si="17"/>
        <v>155</v>
      </c>
      <c r="D172" s="591" t="s">
        <v>2452</v>
      </c>
      <c r="E172" s="737" t="s">
        <v>3682</v>
      </c>
      <c r="F172" s="2623" t="e">
        <f t="shared" si="18"/>
        <v>#N/A</v>
      </c>
      <c r="G172" s="2623"/>
      <c r="H172" s="930" t="e">
        <f t="shared" si="19"/>
        <v>#N/A</v>
      </c>
    </row>
    <row r="173" spans="3:8" s="61" customFormat="1" ht="21" customHeight="1">
      <c r="C173" s="589">
        <f t="shared" si="17"/>
        <v>156</v>
      </c>
      <c r="D173" s="591" t="s">
        <v>2452</v>
      </c>
      <c r="E173" s="737" t="s">
        <v>3683</v>
      </c>
      <c r="F173" s="2623" t="e">
        <f t="shared" si="18"/>
        <v>#N/A</v>
      </c>
      <c r="G173" s="2623"/>
      <c r="H173" s="930" t="e">
        <f t="shared" si="19"/>
        <v>#N/A</v>
      </c>
    </row>
    <row r="174" spans="3:8" s="61" customFormat="1" ht="21" customHeight="1">
      <c r="C174" s="589">
        <f t="shared" si="17"/>
        <v>157</v>
      </c>
      <c r="D174" s="591" t="s">
        <v>2452</v>
      </c>
      <c r="E174" s="737" t="s">
        <v>3684</v>
      </c>
      <c r="F174" s="2623" t="e">
        <f t="shared" si="18"/>
        <v>#N/A</v>
      </c>
      <c r="G174" s="2623"/>
      <c r="H174" s="930" t="e">
        <f t="shared" si="19"/>
        <v>#N/A</v>
      </c>
    </row>
    <row r="175" spans="3:8" s="61" customFormat="1" ht="21" customHeight="1">
      <c r="C175" s="589">
        <f t="shared" si="17"/>
        <v>158</v>
      </c>
      <c r="D175" s="591" t="s">
        <v>2452</v>
      </c>
      <c r="E175" s="737" t="s">
        <v>3685</v>
      </c>
      <c r="F175" s="2623" t="e">
        <f t="shared" si="18"/>
        <v>#N/A</v>
      </c>
      <c r="G175" s="2623"/>
      <c r="H175" s="930" t="e">
        <f t="shared" si="19"/>
        <v>#N/A</v>
      </c>
    </row>
    <row r="176" spans="3:8" s="61" customFormat="1" ht="21" customHeight="1">
      <c r="C176" s="589">
        <f t="shared" si="17"/>
        <v>159</v>
      </c>
      <c r="D176" s="591" t="s">
        <v>2452</v>
      </c>
      <c r="E176" s="737" t="s">
        <v>3686</v>
      </c>
      <c r="F176" s="2623" t="e">
        <f t="shared" si="18"/>
        <v>#N/A</v>
      </c>
      <c r="G176" s="2623"/>
      <c r="H176" s="930" t="e">
        <f t="shared" si="19"/>
        <v>#N/A</v>
      </c>
    </row>
    <row r="177" spans="3:8" s="61" customFormat="1" ht="21" customHeight="1">
      <c r="C177" s="589">
        <f t="shared" si="17"/>
        <v>160</v>
      </c>
      <c r="D177" s="591" t="s">
        <v>2452</v>
      </c>
      <c r="E177" s="737" t="s">
        <v>3687</v>
      </c>
      <c r="F177" s="2623" t="e">
        <f t="shared" si="18"/>
        <v>#N/A</v>
      </c>
      <c r="G177" s="2623"/>
      <c r="H177" s="930" t="e">
        <f t="shared" si="19"/>
        <v>#N/A</v>
      </c>
    </row>
    <row r="178" spans="3:8" s="61" customFormat="1" ht="21" customHeight="1">
      <c r="C178" s="589">
        <f t="shared" si="17"/>
        <v>161</v>
      </c>
      <c r="D178" s="591" t="s">
        <v>2452</v>
      </c>
      <c r="E178" s="737" t="s">
        <v>3688</v>
      </c>
      <c r="F178" s="2623" t="e">
        <f t="shared" si="18"/>
        <v>#N/A</v>
      </c>
      <c r="G178" s="2623"/>
      <c r="H178" s="930" t="e">
        <f t="shared" si="19"/>
        <v>#N/A</v>
      </c>
    </row>
    <row r="179" spans="3:8" s="61" customFormat="1" ht="21" customHeight="1">
      <c r="C179" s="589">
        <f t="shared" si="17"/>
        <v>162</v>
      </c>
      <c r="D179" s="591" t="s">
        <v>2452</v>
      </c>
      <c r="E179" s="737" t="s">
        <v>3689</v>
      </c>
      <c r="F179" s="2623" t="e">
        <f t="shared" si="18"/>
        <v>#N/A</v>
      </c>
      <c r="G179" s="2623"/>
      <c r="H179" s="930" t="e">
        <f t="shared" si="19"/>
        <v>#N/A</v>
      </c>
    </row>
    <row r="180" spans="3:8" s="61" customFormat="1" ht="21" customHeight="1">
      <c r="C180" s="589">
        <f t="shared" si="17"/>
        <v>163</v>
      </c>
      <c r="D180" s="591" t="s">
        <v>2452</v>
      </c>
      <c r="E180" s="737" t="s">
        <v>3690</v>
      </c>
      <c r="F180" s="2623" t="e">
        <f t="shared" si="18"/>
        <v>#N/A</v>
      </c>
      <c r="G180" s="2623"/>
      <c r="H180" s="930" t="e">
        <f t="shared" si="19"/>
        <v>#N/A</v>
      </c>
    </row>
    <row r="181" spans="3:8" s="61" customFormat="1" ht="21" customHeight="1">
      <c r="C181" s="589">
        <f t="shared" si="17"/>
        <v>164</v>
      </c>
      <c r="D181" s="591" t="s">
        <v>2452</v>
      </c>
      <c r="E181" s="737" t="s">
        <v>3691</v>
      </c>
      <c r="F181" s="2623" t="e">
        <f t="shared" si="18"/>
        <v>#N/A</v>
      </c>
      <c r="G181" s="2623"/>
      <c r="H181" s="930" t="e">
        <f t="shared" si="19"/>
        <v>#N/A</v>
      </c>
    </row>
    <row r="182" spans="3:8" s="61" customFormat="1" ht="21" customHeight="1">
      <c r="C182" s="589">
        <f t="shared" si="17"/>
        <v>165</v>
      </c>
      <c r="D182" s="970" t="s">
        <v>3755</v>
      </c>
      <c r="E182" s="737" t="s">
        <v>3692</v>
      </c>
      <c r="F182" s="2623" t="e">
        <f t="shared" si="18"/>
        <v>#N/A</v>
      </c>
      <c r="G182" s="2623"/>
      <c r="H182" s="930" t="e">
        <f t="shared" si="19"/>
        <v>#N/A</v>
      </c>
    </row>
    <row r="183" spans="3:8" s="61" customFormat="1" ht="21" customHeight="1">
      <c r="C183" s="589">
        <f t="shared" si="17"/>
        <v>166</v>
      </c>
      <c r="D183" s="970" t="s">
        <v>725</v>
      </c>
      <c r="E183" s="737" t="s">
        <v>3693</v>
      </c>
      <c r="F183" s="2623" t="e">
        <f t="shared" si="18"/>
        <v>#N/A</v>
      </c>
      <c r="G183" s="2623"/>
      <c r="H183" s="930" t="e">
        <f t="shared" si="19"/>
        <v>#N/A</v>
      </c>
    </row>
    <row r="184" spans="3:8" s="61" customFormat="1" ht="21" customHeight="1">
      <c r="C184" s="589">
        <f t="shared" si="17"/>
        <v>167</v>
      </c>
      <c r="D184" s="591" t="s">
        <v>2452</v>
      </c>
      <c r="E184" s="737" t="s">
        <v>3694</v>
      </c>
      <c r="F184" s="2623" t="e">
        <f t="shared" si="18"/>
        <v>#N/A</v>
      </c>
      <c r="G184" s="2623"/>
      <c r="H184" s="930" t="e">
        <f t="shared" si="19"/>
        <v>#N/A</v>
      </c>
    </row>
    <row r="185" spans="3:8" s="61" customFormat="1" ht="21" customHeight="1">
      <c r="C185" s="589">
        <f t="shared" si="17"/>
        <v>168</v>
      </c>
      <c r="D185" s="970" t="s">
        <v>3755</v>
      </c>
      <c r="E185" s="737" t="s">
        <v>3695</v>
      </c>
      <c r="F185" s="2623" t="e">
        <f t="shared" si="18"/>
        <v>#N/A</v>
      </c>
      <c r="G185" s="2623"/>
      <c r="H185" s="930" t="e">
        <f t="shared" si="19"/>
        <v>#N/A</v>
      </c>
    </row>
    <row r="186" spans="3:8" s="61" customFormat="1" ht="21" customHeight="1">
      <c r="C186" s="589">
        <f t="shared" si="17"/>
        <v>169</v>
      </c>
      <c r="D186" s="591" t="s">
        <v>2452</v>
      </c>
      <c r="E186" s="737" t="s">
        <v>3696</v>
      </c>
      <c r="F186" s="2623" t="e">
        <f t="shared" si="18"/>
        <v>#N/A</v>
      </c>
      <c r="G186" s="2623"/>
      <c r="H186" s="930" t="e">
        <f t="shared" si="19"/>
        <v>#N/A</v>
      </c>
    </row>
    <row r="187" spans="3:8" s="61" customFormat="1" ht="21" customHeight="1" thickBot="1">
      <c r="C187" s="935">
        <f>C186+1</f>
        <v>170</v>
      </c>
      <c r="D187" s="936" t="s">
        <v>2452</v>
      </c>
      <c r="E187" s="937" t="s">
        <v>3221</v>
      </c>
      <c r="F187" s="2622" t="e">
        <f>VLOOKUP(E187,TABLEROS,7,FALSE)</f>
        <v>#N/A</v>
      </c>
      <c r="G187" s="2622"/>
      <c r="H187" s="938" t="e">
        <f>+F187*D187</f>
        <v>#N/A</v>
      </c>
    </row>
    <row r="188" spans="3:8" ht="21.75" customHeight="1">
      <c r="C188" s="592"/>
      <c r="D188" s="585"/>
      <c r="E188" s="586"/>
      <c r="F188" s="587"/>
      <c r="G188" s="587"/>
      <c r="H188" s="587"/>
    </row>
    <row r="189" spans="3:8" s="61" customFormat="1" ht="20.25" customHeight="1">
      <c r="C189" s="582"/>
      <c r="D189" s="583"/>
      <c r="E189" s="594"/>
      <c r="F189" s="595"/>
      <c r="G189" s="595" t="s">
        <v>3371</v>
      </c>
      <c r="H189" s="598" t="e">
        <f>SUM(H18:H187)</f>
        <v>#N/A</v>
      </c>
    </row>
    <row r="190" spans="3:8" s="61" customFormat="1" ht="20.25" customHeight="1">
      <c r="C190" s="582"/>
      <c r="D190" s="584"/>
      <c r="E190" s="596"/>
      <c r="F190" s="597" t="s">
        <v>2455</v>
      </c>
      <c r="G190" s="600">
        <v>0.18</v>
      </c>
      <c r="H190" s="599" t="e">
        <f>0.18*H189</f>
        <v>#N/A</v>
      </c>
    </row>
    <row r="191" spans="3:8" s="61" customFormat="1" ht="20.25" customHeight="1">
      <c r="C191" s="593" t="s">
        <v>3363</v>
      </c>
      <c r="D191" s="584"/>
      <c r="E191" s="596"/>
      <c r="F191" s="595"/>
      <c r="G191" s="595" t="s">
        <v>3362</v>
      </c>
      <c r="H191" s="598" t="e">
        <f>H189+H190</f>
        <v>#N/A</v>
      </c>
    </row>
    <row r="192" spans="3:8" ht="15" customHeight="1"/>
    <row r="193" spans="1:251" ht="15" customHeight="1"/>
    <row r="194" spans="1:251" ht="15" customHeight="1"/>
    <row r="195" spans="1:251" ht="15" customHeight="1"/>
    <row r="196" spans="1:251" ht="15" customHeight="1"/>
    <row r="197" spans="1:251" ht="15" customHeight="1"/>
    <row r="198" spans="1:251" ht="15" customHeight="1"/>
    <row r="199" spans="1:251" ht="14.4" customHeight="1">
      <c r="B199" s="2"/>
      <c r="C199" s="984" t="s">
        <v>3763</v>
      </c>
      <c r="D199" s="973"/>
      <c r="E199" s="974"/>
      <c r="F199"/>
      <c r="I199" s="4"/>
    </row>
    <row r="200" spans="1:251" ht="14.4" customHeight="1">
      <c r="B200" s="971"/>
      <c r="C200" s="6"/>
      <c r="D200" s="6"/>
      <c r="E200" s="974"/>
      <c r="F200"/>
      <c r="I200" s="4"/>
    </row>
    <row r="201" spans="1:251" s="120" customFormat="1" ht="13.8">
      <c r="A201" s="112"/>
      <c r="B201" s="945"/>
      <c r="C201" s="985" t="s">
        <v>1564</v>
      </c>
      <c r="D201" s="975" t="s">
        <v>3738</v>
      </c>
      <c r="E201" s="976"/>
      <c r="F201" s="703"/>
      <c r="G201" s="702"/>
      <c r="H201" s="702"/>
      <c r="I201" s="702"/>
      <c r="J201" s="700"/>
      <c r="K201" s="112"/>
      <c r="L201" s="363"/>
      <c r="M201" s="112"/>
      <c r="N201" s="362"/>
      <c r="O201" s="573"/>
    </row>
    <row r="202" spans="1:251" s="120" customFormat="1" ht="13.8">
      <c r="A202" s="112"/>
      <c r="B202" s="723"/>
      <c r="C202" s="986"/>
      <c r="D202" s="975" t="s">
        <v>3739</v>
      </c>
      <c r="E202" s="976"/>
      <c r="F202" s="703"/>
      <c r="G202" s="702"/>
      <c r="H202" s="702"/>
      <c r="I202" s="702"/>
      <c r="J202" s="700"/>
      <c r="K202" s="112"/>
      <c r="L202" s="363"/>
      <c r="M202" s="112"/>
      <c r="N202" s="362"/>
      <c r="O202" s="573"/>
    </row>
    <row r="203" spans="1:251" s="120" customFormat="1" ht="13.8">
      <c r="A203" s="112"/>
      <c r="B203" s="945"/>
      <c r="C203" s="985"/>
      <c r="D203" s="975" t="s">
        <v>3737</v>
      </c>
      <c r="E203" s="976"/>
      <c r="F203" s="703"/>
      <c r="G203" s="702"/>
      <c r="H203" s="702"/>
      <c r="I203" s="702"/>
      <c r="J203" s="700"/>
      <c r="K203" s="112"/>
      <c r="L203" s="363"/>
      <c r="M203" s="112"/>
      <c r="N203" s="362"/>
      <c r="O203" s="573"/>
    </row>
    <row r="204" spans="1:251" s="120" customFormat="1" ht="12.75" customHeight="1">
      <c r="A204" s="112"/>
      <c r="B204" s="112"/>
      <c r="C204" s="987"/>
      <c r="D204" s="977"/>
      <c r="E204" s="976"/>
      <c r="F204" s="703"/>
      <c r="G204" s="702"/>
      <c r="H204" s="702"/>
      <c r="I204" s="702"/>
      <c r="J204" s="700"/>
      <c r="K204" s="112"/>
      <c r="L204" s="363"/>
      <c r="M204" s="112"/>
      <c r="N204" s="362"/>
      <c r="O204" s="573"/>
    </row>
    <row r="205" spans="1:251" s="120" customFormat="1" ht="12.75" customHeight="1">
      <c r="A205" s="112"/>
      <c r="B205" s="945"/>
      <c r="C205" s="985" t="s">
        <v>2666</v>
      </c>
      <c r="D205" s="977" t="s">
        <v>3740</v>
      </c>
      <c r="E205" s="976"/>
      <c r="F205" s="703"/>
      <c r="G205" s="702"/>
      <c r="H205" s="702"/>
      <c r="I205" s="702"/>
      <c r="J205" s="700"/>
      <c r="K205" s="112"/>
      <c r="L205" s="363"/>
      <c r="M205" s="112"/>
      <c r="N205" s="362"/>
      <c r="O205" s="573"/>
    </row>
    <row r="206" spans="1:251" s="120" customFormat="1" ht="12.75" customHeight="1">
      <c r="A206" s="112"/>
      <c r="B206" s="945"/>
      <c r="C206" s="985"/>
      <c r="D206" s="977" t="s">
        <v>3773</v>
      </c>
      <c r="E206" s="976"/>
      <c r="F206" s="703"/>
      <c r="G206" s="702"/>
      <c r="H206" s="702"/>
      <c r="I206" s="702"/>
      <c r="J206" s="700"/>
      <c r="K206" s="112"/>
      <c r="L206" s="363"/>
      <c r="M206" s="112"/>
      <c r="N206" s="362"/>
      <c r="O206" s="573"/>
    </row>
    <row r="207" spans="1:251" s="120" customFormat="1" ht="12.75" customHeight="1">
      <c r="A207" s="112"/>
      <c r="B207" s="945"/>
      <c r="C207" s="985"/>
      <c r="D207" s="977" t="s">
        <v>3743</v>
      </c>
      <c r="E207" s="976"/>
      <c r="F207" s="703"/>
      <c r="G207" s="702"/>
      <c r="H207" s="702"/>
      <c r="I207" s="702"/>
      <c r="J207" s="700"/>
      <c r="K207" s="112"/>
      <c r="L207" s="363"/>
      <c r="M207" s="112"/>
      <c r="N207" s="362"/>
      <c r="O207" s="573"/>
    </row>
    <row r="208" spans="1:251" s="20" customFormat="1" ht="12" customHeight="1">
      <c r="A208" s="964"/>
      <c r="B208" s="965"/>
      <c r="C208" s="988"/>
      <c r="D208" s="978" t="s">
        <v>3744</v>
      </c>
      <c r="E208" s="979"/>
      <c r="F208" s="899"/>
      <c r="G208" s="899"/>
      <c r="H208" s="899"/>
      <c r="I208" s="899"/>
      <c r="J208" s="899"/>
      <c r="K208" s="900"/>
      <c r="L208" s="900"/>
      <c r="M208" s="900"/>
      <c r="N208" s="362"/>
      <c r="O208" s="704"/>
      <c r="P208" s="629"/>
      <c r="Q208" s="120" t="str">
        <f>IF(O208&lt;&gt;"",D208,"")</f>
        <v/>
      </c>
      <c r="R208" s="629"/>
      <c r="S208" s="629"/>
      <c r="T208" s="629"/>
      <c r="U208" s="629"/>
      <c r="V208" s="629"/>
      <c r="W208" s="629"/>
      <c r="X208" s="629"/>
      <c r="Y208" s="629"/>
      <c r="Z208" s="629"/>
      <c r="AA208" s="629"/>
      <c r="AB208" s="629"/>
      <c r="AC208" s="629"/>
      <c r="AD208" s="629"/>
      <c r="AE208" s="629"/>
      <c r="AF208" s="629"/>
      <c r="AG208" s="629"/>
      <c r="AH208" s="629"/>
      <c r="AI208" s="629"/>
      <c r="AJ208" s="629"/>
      <c r="AK208" s="629"/>
      <c r="AL208" s="629"/>
      <c r="AM208" s="629"/>
      <c r="AN208" s="629"/>
      <c r="AO208" s="629"/>
      <c r="AP208" s="629"/>
      <c r="AQ208" s="629"/>
      <c r="AR208" s="629"/>
      <c r="AS208" s="629"/>
      <c r="AT208" s="629"/>
      <c r="AU208" s="629"/>
      <c r="AV208" s="629"/>
      <c r="AW208" s="629"/>
      <c r="AX208" s="629"/>
      <c r="AY208" s="629"/>
      <c r="AZ208" s="629"/>
      <c r="BA208" s="629"/>
      <c r="BB208" s="629"/>
      <c r="BC208" s="629"/>
      <c r="BD208" s="629"/>
      <c r="BE208" s="629"/>
      <c r="BF208" s="629"/>
      <c r="BG208" s="629"/>
      <c r="BH208" s="629"/>
      <c r="BI208" s="629"/>
      <c r="BJ208" s="629"/>
      <c r="BK208" s="629"/>
      <c r="BL208" s="629"/>
      <c r="BM208" s="629"/>
      <c r="BN208" s="629"/>
      <c r="BO208" s="629"/>
      <c r="BP208" s="629"/>
      <c r="BQ208" s="629"/>
      <c r="BR208" s="629"/>
      <c r="BS208" s="629"/>
      <c r="BT208" s="629"/>
      <c r="BU208" s="629"/>
      <c r="BV208" s="629"/>
      <c r="BW208" s="629"/>
      <c r="BX208" s="629"/>
      <c r="BY208" s="629"/>
      <c r="BZ208" s="629"/>
      <c r="CA208" s="629"/>
      <c r="CB208" s="629"/>
      <c r="CC208" s="629"/>
      <c r="CD208" s="629"/>
      <c r="CE208" s="629"/>
      <c r="CF208" s="629"/>
      <c r="CG208" s="629"/>
      <c r="CH208" s="629"/>
      <c r="CI208" s="629"/>
      <c r="CJ208" s="629"/>
      <c r="CK208" s="629"/>
      <c r="CL208" s="629"/>
      <c r="CM208" s="629"/>
      <c r="CN208" s="629"/>
      <c r="CO208" s="629"/>
      <c r="CP208" s="629"/>
      <c r="CQ208" s="629"/>
      <c r="CR208" s="629"/>
      <c r="CS208" s="629"/>
      <c r="CT208" s="629"/>
      <c r="CU208" s="629"/>
      <c r="CV208" s="629"/>
      <c r="CW208" s="629"/>
      <c r="CX208" s="629"/>
      <c r="CY208" s="629"/>
      <c r="CZ208" s="629"/>
      <c r="DA208" s="629"/>
      <c r="DB208" s="629"/>
      <c r="DC208" s="629"/>
      <c r="DD208" s="629"/>
      <c r="DE208" s="629"/>
      <c r="DF208" s="629"/>
      <c r="DG208" s="629"/>
      <c r="DH208" s="629"/>
      <c r="DI208" s="629"/>
      <c r="DJ208" s="629"/>
      <c r="DK208" s="629"/>
      <c r="DL208" s="629"/>
      <c r="DM208" s="629"/>
      <c r="DN208" s="629"/>
      <c r="DO208" s="629"/>
      <c r="DP208" s="629"/>
      <c r="DQ208" s="629"/>
      <c r="DR208" s="629"/>
      <c r="DS208" s="629"/>
      <c r="DT208" s="629"/>
      <c r="DU208" s="629"/>
      <c r="DV208" s="629"/>
      <c r="DW208" s="629"/>
      <c r="DX208" s="629"/>
      <c r="DY208" s="629"/>
      <c r="DZ208" s="629"/>
      <c r="EA208" s="629"/>
      <c r="EB208" s="629"/>
      <c r="EC208" s="629"/>
      <c r="ED208" s="629"/>
      <c r="EE208" s="629"/>
      <c r="EF208" s="629"/>
      <c r="EG208" s="629"/>
      <c r="EH208" s="629"/>
      <c r="EI208" s="629"/>
      <c r="EJ208" s="629"/>
      <c r="EK208" s="629"/>
      <c r="EL208" s="629"/>
      <c r="EM208" s="629"/>
      <c r="EN208" s="629"/>
      <c r="EO208" s="629"/>
      <c r="EP208" s="629"/>
      <c r="EQ208" s="629"/>
      <c r="ER208" s="629"/>
      <c r="ES208" s="629"/>
      <c r="ET208" s="629"/>
      <c r="EU208" s="629"/>
      <c r="EV208" s="629"/>
      <c r="EW208" s="629"/>
      <c r="EX208" s="629"/>
      <c r="EY208" s="629"/>
      <c r="EZ208" s="629"/>
      <c r="FA208" s="629"/>
      <c r="FB208" s="629"/>
      <c r="FC208" s="629"/>
      <c r="FD208" s="629"/>
      <c r="FE208" s="629"/>
      <c r="FF208" s="629"/>
      <c r="FG208" s="629"/>
      <c r="FH208" s="629"/>
      <c r="FI208" s="629"/>
      <c r="FJ208" s="629"/>
      <c r="FK208" s="629"/>
      <c r="FL208" s="629"/>
      <c r="FM208" s="629"/>
      <c r="FN208" s="629"/>
      <c r="FO208" s="629"/>
      <c r="FP208" s="629"/>
      <c r="FQ208" s="629"/>
      <c r="FR208" s="629"/>
      <c r="FS208" s="629"/>
      <c r="FT208" s="629"/>
      <c r="FU208" s="629"/>
      <c r="FV208" s="629"/>
      <c r="FW208" s="629"/>
      <c r="FX208" s="629"/>
      <c r="FY208" s="629"/>
      <c r="FZ208" s="629"/>
      <c r="GA208" s="629"/>
      <c r="GB208" s="629"/>
      <c r="GC208" s="629"/>
      <c r="GD208" s="629"/>
      <c r="GE208" s="629"/>
      <c r="GF208" s="629"/>
      <c r="GG208" s="629"/>
      <c r="GH208" s="629"/>
      <c r="GI208" s="629"/>
      <c r="GJ208" s="629"/>
      <c r="GK208" s="629"/>
      <c r="GL208" s="629"/>
      <c r="GM208" s="629"/>
      <c r="GN208" s="629"/>
      <c r="GO208" s="629"/>
      <c r="GP208" s="629"/>
      <c r="GQ208" s="629"/>
      <c r="GR208" s="629"/>
      <c r="GS208" s="629"/>
      <c r="GT208" s="629"/>
      <c r="GU208" s="629"/>
      <c r="GV208" s="629"/>
      <c r="GW208" s="629"/>
      <c r="GX208" s="629"/>
      <c r="GY208" s="629"/>
      <c r="GZ208" s="629"/>
      <c r="HA208" s="629"/>
      <c r="HB208" s="629"/>
      <c r="HC208" s="629"/>
      <c r="HD208" s="629"/>
      <c r="HE208" s="629"/>
      <c r="HF208" s="629"/>
      <c r="HG208" s="629"/>
      <c r="HH208" s="629"/>
      <c r="HI208" s="629"/>
      <c r="HJ208" s="629"/>
      <c r="HK208" s="629"/>
      <c r="HL208" s="629"/>
      <c r="HM208" s="629"/>
      <c r="HN208" s="629"/>
      <c r="HO208" s="629"/>
      <c r="HP208" s="629"/>
      <c r="HQ208" s="629"/>
      <c r="HR208" s="629"/>
      <c r="HS208" s="629"/>
      <c r="HT208" s="629"/>
      <c r="HU208" s="629"/>
      <c r="HV208" s="629"/>
      <c r="HW208" s="629"/>
      <c r="HX208" s="629"/>
      <c r="HY208" s="629"/>
      <c r="HZ208" s="629"/>
      <c r="IA208" s="629"/>
      <c r="IB208" s="629"/>
      <c r="IC208" s="629"/>
      <c r="ID208" s="629"/>
      <c r="IE208" s="629"/>
      <c r="IF208" s="629"/>
      <c r="IG208" s="629"/>
      <c r="IH208" s="629"/>
      <c r="II208" s="629"/>
      <c r="IJ208" s="629"/>
      <c r="IK208" s="629"/>
      <c r="IL208" s="629"/>
      <c r="IM208" s="629"/>
      <c r="IN208" s="629"/>
      <c r="IO208" s="629"/>
      <c r="IP208" s="629"/>
      <c r="IQ208" s="629"/>
    </row>
    <row r="209" spans="1:251" s="120" customFormat="1" ht="12.75" customHeight="1">
      <c r="A209" s="112"/>
      <c r="B209" s="945"/>
      <c r="C209" s="985"/>
      <c r="D209" s="977" t="s">
        <v>3742</v>
      </c>
      <c r="E209" s="976"/>
      <c r="F209" s="703"/>
      <c r="G209" s="702"/>
      <c r="H209" s="702"/>
      <c r="I209" s="702"/>
      <c r="J209" s="700"/>
      <c r="K209" s="112"/>
      <c r="L209" s="363"/>
      <c r="M209" s="112"/>
      <c r="N209" s="362"/>
      <c r="O209" s="573"/>
    </row>
    <row r="210" spans="1:251" s="20" customFormat="1" ht="12" customHeight="1">
      <c r="A210" s="964"/>
      <c r="B210" s="965"/>
      <c r="C210" s="988"/>
      <c r="D210" s="978"/>
      <c r="E210" s="979"/>
      <c r="F210" s="899"/>
      <c r="G210" s="899"/>
      <c r="H210" s="899"/>
      <c r="I210" s="899"/>
      <c r="J210" s="899"/>
      <c r="K210" s="900"/>
      <c r="L210" s="900"/>
      <c r="M210" s="900"/>
      <c r="N210" s="362"/>
      <c r="O210" s="704"/>
      <c r="P210" s="629"/>
      <c r="Q210" s="120" t="str">
        <f>IF(O210&lt;&gt;"",D210,"")</f>
        <v/>
      </c>
      <c r="R210" s="629"/>
      <c r="S210" s="629"/>
      <c r="T210" s="629"/>
      <c r="U210" s="629"/>
      <c r="V210" s="629"/>
      <c r="W210" s="629"/>
      <c r="X210" s="629"/>
      <c r="Y210" s="629"/>
      <c r="Z210" s="629"/>
      <c r="AA210" s="629"/>
      <c r="AB210" s="629"/>
      <c r="AC210" s="629"/>
      <c r="AD210" s="629"/>
      <c r="AE210" s="629"/>
      <c r="AF210" s="629"/>
      <c r="AG210" s="629"/>
      <c r="AH210" s="629"/>
      <c r="AI210" s="629"/>
      <c r="AJ210" s="629"/>
      <c r="AK210" s="629"/>
      <c r="AL210" s="629"/>
      <c r="AM210" s="629"/>
      <c r="AN210" s="629"/>
      <c r="AO210" s="629"/>
      <c r="AP210" s="629"/>
      <c r="AQ210" s="629"/>
      <c r="AR210" s="629"/>
      <c r="AS210" s="629"/>
      <c r="AT210" s="629"/>
      <c r="AU210" s="629"/>
      <c r="AV210" s="629"/>
      <c r="AW210" s="629"/>
      <c r="AX210" s="629"/>
      <c r="AY210" s="629"/>
      <c r="AZ210" s="629"/>
      <c r="BA210" s="629"/>
      <c r="BB210" s="629"/>
      <c r="BC210" s="629"/>
      <c r="BD210" s="629"/>
      <c r="BE210" s="629"/>
      <c r="BF210" s="629"/>
      <c r="BG210" s="629"/>
      <c r="BH210" s="629"/>
      <c r="BI210" s="629"/>
      <c r="BJ210" s="629"/>
      <c r="BK210" s="629"/>
      <c r="BL210" s="629"/>
      <c r="BM210" s="629"/>
      <c r="BN210" s="629"/>
      <c r="BO210" s="629"/>
      <c r="BP210" s="629"/>
      <c r="BQ210" s="629"/>
      <c r="BR210" s="629"/>
      <c r="BS210" s="629"/>
      <c r="BT210" s="629"/>
      <c r="BU210" s="629"/>
      <c r="BV210" s="629"/>
      <c r="BW210" s="629"/>
      <c r="BX210" s="629"/>
      <c r="BY210" s="629"/>
      <c r="BZ210" s="629"/>
      <c r="CA210" s="629"/>
      <c r="CB210" s="629"/>
      <c r="CC210" s="629"/>
      <c r="CD210" s="629"/>
      <c r="CE210" s="629"/>
      <c r="CF210" s="629"/>
      <c r="CG210" s="629"/>
      <c r="CH210" s="629"/>
      <c r="CI210" s="629"/>
      <c r="CJ210" s="629"/>
      <c r="CK210" s="629"/>
      <c r="CL210" s="629"/>
      <c r="CM210" s="629"/>
      <c r="CN210" s="629"/>
      <c r="CO210" s="629"/>
      <c r="CP210" s="629"/>
      <c r="CQ210" s="629"/>
      <c r="CR210" s="629"/>
      <c r="CS210" s="629"/>
      <c r="CT210" s="629"/>
      <c r="CU210" s="629"/>
      <c r="CV210" s="629"/>
      <c r="CW210" s="629"/>
      <c r="CX210" s="629"/>
      <c r="CY210" s="629"/>
      <c r="CZ210" s="629"/>
      <c r="DA210" s="629"/>
      <c r="DB210" s="629"/>
      <c r="DC210" s="629"/>
      <c r="DD210" s="629"/>
      <c r="DE210" s="629"/>
      <c r="DF210" s="629"/>
      <c r="DG210" s="629"/>
      <c r="DH210" s="629"/>
      <c r="DI210" s="629"/>
      <c r="DJ210" s="629"/>
      <c r="DK210" s="629"/>
      <c r="DL210" s="629"/>
      <c r="DM210" s="629"/>
      <c r="DN210" s="629"/>
      <c r="DO210" s="629"/>
      <c r="DP210" s="629"/>
      <c r="DQ210" s="629"/>
      <c r="DR210" s="629"/>
      <c r="DS210" s="629"/>
      <c r="DT210" s="629"/>
      <c r="DU210" s="629"/>
      <c r="DV210" s="629"/>
      <c r="DW210" s="629"/>
      <c r="DX210" s="629"/>
      <c r="DY210" s="629"/>
      <c r="DZ210" s="629"/>
      <c r="EA210" s="629"/>
      <c r="EB210" s="629"/>
      <c r="EC210" s="629"/>
      <c r="ED210" s="629"/>
      <c r="EE210" s="629"/>
      <c r="EF210" s="629"/>
      <c r="EG210" s="629"/>
      <c r="EH210" s="629"/>
      <c r="EI210" s="629"/>
      <c r="EJ210" s="629"/>
      <c r="EK210" s="629"/>
      <c r="EL210" s="629"/>
      <c r="EM210" s="629"/>
      <c r="EN210" s="629"/>
      <c r="EO210" s="629"/>
      <c r="EP210" s="629"/>
      <c r="EQ210" s="629"/>
      <c r="ER210" s="629"/>
      <c r="ES210" s="629"/>
      <c r="ET210" s="629"/>
      <c r="EU210" s="629"/>
      <c r="EV210" s="629"/>
      <c r="EW210" s="629"/>
      <c r="EX210" s="629"/>
      <c r="EY210" s="629"/>
      <c r="EZ210" s="629"/>
      <c r="FA210" s="629"/>
      <c r="FB210" s="629"/>
      <c r="FC210" s="629"/>
      <c r="FD210" s="629"/>
      <c r="FE210" s="629"/>
      <c r="FF210" s="629"/>
      <c r="FG210" s="629"/>
      <c r="FH210" s="629"/>
      <c r="FI210" s="629"/>
      <c r="FJ210" s="629"/>
      <c r="FK210" s="629"/>
      <c r="FL210" s="629"/>
      <c r="FM210" s="629"/>
      <c r="FN210" s="629"/>
      <c r="FO210" s="629"/>
      <c r="FP210" s="629"/>
      <c r="FQ210" s="629"/>
      <c r="FR210" s="629"/>
      <c r="FS210" s="629"/>
      <c r="FT210" s="629"/>
      <c r="FU210" s="629"/>
      <c r="FV210" s="629"/>
      <c r="FW210" s="629"/>
      <c r="FX210" s="629"/>
      <c r="FY210" s="629"/>
      <c r="FZ210" s="629"/>
      <c r="GA210" s="629"/>
      <c r="GB210" s="629"/>
      <c r="GC210" s="629"/>
      <c r="GD210" s="629"/>
      <c r="GE210" s="629"/>
      <c r="GF210" s="629"/>
      <c r="GG210" s="629"/>
      <c r="GH210" s="629"/>
      <c r="GI210" s="629"/>
      <c r="GJ210" s="629"/>
      <c r="GK210" s="629"/>
      <c r="GL210" s="629"/>
      <c r="GM210" s="629"/>
      <c r="GN210" s="629"/>
      <c r="GO210" s="629"/>
      <c r="GP210" s="629"/>
      <c r="GQ210" s="629"/>
      <c r="GR210" s="629"/>
      <c r="GS210" s="629"/>
      <c r="GT210" s="629"/>
      <c r="GU210" s="629"/>
      <c r="GV210" s="629"/>
      <c r="GW210" s="629"/>
      <c r="GX210" s="629"/>
      <c r="GY210" s="629"/>
      <c r="GZ210" s="629"/>
      <c r="HA210" s="629"/>
      <c r="HB210" s="629"/>
      <c r="HC210" s="629"/>
      <c r="HD210" s="629"/>
      <c r="HE210" s="629"/>
      <c r="HF210" s="629"/>
      <c r="HG210" s="629"/>
      <c r="HH210" s="629"/>
      <c r="HI210" s="629"/>
      <c r="HJ210" s="629"/>
      <c r="HK210" s="629"/>
      <c r="HL210" s="629"/>
      <c r="HM210" s="629"/>
      <c r="HN210" s="629"/>
      <c r="HO210" s="629"/>
      <c r="HP210" s="629"/>
      <c r="HQ210" s="629"/>
      <c r="HR210" s="629"/>
      <c r="HS210" s="629"/>
      <c r="HT210" s="629"/>
      <c r="HU210" s="629"/>
      <c r="HV210" s="629"/>
      <c r="HW210" s="629"/>
      <c r="HX210" s="629"/>
      <c r="HY210" s="629"/>
      <c r="HZ210" s="629"/>
      <c r="IA210" s="629"/>
      <c r="IB210" s="629"/>
      <c r="IC210" s="629"/>
      <c r="ID210" s="629"/>
      <c r="IE210" s="629"/>
      <c r="IF210" s="629"/>
      <c r="IG210" s="629"/>
      <c r="IH210" s="629"/>
      <c r="II210" s="629"/>
      <c r="IJ210" s="629"/>
      <c r="IK210" s="629"/>
      <c r="IL210" s="629"/>
      <c r="IM210" s="629"/>
      <c r="IN210" s="629"/>
      <c r="IO210" s="629"/>
      <c r="IP210" s="629"/>
      <c r="IQ210" s="629"/>
    </row>
    <row r="211" spans="1:251" s="120" customFormat="1" ht="13.8">
      <c r="A211" s="112"/>
      <c r="B211" s="945"/>
      <c r="C211" s="985" t="s">
        <v>1795</v>
      </c>
      <c r="D211" s="975" t="s">
        <v>3747</v>
      </c>
      <c r="E211" s="976"/>
      <c r="F211" s="703"/>
      <c r="G211" s="702"/>
      <c r="H211" s="702"/>
      <c r="I211" s="702"/>
      <c r="J211" s="700"/>
      <c r="K211" s="112"/>
      <c r="L211" s="363"/>
      <c r="M211" s="112"/>
      <c r="N211" s="362"/>
      <c r="O211" s="573"/>
    </row>
    <row r="212" spans="1:251" s="20" customFormat="1" ht="12" customHeight="1">
      <c r="A212" s="112"/>
      <c r="B212" s="723"/>
      <c r="C212" s="989"/>
      <c r="D212" s="975" t="s">
        <v>3748</v>
      </c>
      <c r="E212" s="976"/>
      <c r="F212" s="703"/>
      <c r="G212" s="702"/>
      <c r="H212" s="702"/>
      <c r="I212" s="702"/>
      <c r="J212" s="700"/>
      <c r="K212" s="900"/>
      <c r="L212" s="900"/>
      <c r="M212" s="900"/>
      <c r="N212" s="362"/>
      <c r="O212" s="704"/>
      <c r="P212" s="629"/>
      <c r="Q212" s="120" t="str">
        <f>IF(O212&lt;&gt;"",#REF!,"")</f>
        <v/>
      </c>
      <c r="R212" s="629"/>
      <c r="S212" s="629"/>
      <c r="T212" s="629"/>
      <c r="U212" s="629"/>
      <c r="V212" s="629"/>
      <c r="W212" s="629"/>
      <c r="X212" s="629"/>
      <c r="Y212" s="629"/>
      <c r="Z212" s="629"/>
      <c r="AA212" s="629"/>
      <c r="AB212" s="629"/>
      <c r="AC212" s="629"/>
      <c r="AD212" s="629"/>
      <c r="AE212" s="629"/>
      <c r="AF212" s="629"/>
      <c r="AG212" s="629"/>
      <c r="AH212" s="629"/>
      <c r="AI212" s="629"/>
      <c r="AJ212" s="629"/>
      <c r="AK212" s="629"/>
      <c r="AL212" s="629"/>
      <c r="AM212" s="629"/>
      <c r="AN212" s="629"/>
      <c r="AO212" s="629"/>
      <c r="AP212" s="629"/>
      <c r="AQ212" s="629"/>
      <c r="AR212" s="629"/>
      <c r="AS212" s="629"/>
      <c r="AT212" s="629"/>
      <c r="AU212" s="629"/>
      <c r="AV212" s="629"/>
      <c r="AW212" s="629"/>
      <c r="AX212" s="629"/>
      <c r="AY212" s="629"/>
      <c r="AZ212" s="629"/>
      <c r="BA212" s="629"/>
      <c r="BB212" s="629"/>
      <c r="BC212" s="629"/>
      <c r="BD212" s="629"/>
      <c r="BE212" s="629"/>
      <c r="BF212" s="629"/>
      <c r="BG212" s="629"/>
      <c r="BH212" s="629"/>
      <c r="BI212" s="629"/>
      <c r="BJ212" s="629"/>
      <c r="BK212" s="629"/>
      <c r="BL212" s="629"/>
      <c r="BM212" s="629"/>
      <c r="BN212" s="629"/>
      <c r="BO212" s="629"/>
      <c r="BP212" s="629"/>
      <c r="BQ212" s="629"/>
      <c r="BR212" s="629"/>
      <c r="BS212" s="629"/>
      <c r="BT212" s="629"/>
      <c r="BU212" s="629"/>
      <c r="BV212" s="629"/>
      <c r="BW212" s="629"/>
      <c r="BX212" s="629"/>
      <c r="BY212" s="629"/>
      <c r="BZ212" s="629"/>
      <c r="CA212" s="629"/>
      <c r="CB212" s="629"/>
      <c r="CC212" s="629"/>
      <c r="CD212" s="629"/>
      <c r="CE212" s="629"/>
      <c r="CF212" s="629"/>
      <c r="CG212" s="629"/>
      <c r="CH212" s="629"/>
      <c r="CI212" s="629"/>
      <c r="CJ212" s="629"/>
      <c r="CK212" s="629"/>
      <c r="CL212" s="629"/>
      <c r="CM212" s="629"/>
      <c r="CN212" s="629"/>
      <c r="CO212" s="629"/>
      <c r="CP212" s="629"/>
      <c r="CQ212" s="629"/>
      <c r="CR212" s="629"/>
      <c r="CS212" s="629"/>
      <c r="CT212" s="629"/>
      <c r="CU212" s="629"/>
      <c r="CV212" s="629"/>
      <c r="CW212" s="629"/>
      <c r="CX212" s="629"/>
      <c r="CY212" s="629"/>
      <c r="CZ212" s="629"/>
      <c r="DA212" s="629"/>
      <c r="DB212" s="629"/>
      <c r="DC212" s="629"/>
      <c r="DD212" s="629"/>
      <c r="DE212" s="629"/>
      <c r="DF212" s="629"/>
      <c r="DG212" s="629"/>
      <c r="DH212" s="629"/>
      <c r="DI212" s="629"/>
      <c r="DJ212" s="629"/>
      <c r="DK212" s="629"/>
      <c r="DL212" s="629"/>
      <c r="DM212" s="629"/>
      <c r="DN212" s="629"/>
      <c r="DO212" s="629"/>
      <c r="DP212" s="629"/>
      <c r="DQ212" s="629"/>
      <c r="DR212" s="629"/>
      <c r="DS212" s="629"/>
      <c r="DT212" s="629"/>
      <c r="DU212" s="629"/>
      <c r="DV212" s="629"/>
      <c r="DW212" s="629"/>
      <c r="DX212" s="629"/>
      <c r="DY212" s="629"/>
      <c r="DZ212" s="629"/>
      <c r="EA212" s="629"/>
      <c r="EB212" s="629"/>
      <c r="EC212" s="629"/>
      <c r="ED212" s="629"/>
      <c r="EE212" s="629"/>
      <c r="EF212" s="629"/>
      <c r="EG212" s="629"/>
      <c r="EH212" s="629"/>
      <c r="EI212" s="629"/>
      <c r="EJ212" s="629"/>
      <c r="EK212" s="629"/>
      <c r="EL212" s="629"/>
      <c r="EM212" s="629"/>
      <c r="EN212" s="629"/>
      <c r="EO212" s="629"/>
      <c r="EP212" s="629"/>
      <c r="EQ212" s="629"/>
      <c r="ER212" s="629"/>
      <c r="ES212" s="629"/>
      <c r="ET212" s="629"/>
      <c r="EU212" s="629"/>
      <c r="EV212" s="629"/>
      <c r="EW212" s="629"/>
      <c r="EX212" s="629"/>
      <c r="EY212" s="629"/>
      <c r="EZ212" s="629"/>
      <c r="FA212" s="629"/>
      <c r="FB212" s="629"/>
      <c r="FC212" s="629"/>
      <c r="FD212" s="629"/>
      <c r="FE212" s="629"/>
      <c r="FF212" s="629"/>
      <c r="FG212" s="629"/>
      <c r="FH212" s="629"/>
      <c r="FI212" s="629"/>
      <c r="FJ212" s="629"/>
      <c r="FK212" s="629"/>
      <c r="FL212" s="629"/>
      <c r="FM212" s="629"/>
      <c r="FN212" s="629"/>
      <c r="FO212" s="629"/>
      <c r="FP212" s="629"/>
      <c r="FQ212" s="629"/>
      <c r="FR212" s="629"/>
      <c r="FS212" s="629"/>
      <c r="FT212" s="629"/>
      <c r="FU212" s="629"/>
      <c r="FV212" s="629"/>
      <c r="FW212" s="629"/>
      <c r="FX212" s="629"/>
      <c r="FY212" s="629"/>
      <c r="FZ212" s="629"/>
      <c r="GA212" s="629"/>
      <c r="GB212" s="629"/>
      <c r="GC212" s="629"/>
      <c r="GD212" s="629"/>
      <c r="GE212" s="629"/>
      <c r="GF212" s="629"/>
      <c r="GG212" s="629"/>
      <c r="GH212" s="629"/>
      <c r="GI212" s="629"/>
      <c r="GJ212" s="629"/>
      <c r="GK212" s="629"/>
      <c r="GL212" s="629"/>
      <c r="GM212" s="629"/>
      <c r="GN212" s="629"/>
      <c r="GO212" s="629"/>
      <c r="GP212" s="629"/>
      <c r="GQ212" s="629"/>
      <c r="GR212" s="629"/>
      <c r="GS212" s="629"/>
      <c r="GT212" s="629"/>
      <c r="GU212" s="629"/>
      <c r="GV212" s="629"/>
      <c r="GW212" s="629"/>
      <c r="GX212" s="629"/>
      <c r="GY212" s="629"/>
      <c r="GZ212" s="629"/>
      <c r="HA212" s="629"/>
      <c r="HB212" s="629"/>
      <c r="HC212" s="629"/>
      <c r="HD212" s="629"/>
      <c r="HE212" s="629"/>
      <c r="HF212" s="629"/>
      <c r="HG212" s="629"/>
      <c r="HH212" s="629"/>
      <c r="HI212" s="629"/>
      <c r="HJ212" s="629"/>
      <c r="HK212" s="629"/>
      <c r="HL212" s="629"/>
      <c r="HM212" s="629"/>
      <c r="HN212" s="629"/>
      <c r="HO212" s="629"/>
      <c r="HP212" s="629"/>
      <c r="HQ212" s="629"/>
      <c r="HR212" s="629"/>
      <c r="HS212" s="629"/>
      <c r="HT212" s="629"/>
      <c r="HU212" s="629"/>
      <c r="HV212" s="629"/>
      <c r="HW212" s="629"/>
      <c r="HX212" s="629"/>
      <c r="HY212" s="629"/>
      <c r="HZ212" s="629"/>
      <c r="IA212" s="629"/>
      <c r="IB212" s="629"/>
      <c r="IC212" s="629"/>
      <c r="ID212" s="629"/>
      <c r="IE212" s="629"/>
      <c r="IF212" s="629"/>
      <c r="IG212" s="629"/>
      <c r="IH212" s="629"/>
      <c r="II212" s="629"/>
      <c r="IJ212" s="629"/>
      <c r="IK212" s="629"/>
      <c r="IL212" s="629"/>
      <c r="IM212" s="629"/>
      <c r="IN212" s="629"/>
      <c r="IO212" s="629"/>
      <c r="IP212" s="629"/>
      <c r="IQ212" s="629"/>
    </row>
    <row r="213" spans="1:251" s="20" customFormat="1" ht="12" customHeight="1">
      <c r="A213" s="112"/>
      <c r="B213" s="723"/>
      <c r="C213" s="989"/>
      <c r="D213" s="975" t="s">
        <v>3749</v>
      </c>
      <c r="E213" s="976"/>
      <c r="F213" s="703"/>
      <c r="G213" s="702"/>
      <c r="H213" s="702"/>
      <c r="I213" s="702"/>
      <c r="J213" s="700"/>
      <c r="K213" s="900"/>
      <c r="L213" s="900"/>
      <c r="M213" s="900"/>
      <c r="N213" s="362"/>
      <c r="O213" s="704"/>
      <c r="P213" s="629"/>
      <c r="Q213" s="120" t="str">
        <f>IF(O213&lt;&gt;"",#REF!,"")</f>
        <v/>
      </c>
      <c r="R213" s="629"/>
      <c r="S213" s="629"/>
      <c r="T213" s="629"/>
      <c r="U213" s="629"/>
      <c r="V213" s="629"/>
      <c r="W213" s="629"/>
      <c r="X213" s="629"/>
      <c r="Y213" s="629"/>
      <c r="Z213" s="629"/>
      <c r="AA213" s="629"/>
      <c r="AB213" s="629"/>
      <c r="AC213" s="629"/>
      <c r="AD213" s="629"/>
      <c r="AE213" s="629"/>
      <c r="AF213" s="629"/>
      <c r="AG213" s="629"/>
      <c r="AH213" s="629"/>
      <c r="AI213" s="629"/>
      <c r="AJ213" s="629"/>
      <c r="AK213" s="629"/>
      <c r="AL213" s="629"/>
      <c r="AM213" s="629"/>
      <c r="AN213" s="629"/>
      <c r="AO213" s="629"/>
      <c r="AP213" s="629"/>
      <c r="AQ213" s="629"/>
      <c r="AR213" s="629"/>
      <c r="AS213" s="629"/>
      <c r="AT213" s="629"/>
      <c r="AU213" s="629"/>
      <c r="AV213" s="629"/>
      <c r="AW213" s="629"/>
      <c r="AX213" s="629"/>
      <c r="AY213" s="629"/>
      <c r="AZ213" s="629"/>
      <c r="BA213" s="629"/>
      <c r="BB213" s="629"/>
      <c r="BC213" s="629"/>
      <c r="BD213" s="629"/>
      <c r="BE213" s="629"/>
      <c r="BF213" s="629"/>
      <c r="BG213" s="629"/>
      <c r="BH213" s="629"/>
      <c r="BI213" s="629"/>
      <c r="BJ213" s="629"/>
      <c r="BK213" s="629"/>
      <c r="BL213" s="629"/>
      <c r="BM213" s="629"/>
      <c r="BN213" s="629"/>
      <c r="BO213" s="629"/>
      <c r="BP213" s="629"/>
      <c r="BQ213" s="629"/>
      <c r="BR213" s="629"/>
      <c r="BS213" s="629"/>
      <c r="BT213" s="629"/>
      <c r="BU213" s="629"/>
      <c r="BV213" s="629"/>
      <c r="BW213" s="629"/>
      <c r="BX213" s="629"/>
      <c r="BY213" s="629"/>
      <c r="BZ213" s="629"/>
      <c r="CA213" s="629"/>
      <c r="CB213" s="629"/>
      <c r="CC213" s="629"/>
      <c r="CD213" s="629"/>
      <c r="CE213" s="629"/>
      <c r="CF213" s="629"/>
      <c r="CG213" s="629"/>
      <c r="CH213" s="629"/>
      <c r="CI213" s="629"/>
      <c r="CJ213" s="629"/>
      <c r="CK213" s="629"/>
      <c r="CL213" s="629"/>
      <c r="CM213" s="629"/>
      <c r="CN213" s="629"/>
      <c r="CO213" s="629"/>
      <c r="CP213" s="629"/>
      <c r="CQ213" s="629"/>
      <c r="CR213" s="629"/>
      <c r="CS213" s="629"/>
      <c r="CT213" s="629"/>
      <c r="CU213" s="629"/>
      <c r="CV213" s="629"/>
      <c r="CW213" s="629"/>
      <c r="CX213" s="629"/>
      <c r="CY213" s="629"/>
      <c r="CZ213" s="629"/>
      <c r="DA213" s="629"/>
      <c r="DB213" s="629"/>
      <c r="DC213" s="629"/>
      <c r="DD213" s="629"/>
      <c r="DE213" s="629"/>
      <c r="DF213" s="629"/>
      <c r="DG213" s="629"/>
      <c r="DH213" s="629"/>
      <c r="DI213" s="629"/>
      <c r="DJ213" s="629"/>
      <c r="DK213" s="629"/>
      <c r="DL213" s="629"/>
      <c r="DM213" s="629"/>
      <c r="DN213" s="629"/>
      <c r="DO213" s="629"/>
      <c r="DP213" s="629"/>
      <c r="DQ213" s="629"/>
      <c r="DR213" s="629"/>
      <c r="DS213" s="629"/>
      <c r="DT213" s="629"/>
      <c r="DU213" s="629"/>
      <c r="DV213" s="629"/>
      <c r="DW213" s="629"/>
      <c r="DX213" s="629"/>
      <c r="DY213" s="629"/>
      <c r="DZ213" s="629"/>
      <c r="EA213" s="629"/>
      <c r="EB213" s="629"/>
      <c r="EC213" s="629"/>
      <c r="ED213" s="629"/>
      <c r="EE213" s="629"/>
      <c r="EF213" s="629"/>
      <c r="EG213" s="629"/>
      <c r="EH213" s="629"/>
      <c r="EI213" s="629"/>
      <c r="EJ213" s="629"/>
      <c r="EK213" s="629"/>
      <c r="EL213" s="629"/>
      <c r="EM213" s="629"/>
      <c r="EN213" s="629"/>
      <c r="EO213" s="629"/>
      <c r="EP213" s="629"/>
      <c r="EQ213" s="629"/>
      <c r="ER213" s="629"/>
      <c r="ES213" s="629"/>
      <c r="ET213" s="629"/>
      <c r="EU213" s="629"/>
      <c r="EV213" s="629"/>
      <c r="EW213" s="629"/>
      <c r="EX213" s="629"/>
      <c r="EY213" s="629"/>
      <c r="EZ213" s="629"/>
      <c r="FA213" s="629"/>
      <c r="FB213" s="629"/>
      <c r="FC213" s="629"/>
      <c r="FD213" s="629"/>
      <c r="FE213" s="629"/>
      <c r="FF213" s="629"/>
      <c r="FG213" s="629"/>
      <c r="FH213" s="629"/>
      <c r="FI213" s="629"/>
      <c r="FJ213" s="629"/>
      <c r="FK213" s="629"/>
      <c r="FL213" s="629"/>
      <c r="FM213" s="629"/>
      <c r="FN213" s="629"/>
      <c r="FO213" s="629"/>
      <c r="FP213" s="629"/>
      <c r="FQ213" s="629"/>
      <c r="FR213" s="629"/>
      <c r="FS213" s="629"/>
      <c r="FT213" s="629"/>
      <c r="FU213" s="629"/>
      <c r="FV213" s="629"/>
      <c r="FW213" s="629"/>
      <c r="FX213" s="629"/>
      <c r="FY213" s="629"/>
      <c r="FZ213" s="629"/>
      <c r="GA213" s="629"/>
      <c r="GB213" s="629"/>
      <c r="GC213" s="629"/>
      <c r="GD213" s="629"/>
      <c r="GE213" s="629"/>
      <c r="GF213" s="629"/>
      <c r="GG213" s="629"/>
      <c r="GH213" s="629"/>
      <c r="GI213" s="629"/>
      <c r="GJ213" s="629"/>
      <c r="GK213" s="629"/>
      <c r="GL213" s="629"/>
      <c r="GM213" s="629"/>
      <c r="GN213" s="629"/>
      <c r="GO213" s="629"/>
      <c r="GP213" s="629"/>
      <c r="GQ213" s="629"/>
      <c r="GR213" s="629"/>
      <c r="GS213" s="629"/>
      <c r="GT213" s="629"/>
      <c r="GU213" s="629"/>
      <c r="GV213" s="629"/>
      <c r="GW213" s="629"/>
      <c r="GX213" s="629"/>
      <c r="GY213" s="629"/>
      <c r="GZ213" s="629"/>
      <c r="HA213" s="629"/>
      <c r="HB213" s="629"/>
      <c r="HC213" s="629"/>
      <c r="HD213" s="629"/>
      <c r="HE213" s="629"/>
      <c r="HF213" s="629"/>
      <c r="HG213" s="629"/>
      <c r="HH213" s="629"/>
      <c r="HI213" s="629"/>
      <c r="HJ213" s="629"/>
      <c r="HK213" s="629"/>
      <c r="HL213" s="629"/>
      <c r="HM213" s="629"/>
      <c r="HN213" s="629"/>
      <c r="HO213" s="629"/>
      <c r="HP213" s="629"/>
      <c r="HQ213" s="629"/>
      <c r="HR213" s="629"/>
      <c r="HS213" s="629"/>
      <c r="HT213" s="629"/>
      <c r="HU213" s="629"/>
      <c r="HV213" s="629"/>
      <c r="HW213" s="629"/>
      <c r="HX213" s="629"/>
      <c r="HY213" s="629"/>
      <c r="HZ213" s="629"/>
      <c r="IA213" s="629"/>
      <c r="IB213" s="629"/>
      <c r="IC213" s="629"/>
      <c r="ID213" s="629"/>
      <c r="IE213" s="629"/>
      <c r="IF213" s="629"/>
      <c r="IG213" s="629"/>
      <c r="IH213" s="629"/>
      <c r="II213" s="629"/>
      <c r="IJ213" s="629"/>
      <c r="IK213" s="629"/>
      <c r="IL213" s="629"/>
      <c r="IM213" s="629"/>
      <c r="IN213" s="629"/>
      <c r="IO213" s="629"/>
      <c r="IP213" s="629"/>
      <c r="IQ213" s="629"/>
    </row>
    <row r="214" spans="1:251" s="120" customFormat="1" ht="13.8">
      <c r="A214" s="629"/>
      <c r="B214" s="630"/>
      <c r="C214" s="980"/>
      <c r="D214" s="980"/>
      <c r="E214" s="981"/>
      <c r="F214" s="899"/>
      <c r="G214" s="899"/>
      <c r="H214" s="899"/>
      <c r="I214" s="899"/>
      <c r="J214" s="899"/>
      <c r="K214" s="112"/>
      <c r="L214" s="363"/>
      <c r="M214" s="112"/>
      <c r="N214" s="362"/>
      <c r="O214" s="573"/>
    </row>
    <row r="215" spans="1:251" ht="14.4" customHeight="1">
      <c r="B215" s="14"/>
      <c r="C215" s="990"/>
      <c r="D215" s="982"/>
      <c r="E215" s="983"/>
      <c r="F215" s="972"/>
      <c r="G215" s="972"/>
      <c r="I215" s="4"/>
    </row>
    <row r="216" spans="1:251" ht="14.4" customHeight="1">
      <c r="B216" s="2"/>
      <c r="D216" s="2"/>
      <c r="E216"/>
      <c r="I216" s="4"/>
    </row>
    <row r="217" spans="1:251" ht="14.4" customHeight="1">
      <c r="B217" s="2"/>
      <c r="D217" s="2"/>
      <c r="E217"/>
      <c r="I217" s="4"/>
    </row>
    <row r="218" spans="1:251" ht="14.4" customHeight="1">
      <c r="B218" s="2"/>
      <c r="D218" s="2"/>
      <c r="E218"/>
      <c r="I218" s="4"/>
    </row>
    <row r="219" spans="1:251" ht="14.4" customHeight="1">
      <c r="B219" s="2"/>
      <c r="D219" s="2"/>
      <c r="E219"/>
      <c r="I219" s="4"/>
    </row>
    <row r="220" spans="1:251" ht="14.4" customHeight="1">
      <c r="B220" s="2"/>
      <c r="D220" s="2"/>
      <c r="E220"/>
      <c r="I220" s="4"/>
    </row>
    <row r="221" spans="1:251" ht="14.4" customHeight="1">
      <c r="B221" s="2"/>
      <c r="D221" s="2"/>
      <c r="E221"/>
      <c r="I221" s="4"/>
    </row>
    <row r="222" spans="1:251" ht="14.4" customHeight="1">
      <c r="B222" s="2"/>
      <c r="C222" s="991" t="s">
        <v>3764</v>
      </c>
      <c r="D222" s="991"/>
      <c r="E222" s="992"/>
      <c r="I222" s="4"/>
    </row>
    <row r="223" spans="1:251" ht="14.4" customHeight="1">
      <c r="B223" s="1"/>
      <c r="C223" s="940"/>
      <c r="D223" s="940"/>
      <c r="E223" s="992"/>
      <c r="I223" s="4"/>
    </row>
    <row r="224" spans="1:251" ht="14.4" customHeight="1">
      <c r="B224" s="1"/>
      <c r="C224" s="940" t="s">
        <v>3765</v>
      </c>
      <c r="D224" s="940"/>
      <c r="E224" s="993"/>
      <c r="F224" s="12"/>
      <c r="I224" s="4"/>
    </row>
    <row r="225" spans="2:9" ht="14.4" customHeight="1">
      <c r="B225" s="1"/>
      <c r="C225" s="940" t="s">
        <v>3766</v>
      </c>
      <c r="D225" s="940"/>
      <c r="E225" s="993"/>
      <c r="F225" s="6"/>
      <c r="I225" s="4"/>
    </row>
    <row r="226" spans="2:9" ht="14.4" customHeight="1">
      <c r="B226" s="12"/>
      <c r="C226" s="993"/>
      <c r="D226" s="993"/>
      <c r="E226" s="992" t="s">
        <v>3762</v>
      </c>
      <c r="F226" s="6"/>
      <c r="I226" s="4"/>
    </row>
    <row r="227" spans="2:9" ht="14.4" customHeight="1">
      <c r="B227" s="1"/>
      <c r="C227" s="940" t="s">
        <v>3767</v>
      </c>
      <c r="D227" s="940"/>
      <c r="E227" s="992"/>
      <c r="F227" s="6"/>
      <c r="I227" s="4"/>
    </row>
    <row r="228" spans="2:9" ht="14.4" customHeight="1">
      <c r="B228" s="1"/>
      <c r="C228" s="940"/>
      <c r="D228" s="940"/>
      <c r="E228" s="992"/>
      <c r="I228" s="4"/>
    </row>
    <row r="229" spans="2:9" ht="14.4" customHeight="1">
      <c r="B229" s="12"/>
      <c r="C229" s="993" t="s">
        <v>3768</v>
      </c>
      <c r="D229" s="993"/>
      <c r="E229" s="992"/>
      <c r="I229" s="4"/>
    </row>
    <row r="230" spans="2:9" ht="14.4" customHeight="1">
      <c r="B230" s="12"/>
      <c r="C230" s="993" t="s">
        <v>3769</v>
      </c>
      <c r="D230" s="993"/>
      <c r="E230" s="992"/>
      <c r="I230" s="4"/>
    </row>
    <row r="231" spans="2:9" ht="14.4" customHeight="1">
      <c r="B231" s="12"/>
      <c r="C231" s="994"/>
      <c r="D231" s="993"/>
      <c r="E231" s="992"/>
      <c r="I231" s="4"/>
    </row>
    <row r="232" spans="2:9" ht="14.4" customHeight="1">
      <c r="C232" s="994"/>
      <c r="D232" s="992"/>
      <c r="E232" s="993"/>
      <c r="I232" s="4"/>
    </row>
    <row r="233" spans="2:9" ht="14.4" customHeight="1">
      <c r="B233" s="11"/>
      <c r="C233" s="995" t="s">
        <v>3191</v>
      </c>
      <c r="D233" s="992"/>
      <c r="E233" s="992"/>
      <c r="I233" s="4"/>
    </row>
    <row r="234" spans="2:9" ht="14.4" customHeight="1">
      <c r="C234" s="996" t="s">
        <v>3756</v>
      </c>
      <c r="D234" s="996"/>
      <c r="E234" s="996"/>
    </row>
    <row r="235" spans="2:9" ht="14.4" customHeight="1">
      <c r="C235" s="995" t="s">
        <v>3757</v>
      </c>
      <c r="D235" s="992"/>
      <c r="E235" s="992"/>
    </row>
    <row r="236" spans="2:9" ht="14.4" customHeight="1">
      <c r="C236" s="994"/>
      <c r="D236" s="993"/>
      <c r="E236" s="993"/>
    </row>
    <row r="237" spans="2:9" ht="14.4" customHeight="1">
      <c r="C237" s="994"/>
      <c r="D237" s="993"/>
      <c r="E237" s="993"/>
    </row>
    <row r="238" spans="2:9" ht="14.4" customHeight="1">
      <c r="C238" s="994"/>
      <c r="D238" s="993"/>
      <c r="E238" s="993"/>
    </row>
    <row r="239" spans="2:9" ht="13.8">
      <c r="C239" s="994"/>
      <c r="D239" s="993"/>
      <c r="E239" s="993"/>
    </row>
    <row r="240" spans="2:9" ht="13.8">
      <c r="C240" s="994"/>
      <c r="D240" s="993"/>
      <c r="E240" s="993"/>
    </row>
  </sheetData>
  <mergeCells count="171">
    <mergeCell ref="F182:G182"/>
    <mergeCell ref="F183:G183"/>
    <mergeCell ref="F184:G184"/>
    <mergeCell ref="F185:G185"/>
    <mergeCell ref="F186:G186"/>
    <mergeCell ref="F177:G177"/>
    <mergeCell ref="F178:G178"/>
    <mergeCell ref="F179:G179"/>
    <mergeCell ref="F180:G180"/>
    <mergeCell ref="F181:G181"/>
    <mergeCell ref="F172:G172"/>
    <mergeCell ref="F173:G173"/>
    <mergeCell ref="F174:G174"/>
    <mergeCell ref="F175:G175"/>
    <mergeCell ref="F176:G176"/>
    <mergeCell ref="F167:G167"/>
    <mergeCell ref="F168:G168"/>
    <mergeCell ref="F169:G169"/>
    <mergeCell ref="F170:G170"/>
    <mergeCell ref="F171:G171"/>
    <mergeCell ref="F162:G162"/>
    <mergeCell ref="F163:G163"/>
    <mergeCell ref="F164:G164"/>
    <mergeCell ref="F165:G165"/>
    <mergeCell ref="F166:G166"/>
    <mergeCell ref="F157:G157"/>
    <mergeCell ref="F158:G158"/>
    <mergeCell ref="F159:G159"/>
    <mergeCell ref="F160:G160"/>
    <mergeCell ref="F161:G161"/>
    <mergeCell ref="F152:G152"/>
    <mergeCell ref="F153:G153"/>
    <mergeCell ref="F154:G154"/>
    <mergeCell ref="F155:G155"/>
    <mergeCell ref="F156:G156"/>
    <mergeCell ref="F147:G147"/>
    <mergeCell ref="F148:G148"/>
    <mergeCell ref="F149:G149"/>
    <mergeCell ref="F150:G150"/>
    <mergeCell ref="F151:G151"/>
    <mergeCell ref="F142:G142"/>
    <mergeCell ref="F143:G143"/>
    <mergeCell ref="F144:G144"/>
    <mergeCell ref="F145:G145"/>
    <mergeCell ref="F146:G146"/>
    <mergeCell ref="F137:G137"/>
    <mergeCell ref="F138:G138"/>
    <mergeCell ref="F139:G139"/>
    <mergeCell ref="F140:G140"/>
    <mergeCell ref="F141:G141"/>
    <mergeCell ref="F132:G132"/>
    <mergeCell ref="F133:G133"/>
    <mergeCell ref="F134:G134"/>
    <mergeCell ref="F135:G135"/>
    <mergeCell ref="F136:G136"/>
    <mergeCell ref="F127:G127"/>
    <mergeCell ref="F128:G128"/>
    <mergeCell ref="F129:G129"/>
    <mergeCell ref="F130:G130"/>
    <mergeCell ref="F131:G131"/>
    <mergeCell ref="F122:G122"/>
    <mergeCell ref="F123:G123"/>
    <mergeCell ref="F124:G124"/>
    <mergeCell ref="F125:G125"/>
    <mergeCell ref="F126:G126"/>
    <mergeCell ref="F117:G117"/>
    <mergeCell ref="F118:G118"/>
    <mergeCell ref="F119:G119"/>
    <mergeCell ref="F120:G120"/>
    <mergeCell ref="F121:G121"/>
    <mergeCell ref="F112:G112"/>
    <mergeCell ref="F113:G113"/>
    <mergeCell ref="F114:G114"/>
    <mergeCell ref="F115:G115"/>
    <mergeCell ref="F116:G116"/>
    <mergeCell ref="F107:G107"/>
    <mergeCell ref="F108:G108"/>
    <mergeCell ref="F109:G109"/>
    <mergeCell ref="F110:G110"/>
    <mergeCell ref="F111:G111"/>
    <mergeCell ref="F102:G102"/>
    <mergeCell ref="F103:G103"/>
    <mergeCell ref="F104:G104"/>
    <mergeCell ref="F105:G105"/>
    <mergeCell ref="F106:G106"/>
    <mergeCell ref="F97:G97"/>
    <mergeCell ref="F98:G98"/>
    <mergeCell ref="F99:G99"/>
    <mergeCell ref="F100:G100"/>
    <mergeCell ref="F101:G101"/>
    <mergeCell ref="F92:G92"/>
    <mergeCell ref="F93:G93"/>
    <mergeCell ref="F94:G94"/>
    <mergeCell ref="F95:G95"/>
    <mergeCell ref="F96:G96"/>
    <mergeCell ref="F87:G87"/>
    <mergeCell ref="F88:G88"/>
    <mergeCell ref="F89:G89"/>
    <mergeCell ref="F90:G90"/>
    <mergeCell ref="F91:G91"/>
    <mergeCell ref="F82:G82"/>
    <mergeCell ref="F83:G83"/>
    <mergeCell ref="F84:G84"/>
    <mergeCell ref="F85:G85"/>
    <mergeCell ref="F86:G86"/>
    <mergeCell ref="F77:G77"/>
    <mergeCell ref="F78:G78"/>
    <mergeCell ref="F79:G79"/>
    <mergeCell ref="F80:G80"/>
    <mergeCell ref="F81:G81"/>
    <mergeCell ref="F72:G72"/>
    <mergeCell ref="F73:G73"/>
    <mergeCell ref="F74:G74"/>
    <mergeCell ref="F75:G75"/>
    <mergeCell ref="F76:G76"/>
    <mergeCell ref="F67:G67"/>
    <mergeCell ref="F68:G68"/>
    <mergeCell ref="F69:G69"/>
    <mergeCell ref="F70:G70"/>
    <mergeCell ref="F71:G71"/>
    <mergeCell ref="F63:G63"/>
    <mergeCell ref="F64:G64"/>
    <mergeCell ref="F65:G65"/>
    <mergeCell ref="F66:G66"/>
    <mergeCell ref="F57:G57"/>
    <mergeCell ref="F58:G58"/>
    <mergeCell ref="F59:G59"/>
    <mergeCell ref="F60:G60"/>
    <mergeCell ref="F61:G61"/>
    <mergeCell ref="F17:G17"/>
    <mergeCell ref="F18:G18"/>
    <mergeCell ref="F19:G19"/>
    <mergeCell ref="F20:G20"/>
    <mergeCell ref="F21:G21"/>
    <mergeCell ref="F22:G22"/>
    <mergeCell ref="F23:G23"/>
    <mergeCell ref="F24:G24"/>
    <mergeCell ref="F25:G25"/>
    <mergeCell ref="F26:G26"/>
    <mergeCell ref="F27:G27"/>
    <mergeCell ref="F28:G28"/>
    <mergeCell ref="F29:G29"/>
    <mergeCell ref="F30:G30"/>
    <mergeCell ref="F31:G31"/>
    <mergeCell ref="F37:G37"/>
    <mergeCell ref="F38:G38"/>
    <mergeCell ref="F39:G39"/>
    <mergeCell ref="F187:G187"/>
    <mergeCell ref="F32:G32"/>
    <mergeCell ref="F33:G33"/>
    <mergeCell ref="F34:G34"/>
    <mergeCell ref="F35:G35"/>
    <mergeCell ref="F36:G36"/>
    <mergeCell ref="F40:G40"/>
    <mergeCell ref="F41:G41"/>
    <mergeCell ref="F42:G42"/>
    <mergeCell ref="F43:G43"/>
    <mergeCell ref="F44:G44"/>
    <mergeCell ref="F45:G45"/>
    <mergeCell ref="F46:G46"/>
    <mergeCell ref="F52:G52"/>
    <mergeCell ref="F53:G53"/>
    <mergeCell ref="F54:G54"/>
    <mergeCell ref="F55:G55"/>
    <mergeCell ref="F56:G56"/>
    <mergeCell ref="F47:G47"/>
    <mergeCell ref="F48:G48"/>
    <mergeCell ref="F49:G49"/>
    <mergeCell ref="F50:G50"/>
    <mergeCell ref="F51:G51"/>
    <mergeCell ref="F62:G62"/>
  </mergeCells>
  <phoneticPr fontId="27" type="noConversion"/>
  <pageMargins left="0.7" right="0.7" top="0.75" bottom="0.75" header="0.3" footer="0.3"/>
  <pageSetup paperSize="9" scale="10"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IQ43"/>
  <sheetViews>
    <sheetView zoomScale="85" zoomScaleNormal="85" workbookViewId="0">
      <selection activeCell="C8" sqref="C8"/>
    </sheetView>
  </sheetViews>
  <sheetFormatPr baseColWidth="10" defaultColWidth="11.44140625" defaultRowHeight="14.4"/>
  <cols>
    <col min="1" max="1" width="11.44140625" style="808"/>
    <col min="2" max="2" width="3.6640625" style="808" bestFit="1" customWidth="1"/>
    <col min="3" max="3" width="102.6640625" style="808" customWidth="1"/>
    <col min="4" max="16384" width="11.44140625" style="808"/>
  </cols>
  <sheetData>
    <row r="1" spans="1:251" s="802" customFormat="1" ht="14.1" customHeight="1"/>
    <row r="2" spans="1:251" s="802" customFormat="1" ht="14.1" customHeight="1">
      <c r="B2" s="803"/>
    </row>
    <row r="7" spans="1:251" s="802" customFormat="1" ht="14.1" customHeight="1">
      <c r="B7" s="806"/>
      <c r="C7" s="184"/>
      <c r="D7" s="805"/>
      <c r="E7" s="805"/>
      <c r="F7" s="805"/>
      <c r="G7" s="805"/>
      <c r="H7" s="805"/>
      <c r="I7" s="805"/>
    </row>
    <row r="8" spans="1:251" s="120" customFormat="1" ht="13.2">
      <c r="A8" s="112"/>
      <c r="B8" s="946" t="s">
        <v>1564</v>
      </c>
      <c r="C8" s="947" t="s">
        <v>3526</v>
      </c>
      <c r="E8" s="701"/>
      <c r="F8" s="703"/>
      <c r="G8" s="702"/>
      <c r="H8" s="702"/>
      <c r="I8" s="702"/>
      <c r="J8" s="700"/>
      <c r="K8" s="112"/>
      <c r="L8" s="363"/>
      <c r="M8" s="112"/>
      <c r="N8" s="362"/>
      <c r="O8" s="573"/>
    </row>
    <row r="9" spans="1:251" s="120" customFormat="1" ht="13.2">
      <c r="A9" s="112"/>
      <c r="B9" s="948"/>
      <c r="C9" s="947" t="s">
        <v>3527</v>
      </c>
      <c r="E9" s="701"/>
      <c r="F9" s="703"/>
      <c r="G9" s="702"/>
      <c r="H9" s="702"/>
      <c r="I9" s="702"/>
      <c r="J9" s="700"/>
      <c r="K9" s="112"/>
      <c r="L9" s="363"/>
      <c r="M9" s="112"/>
      <c r="N9" s="362"/>
      <c r="O9" s="573"/>
    </row>
    <row r="10" spans="1:251" s="120" customFormat="1" ht="13.2">
      <c r="A10" s="112"/>
      <c r="B10" s="948"/>
      <c r="C10" s="947" t="s">
        <v>3528</v>
      </c>
      <c r="E10" s="701"/>
      <c r="F10" s="703"/>
      <c r="G10" s="702"/>
      <c r="H10" s="702"/>
      <c r="I10" s="702"/>
      <c r="J10" s="700"/>
      <c r="K10" s="112"/>
      <c r="L10" s="363"/>
      <c r="M10" s="112"/>
      <c r="N10" s="362"/>
      <c r="O10" s="573"/>
    </row>
    <row r="11" spans="1:251" s="20" customFormat="1" ht="12" customHeight="1">
      <c r="A11" s="629"/>
      <c r="B11" s="630"/>
      <c r="C11" s="631"/>
      <c r="D11" s="631"/>
      <c r="E11" s="898"/>
      <c r="F11" s="899"/>
      <c r="G11" s="899"/>
      <c r="H11" s="899"/>
      <c r="I11" s="899"/>
      <c r="J11" s="899"/>
      <c r="K11" s="900"/>
      <c r="L11" s="900"/>
      <c r="M11" s="900"/>
      <c r="N11" s="362"/>
      <c r="O11" s="704"/>
      <c r="P11" s="629"/>
      <c r="Q11" s="120" t="str">
        <f>IF(O11&lt;&gt;"",D11,"")</f>
        <v/>
      </c>
      <c r="R11" s="629"/>
      <c r="S11" s="629"/>
      <c r="T11" s="629"/>
      <c r="U11" s="629"/>
      <c r="V11" s="629"/>
      <c r="W11" s="629"/>
      <c r="X11" s="629"/>
      <c r="Y11" s="629"/>
      <c r="Z11" s="629"/>
      <c r="AA11" s="629"/>
      <c r="AB11" s="629"/>
      <c r="AC11" s="629"/>
      <c r="AD11" s="629"/>
      <c r="AE11" s="629"/>
      <c r="AF11" s="629"/>
      <c r="AG11" s="629"/>
      <c r="AH11" s="629"/>
      <c r="AI11" s="629"/>
      <c r="AJ11" s="629"/>
      <c r="AK11" s="629"/>
      <c r="AL11" s="629"/>
      <c r="AM11" s="629"/>
      <c r="AN11" s="629"/>
      <c r="AO11" s="629"/>
      <c r="AP11" s="629"/>
      <c r="AQ11" s="629"/>
      <c r="AR11" s="629"/>
      <c r="AS11" s="629"/>
      <c r="AT11" s="629"/>
      <c r="AU11" s="629"/>
      <c r="AV11" s="629"/>
      <c r="AW11" s="629"/>
      <c r="AX11" s="629"/>
      <c r="AY11" s="629"/>
      <c r="AZ11" s="629"/>
      <c r="BA11" s="629"/>
      <c r="BB11" s="629"/>
      <c r="BC11" s="629"/>
      <c r="BD11" s="629"/>
      <c r="BE11" s="629"/>
      <c r="BF11" s="629"/>
      <c r="BG11" s="629"/>
      <c r="BH11" s="629"/>
      <c r="BI11" s="629"/>
      <c r="BJ11" s="629"/>
      <c r="BK11" s="629"/>
      <c r="BL11" s="629"/>
      <c r="BM11" s="629"/>
      <c r="BN11" s="629"/>
      <c r="BO11" s="629"/>
      <c r="BP11" s="629"/>
      <c r="BQ11" s="629"/>
      <c r="BR11" s="629"/>
      <c r="BS11" s="629"/>
      <c r="BT11" s="629"/>
      <c r="BU11" s="629"/>
      <c r="BV11" s="629"/>
      <c r="BW11" s="629"/>
      <c r="BX11" s="629"/>
      <c r="BY11" s="629"/>
      <c r="BZ11" s="629"/>
      <c r="CA11" s="629"/>
      <c r="CB11" s="629"/>
      <c r="CC11" s="629"/>
      <c r="CD11" s="629"/>
      <c r="CE11" s="629"/>
      <c r="CF11" s="629"/>
      <c r="CG11" s="629"/>
      <c r="CH11" s="629"/>
      <c r="CI11" s="629"/>
      <c r="CJ11" s="629"/>
      <c r="CK11" s="629"/>
      <c r="CL11" s="629"/>
      <c r="CM11" s="629"/>
      <c r="CN11" s="629"/>
      <c r="CO11" s="629"/>
      <c r="CP11" s="629"/>
      <c r="CQ11" s="629"/>
      <c r="CR11" s="629"/>
      <c r="CS11" s="629"/>
      <c r="CT11" s="629"/>
      <c r="CU11" s="629"/>
      <c r="CV11" s="629"/>
      <c r="CW11" s="629"/>
      <c r="CX11" s="629"/>
      <c r="CY11" s="629"/>
      <c r="CZ11" s="629"/>
      <c r="DA11" s="629"/>
      <c r="DB11" s="629"/>
      <c r="DC11" s="629"/>
      <c r="DD11" s="629"/>
      <c r="DE11" s="629"/>
      <c r="DF11" s="629"/>
      <c r="DG11" s="629"/>
      <c r="DH11" s="629"/>
      <c r="DI11" s="629"/>
      <c r="DJ11" s="629"/>
      <c r="DK11" s="629"/>
      <c r="DL11" s="629"/>
      <c r="DM11" s="629"/>
      <c r="DN11" s="629"/>
      <c r="DO11" s="629"/>
      <c r="DP11" s="629"/>
      <c r="DQ11" s="629"/>
      <c r="DR11" s="629"/>
      <c r="DS11" s="629"/>
      <c r="DT11" s="629"/>
      <c r="DU11" s="629"/>
      <c r="DV11" s="629"/>
      <c r="DW11" s="629"/>
      <c r="DX11" s="629"/>
      <c r="DY11" s="629"/>
      <c r="DZ11" s="629"/>
      <c r="EA11" s="629"/>
      <c r="EB11" s="629"/>
      <c r="EC11" s="629"/>
      <c r="ED11" s="629"/>
      <c r="EE11" s="629"/>
      <c r="EF11" s="629"/>
      <c r="EG11" s="629"/>
      <c r="EH11" s="629"/>
      <c r="EI11" s="629"/>
      <c r="EJ11" s="629"/>
      <c r="EK11" s="629"/>
      <c r="EL11" s="629"/>
      <c r="EM11" s="629"/>
      <c r="EN11" s="629"/>
      <c r="EO11" s="629"/>
      <c r="EP11" s="629"/>
      <c r="EQ11" s="629"/>
      <c r="ER11" s="629"/>
      <c r="ES11" s="629"/>
      <c r="ET11" s="629"/>
      <c r="EU11" s="629"/>
      <c r="EV11" s="629"/>
      <c r="EW11" s="629"/>
      <c r="EX11" s="629"/>
      <c r="EY11" s="629"/>
      <c r="EZ11" s="629"/>
      <c r="FA11" s="629"/>
      <c r="FB11" s="629"/>
      <c r="FC11" s="629"/>
      <c r="FD11" s="629"/>
      <c r="FE11" s="629"/>
      <c r="FF11" s="629"/>
      <c r="FG11" s="629"/>
      <c r="FH11" s="629"/>
      <c r="FI11" s="629"/>
      <c r="FJ11" s="629"/>
      <c r="FK11" s="629"/>
      <c r="FL11" s="629"/>
      <c r="FM11" s="629"/>
      <c r="FN11" s="629"/>
      <c r="FO11" s="629"/>
      <c r="FP11" s="629"/>
      <c r="FQ11" s="629"/>
      <c r="FR11" s="629"/>
      <c r="FS11" s="629"/>
      <c r="FT11" s="629"/>
      <c r="FU11" s="629"/>
      <c r="FV11" s="629"/>
      <c r="FW11" s="629"/>
      <c r="FX11" s="629"/>
      <c r="FY11" s="629"/>
      <c r="FZ11" s="629"/>
      <c r="GA11" s="629"/>
      <c r="GB11" s="629"/>
      <c r="GC11" s="629"/>
      <c r="GD11" s="629"/>
      <c r="GE11" s="629"/>
      <c r="GF11" s="629"/>
      <c r="GG11" s="629"/>
      <c r="GH11" s="629"/>
      <c r="GI11" s="629"/>
      <c r="GJ11" s="629"/>
      <c r="GK11" s="629"/>
      <c r="GL11" s="629"/>
      <c r="GM11" s="629"/>
      <c r="GN11" s="629"/>
      <c r="GO11" s="629"/>
      <c r="GP11" s="629"/>
      <c r="GQ11" s="629"/>
      <c r="GR11" s="629"/>
      <c r="GS11" s="629"/>
      <c r="GT11" s="629"/>
      <c r="GU11" s="629"/>
      <c r="GV11" s="629"/>
      <c r="GW11" s="629"/>
      <c r="GX11" s="629"/>
      <c r="GY11" s="629"/>
      <c r="GZ11" s="629"/>
      <c r="HA11" s="629"/>
      <c r="HB11" s="629"/>
      <c r="HC11" s="629"/>
      <c r="HD11" s="629"/>
      <c r="HE11" s="629"/>
      <c r="HF11" s="629"/>
      <c r="HG11" s="629"/>
      <c r="HH11" s="629"/>
      <c r="HI11" s="629"/>
      <c r="HJ11" s="629"/>
      <c r="HK11" s="629"/>
      <c r="HL11" s="629"/>
      <c r="HM11" s="629"/>
      <c r="HN11" s="629"/>
      <c r="HO11" s="629"/>
      <c r="HP11" s="629"/>
      <c r="HQ11" s="629"/>
      <c r="HR11" s="629"/>
      <c r="HS11" s="629"/>
      <c r="HT11" s="629"/>
      <c r="HU11" s="629"/>
      <c r="HV11" s="629"/>
      <c r="HW11" s="629"/>
      <c r="HX11" s="629"/>
      <c r="HY11" s="629"/>
      <c r="HZ11" s="629"/>
      <c r="IA11" s="629"/>
      <c r="IB11" s="629"/>
      <c r="IC11" s="629"/>
      <c r="ID11" s="629"/>
      <c r="IE11" s="629"/>
      <c r="IF11" s="629"/>
      <c r="IG11" s="629"/>
      <c r="IH11" s="629"/>
      <c r="II11" s="629"/>
      <c r="IJ11" s="629"/>
      <c r="IK11" s="629"/>
      <c r="IL11" s="629"/>
      <c r="IM11" s="629"/>
      <c r="IN11" s="629"/>
      <c r="IO11" s="629"/>
      <c r="IP11" s="629"/>
      <c r="IQ11" s="629"/>
    </row>
    <row r="12" spans="1:251" s="802" customFormat="1" ht="14.1" customHeight="1">
      <c r="B12" s="806"/>
      <c r="C12" s="805"/>
      <c r="D12" s="805"/>
      <c r="E12" s="805"/>
      <c r="F12" s="805"/>
      <c r="G12" s="805"/>
      <c r="H12" s="805"/>
      <c r="I12" s="805"/>
    </row>
    <row r="13" spans="1:251" s="802" customFormat="1" ht="14.1" customHeight="1">
      <c r="B13" s="804" t="s">
        <v>1796</v>
      </c>
      <c r="C13" s="184" t="s">
        <v>6157</v>
      </c>
      <c r="D13" s="805"/>
      <c r="E13" s="805"/>
      <c r="F13" s="805"/>
      <c r="G13" s="805"/>
      <c r="H13" s="805"/>
      <c r="I13" s="805"/>
    </row>
    <row r="14" spans="1:251" s="802" customFormat="1" ht="14.1" customHeight="1">
      <c r="B14" s="723"/>
      <c r="C14" s="184" t="s">
        <v>2982</v>
      </c>
      <c r="D14" s="805"/>
      <c r="E14" s="805"/>
      <c r="F14" s="805"/>
      <c r="G14" s="805"/>
      <c r="H14" s="805"/>
      <c r="I14" s="805"/>
    </row>
    <row r="15" spans="1:251" s="802" customFormat="1" ht="14.1" customHeight="1">
      <c r="B15" s="723"/>
      <c r="C15" s="184" t="s">
        <v>2983</v>
      </c>
      <c r="D15" s="805"/>
      <c r="E15" s="805"/>
      <c r="F15" s="805"/>
      <c r="G15" s="805"/>
      <c r="H15" s="805"/>
      <c r="I15" s="805"/>
    </row>
    <row r="16" spans="1:251" s="802" customFormat="1" ht="14.1" customHeight="1">
      <c r="B16" s="806"/>
      <c r="C16" s="184" t="s">
        <v>2984</v>
      </c>
      <c r="D16" s="805"/>
      <c r="E16" s="805"/>
      <c r="F16" s="805"/>
      <c r="G16" s="805"/>
      <c r="H16" s="805"/>
      <c r="I16" s="805"/>
    </row>
    <row r="17" spans="2:9" s="802" customFormat="1" ht="14.1" customHeight="1">
      <c r="B17" s="806"/>
      <c r="C17" s="807" t="s">
        <v>2985</v>
      </c>
      <c r="D17" s="805"/>
      <c r="E17" s="805"/>
      <c r="F17" s="805"/>
      <c r="G17" s="805"/>
      <c r="H17" s="805"/>
      <c r="I17" s="805"/>
    </row>
    <row r="18" spans="2:9" s="802" customFormat="1" ht="14.1" customHeight="1">
      <c r="B18" s="806"/>
      <c r="C18" s="184" t="s">
        <v>2986</v>
      </c>
      <c r="D18" s="805"/>
      <c r="E18" s="805"/>
      <c r="F18" s="805"/>
      <c r="G18" s="805"/>
      <c r="H18" s="805"/>
      <c r="I18" s="805"/>
    </row>
    <row r="19" spans="2:9" s="802" customFormat="1" ht="14.1" customHeight="1">
      <c r="B19" s="806"/>
      <c r="C19" s="184"/>
      <c r="D19" s="805"/>
      <c r="E19" s="805"/>
      <c r="F19" s="805"/>
      <c r="G19" s="805"/>
      <c r="H19" s="805"/>
      <c r="I19" s="805"/>
    </row>
    <row r="20" spans="2:9" s="802" customFormat="1" ht="14.1" customHeight="1">
      <c r="B20" s="806"/>
      <c r="C20" s="805"/>
      <c r="D20" s="805"/>
      <c r="E20" s="805"/>
      <c r="F20" s="805"/>
      <c r="G20" s="805"/>
      <c r="H20" s="805"/>
      <c r="I20" s="805"/>
    </row>
    <row r="21" spans="2:9" s="802" customFormat="1" ht="14.1" customHeight="1">
      <c r="B21" s="804" t="s">
        <v>1796</v>
      </c>
      <c r="C21" s="184" t="s">
        <v>2981</v>
      </c>
      <c r="D21" s="805"/>
      <c r="E21" s="805"/>
      <c r="F21" s="805"/>
      <c r="G21" s="805"/>
      <c r="H21" s="805"/>
      <c r="I21" s="805"/>
    </row>
    <row r="22" spans="2:9" s="802" customFormat="1" ht="14.1" customHeight="1">
      <c r="B22" s="723"/>
      <c r="C22" s="184" t="s">
        <v>2987</v>
      </c>
      <c r="D22" s="805"/>
      <c r="E22" s="805"/>
      <c r="F22" s="805"/>
      <c r="G22" s="805"/>
      <c r="H22" s="805"/>
      <c r="I22" s="805"/>
    </row>
    <row r="23" spans="2:9" s="802" customFormat="1" ht="14.1" customHeight="1">
      <c r="B23" s="806"/>
      <c r="C23" s="184" t="s">
        <v>2988</v>
      </c>
      <c r="D23" s="805"/>
      <c r="E23" s="805"/>
      <c r="F23" s="805"/>
      <c r="G23" s="805"/>
      <c r="H23" s="805"/>
      <c r="I23" s="805"/>
    </row>
    <row r="24" spans="2:9" s="802" customFormat="1" ht="14.1" customHeight="1">
      <c r="B24" s="806"/>
      <c r="C24" s="184"/>
      <c r="D24" s="805"/>
      <c r="E24" s="805"/>
      <c r="F24" s="805"/>
      <c r="G24" s="805"/>
      <c r="H24" s="805"/>
      <c r="I24" s="805"/>
    </row>
    <row r="25" spans="2:9" s="802" customFormat="1" ht="14.1" customHeight="1">
      <c r="B25" s="806"/>
      <c r="C25" s="805"/>
      <c r="D25" s="805"/>
      <c r="E25" s="805"/>
      <c r="F25" s="805"/>
      <c r="G25" s="805"/>
      <c r="H25" s="805"/>
      <c r="I25" s="805"/>
    </row>
    <row r="26" spans="2:9" s="802" customFormat="1" ht="14.1" customHeight="1">
      <c r="B26" s="804" t="s">
        <v>1796</v>
      </c>
      <c r="C26" s="184" t="s">
        <v>2989</v>
      </c>
      <c r="D26" s="805"/>
      <c r="E26" s="805"/>
      <c r="F26" s="805"/>
      <c r="G26" s="805"/>
      <c r="H26" s="805"/>
      <c r="I26" s="805"/>
    </row>
    <row r="27" spans="2:9" s="802" customFormat="1" ht="14.1" customHeight="1">
      <c r="B27" s="723"/>
      <c r="C27" s="184" t="s">
        <v>2990</v>
      </c>
      <c r="D27" s="805"/>
      <c r="E27" s="805"/>
      <c r="F27" s="805"/>
      <c r="G27" s="805"/>
      <c r="H27" s="805"/>
      <c r="I27" s="805"/>
    </row>
    <row r="28" spans="2:9" s="802" customFormat="1" ht="14.1" customHeight="1">
      <c r="B28" s="723"/>
      <c r="C28" s="184"/>
      <c r="D28" s="805"/>
      <c r="E28" s="805"/>
      <c r="F28" s="805"/>
      <c r="G28" s="805"/>
      <c r="H28" s="805"/>
      <c r="I28" s="805"/>
    </row>
    <row r="29" spans="2:9" s="802" customFormat="1" ht="14.1" customHeight="1">
      <c r="B29" s="806"/>
      <c r="C29" s="805"/>
      <c r="D29" s="805"/>
      <c r="E29" s="805"/>
      <c r="F29" s="805"/>
      <c r="G29" s="805"/>
      <c r="H29" s="805"/>
      <c r="I29" s="805"/>
    </row>
    <row r="30" spans="2:9" s="802" customFormat="1" ht="14.1" customHeight="1">
      <c r="B30" s="804" t="s">
        <v>1796</v>
      </c>
      <c r="C30" s="184" t="s">
        <v>2991</v>
      </c>
      <c r="D30" s="805"/>
      <c r="E30" s="805"/>
      <c r="F30" s="805"/>
      <c r="G30" s="805"/>
      <c r="H30" s="805"/>
      <c r="I30" s="805"/>
    </row>
    <row r="31" spans="2:9" s="802" customFormat="1" ht="14.1" customHeight="1">
      <c r="B31" s="723"/>
      <c r="C31" s="184" t="s">
        <v>2990</v>
      </c>
      <c r="D31" s="805"/>
      <c r="E31" s="805"/>
      <c r="F31" s="805"/>
      <c r="G31" s="805"/>
      <c r="H31" s="805"/>
      <c r="I31" s="805"/>
    </row>
    <row r="32" spans="2:9" s="802" customFormat="1" ht="14.1" customHeight="1">
      <c r="B32" s="806"/>
      <c r="C32" s="805"/>
      <c r="D32" s="805"/>
      <c r="E32" s="805"/>
      <c r="F32" s="805"/>
      <c r="G32" s="805"/>
      <c r="H32" s="805"/>
      <c r="I32" s="805"/>
    </row>
    <row r="33" s="802" customFormat="1" ht="14.1" customHeight="1"/>
    <row r="34" s="802" customFormat="1" ht="14.1" customHeight="1"/>
    <row r="35" s="802" customFormat="1" ht="14.1" customHeight="1"/>
    <row r="36" s="802" customFormat="1" ht="14.1" customHeight="1"/>
    <row r="37" s="802" customFormat="1" ht="14.1" customHeight="1"/>
    <row r="38" s="802" customFormat="1" ht="14.1" customHeight="1"/>
    <row r="39" s="802" customFormat="1" ht="14.1" customHeight="1"/>
    <row r="40" s="802" customFormat="1" ht="14.1" customHeight="1"/>
    <row r="41" s="802" customFormat="1" ht="14.1" customHeight="1"/>
    <row r="42" ht="14.1" customHeight="1"/>
    <row r="43" ht="14.1" customHeight="1"/>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B1:Q48"/>
  <sheetViews>
    <sheetView zoomScale="85" zoomScaleNormal="85" workbookViewId="0">
      <selection activeCell="C47" sqref="C47"/>
    </sheetView>
  </sheetViews>
  <sheetFormatPr baseColWidth="10" defaultColWidth="11.44140625" defaultRowHeight="14.4"/>
  <cols>
    <col min="1" max="1" width="11.44140625" style="808"/>
    <col min="2" max="2" width="3.6640625" style="809" bestFit="1" customWidth="1"/>
    <col min="3" max="3" width="87.109375" style="808" bestFit="1" customWidth="1"/>
    <col min="4" max="16384" width="11.44140625" style="808"/>
  </cols>
  <sheetData>
    <row r="1" spans="2:17" s="802" customFormat="1" ht="14.1" customHeight="1">
      <c r="B1" s="803"/>
    </row>
    <row r="2" spans="2:17" s="802" customFormat="1" ht="14.1" customHeight="1">
      <c r="B2" s="723"/>
      <c r="C2" s="184"/>
    </row>
    <row r="3" spans="2:17" s="802" customFormat="1" ht="14.1" customHeight="1">
      <c r="B3" s="723" t="s">
        <v>1796</v>
      </c>
      <c r="C3" s="184" t="s">
        <v>2992</v>
      </c>
      <c r="D3" s="805"/>
      <c r="E3" s="805"/>
      <c r="F3" s="805"/>
      <c r="G3" s="805"/>
      <c r="H3" s="805"/>
      <c r="I3" s="805"/>
      <c r="J3" s="805"/>
      <c r="K3" s="805"/>
      <c r="L3" s="805"/>
      <c r="M3" s="805"/>
      <c r="N3" s="805"/>
      <c r="O3" s="805"/>
      <c r="P3" s="805"/>
      <c r="Q3" s="805"/>
    </row>
    <row r="4" spans="2:17" s="802" customFormat="1" ht="14.1" customHeight="1">
      <c r="B4" s="723"/>
      <c r="C4" s="184" t="s">
        <v>2993</v>
      </c>
      <c r="D4" s="805"/>
      <c r="E4" s="805"/>
      <c r="F4" s="805"/>
      <c r="G4" s="805"/>
      <c r="H4" s="805"/>
      <c r="I4" s="805"/>
      <c r="J4" s="805"/>
      <c r="K4" s="805"/>
      <c r="L4" s="805"/>
      <c r="M4" s="805"/>
      <c r="N4" s="805"/>
      <c r="O4" s="805"/>
      <c r="P4" s="805"/>
      <c r="Q4" s="805"/>
    </row>
    <row r="5" spans="2:17" s="802" customFormat="1" ht="14.1" customHeight="1">
      <c r="B5" s="723"/>
      <c r="C5" s="184"/>
      <c r="D5" s="805"/>
      <c r="E5" s="805"/>
      <c r="F5" s="805"/>
      <c r="G5" s="805"/>
      <c r="H5" s="805"/>
      <c r="I5" s="805"/>
      <c r="J5" s="805"/>
      <c r="K5" s="805"/>
      <c r="L5" s="805"/>
      <c r="M5" s="805"/>
      <c r="N5" s="805"/>
      <c r="O5" s="805"/>
      <c r="P5" s="805"/>
      <c r="Q5" s="805"/>
    </row>
    <row r="6" spans="2:17" s="802" customFormat="1" ht="14.1" customHeight="1">
      <c r="B6" s="723" t="s">
        <v>1796</v>
      </c>
      <c r="C6" s="184" t="s">
        <v>2994</v>
      </c>
      <c r="D6" s="805"/>
      <c r="E6" s="805"/>
      <c r="F6" s="805"/>
      <c r="G6" s="805"/>
      <c r="H6" s="805"/>
      <c r="I6" s="805"/>
      <c r="J6" s="805"/>
      <c r="K6" s="805"/>
      <c r="L6" s="805"/>
      <c r="M6" s="805"/>
      <c r="N6" s="805"/>
      <c r="O6" s="805"/>
      <c r="P6" s="805"/>
      <c r="Q6" s="805"/>
    </row>
    <row r="7" spans="2:17" s="802" customFormat="1" ht="14.1" customHeight="1">
      <c r="B7" s="723"/>
      <c r="C7" s="184" t="s">
        <v>2995</v>
      </c>
      <c r="D7" s="805"/>
      <c r="E7" s="805"/>
      <c r="F7" s="805"/>
      <c r="G7" s="805"/>
      <c r="H7" s="805"/>
      <c r="I7" s="805"/>
      <c r="J7" s="805"/>
      <c r="K7" s="805"/>
      <c r="L7" s="805"/>
      <c r="M7" s="805"/>
      <c r="N7" s="805"/>
      <c r="O7" s="805"/>
      <c r="P7" s="805"/>
      <c r="Q7" s="805"/>
    </row>
    <row r="8" spans="2:17" s="802" customFormat="1" ht="14.1" customHeight="1">
      <c r="B8" s="723"/>
      <c r="C8" s="184" t="s">
        <v>2996</v>
      </c>
      <c r="D8" s="805"/>
      <c r="E8" s="805"/>
      <c r="F8" s="805"/>
      <c r="G8" s="805"/>
      <c r="H8" s="805"/>
      <c r="I8" s="805"/>
      <c r="J8" s="805"/>
      <c r="K8" s="805"/>
      <c r="L8" s="805"/>
      <c r="M8" s="805"/>
      <c r="N8" s="805"/>
      <c r="O8" s="805"/>
      <c r="P8" s="805"/>
      <c r="Q8" s="805"/>
    </row>
    <row r="9" spans="2:17" s="802" customFormat="1" ht="14.1" customHeight="1">
      <c r="B9" s="723"/>
      <c r="C9" s="184"/>
      <c r="D9" s="805"/>
      <c r="E9" s="805"/>
      <c r="F9" s="805"/>
      <c r="G9" s="805"/>
      <c r="H9" s="805"/>
      <c r="I9" s="805"/>
      <c r="J9" s="805"/>
      <c r="K9" s="805"/>
      <c r="L9" s="805"/>
      <c r="M9" s="805"/>
      <c r="N9" s="805"/>
      <c r="O9" s="805"/>
      <c r="P9" s="805"/>
      <c r="Q9" s="805"/>
    </row>
    <row r="10" spans="2:17" s="802" customFormat="1" ht="14.1" customHeight="1">
      <c r="B10" s="723" t="s">
        <v>1796</v>
      </c>
      <c r="C10" s="184" t="s">
        <v>2997</v>
      </c>
      <c r="D10" s="805"/>
      <c r="E10" s="805"/>
      <c r="F10" s="805"/>
      <c r="G10" s="805"/>
      <c r="H10" s="805"/>
      <c r="I10" s="805"/>
      <c r="J10" s="805"/>
      <c r="K10" s="805"/>
      <c r="L10" s="805"/>
      <c r="M10" s="805"/>
      <c r="N10" s="805"/>
      <c r="O10" s="805"/>
      <c r="P10" s="805"/>
      <c r="Q10" s="805"/>
    </row>
    <row r="11" spans="2:17" s="802" customFormat="1" ht="14.1" customHeight="1">
      <c r="B11" s="723"/>
      <c r="C11" s="184" t="s">
        <v>2998</v>
      </c>
      <c r="D11" s="805"/>
      <c r="E11" s="805"/>
      <c r="F11" s="805"/>
      <c r="G11" s="805"/>
      <c r="H11" s="805"/>
      <c r="I11" s="805"/>
      <c r="J11" s="805"/>
      <c r="K11" s="805"/>
      <c r="L11" s="805"/>
      <c r="M11" s="805"/>
      <c r="N11" s="805"/>
      <c r="O11" s="805"/>
      <c r="P11" s="805"/>
      <c r="Q11" s="805"/>
    </row>
    <row r="12" spans="2:17" s="802" customFormat="1" ht="14.1" customHeight="1">
      <c r="B12" s="723"/>
      <c r="C12" s="184" t="s">
        <v>2999</v>
      </c>
      <c r="D12" s="805"/>
      <c r="E12" s="805"/>
      <c r="F12" s="805"/>
      <c r="G12" s="805"/>
      <c r="H12" s="805"/>
      <c r="I12" s="805"/>
      <c r="J12" s="805"/>
      <c r="K12" s="805"/>
      <c r="L12" s="805"/>
      <c r="M12" s="805"/>
      <c r="N12" s="805"/>
      <c r="O12" s="805"/>
      <c r="P12" s="805"/>
      <c r="Q12" s="805"/>
    </row>
    <row r="13" spans="2:17" s="802" customFormat="1" ht="14.1" customHeight="1">
      <c r="B13" s="723"/>
      <c r="C13" s="184" t="s">
        <v>3000</v>
      </c>
      <c r="D13" s="805"/>
      <c r="E13" s="805"/>
      <c r="F13" s="805"/>
      <c r="G13" s="805"/>
      <c r="H13" s="805"/>
      <c r="I13" s="805"/>
      <c r="J13" s="805"/>
      <c r="K13" s="805"/>
      <c r="L13" s="805"/>
      <c r="M13" s="805"/>
      <c r="N13" s="805"/>
      <c r="O13" s="805"/>
      <c r="P13" s="805"/>
      <c r="Q13" s="805"/>
    </row>
    <row r="14" spans="2:17" s="802" customFormat="1" ht="14.1" customHeight="1">
      <c r="B14" s="723"/>
      <c r="C14" s="184"/>
      <c r="D14" s="805"/>
      <c r="E14" s="805"/>
      <c r="F14" s="805"/>
      <c r="G14" s="805"/>
      <c r="H14" s="805"/>
      <c r="I14" s="805"/>
      <c r="J14" s="805"/>
      <c r="K14" s="805"/>
      <c r="L14" s="805"/>
      <c r="M14" s="805"/>
      <c r="N14" s="805"/>
      <c r="O14" s="805"/>
      <c r="P14" s="805"/>
      <c r="Q14" s="805"/>
    </row>
    <row r="15" spans="2:17" s="802" customFormat="1" ht="14.1" customHeight="1">
      <c r="B15" s="723" t="s">
        <v>1796</v>
      </c>
      <c r="C15" s="184" t="s">
        <v>3001</v>
      </c>
      <c r="D15" s="805"/>
      <c r="E15" s="805"/>
      <c r="F15" s="805"/>
      <c r="G15" s="805"/>
      <c r="H15" s="805"/>
      <c r="I15" s="805"/>
      <c r="J15" s="805"/>
      <c r="K15" s="805"/>
      <c r="L15" s="805"/>
      <c r="M15" s="805"/>
      <c r="N15" s="805"/>
      <c r="O15" s="805"/>
      <c r="P15" s="805"/>
      <c r="Q15" s="805"/>
    </row>
    <row r="16" spans="2:17" s="802" customFormat="1" ht="14.1" customHeight="1">
      <c r="B16" s="723"/>
      <c r="C16" s="184" t="s">
        <v>3002</v>
      </c>
      <c r="D16" s="805"/>
      <c r="E16" s="805"/>
      <c r="F16" s="805"/>
      <c r="G16" s="805"/>
      <c r="H16" s="805"/>
      <c r="I16" s="805"/>
      <c r="J16" s="805"/>
      <c r="K16" s="805"/>
      <c r="L16" s="805"/>
      <c r="M16" s="805"/>
      <c r="N16" s="805"/>
      <c r="O16" s="805"/>
      <c r="P16" s="805"/>
      <c r="Q16" s="805"/>
    </row>
    <row r="17" spans="2:17" s="802" customFormat="1" ht="14.1" customHeight="1">
      <c r="B17" s="723"/>
      <c r="C17" s="184" t="s">
        <v>3003</v>
      </c>
      <c r="D17" s="805"/>
      <c r="E17" s="805"/>
      <c r="F17" s="805"/>
      <c r="G17" s="805"/>
      <c r="H17" s="805"/>
      <c r="I17" s="805"/>
      <c r="J17" s="805"/>
      <c r="K17" s="805"/>
      <c r="L17" s="805"/>
      <c r="M17" s="805"/>
      <c r="N17" s="805"/>
      <c r="O17" s="805"/>
      <c r="P17" s="805"/>
      <c r="Q17" s="805"/>
    </row>
    <row r="18" spans="2:17" s="802" customFormat="1" ht="14.1" customHeight="1">
      <c r="B18" s="723"/>
      <c r="C18" s="184"/>
      <c r="D18" s="805"/>
      <c r="E18" s="805"/>
      <c r="F18" s="805"/>
      <c r="G18" s="805"/>
      <c r="H18" s="805"/>
      <c r="I18" s="805"/>
      <c r="J18" s="805"/>
      <c r="K18" s="805"/>
      <c r="L18" s="805"/>
      <c r="M18" s="805"/>
      <c r="N18" s="805"/>
      <c r="O18" s="805"/>
      <c r="P18" s="805"/>
      <c r="Q18" s="805"/>
    </row>
    <row r="19" spans="2:17" s="802" customFormat="1" ht="14.1" customHeight="1">
      <c r="B19" s="723" t="s">
        <v>1796</v>
      </c>
      <c r="C19" s="184" t="s">
        <v>3004</v>
      </c>
      <c r="D19" s="805"/>
      <c r="E19" s="805"/>
      <c r="F19" s="805"/>
      <c r="G19" s="805"/>
      <c r="H19" s="805"/>
      <c r="I19" s="805"/>
      <c r="J19" s="805"/>
      <c r="K19" s="805"/>
      <c r="L19" s="805"/>
      <c r="M19" s="805"/>
      <c r="N19" s="805"/>
      <c r="O19" s="805"/>
      <c r="P19" s="805"/>
      <c r="Q19" s="805"/>
    </row>
    <row r="20" spans="2:17">
      <c r="B20" s="806"/>
      <c r="C20" s="805" t="s">
        <v>3005</v>
      </c>
      <c r="D20" s="804"/>
      <c r="E20" s="804"/>
      <c r="F20" s="804"/>
      <c r="G20" s="804"/>
      <c r="H20" s="804"/>
      <c r="I20" s="804"/>
      <c r="J20" s="804"/>
      <c r="K20" s="804"/>
      <c r="L20" s="804"/>
      <c r="M20" s="804"/>
      <c r="N20" s="804"/>
      <c r="O20" s="804"/>
      <c r="P20" s="804"/>
      <c r="Q20" s="804"/>
    </row>
    <row r="21" spans="2:17">
      <c r="B21" s="803"/>
      <c r="C21" s="805" t="s">
        <v>3006</v>
      </c>
    </row>
    <row r="32" spans="2:17" ht="14.1" customHeight="1"/>
    <row r="33" ht="14.1" customHeight="1"/>
    <row r="34" ht="14.1" customHeight="1"/>
    <row r="35" ht="14.1" customHeight="1"/>
    <row r="36" ht="14.1" customHeight="1"/>
    <row r="37" ht="14.1" customHeight="1"/>
    <row r="38" ht="14.1" customHeight="1"/>
    <row r="39" ht="14.1" customHeight="1"/>
    <row r="40" ht="14.1" customHeight="1"/>
    <row r="41" ht="14.1" customHeight="1"/>
    <row r="42" ht="14.1" customHeight="1"/>
    <row r="43" ht="14.1" customHeight="1"/>
    <row r="44" ht="14.1" customHeight="1"/>
    <row r="45" ht="14.1" customHeight="1"/>
    <row r="46" ht="14.1" customHeight="1"/>
    <row r="47" ht="14.1" customHeight="1"/>
    <row r="48" ht="14.1" customHeight="1"/>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IQ83"/>
  <sheetViews>
    <sheetView zoomScale="85" zoomScaleNormal="85" workbookViewId="0">
      <selection activeCell="C23" sqref="C23"/>
    </sheetView>
  </sheetViews>
  <sheetFormatPr baseColWidth="10" defaultColWidth="11.44140625" defaultRowHeight="14.4"/>
  <cols>
    <col min="1" max="1" width="11.44140625" style="808"/>
    <col min="2" max="2" width="3.6640625" style="808" bestFit="1" customWidth="1"/>
    <col min="3" max="3" width="100.6640625" style="808" customWidth="1"/>
    <col min="4" max="16384" width="11.44140625" style="808"/>
  </cols>
  <sheetData>
    <row r="1" spans="1:251" s="802" customFormat="1"/>
    <row r="2" spans="1:251" s="802" customFormat="1" ht="14.1" customHeight="1">
      <c r="B2" s="805"/>
      <c r="C2" s="805"/>
      <c r="D2" s="805"/>
      <c r="E2" s="805"/>
      <c r="F2" s="805"/>
      <c r="G2" s="805"/>
      <c r="H2" s="805"/>
      <c r="I2" s="805"/>
      <c r="J2" s="805"/>
      <c r="K2" s="805"/>
      <c r="L2" s="805"/>
      <c r="M2" s="805"/>
      <c r="N2" s="805"/>
      <c r="O2" s="805"/>
    </row>
    <row r="3" spans="1:251" s="120" customFormat="1" ht="13.2">
      <c r="A3" s="112"/>
      <c r="B3" s="931" t="s">
        <v>1564</v>
      </c>
      <c r="C3" s="932" t="s">
        <v>3721</v>
      </c>
      <c r="E3" s="701"/>
      <c r="F3" s="703"/>
      <c r="G3" s="702"/>
      <c r="H3" s="702"/>
      <c r="I3" s="702"/>
      <c r="J3" s="700"/>
      <c r="K3" s="112"/>
      <c r="L3" s="363"/>
      <c r="M3" s="112"/>
      <c r="N3" s="362"/>
      <c r="O3" s="573"/>
    </row>
    <row r="4" spans="1:251" s="120" customFormat="1" ht="13.2">
      <c r="A4" s="112"/>
      <c r="B4" s="933"/>
      <c r="C4" s="932" t="s">
        <v>3722</v>
      </c>
      <c r="E4" s="701"/>
      <c r="F4" s="703"/>
      <c r="G4" s="702"/>
      <c r="H4" s="702"/>
      <c r="I4" s="702"/>
      <c r="J4" s="700"/>
      <c r="K4" s="112"/>
      <c r="L4" s="363"/>
      <c r="M4" s="112"/>
      <c r="N4" s="362"/>
      <c r="O4" s="573"/>
    </row>
    <row r="5" spans="1:251" s="120" customFormat="1" ht="13.2">
      <c r="A5" s="112"/>
      <c r="B5" s="931"/>
      <c r="C5" s="932" t="s">
        <v>3723</v>
      </c>
      <c r="E5" s="701"/>
      <c r="F5" s="703"/>
      <c r="G5" s="702"/>
      <c r="H5" s="702"/>
      <c r="I5" s="702"/>
      <c r="J5" s="700"/>
      <c r="K5" s="112"/>
      <c r="L5" s="363"/>
      <c r="M5" s="112"/>
      <c r="N5" s="362"/>
      <c r="O5" s="573"/>
    </row>
    <row r="6" spans="1:251" s="120" customFormat="1" ht="13.2">
      <c r="A6" s="112"/>
      <c r="B6" s="965"/>
      <c r="C6" s="966"/>
      <c r="E6" s="701"/>
      <c r="F6" s="703"/>
      <c r="G6" s="702"/>
      <c r="H6" s="702"/>
      <c r="I6" s="702"/>
      <c r="J6" s="700"/>
      <c r="K6" s="112"/>
      <c r="L6" s="363"/>
      <c r="M6" s="112"/>
      <c r="N6" s="362"/>
      <c r="O6" s="573"/>
    </row>
    <row r="7" spans="1:251" s="120" customFormat="1">
      <c r="A7" s="112"/>
      <c r="B7" s="949" t="s">
        <v>1564</v>
      </c>
      <c r="C7" s="950" t="s">
        <v>3490</v>
      </c>
      <c r="E7" s="701"/>
      <c r="F7" s="703"/>
      <c r="G7" s="702"/>
      <c r="H7" s="702"/>
      <c r="I7" s="702"/>
      <c r="J7" s="700"/>
      <c r="K7" s="112"/>
      <c r="L7" s="363"/>
      <c r="M7" s="112"/>
      <c r="N7" s="362"/>
      <c r="O7" s="573"/>
      <c r="Q7" s="120" t="str">
        <f>IF(O7&lt;&gt;"",D7,"")</f>
        <v/>
      </c>
    </row>
    <row r="8" spans="1:251" s="20" customFormat="1" ht="12" customHeight="1">
      <c r="A8" s="964"/>
      <c r="B8" s="965"/>
      <c r="C8" s="950" t="s">
        <v>3491</v>
      </c>
      <c r="D8" s="631"/>
      <c r="E8" s="898"/>
      <c r="F8" s="899"/>
      <c r="G8" s="899"/>
      <c r="H8" s="899"/>
      <c r="I8" s="899"/>
      <c r="J8" s="899"/>
      <c r="K8" s="900"/>
      <c r="L8" s="900"/>
      <c r="M8" s="900"/>
      <c r="N8" s="362"/>
      <c r="O8" s="704"/>
      <c r="P8" s="629"/>
      <c r="Q8" s="120" t="str">
        <f>IF(O8&lt;&gt;"",D8,"")</f>
        <v/>
      </c>
      <c r="R8" s="629"/>
      <c r="S8" s="629"/>
      <c r="T8" s="629"/>
      <c r="U8" s="629"/>
      <c r="V8" s="629"/>
      <c r="W8" s="629"/>
      <c r="X8" s="629"/>
      <c r="Y8" s="629"/>
      <c r="Z8" s="629"/>
      <c r="AA8" s="629"/>
      <c r="AB8" s="629"/>
      <c r="AC8" s="629"/>
      <c r="AD8" s="629"/>
      <c r="AE8" s="629"/>
      <c r="AF8" s="629"/>
      <c r="AG8" s="629"/>
      <c r="AH8" s="629"/>
      <c r="AI8" s="629"/>
      <c r="AJ8" s="629"/>
      <c r="AK8" s="629"/>
      <c r="AL8" s="629"/>
      <c r="AM8" s="629"/>
      <c r="AN8" s="629"/>
      <c r="AO8" s="629"/>
      <c r="AP8" s="629"/>
      <c r="AQ8" s="629"/>
      <c r="AR8" s="629"/>
      <c r="AS8" s="629"/>
      <c r="AT8" s="629"/>
      <c r="AU8" s="629"/>
      <c r="AV8" s="629"/>
      <c r="AW8" s="629"/>
      <c r="AX8" s="629"/>
      <c r="AY8" s="629"/>
      <c r="AZ8" s="629"/>
      <c r="BA8" s="629"/>
      <c r="BB8" s="629"/>
      <c r="BC8" s="629"/>
      <c r="BD8" s="629"/>
      <c r="BE8" s="629"/>
      <c r="BF8" s="629"/>
      <c r="BG8" s="629"/>
      <c r="BH8" s="629"/>
      <c r="BI8" s="629"/>
      <c r="BJ8" s="629"/>
      <c r="BK8" s="629"/>
      <c r="BL8" s="629"/>
      <c r="BM8" s="629"/>
      <c r="BN8" s="629"/>
      <c r="BO8" s="629"/>
      <c r="BP8" s="629"/>
      <c r="BQ8" s="629"/>
      <c r="BR8" s="629"/>
      <c r="BS8" s="629"/>
      <c r="BT8" s="629"/>
      <c r="BU8" s="629"/>
      <c r="BV8" s="629"/>
      <c r="BW8" s="629"/>
      <c r="BX8" s="629"/>
      <c r="BY8" s="629"/>
      <c r="BZ8" s="629"/>
      <c r="CA8" s="629"/>
      <c r="CB8" s="629"/>
      <c r="CC8" s="629"/>
      <c r="CD8" s="629"/>
      <c r="CE8" s="629"/>
      <c r="CF8" s="629"/>
      <c r="CG8" s="629"/>
      <c r="CH8" s="629"/>
      <c r="CI8" s="629"/>
      <c r="CJ8" s="629"/>
      <c r="CK8" s="629"/>
      <c r="CL8" s="629"/>
      <c r="CM8" s="629"/>
      <c r="CN8" s="629"/>
      <c r="CO8" s="629"/>
      <c r="CP8" s="629"/>
      <c r="CQ8" s="629"/>
      <c r="CR8" s="629"/>
      <c r="CS8" s="629"/>
      <c r="CT8" s="629"/>
      <c r="CU8" s="629"/>
      <c r="CV8" s="629"/>
      <c r="CW8" s="629"/>
      <c r="CX8" s="629"/>
      <c r="CY8" s="629"/>
      <c r="CZ8" s="629"/>
      <c r="DA8" s="629"/>
      <c r="DB8" s="629"/>
      <c r="DC8" s="629"/>
      <c r="DD8" s="629"/>
      <c r="DE8" s="629"/>
      <c r="DF8" s="629"/>
      <c r="DG8" s="629"/>
      <c r="DH8" s="629"/>
      <c r="DI8" s="629"/>
      <c r="DJ8" s="629"/>
      <c r="DK8" s="629"/>
      <c r="DL8" s="629"/>
      <c r="DM8" s="629"/>
      <c r="DN8" s="629"/>
      <c r="DO8" s="629"/>
      <c r="DP8" s="629"/>
      <c r="DQ8" s="629"/>
      <c r="DR8" s="629"/>
      <c r="DS8" s="629"/>
      <c r="DT8" s="629"/>
      <c r="DU8" s="629"/>
      <c r="DV8" s="629"/>
      <c r="DW8" s="629"/>
      <c r="DX8" s="629"/>
      <c r="DY8" s="629"/>
      <c r="DZ8" s="629"/>
      <c r="EA8" s="629"/>
      <c r="EB8" s="629"/>
      <c r="EC8" s="629"/>
      <c r="ED8" s="629"/>
      <c r="EE8" s="629"/>
      <c r="EF8" s="629"/>
      <c r="EG8" s="629"/>
      <c r="EH8" s="629"/>
      <c r="EI8" s="629"/>
      <c r="EJ8" s="629"/>
      <c r="EK8" s="629"/>
      <c r="EL8" s="629"/>
      <c r="EM8" s="629"/>
      <c r="EN8" s="629"/>
      <c r="EO8" s="629"/>
      <c r="EP8" s="629"/>
      <c r="EQ8" s="629"/>
      <c r="ER8" s="629"/>
      <c r="ES8" s="629"/>
      <c r="ET8" s="629"/>
      <c r="EU8" s="629"/>
      <c r="EV8" s="629"/>
      <c r="EW8" s="629"/>
      <c r="EX8" s="629"/>
      <c r="EY8" s="629"/>
      <c r="EZ8" s="629"/>
      <c r="FA8" s="629"/>
      <c r="FB8" s="629"/>
      <c r="FC8" s="629"/>
      <c r="FD8" s="629"/>
      <c r="FE8" s="629"/>
      <c r="FF8" s="629"/>
      <c r="FG8" s="629"/>
      <c r="FH8" s="629"/>
      <c r="FI8" s="629"/>
      <c r="FJ8" s="629"/>
      <c r="FK8" s="629"/>
      <c r="FL8" s="629"/>
      <c r="FM8" s="629"/>
      <c r="FN8" s="629"/>
      <c r="FO8" s="629"/>
      <c r="FP8" s="629"/>
      <c r="FQ8" s="629"/>
      <c r="FR8" s="629"/>
      <c r="FS8" s="629"/>
      <c r="FT8" s="629"/>
      <c r="FU8" s="629"/>
      <c r="FV8" s="629"/>
      <c r="FW8" s="629"/>
      <c r="FX8" s="629"/>
      <c r="FY8" s="629"/>
      <c r="FZ8" s="629"/>
      <c r="GA8" s="629"/>
      <c r="GB8" s="629"/>
      <c r="GC8" s="629"/>
      <c r="GD8" s="629"/>
      <c r="GE8" s="629"/>
      <c r="GF8" s="629"/>
      <c r="GG8" s="629"/>
      <c r="GH8" s="629"/>
      <c r="GI8" s="629"/>
      <c r="GJ8" s="629"/>
      <c r="GK8" s="629"/>
      <c r="GL8" s="629"/>
      <c r="GM8" s="629"/>
      <c r="GN8" s="629"/>
      <c r="GO8" s="629"/>
      <c r="GP8" s="629"/>
      <c r="GQ8" s="629"/>
      <c r="GR8" s="629"/>
      <c r="GS8" s="629"/>
      <c r="GT8" s="629"/>
      <c r="GU8" s="629"/>
      <c r="GV8" s="629"/>
      <c r="GW8" s="629"/>
      <c r="GX8" s="629"/>
      <c r="GY8" s="629"/>
      <c r="GZ8" s="629"/>
      <c r="HA8" s="629"/>
      <c r="HB8" s="629"/>
      <c r="HC8" s="629"/>
      <c r="HD8" s="629"/>
      <c r="HE8" s="629"/>
      <c r="HF8" s="629"/>
      <c r="HG8" s="629"/>
      <c r="HH8" s="629"/>
      <c r="HI8" s="629"/>
      <c r="HJ8" s="629"/>
      <c r="HK8" s="629"/>
      <c r="HL8" s="629"/>
      <c r="HM8" s="629"/>
      <c r="HN8" s="629"/>
      <c r="HO8" s="629"/>
      <c r="HP8" s="629"/>
      <c r="HQ8" s="629"/>
      <c r="HR8" s="629"/>
      <c r="HS8" s="629"/>
      <c r="HT8" s="629"/>
      <c r="HU8" s="629"/>
      <c r="HV8" s="629"/>
      <c r="HW8" s="629"/>
      <c r="HX8" s="629"/>
      <c r="HY8" s="629"/>
      <c r="HZ8" s="629"/>
      <c r="IA8" s="629"/>
      <c r="IB8" s="629"/>
      <c r="IC8" s="629"/>
      <c r="ID8" s="629"/>
      <c r="IE8" s="629"/>
      <c r="IF8" s="629"/>
      <c r="IG8" s="629"/>
      <c r="IH8" s="629"/>
      <c r="II8" s="629"/>
      <c r="IJ8" s="629"/>
      <c r="IK8" s="629"/>
      <c r="IL8" s="629"/>
      <c r="IM8" s="629"/>
      <c r="IN8" s="629"/>
      <c r="IO8" s="629"/>
      <c r="IP8" s="629"/>
      <c r="IQ8" s="629"/>
    </row>
    <row r="9" spans="1:251" s="20" customFormat="1" ht="12" customHeight="1">
      <c r="A9" s="964"/>
      <c r="B9" s="965"/>
      <c r="C9" s="950" t="s">
        <v>3492</v>
      </c>
      <c r="D9" s="631"/>
      <c r="E9" s="898"/>
      <c r="F9" s="899"/>
      <c r="G9" s="899"/>
      <c r="H9" s="899"/>
      <c r="I9" s="899"/>
      <c r="J9" s="899"/>
      <c r="K9" s="900"/>
      <c r="L9" s="900"/>
      <c r="M9" s="900"/>
      <c r="N9" s="362"/>
      <c r="O9" s="704"/>
      <c r="P9" s="629"/>
      <c r="Q9" s="120" t="str">
        <f>IF(O9&lt;&gt;"",D9,"")</f>
        <v/>
      </c>
      <c r="R9" s="629"/>
      <c r="S9" s="629"/>
      <c r="T9" s="629"/>
      <c r="U9" s="629"/>
      <c r="V9" s="629"/>
      <c r="W9" s="629"/>
      <c r="X9" s="629"/>
      <c r="Y9" s="629"/>
      <c r="Z9" s="629"/>
      <c r="AA9" s="629"/>
      <c r="AB9" s="629"/>
      <c r="AC9" s="629"/>
      <c r="AD9" s="629"/>
      <c r="AE9" s="629"/>
      <c r="AF9" s="629"/>
      <c r="AG9" s="629"/>
      <c r="AH9" s="629"/>
      <c r="AI9" s="629"/>
      <c r="AJ9" s="629"/>
      <c r="AK9" s="629"/>
      <c r="AL9" s="629"/>
      <c r="AM9" s="629"/>
      <c r="AN9" s="629"/>
      <c r="AO9" s="629"/>
      <c r="AP9" s="629"/>
      <c r="AQ9" s="629"/>
      <c r="AR9" s="629"/>
      <c r="AS9" s="629"/>
      <c r="AT9" s="629"/>
      <c r="AU9" s="629"/>
      <c r="AV9" s="629"/>
      <c r="AW9" s="629"/>
      <c r="AX9" s="629"/>
      <c r="AY9" s="629"/>
      <c r="AZ9" s="629"/>
      <c r="BA9" s="629"/>
      <c r="BB9" s="629"/>
      <c r="BC9" s="629"/>
      <c r="BD9" s="629"/>
      <c r="BE9" s="629"/>
      <c r="BF9" s="629"/>
      <c r="BG9" s="629"/>
      <c r="BH9" s="629"/>
      <c r="BI9" s="629"/>
      <c r="BJ9" s="629"/>
      <c r="BK9" s="629"/>
      <c r="BL9" s="629"/>
      <c r="BM9" s="629"/>
      <c r="BN9" s="629"/>
      <c r="BO9" s="629"/>
      <c r="BP9" s="629"/>
      <c r="BQ9" s="629"/>
      <c r="BR9" s="629"/>
      <c r="BS9" s="629"/>
      <c r="BT9" s="629"/>
      <c r="BU9" s="629"/>
      <c r="BV9" s="629"/>
      <c r="BW9" s="629"/>
      <c r="BX9" s="629"/>
      <c r="BY9" s="629"/>
      <c r="BZ9" s="629"/>
      <c r="CA9" s="629"/>
      <c r="CB9" s="629"/>
      <c r="CC9" s="629"/>
      <c r="CD9" s="629"/>
      <c r="CE9" s="629"/>
      <c r="CF9" s="629"/>
      <c r="CG9" s="629"/>
      <c r="CH9" s="629"/>
      <c r="CI9" s="629"/>
      <c r="CJ9" s="629"/>
      <c r="CK9" s="629"/>
      <c r="CL9" s="629"/>
      <c r="CM9" s="629"/>
      <c r="CN9" s="629"/>
      <c r="CO9" s="629"/>
      <c r="CP9" s="629"/>
      <c r="CQ9" s="629"/>
      <c r="CR9" s="629"/>
      <c r="CS9" s="629"/>
      <c r="CT9" s="629"/>
      <c r="CU9" s="629"/>
      <c r="CV9" s="629"/>
      <c r="CW9" s="629"/>
      <c r="CX9" s="629"/>
      <c r="CY9" s="629"/>
      <c r="CZ9" s="629"/>
      <c r="DA9" s="629"/>
      <c r="DB9" s="629"/>
      <c r="DC9" s="629"/>
      <c r="DD9" s="629"/>
      <c r="DE9" s="629"/>
      <c r="DF9" s="629"/>
      <c r="DG9" s="629"/>
      <c r="DH9" s="629"/>
      <c r="DI9" s="629"/>
      <c r="DJ9" s="629"/>
      <c r="DK9" s="629"/>
      <c r="DL9" s="629"/>
      <c r="DM9" s="629"/>
      <c r="DN9" s="629"/>
      <c r="DO9" s="629"/>
      <c r="DP9" s="629"/>
      <c r="DQ9" s="629"/>
      <c r="DR9" s="629"/>
      <c r="DS9" s="629"/>
      <c r="DT9" s="629"/>
      <c r="DU9" s="629"/>
      <c r="DV9" s="629"/>
      <c r="DW9" s="629"/>
      <c r="DX9" s="629"/>
      <c r="DY9" s="629"/>
      <c r="DZ9" s="629"/>
      <c r="EA9" s="629"/>
      <c r="EB9" s="629"/>
      <c r="EC9" s="629"/>
      <c r="ED9" s="629"/>
      <c r="EE9" s="629"/>
      <c r="EF9" s="629"/>
      <c r="EG9" s="629"/>
      <c r="EH9" s="629"/>
      <c r="EI9" s="629"/>
      <c r="EJ9" s="629"/>
      <c r="EK9" s="629"/>
      <c r="EL9" s="629"/>
      <c r="EM9" s="629"/>
      <c r="EN9" s="629"/>
      <c r="EO9" s="629"/>
      <c r="EP9" s="629"/>
      <c r="EQ9" s="629"/>
      <c r="ER9" s="629"/>
      <c r="ES9" s="629"/>
      <c r="ET9" s="629"/>
      <c r="EU9" s="629"/>
      <c r="EV9" s="629"/>
      <c r="EW9" s="629"/>
      <c r="EX9" s="629"/>
      <c r="EY9" s="629"/>
      <c r="EZ9" s="629"/>
      <c r="FA9" s="629"/>
      <c r="FB9" s="629"/>
      <c r="FC9" s="629"/>
      <c r="FD9" s="629"/>
      <c r="FE9" s="629"/>
      <c r="FF9" s="629"/>
      <c r="FG9" s="629"/>
      <c r="FH9" s="629"/>
      <c r="FI9" s="629"/>
      <c r="FJ9" s="629"/>
      <c r="FK9" s="629"/>
      <c r="FL9" s="629"/>
      <c r="FM9" s="629"/>
      <c r="FN9" s="629"/>
      <c r="FO9" s="629"/>
      <c r="FP9" s="629"/>
      <c r="FQ9" s="629"/>
      <c r="FR9" s="629"/>
      <c r="FS9" s="629"/>
      <c r="FT9" s="629"/>
      <c r="FU9" s="629"/>
      <c r="FV9" s="629"/>
      <c r="FW9" s="629"/>
      <c r="FX9" s="629"/>
      <c r="FY9" s="629"/>
      <c r="FZ9" s="629"/>
      <c r="GA9" s="629"/>
      <c r="GB9" s="629"/>
      <c r="GC9" s="629"/>
      <c r="GD9" s="629"/>
      <c r="GE9" s="629"/>
      <c r="GF9" s="629"/>
      <c r="GG9" s="629"/>
      <c r="GH9" s="629"/>
      <c r="GI9" s="629"/>
      <c r="GJ9" s="629"/>
      <c r="GK9" s="629"/>
      <c r="GL9" s="629"/>
      <c r="GM9" s="629"/>
      <c r="GN9" s="629"/>
      <c r="GO9" s="629"/>
      <c r="GP9" s="629"/>
      <c r="GQ9" s="629"/>
      <c r="GR9" s="629"/>
      <c r="GS9" s="629"/>
      <c r="GT9" s="629"/>
      <c r="GU9" s="629"/>
      <c r="GV9" s="629"/>
      <c r="GW9" s="629"/>
      <c r="GX9" s="629"/>
      <c r="GY9" s="629"/>
      <c r="GZ9" s="629"/>
      <c r="HA9" s="629"/>
      <c r="HB9" s="629"/>
      <c r="HC9" s="629"/>
      <c r="HD9" s="629"/>
      <c r="HE9" s="629"/>
      <c r="HF9" s="629"/>
      <c r="HG9" s="629"/>
      <c r="HH9" s="629"/>
      <c r="HI9" s="629"/>
      <c r="HJ9" s="629"/>
      <c r="HK9" s="629"/>
      <c r="HL9" s="629"/>
      <c r="HM9" s="629"/>
      <c r="HN9" s="629"/>
      <c r="HO9" s="629"/>
      <c r="HP9" s="629"/>
      <c r="HQ9" s="629"/>
      <c r="HR9" s="629"/>
      <c r="HS9" s="629"/>
      <c r="HT9" s="629"/>
      <c r="HU9" s="629"/>
      <c r="HV9" s="629"/>
      <c r="HW9" s="629"/>
      <c r="HX9" s="629"/>
      <c r="HY9" s="629"/>
      <c r="HZ9" s="629"/>
      <c r="IA9" s="629"/>
      <c r="IB9" s="629"/>
      <c r="IC9" s="629"/>
      <c r="ID9" s="629"/>
      <c r="IE9" s="629"/>
      <c r="IF9" s="629"/>
      <c r="IG9" s="629"/>
      <c r="IH9" s="629"/>
      <c r="II9" s="629"/>
      <c r="IJ9" s="629"/>
      <c r="IK9" s="629"/>
      <c r="IL9" s="629"/>
      <c r="IM9" s="629"/>
      <c r="IN9" s="629"/>
      <c r="IO9" s="629"/>
      <c r="IP9" s="629"/>
      <c r="IQ9" s="629"/>
    </row>
    <row r="10" spans="1:251" s="20" customFormat="1" ht="12" customHeight="1">
      <c r="A10" s="964"/>
      <c r="B10" s="965"/>
      <c r="C10" s="966"/>
      <c r="D10" s="631"/>
      <c r="E10" s="898"/>
      <c r="F10" s="899"/>
      <c r="G10" s="899"/>
      <c r="H10" s="899"/>
      <c r="I10" s="899"/>
      <c r="J10" s="899"/>
      <c r="K10" s="900"/>
      <c r="L10" s="900"/>
      <c r="M10" s="900"/>
      <c r="N10" s="362"/>
      <c r="O10" s="704"/>
      <c r="P10" s="629"/>
      <c r="Q10" s="120" t="str">
        <f>IF(O10&lt;&gt;"",D10,"")</f>
        <v/>
      </c>
      <c r="R10" s="629"/>
      <c r="S10" s="629"/>
      <c r="T10" s="629"/>
      <c r="U10" s="629"/>
      <c r="V10" s="629"/>
      <c r="W10" s="629"/>
      <c r="X10" s="629"/>
      <c r="Y10" s="629"/>
      <c r="Z10" s="629"/>
      <c r="AA10" s="629"/>
      <c r="AB10" s="629"/>
      <c r="AC10" s="629"/>
      <c r="AD10" s="629"/>
      <c r="AE10" s="629"/>
      <c r="AF10" s="629"/>
      <c r="AG10" s="629"/>
      <c r="AH10" s="629"/>
      <c r="AI10" s="629"/>
      <c r="AJ10" s="629"/>
      <c r="AK10" s="629"/>
      <c r="AL10" s="629"/>
      <c r="AM10" s="629"/>
      <c r="AN10" s="629"/>
      <c r="AO10" s="629"/>
      <c r="AP10" s="629"/>
      <c r="AQ10" s="629"/>
      <c r="AR10" s="629"/>
      <c r="AS10" s="629"/>
      <c r="AT10" s="629"/>
      <c r="AU10" s="629"/>
      <c r="AV10" s="629"/>
      <c r="AW10" s="629"/>
      <c r="AX10" s="629"/>
      <c r="AY10" s="629"/>
      <c r="AZ10" s="629"/>
      <c r="BA10" s="629"/>
      <c r="BB10" s="629"/>
      <c r="BC10" s="629"/>
      <c r="BD10" s="629"/>
      <c r="BE10" s="629"/>
      <c r="BF10" s="629"/>
      <c r="BG10" s="629"/>
      <c r="BH10" s="629"/>
      <c r="BI10" s="629"/>
      <c r="BJ10" s="629"/>
      <c r="BK10" s="629"/>
      <c r="BL10" s="629"/>
      <c r="BM10" s="629"/>
      <c r="BN10" s="629"/>
      <c r="BO10" s="629"/>
      <c r="BP10" s="629"/>
      <c r="BQ10" s="629"/>
      <c r="BR10" s="629"/>
      <c r="BS10" s="629"/>
      <c r="BT10" s="629"/>
      <c r="BU10" s="629"/>
      <c r="BV10" s="629"/>
      <c r="BW10" s="629"/>
      <c r="BX10" s="629"/>
      <c r="BY10" s="629"/>
      <c r="BZ10" s="629"/>
      <c r="CA10" s="629"/>
      <c r="CB10" s="629"/>
      <c r="CC10" s="629"/>
      <c r="CD10" s="629"/>
      <c r="CE10" s="629"/>
      <c r="CF10" s="629"/>
      <c r="CG10" s="629"/>
      <c r="CH10" s="629"/>
      <c r="CI10" s="629"/>
      <c r="CJ10" s="629"/>
      <c r="CK10" s="629"/>
      <c r="CL10" s="629"/>
      <c r="CM10" s="629"/>
      <c r="CN10" s="629"/>
      <c r="CO10" s="629"/>
      <c r="CP10" s="629"/>
      <c r="CQ10" s="629"/>
      <c r="CR10" s="629"/>
      <c r="CS10" s="629"/>
      <c r="CT10" s="629"/>
      <c r="CU10" s="629"/>
      <c r="CV10" s="629"/>
      <c r="CW10" s="629"/>
      <c r="CX10" s="629"/>
      <c r="CY10" s="629"/>
      <c r="CZ10" s="629"/>
      <c r="DA10" s="629"/>
      <c r="DB10" s="629"/>
      <c r="DC10" s="629"/>
      <c r="DD10" s="629"/>
      <c r="DE10" s="629"/>
      <c r="DF10" s="629"/>
      <c r="DG10" s="629"/>
      <c r="DH10" s="629"/>
      <c r="DI10" s="629"/>
      <c r="DJ10" s="629"/>
      <c r="DK10" s="629"/>
      <c r="DL10" s="629"/>
      <c r="DM10" s="629"/>
      <c r="DN10" s="629"/>
      <c r="DO10" s="629"/>
      <c r="DP10" s="629"/>
      <c r="DQ10" s="629"/>
      <c r="DR10" s="629"/>
      <c r="DS10" s="629"/>
      <c r="DT10" s="629"/>
      <c r="DU10" s="629"/>
      <c r="DV10" s="629"/>
      <c r="DW10" s="629"/>
      <c r="DX10" s="629"/>
      <c r="DY10" s="629"/>
      <c r="DZ10" s="629"/>
      <c r="EA10" s="629"/>
      <c r="EB10" s="629"/>
      <c r="EC10" s="629"/>
      <c r="ED10" s="629"/>
      <c r="EE10" s="629"/>
      <c r="EF10" s="629"/>
      <c r="EG10" s="629"/>
      <c r="EH10" s="629"/>
      <c r="EI10" s="629"/>
      <c r="EJ10" s="629"/>
      <c r="EK10" s="629"/>
      <c r="EL10" s="629"/>
      <c r="EM10" s="629"/>
      <c r="EN10" s="629"/>
      <c r="EO10" s="629"/>
      <c r="EP10" s="629"/>
      <c r="EQ10" s="629"/>
      <c r="ER10" s="629"/>
      <c r="ES10" s="629"/>
      <c r="ET10" s="629"/>
      <c r="EU10" s="629"/>
      <c r="EV10" s="629"/>
      <c r="EW10" s="629"/>
      <c r="EX10" s="629"/>
      <c r="EY10" s="629"/>
      <c r="EZ10" s="629"/>
      <c r="FA10" s="629"/>
      <c r="FB10" s="629"/>
      <c r="FC10" s="629"/>
      <c r="FD10" s="629"/>
      <c r="FE10" s="629"/>
      <c r="FF10" s="629"/>
      <c r="FG10" s="629"/>
      <c r="FH10" s="629"/>
      <c r="FI10" s="629"/>
      <c r="FJ10" s="629"/>
      <c r="FK10" s="629"/>
      <c r="FL10" s="629"/>
      <c r="FM10" s="629"/>
      <c r="FN10" s="629"/>
      <c r="FO10" s="629"/>
      <c r="FP10" s="629"/>
      <c r="FQ10" s="629"/>
      <c r="FR10" s="629"/>
      <c r="FS10" s="629"/>
      <c r="FT10" s="629"/>
      <c r="FU10" s="629"/>
      <c r="FV10" s="629"/>
      <c r="FW10" s="629"/>
      <c r="FX10" s="629"/>
      <c r="FY10" s="629"/>
      <c r="FZ10" s="629"/>
      <c r="GA10" s="629"/>
      <c r="GB10" s="629"/>
      <c r="GC10" s="629"/>
      <c r="GD10" s="629"/>
      <c r="GE10" s="629"/>
      <c r="GF10" s="629"/>
      <c r="GG10" s="629"/>
      <c r="GH10" s="629"/>
      <c r="GI10" s="629"/>
      <c r="GJ10" s="629"/>
      <c r="GK10" s="629"/>
      <c r="GL10" s="629"/>
      <c r="GM10" s="629"/>
      <c r="GN10" s="629"/>
      <c r="GO10" s="629"/>
      <c r="GP10" s="629"/>
      <c r="GQ10" s="629"/>
      <c r="GR10" s="629"/>
      <c r="GS10" s="629"/>
      <c r="GT10" s="629"/>
      <c r="GU10" s="629"/>
      <c r="GV10" s="629"/>
      <c r="GW10" s="629"/>
      <c r="GX10" s="629"/>
      <c r="GY10" s="629"/>
      <c r="GZ10" s="629"/>
      <c r="HA10" s="629"/>
      <c r="HB10" s="629"/>
      <c r="HC10" s="629"/>
      <c r="HD10" s="629"/>
      <c r="HE10" s="629"/>
      <c r="HF10" s="629"/>
      <c r="HG10" s="629"/>
      <c r="HH10" s="629"/>
      <c r="HI10" s="629"/>
      <c r="HJ10" s="629"/>
      <c r="HK10" s="629"/>
      <c r="HL10" s="629"/>
      <c r="HM10" s="629"/>
      <c r="HN10" s="629"/>
      <c r="HO10" s="629"/>
      <c r="HP10" s="629"/>
      <c r="HQ10" s="629"/>
      <c r="HR10" s="629"/>
      <c r="HS10" s="629"/>
      <c r="HT10" s="629"/>
      <c r="HU10" s="629"/>
      <c r="HV10" s="629"/>
      <c r="HW10" s="629"/>
      <c r="HX10" s="629"/>
      <c r="HY10" s="629"/>
      <c r="HZ10" s="629"/>
      <c r="IA10" s="629"/>
      <c r="IB10" s="629"/>
      <c r="IC10" s="629"/>
      <c r="ID10" s="629"/>
      <c r="IE10" s="629"/>
      <c r="IF10" s="629"/>
      <c r="IG10" s="629"/>
      <c r="IH10" s="629"/>
      <c r="II10" s="629"/>
      <c r="IJ10" s="629"/>
      <c r="IK10" s="629"/>
      <c r="IL10" s="629"/>
      <c r="IM10" s="629"/>
      <c r="IN10" s="629"/>
      <c r="IO10" s="629"/>
      <c r="IP10" s="629"/>
      <c r="IQ10" s="629"/>
    </row>
    <row r="11" spans="1:251" s="120" customFormat="1" ht="13.2">
      <c r="A11" s="112"/>
      <c r="B11" s="931" t="s">
        <v>1564</v>
      </c>
      <c r="C11" s="932" t="s">
        <v>3738</v>
      </c>
      <c r="E11" s="701"/>
      <c r="F11" s="703"/>
      <c r="G11" s="702"/>
      <c r="H11" s="702"/>
      <c r="I11" s="702"/>
      <c r="J11" s="700"/>
      <c r="K11" s="112"/>
      <c r="L11" s="363"/>
      <c r="M11" s="112"/>
      <c r="N11" s="362"/>
      <c r="O11" s="573"/>
    </row>
    <row r="12" spans="1:251" s="120" customFormat="1" ht="13.2">
      <c r="A12" s="112"/>
      <c r="B12" s="933"/>
      <c r="C12" s="932" t="s">
        <v>3739</v>
      </c>
      <c r="E12" s="701"/>
      <c r="F12" s="703"/>
      <c r="G12" s="702"/>
      <c r="H12" s="702"/>
      <c r="I12" s="702"/>
      <c r="J12" s="700"/>
      <c r="K12" s="112"/>
      <c r="L12" s="363"/>
      <c r="M12" s="112"/>
      <c r="N12" s="362"/>
      <c r="O12" s="573"/>
    </row>
    <row r="13" spans="1:251" s="120" customFormat="1" ht="13.2">
      <c r="A13" s="112"/>
      <c r="B13" s="931"/>
      <c r="C13" s="932" t="s">
        <v>3737</v>
      </c>
      <c r="E13" s="701"/>
      <c r="F13" s="703"/>
      <c r="G13" s="702"/>
      <c r="H13" s="702"/>
      <c r="I13" s="702"/>
      <c r="J13" s="700"/>
      <c r="K13" s="112"/>
      <c r="L13" s="363"/>
      <c r="M13" s="112"/>
      <c r="N13" s="362"/>
      <c r="O13" s="573"/>
    </row>
    <row r="14" spans="1:251" s="20" customFormat="1" ht="12" customHeight="1">
      <c r="A14" s="964"/>
      <c r="B14" s="965"/>
      <c r="C14" s="966"/>
      <c r="D14" s="631"/>
      <c r="E14" s="898"/>
      <c r="F14" s="899"/>
      <c r="G14" s="899"/>
      <c r="H14" s="899"/>
      <c r="I14" s="899"/>
      <c r="J14" s="899"/>
      <c r="K14" s="900"/>
      <c r="L14" s="900"/>
      <c r="M14" s="900"/>
      <c r="N14" s="362"/>
      <c r="O14" s="704"/>
      <c r="P14" s="629"/>
      <c r="Q14" s="120" t="str">
        <f>IF(O14&lt;&gt;"",D14,"")</f>
        <v/>
      </c>
      <c r="R14" s="629"/>
      <c r="S14" s="629"/>
      <c r="T14" s="629"/>
      <c r="U14" s="629"/>
      <c r="V14" s="629"/>
      <c r="W14" s="629"/>
      <c r="X14" s="629"/>
      <c r="Y14" s="629"/>
      <c r="Z14" s="629"/>
      <c r="AA14" s="629"/>
      <c r="AB14" s="629"/>
      <c r="AC14" s="629"/>
      <c r="AD14" s="629"/>
      <c r="AE14" s="629"/>
      <c r="AF14" s="629"/>
      <c r="AG14" s="629"/>
      <c r="AH14" s="629"/>
      <c r="AI14" s="629"/>
      <c r="AJ14" s="629"/>
      <c r="AK14" s="629"/>
      <c r="AL14" s="629"/>
      <c r="AM14" s="629"/>
      <c r="AN14" s="629"/>
      <c r="AO14" s="629"/>
      <c r="AP14" s="629"/>
      <c r="AQ14" s="629"/>
      <c r="AR14" s="629"/>
      <c r="AS14" s="629"/>
      <c r="AT14" s="629"/>
      <c r="AU14" s="629"/>
      <c r="AV14" s="629"/>
      <c r="AW14" s="629"/>
      <c r="AX14" s="629"/>
      <c r="AY14" s="629"/>
      <c r="AZ14" s="629"/>
      <c r="BA14" s="629"/>
      <c r="BB14" s="629"/>
      <c r="BC14" s="629"/>
      <c r="BD14" s="629"/>
      <c r="BE14" s="629"/>
      <c r="BF14" s="629"/>
      <c r="BG14" s="629"/>
      <c r="BH14" s="629"/>
      <c r="BI14" s="629"/>
      <c r="BJ14" s="629"/>
      <c r="BK14" s="629"/>
      <c r="BL14" s="629"/>
      <c r="BM14" s="629"/>
      <c r="BN14" s="629"/>
      <c r="BO14" s="629"/>
      <c r="BP14" s="629"/>
      <c r="BQ14" s="629"/>
      <c r="BR14" s="629"/>
      <c r="BS14" s="629"/>
      <c r="BT14" s="629"/>
      <c r="BU14" s="629"/>
      <c r="BV14" s="629"/>
      <c r="BW14" s="629"/>
      <c r="BX14" s="629"/>
      <c r="BY14" s="629"/>
      <c r="BZ14" s="629"/>
      <c r="CA14" s="629"/>
      <c r="CB14" s="629"/>
      <c r="CC14" s="629"/>
      <c r="CD14" s="629"/>
      <c r="CE14" s="629"/>
      <c r="CF14" s="629"/>
      <c r="CG14" s="629"/>
      <c r="CH14" s="629"/>
      <c r="CI14" s="629"/>
      <c r="CJ14" s="629"/>
      <c r="CK14" s="629"/>
      <c r="CL14" s="629"/>
      <c r="CM14" s="629"/>
      <c r="CN14" s="629"/>
      <c r="CO14" s="629"/>
      <c r="CP14" s="629"/>
      <c r="CQ14" s="629"/>
      <c r="CR14" s="629"/>
      <c r="CS14" s="629"/>
      <c r="CT14" s="629"/>
      <c r="CU14" s="629"/>
      <c r="CV14" s="629"/>
      <c r="CW14" s="629"/>
      <c r="CX14" s="629"/>
      <c r="CY14" s="629"/>
      <c r="CZ14" s="629"/>
      <c r="DA14" s="629"/>
      <c r="DB14" s="629"/>
      <c r="DC14" s="629"/>
      <c r="DD14" s="629"/>
      <c r="DE14" s="629"/>
      <c r="DF14" s="629"/>
      <c r="DG14" s="629"/>
      <c r="DH14" s="629"/>
      <c r="DI14" s="629"/>
      <c r="DJ14" s="629"/>
      <c r="DK14" s="629"/>
      <c r="DL14" s="629"/>
      <c r="DM14" s="629"/>
      <c r="DN14" s="629"/>
      <c r="DO14" s="629"/>
      <c r="DP14" s="629"/>
      <c r="DQ14" s="629"/>
      <c r="DR14" s="629"/>
      <c r="DS14" s="629"/>
      <c r="DT14" s="629"/>
      <c r="DU14" s="629"/>
      <c r="DV14" s="629"/>
      <c r="DW14" s="629"/>
      <c r="DX14" s="629"/>
      <c r="DY14" s="629"/>
      <c r="DZ14" s="629"/>
      <c r="EA14" s="629"/>
      <c r="EB14" s="629"/>
      <c r="EC14" s="629"/>
      <c r="ED14" s="629"/>
      <c r="EE14" s="629"/>
      <c r="EF14" s="629"/>
      <c r="EG14" s="629"/>
      <c r="EH14" s="629"/>
      <c r="EI14" s="629"/>
      <c r="EJ14" s="629"/>
      <c r="EK14" s="629"/>
      <c r="EL14" s="629"/>
      <c r="EM14" s="629"/>
      <c r="EN14" s="629"/>
      <c r="EO14" s="629"/>
      <c r="EP14" s="629"/>
      <c r="EQ14" s="629"/>
      <c r="ER14" s="629"/>
      <c r="ES14" s="629"/>
      <c r="ET14" s="629"/>
      <c r="EU14" s="629"/>
      <c r="EV14" s="629"/>
      <c r="EW14" s="629"/>
      <c r="EX14" s="629"/>
      <c r="EY14" s="629"/>
      <c r="EZ14" s="629"/>
      <c r="FA14" s="629"/>
      <c r="FB14" s="629"/>
      <c r="FC14" s="629"/>
      <c r="FD14" s="629"/>
      <c r="FE14" s="629"/>
      <c r="FF14" s="629"/>
      <c r="FG14" s="629"/>
      <c r="FH14" s="629"/>
      <c r="FI14" s="629"/>
      <c r="FJ14" s="629"/>
      <c r="FK14" s="629"/>
      <c r="FL14" s="629"/>
      <c r="FM14" s="629"/>
      <c r="FN14" s="629"/>
      <c r="FO14" s="629"/>
      <c r="FP14" s="629"/>
      <c r="FQ14" s="629"/>
      <c r="FR14" s="629"/>
      <c r="FS14" s="629"/>
      <c r="FT14" s="629"/>
      <c r="FU14" s="629"/>
      <c r="FV14" s="629"/>
      <c r="FW14" s="629"/>
      <c r="FX14" s="629"/>
      <c r="FY14" s="629"/>
      <c r="FZ14" s="629"/>
      <c r="GA14" s="629"/>
      <c r="GB14" s="629"/>
      <c r="GC14" s="629"/>
      <c r="GD14" s="629"/>
      <c r="GE14" s="629"/>
      <c r="GF14" s="629"/>
      <c r="GG14" s="629"/>
      <c r="GH14" s="629"/>
      <c r="GI14" s="629"/>
      <c r="GJ14" s="629"/>
      <c r="GK14" s="629"/>
      <c r="GL14" s="629"/>
      <c r="GM14" s="629"/>
      <c r="GN14" s="629"/>
      <c r="GO14" s="629"/>
      <c r="GP14" s="629"/>
      <c r="GQ14" s="629"/>
      <c r="GR14" s="629"/>
      <c r="GS14" s="629"/>
      <c r="GT14" s="629"/>
      <c r="GU14" s="629"/>
      <c r="GV14" s="629"/>
      <c r="GW14" s="629"/>
      <c r="GX14" s="629"/>
      <c r="GY14" s="629"/>
      <c r="GZ14" s="629"/>
      <c r="HA14" s="629"/>
      <c r="HB14" s="629"/>
      <c r="HC14" s="629"/>
      <c r="HD14" s="629"/>
      <c r="HE14" s="629"/>
      <c r="HF14" s="629"/>
      <c r="HG14" s="629"/>
      <c r="HH14" s="629"/>
      <c r="HI14" s="629"/>
      <c r="HJ14" s="629"/>
      <c r="HK14" s="629"/>
      <c r="HL14" s="629"/>
      <c r="HM14" s="629"/>
      <c r="HN14" s="629"/>
      <c r="HO14" s="629"/>
      <c r="HP14" s="629"/>
      <c r="HQ14" s="629"/>
      <c r="HR14" s="629"/>
      <c r="HS14" s="629"/>
      <c r="HT14" s="629"/>
      <c r="HU14" s="629"/>
      <c r="HV14" s="629"/>
      <c r="HW14" s="629"/>
      <c r="HX14" s="629"/>
      <c r="HY14" s="629"/>
      <c r="HZ14" s="629"/>
      <c r="IA14" s="629"/>
      <c r="IB14" s="629"/>
      <c r="IC14" s="629"/>
      <c r="ID14" s="629"/>
      <c r="IE14" s="629"/>
      <c r="IF14" s="629"/>
      <c r="IG14" s="629"/>
      <c r="IH14" s="629"/>
      <c r="II14" s="629"/>
      <c r="IJ14" s="629"/>
      <c r="IK14" s="629"/>
      <c r="IL14" s="629"/>
      <c r="IM14" s="629"/>
      <c r="IN14" s="629"/>
      <c r="IO14" s="629"/>
      <c r="IP14" s="629"/>
      <c r="IQ14" s="629"/>
    </row>
    <row r="15" spans="1:251" s="120" customFormat="1" ht="13.2">
      <c r="A15" s="112"/>
      <c r="B15" s="931" t="s">
        <v>2666</v>
      </c>
      <c r="C15" s="932" t="s">
        <v>3770</v>
      </c>
      <c r="E15" s="701"/>
      <c r="F15" s="703"/>
      <c r="G15" s="702"/>
      <c r="H15" s="702"/>
      <c r="I15" s="702"/>
      <c r="J15" s="700"/>
      <c r="K15" s="112"/>
      <c r="L15" s="363"/>
      <c r="M15" s="112"/>
      <c r="N15" s="362"/>
      <c r="O15" s="573"/>
      <c r="Q15" s="120" t="str">
        <f>IF(O15&lt;&gt;"",D15,"")</f>
        <v/>
      </c>
    </row>
    <row r="16" spans="1:251" s="20" customFormat="1" ht="12" customHeight="1">
      <c r="A16" s="964"/>
      <c r="B16" s="933"/>
      <c r="C16" s="932" t="s">
        <v>3771</v>
      </c>
      <c r="D16" s="631"/>
      <c r="E16" s="898"/>
      <c r="F16" s="899"/>
      <c r="G16" s="899"/>
      <c r="H16" s="899"/>
      <c r="I16" s="899"/>
      <c r="J16" s="899"/>
      <c r="K16" s="900"/>
      <c r="L16" s="900"/>
      <c r="M16" s="900"/>
      <c r="N16" s="362"/>
      <c r="O16" s="704"/>
      <c r="P16" s="629"/>
      <c r="Q16" s="120" t="str">
        <f>IF(O16&lt;&gt;"",D16,"")</f>
        <v/>
      </c>
      <c r="R16" s="629"/>
      <c r="S16" s="629"/>
      <c r="T16" s="629"/>
      <c r="U16" s="629"/>
      <c r="V16" s="629"/>
      <c r="W16" s="629"/>
      <c r="X16" s="629"/>
      <c r="Y16" s="629"/>
      <c r="Z16" s="629"/>
      <c r="AA16" s="629"/>
      <c r="AB16" s="629"/>
      <c r="AC16" s="629"/>
      <c r="AD16" s="629"/>
      <c r="AE16" s="629"/>
      <c r="AF16" s="629"/>
      <c r="AG16" s="629"/>
      <c r="AH16" s="629"/>
      <c r="AI16" s="629"/>
      <c r="AJ16" s="629"/>
      <c r="AK16" s="629"/>
      <c r="AL16" s="629"/>
      <c r="AM16" s="629"/>
      <c r="AN16" s="629"/>
      <c r="AO16" s="629"/>
      <c r="AP16" s="629"/>
      <c r="AQ16" s="629"/>
      <c r="AR16" s="629"/>
      <c r="AS16" s="629"/>
      <c r="AT16" s="629"/>
      <c r="AU16" s="629"/>
      <c r="AV16" s="629"/>
      <c r="AW16" s="629"/>
      <c r="AX16" s="629"/>
      <c r="AY16" s="629"/>
      <c r="AZ16" s="629"/>
      <c r="BA16" s="629"/>
      <c r="BB16" s="629"/>
      <c r="BC16" s="629"/>
      <c r="BD16" s="629"/>
      <c r="BE16" s="629"/>
      <c r="BF16" s="629"/>
      <c r="BG16" s="629"/>
      <c r="BH16" s="629"/>
      <c r="BI16" s="629"/>
      <c r="BJ16" s="629"/>
      <c r="BK16" s="629"/>
      <c r="BL16" s="629"/>
      <c r="BM16" s="629"/>
      <c r="BN16" s="629"/>
      <c r="BO16" s="629"/>
      <c r="BP16" s="629"/>
      <c r="BQ16" s="629"/>
      <c r="BR16" s="629"/>
      <c r="BS16" s="629"/>
      <c r="BT16" s="629"/>
      <c r="BU16" s="629"/>
      <c r="BV16" s="629"/>
      <c r="BW16" s="629"/>
      <c r="BX16" s="629"/>
      <c r="BY16" s="629"/>
      <c r="BZ16" s="629"/>
      <c r="CA16" s="629"/>
      <c r="CB16" s="629"/>
      <c r="CC16" s="629"/>
      <c r="CD16" s="629"/>
      <c r="CE16" s="629"/>
      <c r="CF16" s="629"/>
      <c r="CG16" s="629"/>
      <c r="CH16" s="629"/>
      <c r="CI16" s="629"/>
      <c r="CJ16" s="629"/>
      <c r="CK16" s="629"/>
      <c r="CL16" s="629"/>
      <c r="CM16" s="629"/>
      <c r="CN16" s="629"/>
      <c r="CO16" s="629"/>
      <c r="CP16" s="629"/>
      <c r="CQ16" s="629"/>
      <c r="CR16" s="629"/>
      <c r="CS16" s="629"/>
      <c r="CT16" s="629"/>
      <c r="CU16" s="629"/>
      <c r="CV16" s="629"/>
      <c r="CW16" s="629"/>
      <c r="CX16" s="629"/>
      <c r="CY16" s="629"/>
      <c r="CZ16" s="629"/>
      <c r="DA16" s="629"/>
      <c r="DB16" s="629"/>
      <c r="DC16" s="629"/>
      <c r="DD16" s="629"/>
      <c r="DE16" s="629"/>
      <c r="DF16" s="629"/>
      <c r="DG16" s="629"/>
      <c r="DH16" s="629"/>
      <c r="DI16" s="629"/>
      <c r="DJ16" s="629"/>
      <c r="DK16" s="629"/>
      <c r="DL16" s="629"/>
      <c r="DM16" s="629"/>
      <c r="DN16" s="629"/>
      <c r="DO16" s="629"/>
      <c r="DP16" s="629"/>
      <c r="DQ16" s="629"/>
      <c r="DR16" s="629"/>
      <c r="DS16" s="629"/>
      <c r="DT16" s="629"/>
      <c r="DU16" s="629"/>
      <c r="DV16" s="629"/>
      <c r="DW16" s="629"/>
      <c r="DX16" s="629"/>
      <c r="DY16" s="629"/>
      <c r="DZ16" s="629"/>
      <c r="EA16" s="629"/>
      <c r="EB16" s="629"/>
      <c r="EC16" s="629"/>
      <c r="ED16" s="629"/>
      <c r="EE16" s="629"/>
      <c r="EF16" s="629"/>
      <c r="EG16" s="629"/>
      <c r="EH16" s="629"/>
      <c r="EI16" s="629"/>
      <c r="EJ16" s="629"/>
      <c r="EK16" s="629"/>
      <c r="EL16" s="629"/>
      <c r="EM16" s="629"/>
      <c r="EN16" s="629"/>
      <c r="EO16" s="629"/>
      <c r="EP16" s="629"/>
      <c r="EQ16" s="629"/>
      <c r="ER16" s="629"/>
      <c r="ES16" s="629"/>
      <c r="ET16" s="629"/>
      <c r="EU16" s="629"/>
      <c r="EV16" s="629"/>
      <c r="EW16" s="629"/>
      <c r="EX16" s="629"/>
      <c r="EY16" s="629"/>
      <c r="EZ16" s="629"/>
      <c r="FA16" s="629"/>
      <c r="FB16" s="629"/>
      <c r="FC16" s="629"/>
      <c r="FD16" s="629"/>
      <c r="FE16" s="629"/>
      <c r="FF16" s="629"/>
      <c r="FG16" s="629"/>
      <c r="FH16" s="629"/>
      <c r="FI16" s="629"/>
      <c r="FJ16" s="629"/>
      <c r="FK16" s="629"/>
      <c r="FL16" s="629"/>
      <c r="FM16" s="629"/>
      <c r="FN16" s="629"/>
      <c r="FO16" s="629"/>
      <c r="FP16" s="629"/>
      <c r="FQ16" s="629"/>
      <c r="FR16" s="629"/>
      <c r="FS16" s="629"/>
      <c r="FT16" s="629"/>
      <c r="FU16" s="629"/>
      <c r="FV16" s="629"/>
      <c r="FW16" s="629"/>
      <c r="FX16" s="629"/>
      <c r="FY16" s="629"/>
      <c r="FZ16" s="629"/>
      <c r="GA16" s="629"/>
      <c r="GB16" s="629"/>
      <c r="GC16" s="629"/>
      <c r="GD16" s="629"/>
      <c r="GE16" s="629"/>
      <c r="GF16" s="629"/>
      <c r="GG16" s="629"/>
      <c r="GH16" s="629"/>
      <c r="GI16" s="629"/>
      <c r="GJ16" s="629"/>
      <c r="GK16" s="629"/>
      <c r="GL16" s="629"/>
      <c r="GM16" s="629"/>
      <c r="GN16" s="629"/>
      <c r="GO16" s="629"/>
      <c r="GP16" s="629"/>
      <c r="GQ16" s="629"/>
      <c r="GR16" s="629"/>
      <c r="GS16" s="629"/>
      <c r="GT16" s="629"/>
      <c r="GU16" s="629"/>
      <c r="GV16" s="629"/>
      <c r="GW16" s="629"/>
      <c r="GX16" s="629"/>
      <c r="GY16" s="629"/>
      <c r="GZ16" s="629"/>
      <c r="HA16" s="629"/>
      <c r="HB16" s="629"/>
      <c r="HC16" s="629"/>
      <c r="HD16" s="629"/>
      <c r="HE16" s="629"/>
      <c r="HF16" s="629"/>
      <c r="HG16" s="629"/>
      <c r="HH16" s="629"/>
      <c r="HI16" s="629"/>
      <c r="HJ16" s="629"/>
      <c r="HK16" s="629"/>
      <c r="HL16" s="629"/>
      <c r="HM16" s="629"/>
      <c r="HN16" s="629"/>
      <c r="HO16" s="629"/>
      <c r="HP16" s="629"/>
      <c r="HQ16" s="629"/>
      <c r="HR16" s="629"/>
      <c r="HS16" s="629"/>
      <c r="HT16" s="629"/>
      <c r="HU16" s="629"/>
      <c r="HV16" s="629"/>
      <c r="HW16" s="629"/>
      <c r="HX16" s="629"/>
      <c r="HY16" s="629"/>
      <c r="HZ16" s="629"/>
      <c r="IA16" s="629"/>
      <c r="IB16" s="629"/>
      <c r="IC16" s="629"/>
      <c r="ID16" s="629"/>
      <c r="IE16" s="629"/>
      <c r="IF16" s="629"/>
      <c r="IG16" s="629"/>
      <c r="IH16" s="629"/>
      <c r="II16" s="629"/>
      <c r="IJ16" s="629"/>
      <c r="IK16" s="629"/>
      <c r="IL16" s="629"/>
      <c r="IM16" s="629"/>
      <c r="IN16" s="629"/>
      <c r="IO16" s="629"/>
      <c r="IP16" s="629"/>
      <c r="IQ16" s="629"/>
    </row>
    <row r="17" spans="1:251" s="20" customFormat="1" ht="12" customHeight="1">
      <c r="A17" s="964"/>
      <c r="B17" s="933"/>
      <c r="C17" s="932" t="s">
        <v>3772</v>
      </c>
      <c r="D17" s="631"/>
      <c r="E17" s="898"/>
      <c r="F17" s="899"/>
      <c r="G17" s="899"/>
      <c r="H17" s="899"/>
      <c r="I17" s="899"/>
      <c r="J17" s="899"/>
      <c r="K17" s="900"/>
      <c r="L17" s="900"/>
      <c r="M17" s="900"/>
      <c r="N17" s="362"/>
      <c r="O17" s="704"/>
      <c r="P17" s="629"/>
      <c r="Q17" s="120" t="str">
        <f>IF(O17&lt;&gt;"",D17,"")</f>
        <v/>
      </c>
      <c r="R17" s="629"/>
      <c r="S17" s="629"/>
      <c r="T17" s="629"/>
      <c r="U17" s="629"/>
      <c r="V17" s="629"/>
      <c r="W17" s="629"/>
      <c r="X17" s="629"/>
      <c r="Y17" s="629"/>
      <c r="Z17" s="629"/>
      <c r="AA17" s="629"/>
      <c r="AB17" s="629"/>
      <c r="AC17" s="629"/>
      <c r="AD17" s="629"/>
      <c r="AE17" s="629"/>
      <c r="AF17" s="629"/>
      <c r="AG17" s="629"/>
      <c r="AH17" s="629"/>
      <c r="AI17" s="629"/>
      <c r="AJ17" s="629"/>
      <c r="AK17" s="629"/>
      <c r="AL17" s="629"/>
      <c r="AM17" s="629"/>
      <c r="AN17" s="629"/>
      <c r="AO17" s="629"/>
      <c r="AP17" s="629"/>
      <c r="AQ17" s="629"/>
      <c r="AR17" s="629"/>
      <c r="AS17" s="629"/>
      <c r="AT17" s="629"/>
      <c r="AU17" s="629"/>
      <c r="AV17" s="629"/>
      <c r="AW17" s="629"/>
      <c r="AX17" s="629"/>
      <c r="AY17" s="629"/>
      <c r="AZ17" s="629"/>
      <c r="BA17" s="629"/>
      <c r="BB17" s="629"/>
      <c r="BC17" s="629"/>
      <c r="BD17" s="629"/>
      <c r="BE17" s="629"/>
      <c r="BF17" s="629"/>
      <c r="BG17" s="629"/>
      <c r="BH17" s="629"/>
      <c r="BI17" s="629"/>
      <c r="BJ17" s="629"/>
      <c r="BK17" s="629"/>
      <c r="BL17" s="629"/>
      <c r="BM17" s="629"/>
      <c r="BN17" s="629"/>
      <c r="BO17" s="629"/>
      <c r="BP17" s="629"/>
      <c r="BQ17" s="629"/>
      <c r="BR17" s="629"/>
      <c r="BS17" s="629"/>
      <c r="BT17" s="629"/>
      <c r="BU17" s="629"/>
      <c r="BV17" s="629"/>
      <c r="BW17" s="629"/>
      <c r="BX17" s="629"/>
      <c r="BY17" s="629"/>
      <c r="BZ17" s="629"/>
      <c r="CA17" s="629"/>
      <c r="CB17" s="629"/>
      <c r="CC17" s="629"/>
      <c r="CD17" s="629"/>
      <c r="CE17" s="629"/>
      <c r="CF17" s="629"/>
      <c r="CG17" s="629"/>
      <c r="CH17" s="629"/>
      <c r="CI17" s="629"/>
      <c r="CJ17" s="629"/>
      <c r="CK17" s="629"/>
      <c r="CL17" s="629"/>
      <c r="CM17" s="629"/>
      <c r="CN17" s="629"/>
      <c r="CO17" s="629"/>
      <c r="CP17" s="629"/>
      <c r="CQ17" s="629"/>
      <c r="CR17" s="629"/>
      <c r="CS17" s="629"/>
      <c r="CT17" s="629"/>
      <c r="CU17" s="629"/>
      <c r="CV17" s="629"/>
      <c r="CW17" s="629"/>
      <c r="CX17" s="629"/>
      <c r="CY17" s="629"/>
      <c r="CZ17" s="629"/>
      <c r="DA17" s="629"/>
      <c r="DB17" s="629"/>
      <c r="DC17" s="629"/>
      <c r="DD17" s="629"/>
      <c r="DE17" s="629"/>
      <c r="DF17" s="629"/>
      <c r="DG17" s="629"/>
      <c r="DH17" s="629"/>
      <c r="DI17" s="629"/>
      <c r="DJ17" s="629"/>
      <c r="DK17" s="629"/>
      <c r="DL17" s="629"/>
      <c r="DM17" s="629"/>
      <c r="DN17" s="629"/>
      <c r="DO17" s="629"/>
      <c r="DP17" s="629"/>
      <c r="DQ17" s="629"/>
      <c r="DR17" s="629"/>
      <c r="DS17" s="629"/>
      <c r="DT17" s="629"/>
      <c r="DU17" s="629"/>
      <c r="DV17" s="629"/>
      <c r="DW17" s="629"/>
      <c r="DX17" s="629"/>
      <c r="DY17" s="629"/>
      <c r="DZ17" s="629"/>
      <c r="EA17" s="629"/>
      <c r="EB17" s="629"/>
      <c r="EC17" s="629"/>
      <c r="ED17" s="629"/>
      <c r="EE17" s="629"/>
      <c r="EF17" s="629"/>
      <c r="EG17" s="629"/>
      <c r="EH17" s="629"/>
      <c r="EI17" s="629"/>
      <c r="EJ17" s="629"/>
      <c r="EK17" s="629"/>
      <c r="EL17" s="629"/>
      <c r="EM17" s="629"/>
      <c r="EN17" s="629"/>
      <c r="EO17" s="629"/>
      <c r="EP17" s="629"/>
      <c r="EQ17" s="629"/>
      <c r="ER17" s="629"/>
      <c r="ES17" s="629"/>
      <c r="ET17" s="629"/>
      <c r="EU17" s="629"/>
      <c r="EV17" s="629"/>
      <c r="EW17" s="629"/>
      <c r="EX17" s="629"/>
      <c r="EY17" s="629"/>
      <c r="EZ17" s="629"/>
      <c r="FA17" s="629"/>
      <c r="FB17" s="629"/>
      <c r="FC17" s="629"/>
      <c r="FD17" s="629"/>
      <c r="FE17" s="629"/>
      <c r="FF17" s="629"/>
      <c r="FG17" s="629"/>
      <c r="FH17" s="629"/>
      <c r="FI17" s="629"/>
      <c r="FJ17" s="629"/>
      <c r="FK17" s="629"/>
      <c r="FL17" s="629"/>
      <c r="FM17" s="629"/>
      <c r="FN17" s="629"/>
      <c r="FO17" s="629"/>
      <c r="FP17" s="629"/>
      <c r="FQ17" s="629"/>
      <c r="FR17" s="629"/>
      <c r="FS17" s="629"/>
      <c r="FT17" s="629"/>
      <c r="FU17" s="629"/>
      <c r="FV17" s="629"/>
      <c r="FW17" s="629"/>
      <c r="FX17" s="629"/>
      <c r="FY17" s="629"/>
      <c r="FZ17" s="629"/>
      <c r="GA17" s="629"/>
      <c r="GB17" s="629"/>
      <c r="GC17" s="629"/>
      <c r="GD17" s="629"/>
      <c r="GE17" s="629"/>
      <c r="GF17" s="629"/>
      <c r="GG17" s="629"/>
      <c r="GH17" s="629"/>
      <c r="GI17" s="629"/>
      <c r="GJ17" s="629"/>
      <c r="GK17" s="629"/>
      <c r="GL17" s="629"/>
      <c r="GM17" s="629"/>
      <c r="GN17" s="629"/>
      <c r="GO17" s="629"/>
      <c r="GP17" s="629"/>
      <c r="GQ17" s="629"/>
      <c r="GR17" s="629"/>
      <c r="GS17" s="629"/>
      <c r="GT17" s="629"/>
      <c r="GU17" s="629"/>
      <c r="GV17" s="629"/>
      <c r="GW17" s="629"/>
      <c r="GX17" s="629"/>
      <c r="GY17" s="629"/>
      <c r="GZ17" s="629"/>
      <c r="HA17" s="629"/>
      <c r="HB17" s="629"/>
      <c r="HC17" s="629"/>
      <c r="HD17" s="629"/>
      <c r="HE17" s="629"/>
      <c r="HF17" s="629"/>
      <c r="HG17" s="629"/>
      <c r="HH17" s="629"/>
      <c r="HI17" s="629"/>
      <c r="HJ17" s="629"/>
      <c r="HK17" s="629"/>
      <c r="HL17" s="629"/>
      <c r="HM17" s="629"/>
      <c r="HN17" s="629"/>
      <c r="HO17" s="629"/>
      <c r="HP17" s="629"/>
      <c r="HQ17" s="629"/>
      <c r="HR17" s="629"/>
      <c r="HS17" s="629"/>
      <c r="HT17" s="629"/>
      <c r="HU17" s="629"/>
      <c r="HV17" s="629"/>
      <c r="HW17" s="629"/>
      <c r="HX17" s="629"/>
      <c r="HY17" s="629"/>
      <c r="HZ17" s="629"/>
      <c r="IA17" s="629"/>
      <c r="IB17" s="629"/>
      <c r="IC17" s="629"/>
      <c r="ID17" s="629"/>
      <c r="IE17" s="629"/>
      <c r="IF17" s="629"/>
      <c r="IG17" s="629"/>
      <c r="IH17" s="629"/>
      <c r="II17" s="629"/>
      <c r="IJ17" s="629"/>
      <c r="IK17" s="629"/>
      <c r="IL17" s="629"/>
      <c r="IM17" s="629"/>
      <c r="IN17" s="629"/>
      <c r="IO17" s="629"/>
      <c r="IP17" s="629"/>
      <c r="IQ17" s="629"/>
    </row>
    <row r="18" spans="1:251" s="20" customFormat="1" ht="12" customHeight="1">
      <c r="A18" s="964"/>
      <c r="B18" s="965"/>
      <c r="C18" s="966"/>
      <c r="D18" s="631"/>
      <c r="E18" s="898"/>
      <c r="F18" s="899"/>
      <c r="G18" s="899"/>
      <c r="H18" s="899"/>
      <c r="I18" s="899"/>
      <c r="J18" s="899"/>
      <c r="K18" s="900"/>
      <c r="L18" s="900"/>
      <c r="M18" s="900"/>
      <c r="N18" s="362"/>
      <c r="O18" s="704"/>
      <c r="P18" s="629"/>
      <c r="Q18" s="120" t="str">
        <f>IF(O18&lt;&gt;"",D18,"")</f>
        <v/>
      </c>
      <c r="R18" s="629"/>
      <c r="S18" s="629"/>
      <c r="T18" s="629"/>
      <c r="U18" s="629"/>
      <c r="V18" s="629"/>
      <c r="W18" s="629"/>
      <c r="X18" s="629"/>
      <c r="Y18" s="629"/>
      <c r="Z18" s="629"/>
      <c r="AA18" s="629"/>
      <c r="AB18" s="629"/>
      <c r="AC18" s="629"/>
      <c r="AD18" s="629"/>
      <c r="AE18" s="629"/>
      <c r="AF18" s="629"/>
      <c r="AG18" s="629"/>
      <c r="AH18" s="629"/>
      <c r="AI18" s="629"/>
      <c r="AJ18" s="629"/>
      <c r="AK18" s="629"/>
      <c r="AL18" s="629"/>
      <c r="AM18" s="629"/>
      <c r="AN18" s="629"/>
      <c r="AO18" s="629"/>
      <c r="AP18" s="629"/>
      <c r="AQ18" s="629"/>
      <c r="AR18" s="629"/>
      <c r="AS18" s="629"/>
      <c r="AT18" s="629"/>
      <c r="AU18" s="629"/>
      <c r="AV18" s="629"/>
      <c r="AW18" s="629"/>
      <c r="AX18" s="629"/>
      <c r="AY18" s="629"/>
      <c r="AZ18" s="629"/>
      <c r="BA18" s="629"/>
      <c r="BB18" s="629"/>
      <c r="BC18" s="629"/>
      <c r="BD18" s="629"/>
      <c r="BE18" s="629"/>
      <c r="BF18" s="629"/>
      <c r="BG18" s="629"/>
      <c r="BH18" s="629"/>
      <c r="BI18" s="629"/>
      <c r="BJ18" s="629"/>
      <c r="BK18" s="629"/>
      <c r="BL18" s="629"/>
      <c r="BM18" s="629"/>
      <c r="BN18" s="629"/>
      <c r="BO18" s="629"/>
      <c r="BP18" s="629"/>
      <c r="BQ18" s="629"/>
      <c r="BR18" s="629"/>
      <c r="BS18" s="629"/>
      <c r="BT18" s="629"/>
      <c r="BU18" s="629"/>
      <c r="BV18" s="629"/>
      <c r="BW18" s="629"/>
      <c r="BX18" s="629"/>
      <c r="BY18" s="629"/>
      <c r="BZ18" s="629"/>
      <c r="CA18" s="629"/>
      <c r="CB18" s="629"/>
      <c r="CC18" s="629"/>
      <c r="CD18" s="629"/>
      <c r="CE18" s="629"/>
      <c r="CF18" s="629"/>
      <c r="CG18" s="629"/>
      <c r="CH18" s="629"/>
      <c r="CI18" s="629"/>
      <c r="CJ18" s="629"/>
      <c r="CK18" s="629"/>
      <c r="CL18" s="629"/>
      <c r="CM18" s="629"/>
      <c r="CN18" s="629"/>
      <c r="CO18" s="629"/>
      <c r="CP18" s="629"/>
      <c r="CQ18" s="629"/>
      <c r="CR18" s="629"/>
      <c r="CS18" s="629"/>
      <c r="CT18" s="629"/>
      <c r="CU18" s="629"/>
      <c r="CV18" s="629"/>
      <c r="CW18" s="629"/>
      <c r="CX18" s="629"/>
      <c r="CY18" s="629"/>
      <c r="CZ18" s="629"/>
      <c r="DA18" s="629"/>
      <c r="DB18" s="629"/>
      <c r="DC18" s="629"/>
      <c r="DD18" s="629"/>
      <c r="DE18" s="629"/>
      <c r="DF18" s="629"/>
      <c r="DG18" s="629"/>
      <c r="DH18" s="629"/>
      <c r="DI18" s="629"/>
      <c r="DJ18" s="629"/>
      <c r="DK18" s="629"/>
      <c r="DL18" s="629"/>
      <c r="DM18" s="629"/>
      <c r="DN18" s="629"/>
      <c r="DO18" s="629"/>
      <c r="DP18" s="629"/>
      <c r="DQ18" s="629"/>
      <c r="DR18" s="629"/>
      <c r="DS18" s="629"/>
      <c r="DT18" s="629"/>
      <c r="DU18" s="629"/>
      <c r="DV18" s="629"/>
      <c r="DW18" s="629"/>
      <c r="DX18" s="629"/>
      <c r="DY18" s="629"/>
      <c r="DZ18" s="629"/>
      <c r="EA18" s="629"/>
      <c r="EB18" s="629"/>
      <c r="EC18" s="629"/>
      <c r="ED18" s="629"/>
      <c r="EE18" s="629"/>
      <c r="EF18" s="629"/>
      <c r="EG18" s="629"/>
      <c r="EH18" s="629"/>
      <c r="EI18" s="629"/>
      <c r="EJ18" s="629"/>
      <c r="EK18" s="629"/>
      <c r="EL18" s="629"/>
      <c r="EM18" s="629"/>
      <c r="EN18" s="629"/>
      <c r="EO18" s="629"/>
      <c r="EP18" s="629"/>
      <c r="EQ18" s="629"/>
      <c r="ER18" s="629"/>
      <c r="ES18" s="629"/>
      <c r="ET18" s="629"/>
      <c r="EU18" s="629"/>
      <c r="EV18" s="629"/>
      <c r="EW18" s="629"/>
      <c r="EX18" s="629"/>
      <c r="EY18" s="629"/>
      <c r="EZ18" s="629"/>
      <c r="FA18" s="629"/>
      <c r="FB18" s="629"/>
      <c r="FC18" s="629"/>
      <c r="FD18" s="629"/>
      <c r="FE18" s="629"/>
      <c r="FF18" s="629"/>
      <c r="FG18" s="629"/>
      <c r="FH18" s="629"/>
      <c r="FI18" s="629"/>
      <c r="FJ18" s="629"/>
      <c r="FK18" s="629"/>
      <c r="FL18" s="629"/>
      <c r="FM18" s="629"/>
      <c r="FN18" s="629"/>
      <c r="FO18" s="629"/>
      <c r="FP18" s="629"/>
      <c r="FQ18" s="629"/>
      <c r="FR18" s="629"/>
      <c r="FS18" s="629"/>
      <c r="FT18" s="629"/>
      <c r="FU18" s="629"/>
      <c r="FV18" s="629"/>
      <c r="FW18" s="629"/>
      <c r="FX18" s="629"/>
      <c r="FY18" s="629"/>
      <c r="FZ18" s="629"/>
      <c r="GA18" s="629"/>
      <c r="GB18" s="629"/>
      <c r="GC18" s="629"/>
      <c r="GD18" s="629"/>
      <c r="GE18" s="629"/>
      <c r="GF18" s="629"/>
      <c r="GG18" s="629"/>
      <c r="GH18" s="629"/>
      <c r="GI18" s="629"/>
      <c r="GJ18" s="629"/>
      <c r="GK18" s="629"/>
      <c r="GL18" s="629"/>
      <c r="GM18" s="629"/>
      <c r="GN18" s="629"/>
      <c r="GO18" s="629"/>
      <c r="GP18" s="629"/>
      <c r="GQ18" s="629"/>
      <c r="GR18" s="629"/>
      <c r="GS18" s="629"/>
      <c r="GT18" s="629"/>
      <c r="GU18" s="629"/>
      <c r="GV18" s="629"/>
      <c r="GW18" s="629"/>
      <c r="GX18" s="629"/>
      <c r="GY18" s="629"/>
      <c r="GZ18" s="629"/>
      <c r="HA18" s="629"/>
      <c r="HB18" s="629"/>
      <c r="HC18" s="629"/>
      <c r="HD18" s="629"/>
      <c r="HE18" s="629"/>
      <c r="HF18" s="629"/>
      <c r="HG18" s="629"/>
      <c r="HH18" s="629"/>
      <c r="HI18" s="629"/>
      <c r="HJ18" s="629"/>
      <c r="HK18" s="629"/>
      <c r="HL18" s="629"/>
      <c r="HM18" s="629"/>
      <c r="HN18" s="629"/>
      <c r="HO18" s="629"/>
      <c r="HP18" s="629"/>
      <c r="HQ18" s="629"/>
      <c r="HR18" s="629"/>
      <c r="HS18" s="629"/>
      <c r="HT18" s="629"/>
      <c r="HU18" s="629"/>
      <c r="HV18" s="629"/>
      <c r="HW18" s="629"/>
      <c r="HX18" s="629"/>
      <c r="HY18" s="629"/>
      <c r="HZ18" s="629"/>
      <c r="IA18" s="629"/>
      <c r="IB18" s="629"/>
      <c r="IC18" s="629"/>
      <c r="ID18" s="629"/>
      <c r="IE18" s="629"/>
      <c r="IF18" s="629"/>
      <c r="IG18" s="629"/>
      <c r="IH18" s="629"/>
      <c r="II18" s="629"/>
      <c r="IJ18" s="629"/>
      <c r="IK18" s="629"/>
      <c r="IL18" s="629"/>
      <c r="IM18" s="629"/>
      <c r="IN18" s="629"/>
      <c r="IO18" s="629"/>
      <c r="IP18" s="629"/>
      <c r="IQ18" s="629"/>
    </row>
    <row r="19" spans="1:251" s="120" customFormat="1" ht="13.2">
      <c r="A19" s="112"/>
      <c r="B19" s="946" t="s">
        <v>1564</v>
      </c>
      <c r="C19" s="947" t="s">
        <v>3745</v>
      </c>
      <c r="E19" s="701"/>
      <c r="F19" s="703"/>
      <c r="G19" s="702"/>
      <c r="H19" s="702"/>
      <c r="I19" s="702"/>
      <c r="J19" s="700"/>
      <c r="K19" s="112"/>
      <c r="L19" s="363"/>
      <c r="M19" s="112"/>
      <c r="N19" s="362"/>
      <c r="O19" s="573"/>
    </row>
    <row r="20" spans="1:251" s="20" customFormat="1" ht="12" customHeight="1">
      <c r="A20" s="112"/>
      <c r="B20" s="948"/>
      <c r="C20" s="947" t="s">
        <v>3746</v>
      </c>
      <c r="D20" s="120"/>
      <c r="E20" s="701"/>
      <c r="F20" s="703"/>
      <c r="G20" s="702"/>
      <c r="H20" s="702"/>
      <c r="I20" s="702"/>
      <c r="J20" s="700"/>
      <c r="K20" s="900"/>
      <c r="L20" s="900"/>
      <c r="M20" s="900"/>
      <c r="N20" s="362"/>
      <c r="O20" s="704"/>
      <c r="P20" s="629"/>
      <c r="Q20" s="120" t="str">
        <f>IF(O20&lt;&gt;"",D21,"")</f>
        <v/>
      </c>
      <c r="R20" s="629"/>
      <c r="S20" s="629"/>
      <c r="T20" s="629"/>
      <c r="U20" s="629"/>
      <c r="V20" s="629"/>
      <c r="W20" s="629"/>
      <c r="X20" s="629"/>
      <c r="Y20" s="629"/>
      <c r="Z20" s="629"/>
      <c r="AA20" s="629"/>
      <c r="AB20" s="629"/>
      <c r="AC20" s="629"/>
      <c r="AD20" s="629"/>
      <c r="AE20" s="629"/>
      <c r="AF20" s="629"/>
      <c r="AG20" s="629"/>
      <c r="AH20" s="629"/>
      <c r="AI20" s="629"/>
      <c r="AJ20" s="629"/>
      <c r="AK20" s="629"/>
      <c r="AL20" s="629"/>
      <c r="AM20" s="629"/>
      <c r="AN20" s="629"/>
      <c r="AO20" s="629"/>
      <c r="AP20" s="629"/>
      <c r="AQ20" s="629"/>
      <c r="AR20" s="629"/>
      <c r="AS20" s="629"/>
      <c r="AT20" s="629"/>
      <c r="AU20" s="629"/>
      <c r="AV20" s="629"/>
      <c r="AW20" s="629"/>
      <c r="AX20" s="629"/>
      <c r="AY20" s="629"/>
      <c r="AZ20" s="629"/>
      <c r="BA20" s="629"/>
      <c r="BB20" s="629"/>
      <c r="BC20" s="629"/>
      <c r="BD20" s="629"/>
      <c r="BE20" s="629"/>
      <c r="BF20" s="629"/>
      <c r="BG20" s="629"/>
      <c r="BH20" s="629"/>
      <c r="BI20" s="629"/>
      <c r="BJ20" s="629"/>
      <c r="BK20" s="629"/>
      <c r="BL20" s="629"/>
      <c r="BM20" s="629"/>
      <c r="BN20" s="629"/>
      <c r="BO20" s="629"/>
      <c r="BP20" s="629"/>
      <c r="BQ20" s="629"/>
      <c r="BR20" s="629"/>
      <c r="BS20" s="629"/>
      <c r="BT20" s="629"/>
      <c r="BU20" s="629"/>
      <c r="BV20" s="629"/>
      <c r="BW20" s="629"/>
      <c r="BX20" s="629"/>
      <c r="BY20" s="629"/>
      <c r="BZ20" s="629"/>
      <c r="CA20" s="629"/>
      <c r="CB20" s="629"/>
      <c r="CC20" s="629"/>
      <c r="CD20" s="629"/>
      <c r="CE20" s="629"/>
      <c r="CF20" s="629"/>
      <c r="CG20" s="629"/>
      <c r="CH20" s="629"/>
      <c r="CI20" s="629"/>
      <c r="CJ20" s="629"/>
      <c r="CK20" s="629"/>
      <c r="CL20" s="629"/>
      <c r="CM20" s="629"/>
      <c r="CN20" s="629"/>
      <c r="CO20" s="629"/>
      <c r="CP20" s="629"/>
      <c r="CQ20" s="629"/>
      <c r="CR20" s="629"/>
      <c r="CS20" s="629"/>
      <c r="CT20" s="629"/>
      <c r="CU20" s="629"/>
      <c r="CV20" s="629"/>
      <c r="CW20" s="629"/>
      <c r="CX20" s="629"/>
      <c r="CY20" s="629"/>
      <c r="CZ20" s="629"/>
      <c r="DA20" s="629"/>
      <c r="DB20" s="629"/>
      <c r="DC20" s="629"/>
      <c r="DD20" s="629"/>
      <c r="DE20" s="629"/>
      <c r="DF20" s="629"/>
      <c r="DG20" s="629"/>
      <c r="DH20" s="629"/>
      <c r="DI20" s="629"/>
      <c r="DJ20" s="629"/>
      <c r="DK20" s="629"/>
      <c r="DL20" s="629"/>
      <c r="DM20" s="629"/>
      <c r="DN20" s="629"/>
      <c r="DO20" s="629"/>
      <c r="DP20" s="629"/>
      <c r="DQ20" s="629"/>
      <c r="DR20" s="629"/>
      <c r="DS20" s="629"/>
      <c r="DT20" s="629"/>
      <c r="DU20" s="629"/>
      <c r="DV20" s="629"/>
      <c r="DW20" s="629"/>
      <c r="DX20" s="629"/>
      <c r="DY20" s="629"/>
      <c r="DZ20" s="629"/>
      <c r="EA20" s="629"/>
      <c r="EB20" s="629"/>
      <c r="EC20" s="629"/>
      <c r="ED20" s="629"/>
      <c r="EE20" s="629"/>
      <c r="EF20" s="629"/>
      <c r="EG20" s="629"/>
      <c r="EH20" s="629"/>
      <c r="EI20" s="629"/>
      <c r="EJ20" s="629"/>
      <c r="EK20" s="629"/>
      <c r="EL20" s="629"/>
      <c r="EM20" s="629"/>
      <c r="EN20" s="629"/>
      <c r="EO20" s="629"/>
      <c r="EP20" s="629"/>
      <c r="EQ20" s="629"/>
      <c r="ER20" s="629"/>
      <c r="ES20" s="629"/>
      <c r="ET20" s="629"/>
      <c r="EU20" s="629"/>
      <c r="EV20" s="629"/>
      <c r="EW20" s="629"/>
      <c r="EX20" s="629"/>
      <c r="EY20" s="629"/>
      <c r="EZ20" s="629"/>
      <c r="FA20" s="629"/>
      <c r="FB20" s="629"/>
      <c r="FC20" s="629"/>
      <c r="FD20" s="629"/>
      <c r="FE20" s="629"/>
      <c r="FF20" s="629"/>
      <c r="FG20" s="629"/>
      <c r="FH20" s="629"/>
      <c r="FI20" s="629"/>
      <c r="FJ20" s="629"/>
      <c r="FK20" s="629"/>
      <c r="FL20" s="629"/>
      <c r="FM20" s="629"/>
      <c r="FN20" s="629"/>
      <c r="FO20" s="629"/>
      <c r="FP20" s="629"/>
      <c r="FQ20" s="629"/>
      <c r="FR20" s="629"/>
      <c r="FS20" s="629"/>
      <c r="FT20" s="629"/>
      <c r="FU20" s="629"/>
      <c r="FV20" s="629"/>
      <c r="FW20" s="629"/>
      <c r="FX20" s="629"/>
      <c r="FY20" s="629"/>
      <c r="FZ20" s="629"/>
      <c r="GA20" s="629"/>
      <c r="GB20" s="629"/>
      <c r="GC20" s="629"/>
      <c r="GD20" s="629"/>
      <c r="GE20" s="629"/>
      <c r="GF20" s="629"/>
      <c r="GG20" s="629"/>
      <c r="GH20" s="629"/>
      <c r="GI20" s="629"/>
      <c r="GJ20" s="629"/>
      <c r="GK20" s="629"/>
      <c r="GL20" s="629"/>
      <c r="GM20" s="629"/>
      <c r="GN20" s="629"/>
      <c r="GO20" s="629"/>
      <c r="GP20" s="629"/>
      <c r="GQ20" s="629"/>
      <c r="GR20" s="629"/>
      <c r="GS20" s="629"/>
      <c r="GT20" s="629"/>
      <c r="GU20" s="629"/>
      <c r="GV20" s="629"/>
      <c r="GW20" s="629"/>
      <c r="GX20" s="629"/>
      <c r="GY20" s="629"/>
      <c r="GZ20" s="629"/>
      <c r="HA20" s="629"/>
      <c r="HB20" s="629"/>
      <c r="HC20" s="629"/>
      <c r="HD20" s="629"/>
      <c r="HE20" s="629"/>
      <c r="HF20" s="629"/>
      <c r="HG20" s="629"/>
      <c r="HH20" s="629"/>
      <c r="HI20" s="629"/>
      <c r="HJ20" s="629"/>
      <c r="HK20" s="629"/>
      <c r="HL20" s="629"/>
      <c r="HM20" s="629"/>
      <c r="HN20" s="629"/>
      <c r="HO20" s="629"/>
      <c r="HP20" s="629"/>
      <c r="HQ20" s="629"/>
      <c r="HR20" s="629"/>
      <c r="HS20" s="629"/>
      <c r="HT20" s="629"/>
      <c r="HU20" s="629"/>
      <c r="HV20" s="629"/>
      <c r="HW20" s="629"/>
      <c r="HX20" s="629"/>
      <c r="HY20" s="629"/>
      <c r="HZ20" s="629"/>
      <c r="IA20" s="629"/>
      <c r="IB20" s="629"/>
      <c r="IC20" s="629"/>
      <c r="ID20" s="629"/>
      <c r="IE20" s="629"/>
      <c r="IF20" s="629"/>
      <c r="IG20" s="629"/>
      <c r="IH20" s="629"/>
      <c r="II20" s="629"/>
      <c r="IJ20" s="629"/>
      <c r="IK20" s="629"/>
      <c r="IL20" s="629"/>
      <c r="IM20" s="629"/>
      <c r="IN20" s="629"/>
      <c r="IO20" s="629"/>
      <c r="IP20" s="629"/>
      <c r="IQ20" s="629"/>
    </row>
    <row r="21" spans="1:251" s="20" customFormat="1" ht="12" customHeight="1">
      <c r="A21" s="629"/>
      <c r="B21" s="630"/>
      <c r="C21" s="631"/>
      <c r="D21" s="631"/>
      <c r="E21" s="898"/>
      <c r="F21" s="899"/>
      <c r="G21" s="899"/>
      <c r="H21" s="899"/>
      <c r="I21" s="899"/>
      <c r="J21" s="899"/>
      <c r="K21" s="900"/>
      <c r="L21" s="900"/>
      <c r="M21" s="900"/>
      <c r="N21" s="362"/>
      <c r="O21" s="704"/>
      <c r="P21" s="629"/>
      <c r="Q21" s="120" t="str">
        <f>IF(O21&lt;&gt;"",D23,"")</f>
        <v/>
      </c>
      <c r="R21" s="629"/>
      <c r="S21" s="629"/>
      <c r="T21" s="629"/>
      <c r="U21" s="629"/>
      <c r="V21" s="629"/>
      <c r="W21" s="629"/>
      <c r="X21" s="629"/>
      <c r="Y21" s="629"/>
      <c r="Z21" s="629"/>
      <c r="AA21" s="629"/>
      <c r="AB21" s="629"/>
      <c r="AC21" s="629"/>
      <c r="AD21" s="629"/>
      <c r="AE21" s="629"/>
      <c r="AF21" s="629"/>
      <c r="AG21" s="629"/>
      <c r="AH21" s="629"/>
      <c r="AI21" s="629"/>
      <c r="AJ21" s="629"/>
      <c r="AK21" s="629"/>
      <c r="AL21" s="629"/>
      <c r="AM21" s="629"/>
      <c r="AN21" s="629"/>
      <c r="AO21" s="629"/>
      <c r="AP21" s="629"/>
      <c r="AQ21" s="629"/>
      <c r="AR21" s="629"/>
      <c r="AS21" s="629"/>
      <c r="AT21" s="629"/>
      <c r="AU21" s="629"/>
      <c r="AV21" s="629"/>
      <c r="AW21" s="629"/>
      <c r="AX21" s="629"/>
      <c r="AY21" s="629"/>
      <c r="AZ21" s="629"/>
      <c r="BA21" s="629"/>
      <c r="BB21" s="629"/>
      <c r="BC21" s="629"/>
      <c r="BD21" s="629"/>
      <c r="BE21" s="629"/>
      <c r="BF21" s="629"/>
      <c r="BG21" s="629"/>
      <c r="BH21" s="629"/>
      <c r="BI21" s="629"/>
      <c r="BJ21" s="629"/>
      <c r="BK21" s="629"/>
      <c r="BL21" s="629"/>
      <c r="BM21" s="629"/>
      <c r="BN21" s="629"/>
      <c r="BO21" s="629"/>
      <c r="BP21" s="629"/>
      <c r="BQ21" s="629"/>
      <c r="BR21" s="629"/>
      <c r="BS21" s="629"/>
      <c r="BT21" s="629"/>
      <c r="BU21" s="629"/>
      <c r="BV21" s="629"/>
      <c r="BW21" s="629"/>
      <c r="BX21" s="629"/>
      <c r="BY21" s="629"/>
      <c r="BZ21" s="629"/>
      <c r="CA21" s="629"/>
      <c r="CB21" s="629"/>
      <c r="CC21" s="629"/>
      <c r="CD21" s="629"/>
      <c r="CE21" s="629"/>
      <c r="CF21" s="629"/>
      <c r="CG21" s="629"/>
      <c r="CH21" s="629"/>
      <c r="CI21" s="629"/>
      <c r="CJ21" s="629"/>
      <c r="CK21" s="629"/>
      <c r="CL21" s="629"/>
      <c r="CM21" s="629"/>
      <c r="CN21" s="629"/>
      <c r="CO21" s="629"/>
      <c r="CP21" s="629"/>
      <c r="CQ21" s="629"/>
      <c r="CR21" s="629"/>
      <c r="CS21" s="629"/>
      <c r="CT21" s="629"/>
      <c r="CU21" s="629"/>
      <c r="CV21" s="629"/>
      <c r="CW21" s="629"/>
      <c r="CX21" s="629"/>
      <c r="CY21" s="629"/>
      <c r="CZ21" s="629"/>
      <c r="DA21" s="629"/>
      <c r="DB21" s="629"/>
      <c r="DC21" s="629"/>
      <c r="DD21" s="629"/>
      <c r="DE21" s="629"/>
      <c r="DF21" s="629"/>
      <c r="DG21" s="629"/>
      <c r="DH21" s="629"/>
      <c r="DI21" s="629"/>
      <c r="DJ21" s="629"/>
      <c r="DK21" s="629"/>
      <c r="DL21" s="629"/>
      <c r="DM21" s="629"/>
      <c r="DN21" s="629"/>
      <c r="DO21" s="629"/>
      <c r="DP21" s="629"/>
      <c r="DQ21" s="629"/>
      <c r="DR21" s="629"/>
      <c r="DS21" s="629"/>
      <c r="DT21" s="629"/>
      <c r="DU21" s="629"/>
      <c r="DV21" s="629"/>
      <c r="DW21" s="629"/>
      <c r="DX21" s="629"/>
      <c r="DY21" s="629"/>
      <c r="DZ21" s="629"/>
      <c r="EA21" s="629"/>
      <c r="EB21" s="629"/>
      <c r="EC21" s="629"/>
      <c r="ED21" s="629"/>
      <c r="EE21" s="629"/>
      <c r="EF21" s="629"/>
      <c r="EG21" s="629"/>
      <c r="EH21" s="629"/>
      <c r="EI21" s="629"/>
      <c r="EJ21" s="629"/>
      <c r="EK21" s="629"/>
      <c r="EL21" s="629"/>
      <c r="EM21" s="629"/>
      <c r="EN21" s="629"/>
      <c r="EO21" s="629"/>
      <c r="EP21" s="629"/>
      <c r="EQ21" s="629"/>
      <c r="ER21" s="629"/>
      <c r="ES21" s="629"/>
      <c r="ET21" s="629"/>
      <c r="EU21" s="629"/>
      <c r="EV21" s="629"/>
      <c r="EW21" s="629"/>
      <c r="EX21" s="629"/>
      <c r="EY21" s="629"/>
      <c r="EZ21" s="629"/>
      <c r="FA21" s="629"/>
      <c r="FB21" s="629"/>
      <c r="FC21" s="629"/>
      <c r="FD21" s="629"/>
      <c r="FE21" s="629"/>
      <c r="FF21" s="629"/>
      <c r="FG21" s="629"/>
      <c r="FH21" s="629"/>
      <c r="FI21" s="629"/>
      <c r="FJ21" s="629"/>
      <c r="FK21" s="629"/>
      <c r="FL21" s="629"/>
      <c r="FM21" s="629"/>
      <c r="FN21" s="629"/>
      <c r="FO21" s="629"/>
      <c r="FP21" s="629"/>
      <c r="FQ21" s="629"/>
      <c r="FR21" s="629"/>
      <c r="FS21" s="629"/>
      <c r="FT21" s="629"/>
      <c r="FU21" s="629"/>
      <c r="FV21" s="629"/>
      <c r="FW21" s="629"/>
      <c r="FX21" s="629"/>
      <c r="FY21" s="629"/>
      <c r="FZ21" s="629"/>
      <c r="GA21" s="629"/>
      <c r="GB21" s="629"/>
      <c r="GC21" s="629"/>
      <c r="GD21" s="629"/>
      <c r="GE21" s="629"/>
      <c r="GF21" s="629"/>
      <c r="GG21" s="629"/>
      <c r="GH21" s="629"/>
      <c r="GI21" s="629"/>
      <c r="GJ21" s="629"/>
      <c r="GK21" s="629"/>
      <c r="GL21" s="629"/>
      <c r="GM21" s="629"/>
      <c r="GN21" s="629"/>
      <c r="GO21" s="629"/>
      <c r="GP21" s="629"/>
      <c r="GQ21" s="629"/>
      <c r="GR21" s="629"/>
      <c r="GS21" s="629"/>
      <c r="GT21" s="629"/>
      <c r="GU21" s="629"/>
      <c r="GV21" s="629"/>
      <c r="GW21" s="629"/>
      <c r="GX21" s="629"/>
      <c r="GY21" s="629"/>
      <c r="GZ21" s="629"/>
      <c r="HA21" s="629"/>
      <c r="HB21" s="629"/>
      <c r="HC21" s="629"/>
      <c r="HD21" s="629"/>
      <c r="HE21" s="629"/>
      <c r="HF21" s="629"/>
      <c r="HG21" s="629"/>
      <c r="HH21" s="629"/>
      <c r="HI21" s="629"/>
      <c r="HJ21" s="629"/>
      <c r="HK21" s="629"/>
      <c r="HL21" s="629"/>
      <c r="HM21" s="629"/>
      <c r="HN21" s="629"/>
      <c r="HO21" s="629"/>
      <c r="HP21" s="629"/>
      <c r="HQ21" s="629"/>
      <c r="HR21" s="629"/>
      <c r="HS21" s="629"/>
      <c r="HT21" s="629"/>
      <c r="HU21" s="629"/>
      <c r="HV21" s="629"/>
      <c r="HW21" s="629"/>
      <c r="HX21" s="629"/>
      <c r="HY21" s="629"/>
      <c r="HZ21" s="629"/>
      <c r="IA21" s="629"/>
      <c r="IB21" s="629"/>
      <c r="IC21" s="629"/>
      <c r="ID21" s="629"/>
      <c r="IE21" s="629"/>
      <c r="IF21" s="629"/>
      <c r="IG21" s="629"/>
      <c r="IH21" s="629"/>
      <c r="II21" s="629"/>
      <c r="IJ21" s="629"/>
      <c r="IK21" s="629"/>
      <c r="IL21" s="629"/>
      <c r="IM21" s="629"/>
      <c r="IN21" s="629"/>
      <c r="IO21" s="629"/>
      <c r="IP21" s="629"/>
      <c r="IQ21" s="629"/>
    </row>
    <row r="22" spans="1:251" s="120" customFormat="1" ht="12.75" customHeight="1">
      <c r="A22" s="112"/>
      <c r="B22" s="931" t="s">
        <v>1564</v>
      </c>
      <c r="C22" s="967" t="s">
        <v>3740</v>
      </c>
      <c r="E22" s="701"/>
      <c r="F22" s="703"/>
      <c r="G22" s="702"/>
      <c r="H22" s="702"/>
      <c r="I22" s="702"/>
      <c r="J22" s="700"/>
      <c r="K22" s="112"/>
      <c r="L22" s="363"/>
      <c r="M22" s="112"/>
      <c r="N22" s="362"/>
      <c r="O22" s="573"/>
    </row>
    <row r="23" spans="1:251" s="120" customFormat="1" ht="12.75" customHeight="1">
      <c r="A23" s="112"/>
      <c r="B23" s="931"/>
      <c r="C23" s="967" t="s">
        <v>3741</v>
      </c>
      <c r="E23" s="701"/>
      <c r="F23" s="703"/>
      <c r="G23" s="702"/>
      <c r="H23" s="702"/>
      <c r="I23" s="702"/>
      <c r="J23" s="700"/>
      <c r="K23" s="112"/>
      <c r="L23" s="363"/>
      <c r="M23" s="112"/>
      <c r="N23" s="362"/>
      <c r="O23" s="573"/>
    </row>
    <row r="24" spans="1:251" s="120" customFormat="1" ht="12.75" customHeight="1">
      <c r="A24" s="112"/>
      <c r="B24" s="931"/>
      <c r="C24" s="967" t="s">
        <v>3743</v>
      </c>
      <c r="E24" s="701"/>
      <c r="F24" s="703"/>
      <c r="G24" s="702"/>
      <c r="H24" s="702"/>
      <c r="I24" s="702"/>
      <c r="J24" s="700"/>
      <c r="K24" s="112"/>
      <c r="L24" s="363"/>
      <c r="M24" s="112"/>
      <c r="N24" s="362"/>
      <c r="O24" s="573"/>
    </row>
    <row r="25" spans="1:251" s="20" customFormat="1" ht="12" customHeight="1">
      <c r="A25" s="964"/>
      <c r="B25" s="968"/>
      <c r="C25" s="969" t="s">
        <v>3744</v>
      </c>
      <c r="D25" s="631"/>
      <c r="E25" s="898"/>
      <c r="F25" s="899"/>
      <c r="G25" s="899"/>
      <c r="H25" s="899"/>
      <c r="I25" s="899"/>
      <c r="J25" s="899"/>
      <c r="K25" s="900"/>
      <c r="L25" s="900"/>
      <c r="M25" s="900"/>
      <c r="N25" s="362"/>
      <c r="O25" s="704"/>
      <c r="P25" s="629"/>
      <c r="Q25" s="120" t="str">
        <f>IF(O25&lt;&gt;"",D25,"")</f>
        <v/>
      </c>
      <c r="R25" s="629"/>
      <c r="S25" s="629"/>
      <c r="T25" s="629"/>
      <c r="U25" s="629"/>
      <c r="V25" s="629"/>
      <c r="W25" s="629"/>
      <c r="X25" s="629"/>
      <c r="Y25" s="629"/>
      <c r="Z25" s="629"/>
      <c r="AA25" s="629"/>
      <c r="AB25" s="629"/>
      <c r="AC25" s="629"/>
      <c r="AD25" s="629"/>
      <c r="AE25" s="629"/>
      <c r="AF25" s="629"/>
      <c r="AG25" s="629"/>
      <c r="AH25" s="629"/>
      <c r="AI25" s="629"/>
      <c r="AJ25" s="629"/>
      <c r="AK25" s="629"/>
      <c r="AL25" s="629"/>
      <c r="AM25" s="629"/>
      <c r="AN25" s="629"/>
      <c r="AO25" s="629"/>
      <c r="AP25" s="629"/>
      <c r="AQ25" s="629"/>
      <c r="AR25" s="629"/>
      <c r="AS25" s="629"/>
      <c r="AT25" s="629"/>
      <c r="AU25" s="629"/>
      <c r="AV25" s="629"/>
      <c r="AW25" s="629"/>
      <c r="AX25" s="629"/>
      <c r="AY25" s="629"/>
      <c r="AZ25" s="629"/>
      <c r="BA25" s="629"/>
      <c r="BB25" s="629"/>
      <c r="BC25" s="629"/>
      <c r="BD25" s="629"/>
      <c r="BE25" s="629"/>
      <c r="BF25" s="629"/>
      <c r="BG25" s="629"/>
      <c r="BH25" s="629"/>
      <c r="BI25" s="629"/>
      <c r="BJ25" s="629"/>
      <c r="BK25" s="629"/>
      <c r="BL25" s="629"/>
      <c r="BM25" s="629"/>
      <c r="BN25" s="629"/>
      <c r="BO25" s="629"/>
      <c r="BP25" s="629"/>
      <c r="BQ25" s="629"/>
      <c r="BR25" s="629"/>
      <c r="BS25" s="629"/>
      <c r="BT25" s="629"/>
      <c r="BU25" s="629"/>
      <c r="BV25" s="629"/>
      <c r="BW25" s="629"/>
      <c r="BX25" s="629"/>
      <c r="BY25" s="629"/>
      <c r="BZ25" s="629"/>
      <c r="CA25" s="629"/>
      <c r="CB25" s="629"/>
      <c r="CC25" s="629"/>
      <c r="CD25" s="629"/>
      <c r="CE25" s="629"/>
      <c r="CF25" s="629"/>
      <c r="CG25" s="629"/>
      <c r="CH25" s="629"/>
      <c r="CI25" s="629"/>
      <c r="CJ25" s="629"/>
      <c r="CK25" s="629"/>
      <c r="CL25" s="629"/>
      <c r="CM25" s="629"/>
      <c r="CN25" s="629"/>
      <c r="CO25" s="629"/>
      <c r="CP25" s="629"/>
      <c r="CQ25" s="629"/>
      <c r="CR25" s="629"/>
      <c r="CS25" s="629"/>
      <c r="CT25" s="629"/>
      <c r="CU25" s="629"/>
      <c r="CV25" s="629"/>
      <c r="CW25" s="629"/>
      <c r="CX25" s="629"/>
      <c r="CY25" s="629"/>
      <c r="CZ25" s="629"/>
      <c r="DA25" s="629"/>
      <c r="DB25" s="629"/>
      <c r="DC25" s="629"/>
      <c r="DD25" s="629"/>
      <c r="DE25" s="629"/>
      <c r="DF25" s="629"/>
      <c r="DG25" s="629"/>
      <c r="DH25" s="629"/>
      <c r="DI25" s="629"/>
      <c r="DJ25" s="629"/>
      <c r="DK25" s="629"/>
      <c r="DL25" s="629"/>
      <c r="DM25" s="629"/>
      <c r="DN25" s="629"/>
      <c r="DO25" s="629"/>
      <c r="DP25" s="629"/>
      <c r="DQ25" s="629"/>
      <c r="DR25" s="629"/>
      <c r="DS25" s="629"/>
      <c r="DT25" s="629"/>
      <c r="DU25" s="629"/>
      <c r="DV25" s="629"/>
      <c r="DW25" s="629"/>
      <c r="DX25" s="629"/>
      <c r="DY25" s="629"/>
      <c r="DZ25" s="629"/>
      <c r="EA25" s="629"/>
      <c r="EB25" s="629"/>
      <c r="EC25" s="629"/>
      <c r="ED25" s="629"/>
      <c r="EE25" s="629"/>
      <c r="EF25" s="629"/>
      <c r="EG25" s="629"/>
      <c r="EH25" s="629"/>
      <c r="EI25" s="629"/>
      <c r="EJ25" s="629"/>
      <c r="EK25" s="629"/>
      <c r="EL25" s="629"/>
      <c r="EM25" s="629"/>
      <c r="EN25" s="629"/>
      <c r="EO25" s="629"/>
      <c r="EP25" s="629"/>
      <c r="EQ25" s="629"/>
      <c r="ER25" s="629"/>
      <c r="ES25" s="629"/>
      <c r="ET25" s="629"/>
      <c r="EU25" s="629"/>
      <c r="EV25" s="629"/>
      <c r="EW25" s="629"/>
      <c r="EX25" s="629"/>
      <c r="EY25" s="629"/>
      <c r="EZ25" s="629"/>
      <c r="FA25" s="629"/>
      <c r="FB25" s="629"/>
      <c r="FC25" s="629"/>
      <c r="FD25" s="629"/>
      <c r="FE25" s="629"/>
      <c r="FF25" s="629"/>
      <c r="FG25" s="629"/>
      <c r="FH25" s="629"/>
      <c r="FI25" s="629"/>
      <c r="FJ25" s="629"/>
      <c r="FK25" s="629"/>
      <c r="FL25" s="629"/>
      <c r="FM25" s="629"/>
      <c r="FN25" s="629"/>
      <c r="FO25" s="629"/>
      <c r="FP25" s="629"/>
      <c r="FQ25" s="629"/>
      <c r="FR25" s="629"/>
      <c r="FS25" s="629"/>
      <c r="FT25" s="629"/>
      <c r="FU25" s="629"/>
      <c r="FV25" s="629"/>
      <c r="FW25" s="629"/>
      <c r="FX25" s="629"/>
      <c r="FY25" s="629"/>
      <c r="FZ25" s="629"/>
      <c r="GA25" s="629"/>
      <c r="GB25" s="629"/>
      <c r="GC25" s="629"/>
      <c r="GD25" s="629"/>
      <c r="GE25" s="629"/>
      <c r="GF25" s="629"/>
      <c r="GG25" s="629"/>
      <c r="GH25" s="629"/>
      <c r="GI25" s="629"/>
      <c r="GJ25" s="629"/>
      <c r="GK25" s="629"/>
      <c r="GL25" s="629"/>
      <c r="GM25" s="629"/>
      <c r="GN25" s="629"/>
      <c r="GO25" s="629"/>
      <c r="GP25" s="629"/>
      <c r="GQ25" s="629"/>
      <c r="GR25" s="629"/>
      <c r="GS25" s="629"/>
      <c r="GT25" s="629"/>
      <c r="GU25" s="629"/>
      <c r="GV25" s="629"/>
      <c r="GW25" s="629"/>
      <c r="GX25" s="629"/>
      <c r="GY25" s="629"/>
      <c r="GZ25" s="629"/>
      <c r="HA25" s="629"/>
      <c r="HB25" s="629"/>
      <c r="HC25" s="629"/>
      <c r="HD25" s="629"/>
      <c r="HE25" s="629"/>
      <c r="HF25" s="629"/>
      <c r="HG25" s="629"/>
      <c r="HH25" s="629"/>
      <c r="HI25" s="629"/>
      <c r="HJ25" s="629"/>
      <c r="HK25" s="629"/>
      <c r="HL25" s="629"/>
      <c r="HM25" s="629"/>
      <c r="HN25" s="629"/>
      <c r="HO25" s="629"/>
      <c r="HP25" s="629"/>
      <c r="HQ25" s="629"/>
      <c r="HR25" s="629"/>
      <c r="HS25" s="629"/>
      <c r="HT25" s="629"/>
      <c r="HU25" s="629"/>
      <c r="HV25" s="629"/>
      <c r="HW25" s="629"/>
      <c r="HX25" s="629"/>
      <c r="HY25" s="629"/>
      <c r="HZ25" s="629"/>
      <c r="IA25" s="629"/>
      <c r="IB25" s="629"/>
      <c r="IC25" s="629"/>
      <c r="ID25" s="629"/>
      <c r="IE25" s="629"/>
      <c r="IF25" s="629"/>
      <c r="IG25" s="629"/>
      <c r="IH25" s="629"/>
      <c r="II25" s="629"/>
      <c r="IJ25" s="629"/>
      <c r="IK25" s="629"/>
      <c r="IL25" s="629"/>
      <c r="IM25" s="629"/>
      <c r="IN25" s="629"/>
      <c r="IO25" s="629"/>
      <c r="IP25" s="629"/>
      <c r="IQ25" s="629"/>
    </row>
    <row r="26" spans="1:251" s="120" customFormat="1" ht="12.75" customHeight="1">
      <c r="A26" s="112"/>
      <c r="B26" s="931"/>
      <c r="C26" s="967" t="s">
        <v>3742</v>
      </c>
      <c r="E26" s="701"/>
      <c r="F26" s="703"/>
      <c r="G26" s="702"/>
      <c r="H26" s="702"/>
      <c r="I26" s="702"/>
      <c r="J26" s="700"/>
      <c r="K26" s="112"/>
      <c r="L26" s="363"/>
      <c r="M26" s="112"/>
      <c r="N26" s="362"/>
      <c r="O26" s="573"/>
    </row>
    <row r="27" spans="1:251" s="20" customFormat="1" ht="12" customHeight="1">
      <c r="A27" s="964"/>
      <c r="B27" s="965"/>
      <c r="C27" s="966"/>
      <c r="D27" s="631"/>
      <c r="E27" s="898"/>
      <c r="F27" s="899"/>
      <c r="G27" s="899"/>
      <c r="H27" s="899"/>
      <c r="I27" s="899"/>
      <c r="J27" s="899"/>
      <c r="K27" s="900"/>
      <c r="L27" s="900"/>
      <c r="M27" s="900"/>
      <c r="N27" s="362"/>
      <c r="O27" s="704"/>
      <c r="P27" s="629"/>
      <c r="Q27" s="120" t="str">
        <f>IF(O27&lt;&gt;"",D27,"")</f>
        <v/>
      </c>
      <c r="R27" s="629"/>
      <c r="S27" s="629"/>
      <c r="T27" s="629"/>
      <c r="U27" s="629"/>
      <c r="V27" s="629"/>
      <c r="W27" s="629"/>
      <c r="X27" s="629"/>
      <c r="Y27" s="629"/>
      <c r="Z27" s="629"/>
      <c r="AA27" s="629"/>
      <c r="AB27" s="629"/>
      <c r="AC27" s="629"/>
      <c r="AD27" s="629"/>
      <c r="AE27" s="629"/>
      <c r="AF27" s="629"/>
      <c r="AG27" s="629"/>
      <c r="AH27" s="629"/>
      <c r="AI27" s="629"/>
      <c r="AJ27" s="629"/>
      <c r="AK27" s="629"/>
      <c r="AL27" s="629"/>
      <c r="AM27" s="629"/>
      <c r="AN27" s="629"/>
      <c r="AO27" s="629"/>
      <c r="AP27" s="629"/>
      <c r="AQ27" s="629"/>
      <c r="AR27" s="629"/>
      <c r="AS27" s="629"/>
      <c r="AT27" s="629"/>
      <c r="AU27" s="629"/>
      <c r="AV27" s="629"/>
      <c r="AW27" s="629"/>
      <c r="AX27" s="629"/>
      <c r="AY27" s="629"/>
      <c r="AZ27" s="629"/>
      <c r="BA27" s="629"/>
      <c r="BB27" s="629"/>
      <c r="BC27" s="629"/>
      <c r="BD27" s="629"/>
      <c r="BE27" s="629"/>
      <c r="BF27" s="629"/>
      <c r="BG27" s="629"/>
      <c r="BH27" s="629"/>
      <c r="BI27" s="629"/>
      <c r="BJ27" s="629"/>
      <c r="BK27" s="629"/>
      <c r="BL27" s="629"/>
      <c r="BM27" s="629"/>
      <c r="BN27" s="629"/>
      <c r="BO27" s="629"/>
      <c r="BP27" s="629"/>
      <c r="BQ27" s="629"/>
      <c r="BR27" s="629"/>
      <c r="BS27" s="629"/>
      <c r="BT27" s="629"/>
      <c r="BU27" s="629"/>
      <c r="BV27" s="629"/>
      <c r="BW27" s="629"/>
      <c r="BX27" s="629"/>
      <c r="BY27" s="629"/>
      <c r="BZ27" s="629"/>
      <c r="CA27" s="629"/>
      <c r="CB27" s="629"/>
      <c r="CC27" s="629"/>
      <c r="CD27" s="629"/>
      <c r="CE27" s="629"/>
      <c r="CF27" s="629"/>
      <c r="CG27" s="629"/>
      <c r="CH27" s="629"/>
      <c r="CI27" s="629"/>
      <c r="CJ27" s="629"/>
      <c r="CK27" s="629"/>
      <c r="CL27" s="629"/>
      <c r="CM27" s="629"/>
      <c r="CN27" s="629"/>
      <c r="CO27" s="629"/>
      <c r="CP27" s="629"/>
      <c r="CQ27" s="629"/>
      <c r="CR27" s="629"/>
      <c r="CS27" s="629"/>
      <c r="CT27" s="629"/>
      <c r="CU27" s="629"/>
      <c r="CV27" s="629"/>
      <c r="CW27" s="629"/>
      <c r="CX27" s="629"/>
      <c r="CY27" s="629"/>
      <c r="CZ27" s="629"/>
      <c r="DA27" s="629"/>
      <c r="DB27" s="629"/>
      <c r="DC27" s="629"/>
      <c r="DD27" s="629"/>
      <c r="DE27" s="629"/>
      <c r="DF27" s="629"/>
      <c r="DG27" s="629"/>
      <c r="DH27" s="629"/>
      <c r="DI27" s="629"/>
      <c r="DJ27" s="629"/>
      <c r="DK27" s="629"/>
      <c r="DL27" s="629"/>
      <c r="DM27" s="629"/>
      <c r="DN27" s="629"/>
      <c r="DO27" s="629"/>
      <c r="DP27" s="629"/>
      <c r="DQ27" s="629"/>
      <c r="DR27" s="629"/>
      <c r="DS27" s="629"/>
      <c r="DT27" s="629"/>
      <c r="DU27" s="629"/>
      <c r="DV27" s="629"/>
      <c r="DW27" s="629"/>
      <c r="DX27" s="629"/>
      <c r="DY27" s="629"/>
      <c r="DZ27" s="629"/>
      <c r="EA27" s="629"/>
      <c r="EB27" s="629"/>
      <c r="EC27" s="629"/>
      <c r="ED27" s="629"/>
      <c r="EE27" s="629"/>
      <c r="EF27" s="629"/>
      <c r="EG27" s="629"/>
      <c r="EH27" s="629"/>
      <c r="EI27" s="629"/>
      <c r="EJ27" s="629"/>
      <c r="EK27" s="629"/>
      <c r="EL27" s="629"/>
      <c r="EM27" s="629"/>
      <c r="EN27" s="629"/>
      <c r="EO27" s="629"/>
      <c r="EP27" s="629"/>
      <c r="EQ27" s="629"/>
      <c r="ER27" s="629"/>
      <c r="ES27" s="629"/>
      <c r="ET27" s="629"/>
      <c r="EU27" s="629"/>
      <c r="EV27" s="629"/>
      <c r="EW27" s="629"/>
      <c r="EX27" s="629"/>
      <c r="EY27" s="629"/>
      <c r="EZ27" s="629"/>
      <c r="FA27" s="629"/>
      <c r="FB27" s="629"/>
      <c r="FC27" s="629"/>
      <c r="FD27" s="629"/>
      <c r="FE27" s="629"/>
      <c r="FF27" s="629"/>
      <c r="FG27" s="629"/>
      <c r="FH27" s="629"/>
      <c r="FI27" s="629"/>
      <c r="FJ27" s="629"/>
      <c r="FK27" s="629"/>
      <c r="FL27" s="629"/>
      <c r="FM27" s="629"/>
      <c r="FN27" s="629"/>
      <c r="FO27" s="629"/>
      <c r="FP27" s="629"/>
      <c r="FQ27" s="629"/>
      <c r="FR27" s="629"/>
      <c r="FS27" s="629"/>
      <c r="FT27" s="629"/>
      <c r="FU27" s="629"/>
      <c r="FV27" s="629"/>
      <c r="FW27" s="629"/>
      <c r="FX27" s="629"/>
      <c r="FY27" s="629"/>
      <c r="FZ27" s="629"/>
      <c r="GA27" s="629"/>
      <c r="GB27" s="629"/>
      <c r="GC27" s="629"/>
      <c r="GD27" s="629"/>
      <c r="GE27" s="629"/>
      <c r="GF27" s="629"/>
      <c r="GG27" s="629"/>
      <c r="GH27" s="629"/>
      <c r="GI27" s="629"/>
      <c r="GJ27" s="629"/>
      <c r="GK27" s="629"/>
      <c r="GL27" s="629"/>
      <c r="GM27" s="629"/>
      <c r="GN27" s="629"/>
      <c r="GO27" s="629"/>
      <c r="GP27" s="629"/>
      <c r="GQ27" s="629"/>
      <c r="GR27" s="629"/>
      <c r="GS27" s="629"/>
      <c r="GT27" s="629"/>
      <c r="GU27" s="629"/>
      <c r="GV27" s="629"/>
      <c r="GW27" s="629"/>
      <c r="GX27" s="629"/>
      <c r="GY27" s="629"/>
      <c r="GZ27" s="629"/>
      <c r="HA27" s="629"/>
      <c r="HB27" s="629"/>
      <c r="HC27" s="629"/>
      <c r="HD27" s="629"/>
      <c r="HE27" s="629"/>
      <c r="HF27" s="629"/>
      <c r="HG27" s="629"/>
      <c r="HH27" s="629"/>
      <c r="HI27" s="629"/>
      <c r="HJ27" s="629"/>
      <c r="HK27" s="629"/>
      <c r="HL27" s="629"/>
      <c r="HM27" s="629"/>
      <c r="HN27" s="629"/>
      <c r="HO27" s="629"/>
      <c r="HP27" s="629"/>
      <c r="HQ27" s="629"/>
      <c r="HR27" s="629"/>
      <c r="HS27" s="629"/>
      <c r="HT27" s="629"/>
      <c r="HU27" s="629"/>
      <c r="HV27" s="629"/>
      <c r="HW27" s="629"/>
      <c r="HX27" s="629"/>
      <c r="HY27" s="629"/>
      <c r="HZ27" s="629"/>
      <c r="IA27" s="629"/>
      <c r="IB27" s="629"/>
      <c r="IC27" s="629"/>
      <c r="ID27" s="629"/>
      <c r="IE27" s="629"/>
      <c r="IF27" s="629"/>
      <c r="IG27" s="629"/>
      <c r="IH27" s="629"/>
      <c r="II27" s="629"/>
      <c r="IJ27" s="629"/>
      <c r="IK27" s="629"/>
      <c r="IL27" s="629"/>
      <c r="IM27" s="629"/>
      <c r="IN27" s="629"/>
      <c r="IO27" s="629"/>
      <c r="IP27" s="629"/>
      <c r="IQ27" s="629"/>
    </row>
    <row r="28" spans="1:251" s="20" customFormat="1" ht="12" customHeight="1">
      <c r="A28" s="964"/>
      <c r="B28" s="949" t="s">
        <v>1795</v>
      </c>
      <c r="C28" s="950" t="s">
        <v>3493</v>
      </c>
      <c r="D28" s="631"/>
      <c r="E28" s="898"/>
      <c r="F28" s="899"/>
      <c r="G28" s="899"/>
      <c r="H28" s="899"/>
      <c r="I28" s="899"/>
      <c r="J28" s="899"/>
      <c r="K28" s="900"/>
      <c r="L28" s="900"/>
      <c r="M28" s="900"/>
      <c r="N28" s="362"/>
      <c r="O28" s="704"/>
      <c r="P28" s="629"/>
      <c r="Q28" s="120" t="str">
        <f>IF(O28&lt;&gt;"",D28,"")</f>
        <v/>
      </c>
      <c r="R28" s="629"/>
      <c r="S28" s="629"/>
      <c r="T28" s="629"/>
      <c r="U28" s="629"/>
      <c r="V28" s="629"/>
      <c r="W28" s="629"/>
      <c r="X28" s="629"/>
      <c r="Y28" s="629"/>
      <c r="Z28" s="629"/>
      <c r="AA28" s="629"/>
      <c r="AB28" s="629"/>
      <c r="AC28" s="629"/>
      <c r="AD28" s="629"/>
      <c r="AE28" s="629"/>
      <c r="AF28" s="629"/>
      <c r="AG28" s="629"/>
      <c r="AH28" s="629"/>
      <c r="AI28" s="629"/>
      <c r="AJ28" s="629"/>
      <c r="AK28" s="629"/>
      <c r="AL28" s="629"/>
      <c r="AM28" s="629"/>
      <c r="AN28" s="629"/>
      <c r="AO28" s="629"/>
      <c r="AP28" s="629"/>
      <c r="AQ28" s="629"/>
      <c r="AR28" s="629"/>
      <c r="AS28" s="629"/>
      <c r="AT28" s="629"/>
      <c r="AU28" s="629"/>
      <c r="AV28" s="629"/>
      <c r="AW28" s="629"/>
      <c r="AX28" s="629"/>
      <c r="AY28" s="629"/>
      <c r="AZ28" s="629"/>
      <c r="BA28" s="629"/>
      <c r="BB28" s="629"/>
      <c r="BC28" s="629"/>
      <c r="BD28" s="629"/>
      <c r="BE28" s="629"/>
      <c r="BF28" s="629"/>
      <c r="BG28" s="629"/>
      <c r="BH28" s="629"/>
      <c r="BI28" s="629"/>
      <c r="BJ28" s="629"/>
      <c r="BK28" s="629"/>
      <c r="BL28" s="629"/>
      <c r="BM28" s="629"/>
      <c r="BN28" s="629"/>
      <c r="BO28" s="629"/>
      <c r="BP28" s="629"/>
      <c r="BQ28" s="629"/>
      <c r="BR28" s="629"/>
      <c r="BS28" s="629"/>
      <c r="BT28" s="629"/>
      <c r="BU28" s="629"/>
      <c r="BV28" s="629"/>
      <c r="BW28" s="629"/>
      <c r="BX28" s="629"/>
      <c r="BY28" s="629"/>
      <c r="BZ28" s="629"/>
      <c r="CA28" s="629"/>
      <c r="CB28" s="629"/>
      <c r="CC28" s="629"/>
      <c r="CD28" s="629"/>
      <c r="CE28" s="629"/>
      <c r="CF28" s="629"/>
      <c r="CG28" s="629"/>
      <c r="CH28" s="629"/>
      <c r="CI28" s="629"/>
      <c r="CJ28" s="629"/>
      <c r="CK28" s="629"/>
      <c r="CL28" s="629"/>
      <c r="CM28" s="629"/>
      <c r="CN28" s="629"/>
      <c r="CO28" s="629"/>
      <c r="CP28" s="629"/>
      <c r="CQ28" s="629"/>
      <c r="CR28" s="629"/>
      <c r="CS28" s="629"/>
      <c r="CT28" s="629"/>
      <c r="CU28" s="629"/>
      <c r="CV28" s="629"/>
      <c r="CW28" s="629"/>
      <c r="CX28" s="629"/>
      <c r="CY28" s="629"/>
      <c r="CZ28" s="629"/>
      <c r="DA28" s="629"/>
      <c r="DB28" s="629"/>
      <c r="DC28" s="629"/>
      <c r="DD28" s="629"/>
      <c r="DE28" s="629"/>
      <c r="DF28" s="629"/>
      <c r="DG28" s="629"/>
      <c r="DH28" s="629"/>
      <c r="DI28" s="629"/>
      <c r="DJ28" s="629"/>
      <c r="DK28" s="629"/>
      <c r="DL28" s="629"/>
      <c r="DM28" s="629"/>
      <c r="DN28" s="629"/>
      <c r="DO28" s="629"/>
      <c r="DP28" s="629"/>
      <c r="DQ28" s="629"/>
      <c r="DR28" s="629"/>
      <c r="DS28" s="629"/>
      <c r="DT28" s="629"/>
      <c r="DU28" s="629"/>
      <c r="DV28" s="629"/>
      <c r="DW28" s="629"/>
      <c r="DX28" s="629"/>
      <c r="DY28" s="629"/>
      <c r="DZ28" s="629"/>
      <c r="EA28" s="629"/>
      <c r="EB28" s="629"/>
      <c r="EC28" s="629"/>
      <c r="ED28" s="629"/>
      <c r="EE28" s="629"/>
      <c r="EF28" s="629"/>
      <c r="EG28" s="629"/>
      <c r="EH28" s="629"/>
      <c r="EI28" s="629"/>
      <c r="EJ28" s="629"/>
      <c r="EK28" s="629"/>
      <c r="EL28" s="629"/>
      <c r="EM28" s="629"/>
      <c r="EN28" s="629"/>
      <c r="EO28" s="629"/>
      <c r="EP28" s="629"/>
      <c r="EQ28" s="629"/>
      <c r="ER28" s="629"/>
      <c r="ES28" s="629"/>
      <c r="ET28" s="629"/>
      <c r="EU28" s="629"/>
      <c r="EV28" s="629"/>
      <c r="EW28" s="629"/>
      <c r="EX28" s="629"/>
      <c r="EY28" s="629"/>
      <c r="EZ28" s="629"/>
      <c r="FA28" s="629"/>
      <c r="FB28" s="629"/>
      <c r="FC28" s="629"/>
      <c r="FD28" s="629"/>
      <c r="FE28" s="629"/>
      <c r="FF28" s="629"/>
      <c r="FG28" s="629"/>
      <c r="FH28" s="629"/>
      <c r="FI28" s="629"/>
      <c r="FJ28" s="629"/>
      <c r="FK28" s="629"/>
      <c r="FL28" s="629"/>
      <c r="FM28" s="629"/>
      <c r="FN28" s="629"/>
      <c r="FO28" s="629"/>
      <c r="FP28" s="629"/>
      <c r="FQ28" s="629"/>
      <c r="FR28" s="629"/>
      <c r="FS28" s="629"/>
      <c r="FT28" s="629"/>
      <c r="FU28" s="629"/>
      <c r="FV28" s="629"/>
      <c r="FW28" s="629"/>
      <c r="FX28" s="629"/>
      <c r="FY28" s="629"/>
      <c r="FZ28" s="629"/>
      <c r="GA28" s="629"/>
      <c r="GB28" s="629"/>
      <c r="GC28" s="629"/>
      <c r="GD28" s="629"/>
      <c r="GE28" s="629"/>
      <c r="GF28" s="629"/>
      <c r="GG28" s="629"/>
      <c r="GH28" s="629"/>
      <c r="GI28" s="629"/>
      <c r="GJ28" s="629"/>
      <c r="GK28" s="629"/>
      <c r="GL28" s="629"/>
      <c r="GM28" s="629"/>
      <c r="GN28" s="629"/>
      <c r="GO28" s="629"/>
      <c r="GP28" s="629"/>
      <c r="GQ28" s="629"/>
      <c r="GR28" s="629"/>
      <c r="GS28" s="629"/>
      <c r="GT28" s="629"/>
      <c r="GU28" s="629"/>
      <c r="GV28" s="629"/>
      <c r="GW28" s="629"/>
      <c r="GX28" s="629"/>
      <c r="GY28" s="629"/>
      <c r="GZ28" s="629"/>
      <c r="HA28" s="629"/>
      <c r="HB28" s="629"/>
      <c r="HC28" s="629"/>
      <c r="HD28" s="629"/>
      <c r="HE28" s="629"/>
      <c r="HF28" s="629"/>
      <c r="HG28" s="629"/>
      <c r="HH28" s="629"/>
      <c r="HI28" s="629"/>
      <c r="HJ28" s="629"/>
      <c r="HK28" s="629"/>
      <c r="HL28" s="629"/>
      <c r="HM28" s="629"/>
      <c r="HN28" s="629"/>
      <c r="HO28" s="629"/>
      <c r="HP28" s="629"/>
      <c r="HQ28" s="629"/>
      <c r="HR28" s="629"/>
      <c r="HS28" s="629"/>
      <c r="HT28" s="629"/>
      <c r="HU28" s="629"/>
      <c r="HV28" s="629"/>
      <c r="HW28" s="629"/>
      <c r="HX28" s="629"/>
      <c r="HY28" s="629"/>
      <c r="HZ28" s="629"/>
      <c r="IA28" s="629"/>
      <c r="IB28" s="629"/>
      <c r="IC28" s="629"/>
      <c r="ID28" s="629"/>
      <c r="IE28" s="629"/>
      <c r="IF28" s="629"/>
      <c r="IG28" s="629"/>
      <c r="IH28" s="629"/>
      <c r="II28" s="629"/>
      <c r="IJ28" s="629"/>
      <c r="IK28" s="629"/>
      <c r="IL28" s="629"/>
      <c r="IM28" s="629"/>
      <c r="IN28" s="629"/>
      <c r="IO28" s="629"/>
      <c r="IP28" s="629"/>
      <c r="IQ28" s="629"/>
    </row>
    <row r="29" spans="1:251" s="184" customFormat="1" ht="14.1" customHeight="1">
      <c r="B29" s="965"/>
      <c r="C29" s="950" t="s">
        <v>3494</v>
      </c>
    </row>
    <row r="30" spans="1:251" s="184" customFormat="1" ht="14.1" customHeight="1">
      <c r="B30" s="965"/>
      <c r="C30" s="950" t="s">
        <v>3492</v>
      </c>
    </row>
    <row r="31" spans="1:251" s="184" customFormat="1" ht="14.1" customHeight="1">
      <c r="B31" s="723"/>
    </row>
    <row r="32" spans="1:251" s="184" customFormat="1" ht="14.1" customHeight="1">
      <c r="B32" s="723"/>
    </row>
    <row r="33" spans="2:15" s="802" customFormat="1" ht="14.1" customHeight="1">
      <c r="B33" s="723" t="s">
        <v>1796</v>
      </c>
      <c r="C33" s="184" t="s">
        <v>3007</v>
      </c>
      <c r="D33" s="805"/>
      <c r="E33" s="805"/>
      <c r="F33" s="805"/>
      <c r="G33" s="805"/>
      <c r="H33" s="805"/>
      <c r="I33" s="805"/>
      <c r="J33" s="805"/>
      <c r="K33" s="805"/>
      <c r="L33" s="805"/>
      <c r="M33" s="805"/>
      <c r="N33" s="805"/>
      <c r="O33" s="805"/>
    </row>
    <row r="34" spans="2:15" s="802" customFormat="1" ht="14.1" customHeight="1">
      <c r="B34" s="723"/>
      <c r="C34" s="184" t="s">
        <v>3008</v>
      </c>
      <c r="D34" s="805"/>
      <c r="E34" s="805"/>
      <c r="F34" s="805"/>
      <c r="G34" s="805"/>
      <c r="H34" s="805"/>
      <c r="I34" s="805"/>
      <c r="J34" s="805"/>
      <c r="K34" s="805"/>
      <c r="L34" s="805"/>
      <c r="M34" s="805"/>
      <c r="N34" s="805"/>
      <c r="O34" s="805"/>
    </row>
    <row r="35" spans="2:15" s="802" customFormat="1" ht="14.1" customHeight="1">
      <c r="B35" s="723"/>
      <c r="C35" s="184" t="s">
        <v>3009</v>
      </c>
      <c r="D35" s="805"/>
      <c r="E35" s="805"/>
      <c r="F35" s="805"/>
      <c r="G35" s="805"/>
      <c r="H35" s="805"/>
      <c r="I35" s="805"/>
      <c r="J35" s="805"/>
      <c r="K35" s="805"/>
      <c r="L35" s="805"/>
      <c r="M35" s="805"/>
      <c r="N35" s="805"/>
      <c r="O35" s="805"/>
    </row>
    <row r="36" spans="2:15" s="184" customFormat="1" ht="14.1" customHeight="1">
      <c r="B36" s="723"/>
    </row>
    <row r="37" spans="2:15" s="184" customFormat="1" ht="14.1" customHeight="1">
      <c r="B37" s="723" t="s">
        <v>1796</v>
      </c>
      <c r="C37" s="184" t="s">
        <v>3010</v>
      </c>
    </row>
    <row r="38" spans="2:15" s="184" customFormat="1" ht="14.1" customHeight="1">
      <c r="C38" s="184" t="s">
        <v>3011</v>
      </c>
    </row>
    <row r="39" spans="2:15" s="184" customFormat="1" ht="14.1" customHeight="1">
      <c r="C39" s="184" t="s">
        <v>3012</v>
      </c>
    </row>
    <row r="40" spans="2:15" s="184" customFormat="1" ht="14.1" customHeight="1">
      <c r="C40" s="184" t="s">
        <v>3013</v>
      </c>
    </row>
    <row r="41" spans="2:15" s="184" customFormat="1" ht="14.1" customHeight="1">
      <c r="C41" s="184" t="s">
        <v>3014</v>
      </c>
    </row>
    <row r="42" spans="2:15" s="184" customFormat="1" ht="14.1" customHeight="1">
      <c r="C42" s="184" t="s">
        <v>3015</v>
      </c>
    </row>
    <row r="43" spans="2:15" s="184" customFormat="1" ht="14.1" customHeight="1">
      <c r="C43" s="184" t="s">
        <v>3016</v>
      </c>
    </row>
    <row r="44" spans="2:15" s="184" customFormat="1" ht="14.1" customHeight="1"/>
    <row r="45" spans="2:15" s="184" customFormat="1" ht="14.1" customHeight="1">
      <c r="C45" s="184" t="s">
        <v>3017</v>
      </c>
    </row>
    <row r="46" spans="2:15" s="184" customFormat="1" ht="14.1" customHeight="1">
      <c r="C46" s="184" t="s">
        <v>3018</v>
      </c>
    </row>
    <row r="47" spans="2:15" s="184" customFormat="1" ht="14.1" customHeight="1">
      <c r="C47" s="184" t="s">
        <v>3019</v>
      </c>
    </row>
    <row r="48" spans="2:15" s="184" customFormat="1" ht="14.1" customHeight="1"/>
    <row r="49" spans="2:15" s="184" customFormat="1" ht="14.1" customHeight="1"/>
    <row r="50" spans="2:15" s="184" customFormat="1" ht="14.1" customHeight="1">
      <c r="B50" s="723" t="s">
        <v>1796</v>
      </c>
      <c r="C50" s="184" t="s">
        <v>3020</v>
      </c>
    </row>
    <row r="51" spans="2:15" s="184" customFormat="1" ht="14.1" customHeight="1">
      <c r="C51" s="184" t="s">
        <v>3021</v>
      </c>
    </row>
    <row r="52" spans="2:15" s="802" customFormat="1" ht="14.1" customHeight="1">
      <c r="B52" s="806"/>
      <c r="C52" s="805" t="s">
        <v>3022</v>
      </c>
      <c r="D52" s="805"/>
      <c r="E52" s="805"/>
      <c r="F52" s="805"/>
      <c r="G52" s="805"/>
      <c r="H52" s="805"/>
      <c r="I52" s="805"/>
      <c r="J52" s="805"/>
      <c r="K52" s="805"/>
      <c r="L52" s="805"/>
      <c r="M52" s="805"/>
      <c r="N52" s="805"/>
      <c r="O52" s="805"/>
    </row>
    <row r="53" spans="2:15" s="802" customFormat="1" ht="14.1" customHeight="1">
      <c r="B53" s="805"/>
      <c r="C53" s="805" t="s">
        <v>3023</v>
      </c>
      <c r="D53" s="805"/>
      <c r="E53" s="805"/>
      <c r="F53" s="805"/>
      <c r="G53" s="805"/>
      <c r="H53" s="805"/>
      <c r="I53" s="805"/>
      <c r="J53" s="805"/>
      <c r="K53" s="805"/>
      <c r="L53" s="805"/>
      <c r="M53" s="805"/>
      <c r="N53" s="805"/>
      <c r="O53" s="805"/>
    </row>
    <row r="54" spans="2:15" s="802" customFormat="1" ht="14.1" customHeight="1">
      <c r="B54" s="805"/>
      <c r="C54" s="805" t="s">
        <v>3024</v>
      </c>
      <c r="D54" s="805"/>
      <c r="E54" s="805"/>
      <c r="F54" s="805"/>
      <c r="G54" s="805"/>
      <c r="H54" s="805"/>
      <c r="I54" s="805"/>
      <c r="J54" s="805"/>
      <c r="K54" s="805"/>
      <c r="L54" s="805"/>
      <c r="M54" s="805"/>
      <c r="N54" s="805"/>
      <c r="O54" s="805"/>
    </row>
    <row r="55" spans="2:15" s="802" customFormat="1" ht="14.1" customHeight="1">
      <c r="B55" s="805"/>
      <c r="C55" s="805" t="s">
        <v>3025</v>
      </c>
      <c r="D55" s="805"/>
      <c r="E55" s="805"/>
      <c r="F55" s="805"/>
      <c r="G55" s="805"/>
      <c r="H55" s="805"/>
      <c r="I55" s="805"/>
      <c r="J55" s="805"/>
      <c r="K55" s="805"/>
      <c r="L55" s="805"/>
      <c r="M55" s="805"/>
      <c r="N55" s="805"/>
      <c r="O55" s="805"/>
    </row>
    <row r="56" spans="2:15" s="802" customFormat="1" ht="14.1" customHeight="1">
      <c r="B56" s="805"/>
      <c r="C56" s="805" t="s">
        <v>3026</v>
      </c>
      <c r="D56" s="805"/>
      <c r="E56" s="805"/>
      <c r="F56" s="805"/>
      <c r="G56" s="805"/>
      <c r="H56" s="805"/>
      <c r="I56" s="805"/>
      <c r="J56" s="805"/>
      <c r="K56" s="805"/>
      <c r="L56" s="805"/>
      <c r="M56" s="805"/>
      <c r="N56" s="805"/>
      <c r="O56" s="805"/>
    </row>
    <row r="57" spans="2:15" s="802" customFormat="1" ht="14.1" customHeight="1">
      <c r="B57" s="805"/>
      <c r="C57" s="805" t="s">
        <v>3027</v>
      </c>
      <c r="D57" s="805"/>
      <c r="E57" s="805"/>
      <c r="F57" s="805"/>
      <c r="G57" s="805"/>
      <c r="H57" s="805"/>
      <c r="I57" s="805"/>
      <c r="J57" s="805"/>
      <c r="K57" s="805"/>
      <c r="L57" s="805"/>
      <c r="M57" s="805"/>
      <c r="N57" s="805"/>
      <c r="O57" s="805"/>
    </row>
    <row r="58" spans="2:15" s="802" customFormat="1" ht="14.1" customHeight="1">
      <c r="B58" s="805"/>
      <c r="C58" s="805"/>
      <c r="D58" s="805"/>
      <c r="E58" s="805"/>
      <c r="F58" s="805"/>
      <c r="G58" s="805"/>
      <c r="H58" s="805"/>
      <c r="I58" s="805"/>
      <c r="J58" s="805"/>
      <c r="K58" s="805"/>
      <c r="L58" s="805"/>
      <c r="M58" s="805"/>
      <c r="N58" s="805"/>
      <c r="O58" s="805"/>
    </row>
    <row r="59" spans="2:15" s="802" customFormat="1" ht="14.1" customHeight="1">
      <c r="B59" s="805"/>
      <c r="C59" s="805" t="s">
        <v>3028</v>
      </c>
      <c r="D59" s="805"/>
      <c r="E59" s="805"/>
      <c r="F59" s="805"/>
      <c r="G59" s="805"/>
      <c r="H59" s="805"/>
      <c r="I59" s="805"/>
      <c r="J59" s="805"/>
      <c r="K59" s="805"/>
      <c r="L59" s="805"/>
      <c r="M59" s="805"/>
      <c r="N59" s="805"/>
      <c r="O59" s="805"/>
    </row>
    <row r="60" spans="2:15" s="802" customFormat="1" ht="14.1" customHeight="1">
      <c r="B60" s="805"/>
      <c r="C60" s="805" t="s">
        <v>3029</v>
      </c>
      <c r="D60" s="805"/>
      <c r="E60" s="805"/>
      <c r="F60" s="805"/>
      <c r="G60" s="805"/>
      <c r="H60" s="805"/>
      <c r="I60" s="805"/>
      <c r="J60" s="805"/>
      <c r="K60" s="805"/>
      <c r="L60" s="805"/>
      <c r="M60" s="805"/>
      <c r="N60" s="805"/>
      <c r="O60" s="805"/>
    </row>
    <row r="61" spans="2:15" s="802" customFormat="1" ht="14.1" customHeight="1">
      <c r="B61" s="805"/>
      <c r="C61" s="805" t="s">
        <v>3030</v>
      </c>
      <c r="D61" s="805"/>
      <c r="E61" s="805"/>
      <c r="F61" s="805"/>
      <c r="G61" s="805"/>
      <c r="H61" s="805"/>
      <c r="I61" s="805"/>
      <c r="J61" s="805"/>
      <c r="K61" s="805"/>
      <c r="L61" s="805"/>
      <c r="M61" s="805"/>
      <c r="N61" s="805"/>
      <c r="O61" s="805"/>
    </row>
    <row r="62" spans="2:15" s="802" customFormat="1" ht="14.1" customHeight="1">
      <c r="B62" s="805"/>
      <c r="C62" s="805" t="s">
        <v>3031</v>
      </c>
      <c r="D62" s="805"/>
      <c r="E62" s="805"/>
      <c r="F62" s="805"/>
      <c r="G62" s="805"/>
      <c r="H62" s="805"/>
      <c r="I62" s="805"/>
      <c r="J62" s="805"/>
      <c r="K62" s="805"/>
      <c r="L62" s="805"/>
      <c r="M62" s="805"/>
      <c r="N62" s="805"/>
      <c r="O62" s="805"/>
    </row>
    <row r="63" spans="2:15" s="802" customFormat="1" ht="14.1" customHeight="1">
      <c r="B63" s="805"/>
      <c r="C63" s="805" t="s">
        <v>3032</v>
      </c>
      <c r="D63" s="805"/>
      <c r="E63" s="805"/>
      <c r="F63" s="805"/>
      <c r="G63" s="805"/>
      <c r="H63" s="805"/>
      <c r="I63" s="805"/>
      <c r="J63" s="805"/>
      <c r="K63" s="805"/>
      <c r="L63" s="805"/>
      <c r="M63" s="805"/>
      <c r="N63" s="805"/>
      <c r="O63" s="805"/>
    </row>
    <row r="64" spans="2:15" s="802" customFormat="1" ht="14.1" customHeight="1">
      <c r="B64" s="805"/>
      <c r="C64" s="805"/>
      <c r="D64" s="805"/>
      <c r="E64" s="805"/>
      <c r="F64" s="805"/>
      <c r="G64" s="805"/>
      <c r="H64" s="805"/>
      <c r="I64" s="805"/>
      <c r="J64" s="805"/>
      <c r="K64" s="805"/>
      <c r="L64" s="805"/>
      <c r="M64" s="805"/>
      <c r="N64" s="805"/>
      <c r="O64" s="805"/>
    </row>
    <row r="65" spans="2:15" s="802" customFormat="1" ht="14.1" customHeight="1">
      <c r="B65" s="805"/>
      <c r="C65" s="805"/>
      <c r="D65" s="805"/>
      <c r="E65" s="805"/>
      <c r="F65" s="805"/>
      <c r="G65" s="805"/>
      <c r="H65" s="805"/>
      <c r="I65" s="805"/>
      <c r="J65" s="805"/>
      <c r="K65" s="805"/>
      <c r="L65" s="805"/>
      <c r="M65" s="805"/>
      <c r="N65" s="805"/>
      <c r="O65" s="805"/>
    </row>
    <row r="66" spans="2:15" s="802" customFormat="1" ht="14.1" customHeight="1">
      <c r="B66" s="723" t="s">
        <v>1796</v>
      </c>
      <c r="C66" s="805" t="s">
        <v>3033</v>
      </c>
      <c r="D66" s="805"/>
      <c r="E66" s="805"/>
      <c r="F66" s="805"/>
      <c r="G66" s="805"/>
      <c r="H66" s="805"/>
      <c r="I66" s="805"/>
      <c r="J66" s="805"/>
      <c r="K66" s="805"/>
      <c r="L66" s="805"/>
      <c r="M66" s="805"/>
      <c r="N66" s="805"/>
      <c r="O66" s="805"/>
    </row>
    <row r="67" spans="2:15" s="802" customFormat="1" ht="14.1" customHeight="1">
      <c r="B67" s="805"/>
      <c r="C67" s="805" t="s">
        <v>3034</v>
      </c>
      <c r="D67" s="805"/>
      <c r="E67" s="805"/>
      <c r="F67" s="805"/>
      <c r="G67" s="805"/>
      <c r="H67" s="805"/>
      <c r="I67" s="805"/>
      <c r="J67" s="805"/>
      <c r="K67" s="805"/>
      <c r="L67" s="805"/>
      <c r="M67" s="805"/>
      <c r="N67" s="805"/>
      <c r="O67" s="805"/>
    </row>
    <row r="68" spans="2:15" s="802" customFormat="1" ht="14.1" customHeight="1">
      <c r="B68" s="805"/>
      <c r="C68" s="805" t="s">
        <v>3035</v>
      </c>
      <c r="D68" s="805"/>
      <c r="E68" s="805"/>
      <c r="F68" s="805"/>
      <c r="G68" s="805"/>
      <c r="H68" s="805"/>
      <c r="I68" s="805"/>
      <c r="J68" s="805"/>
      <c r="K68" s="805"/>
      <c r="L68" s="805"/>
      <c r="M68" s="805"/>
      <c r="N68" s="805"/>
      <c r="O68" s="805"/>
    </row>
    <row r="69" spans="2:15" s="802" customFormat="1" ht="14.1" customHeight="1">
      <c r="B69" s="805"/>
      <c r="C69" s="805" t="s">
        <v>3036</v>
      </c>
      <c r="D69" s="805"/>
      <c r="E69" s="805"/>
      <c r="F69" s="805"/>
      <c r="G69" s="805"/>
      <c r="H69" s="805"/>
      <c r="I69" s="805"/>
      <c r="J69" s="805"/>
      <c r="K69" s="805"/>
      <c r="L69" s="805"/>
      <c r="M69" s="805"/>
      <c r="N69" s="805"/>
      <c r="O69" s="805"/>
    </row>
    <row r="70" spans="2:15" s="802" customFormat="1" ht="14.1" customHeight="1">
      <c r="B70" s="805"/>
      <c r="C70" s="805"/>
      <c r="D70" s="805"/>
      <c r="E70" s="805"/>
      <c r="F70" s="805"/>
      <c r="G70" s="805"/>
      <c r="H70" s="805"/>
      <c r="I70" s="805"/>
      <c r="J70" s="805"/>
      <c r="K70" s="805"/>
      <c r="L70" s="805"/>
      <c r="M70" s="805"/>
      <c r="N70" s="805"/>
      <c r="O70" s="805"/>
    </row>
    <row r="71" spans="2:15" s="802" customFormat="1" ht="14.1" customHeight="1">
      <c r="B71" s="805"/>
      <c r="C71" s="805"/>
      <c r="D71" s="805"/>
      <c r="E71" s="805"/>
      <c r="F71" s="805"/>
      <c r="G71" s="805"/>
      <c r="H71" s="805"/>
      <c r="I71" s="805"/>
      <c r="J71" s="805"/>
      <c r="K71" s="805"/>
      <c r="L71" s="805"/>
      <c r="M71" s="805"/>
      <c r="N71" s="805"/>
      <c r="O71" s="805"/>
    </row>
    <row r="72" spans="2:15" s="802" customFormat="1" ht="14.1" customHeight="1">
      <c r="B72" s="723" t="s">
        <v>1796</v>
      </c>
      <c r="C72" s="805" t="s">
        <v>3037</v>
      </c>
      <c r="D72" s="805"/>
      <c r="E72" s="805"/>
      <c r="F72" s="805"/>
      <c r="G72" s="805"/>
      <c r="H72" s="805"/>
      <c r="I72" s="805"/>
      <c r="J72" s="805"/>
      <c r="K72" s="805"/>
      <c r="L72" s="805"/>
      <c r="M72" s="805"/>
      <c r="N72" s="805"/>
      <c r="O72" s="805"/>
    </row>
    <row r="73" spans="2:15" s="802" customFormat="1" ht="14.1" customHeight="1">
      <c r="B73" s="805"/>
      <c r="C73" s="805" t="s">
        <v>3038</v>
      </c>
      <c r="D73" s="805"/>
      <c r="E73" s="805"/>
      <c r="F73" s="805"/>
      <c r="G73" s="805"/>
      <c r="H73" s="805"/>
      <c r="I73" s="805"/>
      <c r="J73" s="805"/>
      <c r="K73" s="805"/>
      <c r="L73" s="805"/>
      <c r="M73" s="805"/>
      <c r="N73" s="805"/>
      <c r="O73" s="805"/>
    </row>
    <row r="74" spans="2:15" s="802" customFormat="1" ht="14.1" customHeight="1">
      <c r="B74" s="805"/>
      <c r="C74" s="805" t="s">
        <v>3039</v>
      </c>
      <c r="D74" s="805"/>
      <c r="E74" s="805"/>
      <c r="F74" s="805"/>
      <c r="G74" s="805"/>
      <c r="H74" s="805"/>
      <c r="I74" s="805"/>
      <c r="J74" s="805"/>
      <c r="K74" s="805"/>
      <c r="L74" s="805"/>
      <c r="M74" s="805"/>
      <c r="N74" s="805"/>
      <c r="O74" s="805"/>
    </row>
    <row r="75" spans="2:15" s="802" customFormat="1" ht="14.1" customHeight="1">
      <c r="B75" s="805"/>
      <c r="C75" s="805" t="s">
        <v>3040</v>
      </c>
      <c r="D75" s="805"/>
      <c r="E75" s="805"/>
      <c r="F75" s="805"/>
      <c r="G75" s="805"/>
      <c r="H75" s="805"/>
      <c r="I75" s="805"/>
      <c r="J75" s="805"/>
      <c r="K75" s="805"/>
      <c r="L75" s="805"/>
      <c r="M75" s="805"/>
      <c r="N75" s="805"/>
      <c r="O75" s="805"/>
    </row>
    <row r="76" spans="2:15" ht="14.1" customHeight="1">
      <c r="B76" s="804"/>
      <c r="C76" s="804"/>
      <c r="D76" s="804"/>
      <c r="E76" s="804"/>
      <c r="F76" s="804"/>
      <c r="G76" s="804"/>
      <c r="H76" s="804"/>
      <c r="I76" s="804"/>
      <c r="J76" s="804"/>
      <c r="K76" s="804"/>
      <c r="L76" s="804"/>
      <c r="M76" s="804"/>
      <c r="N76" s="804"/>
      <c r="O76" s="804"/>
    </row>
    <row r="77" spans="2:15" ht="14.1" customHeight="1">
      <c r="B77" s="804"/>
      <c r="C77" s="804"/>
      <c r="D77" s="804"/>
      <c r="E77" s="804"/>
      <c r="F77" s="804"/>
      <c r="G77" s="804"/>
      <c r="H77" s="804"/>
      <c r="I77" s="804"/>
      <c r="J77" s="804"/>
      <c r="K77" s="804"/>
      <c r="L77" s="804"/>
      <c r="M77" s="804"/>
      <c r="N77" s="804"/>
      <c r="O77" s="804"/>
    </row>
    <row r="78" spans="2:15" ht="14.1" customHeight="1">
      <c r="B78" s="804"/>
      <c r="C78" s="804"/>
      <c r="D78" s="804"/>
      <c r="E78" s="804"/>
      <c r="F78" s="804"/>
      <c r="G78" s="804"/>
      <c r="H78" s="804"/>
      <c r="I78" s="804"/>
      <c r="J78" s="804"/>
      <c r="K78" s="804"/>
      <c r="L78" s="804"/>
      <c r="M78" s="804"/>
      <c r="N78" s="804"/>
      <c r="O78" s="804"/>
    </row>
    <row r="79" spans="2:15" ht="14.1" customHeight="1">
      <c r="B79" s="804"/>
      <c r="C79" s="804"/>
      <c r="D79" s="804"/>
      <c r="E79" s="804"/>
      <c r="F79" s="804"/>
      <c r="G79" s="804"/>
      <c r="H79" s="804"/>
      <c r="I79" s="804"/>
      <c r="J79" s="804"/>
      <c r="K79" s="804"/>
      <c r="L79" s="804"/>
      <c r="M79" s="804"/>
      <c r="N79" s="804"/>
      <c r="O79" s="804"/>
    </row>
    <row r="80" spans="2:15">
      <c r="B80" s="804"/>
      <c r="C80" s="804"/>
      <c r="D80" s="804"/>
      <c r="E80" s="804"/>
      <c r="F80" s="804"/>
      <c r="G80" s="804"/>
      <c r="H80" s="804"/>
      <c r="I80" s="804"/>
      <c r="J80" s="804"/>
      <c r="K80" s="804"/>
      <c r="L80" s="804"/>
      <c r="M80" s="804"/>
      <c r="N80" s="804"/>
      <c r="O80" s="804"/>
    </row>
    <row r="81" spans="2:15">
      <c r="B81" s="804"/>
      <c r="C81" s="804"/>
      <c r="D81" s="804"/>
      <c r="E81" s="804"/>
      <c r="F81" s="804"/>
      <c r="G81" s="804"/>
      <c r="H81" s="804"/>
      <c r="I81" s="804"/>
      <c r="J81" s="804"/>
      <c r="K81" s="804"/>
      <c r="L81" s="804"/>
      <c r="M81" s="804"/>
      <c r="N81" s="804"/>
      <c r="O81" s="804"/>
    </row>
    <row r="82" spans="2:15">
      <c r="B82" s="804"/>
      <c r="C82" s="804"/>
      <c r="D82" s="804"/>
      <c r="E82" s="804"/>
      <c r="F82" s="804"/>
      <c r="G82" s="804"/>
      <c r="H82" s="804"/>
      <c r="I82" s="804"/>
      <c r="J82" s="804"/>
      <c r="K82" s="804"/>
      <c r="L82" s="804"/>
      <c r="M82" s="804"/>
      <c r="N82" s="804"/>
      <c r="O82" s="804"/>
    </row>
    <row r="83" spans="2:15">
      <c r="B83" s="804"/>
      <c r="C83" s="804"/>
      <c r="D83" s="804"/>
      <c r="E83" s="804"/>
      <c r="F83" s="804"/>
      <c r="G83" s="804"/>
      <c r="H83" s="804"/>
      <c r="I83" s="804"/>
      <c r="J83" s="804"/>
      <c r="K83" s="804"/>
      <c r="L83" s="804"/>
      <c r="M83" s="804"/>
      <c r="N83" s="804"/>
      <c r="O83" s="80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N54"/>
  <sheetViews>
    <sheetView topLeftCell="A22" zoomScaleNormal="100" workbookViewId="0">
      <selection activeCell="D65" sqref="D64:D65"/>
    </sheetView>
  </sheetViews>
  <sheetFormatPr baseColWidth="10" defaultColWidth="11.44140625" defaultRowHeight="14.4"/>
  <cols>
    <col min="1" max="1" width="11.44140625" style="808"/>
    <col min="2" max="2" width="3.6640625" style="808" bestFit="1" customWidth="1"/>
    <col min="3" max="3" width="98.44140625" style="808" customWidth="1"/>
    <col min="4" max="16384" width="11.44140625" style="808"/>
  </cols>
  <sheetData>
    <row r="1" spans="2:10" s="802" customFormat="1"/>
    <row r="2" spans="2:10" s="802" customFormat="1" ht="14.1" customHeight="1">
      <c r="B2" s="806"/>
      <c r="C2" s="805"/>
      <c r="D2" s="805"/>
      <c r="E2" s="805"/>
      <c r="F2" s="805"/>
      <c r="G2" s="805"/>
      <c r="H2" s="805"/>
      <c r="I2" s="805"/>
      <c r="J2" s="805"/>
    </row>
    <row r="3" spans="2:10" s="802" customFormat="1" ht="14.1" customHeight="1">
      <c r="B3" s="1255" t="s">
        <v>1795</v>
      </c>
      <c r="C3" s="184" t="s">
        <v>4740</v>
      </c>
      <c r="D3" s="805"/>
      <c r="E3" s="805"/>
      <c r="F3" s="805"/>
      <c r="G3" s="805"/>
      <c r="H3" s="805"/>
      <c r="I3" s="805"/>
      <c r="J3" s="805"/>
    </row>
    <row r="4" spans="2:10" s="802" customFormat="1" ht="14.1" customHeight="1">
      <c r="B4" s="1255"/>
      <c r="C4" s="184" t="s">
        <v>4741</v>
      </c>
      <c r="D4" s="805"/>
      <c r="E4" s="805"/>
      <c r="F4" s="805"/>
      <c r="G4" s="805"/>
      <c r="H4" s="805"/>
      <c r="I4" s="805"/>
      <c r="J4" s="805"/>
    </row>
    <row r="5" spans="2:10" s="802" customFormat="1" ht="14.1" customHeight="1">
      <c r="B5" s="723"/>
      <c r="C5" s="184" t="s">
        <v>4742</v>
      </c>
      <c r="D5" s="805"/>
      <c r="E5" s="805"/>
      <c r="F5" s="805"/>
      <c r="G5" s="805"/>
      <c r="H5" s="805"/>
      <c r="I5" s="805"/>
      <c r="J5" s="805"/>
    </row>
    <row r="6" spans="2:10" s="802" customFormat="1" ht="14.1" customHeight="1">
      <c r="B6" s="723"/>
      <c r="C6" s="184" t="s">
        <v>4743</v>
      </c>
      <c r="D6" s="805"/>
      <c r="E6" s="805"/>
      <c r="F6" s="805"/>
      <c r="G6" s="805"/>
      <c r="H6" s="805"/>
      <c r="I6" s="805"/>
      <c r="J6" s="805"/>
    </row>
    <row r="7" spans="2:10" s="802" customFormat="1" ht="14.1" customHeight="1">
      <c r="B7" s="723"/>
      <c r="C7" s="184" t="s">
        <v>3774</v>
      </c>
      <c r="D7" s="805"/>
      <c r="E7" s="805"/>
      <c r="F7" s="805"/>
      <c r="G7" s="805"/>
      <c r="H7" s="805"/>
      <c r="I7" s="805"/>
      <c r="J7" s="805"/>
    </row>
    <row r="8" spans="2:10" s="802" customFormat="1" ht="14.1" customHeight="1">
      <c r="B8" s="723"/>
      <c r="C8" s="184"/>
      <c r="D8" s="805"/>
      <c r="E8" s="805"/>
      <c r="F8" s="805"/>
      <c r="G8" s="805"/>
      <c r="H8" s="805"/>
      <c r="I8" s="805"/>
      <c r="J8" s="805"/>
    </row>
    <row r="9" spans="2:10" s="802" customFormat="1" ht="14.1" customHeight="1">
      <c r="B9" s="806"/>
      <c r="C9" s="805"/>
      <c r="D9" s="805"/>
      <c r="E9" s="805"/>
      <c r="F9" s="805"/>
      <c r="G9" s="805"/>
      <c r="H9" s="805"/>
      <c r="I9" s="805"/>
      <c r="J9" s="805"/>
    </row>
    <row r="10" spans="2:10" s="802" customFormat="1" ht="14.1" customHeight="1">
      <c r="B10" s="806"/>
      <c r="C10" s="805"/>
      <c r="D10" s="805"/>
      <c r="E10" s="805"/>
      <c r="F10" s="805"/>
      <c r="G10" s="805"/>
      <c r="H10" s="805"/>
      <c r="I10" s="805"/>
      <c r="J10" s="805"/>
    </row>
    <row r="11" spans="2:10" s="802" customFormat="1" ht="14.1" customHeight="1">
      <c r="B11" s="806"/>
      <c r="C11" s="805"/>
      <c r="D11" s="805"/>
      <c r="E11" s="805"/>
      <c r="F11" s="805"/>
      <c r="G11" s="805"/>
      <c r="H11" s="805"/>
      <c r="I11" s="805"/>
      <c r="J11" s="805"/>
    </row>
    <row r="12" spans="2:10" s="802" customFormat="1" ht="14.1" customHeight="1">
      <c r="B12" s="806"/>
      <c r="C12" s="805"/>
      <c r="D12" s="805"/>
      <c r="E12" s="805"/>
      <c r="F12" s="805"/>
      <c r="G12" s="805"/>
      <c r="H12" s="805"/>
      <c r="I12" s="805"/>
      <c r="J12" s="805"/>
    </row>
    <row r="13" spans="2:10" s="802" customFormat="1" ht="14.1" customHeight="1">
      <c r="B13" s="806"/>
      <c r="C13" s="805"/>
      <c r="D13" s="805"/>
      <c r="E13" s="805"/>
      <c r="F13" s="805"/>
      <c r="G13" s="805"/>
      <c r="H13" s="805"/>
      <c r="I13" s="805"/>
      <c r="J13" s="805"/>
    </row>
    <row r="14" spans="2:10" s="802" customFormat="1" ht="14.1" customHeight="1">
      <c r="B14" s="806"/>
      <c r="C14" s="805"/>
      <c r="D14" s="805"/>
      <c r="E14" s="805"/>
      <c r="F14" s="805"/>
      <c r="G14" s="805"/>
      <c r="H14" s="805"/>
      <c r="I14" s="805"/>
      <c r="J14" s="805"/>
    </row>
    <row r="15" spans="2:10" s="802" customFormat="1" ht="14.1" customHeight="1">
      <c r="B15" s="806"/>
      <c r="C15" s="805"/>
      <c r="D15" s="805"/>
      <c r="E15" s="805"/>
      <c r="F15" s="805"/>
      <c r="G15" s="805"/>
      <c r="H15" s="805"/>
      <c r="I15" s="805"/>
      <c r="J15" s="805"/>
    </row>
    <row r="16" spans="2:10" s="802" customFormat="1" ht="14.1" customHeight="1">
      <c r="B16" s="806"/>
      <c r="C16" s="805"/>
      <c r="D16" s="805"/>
      <c r="E16" s="805"/>
      <c r="F16" s="805"/>
      <c r="G16" s="805"/>
      <c r="H16" s="805"/>
      <c r="I16" s="805"/>
      <c r="J16" s="805"/>
    </row>
    <row r="17" spans="1:14" s="802" customFormat="1" ht="14.1" customHeight="1">
      <c r="B17" s="806"/>
      <c r="C17" s="805"/>
      <c r="D17" s="805"/>
      <c r="E17" s="805"/>
      <c r="F17" s="805"/>
      <c r="G17" s="805"/>
      <c r="H17" s="805"/>
      <c r="I17" s="805"/>
      <c r="J17" s="805"/>
    </row>
    <row r="18" spans="1:14" s="802" customFormat="1" ht="14.1" customHeight="1">
      <c r="B18" s="806"/>
      <c r="C18" s="805"/>
      <c r="D18" s="805"/>
      <c r="E18" s="805"/>
      <c r="F18" s="805"/>
      <c r="G18" s="805"/>
      <c r="H18" s="805"/>
      <c r="I18" s="805"/>
      <c r="J18" s="805"/>
    </row>
    <row r="19" spans="1:14" s="802" customFormat="1" ht="14.1" customHeight="1">
      <c r="B19" s="806"/>
      <c r="C19" s="805"/>
      <c r="D19" s="805"/>
      <c r="E19" s="805"/>
      <c r="F19" s="805"/>
      <c r="G19" s="805"/>
      <c r="H19" s="805"/>
      <c r="I19" s="805"/>
      <c r="J19" s="805"/>
    </row>
    <row r="20" spans="1:14" s="802" customFormat="1" ht="14.1" customHeight="1">
      <c r="B20" s="806"/>
      <c r="C20" s="805"/>
      <c r="D20" s="805"/>
      <c r="E20" s="805"/>
      <c r="F20" s="805"/>
      <c r="G20" s="805"/>
      <c r="H20" s="805"/>
      <c r="I20" s="805"/>
      <c r="J20" s="805"/>
    </row>
    <row r="21" spans="1:14" s="802" customFormat="1" ht="14.1" customHeight="1">
      <c r="B21" s="806"/>
      <c r="C21" s="805"/>
      <c r="D21" s="805"/>
      <c r="E21" s="805"/>
      <c r="F21" s="805"/>
      <c r="G21" s="805"/>
      <c r="H21" s="805"/>
      <c r="I21" s="805"/>
      <c r="J21" s="805"/>
    </row>
    <row r="22" spans="1:14" s="802" customFormat="1" ht="14.1" customHeight="1">
      <c r="B22" s="806"/>
      <c r="C22" s="805"/>
      <c r="D22" s="805"/>
      <c r="E22" s="805"/>
      <c r="F22" s="805"/>
      <c r="G22" s="805"/>
      <c r="H22" s="805"/>
      <c r="I22" s="805"/>
      <c r="J22" s="805"/>
    </row>
    <row r="23" spans="1:14" s="802" customFormat="1" ht="14.1" customHeight="1">
      <c r="A23" s="810"/>
      <c r="B23" s="723" t="s">
        <v>1796</v>
      </c>
      <c r="C23" s="184" t="s">
        <v>3498</v>
      </c>
      <c r="D23" s="811"/>
      <c r="E23" s="812"/>
      <c r="F23" s="812"/>
      <c r="G23" s="812"/>
      <c r="H23" s="812"/>
      <c r="I23" s="812"/>
      <c r="J23" s="812"/>
      <c r="K23" s="813"/>
      <c r="L23" s="813"/>
      <c r="M23" s="813"/>
      <c r="N23" s="813"/>
    </row>
    <row r="24" spans="1:14" s="802" customFormat="1" ht="14.1" customHeight="1">
      <c r="A24" s="810"/>
      <c r="B24" s="806"/>
      <c r="C24" s="805"/>
      <c r="D24" s="811"/>
      <c r="E24" s="812"/>
      <c r="F24" s="812"/>
      <c r="G24" s="812"/>
      <c r="H24" s="812"/>
      <c r="I24" s="812"/>
      <c r="J24" s="812"/>
      <c r="K24" s="813"/>
      <c r="L24" s="813"/>
      <c r="M24" s="813"/>
      <c r="N24" s="813"/>
    </row>
    <row r="25" spans="1:14" s="802" customFormat="1" ht="14.1" customHeight="1">
      <c r="A25" s="810"/>
      <c r="B25" s="723" t="s">
        <v>1796</v>
      </c>
      <c r="C25" s="184" t="s">
        <v>3495</v>
      </c>
      <c r="D25" s="811"/>
      <c r="E25" s="812"/>
      <c r="F25" s="812"/>
      <c r="G25" s="812"/>
      <c r="H25" s="812"/>
      <c r="I25" s="812"/>
      <c r="J25" s="812"/>
      <c r="K25" s="813"/>
      <c r="L25" s="813"/>
      <c r="M25" s="813"/>
      <c r="N25" s="813"/>
    </row>
    <row r="26" spans="1:14" s="802" customFormat="1" ht="14.1" customHeight="1">
      <c r="B26" s="723"/>
      <c r="C26" s="184" t="s">
        <v>3496</v>
      </c>
      <c r="D26" s="805"/>
      <c r="E26" s="805"/>
      <c r="F26" s="805"/>
      <c r="G26" s="805"/>
      <c r="H26" s="805"/>
      <c r="I26" s="805"/>
      <c r="J26" s="805"/>
    </row>
    <row r="27" spans="1:14" s="802" customFormat="1" ht="14.1" customHeight="1">
      <c r="A27" s="810"/>
      <c r="B27" s="723"/>
      <c r="C27" s="184" t="s">
        <v>3041</v>
      </c>
      <c r="D27" s="811"/>
      <c r="E27" s="812"/>
      <c r="F27" s="812"/>
      <c r="G27" s="812"/>
      <c r="H27" s="812"/>
      <c r="I27" s="812"/>
      <c r="J27" s="812"/>
      <c r="K27" s="813"/>
      <c r="L27" s="813"/>
      <c r="M27" s="813"/>
      <c r="N27" s="813"/>
    </row>
    <row r="28" spans="1:14" s="802" customFormat="1" ht="14.1" customHeight="1">
      <c r="A28" s="810"/>
      <c r="B28" s="806"/>
      <c r="C28" s="814" t="s">
        <v>3497</v>
      </c>
      <c r="D28" s="811"/>
      <c r="E28" s="812"/>
      <c r="F28" s="812"/>
      <c r="G28" s="812"/>
      <c r="H28" s="812"/>
      <c r="I28" s="812"/>
      <c r="J28" s="812"/>
      <c r="K28" s="813"/>
      <c r="L28" s="813"/>
      <c r="M28" s="813"/>
      <c r="N28" s="813"/>
    </row>
    <row r="29" spans="1:14" s="802" customFormat="1" ht="14.1" customHeight="1">
      <c r="A29" s="810"/>
      <c r="B29" s="805"/>
      <c r="C29" s="805"/>
      <c r="D29" s="811"/>
      <c r="E29" s="812"/>
      <c r="F29" s="812"/>
      <c r="G29" s="812"/>
      <c r="H29" s="812"/>
      <c r="I29" s="812"/>
      <c r="J29" s="812"/>
      <c r="K29" s="813"/>
      <c r="L29" s="813"/>
      <c r="M29" s="813"/>
      <c r="N29" s="813"/>
    </row>
    <row r="30" spans="1:14" s="802" customFormat="1" ht="14.1" customHeight="1">
      <c r="B30" s="806"/>
      <c r="C30" s="805"/>
      <c r="D30" s="805"/>
      <c r="E30" s="805"/>
      <c r="F30" s="805"/>
      <c r="G30" s="805"/>
      <c r="H30" s="805"/>
      <c r="I30" s="805"/>
      <c r="J30" s="805"/>
    </row>
    <row r="31" spans="1:14" s="802" customFormat="1" ht="14.1" customHeight="1">
      <c r="B31" s="723" t="s">
        <v>1796</v>
      </c>
      <c r="C31" s="184" t="s">
        <v>2900</v>
      </c>
      <c r="D31" s="805"/>
      <c r="E31" s="805"/>
      <c r="F31" s="805"/>
      <c r="G31" s="805"/>
      <c r="H31" s="805"/>
      <c r="I31" s="805"/>
      <c r="J31" s="805"/>
    </row>
    <row r="32" spans="1:14" s="802" customFormat="1" ht="14.1" customHeight="1">
      <c r="B32" s="752"/>
      <c r="C32" s="184" t="s">
        <v>2901</v>
      </c>
      <c r="D32" s="805"/>
      <c r="E32" s="805"/>
      <c r="F32" s="805"/>
      <c r="G32" s="805"/>
      <c r="H32" s="805"/>
      <c r="I32" s="805"/>
      <c r="J32" s="805"/>
    </row>
    <row r="33" spans="2:10" s="802" customFormat="1" ht="14.1" customHeight="1">
      <c r="B33" s="723"/>
      <c r="C33" s="184" t="s">
        <v>2902</v>
      </c>
      <c r="D33" s="805"/>
      <c r="E33" s="805"/>
      <c r="F33" s="805"/>
      <c r="G33" s="805"/>
      <c r="H33" s="805"/>
      <c r="I33" s="805"/>
      <c r="J33" s="805"/>
    </row>
    <row r="34" spans="2:10" s="802" customFormat="1" ht="14.1" customHeight="1">
      <c r="B34" s="806"/>
      <c r="C34" s="805"/>
      <c r="D34" s="805"/>
      <c r="E34" s="805"/>
      <c r="F34" s="805"/>
      <c r="G34" s="805"/>
      <c r="H34" s="805"/>
      <c r="I34" s="805"/>
      <c r="J34" s="805"/>
    </row>
    <row r="35" spans="2:10" s="802" customFormat="1" ht="14.1" customHeight="1">
      <c r="B35" s="806"/>
      <c r="C35" s="805"/>
      <c r="D35" s="805"/>
      <c r="E35" s="805"/>
      <c r="F35" s="805"/>
      <c r="G35" s="805"/>
      <c r="H35" s="805"/>
      <c r="I35" s="805"/>
      <c r="J35" s="805"/>
    </row>
    <row r="36" spans="2:10" s="802" customFormat="1" ht="14.1" customHeight="1">
      <c r="B36" s="723" t="s">
        <v>1796</v>
      </c>
      <c r="C36" s="184" t="s">
        <v>3253</v>
      </c>
      <c r="D36" s="805"/>
      <c r="E36" s="805"/>
      <c r="F36" s="805"/>
      <c r="G36" s="805"/>
      <c r="H36" s="805"/>
      <c r="I36" s="805"/>
      <c r="J36" s="805"/>
    </row>
    <row r="37" spans="2:10" s="802" customFormat="1" ht="14.1" customHeight="1">
      <c r="B37" s="723"/>
      <c r="C37" s="184" t="s">
        <v>3252</v>
      </c>
      <c r="D37" s="805"/>
      <c r="E37" s="805"/>
      <c r="F37" s="805"/>
      <c r="G37" s="805"/>
      <c r="H37" s="805"/>
      <c r="I37" s="805"/>
      <c r="J37" s="805"/>
    </row>
    <row r="38" spans="2:10" s="802" customFormat="1" ht="14.1" customHeight="1">
      <c r="B38" s="806"/>
      <c r="C38" s="805"/>
      <c r="D38" s="805"/>
      <c r="E38" s="805"/>
      <c r="F38" s="805"/>
      <c r="G38" s="805"/>
      <c r="H38" s="805"/>
      <c r="I38" s="805"/>
      <c r="J38" s="805"/>
    </row>
    <row r="39" spans="2:10" s="802" customFormat="1" ht="14.1" customHeight="1">
      <c r="B39" s="723"/>
      <c r="C39" s="184" t="s">
        <v>3252</v>
      </c>
      <c r="D39" s="805"/>
      <c r="E39" s="805"/>
      <c r="F39" s="805"/>
      <c r="G39" s="805"/>
      <c r="H39" s="805"/>
      <c r="I39" s="805"/>
      <c r="J39" s="805"/>
    </row>
    <row r="40" spans="2:10" s="802" customFormat="1" ht="14.1" customHeight="1">
      <c r="B40" s="806"/>
      <c r="C40" s="805"/>
      <c r="D40" s="805"/>
      <c r="E40" s="805"/>
      <c r="F40" s="805"/>
      <c r="G40" s="805"/>
      <c r="H40" s="805"/>
      <c r="I40" s="805"/>
      <c r="J40" s="805"/>
    </row>
    <row r="41" spans="2:10" s="802" customFormat="1" ht="14.1" customHeight="1">
      <c r="B41" s="806"/>
      <c r="C41" s="805"/>
      <c r="D41" s="805"/>
      <c r="E41" s="805"/>
      <c r="F41" s="805"/>
      <c r="G41" s="805"/>
      <c r="H41" s="805"/>
      <c r="I41" s="805"/>
      <c r="J41" s="805"/>
    </row>
    <row r="42" spans="2:10" s="802" customFormat="1" ht="14.1" customHeight="1">
      <c r="B42" s="805"/>
      <c r="C42" s="805"/>
      <c r="D42" s="805"/>
      <c r="E42" s="805"/>
      <c r="F42" s="805"/>
      <c r="G42" s="805"/>
      <c r="H42" s="805"/>
      <c r="I42" s="805"/>
      <c r="J42" s="805"/>
    </row>
    <row r="43" spans="2:10" s="802" customFormat="1" ht="14.1" customHeight="1"/>
    <row r="44" spans="2:10" s="802" customFormat="1" ht="14.1" customHeight="1"/>
    <row r="45" spans="2:10" s="802" customFormat="1" ht="14.1" customHeight="1"/>
    <row r="46" spans="2:10" ht="14.1" customHeight="1"/>
    <row r="47" spans="2:10" ht="14.1" customHeight="1"/>
    <row r="48" spans="2:10" ht="14.1" customHeight="1"/>
    <row r="49" ht="14.1" customHeight="1"/>
    <row r="50" ht="14.1" customHeight="1"/>
    <row r="51" ht="14.1" customHeight="1"/>
    <row r="52" ht="14.1" customHeight="1"/>
    <row r="53" ht="14.1" customHeight="1"/>
    <row r="54" ht="14.1" customHeight="1"/>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dimension ref="A1:P65"/>
  <sheetViews>
    <sheetView zoomScale="85" zoomScaleNormal="85" workbookViewId="0">
      <selection activeCell="B3" sqref="B3:C9"/>
    </sheetView>
  </sheetViews>
  <sheetFormatPr baseColWidth="10" defaultColWidth="11.44140625" defaultRowHeight="14.4"/>
  <cols>
    <col min="1" max="1" width="11.44140625" style="808"/>
    <col min="2" max="2" width="3.6640625" style="808" bestFit="1" customWidth="1"/>
    <col min="3" max="3" width="104.6640625" style="808" bestFit="1" customWidth="1"/>
    <col min="4" max="16384" width="11.44140625" style="808"/>
  </cols>
  <sheetData>
    <row r="1" spans="1:16" ht="14.1" customHeight="1">
      <c r="A1" s="802"/>
      <c r="B1" s="802"/>
      <c r="C1" s="802"/>
      <c r="D1" s="802"/>
      <c r="E1" s="802"/>
      <c r="F1" s="802"/>
      <c r="G1" s="802"/>
      <c r="H1" s="802"/>
      <c r="I1" s="802"/>
      <c r="J1" s="802"/>
      <c r="K1" s="802"/>
      <c r="L1" s="802"/>
      <c r="M1" s="802"/>
      <c r="N1" s="802"/>
      <c r="O1" s="802"/>
      <c r="P1" s="802"/>
    </row>
    <row r="2" spans="1:16" ht="12.75" customHeight="1">
      <c r="A2" s="802"/>
      <c r="B2" s="805"/>
      <c r="C2" s="805"/>
      <c r="D2" s="805"/>
      <c r="E2" s="805"/>
      <c r="F2" s="805"/>
      <c r="G2" s="805"/>
      <c r="H2" s="805"/>
      <c r="I2" s="805"/>
      <c r="J2" s="805"/>
      <c r="K2" s="805"/>
      <c r="L2" s="802"/>
      <c r="M2" s="802"/>
      <c r="N2" s="802"/>
      <c r="O2" s="802"/>
      <c r="P2" s="802"/>
    </row>
    <row r="3" spans="1:16" ht="12.75" customHeight="1">
      <c r="A3" s="802"/>
      <c r="B3" s="931" t="s">
        <v>1795</v>
      </c>
      <c r="C3" s="1344" t="s">
        <v>4744</v>
      </c>
      <c r="D3" s="805"/>
      <c r="E3" s="805"/>
      <c r="F3" s="805"/>
      <c r="G3" s="805"/>
      <c r="H3" s="805"/>
      <c r="I3" s="805"/>
      <c r="J3" s="805"/>
      <c r="K3" s="805"/>
      <c r="L3" s="802"/>
      <c r="M3" s="802"/>
      <c r="N3" s="802"/>
      <c r="O3" s="802"/>
      <c r="P3" s="802"/>
    </row>
    <row r="4" spans="1:16" ht="12.75" customHeight="1">
      <c r="A4" s="802"/>
      <c r="B4" s="1344"/>
      <c r="C4" s="1344" t="s">
        <v>4745</v>
      </c>
      <c r="D4" s="805"/>
      <c r="E4" s="805"/>
      <c r="F4" s="805"/>
      <c r="G4" s="805"/>
      <c r="H4" s="805"/>
      <c r="I4" s="805"/>
      <c r="J4" s="805"/>
      <c r="K4" s="805"/>
      <c r="L4" s="802"/>
      <c r="M4" s="802"/>
      <c r="N4" s="802"/>
      <c r="O4" s="802"/>
      <c r="P4" s="802"/>
    </row>
    <row r="5" spans="1:16" ht="12.75" customHeight="1">
      <c r="A5" s="802"/>
      <c r="B5" s="1344"/>
      <c r="C5" s="1344" t="s">
        <v>4746</v>
      </c>
      <c r="D5" s="805"/>
      <c r="E5" s="805"/>
      <c r="F5" s="805"/>
      <c r="G5" s="805"/>
      <c r="H5" s="805"/>
      <c r="I5" s="805"/>
      <c r="J5" s="805"/>
      <c r="K5" s="805"/>
      <c r="L5" s="802"/>
      <c r="M5" s="802"/>
      <c r="N5" s="802"/>
      <c r="O5" s="802"/>
      <c r="P5" s="802"/>
    </row>
    <row r="6" spans="1:16" ht="12.75" customHeight="1">
      <c r="A6" s="802"/>
      <c r="B6" s="805"/>
      <c r="C6" s="805"/>
      <c r="D6" s="805"/>
      <c r="E6" s="805"/>
      <c r="F6" s="805"/>
      <c r="G6" s="805"/>
      <c r="H6" s="805"/>
      <c r="I6" s="805"/>
      <c r="J6" s="805"/>
      <c r="K6" s="805"/>
      <c r="L6" s="802"/>
      <c r="M6" s="802"/>
      <c r="N6" s="802"/>
      <c r="O6" s="802"/>
      <c r="P6" s="802"/>
    </row>
    <row r="7" spans="1:16" ht="12.75" customHeight="1">
      <c r="A7" s="802"/>
      <c r="B7" s="723" t="s">
        <v>1796</v>
      </c>
      <c r="C7" s="805" t="s">
        <v>3042</v>
      </c>
      <c r="D7" s="805"/>
      <c r="E7" s="805"/>
      <c r="F7" s="805"/>
      <c r="G7" s="805"/>
      <c r="H7" s="805"/>
      <c r="I7" s="805"/>
      <c r="J7" s="805"/>
      <c r="K7" s="805"/>
      <c r="L7" s="802"/>
      <c r="M7" s="802"/>
      <c r="N7" s="802"/>
      <c r="O7" s="802"/>
      <c r="P7" s="802"/>
    </row>
    <row r="8" spans="1:16" ht="12.75" customHeight="1">
      <c r="A8" s="802"/>
      <c r="B8" s="805"/>
      <c r="C8" s="805" t="s">
        <v>3043</v>
      </c>
      <c r="D8" s="805"/>
      <c r="E8" s="805"/>
      <c r="F8" s="805"/>
      <c r="G8" s="805"/>
      <c r="H8" s="805"/>
      <c r="I8" s="805"/>
      <c r="J8" s="805"/>
      <c r="K8" s="805"/>
      <c r="L8" s="802"/>
      <c r="M8" s="802"/>
      <c r="N8" s="802"/>
      <c r="O8" s="802"/>
      <c r="P8" s="802"/>
    </row>
    <row r="9" spans="1:16" ht="12.75" customHeight="1">
      <c r="A9" s="802"/>
      <c r="B9" s="805"/>
      <c r="C9" s="805" t="s">
        <v>3044</v>
      </c>
      <c r="D9" s="805"/>
      <c r="E9" s="805"/>
      <c r="F9" s="805"/>
      <c r="G9" s="805"/>
      <c r="H9" s="805"/>
      <c r="I9" s="805"/>
      <c r="J9" s="805"/>
      <c r="K9" s="805"/>
      <c r="L9" s="802"/>
      <c r="M9" s="802"/>
      <c r="N9" s="802"/>
      <c r="O9" s="802"/>
      <c r="P9" s="802"/>
    </row>
    <row r="10" spans="1:16" ht="12.75" customHeight="1">
      <c r="A10" s="802"/>
      <c r="B10" s="802"/>
      <c r="C10" s="802"/>
      <c r="D10" s="802"/>
      <c r="E10" s="802"/>
      <c r="F10" s="802"/>
      <c r="G10" s="802"/>
      <c r="H10" s="802"/>
      <c r="I10" s="802"/>
      <c r="J10" s="802"/>
      <c r="K10" s="802"/>
      <c r="L10" s="802"/>
      <c r="M10" s="802"/>
      <c r="N10" s="802"/>
      <c r="O10" s="802"/>
      <c r="P10" s="802"/>
    </row>
    <row r="11" spans="1:16" ht="12.75" customHeight="1">
      <c r="A11" s="802"/>
      <c r="B11" s="802"/>
      <c r="C11" s="802"/>
      <c r="D11" s="802"/>
      <c r="E11" s="802"/>
      <c r="F11" s="802"/>
      <c r="G11" s="802"/>
      <c r="H11" s="802"/>
      <c r="I11" s="802"/>
      <c r="J11" s="802"/>
      <c r="K11" s="802"/>
      <c r="L11" s="802"/>
      <c r="M11" s="802"/>
      <c r="N11" s="802"/>
      <c r="O11" s="802"/>
      <c r="P11" s="802"/>
    </row>
    <row r="12" spans="1:16" ht="12.75" customHeight="1">
      <c r="A12" s="802"/>
      <c r="B12" s="802"/>
      <c r="C12" s="802"/>
      <c r="D12" s="802"/>
      <c r="E12" s="802"/>
      <c r="F12" s="802"/>
      <c r="G12" s="802"/>
      <c r="H12" s="802"/>
      <c r="I12" s="802"/>
      <c r="J12" s="802"/>
      <c r="K12" s="802"/>
      <c r="L12" s="802"/>
      <c r="M12" s="802"/>
      <c r="N12" s="802"/>
      <c r="O12" s="802"/>
      <c r="P12" s="802"/>
    </row>
    <row r="13" spans="1:16" ht="12.75" customHeight="1">
      <c r="A13" s="802"/>
      <c r="B13" s="802"/>
      <c r="C13" s="802"/>
      <c r="D13" s="802"/>
      <c r="E13" s="802"/>
      <c r="F13" s="802"/>
      <c r="G13" s="802"/>
      <c r="H13" s="802"/>
      <c r="I13" s="802"/>
      <c r="J13" s="802"/>
      <c r="K13" s="802"/>
      <c r="L13" s="802"/>
      <c r="M13" s="802"/>
      <c r="N13" s="802"/>
      <c r="O13" s="802"/>
      <c r="P13" s="802"/>
    </row>
    <row r="14" spans="1:16" ht="12.75" customHeight="1">
      <c r="A14" s="802"/>
      <c r="B14" s="802"/>
      <c r="C14" s="802"/>
      <c r="D14" s="802"/>
      <c r="E14" s="802"/>
      <c r="F14" s="802"/>
      <c r="G14" s="802"/>
      <c r="H14" s="802"/>
      <c r="I14" s="802"/>
      <c r="J14" s="802"/>
      <c r="K14" s="802"/>
      <c r="L14" s="802"/>
      <c r="M14" s="802"/>
      <c r="N14" s="802"/>
      <c r="O14" s="802"/>
      <c r="P14" s="802"/>
    </row>
    <row r="15" spans="1:16" ht="12.75" customHeight="1">
      <c r="A15" s="802"/>
      <c r="B15" s="802"/>
      <c r="C15" s="802"/>
      <c r="D15" s="802"/>
      <c r="E15" s="802"/>
      <c r="F15" s="802"/>
      <c r="G15" s="802"/>
      <c r="H15" s="802"/>
      <c r="I15" s="802"/>
      <c r="J15" s="802"/>
      <c r="K15" s="802"/>
      <c r="L15" s="802"/>
      <c r="M15" s="802"/>
      <c r="N15" s="802"/>
      <c r="O15" s="802"/>
      <c r="P15" s="802"/>
    </row>
    <row r="16" spans="1:16" ht="12.75" customHeight="1">
      <c r="A16" s="802"/>
      <c r="B16" s="802"/>
      <c r="C16" s="802"/>
      <c r="D16" s="802"/>
      <c r="E16" s="802"/>
      <c r="F16" s="802"/>
      <c r="G16" s="802"/>
      <c r="H16" s="802"/>
      <c r="I16" s="802"/>
      <c r="J16" s="802"/>
      <c r="K16" s="802"/>
      <c r="L16" s="802"/>
      <c r="M16" s="802"/>
      <c r="N16" s="802"/>
      <c r="O16" s="802"/>
      <c r="P16" s="802"/>
    </row>
    <row r="17" spans="1:16" ht="12.75" customHeight="1">
      <c r="A17" s="802"/>
      <c r="B17" s="802"/>
      <c r="C17" s="802"/>
      <c r="D17" s="802"/>
      <c r="E17" s="802"/>
      <c r="F17" s="802"/>
      <c r="G17" s="802"/>
      <c r="H17" s="802"/>
      <c r="I17" s="802"/>
      <c r="J17" s="802"/>
      <c r="K17" s="802"/>
      <c r="L17" s="802"/>
      <c r="M17" s="802"/>
      <c r="N17" s="802"/>
      <c r="O17" s="802"/>
      <c r="P17" s="802"/>
    </row>
    <row r="18" spans="1:16" ht="12.75" customHeight="1">
      <c r="A18" s="802"/>
      <c r="B18" s="802"/>
      <c r="C18" s="802"/>
      <c r="D18" s="802"/>
      <c r="E18" s="802"/>
      <c r="F18" s="802"/>
      <c r="G18" s="802"/>
      <c r="H18" s="802"/>
      <c r="I18" s="802"/>
      <c r="J18" s="802"/>
      <c r="K18" s="802"/>
      <c r="L18" s="802"/>
      <c r="M18" s="802"/>
      <c r="N18" s="802"/>
      <c r="O18" s="802"/>
      <c r="P18" s="802"/>
    </row>
    <row r="19" spans="1:16" ht="12.75" customHeight="1">
      <c r="A19" s="802"/>
      <c r="B19" s="802"/>
      <c r="C19" s="802"/>
      <c r="D19" s="802"/>
      <c r="E19" s="802"/>
      <c r="F19" s="802"/>
      <c r="G19" s="802"/>
      <c r="H19" s="802"/>
      <c r="I19" s="802"/>
      <c r="J19" s="802"/>
      <c r="K19" s="802"/>
      <c r="L19" s="802"/>
      <c r="M19" s="802"/>
      <c r="N19" s="802"/>
      <c r="O19" s="802"/>
      <c r="P19" s="802"/>
    </row>
    <row r="20" spans="1:16" ht="12.75" customHeight="1">
      <c r="A20" s="802"/>
      <c r="B20" s="802"/>
      <c r="C20" s="802"/>
      <c r="D20" s="802"/>
      <c r="E20" s="802"/>
      <c r="F20" s="802"/>
      <c r="G20" s="802"/>
      <c r="H20" s="802"/>
      <c r="I20" s="802"/>
      <c r="J20" s="802"/>
      <c r="K20" s="802"/>
      <c r="L20" s="802"/>
      <c r="M20" s="802"/>
      <c r="N20" s="802"/>
      <c r="O20" s="802"/>
      <c r="P20" s="802"/>
    </row>
    <row r="21" spans="1:16" ht="12.75" customHeight="1">
      <c r="A21" s="802"/>
      <c r="B21" s="802"/>
      <c r="C21" s="802"/>
      <c r="D21" s="802"/>
      <c r="E21" s="802"/>
      <c r="F21" s="802"/>
      <c r="G21" s="802"/>
      <c r="H21" s="802"/>
      <c r="I21" s="802"/>
      <c r="J21" s="802"/>
      <c r="K21" s="802"/>
      <c r="L21" s="802"/>
      <c r="M21" s="802"/>
      <c r="N21" s="802"/>
      <c r="O21" s="802"/>
      <c r="P21" s="802"/>
    </row>
    <row r="22" spans="1:16" ht="12.75" customHeight="1">
      <c r="A22" s="802"/>
      <c r="B22" s="802"/>
      <c r="C22" s="802"/>
      <c r="D22" s="802"/>
      <c r="E22" s="802"/>
      <c r="F22" s="802"/>
      <c r="G22" s="802"/>
      <c r="H22" s="802"/>
      <c r="I22" s="802"/>
      <c r="J22" s="802"/>
      <c r="K22" s="802"/>
      <c r="L22" s="802"/>
      <c r="M22" s="802"/>
      <c r="N22" s="802"/>
      <c r="O22" s="802"/>
      <c r="P22" s="802"/>
    </row>
    <row r="23" spans="1:16" ht="12.75" customHeight="1">
      <c r="A23" s="802"/>
      <c r="B23" s="802"/>
      <c r="C23" s="802"/>
      <c r="D23" s="802"/>
      <c r="E23" s="802"/>
      <c r="F23" s="802"/>
      <c r="G23" s="802"/>
      <c r="H23" s="802"/>
      <c r="I23" s="802"/>
      <c r="J23" s="802"/>
      <c r="K23" s="802"/>
      <c r="L23" s="802"/>
      <c r="M23" s="802"/>
      <c r="N23" s="802"/>
      <c r="O23" s="802"/>
      <c r="P23" s="802"/>
    </row>
    <row r="24" spans="1:16" ht="12.75" customHeight="1">
      <c r="A24" s="802"/>
      <c r="B24" s="802"/>
      <c r="C24" s="802"/>
      <c r="D24" s="802"/>
      <c r="E24" s="802"/>
      <c r="F24" s="802"/>
      <c r="G24" s="802"/>
      <c r="H24" s="802"/>
      <c r="I24" s="802"/>
      <c r="J24" s="802"/>
      <c r="K24" s="802"/>
      <c r="L24" s="802"/>
      <c r="M24" s="802"/>
      <c r="N24" s="802"/>
      <c r="O24" s="802"/>
      <c r="P24" s="802"/>
    </row>
    <row r="25" spans="1:16" ht="12.75" customHeight="1">
      <c r="A25" s="802"/>
      <c r="B25" s="802"/>
      <c r="C25" s="802"/>
      <c r="D25" s="802"/>
      <c r="E25" s="802"/>
      <c r="F25" s="802"/>
      <c r="G25" s="802"/>
      <c r="H25" s="802"/>
      <c r="I25" s="802"/>
      <c r="J25" s="802"/>
      <c r="K25" s="802"/>
      <c r="L25" s="802"/>
      <c r="M25" s="802"/>
      <c r="N25" s="802"/>
      <c r="O25" s="802"/>
      <c r="P25" s="802"/>
    </row>
    <row r="26" spans="1:16" ht="12.75" customHeight="1">
      <c r="A26" s="802"/>
      <c r="B26" s="802"/>
      <c r="C26" s="802"/>
      <c r="D26" s="802"/>
      <c r="E26" s="802"/>
      <c r="F26" s="802"/>
      <c r="G26" s="802"/>
      <c r="H26" s="802"/>
      <c r="I26" s="802"/>
      <c r="J26" s="802"/>
      <c r="K26" s="802"/>
      <c r="L26" s="802"/>
      <c r="M26" s="802"/>
      <c r="N26" s="802"/>
      <c r="O26" s="802"/>
      <c r="P26" s="802"/>
    </row>
    <row r="27" spans="1:16" ht="12.75" customHeight="1">
      <c r="A27" s="802"/>
      <c r="B27" s="802"/>
      <c r="C27" s="802"/>
      <c r="D27" s="802"/>
      <c r="E27" s="802"/>
      <c r="F27" s="802"/>
      <c r="G27" s="802"/>
      <c r="H27" s="802"/>
      <c r="I27" s="802"/>
      <c r="J27" s="802"/>
      <c r="K27" s="802"/>
      <c r="L27" s="802"/>
      <c r="M27" s="802"/>
      <c r="N27" s="802"/>
      <c r="O27" s="802"/>
      <c r="P27" s="802"/>
    </row>
    <row r="28" spans="1:16" ht="12.75" customHeight="1">
      <c r="A28" s="802"/>
      <c r="B28" s="802"/>
      <c r="C28" s="802"/>
      <c r="D28" s="802"/>
      <c r="E28" s="802"/>
      <c r="F28" s="802"/>
      <c r="G28" s="802"/>
      <c r="H28" s="802"/>
      <c r="I28" s="802"/>
      <c r="J28" s="802"/>
      <c r="K28" s="802"/>
      <c r="L28" s="802"/>
      <c r="M28" s="802"/>
      <c r="N28" s="802"/>
      <c r="O28" s="802"/>
      <c r="P28" s="802"/>
    </row>
    <row r="29" spans="1:16" ht="12.75" customHeight="1">
      <c r="A29" s="802"/>
      <c r="B29" s="802"/>
      <c r="C29" s="802"/>
      <c r="D29" s="802"/>
      <c r="E29" s="802"/>
      <c r="F29" s="802"/>
      <c r="G29" s="802"/>
      <c r="H29" s="802"/>
      <c r="I29" s="802"/>
      <c r="J29" s="802"/>
      <c r="K29" s="802"/>
      <c r="L29" s="802"/>
      <c r="M29" s="802"/>
      <c r="N29" s="802"/>
      <c r="O29" s="802"/>
      <c r="P29" s="802"/>
    </row>
    <row r="30" spans="1:16" ht="12.75" customHeight="1">
      <c r="A30" s="802"/>
      <c r="B30" s="802"/>
      <c r="C30" s="802"/>
      <c r="D30" s="802"/>
      <c r="E30" s="802"/>
      <c r="F30" s="802"/>
      <c r="G30" s="802"/>
      <c r="H30" s="802"/>
      <c r="I30" s="802"/>
      <c r="J30" s="802"/>
      <c r="K30" s="802"/>
      <c r="L30" s="802"/>
      <c r="M30" s="802"/>
      <c r="N30" s="802"/>
      <c r="O30" s="802"/>
      <c r="P30" s="802"/>
    </row>
    <row r="31" spans="1:16" ht="12.75" customHeight="1">
      <c r="A31" s="802"/>
      <c r="B31" s="802"/>
      <c r="C31" s="802"/>
      <c r="D31" s="802"/>
      <c r="E31" s="802"/>
      <c r="F31" s="802"/>
      <c r="G31" s="802"/>
      <c r="H31" s="802"/>
      <c r="I31" s="802"/>
      <c r="J31" s="802"/>
      <c r="K31" s="802"/>
      <c r="L31" s="802"/>
      <c r="M31" s="802"/>
      <c r="N31" s="802"/>
      <c r="O31" s="802"/>
      <c r="P31" s="802"/>
    </row>
    <row r="32" spans="1:16" ht="12.75" customHeight="1">
      <c r="A32" s="802"/>
      <c r="B32" s="802"/>
      <c r="C32" s="802"/>
      <c r="D32" s="802"/>
      <c r="E32" s="802"/>
      <c r="F32" s="802"/>
      <c r="G32" s="802"/>
      <c r="H32" s="802"/>
      <c r="I32" s="802"/>
      <c r="J32" s="802"/>
      <c r="K32" s="802"/>
      <c r="L32" s="802"/>
      <c r="M32" s="802"/>
      <c r="N32" s="802"/>
      <c r="O32" s="802"/>
      <c r="P32" s="802"/>
    </row>
    <row r="33" spans="1:16" ht="12.75" customHeight="1">
      <c r="A33" s="802"/>
      <c r="B33" s="802"/>
      <c r="C33" s="802"/>
      <c r="D33" s="802"/>
      <c r="E33" s="802"/>
      <c r="F33" s="802"/>
      <c r="G33" s="802"/>
      <c r="H33" s="802"/>
      <c r="I33" s="802"/>
      <c r="J33" s="802"/>
      <c r="K33" s="802"/>
      <c r="L33" s="802"/>
      <c r="M33" s="802"/>
      <c r="N33" s="802"/>
      <c r="O33" s="802"/>
      <c r="P33" s="802"/>
    </row>
    <row r="34" spans="1:16" ht="12.75" customHeight="1">
      <c r="A34" s="802"/>
      <c r="B34" s="802"/>
      <c r="C34" s="802"/>
      <c r="D34" s="802"/>
      <c r="E34" s="802"/>
      <c r="F34" s="802"/>
      <c r="G34" s="802"/>
      <c r="H34" s="802"/>
      <c r="I34" s="802"/>
      <c r="J34" s="802"/>
      <c r="K34" s="802"/>
      <c r="L34" s="802"/>
      <c r="M34" s="802"/>
      <c r="N34" s="802"/>
      <c r="O34" s="802"/>
      <c r="P34" s="802"/>
    </row>
    <row r="35" spans="1:16" ht="12.75" customHeight="1">
      <c r="A35" s="802"/>
      <c r="B35" s="802"/>
      <c r="C35" s="802"/>
      <c r="D35" s="802"/>
      <c r="E35" s="802"/>
      <c r="F35" s="802"/>
      <c r="G35" s="802"/>
      <c r="H35" s="802"/>
      <c r="I35" s="802"/>
      <c r="J35" s="802"/>
      <c r="K35" s="802"/>
      <c r="L35" s="802"/>
      <c r="M35" s="802"/>
      <c r="N35" s="802"/>
      <c r="O35" s="802"/>
      <c r="P35" s="802"/>
    </row>
    <row r="36" spans="1:16" ht="12.75" customHeight="1">
      <c r="A36" s="802"/>
      <c r="B36" s="802"/>
      <c r="C36" s="802"/>
      <c r="D36" s="802"/>
      <c r="E36" s="802"/>
      <c r="F36" s="802"/>
      <c r="G36" s="802"/>
      <c r="H36" s="802"/>
      <c r="I36" s="802"/>
      <c r="J36" s="802"/>
      <c r="K36" s="802"/>
      <c r="L36" s="802"/>
      <c r="M36" s="802"/>
      <c r="N36" s="802"/>
      <c r="O36" s="802"/>
      <c r="P36" s="802"/>
    </row>
    <row r="37" spans="1:16" ht="12.75" customHeight="1">
      <c r="A37" s="802"/>
      <c r="B37" s="802"/>
      <c r="C37" s="802"/>
      <c r="D37" s="802"/>
      <c r="E37" s="802"/>
      <c r="F37" s="802"/>
      <c r="G37" s="802"/>
      <c r="H37" s="802"/>
      <c r="I37" s="802"/>
      <c r="J37" s="802"/>
      <c r="K37" s="802"/>
      <c r="L37" s="802"/>
      <c r="M37" s="802"/>
      <c r="N37" s="802"/>
      <c r="O37" s="802"/>
      <c r="P37" s="802"/>
    </row>
    <row r="38" spans="1:16" ht="12.75" customHeight="1">
      <c r="A38" s="802"/>
      <c r="B38" s="802"/>
      <c r="C38" s="802"/>
      <c r="D38" s="802"/>
      <c r="E38" s="802"/>
      <c r="F38" s="802"/>
      <c r="G38" s="802"/>
      <c r="H38" s="802"/>
      <c r="I38" s="802"/>
      <c r="J38" s="802"/>
      <c r="K38" s="802"/>
      <c r="L38" s="802"/>
      <c r="M38" s="802"/>
      <c r="N38" s="802"/>
      <c r="O38" s="802"/>
      <c r="P38" s="802"/>
    </row>
    <row r="39" spans="1:16" ht="12.75" customHeight="1"/>
    <row r="40" spans="1:16" ht="12.75" customHeight="1"/>
    <row r="41" spans="1:16" ht="12.75" customHeight="1"/>
    <row r="42" spans="1:16" ht="12.75" customHeight="1"/>
    <row r="43" spans="1:16" ht="12.75" customHeight="1"/>
    <row r="44" spans="1:16" ht="12.75" customHeight="1"/>
    <row r="45" spans="1:16" ht="12.75" customHeight="1"/>
    <row r="46" spans="1:16" ht="12.75" customHeight="1"/>
    <row r="47" spans="1:16" ht="12.75" customHeight="1"/>
    <row r="48" spans="1:16"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dimension ref="A1:K32"/>
  <sheetViews>
    <sheetView zoomScale="85" zoomScaleNormal="85" workbookViewId="0">
      <selection activeCell="C47" sqref="C47"/>
    </sheetView>
  </sheetViews>
  <sheetFormatPr baseColWidth="10" defaultColWidth="11.44140625" defaultRowHeight="14.4"/>
  <cols>
    <col min="1" max="1" width="11.44140625" style="808"/>
    <col min="2" max="2" width="3.6640625" style="808" bestFit="1" customWidth="1"/>
    <col min="3" max="16384" width="11.44140625" style="808"/>
  </cols>
  <sheetData>
    <row r="1" spans="1:11" ht="14.1" customHeight="1">
      <c r="A1" s="802"/>
      <c r="B1" s="805"/>
      <c r="C1" s="805"/>
      <c r="D1" s="805"/>
      <c r="E1" s="805"/>
      <c r="F1" s="805"/>
      <c r="G1" s="805"/>
      <c r="H1" s="805"/>
      <c r="I1" s="805"/>
      <c r="J1" s="805"/>
      <c r="K1" s="802"/>
    </row>
    <row r="2" spans="1:11" ht="14.1" customHeight="1">
      <c r="A2" s="802"/>
      <c r="B2" s="805"/>
      <c r="C2" s="805"/>
      <c r="D2" s="805"/>
      <c r="E2" s="805"/>
      <c r="F2" s="805"/>
      <c r="G2" s="805"/>
      <c r="H2" s="805"/>
      <c r="I2" s="805"/>
      <c r="J2" s="805"/>
      <c r="K2" s="802"/>
    </row>
    <row r="3" spans="1:11" s="819" customFormat="1" ht="14.1" customHeight="1">
      <c r="A3" s="815"/>
      <c r="B3" s="723" t="s">
        <v>2666</v>
      </c>
      <c r="C3" s="184" t="s">
        <v>3045</v>
      </c>
      <c r="D3" s="816"/>
      <c r="E3" s="817"/>
      <c r="F3" s="817"/>
      <c r="G3" s="817"/>
      <c r="H3" s="817"/>
      <c r="I3" s="817"/>
      <c r="J3" s="818"/>
    </row>
    <row r="4" spans="1:11" s="819" customFormat="1" ht="14.1" customHeight="1">
      <c r="A4" s="815"/>
      <c r="B4" s="723"/>
      <c r="C4" s="184" t="s">
        <v>3046</v>
      </c>
      <c r="D4" s="816"/>
      <c r="E4" s="817"/>
      <c r="F4" s="817"/>
      <c r="G4" s="817"/>
      <c r="H4" s="817"/>
      <c r="I4" s="817"/>
      <c r="J4" s="818"/>
    </row>
    <row r="5" spans="1:11" s="802" customFormat="1" ht="14.1" customHeight="1">
      <c r="B5" s="806"/>
      <c r="C5" s="805"/>
      <c r="D5" s="805"/>
      <c r="E5" s="805"/>
      <c r="F5" s="805"/>
      <c r="G5" s="805"/>
      <c r="H5" s="805"/>
      <c r="I5" s="805"/>
      <c r="J5" s="805"/>
    </row>
    <row r="6" spans="1:11" s="802" customFormat="1" ht="14.1" customHeight="1">
      <c r="B6" s="723" t="s">
        <v>1796</v>
      </c>
      <c r="C6" s="184" t="s">
        <v>3047</v>
      </c>
      <c r="D6" s="805"/>
      <c r="E6" s="805"/>
      <c r="F6" s="805"/>
      <c r="G6" s="805"/>
      <c r="H6" s="805"/>
      <c r="I6" s="805"/>
      <c r="J6" s="805"/>
    </row>
    <row r="7" spans="1:11" s="802" customFormat="1" ht="14.1" customHeight="1">
      <c r="B7" s="723"/>
      <c r="C7" s="184" t="s">
        <v>3048</v>
      </c>
      <c r="D7" s="805"/>
      <c r="E7" s="805"/>
      <c r="F7" s="805"/>
      <c r="G7" s="805"/>
      <c r="H7" s="805"/>
      <c r="I7" s="805"/>
      <c r="J7" s="805"/>
    </row>
    <row r="8" spans="1:11" s="802" customFormat="1" ht="14.1" customHeight="1">
      <c r="B8" s="723"/>
      <c r="C8" s="184"/>
      <c r="D8" s="805"/>
      <c r="E8" s="805"/>
      <c r="F8" s="805"/>
      <c r="G8" s="805"/>
      <c r="H8" s="805"/>
      <c r="I8" s="805"/>
      <c r="J8" s="805"/>
    </row>
    <row r="9" spans="1:11" s="802" customFormat="1" ht="14.1" customHeight="1">
      <c r="B9" s="806"/>
      <c r="C9" s="805"/>
      <c r="D9" s="805"/>
      <c r="E9" s="805"/>
      <c r="F9" s="805"/>
      <c r="G9" s="805"/>
      <c r="H9" s="805"/>
      <c r="I9" s="805"/>
      <c r="J9" s="805"/>
    </row>
    <row r="10" spans="1:11" ht="14.1" customHeight="1">
      <c r="A10" s="802"/>
      <c r="B10" s="805"/>
      <c r="C10" s="805"/>
      <c r="D10" s="805"/>
      <c r="E10" s="805"/>
      <c r="F10" s="805"/>
      <c r="G10" s="805"/>
      <c r="H10" s="805"/>
      <c r="I10" s="805"/>
      <c r="J10" s="805"/>
      <c r="K10" s="802"/>
    </row>
    <row r="11" spans="1:11" ht="14.1" customHeight="1">
      <c r="A11" s="802"/>
      <c r="B11" s="805"/>
      <c r="C11" s="805"/>
      <c r="D11" s="805"/>
      <c r="E11" s="805"/>
      <c r="F11" s="805"/>
      <c r="G11" s="805"/>
      <c r="H11" s="805"/>
      <c r="I11" s="805"/>
      <c r="J11" s="805"/>
      <c r="K11" s="802"/>
    </row>
    <row r="12" spans="1:11" ht="14.1" customHeight="1">
      <c r="A12" s="802"/>
      <c r="B12" s="805"/>
      <c r="C12" s="805"/>
      <c r="D12" s="805"/>
      <c r="E12" s="805"/>
      <c r="F12" s="805"/>
      <c r="G12" s="805"/>
      <c r="H12" s="805"/>
      <c r="I12" s="805"/>
      <c r="J12" s="805"/>
      <c r="K12" s="802"/>
    </row>
    <row r="13" spans="1:11" ht="14.1" customHeight="1">
      <c r="A13" s="802"/>
      <c r="B13" s="805"/>
      <c r="C13" s="805"/>
      <c r="D13" s="805"/>
      <c r="E13" s="805"/>
      <c r="F13" s="805"/>
      <c r="G13" s="805"/>
      <c r="H13" s="805"/>
      <c r="I13" s="805"/>
      <c r="J13" s="805"/>
      <c r="K13" s="802"/>
    </row>
    <row r="14" spans="1:11" ht="14.1" customHeight="1">
      <c r="A14" s="802"/>
      <c r="B14" s="802"/>
      <c r="C14" s="802"/>
      <c r="D14" s="802"/>
      <c r="E14" s="802"/>
      <c r="F14" s="802"/>
      <c r="G14" s="802"/>
      <c r="H14" s="802"/>
      <c r="I14" s="802"/>
      <c r="J14" s="802"/>
      <c r="K14" s="802"/>
    </row>
    <row r="15" spans="1:11" ht="14.1" customHeight="1">
      <c r="A15" s="802"/>
      <c r="B15" s="802"/>
      <c r="C15" s="802"/>
      <c r="D15" s="802"/>
      <c r="E15" s="802"/>
      <c r="F15" s="802"/>
      <c r="G15" s="802"/>
      <c r="H15" s="802"/>
      <c r="I15" s="802"/>
      <c r="J15" s="802"/>
      <c r="K15" s="802"/>
    </row>
    <row r="16" spans="1:11" ht="14.1" customHeight="1">
      <c r="A16" s="802"/>
      <c r="B16" s="802"/>
      <c r="C16" s="802"/>
      <c r="D16" s="802"/>
      <c r="E16" s="802"/>
      <c r="F16" s="802"/>
      <c r="G16" s="802"/>
      <c r="H16" s="802"/>
      <c r="I16" s="802"/>
      <c r="J16" s="802"/>
      <c r="K16" s="802"/>
    </row>
    <row r="17" spans="1:11" ht="14.1" customHeight="1">
      <c r="A17" s="802"/>
      <c r="B17" s="802"/>
      <c r="C17" s="802"/>
      <c r="D17" s="802"/>
      <c r="E17" s="802"/>
      <c r="F17" s="802"/>
      <c r="G17" s="802"/>
      <c r="H17" s="802"/>
      <c r="I17" s="802"/>
      <c r="J17" s="802"/>
      <c r="K17" s="802"/>
    </row>
    <row r="18" spans="1:11" ht="14.1" customHeight="1">
      <c r="A18" s="802"/>
      <c r="B18" s="802"/>
      <c r="C18" s="802"/>
      <c r="D18" s="802"/>
      <c r="E18" s="802"/>
      <c r="F18" s="802"/>
      <c r="G18" s="802"/>
      <c r="H18" s="802"/>
      <c r="I18" s="802"/>
      <c r="J18" s="802"/>
      <c r="K18" s="802"/>
    </row>
    <row r="19" spans="1:11" ht="14.1" customHeight="1">
      <c r="A19" s="802"/>
      <c r="B19" s="802"/>
      <c r="C19" s="802"/>
      <c r="D19" s="802"/>
      <c r="E19" s="802"/>
      <c r="F19" s="802"/>
      <c r="G19" s="802"/>
      <c r="H19" s="802"/>
      <c r="I19" s="802"/>
      <c r="J19" s="802"/>
      <c r="K19" s="802"/>
    </row>
    <row r="20" spans="1:11" ht="14.1" customHeight="1">
      <c r="A20" s="802"/>
      <c r="B20" s="802"/>
      <c r="C20" s="802"/>
      <c r="D20" s="802"/>
      <c r="E20" s="802"/>
      <c r="F20" s="802"/>
      <c r="G20" s="802"/>
      <c r="H20" s="802"/>
      <c r="I20" s="802"/>
      <c r="J20" s="802"/>
      <c r="K20" s="802"/>
    </row>
    <row r="21" spans="1:11" ht="14.1" customHeight="1">
      <c r="A21" s="802"/>
      <c r="B21" s="802"/>
      <c r="C21" s="802"/>
      <c r="D21" s="802"/>
      <c r="E21" s="802"/>
      <c r="F21" s="802"/>
      <c r="G21" s="802"/>
      <c r="H21" s="802"/>
      <c r="I21" s="802"/>
      <c r="J21" s="802"/>
      <c r="K21" s="802"/>
    </row>
    <row r="22" spans="1:11" ht="14.1" customHeight="1">
      <c r="A22" s="802"/>
      <c r="B22" s="802"/>
      <c r="C22" s="802"/>
      <c r="D22" s="802"/>
      <c r="E22" s="802"/>
      <c r="F22" s="802"/>
      <c r="G22" s="802"/>
      <c r="H22" s="802"/>
      <c r="I22" s="802"/>
      <c r="J22" s="802"/>
      <c r="K22" s="802"/>
    </row>
    <row r="23" spans="1:11" ht="14.1" customHeight="1">
      <c r="A23" s="802"/>
      <c r="B23" s="802"/>
      <c r="C23" s="802"/>
      <c r="D23" s="802"/>
      <c r="E23" s="802"/>
      <c r="F23" s="802"/>
      <c r="G23" s="802"/>
      <c r="H23" s="802"/>
      <c r="I23" s="802"/>
      <c r="J23" s="802"/>
      <c r="K23" s="802"/>
    </row>
    <row r="24" spans="1:11" ht="14.1" customHeight="1">
      <c r="A24" s="802"/>
      <c r="B24" s="802"/>
      <c r="C24" s="802"/>
      <c r="D24" s="802"/>
      <c r="E24" s="802"/>
      <c r="F24" s="802"/>
      <c r="G24" s="802"/>
      <c r="H24" s="802"/>
      <c r="I24" s="802"/>
      <c r="J24" s="802"/>
      <c r="K24" s="802"/>
    </row>
    <row r="25" spans="1:11" ht="14.1" customHeight="1">
      <c r="A25" s="802"/>
      <c r="B25" s="802"/>
      <c r="C25" s="802"/>
      <c r="D25" s="802"/>
      <c r="E25" s="802"/>
      <c r="F25" s="802"/>
      <c r="G25" s="802"/>
      <c r="H25" s="802"/>
      <c r="I25" s="802"/>
      <c r="J25" s="802"/>
      <c r="K25" s="802"/>
    </row>
    <row r="26" spans="1:11" ht="14.1" customHeight="1">
      <c r="A26" s="802"/>
      <c r="B26" s="802"/>
      <c r="C26" s="802"/>
      <c r="D26" s="802"/>
      <c r="E26" s="802"/>
      <c r="F26" s="802"/>
      <c r="G26" s="802"/>
      <c r="H26" s="802"/>
      <c r="I26" s="802"/>
      <c r="J26" s="802"/>
      <c r="K26" s="802"/>
    </row>
    <row r="27" spans="1:11" ht="14.1" customHeight="1">
      <c r="A27" s="802"/>
      <c r="B27" s="802"/>
      <c r="C27" s="802"/>
      <c r="D27" s="802"/>
      <c r="E27" s="802"/>
      <c r="F27" s="802"/>
      <c r="G27" s="802"/>
      <c r="H27" s="802"/>
      <c r="I27" s="802"/>
      <c r="J27" s="802"/>
      <c r="K27" s="802"/>
    </row>
    <row r="28" spans="1:11">
      <c r="A28" s="802"/>
      <c r="B28" s="802"/>
      <c r="C28" s="802"/>
      <c r="D28" s="802"/>
      <c r="E28" s="802"/>
      <c r="F28" s="802"/>
      <c r="G28" s="802"/>
      <c r="H28" s="802"/>
      <c r="I28" s="802"/>
      <c r="J28" s="802"/>
      <c r="K28" s="802"/>
    </row>
    <row r="29" spans="1:11">
      <c r="A29" s="802"/>
      <c r="B29" s="802"/>
      <c r="C29" s="802"/>
      <c r="D29" s="802"/>
      <c r="E29" s="802"/>
      <c r="F29" s="802"/>
      <c r="G29" s="802"/>
      <c r="H29" s="802"/>
      <c r="I29" s="802"/>
      <c r="J29" s="802"/>
      <c r="K29" s="802"/>
    </row>
    <row r="30" spans="1:11">
      <c r="A30" s="802"/>
      <c r="B30" s="802"/>
      <c r="C30" s="802"/>
      <c r="D30" s="802"/>
      <c r="E30" s="802"/>
      <c r="F30" s="802"/>
      <c r="G30" s="802"/>
      <c r="H30" s="802"/>
      <c r="I30" s="802"/>
      <c r="J30" s="802"/>
      <c r="K30" s="802"/>
    </row>
    <row r="31" spans="1:11">
      <c r="A31" s="802"/>
      <c r="B31" s="802"/>
      <c r="C31" s="802"/>
      <c r="D31" s="802"/>
      <c r="E31" s="802"/>
      <c r="F31" s="802"/>
      <c r="G31" s="802"/>
      <c r="H31" s="802"/>
      <c r="I31" s="802"/>
      <c r="J31" s="802"/>
      <c r="K31" s="802"/>
    </row>
    <row r="32" spans="1:11">
      <c r="A32" s="802"/>
      <c r="B32" s="802"/>
      <c r="C32" s="802"/>
      <c r="D32" s="802"/>
      <c r="E32" s="802"/>
      <c r="F32" s="802"/>
      <c r="G32" s="802"/>
      <c r="H32" s="802"/>
      <c r="I32" s="802"/>
      <c r="J32" s="802"/>
      <c r="K32" s="80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A1:N17"/>
  <sheetViews>
    <sheetView zoomScale="85" zoomScaleNormal="85" workbookViewId="0">
      <selection activeCell="C47" sqref="C47"/>
    </sheetView>
  </sheetViews>
  <sheetFormatPr baseColWidth="10" defaultColWidth="11.44140625" defaultRowHeight="14.4"/>
  <cols>
    <col min="1" max="1" width="17.88671875" style="808" bestFit="1" customWidth="1"/>
    <col min="2" max="2" width="5.88671875" style="808" customWidth="1"/>
    <col min="3" max="3" width="106.44140625" style="808" customWidth="1"/>
    <col min="4" max="16384" width="11.44140625" style="808"/>
  </cols>
  <sheetData>
    <row r="1" spans="1:14" s="828" customFormat="1" ht="12.75" customHeight="1">
      <c r="A1" s="2626" t="s">
        <v>3049</v>
      </c>
      <c r="B1" s="820"/>
      <c r="C1" s="821"/>
      <c r="D1" s="822"/>
      <c r="E1" s="823"/>
      <c r="F1" s="823"/>
      <c r="G1" s="824"/>
      <c r="H1" s="824"/>
      <c r="I1" s="824"/>
      <c r="J1" s="825"/>
      <c r="K1" s="826"/>
      <c r="L1" s="827"/>
    </row>
    <row r="2" spans="1:14" s="828" customFormat="1" ht="35.25" customHeight="1" thickBot="1">
      <c r="A2" s="2627"/>
      <c r="B2" s="826"/>
      <c r="C2" s="829" t="s">
        <v>3050</v>
      </c>
      <c r="D2" s="830"/>
      <c r="E2" s="831"/>
      <c r="F2" s="831"/>
      <c r="G2" s="710"/>
      <c r="H2" s="710"/>
      <c r="I2" s="710"/>
      <c r="J2" s="832"/>
      <c r="K2" s="826"/>
      <c r="L2" s="827"/>
    </row>
    <row r="3" spans="1:14" s="828" customFormat="1" ht="13.2">
      <c r="A3" s="880"/>
      <c r="B3" s="833" t="s">
        <v>3051</v>
      </c>
      <c r="C3" s="834" t="s">
        <v>3052</v>
      </c>
      <c r="D3" s="830"/>
      <c r="E3" s="831"/>
      <c r="F3" s="831"/>
      <c r="G3" s="710"/>
      <c r="H3" s="710"/>
      <c r="I3" s="710"/>
      <c r="J3" s="832"/>
    </row>
    <row r="4" spans="1:14" s="840" customFormat="1" ht="101.25" customHeight="1">
      <c r="A4" s="835"/>
      <c r="B4" s="836"/>
      <c r="C4" s="881" t="s">
        <v>3053</v>
      </c>
      <c r="D4" s="837"/>
      <c r="E4" s="838"/>
      <c r="F4" s="838"/>
      <c r="G4" s="686"/>
      <c r="H4" s="686"/>
      <c r="I4" s="686"/>
      <c r="J4" s="839"/>
    </row>
    <row r="5" spans="1:14" s="847" customFormat="1" ht="21.75" customHeight="1">
      <c r="A5" s="841"/>
      <c r="B5" s="842"/>
      <c r="C5" s="843"/>
      <c r="D5" s="844"/>
      <c r="E5" s="845"/>
      <c r="F5" s="845"/>
      <c r="G5" s="712"/>
      <c r="H5" s="712"/>
      <c r="I5" s="712"/>
      <c r="J5" s="846"/>
      <c r="K5" s="826"/>
      <c r="L5" s="827"/>
      <c r="M5" s="828"/>
      <c r="N5" s="828"/>
    </row>
    <row r="6" spans="1:14" s="828" customFormat="1" ht="13.2">
      <c r="A6" s="880"/>
      <c r="B6" s="833" t="s">
        <v>3051</v>
      </c>
      <c r="C6" s="834" t="s">
        <v>3054</v>
      </c>
      <c r="D6" s="830"/>
      <c r="E6" s="831"/>
      <c r="F6" s="831"/>
      <c r="G6" s="710"/>
      <c r="H6" s="710"/>
      <c r="I6" s="710"/>
      <c r="J6" s="832"/>
    </row>
    <row r="7" spans="1:14" s="828" customFormat="1" ht="43.5" customHeight="1">
      <c r="A7" s="848"/>
      <c r="B7" s="842"/>
      <c r="C7" s="849" t="s">
        <v>3055</v>
      </c>
      <c r="D7" s="850"/>
      <c r="E7" s="845"/>
      <c r="F7" s="845"/>
      <c r="G7" s="710"/>
      <c r="H7" s="710"/>
      <c r="I7" s="710"/>
      <c r="J7" s="851"/>
    </row>
    <row r="8" spans="1:14" s="847" customFormat="1" ht="21.75" customHeight="1">
      <c r="A8" s="841"/>
      <c r="B8" s="842"/>
      <c r="C8" s="843"/>
      <c r="D8" s="844"/>
      <c r="E8" s="845"/>
      <c r="F8" s="845"/>
      <c r="G8" s="712"/>
      <c r="H8" s="712"/>
      <c r="I8" s="712"/>
      <c r="J8" s="846"/>
      <c r="K8" s="826"/>
      <c r="L8" s="827"/>
      <c r="M8" s="828"/>
      <c r="N8" s="828"/>
    </row>
    <row r="9" spans="1:14" s="828" customFormat="1" ht="13.2">
      <c r="A9" s="852"/>
      <c r="B9" s="833" t="s">
        <v>3051</v>
      </c>
      <c r="C9" s="834" t="s">
        <v>3056</v>
      </c>
      <c r="D9" s="853"/>
      <c r="E9" s="831"/>
      <c r="F9" s="831"/>
      <c r="G9" s="710"/>
      <c r="H9" s="710"/>
      <c r="I9" s="710"/>
      <c r="J9" s="832"/>
      <c r="K9" s="826"/>
      <c r="L9" s="827"/>
    </row>
    <row r="10" spans="1:14" s="847" customFormat="1" ht="57" customHeight="1">
      <c r="A10" s="854"/>
      <c r="B10" s="842"/>
      <c r="C10" s="849" t="s">
        <v>3057</v>
      </c>
      <c r="D10" s="855"/>
      <c r="E10" s="845"/>
      <c r="F10" s="845"/>
      <c r="G10" s="712"/>
      <c r="H10" s="712"/>
      <c r="I10" s="712"/>
      <c r="J10" s="713"/>
      <c r="K10" s="826"/>
      <c r="L10" s="827"/>
      <c r="M10" s="828"/>
      <c r="N10" s="828"/>
    </row>
    <row r="11" spans="1:14" s="828" customFormat="1" ht="80.25" customHeight="1">
      <c r="A11" s="852"/>
      <c r="B11" s="856"/>
      <c r="C11" s="849" t="s">
        <v>3058</v>
      </c>
      <c r="D11" s="853"/>
      <c r="E11" s="831"/>
      <c r="F11" s="831"/>
      <c r="G11" s="710"/>
      <c r="H11" s="710"/>
      <c r="I11" s="710"/>
      <c r="J11" s="832"/>
      <c r="K11" s="826"/>
      <c r="L11" s="827"/>
    </row>
    <row r="12" spans="1:14" s="863" customFormat="1" ht="110.25" customHeight="1">
      <c r="A12" s="857"/>
      <c r="B12" s="858"/>
      <c r="C12" s="849" t="s">
        <v>3059</v>
      </c>
      <c r="D12" s="859"/>
      <c r="E12" s="860"/>
      <c r="F12" s="860"/>
      <c r="G12" s="861"/>
      <c r="H12" s="861"/>
      <c r="I12" s="861"/>
      <c r="J12" s="862"/>
      <c r="K12" s="826"/>
      <c r="L12" s="827"/>
      <c r="M12" s="828"/>
      <c r="N12" s="828"/>
    </row>
    <row r="13" spans="1:14" s="828" customFormat="1" ht="33" customHeight="1">
      <c r="A13" s="852"/>
      <c r="B13" s="856"/>
      <c r="C13" s="849" t="s">
        <v>3060</v>
      </c>
      <c r="D13" s="853"/>
      <c r="E13" s="831"/>
      <c r="F13" s="831"/>
      <c r="G13" s="710"/>
      <c r="H13" s="710"/>
      <c r="I13" s="710"/>
      <c r="J13" s="832"/>
      <c r="K13" s="826"/>
      <c r="L13" s="827"/>
    </row>
    <row r="14" spans="1:14" s="828" customFormat="1" ht="26.25" customHeight="1">
      <c r="A14" s="848"/>
      <c r="B14" s="858"/>
      <c r="C14" s="849" t="s">
        <v>3061</v>
      </c>
      <c r="D14" s="864"/>
      <c r="E14" s="860"/>
      <c r="F14" s="860"/>
      <c r="G14" s="710"/>
      <c r="H14" s="710"/>
      <c r="I14" s="710"/>
      <c r="J14" s="851"/>
      <c r="K14" s="826"/>
      <c r="L14" s="827"/>
    </row>
    <row r="15" spans="1:14" s="863" customFormat="1" ht="21.75" customHeight="1">
      <c r="A15" s="857"/>
      <c r="B15" s="858"/>
      <c r="C15" s="849" t="s">
        <v>3062</v>
      </c>
      <c r="D15" s="864"/>
      <c r="E15" s="860"/>
      <c r="F15" s="860"/>
      <c r="G15" s="861"/>
      <c r="H15" s="861"/>
      <c r="I15" s="861"/>
      <c r="J15" s="862"/>
      <c r="K15" s="826"/>
      <c r="L15" s="827"/>
      <c r="M15" s="828"/>
      <c r="N15" s="828"/>
    </row>
    <row r="16" spans="1:14" s="872" customFormat="1" ht="13.2">
      <c r="A16" s="865"/>
      <c r="B16" s="866"/>
      <c r="C16" s="867"/>
      <c r="D16" s="868"/>
      <c r="E16" s="869"/>
      <c r="F16" s="869"/>
      <c r="G16" s="870"/>
      <c r="H16" s="870"/>
      <c r="I16" s="870"/>
      <c r="J16" s="871"/>
      <c r="K16" s="826"/>
      <c r="L16" s="827"/>
      <c r="M16" s="828"/>
      <c r="N16" s="828"/>
    </row>
    <row r="17" spans="1:12" s="828" customFormat="1" ht="13.8" thickBot="1">
      <c r="A17" s="873"/>
      <c r="B17" s="874"/>
      <c r="C17" s="875"/>
      <c r="D17" s="876"/>
      <c r="E17" s="877"/>
      <c r="F17" s="877"/>
      <c r="G17" s="878"/>
      <c r="H17" s="878"/>
      <c r="I17" s="878"/>
      <c r="J17" s="879"/>
      <c r="K17" s="826"/>
      <c r="L17" s="827"/>
    </row>
  </sheetData>
  <mergeCells count="1">
    <mergeCell ref="A1:A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dimension ref="B2:C59"/>
  <sheetViews>
    <sheetView workbookViewId="0">
      <selection activeCell="C18" sqref="C18"/>
    </sheetView>
  </sheetViews>
  <sheetFormatPr baseColWidth="10" defaultRowHeight="13.2"/>
  <sheetData>
    <row r="2" spans="2:3">
      <c r="B2">
        <f>(1.25-1.225)/8</f>
        <v>3.1249999999999889E-3</v>
      </c>
    </row>
    <row r="5" spans="2:3">
      <c r="C5">
        <f>1.25</f>
        <v>1.25</v>
      </c>
    </row>
    <row r="6" spans="2:3">
      <c r="C6">
        <f>C5-$B$2</f>
        <v>1.246875</v>
      </c>
    </row>
    <row r="7" spans="2:3">
      <c r="C7">
        <f>C6-$B$2</f>
        <v>1.2437499999999999</v>
      </c>
    </row>
    <row r="8" spans="2:3">
      <c r="C8">
        <f t="shared" ref="C8:C59" si="0">C7-$B$2</f>
        <v>1.2406249999999999</v>
      </c>
    </row>
    <row r="9" spans="2:3">
      <c r="C9">
        <f t="shared" si="0"/>
        <v>1.2374999999999998</v>
      </c>
    </row>
    <row r="10" spans="2:3">
      <c r="C10">
        <f t="shared" si="0"/>
        <v>1.2343749999999998</v>
      </c>
    </row>
    <row r="11" spans="2:3">
      <c r="C11">
        <f t="shared" si="0"/>
        <v>1.2312499999999997</v>
      </c>
    </row>
    <row r="12" spans="2:3">
      <c r="C12">
        <f t="shared" si="0"/>
        <v>1.2281249999999997</v>
      </c>
    </row>
    <row r="13" spans="2:3">
      <c r="C13">
        <f t="shared" si="0"/>
        <v>1.2249999999999996</v>
      </c>
    </row>
    <row r="14" spans="2:3">
      <c r="C14">
        <f t="shared" si="0"/>
        <v>1.2218749999999996</v>
      </c>
    </row>
    <row r="15" spans="2:3">
      <c r="C15">
        <f t="shared" si="0"/>
        <v>1.2187499999999996</v>
      </c>
    </row>
    <row r="16" spans="2:3">
      <c r="C16">
        <f t="shared" si="0"/>
        <v>1.2156249999999995</v>
      </c>
    </row>
    <row r="17" spans="3:3">
      <c r="C17">
        <f t="shared" si="0"/>
        <v>1.2124999999999995</v>
      </c>
    </row>
    <row r="18" spans="3:3">
      <c r="C18">
        <f t="shared" si="0"/>
        <v>1.2093749999999994</v>
      </c>
    </row>
    <row r="19" spans="3:3">
      <c r="C19">
        <f t="shared" si="0"/>
        <v>1.2062499999999994</v>
      </c>
    </row>
    <row r="20" spans="3:3">
      <c r="C20">
        <f t="shared" si="0"/>
        <v>1.2031249999999993</v>
      </c>
    </row>
    <row r="21" spans="3:3">
      <c r="C21" s="520">
        <f t="shared" si="0"/>
        <v>1.1999999999999993</v>
      </c>
    </row>
    <row r="22" spans="3:3">
      <c r="C22">
        <f t="shared" si="0"/>
        <v>1.1968749999999992</v>
      </c>
    </row>
    <row r="23" spans="3:3">
      <c r="C23">
        <f t="shared" si="0"/>
        <v>1.1937499999999992</v>
      </c>
    </row>
    <row r="24" spans="3:3">
      <c r="C24">
        <f t="shared" si="0"/>
        <v>1.1906249999999992</v>
      </c>
    </row>
    <row r="25" spans="3:3">
      <c r="C25">
        <f t="shared" si="0"/>
        <v>1.1874999999999991</v>
      </c>
    </row>
    <row r="26" spans="3:3">
      <c r="C26">
        <f t="shared" si="0"/>
        <v>1.1843749999999991</v>
      </c>
    </row>
    <row r="27" spans="3:3">
      <c r="C27">
        <f t="shared" si="0"/>
        <v>1.181249999999999</v>
      </c>
    </row>
    <row r="28" spans="3:3">
      <c r="C28">
        <f t="shared" si="0"/>
        <v>1.178124999999999</v>
      </c>
    </row>
    <row r="29" spans="3:3">
      <c r="C29">
        <f t="shared" si="0"/>
        <v>1.1749999999999989</v>
      </c>
    </row>
    <row r="30" spans="3:3">
      <c r="C30">
        <f t="shared" si="0"/>
        <v>1.1718749999999989</v>
      </c>
    </row>
    <row r="31" spans="3:3">
      <c r="C31">
        <f t="shared" si="0"/>
        <v>1.1687499999999988</v>
      </c>
    </row>
    <row r="32" spans="3:3">
      <c r="C32">
        <f t="shared" si="0"/>
        <v>1.1656249999999988</v>
      </c>
    </row>
    <row r="33" spans="3:3">
      <c r="C33">
        <f t="shared" si="0"/>
        <v>1.1624999999999988</v>
      </c>
    </row>
    <row r="34" spans="3:3">
      <c r="C34">
        <f t="shared" si="0"/>
        <v>1.1593749999999987</v>
      </c>
    </row>
    <row r="35" spans="3:3">
      <c r="C35">
        <f t="shared" si="0"/>
        <v>1.1562499999999987</v>
      </c>
    </row>
    <row r="36" spans="3:3">
      <c r="C36">
        <f t="shared" si="0"/>
        <v>1.1531249999999986</v>
      </c>
    </row>
    <row r="37" spans="3:3">
      <c r="C37">
        <f t="shared" si="0"/>
        <v>1.1499999999999986</v>
      </c>
    </row>
    <row r="38" spans="3:3">
      <c r="C38">
        <f t="shared" si="0"/>
        <v>1.1468749999999985</v>
      </c>
    </row>
    <row r="39" spans="3:3">
      <c r="C39">
        <f t="shared" si="0"/>
        <v>1.1437499999999985</v>
      </c>
    </row>
    <row r="40" spans="3:3">
      <c r="C40">
        <f t="shared" si="0"/>
        <v>1.1406249999999984</v>
      </c>
    </row>
    <row r="41" spans="3:3">
      <c r="C41">
        <f t="shared" si="0"/>
        <v>1.1374999999999984</v>
      </c>
    </row>
    <row r="42" spans="3:3">
      <c r="C42">
        <f t="shared" si="0"/>
        <v>1.1343749999999984</v>
      </c>
    </row>
    <row r="43" spans="3:3">
      <c r="C43">
        <f t="shared" si="0"/>
        <v>1.1312499999999983</v>
      </c>
    </row>
    <row r="44" spans="3:3">
      <c r="C44">
        <f t="shared" si="0"/>
        <v>1.1281249999999983</v>
      </c>
    </row>
    <row r="45" spans="3:3">
      <c r="C45">
        <f t="shared" si="0"/>
        <v>1.1249999999999982</v>
      </c>
    </row>
    <row r="46" spans="3:3">
      <c r="C46">
        <f t="shared" si="0"/>
        <v>1.1218749999999982</v>
      </c>
    </row>
    <row r="47" spans="3:3">
      <c r="C47">
        <f t="shared" si="0"/>
        <v>1.1187499999999981</v>
      </c>
    </row>
    <row r="48" spans="3:3">
      <c r="C48">
        <f t="shared" si="0"/>
        <v>1.1156249999999981</v>
      </c>
    </row>
    <row r="49" spans="3:3">
      <c r="C49">
        <f t="shared" si="0"/>
        <v>1.112499999999998</v>
      </c>
    </row>
    <row r="50" spans="3:3">
      <c r="C50">
        <f t="shared" si="0"/>
        <v>1.109374999999998</v>
      </c>
    </row>
    <row r="51" spans="3:3">
      <c r="C51">
        <f t="shared" si="0"/>
        <v>1.106249999999998</v>
      </c>
    </row>
    <row r="52" spans="3:3">
      <c r="C52">
        <f t="shared" si="0"/>
        <v>1.1031249999999979</v>
      </c>
    </row>
    <row r="53" spans="3:3">
      <c r="C53" s="520">
        <f t="shared" si="0"/>
        <v>1.0999999999999979</v>
      </c>
    </row>
    <row r="54" spans="3:3">
      <c r="C54">
        <f t="shared" si="0"/>
        <v>1.0968749999999978</v>
      </c>
    </row>
    <row r="55" spans="3:3">
      <c r="C55">
        <f t="shared" si="0"/>
        <v>1.0937499999999978</v>
      </c>
    </row>
    <row r="56" spans="3:3">
      <c r="C56">
        <f t="shared" si="0"/>
        <v>1.0906249999999977</v>
      </c>
    </row>
    <row r="57" spans="3:3">
      <c r="C57">
        <f t="shared" si="0"/>
        <v>1.0874999999999977</v>
      </c>
    </row>
    <row r="58" spans="3:3">
      <c r="C58">
        <f t="shared" si="0"/>
        <v>1.0843749999999976</v>
      </c>
    </row>
    <row r="59" spans="3:3">
      <c r="C59">
        <f t="shared" si="0"/>
        <v>1.0812499999999976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0"/>
  <dimension ref="A5:G18"/>
  <sheetViews>
    <sheetView workbookViewId="0">
      <selection activeCell="F20" sqref="F20"/>
    </sheetView>
  </sheetViews>
  <sheetFormatPr baseColWidth="10" defaultRowHeight="13.2"/>
  <cols>
    <col min="1" max="3" width="14.6640625" customWidth="1"/>
    <col min="4" max="4" width="2.44140625" customWidth="1"/>
  </cols>
  <sheetData>
    <row r="5" spans="1:7">
      <c r="A5" s="1173" t="s">
        <v>753</v>
      </c>
      <c r="B5" s="1173" t="s">
        <v>1798</v>
      </c>
      <c r="C5" s="1173" t="s">
        <v>1935</v>
      </c>
      <c r="D5" s="371"/>
      <c r="E5" s="2628" t="s">
        <v>4010</v>
      </c>
      <c r="F5" s="2629"/>
      <c r="G5" s="2629"/>
    </row>
    <row r="6" spans="1:7">
      <c r="A6" s="1174" t="s">
        <v>4002</v>
      </c>
      <c r="B6" s="1174" t="s">
        <v>4011</v>
      </c>
      <c r="C6" s="1175"/>
      <c r="E6">
        <v>2482</v>
      </c>
      <c r="F6">
        <v>503</v>
      </c>
    </row>
    <row r="7" spans="1:7">
      <c r="A7" s="1174" t="s">
        <v>4003</v>
      </c>
      <c r="B7" s="1174" t="s">
        <v>4012</v>
      </c>
      <c r="C7" s="1175"/>
      <c r="E7">
        <v>2079</v>
      </c>
      <c r="F7">
        <v>646</v>
      </c>
    </row>
    <row r="8" spans="1:7">
      <c r="A8" s="1174" t="s">
        <v>4006</v>
      </c>
      <c r="B8" s="1174" t="s">
        <v>4007</v>
      </c>
      <c r="C8" s="1175"/>
      <c r="E8">
        <v>3156</v>
      </c>
      <c r="F8">
        <v>780</v>
      </c>
    </row>
    <row r="9" spans="1:7">
      <c r="A9" s="1174" t="s">
        <v>4008</v>
      </c>
      <c r="B9" s="1174" t="s">
        <v>4009</v>
      </c>
      <c r="C9" s="1175"/>
      <c r="E9">
        <v>2224</v>
      </c>
      <c r="F9">
        <v>730</v>
      </c>
    </row>
    <row r="10" spans="1:7">
      <c r="A10" s="1174" t="s">
        <v>4014</v>
      </c>
      <c r="B10" s="1175" t="s">
        <v>270</v>
      </c>
      <c r="C10" s="1175"/>
      <c r="E10">
        <v>2259</v>
      </c>
      <c r="F10">
        <v>766</v>
      </c>
    </row>
    <row r="11" spans="1:7">
      <c r="A11" s="1174" t="s">
        <v>4013</v>
      </c>
      <c r="B11" s="1175" t="s">
        <v>273</v>
      </c>
      <c r="C11" s="1175"/>
      <c r="E11">
        <v>2265</v>
      </c>
      <c r="F11">
        <v>772</v>
      </c>
    </row>
    <row r="13" spans="1:7">
      <c r="E13" s="19"/>
    </row>
    <row r="14" spans="1:7">
      <c r="A14" s="1173" t="s">
        <v>1798</v>
      </c>
      <c r="B14" s="1173" t="s">
        <v>753</v>
      </c>
      <c r="C14" s="1173" t="s">
        <v>1935</v>
      </c>
      <c r="D14" s="371"/>
      <c r="E14" s="2628" t="s">
        <v>4010</v>
      </c>
      <c r="F14" s="2629"/>
      <c r="G14" s="2629"/>
    </row>
    <row r="15" spans="1:7">
      <c r="A15" s="1174" t="s">
        <v>4005</v>
      </c>
      <c r="B15" s="1174" t="s">
        <v>4002</v>
      </c>
      <c r="C15" s="1175"/>
    </row>
    <row r="16" spans="1:7">
      <c r="A16" s="1174" t="s">
        <v>4004</v>
      </c>
      <c r="B16" s="1174" t="s">
        <v>4003</v>
      </c>
      <c r="C16" s="1175"/>
    </row>
    <row r="17" spans="1:3">
      <c r="A17" s="1174" t="s">
        <v>4007</v>
      </c>
      <c r="B17" s="1174" t="s">
        <v>4006</v>
      </c>
      <c r="C17" s="1175"/>
    </row>
    <row r="18" spans="1:3">
      <c r="A18" s="1174" t="s">
        <v>4009</v>
      </c>
      <c r="B18" s="1174" t="s">
        <v>4008</v>
      </c>
      <c r="C18" s="1175"/>
    </row>
  </sheetData>
  <mergeCells count="2">
    <mergeCell ref="E5:G5"/>
    <mergeCell ref="E14:G1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8"/>
  <dimension ref="A1:G14147"/>
  <sheetViews>
    <sheetView topLeftCell="A4" zoomScale="85" zoomScaleNormal="85" workbookViewId="0">
      <selection activeCell="F41" sqref="F41"/>
    </sheetView>
  </sheetViews>
  <sheetFormatPr baseColWidth="10" defaultRowHeight="13.2"/>
  <cols>
    <col min="1" max="1" width="20.6640625" customWidth="1"/>
    <col min="2" max="2" width="5.33203125" style="320" customWidth="1"/>
    <col min="3" max="3" width="82.6640625" style="320" customWidth="1"/>
    <col min="4" max="4" width="15.33203125" style="320" customWidth="1"/>
    <col min="5" max="5" width="5.33203125" customWidth="1"/>
    <col min="6" max="6" width="18.6640625" customWidth="1"/>
    <col min="7" max="7" width="11.6640625" style="102" customWidth="1"/>
    <col min="8" max="12" width="11.6640625" customWidth="1"/>
  </cols>
  <sheetData>
    <row r="1" spans="1:7" ht="14.1" customHeight="1">
      <c r="E1" s="102"/>
      <c r="F1" s="102"/>
    </row>
    <row r="2" spans="1:7" ht="14.1" customHeight="1">
      <c r="A2" s="1232" t="s">
        <v>4099</v>
      </c>
      <c r="B2" s="1233"/>
      <c r="D2" s="1232" t="s">
        <v>4107</v>
      </c>
      <c r="E2" s="1233"/>
      <c r="F2" s="102"/>
    </row>
    <row r="3" spans="1:7" ht="14.1" customHeight="1">
      <c r="E3" s="102"/>
      <c r="F3" s="102"/>
    </row>
    <row r="4" spans="1:7" ht="14.1" customHeight="1">
      <c r="E4" s="102"/>
      <c r="F4" s="102"/>
    </row>
    <row r="5" spans="1:7" ht="14.1" customHeight="1">
      <c r="E5" s="102"/>
      <c r="F5" s="102"/>
    </row>
    <row r="6" spans="1:7" ht="14.1" customHeight="1">
      <c r="A6" s="1232" t="s">
        <v>4100</v>
      </c>
      <c r="B6" s="1233"/>
      <c r="D6" s="1232" t="s">
        <v>4138</v>
      </c>
      <c r="E6" s="1233"/>
      <c r="F6" s="102"/>
    </row>
    <row r="7" spans="1:7" ht="14.1" customHeight="1">
      <c r="E7" s="102"/>
      <c r="F7" s="102"/>
    </row>
    <row r="8" spans="1:7" ht="14.1" customHeight="1">
      <c r="E8" s="102"/>
      <c r="F8" s="102"/>
    </row>
    <row r="9" spans="1:7" ht="14.1" customHeight="1">
      <c r="A9" s="102"/>
      <c r="E9" s="102"/>
      <c r="F9" s="102"/>
    </row>
    <row r="10" spans="1:7" ht="14.1" customHeight="1">
      <c r="A10" s="102"/>
      <c r="E10" s="102"/>
      <c r="F10" s="102"/>
    </row>
    <row r="11" spans="1:7" s="1222" customFormat="1" ht="20.100000000000001" customHeight="1">
      <c r="A11" s="1234" t="s">
        <v>3162</v>
      </c>
      <c r="B11" s="1234"/>
      <c r="C11" s="1234"/>
      <c r="D11" s="1234" t="s">
        <v>4084</v>
      </c>
      <c r="E11" s="1234"/>
      <c r="F11" s="1234"/>
      <c r="G11" s="1235"/>
    </row>
    <row r="12" spans="1:7" ht="14.1" customHeight="1">
      <c r="A12" s="102"/>
      <c r="E12" s="102"/>
      <c r="F12" s="102"/>
    </row>
    <row r="13" spans="1:7" ht="14.1" customHeight="1">
      <c r="A13" s="1215" t="s">
        <v>4096</v>
      </c>
      <c r="B13" s="1214"/>
      <c r="D13" s="1215" t="s">
        <v>4102</v>
      </c>
      <c r="E13" s="1214"/>
    </row>
    <row r="14" spans="1:7" ht="14.1" customHeight="1">
      <c r="E14" s="102"/>
      <c r="F14" s="102"/>
    </row>
    <row r="15" spans="1:7" ht="14.1" customHeight="1">
      <c r="E15" s="102"/>
      <c r="F15" s="102"/>
    </row>
    <row r="16" spans="1:7" ht="14.1" customHeight="1">
      <c r="E16" s="102"/>
      <c r="F16" s="102"/>
    </row>
    <row r="17" spans="1:6" ht="14.1" customHeight="1">
      <c r="A17" s="1215" t="s">
        <v>4097</v>
      </c>
      <c r="B17" s="1210"/>
      <c r="D17" s="1215" t="s">
        <v>4097</v>
      </c>
      <c r="E17" s="1210"/>
    </row>
    <row r="18" spans="1:6" ht="14.1" customHeight="1">
      <c r="E18" s="102"/>
      <c r="F18" s="102"/>
    </row>
    <row r="19" spans="1:6" ht="14.1" customHeight="1">
      <c r="E19" s="102"/>
      <c r="F19" s="102"/>
    </row>
    <row r="20" spans="1:6" ht="14.1" customHeight="1">
      <c r="E20" s="102"/>
      <c r="F20" s="102"/>
    </row>
    <row r="21" spans="1:6" ht="14.1" customHeight="1">
      <c r="A21" s="1215" t="s">
        <v>4098</v>
      </c>
      <c r="B21" s="1216"/>
      <c r="D21" s="1215" t="s">
        <v>4098</v>
      </c>
      <c r="E21" s="1216"/>
    </row>
    <row r="22" spans="1:6" ht="14.1" customHeight="1">
      <c r="E22" s="102"/>
      <c r="F22" s="102"/>
    </row>
    <row r="23" spans="1:6" ht="14.1" customHeight="1">
      <c r="E23" s="102"/>
      <c r="F23" s="102"/>
    </row>
    <row r="24" spans="1:6" ht="14.1" customHeight="1">
      <c r="E24" s="102"/>
      <c r="F24" s="102"/>
    </row>
    <row r="25" spans="1:6" ht="14.1" customHeight="1">
      <c r="A25" s="1215" t="s">
        <v>4101</v>
      </c>
      <c r="B25" s="1216"/>
      <c r="D25" s="1215" t="s">
        <v>4101</v>
      </c>
      <c r="E25" s="1216"/>
    </row>
    <row r="26" spans="1:6" ht="14.1" customHeight="1">
      <c r="E26" s="102"/>
      <c r="F26" s="102"/>
    </row>
    <row r="27" spans="1:6" ht="14.1" customHeight="1">
      <c r="E27" s="102"/>
      <c r="F27" s="102"/>
    </row>
    <row r="28" spans="1:6" ht="14.1" customHeight="1">
      <c r="E28" s="102"/>
      <c r="F28" s="102"/>
    </row>
    <row r="29" spans="1:6" ht="14.1" customHeight="1">
      <c r="A29" s="102"/>
      <c r="E29" s="102"/>
      <c r="F29" s="102"/>
    </row>
    <row r="30" spans="1:6" ht="14.1" customHeight="1">
      <c r="A30" s="102"/>
      <c r="B30" s="102"/>
      <c r="C30" s="102"/>
      <c r="D30" s="102"/>
      <c r="E30" s="102"/>
      <c r="F30" s="102"/>
    </row>
    <row r="31" spans="1:6" ht="14.1" customHeight="1">
      <c r="A31" s="102"/>
      <c r="B31" s="102"/>
      <c r="C31" s="102"/>
      <c r="D31" s="102"/>
      <c r="E31" s="102"/>
      <c r="F31" s="102"/>
    </row>
    <row r="32" spans="1:6" ht="14.1" customHeight="1" thickBot="1">
      <c r="A32" s="102"/>
      <c r="B32" s="102"/>
      <c r="C32" s="102"/>
      <c r="D32" s="102"/>
      <c r="E32" s="102"/>
      <c r="F32" s="102"/>
    </row>
    <row r="33" spans="1:7" ht="14.4" customHeight="1" thickBot="1">
      <c r="A33" s="1587">
        <v>1</v>
      </c>
      <c r="B33" s="1630">
        <v>1</v>
      </c>
      <c r="C33" s="1329" t="s">
        <v>12432</v>
      </c>
      <c r="D33" s="1219">
        <v>5679</v>
      </c>
      <c r="E33" s="1289"/>
      <c r="F33" s="1289">
        <v>5679</v>
      </c>
      <c r="G33"/>
    </row>
    <row r="34" spans="1:7" ht="14.4" customHeight="1">
      <c r="A34" s="685" t="s">
        <v>3064</v>
      </c>
      <c r="B34" s="2178"/>
      <c r="C34" s="2179"/>
      <c r="D34" s="1312"/>
      <c r="E34" s="1291"/>
      <c r="F34" s="1291"/>
      <c r="G34"/>
    </row>
    <row r="35" spans="1:7" ht="14.4" customHeight="1">
      <c r="A35" s="687" t="s">
        <v>12553</v>
      </c>
      <c r="B35" s="1194">
        <v>1</v>
      </c>
      <c r="C35" s="1201" t="s">
        <v>5103</v>
      </c>
      <c r="D35" s="1220"/>
      <c r="E35" s="1171"/>
      <c r="F35" s="1171"/>
      <c r="G35"/>
    </row>
    <row r="36" spans="1:7" ht="14.4" customHeight="1">
      <c r="A36" s="687" t="s">
        <v>4136</v>
      </c>
      <c r="B36" s="1195">
        <v>3</v>
      </c>
      <c r="C36" s="1191" t="s">
        <v>7374</v>
      </c>
      <c r="D36" s="1220"/>
      <c r="E36" s="722"/>
      <c r="F36" s="722"/>
      <c r="G36"/>
    </row>
    <row r="37" spans="1:7" ht="14.4" customHeight="1">
      <c r="A37" s="687"/>
      <c r="B37" s="1195">
        <v>3</v>
      </c>
      <c r="C37" s="1191" t="s">
        <v>7375</v>
      </c>
      <c r="D37" s="1220"/>
      <c r="E37" s="722"/>
      <c r="F37" s="722"/>
      <c r="G37"/>
    </row>
    <row r="38" spans="1:7" ht="14.4" customHeight="1">
      <c r="A38" s="687" t="s">
        <v>12356</v>
      </c>
      <c r="B38" s="1199">
        <v>1</v>
      </c>
      <c r="C38" s="1205" t="s">
        <v>3366</v>
      </c>
      <c r="D38" s="1221"/>
      <c r="E38" s="1172"/>
      <c r="F38" s="1172"/>
      <c r="G38"/>
    </row>
    <row r="39" spans="1:7" ht="14.4" customHeight="1">
      <c r="A39" s="687" t="s">
        <v>3542</v>
      </c>
      <c r="B39" s="1192"/>
      <c r="C39" s="1304" t="s">
        <v>729</v>
      </c>
      <c r="D39" s="1312"/>
      <c r="E39" s="1291"/>
      <c r="F39" s="1291"/>
      <c r="G39"/>
    </row>
    <row r="40" spans="1:7" ht="14.4" customHeight="1">
      <c r="A40" s="687"/>
      <c r="B40" s="1193"/>
      <c r="C40" s="1201" t="s">
        <v>3158</v>
      </c>
      <c r="D40" s="1312"/>
      <c r="E40" s="1292"/>
      <c r="F40" s="1292"/>
      <c r="G40"/>
    </row>
    <row r="41" spans="1:7" ht="14.4" customHeight="1">
      <c r="A41" s="687"/>
      <c r="B41" s="1194">
        <v>1</v>
      </c>
      <c r="C41" s="1202" t="s">
        <v>6601</v>
      </c>
      <c r="D41" s="2194"/>
      <c r="E41" s="1292"/>
      <c r="F41" s="1292"/>
      <c r="G41"/>
    </row>
    <row r="42" spans="1:7" ht="14.4" customHeight="1">
      <c r="A42" s="687"/>
      <c r="B42" s="1193"/>
      <c r="C42" s="1202" t="s">
        <v>729</v>
      </c>
      <c r="D42" s="1220"/>
      <c r="E42" s="722"/>
      <c r="F42" s="722"/>
      <c r="G42"/>
    </row>
    <row r="43" spans="1:7" ht="14.4" customHeight="1">
      <c r="A43" s="687"/>
      <c r="B43" s="1196"/>
      <c r="C43" s="1303" t="s">
        <v>3377</v>
      </c>
      <c r="D43" s="1312"/>
      <c r="E43" s="1292"/>
      <c r="F43" s="1292"/>
      <c r="G43"/>
    </row>
    <row r="44" spans="1:7" ht="14.4" customHeight="1">
      <c r="A44" s="1767"/>
      <c r="B44" s="1193">
        <v>1</v>
      </c>
      <c r="C44" s="1202" t="s">
        <v>6600</v>
      </c>
      <c r="D44" s="1312"/>
      <c r="E44" s="1291"/>
      <c r="F44" s="1291"/>
      <c r="G44"/>
    </row>
    <row r="45" spans="1:7" ht="14.4" customHeight="1">
      <c r="A45" s="1767"/>
      <c r="B45" s="1193">
        <v>1</v>
      </c>
      <c r="C45" s="1202" t="s">
        <v>6597</v>
      </c>
      <c r="D45" s="1312"/>
      <c r="E45" s="1291"/>
      <c r="F45" s="1291"/>
      <c r="G45"/>
    </row>
    <row r="46" spans="1:7" ht="14.4" customHeight="1">
      <c r="A46" s="1767"/>
      <c r="B46" s="1193">
        <v>1</v>
      </c>
      <c r="C46" s="1202" t="s">
        <v>4310</v>
      </c>
      <c r="D46" s="1312"/>
      <c r="E46" s="1291"/>
      <c r="F46" s="1291"/>
      <c r="G46"/>
    </row>
    <row r="47" spans="1:7" ht="14.4" customHeight="1">
      <c r="A47" s="1767"/>
      <c r="B47" s="1193">
        <v>14</v>
      </c>
      <c r="C47" s="1202" t="s">
        <v>4183</v>
      </c>
      <c r="D47" s="1312"/>
      <c r="E47" s="1291"/>
      <c r="F47" s="1291"/>
      <c r="G47"/>
    </row>
    <row r="48" spans="1:7" ht="14.4" customHeight="1">
      <c r="A48" s="1767"/>
      <c r="B48" s="1193">
        <v>12</v>
      </c>
      <c r="C48" s="1202" t="s">
        <v>5319</v>
      </c>
      <c r="D48" s="1312"/>
      <c r="E48" s="1291"/>
      <c r="F48" s="1291"/>
      <c r="G48"/>
    </row>
    <row r="49" spans="1:7" ht="14.4" customHeight="1">
      <c r="A49" s="1767"/>
      <c r="B49" s="1193">
        <v>3</v>
      </c>
      <c r="C49" s="1202" t="s">
        <v>2927</v>
      </c>
      <c r="D49" s="1312"/>
      <c r="E49" s="1291"/>
      <c r="F49" s="1291"/>
      <c r="G49"/>
    </row>
    <row r="50" spans="1:7" ht="14.4" customHeight="1">
      <c r="A50" s="692"/>
      <c r="B50" s="1193"/>
      <c r="C50" s="1202" t="s">
        <v>729</v>
      </c>
      <c r="D50" s="1220"/>
      <c r="E50" s="722"/>
      <c r="F50" s="722"/>
      <c r="G50"/>
    </row>
    <row r="51" spans="1:7" ht="14.4" customHeight="1">
      <c r="A51" s="693"/>
      <c r="B51" s="1196">
        <v>1</v>
      </c>
      <c r="C51" s="1201" t="s">
        <v>12423</v>
      </c>
      <c r="D51" s="1220"/>
      <c r="E51" s="1171"/>
      <c r="F51" s="1171"/>
      <c r="G51"/>
    </row>
    <row r="52" spans="1:7" ht="14.4" customHeight="1">
      <c r="A52" s="691"/>
      <c r="B52" s="1193">
        <v>1</v>
      </c>
      <c r="C52" s="1202" t="s">
        <v>1157</v>
      </c>
      <c r="D52" s="1312"/>
      <c r="E52" s="1291"/>
      <c r="F52" s="1291"/>
      <c r="G52"/>
    </row>
    <row r="53" spans="1:7" ht="14.4" customHeight="1">
      <c r="A53" s="691"/>
      <c r="B53" s="1193">
        <v>1</v>
      </c>
      <c r="C53" s="1202" t="s">
        <v>2426</v>
      </c>
      <c r="D53" s="1312"/>
      <c r="E53" s="1291"/>
      <c r="F53" s="1291"/>
      <c r="G53"/>
    </row>
    <row r="54" spans="1:7" ht="14.4" customHeight="1">
      <c r="A54" s="691"/>
      <c r="B54" s="1193">
        <v>1</v>
      </c>
      <c r="C54" s="1202" t="s">
        <v>4660</v>
      </c>
      <c r="D54" s="1312"/>
      <c r="E54" s="1291"/>
      <c r="F54" s="1291"/>
      <c r="G54"/>
    </row>
    <row r="55" spans="1:7" ht="14.4" customHeight="1">
      <c r="A55" s="693"/>
      <c r="B55" s="1193"/>
      <c r="C55" s="1202" t="s">
        <v>729</v>
      </c>
      <c r="D55" s="1220"/>
      <c r="E55" s="722"/>
      <c r="F55" s="722"/>
      <c r="G55"/>
    </row>
    <row r="56" spans="1:7" ht="14.4" customHeight="1">
      <c r="A56" s="1767"/>
      <c r="B56" s="1193">
        <v>1</v>
      </c>
      <c r="C56" s="1304" t="s">
        <v>12444</v>
      </c>
      <c r="D56" s="1312"/>
      <c r="E56" s="1292"/>
      <c r="F56" s="1292"/>
      <c r="G56"/>
    </row>
    <row r="57" spans="1:7" ht="14.4" customHeight="1">
      <c r="A57" s="693"/>
      <c r="B57" s="1193"/>
      <c r="C57" s="1202" t="s">
        <v>729</v>
      </c>
      <c r="D57" s="1220"/>
      <c r="E57" s="722"/>
      <c r="F57" s="722"/>
      <c r="G57"/>
    </row>
    <row r="58" spans="1:7" ht="14.4" customHeight="1">
      <c r="A58" s="1767"/>
      <c r="B58" s="1193">
        <v>1</v>
      </c>
      <c r="C58" s="1304" t="s">
        <v>12364</v>
      </c>
      <c r="D58" s="1312"/>
      <c r="E58" s="1292"/>
      <c r="F58" s="1292"/>
      <c r="G58"/>
    </row>
    <row r="59" spans="1:7" ht="14.4" customHeight="1">
      <c r="A59" s="1767"/>
      <c r="B59" s="1193">
        <v>1</v>
      </c>
      <c r="C59" s="1304" t="s">
        <v>12444</v>
      </c>
      <c r="D59" s="1312"/>
      <c r="E59" s="1292"/>
      <c r="F59" s="1292"/>
      <c r="G59"/>
    </row>
    <row r="60" spans="1:7" ht="14.4" customHeight="1">
      <c r="A60" s="1767"/>
      <c r="B60" s="1193">
        <v>1</v>
      </c>
      <c r="C60" s="1304" t="s">
        <v>12474</v>
      </c>
      <c r="D60" s="1312"/>
      <c r="E60" s="1292"/>
      <c r="F60" s="1292"/>
      <c r="G60"/>
    </row>
    <row r="61" spans="1:7" ht="14.4" customHeight="1">
      <c r="A61" s="693"/>
      <c r="B61" s="1193"/>
      <c r="C61" s="1202" t="s">
        <v>729</v>
      </c>
      <c r="D61" s="1220"/>
      <c r="E61" s="722"/>
      <c r="F61" s="722"/>
      <c r="G61"/>
    </row>
    <row r="62" spans="1:7" ht="14.4" customHeight="1">
      <c r="A62" s="693"/>
      <c r="B62" s="1193">
        <v>1</v>
      </c>
      <c r="C62" s="1202" t="s">
        <v>2908</v>
      </c>
      <c r="D62" s="1122"/>
      <c r="E62" s="1295"/>
      <c r="F62" s="1295"/>
      <c r="G62"/>
    </row>
    <row r="63" spans="1:7" ht="14.4" customHeight="1">
      <c r="A63" s="693"/>
      <c r="B63" s="1193">
        <v>1</v>
      </c>
      <c r="C63" s="1202" t="s">
        <v>316</v>
      </c>
      <c r="D63" s="1122"/>
      <c r="E63" s="1295"/>
      <c r="F63" s="1295"/>
      <c r="G63"/>
    </row>
    <row r="64" spans="1:7" ht="14.4" customHeight="1">
      <c r="A64" s="693"/>
      <c r="B64" s="1193"/>
      <c r="C64" s="1202" t="s">
        <v>729</v>
      </c>
      <c r="D64" s="1220"/>
      <c r="E64" s="722"/>
      <c r="F64" s="722"/>
      <c r="G64"/>
    </row>
    <row r="65" spans="1:7" ht="14.4" customHeight="1">
      <c r="A65" s="1767"/>
      <c r="B65" s="1193"/>
      <c r="C65" s="2180" t="s">
        <v>12520</v>
      </c>
      <c r="D65" s="1312"/>
      <c r="E65" s="1292"/>
      <c r="F65" s="1292"/>
      <c r="G65"/>
    </row>
    <row r="66" spans="1:7" ht="14.4" customHeight="1">
      <c r="A66" s="1767"/>
      <c r="B66" s="1193"/>
      <c r="C66" s="2181"/>
      <c r="D66" s="1312"/>
      <c r="E66" s="1292"/>
      <c r="F66" s="1292"/>
      <c r="G66"/>
    </row>
    <row r="67" spans="1:7" ht="14.4" customHeight="1">
      <c r="A67" s="1638"/>
      <c r="B67" s="1193">
        <v>1</v>
      </c>
      <c r="C67" s="1202" t="s">
        <v>3412</v>
      </c>
      <c r="D67" s="1220"/>
      <c r="E67" s="1171"/>
      <c r="F67" s="1171"/>
      <c r="G67"/>
    </row>
    <row r="68" spans="1:7" ht="14.4" customHeight="1">
      <c r="A68" s="1638"/>
      <c r="B68" s="1193">
        <v>1</v>
      </c>
      <c r="C68" s="1202" t="s">
        <v>3413</v>
      </c>
      <c r="D68" s="1220"/>
      <c r="E68" s="1171"/>
      <c r="F68" s="1171"/>
      <c r="G68"/>
    </row>
    <row r="69" spans="1:7" ht="14.4" customHeight="1" thickBot="1">
      <c r="A69" s="910"/>
      <c r="B69" s="1636"/>
      <c r="C69" s="1631"/>
      <c r="D69" s="1641"/>
      <c r="E69" s="1632"/>
      <c r="F69" s="1632"/>
      <c r="G69"/>
    </row>
    <row r="70" spans="1:7" ht="14.4" customHeight="1" thickBot="1">
      <c r="A70" s="1989">
        <v>2</v>
      </c>
      <c r="B70" s="1630">
        <v>1</v>
      </c>
      <c r="C70" s="1329" t="s">
        <v>12438</v>
      </c>
      <c r="D70" s="1219">
        <v>3737</v>
      </c>
      <c r="E70" s="1289"/>
      <c r="F70" s="1289">
        <v>3737</v>
      </c>
      <c r="G70"/>
    </row>
    <row r="71" spans="1:7" ht="14.4" customHeight="1">
      <c r="A71" s="685" t="s">
        <v>3064</v>
      </c>
      <c r="B71" s="1192"/>
      <c r="C71" s="1302"/>
      <c r="D71" s="1312"/>
      <c r="E71" s="1291"/>
      <c r="F71" s="1291"/>
      <c r="G71"/>
    </row>
    <row r="72" spans="1:7" ht="14.4" customHeight="1">
      <c r="A72" s="687" t="s">
        <v>12553</v>
      </c>
      <c r="B72" s="1194">
        <v>1</v>
      </c>
      <c r="C72" s="1201" t="s">
        <v>5103</v>
      </c>
      <c r="D72" s="1220"/>
      <c r="E72" s="1171"/>
      <c r="F72" s="1171"/>
      <c r="G72"/>
    </row>
    <row r="73" spans="1:7" ht="14.4" customHeight="1">
      <c r="A73" s="687" t="s">
        <v>4136</v>
      </c>
      <c r="B73" s="1195">
        <v>3</v>
      </c>
      <c r="C73" s="1191" t="s">
        <v>7374</v>
      </c>
      <c r="D73" s="1220"/>
      <c r="E73" s="722"/>
      <c r="F73" s="722"/>
      <c r="G73"/>
    </row>
    <row r="74" spans="1:7" ht="14.4" customHeight="1">
      <c r="A74" s="687"/>
      <c r="B74" s="1195">
        <v>3</v>
      </c>
      <c r="C74" s="1191" t="s">
        <v>7375</v>
      </c>
      <c r="D74" s="1220"/>
      <c r="E74" s="722"/>
      <c r="F74" s="722"/>
      <c r="G74"/>
    </row>
    <row r="75" spans="1:7" ht="14.4" customHeight="1">
      <c r="A75" s="687" t="s">
        <v>12356</v>
      </c>
      <c r="B75" s="1199">
        <v>1</v>
      </c>
      <c r="C75" s="1205" t="s">
        <v>3366</v>
      </c>
      <c r="D75" s="1221"/>
      <c r="E75" s="1172"/>
      <c r="F75" s="1172"/>
      <c r="G75"/>
    </row>
    <row r="76" spans="1:7" ht="14.4" customHeight="1">
      <c r="A76" s="687" t="s">
        <v>3542</v>
      </c>
      <c r="B76" s="1194"/>
      <c r="C76" s="1218"/>
      <c r="D76" s="1220"/>
      <c r="E76" s="1171"/>
      <c r="F76" s="1171"/>
      <c r="G76"/>
    </row>
    <row r="77" spans="1:7" ht="14.4" customHeight="1">
      <c r="A77" s="687"/>
      <c r="B77" s="1195"/>
      <c r="C77" s="1629" t="s">
        <v>12368</v>
      </c>
      <c r="D77" s="1220"/>
      <c r="E77" s="722"/>
      <c r="F77" s="722"/>
      <c r="G77"/>
    </row>
    <row r="78" spans="1:7" ht="14.4" customHeight="1">
      <c r="A78" s="687"/>
      <c r="B78" s="1193"/>
      <c r="C78" s="1201" t="s">
        <v>12371</v>
      </c>
      <c r="D78" s="1312"/>
      <c r="E78" s="1292"/>
      <c r="F78" s="1292"/>
      <c r="G78"/>
    </row>
    <row r="79" spans="1:7" ht="14.4" customHeight="1">
      <c r="A79" s="687"/>
      <c r="B79" s="1193">
        <v>1</v>
      </c>
      <c r="C79" s="1202" t="s">
        <v>4310</v>
      </c>
      <c r="D79" s="1312"/>
      <c r="E79" s="1292"/>
      <c r="F79" s="1292"/>
      <c r="G79"/>
    </row>
    <row r="80" spans="1:7" ht="14.4" customHeight="1">
      <c r="A80" s="687"/>
      <c r="B80" s="1193"/>
      <c r="C80" s="1629" t="s">
        <v>12368</v>
      </c>
      <c r="D80" s="1220"/>
      <c r="E80" s="722"/>
      <c r="F80" s="722"/>
      <c r="G80"/>
    </row>
    <row r="81" spans="1:7" ht="14.4" customHeight="1">
      <c r="A81" s="687"/>
      <c r="B81" s="1196"/>
      <c r="C81" s="1201" t="s">
        <v>3063</v>
      </c>
      <c r="D81" s="1220"/>
      <c r="E81" s="1171"/>
      <c r="F81" s="1171"/>
      <c r="G81"/>
    </row>
    <row r="82" spans="1:7" ht="14.4" customHeight="1">
      <c r="A82" s="698"/>
      <c r="B82" s="1197">
        <v>1</v>
      </c>
      <c r="C82" s="1203" t="s">
        <v>12370</v>
      </c>
      <c r="D82" s="1221"/>
      <c r="E82" s="1172"/>
      <c r="F82" s="1172"/>
      <c r="G82"/>
    </row>
    <row r="83" spans="1:7" ht="14.4" customHeight="1">
      <c r="A83" s="687"/>
      <c r="B83" s="1195"/>
      <c r="C83" s="1629" t="s">
        <v>12368</v>
      </c>
      <c r="D83" s="1220"/>
      <c r="E83" s="722"/>
      <c r="F83" s="722"/>
      <c r="G83"/>
    </row>
    <row r="84" spans="1:7" ht="14.4" customHeight="1">
      <c r="A84" s="1767"/>
      <c r="B84" s="1196"/>
      <c r="C84" s="1303" t="s">
        <v>3377</v>
      </c>
      <c r="D84" s="1312"/>
      <c r="E84" s="1292"/>
      <c r="F84" s="1292"/>
      <c r="G84"/>
    </row>
    <row r="85" spans="1:7" ht="14.4" customHeight="1">
      <c r="A85" s="687"/>
      <c r="B85" s="1193">
        <v>2</v>
      </c>
      <c r="C85" s="1202" t="s">
        <v>4183</v>
      </c>
      <c r="D85" s="1312"/>
      <c r="E85" s="1292"/>
      <c r="F85" s="1292"/>
      <c r="G85"/>
    </row>
    <row r="86" spans="1:7" ht="14.4" customHeight="1">
      <c r="A86" s="692"/>
      <c r="B86" s="1193"/>
      <c r="C86" s="1202" t="s">
        <v>729</v>
      </c>
      <c r="D86" s="1220"/>
      <c r="E86" s="722"/>
      <c r="F86" s="722"/>
      <c r="G86"/>
    </row>
    <row r="87" spans="1:7" ht="14.4" customHeight="1">
      <c r="A87" s="693"/>
      <c r="B87" s="1196"/>
      <c r="C87" s="1201" t="s">
        <v>3063</v>
      </c>
      <c r="D87" s="1220"/>
      <c r="E87" s="1171"/>
      <c r="F87" s="1171"/>
      <c r="G87"/>
    </row>
    <row r="88" spans="1:7" ht="14.4" customHeight="1">
      <c r="A88" s="691"/>
      <c r="B88" s="1193">
        <v>1</v>
      </c>
      <c r="C88" s="1202" t="s">
        <v>4183</v>
      </c>
      <c r="D88" s="1312"/>
      <c r="E88" s="1291"/>
      <c r="F88" s="1291"/>
      <c r="G88"/>
    </row>
    <row r="89" spans="1:7" ht="14.4" customHeight="1">
      <c r="A89" s="691"/>
      <c r="B89" s="1193">
        <v>2</v>
      </c>
      <c r="C89" s="1202" t="s">
        <v>6449</v>
      </c>
      <c r="D89" s="1312"/>
      <c r="E89" s="1291"/>
      <c r="F89" s="1291"/>
      <c r="G89"/>
    </row>
    <row r="90" spans="1:7" ht="14.4" customHeight="1">
      <c r="A90" s="692"/>
      <c r="B90" s="1193"/>
      <c r="C90" s="1629" t="s">
        <v>12368</v>
      </c>
      <c r="D90" s="1220"/>
      <c r="E90" s="722"/>
      <c r="F90" s="722"/>
      <c r="G90"/>
    </row>
    <row r="91" spans="1:7" ht="14.4" customHeight="1">
      <c r="A91" s="693"/>
      <c r="B91" s="1196"/>
      <c r="C91" s="1201" t="s">
        <v>3063</v>
      </c>
      <c r="D91" s="1220"/>
      <c r="E91" s="1171"/>
      <c r="F91" s="1171"/>
      <c r="G91"/>
    </row>
    <row r="92" spans="1:7" ht="14.4" customHeight="1">
      <c r="A92" s="698"/>
      <c r="B92" s="1197">
        <v>1</v>
      </c>
      <c r="C92" s="1203" t="s">
        <v>12372</v>
      </c>
      <c r="D92" s="1221"/>
      <c r="E92" s="1172"/>
      <c r="F92" s="1172"/>
      <c r="G92"/>
    </row>
    <row r="93" spans="1:7" ht="14.4" customHeight="1">
      <c r="A93" s="687"/>
      <c r="B93" s="1195"/>
      <c r="C93" s="1629" t="s">
        <v>12368</v>
      </c>
      <c r="D93" s="1220"/>
      <c r="E93" s="722"/>
      <c r="F93" s="722"/>
      <c r="G93"/>
    </row>
    <row r="94" spans="1:7" ht="14.4" customHeight="1">
      <c r="A94" s="687"/>
      <c r="B94" s="1193"/>
      <c r="C94" s="1201" t="s">
        <v>12373</v>
      </c>
      <c r="D94" s="1312"/>
      <c r="E94" s="1292"/>
      <c r="F94" s="1292"/>
      <c r="G94"/>
    </row>
    <row r="95" spans="1:7" ht="14.4" customHeight="1">
      <c r="A95" s="687"/>
      <c r="B95" s="1193"/>
      <c r="C95" s="1629" t="s">
        <v>12368</v>
      </c>
      <c r="D95" s="1220"/>
      <c r="E95" s="722"/>
      <c r="F95" s="722"/>
      <c r="G95"/>
    </row>
    <row r="96" spans="1:7" ht="14.4" customHeight="1">
      <c r="A96" s="687"/>
      <c r="B96" s="1194">
        <v>1</v>
      </c>
      <c r="C96" s="1201" t="s">
        <v>12369</v>
      </c>
      <c r="D96" s="1220"/>
      <c r="E96" s="1171"/>
      <c r="F96" s="1171"/>
      <c r="G96"/>
    </row>
    <row r="97" spans="1:7" ht="14.4" customHeight="1">
      <c r="A97" s="698"/>
      <c r="B97" s="1195">
        <v>2</v>
      </c>
      <c r="C97" s="1191" t="s">
        <v>4183</v>
      </c>
      <c r="D97" s="1220"/>
      <c r="E97" s="722"/>
      <c r="F97" s="722"/>
      <c r="G97"/>
    </row>
    <row r="98" spans="1:7" ht="14.4" customHeight="1">
      <c r="A98" s="687"/>
      <c r="B98" s="1199">
        <v>1</v>
      </c>
      <c r="C98" s="1191" t="s">
        <v>5955</v>
      </c>
      <c r="D98" s="1221"/>
      <c r="E98" s="1172"/>
      <c r="F98" s="1172"/>
      <c r="G98"/>
    </row>
    <row r="99" spans="1:7" ht="14.4" customHeight="1">
      <c r="A99" s="687"/>
      <c r="B99" s="1193"/>
      <c r="C99" s="1629" t="s">
        <v>12368</v>
      </c>
      <c r="D99" s="1220"/>
      <c r="E99" s="722"/>
      <c r="F99" s="722"/>
      <c r="G99"/>
    </row>
    <row r="100" spans="1:7" ht="14.4" customHeight="1">
      <c r="A100" s="687"/>
      <c r="B100" s="1196"/>
      <c r="C100" s="1303" t="s">
        <v>2654</v>
      </c>
      <c r="D100" s="1312"/>
      <c r="E100" s="1292"/>
      <c r="F100" s="1292"/>
      <c r="G100"/>
    </row>
    <row r="101" spans="1:7" ht="14.4" customHeight="1">
      <c r="A101" s="687"/>
      <c r="B101" s="1193">
        <v>3</v>
      </c>
      <c r="C101" s="1202" t="s">
        <v>4183</v>
      </c>
      <c r="D101" s="1312"/>
      <c r="E101" s="1292"/>
      <c r="F101" s="1292"/>
      <c r="G101"/>
    </row>
    <row r="102" spans="1:7" ht="14.4" customHeight="1">
      <c r="A102" s="687"/>
      <c r="B102" s="1193">
        <v>3</v>
      </c>
      <c r="C102" s="1202" t="s">
        <v>2043</v>
      </c>
      <c r="D102" s="1312"/>
      <c r="E102" s="1292"/>
      <c r="F102" s="1292"/>
      <c r="G102"/>
    </row>
    <row r="103" spans="1:7" ht="14.4" customHeight="1">
      <c r="A103" s="687"/>
      <c r="B103" s="1193">
        <v>1</v>
      </c>
      <c r="C103" s="1202" t="s">
        <v>2927</v>
      </c>
      <c r="D103" s="1312"/>
      <c r="E103" s="1292"/>
      <c r="F103" s="1292"/>
      <c r="G103"/>
    </row>
    <row r="104" spans="1:7" ht="14.4" customHeight="1">
      <c r="A104" s="693"/>
      <c r="B104" s="1193"/>
      <c r="C104" s="1202" t="s">
        <v>729</v>
      </c>
      <c r="D104" s="1220"/>
      <c r="E104" s="722"/>
      <c r="F104" s="722"/>
      <c r="G104"/>
    </row>
    <row r="105" spans="1:7" ht="14.4" customHeight="1">
      <c r="A105" s="1767"/>
      <c r="B105" s="1193">
        <v>1</v>
      </c>
      <c r="C105" s="1304" t="s">
        <v>12364</v>
      </c>
      <c r="D105" s="1312"/>
      <c r="E105" s="1292"/>
      <c r="F105" s="1292"/>
      <c r="G105"/>
    </row>
    <row r="106" spans="1:7" ht="14.4" customHeight="1">
      <c r="A106" s="1767"/>
      <c r="B106" s="1193">
        <v>1</v>
      </c>
      <c r="C106" s="1304" t="s">
        <v>12474</v>
      </c>
      <c r="D106" s="1312"/>
      <c r="E106" s="1292"/>
      <c r="F106" s="1292"/>
      <c r="G106"/>
    </row>
    <row r="107" spans="1:7" ht="14.4" customHeight="1">
      <c r="A107" s="693"/>
      <c r="B107" s="1193"/>
      <c r="C107" s="1202" t="s">
        <v>729</v>
      </c>
      <c r="D107" s="1220"/>
      <c r="E107" s="722"/>
      <c r="F107" s="722"/>
      <c r="G107"/>
    </row>
    <row r="108" spans="1:7" ht="14.4" customHeight="1">
      <c r="A108" s="2192"/>
      <c r="B108" s="1193">
        <v>1</v>
      </c>
      <c r="C108" s="1202" t="s">
        <v>2910</v>
      </c>
      <c r="D108" s="1640"/>
      <c r="E108" s="722"/>
      <c r="F108" s="722"/>
      <c r="G108"/>
    </row>
    <row r="109" spans="1:7" ht="14.4" customHeight="1">
      <c r="A109" s="693"/>
      <c r="B109" s="1193">
        <v>1</v>
      </c>
      <c r="C109" s="1202" t="s">
        <v>316</v>
      </c>
      <c r="D109" s="1122"/>
      <c r="E109" s="1295"/>
      <c r="F109" s="1295"/>
      <c r="G109"/>
    </row>
    <row r="110" spans="1:7" ht="14.4" customHeight="1" thickBot="1">
      <c r="A110" s="2013"/>
      <c r="B110" s="2182"/>
      <c r="C110" s="1631"/>
      <c r="D110" s="1641"/>
      <c r="E110" s="1632"/>
      <c r="F110" s="1632"/>
      <c r="G110"/>
    </row>
    <row r="111" spans="1:7" ht="14.4" customHeight="1" thickBot="1">
      <c r="A111" s="1587">
        <v>3</v>
      </c>
      <c r="B111" s="1630">
        <v>1</v>
      </c>
      <c r="C111" s="1329" t="s">
        <v>12431</v>
      </c>
      <c r="D111" s="1219">
        <v>2535</v>
      </c>
      <c r="E111" s="1289"/>
      <c r="F111" s="1289">
        <v>2535</v>
      </c>
      <c r="G111"/>
    </row>
    <row r="112" spans="1:7" ht="14.4" customHeight="1">
      <c r="A112" s="685" t="s">
        <v>3064</v>
      </c>
      <c r="B112" s="2178"/>
      <c r="C112" s="2179"/>
      <c r="D112" s="1312"/>
      <c r="E112" s="1291"/>
      <c r="F112" s="1291"/>
      <c r="G112"/>
    </row>
    <row r="113" spans="1:7" ht="14.4" customHeight="1">
      <c r="A113" s="687" t="s">
        <v>12553</v>
      </c>
      <c r="B113" s="1194">
        <v>1</v>
      </c>
      <c r="C113" s="1201" t="s">
        <v>5103</v>
      </c>
      <c r="D113" s="1220"/>
      <c r="E113" s="1171"/>
      <c r="F113" s="1171"/>
      <c r="G113"/>
    </row>
    <row r="114" spans="1:7" ht="14.4" customHeight="1">
      <c r="A114" s="687" t="s">
        <v>4136</v>
      </c>
      <c r="B114" s="1195">
        <v>3</v>
      </c>
      <c r="C114" s="1191" t="s">
        <v>7374</v>
      </c>
      <c r="D114" s="1220"/>
      <c r="E114" s="722"/>
      <c r="F114" s="722"/>
      <c r="G114"/>
    </row>
    <row r="115" spans="1:7" ht="14.4" customHeight="1">
      <c r="A115" s="687"/>
      <c r="B115" s="1195">
        <v>3</v>
      </c>
      <c r="C115" s="1191" t="s">
        <v>7375</v>
      </c>
      <c r="D115" s="1220"/>
      <c r="E115" s="722"/>
      <c r="F115" s="722"/>
      <c r="G115"/>
    </row>
    <row r="116" spans="1:7" ht="14.4" customHeight="1">
      <c r="A116" s="687" t="s">
        <v>12356</v>
      </c>
      <c r="B116" s="1199">
        <v>1</v>
      </c>
      <c r="C116" s="1205" t="s">
        <v>3366</v>
      </c>
      <c r="D116" s="1221"/>
      <c r="E116" s="1172"/>
      <c r="F116" s="1172"/>
      <c r="G116"/>
    </row>
    <row r="117" spans="1:7" ht="14.4" customHeight="1">
      <c r="A117" s="687" t="s">
        <v>3542</v>
      </c>
      <c r="B117" s="1194"/>
      <c r="C117" s="1218"/>
      <c r="D117" s="1220"/>
      <c r="E117" s="1171"/>
      <c r="F117" s="1171"/>
      <c r="G117"/>
    </row>
    <row r="118" spans="1:7" ht="14.4" customHeight="1">
      <c r="A118" s="687"/>
      <c r="B118" s="1195"/>
      <c r="C118" s="1629" t="s">
        <v>12368</v>
      </c>
      <c r="D118" s="1220"/>
      <c r="E118" s="722"/>
      <c r="F118" s="722"/>
      <c r="G118"/>
    </row>
    <row r="119" spans="1:7" ht="14.4" customHeight="1">
      <c r="A119" s="1767"/>
      <c r="B119" s="1193"/>
      <c r="C119" s="1201" t="s">
        <v>3158</v>
      </c>
      <c r="D119" s="1312"/>
      <c r="E119" s="1292"/>
      <c r="F119" s="1292"/>
      <c r="G119"/>
    </row>
    <row r="120" spans="1:7" ht="14.4" customHeight="1">
      <c r="A120" s="687"/>
      <c r="B120" s="1193">
        <v>1</v>
      </c>
      <c r="C120" s="1202" t="s">
        <v>6600</v>
      </c>
      <c r="D120" s="1312"/>
      <c r="E120" s="1292"/>
      <c r="F120" s="1292"/>
      <c r="G120"/>
    </row>
    <row r="121" spans="1:7" ht="14.4" customHeight="1">
      <c r="A121" s="687"/>
      <c r="B121" s="1193"/>
      <c r="C121" s="1202" t="s">
        <v>729</v>
      </c>
      <c r="D121" s="1220"/>
      <c r="E121" s="722"/>
      <c r="F121" s="722"/>
      <c r="G121"/>
    </row>
    <row r="122" spans="1:7" ht="14.4" customHeight="1">
      <c r="A122" s="687"/>
      <c r="B122" s="1196"/>
      <c r="C122" s="1303" t="s">
        <v>3377</v>
      </c>
      <c r="D122" s="1312"/>
      <c r="E122" s="1292"/>
      <c r="F122" s="1292"/>
      <c r="G122"/>
    </row>
    <row r="123" spans="1:7" ht="14.4" customHeight="1">
      <c r="A123" s="1767"/>
      <c r="B123" s="1193">
        <v>8</v>
      </c>
      <c r="C123" s="1202" t="s">
        <v>4184</v>
      </c>
      <c r="D123" s="1312"/>
      <c r="E123" s="1291"/>
      <c r="F123" s="1291"/>
      <c r="G123"/>
    </row>
    <row r="124" spans="1:7" ht="14.4" customHeight="1">
      <c r="A124" s="1767"/>
      <c r="B124" s="1193">
        <v>3</v>
      </c>
      <c r="C124" s="1202" t="s">
        <v>4183</v>
      </c>
      <c r="D124" s="1312"/>
      <c r="E124" s="1291"/>
      <c r="F124" s="1291"/>
      <c r="G124"/>
    </row>
    <row r="125" spans="1:7" ht="14.4" customHeight="1">
      <c r="A125" s="1767"/>
      <c r="B125" s="1193">
        <v>1</v>
      </c>
      <c r="C125" s="1304" t="s">
        <v>2925</v>
      </c>
      <c r="D125" s="1312"/>
      <c r="E125" s="1292"/>
      <c r="F125" s="1292"/>
      <c r="G125"/>
    </row>
    <row r="126" spans="1:7" ht="14.4" customHeight="1">
      <c r="A126" s="693"/>
      <c r="B126" s="1193"/>
      <c r="C126" s="1202" t="s">
        <v>729</v>
      </c>
      <c r="D126" s="1220"/>
      <c r="E126" s="722"/>
      <c r="F126" s="722"/>
      <c r="G126"/>
    </row>
    <row r="127" spans="1:7" ht="14.4" customHeight="1">
      <c r="A127" s="1767"/>
      <c r="B127" s="1193">
        <v>1</v>
      </c>
      <c r="C127" s="1304" t="s">
        <v>12364</v>
      </c>
      <c r="D127" s="1312"/>
      <c r="E127" s="1292"/>
      <c r="F127" s="1292"/>
      <c r="G127"/>
    </row>
    <row r="128" spans="1:7" ht="14.4" customHeight="1">
      <c r="A128" s="1767"/>
      <c r="B128" s="1193">
        <v>1</v>
      </c>
      <c r="C128" s="1304" t="s">
        <v>12474</v>
      </c>
      <c r="D128" s="1312"/>
      <c r="E128" s="1292"/>
      <c r="F128" s="1292"/>
      <c r="G128"/>
    </row>
    <row r="129" spans="1:7" ht="14.4" customHeight="1">
      <c r="A129" s="693"/>
      <c r="B129" s="1193"/>
      <c r="C129" s="1202" t="s">
        <v>729</v>
      </c>
      <c r="D129" s="1220"/>
      <c r="E129" s="722"/>
      <c r="F129" s="722"/>
      <c r="G129"/>
    </row>
    <row r="130" spans="1:7" ht="14.4" customHeight="1">
      <c r="A130" s="693"/>
      <c r="B130" s="1193">
        <v>1</v>
      </c>
      <c r="C130" s="1202" t="s">
        <v>2908</v>
      </c>
      <c r="D130" s="1122"/>
      <c r="E130" s="1295"/>
      <c r="F130" s="1295"/>
      <c r="G130"/>
    </row>
    <row r="131" spans="1:7" ht="14.4" customHeight="1">
      <c r="A131" s="693"/>
      <c r="B131" s="1193">
        <v>1</v>
      </c>
      <c r="C131" s="1202" t="s">
        <v>316</v>
      </c>
      <c r="D131" s="1122"/>
      <c r="E131" s="1295"/>
      <c r="F131" s="1295"/>
      <c r="G131"/>
    </row>
    <row r="132" spans="1:7" ht="14.4" customHeight="1" thickBot="1">
      <c r="A132" s="1855"/>
      <c r="B132" s="2182"/>
      <c r="C132" s="1631"/>
      <c r="D132" s="1641"/>
      <c r="E132" s="1632"/>
      <c r="F132" s="1632"/>
      <c r="G132"/>
    </row>
    <row r="133" spans="1:7" ht="14.4" customHeight="1" thickBot="1">
      <c r="A133" s="1587">
        <v>4</v>
      </c>
      <c r="B133" s="1630">
        <v>1</v>
      </c>
      <c r="C133" s="1329" t="s">
        <v>12569</v>
      </c>
      <c r="D133" s="1219">
        <v>17040</v>
      </c>
      <c r="E133" s="1289"/>
      <c r="F133" s="1289">
        <v>17040</v>
      </c>
      <c r="G133"/>
    </row>
    <row r="134" spans="1:7" ht="14.4" customHeight="1">
      <c r="A134" s="685" t="s">
        <v>3162</v>
      </c>
      <c r="B134" s="2178"/>
      <c r="C134" s="2179"/>
      <c r="D134" s="1312"/>
      <c r="E134" s="1291"/>
      <c r="F134" s="1291"/>
      <c r="G134"/>
    </row>
    <row r="135" spans="1:7" ht="14.4" customHeight="1">
      <c r="A135" s="687" t="s">
        <v>12553</v>
      </c>
      <c r="B135" s="1194">
        <v>1</v>
      </c>
      <c r="C135" s="1201" t="s">
        <v>5103</v>
      </c>
      <c r="D135" s="1220"/>
      <c r="E135" s="1171"/>
      <c r="F135" s="1171"/>
      <c r="G135"/>
    </row>
    <row r="136" spans="1:7" ht="14.4" customHeight="1">
      <c r="A136" s="687" t="s">
        <v>4136</v>
      </c>
      <c r="B136" s="1195">
        <v>3</v>
      </c>
      <c r="C136" s="1191" t="s">
        <v>7374</v>
      </c>
      <c r="D136" s="1220"/>
      <c r="E136" s="722"/>
      <c r="F136" s="722"/>
      <c r="G136"/>
    </row>
    <row r="137" spans="1:7" ht="14.4" customHeight="1">
      <c r="A137" s="687"/>
      <c r="B137" s="1195">
        <v>3</v>
      </c>
      <c r="C137" s="1191" t="s">
        <v>7375</v>
      </c>
      <c r="D137" s="1220"/>
      <c r="E137" s="722"/>
      <c r="F137" s="722"/>
      <c r="G137"/>
    </row>
    <row r="138" spans="1:7" ht="14.4" customHeight="1">
      <c r="A138" s="687" t="s">
        <v>12356</v>
      </c>
      <c r="B138" s="1199">
        <v>1</v>
      </c>
      <c r="C138" s="1205" t="s">
        <v>3366</v>
      </c>
      <c r="D138" s="1221"/>
      <c r="E138" s="1172"/>
      <c r="F138" s="1172"/>
      <c r="G138"/>
    </row>
    <row r="139" spans="1:7" ht="14.4" customHeight="1">
      <c r="A139" s="687" t="s">
        <v>3542</v>
      </c>
      <c r="B139" s="1194"/>
      <c r="C139" s="1218"/>
      <c r="D139" s="1220"/>
      <c r="E139" s="1171"/>
      <c r="F139" s="1171"/>
      <c r="G139"/>
    </row>
    <row r="140" spans="1:7" ht="14.4" customHeight="1">
      <c r="A140" s="687"/>
      <c r="B140" s="1195"/>
      <c r="C140" s="1629" t="s">
        <v>12368</v>
      </c>
      <c r="D140" s="1220"/>
      <c r="E140" s="722"/>
      <c r="F140" s="722"/>
      <c r="G140"/>
    </row>
    <row r="141" spans="1:7" ht="14.4" customHeight="1">
      <c r="A141" s="687"/>
      <c r="B141" s="1192">
        <v>6</v>
      </c>
      <c r="C141" s="1202" t="s">
        <v>8588</v>
      </c>
      <c r="D141" s="1312"/>
      <c r="E141" s="1291"/>
      <c r="F141" s="1291"/>
      <c r="G141"/>
    </row>
    <row r="142" spans="1:7" ht="14.4" customHeight="1">
      <c r="A142" s="1767"/>
      <c r="B142" s="1193"/>
      <c r="C142" s="1201" t="s">
        <v>3158</v>
      </c>
      <c r="D142" s="1312"/>
      <c r="E142" s="1292"/>
      <c r="F142" s="1292"/>
      <c r="G142"/>
    </row>
    <row r="143" spans="1:7" ht="14.4" customHeight="1">
      <c r="A143" s="687"/>
      <c r="B143" s="1193">
        <v>1</v>
      </c>
      <c r="C143" s="1202" t="s">
        <v>4434</v>
      </c>
      <c r="D143" s="1312"/>
      <c r="E143" s="1292"/>
      <c r="F143" s="1292"/>
      <c r="G143"/>
    </row>
    <row r="144" spans="1:7" ht="14.4" customHeight="1">
      <c r="A144" s="687"/>
      <c r="B144" s="1193"/>
      <c r="C144" s="1202" t="s">
        <v>729</v>
      </c>
      <c r="D144" s="1220"/>
      <c r="E144" s="722"/>
      <c r="F144" s="722"/>
      <c r="G144"/>
    </row>
    <row r="145" spans="1:7" ht="14.4" customHeight="1">
      <c r="A145" s="693"/>
      <c r="B145" s="1294">
        <v>1</v>
      </c>
      <c r="C145" s="1303" t="s">
        <v>12618</v>
      </c>
      <c r="D145" s="1220"/>
      <c r="E145" s="722"/>
      <c r="F145" s="722"/>
      <c r="G145"/>
    </row>
    <row r="146" spans="1:7" ht="14.4" customHeight="1">
      <c r="A146" s="692"/>
      <c r="B146" s="1199">
        <v>1</v>
      </c>
      <c r="C146" s="1205" t="s">
        <v>3378</v>
      </c>
      <c r="D146" s="1221"/>
      <c r="E146" s="1172"/>
      <c r="F146" s="1172"/>
      <c r="G146"/>
    </row>
    <row r="147" spans="1:7" ht="14.4" customHeight="1">
      <c r="A147" s="687"/>
      <c r="B147" s="1195">
        <v>1</v>
      </c>
      <c r="C147" s="1191" t="s">
        <v>3519</v>
      </c>
      <c r="D147" s="1220"/>
      <c r="E147" s="1171"/>
      <c r="F147" s="1171"/>
      <c r="G147"/>
    </row>
    <row r="148" spans="1:7" ht="14.4" customHeight="1">
      <c r="A148" s="687"/>
      <c r="B148" s="1195">
        <v>1</v>
      </c>
      <c r="C148" s="1191" t="s">
        <v>6734</v>
      </c>
      <c r="D148" s="1220"/>
      <c r="E148" s="1171"/>
      <c r="F148" s="1171"/>
      <c r="G148"/>
    </row>
    <row r="149" spans="1:7" ht="14.4" customHeight="1">
      <c r="A149" s="687"/>
      <c r="B149" s="1195">
        <v>1</v>
      </c>
      <c r="C149" s="1191" t="s">
        <v>7374</v>
      </c>
      <c r="D149" s="1220"/>
      <c r="E149" s="1171"/>
      <c r="F149" s="1171"/>
      <c r="G149"/>
    </row>
    <row r="150" spans="1:7" ht="14.4" customHeight="1">
      <c r="A150" s="687"/>
      <c r="B150" s="1195">
        <v>1</v>
      </c>
      <c r="C150" s="1191" t="s">
        <v>7375</v>
      </c>
      <c r="D150" s="1220"/>
      <c r="E150" s="1171"/>
      <c r="F150" s="1171"/>
      <c r="G150"/>
    </row>
    <row r="151" spans="1:7" ht="14.4" customHeight="1">
      <c r="A151" s="687"/>
      <c r="B151" s="1195">
        <v>1</v>
      </c>
      <c r="C151" s="1191" t="s">
        <v>2436</v>
      </c>
      <c r="D151" s="1220"/>
      <c r="E151" s="1171"/>
      <c r="F151" s="1171"/>
      <c r="G151"/>
    </row>
    <row r="152" spans="1:7" ht="14.4" customHeight="1">
      <c r="A152" s="687"/>
      <c r="B152" s="1195">
        <v>1</v>
      </c>
      <c r="C152" s="1191" t="s">
        <v>4660</v>
      </c>
      <c r="D152" s="1220"/>
      <c r="E152" s="1171"/>
      <c r="F152" s="1171"/>
      <c r="G152"/>
    </row>
    <row r="153" spans="1:7" ht="14.4" customHeight="1">
      <c r="A153" s="1208"/>
      <c r="B153" s="1199">
        <v>1</v>
      </c>
      <c r="C153" s="1205" t="s">
        <v>3379</v>
      </c>
      <c r="D153" s="1221"/>
      <c r="E153" s="1172"/>
      <c r="F153" s="1172"/>
      <c r="G153"/>
    </row>
    <row r="154" spans="1:7" ht="14.4" customHeight="1">
      <c r="A154" s="1767"/>
      <c r="B154" s="1193"/>
      <c r="C154" s="1202" t="s">
        <v>729</v>
      </c>
      <c r="D154" s="1220"/>
      <c r="E154" s="722"/>
      <c r="F154" s="722"/>
      <c r="G154"/>
    </row>
    <row r="155" spans="1:7" ht="14.4" customHeight="1">
      <c r="A155" s="687"/>
      <c r="B155" s="1193"/>
      <c r="C155" s="1627" t="s">
        <v>11663</v>
      </c>
      <c r="D155" s="1312"/>
      <c r="E155" s="722"/>
      <c r="F155" s="722"/>
      <c r="G155"/>
    </row>
    <row r="156" spans="1:7" ht="14.4" customHeight="1">
      <c r="A156" s="687"/>
      <c r="B156" s="1193">
        <v>1</v>
      </c>
      <c r="C156" s="1202" t="s">
        <v>12165</v>
      </c>
      <c r="D156" s="1312"/>
      <c r="E156" s="722"/>
      <c r="F156" s="722"/>
      <c r="G156"/>
    </row>
    <row r="157" spans="1:7" ht="14.4" customHeight="1">
      <c r="A157" s="687"/>
      <c r="B157" s="1193">
        <v>3</v>
      </c>
      <c r="C157" s="1202" t="s">
        <v>1822</v>
      </c>
      <c r="D157" s="1312"/>
      <c r="E157" s="722"/>
      <c r="F157" s="722"/>
      <c r="G157"/>
    </row>
    <row r="158" spans="1:7" ht="14.4" customHeight="1">
      <c r="A158" s="687"/>
      <c r="B158" s="1193">
        <v>5</v>
      </c>
      <c r="C158" s="1202" t="s">
        <v>8288</v>
      </c>
      <c r="D158" s="1312"/>
      <c r="E158" s="722"/>
      <c r="F158" s="722"/>
      <c r="G158"/>
    </row>
    <row r="159" spans="1:7" ht="14.4" customHeight="1">
      <c r="A159" s="687"/>
      <c r="B159" s="1193">
        <v>6</v>
      </c>
      <c r="C159" s="1202" t="s">
        <v>8275</v>
      </c>
      <c r="D159" s="1312"/>
      <c r="E159" s="722"/>
      <c r="F159" s="722"/>
      <c r="G159"/>
    </row>
    <row r="160" spans="1:7" ht="14.4" customHeight="1">
      <c r="A160" s="693"/>
      <c r="B160" s="1193"/>
      <c r="C160" s="1202" t="s">
        <v>729</v>
      </c>
      <c r="D160" s="1220"/>
      <c r="E160" s="722"/>
      <c r="F160" s="722"/>
      <c r="G160"/>
    </row>
    <row r="161" spans="1:7" ht="14.4" customHeight="1">
      <c r="A161" s="1767"/>
      <c r="B161" s="1196"/>
      <c r="C161" s="1303" t="s">
        <v>3377</v>
      </c>
      <c r="D161" s="1312"/>
      <c r="E161" s="1292"/>
      <c r="F161" s="1292"/>
      <c r="G161"/>
    </row>
    <row r="162" spans="1:7" ht="14.4" customHeight="1">
      <c r="A162" s="1767"/>
      <c r="B162" s="1193">
        <v>1</v>
      </c>
      <c r="C162" s="1202" t="s">
        <v>4432</v>
      </c>
      <c r="D162" s="1312"/>
      <c r="E162" s="1291"/>
      <c r="F162" s="1291"/>
      <c r="G162"/>
    </row>
    <row r="163" spans="1:7" ht="14.4" customHeight="1">
      <c r="A163" s="1767"/>
      <c r="B163" s="1193">
        <v>2</v>
      </c>
      <c r="C163" s="1202" t="s">
        <v>4429</v>
      </c>
      <c r="D163" s="1312"/>
      <c r="E163" s="1291"/>
      <c r="F163" s="1291"/>
      <c r="G163"/>
    </row>
    <row r="164" spans="1:7" ht="14.4" customHeight="1">
      <c r="A164" s="1767"/>
      <c r="B164" s="1193">
        <v>2</v>
      </c>
      <c r="C164" s="1202" t="s">
        <v>4426</v>
      </c>
      <c r="D164" s="1312"/>
      <c r="E164" s="1291"/>
      <c r="F164" s="1291"/>
      <c r="G164"/>
    </row>
    <row r="165" spans="1:7" ht="14.4" customHeight="1">
      <c r="A165" s="1767"/>
      <c r="B165" s="1283">
        <v>3</v>
      </c>
      <c r="C165" s="1304" t="s">
        <v>2933</v>
      </c>
      <c r="D165" s="1312"/>
      <c r="E165" s="1291"/>
      <c r="F165" s="1291"/>
      <c r="G165"/>
    </row>
    <row r="166" spans="1:7" ht="14.4" customHeight="1">
      <c r="A166" s="693"/>
      <c r="B166" s="1193"/>
      <c r="C166" s="1202" t="s">
        <v>729</v>
      </c>
      <c r="D166" s="1220"/>
      <c r="E166" s="722"/>
      <c r="F166" s="722"/>
      <c r="G166"/>
    </row>
    <row r="167" spans="1:7" ht="14.4" customHeight="1">
      <c r="A167" s="693"/>
      <c r="B167" s="1196"/>
      <c r="C167" s="1201" t="s">
        <v>3063</v>
      </c>
      <c r="D167" s="1220"/>
      <c r="E167" s="1171"/>
      <c r="F167" s="1171"/>
      <c r="G167"/>
    </row>
    <row r="168" spans="1:7" ht="14.4" customHeight="1">
      <c r="A168" s="691"/>
      <c r="B168" s="1193">
        <v>1</v>
      </c>
      <c r="C168" s="1202" t="s">
        <v>4427</v>
      </c>
      <c r="D168" s="1312"/>
      <c r="E168" s="1291"/>
      <c r="F168" s="1291"/>
      <c r="G168"/>
    </row>
    <row r="169" spans="1:7" ht="14.4" customHeight="1">
      <c r="A169" s="691"/>
      <c r="B169" s="1193">
        <v>1</v>
      </c>
      <c r="C169" s="1202" t="s">
        <v>12358</v>
      </c>
      <c r="D169" s="1312"/>
      <c r="E169" s="1291"/>
      <c r="F169" s="1291"/>
      <c r="G169"/>
    </row>
    <row r="170" spans="1:7" ht="14.4" customHeight="1">
      <c r="A170" s="693"/>
      <c r="B170" s="1193"/>
      <c r="C170" s="1202" t="s">
        <v>729</v>
      </c>
      <c r="D170" s="1220"/>
      <c r="E170" s="722"/>
      <c r="F170" s="722"/>
      <c r="G170"/>
    </row>
    <row r="171" spans="1:7" ht="14.4" customHeight="1">
      <c r="A171" s="1767"/>
      <c r="B171" s="1193">
        <v>1</v>
      </c>
      <c r="C171" s="1304" t="s">
        <v>12366</v>
      </c>
      <c r="D171" s="1312"/>
      <c r="E171" s="1292"/>
      <c r="F171" s="1292"/>
      <c r="G171"/>
    </row>
    <row r="172" spans="1:7" ht="14.4" customHeight="1">
      <c r="A172" s="693"/>
      <c r="B172" s="1193"/>
      <c r="C172" s="1202" t="s">
        <v>729</v>
      </c>
      <c r="D172" s="1220"/>
      <c r="E172" s="722"/>
      <c r="F172" s="722"/>
      <c r="G172"/>
    </row>
    <row r="173" spans="1:7" ht="14.4" customHeight="1">
      <c r="A173" s="1767"/>
      <c r="B173" s="1193">
        <v>1</v>
      </c>
      <c r="C173" s="1304" t="s">
        <v>12364</v>
      </c>
      <c r="D173" s="1312"/>
      <c r="E173" s="1292"/>
      <c r="F173" s="1292"/>
      <c r="G173"/>
    </row>
    <row r="174" spans="1:7" ht="14.4" customHeight="1">
      <c r="A174" s="1767"/>
      <c r="B174" s="1193">
        <v>1</v>
      </c>
      <c r="C174" s="1304" t="s">
        <v>12363</v>
      </c>
      <c r="D174" s="1312"/>
      <c r="E174" s="1292"/>
      <c r="F174" s="1292"/>
      <c r="G174"/>
    </row>
    <row r="175" spans="1:7" ht="14.4" customHeight="1">
      <c r="A175" s="1767"/>
      <c r="B175" s="1193">
        <v>1</v>
      </c>
      <c r="C175" s="1304" t="s">
        <v>12475</v>
      </c>
      <c r="D175" s="1312"/>
      <c r="E175" s="1292"/>
      <c r="F175" s="1292"/>
      <c r="G175"/>
    </row>
    <row r="176" spans="1:7" ht="14.4" customHeight="1">
      <c r="A176" s="693"/>
      <c r="B176" s="1193"/>
      <c r="C176" s="1202" t="s">
        <v>729</v>
      </c>
      <c r="D176" s="1220"/>
      <c r="E176" s="722"/>
      <c r="F176" s="722"/>
      <c r="G176"/>
    </row>
    <row r="177" spans="1:7" ht="14.4" customHeight="1">
      <c r="A177" s="693"/>
      <c r="B177" s="1193">
        <v>1</v>
      </c>
      <c r="C177" s="1202" t="s">
        <v>316</v>
      </c>
      <c r="D177" s="1122"/>
      <c r="E177" s="1295"/>
      <c r="F177" s="1295"/>
      <c r="G177"/>
    </row>
    <row r="178" spans="1:7" ht="14.4" customHeight="1">
      <c r="A178" s="693"/>
      <c r="B178" s="1193"/>
      <c r="C178" s="1202" t="s">
        <v>729</v>
      </c>
      <c r="D178" s="1220"/>
      <c r="E178" s="722"/>
      <c r="F178" s="722"/>
      <c r="G178"/>
    </row>
    <row r="179" spans="1:7" ht="14.4" customHeight="1" thickBot="1">
      <c r="A179" s="699"/>
      <c r="B179" s="1200"/>
      <c r="C179" s="1305"/>
      <c r="D179" s="1313"/>
      <c r="E179" s="1297"/>
      <c r="F179" s="1297"/>
      <c r="G179"/>
    </row>
    <row r="180" spans="1:7" ht="14.4" customHeight="1" thickBot="1">
      <c r="A180" s="1587">
        <v>5</v>
      </c>
      <c r="B180" s="1630">
        <v>1</v>
      </c>
      <c r="C180" s="1329" t="s">
        <v>12570</v>
      </c>
      <c r="D180" s="1219">
        <v>13366</v>
      </c>
      <c r="E180" s="1289"/>
      <c r="F180" s="1289">
        <v>13366</v>
      </c>
      <c r="G180"/>
    </row>
    <row r="181" spans="1:7" ht="14.4" customHeight="1">
      <c r="A181" s="685" t="s">
        <v>3064</v>
      </c>
      <c r="B181" s="2178"/>
      <c r="C181" s="2179"/>
      <c r="D181" s="1312"/>
      <c r="E181" s="1291"/>
      <c r="F181" s="1291"/>
      <c r="G181"/>
    </row>
    <row r="182" spans="1:7" ht="14.4" customHeight="1">
      <c r="A182" s="687" t="s">
        <v>12553</v>
      </c>
      <c r="B182" s="1194">
        <v>1</v>
      </c>
      <c r="C182" s="1201" t="s">
        <v>5103</v>
      </c>
      <c r="D182" s="1220"/>
      <c r="E182" s="1171"/>
      <c r="F182" s="1171"/>
      <c r="G182"/>
    </row>
    <row r="183" spans="1:7" ht="14.4" customHeight="1">
      <c r="A183" s="687" t="s">
        <v>4136</v>
      </c>
      <c r="B183" s="1195">
        <v>3</v>
      </c>
      <c r="C183" s="1191" t="s">
        <v>7374</v>
      </c>
      <c r="D183" s="1220"/>
      <c r="E183" s="722"/>
      <c r="F183" s="722"/>
      <c r="G183"/>
    </row>
    <row r="184" spans="1:7" ht="14.4" customHeight="1">
      <c r="A184" s="687"/>
      <c r="B184" s="1195">
        <v>3</v>
      </c>
      <c r="C184" s="1191" t="s">
        <v>7375</v>
      </c>
      <c r="D184" s="1220"/>
      <c r="E184" s="722"/>
      <c r="F184" s="722"/>
      <c r="G184"/>
    </row>
    <row r="185" spans="1:7" ht="14.4" customHeight="1">
      <c r="A185" s="687" t="s">
        <v>12356</v>
      </c>
      <c r="B185" s="1199">
        <v>1</v>
      </c>
      <c r="C185" s="1205" t="s">
        <v>3366</v>
      </c>
      <c r="D185" s="1221"/>
      <c r="E185" s="1172"/>
      <c r="F185" s="1172"/>
      <c r="G185"/>
    </row>
    <row r="186" spans="1:7" ht="14.4" customHeight="1">
      <c r="A186" s="687" t="s">
        <v>3542</v>
      </c>
      <c r="B186" s="1194"/>
      <c r="C186" s="1218"/>
      <c r="D186" s="1220"/>
      <c r="E186" s="1171"/>
      <c r="F186" s="1171"/>
      <c r="G186"/>
    </row>
    <row r="187" spans="1:7" ht="14.4" customHeight="1">
      <c r="A187" s="687"/>
      <c r="B187" s="1195"/>
      <c r="C187" s="1629" t="s">
        <v>12368</v>
      </c>
      <c r="D187" s="1220"/>
      <c r="E187" s="722"/>
      <c r="F187" s="722"/>
      <c r="G187"/>
    </row>
    <row r="188" spans="1:7" ht="14.4" customHeight="1">
      <c r="A188" s="687"/>
      <c r="B188" s="1192">
        <v>6</v>
      </c>
      <c r="C188" s="1202" t="s">
        <v>8588</v>
      </c>
      <c r="D188" s="1312"/>
      <c r="E188" s="1291"/>
      <c r="F188" s="1291"/>
      <c r="G188"/>
    </row>
    <row r="189" spans="1:7" ht="14.4" customHeight="1">
      <c r="A189" s="1767"/>
      <c r="B189" s="1193"/>
      <c r="C189" s="1201" t="s">
        <v>3158</v>
      </c>
      <c r="D189" s="1312"/>
      <c r="E189" s="1292"/>
      <c r="F189" s="1292"/>
      <c r="G189"/>
    </row>
    <row r="190" spans="1:7" ht="14.4" customHeight="1">
      <c r="A190" s="687"/>
      <c r="B190" s="1193">
        <v>1</v>
      </c>
      <c r="C190" s="1202" t="s">
        <v>4426</v>
      </c>
      <c r="D190" s="1312"/>
      <c r="E190" s="1292"/>
      <c r="F190" s="1292"/>
      <c r="G190"/>
    </row>
    <row r="191" spans="1:7" ht="14.4" customHeight="1">
      <c r="A191" s="687"/>
      <c r="B191" s="1193"/>
      <c r="C191" s="1202" t="s">
        <v>729</v>
      </c>
      <c r="D191" s="1220"/>
      <c r="E191" s="722"/>
      <c r="F191" s="722"/>
      <c r="G191"/>
    </row>
    <row r="192" spans="1:7" ht="14.4" customHeight="1">
      <c r="A192" s="693"/>
      <c r="B192" s="1294">
        <v>1</v>
      </c>
      <c r="C192" s="1303" t="s">
        <v>12441</v>
      </c>
      <c r="D192" s="1220"/>
      <c r="E192" s="722"/>
      <c r="F192" s="722"/>
      <c r="G192"/>
    </row>
    <row r="193" spans="1:7" ht="14.4" customHeight="1">
      <c r="A193" s="692"/>
      <c r="B193" s="1199">
        <v>1</v>
      </c>
      <c r="C193" s="1205" t="s">
        <v>3378</v>
      </c>
      <c r="D193" s="1221"/>
      <c r="E193" s="1172"/>
      <c r="F193" s="1172"/>
      <c r="G193"/>
    </row>
    <row r="194" spans="1:7" ht="14.4" customHeight="1">
      <c r="A194" s="687"/>
      <c r="B194" s="1195">
        <v>1</v>
      </c>
      <c r="C194" s="1191" t="s">
        <v>3519</v>
      </c>
      <c r="D194" s="1220"/>
      <c r="E194" s="1171"/>
      <c r="F194" s="1171"/>
      <c r="G194"/>
    </row>
    <row r="195" spans="1:7" ht="14.4" customHeight="1">
      <c r="A195" s="687"/>
      <c r="B195" s="1195">
        <v>1</v>
      </c>
      <c r="C195" s="1191" t="s">
        <v>6734</v>
      </c>
      <c r="D195" s="1220"/>
      <c r="E195" s="1171"/>
      <c r="F195" s="1171"/>
      <c r="G195"/>
    </row>
    <row r="196" spans="1:7" ht="14.4" customHeight="1">
      <c r="A196" s="687"/>
      <c r="B196" s="1195">
        <v>1</v>
      </c>
      <c r="C196" s="1191" t="s">
        <v>7374</v>
      </c>
      <c r="D196" s="1220"/>
      <c r="E196" s="1171"/>
      <c r="F196" s="1171"/>
      <c r="G196"/>
    </row>
    <row r="197" spans="1:7" ht="14.4" customHeight="1">
      <c r="A197" s="687"/>
      <c r="B197" s="1195">
        <v>1</v>
      </c>
      <c r="C197" s="1191" t="s">
        <v>7375</v>
      </c>
      <c r="D197" s="1220"/>
      <c r="E197" s="1171"/>
      <c r="F197" s="1171"/>
      <c r="G197"/>
    </row>
    <row r="198" spans="1:7" ht="14.4" customHeight="1">
      <c r="A198" s="687"/>
      <c r="B198" s="1195">
        <v>1</v>
      </c>
      <c r="C198" s="1191" t="s">
        <v>2436</v>
      </c>
      <c r="D198" s="1220"/>
      <c r="E198" s="1171"/>
      <c r="F198" s="1171"/>
      <c r="G198"/>
    </row>
    <row r="199" spans="1:7" ht="14.4" customHeight="1">
      <c r="A199" s="687"/>
      <c r="B199" s="1195">
        <v>1</v>
      </c>
      <c r="C199" s="1191" t="s">
        <v>4660</v>
      </c>
      <c r="D199" s="1220"/>
      <c r="E199" s="1171"/>
      <c r="F199" s="1171"/>
      <c r="G199"/>
    </row>
    <row r="200" spans="1:7" ht="14.4" customHeight="1">
      <c r="A200" s="1208"/>
      <c r="B200" s="1199">
        <v>1</v>
      </c>
      <c r="C200" s="1205" t="s">
        <v>3379</v>
      </c>
      <c r="D200" s="1221"/>
      <c r="E200" s="1172"/>
      <c r="F200" s="1172"/>
      <c r="G200"/>
    </row>
    <row r="201" spans="1:7" ht="14.4" customHeight="1">
      <c r="A201" s="1767"/>
      <c r="B201" s="1193"/>
      <c r="C201" s="1202" t="s">
        <v>729</v>
      </c>
      <c r="D201" s="1220"/>
      <c r="E201" s="722"/>
      <c r="F201" s="722"/>
      <c r="G201"/>
    </row>
    <row r="202" spans="1:7" ht="14.4" customHeight="1">
      <c r="A202" s="687"/>
      <c r="B202" s="1193"/>
      <c r="C202" s="1627" t="s">
        <v>11663</v>
      </c>
      <c r="D202" s="1312"/>
      <c r="E202" s="722"/>
      <c r="F202" s="722"/>
      <c r="G202"/>
    </row>
    <row r="203" spans="1:7" ht="14.4" customHeight="1">
      <c r="A203" s="687"/>
      <c r="B203" s="1193">
        <v>1</v>
      </c>
      <c r="C203" s="1202" t="s">
        <v>12165</v>
      </c>
      <c r="D203" s="1312"/>
      <c r="E203" s="722"/>
      <c r="F203" s="722"/>
      <c r="G203"/>
    </row>
    <row r="204" spans="1:7" ht="14.4" customHeight="1">
      <c r="A204" s="687"/>
      <c r="B204" s="1193">
        <v>3</v>
      </c>
      <c r="C204" s="1202" t="s">
        <v>8261</v>
      </c>
      <c r="D204" s="1312"/>
      <c r="E204" s="722"/>
      <c r="F204" s="722"/>
      <c r="G204"/>
    </row>
    <row r="205" spans="1:7" ht="14.4" customHeight="1">
      <c r="A205" s="687"/>
      <c r="B205" s="1193">
        <v>5</v>
      </c>
      <c r="C205" s="1202" t="s">
        <v>8288</v>
      </c>
      <c r="D205" s="1312"/>
      <c r="E205" s="722"/>
      <c r="F205" s="722"/>
      <c r="G205"/>
    </row>
    <row r="206" spans="1:7" ht="14.4" customHeight="1">
      <c r="A206" s="687"/>
      <c r="B206" s="1193">
        <v>6</v>
      </c>
      <c r="C206" s="1202" t="s">
        <v>8275</v>
      </c>
      <c r="D206" s="1312"/>
      <c r="E206" s="722"/>
      <c r="F206" s="722"/>
      <c r="G206"/>
    </row>
    <row r="207" spans="1:7" ht="14.4" customHeight="1">
      <c r="A207" s="693"/>
      <c r="B207" s="1193"/>
      <c r="C207" s="1202" t="s">
        <v>729</v>
      </c>
      <c r="D207" s="1220"/>
      <c r="E207" s="722"/>
      <c r="F207" s="722"/>
      <c r="G207"/>
    </row>
    <row r="208" spans="1:7" ht="14.4" customHeight="1">
      <c r="A208" s="1767"/>
      <c r="B208" s="1196"/>
      <c r="C208" s="1303" t="s">
        <v>3377</v>
      </c>
      <c r="D208" s="1312"/>
      <c r="E208" s="1292"/>
      <c r="F208" s="1292"/>
      <c r="G208"/>
    </row>
    <row r="209" spans="1:7" ht="14.4" customHeight="1">
      <c r="A209" s="1767"/>
      <c r="B209" s="1193">
        <v>1</v>
      </c>
      <c r="C209" s="1202" t="s">
        <v>4426</v>
      </c>
      <c r="D209" s="1312"/>
      <c r="E209" s="1291"/>
      <c r="F209" s="1291"/>
      <c r="G209"/>
    </row>
    <row r="210" spans="1:7" ht="14.4" customHeight="1">
      <c r="A210" s="1767"/>
      <c r="B210" s="1193">
        <v>2</v>
      </c>
      <c r="C210" s="1202" t="s">
        <v>4425</v>
      </c>
      <c r="D210" s="1312"/>
      <c r="E210" s="1291"/>
      <c r="F210" s="1291"/>
      <c r="G210"/>
    </row>
    <row r="211" spans="1:7" ht="14.4" customHeight="1">
      <c r="A211" s="1767"/>
      <c r="B211" s="1193">
        <v>3</v>
      </c>
      <c r="C211" s="1202" t="s">
        <v>4424</v>
      </c>
      <c r="D211" s="1312"/>
      <c r="E211" s="1291"/>
      <c r="F211" s="1291"/>
      <c r="G211"/>
    </row>
    <row r="212" spans="1:7" ht="14.4" customHeight="1">
      <c r="A212" s="1767"/>
      <c r="B212" s="1193">
        <v>2</v>
      </c>
      <c r="C212" s="1202" t="s">
        <v>2933</v>
      </c>
      <c r="D212" s="1312"/>
      <c r="E212" s="1291"/>
      <c r="F212" s="1291"/>
      <c r="G212"/>
    </row>
    <row r="213" spans="1:7" ht="14.4" customHeight="1">
      <c r="A213" s="693"/>
      <c r="B213" s="1193"/>
      <c r="C213" s="1202" t="s">
        <v>729</v>
      </c>
      <c r="D213" s="1220"/>
      <c r="E213" s="722"/>
      <c r="F213" s="722"/>
      <c r="G213"/>
    </row>
    <row r="214" spans="1:7" ht="14.4" customHeight="1">
      <c r="A214" s="693"/>
      <c r="B214" s="1196"/>
      <c r="C214" s="1201" t="s">
        <v>3063</v>
      </c>
      <c r="D214" s="1220"/>
      <c r="E214" s="1171"/>
      <c r="F214" s="1171"/>
      <c r="G214"/>
    </row>
    <row r="215" spans="1:7" ht="14.4" customHeight="1">
      <c r="A215" s="691"/>
      <c r="B215" s="1193">
        <v>1</v>
      </c>
      <c r="C215" s="1202" t="s">
        <v>4425</v>
      </c>
      <c r="D215" s="1312"/>
      <c r="E215" s="1291"/>
      <c r="F215" s="1291"/>
      <c r="G215"/>
    </row>
    <row r="216" spans="1:7" ht="14.4" customHeight="1">
      <c r="A216" s="691"/>
      <c r="B216" s="1193">
        <v>1</v>
      </c>
      <c r="C216" s="1202" t="s">
        <v>12358</v>
      </c>
      <c r="D216" s="1312"/>
      <c r="E216" s="1291"/>
      <c r="F216" s="1291"/>
      <c r="G216"/>
    </row>
    <row r="217" spans="1:7" ht="14.4" customHeight="1">
      <c r="A217" s="693"/>
      <c r="B217" s="1193"/>
      <c r="C217" s="1202" t="s">
        <v>729</v>
      </c>
      <c r="D217" s="1220"/>
      <c r="E217" s="722"/>
      <c r="F217" s="722"/>
      <c r="G217"/>
    </row>
    <row r="218" spans="1:7" ht="14.4" customHeight="1">
      <c r="A218" s="1767"/>
      <c r="B218" s="1193">
        <v>1</v>
      </c>
      <c r="C218" s="1304" t="s">
        <v>12366</v>
      </c>
      <c r="D218" s="1312"/>
      <c r="E218" s="1292"/>
      <c r="F218" s="1292"/>
      <c r="G218"/>
    </row>
    <row r="219" spans="1:7" ht="14.4" customHeight="1">
      <c r="A219" s="693"/>
      <c r="B219" s="1193"/>
      <c r="C219" s="1202" t="s">
        <v>729</v>
      </c>
      <c r="D219" s="1220"/>
      <c r="E219" s="722"/>
      <c r="F219" s="722"/>
      <c r="G219"/>
    </row>
    <row r="220" spans="1:7" ht="14.4" customHeight="1">
      <c r="A220" s="1767"/>
      <c r="B220" s="1193">
        <v>1</v>
      </c>
      <c r="C220" s="1304" t="s">
        <v>12364</v>
      </c>
      <c r="D220" s="1312"/>
      <c r="E220" s="1292"/>
      <c r="F220" s="1292"/>
      <c r="G220"/>
    </row>
    <row r="221" spans="1:7" ht="14.4" customHeight="1">
      <c r="A221" s="1767"/>
      <c r="B221" s="1193">
        <v>1</v>
      </c>
      <c r="C221" s="1304" t="s">
        <v>12474</v>
      </c>
      <c r="D221" s="1312"/>
      <c r="E221" s="1292"/>
      <c r="F221" s="1292"/>
      <c r="G221"/>
    </row>
    <row r="222" spans="1:7" ht="14.4" customHeight="1">
      <c r="A222" s="693"/>
      <c r="B222" s="1193"/>
      <c r="C222" s="1202" t="s">
        <v>729</v>
      </c>
      <c r="D222" s="1220"/>
      <c r="E222" s="722"/>
      <c r="F222" s="722"/>
      <c r="G222"/>
    </row>
    <row r="223" spans="1:7" ht="14.4" customHeight="1">
      <c r="A223" s="693"/>
      <c r="B223" s="1193">
        <v>1</v>
      </c>
      <c r="C223" s="1202" t="s">
        <v>316</v>
      </c>
      <c r="D223" s="1122"/>
      <c r="E223" s="1295"/>
      <c r="F223" s="1295"/>
      <c r="G223"/>
    </row>
    <row r="224" spans="1:7" ht="14.4" customHeight="1">
      <c r="A224" s="693"/>
      <c r="B224" s="1193"/>
      <c r="C224" s="1202" t="s">
        <v>729</v>
      </c>
      <c r="D224" s="1220"/>
      <c r="E224" s="722"/>
      <c r="F224" s="722"/>
      <c r="G224"/>
    </row>
    <row r="225" spans="1:7" ht="14.4" customHeight="1" thickBot="1">
      <c r="A225" s="699"/>
      <c r="B225" s="1200"/>
      <c r="C225" s="1305"/>
      <c r="D225" s="1313"/>
      <c r="E225" s="1297"/>
      <c r="F225" s="1297"/>
      <c r="G225"/>
    </row>
    <row r="226" spans="1:7" ht="14.4" customHeight="1" thickBot="1">
      <c r="A226" s="1587">
        <v>6</v>
      </c>
      <c r="B226" s="1630">
        <v>1</v>
      </c>
      <c r="C226" s="1329" t="s">
        <v>12571</v>
      </c>
      <c r="D226" s="1219">
        <v>6728</v>
      </c>
      <c r="E226" s="2183"/>
      <c r="F226" s="2183">
        <v>6728</v>
      </c>
      <c r="G226"/>
    </row>
    <row r="227" spans="1:7" ht="14.4" customHeight="1">
      <c r="A227" s="685" t="s">
        <v>3064</v>
      </c>
      <c r="B227" s="2178"/>
      <c r="C227" s="2179"/>
      <c r="D227" s="1312"/>
      <c r="E227" s="1291"/>
      <c r="F227" s="1291"/>
      <c r="G227"/>
    </row>
    <row r="228" spans="1:7" ht="14.4" customHeight="1">
      <c r="A228" s="687" t="s">
        <v>12553</v>
      </c>
      <c r="B228" s="1194">
        <v>1</v>
      </c>
      <c r="C228" s="1201" t="s">
        <v>5103</v>
      </c>
      <c r="D228" s="1220"/>
      <c r="E228" s="1171"/>
      <c r="F228" s="1171"/>
      <c r="G228"/>
    </row>
    <row r="229" spans="1:7" ht="14.4" customHeight="1">
      <c r="A229" s="687" t="s">
        <v>4136</v>
      </c>
      <c r="B229" s="1195">
        <v>3</v>
      </c>
      <c r="C229" s="1191" t="s">
        <v>7374</v>
      </c>
      <c r="D229" s="1220"/>
      <c r="E229" s="722"/>
      <c r="F229" s="722"/>
      <c r="G229"/>
    </row>
    <row r="230" spans="1:7" ht="14.4" customHeight="1">
      <c r="A230" s="687"/>
      <c r="B230" s="1195">
        <v>3</v>
      </c>
      <c r="C230" s="1191" t="s">
        <v>7375</v>
      </c>
      <c r="D230" s="1220"/>
      <c r="E230" s="722"/>
      <c r="F230" s="722"/>
      <c r="G230"/>
    </row>
    <row r="231" spans="1:7" ht="14.4" customHeight="1">
      <c r="A231" s="687" t="s">
        <v>12356</v>
      </c>
      <c r="B231" s="1199">
        <v>1</v>
      </c>
      <c r="C231" s="1205" t="s">
        <v>3366</v>
      </c>
      <c r="D231" s="1221"/>
      <c r="E231" s="1172"/>
      <c r="F231" s="1172"/>
      <c r="G231"/>
    </row>
    <row r="232" spans="1:7" ht="14.4" customHeight="1">
      <c r="A232" s="687" t="s">
        <v>3542</v>
      </c>
      <c r="B232" s="1194"/>
      <c r="C232" s="1218"/>
      <c r="D232" s="1220"/>
      <c r="E232" s="1171"/>
      <c r="F232" s="1171"/>
      <c r="G232"/>
    </row>
    <row r="233" spans="1:7" ht="14.4" customHeight="1">
      <c r="A233" s="687"/>
      <c r="B233" s="1195"/>
      <c r="C233" s="1629" t="s">
        <v>12368</v>
      </c>
      <c r="D233" s="1220"/>
      <c r="E233" s="722"/>
      <c r="F233" s="722"/>
      <c r="G233"/>
    </row>
    <row r="234" spans="1:7" ht="14.4" customHeight="1">
      <c r="A234" s="1767"/>
      <c r="B234" s="1193"/>
      <c r="C234" s="1201" t="s">
        <v>3158</v>
      </c>
      <c r="D234" s="1312"/>
      <c r="E234" s="1292"/>
      <c r="F234" s="1292"/>
      <c r="G234"/>
    </row>
    <row r="235" spans="1:7" ht="14.4" customHeight="1">
      <c r="A235" s="687"/>
      <c r="B235" s="1194">
        <v>1</v>
      </c>
      <c r="C235" s="1202" t="s">
        <v>6601</v>
      </c>
      <c r="D235" s="1312"/>
      <c r="E235" s="1292"/>
      <c r="F235" s="1292"/>
      <c r="G235"/>
    </row>
    <row r="236" spans="1:7" ht="14.4" customHeight="1">
      <c r="A236" s="687"/>
      <c r="B236" s="1193"/>
      <c r="C236" s="1202" t="s">
        <v>729</v>
      </c>
      <c r="D236" s="1220"/>
      <c r="E236" s="722"/>
      <c r="F236" s="722"/>
      <c r="G236"/>
    </row>
    <row r="237" spans="1:7" ht="14.4" customHeight="1">
      <c r="A237" s="687"/>
      <c r="B237" s="1196"/>
      <c r="C237" s="1303" t="s">
        <v>9431</v>
      </c>
      <c r="D237" s="1312"/>
      <c r="E237" s="1292"/>
      <c r="F237" s="1292"/>
      <c r="G237"/>
    </row>
    <row r="238" spans="1:7" ht="14.4" customHeight="1">
      <c r="A238" s="693"/>
      <c r="B238" s="1193">
        <v>1</v>
      </c>
      <c r="C238" s="1202" t="s">
        <v>4208</v>
      </c>
      <c r="D238" s="1312"/>
      <c r="E238" s="1291"/>
      <c r="F238" s="1291"/>
      <c r="G238"/>
    </row>
    <row r="239" spans="1:7" ht="14.4" customHeight="1">
      <c r="A239" s="693"/>
      <c r="B239" s="1193">
        <v>1</v>
      </c>
      <c r="C239" s="1202" t="s">
        <v>4205</v>
      </c>
      <c r="D239" s="1312"/>
      <c r="E239" s="1291"/>
      <c r="F239" s="1291"/>
      <c r="G239"/>
    </row>
    <row r="240" spans="1:7" ht="14.4" customHeight="1">
      <c r="A240" s="693"/>
      <c r="B240" s="1196"/>
      <c r="C240" s="1303" t="s">
        <v>12546</v>
      </c>
      <c r="D240" s="1312"/>
      <c r="E240" s="1292"/>
      <c r="F240" s="1292"/>
      <c r="G240"/>
    </row>
    <row r="241" spans="1:7" ht="14.4" customHeight="1">
      <c r="A241" s="693"/>
      <c r="B241" s="1193">
        <v>9</v>
      </c>
      <c r="C241" s="1202" t="s">
        <v>4183</v>
      </c>
      <c r="D241" s="1312"/>
      <c r="E241" s="1291"/>
      <c r="F241" s="1291"/>
      <c r="G241"/>
    </row>
    <row r="242" spans="1:7" ht="14.4" customHeight="1">
      <c r="A242" s="693"/>
      <c r="B242" s="1193">
        <v>9</v>
      </c>
      <c r="C242" s="1202" t="s">
        <v>5319</v>
      </c>
      <c r="D242" s="1312"/>
      <c r="E242" s="1291"/>
      <c r="F242" s="1291"/>
      <c r="G242"/>
    </row>
    <row r="243" spans="1:7" ht="14.4" customHeight="1">
      <c r="A243" s="693"/>
      <c r="B243" s="1193">
        <v>1</v>
      </c>
      <c r="C243" s="1202" t="s">
        <v>2927</v>
      </c>
      <c r="D243" s="1312"/>
      <c r="E243" s="1291"/>
      <c r="F243" s="1291"/>
      <c r="G243"/>
    </row>
    <row r="244" spans="1:7" ht="14.4" customHeight="1">
      <c r="A244" s="693"/>
      <c r="B244" s="1193"/>
      <c r="C244" s="1202" t="s">
        <v>729</v>
      </c>
      <c r="D244" s="1220"/>
      <c r="E244" s="722"/>
      <c r="F244" s="722"/>
      <c r="G244"/>
    </row>
    <row r="245" spans="1:7" ht="14.4" customHeight="1">
      <c r="A245" s="693"/>
      <c r="B245" s="1196"/>
      <c r="C245" s="1303" t="s">
        <v>12547</v>
      </c>
      <c r="D245" s="1312"/>
      <c r="E245" s="1292"/>
      <c r="F245" s="1292"/>
      <c r="G245"/>
    </row>
    <row r="246" spans="1:7" ht="14.4" customHeight="1">
      <c r="A246" s="693"/>
      <c r="B246" s="1193">
        <v>1</v>
      </c>
      <c r="C246" s="1202" t="s">
        <v>4184</v>
      </c>
      <c r="D246" s="1312"/>
      <c r="E246" s="1291"/>
      <c r="F246" s="1291"/>
      <c r="G246"/>
    </row>
    <row r="247" spans="1:7" ht="14.4" customHeight="1">
      <c r="A247" s="693"/>
      <c r="B247" s="1193">
        <v>2</v>
      </c>
      <c r="C247" s="1202" t="s">
        <v>4183</v>
      </c>
      <c r="D247" s="1312"/>
      <c r="E247" s="1291"/>
      <c r="F247" s="1291"/>
      <c r="G247"/>
    </row>
    <row r="248" spans="1:7" ht="14.4" customHeight="1">
      <c r="A248" s="693"/>
      <c r="B248" s="1193">
        <v>2</v>
      </c>
      <c r="C248" s="1202" t="s">
        <v>5319</v>
      </c>
      <c r="D248" s="1312"/>
      <c r="E248" s="1291"/>
      <c r="F248" s="1291"/>
      <c r="G248"/>
    </row>
    <row r="249" spans="1:7" ht="14.4" customHeight="1">
      <c r="A249" s="693"/>
      <c r="B249" s="1193">
        <v>1</v>
      </c>
      <c r="C249" s="1202" t="s">
        <v>2927</v>
      </c>
      <c r="D249" s="1312"/>
      <c r="E249" s="1291"/>
      <c r="F249" s="1291"/>
      <c r="G249"/>
    </row>
    <row r="250" spans="1:7" ht="14.4" customHeight="1">
      <c r="A250" s="693"/>
      <c r="B250" s="1193"/>
      <c r="C250" s="1202" t="s">
        <v>729</v>
      </c>
      <c r="D250" s="1220"/>
      <c r="E250" s="722"/>
      <c r="F250" s="722"/>
      <c r="G250"/>
    </row>
    <row r="251" spans="1:7" ht="14.4" customHeight="1">
      <c r="A251" s="693"/>
      <c r="B251" s="1196"/>
      <c r="C251" s="1201" t="s">
        <v>3063</v>
      </c>
      <c r="D251" s="1220"/>
      <c r="E251" s="1171"/>
      <c r="F251" s="1171"/>
      <c r="G251"/>
    </row>
    <row r="252" spans="1:7" ht="14.4" customHeight="1">
      <c r="A252" s="693"/>
      <c r="B252" s="1193">
        <v>1</v>
      </c>
      <c r="C252" s="1202" t="s">
        <v>4208</v>
      </c>
      <c r="D252" s="1312"/>
      <c r="E252" s="1291"/>
      <c r="F252" s="1291"/>
      <c r="G252"/>
    </row>
    <row r="253" spans="1:7" ht="14.4" customHeight="1">
      <c r="A253" s="691"/>
      <c r="B253" s="1193">
        <v>1</v>
      </c>
      <c r="C253" s="1202" t="s">
        <v>6456</v>
      </c>
      <c r="D253" s="1312"/>
      <c r="E253" s="1291"/>
      <c r="F253" s="1291"/>
      <c r="G253"/>
    </row>
    <row r="254" spans="1:7" ht="14.4" customHeight="1">
      <c r="A254" s="693"/>
      <c r="B254" s="1196">
        <v>3</v>
      </c>
      <c r="C254" s="1201" t="s">
        <v>12423</v>
      </c>
      <c r="D254" s="1220"/>
      <c r="E254" s="1171"/>
      <c r="F254" s="1171"/>
      <c r="G254"/>
    </row>
    <row r="255" spans="1:7" ht="14.4" customHeight="1">
      <c r="A255" s="691"/>
      <c r="B255" s="1193">
        <v>1</v>
      </c>
      <c r="C255" s="1202" t="s">
        <v>1157</v>
      </c>
      <c r="D255" s="1312"/>
      <c r="E255" s="1291"/>
      <c r="F255" s="1291"/>
      <c r="G255"/>
    </row>
    <row r="256" spans="1:7" ht="14.4" customHeight="1">
      <c r="A256" s="691"/>
      <c r="B256" s="1193">
        <v>1</v>
      </c>
      <c r="C256" s="1202" t="s">
        <v>2426</v>
      </c>
      <c r="D256" s="1312"/>
      <c r="E256" s="1291"/>
      <c r="F256" s="1291"/>
      <c r="G256"/>
    </row>
    <row r="257" spans="1:7" ht="14.4" customHeight="1">
      <c r="A257" s="691"/>
      <c r="B257" s="1193">
        <v>1</v>
      </c>
      <c r="C257" s="1202" t="s">
        <v>4660</v>
      </c>
      <c r="D257" s="1312"/>
      <c r="E257" s="1291"/>
      <c r="F257" s="1291"/>
      <c r="G257"/>
    </row>
    <row r="258" spans="1:7" ht="14.4" customHeight="1">
      <c r="A258" s="692"/>
      <c r="B258" s="1193"/>
      <c r="C258" s="1202" t="s">
        <v>729</v>
      </c>
      <c r="D258" s="1220"/>
      <c r="E258" s="722"/>
      <c r="F258" s="722"/>
      <c r="G258"/>
    </row>
    <row r="259" spans="1:7" ht="14.4" customHeight="1">
      <c r="A259" s="693"/>
      <c r="B259" s="1196">
        <v>4</v>
      </c>
      <c r="C259" s="1201" t="s">
        <v>12445</v>
      </c>
      <c r="D259" s="1220"/>
      <c r="E259" s="1171"/>
      <c r="F259" s="1171"/>
      <c r="G259"/>
    </row>
    <row r="260" spans="1:7" ht="14.4" customHeight="1">
      <c r="A260" s="691"/>
      <c r="B260" s="1193">
        <v>1</v>
      </c>
      <c r="C260" s="1202" t="s">
        <v>1157</v>
      </c>
      <c r="D260" s="1312"/>
      <c r="E260" s="1291"/>
      <c r="F260" s="1291"/>
      <c r="G260"/>
    </row>
    <row r="261" spans="1:7" ht="14.4" customHeight="1">
      <c r="A261" s="693"/>
      <c r="B261" s="1193">
        <v>1</v>
      </c>
      <c r="C261" s="1202" t="s">
        <v>2426</v>
      </c>
      <c r="D261" s="1312"/>
      <c r="E261" s="1291"/>
      <c r="F261" s="1291"/>
      <c r="G261"/>
    </row>
    <row r="262" spans="1:7" ht="14.4" customHeight="1">
      <c r="A262" s="693"/>
      <c r="B262" s="1193">
        <v>1</v>
      </c>
      <c r="C262" s="1202" t="s">
        <v>2436</v>
      </c>
      <c r="D262" s="1312"/>
      <c r="E262" s="1291"/>
      <c r="F262" s="1291"/>
      <c r="G262"/>
    </row>
    <row r="263" spans="1:7" ht="14.4" customHeight="1">
      <c r="A263" s="693"/>
      <c r="B263" s="1193"/>
      <c r="C263" s="1202" t="s">
        <v>729</v>
      </c>
      <c r="D263" s="1220"/>
      <c r="E263" s="722"/>
      <c r="F263" s="722"/>
      <c r="G263"/>
    </row>
    <row r="264" spans="1:7" ht="14.4" customHeight="1">
      <c r="A264" s="693"/>
      <c r="B264" s="1193">
        <v>1</v>
      </c>
      <c r="C264" s="1304" t="s">
        <v>12444</v>
      </c>
      <c r="D264" s="1312"/>
      <c r="E264" s="1292"/>
      <c r="F264" s="1292"/>
      <c r="G264"/>
    </row>
    <row r="265" spans="1:7" ht="14.4" customHeight="1">
      <c r="A265" s="693"/>
      <c r="B265" s="1193"/>
      <c r="C265" s="1202" t="s">
        <v>729</v>
      </c>
      <c r="D265" s="1220"/>
      <c r="E265" s="722"/>
      <c r="F265" s="722"/>
      <c r="G265"/>
    </row>
    <row r="266" spans="1:7" ht="14.4" customHeight="1">
      <c r="A266" s="1767"/>
      <c r="B266" s="1193">
        <v>1</v>
      </c>
      <c r="C266" s="1304" t="s">
        <v>12364</v>
      </c>
      <c r="D266" s="1312"/>
      <c r="E266" s="1292"/>
      <c r="F266" s="1292"/>
      <c r="G266"/>
    </row>
    <row r="267" spans="1:7" ht="14.4" customHeight="1">
      <c r="A267" s="1767"/>
      <c r="B267" s="1193">
        <v>1</v>
      </c>
      <c r="C267" s="1304" t="s">
        <v>12474</v>
      </c>
      <c r="D267" s="1312"/>
      <c r="E267" s="1292"/>
      <c r="F267" s="1292"/>
      <c r="G267"/>
    </row>
    <row r="268" spans="1:7" ht="14.4" customHeight="1">
      <c r="A268" s="693"/>
      <c r="B268" s="1193"/>
      <c r="C268" s="1202" t="s">
        <v>729</v>
      </c>
      <c r="D268" s="1220"/>
      <c r="E268" s="722"/>
      <c r="F268" s="722"/>
      <c r="G268"/>
    </row>
    <row r="269" spans="1:7" ht="14.4" customHeight="1">
      <c r="A269" s="693"/>
      <c r="B269" s="1193">
        <v>1</v>
      </c>
      <c r="C269" s="1202" t="s">
        <v>316</v>
      </c>
      <c r="D269" s="1122"/>
      <c r="E269" s="1295"/>
      <c r="F269" s="1295"/>
      <c r="G269"/>
    </row>
    <row r="270" spans="1:7" ht="14.4" customHeight="1">
      <c r="A270" s="693"/>
      <c r="B270" s="1193"/>
      <c r="C270" s="1202" t="s">
        <v>729</v>
      </c>
      <c r="D270" s="1220"/>
      <c r="E270" s="722"/>
      <c r="F270" s="722"/>
      <c r="G270"/>
    </row>
    <row r="271" spans="1:7" ht="14.4" customHeight="1">
      <c r="A271" s="1767"/>
      <c r="B271" s="1193"/>
      <c r="C271" s="2180" t="s">
        <v>12524</v>
      </c>
      <c r="D271" s="1312"/>
      <c r="E271" s="1292"/>
      <c r="F271" s="1292"/>
      <c r="G271"/>
    </row>
    <row r="272" spans="1:7" ht="14.4" customHeight="1">
      <c r="A272" s="1767"/>
      <c r="B272" s="1193"/>
      <c r="C272" s="2181"/>
      <c r="D272" s="1312"/>
      <c r="E272" s="1292"/>
      <c r="F272" s="1292"/>
      <c r="G272"/>
    </row>
    <row r="273" spans="1:7" ht="14.4" customHeight="1">
      <c r="A273" s="1638"/>
      <c r="B273" s="1193">
        <v>1</v>
      </c>
      <c r="C273" s="1202" t="s">
        <v>3412</v>
      </c>
      <c r="D273" s="1220"/>
      <c r="E273" s="1171"/>
      <c r="F273" s="1171"/>
      <c r="G273"/>
    </row>
    <row r="274" spans="1:7" ht="14.4" customHeight="1">
      <c r="A274" s="1638"/>
      <c r="B274" s="1193">
        <v>1</v>
      </c>
      <c r="C274" s="1202" t="s">
        <v>3413</v>
      </c>
      <c r="D274" s="1220"/>
      <c r="E274" s="1171"/>
      <c r="F274" s="1171"/>
      <c r="G274"/>
    </row>
    <row r="275" spans="1:7" ht="14.4" customHeight="1" thickBot="1">
      <c r="A275" s="2013"/>
      <c r="B275" s="2182"/>
      <c r="C275" s="1631"/>
      <c r="D275" s="1641"/>
      <c r="E275" s="1632"/>
      <c r="F275" s="1632"/>
      <c r="G275"/>
    </row>
    <row r="276" spans="1:7" ht="14.4" customHeight="1" thickBot="1">
      <c r="A276" s="1587">
        <v>7</v>
      </c>
      <c r="B276" s="1630">
        <v>1</v>
      </c>
      <c r="C276" s="1329" t="s">
        <v>12572</v>
      </c>
      <c r="D276" s="1219">
        <v>5655</v>
      </c>
      <c r="E276" s="1289"/>
      <c r="F276" s="1289">
        <v>5655</v>
      </c>
      <c r="G276"/>
    </row>
    <row r="277" spans="1:7" ht="14.4" customHeight="1">
      <c r="A277" s="685" t="s">
        <v>3064</v>
      </c>
      <c r="B277" s="2178"/>
      <c r="C277" s="2179"/>
      <c r="D277" s="1312"/>
      <c r="E277" s="1291"/>
      <c r="F277" s="1291"/>
      <c r="G277"/>
    </row>
    <row r="278" spans="1:7" ht="14.4" customHeight="1">
      <c r="A278" s="687" t="s">
        <v>12553</v>
      </c>
      <c r="B278" s="1194">
        <v>1</v>
      </c>
      <c r="C278" s="1201" t="s">
        <v>5103</v>
      </c>
      <c r="D278" s="1220"/>
      <c r="E278" s="1171"/>
      <c r="F278" s="1171"/>
      <c r="G278"/>
    </row>
    <row r="279" spans="1:7" ht="14.4" customHeight="1">
      <c r="A279" s="687" t="s">
        <v>4136</v>
      </c>
      <c r="B279" s="1195">
        <v>3</v>
      </c>
      <c r="C279" s="1191" t="s">
        <v>7374</v>
      </c>
      <c r="D279" s="1220"/>
      <c r="E279" s="722"/>
      <c r="F279" s="722"/>
      <c r="G279"/>
    </row>
    <row r="280" spans="1:7" ht="14.4" customHeight="1">
      <c r="A280" s="687"/>
      <c r="B280" s="1195">
        <v>3</v>
      </c>
      <c r="C280" s="1191" t="s">
        <v>7375</v>
      </c>
      <c r="D280" s="1220"/>
      <c r="E280" s="722"/>
      <c r="F280" s="722"/>
      <c r="G280"/>
    </row>
    <row r="281" spans="1:7" ht="14.4" customHeight="1">
      <c r="A281" s="687" t="s">
        <v>12356</v>
      </c>
      <c r="B281" s="1199">
        <v>1</v>
      </c>
      <c r="C281" s="1205" t="s">
        <v>3366</v>
      </c>
      <c r="D281" s="1221"/>
      <c r="E281" s="1172"/>
      <c r="F281" s="1172"/>
      <c r="G281"/>
    </row>
    <row r="282" spans="1:7" ht="14.4" customHeight="1">
      <c r="A282" s="687" t="s">
        <v>3542</v>
      </c>
      <c r="B282" s="1194"/>
      <c r="C282" s="1218"/>
      <c r="D282" s="1220"/>
      <c r="E282" s="1171"/>
      <c r="F282" s="1171"/>
      <c r="G282"/>
    </row>
    <row r="283" spans="1:7" ht="14.4" customHeight="1">
      <c r="A283" s="687"/>
      <c r="B283" s="1195"/>
      <c r="C283" s="1629" t="s">
        <v>12368</v>
      </c>
      <c r="D283" s="1220"/>
      <c r="E283" s="722"/>
      <c r="F283" s="722"/>
      <c r="G283"/>
    </row>
    <row r="284" spans="1:7" ht="14.4" customHeight="1">
      <c r="A284" s="693"/>
      <c r="B284" s="1193"/>
      <c r="C284" s="1201" t="s">
        <v>3158</v>
      </c>
      <c r="D284" s="1312"/>
      <c r="E284" s="1292"/>
      <c r="F284" s="1292"/>
      <c r="G284"/>
    </row>
    <row r="285" spans="1:7" ht="14.4" customHeight="1">
      <c r="A285" s="693"/>
      <c r="B285" s="1194">
        <v>1</v>
      </c>
      <c r="C285" s="1202" t="s">
        <v>6598</v>
      </c>
      <c r="D285" s="1312"/>
      <c r="E285" s="1292"/>
      <c r="F285" s="1292"/>
      <c r="G285"/>
    </row>
    <row r="286" spans="1:7" ht="14.4" customHeight="1">
      <c r="A286" s="687"/>
      <c r="B286" s="1193"/>
      <c r="C286" s="1202" t="s">
        <v>729</v>
      </c>
      <c r="D286" s="1220"/>
      <c r="E286" s="722"/>
      <c r="F286" s="722"/>
      <c r="G286"/>
    </row>
    <row r="287" spans="1:7" ht="14.4" customHeight="1">
      <c r="A287" s="693"/>
      <c r="B287" s="1196"/>
      <c r="C287" s="1303" t="s">
        <v>9431</v>
      </c>
      <c r="D287" s="1312"/>
      <c r="E287" s="1292"/>
      <c r="F287" s="1292"/>
      <c r="G287"/>
    </row>
    <row r="288" spans="1:7" ht="14.4" customHeight="1">
      <c r="A288" s="693"/>
      <c r="B288" s="1193">
        <v>2</v>
      </c>
      <c r="C288" s="1202" t="s">
        <v>4205</v>
      </c>
      <c r="D288" s="1312"/>
      <c r="E288" s="1291"/>
      <c r="F288" s="1291"/>
      <c r="G288"/>
    </row>
    <row r="289" spans="1:7" ht="14.4" customHeight="1">
      <c r="A289" s="693"/>
      <c r="B289" s="1193"/>
      <c r="C289" s="1202" t="s">
        <v>729</v>
      </c>
      <c r="D289" s="1220"/>
      <c r="E289" s="722"/>
      <c r="F289" s="722"/>
      <c r="G289"/>
    </row>
    <row r="290" spans="1:7" ht="14.4" customHeight="1">
      <c r="A290" s="693"/>
      <c r="B290" s="1196"/>
      <c r="C290" s="1303" t="s">
        <v>12546</v>
      </c>
      <c r="D290" s="1312"/>
      <c r="E290" s="1292"/>
      <c r="F290" s="1292"/>
      <c r="G290"/>
    </row>
    <row r="291" spans="1:7" ht="14.4" customHeight="1">
      <c r="A291" s="693"/>
      <c r="B291" s="1193">
        <v>5</v>
      </c>
      <c r="C291" s="1202" t="s">
        <v>4183</v>
      </c>
      <c r="D291" s="1312"/>
      <c r="E291" s="1291"/>
      <c r="F291" s="1291"/>
      <c r="G291"/>
    </row>
    <row r="292" spans="1:7" ht="14.4" customHeight="1">
      <c r="A292" s="693"/>
      <c r="B292" s="1193">
        <v>5</v>
      </c>
      <c r="C292" s="1202" t="s">
        <v>5319</v>
      </c>
      <c r="D292" s="1312"/>
      <c r="E292" s="1291"/>
      <c r="F292" s="1291"/>
      <c r="G292"/>
    </row>
    <row r="293" spans="1:7" ht="14.4" customHeight="1">
      <c r="A293" s="693"/>
      <c r="B293" s="1283">
        <v>1</v>
      </c>
      <c r="C293" s="1304" t="s">
        <v>2927</v>
      </c>
      <c r="D293" s="1312"/>
      <c r="E293" s="1291"/>
      <c r="F293" s="1291"/>
      <c r="G293"/>
    </row>
    <row r="294" spans="1:7" ht="14.4" customHeight="1">
      <c r="A294" s="693"/>
      <c r="B294" s="1193"/>
      <c r="C294" s="1202" t="s">
        <v>729</v>
      </c>
      <c r="D294" s="1220"/>
      <c r="E294" s="722"/>
      <c r="F294" s="722"/>
      <c r="G294"/>
    </row>
    <row r="295" spans="1:7" ht="14.4" customHeight="1">
      <c r="A295" s="693"/>
      <c r="B295" s="1196"/>
      <c r="C295" s="1303" t="s">
        <v>12547</v>
      </c>
      <c r="D295" s="1312"/>
      <c r="E295" s="1292"/>
      <c r="F295" s="1292"/>
      <c r="G295"/>
    </row>
    <row r="296" spans="1:7" ht="14.4" customHeight="1">
      <c r="A296" s="693"/>
      <c r="B296" s="1193">
        <v>4</v>
      </c>
      <c r="C296" s="1202" t="s">
        <v>4205</v>
      </c>
      <c r="D296" s="1312"/>
      <c r="E296" s="1291"/>
      <c r="F296" s="1291"/>
      <c r="G296"/>
    </row>
    <row r="297" spans="1:7" ht="14.4" customHeight="1">
      <c r="A297" s="693"/>
      <c r="B297" s="1193">
        <v>3</v>
      </c>
      <c r="C297" s="1202" t="s">
        <v>4183</v>
      </c>
      <c r="D297" s="1312"/>
      <c r="E297" s="1291"/>
      <c r="F297" s="1291"/>
      <c r="G297"/>
    </row>
    <row r="298" spans="1:7" ht="14.4" customHeight="1">
      <c r="A298" s="693"/>
      <c r="B298" s="1193">
        <v>3</v>
      </c>
      <c r="C298" s="1202" t="s">
        <v>5319</v>
      </c>
      <c r="D298" s="1312"/>
      <c r="E298" s="1291"/>
      <c r="F298" s="1291"/>
      <c r="G298"/>
    </row>
    <row r="299" spans="1:7" ht="14.4" customHeight="1">
      <c r="A299" s="693"/>
      <c r="B299" s="1283">
        <v>1</v>
      </c>
      <c r="C299" s="1304" t="s">
        <v>2927</v>
      </c>
      <c r="D299" s="1312"/>
      <c r="E299" s="1291"/>
      <c r="F299" s="1291"/>
      <c r="G299"/>
    </row>
    <row r="300" spans="1:7" ht="14.4" customHeight="1">
      <c r="A300" s="693"/>
      <c r="B300" s="1193"/>
      <c r="C300" s="1202" t="s">
        <v>729</v>
      </c>
      <c r="D300" s="1220"/>
      <c r="E300" s="722"/>
      <c r="F300" s="722"/>
      <c r="G300"/>
    </row>
    <row r="301" spans="1:7" ht="14.4" customHeight="1">
      <c r="A301" s="693"/>
      <c r="B301" s="1196"/>
      <c r="C301" s="1201" t="s">
        <v>3063</v>
      </c>
      <c r="D301" s="1220"/>
      <c r="E301" s="1171"/>
      <c r="F301" s="1171"/>
      <c r="G301"/>
    </row>
    <row r="302" spans="1:7" ht="14.4" customHeight="1">
      <c r="A302" s="691"/>
      <c r="B302" s="1193">
        <v>1</v>
      </c>
      <c r="C302" s="1202" t="s">
        <v>4207</v>
      </c>
      <c r="D302" s="1312"/>
      <c r="E302" s="1291"/>
      <c r="F302" s="1291"/>
      <c r="G302"/>
    </row>
    <row r="303" spans="1:7" ht="14.4" customHeight="1">
      <c r="A303" s="691"/>
      <c r="B303" s="1193">
        <v>1</v>
      </c>
      <c r="C303" s="1202" t="s">
        <v>6456</v>
      </c>
      <c r="D303" s="1312"/>
      <c r="E303" s="1291"/>
      <c r="F303" s="1291"/>
      <c r="G303"/>
    </row>
    <row r="304" spans="1:7" ht="14.4" customHeight="1">
      <c r="A304" s="692"/>
      <c r="B304" s="1193"/>
      <c r="C304" s="1202" t="s">
        <v>729</v>
      </c>
      <c r="D304" s="1220"/>
      <c r="E304" s="722"/>
      <c r="F304" s="722"/>
      <c r="G304"/>
    </row>
    <row r="305" spans="1:7" ht="14.4" customHeight="1">
      <c r="A305" s="693"/>
      <c r="B305" s="1196">
        <v>3</v>
      </c>
      <c r="C305" s="1201" t="s">
        <v>12445</v>
      </c>
      <c r="D305" s="1220"/>
      <c r="E305" s="1171"/>
      <c r="F305" s="1171"/>
      <c r="G305"/>
    </row>
    <row r="306" spans="1:7" ht="14.4" customHeight="1">
      <c r="A306" s="691"/>
      <c r="B306" s="1193">
        <v>1</v>
      </c>
      <c r="C306" s="1202" t="s">
        <v>1157</v>
      </c>
      <c r="D306" s="1312"/>
      <c r="E306" s="1291"/>
      <c r="F306" s="1291"/>
      <c r="G306"/>
    </row>
    <row r="307" spans="1:7" ht="14.4" customHeight="1">
      <c r="A307" s="691"/>
      <c r="B307" s="1193">
        <v>1</v>
      </c>
      <c r="C307" s="1202" t="s">
        <v>2426</v>
      </c>
      <c r="D307" s="1312"/>
      <c r="E307" s="1291"/>
      <c r="F307" s="1291"/>
      <c r="G307"/>
    </row>
    <row r="308" spans="1:7" ht="14.4" customHeight="1">
      <c r="A308" s="691"/>
      <c r="B308" s="1193">
        <v>1</v>
      </c>
      <c r="C308" s="1202" t="s">
        <v>2436</v>
      </c>
      <c r="D308" s="1312"/>
      <c r="E308" s="1291"/>
      <c r="F308" s="1291"/>
      <c r="G308"/>
    </row>
    <row r="309" spans="1:7" ht="14.4" customHeight="1">
      <c r="A309" s="693"/>
      <c r="B309" s="1193"/>
      <c r="C309" s="1202" t="s">
        <v>729</v>
      </c>
      <c r="D309" s="1220"/>
      <c r="E309" s="722"/>
      <c r="F309" s="722"/>
      <c r="G309"/>
    </row>
    <row r="310" spans="1:7" ht="14.4" customHeight="1">
      <c r="A310" s="1767"/>
      <c r="B310" s="1193">
        <v>1</v>
      </c>
      <c r="C310" s="1304" t="s">
        <v>12364</v>
      </c>
      <c r="D310" s="1312"/>
      <c r="E310" s="1292"/>
      <c r="F310" s="1292"/>
      <c r="G310"/>
    </row>
    <row r="311" spans="1:7" ht="14.4" customHeight="1">
      <c r="A311" s="1767"/>
      <c r="B311" s="1193">
        <v>1</v>
      </c>
      <c r="C311" s="1304" t="s">
        <v>12474</v>
      </c>
      <c r="D311" s="1312"/>
      <c r="E311" s="1292"/>
      <c r="F311" s="1292"/>
      <c r="G311"/>
    </row>
    <row r="312" spans="1:7" ht="14.4" customHeight="1">
      <c r="A312" s="693"/>
      <c r="B312" s="1193"/>
      <c r="C312" s="1202" t="s">
        <v>729</v>
      </c>
      <c r="D312" s="1220"/>
      <c r="E312" s="722"/>
      <c r="F312" s="722"/>
      <c r="G312"/>
    </row>
    <row r="313" spans="1:7" ht="14.4" customHeight="1">
      <c r="A313" s="693"/>
      <c r="B313" s="1193">
        <v>1</v>
      </c>
      <c r="C313" s="1202" t="s">
        <v>316</v>
      </c>
      <c r="D313" s="1122"/>
      <c r="E313" s="1295"/>
      <c r="F313" s="1295"/>
      <c r="G313"/>
    </row>
    <row r="314" spans="1:7" ht="14.4" customHeight="1">
      <c r="A314" s="693"/>
      <c r="B314" s="1193"/>
      <c r="C314" s="1202" t="s">
        <v>729</v>
      </c>
      <c r="D314" s="1220"/>
      <c r="E314" s="722"/>
      <c r="F314" s="722"/>
      <c r="G314"/>
    </row>
    <row r="315" spans="1:7" ht="14.4" customHeight="1" thickBot="1">
      <c r="A315" s="910"/>
      <c r="B315" s="1636"/>
      <c r="C315" s="1631"/>
      <c r="D315" s="1641"/>
      <c r="E315" s="1632"/>
      <c r="F315" s="1632"/>
      <c r="G315"/>
    </row>
    <row r="316" spans="1:7" ht="14.4" customHeight="1" thickBot="1">
      <c r="A316" s="1989">
        <v>8</v>
      </c>
      <c r="B316" s="1630">
        <v>1</v>
      </c>
      <c r="C316" s="1329" t="s">
        <v>12573</v>
      </c>
      <c r="D316" s="1219">
        <v>4768</v>
      </c>
      <c r="E316" s="1289"/>
      <c r="F316" s="1289">
        <v>4768</v>
      </c>
      <c r="G316"/>
    </row>
    <row r="317" spans="1:7" ht="14.4" customHeight="1">
      <c r="A317" s="685" t="s">
        <v>3064</v>
      </c>
      <c r="B317" s="1192"/>
      <c r="C317" s="1302"/>
      <c r="D317" s="1312"/>
      <c r="E317" s="1291"/>
      <c r="F317" s="1291"/>
      <c r="G317"/>
    </row>
    <row r="318" spans="1:7" ht="14.4" customHeight="1">
      <c r="A318" s="687" t="s">
        <v>12553</v>
      </c>
      <c r="B318" s="1194">
        <v>1</v>
      </c>
      <c r="C318" s="1201" t="s">
        <v>5103</v>
      </c>
      <c r="D318" s="1220"/>
      <c r="E318" s="1171"/>
      <c r="F318" s="1171"/>
      <c r="G318"/>
    </row>
    <row r="319" spans="1:7" ht="14.4" customHeight="1">
      <c r="A319" s="687" t="s">
        <v>4136</v>
      </c>
      <c r="B319" s="1195">
        <v>3</v>
      </c>
      <c r="C319" s="1191" t="s">
        <v>7374</v>
      </c>
      <c r="D319" s="1220"/>
      <c r="E319" s="722"/>
      <c r="F319" s="722"/>
      <c r="G319"/>
    </row>
    <row r="320" spans="1:7" ht="14.4" customHeight="1">
      <c r="A320" s="687"/>
      <c r="B320" s="1195">
        <v>3</v>
      </c>
      <c r="C320" s="1191" t="s">
        <v>7375</v>
      </c>
      <c r="D320" s="1220"/>
      <c r="E320" s="722"/>
      <c r="F320" s="722"/>
      <c r="G320"/>
    </row>
    <row r="321" spans="1:7" ht="14.4" customHeight="1">
      <c r="A321" s="687" t="s">
        <v>12356</v>
      </c>
      <c r="B321" s="1199">
        <v>1</v>
      </c>
      <c r="C321" s="1205" t="s">
        <v>3366</v>
      </c>
      <c r="D321" s="1221"/>
      <c r="E321" s="1172"/>
      <c r="F321" s="1172"/>
      <c r="G321"/>
    </row>
    <row r="322" spans="1:7" ht="14.4" customHeight="1">
      <c r="A322" s="687" t="s">
        <v>3542</v>
      </c>
      <c r="B322" s="1194"/>
      <c r="C322" s="1218"/>
      <c r="D322" s="1220"/>
      <c r="E322" s="1171"/>
      <c r="F322" s="1171"/>
      <c r="G322"/>
    </row>
    <row r="323" spans="1:7" ht="14.4" customHeight="1">
      <c r="A323" s="687"/>
      <c r="B323" s="1195"/>
      <c r="C323" s="1629" t="s">
        <v>12368</v>
      </c>
      <c r="D323" s="1220"/>
      <c r="E323" s="722"/>
      <c r="F323" s="722"/>
      <c r="G323"/>
    </row>
    <row r="324" spans="1:7" ht="14.4" customHeight="1">
      <c r="A324" s="693"/>
      <c r="B324" s="1192">
        <v>6</v>
      </c>
      <c r="C324" s="1202" t="s">
        <v>12392</v>
      </c>
      <c r="D324" s="1312"/>
      <c r="E324" s="1291"/>
      <c r="F324" s="1291"/>
      <c r="G324"/>
    </row>
    <row r="325" spans="1:7" ht="14.4" customHeight="1">
      <c r="A325" s="693"/>
      <c r="B325" s="1195"/>
      <c r="C325" s="1629" t="s">
        <v>12368</v>
      </c>
      <c r="D325" s="1220"/>
      <c r="E325" s="722"/>
      <c r="F325" s="722"/>
      <c r="G325"/>
    </row>
    <row r="326" spans="1:7" ht="14.4" customHeight="1">
      <c r="A326" s="687"/>
      <c r="B326" s="1193"/>
      <c r="C326" s="1201" t="s">
        <v>12371</v>
      </c>
      <c r="D326" s="1312"/>
      <c r="E326" s="1292"/>
      <c r="F326" s="1292"/>
      <c r="G326"/>
    </row>
    <row r="327" spans="1:7" ht="14.4" customHeight="1">
      <c r="A327" s="687"/>
      <c r="B327" s="1193">
        <v>1</v>
      </c>
      <c r="C327" s="1202" t="s">
        <v>4311</v>
      </c>
      <c r="D327" s="1312"/>
      <c r="E327" s="1292"/>
      <c r="F327" s="1292"/>
      <c r="G327"/>
    </row>
    <row r="328" spans="1:7" ht="14.4" customHeight="1">
      <c r="A328" s="687"/>
      <c r="B328" s="1193"/>
      <c r="C328" s="1629" t="s">
        <v>12368</v>
      </c>
      <c r="D328" s="1220"/>
      <c r="E328" s="722"/>
      <c r="F328" s="722"/>
      <c r="G328"/>
    </row>
    <row r="329" spans="1:7" ht="14.4" customHeight="1">
      <c r="A329" s="687"/>
      <c r="B329" s="1197">
        <v>1</v>
      </c>
      <c r="C329" s="1203" t="s">
        <v>12370</v>
      </c>
      <c r="D329" s="1221"/>
      <c r="E329" s="1172"/>
      <c r="F329" s="1172"/>
      <c r="G329"/>
    </row>
    <row r="330" spans="1:7" ht="14.4" customHeight="1">
      <c r="A330" s="687"/>
      <c r="B330" s="1195"/>
      <c r="C330" s="1629" t="s">
        <v>12368</v>
      </c>
      <c r="D330" s="1220"/>
      <c r="E330" s="722"/>
      <c r="F330" s="722"/>
      <c r="G330"/>
    </row>
    <row r="331" spans="1:7" ht="14.4" customHeight="1">
      <c r="A331" s="687"/>
      <c r="B331" s="1196"/>
      <c r="C331" s="1303" t="s">
        <v>3377</v>
      </c>
      <c r="D331" s="1312"/>
      <c r="E331" s="1292"/>
      <c r="F331" s="1292"/>
      <c r="G331"/>
    </row>
    <row r="332" spans="1:7" ht="14.4" customHeight="1">
      <c r="A332" s="687"/>
      <c r="B332" s="1193">
        <v>2</v>
      </c>
      <c r="C332" s="1202" t="s">
        <v>4184</v>
      </c>
      <c r="D332" s="1312"/>
      <c r="E332" s="1292"/>
      <c r="F332" s="1292"/>
      <c r="G332"/>
    </row>
    <row r="333" spans="1:7" ht="14.4" customHeight="1">
      <c r="A333" s="693"/>
      <c r="B333" s="1193"/>
      <c r="C333" s="1202" t="s">
        <v>729</v>
      </c>
      <c r="D333" s="1220"/>
      <c r="E333" s="722"/>
      <c r="F333" s="722"/>
      <c r="G333"/>
    </row>
    <row r="334" spans="1:7" ht="14.4" customHeight="1">
      <c r="A334" s="687"/>
      <c r="B334" s="1196"/>
      <c r="C334" s="1201" t="s">
        <v>3063</v>
      </c>
      <c r="D334" s="1220"/>
      <c r="E334" s="1171"/>
      <c r="F334" s="1171"/>
      <c r="G334"/>
    </row>
    <row r="335" spans="1:7" ht="14.4" customHeight="1">
      <c r="A335" s="693"/>
      <c r="B335" s="1193">
        <v>1</v>
      </c>
      <c r="C335" s="1202" t="s">
        <v>4184</v>
      </c>
      <c r="D335" s="1312"/>
      <c r="E335" s="1291"/>
      <c r="F335" s="1291"/>
      <c r="G335"/>
    </row>
    <row r="336" spans="1:7" ht="14.4" customHeight="1">
      <c r="A336" s="691"/>
      <c r="B336" s="1193">
        <v>2</v>
      </c>
      <c r="C336" s="1202" t="s">
        <v>6449</v>
      </c>
      <c r="D336" s="1312"/>
      <c r="E336" s="1291"/>
      <c r="F336" s="1291"/>
      <c r="G336"/>
    </row>
    <row r="337" spans="1:7" ht="14.4" customHeight="1">
      <c r="A337" s="692"/>
      <c r="B337" s="1193"/>
      <c r="C337" s="1629" t="s">
        <v>12368</v>
      </c>
      <c r="D337" s="1220"/>
      <c r="E337" s="722"/>
      <c r="F337" s="722"/>
      <c r="G337"/>
    </row>
    <row r="338" spans="1:7" ht="14.4" customHeight="1">
      <c r="A338" s="698"/>
      <c r="B338" s="1197">
        <v>1</v>
      </c>
      <c r="C338" s="1203" t="s">
        <v>12372</v>
      </c>
      <c r="D338" s="1221"/>
      <c r="E338" s="1172"/>
      <c r="F338" s="1172"/>
      <c r="G338"/>
    </row>
    <row r="339" spans="1:7" ht="14.4" customHeight="1">
      <c r="A339" s="687"/>
      <c r="B339" s="1195"/>
      <c r="C339" s="1629" t="s">
        <v>12368</v>
      </c>
      <c r="D339" s="1220"/>
      <c r="E339" s="722"/>
      <c r="F339" s="722"/>
      <c r="G339"/>
    </row>
    <row r="340" spans="1:7" ht="14.4" customHeight="1">
      <c r="A340" s="687"/>
      <c r="B340" s="1193"/>
      <c r="C340" s="1201" t="s">
        <v>12373</v>
      </c>
      <c r="D340" s="1312"/>
      <c r="E340" s="1292"/>
      <c r="F340" s="1292"/>
      <c r="G340"/>
    </row>
    <row r="341" spans="1:7" ht="14.4" customHeight="1">
      <c r="A341" s="687"/>
      <c r="B341" s="1193"/>
      <c r="C341" s="1629" t="s">
        <v>12368</v>
      </c>
      <c r="D341" s="1220"/>
      <c r="E341" s="722"/>
      <c r="F341" s="722"/>
      <c r="G341"/>
    </row>
    <row r="342" spans="1:7" ht="14.4" customHeight="1">
      <c r="A342" s="687"/>
      <c r="B342" s="1194">
        <v>1</v>
      </c>
      <c r="C342" s="1201" t="s">
        <v>12369</v>
      </c>
      <c r="D342" s="1220"/>
      <c r="E342" s="1171"/>
      <c r="F342" s="1171"/>
      <c r="G342"/>
    </row>
    <row r="343" spans="1:7" ht="14.4" customHeight="1">
      <c r="A343" s="698"/>
      <c r="B343" s="1195">
        <v>2</v>
      </c>
      <c r="C343" s="1191" t="s">
        <v>4184</v>
      </c>
      <c r="D343" s="1220"/>
      <c r="E343" s="722"/>
      <c r="F343" s="722"/>
      <c r="G343"/>
    </row>
    <row r="344" spans="1:7" ht="14.4" customHeight="1">
      <c r="A344" s="687"/>
      <c r="B344" s="1199">
        <v>1</v>
      </c>
      <c r="C344" s="1191" t="s">
        <v>5955</v>
      </c>
      <c r="D344" s="1221"/>
      <c r="E344" s="1172"/>
      <c r="F344" s="1172"/>
      <c r="G344"/>
    </row>
    <row r="345" spans="1:7" ht="14.4" customHeight="1">
      <c r="A345" s="687"/>
      <c r="B345" s="1193"/>
      <c r="C345" s="1629" t="s">
        <v>12368</v>
      </c>
      <c r="D345" s="1220"/>
      <c r="E345" s="722"/>
      <c r="F345" s="722"/>
      <c r="G345"/>
    </row>
    <row r="346" spans="1:7" ht="14.4" customHeight="1">
      <c r="A346" s="687"/>
      <c r="B346" s="1196"/>
      <c r="C346" s="1303" t="s">
        <v>2654</v>
      </c>
      <c r="D346" s="1312"/>
      <c r="E346" s="1292"/>
      <c r="F346" s="1292"/>
      <c r="G346"/>
    </row>
    <row r="347" spans="1:7" ht="14.4" customHeight="1">
      <c r="A347" s="687"/>
      <c r="B347" s="1193">
        <v>5</v>
      </c>
      <c r="C347" s="1202" t="s">
        <v>4183</v>
      </c>
      <c r="D347" s="1312"/>
      <c r="E347" s="1292"/>
      <c r="F347" s="1292"/>
      <c r="G347"/>
    </row>
    <row r="348" spans="1:7" ht="14.4" customHeight="1">
      <c r="A348" s="687"/>
      <c r="B348" s="1193">
        <v>5</v>
      </c>
      <c r="C348" s="1202" t="s">
        <v>2043</v>
      </c>
      <c r="D348" s="1312"/>
      <c r="E348" s="1292"/>
      <c r="F348" s="1292"/>
      <c r="G348"/>
    </row>
    <row r="349" spans="1:7" ht="14.4" customHeight="1">
      <c r="A349" s="687"/>
      <c r="B349" s="1193">
        <v>1</v>
      </c>
      <c r="C349" s="1202" t="s">
        <v>2927</v>
      </c>
      <c r="D349" s="1312"/>
      <c r="E349" s="1292"/>
      <c r="F349" s="1292"/>
      <c r="G349"/>
    </row>
    <row r="350" spans="1:7" ht="14.4" customHeight="1">
      <c r="A350" s="693"/>
      <c r="B350" s="1193"/>
      <c r="C350" s="1202" t="s">
        <v>729</v>
      </c>
      <c r="D350" s="1220"/>
      <c r="E350" s="722"/>
      <c r="F350" s="722"/>
      <c r="G350"/>
    </row>
    <row r="351" spans="1:7" ht="14.4" customHeight="1">
      <c r="A351" s="1767"/>
      <c r="B351" s="1193">
        <v>1</v>
      </c>
      <c r="C351" s="1304" t="s">
        <v>12364</v>
      </c>
      <c r="D351" s="1312"/>
      <c r="E351" s="1292"/>
      <c r="F351" s="1292"/>
      <c r="G351"/>
    </row>
    <row r="352" spans="1:7" ht="14.4" customHeight="1">
      <c r="A352" s="1767"/>
      <c r="B352" s="1193">
        <v>1</v>
      </c>
      <c r="C352" s="1304" t="s">
        <v>12474</v>
      </c>
      <c r="D352" s="1312"/>
      <c r="E352" s="1292"/>
      <c r="F352" s="1292"/>
      <c r="G352"/>
    </row>
    <row r="353" spans="1:7" ht="14.4" customHeight="1">
      <c r="A353" s="693"/>
      <c r="B353" s="1193"/>
      <c r="C353" s="1202" t="s">
        <v>729</v>
      </c>
      <c r="D353" s="1220"/>
      <c r="E353" s="722"/>
      <c r="F353" s="722"/>
      <c r="G353"/>
    </row>
    <row r="354" spans="1:7" ht="14.4" customHeight="1">
      <c r="A354" s="2192"/>
      <c r="B354" s="1193">
        <v>1</v>
      </c>
      <c r="C354" s="1202" t="s">
        <v>2910</v>
      </c>
      <c r="D354" s="1640"/>
      <c r="E354" s="722"/>
      <c r="F354" s="722"/>
      <c r="G354"/>
    </row>
    <row r="355" spans="1:7" ht="14.4" customHeight="1">
      <c r="A355" s="693"/>
      <c r="B355" s="1193">
        <v>1</v>
      </c>
      <c r="C355" s="1202" t="s">
        <v>316</v>
      </c>
      <c r="D355" s="1122"/>
      <c r="E355" s="1295"/>
      <c r="F355" s="1295"/>
      <c r="G355"/>
    </row>
    <row r="356" spans="1:7" ht="14.4" customHeight="1">
      <c r="A356" s="693"/>
      <c r="B356" s="1193"/>
      <c r="C356" s="1202" t="s">
        <v>729</v>
      </c>
      <c r="D356" s="1220"/>
      <c r="E356" s="722"/>
      <c r="F356" s="722"/>
      <c r="G356"/>
    </row>
    <row r="357" spans="1:7" ht="14.4" customHeight="1" thickBot="1">
      <c r="A357" s="1855"/>
      <c r="B357" s="2182"/>
      <c r="C357" s="1631"/>
      <c r="D357" s="1641"/>
      <c r="E357" s="1632"/>
      <c r="F357" s="1632"/>
      <c r="G357"/>
    </row>
    <row r="358" spans="1:7" ht="14.4" customHeight="1" thickBot="1">
      <c r="A358" s="1587">
        <v>9</v>
      </c>
      <c r="B358" s="1630">
        <v>1</v>
      </c>
      <c r="C358" s="1329" t="s">
        <v>12574</v>
      </c>
      <c r="D358" s="1219">
        <v>17773</v>
      </c>
      <c r="E358" s="1289"/>
      <c r="F358" s="1289">
        <v>17773</v>
      </c>
      <c r="G358"/>
    </row>
    <row r="359" spans="1:7" ht="14.4" customHeight="1">
      <c r="A359" s="685" t="s">
        <v>3162</v>
      </c>
      <c r="B359" s="2178"/>
      <c r="C359" s="2179"/>
      <c r="D359" s="1312"/>
      <c r="E359" s="1291"/>
      <c r="F359" s="1291"/>
      <c r="G359"/>
    </row>
    <row r="360" spans="1:7" ht="14.4" customHeight="1">
      <c r="A360" s="687" t="s">
        <v>12553</v>
      </c>
      <c r="B360" s="1194">
        <v>1</v>
      </c>
      <c r="C360" s="1201" t="s">
        <v>5103</v>
      </c>
      <c r="D360" s="1220"/>
      <c r="E360" s="1171"/>
      <c r="F360" s="1171"/>
      <c r="G360"/>
    </row>
    <row r="361" spans="1:7" ht="14.4" customHeight="1">
      <c r="A361" s="687" t="s">
        <v>4136</v>
      </c>
      <c r="B361" s="1195">
        <v>3</v>
      </c>
      <c r="C361" s="1191" t="s">
        <v>7374</v>
      </c>
      <c r="D361" s="1220"/>
      <c r="E361" s="722"/>
      <c r="F361" s="722"/>
      <c r="G361"/>
    </row>
    <row r="362" spans="1:7" ht="14.4" customHeight="1">
      <c r="A362" s="687"/>
      <c r="B362" s="1195">
        <v>3</v>
      </c>
      <c r="C362" s="1191" t="s">
        <v>7375</v>
      </c>
      <c r="D362" s="1220"/>
      <c r="E362" s="722"/>
      <c r="F362" s="722"/>
      <c r="G362"/>
    </row>
    <row r="363" spans="1:7" ht="14.4" customHeight="1">
      <c r="A363" s="687" t="s">
        <v>12356</v>
      </c>
      <c r="B363" s="1199">
        <v>1</v>
      </c>
      <c r="C363" s="1205" t="s">
        <v>3366</v>
      </c>
      <c r="D363" s="1221"/>
      <c r="E363" s="1172"/>
      <c r="F363" s="1172"/>
      <c r="G363"/>
    </row>
    <row r="364" spans="1:7" ht="14.4" customHeight="1">
      <c r="A364" s="687" t="s">
        <v>3542</v>
      </c>
      <c r="B364" s="1194"/>
      <c r="C364" s="1218"/>
      <c r="D364" s="1220"/>
      <c r="E364" s="1171"/>
      <c r="F364" s="1171"/>
      <c r="G364"/>
    </row>
    <row r="365" spans="1:7" ht="14.4" customHeight="1">
      <c r="A365" s="687"/>
      <c r="B365" s="1195"/>
      <c r="C365" s="1629" t="s">
        <v>12368</v>
      </c>
      <c r="D365" s="1220"/>
      <c r="E365" s="722"/>
      <c r="F365" s="722"/>
      <c r="G365"/>
    </row>
    <row r="366" spans="1:7" ht="14.4" customHeight="1">
      <c r="A366" s="1638"/>
      <c r="B366" s="1192">
        <v>6</v>
      </c>
      <c r="C366" s="1202" t="s">
        <v>8588</v>
      </c>
      <c r="D366" s="1312"/>
      <c r="E366" s="1291"/>
      <c r="F366" s="1291"/>
      <c r="G366"/>
    </row>
    <row r="367" spans="1:7" ht="14.4" customHeight="1">
      <c r="A367" s="691"/>
      <c r="B367" s="1193"/>
      <c r="C367" s="1201" t="s">
        <v>3158</v>
      </c>
      <c r="D367" s="1312"/>
      <c r="E367" s="1292"/>
      <c r="F367" s="1292"/>
      <c r="G367"/>
    </row>
    <row r="368" spans="1:7" ht="14.4" customHeight="1">
      <c r="A368" s="687"/>
      <c r="B368" s="1193">
        <v>1</v>
      </c>
      <c r="C368" s="1202" t="s">
        <v>4433</v>
      </c>
      <c r="D368" s="1312"/>
      <c r="E368" s="1292"/>
      <c r="F368" s="1292"/>
      <c r="G368"/>
    </row>
    <row r="369" spans="1:7" ht="14.4" customHeight="1">
      <c r="A369" s="687"/>
      <c r="B369" s="1193"/>
      <c r="C369" s="1202" t="s">
        <v>729</v>
      </c>
      <c r="D369" s="1220"/>
      <c r="E369" s="722"/>
      <c r="F369" s="722"/>
      <c r="G369"/>
    </row>
    <row r="370" spans="1:7" ht="14.4" customHeight="1">
      <c r="A370" s="687"/>
      <c r="B370" s="1294">
        <v>1</v>
      </c>
      <c r="C370" s="1303" t="s">
        <v>12440</v>
      </c>
      <c r="D370" s="1220"/>
      <c r="E370" s="722"/>
      <c r="F370" s="722"/>
      <c r="G370"/>
    </row>
    <row r="371" spans="1:7" ht="14.4" customHeight="1">
      <c r="A371" s="687"/>
      <c r="B371" s="1199">
        <v>1</v>
      </c>
      <c r="C371" s="1205" t="s">
        <v>3378</v>
      </c>
      <c r="D371" s="1221"/>
      <c r="E371" s="1172"/>
      <c r="F371" s="1172"/>
      <c r="G371"/>
    </row>
    <row r="372" spans="1:7" ht="14.4" customHeight="1">
      <c r="A372" s="687"/>
      <c r="B372" s="1195">
        <v>1</v>
      </c>
      <c r="C372" s="1191" t="s">
        <v>3519</v>
      </c>
      <c r="D372" s="1220"/>
      <c r="E372" s="1171"/>
      <c r="F372" s="1171"/>
      <c r="G372"/>
    </row>
    <row r="373" spans="1:7" ht="14.4" customHeight="1">
      <c r="A373" s="687"/>
      <c r="B373" s="1195">
        <v>1</v>
      </c>
      <c r="C373" s="1191" t="s">
        <v>6734</v>
      </c>
      <c r="D373" s="1220"/>
      <c r="E373" s="1171"/>
      <c r="F373" s="1171"/>
      <c r="G373"/>
    </row>
    <row r="374" spans="1:7" ht="14.4" customHeight="1">
      <c r="A374" s="687"/>
      <c r="B374" s="1195">
        <v>1</v>
      </c>
      <c r="C374" s="1191" t="s">
        <v>7374</v>
      </c>
      <c r="D374" s="1220"/>
      <c r="E374" s="1171"/>
      <c r="F374" s="1171"/>
      <c r="G374"/>
    </row>
    <row r="375" spans="1:7" ht="14.4" customHeight="1">
      <c r="A375" s="687"/>
      <c r="B375" s="1195">
        <v>1</v>
      </c>
      <c r="C375" s="1191" t="s">
        <v>7375</v>
      </c>
      <c r="D375" s="1220"/>
      <c r="E375" s="1171"/>
      <c r="F375" s="1171"/>
      <c r="G375"/>
    </row>
    <row r="376" spans="1:7" ht="14.4" customHeight="1">
      <c r="A376" s="687"/>
      <c r="B376" s="1195">
        <v>1</v>
      </c>
      <c r="C376" s="1191" t="s">
        <v>2436</v>
      </c>
      <c r="D376" s="1220"/>
      <c r="E376" s="1171"/>
      <c r="F376" s="1171"/>
      <c r="G376"/>
    </row>
    <row r="377" spans="1:7" ht="14.4" customHeight="1">
      <c r="A377" s="687"/>
      <c r="B377" s="1195">
        <v>1</v>
      </c>
      <c r="C377" s="1191" t="s">
        <v>4660</v>
      </c>
      <c r="D377" s="1220"/>
      <c r="E377" s="1171"/>
      <c r="F377" s="1171"/>
      <c r="G377"/>
    </row>
    <row r="378" spans="1:7" ht="14.4" customHeight="1">
      <c r="A378" s="1208"/>
      <c r="B378" s="1199">
        <v>1</v>
      </c>
      <c r="C378" s="1205" t="s">
        <v>3379</v>
      </c>
      <c r="D378" s="1221"/>
      <c r="E378" s="1172"/>
      <c r="F378" s="1172"/>
      <c r="G378"/>
    </row>
    <row r="379" spans="1:7" ht="14.4" customHeight="1">
      <c r="A379" s="1767"/>
      <c r="B379" s="1193"/>
      <c r="C379" s="1202" t="s">
        <v>729</v>
      </c>
      <c r="D379" s="1220"/>
      <c r="E379" s="722"/>
      <c r="F379" s="722"/>
      <c r="G379"/>
    </row>
    <row r="380" spans="1:7" ht="14.4" customHeight="1">
      <c r="A380" s="687"/>
      <c r="B380" s="1193"/>
      <c r="C380" s="1627" t="s">
        <v>11663</v>
      </c>
      <c r="D380" s="1312"/>
      <c r="E380" s="722"/>
      <c r="F380" s="722"/>
      <c r="G380"/>
    </row>
    <row r="381" spans="1:7" ht="14.4" customHeight="1">
      <c r="A381" s="687"/>
      <c r="B381" s="1193">
        <v>1</v>
      </c>
      <c r="C381" s="1202" t="s">
        <v>12165</v>
      </c>
      <c r="D381" s="1312"/>
      <c r="E381" s="722"/>
      <c r="F381" s="722"/>
      <c r="G381"/>
    </row>
    <row r="382" spans="1:7" ht="14.4" customHeight="1">
      <c r="A382" s="687"/>
      <c r="B382" s="1193">
        <v>3</v>
      </c>
      <c r="C382" s="1202" t="s">
        <v>434</v>
      </c>
      <c r="D382" s="1312"/>
      <c r="E382" s="722"/>
      <c r="F382" s="722"/>
      <c r="G382"/>
    </row>
    <row r="383" spans="1:7" ht="14.4" customHeight="1">
      <c r="A383" s="687"/>
      <c r="B383" s="1193">
        <v>5</v>
      </c>
      <c r="C383" s="1202" t="s">
        <v>8288</v>
      </c>
      <c r="D383" s="1312"/>
      <c r="E383" s="722"/>
      <c r="F383" s="722"/>
      <c r="G383"/>
    </row>
    <row r="384" spans="1:7" ht="14.4" customHeight="1">
      <c r="A384" s="687"/>
      <c r="B384" s="1193">
        <v>6</v>
      </c>
      <c r="C384" s="1202" t="s">
        <v>8275</v>
      </c>
      <c r="D384" s="1312"/>
      <c r="E384" s="722"/>
      <c r="F384" s="722"/>
      <c r="G384"/>
    </row>
    <row r="385" spans="1:7" ht="14.4" customHeight="1">
      <c r="A385" s="693"/>
      <c r="B385" s="1193"/>
      <c r="C385" s="1202" t="s">
        <v>729</v>
      </c>
      <c r="D385" s="1220"/>
      <c r="E385" s="722"/>
      <c r="F385" s="722"/>
      <c r="G385"/>
    </row>
    <row r="386" spans="1:7" ht="14.4" customHeight="1">
      <c r="A386" s="1767"/>
      <c r="B386" s="1196"/>
      <c r="C386" s="1303" t="s">
        <v>3377</v>
      </c>
      <c r="D386" s="1312"/>
      <c r="E386" s="1292"/>
      <c r="F386" s="1292"/>
      <c r="G386"/>
    </row>
    <row r="387" spans="1:7" ht="14.4" customHeight="1">
      <c r="A387" s="1767"/>
      <c r="B387" s="1193">
        <v>2</v>
      </c>
      <c r="C387" s="1202" t="s">
        <v>4429</v>
      </c>
      <c r="D387" s="1312"/>
      <c r="E387" s="1291"/>
      <c r="F387" s="1291"/>
      <c r="G387"/>
    </row>
    <row r="388" spans="1:7" ht="14.4" customHeight="1">
      <c r="A388" s="1767"/>
      <c r="B388" s="1193">
        <v>3</v>
      </c>
      <c r="C388" s="1202" t="s">
        <v>4427</v>
      </c>
      <c r="D388" s="1312"/>
      <c r="E388" s="1291"/>
      <c r="F388" s="1291"/>
      <c r="G388"/>
    </row>
    <row r="389" spans="1:7" ht="14.4" customHeight="1">
      <c r="A389" s="1767"/>
      <c r="B389" s="1193">
        <v>2</v>
      </c>
      <c r="C389" s="1202" t="s">
        <v>4425</v>
      </c>
      <c r="D389" s="1312"/>
      <c r="E389" s="1291"/>
      <c r="F389" s="1291"/>
      <c r="G389"/>
    </row>
    <row r="390" spans="1:7" ht="14.4" customHeight="1">
      <c r="A390" s="1767"/>
      <c r="B390" s="1193">
        <v>1</v>
      </c>
      <c r="C390" s="1202" t="s">
        <v>2933</v>
      </c>
      <c r="D390" s="1312"/>
      <c r="E390" s="1291"/>
      <c r="F390" s="1291"/>
      <c r="G390"/>
    </row>
    <row r="391" spans="1:7" ht="14.4" customHeight="1">
      <c r="A391" s="693"/>
      <c r="B391" s="1193"/>
      <c r="C391" s="1202" t="s">
        <v>729</v>
      </c>
      <c r="D391" s="1220"/>
      <c r="E391" s="722"/>
      <c r="F391" s="722"/>
      <c r="G391"/>
    </row>
    <row r="392" spans="1:7" ht="14.4" customHeight="1">
      <c r="A392" s="693"/>
      <c r="B392" s="1196"/>
      <c r="C392" s="1201" t="s">
        <v>3063</v>
      </c>
      <c r="D392" s="1220"/>
      <c r="E392" s="1171"/>
      <c r="F392" s="1171"/>
      <c r="G392"/>
    </row>
    <row r="393" spans="1:7" ht="14.4" customHeight="1">
      <c r="A393" s="691"/>
      <c r="B393" s="1193">
        <v>1</v>
      </c>
      <c r="C393" s="1202" t="s">
        <v>4427</v>
      </c>
      <c r="D393" s="1312"/>
      <c r="E393" s="1291"/>
      <c r="F393" s="1291"/>
      <c r="G393"/>
    </row>
    <row r="394" spans="1:7" ht="14.4" customHeight="1">
      <c r="A394" s="691"/>
      <c r="B394" s="1193">
        <v>1</v>
      </c>
      <c r="C394" s="1202" t="s">
        <v>12358</v>
      </c>
      <c r="D394" s="1312"/>
      <c r="E394" s="1291"/>
      <c r="F394" s="1291"/>
      <c r="G394"/>
    </row>
    <row r="395" spans="1:7" ht="14.4" customHeight="1">
      <c r="A395" s="693"/>
      <c r="B395" s="1193"/>
      <c r="C395" s="1202" t="s">
        <v>729</v>
      </c>
      <c r="D395" s="1220"/>
      <c r="E395" s="722"/>
      <c r="F395" s="722"/>
      <c r="G395"/>
    </row>
    <row r="396" spans="1:7" ht="14.4" customHeight="1">
      <c r="A396" s="1767"/>
      <c r="B396" s="1193">
        <v>1</v>
      </c>
      <c r="C396" s="1304" t="s">
        <v>12366</v>
      </c>
      <c r="D396" s="1312"/>
      <c r="E396" s="1292"/>
      <c r="F396" s="1292"/>
      <c r="G396"/>
    </row>
    <row r="397" spans="1:7" ht="14.4" customHeight="1">
      <c r="A397" s="693"/>
      <c r="B397" s="1193"/>
      <c r="C397" s="1202" t="s">
        <v>729</v>
      </c>
      <c r="D397" s="1220"/>
      <c r="E397" s="722"/>
      <c r="F397" s="722"/>
      <c r="G397"/>
    </row>
    <row r="398" spans="1:7" ht="14.4" customHeight="1">
      <c r="A398" s="1767"/>
      <c r="B398" s="1193">
        <v>1</v>
      </c>
      <c r="C398" s="1304" t="s">
        <v>12364</v>
      </c>
      <c r="D398" s="1312"/>
      <c r="E398" s="1292"/>
      <c r="F398" s="1292"/>
      <c r="G398"/>
    </row>
    <row r="399" spans="1:7" ht="14.4" customHeight="1">
      <c r="A399" s="1767"/>
      <c r="B399" s="1193">
        <v>1</v>
      </c>
      <c r="C399" s="1304" t="s">
        <v>12363</v>
      </c>
      <c r="D399" s="1312"/>
      <c r="E399" s="1292"/>
      <c r="F399" s="1292"/>
      <c r="G399"/>
    </row>
    <row r="400" spans="1:7" ht="14.4" customHeight="1">
      <c r="A400" s="1767"/>
      <c r="B400" s="1193">
        <v>1</v>
      </c>
      <c r="C400" s="1304" t="s">
        <v>12475</v>
      </c>
      <c r="D400" s="1312"/>
      <c r="E400" s="1292"/>
      <c r="F400" s="1292"/>
      <c r="G400"/>
    </row>
    <row r="401" spans="1:7" ht="14.4" customHeight="1">
      <c r="A401" s="693"/>
      <c r="B401" s="1193"/>
      <c r="C401" s="1202" t="s">
        <v>729</v>
      </c>
      <c r="D401" s="1220"/>
      <c r="E401" s="722"/>
      <c r="F401" s="722"/>
      <c r="G401"/>
    </row>
    <row r="402" spans="1:7" ht="14.4" customHeight="1">
      <c r="A402" s="693"/>
      <c r="B402" s="1193">
        <v>1</v>
      </c>
      <c r="C402" s="1202" t="s">
        <v>316</v>
      </c>
      <c r="D402" s="1122"/>
      <c r="E402" s="1295"/>
      <c r="F402" s="1295"/>
      <c r="G402"/>
    </row>
    <row r="403" spans="1:7" ht="14.4" customHeight="1">
      <c r="A403" s="693"/>
      <c r="B403" s="1193"/>
      <c r="C403" s="1202" t="s">
        <v>729</v>
      </c>
      <c r="D403" s="1220"/>
      <c r="E403" s="722"/>
      <c r="F403" s="722"/>
      <c r="G403"/>
    </row>
    <row r="404" spans="1:7" ht="14.4" customHeight="1" thickBot="1">
      <c r="A404" s="699"/>
      <c r="B404" s="1200"/>
      <c r="C404" s="1305"/>
      <c r="D404" s="1313"/>
      <c r="E404" s="1297"/>
      <c r="F404" s="1297"/>
      <c r="G404"/>
    </row>
    <row r="405" spans="1:7" ht="14.4" customHeight="1" thickBot="1">
      <c r="A405" s="1587">
        <v>10</v>
      </c>
      <c r="B405" s="1630">
        <v>1</v>
      </c>
      <c r="C405" s="1329" t="s">
        <v>12575</v>
      </c>
      <c r="D405" s="1219">
        <v>13346</v>
      </c>
      <c r="E405" s="1289"/>
      <c r="F405" s="1289">
        <v>13346</v>
      </c>
      <c r="G405"/>
    </row>
    <row r="406" spans="1:7" ht="14.4" customHeight="1">
      <c r="A406" s="685" t="s">
        <v>3064</v>
      </c>
      <c r="B406" s="2178"/>
      <c r="C406" s="2179"/>
      <c r="D406" s="1312"/>
      <c r="E406" s="1291"/>
      <c r="F406" s="1291"/>
      <c r="G406"/>
    </row>
    <row r="407" spans="1:7" ht="14.4" customHeight="1">
      <c r="A407" s="687" t="s">
        <v>12553</v>
      </c>
      <c r="B407" s="1194">
        <v>1</v>
      </c>
      <c r="C407" s="1201" t="s">
        <v>5103</v>
      </c>
      <c r="D407" s="1220"/>
      <c r="E407" s="1171"/>
      <c r="F407" s="1171"/>
      <c r="G407"/>
    </row>
    <row r="408" spans="1:7" ht="14.4" customHeight="1">
      <c r="A408" s="687" t="s">
        <v>4136</v>
      </c>
      <c r="B408" s="1195">
        <v>3</v>
      </c>
      <c r="C408" s="1191" t="s">
        <v>7374</v>
      </c>
      <c r="D408" s="1220"/>
      <c r="E408" s="722"/>
      <c r="F408" s="722"/>
      <c r="G408"/>
    </row>
    <row r="409" spans="1:7" ht="14.4" customHeight="1">
      <c r="A409" s="687"/>
      <c r="B409" s="1195">
        <v>3</v>
      </c>
      <c r="C409" s="1191" t="s">
        <v>7375</v>
      </c>
      <c r="D409" s="1220"/>
      <c r="E409" s="722"/>
      <c r="F409" s="722"/>
      <c r="G409"/>
    </row>
    <row r="410" spans="1:7" ht="14.4" customHeight="1">
      <c r="A410" s="687" t="s">
        <v>12356</v>
      </c>
      <c r="B410" s="1199">
        <v>1</v>
      </c>
      <c r="C410" s="1205" t="s">
        <v>3366</v>
      </c>
      <c r="D410" s="1221"/>
      <c r="E410" s="1172"/>
      <c r="F410" s="1172"/>
      <c r="G410"/>
    </row>
    <row r="411" spans="1:7" ht="14.4" customHeight="1">
      <c r="A411" s="687" t="s">
        <v>3542</v>
      </c>
      <c r="B411" s="1194"/>
      <c r="C411" s="1218"/>
      <c r="D411" s="1220"/>
      <c r="E411" s="1171"/>
      <c r="F411" s="1171"/>
      <c r="G411"/>
    </row>
    <row r="412" spans="1:7" ht="14.4" customHeight="1">
      <c r="A412" s="687"/>
      <c r="B412" s="1195"/>
      <c r="C412" s="1629" t="s">
        <v>12368</v>
      </c>
      <c r="D412" s="1220"/>
      <c r="E412" s="722"/>
      <c r="F412" s="722"/>
      <c r="G412"/>
    </row>
    <row r="413" spans="1:7" ht="14.4" customHeight="1">
      <c r="A413" s="691"/>
      <c r="B413" s="1192">
        <v>6</v>
      </c>
      <c r="C413" s="1202" t="s">
        <v>8588</v>
      </c>
      <c r="D413" s="1312"/>
      <c r="E413" s="1291"/>
      <c r="F413" s="1291"/>
      <c r="G413"/>
    </row>
    <row r="414" spans="1:7" ht="14.4" customHeight="1">
      <c r="A414" s="687"/>
      <c r="B414" s="1193"/>
      <c r="C414" s="1201" t="s">
        <v>3158</v>
      </c>
      <c r="D414" s="1312"/>
      <c r="E414" s="1292"/>
      <c r="F414" s="1292"/>
      <c r="G414"/>
    </row>
    <row r="415" spans="1:7" ht="14.4" customHeight="1">
      <c r="A415" s="687"/>
      <c r="B415" s="1193">
        <v>1</v>
      </c>
      <c r="C415" s="1202" t="s">
        <v>4427</v>
      </c>
      <c r="D415" s="1312"/>
      <c r="E415" s="1292"/>
      <c r="F415" s="1292"/>
      <c r="G415"/>
    </row>
    <row r="416" spans="1:7" ht="14.4" customHeight="1">
      <c r="A416" s="687"/>
      <c r="B416" s="1193"/>
      <c r="C416" s="1202" t="s">
        <v>729</v>
      </c>
      <c r="D416" s="1220"/>
      <c r="E416" s="722"/>
      <c r="F416" s="722"/>
      <c r="G416"/>
    </row>
    <row r="417" spans="1:7" ht="14.4" customHeight="1">
      <c r="A417" s="687"/>
      <c r="B417" s="1294">
        <v>1</v>
      </c>
      <c r="C417" s="1303" t="s">
        <v>12388</v>
      </c>
      <c r="D417" s="1220"/>
      <c r="E417" s="722"/>
      <c r="F417" s="722"/>
      <c r="G417"/>
    </row>
    <row r="418" spans="1:7" ht="14.4" customHeight="1">
      <c r="A418" s="692"/>
      <c r="B418" s="1199">
        <v>1</v>
      </c>
      <c r="C418" s="1205" t="s">
        <v>3378</v>
      </c>
      <c r="D418" s="1221"/>
      <c r="E418" s="1172"/>
      <c r="F418" s="1172"/>
      <c r="G418"/>
    </row>
    <row r="419" spans="1:7" ht="14.4" customHeight="1">
      <c r="A419" s="687"/>
      <c r="B419" s="1195">
        <v>1</v>
      </c>
      <c r="C419" s="1191" t="s">
        <v>3519</v>
      </c>
      <c r="D419" s="1220"/>
      <c r="E419" s="1171"/>
      <c r="F419" s="1171"/>
      <c r="G419"/>
    </row>
    <row r="420" spans="1:7" ht="14.4" customHeight="1">
      <c r="A420" s="687"/>
      <c r="B420" s="1195">
        <v>1</v>
      </c>
      <c r="C420" s="1191" t="s">
        <v>6734</v>
      </c>
      <c r="D420" s="1220"/>
      <c r="E420" s="1171"/>
      <c r="F420" s="1171"/>
      <c r="G420"/>
    </row>
    <row r="421" spans="1:7" ht="14.4" customHeight="1">
      <c r="A421" s="687"/>
      <c r="B421" s="1195">
        <v>1</v>
      </c>
      <c r="C421" s="1191" t="s">
        <v>7374</v>
      </c>
      <c r="D421" s="1220"/>
      <c r="E421" s="1171"/>
      <c r="F421" s="1171"/>
      <c r="G421"/>
    </row>
    <row r="422" spans="1:7" ht="14.4" customHeight="1">
      <c r="A422" s="687"/>
      <c r="B422" s="1195">
        <v>1</v>
      </c>
      <c r="C422" s="1191" t="s">
        <v>7375</v>
      </c>
      <c r="D422" s="1220"/>
      <c r="E422" s="1171"/>
      <c r="F422" s="1171"/>
      <c r="G422"/>
    </row>
    <row r="423" spans="1:7" ht="14.4" customHeight="1">
      <c r="A423" s="687"/>
      <c r="B423" s="1195">
        <v>1</v>
      </c>
      <c r="C423" s="1191" t="s">
        <v>2436</v>
      </c>
      <c r="D423" s="1220"/>
      <c r="E423" s="1171"/>
      <c r="F423" s="1171"/>
      <c r="G423"/>
    </row>
    <row r="424" spans="1:7" ht="14.4" customHeight="1">
      <c r="A424" s="687"/>
      <c r="B424" s="1195">
        <v>1</v>
      </c>
      <c r="C424" s="1191" t="s">
        <v>4660</v>
      </c>
      <c r="D424" s="1220"/>
      <c r="E424" s="1171"/>
      <c r="F424" s="1171"/>
      <c r="G424"/>
    </row>
    <row r="425" spans="1:7" ht="14.4" customHeight="1">
      <c r="A425" s="1208"/>
      <c r="B425" s="1199">
        <v>1</v>
      </c>
      <c r="C425" s="1205" t="s">
        <v>3379</v>
      </c>
      <c r="D425" s="1221"/>
      <c r="E425" s="1172"/>
      <c r="F425" s="1172"/>
      <c r="G425"/>
    </row>
    <row r="426" spans="1:7" ht="14.4" customHeight="1">
      <c r="A426" s="1767"/>
      <c r="B426" s="1193"/>
      <c r="C426" s="1202" t="s">
        <v>729</v>
      </c>
      <c r="D426" s="1220"/>
      <c r="E426" s="722"/>
      <c r="F426" s="722"/>
      <c r="G426"/>
    </row>
    <row r="427" spans="1:7" ht="14.4" customHeight="1">
      <c r="A427" s="687"/>
      <c r="B427" s="1193"/>
      <c r="C427" s="1201" t="s">
        <v>11663</v>
      </c>
      <c r="D427" s="1312"/>
      <c r="E427" s="722"/>
      <c r="F427" s="722"/>
      <c r="G427"/>
    </row>
    <row r="428" spans="1:7" ht="14.4" customHeight="1">
      <c r="A428" s="687"/>
      <c r="B428" s="1193">
        <v>1</v>
      </c>
      <c r="C428" s="1202" t="s">
        <v>12165</v>
      </c>
      <c r="D428" s="1312"/>
      <c r="E428" s="722"/>
      <c r="F428" s="722"/>
      <c r="G428"/>
    </row>
    <row r="429" spans="1:7" ht="14.4" customHeight="1">
      <c r="A429" s="687"/>
      <c r="B429" s="1193">
        <v>3</v>
      </c>
      <c r="C429" s="1202" t="s">
        <v>8261</v>
      </c>
      <c r="D429" s="1312"/>
      <c r="E429" s="722"/>
      <c r="F429" s="722"/>
      <c r="G429"/>
    </row>
    <row r="430" spans="1:7" ht="14.4" customHeight="1">
      <c r="A430" s="687"/>
      <c r="B430" s="1193">
        <v>5</v>
      </c>
      <c r="C430" s="1202" t="s">
        <v>8288</v>
      </c>
      <c r="D430" s="1312"/>
      <c r="E430" s="722"/>
      <c r="F430" s="722"/>
      <c r="G430"/>
    </row>
    <row r="431" spans="1:7" ht="14.4" customHeight="1">
      <c r="A431" s="687"/>
      <c r="B431" s="1193">
        <v>6</v>
      </c>
      <c r="C431" s="1202" t="s">
        <v>8275</v>
      </c>
      <c r="D431" s="1312"/>
      <c r="E431" s="722"/>
      <c r="F431" s="722"/>
      <c r="G431"/>
    </row>
    <row r="432" spans="1:7" ht="14.4" customHeight="1">
      <c r="A432" s="693"/>
      <c r="B432" s="1193"/>
      <c r="C432" s="1202" t="s">
        <v>729</v>
      </c>
      <c r="D432" s="1220"/>
      <c r="E432" s="722"/>
      <c r="F432" s="722"/>
      <c r="G432"/>
    </row>
    <row r="433" spans="1:7" ht="14.4" customHeight="1">
      <c r="A433" s="1767"/>
      <c r="B433" s="1196"/>
      <c r="C433" s="1303" t="s">
        <v>3377</v>
      </c>
      <c r="D433" s="1312"/>
      <c r="E433" s="1292"/>
      <c r="F433" s="1292"/>
      <c r="G433"/>
    </row>
    <row r="434" spans="1:7" ht="14.4" customHeight="1">
      <c r="A434" s="1767"/>
      <c r="B434" s="1193">
        <v>1</v>
      </c>
      <c r="C434" s="1202" t="s">
        <v>4428</v>
      </c>
      <c r="D434" s="1312"/>
      <c r="E434" s="1291"/>
      <c r="F434" s="1291"/>
      <c r="G434"/>
    </row>
    <row r="435" spans="1:7" ht="14.4" customHeight="1">
      <c r="A435" s="1767"/>
      <c r="B435" s="1193">
        <v>1</v>
      </c>
      <c r="C435" s="1202" t="s">
        <v>4426</v>
      </c>
      <c r="D435" s="1312"/>
      <c r="E435" s="1291"/>
      <c r="F435" s="1291"/>
      <c r="G435"/>
    </row>
    <row r="436" spans="1:7" ht="14.4" customHeight="1">
      <c r="A436" s="1767"/>
      <c r="B436" s="1193">
        <v>2</v>
      </c>
      <c r="C436" s="1202" t="s">
        <v>4425</v>
      </c>
      <c r="D436" s="1312"/>
      <c r="E436" s="1291"/>
      <c r="F436" s="1291"/>
      <c r="G436"/>
    </row>
    <row r="437" spans="1:7" ht="14.4" customHeight="1">
      <c r="A437" s="1767"/>
      <c r="B437" s="1193">
        <v>2</v>
      </c>
      <c r="C437" s="1202" t="s">
        <v>4424</v>
      </c>
      <c r="D437" s="1312"/>
      <c r="E437" s="1291"/>
      <c r="F437" s="1291"/>
      <c r="G437"/>
    </row>
    <row r="438" spans="1:7" ht="14.4" customHeight="1">
      <c r="A438" s="1767"/>
      <c r="B438" s="1193">
        <v>2</v>
      </c>
      <c r="C438" s="1202" t="s">
        <v>2933</v>
      </c>
      <c r="D438" s="1312"/>
      <c r="E438" s="1291"/>
      <c r="F438" s="1291"/>
      <c r="G438"/>
    </row>
    <row r="439" spans="1:7" ht="14.4" customHeight="1">
      <c r="A439" s="693"/>
      <c r="B439" s="1193"/>
      <c r="C439" s="1202" t="s">
        <v>729</v>
      </c>
      <c r="D439" s="1220"/>
      <c r="E439" s="722"/>
      <c r="F439" s="722"/>
      <c r="G439"/>
    </row>
    <row r="440" spans="1:7" ht="14.4" customHeight="1">
      <c r="A440" s="693"/>
      <c r="B440" s="1196"/>
      <c r="C440" s="1201" t="s">
        <v>3063</v>
      </c>
      <c r="D440" s="1220"/>
      <c r="E440" s="1171"/>
      <c r="F440" s="1171"/>
      <c r="G440"/>
    </row>
    <row r="441" spans="1:7" ht="14.4" customHeight="1">
      <c r="A441" s="691"/>
      <c r="B441" s="1193">
        <v>1</v>
      </c>
      <c r="C441" s="1202" t="s">
        <v>4427</v>
      </c>
      <c r="D441" s="1312"/>
      <c r="E441" s="1291"/>
      <c r="F441" s="1291"/>
      <c r="G441"/>
    </row>
    <row r="442" spans="1:7" ht="14.4" customHeight="1">
      <c r="A442" s="691"/>
      <c r="B442" s="1193">
        <v>1</v>
      </c>
      <c r="C442" s="1202" t="s">
        <v>12358</v>
      </c>
      <c r="D442" s="1312"/>
      <c r="E442" s="1291"/>
      <c r="F442" s="1291"/>
      <c r="G442"/>
    </row>
    <row r="443" spans="1:7" ht="14.4" customHeight="1">
      <c r="A443" s="693"/>
      <c r="B443" s="1193"/>
      <c r="C443" s="1202" t="s">
        <v>729</v>
      </c>
      <c r="D443" s="1220"/>
      <c r="E443" s="722"/>
      <c r="F443" s="722"/>
      <c r="G443"/>
    </row>
    <row r="444" spans="1:7" ht="14.4" customHeight="1">
      <c r="A444" s="1767"/>
      <c r="B444" s="1193">
        <v>1</v>
      </c>
      <c r="C444" s="1304" t="s">
        <v>12366</v>
      </c>
      <c r="D444" s="1312"/>
      <c r="E444" s="1292"/>
      <c r="F444" s="1292"/>
      <c r="G444"/>
    </row>
    <row r="445" spans="1:7" ht="14.4" customHeight="1">
      <c r="A445" s="693"/>
      <c r="B445" s="1193"/>
      <c r="C445" s="1202" t="s">
        <v>729</v>
      </c>
      <c r="D445" s="1220"/>
      <c r="E445" s="722"/>
      <c r="F445" s="722"/>
      <c r="G445"/>
    </row>
    <row r="446" spans="1:7" ht="14.4" customHeight="1">
      <c r="A446" s="1767"/>
      <c r="B446" s="1193">
        <v>1</v>
      </c>
      <c r="C446" s="1304" t="s">
        <v>12364</v>
      </c>
      <c r="D446" s="1312"/>
      <c r="E446" s="1292"/>
      <c r="F446" s="1292"/>
      <c r="G446"/>
    </row>
    <row r="447" spans="1:7" ht="14.4" customHeight="1">
      <c r="A447" s="1767"/>
      <c r="B447" s="1193">
        <v>1</v>
      </c>
      <c r="C447" s="1304" t="s">
        <v>12474</v>
      </c>
      <c r="D447" s="1312"/>
      <c r="E447" s="1292"/>
      <c r="F447" s="1292"/>
      <c r="G447"/>
    </row>
    <row r="448" spans="1:7" ht="14.4" customHeight="1">
      <c r="A448" s="693"/>
      <c r="B448" s="1193"/>
      <c r="C448" s="1202" t="s">
        <v>729</v>
      </c>
      <c r="D448" s="1220"/>
      <c r="E448" s="722"/>
      <c r="F448" s="722"/>
      <c r="G448"/>
    </row>
    <row r="449" spans="1:7" ht="14.4" customHeight="1">
      <c r="A449" s="693"/>
      <c r="B449" s="1193">
        <v>1</v>
      </c>
      <c r="C449" s="1202" t="s">
        <v>316</v>
      </c>
      <c r="D449" s="1122"/>
      <c r="E449" s="1295"/>
      <c r="F449" s="1295"/>
      <c r="G449"/>
    </row>
    <row r="450" spans="1:7" ht="14.4" customHeight="1" thickBot="1">
      <c r="A450" s="699"/>
      <c r="B450" s="1200"/>
      <c r="C450" s="1305"/>
      <c r="D450" s="1313"/>
      <c r="E450" s="1297"/>
      <c r="F450" s="1297"/>
      <c r="G450"/>
    </row>
    <row r="451" spans="1:7" ht="14.4" customHeight="1" thickBot="1">
      <c r="A451" s="1587">
        <v>11</v>
      </c>
      <c r="B451" s="1630">
        <v>1</v>
      </c>
      <c r="C451" s="1329" t="s">
        <v>12576</v>
      </c>
      <c r="D451" s="1219">
        <v>7912</v>
      </c>
      <c r="E451" s="1289"/>
      <c r="F451" s="1289">
        <v>7912</v>
      </c>
      <c r="G451"/>
    </row>
    <row r="452" spans="1:7" ht="14.4" customHeight="1">
      <c r="A452" s="685" t="s">
        <v>3064</v>
      </c>
      <c r="B452" s="2178"/>
      <c r="C452" s="2179"/>
      <c r="D452" s="1312"/>
      <c r="E452" s="1291"/>
      <c r="F452" s="1291"/>
      <c r="G452"/>
    </row>
    <row r="453" spans="1:7" ht="14.4" customHeight="1">
      <c r="A453" s="687" t="s">
        <v>12553</v>
      </c>
      <c r="B453" s="1194">
        <v>1</v>
      </c>
      <c r="C453" s="1201" t="s">
        <v>5103</v>
      </c>
      <c r="D453" s="1220"/>
      <c r="E453" s="1171"/>
      <c r="F453" s="1171"/>
      <c r="G453"/>
    </row>
    <row r="454" spans="1:7" ht="14.4" customHeight="1">
      <c r="A454" s="687" t="s">
        <v>4136</v>
      </c>
      <c r="B454" s="1195">
        <v>3</v>
      </c>
      <c r="C454" s="1191" t="s">
        <v>7374</v>
      </c>
      <c r="D454" s="1220"/>
      <c r="E454" s="722"/>
      <c r="F454" s="722"/>
      <c r="G454"/>
    </row>
    <row r="455" spans="1:7" ht="14.4" customHeight="1">
      <c r="A455" s="687"/>
      <c r="B455" s="1195">
        <v>3</v>
      </c>
      <c r="C455" s="1191" t="s">
        <v>7375</v>
      </c>
      <c r="D455" s="1220"/>
      <c r="E455" s="722"/>
      <c r="F455" s="722"/>
      <c r="G455"/>
    </row>
    <row r="456" spans="1:7" ht="14.4" customHeight="1">
      <c r="A456" s="687" t="s">
        <v>12356</v>
      </c>
      <c r="B456" s="1199">
        <v>1</v>
      </c>
      <c r="C456" s="1205" t="s">
        <v>3366</v>
      </c>
      <c r="D456" s="1221"/>
      <c r="E456" s="1172"/>
      <c r="F456" s="1172"/>
      <c r="G456"/>
    </row>
    <row r="457" spans="1:7" ht="14.4" customHeight="1">
      <c r="A457" s="687" t="s">
        <v>3542</v>
      </c>
      <c r="B457" s="1194"/>
      <c r="C457" s="1218"/>
      <c r="D457" s="1220"/>
      <c r="E457" s="1171"/>
      <c r="F457" s="1171"/>
      <c r="G457"/>
    </row>
    <row r="458" spans="1:7" ht="14.4" customHeight="1">
      <c r="A458" s="687"/>
      <c r="B458" s="1195"/>
      <c r="C458" s="1629" t="s">
        <v>12368</v>
      </c>
      <c r="D458" s="1220"/>
      <c r="E458" s="722"/>
      <c r="F458" s="722"/>
      <c r="G458"/>
    </row>
    <row r="459" spans="1:7" ht="14.4" customHeight="1">
      <c r="A459" s="693"/>
      <c r="B459" s="1193"/>
      <c r="C459" s="1201" t="s">
        <v>3158</v>
      </c>
      <c r="D459" s="1312"/>
      <c r="E459" s="1292"/>
      <c r="F459" s="1292"/>
      <c r="G459"/>
    </row>
    <row r="460" spans="1:7" ht="14.4" customHeight="1">
      <c r="A460" s="687"/>
      <c r="B460" s="1194">
        <v>1</v>
      </c>
      <c r="C460" s="1202" t="s">
        <v>6601</v>
      </c>
      <c r="D460" s="1312"/>
      <c r="E460" s="1292"/>
      <c r="F460" s="1292"/>
      <c r="G460"/>
    </row>
    <row r="461" spans="1:7" ht="14.4" customHeight="1">
      <c r="A461" s="693"/>
      <c r="B461" s="1193"/>
      <c r="C461" s="1202" t="s">
        <v>729</v>
      </c>
      <c r="D461" s="1220"/>
      <c r="E461" s="722"/>
      <c r="F461" s="722"/>
      <c r="G461"/>
    </row>
    <row r="462" spans="1:7" ht="14.4" customHeight="1">
      <c r="A462" s="693"/>
      <c r="B462" s="1196"/>
      <c r="C462" s="1303" t="s">
        <v>9431</v>
      </c>
      <c r="D462" s="1312"/>
      <c r="E462" s="1292"/>
      <c r="F462" s="1292"/>
      <c r="G462"/>
    </row>
    <row r="463" spans="1:7" ht="14.4" customHeight="1">
      <c r="A463" s="693"/>
      <c r="B463" s="1193">
        <v>2</v>
      </c>
      <c r="C463" s="1202" t="s">
        <v>4207</v>
      </c>
      <c r="D463" s="1312"/>
      <c r="E463" s="1291"/>
      <c r="F463" s="1291"/>
      <c r="G463"/>
    </row>
    <row r="464" spans="1:7" ht="14.4" customHeight="1">
      <c r="A464" s="693"/>
      <c r="B464" s="1196"/>
      <c r="C464" s="1303" t="s">
        <v>12546</v>
      </c>
      <c r="D464" s="1312"/>
      <c r="E464" s="1292"/>
      <c r="F464" s="1292"/>
      <c r="G464"/>
    </row>
    <row r="465" spans="1:7" ht="14.4" customHeight="1">
      <c r="A465" s="693"/>
      <c r="B465" s="1193">
        <v>14</v>
      </c>
      <c r="C465" s="1202" t="s">
        <v>4183</v>
      </c>
      <c r="D465" s="1312"/>
      <c r="E465" s="1291"/>
      <c r="F465" s="1291"/>
      <c r="G465"/>
    </row>
    <row r="466" spans="1:7" ht="14.4" customHeight="1">
      <c r="A466" s="693"/>
      <c r="B466" s="1193">
        <v>14</v>
      </c>
      <c r="C466" s="1202" t="s">
        <v>5319</v>
      </c>
      <c r="D466" s="1312"/>
      <c r="E466" s="1291"/>
      <c r="F466" s="1291"/>
      <c r="G466"/>
    </row>
    <row r="467" spans="1:7" ht="14.4" customHeight="1">
      <c r="A467" s="693"/>
      <c r="B467" s="1193">
        <v>1</v>
      </c>
      <c r="C467" s="1202" t="s">
        <v>2927</v>
      </c>
      <c r="D467" s="1312"/>
      <c r="E467" s="1291"/>
      <c r="F467" s="1291"/>
      <c r="G467"/>
    </row>
    <row r="468" spans="1:7" ht="14.4" customHeight="1">
      <c r="A468" s="693"/>
      <c r="B468" s="1193"/>
      <c r="C468" s="1202" t="s">
        <v>729</v>
      </c>
      <c r="D468" s="1220"/>
      <c r="E468" s="722"/>
      <c r="F468" s="722"/>
      <c r="G468"/>
    </row>
    <row r="469" spans="1:7" ht="14.4" customHeight="1">
      <c r="A469" s="693"/>
      <c r="B469" s="1196"/>
      <c r="C469" s="1303" t="s">
        <v>12547</v>
      </c>
      <c r="D469" s="1312"/>
      <c r="E469" s="1292"/>
      <c r="F469" s="1292"/>
      <c r="G469"/>
    </row>
    <row r="470" spans="1:7" ht="14.4" customHeight="1">
      <c r="A470" s="693"/>
      <c r="B470" s="1193">
        <v>11</v>
      </c>
      <c r="C470" s="1202" t="s">
        <v>4183</v>
      </c>
      <c r="D470" s="1312"/>
      <c r="E470" s="1291"/>
      <c r="F470" s="1291"/>
      <c r="G470"/>
    </row>
    <row r="471" spans="1:7" ht="14.4" customHeight="1">
      <c r="A471" s="693"/>
      <c r="B471" s="1193">
        <v>11</v>
      </c>
      <c r="C471" s="1202" t="s">
        <v>5319</v>
      </c>
      <c r="D471" s="1312"/>
      <c r="E471" s="1291"/>
      <c r="F471" s="1291"/>
      <c r="G471"/>
    </row>
    <row r="472" spans="1:7" ht="14.4" customHeight="1">
      <c r="A472" s="693"/>
      <c r="B472" s="1193">
        <v>1</v>
      </c>
      <c r="C472" s="1202" t="s">
        <v>2927</v>
      </c>
      <c r="D472" s="1312"/>
      <c r="E472" s="1291"/>
      <c r="F472" s="1291"/>
      <c r="G472"/>
    </row>
    <row r="473" spans="1:7" ht="14.4" customHeight="1">
      <c r="A473" s="693"/>
      <c r="B473" s="1193"/>
      <c r="C473" s="1202" t="s">
        <v>729</v>
      </c>
      <c r="D473" s="1220"/>
      <c r="E473" s="722"/>
      <c r="F473" s="722"/>
      <c r="G473"/>
    </row>
    <row r="474" spans="1:7" ht="14.4" customHeight="1">
      <c r="A474" s="693"/>
      <c r="B474" s="1196"/>
      <c r="C474" s="1201" t="s">
        <v>3063</v>
      </c>
      <c r="D474" s="1220"/>
      <c r="E474" s="1171"/>
      <c r="F474" s="1171"/>
      <c r="G474"/>
    </row>
    <row r="475" spans="1:7" ht="14.4" customHeight="1">
      <c r="A475" s="691"/>
      <c r="B475" s="1193">
        <v>1</v>
      </c>
      <c r="C475" s="1202" t="s">
        <v>4208</v>
      </c>
      <c r="D475" s="1312"/>
      <c r="E475" s="1291"/>
      <c r="F475" s="1291"/>
      <c r="G475"/>
    </row>
    <row r="476" spans="1:7" ht="14.4" customHeight="1">
      <c r="A476" s="691"/>
      <c r="B476" s="1193">
        <v>1</v>
      </c>
      <c r="C476" s="1202" t="s">
        <v>6456</v>
      </c>
      <c r="D476" s="1312"/>
      <c r="E476" s="1291"/>
      <c r="F476" s="1291"/>
      <c r="G476"/>
    </row>
    <row r="477" spans="1:7" ht="14.4" customHeight="1">
      <c r="A477" s="692"/>
      <c r="B477" s="1193"/>
      <c r="C477" s="1202" t="s">
        <v>729</v>
      </c>
      <c r="D477" s="1220"/>
      <c r="E477" s="722"/>
      <c r="F477" s="722"/>
      <c r="G477"/>
    </row>
    <row r="478" spans="1:7" ht="14.4" customHeight="1">
      <c r="A478" s="693"/>
      <c r="B478" s="1196">
        <v>1</v>
      </c>
      <c r="C478" s="1201" t="s">
        <v>12423</v>
      </c>
      <c r="D478" s="1220"/>
      <c r="E478" s="1171"/>
      <c r="F478" s="1171"/>
      <c r="G478"/>
    </row>
    <row r="479" spans="1:7" ht="14.4" customHeight="1">
      <c r="A479" s="691"/>
      <c r="B479" s="1193">
        <v>1</v>
      </c>
      <c r="C479" s="1202" t="s">
        <v>1157</v>
      </c>
      <c r="D479" s="1312"/>
      <c r="E479" s="1291"/>
      <c r="F479" s="1291"/>
      <c r="G479"/>
    </row>
    <row r="480" spans="1:7" ht="14.4" customHeight="1">
      <c r="A480" s="691"/>
      <c r="B480" s="1193">
        <v>1</v>
      </c>
      <c r="C480" s="1202" t="s">
        <v>2426</v>
      </c>
      <c r="D480" s="1312"/>
      <c r="E480" s="1291"/>
      <c r="F480" s="1291"/>
      <c r="G480"/>
    </row>
    <row r="481" spans="1:7" ht="14.4" customHeight="1">
      <c r="A481" s="691"/>
      <c r="B481" s="1193">
        <v>1</v>
      </c>
      <c r="C481" s="1202" t="s">
        <v>4660</v>
      </c>
      <c r="D481" s="1312"/>
      <c r="E481" s="1291"/>
      <c r="F481" s="1291"/>
      <c r="G481"/>
    </row>
    <row r="482" spans="1:7" ht="14.4" customHeight="1">
      <c r="A482" s="693"/>
      <c r="B482" s="1193"/>
      <c r="C482" s="1202" t="s">
        <v>729</v>
      </c>
      <c r="D482" s="1220"/>
      <c r="E482" s="722"/>
      <c r="F482" s="722"/>
      <c r="G482"/>
    </row>
    <row r="483" spans="1:7" ht="14.4" customHeight="1">
      <c r="A483" s="693"/>
      <c r="B483" s="1193">
        <v>1</v>
      </c>
      <c r="C483" s="1304" t="s">
        <v>12444</v>
      </c>
      <c r="D483" s="1312"/>
      <c r="E483" s="1292"/>
      <c r="F483" s="1292"/>
      <c r="G483"/>
    </row>
    <row r="484" spans="1:7" ht="14.4" customHeight="1">
      <c r="A484" s="693"/>
      <c r="B484" s="1193"/>
      <c r="C484" s="1202" t="s">
        <v>729</v>
      </c>
      <c r="D484" s="1220"/>
      <c r="E484" s="722"/>
      <c r="F484" s="722"/>
      <c r="G484"/>
    </row>
    <row r="485" spans="1:7" ht="14.4" customHeight="1">
      <c r="A485" s="1767"/>
      <c r="B485" s="1193">
        <v>1</v>
      </c>
      <c r="C485" s="1304" t="s">
        <v>12364</v>
      </c>
      <c r="D485" s="1312"/>
      <c r="E485" s="1292"/>
      <c r="F485" s="1292"/>
      <c r="G485"/>
    </row>
    <row r="486" spans="1:7" ht="14.4" customHeight="1">
      <c r="A486" s="1767"/>
      <c r="B486" s="1193">
        <v>1</v>
      </c>
      <c r="C486" s="1304" t="s">
        <v>12474</v>
      </c>
      <c r="D486" s="1312"/>
      <c r="E486" s="1292"/>
      <c r="F486" s="1292"/>
      <c r="G486"/>
    </row>
    <row r="487" spans="1:7" ht="14.4" customHeight="1">
      <c r="A487" s="693"/>
      <c r="B487" s="1193"/>
      <c r="C487" s="1202" t="s">
        <v>729</v>
      </c>
      <c r="D487" s="1220"/>
      <c r="E487" s="722"/>
      <c r="F487" s="722"/>
      <c r="G487"/>
    </row>
    <row r="488" spans="1:7" ht="14.4" customHeight="1">
      <c r="A488" s="693"/>
      <c r="B488" s="1193">
        <v>1</v>
      </c>
      <c r="C488" s="1202" t="s">
        <v>316</v>
      </c>
      <c r="D488" s="1122"/>
      <c r="E488" s="1295"/>
      <c r="F488" s="1295"/>
      <c r="G488"/>
    </row>
    <row r="489" spans="1:7" ht="14.4" customHeight="1">
      <c r="A489" s="693"/>
      <c r="B489" s="1193"/>
      <c r="C489" s="1202" t="s">
        <v>729</v>
      </c>
      <c r="D489" s="1220"/>
      <c r="E489" s="722"/>
      <c r="F489" s="722"/>
      <c r="G489"/>
    </row>
    <row r="490" spans="1:7" ht="14.4" customHeight="1">
      <c r="A490" s="693"/>
      <c r="B490" s="1193"/>
      <c r="C490" s="1202" t="s">
        <v>729</v>
      </c>
      <c r="D490" s="1220"/>
      <c r="E490" s="722"/>
      <c r="F490" s="722"/>
      <c r="G490"/>
    </row>
    <row r="491" spans="1:7" ht="14.4" customHeight="1">
      <c r="A491" s="1767"/>
      <c r="B491" s="1193"/>
      <c r="C491" s="2180" t="s">
        <v>12639</v>
      </c>
      <c r="D491" s="1312"/>
      <c r="E491" s="1292"/>
      <c r="F491" s="1292"/>
      <c r="G491"/>
    </row>
    <row r="492" spans="1:7" ht="14.4" customHeight="1">
      <c r="A492" s="1767"/>
      <c r="B492" s="1193"/>
      <c r="C492" s="2181"/>
      <c r="D492" s="1312"/>
      <c r="E492" s="1292"/>
      <c r="F492" s="1292"/>
      <c r="G492"/>
    </row>
    <row r="493" spans="1:7" ht="14.4" customHeight="1">
      <c r="A493" s="1638"/>
      <c r="B493" s="1193">
        <v>1</v>
      </c>
      <c r="C493" s="1202" t="s">
        <v>3412</v>
      </c>
      <c r="D493" s="1220"/>
      <c r="E493" s="1171"/>
      <c r="F493" s="1171"/>
      <c r="G493"/>
    </row>
    <row r="494" spans="1:7" ht="14.4" customHeight="1">
      <c r="A494" s="1638"/>
      <c r="B494" s="1193">
        <v>1</v>
      </c>
      <c r="C494" s="1202" t="s">
        <v>3413</v>
      </c>
      <c r="D494" s="1220"/>
      <c r="E494" s="1171"/>
      <c r="F494" s="1171"/>
      <c r="G494"/>
    </row>
    <row r="495" spans="1:7" ht="14.4" customHeight="1" thickBot="1">
      <c r="A495" s="2013"/>
      <c r="B495" s="2182"/>
      <c r="C495" s="1631"/>
      <c r="D495" s="1641"/>
      <c r="E495" s="1632"/>
      <c r="F495" s="1632"/>
      <c r="G495"/>
    </row>
    <row r="496" spans="1:7" ht="14.4" customHeight="1" thickBot="1">
      <c r="A496" s="1587">
        <v>12</v>
      </c>
      <c r="B496" s="1630">
        <v>1</v>
      </c>
      <c r="C496" s="1329" t="s">
        <v>12577</v>
      </c>
      <c r="D496" s="1219">
        <v>4719</v>
      </c>
      <c r="E496" s="1289"/>
      <c r="F496" s="1289">
        <v>4719</v>
      </c>
      <c r="G496"/>
    </row>
    <row r="497" spans="1:7" ht="14.4" customHeight="1">
      <c r="A497" s="685" t="s">
        <v>3064</v>
      </c>
      <c r="B497" s="2178"/>
      <c r="C497" s="2179"/>
      <c r="D497" s="1312"/>
      <c r="E497" s="1291"/>
      <c r="F497" s="1291"/>
      <c r="G497"/>
    </row>
    <row r="498" spans="1:7" ht="14.4" customHeight="1">
      <c r="A498" s="687" t="s">
        <v>12553</v>
      </c>
      <c r="B498" s="1194">
        <v>1</v>
      </c>
      <c r="C498" s="1201" t="s">
        <v>5103</v>
      </c>
      <c r="D498" s="1220"/>
      <c r="E498" s="1171"/>
      <c r="F498" s="1171"/>
      <c r="G498"/>
    </row>
    <row r="499" spans="1:7" ht="14.4" customHeight="1">
      <c r="A499" s="687" t="s">
        <v>4136</v>
      </c>
      <c r="B499" s="1195">
        <v>3</v>
      </c>
      <c r="C499" s="1191" t="s">
        <v>7374</v>
      </c>
      <c r="D499" s="1220"/>
      <c r="E499" s="722"/>
      <c r="F499" s="722"/>
      <c r="G499"/>
    </row>
    <row r="500" spans="1:7" ht="14.4" customHeight="1">
      <c r="A500" s="687"/>
      <c r="B500" s="1195">
        <v>3</v>
      </c>
      <c r="C500" s="1191" t="s">
        <v>7375</v>
      </c>
      <c r="D500" s="1220"/>
      <c r="E500" s="722"/>
      <c r="F500" s="722"/>
      <c r="G500"/>
    </row>
    <row r="501" spans="1:7" ht="14.4" customHeight="1">
      <c r="A501" s="687" t="s">
        <v>12356</v>
      </c>
      <c r="B501" s="1199">
        <v>1</v>
      </c>
      <c r="C501" s="1205" t="s">
        <v>3366</v>
      </c>
      <c r="D501" s="1221"/>
      <c r="E501" s="1172"/>
      <c r="F501" s="1172"/>
      <c r="G501"/>
    </row>
    <row r="502" spans="1:7" ht="14.4" customHeight="1">
      <c r="A502" s="687" t="s">
        <v>3542</v>
      </c>
      <c r="B502" s="1194"/>
      <c r="C502" s="1218"/>
      <c r="D502" s="1220"/>
      <c r="E502" s="1171"/>
      <c r="F502" s="1171"/>
      <c r="G502"/>
    </row>
    <row r="503" spans="1:7" ht="14.4" customHeight="1">
      <c r="A503" s="687"/>
      <c r="B503" s="1195"/>
      <c r="C503" s="1629" t="s">
        <v>12368</v>
      </c>
      <c r="D503" s="1220"/>
      <c r="E503" s="722"/>
      <c r="F503" s="722"/>
      <c r="G503"/>
    </row>
    <row r="504" spans="1:7" ht="14.4" customHeight="1">
      <c r="A504" s="693"/>
      <c r="B504" s="1193"/>
      <c r="C504" s="1201" t="s">
        <v>3158</v>
      </c>
      <c r="D504" s="1312"/>
      <c r="E504" s="1292"/>
      <c r="F504" s="1292"/>
      <c r="G504"/>
    </row>
    <row r="505" spans="1:7" ht="14.4" customHeight="1">
      <c r="A505" s="687"/>
      <c r="B505" s="1194">
        <v>1</v>
      </c>
      <c r="C505" s="1202" t="s">
        <v>6598</v>
      </c>
      <c r="D505" s="1312"/>
      <c r="E505" s="1292"/>
      <c r="F505" s="1292"/>
      <c r="G505"/>
    </row>
    <row r="506" spans="1:7" ht="14.4" customHeight="1">
      <c r="A506" s="693"/>
      <c r="B506" s="1193"/>
      <c r="C506" s="1202" t="s">
        <v>729</v>
      </c>
      <c r="D506" s="1220"/>
      <c r="E506" s="722"/>
      <c r="F506" s="722"/>
      <c r="G506"/>
    </row>
    <row r="507" spans="1:7" ht="14.4" customHeight="1">
      <c r="A507" s="693"/>
      <c r="B507" s="1196"/>
      <c r="C507" s="1303" t="s">
        <v>9431</v>
      </c>
      <c r="D507" s="1312"/>
      <c r="E507" s="1292"/>
      <c r="F507" s="1292"/>
      <c r="G507"/>
    </row>
    <row r="508" spans="1:7" ht="14.4" customHeight="1">
      <c r="A508" s="693"/>
      <c r="B508" s="1193">
        <v>2</v>
      </c>
      <c r="C508" s="1202" t="s">
        <v>4205</v>
      </c>
      <c r="D508" s="1312"/>
      <c r="E508" s="1291"/>
      <c r="F508" s="1291"/>
      <c r="G508"/>
    </row>
    <row r="509" spans="1:7" ht="14.4" customHeight="1">
      <c r="A509" s="693"/>
      <c r="B509" s="1196"/>
      <c r="C509" s="1303" t="s">
        <v>12546</v>
      </c>
      <c r="D509" s="1312"/>
      <c r="E509" s="1292"/>
      <c r="F509" s="1292"/>
      <c r="G509"/>
    </row>
    <row r="510" spans="1:7" ht="14.4" customHeight="1">
      <c r="A510" s="693"/>
      <c r="B510" s="1193">
        <v>7</v>
      </c>
      <c r="C510" s="1202" t="s">
        <v>4183</v>
      </c>
      <c r="D510" s="1312"/>
      <c r="E510" s="1291"/>
      <c r="F510" s="1291"/>
      <c r="G510"/>
    </row>
    <row r="511" spans="1:7" ht="14.4" customHeight="1">
      <c r="A511" s="693"/>
      <c r="B511" s="1193">
        <v>7</v>
      </c>
      <c r="C511" s="1202" t="s">
        <v>5319</v>
      </c>
      <c r="D511" s="1312"/>
      <c r="E511" s="1291"/>
      <c r="F511" s="1291"/>
      <c r="G511"/>
    </row>
    <row r="512" spans="1:7" ht="14.4" customHeight="1">
      <c r="A512" s="693"/>
      <c r="B512" s="1193">
        <v>1</v>
      </c>
      <c r="C512" s="1202" t="s">
        <v>2927</v>
      </c>
      <c r="D512" s="1312"/>
      <c r="E512" s="1291"/>
      <c r="F512" s="1291"/>
      <c r="G512"/>
    </row>
    <row r="513" spans="1:7" ht="14.4" customHeight="1">
      <c r="A513" s="693"/>
      <c r="B513" s="1193"/>
      <c r="C513" s="1202" t="s">
        <v>729</v>
      </c>
      <c r="D513" s="1220"/>
      <c r="E513" s="722"/>
      <c r="F513" s="722"/>
      <c r="G513"/>
    </row>
    <row r="514" spans="1:7" ht="14.4" customHeight="1">
      <c r="A514" s="693"/>
      <c r="B514" s="1196"/>
      <c r="C514" s="1303" t="s">
        <v>12547</v>
      </c>
      <c r="D514" s="1312"/>
      <c r="E514" s="1292"/>
      <c r="F514" s="1292"/>
      <c r="G514"/>
    </row>
    <row r="515" spans="1:7" ht="14.4" customHeight="1">
      <c r="A515" s="693"/>
      <c r="B515" s="1193">
        <v>4</v>
      </c>
      <c r="C515" s="1202" t="s">
        <v>4205</v>
      </c>
      <c r="D515" s="1312"/>
      <c r="E515" s="1291"/>
      <c r="F515" s="1291"/>
      <c r="G515"/>
    </row>
    <row r="516" spans="1:7" ht="14.4" customHeight="1">
      <c r="A516" s="693"/>
      <c r="B516" s="1193">
        <v>2</v>
      </c>
      <c r="C516" s="1202" t="s">
        <v>2922</v>
      </c>
      <c r="D516" s="1312"/>
      <c r="E516" s="1291"/>
      <c r="F516" s="1291"/>
      <c r="G516"/>
    </row>
    <row r="517" spans="1:7" ht="14.4" customHeight="1">
      <c r="A517" s="693"/>
      <c r="B517" s="1193"/>
      <c r="C517" s="1202" t="s">
        <v>729</v>
      </c>
      <c r="D517" s="1220"/>
      <c r="E517" s="722"/>
      <c r="F517" s="722"/>
      <c r="G517"/>
    </row>
    <row r="518" spans="1:7" ht="14.4" customHeight="1">
      <c r="A518" s="693"/>
      <c r="B518" s="1196"/>
      <c r="C518" s="1201" t="s">
        <v>3063</v>
      </c>
      <c r="D518" s="1220"/>
      <c r="E518" s="1171"/>
      <c r="F518" s="1171"/>
      <c r="G518"/>
    </row>
    <row r="519" spans="1:7" ht="14.4" customHeight="1">
      <c r="A519" s="691"/>
      <c r="B519" s="1193">
        <v>1</v>
      </c>
      <c r="C519" s="1202" t="s">
        <v>4206</v>
      </c>
      <c r="D519" s="1312"/>
      <c r="E519" s="1291"/>
      <c r="F519" s="1291"/>
      <c r="G519"/>
    </row>
    <row r="520" spans="1:7" ht="14.4" customHeight="1">
      <c r="A520" s="691"/>
      <c r="B520" s="1193">
        <v>1</v>
      </c>
      <c r="C520" s="1202" t="s">
        <v>6456</v>
      </c>
      <c r="D520" s="1312"/>
      <c r="E520" s="1291"/>
      <c r="F520" s="1291"/>
      <c r="G520"/>
    </row>
    <row r="521" spans="1:7" ht="14.4" customHeight="1">
      <c r="A521" s="692"/>
      <c r="B521" s="1193"/>
      <c r="C521" s="1202" t="s">
        <v>729</v>
      </c>
      <c r="D521" s="1220"/>
      <c r="E521" s="722"/>
      <c r="F521" s="722"/>
      <c r="G521"/>
    </row>
    <row r="522" spans="1:7" ht="14.4" customHeight="1">
      <c r="A522" s="1767"/>
      <c r="B522" s="1193">
        <v>1</v>
      </c>
      <c r="C522" s="1304" t="s">
        <v>12364</v>
      </c>
      <c r="D522" s="1312"/>
      <c r="E522" s="1292"/>
      <c r="F522" s="1292"/>
      <c r="G522"/>
    </row>
    <row r="523" spans="1:7" ht="14.4" customHeight="1">
      <c r="A523" s="1767"/>
      <c r="B523" s="1193">
        <v>1</v>
      </c>
      <c r="C523" s="1304" t="s">
        <v>12474</v>
      </c>
      <c r="D523" s="1312"/>
      <c r="E523" s="1292"/>
      <c r="F523" s="1292"/>
      <c r="G523"/>
    </row>
    <row r="524" spans="1:7" ht="14.4" customHeight="1">
      <c r="A524" s="693"/>
      <c r="B524" s="1193"/>
      <c r="C524" s="1202" t="s">
        <v>729</v>
      </c>
      <c r="D524" s="1220"/>
      <c r="E524" s="722"/>
      <c r="F524" s="722"/>
      <c r="G524"/>
    </row>
    <row r="525" spans="1:7" ht="14.4" customHeight="1">
      <c r="A525" s="693"/>
      <c r="B525" s="1193">
        <v>1</v>
      </c>
      <c r="C525" s="1202" t="s">
        <v>316</v>
      </c>
      <c r="D525" s="1122"/>
      <c r="E525" s="1295"/>
      <c r="F525" s="1295"/>
      <c r="G525"/>
    </row>
    <row r="526" spans="1:7" ht="14.4" customHeight="1">
      <c r="A526" s="693"/>
      <c r="B526" s="1193"/>
      <c r="C526" s="1202" t="s">
        <v>729</v>
      </c>
      <c r="D526" s="1220"/>
      <c r="E526" s="722"/>
      <c r="F526" s="722"/>
      <c r="G526"/>
    </row>
    <row r="527" spans="1:7" ht="14.4" customHeight="1" thickBot="1">
      <c r="A527" s="910"/>
      <c r="B527" s="1636"/>
      <c r="C527" s="1631"/>
      <c r="D527" s="1641"/>
      <c r="E527" s="1632"/>
      <c r="F527" s="1632"/>
      <c r="G527"/>
    </row>
    <row r="528" spans="1:7" ht="14.4" customHeight="1" thickBot="1">
      <c r="A528" s="1989">
        <v>13</v>
      </c>
      <c r="B528" s="1630">
        <v>1</v>
      </c>
      <c r="C528" s="1329" t="s">
        <v>12578</v>
      </c>
      <c r="D528" s="1219">
        <v>5059</v>
      </c>
      <c r="E528" s="1289"/>
      <c r="F528" s="1289">
        <v>5059</v>
      </c>
      <c r="G528"/>
    </row>
    <row r="529" spans="1:7" ht="14.4" customHeight="1">
      <c r="A529" s="685" t="s">
        <v>3064</v>
      </c>
      <c r="B529" s="1192"/>
      <c r="C529" s="1302"/>
      <c r="D529" s="1312"/>
      <c r="E529" s="1291"/>
      <c r="F529" s="1291"/>
      <c r="G529"/>
    </row>
    <row r="530" spans="1:7" ht="14.4" customHeight="1">
      <c r="A530" s="687" t="s">
        <v>12553</v>
      </c>
      <c r="B530" s="1194">
        <v>1</v>
      </c>
      <c r="C530" s="1201" t="s">
        <v>5103</v>
      </c>
      <c r="D530" s="1220"/>
      <c r="E530" s="1171"/>
      <c r="F530" s="1171"/>
      <c r="G530"/>
    </row>
    <row r="531" spans="1:7" ht="14.4" customHeight="1">
      <c r="A531" s="687" t="s">
        <v>4136</v>
      </c>
      <c r="B531" s="1195">
        <v>3</v>
      </c>
      <c r="C531" s="1191" t="s">
        <v>7374</v>
      </c>
      <c r="D531" s="1220"/>
      <c r="E531" s="722"/>
      <c r="F531" s="722"/>
      <c r="G531"/>
    </row>
    <row r="532" spans="1:7" ht="14.4" customHeight="1">
      <c r="A532" s="687"/>
      <c r="B532" s="1195">
        <v>3</v>
      </c>
      <c r="C532" s="1191" t="s">
        <v>7375</v>
      </c>
      <c r="D532" s="1220"/>
      <c r="E532" s="722"/>
      <c r="F532" s="722"/>
      <c r="G532"/>
    </row>
    <row r="533" spans="1:7" ht="14.4" customHeight="1">
      <c r="A533" s="687" t="s">
        <v>12356</v>
      </c>
      <c r="B533" s="1199">
        <v>1</v>
      </c>
      <c r="C533" s="1205" t="s">
        <v>3366</v>
      </c>
      <c r="D533" s="1221"/>
      <c r="E533" s="1172"/>
      <c r="F533" s="1172"/>
      <c r="G533"/>
    </row>
    <row r="534" spans="1:7" ht="14.4" customHeight="1">
      <c r="A534" s="687" t="s">
        <v>3542</v>
      </c>
      <c r="B534" s="1194"/>
      <c r="C534" s="1218"/>
      <c r="D534" s="1220"/>
      <c r="E534" s="1171"/>
      <c r="F534" s="1171"/>
      <c r="G534"/>
    </row>
    <row r="535" spans="1:7" ht="14.4" customHeight="1">
      <c r="A535" s="687"/>
      <c r="B535" s="1195"/>
      <c r="C535" s="1629" t="s">
        <v>12368</v>
      </c>
      <c r="D535" s="1220"/>
      <c r="E535" s="722"/>
      <c r="F535" s="722"/>
      <c r="G535"/>
    </row>
    <row r="536" spans="1:7" ht="14.4" customHeight="1">
      <c r="A536" s="1767"/>
      <c r="B536" s="1192">
        <v>6</v>
      </c>
      <c r="C536" s="1202" t="s">
        <v>12392</v>
      </c>
      <c r="D536" s="1312"/>
      <c r="E536" s="1291"/>
      <c r="F536" s="1291"/>
      <c r="G536"/>
    </row>
    <row r="537" spans="1:7" ht="14.4" customHeight="1">
      <c r="A537" s="687"/>
      <c r="B537" s="1195"/>
      <c r="C537" s="1629" t="s">
        <v>12368</v>
      </c>
      <c r="D537" s="1220"/>
      <c r="E537" s="722"/>
      <c r="F537" s="722"/>
      <c r="G537"/>
    </row>
    <row r="538" spans="1:7" ht="14.4" customHeight="1">
      <c r="A538" s="687"/>
      <c r="B538" s="1193"/>
      <c r="C538" s="1201" t="s">
        <v>12371</v>
      </c>
      <c r="D538" s="1312"/>
      <c r="E538" s="1292"/>
      <c r="F538" s="1292"/>
      <c r="G538"/>
    </row>
    <row r="539" spans="1:7" ht="14.4" customHeight="1">
      <c r="A539" s="692"/>
      <c r="B539" s="1193">
        <v>1</v>
      </c>
      <c r="C539" s="1202" t="s">
        <v>4314</v>
      </c>
      <c r="D539" s="1312"/>
      <c r="E539" s="1292"/>
      <c r="F539" s="1292"/>
      <c r="G539"/>
    </row>
    <row r="540" spans="1:7" ht="14.4" customHeight="1">
      <c r="A540" s="693"/>
      <c r="B540" s="1193"/>
      <c r="C540" s="1629" t="s">
        <v>12368</v>
      </c>
      <c r="D540" s="1220"/>
      <c r="E540" s="722"/>
      <c r="F540" s="722"/>
      <c r="G540"/>
    </row>
    <row r="541" spans="1:7" ht="14.4" customHeight="1">
      <c r="A541" s="691"/>
      <c r="B541" s="1196"/>
      <c r="C541" s="1201" t="s">
        <v>3063</v>
      </c>
      <c r="D541" s="1220"/>
      <c r="E541" s="1171"/>
      <c r="F541" s="1171"/>
      <c r="G541"/>
    </row>
    <row r="542" spans="1:7" ht="14.4" customHeight="1">
      <c r="A542" s="698"/>
      <c r="B542" s="1197">
        <v>1</v>
      </c>
      <c r="C542" s="1203" t="s">
        <v>12370</v>
      </c>
      <c r="D542" s="1221"/>
      <c r="E542" s="1172"/>
      <c r="F542" s="1172"/>
      <c r="G542"/>
    </row>
    <row r="543" spans="1:7" ht="14.4" customHeight="1">
      <c r="A543" s="687"/>
      <c r="B543" s="1195"/>
      <c r="C543" s="1629" t="s">
        <v>12368</v>
      </c>
      <c r="D543" s="1220"/>
      <c r="E543" s="722"/>
      <c r="F543" s="722"/>
      <c r="G543"/>
    </row>
    <row r="544" spans="1:7" ht="14.4" customHeight="1">
      <c r="A544" s="1767"/>
      <c r="B544" s="1196"/>
      <c r="C544" s="1303" t="s">
        <v>3377</v>
      </c>
      <c r="D544" s="1312"/>
      <c r="E544" s="1292"/>
      <c r="F544" s="1292"/>
      <c r="G544"/>
    </row>
    <row r="545" spans="1:7" ht="14.4" customHeight="1">
      <c r="A545" s="687"/>
      <c r="B545" s="1193">
        <v>2</v>
      </c>
      <c r="C545" s="1202" t="s">
        <v>4184</v>
      </c>
      <c r="D545" s="1312"/>
      <c r="E545" s="1292"/>
      <c r="F545" s="1292"/>
      <c r="G545"/>
    </row>
    <row r="546" spans="1:7" ht="14.4" customHeight="1">
      <c r="A546" s="692"/>
      <c r="B546" s="1193"/>
      <c r="C546" s="1202" t="s">
        <v>729</v>
      </c>
      <c r="D546" s="1220"/>
      <c r="E546" s="722"/>
      <c r="F546" s="722"/>
      <c r="G546"/>
    </row>
    <row r="547" spans="1:7" ht="14.4" customHeight="1">
      <c r="A547" s="693"/>
      <c r="B547" s="1196"/>
      <c r="C547" s="1201" t="s">
        <v>3063</v>
      </c>
      <c r="D547" s="1220"/>
      <c r="E547" s="1171"/>
      <c r="F547" s="1171"/>
      <c r="G547"/>
    </row>
    <row r="548" spans="1:7" ht="14.4" customHeight="1">
      <c r="A548" s="691"/>
      <c r="B548" s="1193">
        <v>1</v>
      </c>
      <c r="C548" s="1202" t="s">
        <v>4184</v>
      </c>
      <c r="D548" s="1312"/>
      <c r="E548" s="1291"/>
      <c r="F548" s="1291"/>
      <c r="G548"/>
    </row>
    <row r="549" spans="1:7" ht="14.4" customHeight="1">
      <c r="A549" s="691"/>
      <c r="B549" s="1193">
        <v>2</v>
      </c>
      <c r="C549" s="1202" t="s">
        <v>6449</v>
      </c>
      <c r="D549" s="1312"/>
      <c r="E549" s="1291"/>
      <c r="F549" s="1291"/>
      <c r="G549"/>
    </row>
    <row r="550" spans="1:7" ht="14.4" customHeight="1">
      <c r="A550" s="692"/>
      <c r="B550" s="1193"/>
      <c r="C550" s="1629" t="s">
        <v>12368</v>
      </c>
      <c r="D550" s="1220"/>
      <c r="E550" s="722"/>
      <c r="F550" s="722"/>
      <c r="G550"/>
    </row>
    <row r="551" spans="1:7" ht="14.4" customHeight="1">
      <c r="A551" s="693"/>
      <c r="B551" s="1196"/>
      <c r="C551" s="1201" t="s">
        <v>3063</v>
      </c>
      <c r="D551" s="1220"/>
      <c r="E551" s="1171"/>
      <c r="F551" s="1171"/>
      <c r="G551"/>
    </row>
    <row r="552" spans="1:7" ht="14.4" customHeight="1">
      <c r="A552" s="698"/>
      <c r="B552" s="1197">
        <v>1</v>
      </c>
      <c r="C552" s="1203" t="s">
        <v>12372</v>
      </c>
      <c r="D552" s="1221"/>
      <c r="E552" s="1172"/>
      <c r="F552" s="1172"/>
      <c r="G552"/>
    </row>
    <row r="553" spans="1:7" ht="14.4" customHeight="1">
      <c r="A553" s="687"/>
      <c r="B553" s="1195"/>
      <c r="C553" s="1629" t="s">
        <v>12368</v>
      </c>
      <c r="D553" s="1220"/>
      <c r="E553" s="722"/>
      <c r="F553" s="722"/>
      <c r="G553"/>
    </row>
    <row r="554" spans="1:7" ht="14.4" customHeight="1">
      <c r="A554" s="687"/>
      <c r="B554" s="1193"/>
      <c r="C554" s="1201" t="s">
        <v>12373</v>
      </c>
      <c r="D554" s="1312"/>
      <c r="E554" s="1292"/>
      <c r="F554" s="1292"/>
      <c r="G554"/>
    </row>
    <row r="555" spans="1:7" ht="14.4" customHeight="1">
      <c r="A555" s="687"/>
      <c r="B555" s="1193"/>
      <c r="C555" s="1629" t="s">
        <v>12368</v>
      </c>
      <c r="D555" s="1220"/>
      <c r="E555" s="722"/>
      <c r="F555" s="722"/>
      <c r="G555"/>
    </row>
    <row r="556" spans="1:7" ht="14.4" customHeight="1">
      <c r="A556" s="687"/>
      <c r="B556" s="1194">
        <v>1</v>
      </c>
      <c r="C556" s="1201" t="s">
        <v>12369</v>
      </c>
      <c r="D556" s="1220"/>
      <c r="E556" s="1171"/>
      <c r="F556" s="1171"/>
      <c r="G556"/>
    </row>
    <row r="557" spans="1:7" ht="14.4" customHeight="1">
      <c r="A557" s="698"/>
      <c r="B557" s="1195">
        <v>2</v>
      </c>
      <c r="C557" s="1191" t="s">
        <v>4184</v>
      </c>
      <c r="D557" s="1220"/>
      <c r="E557" s="722"/>
      <c r="F557" s="722"/>
      <c r="G557"/>
    </row>
    <row r="558" spans="1:7" ht="14.4" customHeight="1">
      <c r="A558" s="687"/>
      <c r="B558" s="1199">
        <v>1</v>
      </c>
      <c r="C558" s="1191" t="s">
        <v>5955</v>
      </c>
      <c r="D558" s="1221"/>
      <c r="E558" s="1172"/>
      <c r="F558" s="1172"/>
      <c r="G558"/>
    </row>
    <row r="559" spans="1:7" ht="14.4" customHeight="1">
      <c r="A559" s="687"/>
      <c r="B559" s="1193"/>
      <c r="C559" s="1629" t="s">
        <v>12368</v>
      </c>
      <c r="D559" s="1220"/>
      <c r="E559" s="722"/>
      <c r="F559" s="722"/>
      <c r="G559"/>
    </row>
    <row r="560" spans="1:7" ht="14.4" customHeight="1">
      <c r="A560" s="687"/>
      <c r="B560" s="1196"/>
      <c r="C560" s="1303" t="s">
        <v>2654</v>
      </c>
      <c r="D560" s="1312"/>
      <c r="E560" s="1292"/>
      <c r="F560" s="1292"/>
      <c r="G560"/>
    </row>
    <row r="561" spans="1:7" ht="14.4" customHeight="1">
      <c r="A561" s="687"/>
      <c r="B561" s="1193">
        <v>1</v>
      </c>
      <c r="C561" s="1202" t="s">
        <v>4184</v>
      </c>
      <c r="D561" s="1312"/>
      <c r="E561" s="1292"/>
      <c r="F561" s="1292"/>
      <c r="G561"/>
    </row>
    <row r="562" spans="1:7" ht="14.4" customHeight="1">
      <c r="A562" s="687"/>
      <c r="B562" s="1193">
        <v>5</v>
      </c>
      <c r="C562" s="1202" t="s">
        <v>4183</v>
      </c>
      <c r="D562" s="1312"/>
      <c r="E562" s="1292"/>
      <c r="F562" s="1292"/>
      <c r="G562"/>
    </row>
    <row r="563" spans="1:7" ht="14.4" customHeight="1">
      <c r="A563" s="687"/>
      <c r="B563" s="1193">
        <v>6</v>
      </c>
      <c r="C563" s="1202" t="s">
        <v>2043</v>
      </c>
      <c r="D563" s="1312"/>
      <c r="E563" s="1292"/>
      <c r="F563" s="1292"/>
      <c r="G563"/>
    </row>
    <row r="564" spans="1:7" ht="14.4" customHeight="1">
      <c r="A564" s="687"/>
      <c r="B564" s="1193">
        <v>2</v>
      </c>
      <c r="C564" s="1202" t="s">
        <v>2927</v>
      </c>
      <c r="D564" s="1312"/>
      <c r="E564" s="1292"/>
      <c r="F564" s="1292"/>
      <c r="G564"/>
    </row>
    <row r="565" spans="1:7" ht="14.4" customHeight="1">
      <c r="A565" s="1767"/>
      <c r="B565" s="1193">
        <v>1</v>
      </c>
      <c r="C565" s="1304" t="s">
        <v>12474</v>
      </c>
      <c r="D565" s="1312"/>
      <c r="E565" s="1292"/>
      <c r="F565" s="1292"/>
      <c r="G565"/>
    </row>
    <row r="566" spans="1:7" ht="14.4" customHeight="1">
      <c r="A566" s="693"/>
      <c r="B566" s="1193"/>
      <c r="C566" s="1202" t="s">
        <v>729</v>
      </c>
      <c r="D566" s="1220"/>
      <c r="E566" s="722"/>
      <c r="F566" s="722"/>
      <c r="G566"/>
    </row>
    <row r="567" spans="1:7" ht="14.4" customHeight="1">
      <c r="A567" s="1767"/>
      <c r="B567" s="1193">
        <v>1</v>
      </c>
      <c r="C567" s="1304" t="s">
        <v>12364</v>
      </c>
      <c r="D567" s="1312"/>
      <c r="E567" s="1292"/>
      <c r="F567" s="1292"/>
      <c r="G567"/>
    </row>
    <row r="568" spans="1:7" ht="14.4" customHeight="1">
      <c r="A568" s="693"/>
      <c r="B568" s="1193"/>
      <c r="C568" s="1202" t="s">
        <v>729</v>
      </c>
      <c r="D568" s="1220"/>
      <c r="E568" s="722"/>
      <c r="F568" s="722"/>
      <c r="G568"/>
    </row>
    <row r="569" spans="1:7" ht="14.4" customHeight="1">
      <c r="A569" s="2192"/>
      <c r="B569" s="1193">
        <v>1</v>
      </c>
      <c r="C569" s="1202" t="s">
        <v>2910</v>
      </c>
      <c r="D569" s="1640"/>
      <c r="E569" s="722"/>
      <c r="F569" s="722"/>
      <c r="G569"/>
    </row>
    <row r="570" spans="1:7" ht="14.4" customHeight="1">
      <c r="A570" s="693"/>
      <c r="B570" s="1193">
        <v>1</v>
      </c>
      <c r="C570" s="1202" t="s">
        <v>316</v>
      </c>
      <c r="D570" s="1122"/>
      <c r="E570" s="1295"/>
      <c r="F570" s="1295"/>
      <c r="G570"/>
    </row>
    <row r="571" spans="1:7" ht="14.4" customHeight="1" thickBot="1">
      <c r="A571" s="699"/>
      <c r="B571" s="1200"/>
      <c r="C571" s="1305"/>
      <c r="D571" s="1313"/>
      <c r="E571" s="1297"/>
      <c r="F571" s="1297"/>
      <c r="G571"/>
    </row>
    <row r="572" spans="1:7" ht="14.4" customHeight="1" thickBot="1">
      <c r="A572" s="1989">
        <v>14</v>
      </c>
      <c r="B572" s="1630">
        <v>1</v>
      </c>
      <c r="C572" s="1329" t="s">
        <v>12579</v>
      </c>
      <c r="D572" s="1219">
        <v>26622</v>
      </c>
      <c r="E572" s="1289"/>
      <c r="F572" s="1289">
        <v>26622</v>
      </c>
      <c r="G572"/>
    </row>
    <row r="573" spans="1:7" ht="14.4" customHeight="1">
      <c r="A573" s="685" t="s">
        <v>3162</v>
      </c>
      <c r="B573" s="2178"/>
      <c r="C573" s="2179"/>
      <c r="D573" s="1312"/>
      <c r="E573" s="1291"/>
      <c r="F573" s="1291"/>
      <c r="G573"/>
    </row>
    <row r="574" spans="1:7" ht="14.4" customHeight="1">
      <c r="A574" s="687" t="s">
        <v>12553</v>
      </c>
      <c r="B574" s="1194">
        <v>1</v>
      </c>
      <c r="C574" s="1201" t="s">
        <v>5103</v>
      </c>
      <c r="D574" s="1220"/>
      <c r="E574" s="1171"/>
      <c r="F574" s="1171"/>
      <c r="G574"/>
    </row>
    <row r="575" spans="1:7" ht="14.4" customHeight="1">
      <c r="A575" s="687" t="s">
        <v>4136</v>
      </c>
      <c r="B575" s="1195">
        <v>3</v>
      </c>
      <c r="C575" s="1191" t="s">
        <v>7374</v>
      </c>
      <c r="D575" s="1220"/>
      <c r="E575" s="722"/>
      <c r="F575" s="722"/>
      <c r="G575"/>
    </row>
    <row r="576" spans="1:7" ht="14.4" customHeight="1">
      <c r="A576" s="687"/>
      <c r="B576" s="1195">
        <v>3</v>
      </c>
      <c r="C576" s="1191" t="s">
        <v>7375</v>
      </c>
      <c r="D576" s="1220"/>
      <c r="E576" s="722"/>
      <c r="F576" s="722"/>
      <c r="G576"/>
    </row>
    <row r="577" spans="1:7" ht="14.4" customHeight="1">
      <c r="A577" s="687" t="s">
        <v>12356</v>
      </c>
      <c r="B577" s="1199">
        <v>1</v>
      </c>
      <c r="C577" s="1205" t="s">
        <v>3366</v>
      </c>
      <c r="D577" s="1221"/>
      <c r="E577" s="1172"/>
      <c r="F577" s="1172"/>
      <c r="G577"/>
    </row>
    <row r="578" spans="1:7" ht="14.4" customHeight="1">
      <c r="A578" s="687" t="s">
        <v>3542</v>
      </c>
      <c r="B578" s="1194"/>
      <c r="C578" s="1218"/>
      <c r="D578" s="1220"/>
      <c r="E578" s="1171"/>
      <c r="F578" s="1171"/>
      <c r="G578"/>
    </row>
    <row r="579" spans="1:7" ht="14.4" customHeight="1">
      <c r="A579" s="687"/>
      <c r="B579" s="1195"/>
      <c r="C579" s="1629" t="s">
        <v>12368</v>
      </c>
      <c r="D579" s="1220"/>
      <c r="E579" s="722"/>
      <c r="F579" s="722"/>
      <c r="G579"/>
    </row>
    <row r="580" spans="1:7" ht="14.4" customHeight="1">
      <c r="A580" s="693"/>
      <c r="B580" s="1192">
        <v>6</v>
      </c>
      <c r="C580" s="1202" t="s">
        <v>8588</v>
      </c>
      <c r="D580" s="1312"/>
      <c r="E580" s="1291"/>
      <c r="F580" s="1291"/>
      <c r="G580"/>
    </row>
    <row r="581" spans="1:7" ht="14.4" customHeight="1">
      <c r="A581" s="1638"/>
      <c r="B581" s="1192"/>
      <c r="C581" s="1304" t="s">
        <v>729</v>
      </c>
      <c r="D581" s="1312"/>
      <c r="E581" s="1291"/>
      <c r="F581" s="1291"/>
      <c r="G581"/>
    </row>
    <row r="582" spans="1:7" ht="14.4" customHeight="1">
      <c r="A582" s="691"/>
      <c r="B582" s="1193"/>
      <c r="C582" s="1201" t="s">
        <v>3158</v>
      </c>
      <c r="D582" s="1312"/>
      <c r="E582" s="1292"/>
      <c r="F582" s="1292"/>
      <c r="G582"/>
    </row>
    <row r="583" spans="1:7" ht="14.4" customHeight="1">
      <c r="A583" s="687"/>
      <c r="B583" s="1193">
        <v>1</v>
      </c>
      <c r="C583" s="1202" t="s">
        <v>4548</v>
      </c>
      <c r="D583" s="1312"/>
      <c r="E583" s="1292"/>
      <c r="F583" s="1292"/>
      <c r="G583"/>
    </row>
    <row r="584" spans="1:7" ht="14.4" customHeight="1">
      <c r="A584" s="687"/>
      <c r="B584" s="1193"/>
      <c r="C584" s="1202" t="s">
        <v>729</v>
      </c>
      <c r="D584" s="1220"/>
      <c r="E584" s="722"/>
      <c r="F584" s="722"/>
      <c r="G584"/>
    </row>
    <row r="585" spans="1:7" ht="14.4" customHeight="1">
      <c r="A585" s="693"/>
      <c r="B585" s="1294">
        <v>1</v>
      </c>
      <c r="C585" s="1303" t="s">
        <v>12477</v>
      </c>
      <c r="D585" s="1220"/>
      <c r="E585" s="722"/>
      <c r="F585" s="722"/>
      <c r="G585"/>
    </row>
    <row r="586" spans="1:7" ht="14.4" customHeight="1">
      <c r="A586" s="692"/>
      <c r="B586" s="1199">
        <v>1</v>
      </c>
      <c r="C586" s="1205" t="s">
        <v>3378</v>
      </c>
      <c r="D586" s="1221"/>
      <c r="E586" s="1172"/>
      <c r="F586" s="1172"/>
      <c r="G586"/>
    </row>
    <row r="587" spans="1:7" ht="14.4" customHeight="1">
      <c r="A587" s="687"/>
      <c r="B587" s="1195">
        <v>1</v>
      </c>
      <c r="C587" s="1191" t="s">
        <v>2298</v>
      </c>
      <c r="D587" s="1220"/>
      <c r="E587" s="1171"/>
      <c r="F587" s="1171"/>
      <c r="G587"/>
    </row>
    <row r="588" spans="1:7" ht="14.4" customHeight="1">
      <c r="A588" s="687"/>
      <c r="B588" s="1195">
        <v>1</v>
      </c>
      <c r="C588" s="1191" t="s">
        <v>2304</v>
      </c>
      <c r="D588" s="1220"/>
      <c r="E588" s="1171"/>
      <c r="F588" s="1171"/>
      <c r="G588"/>
    </row>
    <row r="589" spans="1:7" ht="14.4" customHeight="1">
      <c r="A589" s="687"/>
      <c r="B589" s="1195">
        <v>1</v>
      </c>
      <c r="C589" s="1191" t="s">
        <v>7374</v>
      </c>
      <c r="D589" s="1220"/>
      <c r="E589" s="1171"/>
      <c r="F589" s="1171"/>
      <c r="G589"/>
    </row>
    <row r="590" spans="1:7" ht="14.4" customHeight="1">
      <c r="A590" s="687"/>
      <c r="B590" s="1195">
        <v>1</v>
      </c>
      <c r="C590" s="1191" t="s">
        <v>7375</v>
      </c>
      <c r="D590" s="1220"/>
      <c r="E590" s="1171"/>
      <c r="F590" s="1171"/>
      <c r="G590"/>
    </row>
    <row r="591" spans="1:7" ht="14.4" customHeight="1">
      <c r="A591" s="687"/>
      <c r="B591" s="1195">
        <v>1</v>
      </c>
      <c r="C591" s="1191" t="s">
        <v>2436</v>
      </c>
      <c r="D591" s="1220"/>
      <c r="E591" s="1171"/>
      <c r="F591" s="1171"/>
      <c r="G591"/>
    </row>
    <row r="592" spans="1:7" ht="14.4" customHeight="1">
      <c r="A592" s="687"/>
      <c r="B592" s="1195">
        <v>1</v>
      </c>
      <c r="C592" s="1191" t="s">
        <v>4660</v>
      </c>
      <c r="D592" s="1220"/>
      <c r="E592" s="1171"/>
      <c r="F592" s="1171"/>
      <c r="G592"/>
    </row>
    <row r="593" spans="1:7" ht="14.4" customHeight="1">
      <c r="A593" s="1208"/>
      <c r="B593" s="1199">
        <v>1</v>
      </c>
      <c r="C593" s="1205" t="s">
        <v>3379</v>
      </c>
      <c r="D593" s="1221"/>
      <c r="E593" s="1172"/>
      <c r="F593" s="1172"/>
      <c r="G593"/>
    </row>
    <row r="594" spans="1:7" ht="14.4" customHeight="1">
      <c r="A594" s="687"/>
      <c r="B594" s="1193"/>
      <c r="C594" s="1202" t="s">
        <v>729</v>
      </c>
      <c r="D594" s="1220"/>
      <c r="E594" s="722"/>
      <c r="F594" s="722"/>
      <c r="G594"/>
    </row>
    <row r="595" spans="1:7" ht="14.4" customHeight="1">
      <c r="A595" s="687"/>
      <c r="B595" s="1193"/>
      <c r="C595" s="1627" t="s">
        <v>11663</v>
      </c>
      <c r="D595" s="1312"/>
      <c r="E595" s="722"/>
      <c r="F595" s="722"/>
      <c r="G595"/>
    </row>
    <row r="596" spans="1:7" ht="14.4" customHeight="1">
      <c r="A596" s="687"/>
      <c r="B596" s="1193">
        <v>1</v>
      </c>
      <c r="C596" s="1202" t="s">
        <v>12165</v>
      </c>
      <c r="D596" s="1312"/>
      <c r="E596" s="722"/>
      <c r="F596" s="722"/>
      <c r="G596"/>
    </row>
    <row r="597" spans="1:7" ht="14.4" customHeight="1">
      <c r="A597" s="687"/>
      <c r="B597" s="1193">
        <v>3</v>
      </c>
      <c r="C597" s="1202" t="s">
        <v>431</v>
      </c>
      <c r="D597" s="1312"/>
      <c r="E597" s="722"/>
      <c r="F597" s="722"/>
      <c r="G597"/>
    </row>
    <row r="598" spans="1:7" ht="14.4" customHeight="1">
      <c r="A598" s="687"/>
      <c r="B598" s="1193">
        <v>5</v>
      </c>
      <c r="C598" s="1202" t="s">
        <v>8288</v>
      </c>
      <c r="D598" s="1312"/>
      <c r="E598" s="722"/>
      <c r="F598" s="722"/>
      <c r="G598"/>
    </row>
    <row r="599" spans="1:7" ht="14.4" customHeight="1">
      <c r="A599" s="687"/>
      <c r="B599" s="1193">
        <v>6</v>
      </c>
      <c r="C599" s="1202" t="s">
        <v>8275</v>
      </c>
      <c r="D599" s="1312"/>
      <c r="E599" s="722"/>
      <c r="F599" s="722"/>
      <c r="G599"/>
    </row>
    <row r="600" spans="1:7" ht="14.4" customHeight="1">
      <c r="A600" s="693"/>
      <c r="B600" s="1193"/>
      <c r="C600" s="1202" t="s">
        <v>729</v>
      </c>
      <c r="D600" s="1220"/>
      <c r="E600" s="722"/>
      <c r="F600" s="722"/>
      <c r="G600"/>
    </row>
    <row r="601" spans="1:7" ht="14.4" customHeight="1">
      <c r="A601" s="1767"/>
      <c r="B601" s="1196"/>
      <c r="C601" s="1303" t="s">
        <v>3377</v>
      </c>
      <c r="D601" s="1312"/>
      <c r="E601" s="1292"/>
      <c r="F601" s="1292"/>
      <c r="G601"/>
    </row>
    <row r="602" spans="1:7" ht="14.4" customHeight="1">
      <c r="A602" s="1767"/>
      <c r="B602" s="1193">
        <v>1</v>
      </c>
      <c r="C602" s="1202" t="s">
        <v>4548</v>
      </c>
      <c r="D602" s="1312"/>
      <c r="E602" s="1291"/>
      <c r="F602" s="1291"/>
      <c r="G602"/>
    </row>
    <row r="603" spans="1:7" ht="14.4" customHeight="1">
      <c r="A603" s="1767"/>
      <c r="B603" s="1193">
        <v>1</v>
      </c>
      <c r="C603" s="1202" t="s">
        <v>4501</v>
      </c>
      <c r="D603" s="1312"/>
      <c r="E603" s="1291"/>
      <c r="F603" s="1291"/>
      <c r="G603"/>
    </row>
    <row r="604" spans="1:7" ht="14.4" customHeight="1">
      <c r="A604" s="1767"/>
      <c r="B604" s="1193">
        <v>1</v>
      </c>
      <c r="C604" s="1202" t="s">
        <v>4450</v>
      </c>
      <c r="D604" s="1312"/>
      <c r="E604" s="1291"/>
      <c r="F604" s="1291"/>
      <c r="G604"/>
    </row>
    <row r="605" spans="1:7" ht="14.4" customHeight="1">
      <c r="A605" s="1767"/>
      <c r="B605" s="1193">
        <v>4</v>
      </c>
      <c r="C605" s="1202" t="s">
        <v>4449</v>
      </c>
      <c r="D605" s="1312"/>
      <c r="E605" s="1291"/>
      <c r="F605" s="1291"/>
      <c r="G605"/>
    </row>
    <row r="606" spans="1:7" ht="14.4" customHeight="1">
      <c r="A606" s="1767"/>
      <c r="B606" s="1193">
        <v>3</v>
      </c>
      <c r="C606" s="1202" t="s">
        <v>4447</v>
      </c>
      <c r="D606" s="1312"/>
      <c r="E606" s="1291"/>
      <c r="F606" s="1291"/>
      <c r="G606"/>
    </row>
    <row r="607" spans="1:7" ht="14.4" customHeight="1">
      <c r="A607" s="1767"/>
      <c r="B607" s="1193">
        <v>2</v>
      </c>
      <c r="C607" s="1202" t="s">
        <v>4445</v>
      </c>
      <c r="D607" s="1312"/>
      <c r="E607" s="1291"/>
      <c r="F607" s="1291"/>
      <c r="G607"/>
    </row>
    <row r="608" spans="1:7" ht="14.4" customHeight="1">
      <c r="A608" s="1767"/>
      <c r="B608" s="1193">
        <v>2</v>
      </c>
      <c r="C608" s="1202" t="s">
        <v>2933</v>
      </c>
      <c r="D608" s="1312"/>
      <c r="E608" s="1291"/>
      <c r="F608" s="1291"/>
      <c r="G608"/>
    </row>
    <row r="609" spans="1:7" ht="14.4" customHeight="1">
      <c r="A609" s="692"/>
      <c r="B609" s="1193"/>
      <c r="C609" s="1202" t="s">
        <v>729</v>
      </c>
      <c r="D609" s="1220"/>
      <c r="E609" s="722"/>
      <c r="F609" s="722"/>
      <c r="G609"/>
    </row>
    <row r="610" spans="1:7" ht="14.4" customHeight="1">
      <c r="A610" s="693"/>
      <c r="B610" s="1196"/>
      <c r="C610" s="1201" t="s">
        <v>3063</v>
      </c>
      <c r="D610" s="1220"/>
      <c r="E610" s="1171"/>
      <c r="F610" s="1171"/>
      <c r="G610"/>
    </row>
    <row r="611" spans="1:7" ht="14.4" customHeight="1">
      <c r="A611" s="691"/>
      <c r="B611" s="1193">
        <v>1</v>
      </c>
      <c r="C611" s="1202" t="s">
        <v>4448</v>
      </c>
      <c r="D611" s="1312"/>
      <c r="E611" s="1291"/>
      <c r="F611" s="1291"/>
      <c r="G611"/>
    </row>
    <row r="612" spans="1:7" ht="14.4" customHeight="1">
      <c r="A612" s="691"/>
      <c r="B612" s="1193">
        <v>1</v>
      </c>
      <c r="C612" s="1202" t="s">
        <v>12358</v>
      </c>
      <c r="D612" s="1312"/>
      <c r="E612" s="1291"/>
      <c r="F612" s="1291"/>
      <c r="G612"/>
    </row>
    <row r="613" spans="1:7" ht="14.4" customHeight="1">
      <c r="A613" s="692"/>
      <c r="B613" s="1193"/>
      <c r="C613" s="1202" t="s">
        <v>729</v>
      </c>
      <c r="D613" s="1220"/>
      <c r="E613" s="722"/>
      <c r="F613" s="722"/>
      <c r="G613"/>
    </row>
    <row r="614" spans="1:7" ht="14.4" customHeight="1">
      <c r="A614" s="1767"/>
      <c r="B614" s="1193">
        <v>1</v>
      </c>
      <c r="C614" s="1304" t="s">
        <v>12366</v>
      </c>
      <c r="D614" s="1312"/>
      <c r="E614" s="1292"/>
      <c r="F614" s="1292"/>
      <c r="G614"/>
    </row>
    <row r="615" spans="1:7" ht="14.4" customHeight="1">
      <c r="A615" s="693"/>
      <c r="B615" s="1193"/>
      <c r="C615" s="1202" t="s">
        <v>729</v>
      </c>
      <c r="D615" s="1220"/>
      <c r="E615" s="722"/>
      <c r="F615" s="722"/>
      <c r="G615"/>
    </row>
    <row r="616" spans="1:7" ht="14.4" customHeight="1">
      <c r="A616" s="1767"/>
      <c r="B616" s="1193">
        <v>1</v>
      </c>
      <c r="C616" s="1304" t="s">
        <v>12364</v>
      </c>
      <c r="D616" s="1312"/>
      <c r="E616" s="1292"/>
      <c r="F616" s="1292"/>
      <c r="G616"/>
    </row>
    <row r="617" spans="1:7" ht="14.4" customHeight="1">
      <c r="A617" s="1767"/>
      <c r="B617" s="1193">
        <v>1</v>
      </c>
      <c r="C617" s="1304" t="s">
        <v>12363</v>
      </c>
      <c r="D617" s="1312"/>
      <c r="E617" s="1292"/>
      <c r="F617" s="1292"/>
      <c r="G617"/>
    </row>
    <row r="618" spans="1:7" ht="14.4" customHeight="1">
      <c r="A618" s="1767"/>
      <c r="B618" s="1193">
        <v>1</v>
      </c>
      <c r="C618" s="1304" t="s">
        <v>12475</v>
      </c>
      <c r="D618" s="1312"/>
      <c r="E618" s="1292"/>
      <c r="F618" s="1292"/>
      <c r="G618"/>
    </row>
    <row r="619" spans="1:7" ht="14.4" customHeight="1">
      <c r="A619" s="693"/>
      <c r="B619" s="1193"/>
      <c r="C619" s="1202" t="s">
        <v>729</v>
      </c>
      <c r="D619" s="1220"/>
      <c r="E619" s="722"/>
      <c r="F619" s="722"/>
      <c r="G619"/>
    </row>
    <row r="620" spans="1:7" ht="14.4" customHeight="1">
      <c r="A620" s="693"/>
      <c r="B620" s="1193">
        <v>1</v>
      </c>
      <c r="C620" s="1202" t="s">
        <v>316</v>
      </c>
      <c r="D620" s="1122"/>
      <c r="E620" s="1295"/>
      <c r="F620" s="1295"/>
      <c r="G620"/>
    </row>
    <row r="621" spans="1:7" ht="14.4" customHeight="1">
      <c r="A621" s="693"/>
      <c r="B621" s="1193"/>
      <c r="C621" s="1202" t="s">
        <v>729</v>
      </c>
      <c r="D621" s="1220"/>
      <c r="E621" s="722"/>
      <c r="F621" s="722"/>
      <c r="G621"/>
    </row>
    <row r="622" spans="1:7" ht="14.4" customHeight="1" thickBot="1">
      <c r="A622" s="699"/>
      <c r="B622" s="1200"/>
      <c r="C622" s="1305"/>
      <c r="D622" s="1313"/>
      <c r="E622" s="1297"/>
      <c r="F622" s="1297"/>
      <c r="G622"/>
    </row>
    <row r="623" spans="1:7" ht="14.4" customHeight="1" thickBot="1">
      <c r="A623" s="1989">
        <v>15</v>
      </c>
      <c r="B623" s="1630">
        <v>1</v>
      </c>
      <c r="C623" s="1329" t="s">
        <v>12580</v>
      </c>
      <c r="D623" s="1219">
        <v>12909</v>
      </c>
      <c r="E623" s="1289"/>
      <c r="F623" s="1289">
        <v>12909</v>
      </c>
      <c r="G623"/>
    </row>
    <row r="624" spans="1:7" ht="14.4" customHeight="1">
      <c r="A624" s="685" t="s">
        <v>3064</v>
      </c>
      <c r="B624" s="2178"/>
      <c r="C624" s="2179"/>
      <c r="D624" s="1312"/>
      <c r="E624" s="1291"/>
      <c r="F624" s="1291"/>
      <c r="G624"/>
    </row>
    <row r="625" spans="1:7" ht="14.4" customHeight="1">
      <c r="A625" s="687" t="s">
        <v>12553</v>
      </c>
      <c r="B625" s="1194">
        <v>1</v>
      </c>
      <c r="C625" s="1201" t="s">
        <v>5103</v>
      </c>
      <c r="D625" s="1220"/>
      <c r="E625" s="1171"/>
      <c r="F625" s="1171"/>
      <c r="G625"/>
    </row>
    <row r="626" spans="1:7" ht="14.4" customHeight="1">
      <c r="A626" s="687" t="s">
        <v>4136</v>
      </c>
      <c r="B626" s="1195">
        <v>3</v>
      </c>
      <c r="C626" s="1191" t="s">
        <v>7374</v>
      </c>
      <c r="D626" s="1220"/>
      <c r="E626" s="722"/>
      <c r="F626" s="722"/>
      <c r="G626"/>
    </row>
    <row r="627" spans="1:7" ht="14.4" customHeight="1">
      <c r="A627" s="687"/>
      <c r="B627" s="1195">
        <v>3</v>
      </c>
      <c r="C627" s="1191" t="s">
        <v>7375</v>
      </c>
      <c r="D627" s="1220"/>
      <c r="E627" s="722"/>
      <c r="F627" s="722"/>
      <c r="G627"/>
    </row>
    <row r="628" spans="1:7" ht="14.4" customHeight="1">
      <c r="A628" s="687" t="s">
        <v>12356</v>
      </c>
      <c r="B628" s="1199">
        <v>1</v>
      </c>
      <c r="C628" s="1205" t="s">
        <v>3366</v>
      </c>
      <c r="D628" s="1221"/>
      <c r="E628" s="1172"/>
      <c r="F628" s="1172"/>
      <c r="G628"/>
    </row>
    <row r="629" spans="1:7" ht="14.4" customHeight="1">
      <c r="A629" s="687" t="s">
        <v>3542</v>
      </c>
      <c r="B629" s="1194"/>
      <c r="C629" s="1218"/>
      <c r="D629" s="1220"/>
      <c r="E629" s="1171"/>
      <c r="F629" s="1171"/>
      <c r="G629"/>
    </row>
    <row r="630" spans="1:7" ht="14.4" customHeight="1">
      <c r="A630" s="687"/>
      <c r="B630" s="1195"/>
      <c r="C630" s="1629" t="s">
        <v>12368</v>
      </c>
      <c r="D630" s="1220"/>
      <c r="E630" s="722"/>
      <c r="F630" s="722"/>
      <c r="G630"/>
    </row>
    <row r="631" spans="1:7" ht="14.4" customHeight="1">
      <c r="A631" s="693"/>
      <c r="B631" s="1192">
        <v>6</v>
      </c>
      <c r="C631" s="1202" t="s">
        <v>8588</v>
      </c>
      <c r="D631" s="1312"/>
      <c r="E631" s="1291"/>
      <c r="F631" s="1291"/>
      <c r="G631"/>
    </row>
    <row r="632" spans="1:7" ht="14.4" customHeight="1">
      <c r="A632" s="1638"/>
      <c r="B632" s="1192"/>
      <c r="C632" s="1304" t="s">
        <v>729</v>
      </c>
      <c r="D632" s="1312"/>
      <c r="E632" s="1291"/>
      <c r="F632" s="1291"/>
      <c r="G632"/>
    </row>
    <row r="633" spans="1:7" ht="14.4" customHeight="1">
      <c r="A633" s="691"/>
      <c r="B633" s="1193"/>
      <c r="C633" s="1201" t="s">
        <v>3158</v>
      </c>
      <c r="D633" s="1312"/>
      <c r="E633" s="1292"/>
      <c r="F633" s="1292"/>
      <c r="G633"/>
    </row>
    <row r="634" spans="1:7" ht="14.4" customHeight="1">
      <c r="A634" s="687"/>
      <c r="B634" s="1193">
        <v>1</v>
      </c>
      <c r="C634" s="1202" t="s">
        <v>4431</v>
      </c>
      <c r="D634" s="1312"/>
      <c r="E634" s="1292"/>
      <c r="F634" s="1292"/>
      <c r="G634"/>
    </row>
    <row r="635" spans="1:7" ht="14.4" customHeight="1">
      <c r="A635" s="687"/>
      <c r="B635" s="1193"/>
      <c r="C635" s="1202" t="s">
        <v>729</v>
      </c>
      <c r="D635" s="1220"/>
      <c r="E635" s="722"/>
      <c r="F635" s="722"/>
      <c r="G635"/>
    </row>
    <row r="636" spans="1:7" ht="14.4" customHeight="1">
      <c r="A636" s="687"/>
      <c r="B636" s="1294">
        <v>1</v>
      </c>
      <c r="C636" s="1303" t="s">
        <v>12619</v>
      </c>
      <c r="D636" s="1220"/>
      <c r="E636" s="722"/>
      <c r="F636" s="722"/>
      <c r="G636"/>
    </row>
    <row r="637" spans="1:7" ht="14.4" customHeight="1">
      <c r="A637" s="687"/>
      <c r="B637" s="1199">
        <v>1</v>
      </c>
      <c r="C637" s="1205" t="s">
        <v>3378</v>
      </c>
      <c r="D637" s="1221"/>
      <c r="E637" s="1172"/>
      <c r="F637" s="1172"/>
      <c r="G637"/>
    </row>
    <row r="638" spans="1:7" ht="14.4" customHeight="1">
      <c r="A638" s="687"/>
      <c r="B638" s="1195">
        <v>1</v>
      </c>
      <c r="C638" s="1191" t="s">
        <v>3519</v>
      </c>
      <c r="D638" s="1220"/>
      <c r="E638" s="1171"/>
      <c r="F638" s="1171"/>
      <c r="G638"/>
    </row>
    <row r="639" spans="1:7" ht="14.4" customHeight="1">
      <c r="A639" s="687"/>
      <c r="B639" s="1195">
        <v>1</v>
      </c>
      <c r="C639" s="1191" t="s">
        <v>6734</v>
      </c>
      <c r="D639" s="1220"/>
      <c r="E639" s="1171"/>
      <c r="F639" s="1171"/>
      <c r="G639"/>
    </row>
    <row r="640" spans="1:7" ht="14.4" customHeight="1">
      <c r="A640" s="687"/>
      <c r="B640" s="1195">
        <v>1</v>
      </c>
      <c r="C640" s="1191" t="s">
        <v>7374</v>
      </c>
      <c r="D640" s="1220"/>
      <c r="E640" s="1171"/>
      <c r="F640" s="1171"/>
      <c r="G640"/>
    </row>
    <row r="641" spans="1:7" ht="14.4" customHeight="1">
      <c r="A641" s="687"/>
      <c r="B641" s="1195">
        <v>1</v>
      </c>
      <c r="C641" s="1191" t="s">
        <v>7375</v>
      </c>
      <c r="D641" s="1220"/>
      <c r="E641" s="1171"/>
      <c r="F641" s="1171"/>
      <c r="G641"/>
    </row>
    <row r="642" spans="1:7" ht="14.4" customHeight="1">
      <c r="A642" s="687"/>
      <c r="B642" s="1195">
        <v>1</v>
      </c>
      <c r="C642" s="1191" t="s">
        <v>2436</v>
      </c>
      <c r="D642" s="1220"/>
      <c r="E642" s="1171"/>
      <c r="F642" s="1171"/>
      <c r="G642"/>
    </row>
    <row r="643" spans="1:7" ht="14.4" customHeight="1">
      <c r="A643" s="687"/>
      <c r="B643" s="1195">
        <v>1</v>
      </c>
      <c r="C643" s="1191" t="s">
        <v>4660</v>
      </c>
      <c r="D643" s="1220"/>
      <c r="E643" s="1171"/>
      <c r="F643" s="1171"/>
      <c r="G643"/>
    </row>
    <row r="644" spans="1:7" ht="14.4" customHeight="1">
      <c r="A644" s="1208"/>
      <c r="B644" s="1199">
        <v>1</v>
      </c>
      <c r="C644" s="1205" t="s">
        <v>3379</v>
      </c>
      <c r="D644" s="1221"/>
      <c r="E644" s="1172"/>
      <c r="F644" s="1172"/>
      <c r="G644"/>
    </row>
    <row r="645" spans="1:7" ht="14.4" customHeight="1">
      <c r="A645" s="687"/>
      <c r="B645" s="1193"/>
      <c r="C645" s="1202" t="s">
        <v>729</v>
      </c>
      <c r="D645" s="1220"/>
      <c r="E645" s="722"/>
      <c r="F645" s="722"/>
      <c r="G645"/>
    </row>
    <row r="646" spans="1:7" ht="14.4" customHeight="1">
      <c r="A646" s="687"/>
      <c r="B646" s="1193"/>
      <c r="C646" s="1627" t="s">
        <v>11663</v>
      </c>
      <c r="D646" s="1312"/>
      <c r="E646" s="722"/>
      <c r="F646" s="722"/>
      <c r="G646"/>
    </row>
    <row r="647" spans="1:7" ht="14.4" customHeight="1">
      <c r="A647" s="687"/>
      <c r="B647" s="1193">
        <v>1</v>
      </c>
      <c r="C647" s="1202" t="s">
        <v>12165</v>
      </c>
      <c r="D647" s="1312"/>
      <c r="E647" s="722"/>
      <c r="F647" s="722"/>
      <c r="G647"/>
    </row>
    <row r="648" spans="1:7" ht="14.4" customHeight="1">
      <c r="A648" s="687"/>
      <c r="B648" s="1193">
        <v>3</v>
      </c>
      <c r="C648" s="1202" t="s">
        <v>8261</v>
      </c>
      <c r="D648" s="1312"/>
      <c r="E648" s="722"/>
      <c r="F648" s="722"/>
      <c r="G648"/>
    </row>
    <row r="649" spans="1:7" ht="14.4" customHeight="1">
      <c r="A649" s="687"/>
      <c r="B649" s="1193">
        <v>5</v>
      </c>
      <c r="C649" s="1202" t="s">
        <v>8288</v>
      </c>
      <c r="D649" s="1312"/>
      <c r="E649" s="722"/>
      <c r="F649" s="722"/>
      <c r="G649"/>
    </row>
    <row r="650" spans="1:7" ht="14.4" customHeight="1">
      <c r="A650" s="687"/>
      <c r="B650" s="1193">
        <v>6</v>
      </c>
      <c r="C650" s="1202" t="s">
        <v>8275</v>
      </c>
      <c r="D650" s="1312"/>
      <c r="E650" s="722"/>
      <c r="F650" s="722"/>
      <c r="G650"/>
    </row>
    <row r="651" spans="1:7" ht="14.4" customHeight="1">
      <c r="A651" s="693"/>
      <c r="B651" s="1193"/>
      <c r="C651" s="1202" t="s">
        <v>729</v>
      </c>
      <c r="D651" s="1220"/>
      <c r="E651" s="722"/>
      <c r="F651" s="722"/>
      <c r="G651"/>
    </row>
    <row r="652" spans="1:7" ht="14.4" customHeight="1">
      <c r="A652" s="1767"/>
      <c r="B652" s="1196"/>
      <c r="C652" s="1303" t="s">
        <v>3377</v>
      </c>
      <c r="D652" s="1312"/>
      <c r="E652" s="1292"/>
      <c r="F652" s="1292"/>
      <c r="G652"/>
    </row>
    <row r="653" spans="1:7" ht="14.4" customHeight="1">
      <c r="A653" s="1767"/>
      <c r="B653" s="1193">
        <v>1</v>
      </c>
      <c r="C653" s="1202" t="s">
        <v>4431</v>
      </c>
      <c r="D653" s="1312"/>
      <c r="E653" s="1291"/>
      <c r="F653" s="1291"/>
      <c r="G653"/>
    </row>
    <row r="654" spans="1:7" ht="14.4" customHeight="1">
      <c r="A654" s="1767"/>
      <c r="B654" s="1193">
        <v>1</v>
      </c>
      <c r="C654" s="1202" t="s">
        <v>4428</v>
      </c>
      <c r="D654" s="1312"/>
      <c r="E654" s="1291"/>
      <c r="F654" s="1291"/>
      <c r="G654"/>
    </row>
    <row r="655" spans="1:7" ht="14.4" customHeight="1">
      <c r="A655" s="1767"/>
      <c r="B655" s="1193">
        <v>1</v>
      </c>
      <c r="C655" s="1202" t="s">
        <v>4427</v>
      </c>
      <c r="D655" s="1312"/>
      <c r="E655" s="1291"/>
      <c r="F655" s="1291"/>
      <c r="G655"/>
    </row>
    <row r="656" spans="1:7" ht="14.4" customHeight="1">
      <c r="A656" s="1767"/>
      <c r="B656" s="1193">
        <v>2</v>
      </c>
      <c r="C656" s="1202" t="s">
        <v>4425</v>
      </c>
      <c r="D656" s="1312"/>
      <c r="E656" s="1291"/>
      <c r="F656" s="1291"/>
      <c r="G656"/>
    </row>
    <row r="657" spans="1:7" ht="14.4" customHeight="1">
      <c r="A657" s="1767"/>
      <c r="B657" s="1193">
        <v>1</v>
      </c>
      <c r="C657" s="1202" t="s">
        <v>2933</v>
      </c>
      <c r="D657" s="1312"/>
      <c r="E657" s="1291"/>
      <c r="F657" s="1291"/>
      <c r="G657"/>
    </row>
    <row r="658" spans="1:7" ht="14.4" customHeight="1">
      <c r="A658" s="692"/>
      <c r="B658" s="1193"/>
      <c r="C658" s="1202" t="s">
        <v>729</v>
      </c>
      <c r="D658" s="1220"/>
      <c r="E658" s="722"/>
      <c r="F658" s="722"/>
      <c r="G658"/>
    </row>
    <row r="659" spans="1:7" ht="14.4" customHeight="1">
      <c r="A659" s="693"/>
      <c r="B659" s="1196"/>
      <c r="C659" s="1201" t="s">
        <v>3063</v>
      </c>
      <c r="D659" s="1220"/>
      <c r="E659" s="1171"/>
      <c r="F659" s="1171"/>
      <c r="G659"/>
    </row>
    <row r="660" spans="1:7" ht="14.4" customHeight="1">
      <c r="A660" s="691"/>
      <c r="B660" s="1193">
        <v>1</v>
      </c>
      <c r="C660" s="1202" t="s">
        <v>4389</v>
      </c>
      <c r="D660" s="1312"/>
      <c r="E660" s="1291"/>
      <c r="F660" s="1291"/>
      <c r="G660"/>
    </row>
    <row r="661" spans="1:7" ht="14.4" customHeight="1">
      <c r="A661" s="691"/>
      <c r="B661" s="1193">
        <v>1</v>
      </c>
      <c r="C661" s="1202" t="s">
        <v>12358</v>
      </c>
      <c r="D661" s="1312"/>
      <c r="E661" s="1291"/>
      <c r="F661" s="1291"/>
      <c r="G661"/>
    </row>
    <row r="662" spans="1:7" ht="14.4" customHeight="1">
      <c r="A662" s="692"/>
      <c r="B662" s="1193"/>
      <c r="C662" s="1202" t="s">
        <v>729</v>
      </c>
      <c r="D662" s="1220"/>
      <c r="E662" s="722"/>
      <c r="F662" s="722"/>
      <c r="G662"/>
    </row>
    <row r="663" spans="1:7" ht="14.4" customHeight="1">
      <c r="A663" s="1767"/>
      <c r="B663" s="1193">
        <v>1</v>
      </c>
      <c r="C663" s="1304" t="s">
        <v>12366</v>
      </c>
      <c r="D663" s="1312"/>
      <c r="E663" s="1292"/>
      <c r="F663" s="1292"/>
      <c r="G663"/>
    </row>
    <row r="664" spans="1:7" ht="14.4" customHeight="1">
      <c r="A664" s="693"/>
      <c r="B664" s="1193"/>
      <c r="C664" s="1202" t="s">
        <v>729</v>
      </c>
      <c r="D664" s="1220"/>
      <c r="E664" s="722"/>
      <c r="F664" s="722"/>
      <c r="G664"/>
    </row>
    <row r="665" spans="1:7" ht="14.4" customHeight="1">
      <c r="A665" s="1767"/>
      <c r="B665" s="1193">
        <v>1</v>
      </c>
      <c r="C665" s="1304" t="s">
        <v>12364</v>
      </c>
      <c r="D665" s="1312"/>
      <c r="E665" s="1292"/>
      <c r="F665" s="1292"/>
      <c r="G665"/>
    </row>
    <row r="666" spans="1:7" ht="14.4" customHeight="1">
      <c r="A666" s="1767"/>
      <c r="B666" s="1193">
        <v>1</v>
      </c>
      <c r="C666" s="1304" t="s">
        <v>12474</v>
      </c>
      <c r="D666" s="1312"/>
      <c r="E666" s="1292"/>
      <c r="F666" s="1292"/>
      <c r="G666"/>
    </row>
    <row r="667" spans="1:7" ht="14.4" customHeight="1">
      <c r="A667" s="693"/>
      <c r="B667" s="1193"/>
      <c r="C667" s="1202" t="s">
        <v>729</v>
      </c>
      <c r="D667" s="1220"/>
      <c r="E667" s="722"/>
      <c r="F667" s="722"/>
      <c r="G667"/>
    </row>
    <row r="668" spans="1:7" ht="14.4" customHeight="1">
      <c r="A668" s="693"/>
      <c r="B668" s="1193">
        <v>1</v>
      </c>
      <c r="C668" s="1202" t="s">
        <v>316</v>
      </c>
      <c r="D668" s="1122"/>
      <c r="E668" s="1295"/>
      <c r="F668" s="1295"/>
      <c r="G668"/>
    </row>
    <row r="669" spans="1:7" ht="14.4" customHeight="1">
      <c r="A669" s="693"/>
      <c r="B669" s="1193"/>
      <c r="C669" s="1202" t="s">
        <v>729</v>
      </c>
      <c r="D669" s="1220"/>
      <c r="E669" s="722"/>
      <c r="F669" s="722"/>
      <c r="G669"/>
    </row>
    <row r="670" spans="1:7" ht="14.4" customHeight="1" thickBot="1">
      <c r="A670" s="699"/>
      <c r="B670" s="1200"/>
      <c r="C670" s="1305"/>
      <c r="D670" s="1313"/>
      <c r="E670" s="1297"/>
      <c r="F670" s="1297"/>
      <c r="G670"/>
    </row>
    <row r="671" spans="1:7" ht="14.4" customHeight="1" thickBot="1">
      <c r="A671" s="1989">
        <v>16</v>
      </c>
      <c r="B671" s="1630">
        <v>1</v>
      </c>
      <c r="C671" s="1329" t="s">
        <v>12581</v>
      </c>
      <c r="D671" s="1219">
        <v>5829</v>
      </c>
      <c r="E671" s="1289"/>
      <c r="F671" s="1289">
        <v>5829</v>
      </c>
      <c r="G671"/>
    </row>
    <row r="672" spans="1:7" ht="14.4" customHeight="1">
      <c r="A672" s="685" t="s">
        <v>3064</v>
      </c>
      <c r="B672" s="2178"/>
      <c r="C672" s="2179"/>
      <c r="D672" s="1312"/>
      <c r="E672" s="1291"/>
      <c r="F672" s="1291"/>
      <c r="G672"/>
    </row>
    <row r="673" spans="1:7" ht="14.4" customHeight="1">
      <c r="A673" s="687" t="s">
        <v>12553</v>
      </c>
      <c r="B673" s="1194">
        <v>1</v>
      </c>
      <c r="C673" s="1201" t="s">
        <v>5103</v>
      </c>
      <c r="D673" s="1220"/>
      <c r="E673" s="1171"/>
      <c r="F673" s="1171"/>
      <c r="G673"/>
    </row>
    <row r="674" spans="1:7" ht="14.4" customHeight="1">
      <c r="A674" s="687" t="s">
        <v>4136</v>
      </c>
      <c r="B674" s="1195">
        <v>3</v>
      </c>
      <c r="C674" s="1191" t="s">
        <v>7374</v>
      </c>
      <c r="D674" s="1220"/>
      <c r="E674" s="722"/>
      <c r="F674" s="722"/>
      <c r="G674"/>
    </row>
    <row r="675" spans="1:7" ht="14.4" customHeight="1">
      <c r="A675" s="687"/>
      <c r="B675" s="1195">
        <v>3</v>
      </c>
      <c r="C675" s="1191" t="s">
        <v>7375</v>
      </c>
      <c r="D675" s="1220"/>
      <c r="E675" s="722"/>
      <c r="F675" s="722"/>
      <c r="G675"/>
    </row>
    <row r="676" spans="1:7" ht="14.4" customHeight="1">
      <c r="A676" s="687" t="s">
        <v>12356</v>
      </c>
      <c r="B676" s="1199">
        <v>1</v>
      </c>
      <c r="C676" s="1205" t="s">
        <v>3366</v>
      </c>
      <c r="D676" s="1221"/>
      <c r="E676" s="1172"/>
      <c r="F676" s="1172"/>
      <c r="G676"/>
    </row>
    <row r="677" spans="1:7" ht="14.4" customHeight="1">
      <c r="A677" s="687" t="s">
        <v>3542</v>
      </c>
      <c r="B677" s="1194"/>
      <c r="C677" s="1218"/>
      <c r="D677" s="1220"/>
      <c r="E677" s="1171"/>
      <c r="F677" s="1171"/>
      <c r="G677"/>
    </row>
    <row r="678" spans="1:7" ht="14.4" customHeight="1">
      <c r="A678" s="687"/>
      <c r="B678" s="1195"/>
      <c r="C678" s="1629" t="s">
        <v>12368</v>
      </c>
      <c r="D678" s="1220"/>
      <c r="E678" s="722"/>
      <c r="F678" s="722"/>
      <c r="G678"/>
    </row>
    <row r="679" spans="1:7" ht="14.4" customHeight="1">
      <c r="A679" s="1767"/>
      <c r="B679" s="1193"/>
      <c r="C679" s="1201" t="s">
        <v>3158</v>
      </c>
      <c r="D679" s="1312"/>
      <c r="E679" s="1292"/>
      <c r="F679" s="1292"/>
      <c r="G679"/>
    </row>
    <row r="680" spans="1:7" ht="14.4" customHeight="1">
      <c r="A680" s="687"/>
      <c r="B680" s="1193">
        <v>1</v>
      </c>
      <c r="C680" s="1202" t="s">
        <v>4494</v>
      </c>
      <c r="D680" s="1312"/>
      <c r="E680" s="1292"/>
      <c r="F680" s="1292"/>
      <c r="G680"/>
    </row>
    <row r="681" spans="1:7" ht="14.4" customHeight="1">
      <c r="A681" s="687"/>
      <c r="B681" s="1193"/>
      <c r="C681" s="1202" t="s">
        <v>729</v>
      </c>
      <c r="D681" s="1220"/>
      <c r="E681" s="722"/>
      <c r="F681" s="722"/>
      <c r="G681"/>
    </row>
    <row r="682" spans="1:7" ht="14.4" customHeight="1">
      <c r="A682" s="1767"/>
      <c r="B682" s="1196"/>
      <c r="C682" s="1303" t="s">
        <v>3377</v>
      </c>
      <c r="D682" s="1312"/>
      <c r="E682" s="1292"/>
      <c r="F682" s="1292"/>
      <c r="G682"/>
    </row>
    <row r="683" spans="1:7" ht="14.4" customHeight="1">
      <c r="A683" s="1767"/>
      <c r="B683" s="1193">
        <v>1</v>
      </c>
      <c r="C683" s="1202" t="s">
        <v>6603</v>
      </c>
      <c r="D683" s="1312"/>
      <c r="E683" s="1291"/>
      <c r="F683" s="1291"/>
      <c r="G683"/>
    </row>
    <row r="684" spans="1:7" ht="14.4" customHeight="1">
      <c r="A684" s="1767"/>
      <c r="B684" s="1193">
        <v>1</v>
      </c>
      <c r="C684" s="1202" t="s">
        <v>6602</v>
      </c>
      <c r="D684" s="1312"/>
      <c r="E684" s="1291"/>
      <c r="F684" s="1291"/>
      <c r="G684"/>
    </row>
    <row r="685" spans="1:7" ht="14.4" customHeight="1">
      <c r="A685" s="1767"/>
      <c r="B685" s="1193">
        <v>2</v>
      </c>
      <c r="C685" s="1202" t="s">
        <v>6601</v>
      </c>
      <c r="D685" s="1312"/>
      <c r="E685" s="1291"/>
      <c r="F685" s="1291"/>
      <c r="G685"/>
    </row>
    <row r="686" spans="1:7" ht="14.4" customHeight="1">
      <c r="A686" s="1767"/>
      <c r="B686" s="1193">
        <v>2</v>
      </c>
      <c r="C686" s="1202" t="s">
        <v>6598</v>
      </c>
      <c r="D686" s="1312"/>
      <c r="E686" s="1291"/>
      <c r="F686" s="1291"/>
      <c r="G686"/>
    </row>
    <row r="687" spans="1:7" ht="14.4" customHeight="1">
      <c r="A687" s="1767"/>
      <c r="B687" s="1193">
        <v>1</v>
      </c>
      <c r="C687" s="1202" t="s">
        <v>4310</v>
      </c>
      <c r="D687" s="1312"/>
      <c r="E687" s="1291"/>
      <c r="F687" s="1291"/>
      <c r="G687"/>
    </row>
    <row r="688" spans="1:7" ht="14.4" customHeight="1">
      <c r="A688" s="1767"/>
      <c r="B688" s="1193">
        <v>2</v>
      </c>
      <c r="C688" s="1202" t="s">
        <v>2933</v>
      </c>
      <c r="D688" s="1312"/>
      <c r="E688" s="1291"/>
      <c r="F688" s="1291"/>
      <c r="G688"/>
    </row>
    <row r="689" spans="1:7" ht="14.4" customHeight="1">
      <c r="A689" s="692"/>
      <c r="B689" s="1193"/>
      <c r="C689" s="1202" t="s">
        <v>729</v>
      </c>
      <c r="D689" s="1220"/>
      <c r="E689" s="722"/>
      <c r="F689" s="722"/>
      <c r="G689"/>
    </row>
    <row r="690" spans="1:7" ht="14.4" customHeight="1">
      <c r="A690" s="693"/>
      <c r="B690" s="1196"/>
      <c r="C690" s="1201" t="s">
        <v>3063</v>
      </c>
      <c r="D690" s="1220"/>
      <c r="E690" s="1171"/>
      <c r="F690" s="1171"/>
      <c r="G690"/>
    </row>
    <row r="691" spans="1:7" ht="14.4" customHeight="1">
      <c r="A691" s="691"/>
      <c r="B691" s="1193">
        <v>1</v>
      </c>
      <c r="C691" s="1202" t="s">
        <v>6599</v>
      </c>
      <c r="D691" s="1312"/>
      <c r="E691" s="1291"/>
      <c r="F691" s="1291"/>
      <c r="G691"/>
    </row>
    <row r="692" spans="1:7" ht="14.4" customHeight="1">
      <c r="A692" s="691"/>
      <c r="B692" s="1193">
        <v>1</v>
      </c>
      <c r="C692" s="1202" t="s">
        <v>6456</v>
      </c>
      <c r="D692" s="1312"/>
      <c r="E692" s="1291"/>
      <c r="F692" s="1291"/>
      <c r="G692"/>
    </row>
    <row r="693" spans="1:7" ht="14.4" customHeight="1">
      <c r="A693" s="692"/>
      <c r="B693" s="1193"/>
      <c r="C693" s="1202" t="s">
        <v>729</v>
      </c>
      <c r="D693" s="1220"/>
      <c r="E693" s="722"/>
      <c r="F693" s="722"/>
      <c r="G693"/>
    </row>
    <row r="694" spans="1:7" ht="14.4" customHeight="1">
      <c r="A694" s="1767"/>
      <c r="B694" s="1193">
        <v>1</v>
      </c>
      <c r="C694" s="1304" t="s">
        <v>12364</v>
      </c>
      <c r="D694" s="1312"/>
      <c r="E694" s="1292"/>
      <c r="F694" s="1292"/>
      <c r="G694"/>
    </row>
    <row r="695" spans="1:7" ht="14.4" customHeight="1">
      <c r="A695" s="1767"/>
      <c r="B695" s="1193">
        <v>1</v>
      </c>
      <c r="C695" s="1304" t="s">
        <v>12474</v>
      </c>
      <c r="D695" s="1312"/>
      <c r="E695" s="1292"/>
      <c r="F695" s="1292"/>
      <c r="G695"/>
    </row>
    <row r="696" spans="1:7" ht="14.4" customHeight="1">
      <c r="A696" s="693"/>
      <c r="B696" s="1193"/>
      <c r="C696" s="1202" t="s">
        <v>729</v>
      </c>
      <c r="D696" s="1220"/>
      <c r="E696" s="722"/>
      <c r="F696" s="722"/>
      <c r="G696"/>
    </row>
    <row r="697" spans="1:7" ht="14.4" customHeight="1">
      <c r="A697" s="693"/>
      <c r="B697" s="1193">
        <v>1</v>
      </c>
      <c r="C697" s="1202" t="s">
        <v>316</v>
      </c>
      <c r="D697" s="1122"/>
      <c r="E697" s="1295"/>
      <c r="F697" s="1295"/>
      <c r="G697"/>
    </row>
    <row r="698" spans="1:7" ht="14.4" customHeight="1">
      <c r="A698" s="693"/>
      <c r="B698" s="1193"/>
      <c r="C698" s="1202" t="s">
        <v>729</v>
      </c>
      <c r="D698" s="1220"/>
      <c r="E698" s="722"/>
      <c r="F698" s="722"/>
      <c r="G698"/>
    </row>
    <row r="699" spans="1:7" ht="14.4" customHeight="1" thickBot="1">
      <c r="A699" s="699"/>
      <c r="B699" s="1200"/>
      <c r="C699" s="1305"/>
      <c r="D699" s="1313"/>
      <c r="E699" s="1297"/>
      <c r="F699" s="1297"/>
      <c r="G699"/>
    </row>
    <row r="700" spans="1:7" ht="14.4" customHeight="1" thickBot="1">
      <c r="A700" s="1989">
        <v>17</v>
      </c>
      <c r="B700" s="1630">
        <v>1</v>
      </c>
      <c r="C700" s="1329" t="s">
        <v>12582</v>
      </c>
      <c r="D700" s="1219">
        <v>4062</v>
      </c>
      <c r="E700" s="1289"/>
      <c r="F700" s="1289">
        <v>4062</v>
      </c>
      <c r="G700"/>
    </row>
    <row r="701" spans="1:7" ht="14.4" customHeight="1">
      <c r="A701" s="685" t="s">
        <v>3064</v>
      </c>
      <c r="B701" s="2178"/>
      <c r="C701" s="2179"/>
      <c r="D701" s="1312"/>
      <c r="E701" s="1291"/>
      <c r="F701" s="1291"/>
      <c r="G701"/>
    </row>
    <row r="702" spans="1:7" ht="14.4" customHeight="1">
      <c r="A702" s="687" t="s">
        <v>12553</v>
      </c>
      <c r="B702" s="1194">
        <v>1</v>
      </c>
      <c r="C702" s="1201" t="s">
        <v>5103</v>
      </c>
      <c r="D702" s="1220"/>
      <c r="E702" s="1171"/>
      <c r="F702" s="1171"/>
      <c r="G702"/>
    </row>
    <row r="703" spans="1:7" ht="14.4" customHeight="1">
      <c r="A703" s="687" t="s">
        <v>4136</v>
      </c>
      <c r="B703" s="1195">
        <v>3</v>
      </c>
      <c r="C703" s="1191" t="s">
        <v>7374</v>
      </c>
      <c r="D703" s="1220"/>
      <c r="E703" s="722"/>
      <c r="F703" s="722"/>
      <c r="G703"/>
    </row>
    <row r="704" spans="1:7" ht="14.4" customHeight="1">
      <c r="A704" s="687"/>
      <c r="B704" s="1195">
        <v>3</v>
      </c>
      <c r="C704" s="1191" t="s">
        <v>7375</v>
      </c>
      <c r="D704" s="1220"/>
      <c r="E704" s="722"/>
      <c r="F704" s="722"/>
      <c r="G704"/>
    </row>
    <row r="705" spans="1:7" ht="14.4" customHeight="1">
      <c r="A705" s="687" t="s">
        <v>12356</v>
      </c>
      <c r="B705" s="1199">
        <v>1</v>
      </c>
      <c r="C705" s="1205" t="s">
        <v>3366</v>
      </c>
      <c r="D705" s="1221"/>
      <c r="E705" s="1172"/>
      <c r="F705" s="1172"/>
      <c r="G705"/>
    </row>
    <row r="706" spans="1:7" ht="14.4" customHeight="1">
      <c r="A706" s="687" t="s">
        <v>3542</v>
      </c>
      <c r="B706" s="1194"/>
      <c r="C706" s="1218"/>
      <c r="D706" s="1220"/>
      <c r="E706" s="1171"/>
      <c r="F706" s="1171"/>
      <c r="G706"/>
    </row>
    <row r="707" spans="1:7" ht="14.4" customHeight="1">
      <c r="A707" s="687"/>
      <c r="B707" s="1195"/>
      <c r="C707" s="1629" t="s">
        <v>12368</v>
      </c>
      <c r="D707" s="1220"/>
      <c r="E707" s="722"/>
      <c r="F707" s="722"/>
      <c r="G707"/>
    </row>
    <row r="708" spans="1:7" ht="14.4" customHeight="1">
      <c r="A708" s="691"/>
      <c r="B708" s="1193"/>
      <c r="C708" s="1201" t="s">
        <v>3158</v>
      </c>
      <c r="D708" s="1312"/>
      <c r="E708" s="1292"/>
      <c r="F708" s="1292"/>
      <c r="G708"/>
    </row>
    <row r="709" spans="1:7" ht="14.4" customHeight="1">
      <c r="A709" s="687"/>
      <c r="B709" s="1193">
        <v>1</v>
      </c>
      <c r="C709" s="1202" t="s">
        <v>6603</v>
      </c>
      <c r="D709" s="1312"/>
      <c r="E709" s="1292"/>
      <c r="F709" s="1292"/>
      <c r="G709"/>
    </row>
    <row r="710" spans="1:7" ht="14.4" customHeight="1">
      <c r="A710" s="687"/>
      <c r="B710" s="1193"/>
      <c r="C710" s="1202" t="s">
        <v>729</v>
      </c>
      <c r="D710" s="1220"/>
      <c r="E710" s="722"/>
      <c r="F710" s="722"/>
      <c r="G710"/>
    </row>
    <row r="711" spans="1:7" ht="14.4" customHeight="1">
      <c r="A711" s="1767"/>
      <c r="B711" s="1196"/>
      <c r="C711" s="1303" t="s">
        <v>3377</v>
      </c>
      <c r="D711" s="1312"/>
      <c r="E711" s="1292"/>
      <c r="F711" s="1292"/>
      <c r="G711"/>
    </row>
    <row r="712" spans="1:7" ht="14.4" customHeight="1">
      <c r="A712" s="1767"/>
      <c r="B712" s="1193">
        <v>3</v>
      </c>
      <c r="C712" s="1202" t="s">
        <v>6597</v>
      </c>
      <c r="D712" s="1312"/>
      <c r="E712" s="1291"/>
      <c r="F712" s="1291"/>
      <c r="G712"/>
    </row>
    <row r="713" spans="1:7" ht="14.4" customHeight="1">
      <c r="A713" s="1767"/>
      <c r="B713" s="1193">
        <v>9</v>
      </c>
      <c r="C713" s="1202" t="s">
        <v>4183</v>
      </c>
      <c r="D713" s="1312"/>
      <c r="E713" s="1291"/>
      <c r="F713" s="1291"/>
      <c r="G713"/>
    </row>
    <row r="714" spans="1:7" ht="14.4" customHeight="1">
      <c r="A714" s="1767"/>
      <c r="B714" s="1193">
        <v>2</v>
      </c>
      <c r="C714" s="1202" t="s">
        <v>2925</v>
      </c>
      <c r="D714" s="1312"/>
      <c r="E714" s="1291"/>
      <c r="F714" s="1291"/>
      <c r="G714"/>
    </row>
    <row r="715" spans="1:7" ht="14.4" customHeight="1">
      <c r="A715" s="692"/>
      <c r="B715" s="1193"/>
      <c r="C715" s="1202" t="s">
        <v>729</v>
      </c>
      <c r="D715" s="1220"/>
      <c r="E715" s="722"/>
      <c r="F715" s="722"/>
      <c r="G715"/>
    </row>
    <row r="716" spans="1:7" ht="14.4" customHeight="1">
      <c r="A716" s="693"/>
      <c r="B716" s="1196"/>
      <c r="C716" s="1201" t="s">
        <v>3063</v>
      </c>
      <c r="D716" s="1220"/>
      <c r="E716" s="1171"/>
      <c r="F716" s="1171"/>
      <c r="G716"/>
    </row>
    <row r="717" spans="1:7" ht="14.4" customHeight="1">
      <c r="A717" s="691"/>
      <c r="B717" s="1193">
        <v>1</v>
      </c>
      <c r="C717" s="1202" t="s">
        <v>4208</v>
      </c>
      <c r="D717" s="1312"/>
      <c r="E717" s="1291"/>
      <c r="F717" s="1291"/>
      <c r="G717"/>
    </row>
    <row r="718" spans="1:7" ht="14.4" customHeight="1">
      <c r="A718" s="691"/>
      <c r="B718" s="1193">
        <v>1</v>
      </c>
      <c r="C718" s="1202" t="s">
        <v>6456</v>
      </c>
      <c r="D718" s="1312"/>
      <c r="E718" s="1291"/>
      <c r="F718" s="1291"/>
      <c r="G718"/>
    </row>
    <row r="719" spans="1:7" ht="14.4" customHeight="1">
      <c r="A719" s="692"/>
      <c r="B719" s="1193"/>
      <c r="C719" s="1202" t="s">
        <v>729</v>
      </c>
      <c r="D719" s="1220"/>
      <c r="E719" s="722"/>
      <c r="F719" s="722"/>
      <c r="G719"/>
    </row>
    <row r="720" spans="1:7" ht="14.4" customHeight="1">
      <c r="A720" s="1767"/>
      <c r="B720" s="1193">
        <v>1</v>
      </c>
      <c r="C720" s="1304" t="s">
        <v>12364</v>
      </c>
      <c r="D720" s="1312"/>
      <c r="E720" s="1292"/>
      <c r="F720" s="1292"/>
      <c r="G720"/>
    </row>
    <row r="721" spans="1:7" ht="14.4" customHeight="1">
      <c r="A721" s="1767"/>
      <c r="B721" s="1193">
        <v>1</v>
      </c>
      <c r="C721" s="1304" t="s">
        <v>12474</v>
      </c>
      <c r="D721" s="1312"/>
      <c r="E721" s="1292"/>
      <c r="F721" s="1292"/>
      <c r="G721"/>
    </row>
    <row r="722" spans="1:7" ht="14.4" customHeight="1">
      <c r="A722" s="693"/>
      <c r="B722" s="1193"/>
      <c r="C722" s="1202" t="s">
        <v>729</v>
      </c>
      <c r="D722" s="1220"/>
      <c r="E722" s="722"/>
      <c r="F722" s="722"/>
      <c r="G722"/>
    </row>
    <row r="723" spans="1:7" ht="14.4" customHeight="1">
      <c r="A723" s="693"/>
      <c r="B723" s="1193">
        <v>1</v>
      </c>
      <c r="C723" s="1202" t="s">
        <v>316</v>
      </c>
      <c r="D723" s="1122"/>
      <c r="E723" s="1295"/>
      <c r="F723" s="1295"/>
      <c r="G723"/>
    </row>
    <row r="724" spans="1:7" ht="14.4" customHeight="1">
      <c r="A724" s="693"/>
      <c r="B724" s="1193"/>
      <c r="C724" s="1202" t="s">
        <v>729</v>
      </c>
      <c r="D724" s="1220"/>
      <c r="E724" s="722"/>
      <c r="F724" s="722"/>
      <c r="G724"/>
    </row>
    <row r="725" spans="1:7" ht="14.4" customHeight="1" thickBot="1">
      <c r="A725" s="699"/>
      <c r="B725" s="1200"/>
      <c r="C725" s="1305"/>
      <c r="D725" s="1313"/>
      <c r="E725" s="1297"/>
      <c r="F725" s="1297"/>
      <c r="G725"/>
    </row>
    <row r="726" spans="1:7" ht="14.4" customHeight="1" thickBot="1">
      <c r="A726" s="1989">
        <v>18</v>
      </c>
      <c r="B726" s="1630">
        <v>1</v>
      </c>
      <c r="C726" s="1329" t="s">
        <v>12583</v>
      </c>
      <c r="D726" s="1219">
        <v>7904</v>
      </c>
      <c r="E726" s="1289"/>
      <c r="F726" s="1289">
        <v>7904</v>
      </c>
      <c r="G726"/>
    </row>
    <row r="727" spans="1:7" ht="14.4" customHeight="1">
      <c r="A727" s="685" t="s">
        <v>3064</v>
      </c>
      <c r="B727" s="2178"/>
      <c r="C727" s="2179"/>
      <c r="D727" s="1312"/>
      <c r="E727" s="1291"/>
      <c r="F727" s="1291"/>
      <c r="G727"/>
    </row>
    <row r="728" spans="1:7" ht="14.4" customHeight="1">
      <c r="A728" s="687" t="s">
        <v>12553</v>
      </c>
      <c r="B728" s="1194">
        <v>1</v>
      </c>
      <c r="C728" s="1201" t="s">
        <v>5103</v>
      </c>
      <c r="D728" s="1220"/>
      <c r="E728" s="1171"/>
      <c r="F728" s="1171"/>
      <c r="G728"/>
    </row>
    <row r="729" spans="1:7" ht="14.4" customHeight="1">
      <c r="A729" s="687" t="s">
        <v>4136</v>
      </c>
      <c r="B729" s="1195">
        <v>3</v>
      </c>
      <c r="C729" s="1191" t="s">
        <v>7374</v>
      </c>
      <c r="D729" s="1220"/>
      <c r="E729" s="722"/>
      <c r="F729" s="722"/>
      <c r="G729"/>
    </row>
    <row r="730" spans="1:7" ht="14.4" customHeight="1">
      <c r="A730" s="687"/>
      <c r="B730" s="1195">
        <v>3</v>
      </c>
      <c r="C730" s="1191" t="s">
        <v>7375</v>
      </c>
      <c r="D730" s="1220"/>
      <c r="E730" s="722"/>
      <c r="F730" s="722"/>
      <c r="G730"/>
    </row>
    <row r="731" spans="1:7" ht="14.4" customHeight="1">
      <c r="A731" s="687" t="s">
        <v>12356</v>
      </c>
      <c r="B731" s="1199">
        <v>1</v>
      </c>
      <c r="C731" s="1205" t="s">
        <v>3366</v>
      </c>
      <c r="D731" s="1221"/>
      <c r="E731" s="1172"/>
      <c r="F731" s="1172"/>
      <c r="G731"/>
    </row>
    <row r="732" spans="1:7" ht="14.4" customHeight="1">
      <c r="A732" s="687" t="s">
        <v>3542</v>
      </c>
      <c r="B732" s="1194"/>
      <c r="C732" s="1218"/>
      <c r="D732" s="1220"/>
      <c r="E732" s="1171"/>
      <c r="F732" s="1171"/>
      <c r="G732"/>
    </row>
    <row r="733" spans="1:7" ht="14.4" customHeight="1">
      <c r="A733" s="687"/>
      <c r="B733" s="1195"/>
      <c r="C733" s="1629" t="s">
        <v>12368</v>
      </c>
      <c r="D733" s="1220"/>
      <c r="E733" s="722"/>
      <c r="F733" s="722"/>
      <c r="G733"/>
    </row>
    <row r="734" spans="1:7" ht="14.4" customHeight="1">
      <c r="A734" s="693"/>
      <c r="B734" s="1193"/>
      <c r="C734" s="1201" t="s">
        <v>3158</v>
      </c>
      <c r="D734" s="1312"/>
      <c r="E734" s="1292"/>
      <c r="F734" s="1292"/>
      <c r="G734"/>
    </row>
    <row r="735" spans="1:7" ht="14.4" customHeight="1">
      <c r="A735" s="693"/>
      <c r="B735" s="1194">
        <v>1</v>
      </c>
      <c r="C735" s="1202" t="s">
        <v>6602</v>
      </c>
      <c r="D735" s="1312"/>
      <c r="E735" s="1292"/>
      <c r="F735" s="1292"/>
      <c r="G735"/>
    </row>
    <row r="736" spans="1:7" ht="14.4" customHeight="1">
      <c r="A736" s="687"/>
      <c r="B736" s="1193"/>
      <c r="C736" s="1202" t="s">
        <v>729</v>
      </c>
      <c r="D736" s="1220"/>
      <c r="E736" s="722"/>
      <c r="F736" s="722"/>
      <c r="G736"/>
    </row>
    <row r="737" spans="1:7" ht="14.4" customHeight="1">
      <c r="A737" s="693"/>
      <c r="B737" s="1196"/>
      <c r="C737" s="1303" t="s">
        <v>9431</v>
      </c>
      <c r="D737" s="1312"/>
      <c r="E737" s="1292"/>
      <c r="F737" s="1292"/>
      <c r="G737"/>
    </row>
    <row r="738" spans="1:7" ht="14.4" customHeight="1">
      <c r="A738" s="693"/>
      <c r="B738" s="1193">
        <v>1</v>
      </c>
      <c r="C738" s="1202" t="s">
        <v>4210</v>
      </c>
      <c r="D738" s="1312"/>
      <c r="E738" s="1291"/>
      <c r="F738" s="1291"/>
      <c r="G738"/>
    </row>
    <row r="739" spans="1:7" ht="14.4" customHeight="1">
      <c r="A739" s="693"/>
      <c r="B739" s="1193">
        <v>1</v>
      </c>
      <c r="C739" s="1202" t="s">
        <v>4205</v>
      </c>
      <c r="D739" s="1312"/>
      <c r="E739" s="1291"/>
      <c r="F739" s="1291"/>
      <c r="G739"/>
    </row>
    <row r="740" spans="1:7" ht="14.4" customHeight="1">
      <c r="A740" s="693"/>
      <c r="B740" s="1196"/>
      <c r="C740" s="1303" t="s">
        <v>12546</v>
      </c>
      <c r="D740" s="1312"/>
      <c r="E740" s="1292"/>
      <c r="F740" s="1292"/>
      <c r="G740"/>
    </row>
    <row r="741" spans="1:7" ht="14.4" customHeight="1">
      <c r="A741" s="693"/>
      <c r="B741" s="1193">
        <v>9</v>
      </c>
      <c r="C741" s="1202" t="s">
        <v>4183</v>
      </c>
      <c r="D741" s="1312"/>
      <c r="E741" s="1291"/>
      <c r="F741" s="1291"/>
      <c r="G741"/>
    </row>
    <row r="742" spans="1:7" ht="14.4" customHeight="1">
      <c r="A742" s="693"/>
      <c r="B742" s="1193">
        <v>9</v>
      </c>
      <c r="C742" s="1202" t="s">
        <v>5319</v>
      </c>
      <c r="D742" s="1312"/>
      <c r="E742" s="1291"/>
      <c r="F742" s="1291"/>
      <c r="G742"/>
    </row>
    <row r="743" spans="1:7" ht="14.4" customHeight="1">
      <c r="A743" s="693"/>
      <c r="B743" s="1193">
        <v>1</v>
      </c>
      <c r="C743" s="1202" t="s">
        <v>2927</v>
      </c>
      <c r="D743" s="1312"/>
      <c r="E743" s="1291"/>
      <c r="F743" s="1291"/>
      <c r="G743"/>
    </row>
    <row r="744" spans="1:7" ht="14.4" customHeight="1">
      <c r="A744" s="693"/>
      <c r="B744" s="1193"/>
      <c r="C744" s="1202" t="s">
        <v>729</v>
      </c>
      <c r="D744" s="1220"/>
      <c r="E744" s="722"/>
      <c r="F744" s="722"/>
      <c r="G744"/>
    </row>
    <row r="745" spans="1:7" ht="14.4" customHeight="1">
      <c r="A745" s="693"/>
      <c r="B745" s="1196"/>
      <c r="C745" s="1303" t="s">
        <v>12547</v>
      </c>
      <c r="D745" s="1312"/>
      <c r="E745" s="1292"/>
      <c r="F745" s="1292"/>
      <c r="G745"/>
    </row>
    <row r="746" spans="1:7" ht="14.4" customHeight="1">
      <c r="A746" s="693"/>
      <c r="B746" s="1193">
        <v>16</v>
      </c>
      <c r="C746" s="1202" t="s">
        <v>4183</v>
      </c>
      <c r="D746" s="1312"/>
      <c r="E746" s="1291"/>
      <c r="F746" s="1291"/>
      <c r="G746"/>
    </row>
    <row r="747" spans="1:7" ht="14.4" customHeight="1">
      <c r="A747" s="693"/>
      <c r="B747" s="1193">
        <v>15</v>
      </c>
      <c r="C747" s="1202" t="s">
        <v>5319</v>
      </c>
      <c r="D747" s="1312"/>
      <c r="E747" s="1291"/>
      <c r="F747" s="1291"/>
      <c r="G747"/>
    </row>
    <row r="748" spans="1:7" ht="14.4" customHeight="1">
      <c r="A748" s="693"/>
      <c r="B748" s="1193">
        <v>2</v>
      </c>
      <c r="C748" s="1202" t="s">
        <v>2927</v>
      </c>
      <c r="D748" s="1312"/>
      <c r="E748" s="1291"/>
      <c r="F748" s="1291"/>
      <c r="G748"/>
    </row>
    <row r="749" spans="1:7" ht="14.4" customHeight="1">
      <c r="A749" s="693"/>
      <c r="B749" s="1193"/>
      <c r="C749" s="1202" t="s">
        <v>729</v>
      </c>
      <c r="D749" s="1220"/>
      <c r="E749" s="722"/>
      <c r="F749" s="722"/>
      <c r="G749"/>
    </row>
    <row r="750" spans="1:7" ht="14.4" customHeight="1">
      <c r="A750" s="693"/>
      <c r="B750" s="1196"/>
      <c r="C750" s="1201" t="s">
        <v>3063</v>
      </c>
      <c r="D750" s="1220"/>
      <c r="E750" s="1171"/>
      <c r="F750" s="1171"/>
      <c r="G750"/>
    </row>
    <row r="751" spans="1:7" ht="14.4" customHeight="1">
      <c r="A751" s="691"/>
      <c r="B751" s="1193">
        <v>1</v>
      </c>
      <c r="C751" s="1202" t="s">
        <v>4208</v>
      </c>
      <c r="D751" s="1312"/>
      <c r="E751" s="1291"/>
      <c r="F751" s="1291"/>
      <c r="G751"/>
    </row>
    <row r="752" spans="1:7" ht="14.4" customHeight="1">
      <c r="A752" s="691"/>
      <c r="B752" s="1193">
        <v>1</v>
      </c>
      <c r="C752" s="1202" t="s">
        <v>6456</v>
      </c>
      <c r="D752" s="1312"/>
      <c r="E752" s="1291"/>
      <c r="F752" s="1291"/>
      <c r="G752"/>
    </row>
    <row r="753" spans="1:7" ht="14.4" customHeight="1">
      <c r="A753" s="692"/>
      <c r="B753" s="1193"/>
      <c r="C753" s="1202" t="s">
        <v>729</v>
      </c>
      <c r="D753" s="1220"/>
      <c r="E753" s="722"/>
      <c r="F753" s="722"/>
      <c r="G753"/>
    </row>
    <row r="754" spans="1:7" ht="14.4" customHeight="1">
      <c r="A754" s="693"/>
      <c r="B754" s="1196">
        <v>1</v>
      </c>
      <c r="C754" s="1201" t="s">
        <v>12423</v>
      </c>
      <c r="D754" s="1220"/>
      <c r="E754" s="1171"/>
      <c r="F754" s="1171"/>
      <c r="G754"/>
    </row>
    <row r="755" spans="1:7" ht="14.4" customHeight="1">
      <c r="A755" s="691"/>
      <c r="B755" s="1193">
        <v>1</v>
      </c>
      <c r="C755" s="1202" t="s">
        <v>1157</v>
      </c>
      <c r="D755" s="1312"/>
      <c r="E755" s="1291"/>
      <c r="F755" s="1291"/>
      <c r="G755"/>
    </row>
    <row r="756" spans="1:7" ht="14.4" customHeight="1">
      <c r="A756" s="691"/>
      <c r="B756" s="1193">
        <v>1</v>
      </c>
      <c r="C756" s="1202" t="s">
        <v>2426</v>
      </c>
      <c r="D756" s="1312"/>
      <c r="E756" s="1291"/>
      <c r="F756" s="1291"/>
      <c r="G756"/>
    </row>
    <row r="757" spans="1:7" ht="14.4" customHeight="1">
      <c r="A757" s="691"/>
      <c r="B757" s="1193">
        <v>1</v>
      </c>
      <c r="C757" s="1202" t="s">
        <v>4660</v>
      </c>
      <c r="D757" s="1312"/>
      <c r="E757" s="1291"/>
      <c r="F757" s="1291"/>
      <c r="G757"/>
    </row>
    <row r="758" spans="1:7" ht="14.4" customHeight="1">
      <c r="A758" s="1638"/>
      <c r="B758" s="1193"/>
      <c r="C758" s="1420"/>
      <c r="D758" s="1220"/>
      <c r="E758" s="1171"/>
      <c r="F758" s="1171"/>
      <c r="G758"/>
    </row>
    <row r="759" spans="1:7" ht="14.4" customHeight="1">
      <c r="A759" s="692"/>
      <c r="B759" s="1193"/>
      <c r="C759" s="1202" t="s">
        <v>729</v>
      </c>
      <c r="D759" s="1220"/>
      <c r="E759" s="722"/>
      <c r="F759" s="722"/>
      <c r="G759"/>
    </row>
    <row r="760" spans="1:7" ht="14.4" customHeight="1">
      <c r="A760" s="1767"/>
      <c r="B760" s="1193">
        <v>1</v>
      </c>
      <c r="C760" s="1304" t="s">
        <v>12444</v>
      </c>
      <c r="D760" s="1312"/>
      <c r="E760" s="1292"/>
      <c r="F760" s="1292"/>
      <c r="G760"/>
    </row>
    <row r="761" spans="1:7" ht="14.4" customHeight="1">
      <c r="A761" s="693"/>
      <c r="B761" s="1193"/>
      <c r="C761" s="1202" t="s">
        <v>729</v>
      </c>
      <c r="D761" s="1220"/>
      <c r="E761" s="722"/>
      <c r="F761" s="722"/>
      <c r="G761"/>
    </row>
    <row r="762" spans="1:7" ht="14.4" customHeight="1">
      <c r="A762" s="1767"/>
      <c r="B762" s="1193">
        <v>1</v>
      </c>
      <c r="C762" s="1304" t="s">
        <v>12364</v>
      </c>
      <c r="D762" s="1312"/>
      <c r="E762" s="1292"/>
      <c r="F762" s="1292"/>
      <c r="G762"/>
    </row>
    <row r="763" spans="1:7" ht="14.4" customHeight="1">
      <c r="A763" s="1767"/>
      <c r="B763" s="1193">
        <v>1</v>
      </c>
      <c r="C763" s="1304" t="s">
        <v>12474</v>
      </c>
      <c r="D763" s="1312"/>
      <c r="E763" s="1292"/>
      <c r="F763" s="1292"/>
      <c r="G763"/>
    </row>
    <row r="764" spans="1:7" ht="14.4" customHeight="1">
      <c r="A764" s="693"/>
      <c r="B764" s="1193"/>
      <c r="C764" s="1202" t="s">
        <v>729</v>
      </c>
      <c r="D764" s="1220"/>
      <c r="E764" s="722"/>
      <c r="F764" s="722"/>
      <c r="G764"/>
    </row>
    <row r="765" spans="1:7" ht="14.4" customHeight="1">
      <c r="A765" s="693"/>
      <c r="B765" s="1193">
        <v>1</v>
      </c>
      <c r="C765" s="1202" t="s">
        <v>316</v>
      </c>
      <c r="D765" s="1122"/>
      <c r="E765" s="1295"/>
      <c r="F765" s="1295"/>
      <c r="G765"/>
    </row>
    <row r="766" spans="1:7" ht="14.4" customHeight="1">
      <c r="A766" s="693"/>
      <c r="B766" s="1193"/>
      <c r="C766" s="1202" t="s">
        <v>729</v>
      </c>
      <c r="D766" s="1220"/>
      <c r="E766" s="722"/>
      <c r="F766" s="722"/>
      <c r="G766"/>
    </row>
    <row r="767" spans="1:7" ht="14.4" customHeight="1">
      <c r="A767" s="693"/>
      <c r="B767" s="1193"/>
      <c r="C767" s="1202" t="s">
        <v>729</v>
      </c>
      <c r="D767" s="1220"/>
      <c r="E767" s="722"/>
      <c r="F767" s="722"/>
      <c r="G767"/>
    </row>
    <row r="768" spans="1:7" ht="14.4" customHeight="1">
      <c r="A768" s="1767"/>
      <c r="B768" s="1193"/>
      <c r="C768" s="2180" t="s">
        <v>12515</v>
      </c>
      <c r="D768" s="1312"/>
      <c r="E768" s="1292"/>
      <c r="F768" s="1292"/>
      <c r="G768"/>
    </row>
    <row r="769" spans="1:7" ht="14.4" customHeight="1">
      <c r="A769" s="1767"/>
      <c r="B769" s="1193"/>
      <c r="C769" s="2181"/>
      <c r="D769" s="1312"/>
      <c r="E769" s="1292"/>
      <c r="F769" s="1292"/>
      <c r="G769"/>
    </row>
    <row r="770" spans="1:7" ht="14.4" customHeight="1">
      <c r="A770" s="1638"/>
      <c r="B770" s="1193">
        <v>1</v>
      </c>
      <c r="C770" s="1202" t="s">
        <v>3412</v>
      </c>
      <c r="D770" s="1220"/>
      <c r="E770" s="1171"/>
      <c r="F770" s="1171"/>
      <c r="G770"/>
    </row>
    <row r="771" spans="1:7" ht="14.4" customHeight="1">
      <c r="A771" s="1638"/>
      <c r="B771" s="1193">
        <v>1</v>
      </c>
      <c r="C771" s="1202" t="s">
        <v>3413</v>
      </c>
      <c r="D771" s="1220"/>
      <c r="E771" s="1171"/>
      <c r="F771" s="1171"/>
      <c r="G771"/>
    </row>
    <row r="772" spans="1:7" ht="14.4" customHeight="1" thickBot="1">
      <c r="A772" s="910"/>
      <c r="B772" s="1636"/>
      <c r="C772" s="1631"/>
      <c r="D772" s="1641"/>
      <c r="E772" s="1632"/>
      <c r="F772" s="1632"/>
      <c r="G772"/>
    </row>
    <row r="773" spans="1:7" ht="14.4" customHeight="1" thickBot="1">
      <c r="A773" s="1989">
        <v>19</v>
      </c>
      <c r="B773" s="1630">
        <v>1</v>
      </c>
      <c r="C773" s="1329" t="s">
        <v>12584</v>
      </c>
      <c r="D773" s="1219">
        <v>7030</v>
      </c>
      <c r="E773" s="1289"/>
      <c r="F773" s="1289">
        <v>7030</v>
      </c>
      <c r="G773"/>
    </row>
    <row r="774" spans="1:7" ht="14.4" customHeight="1">
      <c r="A774" s="685" t="s">
        <v>3064</v>
      </c>
      <c r="B774" s="2178"/>
      <c r="C774" s="2179"/>
      <c r="D774" s="1312"/>
      <c r="E774" s="1291"/>
      <c r="F774" s="1291"/>
      <c r="G774"/>
    </row>
    <row r="775" spans="1:7" ht="14.4" customHeight="1">
      <c r="A775" s="687" t="s">
        <v>12553</v>
      </c>
      <c r="B775" s="1194">
        <v>1</v>
      </c>
      <c r="C775" s="1201" t="s">
        <v>5103</v>
      </c>
      <c r="D775" s="1220"/>
      <c r="E775" s="1171"/>
      <c r="F775" s="1171"/>
      <c r="G775"/>
    </row>
    <row r="776" spans="1:7" ht="14.4" customHeight="1">
      <c r="A776" s="687" t="s">
        <v>4136</v>
      </c>
      <c r="B776" s="1195">
        <v>3</v>
      </c>
      <c r="C776" s="1191" t="s">
        <v>7374</v>
      </c>
      <c r="D776" s="1220"/>
      <c r="E776" s="722"/>
      <c r="F776" s="722"/>
      <c r="G776"/>
    </row>
    <row r="777" spans="1:7" ht="14.4" customHeight="1">
      <c r="A777" s="687"/>
      <c r="B777" s="1195">
        <v>3</v>
      </c>
      <c r="C777" s="1191" t="s">
        <v>7375</v>
      </c>
      <c r="D777" s="1220"/>
      <c r="E777" s="722"/>
      <c r="F777" s="722"/>
      <c r="G777"/>
    </row>
    <row r="778" spans="1:7" ht="14.4" customHeight="1">
      <c r="A778" s="687" t="s">
        <v>12356</v>
      </c>
      <c r="B778" s="1199">
        <v>1</v>
      </c>
      <c r="C778" s="1205" t="s">
        <v>3366</v>
      </c>
      <c r="D778" s="1221"/>
      <c r="E778" s="1172"/>
      <c r="F778" s="1172"/>
      <c r="G778"/>
    </row>
    <row r="779" spans="1:7" ht="14.4" customHeight="1">
      <c r="A779" s="687" t="s">
        <v>3542</v>
      </c>
      <c r="B779" s="1194"/>
      <c r="C779" s="1218"/>
      <c r="D779" s="1220"/>
      <c r="E779" s="1171"/>
      <c r="F779" s="1171"/>
      <c r="G779"/>
    </row>
    <row r="780" spans="1:7" ht="14.4" customHeight="1">
      <c r="A780" s="687"/>
      <c r="B780" s="1195"/>
      <c r="C780" s="1629" t="s">
        <v>12368</v>
      </c>
      <c r="D780" s="1220"/>
      <c r="E780" s="722"/>
      <c r="F780" s="722"/>
      <c r="G780"/>
    </row>
    <row r="781" spans="1:7" ht="14.4" customHeight="1">
      <c r="A781" s="693"/>
      <c r="B781" s="1193"/>
      <c r="C781" s="1201" t="s">
        <v>3158</v>
      </c>
      <c r="D781" s="1312"/>
      <c r="E781" s="1292"/>
      <c r="F781" s="1292"/>
      <c r="G781"/>
    </row>
    <row r="782" spans="1:7" ht="14.4" customHeight="1">
      <c r="A782" s="687"/>
      <c r="B782" s="1194">
        <v>1</v>
      </c>
      <c r="C782" s="1202" t="s">
        <v>6601</v>
      </c>
      <c r="D782" s="1312"/>
      <c r="E782" s="1292"/>
      <c r="F782" s="1292"/>
      <c r="G782"/>
    </row>
    <row r="783" spans="1:7" ht="14.4" customHeight="1">
      <c r="A783" s="687"/>
      <c r="B783" s="1193"/>
      <c r="C783" s="1202" t="s">
        <v>729</v>
      </c>
      <c r="D783" s="1220"/>
      <c r="E783" s="722"/>
      <c r="F783" s="722"/>
      <c r="G783"/>
    </row>
    <row r="784" spans="1:7" ht="14.4" customHeight="1">
      <c r="A784" s="693"/>
      <c r="B784" s="1196"/>
      <c r="C784" s="1303" t="s">
        <v>9431</v>
      </c>
      <c r="D784" s="1312"/>
      <c r="E784" s="1292"/>
      <c r="F784" s="1292"/>
      <c r="G784"/>
    </row>
    <row r="785" spans="1:7" ht="14.4" customHeight="1">
      <c r="A785" s="693"/>
      <c r="B785" s="1193">
        <v>1</v>
      </c>
      <c r="C785" s="1202" t="s">
        <v>4208</v>
      </c>
      <c r="D785" s="1312"/>
      <c r="E785" s="1291"/>
      <c r="F785" s="1291"/>
      <c r="G785"/>
    </row>
    <row r="786" spans="1:7" ht="14.4" customHeight="1">
      <c r="A786" s="693"/>
      <c r="B786" s="1193">
        <v>1</v>
      </c>
      <c r="C786" s="1202" t="s">
        <v>4205</v>
      </c>
      <c r="D786" s="1312"/>
      <c r="E786" s="1291"/>
      <c r="F786" s="1291"/>
      <c r="G786"/>
    </row>
    <row r="787" spans="1:7" ht="14.4" customHeight="1">
      <c r="A787" s="693"/>
      <c r="B787" s="1196"/>
      <c r="C787" s="1303" t="s">
        <v>12546</v>
      </c>
      <c r="D787" s="1312"/>
      <c r="E787" s="1292"/>
      <c r="F787" s="1292"/>
      <c r="G787"/>
    </row>
    <row r="788" spans="1:7" ht="14.4" customHeight="1">
      <c r="A788" s="693"/>
      <c r="B788" s="1193">
        <v>9</v>
      </c>
      <c r="C788" s="1202" t="s">
        <v>4183</v>
      </c>
      <c r="D788" s="1312"/>
      <c r="E788" s="1291"/>
      <c r="F788" s="1291"/>
      <c r="G788"/>
    </row>
    <row r="789" spans="1:7" ht="14.4" customHeight="1">
      <c r="A789" s="693"/>
      <c r="B789" s="1193">
        <v>9</v>
      </c>
      <c r="C789" s="1202" t="s">
        <v>5319</v>
      </c>
      <c r="D789" s="1312"/>
      <c r="E789" s="1291"/>
      <c r="F789" s="1291"/>
      <c r="G789"/>
    </row>
    <row r="790" spans="1:7" ht="14.4" customHeight="1">
      <c r="A790" s="693"/>
      <c r="B790" s="1193">
        <v>1</v>
      </c>
      <c r="C790" s="1202" t="s">
        <v>2927</v>
      </c>
      <c r="D790" s="1312"/>
      <c r="E790" s="1291"/>
      <c r="F790" s="1291"/>
      <c r="G790"/>
    </row>
    <row r="791" spans="1:7" ht="14.4" customHeight="1">
      <c r="A791" s="693"/>
      <c r="B791" s="1193"/>
      <c r="C791" s="1202" t="s">
        <v>729</v>
      </c>
      <c r="D791" s="1220"/>
      <c r="E791" s="722"/>
      <c r="F791" s="722"/>
      <c r="G791"/>
    </row>
    <row r="792" spans="1:7" ht="14.4" customHeight="1">
      <c r="A792" s="693"/>
      <c r="B792" s="1196"/>
      <c r="C792" s="1303" t="s">
        <v>12547</v>
      </c>
      <c r="D792" s="1312"/>
      <c r="E792" s="1292"/>
      <c r="F792" s="1292"/>
      <c r="G792"/>
    </row>
    <row r="793" spans="1:7" ht="14.4" customHeight="1">
      <c r="A793" s="693"/>
      <c r="B793" s="1193">
        <v>11</v>
      </c>
      <c r="C793" s="1202" t="s">
        <v>4183</v>
      </c>
      <c r="D793" s="1312"/>
      <c r="E793" s="1291"/>
      <c r="F793" s="1291"/>
      <c r="G793"/>
    </row>
    <row r="794" spans="1:7" ht="14.4" customHeight="1">
      <c r="A794" s="693"/>
      <c r="B794" s="1193">
        <v>10</v>
      </c>
      <c r="C794" s="1202" t="s">
        <v>5319</v>
      </c>
      <c r="D794" s="1312"/>
      <c r="E794" s="1291"/>
      <c r="F794" s="1291"/>
      <c r="G794"/>
    </row>
    <row r="795" spans="1:7" ht="14.4" customHeight="1">
      <c r="A795" s="693"/>
      <c r="B795" s="1193">
        <v>1</v>
      </c>
      <c r="C795" s="1202" t="s">
        <v>2927</v>
      </c>
      <c r="D795" s="1312"/>
      <c r="E795" s="1291"/>
      <c r="F795" s="1291"/>
      <c r="G795"/>
    </row>
    <row r="796" spans="1:7" ht="14.4" customHeight="1">
      <c r="A796" s="693"/>
      <c r="B796" s="1193"/>
      <c r="C796" s="1202" t="s">
        <v>729</v>
      </c>
      <c r="D796" s="1220"/>
      <c r="E796" s="722"/>
      <c r="F796" s="722"/>
      <c r="G796"/>
    </row>
    <row r="797" spans="1:7" ht="14.4" customHeight="1">
      <c r="A797" s="693"/>
      <c r="B797" s="1196"/>
      <c r="C797" s="1201" t="s">
        <v>3063</v>
      </c>
      <c r="D797" s="1220"/>
      <c r="E797" s="1171"/>
      <c r="F797" s="1171"/>
      <c r="G797"/>
    </row>
    <row r="798" spans="1:7" ht="14.4" customHeight="1">
      <c r="A798" s="691"/>
      <c r="B798" s="1193">
        <v>1</v>
      </c>
      <c r="C798" s="1202" t="s">
        <v>4208</v>
      </c>
      <c r="D798" s="1312"/>
      <c r="E798" s="1291"/>
      <c r="F798" s="1291"/>
      <c r="G798"/>
    </row>
    <row r="799" spans="1:7" ht="14.4" customHeight="1">
      <c r="A799" s="691"/>
      <c r="B799" s="1193">
        <v>1</v>
      </c>
      <c r="C799" s="1202" t="s">
        <v>6456</v>
      </c>
      <c r="D799" s="1312"/>
      <c r="E799" s="1291"/>
      <c r="F799" s="1291"/>
      <c r="G799"/>
    </row>
    <row r="800" spans="1:7" ht="14.4" customHeight="1">
      <c r="A800" s="692"/>
      <c r="B800" s="1193"/>
      <c r="C800" s="1202" t="s">
        <v>729</v>
      </c>
      <c r="D800" s="1220"/>
      <c r="E800" s="722"/>
      <c r="F800" s="722"/>
      <c r="G800"/>
    </row>
    <row r="801" spans="1:7" ht="14.4" customHeight="1">
      <c r="A801" s="693"/>
      <c r="B801" s="1196">
        <v>1</v>
      </c>
      <c r="C801" s="1201" t="s">
        <v>12423</v>
      </c>
      <c r="D801" s="1220"/>
      <c r="E801" s="1171"/>
      <c r="F801" s="1171"/>
      <c r="G801"/>
    </row>
    <row r="802" spans="1:7" ht="14.4" customHeight="1">
      <c r="A802" s="691"/>
      <c r="B802" s="1193">
        <v>1</v>
      </c>
      <c r="C802" s="1202" t="s">
        <v>1157</v>
      </c>
      <c r="D802" s="1312"/>
      <c r="E802" s="1291"/>
      <c r="F802" s="1291"/>
      <c r="G802"/>
    </row>
    <row r="803" spans="1:7" ht="14.4" customHeight="1">
      <c r="A803" s="691"/>
      <c r="B803" s="1193">
        <v>1</v>
      </c>
      <c r="C803" s="1202" t="s">
        <v>2426</v>
      </c>
      <c r="D803" s="1312"/>
      <c r="E803" s="1291"/>
      <c r="F803" s="1291"/>
      <c r="G803"/>
    </row>
    <row r="804" spans="1:7" ht="14.4" customHeight="1">
      <c r="A804" s="691"/>
      <c r="B804" s="1193">
        <v>1</v>
      </c>
      <c r="C804" s="1202" t="s">
        <v>4660</v>
      </c>
      <c r="D804" s="1312"/>
      <c r="E804" s="1291"/>
      <c r="F804" s="1291"/>
      <c r="G804"/>
    </row>
    <row r="805" spans="1:7" ht="14.4" customHeight="1">
      <c r="A805" s="1638"/>
      <c r="B805" s="1193"/>
      <c r="C805" s="1420"/>
      <c r="D805" s="1220"/>
      <c r="E805" s="1171"/>
      <c r="F805" s="1171"/>
      <c r="G805"/>
    </row>
    <row r="806" spans="1:7" ht="14.4" customHeight="1">
      <c r="A806" s="692"/>
      <c r="B806" s="1193"/>
      <c r="C806" s="1202" t="s">
        <v>729</v>
      </c>
      <c r="D806" s="1220"/>
      <c r="E806" s="722"/>
      <c r="F806" s="722"/>
      <c r="G806"/>
    </row>
    <row r="807" spans="1:7" ht="14.4" customHeight="1">
      <c r="A807" s="1767"/>
      <c r="B807" s="1193">
        <v>1</v>
      </c>
      <c r="C807" s="1304" t="s">
        <v>12444</v>
      </c>
      <c r="D807" s="1312"/>
      <c r="E807" s="1292"/>
      <c r="F807" s="1292"/>
      <c r="G807"/>
    </row>
    <row r="808" spans="1:7" ht="14.4" customHeight="1">
      <c r="A808" s="693"/>
      <c r="B808" s="1193"/>
      <c r="C808" s="1202" t="s">
        <v>729</v>
      </c>
      <c r="D808" s="1220"/>
      <c r="E808" s="722"/>
      <c r="F808" s="722"/>
      <c r="G808"/>
    </row>
    <row r="809" spans="1:7" ht="14.4" customHeight="1">
      <c r="A809" s="692"/>
      <c r="B809" s="1193"/>
      <c r="C809" s="1633"/>
      <c r="D809" s="1220"/>
      <c r="E809" s="722"/>
      <c r="F809" s="722"/>
      <c r="G809"/>
    </row>
    <row r="810" spans="1:7" ht="14.4" customHeight="1">
      <c r="A810" s="1767"/>
      <c r="B810" s="1193">
        <v>1</v>
      </c>
      <c r="C810" s="1304" t="s">
        <v>12364</v>
      </c>
      <c r="D810" s="1312"/>
      <c r="E810" s="1292"/>
      <c r="F810" s="1292"/>
      <c r="G810"/>
    </row>
    <row r="811" spans="1:7" ht="14.4" customHeight="1">
      <c r="A811" s="1767"/>
      <c r="B811" s="1193">
        <v>1</v>
      </c>
      <c r="C811" s="1304" t="s">
        <v>12474</v>
      </c>
      <c r="D811" s="1312"/>
      <c r="E811" s="1292"/>
      <c r="F811" s="1292"/>
      <c r="G811"/>
    </row>
    <row r="812" spans="1:7" ht="14.4" customHeight="1">
      <c r="A812" s="693"/>
      <c r="B812" s="1193"/>
      <c r="C812" s="1202" t="s">
        <v>729</v>
      </c>
      <c r="D812" s="1220"/>
      <c r="E812" s="722"/>
      <c r="F812" s="722"/>
      <c r="G812"/>
    </row>
    <row r="813" spans="1:7" ht="14.4" customHeight="1">
      <c r="A813" s="693"/>
      <c r="B813" s="1193">
        <v>1</v>
      </c>
      <c r="C813" s="1202" t="s">
        <v>316</v>
      </c>
      <c r="D813" s="1122"/>
      <c r="E813" s="1295"/>
      <c r="F813" s="1295"/>
      <c r="G813"/>
    </row>
    <row r="814" spans="1:7" ht="14.4" customHeight="1">
      <c r="A814" s="693"/>
      <c r="B814" s="1193"/>
      <c r="C814" s="1202" t="s">
        <v>729</v>
      </c>
      <c r="D814" s="1220"/>
      <c r="E814" s="722"/>
      <c r="F814" s="722"/>
      <c r="G814"/>
    </row>
    <row r="815" spans="1:7" ht="14.4" customHeight="1">
      <c r="A815" s="693"/>
      <c r="B815" s="1193"/>
      <c r="C815" s="1202" t="s">
        <v>729</v>
      </c>
      <c r="D815" s="1220"/>
      <c r="E815" s="722"/>
      <c r="F815" s="722"/>
      <c r="G815"/>
    </row>
    <row r="816" spans="1:7" ht="14.4" customHeight="1">
      <c r="A816" s="1767"/>
      <c r="B816" s="1193"/>
      <c r="C816" s="2180" t="s">
        <v>12521</v>
      </c>
      <c r="D816" s="1312"/>
      <c r="E816" s="1292"/>
      <c r="F816" s="1292"/>
      <c r="G816"/>
    </row>
    <row r="817" spans="1:7" ht="14.4" customHeight="1">
      <c r="A817" s="1767"/>
      <c r="B817" s="1193"/>
      <c r="C817" s="2181"/>
      <c r="D817" s="1312"/>
      <c r="E817" s="1292"/>
      <c r="F817" s="1292"/>
      <c r="G817"/>
    </row>
    <row r="818" spans="1:7" ht="14.4" customHeight="1">
      <c r="A818" s="1638"/>
      <c r="B818" s="1193">
        <v>1</v>
      </c>
      <c r="C818" s="1202" t="s">
        <v>3412</v>
      </c>
      <c r="D818" s="1220"/>
      <c r="E818" s="1171"/>
      <c r="F818" s="1171"/>
      <c r="G818"/>
    </row>
    <row r="819" spans="1:7" ht="14.4" customHeight="1">
      <c r="A819" s="1638"/>
      <c r="B819" s="1193">
        <v>1</v>
      </c>
      <c r="C819" s="1202" t="s">
        <v>3413</v>
      </c>
      <c r="D819" s="1220"/>
      <c r="E819" s="1171"/>
      <c r="F819" s="1171"/>
      <c r="G819"/>
    </row>
    <row r="820" spans="1:7" ht="14.4" customHeight="1" thickBot="1">
      <c r="A820" s="910"/>
      <c r="B820" s="1636"/>
      <c r="C820" s="1631"/>
      <c r="D820" s="1641"/>
      <c r="E820" s="1632"/>
      <c r="F820" s="1632"/>
      <c r="G820"/>
    </row>
    <row r="821" spans="1:7" ht="14.4" customHeight="1" thickBot="1">
      <c r="A821" s="1989">
        <v>20</v>
      </c>
      <c r="B821" s="1630">
        <v>1</v>
      </c>
      <c r="C821" s="1329" t="s">
        <v>12585</v>
      </c>
      <c r="D821" s="1219">
        <v>6611</v>
      </c>
      <c r="E821" s="1289"/>
      <c r="F821" s="1289">
        <v>6611</v>
      </c>
      <c r="G821"/>
    </row>
    <row r="822" spans="1:7" ht="14.4" customHeight="1">
      <c r="A822" s="685" t="s">
        <v>3064</v>
      </c>
      <c r="B822" s="2178"/>
      <c r="C822" s="2179"/>
      <c r="D822" s="1312"/>
      <c r="E822" s="1291"/>
      <c r="F822" s="1291"/>
      <c r="G822"/>
    </row>
    <row r="823" spans="1:7" ht="14.4" customHeight="1">
      <c r="A823" s="687" t="s">
        <v>12553</v>
      </c>
      <c r="B823" s="1194">
        <v>1</v>
      </c>
      <c r="C823" s="1201" t="s">
        <v>5103</v>
      </c>
      <c r="D823" s="1220"/>
      <c r="E823" s="1171"/>
      <c r="F823" s="1171"/>
      <c r="G823"/>
    </row>
    <row r="824" spans="1:7" ht="14.4" customHeight="1">
      <c r="A824" s="687" t="s">
        <v>4136</v>
      </c>
      <c r="B824" s="1195">
        <v>3</v>
      </c>
      <c r="C824" s="1191" t="s">
        <v>7374</v>
      </c>
      <c r="D824" s="1220"/>
      <c r="E824" s="722"/>
      <c r="F824" s="722"/>
      <c r="G824"/>
    </row>
    <row r="825" spans="1:7" ht="14.4" customHeight="1">
      <c r="A825" s="687"/>
      <c r="B825" s="1195">
        <v>3</v>
      </c>
      <c r="C825" s="1191" t="s">
        <v>7375</v>
      </c>
      <c r="D825" s="1220"/>
      <c r="E825" s="722"/>
      <c r="F825" s="722"/>
      <c r="G825"/>
    </row>
    <row r="826" spans="1:7" ht="14.4" customHeight="1">
      <c r="A826" s="687" t="s">
        <v>12356</v>
      </c>
      <c r="B826" s="1199">
        <v>1</v>
      </c>
      <c r="C826" s="1205" t="s">
        <v>3366</v>
      </c>
      <c r="D826" s="1221"/>
      <c r="E826" s="1172"/>
      <c r="F826" s="1172"/>
      <c r="G826"/>
    </row>
    <row r="827" spans="1:7" ht="14.4" customHeight="1">
      <c r="A827" s="687" t="s">
        <v>3542</v>
      </c>
      <c r="B827" s="1194"/>
      <c r="C827" s="1218"/>
      <c r="D827" s="1220"/>
      <c r="E827" s="1171"/>
      <c r="F827" s="1171"/>
      <c r="G827"/>
    </row>
    <row r="828" spans="1:7" ht="14.4" customHeight="1">
      <c r="A828" s="687"/>
      <c r="B828" s="1195"/>
      <c r="C828" s="1629" t="s">
        <v>12368</v>
      </c>
      <c r="D828" s="1220"/>
      <c r="E828" s="722"/>
      <c r="F828" s="722"/>
      <c r="G828"/>
    </row>
    <row r="829" spans="1:7" ht="14.4" customHeight="1">
      <c r="A829" s="693"/>
      <c r="B829" s="1193"/>
      <c r="C829" s="1201" t="s">
        <v>3158</v>
      </c>
      <c r="D829" s="1312"/>
      <c r="E829" s="1292"/>
      <c r="F829" s="1292"/>
      <c r="G829"/>
    </row>
    <row r="830" spans="1:7" ht="14.4" customHeight="1">
      <c r="A830" s="693"/>
      <c r="B830" s="1194">
        <v>1</v>
      </c>
      <c r="C830" s="1202" t="s">
        <v>6603</v>
      </c>
      <c r="D830" s="1312"/>
      <c r="E830" s="1292"/>
      <c r="F830" s="1292"/>
      <c r="G830"/>
    </row>
    <row r="831" spans="1:7" ht="14.4" customHeight="1">
      <c r="A831" s="687"/>
      <c r="B831" s="1193"/>
      <c r="C831" s="1202" t="s">
        <v>729</v>
      </c>
      <c r="D831" s="1220"/>
      <c r="E831" s="722"/>
      <c r="F831" s="722"/>
      <c r="G831"/>
    </row>
    <row r="832" spans="1:7" ht="14.4" customHeight="1">
      <c r="A832" s="693"/>
      <c r="B832" s="1196"/>
      <c r="C832" s="1303" t="s">
        <v>9431</v>
      </c>
      <c r="D832" s="1312"/>
      <c r="E832" s="1292"/>
      <c r="F832" s="1292"/>
      <c r="G832"/>
    </row>
    <row r="833" spans="1:7" ht="14.4" customHeight="1">
      <c r="A833" s="693"/>
      <c r="B833" s="1193">
        <v>1</v>
      </c>
      <c r="C833" s="1202" t="s">
        <v>4210</v>
      </c>
      <c r="D833" s="1312"/>
      <c r="E833" s="1291"/>
      <c r="F833" s="1291"/>
      <c r="G833"/>
    </row>
    <row r="834" spans="1:7" ht="14.4" customHeight="1">
      <c r="A834" s="693"/>
      <c r="B834" s="1193">
        <v>1</v>
      </c>
      <c r="C834" s="1202" t="s">
        <v>4207</v>
      </c>
      <c r="D834" s="1312"/>
      <c r="E834" s="1291"/>
      <c r="F834" s="1291"/>
      <c r="G834"/>
    </row>
    <row r="835" spans="1:7" ht="14.4" customHeight="1">
      <c r="A835" s="693"/>
      <c r="B835" s="1196"/>
      <c r="C835" s="1303" t="s">
        <v>12546</v>
      </c>
      <c r="D835" s="1312"/>
      <c r="E835" s="1292"/>
      <c r="F835" s="1292"/>
      <c r="G835"/>
    </row>
    <row r="836" spans="1:7" ht="14.4" customHeight="1">
      <c r="A836" s="693"/>
      <c r="B836" s="1193">
        <v>6</v>
      </c>
      <c r="C836" s="1202" t="s">
        <v>4183</v>
      </c>
      <c r="D836" s="1312"/>
      <c r="E836" s="1291"/>
      <c r="F836" s="1291"/>
      <c r="G836"/>
    </row>
    <row r="837" spans="1:7" ht="14.4" customHeight="1">
      <c r="A837" s="693"/>
      <c r="B837" s="1193">
        <v>6</v>
      </c>
      <c r="C837" s="1202" t="s">
        <v>5319</v>
      </c>
      <c r="D837" s="1312"/>
      <c r="E837" s="1291"/>
      <c r="F837" s="1291"/>
      <c r="G837"/>
    </row>
    <row r="838" spans="1:7" ht="14.4" customHeight="1">
      <c r="A838" s="693"/>
      <c r="B838" s="1193">
        <v>1</v>
      </c>
      <c r="C838" s="1202" t="s">
        <v>2927</v>
      </c>
      <c r="D838" s="1312"/>
      <c r="E838" s="1291"/>
      <c r="F838" s="1291"/>
      <c r="G838"/>
    </row>
    <row r="839" spans="1:7" ht="14.4" customHeight="1">
      <c r="A839" s="693"/>
      <c r="B839" s="1193"/>
      <c r="C839" s="1202" t="s">
        <v>729</v>
      </c>
      <c r="D839" s="1220"/>
      <c r="E839" s="722"/>
      <c r="F839" s="722"/>
      <c r="G839"/>
    </row>
    <row r="840" spans="1:7" ht="14.4" customHeight="1">
      <c r="A840" s="693"/>
      <c r="B840" s="1196"/>
      <c r="C840" s="1303" t="s">
        <v>12547</v>
      </c>
      <c r="D840" s="1312"/>
      <c r="E840" s="1292"/>
      <c r="F840" s="1292"/>
      <c r="G840"/>
    </row>
    <row r="841" spans="1:7" ht="14.4" customHeight="1">
      <c r="A841" s="693"/>
      <c r="B841" s="1193">
        <v>1</v>
      </c>
      <c r="C841" s="1202" t="s">
        <v>4208</v>
      </c>
      <c r="D841" s="1312"/>
      <c r="E841" s="1291"/>
      <c r="F841" s="1291"/>
      <c r="G841"/>
    </row>
    <row r="842" spans="1:7" ht="14.4" customHeight="1">
      <c r="A842" s="693"/>
      <c r="B842" s="1193">
        <v>11</v>
      </c>
      <c r="C842" s="1202" t="s">
        <v>4183</v>
      </c>
      <c r="D842" s="1312"/>
      <c r="E842" s="1291"/>
      <c r="F842" s="1291"/>
      <c r="G842"/>
    </row>
    <row r="843" spans="1:7" ht="14.4" customHeight="1">
      <c r="A843" s="693"/>
      <c r="B843" s="1193">
        <v>10</v>
      </c>
      <c r="C843" s="1202" t="s">
        <v>5319</v>
      </c>
      <c r="D843" s="1312"/>
      <c r="E843" s="1291"/>
      <c r="F843" s="1291"/>
      <c r="G843"/>
    </row>
    <row r="844" spans="1:7" ht="14.4" customHeight="1">
      <c r="A844" s="693"/>
      <c r="B844" s="1193">
        <v>2</v>
      </c>
      <c r="C844" s="1202" t="s">
        <v>2927</v>
      </c>
      <c r="D844" s="1312"/>
      <c r="E844" s="1291"/>
      <c r="F844" s="1291"/>
      <c r="G844"/>
    </row>
    <row r="845" spans="1:7" ht="14.4" customHeight="1">
      <c r="A845" s="693"/>
      <c r="B845" s="1193"/>
      <c r="C845" s="1202" t="s">
        <v>729</v>
      </c>
      <c r="D845" s="1220"/>
      <c r="E845" s="722"/>
      <c r="F845" s="722"/>
      <c r="G845"/>
    </row>
    <row r="846" spans="1:7" ht="14.4" customHeight="1">
      <c r="A846" s="692"/>
      <c r="B846" s="1293">
        <v>1</v>
      </c>
      <c r="C846" s="1201" t="s">
        <v>9430</v>
      </c>
      <c r="D846" s="1220"/>
      <c r="E846" s="1171"/>
      <c r="F846" s="1171"/>
      <c r="G846"/>
    </row>
    <row r="847" spans="1:7" ht="14.4" customHeight="1">
      <c r="A847" s="693"/>
      <c r="B847" s="1283">
        <v>3</v>
      </c>
      <c r="C847" s="1202" t="s">
        <v>4208</v>
      </c>
      <c r="D847" s="1220"/>
      <c r="E847" s="1171"/>
      <c r="F847" s="1171"/>
      <c r="G847"/>
    </row>
    <row r="848" spans="1:7" ht="14.4" customHeight="1">
      <c r="A848" s="1207"/>
      <c r="B848" s="1193"/>
      <c r="C848" s="1202" t="s">
        <v>729</v>
      </c>
      <c r="D848" s="1220"/>
      <c r="E848" s="722"/>
      <c r="F848" s="722"/>
      <c r="G848"/>
    </row>
    <row r="849" spans="1:7" ht="14.4" customHeight="1">
      <c r="A849" s="693"/>
      <c r="B849" s="1196"/>
      <c r="C849" s="1201" t="s">
        <v>3063</v>
      </c>
      <c r="D849" s="1220"/>
      <c r="E849" s="1171"/>
      <c r="F849" s="1171"/>
      <c r="G849"/>
    </row>
    <row r="850" spans="1:7" ht="14.4" customHeight="1">
      <c r="A850" s="691"/>
      <c r="B850" s="1193">
        <v>1</v>
      </c>
      <c r="C850" s="1202" t="s">
        <v>4208</v>
      </c>
      <c r="D850" s="1312"/>
      <c r="E850" s="1291"/>
      <c r="F850" s="1291"/>
      <c r="G850"/>
    </row>
    <row r="851" spans="1:7" ht="14.4" customHeight="1">
      <c r="A851" s="691"/>
      <c r="B851" s="1193">
        <v>1</v>
      </c>
      <c r="C851" s="1202" t="s">
        <v>6456</v>
      </c>
      <c r="D851" s="1312"/>
      <c r="E851" s="1291"/>
      <c r="F851" s="1291"/>
      <c r="G851"/>
    </row>
    <row r="852" spans="1:7" ht="14.4" customHeight="1">
      <c r="A852" s="692"/>
      <c r="B852" s="1193"/>
      <c r="C852" s="1202" t="s">
        <v>729</v>
      </c>
      <c r="D852" s="1220"/>
      <c r="E852" s="722"/>
      <c r="F852" s="722"/>
      <c r="G852"/>
    </row>
    <row r="853" spans="1:7" ht="14.4" customHeight="1">
      <c r="A853" s="1767"/>
      <c r="B853" s="1193">
        <v>1</v>
      </c>
      <c r="C853" s="1304" t="s">
        <v>12364</v>
      </c>
      <c r="D853" s="1312"/>
      <c r="E853" s="1292"/>
      <c r="F853" s="1292"/>
      <c r="G853"/>
    </row>
    <row r="854" spans="1:7" ht="14.4" customHeight="1">
      <c r="A854" s="1767"/>
      <c r="B854" s="1193">
        <v>1</v>
      </c>
      <c r="C854" s="1304" t="s">
        <v>12474</v>
      </c>
      <c r="D854" s="1312"/>
      <c r="E854" s="1292"/>
      <c r="F854" s="1292"/>
      <c r="G854"/>
    </row>
    <row r="855" spans="1:7" ht="14.4" customHeight="1">
      <c r="A855" s="693"/>
      <c r="B855" s="1193"/>
      <c r="C855" s="1202" t="s">
        <v>729</v>
      </c>
      <c r="D855" s="1220"/>
      <c r="E855" s="722"/>
      <c r="F855" s="722"/>
      <c r="G855"/>
    </row>
    <row r="856" spans="1:7" ht="14.4" customHeight="1">
      <c r="A856" s="693"/>
      <c r="B856" s="1193">
        <v>1</v>
      </c>
      <c r="C856" s="1202" t="s">
        <v>316</v>
      </c>
      <c r="D856" s="1122"/>
      <c r="E856" s="1295"/>
      <c r="F856" s="1295"/>
      <c r="G856"/>
    </row>
    <row r="857" spans="1:7" ht="14.4" customHeight="1">
      <c r="A857" s="693"/>
      <c r="B857" s="1193"/>
      <c r="C857" s="1202" t="s">
        <v>729</v>
      </c>
      <c r="D857" s="1220"/>
      <c r="E857" s="722"/>
      <c r="F857" s="722"/>
      <c r="G857"/>
    </row>
    <row r="858" spans="1:7" ht="14.4" customHeight="1" thickBot="1">
      <c r="A858" s="699"/>
      <c r="B858" s="1200"/>
      <c r="C858" s="1305"/>
      <c r="D858" s="1313"/>
      <c r="E858" s="1297"/>
      <c r="F858" s="1297"/>
      <c r="G858"/>
    </row>
    <row r="859" spans="1:7" ht="14.4" customHeight="1" thickBot="1">
      <c r="A859" s="1989">
        <v>21</v>
      </c>
      <c r="B859" s="1637">
        <v>1</v>
      </c>
      <c r="C859" s="1329" t="s">
        <v>12483</v>
      </c>
      <c r="D859" s="1219">
        <v>2136</v>
      </c>
      <c r="E859" s="1289"/>
      <c r="F859" s="1289">
        <v>2136</v>
      </c>
      <c r="G859"/>
    </row>
    <row r="860" spans="1:7" ht="14.4" customHeight="1">
      <c r="A860" s="685" t="s">
        <v>3064</v>
      </c>
      <c r="B860" s="1290"/>
      <c r="C860" s="1302"/>
      <c r="D860" s="1312"/>
      <c r="E860" s="1291"/>
      <c r="F860" s="1291"/>
      <c r="G860"/>
    </row>
    <row r="861" spans="1:7" ht="14.4" customHeight="1">
      <c r="A861" s="687" t="s">
        <v>12553</v>
      </c>
      <c r="B861" s="1283"/>
      <c r="C861" s="1201" t="s">
        <v>3158</v>
      </c>
      <c r="D861" s="1312"/>
      <c r="E861" s="1292"/>
      <c r="F861" s="1292"/>
      <c r="G861"/>
    </row>
    <row r="862" spans="1:7" ht="14.4" customHeight="1">
      <c r="A862" s="687" t="s">
        <v>4136</v>
      </c>
      <c r="B862" s="1283">
        <v>1</v>
      </c>
      <c r="C862" s="1202" t="s">
        <v>5331</v>
      </c>
      <c r="D862" s="1312"/>
      <c r="E862" s="1292"/>
      <c r="F862" s="1292"/>
      <c r="G862"/>
    </row>
    <row r="863" spans="1:7" ht="14.4" customHeight="1">
      <c r="A863" s="687"/>
      <c r="B863" s="1195"/>
      <c r="C863" s="1420"/>
      <c r="D863" s="1220"/>
      <c r="E863" s="722"/>
      <c r="F863" s="722"/>
      <c r="G863"/>
    </row>
    <row r="864" spans="1:7" ht="14.4" customHeight="1">
      <c r="A864" s="687" t="s">
        <v>12356</v>
      </c>
      <c r="B864" s="1193"/>
      <c r="C864" s="1202" t="s">
        <v>729</v>
      </c>
      <c r="D864" s="1220"/>
      <c r="E864" s="722"/>
      <c r="F864" s="722"/>
      <c r="G864"/>
    </row>
    <row r="865" spans="1:7" ht="14.4" customHeight="1">
      <c r="A865" s="687" t="s">
        <v>12482</v>
      </c>
      <c r="B865" s="1194">
        <v>1</v>
      </c>
      <c r="C865" s="1201" t="s">
        <v>5103</v>
      </c>
      <c r="D865" s="1220"/>
      <c r="E865" s="1171"/>
      <c r="F865" s="1171"/>
      <c r="G865"/>
    </row>
    <row r="866" spans="1:7" ht="14.4" customHeight="1">
      <c r="A866" s="1767"/>
      <c r="B866" s="1195">
        <v>3</v>
      </c>
      <c r="C866" s="1191" t="s">
        <v>7374</v>
      </c>
      <c r="D866" s="1220"/>
      <c r="E866" s="722"/>
      <c r="F866" s="722"/>
      <c r="G866"/>
    </row>
    <row r="867" spans="1:7" ht="14.4" customHeight="1">
      <c r="A867" s="687" t="s">
        <v>12551</v>
      </c>
      <c r="B867" s="1195">
        <v>3</v>
      </c>
      <c r="C867" s="1191" t="s">
        <v>7375</v>
      </c>
      <c r="D867" s="1220"/>
      <c r="E867" s="722"/>
      <c r="F867" s="722"/>
      <c r="G867"/>
    </row>
    <row r="868" spans="1:7" ht="14.4" customHeight="1">
      <c r="A868" s="687" t="s">
        <v>3542</v>
      </c>
      <c r="B868" s="1199">
        <v>1</v>
      </c>
      <c r="C868" s="1205" t="s">
        <v>3366</v>
      </c>
      <c r="D868" s="1221"/>
      <c r="E868" s="1172"/>
      <c r="F868" s="1172"/>
      <c r="G868"/>
    </row>
    <row r="869" spans="1:7" ht="14.4" customHeight="1">
      <c r="A869" s="687"/>
      <c r="B869" s="1194"/>
      <c r="C869" s="1218"/>
      <c r="D869" s="1220"/>
      <c r="E869" s="1171"/>
      <c r="F869" s="1171"/>
      <c r="G869"/>
    </row>
    <row r="870" spans="1:7" ht="14.4" customHeight="1">
      <c r="A870" s="687"/>
      <c r="B870" s="1195"/>
      <c r="C870" s="1629" t="s">
        <v>12368</v>
      </c>
      <c r="D870" s="1220"/>
      <c r="E870" s="722"/>
      <c r="F870" s="722"/>
      <c r="G870"/>
    </row>
    <row r="871" spans="1:7" ht="14.4" customHeight="1">
      <c r="A871" s="687"/>
      <c r="B871" s="1293"/>
      <c r="C871" s="1303" t="s">
        <v>3377</v>
      </c>
      <c r="D871" s="1312"/>
      <c r="E871" s="1292"/>
      <c r="F871" s="1292"/>
      <c r="G871"/>
    </row>
    <row r="872" spans="1:7" ht="14.4" customHeight="1">
      <c r="A872" s="1767"/>
      <c r="B872" s="1283">
        <v>1</v>
      </c>
      <c r="C872" s="1202" t="s">
        <v>4208</v>
      </c>
      <c r="D872" s="1312"/>
      <c r="E872" s="1291"/>
      <c r="F872" s="1291"/>
      <c r="G872"/>
    </row>
    <row r="873" spans="1:7" ht="14.4" customHeight="1">
      <c r="A873" s="693"/>
      <c r="B873" s="1283">
        <v>1</v>
      </c>
      <c r="C873" s="1202" t="s">
        <v>9371</v>
      </c>
      <c r="D873" s="1312"/>
      <c r="E873" s="1291"/>
      <c r="F873" s="1291"/>
      <c r="G873"/>
    </row>
    <row r="874" spans="1:7" ht="14.4" customHeight="1">
      <c r="A874" s="1767"/>
      <c r="B874" s="1283">
        <v>1</v>
      </c>
      <c r="C874" s="1202" t="s">
        <v>9372</v>
      </c>
      <c r="D874" s="1312"/>
      <c r="E874" s="1291"/>
      <c r="F874" s="1291"/>
      <c r="G874"/>
    </row>
    <row r="875" spans="1:7" ht="14.4" customHeight="1">
      <c r="A875" s="1767"/>
      <c r="B875" s="1283">
        <v>1</v>
      </c>
      <c r="C875" s="1202" t="s">
        <v>4183</v>
      </c>
      <c r="D875" s="1312"/>
      <c r="E875" s="1291"/>
      <c r="F875" s="1291"/>
      <c r="G875"/>
    </row>
    <row r="876" spans="1:7" ht="14.4" customHeight="1">
      <c r="A876" s="693"/>
      <c r="B876" s="1283">
        <v>1</v>
      </c>
      <c r="C876" s="1202" t="s">
        <v>9367</v>
      </c>
      <c r="D876" s="1220"/>
      <c r="E876" s="722"/>
      <c r="F876" s="722"/>
      <c r="G876"/>
    </row>
    <row r="877" spans="1:7" ht="14.4" customHeight="1">
      <c r="A877" s="1767"/>
      <c r="B877" s="1283">
        <v>1</v>
      </c>
      <c r="C877" s="1202" t="s">
        <v>9368</v>
      </c>
      <c r="D877" s="1312"/>
      <c r="E877" s="1291"/>
      <c r="F877" s="1291"/>
      <c r="G877"/>
    </row>
    <row r="878" spans="1:7" ht="14.4" customHeight="1">
      <c r="A878" s="687"/>
      <c r="B878" s="1193"/>
      <c r="C878" s="1202" t="s">
        <v>729</v>
      </c>
      <c r="D878" s="1220"/>
      <c r="E878" s="722"/>
      <c r="F878" s="722"/>
      <c r="G878"/>
    </row>
    <row r="879" spans="1:7" ht="14.4" customHeight="1">
      <c r="A879" s="1767"/>
      <c r="B879" s="1193">
        <v>1</v>
      </c>
      <c r="C879" s="1304" t="s">
        <v>12364</v>
      </c>
      <c r="D879" s="1312"/>
      <c r="E879" s="1292"/>
      <c r="F879" s="1292"/>
      <c r="G879"/>
    </row>
    <row r="880" spans="1:7" ht="14.4" customHeight="1">
      <c r="A880" s="1767"/>
      <c r="B880" s="1193">
        <v>1</v>
      </c>
      <c r="C880" s="1304" t="s">
        <v>12474</v>
      </c>
      <c r="D880" s="1312"/>
      <c r="E880" s="1292"/>
      <c r="F880" s="1292"/>
      <c r="G880"/>
    </row>
    <row r="881" spans="1:7" ht="14.4" customHeight="1">
      <c r="A881" s="693"/>
      <c r="B881" s="1193"/>
      <c r="C881" s="1202" t="s">
        <v>729</v>
      </c>
      <c r="D881" s="1220"/>
      <c r="E881" s="722"/>
      <c r="F881" s="722"/>
      <c r="G881"/>
    </row>
    <row r="882" spans="1:7" ht="14.4" customHeight="1">
      <c r="A882" s="1767"/>
      <c r="B882" s="1193">
        <v>1</v>
      </c>
      <c r="C882" s="1304" t="s">
        <v>316</v>
      </c>
      <c r="D882" s="1122"/>
      <c r="E882" s="1295"/>
      <c r="F882" s="1295"/>
      <c r="G882"/>
    </row>
    <row r="883" spans="1:7" ht="14.4" customHeight="1">
      <c r="A883" s="693"/>
      <c r="B883" s="1193"/>
      <c r="C883" s="138"/>
      <c r="D883" s="1122"/>
      <c r="E883" s="1295"/>
      <c r="F883" s="1295"/>
      <c r="G883"/>
    </row>
    <row r="884" spans="1:7" ht="14.4" customHeight="1" thickBot="1">
      <c r="A884" s="2193"/>
      <c r="B884" s="2184"/>
      <c r="C884" s="2185"/>
      <c r="D884" s="2195"/>
      <c r="E884" s="2186"/>
      <c r="F884" s="2186"/>
      <c r="G884"/>
    </row>
    <row r="885" spans="1:7" ht="14.4" customHeight="1" thickBot="1">
      <c r="A885" s="1989">
        <v>22</v>
      </c>
      <c r="B885" s="1637">
        <v>1</v>
      </c>
      <c r="C885" s="1329" t="s">
        <v>12485</v>
      </c>
      <c r="D885" s="1219">
        <v>2136</v>
      </c>
      <c r="E885" s="1289"/>
      <c r="F885" s="1289">
        <v>2136</v>
      </c>
      <c r="G885"/>
    </row>
    <row r="886" spans="1:7" ht="14.4" customHeight="1">
      <c r="A886" s="685" t="s">
        <v>3064</v>
      </c>
      <c r="B886" s="1290"/>
      <c r="C886" s="1302"/>
      <c r="D886" s="1312"/>
      <c r="E886" s="1291"/>
      <c r="F886" s="1291"/>
      <c r="G886"/>
    </row>
    <row r="887" spans="1:7" ht="14.4" customHeight="1">
      <c r="A887" s="687" t="s">
        <v>12553</v>
      </c>
      <c r="B887" s="1283"/>
      <c r="C887" s="1201" t="s">
        <v>3158</v>
      </c>
      <c r="D887" s="1312"/>
      <c r="E887" s="1292"/>
      <c r="F887" s="1292"/>
      <c r="G887"/>
    </row>
    <row r="888" spans="1:7" ht="14.4" customHeight="1">
      <c r="A888" s="687" t="s">
        <v>4136</v>
      </c>
      <c r="B888" s="1283">
        <v>1</v>
      </c>
      <c r="C888" s="1202" t="s">
        <v>5331</v>
      </c>
      <c r="D888" s="1312"/>
      <c r="E888" s="1292"/>
      <c r="F888" s="1292"/>
      <c r="G888"/>
    </row>
    <row r="889" spans="1:7" ht="14.4" customHeight="1">
      <c r="A889" s="687"/>
      <c r="B889" s="1195"/>
      <c r="C889" s="1420"/>
      <c r="D889" s="1220"/>
      <c r="E889" s="722"/>
      <c r="F889" s="722"/>
      <c r="G889"/>
    </row>
    <row r="890" spans="1:7" ht="14.4" customHeight="1">
      <c r="A890" s="687" t="s">
        <v>12356</v>
      </c>
      <c r="B890" s="1193"/>
      <c r="C890" s="1202" t="s">
        <v>729</v>
      </c>
      <c r="D890" s="1220"/>
      <c r="E890" s="722"/>
      <c r="F890" s="722"/>
      <c r="G890"/>
    </row>
    <row r="891" spans="1:7" ht="14.4" customHeight="1">
      <c r="A891" s="687" t="s">
        <v>12482</v>
      </c>
      <c r="B891" s="1194">
        <v>1</v>
      </c>
      <c r="C891" s="1201" t="s">
        <v>5103</v>
      </c>
      <c r="D891" s="1220"/>
      <c r="E891" s="1171"/>
      <c r="F891" s="1171"/>
      <c r="G891"/>
    </row>
    <row r="892" spans="1:7" ht="14.4" customHeight="1">
      <c r="A892" s="1767"/>
      <c r="B892" s="1195">
        <v>3</v>
      </c>
      <c r="C892" s="1191" t="s">
        <v>7374</v>
      </c>
      <c r="D892" s="1220"/>
      <c r="E892" s="722"/>
      <c r="F892" s="722"/>
      <c r="G892"/>
    </row>
    <row r="893" spans="1:7" ht="14.4" customHeight="1">
      <c r="A893" s="687" t="s">
        <v>12551</v>
      </c>
      <c r="B893" s="1195">
        <v>3</v>
      </c>
      <c r="C893" s="1191" t="s">
        <v>7375</v>
      </c>
      <c r="D893" s="1220"/>
      <c r="E893" s="722"/>
      <c r="F893" s="722"/>
      <c r="G893"/>
    </row>
    <row r="894" spans="1:7" ht="14.4" customHeight="1">
      <c r="A894" s="687" t="s">
        <v>3542</v>
      </c>
      <c r="B894" s="1199">
        <v>1</v>
      </c>
      <c r="C894" s="1205" t="s">
        <v>3366</v>
      </c>
      <c r="D894" s="1221"/>
      <c r="E894" s="1172"/>
      <c r="F894" s="1172"/>
      <c r="G894"/>
    </row>
    <row r="895" spans="1:7" ht="14.4" customHeight="1">
      <c r="A895" s="687"/>
      <c r="B895" s="1194"/>
      <c r="C895" s="1218"/>
      <c r="D895" s="1220"/>
      <c r="E895" s="1171"/>
      <c r="F895" s="1171"/>
      <c r="G895"/>
    </row>
    <row r="896" spans="1:7" ht="14.4" customHeight="1">
      <c r="A896" s="687"/>
      <c r="B896" s="1195"/>
      <c r="C896" s="1629" t="s">
        <v>12368</v>
      </c>
      <c r="D896" s="1220"/>
      <c r="E896" s="722"/>
      <c r="F896" s="722"/>
      <c r="G896"/>
    </row>
    <row r="897" spans="1:7" ht="14.4" customHeight="1">
      <c r="A897" s="687"/>
      <c r="B897" s="1193"/>
      <c r="C897" s="1633"/>
      <c r="D897" s="1220"/>
      <c r="E897" s="722"/>
      <c r="F897" s="722"/>
      <c r="G897"/>
    </row>
    <row r="898" spans="1:7" ht="14.4" customHeight="1">
      <c r="A898" s="687"/>
      <c r="B898" s="1293"/>
      <c r="C898" s="1303" t="s">
        <v>3377</v>
      </c>
      <c r="D898" s="1312"/>
      <c r="E898" s="1292"/>
      <c r="F898" s="1292"/>
      <c r="G898"/>
    </row>
    <row r="899" spans="1:7" ht="14.4" customHeight="1">
      <c r="A899" s="687"/>
      <c r="B899" s="1283">
        <v>1</v>
      </c>
      <c r="C899" s="1202" t="s">
        <v>4208</v>
      </c>
      <c r="D899" s="1312"/>
      <c r="E899" s="1291"/>
      <c r="F899" s="1291"/>
      <c r="G899"/>
    </row>
    <row r="900" spans="1:7" ht="14.4" customHeight="1">
      <c r="A900" s="687"/>
      <c r="B900" s="1283">
        <v>1</v>
      </c>
      <c r="C900" s="1202" t="s">
        <v>9371</v>
      </c>
      <c r="D900" s="1312"/>
      <c r="E900" s="1291"/>
      <c r="F900" s="1291"/>
      <c r="G900"/>
    </row>
    <row r="901" spans="1:7" ht="14.4" customHeight="1">
      <c r="A901" s="687"/>
      <c r="B901" s="1283">
        <v>1</v>
      </c>
      <c r="C901" s="1202" t="s">
        <v>9372</v>
      </c>
      <c r="D901" s="1312"/>
      <c r="E901" s="1291"/>
      <c r="F901" s="1291"/>
      <c r="G901"/>
    </row>
    <row r="902" spans="1:7" ht="14.4" customHeight="1">
      <c r="A902" s="687"/>
      <c r="B902" s="1283">
        <v>1</v>
      </c>
      <c r="C902" s="1202" t="s">
        <v>4183</v>
      </c>
      <c r="D902" s="1312"/>
      <c r="E902" s="1291"/>
      <c r="F902" s="1291"/>
      <c r="G902"/>
    </row>
    <row r="903" spans="1:7" ht="14.4" customHeight="1">
      <c r="A903" s="2044"/>
      <c r="B903" s="1283">
        <v>1</v>
      </c>
      <c r="C903" s="1202" t="s">
        <v>9367</v>
      </c>
      <c r="D903" s="1220"/>
      <c r="E903" s="722"/>
      <c r="F903" s="722"/>
      <c r="G903"/>
    </row>
    <row r="904" spans="1:7" ht="14.4" customHeight="1">
      <c r="A904" s="2044"/>
      <c r="B904" s="1283">
        <v>1</v>
      </c>
      <c r="C904" s="1202" t="s">
        <v>9368</v>
      </c>
      <c r="D904" s="1312"/>
      <c r="E904" s="1291"/>
      <c r="F904" s="1291"/>
      <c r="G904"/>
    </row>
    <row r="905" spans="1:7" ht="14.4" customHeight="1">
      <c r="A905" s="687"/>
      <c r="B905" s="1193"/>
      <c r="C905" s="1202" t="s">
        <v>729</v>
      </c>
      <c r="D905" s="1220"/>
      <c r="E905" s="722"/>
      <c r="F905" s="722"/>
      <c r="G905"/>
    </row>
    <row r="906" spans="1:7" ht="14.4" customHeight="1">
      <c r="A906" s="1767"/>
      <c r="B906" s="1193">
        <v>1</v>
      </c>
      <c r="C906" s="1304" t="s">
        <v>12364</v>
      </c>
      <c r="D906" s="1312"/>
      <c r="E906" s="1292"/>
      <c r="F906" s="1292"/>
      <c r="G906"/>
    </row>
    <row r="907" spans="1:7" ht="14.4" customHeight="1">
      <c r="A907" s="1767"/>
      <c r="B907" s="1193">
        <v>1</v>
      </c>
      <c r="C907" s="1304" t="s">
        <v>12474</v>
      </c>
      <c r="D907" s="1312"/>
      <c r="E907" s="1292"/>
      <c r="F907" s="1292"/>
      <c r="G907"/>
    </row>
    <row r="908" spans="1:7" ht="14.4" customHeight="1">
      <c r="A908" s="693"/>
      <c r="B908" s="1193"/>
      <c r="C908" s="1202" t="s">
        <v>729</v>
      </c>
      <c r="D908" s="1220"/>
      <c r="E908" s="722"/>
      <c r="F908" s="722"/>
      <c r="G908"/>
    </row>
    <row r="909" spans="1:7" ht="14.4" customHeight="1">
      <c r="A909" s="1767"/>
      <c r="B909" s="1193">
        <v>1</v>
      </c>
      <c r="C909" s="1304" t="s">
        <v>316</v>
      </c>
      <c r="D909" s="1122"/>
      <c r="E909" s="1295"/>
      <c r="F909" s="1295"/>
      <c r="G909"/>
    </row>
    <row r="910" spans="1:7" ht="14.4" customHeight="1">
      <c r="A910" s="693"/>
      <c r="B910" s="1193"/>
      <c r="C910" s="138"/>
      <c r="D910" s="1122"/>
      <c r="E910" s="1295"/>
      <c r="F910" s="1295"/>
      <c r="G910"/>
    </row>
    <row r="911" spans="1:7" ht="14.4" customHeight="1" thickBot="1">
      <c r="A911" s="2193"/>
      <c r="B911" s="2184"/>
      <c r="C911" s="2185"/>
      <c r="D911" s="2195"/>
      <c r="E911" s="2186"/>
      <c r="F911" s="2186"/>
      <c r="G911"/>
    </row>
    <row r="912" spans="1:7" ht="14.4" customHeight="1" thickBot="1">
      <c r="A912" s="1989">
        <v>23</v>
      </c>
      <c r="B912" s="1637">
        <v>1</v>
      </c>
      <c r="C912" s="1329" t="s">
        <v>12486</v>
      </c>
      <c r="D912" s="1219">
        <v>2136</v>
      </c>
      <c r="E912" s="1289"/>
      <c r="F912" s="1289">
        <v>2136</v>
      </c>
      <c r="G912"/>
    </row>
    <row r="913" spans="1:7" ht="14.4" customHeight="1">
      <c r="A913" s="685" t="s">
        <v>3064</v>
      </c>
      <c r="B913" s="1290"/>
      <c r="C913" s="1302"/>
      <c r="D913" s="1312"/>
      <c r="E913" s="1291"/>
      <c r="F913" s="1291"/>
      <c r="G913"/>
    </row>
    <row r="914" spans="1:7" ht="14.4" customHeight="1">
      <c r="A914" s="687" t="s">
        <v>12553</v>
      </c>
      <c r="B914" s="1283"/>
      <c r="C914" s="1201" t="s">
        <v>3158</v>
      </c>
      <c r="D914" s="1312"/>
      <c r="E914" s="1292"/>
      <c r="F914" s="1292"/>
      <c r="G914"/>
    </row>
    <row r="915" spans="1:7" ht="14.4" customHeight="1">
      <c r="A915" s="687" t="s">
        <v>4136</v>
      </c>
      <c r="B915" s="1283">
        <v>1</v>
      </c>
      <c r="C915" s="1202" t="s">
        <v>5331</v>
      </c>
      <c r="D915" s="1312"/>
      <c r="E915" s="1292"/>
      <c r="F915" s="1292"/>
      <c r="G915"/>
    </row>
    <row r="916" spans="1:7" ht="14.4" customHeight="1">
      <c r="A916" s="687"/>
      <c r="B916" s="1195"/>
      <c r="C916" s="1420"/>
      <c r="D916" s="1220"/>
      <c r="E916" s="722"/>
      <c r="F916" s="722"/>
      <c r="G916"/>
    </row>
    <row r="917" spans="1:7" ht="14.4" customHeight="1">
      <c r="A917" s="687" t="s">
        <v>12356</v>
      </c>
      <c r="B917" s="1193"/>
      <c r="C917" s="1202" t="s">
        <v>729</v>
      </c>
      <c r="D917" s="1220"/>
      <c r="E917" s="722"/>
      <c r="F917" s="722"/>
      <c r="G917"/>
    </row>
    <row r="918" spans="1:7" ht="14.4" customHeight="1">
      <c r="A918" s="687" t="s">
        <v>12482</v>
      </c>
      <c r="B918" s="1194">
        <v>1</v>
      </c>
      <c r="C918" s="1201" t="s">
        <v>5103</v>
      </c>
      <c r="D918" s="1220"/>
      <c r="E918" s="1171"/>
      <c r="F918" s="1171"/>
      <c r="G918"/>
    </row>
    <row r="919" spans="1:7" ht="14.4" customHeight="1">
      <c r="A919" s="1767"/>
      <c r="B919" s="1195">
        <v>3</v>
      </c>
      <c r="C919" s="1191" t="s">
        <v>7374</v>
      </c>
      <c r="D919" s="1220"/>
      <c r="E919" s="722"/>
      <c r="F919" s="722"/>
      <c r="G919"/>
    </row>
    <row r="920" spans="1:7" ht="14.4" customHeight="1">
      <c r="A920" s="687" t="s">
        <v>12551</v>
      </c>
      <c r="B920" s="1195">
        <v>3</v>
      </c>
      <c r="C920" s="1191" t="s">
        <v>7375</v>
      </c>
      <c r="D920" s="1220"/>
      <c r="E920" s="722"/>
      <c r="F920" s="722"/>
      <c r="G920"/>
    </row>
    <row r="921" spans="1:7" ht="14.4" customHeight="1">
      <c r="A921" s="687" t="s">
        <v>3542</v>
      </c>
      <c r="B921" s="1199">
        <v>1</v>
      </c>
      <c r="C921" s="1205" t="s">
        <v>3366</v>
      </c>
      <c r="D921" s="1221"/>
      <c r="E921" s="1172"/>
      <c r="F921" s="1172"/>
      <c r="G921"/>
    </row>
    <row r="922" spans="1:7" ht="14.4" customHeight="1">
      <c r="A922" s="687"/>
      <c r="B922" s="1194"/>
      <c r="C922" s="1218"/>
      <c r="D922" s="1220"/>
      <c r="E922" s="1171"/>
      <c r="F922" s="1171"/>
      <c r="G922"/>
    </row>
    <row r="923" spans="1:7" ht="14.4" customHeight="1">
      <c r="A923" s="687"/>
      <c r="B923" s="1195"/>
      <c r="C923" s="1629" t="s">
        <v>12368</v>
      </c>
      <c r="D923" s="1220"/>
      <c r="E923" s="722"/>
      <c r="F923" s="722"/>
      <c r="G923"/>
    </row>
    <row r="924" spans="1:7" ht="14.4" customHeight="1">
      <c r="A924" s="687"/>
      <c r="B924" s="1293"/>
      <c r="C924" s="1303" t="s">
        <v>3377</v>
      </c>
      <c r="D924" s="1312"/>
      <c r="E924" s="1292"/>
      <c r="F924" s="1292"/>
      <c r="G924"/>
    </row>
    <row r="925" spans="1:7" ht="14.4" customHeight="1">
      <c r="A925" s="687"/>
      <c r="B925" s="1283">
        <v>1</v>
      </c>
      <c r="C925" s="1202" t="s">
        <v>4208</v>
      </c>
      <c r="D925" s="1312"/>
      <c r="E925" s="1291"/>
      <c r="F925" s="1291"/>
      <c r="G925"/>
    </row>
    <row r="926" spans="1:7" ht="14.4" customHeight="1">
      <c r="A926" s="687"/>
      <c r="B926" s="1283">
        <v>1</v>
      </c>
      <c r="C926" s="1202" t="s">
        <v>9371</v>
      </c>
      <c r="D926" s="1312"/>
      <c r="E926" s="1291"/>
      <c r="F926" s="1291"/>
      <c r="G926"/>
    </row>
    <row r="927" spans="1:7" ht="14.4" customHeight="1">
      <c r="A927" s="687"/>
      <c r="B927" s="1283">
        <v>1</v>
      </c>
      <c r="C927" s="1202" t="s">
        <v>9372</v>
      </c>
      <c r="D927" s="1312"/>
      <c r="E927" s="1291"/>
      <c r="F927" s="1291"/>
      <c r="G927"/>
    </row>
    <row r="928" spans="1:7" ht="14.4" customHeight="1">
      <c r="A928" s="687"/>
      <c r="B928" s="1283">
        <v>1</v>
      </c>
      <c r="C928" s="1202" t="s">
        <v>4183</v>
      </c>
      <c r="D928" s="1312"/>
      <c r="E928" s="1291"/>
      <c r="F928" s="1291"/>
      <c r="G928"/>
    </row>
    <row r="929" spans="1:7" ht="14.4" customHeight="1">
      <c r="A929" s="2044"/>
      <c r="B929" s="1283">
        <v>1</v>
      </c>
      <c r="C929" s="1202" t="s">
        <v>9367</v>
      </c>
      <c r="D929" s="1220"/>
      <c r="E929" s="722"/>
      <c r="F929" s="722"/>
      <c r="G929"/>
    </row>
    <row r="930" spans="1:7" ht="14.4" customHeight="1">
      <c r="A930" s="2044"/>
      <c r="B930" s="1283">
        <v>1</v>
      </c>
      <c r="C930" s="1202" t="s">
        <v>9368</v>
      </c>
      <c r="D930" s="1312"/>
      <c r="E930" s="1291"/>
      <c r="F930" s="1291"/>
      <c r="G930"/>
    </row>
    <row r="931" spans="1:7" ht="14.4" customHeight="1">
      <c r="A931" s="687"/>
      <c r="B931" s="1193"/>
      <c r="C931" s="1202" t="s">
        <v>729</v>
      </c>
      <c r="D931" s="1220"/>
      <c r="E931" s="722"/>
      <c r="F931" s="722"/>
      <c r="G931"/>
    </row>
    <row r="932" spans="1:7" ht="14.4" customHeight="1">
      <c r="A932" s="1767"/>
      <c r="B932" s="1193">
        <v>1</v>
      </c>
      <c r="C932" s="1304" t="s">
        <v>12364</v>
      </c>
      <c r="D932" s="1312"/>
      <c r="E932" s="1292"/>
      <c r="F932" s="1292"/>
      <c r="G932"/>
    </row>
    <row r="933" spans="1:7" ht="14.4" customHeight="1">
      <c r="A933" s="1767"/>
      <c r="B933" s="1193">
        <v>1</v>
      </c>
      <c r="C933" s="1304" t="s">
        <v>12474</v>
      </c>
      <c r="D933" s="1312"/>
      <c r="E933" s="1292"/>
      <c r="F933" s="1292"/>
      <c r="G933"/>
    </row>
    <row r="934" spans="1:7" ht="14.4" customHeight="1">
      <c r="A934" s="693"/>
      <c r="B934" s="1193"/>
      <c r="C934" s="1202" t="s">
        <v>729</v>
      </c>
      <c r="D934" s="1220"/>
      <c r="E934" s="722"/>
      <c r="F934" s="722"/>
      <c r="G934"/>
    </row>
    <row r="935" spans="1:7" ht="14.4" customHeight="1">
      <c r="A935" s="1767"/>
      <c r="B935" s="1193">
        <v>1</v>
      </c>
      <c r="C935" s="1304" t="s">
        <v>316</v>
      </c>
      <c r="D935" s="1122"/>
      <c r="E935" s="1295"/>
      <c r="F935" s="1295"/>
      <c r="G935"/>
    </row>
    <row r="936" spans="1:7" ht="14.4" customHeight="1">
      <c r="A936" s="693"/>
      <c r="B936" s="1193"/>
      <c r="C936" s="138"/>
      <c r="D936" s="1122"/>
      <c r="E936" s="1295"/>
      <c r="F936" s="1295"/>
      <c r="G936"/>
    </row>
    <row r="937" spans="1:7" ht="14.4" customHeight="1" thickBot="1">
      <c r="A937" s="2193"/>
      <c r="B937" s="2184"/>
      <c r="C937" s="2185"/>
      <c r="D937" s="2195"/>
      <c r="E937" s="2186"/>
      <c r="F937" s="2186"/>
      <c r="G937"/>
    </row>
    <row r="938" spans="1:7" ht="14.4" customHeight="1" thickBot="1">
      <c r="A938" s="1989">
        <v>24</v>
      </c>
      <c r="B938" s="1630">
        <v>1</v>
      </c>
      <c r="C938" s="1329" t="s">
        <v>12586</v>
      </c>
      <c r="D938" s="1219">
        <v>5786</v>
      </c>
      <c r="E938" s="1289"/>
      <c r="F938" s="1289">
        <v>5786</v>
      </c>
      <c r="G938"/>
    </row>
    <row r="939" spans="1:7" ht="14.4" customHeight="1">
      <c r="A939" s="685" t="s">
        <v>3064</v>
      </c>
      <c r="B939" s="2178"/>
      <c r="C939" s="2179"/>
      <c r="D939" s="1312"/>
      <c r="E939" s="1291"/>
      <c r="F939" s="1291"/>
      <c r="G939"/>
    </row>
    <row r="940" spans="1:7" ht="14.4" customHeight="1">
      <c r="A940" s="687" t="s">
        <v>12553</v>
      </c>
      <c r="B940" s="1194">
        <v>1</v>
      </c>
      <c r="C940" s="1201" t="s">
        <v>5103</v>
      </c>
      <c r="D940" s="1220"/>
      <c r="E940" s="1171"/>
      <c r="F940" s="1171"/>
      <c r="G940"/>
    </row>
    <row r="941" spans="1:7" ht="14.4" customHeight="1">
      <c r="A941" s="687" t="s">
        <v>4136</v>
      </c>
      <c r="B941" s="1195">
        <v>3</v>
      </c>
      <c r="C941" s="1191" t="s">
        <v>7374</v>
      </c>
      <c r="D941" s="1220"/>
      <c r="E941" s="722"/>
      <c r="F941" s="722"/>
      <c r="G941"/>
    </row>
    <row r="942" spans="1:7" ht="14.4" customHeight="1">
      <c r="A942" s="687"/>
      <c r="B942" s="1195">
        <v>3</v>
      </c>
      <c r="C942" s="1191" t="s">
        <v>7375</v>
      </c>
      <c r="D942" s="1220"/>
      <c r="E942" s="722"/>
      <c r="F942" s="722"/>
      <c r="G942"/>
    </row>
    <row r="943" spans="1:7" ht="14.4" customHeight="1">
      <c r="A943" s="687" t="s">
        <v>12356</v>
      </c>
      <c r="B943" s="1199">
        <v>1</v>
      </c>
      <c r="C943" s="1205" t="s">
        <v>3366</v>
      </c>
      <c r="D943" s="1221"/>
      <c r="E943" s="1172"/>
      <c r="F943" s="1172"/>
      <c r="G943"/>
    </row>
    <row r="944" spans="1:7" ht="14.4" customHeight="1">
      <c r="A944" s="687" t="s">
        <v>3542</v>
      </c>
      <c r="B944" s="1194"/>
      <c r="C944" s="1218"/>
      <c r="D944" s="1220"/>
      <c r="E944" s="1171"/>
      <c r="F944" s="1171"/>
      <c r="G944"/>
    </row>
    <row r="945" spans="1:7" ht="14.4" customHeight="1">
      <c r="A945" s="687"/>
      <c r="B945" s="1195"/>
      <c r="C945" s="1629" t="s">
        <v>12368</v>
      </c>
      <c r="D945" s="1220"/>
      <c r="E945" s="722"/>
      <c r="F945" s="722"/>
      <c r="G945"/>
    </row>
    <row r="946" spans="1:7" ht="14.4" customHeight="1">
      <c r="A946" s="693"/>
      <c r="B946" s="1193"/>
      <c r="C946" s="1201" t="s">
        <v>3158</v>
      </c>
      <c r="D946" s="1312"/>
      <c r="E946" s="1292"/>
      <c r="F946" s="1292"/>
      <c r="G946"/>
    </row>
    <row r="947" spans="1:7" ht="14.4" customHeight="1">
      <c r="A947" s="693"/>
      <c r="B947" s="1194">
        <v>1</v>
      </c>
      <c r="C947" s="1202" t="s">
        <v>6601</v>
      </c>
      <c r="D947" s="1312"/>
      <c r="E947" s="1292"/>
      <c r="F947" s="1292"/>
      <c r="G947"/>
    </row>
    <row r="948" spans="1:7" ht="14.4" customHeight="1">
      <c r="A948" s="687"/>
      <c r="B948" s="1193"/>
      <c r="C948" s="1202" t="s">
        <v>729</v>
      </c>
      <c r="D948" s="1220"/>
      <c r="E948" s="722"/>
      <c r="F948" s="722"/>
      <c r="G948"/>
    </row>
    <row r="949" spans="1:7" ht="14.4" customHeight="1">
      <c r="A949" s="693"/>
      <c r="B949" s="1196"/>
      <c r="C949" s="1303" t="s">
        <v>9431</v>
      </c>
      <c r="D949" s="1312"/>
      <c r="E949" s="1292"/>
      <c r="F949" s="1292"/>
      <c r="G949"/>
    </row>
    <row r="950" spans="1:7" ht="14.4" customHeight="1">
      <c r="A950" s="693"/>
      <c r="B950" s="1193">
        <v>1</v>
      </c>
      <c r="C950" s="1202" t="s">
        <v>4208</v>
      </c>
      <c r="D950" s="1312"/>
      <c r="E950" s="1291"/>
      <c r="F950" s="1291"/>
      <c r="G950"/>
    </row>
    <row r="951" spans="1:7" ht="14.4" customHeight="1">
      <c r="A951" s="693"/>
      <c r="B951" s="1193">
        <v>1</v>
      </c>
      <c r="C951" s="1202" t="s">
        <v>4205</v>
      </c>
      <c r="D951" s="1312"/>
      <c r="E951" s="1291"/>
      <c r="F951" s="1291"/>
      <c r="G951"/>
    </row>
    <row r="952" spans="1:7" ht="14.4" customHeight="1">
      <c r="A952" s="693"/>
      <c r="B952" s="1196"/>
      <c r="C952" s="1303" t="s">
        <v>12546</v>
      </c>
      <c r="D952" s="1312"/>
      <c r="E952" s="1292"/>
      <c r="F952" s="1292"/>
      <c r="G952"/>
    </row>
    <row r="953" spans="1:7" ht="14.4" customHeight="1">
      <c r="A953" s="693"/>
      <c r="B953" s="1193">
        <v>5</v>
      </c>
      <c r="C953" s="1202" t="s">
        <v>4183</v>
      </c>
      <c r="D953" s="1312"/>
      <c r="E953" s="1291"/>
      <c r="F953" s="1291"/>
      <c r="G953"/>
    </row>
    <row r="954" spans="1:7" ht="14.4" customHeight="1">
      <c r="A954" s="693"/>
      <c r="B954" s="1193">
        <v>5</v>
      </c>
      <c r="C954" s="1202" t="s">
        <v>5319</v>
      </c>
      <c r="D954" s="1312"/>
      <c r="E954" s="1291"/>
      <c r="F954" s="1291"/>
      <c r="G954"/>
    </row>
    <row r="955" spans="1:7" ht="14.4" customHeight="1">
      <c r="A955" s="693"/>
      <c r="B955" s="1193">
        <v>1</v>
      </c>
      <c r="C955" s="1202" t="s">
        <v>2927</v>
      </c>
      <c r="D955" s="1312"/>
      <c r="E955" s="1291"/>
      <c r="F955" s="1291"/>
      <c r="G955"/>
    </row>
    <row r="956" spans="1:7" ht="14.4" customHeight="1">
      <c r="A956" s="693"/>
      <c r="B956" s="1193"/>
      <c r="C956" s="1202" t="s">
        <v>729</v>
      </c>
      <c r="D956" s="1220"/>
      <c r="E956" s="722"/>
      <c r="F956" s="722"/>
      <c r="G956"/>
    </row>
    <row r="957" spans="1:7" ht="14.4" customHeight="1">
      <c r="A957" s="693"/>
      <c r="B957" s="1196"/>
      <c r="C957" s="1303" t="s">
        <v>12547</v>
      </c>
      <c r="D957" s="1312"/>
      <c r="E957" s="1292"/>
      <c r="F957" s="1292"/>
      <c r="G957"/>
    </row>
    <row r="958" spans="1:7" ht="14.4" customHeight="1">
      <c r="A958" s="693"/>
      <c r="B958" s="1193">
        <v>10</v>
      </c>
      <c r="C958" s="1202" t="s">
        <v>4183</v>
      </c>
      <c r="D958" s="1312"/>
      <c r="E958" s="1291"/>
      <c r="F958" s="1291"/>
      <c r="G958"/>
    </row>
    <row r="959" spans="1:7" ht="14.4" customHeight="1">
      <c r="A959" s="693"/>
      <c r="B959" s="1193">
        <v>9</v>
      </c>
      <c r="C959" s="1202" t="s">
        <v>5319</v>
      </c>
      <c r="D959" s="1312"/>
      <c r="E959" s="1291"/>
      <c r="F959" s="1291"/>
      <c r="G959"/>
    </row>
    <row r="960" spans="1:7" ht="14.4" customHeight="1">
      <c r="A960" s="693"/>
      <c r="B960" s="1193">
        <v>2</v>
      </c>
      <c r="C960" s="1202" t="s">
        <v>2927</v>
      </c>
      <c r="D960" s="1312"/>
      <c r="E960" s="1291"/>
      <c r="F960" s="1291"/>
      <c r="G960"/>
    </row>
    <row r="961" spans="1:7" ht="14.4" customHeight="1">
      <c r="A961" s="693"/>
      <c r="B961" s="1193"/>
      <c r="C961" s="1202" t="s">
        <v>729</v>
      </c>
      <c r="D961" s="1220"/>
      <c r="E961" s="722"/>
      <c r="F961" s="722"/>
      <c r="G961"/>
    </row>
    <row r="962" spans="1:7" ht="14.4" customHeight="1">
      <c r="A962" s="693"/>
      <c r="B962" s="1196"/>
      <c r="C962" s="1201" t="s">
        <v>3063</v>
      </c>
      <c r="D962" s="1220"/>
      <c r="E962" s="1171"/>
      <c r="F962" s="1171"/>
      <c r="G962"/>
    </row>
    <row r="963" spans="1:7" ht="14.4" customHeight="1">
      <c r="A963" s="691"/>
      <c r="B963" s="1193">
        <v>1</v>
      </c>
      <c r="C963" s="1202" t="s">
        <v>4208</v>
      </c>
      <c r="D963" s="1312"/>
      <c r="E963" s="1291"/>
      <c r="F963" s="1291"/>
      <c r="G963"/>
    </row>
    <row r="964" spans="1:7" ht="14.4" customHeight="1">
      <c r="A964" s="691"/>
      <c r="B964" s="1193">
        <v>1</v>
      </c>
      <c r="C964" s="1202" t="s">
        <v>6456</v>
      </c>
      <c r="D964" s="1312"/>
      <c r="E964" s="1291"/>
      <c r="F964" s="1291"/>
      <c r="G964"/>
    </row>
    <row r="965" spans="1:7" ht="14.4" customHeight="1">
      <c r="A965" s="692"/>
      <c r="B965" s="1193"/>
      <c r="C965" s="1202" t="s">
        <v>729</v>
      </c>
      <c r="D965" s="1220"/>
      <c r="E965" s="722"/>
      <c r="F965" s="722"/>
      <c r="G965"/>
    </row>
    <row r="966" spans="1:7" ht="14.4" customHeight="1">
      <c r="A966" s="1767"/>
      <c r="B966" s="1193">
        <v>1</v>
      </c>
      <c r="C966" s="1304" t="s">
        <v>12364</v>
      </c>
      <c r="D966" s="1312"/>
      <c r="E966" s="1292"/>
      <c r="F966" s="1292"/>
      <c r="G966"/>
    </row>
    <row r="967" spans="1:7" ht="14.4" customHeight="1">
      <c r="A967" s="1767"/>
      <c r="B967" s="1193">
        <v>1</v>
      </c>
      <c r="C967" s="1304" t="s">
        <v>12474</v>
      </c>
      <c r="D967" s="1312"/>
      <c r="E967" s="1292"/>
      <c r="F967" s="1292"/>
      <c r="G967"/>
    </row>
    <row r="968" spans="1:7" ht="14.4" customHeight="1">
      <c r="A968" s="693"/>
      <c r="B968" s="1193"/>
      <c r="C968" s="1202" t="s">
        <v>729</v>
      </c>
      <c r="D968" s="1220"/>
      <c r="E968" s="722"/>
      <c r="F968" s="722"/>
      <c r="G968"/>
    </row>
    <row r="969" spans="1:7" ht="14.4" customHeight="1">
      <c r="A969" s="693"/>
      <c r="B969" s="1193">
        <v>1</v>
      </c>
      <c r="C969" s="1202" t="s">
        <v>316</v>
      </c>
      <c r="D969" s="1122"/>
      <c r="E969" s="1295"/>
      <c r="F969" s="1295"/>
      <c r="G969"/>
    </row>
    <row r="970" spans="1:7" ht="14.4" customHeight="1">
      <c r="A970" s="693"/>
      <c r="B970" s="1193"/>
      <c r="C970" s="1202" t="s">
        <v>729</v>
      </c>
      <c r="D970" s="1220"/>
      <c r="E970" s="722"/>
      <c r="F970" s="722"/>
      <c r="G970"/>
    </row>
    <row r="971" spans="1:7" ht="14.4" customHeight="1" thickBot="1">
      <c r="A971" s="699"/>
      <c r="B971" s="1200"/>
      <c r="C971" s="1305"/>
      <c r="D971" s="1313"/>
      <c r="E971" s="1297"/>
      <c r="F971" s="1297"/>
      <c r="G971"/>
    </row>
    <row r="972" spans="1:7" ht="14.4" customHeight="1" thickBot="1">
      <c r="A972" s="1989">
        <v>25</v>
      </c>
      <c r="B972" s="1630">
        <v>1</v>
      </c>
      <c r="C972" s="1329" t="s">
        <v>12587</v>
      </c>
      <c r="D972" s="1219">
        <v>4394</v>
      </c>
      <c r="E972" s="1289"/>
      <c r="F972" s="1289">
        <v>4394</v>
      </c>
      <c r="G972"/>
    </row>
    <row r="973" spans="1:7" ht="14.4" customHeight="1">
      <c r="A973" s="685" t="s">
        <v>3064</v>
      </c>
      <c r="B973" s="2178"/>
      <c r="C973" s="2179"/>
      <c r="D973" s="1312"/>
      <c r="E973" s="1291"/>
      <c r="F973" s="1291"/>
      <c r="G973"/>
    </row>
    <row r="974" spans="1:7" ht="14.4" customHeight="1">
      <c r="A974" s="687" t="s">
        <v>12553</v>
      </c>
      <c r="B974" s="1194">
        <v>1</v>
      </c>
      <c r="C974" s="1201" t="s">
        <v>5103</v>
      </c>
      <c r="D974" s="1220"/>
      <c r="E974" s="1171"/>
      <c r="F974" s="1171"/>
      <c r="G974"/>
    </row>
    <row r="975" spans="1:7" ht="14.4" customHeight="1">
      <c r="A975" s="687" t="s">
        <v>4136</v>
      </c>
      <c r="B975" s="1195">
        <v>3</v>
      </c>
      <c r="C975" s="1191" t="s">
        <v>7374</v>
      </c>
      <c r="D975" s="1220"/>
      <c r="E975" s="722"/>
      <c r="F975" s="722"/>
      <c r="G975"/>
    </row>
    <row r="976" spans="1:7" ht="14.4" customHeight="1">
      <c r="A976" s="687"/>
      <c r="B976" s="1195">
        <v>3</v>
      </c>
      <c r="C976" s="1191" t="s">
        <v>7375</v>
      </c>
      <c r="D976" s="1220"/>
      <c r="E976" s="722"/>
      <c r="F976" s="722"/>
      <c r="G976"/>
    </row>
    <row r="977" spans="1:7" ht="14.4" customHeight="1">
      <c r="A977" s="687" t="s">
        <v>12356</v>
      </c>
      <c r="B977" s="1199">
        <v>1</v>
      </c>
      <c r="C977" s="1205" t="s">
        <v>3366</v>
      </c>
      <c r="D977" s="1221"/>
      <c r="E977" s="1172"/>
      <c r="F977" s="1172"/>
      <c r="G977"/>
    </row>
    <row r="978" spans="1:7" ht="14.4" customHeight="1">
      <c r="A978" s="687" t="s">
        <v>3542</v>
      </c>
      <c r="B978" s="1194"/>
      <c r="C978" s="1218"/>
      <c r="D978" s="1220"/>
      <c r="E978" s="1171"/>
      <c r="F978" s="1171"/>
      <c r="G978"/>
    </row>
    <row r="979" spans="1:7" ht="14.4" customHeight="1">
      <c r="A979" s="687"/>
      <c r="B979" s="1195"/>
      <c r="C979" s="1629" t="s">
        <v>12368</v>
      </c>
      <c r="D979" s="1220"/>
      <c r="E979" s="722"/>
      <c r="F979" s="722"/>
      <c r="G979"/>
    </row>
    <row r="980" spans="1:7" ht="14.4" customHeight="1">
      <c r="A980" s="693"/>
      <c r="B980" s="1193"/>
      <c r="C980" s="1201" t="s">
        <v>3158</v>
      </c>
      <c r="D980" s="1312"/>
      <c r="E980" s="1292"/>
      <c r="F980" s="1292"/>
      <c r="G980"/>
    </row>
    <row r="981" spans="1:7" ht="14.4" customHeight="1">
      <c r="A981" s="691"/>
      <c r="B981" s="1193">
        <v>1</v>
      </c>
      <c r="C981" s="1202" t="s">
        <v>6597</v>
      </c>
      <c r="D981" s="1312"/>
      <c r="E981" s="1292"/>
      <c r="F981" s="1292"/>
      <c r="G981"/>
    </row>
    <row r="982" spans="1:7" ht="14.4" customHeight="1">
      <c r="A982" s="691"/>
      <c r="B982" s="1193"/>
      <c r="C982" s="1202" t="s">
        <v>729</v>
      </c>
      <c r="D982" s="1220"/>
      <c r="E982" s="722"/>
      <c r="F982" s="722"/>
      <c r="G982"/>
    </row>
    <row r="983" spans="1:7" ht="14.4" customHeight="1">
      <c r="A983" s="692"/>
      <c r="B983" s="1196"/>
      <c r="C983" s="1303" t="s">
        <v>3377</v>
      </c>
      <c r="D983" s="1312"/>
      <c r="E983" s="1292"/>
      <c r="F983" s="1292"/>
      <c r="G983"/>
    </row>
    <row r="984" spans="1:7" ht="14.4" customHeight="1">
      <c r="A984" s="693"/>
      <c r="B984" s="1193"/>
      <c r="C984" s="1633"/>
      <c r="D984" s="1220"/>
      <c r="E984" s="722"/>
      <c r="F984" s="722"/>
      <c r="G984"/>
    </row>
    <row r="985" spans="1:7" ht="14.4" customHeight="1">
      <c r="A985" s="691"/>
      <c r="B985" s="1193">
        <v>9</v>
      </c>
      <c r="C985" s="1202" t="s">
        <v>4183</v>
      </c>
      <c r="D985" s="1312"/>
      <c r="E985" s="1291"/>
      <c r="F985" s="1291"/>
      <c r="G985"/>
    </row>
    <row r="986" spans="1:7" ht="14.4" customHeight="1">
      <c r="A986" s="691"/>
      <c r="B986" s="1193">
        <v>9</v>
      </c>
      <c r="C986" s="1202" t="s">
        <v>5319</v>
      </c>
      <c r="D986" s="1312"/>
      <c r="E986" s="1291"/>
      <c r="F986" s="1291"/>
      <c r="G986"/>
    </row>
    <row r="987" spans="1:7" ht="14.4" customHeight="1">
      <c r="A987" s="1767"/>
      <c r="B987" s="1193">
        <v>1</v>
      </c>
      <c r="C987" s="1202" t="s">
        <v>2927</v>
      </c>
      <c r="D987" s="1312"/>
      <c r="E987" s="1291"/>
      <c r="F987" s="1291"/>
      <c r="G987"/>
    </row>
    <row r="988" spans="1:7" ht="14.4" customHeight="1">
      <c r="A988" s="692"/>
      <c r="B988" s="1193"/>
      <c r="C988" s="1202" t="s">
        <v>729</v>
      </c>
      <c r="D988" s="1220"/>
      <c r="E988" s="722"/>
      <c r="F988" s="722"/>
      <c r="G988"/>
    </row>
    <row r="989" spans="1:7" ht="14.4" customHeight="1">
      <c r="A989" s="693"/>
      <c r="B989" s="1196"/>
      <c r="C989" s="1201" t="s">
        <v>3063</v>
      </c>
      <c r="D989" s="1220"/>
      <c r="E989" s="1171"/>
      <c r="F989" s="1171"/>
      <c r="G989"/>
    </row>
    <row r="990" spans="1:7" ht="14.4" customHeight="1">
      <c r="A990" s="691"/>
      <c r="B990" s="1193">
        <v>1</v>
      </c>
      <c r="C990" s="1202" t="s">
        <v>4206</v>
      </c>
      <c r="D990" s="1312"/>
      <c r="E990" s="1291"/>
      <c r="F990" s="1291"/>
      <c r="G990"/>
    </row>
    <row r="991" spans="1:7" ht="14.4" customHeight="1">
      <c r="A991" s="691"/>
      <c r="B991" s="1193">
        <v>1</v>
      </c>
      <c r="C991" s="1202" t="s">
        <v>6456</v>
      </c>
      <c r="D991" s="1312"/>
      <c r="E991" s="1291"/>
      <c r="F991" s="1291"/>
      <c r="G991"/>
    </row>
    <row r="992" spans="1:7" ht="14.4" customHeight="1">
      <c r="A992" s="692"/>
      <c r="B992" s="1193"/>
      <c r="C992" s="1202" t="s">
        <v>729</v>
      </c>
      <c r="D992" s="1220"/>
      <c r="E992" s="722"/>
      <c r="F992" s="722"/>
      <c r="G992"/>
    </row>
    <row r="993" spans="1:7" ht="14.4" customHeight="1">
      <c r="A993" s="693"/>
      <c r="B993" s="1196">
        <v>1</v>
      </c>
      <c r="C993" s="1201" t="s">
        <v>12423</v>
      </c>
      <c r="D993" s="1220"/>
      <c r="E993" s="1171"/>
      <c r="F993" s="1171"/>
      <c r="G993"/>
    </row>
    <row r="994" spans="1:7" ht="14.4" customHeight="1">
      <c r="A994" s="691"/>
      <c r="B994" s="1193">
        <v>1</v>
      </c>
      <c r="C994" s="1202" t="s">
        <v>1157</v>
      </c>
      <c r="D994" s="1312"/>
      <c r="E994" s="1291"/>
      <c r="F994" s="1291"/>
      <c r="G994"/>
    </row>
    <row r="995" spans="1:7" ht="14.4" customHeight="1">
      <c r="A995" s="691"/>
      <c r="B995" s="1193">
        <v>1</v>
      </c>
      <c r="C995" s="1202" t="s">
        <v>2426</v>
      </c>
      <c r="D995" s="1312"/>
      <c r="E995" s="1291"/>
      <c r="F995" s="1291"/>
      <c r="G995"/>
    </row>
    <row r="996" spans="1:7" ht="14.4" customHeight="1">
      <c r="A996" s="691"/>
      <c r="B996" s="1193">
        <v>1</v>
      </c>
      <c r="C996" s="1202" t="s">
        <v>4660</v>
      </c>
      <c r="D996" s="1312"/>
      <c r="E996" s="1291"/>
      <c r="F996" s="1291"/>
      <c r="G996"/>
    </row>
    <row r="997" spans="1:7" ht="14.4" customHeight="1">
      <c r="A997" s="1638"/>
      <c r="B997" s="1193"/>
      <c r="C997" s="1420"/>
      <c r="D997" s="1220"/>
      <c r="E997" s="1171"/>
      <c r="F997" s="1171"/>
      <c r="G997"/>
    </row>
    <row r="998" spans="1:7" ht="14.4" customHeight="1">
      <c r="A998" s="692"/>
      <c r="B998" s="1193"/>
      <c r="C998" s="1202" t="s">
        <v>729</v>
      </c>
      <c r="D998" s="1220"/>
      <c r="E998" s="722"/>
      <c r="F998" s="722"/>
      <c r="G998"/>
    </row>
    <row r="999" spans="1:7" ht="14.4" customHeight="1">
      <c r="A999" s="1767"/>
      <c r="B999" s="1193">
        <v>1</v>
      </c>
      <c r="C999" s="1304" t="s">
        <v>12444</v>
      </c>
      <c r="D999" s="1312"/>
      <c r="E999" s="1292"/>
      <c r="F999" s="1292"/>
      <c r="G999"/>
    </row>
    <row r="1000" spans="1:7" ht="14.4" customHeight="1">
      <c r="A1000" s="693"/>
      <c r="B1000" s="1193"/>
      <c r="C1000" s="1202" t="s">
        <v>729</v>
      </c>
      <c r="D1000" s="1220"/>
      <c r="E1000" s="722"/>
      <c r="F1000" s="722"/>
      <c r="G1000"/>
    </row>
    <row r="1001" spans="1:7" ht="14.4" customHeight="1">
      <c r="A1001" s="1767"/>
      <c r="B1001" s="1193">
        <v>1</v>
      </c>
      <c r="C1001" s="1304" t="s">
        <v>12364</v>
      </c>
      <c r="D1001" s="1312"/>
      <c r="E1001" s="1292"/>
      <c r="F1001" s="1292"/>
      <c r="G1001"/>
    </row>
    <row r="1002" spans="1:7" ht="14.4" customHeight="1">
      <c r="A1002" s="1767"/>
      <c r="B1002" s="1193">
        <v>1</v>
      </c>
      <c r="C1002" s="1304" t="s">
        <v>12474</v>
      </c>
      <c r="D1002" s="1312"/>
      <c r="E1002" s="1292"/>
      <c r="F1002" s="1292"/>
      <c r="G1002"/>
    </row>
    <row r="1003" spans="1:7" ht="14.4" customHeight="1">
      <c r="A1003" s="693"/>
      <c r="B1003" s="1193"/>
      <c r="C1003" s="1202" t="s">
        <v>729</v>
      </c>
      <c r="D1003" s="1220"/>
      <c r="E1003" s="722"/>
      <c r="F1003" s="722"/>
      <c r="G1003"/>
    </row>
    <row r="1004" spans="1:7" ht="14.4" customHeight="1">
      <c r="A1004" s="693"/>
      <c r="B1004" s="1193">
        <v>1</v>
      </c>
      <c r="C1004" s="1202" t="s">
        <v>316</v>
      </c>
      <c r="D1004" s="1122"/>
      <c r="E1004" s="1295"/>
      <c r="F1004" s="1295"/>
      <c r="G1004"/>
    </row>
    <row r="1005" spans="1:7" ht="14.4" customHeight="1">
      <c r="A1005" s="693"/>
      <c r="B1005" s="1193"/>
      <c r="C1005" s="1202" t="s">
        <v>729</v>
      </c>
      <c r="D1005" s="1220"/>
      <c r="E1005" s="722"/>
      <c r="F1005" s="722"/>
      <c r="G1005"/>
    </row>
    <row r="1006" spans="1:7" ht="14.4" customHeight="1" thickBot="1">
      <c r="A1006" s="699"/>
      <c r="B1006" s="1200"/>
      <c r="C1006" s="1305"/>
      <c r="D1006" s="1313"/>
      <c r="E1006" s="1297"/>
      <c r="F1006" s="1297"/>
      <c r="G1006"/>
    </row>
    <row r="1007" spans="1:7" ht="14.4" customHeight="1" thickBot="1">
      <c r="A1007" s="1989">
        <v>26</v>
      </c>
      <c r="B1007" s="1630">
        <v>1</v>
      </c>
      <c r="C1007" s="1329" t="s">
        <v>12588</v>
      </c>
      <c r="D1007" s="1219">
        <v>4056</v>
      </c>
      <c r="E1007" s="1289"/>
      <c r="F1007" s="1289">
        <v>4056</v>
      </c>
      <c r="G1007"/>
    </row>
    <row r="1008" spans="1:7" ht="14.4" customHeight="1">
      <c r="A1008" s="685" t="s">
        <v>3064</v>
      </c>
      <c r="B1008" s="2178"/>
      <c r="C1008" s="2179"/>
      <c r="D1008" s="1312"/>
      <c r="E1008" s="1291"/>
      <c r="F1008" s="1291"/>
      <c r="G1008"/>
    </row>
    <row r="1009" spans="1:7" ht="14.4" customHeight="1">
      <c r="A1009" s="687" t="s">
        <v>12553</v>
      </c>
      <c r="B1009" s="1194">
        <v>1</v>
      </c>
      <c r="C1009" s="1201" t="s">
        <v>5103</v>
      </c>
      <c r="D1009" s="1220"/>
      <c r="E1009" s="1171"/>
      <c r="F1009" s="1171"/>
      <c r="G1009"/>
    </row>
    <row r="1010" spans="1:7" ht="14.4" customHeight="1">
      <c r="A1010" s="687" t="s">
        <v>4136</v>
      </c>
      <c r="B1010" s="1195">
        <v>3</v>
      </c>
      <c r="C1010" s="1191" t="s">
        <v>7374</v>
      </c>
      <c r="D1010" s="1220"/>
      <c r="E1010" s="722"/>
      <c r="F1010" s="722"/>
      <c r="G1010"/>
    </row>
    <row r="1011" spans="1:7" ht="14.4" customHeight="1">
      <c r="A1011" s="687"/>
      <c r="B1011" s="1195">
        <v>3</v>
      </c>
      <c r="C1011" s="1191" t="s">
        <v>7375</v>
      </c>
      <c r="D1011" s="1220"/>
      <c r="E1011" s="722"/>
      <c r="F1011" s="722"/>
      <c r="G1011"/>
    </row>
    <row r="1012" spans="1:7" ht="14.4" customHeight="1">
      <c r="A1012" s="687" t="s">
        <v>12356</v>
      </c>
      <c r="B1012" s="1199">
        <v>1</v>
      </c>
      <c r="C1012" s="1205" t="s">
        <v>3366</v>
      </c>
      <c r="D1012" s="1221"/>
      <c r="E1012" s="1172"/>
      <c r="F1012" s="1172"/>
      <c r="G1012"/>
    </row>
    <row r="1013" spans="1:7" ht="14.4" customHeight="1">
      <c r="A1013" s="687" t="s">
        <v>3542</v>
      </c>
      <c r="B1013" s="1194"/>
      <c r="C1013" s="1218"/>
      <c r="D1013" s="1220"/>
      <c r="E1013" s="1171"/>
      <c r="F1013" s="1171"/>
      <c r="G1013"/>
    </row>
    <row r="1014" spans="1:7" ht="14.4" customHeight="1">
      <c r="A1014" s="687"/>
      <c r="B1014" s="1195"/>
      <c r="C1014" s="1629" t="s">
        <v>12368</v>
      </c>
      <c r="D1014" s="1220"/>
      <c r="E1014" s="722"/>
      <c r="F1014" s="722"/>
      <c r="G1014"/>
    </row>
    <row r="1015" spans="1:7" ht="14.4" customHeight="1">
      <c r="A1015" s="693"/>
      <c r="B1015" s="1193"/>
      <c r="C1015" s="1201" t="s">
        <v>3158</v>
      </c>
      <c r="D1015" s="1312"/>
      <c r="E1015" s="1292"/>
      <c r="F1015" s="1292"/>
      <c r="G1015"/>
    </row>
    <row r="1016" spans="1:7" ht="14.4" customHeight="1">
      <c r="A1016" s="691"/>
      <c r="B1016" s="1193">
        <v>1</v>
      </c>
      <c r="C1016" s="1202" t="s">
        <v>6597</v>
      </c>
      <c r="D1016" s="1312"/>
      <c r="E1016" s="1292"/>
      <c r="F1016" s="1292"/>
      <c r="G1016"/>
    </row>
    <row r="1017" spans="1:7" ht="14.4" customHeight="1">
      <c r="A1017" s="691"/>
      <c r="B1017" s="1193"/>
      <c r="C1017" s="1202" t="s">
        <v>729</v>
      </c>
      <c r="D1017" s="1220"/>
      <c r="E1017" s="722"/>
      <c r="F1017" s="722"/>
      <c r="G1017"/>
    </row>
    <row r="1018" spans="1:7" ht="14.4" customHeight="1">
      <c r="A1018" s="692"/>
      <c r="B1018" s="1196"/>
      <c r="C1018" s="1303" t="s">
        <v>3377</v>
      </c>
      <c r="D1018" s="1312"/>
      <c r="E1018" s="1292"/>
      <c r="F1018" s="1292"/>
      <c r="G1018"/>
    </row>
    <row r="1019" spans="1:7" ht="14.4" customHeight="1">
      <c r="A1019" s="693"/>
      <c r="B1019" s="1193"/>
      <c r="C1019" s="1633"/>
      <c r="D1019" s="1220"/>
      <c r="E1019" s="722"/>
      <c r="F1019" s="722"/>
      <c r="G1019"/>
    </row>
    <row r="1020" spans="1:7" ht="14.4" customHeight="1">
      <c r="A1020" s="691"/>
      <c r="B1020" s="1193">
        <v>7</v>
      </c>
      <c r="C1020" s="1202" t="s">
        <v>4183</v>
      </c>
      <c r="D1020" s="1312"/>
      <c r="E1020" s="1291"/>
      <c r="F1020" s="1291"/>
      <c r="G1020"/>
    </row>
    <row r="1021" spans="1:7" ht="14.4" customHeight="1">
      <c r="A1021" s="691"/>
      <c r="B1021" s="1193">
        <v>7</v>
      </c>
      <c r="C1021" s="1202" t="s">
        <v>5319</v>
      </c>
      <c r="D1021" s="1312"/>
      <c r="E1021" s="1291"/>
      <c r="F1021" s="1291"/>
      <c r="G1021"/>
    </row>
    <row r="1022" spans="1:7" ht="14.4" customHeight="1">
      <c r="A1022" s="693"/>
      <c r="B1022" s="1193">
        <v>1</v>
      </c>
      <c r="C1022" s="1202" t="s">
        <v>2927</v>
      </c>
      <c r="D1022" s="1312"/>
      <c r="E1022" s="1291"/>
      <c r="F1022" s="1291"/>
      <c r="G1022"/>
    </row>
    <row r="1023" spans="1:7" ht="14.4" customHeight="1">
      <c r="A1023" s="693"/>
      <c r="B1023" s="1193"/>
      <c r="C1023" s="1202" t="s">
        <v>729</v>
      </c>
      <c r="D1023" s="1220"/>
      <c r="E1023" s="722"/>
      <c r="F1023" s="722"/>
      <c r="G1023"/>
    </row>
    <row r="1024" spans="1:7" ht="14.4" customHeight="1">
      <c r="A1024" s="691"/>
      <c r="B1024" s="1196"/>
      <c r="C1024" s="1201" t="s">
        <v>3063</v>
      </c>
      <c r="D1024" s="1220"/>
      <c r="E1024" s="1171"/>
      <c r="F1024" s="1171"/>
      <c r="G1024"/>
    </row>
    <row r="1025" spans="1:7" ht="14.4" customHeight="1">
      <c r="A1025" s="1638"/>
      <c r="B1025" s="1193">
        <v>1</v>
      </c>
      <c r="C1025" s="1202" t="s">
        <v>4206</v>
      </c>
      <c r="D1025" s="1312"/>
      <c r="E1025" s="1291"/>
      <c r="F1025" s="1291"/>
      <c r="G1025"/>
    </row>
    <row r="1026" spans="1:7" ht="14.4" customHeight="1">
      <c r="A1026" s="692"/>
      <c r="B1026" s="1193">
        <v>1</v>
      </c>
      <c r="C1026" s="1202" t="s">
        <v>6456</v>
      </c>
      <c r="D1026" s="1312"/>
      <c r="E1026" s="1291"/>
      <c r="F1026" s="1291"/>
      <c r="G1026"/>
    </row>
    <row r="1027" spans="1:7" ht="14.4" customHeight="1">
      <c r="A1027" s="1767"/>
      <c r="B1027" s="1193"/>
      <c r="C1027" s="1202" t="s">
        <v>729</v>
      </c>
      <c r="D1027" s="1220"/>
      <c r="E1027" s="722"/>
      <c r="F1027" s="722"/>
      <c r="G1027"/>
    </row>
    <row r="1028" spans="1:7" ht="14.4" customHeight="1">
      <c r="A1028" s="693"/>
      <c r="B1028" s="1196">
        <v>1</v>
      </c>
      <c r="C1028" s="1201" t="s">
        <v>12423</v>
      </c>
      <c r="D1028" s="1220"/>
      <c r="E1028" s="1171"/>
      <c r="F1028" s="1171"/>
      <c r="G1028"/>
    </row>
    <row r="1029" spans="1:7" ht="14.4" customHeight="1">
      <c r="A1029" s="693"/>
      <c r="B1029" s="1193">
        <v>1</v>
      </c>
      <c r="C1029" s="1202" t="s">
        <v>1157</v>
      </c>
      <c r="D1029" s="1312"/>
      <c r="E1029" s="1291"/>
      <c r="F1029" s="1291"/>
      <c r="G1029"/>
    </row>
    <row r="1030" spans="1:7" ht="14.4" customHeight="1">
      <c r="A1030" s="692"/>
      <c r="B1030" s="1193">
        <v>1</v>
      </c>
      <c r="C1030" s="1202" t="s">
        <v>2426</v>
      </c>
      <c r="D1030" s="1312"/>
      <c r="E1030" s="1291"/>
      <c r="F1030" s="1291"/>
      <c r="G1030"/>
    </row>
    <row r="1031" spans="1:7" ht="14.4" customHeight="1">
      <c r="A1031" s="1767"/>
      <c r="B1031" s="1193">
        <v>1</v>
      </c>
      <c r="C1031" s="1202" t="s">
        <v>4660</v>
      </c>
      <c r="D1031" s="1312"/>
      <c r="E1031" s="1291"/>
      <c r="F1031" s="1291"/>
      <c r="G1031"/>
    </row>
    <row r="1032" spans="1:7" ht="14.4" customHeight="1">
      <c r="A1032" s="1638"/>
      <c r="B1032" s="1193"/>
      <c r="C1032" s="1420"/>
      <c r="D1032" s="1220"/>
      <c r="E1032" s="1171"/>
      <c r="F1032" s="1171"/>
      <c r="G1032"/>
    </row>
    <row r="1033" spans="1:7" ht="14.4" customHeight="1">
      <c r="A1033" s="692"/>
      <c r="B1033" s="1193"/>
      <c r="C1033" s="1202" t="s">
        <v>729</v>
      </c>
      <c r="D1033" s="1220"/>
      <c r="E1033" s="722"/>
      <c r="F1033" s="722"/>
      <c r="G1033"/>
    </row>
    <row r="1034" spans="1:7" ht="14.4" customHeight="1">
      <c r="A1034" s="1767"/>
      <c r="B1034" s="1193">
        <v>1</v>
      </c>
      <c r="C1034" s="1304" t="s">
        <v>12444</v>
      </c>
      <c r="D1034" s="1312"/>
      <c r="E1034" s="1292"/>
      <c r="F1034" s="1292"/>
      <c r="G1034"/>
    </row>
    <row r="1035" spans="1:7" ht="14.4" customHeight="1">
      <c r="A1035" s="693"/>
      <c r="B1035" s="1193"/>
      <c r="C1035" s="1202" t="s">
        <v>729</v>
      </c>
      <c r="D1035" s="1220"/>
      <c r="E1035" s="722"/>
      <c r="F1035" s="722"/>
      <c r="G1035"/>
    </row>
    <row r="1036" spans="1:7" ht="14.4" customHeight="1">
      <c r="A1036" s="692"/>
      <c r="B1036" s="1193"/>
      <c r="C1036" s="1633"/>
      <c r="D1036" s="1220"/>
      <c r="E1036" s="722"/>
      <c r="F1036" s="722"/>
      <c r="G1036"/>
    </row>
    <row r="1037" spans="1:7" ht="14.4" customHeight="1">
      <c r="A1037" s="1767"/>
      <c r="B1037" s="1193">
        <v>1</v>
      </c>
      <c r="C1037" s="1304" t="s">
        <v>12364</v>
      </c>
      <c r="D1037" s="1312"/>
      <c r="E1037" s="1292"/>
      <c r="F1037" s="1292"/>
      <c r="G1037"/>
    </row>
    <row r="1038" spans="1:7" ht="14.4" customHeight="1">
      <c r="A1038" s="1767"/>
      <c r="B1038" s="1193">
        <v>1</v>
      </c>
      <c r="C1038" s="1304" t="s">
        <v>12474</v>
      </c>
      <c r="D1038" s="1312"/>
      <c r="E1038" s="1292"/>
      <c r="F1038" s="1292"/>
      <c r="G1038"/>
    </row>
    <row r="1039" spans="1:7" ht="14.4" customHeight="1">
      <c r="A1039" s="693"/>
      <c r="B1039" s="1193"/>
      <c r="C1039" s="1202" t="s">
        <v>729</v>
      </c>
      <c r="D1039" s="1220"/>
      <c r="E1039" s="722"/>
      <c r="F1039" s="722"/>
      <c r="G1039"/>
    </row>
    <row r="1040" spans="1:7" ht="14.4" customHeight="1">
      <c r="A1040" s="693"/>
      <c r="B1040" s="1193">
        <v>1</v>
      </c>
      <c r="C1040" s="1202" t="s">
        <v>316</v>
      </c>
      <c r="D1040" s="1122"/>
      <c r="E1040" s="1295"/>
      <c r="F1040" s="1295"/>
      <c r="G1040"/>
    </row>
    <row r="1041" spans="1:7" ht="14.4" customHeight="1">
      <c r="A1041" s="693"/>
      <c r="B1041" s="1193"/>
      <c r="C1041" s="1202" t="s">
        <v>729</v>
      </c>
      <c r="D1041" s="1220"/>
      <c r="E1041" s="722"/>
      <c r="F1041" s="722"/>
      <c r="G1041"/>
    </row>
    <row r="1042" spans="1:7" ht="14.4" customHeight="1" thickBot="1">
      <c r="A1042" s="699"/>
      <c r="B1042" s="1200"/>
      <c r="C1042" s="1305"/>
      <c r="D1042" s="1313"/>
      <c r="E1042" s="1297"/>
      <c r="F1042" s="1297"/>
      <c r="G1042"/>
    </row>
    <row r="1043" spans="1:7" ht="14.4" customHeight="1" thickBot="1">
      <c r="A1043" s="1989">
        <v>27</v>
      </c>
      <c r="B1043" s="2178">
        <v>1</v>
      </c>
      <c r="C1043" s="1627" t="s">
        <v>12589</v>
      </c>
      <c r="D1043" s="1312">
        <v>5864</v>
      </c>
      <c r="E1043" s="1291"/>
      <c r="F1043" s="1291">
        <v>5864</v>
      </c>
      <c r="G1043"/>
    </row>
    <row r="1044" spans="1:7" ht="14.4" customHeight="1">
      <c r="A1044" s="687" t="s">
        <v>3064</v>
      </c>
      <c r="B1044" s="1192"/>
      <c r="C1044" s="1302"/>
      <c r="D1044" s="1312"/>
      <c r="E1044" s="1291"/>
      <c r="F1044" s="1291"/>
      <c r="G1044"/>
    </row>
    <row r="1045" spans="1:7" ht="14.4" customHeight="1">
      <c r="A1045" s="687" t="s">
        <v>12553</v>
      </c>
      <c r="B1045" s="1194">
        <v>1</v>
      </c>
      <c r="C1045" s="1201" t="s">
        <v>5103</v>
      </c>
      <c r="D1045" s="1220"/>
      <c r="E1045" s="1171"/>
      <c r="F1045" s="1171"/>
      <c r="G1045"/>
    </row>
    <row r="1046" spans="1:7" ht="14.4" customHeight="1">
      <c r="A1046" s="687" t="s">
        <v>4136</v>
      </c>
      <c r="B1046" s="1195">
        <v>3</v>
      </c>
      <c r="C1046" s="1191" t="s">
        <v>7374</v>
      </c>
      <c r="D1046" s="1220"/>
      <c r="E1046" s="722"/>
      <c r="F1046" s="722"/>
      <c r="G1046"/>
    </row>
    <row r="1047" spans="1:7" ht="14.4" customHeight="1">
      <c r="A1047" s="687"/>
      <c r="B1047" s="1195">
        <v>3</v>
      </c>
      <c r="C1047" s="1191" t="s">
        <v>7375</v>
      </c>
      <c r="D1047" s="1220"/>
      <c r="E1047" s="722"/>
      <c r="F1047" s="722"/>
      <c r="G1047"/>
    </row>
    <row r="1048" spans="1:7" ht="14.4" customHeight="1">
      <c r="A1048" s="687" t="s">
        <v>12489</v>
      </c>
      <c r="B1048" s="1199">
        <v>1</v>
      </c>
      <c r="C1048" s="1205" t="s">
        <v>3366</v>
      </c>
      <c r="D1048" s="1221"/>
      <c r="E1048" s="1172"/>
      <c r="F1048" s="1172"/>
      <c r="G1048"/>
    </row>
    <row r="1049" spans="1:7" ht="14.4" customHeight="1">
      <c r="A1049" s="687" t="s">
        <v>3542</v>
      </c>
      <c r="B1049" s="1194"/>
      <c r="C1049" s="1218"/>
      <c r="D1049" s="1220"/>
      <c r="E1049" s="1171"/>
      <c r="F1049" s="1171"/>
      <c r="G1049"/>
    </row>
    <row r="1050" spans="1:7" ht="14.4" customHeight="1">
      <c r="A1050" s="687"/>
      <c r="B1050" s="1195"/>
      <c r="C1050" s="1629" t="s">
        <v>12368</v>
      </c>
      <c r="D1050" s="1220"/>
      <c r="E1050" s="722"/>
      <c r="F1050" s="722"/>
      <c r="G1050"/>
    </row>
    <row r="1051" spans="1:7" ht="14.4" customHeight="1">
      <c r="A1051" s="687"/>
      <c r="B1051" s="1192">
        <v>6</v>
      </c>
      <c r="C1051" s="1202" t="s">
        <v>8588</v>
      </c>
      <c r="D1051" s="1312"/>
      <c r="E1051" s="1291"/>
      <c r="F1051" s="1291"/>
      <c r="G1051"/>
    </row>
    <row r="1052" spans="1:7" ht="14.4" customHeight="1">
      <c r="A1052" s="1767"/>
      <c r="B1052" s="1192"/>
      <c r="C1052" s="1304" t="s">
        <v>729</v>
      </c>
      <c r="D1052" s="1312"/>
      <c r="E1052" s="1291"/>
      <c r="F1052" s="1291"/>
      <c r="G1052"/>
    </row>
    <row r="1053" spans="1:7" ht="14.4" customHeight="1">
      <c r="A1053" s="1767"/>
      <c r="B1053" s="1193"/>
      <c r="C1053" s="1201" t="s">
        <v>3158</v>
      </c>
      <c r="D1053" s="1312"/>
      <c r="E1053" s="1292"/>
      <c r="F1053" s="1292"/>
      <c r="G1053"/>
    </row>
    <row r="1054" spans="1:7" ht="14.4" customHeight="1">
      <c r="A1054" s="691"/>
      <c r="B1054" s="1193">
        <v>1</v>
      </c>
      <c r="C1054" s="1202" t="s">
        <v>4314</v>
      </c>
      <c r="D1054" s="1312"/>
      <c r="E1054" s="1292"/>
      <c r="F1054" s="1292"/>
      <c r="G1054"/>
    </row>
    <row r="1055" spans="1:7" ht="14.4" customHeight="1">
      <c r="A1055" s="1767"/>
      <c r="B1055" s="1193"/>
      <c r="C1055" s="1202" t="s">
        <v>729</v>
      </c>
      <c r="D1055" s="1220"/>
      <c r="E1055" s="722"/>
      <c r="F1055" s="722"/>
      <c r="G1055"/>
    </row>
    <row r="1056" spans="1:7" ht="14.4" customHeight="1">
      <c r="A1056" s="693"/>
      <c r="B1056" s="1196"/>
      <c r="C1056" s="1303" t="s">
        <v>3377</v>
      </c>
      <c r="D1056" s="1312"/>
      <c r="E1056" s="1292"/>
      <c r="F1056" s="1292"/>
      <c r="G1056"/>
    </row>
    <row r="1057" spans="1:7" ht="14.4" customHeight="1">
      <c r="A1057" s="698"/>
      <c r="B1057" s="1193">
        <v>2</v>
      </c>
      <c r="C1057" s="1202" t="s">
        <v>4187</v>
      </c>
      <c r="D1057" s="1312"/>
      <c r="E1057" s="1291"/>
      <c r="F1057" s="1291"/>
      <c r="G1057"/>
    </row>
    <row r="1058" spans="1:7" ht="14.4" customHeight="1">
      <c r="A1058" s="693"/>
      <c r="B1058" s="1196"/>
      <c r="C1058" s="1201" t="s">
        <v>3063</v>
      </c>
      <c r="D1058" s="1220"/>
      <c r="E1058" s="1171"/>
      <c r="F1058" s="1171"/>
      <c r="G1058"/>
    </row>
    <row r="1059" spans="1:7" ht="14.4" customHeight="1">
      <c r="A1059" s="698"/>
      <c r="B1059" s="1197">
        <v>1</v>
      </c>
      <c r="C1059" s="1203" t="s">
        <v>12370</v>
      </c>
      <c r="D1059" s="1221"/>
      <c r="E1059" s="1172"/>
      <c r="F1059" s="1172"/>
      <c r="G1059"/>
    </row>
    <row r="1060" spans="1:7" ht="14.4" customHeight="1">
      <c r="A1060" s="1767"/>
      <c r="B1060" s="1193"/>
      <c r="C1060" s="1202" t="s">
        <v>729</v>
      </c>
      <c r="D1060" s="1312"/>
      <c r="E1060" s="1291"/>
      <c r="F1060" s="1291"/>
      <c r="G1060"/>
    </row>
    <row r="1061" spans="1:7" ht="14.4" customHeight="1">
      <c r="A1061" s="1767"/>
      <c r="B1061" s="1193">
        <v>1</v>
      </c>
      <c r="C1061" s="1202" t="s">
        <v>4187</v>
      </c>
      <c r="D1061" s="1312"/>
      <c r="E1061" s="1291"/>
      <c r="F1061" s="1291"/>
      <c r="G1061"/>
    </row>
    <row r="1062" spans="1:7" ht="14.4" customHeight="1">
      <c r="A1062" s="691"/>
      <c r="B1062" s="1193">
        <v>2</v>
      </c>
      <c r="C1062" s="1202" t="s">
        <v>6449</v>
      </c>
      <c r="D1062" s="1312"/>
      <c r="E1062" s="1291"/>
      <c r="F1062" s="1291"/>
      <c r="G1062"/>
    </row>
    <row r="1063" spans="1:7" ht="14.4" customHeight="1">
      <c r="A1063" s="1767"/>
      <c r="B1063" s="1193"/>
      <c r="C1063" s="1202" t="s">
        <v>729</v>
      </c>
      <c r="D1063" s="1312"/>
      <c r="E1063" s="1291"/>
      <c r="F1063" s="1291"/>
      <c r="G1063"/>
    </row>
    <row r="1064" spans="1:7" ht="14.4" customHeight="1">
      <c r="A1064" s="693"/>
      <c r="B1064" s="1194">
        <v>1</v>
      </c>
      <c r="C1064" s="1201" t="s">
        <v>12491</v>
      </c>
      <c r="D1064" s="1220"/>
      <c r="E1064" s="1171"/>
      <c r="F1064" s="1171"/>
      <c r="G1064"/>
    </row>
    <row r="1065" spans="1:7" ht="14.4" customHeight="1">
      <c r="A1065" s="698"/>
      <c r="B1065" s="1195">
        <v>2</v>
      </c>
      <c r="C1065" s="1191" t="s">
        <v>4187</v>
      </c>
      <c r="D1065" s="1220"/>
      <c r="E1065" s="722"/>
      <c r="F1065" s="722"/>
      <c r="G1065"/>
    </row>
    <row r="1066" spans="1:7" ht="14.4" customHeight="1">
      <c r="A1066" s="687"/>
      <c r="B1066" s="1199">
        <v>1</v>
      </c>
      <c r="C1066" s="1191" t="s">
        <v>12492</v>
      </c>
      <c r="D1066" s="1221"/>
      <c r="E1066" s="1172"/>
      <c r="F1066" s="1172"/>
      <c r="G1066"/>
    </row>
    <row r="1067" spans="1:7" ht="14.4" customHeight="1">
      <c r="A1067" s="1767"/>
      <c r="B1067" s="1193"/>
      <c r="C1067" s="1202" t="s">
        <v>729</v>
      </c>
      <c r="D1067" s="1220"/>
      <c r="E1067" s="722"/>
      <c r="F1067" s="722"/>
      <c r="G1067"/>
    </row>
    <row r="1068" spans="1:7" ht="14.4" customHeight="1">
      <c r="A1068" s="687"/>
      <c r="B1068" s="1196"/>
      <c r="C1068" s="1303" t="s">
        <v>2654</v>
      </c>
      <c r="D1068" s="1312"/>
      <c r="E1068" s="1292"/>
      <c r="F1068" s="1292"/>
      <c r="G1068"/>
    </row>
    <row r="1069" spans="1:7" ht="14.4" customHeight="1">
      <c r="A1069" s="1767"/>
      <c r="B1069" s="1193">
        <v>1</v>
      </c>
      <c r="C1069" s="1202" t="s">
        <v>4185</v>
      </c>
      <c r="D1069" s="1312"/>
      <c r="E1069" s="1291"/>
      <c r="F1069" s="1291"/>
      <c r="G1069"/>
    </row>
    <row r="1070" spans="1:7" ht="14.4" customHeight="1">
      <c r="A1070" s="1767"/>
      <c r="B1070" s="1193">
        <v>5</v>
      </c>
      <c r="C1070" s="1202" t="s">
        <v>4183</v>
      </c>
      <c r="D1070" s="1312"/>
      <c r="E1070" s="1291"/>
      <c r="F1070" s="1291"/>
      <c r="G1070"/>
    </row>
    <row r="1071" spans="1:7" ht="14.4" customHeight="1">
      <c r="A1071" s="1767"/>
      <c r="B1071" s="1193">
        <v>6</v>
      </c>
      <c r="C1071" s="1202" t="s">
        <v>2043</v>
      </c>
      <c r="D1071" s="1312"/>
      <c r="E1071" s="1291"/>
      <c r="F1071" s="1291"/>
      <c r="G1071"/>
    </row>
    <row r="1072" spans="1:7" ht="14.4" customHeight="1">
      <c r="A1072" s="1767"/>
      <c r="B1072" s="1193">
        <v>2</v>
      </c>
      <c r="C1072" s="1304" t="s">
        <v>2927</v>
      </c>
      <c r="D1072" s="1312"/>
      <c r="E1072" s="1292"/>
      <c r="F1072" s="1292"/>
      <c r="G1072"/>
    </row>
    <row r="1073" spans="1:7" ht="14.4" customHeight="1">
      <c r="A1073" s="693"/>
      <c r="B1073" s="1193"/>
      <c r="C1073" s="1202" t="s">
        <v>729</v>
      </c>
      <c r="D1073" s="1220"/>
      <c r="E1073" s="722"/>
      <c r="F1073" s="722"/>
      <c r="G1073"/>
    </row>
    <row r="1074" spans="1:7" ht="14.4" customHeight="1">
      <c r="A1074" s="1767"/>
      <c r="B1074" s="1193">
        <v>1</v>
      </c>
      <c r="C1074" s="1304" t="s">
        <v>12364</v>
      </c>
      <c r="D1074" s="1312"/>
      <c r="E1074" s="1292"/>
      <c r="F1074" s="1292"/>
      <c r="G1074"/>
    </row>
    <row r="1075" spans="1:7" ht="14.4" customHeight="1">
      <c r="A1075" s="2081"/>
      <c r="B1075" s="1283">
        <v>1</v>
      </c>
      <c r="C1075" s="2187" t="s">
        <v>12474</v>
      </c>
      <c r="D1075" s="1312"/>
      <c r="E1075" s="1292"/>
      <c r="F1075" s="1292"/>
      <c r="G1075"/>
    </row>
    <row r="1076" spans="1:7" ht="14.4" customHeight="1">
      <c r="A1076" s="1584"/>
      <c r="B1076" s="1283"/>
      <c r="C1076" s="1198" t="s">
        <v>729</v>
      </c>
      <c r="D1076" s="1220"/>
      <c r="E1076" s="722"/>
      <c r="F1076" s="722"/>
      <c r="G1076"/>
    </row>
    <row r="1077" spans="1:7" ht="14.4" customHeight="1">
      <c r="A1077" s="213"/>
      <c r="B1077" s="1293"/>
      <c r="C1077" s="1763"/>
      <c r="D1077" s="2196"/>
      <c r="E1077" s="1292"/>
      <c r="F1077" s="1292"/>
      <c r="G1077"/>
    </row>
    <row r="1078" spans="1:7" ht="14.4" customHeight="1">
      <c r="A1078" s="1584"/>
      <c r="B1078" s="1283">
        <v>1</v>
      </c>
      <c r="C1078" s="1198" t="s">
        <v>2910</v>
      </c>
      <c r="D1078" s="1122"/>
      <c r="E1078" s="1295"/>
      <c r="F1078" s="1295"/>
      <c r="G1078"/>
    </row>
    <row r="1079" spans="1:7" ht="14.4" customHeight="1">
      <c r="A1079" s="1584"/>
      <c r="B1079" s="1283">
        <v>1</v>
      </c>
      <c r="C1079" s="1198" t="s">
        <v>316</v>
      </c>
      <c r="D1079" s="1122"/>
      <c r="E1079" s="1295"/>
      <c r="F1079" s="1295"/>
      <c r="G1079"/>
    </row>
    <row r="1080" spans="1:7" ht="14.4" customHeight="1">
      <c r="A1080" s="693"/>
      <c r="B1080" s="1193"/>
      <c r="C1080" s="1202" t="s">
        <v>729</v>
      </c>
      <c r="D1080" s="1220"/>
      <c r="E1080" s="722"/>
      <c r="F1080" s="722"/>
      <c r="G1080"/>
    </row>
    <row r="1081" spans="1:7" ht="14.4" customHeight="1" thickBot="1">
      <c r="A1081" s="1855"/>
      <c r="B1081" s="2182"/>
      <c r="C1081" s="1631"/>
      <c r="D1081" s="1641"/>
      <c r="E1081" s="1632"/>
      <c r="F1081" s="1632"/>
      <c r="G1081"/>
    </row>
    <row r="1082" spans="1:7" ht="14.4" customHeight="1" thickBot="1">
      <c r="A1082" s="1989">
        <v>28</v>
      </c>
      <c r="B1082" s="2178">
        <v>1</v>
      </c>
      <c r="C1082" s="1627" t="s">
        <v>12590</v>
      </c>
      <c r="D1082" s="1312">
        <v>5225</v>
      </c>
      <c r="E1082" s="1291"/>
      <c r="F1082" s="1291">
        <v>5225</v>
      </c>
      <c r="G1082"/>
    </row>
    <row r="1083" spans="1:7" ht="14.4" customHeight="1">
      <c r="A1083" s="687" t="s">
        <v>3064</v>
      </c>
      <c r="B1083" s="1192"/>
      <c r="C1083" s="1302"/>
      <c r="D1083" s="1312"/>
      <c r="E1083" s="1291"/>
      <c r="F1083" s="1291"/>
      <c r="G1083"/>
    </row>
    <row r="1084" spans="1:7" ht="14.4" customHeight="1">
      <c r="A1084" s="687" t="s">
        <v>12553</v>
      </c>
      <c r="B1084" s="1194">
        <v>1</v>
      </c>
      <c r="C1084" s="1201" t="s">
        <v>5103</v>
      </c>
      <c r="D1084" s="1220"/>
      <c r="E1084" s="1171"/>
      <c r="F1084" s="1171"/>
      <c r="G1084"/>
    </row>
    <row r="1085" spans="1:7" ht="14.4" customHeight="1">
      <c r="A1085" s="687" t="s">
        <v>4136</v>
      </c>
      <c r="B1085" s="1195">
        <v>3</v>
      </c>
      <c r="C1085" s="1191" t="s">
        <v>7374</v>
      </c>
      <c r="D1085" s="1220"/>
      <c r="E1085" s="722"/>
      <c r="F1085" s="722"/>
      <c r="G1085"/>
    </row>
    <row r="1086" spans="1:7" ht="14.4" customHeight="1">
      <c r="A1086" s="687"/>
      <c r="B1086" s="1195">
        <v>3</v>
      </c>
      <c r="C1086" s="1191" t="s">
        <v>7375</v>
      </c>
      <c r="D1086" s="1220"/>
      <c r="E1086" s="722"/>
      <c r="F1086" s="722"/>
      <c r="G1086"/>
    </row>
    <row r="1087" spans="1:7" ht="14.4" customHeight="1">
      <c r="A1087" s="687" t="s">
        <v>12489</v>
      </c>
      <c r="B1087" s="1199">
        <v>1</v>
      </c>
      <c r="C1087" s="1205" t="s">
        <v>3366</v>
      </c>
      <c r="D1087" s="1221"/>
      <c r="E1087" s="1172"/>
      <c r="F1087" s="1172"/>
      <c r="G1087"/>
    </row>
    <row r="1088" spans="1:7" ht="14.4" customHeight="1">
      <c r="A1088" s="687" t="s">
        <v>3542</v>
      </c>
      <c r="B1088" s="1194"/>
      <c r="C1088" s="1218"/>
      <c r="D1088" s="1220"/>
      <c r="E1088" s="1171"/>
      <c r="F1088" s="1171"/>
      <c r="G1088"/>
    </row>
    <row r="1089" spans="1:7" ht="14.4" customHeight="1">
      <c r="A1089" s="687"/>
      <c r="B1089" s="1195"/>
      <c r="C1089" s="1629" t="s">
        <v>12368</v>
      </c>
      <c r="D1089" s="1220"/>
      <c r="E1089" s="722"/>
      <c r="F1089" s="722"/>
      <c r="G1089"/>
    </row>
    <row r="1090" spans="1:7" ht="14.4" customHeight="1">
      <c r="A1090" s="687"/>
      <c r="B1090" s="1192">
        <v>6</v>
      </c>
      <c r="C1090" s="1202" t="s">
        <v>8588</v>
      </c>
      <c r="D1090" s="1312"/>
      <c r="E1090" s="1291"/>
      <c r="F1090" s="1291"/>
      <c r="G1090"/>
    </row>
    <row r="1091" spans="1:7" ht="14.4" customHeight="1">
      <c r="A1091" s="1767"/>
      <c r="B1091" s="1192"/>
      <c r="C1091" s="1304" t="s">
        <v>729</v>
      </c>
      <c r="D1091" s="1312"/>
      <c r="E1091" s="1291"/>
      <c r="F1091" s="1291"/>
      <c r="G1091"/>
    </row>
    <row r="1092" spans="1:7" ht="14.4" customHeight="1">
      <c r="A1092" s="1767"/>
      <c r="B1092" s="1193"/>
      <c r="C1092" s="1201" t="s">
        <v>3158</v>
      </c>
      <c r="D1092" s="1312"/>
      <c r="E1092" s="1292"/>
      <c r="F1092" s="1292"/>
      <c r="G1092"/>
    </row>
    <row r="1093" spans="1:7" ht="14.4" customHeight="1">
      <c r="A1093" s="691"/>
      <c r="B1093" s="1193">
        <v>1</v>
      </c>
      <c r="C1093" s="1202" t="s">
        <v>4313</v>
      </c>
      <c r="D1093" s="1312"/>
      <c r="E1093" s="1292"/>
      <c r="F1093" s="1292"/>
      <c r="G1093"/>
    </row>
    <row r="1094" spans="1:7" ht="14.4" customHeight="1">
      <c r="A1094" s="1767"/>
      <c r="B1094" s="1193"/>
      <c r="C1094" s="1202" t="s">
        <v>729</v>
      </c>
      <c r="D1094" s="1220"/>
      <c r="E1094" s="722"/>
      <c r="F1094" s="722"/>
      <c r="G1094"/>
    </row>
    <row r="1095" spans="1:7" ht="14.4" customHeight="1">
      <c r="A1095" s="693"/>
      <c r="B1095" s="1196"/>
      <c r="C1095" s="1303" t="s">
        <v>3377</v>
      </c>
      <c r="D1095" s="1312"/>
      <c r="E1095" s="1292"/>
      <c r="F1095" s="1292"/>
      <c r="G1095"/>
    </row>
    <row r="1096" spans="1:7" ht="14.4" customHeight="1">
      <c r="A1096" s="698"/>
      <c r="B1096" s="1193">
        <v>2</v>
      </c>
      <c r="C1096" s="1202" t="s">
        <v>4186</v>
      </c>
      <c r="D1096" s="1312"/>
      <c r="E1096" s="1291"/>
      <c r="F1096" s="1291"/>
      <c r="G1096"/>
    </row>
    <row r="1097" spans="1:7" ht="14.4" customHeight="1">
      <c r="A1097" s="693"/>
      <c r="B1097" s="1196"/>
      <c r="C1097" s="1201" t="s">
        <v>3063</v>
      </c>
      <c r="D1097" s="1220"/>
      <c r="E1097" s="1171"/>
      <c r="F1097" s="1171"/>
      <c r="G1097"/>
    </row>
    <row r="1098" spans="1:7" ht="14.4" customHeight="1">
      <c r="A1098" s="698"/>
      <c r="B1098" s="1197">
        <v>1</v>
      </c>
      <c r="C1098" s="1203" t="s">
        <v>12370</v>
      </c>
      <c r="D1098" s="1221"/>
      <c r="E1098" s="1172"/>
      <c r="F1098" s="1172"/>
      <c r="G1098"/>
    </row>
    <row r="1099" spans="1:7" ht="14.4" customHeight="1">
      <c r="A1099" s="1767"/>
      <c r="B1099" s="1193"/>
      <c r="C1099" s="1202" t="s">
        <v>729</v>
      </c>
      <c r="D1099" s="1312"/>
      <c r="E1099" s="1291"/>
      <c r="F1099" s="1291"/>
      <c r="G1099"/>
    </row>
    <row r="1100" spans="1:7" ht="14.4" customHeight="1">
      <c r="A1100" s="1767"/>
      <c r="B1100" s="1193">
        <v>1</v>
      </c>
      <c r="C1100" s="1202" t="s">
        <v>4186</v>
      </c>
      <c r="D1100" s="1312"/>
      <c r="E1100" s="1291"/>
      <c r="F1100" s="1291"/>
      <c r="G1100"/>
    </row>
    <row r="1101" spans="1:7" ht="14.4" customHeight="1">
      <c r="A1101" s="691"/>
      <c r="B1101" s="1193">
        <v>2</v>
      </c>
      <c r="C1101" s="1202" t="s">
        <v>6449</v>
      </c>
      <c r="D1101" s="1312"/>
      <c r="E1101" s="1291"/>
      <c r="F1101" s="1291"/>
      <c r="G1101"/>
    </row>
    <row r="1102" spans="1:7" ht="14.4" customHeight="1">
      <c r="A1102" s="1767"/>
      <c r="B1102" s="1193"/>
      <c r="C1102" s="1202" t="s">
        <v>729</v>
      </c>
      <c r="D1102" s="1312"/>
      <c r="E1102" s="1291"/>
      <c r="F1102" s="1291"/>
      <c r="G1102"/>
    </row>
    <row r="1103" spans="1:7" ht="14.4" customHeight="1">
      <c r="A1103" s="693"/>
      <c r="B1103" s="1194">
        <v>1</v>
      </c>
      <c r="C1103" s="1201" t="s">
        <v>12491</v>
      </c>
      <c r="D1103" s="1220"/>
      <c r="E1103" s="1171"/>
      <c r="F1103" s="1171"/>
      <c r="G1103"/>
    </row>
    <row r="1104" spans="1:7" ht="14.4" customHeight="1">
      <c r="A1104" s="698"/>
      <c r="B1104" s="1195">
        <v>2</v>
      </c>
      <c r="C1104" s="1191" t="s">
        <v>4186</v>
      </c>
      <c r="D1104" s="1220"/>
      <c r="E1104" s="722"/>
      <c r="F1104" s="722"/>
      <c r="G1104"/>
    </row>
    <row r="1105" spans="1:7" ht="14.4" customHeight="1">
      <c r="A1105" s="687"/>
      <c r="B1105" s="1199">
        <v>1</v>
      </c>
      <c r="C1105" s="1191" t="s">
        <v>12492</v>
      </c>
      <c r="D1105" s="1221"/>
      <c r="E1105" s="1172"/>
      <c r="F1105" s="1172"/>
      <c r="G1105"/>
    </row>
    <row r="1106" spans="1:7" ht="14.4" customHeight="1">
      <c r="A1106" s="1767"/>
      <c r="B1106" s="1193"/>
      <c r="C1106" s="1202" t="s">
        <v>729</v>
      </c>
      <c r="D1106" s="1220"/>
      <c r="E1106" s="722"/>
      <c r="F1106" s="722"/>
      <c r="G1106"/>
    </row>
    <row r="1107" spans="1:7" ht="14.4" customHeight="1">
      <c r="A1107" s="1767"/>
      <c r="B1107" s="1193">
        <v>1</v>
      </c>
      <c r="C1107" s="1202" t="s">
        <v>4184</v>
      </c>
      <c r="D1107" s="1312"/>
      <c r="E1107" s="1291"/>
      <c r="F1107" s="1291"/>
      <c r="G1107"/>
    </row>
    <row r="1108" spans="1:7" ht="14.4" customHeight="1">
      <c r="A1108" s="1767"/>
      <c r="B1108" s="1193">
        <v>3</v>
      </c>
      <c r="C1108" s="1202" t="s">
        <v>4183</v>
      </c>
      <c r="D1108" s="1312"/>
      <c r="E1108" s="1291"/>
      <c r="F1108" s="1291"/>
      <c r="G1108"/>
    </row>
    <row r="1109" spans="1:7" ht="14.4" customHeight="1">
      <c r="A1109" s="1767"/>
      <c r="B1109" s="1193">
        <v>4</v>
      </c>
      <c r="C1109" s="1202" t="s">
        <v>2043</v>
      </c>
      <c r="D1109" s="1312"/>
      <c r="E1109" s="1291"/>
      <c r="F1109" s="1291"/>
      <c r="G1109"/>
    </row>
    <row r="1110" spans="1:7" ht="14.4" customHeight="1">
      <c r="A1110" s="1767"/>
      <c r="B1110" s="1193">
        <v>2</v>
      </c>
      <c r="C1110" s="1304" t="s">
        <v>2927</v>
      </c>
      <c r="D1110" s="1312"/>
      <c r="E1110" s="1292"/>
      <c r="F1110" s="1292"/>
      <c r="G1110"/>
    </row>
    <row r="1111" spans="1:7" ht="14.4" customHeight="1">
      <c r="A1111" s="693"/>
      <c r="B1111" s="1193"/>
      <c r="C1111" s="1202" t="s">
        <v>729</v>
      </c>
      <c r="D1111" s="1220"/>
      <c r="E1111" s="722"/>
      <c r="F1111" s="722"/>
      <c r="G1111"/>
    </row>
    <row r="1112" spans="1:7" ht="14.4" customHeight="1">
      <c r="A1112" s="1767"/>
      <c r="B1112" s="1193">
        <v>1</v>
      </c>
      <c r="C1112" s="1304" t="s">
        <v>12364</v>
      </c>
      <c r="D1112" s="1312"/>
      <c r="E1112" s="1292"/>
      <c r="F1112" s="1292"/>
      <c r="G1112"/>
    </row>
    <row r="1113" spans="1:7" ht="14.4" customHeight="1">
      <c r="A1113" s="1767"/>
      <c r="B1113" s="1193">
        <v>1</v>
      </c>
      <c r="C1113" s="1304" t="s">
        <v>12474</v>
      </c>
      <c r="D1113" s="1312"/>
      <c r="E1113" s="1292"/>
      <c r="F1113" s="1292"/>
      <c r="G1113"/>
    </row>
    <row r="1114" spans="1:7" ht="14.4" customHeight="1">
      <c r="A1114" s="693"/>
      <c r="B1114" s="1193"/>
      <c r="C1114" s="1202" t="s">
        <v>729</v>
      </c>
      <c r="D1114" s="1220"/>
      <c r="E1114" s="722"/>
      <c r="F1114" s="722"/>
      <c r="G1114"/>
    </row>
    <row r="1115" spans="1:7" ht="14.4" customHeight="1">
      <c r="A1115" s="693"/>
      <c r="B1115" s="1193">
        <v>1</v>
      </c>
      <c r="C1115" s="1202" t="s">
        <v>2910</v>
      </c>
      <c r="D1115" s="1122"/>
      <c r="E1115" s="1295"/>
      <c r="F1115" s="1295"/>
      <c r="G1115"/>
    </row>
    <row r="1116" spans="1:7" ht="14.4" customHeight="1">
      <c r="A1116" s="1584"/>
      <c r="B1116" s="1283">
        <v>1</v>
      </c>
      <c r="C1116" s="1198" t="s">
        <v>316</v>
      </c>
      <c r="D1116" s="1122"/>
      <c r="E1116" s="1295"/>
      <c r="F1116" s="1295"/>
      <c r="G1116"/>
    </row>
    <row r="1117" spans="1:7" ht="14.4" customHeight="1">
      <c r="A1117" s="693"/>
      <c r="B1117" s="1193"/>
      <c r="C1117" s="1202" t="s">
        <v>729</v>
      </c>
      <c r="D1117" s="1220"/>
      <c r="E1117" s="722"/>
      <c r="F1117" s="722"/>
      <c r="G1117"/>
    </row>
    <row r="1118" spans="1:7" ht="14.4" customHeight="1" thickBot="1">
      <c r="A1118" s="1855"/>
      <c r="B1118" s="2182"/>
      <c r="C1118" s="1631"/>
      <c r="D1118" s="1641"/>
      <c r="E1118" s="1632"/>
      <c r="F1118" s="1632"/>
      <c r="G1118"/>
    </row>
    <row r="1119" spans="1:7" ht="14.4" customHeight="1" thickBot="1">
      <c r="A1119" s="1989">
        <v>29</v>
      </c>
      <c r="B1119" s="1630">
        <v>1</v>
      </c>
      <c r="C1119" s="1329" t="s">
        <v>12591</v>
      </c>
      <c r="D1119" s="1219">
        <v>14898</v>
      </c>
      <c r="E1119" s="1289"/>
      <c r="F1119" s="1289">
        <v>14898</v>
      </c>
      <c r="G1119"/>
    </row>
    <row r="1120" spans="1:7" ht="14.4" customHeight="1">
      <c r="A1120" s="685" t="s">
        <v>3162</v>
      </c>
      <c r="B1120" s="2178"/>
      <c r="C1120" s="2179"/>
      <c r="D1120" s="1312"/>
      <c r="E1120" s="1291"/>
      <c r="F1120" s="1291"/>
      <c r="G1120"/>
    </row>
    <row r="1121" spans="1:7" ht="14.4" customHeight="1">
      <c r="A1121" s="687" t="s">
        <v>12553</v>
      </c>
      <c r="B1121" s="1194">
        <v>1</v>
      </c>
      <c r="C1121" s="1201" t="s">
        <v>5103</v>
      </c>
      <c r="D1121" s="1220"/>
      <c r="E1121" s="1171"/>
      <c r="F1121" s="1171"/>
      <c r="G1121"/>
    </row>
    <row r="1122" spans="1:7" ht="14.4" customHeight="1">
      <c r="A1122" s="687" t="s">
        <v>4136</v>
      </c>
      <c r="B1122" s="1195">
        <v>3</v>
      </c>
      <c r="C1122" s="1191" t="s">
        <v>7374</v>
      </c>
      <c r="D1122" s="1220"/>
      <c r="E1122" s="722"/>
      <c r="F1122" s="722"/>
      <c r="G1122"/>
    </row>
    <row r="1123" spans="1:7" ht="14.4" customHeight="1">
      <c r="A1123" s="687"/>
      <c r="B1123" s="1195">
        <v>3</v>
      </c>
      <c r="C1123" s="1191" t="s">
        <v>7375</v>
      </c>
      <c r="D1123" s="1220"/>
      <c r="E1123" s="722"/>
      <c r="F1123" s="722"/>
      <c r="G1123"/>
    </row>
    <row r="1124" spans="1:7" ht="14.4" customHeight="1">
      <c r="A1124" s="687" t="s">
        <v>12356</v>
      </c>
      <c r="B1124" s="1199">
        <v>1</v>
      </c>
      <c r="C1124" s="1205" t="s">
        <v>3366</v>
      </c>
      <c r="D1124" s="1221"/>
      <c r="E1124" s="1172"/>
      <c r="F1124" s="1172"/>
      <c r="G1124"/>
    </row>
    <row r="1125" spans="1:7" ht="14.4" customHeight="1">
      <c r="A1125" s="687" t="s">
        <v>3542</v>
      </c>
      <c r="B1125" s="1194"/>
      <c r="C1125" s="1218"/>
      <c r="D1125" s="1220"/>
      <c r="E1125" s="1171"/>
      <c r="F1125" s="1171"/>
      <c r="G1125"/>
    </row>
    <row r="1126" spans="1:7" ht="14.4" customHeight="1">
      <c r="A1126" s="687"/>
      <c r="B1126" s="1195"/>
      <c r="C1126" s="1629" t="s">
        <v>12368</v>
      </c>
      <c r="D1126" s="1220"/>
      <c r="E1126" s="722"/>
      <c r="F1126" s="722"/>
      <c r="G1126"/>
    </row>
    <row r="1127" spans="1:7" ht="14.4" customHeight="1">
      <c r="A1127" s="1638"/>
      <c r="B1127" s="1192">
        <v>6</v>
      </c>
      <c r="C1127" s="1202" t="s">
        <v>8588</v>
      </c>
      <c r="D1127" s="1312"/>
      <c r="E1127" s="1291"/>
      <c r="F1127" s="1291"/>
      <c r="G1127"/>
    </row>
    <row r="1128" spans="1:7" ht="14.4" customHeight="1">
      <c r="A1128" s="691"/>
      <c r="B1128" s="1192"/>
      <c r="C1128" s="1304" t="s">
        <v>729</v>
      </c>
      <c r="D1128" s="1312"/>
      <c r="E1128" s="1291"/>
      <c r="F1128" s="1291"/>
      <c r="G1128"/>
    </row>
    <row r="1129" spans="1:7" ht="14.4" customHeight="1">
      <c r="A1129" s="687"/>
      <c r="B1129" s="1193"/>
      <c r="C1129" s="1201" t="s">
        <v>3158</v>
      </c>
      <c r="D1129" s="1312"/>
      <c r="E1129" s="1292"/>
      <c r="F1129" s="1292"/>
      <c r="G1129"/>
    </row>
    <row r="1130" spans="1:7" ht="14.4" customHeight="1">
      <c r="A1130" s="687"/>
      <c r="B1130" s="1193">
        <v>1</v>
      </c>
      <c r="C1130" s="1202" t="s">
        <v>4428</v>
      </c>
      <c r="D1130" s="1312"/>
      <c r="E1130" s="1292"/>
      <c r="F1130" s="1292"/>
      <c r="G1130"/>
    </row>
    <row r="1131" spans="1:7" ht="14.4" customHeight="1">
      <c r="A1131" s="687"/>
      <c r="B1131" s="1193"/>
      <c r="C1131" s="1202" t="s">
        <v>729</v>
      </c>
      <c r="D1131" s="1220"/>
      <c r="E1131" s="722"/>
      <c r="F1131" s="722"/>
      <c r="G1131"/>
    </row>
    <row r="1132" spans="1:7" ht="14.4" customHeight="1">
      <c r="A1132" s="687"/>
      <c r="B1132" s="1294">
        <v>1</v>
      </c>
      <c r="C1132" s="1303" t="s">
        <v>12620</v>
      </c>
      <c r="D1132" s="1220"/>
      <c r="E1132" s="722"/>
      <c r="F1132" s="722"/>
      <c r="G1132"/>
    </row>
    <row r="1133" spans="1:7" ht="14.4" customHeight="1">
      <c r="A1133" s="687"/>
      <c r="B1133" s="1199">
        <v>1</v>
      </c>
      <c r="C1133" s="1205" t="s">
        <v>3378</v>
      </c>
      <c r="D1133" s="1221"/>
      <c r="E1133" s="1172"/>
      <c r="F1133" s="1172"/>
      <c r="G1133"/>
    </row>
    <row r="1134" spans="1:7" ht="14.4" customHeight="1">
      <c r="A1134" s="687"/>
      <c r="B1134" s="1195">
        <v>1</v>
      </c>
      <c r="C1134" s="1191" t="s">
        <v>3519</v>
      </c>
      <c r="D1134" s="1220"/>
      <c r="E1134" s="1171"/>
      <c r="F1134" s="1171"/>
      <c r="G1134"/>
    </row>
    <row r="1135" spans="1:7" ht="14.4" customHeight="1">
      <c r="A1135" s="687"/>
      <c r="B1135" s="1195">
        <v>1</v>
      </c>
      <c r="C1135" s="1191" t="s">
        <v>6734</v>
      </c>
      <c r="D1135" s="1220"/>
      <c r="E1135" s="1171"/>
      <c r="F1135" s="1171"/>
      <c r="G1135"/>
    </row>
    <row r="1136" spans="1:7" ht="14.4" customHeight="1">
      <c r="A1136" s="687"/>
      <c r="B1136" s="1195">
        <v>1</v>
      </c>
      <c r="C1136" s="1191" t="s">
        <v>7374</v>
      </c>
      <c r="D1136" s="1220"/>
      <c r="E1136" s="1171"/>
      <c r="F1136" s="1171"/>
      <c r="G1136"/>
    </row>
    <row r="1137" spans="1:7" ht="14.4" customHeight="1">
      <c r="A1137" s="687"/>
      <c r="B1137" s="1195">
        <v>1</v>
      </c>
      <c r="C1137" s="1191" t="s">
        <v>7375</v>
      </c>
      <c r="D1137" s="1220"/>
      <c r="E1137" s="1171"/>
      <c r="F1137" s="1171"/>
      <c r="G1137"/>
    </row>
    <row r="1138" spans="1:7" ht="14.4" customHeight="1">
      <c r="A1138" s="687"/>
      <c r="B1138" s="1195">
        <v>1</v>
      </c>
      <c r="C1138" s="1191" t="s">
        <v>2436</v>
      </c>
      <c r="D1138" s="1220"/>
      <c r="E1138" s="1171"/>
      <c r="F1138" s="1171"/>
      <c r="G1138"/>
    </row>
    <row r="1139" spans="1:7" ht="14.4" customHeight="1">
      <c r="A1139" s="687"/>
      <c r="B1139" s="1195">
        <v>1</v>
      </c>
      <c r="C1139" s="1191" t="s">
        <v>4660</v>
      </c>
      <c r="D1139" s="1220"/>
      <c r="E1139" s="1171"/>
      <c r="F1139" s="1171"/>
      <c r="G1139"/>
    </row>
    <row r="1140" spans="1:7" ht="14.4" customHeight="1">
      <c r="A1140" s="1208"/>
      <c r="B1140" s="1199">
        <v>1</v>
      </c>
      <c r="C1140" s="1205" t="s">
        <v>3379</v>
      </c>
      <c r="D1140" s="1221"/>
      <c r="E1140" s="1172"/>
      <c r="F1140" s="1172"/>
      <c r="G1140"/>
    </row>
    <row r="1141" spans="1:7" ht="14.4" customHeight="1">
      <c r="A1141" s="687"/>
      <c r="B1141" s="1193"/>
      <c r="C1141" s="1202" t="s">
        <v>729</v>
      </c>
      <c r="D1141" s="1220"/>
      <c r="E1141" s="722"/>
      <c r="F1141" s="722"/>
      <c r="G1141"/>
    </row>
    <row r="1142" spans="1:7" ht="14.4" customHeight="1">
      <c r="A1142" s="687"/>
      <c r="B1142" s="1193"/>
      <c r="C1142" s="1627" t="s">
        <v>11663</v>
      </c>
      <c r="D1142" s="1312"/>
      <c r="E1142" s="722"/>
      <c r="F1142" s="722"/>
      <c r="G1142"/>
    </row>
    <row r="1143" spans="1:7" ht="14.4" customHeight="1">
      <c r="A1143" s="687"/>
      <c r="B1143" s="1193">
        <v>1</v>
      </c>
      <c r="C1143" s="1202" t="s">
        <v>12165</v>
      </c>
      <c r="D1143" s="1312"/>
      <c r="E1143" s="722"/>
      <c r="F1143" s="722"/>
      <c r="G1143"/>
    </row>
    <row r="1144" spans="1:7" ht="14.4" customHeight="1">
      <c r="A1144" s="687"/>
      <c r="B1144" s="1193">
        <v>3</v>
      </c>
      <c r="C1144" s="1202" t="s">
        <v>8261</v>
      </c>
      <c r="D1144" s="1312"/>
      <c r="E1144" s="722"/>
      <c r="F1144" s="722"/>
      <c r="G1144"/>
    </row>
    <row r="1145" spans="1:7" ht="14.4" customHeight="1">
      <c r="A1145" s="687"/>
      <c r="B1145" s="1193">
        <v>5</v>
      </c>
      <c r="C1145" s="1202" t="s">
        <v>8288</v>
      </c>
      <c r="D1145" s="1312"/>
      <c r="E1145" s="722"/>
      <c r="F1145" s="722"/>
      <c r="G1145"/>
    </row>
    <row r="1146" spans="1:7" ht="14.4" customHeight="1">
      <c r="A1146" s="687"/>
      <c r="B1146" s="1193">
        <v>6</v>
      </c>
      <c r="C1146" s="1202" t="s">
        <v>8275</v>
      </c>
      <c r="D1146" s="1312"/>
      <c r="E1146" s="722"/>
      <c r="F1146" s="722"/>
      <c r="G1146"/>
    </row>
    <row r="1147" spans="1:7" ht="14.4" customHeight="1">
      <c r="A1147" s="693"/>
      <c r="B1147" s="1193"/>
      <c r="C1147" s="1202" t="s">
        <v>729</v>
      </c>
      <c r="D1147" s="1220"/>
      <c r="E1147" s="722"/>
      <c r="F1147" s="722"/>
      <c r="G1147"/>
    </row>
    <row r="1148" spans="1:7" ht="14.4" customHeight="1">
      <c r="A1148" s="1767"/>
      <c r="B1148" s="1196"/>
      <c r="C1148" s="1303" t="s">
        <v>3377</v>
      </c>
      <c r="D1148" s="1312"/>
      <c r="E1148" s="1292"/>
      <c r="F1148" s="1292"/>
      <c r="G1148"/>
    </row>
    <row r="1149" spans="1:7" ht="14.4" customHeight="1">
      <c r="A1149" s="1767"/>
      <c r="B1149" s="1193">
        <v>1</v>
      </c>
      <c r="C1149" s="1202" t="s">
        <v>4428</v>
      </c>
      <c r="D1149" s="1312"/>
      <c r="E1149" s="1291"/>
      <c r="F1149" s="1291"/>
      <c r="G1149"/>
    </row>
    <row r="1150" spans="1:7" ht="14.4" customHeight="1">
      <c r="A1150" s="1767"/>
      <c r="B1150" s="1193">
        <v>1</v>
      </c>
      <c r="C1150" s="1202" t="s">
        <v>4425</v>
      </c>
      <c r="D1150" s="1312"/>
      <c r="E1150" s="1291"/>
      <c r="F1150" s="1291"/>
      <c r="G1150"/>
    </row>
    <row r="1151" spans="1:7" ht="14.4" customHeight="1">
      <c r="A1151" s="1767"/>
      <c r="B1151" s="1193">
        <v>1</v>
      </c>
      <c r="C1151" s="1202" t="s">
        <v>2933</v>
      </c>
      <c r="D1151" s="1312"/>
      <c r="E1151" s="1291"/>
      <c r="F1151" s="1291"/>
      <c r="G1151"/>
    </row>
    <row r="1152" spans="1:7" ht="14.4" customHeight="1">
      <c r="A1152" s="692"/>
      <c r="B1152" s="1193"/>
      <c r="C1152" s="1202" t="s">
        <v>729</v>
      </c>
      <c r="D1152" s="1220"/>
      <c r="E1152" s="722"/>
      <c r="F1152" s="722"/>
      <c r="G1152"/>
    </row>
    <row r="1153" spans="1:7" ht="14.4" customHeight="1">
      <c r="A1153" s="693"/>
      <c r="B1153" s="1196"/>
      <c r="C1153" s="1201" t="s">
        <v>3063</v>
      </c>
      <c r="D1153" s="1220"/>
      <c r="E1153" s="1171"/>
      <c r="F1153" s="1171"/>
      <c r="G1153"/>
    </row>
    <row r="1154" spans="1:7" ht="14.4" customHeight="1">
      <c r="A1154" s="691"/>
      <c r="B1154" s="1193">
        <v>1</v>
      </c>
      <c r="C1154" s="1202" t="s">
        <v>4427</v>
      </c>
      <c r="D1154" s="1312"/>
      <c r="E1154" s="1291"/>
      <c r="F1154" s="1291"/>
      <c r="G1154"/>
    </row>
    <row r="1155" spans="1:7" ht="14.4" customHeight="1">
      <c r="A1155" s="691"/>
      <c r="B1155" s="1193">
        <v>1</v>
      </c>
      <c r="C1155" s="1202" t="s">
        <v>12358</v>
      </c>
      <c r="D1155" s="1312"/>
      <c r="E1155" s="1291"/>
      <c r="F1155" s="1291"/>
      <c r="G1155"/>
    </row>
    <row r="1156" spans="1:7" ht="14.4" customHeight="1">
      <c r="A1156" s="1767"/>
      <c r="B1156" s="1193">
        <v>1</v>
      </c>
      <c r="C1156" s="1304" t="s">
        <v>12366</v>
      </c>
      <c r="D1156" s="1312"/>
      <c r="E1156" s="1292"/>
      <c r="F1156" s="1292"/>
      <c r="G1156"/>
    </row>
    <row r="1157" spans="1:7" ht="14.4" customHeight="1">
      <c r="A1157" s="693"/>
      <c r="B1157" s="1193"/>
      <c r="C1157" s="1202" t="s">
        <v>729</v>
      </c>
      <c r="D1157" s="1220"/>
      <c r="E1157" s="722"/>
      <c r="F1157" s="722"/>
      <c r="G1157"/>
    </row>
    <row r="1158" spans="1:7" ht="14.4" customHeight="1">
      <c r="A1158" s="1767"/>
      <c r="B1158" s="1193">
        <v>1</v>
      </c>
      <c r="C1158" s="1304" t="s">
        <v>12364</v>
      </c>
      <c r="D1158" s="1312"/>
      <c r="E1158" s="1292"/>
      <c r="F1158" s="1292"/>
      <c r="G1158"/>
    </row>
    <row r="1159" spans="1:7" ht="14.4" customHeight="1">
      <c r="A1159" s="1767"/>
      <c r="B1159" s="1193">
        <v>1</v>
      </c>
      <c r="C1159" s="1304" t="s">
        <v>12363</v>
      </c>
      <c r="D1159" s="1312"/>
      <c r="E1159" s="1292"/>
      <c r="F1159" s="1292"/>
      <c r="G1159"/>
    </row>
    <row r="1160" spans="1:7" ht="14.4" customHeight="1">
      <c r="A1160" s="1767"/>
      <c r="B1160" s="1193">
        <v>1</v>
      </c>
      <c r="C1160" s="1304" t="s">
        <v>12475</v>
      </c>
      <c r="D1160" s="1312"/>
      <c r="E1160" s="1292"/>
      <c r="F1160" s="1292"/>
      <c r="G1160"/>
    </row>
    <row r="1161" spans="1:7" ht="14.4" customHeight="1">
      <c r="A1161" s="693"/>
      <c r="B1161" s="1193"/>
      <c r="C1161" s="1202" t="s">
        <v>729</v>
      </c>
      <c r="D1161" s="1220"/>
      <c r="E1161" s="722"/>
      <c r="F1161" s="722"/>
      <c r="G1161"/>
    </row>
    <row r="1162" spans="1:7" ht="14.4" customHeight="1">
      <c r="A1162" s="693"/>
      <c r="B1162" s="1193">
        <v>1</v>
      </c>
      <c r="C1162" s="1202" t="s">
        <v>316</v>
      </c>
      <c r="D1162" s="1122"/>
      <c r="E1162" s="1295"/>
      <c r="F1162" s="1295"/>
      <c r="G1162"/>
    </row>
    <row r="1163" spans="1:7" ht="14.4" customHeight="1">
      <c r="A1163" s="693"/>
      <c r="B1163" s="1193"/>
      <c r="C1163" s="1202" t="s">
        <v>729</v>
      </c>
      <c r="D1163" s="1220"/>
      <c r="E1163" s="722"/>
      <c r="F1163" s="722"/>
      <c r="G1163"/>
    </row>
    <row r="1164" spans="1:7" ht="14.4" customHeight="1" thickBot="1">
      <c r="A1164" s="1855"/>
      <c r="B1164" s="2182"/>
      <c r="C1164" s="1631"/>
      <c r="D1164" s="1641"/>
      <c r="E1164" s="1632"/>
      <c r="F1164" s="1632"/>
      <c r="G1164"/>
    </row>
    <row r="1165" spans="1:7" ht="14.4" customHeight="1" thickBot="1">
      <c r="A1165" s="1989">
        <v>30</v>
      </c>
      <c r="B1165" s="1630">
        <v>1</v>
      </c>
      <c r="C1165" s="1329" t="s">
        <v>12592</v>
      </c>
      <c r="D1165" s="1219">
        <v>13164</v>
      </c>
      <c r="E1165" s="1289"/>
      <c r="F1165" s="1289">
        <v>13164</v>
      </c>
      <c r="G1165"/>
    </row>
    <row r="1166" spans="1:7" ht="14.4" customHeight="1">
      <c r="A1166" s="685" t="s">
        <v>3064</v>
      </c>
      <c r="B1166" s="2178"/>
      <c r="C1166" s="2179"/>
      <c r="D1166" s="1312"/>
      <c r="E1166" s="1291"/>
      <c r="F1166" s="1291"/>
      <c r="G1166"/>
    </row>
    <row r="1167" spans="1:7" ht="14.4" customHeight="1">
      <c r="A1167" s="687" t="s">
        <v>12553</v>
      </c>
      <c r="B1167" s="1194">
        <v>1</v>
      </c>
      <c r="C1167" s="1201" t="s">
        <v>5103</v>
      </c>
      <c r="D1167" s="1220"/>
      <c r="E1167" s="1171"/>
      <c r="F1167" s="1171"/>
      <c r="G1167"/>
    </row>
    <row r="1168" spans="1:7" ht="14.4" customHeight="1">
      <c r="A1168" s="687" t="s">
        <v>4136</v>
      </c>
      <c r="B1168" s="1195">
        <v>3</v>
      </c>
      <c r="C1168" s="1191" t="s">
        <v>7374</v>
      </c>
      <c r="D1168" s="1220"/>
      <c r="E1168" s="722"/>
      <c r="F1168" s="722"/>
      <c r="G1168"/>
    </row>
    <row r="1169" spans="1:7" ht="14.4" customHeight="1">
      <c r="A1169" s="687"/>
      <c r="B1169" s="1195">
        <v>3</v>
      </c>
      <c r="C1169" s="1191" t="s">
        <v>7375</v>
      </c>
      <c r="D1169" s="1220"/>
      <c r="E1169" s="722"/>
      <c r="F1169" s="722"/>
      <c r="G1169"/>
    </row>
    <row r="1170" spans="1:7" ht="14.4" customHeight="1">
      <c r="A1170" s="687" t="s">
        <v>12356</v>
      </c>
      <c r="B1170" s="1199">
        <v>1</v>
      </c>
      <c r="C1170" s="1205" t="s">
        <v>3366</v>
      </c>
      <c r="D1170" s="1221"/>
      <c r="E1170" s="1172"/>
      <c r="F1170" s="1172"/>
      <c r="G1170"/>
    </row>
    <row r="1171" spans="1:7" ht="14.4" customHeight="1">
      <c r="A1171" s="687" t="s">
        <v>3542</v>
      </c>
      <c r="B1171" s="1194"/>
      <c r="C1171" s="1218"/>
      <c r="D1171" s="1220"/>
      <c r="E1171" s="1171"/>
      <c r="F1171" s="1171"/>
      <c r="G1171"/>
    </row>
    <row r="1172" spans="1:7" ht="14.4" customHeight="1">
      <c r="A1172" s="687"/>
      <c r="B1172" s="1195"/>
      <c r="C1172" s="1629" t="s">
        <v>12368</v>
      </c>
      <c r="D1172" s="1220"/>
      <c r="E1172" s="722"/>
      <c r="F1172" s="722"/>
      <c r="G1172"/>
    </row>
    <row r="1173" spans="1:7" ht="14.4" customHeight="1">
      <c r="A1173" s="1638"/>
      <c r="B1173" s="1192">
        <v>6</v>
      </c>
      <c r="C1173" s="1202" t="s">
        <v>8588</v>
      </c>
      <c r="D1173" s="1312"/>
      <c r="E1173" s="1291"/>
      <c r="F1173" s="1291"/>
      <c r="G1173"/>
    </row>
    <row r="1174" spans="1:7" ht="14.4" customHeight="1">
      <c r="A1174" s="691"/>
      <c r="B1174" s="1192"/>
      <c r="C1174" s="1304" t="s">
        <v>729</v>
      </c>
      <c r="D1174" s="1312"/>
      <c r="E1174" s="1291"/>
      <c r="F1174" s="1291"/>
      <c r="G1174"/>
    </row>
    <row r="1175" spans="1:7" ht="14.4" customHeight="1">
      <c r="A1175" s="687"/>
      <c r="B1175" s="1193"/>
      <c r="C1175" s="1201" t="s">
        <v>3158</v>
      </c>
      <c r="D1175" s="1312"/>
      <c r="E1175" s="1292"/>
      <c r="F1175" s="1292"/>
      <c r="G1175"/>
    </row>
    <row r="1176" spans="1:7" ht="14.4" customHeight="1">
      <c r="A1176" s="687"/>
      <c r="B1176" s="1193">
        <v>1</v>
      </c>
      <c r="C1176" s="1202" t="s">
        <v>4427</v>
      </c>
      <c r="D1176" s="1312"/>
      <c r="E1176" s="1292"/>
      <c r="F1176" s="1292"/>
      <c r="G1176"/>
    </row>
    <row r="1177" spans="1:7" ht="14.4" customHeight="1">
      <c r="A1177" s="687"/>
      <c r="B1177" s="1193"/>
      <c r="C1177" s="1202" t="s">
        <v>729</v>
      </c>
      <c r="D1177" s="1220"/>
      <c r="E1177" s="722"/>
      <c r="F1177" s="722"/>
      <c r="G1177"/>
    </row>
    <row r="1178" spans="1:7" ht="14.4" customHeight="1">
      <c r="A1178" s="687"/>
      <c r="B1178" s="1294">
        <v>1</v>
      </c>
      <c r="C1178" s="1303" t="s">
        <v>12388</v>
      </c>
      <c r="D1178" s="1220"/>
      <c r="E1178" s="722"/>
      <c r="F1178" s="722"/>
      <c r="G1178"/>
    </row>
    <row r="1179" spans="1:7" ht="14.4" customHeight="1">
      <c r="A1179" s="687"/>
      <c r="B1179" s="1199">
        <v>1</v>
      </c>
      <c r="C1179" s="1205" t="s">
        <v>3378</v>
      </c>
      <c r="D1179" s="1221"/>
      <c r="E1179" s="1172"/>
      <c r="F1179" s="1172"/>
      <c r="G1179"/>
    </row>
    <row r="1180" spans="1:7" ht="14.4" customHeight="1">
      <c r="A1180" s="687"/>
      <c r="B1180" s="1195">
        <v>1</v>
      </c>
      <c r="C1180" s="1191" t="s">
        <v>3519</v>
      </c>
      <c r="D1180" s="1220"/>
      <c r="E1180" s="1171"/>
      <c r="F1180" s="1171"/>
      <c r="G1180"/>
    </row>
    <row r="1181" spans="1:7" ht="14.4" customHeight="1">
      <c r="A1181" s="687"/>
      <c r="B1181" s="1195">
        <v>1</v>
      </c>
      <c r="C1181" s="1191" t="s">
        <v>6734</v>
      </c>
      <c r="D1181" s="1220"/>
      <c r="E1181" s="1171"/>
      <c r="F1181" s="1171"/>
      <c r="G1181"/>
    </row>
    <row r="1182" spans="1:7" ht="14.4" customHeight="1">
      <c r="A1182" s="687"/>
      <c r="B1182" s="1195">
        <v>1</v>
      </c>
      <c r="C1182" s="1191" t="s">
        <v>7374</v>
      </c>
      <c r="D1182" s="1220"/>
      <c r="E1182" s="1171"/>
      <c r="F1182" s="1171"/>
      <c r="G1182"/>
    </row>
    <row r="1183" spans="1:7" ht="14.4" customHeight="1">
      <c r="A1183" s="687"/>
      <c r="B1183" s="1195">
        <v>1</v>
      </c>
      <c r="C1183" s="1191" t="s">
        <v>7375</v>
      </c>
      <c r="D1183" s="1220"/>
      <c r="E1183" s="1171"/>
      <c r="F1183" s="1171"/>
      <c r="G1183"/>
    </row>
    <row r="1184" spans="1:7" ht="14.4" customHeight="1">
      <c r="A1184" s="687"/>
      <c r="B1184" s="1195">
        <v>1</v>
      </c>
      <c r="C1184" s="1191" t="s">
        <v>2436</v>
      </c>
      <c r="D1184" s="1220"/>
      <c r="E1184" s="1171"/>
      <c r="F1184" s="1171"/>
      <c r="G1184"/>
    </row>
    <row r="1185" spans="1:7" ht="14.4" customHeight="1">
      <c r="A1185" s="687"/>
      <c r="B1185" s="1195">
        <v>1</v>
      </c>
      <c r="C1185" s="1191" t="s">
        <v>4660</v>
      </c>
      <c r="D1185" s="1220"/>
      <c r="E1185" s="1171"/>
      <c r="F1185" s="1171"/>
      <c r="G1185"/>
    </row>
    <row r="1186" spans="1:7" ht="14.4" customHeight="1">
      <c r="A1186" s="1208"/>
      <c r="B1186" s="1199">
        <v>1</v>
      </c>
      <c r="C1186" s="1205" t="s">
        <v>3379</v>
      </c>
      <c r="D1186" s="1221"/>
      <c r="E1186" s="1172"/>
      <c r="F1186" s="1172"/>
      <c r="G1186"/>
    </row>
    <row r="1187" spans="1:7" ht="14.4" customHeight="1">
      <c r="A1187" s="687"/>
      <c r="B1187" s="1193"/>
      <c r="C1187" s="1202" t="s">
        <v>729</v>
      </c>
      <c r="D1187" s="1220"/>
      <c r="E1187" s="722"/>
      <c r="F1187" s="722"/>
      <c r="G1187"/>
    </row>
    <row r="1188" spans="1:7" ht="14.4" customHeight="1">
      <c r="A1188" s="687"/>
      <c r="B1188" s="1193"/>
      <c r="C1188" s="1627" t="s">
        <v>11663</v>
      </c>
      <c r="D1188" s="1312"/>
      <c r="E1188" s="722"/>
      <c r="F1188" s="722"/>
      <c r="G1188"/>
    </row>
    <row r="1189" spans="1:7" ht="14.4" customHeight="1">
      <c r="A1189" s="687"/>
      <c r="B1189" s="1193">
        <v>1</v>
      </c>
      <c r="C1189" s="1202" t="s">
        <v>12165</v>
      </c>
      <c r="D1189" s="1312"/>
      <c r="E1189" s="722"/>
      <c r="F1189" s="722"/>
      <c r="G1189"/>
    </row>
    <row r="1190" spans="1:7" ht="14.4" customHeight="1">
      <c r="A1190" s="687"/>
      <c r="B1190" s="1193">
        <v>3</v>
      </c>
      <c r="C1190" s="1202" t="s">
        <v>8261</v>
      </c>
      <c r="D1190" s="1312"/>
      <c r="E1190" s="722"/>
      <c r="F1190" s="722"/>
      <c r="G1190"/>
    </row>
    <row r="1191" spans="1:7" ht="14.4" customHeight="1">
      <c r="A1191" s="687"/>
      <c r="B1191" s="1193">
        <v>5</v>
      </c>
      <c r="C1191" s="1202" t="s">
        <v>8288</v>
      </c>
      <c r="D1191" s="1312"/>
      <c r="E1191" s="722"/>
      <c r="F1191" s="722"/>
      <c r="G1191"/>
    </row>
    <row r="1192" spans="1:7" ht="14.4" customHeight="1">
      <c r="A1192" s="687"/>
      <c r="B1192" s="1193">
        <v>6</v>
      </c>
      <c r="C1192" s="1202" t="s">
        <v>8275</v>
      </c>
      <c r="D1192" s="1312"/>
      <c r="E1192" s="722"/>
      <c r="F1192" s="722"/>
      <c r="G1192"/>
    </row>
    <row r="1193" spans="1:7" ht="14.4" customHeight="1">
      <c r="A1193" s="693"/>
      <c r="B1193" s="1193"/>
      <c r="C1193" s="1202" t="s">
        <v>729</v>
      </c>
      <c r="D1193" s="1220"/>
      <c r="E1193" s="722"/>
      <c r="F1193" s="722"/>
      <c r="G1193"/>
    </row>
    <row r="1194" spans="1:7" ht="14.4" customHeight="1">
      <c r="A1194" s="1767"/>
      <c r="B1194" s="1196"/>
      <c r="C1194" s="1303" t="s">
        <v>3377</v>
      </c>
      <c r="D1194" s="1312"/>
      <c r="E1194" s="1292"/>
      <c r="F1194" s="1292"/>
      <c r="G1194"/>
    </row>
    <row r="1195" spans="1:7" ht="14.4" customHeight="1">
      <c r="A1195" s="1767"/>
      <c r="B1195" s="1193">
        <v>3</v>
      </c>
      <c r="C1195" s="1202" t="s">
        <v>4425</v>
      </c>
      <c r="D1195" s="1312"/>
      <c r="E1195" s="1291"/>
      <c r="F1195" s="1291"/>
      <c r="G1195"/>
    </row>
    <row r="1196" spans="1:7" ht="14.4" customHeight="1">
      <c r="A1196" s="1767"/>
      <c r="B1196" s="1193">
        <v>3</v>
      </c>
      <c r="C1196" s="1202" t="s">
        <v>4424</v>
      </c>
      <c r="D1196" s="1312"/>
      <c r="E1196" s="1291"/>
      <c r="F1196" s="1291"/>
      <c r="G1196"/>
    </row>
    <row r="1197" spans="1:7" ht="14.4" customHeight="1">
      <c r="A1197" s="1767"/>
      <c r="B1197" s="1193">
        <v>2</v>
      </c>
      <c r="C1197" s="1202" t="s">
        <v>2933</v>
      </c>
      <c r="D1197" s="1312"/>
      <c r="E1197" s="1291"/>
      <c r="F1197" s="1291"/>
      <c r="G1197"/>
    </row>
    <row r="1198" spans="1:7" ht="14.4" customHeight="1">
      <c r="A1198" s="692"/>
      <c r="B1198" s="1193"/>
      <c r="C1198" s="1202" t="s">
        <v>729</v>
      </c>
      <c r="D1198" s="1220"/>
      <c r="E1198" s="722"/>
      <c r="F1198" s="722"/>
      <c r="G1198"/>
    </row>
    <row r="1199" spans="1:7" ht="14.4" customHeight="1">
      <c r="A1199" s="693"/>
      <c r="B1199" s="1196"/>
      <c r="C1199" s="1201" t="s">
        <v>3063</v>
      </c>
      <c r="D1199" s="1220"/>
      <c r="E1199" s="1171"/>
      <c r="F1199" s="1171"/>
      <c r="G1199"/>
    </row>
    <row r="1200" spans="1:7" ht="14.4" customHeight="1">
      <c r="A1200" s="691"/>
      <c r="B1200" s="1193">
        <v>1</v>
      </c>
      <c r="C1200" s="1202" t="s">
        <v>4427</v>
      </c>
      <c r="D1200" s="1312"/>
      <c r="E1200" s="1291"/>
      <c r="F1200" s="1291"/>
      <c r="G1200"/>
    </row>
    <row r="1201" spans="1:7" ht="14.4" customHeight="1">
      <c r="A1201" s="691"/>
      <c r="B1201" s="1193">
        <v>1</v>
      </c>
      <c r="C1201" s="1202" t="s">
        <v>12358</v>
      </c>
      <c r="D1201" s="1312"/>
      <c r="E1201" s="1291"/>
      <c r="F1201" s="1291"/>
      <c r="G1201"/>
    </row>
    <row r="1202" spans="1:7" ht="14.4" customHeight="1">
      <c r="A1202" s="1767"/>
      <c r="B1202" s="1193">
        <v>1</v>
      </c>
      <c r="C1202" s="1304" t="s">
        <v>12366</v>
      </c>
      <c r="D1202" s="1312"/>
      <c r="E1202" s="1292"/>
      <c r="F1202" s="1292"/>
      <c r="G1202"/>
    </row>
    <row r="1203" spans="1:7" ht="14.4" customHeight="1">
      <c r="A1203" s="693"/>
      <c r="B1203" s="1193"/>
      <c r="C1203" s="1202" t="s">
        <v>729</v>
      </c>
      <c r="D1203" s="1220"/>
      <c r="E1203" s="722"/>
      <c r="F1203" s="722"/>
      <c r="G1203"/>
    </row>
    <row r="1204" spans="1:7" ht="14.4" customHeight="1">
      <c r="A1204" s="1767"/>
      <c r="B1204" s="1193">
        <v>1</v>
      </c>
      <c r="C1204" s="1304" t="s">
        <v>12364</v>
      </c>
      <c r="D1204" s="1312"/>
      <c r="E1204" s="1292"/>
      <c r="F1204" s="1292"/>
      <c r="G1204"/>
    </row>
    <row r="1205" spans="1:7" ht="14.4" customHeight="1">
      <c r="A1205" s="1767"/>
      <c r="B1205" s="1193">
        <v>1</v>
      </c>
      <c r="C1205" s="1304" t="s">
        <v>12474</v>
      </c>
      <c r="D1205" s="1312"/>
      <c r="E1205" s="1292"/>
      <c r="F1205" s="1292"/>
      <c r="G1205"/>
    </row>
    <row r="1206" spans="1:7" ht="14.4" customHeight="1">
      <c r="A1206" s="693"/>
      <c r="B1206" s="1193"/>
      <c r="C1206" s="1202" t="s">
        <v>729</v>
      </c>
      <c r="D1206" s="1220"/>
      <c r="E1206" s="722"/>
      <c r="F1206" s="722"/>
      <c r="G1206"/>
    </row>
    <row r="1207" spans="1:7" ht="14.4" customHeight="1">
      <c r="A1207" s="693"/>
      <c r="B1207" s="1193">
        <v>1</v>
      </c>
      <c r="C1207" s="1202" t="s">
        <v>316</v>
      </c>
      <c r="D1207" s="1122"/>
      <c r="E1207" s="1295"/>
      <c r="F1207" s="1295"/>
      <c r="G1207"/>
    </row>
    <row r="1208" spans="1:7" ht="14.4" customHeight="1">
      <c r="A1208" s="693"/>
      <c r="B1208" s="1193"/>
      <c r="C1208" s="1202" t="s">
        <v>729</v>
      </c>
      <c r="D1208" s="1220"/>
      <c r="E1208" s="722"/>
      <c r="F1208" s="722"/>
      <c r="G1208"/>
    </row>
    <row r="1209" spans="1:7" ht="14.4" customHeight="1" thickBot="1">
      <c r="A1209" s="1855"/>
      <c r="B1209" s="2182"/>
      <c r="C1209" s="1631"/>
      <c r="D1209" s="1641"/>
      <c r="E1209" s="1632"/>
      <c r="F1209" s="1632"/>
      <c r="G1209"/>
    </row>
    <row r="1210" spans="1:7" ht="14.4" customHeight="1" thickBot="1">
      <c r="A1210" s="1989">
        <v>31</v>
      </c>
      <c r="B1210" s="1630">
        <v>1</v>
      </c>
      <c r="C1210" s="1329" t="s">
        <v>12593</v>
      </c>
      <c r="D1210" s="1219">
        <v>6306</v>
      </c>
      <c r="E1210" s="1289"/>
      <c r="F1210" s="1289">
        <v>6306</v>
      </c>
      <c r="G1210"/>
    </row>
    <row r="1211" spans="1:7" ht="14.4" customHeight="1">
      <c r="A1211" s="685" t="s">
        <v>3064</v>
      </c>
      <c r="B1211" s="2178"/>
      <c r="C1211" s="2179"/>
      <c r="D1211" s="1312"/>
      <c r="E1211" s="1291"/>
      <c r="F1211" s="1291"/>
      <c r="G1211"/>
    </row>
    <row r="1212" spans="1:7" ht="14.4" customHeight="1">
      <c r="A1212" s="687" t="s">
        <v>12553</v>
      </c>
      <c r="B1212" s="1194">
        <v>1</v>
      </c>
      <c r="C1212" s="1201" t="s">
        <v>5103</v>
      </c>
      <c r="D1212" s="1220"/>
      <c r="E1212" s="1171"/>
      <c r="F1212" s="1171"/>
      <c r="G1212"/>
    </row>
    <row r="1213" spans="1:7" ht="14.4" customHeight="1">
      <c r="A1213" s="687" t="s">
        <v>4136</v>
      </c>
      <c r="B1213" s="1195">
        <v>3</v>
      </c>
      <c r="C1213" s="1191" t="s">
        <v>7374</v>
      </c>
      <c r="D1213" s="1220"/>
      <c r="E1213" s="722"/>
      <c r="F1213" s="722"/>
      <c r="G1213"/>
    </row>
    <row r="1214" spans="1:7" ht="14.4" customHeight="1">
      <c r="A1214" s="687"/>
      <c r="B1214" s="1195">
        <v>3</v>
      </c>
      <c r="C1214" s="1191" t="s">
        <v>7375</v>
      </c>
      <c r="D1214" s="1220"/>
      <c r="E1214" s="722"/>
      <c r="F1214" s="722"/>
      <c r="G1214"/>
    </row>
    <row r="1215" spans="1:7" ht="14.4" customHeight="1">
      <c r="A1215" s="687" t="s">
        <v>12356</v>
      </c>
      <c r="B1215" s="1199">
        <v>1</v>
      </c>
      <c r="C1215" s="1205" t="s">
        <v>3366</v>
      </c>
      <c r="D1215" s="1221"/>
      <c r="E1215" s="1172"/>
      <c r="F1215" s="1172"/>
      <c r="G1215"/>
    </row>
    <row r="1216" spans="1:7" ht="14.4" customHeight="1">
      <c r="A1216" s="687" t="s">
        <v>3542</v>
      </c>
      <c r="B1216" s="1194"/>
      <c r="C1216" s="1218"/>
      <c r="D1216" s="1220"/>
      <c r="E1216" s="1171"/>
      <c r="F1216" s="1171"/>
      <c r="G1216"/>
    </row>
    <row r="1217" spans="1:7" ht="14.4" customHeight="1">
      <c r="A1217" s="687"/>
      <c r="B1217" s="1195"/>
      <c r="C1217" s="1629" t="s">
        <v>12368</v>
      </c>
      <c r="D1217" s="1220"/>
      <c r="E1217" s="722"/>
      <c r="F1217" s="722"/>
      <c r="G1217"/>
    </row>
    <row r="1218" spans="1:7" ht="14.4" customHeight="1">
      <c r="A1218" s="693"/>
      <c r="B1218" s="1193"/>
      <c r="C1218" s="1201" t="s">
        <v>3158</v>
      </c>
      <c r="D1218" s="1312"/>
      <c r="E1218" s="1292"/>
      <c r="F1218" s="1292"/>
      <c r="G1218"/>
    </row>
    <row r="1219" spans="1:7" ht="14.4" customHeight="1">
      <c r="A1219" s="693"/>
      <c r="B1219" s="1194">
        <v>1</v>
      </c>
      <c r="C1219" s="1202" t="s">
        <v>6600</v>
      </c>
      <c r="D1219" s="1312"/>
      <c r="E1219" s="1292"/>
      <c r="F1219" s="1292"/>
      <c r="G1219"/>
    </row>
    <row r="1220" spans="1:7" ht="14.4" customHeight="1">
      <c r="A1220" s="693"/>
      <c r="B1220" s="1193"/>
      <c r="C1220" s="1202" t="s">
        <v>729</v>
      </c>
      <c r="D1220" s="1220"/>
      <c r="E1220" s="722"/>
      <c r="F1220" s="722"/>
      <c r="G1220"/>
    </row>
    <row r="1221" spans="1:7" ht="14.4" customHeight="1">
      <c r="A1221" s="687"/>
      <c r="B1221" s="1196"/>
      <c r="C1221" s="1303" t="s">
        <v>9431</v>
      </c>
      <c r="D1221" s="1312"/>
      <c r="E1221" s="1292"/>
      <c r="F1221" s="1292"/>
      <c r="G1221"/>
    </row>
    <row r="1222" spans="1:7" ht="14.4" customHeight="1">
      <c r="A1222" s="693"/>
      <c r="B1222" s="1193">
        <v>2</v>
      </c>
      <c r="C1222" s="1202" t="s">
        <v>4206</v>
      </c>
      <c r="D1222" s="1312"/>
      <c r="E1222" s="1291"/>
      <c r="F1222" s="1291"/>
      <c r="G1222"/>
    </row>
    <row r="1223" spans="1:7" ht="14.4" customHeight="1">
      <c r="A1223" s="693"/>
      <c r="B1223" s="1196"/>
      <c r="C1223" s="1303" t="s">
        <v>12546</v>
      </c>
      <c r="D1223" s="1312"/>
      <c r="E1223" s="1292"/>
      <c r="F1223" s="1292"/>
      <c r="G1223"/>
    </row>
    <row r="1224" spans="1:7" ht="14.4" customHeight="1">
      <c r="A1224" s="693"/>
      <c r="B1224" s="1193">
        <v>1</v>
      </c>
      <c r="C1224" s="1202" t="s">
        <v>4205</v>
      </c>
      <c r="D1224" s="1312"/>
      <c r="E1224" s="1291"/>
      <c r="F1224" s="1291"/>
      <c r="G1224"/>
    </row>
    <row r="1225" spans="1:7" ht="14.4" customHeight="1">
      <c r="A1225" s="693"/>
      <c r="B1225" s="1193">
        <v>1</v>
      </c>
      <c r="C1225" s="1202" t="s">
        <v>5328</v>
      </c>
      <c r="D1225" s="1312"/>
      <c r="E1225" s="1291"/>
      <c r="F1225" s="1291"/>
      <c r="G1225"/>
    </row>
    <row r="1226" spans="1:7" ht="14.4" customHeight="1">
      <c r="A1226" s="693"/>
      <c r="B1226" s="1193">
        <v>6</v>
      </c>
      <c r="C1226" s="1202" t="s">
        <v>4183</v>
      </c>
      <c r="D1226" s="1312"/>
      <c r="E1226" s="1291"/>
      <c r="F1226" s="1291"/>
      <c r="G1226"/>
    </row>
    <row r="1227" spans="1:7" ht="14.4" customHeight="1">
      <c r="A1227" s="693"/>
      <c r="B1227" s="1193">
        <v>6</v>
      </c>
      <c r="C1227" s="1202" t="s">
        <v>5319</v>
      </c>
      <c r="D1227" s="1312"/>
      <c r="E1227" s="1291"/>
      <c r="F1227" s="1291"/>
      <c r="G1227"/>
    </row>
    <row r="1228" spans="1:7" ht="14.4" customHeight="1">
      <c r="A1228" s="693"/>
      <c r="B1228" s="1193">
        <v>1</v>
      </c>
      <c r="C1228" s="1202" t="s">
        <v>2927</v>
      </c>
      <c r="D1228" s="1312"/>
      <c r="E1228" s="1291"/>
      <c r="F1228" s="1291"/>
      <c r="G1228"/>
    </row>
    <row r="1229" spans="1:7" ht="14.4" customHeight="1">
      <c r="A1229" s="693"/>
      <c r="B1229" s="1193"/>
      <c r="C1229" s="1202" t="s">
        <v>729</v>
      </c>
      <c r="D1229" s="1220"/>
      <c r="E1229" s="722"/>
      <c r="F1229" s="722"/>
      <c r="G1229"/>
    </row>
    <row r="1230" spans="1:7" ht="14.4" customHeight="1">
      <c r="A1230" s="693"/>
      <c r="B1230" s="1196"/>
      <c r="C1230" s="1303" t="s">
        <v>12547</v>
      </c>
      <c r="D1230" s="1312"/>
      <c r="E1230" s="1292"/>
      <c r="F1230" s="1292"/>
      <c r="G1230"/>
    </row>
    <row r="1231" spans="1:7" ht="14.4" customHeight="1">
      <c r="A1231" s="693"/>
      <c r="B1231" s="1193">
        <v>2</v>
      </c>
      <c r="C1231" s="1202" t="s">
        <v>4184</v>
      </c>
      <c r="D1231" s="1312"/>
      <c r="E1231" s="1291"/>
      <c r="F1231" s="1291"/>
      <c r="G1231"/>
    </row>
    <row r="1232" spans="1:7" ht="14.4" customHeight="1">
      <c r="A1232" s="693"/>
      <c r="B1232" s="1193">
        <v>5</v>
      </c>
      <c r="C1232" s="1202" t="s">
        <v>4183</v>
      </c>
      <c r="D1232" s="1312"/>
      <c r="E1232" s="1291"/>
      <c r="F1232" s="1291"/>
      <c r="G1232"/>
    </row>
    <row r="1233" spans="1:7" ht="14.4" customHeight="1">
      <c r="A1233" s="693"/>
      <c r="B1233" s="1193">
        <v>4</v>
      </c>
      <c r="C1233" s="1202" t="s">
        <v>5319</v>
      </c>
      <c r="D1233" s="1312"/>
      <c r="E1233" s="1291"/>
      <c r="F1233" s="1291"/>
      <c r="G1233"/>
    </row>
    <row r="1234" spans="1:7" ht="14.4" customHeight="1">
      <c r="A1234" s="693"/>
      <c r="B1234" s="1193">
        <v>1</v>
      </c>
      <c r="C1234" s="1202" t="s">
        <v>2927</v>
      </c>
      <c r="D1234" s="1312"/>
      <c r="E1234" s="1291"/>
      <c r="F1234" s="1291"/>
      <c r="G1234"/>
    </row>
    <row r="1235" spans="1:7" ht="14.4" customHeight="1">
      <c r="A1235" s="693"/>
      <c r="B1235" s="1193"/>
      <c r="C1235" s="1202" t="s">
        <v>729</v>
      </c>
      <c r="D1235" s="1220"/>
      <c r="E1235" s="722"/>
      <c r="F1235" s="722"/>
      <c r="G1235"/>
    </row>
    <row r="1236" spans="1:7" ht="14.4" customHeight="1">
      <c r="A1236" s="693"/>
      <c r="B1236" s="1196"/>
      <c r="C1236" s="1201" t="s">
        <v>3063</v>
      </c>
      <c r="D1236" s="1220"/>
      <c r="E1236" s="1171"/>
      <c r="F1236" s="1171"/>
      <c r="G1236"/>
    </row>
    <row r="1237" spans="1:7" ht="14.4" customHeight="1">
      <c r="A1237" s="691"/>
      <c r="B1237" s="1193">
        <v>1</v>
      </c>
      <c r="C1237" s="1202" t="s">
        <v>4208</v>
      </c>
      <c r="D1237" s="1312"/>
      <c r="E1237" s="1291"/>
      <c r="F1237" s="1291"/>
      <c r="G1237"/>
    </row>
    <row r="1238" spans="1:7" ht="14.4" customHeight="1">
      <c r="A1238" s="691"/>
      <c r="B1238" s="1193">
        <v>1</v>
      </c>
      <c r="C1238" s="1202" t="s">
        <v>6456</v>
      </c>
      <c r="D1238" s="1312"/>
      <c r="E1238" s="1291"/>
      <c r="F1238" s="1291"/>
      <c r="G1238"/>
    </row>
    <row r="1239" spans="1:7" ht="14.4" customHeight="1">
      <c r="A1239" s="692"/>
      <c r="B1239" s="1193"/>
      <c r="C1239" s="1202" t="s">
        <v>729</v>
      </c>
      <c r="D1239" s="1220"/>
      <c r="E1239" s="722"/>
      <c r="F1239" s="722"/>
      <c r="G1239"/>
    </row>
    <row r="1240" spans="1:7" ht="14.4" customHeight="1">
      <c r="A1240" s="693"/>
      <c r="B1240" s="1196">
        <v>2</v>
      </c>
      <c r="C1240" s="1201" t="s">
        <v>12423</v>
      </c>
      <c r="D1240" s="1220"/>
      <c r="E1240" s="1171"/>
      <c r="F1240" s="1171"/>
      <c r="G1240"/>
    </row>
    <row r="1241" spans="1:7" ht="14.4" customHeight="1">
      <c r="A1241" s="691"/>
      <c r="B1241" s="1193">
        <v>1</v>
      </c>
      <c r="C1241" s="1202" t="s">
        <v>1157</v>
      </c>
      <c r="D1241" s="1312"/>
      <c r="E1241" s="1291"/>
      <c r="F1241" s="1291"/>
      <c r="G1241"/>
    </row>
    <row r="1242" spans="1:7" ht="14.4" customHeight="1">
      <c r="A1242" s="691"/>
      <c r="B1242" s="1193">
        <v>1</v>
      </c>
      <c r="C1242" s="1202" t="s">
        <v>2426</v>
      </c>
      <c r="D1242" s="1312"/>
      <c r="E1242" s="1291"/>
      <c r="F1242" s="1291"/>
      <c r="G1242"/>
    </row>
    <row r="1243" spans="1:7" ht="14.4" customHeight="1">
      <c r="A1243" s="691"/>
      <c r="B1243" s="1193">
        <v>1</v>
      </c>
      <c r="C1243" s="1202" t="s">
        <v>4660</v>
      </c>
      <c r="D1243" s="1312"/>
      <c r="E1243" s="1291"/>
      <c r="F1243" s="1291"/>
      <c r="G1243"/>
    </row>
    <row r="1244" spans="1:7" ht="14.4" customHeight="1">
      <c r="A1244" s="692"/>
      <c r="B1244" s="1193"/>
      <c r="C1244" s="1202" t="s">
        <v>729</v>
      </c>
      <c r="D1244" s="1220"/>
      <c r="E1244" s="722"/>
      <c r="F1244" s="722"/>
      <c r="G1244"/>
    </row>
    <row r="1245" spans="1:7" ht="14.4" customHeight="1">
      <c r="A1245" s="693"/>
      <c r="B1245" s="1196">
        <v>2</v>
      </c>
      <c r="C1245" s="1201" t="s">
        <v>12445</v>
      </c>
      <c r="D1245" s="1220"/>
      <c r="E1245" s="1171"/>
      <c r="F1245" s="1171"/>
      <c r="G1245"/>
    </row>
    <row r="1246" spans="1:7" ht="14.4" customHeight="1">
      <c r="A1246" s="691"/>
      <c r="B1246" s="1193">
        <v>1</v>
      </c>
      <c r="C1246" s="1202" t="s">
        <v>1157</v>
      </c>
      <c r="D1246" s="1312"/>
      <c r="E1246" s="1291"/>
      <c r="F1246" s="1291"/>
      <c r="G1246"/>
    </row>
    <row r="1247" spans="1:7" ht="14.4" customHeight="1">
      <c r="A1247" s="691"/>
      <c r="B1247" s="1193">
        <v>1</v>
      </c>
      <c r="C1247" s="1202" t="s">
        <v>2426</v>
      </c>
      <c r="D1247" s="1312"/>
      <c r="E1247" s="1291"/>
      <c r="F1247" s="1291"/>
      <c r="G1247"/>
    </row>
    <row r="1248" spans="1:7" ht="14.4" customHeight="1">
      <c r="A1248" s="693"/>
      <c r="B1248" s="1193">
        <v>1</v>
      </c>
      <c r="C1248" s="1202" t="s">
        <v>2436</v>
      </c>
      <c r="D1248" s="1312"/>
      <c r="E1248" s="1291"/>
      <c r="F1248" s="1291"/>
      <c r="G1248"/>
    </row>
    <row r="1249" spans="1:7" ht="14.4" customHeight="1">
      <c r="A1249" s="693"/>
      <c r="B1249" s="1193"/>
      <c r="C1249" s="1202" t="s">
        <v>729</v>
      </c>
      <c r="D1249" s="1220"/>
      <c r="E1249" s="722"/>
      <c r="F1249" s="722"/>
      <c r="G1249"/>
    </row>
    <row r="1250" spans="1:7" ht="14.4" customHeight="1">
      <c r="A1250" s="693"/>
      <c r="B1250" s="1193">
        <v>1</v>
      </c>
      <c r="C1250" s="1304" t="s">
        <v>12444</v>
      </c>
      <c r="D1250" s="1312"/>
      <c r="E1250" s="1292"/>
      <c r="F1250" s="1292"/>
      <c r="G1250"/>
    </row>
    <row r="1251" spans="1:7" ht="14.4" customHeight="1">
      <c r="A1251" s="693"/>
      <c r="B1251" s="1193"/>
      <c r="C1251" s="1202" t="s">
        <v>729</v>
      </c>
      <c r="D1251" s="1220"/>
      <c r="E1251" s="722"/>
      <c r="F1251" s="722"/>
      <c r="G1251"/>
    </row>
    <row r="1252" spans="1:7" ht="14.4" customHeight="1">
      <c r="A1252" s="1767"/>
      <c r="B1252" s="1193">
        <v>1</v>
      </c>
      <c r="C1252" s="1304" t="s">
        <v>12364</v>
      </c>
      <c r="D1252" s="1312"/>
      <c r="E1252" s="1292"/>
      <c r="F1252" s="1292"/>
      <c r="G1252"/>
    </row>
    <row r="1253" spans="1:7" ht="14.4" customHeight="1">
      <c r="A1253" s="1767"/>
      <c r="B1253" s="1193">
        <v>1</v>
      </c>
      <c r="C1253" s="1304" t="s">
        <v>12474</v>
      </c>
      <c r="D1253" s="1312"/>
      <c r="E1253" s="1292"/>
      <c r="F1253" s="1292"/>
      <c r="G1253"/>
    </row>
    <row r="1254" spans="1:7" ht="14.4" customHeight="1">
      <c r="A1254" s="693"/>
      <c r="B1254" s="1193"/>
      <c r="C1254" s="1202" t="s">
        <v>729</v>
      </c>
      <c r="D1254" s="1220"/>
      <c r="E1254" s="722"/>
      <c r="F1254" s="722"/>
      <c r="G1254"/>
    </row>
    <row r="1255" spans="1:7" ht="14.4" customHeight="1">
      <c r="A1255" s="693"/>
      <c r="B1255" s="1193">
        <v>1</v>
      </c>
      <c r="C1255" s="1202" t="s">
        <v>316</v>
      </c>
      <c r="D1255" s="1122"/>
      <c r="E1255" s="1295"/>
      <c r="F1255" s="1295"/>
      <c r="G1255"/>
    </row>
    <row r="1256" spans="1:7" ht="14.4" customHeight="1">
      <c r="A1256" s="693"/>
      <c r="B1256" s="1193"/>
      <c r="C1256" s="1202" t="s">
        <v>729</v>
      </c>
      <c r="D1256" s="1220"/>
      <c r="E1256" s="722"/>
      <c r="F1256" s="722"/>
      <c r="G1256"/>
    </row>
    <row r="1257" spans="1:7" ht="14.4" customHeight="1">
      <c r="A1257" s="693"/>
      <c r="B1257" s="1193"/>
      <c r="C1257" s="1202" t="s">
        <v>729</v>
      </c>
      <c r="D1257" s="1220"/>
      <c r="E1257" s="722"/>
      <c r="F1257" s="722"/>
      <c r="G1257"/>
    </row>
    <row r="1258" spans="1:7" ht="14.4" customHeight="1">
      <c r="A1258" s="1767"/>
      <c r="B1258" s="1193"/>
      <c r="C1258" s="2180" t="s">
        <v>12640</v>
      </c>
      <c r="D1258" s="1312"/>
      <c r="E1258" s="1292"/>
      <c r="F1258" s="1292"/>
      <c r="G1258"/>
    </row>
    <row r="1259" spans="1:7" ht="14.4" customHeight="1">
      <c r="A1259" s="1767"/>
      <c r="B1259" s="1193"/>
      <c r="C1259" s="2181"/>
      <c r="D1259" s="1312"/>
      <c r="E1259" s="1292"/>
      <c r="F1259" s="1292"/>
      <c r="G1259"/>
    </row>
    <row r="1260" spans="1:7" ht="14.4" customHeight="1">
      <c r="A1260" s="1638"/>
      <c r="B1260" s="1193">
        <v>1</v>
      </c>
      <c r="C1260" s="1202" t="s">
        <v>3412</v>
      </c>
      <c r="D1260" s="1220"/>
      <c r="E1260" s="1171"/>
      <c r="F1260" s="1171"/>
      <c r="G1260"/>
    </row>
    <row r="1261" spans="1:7" ht="14.4" customHeight="1">
      <c r="A1261" s="1638"/>
      <c r="B1261" s="1193">
        <v>1</v>
      </c>
      <c r="C1261" s="1202" t="s">
        <v>3413</v>
      </c>
      <c r="D1261" s="1220"/>
      <c r="E1261" s="1171"/>
      <c r="F1261" s="1171"/>
      <c r="G1261"/>
    </row>
    <row r="1262" spans="1:7" ht="14.4" customHeight="1" thickBot="1">
      <c r="A1262" s="1855"/>
      <c r="B1262" s="2182"/>
      <c r="C1262" s="1631"/>
      <c r="D1262" s="1641"/>
      <c r="E1262" s="1632"/>
      <c r="F1262" s="1632"/>
      <c r="G1262"/>
    </row>
    <row r="1263" spans="1:7" ht="14.4" customHeight="1" thickBot="1">
      <c r="A1263" s="1989">
        <v>32</v>
      </c>
      <c r="B1263" s="1630">
        <v>1</v>
      </c>
      <c r="C1263" s="1329" t="s">
        <v>12594</v>
      </c>
      <c r="D1263" s="1219">
        <v>4655</v>
      </c>
      <c r="E1263" s="1289"/>
      <c r="F1263" s="1289">
        <v>4655</v>
      </c>
      <c r="G1263"/>
    </row>
    <row r="1264" spans="1:7" ht="14.4" customHeight="1">
      <c r="A1264" s="685" t="s">
        <v>3064</v>
      </c>
      <c r="B1264" s="2178"/>
      <c r="C1264" s="2179"/>
      <c r="D1264" s="1312"/>
      <c r="E1264" s="1291"/>
      <c r="F1264" s="1291"/>
      <c r="G1264"/>
    </row>
    <row r="1265" spans="1:7" ht="14.4" customHeight="1">
      <c r="A1265" s="687" t="s">
        <v>12553</v>
      </c>
      <c r="B1265" s="1194">
        <v>1</v>
      </c>
      <c r="C1265" s="1201" t="s">
        <v>5103</v>
      </c>
      <c r="D1265" s="1220"/>
      <c r="E1265" s="1171"/>
      <c r="F1265" s="1171"/>
      <c r="G1265"/>
    </row>
    <row r="1266" spans="1:7" ht="14.4" customHeight="1">
      <c r="A1266" s="687" t="s">
        <v>4136</v>
      </c>
      <c r="B1266" s="1195">
        <v>3</v>
      </c>
      <c r="C1266" s="1191" t="s">
        <v>7374</v>
      </c>
      <c r="D1266" s="1220"/>
      <c r="E1266" s="722"/>
      <c r="F1266" s="722"/>
      <c r="G1266"/>
    </row>
    <row r="1267" spans="1:7" ht="14.4" customHeight="1">
      <c r="A1267" s="687"/>
      <c r="B1267" s="1195">
        <v>3</v>
      </c>
      <c r="C1267" s="1191" t="s">
        <v>7375</v>
      </c>
      <c r="D1267" s="1220"/>
      <c r="E1267" s="722"/>
      <c r="F1267" s="722"/>
      <c r="G1267"/>
    </row>
    <row r="1268" spans="1:7" ht="14.4" customHeight="1">
      <c r="A1268" s="687" t="s">
        <v>12356</v>
      </c>
      <c r="B1268" s="1199">
        <v>1</v>
      </c>
      <c r="C1268" s="1205" t="s">
        <v>3366</v>
      </c>
      <c r="D1268" s="1221"/>
      <c r="E1268" s="1172"/>
      <c r="F1268" s="1172"/>
      <c r="G1268"/>
    </row>
    <row r="1269" spans="1:7" ht="14.4" customHeight="1">
      <c r="A1269" s="687" t="s">
        <v>3542</v>
      </c>
      <c r="B1269" s="1194"/>
      <c r="C1269" s="1218"/>
      <c r="D1269" s="1220"/>
      <c r="E1269" s="1171"/>
      <c r="F1269" s="1171"/>
      <c r="G1269"/>
    </row>
    <row r="1270" spans="1:7" ht="14.4" customHeight="1">
      <c r="A1270" s="687"/>
      <c r="B1270" s="1195"/>
      <c r="C1270" s="1629" t="s">
        <v>12368</v>
      </c>
      <c r="D1270" s="1220"/>
      <c r="E1270" s="722"/>
      <c r="F1270" s="722"/>
      <c r="G1270"/>
    </row>
    <row r="1271" spans="1:7" ht="14.4" customHeight="1">
      <c r="A1271" s="1767"/>
      <c r="B1271" s="1193"/>
      <c r="C1271" s="1201" t="s">
        <v>3158</v>
      </c>
      <c r="D1271" s="1312"/>
      <c r="E1271" s="1292"/>
      <c r="F1271" s="1292"/>
      <c r="G1271"/>
    </row>
    <row r="1272" spans="1:7" ht="14.4" customHeight="1">
      <c r="A1272" s="687"/>
      <c r="B1272" s="1194">
        <v>1</v>
      </c>
      <c r="C1272" s="1202" t="s">
        <v>6597</v>
      </c>
      <c r="D1272" s="1312"/>
      <c r="E1272" s="1292"/>
      <c r="F1272" s="1292"/>
      <c r="G1272"/>
    </row>
    <row r="1273" spans="1:7" ht="14.4" customHeight="1">
      <c r="A1273" s="687"/>
      <c r="B1273" s="1193"/>
      <c r="C1273" s="1202" t="s">
        <v>729</v>
      </c>
      <c r="D1273" s="1220"/>
      <c r="E1273" s="722"/>
      <c r="F1273" s="722"/>
      <c r="G1273"/>
    </row>
    <row r="1274" spans="1:7" ht="14.4" customHeight="1">
      <c r="A1274" s="687"/>
      <c r="B1274" s="1196"/>
      <c r="C1274" s="1303" t="s">
        <v>9431</v>
      </c>
      <c r="D1274" s="1312"/>
      <c r="E1274" s="1292"/>
      <c r="F1274" s="1292"/>
      <c r="G1274"/>
    </row>
    <row r="1275" spans="1:7" ht="14.4" customHeight="1">
      <c r="A1275" s="693"/>
      <c r="B1275" s="1193">
        <v>2</v>
      </c>
      <c r="C1275" s="1202" t="s">
        <v>4206</v>
      </c>
      <c r="D1275" s="1312"/>
      <c r="E1275" s="1291"/>
      <c r="F1275" s="1291"/>
      <c r="G1275"/>
    </row>
    <row r="1276" spans="1:7" ht="14.4" customHeight="1">
      <c r="A1276" s="693"/>
      <c r="B1276" s="1196"/>
      <c r="C1276" s="1303" t="s">
        <v>12546</v>
      </c>
      <c r="D1276" s="1312"/>
      <c r="E1276" s="1292"/>
      <c r="F1276" s="1292"/>
      <c r="G1276"/>
    </row>
    <row r="1277" spans="1:7" ht="14.4" customHeight="1">
      <c r="A1277" s="693"/>
      <c r="B1277" s="1193">
        <v>3</v>
      </c>
      <c r="C1277" s="1202" t="s">
        <v>4183</v>
      </c>
      <c r="D1277" s="1312"/>
      <c r="E1277" s="1291"/>
      <c r="F1277" s="1291"/>
      <c r="G1277"/>
    </row>
    <row r="1278" spans="1:7" ht="14.4" customHeight="1">
      <c r="A1278" s="693"/>
      <c r="B1278" s="1193">
        <v>3</v>
      </c>
      <c r="C1278" s="1202" t="s">
        <v>5319</v>
      </c>
      <c r="D1278" s="1312"/>
      <c r="E1278" s="1291"/>
      <c r="F1278" s="1291"/>
      <c r="G1278"/>
    </row>
    <row r="1279" spans="1:7" ht="14.4" customHeight="1">
      <c r="A1279" s="693"/>
      <c r="B1279" s="1193">
        <v>1</v>
      </c>
      <c r="C1279" s="1202" t="s">
        <v>2927</v>
      </c>
      <c r="D1279" s="1312"/>
      <c r="E1279" s="1291"/>
      <c r="F1279" s="1291"/>
      <c r="G1279"/>
    </row>
    <row r="1280" spans="1:7" ht="14.4" customHeight="1">
      <c r="A1280" s="693"/>
      <c r="B1280" s="1193"/>
      <c r="C1280" s="1202" t="s">
        <v>729</v>
      </c>
      <c r="D1280" s="1220"/>
      <c r="E1280" s="722"/>
      <c r="F1280" s="722"/>
      <c r="G1280"/>
    </row>
    <row r="1281" spans="1:7" ht="14.4" customHeight="1">
      <c r="A1281" s="693"/>
      <c r="B1281" s="1196"/>
      <c r="C1281" s="1303" t="s">
        <v>12547</v>
      </c>
      <c r="D1281" s="1312"/>
      <c r="E1281" s="1292"/>
      <c r="F1281" s="1292"/>
      <c r="G1281"/>
    </row>
    <row r="1282" spans="1:7" ht="14.4" customHeight="1">
      <c r="A1282" s="693"/>
      <c r="B1282" s="1193">
        <v>3</v>
      </c>
      <c r="C1282" s="1202" t="s">
        <v>4205</v>
      </c>
      <c r="D1282" s="1312"/>
      <c r="E1282" s="1291"/>
      <c r="F1282" s="1291"/>
      <c r="G1282"/>
    </row>
    <row r="1283" spans="1:7" ht="14.4" customHeight="1">
      <c r="A1283" s="693"/>
      <c r="B1283" s="1193">
        <v>3</v>
      </c>
      <c r="C1283" s="1202" t="s">
        <v>5328</v>
      </c>
      <c r="D1283" s="1312"/>
      <c r="E1283" s="1291"/>
      <c r="F1283" s="1291"/>
      <c r="G1283"/>
    </row>
    <row r="1284" spans="1:7" ht="14.4" customHeight="1">
      <c r="A1284" s="693"/>
      <c r="B1284" s="1193">
        <v>1</v>
      </c>
      <c r="C1284" s="1202" t="s">
        <v>2927</v>
      </c>
      <c r="D1284" s="1312"/>
      <c r="E1284" s="1291"/>
      <c r="F1284" s="1291"/>
      <c r="G1284"/>
    </row>
    <row r="1285" spans="1:7" ht="14.4" customHeight="1">
      <c r="A1285" s="693"/>
      <c r="B1285" s="1193"/>
      <c r="C1285" s="1202" t="s">
        <v>729</v>
      </c>
      <c r="D1285" s="1220"/>
      <c r="E1285" s="722"/>
      <c r="F1285" s="722"/>
      <c r="G1285"/>
    </row>
    <row r="1286" spans="1:7" ht="14.4" customHeight="1">
      <c r="A1286" s="693"/>
      <c r="B1286" s="1196"/>
      <c r="C1286" s="1201" t="s">
        <v>3063</v>
      </c>
      <c r="D1286" s="1220"/>
      <c r="E1286" s="1171"/>
      <c r="F1286" s="1171"/>
      <c r="G1286"/>
    </row>
    <row r="1287" spans="1:7" ht="14.4" customHeight="1">
      <c r="A1287" s="691"/>
      <c r="B1287" s="1193">
        <v>1</v>
      </c>
      <c r="C1287" s="1202" t="s">
        <v>4206</v>
      </c>
      <c r="D1287" s="1312"/>
      <c r="E1287" s="1291"/>
      <c r="F1287" s="1291"/>
      <c r="G1287"/>
    </row>
    <row r="1288" spans="1:7" ht="14.4" customHeight="1">
      <c r="A1288" s="691"/>
      <c r="B1288" s="1193">
        <v>1</v>
      </c>
      <c r="C1288" s="1202" t="s">
        <v>6456</v>
      </c>
      <c r="D1288" s="1312"/>
      <c r="E1288" s="1291"/>
      <c r="F1288" s="1291"/>
      <c r="G1288"/>
    </row>
    <row r="1289" spans="1:7" ht="14.4" customHeight="1">
      <c r="A1289" s="692"/>
      <c r="B1289" s="1193"/>
      <c r="C1289" s="1202" t="s">
        <v>729</v>
      </c>
      <c r="D1289" s="1220"/>
      <c r="E1289" s="722"/>
      <c r="F1289" s="722"/>
      <c r="G1289"/>
    </row>
    <row r="1290" spans="1:7" ht="14.4" customHeight="1">
      <c r="A1290" s="693"/>
      <c r="B1290" s="1196">
        <v>1</v>
      </c>
      <c r="C1290" s="1201" t="s">
        <v>12445</v>
      </c>
      <c r="D1290" s="1220"/>
      <c r="E1290" s="1171"/>
      <c r="F1290" s="1171"/>
      <c r="G1290"/>
    </row>
    <row r="1291" spans="1:7" ht="14.4" customHeight="1">
      <c r="A1291" s="691"/>
      <c r="B1291" s="1193">
        <v>1</v>
      </c>
      <c r="C1291" s="1202" t="s">
        <v>1157</v>
      </c>
      <c r="D1291" s="1312"/>
      <c r="E1291" s="1291"/>
      <c r="F1291" s="1291"/>
      <c r="G1291"/>
    </row>
    <row r="1292" spans="1:7" ht="14.4" customHeight="1">
      <c r="A1292" s="691"/>
      <c r="B1292" s="1193">
        <v>1</v>
      </c>
      <c r="C1292" s="1202" t="s">
        <v>2426</v>
      </c>
      <c r="D1292" s="1312"/>
      <c r="E1292" s="1291"/>
      <c r="F1292" s="1291"/>
      <c r="G1292"/>
    </row>
    <row r="1293" spans="1:7" ht="14.4" customHeight="1">
      <c r="A1293" s="693"/>
      <c r="B1293" s="1193">
        <v>1</v>
      </c>
      <c r="C1293" s="1202" t="s">
        <v>2436</v>
      </c>
      <c r="D1293" s="1312"/>
      <c r="E1293" s="1291"/>
      <c r="F1293" s="1291"/>
      <c r="G1293"/>
    </row>
    <row r="1294" spans="1:7" ht="14.4" customHeight="1">
      <c r="A1294" s="693"/>
      <c r="B1294" s="1193"/>
      <c r="C1294" s="1202" t="s">
        <v>729</v>
      </c>
      <c r="D1294" s="1220"/>
      <c r="E1294" s="722"/>
      <c r="F1294" s="722"/>
      <c r="G1294"/>
    </row>
    <row r="1295" spans="1:7" ht="14.4" customHeight="1">
      <c r="A1295" s="1767"/>
      <c r="B1295" s="1193">
        <v>1</v>
      </c>
      <c r="C1295" s="1304" t="s">
        <v>12364</v>
      </c>
      <c r="D1295" s="1312"/>
      <c r="E1295" s="1292"/>
      <c r="F1295" s="1292"/>
      <c r="G1295"/>
    </row>
    <row r="1296" spans="1:7" ht="14.4" customHeight="1">
      <c r="A1296" s="1767"/>
      <c r="B1296" s="1193">
        <v>1</v>
      </c>
      <c r="C1296" s="1304" t="s">
        <v>12474</v>
      </c>
      <c r="D1296" s="1312"/>
      <c r="E1296" s="1292"/>
      <c r="F1296" s="1292"/>
      <c r="G1296"/>
    </row>
    <row r="1297" spans="1:7" ht="14.4" customHeight="1">
      <c r="A1297" s="693"/>
      <c r="B1297" s="1193"/>
      <c r="C1297" s="1202" t="s">
        <v>729</v>
      </c>
      <c r="D1297" s="1220"/>
      <c r="E1297" s="722"/>
      <c r="F1297" s="722"/>
      <c r="G1297"/>
    </row>
    <row r="1298" spans="1:7" ht="14.4" customHeight="1">
      <c r="A1298" s="693"/>
      <c r="B1298" s="1193">
        <v>1</v>
      </c>
      <c r="C1298" s="1202" t="s">
        <v>316</v>
      </c>
      <c r="D1298" s="1122"/>
      <c r="E1298" s="1295"/>
      <c r="F1298" s="1295"/>
      <c r="G1298"/>
    </row>
    <row r="1299" spans="1:7" ht="14.4" customHeight="1">
      <c r="A1299" s="693"/>
      <c r="B1299" s="1193"/>
      <c r="C1299" s="1202" t="s">
        <v>729</v>
      </c>
      <c r="D1299" s="1220"/>
      <c r="E1299" s="722"/>
      <c r="F1299" s="722"/>
      <c r="G1299"/>
    </row>
    <row r="1300" spans="1:7" ht="14.4" customHeight="1" thickBot="1">
      <c r="A1300" s="910"/>
      <c r="B1300" s="1636"/>
      <c r="C1300" s="1631"/>
      <c r="D1300" s="1641"/>
      <c r="E1300" s="1632"/>
      <c r="F1300" s="1632"/>
      <c r="G1300"/>
    </row>
    <row r="1301" spans="1:7" ht="14.4" customHeight="1" thickBot="1">
      <c r="A1301" s="1989">
        <v>33</v>
      </c>
      <c r="B1301" s="1630">
        <v>1</v>
      </c>
      <c r="C1301" s="1329" t="s">
        <v>12595</v>
      </c>
      <c r="D1301" s="1219">
        <v>4782</v>
      </c>
      <c r="E1301" s="1289"/>
      <c r="F1301" s="1289">
        <v>4782</v>
      </c>
      <c r="G1301"/>
    </row>
    <row r="1302" spans="1:7" ht="14.4" customHeight="1">
      <c r="A1302" s="685" t="s">
        <v>3064</v>
      </c>
      <c r="B1302" s="1192"/>
      <c r="C1302" s="1302"/>
      <c r="D1302" s="1312"/>
      <c r="E1302" s="1291"/>
      <c r="F1302" s="1291"/>
      <c r="G1302"/>
    </row>
    <row r="1303" spans="1:7" ht="14.4" customHeight="1">
      <c r="A1303" s="687" t="s">
        <v>12553</v>
      </c>
      <c r="B1303" s="1194">
        <v>1</v>
      </c>
      <c r="C1303" s="1201" t="s">
        <v>5103</v>
      </c>
      <c r="D1303" s="1220"/>
      <c r="E1303" s="1171"/>
      <c r="F1303" s="1171"/>
      <c r="G1303"/>
    </row>
    <row r="1304" spans="1:7" ht="14.4" customHeight="1">
      <c r="A1304" s="687" t="s">
        <v>4136</v>
      </c>
      <c r="B1304" s="1195">
        <v>3</v>
      </c>
      <c r="C1304" s="1191" t="s">
        <v>7374</v>
      </c>
      <c r="D1304" s="1220"/>
      <c r="E1304" s="722"/>
      <c r="F1304" s="722"/>
      <c r="G1304"/>
    </row>
    <row r="1305" spans="1:7" ht="14.4" customHeight="1">
      <c r="A1305" s="687"/>
      <c r="B1305" s="1195">
        <v>3</v>
      </c>
      <c r="C1305" s="1191" t="s">
        <v>7375</v>
      </c>
      <c r="D1305" s="1220"/>
      <c r="E1305" s="722"/>
      <c r="F1305" s="722"/>
      <c r="G1305"/>
    </row>
    <row r="1306" spans="1:7" ht="14.4" customHeight="1">
      <c r="A1306" s="687" t="s">
        <v>12356</v>
      </c>
      <c r="B1306" s="1199">
        <v>1</v>
      </c>
      <c r="C1306" s="1205" t="s">
        <v>3366</v>
      </c>
      <c r="D1306" s="1221"/>
      <c r="E1306" s="1172"/>
      <c r="F1306" s="1172"/>
      <c r="G1306"/>
    </row>
    <row r="1307" spans="1:7" ht="14.4" customHeight="1">
      <c r="A1307" s="687" t="s">
        <v>3542</v>
      </c>
      <c r="B1307" s="1194"/>
      <c r="C1307" s="1218"/>
      <c r="D1307" s="1220"/>
      <c r="E1307" s="1171"/>
      <c r="F1307" s="1171"/>
      <c r="G1307"/>
    </row>
    <row r="1308" spans="1:7" ht="14.4" customHeight="1">
      <c r="A1308" s="687"/>
      <c r="B1308" s="1195"/>
      <c r="C1308" s="1629" t="s">
        <v>12368</v>
      </c>
      <c r="D1308" s="1220"/>
      <c r="E1308" s="722"/>
      <c r="F1308" s="722"/>
      <c r="G1308"/>
    </row>
    <row r="1309" spans="1:7" ht="14.4" customHeight="1">
      <c r="A1309" s="1767"/>
      <c r="B1309" s="1192">
        <v>6</v>
      </c>
      <c r="C1309" s="1202" t="s">
        <v>12392</v>
      </c>
      <c r="D1309" s="1312"/>
      <c r="E1309" s="1291"/>
      <c r="F1309" s="1291"/>
      <c r="G1309"/>
    </row>
    <row r="1310" spans="1:7" ht="14.4" customHeight="1">
      <c r="A1310" s="687"/>
      <c r="B1310" s="1195"/>
      <c r="C1310" s="1629" t="s">
        <v>12368</v>
      </c>
      <c r="D1310" s="1220"/>
      <c r="E1310" s="722"/>
      <c r="F1310" s="722"/>
      <c r="G1310"/>
    </row>
    <row r="1311" spans="1:7" ht="14.4" customHeight="1">
      <c r="A1311" s="687"/>
      <c r="B1311" s="1193"/>
      <c r="C1311" s="1201" t="s">
        <v>12371</v>
      </c>
      <c r="D1311" s="1312"/>
      <c r="E1311" s="1292"/>
      <c r="F1311" s="1292"/>
      <c r="G1311"/>
    </row>
    <row r="1312" spans="1:7" ht="14.4" customHeight="1">
      <c r="A1312" s="692"/>
      <c r="B1312" s="1193">
        <v>1</v>
      </c>
      <c r="C1312" s="1202" t="s">
        <v>4313</v>
      </c>
      <c r="D1312" s="1312"/>
      <c r="E1312" s="1292"/>
      <c r="F1312" s="1292"/>
      <c r="G1312"/>
    </row>
    <row r="1313" spans="1:7" ht="14.4" customHeight="1">
      <c r="A1313" s="693"/>
      <c r="B1313" s="1193"/>
      <c r="C1313" s="1629" t="s">
        <v>12368</v>
      </c>
      <c r="D1313" s="1220"/>
      <c r="E1313" s="722"/>
      <c r="F1313" s="722"/>
      <c r="G1313"/>
    </row>
    <row r="1314" spans="1:7" ht="14.4" customHeight="1">
      <c r="A1314" s="693"/>
      <c r="B1314" s="1196"/>
      <c r="C1314" s="1201" t="s">
        <v>3063</v>
      </c>
      <c r="D1314" s="1220"/>
      <c r="E1314" s="1171"/>
      <c r="F1314" s="1171"/>
      <c r="G1314"/>
    </row>
    <row r="1315" spans="1:7" ht="14.4" customHeight="1">
      <c r="A1315" s="698"/>
      <c r="B1315" s="1197">
        <v>1</v>
      </c>
      <c r="C1315" s="1203" t="s">
        <v>12370</v>
      </c>
      <c r="D1315" s="1221"/>
      <c r="E1315" s="1172"/>
      <c r="F1315" s="1172"/>
      <c r="G1315"/>
    </row>
    <row r="1316" spans="1:7" ht="14.4" customHeight="1">
      <c r="A1316" s="687"/>
      <c r="B1316" s="1195"/>
      <c r="C1316" s="1629" t="s">
        <v>12368</v>
      </c>
      <c r="D1316" s="1220"/>
      <c r="E1316" s="722"/>
      <c r="F1316" s="722"/>
      <c r="G1316"/>
    </row>
    <row r="1317" spans="1:7" ht="14.4" customHeight="1">
      <c r="A1317" s="1767"/>
      <c r="B1317" s="1196"/>
      <c r="C1317" s="1303" t="s">
        <v>3377</v>
      </c>
      <c r="D1317" s="1312"/>
      <c r="E1317" s="1292"/>
      <c r="F1317" s="1292"/>
      <c r="G1317"/>
    </row>
    <row r="1318" spans="1:7" ht="14.4" customHeight="1">
      <c r="A1318" s="687"/>
      <c r="B1318" s="1193">
        <v>2</v>
      </c>
      <c r="C1318" s="1202" t="s">
        <v>4184</v>
      </c>
      <c r="D1318" s="1312"/>
      <c r="E1318" s="1292"/>
      <c r="F1318" s="1292"/>
      <c r="G1318"/>
    </row>
    <row r="1319" spans="1:7" ht="14.4" customHeight="1">
      <c r="A1319" s="692"/>
      <c r="B1319" s="1193"/>
      <c r="C1319" s="1202" t="s">
        <v>729</v>
      </c>
      <c r="D1319" s="1220"/>
      <c r="E1319" s="722"/>
      <c r="F1319" s="722"/>
      <c r="G1319"/>
    </row>
    <row r="1320" spans="1:7" ht="14.4" customHeight="1">
      <c r="A1320" s="693"/>
      <c r="B1320" s="1196"/>
      <c r="C1320" s="1201" t="s">
        <v>3063</v>
      </c>
      <c r="D1320" s="1220"/>
      <c r="E1320" s="1171"/>
      <c r="F1320" s="1171"/>
      <c r="G1320"/>
    </row>
    <row r="1321" spans="1:7" ht="14.4" customHeight="1">
      <c r="A1321" s="691"/>
      <c r="B1321" s="1193">
        <v>1</v>
      </c>
      <c r="C1321" s="1202" t="s">
        <v>4184</v>
      </c>
      <c r="D1321" s="1312"/>
      <c r="E1321" s="1291"/>
      <c r="F1321" s="1291"/>
      <c r="G1321"/>
    </row>
    <row r="1322" spans="1:7" ht="14.4" customHeight="1">
      <c r="A1322" s="691"/>
      <c r="B1322" s="1193">
        <v>2</v>
      </c>
      <c r="C1322" s="1202" t="s">
        <v>6449</v>
      </c>
      <c r="D1322" s="1312"/>
      <c r="E1322" s="1291"/>
      <c r="F1322" s="1291"/>
      <c r="G1322"/>
    </row>
    <row r="1323" spans="1:7" ht="14.4" customHeight="1">
      <c r="A1323" s="692"/>
      <c r="B1323" s="1193"/>
      <c r="C1323" s="1629" t="s">
        <v>12368</v>
      </c>
      <c r="D1323" s="1220"/>
      <c r="E1323" s="722"/>
      <c r="F1323" s="722"/>
      <c r="G1323"/>
    </row>
    <row r="1324" spans="1:7" ht="14.4" customHeight="1">
      <c r="A1324" s="693"/>
      <c r="B1324" s="1196"/>
      <c r="C1324" s="1201" t="s">
        <v>3063</v>
      </c>
      <c r="D1324" s="1220"/>
      <c r="E1324" s="1171"/>
      <c r="F1324" s="1171"/>
      <c r="G1324"/>
    </row>
    <row r="1325" spans="1:7" ht="14.4" customHeight="1">
      <c r="A1325" s="698"/>
      <c r="B1325" s="1197">
        <v>1</v>
      </c>
      <c r="C1325" s="1203" t="s">
        <v>12372</v>
      </c>
      <c r="D1325" s="1221"/>
      <c r="E1325" s="1172"/>
      <c r="F1325" s="1172"/>
      <c r="G1325"/>
    </row>
    <row r="1326" spans="1:7" ht="14.4" customHeight="1">
      <c r="A1326" s="687"/>
      <c r="B1326" s="1195"/>
      <c r="C1326" s="1629" t="s">
        <v>12368</v>
      </c>
      <c r="D1326" s="1220"/>
      <c r="E1326" s="722"/>
      <c r="F1326" s="722"/>
      <c r="G1326"/>
    </row>
    <row r="1327" spans="1:7" ht="14.4" customHeight="1">
      <c r="A1327" s="687"/>
      <c r="B1327" s="1193"/>
      <c r="C1327" s="1201" t="s">
        <v>12373</v>
      </c>
      <c r="D1327" s="1312"/>
      <c r="E1327" s="1292"/>
      <c r="F1327" s="1292"/>
      <c r="G1327"/>
    </row>
    <row r="1328" spans="1:7" ht="14.4" customHeight="1">
      <c r="A1328" s="687"/>
      <c r="B1328" s="1193"/>
      <c r="C1328" s="1629" t="s">
        <v>12368</v>
      </c>
      <c r="D1328" s="1220"/>
      <c r="E1328" s="722"/>
      <c r="F1328" s="722"/>
      <c r="G1328"/>
    </row>
    <row r="1329" spans="1:7" ht="14.4" customHeight="1">
      <c r="A1329" s="687"/>
      <c r="B1329" s="1194">
        <v>1</v>
      </c>
      <c r="C1329" s="1201" t="s">
        <v>12369</v>
      </c>
      <c r="D1329" s="1220"/>
      <c r="E1329" s="1171"/>
      <c r="F1329" s="1171"/>
      <c r="G1329"/>
    </row>
    <row r="1330" spans="1:7" ht="14.4" customHeight="1">
      <c r="A1330" s="698"/>
      <c r="B1330" s="1195">
        <v>2</v>
      </c>
      <c r="C1330" s="1191" t="s">
        <v>4184</v>
      </c>
      <c r="D1330" s="1220"/>
      <c r="E1330" s="722"/>
      <c r="F1330" s="722"/>
      <c r="G1330"/>
    </row>
    <row r="1331" spans="1:7" ht="14.4" customHeight="1">
      <c r="A1331" s="687"/>
      <c r="B1331" s="1199">
        <v>1</v>
      </c>
      <c r="C1331" s="1191" t="s">
        <v>5955</v>
      </c>
      <c r="D1331" s="1221"/>
      <c r="E1331" s="1172"/>
      <c r="F1331" s="1172"/>
      <c r="G1331"/>
    </row>
    <row r="1332" spans="1:7" ht="14.4" customHeight="1">
      <c r="A1332" s="687"/>
      <c r="B1332" s="1193"/>
      <c r="C1332" s="1629" t="s">
        <v>12368</v>
      </c>
      <c r="D1332" s="1220"/>
      <c r="E1332" s="722"/>
      <c r="F1332" s="722"/>
      <c r="G1332"/>
    </row>
    <row r="1333" spans="1:7" ht="14.4" customHeight="1">
      <c r="A1333" s="687"/>
      <c r="B1333" s="1196"/>
      <c r="C1333" s="1303" t="s">
        <v>2654</v>
      </c>
      <c r="D1333" s="1312"/>
      <c r="E1333" s="1292"/>
      <c r="F1333" s="1292"/>
      <c r="G1333"/>
    </row>
    <row r="1334" spans="1:7" ht="14.4" customHeight="1">
      <c r="A1334" s="687"/>
      <c r="B1334" s="1193">
        <v>5</v>
      </c>
      <c r="C1334" s="1202" t="s">
        <v>4183</v>
      </c>
      <c r="D1334" s="1312"/>
      <c r="E1334" s="1292"/>
      <c r="F1334" s="1292"/>
      <c r="G1334"/>
    </row>
    <row r="1335" spans="1:7" ht="14.4" customHeight="1">
      <c r="A1335" s="687"/>
      <c r="B1335" s="1193">
        <v>5</v>
      </c>
      <c r="C1335" s="1202" t="s">
        <v>2043</v>
      </c>
      <c r="D1335" s="1312"/>
      <c r="E1335" s="1292"/>
      <c r="F1335" s="1292"/>
      <c r="G1335"/>
    </row>
    <row r="1336" spans="1:7" ht="14.4" customHeight="1">
      <c r="A1336" s="687"/>
      <c r="B1336" s="1193">
        <v>1</v>
      </c>
      <c r="C1336" s="1202" t="s">
        <v>2927</v>
      </c>
      <c r="D1336" s="1312"/>
      <c r="E1336" s="1292"/>
      <c r="F1336" s="1292"/>
      <c r="G1336"/>
    </row>
    <row r="1337" spans="1:7" ht="14.4" customHeight="1">
      <c r="A1337" s="693"/>
      <c r="B1337" s="1193"/>
      <c r="C1337" s="1202" t="s">
        <v>729</v>
      </c>
      <c r="D1337" s="1220"/>
      <c r="E1337" s="722"/>
      <c r="F1337" s="722"/>
      <c r="G1337"/>
    </row>
    <row r="1338" spans="1:7" ht="14.4" customHeight="1">
      <c r="A1338" s="1767"/>
      <c r="B1338" s="1193">
        <v>1</v>
      </c>
      <c r="C1338" s="1304" t="s">
        <v>12364</v>
      </c>
      <c r="D1338" s="1312"/>
      <c r="E1338" s="1292"/>
      <c r="F1338" s="1292"/>
      <c r="G1338"/>
    </row>
    <row r="1339" spans="1:7" ht="14.4" customHeight="1">
      <c r="A1339" s="1767"/>
      <c r="B1339" s="1193">
        <v>1</v>
      </c>
      <c r="C1339" s="1304" t="s">
        <v>12474</v>
      </c>
      <c r="D1339" s="1312"/>
      <c r="E1339" s="1292"/>
      <c r="F1339" s="1292"/>
      <c r="G1339"/>
    </row>
    <row r="1340" spans="1:7" ht="14.4" customHeight="1">
      <c r="A1340" s="693"/>
      <c r="B1340" s="1193"/>
      <c r="C1340" s="1202" t="s">
        <v>729</v>
      </c>
      <c r="D1340" s="1220"/>
      <c r="E1340" s="722"/>
      <c r="F1340" s="722"/>
      <c r="G1340"/>
    </row>
    <row r="1341" spans="1:7" ht="14.4" customHeight="1">
      <c r="A1341" s="2192"/>
      <c r="B1341" s="1193">
        <v>1</v>
      </c>
      <c r="C1341" s="1202" t="s">
        <v>2910</v>
      </c>
      <c r="D1341" s="1640"/>
      <c r="E1341" s="722"/>
      <c r="F1341" s="722"/>
      <c r="G1341"/>
    </row>
    <row r="1342" spans="1:7" ht="14.4" customHeight="1">
      <c r="A1342" s="693"/>
      <c r="B1342" s="1193">
        <v>1</v>
      </c>
      <c r="C1342" s="1202" t="s">
        <v>316</v>
      </c>
      <c r="D1342" s="1122"/>
      <c r="E1342" s="1295"/>
      <c r="F1342" s="1295"/>
      <c r="G1342"/>
    </row>
    <row r="1343" spans="1:7" ht="14.4" customHeight="1">
      <c r="A1343" s="693"/>
      <c r="B1343" s="1193"/>
      <c r="C1343" s="1202" t="s">
        <v>729</v>
      </c>
      <c r="D1343" s="1220"/>
      <c r="E1343" s="722"/>
      <c r="F1343" s="722"/>
      <c r="G1343"/>
    </row>
    <row r="1344" spans="1:7" ht="14.4" customHeight="1" thickBot="1">
      <c r="A1344" s="1855"/>
      <c r="B1344" s="2182"/>
      <c r="C1344" s="1631"/>
      <c r="D1344" s="1641"/>
      <c r="E1344" s="1632"/>
      <c r="F1344" s="1632"/>
      <c r="G1344"/>
    </row>
    <row r="1345" spans="1:7" ht="14.4" customHeight="1" thickBot="1">
      <c r="A1345" s="1989">
        <v>34</v>
      </c>
      <c r="B1345" s="1630">
        <v>1</v>
      </c>
      <c r="C1345" s="1329" t="s">
        <v>12596</v>
      </c>
      <c r="D1345" s="1219">
        <v>11220</v>
      </c>
      <c r="E1345" s="1289"/>
      <c r="F1345" s="1289">
        <v>11220</v>
      </c>
      <c r="G1345"/>
    </row>
    <row r="1346" spans="1:7" ht="14.4" customHeight="1">
      <c r="A1346" s="685" t="s">
        <v>3064</v>
      </c>
      <c r="B1346" s="2178"/>
      <c r="C1346" s="2179"/>
      <c r="D1346" s="1312"/>
      <c r="E1346" s="1291"/>
      <c r="F1346" s="1291"/>
      <c r="G1346"/>
    </row>
    <row r="1347" spans="1:7" ht="14.4" customHeight="1">
      <c r="A1347" s="687" t="s">
        <v>12553</v>
      </c>
      <c r="B1347" s="1194">
        <v>1</v>
      </c>
      <c r="C1347" s="1201" t="s">
        <v>5103</v>
      </c>
      <c r="D1347" s="1220"/>
      <c r="E1347" s="1171"/>
      <c r="F1347" s="1171"/>
      <c r="G1347"/>
    </row>
    <row r="1348" spans="1:7" ht="14.4" customHeight="1">
      <c r="A1348" s="687" t="s">
        <v>4136</v>
      </c>
      <c r="B1348" s="1195">
        <v>3</v>
      </c>
      <c r="C1348" s="1191" t="s">
        <v>7374</v>
      </c>
      <c r="D1348" s="1220"/>
      <c r="E1348" s="722"/>
      <c r="F1348" s="722"/>
      <c r="G1348"/>
    </row>
    <row r="1349" spans="1:7" ht="14.4" customHeight="1">
      <c r="A1349" s="687"/>
      <c r="B1349" s="1195">
        <v>3</v>
      </c>
      <c r="C1349" s="1191" t="s">
        <v>7375</v>
      </c>
      <c r="D1349" s="1220"/>
      <c r="E1349" s="722"/>
      <c r="F1349" s="722"/>
      <c r="G1349"/>
    </row>
    <row r="1350" spans="1:7" ht="14.4" customHeight="1">
      <c r="A1350" s="687" t="s">
        <v>12356</v>
      </c>
      <c r="B1350" s="1199">
        <v>1</v>
      </c>
      <c r="C1350" s="1205" t="s">
        <v>3366</v>
      </c>
      <c r="D1350" s="1221"/>
      <c r="E1350" s="1172"/>
      <c r="F1350" s="1172"/>
      <c r="G1350"/>
    </row>
    <row r="1351" spans="1:7" ht="14.4" customHeight="1">
      <c r="A1351" s="687" t="s">
        <v>3542</v>
      </c>
      <c r="B1351" s="1194"/>
      <c r="C1351" s="1218"/>
      <c r="D1351" s="1220"/>
      <c r="E1351" s="1171"/>
      <c r="F1351" s="1171"/>
      <c r="G1351"/>
    </row>
    <row r="1352" spans="1:7" ht="14.4" customHeight="1">
      <c r="A1352" s="687"/>
      <c r="B1352" s="1195"/>
      <c r="C1352" s="1629" t="s">
        <v>12368</v>
      </c>
      <c r="D1352" s="1220"/>
      <c r="E1352" s="722"/>
      <c r="F1352" s="722"/>
      <c r="G1352"/>
    </row>
    <row r="1353" spans="1:7" ht="14.4" customHeight="1">
      <c r="A1353" s="693"/>
      <c r="B1353" s="1192">
        <v>6</v>
      </c>
      <c r="C1353" s="1202" t="s">
        <v>8588</v>
      </c>
      <c r="D1353" s="1312"/>
      <c r="E1353" s="1291"/>
      <c r="F1353" s="1291"/>
      <c r="G1353"/>
    </row>
    <row r="1354" spans="1:7" ht="14.4" customHeight="1">
      <c r="A1354" s="1638"/>
      <c r="B1354" s="1192"/>
      <c r="C1354" s="1304" t="s">
        <v>729</v>
      </c>
      <c r="D1354" s="1312"/>
      <c r="E1354" s="1291"/>
      <c r="F1354" s="1291"/>
      <c r="G1354"/>
    </row>
    <row r="1355" spans="1:7" ht="14.4" customHeight="1">
      <c r="A1355" s="691"/>
      <c r="B1355" s="1193"/>
      <c r="C1355" s="1201" t="s">
        <v>3158</v>
      </c>
      <c r="D1355" s="1312"/>
      <c r="E1355" s="1292"/>
      <c r="F1355" s="1292"/>
      <c r="G1355"/>
    </row>
    <row r="1356" spans="1:7" ht="14.4" customHeight="1">
      <c r="A1356" s="687"/>
      <c r="B1356" s="1193">
        <v>1</v>
      </c>
      <c r="C1356" s="1202" t="s">
        <v>4428</v>
      </c>
      <c r="D1356" s="1312"/>
      <c r="E1356" s="1292"/>
      <c r="F1356" s="1292"/>
      <c r="G1356"/>
    </row>
    <row r="1357" spans="1:7" ht="14.4" customHeight="1">
      <c r="A1357" s="687"/>
      <c r="B1357" s="1193"/>
      <c r="C1357" s="1202" t="s">
        <v>729</v>
      </c>
      <c r="D1357" s="1220"/>
      <c r="E1357" s="722"/>
      <c r="F1357" s="722"/>
      <c r="G1357"/>
    </row>
    <row r="1358" spans="1:7" ht="14.4" customHeight="1">
      <c r="A1358" s="693"/>
      <c r="B1358" s="1294">
        <v>1</v>
      </c>
      <c r="C1358" s="1303" t="s">
        <v>12620</v>
      </c>
      <c r="D1358" s="1220"/>
      <c r="E1358" s="722"/>
      <c r="F1358" s="722"/>
      <c r="G1358"/>
    </row>
    <row r="1359" spans="1:7" ht="14.4" customHeight="1">
      <c r="A1359" s="692"/>
      <c r="B1359" s="1199">
        <v>1</v>
      </c>
      <c r="C1359" s="1205" t="s">
        <v>3378</v>
      </c>
      <c r="D1359" s="1221"/>
      <c r="E1359" s="1172"/>
      <c r="F1359" s="1172"/>
      <c r="G1359"/>
    </row>
    <row r="1360" spans="1:7" ht="14.4" customHeight="1">
      <c r="A1360" s="687"/>
      <c r="B1360" s="1195">
        <v>1</v>
      </c>
      <c r="C1360" s="1191" t="s">
        <v>3519</v>
      </c>
      <c r="D1360" s="1220"/>
      <c r="E1360" s="1171"/>
      <c r="F1360" s="1171"/>
      <c r="G1360"/>
    </row>
    <row r="1361" spans="1:7" ht="14.4" customHeight="1">
      <c r="A1361" s="687"/>
      <c r="B1361" s="1195">
        <v>1</v>
      </c>
      <c r="C1361" s="1191" t="s">
        <v>6734</v>
      </c>
      <c r="D1361" s="1220"/>
      <c r="E1361" s="1171"/>
      <c r="F1361" s="1171"/>
      <c r="G1361"/>
    </row>
    <row r="1362" spans="1:7" ht="14.4" customHeight="1">
      <c r="A1362" s="687"/>
      <c r="B1362" s="1195">
        <v>1</v>
      </c>
      <c r="C1362" s="1191" t="s">
        <v>7374</v>
      </c>
      <c r="D1362" s="1220"/>
      <c r="E1362" s="1171"/>
      <c r="F1362" s="1171"/>
      <c r="G1362"/>
    </row>
    <row r="1363" spans="1:7" ht="14.4" customHeight="1">
      <c r="A1363" s="687"/>
      <c r="B1363" s="1195">
        <v>1</v>
      </c>
      <c r="C1363" s="1191" t="s">
        <v>7375</v>
      </c>
      <c r="D1363" s="1220"/>
      <c r="E1363" s="1171"/>
      <c r="F1363" s="1171"/>
      <c r="G1363"/>
    </row>
    <row r="1364" spans="1:7" ht="14.4" customHeight="1">
      <c r="A1364" s="687"/>
      <c r="B1364" s="1195">
        <v>1</v>
      </c>
      <c r="C1364" s="1191" t="s">
        <v>2436</v>
      </c>
      <c r="D1364" s="1220"/>
      <c r="E1364" s="1171"/>
      <c r="F1364" s="1171"/>
      <c r="G1364"/>
    </row>
    <row r="1365" spans="1:7" ht="14.4" customHeight="1">
      <c r="A1365" s="687"/>
      <c r="B1365" s="1195">
        <v>1</v>
      </c>
      <c r="C1365" s="1191" t="s">
        <v>4660</v>
      </c>
      <c r="D1365" s="1220"/>
      <c r="E1365" s="1171"/>
      <c r="F1365" s="1171"/>
      <c r="G1365"/>
    </row>
    <row r="1366" spans="1:7" ht="14.4" customHeight="1">
      <c r="A1366" s="1208"/>
      <c r="B1366" s="1199">
        <v>1</v>
      </c>
      <c r="C1366" s="1205" t="s">
        <v>3379</v>
      </c>
      <c r="D1366" s="1221"/>
      <c r="E1366" s="1172"/>
      <c r="F1366" s="1172"/>
      <c r="G1366"/>
    </row>
    <row r="1367" spans="1:7" ht="14.4" customHeight="1">
      <c r="A1367" s="687"/>
      <c r="B1367" s="1193"/>
      <c r="C1367" s="1202" t="s">
        <v>729</v>
      </c>
      <c r="D1367" s="1220"/>
      <c r="E1367" s="722"/>
      <c r="F1367" s="722"/>
      <c r="G1367"/>
    </row>
    <row r="1368" spans="1:7" ht="14.4" customHeight="1">
      <c r="A1368" s="687"/>
      <c r="B1368" s="1193"/>
      <c r="C1368" s="1627" t="s">
        <v>11663</v>
      </c>
      <c r="D1368" s="1312"/>
      <c r="E1368" s="722"/>
      <c r="F1368" s="722"/>
      <c r="G1368"/>
    </row>
    <row r="1369" spans="1:7" ht="14.4" customHeight="1">
      <c r="A1369" s="687"/>
      <c r="B1369" s="1193">
        <v>1</v>
      </c>
      <c r="C1369" s="1202" t="s">
        <v>12165</v>
      </c>
      <c r="D1369" s="1312"/>
      <c r="E1369" s="722"/>
      <c r="F1369" s="722"/>
      <c r="G1369"/>
    </row>
    <row r="1370" spans="1:7" ht="14.4" customHeight="1">
      <c r="A1370" s="687"/>
      <c r="B1370" s="1193">
        <v>3</v>
      </c>
      <c r="C1370" s="1202" t="s">
        <v>8261</v>
      </c>
      <c r="D1370" s="1312"/>
      <c r="E1370" s="722"/>
      <c r="F1370" s="722"/>
      <c r="G1370"/>
    </row>
    <row r="1371" spans="1:7" ht="14.4" customHeight="1">
      <c r="A1371" s="687"/>
      <c r="B1371" s="1193">
        <v>5</v>
      </c>
      <c r="C1371" s="1202" t="s">
        <v>8288</v>
      </c>
      <c r="D1371" s="1312"/>
      <c r="E1371" s="722"/>
      <c r="F1371" s="722"/>
      <c r="G1371"/>
    </row>
    <row r="1372" spans="1:7" ht="14.4" customHeight="1">
      <c r="A1372" s="687"/>
      <c r="B1372" s="1193">
        <v>6</v>
      </c>
      <c r="C1372" s="1202" t="s">
        <v>8275</v>
      </c>
      <c r="D1372" s="1312"/>
      <c r="E1372" s="722"/>
      <c r="F1372" s="722"/>
      <c r="G1372"/>
    </row>
    <row r="1373" spans="1:7" ht="14.4" customHeight="1">
      <c r="A1373" s="693"/>
      <c r="B1373" s="1193"/>
      <c r="C1373" s="1202" t="s">
        <v>729</v>
      </c>
      <c r="D1373" s="1220"/>
      <c r="E1373" s="722"/>
      <c r="F1373" s="722"/>
      <c r="G1373"/>
    </row>
    <row r="1374" spans="1:7" ht="14.4" customHeight="1">
      <c r="A1374" s="1767"/>
      <c r="B1374" s="1196"/>
      <c r="C1374" s="1303" t="s">
        <v>3377</v>
      </c>
      <c r="D1374" s="1312"/>
      <c r="E1374" s="1292"/>
      <c r="F1374" s="1292"/>
      <c r="G1374"/>
    </row>
    <row r="1375" spans="1:7" ht="14.4" customHeight="1">
      <c r="A1375" s="1767"/>
      <c r="B1375" s="1193">
        <v>1</v>
      </c>
      <c r="C1375" s="1202" t="s">
        <v>4428</v>
      </c>
      <c r="D1375" s="1312"/>
      <c r="E1375" s="1291"/>
      <c r="F1375" s="1291"/>
      <c r="G1375"/>
    </row>
    <row r="1376" spans="1:7" ht="14.4" customHeight="1">
      <c r="A1376" s="1767"/>
      <c r="B1376" s="1193">
        <v>1</v>
      </c>
      <c r="C1376" s="1202" t="s">
        <v>4425</v>
      </c>
      <c r="D1376" s="1312"/>
      <c r="E1376" s="1291"/>
      <c r="F1376" s="1291"/>
      <c r="G1376"/>
    </row>
    <row r="1377" spans="1:7" ht="14.4" customHeight="1">
      <c r="A1377" s="1767"/>
      <c r="B1377" s="1193">
        <v>2</v>
      </c>
      <c r="C1377" s="1202" t="s">
        <v>2933</v>
      </c>
      <c r="D1377" s="1312"/>
      <c r="E1377" s="1291"/>
      <c r="F1377" s="1291"/>
      <c r="G1377"/>
    </row>
    <row r="1378" spans="1:7" ht="14.4" customHeight="1">
      <c r="A1378" s="692"/>
      <c r="B1378" s="1193"/>
      <c r="C1378" s="1202" t="s">
        <v>729</v>
      </c>
      <c r="D1378" s="1220"/>
      <c r="E1378" s="722"/>
      <c r="F1378" s="722"/>
      <c r="G1378"/>
    </row>
    <row r="1379" spans="1:7" ht="14.4" customHeight="1">
      <c r="A1379" s="693"/>
      <c r="B1379" s="1196"/>
      <c r="C1379" s="1201" t="s">
        <v>3063</v>
      </c>
      <c r="D1379" s="1220"/>
      <c r="E1379" s="1171"/>
      <c r="F1379" s="1171"/>
      <c r="G1379"/>
    </row>
    <row r="1380" spans="1:7" ht="14.4" customHeight="1">
      <c r="A1380" s="691"/>
      <c r="B1380" s="1193">
        <v>1</v>
      </c>
      <c r="C1380" s="1202" t="s">
        <v>4427</v>
      </c>
      <c r="D1380" s="1312"/>
      <c r="E1380" s="1291"/>
      <c r="F1380" s="1291"/>
      <c r="G1380"/>
    </row>
    <row r="1381" spans="1:7" ht="14.4" customHeight="1">
      <c r="A1381" s="691"/>
      <c r="B1381" s="1193">
        <v>1</v>
      </c>
      <c r="C1381" s="1202" t="s">
        <v>12358</v>
      </c>
      <c r="D1381" s="1312"/>
      <c r="E1381" s="1291"/>
      <c r="F1381" s="1291"/>
      <c r="G1381"/>
    </row>
    <row r="1382" spans="1:7" ht="14.4" customHeight="1">
      <c r="A1382" s="692"/>
      <c r="B1382" s="1193"/>
      <c r="C1382" s="1202" t="s">
        <v>729</v>
      </c>
      <c r="D1382" s="1220"/>
      <c r="E1382" s="722"/>
      <c r="F1382" s="722"/>
      <c r="G1382"/>
    </row>
    <row r="1383" spans="1:7" ht="14.4" customHeight="1">
      <c r="A1383" s="1767"/>
      <c r="B1383" s="1193">
        <v>1</v>
      </c>
      <c r="C1383" s="1304" t="s">
        <v>12366</v>
      </c>
      <c r="D1383" s="1312"/>
      <c r="E1383" s="1292"/>
      <c r="F1383" s="1292"/>
      <c r="G1383"/>
    </row>
    <row r="1384" spans="1:7" ht="14.4" customHeight="1">
      <c r="A1384" s="693"/>
      <c r="B1384" s="1193"/>
      <c r="C1384" s="1202" t="s">
        <v>729</v>
      </c>
      <c r="D1384" s="1220"/>
      <c r="E1384" s="722"/>
      <c r="F1384" s="722"/>
      <c r="G1384"/>
    </row>
    <row r="1385" spans="1:7" ht="14.4" customHeight="1">
      <c r="A1385" s="1767"/>
      <c r="B1385" s="1193">
        <v>1</v>
      </c>
      <c r="C1385" s="1304" t="s">
        <v>12364</v>
      </c>
      <c r="D1385" s="1312"/>
      <c r="E1385" s="1292"/>
      <c r="F1385" s="1292"/>
      <c r="G1385"/>
    </row>
    <row r="1386" spans="1:7" ht="14.4" customHeight="1">
      <c r="A1386" s="1767"/>
      <c r="B1386" s="1193">
        <v>1</v>
      </c>
      <c r="C1386" s="1304" t="s">
        <v>12474</v>
      </c>
      <c r="D1386" s="1312"/>
      <c r="E1386" s="1292"/>
      <c r="F1386" s="1292"/>
      <c r="G1386"/>
    </row>
    <row r="1387" spans="1:7" ht="14.4" customHeight="1">
      <c r="A1387" s="693"/>
      <c r="B1387" s="1193"/>
      <c r="C1387" s="1202" t="s">
        <v>729</v>
      </c>
      <c r="D1387" s="1220"/>
      <c r="E1387" s="722"/>
      <c r="F1387" s="722"/>
      <c r="G1387"/>
    </row>
    <row r="1388" spans="1:7" ht="14.4" customHeight="1">
      <c r="A1388" s="693"/>
      <c r="B1388" s="1193">
        <v>1</v>
      </c>
      <c r="C1388" s="1202" t="s">
        <v>316</v>
      </c>
      <c r="D1388" s="1122"/>
      <c r="E1388" s="1295"/>
      <c r="F1388" s="1295"/>
      <c r="G1388"/>
    </row>
    <row r="1389" spans="1:7" ht="14.4" customHeight="1">
      <c r="A1389" s="693"/>
      <c r="B1389" s="1193"/>
      <c r="C1389" s="1202" t="s">
        <v>729</v>
      </c>
      <c r="D1389" s="1220"/>
      <c r="E1389" s="722"/>
      <c r="F1389" s="722"/>
      <c r="G1389"/>
    </row>
    <row r="1390" spans="1:7" ht="14.4" customHeight="1" thickBot="1">
      <c r="A1390" s="1855"/>
      <c r="B1390" s="2182"/>
      <c r="C1390" s="1631"/>
      <c r="D1390" s="1641"/>
      <c r="E1390" s="1632"/>
      <c r="F1390" s="1632"/>
      <c r="G1390"/>
    </row>
    <row r="1391" spans="1:7" ht="14.4" customHeight="1" thickBot="1">
      <c r="A1391" s="1989">
        <v>35</v>
      </c>
      <c r="B1391" s="1630">
        <v>1</v>
      </c>
      <c r="C1391" s="1329" t="s">
        <v>12597</v>
      </c>
      <c r="D1391" s="1219">
        <v>13351</v>
      </c>
      <c r="E1391" s="1289"/>
      <c r="F1391" s="1289">
        <v>13351</v>
      </c>
      <c r="G1391"/>
    </row>
    <row r="1392" spans="1:7" ht="14.4" customHeight="1">
      <c r="A1392" s="685" t="s">
        <v>3064</v>
      </c>
      <c r="B1392" s="2178"/>
      <c r="C1392" s="2179"/>
      <c r="D1392" s="1312"/>
      <c r="E1392" s="1291"/>
      <c r="F1392" s="1291"/>
      <c r="G1392"/>
    </row>
    <row r="1393" spans="1:7" ht="14.4" customHeight="1">
      <c r="A1393" s="687" t="s">
        <v>4136</v>
      </c>
      <c r="B1393" s="1194">
        <v>1</v>
      </c>
      <c r="C1393" s="1201" t="s">
        <v>5103</v>
      </c>
      <c r="D1393" s="1220"/>
      <c r="E1393" s="1171"/>
      <c r="F1393" s="1171"/>
      <c r="G1393"/>
    </row>
    <row r="1394" spans="1:7" ht="14.4" customHeight="1">
      <c r="A1394" s="687"/>
      <c r="B1394" s="1195">
        <v>3</v>
      </c>
      <c r="C1394" s="1191" t="s">
        <v>7374</v>
      </c>
      <c r="D1394" s="1220"/>
      <c r="E1394" s="722"/>
      <c r="F1394" s="722"/>
      <c r="G1394"/>
    </row>
    <row r="1395" spans="1:7" ht="14.4" customHeight="1">
      <c r="A1395" s="687" t="s">
        <v>12356</v>
      </c>
      <c r="B1395" s="1195">
        <v>3</v>
      </c>
      <c r="C1395" s="1191" t="s">
        <v>7375</v>
      </c>
      <c r="D1395" s="1220"/>
      <c r="E1395" s="722"/>
      <c r="F1395" s="722"/>
      <c r="G1395"/>
    </row>
    <row r="1396" spans="1:7" ht="14.4" customHeight="1">
      <c r="A1396" s="687" t="s">
        <v>12378</v>
      </c>
      <c r="B1396" s="1199">
        <v>1</v>
      </c>
      <c r="C1396" s="1205" t="s">
        <v>3366</v>
      </c>
      <c r="D1396" s="1221"/>
      <c r="E1396" s="1172"/>
      <c r="F1396" s="1172"/>
      <c r="G1396"/>
    </row>
    <row r="1397" spans="1:7" ht="14.4" customHeight="1">
      <c r="A1397" s="687"/>
      <c r="B1397" s="1194"/>
      <c r="C1397" s="1218"/>
      <c r="D1397" s="1220"/>
      <c r="E1397" s="1171"/>
      <c r="F1397" s="1171"/>
      <c r="G1397"/>
    </row>
    <row r="1398" spans="1:7" ht="14.4" customHeight="1">
      <c r="A1398" s="687"/>
      <c r="B1398" s="1195"/>
      <c r="C1398" s="1629" t="s">
        <v>12368</v>
      </c>
      <c r="D1398" s="1220"/>
      <c r="E1398" s="722"/>
      <c r="F1398" s="722"/>
      <c r="G1398"/>
    </row>
    <row r="1399" spans="1:7" ht="14.4" customHeight="1">
      <c r="A1399" s="1638"/>
      <c r="B1399" s="1192">
        <v>6</v>
      </c>
      <c r="C1399" s="1202" t="s">
        <v>8588</v>
      </c>
      <c r="D1399" s="1312"/>
      <c r="E1399" s="1291"/>
      <c r="F1399" s="1291"/>
      <c r="G1399"/>
    </row>
    <row r="1400" spans="1:7" ht="14.4" customHeight="1">
      <c r="A1400" s="691"/>
      <c r="B1400" s="1192"/>
      <c r="C1400" s="1304" t="s">
        <v>729</v>
      </c>
      <c r="D1400" s="1312"/>
      <c r="E1400" s="1291"/>
      <c r="F1400" s="1291"/>
      <c r="G1400"/>
    </row>
    <row r="1401" spans="1:7" ht="14.4" customHeight="1">
      <c r="A1401" s="687"/>
      <c r="B1401" s="1193"/>
      <c r="C1401" s="1201" t="s">
        <v>3158</v>
      </c>
      <c r="D1401" s="1312"/>
      <c r="E1401" s="1292"/>
      <c r="F1401" s="1292"/>
      <c r="G1401"/>
    </row>
    <row r="1402" spans="1:7" ht="14.4" customHeight="1">
      <c r="A1402" s="687"/>
      <c r="B1402" s="1193">
        <v>1</v>
      </c>
      <c r="C1402" s="1202" t="s">
        <v>4428</v>
      </c>
      <c r="D1402" s="1312"/>
      <c r="E1402" s="1292"/>
      <c r="F1402" s="1292"/>
      <c r="G1402"/>
    </row>
    <row r="1403" spans="1:7" ht="14.4" customHeight="1">
      <c r="A1403" s="687"/>
      <c r="B1403" s="1193"/>
      <c r="C1403" s="1202" t="s">
        <v>729</v>
      </c>
      <c r="D1403" s="1220"/>
      <c r="E1403" s="722"/>
      <c r="F1403" s="722"/>
      <c r="G1403"/>
    </row>
    <row r="1404" spans="1:7" ht="14.4" customHeight="1">
      <c r="A1404" s="687"/>
      <c r="B1404" s="1294">
        <v>1</v>
      </c>
      <c r="C1404" s="1303" t="s">
        <v>12620</v>
      </c>
      <c r="D1404" s="1220"/>
      <c r="E1404" s="722"/>
      <c r="F1404" s="722"/>
      <c r="G1404"/>
    </row>
    <row r="1405" spans="1:7" ht="14.4" customHeight="1">
      <c r="A1405" s="687"/>
      <c r="B1405" s="1199">
        <v>1</v>
      </c>
      <c r="C1405" s="1205" t="s">
        <v>3378</v>
      </c>
      <c r="D1405" s="1221"/>
      <c r="E1405" s="1172"/>
      <c r="F1405" s="1172"/>
      <c r="G1405"/>
    </row>
    <row r="1406" spans="1:7" ht="14.4" customHeight="1">
      <c r="A1406" s="687"/>
      <c r="B1406" s="1195">
        <v>1</v>
      </c>
      <c r="C1406" s="1191" t="s">
        <v>3519</v>
      </c>
      <c r="D1406" s="1220"/>
      <c r="E1406" s="1171"/>
      <c r="F1406" s="1171"/>
      <c r="G1406"/>
    </row>
    <row r="1407" spans="1:7" ht="14.4" customHeight="1">
      <c r="A1407" s="687"/>
      <c r="B1407" s="1195">
        <v>1</v>
      </c>
      <c r="C1407" s="1191" t="s">
        <v>6734</v>
      </c>
      <c r="D1407" s="1220"/>
      <c r="E1407" s="1171"/>
      <c r="F1407" s="1171"/>
      <c r="G1407"/>
    </row>
    <row r="1408" spans="1:7" ht="14.4" customHeight="1">
      <c r="A1408" s="687"/>
      <c r="B1408" s="1195">
        <v>1</v>
      </c>
      <c r="C1408" s="1191" t="s">
        <v>7374</v>
      </c>
      <c r="D1408" s="1220"/>
      <c r="E1408" s="1171"/>
      <c r="F1408" s="1171"/>
      <c r="G1408"/>
    </row>
    <row r="1409" spans="1:7" ht="14.4" customHeight="1">
      <c r="A1409" s="687"/>
      <c r="B1409" s="1195">
        <v>1</v>
      </c>
      <c r="C1409" s="1191" t="s">
        <v>7375</v>
      </c>
      <c r="D1409" s="1220"/>
      <c r="E1409" s="1171"/>
      <c r="F1409" s="1171"/>
      <c r="G1409"/>
    </row>
    <row r="1410" spans="1:7" ht="14.4" customHeight="1">
      <c r="A1410" s="687"/>
      <c r="B1410" s="1195">
        <v>1</v>
      </c>
      <c r="C1410" s="1191" t="s">
        <v>2436</v>
      </c>
      <c r="D1410" s="1220"/>
      <c r="E1410" s="1171"/>
      <c r="F1410" s="1171"/>
      <c r="G1410"/>
    </row>
    <row r="1411" spans="1:7" ht="14.4" customHeight="1">
      <c r="A1411" s="687"/>
      <c r="B1411" s="1195">
        <v>1</v>
      </c>
      <c r="C1411" s="1191" t="s">
        <v>4660</v>
      </c>
      <c r="D1411" s="1220"/>
      <c r="E1411" s="1171"/>
      <c r="F1411" s="1171"/>
      <c r="G1411"/>
    </row>
    <row r="1412" spans="1:7" ht="14.4" customHeight="1">
      <c r="A1412" s="1208"/>
      <c r="B1412" s="1199">
        <v>1</v>
      </c>
      <c r="C1412" s="1205" t="s">
        <v>3379</v>
      </c>
      <c r="D1412" s="1221"/>
      <c r="E1412" s="1172"/>
      <c r="F1412" s="1172"/>
      <c r="G1412"/>
    </row>
    <row r="1413" spans="1:7" ht="14.4" customHeight="1">
      <c r="A1413" s="687"/>
      <c r="B1413" s="1193"/>
      <c r="C1413" s="1202" t="s">
        <v>729</v>
      </c>
      <c r="D1413" s="1220"/>
      <c r="E1413" s="722"/>
      <c r="F1413" s="722"/>
      <c r="G1413"/>
    </row>
    <row r="1414" spans="1:7" ht="14.4" customHeight="1">
      <c r="A1414" s="687"/>
      <c r="B1414" s="1193"/>
      <c r="C1414" s="1627" t="s">
        <v>11663</v>
      </c>
      <c r="D1414" s="1312"/>
      <c r="E1414" s="722"/>
      <c r="F1414" s="722"/>
      <c r="G1414"/>
    </row>
    <row r="1415" spans="1:7" ht="14.4" customHeight="1">
      <c r="A1415" s="687"/>
      <c r="B1415" s="1193">
        <v>1</v>
      </c>
      <c r="C1415" s="1202" t="s">
        <v>12165</v>
      </c>
      <c r="D1415" s="1312"/>
      <c r="E1415" s="722"/>
      <c r="F1415" s="722"/>
      <c r="G1415"/>
    </row>
    <row r="1416" spans="1:7" ht="14.4" customHeight="1">
      <c r="A1416" s="687"/>
      <c r="B1416" s="1193">
        <v>3</v>
      </c>
      <c r="C1416" s="1202" t="s">
        <v>8261</v>
      </c>
      <c r="D1416" s="1312"/>
      <c r="E1416" s="722"/>
      <c r="F1416" s="722"/>
      <c r="G1416"/>
    </row>
    <row r="1417" spans="1:7" ht="14.4" customHeight="1">
      <c r="A1417" s="687"/>
      <c r="B1417" s="1193">
        <v>5</v>
      </c>
      <c r="C1417" s="1202" t="s">
        <v>8288</v>
      </c>
      <c r="D1417" s="1312"/>
      <c r="E1417" s="722"/>
      <c r="F1417" s="722"/>
      <c r="G1417"/>
    </row>
    <row r="1418" spans="1:7" ht="14.4" customHeight="1">
      <c r="A1418" s="687"/>
      <c r="B1418" s="1193">
        <v>6</v>
      </c>
      <c r="C1418" s="1202" t="s">
        <v>8275</v>
      </c>
      <c r="D1418" s="1312"/>
      <c r="E1418" s="722"/>
      <c r="F1418" s="722"/>
      <c r="G1418"/>
    </row>
    <row r="1419" spans="1:7" ht="14.4" customHeight="1">
      <c r="A1419" s="693"/>
      <c r="B1419" s="1193"/>
      <c r="C1419" s="1202" t="s">
        <v>729</v>
      </c>
      <c r="D1419" s="1220"/>
      <c r="E1419" s="722"/>
      <c r="F1419" s="722"/>
      <c r="G1419"/>
    </row>
    <row r="1420" spans="1:7" ht="14.4" customHeight="1">
      <c r="A1420" s="1767"/>
      <c r="B1420" s="1196"/>
      <c r="C1420" s="1303" t="s">
        <v>3377</v>
      </c>
      <c r="D1420" s="1312"/>
      <c r="E1420" s="1292"/>
      <c r="F1420" s="1292"/>
      <c r="G1420"/>
    </row>
    <row r="1421" spans="1:7" ht="14.4" customHeight="1">
      <c r="A1421" s="1767"/>
      <c r="B1421" s="1193">
        <v>1</v>
      </c>
      <c r="C1421" s="1202" t="s">
        <v>4428</v>
      </c>
      <c r="D1421" s="1312"/>
      <c r="E1421" s="1291"/>
      <c r="F1421" s="1291"/>
      <c r="G1421"/>
    </row>
    <row r="1422" spans="1:7" ht="14.4" customHeight="1">
      <c r="A1422" s="1767"/>
      <c r="B1422" s="1193">
        <v>1</v>
      </c>
      <c r="C1422" s="1202" t="s">
        <v>4426</v>
      </c>
      <c r="D1422" s="1312"/>
      <c r="E1422" s="1291"/>
      <c r="F1422" s="1291"/>
      <c r="G1422"/>
    </row>
    <row r="1423" spans="1:7" ht="14.4" customHeight="1">
      <c r="A1423" s="1767"/>
      <c r="B1423" s="1193">
        <v>1</v>
      </c>
      <c r="C1423" s="1202" t="s">
        <v>4425</v>
      </c>
      <c r="D1423" s="1312"/>
      <c r="E1423" s="1291"/>
      <c r="F1423" s="1291"/>
      <c r="G1423"/>
    </row>
    <row r="1424" spans="1:7" ht="14.4" customHeight="1">
      <c r="A1424" s="1767"/>
      <c r="B1424" s="1193">
        <v>3</v>
      </c>
      <c r="C1424" s="1202" t="s">
        <v>4424</v>
      </c>
      <c r="D1424" s="1312"/>
      <c r="E1424" s="1291"/>
      <c r="F1424" s="1291"/>
      <c r="G1424"/>
    </row>
    <row r="1425" spans="1:7" ht="14.4" customHeight="1">
      <c r="A1425" s="1767"/>
      <c r="B1425" s="1193">
        <v>2</v>
      </c>
      <c r="C1425" s="1202" t="s">
        <v>2933</v>
      </c>
      <c r="D1425" s="1312"/>
      <c r="E1425" s="1291"/>
      <c r="F1425" s="1291"/>
      <c r="G1425"/>
    </row>
    <row r="1426" spans="1:7" ht="14.4" customHeight="1">
      <c r="A1426" s="692"/>
      <c r="B1426" s="1193"/>
      <c r="C1426" s="1202" t="s">
        <v>729</v>
      </c>
      <c r="D1426" s="1220"/>
      <c r="E1426" s="722"/>
      <c r="F1426" s="722"/>
      <c r="G1426"/>
    </row>
    <row r="1427" spans="1:7" ht="14.4" customHeight="1">
      <c r="A1427" s="693"/>
      <c r="B1427" s="1196"/>
      <c r="C1427" s="1201" t="s">
        <v>3063</v>
      </c>
      <c r="D1427" s="1220"/>
      <c r="E1427" s="1171"/>
      <c r="F1427" s="1171"/>
      <c r="G1427"/>
    </row>
    <row r="1428" spans="1:7" ht="14.4" customHeight="1">
      <c r="A1428" s="691"/>
      <c r="B1428" s="1193">
        <v>1</v>
      </c>
      <c r="C1428" s="1202" t="s">
        <v>4427</v>
      </c>
      <c r="D1428" s="1312"/>
      <c r="E1428" s="1291"/>
      <c r="F1428" s="1291"/>
      <c r="G1428"/>
    </row>
    <row r="1429" spans="1:7" ht="14.4" customHeight="1">
      <c r="A1429" s="691"/>
      <c r="B1429" s="1193">
        <v>1</v>
      </c>
      <c r="C1429" s="1202" t="s">
        <v>12358</v>
      </c>
      <c r="D1429" s="1312"/>
      <c r="E1429" s="1291"/>
      <c r="F1429" s="1291"/>
      <c r="G1429"/>
    </row>
    <row r="1430" spans="1:7" ht="14.4" customHeight="1">
      <c r="A1430" s="692"/>
      <c r="B1430" s="1193"/>
      <c r="C1430" s="1202" t="s">
        <v>729</v>
      </c>
      <c r="D1430" s="1220"/>
      <c r="E1430" s="722"/>
      <c r="F1430" s="722"/>
      <c r="G1430"/>
    </row>
    <row r="1431" spans="1:7" ht="14.4" customHeight="1">
      <c r="A1431" s="1767"/>
      <c r="B1431" s="1193">
        <v>1</v>
      </c>
      <c r="C1431" s="1304" t="s">
        <v>12366</v>
      </c>
      <c r="D1431" s="1312"/>
      <c r="E1431" s="1292"/>
      <c r="F1431" s="1292"/>
      <c r="G1431"/>
    </row>
    <row r="1432" spans="1:7" ht="14.4" customHeight="1">
      <c r="A1432" s="693"/>
      <c r="B1432" s="1193"/>
      <c r="C1432" s="1202" t="s">
        <v>729</v>
      </c>
      <c r="D1432" s="1220"/>
      <c r="E1432" s="722"/>
      <c r="F1432" s="722"/>
      <c r="G1432"/>
    </row>
    <row r="1433" spans="1:7" ht="14.4" customHeight="1">
      <c r="A1433" s="1767"/>
      <c r="B1433" s="1193">
        <v>1</v>
      </c>
      <c r="C1433" s="1304" t="s">
        <v>12364</v>
      </c>
      <c r="D1433" s="1312"/>
      <c r="E1433" s="1292"/>
      <c r="F1433" s="1292"/>
      <c r="G1433"/>
    </row>
    <row r="1434" spans="1:7" ht="14.4" customHeight="1">
      <c r="A1434" s="1767"/>
      <c r="B1434" s="1193">
        <v>1</v>
      </c>
      <c r="C1434" s="1304" t="s">
        <v>12474</v>
      </c>
      <c r="D1434" s="1312"/>
      <c r="E1434" s="1292"/>
      <c r="F1434" s="1292"/>
      <c r="G1434"/>
    </row>
    <row r="1435" spans="1:7" ht="14.4" customHeight="1">
      <c r="A1435" s="693"/>
      <c r="B1435" s="1193"/>
      <c r="C1435" s="1202" t="s">
        <v>729</v>
      </c>
      <c r="D1435" s="1220"/>
      <c r="E1435" s="722"/>
      <c r="F1435" s="722"/>
      <c r="G1435"/>
    </row>
    <row r="1436" spans="1:7" ht="14.4" customHeight="1">
      <c r="A1436" s="693"/>
      <c r="B1436" s="1193">
        <v>1</v>
      </c>
      <c r="C1436" s="1202" t="s">
        <v>316</v>
      </c>
      <c r="D1436" s="1122"/>
      <c r="E1436" s="1295"/>
      <c r="F1436" s="1295"/>
      <c r="G1436"/>
    </row>
    <row r="1437" spans="1:7" ht="14.4" customHeight="1">
      <c r="A1437" s="693"/>
      <c r="B1437" s="1193"/>
      <c r="C1437" s="1202" t="s">
        <v>729</v>
      </c>
      <c r="D1437" s="1220"/>
      <c r="E1437" s="722"/>
      <c r="F1437" s="722"/>
      <c r="G1437"/>
    </row>
    <row r="1438" spans="1:7" ht="14.4" customHeight="1" thickBot="1">
      <c r="A1438" s="1855"/>
      <c r="B1438" s="2182"/>
      <c r="C1438" s="1631"/>
      <c r="D1438" s="1641"/>
      <c r="E1438" s="1632"/>
      <c r="F1438" s="1632"/>
      <c r="G1438"/>
    </row>
    <row r="1439" spans="1:7" ht="14.4" customHeight="1" thickBot="1">
      <c r="A1439" s="1989">
        <v>36</v>
      </c>
      <c r="B1439" s="1630">
        <v>1</v>
      </c>
      <c r="C1439" s="1329" t="s">
        <v>12598</v>
      </c>
      <c r="D1439" s="1219">
        <v>8113</v>
      </c>
      <c r="E1439" s="1289"/>
      <c r="F1439" s="1289">
        <v>8113</v>
      </c>
      <c r="G1439"/>
    </row>
    <row r="1440" spans="1:7" ht="14.4" customHeight="1">
      <c r="A1440" s="685" t="s">
        <v>3064</v>
      </c>
      <c r="B1440" s="2178"/>
      <c r="C1440" s="2179"/>
      <c r="D1440" s="1312"/>
      <c r="E1440" s="1291"/>
      <c r="F1440" s="1291"/>
      <c r="G1440"/>
    </row>
    <row r="1441" spans="1:7" ht="14.4" customHeight="1">
      <c r="A1441" s="687" t="s">
        <v>12553</v>
      </c>
      <c r="B1441" s="1194">
        <v>1</v>
      </c>
      <c r="C1441" s="1201" t="s">
        <v>5103</v>
      </c>
      <c r="D1441" s="1220"/>
      <c r="E1441" s="1171"/>
      <c r="F1441" s="1171"/>
      <c r="G1441"/>
    </row>
    <row r="1442" spans="1:7" ht="14.4" customHeight="1">
      <c r="A1442" s="687" t="s">
        <v>4136</v>
      </c>
      <c r="B1442" s="1195">
        <v>3</v>
      </c>
      <c r="C1442" s="1191" t="s">
        <v>7374</v>
      </c>
      <c r="D1442" s="1220"/>
      <c r="E1442" s="722"/>
      <c r="F1442" s="722"/>
      <c r="G1442"/>
    </row>
    <row r="1443" spans="1:7" ht="14.4" customHeight="1">
      <c r="A1443" s="687"/>
      <c r="B1443" s="1195">
        <v>3</v>
      </c>
      <c r="C1443" s="1191" t="s">
        <v>7375</v>
      </c>
      <c r="D1443" s="1220"/>
      <c r="E1443" s="722"/>
      <c r="F1443" s="722"/>
      <c r="G1443"/>
    </row>
    <row r="1444" spans="1:7" ht="14.4" customHeight="1">
      <c r="A1444" s="687" t="s">
        <v>12356</v>
      </c>
      <c r="B1444" s="1199">
        <v>1</v>
      </c>
      <c r="C1444" s="1205" t="s">
        <v>3366</v>
      </c>
      <c r="D1444" s="1221"/>
      <c r="E1444" s="1172"/>
      <c r="F1444" s="1172"/>
      <c r="G1444"/>
    </row>
    <row r="1445" spans="1:7" ht="14.4" customHeight="1">
      <c r="A1445" s="687" t="s">
        <v>3542</v>
      </c>
      <c r="B1445" s="1194"/>
      <c r="C1445" s="1218"/>
      <c r="D1445" s="1220"/>
      <c r="E1445" s="1171"/>
      <c r="F1445" s="1171"/>
      <c r="G1445"/>
    </row>
    <row r="1446" spans="1:7" ht="14.4" customHeight="1">
      <c r="A1446" s="687"/>
      <c r="B1446" s="1195"/>
      <c r="C1446" s="1629" t="s">
        <v>12368</v>
      </c>
      <c r="D1446" s="1220"/>
      <c r="E1446" s="722"/>
      <c r="F1446" s="722"/>
      <c r="G1446"/>
    </row>
    <row r="1447" spans="1:7" ht="14.4" customHeight="1">
      <c r="A1447" s="693"/>
      <c r="B1447" s="1193"/>
      <c r="C1447" s="1201" t="s">
        <v>3158</v>
      </c>
      <c r="D1447" s="1312"/>
      <c r="E1447" s="1292"/>
      <c r="F1447" s="1292"/>
      <c r="G1447"/>
    </row>
    <row r="1448" spans="1:7" ht="14.4" customHeight="1">
      <c r="A1448" s="687"/>
      <c r="B1448" s="1194">
        <v>1</v>
      </c>
      <c r="C1448" s="1202" t="s">
        <v>6600</v>
      </c>
      <c r="D1448" s="1312"/>
      <c r="E1448" s="1292"/>
      <c r="F1448" s="1292"/>
      <c r="G1448"/>
    </row>
    <row r="1449" spans="1:7" ht="14.4" customHeight="1">
      <c r="A1449" s="687"/>
      <c r="B1449" s="1193"/>
      <c r="C1449" s="1202" t="s">
        <v>729</v>
      </c>
      <c r="D1449" s="1220"/>
      <c r="E1449" s="722"/>
      <c r="F1449" s="722"/>
      <c r="G1449"/>
    </row>
    <row r="1450" spans="1:7" ht="14.4" customHeight="1">
      <c r="A1450" s="687"/>
      <c r="B1450" s="1196"/>
      <c r="C1450" s="1303" t="s">
        <v>9431</v>
      </c>
      <c r="D1450" s="1312"/>
      <c r="E1450" s="1292"/>
      <c r="F1450" s="1292"/>
      <c r="G1450"/>
    </row>
    <row r="1451" spans="1:7" ht="14.4" customHeight="1">
      <c r="A1451" s="693"/>
      <c r="B1451" s="1193">
        <v>2</v>
      </c>
      <c r="C1451" s="1202" t="s">
        <v>4206</v>
      </c>
      <c r="D1451" s="1312"/>
      <c r="E1451" s="1291"/>
      <c r="F1451" s="1291"/>
      <c r="G1451"/>
    </row>
    <row r="1452" spans="1:7" ht="14.4" customHeight="1">
      <c r="A1452" s="693"/>
      <c r="B1452" s="1196"/>
      <c r="C1452" s="1303" t="s">
        <v>12546</v>
      </c>
      <c r="D1452" s="1312"/>
      <c r="E1452" s="1292"/>
      <c r="F1452" s="1292"/>
      <c r="G1452"/>
    </row>
    <row r="1453" spans="1:7" ht="14.4" customHeight="1">
      <c r="A1453" s="693"/>
      <c r="B1453" s="1193">
        <v>6</v>
      </c>
      <c r="C1453" s="1202" t="s">
        <v>4205</v>
      </c>
      <c r="D1453" s="1312"/>
      <c r="E1453" s="1291"/>
      <c r="F1453" s="1291"/>
      <c r="G1453"/>
    </row>
    <row r="1454" spans="1:7" ht="14.4" customHeight="1">
      <c r="A1454" s="693"/>
      <c r="B1454" s="1193">
        <v>6</v>
      </c>
      <c r="C1454" s="1202" t="s">
        <v>5328</v>
      </c>
      <c r="D1454" s="1312"/>
      <c r="E1454" s="1291"/>
      <c r="F1454" s="1291"/>
      <c r="G1454"/>
    </row>
    <row r="1455" spans="1:7" ht="14.4" customHeight="1">
      <c r="A1455" s="693"/>
      <c r="B1455" s="1193">
        <v>5</v>
      </c>
      <c r="C1455" s="1202" t="s">
        <v>4183</v>
      </c>
      <c r="D1455" s="1312"/>
      <c r="E1455" s="1291"/>
      <c r="F1455" s="1291"/>
      <c r="G1455"/>
    </row>
    <row r="1456" spans="1:7" ht="14.4" customHeight="1">
      <c r="A1456" s="693"/>
      <c r="B1456" s="1193">
        <v>5</v>
      </c>
      <c r="C1456" s="1202" t="s">
        <v>5319</v>
      </c>
      <c r="D1456" s="1312"/>
      <c r="E1456" s="1291"/>
      <c r="F1456" s="1291"/>
      <c r="G1456"/>
    </row>
    <row r="1457" spans="1:7" ht="14.4" customHeight="1">
      <c r="A1457" s="693"/>
      <c r="B1457" s="1193">
        <v>1</v>
      </c>
      <c r="C1457" s="1202" t="s">
        <v>2927</v>
      </c>
      <c r="D1457" s="1312"/>
      <c r="E1457" s="1291"/>
      <c r="F1457" s="1291"/>
      <c r="G1457"/>
    </row>
    <row r="1458" spans="1:7" ht="14.4" customHeight="1">
      <c r="A1458" s="693"/>
      <c r="B1458" s="1193"/>
      <c r="C1458" s="1202" t="s">
        <v>729</v>
      </c>
      <c r="D1458" s="1220"/>
      <c r="E1458" s="722"/>
      <c r="F1458" s="722"/>
      <c r="G1458"/>
    </row>
    <row r="1459" spans="1:7" ht="14.4" customHeight="1">
      <c r="A1459" s="693"/>
      <c r="B1459" s="1196"/>
      <c r="C1459" s="1303" t="s">
        <v>12547</v>
      </c>
      <c r="D1459" s="1312"/>
      <c r="E1459" s="1292"/>
      <c r="F1459" s="1292"/>
      <c r="G1459"/>
    </row>
    <row r="1460" spans="1:7" ht="14.4" customHeight="1">
      <c r="A1460" s="693"/>
      <c r="B1460" s="1193">
        <v>1</v>
      </c>
      <c r="C1460" s="1202" t="s">
        <v>4184</v>
      </c>
      <c r="D1460" s="1312"/>
      <c r="E1460" s="1291"/>
      <c r="F1460" s="1291"/>
      <c r="G1460"/>
    </row>
    <row r="1461" spans="1:7" ht="14.4" customHeight="1">
      <c r="A1461" s="693"/>
      <c r="B1461" s="1193">
        <v>2</v>
      </c>
      <c r="C1461" s="1202" t="s">
        <v>4183</v>
      </c>
      <c r="D1461" s="1312"/>
      <c r="E1461" s="1291"/>
      <c r="F1461" s="1291"/>
      <c r="G1461"/>
    </row>
    <row r="1462" spans="1:7" ht="14.4" customHeight="1">
      <c r="A1462" s="693"/>
      <c r="B1462" s="1193">
        <v>3</v>
      </c>
      <c r="C1462" s="1202" t="s">
        <v>5319</v>
      </c>
      <c r="D1462" s="1312"/>
      <c r="E1462" s="1291"/>
      <c r="F1462" s="1291"/>
      <c r="G1462"/>
    </row>
    <row r="1463" spans="1:7" ht="14.4" customHeight="1">
      <c r="A1463" s="693"/>
      <c r="B1463" s="1193">
        <v>1</v>
      </c>
      <c r="C1463" s="1202" t="s">
        <v>2927</v>
      </c>
      <c r="D1463" s="1312"/>
      <c r="E1463" s="1291"/>
      <c r="F1463" s="1291"/>
      <c r="G1463"/>
    </row>
    <row r="1464" spans="1:7" ht="14.4" customHeight="1">
      <c r="A1464" s="693"/>
      <c r="B1464" s="1193"/>
      <c r="C1464" s="1202" t="s">
        <v>729</v>
      </c>
      <c r="D1464" s="1220"/>
      <c r="E1464" s="722"/>
      <c r="F1464" s="722"/>
      <c r="G1464"/>
    </row>
    <row r="1465" spans="1:7" ht="14.4" customHeight="1">
      <c r="A1465" s="693"/>
      <c r="B1465" s="1196"/>
      <c r="C1465" s="1201" t="s">
        <v>3063</v>
      </c>
      <c r="D1465" s="1220"/>
      <c r="E1465" s="1171"/>
      <c r="F1465" s="1171"/>
      <c r="G1465"/>
    </row>
    <row r="1466" spans="1:7" ht="14.4" customHeight="1">
      <c r="A1466" s="691"/>
      <c r="B1466" s="1193">
        <v>1</v>
      </c>
      <c r="C1466" s="1202" t="s">
        <v>4208</v>
      </c>
      <c r="D1466" s="1312"/>
      <c r="E1466" s="1291"/>
      <c r="F1466" s="1291"/>
      <c r="G1466"/>
    </row>
    <row r="1467" spans="1:7" ht="14.4" customHeight="1">
      <c r="A1467" s="691"/>
      <c r="B1467" s="1193">
        <v>1</v>
      </c>
      <c r="C1467" s="1202" t="s">
        <v>6456</v>
      </c>
      <c r="D1467" s="1312"/>
      <c r="E1467" s="1291"/>
      <c r="F1467" s="1291"/>
      <c r="G1467"/>
    </row>
    <row r="1468" spans="1:7" ht="14.4" customHeight="1">
      <c r="A1468" s="692"/>
      <c r="B1468" s="1193"/>
      <c r="C1468" s="1202" t="s">
        <v>729</v>
      </c>
      <c r="D1468" s="1220"/>
      <c r="E1468" s="722"/>
      <c r="F1468" s="722"/>
      <c r="G1468"/>
    </row>
    <row r="1469" spans="1:7" ht="14.4" customHeight="1">
      <c r="A1469" s="693"/>
      <c r="B1469" s="1196">
        <v>2</v>
      </c>
      <c r="C1469" s="1201" t="s">
        <v>12423</v>
      </c>
      <c r="D1469" s="1220"/>
      <c r="E1469" s="1171"/>
      <c r="F1469" s="1171"/>
      <c r="G1469"/>
    </row>
    <row r="1470" spans="1:7" ht="14.4" customHeight="1">
      <c r="A1470" s="691"/>
      <c r="B1470" s="1193">
        <v>1</v>
      </c>
      <c r="C1470" s="1202" t="s">
        <v>1157</v>
      </c>
      <c r="D1470" s="1312"/>
      <c r="E1470" s="1291"/>
      <c r="F1470" s="1291"/>
      <c r="G1470"/>
    </row>
    <row r="1471" spans="1:7" ht="14.4" customHeight="1">
      <c r="A1471" s="691"/>
      <c r="B1471" s="1193">
        <v>1</v>
      </c>
      <c r="C1471" s="1202" t="s">
        <v>2426</v>
      </c>
      <c r="D1471" s="1312"/>
      <c r="E1471" s="1291"/>
      <c r="F1471" s="1291"/>
      <c r="G1471"/>
    </row>
    <row r="1472" spans="1:7" ht="14.4" customHeight="1">
      <c r="A1472" s="691"/>
      <c r="B1472" s="1193">
        <v>1</v>
      </c>
      <c r="C1472" s="1202" t="s">
        <v>4660</v>
      </c>
      <c r="D1472" s="1312"/>
      <c r="E1472" s="1291"/>
      <c r="F1472" s="1291"/>
      <c r="G1472"/>
    </row>
    <row r="1473" spans="1:7" ht="14.4" customHeight="1">
      <c r="A1473" s="692"/>
      <c r="B1473" s="1193"/>
      <c r="C1473" s="1202" t="s">
        <v>729</v>
      </c>
      <c r="D1473" s="1220"/>
      <c r="E1473" s="722"/>
      <c r="F1473" s="722"/>
      <c r="G1473"/>
    </row>
    <row r="1474" spans="1:7" ht="14.4" customHeight="1">
      <c r="A1474" s="693"/>
      <c r="B1474" s="1196">
        <v>6</v>
      </c>
      <c r="C1474" s="1201" t="s">
        <v>12445</v>
      </c>
      <c r="D1474" s="1220"/>
      <c r="E1474" s="1171"/>
      <c r="F1474" s="1171"/>
      <c r="G1474"/>
    </row>
    <row r="1475" spans="1:7" ht="14.4" customHeight="1">
      <c r="A1475" s="691"/>
      <c r="B1475" s="1193">
        <v>1</v>
      </c>
      <c r="C1475" s="1202" t="s">
        <v>1157</v>
      </c>
      <c r="D1475" s="1312"/>
      <c r="E1475" s="1291"/>
      <c r="F1475" s="1291"/>
      <c r="G1475"/>
    </row>
    <row r="1476" spans="1:7" ht="14.4" customHeight="1">
      <c r="A1476" s="691"/>
      <c r="B1476" s="1193">
        <v>1</v>
      </c>
      <c r="C1476" s="1202" t="s">
        <v>2426</v>
      </c>
      <c r="D1476" s="1312"/>
      <c r="E1476" s="1291"/>
      <c r="F1476" s="1291"/>
      <c r="G1476"/>
    </row>
    <row r="1477" spans="1:7" ht="14.4" customHeight="1">
      <c r="A1477" s="693"/>
      <c r="B1477" s="1193">
        <v>1</v>
      </c>
      <c r="C1477" s="1202" t="s">
        <v>2436</v>
      </c>
      <c r="D1477" s="1312"/>
      <c r="E1477" s="1291"/>
      <c r="F1477" s="1291"/>
      <c r="G1477"/>
    </row>
    <row r="1478" spans="1:7" ht="14.4" customHeight="1">
      <c r="A1478" s="693"/>
      <c r="B1478" s="1193"/>
      <c r="C1478" s="1202" t="s">
        <v>729</v>
      </c>
      <c r="D1478" s="1220"/>
      <c r="E1478" s="722"/>
      <c r="F1478" s="722"/>
      <c r="G1478"/>
    </row>
    <row r="1479" spans="1:7" ht="14.4" customHeight="1">
      <c r="A1479" s="693"/>
      <c r="B1479" s="1193">
        <v>1</v>
      </c>
      <c r="C1479" s="1304" t="s">
        <v>12444</v>
      </c>
      <c r="D1479" s="1312"/>
      <c r="E1479" s="1292"/>
      <c r="F1479" s="1292"/>
      <c r="G1479"/>
    </row>
    <row r="1480" spans="1:7" ht="14.4" customHeight="1">
      <c r="A1480" s="693"/>
      <c r="B1480" s="1193"/>
      <c r="C1480" s="1202" t="s">
        <v>729</v>
      </c>
      <c r="D1480" s="1220"/>
      <c r="E1480" s="722"/>
      <c r="F1480" s="722"/>
      <c r="G1480"/>
    </row>
    <row r="1481" spans="1:7" ht="14.4" customHeight="1">
      <c r="A1481" s="1767"/>
      <c r="B1481" s="1193">
        <v>1</v>
      </c>
      <c r="C1481" s="1304" t="s">
        <v>12364</v>
      </c>
      <c r="D1481" s="1312"/>
      <c r="E1481" s="1292"/>
      <c r="F1481" s="1292"/>
      <c r="G1481"/>
    </row>
    <row r="1482" spans="1:7" ht="14.4" customHeight="1">
      <c r="A1482" s="1767"/>
      <c r="B1482" s="1193">
        <v>1</v>
      </c>
      <c r="C1482" s="1304" t="s">
        <v>12474</v>
      </c>
      <c r="D1482" s="1312"/>
      <c r="E1482" s="1292"/>
      <c r="F1482" s="1292"/>
      <c r="G1482"/>
    </row>
    <row r="1483" spans="1:7" ht="14.4" customHeight="1">
      <c r="A1483" s="693"/>
      <c r="B1483" s="1193"/>
      <c r="C1483" s="1202" t="s">
        <v>729</v>
      </c>
      <c r="D1483" s="1220"/>
      <c r="E1483" s="722"/>
      <c r="F1483" s="722"/>
      <c r="G1483"/>
    </row>
    <row r="1484" spans="1:7" ht="14.4" customHeight="1">
      <c r="A1484" s="693"/>
      <c r="B1484" s="1193">
        <v>1</v>
      </c>
      <c r="C1484" s="1202" t="s">
        <v>316</v>
      </c>
      <c r="D1484" s="1122"/>
      <c r="E1484" s="1295"/>
      <c r="F1484" s="1295"/>
      <c r="G1484"/>
    </row>
    <row r="1485" spans="1:7" ht="14.4" customHeight="1">
      <c r="A1485" s="693"/>
      <c r="B1485" s="1193"/>
      <c r="C1485" s="1202" t="s">
        <v>729</v>
      </c>
      <c r="D1485" s="1220"/>
      <c r="E1485" s="722"/>
      <c r="F1485" s="722"/>
      <c r="G1485"/>
    </row>
    <row r="1486" spans="1:7" ht="14.4" customHeight="1">
      <c r="A1486" s="693"/>
      <c r="B1486" s="1193"/>
      <c r="C1486" s="1202" t="s">
        <v>729</v>
      </c>
      <c r="D1486" s="1220"/>
      <c r="E1486" s="722"/>
      <c r="F1486" s="722"/>
      <c r="G1486"/>
    </row>
    <row r="1487" spans="1:7" ht="14.4" customHeight="1">
      <c r="A1487" s="1767"/>
      <c r="B1487" s="1193"/>
      <c r="C1487" s="2180" t="s">
        <v>12534</v>
      </c>
      <c r="D1487" s="1312"/>
      <c r="E1487" s="1292"/>
      <c r="F1487" s="1292"/>
      <c r="G1487"/>
    </row>
    <row r="1488" spans="1:7" ht="14.4" customHeight="1">
      <c r="A1488" s="1767"/>
      <c r="B1488" s="1193"/>
      <c r="C1488" s="2181"/>
      <c r="D1488" s="1312"/>
      <c r="E1488" s="1292"/>
      <c r="F1488" s="1292"/>
      <c r="G1488"/>
    </row>
    <row r="1489" spans="1:7" ht="14.4" customHeight="1">
      <c r="A1489" s="1638"/>
      <c r="B1489" s="1193">
        <v>1</v>
      </c>
      <c r="C1489" s="1202" t="s">
        <v>3412</v>
      </c>
      <c r="D1489" s="1220"/>
      <c r="E1489" s="1171"/>
      <c r="F1489" s="1171"/>
      <c r="G1489"/>
    </row>
    <row r="1490" spans="1:7" ht="14.4" customHeight="1">
      <c r="A1490" s="1638"/>
      <c r="B1490" s="1193">
        <v>1</v>
      </c>
      <c r="C1490" s="1202" t="s">
        <v>3413</v>
      </c>
      <c r="D1490" s="1220"/>
      <c r="E1490" s="1171"/>
      <c r="F1490" s="1171"/>
      <c r="G1490"/>
    </row>
    <row r="1491" spans="1:7" ht="14.4" customHeight="1" thickBot="1">
      <c r="A1491" s="1855"/>
      <c r="B1491" s="2182"/>
      <c r="C1491" s="1631"/>
      <c r="D1491" s="1641"/>
      <c r="E1491" s="1632"/>
      <c r="F1491" s="1632"/>
      <c r="G1491"/>
    </row>
    <row r="1492" spans="1:7" ht="14.4" customHeight="1" thickBot="1">
      <c r="A1492" s="1989">
        <v>37</v>
      </c>
      <c r="B1492" s="1630">
        <v>1</v>
      </c>
      <c r="C1492" s="1329" t="s">
        <v>12599</v>
      </c>
      <c r="D1492" s="1219">
        <v>5787</v>
      </c>
      <c r="E1492" s="1289"/>
      <c r="F1492" s="1289">
        <v>5787</v>
      </c>
      <c r="G1492"/>
    </row>
    <row r="1493" spans="1:7" ht="14.4" customHeight="1">
      <c r="A1493" s="685" t="s">
        <v>3064</v>
      </c>
      <c r="B1493" s="2178"/>
      <c r="C1493" s="2179"/>
      <c r="D1493" s="1312"/>
      <c r="E1493" s="1291"/>
      <c r="F1493" s="1291"/>
      <c r="G1493"/>
    </row>
    <row r="1494" spans="1:7" ht="14.4" customHeight="1">
      <c r="A1494" s="687" t="s">
        <v>12553</v>
      </c>
      <c r="B1494" s="1194">
        <v>1</v>
      </c>
      <c r="C1494" s="1201" t="s">
        <v>5103</v>
      </c>
      <c r="D1494" s="1220"/>
      <c r="E1494" s="1171"/>
      <c r="F1494" s="1171"/>
      <c r="G1494"/>
    </row>
    <row r="1495" spans="1:7" ht="14.4" customHeight="1">
      <c r="A1495" s="687" t="s">
        <v>4136</v>
      </c>
      <c r="B1495" s="1195">
        <v>3</v>
      </c>
      <c r="C1495" s="1191" t="s">
        <v>7374</v>
      </c>
      <c r="D1495" s="1220"/>
      <c r="E1495" s="722"/>
      <c r="F1495" s="722"/>
      <c r="G1495"/>
    </row>
    <row r="1496" spans="1:7" ht="14.4" customHeight="1">
      <c r="A1496" s="687"/>
      <c r="B1496" s="1195">
        <v>3</v>
      </c>
      <c r="C1496" s="1191" t="s">
        <v>7375</v>
      </c>
      <c r="D1496" s="1220"/>
      <c r="E1496" s="722"/>
      <c r="F1496" s="722"/>
      <c r="G1496"/>
    </row>
    <row r="1497" spans="1:7" ht="14.4" customHeight="1">
      <c r="A1497" s="687" t="s">
        <v>12356</v>
      </c>
      <c r="B1497" s="1199">
        <v>1</v>
      </c>
      <c r="C1497" s="1205" t="s">
        <v>3366</v>
      </c>
      <c r="D1497" s="1221"/>
      <c r="E1497" s="1172"/>
      <c r="F1497" s="1172"/>
      <c r="G1497"/>
    </row>
    <row r="1498" spans="1:7" ht="14.4" customHeight="1">
      <c r="A1498" s="687" t="s">
        <v>3542</v>
      </c>
      <c r="B1498" s="1194"/>
      <c r="C1498" s="1218"/>
      <c r="D1498" s="1220"/>
      <c r="E1498" s="1171"/>
      <c r="F1498" s="1171"/>
      <c r="G1498"/>
    </row>
    <row r="1499" spans="1:7" ht="14.4" customHeight="1">
      <c r="A1499" s="687"/>
      <c r="B1499" s="1195"/>
      <c r="C1499" s="1629" t="s">
        <v>12368</v>
      </c>
      <c r="D1499" s="1220"/>
      <c r="E1499" s="722"/>
      <c r="F1499" s="722"/>
      <c r="G1499"/>
    </row>
    <row r="1500" spans="1:7" ht="14.4" customHeight="1">
      <c r="A1500" s="693"/>
      <c r="B1500" s="1193"/>
      <c r="C1500" s="1201" t="s">
        <v>3158</v>
      </c>
      <c r="D1500" s="1312"/>
      <c r="E1500" s="1292"/>
      <c r="F1500" s="1292"/>
      <c r="G1500"/>
    </row>
    <row r="1501" spans="1:7" ht="14.4" customHeight="1">
      <c r="A1501" s="693"/>
      <c r="B1501" s="1194">
        <v>1</v>
      </c>
      <c r="C1501" s="1202" t="s">
        <v>6598</v>
      </c>
      <c r="D1501" s="1312"/>
      <c r="E1501" s="1292"/>
      <c r="F1501" s="1292"/>
      <c r="G1501"/>
    </row>
    <row r="1502" spans="1:7" ht="14.4" customHeight="1">
      <c r="A1502" s="687"/>
      <c r="B1502" s="1193"/>
      <c r="C1502" s="1202" t="s">
        <v>729</v>
      </c>
      <c r="D1502" s="1220"/>
      <c r="E1502" s="722"/>
      <c r="F1502" s="722"/>
      <c r="G1502"/>
    </row>
    <row r="1503" spans="1:7" ht="14.4" customHeight="1">
      <c r="A1503" s="687"/>
      <c r="B1503" s="1196"/>
      <c r="C1503" s="1303" t="s">
        <v>9431</v>
      </c>
      <c r="D1503" s="1312"/>
      <c r="E1503" s="1292"/>
      <c r="F1503" s="1292"/>
      <c r="G1503"/>
    </row>
    <row r="1504" spans="1:7" ht="14.4" customHeight="1">
      <c r="A1504" s="693"/>
      <c r="B1504" s="1193">
        <v>2</v>
      </c>
      <c r="C1504" s="1202" t="s">
        <v>4205</v>
      </c>
      <c r="D1504" s="1312"/>
      <c r="E1504" s="1291"/>
      <c r="F1504" s="1291"/>
      <c r="G1504"/>
    </row>
    <row r="1505" spans="1:7" ht="14.4" customHeight="1">
      <c r="A1505" s="693"/>
      <c r="B1505" s="1196"/>
      <c r="C1505" s="1303" t="s">
        <v>12546</v>
      </c>
      <c r="D1505" s="1312"/>
      <c r="E1505" s="1292"/>
      <c r="F1505" s="1292"/>
      <c r="G1505"/>
    </row>
    <row r="1506" spans="1:7" ht="14.4" customHeight="1">
      <c r="A1506" s="693"/>
      <c r="B1506" s="1193">
        <v>2</v>
      </c>
      <c r="C1506" s="1202" t="s">
        <v>4205</v>
      </c>
      <c r="D1506" s="1312"/>
      <c r="E1506" s="1291"/>
      <c r="F1506" s="1291"/>
      <c r="G1506"/>
    </row>
    <row r="1507" spans="1:7" ht="14.4" customHeight="1">
      <c r="A1507" s="693"/>
      <c r="B1507" s="1193">
        <v>2</v>
      </c>
      <c r="C1507" s="1202" t="s">
        <v>5328</v>
      </c>
      <c r="D1507" s="1312"/>
      <c r="E1507" s="1291"/>
      <c r="F1507" s="1291"/>
      <c r="G1507"/>
    </row>
    <row r="1508" spans="1:7" ht="14.4" customHeight="1">
      <c r="A1508" s="693"/>
      <c r="B1508" s="1193">
        <v>3</v>
      </c>
      <c r="C1508" s="1202" t="s">
        <v>4183</v>
      </c>
      <c r="D1508" s="1312"/>
      <c r="E1508" s="1291"/>
      <c r="F1508" s="1291"/>
      <c r="G1508"/>
    </row>
    <row r="1509" spans="1:7" ht="14.4" customHeight="1">
      <c r="A1509" s="693"/>
      <c r="B1509" s="1193">
        <v>3</v>
      </c>
      <c r="C1509" s="1202" t="s">
        <v>5319</v>
      </c>
      <c r="D1509" s="1312"/>
      <c r="E1509" s="1291"/>
      <c r="F1509" s="1291"/>
      <c r="G1509"/>
    </row>
    <row r="1510" spans="1:7" ht="14.4" customHeight="1">
      <c r="A1510" s="693"/>
      <c r="B1510" s="1193">
        <v>1</v>
      </c>
      <c r="C1510" s="1202" t="s">
        <v>2927</v>
      </c>
      <c r="D1510" s="1312"/>
      <c r="E1510" s="1291"/>
      <c r="F1510" s="1291"/>
      <c r="G1510"/>
    </row>
    <row r="1511" spans="1:7" ht="14.4" customHeight="1">
      <c r="A1511" s="693"/>
      <c r="B1511" s="1193"/>
      <c r="C1511" s="1202" t="s">
        <v>729</v>
      </c>
      <c r="D1511" s="1220"/>
      <c r="E1511" s="722"/>
      <c r="F1511" s="722"/>
      <c r="G1511"/>
    </row>
    <row r="1512" spans="1:7" ht="14.4" customHeight="1">
      <c r="A1512" s="693"/>
      <c r="B1512" s="1196"/>
      <c r="C1512" s="1303" t="s">
        <v>12547</v>
      </c>
      <c r="D1512" s="1312"/>
      <c r="E1512" s="1292"/>
      <c r="F1512" s="1292"/>
      <c r="G1512"/>
    </row>
    <row r="1513" spans="1:7" ht="14.4" customHeight="1">
      <c r="A1513" s="693"/>
      <c r="B1513" s="1193">
        <v>7</v>
      </c>
      <c r="C1513" s="1202" t="s">
        <v>4205</v>
      </c>
      <c r="D1513" s="1312"/>
      <c r="E1513" s="1291"/>
      <c r="F1513" s="1291"/>
      <c r="G1513"/>
    </row>
    <row r="1514" spans="1:7" ht="14.4" customHeight="1">
      <c r="A1514" s="693"/>
      <c r="B1514" s="1193">
        <v>2</v>
      </c>
      <c r="C1514" s="1202" t="s">
        <v>4183</v>
      </c>
      <c r="D1514" s="1312"/>
      <c r="E1514" s="1291"/>
      <c r="F1514" s="1291"/>
      <c r="G1514"/>
    </row>
    <row r="1515" spans="1:7" ht="14.4" customHeight="1">
      <c r="A1515" s="693"/>
      <c r="B1515" s="1193">
        <v>2</v>
      </c>
      <c r="C1515" s="1202" t="s">
        <v>5319</v>
      </c>
      <c r="D1515" s="1312"/>
      <c r="E1515" s="1291"/>
      <c r="F1515" s="1291"/>
      <c r="G1515"/>
    </row>
    <row r="1516" spans="1:7" ht="14.4" customHeight="1">
      <c r="A1516" s="693"/>
      <c r="B1516" s="1193">
        <v>1</v>
      </c>
      <c r="C1516" s="1202" t="s">
        <v>2927</v>
      </c>
      <c r="D1516" s="1312"/>
      <c r="E1516" s="1291"/>
      <c r="F1516" s="1291"/>
      <c r="G1516"/>
    </row>
    <row r="1517" spans="1:7" ht="14.4" customHeight="1">
      <c r="A1517" s="693"/>
      <c r="B1517" s="1193"/>
      <c r="C1517" s="1202" t="s">
        <v>729</v>
      </c>
      <c r="D1517" s="1220"/>
      <c r="E1517" s="722"/>
      <c r="F1517" s="722"/>
      <c r="G1517"/>
    </row>
    <row r="1518" spans="1:7" ht="14.4" customHeight="1">
      <c r="A1518" s="693"/>
      <c r="B1518" s="1196"/>
      <c r="C1518" s="1201" t="s">
        <v>3063</v>
      </c>
      <c r="D1518" s="1220"/>
      <c r="E1518" s="1171"/>
      <c r="F1518" s="1171"/>
      <c r="G1518"/>
    </row>
    <row r="1519" spans="1:7" ht="14.4" customHeight="1">
      <c r="A1519" s="691"/>
      <c r="B1519" s="1193">
        <v>1</v>
      </c>
      <c r="C1519" s="1202" t="s">
        <v>4206</v>
      </c>
      <c r="D1519" s="1312"/>
      <c r="E1519" s="1291"/>
      <c r="F1519" s="1291"/>
      <c r="G1519"/>
    </row>
    <row r="1520" spans="1:7" ht="14.4" customHeight="1">
      <c r="A1520" s="691"/>
      <c r="B1520" s="1193">
        <v>1</v>
      </c>
      <c r="C1520" s="1202" t="s">
        <v>6456</v>
      </c>
      <c r="D1520" s="1312"/>
      <c r="E1520" s="1291"/>
      <c r="F1520" s="1291"/>
      <c r="G1520"/>
    </row>
    <row r="1521" spans="1:7" ht="14.4" customHeight="1">
      <c r="A1521" s="692"/>
      <c r="B1521" s="1193"/>
      <c r="C1521" s="1202" t="s">
        <v>729</v>
      </c>
      <c r="D1521" s="1220"/>
      <c r="E1521" s="722"/>
      <c r="F1521" s="722"/>
      <c r="G1521"/>
    </row>
    <row r="1522" spans="1:7" ht="14.4" customHeight="1">
      <c r="A1522" s="693"/>
      <c r="B1522" s="1196">
        <v>2</v>
      </c>
      <c r="C1522" s="1201" t="s">
        <v>12445</v>
      </c>
      <c r="D1522" s="1220"/>
      <c r="E1522" s="1171"/>
      <c r="F1522" s="1171"/>
      <c r="G1522"/>
    </row>
    <row r="1523" spans="1:7" ht="14.4" customHeight="1">
      <c r="A1523" s="691"/>
      <c r="B1523" s="1193">
        <v>1</v>
      </c>
      <c r="C1523" s="1202" t="s">
        <v>1157</v>
      </c>
      <c r="D1523" s="1312"/>
      <c r="E1523" s="1291"/>
      <c r="F1523" s="1291"/>
      <c r="G1523"/>
    </row>
    <row r="1524" spans="1:7" ht="14.4" customHeight="1">
      <c r="A1524" s="691"/>
      <c r="B1524" s="1193">
        <v>1</v>
      </c>
      <c r="C1524" s="1202" t="s">
        <v>2426</v>
      </c>
      <c r="D1524" s="1312"/>
      <c r="E1524" s="1291"/>
      <c r="F1524" s="1291"/>
      <c r="G1524"/>
    </row>
    <row r="1525" spans="1:7" ht="14.4" customHeight="1">
      <c r="A1525" s="693"/>
      <c r="B1525" s="1193">
        <v>1</v>
      </c>
      <c r="C1525" s="1202" t="s">
        <v>2436</v>
      </c>
      <c r="D1525" s="1312"/>
      <c r="E1525" s="1291"/>
      <c r="F1525" s="1291"/>
      <c r="G1525"/>
    </row>
    <row r="1526" spans="1:7" ht="14.4" customHeight="1">
      <c r="A1526" s="693"/>
      <c r="B1526" s="1193"/>
      <c r="C1526" s="1202" t="s">
        <v>729</v>
      </c>
      <c r="D1526" s="1220"/>
      <c r="E1526" s="722"/>
      <c r="F1526" s="722"/>
      <c r="G1526"/>
    </row>
    <row r="1527" spans="1:7" ht="14.4" customHeight="1">
      <c r="A1527" s="1767"/>
      <c r="B1527" s="1193">
        <v>1</v>
      </c>
      <c r="C1527" s="1304" t="s">
        <v>12364</v>
      </c>
      <c r="D1527" s="1312"/>
      <c r="E1527" s="1292"/>
      <c r="F1527" s="1292"/>
      <c r="G1527"/>
    </row>
    <row r="1528" spans="1:7" ht="14.4" customHeight="1">
      <c r="A1528" s="1767"/>
      <c r="B1528" s="1193">
        <v>1</v>
      </c>
      <c r="C1528" s="1304" t="s">
        <v>12474</v>
      </c>
      <c r="D1528" s="1312"/>
      <c r="E1528" s="1292"/>
      <c r="F1528" s="1292"/>
      <c r="G1528"/>
    </row>
    <row r="1529" spans="1:7" ht="14.4" customHeight="1">
      <c r="A1529" s="693"/>
      <c r="B1529" s="1193"/>
      <c r="C1529" s="1202" t="s">
        <v>729</v>
      </c>
      <c r="D1529" s="1220"/>
      <c r="E1529" s="722"/>
      <c r="F1529" s="722"/>
      <c r="G1529"/>
    </row>
    <row r="1530" spans="1:7" ht="14.4" customHeight="1">
      <c r="A1530" s="693"/>
      <c r="B1530" s="1193">
        <v>1</v>
      </c>
      <c r="C1530" s="1202" t="s">
        <v>316</v>
      </c>
      <c r="D1530" s="1122"/>
      <c r="E1530" s="1295"/>
      <c r="F1530" s="1295"/>
      <c r="G1530"/>
    </row>
    <row r="1531" spans="1:7" ht="14.4" customHeight="1">
      <c r="A1531" s="693"/>
      <c r="B1531" s="1193"/>
      <c r="C1531" s="1202" t="s">
        <v>729</v>
      </c>
      <c r="D1531" s="1220"/>
      <c r="E1531" s="722"/>
      <c r="F1531" s="722"/>
      <c r="G1531"/>
    </row>
    <row r="1532" spans="1:7" ht="14.4" customHeight="1" thickBot="1">
      <c r="A1532" s="910"/>
      <c r="B1532" s="1636"/>
      <c r="C1532" s="1631"/>
      <c r="D1532" s="1641"/>
      <c r="E1532" s="1632"/>
      <c r="F1532" s="1632"/>
      <c r="G1532"/>
    </row>
    <row r="1533" spans="1:7" ht="14.4" customHeight="1" thickBot="1">
      <c r="A1533" s="1989">
        <v>38</v>
      </c>
      <c r="B1533" s="1630">
        <v>1</v>
      </c>
      <c r="C1533" s="1329" t="s">
        <v>12600</v>
      </c>
      <c r="D1533" s="1219">
        <v>5112</v>
      </c>
      <c r="E1533" s="1289"/>
      <c r="F1533" s="1289">
        <v>5112</v>
      </c>
      <c r="G1533"/>
    </row>
    <row r="1534" spans="1:7" ht="14.4" customHeight="1">
      <c r="A1534" s="685" t="s">
        <v>3064</v>
      </c>
      <c r="B1534" s="1192"/>
      <c r="C1534" s="1302"/>
      <c r="D1534" s="1312"/>
      <c r="E1534" s="1291"/>
      <c r="F1534" s="1291"/>
      <c r="G1534"/>
    </row>
    <row r="1535" spans="1:7" ht="14.4" customHeight="1">
      <c r="A1535" s="687" t="s">
        <v>12553</v>
      </c>
      <c r="B1535" s="1194">
        <v>1</v>
      </c>
      <c r="C1535" s="1201" t="s">
        <v>5103</v>
      </c>
      <c r="D1535" s="1220"/>
      <c r="E1535" s="1171"/>
      <c r="F1535" s="1171"/>
      <c r="G1535"/>
    </row>
    <row r="1536" spans="1:7" ht="14.4" customHeight="1">
      <c r="A1536" s="687" t="s">
        <v>4136</v>
      </c>
      <c r="B1536" s="1195">
        <v>3</v>
      </c>
      <c r="C1536" s="1191" t="s">
        <v>7374</v>
      </c>
      <c r="D1536" s="1220"/>
      <c r="E1536" s="722"/>
      <c r="F1536" s="722"/>
      <c r="G1536"/>
    </row>
    <row r="1537" spans="1:7" ht="14.4" customHeight="1">
      <c r="A1537" s="687"/>
      <c r="B1537" s="1195">
        <v>3</v>
      </c>
      <c r="C1537" s="1191" t="s">
        <v>7375</v>
      </c>
      <c r="D1537" s="1220"/>
      <c r="E1537" s="722"/>
      <c r="F1537" s="722"/>
      <c r="G1537"/>
    </row>
    <row r="1538" spans="1:7" ht="14.4" customHeight="1">
      <c r="A1538" s="687" t="s">
        <v>12356</v>
      </c>
      <c r="B1538" s="1199">
        <v>1</v>
      </c>
      <c r="C1538" s="1205" t="s">
        <v>3366</v>
      </c>
      <c r="D1538" s="1221"/>
      <c r="E1538" s="1172"/>
      <c r="F1538" s="1172"/>
      <c r="G1538"/>
    </row>
    <row r="1539" spans="1:7" ht="14.4" customHeight="1">
      <c r="A1539" s="687" t="s">
        <v>3542</v>
      </c>
      <c r="B1539" s="1194"/>
      <c r="C1539" s="1218"/>
      <c r="D1539" s="1220"/>
      <c r="E1539" s="1171"/>
      <c r="F1539" s="1171"/>
      <c r="G1539"/>
    </row>
    <row r="1540" spans="1:7" ht="14.4" customHeight="1">
      <c r="A1540" s="687"/>
      <c r="B1540" s="1195"/>
      <c r="C1540" s="1629" t="s">
        <v>12368</v>
      </c>
      <c r="D1540" s="1220"/>
      <c r="E1540" s="722"/>
      <c r="F1540" s="722"/>
      <c r="G1540"/>
    </row>
    <row r="1541" spans="1:7" ht="14.4" customHeight="1">
      <c r="A1541" s="1767"/>
      <c r="B1541" s="1192">
        <v>6</v>
      </c>
      <c r="C1541" s="1202" t="s">
        <v>12392</v>
      </c>
      <c r="D1541" s="1312"/>
      <c r="E1541" s="1291"/>
      <c r="F1541" s="1291"/>
      <c r="G1541"/>
    </row>
    <row r="1542" spans="1:7" ht="14.4" customHeight="1">
      <c r="A1542" s="687"/>
      <c r="B1542" s="1195"/>
      <c r="C1542" s="1629" t="s">
        <v>12368</v>
      </c>
      <c r="D1542" s="1220"/>
      <c r="E1542" s="722"/>
      <c r="F1542" s="722"/>
      <c r="G1542"/>
    </row>
    <row r="1543" spans="1:7" ht="14.4" customHeight="1">
      <c r="A1543" s="687"/>
      <c r="B1543" s="1193"/>
      <c r="C1543" s="1201" t="s">
        <v>12371</v>
      </c>
      <c r="D1543" s="1312"/>
      <c r="E1543" s="1292"/>
      <c r="F1543" s="1292"/>
      <c r="G1543"/>
    </row>
    <row r="1544" spans="1:7" ht="14.4" customHeight="1">
      <c r="A1544" s="692"/>
      <c r="B1544" s="1193">
        <v>1</v>
      </c>
      <c r="C1544" s="1202" t="s">
        <v>4314</v>
      </c>
      <c r="D1544" s="1312"/>
      <c r="E1544" s="1292"/>
      <c r="F1544" s="1292"/>
      <c r="G1544"/>
    </row>
    <row r="1545" spans="1:7" ht="14.4" customHeight="1">
      <c r="A1545" s="693"/>
      <c r="B1545" s="1193"/>
      <c r="C1545" s="1629" t="s">
        <v>12368</v>
      </c>
      <c r="D1545" s="1220"/>
      <c r="E1545" s="722"/>
      <c r="F1545" s="722"/>
      <c r="G1545"/>
    </row>
    <row r="1546" spans="1:7" ht="14.4" customHeight="1">
      <c r="A1546" s="693"/>
      <c r="B1546" s="1196"/>
      <c r="C1546" s="1201" t="s">
        <v>3063</v>
      </c>
      <c r="D1546" s="1220"/>
      <c r="E1546" s="1171"/>
      <c r="F1546" s="1171"/>
      <c r="G1546"/>
    </row>
    <row r="1547" spans="1:7" ht="14.4" customHeight="1">
      <c r="A1547" s="698"/>
      <c r="B1547" s="1197">
        <v>1</v>
      </c>
      <c r="C1547" s="1203" t="s">
        <v>12370</v>
      </c>
      <c r="D1547" s="1221"/>
      <c r="E1547" s="1172"/>
      <c r="F1547" s="1172"/>
      <c r="G1547"/>
    </row>
    <row r="1548" spans="1:7" ht="14.4" customHeight="1">
      <c r="A1548" s="687"/>
      <c r="B1548" s="1195"/>
      <c r="C1548" s="1629" t="s">
        <v>12368</v>
      </c>
      <c r="D1548" s="1220"/>
      <c r="E1548" s="722"/>
      <c r="F1548" s="722"/>
      <c r="G1548"/>
    </row>
    <row r="1549" spans="1:7" ht="14.4" customHeight="1">
      <c r="A1549" s="1767"/>
      <c r="B1549" s="1196"/>
      <c r="C1549" s="1303" t="s">
        <v>3377</v>
      </c>
      <c r="D1549" s="1312"/>
      <c r="E1549" s="1292"/>
      <c r="F1549" s="1292"/>
      <c r="G1549"/>
    </row>
    <row r="1550" spans="1:7" ht="14.4" customHeight="1">
      <c r="A1550" s="687"/>
      <c r="B1550" s="1193">
        <v>2</v>
      </c>
      <c r="C1550" s="1202" t="s">
        <v>4187</v>
      </c>
      <c r="D1550" s="1312"/>
      <c r="E1550" s="1292"/>
      <c r="F1550" s="1292"/>
      <c r="G1550"/>
    </row>
    <row r="1551" spans="1:7" ht="14.4" customHeight="1">
      <c r="A1551" s="692"/>
      <c r="B1551" s="1193"/>
      <c r="C1551" s="1202" t="s">
        <v>729</v>
      </c>
      <c r="D1551" s="1220"/>
      <c r="E1551" s="722"/>
      <c r="F1551" s="722"/>
      <c r="G1551"/>
    </row>
    <row r="1552" spans="1:7" ht="14.4" customHeight="1">
      <c r="A1552" s="693"/>
      <c r="B1552" s="1196"/>
      <c r="C1552" s="1201" t="s">
        <v>3063</v>
      </c>
      <c r="D1552" s="1220"/>
      <c r="E1552" s="1171"/>
      <c r="F1552" s="1171"/>
      <c r="G1552"/>
    </row>
    <row r="1553" spans="1:7" ht="14.4" customHeight="1">
      <c r="A1553" s="691"/>
      <c r="B1553" s="1193">
        <v>1</v>
      </c>
      <c r="C1553" s="1202" t="s">
        <v>4184</v>
      </c>
      <c r="D1553" s="1312"/>
      <c r="E1553" s="1291"/>
      <c r="F1553" s="1291"/>
      <c r="G1553"/>
    </row>
    <row r="1554" spans="1:7" ht="14.4" customHeight="1">
      <c r="A1554" s="691"/>
      <c r="B1554" s="1193">
        <v>2</v>
      </c>
      <c r="C1554" s="1202" t="s">
        <v>6449</v>
      </c>
      <c r="D1554" s="1312"/>
      <c r="E1554" s="1291"/>
      <c r="F1554" s="1291"/>
      <c r="G1554"/>
    </row>
    <row r="1555" spans="1:7" ht="14.4" customHeight="1">
      <c r="A1555" s="692"/>
      <c r="B1555" s="1193"/>
      <c r="C1555" s="1629" t="s">
        <v>12368</v>
      </c>
      <c r="D1555" s="1220"/>
      <c r="E1555" s="722"/>
      <c r="F1555" s="722"/>
      <c r="G1555"/>
    </row>
    <row r="1556" spans="1:7" ht="14.4" customHeight="1">
      <c r="A1556" s="693"/>
      <c r="B1556" s="1196"/>
      <c r="C1556" s="1201" t="s">
        <v>3063</v>
      </c>
      <c r="D1556" s="1220"/>
      <c r="E1556" s="1171"/>
      <c r="F1556" s="1171"/>
      <c r="G1556"/>
    </row>
    <row r="1557" spans="1:7" ht="14.4" customHeight="1">
      <c r="A1557" s="698"/>
      <c r="B1557" s="1197">
        <v>1</v>
      </c>
      <c r="C1557" s="1203" t="s">
        <v>12372</v>
      </c>
      <c r="D1557" s="1221"/>
      <c r="E1557" s="1172"/>
      <c r="F1557" s="1172"/>
      <c r="G1557"/>
    </row>
    <row r="1558" spans="1:7" ht="14.4" customHeight="1">
      <c r="A1558" s="687"/>
      <c r="B1558" s="1195"/>
      <c r="C1558" s="1629" t="s">
        <v>12368</v>
      </c>
      <c r="D1558" s="1220"/>
      <c r="E1558" s="722"/>
      <c r="F1558" s="722"/>
      <c r="G1558"/>
    </row>
    <row r="1559" spans="1:7" ht="14.4" customHeight="1">
      <c r="A1559" s="687"/>
      <c r="B1559" s="1193"/>
      <c r="C1559" s="1201" t="s">
        <v>12373</v>
      </c>
      <c r="D1559" s="1312"/>
      <c r="E1559" s="1292"/>
      <c r="F1559" s="1292"/>
      <c r="G1559"/>
    </row>
    <row r="1560" spans="1:7" ht="14.4" customHeight="1">
      <c r="A1560" s="687"/>
      <c r="B1560" s="1193"/>
      <c r="C1560" s="1629" t="s">
        <v>12368</v>
      </c>
      <c r="D1560" s="1220"/>
      <c r="E1560" s="722"/>
      <c r="F1560" s="722"/>
      <c r="G1560"/>
    </row>
    <row r="1561" spans="1:7" ht="14.4" customHeight="1">
      <c r="A1561" s="687"/>
      <c r="B1561" s="1194">
        <v>1</v>
      </c>
      <c r="C1561" s="1201" t="s">
        <v>12369</v>
      </c>
      <c r="D1561" s="1220"/>
      <c r="E1561" s="1171"/>
      <c r="F1561" s="1171"/>
      <c r="G1561"/>
    </row>
    <row r="1562" spans="1:7" ht="14.4" customHeight="1">
      <c r="A1562" s="698"/>
      <c r="B1562" s="1195">
        <v>2</v>
      </c>
      <c r="C1562" s="1191" t="s">
        <v>4187</v>
      </c>
      <c r="D1562" s="1220"/>
      <c r="E1562" s="722"/>
      <c r="F1562" s="722"/>
      <c r="G1562"/>
    </row>
    <row r="1563" spans="1:7" ht="14.4" customHeight="1">
      <c r="A1563" s="687"/>
      <c r="B1563" s="1199">
        <v>1</v>
      </c>
      <c r="C1563" s="1191" t="s">
        <v>5955</v>
      </c>
      <c r="D1563" s="1221"/>
      <c r="E1563" s="1172"/>
      <c r="F1563" s="1172"/>
      <c r="G1563"/>
    </row>
    <row r="1564" spans="1:7" ht="14.4" customHeight="1">
      <c r="A1564" s="687"/>
      <c r="B1564" s="1193"/>
      <c r="C1564" s="1629" t="s">
        <v>12368</v>
      </c>
      <c r="D1564" s="1220"/>
      <c r="E1564" s="722"/>
      <c r="F1564" s="722"/>
      <c r="G1564"/>
    </row>
    <row r="1565" spans="1:7" ht="14.4" customHeight="1">
      <c r="A1565" s="687"/>
      <c r="B1565" s="1196"/>
      <c r="C1565" s="1303" t="s">
        <v>2654</v>
      </c>
      <c r="D1565" s="1312"/>
      <c r="E1565" s="1292"/>
      <c r="F1565" s="1292"/>
      <c r="G1565"/>
    </row>
    <row r="1566" spans="1:7" ht="14.4" customHeight="1">
      <c r="A1566" s="687"/>
      <c r="B1566" s="1193">
        <v>1</v>
      </c>
      <c r="C1566" s="1202" t="s">
        <v>4186</v>
      </c>
      <c r="D1566" s="1312"/>
      <c r="E1566" s="1292"/>
      <c r="F1566" s="1292"/>
      <c r="G1566"/>
    </row>
    <row r="1567" spans="1:7" ht="14.4" customHeight="1">
      <c r="A1567" s="687"/>
      <c r="B1567" s="1193">
        <v>1</v>
      </c>
      <c r="C1567" s="1202" t="s">
        <v>2044</v>
      </c>
      <c r="D1567" s="1312"/>
      <c r="E1567" s="1292"/>
      <c r="F1567" s="1292"/>
      <c r="G1567"/>
    </row>
    <row r="1568" spans="1:7" ht="14.4" customHeight="1">
      <c r="A1568" s="687"/>
      <c r="B1568" s="1193">
        <v>4</v>
      </c>
      <c r="C1568" s="1202" t="s">
        <v>4183</v>
      </c>
      <c r="D1568" s="1312"/>
      <c r="E1568" s="1292"/>
      <c r="F1568" s="1292"/>
      <c r="G1568"/>
    </row>
    <row r="1569" spans="1:7" ht="14.4" customHeight="1">
      <c r="A1569" s="687"/>
      <c r="B1569" s="1193">
        <v>4</v>
      </c>
      <c r="C1569" s="1202" t="s">
        <v>2043</v>
      </c>
      <c r="D1569" s="1312"/>
      <c r="E1569" s="1292"/>
      <c r="F1569" s="1292"/>
      <c r="G1569"/>
    </row>
    <row r="1570" spans="1:7" ht="14.4" customHeight="1">
      <c r="A1570" s="687"/>
      <c r="B1570" s="1193">
        <v>1</v>
      </c>
      <c r="C1570" s="1202" t="s">
        <v>2927</v>
      </c>
      <c r="D1570" s="1312"/>
      <c r="E1570" s="1292"/>
      <c r="F1570" s="1292"/>
      <c r="G1570"/>
    </row>
    <row r="1571" spans="1:7" ht="14.4" customHeight="1">
      <c r="A1571" s="693"/>
      <c r="B1571" s="1193"/>
      <c r="C1571" s="1202" t="s">
        <v>729</v>
      </c>
      <c r="D1571" s="1220"/>
      <c r="E1571" s="722"/>
      <c r="F1571" s="722"/>
      <c r="G1571"/>
    </row>
    <row r="1572" spans="1:7" ht="14.4" customHeight="1">
      <c r="A1572" s="1767"/>
      <c r="B1572" s="1193">
        <v>1</v>
      </c>
      <c r="C1572" s="1304" t="s">
        <v>12364</v>
      </c>
      <c r="D1572" s="1312"/>
      <c r="E1572" s="1292"/>
      <c r="F1572" s="1292"/>
      <c r="G1572"/>
    </row>
    <row r="1573" spans="1:7" ht="14.4" customHeight="1">
      <c r="A1573" s="1767"/>
      <c r="B1573" s="1193">
        <v>1</v>
      </c>
      <c r="C1573" s="1304" t="s">
        <v>12474</v>
      </c>
      <c r="D1573" s="1312"/>
      <c r="E1573" s="1292"/>
      <c r="F1573" s="1292"/>
      <c r="G1573"/>
    </row>
    <row r="1574" spans="1:7" ht="14.4" customHeight="1">
      <c r="A1574" s="693"/>
      <c r="B1574" s="1193"/>
      <c r="C1574" s="1202" t="s">
        <v>729</v>
      </c>
      <c r="D1574" s="1220"/>
      <c r="E1574" s="722"/>
      <c r="F1574" s="722"/>
      <c r="G1574"/>
    </row>
    <row r="1575" spans="1:7" ht="14.4" customHeight="1">
      <c r="A1575" s="2192"/>
      <c r="B1575" s="1193">
        <v>1</v>
      </c>
      <c r="C1575" s="1202" t="s">
        <v>2910</v>
      </c>
      <c r="D1575" s="1640"/>
      <c r="E1575" s="722"/>
      <c r="F1575" s="722"/>
      <c r="G1575"/>
    </row>
    <row r="1576" spans="1:7" ht="14.4" customHeight="1">
      <c r="A1576" s="693"/>
      <c r="B1576" s="1193">
        <v>1</v>
      </c>
      <c r="C1576" s="1202" t="s">
        <v>316</v>
      </c>
      <c r="D1576" s="1122"/>
      <c r="E1576" s="1295"/>
      <c r="F1576" s="1295"/>
      <c r="G1576"/>
    </row>
    <row r="1577" spans="1:7" ht="14.4" customHeight="1">
      <c r="A1577" s="693"/>
      <c r="B1577" s="1193"/>
      <c r="C1577" s="1202" t="s">
        <v>729</v>
      </c>
      <c r="D1577" s="1220"/>
      <c r="E1577" s="722"/>
      <c r="F1577" s="722"/>
      <c r="G1577"/>
    </row>
    <row r="1578" spans="1:7" ht="14.4" customHeight="1" thickBot="1">
      <c r="A1578" s="1855"/>
      <c r="B1578" s="2182"/>
      <c r="C1578" s="1631"/>
      <c r="D1578" s="1641"/>
      <c r="E1578" s="1632"/>
      <c r="F1578" s="1632"/>
      <c r="G1578"/>
    </row>
    <row r="1579" spans="1:7" ht="14.4" customHeight="1" thickBot="1">
      <c r="A1579" s="1989">
        <v>39</v>
      </c>
      <c r="B1579" s="1630">
        <v>1</v>
      </c>
      <c r="C1579" s="1329" t="s">
        <v>12601</v>
      </c>
      <c r="D1579" s="1219">
        <v>16561</v>
      </c>
      <c r="E1579" s="1289"/>
      <c r="F1579" s="1289">
        <v>16561</v>
      </c>
      <c r="G1579"/>
    </row>
    <row r="1580" spans="1:7" ht="14.4" customHeight="1">
      <c r="A1580" s="685" t="s">
        <v>3162</v>
      </c>
      <c r="B1580" s="2178"/>
      <c r="C1580" s="2179"/>
      <c r="D1580" s="1312"/>
      <c r="E1580" s="1291"/>
      <c r="F1580" s="1291"/>
      <c r="G1580"/>
    </row>
    <row r="1581" spans="1:7" ht="14.4" customHeight="1">
      <c r="A1581" s="687" t="s">
        <v>12553</v>
      </c>
      <c r="B1581" s="1194">
        <v>1</v>
      </c>
      <c r="C1581" s="1201" t="s">
        <v>5103</v>
      </c>
      <c r="D1581" s="1220"/>
      <c r="E1581" s="1171"/>
      <c r="F1581" s="1171"/>
      <c r="G1581"/>
    </row>
    <row r="1582" spans="1:7" ht="14.4" customHeight="1">
      <c r="A1582" s="687" t="s">
        <v>4136</v>
      </c>
      <c r="B1582" s="1195">
        <v>3</v>
      </c>
      <c r="C1582" s="1191" t="s">
        <v>7374</v>
      </c>
      <c r="D1582" s="1220"/>
      <c r="E1582" s="722"/>
      <c r="F1582" s="722"/>
      <c r="G1582"/>
    </row>
    <row r="1583" spans="1:7" ht="14.4" customHeight="1">
      <c r="A1583" s="687"/>
      <c r="B1583" s="1195">
        <v>3</v>
      </c>
      <c r="C1583" s="1191" t="s">
        <v>7375</v>
      </c>
      <c r="D1583" s="1220"/>
      <c r="E1583" s="722"/>
      <c r="F1583" s="722"/>
      <c r="G1583"/>
    </row>
    <row r="1584" spans="1:7" ht="14.4" customHeight="1">
      <c r="A1584" s="687" t="s">
        <v>12356</v>
      </c>
      <c r="B1584" s="1199">
        <v>1</v>
      </c>
      <c r="C1584" s="1205" t="s">
        <v>3366</v>
      </c>
      <c r="D1584" s="1221"/>
      <c r="E1584" s="1172"/>
      <c r="F1584" s="1172"/>
      <c r="G1584"/>
    </row>
    <row r="1585" spans="1:7" ht="14.4" customHeight="1">
      <c r="A1585" s="687" t="s">
        <v>3542</v>
      </c>
      <c r="B1585" s="1194"/>
      <c r="C1585" s="1218"/>
      <c r="D1585" s="1220"/>
      <c r="E1585" s="1171"/>
      <c r="F1585" s="1171"/>
      <c r="G1585"/>
    </row>
    <row r="1586" spans="1:7" ht="14.4" customHeight="1">
      <c r="A1586" s="1767"/>
      <c r="B1586" s="1195"/>
      <c r="C1586" s="1629" t="s">
        <v>12368</v>
      </c>
      <c r="D1586" s="1220"/>
      <c r="E1586" s="722"/>
      <c r="F1586" s="722"/>
      <c r="G1586"/>
    </row>
    <row r="1587" spans="1:7" ht="14.4" customHeight="1">
      <c r="A1587" s="687"/>
      <c r="B1587" s="1192">
        <v>6</v>
      </c>
      <c r="C1587" s="1202" t="s">
        <v>8588</v>
      </c>
      <c r="D1587" s="1312"/>
      <c r="E1587" s="1291"/>
      <c r="F1587" s="1291"/>
      <c r="G1587"/>
    </row>
    <row r="1588" spans="1:7" ht="14.4" customHeight="1">
      <c r="A1588" s="1767"/>
      <c r="B1588" s="1192"/>
      <c r="C1588" s="1304" t="s">
        <v>729</v>
      </c>
      <c r="D1588" s="1312"/>
      <c r="E1588" s="1291"/>
      <c r="F1588" s="1291"/>
      <c r="G1588"/>
    </row>
    <row r="1589" spans="1:7" ht="14.4" customHeight="1">
      <c r="A1589" s="687"/>
      <c r="B1589" s="1193"/>
      <c r="C1589" s="1201" t="s">
        <v>3158</v>
      </c>
      <c r="D1589" s="1312"/>
      <c r="E1589" s="1292"/>
      <c r="F1589" s="1292"/>
      <c r="G1589"/>
    </row>
    <row r="1590" spans="1:7" ht="14.4" customHeight="1">
      <c r="A1590" s="687"/>
      <c r="B1590" s="1193">
        <v>1</v>
      </c>
      <c r="C1590" s="1202" t="s">
        <v>4434</v>
      </c>
      <c r="D1590" s="1312"/>
      <c r="E1590" s="1292"/>
      <c r="F1590" s="1292"/>
      <c r="G1590"/>
    </row>
    <row r="1591" spans="1:7" ht="14.4" customHeight="1">
      <c r="A1591" s="687"/>
      <c r="B1591" s="1193"/>
      <c r="C1591" s="1202" t="s">
        <v>729</v>
      </c>
      <c r="D1591" s="1220"/>
      <c r="E1591" s="722"/>
      <c r="F1591" s="722"/>
      <c r="G1591"/>
    </row>
    <row r="1592" spans="1:7" ht="14.4" customHeight="1">
      <c r="A1592" s="693"/>
      <c r="B1592" s="1294">
        <v>1</v>
      </c>
      <c r="C1592" s="1303" t="s">
        <v>12616</v>
      </c>
      <c r="D1592" s="1220"/>
      <c r="E1592" s="722"/>
      <c r="F1592" s="722"/>
      <c r="G1592"/>
    </row>
    <row r="1593" spans="1:7" ht="14.4" customHeight="1">
      <c r="A1593" s="692"/>
      <c r="B1593" s="1199">
        <v>1</v>
      </c>
      <c r="C1593" s="1205" t="s">
        <v>3378</v>
      </c>
      <c r="D1593" s="1221"/>
      <c r="E1593" s="1172"/>
      <c r="F1593" s="1172"/>
      <c r="G1593"/>
    </row>
    <row r="1594" spans="1:7" ht="14.4" customHeight="1">
      <c r="A1594" s="687"/>
      <c r="B1594" s="1195">
        <v>1</v>
      </c>
      <c r="C1594" s="1191" t="s">
        <v>3519</v>
      </c>
      <c r="D1594" s="1220"/>
      <c r="E1594" s="1171"/>
      <c r="F1594" s="1171"/>
      <c r="G1594"/>
    </row>
    <row r="1595" spans="1:7" ht="14.4" customHeight="1">
      <c r="A1595" s="687"/>
      <c r="B1595" s="1195">
        <v>1</v>
      </c>
      <c r="C1595" s="1191" t="s">
        <v>6734</v>
      </c>
      <c r="D1595" s="1220"/>
      <c r="E1595" s="1171"/>
      <c r="F1595" s="1171"/>
      <c r="G1595"/>
    </row>
    <row r="1596" spans="1:7" ht="14.4" customHeight="1">
      <c r="A1596" s="687"/>
      <c r="B1596" s="1195">
        <v>1</v>
      </c>
      <c r="C1596" s="1191" t="s">
        <v>7374</v>
      </c>
      <c r="D1596" s="1220"/>
      <c r="E1596" s="1171"/>
      <c r="F1596" s="1171"/>
      <c r="G1596"/>
    </row>
    <row r="1597" spans="1:7" ht="14.4" customHeight="1">
      <c r="A1597" s="687"/>
      <c r="B1597" s="1195">
        <v>1</v>
      </c>
      <c r="C1597" s="1191" t="s">
        <v>7375</v>
      </c>
      <c r="D1597" s="1220"/>
      <c r="E1597" s="1171"/>
      <c r="F1597" s="1171"/>
      <c r="G1597"/>
    </row>
    <row r="1598" spans="1:7" ht="14.4" customHeight="1">
      <c r="A1598" s="687"/>
      <c r="B1598" s="1195">
        <v>1</v>
      </c>
      <c r="C1598" s="1191" t="s">
        <v>2436</v>
      </c>
      <c r="D1598" s="1220"/>
      <c r="E1598" s="1171"/>
      <c r="F1598" s="1171"/>
      <c r="G1598"/>
    </row>
    <row r="1599" spans="1:7" ht="14.4" customHeight="1">
      <c r="A1599" s="687"/>
      <c r="B1599" s="1195">
        <v>1</v>
      </c>
      <c r="C1599" s="1191" t="s">
        <v>4660</v>
      </c>
      <c r="D1599" s="1220"/>
      <c r="E1599" s="1171"/>
      <c r="F1599" s="1171"/>
      <c r="G1599"/>
    </row>
    <row r="1600" spans="1:7" ht="14.4" customHeight="1">
      <c r="A1600" s="1208"/>
      <c r="B1600" s="1199">
        <v>1</v>
      </c>
      <c r="C1600" s="1205" t="s">
        <v>3379</v>
      </c>
      <c r="D1600" s="1221"/>
      <c r="E1600" s="1172"/>
      <c r="F1600" s="1172"/>
      <c r="G1600"/>
    </row>
    <row r="1601" spans="1:7" ht="14.4" customHeight="1">
      <c r="A1601" s="687"/>
      <c r="B1601" s="1193"/>
      <c r="C1601" s="1202" t="s">
        <v>729</v>
      </c>
      <c r="D1601" s="1220"/>
      <c r="E1601" s="722"/>
      <c r="F1601" s="722"/>
      <c r="G1601"/>
    </row>
    <row r="1602" spans="1:7" ht="14.4" customHeight="1">
      <c r="A1602" s="687"/>
      <c r="B1602" s="1193"/>
      <c r="C1602" s="1627" t="s">
        <v>11663</v>
      </c>
      <c r="D1602" s="1312"/>
      <c r="E1602" s="722"/>
      <c r="F1602" s="722"/>
      <c r="G1602"/>
    </row>
    <row r="1603" spans="1:7" ht="14.4" customHeight="1">
      <c r="A1603" s="687"/>
      <c r="B1603" s="1193">
        <v>1</v>
      </c>
      <c r="C1603" s="1202" t="s">
        <v>12165</v>
      </c>
      <c r="D1603" s="1312"/>
      <c r="E1603" s="722"/>
      <c r="F1603" s="722"/>
      <c r="G1603"/>
    </row>
    <row r="1604" spans="1:7" ht="14.4" customHeight="1">
      <c r="A1604" s="687"/>
      <c r="B1604" s="1193">
        <v>3</v>
      </c>
      <c r="C1604" s="1202" t="s">
        <v>434</v>
      </c>
      <c r="D1604" s="1312"/>
      <c r="E1604" s="722"/>
      <c r="F1604" s="722"/>
      <c r="G1604"/>
    </row>
    <row r="1605" spans="1:7" ht="14.4" customHeight="1">
      <c r="A1605" s="687"/>
      <c r="B1605" s="1193">
        <v>5</v>
      </c>
      <c r="C1605" s="1202" t="s">
        <v>8288</v>
      </c>
      <c r="D1605" s="1312"/>
      <c r="E1605" s="722"/>
      <c r="F1605" s="722"/>
      <c r="G1605"/>
    </row>
    <row r="1606" spans="1:7" ht="14.4" customHeight="1">
      <c r="A1606" s="687"/>
      <c r="B1606" s="1193">
        <v>6</v>
      </c>
      <c r="C1606" s="1202" t="s">
        <v>8275</v>
      </c>
      <c r="D1606" s="1312"/>
      <c r="E1606" s="722"/>
      <c r="F1606" s="722"/>
      <c r="G1606"/>
    </row>
    <row r="1607" spans="1:7" ht="14.4" customHeight="1">
      <c r="A1607" s="693"/>
      <c r="B1607" s="1193"/>
      <c r="C1607" s="1202" t="s">
        <v>729</v>
      </c>
      <c r="D1607" s="1220"/>
      <c r="E1607" s="722"/>
      <c r="F1607" s="722"/>
      <c r="G1607"/>
    </row>
    <row r="1608" spans="1:7" ht="14.4" customHeight="1">
      <c r="A1608" s="1767"/>
      <c r="B1608" s="1196"/>
      <c r="C1608" s="1303" t="s">
        <v>3377</v>
      </c>
      <c r="D1608" s="1312"/>
      <c r="E1608" s="1292"/>
      <c r="F1608" s="1292"/>
      <c r="G1608"/>
    </row>
    <row r="1609" spans="1:7" ht="14.4" customHeight="1">
      <c r="A1609" s="1767"/>
      <c r="B1609" s="1193">
        <v>1</v>
      </c>
      <c r="C1609" s="1202" t="s">
        <v>4434</v>
      </c>
      <c r="D1609" s="1312"/>
      <c r="E1609" s="1291"/>
      <c r="F1609" s="1291"/>
      <c r="G1609"/>
    </row>
    <row r="1610" spans="1:7" ht="14.4" customHeight="1">
      <c r="A1610" s="1767"/>
      <c r="B1610" s="1193">
        <v>1</v>
      </c>
      <c r="C1610" s="1202" t="s">
        <v>4428</v>
      </c>
      <c r="D1610" s="1312"/>
      <c r="E1610" s="1291"/>
      <c r="F1610" s="1291"/>
      <c r="G1610"/>
    </row>
    <row r="1611" spans="1:7" ht="14.4" customHeight="1">
      <c r="A1611" s="1767"/>
      <c r="B1611" s="1193">
        <v>2</v>
      </c>
      <c r="C1611" s="1202" t="s">
        <v>4424</v>
      </c>
      <c r="D1611" s="1312"/>
      <c r="E1611" s="1291"/>
      <c r="F1611" s="1291"/>
      <c r="G1611"/>
    </row>
    <row r="1612" spans="1:7" ht="14.4" customHeight="1">
      <c r="A1612" s="1767"/>
      <c r="B1612" s="1193">
        <v>2</v>
      </c>
      <c r="C1612" s="1202" t="s">
        <v>2933</v>
      </c>
      <c r="D1612" s="1312"/>
      <c r="E1612" s="1291"/>
      <c r="F1612" s="1291"/>
      <c r="G1612"/>
    </row>
    <row r="1613" spans="1:7" ht="14.4" customHeight="1">
      <c r="A1613" s="692"/>
      <c r="B1613" s="1193"/>
      <c r="C1613" s="1202" t="s">
        <v>729</v>
      </c>
      <c r="D1613" s="1220"/>
      <c r="E1613" s="722"/>
      <c r="F1613" s="722"/>
      <c r="G1613"/>
    </row>
    <row r="1614" spans="1:7" ht="14.4" customHeight="1">
      <c r="A1614" s="693"/>
      <c r="B1614" s="1196"/>
      <c r="C1614" s="1201" t="s">
        <v>3063</v>
      </c>
      <c r="D1614" s="1220"/>
      <c r="E1614" s="1171"/>
      <c r="F1614" s="1171"/>
      <c r="G1614"/>
    </row>
    <row r="1615" spans="1:7" ht="14.4" customHeight="1">
      <c r="A1615" s="691"/>
      <c r="B1615" s="1193">
        <v>1</v>
      </c>
      <c r="C1615" s="1202" t="s">
        <v>4389</v>
      </c>
      <c r="D1615" s="1312"/>
      <c r="E1615" s="1291"/>
      <c r="F1615" s="1291"/>
      <c r="G1615"/>
    </row>
    <row r="1616" spans="1:7" ht="14.4" customHeight="1">
      <c r="A1616" s="691"/>
      <c r="B1616" s="1193">
        <v>1</v>
      </c>
      <c r="C1616" s="1202" t="s">
        <v>12358</v>
      </c>
      <c r="D1616" s="1312"/>
      <c r="E1616" s="1291"/>
      <c r="F1616" s="1291"/>
      <c r="G1616"/>
    </row>
    <row r="1617" spans="1:7" ht="14.4" customHeight="1">
      <c r="A1617" s="692"/>
      <c r="B1617" s="1193"/>
      <c r="C1617" s="1202" t="s">
        <v>729</v>
      </c>
      <c r="D1617" s="1220"/>
      <c r="E1617" s="722"/>
      <c r="F1617" s="722"/>
      <c r="G1617"/>
    </row>
    <row r="1618" spans="1:7" ht="14.4" customHeight="1">
      <c r="A1618" s="1767"/>
      <c r="B1618" s="1193">
        <v>1</v>
      </c>
      <c r="C1618" s="1304" t="s">
        <v>12366</v>
      </c>
      <c r="D1618" s="1312"/>
      <c r="E1618" s="1292"/>
      <c r="F1618" s="1292"/>
      <c r="G1618"/>
    </row>
    <row r="1619" spans="1:7" ht="14.4" customHeight="1">
      <c r="A1619" s="693"/>
      <c r="B1619" s="1193"/>
      <c r="C1619" s="1202" t="s">
        <v>729</v>
      </c>
      <c r="D1619" s="1220"/>
      <c r="E1619" s="722"/>
      <c r="F1619" s="722"/>
      <c r="G1619"/>
    </row>
    <row r="1620" spans="1:7" ht="14.4" customHeight="1">
      <c r="A1620" s="1767"/>
      <c r="B1620" s="1193">
        <v>1</v>
      </c>
      <c r="C1620" s="1304" t="s">
        <v>12364</v>
      </c>
      <c r="D1620" s="1312"/>
      <c r="E1620" s="1292"/>
      <c r="F1620" s="1292"/>
      <c r="G1620"/>
    </row>
    <row r="1621" spans="1:7" ht="14.4" customHeight="1">
      <c r="A1621" s="1767"/>
      <c r="B1621" s="1193">
        <v>1</v>
      </c>
      <c r="C1621" s="1304" t="s">
        <v>12363</v>
      </c>
      <c r="D1621" s="1312"/>
      <c r="E1621" s="1292"/>
      <c r="F1621" s="1292"/>
      <c r="G1621"/>
    </row>
    <row r="1622" spans="1:7" ht="14.4" customHeight="1">
      <c r="A1622" s="1767"/>
      <c r="B1622" s="1193">
        <v>1</v>
      </c>
      <c r="C1622" s="1304" t="s">
        <v>12475</v>
      </c>
      <c r="D1622" s="1312"/>
      <c r="E1622" s="1292"/>
      <c r="F1622" s="1292"/>
      <c r="G1622"/>
    </row>
    <row r="1623" spans="1:7" ht="14.4" customHeight="1">
      <c r="A1623" s="693"/>
      <c r="B1623" s="1193"/>
      <c r="C1623" s="1202" t="s">
        <v>729</v>
      </c>
      <c r="D1623" s="1220"/>
      <c r="E1623" s="722"/>
      <c r="F1623" s="722"/>
      <c r="G1623"/>
    </row>
    <row r="1624" spans="1:7" ht="14.4" customHeight="1">
      <c r="A1624" s="693"/>
      <c r="B1624" s="1193">
        <v>1</v>
      </c>
      <c r="C1624" s="1202" t="s">
        <v>316</v>
      </c>
      <c r="D1624" s="1122"/>
      <c r="E1624" s="1295"/>
      <c r="F1624" s="1295"/>
      <c r="G1624"/>
    </row>
    <row r="1625" spans="1:7" ht="14.4" customHeight="1">
      <c r="A1625" s="693"/>
      <c r="B1625" s="1193"/>
      <c r="C1625" s="1202" t="s">
        <v>729</v>
      </c>
      <c r="D1625" s="1220"/>
      <c r="E1625" s="722"/>
      <c r="F1625" s="722"/>
      <c r="G1625"/>
    </row>
    <row r="1626" spans="1:7" ht="14.4" customHeight="1" thickBot="1">
      <c r="A1626" s="699"/>
      <c r="B1626" s="1200"/>
      <c r="C1626" s="1305"/>
      <c r="D1626" s="1313"/>
      <c r="E1626" s="1297"/>
      <c r="F1626" s="1297"/>
      <c r="G1626"/>
    </row>
    <row r="1627" spans="1:7" ht="14.4" customHeight="1" thickBot="1">
      <c r="A1627" s="1989">
        <v>40</v>
      </c>
      <c r="B1627" s="1630">
        <v>1</v>
      </c>
      <c r="C1627" s="1329" t="s">
        <v>12602</v>
      </c>
      <c r="D1627" s="1219">
        <v>12338</v>
      </c>
      <c r="E1627" s="1289"/>
      <c r="F1627" s="1289">
        <v>12338</v>
      </c>
      <c r="G1627"/>
    </row>
    <row r="1628" spans="1:7" ht="14.4" customHeight="1">
      <c r="A1628" s="685" t="s">
        <v>3064</v>
      </c>
      <c r="B1628" s="2178"/>
      <c r="C1628" s="2179"/>
      <c r="D1628" s="1312"/>
      <c r="E1628" s="1291"/>
      <c r="F1628" s="1291"/>
      <c r="G1628"/>
    </row>
    <row r="1629" spans="1:7" ht="14.4" customHeight="1">
      <c r="A1629" s="687" t="s">
        <v>12553</v>
      </c>
      <c r="B1629" s="1194">
        <v>1</v>
      </c>
      <c r="C1629" s="1201" t="s">
        <v>5103</v>
      </c>
      <c r="D1629" s="1220"/>
      <c r="E1629" s="1171"/>
      <c r="F1629" s="1171"/>
      <c r="G1629"/>
    </row>
    <row r="1630" spans="1:7" ht="14.4" customHeight="1">
      <c r="A1630" s="687" t="s">
        <v>4136</v>
      </c>
      <c r="B1630" s="1195">
        <v>3</v>
      </c>
      <c r="C1630" s="1191" t="s">
        <v>7374</v>
      </c>
      <c r="D1630" s="1220"/>
      <c r="E1630" s="722"/>
      <c r="F1630" s="722"/>
      <c r="G1630"/>
    </row>
    <row r="1631" spans="1:7" ht="14.4" customHeight="1">
      <c r="A1631" s="687"/>
      <c r="B1631" s="1195">
        <v>3</v>
      </c>
      <c r="C1631" s="1191" t="s">
        <v>7375</v>
      </c>
      <c r="D1631" s="1220"/>
      <c r="E1631" s="722"/>
      <c r="F1631" s="722"/>
      <c r="G1631"/>
    </row>
    <row r="1632" spans="1:7" ht="14.4" customHeight="1">
      <c r="A1632" s="687" t="s">
        <v>12356</v>
      </c>
      <c r="B1632" s="1199">
        <v>1</v>
      </c>
      <c r="C1632" s="1205" t="s">
        <v>3366</v>
      </c>
      <c r="D1632" s="1221"/>
      <c r="E1632" s="1172"/>
      <c r="F1632" s="1172"/>
      <c r="G1632"/>
    </row>
    <row r="1633" spans="1:7" ht="14.4" customHeight="1">
      <c r="A1633" s="687" t="s">
        <v>3542</v>
      </c>
      <c r="B1633" s="1194"/>
      <c r="C1633" s="1218"/>
      <c r="D1633" s="1220"/>
      <c r="E1633" s="1171"/>
      <c r="F1633" s="1171"/>
      <c r="G1633"/>
    </row>
    <row r="1634" spans="1:7" ht="14.4" customHeight="1">
      <c r="A1634" s="687"/>
      <c r="B1634" s="1195"/>
      <c r="C1634" s="1629" t="s">
        <v>12368</v>
      </c>
      <c r="D1634" s="1220"/>
      <c r="E1634" s="722"/>
      <c r="F1634" s="722"/>
      <c r="G1634"/>
    </row>
    <row r="1635" spans="1:7" ht="14.4" customHeight="1">
      <c r="A1635" s="687"/>
      <c r="B1635" s="1192">
        <v>6</v>
      </c>
      <c r="C1635" s="1202" t="s">
        <v>8588</v>
      </c>
      <c r="D1635" s="1312"/>
      <c r="E1635" s="1291"/>
      <c r="F1635" s="1291"/>
      <c r="G1635"/>
    </row>
    <row r="1636" spans="1:7" ht="14.4" customHeight="1">
      <c r="A1636" s="1767"/>
      <c r="B1636" s="1192"/>
      <c r="C1636" s="1304" t="s">
        <v>729</v>
      </c>
      <c r="D1636" s="1312"/>
      <c r="E1636" s="1291"/>
      <c r="F1636" s="1291"/>
      <c r="G1636"/>
    </row>
    <row r="1637" spans="1:7" ht="14.4" customHeight="1">
      <c r="A1637" s="687"/>
      <c r="B1637" s="1193"/>
      <c r="C1637" s="1201" t="s">
        <v>3158</v>
      </c>
      <c r="D1637" s="1312"/>
      <c r="E1637" s="1292"/>
      <c r="F1637" s="1292"/>
      <c r="G1637"/>
    </row>
    <row r="1638" spans="1:7" ht="14.4" customHeight="1">
      <c r="A1638" s="687"/>
      <c r="B1638" s="1193">
        <v>1</v>
      </c>
      <c r="C1638" s="1202" t="s">
        <v>4428</v>
      </c>
      <c r="D1638" s="1312"/>
      <c r="E1638" s="1292"/>
      <c r="F1638" s="1292"/>
      <c r="G1638"/>
    </row>
    <row r="1639" spans="1:7" ht="14.4" customHeight="1">
      <c r="A1639" s="687"/>
      <c r="B1639" s="1193"/>
      <c r="C1639" s="1202" t="s">
        <v>729</v>
      </c>
      <c r="D1639" s="1220"/>
      <c r="E1639" s="722"/>
      <c r="F1639" s="722"/>
      <c r="G1639"/>
    </row>
    <row r="1640" spans="1:7" ht="14.4" customHeight="1">
      <c r="A1640" s="693"/>
      <c r="B1640" s="1294">
        <v>1</v>
      </c>
      <c r="C1640" s="1303" t="s">
        <v>12617</v>
      </c>
      <c r="D1640" s="1220"/>
      <c r="E1640" s="722"/>
      <c r="F1640" s="722"/>
      <c r="G1640"/>
    </row>
    <row r="1641" spans="1:7" ht="14.4" customHeight="1">
      <c r="A1641" s="692"/>
      <c r="B1641" s="1199">
        <v>1</v>
      </c>
      <c r="C1641" s="1205" t="s">
        <v>3378</v>
      </c>
      <c r="D1641" s="1221"/>
      <c r="E1641" s="1172"/>
      <c r="F1641" s="1172"/>
      <c r="G1641"/>
    </row>
    <row r="1642" spans="1:7" ht="14.4" customHeight="1">
      <c r="A1642" s="687"/>
      <c r="B1642" s="1195">
        <v>1</v>
      </c>
      <c r="C1642" s="1191" t="s">
        <v>3519</v>
      </c>
      <c r="D1642" s="1220"/>
      <c r="E1642" s="1171"/>
      <c r="F1642" s="1171"/>
      <c r="G1642"/>
    </row>
    <row r="1643" spans="1:7" ht="14.4" customHeight="1">
      <c r="A1643" s="687"/>
      <c r="B1643" s="1195">
        <v>1</v>
      </c>
      <c r="C1643" s="1191" t="s">
        <v>6734</v>
      </c>
      <c r="D1643" s="1220"/>
      <c r="E1643" s="1171"/>
      <c r="F1643" s="1171"/>
      <c r="G1643"/>
    </row>
    <row r="1644" spans="1:7" ht="14.4" customHeight="1">
      <c r="A1644" s="687"/>
      <c r="B1644" s="1195">
        <v>1</v>
      </c>
      <c r="C1644" s="1191" t="s">
        <v>7374</v>
      </c>
      <c r="D1644" s="1220"/>
      <c r="E1644" s="1171"/>
      <c r="F1644" s="1171"/>
      <c r="G1644"/>
    </row>
    <row r="1645" spans="1:7" ht="14.4" customHeight="1">
      <c r="A1645" s="687"/>
      <c r="B1645" s="1195">
        <v>1</v>
      </c>
      <c r="C1645" s="1191" t="s">
        <v>7375</v>
      </c>
      <c r="D1645" s="1220"/>
      <c r="E1645" s="1171"/>
      <c r="F1645" s="1171"/>
      <c r="G1645"/>
    </row>
    <row r="1646" spans="1:7" ht="14.4" customHeight="1">
      <c r="A1646" s="687"/>
      <c r="B1646" s="1195">
        <v>1</v>
      </c>
      <c r="C1646" s="1191" t="s">
        <v>2436</v>
      </c>
      <c r="D1646" s="1220"/>
      <c r="E1646" s="1171"/>
      <c r="F1646" s="1171"/>
      <c r="G1646"/>
    </row>
    <row r="1647" spans="1:7" ht="14.4" customHeight="1">
      <c r="A1647" s="687"/>
      <c r="B1647" s="1195">
        <v>1</v>
      </c>
      <c r="C1647" s="1191" t="s">
        <v>4660</v>
      </c>
      <c r="D1647" s="1220"/>
      <c r="E1647" s="1171"/>
      <c r="F1647" s="1171"/>
      <c r="G1647"/>
    </row>
    <row r="1648" spans="1:7" ht="14.4" customHeight="1">
      <c r="A1648" s="1208"/>
      <c r="B1648" s="1199">
        <v>1</v>
      </c>
      <c r="C1648" s="1205" t="s">
        <v>3379</v>
      </c>
      <c r="D1648" s="1221"/>
      <c r="E1648" s="1172"/>
      <c r="F1648" s="1172"/>
      <c r="G1648"/>
    </row>
    <row r="1649" spans="1:7" ht="14.4" customHeight="1">
      <c r="A1649" s="687"/>
      <c r="B1649" s="1193"/>
      <c r="C1649" s="1202" t="s">
        <v>729</v>
      </c>
      <c r="D1649" s="1220"/>
      <c r="E1649" s="722"/>
      <c r="F1649" s="722"/>
      <c r="G1649"/>
    </row>
    <row r="1650" spans="1:7" ht="14.4" customHeight="1">
      <c r="A1650" s="687"/>
      <c r="B1650" s="1193"/>
      <c r="C1650" s="1627" t="s">
        <v>11663</v>
      </c>
      <c r="D1650" s="1312"/>
      <c r="E1650" s="722"/>
      <c r="F1650" s="722"/>
      <c r="G1650"/>
    </row>
    <row r="1651" spans="1:7" ht="14.4" customHeight="1">
      <c r="A1651" s="687"/>
      <c r="B1651" s="1193">
        <v>1</v>
      </c>
      <c r="C1651" s="1202" t="s">
        <v>12165</v>
      </c>
      <c r="D1651" s="1312"/>
      <c r="E1651" s="722"/>
      <c r="F1651" s="722"/>
      <c r="G1651"/>
    </row>
    <row r="1652" spans="1:7" ht="14.4" customHeight="1">
      <c r="A1652" s="687"/>
      <c r="B1652" s="1193">
        <v>3</v>
      </c>
      <c r="C1652" s="1202" t="s">
        <v>8261</v>
      </c>
      <c r="D1652" s="1312"/>
      <c r="E1652" s="722"/>
      <c r="F1652" s="722"/>
      <c r="G1652"/>
    </row>
    <row r="1653" spans="1:7" ht="14.4" customHeight="1">
      <c r="A1653" s="687"/>
      <c r="B1653" s="1193">
        <v>5</v>
      </c>
      <c r="C1653" s="1202" t="s">
        <v>8288</v>
      </c>
      <c r="D1653" s="1312"/>
      <c r="E1653" s="722"/>
      <c r="F1653" s="722"/>
      <c r="G1653"/>
    </row>
    <row r="1654" spans="1:7" ht="14.4" customHeight="1">
      <c r="A1654" s="687"/>
      <c r="B1654" s="1193">
        <v>6</v>
      </c>
      <c r="C1654" s="1202" t="s">
        <v>8275</v>
      </c>
      <c r="D1654" s="1312"/>
      <c r="E1654" s="722"/>
      <c r="F1654" s="722"/>
      <c r="G1654"/>
    </row>
    <row r="1655" spans="1:7" ht="14.4" customHeight="1">
      <c r="A1655" s="693"/>
      <c r="B1655" s="1193"/>
      <c r="C1655" s="1202" t="s">
        <v>729</v>
      </c>
      <c r="D1655" s="1220"/>
      <c r="E1655" s="722"/>
      <c r="F1655" s="722"/>
      <c r="G1655"/>
    </row>
    <row r="1656" spans="1:7" ht="14.4" customHeight="1">
      <c r="A1656" s="1767"/>
      <c r="B1656" s="1196"/>
      <c r="C1656" s="1303" t="s">
        <v>3377</v>
      </c>
      <c r="D1656" s="1312"/>
      <c r="E1656" s="1292"/>
      <c r="F1656" s="1292"/>
      <c r="G1656"/>
    </row>
    <row r="1657" spans="1:7" ht="14.4" customHeight="1">
      <c r="A1657" s="1767"/>
      <c r="B1657" s="1193">
        <v>1</v>
      </c>
      <c r="C1657" s="1202" t="s">
        <v>4428</v>
      </c>
      <c r="D1657" s="1312"/>
      <c r="E1657" s="1291"/>
      <c r="F1657" s="1291"/>
      <c r="G1657"/>
    </row>
    <row r="1658" spans="1:7" ht="14.4" customHeight="1">
      <c r="A1658" s="1767"/>
      <c r="B1658" s="1193">
        <v>1</v>
      </c>
      <c r="C1658" s="1202" t="s">
        <v>4427</v>
      </c>
      <c r="D1658" s="1312"/>
      <c r="E1658" s="1291"/>
      <c r="F1658" s="1291"/>
      <c r="G1658"/>
    </row>
    <row r="1659" spans="1:7" ht="14.4" customHeight="1">
      <c r="A1659" s="1767"/>
      <c r="B1659" s="1193">
        <v>1</v>
      </c>
      <c r="C1659" s="1202" t="s">
        <v>4425</v>
      </c>
      <c r="D1659" s="1312"/>
      <c r="E1659" s="1291"/>
      <c r="F1659" s="1291"/>
      <c r="G1659"/>
    </row>
    <row r="1660" spans="1:7" ht="14.4" customHeight="1">
      <c r="A1660" s="1767"/>
      <c r="B1660" s="1193">
        <v>1</v>
      </c>
      <c r="C1660" s="1202" t="s">
        <v>4424</v>
      </c>
      <c r="D1660" s="1312"/>
      <c r="E1660" s="1291"/>
      <c r="F1660" s="1291"/>
      <c r="G1660"/>
    </row>
    <row r="1661" spans="1:7" ht="14.4" customHeight="1">
      <c r="A1661" s="1767"/>
      <c r="B1661" s="1193">
        <v>1</v>
      </c>
      <c r="C1661" s="1202" t="s">
        <v>2933</v>
      </c>
      <c r="D1661" s="1312"/>
      <c r="E1661" s="1291"/>
      <c r="F1661" s="1291"/>
      <c r="G1661"/>
    </row>
    <row r="1662" spans="1:7" ht="14.4" customHeight="1">
      <c r="A1662" s="692"/>
      <c r="B1662" s="1193"/>
      <c r="C1662" s="1202" t="s">
        <v>729</v>
      </c>
      <c r="D1662" s="1220"/>
      <c r="E1662" s="722"/>
      <c r="F1662" s="722"/>
      <c r="G1662"/>
    </row>
    <row r="1663" spans="1:7" ht="14.4" customHeight="1">
      <c r="A1663" s="693"/>
      <c r="B1663" s="1196"/>
      <c r="C1663" s="1201" t="s">
        <v>3063</v>
      </c>
      <c r="D1663" s="1220"/>
      <c r="E1663" s="1171"/>
      <c r="F1663" s="1171"/>
      <c r="G1663"/>
    </row>
    <row r="1664" spans="1:7" ht="14.4" customHeight="1">
      <c r="A1664" s="691"/>
      <c r="B1664" s="1193">
        <v>1</v>
      </c>
      <c r="C1664" s="1202" t="s">
        <v>4389</v>
      </c>
      <c r="D1664" s="1312"/>
      <c r="E1664" s="1291"/>
      <c r="F1664" s="1291"/>
      <c r="G1664"/>
    </row>
    <row r="1665" spans="1:7" ht="14.4" customHeight="1">
      <c r="A1665" s="691"/>
      <c r="B1665" s="1193">
        <v>1</v>
      </c>
      <c r="C1665" s="1202" t="s">
        <v>12358</v>
      </c>
      <c r="D1665" s="1312"/>
      <c r="E1665" s="1291"/>
      <c r="F1665" s="1291"/>
      <c r="G1665"/>
    </row>
    <row r="1666" spans="1:7" ht="14.4" customHeight="1">
      <c r="A1666" s="692"/>
      <c r="B1666" s="1193"/>
      <c r="C1666" s="1202" t="s">
        <v>729</v>
      </c>
      <c r="D1666" s="1220"/>
      <c r="E1666" s="722"/>
      <c r="F1666" s="722"/>
      <c r="G1666"/>
    </row>
    <row r="1667" spans="1:7" ht="14.4" customHeight="1">
      <c r="A1667" s="1767"/>
      <c r="B1667" s="1193">
        <v>1</v>
      </c>
      <c r="C1667" s="1304" t="s">
        <v>12366</v>
      </c>
      <c r="D1667" s="1312"/>
      <c r="E1667" s="1292"/>
      <c r="F1667" s="1292"/>
      <c r="G1667"/>
    </row>
    <row r="1668" spans="1:7" ht="14.4" customHeight="1">
      <c r="A1668" s="693"/>
      <c r="B1668" s="1193"/>
      <c r="C1668" s="1202" t="s">
        <v>729</v>
      </c>
      <c r="D1668" s="1220"/>
      <c r="E1668" s="722"/>
      <c r="F1668" s="722"/>
      <c r="G1668"/>
    </row>
    <row r="1669" spans="1:7" ht="14.4" customHeight="1">
      <c r="A1669" s="1767"/>
      <c r="B1669" s="1193">
        <v>1</v>
      </c>
      <c r="C1669" s="1304" t="s">
        <v>12364</v>
      </c>
      <c r="D1669" s="1312"/>
      <c r="E1669" s="1292"/>
      <c r="F1669" s="1292"/>
      <c r="G1669"/>
    </row>
    <row r="1670" spans="1:7" ht="14.4" customHeight="1">
      <c r="A1670" s="1767"/>
      <c r="B1670" s="1193">
        <v>1</v>
      </c>
      <c r="C1670" s="1304" t="s">
        <v>12474</v>
      </c>
      <c r="D1670" s="1312"/>
      <c r="E1670" s="1292"/>
      <c r="F1670" s="1292"/>
      <c r="G1670"/>
    </row>
    <row r="1671" spans="1:7" ht="14.4" customHeight="1">
      <c r="A1671" s="693"/>
      <c r="B1671" s="1193"/>
      <c r="C1671" s="1202" t="s">
        <v>729</v>
      </c>
      <c r="D1671" s="1220"/>
      <c r="E1671" s="722"/>
      <c r="F1671" s="722"/>
      <c r="G1671"/>
    </row>
    <row r="1672" spans="1:7" ht="14.4" customHeight="1">
      <c r="A1672" s="693"/>
      <c r="B1672" s="1193">
        <v>1</v>
      </c>
      <c r="C1672" s="1202" t="s">
        <v>316</v>
      </c>
      <c r="D1672" s="1122"/>
      <c r="E1672" s="1295"/>
      <c r="F1672" s="1295"/>
      <c r="G1672"/>
    </row>
    <row r="1673" spans="1:7" ht="14.4" customHeight="1">
      <c r="A1673" s="693"/>
      <c r="B1673" s="1193"/>
      <c r="C1673" s="1202" t="s">
        <v>729</v>
      </c>
      <c r="D1673" s="1220"/>
      <c r="E1673" s="722"/>
      <c r="F1673" s="722"/>
      <c r="G1673"/>
    </row>
    <row r="1674" spans="1:7" ht="14.4" customHeight="1" thickBot="1">
      <c r="A1674" s="699"/>
      <c r="B1674" s="1200"/>
      <c r="C1674" s="1305"/>
      <c r="D1674" s="1313"/>
      <c r="E1674" s="1297"/>
      <c r="F1674" s="1297"/>
      <c r="G1674"/>
    </row>
    <row r="1675" spans="1:7" ht="14.4" customHeight="1" thickBot="1">
      <c r="A1675" s="1989">
        <v>41</v>
      </c>
      <c r="B1675" s="1630">
        <v>1</v>
      </c>
      <c r="C1675" s="1329" t="s">
        <v>12603</v>
      </c>
      <c r="D1675" s="1219">
        <v>3939</v>
      </c>
      <c r="E1675" s="1289"/>
      <c r="F1675" s="1289">
        <v>3939</v>
      </c>
      <c r="G1675"/>
    </row>
    <row r="1676" spans="1:7" ht="14.4" customHeight="1">
      <c r="A1676" s="685" t="s">
        <v>3064</v>
      </c>
      <c r="B1676" s="2178"/>
      <c r="C1676" s="2179"/>
      <c r="D1676" s="1312"/>
      <c r="E1676" s="1291"/>
      <c r="F1676" s="1291"/>
      <c r="G1676"/>
    </row>
    <row r="1677" spans="1:7" ht="14.4" customHeight="1">
      <c r="A1677" s="687" t="s">
        <v>12553</v>
      </c>
      <c r="B1677" s="1194">
        <v>1</v>
      </c>
      <c r="C1677" s="1201" t="s">
        <v>5103</v>
      </c>
      <c r="D1677" s="1220"/>
      <c r="E1677" s="1171"/>
      <c r="F1677" s="1171"/>
      <c r="G1677"/>
    </row>
    <row r="1678" spans="1:7" ht="14.4" customHeight="1">
      <c r="A1678" s="687" t="s">
        <v>4136</v>
      </c>
      <c r="B1678" s="1195">
        <v>3</v>
      </c>
      <c r="C1678" s="1191" t="s">
        <v>7374</v>
      </c>
      <c r="D1678" s="1220"/>
      <c r="E1678" s="722"/>
      <c r="F1678" s="722"/>
      <c r="G1678"/>
    </row>
    <row r="1679" spans="1:7" ht="14.4" customHeight="1">
      <c r="A1679" s="687"/>
      <c r="B1679" s="1195">
        <v>3</v>
      </c>
      <c r="C1679" s="1191" t="s">
        <v>7375</v>
      </c>
      <c r="D1679" s="1220"/>
      <c r="E1679" s="722"/>
      <c r="F1679" s="722"/>
      <c r="G1679"/>
    </row>
    <row r="1680" spans="1:7" ht="14.4" customHeight="1">
      <c r="A1680" s="687" t="s">
        <v>12356</v>
      </c>
      <c r="B1680" s="1199">
        <v>1</v>
      </c>
      <c r="C1680" s="1205" t="s">
        <v>3366</v>
      </c>
      <c r="D1680" s="1221"/>
      <c r="E1680" s="1172"/>
      <c r="F1680" s="1172"/>
      <c r="G1680"/>
    </row>
    <row r="1681" spans="1:7" ht="14.4" customHeight="1">
      <c r="A1681" s="687" t="s">
        <v>3542</v>
      </c>
      <c r="B1681" s="1194"/>
      <c r="C1681" s="1218"/>
      <c r="D1681" s="1220"/>
      <c r="E1681" s="1171"/>
      <c r="F1681" s="1171"/>
      <c r="G1681"/>
    </row>
    <row r="1682" spans="1:7" ht="14.4" customHeight="1">
      <c r="A1682" s="687"/>
      <c r="B1682" s="1195"/>
      <c r="C1682" s="1629" t="s">
        <v>12368</v>
      </c>
      <c r="D1682" s="1220"/>
      <c r="E1682" s="722"/>
      <c r="F1682" s="722"/>
      <c r="G1682"/>
    </row>
    <row r="1683" spans="1:7" ht="14.4" customHeight="1">
      <c r="A1683" s="687"/>
      <c r="B1683" s="1193"/>
      <c r="C1683" s="1201" t="s">
        <v>3158</v>
      </c>
      <c r="D1683" s="1312"/>
      <c r="E1683" s="1292"/>
      <c r="F1683" s="1292"/>
      <c r="G1683"/>
    </row>
    <row r="1684" spans="1:7" ht="14.4" customHeight="1">
      <c r="A1684" s="687"/>
      <c r="B1684" s="1193">
        <v>1</v>
      </c>
      <c r="C1684" s="1202" t="s">
        <v>6606</v>
      </c>
      <c r="D1684" s="1312"/>
      <c r="E1684" s="1292"/>
      <c r="F1684" s="1292"/>
      <c r="G1684"/>
    </row>
    <row r="1685" spans="1:7" ht="14.4" customHeight="1">
      <c r="A1685" s="687"/>
      <c r="B1685" s="1193"/>
      <c r="C1685" s="1202" t="s">
        <v>729</v>
      </c>
      <c r="D1685" s="1220"/>
      <c r="E1685" s="722"/>
      <c r="F1685" s="722"/>
      <c r="G1685"/>
    </row>
    <row r="1686" spans="1:7" ht="14.4" customHeight="1">
      <c r="A1686" s="1767"/>
      <c r="B1686" s="1196"/>
      <c r="C1686" s="1303" t="s">
        <v>3377</v>
      </c>
      <c r="D1686" s="1312"/>
      <c r="E1686" s="1292"/>
      <c r="F1686" s="1292"/>
      <c r="G1686"/>
    </row>
    <row r="1687" spans="1:7" ht="14.4" customHeight="1">
      <c r="A1687" s="1767"/>
      <c r="B1687" s="1193">
        <v>1</v>
      </c>
      <c r="C1687" s="1202" t="s">
        <v>6604</v>
      </c>
      <c r="D1687" s="1312"/>
      <c r="E1687" s="1291"/>
      <c r="F1687" s="1291"/>
      <c r="G1687"/>
    </row>
    <row r="1688" spans="1:7" ht="14.4" customHeight="1">
      <c r="A1688" s="1767"/>
      <c r="B1688" s="1193">
        <v>1</v>
      </c>
      <c r="C1688" s="1202" t="s">
        <v>6599</v>
      </c>
      <c r="D1688" s="1312"/>
      <c r="E1688" s="1291"/>
      <c r="F1688" s="1291"/>
      <c r="G1688"/>
    </row>
    <row r="1689" spans="1:7" ht="14.4" customHeight="1">
      <c r="A1689" s="1767"/>
      <c r="B1689" s="1193">
        <v>3</v>
      </c>
      <c r="C1689" s="1202" t="s">
        <v>4186</v>
      </c>
      <c r="D1689" s="1312"/>
      <c r="E1689" s="1291"/>
      <c r="F1689" s="1291"/>
      <c r="G1689"/>
    </row>
    <row r="1690" spans="1:7" ht="14.4" customHeight="1">
      <c r="A1690" s="1767"/>
      <c r="B1690" s="1193">
        <v>3</v>
      </c>
      <c r="C1690" s="1202" t="s">
        <v>4184</v>
      </c>
      <c r="D1690" s="1312"/>
      <c r="E1690" s="1291"/>
      <c r="F1690" s="1291"/>
      <c r="G1690"/>
    </row>
    <row r="1691" spans="1:7" ht="14.4" customHeight="1">
      <c r="A1691" s="1767"/>
      <c r="B1691" s="1193">
        <v>3</v>
      </c>
      <c r="C1691" s="1202" t="s">
        <v>4183</v>
      </c>
      <c r="D1691" s="1312"/>
      <c r="E1691" s="1291"/>
      <c r="F1691" s="1291"/>
      <c r="G1691"/>
    </row>
    <row r="1692" spans="1:7" ht="14.4" customHeight="1">
      <c r="A1692" s="1767"/>
      <c r="B1692" s="1193">
        <v>1</v>
      </c>
      <c r="C1692" s="1202" t="s">
        <v>2925</v>
      </c>
      <c r="D1692" s="1312"/>
      <c r="E1692" s="1291"/>
      <c r="F1692" s="1291"/>
      <c r="G1692"/>
    </row>
    <row r="1693" spans="1:7" ht="14.4" customHeight="1">
      <c r="A1693" s="692"/>
      <c r="B1693" s="1193"/>
      <c r="C1693" s="1202" t="s">
        <v>729</v>
      </c>
      <c r="D1693" s="1220"/>
      <c r="E1693" s="722"/>
      <c r="F1693" s="722"/>
      <c r="G1693"/>
    </row>
    <row r="1694" spans="1:7" ht="14.4" customHeight="1">
      <c r="A1694" s="693"/>
      <c r="B1694" s="1196"/>
      <c r="C1694" s="1201" t="s">
        <v>3063</v>
      </c>
      <c r="D1694" s="1220"/>
      <c r="E1694" s="1171"/>
      <c r="F1694" s="1171"/>
      <c r="G1694"/>
    </row>
    <row r="1695" spans="1:7" ht="14.4" customHeight="1">
      <c r="A1695" s="691"/>
      <c r="B1695" s="1193">
        <v>1</v>
      </c>
      <c r="C1695" s="1202" t="s">
        <v>4208</v>
      </c>
      <c r="D1695" s="1312"/>
      <c r="E1695" s="1291"/>
      <c r="F1695" s="1291"/>
      <c r="G1695"/>
    </row>
    <row r="1696" spans="1:7" ht="14.4" customHeight="1">
      <c r="A1696" s="691"/>
      <c r="B1696" s="1193">
        <v>1</v>
      </c>
      <c r="C1696" s="1202" t="s">
        <v>6456</v>
      </c>
      <c r="D1696" s="1312"/>
      <c r="E1696" s="1291"/>
      <c r="F1696" s="1291"/>
      <c r="G1696"/>
    </row>
    <row r="1697" spans="1:7" ht="14.4" customHeight="1">
      <c r="A1697" s="692"/>
      <c r="B1697" s="1193"/>
      <c r="C1697" s="1202" t="s">
        <v>729</v>
      </c>
      <c r="D1697" s="1220"/>
      <c r="E1697" s="722"/>
      <c r="F1697" s="722"/>
      <c r="G1697"/>
    </row>
    <row r="1698" spans="1:7" ht="14.4" customHeight="1">
      <c r="A1698" s="1767"/>
      <c r="B1698" s="1193">
        <v>1</v>
      </c>
      <c r="C1698" s="1304" t="s">
        <v>12364</v>
      </c>
      <c r="D1698" s="1312"/>
      <c r="E1698" s="1292"/>
      <c r="F1698" s="1292"/>
      <c r="G1698"/>
    </row>
    <row r="1699" spans="1:7" ht="14.4" customHeight="1">
      <c r="A1699" s="1767"/>
      <c r="B1699" s="1193">
        <v>1</v>
      </c>
      <c r="C1699" s="1304" t="s">
        <v>12474</v>
      </c>
      <c r="D1699" s="1312"/>
      <c r="E1699" s="1292"/>
      <c r="F1699" s="1292"/>
      <c r="G1699"/>
    </row>
    <row r="1700" spans="1:7" ht="14.4" customHeight="1">
      <c r="A1700" s="693"/>
      <c r="B1700" s="1193"/>
      <c r="C1700" s="1202" t="s">
        <v>729</v>
      </c>
      <c r="D1700" s="1220"/>
      <c r="E1700" s="722"/>
      <c r="F1700" s="722"/>
      <c r="G1700"/>
    </row>
    <row r="1701" spans="1:7" ht="14.4" customHeight="1">
      <c r="A1701" s="693"/>
      <c r="B1701" s="1193">
        <v>1</v>
      </c>
      <c r="C1701" s="1202" t="s">
        <v>316</v>
      </c>
      <c r="D1701" s="1122"/>
      <c r="E1701" s="1295"/>
      <c r="F1701" s="1295"/>
      <c r="G1701"/>
    </row>
    <row r="1702" spans="1:7" ht="14.4" customHeight="1">
      <c r="A1702" s="693"/>
      <c r="B1702" s="1193"/>
      <c r="C1702" s="1202" t="s">
        <v>729</v>
      </c>
      <c r="D1702" s="1220"/>
      <c r="E1702" s="722"/>
      <c r="F1702" s="722"/>
      <c r="G1702"/>
    </row>
    <row r="1703" spans="1:7" ht="14.4" customHeight="1" thickBot="1">
      <c r="A1703" s="699"/>
      <c r="B1703" s="1200"/>
      <c r="C1703" s="1305"/>
      <c r="D1703" s="1313"/>
      <c r="E1703" s="1297"/>
      <c r="F1703" s="1297"/>
      <c r="G1703"/>
    </row>
    <row r="1704" spans="1:7" ht="14.4" customHeight="1" thickBot="1">
      <c r="A1704" s="1989">
        <v>42</v>
      </c>
      <c r="B1704" s="1630">
        <v>1</v>
      </c>
      <c r="C1704" s="1329" t="s">
        <v>12604</v>
      </c>
      <c r="D1704" s="1219">
        <v>3331</v>
      </c>
      <c r="E1704" s="1289"/>
      <c r="F1704" s="1289">
        <v>3331</v>
      </c>
      <c r="G1704"/>
    </row>
    <row r="1705" spans="1:7" ht="14.4" customHeight="1">
      <c r="A1705" s="685" t="s">
        <v>3064</v>
      </c>
      <c r="B1705" s="2178"/>
      <c r="C1705" s="2179"/>
      <c r="D1705" s="1312"/>
      <c r="E1705" s="1291"/>
      <c r="F1705" s="1291"/>
      <c r="G1705"/>
    </row>
    <row r="1706" spans="1:7" ht="14.4" customHeight="1">
      <c r="A1706" s="687" t="s">
        <v>12553</v>
      </c>
      <c r="B1706" s="1194">
        <v>1</v>
      </c>
      <c r="C1706" s="1201" t="s">
        <v>5103</v>
      </c>
      <c r="D1706" s="1220"/>
      <c r="E1706" s="1171"/>
      <c r="F1706" s="1171"/>
      <c r="G1706"/>
    </row>
    <row r="1707" spans="1:7" ht="14.4" customHeight="1">
      <c r="A1707" s="687" t="s">
        <v>4136</v>
      </c>
      <c r="B1707" s="1195">
        <v>3</v>
      </c>
      <c r="C1707" s="1191" t="s">
        <v>7374</v>
      </c>
      <c r="D1707" s="1220"/>
      <c r="E1707" s="722"/>
      <c r="F1707" s="722"/>
      <c r="G1707"/>
    </row>
    <row r="1708" spans="1:7" ht="14.4" customHeight="1">
      <c r="A1708" s="687"/>
      <c r="B1708" s="1195">
        <v>3</v>
      </c>
      <c r="C1708" s="1191" t="s">
        <v>7375</v>
      </c>
      <c r="D1708" s="1220"/>
      <c r="E1708" s="722"/>
      <c r="F1708" s="722"/>
      <c r="G1708"/>
    </row>
    <row r="1709" spans="1:7" ht="14.4" customHeight="1">
      <c r="A1709" s="687" t="s">
        <v>12356</v>
      </c>
      <c r="B1709" s="1199">
        <v>1</v>
      </c>
      <c r="C1709" s="1205" t="s">
        <v>3366</v>
      </c>
      <c r="D1709" s="1221"/>
      <c r="E1709" s="1172"/>
      <c r="F1709" s="1172"/>
      <c r="G1709"/>
    </row>
    <row r="1710" spans="1:7" ht="14.4" customHeight="1">
      <c r="A1710" s="687" t="s">
        <v>3542</v>
      </c>
      <c r="B1710" s="1194"/>
      <c r="C1710" s="1218"/>
      <c r="D1710" s="1220"/>
      <c r="E1710" s="1171"/>
      <c r="F1710" s="1171"/>
      <c r="G1710"/>
    </row>
    <row r="1711" spans="1:7" ht="14.4" customHeight="1">
      <c r="A1711" s="687"/>
      <c r="B1711" s="1195"/>
      <c r="C1711" s="1629" t="s">
        <v>12368</v>
      </c>
      <c r="D1711" s="1220"/>
      <c r="E1711" s="722"/>
      <c r="F1711" s="722"/>
      <c r="G1711"/>
    </row>
    <row r="1712" spans="1:7" ht="14.4" customHeight="1">
      <c r="A1712" s="691"/>
      <c r="B1712" s="1193"/>
      <c r="C1712" s="1201" t="s">
        <v>3158</v>
      </c>
      <c r="D1712" s="1312"/>
      <c r="E1712" s="1292"/>
      <c r="F1712" s="1292"/>
      <c r="G1712"/>
    </row>
    <row r="1713" spans="1:7" ht="14.4" customHeight="1">
      <c r="A1713" s="687"/>
      <c r="B1713" s="1193">
        <v>1</v>
      </c>
      <c r="C1713" s="1202" t="s">
        <v>6600</v>
      </c>
      <c r="D1713" s="1312"/>
      <c r="E1713" s="1292"/>
      <c r="F1713" s="1292"/>
      <c r="G1713"/>
    </row>
    <row r="1714" spans="1:7" ht="14.4" customHeight="1">
      <c r="A1714" s="687"/>
      <c r="B1714" s="1193"/>
      <c r="C1714" s="1202" t="s">
        <v>729</v>
      </c>
      <c r="D1714" s="1220"/>
      <c r="E1714" s="722"/>
      <c r="F1714" s="722"/>
      <c r="G1714"/>
    </row>
    <row r="1715" spans="1:7" ht="14.4" customHeight="1">
      <c r="A1715" s="687"/>
      <c r="B1715" s="1196"/>
      <c r="C1715" s="1303" t="s">
        <v>3377</v>
      </c>
      <c r="D1715" s="1312"/>
      <c r="E1715" s="1292"/>
      <c r="F1715" s="1292"/>
      <c r="G1715"/>
    </row>
    <row r="1716" spans="1:7" ht="14.4" customHeight="1">
      <c r="A1716" s="1767"/>
      <c r="B1716" s="1193">
        <v>2</v>
      </c>
      <c r="C1716" s="1202" t="s">
        <v>6597</v>
      </c>
      <c r="D1716" s="1312"/>
      <c r="E1716" s="1291"/>
      <c r="F1716" s="1291"/>
      <c r="G1716"/>
    </row>
    <row r="1717" spans="1:7" ht="14.4" customHeight="1">
      <c r="A1717" s="1767"/>
      <c r="B1717" s="1193">
        <v>3</v>
      </c>
      <c r="C1717" s="1202" t="s">
        <v>4184</v>
      </c>
      <c r="D1717" s="1312"/>
      <c r="E1717" s="1291"/>
      <c r="F1717" s="1291"/>
      <c r="G1717"/>
    </row>
    <row r="1718" spans="1:7" ht="14.4" customHeight="1">
      <c r="A1718" s="1767"/>
      <c r="B1718" s="1193">
        <v>1</v>
      </c>
      <c r="C1718" s="1202" t="s">
        <v>2925</v>
      </c>
      <c r="D1718" s="1312"/>
      <c r="E1718" s="1291"/>
      <c r="F1718" s="1291"/>
      <c r="G1718"/>
    </row>
    <row r="1719" spans="1:7" ht="14.4" customHeight="1">
      <c r="A1719" s="692"/>
      <c r="B1719" s="1193"/>
      <c r="C1719" s="1202" t="s">
        <v>729</v>
      </c>
      <c r="D1719" s="1220"/>
      <c r="E1719" s="722"/>
      <c r="F1719" s="722"/>
      <c r="G1719"/>
    </row>
    <row r="1720" spans="1:7" ht="14.4" customHeight="1">
      <c r="A1720" s="693"/>
      <c r="B1720" s="1196"/>
      <c r="C1720" s="1201" t="s">
        <v>3063</v>
      </c>
      <c r="D1720" s="1220"/>
      <c r="E1720" s="1171"/>
      <c r="F1720" s="1171"/>
      <c r="G1720"/>
    </row>
    <row r="1721" spans="1:7" ht="14.4" customHeight="1">
      <c r="A1721" s="691"/>
      <c r="B1721" s="1193">
        <v>1</v>
      </c>
      <c r="C1721" s="1202" t="s">
        <v>4208</v>
      </c>
      <c r="D1721" s="1312"/>
      <c r="E1721" s="1291"/>
      <c r="F1721" s="1291"/>
      <c r="G1721"/>
    </row>
    <row r="1722" spans="1:7" ht="14.4" customHeight="1">
      <c r="A1722" s="691"/>
      <c r="B1722" s="1193">
        <v>1</v>
      </c>
      <c r="C1722" s="1202" t="s">
        <v>6456</v>
      </c>
      <c r="D1722" s="1312"/>
      <c r="E1722" s="1291"/>
      <c r="F1722" s="1291"/>
      <c r="G1722"/>
    </row>
    <row r="1723" spans="1:7" ht="14.4" customHeight="1">
      <c r="A1723" s="692"/>
      <c r="B1723" s="1193"/>
      <c r="C1723" s="1202" t="s">
        <v>729</v>
      </c>
      <c r="D1723" s="1220"/>
      <c r="E1723" s="722"/>
      <c r="F1723" s="722"/>
      <c r="G1723"/>
    </row>
    <row r="1724" spans="1:7" ht="14.4" customHeight="1">
      <c r="A1724" s="1767"/>
      <c r="B1724" s="1193">
        <v>1</v>
      </c>
      <c r="C1724" s="1304" t="s">
        <v>12364</v>
      </c>
      <c r="D1724" s="1312"/>
      <c r="E1724" s="1292"/>
      <c r="F1724" s="1292"/>
      <c r="G1724"/>
    </row>
    <row r="1725" spans="1:7" ht="14.4" customHeight="1">
      <c r="A1725" s="1767"/>
      <c r="B1725" s="1193">
        <v>1</v>
      </c>
      <c r="C1725" s="1304" t="s">
        <v>12474</v>
      </c>
      <c r="D1725" s="1312"/>
      <c r="E1725" s="1292"/>
      <c r="F1725" s="1292"/>
      <c r="G1725"/>
    </row>
    <row r="1726" spans="1:7" ht="14.4" customHeight="1">
      <c r="A1726" s="693"/>
      <c r="B1726" s="1193"/>
      <c r="C1726" s="1202" t="s">
        <v>729</v>
      </c>
      <c r="D1726" s="1220"/>
      <c r="E1726" s="722"/>
      <c r="F1726" s="722"/>
      <c r="G1726"/>
    </row>
    <row r="1727" spans="1:7" ht="14.4" customHeight="1">
      <c r="A1727" s="693"/>
      <c r="B1727" s="1193">
        <v>1</v>
      </c>
      <c r="C1727" s="1202" t="s">
        <v>316</v>
      </c>
      <c r="D1727" s="1122"/>
      <c r="E1727" s="1295"/>
      <c r="F1727" s="1295"/>
      <c r="G1727"/>
    </row>
    <row r="1728" spans="1:7" ht="14.4" customHeight="1">
      <c r="A1728" s="693"/>
      <c r="B1728" s="1193"/>
      <c r="C1728" s="1202" t="s">
        <v>729</v>
      </c>
      <c r="D1728" s="1220"/>
      <c r="E1728" s="722"/>
      <c r="F1728" s="722"/>
      <c r="G1728"/>
    </row>
    <row r="1729" spans="1:7" ht="14.4" customHeight="1" thickBot="1">
      <c r="A1729" s="699"/>
      <c r="B1729" s="1200"/>
      <c r="C1729" s="1305"/>
      <c r="D1729" s="1313"/>
      <c r="E1729" s="1297"/>
      <c r="F1729" s="1297"/>
      <c r="G1729"/>
    </row>
    <row r="1730" spans="1:7" ht="14.4" customHeight="1" thickBot="1">
      <c r="A1730" s="1989">
        <v>43</v>
      </c>
      <c r="B1730" s="1630">
        <v>1</v>
      </c>
      <c r="C1730" s="1329" t="s">
        <v>12605</v>
      </c>
      <c r="D1730" s="1219">
        <v>11585</v>
      </c>
      <c r="E1730" s="1289"/>
      <c r="F1730" s="1289">
        <v>11585</v>
      </c>
      <c r="G1730"/>
    </row>
    <row r="1731" spans="1:7" ht="14.4" customHeight="1">
      <c r="A1731" s="685" t="s">
        <v>3064</v>
      </c>
      <c r="B1731" s="2178"/>
      <c r="C1731" s="2179"/>
      <c r="D1731" s="1312"/>
      <c r="E1731" s="1291"/>
      <c r="F1731" s="1291"/>
      <c r="G1731"/>
    </row>
    <row r="1732" spans="1:7" ht="14.4" customHeight="1">
      <c r="A1732" s="687" t="s">
        <v>12553</v>
      </c>
      <c r="B1732" s="1194">
        <v>1</v>
      </c>
      <c r="C1732" s="1201" t="s">
        <v>5103</v>
      </c>
      <c r="D1732" s="1220"/>
      <c r="E1732" s="1171"/>
      <c r="F1732" s="1171"/>
      <c r="G1732"/>
    </row>
    <row r="1733" spans="1:7" ht="14.4" customHeight="1">
      <c r="A1733" s="687" t="s">
        <v>4136</v>
      </c>
      <c r="B1733" s="1195">
        <v>3</v>
      </c>
      <c r="C1733" s="1191" t="s">
        <v>7374</v>
      </c>
      <c r="D1733" s="1220"/>
      <c r="E1733" s="722"/>
      <c r="F1733" s="722"/>
      <c r="G1733"/>
    </row>
    <row r="1734" spans="1:7" ht="14.4" customHeight="1">
      <c r="A1734" s="687"/>
      <c r="B1734" s="1195">
        <v>3</v>
      </c>
      <c r="C1734" s="1191" t="s">
        <v>7375</v>
      </c>
      <c r="D1734" s="1220"/>
      <c r="E1734" s="722"/>
      <c r="F1734" s="722"/>
      <c r="G1734"/>
    </row>
    <row r="1735" spans="1:7" ht="14.4" customHeight="1">
      <c r="A1735" s="687" t="s">
        <v>12356</v>
      </c>
      <c r="B1735" s="1199">
        <v>1</v>
      </c>
      <c r="C1735" s="1205" t="s">
        <v>3366</v>
      </c>
      <c r="D1735" s="1221"/>
      <c r="E1735" s="1172"/>
      <c r="F1735" s="1172"/>
      <c r="G1735"/>
    </row>
    <row r="1736" spans="1:7" ht="14.4" customHeight="1">
      <c r="A1736" s="687" t="s">
        <v>3542</v>
      </c>
      <c r="B1736" s="1194"/>
      <c r="C1736" s="1218"/>
      <c r="D1736" s="1220"/>
      <c r="E1736" s="1171"/>
      <c r="F1736" s="1171"/>
      <c r="G1736"/>
    </row>
    <row r="1737" spans="1:7" ht="14.4" customHeight="1">
      <c r="A1737" s="687"/>
      <c r="B1737" s="1195"/>
      <c r="C1737" s="1629" t="s">
        <v>12368</v>
      </c>
      <c r="D1737" s="1220"/>
      <c r="E1737" s="722"/>
      <c r="F1737" s="722"/>
      <c r="G1737"/>
    </row>
    <row r="1738" spans="1:7" ht="14.4" customHeight="1">
      <c r="A1738" s="687"/>
      <c r="B1738" s="1193"/>
      <c r="C1738" s="1201" t="s">
        <v>3158</v>
      </c>
      <c r="D1738" s="1312"/>
      <c r="E1738" s="1292"/>
      <c r="F1738" s="1292"/>
      <c r="G1738"/>
    </row>
    <row r="1739" spans="1:7" ht="14.4" customHeight="1">
      <c r="A1739" s="687"/>
      <c r="B1739" s="1194">
        <v>1</v>
      </c>
      <c r="C1739" s="1202" t="s">
        <v>6604</v>
      </c>
      <c r="D1739" s="1312"/>
      <c r="E1739" s="1292"/>
      <c r="F1739" s="1292"/>
      <c r="G1739"/>
    </row>
    <row r="1740" spans="1:7" ht="14.4" customHeight="1">
      <c r="A1740" s="687"/>
      <c r="B1740" s="1193"/>
      <c r="C1740" s="1202" t="s">
        <v>729</v>
      </c>
      <c r="D1740" s="1220"/>
      <c r="E1740" s="722"/>
      <c r="F1740" s="722"/>
      <c r="G1740"/>
    </row>
    <row r="1741" spans="1:7" ht="14.4" customHeight="1">
      <c r="A1741" s="693"/>
      <c r="B1741" s="1196"/>
      <c r="C1741" s="1303" t="s">
        <v>9431</v>
      </c>
      <c r="D1741" s="1312"/>
      <c r="E1741" s="1292"/>
      <c r="F1741" s="1292"/>
      <c r="G1741"/>
    </row>
    <row r="1742" spans="1:7" ht="14.4" customHeight="1">
      <c r="A1742" s="693"/>
      <c r="B1742" s="1193">
        <v>2</v>
      </c>
      <c r="C1742" s="1202" t="s">
        <v>4210</v>
      </c>
      <c r="D1742" s="1312"/>
      <c r="E1742" s="1291"/>
      <c r="F1742" s="1291"/>
      <c r="G1742"/>
    </row>
    <row r="1743" spans="1:7" ht="14.4" customHeight="1">
      <c r="A1743" s="693"/>
      <c r="B1743" s="1196"/>
      <c r="C1743" s="1303" t="s">
        <v>12546</v>
      </c>
      <c r="D1743" s="1312"/>
      <c r="E1743" s="1292"/>
      <c r="F1743" s="1292"/>
      <c r="G1743"/>
    </row>
    <row r="1744" spans="1:7" ht="14.4" customHeight="1">
      <c r="A1744" s="693"/>
      <c r="B1744" s="1193">
        <v>5</v>
      </c>
      <c r="C1744" s="1202" t="s">
        <v>4205</v>
      </c>
      <c r="D1744" s="1312"/>
      <c r="E1744" s="1291"/>
      <c r="F1744" s="1291"/>
      <c r="G1744"/>
    </row>
    <row r="1745" spans="1:7" ht="14.4" customHeight="1">
      <c r="A1745" s="693"/>
      <c r="B1745" s="1193">
        <v>5</v>
      </c>
      <c r="C1745" s="1202" t="s">
        <v>5328</v>
      </c>
      <c r="D1745" s="1312"/>
      <c r="E1745" s="1291"/>
      <c r="F1745" s="1291"/>
      <c r="G1745"/>
    </row>
    <row r="1746" spans="1:7" ht="14.4" customHeight="1">
      <c r="A1746" s="693"/>
      <c r="B1746" s="1193">
        <v>10</v>
      </c>
      <c r="C1746" s="1202" t="s">
        <v>4183</v>
      </c>
      <c r="D1746" s="1312"/>
      <c r="E1746" s="1291"/>
      <c r="F1746" s="1291"/>
      <c r="G1746"/>
    </row>
    <row r="1747" spans="1:7" ht="14.4" customHeight="1">
      <c r="A1747" s="693"/>
      <c r="B1747" s="1193">
        <v>10</v>
      </c>
      <c r="C1747" s="1202" t="s">
        <v>5319</v>
      </c>
      <c r="D1747" s="1312"/>
      <c r="E1747" s="1291"/>
      <c r="F1747" s="1291"/>
      <c r="G1747"/>
    </row>
    <row r="1748" spans="1:7" ht="14.4" customHeight="1">
      <c r="A1748" s="693"/>
      <c r="B1748" s="1193">
        <v>1</v>
      </c>
      <c r="C1748" s="1202" t="s">
        <v>2924</v>
      </c>
      <c r="D1748" s="1312"/>
      <c r="E1748" s="1291"/>
      <c r="F1748" s="1291"/>
      <c r="G1748"/>
    </row>
    <row r="1749" spans="1:7" ht="14.4" customHeight="1">
      <c r="A1749" s="693"/>
      <c r="B1749" s="1193"/>
      <c r="C1749" s="1202" t="s">
        <v>729</v>
      </c>
      <c r="D1749" s="1220"/>
      <c r="E1749" s="722"/>
      <c r="F1749" s="722"/>
      <c r="G1749"/>
    </row>
    <row r="1750" spans="1:7" ht="14.4" customHeight="1">
      <c r="A1750" s="693"/>
      <c r="B1750" s="1196"/>
      <c r="C1750" s="1303" t="s">
        <v>12547</v>
      </c>
      <c r="D1750" s="1312"/>
      <c r="E1750" s="1292"/>
      <c r="F1750" s="1292"/>
      <c r="G1750"/>
    </row>
    <row r="1751" spans="1:7" ht="14.4" customHeight="1">
      <c r="A1751" s="693"/>
      <c r="B1751" s="1193">
        <v>16</v>
      </c>
      <c r="C1751" s="1202" t="s">
        <v>4183</v>
      </c>
      <c r="D1751" s="1312"/>
      <c r="E1751" s="1291"/>
      <c r="F1751" s="1291"/>
      <c r="G1751"/>
    </row>
    <row r="1752" spans="1:7" ht="14.4" customHeight="1">
      <c r="A1752" s="693"/>
      <c r="B1752" s="1193">
        <v>16</v>
      </c>
      <c r="C1752" s="1202" t="s">
        <v>5319</v>
      </c>
      <c r="D1752" s="1312"/>
      <c r="E1752" s="1291"/>
      <c r="F1752" s="1291"/>
      <c r="G1752"/>
    </row>
    <row r="1753" spans="1:7" ht="14.4" customHeight="1">
      <c r="A1753" s="693"/>
      <c r="B1753" s="1193">
        <v>2</v>
      </c>
      <c r="C1753" s="1202" t="s">
        <v>2924</v>
      </c>
      <c r="D1753" s="1312"/>
      <c r="E1753" s="1291"/>
      <c r="F1753" s="1291"/>
      <c r="G1753"/>
    </row>
    <row r="1754" spans="1:7" ht="14.4" customHeight="1">
      <c r="A1754" s="693"/>
      <c r="B1754" s="1193"/>
      <c r="C1754" s="1202" t="s">
        <v>729</v>
      </c>
      <c r="D1754" s="1220"/>
      <c r="E1754" s="722"/>
      <c r="F1754" s="722"/>
      <c r="G1754"/>
    </row>
    <row r="1755" spans="1:7" ht="14.4" customHeight="1">
      <c r="A1755" s="693"/>
      <c r="B1755" s="1196"/>
      <c r="C1755" s="1201" t="s">
        <v>3063</v>
      </c>
      <c r="D1755" s="1220"/>
      <c r="E1755" s="1171"/>
      <c r="F1755" s="1171"/>
      <c r="G1755"/>
    </row>
    <row r="1756" spans="1:7" ht="14.4" customHeight="1">
      <c r="A1756" s="691"/>
      <c r="B1756" s="1193">
        <v>1</v>
      </c>
      <c r="C1756" s="1202" t="s">
        <v>4208</v>
      </c>
      <c r="D1756" s="1312"/>
      <c r="E1756" s="1291"/>
      <c r="F1756" s="1291"/>
      <c r="G1756"/>
    </row>
    <row r="1757" spans="1:7" ht="14.4" customHeight="1">
      <c r="A1757" s="691"/>
      <c r="B1757" s="1193">
        <v>1</v>
      </c>
      <c r="C1757" s="1202" t="s">
        <v>6456</v>
      </c>
      <c r="D1757" s="1312"/>
      <c r="E1757" s="1291"/>
      <c r="F1757" s="1291"/>
      <c r="G1757"/>
    </row>
    <row r="1758" spans="1:7" ht="14.4" customHeight="1">
      <c r="A1758" s="692"/>
      <c r="B1758" s="1193"/>
      <c r="C1758" s="1202" t="s">
        <v>729</v>
      </c>
      <c r="D1758" s="1220"/>
      <c r="E1758" s="722"/>
      <c r="F1758" s="722"/>
      <c r="G1758"/>
    </row>
    <row r="1759" spans="1:7" ht="14.4" customHeight="1">
      <c r="A1759" s="693"/>
      <c r="B1759" s="1196">
        <v>2</v>
      </c>
      <c r="C1759" s="1201" t="s">
        <v>12423</v>
      </c>
      <c r="D1759" s="1220"/>
      <c r="E1759" s="1171"/>
      <c r="F1759" s="1171"/>
      <c r="G1759"/>
    </row>
    <row r="1760" spans="1:7" ht="14.4" customHeight="1">
      <c r="A1760" s="691"/>
      <c r="B1760" s="1193">
        <v>1</v>
      </c>
      <c r="C1760" s="1202" t="s">
        <v>1157</v>
      </c>
      <c r="D1760" s="1312"/>
      <c r="E1760" s="1291"/>
      <c r="F1760" s="1291"/>
      <c r="G1760"/>
    </row>
    <row r="1761" spans="1:7" ht="14.4" customHeight="1">
      <c r="A1761" s="691"/>
      <c r="B1761" s="1193">
        <v>1</v>
      </c>
      <c r="C1761" s="1202" t="s">
        <v>2426</v>
      </c>
      <c r="D1761" s="1312"/>
      <c r="E1761" s="1291"/>
      <c r="F1761" s="1291"/>
      <c r="G1761"/>
    </row>
    <row r="1762" spans="1:7" ht="14.4" customHeight="1">
      <c r="A1762" s="691"/>
      <c r="B1762" s="1193">
        <v>1</v>
      </c>
      <c r="C1762" s="1202" t="s">
        <v>4660</v>
      </c>
      <c r="D1762" s="1312"/>
      <c r="E1762" s="1291"/>
      <c r="F1762" s="1291"/>
      <c r="G1762"/>
    </row>
    <row r="1763" spans="1:7" ht="14.4" customHeight="1">
      <c r="A1763" s="692"/>
      <c r="B1763" s="1193"/>
      <c r="C1763" s="1202" t="s">
        <v>729</v>
      </c>
      <c r="D1763" s="1220"/>
      <c r="E1763" s="722"/>
      <c r="F1763" s="722"/>
      <c r="G1763"/>
    </row>
    <row r="1764" spans="1:7" ht="14.4" customHeight="1">
      <c r="A1764" s="693"/>
      <c r="B1764" s="1196">
        <v>5</v>
      </c>
      <c r="C1764" s="1201" t="s">
        <v>12445</v>
      </c>
      <c r="D1764" s="1220"/>
      <c r="E1764" s="1171"/>
      <c r="F1764" s="1171"/>
      <c r="G1764"/>
    </row>
    <row r="1765" spans="1:7" ht="14.4" customHeight="1">
      <c r="A1765" s="691"/>
      <c r="B1765" s="1193">
        <v>1</v>
      </c>
      <c r="C1765" s="1202" t="s">
        <v>1157</v>
      </c>
      <c r="D1765" s="1312"/>
      <c r="E1765" s="1291"/>
      <c r="F1765" s="1291"/>
      <c r="G1765"/>
    </row>
    <row r="1766" spans="1:7" ht="14.4" customHeight="1">
      <c r="A1766" s="691"/>
      <c r="B1766" s="1193">
        <v>1</v>
      </c>
      <c r="C1766" s="1202" t="s">
        <v>2426</v>
      </c>
      <c r="D1766" s="1312"/>
      <c r="E1766" s="1291"/>
      <c r="F1766" s="1291"/>
      <c r="G1766"/>
    </row>
    <row r="1767" spans="1:7" ht="14.4" customHeight="1">
      <c r="A1767" s="693"/>
      <c r="B1767" s="1193">
        <v>1</v>
      </c>
      <c r="C1767" s="1202" t="s">
        <v>2436</v>
      </c>
      <c r="D1767" s="1312"/>
      <c r="E1767" s="1291"/>
      <c r="F1767" s="1291"/>
      <c r="G1767"/>
    </row>
    <row r="1768" spans="1:7" ht="14.4" customHeight="1">
      <c r="A1768" s="693"/>
      <c r="B1768" s="1193"/>
      <c r="C1768" s="1202" t="s">
        <v>729</v>
      </c>
      <c r="D1768" s="1220"/>
      <c r="E1768" s="722"/>
      <c r="F1768" s="722"/>
      <c r="G1768"/>
    </row>
    <row r="1769" spans="1:7" ht="14.4" customHeight="1">
      <c r="A1769" s="693"/>
      <c r="B1769" s="1193">
        <v>1</v>
      </c>
      <c r="C1769" s="1304" t="s">
        <v>12444</v>
      </c>
      <c r="D1769" s="1312"/>
      <c r="E1769" s="1292"/>
      <c r="F1769" s="1292"/>
      <c r="G1769"/>
    </row>
    <row r="1770" spans="1:7" ht="14.4" customHeight="1">
      <c r="A1770" s="693"/>
      <c r="B1770" s="1193"/>
      <c r="C1770" s="1202" t="s">
        <v>729</v>
      </c>
      <c r="D1770" s="1220"/>
      <c r="E1770" s="722"/>
      <c r="F1770" s="722"/>
      <c r="G1770"/>
    </row>
    <row r="1771" spans="1:7" ht="14.4" customHeight="1">
      <c r="A1771" s="1767"/>
      <c r="B1771" s="1193">
        <v>1</v>
      </c>
      <c r="C1771" s="1304" t="s">
        <v>12364</v>
      </c>
      <c r="D1771" s="1312"/>
      <c r="E1771" s="1292"/>
      <c r="F1771" s="1292"/>
      <c r="G1771"/>
    </row>
    <row r="1772" spans="1:7" ht="14.4" customHeight="1">
      <c r="A1772" s="1767"/>
      <c r="B1772" s="1193">
        <v>1</v>
      </c>
      <c r="C1772" s="1304" t="s">
        <v>12474</v>
      </c>
      <c r="D1772" s="1312"/>
      <c r="E1772" s="1292"/>
      <c r="F1772" s="1292"/>
      <c r="G1772"/>
    </row>
    <row r="1773" spans="1:7" ht="14.4" customHeight="1">
      <c r="A1773" s="693"/>
      <c r="B1773" s="1193"/>
      <c r="C1773" s="1202" t="s">
        <v>729</v>
      </c>
      <c r="D1773" s="1220"/>
      <c r="E1773" s="722"/>
      <c r="F1773" s="722"/>
      <c r="G1773"/>
    </row>
    <row r="1774" spans="1:7" ht="14.4" customHeight="1">
      <c r="A1774" s="693"/>
      <c r="B1774" s="1193">
        <v>1</v>
      </c>
      <c r="C1774" s="1202" t="s">
        <v>316</v>
      </c>
      <c r="D1774" s="1122"/>
      <c r="E1774" s="1295"/>
      <c r="F1774" s="1295"/>
      <c r="G1774"/>
    </row>
    <row r="1775" spans="1:7" ht="14.4" customHeight="1">
      <c r="A1775" s="693"/>
      <c r="B1775" s="1193"/>
      <c r="C1775" s="1202" t="s">
        <v>729</v>
      </c>
      <c r="D1775" s="1220"/>
      <c r="E1775" s="722"/>
      <c r="F1775" s="722"/>
      <c r="G1775"/>
    </row>
    <row r="1776" spans="1:7" ht="14.4" customHeight="1">
      <c r="A1776" s="1767"/>
      <c r="B1776" s="1193"/>
      <c r="C1776" s="2180" t="s">
        <v>12539</v>
      </c>
      <c r="D1776" s="1312"/>
      <c r="E1776" s="1292"/>
      <c r="F1776" s="1292"/>
      <c r="G1776"/>
    </row>
    <row r="1777" spans="1:7" ht="14.4" customHeight="1">
      <c r="A1777" s="1767"/>
      <c r="B1777" s="1193"/>
      <c r="C1777" s="2181"/>
      <c r="D1777" s="1312"/>
      <c r="E1777" s="1292"/>
      <c r="F1777" s="1292"/>
      <c r="G1777"/>
    </row>
    <row r="1778" spans="1:7" ht="14.4" customHeight="1">
      <c r="A1778" s="1638"/>
      <c r="B1778" s="1193">
        <v>1</v>
      </c>
      <c r="C1778" s="1202" t="s">
        <v>3412</v>
      </c>
      <c r="D1778" s="1220"/>
      <c r="E1778" s="1171"/>
      <c r="F1778" s="1171"/>
      <c r="G1778"/>
    </row>
    <row r="1779" spans="1:7" ht="14.4" customHeight="1">
      <c r="A1779" s="1638"/>
      <c r="B1779" s="1193">
        <v>1</v>
      </c>
      <c r="C1779" s="1202" t="s">
        <v>3413</v>
      </c>
      <c r="D1779" s="1220"/>
      <c r="E1779" s="1171"/>
      <c r="F1779" s="1171"/>
      <c r="G1779"/>
    </row>
    <row r="1780" spans="1:7" ht="14.4" customHeight="1" thickBot="1">
      <c r="A1780" s="699"/>
      <c r="B1780" s="1200"/>
      <c r="C1780" s="1305"/>
      <c r="D1780" s="1313"/>
      <c r="E1780" s="1297"/>
      <c r="F1780" s="1297"/>
      <c r="G1780"/>
    </row>
    <row r="1781" spans="1:7" ht="14.4" customHeight="1" thickBot="1">
      <c r="A1781" s="1989">
        <v>44</v>
      </c>
      <c r="B1781" s="1630">
        <v>1</v>
      </c>
      <c r="C1781" s="1329" t="s">
        <v>12606</v>
      </c>
      <c r="D1781" s="1219">
        <v>5600</v>
      </c>
      <c r="E1781" s="1289"/>
      <c r="F1781" s="1289">
        <v>5600</v>
      </c>
      <c r="G1781"/>
    </row>
    <row r="1782" spans="1:7" ht="14.4" customHeight="1">
      <c r="A1782" s="685" t="s">
        <v>3064</v>
      </c>
      <c r="B1782" s="2178"/>
      <c r="C1782" s="2179"/>
      <c r="D1782" s="1312"/>
      <c r="E1782" s="1291"/>
      <c r="F1782" s="1291"/>
      <c r="G1782"/>
    </row>
    <row r="1783" spans="1:7" ht="14.4" customHeight="1">
      <c r="A1783" s="687" t="s">
        <v>12553</v>
      </c>
      <c r="B1783" s="1194">
        <v>1</v>
      </c>
      <c r="C1783" s="1201" t="s">
        <v>5103</v>
      </c>
      <c r="D1783" s="1220"/>
      <c r="E1783" s="1171"/>
      <c r="F1783" s="1171"/>
      <c r="G1783"/>
    </row>
    <row r="1784" spans="1:7" ht="14.4" customHeight="1">
      <c r="A1784" s="687" t="s">
        <v>4136</v>
      </c>
      <c r="B1784" s="1195">
        <v>3</v>
      </c>
      <c r="C1784" s="1191" t="s">
        <v>7374</v>
      </c>
      <c r="D1784" s="1220"/>
      <c r="E1784" s="722"/>
      <c r="F1784" s="722"/>
      <c r="G1784"/>
    </row>
    <row r="1785" spans="1:7" ht="14.4" customHeight="1">
      <c r="A1785" s="687"/>
      <c r="B1785" s="1195">
        <v>3</v>
      </c>
      <c r="C1785" s="1191" t="s">
        <v>7375</v>
      </c>
      <c r="D1785" s="1220"/>
      <c r="E1785" s="722"/>
      <c r="F1785" s="722"/>
      <c r="G1785"/>
    </row>
    <row r="1786" spans="1:7" ht="14.4" customHeight="1">
      <c r="A1786" s="687" t="s">
        <v>12356</v>
      </c>
      <c r="B1786" s="1199">
        <v>1</v>
      </c>
      <c r="C1786" s="1205" t="s">
        <v>3366</v>
      </c>
      <c r="D1786" s="1221"/>
      <c r="E1786" s="1172"/>
      <c r="F1786" s="1172"/>
      <c r="G1786"/>
    </row>
    <row r="1787" spans="1:7" ht="14.4" customHeight="1">
      <c r="A1787" s="687" t="s">
        <v>3542</v>
      </c>
      <c r="B1787" s="1194"/>
      <c r="C1787" s="1218"/>
      <c r="D1787" s="1220"/>
      <c r="E1787" s="1171"/>
      <c r="F1787" s="1171"/>
      <c r="G1787"/>
    </row>
    <row r="1788" spans="1:7" ht="14.4" customHeight="1">
      <c r="A1788" s="687"/>
      <c r="B1788" s="1195"/>
      <c r="C1788" s="1629" t="s">
        <v>12368</v>
      </c>
      <c r="D1788" s="1220"/>
      <c r="E1788" s="722"/>
      <c r="F1788" s="722"/>
      <c r="G1788"/>
    </row>
    <row r="1789" spans="1:7" ht="14.4" customHeight="1">
      <c r="A1789" s="693"/>
      <c r="B1789" s="1193"/>
      <c r="C1789" s="1201" t="s">
        <v>3158</v>
      </c>
      <c r="D1789" s="1312"/>
      <c r="E1789" s="1292"/>
      <c r="F1789" s="1292"/>
      <c r="G1789"/>
    </row>
    <row r="1790" spans="1:7" ht="14.4" customHeight="1">
      <c r="A1790" s="693"/>
      <c r="B1790" s="1194">
        <v>1</v>
      </c>
      <c r="C1790" s="1202" t="s">
        <v>6597</v>
      </c>
      <c r="D1790" s="1312"/>
      <c r="E1790" s="1292"/>
      <c r="F1790" s="1292"/>
      <c r="G1790"/>
    </row>
    <row r="1791" spans="1:7" ht="14.4" customHeight="1">
      <c r="A1791" s="693"/>
      <c r="B1791" s="1193"/>
      <c r="C1791" s="1202" t="s">
        <v>729</v>
      </c>
      <c r="D1791" s="1220"/>
      <c r="E1791" s="722"/>
      <c r="F1791" s="722"/>
      <c r="G1791"/>
    </row>
    <row r="1792" spans="1:7" ht="14.4" customHeight="1">
      <c r="A1792" s="687"/>
      <c r="B1792" s="1196"/>
      <c r="C1792" s="1303" t="s">
        <v>9431</v>
      </c>
      <c r="D1792" s="1312"/>
      <c r="E1792" s="1292"/>
      <c r="F1792" s="1292"/>
      <c r="G1792"/>
    </row>
    <row r="1793" spans="1:7" ht="14.4" customHeight="1">
      <c r="A1793" s="693"/>
      <c r="B1793" s="1193">
        <v>2</v>
      </c>
      <c r="C1793" s="1202" t="s">
        <v>4205</v>
      </c>
      <c r="D1793" s="1312"/>
      <c r="E1793" s="1291"/>
      <c r="F1793" s="1291"/>
      <c r="G1793"/>
    </row>
    <row r="1794" spans="1:7" ht="14.4" customHeight="1">
      <c r="A1794" s="693"/>
      <c r="B1794" s="1196"/>
      <c r="C1794" s="1303" t="s">
        <v>12546</v>
      </c>
      <c r="D1794" s="1312"/>
      <c r="E1794" s="1292"/>
      <c r="F1794" s="1292"/>
      <c r="G1794"/>
    </row>
    <row r="1795" spans="1:7" ht="14.4" customHeight="1">
      <c r="A1795" s="693"/>
      <c r="B1795" s="1193">
        <v>2</v>
      </c>
      <c r="C1795" s="1202" t="s">
        <v>4205</v>
      </c>
      <c r="D1795" s="1312"/>
      <c r="E1795" s="1291"/>
      <c r="F1795" s="1291"/>
      <c r="G1795"/>
    </row>
    <row r="1796" spans="1:7" ht="14.4" customHeight="1">
      <c r="A1796" s="693"/>
      <c r="B1796" s="1193">
        <v>2</v>
      </c>
      <c r="C1796" s="1202" t="s">
        <v>5328</v>
      </c>
      <c r="D1796" s="1312"/>
      <c r="E1796" s="1291"/>
      <c r="F1796" s="1291"/>
      <c r="G1796"/>
    </row>
    <row r="1797" spans="1:7" ht="14.4" customHeight="1">
      <c r="A1797" s="693"/>
      <c r="B1797" s="1193">
        <v>5</v>
      </c>
      <c r="C1797" s="1202" t="s">
        <v>4183</v>
      </c>
      <c r="D1797" s="1312"/>
      <c r="E1797" s="1291"/>
      <c r="F1797" s="1291"/>
      <c r="G1797"/>
    </row>
    <row r="1798" spans="1:7" ht="14.4" customHeight="1">
      <c r="A1798" s="693"/>
      <c r="B1798" s="1193">
        <v>5</v>
      </c>
      <c r="C1798" s="1202" t="s">
        <v>5319</v>
      </c>
      <c r="D1798" s="1312"/>
      <c r="E1798" s="1291"/>
      <c r="F1798" s="1291"/>
      <c r="G1798"/>
    </row>
    <row r="1799" spans="1:7" ht="14.4" customHeight="1">
      <c r="A1799" s="693"/>
      <c r="B1799" s="1193">
        <v>1</v>
      </c>
      <c r="C1799" s="1202" t="s">
        <v>2924</v>
      </c>
      <c r="D1799" s="1312"/>
      <c r="E1799" s="1291"/>
      <c r="F1799" s="1291"/>
      <c r="G1799"/>
    </row>
    <row r="1800" spans="1:7" ht="14.4" customHeight="1">
      <c r="A1800" s="693"/>
      <c r="B1800" s="1193"/>
      <c r="C1800" s="1202" t="s">
        <v>729</v>
      </c>
      <c r="D1800" s="1220"/>
      <c r="E1800" s="722"/>
      <c r="F1800" s="722"/>
      <c r="G1800"/>
    </row>
    <row r="1801" spans="1:7" ht="14.4" customHeight="1">
      <c r="A1801" s="693"/>
      <c r="B1801" s="1196"/>
      <c r="C1801" s="1303" t="s">
        <v>12547</v>
      </c>
      <c r="D1801" s="1312"/>
      <c r="E1801" s="1292"/>
      <c r="F1801" s="1292"/>
      <c r="G1801"/>
    </row>
    <row r="1802" spans="1:7" ht="14.4" customHeight="1">
      <c r="A1802" s="693"/>
      <c r="B1802" s="1193">
        <v>4</v>
      </c>
      <c r="C1802" s="1202" t="s">
        <v>4205</v>
      </c>
      <c r="D1802" s="1312"/>
      <c r="E1802" s="1291"/>
      <c r="F1802" s="1291"/>
      <c r="G1802"/>
    </row>
    <row r="1803" spans="1:7" ht="14.4" customHeight="1">
      <c r="A1803" s="693"/>
      <c r="B1803" s="1193">
        <v>1</v>
      </c>
      <c r="C1803" s="1202" t="s">
        <v>4183</v>
      </c>
      <c r="D1803" s="1312"/>
      <c r="E1803" s="1291"/>
      <c r="F1803" s="1291"/>
      <c r="G1803"/>
    </row>
    <row r="1804" spans="1:7" ht="14.4" customHeight="1">
      <c r="A1804" s="693"/>
      <c r="B1804" s="1193">
        <v>1</v>
      </c>
      <c r="C1804" s="1202" t="s">
        <v>5319</v>
      </c>
      <c r="D1804" s="1312"/>
      <c r="E1804" s="1291"/>
      <c r="F1804" s="1291"/>
      <c r="G1804"/>
    </row>
    <row r="1805" spans="1:7" ht="14.4" customHeight="1">
      <c r="A1805" s="693"/>
      <c r="B1805" s="1193">
        <v>2</v>
      </c>
      <c r="C1805" s="1202" t="s">
        <v>2922</v>
      </c>
      <c r="D1805" s="1312"/>
      <c r="E1805" s="1291"/>
      <c r="F1805" s="1291"/>
      <c r="G1805"/>
    </row>
    <row r="1806" spans="1:7" ht="14.4" customHeight="1">
      <c r="A1806" s="693"/>
      <c r="B1806" s="1193"/>
      <c r="C1806" s="1202" t="s">
        <v>729</v>
      </c>
      <c r="D1806" s="1220"/>
      <c r="E1806" s="722"/>
      <c r="F1806" s="722"/>
      <c r="G1806"/>
    </row>
    <row r="1807" spans="1:7" ht="14.4" customHeight="1">
      <c r="A1807" s="693"/>
      <c r="B1807" s="1196"/>
      <c r="C1807" s="1201" t="s">
        <v>3063</v>
      </c>
      <c r="D1807" s="1220"/>
      <c r="E1807" s="1171"/>
      <c r="F1807" s="1171"/>
      <c r="G1807"/>
    </row>
    <row r="1808" spans="1:7" ht="14.4" customHeight="1">
      <c r="A1808" s="691"/>
      <c r="B1808" s="1193">
        <v>1</v>
      </c>
      <c r="C1808" s="1202" t="s">
        <v>4206</v>
      </c>
      <c r="D1808" s="1312"/>
      <c r="E1808" s="1291"/>
      <c r="F1808" s="1291"/>
      <c r="G1808"/>
    </row>
    <row r="1809" spans="1:7" ht="14.4" customHeight="1">
      <c r="A1809" s="691"/>
      <c r="B1809" s="1193">
        <v>1</v>
      </c>
      <c r="C1809" s="1202" t="s">
        <v>6456</v>
      </c>
      <c r="D1809" s="1312"/>
      <c r="E1809" s="1291"/>
      <c r="F1809" s="1291"/>
      <c r="G1809"/>
    </row>
    <row r="1810" spans="1:7" ht="14.4" customHeight="1">
      <c r="A1810" s="692"/>
      <c r="B1810" s="1193"/>
      <c r="C1810" s="1202" t="s">
        <v>729</v>
      </c>
      <c r="D1810" s="1220"/>
      <c r="E1810" s="722"/>
      <c r="F1810" s="722"/>
      <c r="G1810"/>
    </row>
    <row r="1811" spans="1:7" ht="14.4" customHeight="1">
      <c r="A1811" s="693"/>
      <c r="B1811" s="1196">
        <v>2</v>
      </c>
      <c r="C1811" s="1201" t="s">
        <v>12445</v>
      </c>
      <c r="D1811" s="1220"/>
      <c r="E1811" s="1171"/>
      <c r="F1811" s="1171"/>
      <c r="G1811"/>
    </row>
    <row r="1812" spans="1:7" ht="14.4" customHeight="1">
      <c r="A1812" s="691"/>
      <c r="B1812" s="1193">
        <v>1</v>
      </c>
      <c r="C1812" s="1202" t="s">
        <v>1157</v>
      </c>
      <c r="D1812" s="1312"/>
      <c r="E1812" s="1291"/>
      <c r="F1812" s="1291"/>
      <c r="G1812"/>
    </row>
    <row r="1813" spans="1:7" ht="14.4" customHeight="1">
      <c r="A1813" s="691"/>
      <c r="B1813" s="1193">
        <v>1</v>
      </c>
      <c r="C1813" s="1202" t="s">
        <v>2426</v>
      </c>
      <c r="D1813" s="1312"/>
      <c r="E1813" s="1291"/>
      <c r="F1813" s="1291"/>
      <c r="G1813"/>
    </row>
    <row r="1814" spans="1:7" ht="14.4" customHeight="1">
      <c r="A1814" s="693"/>
      <c r="B1814" s="1193">
        <v>1</v>
      </c>
      <c r="C1814" s="1202" t="s">
        <v>2436</v>
      </c>
      <c r="D1814" s="1312"/>
      <c r="E1814" s="1291"/>
      <c r="F1814" s="1291"/>
      <c r="G1814"/>
    </row>
    <row r="1815" spans="1:7" ht="14.4" customHeight="1">
      <c r="A1815" s="693"/>
      <c r="B1815" s="1193"/>
      <c r="C1815" s="1202" t="s">
        <v>729</v>
      </c>
      <c r="D1815" s="1220"/>
      <c r="E1815" s="722"/>
      <c r="F1815" s="722"/>
      <c r="G1815"/>
    </row>
    <row r="1816" spans="1:7" ht="14.4" customHeight="1">
      <c r="A1816" s="1767"/>
      <c r="B1816" s="1193">
        <v>1</v>
      </c>
      <c r="C1816" s="1304" t="s">
        <v>12364</v>
      </c>
      <c r="D1816" s="1312"/>
      <c r="E1816" s="1292"/>
      <c r="F1816" s="1292"/>
      <c r="G1816"/>
    </row>
    <row r="1817" spans="1:7" ht="14.4" customHeight="1">
      <c r="A1817" s="1767"/>
      <c r="B1817" s="1193">
        <v>1</v>
      </c>
      <c r="C1817" s="1304" t="s">
        <v>12474</v>
      </c>
      <c r="D1817" s="1312"/>
      <c r="E1817" s="1292"/>
      <c r="F1817" s="1292"/>
      <c r="G1817"/>
    </row>
    <row r="1818" spans="1:7" ht="14.4" customHeight="1">
      <c r="A1818" s="693"/>
      <c r="B1818" s="1193"/>
      <c r="C1818" s="1202" t="s">
        <v>729</v>
      </c>
      <c r="D1818" s="1220"/>
      <c r="E1818" s="722"/>
      <c r="F1818" s="722"/>
      <c r="G1818"/>
    </row>
    <row r="1819" spans="1:7" ht="14.4" customHeight="1">
      <c r="A1819" s="693"/>
      <c r="B1819" s="1193">
        <v>1</v>
      </c>
      <c r="C1819" s="1202" t="s">
        <v>316</v>
      </c>
      <c r="D1819" s="1122"/>
      <c r="E1819" s="1295"/>
      <c r="F1819" s="1295"/>
      <c r="G1819"/>
    </row>
    <row r="1820" spans="1:7" ht="14.4" customHeight="1">
      <c r="A1820" s="693"/>
      <c r="B1820" s="1193"/>
      <c r="C1820" s="1202" t="s">
        <v>729</v>
      </c>
      <c r="D1820" s="1220"/>
      <c r="E1820" s="722"/>
      <c r="F1820" s="722"/>
      <c r="G1820"/>
    </row>
    <row r="1821" spans="1:7" ht="14.4" customHeight="1">
      <c r="A1821" s="693"/>
      <c r="B1821" s="1193"/>
      <c r="C1821" s="1202" t="s">
        <v>729</v>
      </c>
      <c r="D1821" s="1220"/>
      <c r="E1821" s="722"/>
      <c r="F1821" s="722"/>
      <c r="G1821"/>
    </row>
    <row r="1822" spans="1:7" ht="14.4" customHeight="1" thickBot="1">
      <c r="A1822" s="1855"/>
      <c r="B1822" s="2182"/>
      <c r="C1822" s="1631"/>
      <c r="D1822" s="1641"/>
      <c r="E1822" s="1632"/>
      <c r="F1822" s="1632"/>
      <c r="G1822"/>
    </row>
    <row r="1823" spans="1:7" ht="14.4" customHeight="1" thickBot="1">
      <c r="A1823" s="1989">
        <v>45</v>
      </c>
      <c r="B1823" s="1630">
        <v>1</v>
      </c>
      <c r="C1823" s="1329" t="s">
        <v>12607</v>
      </c>
      <c r="D1823" s="1219">
        <v>5525</v>
      </c>
      <c r="E1823" s="1289"/>
      <c r="F1823" s="1289">
        <v>5525</v>
      </c>
      <c r="G1823"/>
    </row>
    <row r="1824" spans="1:7" ht="14.4" customHeight="1">
      <c r="A1824" s="685" t="s">
        <v>3064</v>
      </c>
      <c r="B1824" s="1192"/>
      <c r="C1824" s="1302"/>
      <c r="D1824" s="1312"/>
      <c r="E1824" s="1291"/>
      <c r="F1824" s="1291"/>
      <c r="G1824"/>
    </row>
    <row r="1825" spans="1:7" ht="14.4" customHeight="1">
      <c r="A1825" s="687" t="s">
        <v>12553</v>
      </c>
      <c r="B1825" s="1194">
        <v>1</v>
      </c>
      <c r="C1825" s="1201" t="s">
        <v>5103</v>
      </c>
      <c r="D1825" s="1220"/>
      <c r="E1825" s="1171"/>
      <c r="F1825" s="1171"/>
      <c r="G1825"/>
    </row>
    <row r="1826" spans="1:7" ht="14.4" customHeight="1">
      <c r="A1826" s="687" t="s">
        <v>4136</v>
      </c>
      <c r="B1826" s="1195">
        <v>3</v>
      </c>
      <c r="C1826" s="1191" t="s">
        <v>7374</v>
      </c>
      <c r="D1826" s="1220"/>
      <c r="E1826" s="722"/>
      <c r="F1826" s="722"/>
      <c r="G1826"/>
    </row>
    <row r="1827" spans="1:7" ht="14.4" customHeight="1">
      <c r="A1827" s="687"/>
      <c r="B1827" s="1195">
        <v>3</v>
      </c>
      <c r="C1827" s="1191" t="s">
        <v>7375</v>
      </c>
      <c r="D1827" s="1220"/>
      <c r="E1827" s="722"/>
      <c r="F1827" s="722"/>
      <c r="G1827"/>
    </row>
    <row r="1828" spans="1:7" ht="14.4" customHeight="1">
      <c r="A1828" s="687" t="s">
        <v>12356</v>
      </c>
      <c r="B1828" s="1199">
        <v>1</v>
      </c>
      <c r="C1828" s="1205" t="s">
        <v>3366</v>
      </c>
      <c r="D1828" s="1221"/>
      <c r="E1828" s="1172"/>
      <c r="F1828" s="1172"/>
      <c r="G1828"/>
    </row>
    <row r="1829" spans="1:7" ht="14.4" customHeight="1">
      <c r="A1829" s="687" t="s">
        <v>3542</v>
      </c>
      <c r="B1829" s="1194"/>
      <c r="C1829" s="1218"/>
      <c r="D1829" s="1220"/>
      <c r="E1829" s="1171"/>
      <c r="F1829" s="1171"/>
      <c r="G1829"/>
    </row>
    <row r="1830" spans="1:7" ht="14.4" customHeight="1">
      <c r="A1830" s="687"/>
      <c r="B1830" s="1195"/>
      <c r="C1830" s="1629" t="s">
        <v>12368</v>
      </c>
      <c r="D1830" s="1220"/>
      <c r="E1830" s="722"/>
      <c r="F1830" s="722"/>
      <c r="G1830"/>
    </row>
    <row r="1831" spans="1:7" ht="14.4" customHeight="1">
      <c r="A1831" s="1767"/>
      <c r="B1831" s="1192">
        <v>6</v>
      </c>
      <c r="C1831" s="1202" t="s">
        <v>8588</v>
      </c>
      <c r="D1831" s="1312"/>
      <c r="E1831" s="1291"/>
      <c r="F1831" s="1291"/>
      <c r="G1831"/>
    </row>
    <row r="1832" spans="1:7" ht="14.4" customHeight="1">
      <c r="A1832" s="687"/>
      <c r="B1832" s="1195"/>
      <c r="C1832" s="1629" t="s">
        <v>12368</v>
      </c>
      <c r="D1832" s="1220"/>
      <c r="E1832" s="722"/>
      <c r="F1832" s="722"/>
      <c r="G1832"/>
    </row>
    <row r="1833" spans="1:7" ht="14.4" customHeight="1">
      <c r="A1833" s="692"/>
      <c r="B1833" s="1193"/>
      <c r="C1833" s="1201" t="s">
        <v>12371</v>
      </c>
      <c r="D1833" s="1312"/>
      <c r="E1833" s="1292"/>
      <c r="F1833" s="1292"/>
      <c r="G1833"/>
    </row>
    <row r="1834" spans="1:7" ht="14.4" customHeight="1">
      <c r="A1834" s="693"/>
      <c r="B1834" s="1193">
        <v>1</v>
      </c>
      <c r="C1834" s="1202" t="s">
        <v>4313</v>
      </c>
      <c r="D1834" s="1312"/>
      <c r="E1834" s="1292"/>
      <c r="F1834" s="1292"/>
      <c r="G1834"/>
    </row>
    <row r="1835" spans="1:7" ht="14.4" customHeight="1">
      <c r="A1835" s="698"/>
      <c r="B1835" s="1193"/>
      <c r="C1835" s="1629" t="s">
        <v>12368</v>
      </c>
      <c r="D1835" s="1220"/>
      <c r="E1835" s="722"/>
      <c r="F1835" s="722"/>
      <c r="G1835"/>
    </row>
    <row r="1836" spans="1:7" ht="14.4" customHeight="1">
      <c r="A1836" s="1767"/>
      <c r="B1836" s="1196"/>
      <c r="C1836" s="1201" t="s">
        <v>3063</v>
      </c>
      <c r="D1836" s="1220"/>
      <c r="E1836" s="1171"/>
      <c r="F1836" s="1171"/>
      <c r="G1836"/>
    </row>
    <row r="1837" spans="1:7" ht="14.4" customHeight="1">
      <c r="A1837" s="687"/>
      <c r="B1837" s="1197">
        <v>1</v>
      </c>
      <c r="C1837" s="1203" t="s">
        <v>12370</v>
      </c>
      <c r="D1837" s="1221"/>
      <c r="E1837" s="1172"/>
      <c r="F1837" s="1172"/>
      <c r="G1837"/>
    </row>
    <row r="1838" spans="1:7" ht="14.4" customHeight="1">
      <c r="A1838" s="687"/>
      <c r="B1838" s="1195"/>
      <c r="C1838" s="1629" t="s">
        <v>12368</v>
      </c>
      <c r="D1838" s="1220"/>
      <c r="E1838" s="722"/>
      <c r="F1838" s="722"/>
      <c r="G1838"/>
    </row>
    <row r="1839" spans="1:7" ht="14.4" customHeight="1">
      <c r="A1839" s="687"/>
      <c r="B1839" s="1196"/>
      <c r="C1839" s="1303" t="s">
        <v>3377</v>
      </c>
      <c r="D1839" s="1312"/>
      <c r="E1839" s="1292"/>
      <c r="F1839" s="1292"/>
      <c r="G1839"/>
    </row>
    <row r="1840" spans="1:7" ht="14.4" customHeight="1">
      <c r="A1840" s="698"/>
      <c r="B1840" s="1193">
        <v>2</v>
      </c>
      <c r="C1840" s="1202" t="s">
        <v>4186</v>
      </c>
      <c r="D1840" s="1312"/>
      <c r="E1840" s="1292"/>
      <c r="F1840" s="1292"/>
      <c r="G1840"/>
    </row>
    <row r="1841" spans="1:7" ht="14.4" customHeight="1">
      <c r="A1841" s="692"/>
      <c r="B1841" s="1193"/>
      <c r="C1841" s="1629" t="s">
        <v>12368</v>
      </c>
      <c r="D1841" s="1220"/>
      <c r="E1841" s="722"/>
      <c r="F1841" s="722"/>
      <c r="G1841"/>
    </row>
    <row r="1842" spans="1:7" ht="14.4" customHeight="1">
      <c r="A1842" s="693"/>
      <c r="B1842" s="1196"/>
      <c r="C1842" s="1201" t="s">
        <v>3063</v>
      </c>
      <c r="D1842" s="1220"/>
      <c r="E1842" s="1171"/>
      <c r="F1842" s="1171"/>
      <c r="G1842"/>
    </row>
    <row r="1843" spans="1:7" ht="14.4" customHeight="1">
      <c r="A1843" s="698"/>
      <c r="B1843" s="1197">
        <v>1</v>
      </c>
      <c r="C1843" s="1203" t="s">
        <v>12372</v>
      </c>
      <c r="D1843" s="1221"/>
      <c r="E1843" s="1172"/>
      <c r="F1843" s="1172"/>
      <c r="G1843"/>
    </row>
    <row r="1844" spans="1:7" ht="14.4" customHeight="1">
      <c r="A1844" s="687"/>
      <c r="B1844" s="1195"/>
      <c r="C1844" s="1629" t="s">
        <v>12368</v>
      </c>
      <c r="D1844" s="1220"/>
      <c r="E1844" s="722"/>
      <c r="F1844" s="722"/>
      <c r="G1844"/>
    </row>
    <row r="1845" spans="1:7" ht="14.4" customHeight="1">
      <c r="A1845" s="687"/>
      <c r="B1845" s="1193"/>
      <c r="C1845" s="1201" t="s">
        <v>12373</v>
      </c>
      <c r="D1845" s="1312"/>
      <c r="E1845" s="1292"/>
      <c r="F1845" s="1292"/>
      <c r="G1845"/>
    </row>
    <row r="1846" spans="1:7" ht="14.4" customHeight="1">
      <c r="A1846" s="687"/>
      <c r="B1846" s="1193"/>
      <c r="C1846" s="1629" t="s">
        <v>12368</v>
      </c>
      <c r="D1846" s="1220"/>
      <c r="E1846" s="722"/>
      <c r="F1846" s="722"/>
      <c r="G1846"/>
    </row>
    <row r="1847" spans="1:7" ht="14.4" customHeight="1">
      <c r="A1847" s="687"/>
      <c r="B1847" s="1194">
        <v>1</v>
      </c>
      <c r="C1847" s="1201" t="s">
        <v>12369</v>
      </c>
      <c r="D1847" s="1220"/>
      <c r="E1847" s="1171"/>
      <c r="F1847" s="1171"/>
      <c r="G1847"/>
    </row>
    <row r="1848" spans="1:7" ht="14.4" customHeight="1">
      <c r="A1848" s="698"/>
      <c r="B1848" s="1195">
        <v>2</v>
      </c>
      <c r="C1848" s="1191" t="s">
        <v>4186</v>
      </c>
      <c r="D1848" s="1220"/>
      <c r="E1848" s="722"/>
      <c r="F1848" s="722"/>
      <c r="G1848"/>
    </row>
    <row r="1849" spans="1:7" ht="14.4" customHeight="1">
      <c r="A1849" s="687"/>
      <c r="B1849" s="1199">
        <v>1</v>
      </c>
      <c r="C1849" s="1191" t="s">
        <v>5955</v>
      </c>
      <c r="D1849" s="1221"/>
      <c r="E1849" s="1172"/>
      <c r="F1849" s="1172"/>
      <c r="G1849"/>
    </row>
    <row r="1850" spans="1:7" ht="14.4" customHeight="1">
      <c r="A1850" s="687"/>
      <c r="B1850" s="1193"/>
      <c r="C1850" s="1629" t="s">
        <v>12368</v>
      </c>
      <c r="D1850" s="1220"/>
      <c r="E1850" s="722"/>
      <c r="F1850" s="722"/>
      <c r="G1850"/>
    </row>
    <row r="1851" spans="1:7" ht="14.4" customHeight="1">
      <c r="A1851" s="687"/>
      <c r="B1851" s="1196"/>
      <c r="C1851" s="1303" t="s">
        <v>2654</v>
      </c>
      <c r="D1851" s="1312"/>
      <c r="E1851" s="1292"/>
      <c r="F1851" s="1292"/>
      <c r="G1851"/>
    </row>
    <row r="1852" spans="1:7" ht="14.4" customHeight="1">
      <c r="A1852" s="687"/>
      <c r="B1852" s="1193">
        <v>1</v>
      </c>
      <c r="C1852" s="1202" t="s">
        <v>4184</v>
      </c>
      <c r="D1852" s="1312"/>
      <c r="E1852" s="1292"/>
      <c r="F1852" s="1292"/>
      <c r="G1852"/>
    </row>
    <row r="1853" spans="1:7" ht="14.4" customHeight="1">
      <c r="A1853" s="687"/>
      <c r="B1853" s="1193">
        <v>4</v>
      </c>
      <c r="C1853" s="1202" t="s">
        <v>4183</v>
      </c>
      <c r="D1853" s="1312"/>
      <c r="E1853" s="1292"/>
      <c r="F1853" s="1292"/>
      <c r="G1853"/>
    </row>
    <row r="1854" spans="1:7" ht="14.4" customHeight="1">
      <c r="A1854" s="687"/>
      <c r="B1854" s="1193">
        <v>5</v>
      </c>
      <c r="C1854" s="1202" t="s">
        <v>2043</v>
      </c>
      <c r="D1854" s="1312"/>
      <c r="E1854" s="1292"/>
      <c r="F1854" s="1292"/>
      <c r="G1854"/>
    </row>
    <row r="1855" spans="1:7" ht="14.4" customHeight="1">
      <c r="A1855" s="687"/>
      <c r="B1855" s="1193">
        <v>1</v>
      </c>
      <c r="C1855" s="1202" t="s">
        <v>2927</v>
      </c>
      <c r="D1855" s="1312"/>
      <c r="E1855" s="1292"/>
      <c r="F1855" s="1292"/>
      <c r="G1855"/>
    </row>
    <row r="1856" spans="1:7" ht="14.4" customHeight="1">
      <c r="A1856" s="692"/>
      <c r="B1856" s="1193"/>
      <c r="C1856" s="1202" t="s">
        <v>729</v>
      </c>
      <c r="D1856" s="1220"/>
      <c r="E1856" s="722"/>
      <c r="F1856" s="722"/>
      <c r="G1856"/>
    </row>
    <row r="1857" spans="1:7" ht="14.4" customHeight="1">
      <c r="A1857" s="693"/>
      <c r="B1857" s="1196"/>
      <c r="C1857" s="1201" t="s">
        <v>3063</v>
      </c>
      <c r="D1857" s="1220"/>
      <c r="E1857" s="1171"/>
      <c r="F1857" s="1171"/>
      <c r="G1857"/>
    </row>
    <row r="1858" spans="1:7" ht="14.4" customHeight="1">
      <c r="A1858" s="691"/>
      <c r="B1858" s="1193">
        <v>1</v>
      </c>
      <c r="C1858" s="1202" t="s">
        <v>4186</v>
      </c>
      <c r="D1858" s="1312"/>
      <c r="E1858" s="1291"/>
      <c r="F1858" s="1291"/>
      <c r="G1858"/>
    </row>
    <row r="1859" spans="1:7" ht="14.4" customHeight="1">
      <c r="A1859" s="691"/>
      <c r="B1859" s="1193">
        <v>2</v>
      </c>
      <c r="C1859" s="1202" t="s">
        <v>6449</v>
      </c>
      <c r="D1859" s="1312"/>
      <c r="E1859" s="1291"/>
      <c r="F1859" s="1291"/>
      <c r="G1859"/>
    </row>
    <row r="1860" spans="1:7" ht="14.4" customHeight="1">
      <c r="A1860" s="693"/>
      <c r="B1860" s="1193"/>
      <c r="C1860" s="1202" t="s">
        <v>729</v>
      </c>
      <c r="D1860" s="1220"/>
      <c r="E1860" s="722"/>
      <c r="F1860" s="722"/>
      <c r="G1860"/>
    </row>
    <row r="1861" spans="1:7" ht="14.4" customHeight="1">
      <c r="A1861" s="1767"/>
      <c r="B1861" s="1193">
        <v>1</v>
      </c>
      <c r="C1861" s="1304" t="s">
        <v>12364</v>
      </c>
      <c r="D1861" s="1312"/>
      <c r="E1861" s="1292"/>
      <c r="F1861" s="1292"/>
      <c r="G1861"/>
    </row>
    <row r="1862" spans="1:7" ht="14.4" customHeight="1">
      <c r="A1862" s="1767"/>
      <c r="B1862" s="1193">
        <v>1</v>
      </c>
      <c r="C1862" s="1304" t="s">
        <v>12474</v>
      </c>
      <c r="D1862" s="1312"/>
      <c r="E1862" s="1292"/>
      <c r="F1862" s="1292"/>
      <c r="G1862"/>
    </row>
    <row r="1863" spans="1:7" ht="14.4" customHeight="1">
      <c r="A1863" s="693"/>
      <c r="B1863" s="1193"/>
      <c r="C1863" s="1202" t="s">
        <v>729</v>
      </c>
      <c r="D1863" s="1220"/>
      <c r="E1863" s="722"/>
      <c r="F1863" s="722"/>
      <c r="G1863"/>
    </row>
    <row r="1864" spans="1:7" ht="14.4" customHeight="1">
      <c r="A1864" s="2192"/>
      <c r="B1864" s="1193">
        <v>1</v>
      </c>
      <c r="C1864" s="1202" t="s">
        <v>2910</v>
      </c>
      <c r="D1864" s="1640"/>
      <c r="E1864" s="722"/>
      <c r="F1864" s="722"/>
      <c r="G1864"/>
    </row>
    <row r="1865" spans="1:7" ht="14.4" customHeight="1">
      <c r="A1865" s="693"/>
      <c r="B1865" s="1193">
        <v>1</v>
      </c>
      <c r="C1865" s="1202" t="s">
        <v>316</v>
      </c>
      <c r="D1865" s="1122"/>
      <c r="E1865" s="1295"/>
      <c r="F1865" s="1295"/>
      <c r="G1865"/>
    </row>
    <row r="1866" spans="1:7" ht="14.4" customHeight="1" thickBot="1">
      <c r="A1866" s="699"/>
      <c r="B1866" s="1200"/>
      <c r="C1866" s="1305"/>
      <c r="D1866" s="1313"/>
      <c r="E1866" s="1297"/>
      <c r="F1866" s="1297"/>
      <c r="G1866"/>
    </row>
    <row r="1867" spans="1:7" ht="14.4" customHeight="1" thickBot="1">
      <c r="A1867" s="1989">
        <v>46</v>
      </c>
      <c r="B1867" s="1630">
        <v>1</v>
      </c>
      <c r="C1867" s="1329" t="s">
        <v>12500</v>
      </c>
      <c r="D1867" s="1219">
        <v>24843</v>
      </c>
      <c r="E1867" s="1289"/>
      <c r="F1867" s="1289">
        <v>24843</v>
      </c>
      <c r="G1867"/>
    </row>
    <row r="1868" spans="1:7" ht="14.4" customHeight="1">
      <c r="A1868" s="685" t="s">
        <v>3162</v>
      </c>
      <c r="B1868" s="2178"/>
      <c r="C1868" s="2179"/>
      <c r="D1868" s="1312"/>
      <c r="E1868" s="1291"/>
      <c r="F1868" s="1291"/>
      <c r="G1868"/>
    </row>
    <row r="1869" spans="1:7" ht="14.4" customHeight="1">
      <c r="A1869" s="687" t="s">
        <v>12553</v>
      </c>
      <c r="B1869" s="1194">
        <v>1</v>
      </c>
      <c r="C1869" s="1201" t="s">
        <v>5103</v>
      </c>
      <c r="D1869" s="1220"/>
      <c r="E1869" s="1171"/>
      <c r="F1869" s="1171"/>
      <c r="G1869"/>
    </row>
    <row r="1870" spans="1:7" ht="14.4" customHeight="1">
      <c r="A1870" s="687" t="s">
        <v>4136</v>
      </c>
      <c r="B1870" s="1195">
        <v>3</v>
      </c>
      <c r="C1870" s="1191" t="s">
        <v>7374</v>
      </c>
      <c r="D1870" s="1220"/>
      <c r="E1870" s="722"/>
      <c r="F1870" s="722"/>
      <c r="G1870"/>
    </row>
    <row r="1871" spans="1:7" ht="14.4" customHeight="1">
      <c r="A1871" s="687"/>
      <c r="B1871" s="1195">
        <v>3</v>
      </c>
      <c r="C1871" s="1191" t="s">
        <v>7375</v>
      </c>
      <c r="D1871" s="1220"/>
      <c r="E1871" s="722"/>
      <c r="F1871" s="722"/>
      <c r="G1871"/>
    </row>
    <row r="1872" spans="1:7" ht="14.4" customHeight="1">
      <c r="A1872" s="687" t="s">
        <v>12356</v>
      </c>
      <c r="B1872" s="1199">
        <v>1</v>
      </c>
      <c r="C1872" s="1205" t="s">
        <v>3366</v>
      </c>
      <c r="D1872" s="1221"/>
      <c r="E1872" s="1172"/>
      <c r="F1872" s="1172"/>
      <c r="G1872"/>
    </row>
    <row r="1873" spans="1:7" ht="14.4" customHeight="1">
      <c r="A1873" s="687" t="s">
        <v>3542</v>
      </c>
      <c r="B1873" s="1194"/>
      <c r="C1873" s="1218"/>
      <c r="D1873" s="1220"/>
      <c r="E1873" s="1171"/>
      <c r="F1873" s="1171"/>
      <c r="G1873"/>
    </row>
    <row r="1874" spans="1:7" ht="14.4" customHeight="1">
      <c r="A1874" s="1585"/>
      <c r="B1874" s="1285"/>
      <c r="C1874" s="1629" t="s">
        <v>12368</v>
      </c>
      <c r="D1874" s="1220"/>
      <c r="E1874" s="722"/>
      <c r="F1874" s="722"/>
      <c r="G1874"/>
    </row>
    <row r="1875" spans="1:7" ht="14.4" customHeight="1">
      <c r="A1875" s="1584"/>
      <c r="B1875" s="1290">
        <v>6</v>
      </c>
      <c r="C1875" s="1198" t="s">
        <v>8588</v>
      </c>
      <c r="D1875" s="1312"/>
      <c r="E1875" s="1291"/>
      <c r="F1875" s="1291"/>
      <c r="G1875"/>
    </row>
    <row r="1876" spans="1:7" ht="14.4" customHeight="1">
      <c r="A1876" s="1583"/>
      <c r="B1876" s="1290"/>
      <c r="C1876" s="2100"/>
      <c r="D1876" s="1312"/>
      <c r="E1876" s="1291"/>
      <c r="F1876" s="1291"/>
      <c r="G1876"/>
    </row>
    <row r="1877" spans="1:7" ht="14.4" customHeight="1">
      <c r="A1877" s="1583"/>
      <c r="B1877" s="1290"/>
      <c r="C1877" s="2187" t="s">
        <v>729</v>
      </c>
      <c r="D1877" s="1312"/>
      <c r="E1877" s="1291"/>
      <c r="F1877" s="1291"/>
      <c r="G1877"/>
    </row>
    <row r="1878" spans="1:7" ht="14.4" customHeight="1">
      <c r="A1878" s="687"/>
      <c r="B1878" s="1283"/>
      <c r="C1878" s="1201" t="s">
        <v>2477</v>
      </c>
      <c r="D1878" s="1312"/>
      <c r="E1878" s="1292"/>
      <c r="F1878" s="1292"/>
      <c r="G1878"/>
    </row>
    <row r="1879" spans="1:7" ht="14.4" customHeight="1">
      <c r="A1879" s="687"/>
      <c r="B1879" s="1192"/>
      <c r="C1879" s="1306"/>
      <c r="D1879" s="1220"/>
      <c r="E1879" s="1171"/>
      <c r="F1879" s="1171"/>
      <c r="G1879"/>
    </row>
    <row r="1880" spans="1:7" ht="14.4" customHeight="1">
      <c r="A1880" s="692"/>
      <c r="B1880" s="1192"/>
      <c r="C1880" s="1203" t="s">
        <v>12638</v>
      </c>
      <c r="D1880" s="1220"/>
      <c r="E1880" s="1171"/>
      <c r="F1880" s="1171"/>
      <c r="G1880"/>
    </row>
    <row r="1881" spans="1:7" ht="14.4" customHeight="1">
      <c r="A1881" s="692"/>
      <c r="B1881" s="1192"/>
      <c r="C1881" s="1203" t="s">
        <v>3427</v>
      </c>
      <c r="D1881" s="1220"/>
      <c r="E1881" s="1171"/>
      <c r="F1881" s="1171"/>
      <c r="G1881"/>
    </row>
    <row r="1882" spans="1:7" ht="14.4" customHeight="1">
      <c r="A1882" s="692"/>
      <c r="B1882" s="1192"/>
      <c r="C1882" s="1306"/>
      <c r="D1882" s="1220"/>
      <c r="E1882" s="1171"/>
      <c r="F1882" s="1171"/>
      <c r="G1882"/>
    </row>
    <row r="1883" spans="1:7" ht="14.4" customHeight="1">
      <c r="A1883" s="693"/>
      <c r="B1883" s="1192"/>
      <c r="C1883" s="1203" t="s">
        <v>3428</v>
      </c>
      <c r="D1883" s="1312"/>
      <c r="E1883" s="1291"/>
      <c r="F1883" s="1291"/>
      <c r="G1883"/>
    </row>
    <row r="1884" spans="1:7" ht="14.4" customHeight="1">
      <c r="A1884" s="928"/>
      <c r="B1884" s="1298"/>
      <c r="C1884" s="1307"/>
      <c r="D1884" s="1312"/>
      <c r="E1884" s="1292"/>
      <c r="F1884" s="1292"/>
      <c r="G1884"/>
    </row>
    <row r="1885" spans="1:7" ht="14.4" customHeight="1">
      <c r="A1885" s="928"/>
      <c r="B1885" s="1299">
        <v>1</v>
      </c>
      <c r="C1885" s="1205" t="s">
        <v>13020</v>
      </c>
      <c r="D1885" s="1312"/>
      <c r="E1885" s="1292"/>
      <c r="F1885" s="1292"/>
      <c r="G1885"/>
    </row>
    <row r="1886" spans="1:7" ht="14.4" customHeight="1">
      <c r="A1886" s="928"/>
      <c r="B1886" s="1192"/>
      <c r="C1886" s="1205" t="s">
        <v>3429</v>
      </c>
      <c r="D1886" s="1312"/>
      <c r="E1886" s="1292"/>
      <c r="F1886" s="1292"/>
      <c r="G1886"/>
    </row>
    <row r="1887" spans="1:7" ht="14.4" customHeight="1">
      <c r="A1887" s="693"/>
      <c r="B1887" s="1192"/>
      <c r="C1887" s="1308" t="s">
        <v>4432</v>
      </c>
      <c r="D1887" s="1312"/>
      <c r="E1887" s="1291"/>
      <c r="F1887" s="1291"/>
      <c r="G1887"/>
    </row>
    <row r="1888" spans="1:7" ht="14.4" customHeight="1">
      <c r="A1888" s="693"/>
      <c r="B1888" s="1192"/>
      <c r="C1888" s="1205" t="s">
        <v>3449</v>
      </c>
      <c r="D1888" s="1312"/>
      <c r="E1888" s="1292"/>
      <c r="F1888" s="1292"/>
      <c r="G1888"/>
    </row>
    <row r="1889" spans="1:7" ht="14.4" customHeight="1">
      <c r="A1889" s="693"/>
      <c r="B1889" s="1192"/>
      <c r="C1889" s="1307"/>
      <c r="D1889" s="1312"/>
      <c r="E1889" s="1291"/>
      <c r="F1889" s="1291"/>
      <c r="G1889"/>
    </row>
    <row r="1890" spans="1:7" ht="14.4" customHeight="1">
      <c r="A1890" s="928"/>
      <c r="B1890" s="1299">
        <v>1</v>
      </c>
      <c r="C1890" s="1205" t="s">
        <v>13020</v>
      </c>
      <c r="D1890" s="1312"/>
      <c r="E1890" s="1292"/>
      <c r="F1890" s="1292"/>
      <c r="G1890"/>
    </row>
    <row r="1891" spans="1:7" ht="14.4" customHeight="1">
      <c r="A1891" s="928"/>
      <c r="B1891" s="1192"/>
      <c r="C1891" s="1205" t="s">
        <v>3429</v>
      </c>
      <c r="D1891" s="1312"/>
      <c r="E1891" s="1292"/>
      <c r="F1891" s="1292"/>
      <c r="G1891"/>
    </row>
    <row r="1892" spans="1:7" ht="14.4" customHeight="1">
      <c r="A1892" s="693"/>
      <c r="B1892" s="1192"/>
      <c r="C1892" s="1308" t="s">
        <v>4428</v>
      </c>
      <c r="D1892" s="1312"/>
      <c r="E1892" s="1291"/>
      <c r="F1892" s="1291"/>
      <c r="G1892"/>
    </row>
    <row r="1893" spans="1:7" ht="14.4" customHeight="1">
      <c r="A1893" s="693"/>
      <c r="B1893" s="1192"/>
      <c r="C1893" s="1205" t="s">
        <v>3449</v>
      </c>
      <c r="D1893" s="1312"/>
      <c r="E1893" s="1292"/>
      <c r="F1893" s="1292"/>
      <c r="G1893"/>
    </row>
    <row r="1894" spans="1:7" ht="14.4" customHeight="1">
      <c r="A1894" s="693"/>
      <c r="B1894" s="1192"/>
      <c r="C1894" s="1306"/>
      <c r="D1894" s="1220"/>
      <c r="E1894" s="722"/>
      <c r="F1894" s="722"/>
      <c r="G1894"/>
    </row>
    <row r="1895" spans="1:7" ht="14.4" customHeight="1">
      <c r="A1895" s="693"/>
      <c r="B1895" s="1192"/>
      <c r="C1895" s="1203" t="s">
        <v>12622</v>
      </c>
      <c r="D1895" s="1220"/>
      <c r="E1895" s="722"/>
      <c r="F1895" s="722"/>
      <c r="G1895"/>
    </row>
    <row r="1896" spans="1:7" ht="14.4" customHeight="1">
      <c r="A1896" s="692"/>
      <c r="B1896" s="1192"/>
      <c r="C1896" s="1203" t="s">
        <v>12623</v>
      </c>
      <c r="D1896" s="1220"/>
      <c r="E1896" s="722"/>
      <c r="F1896" s="722"/>
      <c r="G1896"/>
    </row>
    <row r="1897" spans="1:7" ht="14.4" customHeight="1">
      <c r="A1897" s="692"/>
      <c r="B1897" s="1192"/>
      <c r="C1897" s="1203" t="s">
        <v>12624</v>
      </c>
      <c r="D1897" s="1220"/>
      <c r="E1897" s="722"/>
      <c r="F1897" s="722"/>
      <c r="G1897"/>
    </row>
    <row r="1898" spans="1:7" ht="14.4" customHeight="1">
      <c r="A1898" s="692"/>
      <c r="B1898" s="1192"/>
      <c r="C1898" s="1203" t="s">
        <v>12625</v>
      </c>
      <c r="D1898" s="1220"/>
      <c r="E1898" s="1171"/>
      <c r="F1898" s="1171"/>
      <c r="G1898"/>
    </row>
    <row r="1899" spans="1:7" ht="14.4" customHeight="1">
      <c r="A1899" s="692"/>
      <c r="B1899" s="1192"/>
      <c r="C1899" s="1203" t="s">
        <v>12626</v>
      </c>
      <c r="D1899" s="1220"/>
      <c r="E1899" s="1171"/>
      <c r="F1899" s="1171"/>
      <c r="G1899"/>
    </row>
    <row r="1900" spans="1:7" ht="14.4" customHeight="1">
      <c r="A1900" s="692"/>
      <c r="B1900" s="1192"/>
      <c r="D1900" s="1220"/>
      <c r="E1900" s="722"/>
      <c r="F1900" s="722"/>
      <c r="G1900"/>
    </row>
    <row r="1901" spans="1:7" ht="14.4" customHeight="1">
      <c r="A1901" s="692"/>
      <c r="B1901" s="1192"/>
      <c r="C1901" s="1286" t="s">
        <v>12627</v>
      </c>
      <c r="D1901" s="1220"/>
      <c r="E1901" s="1171"/>
      <c r="F1901" s="1171"/>
      <c r="G1901"/>
    </row>
    <row r="1902" spans="1:7" ht="14.4" customHeight="1">
      <c r="A1902" s="692"/>
      <c r="B1902" s="1192"/>
      <c r="C1902" s="1286" t="s">
        <v>12628</v>
      </c>
      <c r="D1902" s="1220"/>
      <c r="E1902" s="1171"/>
      <c r="F1902" s="1171"/>
      <c r="G1902"/>
    </row>
    <row r="1903" spans="1:7" ht="14.4" customHeight="1">
      <c r="A1903" s="912"/>
      <c r="B1903" s="1192"/>
      <c r="C1903" s="1287" t="s">
        <v>3431</v>
      </c>
      <c r="D1903" s="1220"/>
      <c r="E1903" s="722"/>
      <c r="F1903" s="722"/>
      <c r="G1903"/>
    </row>
    <row r="1904" spans="1:7" ht="14.4" customHeight="1">
      <c r="A1904" s="913"/>
      <c r="B1904" s="1192"/>
      <c r="C1904" s="1287" t="s">
        <v>3432</v>
      </c>
      <c r="D1904" s="1220"/>
      <c r="E1904" s="1171"/>
      <c r="F1904" s="1171"/>
      <c r="G1904"/>
    </row>
    <row r="1905" spans="1:7" ht="14.4" customHeight="1">
      <c r="A1905" s="913"/>
      <c r="B1905" s="1192"/>
      <c r="C1905" s="1287" t="s">
        <v>3433</v>
      </c>
      <c r="D1905" s="1220"/>
      <c r="E1905" s="722"/>
      <c r="F1905" s="722"/>
      <c r="G1905"/>
    </row>
    <row r="1906" spans="1:7" ht="14.4" customHeight="1">
      <c r="A1906" s="1208"/>
      <c r="B1906" s="1192"/>
      <c r="C1906" s="1287" t="s">
        <v>3434</v>
      </c>
      <c r="D1906" s="1220"/>
      <c r="E1906" s="1171"/>
      <c r="F1906" s="1171"/>
      <c r="G1906"/>
    </row>
    <row r="1907" spans="1:7" ht="14.4" customHeight="1">
      <c r="A1907" s="687"/>
      <c r="B1907" s="1192"/>
      <c r="C1907" s="1287" t="s">
        <v>3435</v>
      </c>
      <c r="D1907" s="1220"/>
      <c r="E1907" s="722"/>
      <c r="F1907" s="722"/>
      <c r="G1907"/>
    </row>
    <row r="1908" spans="1:7" ht="14.4" customHeight="1">
      <c r="A1908" s="687"/>
      <c r="B1908" s="1192"/>
      <c r="C1908" s="1286" t="s">
        <v>12629</v>
      </c>
      <c r="D1908" s="1220"/>
      <c r="E1908" s="1171"/>
      <c r="F1908" s="1171"/>
      <c r="G1908"/>
    </row>
    <row r="1909" spans="1:7" ht="14.4" customHeight="1">
      <c r="A1909" s="687"/>
      <c r="B1909" s="1192"/>
      <c r="C1909" s="1286" t="s">
        <v>12630</v>
      </c>
      <c r="D1909" s="1220"/>
      <c r="E1909" s="1171"/>
      <c r="F1909" s="1171"/>
      <c r="G1909"/>
    </row>
    <row r="1910" spans="1:7" ht="14.4" customHeight="1">
      <c r="A1910" s="687"/>
      <c r="B1910" s="1192"/>
      <c r="C1910" s="1287" t="s">
        <v>6061</v>
      </c>
      <c r="D1910" s="1220"/>
      <c r="E1910" s="722"/>
      <c r="F1910" s="722"/>
      <c r="G1910"/>
    </row>
    <row r="1911" spans="1:7" ht="14.4" customHeight="1">
      <c r="A1911" s="1301"/>
      <c r="B1911" s="1193"/>
      <c r="C1911" s="1287" t="s">
        <v>6062</v>
      </c>
      <c r="D1911" s="1220"/>
      <c r="E1911" s="1171"/>
      <c r="F1911" s="1171"/>
      <c r="G1911"/>
    </row>
    <row r="1912" spans="1:7" ht="14.4" customHeight="1">
      <c r="A1912" s="1301"/>
      <c r="B1912" s="1194"/>
      <c r="C1912" s="1287" t="s">
        <v>624</v>
      </c>
      <c r="D1912" s="1220"/>
      <c r="E1912" s="1171"/>
      <c r="F1912" s="1171"/>
      <c r="G1912"/>
    </row>
    <row r="1913" spans="1:7" ht="14.4" customHeight="1">
      <c r="A1913" s="1301"/>
      <c r="B1913" s="1195"/>
      <c r="C1913" s="1287" t="s">
        <v>625</v>
      </c>
      <c r="D1913" s="1220"/>
      <c r="E1913" s="1171"/>
      <c r="F1913" s="1171"/>
      <c r="G1913"/>
    </row>
    <row r="1914" spans="1:7" ht="14.4" customHeight="1">
      <c r="A1914" s="692"/>
      <c r="B1914" s="1195"/>
      <c r="C1914" s="1287" t="s">
        <v>12631</v>
      </c>
      <c r="D1914" s="1220"/>
      <c r="E1914" s="1171"/>
      <c r="F1914" s="1171"/>
      <c r="G1914"/>
    </row>
    <row r="1915" spans="1:7" ht="14.4" customHeight="1">
      <c r="A1915" s="693"/>
      <c r="B1915" s="1194"/>
      <c r="C1915" s="1288" t="s">
        <v>3853</v>
      </c>
      <c r="D1915" s="1220"/>
      <c r="E1915" s="722"/>
      <c r="F1915" s="722"/>
      <c r="G1915"/>
    </row>
    <row r="1916" spans="1:7" ht="14.4" customHeight="1">
      <c r="A1916" s="693"/>
      <c r="B1916" s="1195"/>
      <c r="C1916" s="1309" t="s">
        <v>12632</v>
      </c>
      <c r="D1916" s="1220"/>
      <c r="E1916" s="722"/>
      <c r="F1916" s="722"/>
      <c r="G1916"/>
    </row>
    <row r="1917" spans="1:7" ht="14.4" customHeight="1">
      <c r="A1917" s="693"/>
      <c r="B1917" s="1195"/>
      <c r="C1917" s="1310" t="s">
        <v>12633</v>
      </c>
      <c r="D1917" s="1220"/>
      <c r="E1917" s="722"/>
      <c r="F1917" s="722"/>
      <c r="G1917"/>
    </row>
    <row r="1918" spans="1:7" ht="14.4" customHeight="1">
      <c r="A1918" s="693"/>
      <c r="B1918" s="1284"/>
      <c r="C1918" s="1203" t="s">
        <v>12634</v>
      </c>
      <c r="D1918" s="1220"/>
      <c r="E1918" s="1171"/>
      <c r="F1918" s="1171"/>
      <c r="G1918"/>
    </row>
    <row r="1919" spans="1:7" ht="14.4" customHeight="1">
      <c r="A1919" s="693"/>
      <c r="B1919" s="1300"/>
      <c r="C1919" s="1286" t="s">
        <v>12635</v>
      </c>
      <c r="D1919" s="1220"/>
      <c r="E1919" s="722"/>
      <c r="F1919" s="722"/>
      <c r="G1919"/>
    </row>
    <row r="1920" spans="1:7" ht="14.4" customHeight="1">
      <c r="A1920" s="1207"/>
      <c r="B1920" s="1195"/>
      <c r="C1920" s="1286" t="s">
        <v>12636</v>
      </c>
      <c r="D1920" s="1220"/>
      <c r="E1920" s="1171"/>
      <c r="F1920" s="1171"/>
      <c r="G1920"/>
    </row>
    <row r="1921" spans="1:7" ht="14.4" customHeight="1">
      <c r="A1921" s="687"/>
      <c r="B1921" s="1300"/>
      <c r="C1921" s="1286" t="s">
        <v>12637</v>
      </c>
      <c r="D1921" s="1220"/>
      <c r="E1921" s="722"/>
      <c r="F1921" s="722"/>
      <c r="G1921"/>
    </row>
    <row r="1922" spans="1:7" ht="14.4" customHeight="1">
      <c r="A1922" s="687"/>
      <c r="B1922" s="1195"/>
      <c r="C1922" s="2203" t="s">
        <v>3447</v>
      </c>
      <c r="D1922" s="1220"/>
      <c r="E1922" s="1171"/>
      <c r="F1922" s="1171"/>
      <c r="G1922"/>
    </row>
    <row r="1923" spans="1:7" ht="14.4" customHeight="1">
      <c r="A1923" s="687"/>
      <c r="B1923" s="1195"/>
      <c r="C1923" s="2204"/>
      <c r="D1923" s="1220"/>
      <c r="E1923" s="1171"/>
      <c r="F1923" s="1171"/>
      <c r="G1923"/>
    </row>
    <row r="1924" spans="1:7" ht="14.4" customHeight="1">
      <c r="A1924" s="687"/>
      <c r="B1924" s="1284"/>
      <c r="C1924" s="1304" t="s">
        <v>729</v>
      </c>
      <c r="D1924" s="1220"/>
      <c r="E1924" s="722"/>
      <c r="F1924" s="722"/>
      <c r="G1924"/>
    </row>
    <row r="1925" spans="1:7" ht="14.4" customHeight="1">
      <c r="A1925" s="693"/>
      <c r="B1925" s="1195"/>
      <c r="C1925" s="1304" t="s">
        <v>729</v>
      </c>
      <c r="D1925" s="1220"/>
      <c r="E1925" s="1171"/>
      <c r="F1925" s="1171"/>
      <c r="G1925"/>
    </row>
    <row r="1926" spans="1:7" ht="14.4" customHeight="1">
      <c r="A1926" s="687"/>
      <c r="B1926" s="1193"/>
      <c r="C1926" s="1627" t="s">
        <v>11663</v>
      </c>
      <c r="D1926" s="1312"/>
      <c r="E1926" s="722"/>
      <c r="F1926" s="722"/>
      <c r="G1926"/>
    </row>
    <row r="1927" spans="1:7" ht="14.4" customHeight="1">
      <c r="A1927" s="687"/>
      <c r="B1927" s="1193">
        <v>1</v>
      </c>
      <c r="C1927" s="1202" t="s">
        <v>12165</v>
      </c>
      <c r="D1927" s="1312"/>
      <c r="E1927" s="722"/>
      <c r="F1927" s="722"/>
      <c r="G1927"/>
    </row>
    <row r="1928" spans="1:7" ht="14.4" customHeight="1">
      <c r="A1928" s="687"/>
      <c r="B1928" s="1193">
        <v>3</v>
      </c>
      <c r="C1928" s="1202" t="s">
        <v>434</v>
      </c>
      <c r="D1928" s="1312"/>
      <c r="E1928" s="722"/>
      <c r="F1928" s="722"/>
      <c r="G1928"/>
    </row>
    <row r="1929" spans="1:7" ht="14.4" customHeight="1">
      <c r="A1929" s="687"/>
      <c r="B1929" s="1193">
        <v>5</v>
      </c>
      <c r="C1929" s="1202" t="s">
        <v>8288</v>
      </c>
      <c r="D1929" s="1312"/>
      <c r="E1929" s="722"/>
      <c r="F1929" s="722"/>
      <c r="G1929"/>
    </row>
    <row r="1930" spans="1:7" ht="14.4" customHeight="1">
      <c r="A1930" s="687"/>
      <c r="B1930" s="1193">
        <v>6</v>
      </c>
      <c r="C1930" s="1202" t="s">
        <v>8275</v>
      </c>
      <c r="D1930" s="1312"/>
      <c r="E1930" s="722"/>
      <c r="F1930" s="722"/>
      <c r="G1930"/>
    </row>
    <row r="1931" spans="1:7" ht="14.4" customHeight="1">
      <c r="A1931" s="1767"/>
      <c r="B1931" s="1192"/>
      <c r="C1931" s="1304" t="s">
        <v>729</v>
      </c>
      <c r="D1931" s="1312"/>
      <c r="E1931" s="1291"/>
      <c r="F1931" s="1291"/>
      <c r="G1931"/>
    </row>
    <row r="1932" spans="1:7" ht="14.4" customHeight="1">
      <c r="A1932" s="2073"/>
      <c r="B1932" s="1196"/>
      <c r="C1932" s="1303" t="s">
        <v>3377</v>
      </c>
      <c r="D1932" s="1312"/>
      <c r="E1932" s="1292"/>
      <c r="F1932" s="1292"/>
      <c r="G1932"/>
    </row>
    <row r="1933" spans="1:7" ht="14.4" customHeight="1">
      <c r="A1933" s="2073"/>
      <c r="B1933" s="1193">
        <v>1</v>
      </c>
      <c r="C1933" s="1202" t="s">
        <v>4433</v>
      </c>
      <c r="D1933" s="1312"/>
      <c r="E1933" s="1291"/>
      <c r="F1933" s="1291"/>
      <c r="G1933"/>
    </row>
    <row r="1934" spans="1:7" ht="14.4" customHeight="1">
      <c r="A1934" s="691"/>
      <c r="B1934" s="1193">
        <v>1</v>
      </c>
      <c r="C1934" s="1202" t="s">
        <v>12501</v>
      </c>
      <c r="D1934" s="1312"/>
      <c r="E1934" s="1291"/>
      <c r="F1934" s="1291"/>
      <c r="G1934"/>
    </row>
    <row r="1935" spans="1:7" ht="14.4" customHeight="1">
      <c r="A1935" s="2073"/>
      <c r="B1935" s="1193"/>
      <c r="C1935" s="1420"/>
      <c r="D1935" s="1312"/>
      <c r="E1935" s="1291"/>
      <c r="F1935" s="1291"/>
      <c r="G1935"/>
    </row>
    <row r="1936" spans="1:7" ht="14.4" customHeight="1">
      <c r="A1936" s="2073"/>
      <c r="B1936" s="1193">
        <v>1</v>
      </c>
      <c r="C1936" s="1202" t="s">
        <v>4430</v>
      </c>
      <c r="D1936" s="1312"/>
      <c r="E1936" s="1291"/>
      <c r="F1936" s="1291"/>
      <c r="G1936"/>
    </row>
    <row r="1937" spans="1:7" ht="14.4" customHeight="1">
      <c r="A1937" s="2073"/>
      <c r="B1937" s="1193">
        <v>1</v>
      </c>
      <c r="C1937" s="1202" t="s">
        <v>4428</v>
      </c>
      <c r="D1937" s="1312"/>
      <c r="E1937" s="1291"/>
      <c r="F1937" s="1291"/>
      <c r="G1937"/>
    </row>
    <row r="1938" spans="1:7" ht="14.4" customHeight="1">
      <c r="A1938" s="2073"/>
      <c r="B1938" s="1193">
        <v>1</v>
      </c>
      <c r="C1938" s="1202" t="s">
        <v>4427</v>
      </c>
      <c r="D1938" s="1312"/>
      <c r="E1938" s="1291"/>
      <c r="F1938" s="1291"/>
      <c r="G1938"/>
    </row>
    <row r="1939" spans="1:7" ht="14.4" customHeight="1">
      <c r="A1939" s="2073"/>
      <c r="B1939" s="1193">
        <v>1</v>
      </c>
      <c r="C1939" s="1202" t="s">
        <v>4425</v>
      </c>
      <c r="D1939" s="1312"/>
      <c r="E1939" s="1291"/>
      <c r="F1939" s="1291"/>
      <c r="G1939"/>
    </row>
    <row r="1940" spans="1:7" ht="14.4" customHeight="1">
      <c r="A1940" s="1767"/>
      <c r="B1940" s="1193">
        <v>1</v>
      </c>
      <c r="C1940" s="1202" t="s">
        <v>2933</v>
      </c>
      <c r="D1940" s="1312"/>
      <c r="E1940" s="1291"/>
      <c r="F1940" s="1291"/>
      <c r="G1940"/>
    </row>
    <row r="1941" spans="1:7" ht="14.4" customHeight="1">
      <c r="A1941" s="692"/>
      <c r="B1941" s="1193"/>
      <c r="C1941" s="1202" t="s">
        <v>729</v>
      </c>
      <c r="D1941" s="1220"/>
      <c r="E1941" s="722"/>
      <c r="F1941" s="722"/>
      <c r="G1941"/>
    </row>
    <row r="1942" spans="1:7" ht="14.4" customHeight="1">
      <c r="A1942" s="687"/>
      <c r="B1942" s="1293"/>
      <c r="C1942" s="1303" t="s">
        <v>12540</v>
      </c>
      <c r="D1942" s="1312"/>
      <c r="E1942" s="1292"/>
      <c r="F1942" s="1292"/>
      <c r="G1942"/>
    </row>
    <row r="1943" spans="1:7" ht="14.4" customHeight="1">
      <c r="A1943" s="687"/>
      <c r="B1943" s="1283">
        <v>1</v>
      </c>
      <c r="C1943" s="1202" t="s">
        <v>6486</v>
      </c>
      <c r="D1943" s="1639"/>
      <c r="E1943" s="722"/>
      <c r="F1943" s="722"/>
      <c r="G1943"/>
    </row>
    <row r="1944" spans="1:7" ht="14.4" customHeight="1">
      <c r="A1944" s="687"/>
      <c r="B1944" s="1283">
        <v>1</v>
      </c>
      <c r="C1944" s="1202" t="s">
        <v>2081</v>
      </c>
      <c r="D1944" s="1639"/>
      <c r="E1944" s="722"/>
      <c r="F1944" s="722"/>
      <c r="G1944"/>
    </row>
    <row r="1945" spans="1:7" ht="14.4" customHeight="1">
      <c r="A1945" s="692"/>
      <c r="B1945" s="1193"/>
      <c r="C1945" s="1202" t="s">
        <v>729</v>
      </c>
      <c r="D1945" s="1220"/>
      <c r="E1945" s="722"/>
      <c r="F1945" s="722"/>
      <c r="G1945"/>
    </row>
    <row r="1946" spans="1:7" ht="14.4" customHeight="1">
      <c r="A1946" s="693"/>
      <c r="B1946" s="1196"/>
      <c r="C1946" s="1201" t="s">
        <v>3063</v>
      </c>
      <c r="D1946" s="1220"/>
      <c r="E1946" s="1171"/>
      <c r="F1946" s="1171"/>
      <c r="G1946"/>
    </row>
    <row r="1947" spans="1:7" ht="14.4" customHeight="1">
      <c r="A1947" s="691"/>
      <c r="B1947" s="1193">
        <v>1</v>
      </c>
      <c r="C1947" s="1202" t="s">
        <v>4427</v>
      </c>
      <c r="D1947" s="1312"/>
      <c r="E1947" s="1291"/>
      <c r="F1947" s="1291"/>
      <c r="G1947"/>
    </row>
    <row r="1948" spans="1:7" ht="14.4" customHeight="1">
      <c r="A1948" s="691"/>
      <c r="B1948" s="1193">
        <v>1</v>
      </c>
      <c r="C1948" s="1202" t="s">
        <v>12358</v>
      </c>
      <c r="D1948" s="1312"/>
      <c r="E1948" s="1291"/>
      <c r="F1948" s="1291"/>
      <c r="G1948"/>
    </row>
    <row r="1949" spans="1:7" ht="14.4" customHeight="1">
      <c r="A1949" s="692"/>
      <c r="B1949" s="1193"/>
      <c r="C1949" s="1202" t="s">
        <v>729</v>
      </c>
      <c r="D1949" s="1220"/>
      <c r="E1949" s="722"/>
      <c r="F1949" s="722"/>
      <c r="G1949"/>
    </row>
    <row r="1950" spans="1:7" ht="14.4" customHeight="1">
      <c r="A1950" s="1767"/>
      <c r="B1950" s="1193">
        <v>1</v>
      </c>
      <c r="C1950" s="1304" t="s">
        <v>12366</v>
      </c>
      <c r="D1950" s="1312"/>
      <c r="E1950" s="1292"/>
      <c r="F1950" s="1292"/>
      <c r="G1950"/>
    </row>
    <row r="1951" spans="1:7" ht="14.4" customHeight="1">
      <c r="A1951" s="693"/>
      <c r="B1951" s="1193"/>
      <c r="C1951" s="1202" t="s">
        <v>729</v>
      </c>
      <c r="D1951" s="1220"/>
      <c r="E1951" s="722"/>
      <c r="F1951" s="722"/>
      <c r="G1951"/>
    </row>
    <row r="1952" spans="1:7" ht="14.4" customHeight="1">
      <c r="A1952" s="1767"/>
      <c r="B1952" s="1193">
        <v>1</v>
      </c>
      <c r="C1952" s="1304" t="s">
        <v>12364</v>
      </c>
      <c r="D1952" s="1312"/>
      <c r="E1952" s="1292"/>
      <c r="F1952" s="1292"/>
      <c r="G1952"/>
    </row>
    <row r="1953" spans="1:7" ht="14.4" customHeight="1">
      <c r="A1953" s="1767"/>
      <c r="B1953" s="1193">
        <v>1</v>
      </c>
      <c r="C1953" s="1304" t="s">
        <v>12474</v>
      </c>
      <c r="D1953" s="1312"/>
      <c r="E1953" s="1292"/>
      <c r="F1953" s="1292"/>
      <c r="G1953"/>
    </row>
    <row r="1954" spans="1:7" ht="14.4" customHeight="1">
      <c r="A1954" s="693"/>
      <c r="B1954" s="1193"/>
      <c r="C1954" s="1202" t="s">
        <v>729</v>
      </c>
      <c r="D1954" s="1220"/>
      <c r="E1954" s="722"/>
      <c r="F1954" s="722"/>
      <c r="G1954"/>
    </row>
    <row r="1955" spans="1:7" ht="14.4" customHeight="1">
      <c r="A1955" s="693"/>
      <c r="B1955" s="1193">
        <v>1</v>
      </c>
      <c r="C1955" s="1202" t="s">
        <v>316</v>
      </c>
      <c r="D1955" s="1122"/>
      <c r="E1955" s="1295"/>
      <c r="F1955" s="1295"/>
      <c r="G1955"/>
    </row>
    <row r="1956" spans="1:7" ht="14.4" customHeight="1">
      <c r="A1956" s="693"/>
      <c r="B1956" s="1193"/>
      <c r="C1956" s="1202" t="s">
        <v>729</v>
      </c>
      <c r="D1956" s="1220"/>
      <c r="E1956" s="722"/>
      <c r="F1956" s="722"/>
      <c r="G1956"/>
    </row>
    <row r="1957" spans="1:7" ht="14.4" customHeight="1" thickBot="1">
      <c r="A1957" s="699"/>
      <c r="B1957" s="1200"/>
      <c r="C1957" s="1305"/>
      <c r="D1957" s="1313"/>
      <c r="E1957" s="1297"/>
      <c r="F1957" s="1297"/>
      <c r="G1957"/>
    </row>
    <row r="1958" spans="1:7" ht="14.4" customHeight="1" thickBot="1">
      <c r="A1958" s="1989">
        <v>47</v>
      </c>
      <c r="B1958" s="1630">
        <v>1</v>
      </c>
      <c r="C1958" s="1329" t="s">
        <v>12608</v>
      </c>
      <c r="D1958" s="1219">
        <v>5280</v>
      </c>
      <c r="E1958" s="1289"/>
      <c r="F1958" s="1289">
        <v>5280</v>
      </c>
      <c r="G1958"/>
    </row>
    <row r="1959" spans="1:7" ht="14.4" customHeight="1">
      <c r="A1959" s="685" t="s">
        <v>3064</v>
      </c>
      <c r="B1959" s="2178"/>
      <c r="C1959" s="2179"/>
      <c r="D1959" s="1312"/>
      <c r="E1959" s="1291"/>
      <c r="F1959" s="1291"/>
      <c r="G1959"/>
    </row>
    <row r="1960" spans="1:7" ht="14.4" customHeight="1">
      <c r="A1960" s="687" t="s">
        <v>12553</v>
      </c>
      <c r="B1960" s="1194">
        <v>1</v>
      </c>
      <c r="C1960" s="1201" t="s">
        <v>5103</v>
      </c>
      <c r="D1960" s="1220"/>
      <c r="E1960" s="1171"/>
      <c r="F1960" s="1171"/>
      <c r="G1960"/>
    </row>
    <row r="1961" spans="1:7" ht="14.4" customHeight="1">
      <c r="A1961" s="687" t="s">
        <v>4136</v>
      </c>
      <c r="B1961" s="1195">
        <v>3</v>
      </c>
      <c r="C1961" s="1191" t="s">
        <v>7374</v>
      </c>
      <c r="D1961" s="1220"/>
      <c r="E1961" s="722"/>
      <c r="F1961" s="722"/>
      <c r="G1961"/>
    </row>
    <row r="1962" spans="1:7" ht="14.4" customHeight="1">
      <c r="A1962" s="687"/>
      <c r="B1962" s="1195">
        <v>3</v>
      </c>
      <c r="C1962" s="1191" t="s">
        <v>7375</v>
      </c>
      <c r="D1962" s="1220"/>
      <c r="E1962" s="722"/>
      <c r="F1962" s="722"/>
      <c r="G1962"/>
    </row>
    <row r="1963" spans="1:7" ht="14.4" customHeight="1">
      <c r="A1963" s="687" t="s">
        <v>12356</v>
      </c>
      <c r="B1963" s="1199">
        <v>1</v>
      </c>
      <c r="C1963" s="1205" t="s">
        <v>3366</v>
      </c>
      <c r="D1963" s="1221"/>
      <c r="E1963" s="1172"/>
      <c r="F1963" s="1172"/>
      <c r="G1963"/>
    </row>
    <row r="1964" spans="1:7" ht="14.4" customHeight="1">
      <c r="A1964" s="687" t="s">
        <v>3542</v>
      </c>
      <c r="B1964" s="1194"/>
      <c r="C1964" s="1218"/>
      <c r="D1964" s="1220"/>
      <c r="E1964" s="1171"/>
      <c r="F1964" s="1171"/>
      <c r="G1964"/>
    </row>
    <row r="1965" spans="1:7" ht="14.4" customHeight="1">
      <c r="A1965" s="687"/>
      <c r="B1965" s="1195"/>
      <c r="C1965" s="1629" t="s">
        <v>12368</v>
      </c>
      <c r="D1965" s="1220"/>
      <c r="E1965" s="722"/>
      <c r="F1965" s="722"/>
      <c r="G1965"/>
    </row>
    <row r="1966" spans="1:7" ht="14.4" customHeight="1">
      <c r="A1966" s="1767"/>
      <c r="B1966" s="1193"/>
      <c r="C1966" s="1201" t="s">
        <v>3158</v>
      </c>
      <c r="D1966" s="1312"/>
      <c r="E1966" s="1292"/>
      <c r="F1966" s="1292"/>
      <c r="G1966"/>
    </row>
    <row r="1967" spans="1:7" ht="14.4" customHeight="1">
      <c r="A1967" s="1767"/>
      <c r="B1967" s="1193">
        <v>1</v>
      </c>
      <c r="C1967" s="1202" t="s">
        <v>6600</v>
      </c>
      <c r="D1967" s="1312"/>
      <c r="E1967" s="1292"/>
      <c r="F1967" s="1292"/>
      <c r="G1967"/>
    </row>
    <row r="1968" spans="1:7" ht="14.4" customHeight="1">
      <c r="A1968" s="1767"/>
      <c r="B1968" s="1193"/>
      <c r="C1968" s="1202" t="s">
        <v>729</v>
      </c>
      <c r="D1968" s="1220"/>
      <c r="E1968" s="722"/>
      <c r="F1968" s="722"/>
      <c r="G1968"/>
    </row>
    <row r="1969" spans="1:7" ht="14.4" customHeight="1">
      <c r="A1969" s="1767"/>
      <c r="B1969" s="1193"/>
      <c r="C1969" s="1627" t="s">
        <v>11663</v>
      </c>
      <c r="D1969" s="1312"/>
      <c r="E1969" s="722"/>
      <c r="F1969" s="722"/>
      <c r="G1969"/>
    </row>
    <row r="1970" spans="1:7" ht="14.4" customHeight="1">
      <c r="A1970" s="1767"/>
      <c r="B1970" s="1193">
        <v>1</v>
      </c>
      <c r="C1970" s="1202" t="s">
        <v>12165</v>
      </c>
      <c r="D1970" s="1312"/>
      <c r="E1970" s="722"/>
      <c r="F1970" s="722"/>
      <c r="G1970"/>
    </row>
    <row r="1971" spans="1:7" ht="14.4" customHeight="1">
      <c r="A1971" s="693"/>
      <c r="B1971" s="1193">
        <v>3</v>
      </c>
      <c r="C1971" s="1202" t="s">
        <v>8261</v>
      </c>
      <c r="D1971" s="1312"/>
      <c r="E1971" s="722"/>
      <c r="F1971" s="722"/>
      <c r="G1971"/>
    </row>
    <row r="1972" spans="1:7" ht="14.4" customHeight="1">
      <c r="A1972" s="1767"/>
      <c r="B1972" s="1193">
        <v>5</v>
      </c>
      <c r="C1972" s="1202" t="s">
        <v>8288</v>
      </c>
      <c r="D1972" s="1312"/>
      <c r="E1972" s="722"/>
      <c r="F1972" s="722"/>
      <c r="G1972"/>
    </row>
    <row r="1973" spans="1:7" ht="14.4" customHeight="1">
      <c r="A1973" s="693"/>
      <c r="B1973" s="1193">
        <v>6</v>
      </c>
      <c r="C1973" s="1202" t="s">
        <v>8275</v>
      </c>
      <c r="D1973" s="1312"/>
      <c r="E1973" s="722"/>
      <c r="F1973" s="722"/>
      <c r="G1973"/>
    </row>
    <row r="1974" spans="1:7" ht="14.4" customHeight="1">
      <c r="A1974" s="693"/>
      <c r="B1974" s="1193"/>
      <c r="C1974" s="1202" t="s">
        <v>729</v>
      </c>
      <c r="D1974" s="1220"/>
      <c r="E1974" s="722"/>
      <c r="F1974" s="722"/>
      <c r="G1974"/>
    </row>
    <row r="1975" spans="1:7" ht="14.4" customHeight="1">
      <c r="A1975" s="1767"/>
      <c r="B1975" s="1196"/>
      <c r="C1975" s="1303" t="s">
        <v>3377</v>
      </c>
      <c r="D1975" s="1312"/>
      <c r="E1975" s="1292"/>
      <c r="F1975" s="1292"/>
      <c r="G1975"/>
    </row>
    <row r="1976" spans="1:7" ht="14.4" customHeight="1">
      <c r="A1976" s="1767"/>
      <c r="B1976" s="1193">
        <v>1</v>
      </c>
      <c r="C1976" s="1202" t="s">
        <v>6599</v>
      </c>
      <c r="D1976" s="1312"/>
      <c r="E1976" s="1291"/>
      <c r="F1976" s="1291"/>
      <c r="G1976"/>
    </row>
    <row r="1977" spans="1:7" ht="14.4" customHeight="1">
      <c r="A1977" s="1767"/>
      <c r="B1977" s="1193">
        <v>1</v>
      </c>
      <c r="C1977" s="1202" t="s">
        <v>6598</v>
      </c>
      <c r="D1977" s="1312"/>
      <c r="E1977" s="1291"/>
      <c r="F1977" s="1291"/>
      <c r="G1977"/>
    </row>
    <row r="1978" spans="1:7" ht="14.4" customHeight="1">
      <c r="A1978" s="1767"/>
      <c r="B1978" s="1193">
        <v>1</v>
      </c>
      <c r="C1978" s="1202" t="s">
        <v>6597</v>
      </c>
      <c r="D1978" s="1312"/>
      <c r="E1978" s="1291"/>
      <c r="F1978" s="1291"/>
      <c r="G1978"/>
    </row>
    <row r="1979" spans="1:7" ht="14.4" customHeight="1">
      <c r="A1979" s="1767"/>
      <c r="B1979" s="1193">
        <v>1</v>
      </c>
      <c r="C1979" s="1202" t="s">
        <v>2933</v>
      </c>
      <c r="D1979" s="1312"/>
      <c r="E1979" s="1291"/>
      <c r="F1979" s="1291"/>
      <c r="G1979"/>
    </row>
    <row r="1980" spans="1:7" ht="14.4" customHeight="1">
      <c r="A1980" s="693"/>
      <c r="B1980" s="1193"/>
      <c r="C1980" s="1202" t="s">
        <v>729</v>
      </c>
      <c r="D1980" s="1220"/>
      <c r="E1980" s="722"/>
      <c r="F1980" s="722"/>
      <c r="G1980"/>
    </row>
    <row r="1981" spans="1:7" ht="14.4" customHeight="1">
      <c r="A1981" s="1767"/>
      <c r="B1981" s="1193">
        <v>1</v>
      </c>
      <c r="C1981" s="1304" t="s">
        <v>12364</v>
      </c>
      <c r="D1981" s="1312"/>
      <c r="E1981" s="1292"/>
      <c r="F1981" s="1292"/>
      <c r="G1981"/>
    </row>
    <row r="1982" spans="1:7" ht="14.4" customHeight="1">
      <c r="A1982" s="1767"/>
      <c r="B1982" s="1193">
        <v>1</v>
      </c>
      <c r="C1982" s="1304" t="s">
        <v>12474</v>
      </c>
      <c r="D1982" s="1312"/>
      <c r="E1982" s="1292"/>
      <c r="F1982" s="1292"/>
      <c r="G1982"/>
    </row>
    <row r="1983" spans="1:7" ht="14.4" customHeight="1">
      <c r="A1983" s="693"/>
      <c r="B1983" s="1193"/>
      <c r="C1983" s="1202" t="s">
        <v>729</v>
      </c>
      <c r="D1983" s="1220"/>
      <c r="E1983" s="722"/>
      <c r="F1983" s="722"/>
      <c r="G1983"/>
    </row>
    <row r="1984" spans="1:7" ht="14.4" customHeight="1">
      <c r="A1984" s="693"/>
      <c r="B1984" s="1193">
        <v>1</v>
      </c>
      <c r="C1984" s="1202" t="s">
        <v>316</v>
      </c>
      <c r="D1984" s="1122"/>
      <c r="E1984" s="1295"/>
      <c r="F1984" s="1295"/>
      <c r="G1984"/>
    </row>
    <row r="1985" spans="1:7" ht="14.4" customHeight="1">
      <c r="A1985" s="693"/>
      <c r="B1985" s="1193"/>
      <c r="C1985" s="1202" t="s">
        <v>729</v>
      </c>
      <c r="D1985" s="1220"/>
      <c r="E1985" s="722"/>
      <c r="F1985" s="722"/>
      <c r="G1985"/>
    </row>
    <row r="1986" spans="1:7" ht="14.4" customHeight="1" thickBot="1">
      <c r="A1986" s="699"/>
      <c r="B1986" s="1200"/>
      <c r="C1986" s="1305"/>
      <c r="D1986" s="1313"/>
      <c r="E1986" s="1297"/>
      <c r="F1986" s="1297"/>
      <c r="G1986"/>
    </row>
    <row r="1987" spans="1:7" ht="14.4" customHeight="1" thickBot="1">
      <c r="A1987" s="1989">
        <v>48</v>
      </c>
      <c r="B1987" s="1630">
        <v>1</v>
      </c>
      <c r="C1987" s="1329" t="s">
        <v>12609</v>
      </c>
      <c r="D1987" s="1219">
        <v>5577</v>
      </c>
      <c r="E1987" s="1289"/>
      <c r="F1987" s="1289">
        <v>5577</v>
      </c>
      <c r="G1987"/>
    </row>
    <row r="1988" spans="1:7" ht="14.4" customHeight="1">
      <c r="A1988" s="685" t="s">
        <v>3064</v>
      </c>
      <c r="B1988" s="2178"/>
      <c r="C1988" s="2179"/>
      <c r="D1988" s="1312"/>
      <c r="E1988" s="1291"/>
      <c r="F1988" s="1291"/>
      <c r="G1988"/>
    </row>
    <row r="1989" spans="1:7" ht="14.4" customHeight="1">
      <c r="A1989" s="687" t="s">
        <v>12553</v>
      </c>
      <c r="B1989" s="1194">
        <v>1</v>
      </c>
      <c r="C1989" s="1201" t="s">
        <v>5103</v>
      </c>
      <c r="D1989" s="1220"/>
      <c r="E1989" s="1171"/>
      <c r="F1989" s="1171"/>
      <c r="G1989"/>
    </row>
    <row r="1990" spans="1:7" ht="14.4" customHeight="1">
      <c r="A1990" s="687" t="s">
        <v>4136</v>
      </c>
      <c r="B1990" s="1195">
        <v>3</v>
      </c>
      <c r="C1990" s="1191" t="s">
        <v>7374</v>
      </c>
      <c r="D1990" s="1220"/>
      <c r="E1990" s="722"/>
      <c r="F1990" s="722"/>
      <c r="G1990"/>
    </row>
    <row r="1991" spans="1:7" ht="14.4" customHeight="1">
      <c r="A1991" s="687"/>
      <c r="B1991" s="1195">
        <v>3</v>
      </c>
      <c r="C1991" s="1191" t="s">
        <v>7375</v>
      </c>
      <c r="D1991" s="1220"/>
      <c r="E1991" s="722"/>
      <c r="F1991" s="722"/>
      <c r="G1991"/>
    </row>
    <row r="1992" spans="1:7" ht="14.4" customHeight="1">
      <c r="A1992" s="687" t="s">
        <v>12356</v>
      </c>
      <c r="B1992" s="1199">
        <v>1</v>
      </c>
      <c r="C1992" s="1205" t="s">
        <v>3366</v>
      </c>
      <c r="D1992" s="1221"/>
      <c r="E1992" s="1172"/>
      <c r="F1992" s="1172"/>
      <c r="G1992"/>
    </row>
    <row r="1993" spans="1:7" ht="14.4" customHeight="1">
      <c r="A1993" s="687" t="s">
        <v>3542</v>
      </c>
      <c r="B1993" s="1194"/>
      <c r="C1993" s="1218"/>
      <c r="D1993" s="1220"/>
      <c r="E1993" s="1171"/>
      <c r="F1993" s="1171"/>
      <c r="G1993"/>
    </row>
    <row r="1994" spans="1:7" ht="14.4" customHeight="1">
      <c r="A1994" s="687"/>
      <c r="B1994" s="1195"/>
      <c r="C1994" s="1629" t="s">
        <v>12368</v>
      </c>
      <c r="D1994" s="1220"/>
      <c r="E1994" s="722"/>
      <c r="F1994" s="722"/>
      <c r="G1994"/>
    </row>
    <row r="1995" spans="1:7" ht="14.4" customHeight="1">
      <c r="A1995" s="1767"/>
      <c r="B1995" s="1193"/>
      <c r="C1995" s="1201" t="s">
        <v>3158</v>
      </c>
      <c r="D1995" s="1312"/>
      <c r="E1995" s="1292"/>
      <c r="F1995" s="1292"/>
      <c r="G1995"/>
    </row>
    <row r="1996" spans="1:7" ht="14.4" customHeight="1">
      <c r="A1996" s="1767"/>
      <c r="B1996" s="1193">
        <v>1</v>
      </c>
      <c r="C1996" s="1202" t="s">
        <v>6599</v>
      </c>
      <c r="D1996" s="1312"/>
      <c r="E1996" s="1292"/>
      <c r="F1996" s="1292"/>
      <c r="G1996"/>
    </row>
    <row r="1997" spans="1:7" ht="14.4" customHeight="1">
      <c r="A1997" s="1767"/>
      <c r="B1997" s="1193"/>
      <c r="C1997" s="1202" t="s">
        <v>729</v>
      </c>
      <c r="D1997" s="1220"/>
      <c r="E1997" s="722"/>
      <c r="F1997" s="722"/>
      <c r="G1997"/>
    </row>
    <row r="1998" spans="1:7" ht="14.4" customHeight="1">
      <c r="A1998" s="691"/>
      <c r="B1998" s="1193"/>
      <c r="C1998" s="1627" t="s">
        <v>11663</v>
      </c>
      <c r="D1998" s="1312"/>
      <c r="E1998" s="722"/>
      <c r="F1998" s="722"/>
      <c r="G1998"/>
    </row>
    <row r="1999" spans="1:7" ht="14.4" customHeight="1">
      <c r="A1999" s="1767"/>
      <c r="B1999" s="1193">
        <v>1</v>
      </c>
      <c r="C1999" s="1202" t="s">
        <v>12165</v>
      </c>
      <c r="D1999" s="1312"/>
      <c r="E1999" s="722"/>
      <c r="F1999" s="722"/>
      <c r="G1999"/>
    </row>
    <row r="2000" spans="1:7" ht="14.4" customHeight="1">
      <c r="A2000" s="687"/>
      <c r="B2000" s="1193">
        <v>3</v>
      </c>
      <c r="C2000" s="1202" t="s">
        <v>8261</v>
      </c>
      <c r="D2000" s="1312"/>
      <c r="E2000" s="722"/>
      <c r="F2000" s="722"/>
      <c r="G2000"/>
    </row>
    <row r="2001" spans="1:7" ht="14.4" customHeight="1">
      <c r="A2001" s="687"/>
      <c r="B2001" s="1193">
        <v>5</v>
      </c>
      <c r="C2001" s="1202" t="s">
        <v>8288</v>
      </c>
      <c r="D2001" s="1312"/>
      <c r="E2001" s="722"/>
      <c r="F2001" s="722"/>
      <c r="G2001"/>
    </row>
    <row r="2002" spans="1:7" ht="14.4" customHeight="1">
      <c r="A2002" s="687"/>
      <c r="B2002" s="1193">
        <v>6</v>
      </c>
      <c r="C2002" s="1202" t="s">
        <v>8275</v>
      </c>
      <c r="D2002" s="1312"/>
      <c r="E2002" s="722"/>
      <c r="F2002" s="722"/>
      <c r="G2002"/>
    </row>
    <row r="2003" spans="1:7" ht="14.4" customHeight="1">
      <c r="A2003" s="693"/>
      <c r="B2003" s="1193"/>
      <c r="C2003" s="1202" t="s">
        <v>729</v>
      </c>
      <c r="D2003" s="1220"/>
      <c r="E2003" s="722"/>
      <c r="F2003" s="722"/>
      <c r="G2003"/>
    </row>
    <row r="2004" spans="1:7" ht="14.4" customHeight="1">
      <c r="A2004" s="1767"/>
      <c r="B2004" s="1196"/>
      <c r="C2004" s="1303" t="s">
        <v>3377</v>
      </c>
      <c r="D2004" s="1312"/>
      <c r="E2004" s="1292"/>
      <c r="F2004" s="1292"/>
      <c r="G2004"/>
    </row>
    <row r="2005" spans="1:7" ht="14.4" customHeight="1">
      <c r="A2005" s="1767"/>
      <c r="B2005" s="1193">
        <v>1</v>
      </c>
      <c r="C2005" s="1202" t="s">
        <v>6598</v>
      </c>
      <c r="D2005" s="1312"/>
      <c r="E2005" s="1291"/>
      <c r="F2005" s="1291"/>
      <c r="G2005"/>
    </row>
    <row r="2006" spans="1:7" ht="14.4" customHeight="1">
      <c r="A2006" s="1767"/>
      <c r="B2006" s="1193">
        <v>2</v>
      </c>
      <c r="C2006" s="1202" t="s">
        <v>6597</v>
      </c>
      <c r="D2006" s="1312"/>
      <c r="E2006" s="1291"/>
      <c r="F2006" s="1291"/>
      <c r="G2006"/>
    </row>
    <row r="2007" spans="1:7" ht="14.4" customHeight="1">
      <c r="A2007" s="691"/>
      <c r="B2007" s="1193">
        <v>1</v>
      </c>
      <c r="C2007" s="1202" t="s">
        <v>12434</v>
      </c>
      <c r="D2007" s="1312"/>
      <c r="E2007" s="1291"/>
      <c r="F2007" s="1291"/>
      <c r="G2007"/>
    </row>
    <row r="2008" spans="1:7" ht="14.4" customHeight="1">
      <c r="A2008" s="1767"/>
      <c r="B2008" s="1193">
        <v>1</v>
      </c>
      <c r="C2008" s="1202" t="s">
        <v>2933</v>
      </c>
      <c r="D2008" s="1312"/>
      <c r="E2008" s="1291"/>
      <c r="F2008" s="1291"/>
      <c r="G2008"/>
    </row>
    <row r="2009" spans="1:7" ht="14.4" customHeight="1">
      <c r="A2009" s="693"/>
      <c r="B2009" s="1193"/>
      <c r="C2009" s="1202" t="s">
        <v>729</v>
      </c>
      <c r="D2009" s="1220"/>
      <c r="E2009" s="722"/>
      <c r="F2009" s="722"/>
      <c r="G2009"/>
    </row>
    <row r="2010" spans="1:7" ht="14.4" customHeight="1">
      <c r="A2010" s="1767"/>
      <c r="B2010" s="1193">
        <v>1</v>
      </c>
      <c r="C2010" s="1304" t="s">
        <v>12364</v>
      </c>
      <c r="D2010" s="1312"/>
      <c r="E2010" s="1292"/>
      <c r="F2010" s="1292"/>
      <c r="G2010"/>
    </row>
    <row r="2011" spans="1:7" ht="14.4" customHeight="1">
      <c r="A2011" s="1767"/>
      <c r="B2011" s="1193">
        <v>1</v>
      </c>
      <c r="C2011" s="1304" t="s">
        <v>12474</v>
      </c>
      <c r="D2011" s="1312"/>
      <c r="E2011" s="1292"/>
      <c r="F2011" s="1292"/>
      <c r="G2011"/>
    </row>
    <row r="2012" spans="1:7" ht="14.4" customHeight="1">
      <c r="A2012" s="693"/>
      <c r="B2012" s="1193"/>
      <c r="C2012" s="1202" t="s">
        <v>729</v>
      </c>
      <c r="D2012" s="1220"/>
      <c r="E2012" s="722"/>
      <c r="F2012" s="722"/>
      <c r="G2012"/>
    </row>
    <row r="2013" spans="1:7" ht="14.4" customHeight="1">
      <c r="A2013" s="693"/>
      <c r="B2013" s="1193">
        <v>1</v>
      </c>
      <c r="C2013" s="1202" t="s">
        <v>316</v>
      </c>
      <c r="D2013" s="1122"/>
      <c r="E2013" s="1295"/>
      <c r="F2013" s="1295"/>
      <c r="G2013"/>
    </row>
    <row r="2014" spans="1:7" ht="14.4" customHeight="1">
      <c r="A2014" s="693"/>
      <c r="B2014" s="1193"/>
      <c r="C2014" s="1202" t="s">
        <v>729</v>
      </c>
      <c r="D2014" s="1220"/>
      <c r="E2014" s="722"/>
      <c r="F2014" s="722"/>
      <c r="G2014"/>
    </row>
    <row r="2015" spans="1:7" ht="14.4" customHeight="1" thickBot="1">
      <c r="A2015" s="699"/>
      <c r="B2015" s="1200"/>
      <c r="C2015" s="1305"/>
      <c r="D2015" s="1313"/>
      <c r="E2015" s="1297"/>
      <c r="F2015" s="1297"/>
      <c r="G2015"/>
    </row>
    <row r="2016" spans="1:7" ht="14.4" customHeight="1" thickBot="1">
      <c r="A2016" s="1989">
        <v>49</v>
      </c>
      <c r="B2016" s="1630">
        <v>1</v>
      </c>
      <c r="C2016" s="1329" t="s">
        <v>12610</v>
      </c>
      <c r="D2016" s="1219">
        <v>9267</v>
      </c>
      <c r="E2016" s="1289"/>
      <c r="F2016" s="1289">
        <v>9267</v>
      </c>
      <c r="G2016"/>
    </row>
    <row r="2017" spans="1:7" ht="14.4" customHeight="1">
      <c r="A2017" s="685" t="s">
        <v>3064</v>
      </c>
      <c r="B2017" s="2178"/>
      <c r="C2017" s="2179"/>
      <c r="D2017" s="1312"/>
      <c r="E2017" s="1291"/>
      <c r="F2017" s="1291"/>
      <c r="G2017"/>
    </row>
    <row r="2018" spans="1:7" ht="14.4" customHeight="1">
      <c r="A2018" s="687" t="s">
        <v>12553</v>
      </c>
      <c r="B2018" s="1194">
        <v>1</v>
      </c>
      <c r="C2018" s="1201" t="s">
        <v>5103</v>
      </c>
      <c r="D2018" s="1220"/>
      <c r="E2018" s="1171"/>
      <c r="F2018" s="1171"/>
      <c r="G2018"/>
    </row>
    <row r="2019" spans="1:7" ht="14.4" customHeight="1">
      <c r="A2019" s="687" t="s">
        <v>4136</v>
      </c>
      <c r="B2019" s="1195">
        <v>3</v>
      </c>
      <c r="C2019" s="1191" t="s">
        <v>7374</v>
      </c>
      <c r="D2019" s="1220"/>
      <c r="E2019" s="722"/>
      <c r="F2019" s="722"/>
      <c r="G2019"/>
    </row>
    <row r="2020" spans="1:7" ht="14.4" customHeight="1">
      <c r="A2020" s="687"/>
      <c r="B2020" s="1195">
        <v>3</v>
      </c>
      <c r="C2020" s="1191" t="s">
        <v>7375</v>
      </c>
      <c r="D2020" s="1220"/>
      <c r="E2020" s="722"/>
      <c r="F2020" s="722"/>
      <c r="G2020"/>
    </row>
    <row r="2021" spans="1:7" ht="14.4" customHeight="1">
      <c r="A2021" s="687" t="s">
        <v>12356</v>
      </c>
      <c r="B2021" s="1199">
        <v>1</v>
      </c>
      <c r="C2021" s="1205" t="s">
        <v>3366</v>
      </c>
      <c r="D2021" s="1221"/>
      <c r="E2021" s="1172"/>
      <c r="F2021" s="1172"/>
      <c r="G2021"/>
    </row>
    <row r="2022" spans="1:7" ht="14.4" customHeight="1">
      <c r="A2022" s="687" t="s">
        <v>3542</v>
      </c>
      <c r="B2022" s="1194"/>
      <c r="C2022" s="1218"/>
      <c r="D2022" s="1220"/>
      <c r="E2022" s="1171"/>
      <c r="F2022" s="1171"/>
      <c r="G2022"/>
    </row>
    <row r="2023" spans="1:7" ht="14.4" customHeight="1">
      <c r="A2023" s="687"/>
      <c r="B2023" s="1195"/>
      <c r="C2023" s="1629" t="s">
        <v>12368</v>
      </c>
      <c r="D2023" s="1220"/>
      <c r="E2023" s="722"/>
      <c r="F2023" s="722"/>
      <c r="G2023"/>
    </row>
    <row r="2024" spans="1:7" ht="14.4" customHeight="1">
      <c r="A2024" s="2073"/>
      <c r="B2024" s="1193"/>
      <c r="C2024" s="1201" t="s">
        <v>3158</v>
      </c>
      <c r="D2024" s="1312"/>
      <c r="E2024" s="1292"/>
      <c r="F2024" s="1292"/>
      <c r="G2024"/>
    </row>
    <row r="2025" spans="1:7" ht="14.4" customHeight="1">
      <c r="A2025" s="2073"/>
      <c r="B2025" s="1194">
        <v>1</v>
      </c>
      <c r="C2025" s="1202" t="s">
        <v>6605</v>
      </c>
      <c r="D2025" s="1312"/>
      <c r="E2025" s="1292"/>
      <c r="F2025" s="1292"/>
      <c r="G2025"/>
    </row>
    <row r="2026" spans="1:7" ht="14.4" customHeight="1">
      <c r="A2026" s="2073"/>
      <c r="B2026" s="1193"/>
      <c r="C2026" s="1202" t="s">
        <v>729</v>
      </c>
      <c r="D2026" s="1220"/>
      <c r="E2026" s="722"/>
      <c r="F2026" s="722"/>
      <c r="G2026"/>
    </row>
    <row r="2027" spans="1:7" ht="14.4" customHeight="1">
      <c r="A2027" s="2073"/>
      <c r="B2027" s="1196"/>
      <c r="C2027" s="1303" t="s">
        <v>9431</v>
      </c>
      <c r="D2027" s="1312"/>
      <c r="E2027" s="1292"/>
      <c r="F2027" s="1292"/>
      <c r="G2027"/>
    </row>
    <row r="2028" spans="1:7" ht="14.4" customHeight="1">
      <c r="A2028" s="2073"/>
      <c r="B2028" s="1193">
        <v>1</v>
      </c>
      <c r="C2028" s="1202" t="s">
        <v>6604</v>
      </c>
      <c r="D2028" s="1312"/>
      <c r="E2028" s="1291"/>
      <c r="F2028" s="1291"/>
      <c r="G2028"/>
    </row>
    <row r="2029" spans="1:7" ht="14.4" customHeight="1">
      <c r="A2029" s="2073"/>
      <c r="B2029" s="1193">
        <v>1</v>
      </c>
      <c r="C2029" s="1202" t="s">
        <v>6598</v>
      </c>
      <c r="D2029" s="1312"/>
      <c r="E2029" s="1291"/>
      <c r="F2029" s="1291"/>
      <c r="G2029"/>
    </row>
    <row r="2030" spans="1:7" ht="14.4" customHeight="1">
      <c r="A2030" s="2073"/>
      <c r="B2030" s="1196"/>
      <c r="C2030" s="1303" t="s">
        <v>12546</v>
      </c>
      <c r="D2030" s="1312"/>
      <c r="E2030" s="1292"/>
      <c r="F2030" s="1292"/>
      <c r="G2030"/>
    </row>
    <row r="2031" spans="1:7" ht="14.4" customHeight="1">
      <c r="A2031" s="2073"/>
      <c r="B2031" s="1193">
        <v>11</v>
      </c>
      <c r="C2031" s="1202" t="s">
        <v>4183</v>
      </c>
      <c r="D2031" s="1312"/>
      <c r="E2031" s="1291"/>
      <c r="F2031" s="1291"/>
      <c r="G2031"/>
    </row>
    <row r="2032" spans="1:7" ht="14.4" customHeight="1">
      <c r="A2032" s="2073"/>
      <c r="B2032" s="1193">
        <v>11</v>
      </c>
      <c r="C2032" s="1202" t="s">
        <v>5319</v>
      </c>
      <c r="D2032" s="1312"/>
      <c r="E2032" s="1291"/>
      <c r="F2032" s="1291"/>
      <c r="G2032"/>
    </row>
    <row r="2033" spans="1:7" ht="14.4" customHeight="1">
      <c r="A2033" s="2073"/>
      <c r="B2033" s="1193">
        <v>1</v>
      </c>
      <c r="C2033" s="1202" t="s">
        <v>2924</v>
      </c>
      <c r="D2033" s="1312"/>
      <c r="E2033" s="1291"/>
      <c r="F2033" s="1291"/>
      <c r="G2033"/>
    </row>
    <row r="2034" spans="1:7" ht="14.4" customHeight="1">
      <c r="A2034" s="2073"/>
      <c r="B2034" s="1193"/>
      <c r="C2034" s="1202" t="s">
        <v>729</v>
      </c>
      <c r="D2034" s="1220"/>
      <c r="E2034" s="722"/>
      <c r="F2034" s="722"/>
      <c r="G2034"/>
    </row>
    <row r="2035" spans="1:7" ht="14.4" customHeight="1">
      <c r="A2035" s="2073"/>
      <c r="B2035" s="1196"/>
      <c r="C2035" s="1303" t="s">
        <v>12547</v>
      </c>
      <c r="D2035" s="1312"/>
      <c r="E2035" s="1292"/>
      <c r="F2035" s="1292"/>
      <c r="G2035"/>
    </row>
    <row r="2036" spans="1:7" ht="14.4" customHeight="1">
      <c r="A2036" s="2073"/>
      <c r="B2036" s="1193">
        <v>1</v>
      </c>
      <c r="C2036" s="1202" t="s">
        <v>6603</v>
      </c>
      <c r="D2036" s="1312"/>
      <c r="E2036" s="1291"/>
      <c r="F2036" s="1291"/>
      <c r="G2036"/>
    </row>
    <row r="2037" spans="1:7" ht="14.4" customHeight="1">
      <c r="A2037" s="2073"/>
      <c r="B2037" s="1193">
        <v>14</v>
      </c>
      <c r="C2037" s="1202" t="s">
        <v>4183</v>
      </c>
      <c r="D2037" s="1312"/>
      <c r="E2037" s="1291"/>
      <c r="F2037" s="1291"/>
      <c r="G2037"/>
    </row>
    <row r="2038" spans="1:7" ht="14.4" customHeight="1">
      <c r="A2038" s="2073"/>
      <c r="B2038" s="1193">
        <v>14</v>
      </c>
      <c r="C2038" s="1202" t="s">
        <v>5319</v>
      </c>
      <c r="D2038" s="1312"/>
      <c r="E2038" s="1291"/>
      <c r="F2038" s="1291"/>
      <c r="G2038"/>
    </row>
    <row r="2039" spans="1:7" ht="14.4" customHeight="1">
      <c r="A2039" s="2073"/>
      <c r="B2039" s="1193">
        <v>2</v>
      </c>
      <c r="C2039" s="1202" t="s">
        <v>2922</v>
      </c>
      <c r="D2039" s="1312"/>
      <c r="E2039" s="1291"/>
      <c r="F2039" s="1291"/>
      <c r="G2039"/>
    </row>
    <row r="2040" spans="1:7" ht="14.4" customHeight="1">
      <c r="A2040" s="2073"/>
      <c r="B2040" s="1193"/>
      <c r="C2040" s="1202" t="s">
        <v>729</v>
      </c>
      <c r="D2040" s="1220"/>
      <c r="E2040" s="722"/>
      <c r="F2040" s="722"/>
      <c r="G2040"/>
    </row>
    <row r="2041" spans="1:7" ht="14.4" customHeight="1">
      <c r="A2041" s="693"/>
      <c r="B2041" s="1196">
        <v>1</v>
      </c>
      <c r="C2041" s="1201" t="s">
        <v>12423</v>
      </c>
      <c r="D2041" s="1220"/>
      <c r="E2041" s="1171"/>
      <c r="F2041" s="1171"/>
      <c r="G2041"/>
    </row>
    <row r="2042" spans="1:7" ht="14.4" customHeight="1">
      <c r="A2042" s="691"/>
      <c r="B2042" s="1193">
        <v>1</v>
      </c>
      <c r="C2042" s="1202" t="s">
        <v>1157</v>
      </c>
      <c r="D2042" s="1312"/>
      <c r="E2042" s="1291"/>
      <c r="F2042" s="1291"/>
      <c r="G2042"/>
    </row>
    <row r="2043" spans="1:7" ht="14.4" customHeight="1">
      <c r="A2043" s="691"/>
      <c r="B2043" s="1193">
        <v>1</v>
      </c>
      <c r="C2043" s="1202" t="s">
        <v>2426</v>
      </c>
      <c r="D2043" s="1312"/>
      <c r="E2043" s="1291"/>
      <c r="F2043" s="1291"/>
      <c r="G2043"/>
    </row>
    <row r="2044" spans="1:7" ht="14.4" customHeight="1">
      <c r="A2044" s="691"/>
      <c r="B2044" s="1193">
        <v>1</v>
      </c>
      <c r="C2044" s="1202" t="s">
        <v>4660</v>
      </c>
      <c r="D2044" s="1312"/>
      <c r="E2044" s="1291"/>
      <c r="F2044" s="1291"/>
      <c r="G2044"/>
    </row>
    <row r="2045" spans="1:7" ht="14.4" customHeight="1">
      <c r="A2045" s="692"/>
      <c r="B2045" s="1193"/>
      <c r="C2045" s="1202" t="s">
        <v>729</v>
      </c>
      <c r="D2045" s="1220"/>
      <c r="E2045" s="722"/>
      <c r="F2045" s="722"/>
      <c r="G2045"/>
    </row>
    <row r="2046" spans="1:7" ht="14.4" customHeight="1">
      <c r="A2046" s="693"/>
      <c r="B2046" s="1196">
        <v>3</v>
      </c>
      <c r="C2046" s="1201" t="s">
        <v>12445</v>
      </c>
      <c r="D2046" s="1220"/>
      <c r="E2046" s="1171"/>
      <c r="F2046" s="1171"/>
      <c r="G2046"/>
    </row>
    <row r="2047" spans="1:7" ht="14.4" customHeight="1">
      <c r="A2047" s="691"/>
      <c r="B2047" s="1193">
        <v>1</v>
      </c>
      <c r="C2047" s="1202" t="s">
        <v>1157</v>
      </c>
      <c r="D2047" s="1312"/>
      <c r="E2047" s="1291"/>
      <c r="F2047" s="1291"/>
      <c r="G2047"/>
    </row>
    <row r="2048" spans="1:7" ht="14.4" customHeight="1">
      <c r="A2048" s="691"/>
      <c r="B2048" s="1193">
        <v>1</v>
      </c>
      <c r="C2048" s="1202" t="s">
        <v>2426</v>
      </c>
      <c r="D2048" s="1312"/>
      <c r="E2048" s="1291"/>
      <c r="F2048" s="1291"/>
      <c r="G2048"/>
    </row>
    <row r="2049" spans="1:7" ht="14.4" customHeight="1">
      <c r="A2049" s="693"/>
      <c r="B2049" s="1193">
        <v>1</v>
      </c>
      <c r="C2049" s="1202" t="s">
        <v>2436</v>
      </c>
      <c r="D2049" s="1312"/>
      <c r="E2049" s="1291"/>
      <c r="F2049" s="1291"/>
      <c r="G2049"/>
    </row>
    <row r="2050" spans="1:7" ht="14.4" customHeight="1">
      <c r="A2050" s="693"/>
      <c r="B2050" s="1193"/>
      <c r="C2050" s="1202" t="s">
        <v>729</v>
      </c>
      <c r="D2050" s="1220"/>
      <c r="E2050" s="722"/>
      <c r="F2050" s="722"/>
      <c r="G2050"/>
    </row>
    <row r="2051" spans="1:7" ht="14.4" customHeight="1">
      <c r="A2051" s="693"/>
      <c r="B2051" s="1193">
        <v>1</v>
      </c>
      <c r="C2051" s="1304" t="s">
        <v>12444</v>
      </c>
      <c r="D2051" s="1312"/>
      <c r="E2051" s="1292"/>
      <c r="F2051" s="1292"/>
      <c r="G2051"/>
    </row>
    <row r="2052" spans="1:7" ht="14.4" customHeight="1">
      <c r="A2052" s="693"/>
      <c r="B2052" s="1193"/>
      <c r="C2052" s="1202" t="s">
        <v>729</v>
      </c>
      <c r="D2052" s="1220"/>
      <c r="E2052" s="722"/>
      <c r="F2052" s="722"/>
      <c r="G2052"/>
    </row>
    <row r="2053" spans="1:7" ht="14.4" customHeight="1">
      <c r="A2053" s="693"/>
      <c r="B2053" s="1193"/>
      <c r="C2053" s="1633"/>
      <c r="D2053" s="1220"/>
      <c r="E2053" s="722"/>
      <c r="F2053" s="722"/>
      <c r="G2053"/>
    </row>
    <row r="2054" spans="1:7" ht="14.4" customHeight="1">
      <c r="A2054" s="1767"/>
      <c r="B2054" s="1193">
        <v>1</v>
      </c>
      <c r="C2054" s="1304" t="s">
        <v>12364</v>
      </c>
      <c r="D2054" s="1312"/>
      <c r="E2054" s="1292"/>
      <c r="F2054" s="1292"/>
      <c r="G2054"/>
    </row>
    <row r="2055" spans="1:7" ht="14.4" customHeight="1">
      <c r="A2055" s="1767"/>
      <c r="B2055" s="1193">
        <v>1</v>
      </c>
      <c r="C2055" s="1304" t="s">
        <v>12474</v>
      </c>
      <c r="D2055" s="1312"/>
      <c r="E2055" s="1292"/>
      <c r="F2055" s="1292"/>
      <c r="G2055"/>
    </row>
    <row r="2056" spans="1:7" ht="14.4" customHeight="1">
      <c r="A2056" s="693"/>
      <c r="B2056" s="1193"/>
      <c r="C2056" s="1202" t="s">
        <v>729</v>
      </c>
      <c r="D2056" s="1220"/>
      <c r="E2056" s="722"/>
      <c r="F2056" s="722"/>
      <c r="G2056"/>
    </row>
    <row r="2057" spans="1:7" ht="14.4" customHeight="1">
      <c r="A2057" s="693"/>
      <c r="B2057" s="1193">
        <v>1</v>
      </c>
      <c r="C2057" s="1202" t="s">
        <v>316</v>
      </c>
      <c r="D2057" s="1122"/>
      <c r="E2057" s="1295"/>
      <c r="F2057" s="1295"/>
      <c r="G2057"/>
    </row>
    <row r="2058" spans="1:7" ht="14.4" customHeight="1">
      <c r="A2058" s="693"/>
      <c r="B2058" s="1193"/>
      <c r="C2058" s="1202" t="s">
        <v>729</v>
      </c>
      <c r="D2058" s="1220"/>
      <c r="E2058" s="722"/>
      <c r="F2058" s="722"/>
      <c r="G2058"/>
    </row>
    <row r="2059" spans="1:7" ht="14.4" customHeight="1">
      <c r="A2059" s="693"/>
      <c r="B2059" s="1193"/>
      <c r="C2059" s="1202" t="s">
        <v>729</v>
      </c>
      <c r="D2059" s="1220"/>
      <c r="E2059" s="722"/>
      <c r="F2059" s="722"/>
      <c r="G2059"/>
    </row>
    <row r="2060" spans="1:7" ht="14.4" customHeight="1">
      <c r="A2060" s="1767"/>
      <c r="B2060" s="1193"/>
      <c r="C2060" s="2180" t="s">
        <v>12544</v>
      </c>
      <c r="D2060" s="1312"/>
      <c r="E2060" s="1292"/>
      <c r="F2060" s="1292"/>
      <c r="G2060"/>
    </row>
    <row r="2061" spans="1:7" ht="14.4" customHeight="1">
      <c r="A2061" s="1767"/>
      <c r="B2061" s="1193"/>
      <c r="C2061" s="2181"/>
      <c r="D2061" s="1312"/>
      <c r="E2061" s="1292"/>
      <c r="F2061" s="1292"/>
      <c r="G2061"/>
    </row>
    <row r="2062" spans="1:7" ht="14.4" customHeight="1">
      <c r="A2062" s="1638"/>
      <c r="B2062" s="1193">
        <v>1</v>
      </c>
      <c r="C2062" s="1202" t="s">
        <v>3412</v>
      </c>
      <c r="D2062" s="1220"/>
      <c r="E2062" s="1171"/>
      <c r="F2062" s="1171"/>
      <c r="G2062"/>
    </row>
    <row r="2063" spans="1:7" ht="14.4" customHeight="1">
      <c r="A2063" s="1638"/>
      <c r="B2063" s="1193">
        <v>1</v>
      </c>
      <c r="C2063" s="1202" t="s">
        <v>3413</v>
      </c>
      <c r="D2063" s="1220"/>
      <c r="E2063" s="1171"/>
      <c r="F2063" s="1171"/>
      <c r="G2063"/>
    </row>
    <row r="2064" spans="1:7" ht="14.4" customHeight="1" thickBot="1">
      <c r="A2064" s="1855"/>
      <c r="B2064" s="2182"/>
      <c r="C2064" s="1631"/>
      <c r="D2064" s="1641"/>
      <c r="E2064" s="1632"/>
      <c r="F2064" s="1632"/>
      <c r="G2064"/>
    </row>
    <row r="2065" spans="1:7" ht="14.4" customHeight="1" thickBot="1">
      <c r="A2065" s="1989">
        <v>50</v>
      </c>
      <c r="B2065" s="1630">
        <v>1</v>
      </c>
      <c r="C2065" s="1329" t="s">
        <v>12611</v>
      </c>
      <c r="D2065" s="1219">
        <v>4884</v>
      </c>
      <c r="E2065" s="1289"/>
      <c r="F2065" s="1289">
        <v>4884</v>
      </c>
      <c r="G2065"/>
    </row>
    <row r="2066" spans="1:7" ht="14.4" customHeight="1">
      <c r="A2066" s="685" t="s">
        <v>3064</v>
      </c>
      <c r="B2066" s="2178"/>
      <c r="C2066" s="2179"/>
      <c r="D2066" s="1312"/>
      <c r="E2066" s="1291"/>
      <c r="F2066" s="1291"/>
      <c r="G2066"/>
    </row>
    <row r="2067" spans="1:7" ht="14.4" customHeight="1">
      <c r="A2067" s="687" t="s">
        <v>12553</v>
      </c>
      <c r="B2067" s="1194">
        <v>1</v>
      </c>
      <c r="C2067" s="1201" t="s">
        <v>5103</v>
      </c>
      <c r="D2067" s="1220"/>
      <c r="E2067" s="1171"/>
      <c r="F2067" s="1171"/>
      <c r="G2067"/>
    </row>
    <row r="2068" spans="1:7" ht="14.4" customHeight="1">
      <c r="A2068" s="687" t="s">
        <v>4136</v>
      </c>
      <c r="B2068" s="1195">
        <v>3</v>
      </c>
      <c r="C2068" s="1191" t="s">
        <v>7374</v>
      </c>
      <c r="D2068" s="1220"/>
      <c r="E2068" s="722"/>
      <c r="F2068" s="722"/>
      <c r="G2068"/>
    </row>
    <row r="2069" spans="1:7" ht="14.4" customHeight="1">
      <c r="A2069" s="687"/>
      <c r="B2069" s="1195">
        <v>3</v>
      </c>
      <c r="C2069" s="1191" t="s">
        <v>7375</v>
      </c>
      <c r="D2069" s="1220"/>
      <c r="E2069" s="722"/>
      <c r="F2069" s="722"/>
      <c r="G2069"/>
    </row>
    <row r="2070" spans="1:7" ht="14.4" customHeight="1">
      <c r="A2070" s="687" t="s">
        <v>12356</v>
      </c>
      <c r="B2070" s="1199">
        <v>1</v>
      </c>
      <c r="C2070" s="1205" t="s">
        <v>3366</v>
      </c>
      <c r="D2070" s="1221"/>
      <c r="E2070" s="1172"/>
      <c r="F2070" s="1172"/>
      <c r="G2070"/>
    </row>
    <row r="2071" spans="1:7" ht="14.4" customHeight="1">
      <c r="A2071" s="687" t="s">
        <v>3542</v>
      </c>
      <c r="B2071" s="1194"/>
      <c r="C2071" s="1218"/>
      <c r="D2071" s="1220"/>
      <c r="E2071" s="1171"/>
      <c r="F2071" s="1171"/>
      <c r="G2071"/>
    </row>
    <row r="2072" spans="1:7" ht="14.4" customHeight="1">
      <c r="A2072" s="687"/>
      <c r="B2072" s="1195"/>
      <c r="C2072" s="1629" t="s">
        <v>12368</v>
      </c>
      <c r="D2072" s="1220"/>
      <c r="E2072" s="722"/>
      <c r="F2072" s="722"/>
      <c r="G2072"/>
    </row>
    <row r="2073" spans="1:7" ht="14.4" customHeight="1">
      <c r="A2073" s="2073"/>
      <c r="B2073" s="1193"/>
      <c r="C2073" s="1201" t="s">
        <v>3158</v>
      </c>
      <c r="D2073" s="1312"/>
      <c r="E2073" s="1292"/>
      <c r="F2073" s="1292"/>
      <c r="G2073"/>
    </row>
    <row r="2074" spans="1:7" ht="14.4" customHeight="1">
      <c r="A2074" s="687"/>
      <c r="B2074" s="1194">
        <v>1</v>
      </c>
      <c r="C2074" s="1202" t="s">
        <v>6598</v>
      </c>
      <c r="D2074" s="1312"/>
      <c r="E2074" s="1292"/>
      <c r="F2074" s="1292"/>
      <c r="G2074"/>
    </row>
    <row r="2075" spans="1:7" ht="14.4" customHeight="1">
      <c r="A2075" s="687"/>
      <c r="B2075" s="1193"/>
      <c r="C2075" s="1202" t="s">
        <v>729</v>
      </c>
      <c r="D2075" s="1220"/>
      <c r="E2075" s="722"/>
      <c r="F2075" s="722"/>
      <c r="G2075"/>
    </row>
    <row r="2076" spans="1:7" ht="14.4" customHeight="1">
      <c r="A2076" s="687"/>
      <c r="B2076" s="1196"/>
      <c r="C2076" s="1303" t="s">
        <v>9431</v>
      </c>
      <c r="D2076" s="1312"/>
      <c r="E2076" s="1292"/>
      <c r="F2076" s="1292"/>
      <c r="G2076"/>
    </row>
    <row r="2077" spans="1:7" ht="14.4" customHeight="1">
      <c r="A2077" s="2073"/>
      <c r="B2077" s="1193">
        <v>2</v>
      </c>
      <c r="C2077" s="1202" t="s">
        <v>4206</v>
      </c>
      <c r="D2077" s="1312"/>
      <c r="E2077" s="1291"/>
      <c r="F2077" s="1291"/>
      <c r="G2077"/>
    </row>
    <row r="2078" spans="1:7" ht="14.4" customHeight="1">
      <c r="A2078" s="2073"/>
      <c r="B2078" s="1196"/>
      <c r="C2078" s="1303" t="s">
        <v>12546</v>
      </c>
      <c r="D2078" s="1312"/>
      <c r="E2078" s="1292"/>
      <c r="F2078" s="1292"/>
      <c r="G2078"/>
    </row>
    <row r="2079" spans="1:7" ht="14.4" customHeight="1">
      <c r="A2079" s="2073"/>
      <c r="B2079" s="1193">
        <v>1</v>
      </c>
      <c r="C2079" s="1202" t="s">
        <v>4205</v>
      </c>
      <c r="D2079" s="1312"/>
      <c r="E2079" s="1291"/>
      <c r="F2079" s="1291"/>
      <c r="G2079"/>
    </row>
    <row r="2080" spans="1:7" ht="14.4" customHeight="1">
      <c r="A2080" s="2073"/>
      <c r="B2080" s="1193">
        <v>1</v>
      </c>
      <c r="C2080" s="1202" t="s">
        <v>5328</v>
      </c>
      <c r="D2080" s="1312"/>
      <c r="E2080" s="1291"/>
      <c r="F2080" s="1291"/>
      <c r="G2080"/>
    </row>
    <row r="2081" spans="1:7" ht="14.4" customHeight="1">
      <c r="A2081" s="2073"/>
      <c r="B2081" s="1193">
        <v>3</v>
      </c>
      <c r="C2081" s="1202" t="s">
        <v>4183</v>
      </c>
      <c r="D2081" s="1312"/>
      <c r="E2081" s="1291"/>
      <c r="F2081" s="1291"/>
      <c r="G2081"/>
    </row>
    <row r="2082" spans="1:7" ht="14.4" customHeight="1">
      <c r="A2082" s="2073"/>
      <c r="B2082" s="1193">
        <v>11</v>
      </c>
      <c r="C2082" s="1202" t="s">
        <v>5319</v>
      </c>
      <c r="D2082" s="1312"/>
      <c r="E2082" s="1291"/>
      <c r="F2082" s="1291"/>
      <c r="G2082"/>
    </row>
    <row r="2083" spans="1:7" ht="14.4" customHeight="1">
      <c r="A2083" s="2073"/>
      <c r="B2083" s="1193">
        <v>1</v>
      </c>
      <c r="C2083" s="1202" t="s">
        <v>2924</v>
      </c>
      <c r="D2083" s="1312"/>
      <c r="E2083" s="1291"/>
      <c r="F2083" s="1291"/>
      <c r="G2083"/>
    </row>
    <row r="2084" spans="1:7" ht="14.4" customHeight="1">
      <c r="A2084" s="2073"/>
      <c r="B2084" s="1193"/>
      <c r="C2084" s="1202" t="s">
        <v>729</v>
      </c>
      <c r="D2084" s="1220"/>
      <c r="E2084" s="722"/>
      <c r="F2084" s="722"/>
      <c r="G2084"/>
    </row>
    <row r="2085" spans="1:7" ht="14.4" customHeight="1">
      <c r="A2085" s="2073"/>
      <c r="B2085" s="1196"/>
      <c r="C2085" s="1303" t="s">
        <v>12547</v>
      </c>
      <c r="D2085" s="1312"/>
      <c r="E2085" s="1292"/>
      <c r="F2085" s="1292"/>
      <c r="G2085"/>
    </row>
    <row r="2086" spans="1:7" ht="14.4" customHeight="1">
      <c r="A2086" s="2073"/>
      <c r="B2086" s="1193">
        <v>3</v>
      </c>
      <c r="C2086" s="1202" t="s">
        <v>4183</v>
      </c>
      <c r="D2086" s="1312"/>
      <c r="E2086" s="1291"/>
      <c r="F2086" s="1291"/>
      <c r="G2086"/>
    </row>
    <row r="2087" spans="1:7" ht="14.4" customHeight="1">
      <c r="A2087" s="2073"/>
      <c r="B2087" s="1193">
        <v>3</v>
      </c>
      <c r="C2087" s="1202" t="s">
        <v>5319</v>
      </c>
      <c r="D2087" s="1312"/>
      <c r="E2087" s="1291"/>
      <c r="F2087" s="1291"/>
      <c r="G2087"/>
    </row>
    <row r="2088" spans="1:7" ht="14.4" customHeight="1">
      <c r="A2088" s="2073"/>
      <c r="B2088" s="1193">
        <v>1</v>
      </c>
      <c r="C2088" s="1202" t="s">
        <v>2922</v>
      </c>
      <c r="D2088" s="1312"/>
      <c r="E2088" s="1291"/>
      <c r="F2088" s="1291"/>
      <c r="G2088"/>
    </row>
    <row r="2089" spans="1:7" ht="14.4" customHeight="1">
      <c r="A2089" s="2073"/>
      <c r="B2089" s="1193"/>
      <c r="C2089" s="1202" t="s">
        <v>729</v>
      </c>
      <c r="D2089" s="1220"/>
      <c r="E2089" s="722"/>
      <c r="F2089" s="722"/>
      <c r="G2089"/>
    </row>
    <row r="2090" spans="1:7" ht="14.4" customHeight="1">
      <c r="A2090" s="693"/>
      <c r="B2090" s="1196">
        <v>1</v>
      </c>
      <c r="C2090" s="1201" t="s">
        <v>12423</v>
      </c>
      <c r="D2090" s="1220"/>
      <c r="E2090" s="1171"/>
      <c r="F2090" s="1171"/>
      <c r="G2090"/>
    </row>
    <row r="2091" spans="1:7" ht="14.4" customHeight="1">
      <c r="A2091" s="691"/>
      <c r="B2091" s="1193">
        <v>1</v>
      </c>
      <c r="C2091" s="1202" t="s">
        <v>1157</v>
      </c>
      <c r="D2091" s="1312"/>
      <c r="E2091" s="1291"/>
      <c r="F2091" s="1291"/>
      <c r="G2091"/>
    </row>
    <row r="2092" spans="1:7" ht="14.4" customHeight="1">
      <c r="A2092" s="691"/>
      <c r="B2092" s="1193">
        <v>1</v>
      </c>
      <c r="C2092" s="1202" t="s">
        <v>2426</v>
      </c>
      <c r="D2092" s="1312"/>
      <c r="E2092" s="1291"/>
      <c r="F2092" s="1291"/>
      <c r="G2092"/>
    </row>
    <row r="2093" spans="1:7" ht="14.4" customHeight="1">
      <c r="A2093" s="691"/>
      <c r="B2093" s="1193">
        <v>1</v>
      </c>
      <c r="C2093" s="1202" t="s">
        <v>4660</v>
      </c>
      <c r="D2093" s="1312"/>
      <c r="E2093" s="1291"/>
      <c r="F2093" s="1291"/>
      <c r="G2093"/>
    </row>
    <row r="2094" spans="1:7" ht="14.4" customHeight="1">
      <c r="A2094" s="692"/>
      <c r="B2094" s="1193"/>
      <c r="C2094" s="1202" t="s">
        <v>729</v>
      </c>
      <c r="D2094" s="1220"/>
      <c r="E2094" s="722"/>
      <c r="F2094" s="722"/>
      <c r="G2094"/>
    </row>
    <row r="2095" spans="1:7" ht="14.4" customHeight="1">
      <c r="A2095" s="693"/>
      <c r="B2095" s="1193">
        <v>1</v>
      </c>
      <c r="C2095" s="1304" t="s">
        <v>12444</v>
      </c>
      <c r="D2095" s="1312"/>
      <c r="E2095" s="1292"/>
      <c r="F2095" s="1292"/>
      <c r="G2095"/>
    </row>
    <row r="2096" spans="1:7" ht="14.4" customHeight="1">
      <c r="A2096" s="693"/>
      <c r="B2096" s="1193"/>
      <c r="C2096" s="1202" t="s">
        <v>729</v>
      </c>
      <c r="D2096" s="1220"/>
      <c r="E2096" s="722"/>
      <c r="F2096" s="722"/>
      <c r="G2096"/>
    </row>
    <row r="2097" spans="1:7" ht="14.4" customHeight="1">
      <c r="A2097" s="1767"/>
      <c r="B2097" s="1193">
        <v>1</v>
      </c>
      <c r="C2097" s="1304" t="s">
        <v>12364</v>
      </c>
      <c r="D2097" s="1312"/>
      <c r="E2097" s="1292"/>
      <c r="F2097" s="1292"/>
      <c r="G2097"/>
    </row>
    <row r="2098" spans="1:7" ht="14.4" customHeight="1">
      <c r="A2098" s="1767"/>
      <c r="B2098" s="1193">
        <v>1</v>
      </c>
      <c r="C2098" s="1304" t="s">
        <v>12474</v>
      </c>
      <c r="D2098" s="1312"/>
      <c r="E2098" s="1292"/>
      <c r="F2098" s="1292"/>
      <c r="G2098"/>
    </row>
    <row r="2099" spans="1:7" ht="14.4" customHeight="1">
      <c r="A2099" s="693"/>
      <c r="B2099" s="1193"/>
      <c r="C2099" s="1202" t="s">
        <v>729</v>
      </c>
      <c r="D2099" s="1220"/>
      <c r="E2099" s="722"/>
      <c r="F2099" s="722"/>
      <c r="G2099"/>
    </row>
    <row r="2100" spans="1:7" ht="14.4" customHeight="1">
      <c r="A2100" s="693"/>
      <c r="B2100" s="1193">
        <v>1</v>
      </c>
      <c r="C2100" s="1202" t="s">
        <v>316</v>
      </c>
      <c r="D2100" s="1122"/>
      <c r="E2100" s="1295"/>
      <c r="F2100" s="1295"/>
      <c r="G2100"/>
    </row>
    <row r="2101" spans="1:7" ht="14.4" customHeight="1">
      <c r="A2101" s="693"/>
      <c r="B2101" s="1193"/>
      <c r="C2101" s="1202" t="s">
        <v>729</v>
      </c>
      <c r="D2101" s="1220"/>
      <c r="E2101" s="722"/>
      <c r="F2101" s="722"/>
      <c r="G2101"/>
    </row>
    <row r="2102" spans="1:7" ht="14.4" customHeight="1">
      <c r="A2102" s="693"/>
      <c r="B2102" s="1193"/>
      <c r="C2102" s="1202" t="s">
        <v>729</v>
      </c>
      <c r="D2102" s="1220"/>
      <c r="E2102" s="722"/>
      <c r="F2102" s="722"/>
      <c r="G2102"/>
    </row>
    <row r="2103" spans="1:7" ht="14.4" customHeight="1">
      <c r="A2103" s="1767"/>
      <c r="B2103" s="1193"/>
      <c r="C2103" s="2180" t="s">
        <v>12516</v>
      </c>
      <c r="D2103" s="1312"/>
      <c r="E2103" s="1292"/>
      <c r="F2103" s="1292"/>
      <c r="G2103"/>
    </row>
    <row r="2104" spans="1:7" ht="14.4" customHeight="1">
      <c r="A2104" s="1767"/>
      <c r="B2104" s="1193"/>
      <c r="C2104" s="2181"/>
      <c r="D2104" s="1312"/>
      <c r="E2104" s="1292"/>
      <c r="F2104" s="1292"/>
      <c r="G2104"/>
    </row>
    <row r="2105" spans="1:7" ht="14.4" customHeight="1">
      <c r="A2105" s="1638"/>
      <c r="B2105" s="1193">
        <v>1</v>
      </c>
      <c r="C2105" s="1202" t="s">
        <v>3412</v>
      </c>
      <c r="D2105" s="1220"/>
      <c r="E2105" s="1171"/>
      <c r="F2105" s="1171"/>
      <c r="G2105"/>
    </row>
    <row r="2106" spans="1:7" ht="14.4" customHeight="1">
      <c r="A2106" s="1638"/>
      <c r="B2106" s="1193">
        <v>1</v>
      </c>
      <c r="C2106" s="1202" t="s">
        <v>3413</v>
      </c>
      <c r="D2106" s="1220"/>
      <c r="E2106" s="1171"/>
      <c r="F2106" s="1171"/>
      <c r="G2106"/>
    </row>
    <row r="2107" spans="1:7" ht="14.4" customHeight="1" thickBot="1">
      <c r="A2107" s="1855"/>
      <c r="B2107" s="2182"/>
      <c r="C2107" s="1631"/>
      <c r="D2107" s="1641"/>
      <c r="E2107" s="1632"/>
      <c r="F2107" s="1632"/>
      <c r="G2107"/>
    </row>
    <row r="2108" spans="1:7" ht="14.4" customHeight="1" thickBot="1">
      <c r="A2108" s="1989">
        <v>51</v>
      </c>
      <c r="B2108" s="1630">
        <v>1</v>
      </c>
      <c r="C2108" s="1329" t="s">
        <v>12612</v>
      </c>
      <c r="D2108" s="1219">
        <v>3280</v>
      </c>
      <c r="E2108" s="1289"/>
      <c r="F2108" s="1289">
        <v>3280</v>
      </c>
      <c r="G2108"/>
    </row>
    <row r="2109" spans="1:7" ht="14.4" customHeight="1">
      <c r="A2109" s="685" t="s">
        <v>3064</v>
      </c>
      <c r="B2109" s="2178"/>
      <c r="C2109" s="2179"/>
      <c r="D2109" s="1312"/>
      <c r="E2109" s="1291"/>
      <c r="F2109" s="1291"/>
      <c r="G2109"/>
    </row>
    <row r="2110" spans="1:7" ht="14.4" customHeight="1">
      <c r="A2110" s="687" t="s">
        <v>12553</v>
      </c>
      <c r="B2110" s="1194">
        <v>1</v>
      </c>
      <c r="C2110" s="1201" t="s">
        <v>5103</v>
      </c>
      <c r="D2110" s="1220"/>
      <c r="E2110" s="1171"/>
      <c r="F2110" s="1171"/>
      <c r="G2110"/>
    </row>
    <row r="2111" spans="1:7" ht="14.4" customHeight="1">
      <c r="A2111" s="687" t="s">
        <v>4136</v>
      </c>
      <c r="B2111" s="1195">
        <v>3</v>
      </c>
      <c r="C2111" s="1191" t="s">
        <v>7374</v>
      </c>
      <c r="D2111" s="1220"/>
      <c r="E2111" s="722"/>
      <c r="F2111" s="722"/>
      <c r="G2111"/>
    </row>
    <row r="2112" spans="1:7" ht="14.4" customHeight="1">
      <c r="A2112" s="687"/>
      <c r="B2112" s="1195">
        <v>3</v>
      </c>
      <c r="C2112" s="1191" t="s">
        <v>7375</v>
      </c>
      <c r="D2112" s="1220"/>
      <c r="E2112" s="722"/>
      <c r="F2112" s="722"/>
      <c r="G2112"/>
    </row>
    <row r="2113" spans="1:7" ht="14.4" customHeight="1">
      <c r="A2113" s="687" t="s">
        <v>12356</v>
      </c>
      <c r="B2113" s="1199">
        <v>1</v>
      </c>
      <c r="C2113" s="1205" t="s">
        <v>3366</v>
      </c>
      <c r="D2113" s="1221"/>
      <c r="E2113" s="1172"/>
      <c r="F2113" s="1172"/>
      <c r="G2113"/>
    </row>
    <row r="2114" spans="1:7" ht="14.4" customHeight="1">
      <c r="A2114" s="687" t="s">
        <v>3542</v>
      </c>
      <c r="B2114" s="1194"/>
      <c r="C2114" s="1218"/>
      <c r="D2114" s="1220"/>
      <c r="E2114" s="1171"/>
      <c r="F2114" s="1171"/>
      <c r="G2114"/>
    </row>
    <row r="2115" spans="1:7" ht="14.4" customHeight="1">
      <c r="A2115" s="2073"/>
      <c r="B2115" s="1195"/>
      <c r="C2115" s="1629" t="s">
        <v>12368</v>
      </c>
      <c r="D2115" s="1220"/>
      <c r="E2115" s="722"/>
      <c r="F2115" s="722"/>
      <c r="G2115"/>
    </row>
    <row r="2116" spans="1:7" ht="14.4" customHeight="1">
      <c r="A2116" s="1767"/>
      <c r="B2116" s="1193"/>
      <c r="C2116" s="1201" t="s">
        <v>3158</v>
      </c>
      <c r="D2116" s="1312"/>
      <c r="E2116" s="1292"/>
      <c r="F2116" s="1292"/>
      <c r="G2116"/>
    </row>
    <row r="2117" spans="1:7" ht="14.4" customHeight="1">
      <c r="A2117" s="687"/>
      <c r="B2117" s="1193">
        <v>1</v>
      </c>
      <c r="C2117" s="1202" t="s">
        <v>6604</v>
      </c>
      <c r="D2117" s="1312"/>
      <c r="E2117" s="1292"/>
      <c r="F2117" s="1292"/>
      <c r="G2117"/>
    </row>
    <row r="2118" spans="1:7" ht="14.4" customHeight="1">
      <c r="A2118" s="2073"/>
      <c r="B2118" s="1193"/>
      <c r="C2118" s="1202" t="s">
        <v>729</v>
      </c>
      <c r="D2118" s="1220"/>
      <c r="E2118" s="722"/>
      <c r="F2118" s="722"/>
      <c r="G2118"/>
    </row>
    <row r="2119" spans="1:7" ht="14.4" customHeight="1">
      <c r="A2119" s="2073"/>
      <c r="B2119" s="1196"/>
      <c r="C2119" s="1303" t="s">
        <v>3377</v>
      </c>
      <c r="D2119" s="1312"/>
      <c r="E2119" s="1292"/>
      <c r="F2119" s="1292"/>
      <c r="G2119"/>
    </row>
    <row r="2120" spans="1:7" ht="14.4" customHeight="1">
      <c r="A2120" s="2073"/>
      <c r="B2120" s="1193">
        <v>2</v>
      </c>
      <c r="C2120" s="1202" t="s">
        <v>4310</v>
      </c>
      <c r="D2120" s="1312"/>
      <c r="E2120" s="1291"/>
      <c r="F2120" s="1291"/>
      <c r="G2120"/>
    </row>
    <row r="2121" spans="1:7" ht="14.4" customHeight="1">
      <c r="A2121" s="1767"/>
      <c r="B2121" s="1193">
        <v>5</v>
      </c>
      <c r="C2121" s="1202" t="s">
        <v>4185</v>
      </c>
      <c r="D2121" s="1312"/>
      <c r="E2121" s="1291"/>
      <c r="F2121" s="1291"/>
      <c r="G2121"/>
    </row>
    <row r="2122" spans="1:7" ht="14.4" customHeight="1">
      <c r="A2122" s="1767"/>
      <c r="B2122" s="1193">
        <v>3</v>
      </c>
      <c r="C2122" s="1202" t="s">
        <v>4184</v>
      </c>
      <c r="D2122" s="1312"/>
      <c r="E2122" s="1291"/>
      <c r="F2122" s="1291"/>
      <c r="G2122"/>
    </row>
    <row r="2123" spans="1:7" ht="14.4" customHeight="1">
      <c r="A2123" s="1767"/>
      <c r="B2123" s="1193">
        <v>5</v>
      </c>
      <c r="C2123" s="1202" t="s">
        <v>4183</v>
      </c>
      <c r="D2123" s="1312"/>
      <c r="E2123" s="1291"/>
      <c r="F2123" s="1291"/>
      <c r="G2123"/>
    </row>
    <row r="2124" spans="1:7" ht="14.4" customHeight="1">
      <c r="A2124" s="1767"/>
      <c r="B2124" s="1193">
        <v>1</v>
      </c>
      <c r="C2124" s="1202" t="s">
        <v>2925</v>
      </c>
      <c r="D2124" s="1312"/>
      <c r="E2124" s="1291"/>
      <c r="F2124" s="1291"/>
      <c r="G2124"/>
    </row>
    <row r="2125" spans="1:7" ht="14.4" customHeight="1">
      <c r="A2125" s="692"/>
      <c r="B2125" s="1193"/>
      <c r="C2125" s="1202" t="s">
        <v>729</v>
      </c>
      <c r="D2125" s="1220"/>
      <c r="E2125" s="722"/>
      <c r="F2125" s="722"/>
      <c r="G2125"/>
    </row>
    <row r="2126" spans="1:7" ht="14.4" customHeight="1">
      <c r="A2126" s="1767"/>
      <c r="B2126" s="1193">
        <v>1</v>
      </c>
      <c r="C2126" s="1304" t="s">
        <v>12364</v>
      </c>
      <c r="D2126" s="1312"/>
      <c r="E2126" s="1292"/>
      <c r="F2126" s="1292"/>
      <c r="G2126"/>
    </row>
    <row r="2127" spans="1:7" ht="14.4" customHeight="1">
      <c r="A2127" s="1767"/>
      <c r="B2127" s="1193">
        <v>1</v>
      </c>
      <c r="C2127" s="1304" t="s">
        <v>12474</v>
      </c>
      <c r="D2127" s="1312"/>
      <c r="E2127" s="1292"/>
      <c r="F2127" s="1292"/>
      <c r="G2127"/>
    </row>
    <row r="2128" spans="1:7" ht="14.4" customHeight="1">
      <c r="A2128" s="693"/>
      <c r="B2128" s="1193"/>
      <c r="C2128" s="1202" t="s">
        <v>729</v>
      </c>
      <c r="D2128" s="1220"/>
      <c r="E2128" s="722"/>
      <c r="F2128" s="722"/>
      <c r="G2128"/>
    </row>
    <row r="2129" spans="1:7" ht="14.4" customHeight="1">
      <c r="A2129" s="693"/>
      <c r="B2129" s="1193">
        <v>1</v>
      </c>
      <c r="C2129" s="1202" t="s">
        <v>316</v>
      </c>
      <c r="D2129" s="1122"/>
      <c r="E2129" s="1295"/>
      <c r="F2129" s="1295"/>
      <c r="G2129"/>
    </row>
    <row r="2130" spans="1:7" ht="14.4" customHeight="1">
      <c r="A2130" s="693"/>
      <c r="B2130" s="1193"/>
      <c r="C2130" s="1202" t="s">
        <v>729</v>
      </c>
      <c r="D2130" s="1220"/>
      <c r="E2130" s="722"/>
      <c r="F2130" s="722"/>
      <c r="G2130"/>
    </row>
    <row r="2131" spans="1:7" ht="14.4" customHeight="1" thickBot="1">
      <c r="A2131" s="1855"/>
      <c r="B2131" s="2182"/>
      <c r="C2131" s="1631"/>
      <c r="D2131" s="1641"/>
      <c r="E2131" s="1632"/>
      <c r="F2131" s="1632"/>
      <c r="G2131"/>
    </row>
    <row r="2132" spans="1:7" ht="14.4" customHeight="1" thickBot="1">
      <c r="A2132" s="1989">
        <v>52</v>
      </c>
      <c r="B2132" s="1630">
        <v>1</v>
      </c>
      <c r="C2132" s="1329" t="s">
        <v>12613</v>
      </c>
      <c r="D2132" s="1219">
        <v>4841</v>
      </c>
      <c r="E2132" s="1289"/>
      <c r="F2132" s="1289">
        <v>4841</v>
      </c>
      <c r="G2132"/>
    </row>
    <row r="2133" spans="1:7" ht="14.4" customHeight="1">
      <c r="A2133" s="685" t="s">
        <v>3064</v>
      </c>
      <c r="B2133" s="2178"/>
      <c r="C2133" s="2179"/>
      <c r="D2133" s="1312"/>
      <c r="E2133" s="1291"/>
      <c r="F2133" s="1291"/>
      <c r="G2133"/>
    </row>
    <row r="2134" spans="1:7" ht="14.4" customHeight="1">
      <c r="A2134" s="687" t="s">
        <v>12553</v>
      </c>
      <c r="B2134" s="1194">
        <v>1</v>
      </c>
      <c r="C2134" s="1201" t="s">
        <v>5103</v>
      </c>
      <c r="D2134" s="1220"/>
      <c r="E2134" s="1171"/>
      <c r="F2134" s="1171"/>
      <c r="G2134"/>
    </row>
    <row r="2135" spans="1:7" ht="14.4" customHeight="1">
      <c r="A2135" s="687" t="s">
        <v>4136</v>
      </c>
      <c r="B2135" s="1195">
        <v>3</v>
      </c>
      <c r="C2135" s="1191" t="s">
        <v>7374</v>
      </c>
      <c r="D2135" s="1220"/>
      <c r="E2135" s="722"/>
      <c r="F2135" s="722"/>
      <c r="G2135"/>
    </row>
    <row r="2136" spans="1:7" ht="14.4" customHeight="1">
      <c r="A2136" s="687"/>
      <c r="B2136" s="1195">
        <v>3</v>
      </c>
      <c r="C2136" s="1191" t="s">
        <v>7375</v>
      </c>
      <c r="D2136" s="1220"/>
      <c r="E2136" s="722"/>
      <c r="F2136" s="722"/>
      <c r="G2136"/>
    </row>
    <row r="2137" spans="1:7" ht="14.4" customHeight="1">
      <c r="A2137" s="687" t="s">
        <v>12356</v>
      </c>
      <c r="B2137" s="1199">
        <v>1</v>
      </c>
      <c r="C2137" s="1205" t="s">
        <v>3366</v>
      </c>
      <c r="D2137" s="1221"/>
      <c r="E2137" s="1172"/>
      <c r="F2137" s="1172"/>
      <c r="G2137"/>
    </row>
    <row r="2138" spans="1:7" ht="14.4" customHeight="1">
      <c r="A2138" s="687" t="s">
        <v>3542</v>
      </c>
      <c r="B2138" s="1194"/>
      <c r="C2138" s="1218"/>
      <c r="D2138" s="1220"/>
      <c r="E2138" s="1171"/>
      <c r="F2138" s="1171"/>
      <c r="G2138"/>
    </row>
    <row r="2139" spans="1:7" ht="14.4" customHeight="1">
      <c r="A2139" s="2073"/>
      <c r="B2139" s="1192"/>
      <c r="C2139" s="1304" t="s">
        <v>729</v>
      </c>
      <c r="D2139" s="1312"/>
      <c r="E2139" s="1291"/>
      <c r="F2139" s="1291"/>
      <c r="G2139"/>
    </row>
    <row r="2140" spans="1:7" ht="14.4" customHeight="1">
      <c r="A2140" s="2073"/>
      <c r="B2140" s="1193"/>
      <c r="C2140" s="1201" t="s">
        <v>3158</v>
      </c>
      <c r="D2140" s="1312"/>
      <c r="E2140" s="1292"/>
      <c r="F2140" s="1292"/>
      <c r="G2140"/>
    </row>
    <row r="2141" spans="1:7" ht="14.4" customHeight="1">
      <c r="A2141" s="2073"/>
      <c r="B2141" s="1194">
        <v>1</v>
      </c>
      <c r="C2141" s="1202" t="s">
        <v>6599</v>
      </c>
      <c r="D2141" s="1312"/>
      <c r="E2141" s="1292"/>
      <c r="F2141" s="1292"/>
      <c r="G2141"/>
    </row>
    <row r="2142" spans="1:7" ht="14.4" customHeight="1">
      <c r="A2142" s="2073"/>
      <c r="B2142" s="1193"/>
      <c r="C2142" s="1202" t="s">
        <v>729</v>
      </c>
      <c r="D2142" s="1220"/>
      <c r="E2142" s="722"/>
      <c r="F2142" s="722"/>
      <c r="G2142"/>
    </row>
    <row r="2143" spans="1:7" ht="14.4" customHeight="1">
      <c r="A2143" s="2073"/>
      <c r="B2143" s="1196"/>
      <c r="C2143" s="1303" t="s">
        <v>9431</v>
      </c>
      <c r="D2143" s="2197"/>
      <c r="E2143" s="1292"/>
      <c r="F2143" s="1292"/>
      <c r="G2143"/>
    </row>
    <row r="2144" spans="1:7" ht="14.4" customHeight="1">
      <c r="A2144" s="2073"/>
      <c r="B2144" s="1193">
        <v>1</v>
      </c>
      <c r="C2144" s="1202" t="s">
        <v>4206</v>
      </c>
      <c r="D2144" s="2198"/>
      <c r="E2144" s="1291"/>
      <c r="F2144" s="1291"/>
      <c r="G2144"/>
    </row>
    <row r="2145" spans="1:7" ht="14.4" customHeight="1">
      <c r="A2145" s="2073"/>
      <c r="B2145" s="1193">
        <v>1</v>
      </c>
      <c r="C2145" s="1202" t="s">
        <v>4205</v>
      </c>
      <c r="D2145" s="2199"/>
      <c r="E2145" s="1291"/>
      <c r="F2145" s="1291"/>
      <c r="G2145"/>
    </row>
    <row r="2146" spans="1:7" ht="14.4" customHeight="1">
      <c r="A2146" s="2073"/>
      <c r="B2146" s="1196"/>
      <c r="C2146" s="1303" t="s">
        <v>12546</v>
      </c>
      <c r="D2146" s="2119"/>
      <c r="E2146" s="1292"/>
      <c r="F2146" s="1292"/>
      <c r="G2146"/>
    </row>
    <row r="2147" spans="1:7" ht="14.4" customHeight="1">
      <c r="A2147" s="2073"/>
      <c r="B2147" s="1193">
        <v>5</v>
      </c>
      <c r="C2147" s="1202" t="s">
        <v>4183</v>
      </c>
      <c r="D2147" s="2119"/>
      <c r="E2147" s="1291"/>
      <c r="F2147" s="1291"/>
      <c r="G2147"/>
    </row>
    <row r="2148" spans="1:7" ht="14.4" customHeight="1">
      <c r="A2148" s="2073"/>
      <c r="B2148" s="1193">
        <v>5</v>
      </c>
      <c r="C2148" s="1202" t="s">
        <v>5319</v>
      </c>
      <c r="D2148" s="1586"/>
      <c r="E2148" s="1291"/>
      <c r="F2148" s="1291"/>
      <c r="G2148"/>
    </row>
    <row r="2149" spans="1:7" ht="14.4" customHeight="1">
      <c r="A2149" s="693"/>
      <c r="B2149" s="1193">
        <v>1</v>
      </c>
      <c r="C2149" s="1202" t="s">
        <v>2924</v>
      </c>
      <c r="D2149" s="2119"/>
      <c r="E2149" s="1291"/>
      <c r="F2149" s="1291"/>
      <c r="G2149"/>
    </row>
    <row r="2150" spans="1:7" ht="14.4" customHeight="1">
      <c r="A2150" s="691"/>
      <c r="B2150" s="1193"/>
      <c r="C2150" s="1202" t="s">
        <v>729</v>
      </c>
      <c r="D2150" s="2199"/>
      <c r="E2150" s="722"/>
      <c r="F2150" s="722"/>
      <c r="G2150"/>
    </row>
    <row r="2151" spans="1:7" ht="14.4" customHeight="1">
      <c r="A2151" s="692"/>
      <c r="B2151" s="1196"/>
      <c r="C2151" s="1303" t="s">
        <v>12547</v>
      </c>
      <c r="D2151" s="2199"/>
      <c r="E2151" s="1292"/>
      <c r="F2151" s="1292"/>
      <c r="G2151"/>
    </row>
    <row r="2152" spans="1:7" ht="14.4" customHeight="1">
      <c r="A2152" s="693"/>
      <c r="B2152" s="1193">
        <v>1</v>
      </c>
      <c r="C2152" s="1202" t="s">
        <v>4205</v>
      </c>
      <c r="D2152" s="2119"/>
      <c r="E2152" s="1291"/>
      <c r="F2152" s="1291"/>
      <c r="G2152"/>
    </row>
    <row r="2153" spans="1:7" ht="14.4" customHeight="1">
      <c r="A2153" s="691"/>
      <c r="B2153" s="1193">
        <v>4</v>
      </c>
      <c r="C2153" s="1202" t="s">
        <v>4183</v>
      </c>
      <c r="D2153" s="2119"/>
      <c r="E2153" s="1291"/>
      <c r="F2153" s="1291"/>
      <c r="G2153"/>
    </row>
    <row r="2154" spans="1:7" ht="14.4" customHeight="1">
      <c r="A2154" s="691"/>
      <c r="B2154" s="1193">
        <v>1</v>
      </c>
      <c r="C2154" s="1202" t="s">
        <v>2922</v>
      </c>
      <c r="D2154" s="2119"/>
      <c r="E2154" s="1291"/>
      <c r="F2154" s="1291"/>
      <c r="G2154"/>
    </row>
    <row r="2155" spans="1:7" ht="14.4" customHeight="1">
      <c r="A2155" s="693"/>
      <c r="B2155" s="1193"/>
      <c r="C2155" s="1202" t="s">
        <v>729</v>
      </c>
      <c r="D2155" s="2199"/>
      <c r="E2155" s="722"/>
      <c r="F2155" s="722"/>
      <c r="G2155"/>
    </row>
    <row r="2156" spans="1:7" ht="14.4" customHeight="1">
      <c r="A2156" s="691"/>
      <c r="B2156" s="1196"/>
      <c r="C2156" s="1201" t="s">
        <v>3063</v>
      </c>
      <c r="D2156" s="2119"/>
      <c r="E2156" s="1171"/>
      <c r="F2156" s="1171"/>
      <c r="G2156"/>
    </row>
    <row r="2157" spans="1:7" ht="14.4" customHeight="1">
      <c r="A2157" s="692"/>
      <c r="B2157" s="1193">
        <v>1</v>
      </c>
      <c r="C2157" s="1202" t="s">
        <v>4207</v>
      </c>
      <c r="D2157" s="2119"/>
      <c r="E2157" s="1291"/>
      <c r="F2157" s="1291"/>
      <c r="G2157"/>
    </row>
    <row r="2158" spans="1:7" ht="14.4" customHeight="1">
      <c r="A2158" s="693"/>
      <c r="B2158" s="1193">
        <v>1</v>
      </c>
      <c r="C2158" s="1202" t="s">
        <v>6456</v>
      </c>
      <c r="D2158" s="2119"/>
      <c r="E2158" s="1291"/>
      <c r="F2158" s="1291"/>
      <c r="G2158"/>
    </row>
    <row r="2159" spans="1:7" ht="14.4" customHeight="1">
      <c r="A2159" s="691"/>
      <c r="B2159" s="1193"/>
      <c r="C2159" s="1202" t="s">
        <v>729</v>
      </c>
      <c r="D2159" s="1586"/>
      <c r="E2159" s="722"/>
      <c r="F2159" s="722"/>
      <c r="G2159"/>
    </row>
    <row r="2160" spans="1:7" ht="14.4" customHeight="1">
      <c r="A2160" s="693"/>
      <c r="B2160" s="1196">
        <v>1</v>
      </c>
      <c r="C2160" s="1201" t="s">
        <v>12423</v>
      </c>
      <c r="D2160" s="2200"/>
      <c r="E2160" s="1171"/>
      <c r="F2160" s="1171"/>
      <c r="G2160"/>
    </row>
    <row r="2161" spans="1:7" ht="14.4" customHeight="1">
      <c r="A2161" s="691"/>
      <c r="B2161" s="1193">
        <v>1</v>
      </c>
      <c r="C2161" s="1202" t="s">
        <v>1157</v>
      </c>
      <c r="D2161" s="2200"/>
      <c r="E2161" s="1291"/>
      <c r="F2161" s="1291"/>
      <c r="G2161"/>
    </row>
    <row r="2162" spans="1:7" ht="14.4" customHeight="1">
      <c r="A2162" s="691"/>
      <c r="B2162" s="1193">
        <v>1</v>
      </c>
      <c r="C2162" s="1202" t="s">
        <v>2426</v>
      </c>
      <c r="D2162" s="2200"/>
      <c r="E2162" s="1291"/>
      <c r="F2162" s="1291"/>
      <c r="G2162"/>
    </row>
    <row r="2163" spans="1:7" ht="14.4" customHeight="1">
      <c r="A2163" s="691"/>
      <c r="B2163" s="1193">
        <v>1</v>
      </c>
      <c r="C2163" s="1202" t="s">
        <v>4660</v>
      </c>
      <c r="D2163" s="2198"/>
      <c r="E2163" s="1291"/>
      <c r="F2163" s="1291"/>
      <c r="G2163"/>
    </row>
    <row r="2164" spans="1:7" ht="14.4" customHeight="1">
      <c r="A2164" s="692"/>
      <c r="B2164" s="1193"/>
      <c r="C2164" s="1202" t="s">
        <v>729</v>
      </c>
      <c r="D2164" s="2201"/>
      <c r="E2164" s="722"/>
      <c r="F2164" s="722"/>
      <c r="G2164"/>
    </row>
    <row r="2165" spans="1:7" ht="14.4" customHeight="1">
      <c r="A2165" s="693"/>
      <c r="B2165" s="1196">
        <v>1</v>
      </c>
      <c r="C2165" s="1201" t="s">
        <v>12445</v>
      </c>
      <c r="D2165" s="2119"/>
      <c r="E2165" s="1171"/>
      <c r="F2165" s="1171"/>
      <c r="G2165"/>
    </row>
    <row r="2166" spans="1:7" ht="14.4" customHeight="1">
      <c r="A2166" s="691"/>
      <c r="B2166" s="1193">
        <v>1</v>
      </c>
      <c r="C2166" s="1202" t="s">
        <v>1157</v>
      </c>
      <c r="D2166" s="2201"/>
      <c r="E2166" s="1291"/>
      <c r="F2166" s="1291"/>
      <c r="G2166"/>
    </row>
    <row r="2167" spans="1:7" ht="14.4" customHeight="1">
      <c r="A2167" s="691"/>
      <c r="B2167" s="1193">
        <v>1</v>
      </c>
      <c r="C2167" s="1202" t="s">
        <v>2426</v>
      </c>
      <c r="D2167" s="1312"/>
      <c r="E2167" s="1291"/>
      <c r="F2167" s="1291"/>
      <c r="G2167"/>
    </row>
    <row r="2168" spans="1:7" ht="14.4" customHeight="1">
      <c r="A2168" s="693"/>
      <c r="B2168" s="1193">
        <v>1</v>
      </c>
      <c r="C2168" s="1202" t="s">
        <v>2436</v>
      </c>
      <c r="D2168" s="1312"/>
      <c r="E2168" s="1291"/>
      <c r="F2168" s="1291"/>
      <c r="G2168"/>
    </row>
    <row r="2169" spans="1:7" ht="14.4" customHeight="1">
      <c r="A2169" s="693"/>
      <c r="B2169" s="1193"/>
      <c r="C2169" s="1202" t="s">
        <v>729</v>
      </c>
      <c r="D2169" s="1220"/>
      <c r="E2169" s="722"/>
      <c r="F2169" s="722"/>
      <c r="G2169"/>
    </row>
    <row r="2170" spans="1:7" ht="14.4" customHeight="1">
      <c r="A2170" s="1767"/>
      <c r="B2170" s="1193">
        <v>1</v>
      </c>
      <c r="C2170" s="1304" t="s">
        <v>12364</v>
      </c>
      <c r="D2170" s="1312"/>
      <c r="E2170" s="1292"/>
      <c r="F2170" s="1292"/>
      <c r="G2170"/>
    </row>
    <row r="2171" spans="1:7" ht="14.4" customHeight="1">
      <c r="A2171" s="1767"/>
      <c r="B2171" s="1193">
        <v>1</v>
      </c>
      <c r="C2171" s="1304" t="s">
        <v>12474</v>
      </c>
      <c r="D2171" s="1312"/>
      <c r="E2171" s="1292"/>
      <c r="F2171" s="1292"/>
      <c r="G2171"/>
    </row>
    <row r="2172" spans="1:7" ht="14.4" customHeight="1">
      <c r="A2172" s="693"/>
      <c r="B2172" s="1193"/>
      <c r="C2172" s="1202" t="s">
        <v>729</v>
      </c>
      <c r="D2172" s="1220"/>
      <c r="E2172" s="722"/>
      <c r="F2172" s="722"/>
      <c r="G2172"/>
    </row>
    <row r="2173" spans="1:7" ht="14.4" customHeight="1">
      <c r="A2173" s="693"/>
      <c r="B2173" s="1193">
        <v>1</v>
      </c>
      <c r="C2173" s="1202" t="s">
        <v>316</v>
      </c>
      <c r="D2173" s="1122"/>
      <c r="E2173" s="1295"/>
      <c r="F2173" s="1295"/>
      <c r="G2173"/>
    </row>
    <row r="2174" spans="1:7" ht="14.4" customHeight="1">
      <c r="A2174" s="693"/>
      <c r="B2174" s="1193"/>
      <c r="C2174" s="1202" t="s">
        <v>729</v>
      </c>
      <c r="D2174" s="1220"/>
      <c r="E2174" s="722"/>
      <c r="F2174" s="722"/>
      <c r="G2174"/>
    </row>
    <row r="2175" spans="1:7" ht="14.4" customHeight="1" thickBot="1">
      <c r="A2175" s="1855"/>
      <c r="B2175" s="2182"/>
      <c r="C2175" s="1631"/>
      <c r="D2175" s="1641"/>
      <c r="E2175" s="1632"/>
      <c r="F2175" s="1632"/>
      <c r="G2175"/>
    </row>
    <row r="2176" spans="1:7" ht="14.4" customHeight="1" thickBot="1">
      <c r="A2176" s="1989">
        <v>53</v>
      </c>
      <c r="B2176" s="1630">
        <v>1</v>
      </c>
      <c r="C2176" s="1329" t="s">
        <v>12614</v>
      </c>
      <c r="D2176" s="1219">
        <v>3566</v>
      </c>
      <c r="E2176" s="1289"/>
      <c r="F2176" s="1289">
        <v>3566</v>
      </c>
      <c r="G2176"/>
    </row>
    <row r="2177" spans="1:7" ht="14.4" customHeight="1">
      <c r="A2177" s="685" t="s">
        <v>3064</v>
      </c>
      <c r="B2177" s="2178"/>
      <c r="C2177" s="2179"/>
      <c r="D2177" s="1312"/>
      <c r="E2177" s="1291"/>
      <c r="F2177" s="1291"/>
      <c r="G2177"/>
    </row>
    <row r="2178" spans="1:7" ht="14.4" customHeight="1">
      <c r="A2178" s="687" t="s">
        <v>12553</v>
      </c>
      <c r="B2178" s="1194">
        <v>1</v>
      </c>
      <c r="C2178" s="1201" t="s">
        <v>5103</v>
      </c>
      <c r="D2178" s="1220"/>
      <c r="E2178" s="1171"/>
      <c r="F2178" s="1171"/>
      <c r="G2178"/>
    </row>
    <row r="2179" spans="1:7" ht="14.4" customHeight="1">
      <c r="A2179" s="687" t="s">
        <v>4136</v>
      </c>
      <c r="B2179" s="1195">
        <v>3</v>
      </c>
      <c r="C2179" s="1191" t="s">
        <v>7374</v>
      </c>
      <c r="D2179" s="1220"/>
      <c r="E2179" s="722"/>
      <c r="F2179" s="722"/>
      <c r="G2179"/>
    </row>
    <row r="2180" spans="1:7" ht="14.4" customHeight="1">
      <c r="A2180" s="687"/>
      <c r="B2180" s="1195">
        <v>3</v>
      </c>
      <c r="C2180" s="1191" t="s">
        <v>7375</v>
      </c>
      <c r="D2180" s="1220"/>
      <c r="E2180" s="722"/>
      <c r="F2180" s="722"/>
      <c r="G2180"/>
    </row>
    <row r="2181" spans="1:7" ht="14.4" customHeight="1">
      <c r="A2181" s="687" t="s">
        <v>12356</v>
      </c>
      <c r="B2181" s="1199">
        <v>1</v>
      </c>
      <c r="C2181" s="1205" t="s">
        <v>3366</v>
      </c>
      <c r="D2181" s="1221"/>
      <c r="E2181" s="1172"/>
      <c r="F2181" s="1172"/>
      <c r="G2181"/>
    </row>
    <row r="2182" spans="1:7" ht="14.4" customHeight="1">
      <c r="A2182" s="687" t="s">
        <v>3542</v>
      </c>
      <c r="B2182" s="1194"/>
      <c r="C2182" s="1218"/>
      <c r="D2182" s="1220"/>
      <c r="E2182" s="1171"/>
      <c r="F2182" s="1171"/>
      <c r="G2182"/>
    </row>
    <row r="2183" spans="1:7" ht="14.4" customHeight="1">
      <c r="A2183" s="2073"/>
      <c r="B2183" s="1192"/>
      <c r="C2183" s="1304" t="s">
        <v>729</v>
      </c>
      <c r="D2183" s="1312"/>
      <c r="E2183" s="1291"/>
      <c r="F2183" s="1291"/>
      <c r="G2183"/>
    </row>
    <row r="2184" spans="1:7" ht="14.4" customHeight="1">
      <c r="A2184" s="693"/>
      <c r="B2184" s="1193"/>
      <c r="C2184" s="1201" t="s">
        <v>3158</v>
      </c>
      <c r="D2184" s="1312"/>
      <c r="E2184" s="1292"/>
      <c r="F2184" s="1292"/>
      <c r="G2184"/>
    </row>
    <row r="2185" spans="1:7" ht="14.4" customHeight="1">
      <c r="A2185" s="693"/>
      <c r="B2185" s="1194">
        <v>1</v>
      </c>
      <c r="C2185" s="1202" t="s">
        <v>6597</v>
      </c>
      <c r="D2185" s="1312"/>
      <c r="E2185" s="1292"/>
      <c r="F2185" s="1292"/>
      <c r="G2185"/>
    </row>
    <row r="2186" spans="1:7" ht="14.4" customHeight="1">
      <c r="A2186" s="693"/>
      <c r="B2186" s="1193"/>
      <c r="C2186" s="1202" t="s">
        <v>729</v>
      </c>
      <c r="D2186" s="1220"/>
      <c r="E2186" s="722"/>
      <c r="F2186" s="722"/>
      <c r="G2186"/>
    </row>
    <row r="2187" spans="1:7" ht="14.4" customHeight="1">
      <c r="A2187" s="693"/>
      <c r="B2187" s="1196"/>
      <c r="C2187" s="1303" t="s">
        <v>9431</v>
      </c>
      <c r="D2187" s="2197"/>
      <c r="E2187" s="1292"/>
      <c r="F2187" s="1292"/>
      <c r="G2187"/>
    </row>
    <row r="2188" spans="1:7" ht="14.4" customHeight="1">
      <c r="A2188" s="2073"/>
      <c r="B2188" s="1193">
        <v>2</v>
      </c>
      <c r="C2188" s="1202" t="s">
        <v>4205</v>
      </c>
      <c r="D2188" s="2199"/>
      <c r="E2188" s="1291"/>
      <c r="F2188" s="1291"/>
      <c r="G2188"/>
    </row>
    <row r="2189" spans="1:7" ht="14.4" customHeight="1">
      <c r="A2189" s="693"/>
      <c r="B2189" s="1196"/>
      <c r="C2189" s="1303" t="s">
        <v>12546</v>
      </c>
      <c r="D2189" s="2119"/>
      <c r="E2189" s="1292"/>
      <c r="F2189" s="1292"/>
      <c r="G2189"/>
    </row>
    <row r="2190" spans="1:7" ht="14.4" customHeight="1">
      <c r="A2190" s="693"/>
      <c r="B2190" s="1193">
        <v>3</v>
      </c>
      <c r="C2190" s="1202" t="s">
        <v>4183</v>
      </c>
      <c r="D2190" s="2119"/>
      <c r="E2190" s="1291"/>
      <c r="F2190" s="1291"/>
      <c r="G2190"/>
    </row>
    <row r="2191" spans="1:7" ht="14.4" customHeight="1">
      <c r="A2191" s="693"/>
      <c r="B2191" s="1193">
        <v>3</v>
      </c>
      <c r="C2191" s="1202" t="s">
        <v>5319</v>
      </c>
      <c r="D2191" s="1586"/>
      <c r="E2191" s="1291"/>
      <c r="F2191" s="1291"/>
      <c r="G2191"/>
    </row>
    <row r="2192" spans="1:7" ht="14.4" customHeight="1">
      <c r="A2192" s="693"/>
      <c r="B2192" s="1193">
        <v>1</v>
      </c>
      <c r="C2192" s="1202" t="s">
        <v>2924</v>
      </c>
      <c r="D2192" s="2119"/>
      <c r="E2192" s="1291"/>
      <c r="F2192" s="1291"/>
      <c r="G2192"/>
    </row>
    <row r="2193" spans="1:7" ht="14.4" customHeight="1">
      <c r="A2193" s="693"/>
      <c r="B2193" s="1193"/>
      <c r="C2193" s="1202" t="s">
        <v>729</v>
      </c>
      <c r="D2193" s="2199"/>
      <c r="E2193" s="722"/>
      <c r="F2193" s="722"/>
      <c r="G2193"/>
    </row>
    <row r="2194" spans="1:7" ht="14.4" customHeight="1">
      <c r="A2194" s="693"/>
      <c r="B2194" s="1196"/>
      <c r="C2194" s="1303" t="s">
        <v>12547</v>
      </c>
      <c r="D2194" s="2199"/>
      <c r="E2194" s="1292"/>
      <c r="F2194" s="1292"/>
      <c r="G2194"/>
    </row>
    <row r="2195" spans="1:7" ht="14.4" customHeight="1">
      <c r="A2195" s="693"/>
      <c r="B2195" s="1193">
        <v>2</v>
      </c>
      <c r="C2195" s="1202" t="s">
        <v>4183</v>
      </c>
      <c r="D2195" s="2119"/>
      <c r="E2195" s="1291"/>
      <c r="F2195" s="1291"/>
      <c r="G2195"/>
    </row>
    <row r="2196" spans="1:7" ht="14.4" customHeight="1">
      <c r="A2196" s="693"/>
      <c r="B2196" s="1193">
        <v>1</v>
      </c>
      <c r="C2196" s="1202" t="s">
        <v>2925</v>
      </c>
      <c r="D2196" s="2119"/>
      <c r="E2196" s="1291"/>
      <c r="F2196" s="1291"/>
      <c r="G2196"/>
    </row>
    <row r="2197" spans="1:7" ht="14.4" customHeight="1">
      <c r="A2197" s="693"/>
      <c r="B2197" s="1193"/>
      <c r="C2197" s="1202" t="s">
        <v>729</v>
      </c>
      <c r="D2197" s="2199"/>
      <c r="E2197" s="722"/>
      <c r="F2197" s="722"/>
      <c r="G2197"/>
    </row>
    <row r="2198" spans="1:7" ht="14.4" customHeight="1">
      <c r="A2198" s="693"/>
      <c r="B2198" s="1196"/>
      <c r="C2198" s="1201" t="s">
        <v>3063</v>
      </c>
      <c r="D2198" s="1220"/>
      <c r="E2198" s="1171"/>
      <c r="F2198" s="1171"/>
      <c r="G2198"/>
    </row>
    <row r="2199" spans="1:7" ht="14.4" customHeight="1">
      <c r="A2199" s="691"/>
      <c r="B2199" s="1193">
        <v>1</v>
      </c>
      <c r="C2199" s="1202" t="s">
        <v>4206</v>
      </c>
      <c r="D2199" s="1312"/>
      <c r="E2199" s="1291"/>
      <c r="F2199" s="1291"/>
      <c r="G2199"/>
    </row>
    <row r="2200" spans="1:7" ht="14.4" customHeight="1">
      <c r="A2200" s="691"/>
      <c r="B2200" s="1193">
        <v>1</v>
      </c>
      <c r="C2200" s="1202" t="s">
        <v>6456</v>
      </c>
      <c r="D2200" s="1312"/>
      <c r="E2200" s="1291"/>
      <c r="F2200" s="1291"/>
      <c r="G2200"/>
    </row>
    <row r="2201" spans="1:7" ht="14.4" customHeight="1">
      <c r="A2201" s="692"/>
      <c r="B2201" s="1193"/>
      <c r="C2201" s="1202" t="s">
        <v>729</v>
      </c>
      <c r="D2201" s="1220"/>
      <c r="E2201" s="722"/>
      <c r="F2201" s="722"/>
      <c r="G2201"/>
    </row>
    <row r="2202" spans="1:7" ht="14.4" customHeight="1">
      <c r="A2202" s="1767"/>
      <c r="B2202" s="1193">
        <v>1</v>
      </c>
      <c r="C2202" s="1304" t="s">
        <v>12364</v>
      </c>
      <c r="D2202" s="1312"/>
      <c r="E2202" s="1292"/>
      <c r="F2202" s="1292"/>
      <c r="G2202"/>
    </row>
    <row r="2203" spans="1:7" ht="14.4" customHeight="1">
      <c r="A2203" s="1767"/>
      <c r="B2203" s="1193">
        <v>1</v>
      </c>
      <c r="C2203" s="1304" t="s">
        <v>12474</v>
      </c>
      <c r="D2203" s="1312"/>
      <c r="E2203" s="1292"/>
      <c r="F2203" s="1292"/>
      <c r="G2203"/>
    </row>
    <row r="2204" spans="1:7" ht="14.4" customHeight="1">
      <c r="A2204" s="693"/>
      <c r="B2204" s="1193"/>
      <c r="C2204" s="1202" t="s">
        <v>729</v>
      </c>
      <c r="D2204" s="1220"/>
      <c r="E2204" s="722"/>
      <c r="F2204" s="722"/>
      <c r="G2204"/>
    </row>
    <row r="2205" spans="1:7" ht="14.4" customHeight="1">
      <c r="A2205" s="693"/>
      <c r="B2205" s="1193">
        <v>1</v>
      </c>
      <c r="C2205" s="1202" t="s">
        <v>316</v>
      </c>
      <c r="D2205" s="1122"/>
      <c r="E2205" s="1295"/>
      <c r="F2205" s="1295"/>
      <c r="G2205"/>
    </row>
    <row r="2206" spans="1:7" ht="14.4" customHeight="1">
      <c r="A2206" s="693"/>
      <c r="B2206" s="1193"/>
      <c r="C2206" s="1202" t="s">
        <v>729</v>
      </c>
      <c r="D2206" s="1220"/>
      <c r="E2206" s="722"/>
      <c r="F2206" s="722"/>
      <c r="G2206"/>
    </row>
    <row r="2207" spans="1:7" ht="14.4" customHeight="1" thickBot="1">
      <c r="A2207" s="1855"/>
      <c r="B2207" s="2182"/>
      <c r="C2207" s="1631"/>
      <c r="D2207" s="1641"/>
      <c r="E2207" s="1632"/>
      <c r="F2207" s="1632"/>
      <c r="G2207"/>
    </row>
    <row r="2208" spans="1:7" ht="14.4" customHeight="1" thickBot="1">
      <c r="A2208" s="1989">
        <v>54</v>
      </c>
      <c r="B2208" s="1637">
        <v>1</v>
      </c>
      <c r="C2208" s="1329" t="s">
        <v>12615</v>
      </c>
      <c r="D2208" s="2202">
        <v>5170</v>
      </c>
      <c r="E2208" s="2188"/>
      <c r="F2208" s="2188">
        <v>5170</v>
      </c>
      <c r="G2208"/>
    </row>
    <row r="2209" spans="1:7" ht="14.4" customHeight="1">
      <c r="A2209" s="685" t="s">
        <v>3064</v>
      </c>
      <c r="B2209" s="1290"/>
      <c r="C2209" s="1302"/>
      <c r="D2209" s="1312"/>
      <c r="E2209" s="1291"/>
      <c r="F2209" s="1291"/>
      <c r="G2209"/>
    </row>
    <row r="2210" spans="1:7" ht="14.4" customHeight="1">
      <c r="A2210" s="687" t="s">
        <v>12553</v>
      </c>
      <c r="B2210" s="1194">
        <v>1</v>
      </c>
      <c r="C2210" s="1201" t="s">
        <v>5103</v>
      </c>
      <c r="D2210" s="1220"/>
      <c r="E2210" s="1171"/>
      <c r="F2210" s="1171"/>
      <c r="G2210"/>
    </row>
    <row r="2211" spans="1:7" ht="14.4" customHeight="1">
      <c r="A2211" s="687" t="s">
        <v>4136</v>
      </c>
      <c r="B2211" s="1195">
        <v>3</v>
      </c>
      <c r="C2211" s="1191" t="s">
        <v>7374</v>
      </c>
      <c r="D2211" s="1220"/>
      <c r="E2211" s="722"/>
      <c r="F2211" s="722"/>
      <c r="G2211"/>
    </row>
    <row r="2212" spans="1:7" ht="14.4" customHeight="1">
      <c r="A2212" s="687"/>
      <c r="B2212" s="1195">
        <v>3</v>
      </c>
      <c r="C2212" s="1191" t="s">
        <v>7375</v>
      </c>
      <c r="D2212" s="1220"/>
      <c r="E2212" s="722"/>
      <c r="F2212" s="722"/>
      <c r="G2212"/>
    </row>
    <row r="2213" spans="1:7" ht="14.4" customHeight="1">
      <c r="A2213" s="687" t="s">
        <v>12356</v>
      </c>
      <c r="B2213" s="1199">
        <v>1</v>
      </c>
      <c r="C2213" s="1205" t="s">
        <v>3366</v>
      </c>
      <c r="D2213" s="1221"/>
      <c r="E2213" s="1172"/>
      <c r="F2213" s="1172"/>
      <c r="G2213"/>
    </row>
    <row r="2214" spans="1:7" ht="14.4" customHeight="1">
      <c r="A2214" s="687" t="s">
        <v>3542</v>
      </c>
      <c r="B2214" s="1194"/>
      <c r="C2214" s="1218"/>
      <c r="D2214" s="1220"/>
      <c r="E2214" s="1171"/>
      <c r="F2214" s="1171"/>
      <c r="G2214"/>
    </row>
    <row r="2215" spans="1:7" ht="14.4" customHeight="1">
      <c r="A2215" s="2073"/>
      <c r="B2215" s="1192"/>
      <c r="C2215" s="1304" t="s">
        <v>729</v>
      </c>
      <c r="D2215" s="1312"/>
      <c r="E2215" s="1291"/>
      <c r="F2215" s="1291"/>
      <c r="G2215"/>
    </row>
    <row r="2216" spans="1:7" ht="14.4" customHeight="1">
      <c r="A2216" s="692"/>
      <c r="B2216" s="1283"/>
      <c r="C2216" s="1201" t="s">
        <v>12371</v>
      </c>
      <c r="D2216" s="1312"/>
      <c r="E2216" s="1292"/>
      <c r="F2216" s="1292"/>
      <c r="G2216"/>
    </row>
    <row r="2217" spans="1:7" ht="14.4" customHeight="1">
      <c r="A2217" s="693"/>
      <c r="B2217" s="1283">
        <v>1</v>
      </c>
      <c r="C2217" s="1202" t="s">
        <v>6600</v>
      </c>
      <c r="D2217" s="1312"/>
      <c r="E2217" s="1292"/>
      <c r="F2217" s="1292"/>
      <c r="G2217"/>
    </row>
    <row r="2218" spans="1:7" ht="14.4" customHeight="1">
      <c r="A2218" s="698"/>
      <c r="B2218" s="1283"/>
      <c r="C2218" s="1629" t="s">
        <v>12368</v>
      </c>
      <c r="D2218" s="1220"/>
      <c r="E2218" s="722"/>
      <c r="F2218" s="722"/>
      <c r="G2218"/>
    </row>
    <row r="2219" spans="1:7" ht="14.4" customHeight="1">
      <c r="A2219" s="1767"/>
      <c r="B2219" s="1293"/>
      <c r="C2219" s="1201" t="s">
        <v>3063</v>
      </c>
      <c r="D2219" s="1220"/>
      <c r="E2219" s="1171"/>
      <c r="F2219" s="1171"/>
      <c r="G2219"/>
    </row>
    <row r="2220" spans="1:7" ht="14.4" customHeight="1">
      <c r="A2220" s="687"/>
      <c r="B2220" s="2189">
        <v>1</v>
      </c>
      <c r="C2220" s="1203" t="s">
        <v>12370</v>
      </c>
      <c r="D2220" s="1221"/>
      <c r="E2220" s="1172"/>
      <c r="F2220" s="1172"/>
      <c r="G2220"/>
    </row>
    <row r="2221" spans="1:7" ht="14.4" customHeight="1">
      <c r="A2221" s="687"/>
      <c r="B2221" s="1285"/>
      <c r="C2221" s="1629" t="s">
        <v>12368</v>
      </c>
      <c r="D2221" s="1220"/>
      <c r="E2221" s="722"/>
      <c r="F2221" s="722"/>
      <c r="G2221"/>
    </row>
    <row r="2222" spans="1:7" ht="14.4" customHeight="1">
      <c r="A2222" s="687"/>
      <c r="B2222" s="1293"/>
      <c r="C2222" s="1303" t="s">
        <v>3377</v>
      </c>
      <c r="D2222" s="1312"/>
      <c r="E2222" s="1292"/>
      <c r="F2222" s="1292"/>
      <c r="G2222"/>
    </row>
    <row r="2223" spans="1:7" ht="14.4" customHeight="1">
      <c r="A2223" s="698"/>
      <c r="B2223" s="1283">
        <v>2</v>
      </c>
      <c r="C2223" s="1202" t="s">
        <v>4208</v>
      </c>
      <c r="D2223" s="1312"/>
      <c r="E2223" s="1292"/>
      <c r="F2223" s="1292"/>
      <c r="G2223"/>
    </row>
    <row r="2224" spans="1:7" ht="14.4" customHeight="1">
      <c r="A2224" s="692"/>
      <c r="B2224" s="1283"/>
      <c r="C2224" s="1629" t="s">
        <v>12368</v>
      </c>
      <c r="D2224" s="1220"/>
      <c r="E2224" s="722"/>
      <c r="F2224" s="722"/>
      <c r="G2224"/>
    </row>
    <row r="2225" spans="1:7" ht="14.4" customHeight="1">
      <c r="A2225" s="693"/>
      <c r="B2225" s="1293"/>
      <c r="C2225" s="1201" t="s">
        <v>3063</v>
      </c>
      <c r="D2225" s="1220"/>
      <c r="E2225" s="1171"/>
      <c r="F2225" s="1171"/>
      <c r="G2225"/>
    </row>
    <row r="2226" spans="1:7" ht="14.4" customHeight="1">
      <c r="A2226" s="698"/>
      <c r="B2226" s="2189">
        <v>1</v>
      </c>
      <c r="C2226" s="1203" t="s">
        <v>12372</v>
      </c>
      <c r="D2226" s="1221"/>
      <c r="E2226" s="1172"/>
      <c r="F2226" s="1172"/>
      <c r="G2226"/>
    </row>
    <row r="2227" spans="1:7" ht="14.4" customHeight="1">
      <c r="A2227" s="687"/>
      <c r="B2227" s="1285"/>
      <c r="C2227" s="1629" t="s">
        <v>12368</v>
      </c>
      <c r="D2227" s="1220"/>
      <c r="E2227" s="722"/>
      <c r="F2227" s="722"/>
      <c r="G2227"/>
    </row>
    <row r="2228" spans="1:7" ht="14.4" customHeight="1">
      <c r="A2228" s="687"/>
      <c r="B2228" s="1283"/>
      <c r="C2228" s="1201" t="s">
        <v>12373</v>
      </c>
      <c r="D2228" s="1312"/>
      <c r="E2228" s="1292"/>
      <c r="F2228" s="1292"/>
      <c r="G2228"/>
    </row>
    <row r="2229" spans="1:7" ht="14.4" customHeight="1">
      <c r="A2229" s="687"/>
      <c r="B2229" s="1283"/>
      <c r="C2229" s="1629" t="s">
        <v>12368</v>
      </c>
      <c r="D2229" s="1220"/>
      <c r="E2229" s="722"/>
      <c r="F2229" s="722"/>
      <c r="G2229"/>
    </row>
    <row r="2230" spans="1:7" ht="14.4" customHeight="1">
      <c r="A2230" s="687"/>
      <c r="B2230" s="1634">
        <v>1</v>
      </c>
      <c r="C2230" s="1201" t="s">
        <v>12369</v>
      </c>
      <c r="D2230" s="1220"/>
      <c r="E2230" s="1171"/>
      <c r="F2230" s="1171"/>
      <c r="G2230"/>
    </row>
    <row r="2231" spans="1:7" ht="14.4" customHeight="1">
      <c r="A2231" s="698"/>
      <c r="B2231" s="1285">
        <v>2</v>
      </c>
      <c r="C2231" s="1191" t="s">
        <v>4208</v>
      </c>
      <c r="D2231" s="1220"/>
      <c r="E2231" s="722"/>
      <c r="F2231" s="722"/>
      <c r="G2231"/>
    </row>
    <row r="2232" spans="1:7" ht="14.4" customHeight="1">
      <c r="A2232" s="687"/>
      <c r="B2232" s="1635">
        <v>1</v>
      </c>
      <c r="C2232" s="1191" t="s">
        <v>5955</v>
      </c>
      <c r="D2232" s="1221"/>
      <c r="E2232" s="1172"/>
      <c r="F2232" s="1172"/>
      <c r="G2232"/>
    </row>
    <row r="2233" spans="1:7" ht="14.4" customHeight="1">
      <c r="A2233" s="687"/>
      <c r="B2233" s="1283"/>
      <c r="C2233" s="1629" t="s">
        <v>12368</v>
      </c>
      <c r="D2233" s="1220"/>
      <c r="E2233" s="722"/>
      <c r="F2233" s="722"/>
      <c r="G2233"/>
    </row>
    <row r="2234" spans="1:7" ht="14.4" customHeight="1">
      <c r="A2234" s="687"/>
      <c r="B2234" s="1293"/>
      <c r="C2234" s="1303" t="s">
        <v>2654</v>
      </c>
      <c r="D2234" s="1312"/>
      <c r="E2234" s="1292"/>
      <c r="F2234" s="1292"/>
      <c r="G2234"/>
    </row>
    <row r="2235" spans="1:7" ht="14.4" customHeight="1">
      <c r="A2235" s="687"/>
      <c r="B2235" s="1283">
        <v>1</v>
      </c>
      <c r="C2235" s="1202" t="s">
        <v>4187</v>
      </c>
      <c r="D2235" s="1312"/>
      <c r="E2235" s="1292"/>
      <c r="F2235" s="1292"/>
      <c r="G2235"/>
    </row>
    <row r="2236" spans="1:7" ht="14.4" customHeight="1">
      <c r="A2236" s="687"/>
      <c r="B2236" s="1283">
        <v>6</v>
      </c>
      <c r="C2236" s="1202" t="s">
        <v>4183</v>
      </c>
      <c r="D2236" s="1312"/>
      <c r="E2236" s="1292"/>
      <c r="F2236" s="1292"/>
      <c r="G2236"/>
    </row>
    <row r="2237" spans="1:7" ht="14.4" customHeight="1">
      <c r="A2237" s="687"/>
      <c r="B2237" s="1283">
        <v>6</v>
      </c>
      <c r="C2237" s="1202" t="s">
        <v>2043</v>
      </c>
      <c r="D2237" s="1312"/>
      <c r="E2237" s="1292"/>
      <c r="F2237" s="1292"/>
      <c r="G2237"/>
    </row>
    <row r="2238" spans="1:7" ht="14.4" customHeight="1">
      <c r="A2238" s="687"/>
      <c r="B2238" s="1283">
        <v>1</v>
      </c>
      <c r="C2238" s="1202" t="s">
        <v>2927</v>
      </c>
      <c r="D2238" s="1312"/>
      <c r="E2238" s="1292"/>
      <c r="F2238" s="1292"/>
      <c r="G2238"/>
    </row>
    <row r="2239" spans="1:7" ht="14.4" customHeight="1">
      <c r="A2239" s="692"/>
      <c r="B2239" s="1283"/>
      <c r="C2239" s="1202" t="s">
        <v>729</v>
      </c>
      <c r="D2239" s="1220"/>
      <c r="E2239" s="722"/>
      <c r="F2239" s="722"/>
      <c r="G2239"/>
    </row>
    <row r="2240" spans="1:7" ht="14.4" customHeight="1">
      <c r="A2240" s="693"/>
      <c r="B2240" s="1293"/>
      <c r="C2240" s="1201" t="s">
        <v>3063</v>
      </c>
      <c r="D2240" s="1220"/>
      <c r="E2240" s="1171"/>
      <c r="F2240" s="1171"/>
      <c r="G2240"/>
    </row>
    <row r="2241" spans="1:7" ht="14.4" customHeight="1">
      <c r="A2241" s="691"/>
      <c r="B2241" s="1283">
        <v>1</v>
      </c>
      <c r="C2241" s="1202" t="s">
        <v>4208</v>
      </c>
      <c r="D2241" s="1312"/>
      <c r="E2241" s="1291"/>
      <c r="F2241" s="1291"/>
      <c r="G2241"/>
    </row>
    <row r="2242" spans="1:7" ht="14.4" customHeight="1">
      <c r="A2242" s="691"/>
      <c r="B2242" s="1283">
        <v>1</v>
      </c>
      <c r="C2242" s="1202" t="s">
        <v>6456</v>
      </c>
      <c r="D2242" s="1312"/>
      <c r="E2242" s="1291"/>
      <c r="F2242" s="1291"/>
      <c r="G2242"/>
    </row>
    <row r="2243" spans="1:7" ht="14.4" customHeight="1">
      <c r="A2243" s="693"/>
      <c r="B2243" s="1283"/>
      <c r="C2243" s="1202" t="s">
        <v>729</v>
      </c>
      <c r="D2243" s="1220"/>
      <c r="E2243" s="722"/>
      <c r="F2243" s="722"/>
      <c r="G2243"/>
    </row>
    <row r="2244" spans="1:7" ht="14.4" customHeight="1">
      <c r="A2244" s="1767"/>
      <c r="B2244" s="1283">
        <v>1</v>
      </c>
      <c r="C2244" s="1304" t="s">
        <v>12364</v>
      </c>
      <c r="D2244" s="1312"/>
      <c r="E2244" s="1292"/>
      <c r="F2244" s="1292"/>
      <c r="G2244"/>
    </row>
    <row r="2245" spans="1:7" ht="14.4" customHeight="1">
      <c r="A2245" s="1767"/>
      <c r="B2245" s="1283">
        <v>1</v>
      </c>
      <c r="C2245" s="1304" t="s">
        <v>12474</v>
      </c>
      <c r="D2245" s="1312"/>
      <c r="E2245" s="1292"/>
      <c r="F2245" s="1292"/>
      <c r="G2245"/>
    </row>
    <row r="2246" spans="1:7" ht="14.4" customHeight="1">
      <c r="A2246" s="693"/>
      <c r="B2246" s="1283"/>
      <c r="C2246" s="1202" t="s">
        <v>729</v>
      </c>
      <c r="D2246" s="1220"/>
      <c r="E2246" s="722"/>
      <c r="F2246" s="722"/>
      <c r="G2246"/>
    </row>
    <row r="2247" spans="1:7" ht="14.4" customHeight="1">
      <c r="A2247" s="2192"/>
      <c r="B2247" s="1283">
        <v>1</v>
      </c>
      <c r="C2247" s="1202" t="s">
        <v>2910</v>
      </c>
      <c r="D2247" s="1640"/>
      <c r="E2247" s="722"/>
      <c r="F2247" s="722"/>
      <c r="G2247"/>
    </row>
    <row r="2248" spans="1:7" ht="14.4" customHeight="1">
      <c r="A2248" s="693"/>
      <c r="B2248" s="1283">
        <v>1</v>
      </c>
      <c r="C2248" s="1202" t="s">
        <v>316</v>
      </c>
      <c r="D2248" s="1122"/>
      <c r="E2248" s="1295"/>
      <c r="F2248" s="1295"/>
      <c r="G2248"/>
    </row>
    <row r="2249" spans="1:7" ht="14.4" customHeight="1">
      <c r="A2249" s="693"/>
      <c r="B2249" s="1283"/>
      <c r="C2249" s="1202" t="s">
        <v>729</v>
      </c>
      <c r="D2249" s="1220"/>
      <c r="E2249" s="722"/>
      <c r="F2249" s="722"/>
      <c r="G2249"/>
    </row>
    <row r="2250" spans="1:7" ht="14.4" customHeight="1" thickBot="1">
      <c r="A2250" s="2074"/>
      <c r="B2250" s="2190"/>
      <c r="C2250" s="2191"/>
      <c r="D2250" s="1642"/>
      <c r="E2250" s="1418"/>
      <c r="F2250" s="1418"/>
      <c r="G2250"/>
    </row>
    <row r="2251" spans="1:7">
      <c r="A2251" s="2081"/>
      <c r="B2251" s="2002"/>
      <c r="C2251" s="2003"/>
      <c r="D2251" s="1774"/>
      <c r="E2251" s="2082"/>
      <c r="F2251" s="2082"/>
      <c r="G2251"/>
    </row>
    <row r="2252" spans="1:7">
      <c r="A2252" s="2081"/>
      <c r="B2252" s="2002"/>
      <c r="C2252" s="2003"/>
      <c r="D2252" s="1774"/>
      <c r="E2252" s="2082"/>
      <c r="F2252" s="2082"/>
      <c r="G2252"/>
    </row>
    <row r="2253" spans="1:7">
      <c r="A2253" s="2095" t="s">
        <v>4034</v>
      </c>
      <c r="B2253" s="371"/>
      <c r="C2253" s="371"/>
      <c r="D2253" s="705"/>
      <c r="E2253" s="707"/>
      <c r="F2253" s="707"/>
      <c r="G2253"/>
    </row>
    <row r="2254" spans="1:7">
      <c r="A2254" s="213"/>
      <c r="B2254" s="1590"/>
      <c r="C2254" s="929"/>
      <c r="D2254" s="705"/>
      <c r="E2254" s="707"/>
      <c r="F2254" s="707"/>
      <c r="G2254"/>
    </row>
    <row r="2255" spans="1:7">
      <c r="A2255" s="213"/>
      <c r="B2255" s="1590" t="s">
        <v>1564</v>
      </c>
      <c r="C2255" s="1628" t="s">
        <v>3948</v>
      </c>
      <c r="D2255" s="705"/>
      <c r="E2255" s="707"/>
      <c r="F2255" s="707"/>
      <c r="G2255"/>
    </row>
    <row r="2256" spans="1:7">
      <c r="A2256" s="213"/>
      <c r="B2256" s="1590"/>
      <c r="C2256" s="1628" t="s">
        <v>3949</v>
      </c>
      <c r="D2256" s="705"/>
      <c r="E2256" s="707"/>
      <c r="F2256" s="707"/>
      <c r="G2256"/>
    </row>
    <row r="2257" spans="1:7">
      <c r="A2257" s="213"/>
      <c r="B2257" s="1590"/>
      <c r="C2257" s="929"/>
      <c r="D2257" s="705"/>
      <c r="E2257" s="707"/>
      <c r="F2257" s="707"/>
      <c r="G2257"/>
    </row>
    <row r="2258" spans="1:7">
      <c r="A2258" s="213"/>
      <c r="B2258" s="1590" t="s">
        <v>2666</v>
      </c>
      <c r="C2258" s="1628" t="s">
        <v>12511</v>
      </c>
      <c r="D2258" s="705"/>
      <c r="E2258" s="707"/>
      <c r="F2258" s="707"/>
      <c r="G2258"/>
    </row>
    <row r="2259" spans="1:7">
      <c r="A2259" s="213"/>
      <c r="B2259" s="1590"/>
      <c r="C2259" s="1628" t="s">
        <v>2901</v>
      </c>
      <c r="D2259" s="705"/>
      <c r="E2259" s="707"/>
      <c r="F2259" s="707"/>
      <c r="G2259"/>
    </row>
    <row r="2260" spans="1:7">
      <c r="A2260" s="213"/>
      <c r="B2260" s="1590"/>
      <c r="C2260" s="1628" t="s">
        <v>2902</v>
      </c>
      <c r="D2260" s="705"/>
      <c r="E2260" s="707"/>
      <c r="F2260" s="707"/>
      <c r="G2260"/>
    </row>
    <row r="2261" spans="1:7">
      <c r="A2261" s="213"/>
      <c r="B2261" s="1590"/>
      <c r="C2261" s="929"/>
      <c r="D2261" s="705"/>
      <c r="E2261" s="707"/>
      <c r="F2261" s="707"/>
      <c r="G2261"/>
    </row>
    <row r="2262" spans="1:7">
      <c r="A2262" s="213"/>
      <c r="B2262" s="1590" t="s">
        <v>1795</v>
      </c>
      <c r="C2262" s="1628" t="s">
        <v>12561</v>
      </c>
      <c r="D2262" s="705"/>
      <c r="E2262" s="707"/>
      <c r="F2262" s="707"/>
      <c r="G2262"/>
    </row>
    <row r="2263" spans="1:7">
      <c r="A2263" s="213"/>
      <c r="B2263" s="1590"/>
      <c r="C2263" s="1628" t="s">
        <v>12641</v>
      </c>
      <c r="D2263" s="705"/>
      <c r="E2263" s="707"/>
      <c r="F2263" s="707"/>
      <c r="G2263"/>
    </row>
    <row r="2264" spans="1:7">
      <c r="A2264" s="213"/>
      <c r="B2264" s="1590"/>
      <c r="C2264" s="929"/>
      <c r="D2264" s="705"/>
      <c r="E2264" s="707"/>
      <c r="F2264" s="707"/>
      <c r="G2264"/>
    </row>
    <row r="2265" spans="1:7">
      <c r="A2265" s="213"/>
      <c r="B2265" s="945" t="s">
        <v>1796</v>
      </c>
      <c r="C2265" s="2174" t="s">
        <v>12519</v>
      </c>
      <c r="D2265" s="705"/>
      <c r="E2265" s="707"/>
      <c r="F2265" s="707"/>
      <c r="G2265"/>
    </row>
    <row r="2266" spans="1:7">
      <c r="A2266" s="213"/>
      <c r="B2266" s="945"/>
      <c r="C2266" s="2174" t="s">
        <v>12518</v>
      </c>
      <c r="D2266" s="705"/>
      <c r="E2266" s="707"/>
      <c r="F2266" s="707"/>
      <c r="G2266"/>
    </row>
    <row r="2267" spans="1:7">
      <c r="A2267" s="213"/>
      <c r="B2267" s="349"/>
      <c r="C2267" s="2174" t="s">
        <v>12517</v>
      </c>
      <c r="D2267" s="705"/>
      <c r="E2267" s="707"/>
      <c r="F2267" s="707"/>
      <c r="G2267"/>
    </row>
    <row r="2268" spans="1:7">
      <c r="A2268" s="213"/>
      <c r="B2268" s="1751"/>
      <c r="C2268" s="1102"/>
      <c r="D2268" s="705"/>
      <c r="E2268" s="707"/>
      <c r="F2268" s="707"/>
      <c r="G2268"/>
    </row>
    <row r="2269" spans="1:7">
      <c r="A2269" s="213"/>
      <c r="B2269" s="1590" t="s">
        <v>3153</v>
      </c>
      <c r="C2269" s="2174" t="s">
        <v>12554</v>
      </c>
      <c r="D2269" s="705"/>
      <c r="E2269" s="707"/>
      <c r="F2269" s="707"/>
      <c r="G2269"/>
    </row>
    <row r="2270" spans="1:7">
      <c r="A2270" s="213"/>
      <c r="B2270" s="1751"/>
      <c r="C2270" s="2175" t="s">
        <v>12512</v>
      </c>
      <c r="D2270" s="705"/>
      <c r="E2270" s="707"/>
      <c r="F2270" s="707"/>
      <c r="G2270"/>
    </row>
    <row r="2271" spans="1:7">
      <c r="A2271" s="213"/>
      <c r="B2271" s="1751"/>
      <c r="C2271" s="371"/>
      <c r="D2271" s="705"/>
      <c r="E2271" s="707"/>
      <c r="F2271" s="707"/>
      <c r="G2271"/>
    </row>
    <row r="2272" spans="1:7">
      <c r="A2272" s="213"/>
      <c r="B2272" s="1590" t="s">
        <v>3154</v>
      </c>
      <c r="C2272" s="2174" t="s">
        <v>12642</v>
      </c>
      <c r="D2272" s="705"/>
      <c r="E2272" s="707"/>
      <c r="F2272" s="707"/>
      <c r="G2272"/>
    </row>
    <row r="2273" spans="1:7">
      <c r="A2273" s="213"/>
      <c r="B2273" s="1751"/>
      <c r="C2273" s="2174" t="s">
        <v>12513</v>
      </c>
      <c r="D2273" s="705"/>
      <c r="E2273" s="707"/>
      <c r="F2273" s="707"/>
      <c r="G2273"/>
    </row>
    <row r="2274" spans="1:7">
      <c r="A2274" s="213"/>
      <c r="B2274" s="1751"/>
      <c r="C2274" s="371"/>
      <c r="D2274" s="705"/>
      <c r="E2274" s="707"/>
      <c r="F2274" s="707"/>
      <c r="G2274"/>
    </row>
    <row r="2275" spans="1:7">
      <c r="A2275" s="213"/>
      <c r="B2275" s="1590" t="s">
        <v>3166</v>
      </c>
      <c r="C2275" s="2174" t="s">
        <v>13021</v>
      </c>
      <c r="D2275" s="705"/>
      <c r="E2275" s="707"/>
      <c r="F2275" s="707"/>
      <c r="G2275"/>
    </row>
    <row r="2276" spans="1:7">
      <c r="A2276" s="213"/>
      <c r="B2276" s="1751"/>
      <c r="C2276" s="2174" t="s">
        <v>12514</v>
      </c>
      <c r="D2276" s="705"/>
      <c r="E2276" s="707"/>
      <c r="F2276" s="707"/>
      <c r="G2276"/>
    </row>
    <row r="2277" spans="1:7">
      <c r="A2277" s="213"/>
      <c r="B2277" s="1751"/>
      <c r="C2277" s="2174" t="s">
        <v>11662</v>
      </c>
      <c r="D2277" s="705"/>
      <c r="E2277" s="707"/>
      <c r="F2277" s="707"/>
      <c r="G2277"/>
    </row>
    <row r="2278" spans="1:7">
      <c r="A2278" s="213"/>
      <c r="B2278" s="20"/>
      <c r="C2278" s="1102"/>
      <c r="D2278" s="705"/>
      <c r="E2278" s="707"/>
      <c r="F2278" s="707"/>
      <c r="G2278"/>
    </row>
    <row r="2279" spans="1:7">
      <c r="A2279" s="20"/>
      <c r="B2279" s="1590" t="s">
        <v>3776</v>
      </c>
      <c r="C2279" s="2176" t="s">
        <v>12563</v>
      </c>
      <c r="D2279" s="705"/>
      <c r="E2279" s="707"/>
      <c r="F2279" s="707"/>
      <c r="G2279"/>
    </row>
    <row r="2280" spans="1:7">
      <c r="A2280" s="213"/>
      <c r="B2280" s="1751"/>
      <c r="C2280" s="371"/>
      <c r="D2280" s="705"/>
      <c r="E2280" s="707"/>
      <c r="F2280" s="707"/>
      <c r="G2280"/>
    </row>
    <row r="2281" spans="1:7">
      <c r="A2281" s="213"/>
      <c r="B2281" s="1590" t="s">
        <v>3775</v>
      </c>
      <c r="C2281" s="2174" t="s">
        <v>12643</v>
      </c>
      <c r="D2281" s="705"/>
      <c r="E2281" s="707"/>
      <c r="F2281" s="707"/>
      <c r="G2281"/>
    </row>
    <row r="2282" spans="1:7">
      <c r="A2282" s="213"/>
      <c r="B2282" s="1751"/>
      <c r="C2282" s="2174" t="s">
        <v>12644</v>
      </c>
      <c r="D2282" s="705"/>
      <c r="E2282" s="707"/>
      <c r="F2282" s="707"/>
      <c r="G2282"/>
    </row>
    <row r="2283" spans="1:7">
      <c r="A2283" s="213"/>
      <c r="B2283" s="1751"/>
      <c r="C2283" s="1102"/>
      <c r="D2283" s="705"/>
      <c r="E2283" s="707"/>
      <c r="F2283" s="707"/>
      <c r="G2283"/>
    </row>
    <row r="2284" spans="1:7">
      <c r="A2284" s="213"/>
      <c r="B2284" s="1590" t="s">
        <v>3945</v>
      </c>
      <c r="C2284" s="1628" t="s">
        <v>12645</v>
      </c>
      <c r="D2284" s="705"/>
      <c r="E2284" s="707"/>
      <c r="F2284" s="707"/>
      <c r="G2284"/>
    </row>
    <row r="2285" spans="1:7">
      <c r="A2285" s="213"/>
      <c r="B2285" s="1590"/>
      <c r="C2285" s="1628" t="s">
        <v>12646</v>
      </c>
      <c r="D2285" s="705"/>
      <c r="E2285" s="707"/>
      <c r="F2285" s="707"/>
      <c r="G2285"/>
    </row>
    <row r="2286" spans="1:7">
      <c r="A2286" s="213"/>
      <c r="B2286" s="1590"/>
      <c r="C2286" s="929"/>
      <c r="D2286" s="705"/>
      <c r="E2286" s="707"/>
      <c r="F2286" s="707"/>
      <c r="G2286"/>
    </row>
    <row r="2287" spans="1:7">
      <c r="A2287" s="213"/>
      <c r="B2287" s="1590" t="s">
        <v>3777</v>
      </c>
      <c r="C2287" s="1628" t="s">
        <v>12564</v>
      </c>
      <c r="D2287" s="705"/>
      <c r="E2287" s="707"/>
      <c r="F2287" s="707"/>
      <c r="G2287"/>
    </row>
    <row r="2288" spans="1:7">
      <c r="A2288" s="213"/>
      <c r="B2288" s="1590"/>
      <c r="C2288" s="1628" t="s">
        <v>12548</v>
      </c>
      <c r="D2288" s="705"/>
      <c r="E2288" s="707"/>
      <c r="F2288" s="707"/>
      <c r="G2288"/>
    </row>
    <row r="2289" spans="1:7">
      <c r="A2289" s="213"/>
      <c r="B2289" s="1590"/>
      <c r="C2289" s="1628" t="s">
        <v>12565</v>
      </c>
      <c r="D2289" s="705"/>
      <c r="E2289" s="707"/>
      <c r="F2289" s="707"/>
      <c r="G2289"/>
    </row>
    <row r="2290" spans="1:7">
      <c r="A2290" s="213"/>
      <c r="B2290" s="1590"/>
      <c r="C2290" s="929"/>
      <c r="D2290" s="705"/>
      <c r="E2290" s="707"/>
      <c r="F2290" s="707"/>
      <c r="G2290"/>
    </row>
    <row r="2291" spans="1:7">
      <c r="A2291" s="213"/>
      <c r="B2291" s="1590" t="s">
        <v>3778</v>
      </c>
      <c r="C2291" s="2174" t="s">
        <v>12566</v>
      </c>
      <c r="D2291" s="705"/>
      <c r="E2291" s="707"/>
      <c r="F2291" s="707"/>
      <c r="G2291"/>
    </row>
    <row r="2292" spans="1:7">
      <c r="A2292" s="213"/>
      <c r="B2292" s="1590"/>
      <c r="C2292" s="2174" t="s">
        <v>12549</v>
      </c>
      <c r="D2292" s="705"/>
      <c r="E2292" s="707"/>
      <c r="F2292" s="707"/>
      <c r="G2292"/>
    </row>
    <row r="2293" spans="1:7">
      <c r="A2293" s="213"/>
      <c r="B2293" s="1590"/>
      <c r="C2293" s="1102"/>
      <c r="D2293" s="705"/>
      <c r="E2293" s="707"/>
      <c r="F2293" s="707"/>
      <c r="G2293"/>
    </row>
    <row r="2294" spans="1:7">
      <c r="A2294" s="213"/>
      <c r="B2294" s="1590" t="s">
        <v>3779</v>
      </c>
      <c r="C2294" s="1628" t="s">
        <v>12567</v>
      </c>
      <c r="D2294" s="705"/>
      <c r="E2294" s="707"/>
      <c r="F2294" s="707"/>
      <c r="G2294"/>
    </row>
    <row r="2295" spans="1:7">
      <c r="A2295" s="213"/>
      <c r="B2295" s="1590"/>
      <c r="C2295" s="1628" t="s">
        <v>12650</v>
      </c>
      <c r="D2295" s="705"/>
      <c r="E2295" s="707"/>
      <c r="F2295" s="707"/>
      <c r="G2295"/>
    </row>
    <row r="2296" spans="1:7">
      <c r="A2296" s="213"/>
      <c r="B2296" s="1590"/>
      <c r="C2296" s="929"/>
      <c r="D2296" s="705"/>
      <c r="E2296" s="707"/>
      <c r="F2296" s="707"/>
      <c r="G2296"/>
    </row>
    <row r="2297" spans="1:7">
      <c r="A2297" s="213"/>
      <c r="B2297" s="1590" t="s">
        <v>3780</v>
      </c>
      <c r="C2297" s="2177" t="s">
        <v>12648</v>
      </c>
      <c r="D2297" s="705"/>
      <c r="E2297" s="707"/>
      <c r="F2297" s="707"/>
      <c r="G2297"/>
    </row>
    <row r="2298" spans="1:7">
      <c r="A2298" s="213"/>
      <c r="B2298" s="1590"/>
      <c r="C2298" s="2177" t="s">
        <v>12647</v>
      </c>
      <c r="D2298" s="705"/>
      <c r="E2298" s="707"/>
      <c r="F2298" s="707"/>
      <c r="G2298"/>
    </row>
    <row r="2299" spans="1:7">
      <c r="A2299" s="213"/>
      <c r="B2299" s="1590"/>
      <c r="C2299" s="929"/>
      <c r="D2299" s="705"/>
      <c r="E2299" s="707"/>
      <c r="F2299" s="707"/>
      <c r="G2299"/>
    </row>
    <row r="2300" spans="1:7">
      <c r="A2300" s="213"/>
      <c r="B2300" s="1590" t="s">
        <v>3781</v>
      </c>
      <c r="C2300" s="1628" t="s">
        <v>12649</v>
      </c>
      <c r="D2300" s="705"/>
      <c r="E2300" s="707"/>
      <c r="F2300" s="707"/>
      <c r="G2300"/>
    </row>
    <row r="2301" spans="1:7">
      <c r="A2301" s="213"/>
      <c r="B2301" s="1590"/>
      <c r="C2301" s="929"/>
      <c r="D2301" s="705"/>
      <c r="E2301" s="707"/>
      <c r="F2301" s="707"/>
      <c r="G2301"/>
    </row>
    <row r="2302" spans="1:7">
      <c r="A2302" s="213"/>
      <c r="B2302" s="1590" t="s">
        <v>3782</v>
      </c>
      <c r="C2302" s="1628" t="s">
        <v>12568</v>
      </c>
      <c r="D2302" s="705"/>
      <c r="E2302" s="707"/>
      <c r="F2302" s="707"/>
      <c r="G2302"/>
    </row>
    <row r="2303" spans="1:7">
      <c r="A2303" s="213"/>
      <c r="B2303" s="1590"/>
      <c r="C2303" s="929"/>
      <c r="D2303" s="705"/>
      <c r="E2303" s="707"/>
      <c r="F2303" s="707"/>
      <c r="G2303"/>
    </row>
    <row r="2304" spans="1:7">
      <c r="A2304" s="213"/>
      <c r="B2304" s="1590" t="s">
        <v>3783</v>
      </c>
      <c r="C2304" s="1628" t="s">
        <v>13025</v>
      </c>
      <c r="D2304" s="705"/>
      <c r="E2304" s="707"/>
      <c r="F2304" s="707"/>
      <c r="G2304"/>
    </row>
    <row r="2305" spans="1:7">
      <c r="A2305" s="20"/>
      <c r="B2305" s="20"/>
      <c r="C2305" s="1628" t="s">
        <v>13024</v>
      </c>
      <c r="D2305" s="705"/>
      <c r="E2305" s="707"/>
      <c r="F2305" s="707"/>
      <c r="G2305"/>
    </row>
    <row r="2306" spans="1:7">
      <c r="B2306"/>
      <c r="C2306"/>
      <c r="D2306"/>
      <c r="G2306"/>
    </row>
    <row r="2307" spans="1:7">
      <c r="B2307"/>
      <c r="C2307"/>
      <c r="D2307"/>
      <c r="G2307"/>
    </row>
    <row r="2308" spans="1:7">
      <c r="B2308"/>
      <c r="C2308"/>
      <c r="D2308"/>
      <c r="G2308"/>
    </row>
    <row r="2309" spans="1:7">
      <c r="B2309"/>
      <c r="C2309"/>
      <c r="D2309"/>
      <c r="G2309"/>
    </row>
    <row r="2310" spans="1:7">
      <c r="B2310"/>
      <c r="C2310"/>
      <c r="D2310"/>
      <c r="G2310"/>
    </row>
    <row r="2311" spans="1:7">
      <c r="B2311"/>
      <c r="C2311"/>
      <c r="D2311"/>
      <c r="G2311"/>
    </row>
    <row r="2312" spans="1:7">
      <c r="B2312"/>
      <c r="C2312"/>
      <c r="D2312"/>
      <c r="G2312"/>
    </row>
    <row r="2313" spans="1:7">
      <c r="B2313"/>
      <c r="C2313"/>
      <c r="D2313"/>
      <c r="G2313"/>
    </row>
    <row r="2314" spans="1:7">
      <c r="B2314"/>
      <c r="C2314"/>
      <c r="D2314"/>
      <c r="G2314"/>
    </row>
    <row r="2315" spans="1:7">
      <c r="B2315"/>
      <c r="C2315"/>
      <c r="D2315"/>
      <c r="G2315"/>
    </row>
    <row r="2316" spans="1:7">
      <c r="B2316"/>
      <c r="C2316"/>
      <c r="D2316"/>
      <c r="G2316"/>
    </row>
    <row r="2317" spans="1:7">
      <c r="B2317"/>
      <c r="C2317"/>
      <c r="D2317"/>
      <c r="G2317"/>
    </row>
    <row r="2318" spans="1:7">
      <c r="B2318"/>
      <c r="C2318"/>
      <c r="D2318"/>
      <c r="G2318"/>
    </row>
    <row r="2319" spans="1:7">
      <c r="B2319"/>
      <c r="C2319"/>
      <c r="D2319"/>
      <c r="G2319"/>
    </row>
    <row r="2320" spans="1:7">
      <c r="B2320"/>
      <c r="C2320"/>
      <c r="D2320"/>
      <c r="G2320"/>
    </row>
    <row r="2321" customFormat="1"/>
    <row r="2322" customFormat="1"/>
    <row r="2323" customFormat="1"/>
    <row r="2324" customFormat="1"/>
    <row r="2325" customFormat="1"/>
    <row r="2326" customFormat="1"/>
    <row r="2327" customFormat="1"/>
    <row r="2328" customFormat="1"/>
    <row r="2329" customFormat="1"/>
    <row r="2330" customFormat="1"/>
    <row r="2331" customFormat="1"/>
    <row r="2332" customFormat="1"/>
    <row r="2333" customFormat="1"/>
    <row r="2334" customFormat="1"/>
    <row r="2335" customFormat="1"/>
    <row r="2336" customFormat="1"/>
    <row r="2337" customFormat="1"/>
    <row r="2338" customFormat="1"/>
    <row r="2339" customFormat="1"/>
    <row r="2340" customFormat="1"/>
    <row r="2341" customFormat="1"/>
    <row r="2342" customFormat="1"/>
    <row r="2343" customFormat="1"/>
    <row r="2344" customFormat="1"/>
    <row r="2345" customFormat="1"/>
    <row r="2346" customFormat="1"/>
    <row r="2347" customFormat="1"/>
    <row r="2348" customFormat="1"/>
    <row r="2349" customFormat="1"/>
    <row r="2350" customFormat="1"/>
    <row r="2351" customFormat="1"/>
    <row r="2352" customFormat="1"/>
    <row r="2353" customFormat="1"/>
    <row r="2354" customFormat="1"/>
    <row r="2355" customFormat="1"/>
    <row r="2356" customFormat="1"/>
    <row r="2357" customFormat="1"/>
    <row r="2358" customFormat="1"/>
    <row r="2359" customFormat="1"/>
    <row r="2360" customFormat="1"/>
    <row r="2361" customFormat="1"/>
    <row r="2362" customFormat="1"/>
    <row r="2363" customFormat="1"/>
    <row r="2364" customFormat="1"/>
    <row r="2365" customFormat="1"/>
    <row r="2366" customFormat="1"/>
    <row r="2367" customFormat="1"/>
    <row r="2368" customFormat="1"/>
    <row r="2369" customFormat="1"/>
    <row r="2370" customFormat="1"/>
    <row r="2371" customFormat="1"/>
    <row r="2372" customFormat="1"/>
    <row r="2373" customFormat="1"/>
    <row r="2374" customFormat="1"/>
    <row r="2375" customFormat="1"/>
    <row r="2376" customFormat="1"/>
    <row r="2377" customFormat="1"/>
    <row r="2378" customFormat="1"/>
    <row r="2379" customFormat="1"/>
    <row r="2380" customFormat="1"/>
    <row r="2381" customFormat="1"/>
    <row r="2382" customFormat="1"/>
    <row r="2383" customFormat="1"/>
    <row r="2384" customFormat="1"/>
    <row r="2385" customFormat="1"/>
    <row r="2386" customFormat="1"/>
    <row r="2387" customFormat="1"/>
    <row r="2388" customFormat="1"/>
    <row r="2389" customFormat="1"/>
    <row r="2390" customFormat="1"/>
    <row r="2391" customFormat="1"/>
    <row r="2392" customFormat="1"/>
    <row r="2393" customFormat="1"/>
    <row r="2394" customFormat="1"/>
    <row r="2395" customFormat="1"/>
    <row r="2396" customFormat="1"/>
    <row r="2397" customFormat="1"/>
    <row r="2398" customFormat="1"/>
    <row r="2399" customFormat="1"/>
    <row r="2400" customFormat="1"/>
    <row r="2401" customFormat="1"/>
    <row r="2402" customFormat="1"/>
    <row r="2403" customFormat="1"/>
    <row r="2404" customFormat="1"/>
    <row r="2405" customFormat="1"/>
    <row r="2406" customFormat="1"/>
    <row r="2407" customFormat="1"/>
    <row r="2408" customFormat="1"/>
    <row r="2409" customFormat="1"/>
    <row r="2410" customFormat="1"/>
    <row r="2411" customFormat="1"/>
    <row r="2412" customFormat="1"/>
    <row r="2413" customFormat="1"/>
    <row r="2414" customFormat="1"/>
    <row r="2415" customFormat="1"/>
    <row r="2416" customFormat="1"/>
    <row r="2417" customFormat="1"/>
    <row r="2418" customFormat="1"/>
    <row r="2419" customFormat="1"/>
    <row r="2420" customFormat="1"/>
    <row r="2421" customFormat="1"/>
    <row r="2422" customFormat="1"/>
    <row r="2423" customFormat="1"/>
    <row r="2424" customFormat="1"/>
    <row r="2425" customFormat="1"/>
    <row r="2426" customFormat="1"/>
    <row r="2427" customFormat="1"/>
    <row r="2428" customFormat="1"/>
    <row r="2429" customFormat="1"/>
    <row r="2430" customFormat="1"/>
    <row r="2431" customFormat="1"/>
    <row r="2432" customFormat="1"/>
    <row r="2433" customFormat="1"/>
    <row r="2434" customFormat="1"/>
    <row r="2435" customFormat="1"/>
    <row r="2436" customFormat="1"/>
    <row r="2437" customFormat="1"/>
    <row r="2438" customFormat="1"/>
    <row r="2439" customFormat="1"/>
    <row r="2440" customFormat="1"/>
    <row r="2441" customFormat="1"/>
    <row r="2442" customFormat="1"/>
    <row r="2443" customFormat="1"/>
    <row r="2444" customFormat="1"/>
    <row r="2445" customFormat="1"/>
    <row r="2446" customFormat="1"/>
    <row r="2447" customFormat="1"/>
    <row r="2448" customFormat="1"/>
    <row r="2449" customFormat="1"/>
    <row r="2450" customFormat="1"/>
    <row r="2451" customFormat="1"/>
    <row r="2452" customFormat="1"/>
    <row r="2453" customFormat="1"/>
    <row r="2454" customFormat="1"/>
    <row r="2455" customFormat="1"/>
    <row r="2456" customFormat="1"/>
    <row r="2457" customFormat="1"/>
    <row r="2458" customFormat="1"/>
    <row r="2459" customFormat="1"/>
    <row r="2460" customFormat="1"/>
    <row r="2461" customFormat="1"/>
    <row r="2462" customFormat="1"/>
    <row r="2463" customFormat="1"/>
    <row r="2464" customFormat="1"/>
    <row r="2465" customFormat="1"/>
    <row r="2466" customFormat="1"/>
    <row r="2467" customFormat="1"/>
    <row r="2468" customFormat="1"/>
    <row r="2469" customFormat="1"/>
    <row r="2470" customFormat="1"/>
    <row r="2471" customFormat="1"/>
    <row r="2472" customFormat="1"/>
    <row r="2473" customFormat="1"/>
    <row r="2474" customFormat="1"/>
    <row r="2475" customFormat="1"/>
    <row r="2476" customFormat="1"/>
    <row r="2477" customFormat="1"/>
    <row r="2478" customFormat="1"/>
    <row r="2479" customFormat="1"/>
    <row r="2480" customFormat="1"/>
    <row r="2481" customFormat="1"/>
    <row r="2482" customFormat="1"/>
    <row r="2483" customFormat="1"/>
    <row r="2484" customFormat="1"/>
    <row r="2485" customFormat="1"/>
    <row r="2486" customFormat="1"/>
    <row r="2487" customFormat="1"/>
    <row r="2488" customFormat="1"/>
    <row r="2489" customFormat="1"/>
    <row r="2490" customFormat="1"/>
    <row r="2491" customFormat="1"/>
    <row r="2492" customFormat="1"/>
    <row r="2493" customFormat="1"/>
    <row r="2494" customFormat="1"/>
    <row r="2495" customFormat="1"/>
    <row r="2496" customFormat="1"/>
    <row r="2497" customFormat="1"/>
    <row r="2498" customFormat="1"/>
    <row r="2499" customFormat="1"/>
    <row r="2500" customFormat="1"/>
    <row r="2501" customFormat="1"/>
    <row r="2502" customFormat="1"/>
    <row r="2503" customFormat="1"/>
    <row r="2504" customFormat="1"/>
    <row r="2505" customFormat="1"/>
    <row r="2506" customFormat="1"/>
    <row r="2507" customFormat="1"/>
    <row r="2508" customFormat="1"/>
    <row r="2509" customFormat="1"/>
    <row r="2510" customFormat="1"/>
    <row r="2511" customFormat="1"/>
    <row r="2512" customFormat="1"/>
    <row r="2513" customFormat="1"/>
    <row r="2514" customFormat="1"/>
    <row r="2515" customFormat="1"/>
    <row r="2516" customFormat="1"/>
    <row r="2517" customFormat="1"/>
    <row r="2518" customFormat="1"/>
    <row r="2519" customFormat="1"/>
    <row r="2520" customFormat="1"/>
    <row r="2521" customFormat="1"/>
    <row r="2522" customFormat="1"/>
    <row r="2523" customFormat="1"/>
    <row r="2524" customFormat="1"/>
    <row r="2525" customFormat="1"/>
    <row r="2526" customFormat="1"/>
    <row r="2527" customFormat="1"/>
    <row r="2528" customFormat="1"/>
    <row r="2529" customFormat="1"/>
    <row r="2530" customFormat="1"/>
    <row r="2531" customFormat="1"/>
    <row r="2532" customFormat="1"/>
    <row r="2533" customFormat="1"/>
    <row r="2534" customFormat="1"/>
    <row r="2535" customFormat="1"/>
    <row r="2536" customFormat="1"/>
    <row r="2537" customFormat="1"/>
    <row r="2538" customFormat="1"/>
    <row r="2539" customFormat="1"/>
    <row r="2540" customFormat="1"/>
    <row r="2541" customFormat="1"/>
    <row r="2542" customFormat="1"/>
    <row r="2543" customFormat="1"/>
    <row r="2544" customFormat="1"/>
    <row r="2545" customFormat="1"/>
    <row r="2546" customFormat="1"/>
    <row r="2547" customFormat="1"/>
    <row r="2548" customFormat="1"/>
    <row r="2549" customFormat="1"/>
    <row r="2550" customFormat="1"/>
    <row r="2551" customFormat="1"/>
    <row r="2552" customFormat="1"/>
    <row r="2553" customFormat="1"/>
    <row r="2554" customFormat="1"/>
    <row r="2555" customFormat="1"/>
    <row r="2556" customFormat="1"/>
    <row r="2557" customFormat="1"/>
    <row r="2558" customFormat="1"/>
    <row r="2559" customFormat="1"/>
    <row r="2560" customFormat="1"/>
    <row r="2561" customFormat="1"/>
    <row r="2562" customFormat="1"/>
    <row r="2563" customFormat="1"/>
    <row r="2564" customFormat="1"/>
    <row r="2565" customFormat="1"/>
    <row r="2566" customFormat="1"/>
    <row r="2567" customFormat="1"/>
    <row r="2568" customFormat="1"/>
    <row r="2569" customFormat="1"/>
    <row r="2570" customFormat="1"/>
    <row r="2571" customFormat="1"/>
    <row r="2572" customFormat="1"/>
    <row r="2573" customFormat="1"/>
    <row r="2574" customFormat="1"/>
    <row r="2575" customFormat="1"/>
    <row r="2576" customFormat="1"/>
    <row r="2577" customFormat="1"/>
    <row r="2578" customFormat="1"/>
    <row r="2579" customFormat="1"/>
    <row r="2580" customFormat="1"/>
    <row r="2581" customFormat="1"/>
    <row r="2582" customFormat="1"/>
    <row r="2583" customFormat="1"/>
    <row r="2584" customFormat="1"/>
    <row r="2585" customFormat="1"/>
    <row r="2586" customFormat="1"/>
    <row r="2587" customFormat="1"/>
    <row r="2588" customFormat="1"/>
    <row r="2589" customFormat="1"/>
    <row r="2590" customFormat="1"/>
    <row r="2591" customFormat="1"/>
    <row r="2592" customFormat="1"/>
    <row r="2593" customFormat="1"/>
    <row r="2594" customFormat="1"/>
    <row r="2595" customFormat="1"/>
    <row r="2596" customFormat="1"/>
    <row r="2597" customFormat="1"/>
    <row r="2598" customFormat="1"/>
    <row r="2599" customFormat="1"/>
    <row r="2600" customFormat="1"/>
    <row r="2601" customFormat="1"/>
    <row r="2602" customFormat="1"/>
    <row r="2603" customFormat="1"/>
    <row r="2604" customFormat="1"/>
    <row r="2605" customFormat="1"/>
    <row r="2606" customFormat="1"/>
    <row r="2607" customFormat="1"/>
    <row r="2608" customFormat="1"/>
    <row r="2609" customFormat="1"/>
    <row r="2610" customFormat="1"/>
    <row r="2611" customFormat="1"/>
    <row r="2612" customFormat="1"/>
    <row r="2613" customFormat="1"/>
    <row r="2614" customFormat="1"/>
    <row r="2615" customFormat="1"/>
    <row r="2616" customFormat="1"/>
    <row r="2617" customFormat="1"/>
    <row r="2618" customFormat="1"/>
    <row r="2619" customFormat="1"/>
    <row r="2620" customFormat="1"/>
    <row r="2621" customFormat="1"/>
    <row r="2622" customFormat="1"/>
    <row r="2623" customFormat="1"/>
    <row r="2624" customFormat="1"/>
    <row r="2625" customFormat="1"/>
    <row r="2626" customFormat="1"/>
    <row r="2627" customFormat="1"/>
    <row r="2628" customFormat="1"/>
    <row r="2629" customFormat="1"/>
    <row r="2630" customFormat="1"/>
    <row r="2631" customFormat="1"/>
    <row r="2632" customFormat="1"/>
    <row r="2633" customFormat="1"/>
    <row r="2634" customFormat="1"/>
    <row r="2635" customFormat="1"/>
    <row r="2636" customFormat="1"/>
    <row r="2637" customFormat="1"/>
    <row r="2638" customFormat="1"/>
    <row r="2639" customFormat="1"/>
    <row r="2640" customFormat="1"/>
    <row r="2641" customFormat="1"/>
    <row r="2642" customFormat="1"/>
    <row r="2643" customFormat="1"/>
    <row r="2644" customFormat="1"/>
    <row r="2645" customFormat="1"/>
    <row r="2646" customFormat="1"/>
    <row r="2647" customFormat="1"/>
    <row r="2648" customFormat="1"/>
    <row r="2649" customFormat="1"/>
    <row r="2650" customFormat="1"/>
    <row r="2651" customFormat="1"/>
    <row r="2652" customFormat="1"/>
    <row r="2653" customFormat="1"/>
    <row r="2654" customFormat="1"/>
    <row r="2655" customFormat="1"/>
    <row r="2656" customFormat="1"/>
    <row r="2657" customFormat="1"/>
    <row r="2658" customFormat="1"/>
    <row r="2659" customFormat="1"/>
    <row r="2660" customFormat="1"/>
    <row r="2661" customFormat="1"/>
    <row r="2662" customFormat="1"/>
    <row r="2663" customFormat="1"/>
    <row r="2664" customFormat="1"/>
    <row r="2665" customFormat="1"/>
    <row r="2666" customFormat="1"/>
    <row r="2667" customFormat="1"/>
    <row r="2668" customFormat="1"/>
    <row r="2669" customFormat="1"/>
    <row r="2670" customFormat="1"/>
    <row r="2671" customFormat="1"/>
    <row r="2672" customFormat="1"/>
    <row r="2673" customFormat="1"/>
    <row r="2674" customFormat="1"/>
    <row r="2675" customFormat="1"/>
    <row r="2676" customFormat="1"/>
    <row r="2677" customFormat="1"/>
    <row r="2678" customFormat="1"/>
    <row r="2679" customFormat="1"/>
    <row r="2680" customFormat="1"/>
    <row r="2681" customFormat="1"/>
    <row r="2682" customFormat="1"/>
    <row r="2683" customFormat="1"/>
    <row r="2684" customFormat="1"/>
    <row r="2685" customFormat="1"/>
    <row r="2686" customFormat="1"/>
    <row r="2687" customFormat="1"/>
    <row r="2688" customFormat="1"/>
    <row r="2689" customFormat="1"/>
    <row r="2690" customFormat="1"/>
    <row r="2691" customFormat="1"/>
    <row r="2692" customFormat="1"/>
    <row r="2693" customFormat="1"/>
    <row r="2694" customFormat="1"/>
    <row r="2695" customFormat="1"/>
    <row r="2696" customFormat="1"/>
    <row r="2697" customFormat="1"/>
    <row r="2698" customFormat="1"/>
    <row r="2699" customFormat="1"/>
    <row r="2700" customFormat="1"/>
    <row r="2701" customFormat="1"/>
    <row r="2702" customFormat="1"/>
    <row r="2703" customFormat="1"/>
    <row r="2704" customFormat="1"/>
    <row r="2705" customFormat="1"/>
    <row r="2706" customFormat="1"/>
    <row r="2707" customFormat="1"/>
    <row r="2708" customFormat="1"/>
    <row r="2709" customFormat="1"/>
    <row r="2710" customFormat="1"/>
    <row r="2711" customFormat="1"/>
    <row r="2712" customFormat="1"/>
    <row r="2713" customFormat="1"/>
    <row r="2714" customFormat="1"/>
    <row r="2715" customFormat="1"/>
    <row r="2716" customFormat="1"/>
    <row r="2717" customFormat="1"/>
    <row r="2718" customFormat="1"/>
    <row r="2719" customFormat="1"/>
    <row r="2720" customFormat="1"/>
    <row r="2721" customFormat="1"/>
    <row r="2722" customFormat="1"/>
    <row r="2723" customFormat="1"/>
    <row r="2724" customFormat="1"/>
    <row r="2725" customFormat="1"/>
    <row r="2726" customFormat="1"/>
    <row r="2727" customFormat="1"/>
    <row r="2728" customFormat="1"/>
    <row r="2729" customFormat="1"/>
    <row r="2730" customFormat="1"/>
    <row r="2731" customFormat="1"/>
    <row r="2732" customFormat="1"/>
    <row r="2733" customFormat="1"/>
    <row r="2734" customFormat="1"/>
    <row r="2735" customFormat="1"/>
    <row r="2736" customFormat="1"/>
    <row r="2737" customFormat="1"/>
    <row r="2738" customFormat="1"/>
    <row r="2739" customFormat="1"/>
    <row r="2740" customFormat="1"/>
    <row r="2741" customFormat="1"/>
    <row r="2742" customFormat="1"/>
    <row r="2743" customFormat="1"/>
    <row r="2744" customFormat="1"/>
    <row r="2745" customFormat="1"/>
    <row r="2746" customFormat="1"/>
    <row r="2747" customFormat="1"/>
    <row r="2748" customFormat="1"/>
    <row r="2749" customFormat="1"/>
    <row r="2750" customFormat="1"/>
    <row r="2751" customFormat="1"/>
    <row r="2752" customFormat="1"/>
    <row r="2753" customFormat="1"/>
    <row r="2754" customFormat="1"/>
    <row r="2755" customFormat="1"/>
    <row r="2756" customFormat="1"/>
    <row r="2757" customFormat="1"/>
    <row r="2758" customFormat="1"/>
    <row r="2759" customFormat="1"/>
    <row r="2760" customFormat="1"/>
    <row r="2761" customFormat="1"/>
    <row r="2762" customFormat="1"/>
    <row r="2763" customFormat="1"/>
    <row r="2764" customFormat="1"/>
    <row r="2765" customFormat="1"/>
    <row r="2766" customFormat="1"/>
    <row r="2767" customFormat="1"/>
    <row r="2768" customFormat="1"/>
    <row r="2769" customFormat="1"/>
    <row r="2770" customFormat="1"/>
    <row r="2771" customFormat="1"/>
    <row r="2772" customFormat="1"/>
    <row r="2773" customFormat="1"/>
    <row r="2774" customFormat="1"/>
    <row r="2775" customFormat="1"/>
    <row r="2776" customFormat="1"/>
    <row r="2777" customFormat="1"/>
    <row r="2778" customFormat="1"/>
    <row r="2779" customFormat="1"/>
    <row r="2780" customFormat="1"/>
    <row r="2781" customFormat="1"/>
    <row r="2782" customFormat="1"/>
    <row r="2783" customFormat="1"/>
    <row r="2784" customFormat="1"/>
    <row r="2785" customFormat="1"/>
    <row r="2786" customFormat="1"/>
    <row r="2787" customFormat="1"/>
    <row r="2788" customFormat="1"/>
    <row r="2789" customFormat="1"/>
    <row r="2790" customFormat="1"/>
    <row r="2791" customFormat="1"/>
    <row r="2792" customFormat="1"/>
    <row r="2793" customFormat="1"/>
    <row r="2794" customFormat="1"/>
    <row r="2795" customFormat="1"/>
    <row r="2796" customFormat="1"/>
    <row r="2797" customFormat="1"/>
    <row r="2798" customFormat="1"/>
    <row r="2799" customFormat="1"/>
    <row r="2800" customFormat="1"/>
    <row r="2801" customFormat="1"/>
    <row r="2802" customFormat="1"/>
    <row r="2803" customFormat="1"/>
    <row r="2804" customFormat="1"/>
    <row r="2805" customFormat="1"/>
    <row r="2806" customFormat="1"/>
    <row r="2807" customFormat="1"/>
    <row r="2808" customFormat="1"/>
    <row r="2809" customFormat="1"/>
    <row r="2810" customFormat="1"/>
    <row r="2811" customFormat="1"/>
    <row r="2812" customFormat="1"/>
    <row r="2813" customFormat="1"/>
    <row r="2814" customFormat="1"/>
    <row r="2815" customFormat="1"/>
    <row r="2816" customFormat="1"/>
    <row r="2817" customFormat="1"/>
    <row r="2818" customFormat="1"/>
    <row r="2819" customFormat="1"/>
    <row r="2820" customFormat="1"/>
    <row r="2821" customFormat="1"/>
    <row r="2822" customFormat="1"/>
    <row r="2823" customFormat="1"/>
    <row r="2824" customFormat="1"/>
    <row r="2825" customFormat="1"/>
    <row r="2826" customFormat="1"/>
    <row r="2827" customFormat="1"/>
    <row r="2828" customFormat="1"/>
    <row r="2829" customFormat="1"/>
    <row r="2830" customFormat="1"/>
    <row r="2831" customFormat="1"/>
    <row r="2832" customFormat="1"/>
    <row r="2833" customFormat="1"/>
    <row r="2834" customFormat="1"/>
    <row r="2835" customFormat="1"/>
    <row r="2836" customFormat="1"/>
    <row r="2837" customFormat="1"/>
    <row r="2838" customFormat="1"/>
    <row r="2839" customFormat="1"/>
    <row r="2840" customFormat="1"/>
    <row r="2841" customFormat="1"/>
    <row r="2842" customFormat="1"/>
    <row r="2843" customFormat="1"/>
    <row r="2844" customFormat="1"/>
    <row r="2845" customFormat="1"/>
    <row r="2846" customFormat="1"/>
    <row r="2847" customFormat="1"/>
    <row r="2848" customFormat="1"/>
    <row r="2849" customFormat="1"/>
    <row r="2850" customFormat="1"/>
    <row r="2851" customFormat="1"/>
    <row r="2852" customFormat="1"/>
    <row r="2853" customFormat="1"/>
    <row r="2854" customFormat="1"/>
    <row r="2855" customFormat="1"/>
    <row r="2856" customFormat="1"/>
    <row r="2857" customFormat="1"/>
    <row r="2858" customFormat="1"/>
    <row r="2859" customFormat="1"/>
    <row r="2860" customFormat="1"/>
    <row r="2861" customFormat="1"/>
    <row r="2862" customFormat="1"/>
    <row r="2863" customFormat="1"/>
    <row r="2864" customFormat="1"/>
    <row r="2865" customFormat="1"/>
    <row r="2866" customFormat="1"/>
    <row r="2867" customFormat="1"/>
    <row r="2868" customFormat="1"/>
    <row r="2869" customFormat="1"/>
    <row r="2870" customFormat="1"/>
    <row r="2871" customFormat="1"/>
    <row r="2872" customFormat="1"/>
    <row r="2873" customFormat="1"/>
    <row r="2874" customFormat="1"/>
    <row r="2875" customFormat="1"/>
    <row r="2876" customFormat="1"/>
    <row r="2877" customFormat="1"/>
    <row r="2878" customFormat="1"/>
    <row r="2879" customFormat="1"/>
    <row r="2880" customFormat="1"/>
    <row r="2881" customFormat="1"/>
    <row r="2882" customFormat="1"/>
    <row r="2883" customFormat="1"/>
    <row r="2884" customFormat="1"/>
    <row r="2885" customFormat="1"/>
    <row r="2886" customFormat="1"/>
    <row r="2887" customFormat="1"/>
    <row r="2888" customFormat="1"/>
    <row r="2889" customFormat="1"/>
    <row r="2890" customFormat="1"/>
    <row r="2891" customFormat="1"/>
    <row r="2892" customFormat="1"/>
    <row r="2893" customFormat="1"/>
    <row r="2894" customFormat="1"/>
    <row r="2895" customFormat="1"/>
    <row r="2896" customFormat="1"/>
    <row r="2897" customFormat="1"/>
    <row r="2898" customFormat="1"/>
    <row r="2899" customFormat="1"/>
    <row r="2900" customFormat="1"/>
    <row r="2901" customFormat="1"/>
    <row r="2902" customFormat="1"/>
    <row r="2903" customFormat="1"/>
    <row r="2904" customFormat="1"/>
    <row r="2905" customFormat="1"/>
    <row r="2906" customFormat="1"/>
    <row r="2907" customFormat="1"/>
    <row r="2908" customFormat="1"/>
    <row r="2909" customFormat="1"/>
    <row r="2910" customFormat="1"/>
    <row r="2911" customFormat="1"/>
    <row r="2912" customFormat="1"/>
    <row r="2913" customFormat="1"/>
    <row r="2914" customFormat="1"/>
    <row r="2915" customFormat="1"/>
    <row r="2916" customFormat="1"/>
    <row r="2917" customFormat="1"/>
    <row r="2918" customFormat="1"/>
    <row r="2919" customFormat="1"/>
    <row r="2920" customFormat="1"/>
    <row r="2921" customFormat="1"/>
    <row r="2922" customFormat="1"/>
    <row r="2923" customFormat="1"/>
    <row r="2924" customFormat="1"/>
    <row r="2925" customFormat="1"/>
    <row r="2926" customFormat="1"/>
    <row r="2927" customFormat="1"/>
    <row r="2928" customFormat="1"/>
    <row r="2929" customFormat="1"/>
    <row r="2930" customFormat="1"/>
    <row r="2931" customFormat="1"/>
    <row r="2932" customFormat="1"/>
    <row r="2933" customFormat="1"/>
    <row r="2934" customFormat="1"/>
    <row r="2935" customFormat="1"/>
    <row r="2936" customFormat="1"/>
    <row r="2937" customFormat="1"/>
    <row r="2938" customFormat="1"/>
    <row r="2939" customFormat="1"/>
    <row r="2940" customFormat="1"/>
    <row r="2941" customFormat="1"/>
    <row r="2942" customFormat="1"/>
    <row r="2943" customFormat="1"/>
    <row r="2944" customFormat="1"/>
    <row r="2945" customFormat="1"/>
    <row r="2946" customFormat="1"/>
    <row r="2947" customFormat="1"/>
    <row r="2948" customFormat="1"/>
    <row r="2949" customFormat="1"/>
    <row r="2950" customFormat="1"/>
    <row r="2951" customFormat="1"/>
    <row r="2952" customFormat="1"/>
    <row r="2953" customFormat="1"/>
    <row r="2954" customFormat="1"/>
    <row r="2955" customFormat="1"/>
    <row r="2956" customFormat="1"/>
    <row r="2957" customFormat="1"/>
    <row r="2958" customFormat="1"/>
    <row r="2959" customFormat="1"/>
    <row r="2960" customFormat="1"/>
    <row r="2961" customFormat="1"/>
    <row r="2962" customFormat="1"/>
    <row r="2963" customFormat="1"/>
    <row r="2964" customFormat="1"/>
    <row r="2965" customFormat="1"/>
    <row r="2966" customFormat="1"/>
    <row r="2967" customFormat="1"/>
    <row r="2968" customFormat="1"/>
    <row r="2969" customFormat="1"/>
    <row r="2970" customFormat="1"/>
    <row r="2971" customFormat="1"/>
    <row r="2972" customFormat="1"/>
    <row r="2973" customFormat="1"/>
    <row r="2974" customFormat="1"/>
    <row r="2975" customFormat="1"/>
    <row r="2976" customFormat="1"/>
    <row r="2977" customFormat="1"/>
    <row r="2978" customFormat="1"/>
    <row r="2979" customFormat="1"/>
    <row r="2980" customFormat="1"/>
    <row r="2981" customFormat="1"/>
    <row r="2982" customFormat="1"/>
    <row r="2983" customFormat="1"/>
    <row r="2984" customFormat="1"/>
    <row r="2985" customFormat="1"/>
    <row r="2986" customFormat="1"/>
    <row r="2987" customFormat="1"/>
    <row r="2988" customFormat="1"/>
    <row r="2989" customFormat="1"/>
    <row r="2990" customFormat="1"/>
    <row r="2991" customFormat="1"/>
    <row r="2992" customFormat="1"/>
    <row r="2993" customFormat="1"/>
    <row r="2994" customFormat="1"/>
    <row r="2995" customFormat="1"/>
    <row r="2996" customFormat="1"/>
    <row r="2997" customFormat="1"/>
    <row r="2998" customFormat="1"/>
    <row r="2999" customFormat="1"/>
    <row r="3000" customFormat="1"/>
    <row r="3001" customFormat="1"/>
    <row r="3002" customFormat="1"/>
    <row r="3003" customFormat="1"/>
    <row r="3004" customFormat="1"/>
    <row r="3005" customFormat="1"/>
    <row r="3006" customFormat="1"/>
    <row r="3007" customFormat="1"/>
    <row r="3008" customFormat="1"/>
    <row r="3009" customFormat="1"/>
    <row r="3010" customFormat="1"/>
    <row r="3011" customFormat="1"/>
    <row r="3012" customFormat="1"/>
    <row r="3013" customFormat="1"/>
    <row r="3014" customFormat="1"/>
    <row r="3015" customFormat="1"/>
    <row r="3016" customFormat="1"/>
    <row r="3017" customFormat="1"/>
    <row r="3018" customFormat="1"/>
    <row r="3019" customFormat="1"/>
    <row r="3020" customFormat="1"/>
    <row r="3021" customFormat="1"/>
    <row r="3022" customFormat="1"/>
    <row r="3023" customFormat="1"/>
    <row r="3024" customFormat="1"/>
    <row r="3025" customFormat="1"/>
    <row r="3026" customFormat="1"/>
    <row r="3027" customFormat="1"/>
    <row r="3028" customFormat="1"/>
    <row r="3029" customFormat="1"/>
    <row r="3030" customFormat="1"/>
    <row r="3031" customFormat="1"/>
    <row r="3032" customFormat="1"/>
    <row r="3033" customFormat="1"/>
    <row r="3034" customFormat="1"/>
    <row r="3035" customFormat="1"/>
    <row r="3036" customFormat="1"/>
    <row r="3037" customFormat="1"/>
    <row r="3038" customFormat="1"/>
    <row r="3039" customFormat="1"/>
    <row r="3040" customFormat="1"/>
    <row r="3041" customFormat="1"/>
    <row r="3042" customFormat="1"/>
    <row r="3043" customFormat="1"/>
    <row r="3044" customFormat="1"/>
    <row r="3045" customFormat="1"/>
    <row r="3046" customFormat="1"/>
    <row r="3047" customFormat="1"/>
    <row r="3048" customFormat="1"/>
    <row r="3049" customFormat="1"/>
    <row r="3050" customFormat="1"/>
    <row r="3051" customFormat="1"/>
    <row r="3052" customFormat="1"/>
    <row r="3053" customFormat="1"/>
    <row r="3054" customFormat="1"/>
    <row r="3055" customFormat="1"/>
    <row r="3056" customFormat="1"/>
    <row r="3057" customFormat="1"/>
    <row r="3058" customFormat="1"/>
    <row r="3059" customFormat="1"/>
    <row r="3060" customFormat="1"/>
    <row r="3061" customFormat="1"/>
    <row r="3062" customFormat="1"/>
    <row r="3063" customFormat="1"/>
    <row r="3064" customFormat="1"/>
    <row r="3065" customFormat="1"/>
    <row r="3066" customFormat="1"/>
    <row r="3067" customFormat="1"/>
    <row r="3068" customFormat="1"/>
    <row r="3069" customFormat="1"/>
    <row r="3070" customFormat="1"/>
    <row r="3071" customFormat="1"/>
    <row r="3072" customFormat="1"/>
    <row r="3073" customFormat="1"/>
    <row r="3074" customFormat="1"/>
    <row r="3075" customFormat="1"/>
    <row r="3076" customFormat="1"/>
    <row r="3077" customFormat="1"/>
    <row r="3078" customFormat="1"/>
    <row r="3079" customFormat="1"/>
    <row r="3080" customFormat="1"/>
    <row r="3081" customFormat="1"/>
    <row r="3082" customFormat="1"/>
    <row r="3083" customFormat="1"/>
    <row r="3084" customFormat="1"/>
    <row r="3085" customFormat="1"/>
    <row r="3086" customFormat="1"/>
    <row r="3087" customFormat="1"/>
    <row r="3088" customFormat="1"/>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row r="3117" customFormat="1"/>
    <row r="3118" customFormat="1"/>
    <row r="3119" customFormat="1"/>
    <row r="3120" customFormat="1"/>
    <row r="3121" customFormat="1"/>
    <row r="3122" customFormat="1"/>
    <row r="3123" customFormat="1"/>
    <row r="3124" customFormat="1"/>
    <row r="3125" customFormat="1"/>
    <row r="3126" customFormat="1"/>
    <row r="3127" customFormat="1"/>
    <row r="3128" customFormat="1"/>
    <row r="3129" customFormat="1"/>
    <row r="3130" customFormat="1"/>
    <row r="3131" customFormat="1"/>
    <row r="3132" customFormat="1"/>
    <row r="3133" customFormat="1"/>
    <row r="3134" customFormat="1"/>
    <row r="3135" customFormat="1"/>
    <row r="3136" customFormat="1"/>
    <row r="3137" customFormat="1"/>
    <row r="3138" customFormat="1"/>
    <row r="3139" customFormat="1"/>
    <row r="3140" customFormat="1"/>
    <row r="3141" customFormat="1"/>
    <row r="3142" customFormat="1"/>
    <row r="3143" customFormat="1"/>
    <row r="3144" customFormat="1"/>
    <row r="3145" customFormat="1"/>
    <row r="3146" customFormat="1"/>
    <row r="3147" customFormat="1"/>
    <row r="3148" customFormat="1"/>
    <row r="3149" customFormat="1"/>
    <row r="3150" customFormat="1"/>
    <row r="3151" customFormat="1"/>
    <row r="3152" customFormat="1"/>
    <row r="3153" customFormat="1"/>
    <row r="3154" customFormat="1"/>
    <row r="3155" customFormat="1"/>
    <row r="3156" customFormat="1"/>
    <row r="3157" customFormat="1"/>
    <row r="3158" customFormat="1"/>
    <row r="3159" customFormat="1"/>
    <row r="3160" customFormat="1"/>
    <row r="3161" customFormat="1"/>
    <row r="3162" customFormat="1"/>
    <row r="3163" customFormat="1"/>
    <row r="3164" customFormat="1"/>
    <row r="3165" customFormat="1"/>
    <row r="3166" customFormat="1"/>
    <row r="3167" customFormat="1"/>
    <row r="3168" customFormat="1"/>
    <row r="3169" customFormat="1"/>
    <row r="3170" customFormat="1"/>
    <row r="3171" customFormat="1"/>
    <row r="3172" customFormat="1"/>
    <row r="3173" customFormat="1"/>
    <row r="3174" customFormat="1"/>
    <row r="3175" customFormat="1"/>
    <row r="3176" customFormat="1"/>
    <row r="3177" customFormat="1"/>
    <row r="3178" customFormat="1"/>
    <row r="3179" customFormat="1"/>
    <row r="3180" customFormat="1"/>
    <row r="3181" customFormat="1"/>
    <row r="3182" customFormat="1"/>
    <row r="3183" customFormat="1"/>
    <row r="3184" customFormat="1"/>
    <row r="3185" customFormat="1"/>
    <row r="3186" customFormat="1"/>
    <row r="3187" customFormat="1"/>
    <row r="3188" customFormat="1"/>
    <row r="3189" customFormat="1"/>
    <row r="3190" customFormat="1"/>
    <row r="3191" customFormat="1"/>
    <row r="3192" customFormat="1"/>
    <row r="3193" customFormat="1"/>
    <row r="3194" customFormat="1"/>
    <row r="3195" customFormat="1"/>
    <row r="3196" customFormat="1"/>
    <row r="3197" customFormat="1"/>
    <row r="3198" customFormat="1"/>
    <row r="3199" customFormat="1"/>
    <row r="3200" customFormat="1"/>
    <row r="3201" customFormat="1"/>
    <row r="3202" customFormat="1"/>
    <row r="3203" customFormat="1"/>
    <row r="3204" customFormat="1"/>
    <row r="3205" customFormat="1"/>
    <row r="3206" customFormat="1"/>
    <row r="3207" customFormat="1"/>
    <row r="3208" customFormat="1"/>
    <row r="3209" customFormat="1"/>
    <row r="3210" customFormat="1"/>
    <row r="3211" customFormat="1"/>
    <row r="3212" customFormat="1"/>
    <row r="3213" customFormat="1"/>
    <row r="3214" customFormat="1"/>
    <row r="3215" customFormat="1"/>
    <row r="3216" customFormat="1"/>
    <row r="3217" customFormat="1"/>
    <row r="3218" customFormat="1"/>
    <row r="3219" customFormat="1"/>
    <row r="3220" customFormat="1"/>
    <row r="3221" customFormat="1"/>
    <row r="3222" customFormat="1"/>
    <row r="3223" customFormat="1"/>
    <row r="3224" customFormat="1"/>
    <row r="3225" customFormat="1"/>
    <row r="3226" customFormat="1"/>
    <row r="3227" customFormat="1"/>
    <row r="3228" customFormat="1"/>
    <row r="3229" customFormat="1"/>
    <row r="3230" customFormat="1"/>
    <row r="3231" customFormat="1"/>
    <row r="3232" customFormat="1"/>
    <row r="3233" customFormat="1"/>
    <row r="3234" customFormat="1"/>
    <row r="3235" customFormat="1"/>
    <row r="3236" customFormat="1"/>
    <row r="3237" customFormat="1"/>
    <row r="3238" customFormat="1"/>
    <row r="3239" customFormat="1"/>
    <row r="3240" customFormat="1"/>
    <row r="3241" customFormat="1"/>
    <row r="3242" customFormat="1"/>
    <row r="3243" customFormat="1"/>
    <row r="3244" customFormat="1"/>
    <row r="3245" customFormat="1"/>
    <row r="3246" customFormat="1"/>
    <row r="3247" customFormat="1"/>
    <row r="3248" customFormat="1"/>
    <row r="3249" customFormat="1"/>
    <row r="3250" customFormat="1"/>
    <row r="3251" customFormat="1"/>
    <row r="3252" customFormat="1"/>
    <row r="3253" customFormat="1"/>
    <row r="3254" customFormat="1"/>
    <row r="3255" customFormat="1"/>
    <row r="3256" customFormat="1"/>
    <row r="3257" customFormat="1"/>
    <row r="3258" customFormat="1"/>
    <row r="3259" customFormat="1"/>
    <row r="3260" customFormat="1"/>
    <row r="3261" customFormat="1"/>
    <row r="3262" customFormat="1"/>
    <row r="3263" customFormat="1"/>
    <row r="3264" customFormat="1"/>
    <row r="3265" customFormat="1"/>
    <row r="3266" customFormat="1"/>
    <row r="3267" customFormat="1"/>
    <row r="3268" customFormat="1"/>
    <row r="3269" customFormat="1"/>
    <row r="3270" customFormat="1"/>
    <row r="3271" customFormat="1"/>
    <row r="3272" customFormat="1"/>
    <row r="3273" customFormat="1"/>
    <row r="3274" customFormat="1"/>
    <row r="3275" customFormat="1"/>
    <row r="3276" customFormat="1"/>
    <row r="3277" customFormat="1"/>
    <row r="3278" customFormat="1"/>
    <row r="3279" customFormat="1"/>
    <row r="3280" customFormat="1"/>
    <row r="3281" customFormat="1"/>
    <row r="3282" customFormat="1"/>
    <row r="3283" customFormat="1"/>
    <row r="3284" customFormat="1"/>
    <row r="3285" customFormat="1"/>
    <row r="3286" customFormat="1"/>
    <row r="3287" customFormat="1"/>
    <row r="3288" customFormat="1"/>
    <row r="3289" customFormat="1"/>
    <row r="3290" customFormat="1"/>
    <row r="3291" customFormat="1"/>
    <row r="3292" customFormat="1"/>
    <row r="3293" customFormat="1"/>
    <row r="3294" customFormat="1"/>
    <row r="3295" customFormat="1"/>
    <row r="3296" customFormat="1"/>
    <row r="3297" customFormat="1"/>
    <row r="3298" customFormat="1"/>
    <row r="3299" customFormat="1"/>
    <row r="3300" customFormat="1"/>
    <row r="3301" customFormat="1"/>
    <row r="3302" customFormat="1"/>
    <row r="3303" customFormat="1"/>
    <row r="3304" customFormat="1"/>
    <row r="3305" customFormat="1"/>
    <row r="3306" customFormat="1"/>
    <row r="3307" customFormat="1"/>
    <row r="3308" customFormat="1"/>
    <row r="3309" customFormat="1"/>
    <row r="3310" customFormat="1"/>
    <row r="3311" customFormat="1"/>
    <row r="3312" customFormat="1"/>
    <row r="3313" customFormat="1"/>
    <row r="3314" customFormat="1"/>
    <row r="3315" customFormat="1"/>
    <row r="3316" customFormat="1"/>
    <row r="3317" customFormat="1"/>
    <row r="3318" customFormat="1"/>
    <row r="3319" customFormat="1"/>
    <row r="3320" customFormat="1"/>
    <row r="3321" customFormat="1"/>
    <row r="3322" customFormat="1"/>
    <row r="3323" customFormat="1"/>
    <row r="3324" customFormat="1"/>
    <row r="3325" customFormat="1"/>
    <row r="3326" customFormat="1"/>
    <row r="3327" customFormat="1"/>
    <row r="3328" customFormat="1"/>
    <row r="3329" customFormat="1"/>
    <row r="3330" customFormat="1"/>
    <row r="3331" customFormat="1"/>
    <row r="3332" customFormat="1"/>
    <row r="3333" customFormat="1"/>
    <row r="3334" customFormat="1"/>
    <row r="3335" customFormat="1"/>
    <row r="3336" customFormat="1"/>
    <row r="3337" customFormat="1"/>
    <row r="3338" customFormat="1"/>
    <row r="3339" customFormat="1"/>
    <row r="3340" customFormat="1"/>
    <row r="3341" customFormat="1"/>
    <row r="3342" customFormat="1"/>
    <row r="3343" customFormat="1"/>
    <row r="3344" customFormat="1"/>
    <row r="3345" customFormat="1"/>
    <row r="3346" customFormat="1"/>
    <row r="3347" customFormat="1"/>
    <row r="3348" customFormat="1"/>
    <row r="3349" customFormat="1"/>
    <row r="3350" customFormat="1"/>
    <row r="3351" customFormat="1"/>
    <row r="3352" customFormat="1"/>
    <row r="3353" customFormat="1"/>
    <row r="3354" customFormat="1"/>
    <row r="3355" customFormat="1"/>
    <row r="3356" customFormat="1"/>
    <row r="3357" customFormat="1"/>
    <row r="3358" customFormat="1"/>
    <row r="3359" customFormat="1"/>
    <row r="3360" customFormat="1"/>
    <row r="3361" customFormat="1"/>
    <row r="3362" customFormat="1"/>
    <row r="3363" customFormat="1"/>
    <row r="3364" customFormat="1"/>
    <row r="3365" customFormat="1"/>
    <row r="3366" customFormat="1"/>
    <row r="3367" customFormat="1"/>
    <row r="3368" customFormat="1"/>
    <row r="3369" customFormat="1"/>
    <row r="3370" customFormat="1"/>
    <row r="3371" customFormat="1"/>
    <row r="3372" customFormat="1"/>
    <row r="3373" customFormat="1"/>
    <row r="3374" customFormat="1"/>
    <row r="3375" customFormat="1"/>
    <row r="3376" customFormat="1"/>
    <row r="3377" customFormat="1"/>
    <row r="3378" customFormat="1"/>
    <row r="3379" customFormat="1"/>
    <row r="3380" customFormat="1"/>
    <row r="3381" customFormat="1"/>
    <row r="3382" customFormat="1"/>
    <row r="3383" customFormat="1"/>
    <row r="3384" customFormat="1"/>
    <row r="3385" customFormat="1"/>
    <row r="3386" customFormat="1"/>
    <row r="3387" customFormat="1"/>
    <row r="3388" customFormat="1"/>
    <row r="3389" customFormat="1"/>
    <row r="3390" customFormat="1"/>
    <row r="3391" customFormat="1"/>
    <row r="3392" customFormat="1"/>
    <row r="3393" customFormat="1"/>
    <row r="3394" customFormat="1"/>
    <row r="3395" customFormat="1"/>
    <row r="3396" customFormat="1"/>
    <row r="3397" customFormat="1"/>
    <row r="3398" customFormat="1"/>
    <row r="3399" customFormat="1"/>
    <row r="3400" customFormat="1"/>
    <row r="3401" customFormat="1"/>
    <row r="3402" customFormat="1"/>
    <row r="3403" customFormat="1"/>
    <row r="3404" customFormat="1"/>
    <row r="3405" customFormat="1"/>
    <row r="3406" customFormat="1"/>
    <row r="3407" customFormat="1"/>
    <row r="3408" customFormat="1"/>
    <row r="3409" customFormat="1"/>
    <row r="3410" customFormat="1"/>
    <row r="3411" customFormat="1"/>
    <row r="3412" customFormat="1"/>
    <row r="3413" customFormat="1"/>
    <row r="3414" customFormat="1"/>
    <row r="3415" customFormat="1"/>
    <row r="3416" customFormat="1"/>
    <row r="3417" customFormat="1"/>
    <row r="3418" customFormat="1"/>
    <row r="3419" customFormat="1"/>
    <row r="3420" customFormat="1"/>
    <row r="3421" customFormat="1"/>
    <row r="3422" customFormat="1"/>
    <row r="3423" customFormat="1"/>
    <row r="3424" customFormat="1"/>
    <row r="3425" customFormat="1"/>
    <row r="3426" customFormat="1"/>
    <row r="3427" customFormat="1"/>
    <row r="3428" customFormat="1"/>
    <row r="3429" customFormat="1"/>
    <row r="3430" customFormat="1"/>
    <row r="3431" customFormat="1"/>
    <row r="3432" customFormat="1"/>
    <row r="3433" customFormat="1"/>
    <row r="3434" customFormat="1"/>
    <row r="3435" customFormat="1"/>
    <row r="3436" customFormat="1"/>
    <row r="3437" customFormat="1"/>
    <row r="3438" customFormat="1"/>
    <row r="3439" customFormat="1"/>
    <row r="3440" customFormat="1"/>
    <row r="3441" customFormat="1"/>
    <row r="3442" customFormat="1"/>
    <row r="3443" customFormat="1"/>
    <row r="3444" customFormat="1"/>
    <row r="3445" customFormat="1"/>
    <row r="3446" customFormat="1"/>
    <row r="3447" customFormat="1"/>
    <row r="3448" customFormat="1"/>
    <row r="3449" customFormat="1"/>
    <row r="3450" customFormat="1"/>
    <row r="3451" customFormat="1"/>
    <row r="3452" customFormat="1"/>
    <row r="3453" customFormat="1"/>
    <row r="3454" customFormat="1"/>
    <row r="3455" customFormat="1"/>
    <row r="3456" customFormat="1"/>
    <row r="3457" customFormat="1"/>
    <row r="3458" customFormat="1"/>
    <row r="3459" customFormat="1"/>
    <row r="3460" customFormat="1"/>
    <row r="3461" customFormat="1"/>
    <row r="3462" customFormat="1"/>
    <row r="3463" customFormat="1"/>
    <row r="3464" customFormat="1"/>
    <row r="3465" customFormat="1"/>
    <row r="3466" customFormat="1"/>
    <row r="3467" customFormat="1"/>
    <row r="3468" customFormat="1"/>
    <row r="3469" customFormat="1"/>
    <row r="3470" customFormat="1"/>
    <row r="3471" customFormat="1"/>
    <row r="3472" customFormat="1"/>
    <row r="3473" customFormat="1"/>
    <row r="3474" customFormat="1"/>
    <row r="3475" customFormat="1"/>
    <row r="3476" customFormat="1"/>
    <row r="3477" customFormat="1"/>
    <row r="3478" customFormat="1"/>
    <row r="3479" customFormat="1"/>
    <row r="3480" customFormat="1"/>
    <row r="3481" customFormat="1"/>
    <row r="3482" customFormat="1"/>
    <row r="3483" customFormat="1"/>
    <row r="3484" customFormat="1"/>
    <row r="3485" customFormat="1"/>
    <row r="3486" customFormat="1"/>
    <row r="3487" customFormat="1"/>
    <row r="3488" customFormat="1"/>
    <row r="3489" customFormat="1"/>
    <row r="3490" customFormat="1"/>
    <row r="3491" customFormat="1"/>
    <row r="3492" customFormat="1"/>
    <row r="3493" customFormat="1"/>
    <row r="3494" customFormat="1"/>
    <row r="3495" customFormat="1"/>
    <row r="3496" customFormat="1"/>
    <row r="3497" customFormat="1"/>
    <row r="3498" customFormat="1"/>
    <row r="3499" customFormat="1"/>
    <row r="3500" customFormat="1"/>
    <row r="3501" customFormat="1"/>
    <row r="3502" customFormat="1"/>
    <row r="3503" customFormat="1"/>
    <row r="3504" customFormat="1"/>
    <row r="3505" customFormat="1"/>
    <row r="3506" customFormat="1"/>
    <row r="3507" customFormat="1"/>
    <row r="3508" customFormat="1"/>
    <row r="3509" customFormat="1"/>
    <row r="3510" customFormat="1"/>
    <row r="3511" customFormat="1"/>
    <row r="3512" customFormat="1"/>
    <row r="3513" customFormat="1"/>
    <row r="3514" customFormat="1"/>
    <row r="3515" customFormat="1"/>
    <row r="3516" customFormat="1"/>
    <row r="3517" customFormat="1"/>
    <row r="3518" customFormat="1"/>
    <row r="3519" customFormat="1"/>
    <row r="3520" customFormat="1"/>
    <row r="3521" customFormat="1"/>
    <row r="3522" customFormat="1"/>
    <row r="3523" customFormat="1"/>
    <row r="3524" customFormat="1"/>
    <row r="3525" customFormat="1"/>
    <row r="3526" customFormat="1"/>
    <row r="3527" customFormat="1"/>
    <row r="3528" customFormat="1"/>
    <row r="3529" customFormat="1"/>
    <row r="3530" customFormat="1"/>
    <row r="3531" customFormat="1"/>
    <row r="3532" customFormat="1"/>
    <row r="3533" customFormat="1"/>
    <row r="3534" customFormat="1"/>
    <row r="3535" customFormat="1"/>
    <row r="3536" customFormat="1"/>
    <row r="3537" customFormat="1"/>
    <row r="3538" customFormat="1"/>
    <row r="3539" customFormat="1"/>
    <row r="3540" customFormat="1"/>
    <row r="3541" customFormat="1"/>
    <row r="3542" customFormat="1"/>
    <row r="3543" customFormat="1"/>
    <row r="3544" customFormat="1"/>
    <row r="3545" customFormat="1"/>
    <row r="3546" customFormat="1"/>
    <row r="3547" customFormat="1"/>
    <row r="3548" customFormat="1"/>
    <row r="3549" customFormat="1"/>
    <row r="3550" customFormat="1"/>
    <row r="3551" customFormat="1"/>
    <row r="3552" customFormat="1"/>
    <row r="3553" customFormat="1"/>
    <row r="3554" customFormat="1"/>
    <row r="3555" customFormat="1"/>
    <row r="3556" customFormat="1"/>
    <row r="3557" customFormat="1"/>
    <row r="3558" customFormat="1"/>
    <row r="3559" customFormat="1"/>
    <row r="3560" customFormat="1"/>
    <row r="3561" customFormat="1"/>
    <row r="3562" customFormat="1"/>
    <row r="3563" customFormat="1"/>
    <row r="3564" customFormat="1"/>
    <row r="3565" customFormat="1"/>
    <row r="3566" customFormat="1"/>
    <row r="3567" customFormat="1"/>
    <row r="3568" customFormat="1"/>
    <row r="3569" customFormat="1"/>
    <row r="3570" customFormat="1"/>
    <row r="3571" customFormat="1"/>
    <row r="3572" customFormat="1"/>
    <row r="3573" customFormat="1"/>
    <row r="3574" customFormat="1"/>
    <row r="3575" customFormat="1"/>
    <row r="3576" customFormat="1"/>
    <row r="3577" customFormat="1"/>
    <row r="3578" customFormat="1"/>
    <row r="3579" customFormat="1"/>
    <row r="3580" customFormat="1"/>
    <row r="3581" customFormat="1"/>
    <row r="3582" customFormat="1"/>
    <row r="3583" customFormat="1"/>
    <row r="3584" customFormat="1"/>
    <row r="3585" customFormat="1"/>
    <row r="3586" customFormat="1"/>
    <row r="3587" customFormat="1"/>
    <row r="3588" customFormat="1"/>
    <row r="3589" customFormat="1"/>
    <row r="3590" customFormat="1"/>
    <row r="3591" customFormat="1"/>
    <row r="3592" customFormat="1"/>
    <row r="3593" customFormat="1"/>
    <row r="3594" customFormat="1"/>
    <row r="3595" customFormat="1"/>
    <row r="3596" customFormat="1"/>
    <row r="3597" customFormat="1"/>
    <row r="3598" customFormat="1"/>
    <row r="3599" customFormat="1"/>
    <row r="3600" customFormat="1"/>
    <row r="3601" customFormat="1"/>
    <row r="3602" customFormat="1"/>
    <row r="3603" customFormat="1"/>
    <row r="3604" customFormat="1"/>
    <row r="3605" customFormat="1"/>
    <row r="3606" customFormat="1"/>
    <row r="3607" customFormat="1"/>
    <row r="3608" customFormat="1"/>
    <row r="3609" customFormat="1"/>
    <row r="3610" customFormat="1"/>
    <row r="3611" customFormat="1"/>
    <row r="3612" customFormat="1"/>
    <row r="3613" customFormat="1"/>
    <row r="3614" customFormat="1"/>
    <row r="3615" customFormat="1"/>
    <row r="3616" customFormat="1"/>
    <row r="3617" customFormat="1"/>
    <row r="3618" customFormat="1"/>
    <row r="3619" customFormat="1"/>
    <row r="3620" customFormat="1"/>
    <row r="3621" customFormat="1"/>
    <row r="3622" customFormat="1"/>
    <row r="3623" customFormat="1"/>
    <row r="3624" customFormat="1"/>
    <row r="3625" customFormat="1"/>
    <row r="3626" customFormat="1"/>
    <row r="3627" customFormat="1"/>
    <row r="3628" customFormat="1"/>
    <row r="3629" customFormat="1"/>
    <row r="3630" customFormat="1"/>
    <row r="3631" customFormat="1"/>
    <row r="3632" customFormat="1"/>
    <row r="3633" customFormat="1"/>
    <row r="3634" customFormat="1"/>
    <row r="3635" customFormat="1"/>
    <row r="3636" customFormat="1"/>
    <row r="3637" customFormat="1"/>
    <row r="3638" customFormat="1"/>
    <row r="3639" customFormat="1"/>
    <row r="3640" customFormat="1"/>
    <row r="3641" customFormat="1"/>
    <row r="3642" customFormat="1"/>
    <row r="3643" customFormat="1"/>
    <row r="3644" customFormat="1"/>
    <row r="3645" customFormat="1"/>
    <row r="3646" customFormat="1"/>
    <row r="3647" customFormat="1"/>
    <row r="3648" customFormat="1"/>
    <row r="3649" customFormat="1"/>
    <row r="3650" customFormat="1"/>
    <row r="3651" customFormat="1"/>
    <row r="3652" customFormat="1"/>
    <row r="3653" customFormat="1"/>
    <row r="3654" customFormat="1"/>
    <row r="3655" customFormat="1"/>
    <row r="3656" customFormat="1"/>
    <row r="3657" customFormat="1"/>
    <row r="3658" customFormat="1"/>
    <row r="3659" customFormat="1"/>
    <row r="3660" customFormat="1"/>
    <row r="3661" customFormat="1"/>
    <row r="3662" customFormat="1"/>
    <row r="3663" customFormat="1"/>
    <row r="3664" customFormat="1"/>
    <row r="3665" customFormat="1"/>
    <row r="3666" customFormat="1"/>
    <row r="3667" customFormat="1"/>
    <row r="3668" customFormat="1"/>
    <row r="3669" customFormat="1"/>
    <row r="3670" customFormat="1"/>
    <row r="3671" customFormat="1"/>
    <row r="3672" customFormat="1"/>
    <row r="3673" customFormat="1"/>
    <row r="3674" customFormat="1"/>
    <row r="3675" customFormat="1"/>
    <row r="3676" customFormat="1"/>
    <row r="3677" customFormat="1"/>
    <row r="3678" customFormat="1"/>
    <row r="3679" customFormat="1"/>
    <row r="3680" customFormat="1"/>
    <row r="3681" customFormat="1"/>
    <row r="3682" customFormat="1"/>
    <row r="3683" customFormat="1"/>
    <row r="3684" customFormat="1"/>
    <row r="3685" customFormat="1"/>
    <row r="3686" customFormat="1"/>
    <row r="3687" customFormat="1"/>
    <row r="3688" customFormat="1"/>
    <row r="3689" customFormat="1"/>
    <row r="3690" customFormat="1"/>
    <row r="3691" customFormat="1"/>
    <row r="3692" customFormat="1"/>
    <row r="3693" customFormat="1"/>
    <row r="3694" customFormat="1"/>
    <row r="3695" customFormat="1"/>
    <row r="3696" customFormat="1"/>
    <row r="3697" customFormat="1"/>
    <row r="3698" customFormat="1"/>
    <row r="3699" customFormat="1"/>
    <row r="3700" customFormat="1"/>
    <row r="3701" customFormat="1"/>
    <row r="3702" customFormat="1"/>
    <row r="3703" customFormat="1"/>
    <row r="3704" customFormat="1"/>
    <row r="3705" customFormat="1"/>
    <row r="3706" customFormat="1"/>
    <row r="3707" customFormat="1"/>
    <row r="3708" customFormat="1"/>
    <row r="3709" customFormat="1"/>
    <row r="3710" customFormat="1"/>
    <row r="3711" customFormat="1"/>
    <row r="3712" customFormat="1"/>
    <row r="3713" customFormat="1"/>
    <row r="3714" customFormat="1"/>
    <row r="3715" customFormat="1"/>
    <row r="3716" customFormat="1"/>
    <row r="3717" customFormat="1"/>
    <row r="3718" customFormat="1"/>
    <row r="3719" customFormat="1"/>
    <row r="3720" customFormat="1"/>
    <row r="3721" customFormat="1"/>
    <row r="3722" customFormat="1"/>
    <row r="3723" customFormat="1"/>
    <row r="3724" customFormat="1"/>
    <row r="3725" customFormat="1"/>
    <row r="3726" customFormat="1"/>
    <row r="3727" customFormat="1"/>
    <row r="3728" customFormat="1"/>
    <row r="3729" customFormat="1"/>
    <row r="3730" customFormat="1"/>
    <row r="3731" customFormat="1"/>
    <row r="3732" customFormat="1"/>
    <row r="3733" customFormat="1"/>
    <row r="3734" customFormat="1"/>
    <row r="3735" customFormat="1"/>
    <row r="3736" customFormat="1"/>
    <row r="3737" customFormat="1"/>
    <row r="3738" customFormat="1"/>
    <row r="3739" customFormat="1"/>
    <row r="3740" customFormat="1"/>
    <row r="3741" customFormat="1"/>
    <row r="3742" customFormat="1"/>
    <row r="3743" customFormat="1"/>
    <row r="3744" customFormat="1"/>
    <row r="3745" customFormat="1"/>
    <row r="3746" customFormat="1"/>
    <row r="3747" customFormat="1"/>
    <row r="3748" customFormat="1"/>
    <row r="3749" customFormat="1"/>
    <row r="3750" customFormat="1"/>
    <row r="3751" customFormat="1"/>
    <row r="3752" customFormat="1"/>
    <row r="3753" customFormat="1"/>
    <row r="3754" customFormat="1"/>
    <row r="3755" customFormat="1"/>
    <row r="3756" customFormat="1"/>
    <row r="3757" customFormat="1"/>
    <row r="3758" customFormat="1"/>
    <row r="3759" customFormat="1"/>
    <row r="3760" customFormat="1"/>
    <row r="3761" customFormat="1"/>
    <row r="3762" customFormat="1"/>
    <row r="3763" customFormat="1"/>
    <row r="3764" customFormat="1"/>
    <row r="3765" customFormat="1"/>
    <row r="3766" customFormat="1"/>
    <row r="3767" customFormat="1"/>
    <row r="3768" customFormat="1"/>
    <row r="3769" customFormat="1"/>
    <row r="3770" customFormat="1"/>
    <row r="3771" customFormat="1"/>
    <row r="3772" customFormat="1"/>
    <row r="3773" customFormat="1"/>
    <row r="3774" customFormat="1"/>
    <row r="3775" customFormat="1"/>
    <row r="3776" customFormat="1"/>
    <row r="3777" customFormat="1"/>
    <row r="3778" customFormat="1"/>
    <row r="3779" customFormat="1"/>
    <row r="3780" customFormat="1"/>
    <row r="3781" customFormat="1"/>
    <row r="3782" customFormat="1"/>
    <row r="3783" customFormat="1"/>
    <row r="3784" customFormat="1"/>
    <row r="3785" customFormat="1"/>
    <row r="3786" customFormat="1"/>
    <row r="3787" customFormat="1"/>
    <row r="3788" customFormat="1"/>
    <row r="3789" customFormat="1"/>
    <row r="3790" customFormat="1"/>
    <row r="3791" customFormat="1"/>
    <row r="3792" customFormat="1"/>
    <row r="3793" customFormat="1"/>
    <row r="3794" customFormat="1"/>
    <row r="3795" customFormat="1"/>
    <row r="3796" customFormat="1"/>
    <row r="3797" customFormat="1"/>
    <row r="3798" customFormat="1"/>
    <row r="3799" customFormat="1"/>
    <row r="3800" customFormat="1"/>
    <row r="3801" customFormat="1"/>
    <row r="3802" customFormat="1"/>
    <row r="3803" customFormat="1"/>
    <row r="3804" customFormat="1"/>
    <row r="3805" customFormat="1"/>
    <row r="3806" customFormat="1"/>
    <row r="3807" customFormat="1"/>
    <row r="3808" customFormat="1"/>
    <row r="3809" customFormat="1"/>
    <row r="3810" customFormat="1"/>
    <row r="3811" customFormat="1"/>
    <row r="3812" customFormat="1"/>
    <row r="3813" customFormat="1"/>
    <row r="3814" customFormat="1"/>
    <row r="3815" customFormat="1"/>
    <row r="3816" customFormat="1"/>
    <row r="3817" customFormat="1"/>
    <row r="3818" customFormat="1"/>
    <row r="3819" customFormat="1"/>
    <row r="3820" customFormat="1"/>
    <row r="3821" customFormat="1"/>
    <row r="3822" customFormat="1"/>
    <row r="3823" customFormat="1"/>
    <row r="3824" customFormat="1"/>
    <row r="3825" customFormat="1"/>
    <row r="3826" customFormat="1"/>
    <row r="3827" customFormat="1"/>
    <row r="3828" customFormat="1"/>
    <row r="3829" customFormat="1"/>
    <row r="3830" customFormat="1"/>
    <row r="3831" customFormat="1"/>
    <row r="3832" customFormat="1"/>
    <row r="3833" customFormat="1"/>
    <row r="3834" customFormat="1"/>
    <row r="3835" customFormat="1"/>
    <row r="3836" customFormat="1"/>
    <row r="3837" customFormat="1"/>
    <row r="3838" customFormat="1"/>
    <row r="3839" customFormat="1"/>
    <row r="3840" customFormat="1"/>
    <row r="3841" customFormat="1"/>
    <row r="3842" customFormat="1"/>
    <row r="3843" customFormat="1"/>
    <row r="3844" customFormat="1"/>
    <row r="3845" customFormat="1"/>
    <row r="3846" customFormat="1"/>
    <row r="3847" customFormat="1"/>
    <row r="3848" customFormat="1"/>
    <row r="3849" customFormat="1"/>
    <row r="3850" customFormat="1"/>
    <row r="3851" customFormat="1"/>
    <row r="3852" customFormat="1"/>
    <row r="3853" customFormat="1"/>
    <row r="3854" customFormat="1"/>
    <row r="3855" customFormat="1"/>
    <row r="3856" customFormat="1"/>
    <row r="3857" customFormat="1"/>
    <row r="3858" customFormat="1"/>
    <row r="3859" customFormat="1"/>
    <row r="3860" customFormat="1"/>
    <row r="3861" customFormat="1"/>
    <row r="3862" customFormat="1"/>
    <row r="3863" customFormat="1"/>
    <row r="3864" customFormat="1"/>
    <row r="3865" customFormat="1"/>
    <row r="3866" customFormat="1"/>
    <row r="3867" customFormat="1"/>
    <row r="3868" customFormat="1"/>
    <row r="3869" customFormat="1"/>
    <row r="3870" customFormat="1"/>
    <row r="3871" customFormat="1"/>
    <row r="3872" customFormat="1"/>
    <row r="3873" customFormat="1"/>
    <row r="3874" customFormat="1"/>
    <row r="3875" customFormat="1"/>
    <row r="3876" customFormat="1"/>
    <row r="3877" customFormat="1"/>
    <row r="3878" customFormat="1"/>
    <row r="3879" customFormat="1"/>
    <row r="3880" customFormat="1"/>
    <row r="3881" customFormat="1"/>
    <row r="3882" customFormat="1"/>
    <row r="3883" customFormat="1"/>
    <row r="3884" customFormat="1"/>
    <row r="3885" customFormat="1"/>
    <row r="3886" customFormat="1"/>
    <row r="3887" customFormat="1"/>
    <row r="3888" customFormat="1"/>
    <row r="3889" customFormat="1"/>
    <row r="3890" customFormat="1"/>
    <row r="3891" customFormat="1"/>
    <row r="3892" customFormat="1"/>
    <row r="3893" customFormat="1"/>
    <row r="3894" customFormat="1"/>
    <row r="3895" customFormat="1"/>
    <row r="3896" customFormat="1"/>
    <row r="3897" customFormat="1"/>
    <row r="3898" customFormat="1"/>
    <row r="3899" customFormat="1"/>
    <row r="3900" customFormat="1"/>
    <row r="3901" customFormat="1"/>
    <row r="3902" customFormat="1"/>
    <row r="3903" customFormat="1"/>
    <row r="3904" customFormat="1"/>
    <row r="3905" customFormat="1"/>
    <row r="3906" customFormat="1"/>
    <row r="3907" customFormat="1"/>
    <row r="3908" customFormat="1"/>
    <row r="3909" customFormat="1"/>
    <row r="3910" customFormat="1"/>
    <row r="3911" customFormat="1"/>
    <row r="3912" customFormat="1"/>
    <row r="3913" customFormat="1"/>
    <row r="3914" customFormat="1"/>
    <row r="3915" customFormat="1"/>
    <row r="3916" customFormat="1"/>
    <row r="3917" customFormat="1"/>
    <row r="3918" customFormat="1"/>
    <row r="3919" customFormat="1"/>
    <row r="3920" customFormat="1"/>
    <row r="3921" customFormat="1"/>
    <row r="3922" customFormat="1"/>
    <row r="3923" customFormat="1"/>
    <row r="3924" customFormat="1"/>
    <row r="3925" customFormat="1"/>
    <row r="3926" customFormat="1"/>
    <row r="3927" customFormat="1"/>
    <row r="3928" customFormat="1"/>
    <row r="3929" customFormat="1"/>
    <row r="3930" customFormat="1"/>
    <row r="3931" customFormat="1"/>
    <row r="3932" customFormat="1"/>
    <row r="3933" customFormat="1"/>
    <row r="3934" customFormat="1"/>
    <row r="3935" customFormat="1"/>
    <row r="3936" customFormat="1"/>
    <row r="3937" customFormat="1"/>
    <row r="3938" customFormat="1"/>
    <row r="3939" customFormat="1"/>
    <row r="3940" customFormat="1"/>
    <row r="3941" customFormat="1"/>
    <row r="3942" customFormat="1"/>
    <row r="3943" customFormat="1"/>
    <row r="3944" customFormat="1"/>
    <row r="3945" customFormat="1"/>
    <row r="3946" customFormat="1"/>
    <row r="3947" customFormat="1"/>
    <row r="3948" customFormat="1"/>
    <row r="3949" customFormat="1"/>
    <row r="3950" customFormat="1"/>
    <row r="3951" customFormat="1"/>
    <row r="3952" customFormat="1"/>
    <row r="3953" customFormat="1"/>
    <row r="3954" customFormat="1"/>
    <row r="3955" customFormat="1"/>
    <row r="3956" customFormat="1"/>
    <row r="3957" customFormat="1"/>
    <row r="3958" customFormat="1"/>
    <row r="3959" customFormat="1"/>
    <row r="3960" customFormat="1"/>
    <row r="3961" customFormat="1"/>
    <row r="3962" customFormat="1"/>
    <row r="3963" customFormat="1"/>
    <row r="3964" customFormat="1"/>
    <row r="3965" customFormat="1"/>
    <row r="3966" customFormat="1"/>
    <row r="3967" customFormat="1"/>
    <row r="3968" customFormat="1"/>
    <row r="3969" customFormat="1"/>
    <row r="3970" customFormat="1"/>
    <row r="3971" customFormat="1"/>
    <row r="3972" customFormat="1"/>
    <row r="3973" customFormat="1"/>
    <row r="3974" customFormat="1"/>
    <row r="3975" customFormat="1"/>
    <row r="3976" customFormat="1"/>
    <row r="3977" customFormat="1"/>
    <row r="3978" customFormat="1"/>
    <row r="3979" customFormat="1"/>
    <row r="3980" customFormat="1"/>
    <row r="3981" customFormat="1"/>
    <row r="3982" customFormat="1"/>
    <row r="3983" customFormat="1"/>
    <row r="3984" customFormat="1"/>
    <row r="3985" customFormat="1"/>
    <row r="3986" customFormat="1"/>
    <row r="3987" customFormat="1"/>
    <row r="3988" customFormat="1"/>
    <row r="3989" customFormat="1"/>
    <row r="3990" customFormat="1"/>
    <row r="3991" customFormat="1"/>
    <row r="3992" customFormat="1"/>
    <row r="3993" customFormat="1"/>
    <row r="3994" customFormat="1"/>
    <row r="3995" customFormat="1"/>
    <row r="3996" customFormat="1"/>
    <row r="3997" customFormat="1"/>
    <row r="3998" customFormat="1"/>
    <row r="3999" customFormat="1"/>
    <row r="4000" customFormat="1"/>
    <row r="4001" customFormat="1"/>
    <row r="4002" customFormat="1"/>
    <row r="4003" customFormat="1"/>
    <row r="4004" customFormat="1"/>
    <row r="4005" customFormat="1"/>
    <row r="4006" customFormat="1"/>
    <row r="4007" customFormat="1"/>
    <row r="4008" customFormat="1"/>
    <row r="4009" customFormat="1"/>
    <row r="4010" customFormat="1"/>
    <row r="4011" customFormat="1"/>
    <row r="4012" customFormat="1"/>
    <row r="4013" customFormat="1"/>
    <row r="4014" customFormat="1"/>
    <row r="4015" customFormat="1"/>
    <row r="4016" customFormat="1"/>
    <row r="4017" customFormat="1"/>
    <row r="4018" customFormat="1"/>
    <row r="4019" customFormat="1"/>
    <row r="4020" customFormat="1"/>
    <row r="4021" customFormat="1"/>
    <row r="4022" customFormat="1"/>
    <row r="4023" customFormat="1"/>
    <row r="4024" customFormat="1"/>
    <row r="4025" customFormat="1"/>
    <row r="4026" customFormat="1"/>
    <row r="4027" customFormat="1"/>
    <row r="4028" customFormat="1"/>
    <row r="4029" customFormat="1"/>
    <row r="4030" customFormat="1"/>
    <row r="4031" customFormat="1"/>
    <row r="4032" customFormat="1"/>
    <row r="4033" customFormat="1"/>
    <row r="4034" customFormat="1"/>
    <row r="4035" customFormat="1"/>
    <row r="4036" customFormat="1"/>
    <row r="4037" customFormat="1"/>
    <row r="4038" customFormat="1"/>
    <row r="4039" customFormat="1"/>
    <row r="4040" customFormat="1"/>
    <row r="4041" customFormat="1"/>
    <row r="4042" customFormat="1"/>
    <row r="4043" customFormat="1"/>
    <row r="4044" customFormat="1"/>
    <row r="4045" customFormat="1"/>
    <row r="4046" customFormat="1"/>
    <row r="4047" customFormat="1"/>
    <row r="4048" customFormat="1"/>
    <row r="4049" customFormat="1"/>
    <row r="4050" customFormat="1"/>
    <row r="4051" customFormat="1"/>
    <row r="4052" customFormat="1"/>
    <row r="4053" customFormat="1"/>
    <row r="4054" customFormat="1"/>
    <row r="4055" customFormat="1"/>
    <row r="4056" customFormat="1"/>
    <row r="4057" customFormat="1"/>
    <row r="4058" customFormat="1"/>
    <row r="4059" customFormat="1"/>
    <row r="4060" customFormat="1"/>
    <row r="4061" customFormat="1"/>
    <row r="4062" customFormat="1"/>
    <row r="4063" customFormat="1"/>
    <row r="4064" customFormat="1"/>
    <row r="4065" customFormat="1"/>
    <row r="4066" customFormat="1"/>
    <row r="4067" customFormat="1"/>
    <row r="4068" customFormat="1"/>
    <row r="4069" customFormat="1"/>
    <row r="4070" customFormat="1"/>
    <row r="4071" customFormat="1"/>
    <row r="4072" customFormat="1"/>
    <row r="4073" customFormat="1"/>
    <row r="4074" customFormat="1"/>
    <row r="4075" customFormat="1"/>
    <row r="4076" customFormat="1"/>
    <row r="4077" customFormat="1"/>
    <row r="4078" customFormat="1"/>
    <row r="4079" customFormat="1"/>
    <row r="4080" customFormat="1"/>
    <row r="4081" customFormat="1"/>
    <row r="4082" customFormat="1"/>
    <row r="4083" customFormat="1"/>
    <row r="4084" customFormat="1"/>
    <row r="4085" customFormat="1"/>
    <row r="4086" customFormat="1"/>
    <row r="4087" customFormat="1"/>
    <row r="4088" customFormat="1"/>
    <row r="4089" customFormat="1"/>
    <row r="4090" customFormat="1"/>
    <row r="4091" customFormat="1"/>
    <row r="4092" customFormat="1"/>
    <row r="4093" customFormat="1"/>
    <row r="4094" customFormat="1"/>
    <row r="4095" customFormat="1"/>
    <row r="4096" customFormat="1"/>
    <row r="4097" customFormat="1"/>
    <row r="4098" customFormat="1"/>
    <row r="4099" customFormat="1"/>
    <row r="4100" customFormat="1"/>
    <row r="4101" customFormat="1"/>
    <row r="4102" customFormat="1"/>
    <row r="4103" customFormat="1"/>
    <row r="4104" customFormat="1"/>
    <row r="4105" customFormat="1"/>
    <row r="4106" customFormat="1"/>
    <row r="4107" customFormat="1"/>
    <row r="4108" customFormat="1"/>
    <row r="4109" customFormat="1"/>
    <row r="4110" customFormat="1"/>
    <row r="4111" customFormat="1"/>
    <row r="4112" customFormat="1"/>
    <row r="4113" customFormat="1"/>
    <row r="4114" customFormat="1"/>
    <row r="4115" customFormat="1"/>
    <row r="4116" customFormat="1"/>
    <row r="4117" customFormat="1"/>
    <row r="4118" customFormat="1"/>
    <row r="4119" customFormat="1"/>
    <row r="4120" customFormat="1"/>
    <row r="4121" customFormat="1"/>
    <row r="4122" customFormat="1"/>
    <row r="4123" customFormat="1"/>
    <row r="4124" customFormat="1"/>
    <row r="4125" customFormat="1"/>
    <row r="4126" customFormat="1"/>
    <row r="4127" customFormat="1"/>
    <row r="4128" customFormat="1"/>
    <row r="4129" customFormat="1"/>
    <row r="4130" customFormat="1"/>
    <row r="4131" customFormat="1"/>
    <row r="4132" customFormat="1"/>
    <row r="4133" customFormat="1"/>
    <row r="4134" customFormat="1"/>
    <row r="4135" customFormat="1"/>
    <row r="4136" customFormat="1"/>
    <row r="4137" customFormat="1"/>
    <row r="4138" customFormat="1"/>
    <row r="4139" customFormat="1"/>
    <row r="4140" customFormat="1"/>
    <row r="4141" customFormat="1"/>
    <row r="4142" customFormat="1"/>
    <row r="4143" customFormat="1"/>
    <row r="4144" customFormat="1"/>
    <row r="4145" customFormat="1"/>
    <row r="4146" customFormat="1"/>
    <row r="4147" customFormat="1"/>
    <row r="4148" customFormat="1"/>
    <row r="4149" customFormat="1"/>
    <row r="4150" customFormat="1"/>
    <row r="4151" customFormat="1"/>
    <row r="4152" customFormat="1"/>
    <row r="4153" customFormat="1"/>
    <row r="4154" customFormat="1"/>
    <row r="4155" customFormat="1"/>
    <row r="4156" customFormat="1"/>
    <row r="4157" customFormat="1"/>
    <row r="4158" customFormat="1"/>
    <row r="4159" customFormat="1"/>
    <row r="4160" customFormat="1"/>
    <row r="4161" customFormat="1"/>
    <row r="4162" customFormat="1"/>
    <row r="4163" customFormat="1"/>
    <row r="4164" customFormat="1"/>
    <row r="4165" customFormat="1"/>
    <row r="4166" customFormat="1"/>
    <row r="4167" customFormat="1"/>
    <row r="4168" customFormat="1"/>
    <row r="4169" customFormat="1"/>
    <row r="4170" customFormat="1"/>
    <row r="4171" customFormat="1"/>
    <row r="4172" customFormat="1"/>
    <row r="4173" customFormat="1"/>
    <row r="4174" customFormat="1"/>
    <row r="4175" customFormat="1"/>
    <row r="4176" customFormat="1"/>
    <row r="4177" customFormat="1"/>
    <row r="4178" customFormat="1"/>
    <row r="4179" customFormat="1"/>
    <row r="4180" customFormat="1"/>
    <row r="4181" customFormat="1"/>
    <row r="4182" customFormat="1"/>
    <row r="4183" customFormat="1"/>
    <row r="4184" customFormat="1"/>
    <row r="4185" customFormat="1"/>
    <row r="4186" customFormat="1"/>
    <row r="4187" customFormat="1"/>
    <row r="4188" customFormat="1"/>
    <row r="4189" customFormat="1"/>
    <row r="4190" customFormat="1"/>
    <row r="4191" customFormat="1"/>
    <row r="4192" customFormat="1"/>
    <row r="4193" customFormat="1"/>
    <row r="4194" customFormat="1"/>
    <row r="4195" customFormat="1"/>
    <row r="4196" customFormat="1"/>
    <row r="4197" customFormat="1"/>
    <row r="4198" customFormat="1"/>
    <row r="4199" customFormat="1"/>
    <row r="4200" customFormat="1"/>
    <row r="4201" customFormat="1"/>
    <row r="4202" customFormat="1"/>
    <row r="4203" customFormat="1"/>
    <row r="4204" customFormat="1"/>
    <row r="4205" customFormat="1"/>
    <row r="4206" customFormat="1"/>
    <row r="4207" customFormat="1"/>
    <row r="4208" customFormat="1"/>
    <row r="4209" customFormat="1"/>
    <row r="4210" customFormat="1"/>
    <row r="4211" customFormat="1"/>
    <row r="4212" customFormat="1"/>
    <row r="4213" customFormat="1"/>
    <row r="4214" customFormat="1"/>
    <row r="4215" customFormat="1"/>
    <row r="4216" customFormat="1"/>
    <row r="4217" customFormat="1"/>
    <row r="4218" customFormat="1"/>
    <row r="4219" customFormat="1"/>
    <row r="4220" customFormat="1"/>
    <row r="4221" customFormat="1"/>
    <row r="4222" customFormat="1"/>
    <row r="4223" customFormat="1"/>
    <row r="4224" customFormat="1"/>
    <row r="4225" customFormat="1"/>
    <row r="4226" customFormat="1"/>
    <row r="4227" customFormat="1"/>
    <row r="4228" customFormat="1"/>
    <row r="4229" customFormat="1"/>
    <row r="4230" customFormat="1"/>
    <row r="4231" customFormat="1"/>
    <row r="4232" customFormat="1"/>
    <row r="4233" customFormat="1"/>
    <row r="4234" customFormat="1"/>
    <row r="4235" customFormat="1"/>
    <row r="4236" customFormat="1"/>
    <row r="4237" customFormat="1"/>
    <row r="4238" customFormat="1"/>
    <row r="4239" customFormat="1"/>
    <row r="4240" customFormat="1"/>
    <row r="4241" customFormat="1"/>
    <row r="4242" customFormat="1"/>
    <row r="4243" customFormat="1"/>
    <row r="4244" customFormat="1"/>
    <row r="4245" customFormat="1"/>
    <row r="4246" customFormat="1"/>
    <row r="4247" customFormat="1"/>
    <row r="4248" customFormat="1"/>
    <row r="4249" customFormat="1"/>
    <row r="4250" customFormat="1"/>
    <row r="4251" customFormat="1"/>
    <row r="4252" customFormat="1"/>
    <row r="4253" customFormat="1"/>
    <row r="4254" customFormat="1"/>
    <row r="4255" customFormat="1"/>
    <row r="4256" customFormat="1"/>
    <row r="4257" customFormat="1"/>
    <row r="4258" customFormat="1"/>
    <row r="4259" customFormat="1"/>
    <row r="4260" customFormat="1"/>
    <row r="4261" customFormat="1"/>
    <row r="4262" customFormat="1"/>
    <row r="4263" customFormat="1"/>
    <row r="4264" customFormat="1"/>
    <row r="4265" customFormat="1"/>
    <row r="4266" customFormat="1"/>
    <row r="4267" customFormat="1"/>
    <row r="4268" customFormat="1"/>
    <row r="4269" customFormat="1"/>
    <row r="4270" customFormat="1"/>
    <row r="4271" customFormat="1"/>
    <row r="4272" customFormat="1"/>
    <row r="4273" customFormat="1"/>
    <row r="4274" customFormat="1"/>
    <row r="4275" customFormat="1"/>
    <row r="4276" customFormat="1"/>
    <row r="4277" customFormat="1"/>
    <row r="4278" customFormat="1"/>
    <row r="4279" customFormat="1"/>
    <row r="4280" customFormat="1"/>
    <row r="4281" customFormat="1"/>
    <row r="4282" customFormat="1"/>
    <row r="4283" customFormat="1"/>
    <row r="4284" customFormat="1"/>
    <row r="4285" customFormat="1"/>
    <row r="4286" customFormat="1"/>
    <row r="4287" customFormat="1"/>
    <row r="4288" customFormat="1"/>
    <row r="4289" customFormat="1"/>
    <row r="4290" customFormat="1"/>
    <row r="4291" customFormat="1"/>
    <row r="4292" customFormat="1"/>
    <row r="4293" customFormat="1"/>
    <row r="4294" customFormat="1"/>
    <row r="4295" customFormat="1"/>
    <row r="4296" customFormat="1"/>
    <row r="4297" customFormat="1"/>
    <row r="4298" customFormat="1"/>
    <row r="4299" customFormat="1"/>
    <row r="4300" customFormat="1"/>
    <row r="4301" customFormat="1"/>
    <row r="4302" customFormat="1"/>
    <row r="4303" customFormat="1"/>
    <row r="4304" customFormat="1"/>
    <row r="4305" customFormat="1"/>
    <row r="4306" customFormat="1"/>
    <row r="4307" customFormat="1"/>
    <row r="4308" customFormat="1"/>
    <row r="4309" customFormat="1"/>
    <row r="4310" customFormat="1"/>
    <row r="4311" customFormat="1"/>
    <row r="4312" customFormat="1"/>
    <row r="4313" customFormat="1"/>
    <row r="4314" customFormat="1"/>
    <row r="4315" customFormat="1"/>
    <row r="4316" customFormat="1"/>
    <row r="4317" customFormat="1"/>
    <row r="4318" customFormat="1"/>
    <row r="4319" customFormat="1"/>
    <row r="4320" customFormat="1"/>
    <row r="4321" customFormat="1"/>
    <row r="4322" customFormat="1"/>
    <row r="4323" customFormat="1"/>
    <row r="4324" customFormat="1"/>
    <row r="4325" customFormat="1"/>
    <row r="4326" customFormat="1"/>
    <row r="4327" customFormat="1"/>
    <row r="4328" customFormat="1"/>
    <row r="4329" customFormat="1"/>
    <row r="4330" customFormat="1"/>
    <row r="4331" customFormat="1"/>
    <row r="4332" customFormat="1"/>
    <row r="4333" customFormat="1"/>
    <row r="4334" customFormat="1"/>
    <row r="4335" customFormat="1"/>
    <row r="4336" customFormat="1"/>
    <row r="4337" customFormat="1"/>
    <row r="4338" customFormat="1"/>
    <row r="4339" customFormat="1"/>
    <row r="4340" customFormat="1"/>
    <row r="4341" customFormat="1"/>
    <row r="4342" customFormat="1"/>
    <row r="4343" customFormat="1"/>
    <row r="4344" customFormat="1"/>
    <row r="4345" customFormat="1"/>
    <row r="4346" customFormat="1"/>
    <row r="4347" customFormat="1"/>
    <row r="4348" customFormat="1"/>
    <row r="4349" customFormat="1"/>
    <row r="4350" customFormat="1"/>
    <row r="4351" customFormat="1"/>
    <row r="4352" customFormat="1"/>
    <row r="4353" customFormat="1"/>
    <row r="4354" customFormat="1"/>
    <row r="4355" customFormat="1"/>
    <row r="4356" customFormat="1"/>
    <row r="4357" customFormat="1"/>
    <row r="4358" customFormat="1"/>
    <row r="4359" customFormat="1"/>
    <row r="4360" customFormat="1"/>
    <row r="4361" customFormat="1"/>
    <row r="4362" customFormat="1"/>
    <row r="4363" customFormat="1"/>
    <row r="4364" customFormat="1"/>
    <row r="4365" customFormat="1"/>
    <row r="4366" customFormat="1"/>
    <row r="4367" customFormat="1"/>
    <row r="4368" customFormat="1"/>
    <row r="4369" customFormat="1"/>
    <row r="4370" customFormat="1"/>
    <row r="4371" customFormat="1"/>
    <row r="4372" customFormat="1"/>
    <row r="4373" customFormat="1"/>
    <row r="4374" customFormat="1"/>
    <row r="4375" customFormat="1"/>
    <row r="4376" customFormat="1"/>
    <row r="4377" customFormat="1"/>
    <row r="4378" customFormat="1"/>
    <row r="4379" customFormat="1"/>
    <row r="4380" customFormat="1"/>
    <row r="4381" customFormat="1"/>
    <row r="4382" customFormat="1"/>
    <row r="4383" customFormat="1"/>
    <row r="4384" customFormat="1"/>
    <row r="4385" customFormat="1"/>
    <row r="4386" customFormat="1"/>
    <row r="4387" customFormat="1"/>
    <row r="4388" customFormat="1"/>
    <row r="4389" customFormat="1"/>
    <row r="4390" customFormat="1"/>
    <row r="4391" customFormat="1"/>
    <row r="4392" customFormat="1"/>
    <row r="4393" customFormat="1"/>
    <row r="4394" customFormat="1"/>
    <row r="4395" customFormat="1"/>
    <row r="4396" customFormat="1"/>
    <row r="4397" customFormat="1"/>
    <row r="4398" customFormat="1"/>
    <row r="4399" customFormat="1"/>
    <row r="4400" customFormat="1"/>
    <row r="4401" customFormat="1"/>
    <row r="4402" customFormat="1"/>
    <row r="4403" customFormat="1"/>
    <row r="4404" customFormat="1"/>
    <row r="4405" customFormat="1"/>
    <row r="4406" customFormat="1"/>
    <row r="4407" customFormat="1"/>
    <row r="4408" customFormat="1"/>
    <row r="4409" customFormat="1"/>
    <row r="4410" customFormat="1"/>
    <row r="4411" customFormat="1"/>
    <row r="4412" customFormat="1"/>
    <row r="4413" customFormat="1"/>
    <row r="4414" customFormat="1"/>
    <row r="4415" customFormat="1"/>
    <row r="4416" customFormat="1"/>
    <row r="4417" customFormat="1"/>
    <row r="4418" customFormat="1"/>
    <row r="4419" customFormat="1"/>
    <row r="4420" customFormat="1"/>
    <row r="4421" customFormat="1"/>
    <row r="4422" customFormat="1"/>
    <row r="4423" customFormat="1"/>
    <row r="4424" customFormat="1"/>
    <row r="4425" customFormat="1"/>
    <row r="4426" customFormat="1"/>
    <row r="4427" customFormat="1"/>
    <row r="4428" customFormat="1"/>
    <row r="4429" customFormat="1"/>
    <row r="4430" customFormat="1"/>
    <row r="4431" customFormat="1"/>
    <row r="4432" customFormat="1"/>
    <row r="4433" customFormat="1"/>
    <row r="4434" customFormat="1"/>
    <row r="4435" customFormat="1"/>
    <row r="4436" customFormat="1"/>
    <row r="4437" customFormat="1"/>
    <row r="4438" customFormat="1"/>
    <row r="4439" customFormat="1"/>
    <row r="4440" customFormat="1"/>
    <row r="4441" customFormat="1"/>
    <row r="4442" customFormat="1"/>
    <row r="4443" customFormat="1"/>
    <row r="4444" customFormat="1"/>
    <row r="4445" customFormat="1"/>
    <row r="4446" customFormat="1"/>
    <row r="4447" customFormat="1"/>
    <row r="4448" customFormat="1"/>
    <row r="4449" customFormat="1"/>
    <row r="4450" customFormat="1"/>
    <row r="4451" customFormat="1"/>
    <row r="4452" customFormat="1"/>
    <row r="4453" customFormat="1"/>
    <row r="4454" customFormat="1"/>
    <row r="4455" customFormat="1"/>
    <row r="4456" customFormat="1"/>
    <row r="4457" customFormat="1"/>
    <row r="4458" customFormat="1"/>
    <row r="4459" customFormat="1"/>
    <row r="4460" customFormat="1"/>
    <row r="4461" customFormat="1"/>
    <row r="4462" customFormat="1"/>
    <row r="4463" customFormat="1"/>
    <row r="4464" customFormat="1"/>
    <row r="4465" customFormat="1"/>
    <row r="4466" customFormat="1"/>
    <row r="4467" customFormat="1"/>
    <row r="4468" customFormat="1"/>
    <row r="4469" customFormat="1"/>
    <row r="4470" customFormat="1"/>
    <row r="4471" customFormat="1"/>
    <row r="4472" customFormat="1"/>
    <row r="4473" customFormat="1"/>
    <row r="4474" customFormat="1"/>
    <row r="4475" customFormat="1"/>
    <row r="4476" customFormat="1"/>
    <row r="4477" customFormat="1"/>
    <row r="4478" customFormat="1"/>
    <row r="4479" customFormat="1"/>
    <row r="4480" customFormat="1"/>
    <row r="4481" customFormat="1"/>
    <row r="4482" customFormat="1"/>
    <row r="4483" customFormat="1"/>
    <row r="4484" customFormat="1"/>
    <row r="4485" customFormat="1"/>
    <row r="4486" customFormat="1"/>
    <row r="4487" customFormat="1"/>
    <row r="4488" customFormat="1"/>
    <row r="4489" customFormat="1"/>
    <row r="4490" customFormat="1"/>
    <row r="4491" customFormat="1"/>
    <row r="4492" customFormat="1"/>
    <row r="4493" customFormat="1"/>
    <row r="4494" customFormat="1"/>
    <row r="4495" customFormat="1"/>
    <row r="4496" customFormat="1"/>
    <row r="4497" customFormat="1"/>
    <row r="4498" customFormat="1"/>
    <row r="4499" customFormat="1"/>
    <row r="4500" customFormat="1"/>
    <row r="4501" customFormat="1"/>
    <row r="4502" customFormat="1"/>
    <row r="4503" customFormat="1"/>
    <row r="4504" customFormat="1"/>
    <row r="4505" customFormat="1"/>
    <row r="4506" customFormat="1"/>
    <row r="4507" customFormat="1"/>
    <row r="4508" customFormat="1"/>
    <row r="4509" customFormat="1"/>
    <row r="4510" customFormat="1"/>
    <row r="4511" customFormat="1"/>
    <row r="4512" customFormat="1"/>
    <row r="4513" customFormat="1"/>
    <row r="4514" customFormat="1"/>
    <row r="4515" customFormat="1"/>
    <row r="4516" customFormat="1"/>
    <row r="4517" customFormat="1"/>
    <row r="4518" customFormat="1"/>
    <row r="4519" customFormat="1"/>
    <row r="4520" customFormat="1"/>
    <row r="4521" customFormat="1"/>
    <row r="4522" customFormat="1"/>
    <row r="4523" customFormat="1"/>
    <row r="4524" customFormat="1"/>
    <row r="4525" customFormat="1"/>
    <row r="4526" customFormat="1"/>
    <row r="4527" customFormat="1"/>
    <row r="4528" customFormat="1"/>
    <row r="4529" customFormat="1"/>
    <row r="4530" customFormat="1"/>
    <row r="4531" customFormat="1"/>
    <row r="4532" customFormat="1"/>
    <row r="4533" customFormat="1"/>
    <row r="4534" customFormat="1"/>
    <row r="4535" customFormat="1"/>
    <row r="4536" customFormat="1"/>
    <row r="4537" customFormat="1"/>
    <row r="4538" customFormat="1"/>
    <row r="4539" customFormat="1"/>
    <row r="4540" customFormat="1"/>
    <row r="4541" customFormat="1"/>
    <row r="4542" customFormat="1"/>
    <row r="4543" customFormat="1"/>
    <row r="4544" customFormat="1"/>
    <row r="4545" customFormat="1"/>
    <row r="4546" customFormat="1"/>
    <row r="4547" customFormat="1"/>
    <row r="4548" customFormat="1"/>
    <row r="4549" customFormat="1"/>
    <row r="4550" customFormat="1"/>
    <row r="4551" customFormat="1"/>
    <row r="4552" customFormat="1"/>
    <row r="4553" customFormat="1"/>
    <row r="4554" customFormat="1"/>
    <row r="4555" customFormat="1"/>
    <row r="4556" customFormat="1"/>
    <row r="4557" customFormat="1"/>
    <row r="4558" customFormat="1"/>
    <row r="4559" customFormat="1"/>
    <row r="4560" customFormat="1"/>
    <row r="4561" customFormat="1"/>
    <row r="4562" customFormat="1"/>
    <row r="4563" customFormat="1"/>
    <row r="4564" customFormat="1"/>
    <row r="4565" customFormat="1"/>
    <row r="4566" customFormat="1"/>
    <row r="4567" customFormat="1"/>
    <row r="4568" customFormat="1"/>
    <row r="4569" customFormat="1"/>
    <row r="4570" customFormat="1"/>
    <row r="4571" customFormat="1"/>
    <row r="4572" customFormat="1"/>
    <row r="4573" customFormat="1"/>
    <row r="4574" customFormat="1"/>
    <row r="4575" customFormat="1"/>
    <row r="4576" customFormat="1"/>
    <row r="4577" customFormat="1"/>
    <row r="4578" customFormat="1"/>
    <row r="4579" customFormat="1"/>
    <row r="4580" customFormat="1"/>
    <row r="4581" customFormat="1"/>
    <row r="4582" customFormat="1"/>
    <row r="4583" customFormat="1"/>
    <row r="4584" customFormat="1"/>
    <row r="4585" customFormat="1"/>
    <row r="4586" customFormat="1"/>
    <row r="4587" customFormat="1"/>
    <row r="4588" customFormat="1"/>
    <row r="4589" customFormat="1"/>
    <row r="4590" customFormat="1"/>
    <row r="4591" customFormat="1"/>
    <row r="4592" customFormat="1"/>
    <row r="4593" customFormat="1"/>
    <row r="4594" customFormat="1"/>
    <row r="4595" customFormat="1"/>
    <row r="4596" customFormat="1"/>
    <row r="4597" customFormat="1"/>
    <row r="4598" customFormat="1"/>
    <row r="4599" customFormat="1"/>
    <row r="4600" customFormat="1"/>
    <row r="4601" customFormat="1"/>
    <row r="4602" customFormat="1"/>
    <row r="4603" customFormat="1"/>
    <row r="4604" customFormat="1"/>
    <row r="4605" customFormat="1"/>
    <row r="4606" customFormat="1"/>
    <row r="4607" customFormat="1"/>
    <row r="4608" customFormat="1"/>
    <row r="4609" customFormat="1"/>
    <row r="4610" customFormat="1"/>
    <row r="4611" customFormat="1"/>
    <row r="4612" customFormat="1"/>
    <row r="4613" customFormat="1"/>
    <row r="4614" customFormat="1"/>
    <row r="4615" customFormat="1"/>
    <row r="4616" customFormat="1"/>
    <row r="4617" customFormat="1"/>
    <row r="4618" customFormat="1"/>
    <row r="4619" customFormat="1"/>
    <row r="4620" customFormat="1"/>
    <row r="4621" customFormat="1"/>
    <row r="4622" customFormat="1"/>
    <row r="4623" customFormat="1"/>
    <row r="4624" customFormat="1"/>
    <row r="4625" customFormat="1"/>
    <row r="4626" customFormat="1"/>
    <row r="4627" customFormat="1"/>
    <row r="4628" customFormat="1"/>
    <row r="4629" customFormat="1"/>
    <row r="4630" customFormat="1"/>
    <row r="4631" customFormat="1"/>
    <row r="4632" customFormat="1"/>
    <row r="4633" customFormat="1"/>
    <row r="4634" customFormat="1"/>
    <row r="4635" customFormat="1"/>
    <row r="4636" customFormat="1"/>
    <row r="4637" customFormat="1"/>
    <row r="4638" customFormat="1"/>
    <row r="4639" customFormat="1"/>
    <row r="4640" customFormat="1"/>
    <row r="4641" customFormat="1"/>
    <row r="4642" customFormat="1"/>
    <row r="4643" customFormat="1"/>
    <row r="4644" customFormat="1"/>
    <row r="4645" customFormat="1"/>
    <row r="4646" customFormat="1"/>
    <row r="4647" customFormat="1"/>
    <row r="4648" customFormat="1"/>
    <row r="4649" customFormat="1"/>
    <row r="4650" customFormat="1"/>
    <row r="4651" customFormat="1"/>
    <row r="4652" customFormat="1"/>
    <row r="4653" customFormat="1"/>
    <row r="4654" customFormat="1"/>
    <row r="4655" customFormat="1"/>
    <row r="4656" customFormat="1"/>
    <row r="4657" customFormat="1"/>
    <row r="4658" customFormat="1"/>
    <row r="4659" customFormat="1"/>
    <row r="4660" customFormat="1"/>
    <row r="4661" customFormat="1"/>
    <row r="4662" customFormat="1"/>
    <row r="4663" customFormat="1"/>
    <row r="4664" customFormat="1"/>
    <row r="4665" customFormat="1"/>
    <row r="4666" customFormat="1"/>
    <row r="4667" customFormat="1"/>
    <row r="4668" customFormat="1"/>
    <row r="4669" customFormat="1"/>
    <row r="4670" customFormat="1"/>
    <row r="4671" customFormat="1"/>
    <row r="4672" customFormat="1"/>
    <row r="4673" customFormat="1"/>
    <row r="4674" customFormat="1"/>
    <row r="4675" customFormat="1"/>
    <row r="4676" customFormat="1"/>
    <row r="4677" customFormat="1"/>
    <row r="4678" customFormat="1"/>
    <row r="4679" customFormat="1"/>
    <row r="4680" customFormat="1"/>
    <row r="4681" customFormat="1"/>
    <row r="4682" customFormat="1"/>
    <row r="4683" customFormat="1"/>
    <row r="4684" customFormat="1"/>
    <row r="4685" customFormat="1"/>
    <row r="4686" customFormat="1"/>
    <row r="4687" customFormat="1"/>
    <row r="4688" customFormat="1"/>
    <row r="4689" customFormat="1"/>
    <row r="4690" customFormat="1"/>
    <row r="4691" customFormat="1"/>
    <row r="4692" customFormat="1"/>
    <row r="4693" customFormat="1"/>
    <row r="4694" customFormat="1"/>
    <row r="4695" customFormat="1"/>
    <row r="4696" customFormat="1"/>
    <row r="4697" customFormat="1"/>
    <row r="4698" customFormat="1"/>
    <row r="4699" customFormat="1"/>
    <row r="4700" customFormat="1"/>
    <row r="4701" customFormat="1"/>
    <row r="4702" customFormat="1"/>
    <row r="4703" customFormat="1"/>
    <row r="4704" customFormat="1"/>
    <row r="4705" customFormat="1"/>
    <row r="4706" customFormat="1"/>
    <row r="4707" customFormat="1"/>
    <row r="4708" customFormat="1"/>
    <row r="4709" customFormat="1"/>
    <row r="4710" customFormat="1"/>
    <row r="4711" customFormat="1"/>
    <row r="4712" customFormat="1"/>
    <row r="4713" customFormat="1"/>
    <row r="4714" customFormat="1"/>
    <row r="4715" customFormat="1"/>
    <row r="4716" customFormat="1"/>
    <row r="4717" customFormat="1"/>
    <row r="4718" customFormat="1"/>
    <row r="4719" customFormat="1"/>
    <row r="4720" customFormat="1"/>
    <row r="4721" customFormat="1"/>
    <row r="4722" customFormat="1"/>
    <row r="4723" customFormat="1"/>
    <row r="4724" customFormat="1"/>
    <row r="4725" customFormat="1"/>
    <row r="4726" customFormat="1"/>
    <row r="4727" customFormat="1"/>
    <row r="4728" customFormat="1"/>
    <row r="4729" customFormat="1"/>
    <row r="4730" customFormat="1"/>
    <row r="4731" customFormat="1"/>
    <row r="4732" customFormat="1"/>
    <row r="4733" customFormat="1"/>
    <row r="4734" customFormat="1"/>
    <row r="4735" customFormat="1"/>
    <row r="4736" customFormat="1"/>
    <row r="4737" customFormat="1"/>
    <row r="4738" customFormat="1"/>
    <row r="4739" customFormat="1"/>
    <row r="4740" customFormat="1"/>
    <row r="4741" customFormat="1"/>
    <row r="4742" customFormat="1"/>
    <row r="4743" customFormat="1"/>
    <row r="4744" customFormat="1"/>
    <row r="4745" customFormat="1"/>
    <row r="4746" customFormat="1"/>
    <row r="4747" customFormat="1"/>
    <row r="4748" customFormat="1"/>
    <row r="4749" customFormat="1"/>
    <row r="4750" customFormat="1"/>
    <row r="4751" customFormat="1"/>
    <row r="4752" customFormat="1"/>
    <row r="4753" customFormat="1"/>
    <row r="4754" customFormat="1"/>
    <row r="4755" customFormat="1"/>
    <row r="4756" customFormat="1"/>
    <row r="4757" customFormat="1"/>
    <row r="4758" customFormat="1"/>
    <row r="4759" customFormat="1"/>
    <row r="4760" customFormat="1"/>
    <row r="4761" customFormat="1"/>
    <row r="4762" customFormat="1"/>
    <row r="4763" customFormat="1"/>
    <row r="4764" customFormat="1"/>
    <row r="4765" customFormat="1"/>
    <row r="4766" customFormat="1"/>
    <row r="4767" customFormat="1"/>
    <row r="4768" customFormat="1"/>
    <row r="4769" customFormat="1"/>
    <row r="4770" customFormat="1"/>
    <row r="4771" customFormat="1"/>
    <row r="4772" customFormat="1"/>
    <row r="4773" customFormat="1"/>
    <row r="4774" customFormat="1"/>
    <row r="4775" customFormat="1"/>
    <row r="4776" customFormat="1"/>
    <row r="4777" customFormat="1"/>
    <row r="4778" customFormat="1"/>
    <row r="4779" customFormat="1"/>
    <row r="4780" customFormat="1"/>
    <row r="4781" customFormat="1"/>
    <row r="4782" customFormat="1"/>
    <row r="4783" customFormat="1"/>
    <row r="4784" customFormat="1"/>
    <row r="4785" customFormat="1"/>
    <row r="4786" customFormat="1"/>
    <row r="4787" customFormat="1"/>
    <row r="4788" customFormat="1"/>
    <row r="4789" customFormat="1"/>
    <row r="4790" customFormat="1"/>
    <row r="4791" customFormat="1"/>
    <row r="4792" customFormat="1"/>
    <row r="4793" customFormat="1"/>
    <row r="4794" customFormat="1"/>
    <row r="4795" customFormat="1"/>
    <row r="4796" customFormat="1"/>
    <row r="4797" customFormat="1"/>
    <row r="4798" customFormat="1"/>
    <row r="4799" customFormat="1"/>
    <row r="4800" customFormat="1"/>
    <row r="4801" customFormat="1"/>
    <row r="4802" customFormat="1"/>
    <row r="4803" customFormat="1"/>
    <row r="4804" customFormat="1"/>
    <row r="4805" customFormat="1"/>
    <row r="4806" customFormat="1"/>
    <row r="4807" customFormat="1"/>
    <row r="4808" customFormat="1"/>
    <row r="4809" customFormat="1"/>
    <row r="4810" customFormat="1"/>
    <row r="4811" customFormat="1"/>
    <row r="4812" customFormat="1"/>
    <row r="4813" customFormat="1"/>
    <row r="4814" customFormat="1"/>
    <row r="4815" customFormat="1"/>
    <row r="4816" customFormat="1"/>
    <row r="4817" customFormat="1"/>
    <row r="4818" customFormat="1"/>
    <row r="4819" customFormat="1"/>
    <row r="4820" customFormat="1"/>
    <row r="4821" customFormat="1"/>
    <row r="4822" customFormat="1"/>
    <row r="4823" customFormat="1"/>
    <row r="4824" customFormat="1"/>
    <row r="4825" customFormat="1"/>
    <row r="4826" customFormat="1"/>
    <row r="4827" customFormat="1"/>
    <row r="4828" customFormat="1"/>
    <row r="4829" customFormat="1"/>
    <row r="4830" customFormat="1"/>
    <row r="4831" customFormat="1"/>
    <row r="4832" customFormat="1"/>
    <row r="4833" customFormat="1"/>
    <row r="4834" customFormat="1"/>
    <row r="4835" customFormat="1"/>
    <row r="4836" customFormat="1"/>
    <row r="4837" customFormat="1"/>
    <row r="4838" customFormat="1"/>
    <row r="4839" customFormat="1"/>
    <row r="4840" customFormat="1"/>
    <row r="4841" customFormat="1"/>
    <row r="4842" customFormat="1"/>
    <row r="4843" customFormat="1"/>
    <row r="4844" customFormat="1"/>
    <row r="4845" customFormat="1"/>
    <row r="4846" customFormat="1"/>
    <row r="4847" customFormat="1"/>
    <row r="4848" customFormat="1"/>
    <row r="4849" customFormat="1"/>
    <row r="4850" customFormat="1"/>
    <row r="4851" customFormat="1"/>
    <row r="4852" customFormat="1"/>
    <row r="4853" customFormat="1"/>
    <row r="4854" customFormat="1"/>
    <row r="4855" customFormat="1"/>
    <row r="4856" customFormat="1"/>
    <row r="4857" customFormat="1"/>
    <row r="4858" customFormat="1"/>
    <row r="4859" customFormat="1"/>
    <row r="4860" customFormat="1"/>
    <row r="4861" customFormat="1"/>
    <row r="4862" customFormat="1"/>
    <row r="4863" customFormat="1"/>
    <row r="4864" customFormat="1"/>
    <row r="4865" customFormat="1"/>
    <row r="4866" customFormat="1"/>
    <row r="4867" customFormat="1"/>
    <row r="4868" customFormat="1"/>
    <row r="4869" customFormat="1"/>
    <row r="4870" customFormat="1"/>
    <row r="4871" customFormat="1"/>
    <row r="4872" customFormat="1"/>
    <row r="4873" customFormat="1"/>
    <row r="4874" customFormat="1"/>
    <row r="4875" customFormat="1"/>
    <row r="4876" customFormat="1"/>
    <row r="4877" customFormat="1"/>
    <row r="4878" customFormat="1"/>
    <row r="4879" customFormat="1"/>
    <row r="4880" customFormat="1"/>
    <row r="4881" customFormat="1"/>
    <row r="4882" customFormat="1"/>
    <row r="4883" customFormat="1"/>
    <row r="4884" customFormat="1"/>
    <row r="4885" customFormat="1"/>
    <row r="4886" customFormat="1"/>
    <row r="4887" customFormat="1"/>
    <row r="4888" customFormat="1"/>
    <row r="4889" customFormat="1"/>
    <row r="4890" customFormat="1"/>
    <row r="4891" customFormat="1"/>
    <row r="4892" customFormat="1"/>
    <row r="4893" customFormat="1"/>
    <row r="4894" customFormat="1"/>
    <row r="4895" customFormat="1"/>
    <row r="4896" customFormat="1"/>
    <row r="4897" customFormat="1"/>
    <row r="4898" customFormat="1"/>
    <row r="4899" customFormat="1"/>
    <row r="4900" customFormat="1"/>
    <row r="4901" customFormat="1"/>
    <row r="4902" customFormat="1"/>
    <row r="4903" customFormat="1"/>
    <row r="4904" customFormat="1"/>
    <row r="4905" customFormat="1"/>
    <row r="4906" customFormat="1"/>
    <row r="4907" customFormat="1"/>
    <row r="4908" customFormat="1"/>
    <row r="4909" customFormat="1"/>
    <row r="4910" customFormat="1"/>
    <row r="4911" customFormat="1"/>
    <row r="4912" customFormat="1"/>
    <row r="4913" customFormat="1"/>
    <row r="4914" customFormat="1"/>
    <row r="4915" customFormat="1"/>
    <row r="4916" customFormat="1"/>
    <row r="4917" customFormat="1"/>
    <row r="4918" customFormat="1"/>
    <row r="4919" customFormat="1"/>
    <row r="4920" customFormat="1"/>
    <row r="4921" customFormat="1"/>
    <row r="4922" customFormat="1"/>
    <row r="4923" customFormat="1"/>
    <row r="4924" customFormat="1"/>
    <row r="4925" customFormat="1"/>
    <row r="4926" customFormat="1"/>
    <row r="4927" customFormat="1"/>
    <row r="4928" customFormat="1"/>
    <row r="4929" customFormat="1"/>
    <row r="4930" customFormat="1"/>
    <row r="4931" customFormat="1"/>
    <row r="4932" customFormat="1"/>
    <row r="4933" customFormat="1"/>
    <row r="4934" customFormat="1"/>
    <row r="4935" customFormat="1"/>
    <row r="4936" customFormat="1"/>
    <row r="4937" customFormat="1"/>
    <row r="4938" customFormat="1"/>
    <row r="4939" customFormat="1"/>
    <row r="4940" customFormat="1"/>
    <row r="4941" customFormat="1"/>
    <row r="4942" customFormat="1"/>
    <row r="4943" customFormat="1"/>
    <row r="4944" customFormat="1"/>
    <row r="4945" customFormat="1"/>
    <row r="4946" customFormat="1"/>
    <row r="4947" customFormat="1"/>
    <row r="4948" customFormat="1"/>
    <row r="4949" customFormat="1"/>
    <row r="4950" customFormat="1"/>
    <row r="4951" customFormat="1"/>
    <row r="4952" customFormat="1"/>
    <row r="4953" customFormat="1"/>
    <row r="4954" customFormat="1"/>
    <row r="4955" customFormat="1"/>
    <row r="4956" customFormat="1"/>
    <row r="4957" customFormat="1"/>
    <row r="4958" customFormat="1"/>
    <row r="4959" customFormat="1"/>
    <row r="4960" customFormat="1"/>
    <row r="4961" customFormat="1"/>
    <row r="4962" customFormat="1"/>
    <row r="4963" customFormat="1"/>
    <row r="4964" customFormat="1"/>
    <row r="4965" customFormat="1"/>
    <row r="4966" customFormat="1"/>
    <row r="4967" customFormat="1"/>
    <row r="4968" customFormat="1"/>
    <row r="4969" customFormat="1"/>
    <row r="4970" customFormat="1"/>
    <row r="4971" customFormat="1"/>
    <row r="4972" customFormat="1"/>
    <row r="4973" customFormat="1"/>
    <row r="4974" customFormat="1"/>
    <row r="4975" customFormat="1"/>
    <row r="4976" customFormat="1"/>
    <row r="4977" customFormat="1"/>
    <row r="4978" customFormat="1"/>
    <row r="4979" customFormat="1"/>
    <row r="4980" customFormat="1"/>
    <row r="4981" customFormat="1"/>
    <row r="4982" customFormat="1"/>
    <row r="4983" customFormat="1"/>
    <row r="4984" customFormat="1"/>
    <row r="4985" customFormat="1"/>
    <row r="4986" customFormat="1"/>
    <row r="4987" customFormat="1"/>
    <row r="4988" customFormat="1"/>
    <row r="4989" customFormat="1"/>
    <row r="4990" customFormat="1"/>
    <row r="4991" customFormat="1"/>
    <row r="4992" customFormat="1"/>
    <row r="4993" customFormat="1"/>
    <row r="4994" customFormat="1"/>
    <row r="4995" customFormat="1"/>
    <row r="4996" customFormat="1"/>
    <row r="4997" customFormat="1"/>
    <row r="4998" customFormat="1"/>
    <row r="4999" customFormat="1"/>
    <row r="5000" customFormat="1"/>
    <row r="5001" customFormat="1"/>
    <row r="5002" customFormat="1"/>
    <row r="5003" customFormat="1"/>
    <row r="5004" customFormat="1"/>
    <row r="5005" customFormat="1"/>
    <row r="5006" customFormat="1"/>
    <row r="5007" customFormat="1"/>
    <row r="5008" customFormat="1"/>
    <row r="5009" customFormat="1"/>
    <row r="5010" customFormat="1"/>
    <row r="5011" customFormat="1"/>
    <row r="5012" customFormat="1"/>
    <row r="5013" customFormat="1"/>
    <row r="5014" customFormat="1"/>
    <row r="5015" customFormat="1"/>
    <row r="5016" customFormat="1"/>
    <row r="5017" customFormat="1"/>
    <row r="5018" customFormat="1"/>
    <row r="5019" customFormat="1"/>
    <row r="5020" customFormat="1"/>
    <row r="5021" customFormat="1"/>
    <row r="5022" customFormat="1"/>
    <row r="5023" customFormat="1"/>
    <row r="5024" customFormat="1"/>
    <row r="5025" customFormat="1"/>
    <row r="5026" customFormat="1"/>
    <row r="5027" customFormat="1"/>
    <row r="5028" customFormat="1"/>
    <row r="5029" customFormat="1"/>
    <row r="5030" customFormat="1"/>
    <row r="5031" customFormat="1"/>
    <row r="5032" customFormat="1"/>
    <row r="5033" customFormat="1"/>
    <row r="5034" customFormat="1"/>
    <row r="5035" customFormat="1"/>
    <row r="5036" customFormat="1"/>
    <row r="5037" customFormat="1"/>
    <row r="5038" customFormat="1"/>
    <row r="5039" customFormat="1"/>
    <row r="5040" customFormat="1"/>
    <row r="5041" customFormat="1"/>
    <row r="5042" customFormat="1"/>
    <row r="5043" customFormat="1"/>
    <row r="5044" customFormat="1"/>
    <row r="5045" customFormat="1"/>
    <row r="5046" customFormat="1"/>
    <row r="5047" customFormat="1"/>
    <row r="5048" customFormat="1"/>
    <row r="5049" customFormat="1"/>
    <row r="5050" customFormat="1"/>
    <row r="5051" customFormat="1"/>
    <row r="5052" customFormat="1"/>
    <row r="5053" customFormat="1"/>
    <row r="5054" customFormat="1"/>
    <row r="5055" customFormat="1"/>
    <row r="5056" customFormat="1"/>
    <row r="5057" customFormat="1"/>
    <row r="5058" customFormat="1"/>
    <row r="5059" customFormat="1"/>
    <row r="5060" customFormat="1"/>
    <row r="5061" customFormat="1"/>
    <row r="5062" customFormat="1"/>
    <row r="5063" customFormat="1"/>
    <row r="5064" customFormat="1"/>
    <row r="5065" customFormat="1"/>
    <row r="5066" customFormat="1"/>
    <row r="5067" customFormat="1"/>
    <row r="5068" customFormat="1"/>
    <row r="5069" customFormat="1"/>
    <row r="5070" customFormat="1"/>
    <row r="5071" customFormat="1"/>
    <row r="5072" customFormat="1"/>
    <row r="5073" customFormat="1"/>
    <row r="5074" customFormat="1"/>
    <row r="5075" customFormat="1"/>
    <row r="5076" customFormat="1"/>
    <row r="5077" customFormat="1"/>
    <row r="5078" customFormat="1"/>
    <row r="5079" customFormat="1"/>
    <row r="5080" customFormat="1"/>
    <row r="5081" customFormat="1"/>
    <row r="5082" customFormat="1"/>
    <row r="5083" customFormat="1"/>
    <row r="5084" customFormat="1"/>
    <row r="5085" customFormat="1"/>
    <row r="5086" customFormat="1"/>
    <row r="5087" customFormat="1"/>
    <row r="5088" customFormat="1"/>
    <row r="5089" customFormat="1"/>
    <row r="5090" customFormat="1"/>
    <row r="5091" customFormat="1"/>
    <row r="5092" customFormat="1"/>
    <row r="5093" customFormat="1"/>
    <row r="5094" customFormat="1"/>
    <row r="5095" customFormat="1"/>
    <row r="5096" customFormat="1"/>
    <row r="5097" customFormat="1"/>
    <row r="5098" customFormat="1"/>
    <row r="5099" customFormat="1"/>
    <row r="5100" customFormat="1"/>
    <row r="5101" customFormat="1"/>
    <row r="5102" customFormat="1"/>
    <row r="5103" customFormat="1"/>
    <row r="5104" customFormat="1"/>
    <row r="5105" customFormat="1"/>
    <row r="5106" customFormat="1"/>
    <row r="5107" customFormat="1"/>
    <row r="5108" customFormat="1"/>
    <row r="5109" customFormat="1"/>
    <row r="5110" customFormat="1"/>
    <row r="5111" customFormat="1"/>
    <row r="5112" customFormat="1"/>
    <row r="5113" customFormat="1"/>
    <row r="5114" customFormat="1"/>
    <row r="5115" customFormat="1"/>
    <row r="5116" customFormat="1"/>
    <row r="5117" customFormat="1"/>
    <row r="5118" customFormat="1"/>
    <row r="5119" customFormat="1"/>
    <row r="5120" customFormat="1"/>
    <row r="5121" customFormat="1"/>
    <row r="5122" customFormat="1"/>
    <row r="5123" customFormat="1"/>
    <row r="5124" customFormat="1"/>
    <row r="5125" customFormat="1"/>
    <row r="5126" customFormat="1"/>
    <row r="5127" customFormat="1"/>
    <row r="5128" customFormat="1"/>
    <row r="5129" customFormat="1"/>
    <row r="5130" customFormat="1"/>
    <row r="5131" customFormat="1"/>
    <row r="5132" customFormat="1"/>
    <row r="5133" customFormat="1"/>
    <row r="5134" customFormat="1"/>
    <row r="5135" customFormat="1"/>
    <row r="5136" customFormat="1"/>
    <row r="5137" customFormat="1"/>
    <row r="5138" customFormat="1"/>
    <row r="5139" customFormat="1"/>
    <row r="5140" customFormat="1"/>
    <row r="5141" customFormat="1"/>
    <row r="5142" customFormat="1"/>
    <row r="5143" customFormat="1"/>
    <row r="5144" customFormat="1"/>
    <row r="5145" customFormat="1"/>
    <row r="5146" customFormat="1"/>
    <row r="5147" customFormat="1"/>
    <row r="5148" customFormat="1"/>
    <row r="5149" customFormat="1"/>
    <row r="5150" customFormat="1"/>
    <row r="5151" customFormat="1"/>
    <row r="5152" customFormat="1"/>
    <row r="5153" customFormat="1"/>
    <row r="5154" customFormat="1"/>
    <row r="5155" customFormat="1"/>
    <row r="5156" customFormat="1"/>
    <row r="5157" customFormat="1"/>
    <row r="5158" customFormat="1"/>
    <row r="5159" customFormat="1"/>
    <row r="5160" customFormat="1"/>
    <row r="5161" customFormat="1"/>
    <row r="5162" customFormat="1"/>
    <row r="5163" customFormat="1"/>
    <row r="5164" customFormat="1"/>
    <row r="5165" customFormat="1"/>
    <row r="5166" customFormat="1"/>
    <row r="5167" customFormat="1"/>
    <row r="5168" customFormat="1"/>
    <row r="5169" customFormat="1"/>
    <row r="5170" customFormat="1"/>
    <row r="5171" customFormat="1"/>
    <row r="5172" customFormat="1"/>
    <row r="5173" customFormat="1"/>
    <row r="5174" customFormat="1"/>
    <row r="5175" customFormat="1"/>
    <row r="5176" customFormat="1"/>
    <row r="5177" customFormat="1"/>
    <row r="5178" customFormat="1"/>
    <row r="5179" customFormat="1"/>
    <row r="5180" customFormat="1"/>
    <row r="5181" customFormat="1"/>
    <row r="5182" customFormat="1"/>
    <row r="5183" customFormat="1"/>
    <row r="5184" customFormat="1"/>
    <row r="5185" customFormat="1"/>
    <row r="5186" customFormat="1"/>
    <row r="5187" customFormat="1"/>
    <row r="5188" customFormat="1"/>
    <row r="5189" customFormat="1"/>
    <row r="5190" customFormat="1"/>
    <row r="5191" customFormat="1"/>
    <row r="5192" customFormat="1"/>
    <row r="5193" customFormat="1"/>
    <row r="5194" customFormat="1"/>
    <row r="5195" customFormat="1"/>
    <row r="5196" customFormat="1"/>
    <row r="5197" customFormat="1"/>
    <row r="5198" customFormat="1"/>
    <row r="5199" customFormat="1"/>
    <row r="5200" customFormat="1"/>
    <row r="5201" customFormat="1"/>
    <row r="5202" customFormat="1"/>
    <row r="5203" customFormat="1"/>
    <row r="5204" customFormat="1"/>
    <row r="5205" customFormat="1"/>
    <row r="5206" customFormat="1"/>
    <row r="5207" customFormat="1"/>
    <row r="5208" customFormat="1"/>
    <row r="5209" customFormat="1"/>
    <row r="5210" customFormat="1"/>
    <row r="5211" customFormat="1"/>
    <row r="5212" customFormat="1"/>
    <row r="5213" customFormat="1"/>
    <row r="5214" customFormat="1"/>
    <row r="5215" customFormat="1"/>
    <row r="5216" customFormat="1"/>
    <row r="5217" customFormat="1"/>
    <row r="5218" customFormat="1"/>
    <row r="5219" customFormat="1"/>
    <row r="5220" customFormat="1"/>
    <row r="5221" customFormat="1"/>
    <row r="5222" customFormat="1"/>
    <row r="5223" customFormat="1"/>
    <row r="5224" customFormat="1"/>
    <row r="5225" customFormat="1"/>
    <row r="5226" customFormat="1"/>
    <row r="5227" customFormat="1"/>
    <row r="5228" customFormat="1"/>
    <row r="5229" customFormat="1"/>
    <row r="5230" customFormat="1"/>
    <row r="5231" customFormat="1"/>
    <row r="5232" customFormat="1"/>
    <row r="5233" customFormat="1"/>
    <row r="5234" customFormat="1"/>
    <row r="5235" customFormat="1"/>
    <row r="5236" customFormat="1"/>
    <row r="5237" customFormat="1"/>
    <row r="5238" customFormat="1"/>
    <row r="5239" customFormat="1"/>
    <row r="5240" customFormat="1"/>
    <row r="5241" customFormat="1"/>
    <row r="5242" customFormat="1"/>
    <row r="5243" customFormat="1"/>
    <row r="5244" customFormat="1"/>
    <row r="5245" customFormat="1"/>
    <row r="5246" customFormat="1"/>
    <row r="5247" customFormat="1"/>
    <row r="5248" customFormat="1"/>
    <row r="5249" customFormat="1"/>
    <row r="5250" customFormat="1"/>
    <row r="5251" customFormat="1"/>
    <row r="5252" customFormat="1"/>
    <row r="5253" customFormat="1"/>
    <row r="5254" customFormat="1"/>
    <row r="5255" customFormat="1"/>
    <row r="5256" customFormat="1"/>
    <row r="5257" customFormat="1"/>
    <row r="5258" customFormat="1"/>
    <row r="5259" customFormat="1"/>
    <row r="5260" customFormat="1"/>
    <row r="5261" customFormat="1"/>
    <row r="5262" customFormat="1"/>
    <row r="5263" customFormat="1"/>
    <row r="5264" customFormat="1"/>
    <row r="5265" customFormat="1"/>
    <row r="5266" customFormat="1"/>
    <row r="5267" customFormat="1"/>
    <row r="5268" customFormat="1"/>
    <row r="5269" customFormat="1"/>
    <row r="5270" customFormat="1"/>
    <row r="5271" customFormat="1"/>
    <row r="5272" customFormat="1"/>
    <row r="5273" customFormat="1"/>
    <row r="5274" customFormat="1"/>
    <row r="5275" customFormat="1"/>
    <row r="5276" customFormat="1"/>
    <row r="5277" customFormat="1"/>
    <row r="5278" customFormat="1"/>
    <row r="5279" customFormat="1"/>
    <row r="5280" customFormat="1"/>
    <row r="5281" customFormat="1"/>
    <row r="5282" customFormat="1"/>
    <row r="5283" customFormat="1"/>
    <row r="5284" customFormat="1"/>
    <row r="5285" customFormat="1"/>
    <row r="5286" customFormat="1"/>
    <row r="5287" customFormat="1"/>
    <row r="5288" customFormat="1"/>
    <row r="5289" customFormat="1"/>
    <row r="5290" customFormat="1"/>
    <row r="5291" customFormat="1"/>
    <row r="5292" customFormat="1"/>
    <row r="5293" customFormat="1"/>
    <row r="5294" customFormat="1"/>
    <row r="5295" customFormat="1"/>
    <row r="5296" customFormat="1"/>
    <row r="5297" customFormat="1"/>
    <row r="5298" customFormat="1"/>
    <row r="5299" customFormat="1"/>
    <row r="5300" customFormat="1"/>
    <row r="5301" customFormat="1"/>
    <row r="5302" customFormat="1"/>
    <row r="5303" customFormat="1"/>
    <row r="5304" customFormat="1"/>
    <row r="5305" customFormat="1"/>
    <row r="5306" customFormat="1"/>
    <row r="5307" customFormat="1"/>
    <row r="5308" customFormat="1"/>
    <row r="5309" customFormat="1"/>
    <row r="5310" customFormat="1"/>
    <row r="5311" customFormat="1"/>
    <row r="5312" customFormat="1"/>
    <row r="5313" customFormat="1"/>
    <row r="5314" customFormat="1"/>
    <row r="5315" customFormat="1"/>
    <row r="5316" customFormat="1"/>
    <row r="5317" customFormat="1"/>
    <row r="5318" customFormat="1"/>
    <row r="5319" customFormat="1"/>
    <row r="5320" customFormat="1"/>
    <row r="5321" customFormat="1"/>
    <row r="5322" customFormat="1"/>
    <row r="5323" customFormat="1"/>
    <row r="5324" customFormat="1"/>
    <row r="5325" customFormat="1"/>
    <row r="5326" customFormat="1"/>
    <row r="5327" customFormat="1"/>
    <row r="5328" customFormat="1"/>
    <row r="5329" customFormat="1"/>
    <row r="5330" customFormat="1"/>
    <row r="5331" customFormat="1"/>
    <row r="5332" customFormat="1"/>
    <row r="5333" customFormat="1"/>
    <row r="5334" customFormat="1"/>
    <row r="5335" customFormat="1"/>
    <row r="5336" customFormat="1"/>
    <row r="5337" customFormat="1"/>
    <row r="5338" customFormat="1"/>
    <row r="5339" customFormat="1"/>
    <row r="5340" customFormat="1"/>
    <row r="5341" customFormat="1"/>
    <row r="5342" customFormat="1"/>
    <row r="5343" customFormat="1"/>
    <row r="5344" customFormat="1"/>
    <row r="5345" customFormat="1"/>
    <row r="5346" customFormat="1"/>
    <row r="5347" customFormat="1"/>
    <row r="5348" customFormat="1"/>
    <row r="5349" customFormat="1"/>
    <row r="5350" customFormat="1"/>
    <row r="5351" customFormat="1"/>
    <row r="5352" customFormat="1"/>
    <row r="5353" customFormat="1"/>
    <row r="5354" customFormat="1"/>
    <row r="5355" customFormat="1"/>
    <row r="5356" customFormat="1"/>
    <row r="5357" customFormat="1"/>
    <row r="5358" customFormat="1"/>
    <row r="5359" customFormat="1"/>
    <row r="5360" customFormat="1"/>
    <row r="5361" customFormat="1"/>
    <row r="5362" customFormat="1"/>
    <row r="5363" customFormat="1"/>
    <row r="5364" customFormat="1"/>
    <row r="5365" customFormat="1"/>
    <row r="5366" customFormat="1"/>
    <row r="5367" customFormat="1"/>
    <row r="5368" customFormat="1"/>
    <row r="5369" customFormat="1"/>
    <row r="5370" customFormat="1"/>
    <row r="5371" customFormat="1"/>
    <row r="5372" customFormat="1"/>
    <row r="5373" customFormat="1"/>
    <row r="5374" customFormat="1"/>
    <row r="5375" customFormat="1"/>
    <row r="5376" customFormat="1"/>
    <row r="5377" customFormat="1"/>
    <row r="5378" customFormat="1"/>
    <row r="5379" customFormat="1"/>
    <row r="5380" customFormat="1"/>
    <row r="5381" customFormat="1"/>
    <row r="5382" customFormat="1"/>
    <row r="5383" customFormat="1"/>
    <row r="5384" customFormat="1"/>
    <row r="5385" customFormat="1"/>
    <row r="5386" customFormat="1"/>
    <row r="5387" customFormat="1"/>
    <row r="5388" customFormat="1"/>
    <row r="5389" customFormat="1"/>
    <row r="5390" customFormat="1"/>
    <row r="5391" customFormat="1"/>
    <row r="5392" customFormat="1"/>
    <row r="5393" customFormat="1"/>
    <row r="5394" customFormat="1"/>
    <row r="5395" customFormat="1"/>
    <row r="5396" customFormat="1"/>
    <row r="5397" customFormat="1"/>
    <row r="5398" customFormat="1"/>
    <row r="5399" customFormat="1"/>
    <row r="5400" customFormat="1"/>
    <row r="5401" customFormat="1"/>
    <row r="5402" customFormat="1"/>
    <row r="5403" customFormat="1"/>
    <row r="5404" customFormat="1"/>
    <row r="5405" customFormat="1"/>
    <row r="5406" customFormat="1"/>
    <row r="5407" customFormat="1"/>
    <row r="5408" customFormat="1"/>
    <row r="5409" customFormat="1"/>
    <row r="5410" customFormat="1"/>
    <row r="5411" customFormat="1"/>
    <row r="5412" customFormat="1"/>
    <row r="5413" customFormat="1"/>
    <row r="5414" customFormat="1"/>
    <row r="5415" customFormat="1"/>
    <row r="5416" customFormat="1"/>
    <row r="5417" customFormat="1"/>
    <row r="5418" customFormat="1"/>
    <row r="5419" customFormat="1"/>
    <row r="5420" customFormat="1"/>
    <row r="5421" customFormat="1"/>
    <row r="5422" customFormat="1"/>
    <row r="5423" customFormat="1"/>
    <row r="5424" customFormat="1"/>
    <row r="5425" customFormat="1"/>
    <row r="5426" customFormat="1"/>
    <row r="5427" customFormat="1"/>
    <row r="5428" customFormat="1"/>
    <row r="5429" customFormat="1"/>
    <row r="5430" customFormat="1"/>
    <row r="5431" customFormat="1"/>
    <row r="5432" customFormat="1"/>
    <row r="5433" customFormat="1"/>
    <row r="5434" customFormat="1"/>
    <row r="5435" customFormat="1"/>
    <row r="5436" customFormat="1"/>
    <row r="5437" customFormat="1"/>
    <row r="5438" customFormat="1"/>
    <row r="5439" customFormat="1"/>
    <row r="5440" customFormat="1"/>
    <row r="5441" customFormat="1"/>
    <row r="5442" customFormat="1"/>
    <row r="5443" customFormat="1"/>
    <row r="5444" customFormat="1"/>
    <row r="5445" customFormat="1"/>
    <row r="5446" customFormat="1"/>
    <row r="5447" customFormat="1"/>
    <row r="5448" customFormat="1"/>
    <row r="5449" customFormat="1"/>
    <row r="5450" customFormat="1"/>
    <row r="5451" customFormat="1"/>
    <row r="5452" customFormat="1"/>
    <row r="5453" customFormat="1"/>
    <row r="5454" customFormat="1"/>
    <row r="5455" customFormat="1"/>
    <row r="5456" customFormat="1"/>
    <row r="5457" customFormat="1"/>
    <row r="5458" customFormat="1"/>
    <row r="5459" customFormat="1"/>
    <row r="5460" customFormat="1"/>
    <row r="5461" customFormat="1"/>
    <row r="5462" customFormat="1"/>
    <row r="5463" customFormat="1"/>
    <row r="5464" customFormat="1"/>
    <row r="5465" customFormat="1"/>
    <row r="5466" customFormat="1"/>
    <row r="5467" customFormat="1"/>
    <row r="5468" customFormat="1"/>
    <row r="5469" customFormat="1"/>
    <row r="5470" customFormat="1"/>
    <row r="5471" customFormat="1"/>
    <row r="5472" customFormat="1"/>
    <row r="5473" customFormat="1"/>
    <row r="5474" customFormat="1"/>
    <row r="5475" customFormat="1"/>
    <row r="5476" customFormat="1"/>
    <row r="5477" customFormat="1"/>
    <row r="5478" customFormat="1"/>
    <row r="5479" customFormat="1"/>
    <row r="5480" customFormat="1"/>
    <row r="5481" customFormat="1"/>
    <row r="5482" customFormat="1"/>
    <row r="5483" customFormat="1"/>
    <row r="5484" customFormat="1"/>
    <row r="5485" customFormat="1"/>
    <row r="5486" customFormat="1"/>
    <row r="5487" customFormat="1"/>
    <row r="5488" customFormat="1"/>
    <row r="5489" customFormat="1"/>
    <row r="5490" customFormat="1"/>
    <row r="5491" customFormat="1"/>
    <row r="5492" customFormat="1"/>
    <row r="5493" customFormat="1"/>
    <row r="5494" customFormat="1"/>
    <row r="5495" customFormat="1"/>
    <row r="5496" customFormat="1"/>
    <row r="5497" customFormat="1"/>
    <row r="5498" customFormat="1"/>
    <row r="5499" customFormat="1"/>
    <row r="5500" customFormat="1"/>
    <row r="5501" customFormat="1"/>
    <row r="5502" customFormat="1"/>
    <row r="5503" customFormat="1"/>
    <row r="5504" customFormat="1"/>
    <row r="5505" customFormat="1"/>
    <row r="5506" customFormat="1"/>
    <row r="5507" customFormat="1"/>
    <row r="5508" customFormat="1"/>
    <row r="5509" customFormat="1"/>
    <row r="5510" customFormat="1"/>
    <row r="5511" customFormat="1"/>
    <row r="5512" customFormat="1"/>
    <row r="5513" customFormat="1"/>
    <row r="5514" customFormat="1"/>
    <row r="5515" customFormat="1"/>
    <row r="5516" customFormat="1"/>
    <row r="5517" customFormat="1"/>
    <row r="5518" customFormat="1"/>
    <row r="5519" customFormat="1"/>
    <row r="5520" customFormat="1"/>
    <row r="5521" customFormat="1"/>
    <row r="5522" customFormat="1"/>
    <row r="5523" customFormat="1"/>
    <row r="5524" customFormat="1"/>
    <row r="5525" customFormat="1"/>
    <row r="5526" customFormat="1"/>
    <row r="5527" customFormat="1"/>
    <row r="5528" customFormat="1"/>
    <row r="5529" customFormat="1"/>
    <row r="5530" customFormat="1"/>
    <row r="5531" customFormat="1"/>
    <row r="5532" customFormat="1"/>
    <row r="5533" customFormat="1"/>
    <row r="5534" customFormat="1"/>
    <row r="5535" customFormat="1"/>
    <row r="5536" customFormat="1"/>
    <row r="5537" customFormat="1"/>
    <row r="5538" customFormat="1"/>
    <row r="5539" customFormat="1"/>
    <row r="5540" customFormat="1"/>
    <row r="5541" customFormat="1"/>
    <row r="5542" customFormat="1"/>
    <row r="5543" customFormat="1"/>
    <row r="5544" customFormat="1"/>
    <row r="5545" customFormat="1"/>
    <row r="5546" customFormat="1"/>
    <row r="5547" customFormat="1"/>
    <row r="5548" customFormat="1"/>
    <row r="5549" customFormat="1"/>
    <row r="5550" customFormat="1"/>
    <row r="5551" customFormat="1"/>
    <row r="5552" customFormat="1"/>
    <row r="5553" customFormat="1"/>
    <row r="5554" customFormat="1"/>
    <row r="5555" customFormat="1"/>
    <row r="5556" customFormat="1"/>
    <row r="5557" customFormat="1"/>
    <row r="5558" customFormat="1"/>
    <row r="5559" customFormat="1"/>
    <row r="5560" customFormat="1"/>
    <row r="5561" customFormat="1"/>
    <row r="5562" customFormat="1"/>
    <row r="5563" customFormat="1"/>
    <row r="5564" customFormat="1"/>
    <row r="5565" customFormat="1"/>
    <row r="5566" customFormat="1"/>
    <row r="5567" customFormat="1"/>
    <row r="5568" customFormat="1"/>
    <row r="5569" customFormat="1"/>
    <row r="5570" customFormat="1"/>
    <row r="5571" customFormat="1"/>
    <row r="5572" customFormat="1"/>
    <row r="5573" customFormat="1"/>
    <row r="5574" customFormat="1"/>
    <row r="5575" customFormat="1"/>
    <row r="5576" customFormat="1"/>
    <row r="5577" customFormat="1"/>
    <row r="5578" customFormat="1"/>
    <row r="5579" customFormat="1"/>
    <row r="5580" customFormat="1"/>
    <row r="5581" customFormat="1"/>
    <row r="5582" customFormat="1"/>
    <row r="5583" customFormat="1"/>
    <row r="5584" customFormat="1"/>
    <row r="5585" customFormat="1"/>
    <row r="5586" customFormat="1"/>
    <row r="5587" customFormat="1"/>
    <row r="5588" customFormat="1"/>
    <row r="5589" customFormat="1"/>
    <row r="5590" customFormat="1"/>
    <row r="5591" customFormat="1"/>
    <row r="5592" customFormat="1"/>
    <row r="5593" customFormat="1"/>
    <row r="5594" customFormat="1"/>
    <row r="5595" customFormat="1"/>
    <row r="5596" customFormat="1"/>
    <row r="5597" customFormat="1"/>
    <row r="5598" customFormat="1"/>
    <row r="5599" customFormat="1"/>
    <row r="5600" customFormat="1"/>
    <row r="5601" customFormat="1"/>
    <row r="5602" customFormat="1"/>
    <row r="5603" customFormat="1"/>
    <row r="5604" customFormat="1"/>
    <row r="5605" customFormat="1"/>
    <row r="5606" customFormat="1"/>
    <row r="5607" customFormat="1"/>
    <row r="5608" customFormat="1"/>
    <row r="5609" customFormat="1"/>
    <row r="5610" customFormat="1"/>
    <row r="5611" customFormat="1"/>
    <row r="5612" customFormat="1"/>
    <row r="5613" customFormat="1"/>
    <row r="5614" customFormat="1"/>
    <row r="5615" customFormat="1"/>
    <row r="5616" customFormat="1"/>
    <row r="5617" customFormat="1"/>
    <row r="5618" customFormat="1"/>
    <row r="5619" customFormat="1"/>
    <row r="5620" customFormat="1"/>
    <row r="5621" customFormat="1"/>
    <row r="5622" customFormat="1"/>
    <row r="5623" customFormat="1"/>
    <row r="5624" customFormat="1"/>
    <row r="5625" customFormat="1"/>
    <row r="5626" customFormat="1"/>
    <row r="5627" customFormat="1"/>
    <row r="5628" customFormat="1"/>
    <row r="5629" customFormat="1"/>
    <row r="5630" customFormat="1"/>
    <row r="5631" customFormat="1"/>
    <row r="5632" customFormat="1"/>
    <row r="5633" customFormat="1"/>
    <row r="5634" customFormat="1"/>
    <row r="5635" customFormat="1"/>
    <row r="5636" customFormat="1"/>
    <row r="5637" customFormat="1"/>
    <row r="5638" customFormat="1"/>
    <row r="5639" customFormat="1"/>
    <row r="5640" customFormat="1"/>
    <row r="5641" customFormat="1"/>
    <row r="5642" customFormat="1"/>
    <row r="5643" customFormat="1"/>
    <row r="5644" customFormat="1"/>
    <row r="5645" customFormat="1"/>
    <row r="5646" customFormat="1"/>
    <row r="5647" customFormat="1"/>
    <row r="5648" customFormat="1"/>
    <row r="5649" customFormat="1"/>
    <row r="5650" customFormat="1"/>
    <row r="5651" customFormat="1"/>
    <row r="5652" customFormat="1"/>
    <row r="5653" customFormat="1"/>
    <row r="5654" customFormat="1"/>
    <row r="5655" customFormat="1"/>
    <row r="5656" customFormat="1"/>
    <row r="5657" customFormat="1"/>
    <row r="5658" customFormat="1"/>
    <row r="5659" customFormat="1"/>
    <row r="5660" customFormat="1"/>
    <row r="5661" customFormat="1"/>
    <row r="5662" customFormat="1"/>
    <row r="5663" customFormat="1"/>
    <row r="5664" customFormat="1"/>
    <row r="5665" customFormat="1"/>
    <row r="5666" customFormat="1"/>
    <row r="5667" customFormat="1"/>
    <row r="5668" customFormat="1"/>
    <row r="5669" customFormat="1"/>
    <row r="5670" customFormat="1"/>
    <row r="5671" customFormat="1"/>
    <row r="5672" customFormat="1"/>
    <row r="5673" customFormat="1"/>
    <row r="5674" customFormat="1"/>
    <row r="5675" customFormat="1"/>
    <row r="5676" customFormat="1"/>
    <row r="5677" customFormat="1"/>
    <row r="5678" customFormat="1"/>
    <row r="5679" customFormat="1"/>
    <row r="5680" customFormat="1"/>
    <row r="5681" customFormat="1"/>
    <row r="5682" customFormat="1"/>
    <row r="5683" customFormat="1"/>
    <row r="5684" customFormat="1"/>
    <row r="5685" customFormat="1"/>
    <row r="5686" customFormat="1"/>
    <row r="5687" customFormat="1"/>
    <row r="5688" customFormat="1"/>
    <row r="5689" customFormat="1"/>
    <row r="5690" customFormat="1"/>
    <row r="5691" customFormat="1"/>
    <row r="5692" customFormat="1"/>
    <row r="5693" customFormat="1"/>
    <row r="5694" customFormat="1"/>
    <row r="5695" customFormat="1"/>
    <row r="5696" customFormat="1"/>
    <row r="5697" customFormat="1"/>
    <row r="5698" customFormat="1"/>
    <row r="5699" customFormat="1"/>
    <row r="5700" customFormat="1"/>
    <row r="5701" customFormat="1"/>
    <row r="5702" customFormat="1"/>
    <row r="5703" customFormat="1"/>
    <row r="5704" customFormat="1"/>
    <row r="5705" customFormat="1"/>
    <row r="5706" customFormat="1"/>
    <row r="5707" customFormat="1"/>
    <row r="5708" customFormat="1"/>
    <row r="5709" customFormat="1"/>
    <row r="5710" customFormat="1"/>
    <row r="5711" customFormat="1"/>
    <row r="5712" customFormat="1"/>
    <row r="5713" customFormat="1"/>
    <row r="5714" customFormat="1"/>
    <row r="5715" customFormat="1"/>
    <row r="5716" customFormat="1"/>
    <row r="5717" customFormat="1"/>
    <row r="5718" customFormat="1"/>
    <row r="5719" customFormat="1"/>
    <row r="5720" customFormat="1"/>
    <row r="5721" customFormat="1"/>
    <row r="5722" customFormat="1"/>
    <row r="5723" customFormat="1"/>
    <row r="5724" customFormat="1"/>
    <row r="5725" customFormat="1"/>
    <row r="5726" customFormat="1"/>
    <row r="5727" customFormat="1"/>
    <row r="5728" customFormat="1"/>
    <row r="5729" customFormat="1"/>
    <row r="5730" customFormat="1"/>
    <row r="5731" customFormat="1"/>
    <row r="5732" customFormat="1"/>
    <row r="5733" customFormat="1"/>
    <row r="5734" customFormat="1"/>
    <row r="5735" customFormat="1"/>
    <row r="5736" customFormat="1"/>
    <row r="5737" customFormat="1"/>
    <row r="5738" customFormat="1"/>
    <row r="5739" customFormat="1"/>
    <row r="5740" customFormat="1"/>
    <row r="5741" customFormat="1"/>
    <row r="5742" customFormat="1"/>
    <row r="5743" customFormat="1"/>
    <row r="5744" customFormat="1"/>
    <row r="5745" customFormat="1"/>
    <row r="5746" customFormat="1"/>
    <row r="5747" customFormat="1"/>
    <row r="5748" customFormat="1"/>
    <row r="5749" customFormat="1"/>
    <row r="5750" customFormat="1"/>
    <row r="5751" customFormat="1"/>
    <row r="5752" customFormat="1"/>
    <row r="5753" customFormat="1"/>
    <row r="5754" customFormat="1"/>
    <row r="5755" customFormat="1"/>
    <row r="5756" customFormat="1"/>
    <row r="5757" customFormat="1"/>
    <row r="5758" customFormat="1"/>
    <row r="5759" customFormat="1"/>
    <row r="5760" customFormat="1"/>
    <row r="5761" customFormat="1"/>
    <row r="5762" customFormat="1"/>
    <row r="5763" customFormat="1"/>
    <row r="5764" customFormat="1"/>
    <row r="5765" customFormat="1"/>
    <row r="5766" customFormat="1"/>
    <row r="5767" customFormat="1"/>
    <row r="5768" customFormat="1"/>
    <row r="5769" customFormat="1"/>
    <row r="5770" customFormat="1"/>
    <row r="5771" customFormat="1"/>
    <row r="5772" customFormat="1"/>
    <row r="5773" customFormat="1"/>
    <row r="5774" customFormat="1"/>
    <row r="5775" customFormat="1"/>
    <row r="5776" customFormat="1"/>
    <row r="5777" customFormat="1"/>
    <row r="5778" customFormat="1"/>
    <row r="5779" customFormat="1"/>
    <row r="5780" customFormat="1"/>
    <row r="5781" customFormat="1"/>
    <row r="5782" customFormat="1"/>
    <row r="5783" customFormat="1"/>
    <row r="5784" customFormat="1"/>
    <row r="5785" customFormat="1"/>
    <row r="5786" customFormat="1"/>
    <row r="5787" customFormat="1"/>
    <row r="5788" customFormat="1"/>
    <row r="5789" customFormat="1"/>
    <row r="5790" customFormat="1"/>
    <row r="5791" customFormat="1"/>
    <row r="5792" customFormat="1"/>
    <row r="5793" customFormat="1"/>
    <row r="5794" customFormat="1"/>
    <row r="5795" customFormat="1"/>
    <row r="5796" customFormat="1"/>
    <row r="5797" customFormat="1"/>
    <row r="5798" customFormat="1"/>
    <row r="5799" customFormat="1"/>
    <row r="5800" customFormat="1"/>
    <row r="5801" customFormat="1"/>
    <row r="5802" customFormat="1"/>
    <row r="5803" customFormat="1"/>
    <row r="5804" customFormat="1"/>
    <row r="5805" customFormat="1"/>
    <row r="5806" customFormat="1"/>
    <row r="5807" customFormat="1"/>
    <row r="5808" customFormat="1"/>
    <row r="5809" customFormat="1"/>
    <row r="5810" customFormat="1"/>
    <row r="5811" customFormat="1"/>
    <row r="5812" customFormat="1"/>
    <row r="5813" customFormat="1"/>
    <row r="5814" customFormat="1"/>
    <row r="5815" customFormat="1"/>
    <row r="5816" customFormat="1"/>
    <row r="5817" customFormat="1"/>
    <row r="5818" customFormat="1"/>
    <row r="5819" customFormat="1"/>
    <row r="5820" customFormat="1"/>
    <row r="5821" customFormat="1"/>
    <row r="5822" customFormat="1"/>
    <row r="5823" customFormat="1"/>
    <row r="5824" customFormat="1"/>
    <row r="5825" customFormat="1"/>
    <row r="5826" customFormat="1"/>
    <row r="5827" customFormat="1"/>
    <row r="5828" customFormat="1"/>
    <row r="5829" customFormat="1"/>
    <row r="5830" customFormat="1"/>
    <row r="5831" customFormat="1"/>
    <row r="5832" customFormat="1"/>
    <row r="5833" customFormat="1"/>
    <row r="5834" customFormat="1"/>
    <row r="5835" customFormat="1"/>
    <row r="5836" customFormat="1"/>
    <row r="5837" customFormat="1"/>
    <row r="5838" customFormat="1"/>
    <row r="5839" customFormat="1"/>
    <row r="5840" customFormat="1"/>
    <row r="5841" customFormat="1"/>
    <row r="5842" customFormat="1"/>
    <row r="5843" customFormat="1"/>
    <row r="5844" customFormat="1"/>
    <row r="5845" customFormat="1"/>
    <row r="5846" customFormat="1"/>
    <row r="5847" customFormat="1"/>
    <row r="5848" customFormat="1"/>
    <row r="5849" customFormat="1"/>
    <row r="5850" customFormat="1"/>
    <row r="5851" customFormat="1"/>
    <row r="5852" customFormat="1"/>
    <row r="5853" customFormat="1"/>
    <row r="5854" customFormat="1"/>
    <row r="5855" customFormat="1"/>
    <row r="5856" customFormat="1"/>
    <row r="5857" customFormat="1"/>
    <row r="5858" customFormat="1"/>
    <row r="5859" customFormat="1"/>
    <row r="5860" customFormat="1"/>
    <row r="5861" customFormat="1"/>
    <row r="5862" customFormat="1"/>
    <row r="5863" customFormat="1"/>
    <row r="5864" customFormat="1"/>
    <row r="5865" customFormat="1"/>
    <row r="5866" customFormat="1"/>
    <row r="5867" customFormat="1"/>
    <row r="5868" customFormat="1"/>
    <row r="5869" customFormat="1"/>
    <row r="5870" customFormat="1"/>
    <row r="5871" customFormat="1"/>
    <row r="5872" customFormat="1"/>
    <row r="5873" customFormat="1"/>
    <row r="5874" customFormat="1"/>
    <row r="5875" customFormat="1"/>
    <row r="5876" customFormat="1"/>
    <row r="5877" customFormat="1"/>
    <row r="5878" customFormat="1"/>
    <row r="5879" customFormat="1"/>
    <row r="5880" customFormat="1"/>
    <row r="5881" customFormat="1"/>
    <row r="5882" customFormat="1"/>
    <row r="5883" customFormat="1"/>
    <row r="5884" customFormat="1"/>
    <row r="5885" customFormat="1"/>
    <row r="5886" customFormat="1"/>
    <row r="5887" customFormat="1"/>
    <row r="5888" customFormat="1"/>
    <row r="5889" customFormat="1"/>
    <row r="5890" customFormat="1"/>
    <row r="5891" customFormat="1"/>
    <row r="5892" customFormat="1"/>
    <row r="5893" customFormat="1"/>
    <row r="5894" customFormat="1"/>
    <row r="5895" customFormat="1"/>
    <row r="5896" customFormat="1"/>
    <row r="5897" customFormat="1"/>
    <row r="5898" customFormat="1"/>
    <row r="5899" customFormat="1"/>
    <row r="5900" customFormat="1"/>
    <row r="5901" customFormat="1"/>
    <row r="5902" customFormat="1"/>
    <row r="5903" customFormat="1"/>
    <row r="5904" customFormat="1"/>
    <row r="5905" customFormat="1"/>
    <row r="5906" customFormat="1"/>
    <row r="5907" customFormat="1"/>
    <row r="5908" customFormat="1"/>
    <row r="5909" customFormat="1"/>
    <row r="5910" customFormat="1"/>
    <row r="5911" customFormat="1"/>
    <row r="5912" customFormat="1"/>
    <row r="5913" customFormat="1"/>
    <row r="5914" customFormat="1"/>
    <row r="5915" customFormat="1"/>
    <row r="5916" customFormat="1"/>
    <row r="5917" customFormat="1"/>
    <row r="5918" customFormat="1"/>
    <row r="5919" customFormat="1"/>
    <row r="5920" customFormat="1"/>
    <row r="5921" customFormat="1"/>
    <row r="5922" customFormat="1"/>
    <row r="5923" customFormat="1"/>
    <row r="5924" customFormat="1"/>
    <row r="5925" customFormat="1"/>
    <row r="5926" customFormat="1"/>
    <row r="5927" customFormat="1"/>
    <row r="5928" customFormat="1"/>
    <row r="5929" customFormat="1"/>
    <row r="5930" customFormat="1"/>
    <row r="5931" customFormat="1"/>
    <row r="5932" customFormat="1"/>
    <row r="5933" customFormat="1"/>
    <row r="5934" customFormat="1"/>
    <row r="5935" customFormat="1"/>
    <row r="5936" customFormat="1"/>
    <row r="5937" customFormat="1"/>
    <row r="5938" customFormat="1"/>
    <row r="5939" customFormat="1"/>
    <row r="5940" customFormat="1"/>
    <row r="5941" customFormat="1"/>
    <row r="5942" customFormat="1"/>
    <row r="5943" customFormat="1"/>
    <row r="5944" customFormat="1"/>
    <row r="5945" customFormat="1"/>
    <row r="5946" customFormat="1"/>
    <row r="5947" customFormat="1"/>
    <row r="5948" customFormat="1"/>
    <row r="5949" customFormat="1"/>
    <row r="5950" customFormat="1"/>
    <row r="5951" customFormat="1"/>
    <row r="5952" customFormat="1"/>
    <row r="5953" customFormat="1"/>
    <row r="5954" customFormat="1"/>
    <row r="5955" customFormat="1"/>
    <row r="5956" customFormat="1"/>
    <row r="5957" customFormat="1"/>
    <row r="5958" customFormat="1"/>
    <row r="5959" customFormat="1"/>
    <row r="5960" customFormat="1"/>
    <row r="5961" customFormat="1"/>
    <row r="5962" customFormat="1"/>
    <row r="5963" customFormat="1"/>
    <row r="5964" customFormat="1"/>
    <row r="5965" customFormat="1"/>
    <row r="5966" customFormat="1"/>
    <row r="5967" customFormat="1"/>
    <row r="5968" customFormat="1"/>
    <row r="5969" customFormat="1"/>
    <row r="5970" customFormat="1"/>
    <row r="5971" customFormat="1"/>
    <row r="5972" customFormat="1"/>
    <row r="5973" customFormat="1"/>
    <row r="5974" customFormat="1"/>
    <row r="5975" customFormat="1"/>
    <row r="5976" customFormat="1"/>
    <row r="5977" customFormat="1"/>
    <row r="5978" customFormat="1"/>
    <row r="5979" customFormat="1"/>
    <row r="5980" customFormat="1"/>
    <row r="5981" customFormat="1"/>
    <row r="5982" customFormat="1"/>
    <row r="5983" customFormat="1"/>
    <row r="5984" customFormat="1"/>
    <row r="5985" customFormat="1"/>
    <row r="5986" customFormat="1"/>
    <row r="5987" customFormat="1"/>
    <row r="5988" customFormat="1"/>
    <row r="5989" customFormat="1"/>
    <row r="5990" customFormat="1"/>
    <row r="5991" customFormat="1"/>
    <row r="5992" customFormat="1"/>
    <row r="5993" customFormat="1"/>
    <row r="5994" customFormat="1"/>
    <row r="5995" customFormat="1"/>
    <row r="5996" customFormat="1"/>
    <row r="5997" customFormat="1"/>
    <row r="5998" customFormat="1"/>
    <row r="5999" customFormat="1"/>
    <row r="6000" customFormat="1"/>
    <row r="6001" customFormat="1"/>
    <row r="6002" customFormat="1"/>
    <row r="6003" customFormat="1"/>
    <row r="6004" customFormat="1"/>
    <row r="6005" customFormat="1"/>
    <row r="6006" customFormat="1"/>
    <row r="6007" customFormat="1"/>
    <row r="6008" customFormat="1"/>
    <row r="6009" customFormat="1"/>
    <row r="6010" customFormat="1"/>
    <row r="6011" customFormat="1"/>
    <row r="6012" customFormat="1"/>
    <row r="6013" customFormat="1"/>
    <row r="6014" customFormat="1"/>
    <row r="6015" customFormat="1"/>
    <row r="6016" customFormat="1"/>
    <row r="6017" customFormat="1"/>
    <row r="6018" customFormat="1"/>
    <row r="6019" customFormat="1"/>
    <row r="6020" customFormat="1"/>
    <row r="6021" customFormat="1"/>
    <row r="6022" customFormat="1"/>
    <row r="6023" customFormat="1"/>
    <row r="6024" customFormat="1"/>
    <row r="6025" customFormat="1"/>
    <row r="6026" customFormat="1"/>
    <row r="6027" customFormat="1"/>
    <row r="6028" customFormat="1"/>
    <row r="6029" customFormat="1"/>
    <row r="6030" customFormat="1"/>
    <row r="6031" customFormat="1"/>
    <row r="6032" customFormat="1"/>
    <row r="6033" customFormat="1"/>
    <row r="6034" customFormat="1"/>
    <row r="6035" customFormat="1"/>
    <row r="6036" customFormat="1"/>
    <row r="6037" customFormat="1"/>
    <row r="6038" customFormat="1"/>
    <row r="6039" customFormat="1"/>
    <row r="6040" customFormat="1"/>
    <row r="6041" customFormat="1"/>
    <row r="6042" customFormat="1"/>
    <row r="6043" customFormat="1"/>
    <row r="6044" customFormat="1"/>
    <row r="6045" customFormat="1"/>
    <row r="6046" customFormat="1"/>
    <row r="6047" customFormat="1"/>
    <row r="6048" customFormat="1"/>
    <row r="6049" customFormat="1"/>
    <row r="6050" customFormat="1"/>
    <row r="6051" customFormat="1"/>
    <row r="6052" customFormat="1"/>
    <row r="6053" customFormat="1"/>
    <row r="6054" customFormat="1"/>
    <row r="6055" customFormat="1"/>
    <row r="6056" customFormat="1"/>
    <row r="6057" customFormat="1"/>
    <row r="6058" customFormat="1"/>
    <row r="6059" customFormat="1"/>
    <row r="6060" customFormat="1"/>
    <row r="6061" customFormat="1"/>
    <row r="6062" customFormat="1"/>
    <row r="6063" customFormat="1"/>
    <row r="6064" customFormat="1"/>
    <row r="6065" customFormat="1"/>
    <row r="6066" customFormat="1"/>
    <row r="6067" customFormat="1"/>
    <row r="6068" customFormat="1"/>
    <row r="6069" customFormat="1"/>
    <row r="6070" customFormat="1"/>
    <row r="6071" customFormat="1"/>
    <row r="6072" customFormat="1"/>
    <row r="6073" customFormat="1"/>
    <row r="6074" customFormat="1"/>
    <row r="6075" customFormat="1"/>
    <row r="6076" customFormat="1"/>
    <row r="6077" customFormat="1"/>
    <row r="6078" customFormat="1"/>
    <row r="6079" customFormat="1"/>
    <row r="6080" customFormat="1"/>
    <row r="6081" customFormat="1"/>
    <row r="6082" customFormat="1"/>
    <row r="6083" customFormat="1"/>
    <row r="6084" customFormat="1"/>
    <row r="6085" customFormat="1"/>
    <row r="6086" customFormat="1"/>
    <row r="6087" customFormat="1"/>
    <row r="6088" customFormat="1"/>
    <row r="6089" customFormat="1"/>
    <row r="6090" customFormat="1"/>
    <row r="6091" customFormat="1"/>
    <row r="6092" customFormat="1"/>
    <row r="6093" customFormat="1"/>
    <row r="6094" customFormat="1"/>
    <row r="6095" customFormat="1"/>
    <row r="6096" customFormat="1"/>
    <row r="6097" customFormat="1"/>
    <row r="6098" customFormat="1"/>
    <row r="6099" customFormat="1"/>
    <row r="6100" customFormat="1"/>
    <row r="6101" customFormat="1"/>
    <row r="6102" customFormat="1"/>
    <row r="6103" customFormat="1"/>
    <row r="6104" customFormat="1"/>
    <row r="6105" customFormat="1"/>
    <row r="6106" customFormat="1"/>
    <row r="6107" customFormat="1"/>
    <row r="6108" customFormat="1"/>
    <row r="6109" customFormat="1"/>
    <row r="6110" customFormat="1"/>
    <row r="6111" customFormat="1"/>
    <row r="6112" customFormat="1"/>
    <row r="6113" customFormat="1"/>
    <row r="6114" customFormat="1"/>
    <row r="6115" customFormat="1"/>
    <row r="6116" customFormat="1"/>
    <row r="6117" customFormat="1"/>
    <row r="6118" customFormat="1"/>
    <row r="6119" customFormat="1"/>
    <row r="6120" customFormat="1"/>
    <row r="6121" customFormat="1"/>
    <row r="6122" customFormat="1"/>
    <row r="6123" customFormat="1"/>
    <row r="6124" customFormat="1"/>
    <row r="6125" customFormat="1"/>
    <row r="6126" customFormat="1"/>
    <row r="6127" customFormat="1"/>
    <row r="6128" customFormat="1"/>
    <row r="6129" customFormat="1"/>
    <row r="6130" customFormat="1"/>
    <row r="6131" customFormat="1"/>
    <row r="6132" customFormat="1"/>
    <row r="6133" customFormat="1"/>
    <row r="6134" customFormat="1"/>
    <row r="6135" customFormat="1"/>
    <row r="6136" customFormat="1"/>
    <row r="6137" customFormat="1"/>
    <row r="6138" customFormat="1"/>
    <row r="6139" customFormat="1"/>
    <row r="6140" customFormat="1"/>
    <row r="6141" customFormat="1"/>
    <row r="6142" customFormat="1"/>
    <row r="6143" customFormat="1"/>
    <row r="6144" customFormat="1"/>
    <row r="6145" customFormat="1"/>
    <row r="6146" customFormat="1"/>
    <row r="6147" customFormat="1"/>
    <row r="6148" customFormat="1"/>
    <row r="6149" customFormat="1"/>
    <row r="6150" customFormat="1"/>
    <row r="6151" customFormat="1"/>
    <row r="6152" customFormat="1"/>
    <row r="6153" customFormat="1"/>
    <row r="6154" customFormat="1"/>
    <row r="6155" customFormat="1"/>
    <row r="6156" customFormat="1"/>
    <row r="6157" customFormat="1"/>
    <row r="6158" customFormat="1"/>
    <row r="6159" customFormat="1"/>
    <row r="6160" customFormat="1"/>
    <row r="6161" customFormat="1"/>
    <row r="6162" customFormat="1"/>
    <row r="6163" customFormat="1"/>
    <row r="6164" customFormat="1"/>
    <row r="6165" customFormat="1"/>
    <row r="6166" customFormat="1"/>
    <row r="6167" customFormat="1"/>
    <row r="6168" customFormat="1"/>
    <row r="6169" customFormat="1"/>
    <row r="6170" customFormat="1"/>
    <row r="6171" customFormat="1"/>
    <row r="6172" customFormat="1"/>
    <row r="6173" customFormat="1"/>
    <row r="6174" customFormat="1"/>
    <row r="6175" customFormat="1"/>
    <row r="6176" customFormat="1"/>
    <row r="6177" customFormat="1"/>
    <row r="6178" customFormat="1"/>
    <row r="6179" customFormat="1"/>
    <row r="6180" customFormat="1"/>
    <row r="6181" customFormat="1"/>
    <row r="6182" customFormat="1"/>
    <row r="6183" customFormat="1"/>
    <row r="6184" customFormat="1"/>
    <row r="6185" customFormat="1"/>
    <row r="6186" customFormat="1"/>
    <row r="6187" customFormat="1"/>
    <row r="6188" customFormat="1"/>
    <row r="6189" customFormat="1"/>
    <row r="6190" customFormat="1"/>
    <row r="6191" customFormat="1"/>
    <row r="6192" customFormat="1"/>
    <row r="6193" customFormat="1"/>
    <row r="6194" customFormat="1"/>
    <row r="6195" customFormat="1"/>
    <row r="6196" customFormat="1"/>
    <row r="6197" customFormat="1"/>
    <row r="6198" customFormat="1"/>
    <row r="6199" customFormat="1"/>
    <row r="6200" customFormat="1"/>
    <row r="6201" customFormat="1"/>
    <row r="6202" customFormat="1"/>
    <row r="6203" customFormat="1"/>
    <row r="6204" customFormat="1"/>
    <row r="6205" customFormat="1"/>
    <row r="6206" customFormat="1"/>
    <row r="6207" customFormat="1"/>
    <row r="6208" customFormat="1"/>
    <row r="6209" customFormat="1"/>
    <row r="6210" customFormat="1"/>
    <row r="6211" customFormat="1"/>
    <row r="6212" customFormat="1"/>
    <row r="6213" customFormat="1"/>
    <row r="6214" customFormat="1"/>
    <row r="6215" customFormat="1"/>
    <row r="6216" customFormat="1"/>
    <row r="6217" customFormat="1"/>
    <row r="6218" customFormat="1"/>
    <row r="6219" customFormat="1"/>
    <row r="6220" customFormat="1"/>
    <row r="6221" customFormat="1"/>
    <row r="6222" customFormat="1"/>
    <row r="6223" customFormat="1"/>
    <row r="6224" customFormat="1"/>
    <row r="6225" customFormat="1"/>
    <row r="6226" customFormat="1"/>
    <row r="6227" customFormat="1"/>
    <row r="6228" customFormat="1"/>
    <row r="6229" customFormat="1"/>
    <row r="6230" customFormat="1"/>
    <row r="6231" customFormat="1"/>
    <row r="6232" customFormat="1"/>
    <row r="6233" customFormat="1"/>
    <row r="6234" customFormat="1"/>
    <row r="6235" customFormat="1"/>
    <row r="6236" customFormat="1"/>
    <row r="6237" customFormat="1"/>
    <row r="6238" customFormat="1"/>
    <row r="6239" customFormat="1"/>
    <row r="6240" customFormat="1"/>
    <row r="6241" customFormat="1"/>
    <row r="6242" customFormat="1"/>
    <row r="6243" customFormat="1"/>
    <row r="6244" customFormat="1"/>
    <row r="6245" customFormat="1"/>
    <row r="6246" customFormat="1"/>
    <row r="6247" customFormat="1"/>
    <row r="6248" customFormat="1"/>
    <row r="6249" customFormat="1"/>
    <row r="6250" customFormat="1"/>
    <row r="6251" customFormat="1"/>
    <row r="6252" customFormat="1"/>
    <row r="6253" customFormat="1"/>
    <row r="6254" customFormat="1"/>
    <row r="6255" customFormat="1"/>
    <row r="6256" customFormat="1"/>
    <row r="6257" customFormat="1"/>
    <row r="6258" customFormat="1"/>
    <row r="6259" customFormat="1"/>
    <row r="6260" customFormat="1"/>
    <row r="6261" customFormat="1"/>
    <row r="6262" customFormat="1"/>
    <row r="6263" customFormat="1"/>
    <row r="6264" customFormat="1"/>
    <row r="6265" customFormat="1"/>
    <row r="6266" customFormat="1"/>
    <row r="6267" customFormat="1"/>
    <row r="6268" customFormat="1"/>
    <row r="6269" customFormat="1"/>
    <row r="6270" customFormat="1"/>
    <row r="6271" customFormat="1"/>
    <row r="6272" customFormat="1"/>
    <row r="6273" customFormat="1"/>
    <row r="6274" customFormat="1"/>
    <row r="6275" customFormat="1"/>
    <row r="6276" customFormat="1"/>
    <row r="6277" customFormat="1"/>
    <row r="6278" customFormat="1"/>
    <row r="6279" customFormat="1"/>
    <row r="6280" customFormat="1"/>
    <row r="6281" customFormat="1"/>
    <row r="6282" customFormat="1"/>
    <row r="6283" customFormat="1"/>
    <row r="6284" customFormat="1"/>
    <row r="6285" customFormat="1"/>
    <row r="6286" customFormat="1"/>
    <row r="6287" customFormat="1"/>
    <row r="6288" customFormat="1"/>
    <row r="6289" customFormat="1"/>
    <row r="6290" customFormat="1"/>
    <row r="6291" customFormat="1"/>
    <row r="6292" customFormat="1"/>
    <row r="6293" customFormat="1"/>
    <row r="6294" customFormat="1"/>
    <row r="6295" customFormat="1"/>
    <row r="6296" customFormat="1"/>
    <row r="6297" customFormat="1"/>
    <row r="6298" customFormat="1"/>
    <row r="6299" customFormat="1"/>
    <row r="6300" customFormat="1"/>
    <row r="6301" customFormat="1"/>
    <row r="6302" customFormat="1"/>
    <row r="6303" customFormat="1"/>
    <row r="6304" customFormat="1"/>
    <row r="6305" customFormat="1"/>
    <row r="6306" customFormat="1"/>
    <row r="6307" customFormat="1"/>
    <row r="6308" customFormat="1"/>
    <row r="6309" customFormat="1"/>
    <row r="6310" customFormat="1"/>
    <row r="6311" customFormat="1"/>
    <row r="6312" customFormat="1"/>
    <row r="6313" customFormat="1"/>
    <row r="6314" customFormat="1"/>
    <row r="6315" customFormat="1"/>
    <row r="6316" customFormat="1"/>
    <row r="6317" customFormat="1"/>
    <row r="6318" customFormat="1"/>
    <row r="6319" customFormat="1"/>
    <row r="6320" customFormat="1"/>
    <row r="6321" customFormat="1"/>
    <row r="6322" customFormat="1"/>
    <row r="6323" customFormat="1"/>
    <row r="6324" customFormat="1"/>
    <row r="6325" customFormat="1"/>
    <row r="6326" customFormat="1"/>
    <row r="6327" customFormat="1"/>
    <row r="6328" customFormat="1"/>
    <row r="6329" customFormat="1"/>
    <row r="6330" customFormat="1"/>
    <row r="6331" customFormat="1"/>
    <row r="6332" customFormat="1"/>
    <row r="6333" customFormat="1"/>
    <row r="6334" customFormat="1"/>
    <row r="6335" customFormat="1"/>
    <row r="6336" customFormat="1"/>
    <row r="6337" customFormat="1"/>
    <row r="6338" customFormat="1"/>
    <row r="6339" customFormat="1"/>
    <row r="6340" customFormat="1"/>
    <row r="6341" customFormat="1"/>
    <row r="6342" customFormat="1"/>
    <row r="6343" customFormat="1"/>
    <row r="6344" customFormat="1"/>
    <row r="6345" customFormat="1"/>
    <row r="6346" customFormat="1"/>
    <row r="6347" customFormat="1"/>
    <row r="6348" customFormat="1"/>
    <row r="6349" customFormat="1"/>
    <row r="6350" customFormat="1"/>
    <row r="6351" customFormat="1"/>
    <row r="6352" customFormat="1"/>
    <row r="6353" customFormat="1"/>
    <row r="6354" customFormat="1"/>
    <row r="6355" customFormat="1"/>
    <row r="6356" customFormat="1"/>
    <row r="6357" customFormat="1"/>
    <row r="6358" customFormat="1"/>
    <row r="6359" customFormat="1"/>
    <row r="6360" customFormat="1"/>
    <row r="6361" customFormat="1"/>
    <row r="6362" customFormat="1"/>
    <row r="6363" customFormat="1"/>
    <row r="6364" customFormat="1"/>
    <row r="6365" customFormat="1"/>
    <row r="6366" customFormat="1"/>
    <row r="6367" customFormat="1"/>
    <row r="6368" customFormat="1"/>
    <row r="6369" customFormat="1"/>
    <row r="6370" customFormat="1"/>
    <row r="6371" customFormat="1"/>
    <row r="6372" customFormat="1"/>
    <row r="6373" customFormat="1"/>
    <row r="6374" customFormat="1"/>
    <row r="6375" customFormat="1"/>
    <row r="6376" customFormat="1"/>
    <row r="6377" customFormat="1"/>
    <row r="6378" customFormat="1"/>
    <row r="6379" customFormat="1"/>
    <row r="6380" customFormat="1"/>
    <row r="6381" customFormat="1"/>
    <row r="6382" customFormat="1"/>
    <row r="6383" customFormat="1"/>
    <row r="6384" customFormat="1"/>
    <row r="6385" customFormat="1"/>
    <row r="6386" customFormat="1"/>
    <row r="6387" customFormat="1"/>
    <row r="6388" customFormat="1"/>
    <row r="6389" customFormat="1"/>
    <row r="6390" customFormat="1"/>
    <row r="6391" customFormat="1"/>
    <row r="6392" customFormat="1"/>
    <row r="6393" customFormat="1"/>
    <row r="6394" customFormat="1"/>
    <row r="6395" customFormat="1"/>
    <row r="6396" customFormat="1"/>
    <row r="6397" customFormat="1"/>
    <row r="6398" customFormat="1"/>
    <row r="6399" customFormat="1"/>
    <row r="6400" customFormat="1"/>
    <row r="6401" customFormat="1"/>
    <row r="6402" customFormat="1"/>
    <row r="6403" customFormat="1"/>
    <row r="6404" customFormat="1"/>
    <row r="6405" customFormat="1"/>
    <row r="6406" customFormat="1"/>
    <row r="6407" customFormat="1"/>
    <row r="6408" customFormat="1"/>
    <row r="6409" customFormat="1"/>
    <row r="6410" customFormat="1"/>
    <row r="6411" customFormat="1"/>
    <row r="6412" customFormat="1"/>
    <row r="6413" customFormat="1"/>
    <row r="6414" customFormat="1"/>
    <row r="6415" customFormat="1"/>
    <row r="6416" customFormat="1"/>
    <row r="6417" customFormat="1"/>
    <row r="6418" customFormat="1"/>
    <row r="6419" customFormat="1"/>
    <row r="6420" customFormat="1"/>
    <row r="6421" customFormat="1"/>
    <row r="6422" customFormat="1"/>
    <row r="6423" customFormat="1"/>
    <row r="6424" customFormat="1"/>
    <row r="6425" customFormat="1"/>
    <row r="6426" customFormat="1"/>
    <row r="6427" customFormat="1"/>
    <row r="6428" customFormat="1"/>
    <row r="6429" customFormat="1"/>
    <row r="6430" customFormat="1"/>
    <row r="6431" customFormat="1"/>
    <row r="6432" customFormat="1"/>
    <row r="6433" customFormat="1"/>
    <row r="6434" customFormat="1"/>
    <row r="6435" customFormat="1"/>
    <row r="6436" customFormat="1"/>
    <row r="6437" customFormat="1"/>
    <row r="6438" customFormat="1"/>
    <row r="6439" customFormat="1"/>
    <row r="6440" customFormat="1"/>
    <row r="6441" customFormat="1"/>
    <row r="6442" customFormat="1"/>
    <row r="6443" customFormat="1"/>
    <row r="6444" customFormat="1"/>
    <row r="6445" customFormat="1"/>
    <row r="6446" customFormat="1"/>
    <row r="6447" customFormat="1"/>
    <row r="6448" customFormat="1"/>
    <row r="6449" customFormat="1"/>
    <row r="6450" customFormat="1"/>
    <row r="6451" customFormat="1"/>
    <row r="6452" customFormat="1"/>
    <row r="6453" customFormat="1"/>
    <row r="6454" customFormat="1"/>
    <row r="6455" customFormat="1"/>
    <row r="6456" customFormat="1"/>
    <row r="6457" customFormat="1"/>
    <row r="6458" customFormat="1"/>
    <row r="6459" customFormat="1"/>
    <row r="6460" customFormat="1"/>
    <row r="6461" customFormat="1"/>
    <row r="6462" customFormat="1"/>
    <row r="6463" customFormat="1"/>
    <row r="6464" customFormat="1"/>
    <row r="6465" customFormat="1"/>
    <row r="6466" customFormat="1"/>
    <row r="6467" customFormat="1"/>
    <row r="6468" customFormat="1"/>
    <row r="6469" customFormat="1"/>
    <row r="6470" customFormat="1"/>
    <row r="6471" customFormat="1"/>
    <row r="6472" customFormat="1"/>
    <row r="6473" customFormat="1"/>
    <row r="6474" customFormat="1"/>
    <row r="6475" customFormat="1"/>
    <row r="6476" customFormat="1"/>
    <row r="6477" customFormat="1"/>
    <row r="6478" customFormat="1"/>
    <row r="6479" customFormat="1"/>
    <row r="6480" customFormat="1"/>
    <row r="6481" customFormat="1"/>
    <row r="6482" customFormat="1"/>
    <row r="6483" customFormat="1"/>
    <row r="6484" customFormat="1"/>
    <row r="6485" customFormat="1"/>
    <row r="6486" customFormat="1"/>
    <row r="6487" customFormat="1"/>
    <row r="6488" customFormat="1"/>
    <row r="6489" customFormat="1"/>
    <row r="6490" customFormat="1"/>
    <row r="6491" customFormat="1"/>
    <row r="6492" customFormat="1"/>
    <row r="6493" customFormat="1"/>
    <row r="6494" customFormat="1"/>
    <row r="6495" customFormat="1"/>
    <row r="6496" customFormat="1"/>
    <row r="6497" customFormat="1"/>
    <row r="6498" customFormat="1"/>
    <row r="6499" customFormat="1"/>
    <row r="6500" customFormat="1"/>
    <row r="6501" customFormat="1"/>
    <row r="6502" customFormat="1"/>
    <row r="6503" customFormat="1"/>
    <row r="6504" customFormat="1"/>
    <row r="6505" customFormat="1"/>
    <row r="6506" customFormat="1"/>
    <row r="6507" customFormat="1"/>
    <row r="6508" customFormat="1"/>
    <row r="6509" customFormat="1"/>
    <row r="6510" customFormat="1"/>
    <row r="6511" customFormat="1"/>
    <row r="6512" customFormat="1"/>
    <row r="6513" customFormat="1"/>
    <row r="6514" customFormat="1"/>
    <row r="6515" customFormat="1"/>
    <row r="6516" customFormat="1"/>
    <row r="6517" customFormat="1"/>
    <row r="6518" customFormat="1"/>
    <row r="6519" customFormat="1"/>
    <row r="6520" customFormat="1"/>
    <row r="6521" customFormat="1"/>
    <row r="6522" customFormat="1"/>
    <row r="6523" customFormat="1"/>
    <row r="6524" customFormat="1"/>
    <row r="6525" customFormat="1"/>
    <row r="6526" customFormat="1"/>
    <row r="6527" customFormat="1"/>
    <row r="6528" customFormat="1"/>
    <row r="6529" customFormat="1"/>
    <row r="6530" customFormat="1"/>
    <row r="6531" customFormat="1"/>
    <row r="6532" customFormat="1"/>
    <row r="6533" customFormat="1"/>
    <row r="6534" customFormat="1"/>
    <row r="6535" customFormat="1"/>
    <row r="6536" customFormat="1"/>
    <row r="6537" customFormat="1"/>
    <row r="6538" customFormat="1"/>
    <row r="6539" customFormat="1"/>
    <row r="6540" customFormat="1"/>
    <row r="6541" customFormat="1"/>
    <row r="6542" customFormat="1"/>
    <row r="6543" customFormat="1"/>
    <row r="6544" customFormat="1"/>
    <row r="6545" customFormat="1"/>
    <row r="6546" customFormat="1"/>
    <row r="6547" customFormat="1"/>
    <row r="6548" customFormat="1"/>
    <row r="6549" customFormat="1"/>
    <row r="6550" customFormat="1"/>
    <row r="6551" customFormat="1"/>
    <row r="6552" customFormat="1"/>
    <row r="6553" customFormat="1"/>
    <row r="6554" customFormat="1"/>
    <row r="6555" customFormat="1"/>
    <row r="6556" customFormat="1"/>
    <row r="6557" customFormat="1"/>
    <row r="6558" customFormat="1"/>
    <row r="6559" customFormat="1"/>
    <row r="6560" customFormat="1"/>
    <row r="6561" customFormat="1"/>
    <row r="6562" customFormat="1"/>
    <row r="6563" customFormat="1"/>
    <row r="6564" customFormat="1"/>
    <row r="6565" customFormat="1"/>
    <row r="6566" customFormat="1"/>
    <row r="6567" customFormat="1"/>
    <row r="6568" customFormat="1"/>
    <row r="6569" customFormat="1"/>
    <row r="6570" customFormat="1"/>
    <row r="6571" customFormat="1"/>
    <row r="6572" customFormat="1"/>
    <row r="6573" customFormat="1"/>
    <row r="6574" customFormat="1"/>
    <row r="6575" customFormat="1"/>
    <row r="6576" customFormat="1"/>
    <row r="6577" customFormat="1"/>
    <row r="6578" customFormat="1"/>
    <row r="6579" customFormat="1"/>
    <row r="6580" customFormat="1"/>
    <row r="6581" customFormat="1"/>
    <row r="6582" customFormat="1"/>
    <row r="6583" customFormat="1"/>
    <row r="6584" customFormat="1"/>
    <row r="6585" customFormat="1"/>
    <row r="6586" customFormat="1"/>
    <row r="6587" customFormat="1"/>
    <row r="6588" customFormat="1"/>
    <row r="6589" customFormat="1"/>
    <row r="6590" customFormat="1"/>
    <row r="6591" customFormat="1"/>
    <row r="6592" customFormat="1"/>
    <row r="6593" customFormat="1"/>
    <row r="6594" customFormat="1"/>
    <row r="6595" customFormat="1"/>
    <row r="6596" customFormat="1"/>
    <row r="6597" customFormat="1"/>
    <row r="6598" customFormat="1"/>
    <row r="6599" customFormat="1"/>
    <row r="6600" customFormat="1"/>
    <row r="6601" customFormat="1"/>
    <row r="6602" customFormat="1"/>
    <row r="6603" customFormat="1"/>
    <row r="6604" customFormat="1"/>
    <row r="6605" customFormat="1"/>
    <row r="6606" customFormat="1"/>
    <row r="6607" customFormat="1"/>
    <row r="6608" customFormat="1"/>
    <row r="6609" customFormat="1"/>
    <row r="6610" customFormat="1"/>
    <row r="6611" customFormat="1"/>
    <row r="6612" customFormat="1"/>
    <row r="6613" customFormat="1"/>
    <row r="6614" customFormat="1"/>
    <row r="6615" customFormat="1"/>
    <row r="6616" customFormat="1"/>
    <row r="6617" customFormat="1"/>
    <row r="6618" customFormat="1"/>
    <row r="6619" customFormat="1"/>
    <row r="6620" customFormat="1"/>
    <row r="6621" customFormat="1"/>
    <row r="6622" customFormat="1"/>
    <row r="6623" customFormat="1"/>
    <row r="6624" customFormat="1"/>
    <row r="6625" customFormat="1"/>
    <row r="6626" customFormat="1"/>
    <row r="6627" customFormat="1"/>
    <row r="6628" customFormat="1"/>
    <row r="6629" customFormat="1"/>
    <row r="6630" customFormat="1"/>
    <row r="6631" customFormat="1"/>
    <row r="6632" customFormat="1"/>
    <row r="6633" customFormat="1"/>
    <row r="6634" customFormat="1"/>
    <row r="6635" customFormat="1"/>
    <row r="6636" customFormat="1"/>
    <row r="6637" customFormat="1"/>
    <row r="6638" customFormat="1"/>
    <row r="6639" customFormat="1"/>
    <row r="6640" customFormat="1"/>
    <row r="6641" customFormat="1"/>
    <row r="6642" customFormat="1"/>
    <row r="6643" customFormat="1"/>
    <row r="6644" customFormat="1"/>
    <row r="6645" customFormat="1"/>
    <row r="6646" customFormat="1"/>
    <row r="6647" customFormat="1"/>
    <row r="6648" customFormat="1"/>
    <row r="6649" customFormat="1"/>
    <row r="6650" customFormat="1"/>
    <row r="6651" customFormat="1"/>
    <row r="6652" customFormat="1"/>
    <row r="6653" customFormat="1"/>
    <row r="6654" customFormat="1"/>
    <row r="6655" customFormat="1"/>
    <row r="6656" customFormat="1"/>
    <row r="6657" customFormat="1"/>
    <row r="6658" customFormat="1"/>
    <row r="6659" customFormat="1"/>
    <row r="6660" customFormat="1"/>
    <row r="6661" customFormat="1"/>
    <row r="6662" customFormat="1"/>
    <row r="6663" customFormat="1"/>
    <row r="6664" customFormat="1"/>
    <row r="6665" customFormat="1"/>
    <row r="6666" customFormat="1"/>
    <row r="6667" customFormat="1"/>
    <row r="6668" customFormat="1"/>
    <row r="6669" customFormat="1"/>
    <row r="6670" customFormat="1"/>
    <row r="6671" customFormat="1"/>
    <row r="6672" customFormat="1"/>
    <row r="6673" customFormat="1"/>
    <row r="6674" customFormat="1"/>
    <row r="6675" customFormat="1"/>
    <row r="6676" customFormat="1"/>
    <row r="6677" customFormat="1"/>
    <row r="6678" customFormat="1"/>
    <row r="6679" customFormat="1"/>
    <row r="6680" customFormat="1"/>
    <row r="6681" customFormat="1"/>
    <row r="6682" customFormat="1"/>
    <row r="6683" customFormat="1"/>
    <row r="6684" customFormat="1"/>
    <row r="6685" customFormat="1"/>
    <row r="6686" customFormat="1"/>
    <row r="6687" customFormat="1"/>
    <row r="6688" customFormat="1"/>
    <row r="6689" customFormat="1"/>
    <row r="6690" customFormat="1"/>
    <row r="6691" customFormat="1"/>
    <row r="6692" customFormat="1"/>
    <row r="6693" customFormat="1"/>
    <row r="6694" customFormat="1"/>
    <row r="6695" customFormat="1"/>
    <row r="6696" customFormat="1"/>
    <row r="6697" customFormat="1"/>
    <row r="6698" customFormat="1"/>
    <row r="6699" customFormat="1"/>
    <row r="6700" customFormat="1"/>
    <row r="6701" customFormat="1"/>
    <row r="6702" customFormat="1"/>
    <row r="6703" customFormat="1"/>
    <row r="6704" customFormat="1"/>
    <row r="6705" customFormat="1"/>
    <row r="6706" customFormat="1"/>
    <row r="6707" customFormat="1"/>
    <row r="6708" customFormat="1"/>
    <row r="6709" customFormat="1"/>
    <row r="6710" customFormat="1"/>
    <row r="6711" customFormat="1"/>
    <row r="6712" customFormat="1"/>
    <row r="6713" customFormat="1"/>
    <row r="6714" customFormat="1"/>
    <row r="6715" customFormat="1"/>
    <row r="6716" customFormat="1"/>
    <row r="6717" customFormat="1"/>
    <row r="6718" customFormat="1"/>
    <row r="6719" customFormat="1"/>
    <row r="6720" customFormat="1"/>
    <row r="6721" customFormat="1"/>
    <row r="6722" customFormat="1"/>
    <row r="6723" customFormat="1"/>
    <row r="6724" customFormat="1"/>
    <row r="6725" customFormat="1"/>
    <row r="6726" customFormat="1"/>
    <row r="6727" customFormat="1"/>
    <row r="6728" customFormat="1"/>
    <row r="6729" customFormat="1"/>
    <row r="6730" customFormat="1"/>
    <row r="6731" customFormat="1"/>
    <row r="6732" customFormat="1"/>
    <row r="6733" customFormat="1"/>
    <row r="6734" customFormat="1"/>
    <row r="6735" customFormat="1"/>
    <row r="6736" customFormat="1"/>
    <row r="6737" customFormat="1"/>
    <row r="6738" customFormat="1"/>
    <row r="6739" customFormat="1"/>
    <row r="6740" customFormat="1"/>
    <row r="6741" customFormat="1"/>
    <row r="6742" customFormat="1"/>
    <row r="6743" customFormat="1"/>
    <row r="6744" customFormat="1"/>
    <row r="6745" customFormat="1"/>
    <row r="6746" customFormat="1"/>
    <row r="6747" customFormat="1"/>
    <row r="6748" customFormat="1"/>
    <row r="6749" customFormat="1"/>
    <row r="6750" customFormat="1"/>
    <row r="6751" customFormat="1"/>
    <row r="6752" customFormat="1"/>
    <row r="6753" customFormat="1"/>
    <row r="6754" customFormat="1"/>
    <row r="6755" customFormat="1"/>
    <row r="6756" customFormat="1"/>
    <row r="6757" customFormat="1"/>
    <row r="6758" customFormat="1"/>
    <row r="6759" customFormat="1"/>
    <row r="6760" customFormat="1"/>
    <row r="6761" customFormat="1"/>
    <row r="6762" customFormat="1"/>
    <row r="6763" customFormat="1"/>
    <row r="6764" customFormat="1"/>
    <row r="6765" customFormat="1"/>
    <row r="6766" customFormat="1"/>
    <row r="6767" customFormat="1"/>
    <row r="6768" customFormat="1"/>
    <row r="6769" customFormat="1"/>
    <row r="6770" customFormat="1"/>
    <row r="6771" customFormat="1"/>
    <row r="6772" customFormat="1"/>
    <row r="6773" customFormat="1"/>
    <row r="6774" customFormat="1"/>
    <row r="6775" customFormat="1"/>
    <row r="6776" customFormat="1"/>
    <row r="6777" customFormat="1"/>
    <row r="6778" customFormat="1"/>
    <row r="6779" customFormat="1"/>
    <row r="6780" customFormat="1"/>
    <row r="6781" customFormat="1"/>
    <row r="6782" customFormat="1"/>
    <row r="6783" customFormat="1"/>
    <row r="6784" customFormat="1"/>
    <row r="6785" customFormat="1"/>
    <row r="6786" customFormat="1"/>
    <row r="6787" customFormat="1"/>
    <row r="6788" customFormat="1"/>
    <row r="6789" customFormat="1"/>
    <row r="6790" customFormat="1"/>
    <row r="6791" customFormat="1"/>
    <row r="6792" customFormat="1"/>
    <row r="6793" customFormat="1"/>
    <row r="6794" customFormat="1"/>
    <row r="6795" customFormat="1"/>
    <row r="6796" customFormat="1"/>
    <row r="6797" customFormat="1"/>
    <row r="6798" customFormat="1"/>
    <row r="6799" customFormat="1"/>
    <row r="6800" customFormat="1"/>
    <row r="6801" customFormat="1"/>
    <row r="6802" customFormat="1"/>
    <row r="6803" customFormat="1"/>
    <row r="6804" customFormat="1"/>
    <row r="6805" customFormat="1"/>
    <row r="6806" customFormat="1"/>
    <row r="6807" customFormat="1"/>
    <row r="6808" customFormat="1"/>
    <row r="6809" customFormat="1"/>
    <row r="6810" customFormat="1"/>
    <row r="6811" customFormat="1"/>
    <row r="6812" customFormat="1"/>
    <row r="6813" customFormat="1"/>
    <row r="6814" customFormat="1"/>
    <row r="6815" customFormat="1"/>
    <row r="6816" customFormat="1"/>
    <row r="6817" customFormat="1"/>
    <row r="6818" customFormat="1"/>
    <row r="6819" customFormat="1"/>
    <row r="6820" customFormat="1"/>
    <row r="6821" customFormat="1"/>
    <row r="6822" customFormat="1"/>
    <row r="6823" customFormat="1"/>
    <row r="6824" customFormat="1"/>
    <row r="6825" customFormat="1"/>
    <row r="6826" customFormat="1"/>
    <row r="6827" customFormat="1"/>
    <row r="6828" customFormat="1"/>
    <row r="6829" customFormat="1"/>
    <row r="6830" customFormat="1"/>
    <row r="6831" customFormat="1"/>
    <row r="6832" customFormat="1"/>
    <row r="6833" customFormat="1"/>
    <row r="6834" customFormat="1"/>
    <row r="6835" customFormat="1"/>
    <row r="6836" customFormat="1"/>
    <row r="6837" customFormat="1"/>
    <row r="6838" customFormat="1"/>
    <row r="6839" customFormat="1"/>
    <row r="6840" customFormat="1"/>
    <row r="6841" customFormat="1"/>
    <row r="6842" customFormat="1"/>
    <row r="6843" customFormat="1"/>
    <row r="6844" customFormat="1"/>
    <row r="6845" customFormat="1"/>
    <row r="6846" customFormat="1"/>
    <row r="6847" customFormat="1"/>
    <row r="6848" customFormat="1"/>
    <row r="6849" customFormat="1"/>
    <row r="6850" customFormat="1"/>
    <row r="6851" customFormat="1"/>
    <row r="6852" customFormat="1"/>
    <row r="6853" customFormat="1"/>
    <row r="6854" customFormat="1"/>
    <row r="6855" customFormat="1"/>
    <row r="6856" customFormat="1"/>
    <row r="6857" customFormat="1"/>
    <row r="6858" customFormat="1"/>
    <row r="6859" customFormat="1"/>
    <row r="6860" customFormat="1"/>
    <row r="6861" customFormat="1"/>
    <row r="6862" customFormat="1"/>
    <row r="6863" customFormat="1"/>
    <row r="6864" customFormat="1"/>
    <row r="6865" customFormat="1"/>
    <row r="6866" customFormat="1"/>
    <row r="6867" customFormat="1"/>
    <row r="6868" customFormat="1"/>
    <row r="6869" customFormat="1"/>
    <row r="6870" customFormat="1"/>
    <row r="6871" customFormat="1"/>
    <row r="6872" customFormat="1"/>
    <row r="6873" customFormat="1"/>
    <row r="6874" customFormat="1"/>
    <row r="6875" customFormat="1"/>
    <row r="6876" customFormat="1"/>
    <row r="6877" customFormat="1"/>
    <row r="6878" customFormat="1"/>
    <row r="6879" customFormat="1"/>
    <row r="6880" customFormat="1"/>
    <row r="6881" customFormat="1"/>
    <row r="6882" customFormat="1"/>
    <row r="6883" customFormat="1"/>
    <row r="6884" customFormat="1"/>
    <row r="6885" customFormat="1"/>
    <row r="6886" customFormat="1"/>
    <row r="6887" customFormat="1"/>
    <row r="6888" customFormat="1"/>
    <row r="6889" customFormat="1"/>
    <row r="6890" customFormat="1"/>
    <row r="6891" customFormat="1"/>
    <row r="6892" customFormat="1"/>
    <row r="6893" customFormat="1"/>
    <row r="6894" customFormat="1"/>
    <row r="6895" customFormat="1"/>
    <row r="6896" customFormat="1"/>
    <row r="6897" customFormat="1"/>
    <row r="6898" customFormat="1"/>
    <row r="6899" customFormat="1"/>
    <row r="6900" customFormat="1"/>
    <row r="6901" customFormat="1"/>
    <row r="6902" customFormat="1"/>
    <row r="6903" customFormat="1"/>
    <row r="6904" customFormat="1"/>
    <row r="6905" customFormat="1"/>
    <row r="6906" customFormat="1"/>
    <row r="6907" customFormat="1"/>
    <row r="6908" customFormat="1"/>
    <row r="6909" customFormat="1"/>
    <row r="6910" customFormat="1"/>
    <row r="6911" customFormat="1"/>
    <row r="6912" customFormat="1"/>
    <row r="6913" customFormat="1"/>
    <row r="6914" customFormat="1"/>
    <row r="6915" customFormat="1"/>
    <row r="6916" customFormat="1"/>
    <row r="6917" customFormat="1"/>
    <row r="6918" customFormat="1"/>
    <row r="6919" customFormat="1"/>
    <row r="6920" customFormat="1"/>
    <row r="6921" customFormat="1"/>
    <row r="6922" customFormat="1"/>
    <row r="6923" customFormat="1"/>
    <row r="6924" customFormat="1"/>
    <row r="6925" customFormat="1"/>
    <row r="6926" customFormat="1"/>
    <row r="6927" customFormat="1"/>
    <row r="6928" customFormat="1"/>
    <row r="6929" customFormat="1"/>
    <row r="6930" customFormat="1"/>
    <row r="6931" customFormat="1"/>
    <row r="6932" customFormat="1"/>
    <row r="6933" customFormat="1"/>
    <row r="6934" customFormat="1"/>
    <row r="6935" customFormat="1"/>
    <row r="6936" customFormat="1"/>
    <row r="6937" customFormat="1"/>
    <row r="6938" customFormat="1"/>
    <row r="6939" customFormat="1"/>
    <row r="6940" customFormat="1"/>
    <row r="6941" customFormat="1"/>
    <row r="6942" customFormat="1"/>
    <row r="6943" customFormat="1"/>
    <row r="6944" customFormat="1"/>
    <row r="6945" customFormat="1"/>
    <row r="6946" customFormat="1"/>
    <row r="6947" customFormat="1"/>
    <row r="6948" customFormat="1"/>
    <row r="6949" customFormat="1"/>
    <row r="6950" customFormat="1"/>
    <row r="6951" customFormat="1"/>
    <row r="6952" customFormat="1"/>
    <row r="6953" customFormat="1"/>
    <row r="6954" customFormat="1"/>
    <row r="6955" customFormat="1"/>
    <row r="6956" customFormat="1"/>
    <row r="6957" customFormat="1"/>
    <row r="6958" customFormat="1"/>
    <row r="6959" customFormat="1"/>
    <row r="6960" customFormat="1"/>
    <row r="6961" customFormat="1"/>
    <row r="6962" customFormat="1"/>
    <row r="6963" customFormat="1"/>
    <row r="6964" customFormat="1"/>
    <row r="6965" customFormat="1"/>
    <row r="6966" customFormat="1"/>
    <row r="6967" customFormat="1"/>
    <row r="6968" customFormat="1"/>
    <row r="6969" customFormat="1"/>
    <row r="6970" customFormat="1"/>
    <row r="6971" customFormat="1"/>
    <row r="6972" customFormat="1"/>
    <row r="6973" customFormat="1"/>
    <row r="6974" customFormat="1"/>
    <row r="6975" customFormat="1"/>
    <row r="6976" customFormat="1"/>
    <row r="6977" customFormat="1"/>
    <row r="6978" customFormat="1"/>
    <row r="6979" customFormat="1"/>
    <row r="6980" customFormat="1"/>
    <row r="6981" customFormat="1"/>
    <row r="6982" customFormat="1"/>
    <row r="6983" customFormat="1"/>
    <row r="6984" customFormat="1"/>
    <row r="6985" customFormat="1"/>
    <row r="6986" customFormat="1"/>
    <row r="6987" customFormat="1"/>
    <row r="6988" customFormat="1"/>
    <row r="6989" customFormat="1"/>
    <row r="6990" customFormat="1"/>
    <row r="6991" customFormat="1"/>
    <row r="6992" customFormat="1"/>
    <row r="6993" customFormat="1"/>
    <row r="6994" customFormat="1"/>
    <row r="6995" customFormat="1"/>
    <row r="6996" customFormat="1"/>
    <row r="6997" customFormat="1"/>
    <row r="6998" customFormat="1"/>
    <row r="6999" customFormat="1"/>
    <row r="7000" customFormat="1"/>
    <row r="7001" customFormat="1"/>
    <row r="7002" customFormat="1"/>
    <row r="7003" customFormat="1"/>
    <row r="7004" customFormat="1"/>
    <row r="7005" customFormat="1"/>
    <row r="7006" customFormat="1"/>
    <row r="7007" customFormat="1"/>
    <row r="7008" customFormat="1"/>
    <row r="7009" customFormat="1"/>
    <row r="7010" customFormat="1"/>
    <row r="7011" customFormat="1"/>
    <row r="7012" customFormat="1"/>
    <row r="7013" customFormat="1"/>
    <row r="7014" customFormat="1"/>
    <row r="7015" customFormat="1"/>
    <row r="7016" customFormat="1"/>
    <row r="7017" customFormat="1"/>
    <row r="7018" customFormat="1"/>
    <row r="7019" customFormat="1"/>
    <row r="7020" customFormat="1"/>
    <row r="7021" customFormat="1"/>
    <row r="7022" customFormat="1"/>
    <row r="7023" customFormat="1"/>
    <row r="7024" customFormat="1"/>
    <row r="7025" customFormat="1"/>
    <row r="7026" customFormat="1"/>
    <row r="7027" customFormat="1"/>
    <row r="7028" customFormat="1"/>
    <row r="7029" customFormat="1"/>
    <row r="7030" customFormat="1"/>
    <row r="7031" customFormat="1"/>
    <row r="7032" customFormat="1"/>
    <row r="7033" customFormat="1"/>
    <row r="7034" customFormat="1"/>
    <row r="7035" customFormat="1"/>
    <row r="7036" customFormat="1"/>
    <row r="7037" customFormat="1"/>
    <row r="7038" customFormat="1"/>
    <row r="7039" customFormat="1"/>
    <row r="7040" customFormat="1"/>
    <row r="7041" customFormat="1"/>
    <row r="7042" customFormat="1"/>
    <row r="7043" customFormat="1"/>
    <row r="7044" customFormat="1"/>
    <row r="7045" customFormat="1"/>
    <row r="7046" customFormat="1"/>
    <row r="7047" customFormat="1"/>
    <row r="7048" customFormat="1"/>
    <row r="7049" customFormat="1"/>
    <row r="7050" customFormat="1"/>
    <row r="7051" customFormat="1"/>
    <row r="7052" customFormat="1"/>
    <row r="7053" customFormat="1"/>
    <row r="7054" customFormat="1"/>
    <row r="7055" customFormat="1"/>
    <row r="7056" customFormat="1"/>
    <row r="7057" customFormat="1"/>
    <row r="7058" customFormat="1"/>
    <row r="7059" customFormat="1"/>
    <row r="7060" customFormat="1"/>
    <row r="7061" customFormat="1"/>
    <row r="7062" customFormat="1"/>
    <row r="7063" customFormat="1"/>
    <row r="7064" customFormat="1"/>
    <row r="7065" customFormat="1"/>
    <row r="7066" customFormat="1"/>
    <row r="7067" customFormat="1"/>
    <row r="7068" customFormat="1"/>
    <row r="7069" customFormat="1"/>
    <row r="7070" customFormat="1"/>
    <row r="7071" customFormat="1"/>
    <row r="7072" customFormat="1"/>
    <row r="7073" customFormat="1"/>
    <row r="7074" customFormat="1"/>
    <row r="7075" customFormat="1"/>
    <row r="7076" customFormat="1"/>
    <row r="7077" customFormat="1"/>
    <row r="7078" customFormat="1"/>
    <row r="7079" customFormat="1"/>
    <row r="7080" customFormat="1"/>
    <row r="7081" customFormat="1"/>
    <row r="7082" customFormat="1"/>
    <row r="7083" customFormat="1"/>
    <row r="7084" customFormat="1"/>
    <row r="7085" customFormat="1"/>
    <row r="7086" customFormat="1"/>
    <row r="7087" customFormat="1"/>
    <row r="7088" customFormat="1"/>
    <row r="7089" customFormat="1"/>
    <row r="7090" customFormat="1"/>
    <row r="7091" customFormat="1"/>
    <row r="7092" customFormat="1"/>
    <row r="7093" customFormat="1"/>
    <row r="7094" customFormat="1"/>
    <row r="7095" customFormat="1"/>
    <row r="7096" customFormat="1"/>
    <row r="7097" customFormat="1"/>
    <row r="7098" customFormat="1"/>
    <row r="7099" customFormat="1"/>
    <row r="7100" customFormat="1"/>
    <row r="7101" customFormat="1"/>
    <row r="7102" customFormat="1"/>
    <row r="7103" customFormat="1"/>
    <row r="7104" customFormat="1"/>
    <row r="7105" customFormat="1"/>
    <row r="7106" customFormat="1"/>
    <row r="7107" customFormat="1"/>
    <row r="7108" customFormat="1"/>
    <row r="7109" customFormat="1"/>
    <row r="7110" customFormat="1"/>
    <row r="7111" customFormat="1"/>
    <row r="7112" customFormat="1"/>
    <row r="7113" customFormat="1"/>
    <row r="7114" customFormat="1"/>
    <row r="7115" customFormat="1"/>
    <row r="7116" customFormat="1"/>
    <row r="7117" customFormat="1"/>
    <row r="7118" customFormat="1"/>
    <row r="7119" customFormat="1"/>
    <row r="7120" customFormat="1"/>
    <row r="7121" customFormat="1"/>
    <row r="7122" customFormat="1"/>
    <row r="7123" customFormat="1"/>
    <row r="7124" customFormat="1"/>
    <row r="7125" customFormat="1"/>
    <row r="7126" customFormat="1"/>
    <row r="7127" customFormat="1"/>
    <row r="7128" customFormat="1"/>
    <row r="7129" customFormat="1"/>
    <row r="7130" customFormat="1"/>
    <row r="7131" customFormat="1"/>
    <row r="7132" customFormat="1"/>
    <row r="7133" customFormat="1"/>
    <row r="7134" customFormat="1"/>
    <row r="7135" customFormat="1"/>
    <row r="7136" customFormat="1"/>
    <row r="7137" customFormat="1"/>
    <row r="7138" customFormat="1"/>
    <row r="7139" customFormat="1"/>
    <row r="7140" customFormat="1"/>
    <row r="7141" customFormat="1"/>
    <row r="7142" customFormat="1"/>
    <row r="7143" customFormat="1"/>
    <row r="7144" customFormat="1"/>
    <row r="7145" customFormat="1"/>
    <row r="7146" customFormat="1"/>
    <row r="7147" customFormat="1"/>
    <row r="7148" customFormat="1"/>
    <row r="7149" customFormat="1"/>
    <row r="7150" customFormat="1"/>
    <row r="7151" customFormat="1"/>
    <row r="7152" customFormat="1"/>
    <row r="7153" customFormat="1"/>
    <row r="7154" customFormat="1"/>
    <row r="7155" customFormat="1"/>
    <row r="7156" customFormat="1"/>
    <row r="7157" customFormat="1"/>
    <row r="7158" customFormat="1"/>
    <row r="7159" customFormat="1"/>
    <row r="7160" customFormat="1"/>
    <row r="7161" customFormat="1"/>
    <row r="7162" customFormat="1"/>
    <row r="7163" customFormat="1"/>
    <row r="7164" customFormat="1"/>
    <row r="7165" customFormat="1"/>
    <row r="7166" customFormat="1"/>
    <row r="7167" customFormat="1"/>
    <row r="7168" customFormat="1"/>
    <row r="7169" customFormat="1"/>
    <row r="7170" customFormat="1"/>
    <row r="7171" customFormat="1"/>
    <row r="7172" customFormat="1"/>
    <row r="7173" customFormat="1"/>
    <row r="7174" customFormat="1"/>
    <row r="7175" customFormat="1"/>
    <row r="7176" customFormat="1"/>
    <row r="7177" customFormat="1"/>
    <row r="7178" customFormat="1"/>
    <row r="7179" customFormat="1"/>
    <row r="7180" customFormat="1"/>
    <row r="7181" customFormat="1"/>
    <row r="7182" customFormat="1"/>
    <row r="7183" customFormat="1"/>
    <row r="7184" customFormat="1"/>
    <row r="7185" customFormat="1"/>
    <row r="7186" customFormat="1"/>
    <row r="7187" customFormat="1"/>
    <row r="7188" customFormat="1"/>
    <row r="7189" customFormat="1"/>
    <row r="7190" customFormat="1"/>
    <row r="7191" customFormat="1"/>
    <row r="7192" customFormat="1"/>
    <row r="7193" customFormat="1"/>
    <row r="7194" customFormat="1"/>
    <row r="7195" customFormat="1"/>
    <row r="7196" customFormat="1"/>
    <row r="7197" customFormat="1"/>
    <row r="7198" customFormat="1"/>
    <row r="7199" customFormat="1"/>
    <row r="7200" customFormat="1"/>
    <row r="7201" customFormat="1"/>
    <row r="7202" customFormat="1"/>
    <row r="7203" customFormat="1"/>
    <row r="7204" customFormat="1"/>
    <row r="7205" customFormat="1"/>
    <row r="7206" customFormat="1"/>
    <row r="7207" customFormat="1"/>
    <row r="7208" customFormat="1"/>
    <row r="7209" customFormat="1"/>
    <row r="7210" customFormat="1"/>
    <row r="7211" customFormat="1"/>
    <row r="7212" customFormat="1"/>
    <row r="7213" customFormat="1"/>
    <row r="7214" customFormat="1"/>
    <row r="7215" customFormat="1"/>
    <row r="7216" customFormat="1"/>
    <row r="7217" customFormat="1"/>
    <row r="7218" customFormat="1"/>
    <row r="7219" customFormat="1"/>
    <row r="7220" customFormat="1"/>
    <row r="7221" customFormat="1"/>
    <row r="7222" customFormat="1"/>
    <row r="7223" customFormat="1"/>
    <row r="7224" customFormat="1"/>
    <row r="7225" customFormat="1"/>
    <row r="7226" customFormat="1"/>
    <row r="7227" customFormat="1"/>
    <row r="7228" customFormat="1"/>
    <row r="7229" customFormat="1"/>
    <row r="7230" customFormat="1"/>
    <row r="7231" customFormat="1"/>
    <row r="7232" customFormat="1"/>
    <row r="7233" customFormat="1"/>
    <row r="7234" customFormat="1"/>
    <row r="7235" customFormat="1"/>
    <row r="7236" customFormat="1"/>
    <row r="7237" customFormat="1"/>
    <row r="7238" customFormat="1"/>
    <row r="7239" customFormat="1"/>
    <row r="7240" customFormat="1"/>
    <row r="7241" customFormat="1"/>
    <row r="7242" customFormat="1"/>
    <row r="7243" customFormat="1"/>
    <row r="7244" customFormat="1"/>
    <row r="7245" customFormat="1"/>
    <row r="7246" customFormat="1"/>
    <row r="7247" customFormat="1"/>
    <row r="7248" customFormat="1"/>
    <row r="7249" customFormat="1"/>
    <row r="7250" customFormat="1"/>
    <row r="7251" customFormat="1"/>
    <row r="7252" customFormat="1"/>
    <row r="7253" customFormat="1"/>
    <row r="7254" customFormat="1"/>
    <row r="7255" customFormat="1"/>
    <row r="7256" customFormat="1"/>
    <row r="7257" customFormat="1"/>
    <row r="7258" customFormat="1"/>
    <row r="7259" customFormat="1"/>
    <row r="7260" customFormat="1"/>
    <row r="7261" customFormat="1"/>
    <row r="7262" customFormat="1"/>
    <row r="7263" customFormat="1"/>
    <row r="7264" customFormat="1"/>
    <row r="7265" customFormat="1"/>
    <row r="7266" customFormat="1"/>
    <row r="7267" customFormat="1"/>
    <row r="7268" customFormat="1"/>
    <row r="7269" customFormat="1"/>
    <row r="7270" customFormat="1"/>
    <row r="7271" customFormat="1"/>
    <row r="7272" customFormat="1"/>
    <row r="7273" customFormat="1"/>
    <row r="7274" customFormat="1"/>
    <row r="7275" customFormat="1"/>
    <row r="7276" customFormat="1"/>
    <row r="7277" customFormat="1"/>
    <row r="7278" customFormat="1"/>
    <row r="7279" customFormat="1"/>
    <row r="7280" customFormat="1"/>
    <row r="7281" customFormat="1"/>
    <row r="7282" customFormat="1"/>
    <row r="7283" customFormat="1"/>
    <row r="7284" customFormat="1"/>
    <row r="7285" customFormat="1"/>
    <row r="7286" customFormat="1"/>
    <row r="7287" customFormat="1"/>
    <row r="7288" customFormat="1"/>
    <row r="7289" customFormat="1"/>
    <row r="7290" customFormat="1"/>
    <row r="7291" customFormat="1"/>
    <row r="7292" customFormat="1"/>
    <row r="7293" customFormat="1"/>
    <row r="7294" customFormat="1"/>
    <row r="7295" customFormat="1"/>
    <row r="7296" customFormat="1"/>
    <row r="7297" customFormat="1"/>
    <row r="7298" customFormat="1"/>
    <row r="7299" customFormat="1"/>
    <row r="7300" customFormat="1"/>
    <row r="7301" customFormat="1"/>
    <row r="7302" customFormat="1"/>
    <row r="7303" customFormat="1"/>
    <row r="7304" customFormat="1"/>
    <row r="7305" customFormat="1"/>
    <row r="7306" customFormat="1"/>
    <row r="7307" customFormat="1"/>
    <row r="7308" customFormat="1"/>
    <row r="7309" customFormat="1"/>
    <row r="7310" customFormat="1"/>
    <row r="7311" customFormat="1"/>
    <row r="7312" customFormat="1"/>
    <row r="7313" customFormat="1"/>
    <row r="7314" customFormat="1"/>
    <row r="7315" customFormat="1"/>
    <row r="7316" customFormat="1"/>
    <row r="7317" customFormat="1"/>
    <row r="7318" customFormat="1"/>
    <row r="7319" customFormat="1"/>
    <row r="7320" customFormat="1"/>
    <row r="7321" customFormat="1"/>
    <row r="7322" customFormat="1"/>
    <row r="7323" customFormat="1"/>
    <row r="7324" customFormat="1"/>
    <row r="7325" customFormat="1"/>
    <row r="7326" customFormat="1"/>
    <row r="7327" customFormat="1"/>
    <row r="7328" customFormat="1"/>
    <row r="7329" customFormat="1"/>
    <row r="7330" customFormat="1"/>
    <row r="7331" customFormat="1"/>
    <row r="7332" customFormat="1"/>
    <row r="7333" customFormat="1"/>
    <row r="7334" customFormat="1"/>
    <row r="7335" customFormat="1"/>
    <row r="7336" customFormat="1"/>
    <row r="7337" customFormat="1"/>
    <row r="7338" customFormat="1"/>
    <row r="7339" customFormat="1"/>
    <row r="7340" customFormat="1"/>
    <row r="7341" customFormat="1"/>
    <row r="7342" customFormat="1"/>
    <row r="7343" customFormat="1"/>
    <row r="7344" customFormat="1"/>
    <row r="7345" customFormat="1"/>
    <row r="7346" customFormat="1"/>
    <row r="7347" customFormat="1"/>
    <row r="7348" customFormat="1"/>
    <row r="7349" customFormat="1"/>
    <row r="7350" customFormat="1"/>
    <row r="7351" customFormat="1"/>
    <row r="7352" customFormat="1"/>
    <row r="7353" customFormat="1"/>
    <row r="7354" customFormat="1"/>
    <row r="7355" customFormat="1"/>
    <row r="7356" customFormat="1"/>
    <row r="7357" customFormat="1"/>
    <row r="7358" customFormat="1"/>
    <row r="7359" customFormat="1"/>
    <row r="7360" customFormat="1"/>
    <row r="7361" customFormat="1"/>
    <row r="7362" customFormat="1"/>
    <row r="7363" customFormat="1"/>
    <row r="7364" customFormat="1"/>
    <row r="7365" customFormat="1"/>
    <row r="7366" customFormat="1"/>
    <row r="7367" customFormat="1"/>
    <row r="7368" customFormat="1"/>
    <row r="7369" customFormat="1"/>
    <row r="7370" customFormat="1"/>
    <row r="7371" customFormat="1"/>
    <row r="7372" customFormat="1"/>
    <row r="7373" customFormat="1"/>
    <row r="7374" customFormat="1"/>
    <row r="7375" customFormat="1"/>
    <row r="7376" customFormat="1"/>
    <row r="7377" customFormat="1"/>
    <row r="7378" customFormat="1"/>
    <row r="7379" customFormat="1"/>
    <row r="7380" customFormat="1"/>
    <row r="7381" customFormat="1"/>
    <row r="7382" customFormat="1"/>
    <row r="7383" customFormat="1"/>
    <row r="7384" customFormat="1"/>
    <row r="7385" customFormat="1"/>
    <row r="7386" customFormat="1"/>
    <row r="7387" customFormat="1"/>
    <row r="7388" customFormat="1"/>
    <row r="7389" customFormat="1"/>
    <row r="7390" customFormat="1"/>
    <row r="7391" customFormat="1"/>
    <row r="7392" customFormat="1"/>
    <row r="7393" customFormat="1"/>
    <row r="7394" customFormat="1"/>
    <row r="7395" customFormat="1"/>
    <row r="7396" customFormat="1"/>
    <row r="7397" customFormat="1"/>
    <row r="7398" customFormat="1"/>
    <row r="7399" customFormat="1"/>
    <row r="7400" customFormat="1"/>
    <row r="7401" customFormat="1"/>
    <row r="7402" customFormat="1"/>
    <row r="7403" customFormat="1"/>
    <row r="7404" customFormat="1"/>
    <row r="7405" customFormat="1"/>
    <row r="7406" customFormat="1"/>
    <row r="7407" customFormat="1"/>
    <row r="7408" customFormat="1"/>
    <row r="7409" customFormat="1"/>
    <row r="7410" customFormat="1"/>
    <row r="7411" customFormat="1"/>
    <row r="7412" customFormat="1"/>
    <row r="7413" customFormat="1"/>
    <row r="7414" customFormat="1"/>
    <row r="7415" customFormat="1"/>
    <row r="7416" customFormat="1"/>
    <row r="7417" customFormat="1"/>
    <row r="7418" customFormat="1"/>
    <row r="7419" customFormat="1"/>
    <row r="7420" customFormat="1"/>
    <row r="7421" customFormat="1"/>
    <row r="7422" customFormat="1"/>
    <row r="7423" customFormat="1"/>
    <row r="7424" customFormat="1"/>
    <row r="7425" customFormat="1"/>
    <row r="7426" customFormat="1"/>
    <row r="7427" customFormat="1"/>
    <row r="7428" customFormat="1"/>
    <row r="7429" customFormat="1"/>
    <row r="7430" customFormat="1"/>
    <row r="7431" customFormat="1"/>
    <row r="7432" customFormat="1"/>
    <row r="7433" customFormat="1"/>
    <row r="7434" customFormat="1"/>
    <row r="7435" customFormat="1"/>
    <row r="7436" customFormat="1"/>
    <row r="7437" customFormat="1"/>
    <row r="7438" customFormat="1"/>
    <row r="7439" customFormat="1"/>
    <row r="7440" customFormat="1"/>
    <row r="7441" customFormat="1"/>
    <row r="7442" customFormat="1"/>
    <row r="7443" customFormat="1"/>
    <row r="7444" customFormat="1"/>
    <row r="7445" customFormat="1"/>
    <row r="7446" customFormat="1"/>
    <row r="7447" customFormat="1"/>
    <row r="7448" customFormat="1"/>
    <row r="7449" customFormat="1"/>
    <row r="7450" customFormat="1"/>
    <row r="7451" customFormat="1"/>
    <row r="7452" customFormat="1"/>
    <row r="7453" customFormat="1"/>
    <row r="7454" customFormat="1"/>
    <row r="7455" customFormat="1"/>
    <row r="7456" customFormat="1"/>
    <row r="7457" customFormat="1"/>
    <row r="7458" customFormat="1"/>
    <row r="7459" customFormat="1"/>
    <row r="7460" customFormat="1"/>
    <row r="7461" customFormat="1"/>
    <row r="7462" customFormat="1"/>
    <row r="7463" customFormat="1"/>
    <row r="7464" customFormat="1"/>
    <row r="7465" customFormat="1"/>
    <row r="7466" customFormat="1"/>
    <row r="7467" customFormat="1"/>
    <row r="7468" customFormat="1"/>
    <row r="7469" customFormat="1"/>
    <row r="7470" customFormat="1"/>
    <row r="7471" customFormat="1"/>
    <row r="7472" customFormat="1"/>
    <row r="7473" customFormat="1"/>
    <row r="7474" customFormat="1"/>
    <row r="7475" customFormat="1"/>
    <row r="7476" customFormat="1"/>
    <row r="7477" customFormat="1"/>
    <row r="7478" customFormat="1"/>
    <row r="7479" customFormat="1"/>
    <row r="7480" customFormat="1"/>
    <row r="7481" customFormat="1"/>
    <row r="7482" customFormat="1"/>
    <row r="7483" customFormat="1"/>
    <row r="7484" customFormat="1"/>
    <row r="7485" customFormat="1"/>
    <row r="7486" customFormat="1"/>
    <row r="7487" customFormat="1"/>
    <row r="7488" customFormat="1"/>
    <row r="7489" customFormat="1"/>
    <row r="7490" customFormat="1"/>
    <row r="7491" customFormat="1"/>
    <row r="7492" customFormat="1"/>
    <row r="7493" customFormat="1"/>
    <row r="7494" customFormat="1"/>
    <row r="7495" customFormat="1"/>
    <row r="7496" customFormat="1"/>
    <row r="7497" customFormat="1"/>
    <row r="7498" customFormat="1"/>
    <row r="7499" customFormat="1"/>
    <row r="7500" customFormat="1"/>
    <row r="7501" customFormat="1"/>
    <row r="7502" customFormat="1"/>
    <row r="7503" customFormat="1"/>
    <row r="7504" customFormat="1"/>
    <row r="7505" customFormat="1"/>
    <row r="7506" customFormat="1"/>
    <row r="7507" customFormat="1"/>
    <row r="7508" customFormat="1"/>
    <row r="7509" customFormat="1"/>
    <row r="7510" customFormat="1"/>
    <row r="7511" customFormat="1"/>
    <row r="7512" customFormat="1"/>
    <row r="7513" customFormat="1"/>
    <row r="7514" customFormat="1"/>
    <row r="7515" customFormat="1"/>
    <row r="7516" customFormat="1"/>
    <row r="7517" customFormat="1"/>
    <row r="7518" customFormat="1"/>
    <row r="7519" customFormat="1"/>
    <row r="7520" customFormat="1"/>
    <row r="7521" customFormat="1"/>
    <row r="7522" customFormat="1"/>
    <row r="7523" customFormat="1"/>
    <row r="7524" customFormat="1"/>
    <row r="7525" customFormat="1"/>
    <row r="7526" customFormat="1"/>
    <row r="7527" customFormat="1"/>
    <row r="7528" customFormat="1"/>
    <row r="7529" customFormat="1"/>
    <row r="7530" customFormat="1"/>
    <row r="7531" customFormat="1"/>
    <row r="7532" customFormat="1"/>
    <row r="7533" customFormat="1"/>
    <row r="7534" customFormat="1"/>
    <row r="7535" customFormat="1"/>
    <row r="7536" customFormat="1"/>
    <row r="7537" customFormat="1"/>
    <row r="7538" customFormat="1"/>
    <row r="7539" customFormat="1"/>
    <row r="7540" customFormat="1"/>
    <row r="7541" customFormat="1"/>
    <row r="7542" customFormat="1"/>
    <row r="7543" customFormat="1"/>
    <row r="7544" customFormat="1"/>
    <row r="7545" customFormat="1"/>
    <row r="7546" customFormat="1"/>
    <row r="7547" customFormat="1"/>
    <row r="7548" customFormat="1"/>
    <row r="7549" customFormat="1"/>
    <row r="7550" customFormat="1"/>
    <row r="7551" customFormat="1"/>
    <row r="7552" customFormat="1"/>
    <row r="7553" customFormat="1"/>
    <row r="7554" customFormat="1"/>
    <row r="7555" customFormat="1"/>
    <row r="7556" customFormat="1"/>
    <row r="7557" customFormat="1"/>
    <row r="7558" customFormat="1"/>
    <row r="7559" customFormat="1"/>
    <row r="7560" customFormat="1"/>
    <row r="7561" customFormat="1"/>
    <row r="7562" customFormat="1"/>
    <row r="7563" customFormat="1"/>
    <row r="7564" customFormat="1"/>
    <row r="7565" customFormat="1"/>
    <row r="7566" customFormat="1"/>
    <row r="7567" customFormat="1"/>
    <row r="7568" customFormat="1"/>
    <row r="7569" customFormat="1"/>
    <row r="7570" customFormat="1"/>
    <row r="7571" customFormat="1"/>
    <row r="7572" customFormat="1"/>
    <row r="7573" customFormat="1"/>
    <row r="7574" customFormat="1"/>
    <row r="7575" customFormat="1"/>
    <row r="7576" customFormat="1"/>
    <row r="7577" customFormat="1"/>
    <row r="7578" customFormat="1"/>
    <row r="7579" customFormat="1"/>
    <row r="7580" customFormat="1"/>
    <row r="7581" customFormat="1"/>
    <row r="7582" customFormat="1"/>
    <row r="7583" customFormat="1"/>
    <row r="7584" customFormat="1"/>
    <row r="7585" customFormat="1"/>
    <row r="7586" customFormat="1"/>
    <row r="7587" customFormat="1"/>
    <row r="7588" customFormat="1"/>
    <row r="7589" customFormat="1"/>
    <row r="7590" customFormat="1"/>
    <row r="7591" customFormat="1"/>
    <row r="7592" customFormat="1"/>
    <row r="7593" customFormat="1"/>
    <row r="7594" customFormat="1"/>
    <row r="7595" customFormat="1"/>
    <row r="7596" customFormat="1"/>
    <row r="7597" customFormat="1"/>
    <row r="7598" customFormat="1"/>
    <row r="7599" customFormat="1"/>
    <row r="7600" customFormat="1"/>
    <row r="7601" customFormat="1"/>
    <row r="7602" customFormat="1"/>
    <row r="7603" customFormat="1"/>
    <row r="7604" customFormat="1"/>
    <row r="7605" customFormat="1"/>
    <row r="7606" customFormat="1"/>
    <row r="7607" customFormat="1"/>
    <row r="7608" customFormat="1"/>
    <row r="7609" customFormat="1"/>
    <row r="7610" customFormat="1"/>
    <row r="7611" customFormat="1"/>
    <row r="7612" customFormat="1"/>
    <row r="7613" customFormat="1"/>
    <row r="7614" customFormat="1"/>
    <row r="7615" customFormat="1"/>
    <row r="7616" customFormat="1"/>
    <row r="7617" customFormat="1"/>
    <row r="7618" customFormat="1"/>
    <row r="7619" customFormat="1"/>
    <row r="7620" customFormat="1"/>
    <row r="7621" customFormat="1"/>
    <row r="7622" customFormat="1"/>
    <row r="7623" customFormat="1"/>
    <row r="7624" customFormat="1"/>
    <row r="7625" customFormat="1"/>
    <row r="7626" customFormat="1"/>
    <row r="7627" customFormat="1"/>
    <row r="7628" customFormat="1"/>
    <row r="7629" customFormat="1"/>
    <row r="7630" customFormat="1"/>
    <row r="7631" customFormat="1"/>
    <row r="7632" customFormat="1"/>
    <row r="7633" customFormat="1"/>
    <row r="7634" customFormat="1"/>
    <row r="7635" customFormat="1"/>
    <row r="7636" customFormat="1"/>
    <row r="7637" customFormat="1"/>
    <row r="7638" customFormat="1"/>
    <row r="7639" customFormat="1"/>
    <row r="7640" customFormat="1"/>
    <row r="7641" customFormat="1"/>
    <row r="7642" customFormat="1"/>
    <row r="7643" customFormat="1"/>
    <row r="7644" customFormat="1"/>
    <row r="7645" customFormat="1"/>
    <row r="7646" customFormat="1"/>
    <row r="7647" customFormat="1"/>
    <row r="7648" customFormat="1"/>
    <row r="7649" customFormat="1"/>
    <row r="7650" customFormat="1"/>
    <row r="7651" customFormat="1"/>
    <row r="7652" customFormat="1"/>
    <row r="7653" customFormat="1"/>
    <row r="7654" customFormat="1"/>
    <row r="7655" customFormat="1"/>
    <row r="7656" customFormat="1"/>
    <row r="7657" customFormat="1"/>
    <row r="7658" customFormat="1"/>
    <row r="7659" customFormat="1"/>
    <row r="7660" customFormat="1"/>
    <row r="7661" customFormat="1"/>
    <row r="7662" customFormat="1"/>
    <row r="7663" customFormat="1"/>
    <row r="7664" customFormat="1"/>
    <row r="7665" customFormat="1"/>
    <row r="7666" customFormat="1"/>
    <row r="7667" customFormat="1"/>
    <row r="7668" customFormat="1"/>
    <row r="7669" customFormat="1"/>
    <row r="7670" customFormat="1"/>
    <row r="7671" customFormat="1"/>
    <row r="7672" customFormat="1"/>
    <row r="7673" customFormat="1"/>
    <row r="7674" customFormat="1"/>
    <row r="7675" customFormat="1"/>
    <row r="7676" customFormat="1"/>
    <row r="7677" customFormat="1"/>
    <row r="7678" customFormat="1"/>
    <row r="7679" customFormat="1"/>
    <row r="7680" customFormat="1"/>
    <row r="7681" customFormat="1"/>
    <row r="7682" customFormat="1"/>
    <row r="7683" customFormat="1"/>
    <row r="7684" customFormat="1"/>
    <row r="7685" customFormat="1"/>
    <row r="7686" customFormat="1"/>
    <row r="7687" customFormat="1"/>
    <row r="7688" customFormat="1"/>
    <row r="7689" customFormat="1"/>
    <row r="7690" customFormat="1"/>
    <row r="7691" customFormat="1"/>
    <row r="7692" customFormat="1"/>
    <row r="7693" customFormat="1"/>
    <row r="7694" customFormat="1"/>
    <row r="7695" customFormat="1"/>
    <row r="7696" customFormat="1"/>
    <row r="7697" customFormat="1"/>
    <row r="7698" customFormat="1"/>
    <row r="7699" customFormat="1"/>
    <row r="7700" customFormat="1"/>
    <row r="7701" customFormat="1"/>
    <row r="7702" customFormat="1"/>
    <row r="7703" customFormat="1"/>
    <row r="7704" customFormat="1"/>
    <row r="7705" customFormat="1"/>
    <row r="7706" customFormat="1"/>
    <row r="7707" customFormat="1"/>
    <row r="7708" customFormat="1"/>
    <row r="7709" customFormat="1"/>
    <row r="7710" customFormat="1"/>
    <row r="7711" customFormat="1"/>
    <row r="7712" customFormat="1"/>
    <row r="7713" customFormat="1"/>
    <row r="7714" customFormat="1"/>
    <row r="7715" customFormat="1"/>
    <row r="7716" customFormat="1"/>
    <row r="7717" customFormat="1"/>
    <row r="7718" customFormat="1"/>
    <row r="7719" customFormat="1"/>
    <row r="7720" customFormat="1"/>
    <row r="7721" customFormat="1"/>
    <row r="7722" customFormat="1"/>
    <row r="7723" customFormat="1"/>
    <row r="7724" customFormat="1"/>
    <row r="7725" customFormat="1"/>
    <row r="7726" customFormat="1"/>
    <row r="7727" customFormat="1"/>
    <row r="7728" customFormat="1"/>
    <row r="7729" customFormat="1"/>
    <row r="7730" customFormat="1"/>
    <row r="7731" customFormat="1"/>
    <row r="7732" customFormat="1"/>
    <row r="7733" customFormat="1"/>
    <row r="7734" customFormat="1"/>
    <row r="7735" customFormat="1"/>
    <row r="7736" customFormat="1"/>
    <row r="7737" customFormat="1"/>
    <row r="7738" customFormat="1"/>
    <row r="7739" customFormat="1"/>
    <row r="7740" customFormat="1"/>
    <row r="7741" customFormat="1"/>
    <row r="7742" customFormat="1"/>
    <row r="7743" customFormat="1"/>
    <row r="7744" customFormat="1"/>
    <row r="7745" customFormat="1"/>
    <row r="7746" customFormat="1"/>
    <row r="7747" customFormat="1"/>
    <row r="7748" customFormat="1"/>
    <row r="7749" customFormat="1"/>
    <row r="7750" customFormat="1"/>
    <row r="7751" customFormat="1"/>
    <row r="7752" customFormat="1"/>
    <row r="7753" customFormat="1"/>
    <row r="7754" customFormat="1"/>
    <row r="7755" customFormat="1"/>
    <row r="7756" customFormat="1"/>
    <row r="7757" customFormat="1"/>
    <row r="7758" customFormat="1"/>
    <row r="7759" customFormat="1"/>
    <row r="7760" customFormat="1"/>
    <row r="7761" customFormat="1"/>
    <row r="7762" customFormat="1"/>
    <row r="7763" customFormat="1"/>
    <row r="7764" customFormat="1"/>
    <row r="7765" customFormat="1"/>
    <row r="7766" customFormat="1"/>
    <row r="7767" customFormat="1"/>
    <row r="7768" customFormat="1"/>
    <row r="7769" customFormat="1"/>
    <row r="7770" customFormat="1"/>
    <row r="7771" customFormat="1"/>
    <row r="7772" customFormat="1"/>
    <row r="7773" customFormat="1"/>
    <row r="7774" customFormat="1"/>
    <row r="7775" customFormat="1"/>
    <row r="7776" customFormat="1"/>
    <row r="7777" customFormat="1"/>
    <row r="7778" customFormat="1"/>
    <row r="7779" customFormat="1"/>
    <row r="7780" customFormat="1"/>
    <row r="7781" customFormat="1"/>
    <row r="7782" customFormat="1"/>
    <row r="7783" customFormat="1"/>
    <row r="7784" customFormat="1"/>
    <row r="7785" customFormat="1"/>
    <row r="7786" customFormat="1"/>
    <row r="7787" customFormat="1"/>
    <row r="7788" customFormat="1"/>
    <row r="7789" customFormat="1"/>
    <row r="7790" customFormat="1"/>
    <row r="7791" customFormat="1"/>
    <row r="7792" customFormat="1"/>
    <row r="7793" customFormat="1"/>
    <row r="7794" customFormat="1"/>
    <row r="7795" customFormat="1"/>
    <row r="7796" customFormat="1"/>
    <row r="7797" customFormat="1"/>
    <row r="7798" customFormat="1"/>
    <row r="7799" customFormat="1"/>
    <row r="7800" customFormat="1"/>
    <row r="7801" customFormat="1"/>
    <row r="7802" customFormat="1"/>
    <row r="7803" customFormat="1"/>
    <row r="7804" customFormat="1"/>
    <row r="7805" customFormat="1"/>
    <row r="7806" customFormat="1"/>
    <row r="7807" customFormat="1"/>
    <row r="7808" customFormat="1"/>
    <row r="7809" customFormat="1"/>
    <row r="7810" customFormat="1"/>
    <row r="7811" customFormat="1"/>
    <row r="7812" customFormat="1"/>
    <row r="7813" customFormat="1"/>
    <row r="7814" customFormat="1"/>
    <row r="7815" customFormat="1"/>
    <row r="7816" customFormat="1"/>
    <row r="7817" customFormat="1"/>
    <row r="7818" customFormat="1"/>
    <row r="7819" customFormat="1"/>
    <row r="7820" customFormat="1"/>
    <row r="7821" customFormat="1"/>
    <row r="7822" customFormat="1"/>
    <row r="7823" customFormat="1"/>
    <row r="7824" customFormat="1"/>
    <row r="7825" customFormat="1"/>
    <row r="7826" customFormat="1"/>
    <row r="7827" customFormat="1"/>
    <row r="7828" customFormat="1"/>
    <row r="7829" customFormat="1"/>
    <row r="7830" customFormat="1"/>
    <row r="7831" customFormat="1"/>
    <row r="7832" customFormat="1"/>
    <row r="7833" customFormat="1"/>
    <row r="7834" customFormat="1"/>
    <row r="7835" customFormat="1"/>
    <row r="7836" customFormat="1"/>
    <row r="7837" customFormat="1"/>
    <row r="7838" customFormat="1"/>
    <row r="7839" customFormat="1"/>
    <row r="7840" customFormat="1"/>
    <row r="7841" customFormat="1"/>
    <row r="7842" customFormat="1"/>
    <row r="7843" customFormat="1"/>
    <row r="7844" customFormat="1"/>
    <row r="7845" customFormat="1"/>
    <row r="7846" customFormat="1"/>
    <row r="7847" customFormat="1"/>
    <row r="7848" customFormat="1"/>
    <row r="7849" customFormat="1"/>
    <row r="7850" customFormat="1"/>
    <row r="7851" customFormat="1"/>
    <row r="7852" customFormat="1"/>
    <row r="7853" customFormat="1"/>
    <row r="7854" customFormat="1"/>
    <row r="7855" customFormat="1"/>
    <row r="7856" customFormat="1"/>
    <row r="7857" customFormat="1"/>
    <row r="7858" customFormat="1"/>
    <row r="7859" customFormat="1"/>
    <row r="7860" customFormat="1"/>
    <row r="7861" customFormat="1"/>
    <row r="7862" customFormat="1"/>
    <row r="7863" customFormat="1"/>
    <row r="7864" customFormat="1"/>
    <row r="7865" customFormat="1"/>
    <row r="7866" customFormat="1"/>
    <row r="7867" customFormat="1"/>
    <row r="7868" customFormat="1"/>
    <row r="7869" customFormat="1"/>
    <row r="7870" customFormat="1"/>
    <row r="7871" customFormat="1"/>
    <row r="7872" customFormat="1"/>
    <row r="7873" customFormat="1"/>
    <row r="7874" customFormat="1"/>
    <row r="7875" customFormat="1"/>
    <row r="7876" customFormat="1"/>
    <row r="7877" customFormat="1"/>
    <row r="7878" customFormat="1"/>
    <row r="7879" customFormat="1"/>
    <row r="7880" customFormat="1"/>
    <row r="7881" customFormat="1"/>
    <row r="7882" customFormat="1"/>
    <row r="7883" customFormat="1"/>
    <row r="7884" customFormat="1"/>
    <row r="7885" customFormat="1"/>
    <row r="7886" customFormat="1"/>
    <row r="7887" customFormat="1"/>
    <row r="7888" customFormat="1"/>
    <row r="7889" customFormat="1"/>
    <row r="7890" customFormat="1"/>
    <row r="7891" customFormat="1"/>
    <row r="7892" customFormat="1"/>
    <row r="7893" customFormat="1"/>
    <row r="7894" customFormat="1"/>
    <row r="7895" customFormat="1"/>
    <row r="7896" customFormat="1"/>
    <row r="7897" customFormat="1"/>
    <row r="7898" customFormat="1"/>
    <row r="7899" customFormat="1"/>
    <row r="7900" customFormat="1"/>
    <row r="7901" customFormat="1"/>
    <row r="7902" customFormat="1"/>
    <row r="7903" customFormat="1"/>
    <row r="7904" customFormat="1"/>
    <row r="7905" customFormat="1"/>
    <row r="7906" customFormat="1"/>
    <row r="7907" customFormat="1"/>
    <row r="7908" customFormat="1"/>
    <row r="7909" customFormat="1"/>
    <row r="7910" customFormat="1"/>
    <row r="7911" customFormat="1"/>
    <row r="7912" customFormat="1"/>
    <row r="7913" customFormat="1"/>
    <row r="7914" customFormat="1"/>
    <row r="7915" customFormat="1"/>
    <row r="7916" customFormat="1"/>
    <row r="7917" customFormat="1"/>
    <row r="7918" customFormat="1"/>
    <row r="7919" customFormat="1"/>
    <row r="7920" customFormat="1"/>
    <row r="7921" customFormat="1"/>
    <row r="7922" customFormat="1"/>
    <row r="7923" customFormat="1"/>
    <row r="7924" customFormat="1"/>
    <row r="7925" customFormat="1"/>
    <row r="7926" customFormat="1"/>
    <row r="7927" customFormat="1"/>
    <row r="7928" customFormat="1"/>
    <row r="7929" customFormat="1"/>
    <row r="7930" customFormat="1"/>
    <row r="7931" customFormat="1"/>
    <row r="7932" customFormat="1"/>
    <row r="7933" customFormat="1"/>
    <row r="7934" customFormat="1"/>
    <row r="7935" customFormat="1"/>
    <row r="7936" customFormat="1"/>
    <row r="7937" customFormat="1"/>
    <row r="7938" customFormat="1"/>
    <row r="7939" customFormat="1"/>
    <row r="7940" customFormat="1"/>
    <row r="7941" customFormat="1"/>
    <row r="7942" customFormat="1"/>
    <row r="7943" customFormat="1"/>
    <row r="7944" customFormat="1"/>
    <row r="7945" customFormat="1"/>
    <row r="7946" customFormat="1"/>
    <row r="7947" customFormat="1"/>
    <row r="7948" customFormat="1"/>
    <row r="7949" customFormat="1"/>
    <row r="7950" customFormat="1"/>
    <row r="7951" customFormat="1"/>
    <row r="7952" customFormat="1"/>
    <row r="7953" customFormat="1"/>
    <row r="7954" customFormat="1"/>
    <row r="7955" customFormat="1"/>
    <row r="7956" customFormat="1"/>
    <row r="7957" customFormat="1"/>
    <row r="7958" customFormat="1"/>
    <row r="7959" customFormat="1"/>
    <row r="7960" customFormat="1"/>
    <row r="7961" customFormat="1"/>
    <row r="7962" customFormat="1"/>
    <row r="7963" customFormat="1"/>
    <row r="7964" customFormat="1"/>
    <row r="7965" customFormat="1"/>
    <row r="7966" customFormat="1"/>
    <row r="7967" customFormat="1"/>
    <row r="7968" customFormat="1"/>
    <row r="7969" customFormat="1"/>
    <row r="7970" customFormat="1"/>
    <row r="7971" customFormat="1"/>
    <row r="7972" customFormat="1"/>
    <row r="7973" customFormat="1"/>
    <row r="7974" customFormat="1"/>
    <row r="7975" customFormat="1"/>
    <row r="7976" customFormat="1"/>
    <row r="7977" customFormat="1"/>
    <row r="7978" customFormat="1"/>
    <row r="7979" customFormat="1"/>
    <row r="7980" customFormat="1"/>
    <row r="7981" customFormat="1"/>
    <row r="7982" customFormat="1"/>
    <row r="7983" customFormat="1"/>
    <row r="7984" customFormat="1"/>
    <row r="7985" customFormat="1"/>
    <row r="7986" customFormat="1"/>
    <row r="7987" customFormat="1"/>
    <row r="7988" customFormat="1"/>
    <row r="7989" customFormat="1"/>
    <row r="7990" customFormat="1"/>
    <row r="7991" customFormat="1"/>
    <row r="7992" customFormat="1"/>
    <row r="7993" customFormat="1"/>
    <row r="7994" customFormat="1"/>
    <row r="7995" customFormat="1"/>
    <row r="7996" customFormat="1"/>
    <row r="7997" customFormat="1"/>
    <row r="7998" customFormat="1"/>
    <row r="7999" customFormat="1"/>
    <row r="8000" customFormat="1"/>
    <row r="8001" customFormat="1"/>
    <row r="8002" customFormat="1"/>
    <row r="8003" customFormat="1"/>
    <row r="8004" customFormat="1"/>
    <row r="8005" customFormat="1"/>
    <row r="8006" customFormat="1"/>
    <row r="8007" customFormat="1"/>
    <row r="8008" customFormat="1"/>
    <row r="8009" customFormat="1"/>
    <row r="8010" customFormat="1"/>
    <row r="8011" customFormat="1"/>
    <row r="8012" customFormat="1"/>
    <row r="8013" customFormat="1"/>
    <row r="8014" customFormat="1"/>
    <row r="8015" customFormat="1"/>
    <row r="8016" customFormat="1"/>
    <row r="8017" customFormat="1"/>
    <row r="8018" customFormat="1"/>
    <row r="8019" customFormat="1"/>
    <row r="8020" customFormat="1"/>
    <row r="8021" customFormat="1"/>
    <row r="8022" customFormat="1"/>
    <row r="8023" customFormat="1"/>
    <row r="8024" customFormat="1"/>
    <row r="8025" customFormat="1"/>
    <row r="8026" customFormat="1"/>
    <row r="8027" customFormat="1"/>
    <row r="8028" customFormat="1"/>
    <row r="8029" customFormat="1"/>
    <row r="8030" customFormat="1"/>
    <row r="8031" customFormat="1"/>
    <row r="8032" customFormat="1"/>
    <row r="8033" customFormat="1"/>
    <row r="8034" customFormat="1"/>
    <row r="8035" customFormat="1"/>
    <row r="8036" customFormat="1"/>
    <row r="8037" customFormat="1"/>
    <row r="8038" customFormat="1"/>
    <row r="8039" customFormat="1"/>
    <row r="8040" customFormat="1"/>
    <row r="8041" customFormat="1"/>
    <row r="8042" customFormat="1"/>
    <row r="8043" customFormat="1"/>
    <row r="8044" customFormat="1"/>
    <row r="8045" customFormat="1"/>
    <row r="8046" customFormat="1"/>
    <row r="8047" customFormat="1"/>
    <row r="8048" customFormat="1"/>
    <row r="8049" customFormat="1"/>
    <row r="8050" customFormat="1"/>
    <row r="8051" customFormat="1"/>
    <row r="8052" customFormat="1"/>
    <row r="8053" customFormat="1"/>
    <row r="8054" customFormat="1"/>
    <row r="8055" customFormat="1"/>
    <row r="8056" customFormat="1"/>
    <row r="8057" customFormat="1"/>
    <row r="8058" customFormat="1"/>
    <row r="8059" customFormat="1"/>
    <row r="8060" customFormat="1"/>
    <row r="8061" customFormat="1"/>
    <row r="8062" customFormat="1"/>
    <row r="8063" customFormat="1"/>
    <row r="8064" customFormat="1"/>
    <row r="8065" customFormat="1"/>
    <row r="8066" customFormat="1"/>
    <row r="8067" customFormat="1"/>
    <row r="8068" customFormat="1"/>
    <row r="8069" customFormat="1"/>
    <row r="8070" customFormat="1"/>
    <row r="8071" customFormat="1"/>
    <row r="8072" customFormat="1"/>
    <row r="8073" customFormat="1"/>
    <row r="8074" customFormat="1"/>
    <row r="8075" customFormat="1"/>
    <row r="8076" customFormat="1"/>
    <row r="8077" customFormat="1"/>
    <row r="8078" customFormat="1"/>
    <row r="8079" customFormat="1"/>
    <row r="8080" customFormat="1"/>
    <row r="8081" customFormat="1"/>
    <row r="8082" customFormat="1"/>
    <row r="8083" customFormat="1"/>
    <row r="8084" customFormat="1"/>
    <row r="8085" customFormat="1"/>
    <row r="8086" customFormat="1"/>
    <row r="8087" customFormat="1"/>
    <row r="8088" customFormat="1"/>
    <row r="8089" customFormat="1"/>
    <row r="8090" customFormat="1"/>
    <row r="8091" customFormat="1"/>
    <row r="8092" customFormat="1"/>
    <row r="8093" customFormat="1"/>
    <row r="8094" customFormat="1"/>
    <row r="8095" customFormat="1"/>
    <row r="8096" customFormat="1"/>
    <row r="8097" customFormat="1"/>
    <row r="8098" customFormat="1"/>
    <row r="8099" customFormat="1"/>
    <row r="8100" customFormat="1"/>
    <row r="8101" customFormat="1"/>
    <row r="8102" customFormat="1"/>
    <row r="8103" customFormat="1"/>
    <row r="8104" customFormat="1"/>
    <row r="8105" customFormat="1"/>
    <row r="8106" customFormat="1"/>
    <row r="8107" customFormat="1"/>
    <row r="8108" customFormat="1"/>
    <row r="8109" customFormat="1"/>
    <row r="8110" customFormat="1"/>
    <row r="8111" customFormat="1"/>
    <row r="8112" customFormat="1"/>
    <row r="8113" customFormat="1"/>
    <row r="8114" customFormat="1"/>
    <row r="8115" customFormat="1"/>
    <row r="8116" customFormat="1"/>
    <row r="8117" customFormat="1"/>
    <row r="8118" customFormat="1"/>
    <row r="8119" customFormat="1"/>
    <row r="8120" customFormat="1"/>
    <row r="8121" customFormat="1"/>
    <row r="8122" customFormat="1"/>
    <row r="8123" customFormat="1"/>
    <row r="8124" customFormat="1"/>
    <row r="8125" customFormat="1"/>
    <row r="8126" customFormat="1"/>
    <row r="8127" customFormat="1"/>
    <row r="8128" customFormat="1"/>
    <row r="8129" customFormat="1"/>
    <row r="8130" customFormat="1"/>
    <row r="8131" customFormat="1"/>
    <row r="8132" customFormat="1"/>
    <row r="8133" customFormat="1"/>
    <row r="8134" customFormat="1"/>
    <row r="8135" customFormat="1"/>
    <row r="8136" customFormat="1"/>
    <row r="8137" customFormat="1"/>
    <row r="8138" customFormat="1"/>
    <row r="8139" customFormat="1"/>
    <row r="8140" customFormat="1"/>
    <row r="8141" customFormat="1"/>
    <row r="8142" customFormat="1"/>
    <row r="8143" customFormat="1"/>
    <row r="8144" customFormat="1"/>
    <row r="8145" customFormat="1"/>
    <row r="8146" customFormat="1"/>
    <row r="8147" customFormat="1"/>
    <row r="8148" customFormat="1"/>
    <row r="8149" customFormat="1"/>
    <row r="8150" customFormat="1"/>
    <row r="8151" customFormat="1"/>
    <row r="8152" customFormat="1"/>
    <row r="8153" customFormat="1"/>
    <row r="8154" customFormat="1"/>
    <row r="8155" customFormat="1"/>
    <row r="8156" customFormat="1"/>
    <row r="8157" customFormat="1"/>
    <row r="8158" customFormat="1"/>
    <row r="8159" customFormat="1"/>
    <row r="8160" customFormat="1"/>
    <row r="8161" customFormat="1"/>
    <row r="8162" customFormat="1"/>
    <row r="8163" customFormat="1"/>
    <row r="8164" customFormat="1"/>
    <row r="8165" customFormat="1"/>
    <row r="8166" customFormat="1"/>
    <row r="8167" customFormat="1"/>
    <row r="8168" customFormat="1"/>
    <row r="8169" customFormat="1"/>
    <row r="8170" customFormat="1"/>
    <row r="8171" customFormat="1"/>
    <row r="8172" customFormat="1"/>
    <row r="8173" customFormat="1"/>
    <row r="8174" customFormat="1"/>
    <row r="8175" customFormat="1"/>
    <row r="8176" customFormat="1"/>
    <row r="8177" customFormat="1"/>
    <row r="8178" customFormat="1"/>
    <row r="8179" customFormat="1"/>
    <row r="8180" customFormat="1"/>
    <row r="8181" customFormat="1"/>
    <row r="8182" customFormat="1"/>
    <row r="8183" customFormat="1"/>
    <row r="8184" customFormat="1"/>
    <row r="8185" customFormat="1"/>
    <row r="8186" customFormat="1"/>
    <row r="8187" customFormat="1"/>
    <row r="8188" customFormat="1"/>
    <row r="8189" customFormat="1"/>
    <row r="8190" customFormat="1"/>
    <row r="8191" customFormat="1"/>
    <row r="8192" customFormat="1"/>
    <row r="8193" customFormat="1"/>
    <row r="8194" customFormat="1"/>
    <row r="8195" customFormat="1"/>
    <row r="8196" customFormat="1"/>
    <row r="8197" customFormat="1"/>
    <row r="8198" customFormat="1"/>
    <row r="8199" customFormat="1"/>
    <row r="8200" customFormat="1"/>
    <row r="8201" customFormat="1"/>
    <row r="8202" customFormat="1"/>
    <row r="8203" customFormat="1"/>
    <row r="8204" customFormat="1"/>
    <row r="8205" customFormat="1"/>
    <row r="8206" customFormat="1"/>
    <row r="8207" customFormat="1"/>
    <row r="8208" customFormat="1"/>
    <row r="8209" customFormat="1"/>
    <row r="8210" customFormat="1"/>
    <row r="8211" customFormat="1"/>
    <row r="8212" customFormat="1"/>
    <row r="8213" customFormat="1"/>
    <row r="8214" customFormat="1"/>
    <row r="8215" customFormat="1"/>
    <row r="8216" customFormat="1"/>
    <row r="8217" customFormat="1"/>
    <row r="8218" customFormat="1"/>
    <row r="8219" customFormat="1"/>
    <row r="8220" customFormat="1"/>
    <row r="8221" customFormat="1"/>
    <row r="8222" customFormat="1"/>
    <row r="8223" customFormat="1"/>
    <row r="8224" customFormat="1"/>
    <row r="8225" customFormat="1"/>
    <row r="8226" customFormat="1"/>
    <row r="8227" customFormat="1"/>
    <row r="8228" customFormat="1"/>
    <row r="8229" customFormat="1"/>
    <row r="8230" customFormat="1"/>
    <row r="8231" customFormat="1"/>
    <row r="8232" customFormat="1"/>
    <row r="8233" customFormat="1"/>
    <row r="8234" customFormat="1"/>
    <row r="8235" customFormat="1"/>
    <row r="8236" customFormat="1"/>
    <row r="8237" customFormat="1"/>
    <row r="8238" customFormat="1"/>
    <row r="8239" customFormat="1"/>
    <row r="8240" customFormat="1"/>
    <row r="8241" customFormat="1"/>
    <row r="8242" customFormat="1"/>
    <row r="8243" customFormat="1"/>
    <row r="8244" customFormat="1"/>
    <row r="8245" customFormat="1"/>
    <row r="8246" customFormat="1"/>
    <row r="8247" customFormat="1"/>
    <row r="8248" customFormat="1"/>
    <row r="8249" customFormat="1"/>
    <row r="8250" customFormat="1"/>
    <row r="8251" customFormat="1"/>
    <row r="8252" customFormat="1"/>
    <row r="8253" customFormat="1"/>
    <row r="8254" customFormat="1"/>
    <row r="8255" customFormat="1"/>
    <row r="8256" customFormat="1"/>
    <row r="8257" customFormat="1"/>
    <row r="8258" customFormat="1"/>
    <row r="8259" customFormat="1"/>
    <row r="8260" customFormat="1"/>
    <row r="8261" customFormat="1"/>
    <row r="8262" customFormat="1"/>
    <row r="8263" customFormat="1"/>
    <row r="8264" customFormat="1"/>
    <row r="8265" customFormat="1"/>
    <row r="8266" customFormat="1"/>
    <row r="8267" customFormat="1"/>
    <row r="8268" customFormat="1"/>
    <row r="8269" customFormat="1"/>
    <row r="8270" customFormat="1"/>
    <row r="8271" customFormat="1"/>
    <row r="8272" customFormat="1"/>
    <row r="8273" customFormat="1"/>
    <row r="8274" customFormat="1"/>
    <row r="8275" customFormat="1"/>
    <row r="8276" customFormat="1"/>
    <row r="8277" customFormat="1"/>
    <row r="8278" customFormat="1"/>
    <row r="8279" customFormat="1"/>
    <row r="8280" customFormat="1"/>
    <row r="8281" customFormat="1"/>
    <row r="8282" customFormat="1"/>
    <row r="8283" customFormat="1"/>
    <row r="8284" customFormat="1"/>
    <row r="8285" customFormat="1"/>
    <row r="8286" customFormat="1"/>
    <row r="8287" customFormat="1"/>
    <row r="8288" customFormat="1"/>
    <row r="8289" customFormat="1"/>
    <row r="8290" customFormat="1"/>
    <row r="8291" customFormat="1"/>
    <row r="8292" customFormat="1"/>
    <row r="8293" customFormat="1"/>
    <row r="8294" customFormat="1"/>
    <row r="8295" customFormat="1"/>
    <row r="8296" customFormat="1"/>
    <row r="8297" customFormat="1"/>
    <row r="8298" customFormat="1"/>
    <row r="8299" customFormat="1"/>
    <row r="8300" customFormat="1"/>
    <row r="8301" customFormat="1"/>
    <row r="8302" customFormat="1"/>
    <row r="8303" customFormat="1"/>
    <row r="8304" customFormat="1"/>
    <row r="8305" customFormat="1"/>
    <row r="8306" customFormat="1"/>
    <row r="8307" customFormat="1"/>
    <row r="8308" customFormat="1"/>
    <row r="8309" customFormat="1"/>
    <row r="8310" customFormat="1"/>
    <row r="8311" customFormat="1"/>
    <row r="8312" customFormat="1"/>
    <row r="8313" customFormat="1"/>
    <row r="8314" customFormat="1"/>
    <row r="8315" customFormat="1"/>
    <row r="8316" customFormat="1"/>
    <row r="8317" customFormat="1"/>
    <row r="8318" customFormat="1"/>
    <row r="8319" customFormat="1"/>
    <row r="8320" customFormat="1"/>
    <row r="8321" customFormat="1"/>
    <row r="8322" customFormat="1"/>
    <row r="8323" customFormat="1"/>
    <row r="8324" customFormat="1"/>
    <row r="8325" customFormat="1"/>
    <row r="8326" customFormat="1"/>
    <row r="8327" customFormat="1"/>
    <row r="8328" customFormat="1"/>
    <row r="8329" customFormat="1"/>
    <row r="8330" customFormat="1"/>
    <row r="8331" customFormat="1"/>
    <row r="8332" customFormat="1"/>
    <row r="8333" customFormat="1"/>
    <row r="8334" customFormat="1"/>
    <row r="8335" customFormat="1"/>
    <row r="8336" customFormat="1"/>
    <row r="8337" customFormat="1"/>
    <row r="8338" customFormat="1"/>
    <row r="8339" customFormat="1"/>
    <row r="8340" customFormat="1"/>
    <row r="8341" customFormat="1"/>
    <row r="8342" customFormat="1"/>
    <row r="8343" customFormat="1"/>
    <row r="8344" customFormat="1"/>
    <row r="8345" customFormat="1"/>
    <row r="8346" customFormat="1"/>
    <row r="8347" customFormat="1"/>
    <row r="8348" customFormat="1"/>
    <row r="8349" customFormat="1"/>
    <row r="8350" customFormat="1"/>
    <row r="8351" customFormat="1"/>
    <row r="8352" customFormat="1"/>
    <row r="8353" customFormat="1"/>
    <row r="8354" customFormat="1"/>
    <row r="8355" customFormat="1"/>
    <row r="8356" customFormat="1"/>
    <row r="8357" customFormat="1"/>
    <row r="8358" customFormat="1"/>
    <row r="8359" customFormat="1"/>
    <row r="8360" customFormat="1"/>
    <row r="8361" customFormat="1"/>
    <row r="8362" customFormat="1"/>
    <row r="8363" customFormat="1"/>
    <row r="8364" customFormat="1"/>
    <row r="8365" customFormat="1"/>
    <row r="8366" customFormat="1"/>
    <row r="8367" customFormat="1"/>
    <row r="8368" customFormat="1"/>
    <row r="8369" customFormat="1"/>
    <row r="8370" customFormat="1"/>
    <row r="8371" customFormat="1"/>
    <row r="8372" customFormat="1"/>
    <row r="8373" customFormat="1"/>
    <row r="8374" customFormat="1"/>
    <row r="8375" customFormat="1"/>
    <row r="8376" customFormat="1"/>
    <row r="8377" customFormat="1"/>
    <row r="8378" customFormat="1"/>
    <row r="8379" customFormat="1"/>
    <row r="8380" customFormat="1"/>
    <row r="8381" customFormat="1"/>
    <row r="8382" customFormat="1"/>
    <row r="8383" customFormat="1"/>
    <row r="8384" customFormat="1"/>
    <row r="8385" customFormat="1"/>
    <row r="8386" customFormat="1"/>
    <row r="8387" customFormat="1"/>
    <row r="8388" customFormat="1"/>
    <row r="8389" customFormat="1"/>
    <row r="8390" customFormat="1"/>
    <row r="8391" customFormat="1"/>
    <row r="8392" customFormat="1"/>
    <row r="8393" customFormat="1"/>
    <row r="8394" customFormat="1"/>
    <row r="8395" customFormat="1"/>
    <row r="8396" customFormat="1"/>
    <row r="8397" customFormat="1"/>
    <row r="8398" customFormat="1"/>
    <row r="8399" customFormat="1"/>
    <row r="8400" customFormat="1"/>
    <row r="8401" customFormat="1"/>
    <row r="8402" customFormat="1"/>
    <row r="8403" customFormat="1"/>
    <row r="8404" customFormat="1"/>
    <row r="8405" customFormat="1"/>
    <row r="8406" customFormat="1"/>
    <row r="8407" customFormat="1"/>
    <row r="8408" customFormat="1"/>
    <row r="8409" customFormat="1"/>
    <row r="8410" customFormat="1"/>
    <row r="8411" customFormat="1"/>
    <row r="8412" customFormat="1"/>
    <row r="8413" customFormat="1"/>
    <row r="8414" customFormat="1"/>
    <row r="8415" customFormat="1"/>
    <row r="8416" customFormat="1"/>
    <row r="8417" customFormat="1"/>
    <row r="8418" customFormat="1"/>
    <row r="8419" customFormat="1"/>
    <row r="8420" customFormat="1"/>
    <row r="8421" customFormat="1"/>
    <row r="8422" customFormat="1"/>
    <row r="8423" customFormat="1"/>
    <row r="8424" customFormat="1"/>
    <row r="8425" customFormat="1"/>
    <row r="8426" customFormat="1"/>
    <row r="8427" customFormat="1"/>
    <row r="8428" customFormat="1"/>
    <row r="8429" customFormat="1"/>
    <row r="8430" customFormat="1"/>
    <row r="8431" customFormat="1"/>
    <row r="8432" customFormat="1"/>
    <row r="8433" customFormat="1"/>
    <row r="8434" customFormat="1"/>
    <row r="8435" customFormat="1"/>
    <row r="8436" customFormat="1"/>
    <row r="8437" customFormat="1"/>
    <row r="8438" customFormat="1"/>
    <row r="8439" customFormat="1"/>
    <row r="8440" customFormat="1"/>
    <row r="8441" customFormat="1"/>
    <row r="8442" customFormat="1"/>
    <row r="8443" customFormat="1"/>
    <row r="8444" customFormat="1"/>
    <row r="8445" customFormat="1"/>
    <row r="8446" customFormat="1"/>
    <row r="8447" customFormat="1"/>
    <row r="8448" customFormat="1"/>
    <row r="8449" customFormat="1"/>
    <row r="8450" customFormat="1"/>
    <row r="8451" customFormat="1"/>
    <row r="8452" customFormat="1"/>
    <row r="8453" customFormat="1"/>
    <row r="8454" customFormat="1"/>
    <row r="8455" customFormat="1"/>
    <row r="8456" customFormat="1"/>
    <row r="8457" customFormat="1"/>
    <row r="8458" customFormat="1"/>
    <row r="8459" customFormat="1"/>
    <row r="8460" customFormat="1"/>
    <row r="8461" customFormat="1"/>
    <row r="8462" customFormat="1"/>
    <row r="8463" customFormat="1"/>
    <row r="8464" customFormat="1"/>
    <row r="8465" customFormat="1"/>
    <row r="8466" customFormat="1"/>
    <row r="8467" customFormat="1"/>
    <row r="8468" customFormat="1"/>
    <row r="8469" customFormat="1"/>
    <row r="8470" customFormat="1"/>
    <row r="8471" customFormat="1"/>
    <row r="8472" customFormat="1"/>
    <row r="8473" customFormat="1"/>
    <row r="8474" customFormat="1"/>
    <row r="8475" customFormat="1"/>
    <row r="8476" customFormat="1"/>
    <row r="8477" customFormat="1"/>
    <row r="8478" customFormat="1"/>
    <row r="8479" customFormat="1"/>
    <row r="8480" customFormat="1"/>
    <row r="8481" customFormat="1"/>
    <row r="8482" customFormat="1"/>
    <row r="8483" customFormat="1"/>
    <row r="8484" customFormat="1"/>
    <row r="8485" customFormat="1"/>
    <row r="8486" customFormat="1"/>
    <row r="8487" customFormat="1"/>
    <row r="8488" customFormat="1"/>
    <row r="8489" customFormat="1"/>
    <row r="8490" customFormat="1"/>
    <row r="8491" customFormat="1"/>
    <row r="8492" customFormat="1"/>
    <row r="8493" customFormat="1"/>
    <row r="8494" customFormat="1"/>
    <row r="8495" customFormat="1"/>
    <row r="8496" customFormat="1"/>
    <row r="8497" customFormat="1"/>
    <row r="8498" customFormat="1"/>
    <row r="8499" customFormat="1"/>
    <row r="8500" customFormat="1"/>
    <row r="8501" customFormat="1"/>
    <row r="8502" customFormat="1"/>
    <row r="8503" customFormat="1"/>
    <row r="8504" customFormat="1"/>
    <row r="8505" customFormat="1"/>
    <row r="8506" customFormat="1"/>
    <row r="8507" customFormat="1"/>
    <row r="8508" customFormat="1"/>
    <row r="8509" customFormat="1"/>
    <row r="8510" customFormat="1"/>
    <row r="8511" customFormat="1"/>
    <row r="8512" customFormat="1"/>
    <row r="8513" customFormat="1"/>
    <row r="8514" customFormat="1"/>
    <row r="8515" customFormat="1"/>
    <row r="8516" customFormat="1"/>
    <row r="8517" customFormat="1"/>
    <row r="8518" customFormat="1"/>
    <row r="8519" customFormat="1"/>
    <row r="8520" customFormat="1"/>
    <row r="8521" customFormat="1"/>
    <row r="8522" customFormat="1"/>
    <row r="8523" customFormat="1"/>
    <row r="8524" customFormat="1"/>
    <row r="8525" customFormat="1"/>
    <row r="8526" customFormat="1"/>
    <row r="8527" customFormat="1"/>
    <row r="8528" customFormat="1"/>
    <row r="8529" customFormat="1"/>
    <row r="8530" customFormat="1"/>
    <row r="8531" customFormat="1"/>
    <row r="8532" customFormat="1"/>
    <row r="8533" customFormat="1"/>
    <row r="8534" customFormat="1"/>
    <row r="8535" customFormat="1"/>
    <row r="8536" customFormat="1"/>
    <row r="8537" customFormat="1"/>
    <row r="8538" customFormat="1"/>
    <row r="8539" customFormat="1"/>
    <row r="8540" customFormat="1"/>
    <row r="8541" customFormat="1"/>
    <row r="8542" customFormat="1"/>
    <row r="8543" customFormat="1"/>
    <row r="8544" customFormat="1"/>
    <row r="8545" customFormat="1"/>
    <row r="8546" customFormat="1"/>
    <row r="8547" customFormat="1"/>
    <row r="8548" customFormat="1"/>
    <row r="8549" customFormat="1"/>
    <row r="8550" customFormat="1"/>
    <row r="8551" customFormat="1"/>
    <row r="8552" customFormat="1"/>
    <row r="8553" customFormat="1"/>
    <row r="8554" customFormat="1"/>
    <row r="8555" customFormat="1"/>
    <row r="8556" customFormat="1"/>
    <row r="8557" customFormat="1"/>
    <row r="8558" customFormat="1"/>
    <row r="8559" customFormat="1"/>
    <row r="8560" customFormat="1"/>
    <row r="8561" customFormat="1"/>
    <row r="8562" customFormat="1"/>
    <row r="8563" customFormat="1"/>
    <row r="8564" customFormat="1"/>
    <row r="8565" customFormat="1"/>
    <row r="8566" customFormat="1"/>
    <row r="8567" customFormat="1"/>
    <row r="8568" customFormat="1"/>
    <row r="8569" customFormat="1"/>
    <row r="8570" customFormat="1"/>
    <row r="8571" customFormat="1"/>
    <row r="8572" customFormat="1"/>
    <row r="8573" customFormat="1"/>
    <row r="8574" customFormat="1"/>
    <row r="8575" customFormat="1"/>
    <row r="8576" customFormat="1"/>
    <row r="8577" customFormat="1"/>
    <row r="8578" customFormat="1"/>
    <row r="8579" customFormat="1"/>
    <row r="8580" customFormat="1"/>
    <row r="8581" customFormat="1"/>
    <row r="8582" customFormat="1"/>
    <row r="8583" customFormat="1"/>
    <row r="8584" customFormat="1"/>
    <row r="8585" customFormat="1"/>
    <row r="8586" customFormat="1"/>
    <row r="8587" customFormat="1"/>
    <row r="8588" customFormat="1"/>
    <row r="8589" customFormat="1"/>
    <row r="8590" customFormat="1"/>
    <row r="8591" customFormat="1"/>
    <row r="8592" customFormat="1"/>
    <row r="8593" customFormat="1"/>
    <row r="8594" customFormat="1"/>
    <row r="8595" customFormat="1"/>
    <row r="8596" customFormat="1"/>
    <row r="8597" customFormat="1"/>
    <row r="8598" customFormat="1"/>
    <row r="8599" customFormat="1"/>
    <row r="8600" customFormat="1"/>
    <row r="8601" customFormat="1"/>
    <row r="8602" customFormat="1"/>
    <row r="8603" customFormat="1"/>
    <row r="8604" customFormat="1"/>
    <row r="8605" customFormat="1"/>
    <row r="8606" customFormat="1"/>
    <row r="8607" customFormat="1"/>
    <row r="8608" customFormat="1"/>
    <row r="8609" customFormat="1"/>
    <row r="8610" customFormat="1"/>
    <row r="8611" customFormat="1"/>
    <row r="8612" customFormat="1"/>
    <row r="8613" customFormat="1"/>
    <row r="8614" customFormat="1"/>
    <row r="8615" customFormat="1"/>
    <row r="8616" customFormat="1"/>
    <row r="8617" customFormat="1"/>
    <row r="8618" customFormat="1"/>
    <row r="8619" customFormat="1"/>
    <row r="8620" customFormat="1"/>
    <row r="8621" customFormat="1"/>
    <row r="8622" customFormat="1"/>
    <row r="8623" customFormat="1"/>
    <row r="8624" customFormat="1"/>
    <row r="8625" customFormat="1"/>
    <row r="8626" customFormat="1"/>
    <row r="8627" customFormat="1"/>
    <row r="8628" customFormat="1"/>
    <row r="8629" customFormat="1"/>
    <row r="8630" customFormat="1"/>
    <row r="8631" customFormat="1"/>
    <row r="8632" customFormat="1"/>
    <row r="8633" customFormat="1"/>
    <row r="8634" customFormat="1"/>
    <row r="8635" customFormat="1"/>
    <row r="8636" customFormat="1"/>
    <row r="8637" customFormat="1"/>
    <row r="8638" customFormat="1"/>
    <row r="8639" customFormat="1"/>
    <row r="8640" customFormat="1"/>
    <row r="8641" customFormat="1"/>
    <row r="8642" customFormat="1"/>
    <row r="8643" customFormat="1"/>
    <row r="8644" customFormat="1"/>
    <row r="8645" customFormat="1"/>
    <row r="8646" customFormat="1"/>
    <row r="8647" customFormat="1"/>
    <row r="8648" customFormat="1"/>
    <row r="8649" customFormat="1"/>
    <row r="8650" customFormat="1"/>
    <row r="8651" customFormat="1"/>
    <row r="8652" customFormat="1"/>
    <row r="8653" customFormat="1"/>
    <row r="8654" customFormat="1"/>
    <row r="8655" customFormat="1"/>
    <row r="8656" customFormat="1"/>
    <row r="8657" customFormat="1"/>
    <row r="8658" customFormat="1"/>
    <row r="8659" customFormat="1"/>
    <row r="8660" customFormat="1"/>
    <row r="8661" customFormat="1"/>
    <row r="8662" customFormat="1"/>
    <row r="8663" customFormat="1"/>
    <row r="8664" customFormat="1"/>
    <row r="8665" customFormat="1"/>
    <row r="8666" customFormat="1"/>
    <row r="8667" customFormat="1"/>
    <row r="8668" customFormat="1"/>
    <row r="8669" customFormat="1"/>
    <row r="8670" customFormat="1"/>
    <row r="8671" customFormat="1"/>
    <row r="8672" customFormat="1"/>
    <row r="8673" customFormat="1"/>
    <row r="8674" customFormat="1"/>
    <row r="8675" customFormat="1"/>
    <row r="8676" customFormat="1"/>
    <row r="8677" customFormat="1"/>
    <row r="8678" customFormat="1"/>
    <row r="8679" customFormat="1"/>
    <row r="8680" customFormat="1"/>
    <row r="8681" customFormat="1"/>
    <row r="8682" customFormat="1"/>
    <row r="8683" customFormat="1"/>
    <row r="8684" customFormat="1"/>
    <row r="8685" customFormat="1"/>
    <row r="8686" customFormat="1"/>
    <row r="8687" customFormat="1"/>
    <row r="8688" customFormat="1"/>
    <row r="8689" customFormat="1"/>
    <row r="8690" customFormat="1"/>
    <row r="8691" customFormat="1"/>
    <row r="8692" customFormat="1"/>
    <row r="8693" customFormat="1"/>
    <row r="8694" customFormat="1"/>
    <row r="8695" customFormat="1"/>
    <row r="8696" customFormat="1"/>
    <row r="8697" customFormat="1"/>
    <row r="8698" customFormat="1"/>
    <row r="8699" customFormat="1"/>
    <row r="8700" customFormat="1"/>
    <row r="8701" customFormat="1"/>
    <row r="8702" customFormat="1"/>
    <row r="8703" customFormat="1"/>
    <row r="8704" customFormat="1"/>
    <row r="8705" customFormat="1"/>
    <row r="8706" customFormat="1"/>
    <row r="8707" customFormat="1"/>
    <row r="8708" customFormat="1"/>
    <row r="8709" customFormat="1"/>
    <row r="8710" customFormat="1"/>
    <row r="8711" customFormat="1"/>
    <row r="8712" customFormat="1"/>
    <row r="8713" customFormat="1"/>
    <row r="8714" customFormat="1"/>
    <row r="8715" customFormat="1"/>
    <row r="8716" customFormat="1"/>
    <row r="8717" customFormat="1"/>
    <row r="8718" customFormat="1"/>
    <row r="8719" customFormat="1"/>
    <row r="8720" customFormat="1"/>
    <row r="8721" customFormat="1"/>
    <row r="8722" customFormat="1"/>
    <row r="8723" customFormat="1"/>
    <row r="8724" customFormat="1"/>
    <row r="8725" customFormat="1"/>
    <row r="8726" customFormat="1"/>
    <row r="8727" customFormat="1"/>
    <row r="8728" customFormat="1"/>
    <row r="8729" customFormat="1"/>
    <row r="8730" customFormat="1"/>
    <row r="8731" customFormat="1"/>
    <row r="8732" customFormat="1"/>
    <row r="8733" customFormat="1"/>
    <row r="8734" customFormat="1"/>
    <row r="8735" customFormat="1"/>
    <row r="8736" customFormat="1"/>
    <row r="8737" customFormat="1"/>
    <row r="8738" customFormat="1"/>
    <row r="8739" customFormat="1"/>
    <row r="8740" customFormat="1"/>
    <row r="8741" customFormat="1"/>
    <row r="8742" customFormat="1"/>
    <row r="8743" customFormat="1"/>
    <row r="8744" customFormat="1"/>
    <row r="8745" customFormat="1"/>
    <row r="8746" customFormat="1"/>
    <row r="8747" customFormat="1"/>
    <row r="8748" customFormat="1"/>
    <row r="8749" customFormat="1"/>
    <row r="8750" customFormat="1"/>
    <row r="8751" customFormat="1"/>
    <row r="8752" customFormat="1"/>
    <row r="8753" customFormat="1"/>
    <row r="8754" customFormat="1"/>
    <row r="8755" customFormat="1"/>
    <row r="8756" customFormat="1"/>
    <row r="8757" customFormat="1"/>
    <row r="8758" customFormat="1"/>
    <row r="8759" customFormat="1"/>
    <row r="8760" customFormat="1"/>
    <row r="8761" customFormat="1"/>
    <row r="8762" customFormat="1"/>
    <row r="8763" customFormat="1"/>
    <row r="8764" customFormat="1"/>
    <row r="8765" customFormat="1"/>
    <row r="8766" customFormat="1"/>
    <row r="8767" customFormat="1"/>
    <row r="8768" customFormat="1"/>
    <row r="8769" customFormat="1"/>
    <row r="8770" customFormat="1"/>
    <row r="8771" customFormat="1"/>
    <row r="8772" customFormat="1"/>
    <row r="8773" customFormat="1"/>
    <row r="8774" customFormat="1"/>
    <row r="8775" customFormat="1"/>
    <row r="8776" customFormat="1"/>
    <row r="8777" customFormat="1"/>
    <row r="8778" customFormat="1"/>
    <row r="8779" customFormat="1"/>
    <row r="8780" customFormat="1"/>
    <row r="8781" customFormat="1"/>
    <row r="8782" customFormat="1"/>
    <row r="8783" customFormat="1"/>
    <row r="8784" customFormat="1"/>
    <row r="8785" customFormat="1"/>
    <row r="8786" customFormat="1"/>
    <row r="8787" customFormat="1"/>
    <row r="8788" customFormat="1"/>
    <row r="8789" customFormat="1"/>
    <row r="8790" customFormat="1"/>
    <row r="8791" customFormat="1"/>
    <row r="8792" customFormat="1"/>
    <row r="8793" customFormat="1"/>
    <row r="8794" customFormat="1"/>
    <row r="8795" customFormat="1"/>
    <row r="8796" customFormat="1"/>
    <row r="8797" customFormat="1"/>
    <row r="8798" customFormat="1"/>
    <row r="8799" customFormat="1"/>
    <row r="8800" customFormat="1"/>
    <row r="8801" customFormat="1"/>
    <row r="8802" customFormat="1"/>
    <row r="8803" customFormat="1"/>
    <row r="8804" customFormat="1"/>
    <row r="8805" customFormat="1"/>
    <row r="8806" customFormat="1"/>
    <row r="8807" customFormat="1"/>
    <row r="8808" customFormat="1"/>
    <row r="8809" customFormat="1"/>
    <row r="8810" customFormat="1"/>
    <row r="8811" customFormat="1"/>
    <row r="8812" customFormat="1"/>
    <row r="8813" customFormat="1"/>
    <row r="8814" customFormat="1"/>
    <row r="8815" customFormat="1"/>
    <row r="8816" customFormat="1"/>
    <row r="8817" customFormat="1"/>
    <row r="8818" customFormat="1"/>
    <row r="8819" customFormat="1"/>
    <row r="8820" customFormat="1"/>
    <row r="8821" customFormat="1"/>
    <row r="8822" customFormat="1"/>
    <row r="8823" customFormat="1"/>
    <row r="8824" customFormat="1"/>
    <row r="8825" customFormat="1"/>
    <row r="8826" customFormat="1"/>
    <row r="8827" customFormat="1"/>
    <row r="8828" customFormat="1"/>
    <row r="8829" customFormat="1"/>
    <row r="8830" customFormat="1"/>
    <row r="8831" customFormat="1"/>
    <row r="8832" customFormat="1"/>
    <row r="8833" customFormat="1"/>
    <row r="8834" customFormat="1"/>
    <row r="8835" customFormat="1"/>
    <row r="8836" customFormat="1"/>
    <row r="8837" customFormat="1"/>
    <row r="8838" customFormat="1"/>
    <row r="8839" customFormat="1"/>
    <row r="8840" customFormat="1"/>
    <row r="8841" customFormat="1"/>
    <row r="8842" customFormat="1"/>
    <row r="8843" customFormat="1"/>
    <row r="8844" customFormat="1"/>
    <row r="8845" customFormat="1"/>
    <row r="8846" customFormat="1"/>
    <row r="8847" customFormat="1"/>
    <row r="8848" customFormat="1"/>
    <row r="8849" customFormat="1"/>
    <row r="8850" customFormat="1"/>
    <row r="8851" customFormat="1"/>
    <row r="8852" customFormat="1"/>
    <row r="8853" customFormat="1"/>
    <row r="8854" customFormat="1"/>
    <row r="8855" customFormat="1"/>
    <row r="8856" customFormat="1"/>
    <row r="8857" customFormat="1"/>
    <row r="8858" customFormat="1"/>
    <row r="8859" customFormat="1"/>
    <row r="8860" customFormat="1"/>
    <row r="8861" customFormat="1"/>
    <row r="8862" customFormat="1"/>
    <row r="8863" customFormat="1"/>
    <row r="8864" customFormat="1"/>
    <row r="8865" customFormat="1"/>
    <row r="8866" customFormat="1"/>
    <row r="8867" customFormat="1"/>
    <row r="8868" customFormat="1"/>
    <row r="8869" customFormat="1"/>
    <row r="8870" customFormat="1"/>
    <row r="8871" customFormat="1"/>
    <row r="8872" customFormat="1"/>
    <row r="8873" customFormat="1"/>
    <row r="8874" customFormat="1"/>
    <row r="8875" customFormat="1"/>
    <row r="8876" customFormat="1"/>
    <row r="8877" customFormat="1"/>
    <row r="8878" customFormat="1"/>
    <row r="8879" customFormat="1"/>
    <row r="8880" customFormat="1"/>
    <row r="8881" customFormat="1"/>
    <row r="8882" customFormat="1"/>
    <row r="8883" customFormat="1"/>
    <row r="8884" customFormat="1"/>
    <row r="8885" customFormat="1"/>
    <row r="8886" customFormat="1"/>
    <row r="8887" customFormat="1"/>
    <row r="8888" customFormat="1"/>
    <row r="8889" customFormat="1"/>
    <row r="8890" customFormat="1"/>
    <row r="8891" customFormat="1"/>
    <row r="8892" customFormat="1"/>
    <row r="8893" customFormat="1"/>
    <row r="8894" customFormat="1"/>
    <row r="8895" customFormat="1"/>
    <row r="8896" customFormat="1"/>
    <row r="8897" customFormat="1"/>
    <row r="8898" customFormat="1"/>
    <row r="8899" customFormat="1"/>
    <row r="8900" customFormat="1"/>
    <row r="8901" customFormat="1"/>
    <row r="8902" customFormat="1"/>
    <row r="8903" customFormat="1"/>
    <row r="8904" customFormat="1"/>
    <row r="8905" customFormat="1"/>
    <row r="8906" customFormat="1"/>
    <row r="8907" customFormat="1"/>
    <row r="8908" customFormat="1"/>
    <row r="8909" customFormat="1"/>
    <row r="8910" customFormat="1"/>
    <row r="8911" customFormat="1"/>
    <row r="8912" customFormat="1"/>
    <row r="8913" customFormat="1"/>
    <row r="8914" customFormat="1"/>
    <row r="8915" customFormat="1"/>
    <row r="8916" customFormat="1"/>
    <row r="8917" customFormat="1"/>
    <row r="8918" customFormat="1"/>
    <row r="8919" customFormat="1"/>
    <row r="8920" customFormat="1"/>
    <row r="8921" customFormat="1"/>
    <row r="8922" customFormat="1"/>
    <row r="8923" customFormat="1"/>
    <row r="8924" customFormat="1"/>
    <row r="8925" customFormat="1"/>
    <row r="8926" customFormat="1"/>
    <row r="8927" customFormat="1"/>
    <row r="8928" customFormat="1"/>
    <row r="8929" customFormat="1"/>
    <row r="8930" customFormat="1"/>
    <row r="8931" customFormat="1"/>
    <row r="8932" customFormat="1"/>
    <row r="8933" customFormat="1"/>
    <row r="8934" customFormat="1"/>
    <row r="8935" customFormat="1"/>
    <row r="8936" customFormat="1"/>
    <row r="8937" customFormat="1"/>
    <row r="8938" customFormat="1"/>
    <row r="8939" customFormat="1"/>
    <row r="8940" customFormat="1"/>
    <row r="8941" customFormat="1"/>
    <row r="8942" customFormat="1"/>
    <row r="8943" customFormat="1"/>
    <row r="8944" customFormat="1"/>
    <row r="8945" customFormat="1"/>
    <row r="8946" customFormat="1"/>
    <row r="8947" customFormat="1"/>
    <row r="8948" customFormat="1"/>
    <row r="8949" customFormat="1"/>
    <row r="8950" customFormat="1"/>
    <row r="8951" customFormat="1"/>
    <row r="8952" customFormat="1"/>
    <row r="8953" customFormat="1"/>
    <row r="8954" customFormat="1"/>
    <row r="8955" customFormat="1"/>
    <row r="8956" customFormat="1"/>
    <row r="8957" customFormat="1"/>
    <row r="8958" customFormat="1"/>
    <row r="8959" customFormat="1"/>
    <row r="8960" customFormat="1"/>
    <row r="8961" customFormat="1"/>
    <row r="8962" customFormat="1"/>
    <row r="8963" customFormat="1"/>
    <row r="8964" customFormat="1"/>
    <row r="8965" customFormat="1"/>
    <row r="8966" customFormat="1"/>
    <row r="8967" customFormat="1"/>
    <row r="8968" customFormat="1"/>
    <row r="8969" customFormat="1"/>
    <row r="8970" customFormat="1"/>
    <row r="8971" customFormat="1"/>
    <row r="8972" customFormat="1"/>
    <row r="8973" customFormat="1"/>
    <row r="8974" customFormat="1"/>
    <row r="8975" customFormat="1"/>
    <row r="8976" customFormat="1"/>
    <row r="8977" customFormat="1"/>
    <row r="8978" customFormat="1"/>
    <row r="8979" customFormat="1"/>
    <row r="8980" customFormat="1"/>
    <row r="8981" customFormat="1"/>
    <row r="8982" customFormat="1"/>
    <row r="8983" customFormat="1"/>
    <row r="8984" customFormat="1"/>
    <row r="8985" customFormat="1"/>
    <row r="8986" customFormat="1"/>
    <row r="8987" customFormat="1"/>
    <row r="8988" customFormat="1"/>
    <row r="8989" customFormat="1"/>
    <row r="8990" customFormat="1"/>
    <row r="8991" customFormat="1"/>
    <row r="8992" customFormat="1"/>
    <row r="8993" customFormat="1"/>
    <row r="8994" customFormat="1"/>
    <row r="8995" customFormat="1"/>
    <row r="8996" customFormat="1"/>
    <row r="8997" customFormat="1"/>
    <row r="8998" customFormat="1"/>
    <row r="8999" customFormat="1"/>
    <row r="9000" customFormat="1"/>
    <row r="9001" customFormat="1"/>
    <row r="9002" customFormat="1"/>
    <row r="9003" customFormat="1"/>
    <row r="9004" customFormat="1"/>
    <row r="9005" customFormat="1"/>
    <row r="9006" customFormat="1"/>
    <row r="9007" customFormat="1"/>
    <row r="9008" customFormat="1"/>
    <row r="9009" customFormat="1"/>
    <row r="9010" customFormat="1"/>
    <row r="9011" customFormat="1"/>
    <row r="9012" customFormat="1"/>
    <row r="9013" customFormat="1"/>
    <row r="9014" customFormat="1"/>
    <row r="9015" customFormat="1"/>
    <row r="9016" customFormat="1"/>
    <row r="9017" customFormat="1"/>
    <row r="9018" customFormat="1"/>
    <row r="9019" customFormat="1"/>
    <row r="9020" customFormat="1"/>
    <row r="9021" customFormat="1"/>
    <row r="9022" customFormat="1"/>
    <row r="9023" customFormat="1"/>
    <row r="9024" customFormat="1"/>
    <row r="9025" customFormat="1"/>
    <row r="9026" customFormat="1"/>
    <row r="9027" customFormat="1"/>
    <row r="9028" customFormat="1"/>
    <row r="9029" customFormat="1"/>
    <row r="9030" customFormat="1"/>
    <row r="9031" customFormat="1"/>
    <row r="9032" customFormat="1"/>
    <row r="9033" customFormat="1"/>
    <row r="9034" customFormat="1"/>
    <row r="9035" customFormat="1"/>
    <row r="9036" customFormat="1"/>
    <row r="9037" customFormat="1"/>
    <row r="9038" customFormat="1"/>
    <row r="9039" customFormat="1"/>
    <row r="9040" customFormat="1"/>
    <row r="9041" customFormat="1"/>
    <row r="9042" customFormat="1"/>
    <row r="9043" customFormat="1"/>
    <row r="9044" customFormat="1"/>
    <row r="9045" customFormat="1"/>
    <row r="9046" customFormat="1"/>
    <row r="9047" customFormat="1"/>
    <row r="9048" customFormat="1"/>
    <row r="9049" customFormat="1"/>
    <row r="9050" customFormat="1"/>
    <row r="9051" customFormat="1"/>
    <row r="9052" customFormat="1"/>
    <row r="9053" customFormat="1"/>
    <row r="9054" customFormat="1"/>
    <row r="9055" customFormat="1"/>
    <row r="9056" customFormat="1"/>
    <row r="9057" customFormat="1"/>
    <row r="9058" customFormat="1"/>
    <row r="9059" customFormat="1"/>
    <row r="9060" customFormat="1"/>
    <row r="9061" customFormat="1"/>
    <row r="9062" customFormat="1"/>
    <row r="9063" customFormat="1"/>
    <row r="9064" customFormat="1"/>
    <row r="9065" customFormat="1"/>
    <row r="9066" customFormat="1"/>
    <row r="9067" customFormat="1"/>
    <row r="9068" customFormat="1"/>
    <row r="9069" customFormat="1"/>
    <row r="9070" customFormat="1"/>
    <row r="9071" customFormat="1"/>
    <row r="9072" customFormat="1"/>
    <row r="9073" customFormat="1"/>
    <row r="9074" customFormat="1"/>
    <row r="9075" customFormat="1"/>
    <row r="9076" customFormat="1"/>
    <row r="9077" customFormat="1"/>
    <row r="9078" customFormat="1"/>
    <row r="9079" customFormat="1"/>
    <row r="9080" customFormat="1"/>
    <row r="9081" customFormat="1"/>
    <row r="9082" customFormat="1"/>
    <row r="9083" customFormat="1"/>
    <row r="9084" customFormat="1"/>
    <row r="9085" customFormat="1"/>
    <row r="9086" customFormat="1"/>
    <row r="9087" customFormat="1"/>
    <row r="9088" customFormat="1"/>
    <row r="9089" customFormat="1"/>
    <row r="9090" customFormat="1"/>
    <row r="9091" customFormat="1"/>
    <row r="9092" customFormat="1"/>
    <row r="9093" customFormat="1"/>
    <row r="9094" customFormat="1"/>
    <row r="9095" customFormat="1"/>
    <row r="9096" customFormat="1"/>
    <row r="9097" customFormat="1"/>
    <row r="9098" customFormat="1"/>
    <row r="9099" customFormat="1"/>
    <row r="9100" customFormat="1"/>
    <row r="9101" customFormat="1"/>
    <row r="9102" customFormat="1"/>
    <row r="9103" customFormat="1"/>
    <row r="9104" customFormat="1"/>
    <row r="9105" customFormat="1"/>
    <row r="9106" customFormat="1"/>
    <row r="9107" customFormat="1"/>
    <row r="9108" customFormat="1"/>
    <row r="9109" customFormat="1"/>
    <row r="9110" customFormat="1"/>
    <row r="9111" customFormat="1"/>
    <row r="9112" customFormat="1"/>
    <row r="9113" customFormat="1"/>
    <row r="9114" customFormat="1"/>
    <row r="9115" customFormat="1"/>
    <row r="9116" customFormat="1"/>
    <row r="9117" customFormat="1"/>
    <row r="9118" customFormat="1"/>
    <row r="9119" customFormat="1"/>
    <row r="9120" customFormat="1"/>
    <row r="9121" customFormat="1"/>
    <row r="9122" customFormat="1"/>
    <row r="9123" customFormat="1"/>
    <row r="9124" customFormat="1"/>
    <row r="9125" customFormat="1"/>
    <row r="9126" customFormat="1"/>
    <row r="9127" customFormat="1"/>
    <row r="9128" customFormat="1"/>
    <row r="9129" customFormat="1"/>
    <row r="9130" customFormat="1"/>
    <row r="9131" customFormat="1"/>
    <row r="9132" customFormat="1"/>
    <row r="9133" customFormat="1"/>
    <row r="9134" customFormat="1"/>
    <row r="9135" customFormat="1"/>
    <row r="9136" customFormat="1"/>
    <row r="9137" customFormat="1"/>
    <row r="9138" customFormat="1"/>
    <row r="9139" customFormat="1"/>
    <row r="9140" customFormat="1"/>
    <row r="9141" customFormat="1"/>
    <row r="9142" customFormat="1"/>
    <row r="9143" customFormat="1"/>
    <row r="9144" customFormat="1"/>
    <row r="9145" customFormat="1"/>
    <row r="9146" customFormat="1"/>
    <row r="9147" customFormat="1"/>
    <row r="9148" customFormat="1"/>
    <row r="9149" customFormat="1"/>
    <row r="9150" customFormat="1"/>
    <row r="9151" customFormat="1"/>
    <row r="9152" customFormat="1"/>
    <row r="9153" customFormat="1"/>
    <row r="9154" customFormat="1"/>
    <row r="9155" customFormat="1"/>
    <row r="9156" customFormat="1"/>
    <row r="9157" customFormat="1"/>
    <row r="9158" customFormat="1"/>
    <row r="9159" customFormat="1"/>
    <row r="9160" customFormat="1"/>
    <row r="9161" customFormat="1"/>
    <row r="9162" customFormat="1"/>
    <row r="9163" customFormat="1"/>
    <row r="9164" customFormat="1"/>
    <row r="9165" customFormat="1"/>
    <row r="9166" customFormat="1"/>
    <row r="9167" customFormat="1"/>
    <row r="9168" customFormat="1"/>
    <row r="9169" customFormat="1"/>
    <row r="9170" customFormat="1"/>
    <row r="9171" customFormat="1"/>
    <row r="9172" customFormat="1"/>
    <row r="9173" customFormat="1"/>
    <row r="9174" customFormat="1"/>
    <row r="9175" customFormat="1"/>
    <row r="9176" customFormat="1"/>
    <row r="9177" customFormat="1"/>
    <row r="9178" customFormat="1"/>
    <row r="9179" customFormat="1"/>
    <row r="9180" customFormat="1"/>
    <row r="9181" customFormat="1"/>
    <row r="9182" customFormat="1"/>
    <row r="9183" customFormat="1"/>
    <row r="9184" customFormat="1"/>
    <row r="9185" customFormat="1"/>
    <row r="9186" customFormat="1"/>
    <row r="9187" customFormat="1"/>
    <row r="9188" customFormat="1"/>
    <row r="9189" customFormat="1"/>
    <row r="9190" customFormat="1"/>
    <row r="9191" customFormat="1"/>
    <row r="9192" customFormat="1"/>
    <row r="9193" customFormat="1"/>
    <row r="9194" customFormat="1"/>
    <row r="9195" customFormat="1"/>
    <row r="9196" customFormat="1"/>
    <row r="9197" customFormat="1"/>
    <row r="9198" customFormat="1"/>
    <row r="9199" customFormat="1"/>
    <row r="9200" customFormat="1"/>
    <row r="9201" customFormat="1"/>
    <row r="9202" customFormat="1"/>
    <row r="9203" customFormat="1"/>
    <row r="9204" customFormat="1"/>
    <row r="9205" customFormat="1"/>
    <row r="9206" customFormat="1"/>
    <row r="9207" customFormat="1"/>
    <row r="9208" customFormat="1"/>
    <row r="9209" customFormat="1"/>
    <row r="9210" customFormat="1"/>
    <row r="9211" customFormat="1"/>
    <row r="9212" customFormat="1"/>
    <row r="9213" customFormat="1"/>
    <row r="9214" customFormat="1"/>
    <row r="9215" customFormat="1"/>
    <row r="9216" customFormat="1"/>
    <row r="9217" customFormat="1"/>
    <row r="9218" customFormat="1"/>
    <row r="9219" customFormat="1"/>
    <row r="9220" customFormat="1"/>
    <row r="9221" customFormat="1"/>
    <row r="9222" customFormat="1"/>
    <row r="9223" customFormat="1"/>
    <row r="9224" customFormat="1"/>
    <row r="9225" customFormat="1"/>
    <row r="9226" customFormat="1"/>
    <row r="9227" customFormat="1"/>
    <row r="9228" customFormat="1"/>
    <row r="9229" customFormat="1"/>
    <row r="9230" customFormat="1"/>
    <row r="9231" customFormat="1"/>
    <row r="9232" customFormat="1"/>
    <row r="9233" customFormat="1"/>
    <row r="9234" customFormat="1"/>
    <row r="9235" customFormat="1"/>
    <row r="9236" customFormat="1"/>
    <row r="9237" customFormat="1"/>
    <row r="9238" customFormat="1"/>
    <row r="9239" customFormat="1"/>
    <row r="9240" customFormat="1"/>
    <row r="9241" customFormat="1"/>
    <row r="9242" customFormat="1"/>
    <row r="9243" customFormat="1"/>
    <row r="9244" customFormat="1"/>
    <row r="9245" customFormat="1"/>
    <row r="9246" customFormat="1"/>
    <row r="9247" customFormat="1"/>
    <row r="9248" customFormat="1"/>
    <row r="9249" customFormat="1"/>
    <row r="9250" customFormat="1"/>
    <row r="9251" customFormat="1"/>
    <row r="9252" customFormat="1"/>
    <row r="9253" customFormat="1"/>
    <row r="9254" customFormat="1"/>
    <row r="9255" customFormat="1"/>
    <row r="9256" customFormat="1"/>
    <row r="9257" customFormat="1"/>
    <row r="9258" customFormat="1"/>
    <row r="9259" customFormat="1"/>
    <row r="9260" customFormat="1"/>
    <row r="9261" customFormat="1"/>
    <row r="9262" customFormat="1"/>
    <row r="9263" customFormat="1"/>
    <row r="9264" customFormat="1"/>
    <row r="9265" customFormat="1"/>
    <row r="9266" customFormat="1"/>
    <row r="9267" customFormat="1"/>
    <row r="9268" customFormat="1"/>
    <row r="9269" customFormat="1"/>
    <row r="9270" customFormat="1"/>
    <row r="9271" customFormat="1"/>
    <row r="9272" customFormat="1"/>
    <row r="9273" customFormat="1"/>
    <row r="9274" customFormat="1"/>
    <row r="9275" customFormat="1"/>
    <row r="9276" customFormat="1"/>
    <row r="9277" customFormat="1"/>
    <row r="9278" customFormat="1"/>
    <row r="9279" customFormat="1"/>
    <row r="9280" customFormat="1"/>
    <row r="9281" customFormat="1"/>
    <row r="9282" customFormat="1"/>
    <row r="9283" customFormat="1"/>
    <row r="9284" customFormat="1"/>
    <row r="9285" customFormat="1"/>
    <row r="9286" customFormat="1"/>
    <row r="9287" customFormat="1"/>
    <row r="9288" customFormat="1"/>
    <row r="9289" customFormat="1"/>
    <row r="9290" customFormat="1"/>
    <row r="9291" customFormat="1"/>
    <row r="9292" customFormat="1"/>
    <row r="9293" customFormat="1"/>
    <row r="9294" customFormat="1"/>
    <row r="9295" customFormat="1"/>
    <row r="9296" customFormat="1"/>
    <row r="9297" customFormat="1"/>
    <row r="9298" customFormat="1"/>
    <row r="9299" customFormat="1"/>
    <row r="9300" customFormat="1"/>
    <row r="9301" customFormat="1"/>
    <row r="9302" customFormat="1"/>
    <row r="9303" customFormat="1"/>
    <row r="9304" customFormat="1"/>
    <row r="9305" customFormat="1"/>
    <row r="9306" customFormat="1"/>
    <row r="9307" customFormat="1"/>
    <row r="9308" customFormat="1"/>
    <row r="9309" customFormat="1"/>
    <row r="9310" customFormat="1"/>
    <row r="9311" customFormat="1"/>
    <row r="9312" customFormat="1"/>
    <row r="9313" customFormat="1"/>
    <row r="9314" customFormat="1"/>
    <row r="9315" customFormat="1"/>
    <row r="9316" customFormat="1"/>
    <row r="9317" customFormat="1"/>
    <row r="9318" customFormat="1"/>
    <row r="9319" customFormat="1"/>
    <row r="9320" customFormat="1"/>
    <row r="9321" customFormat="1"/>
    <row r="9322" customFormat="1"/>
    <row r="9323" customFormat="1"/>
    <row r="9324" customFormat="1"/>
    <row r="9325" customFormat="1"/>
    <row r="9326" customFormat="1"/>
    <row r="9327" customFormat="1"/>
    <row r="9328" customFormat="1"/>
    <row r="9329" customFormat="1"/>
    <row r="9330" customFormat="1"/>
    <row r="9331" customFormat="1"/>
    <row r="9332" customFormat="1"/>
    <row r="9333" customFormat="1"/>
    <row r="9334" customFormat="1"/>
    <row r="9335" customFormat="1"/>
    <row r="9336" customFormat="1"/>
    <row r="9337" customFormat="1"/>
    <row r="9338" customFormat="1"/>
    <row r="9339" customFormat="1"/>
    <row r="9340" customFormat="1"/>
    <row r="9341" customFormat="1"/>
    <row r="9342" customFormat="1"/>
    <row r="9343" customFormat="1"/>
    <row r="9344" customFormat="1"/>
    <row r="9345" customFormat="1"/>
    <row r="9346" customFormat="1"/>
    <row r="9347" customFormat="1"/>
    <row r="9348" customFormat="1"/>
    <row r="9349" customFormat="1"/>
    <row r="9350" customFormat="1"/>
    <row r="9351" customFormat="1"/>
    <row r="9352" customFormat="1"/>
    <row r="9353" customFormat="1"/>
    <row r="9354" customFormat="1"/>
    <row r="9355" customFormat="1"/>
    <row r="9356" customFormat="1"/>
    <row r="9357" customFormat="1"/>
    <row r="9358" customFormat="1"/>
    <row r="9359" customFormat="1"/>
    <row r="9360" customFormat="1"/>
    <row r="9361" customFormat="1"/>
    <row r="9362" customFormat="1"/>
    <row r="9363" customFormat="1"/>
    <row r="9364" customFormat="1"/>
    <row r="9365" customFormat="1"/>
    <row r="9366" customFormat="1"/>
    <row r="9367" customFormat="1"/>
    <row r="9368" customFormat="1"/>
    <row r="9369" customFormat="1"/>
    <row r="9370" customFormat="1"/>
    <row r="9371" customFormat="1"/>
    <row r="9372" customFormat="1"/>
    <row r="9373" customFormat="1"/>
    <row r="9374" customFormat="1"/>
    <row r="9375" customFormat="1"/>
    <row r="9376" customFormat="1"/>
    <row r="9377" customFormat="1"/>
    <row r="9378" customFormat="1"/>
    <row r="9379" customFormat="1"/>
    <row r="9380" customFormat="1"/>
    <row r="9381" customFormat="1"/>
    <row r="9382" customFormat="1"/>
    <row r="9383" customFormat="1"/>
    <row r="9384" customFormat="1"/>
    <row r="9385" customFormat="1"/>
    <row r="9386" customFormat="1"/>
    <row r="9387" customFormat="1"/>
    <row r="9388" customFormat="1"/>
    <row r="9389" customFormat="1"/>
    <row r="9390" customFormat="1"/>
    <row r="9391" customFormat="1"/>
    <row r="9392" customFormat="1"/>
    <row r="9393" customFormat="1"/>
    <row r="9394" customFormat="1"/>
    <row r="9395" customFormat="1"/>
    <row r="9396" customFormat="1"/>
    <row r="9397" customFormat="1"/>
    <row r="9398" customFormat="1"/>
    <row r="9399" customFormat="1"/>
    <row r="9400" customFormat="1"/>
    <row r="9401" customFormat="1"/>
    <row r="9402" customFormat="1"/>
    <row r="9403" customFormat="1"/>
    <row r="9404" customFormat="1"/>
    <row r="9405" customFormat="1"/>
    <row r="9406" customFormat="1"/>
    <row r="9407" customFormat="1"/>
    <row r="9408" customFormat="1"/>
    <row r="9409" customFormat="1"/>
    <row r="9410" customFormat="1"/>
    <row r="9411" customFormat="1"/>
    <row r="9412" customFormat="1"/>
    <row r="9413" customFormat="1"/>
    <row r="9414" customFormat="1"/>
    <row r="9415" customFormat="1"/>
    <row r="9416" customFormat="1"/>
    <row r="9417" customFormat="1"/>
    <row r="9418" customFormat="1"/>
    <row r="9419" customFormat="1"/>
    <row r="9420" customFormat="1"/>
    <row r="9421" customFormat="1"/>
    <row r="9422" customFormat="1"/>
    <row r="9423" customFormat="1"/>
    <row r="9424" customFormat="1"/>
    <row r="9425" customFormat="1"/>
    <row r="9426" customFormat="1"/>
    <row r="9427" customFormat="1"/>
    <row r="9428" customFormat="1"/>
    <row r="9429" customFormat="1"/>
    <row r="9430" customFormat="1"/>
    <row r="9431" customFormat="1"/>
    <row r="9432" customFormat="1"/>
    <row r="9433" customFormat="1"/>
    <row r="9434" customFormat="1"/>
    <row r="9435" customFormat="1"/>
    <row r="9436" customFormat="1"/>
    <row r="9437" customFormat="1"/>
    <row r="9438" customFormat="1"/>
    <row r="9439" customFormat="1"/>
    <row r="9440" customFormat="1"/>
    <row r="9441" customFormat="1"/>
    <row r="9442" customFormat="1"/>
    <row r="9443" customFormat="1"/>
    <row r="9444" customFormat="1"/>
    <row r="9445" customFormat="1"/>
    <row r="9446" customFormat="1"/>
    <row r="9447" customFormat="1"/>
    <row r="9448" customFormat="1"/>
    <row r="9449" customFormat="1"/>
    <row r="9450" customFormat="1"/>
    <row r="9451" customFormat="1"/>
    <row r="9452" customFormat="1"/>
    <row r="9453" customFormat="1"/>
    <row r="9454" customFormat="1"/>
    <row r="9455" customFormat="1"/>
    <row r="9456" customFormat="1"/>
    <row r="9457" customFormat="1"/>
    <row r="9458" customFormat="1"/>
    <row r="9459" customFormat="1"/>
    <row r="9460" customFormat="1"/>
    <row r="9461" customFormat="1"/>
    <row r="9462" customFormat="1"/>
    <row r="9463" customFormat="1"/>
    <row r="9464" customFormat="1"/>
    <row r="9465" customFormat="1"/>
    <row r="9466" customFormat="1"/>
    <row r="9467" customFormat="1"/>
    <row r="9468" customFormat="1"/>
    <row r="9469" customFormat="1"/>
    <row r="9470" customFormat="1"/>
    <row r="9471" customFormat="1"/>
    <row r="9472" customFormat="1"/>
    <row r="9473" customFormat="1"/>
    <row r="9474" customFormat="1"/>
    <row r="9475" customFormat="1"/>
    <row r="9476" customFormat="1"/>
    <row r="9477" customFormat="1"/>
    <row r="9478" customFormat="1"/>
    <row r="9479" customFormat="1"/>
    <row r="9480" customFormat="1"/>
    <row r="9481" customFormat="1"/>
    <row r="9482" customFormat="1"/>
    <row r="9483" customFormat="1"/>
    <row r="9484" customFormat="1"/>
    <row r="9485" customFormat="1"/>
    <row r="9486" customFormat="1"/>
    <row r="9487" customFormat="1"/>
    <row r="9488" customFormat="1"/>
    <row r="9489" customFormat="1"/>
    <row r="9490" customFormat="1"/>
    <row r="9491" customFormat="1"/>
    <row r="9492" customFormat="1"/>
    <row r="9493" customFormat="1"/>
    <row r="9494" customFormat="1"/>
    <row r="9495" customFormat="1"/>
    <row r="9496" customFormat="1"/>
    <row r="9497" customFormat="1"/>
    <row r="9498" customFormat="1"/>
    <row r="9499" customFormat="1"/>
    <row r="9500" customFormat="1"/>
    <row r="9501" customFormat="1"/>
    <row r="9502" customFormat="1"/>
    <row r="9503" customFormat="1"/>
    <row r="9504" customFormat="1"/>
    <row r="9505" customFormat="1"/>
    <row r="9506" customFormat="1"/>
    <row r="9507" customFormat="1"/>
    <row r="9508" customFormat="1"/>
    <row r="9509" customFormat="1"/>
    <row r="9510" customFormat="1"/>
    <row r="9511" customFormat="1"/>
    <row r="9512" customFormat="1"/>
    <row r="9513" customFormat="1"/>
    <row r="9514" customFormat="1"/>
    <row r="9515" customFormat="1"/>
    <row r="9516" customFormat="1"/>
    <row r="9517" customFormat="1"/>
    <row r="9518" customFormat="1"/>
    <row r="9519" customFormat="1"/>
    <row r="9520" customFormat="1"/>
    <row r="9521" customFormat="1"/>
    <row r="9522" customFormat="1"/>
    <row r="9523" customFormat="1"/>
    <row r="9524" customFormat="1"/>
    <row r="9525" customFormat="1"/>
    <row r="9526" customFormat="1"/>
    <row r="9527" customFormat="1"/>
    <row r="9528" customFormat="1"/>
    <row r="9529" customFormat="1"/>
    <row r="9530" customFormat="1"/>
    <row r="9531" customFormat="1"/>
    <row r="9532" customFormat="1"/>
    <row r="9533" customFormat="1"/>
    <row r="9534" customFormat="1"/>
    <row r="9535" customFormat="1"/>
    <row r="9536" customFormat="1"/>
    <row r="9537" customFormat="1"/>
    <row r="9538" customFormat="1"/>
    <row r="9539" customFormat="1"/>
    <row r="9540" customFormat="1"/>
    <row r="9541" customFormat="1"/>
    <row r="9542" customFormat="1"/>
    <row r="9543" customFormat="1"/>
    <row r="9544" customFormat="1"/>
    <row r="9545" customFormat="1"/>
    <row r="9546" customFormat="1"/>
    <row r="9547" customFormat="1"/>
    <row r="9548" customFormat="1"/>
    <row r="9549" customFormat="1"/>
    <row r="9550" customFormat="1"/>
    <row r="9551" customFormat="1"/>
    <row r="9552" customFormat="1"/>
    <row r="9553" customFormat="1"/>
    <row r="9554" customFormat="1"/>
    <row r="9555" customFormat="1"/>
    <row r="9556" customFormat="1"/>
    <row r="9557" customFormat="1"/>
    <row r="9558" customFormat="1"/>
    <row r="9559" customFormat="1"/>
    <row r="9560" customFormat="1"/>
    <row r="9561" customFormat="1"/>
    <row r="9562" customFormat="1"/>
    <row r="9563" customFormat="1"/>
    <row r="9564" customFormat="1"/>
    <row r="9565" customFormat="1"/>
    <row r="9566" customFormat="1"/>
    <row r="9567" customFormat="1"/>
    <row r="9568" customFormat="1"/>
    <row r="9569" customFormat="1"/>
    <row r="9570" customFormat="1"/>
    <row r="9571" customFormat="1"/>
    <row r="9572" customFormat="1"/>
    <row r="9573" customFormat="1"/>
    <row r="9574" customFormat="1"/>
    <row r="9575" customFormat="1"/>
    <row r="9576" customFormat="1"/>
    <row r="9577" customFormat="1"/>
    <row r="9578" customFormat="1"/>
    <row r="9579" customFormat="1"/>
    <row r="9580" customFormat="1"/>
    <row r="9581" customFormat="1"/>
    <row r="9582" customFormat="1"/>
    <row r="9583" customFormat="1"/>
    <row r="9584" customFormat="1"/>
    <row r="9585" customFormat="1"/>
    <row r="9586" customFormat="1"/>
    <row r="9587" customFormat="1"/>
    <row r="9588" customFormat="1"/>
    <row r="9589" customFormat="1"/>
    <row r="9590" customFormat="1"/>
    <row r="9591" customFormat="1"/>
    <row r="9592" customFormat="1"/>
    <row r="9593" customFormat="1"/>
    <row r="9594" customFormat="1"/>
    <row r="9595" customFormat="1"/>
    <row r="9596" customFormat="1"/>
    <row r="9597" customFormat="1"/>
    <row r="9598" customFormat="1"/>
    <row r="9599" customFormat="1"/>
    <row r="9600" customFormat="1"/>
    <row r="9601" customFormat="1"/>
    <row r="9602" customFormat="1"/>
    <row r="9603" customFormat="1"/>
    <row r="9604" customFormat="1"/>
    <row r="9605" customFormat="1"/>
    <row r="9606" customFormat="1"/>
    <row r="9607" customFormat="1"/>
    <row r="9608" customFormat="1"/>
    <row r="9609" customFormat="1"/>
    <row r="9610" customFormat="1"/>
    <row r="9611" customFormat="1"/>
    <row r="9612" customFormat="1"/>
    <row r="9613" customFormat="1"/>
    <row r="9614" customFormat="1"/>
    <row r="9615" customFormat="1"/>
    <row r="9616" customFormat="1"/>
    <row r="9617" customFormat="1"/>
    <row r="9618" customFormat="1"/>
    <row r="9619" customFormat="1"/>
    <row r="9620" customFormat="1"/>
    <row r="9621" customFormat="1"/>
    <row r="9622" customFormat="1"/>
    <row r="9623" customFormat="1"/>
    <row r="9624" customFormat="1"/>
    <row r="9625" customFormat="1"/>
    <row r="9626" customFormat="1"/>
    <row r="9627" customFormat="1"/>
    <row r="9628" customFormat="1"/>
    <row r="9629" customFormat="1"/>
    <row r="9630" customFormat="1"/>
    <row r="9631" customFormat="1"/>
    <row r="9632" customFormat="1"/>
    <row r="9633" customFormat="1"/>
    <row r="9634" customFormat="1"/>
    <row r="9635" customFormat="1"/>
    <row r="9636" customFormat="1"/>
    <row r="9637" customFormat="1"/>
    <row r="9638" customFormat="1"/>
    <row r="9639" customFormat="1"/>
    <row r="9640" customFormat="1"/>
    <row r="9641" customFormat="1"/>
    <row r="9642" customFormat="1"/>
    <row r="9643" customFormat="1"/>
    <row r="9644" customFormat="1"/>
    <row r="9645" customFormat="1"/>
    <row r="9646" customFormat="1"/>
    <row r="9647" customFormat="1"/>
    <row r="9648" customFormat="1"/>
    <row r="9649" customFormat="1"/>
    <row r="9650" customFormat="1"/>
    <row r="9651" customFormat="1"/>
    <row r="9652" customFormat="1"/>
    <row r="9653" customFormat="1"/>
    <row r="9654" customFormat="1"/>
    <row r="9655" customFormat="1"/>
    <row r="9656" customFormat="1"/>
    <row r="9657" customFormat="1"/>
    <row r="9658" customFormat="1"/>
    <row r="9659" customFormat="1"/>
    <row r="9660" customFormat="1"/>
    <row r="9661" customFormat="1"/>
    <row r="9662" customFormat="1"/>
    <row r="9663" customFormat="1"/>
    <row r="9664" customFormat="1"/>
    <row r="9665" customFormat="1"/>
    <row r="9666" customFormat="1"/>
    <row r="9667" customFormat="1"/>
    <row r="9668" customFormat="1"/>
    <row r="9669" customFormat="1"/>
    <row r="9670" customFormat="1"/>
    <row r="9671" customFormat="1"/>
    <row r="9672" customFormat="1"/>
    <row r="9673" customFormat="1"/>
    <row r="9674" customFormat="1"/>
    <row r="9675" customFormat="1"/>
    <row r="9676" customFormat="1"/>
    <row r="9677" customFormat="1"/>
    <row r="9678" customFormat="1"/>
    <row r="9679" customFormat="1"/>
    <row r="9680" customFormat="1"/>
    <row r="9681" customFormat="1"/>
    <row r="9682" customFormat="1"/>
    <row r="9683" customFormat="1"/>
    <row r="9684" customFormat="1"/>
    <row r="9685" customFormat="1"/>
    <row r="9686" customFormat="1"/>
    <row r="9687" customFormat="1"/>
    <row r="9688" customFormat="1"/>
    <row r="9689" customFormat="1"/>
    <row r="9690" customFormat="1"/>
    <row r="9691" customFormat="1"/>
    <row r="9692" customFormat="1"/>
    <row r="9693" customFormat="1"/>
    <row r="9694" customFormat="1"/>
    <row r="9695" customFormat="1"/>
    <row r="9696" customFormat="1"/>
    <row r="9697" customFormat="1"/>
    <row r="9698" customFormat="1"/>
    <row r="9699" customFormat="1"/>
    <row r="9700" customFormat="1"/>
    <row r="9701" customFormat="1"/>
    <row r="9702" customFormat="1"/>
    <row r="9703" customFormat="1"/>
    <row r="9704" customFormat="1"/>
    <row r="9705" customFormat="1"/>
    <row r="9706" customFormat="1"/>
    <row r="9707" customFormat="1"/>
    <row r="9708" customFormat="1"/>
    <row r="9709" customFormat="1"/>
    <row r="9710" customFormat="1"/>
    <row r="9711" customFormat="1"/>
    <row r="9712" customFormat="1"/>
    <row r="9713" customFormat="1"/>
    <row r="9714" customFormat="1"/>
    <row r="9715" customFormat="1"/>
    <row r="9716" customFormat="1"/>
    <row r="9717" customFormat="1"/>
    <row r="9718" customFormat="1"/>
    <row r="9719" customFormat="1"/>
    <row r="9720" customFormat="1"/>
    <row r="9721" customFormat="1"/>
    <row r="9722" customFormat="1"/>
    <row r="9723" customFormat="1"/>
    <row r="9724" customFormat="1"/>
    <row r="9725" customFormat="1"/>
    <row r="9726" customFormat="1"/>
    <row r="9727" customFormat="1"/>
    <row r="9728" customFormat="1"/>
    <row r="9729" customFormat="1"/>
    <row r="9730" customFormat="1"/>
    <row r="9731" customFormat="1"/>
    <row r="9732" customFormat="1"/>
    <row r="9733" customFormat="1"/>
    <row r="9734" customFormat="1"/>
    <row r="9735" customFormat="1"/>
    <row r="9736" customFormat="1"/>
    <row r="9737" customFormat="1"/>
    <row r="9738" customFormat="1"/>
    <row r="9739" customFormat="1"/>
    <row r="9740" customFormat="1"/>
    <row r="9741" customFormat="1"/>
    <row r="9742" customFormat="1"/>
    <row r="9743" customFormat="1"/>
    <row r="9744" customFormat="1"/>
    <row r="9745" customFormat="1"/>
    <row r="9746" customFormat="1"/>
    <row r="9747" customFormat="1"/>
    <row r="9748" customFormat="1"/>
    <row r="9749" customFormat="1"/>
    <row r="9750" customFormat="1"/>
    <row r="9751" customFormat="1"/>
    <row r="9752" customFormat="1"/>
    <row r="9753" customFormat="1"/>
    <row r="9754" customFormat="1"/>
    <row r="9755" customFormat="1"/>
    <row r="9756" customFormat="1"/>
    <row r="9757" customFormat="1"/>
    <row r="9758" customFormat="1"/>
    <row r="9759" customFormat="1"/>
    <row r="9760" customFormat="1"/>
    <row r="9761" customFormat="1"/>
    <row r="9762" customFormat="1"/>
    <row r="9763" customFormat="1"/>
    <row r="9764" customFormat="1"/>
    <row r="9765" customFormat="1"/>
    <row r="9766" customFormat="1"/>
    <row r="9767" customFormat="1"/>
    <row r="9768" customFormat="1"/>
    <row r="9769" customFormat="1"/>
    <row r="9770" customFormat="1"/>
    <row r="9771" customFormat="1"/>
    <row r="9772" customFormat="1"/>
    <row r="9773" customFormat="1"/>
    <row r="9774" customFormat="1"/>
    <row r="9775" customFormat="1"/>
    <row r="9776" customFormat="1"/>
    <row r="9777" customFormat="1"/>
    <row r="9778" customFormat="1"/>
    <row r="9779" customFormat="1"/>
    <row r="9780" customFormat="1"/>
    <row r="9781" customFormat="1"/>
    <row r="9782" customFormat="1"/>
    <row r="9783" customFormat="1"/>
    <row r="9784" customFormat="1"/>
    <row r="9785" customFormat="1"/>
    <row r="9786" customFormat="1"/>
    <row r="9787" customFormat="1"/>
    <row r="9788" customFormat="1"/>
    <row r="9789" customFormat="1"/>
    <row r="9790" customFormat="1"/>
    <row r="9791" customFormat="1"/>
    <row r="9792" customFormat="1"/>
    <row r="9793" customFormat="1"/>
    <row r="9794" customFormat="1"/>
    <row r="9795" customFormat="1"/>
    <row r="9796" customFormat="1"/>
    <row r="9797" customFormat="1"/>
    <row r="9798" customFormat="1"/>
    <row r="9799" customFormat="1"/>
    <row r="9800" customFormat="1"/>
    <row r="9801" customFormat="1"/>
    <row r="9802" customFormat="1"/>
    <row r="9803" customFormat="1"/>
    <row r="9804" customFormat="1"/>
    <row r="9805" customFormat="1"/>
    <row r="9806" customFormat="1"/>
    <row r="9807" customFormat="1"/>
    <row r="9808" customFormat="1"/>
    <row r="9809" customFormat="1"/>
    <row r="9810" customFormat="1"/>
    <row r="9811" customFormat="1"/>
    <row r="9812" customFormat="1"/>
    <row r="9813" customFormat="1"/>
    <row r="9814" customFormat="1"/>
    <row r="9815" customFormat="1"/>
    <row r="9816" customFormat="1"/>
    <row r="9817" customFormat="1"/>
    <row r="9818" customFormat="1"/>
    <row r="9819" customFormat="1"/>
    <row r="9820" customFormat="1"/>
    <row r="9821" customFormat="1"/>
    <row r="9822" customFormat="1"/>
    <row r="9823" customFormat="1"/>
    <row r="9824" customFormat="1"/>
    <row r="9825" customFormat="1"/>
    <row r="9826" customFormat="1"/>
    <row r="9827" customFormat="1"/>
    <row r="9828" customFormat="1"/>
    <row r="9829" customFormat="1"/>
    <row r="9830" customFormat="1"/>
    <row r="9831" customFormat="1"/>
    <row r="9832" customFormat="1"/>
    <row r="9833" customFormat="1"/>
    <row r="9834" customFormat="1"/>
    <row r="9835" customFormat="1"/>
    <row r="9836" customFormat="1"/>
    <row r="9837" customFormat="1"/>
    <row r="9838" customFormat="1"/>
    <row r="9839" customFormat="1"/>
    <row r="9840" customFormat="1"/>
    <row r="9841" customFormat="1"/>
    <row r="9842" customFormat="1"/>
    <row r="9843" customFormat="1"/>
    <row r="9844" customFormat="1"/>
    <row r="9845" customFormat="1"/>
    <row r="9846" customFormat="1"/>
    <row r="9847" customFormat="1"/>
    <row r="9848" customFormat="1"/>
    <row r="9849" customFormat="1"/>
    <row r="9850" customFormat="1"/>
    <row r="9851" customFormat="1"/>
    <row r="9852" customFormat="1"/>
    <row r="9853" customFormat="1"/>
    <row r="9854" customFormat="1"/>
    <row r="9855" customFormat="1"/>
    <row r="9856" customFormat="1"/>
    <row r="9857" customFormat="1"/>
    <row r="9858" customFormat="1"/>
    <row r="9859" customFormat="1"/>
    <row r="9860" customFormat="1"/>
    <row r="9861" customFormat="1"/>
    <row r="9862" customFormat="1"/>
    <row r="9863" customFormat="1"/>
    <row r="9864" customFormat="1"/>
    <row r="9865" customFormat="1"/>
    <row r="9866" customFormat="1"/>
    <row r="9867" customFormat="1"/>
    <row r="9868" customFormat="1"/>
    <row r="9869" customFormat="1"/>
    <row r="9870" customFormat="1"/>
    <row r="9871" customFormat="1"/>
    <row r="9872" customFormat="1"/>
    <row r="9873" customFormat="1"/>
    <row r="9874" customFormat="1"/>
    <row r="9875" customFormat="1"/>
    <row r="9876" customFormat="1"/>
    <row r="9877" customFormat="1"/>
    <row r="9878" customFormat="1"/>
    <row r="9879" customFormat="1"/>
    <row r="9880" customFormat="1"/>
    <row r="9881" customFormat="1"/>
    <row r="9882" customFormat="1"/>
    <row r="9883" customFormat="1"/>
    <row r="9884" customFormat="1"/>
    <row r="9885" customFormat="1"/>
    <row r="9886" customFormat="1"/>
    <row r="9887" customFormat="1"/>
    <row r="9888" customFormat="1"/>
    <row r="9889" customFormat="1"/>
    <row r="9890" customFormat="1"/>
    <row r="9891" customFormat="1"/>
    <row r="9892" customFormat="1"/>
    <row r="9893" customFormat="1"/>
    <row r="9894" customFormat="1"/>
    <row r="9895" customFormat="1"/>
    <row r="9896" customFormat="1"/>
    <row r="9897" customFormat="1"/>
    <row r="9898" customFormat="1"/>
    <row r="9899" customFormat="1"/>
    <row r="9900" customFormat="1"/>
    <row r="9901" customFormat="1"/>
    <row r="9902" customFormat="1"/>
    <row r="9903" customFormat="1"/>
    <row r="9904" customFormat="1"/>
    <row r="9905" customFormat="1"/>
    <row r="9906" customFormat="1"/>
    <row r="9907" customFormat="1"/>
    <row r="9908" customFormat="1"/>
    <row r="9909" customFormat="1"/>
    <row r="9910" customFormat="1"/>
    <row r="9911" customFormat="1"/>
    <row r="9912" customFormat="1"/>
    <row r="9913" customFormat="1"/>
    <row r="9914" customFormat="1"/>
    <row r="9915" customFormat="1"/>
    <row r="9916" customFormat="1"/>
    <row r="9917" customFormat="1"/>
    <row r="9918" customFormat="1"/>
    <row r="9919" customFormat="1"/>
    <row r="9920" customFormat="1"/>
    <row r="9921" customFormat="1"/>
    <row r="9922" customFormat="1"/>
    <row r="9923" customFormat="1"/>
    <row r="9924" customFormat="1"/>
    <row r="9925" customFormat="1"/>
    <row r="9926" customFormat="1"/>
    <row r="9927" customFormat="1"/>
    <row r="9928" customFormat="1"/>
    <row r="9929" customFormat="1"/>
    <row r="9930" customFormat="1"/>
    <row r="9931" customFormat="1"/>
    <row r="9932" customFormat="1"/>
    <row r="9933" customFormat="1"/>
    <row r="9934" customFormat="1"/>
    <row r="9935" customFormat="1"/>
    <row r="9936" customFormat="1"/>
    <row r="9937" customFormat="1"/>
    <row r="9938" customFormat="1"/>
    <row r="9939" customFormat="1"/>
    <row r="9940" customFormat="1"/>
    <row r="9941" customFormat="1"/>
    <row r="9942" customFormat="1"/>
    <row r="9943" customFormat="1"/>
    <row r="9944" customFormat="1"/>
    <row r="9945" customFormat="1"/>
    <row r="9946" customFormat="1"/>
    <row r="9947" customFormat="1"/>
    <row r="9948" customFormat="1"/>
    <row r="9949" customFormat="1"/>
    <row r="9950" customFormat="1"/>
    <row r="9951" customFormat="1"/>
    <row r="9952" customFormat="1"/>
    <row r="9953" customFormat="1"/>
    <row r="9954" customFormat="1"/>
    <row r="9955" customFormat="1"/>
    <row r="9956" customFormat="1"/>
    <row r="9957" customFormat="1"/>
    <row r="9958" customFormat="1"/>
    <row r="9959" customFormat="1"/>
    <row r="9960" customFormat="1"/>
    <row r="9961" customFormat="1"/>
    <row r="9962" customFormat="1"/>
    <row r="9963" customFormat="1"/>
    <row r="9964" customFormat="1"/>
    <row r="9965" customFormat="1"/>
    <row r="9966" customFormat="1"/>
    <row r="9967" customFormat="1"/>
    <row r="9968" customFormat="1"/>
    <row r="9969" customFormat="1"/>
    <row r="9970" customFormat="1"/>
    <row r="9971" customFormat="1"/>
    <row r="9972" customFormat="1"/>
    <row r="9973" customFormat="1"/>
    <row r="9974" customFormat="1"/>
    <row r="9975" customFormat="1"/>
    <row r="9976" customFormat="1"/>
    <row r="9977" customFormat="1"/>
    <row r="9978" customFormat="1"/>
    <row r="9979" customFormat="1"/>
    <row r="9980" customFormat="1"/>
    <row r="9981" customFormat="1"/>
    <row r="9982" customFormat="1"/>
    <row r="9983" customFormat="1"/>
    <row r="9984" customFormat="1"/>
    <row r="9985" customFormat="1"/>
    <row r="9986" customFormat="1"/>
    <row r="9987" customFormat="1"/>
    <row r="9988" customFormat="1"/>
    <row r="9989" customFormat="1"/>
    <row r="9990" customFormat="1"/>
    <row r="9991" customFormat="1"/>
    <row r="9992" customFormat="1"/>
    <row r="9993" customFormat="1"/>
    <row r="9994" customFormat="1"/>
    <row r="9995" customFormat="1"/>
    <row r="9996" customFormat="1"/>
    <row r="9997" customFormat="1"/>
    <row r="9998" customFormat="1"/>
    <row r="9999" customFormat="1"/>
    <row r="10000" customFormat="1"/>
    <row r="10001" customFormat="1"/>
    <row r="10002" customFormat="1"/>
    <row r="10003" customFormat="1"/>
    <row r="10004" customFormat="1"/>
    <row r="10005" customFormat="1"/>
    <row r="10006" customFormat="1"/>
    <row r="10007" customFormat="1"/>
    <row r="10008" customFormat="1"/>
    <row r="10009" customFormat="1"/>
    <row r="10010" customFormat="1"/>
    <row r="10011" customFormat="1"/>
    <row r="10012" customFormat="1"/>
    <row r="10013" customFormat="1"/>
    <row r="10014" customFormat="1"/>
    <row r="10015" customFormat="1"/>
    <row r="10016" customFormat="1"/>
    <row r="10017" customFormat="1"/>
    <row r="10018" customFormat="1"/>
    <row r="10019" customFormat="1"/>
    <row r="10020" customFormat="1"/>
    <row r="10021" customFormat="1"/>
    <row r="10022" customFormat="1"/>
    <row r="10023" customFormat="1"/>
    <row r="10024" customFormat="1"/>
    <row r="10025" customFormat="1"/>
    <row r="10026" customFormat="1"/>
    <row r="10027" customFormat="1"/>
    <row r="10028" customFormat="1"/>
    <row r="10029" customFormat="1"/>
    <row r="10030" customFormat="1"/>
    <row r="10031" customFormat="1"/>
    <row r="10032" customFormat="1"/>
    <row r="10033" customFormat="1"/>
    <row r="10034" customFormat="1"/>
    <row r="10035" customFormat="1"/>
    <row r="10036" customFormat="1"/>
    <row r="10037" customFormat="1"/>
    <row r="10038" customFormat="1"/>
    <row r="10039" customFormat="1"/>
    <row r="10040" customFormat="1"/>
    <row r="10041" customFormat="1"/>
    <row r="10042" customFormat="1"/>
    <row r="10043" customFormat="1"/>
    <row r="10044" customFormat="1"/>
    <row r="10045" customFormat="1"/>
    <row r="10046" customFormat="1"/>
    <row r="10047" customFormat="1"/>
    <row r="10048" customFormat="1"/>
    <row r="10049" customFormat="1"/>
    <row r="10050" customFormat="1"/>
    <row r="10051" customFormat="1"/>
    <row r="10052" customFormat="1"/>
    <row r="10053" customFormat="1"/>
    <row r="10054" customFormat="1"/>
    <row r="10055" customFormat="1"/>
    <row r="10056" customFormat="1"/>
    <row r="10057" customFormat="1"/>
    <row r="10058" customFormat="1"/>
    <row r="10059" customFormat="1"/>
    <row r="10060" customFormat="1"/>
    <row r="10061" customFormat="1"/>
    <row r="10062" customFormat="1"/>
    <row r="10063" customFormat="1"/>
    <row r="10064" customFormat="1"/>
    <row r="10065" customFormat="1"/>
    <row r="10066" customFormat="1"/>
    <row r="10067" customFormat="1"/>
    <row r="10068" customFormat="1"/>
    <row r="10069" customFormat="1"/>
    <row r="10070" customFormat="1"/>
    <row r="10071" customFormat="1"/>
    <row r="10072" customFormat="1"/>
    <row r="10073" customFormat="1"/>
    <row r="10074" customFormat="1"/>
    <row r="10075" customFormat="1"/>
    <row r="10076" customFormat="1"/>
    <row r="10077" customFormat="1"/>
    <row r="10078" customFormat="1"/>
    <row r="10079" customFormat="1"/>
    <row r="10080" customFormat="1"/>
    <row r="10081" customFormat="1"/>
    <row r="10082" customFormat="1"/>
    <row r="10083" customFormat="1"/>
    <row r="10084" customFormat="1"/>
    <row r="10085" customFormat="1"/>
    <row r="10086" customFormat="1"/>
    <row r="10087" customFormat="1"/>
    <row r="10088" customFormat="1"/>
    <row r="10089" customFormat="1"/>
    <row r="10090" customFormat="1"/>
    <row r="10091" customFormat="1"/>
    <row r="10092" customFormat="1"/>
    <row r="10093" customFormat="1"/>
    <row r="10094" customFormat="1"/>
    <row r="10095" customFormat="1"/>
    <row r="10096" customFormat="1"/>
    <row r="10097" customFormat="1"/>
    <row r="10098" customFormat="1"/>
    <row r="10099" customFormat="1"/>
    <row r="10100" customFormat="1"/>
    <row r="10101" customFormat="1"/>
    <row r="10102" customFormat="1"/>
    <row r="10103" customFormat="1"/>
    <row r="10104" customFormat="1"/>
    <row r="10105" customFormat="1"/>
    <row r="10106" customFormat="1"/>
    <row r="10107" customFormat="1"/>
    <row r="10108" customFormat="1"/>
    <row r="10109" customFormat="1"/>
    <row r="10110" customFormat="1"/>
    <row r="10111" customFormat="1"/>
    <row r="10112" customFormat="1"/>
    <row r="10113" customFormat="1"/>
    <row r="10114" customFormat="1"/>
    <row r="10115" customFormat="1"/>
    <row r="10116" customFormat="1"/>
    <row r="10117" customFormat="1"/>
    <row r="10118" customFormat="1"/>
    <row r="10119" customFormat="1"/>
    <row r="10120" customFormat="1"/>
    <row r="10121" customFormat="1"/>
    <row r="10122" customFormat="1"/>
    <row r="10123" customFormat="1"/>
    <row r="10124" customFormat="1"/>
    <row r="10125" customFormat="1"/>
    <row r="10126" customFormat="1"/>
    <row r="10127" customFormat="1"/>
    <row r="10128" customFormat="1"/>
    <row r="10129" customFormat="1"/>
    <row r="10130" customFormat="1"/>
    <row r="10131" customFormat="1"/>
    <row r="10132" customFormat="1"/>
    <row r="10133" customFormat="1"/>
    <row r="10134" customFormat="1"/>
    <row r="10135" customFormat="1"/>
    <row r="10136" customFormat="1"/>
    <row r="10137" customFormat="1"/>
    <row r="10138" customFormat="1"/>
    <row r="10139" customFormat="1"/>
    <row r="10140" customFormat="1"/>
    <row r="10141" customFormat="1"/>
    <row r="10142" customFormat="1"/>
    <row r="10143" customFormat="1"/>
    <row r="10144" customFormat="1"/>
    <row r="10145" customFormat="1"/>
    <row r="10146" customFormat="1"/>
    <row r="10147" customFormat="1"/>
    <row r="10148" customFormat="1"/>
    <row r="10149" customFormat="1"/>
    <row r="10150" customFormat="1"/>
    <row r="10151" customFormat="1"/>
    <row r="10152" customFormat="1"/>
    <row r="10153" customFormat="1"/>
    <row r="10154" customFormat="1"/>
    <row r="10155" customFormat="1"/>
    <row r="10156" customFormat="1"/>
    <row r="10157" customFormat="1"/>
    <row r="10158" customFormat="1"/>
    <row r="10159" customFormat="1"/>
    <row r="10160" customFormat="1"/>
    <row r="10161" customFormat="1"/>
    <row r="10162" customFormat="1"/>
    <row r="10163" customFormat="1"/>
    <row r="10164" customFormat="1"/>
    <row r="10165" customFormat="1"/>
    <row r="10166" customFormat="1"/>
    <row r="10167" customFormat="1"/>
    <row r="10168" customFormat="1"/>
    <row r="10169" customFormat="1"/>
    <row r="10170" customFormat="1"/>
    <row r="10171" customFormat="1"/>
    <row r="10172" customFormat="1"/>
    <row r="10173" customFormat="1"/>
    <row r="10174" customFormat="1"/>
    <row r="10175" customFormat="1"/>
    <row r="10176" customFormat="1"/>
    <row r="10177" customFormat="1"/>
    <row r="10178" customFormat="1"/>
    <row r="10179" customFormat="1"/>
    <row r="10180" customFormat="1"/>
    <row r="10181" customFormat="1"/>
    <row r="10182" customFormat="1"/>
    <row r="10183" customFormat="1"/>
    <row r="10184" customFormat="1"/>
    <row r="10185" customFormat="1"/>
    <row r="10186" customFormat="1"/>
    <row r="10187" customFormat="1"/>
    <row r="10188" customFormat="1"/>
    <row r="10189" customFormat="1"/>
    <row r="10190" customFormat="1"/>
    <row r="10191" customFormat="1"/>
    <row r="10192" customFormat="1"/>
    <row r="10193" customFormat="1"/>
    <row r="10194" customFormat="1"/>
    <row r="10195" customFormat="1"/>
    <row r="10196" customFormat="1"/>
    <row r="10197" customFormat="1"/>
    <row r="10198" customFormat="1"/>
    <row r="10199" customFormat="1"/>
    <row r="10200" customFormat="1"/>
    <row r="10201" customFormat="1"/>
    <row r="10202" customFormat="1"/>
    <row r="10203" customFormat="1"/>
    <row r="10204" customFormat="1"/>
    <row r="10205" customFormat="1"/>
    <row r="10206" customFormat="1"/>
    <row r="10207" customFormat="1"/>
    <row r="10208" customFormat="1"/>
    <row r="10209" customFormat="1"/>
    <row r="10210" customFormat="1"/>
    <row r="10211" customFormat="1"/>
    <row r="10212" customFormat="1"/>
    <row r="10213" customFormat="1"/>
    <row r="10214" customFormat="1"/>
    <row r="10215" customFormat="1"/>
    <row r="10216" customFormat="1"/>
    <row r="10217" customFormat="1"/>
    <row r="10218" customFormat="1"/>
    <row r="10219" customFormat="1"/>
    <row r="10220" customFormat="1"/>
    <row r="10221" customFormat="1"/>
    <row r="10222" customFormat="1"/>
    <row r="10223" customFormat="1"/>
    <row r="10224" customFormat="1"/>
    <row r="10225" customFormat="1"/>
    <row r="10226" customFormat="1"/>
    <row r="10227" customFormat="1"/>
    <row r="10228" customFormat="1"/>
    <row r="10229" customFormat="1"/>
    <row r="10230" customFormat="1"/>
    <row r="10231" customFormat="1"/>
    <row r="10232" customFormat="1"/>
    <row r="10233" customFormat="1"/>
    <row r="10234" customFormat="1"/>
    <row r="10235" customFormat="1"/>
    <row r="10236" customFormat="1"/>
    <row r="10237" customFormat="1"/>
    <row r="10238" customFormat="1"/>
    <row r="10239" customFormat="1"/>
    <row r="10240" customFormat="1"/>
    <row r="10241" customFormat="1"/>
    <row r="10242" customFormat="1"/>
    <row r="10243" customFormat="1"/>
    <row r="10244" customFormat="1"/>
    <row r="10245" customFormat="1"/>
    <row r="10246" customFormat="1"/>
    <row r="10247" customFormat="1"/>
    <row r="10248" customFormat="1"/>
    <row r="10249" customFormat="1"/>
    <row r="10250" customFormat="1"/>
    <row r="10251" customFormat="1"/>
    <row r="10252" customFormat="1"/>
    <row r="10253" customFormat="1"/>
    <row r="10254" customFormat="1"/>
    <row r="10255" customFormat="1"/>
    <row r="10256" customFormat="1"/>
    <row r="10257" customFormat="1"/>
    <row r="10258" customFormat="1"/>
    <row r="10259" customFormat="1"/>
    <row r="10260" customFormat="1"/>
    <row r="10261" customFormat="1"/>
    <row r="10262" customFormat="1"/>
    <row r="10263" customFormat="1"/>
    <row r="10264" customFormat="1"/>
    <row r="10265" customFormat="1"/>
    <row r="10266" customFormat="1"/>
    <row r="10267" customFormat="1"/>
    <row r="10268" customFormat="1"/>
    <row r="10269" customFormat="1"/>
    <row r="10270" customFormat="1"/>
    <row r="10271" customFormat="1"/>
    <row r="10272" customFormat="1"/>
    <row r="10273" customFormat="1"/>
    <row r="10274" customFormat="1"/>
    <row r="10275" customFormat="1"/>
    <row r="10276" customFormat="1"/>
    <row r="10277" customFormat="1"/>
    <row r="10278" customFormat="1"/>
    <row r="10279" customFormat="1"/>
    <row r="10280" customFormat="1"/>
    <row r="10281" customFormat="1"/>
    <row r="10282" customFormat="1"/>
    <row r="10283" customFormat="1"/>
    <row r="10284" customFormat="1"/>
    <row r="10285" customFormat="1"/>
    <row r="10286" customFormat="1"/>
    <row r="10287" customFormat="1"/>
    <row r="10288" customFormat="1"/>
    <row r="10289" customFormat="1"/>
    <row r="10290" customFormat="1"/>
    <row r="10291" customFormat="1"/>
    <row r="10292" customFormat="1"/>
    <row r="10293" customFormat="1"/>
    <row r="10294" customFormat="1"/>
    <row r="10295" customFormat="1"/>
    <row r="10296" customFormat="1"/>
    <row r="10297" customFormat="1"/>
    <row r="10298" customFormat="1"/>
    <row r="10299" customFormat="1"/>
    <row r="10300" customFormat="1"/>
    <row r="10301" customFormat="1"/>
    <row r="10302" customFormat="1"/>
    <row r="10303" customFormat="1"/>
    <row r="10304" customFormat="1"/>
    <row r="10305" customFormat="1"/>
    <row r="10306" customFormat="1"/>
    <row r="10307" customFormat="1"/>
    <row r="10308" customFormat="1"/>
    <row r="10309" customFormat="1"/>
    <row r="10310" customFormat="1"/>
    <row r="10311" customFormat="1"/>
    <row r="10312" customFormat="1"/>
    <row r="10313" customFormat="1"/>
    <row r="10314" customFormat="1"/>
    <row r="10315" customFormat="1"/>
    <row r="10316" customFormat="1"/>
    <row r="10317" customFormat="1"/>
    <row r="10318" customFormat="1"/>
    <row r="10319" customFormat="1"/>
    <row r="10320" customFormat="1"/>
    <row r="10321" customFormat="1"/>
    <row r="10322" customFormat="1"/>
    <row r="10323" customFormat="1"/>
    <row r="10324" customFormat="1"/>
    <row r="10325" customFormat="1"/>
    <row r="10326" customFormat="1"/>
    <row r="10327" customFormat="1"/>
    <row r="10328" customFormat="1"/>
    <row r="10329" customFormat="1"/>
    <row r="10330" customFormat="1"/>
    <row r="10331" customFormat="1"/>
    <row r="10332" customFormat="1"/>
    <row r="10333" customFormat="1"/>
    <row r="10334" customFormat="1"/>
    <row r="10335" customFormat="1"/>
    <row r="10336" customFormat="1"/>
    <row r="10337" customFormat="1"/>
    <row r="10338" customFormat="1"/>
    <row r="10339" customFormat="1"/>
    <row r="10340" customFormat="1"/>
    <row r="10341" customFormat="1"/>
    <row r="10342" customFormat="1"/>
    <row r="10343" customFormat="1"/>
    <row r="10344" customFormat="1"/>
    <row r="10345" customFormat="1"/>
    <row r="10346" customFormat="1"/>
    <row r="10347" customFormat="1"/>
    <row r="10348" customFormat="1"/>
    <row r="10349" customFormat="1"/>
    <row r="10350" customFormat="1"/>
    <row r="10351" customFormat="1"/>
    <row r="10352" customFormat="1"/>
    <row r="10353" customFormat="1"/>
    <row r="10354" customFormat="1"/>
    <row r="10355" customFormat="1"/>
    <row r="10356" customFormat="1"/>
    <row r="10357" customFormat="1"/>
    <row r="10358" customFormat="1"/>
    <row r="10359" customFormat="1"/>
    <row r="10360" customFormat="1"/>
    <row r="10361" customFormat="1"/>
    <row r="10362" customFormat="1"/>
    <row r="10363" customFormat="1"/>
    <row r="10364" customFormat="1"/>
    <row r="10365" customFormat="1"/>
    <row r="10366" customFormat="1"/>
    <row r="10367" customFormat="1"/>
    <row r="10368" customFormat="1"/>
    <row r="10369" customFormat="1"/>
    <row r="10370" customFormat="1"/>
    <row r="10371" customFormat="1"/>
    <row r="10372" customFormat="1"/>
    <row r="10373" customFormat="1"/>
    <row r="10374" customFormat="1"/>
    <row r="10375" customFormat="1"/>
    <row r="10376" customFormat="1"/>
    <row r="10377" customFormat="1"/>
    <row r="10378" customFormat="1"/>
    <row r="10379" customFormat="1"/>
    <row r="10380" customFormat="1"/>
    <row r="10381" customFormat="1"/>
    <row r="10382" customFormat="1"/>
    <row r="10383" customFormat="1"/>
    <row r="10384" customFormat="1"/>
    <row r="10385" customFormat="1"/>
    <row r="10386" customFormat="1"/>
    <row r="10387" customFormat="1"/>
    <row r="10388" customFormat="1"/>
    <row r="10389" customFormat="1"/>
    <row r="10390" customFormat="1"/>
    <row r="10391" customFormat="1"/>
    <row r="10392" customFormat="1"/>
    <row r="10393" customFormat="1"/>
    <row r="10394" customFormat="1"/>
    <row r="10395" customFormat="1"/>
    <row r="10396" customFormat="1"/>
    <row r="10397" customFormat="1"/>
    <row r="10398" customFormat="1"/>
    <row r="10399" customFormat="1"/>
    <row r="10400" customFormat="1"/>
    <row r="10401" customFormat="1"/>
    <row r="10402" customFormat="1"/>
    <row r="10403" customFormat="1"/>
    <row r="10404" customFormat="1"/>
    <row r="10405" customFormat="1"/>
    <row r="10406" customFormat="1"/>
    <row r="10407" customFormat="1"/>
    <row r="10408" customFormat="1"/>
    <row r="10409" customFormat="1"/>
    <row r="10410" customFormat="1"/>
    <row r="10411" customFormat="1"/>
    <row r="10412" customFormat="1"/>
    <row r="10413" customFormat="1"/>
    <row r="10414" customFormat="1"/>
    <row r="10415" customFormat="1"/>
    <row r="10416" customFormat="1"/>
    <row r="10417" customFormat="1"/>
    <row r="10418" customFormat="1"/>
    <row r="10419" customFormat="1"/>
    <row r="10420" customFormat="1"/>
    <row r="10421" customFormat="1"/>
    <row r="10422" customFormat="1"/>
    <row r="10423" customFormat="1"/>
    <row r="10424" customFormat="1"/>
    <row r="10425" customFormat="1"/>
    <row r="10426" customFormat="1"/>
    <row r="10427" customFormat="1"/>
    <row r="10428" customFormat="1"/>
    <row r="10429" customFormat="1"/>
    <row r="10430" customFormat="1"/>
    <row r="10431" customFormat="1"/>
    <row r="10432" customFormat="1"/>
    <row r="10433" customFormat="1"/>
    <row r="10434" customFormat="1"/>
    <row r="10435" customFormat="1"/>
    <row r="10436" customFormat="1"/>
    <row r="10437" customFormat="1"/>
    <row r="10438" customFormat="1"/>
    <row r="10439" customFormat="1"/>
    <row r="10440" customFormat="1"/>
    <row r="10441" customFormat="1"/>
    <row r="10442" customFormat="1"/>
    <row r="10443" customFormat="1"/>
    <row r="10444" customFormat="1"/>
    <row r="10445" customFormat="1"/>
    <row r="10446" customFormat="1"/>
    <row r="10447" customFormat="1"/>
    <row r="10448" customFormat="1"/>
    <row r="10449" customFormat="1"/>
    <row r="10450" customFormat="1"/>
    <row r="10451" customFormat="1"/>
    <row r="10452" customFormat="1"/>
    <row r="10453" customFormat="1"/>
    <row r="10454" customFormat="1"/>
    <row r="10455" customFormat="1"/>
    <row r="10456" customFormat="1"/>
    <row r="10457" customFormat="1"/>
    <row r="10458" customFormat="1"/>
    <row r="10459" customFormat="1"/>
    <row r="10460" customFormat="1"/>
    <row r="10461" customFormat="1"/>
    <row r="10462" customFormat="1"/>
    <row r="10463" customFormat="1"/>
    <row r="10464" customFormat="1"/>
    <row r="10465" customFormat="1"/>
    <row r="10466" customFormat="1"/>
    <row r="10467" customFormat="1"/>
    <row r="10468" customFormat="1"/>
    <row r="10469" customFormat="1"/>
    <row r="10470" customFormat="1"/>
    <row r="10471" customFormat="1"/>
    <row r="10472" customFormat="1"/>
    <row r="10473" customFormat="1"/>
    <row r="10474" customFormat="1"/>
    <row r="10475" customFormat="1"/>
    <row r="10476" customFormat="1"/>
    <row r="10477" customFormat="1"/>
    <row r="10478" customFormat="1"/>
    <row r="10479" customFormat="1"/>
    <row r="10480" customFormat="1"/>
    <row r="10481" customFormat="1"/>
    <row r="10482" customFormat="1"/>
    <row r="10483" customFormat="1"/>
    <row r="10484" customFormat="1"/>
    <row r="10485" customFormat="1"/>
    <row r="10486" customFormat="1"/>
    <row r="10487" customFormat="1"/>
    <row r="10488" customFormat="1"/>
    <row r="10489" customFormat="1"/>
    <row r="10490" customFormat="1"/>
    <row r="10491" customFormat="1"/>
    <row r="10492" customFormat="1"/>
    <row r="10493" customFormat="1"/>
    <row r="10494" customFormat="1"/>
    <row r="10495" customFormat="1"/>
    <row r="10496" customFormat="1"/>
    <row r="10497" customFormat="1"/>
    <row r="10498" customFormat="1"/>
    <row r="10499" customFormat="1"/>
    <row r="10500" customFormat="1"/>
    <row r="10501" customFormat="1"/>
    <row r="10502" customFormat="1"/>
    <row r="10503" customFormat="1"/>
    <row r="10504" customFormat="1"/>
    <row r="10505" customFormat="1"/>
    <row r="10506" customFormat="1"/>
    <row r="10507" customFormat="1"/>
    <row r="10508" customFormat="1"/>
    <row r="10509" customFormat="1"/>
    <row r="10510" customFormat="1"/>
    <row r="10511" customFormat="1"/>
    <row r="10512" customFormat="1"/>
    <row r="10513" customFormat="1"/>
    <row r="10514" customFormat="1"/>
    <row r="10515" customFormat="1"/>
    <row r="10516" customFormat="1"/>
    <row r="10517" customFormat="1"/>
    <row r="10518" customFormat="1"/>
    <row r="10519" customFormat="1"/>
    <row r="10520" customFormat="1"/>
    <row r="10521" customFormat="1"/>
    <row r="10522" customFormat="1"/>
    <row r="10523" customFormat="1"/>
    <row r="10524" customFormat="1"/>
    <row r="10525" customFormat="1"/>
    <row r="10526" customFormat="1"/>
    <row r="10527" customFormat="1"/>
    <row r="10528" customFormat="1"/>
    <row r="10529" customFormat="1"/>
    <row r="10530" customFormat="1"/>
    <row r="10531" customFormat="1"/>
    <row r="10532" customFormat="1"/>
    <row r="10533" customFormat="1"/>
    <row r="10534" customFormat="1"/>
    <row r="10535" customFormat="1"/>
    <row r="10536" customFormat="1"/>
    <row r="10537" customFormat="1"/>
    <row r="10538" customFormat="1"/>
    <row r="10539" customFormat="1"/>
    <row r="10540" customFormat="1"/>
    <row r="10541" customFormat="1"/>
    <row r="10542" customFormat="1"/>
    <row r="10543" customFormat="1"/>
    <row r="10544" customFormat="1"/>
    <row r="10545" customFormat="1"/>
    <row r="10546" customFormat="1"/>
    <row r="10547" customFormat="1"/>
    <row r="10548" customFormat="1"/>
    <row r="10549" customFormat="1"/>
    <row r="10550" customFormat="1"/>
    <row r="10551" customFormat="1"/>
    <row r="10552" customFormat="1"/>
    <row r="10553" customFormat="1"/>
    <row r="10554" customFormat="1"/>
    <row r="10555" customFormat="1"/>
    <row r="10556" customFormat="1"/>
    <row r="10557" customFormat="1"/>
    <row r="10558" customFormat="1"/>
    <row r="10559" customFormat="1"/>
    <row r="10560" customFormat="1"/>
    <row r="10561" customFormat="1"/>
    <row r="10562" customFormat="1"/>
    <row r="10563" customFormat="1"/>
    <row r="10564" customFormat="1"/>
    <row r="10565" customFormat="1"/>
    <row r="10566" customFormat="1"/>
    <row r="10567" customFormat="1"/>
    <row r="10568" customFormat="1"/>
    <row r="10569" customFormat="1"/>
    <row r="10570" customFormat="1"/>
    <row r="10571" customFormat="1"/>
    <row r="10572" customFormat="1"/>
    <row r="10573" customFormat="1"/>
    <row r="10574" customFormat="1"/>
    <row r="10575" customFormat="1"/>
    <row r="10576" customFormat="1"/>
    <row r="10577" customFormat="1"/>
    <row r="10578" customFormat="1"/>
    <row r="10579" customFormat="1"/>
    <row r="10580" customFormat="1"/>
    <row r="10581" customFormat="1"/>
    <row r="10582" customFormat="1"/>
    <row r="10583" customFormat="1"/>
    <row r="10584" customFormat="1"/>
    <row r="10585" customFormat="1"/>
    <row r="10586" customFormat="1"/>
    <row r="10587" customFormat="1"/>
    <row r="10588" customFormat="1"/>
    <row r="10589" customFormat="1"/>
    <row r="10590" customFormat="1"/>
    <row r="10591" customFormat="1"/>
    <row r="10592" customFormat="1"/>
    <row r="10593" customFormat="1"/>
    <row r="10594" customFormat="1"/>
    <row r="10595" customFormat="1"/>
    <row r="10596" customFormat="1"/>
    <row r="10597" customFormat="1"/>
    <row r="10598" customFormat="1"/>
    <row r="10599" customFormat="1"/>
    <row r="10600" customFormat="1"/>
    <row r="10601" customFormat="1"/>
    <row r="10602" customFormat="1"/>
    <row r="10603" customFormat="1"/>
    <row r="10604" customFormat="1"/>
    <row r="10605" customFormat="1"/>
    <row r="10606" customFormat="1"/>
    <row r="10607" customFormat="1"/>
    <row r="10608" customFormat="1"/>
    <row r="10609" customFormat="1"/>
    <row r="10610" customFormat="1"/>
    <row r="10611" customFormat="1"/>
    <row r="10612" customFormat="1"/>
    <row r="10613" customFormat="1"/>
    <row r="10614" customFormat="1"/>
    <row r="10615" customFormat="1"/>
    <row r="10616" customFormat="1"/>
    <row r="10617" customFormat="1"/>
    <row r="10618" customFormat="1"/>
    <row r="10619" customFormat="1"/>
    <row r="10620" customFormat="1"/>
    <row r="10621" customFormat="1"/>
    <row r="10622" customFormat="1"/>
    <row r="10623" customFormat="1"/>
    <row r="10624" customFormat="1"/>
    <row r="10625" customFormat="1"/>
    <row r="10626" customFormat="1"/>
    <row r="10627" customFormat="1"/>
    <row r="10628" customFormat="1"/>
    <row r="10629" customFormat="1"/>
    <row r="10630" customFormat="1"/>
    <row r="10631" customFormat="1"/>
    <row r="10632" customFormat="1"/>
    <row r="10633" customFormat="1"/>
    <row r="10634" customFormat="1"/>
    <row r="10635" customFormat="1"/>
    <row r="10636" customFormat="1"/>
    <row r="10637" customFormat="1"/>
    <row r="10638" customFormat="1"/>
    <row r="10639" customFormat="1"/>
    <row r="10640" customFormat="1"/>
    <row r="10641" customFormat="1"/>
    <row r="10642" customFormat="1"/>
    <row r="10643" customFormat="1"/>
    <row r="10644" customFormat="1"/>
    <row r="10645" customFormat="1"/>
    <row r="10646" customFormat="1"/>
    <row r="10647" customFormat="1"/>
    <row r="10648" customFormat="1"/>
    <row r="10649" customFormat="1"/>
    <row r="10650" customFormat="1"/>
    <row r="10651" customFormat="1"/>
    <row r="10652" customFormat="1"/>
    <row r="10653" customFormat="1"/>
    <row r="10654" customFormat="1"/>
    <row r="10655" customFormat="1"/>
    <row r="10656" customFormat="1"/>
    <row r="10657" customFormat="1"/>
    <row r="10658" customFormat="1"/>
    <row r="10659" customFormat="1"/>
    <row r="10660" customFormat="1"/>
    <row r="10661" customFormat="1"/>
    <row r="10662" customFormat="1"/>
    <row r="10663" customFormat="1"/>
    <row r="10664" customFormat="1"/>
    <row r="10665" customFormat="1"/>
    <row r="10666" customFormat="1"/>
    <row r="10667" customFormat="1"/>
    <row r="10668" customFormat="1"/>
    <row r="10669" customFormat="1"/>
    <row r="10670" customFormat="1"/>
    <row r="10671" customFormat="1"/>
    <row r="10672" customFormat="1"/>
    <row r="10673" customFormat="1"/>
    <row r="10674" customFormat="1"/>
    <row r="10675" customFormat="1"/>
    <row r="10676" customFormat="1"/>
    <row r="10677" customFormat="1"/>
    <row r="10678" customFormat="1"/>
    <row r="10679" customFormat="1"/>
    <row r="10680" customFormat="1"/>
    <row r="10681" customFormat="1"/>
    <row r="10682" customFormat="1"/>
    <row r="10683" customFormat="1"/>
    <row r="10684" customFormat="1"/>
    <row r="10685" customFormat="1"/>
    <row r="10686" customFormat="1"/>
    <row r="10687" customFormat="1"/>
    <row r="10688" customFormat="1"/>
    <row r="10689" customFormat="1"/>
    <row r="10690" customFormat="1"/>
    <row r="10691" customFormat="1"/>
    <row r="10692" customFormat="1"/>
    <row r="10693" customFormat="1"/>
    <row r="10694" customFormat="1"/>
    <row r="10695" customFormat="1"/>
    <row r="10696" customFormat="1"/>
    <row r="10697" customFormat="1"/>
    <row r="10698" customFormat="1"/>
    <row r="10699" customFormat="1"/>
    <row r="10700" customFormat="1"/>
    <row r="10701" customFormat="1"/>
    <row r="10702" customFormat="1"/>
    <row r="10703" customFormat="1"/>
    <row r="10704" customFormat="1"/>
    <row r="10705" customFormat="1"/>
    <row r="10706" customFormat="1"/>
    <row r="10707" customFormat="1"/>
    <row r="10708" customFormat="1"/>
    <row r="10709" customFormat="1"/>
    <row r="10710" customFormat="1"/>
    <row r="10711" customFormat="1"/>
    <row r="10712" customFormat="1"/>
    <row r="10713" customFormat="1"/>
    <row r="10714" customFormat="1"/>
    <row r="10715" customFormat="1"/>
    <row r="10716" customFormat="1"/>
    <row r="10717" customFormat="1"/>
    <row r="10718" customFormat="1"/>
    <row r="10719" customFormat="1"/>
    <row r="10720" customFormat="1"/>
    <row r="10721" customFormat="1"/>
    <row r="10722" customFormat="1"/>
    <row r="10723" customFormat="1"/>
    <row r="10724" customFormat="1"/>
    <row r="10725" customFormat="1"/>
    <row r="10726" customFormat="1"/>
    <row r="10727" customFormat="1"/>
    <row r="10728" customFormat="1"/>
    <row r="10729" customFormat="1"/>
    <row r="10730" customFormat="1"/>
    <row r="10731" customFormat="1"/>
    <row r="10732" customFormat="1"/>
    <row r="10733" customFormat="1"/>
    <row r="10734" customFormat="1"/>
    <row r="10735" customFormat="1"/>
    <row r="10736" customFormat="1"/>
    <row r="10737" customFormat="1"/>
    <row r="10738" customFormat="1"/>
    <row r="10739" customFormat="1"/>
    <row r="10740" customFormat="1"/>
    <row r="10741" customFormat="1"/>
    <row r="10742" customFormat="1"/>
    <row r="10743" customFormat="1"/>
    <row r="10744" customFormat="1"/>
    <row r="10745" customFormat="1"/>
    <row r="10746" customFormat="1"/>
    <row r="10747" customFormat="1"/>
    <row r="10748" customFormat="1"/>
    <row r="10749" customFormat="1"/>
    <row r="10750" customFormat="1"/>
    <row r="10751" customFormat="1"/>
    <row r="10752" customFormat="1"/>
    <row r="10753" customFormat="1"/>
    <row r="10754" customFormat="1"/>
    <row r="10755" customFormat="1"/>
    <row r="10756" customFormat="1"/>
    <row r="10757" customFormat="1"/>
    <row r="10758" customFormat="1"/>
    <row r="10759" customFormat="1"/>
    <row r="10760" customFormat="1"/>
    <row r="10761" customFormat="1"/>
    <row r="10762" customFormat="1"/>
    <row r="10763" customFormat="1"/>
    <row r="10764" customFormat="1"/>
    <row r="10765" customFormat="1"/>
    <row r="10766" customFormat="1"/>
    <row r="10767" customFormat="1"/>
    <row r="10768" customFormat="1"/>
    <row r="10769" customFormat="1"/>
    <row r="10770" customFormat="1"/>
    <row r="10771" customFormat="1"/>
    <row r="10772" customFormat="1"/>
    <row r="10773" customFormat="1"/>
    <row r="10774" customFormat="1"/>
    <row r="10775" customFormat="1"/>
    <row r="10776" customFormat="1"/>
    <row r="10777" customFormat="1"/>
    <row r="10778" customFormat="1"/>
    <row r="10779" customFormat="1"/>
    <row r="10780" customFormat="1"/>
    <row r="10781" customFormat="1"/>
    <row r="10782" customFormat="1"/>
    <row r="10783" customFormat="1"/>
    <row r="10784" customFormat="1"/>
    <row r="10785" customFormat="1"/>
    <row r="10786" customFormat="1"/>
    <row r="10787" customFormat="1"/>
    <row r="10788" customFormat="1"/>
    <row r="10789" customFormat="1"/>
    <row r="10790" customFormat="1"/>
    <row r="10791" customFormat="1"/>
    <row r="10792" customFormat="1"/>
    <row r="10793" customFormat="1"/>
    <row r="10794" customFormat="1"/>
    <row r="10795" customFormat="1"/>
    <row r="10796" customFormat="1"/>
    <row r="10797" customFormat="1"/>
    <row r="10798" customFormat="1"/>
    <row r="10799" customFormat="1"/>
    <row r="10800" customFormat="1"/>
    <row r="10801" customFormat="1"/>
    <row r="10802" customFormat="1"/>
    <row r="10803" customFormat="1"/>
    <row r="10804" customFormat="1"/>
    <row r="10805" customFormat="1"/>
    <row r="10806" customFormat="1"/>
    <row r="10807" customFormat="1"/>
    <row r="10808" customFormat="1"/>
    <row r="10809" customFormat="1"/>
    <row r="10810" customFormat="1"/>
    <row r="10811" customFormat="1"/>
    <row r="10812" customFormat="1"/>
    <row r="10813" customFormat="1"/>
    <row r="10814" customFormat="1"/>
    <row r="10815" customFormat="1"/>
    <row r="10816" customFormat="1"/>
    <row r="10817" customFormat="1"/>
    <row r="10818" customFormat="1"/>
    <row r="10819" customFormat="1"/>
    <row r="10820" customFormat="1"/>
    <row r="10821" customFormat="1"/>
    <row r="10822" customFormat="1"/>
    <row r="10823" customFormat="1"/>
    <row r="10824" customFormat="1"/>
    <row r="10825" customFormat="1"/>
    <row r="10826" customFormat="1"/>
    <row r="10827" customFormat="1"/>
    <row r="10828" customFormat="1"/>
    <row r="10829" customFormat="1"/>
    <row r="10830" customFormat="1"/>
    <row r="10831" customFormat="1"/>
    <row r="10832" customFormat="1"/>
    <row r="10833" customFormat="1"/>
    <row r="10834" customFormat="1"/>
    <row r="10835" customFormat="1"/>
    <row r="10836" customFormat="1"/>
    <row r="10837" customFormat="1"/>
    <row r="10838" customFormat="1"/>
    <row r="10839" customFormat="1"/>
    <row r="10840" customFormat="1"/>
    <row r="10841" customFormat="1"/>
    <row r="10842" customFormat="1"/>
    <row r="10843" customFormat="1"/>
    <row r="10844" customFormat="1"/>
    <row r="10845" customFormat="1"/>
    <row r="10846" customFormat="1"/>
    <row r="10847" customFormat="1"/>
    <row r="10848" customFormat="1"/>
    <row r="10849" customFormat="1"/>
    <row r="10850" customFormat="1"/>
    <row r="10851" customFormat="1"/>
    <row r="10852" customFormat="1"/>
    <row r="10853" customFormat="1"/>
    <row r="10854" customFormat="1"/>
    <row r="10855" customFormat="1"/>
    <row r="10856" customFormat="1"/>
    <row r="10857" customFormat="1"/>
    <row r="10858" customFormat="1"/>
    <row r="10859" customFormat="1"/>
    <row r="10860" customFormat="1"/>
    <row r="10861" customFormat="1"/>
    <row r="10862" customFormat="1"/>
    <row r="10863" customFormat="1"/>
    <row r="10864" customFormat="1"/>
    <row r="10865" customFormat="1"/>
    <row r="10866" customFormat="1"/>
    <row r="10867" customFormat="1"/>
    <row r="10868" customFormat="1"/>
    <row r="10869" customFormat="1"/>
    <row r="10870" customFormat="1"/>
    <row r="10871" customFormat="1"/>
    <row r="10872" customFormat="1"/>
    <row r="10873" customFormat="1"/>
    <row r="10874" customFormat="1"/>
    <row r="10875" customFormat="1"/>
    <row r="10876" customFormat="1"/>
    <row r="10877" customFormat="1"/>
    <row r="10878" customFormat="1"/>
    <row r="10879" customFormat="1"/>
    <row r="10880" customFormat="1"/>
    <row r="10881" customFormat="1"/>
    <row r="10882" customFormat="1"/>
    <row r="10883" customFormat="1"/>
    <row r="10884" customFormat="1"/>
    <row r="10885" customFormat="1"/>
    <row r="10886" customFormat="1"/>
    <row r="10887" customFormat="1"/>
    <row r="10888" customFormat="1"/>
    <row r="10889" customFormat="1"/>
    <row r="10890" customFormat="1"/>
    <row r="10891" customFormat="1"/>
    <row r="10892" customFormat="1"/>
    <row r="10893" customFormat="1"/>
    <row r="10894" customFormat="1"/>
    <row r="10895" customFormat="1"/>
    <row r="10896" customFormat="1"/>
    <row r="10897" customFormat="1"/>
    <row r="10898" customFormat="1"/>
    <row r="10899" customFormat="1"/>
    <row r="10900" customFormat="1"/>
    <row r="10901" customFormat="1"/>
    <row r="10902" customFormat="1"/>
    <row r="10903" customFormat="1"/>
    <row r="10904" customFormat="1"/>
    <row r="10905" customFormat="1"/>
    <row r="10906" customFormat="1"/>
    <row r="10907" customFormat="1"/>
    <row r="10908" customFormat="1"/>
    <row r="10909" customFormat="1"/>
    <row r="10910" customFormat="1"/>
    <row r="10911" customFormat="1"/>
    <row r="10912" customFormat="1"/>
    <row r="10913" customFormat="1"/>
    <row r="10914" customFormat="1"/>
    <row r="10915" customFormat="1"/>
    <row r="10916" customFormat="1"/>
    <row r="10917" customFormat="1"/>
    <row r="10918" customFormat="1"/>
    <row r="10919" customFormat="1"/>
    <row r="10920" customFormat="1"/>
    <row r="10921" customFormat="1"/>
    <row r="10922" customFormat="1"/>
    <row r="10923" customFormat="1"/>
    <row r="10924" customFormat="1"/>
    <row r="10925" customFormat="1"/>
    <row r="10926" customFormat="1"/>
    <row r="10927" customFormat="1"/>
    <row r="10928" customFormat="1"/>
    <row r="10929" customFormat="1"/>
    <row r="10930" customFormat="1"/>
    <row r="10931" customFormat="1"/>
    <row r="10932" customFormat="1"/>
    <row r="10933" customFormat="1"/>
    <row r="10934" customFormat="1"/>
    <row r="10935" customFormat="1"/>
    <row r="10936" customFormat="1"/>
    <row r="10937" customFormat="1"/>
    <row r="10938" customFormat="1"/>
    <row r="10939" customFormat="1"/>
    <row r="10940" customFormat="1"/>
    <row r="10941" customFormat="1"/>
    <row r="10942" customFormat="1"/>
    <row r="10943" customFormat="1"/>
    <row r="10944" customFormat="1"/>
    <row r="10945" customFormat="1"/>
    <row r="10946" customFormat="1"/>
    <row r="10947" customFormat="1"/>
    <row r="10948" customFormat="1"/>
    <row r="10949" customFormat="1"/>
    <row r="10950" customFormat="1"/>
    <row r="10951" customFormat="1"/>
    <row r="10952" customFormat="1"/>
    <row r="10953" customFormat="1"/>
    <row r="10954" customFormat="1"/>
    <row r="10955" customFormat="1"/>
    <row r="10956" customFormat="1"/>
    <row r="10957" customFormat="1"/>
    <row r="10958" customFormat="1"/>
    <row r="10959" customFormat="1"/>
    <row r="10960" customFormat="1"/>
    <row r="10961" customFormat="1"/>
    <row r="10962" customFormat="1"/>
    <row r="10963" customFormat="1"/>
    <row r="10964" customFormat="1"/>
    <row r="10965" customFormat="1"/>
    <row r="10966" customFormat="1"/>
    <row r="10967" customFormat="1"/>
    <row r="10968" customFormat="1"/>
    <row r="10969" customFormat="1"/>
    <row r="10970" customFormat="1"/>
    <row r="10971" customFormat="1"/>
    <row r="10972" customFormat="1"/>
    <row r="10973" customFormat="1"/>
    <row r="10974" customFormat="1"/>
    <row r="10975" customFormat="1"/>
    <row r="10976" customFormat="1"/>
    <row r="10977" customFormat="1"/>
    <row r="10978" customFormat="1"/>
    <row r="10979" customFormat="1"/>
    <row r="10980" customFormat="1"/>
    <row r="10981" customFormat="1"/>
    <row r="10982" customFormat="1"/>
    <row r="10983" customFormat="1"/>
    <row r="10984" customFormat="1"/>
    <row r="10985" customFormat="1"/>
    <row r="10986" customFormat="1"/>
    <row r="10987" customFormat="1"/>
    <row r="10988" customFormat="1"/>
    <row r="10989" customFormat="1"/>
    <row r="10990" customFormat="1"/>
    <row r="10991" customFormat="1"/>
    <row r="10992" customFormat="1"/>
    <row r="10993" customFormat="1"/>
    <row r="10994" customFormat="1"/>
    <row r="10995" customFormat="1"/>
    <row r="10996" customFormat="1"/>
    <row r="10997" customFormat="1"/>
    <row r="10998" customFormat="1"/>
    <row r="10999" customFormat="1"/>
    <row r="11000" customFormat="1"/>
    <row r="11001" customFormat="1"/>
    <row r="11002" customFormat="1"/>
    <row r="11003" customFormat="1"/>
    <row r="11004" customFormat="1"/>
    <row r="11005" customFormat="1"/>
    <row r="11006" customFormat="1"/>
    <row r="11007" customFormat="1"/>
    <row r="11008" customFormat="1"/>
    <row r="11009" customFormat="1"/>
    <row r="11010" customFormat="1"/>
    <row r="11011" customFormat="1"/>
    <row r="11012" customFormat="1"/>
    <row r="11013" customFormat="1"/>
    <row r="11014" customFormat="1"/>
    <row r="11015" customFormat="1"/>
    <row r="11016" customFormat="1"/>
    <row r="11017" customFormat="1"/>
    <row r="11018" customFormat="1"/>
    <row r="11019" customFormat="1"/>
    <row r="11020" customFormat="1"/>
    <row r="11021" customFormat="1"/>
    <row r="11022" customFormat="1"/>
    <row r="11023" customFormat="1"/>
    <row r="11024" customFormat="1"/>
    <row r="11025" customFormat="1"/>
    <row r="11026" customFormat="1"/>
    <row r="11027" customFormat="1"/>
    <row r="11028" customFormat="1"/>
    <row r="11029" customFormat="1"/>
    <row r="11030" customFormat="1"/>
    <row r="11031" customFormat="1"/>
    <row r="11032" customFormat="1"/>
    <row r="11033" customFormat="1"/>
    <row r="11034" customFormat="1"/>
    <row r="11035" customFormat="1"/>
    <row r="11036" customFormat="1"/>
    <row r="11037" customFormat="1"/>
    <row r="11038" customFormat="1"/>
    <row r="11039" customFormat="1"/>
    <row r="11040" customFormat="1"/>
    <row r="11041" customFormat="1"/>
    <row r="11042" customFormat="1"/>
    <row r="11043" customFormat="1"/>
    <row r="11044" customFormat="1"/>
    <row r="11045" customFormat="1"/>
    <row r="11046" customFormat="1"/>
    <row r="11047" customFormat="1"/>
    <row r="11048" customFormat="1"/>
    <row r="11049" customFormat="1"/>
    <row r="11050" customFormat="1"/>
    <row r="11051" customFormat="1"/>
    <row r="11052" customFormat="1"/>
    <row r="11053" customFormat="1"/>
    <row r="11054" customFormat="1"/>
    <row r="11055" customFormat="1"/>
    <row r="11056" customFormat="1"/>
    <row r="11057" customFormat="1"/>
    <row r="11058" customFormat="1"/>
    <row r="11059" customFormat="1"/>
    <row r="11060" customFormat="1"/>
    <row r="11061" customFormat="1"/>
    <row r="11062" customFormat="1"/>
    <row r="11063" customFormat="1"/>
    <row r="11064" customFormat="1"/>
    <row r="11065" customFormat="1"/>
    <row r="11066" customFormat="1"/>
    <row r="11067" customFormat="1"/>
    <row r="11068" customFormat="1"/>
    <row r="11069" customFormat="1"/>
    <row r="11070" customFormat="1"/>
    <row r="11071" customFormat="1"/>
    <row r="11072" customFormat="1"/>
    <row r="11073" customFormat="1"/>
    <row r="11074" customFormat="1"/>
    <row r="11075" customFormat="1"/>
    <row r="11076" customFormat="1"/>
    <row r="11077" customFormat="1"/>
    <row r="11078" customFormat="1"/>
    <row r="11079" customFormat="1"/>
    <row r="11080" customFormat="1"/>
    <row r="11081" customFormat="1"/>
    <row r="11082" customFormat="1"/>
    <row r="11083" customFormat="1"/>
    <row r="11084" customFormat="1"/>
    <row r="11085" customFormat="1"/>
    <row r="11086" customFormat="1"/>
    <row r="11087" customFormat="1"/>
    <row r="11088" customFormat="1"/>
    <row r="11089" customFormat="1"/>
    <row r="11090" customFormat="1"/>
    <row r="11091" customFormat="1"/>
    <row r="11092" customFormat="1"/>
    <row r="11093" customFormat="1"/>
    <row r="11094" customFormat="1"/>
    <row r="11095" customFormat="1"/>
    <row r="11096" customFormat="1"/>
    <row r="11097" customFormat="1"/>
    <row r="11098" customFormat="1"/>
    <row r="11099" customFormat="1"/>
    <row r="11100" customFormat="1"/>
    <row r="11101" customFormat="1"/>
    <row r="11102" customFormat="1"/>
    <row r="11103" customFormat="1"/>
    <row r="11104" customFormat="1"/>
    <row r="11105" customFormat="1"/>
    <row r="11106" customFormat="1"/>
    <row r="11107" customFormat="1"/>
    <row r="11108" customFormat="1"/>
    <row r="11109" customFormat="1"/>
    <row r="11110" customFormat="1"/>
    <row r="11111" customFormat="1"/>
    <row r="11112" customFormat="1"/>
    <row r="11113" customFormat="1"/>
    <row r="11114" customFormat="1"/>
    <row r="11115" customFormat="1"/>
    <row r="11116" customFormat="1"/>
    <row r="11117" customFormat="1"/>
    <row r="11118" customFormat="1"/>
    <row r="11119" customFormat="1"/>
    <row r="11120" customFormat="1"/>
    <row r="11121" customFormat="1"/>
    <row r="11122" customFormat="1"/>
    <row r="11123" customFormat="1"/>
    <row r="11124" customFormat="1"/>
    <row r="11125" customFormat="1"/>
    <row r="11126" customFormat="1"/>
    <row r="11127" customFormat="1"/>
    <row r="11128" customFormat="1"/>
    <row r="11129" customFormat="1"/>
    <row r="11130" customFormat="1"/>
    <row r="11131" customFormat="1"/>
    <row r="11132" customFormat="1"/>
    <row r="11133" customFormat="1"/>
    <row r="11134" customFormat="1"/>
    <row r="11135" customFormat="1"/>
    <row r="11136" customFormat="1"/>
    <row r="11137" customFormat="1"/>
    <row r="11138" customFormat="1"/>
    <row r="11139" customFormat="1"/>
    <row r="11140" customFormat="1"/>
    <row r="11141" customFormat="1"/>
    <row r="11142" customFormat="1"/>
    <row r="11143" customFormat="1"/>
    <row r="11144" customFormat="1"/>
    <row r="11145" customFormat="1"/>
    <row r="11146" customFormat="1"/>
    <row r="11147" customFormat="1"/>
    <row r="11148" customFormat="1"/>
    <row r="11149" customFormat="1"/>
    <row r="11150" customFormat="1"/>
    <row r="11151" customFormat="1"/>
    <row r="11152" customFormat="1"/>
    <row r="11153" customFormat="1"/>
    <row r="11154" customFormat="1"/>
    <row r="11155" customFormat="1"/>
    <row r="11156" customFormat="1"/>
    <row r="11157" customFormat="1"/>
    <row r="11158" customFormat="1"/>
    <row r="11159" customFormat="1"/>
    <row r="11160" customFormat="1"/>
    <row r="11161" customFormat="1"/>
    <row r="11162" customFormat="1"/>
    <row r="11163" customFormat="1"/>
    <row r="11164" customFormat="1"/>
    <row r="11165" customFormat="1"/>
    <row r="11166" customFormat="1"/>
    <row r="11167" customFormat="1"/>
    <row r="11168" customFormat="1"/>
    <row r="11169" customFormat="1"/>
    <row r="11170" customFormat="1"/>
    <row r="11171" customFormat="1"/>
    <row r="11172" customFormat="1"/>
    <row r="11173" customFormat="1"/>
    <row r="11174" customFormat="1"/>
    <row r="11175" customFormat="1"/>
    <row r="11176" customFormat="1"/>
    <row r="11177" customFormat="1"/>
    <row r="11178" customFormat="1"/>
    <row r="11179" customFormat="1"/>
    <row r="11180" customFormat="1"/>
    <row r="11181" customFormat="1"/>
    <row r="11182" customFormat="1"/>
    <row r="11183" customFormat="1"/>
    <row r="11184" customFormat="1"/>
    <row r="11185" customFormat="1"/>
    <row r="11186" customFormat="1"/>
    <row r="11187" customFormat="1"/>
    <row r="11188" customFormat="1"/>
    <row r="11189" customFormat="1"/>
    <row r="11190" customFormat="1"/>
    <row r="11191" customFormat="1"/>
    <row r="11192" customFormat="1"/>
    <row r="11193" customFormat="1"/>
    <row r="11194" customFormat="1"/>
    <row r="11195" customFormat="1"/>
    <row r="11196" customFormat="1"/>
    <row r="11197" customFormat="1"/>
    <row r="11198" customFormat="1"/>
    <row r="11199" customFormat="1"/>
    <row r="11200" customFormat="1"/>
    <row r="11201" customFormat="1"/>
    <row r="11202" customFormat="1"/>
    <row r="11203" customFormat="1"/>
    <row r="11204" customFormat="1"/>
    <row r="11205" customFormat="1"/>
    <row r="11206" customFormat="1"/>
    <row r="11207" customFormat="1"/>
    <row r="11208" customFormat="1"/>
    <row r="11209" customFormat="1"/>
    <row r="11210" customFormat="1"/>
    <row r="11211" customFormat="1"/>
    <row r="11212" customFormat="1"/>
    <row r="11213" customFormat="1"/>
    <row r="11214" customFormat="1"/>
    <row r="11215" customFormat="1"/>
    <row r="11216" customFormat="1"/>
    <row r="11217" customFormat="1"/>
    <row r="11218" customFormat="1"/>
    <row r="11219" customFormat="1"/>
    <row r="11220" customFormat="1"/>
    <row r="11221" customFormat="1"/>
    <row r="11222" customFormat="1"/>
    <row r="11223" customFormat="1"/>
    <row r="11224" customFormat="1"/>
    <row r="11225" customFormat="1"/>
    <row r="11226" customFormat="1"/>
    <row r="11227" customFormat="1"/>
    <row r="11228" customFormat="1"/>
    <row r="11229" customFormat="1"/>
    <row r="11230" customFormat="1"/>
    <row r="11231" customFormat="1"/>
    <row r="11232" customFormat="1"/>
    <row r="11233" customFormat="1"/>
    <row r="11234" customFormat="1"/>
    <row r="11235" customFormat="1"/>
    <row r="11236" customFormat="1"/>
    <row r="11237" customFormat="1"/>
    <row r="11238" customFormat="1"/>
    <row r="11239" customFormat="1"/>
    <row r="11240" customFormat="1"/>
    <row r="11241" customFormat="1"/>
    <row r="11242" customFormat="1"/>
    <row r="11243" customFormat="1"/>
    <row r="11244" customFormat="1"/>
    <row r="11245" customFormat="1"/>
    <row r="11246" customFormat="1"/>
    <row r="11247" customFormat="1"/>
    <row r="11248" customFormat="1"/>
    <row r="11249" customFormat="1"/>
    <row r="11250" customFormat="1"/>
    <row r="11251" customFormat="1"/>
    <row r="11252" customFormat="1"/>
    <row r="11253" customFormat="1"/>
    <row r="11254" customFormat="1"/>
    <row r="11255" customFormat="1"/>
    <row r="11256" customFormat="1"/>
    <row r="11257" customFormat="1"/>
    <row r="11258" customFormat="1"/>
    <row r="11259" customFormat="1"/>
    <row r="11260" customFormat="1"/>
    <row r="11261" customFormat="1"/>
    <row r="11262" customFormat="1"/>
    <row r="11263" customFormat="1"/>
    <row r="11264" customFormat="1"/>
    <row r="11265" customFormat="1"/>
    <row r="11266" customFormat="1"/>
    <row r="11267" customFormat="1"/>
    <row r="11268" customFormat="1"/>
    <row r="11269" customFormat="1"/>
    <row r="11270" customFormat="1"/>
    <row r="11271" customFormat="1"/>
    <row r="11272" customFormat="1"/>
    <row r="11273" customFormat="1"/>
    <row r="11274" customFormat="1"/>
    <row r="11275" customFormat="1"/>
    <row r="11276" customFormat="1"/>
    <row r="11277" customFormat="1"/>
    <row r="11278" customFormat="1"/>
    <row r="11279" customFormat="1"/>
    <row r="11280" customFormat="1"/>
    <row r="11281" customFormat="1"/>
    <row r="11282" customFormat="1"/>
    <row r="11283" customFormat="1"/>
    <row r="11284" customFormat="1"/>
    <row r="11285" customFormat="1"/>
    <row r="11286" customFormat="1"/>
    <row r="11287" customFormat="1"/>
    <row r="11288" customFormat="1"/>
    <row r="11289" customFormat="1"/>
    <row r="11290" customFormat="1"/>
    <row r="11291" customFormat="1"/>
    <row r="11292" customFormat="1"/>
    <row r="11293" customFormat="1"/>
    <row r="11294" customFormat="1"/>
    <row r="11295" customFormat="1"/>
    <row r="11296" customFormat="1"/>
    <row r="11297" customFormat="1"/>
    <row r="11298" customFormat="1"/>
    <row r="11299" customFormat="1"/>
    <row r="11300" customFormat="1"/>
    <row r="11301" customFormat="1"/>
    <row r="11302" customFormat="1"/>
    <row r="11303" customFormat="1"/>
    <row r="11304" customFormat="1"/>
    <row r="11305" customFormat="1"/>
    <row r="11306" customFormat="1"/>
    <row r="11307" customFormat="1"/>
    <row r="11308" customFormat="1"/>
    <row r="11309" customFormat="1"/>
    <row r="11310" customFormat="1"/>
    <row r="11311" customFormat="1"/>
    <row r="11312" customFormat="1"/>
    <row r="11313" customFormat="1"/>
    <row r="11314" customFormat="1"/>
    <row r="11315" customFormat="1"/>
    <row r="11316" customFormat="1"/>
    <row r="11317" customFormat="1"/>
    <row r="11318" customFormat="1"/>
    <row r="11319" customFormat="1"/>
    <row r="11320" customFormat="1"/>
    <row r="11321" customFormat="1"/>
    <row r="11322" customFormat="1"/>
    <row r="11323" customFormat="1"/>
    <row r="11324" customFormat="1"/>
    <row r="11325" customFormat="1"/>
    <row r="11326" customFormat="1"/>
    <row r="11327" customFormat="1"/>
    <row r="11328" customFormat="1"/>
    <row r="11329" customFormat="1"/>
    <row r="11330" customFormat="1"/>
    <row r="11331" customFormat="1"/>
    <row r="11332" customFormat="1"/>
    <row r="11333" customFormat="1"/>
    <row r="11334" customFormat="1"/>
    <row r="11335" customFormat="1"/>
    <row r="11336" customFormat="1"/>
    <row r="11337" customFormat="1"/>
    <row r="11338" customFormat="1"/>
    <row r="11339" customFormat="1"/>
    <row r="11340" customFormat="1"/>
    <row r="11341" customFormat="1"/>
    <row r="11342" customFormat="1"/>
    <row r="11343" customFormat="1"/>
    <row r="11344" customFormat="1"/>
    <row r="11345" customFormat="1"/>
    <row r="11346" customFormat="1"/>
    <row r="11347" customFormat="1"/>
    <row r="11348" customFormat="1"/>
    <row r="11349" customFormat="1"/>
    <row r="11350" customFormat="1"/>
    <row r="11351" customFormat="1"/>
    <row r="11352" customFormat="1"/>
    <row r="11353" customFormat="1"/>
    <row r="11354" customFormat="1"/>
    <row r="11355" customFormat="1"/>
    <row r="11356" customFormat="1"/>
    <row r="11357" customFormat="1"/>
    <row r="11358" customFormat="1"/>
    <row r="11359" customFormat="1"/>
    <row r="11360" customFormat="1"/>
    <row r="11361" customFormat="1"/>
    <row r="11362" customFormat="1"/>
    <row r="11363" customFormat="1"/>
    <row r="11364" customFormat="1"/>
    <row r="11365" customFormat="1"/>
    <row r="11366" customFormat="1"/>
    <row r="11367" customFormat="1"/>
    <row r="11368" customFormat="1"/>
    <row r="11369" customFormat="1"/>
    <row r="11370" customFormat="1"/>
    <row r="11371" customFormat="1"/>
    <row r="11372" customFormat="1"/>
    <row r="11373" customFormat="1"/>
    <row r="11374" customFormat="1"/>
    <row r="11375" customFormat="1"/>
    <row r="11376" customFormat="1"/>
    <row r="11377" customFormat="1"/>
    <row r="11378" customFormat="1"/>
    <row r="11379" customFormat="1"/>
    <row r="11380" customFormat="1"/>
    <row r="11381" customFormat="1"/>
    <row r="11382" customFormat="1"/>
    <row r="11383" customFormat="1"/>
    <row r="11384" customFormat="1"/>
    <row r="11385" customFormat="1"/>
    <row r="11386" customFormat="1"/>
    <row r="11387" customFormat="1"/>
    <row r="11388" customFormat="1"/>
    <row r="11389" customFormat="1"/>
    <row r="11390" customFormat="1"/>
    <row r="11391" customFormat="1"/>
    <row r="11392" customFormat="1"/>
    <row r="11393" customFormat="1"/>
    <row r="11394" customFormat="1"/>
    <row r="11395" customFormat="1"/>
    <row r="11396" customFormat="1"/>
    <row r="11397" customFormat="1"/>
    <row r="11398" customFormat="1"/>
    <row r="11399" customFormat="1"/>
    <row r="11400" customFormat="1"/>
    <row r="11401" customFormat="1"/>
    <row r="11402" customFormat="1"/>
    <row r="11403" customFormat="1"/>
    <row r="11404" customFormat="1"/>
    <row r="11405" customFormat="1"/>
    <row r="11406" customFormat="1"/>
    <row r="11407" customFormat="1"/>
    <row r="11408" customFormat="1"/>
    <row r="11409" customFormat="1"/>
    <row r="11410" customFormat="1"/>
    <row r="11411" customFormat="1"/>
    <row r="11412" customFormat="1"/>
    <row r="11413" customFormat="1"/>
    <row r="11414" customFormat="1"/>
    <row r="11415" customFormat="1"/>
    <row r="11416" customFormat="1"/>
    <row r="11417" customFormat="1"/>
    <row r="11418" customFormat="1"/>
    <row r="11419" customFormat="1"/>
    <row r="11420" customFormat="1"/>
    <row r="11421" customFormat="1"/>
    <row r="11422" customFormat="1"/>
    <row r="11423" customFormat="1"/>
    <row r="11424" customFormat="1"/>
    <row r="11425" customFormat="1"/>
    <row r="11426" customFormat="1"/>
    <row r="11427" customFormat="1"/>
    <row r="11428" customFormat="1"/>
    <row r="11429" customFormat="1"/>
    <row r="11430" customFormat="1"/>
    <row r="11431" customFormat="1"/>
    <row r="11432" customFormat="1"/>
    <row r="11433" customFormat="1"/>
    <row r="11434" customFormat="1"/>
    <row r="11435" customFormat="1"/>
    <row r="11436" customFormat="1"/>
    <row r="11437" customFormat="1"/>
    <row r="11438" customFormat="1"/>
    <row r="11439" customFormat="1"/>
    <row r="11440" customFormat="1"/>
    <row r="11441" customFormat="1"/>
    <row r="11442" customFormat="1"/>
    <row r="11443" customFormat="1"/>
    <row r="11444" customFormat="1"/>
    <row r="11445" customFormat="1"/>
    <row r="11446" customFormat="1"/>
    <row r="11447" customFormat="1"/>
    <row r="11448" customFormat="1"/>
    <row r="11449" customFormat="1"/>
    <row r="11450" customFormat="1"/>
    <row r="11451" customFormat="1"/>
    <row r="11452" customFormat="1"/>
    <row r="11453" customFormat="1"/>
    <row r="11454" customFormat="1"/>
    <row r="11455" customFormat="1"/>
    <row r="11456" customFormat="1"/>
    <row r="11457" customFormat="1"/>
    <row r="11458" customFormat="1"/>
    <row r="11459" customFormat="1"/>
    <row r="11460" customFormat="1"/>
    <row r="11461" customFormat="1"/>
    <row r="11462" customFormat="1"/>
    <row r="11463" customFormat="1"/>
    <row r="11464" customFormat="1"/>
    <row r="11465" customFormat="1"/>
    <row r="11466" customFormat="1"/>
    <row r="11467" customFormat="1"/>
    <row r="11468" customFormat="1"/>
    <row r="11469" customFormat="1"/>
    <row r="11470" customFormat="1"/>
    <row r="11471" customFormat="1"/>
    <row r="11472" customFormat="1"/>
    <row r="11473" customFormat="1"/>
    <row r="11474" customFormat="1"/>
    <row r="11475" customFormat="1"/>
    <row r="11476" customFormat="1"/>
    <row r="11477" customFormat="1"/>
    <row r="11478" customFormat="1"/>
    <row r="11479" customFormat="1"/>
    <row r="11480" customFormat="1"/>
    <row r="11481" customFormat="1"/>
    <row r="11482" customFormat="1"/>
    <row r="11483" customFormat="1"/>
    <row r="11484" customFormat="1"/>
    <row r="11485" customFormat="1"/>
    <row r="11486" customFormat="1"/>
    <row r="11487" customFormat="1"/>
    <row r="11488" customFormat="1"/>
    <row r="11489" customFormat="1"/>
    <row r="11490" customFormat="1"/>
    <row r="11491" customFormat="1"/>
    <row r="11492" customFormat="1"/>
    <row r="11493" customFormat="1"/>
    <row r="11494" customFormat="1"/>
    <row r="11495" customFormat="1"/>
    <row r="11496" customFormat="1"/>
    <row r="11497" customFormat="1"/>
    <row r="11498" customFormat="1"/>
    <row r="11499" customFormat="1"/>
    <row r="11500" customFormat="1"/>
    <row r="11501" customFormat="1"/>
    <row r="11502" customFormat="1"/>
    <row r="11503" customFormat="1"/>
    <row r="11504" customFormat="1"/>
    <row r="11505" customFormat="1"/>
    <row r="11506" customFormat="1"/>
    <row r="11507" customFormat="1"/>
    <row r="11508" customFormat="1"/>
    <row r="11509" customFormat="1"/>
    <row r="11510" customFormat="1"/>
    <row r="11511" customFormat="1"/>
    <row r="11512" customFormat="1"/>
    <row r="11513" customFormat="1"/>
    <row r="11514" customFormat="1"/>
    <row r="11515" customFormat="1"/>
    <row r="11516" customFormat="1"/>
    <row r="11517" customFormat="1"/>
    <row r="11518" customFormat="1"/>
    <row r="11519" customFormat="1"/>
    <row r="11520" customFormat="1"/>
    <row r="11521" customFormat="1"/>
    <row r="11522" customFormat="1"/>
    <row r="11523" customFormat="1"/>
    <row r="11524" customFormat="1"/>
    <row r="11525" customFormat="1"/>
    <row r="11526" customFormat="1"/>
    <row r="11527" customFormat="1"/>
    <row r="11528" customFormat="1"/>
    <row r="11529" customFormat="1"/>
    <row r="11530" customFormat="1"/>
    <row r="11531" customFormat="1"/>
    <row r="11532" customFormat="1"/>
    <row r="11533" customFormat="1"/>
    <row r="11534" customFormat="1"/>
    <row r="11535" customFormat="1"/>
    <row r="11536" customFormat="1"/>
    <row r="11537" customFormat="1"/>
    <row r="11538" customFormat="1"/>
    <row r="11539" customFormat="1"/>
    <row r="11540" customFormat="1"/>
    <row r="11541" customFormat="1"/>
    <row r="11542" customFormat="1"/>
    <row r="11543" customFormat="1"/>
    <row r="11544" customFormat="1"/>
    <row r="11545" customFormat="1"/>
    <row r="11546" customFormat="1"/>
    <row r="11547" customFormat="1"/>
    <row r="11548" customFormat="1"/>
    <row r="11549" customFormat="1"/>
    <row r="11550" customFormat="1"/>
    <row r="11551" customFormat="1"/>
    <row r="11552" customFormat="1"/>
    <row r="11553" customFormat="1"/>
    <row r="11554" customFormat="1"/>
    <row r="11555" customFormat="1"/>
    <row r="11556" customFormat="1"/>
    <row r="11557" customFormat="1"/>
    <row r="11558" customFormat="1"/>
    <row r="11559" customFormat="1"/>
    <row r="11560" customFormat="1"/>
    <row r="11561" customFormat="1"/>
    <row r="11562" customFormat="1"/>
    <row r="11563" customFormat="1"/>
    <row r="11564" customFormat="1"/>
    <row r="11565" customFormat="1"/>
    <row r="11566" customFormat="1"/>
    <row r="11567" customFormat="1"/>
    <row r="11568" customFormat="1"/>
    <row r="11569" customFormat="1"/>
    <row r="11570" customFormat="1"/>
    <row r="11571" customFormat="1"/>
    <row r="11572" customFormat="1"/>
    <row r="11573" customFormat="1"/>
    <row r="11574" customFormat="1"/>
    <row r="11575" customFormat="1"/>
    <row r="11576" customFormat="1"/>
    <row r="11577" customFormat="1"/>
    <row r="11578" customFormat="1"/>
    <row r="11579" customFormat="1"/>
    <row r="11580" customFormat="1"/>
    <row r="11581" customFormat="1"/>
    <row r="11582" customFormat="1"/>
    <row r="11583" customFormat="1"/>
    <row r="11584" customFormat="1"/>
    <row r="11585" customFormat="1"/>
    <row r="11586" customFormat="1"/>
    <row r="11587" customFormat="1"/>
    <row r="11588" customFormat="1"/>
    <row r="11589" customFormat="1"/>
    <row r="11590" customFormat="1"/>
    <row r="11591" customFormat="1"/>
    <row r="11592" customFormat="1"/>
    <row r="11593" customFormat="1"/>
    <row r="11594" customFormat="1"/>
    <row r="11595" customFormat="1"/>
    <row r="11596" customFormat="1"/>
    <row r="11597" customFormat="1"/>
    <row r="11598" customFormat="1"/>
    <row r="11599" customFormat="1"/>
    <row r="11600" customFormat="1"/>
    <row r="11601" customFormat="1"/>
    <row r="11602" customFormat="1"/>
    <row r="11603" customFormat="1"/>
    <row r="11604" customFormat="1"/>
    <row r="11605" customFormat="1"/>
    <row r="11606" customFormat="1"/>
    <row r="11607" customFormat="1"/>
    <row r="11608" customFormat="1"/>
    <row r="11609" customFormat="1"/>
    <row r="11610" customFormat="1"/>
    <row r="11611" customFormat="1"/>
    <row r="11612" customFormat="1"/>
    <row r="11613" customFormat="1"/>
    <row r="11614" customFormat="1"/>
    <row r="11615" customFormat="1"/>
    <row r="11616" customFormat="1"/>
    <row r="11617" customFormat="1"/>
    <row r="11618" customFormat="1"/>
    <row r="11619" customFormat="1"/>
    <row r="11620" customFormat="1"/>
    <row r="11621" customFormat="1"/>
    <row r="11622" customFormat="1"/>
    <row r="11623" customFormat="1"/>
    <row r="11624" customFormat="1"/>
    <row r="11625" customFormat="1"/>
    <row r="11626" customFormat="1"/>
    <row r="11627" customFormat="1"/>
    <row r="11628" customFormat="1"/>
    <row r="11629" customFormat="1"/>
    <row r="11630" customFormat="1"/>
    <row r="11631" customFormat="1"/>
    <row r="11632" customFormat="1"/>
    <row r="11633" customFormat="1"/>
    <row r="11634" customFormat="1"/>
    <row r="11635" customFormat="1"/>
    <row r="11636" customFormat="1"/>
    <row r="11637" customFormat="1"/>
    <row r="11638" customFormat="1"/>
    <row r="11639" customFormat="1"/>
    <row r="11640" customFormat="1"/>
    <row r="11641" customFormat="1"/>
    <row r="11642" customFormat="1"/>
    <row r="11643" customFormat="1"/>
    <row r="11644" customFormat="1"/>
    <row r="11645" customFormat="1"/>
    <row r="11646" customFormat="1"/>
    <row r="11647" customFormat="1"/>
    <row r="11648" customFormat="1"/>
    <row r="11649" customFormat="1"/>
    <row r="11650" customFormat="1"/>
    <row r="11651" customFormat="1"/>
    <row r="11652" customFormat="1"/>
    <row r="11653" customFormat="1"/>
    <row r="11654" customFormat="1"/>
    <row r="11655" customFormat="1"/>
    <row r="11656" customFormat="1"/>
    <row r="11657" customFormat="1"/>
    <row r="11658" customFormat="1"/>
    <row r="11659" customFormat="1"/>
    <row r="11660" customFormat="1"/>
    <row r="11661" customFormat="1"/>
    <row r="11662" customFormat="1"/>
    <row r="11663" customFormat="1"/>
    <row r="11664" customFormat="1"/>
    <row r="11665" customFormat="1"/>
    <row r="11666" customFormat="1"/>
    <row r="11667" customFormat="1"/>
    <row r="11668" customFormat="1"/>
    <row r="11669" customFormat="1"/>
    <row r="11670" customFormat="1"/>
    <row r="11671" customFormat="1"/>
    <row r="11672" customFormat="1"/>
    <row r="11673" customFormat="1"/>
    <row r="11674" customFormat="1"/>
    <row r="11675" customFormat="1"/>
    <row r="11676" customFormat="1"/>
    <row r="11677" customFormat="1"/>
    <row r="11678" customFormat="1"/>
    <row r="11679" customFormat="1"/>
    <row r="11680" customFormat="1"/>
    <row r="11681" customFormat="1"/>
    <row r="11682" customFormat="1"/>
    <row r="11683" customFormat="1"/>
    <row r="11684" customFormat="1"/>
    <row r="11685" customFormat="1"/>
    <row r="11686" customFormat="1"/>
    <row r="11687" customFormat="1"/>
    <row r="11688" customFormat="1"/>
    <row r="11689" customFormat="1"/>
    <row r="11690" customFormat="1"/>
    <row r="11691" customFormat="1"/>
    <row r="11692" customFormat="1"/>
    <row r="11693" customFormat="1"/>
    <row r="11694" customFormat="1"/>
    <row r="11695" customFormat="1"/>
    <row r="11696" customFormat="1"/>
    <row r="11697" customFormat="1"/>
    <row r="11698" customFormat="1"/>
    <row r="11699" customFormat="1"/>
    <row r="11700" customFormat="1"/>
    <row r="11701" customFormat="1"/>
    <row r="11702" customFormat="1"/>
    <row r="11703" customFormat="1"/>
    <row r="11704" customFormat="1"/>
    <row r="11705" customFormat="1"/>
    <row r="11706" customFormat="1"/>
    <row r="11707" customFormat="1"/>
    <row r="11708" customFormat="1"/>
    <row r="11709" customFormat="1"/>
    <row r="11710" customFormat="1"/>
    <row r="11711" customFormat="1"/>
    <row r="11712" customFormat="1"/>
    <row r="11713" customFormat="1"/>
    <row r="11714" customFormat="1"/>
    <row r="11715" customFormat="1"/>
    <row r="11716" customFormat="1"/>
    <row r="11717" customFormat="1"/>
    <row r="11718" customFormat="1"/>
    <row r="11719" customFormat="1"/>
    <row r="11720" customFormat="1"/>
    <row r="11721" customFormat="1"/>
    <row r="11722" customFormat="1"/>
    <row r="11723" customFormat="1"/>
    <row r="11724" customFormat="1"/>
    <row r="11725" customFormat="1"/>
    <row r="11726" customFormat="1"/>
    <row r="11727" customFormat="1"/>
    <row r="11728" customFormat="1"/>
    <row r="11729" customFormat="1"/>
    <row r="11730" customFormat="1"/>
    <row r="11731" customFormat="1"/>
    <row r="11732" customFormat="1"/>
    <row r="11733" customFormat="1"/>
    <row r="11734" customFormat="1"/>
    <row r="11735" customFormat="1"/>
    <row r="11736" customFormat="1"/>
    <row r="11737" customFormat="1"/>
    <row r="11738" customFormat="1"/>
    <row r="11739" customFormat="1"/>
    <row r="11740" customFormat="1"/>
    <row r="11741" customFormat="1"/>
    <row r="11742" customFormat="1"/>
    <row r="11743" customFormat="1"/>
    <row r="11744" customFormat="1"/>
    <row r="11745" customFormat="1"/>
    <row r="11746" customFormat="1"/>
    <row r="11747" customFormat="1"/>
    <row r="11748" customFormat="1"/>
    <row r="11749" customFormat="1"/>
    <row r="11750" customFormat="1"/>
    <row r="11751" customFormat="1"/>
    <row r="11752" customFormat="1"/>
    <row r="11753" customFormat="1"/>
    <row r="11754" customFormat="1"/>
    <row r="11755" customFormat="1"/>
    <row r="11756" customFormat="1"/>
    <row r="11757" customFormat="1"/>
    <row r="11758" customFormat="1"/>
    <row r="11759" customFormat="1"/>
    <row r="11760" customFormat="1"/>
    <row r="11761" customFormat="1"/>
    <row r="11762" customFormat="1"/>
    <row r="11763" customFormat="1"/>
    <row r="11764" customFormat="1"/>
    <row r="11765" customFormat="1"/>
    <row r="11766" customFormat="1"/>
    <row r="11767" customFormat="1"/>
    <row r="11768" customFormat="1"/>
    <row r="11769" customFormat="1"/>
    <row r="11770" customFormat="1"/>
    <row r="11771" customFormat="1"/>
    <row r="11772" customFormat="1"/>
    <row r="11773" customFormat="1"/>
    <row r="11774" customFormat="1"/>
    <row r="11775" customFormat="1"/>
    <row r="11776" customFormat="1"/>
    <row r="11777" customFormat="1"/>
    <row r="11778" customFormat="1"/>
    <row r="11779" customFormat="1"/>
    <row r="11780" customFormat="1"/>
    <row r="11781" customFormat="1"/>
    <row r="11782" customFormat="1"/>
    <row r="11783" customFormat="1"/>
    <row r="11784" customFormat="1"/>
    <row r="11785" customFormat="1"/>
    <row r="11786" customFormat="1"/>
    <row r="11787" customFormat="1"/>
    <row r="11788" customFormat="1"/>
    <row r="11789" customFormat="1"/>
    <row r="11790" customFormat="1"/>
    <row r="11791" customFormat="1"/>
    <row r="11792" customFormat="1"/>
    <row r="11793" customFormat="1"/>
    <row r="11794" customFormat="1"/>
    <row r="11795" customFormat="1"/>
    <row r="11796" customFormat="1"/>
    <row r="11797" customFormat="1"/>
    <row r="11798" customFormat="1"/>
    <row r="11799" customFormat="1"/>
    <row r="11800" customFormat="1"/>
    <row r="11801" customFormat="1"/>
    <row r="11802" customFormat="1"/>
    <row r="11803" customFormat="1"/>
    <row r="11804" customFormat="1"/>
    <row r="11805" customFormat="1"/>
    <row r="11806" customFormat="1"/>
    <row r="11807" customFormat="1"/>
    <row r="11808" customFormat="1"/>
    <row r="11809" customFormat="1"/>
    <row r="11810" customFormat="1"/>
    <row r="11811" customFormat="1"/>
    <row r="11812" customFormat="1"/>
    <row r="11813" customFormat="1"/>
    <row r="11814" customFormat="1"/>
    <row r="11815" customFormat="1"/>
    <row r="11816" customFormat="1"/>
    <row r="11817" customFormat="1"/>
    <row r="11818" customFormat="1"/>
    <row r="11819" customFormat="1"/>
    <row r="11820" customFormat="1"/>
    <row r="11821" customFormat="1"/>
    <row r="11822" customFormat="1"/>
    <row r="11823" customFormat="1"/>
    <row r="11824" customFormat="1"/>
    <row r="11825" customFormat="1"/>
    <row r="11826" customFormat="1"/>
    <row r="11827" customFormat="1"/>
    <row r="11828" customFormat="1"/>
    <row r="11829" customFormat="1"/>
    <row r="11830" customFormat="1"/>
    <row r="11831" customFormat="1"/>
    <row r="11832" customFormat="1"/>
    <row r="11833" customFormat="1"/>
    <row r="11834" customFormat="1"/>
    <row r="11835" customFormat="1"/>
    <row r="11836" customFormat="1"/>
    <row r="11837" customFormat="1"/>
    <row r="11838" customFormat="1"/>
    <row r="11839" customFormat="1"/>
    <row r="11840" customFormat="1"/>
    <row r="11841" customFormat="1"/>
    <row r="11842" customFormat="1"/>
    <row r="11843" customFormat="1"/>
    <row r="11844" customFormat="1"/>
    <row r="11845" customFormat="1"/>
    <row r="11846" customFormat="1"/>
    <row r="11847" customFormat="1"/>
    <row r="11848" customFormat="1"/>
    <row r="11849" customFormat="1"/>
    <row r="11850" customFormat="1"/>
    <row r="11851" customFormat="1"/>
    <row r="11852" customFormat="1"/>
    <row r="11853" customFormat="1"/>
    <row r="11854" customFormat="1"/>
    <row r="11855" customFormat="1"/>
    <row r="11856" customFormat="1"/>
    <row r="11857" customFormat="1"/>
    <row r="11858" customFormat="1"/>
    <row r="11859" customFormat="1"/>
    <row r="11860" customFormat="1"/>
    <row r="11861" customFormat="1"/>
    <row r="11862" customFormat="1"/>
    <row r="11863" customFormat="1"/>
    <row r="11864" customFormat="1"/>
    <row r="11865" customFormat="1"/>
    <row r="11866" customFormat="1"/>
    <row r="11867" customFormat="1"/>
    <row r="11868" customFormat="1"/>
    <row r="11869" customFormat="1"/>
    <row r="11870" customFormat="1"/>
    <row r="11871" customFormat="1"/>
    <row r="11872" customFormat="1"/>
    <row r="11873" customFormat="1"/>
    <row r="11874" customFormat="1"/>
    <row r="11875" customFormat="1"/>
    <row r="11876" customFormat="1"/>
    <row r="11877" customFormat="1"/>
    <row r="11878" customFormat="1"/>
    <row r="11879" customFormat="1"/>
    <row r="11880" customFormat="1"/>
    <row r="11881" customFormat="1"/>
    <row r="11882" customFormat="1"/>
    <row r="11883" customFormat="1"/>
    <row r="11884" customFormat="1"/>
    <row r="11885" customFormat="1"/>
    <row r="11886" customFormat="1"/>
    <row r="11887" customFormat="1"/>
    <row r="11888" customFormat="1"/>
    <row r="11889" customFormat="1"/>
    <row r="11890" customFormat="1"/>
    <row r="11891" customFormat="1"/>
    <row r="11892" customFormat="1"/>
    <row r="11893" customFormat="1"/>
    <row r="11894" customFormat="1"/>
    <row r="11895" customFormat="1"/>
    <row r="11896" customFormat="1"/>
    <row r="11897" customFormat="1"/>
    <row r="11898" customFormat="1"/>
    <row r="11899" customFormat="1"/>
    <row r="11900" customFormat="1"/>
    <row r="11901" customFormat="1"/>
    <row r="11902" customFormat="1"/>
    <row r="11903" customFormat="1"/>
    <row r="11904" customFormat="1"/>
    <row r="11905" customFormat="1"/>
    <row r="11906" customFormat="1"/>
    <row r="11907" customFormat="1"/>
    <row r="11908" customFormat="1"/>
    <row r="11909" customFormat="1"/>
    <row r="11910" customFormat="1"/>
    <row r="11911" customFormat="1"/>
    <row r="11912" customFormat="1"/>
    <row r="11913" customFormat="1"/>
    <row r="11914" customFormat="1"/>
    <row r="11915" customFormat="1"/>
    <row r="11916" customFormat="1"/>
    <row r="11917" customFormat="1"/>
    <row r="11918" customFormat="1"/>
    <row r="11919" customFormat="1"/>
    <row r="11920" customFormat="1"/>
    <row r="11921" customFormat="1"/>
    <row r="11922" customFormat="1"/>
    <row r="11923" customFormat="1"/>
    <row r="11924" customFormat="1"/>
    <row r="11925" customFormat="1"/>
    <row r="11926" customFormat="1"/>
    <row r="11927" customFormat="1"/>
    <row r="11928" customFormat="1"/>
    <row r="11929" customFormat="1"/>
    <row r="11930" customFormat="1"/>
    <row r="11931" customFormat="1"/>
    <row r="11932" customFormat="1"/>
    <row r="11933" customFormat="1"/>
    <row r="11934" customFormat="1"/>
    <row r="11935" customFormat="1"/>
    <row r="11936" customFormat="1"/>
    <row r="11937" customFormat="1"/>
    <row r="11938" customFormat="1"/>
    <row r="11939" customFormat="1"/>
    <row r="11940" customFormat="1"/>
    <row r="11941" customFormat="1"/>
    <row r="11942" customFormat="1"/>
    <row r="11943" customFormat="1"/>
    <row r="11944" customFormat="1"/>
    <row r="11945" customFormat="1"/>
    <row r="11946" customFormat="1"/>
    <row r="11947" customFormat="1"/>
    <row r="11948" customFormat="1"/>
    <row r="11949" customFormat="1"/>
    <row r="11950" customFormat="1"/>
    <row r="11951" customFormat="1"/>
    <row r="11952" customFormat="1"/>
    <row r="11953" customFormat="1"/>
    <row r="11954" customFormat="1"/>
    <row r="11955" customFormat="1"/>
    <row r="11956" customFormat="1"/>
    <row r="11957" customFormat="1"/>
    <row r="11958" customFormat="1"/>
    <row r="11959" customFormat="1"/>
    <row r="11960" customFormat="1"/>
    <row r="11961" customFormat="1"/>
    <row r="11962" customFormat="1"/>
    <row r="11963" customFormat="1"/>
    <row r="11964" customFormat="1"/>
    <row r="11965" customFormat="1"/>
    <row r="11966" customFormat="1"/>
    <row r="11967" customFormat="1"/>
    <row r="11968" customFormat="1"/>
    <row r="11969" customFormat="1"/>
    <row r="11970" customFormat="1"/>
    <row r="11971" customFormat="1"/>
    <row r="11972" customFormat="1"/>
    <row r="11973" customFormat="1"/>
    <row r="11974" customFormat="1"/>
    <row r="11975" customFormat="1"/>
    <row r="11976" customFormat="1"/>
    <row r="11977" customFormat="1"/>
    <row r="11978" customFormat="1"/>
    <row r="11979" customFormat="1"/>
    <row r="11980" customFormat="1"/>
    <row r="11981" customFormat="1"/>
    <row r="11982" customFormat="1"/>
    <row r="11983" customFormat="1"/>
    <row r="11984" customFormat="1"/>
    <row r="11985" customFormat="1"/>
    <row r="11986" customFormat="1"/>
    <row r="11987" customFormat="1"/>
    <row r="11988" customFormat="1"/>
    <row r="11989" customFormat="1"/>
    <row r="11990" customFormat="1"/>
    <row r="11991" customFormat="1"/>
    <row r="11992" customFormat="1"/>
    <row r="11993" customFormat="1"/>
    <row r="11994" customFormat="1"/>
    <row r="11995" customFormat="1"/>
    <row r="11996" customFormat="1"/>
    <row r="11997" customFormat="1"/>
    <row r="11998" customFormat="1"/>
    <row r="11999" customFormat="1"/>
    <row r="12000" customFormat="1"/>
    <row r="12001" customFormat="1"/>
    <row r="12002" customFormat="1"/>
    <row r="12003" customFormat="1"/>
    <row r="12004" customFormat="1"/>
    <row r="12005" customFormat="1"/>
    <row r="12006" customFormat="1"/>
    <row r="12007" customFormat="1"/>
    <row r="12008" customFormat="1"/>
    <row r="12009" customFormat="1"/>
    <row r="12010" customFormat="1"/>
    <row r="12011" customFormat="1"/>
    <row r="12012" customFormat="1"/>
    <row r="12013" customFormat="1"/>
    <row r="12014" customFormat="1"/>
    <row r="12015" customFormat="1"/>
    <row r="12016" customFormat="1"/>
    <row r="12017" customFormat="1"/>
    <row r="12018" customFormat="1"/>
    <row r="12019" customFormat="1"/>
    <row r="12020" customFormat="1"/>
    <row r="12021" customFormat="1"/>
    <row r="12022" customFormat="1"/>
    <row r="12023" customFormat="1"/>
    <row r="12024" customFormat="1"/>
    <row r="12025" customFormat="1"/>
    <row r="12026" customFormat="1"/>
    <row r="12027" customFormat="1"/>
    <row r="12028" customFormat="1"/>
    <row r="12029" customFormat="1"/>
    <row r="12030" customFormat="1"/>
    <row r="12031" customFormat="1"/>
    <row r="12032" customFormat="1"/>
    <row r="12033" customFormat="1"/>
    <row r="12034" customFormat="1"/>
    <row r="12035" customFormat="1"/>
    <row r="12036" customFormat="1"/>
    <row r="12037" customFormat="1"/>
    <row r="12038" customFormat="1"/>
    <row r="12039" customFormat="1"/>
    <row r="12040" customFormat="1"/>
    <row r="12041" customFormat="1"/>
    <row r="12042" customFormat="1"/>
    <row r="12043" customFormat="1"/>
    <row r="12044" customFormat="1"/>
    <row r="12045" customFormat="1"/>
    <row r="12046" customFormat="1"/>
    <row r="12047" customFormat="1"/>
    <row r="12048" customFormat="1"/>
    <row r="12049" customFormat="1"/>
    <row r="12050" customFormat="1"/>
    <row r="12051" customFormat="1"/>
    <row r="12052" customFormat="1"/>
    <row r="12053" customFormat="1"/>
    <row r="12054" customFormat="1"/>
    <row r="12055" customFormat="1"/>
    <row r="12056" customFormat="1"/>
    <row r="12057" customFormat="1"/>
    <row r="12058" customFormat="1"/>
    <row r="12059" customFormat="1"/>
    <row r="12060" customFormat="1"/>
    <row r="12061" customFormat="1"/>
    <row r="12062" customFormat="1"/>
    <row r="12063" customFormat="1"/>
    <row r="12064" customFormat="1"/>
    <row r="12065" customFormat="1"/>
    <row r="12066" customFormat="1"/>
    <row r="12067" customFormat="1"/>
    <row r="12068" customFormat="1"/>
    <row r="12069" customFormat="1"/>
    <row r="12070" customFormat="1"/>
    <row r="12071" customFormat="1"/>
    <row r="12072" customFormat="1"/>
    <row r="12073" customFormat="1"/>
    <row r="12074" customFormat="1"/>
    <row r="12075" customFormat="1"/>
    <row r="12076" customFormat="1"/>
    <row r="12077" customFormat="1"/>
    <row r="12078" customFormat="1"/>
    <row r="12079" customFormat="1"/>
    <row r="12080" customFormat="1"/>
    <row r="12081" customFormat="1"/>
    <row r="12082" customFormat="1"/>
    <row r="12083" customFormat="1"/>
    <row r="12084" customFormat="1"/>
    <row r="12085" customFormat="1"/>
    <row r="12086" customFormat="1"/>
    <row r="12087" customFormat="1"/>
    <row r="12088" customFormat="1"/>
    <row r="12089" customFormat="1"/>
    <row r="12090" customFormat="1"/>
    <row r="12091" customFormat="1"/>
    <row r="12092" customFormat="1"/>
    <row r="12093" customFormat="1"/>
    <row r="12094" customFormat="1"/>
    <row r="12095" customFormat="1"/>
    <row r="12096" customFormat="1"/>
    <row r="12097" customFormat="1"/>
    <row r="12098" customFormat="1"/>
    <row r="12099" customFormat="1"/>
    <row r="12100" customFormat="1"/>
    <row r="12101" customFormat="1"/>
    <row r="12102" customFormat="1"/>
    <row r="12103" customFormat="1"/>
    <row r="12104" customFormat="1"/>
    <row r="12105" customFormat="1"/>
    <row r="12106" customFormat="1"/>
    <row r="12107" customFormat="1"/>
    <row r="12108" customFormat="1"/>
    <row r="12109" customFormat="1"/>
    <row r="12110" customFormat="1"/>
    <row r="12111" customFormat="1"/>
    <row r="12112" customFormat="1"/>
    <row r="12113" customFormat="1"/>
    <row r="12114" customFormat="1"/>
    <row r="12115" customFormat="1"/>
    <row r="12116" customFormat="1"/>
    <row r="12117" customFormat="1"/>
    <row r="12118" customFormat="1"/>
    <row r="12119" customFormat="1"/>
    <row r="12120" customFormat="1"/>
    <row r="12121" customFormat="1"/>
    <row r="12122" customFormat="1"/>
    <row r="12123" customFormat="1"/>
    <row r="12124" customFormat="1"/>
    <row r="12125" customFormat="1"/>
    <row r="12126" customFormat="1"/>
    <row r="12127" customFormat="1"/>
    <row r="12128" customFormat="1"/>
    <row r="12129" customFormat="1"/>
    <row r="12130" customFormat="1"/>
    <row r="12131" customFormat="1"/>
    <row r="12132" customFormat="1"/>
    <row r="12133" customFormat="1"/>
    <row r="12134" customFormat="1"/>
    <row r="12135" customFormat="1"/>
    <row r="12136" customFormat="1"/>
    <row r="12137" customFormat="1"/>
    <row r="12138" customFormat="1"/>
    <row r="12139" customFormat="1"/>
    <row r="12140" customFormat="1"/>
    <row r="12141" customFormat="1"/>
    <row r="12142" customFormat="1"/>
    <row r="12143" customFormat="1"/>
    <row r="12144" customFormat="1"/>
    <row r="12145" customFormat="1"/>
    <row r="12146" customFormat="1"/>
    <row r="12147" customFormat="1"/>
    <row r="12148" customFormat="1"/>
    <row r="12149" customFormat="1"/>
    <row r="12150" customFormat="1"/>
    <row r="12151" customFormat="1"/>
    <row r="12152" customFormat="1"/>
    <row r="12153" customFormat="1"/>
    <row r="12154" customFormat="1"/>
    <row r="12155" customFormat="1"/>
    <row r="12156" customFormat="1"/>
    <row r="12157" customFormat="1"/>
    <row r="12158" customFormat="1"/>
    <row r="12159" customFormat="1"/>
    <row r="12160" customFormat="1"/>
    <row r="12161" customFormat="1"/>
    <row r="12162" customFormat="1"/>
    <row r="12163" customFormat="1"/>
    <row r="12164" customFormat="1"/>
    <row r="12165" customFormat="1"/>
    <row r="12166" customFormat="1"/>
    <row r="12167" customFormat="1"/>
    <row r="12168" customFormat="1"/>
    <row r="12169" customFormat="1"/>
    <row r="12170" customFormat="1"/>
    <row r="12171" customFormat="1"/>
    <row r="12172" customFormat="1"/>
    <row r="12173" customFormat="1"/>
    <row r="12174" customFormat="1"/>
    <row r="12175" customFormat="1"/>
    <row r="12176" customFormat="1"/>
    <row r="12177" customFormat="1"/>
    <row r="12178" customFormat="1"/>
    <row r="12179" customFormat="1"/>
    <row r="12180" customFormat="1"/>
    <row r="12181" customFormat="1"/>
    <row r="12182" customFormat="1"/>
    <row r="12183" customFormat="1"/>
    <row r="12184" customFormat="1"/>
    <row r="12185" customFormat="1"/>
    <row r="12186" customFormat="1"/>
    <row r="12187" customFormat="1"/>
    <row r="12188" customFormat="1"/>
    <row r="12189" customFormat="1"/>
    <row r="12190" customFormat="1"/>
    <row r="12191" customFormat="1"/>
    <row r="12192" customFormat="1"/>
    <row r="12193" customFormat="1"/>
    <row r="12194" customFormat="1"/>
    <row r="12195" customFormat="1"/>
    <row r="12196" customFormat="1"/>
    <row r="12197" customFormat="1"/>
    <row r="12198" customFormat="1"/>
    <row r="12199" customFormat="1"/>
    <row r="12200" customFormat="1"/>
    <row r="12201" customFormat="1"/>
    <row r="12202" customFormat="1"/>
    <row r="12203" customFormat="1"/>
    <row r="12204" customFormat="1"/>
    <row r="12205" customFormat="1"/>
    <row r="12206" customFormat="1"/>
    <row r="12207" customFormat="1"/>
    <row r="12208" customFormat="1"/>
    <row r="12209" customFormat="1"/>
    <row r="12210" customFormat="1"/>
    <row r="12211" customFormat="1"/>
    <row r="12212" customFormat="1"/>
    <row r="12213" customFormat="1"/>
    <row r="12214" customFormat="1"/>
    <row r="12215" customFormat="1"/>
    <row r="12216" customFormat="1"/>
    <row r="12217" customFormat="1"/>
    <row r="12218" customFormat="1"/>
    <row r="12219" customFormat="1"/>
    <row r="12220" customFormat="1"/>
    <row r="12221" customFormat="1"/>
    <row r="12222" customFormat="1"/>
    <row r="12223" customFormat="1"/>
    <row r="12224" customFormat="1"/>
    <row r="12225" customFormat="1"/>
    <row r="12226" customFormat="1"/>
    <row r="12227" customFormat="1"/>
    <row r="12228" customFormat="1"/>
    <row r="12229" customFormat="1"/>
    <row r="12230" customFormat="1"/>
    <row r="12231" customFormat="1"/>
    <row r="12232" customFormat="1"/>
    <row r="12233" customFormat="1"/>
    <row r="12234" customFormat="1"/>
    <row r="12235" customFormat="1"/>
    <row r="12236" customFormat="1"/>
    <row r="12237" customFormat="1"/>
    <row r="12238" customFormat="1"/>
    <row r="12239" customFormat="1"/>
    <row r="12240" customFormat="1"/>
    <row r="12241" customFormat="1"/>
    <row r="12242" customFormat="1"/>
    <row r="12243" customFormat="1"/>
    <row r="12244" customFormat="1"/>
    <row r="12245" customFormat="1"/>
    <row r="12246" customFormat="1"/>
    <row r="12247" customFormat="1"/>
    <row r="12248" customFormat="1"/>
    <row r="12249" customFormat="1"/>
    <row r="12250" customFormat="1"/>
    <row r="12251" customFormat="1"/>
    <row r="12252" customFormat="1"/>
    <row r="12253" customFormat="1"/>
    <row r="12254" customFormat="1"/>
    <row r="12255" customFormat="1"/>
    <row r="12256" customFormat="1"/>
    <row r="12257" customFormat="1"/>
    <row r="12258" customFormat="1"/>
    <row r="12259" customFormat="1"/>
    <row r="12260" customFormat="1"/>
    <row r="12261" customFormat="1"/>
    <row r="12262" customFormat="1"/>
    <row r="12263" customFormat="1"/>
    <row r="12264" customFormat="1"/>
    <row r="12265" customFormat="1"/>
    <row r="12266" customFormat="1"/>
    <row r="12267" customFormat="1"/>
    <row r="12268" customFormat="1"/>
    <row r="12269" customFormat="1"/>
    <row r="12270" customFormat="1"/>
    <row r="12271" customFormat="1"/>
    <row r="12272" customFormat="1"/>
    <row r="12273" customFormat="1"/>
    <row r="12274" customFormat="1"/>
    <row r="12275" customFormat="1"/>
    <row r="12276" customFormat="1"/>
    <row r="12277" customFormat="1"/>
    <row r="12278" customFormat="1"/>
    <row r="12279" customFormat="1"/>
    <row r="12280" customFormat="1"/>
    <row r="12281" customFormat="1"/>
    <row r="12282" customFormat="1"/>
    <row r="12283" customFormat="1"/>
    <row r="12284" customFormat="1"/>
    <row r="12285" customFormat="1"/>
    <row r="12286" customFormat="1"/>
    <row r="12287" customFormat="1"/>
    <row r="12288" customFormat="1"/>
    <row r="12289" customFormat="1"/>
    <row r="12290" customFormat="1"/>
    <row r="12291" customFormat="1"/>
    <row r="12292" customFormat="1"/>
    <row r="12293" customFormat="1"/>
    <row r="12294" customFormat="1"/>
    <row r="12295" customFormat="1"/>
    <row r="12296" customFormat="1"/>
    <row r="12297" customFormat="1"/>
    <row r="12298" customFormat="1"/>
    <row r="12299" customFormat="1"/>
    <row r="12300" customFormat="1"/>
    <row r="12301" customFormat="1"/>
    <row r="12302" customFormat="1"/>
    <row r="12303" customFormat="1"/>
    <row r="12304" customFormat="1"/>
    <row r="12305" customFormat="1"/>
    <row r="12306" customFormat="1"/>
    <row r="12307" customFormat="1"/>
    <row r="12308" customFormat="1"/>
    <row r="12309" customFormat="1"/>
    <row r="12310" customFormat="1"/>
    <row r="12311" customFormat="1"/>
    <row r="12312" customFormat="1"/>
    <row r="12313" customFormat="1"/>
    <row r="12314" customFormat="1"/>
    <row r="12315" customFormat="1"/>
    <row r="12316" customFormat="1"/>
    <row r="12317" customFormat="1"/>
    <row r="12318" customFormat="1"/>
    <row r="12319" customFormat="1"/>
    <row r="12320" customFormat="1"/>
    <row r="12321" customFormat="1"/>
    <row r="12322" customFormat="1"/>
    <row r="12323" customFormat="1"/>
    <row r="12324" customFormat="1"/>
    <row r="12325" customFormat="1"/>
    <row r="12326" customFormat="1"/>
    <row r="12327" customFormat="1"/>
    <row r="12328" customFormat="1"/>
    <row r="12329" customFormat="1"/>
    <row r="12330" customFormat="1"/>
    <row r="12331" customFormat="1"/>
    <row r="12332" customFormat="1"/>
    <row r="12333" customFormat="1"/>
    <row r="12334" customFormat="1"/>
    <row r="12335" customFormat="1"/>
    <row r="12336" customFormat="1"/>
    <row r="12337" customFormat="1"/>
    <row r="12338" customFormat="1"/>
    <row r="12339" customFormat="1"/>
    <row r="12340" customFormat="1"/>
    <row r="12341" customFormat="1"/>
    <row r="12342" customFormat="1"/>
    <row r="12343" customFormat="1"/>
    <row r="12344" customFormat="1"/>
    <row r="12345" customFormat="1"/>
    <row r="12346" customFormat="1"/>
    <row r="12347" customFormat="1"/>
    <row r="12348" customFormat="1"/>
    <row r="12349" customFormat="1"/>
    <row r="12350" customFormat="1"/>
    <row r="12351" customFormat="1"/>
    <row r="12352" customFormat="1"/>
    <row r="12353" customFormat="1"/>
    <row r="12354" customFormat="1"/>
    <row r="12355" customFormat="1"/>
    <row r="12356" customFormat="1"/>
    <row r="12357" customFormat="1"/>
    <row r="12358" customFormat="1"/>
    <row r="12359" customFormat="1"/>
    <row r="12360" customFormat="1"/>
    <row r="12361" customFormat="1"/>
    <row r="12362" customFormat="1"/>
    <row r="12363" customFormat="1"/>
    <row r="12364" customFormat="1"/>
    <row r="12365" customFormat="1"/>
    <row r="12366" customFormat="1"/>
    <row r="12367" customFormat="1"/>
    <row r="12368" customFormat="1"/>
    <row r="12369" customFormat="1"/>
    <row r="12370" customFormat="1"/>
    <row r="12371" customFormat="1"/>
    <row r="12372" customFormat="1"/>
    <row r="12373" customFormat="1"/>
    <row r="12374" customFormat="1"/>
    <row r="12375" customFormat="1"/>
    <row r="12376" customFormat="1"/>
    <row r="12377" customFormat="1"/>
    <row r="12378" customFormat="1"/>
    <row r="12379" customFormat="1"/>
    <row r="12380" customFormat="1"/>
    <row r="12381" customFormat="1"/>
    <row r="12382" customFormat="1"/>
    <row r="12383" customFormat="1"/>
    <row r="12384" customFormat="1"/>
    <row r="12385" customFormat="1"/>
    <row r="12386" customFormat="1"/>
    <row r="12387" customFormat="1"/>
    <row r="12388" customFormat="1"/>
    <row r="12389" customFormat="1"/>
    <row r="12390" customFormat="1"/>
    <row r="12391" customFormat="1"/>
    <row r="12392" customFormat="1"/>
    <row r="12393" customFormat="1"/>
    <row r="12394" customFormat="1"/>
    <row r="12395" customFormat="1"/>
    <row r="12396" customFormat="1"/>
    <row r="12397" customFormat="1"/>
    <row r="12398" customFormat="1"/>
    <row r="12399" customFormat="1"/>
    <row r="12400" customFormat="1"/>
    <row r="12401" customFormat="1"/>
    <row r="12402" customFormat="1"/>
    <row r="12403" customFormat="1"/>
    <row r="12404" customFormat="1"/>
    <row r="12405" customFormat="1"/>
    <row r="12406" customFormat="1"/>
    <row r="12407" customFormat="1"/>
    <row r="12408" customFormat="1"/>
    <row r="12409" customFormat="1"/>
    <row r="12410" customFormat="1"/>
    <row r="12411" customFormat="1"/>
    <row r="12412" customFormat="1"/>
    <row r="12413" customFormat="1"/>
    <row r="12414" customFormat="1"/>
    <row r="12415" customFormat="1"/>
    <row r="12416" customFormat="1"/>
    <row r="12417" customFormat="1"/>
    <row r="12418" customFormat="1"/>
    <row r="12419" customFormat="1"/>
    <row r="12420" customFormat="1"/>
    <row r="12421" customFormat="1"/>
    <row r="12422" customFormat="1"/>
    <row r="12423" customFormat="1"/>
    <row r="12424" customFormat="1"/>
    <row r="12425" customFormat="1"/>
    <row r="12426" customFormat="1"/>
    <row r="12427" customFormat="1"/>
    <row r="12428" customFormat="1"/>
    <row r="12429" customFormat="1"/>
    <row r="12430" customFormat="1"/>
    <row r="12431" customFormat="1"/>
    <row r="12432" customFormat="1"/>
    <row r="12433" customFormat="1"/>
    <row r="12434" customFormat="1"/>
    <row r="12435" customFormat="1"/>
    <row r="12436" customFormat="1"/>
    <row r="12437" customFormat="1"/>
    <row r="12438" customFormat="1"/>
    <row r="12439" customFormat="1"/>
    <row r="12440" customFormat="1"/>
    <row r="12441" customFormat="1"/>
    <row r="12442" customFormat="1"/>
    <row r="12443" customFormat="1"/>
    <row r="12444" customFormat="1"/>
    <row r="12445" customFormat="1"/>
    <row r="12446" customFormat="1"/>
    <row r="12447" customFormat="1"/>
    <row r="12448" customFormat="1"/>
    <row r="12449" customFormat="1"/>
    <row r="12450" customFormat="1"/>
    <row r="12451" customFormat="1"/>
    <row r="12452" customFormat="1"/>
    <row r="12453" customFormat="1"/>
    <row r="12454" customFormat="1"/>
    <row r="12455" customFormat="1"/>
    <row r="12456" customFormat="1"/>
    <row r="12457" customFormat="1"/>
    <row r="12458" customFormat="1"/>
    <row r="12459" customFormat="1"/>
    <row r="12460" customFormat="1"/>
    <row r="12461" customFormat="1"/>
    <row r="12462" customFormat="1"/>
    <row r="12463" customFormat="1"/>
    <row r="12464" customFormat="1"/>
    <row r="12465" customFormat="1"/>
    <row r="12466" customFormat="1"/>
    <row r="12467" customFormat="1"/>
    <row r="12468" customFormat="1"/>
    <row r="12469" customFormat="1"/>
    <row r="12470" customFormat="1"/>
    <row r="12471" customFormat="1"/>
    <row r="12472" customFormat="1"/>
    <row r="12473" customFormat="1"/>
    <row r="12474" customFormat="1"/>
    <row r="12475" customFormat="1"/>
    <row r="12476" customFormat="1"/>
    <row r="12477" customFormat="1"/>
    <row r="12478" customFormat="1"/>
    <row r="12479" customFormat="1"/>
    <row r="12480" customFormat="1"/>
    <row r="12481" customFormat="1"/>
    <row r="12482" customFormat="1"/>
    <row r="12483" customFormat="1"/>
    <row r="12484" customFormat="1"/>
    <row r="12485" customFormat="1"/>
    <row r="12486" customFormat="1"/>
    <row r="12487" customFormat="1"/>
    <row r="12488" customFormat="1"/>
    <row r="12489" customFormat="1"/>
    <row r="12490" customFormat="1"/>
    <row r="12491" customFormat="1"/>
    <row r="12492" customFormat="1"/>
    <row r="12493" customFormat="1"/>
    <row r="12494" customFormat="1"/>
    <row r="12495" customFormat="1"/>
    <row r="12496" customFormat="1"/>
    <row r="12497" customFormat="1"/>
    <row r="12498" customFormat="1"/>
    <row r="12499" customFormat="1"/>
    <row r="12500" customFormat="1"/>
    <row r="12501" customFormat="1"/>
    <row r="12502" customFormat="1"/>
    <row r="12503" customFormat="1"/>
    <row r="12504" customFormat="1"/>
    <row r="12505" customFormat="1"/>
    <row r="12506" customFormat="1"/>
    <row r="12507" customFormat="1"/>
    <row r="12508" customFormat="1"/>
    <row r="12509" customFormat="1"/>
    <row r="12510" customFormat="1"/>
    <row r="12511" customFormat="1"/>
    <row r="12512" customFormat="1"/>
    <row r="12513" customFormat="1"/>
    <row r="12514" customFormat="1"/>
    <row r="12515" customFormat="1"/>
    <row r="12516" customFormat="1"/>
    <row r="12517" customFormat="1"/>
    <row r="12518" customFormat="1"/>
    <row r="12519" customFormat="1"/>
    <row r="12520" customFormat="1"/>
    <row r="12521" customFormat="1"/>
    <row r="12522" customFormat="1"/>
    <row r="12523" customFormat="1"/>
    <row r="12524" customFormat="1"/>
    <row r="12525" customFormat="1"/>
    <row r="12526" customFormat="1"/>
    <row r="12527" customFormat="1"/>
    <row r="12528" customFormat="1"/>
    <row r="12529" customFormat="1"/>
    <row r="12530" customFormat="1"/>
    <row r="12531" customFormat="1"/>
    <row r="12532" customFormat="1"/>
    <row r="12533" customFormat="1"/>
    <row r="12534" customFormat="1"/>
    <row r="12535" customFormat="1"/>
    <row r="12536" customFormat="1"/>
    <row r="12537" customFormat="1"/>
    <row r="12538" customFormat="1"/>
    <row r="12539" customFormat="1"/>
    <row r="12540" customFormat="1"/>
    <row r="12541" customFormat="1"/>
    <row r="12542" customFormat="1"/>
    <row r="12543" customFormat="1"/>
    <row r="12544" customFormat="1"/>
    <row r="12545" customFormat="1"/>
    <row r="12546" customFormat="1"/>
    <row r="12547" customFormat="1"/>
    <row r="12548" customFormat="1"/>
    <row r="12549" customFormat="1"/>
    <row r="12550" customFormat="1"/>
    <row r="12551" customFormat="1"/>
    <row r="12552" customFormat="1"/>
    <row r="12553" customFormat="1"/>
    <row r="12554" customFormat="1"/>
    <row r="12555" customFormat="1"/>
    <row r="12556" customFormat="1"/>
    <row r="12557" customFormat="1"/>
    <row r="12558" customFormat="1"/>
    <row r="12559" customFormat="1"/>
    <row r="12560" customFormat="1"/>
    <row r="12561" customFormat="1"/>
    <row r="12562" customFormat="1"/>
    <row r="12563" customFormat="1"/>
    <row r="12564" customFormat="1"/>
    <row r="12565" customFormat="1"/>
    <row r="12566" customFormat="1"/>
    <row r="12567" customFormat="1"/>
    <row r="12568" customFormat="1"/>
    <row r="12569" customFormat="1"/>
    <row r="12570" customFormat="1"/>
    <row r="12571" customFormat="1"/>
    <row r="12572" customFormat="1"/>
    <row r="12573" customFormat="1"/>
    <row r="12574" customFormat="1"/>
    <row r="12575" customFormat="1"/>
    <row r="12576" customFormat="1"/>
    <row r="12577" customFormat="1"/>
    <row r="12578" customFormat="1"/>
    <row r="12579" customFormat="1"/>
    <row r="12580" customFormat="1"/>
    <row r="12581" customFormat="1"/>
    <row r="12582" customFormat="1"/>
    <row r="12583" customFormat="1"/>
    <row r="12584" customFormat="1"/>
    <row r="12585" customFormat="1"/>
    <row r="12586" customFormat="1"/>
    <row r="12587" customFormat="1"/>
    <row r="12588" customFormat="1"/>
    <row r="12589" customFormat="1"/>
    <row r="12590" customFormat="1"/>
    <row r="12591" customFormat="1"/>
    <row r="12592" customFormat="1"/>
    <row r="12593" customFormat="1"/>
    <row r="12594" customFormat="1"/>
    <row r="12595" customFormat="1"/>
    <row r="12596" customFormat="1"/>
    <row r="12597" customFormat="1"/>
    <row r="12598" customFormat="1"/>
    <row r="12599" customFormat="1"/>
    <row r="12600" customFormat="1"/>
    <row r="12601" customFormat="1"/>
    <row r="12602" customFormat="1"/>
    <row r="12603" customFormat="1"/>
    <row r="12604" customFormat="1"/>
    <row r="12605" customFormat="1"/>
    <row r="12606" customFormat="1"/>
    <row r="12607" customFormat="1"/>
    <row r="12608" customFormat="1"/>
    <row r="12609" customFormat="1"/>
    <row r="12610" customFormat="1"/>
    <row r="12611" customFormat="1"/>
    <row r="12612" customFormat="1"/>
    <row r="12613" customFormat="1"/>
    <row r="12614" customFormat="1"/>
    <row r="12615" customFormat="1"/>
    <row r="12616" customFormat="1"/>
    <row r="12617" customFormat="1"/>
    <row r="12618" customFormat="1"/>
    <row r="12619" customFormat="1"/>
    <row r="12620" customFormat="1"/>
    <row r="12621" customFormat="1"/>
    <row r="12622" customFormat="1"/>
    <row r="12623" customFormat="1"/>
    <row r="12624" customFormat="1"/>
    <row r="12625" customFormat="1"/>
    <row r="12626" customFormat="1"/>
    <row r="12627" customFormat="1"/>
    <row r="12628" customFormat="1"/>
    <row r="12629" customFormat="1"/>
    <row r="12630" customFormat="1"/>
    <row r="12631" customFormat="1"/>
    <row r="12632" customFormat="1"/>
    <row r="12633" customFormat="1"/>
    <row r="12634" customFormat="1"/>
    <row r="12635" customFormat="1"/>
    <row r="12636" customFormat="1"/>
    <row r="12637" customFormat="1"/>
    <row r="12638" customFormat="1"/>
    <row r="12639" customFormat="1"/>
    <row r="12640" customFormat="1"/>
    <row r="12641" customFormat="1"/>
    <row r="12642" customFormat="1"/>
    <row r="12643" customFormat="1"/>
    <row r="12644" customFormat="1"/>
    <row r="12645" customFormat="1"/>
    <row r="12646" customFormat="1"/>
    <row r="12647" customFormat="1"/>
    <row r="12648" customFormat="1"/>
    <row r="12649" customFormat="1"/>
    <row r="12650" customFormat="1"/>
    <row r="12651" customFormat="1"/>
    <row r="12652" customFormat="1"/>
    <row r="12653" customFormat="1"/>
    <row r="12654" customFormat="1"/>
    <row r="12655" customFormat="1"/>
    <row r="12656" customFormat="1"/>
    <row r="12657" customFormat="1"/>
    <row r="12658" customFormat="1"/>
    <row r="12659" customFormat="1"/>
    <row r="12660" customFormat="1"/>
    <row r="12661" customFormat="1"/>
    <row r="12662" customFormat="1"/>
    <row r="12663" customFormat="1"/>
    <row r="12664" customFormat="1"/>
    <row r="12665" customFormat="1"/>
    <row r="12666" customFormat="1"/>
    <row r="12667" customFormat="1"/>
    <row r="12668" customFormat="1"/>
    <row r="12669" customFormat="1"/>
    <row r="12670" customFormat="1"/>
    <row r="12671" customFormat="1"/>
    <row r="12672" customFormat="1"/>
    <row r="12673" customFormat="1"/>
    <row r="12674" customFormat="1"/>
    <row r="12675" customFormat="1"/>
    <row r="12676" customFormat="1"/>
    <row r="12677" customFormat="1"/>
    <row r="12678" customFormat="1"/>
    <row r="12679" customFormat="1"/>
    <row r="12680" customFormat="1"/>
    <row r="12681" customFormat="1"/>
    <row r="12682" customFormat="1"/>
    <row r="12683" customFormat="1"/>
    <row r="12684" customFormat="1"/>
    <row r="12685" customFormat="1"/>
    <row r="12686" customFormat="1"/>
    <row r="12687" customFormat="1"/>
    <row r="12688" customFormat="1"/>
    <row r="12689" customFormat="1"/>
    <row r="12690" customFormat="1"/>
    <row r="12691" customFormat="1"/>
    <row r="12692" customFormat="1"/>
    <row r="12693" customFormat="1"/>
    <row r="12694" customFormat="1"/>
    <row r="12695" customFormat="1"/>
    <row r="12696" customFormat="1"/>
    <row r="12697" customFormat="1"/>
    <row r="12698" customFormat="1"/>
    <row r="12699" customFormat="1"/>
    <row r="12700" customFormat="1"/>
    <row r="12701" customFormat="1"/>
    <row r="12702" customFormat="1"/>
    <row r="12703" customFormat="1"/>
    <row r="12704" customFormat="1"/>
    <row r="12705" customFormat="1"/>
    <row r="12706" customFormat="1"/>
    <row r="12707" customFormat="1"/>
    <row r="12708" customFormat="1"/>
    <row r="12709" customFormat="1"/>
    <row r="12710" customFormat="1"/>
    <row r="12711" customFormat="1"/>
    <row r="12712" customFormat="1"/>
    <row r="12713" customFormat="1"/>
    <row r="12714" customFormat="1"/>
    <row r="12715" customFormat="1"/>
    <row r="12716" customFormat="1"/>
    <row r="12717" customFormat="1"/>
    <row r="12718" customFormat="1"/>
    <row r="12719" customFormat="1"/>
    <row r="12720" customFormat="1"/>
    <row r="12721" customFormat="1"/>
    <row r="12722" customFormat="1"/>
    <row r="12723" customFormat="1"/>
    <row r="12724" customFormat="1"/>
    <row r="12725" customFormat="1"/>
    <row r="12726" customFormat="1"/>
    <row r="12727" customFormat="1"/>
    <row r="12728" customFormat="1"/>
    <row r="12729" customFormat="1"/>
    <row r="12730" customFormat="1"/>
    <row r="12731" customFormat="1"/>
    <row r="12732" customFormat="1"/>
    <row r="12733" customFormat="1"/>
    <row r="12734" customFormat="1"/>
    <row r="12735" customFormat="1"/>
    <row r="12736" customFormat="1"/>
    <row r="12737" customFormat="1"/>
    <row r="12738" customFormat="1"/>
    <row r="12739" customFormat="1"/>
    <row r="12740" customFormat="1"/>
    <row r="12741" customFormat="1"/>
    <row r="12742" customFormat="1"/>
    <row r="12743" customFormat="1"/>
    <row r="12744" customFormat="1"/>
    <row r="12745" customFormat="1"/>
    <row r="12746" customFormat="1"/>
    <row r="12747" customFormat="1"/>
    <row r="12748" customFormat="1"/>
    <row r="12749" customFormat="1"/>
    <row r="12750" customFormat="1"/>
    <row r="12751" customFormat="1"/>
    <row r="12752" customFormat="1"/>
    <row r="12753" customFormat="1"/>
    <row r="12754" customFormat="1"/>
    <row r="12755" customFormat="1"/>
    <row r="12756" customFormat="1"/>
    <row r="12757" customFormat="1"/>
    <row r="12758" customFormat="1"/>
    <row r="12759" customFormat="1"/>
    <row r="12760" customFormat="1"/>
    <row r="12761" customFormat="1"/>
    <row r="12762" customFormat="1"/>
    <row r="12763" customFormat="1"/>
    <row r="12764" customFormat="1"/>
    <row r="12765" customFormat="1"/>
    <row r="12766" customFormat="1"/>
    <row r="12767" customFormat="1"/>
    <row r="12768" customFormat="1"/>
    <row r="12769" customFormat="1"/>
    <row r="12770" customFormat="1"/>
    <row r="12771" customFormat="1"/>
    <row r="12772" customFormat="1"/>
    <row r="12773" customFormat="1"/>
    <row r="12774" customFormat="1"/>
    <row r="12775" customFormat="1"/>
    <row r="12776" customFormat="1"/>
    <row r="12777" customFormat="1"/>
    <row r="12778" customFormat="1"/>
    <row r="12779" customFormat="1"/>
    <row r="12780" customFormat="1"/>
    <row r="12781" customFormat="1"/>
    <row r="12782" customFormat="1"/>
    <row r="12783" customFormat="1"/>
    <row r="12784" customFormat="1"/>
    <row r="12785" customFormat="1"/>
    <row r="12786" customFormat="1"/>
    <row r="12787" customFormat="1"/>
    <row r="12788" customFormat="1"/>
    <row r="12789" customFormat="1"/>
    <row r="12790" customFormat="1"/>
    <row r="12791" customFormat="1"/>
    <row r="12792" customFormat="1"/>
    <row r="12793" customFormat="1"/>
    <row r="12794" customFormat="1"/>
    <row r="12795" customFormat="1"/>
    <row r="12796" customFormat="1"/>
    <row r="12797" customFormat="1"/>
    <row r="12798" customFormat="1"/>
    <row r="12799" customFormat="1"/>
    <row r="12800" customFormat="1"/>
    <row r="12801" customFormat="1"/>
    <row r="12802" customFormat="1"/>
    <row r="12803" customFormat="1"/>
    <row r="12804" customFormat="1"/>
    <row r="12805" customFormat="1"/>
    <row r="12806" customFormat="1"/>
    <row r="12807" customFormat="1"/>
    <row r="12808" customFormat="1"/>
    <row r="12809" customFormat="1"/>
    <row r="12810" customFormat="1"/>
    <row r="12811" customFormat="1"/>
    <row r="12812" customFormat="1"/>
    <row r="12813" customFormat="1"/>
    <row r="12814" customFormat="1"/>
    <row r="12815" customFormat="1"/>
    <row r="12816" customFormat="1"/>
    <row r="12817" customFormat="1"/>
    <row r="12818" customFormat="1"/>
    <row r="12819" customFormat="1"/>
    <row r="12820" customFormat="1"/>
    <row r="12821" customFormat="1"/>
    <row r="12822" customFormat="1"/>
    <row r="12823" customFormat="1"/>
    <row r="12824" customFormat="1"/>
    <row r="12825" customFormat="1"/>
    <row r="12826" customFormat="1"/>
    <row r="12827" customFormat="1"/>
    <row r="12828" customFormat="1"/>
    <row r="12829" customFormat="1"/>
    <row r="12830" customFormat="1"/>
    <row r="12831" customFormat="1"/>
    <row r="12832" customFormat="1"/>
    <row r="12833" customFormat="1"/>
    <row r="12834" customFormat="1"/>
    <row r="12835" customFormat="1"/>
    <row r="12836" customFormat="1"/>
    <row r="12837" customFormat="1"/>
    <row r="12838" customFormat="1"/>
    <row r="12839" customFormat="1"/>
    <row r="12840" customFormat="1"/>
    <row r="12841" customFormat="1"/>
    <row r="12842" customFormat="1"/>
    <row r="12843" customFormat="1"/>
    <row r="12844" customFormat="1"/>
    <row r="12845" customFormat="1"/>
    <row r="12846" customFormat="1"/>
    <row r="12847" customFormat="1"/>
    <row r="12848" customFormat="1"/>
    <row r="12849" customFormat="1"/>
    <row r="12850" customFormat="1"/>
    <row r="12851" customFormat="1"/>
    <row r="12852" customFormat="1"/>
    <row r="12853" customFormat="1"/>
    <row r="12854" customFormat="1"/>
    <row r="12855" customFormat="1"/>
    <row r="12856" customFormat="1"/>
    <row r="12857" customFormat="1"/>
    <row r="12858" customFormat="1"/>
    <row r="12859" customFormat="1"/>
    <row r="12860" customFormat="1"/>
    <row r="12861" customFormat="1"/>
    <row r="12862" customFormat="1"/>
    <row r="12863" customFormat="1"/>
    <row r="12864" customFormat="1"/>
    <row r="12865" customFormat="1"/>
    <row r="12866" customFormat="1"/>
    <row r="12867" customFormat="1"/>
    <row r="12868" customFormat="1"/>
    <row r="12869" customFormat="1"/>
    <row r="12870" customFormat="1"/>
    <row r="12871" customFormat="1"/>
    <row r="12872" customFormat="1"/>
    <row r="12873" customFormat="1"/>
    <row r="12874" customFormat="1"/>
    <row r="12875" customFormat="1"/>
    <row r="12876" customFormat="1"/>
    <row r="12877" customFormat="1"/>
    <row r="12878" customFormat="1"/>
    <row r="12879" customFormat="1"/>
    <row r="12880" customFormat="1"/>
    <row r="12881" customFormat="1"/>
    <row r="12882" customFormat="1"/>
    <row r="12883" customFormat="1"/>
    <row r="12884" customFormat="1"/>
    <row r="12885" customFormat="1"/>
    <row r="12886" customFormat="1"/>
    <row r="12887" customFormat="1"/>
    <row r="12888" customFormat="1"/>
    <row r="12889" customFormat="1"/>
    <row r="12890" customFormat="1"/>
    <row r="12891" customFormat="1"/>
    <row r="12892" customFormat="1"/>
    <row r="12893" customFormat="1"/>
    <row r="12894" customFormat="1"/>
    <row r="12895" customFormat="1"/>
    <row r="12896" customFormat="1"/>
    <row r="12897" customFormat="1"/>
    <row r="12898" customFormat="1"/>
    <row r="12899" customFormat="1"/>
    <row r="12900" customFormat="1"/>
    <row r="12901" customFormat="1"/>
    <row r="12902" customFormat="1"/>
    <row r="12903" customFormat="1"/>
    <row r="12904" customFormat="1"/>
    <row r="12905" customFormat="1"/>
    <row r="12906" customFormat="1"/>
    <row r="12907" customFormat="1"/>
    <row r="12908" customFormat="1"/>
    <row r="12909" customFormat="1"/>
    <row r="12910" customFormat="1"/>
    <row r="12911" customFormat="1"/>
    <row r="12912" customFormat="1"/>
    <row r="12913" customFormat="1"/>
    <row r="12914" customFormat="1"/>
    <row r="12915" customFormat="1"/>
    <row r="12916" customFormat="1"/>
    <row r="12917" customFormat="1"/>
    <row r="12918" customFormat="1"/>
    <row r="12919" customFormat="1"/>
    <row r="12920" customFormat="1"/>
    <row r="12921" customFormat="1"/>
    <row r="12922" customFormat="1"/>
    <row r="12923" customFormat="1"/>
    <row r="12924" customFormat="1"/>
    <row r="12925" customFormat="1"/>
    <row r="12926" customFormat="1"/>
    <row r="12927" customFormat="1"/>
    <row r="12928" customFormat="1"/>
    <row r="12929" customFormat="1"/>
    <row r="12930" customFormat="1"/>
    <row r="12931" customFormat="1"/>
    <row r="12932" customFormat="1"/>
    <row r="12933" customFormat="1"/>
    <row r="12934" customFormat="1"/>
    <row r="12935" customFormat="1"/>
    <row r="12936" customFormat="1"/>
    <row r="12937" customFormat="1"/>
    <row r="12938" customFormat="1"/>
    <row r="12939" customFormat="1"/>
    <row r="12940" customFormat="1"/>
    <row r="12941" customFormat="1"/>
    <row r="12942" customFormat="1"/>
    <row r="12943" customFormat="1"/>
    <row r="12944" customFormat="1"/>
    <row r="12945" customFormat="1"/>
    <row r="12946" customFormat="1"/>
    <row r="12947" customFormat="1"/>
    <row r="12948" customFormat="1"/>
    <row r="12949" customFormat="1"/>
    <row r="12950" customFormat="1"/>
    <row r="12951" customFormat="1"/>
    <row r="12952" customFormat="1"/>
    <row r="12953" customFormat="1"/>
    <row r="12954" customFormat="1"/>
    <row r="12955" customFormat="1"/>
    <row r="12956" customFormat="1"/>
    <row r="12957" customFormat="1"/>
    <row r="12958" customFormat="1"/>
    <row r="12959" customFormat="1"/>
    <row r="12960" customFormat="1"/>
    <row r="12961" customFormat="1"/>
    <row r="12962" customFormat="1"/>
    <row r="12963" customFormat="1"/>
    <row r="12964" customFormat="1"/>
    <row r="12965" customFormat="1"/>
    <row r="12966" customFormat="1"/>
    <row r="12967" customFormat="1"/>
    <row r="12968" customFormat="1"/>
    <row r="12969" customFormat="1"/>
    <row r="12970" customFormat="1"/>
    <row r="12971" customFormat="1"/>
    <row r="12972" customFormat="1"/>
    <row r="12973" customFormat="1"/>
    <row r="12974" customFormat="1"/>
    <row r="12975" customFormat="1"/>
    <row r="12976" customFormat="1"/>
    <row r="12977" customFormat="1"/>
    <row r="12978" customFormat="1"/>
    <row r="12979" customFormat="1"/>
    <row r="12980" customFormat="1"/>
    <row r="12981" customFormat="1"/>
    <row r="12982" customFormat="1"/>
    <row r="12983" customFormat="1"/>
    <row r="12984" customFormat="1"/>
    <row r="12985" customFormat="1"/>
    <row r="12986" customFormat="1"/>
    <row r="12987" customFormat="1"/>
    <row r="12988" customFormat="1"/>
    <row r="12989" customFormat="1"/>
    <row r="12990" customFormat="1"/>
    <row r="12991" customFormat="1"/>
    <row r="12992" customFormat="1"/>
    <row r="12993" customFormat="1"/>
    <row r="12994" customFormat="1"/>
    <row r="12995" customFormat="1"/>
    <row r="12996" customFormat="1"/>
    <row r="12997" customFormat="1"/>
    <row r="12998" customFormat="1"/>
    <row r="12999" customFormat="1"/>
    <row r="13000" customFormat="1"/>
    <row r="13001" customFormat="1"/>
    <row r="13002" customFormat="1"/>
    <row r="13003" customFormat="1"/>
    <row r="13004" customFormat="1"/>
    <row r="13005" customFormat="1"/>
    <row r="13006" customFormat="1"/>
    <row r="13007" customFormat="1"/>
    <row r="13008" customFormat="1"/>
    <row r="13009" customFormat="1"/>
    <row r="13010" customFormat="1"/>
    <row r="13011" customFormat="1"/>
    <row r="13012" customFormat="1"/>
    <row r="13013" customFormat="1"/>
    <row r="13014" customFormat="1"/>
    <row r="13015" customFormat="1"/>
    <row r="13016" customFormat="1"/>
    <row r="13017" customFormat="1"/>
    <row r="13018" customFormat="1"/>
    <row r="13019" customFormat="1"/>
    <row r="13020" customFormat="1"/>
    <row r="13021" customFormat="1"/>
    <row r="13022" customFormat="1"/>
    <row r="13023" customFormat="1"/>
    <row r="13024" customFormat="1"/>
    <row r="13025" customFormat="1"/>
    <row r="13026" customFormat="1"/>
    <row r="13027" customFormat="1"/>
    <row r="13028" customFormat="1"/>
    <row r="13029" customFormat="1"/>
    <row r="13030" customFormat="1"/>
    <row r="13031" customFormat="1"/>
    <row r="13032" customFormat="1"/>
    <row r="13033" customFormat="1"/>
    <row r="13034" customFormat="1"/>
    <row r="13035" customFormat="1"/>
    <row r="13036" customFormat="1"/>
    <row r="13037" customFormat="1"/>
    <row r="13038" customFormat="1"/>
    <row r="13039" customFormat="1"/>
    <row r="13040" customFormat="1"/>
    <row r="13041" customFormat="1"/>
    <row r="13042" customFormat="1"/>
    <row r="13043" customFormat="1"/>
    <row r="13044" customFormat="1"/>
    <row r="13045" customFormat="1"/>
    <row r="13046" customFormat="1"/>
    <row r="13047" customFormat="1"/>
    <row r="13048" customFormat="1"/>
    <row r="13049" customFormat="1"/>
    <row r="13050" customFormat="1"/>
    <row r="13051" customFormat="1"/>
    <row r="13052" customFormat="1"/>
    <row r="13053" customFormat="1"/>
    <row r="13054" customFormat="1"/>
    <row r="13055" customFormat="1"/>
    <row r="13056" customFormat="1"/>
    <row r="13057" customFormat="1"/>
    <row r="13058" customFormat="1"/>
    <row r="13059" customFormat="1"/>
    <row r="13060" customFormat="1"/>
    <row r="13061" customFormat="1"/>
    <row r="13062" customFormat="1"/>
    <row r="13063" customFormat="1"/>
    <row r="13064" customFormat="1"/>
    <row r="13065" customFormat="1"/>
    <row r="13066" customFormat="1"/>
    <row r="13067" customFormat="1"/>
    <row r="13068" customFormat="1"/>
    <row r="13069" customFormat="1"/>
    <row r="13070" customFormat="1"/>
    <row r="13071" customFormat="1"/>
    <row r="13072" customFormat="1"/>
    <row r="13073" customFormat="1"/>
    <row r="13074" customFormat="1"/>
    <row r="13075" customFormat="1"/>
    <row r="13076" customFormat="1"/>
    <row r="13077" customFormat="1"/>
    <row r="13078" customFormat="1"/>
    <row r="13079" customFormat="1"/>
    <row r="13080" customFormat="1"/>
    <row r="13081" customFormat="1"/>
    <row r="13082" customFormat="1"/>
    <row r="13083" customFormat="1"/>
    <row r="13084" customFormat="1"/>
    <row r="13085" customFormat="1"/>
    <row r="13086" customFormat="1"/>
    <row r="13087" customFormat="1"/>
    <row r="13088" customFormat="1"/>
    <row r="13089" customFormat="1"/>
    <row r="13090" customFormat="1"/>
    <row r="13091" customFormat="1"/>
    <row r="13092" customFormat="1"/>
    <row r="13093" customFormat="1"/>
    <row r="13094" customFormat="1"/>
    <row r="13095" customFormat="1"/>
    <row r="13096" customFormat="1"/>
    <row r="13097" customFormat="1"/>
    <row r="13098" customFormat="1"/>
    <row r="13099" customFormat="1"/>
    <row r="13100" customFormat="1"/>
    <row r="13101" customFormat="1"/>
    <row r="13102" customFormat="1"/>
    <row r="13103" customFormat="1"/>
    <row r="13104" customFormat="1"/>
    <row r="13105" customFormat="1"/>
    <row r="13106" customFormat="1"/>
    <row r="13107" customFormat="1"/>
    <row r="13108" customFormat="1"/>
    <row r="13109" customFormat="1"/>
    <row r="13110" customFormat="1"/>
    <row r="13111" customFormat="1"/>
    <row r="13112" customFormat="1"/>
    <row r="13113" customFormat="1"/>
    <row r="13114" customFormat="1"/>
    <row r="13115" customFormat="1"/>
    <row r="13116" customFormat="1"/>
    <row r="13117" customFormat="1"/>
    <row r="13118" customFormat="1"/>
    <row r="13119" customFormat="1"/>
    <row r="13120" customFormat="1"/>
    <row r="13121" customFormat="1"/>
    <row r="13122" customFormat="1"/>
    <row r="13123" customFormat="1"/>
    <row r="13124" customFormat="1"/>
    <row r="13125" customFormat="1"/>
    <row r="13126" customFormat="1"/>
    <row r="13127" customFormat="1"/>
    <row r="13128" customFormat="1"/>
    <row r="13129" customFormat="1"/>
    <row r="13130" customFormat="1"/>
    <row r="13131" customFormat="1"/>
    <row r="13132" customFormat="1"/>
    <row r="13133" customFormat="1"/>
    <row r="13134" customFormat="1"/>
    <row r="13135" customFormat="1"/>
    <row r="13136" customFormat="1"/>
    <row r="13137" customFormat="1"/>
    <row r="13138" customFormat="1"/>
    <row r="13139" customFormat="1"/>
    <row r="13140" customFormat="1"/>
    <row r="13141" customFormat="1"/>
    <row r="13142" customFormat="1"/>
    <row r="13143" customFormat="1"/>
    <row r="13144" customFormat="1"/>
    <row r="13145" customFormat="1"/>
    <row r="13146" customFormat="1"/>
    <row r="13147" customFormat="1"/>
    <row r="13148" customFormat="1"/>
    <row r="13149" customFormat="1"/>
    <row r="13150" customFormat="1"/>
    <row r="13151" customFormat="1"/>
    <row r="13152" customFormat="1"/>
    <row r="13153" customFormat="1"/>
    <row r="13154" customFormat="1"/>
    <row r="13155" customFormat="1"/>
    <row r="13156" customFormat="1"/>
    <row r="13157" customFormat="1"/>
    <row r="13158" customFormat="1"/>
    <row r="13159" customFormat="1"/>
    <row r="13160" customFormat="1"/>
    <row r="13161" customFormat="1"/>
    <row r="13162" customFormat="1"/>
    <row r="13163" customFormat="1"/>
    <row r="13164" customFormat="1"/>
    <row r="13165" customFormat="1"/>
    <row r="13166" customFormat="1"/>
    <row r="13167" customFormat="1"/>
    <row r="13168" customFormat="1"/>
    <row r="13169" customFormat="1"/>
    <row r="13170" customFormat="1"/>
    <row r="13171" customFormat="1"/>
    <row r="13172" customFormat="1"/>
    <row r="13173" customFormat="1"/>
    <row r="13174" customFormat="1"/>
    <row r="13175" customFormat="1"/>
    <row r="13176" customFormat="1"/>
    <row r="13177" customFormat="1"/>
    <row r="13178" customFormat="1"/>
    <row r="13179" customFormat="1"/>
    <row r="13180" customFormat="1"/>
    <row r="13181" customFormat="1"/>
    <row r="13182" customFormat="1"/>
    <row r="13183" customFormat="1"/>
    <row r="13184" customFormat="1"/>
    <row r="13185" customFormat="1"/>
    <row r="13186" customFormat="1"/>
    <row r="13187" customFormat="1"/>
    <row r="13188" customFormat="1"/>
    <row r="13189" customFormat="1"/>
    <row r="13190" customFormat="1"/>
    <row r="13191" customFormat="1"/>
    <row r="13192" customFormat="1"/>
    <row r="13193" customFormat="1"/>
    <row r="13194" customFormat="1"/>
    <row r="13195" customFormat="1"/>
    <row r="13196" customFormat="1"/>
    <row r="13197" customFormat="1"/>
    <row r="13198" customFormat="1"/>
    <row r="13199" customFormat="1"/>
    <row r="13200" customFormat="1"/>
    <row r="13201" customFormat="1"/>
    <row r="13202" customFormat="1"/>
    <row r="13203" customFormat="1"/>
    <row r="13204" customFormat="1"/>
    <row r="13205" customFormat="1"/>
    <row r="13206" customFormat="1"/>
    <row r="13207" customFormat="1"/>
    <row r="13208" customFormat="1"/>
    <row r="13209" customFormat="1"/>
    <row r="13210" customFormat="1"/>
    <row r="13211" customFormat="1"/>
    <row r="13212" customFormat="1"/>
    <row r="13213" customFormat="1"/>
    <row r="13214" customFormat="1"/>
    <row r="13215" customFormat="1"/>
    <row r="13216" customFormat="1"/>
    <row r="13217" customFormat="1"/>
    <row r="13218" customFormat="1"/>
    <row r="13219" customFormat="1"/>
    <row r="13220" customFormat="1"/>
    <row r="13221" customFormat="1"/>
    <row r="13222" customFormat="1"/>
    <row r="13223" customFormat="1"/>
    <row r="13224" customFormat="1"/>
    <row r="13225" customFormat="1"/>
    <row r="13226" customFormat="1"/>
    <row r="13227" customFormat="1"/>
    <row r="13228" customFormat="1"/>
    <row r="13229" customFormat="1"/>
    <row r="13230" customFormat="1"/>
    <row r="13231" customFormat="1"/>
    <row r="13232" customFormat="1"/>
    <row r="13233" customFormat="1"/>
    <row r="13234" customFormat="1"/>
    <row r="13235" customFormat="1"/>
    <row r="13236" customFormat="1"/>
    <row r="13237" customFormat="1"/>
    <row r="13238" customFormat="1"/>
    <row r="13239" customFormat="1"/>
    <row r="13240" customFormat="1"/>
    <row r="13241" customFormat="1"/>
    <row r="13242" customFormat="1"/>
    <row r="13243" customFormat="1"/>
    <row r="13244" customFormat="1"/>
    <row r="13245" customFormat="1"/>
    <row r="13246" customFormat="1"/>
    <row r="13247" customFormat="1"/>
    <row r="13248" customFormat="1"/>
    <row r="13249" customFormat="1"/>
    <row r="13250" customFormat="1"/>
    <row r="13251" customFormat="1"/>
    <row r="13252" customFormat="1"/>
    <row r="13253" customFormat="1"/>
    <row r="13254" customFormat="1"/>
    <row r="13255" customFormat="1"/>
    <row r="13256" customFormat="1"/>
    <row r="13257" customFormat="1"/>
    <row r="13258" customFormat="1"/>
    <row r="13259" customFormat="1"/>
    <row r="13260" customFormat="1"/>
    <row r="13261" customFormat="1"/>
    <row r="13262" customFormat="1"/>
    <row r="13263" customFormat="1"/>
    <row r="13264" customFormat="1"/>
    <row r="13265" customFormat="1"/>
    <row r="13266" customFormat="1"/>
    <row r="13267" customFormat="1"/>
    <row r="13268" customFormat="1"/>
    <row r="13269" customFormat="1"/>
    <row r="13270" customFormat="1"/>
    <row r="13271" customFormat="1"/>
    <row r="13272" customFormat="1"/>
    <row r="13273" customFormat="1"/>
    <row r="13274" customFormat="1"/>
    <row r="13275" customFormat="1"/>
    <row r="13276" customFormat="1"/>
    <row r="13277" customFormat="1"/>
    <row r="13278" customFormat="1"/>
    <row r="13279" customFormat="1"/>
    <row r="13280" customFormat="1"/>
    <row r="13281" customFormat="1"/>
    <row r="13282" customFormat="1"/>
    <row r="13283" customFormat="1"/>
    <row r="13284" customFormat="1"/>
    <row r="13285" customFormat="1"/>
    <row r="13286" customFormat="1"/>
    <row r="13287" customFormat="1"/>
    <row r="13288" customFormat="1"/>
    <row r="13289" customFormat="1"/>
    <row r="13290" customFormat="1"/>
    <row r="13291" customFormat="1"/>
    <row r="13292" customFormat="1"/>
    <row r="13293" customFormat="1"/>
    <row r="13294" customFormat="1"/>
    <row r="13295" customFormat="1"/>
    <row r="13296" customFormat="1"/>
    <row r="13297" customFormat="1"/>
    <row r="13298" customFormat="1"/>
    <row r="13299" customFormat="1"/>
    <row r="13300" customFormat="1"/>
    <row r="13301" customFormat="1"/>
    <row r="13302" customFormat="1"/>
    <row r="13303" customFormat="1"/>
    <row r="13304" customFormat="1"/>
    <row r="13305" customFormat="1"/>
    <row r="13306" customFormat="1"/>
    <row r="13307" customFormat="1"/>
    <row r="13308" customFormat="1"/>
    <row r="13309" customFormat="1"/>
    <row r="13310" customFormat="1"/>
    <row r="13311" customFormat="1"/>
    <row r="13312" customFormat="1"/>
    <row r="13313" customFormat="1"/>
    <row r="13314" customFormat="1"/>
    <row r="13315" customFormat="1"/>
    <row r="13316" customFormat="1"/>
    <row r="13317" customFormat="1"/>
    <row r="13318" customFormat="1"/>
    <row r="13319" customFormat="1"/>
    <row r="13320" customFormat="1"/>
    <row r="13321" customFormat="1"/>
    <row r="13322" customFormat="1"/>
    <row r="13323" customFormat="1"/>
    <row r="13324" customFormat="1"/>
    <row r="13325" customFormat="1"/>
    <row r="13326" customFormat="1"/>
    <row r="13327" customFormat="1"/>
    <row r="13328" customFormat="1"/>
    <row r="13329" customFormat="1"/>
    <row r="13330" customFormat="1"/>
    <row r="13331" customFormat="1"/>
    <row r="13332" customFormat="1"/>
    <row r="13333" customFormat="1"/>
    <row r="13334" customFormat="1"/>
    <row r="13335" customFormat="1"/>
    <row r="13336" customFormat="1"/>
    <row r="13337" customFormat="1"/>
    <row r="13338" customFormat="1"/>
    <row r="13339" customFormat="1"/>
    <row r="13340" customFormat="1"/>
    <row r="13341" customFormat="1"/>
    <row r="13342" customFormat="1"/>
    <row r="13343" customFormat="1"/>
    <row r="13344" customFormat="1"/>
    <row r="13345" customFormat="1"/>
    <row r="13346" customFormat="1"/>
    <row r="13347" customFormat="1"/>
    <row r="13348" customFormat="1"/>
    <row r="13349" customFormat="1"/>
    <row r="13350" customFormat="1"/>
    <row r="13351" customFormat="1"/>
    <row r="13352" customFormat="1"/>
    <row r="13353" customFormat="1"/>
    <row r="13354" customFormat="1"/>
    <row r="13355" customFormat="1"/>
    <row r="13356" customFormat="1"/>
    <row r="13357" customFormat="1"/>
    <row r="13358" customFormat="1"/>
    <row r="13359" customFormat="1"/>
    <row r="13360" customFormat="1"/>
    <row r="13361" customFormat="1"/>
    <row r="13362" customFormat="1"/>
    <row r="13363" customFormat="1"/>
    <row r="13364" customFormat="1"/>
    <row r="13365" customFormat="1"/>
    <row r="13366" customFormat="1"/>
    <row r="13367" customFormat="1"/>
    <row r="13368" customFormat="1"/>
    <row r="13369" customFormat="1"/>
    <row r="13370" customFormat="1"/>
    <row r="13371" customFormat="1"/>
    <row r="13372" customFormat="1"/>
    <row r="13373" customFormat="1"/>
    <row r="13374" customFormat="1"/>
    <row r="13375" customFormat="1"/>
    <row r="13376" customFormat="1"/>
    <row r="13377" customFormat="1"/>
    <row r="13378" customFormat="1"/>
    <row r="13379" customFormat="1"/>
    <row r="13380" customFormat="1"/>
    <row r="13381" customFormat="1"/>
    <row r="13382" customFormat="1"/>
    <row r="13383" customFormat="1"/>
    <row r="13384" customFormat="1"/>
    <row r="13385" customFormat="1"/>
    <row r="13386" customFormat="1"/>
    <row r="13387" customFormat="1"/>
    <row r="13388" customFormat="1"/>
    <row r="13389" customFormat="1"/>
    <row r="13390" customFormat="1"/>
    <row r="13391" customFormat="1"/>
    <row r="13392" customFormat="1"/>
    <row r="13393" customFormat="1"/>
    <row r="13394" customFormat="1"/>
    <row r="13395" customFormat="1"/>
    <row r="13396" customFormat="1"/>
    <row r="13397" customFormat="1"/>
    <row r="13398" customFormat="1"/>
    <row r="13399" customFormat="1"/>
    <row r="13400" customFormat="1"/>
    <row r="13401" customFormat="1"/>
    <row r="13402" customFormat="1"/>
    <row r="13403" customFormat="1"/>
    <row r="13404" customFormat="1"/>
    <row r="13405" customFormat="1"/>
    <row r="13406" customFormat="1"/>
    <row r="13407" customFormat="1"/>
    <row r="13408" customFormat="1"/>
    <row r="13409" customFormat="1"/>
    <row r="13410" customFormat="1"/>
    <row r="13411" customFormat="1"/>
    <row r="13412" customFormat="1"/>
    <row r="13413" customFormat="1"/>
    <row r="13414" customFormat="1"/>
    <row r="13415" customFormat="1"/>
    <row r="13416" customFormat="1"/>
    <row r="13417" customFormat="1"/>
    <row r="13418" customFormat="1"/>
    <row r="13419" customFormat="1"/>
    <row r="13420" customFormat="1"/>
    <row r="13421" customFormat="1"/>
    <row r="13422" customFormat="1"/>
    <row r="13423" customFormat="1"/>
    <row r="13424" customFormat="1"/>
    <row r="13425" customFormat="1"/>
    <row r="13426" customFormat="1"/>
    <row r="13427" customFormat="1"/>
    <row r="13428" customFormat="1"/>
    <row r="13429" customFormat="1"/>
    <row r="13430" customFormat="1"/>
    <row r="13431" customFormat="1"/>
    <row r="13432" customFormat="1"/>
    <row r="13433" customFormat="1"/>
    <row r="13434" customFormat="1"/>
    <row r="13435" customFormat="1"/>
    <row r="13436" customFormat="1"/>
    <row r="13437" customFormat="1"/>
    <row r="13438" customFormat="1"/>
    <row r="13439" customFormat="1"/>
    <row r="13440" customFormat="1"/>
    <row r="13441" customFormat="1"/>
    <row r="13442" customFormat="1"/>
    <row r="13443" customFormat="1"/>
    <row r="13444" customFormat="1"/>
    <row r="13445" customFormat="1"/>
    <row r="13446" customFormat="1"/>
    <row r="13447" customFormat="1"/>
    <row r="13448" customFormat="1"/>
    <row r="13449" customFormat="1"/>
    <row r="13450" customFormat="1"/>
    <row r="13451" customFormat="1"/>
    <row r="13452" customFormat="1"/>
    <row r="13453" customFormat="1"/>
    <row r="13454" customFormat="1"/>
    <row r="13455" customFormat="1"/>
    <row r="13456" customFormat="1"/>
    <row r="13457" customFormat="1"/>
    <row r="13458" customFormat="1"/>
    <row r="13459" customFormat="1"/>
    <row r="13460" customFormat="1"/>
    <row r="13461" customFormat="1"/>
    <row r="13462" customFormat="1"/>
    <row r="13463" customFormat="1"/>
    <row r="13464" customFormat="1"/>
    <row r="13465" customFormat="1"/>
    <row r="13466" customFormat="1"/>
    <row r="13467" customFormat="1"/>
    <row r="13468" customFormat="1"/>
    <row r="13469" customFormat="1"/>
    <row r="13470" customFormat="1"/>
    <row r="13471" customFormat="1"/>
    <row r="13472" customFormat="1"/>
    <row r="13473" customFormat="1"/>
    <row r="13474" customFormat="1"/>
    <row r="13475" customFormat="1"/>
    <row r="13476" customFormat="1"/>
    <row r="13477" customFormat="1"/>
    <row r="13478" customFormat="1"/>
    <row r="13479" customFormat="1"/>
    <row r="13480" customFormat="1"/>
    <row r="13481" customFormat="1"/>
    <row r="13482" customFormat="1"/>
    <row r="13483" customFormat="1"/>
    <row r="13484" customFormat="1"/>
    <row r="13485" customFormat="1"/>
    <row r="13486" customFormat="1"/>
    <row r="13487" customFormat="1"/>
    <row r="13488" customFormat="1"/>
    <row r="13489" customFormat="1"/>
    <row r="13490" customFormat="1"/>
    <row r="13491" customFormat="1"/>
    <row r="13492" customFormat="1"/>
    <row r="13493" customFormat="1"/>
    <row r="13494" customFormat="1"/>
    <row r="13495" customFormat="1"/>
    <row r="13496" customFormat="1"/>
    <row r="13497" customFormat="1"/>
    <row r="13498" customFormat="1"/>
    <row r="13499" customFormat="1"/>
    <row r="13500" customFormat="1"/>
    <row r="13501" customFormat="1"/>
    <row r="13502" customFormat="1"/>
    <row r="13503" customFormat="1"/>
    <row r="13504" customFormat="1"/>
    <row r="13505" customFormat="1"/>
    <row r="13506" customFormat="1"/>
    <row r="13507" customFormat="1"/>
    <row r="13508" customFormat="1"/>
    <row r="13509" customFormat="1"/>
    <row r="13510" customFormat="1"/>
    <row r="13511" customFormat="1"/>
    <row r="13512" customFormat="1"/>
    <row r="13513" customFormat="1"/>
    <row r="13514" customFormat="1"/>
    <row r="13515" customFormat="1"/>
    <row r="13516" customFormat="1"/>
    <row r="13517" customFormat="1"/>
    <row r="13518" customFormat="1"/>
    <row r="13519" customFormat="1"/>
    <row r="13520" customFormat="1"/>
    <row r="13521" customFormat="1"/>
    <row r="13522" customFormat="1"/>
    <row r="13523" customFormat="1"/>
    <row r="13524" customFormat="1"/>
    <row r="13525" customFormat="1"/>
    <row r="13526" customFormat="1"/>
    <row r="13527" customFormat="1"/>
    <row r="13528" customFormat="1"/>
    <row r="13529" customFormat="1"/>
    <row r="13530" customFormat="1"/>
    <row r="13531" customFormat="1"/>
    <row r="13532" customFormat="1"/>
    <row r="13533" customFormat="1"/>
    <row r="13534" customFormat="1"/>
    <row r="13535" customFormat="1"/>
    <row r="13536" customFormat="1"/>
    <row r="13537" customFormat="1"/>
    <row r="13538" customFormat="1"/>
    <row r="13539" customFormat="1"/>
    <row r="13540" customFormat="1"/>
    <row r="13541" customFormat="1"/>
    <row r="13542" customFormat="1"/>
    <row r="13543" customFormat="1"/>
    <row r="13544" customFormat="1"/>
    <row r="13545" customFormat="1"/>
    <row r="13546" customFormat="1"/>
    <row r="13547" customFormat="1"/>
    <row r="13548" customFormat="1"/>
    <row r="13549" customFormat="1"/>
    <row r="13550" customFormat="1"/>
    <row r="13551" customFormat="1"/>
    <row r="13552" customFormat="1"/>
    <row r="13553" customFormat="1"/>
    <row r="13554" customFormat="1"/>
    <row r="13555" customFormat="1"/>
    <row r="13556" customFormat="1"/>
    <row r="13557" customFormat="1"/>
    <row r="13558" customFormat="1"/>
    <row r="13559" customFormat="1"/>
    <row r="13560" customFormat="1"/>
    <row r="13561" customFormat="1"/>
    <row r="13562" customFormat="1"/>
    <row r="13563" customFormat="1"/>
    <row r="13564" customFormat="1"/>
    <row r="13565" customFormat="1"/>
    <row r="13566" customFormat="1"/>
    <row r="13567" customFormat="1"/>
    <row r="13568" customFormat="1"/>
    <row r="13569" customFormat="1"/>
    <row r="13570" customFormat="1"/>
    <row r="13571" customFormat="1"/>
    <row r="13572" customFormat="1"/>
    <row r="13573" customFormat="1"/>
    <row r="13574" customFormat="1"/>
    <row r="13575" customFormat="1"/>
    <row r="13576" customFormat="1"/>
    <row r="13577" customFormat="1"/>
    <row r="13578" customFormat="1"/>
    <row r="13579" customFormat="1"/>
    <row r="13580" customFormat="1"/>
    <row r="13581" customFormat="1"/>
    <row r="13582" customFormat="1"/>
    <row r="13583" customFormat="1"/>
    <row r="13584" customFormat="1"/>
    <row r="13585" customFormat="1"/>
    <row r="13586" customFormat="1"/>
    <row r="13587" customFormat="1"/>
    <row r="13588" customFormat="1"/>
    <row r="13589" customFormat="1"/>
    <row r="13590" customFormat="1"/>
    <row r="13591" customFormat="1"/>
    <row r="13592" customFormat="1"/>
    <row r="13593" customFormat="1"/>
    <row r="13594" customFormat="1"/>
    <row r="13595" customFormat="1"/>
    <row r="13596" customFormat="1"/>
    <row r="13597" customFormat="1"/>
    <row r="13598" customFormat="1"/>
    <row r="13599" customFormat="1"/>
    <row r="13600" customFormat="1"/>
    <row r="13601" customFormat="1"/>
    <row r="13602" customFormat="1"/>
    <row r="13603" customFormat="1"/>
    <row r="13604" customFormat="1"/>
    <row r="13605" customFormat="1"/>
    <row r="13606" customFormat="1"/>
    <row r="13607" customFormat="1"/>
    <row r="13608" customFormat="1"/>
    <row r="13609" customFormat="1"/>
    <row r="13610" customFormat="1"/>
    <row r="13611" customFormat="1"/>
    <row r="13612" customFormat="1"/>
    <row r="13613" customFormat="1"/>
    <row r="13614" customFormat="1"/>
    <row r="13615" customFormat="1"/>
    <row r="13616" customFormat="1"/>
    <row r="13617" customFormat="1"/>
    <row r="13618" customFormat="1"/>
    <row r="13619" customFormat="1"/>
    <row r="13620" customFormat="1"/>
    <row r="13621" customFormat="1"/>
    <row r="13622" customFormat="1"/>
    <row r="13623" customFormat="1"/>
    <row r="13624" customFormat="1"/>
    <row r="13625" customFormat="1"/>
    <row r="13626" customFormat="1"/>
    <row r="13627" customFormat="1"/>
    <row r="13628" customFormat="1"/>
    <row r="13629" customFormat="1"/>
    <row r="13630" customFormat="1"/>
    <row r="13631" customFormat="1"/>
    <row r="13632" customFormat="1"/>
    <row r="13633" customFormat="1"/>
    <row r="13634" customFormat="1"/>
    <row r="13635" customFormat="1"/>
    <row r="13636" customFormat="1"/>
    <row r="13637" customFormat="1"/>
    <row r="13638" customFormat="1"/>
    <row r="13639" customFormat="1"/>
    <row r="13640" customFormat="1"/>
    <row r="13641" customFormat="1"/>
    <row r="13642" customFormat="1"/>
    <row r="13643" customFormat="1"/>
    <row r="13644" customFormat="1"/>
    <row r="13645" customFormat="1"/>
    <row r="13646" customFormat="1"/>
    <row r="13647" customFormat="1"/>
    <row r="13648" customFormat="1"/>
    <row r="13649" customFormat="1"/>
    <row r="13650" customFormat="1"/>
    <row r="13651" customFormat="1"/>
    <row r="13652" customFormat="1"/>
    <row r="13653" customFormat="1"/>
    <row r="13654" customFormat="1"/>
    <row r="13655" customFormat="1"/>
    <row r="13656" customFormat="1"/>
    <row r="13657" customFormat="1"/>
    <row r="13658" customFormat="1"/>
    <row r="13659" customFormat="1"/>
    <row r="13660" customFormat="1"/>
    <row r="13661" customFormat="1"/>
    <row r="13662" customFormat="1"/>
    <row r="13663" customFormat="1"/>
    <row r="13664" customFormat="1"/>
    <row r="13665" customFormat="1"/>
    <row r="13666" customFormat="1"/>
    <row r="13667" customFormat="1"/>
    <row r="13668" customFormat="1"/>
    <row r="13669" customFormat="1"/>
    <row r="13670" customFormat="1"/>
    <row r="13671" customFormat="1"/>
    <row r="13672" customFormat="1"/>
    <row r="13673" customFormat="1"/>
    <row r="13674" customFormat="1"/>
    <row r="13675" customFormat="1"/>
    <row r="13676" customFormat="1"/>
    <row r="13677" customFormat="1"/>
    <row r="13678" customFormat="1"/>
    <row r="13679" customFormat="1"/>
    <row r="13680" customFormat="1"/>
    <row r="13681" customFormat="1"/>
    <row r="13682" customFormat="1"/>
    <row r="13683" customFormat="1"/>
    <row r="13684" customFormat="1"/>
    <row r="13685" customFormat="1"/>
    <row r="13686" customFormat="1"/>
    <row r="13687" customFormat="1"/>
    <row r="13688" customFormat="1"/>
    <row r="13689" customFormat="1"/>
    <row r="13690" customFormat="1"/>
    <row r="13691" customFormat="1"/>
    <row r="13692" customFormat="1"/>
    <row r="13693" customFormat="1"/>
    <row r="13694" customFormat="1"/>
    <row r="13695" customFormat="1"/>
    <row r="13696" customFormat="1"/>
    <row r="13697" customFormat="1"/>
    <row r="13698" customFormat="1"/>
    <row r="13699" customFormat="1"/>
    <row r="13700" customFormat="1"/>
    <row r="13701" customFormat="1"/>
    <row r="13702" customFormat="1"/>
    <row r="13703" customFormat="1"/>
    <row r="13704" customFormat="1"/>
    <row r="13705" customFormat="1"/>
    <row r="13706" customFormat="1"/>
    <row r="13707" customFormat="1"/>
    <row r="13708" customFormat="1"/>
    <row r="13709" customFormat="1"/>
    <row r="13710" customFormat="1"/>
    <row r="13711" customFormat="1"/>
    <row r="13712" customFormat="1"/>
    <row r="13713" customFormat="1"/>
    <row r="13714" customFormat="1"/>
    <row r="13715" customFormat="1"/>
    <row r="13716" customFormat="1"/>
    <row r="13717" customFormat="1"/>
    <row r="13718" customFormat="1"/>
    <row r="13719" customFormat="1"/>
    <row r="13720" customFormat="1"/>
    <row r="13721" customFormat="1"/>
    <row r="13722" customFormat="1"/>
    <row r="13723" customFormat="1"/>
    <row r="13724" customFormat="1"/>
    <row r="13725" customFormat="1"/>
    <row r="13726" customFormat="1"/>
    <row r="13727" customFormat="1"/>
    <row r="13728" customFormat="1"/>
    <row r="13729" customFormat="1"/>
    <row r="13730" customFormat="1"/>
    <row r="13731" customFormat="1"/>
    <row r="13732" customFormat="1"/>
    <row r="13733" customFormat="1"/>
    <row r="13734" customFormat="1"/>
    <row r="13735" customFormat="1"/>
    <row r="13736" customFormat="1"/>
    <row r="13737" customFormat="1"/>
    <row r="13738" customFormat="1"/>
    <row r="13739" customFormat="1"/>
    <row r="13740" customFormat="1"/>
    <row r="13741" customFormat="1"/>
    <row r="13742" customFormat="1"/>
    <row r="13743" customFormat="1"/>
    <row r="13744" customFormat="1"/>
    <row r="13745" customFormat="1"/>
    <row r="13746" customFormat="1"/>
    <row r="13747" customFormat="1"/>
    <row r="13748" customFormat="1"/>
    <row r="13749" customFormat="1"/>
    <row r="13750" customFormat="1"/>
    <row r="13751" customFormat="1"/>
    <row r="13752" customFormat="1"/>
    <row r="13753" customFormat="1"/>
    <row r="13754" customFormat="1"/>
    <row r="13755" customFormat="1"/>
    <row r="13756" customFormat="1"/>
    <row r="13757" customFormat="1"/>
    <row r="13758" customFormat="1"/>
    <row r="13759" customFormat="1"/>
    <row r="13760" customFormat="1"/>
    <row r="13761" customFormat="1"/>
    <row r="13762" customFormat="1"/>
    <row r="13763" customFormat="1"/>
    <row r="13764" customFormat="1"/>
    <row r="13765" customFormat="1"/>
    <row r="13766" customFormat="1"/>
    <row r="13767" customFormat="1"/>
    <row r="13768" customFormat="1"/>
    <row r="13769" customFormat="1"/>
    <row r="13770" customFormat="1"/>
    <row r="13771" customFormat="1"/>
    <row r="13772" customFormat="1"/>
    <row r="13773" customFormat="1"/>
    <row r="13774" customFormat="1"/>
    <row r="13775" customFormat="1"/>
    <row r="13776" customFormat="1"/>
    <row r="13777" customFormat="1"/>
    <row r="13778" customFormat="1"/>
    <row r="13779" customFormat="1"/>
    <row r="13780" customFormat="1"/>
    <row r="13781" customFormat="1"/>
    <row r="13782" customFormat="1"/>
    <row r="13783" customFormat="1"/>
    <row r="13784" customFormat="1"/>
    <row r="13785" customFormat="1"/>
    <row r="13786" customFormat="1"/>
    <row r="13787" customFormat="1"/>
    <row r="13788" customFormat="1"/>
    <row r="13789" customFormat="1"/>
    <row r="13790" customFormat="1"/>
    <row r="13791" customFormat="1"/>
    <row r="13792" customFormat="1"/>
    <row r="13793" customFormat="1"/>
    <row r="13794" customFormat="1"/>
    <row r="13795" customFormat="1"/>
    <row r="13796" customFormat="1"/>
    <row r="13797" customFormat="1"/>
    <row r="13798" customFormat="1"/>
    <row r="13799" customFormat="1"/>
    <row r="13800" customFormat="1"/>
    <row r="13801" customFormat="1"/>
    <row r="13802" customFormat="1"/>
    <row r="13803" customFormat="1"/>
    <row r="13804" customFormat="1"/>
    <row r="13805" customFormat="1"/>
    <row r="13806" customFormat="1"/>
    <row r="13807" customFormat="1"/>
    <row r="13808" customFormat="1"/>
    <row r="13809" customFormat="1"/>
    <row r="13810" customFormat="1"/>
    <row r="13811" customFormat="1"/>
    <row r="13812" customFormat="1"/>
    <row r="13813" customFormat="1"/>
    <row r="13814" customFormat="1"/>
    <row r="13815" customFormat="1"/>
    <row r="13816" customFormat="1"/>
    <row r="13817" customFormat="1"/>
    <row r="13818" customFormat="1"/>
    <row r="13819" customFormat="1"/>
    <row r="13820" customFormat="1"/>
    <row r="13821" customFormat="1"/>
    <row r="13822" customFormat="1"/>
    <row r="13823" customFormat="1"/>
    <row r="13824" customFormat="1"/>
    <row r="13825" customFormat="1"/>
    <row r="13826" customFormat="1"/>
    <row r="13827" customFormat="1"/>
    <row r="13828" customFormat="1"/>
    <row r="13829" customFormat="1"/>
    <row r="13830" customFormat="1"/>
    <row r="13831" customFormat="1"/>
    <row r="13832" customFormat="1"/>
    <row r="13833" customFormat="1"/>
    <row r="13834" customFormat="1"/>
    <row r="13835" customFormat="1"/>
    <row r="13836" customFormat="1"/>
    <row r="13837" customFormat="1"/>
    <row r="13838" customFormat="1"/>
    <row r="13839" customFormat="1"/>
    <row r="13840" customFormat="1"/>
    <row r="13841" customFormat="1"/>
    <row r="13842" customFormat="1"/>
    <row r="13843" customFormat="1"/>
    <row r="13844" customFormat="1"/>
    <row r="13845" customFormat="1"/>
    <row r="13846" customFormat="1"/>
    <row r="13847" customFormat="1"/>
    <row r="13848" customFormat="1"/>
    <row r="13849" customFormat="1"/>
    <row r="13850" customFormat="1"/>
    <row r="13851" customFormat="1"/>
    <row r="13852" customFormat="1"/>
    <row r="13853" customFormat="1"/>
    <row r="13854" customFormat="1"/>
    <row r="13855" customFormat="1"/>
    <row r="13856" customFormat="1"/>
    <row r="13857" customFormat="1"/>
    <row r="13858" customFormat="1"/>
    <row r="13859" customFormat="1"/>
    <row r="13860" customFormat="1"/>
    <row r="13861" customFormat="1"/>
    <row r="13862" customFormat="1"/>
    <row r="13863" customFormat="1"/>
    <row r="13864" customFormat="1"/>
    <row r="13865" customFormat="1"/>
    <row r="13866" customFormat="1"/>
    <row r="13867" customFormat="1"/>
    <row r="13868" customFormat="1"/>
    <row r="13869" customFormat="1"/>
    <row r="13870" customFormat="1"/>
    <row r="13871" customFormat="1"/>
    <row r="13872" customFormat="1"/>
    <row r="13873" customFormat="1"/>
    <row r="13874" customFormat="1"/>
    <row r="13875" customFormat="1"/>
    <row r="13876" customFormat="1"/>
    <row r="13877" customFormat="1"/>
    <row r="13878" customFormat="1"/>
    <row r="13879" customFormat="1"/>
    <row r="13880" customFormat="1"/>
    <row r="13881" customFormat="1"/>
    <row r="13882" customFormat="1"/>
    <row r="13883" customFormat="1"/>
    <row r="13884" customFormat="1"/>
    <row r="13885" customFormat="1"/>
    <row r="13886" customFormat="1"/>
    <row r="13887" customFormat="1"/>
    <row r="13888" customFormat="1"/>
    <row r="13889" customFormat="1"/>
    <row r="13890" customFormat="1"/>
    <row r="13891" customFormat="1"/>
    <row r="13892" customFormat="1"/>
    <row r="13893" customFormat="1"/>
    <row r="13894" customFormat="1"/>
    <row r="13895" customFormat="1"/>
    <row r="13896" customFormat="1"/>
    <row r="13897" customFormat="1"/>
    <row r="13898" customFormat="1"/>
    <row r="13899" customFormat="1"/>
    <row r="13900" customFormat="1"/>
    <row r="13901" customFormat="1"/>
    <row r="13902" customFormat="1"/>
    <row r="13903" customFormat="1"/>
    <row r="13904" customFormat="1"/>
    <row r="13905" customFormat="1"/>
    <row r="13906" customFormat="1"/>
    <row r="13907" customFormat="1"/>
    <row r="13908" customFormat="1"/>
    <row r="13909" customFormat="1"/>
    <row r="13910" customFormat="1"/>
    <row r="13911" customFormat="1"/>
    <row r="13912" customFormat="1"/>
    <row r="13913" customFormat="1"/>
    <row r="13914" customFormat="1"/>
    <row r="13915" customFormat="1"/>
    <row r="13916" customFormat="1"/>
    <row r="13917" customFormat="1"/>
    <row r="13918" customFormat="1"/>
    <row r="13919" customFormat="1"/>
    <row r="13920" customFormat="1"/>
    <row r="13921" customFormat="1"/>
    <row r="13922" customFormat="1"/>
    <row r="13923" customFormat="1"/>
    <row r="13924" customFormat="1"/>
    <row r="13925" customFormat="1"/>
    <row r="13926" customFormat="1"/>
    <row r="13927" customFormat="1"/>
    <row r="13928" customFormat="1"/>
    <row r="13929" customFormat="1"/>
    <row r="13930" customFormat="1"/>
    <row r="13931" customFormat="1"/>
    <row r="13932" customFormat="1"/>
    <row r="13933" customFormat="1"/>
    <row r="13934" customFormat="1"/>
    <row r="13935" customFormat="1"/>
    <row r="13936" customFormat="1"/>
    <row r="13937" customFormat="1"/>
    <row r="13938" customFormat="1"/>
    <row r="13939" customFormat="1"/>
    <row r="13940" customFormat="1"/>
    <row r="13941" customFormat="1"/>
    <row r="13942" customFormat="1"/>
    <row r="13943" customFormat="1"/>
    <row r="13944" customFormat="1"/>
    <row r="13945" customFormat="1"/>
    <row r="13946" customFormat="1"/>
    <row r="13947" customFormat="1"/>
    <row r="13948" customFormat="1"/>
    <row r="13949" customFormat="1"/>
    <row r="13950" customFormat="1"/>
    <row r="13951" customFormat="1"/>
    <row r="13952" customFormat="1"/>
    <row r="13953" customFormat="1"/>
    <row r="13954" customFormat="1"/>
    <row r="13955" customFormat="1"/>
    <row r="13956" customFormat="1"/>
    <row r="13957" customFormat="1"/>
    <row r="13958" customFormat="1"/>
    <row r="13959" customFormat="1"/>
    <row r="13960" customFormat="1"/>
    <row r="13961" customFormat="1"/>
    <row r="13962" customFormat="1"/>
    <row r="13963" customFormat="1"/>
    <row r="13964" customFormat="1"/>
    <row r="13965" customFormat="1"/>
    <row r="13966" customFormat="1"/>
    <row r="13967" customFormat="1"/>
    <row r="13968" customFormat="1"/>
    <row r="13969" customFormat="1"/>
    <row r="13970" customFormat="1"/>
    <row r="13971" customFormat="1"/>
    <row r="13972" customFormat="1"/>
    <row r="13973" customFormat="1"/>
    <row r="13974" customFormat="1"/>
    <row r="13975" customFormat="1"/>
    <row r="13976" customFormat="1"/>
    <row r="13977" customFormat="1"/>
    <row r="13978" customFormat="1"/>
    <row r="13979" customFormat="1"/>
    <row r="13980" customFormat="1"/>
    <row r="13981" customFormat="1"/>
    <row r="13982" customFormat="1"/>
    <row r="13983" customFormat="1"/>
    <row r="13984" customFormat="1"/>
    <row r="13985" customFormat="1"/>
    <row r="13986" customFormat="1"/>
    <row r="13987" customFormat="1"/>
    <row r="13988" customFormat="1"/>
    <row r="13989" customFormat="1"/>
    <row r="13990" customFormat="1"/>
    <row r="13991" customFormat="1"/>
    <row r="13992" customFormat="1"/>
    <row r="13993" customFormat="1"/>
    <row r="13994" customFormat="1"/>
    <row r="13995" customFormat="1"/>
    <row r="13996" customFormat="1"/>
    <row r="13997" customFormat="1"/>
    <row r="13998" customFormat="1"/>
    <row r="13999" customFormat="1"/>
    <row r="14000" customFormat="1"/>
    <row r="14001" customFormat="1"/>
    <row r="14002" customFormat="1"/>
    <row r="14003" customFormat="1"/>
    <row r="14004" customFormat="1"/>
    <row r="14005" customFormat="1"/>
    <row r="14006" customFormat="1"/>
    <row r="14007" customFormat="1"/>
    <row r="14008" customFormat="1"/>
    <row r="14009" customFormat="1"/>
    <row r="14010" customFormat="1"/>
    <row r="14011" customFormat="1"/>
    <row r="14012" customFormat="1"/>
    <row r="14013" customFormat="1"/>
    <row r="14014" customFormat="1"/>
    <row r="14015" customFormat="1"/>
    <row r="14016" customFormat="1"/>
    <row r="14017" customFormat="1"/>
    <row r="14018" customFormat="1"/>
    <row r="14019" customFormat="1"/>
    <row r="14020" customFormat="1"/>
    <row r="14021" customFormat="1"/>
    <row r="14022" customFormat="1"/>
    <row r="14023" customFormat="1"/>
    <row r="14024" customFormat="1"/>
    <row r="14025" customFormat="1"/>
    <row r="14026" customFormat="1"/>
    <row r="14027" customFormat="1"/>
    <row r="14028" customFormat="1"/>
    <row r="14029" customFormat="1"/>
    <row r="14030" customFormat="1"/>
    <row r="14031" customFormat="1"/>
    <row r="14032" customFormat="1"/>
    <row r="14033" customFormat="1"/>
    <row r="14034" customFormat="1"/>
    <row r="14035" customFormat="1"/>
    <row r="14036" customFormat="1"/>
    <row r="14037" customFormat="1"/>
    <row r="14038" customFormat="1"/>
    <row r="14039" customFormat="1"/>
    <row r="14040" customFormat="1"/>
    <row r="14041" customFormat="1"/>
    <row r="14042" customFormat="1"/>
    <row r="14043" customFormat="1"/>
    <row r="14044" customFormat="1"/>
    <row r="14045" customFormat="1"/>
    <row r="14046" customFormat="1"/>
    <row r="14047" customFormat="1"/>
    <row r="14048" customFormat="1"/>
    <row r="14049" customFormat="1"/>
    <row r="14050" customFormat="1"/>
    <row r="14051" customFormat="1"/>
    <row r="14052" customFormat="1"/>
    <row r="14053" customFormat="1"/>
    <row r="14054" customFormat="1"/>
    <row r="14055" customFormat="1"/>
    <row r="14056" customFormat="1"/>
    <row r="14057" customFormat="1"/>
    <row r="14058" customFormat="1"/>
    <row r="14059" customFormat="1"/>
    <row r="14060" customFormat="1"/>
    <row r="14061" customFormat="1"/>
    <row r="14062" customFormat="1"/>
    <row r="14063" customFormat="1"/>
    <row r="14064" customFormat="1"/>
    <row r="14065" customFormat="1"/>
    <row r="14066" customFormat="1"/>
    <row r="14067" customFormat="1"/>
    <row r="14068" customFormat="1"/>
    <row r="14069" customFormat="1"/>
    <row r="14070" customFormat="1"/>
    <row r="14071" customFormat="1"/>
    <row r="14072" customFormat="1"/>
    <row r="14073" customFormat="1"/>
    <row r="14074" customFormat="1"/>
    <row r="14075" customFormat="1"/>
    <row r="14076" customFormat="1"/>
    <row r="14077" customFormat="1"/>
    <row r="14078" customFormat="1"/>
    <row r="14079" customFormat="1"/>
    <row r="14080" customFormat="1"/>
    <row r="14081" customFormat="1"/>
    <row r="14082" customFormat="1"/>
    <row r="14083" customFormat="1"/>
    <row r="14084" customFormat="1"/>
    <row r="14085" customFormat="1"/>
    <row r="14086" customFormat="1"/>
    <row r="14087" customFormat="1"/>
    <row r="14088" customFormat="1"/>
    <row r="14089" customFormat="1"/>
    <row r="14090" customFormat="1"/>
    <row r="14091" customFormat="1"/>
    <row r="14092" customFormat="1"/>
    <row r="14093" customFormat="1"/>
    <row r="14094" customFormat="1"/>
    <row r="14095" customFormat="1"/>
    <row r="14096" customFormat="1"/>
    <row r="14097" customFormat="1"/>
    <row r="14098" customFormat="1"/>
    <row r="14099" customFormat="1"/>
    <row r="14100" customFormat="1"/>
    <row r="14101" customFormat="1"/>
    <row r="14102" customFormat="1"/>
    <row r="14103" customFormat="1"/>
    <row r="14104" customFormat="1"/>
    <row r="14105" customFormat="1"/>
    <row r="14106" customFormat="1"/>
    <row r="14107" customFormat="1"/>
    <row r="14108" customFormat="1"/>
    <row r="14109" customFormat="1"/>
    <row r="14110" customFormat="1"/>
    <row r="14111" customFormat="1"/>
    <row r="14112" customFormat="1"/>
    <row r="14113" customFormat="1"/>
    <row r="14114" customFormat="1"/>
    <row r="14115" customFormat="1"/>
    <row r="14116" customFormat="1"/>
    <row r="14117" customFormat="1"/>
    <row r="14118" customFormat="1"/>
    <row r="14119" customFormat="1"/>
    <row r="14120" customFormat="1"/>
    <row r="14121" customFormat="1"/>
    <row r="14122" customFormat="1"/>
    <row r="14123" customFormat="1"/>
    <row r="14124" customFormat="1"/>
    <row r="14125" customFormat="1"/>
    <row r="14126" customFormat="1"/>
    <row r="14127" customFormat="1"/>
    <row r="14128" customFormat="1"/>
    <row r="14129" customFormat="1"/>
    <row r="14130" customFormat="1"/>
    <row r="14131" customFormat="1"/>
    <row r="14132" customFormat="1"/>
    <row r="14133" customFormat="1"/>
    <row r="14134" customFormat="1"/>
    <row r="14135" customFormat="1"/>
    <row r="14136" customFormat="1"/>
    <row r="14137" customFormat="1"/>
    <row r="14138" customFormat="1"/>
    <row r="14139" customFormat="1"/>
    <row r="14140" customFormat="1"/>
    <row r="14141" customFormat="1"/>
    <row r="14142" customFormat="1"/>
    <row r="14143" customFormat="1"/>
    <row r="14144" customFormat="1"/>
    <row r="14145" customFormat="1"/>
    <row r="14146" customFormat="1"/>
    <row r="14147" customFormat="1"/>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283400" r:id="rId4" name="EspDist_ComboBox">
          <controlPr defaultSize="0" autoLine="0" listFillRange="'Datos(temp)'!D26:D44" r:id="rId5">
            <anchor moveWithCells="1">
              <from>
                <xdr:col>3</xdr:col>
                <xdr:colOff>0</xdr:colOff>
                <xdr:row>25</xdr:row>
                <xdr:rowOff>0</xdr:rowOff>
              </from>
              <to>
                <xdr:col>5</xdr:col>
                <xdr:colOff>144780</xdr:colOff>
                <xdr:row>26</xdr:row>
                <xdr:rowOff>167640</xdr:rowOff>
              </to>
            </anchor>
          </controlPr>
        </control>
      </mc:Choice>
      <mc:Fallback>
        <control shapeId="283400" r:id="rId4" name="EspDist_ComboBox"/>
      </mc:Fallback>
    </mc:AlternateContent>
    <mc:AlternateContent xmlns:mc="http://schemas.openxmlformats.org/markup-compatibility/2006">
      <mc:Choice Requires="x14">
        <control shapeId="283399" r:id="rId6" name="EspAut_ComboBox">
          <controlPr defaultSize="0" autoLine="0" listFillRange="'Datos(temp)'!D5:D21" r:id="rId7">
            <anchor moveWithCells="1">
              <from>
                <xdr:col>0</xdr:col>
                <xdr:colOff>0</xdr:colOff>
                <xdr:row>25</xdr:row>
                <xdr:rowOff>0</xdr:rowOff>
              </from>
              <to>
                <xdr:col>1</xdr:col>
                <xdr:colOff>312420</xdr:colOff>
                <xdr:row>26</xdr:row>
                <xdr:rowOff>167640</xdr:rowOff>
              </to>
            </anchor>
          </controlPr>
        </control>
      </mc:Choice>
      <mc:Fallback>
        <control shapeId="283399" r:id="rId6" name="EspAut_ComboBox"/>
      </mc:Fallback>
    </mc:AlternateContent>
    <mc:AlternateContent xmlns:mc="http://schemas.openxmlformats.org/markup-compatibility/2006">
      <mc:Choice Requires="x14">
        <control shapeId="266800" r:id="rId8" name="TenDist_ComboBox">
          <controlPr defaultSize="0" autoLine="0" listFillRange="'Datos(temp)'!C26:C44" r:id="rId9">
            <anchor moveWithCells="1">
              <from>
                <xdr:col>3</xdr:col>
                <xdr:colOff>0</xdr:colOff>
                <xdr:row>21</xdr:row>
                <xdr:rowOff>0</xdr:rowOff>
              </from>
              <to>
                <xdr:col>5</xdr:col>
                <xdr:colOff>152400</xdr:colOff>
                <xdr:row>22</xdr:row>
                <xdr:rowOff>167640</xdr:rowOff>
              </to>
            </anchor>
          </controlPr>
        </control>
      </mc:Choice>
      <mc:Fallback>
        <control shapeId="266800" r:id="rId8" name="TenDist_ComboBox"/>
      </mc:Fallback>
    </mc:AlternateContent>
    <mc:AlternateContent xmlns:mc="http://schemas.openxmlformats.org/markup-compatibility/2006">
      <mc:Choice Requires="x14">
        <control shapeId="266798" r:id="rId10" name="ColorDist_ComboBox">
          <controlPr defaultSize="0" autoLine="0" listFillRange="'Datos(temp)'!B26:B44" r:id="rId11">
            <anchor moveWithCells="1">
              <from>
                <xdr:col>3</xdr:col>
                <xdr:colOff>0</xdr:colOff>
                <xdr:row>17</xdr:row>
                <xdr:rowOff>0</xdr:rowOff>
              </from>
              <to>
                <xdr:col>5</xdr:col>
                <xdr:colOff>114300</xdr:colOff>
                <xdr:row>18</xdr:row>
                <xdr:rowOff>167640</xdr:rowOff>
              </to>
            </anchor>
          </controlPr>
        </control>
      </mc:Choice>
      <mc:Fallback>
        <control shapeId="266798" r:id="rId10" name="ColorDist_ComboBox"/>
      </mc:Fallback>
    </mc:AlternateContent>
    <mc:AlternateContent xmlns:mc="http://schemas.openxmlformats.org/markup-compatibility/2006">
      <mc:Choice Requires="x14">
        <control shapeId="266797" r:id="rId12" name="IPDist_ComboBox">
          <controlPr defaultSize="0" autoLine="0" listFillRange="'Datos(temp)'!A26:A50" r:id="rId13">
            <anchor moveWithCells="1">
              <from>
                <xdr:col>3</xdr:col>
                <xdr:colOff>0</xdr:colOff>
                <xdr:row>13</xdr:row>
                <xdr:rowOff>0</xdr:rowOff>
              </from>
              <to>
                <xdr:col>5</xdr:col>
                <xdr:colOff>114300</xdr:colOff>
                <xdr:row>14</xdr:row>
                <xdr:rowOff>167640</xdr:rowOff>
              </to>
            </anchor>
          </controlPr>
        </control>
      </mc:Choice>
      <mc:Fallback>
        <control shapeId="266797" r:id="rId12" name="IPDist_ComboBox"/>
      </mc:Fallback>
    </mc:AlternateContent>
    <mc:AlternateContent xmlns:mc="http://schemas.openxmlformats.org/markup-compatibility/2006">
      <mc:Choice Requires="x14">
        <control shapeId="251515" r:id="rId14" name="Redactar_Button">
          <controlPr defaultSize="0" autoLine="0" r:id="rId15">
            <anchor moveWithCells="1">
              <from>
                <xdr:col>2</xdr:col>
                <xdr:colOff>2004060</xdr:colOff>
                <xdr:row>8</xdr:row>
                <xdr:rowOff>76200</xdr:rowOff>
              </from>
              <to>
                <xdr:col>2</xdr:col>
                <xdr:colOff>3489960</xdr:colOff>
                <xdr:row>12</xdr:row>
                <xdr:rowOff>45720</xdr:rowOff>
              </to>
            </anchor>
          </controlPr>
        </control>
      </mc:Choice>
      <mc:Fallback>
        <control shapeId="251515" r:id="rId14" name="Redactar_Button"/>
      </mc:Fallback>
    </mc:AlternateContent>
    <mc:AlternateContent xmlns:mc="http://schemas.openxmlformats.org/markup-compatibility/2006">
      <mc:Choice Requires="x14">
        <control shapeId="251514" r:id="rId16" name="Vendedor_ComboBox">
          <controlPr defaultSize="0" autoLine="0" listFillRange="'Datos(temp)'!F5:F20" r:id="rId17">
            <anchor moveWithCells="1">
              <from>
                <xdr:col>0</xdr:col>
                <xdr:colOff>0</xdr:colOff>
                <xdr:row>2</xdr:row>
                <xdr:rowOff>0</xdr:rowOff>
              </from>
              <to>
                <xdr:col>1</xdr:col>
                <xdr:colOff>312420</xdr:colOff>
                <xdr:row>3</xdr:row>
                <xdr:rowOff>167640</xdr:rowOff>
              </to>
            </anchor>
          </controlPr>
        </control>
      </mc:Choice>
      <mc:Fallback>
        <control shapeId="251514" r:id="rId16" name="Vendedor_ComboBox"/>
      </mc:Fallback>
    </mc:AlternateContent>
    <mc:AlternateContent xmlns:mc="http://schemas.openxmlformats.org/markup-compatibility/2006">
      <mc:Choice Requires="x14">
        <control shapeId="251513" r:id="rId18" name="TenAut_ComboBox">
          <controlPr defaultSize="0" autoLine="0" listFillRange="'Datos(temp)'!C5:C21" r:id="rId19">
            <anchor moveWithCells="1">
              <from>
                <xdr:col>0</xdr:col>
                <xdr:colOff>0</xdr:colOff>
                <xdr:row>21</xdr:row>
                <xdr:rowOff>0</xdr:rowOff>
              </from>
              <to>
                <xdr:col>1</xdr:col>
                <xdr:colOff>312420</xdr:colOff>
                <xdr:row>22</xdr:row>
                <xdr:rowOff>167640</xdr:rowOff>
              </to>
            </anchor>
          </controlPr>
        </control>
      </mc:Choice>
      <mc:Fallback>
        <control shapeId="251513" r:id="rId18" name="TenAut_ComboBox"/>
      </mc:Fallback>
    </mc:AlternateContent>
    <mc:AlternateContent xmlns:mc="http://schemas.openxmlformats.org/markup-compatibility/2006">
      <mc:Choice Requires="x14">
        <control shapeId="251512" r:id="rId20" name="MarcaRed_ComboBox">
          <controlPr defaultSize="0" autoLine="0" listFillRange="'Datos(temp)'!E5:E10" r:id="rId21">
            <anchor moveWithCells="1">
              <from>
                <xdr:col>0</xdr:col>
                <xdr:colOff>0</xdr:colOff>
                <xdr:row>6</xdr:row>
                <xdr:rowOff>0</xdr:rowOff>
              </from>
              <to>
                <xdr:col>1</xdr:col>
                <xdr:colOff>312420</xdr:colOff>
                <xdr:row>7</xdr:row>
                <xdr:rowOff>167640</xdr:rowOff>
              </to>
            </anchor>
          </controlPr>
        </control>
      </mc:Choice>
      <mc:Fallback>
        <control shapeId="251512" r:id="rId20" name="MarcaRed_ComboBox"/>
      </mc:Fallback>
    </mc:AlternateContent>
    <mc:AlternateContent xmlns:mc="http://schemas.openxmlformats.org/markup-compatibility/2006">
      <mc:Choice Requires="x14">
        <control shapeId="251511" r:id="rId22" name="ColorAut_ComboBox">
          <controlPr defaultSize="0" autoLine="0" listFillRange="'Datos(temp)'!B5:B10" r:id="rId23">
            <anchor moveWithCells="1">
              <from>
                <xdr:col>0</xdr:col>
                <xdr:colOff>0</xdr:colOff>
                <xdr:row>17</xdr:row>
                <xdr:rowOff>0</xdr:rowOff>
              </from>
              <to>
                <xdr:col>1</xdr:col>
                <xdr:colOff>312420</xdr:colOff>
                <xdr:row>18</xdr:row>
                <xdr:rowOff>167640</xdr:rowOff>
              </to>
            </anchor>
          </controlPr>
        </control>
      </mc:Choice>
      <mc:Fallback>
        <control shapeId="251511" r:id="rId22" name="ColorAut_ComboBox"/>
      </mc:Fallback>
    </mc:AlternateContent>
    <mc:AlternateContent xmlns:mc="http://schemas.openxmlformats.org/markup-compatibility/2006">
      <mc:Choice Requires="x14">
        <control shapeId="251510" r:id="rId24" name="IPAut_ComboBox">
          <controlPr defaultSize="0" autoLine="0" listFillRange="'Datos(temp)'!A5:A21" r:id="rId25">
            <anchor moveWithCells="1">
              <from>
                <xdr:col>0</xdr:col>
                <xdr:colOff>0</xdr:colOff>
                <xdr:row>13</xdr:row>
                <xdr:rowOff>0</xdr:rowOff>
              </from>
              <to>
                <xdr:col>1</xdr:col>
                <xdr:colOff>312420</xdr:colOff>
                <xdr:row>14</xdr:row>
                <xdr:rowOff>167640</xdr:rowOff>
              </to>
            </anchor>
          </controlPr>
        </control>
      </mc:Choice>
      <mc:Fallback>
        <control shapeId="251510" r:id="rId24" name="IPAut_ComboBox"/>
      </mc:Fallback>
    </mc:AlternateContent>
    <mc:AlternateContent xmlns:mc="http://schemas.openxmlformats.org/markup-compatibility/2006">
      <mc:Choice Requires="x14">
        <control shapeId="393808" r:id="rId26" name="Plazo_ComboBox">
          <controlPr defaultSize="0" autoLine="0" listFillRange="'Datos(temp)'!H5:H20" r:id="rId27">
            <anchor moveWithCells="1">
              <from>
                <xdr:col>3</xdr:col>
                <xdr:colOff>0</xdr:colOff>
                <xdr:row>2</xdr:row>
                <xdr:rowOff>0</xdr:rowOff>
              </from>
              <to>
                <xdr:col>5</xdr:col>
                <xdr:colOff>1203960</xdr:colOff>
                <xdr:row>3</xdr:row>
                <xdr:rowOff>167640</xdr:rowOff>
              </to>
            </anchor>
          </controlPr>
        </control>
      </mc:Choice>
      <mc:Fallback>
        <control shapeId="393808" r:id="rId26" name="Plazo_ComboBox"/>
      </mc:Fallback>
    </mc:AlternateContent>
    <mc:AlternateContent xmlns:mc="http://schemas.openxmlformats.org/markup-compatibility/2006">
      <mc:Choice Requires="x14">
        <control shapeId="393809" r:id="rId28" name="FormaPago_ComboBox">
          <controlPr defaultSize="0" autoLine="0" listFillRange="'Datos(temp)'!I5:I20" r:id="rId29">
            <anchor moveWithCells="1">
              <from>
                <xdr:col>3</xdr:col>
                <xdr:colOff>0</xdr:colOff>
                <xdr:row>6</xdr:row>
                <xdr:rowOff>0</xdr:rowOff>
              </from>
              <to>
                <xdr:col>5</xdr:col>
                <xdr:colOff>1203960</xdr:colOff>
                <xdr:row>7</xdr:row>
                <xdr:rowOff>167640</xdr:rowOff>
              </to>
            </anchor>
          </controlPr>
        </control>
      </mc:Choice>
      <mc:Fallback>
        <control shapeId="393809" r:id="rId28" name="FormaPago_ComboBox"/>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9">
    <pageSetUpPr fitToPage="1"/>
  </sheetPr>
  <dimension ref="A1:ATO1485"/>
  <sheetViews>
    <sheetView topLeftCell="A127" zoomScaleNormal="100" workbookViewId="0">
      <selection activeCell="C18" sqref="C18"/>
    </sheetView>
  </sheetViews>
  <sheetFormatPr baseColWidth="10" defaultColWidth="11.44140625" defaultRowHeight="13.2"/>
  <cols>
    <col min="1" max="1" width="20.6640625" style="997" customWidth="1"/>
    <col min="2" max="2" width="5.33203125" style="997" customWidth="1"/>
    <col min="3" max="3" width="82.6640625" style="997" customWidth="1"/>
    <col min="4" max="4" width="15.33203125" style="1090" customWidth="1"/>
    <col min="5" max="5" width="5.33203125" style="1090" customWidth="1"/>
    <col min="6" max="6" width="18.6640625" style="1090" customWidth="1"/>
    <col min="7" max="7" width="11.44140625" style="997"/>
    <col min="8" max="347" width="11.5546875" customWidth="1"/>
    <col min="348" max="16384" width="11.44140625" style="997"/>
  </cols>
  <sheetData>
    <row r="1" spans="1:347" ht="24.75" customHeight="1">
      <c r="A1" s="2634"/>
      <c r="B1" s="2635"/>
      <c r="C1" s="1248" t="s">
        <v>3820</v>
      </c>
      <c r="D1" s="2647" t="s">
        <v>4086</v>
      </c>
      <c r="E1" s="2648"/>
      <c r="F1" s="2649"/>
    </row>
    <row r="2" spans="1:347" ht="24.75" customHeight="1">
      <c r="A2" s="2636"/>
      <c r="B2" s="2637"/>
      <c r="C2" s="1248" t="s">
        <v>3821</v>
      </c>
      <c r="D2" s="2638" t="s">
        <v>3822</v>
      </c>
      <c r="E2" s="2639"/>
      <c r="F2" s="2640"/>
    </row>
    <row r="3" spans="1:347" ht="21.75" customHeight="1">
      <c r="A3" s="998" t="s">
        <v>3823</v>
      </c>
      <c r="B3" s="1146"/>
      <c r="C3" s="999"/>
      <c r="D3" s="2641" t="s">
        <v>13022</v>
      </c>
      <c r="E3" s="2642"/>
      <c r="F3" s="2643"/>
    </row>
    <row r="4" spans="1:347" ht="21.75" customHeight="1">
      <c r="A4" s="998"/>
      <c r="C4" s="1000"/>
      <c r="D4" s="2644"/>
      <c r="E4" s="2645"/>
      <c r="F4" s="2646"/>
    </row>
    <row r="5" spans="1:347" ht="12" customHeight="1">
      <c r="A5" s="1000"/>
      <c r="B5" s="1000"/>
      <c r="C5" s="1000"/>
      <c r="D5" s="1001"/>
      <c r="E5" s="1001"/>
      <c r="F5" s="1001"/>
    </row>
    <row r="6" spans="1:347" ht="12.9" customHeight="1">
      <c r="A6" s="1316" t="s">
        <v>3829</v>
      </c>
      <c r="B6" s="1000"/>
      <c r="C6" s="1000"/>
      <c r="D6" s="2652">
        <v>43222</v>
      </c>
      <c r="E6" s="2652"/>
      <c r="F6" s="2652"/>
    </row>
    <row r="7" spans="1:347" ht="12.9" customHeight="1">
      <c r="A7" s="1000"/>
      <c r="B7" s="1000"/>
      <c r="C7" s="1000"/>
      <c r="D7" s="1145"/>
      <c r="E7" s="1001"/>
      <c r="F7" s="1001"/>
    </row>
    <row r="8" spans="1:347" s="1189" customFormat="1" ht="13.8">
      <c r="A8" s="1317" t="s">
        <v>3825</v>
      </c>
      <c r="B8" s="1317"/>
      <c r="C8" s="1318"/>
      <c r="D8" s="1319"/>
      <c r="E8" s="1320"/>
      <c r="F8" s="1321"/>
      <c r="H8" s="61"/>
      <c r="I8" s="61"/>
      <c r="J8" s="61"/>
      <c r="K8" s="61"/>
      <c r="L8" s="61"/>
      <c r="M8" s="61"/>
      <c r="N8" s="61"/>
      <c r="O8" s="61"/>
      <c r="P8" s="61"/>
      <c r="Q8" s="61"/>
      <c r="R8" s="61"/>
      <c r="S8" s="61"/>
      <c r="T8" s="61"/>
      <c r="U8" s="61"/>
      <c r="V8" s="61"/>
      <c r="W8" s="61"/>
      <c r="X8" s="61"/>
      <c r="Y8" s="61"/>
      <c r="Z8" s="61"/>
      <c r="AA8" s="61"/>
      <c r="AB8" s="61"/>
      <c r="AC8" s="61"/>
      <c r="AD8" s="61"/>
      <c r="AE8" s="61"/>
      <c r="AF8" s="61"/>
      <c r="AG8" s="61"/>
      <c r="AH8" s="61"/>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c r="DE8" s="61"/>
      <c r="DF8" s="61"/>
      <c r="DG8" s="61"/>
      <c r="DH8" s="61"/>
      <c r="DI8" s="61"/>
      <c r="DJ8" s="61"/>
      <c r="DK8" s="61"/>
      <c r="DL8" s="61"/>
      <c r="DM8" s="61"/>
      <c r="DN8" s="61"/>
      <c r="DO8" s="61"/>
      <c r="DP8" s="61"/>
      <c r="DQ8" s="61"/>
      <c r="DR8" s="61"/>
      <c r="DS8" s="61"/>
      <c r="DT8" s="61"/>
      <c r="DU8" s="61"/>
      <c r="DV8" s="61"/>
      <c r="DW8" s="61"/>
      <c r="DX8" s="61"/>
      <c r="DY8" s="61"/>
      <c r="DZ8" s="61"/>
      <c r="EA8" s="61"/>
      <c r="EB8" s="61"/>
      <c r="EC8" s="61"/>
      <c r="ED8" s="61"/>
      <c r="EE8" s="61"/>
      <c r="EF8" s="61"/>
      <c r="EG8" s="61"/>
      <c r="EH8" s="61"/>
      <c r="EI8" s="61"/>
      <c r="EJ8" s="61"/>
      <c r="EK8" s="61"/>
      <c r="EL8" s="61"/>
      <c r="EM8" s="61"/>
      <c r="EN8" s="61"/>
      <c r="EO8" s="61"/>
      <c r="EP8" s="61"/>
      <c r="EQ8" s="61"/>
      <c r="ER8" s="61"/>
      <c r="ES8" s="61"/>
      <c r="ET8" s="61"/>
      <c r="EU8" s="61"/>
      <c r="EV8" s="61"/>
      <c r="EW8" s="61"/>
      <c r="EX8" s="61"/>
      <c r="EY8" s="61"/>
      <c r="EZ8" s="61"/>
      <c r="FA8" s="61"/>
      <c r="FB8" s="61"/>
      <c r="FC8" s="61"/>
      <c r="FD8" s="61"/>
      <c r="FE8" s="61"/>
      <c r="FF8" s="61"/>
      <c r="FG8" s="61"/>
      <c r="FH8" s="61"/>
      <c r="FI8" s="61"/>
      <c r="FJ8" s="61"/>
      <c r="FK8" s="61"/>
      <c r="FL8" s="61"/>
      <c r="FM8" s="61"/>
      <c r="FN8" s="61"/>
      <c r="FO8" s="61"/>
      <c r="FP8" s="61"/>
      <c r="FQ8" s="61"/>
      <c r="FR8" s="61"/>
      <c r="FS8" s="61"/>
      <c r="FT8" s="61"/>
      <c r="FU8" s="61"/>
      <c r="FV8" s="61"/>
      <c r="FW8" s="61"/>
      <c r="FX8" s="61"/>
      <c r="FY8" s="61"/>
      <c r="FZ8" s="61"/>
      <c r="GA8" s="61"/>
      <c r="GB8" s="61"/>
      <c r="GC8" s="61"/>
      <c r="GD8" s="61"/>
      <c r="GE8" s="61"/>
      <c r="GF8" s="61"/>
      <c r="GG8" s="61"/>
      <c r="GH8" s="61"/>
      <c r="GI8" s="61"/>
      <c r="GJ8" s="61"/>
      <c r="GK8" s="61"/>
      <c r="GL8" s="61"/>
      <c r="GM8" s="61"/>
      <c r="GN8" s="61"/>
      <c r="GO8" s="61"/>
      <c r="GP8" s="61"/>
      <c r="GQ8" s="61"/>
      <c r="GR8" s="61"/>
      <c r="GS8" s="61"/>
      <c r="GT8" s="61"/>
      <c r="GU8" s="61"/>
      <c r="GV8" s="61"/>
      <c r="GW8" s="61"/>
      <c r="GX8" s="61"/>
      <c r="GY8" s="61"/>
      <c r="GZ8" s="61"/>
      <c r="HA8" s="61"/>
      <c r="HB8" s="61"/>
      <c r="HC8" s="61"/>
      <c r="HD8" s="61"/>
      <c r="HE8" s="61"/>
      <c r="HF8" s="61"/>
      <c r="HG8" s="61"/>
      <c r="HH8" s="61"/>
      <c r="HI8" s="61"/>
      <c r="HJ8" s="61"/>
      <c r="HK8" s="61"/>
      <c r="HL8" s="61"/>
      <c r="HM8" s="61"/>
      <c r="HN8" s="61"/>
      <c r="HO8" s="61"/>
      <c r="HP8" s="61"/>
      <c r="HQ8" s="61"/>
      <c r="HR8" s="61"/>
      <c r="HS8" s="61"/>
      <c r="HT8" s="61"/>
      <c r="HU8" s="61"/>
      <c r="HV8" s="61"/>
      <c r="HW8" s="61"/>
      <c r="HX8" s="61"/>
      <c r="HY8" s="61"/>
      <c r="HZ8" s="61"/>
      <c r="IA8" s="61"/>
      <c r="IB8" s="61"/>
      <c r="IC8" s="61"/>
      <c r="ID8" s="61"/>
      <c r="IE8" s="61"/>
      <c r="IF8" s="61"/>
      <c r="IG8" s="61"/>
      <c r="IH8" s="61"/>
      <c r="II8" s="61"/>
      <c r="IJ8" s="61"/>
      <c r="IK8" s="61"/>
      <c r="IL8" s="61"/>
      <c r="IM8" s="61"/>
      <c r="IN8" s="61"/>
      <c r="IO8" s="61"/>
      <c r="IP8" s="61"/>
      <c r="IQ8" s="61"/>
      <c r="IR8" s="61"/>
      <c r="IS8" s="61"/>
      <c r="IT8" s="61"/>
      <c r="IU8" s="61"/>
      <c r="IV8" s="61"/>
      <c r="IW8" s="61"/>
      <c r="IX8" s="61"/>
      <c r="IY8" s="61"/>
      <c r="IZ8" s="61"/>
      <c r="JA8" s="61"/>
      <c r="JB8" s="61"/>
      <c r="JC8" s="61"/>
      <c r="JD8" s="61"/>
      <c r="JE8" s="61"/>
      <c r="JF8" s="61"/>
      <c r="JG8" s="61"/>
      <c r="JH8" s="61"/>
      <c r="JI8" s="61"/>
      <c r="JJ8" s="61"/>
      <c r="JK8" s="61"/>
      <c r="JL8" s="61"/>
      <c r="JM8" s="61"/>
      <c r="JN8" s="61"/>
      <c r="JO8" s="61"/>
      <c r="JP8" s="61"/>
      <c r="JQ8" s="61"/>
      <c r="JR8" s="61"/>
      <c r="JS8" s="61"/>
      <c r="JT8" s="61"/>
      <c r="JU8" s="61"/>
      <c r="JV8" s="61"/>
      <c r="JW8" s="61"/>
      <c r="JX8" s="61"/>
      <c r="JY8" s="61"/>
      <c r="JZ8" s="61"/>
      <c r="KA8" s="61"/>
      <c r="KB8" s="61"/>
      <c r="KC8" s="61"/>
      <c r="KD8" s="61"/>
      <c r="KE8" s="61"/>
      <c r="KF8" s="61"/>
      <c r="KG8" s="61"/>
      <c r="KH8" s="61"/>
      <c r="KI8" s="61"/>
      <c r="KJ8" s="61"/>
      <c r="KK8" s="61"/>
      <c r="KL8" s="61"/>
      <c r="KM8" s="61"/>
      <c r="KN8" s="61"/>
      <c r="KO8" s="61"/>
      <c r="KP8" s="61"/>
      <c r="KQ8" s="61"/>
      <c r="KR8" s="61"/>
      <c r="KS8" s="61"/>
      <c r="KT8" s="61"/>
      <c r="KU8" s="61"/>
      <c r="KV8" s="61"/>
      <c r="KW8" s="61"/>
      <c r="KX8" s="61"/>
      <c r="KY8" s="61"/>
      <c r="KZ8" s="61"/>
      <c r="LA8" s="61"/>
      <c r="LB8" s="61"/>
      <c r="LC8" s="61"/>
      <c r="LD8" s="61"/>
      <c r="LE8" s="61"/>
      <c r="LF8" s="61"/>
      <c r="LG8" s="61"/>
      <c r="LH8" s="61"/>
      <c r="LI8" s="61"/>
      <c r="LJ8" s="61"/>
      <c r="LK8" s="61"/>
      <c r="LL8" s="61"/>
      <c r="LM8" s="61"/>
      <c r="LN8" s="61"/>
      <c r="LO8" s="61"/>
      <c r="LP8" s="61"/>
      <c r="LQ8" s="61"/>
      <c r="LR8" s="61"/>
      <c r="LS8" s="61"/>
      <c r="LT8" s="61"/>
      <c r="LU8" s="61"/>
      <c r="LV8" s="61"/>
      <c r="LW8" s="61"/>
      <c r="LX8" s="61"/>
      <c r="LY8" s="61"/>
      <c r="LZ8" s="61"/>
      <c r="MA8" s="61"/>
      <c r="MB8" s="61"/>
      <c r="MC8" s="61"/>
      <c r="MD8" s="61"/>
      <c r="ME8" s="61"/>
      <c r="MF8" s="61"/>
      <c r="MG8" s="61"/>
      <c r="MH8" s="61"/>
      <c r="MI8" s="61"/>
    </row>
    <row r="9" spans="1:347" s="1189" customFormat="1" ht="18.899999999999999" customHeight="1">
      <c r="A9" s="1322" t="s">
        <v>12306</v>
      </c>
      <c r="B9" s="1323"/>
      <c r="C9" s="1317"/>
      <c r="D9" s="1319"/>
      <c r="E9" s="1317"/>
      <c r="F9" s="1324"/>
      <c r="H9" s="61"/>
      <c r="I9" s="61"/>
      <c r="J9" s="61"/>
      <c r="K9" s="61"/>
      <c r="L9" s="61"/>
      <c r="M9" s="61"/>
      <c r="N9" s="61"/>
      <c r="O9" s="61"/>
      <c r="P9" s="61"/>
      <c r="Q9" s="61"/>
      <c r="R9" s="61"/>
      <c r="S9" s="61"/>
      <c r="T9" s="61"/>
      <c r="U9" s="61"/>
      <c r="V9" s="61"/>
      <c r="W9" s="61"/>
      <c r="X9" s="61"/>
      <c r="Y9" s="61"/>
      <c r="Z9" s="61"/>
      <c r="AA9" s="61"/>
      <c r="AB9" s="61"/>
      <c r="AC9" s="61"/>
      <c r="AD9" s="61"/>
      <c r="AE9" s="61"/>
      <c r="AF9" s="61"/>
      <c r="AG9" s="61"/>
      <c r="AH9" s="61"/>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c r="DE9" s="61"/>
      <c r="DF9" s="61"/>
      <c r="DG9" s="61"/>
      <c r="DH9" s="61"/>
      <c r="DI9" s="61"/>
      <c r="DJ9" s="61"/>
      <c r="DK9" s="61"/>
      <c r="DL9" s="61"/>
      <c r="DM9" s="61"/>
      <c r="DN9" s="61"/>
      <c r="DO9" s="61"/>
      <c r="DP9" s="61"/>
      <c r="DQ9" s="61"/>
      <c r="DR9" s="61"/>
      <c r="DS9" s="61"/>
      <c r="DT9" s="61"/>
      <c r="DU9" s="61"/>
      <c r="DV9" s="61"/>
      <c r="DW9" s="61"/>
      <c r="DX9" s="61"/>
      <c r="DY9" s="61"/>
      <c r="DZ9" s="61"/>
      <c r="EA9" s="61"/>
      <c r="EB9" s="61"/>
      <c r="EC9" s="61"/>
      <c r="ED9" s="61"/>
      <c r="EE9" s="61"/>
      <c r="EF9" s="61"/>
      <c r="EG9" s="61"/>
      <c r="EH9" s="61"/>
      <c r="EI9" s="61"/>
      <c r="EJ9" s="61"/>
      <c r="EK9" s="61"/>
      <c r="EL9" s="61"/>
      <c r="EM9" s="61"/>
      <c r="EN9" s="61"/>
      <c r="EO9" s="61"/>
      <c r="EP9" s="61"/>
      <c r="EQ9" s="61"/>
      <c r="ER9" s="61"/>
      <c r="ES9" s="61"/>
      <c r="ET9" s="61"/>
      <c r="EU9" s="61"/>
      <c r="EV9" s="61"/>
      <c r="EW9" s="61"/>
      <c r="EX9" s="61"/>
      <c r="EY9" s="61"/>
      <c r="EZ9" s="61"/>
      <c r="FA9" s="61"/>
      <c r="FB9" s="61"/>
      <c r="FC9" s="61"/>
      <c r="FD9" s="61"/>
      <c r="FE9" s="61"/>
      <c r="FF9" s="61"/>
      <c r="FG9" s="61"/>
      <c r="FH9" s="61"/>
      <c r="FI9" s="61"/>
      <c r="FJ9" s="61"/>
      <c r="FK9" s="61"/>
      <c r="FL9" s="61"/>
      <c r="FM9" s="61"/>
      <c r="FN9" s="61"/>
      <c r="FO9" s="61"/>
      <c r="FP9" s="61"/>
      <c r="FQ9" s="61"/>
      <c r="FR9" s="61"/>
      <c r="FS9" s="61"/>
      <c r="FT9" s="61"/>
      <c r="FU9" s="61"/>
      <c r="FV9" s="61"/>
      <c r="FW9" s="61"/>
      <c r="FX9" s="61"/>
      <c r="FY9" s="61"/>
      <c r="FZ9" s="61"/>
      <c r="GA9" s="61"/>
      <c r="GB9" s="61"/>
      <c r="GC9" s="61"/>
      <c r="GD9" s="61"/>
      <c r="GE9" s="61"/>
      <c r="GF9" s="61"/>
      <c r="GG9" s="61"/>
      <c r="GH9" s="61"/>
      <c r="GI9" s="61"/>
      <c r="GJ9" s="61"/>
      <c r="GK9" s="61"/>
      <c r="GL9" s="61"/>
      <c r="GM9" s="61"/>
      <c r="GN9" s="61"/>
      <c r="GO9" s="61"/>
      <c r="GP9" s="61"/>
      <c r="GQ9" s="61"/>
      <c r="GR9" s="61"/>
      <c r="GS9" s="61"/>
      <c r="GT9" s="61"/>
      <c r="GU9" s="61"/>
      <c r="GV9" s="61"/>
      <c r="GW9" s="61"/>
      <c r="GX9" s="61"/>
      <c r="GY9" s="61"/>
      <c r="GZ9" s="61"/>
      <c r="HA9" s="61"/>
      <c r="HB9" s="61"/>
      <c r="HC9" s="61"/>
      <c r="HD9" s="61"/>
      <c r="HE9" s="61"/>
      <c r="HF9" s="61"/>
      <c r="HG9" s="61"/>
      <c r="HH9" s="61"/>
      <c r="HI9" s="61"/>
      <c r="HJ9" s="61"/>
      <c r="HK9" s="61"/>
      <c r="HL9" s="61"/>
      <c r="HM9" s="61"/>
      <c r="HN9" s="61"/>
      <c r="HO9" s="61"/>
      <c r="HP9" s="61"/>
      <c r="HQ9" s="61"/>
      <c r="HR9" s="61"/>
      <c r="HS9" s="61"/>
      <c r="HT9" s="61"/>
      <c r="HU9" s="61"/>
      <c r="HV9" s="61"/>
      <c r="HW9" s="61"/>
      <c r="HX9" s="61"/>
      <c r="HY9" s="61"/>
      <c r="HZ9" s="61"/>
      <c r="IA9" s="61"/>
      <c r="IB9" s="61"/>
      <c r="IC9" s="61"/>
      <c r="ID9" s="61"/>
      <c r="IE9" s="61"/>
      <c r="IF9" s="61"/>
      <c r="IG9" s="61"/>
      <c r="IH9" s="61"/>
      <c r="II9" s="61"/>
      <c r="IJ9" s="61"/>
      <c r="IK9" s="61"/>
      <c r="IL9" s="61"/>
      <c r="IM9" s="61"/>
      <c r="IN9" s="61"/>
      <c r="IO9" s="61"/>
      <c r="IP9" s="61"/>
      <c r="IQ9" s="61"/>
      <c r="IR9" s="61"/>
      <c r="IS9" s="61"/>
      <c r="IT9" s="61"/>
      <c r="IU9" s="61"/>
      <c r="IV9" s="61"/>
      <c r="IW9" s="61"/>
      <c r="IX9" s="61"/>
      <c r="IY9" s="61"/>
      <c r="IZ9" s="61"/>
      <c r="JA9" s="61"/>
      <c r="JB9" s="61"/>
      <c r="JC9" s="61"/>
      <c r="JD9" s="61"/>
      <c r="JE9" s="61"/>
      <c r="JF9" s="61"/>
      <c r="JG9" s="61"/>
      <c r="JH9" s="61"/>
      <c r="JI9" s="61"/>
      <c r="JJ9" s="61"/>
      <c r="JK9" s="61"/>
      <c r="JL9" s="61"/>
      <c r="JM9" s="61"/>
      <c r="JN9" s="61"/>
      <c r="JO9" s="61"/>
      <c r="JP9" s="61"/>
      <c r="JQ9" s="61"/>
      <c r="JR9" s="61"/>
      <c r="JS9" s="61"/>
      <c r="JT9" s="61"/>
      <c r="JU9" s="61"/>
      <c r="JV9" s="61"/>
      <c r="JW9" s="61"/>
      <c r="JX9" s="61"/>
      <c r="JY9" s="61"/>
      <c r="JZ9" s="61"/>
      <c r="KA9" s="61"/>
      <c r="KB9" s="61"/>
      <c r="KC9" s="61"/>
      <c r="KD9" s="61"/>
      <c r="KE9" s="61"/>
      <c r="KF9" s="61"/>
      <c r="KG9" s="61"/>
      <c r="KH9" s="61"/>
      <c r="KI9" s="61"/>
      <c r="KJ9" s="61"/>
      <c r="KK9" s="61"/>
      <c r="KL9" s="61"/>
      <c r="KM9" s="61"/>
      <c r="KN9" s="61"/>
      <c r="KO9" s="61"/>
      <c r="KP9" s="61"/>
      <c r="KQ9" s="61"/>
      <c r="KR9" s="61"/>
      <c r="KS9" s="61"/>
      <c r="KT9" s="61"/>
      <c r="KU9" s="61"/>
      <c r="KV9" s="61"/>
      <c r="KW9" s="61"/>
      <c r="KX9" s="61"/>
      <c r="KY9" s="61"/>
      <c r="KZ9" s="61"/>
      <c r="LA9" s="61"/>
      <c r="LB9" s="61"/>
      <c r="LC9" s="61"/>
      <c r="LD9" s="61"/>
      <c r="LE9" s="61"/>
      <c r="LF9" s="61"/>
      <c r="LG9" s="61"/>
      <c r="LH9" s="61"/>
      <c r="LI9" s="61"/>
      <c r="LJ9" s="61"/>
      <c r="LK9" s="61"/>
      <c r="LL9" s="61"/>
      <c r="LM9" s="61"/>
      <c r="LN9" s="61"/>
      <c r="LO9" s="61"/>
      <c r="LP9" s="61"/>
      <c r="LQ9" s="61"/>
      <c r="LR9" s="61"/>
      <c r="LS9" s="61"/>
      <c r="LT9" s="61"/>
      <c r="LU9" s="61"/>
      <c r="LV9" s="61"/>
      <c r="LW9" s="61"/>
      <c r="LX9" s="61"/>
      <c r="LY9" s="61"/>
      <c r="LZ9" s="61"/>
      <c r="MA9" s="61"/>
      <c r="MB9" s="61"/>
      <c r="MC9" s="61"/>
      <c r="MD9" s="61"/>
      <c r="ME9" s="61"/>
      <c r="MF9" s="61"/>
      <c r="MG9" s="61"/>
      <c r="MH9" s="61"/>
      <c r="MI9" s="61"/>
    </row>
    <row r="10" spans="1:347" s="1189" customFormat="1" ht="17.100000000000001" customHeight="1">
      <c r="A10" s="1323" t="s">
        <v>3827</v>
      </c>
      <c r="B10" s="1323" t="s">
        <v>12305</v>
      </c>
      <c r="C10" s="1325"/>
      <c r="D10" s="1316"/>
      <c r="E10" s="1324"/>
      <c r="F10" s="1324"/>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c r="DE10" s="61"/>
      <c r="DF10" s="61"/>
      <c r="DG10" s="61"/>
      <c r="DH10" s="61"/>
      <c r="DI10" s="61"/>
      <c r="DJ10" s="61"/>
      <c r="DK10" s="61"/>
      <c r="DL10" s="61"/>
      <c r="DM10" s="61"/>
      <c r="DN10" s="61"/>
      <c r="DO10" s="61"/>
      <c r="DP10" s="61"/>
      <c r="DQ10" s="61"/>
      <c r="DR10" s="61"/>
      <c r="DS10" s="61"/>
      <c r="DT10" s="61"/>
      <c r="DU10" s="61"/>
      <c r="DV10" s="61"/>
      <c r="DW10" s="61"/>
      <c r="DX10" s="61"/>
      <c r="DY10" s="61"/>
      <c r="DZ10" s="61"/>
      <c r="EA10" s="61"/>
      <c r="EB10" s="61"/>
      <c r="EC10" s="61"/>
      <c r="ED10" s="61"/>
      <c r="EE10" s="61"/>
      <c r="EF10" s="61"/>
      <c r="EG10" s="61"/>
      <c r="EH10" s="61"/>
      <c r="EI10" s="61"/>
      <c r="EJ10" s="61"/>
      <c r="EK10" s="61"/>
      <c r="EL10" s="61"/>
      <c r="EM10" s="61"/>
      <c r="EN10" s="61"/>
      <c r="EO10" s="61"/>
      <c r="EP10" s="61"/>
      <c r="EQ10" s="61"/>
      <c r="ER10" s="61"/>
      <c r="ES10" s="61"/>
      <c r="ET10" s="61"/>
      <c r="EU10" s="61"/>
      <c r="EV10" s="61"/>
      <c r="EW10" s="61"/>
      <c r="EX10" s="61"/>
      <c r="EY10" s="61"/>
      <c r="EZ10" s="61"/>
      <c r="FA10" s="61"/>
      <c r="FB10" s="61"/>
      <c r="FC10" s="61"/>
      <c r="FD10" s="61"/>
      <c r="FE10" s="61"/>
      <c r="FF10" s="61"/>
      <c r="FG10" s="61"/>
      <c r="FH10" s="61"/>
      <c r="FI10" s="61"/>
      <c r="FJ10" s="61"/>
      <c r="FK10" s="61"/>
      <c r="FL10" s="61"/>
      <c r="FM10" s="61"/>
      <c r="FN10" s="61"/>
      <c r="FO10" s="61"/>
      <c r="FP10" s="61"/>
      <c r="FQ10" s="61"/>
      <c r="FR10" s="61"/>
      <c r="FS10" s="61"/>
      <c r="FT10" s="61"/>
      <c r="FU10" s="61"/>
      <c r="FV10" s="61"/>
      <c r="FW10" s="61"/>
      <c r="FX10" s="61"/>
      <c r="FY10" s="61"/>
      <c r="FZ10" s="61"/>
      <c r="GA10" s="61"/>
      <c r="GB10" s="61"/>
      <c r="GC10" s="61"/>
      <c r="GD10" s="61"/>
      <c r="GE10" s="61"/>
      <c r="GF10" s="61"/>
      <c r="GG10" s="61"/>
      <c r="GH10" s="61"/>
      <c r="GI10" s="61"/>
      <c r="GJ10" s="61"/>
      <c r="GK10" s="61"/>
      <c r="GL10" s="61"/>
      <c r="GM10" s="61"/>
      <c r="GN10" s="61"/>
      <c r="GO10" s="61"/>
      <c r="GP10" s="61"/>
      <c r="GQ10" s="61"/>
      <c r="GR10" s="61"/>
      <c r="GS10" s="61"/>
      <c r="GT10" s="61"/>
      <c r="GU10" s="61"/>
      <c r="GV10" s="61"/>
      <c r="GW10" s="61"/>
      <c r="GX10" s="61"/>
      <c r="GY10" s="61"/>
      <c r="GZ10" s="61"/>
      <c r="HA10" s="61"/>
      <c r="HB10" s="61"/>
      <c r="HC10" s="61"/>
      <c r="HD10" s="61"/>
      <c r="HE10" s="61"/>
      <c r="HF10" s="61"/>
      <c r="HG10" s="61"/>
      <c r="HH10" s="61"/>
      <c r="HI10" s="61"/>
      <c r="HJ10" s="61"/>
      <c r="HK10" s="61"/>
      <c r="HL10" s="61"/>
      <c r="HM10" s="61"/>
      <c r="HN10" s="61"/>
      <c r="HO10" s="61"/>
      <c r="HP10" s="61"/>
      <c r="HQ10" s="61"/>
      <c r="HR10" s="61"/>
      <c r="HS10" s="61"/>
      <c r="HT10" s="61"/>
      <c r="HU10" s="61"/>
      <c r="HV10" s="61"/>
      <c r="HW10" s="61"/>
      <c r="HX10" s="61"/>
      <c r="HY10" s="61"/>
      <c r="HZ10" s="61"/>
      <c r="IA10" s="61"/>
      <c r="IB10" s="61"/>
      <c r="IC10" s="61"/>
      <c r="ID10" s="61"/>
      <c r="IE10" s="61"/>
      <c r="IF10" s="61"/>
      <c r="IG10" s="61"/>
      <c r="IH10" s="61"/>
      <c r="II10" s="61"/>
      <c r="IJ10" s="61"/>
      <c r="IK10" s="61"/>
      <c r="IL10" s="61"/>
      <c r="IM10" s="61"/>
      <c r="IN10" s="61"/>
      <c r="IO10" s="61"/>
      <c r="IP10" s="61"/>
      <c r="IQ10" s="61"/>
      <c r="IR10" s="61"/>
      <c r="IS10" s="61"/>
      <c r="IT10" s="61"/>
      <c r="IU10" s="61"/>
      <c r="IV10" s="61"/>
      <c r="IW10" s="61"/>
      <c r="IX10" s="61"/>
      <c r="IY10" s="61"/>
      <c r="IZ10" s="61"/>
      <c r="JA10" s="61"/>
      <c r="JB10" s="61"/>
      <c r="JC10" s="61"/>
      <c r="JD10" s="61"/>
      <c r="JE10" s="61"/>
      <c r="JF10" s="61"/>
      <c r="JG10" s="61"/>
      <c r="JH10" s="61"/>
      <c r="JI10" s="61"/>
      <c r="JJ10" s="61"/>
      <c r="JK10" s="61"/>
      <c r="JL10" s="61"/>
      <c r="JM10" s="61"/>
      <c r="JN10" s="61"/>
      <c r="JO10" s="61"/>
      <c r="JP10" s="61"/>
      <c r="JQ10" s="61"/>
      <c r="JR10" s="61"/>
      <c r="JS10" s="61"/>
      <c r="JT10" s="61"/>
      <c r="JU10" s="61"/>
      <c r="JV10" s="61"/>
      <c r="JW10" s="61"/>
      <c r="JX10" s="61"/>
      <c r="JY10" s="61"/>
      <c r="JZ10" s="61"/>
      <c r="KA10" s="61"/>
      <c r="KB10" s="61"/>
      <c r="KC10" s="61"/>
      <c r="KD10" s="61"/>
      <c r="KE10" s="61"/>
      <c r="KF10" s="61"/>
      <c r="KG10" s="61"/>
      <c r="KH10" s="61"/>
      <c r="KI10" s="61"/>
      <c r="KJ10" s="61"/>
      <c r="KK10" s="61"/>
      <c r="KL10" s="61"/>
      <c r="KM10" s="61"/>
      <c r="KN10" s="61"/>
      <c r="KO10" s="61"/>
      <c r="KP10" s="61"/>
      <c r="KQ10" s="61"/>
      <c r="KR10" s="61"/>
      <c r="KS10" s="61"/>
      <c r="KT10" s="61"/>
      <c r="KU10" s="61"/>
      <c r="KV10" s="61"/>
      <c r="KW10" s="61"/>
      <c r="KX10" s="61"/>
      <c r="KY10" s="61"/>
      <c r="KZ10" s="61"/>
      <c r="LA10" s="61"/>
      <c r="LB10" s="61"/>
      <c r="LC10" s="61"/>
      <c r="LD10" s="61"/>
      <c r="LE10" s="61"/>
      <c r="LF10" s="61"/>
      <c r="LG10" s="61"/>
      <c r="LH10" s="61"/>
      <c r="LI10" s="61"/>
      <c r="LJ10" s="61"/>
      <c r="LK10" s="61"/>
      <c r="LL10" s="61"/>
      <c r="LM10" s="61"/>
      <c r="LN10" s="61"/>
      <c r="LO10" s="61"/>
      <c r="LP10" s="61"/>
      <c r="LQ10" s="61"/>
      <c r="LR10" s="61"/>
      <c r="LS10" s="61"/>
      <c r="LT10" s="61"/>
      <c r="LU10" s="61"/>
      <c r="LV10" s="61"/>
      <c r="LW10" s="61"/>
      <c r="LX10" s="61"/>
      <c r="LY10" s="61"/>
      <c r="LZ10" s="61"/>
      <c r="MA10" s="61"/>
      <c r="MB10" s="61"/>
      <c r="MC10" s="61"/>
      <c r="MD10" s="61"/>
      <c r="ME10" s="61"/>
      <c r="MF10" s="61"/>
      <c r="MG10" s="61"/>
      <c r="MH10" s="61"/>
      <c r="MI10" s="61"/>
    </row>
    <row r="11" spans="1:347" s="1189" customFormat="1" ht="17.100000000000001" customHeight="1">
      <c r="A11" s="1323" t="s">
        <v>3830</v>
      </c>
      <c r="B11" s="1326" t="s">
        <v>12307</v>
      </c>
      <c r="C11" s="1327"/>
      <c r="D11" s="1328"/>
      <c r="E11" s="1328"/>
      <c r="F11" s="1324"/>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c r="BQ11" s="61"/>
      <c r="BR11" s="61"/>
      <c r="BS11" s="61"/>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c r="DE11" s="61"/>
      <c r="DF11" s="61"/>
      <c r="DG11" s="61"/>
      <c r="DH11" s="61"/>
      <c r="DI11" s="61"/>
      <c r="DJ11" s="61"/>
      <c r="DK11" s="61"/>
      <c r="DL11" s="61"/>
      <c r="DM11" s="61"/>
      <c r="DN11" s="61"/>
      <c r="DO11" s="61"/>
      <c r="DP11" s="61"/>
      <c r="DQ11" s="61"/>
      <c r="DR11" s="61"/>
      <c r="DS11" s="61"/>
      <c r="DT11" s="61"/>
      <c r="DU11" s="61"/>
      <c r="DV11" s="61"/>
      <c r="DW11" s="61"/>
      <c r="DX11" s="61"/>
      <c r="DY11" s="61"/>
      <c r="DZ11" s="61"/>
      <c r="EA11" s="61"/>
      <c r="EB11" s="61"/>
      <c r="EC11" s="61"/>
      <c r="ED11" s="61"/>
      <c r="EE11" s="61"/>
      <c r="EF11" s="61"/>
      <c r="EG11" s="61"/>
      <c r="EH11" s="61"/>
      <c r="EI11" s="61"/>
      <c r="EJ11" s="61"/>
      <c r="EK11" s="61"/>
      <c r="EL11" s="61"/>
      <c r="EM11" s="61"/>
      <c r="EN11" s="61"/>
      <c r="EO11" s="61"/>
      <c r="EP11" s="61"/>
      <c r="EQ11" s="61"/>
      <c r="ER11" s="61"/>
      <c r="ES11" s="61"/>
      <c r="ET11" s="61"/>
      <c r="EU11" s="61"/>
      <c r="EV11" s="61"/>
      <c r="EW11" s="61"/>
      <c r="EX11" s="61"/>
      <c r="EY11" s="61"/>
      <c r="EZ11" s="61"/>
      <c r="FA11" s="61"/>
      <c r="FB11" s="61"/>
      <c r="FC11" s="61"/>
      <c r="FD11" s="61"/>
      <c r="FE11" s="61"/>
      <c r="FF11" s="61"/>
      <c r="FG11" s="61"/>
      <c r="FH11" s="61"/>
      <c r="FI11" s="61"/>
      <c r="FJ11" s="61"/>
      <c r="FK11" s="61"/>
      <c r="FL11" s="61"/>
      <c r="FM11" s="61"/>
      <c r="FN11" s="61"/>
      <c r="FO11" s="61"/>
      <c r="FP11" s="61"/>
      <c r="FQ11" s="61"/>
      <c r="FR11" s="61"/>
      <c r="FS11" s="61"/>
      <c r="FT11" s="61"/>
      <c r="FU11" s="61"/>
      <c r="FV11" s="61"/>
      <c r="FW11" s="61"/>
      <c r="FX11" s="61"/>
      <c r="FY11" s="61"/>
      <c r="FZ11" s="61"/>
      <c r="GA11" s="61"/>
      <c r="GB11" s="61"/>
      <c r="GC11" s="61"/>
      <c r="GD11" s="61"/>
      <c r="GE11" s="61"/>
      <c r="GF11" s="61"/>
      <c r="GG11" s="61"/>
      <c r="GH11" s="61"/>
      <c r="GI11" s="61"/>
      <c r="GJ11" s="61"/>
      <c r="GK11" s="61"/>
      <c r="GL11" s="61"/>
      <c r="GM11" s="61"/>
      <c r="GN11" s="61"/>
      <c r="GO11" s="61"/>
      <c r="GP11" s="61"/>
      <c r="GQ11" s="61"/>
      <c r="GR11" s="61"/>
      <c r="GS11" s="61"/>
      <c r="GT11" s="61"/>
      <c r="GU11" s="61"/>
      <c r="GV11" s="61"/>
      <c r="GW11" s="61"/>
      <c r="GX11" s="61"/>
      <c r="GY11" s="61"/>
      <c r="GZ11" s="61"/>
      <c r="HA11" s="61"/>
      <c r="HB11" s="61"/>
      <c r="HC11" s="61"/>
      <c r="HD11" s="61"/>
      <c r="HE11" s="61"/>
      <c r="HF11" s="61"/>
      <c r="HG11" s="61"/>
      <c r="HH11" s="61"/>
      <c r="HI11" s="61"/>
      <c r="HJ11" s="61"/>
      <c r="HK11" s="61"/>
      <c r="HL11" s="61"/>
      <c r="HM11" s="61"/>
      <c r="HN11" s="61"/>
      <c r="HO11" s="61"/>
      <c r="HP11" s="61"/>
      <c r="HQ11" s="61"/>
      <c r="HR11" s="61"/>
      <c r="HS11" s="61"/>
      <c r="HT11" s="61"/>
      <c r="HU11" s="61"/>
      <c r="HV11" s="61"/>
      <c r="HW11" s="61"/>
      <c r="HX11" s="61"/>
      <c r="HY11" s="61"/>
      <c r="HZ11" s="61"/>
      <c r="IA11" s="61"/>
      <c r="IB11" s="61"/>
      <c r="IC11" s="61"/>
      <c r="ID11" s="61"/>
      <c r="IE11" s="61"/>
      <c r="IF11" s="61"/>
      <c r="IG11" s="61"/>
      <c r="IH11" s="61"/>
      <c r="II11" s="61"/>
      <c r="IJ11" s="61"/>
      <c r="IK11" s="61"/>
      <c r="IL11" s="61"/>
      <c r="IM11" s="61"/>
      <c r="IN11" s="61"/>
      <c r="IO11" s="61"/>
      <c r="IP11" s="61"/>
      <c r="IQ11" s="61"/>
      <c r="IR11" s="61"/>
      <c r="IS11" s="61"/>
      <c r="IT11" s="61"/>
      <c r="IU11" s="61"/>
      <c r="IV11" s="61"/>
      <c r="IW11" s="61"/>
      <c r="IX11" s="61"/>
      <c r="IY11" s="61"/>
      <c r="IZ11" s="61"/>
      <c r="JA11" s="61"/>
      <c r="JB11" s="61"/>
      <c r="JC11" s="61"/>
      <c r="JD11" s="61"/>
      <c r="JE11" s="61"/>
      <c r="JF11" s="61"/>
      <c r="JG11" s="61"/>
      <c r="JH11" s="61"/>
      <c r="JI11" s="61"/>
      <c r="JJ11" s="61"/>
      <c r="JK11" s="61"/>
      <c r="JL11" s="61"/>
      <c r="JM11" s="61"/>
      <c r="JN11" s="61"/>
      <c r="JO11" s="61"/>
      <c r="JP11" s="61"/>
      <c r="JQ11" s="61"/>
      <c r="JR11" s="61"/>
      <c r="JS11" s="61"/>
      <c r="JT11" s="61"/>
      <c r="JU11" s="61"/>
      <c r="JV11" s="61"/>
      <c r="JW11" s="61"/>
      <c r="JX11" s="61"/>
      <c r="JY11" s="61"/>
      <c r="JZ11" s="61"/>
      <c r="KA11" s="61"/>
      <c r="KB11" s="61"/>
      <c r="KC11" s="61"/>
      <c r="KD11" s="61"/>
      <c r="KE11" s="61"/>
      <c r="KF11" s="61"/>
      <c r="KG11" s="61"/>
      <c r="KH11" s="61"/>
      <c r="KI11" s="61"/>
      <c r="KJ11" s="61"/>
      <c r="KK11" s="61"/>
      <c r="KL11" s="61"/>
      <c r="KM11" s="61"/>
      <c r="KN11" s="61"/>
      <c r="KO11" s="61"/>
      <c r="KP11" s="61"/>
      <c r="KQ11" s="61"/>
      <c r="KR11" s="61"/>
      <c r="KS11" s="61"/>
      <c r="KT11" s="61"/>
      <c r="KU11" s="61"/>
      <c r="KV11" s="61"/>
      <c r="KW11" s="61"/>
      <c r="KX11" s="61"/>
      <c r="KY11" s="61"/>
      <c r="KZ11" s="61"/>
      <c r="LA11" s="61"/>
      <c r="LB11" s="61"/>
      <c r="LC11" s="61"/>
      <c r="LD11" s="61"/>
      <c r="LE11" s="61"/>
      <c r="LF11" s="61"/>
      <c r="LG11" s="61"/>
      <c r="LH11" s="61"/>
      <c r="LI11" s="61"/>
      <c r="LJ11" s="61"/>
      <c r="LK11" s="61"/>
      <c r="LL11" s="61"/>
      <c r="LM11" s="61"/>
      <c r="LN11" s="61"/>
      <c r="LO11" s="61"/>
      <c r="LP11" s="61"/>
      <c r="LQ11" s="61"/>
      <c r="LR11" s="61"/>
      <c r="LS11" s="61"/>
      <c r="LT11" s="61"/>
      <c r="LU11" s="61"/>
      <c r="LV11" s="61"/>
      <c r="LW11" s="61"/>
      <c r="LX11" s="61"/>
      <c r="LY11" s="61"/>
      <c r="LZ11" s="61"/>
      <c r="MA11" s="61"/>
      <c r="MB11" s="61"/>
      <c r="MC11" s="61"/>
      <c r="MD11" s="61"/>
      <c r="ME11" s="61"/>
      <c r="MF11" s="61"/>
      <c r="MG11" s="61"/>
      <c r="MH11" s="61"/>
      <c r="MI11" s="61"/>
    </row>
    <row r="12" spans="1:347" s="1189" customFormat="1" ht="17.100000000000001" customHeight="1">
      <c r="A12" s="1323" t="s">
        <v>3832</v>
      </c>
      <c r="B12" s="1323"/>
      <c r="C12" s="1317"/>
      <c r="D12" s="1324"/>
      <c r="E12" s="1324"/>
      <c r="F12" s="1324"/>
      <c r="H12" s="61"/>
      <c r="I12" s="61"/>
      <c r="J12" s="61"/>
      <c r="K12" s="61"/>
      <c r="L12" s="61"/>
      <c r="M12" s="61"/>
      <c r="N12" s="61"/>
      <c r="O12" s="61"/>
      <c r="P12" s="61"/>
      <c r="Q12" s="61"/>
      <c r="R12" s="61"/>
      <c r="S12" s="61"/>
      <c r="T12" s="61"/>
      <c r="U12" s="61"/>
      <c r="V12" s="61"/>
      <c r="W12" s="61"/>
      <c r="X12" s="61"/>
      <c r="Y12" s="61"/>
      <c r="Z12" s="61"/>
      <c r="AA12" s="61"/>
      <c r="AB12" s="61"/>
      <c r="AC12" s="61"/>
      <c r="AD12" s="61"/>
      <c r="AE12" s="61"/>
      <c r="AF12" s="61"/>
      <c r="AG12" s="61"/>
      <c r="AH12" s="61"/>
      <c r="AI12" s="61"/>
      <c r="AJ12" s="61"/>
      <c r="AK12" s="61"/>
      <c r="AL12" s="61"/>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1"/>
      <c r="BL12" s="61"/>
      <c r="BM12" s="61"/>
      <c r="BN12" s="61"/>
      <c r="BO12" s="61"/>
      <c r="BP12" s="61"/>
      <c r="BQ12" s="61"/>
      <c r="BR12" s="61"/>
      <c r="BS12" s="61"/>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c r="DE12" s="61"/>
      <c r="DF12" s="61"/>
      <c r="DG12" s="61"/>
      <c r="DH12" s="61"/>
      <c r="DI12" s="61"/>
      <c r="DJ12" s="61"/>
      <c r="DK12" s="61"/>
      <c r="DL12" s="61"/>
      <c r="DM12" s="61"/>
      <c r="DN12" s="61"/>
      <c r="DO12" s="61"/>
      <c r="DP12" s="61"/>
      <c r="DQ12" s="61"/>
      <c r="DR12" s="61"/>
      <c r="DS12" s="61"/>
      <c r="DT12" s="61"/>
      <c r="DU12" s="61"/>
      <c r="DV12" s="61"/>
      <c r="DW12" s="61"/>
      <c r="DX12" s="61"/>
      <c r="DY12" s="61"/>
      <c r="DZ12" s="61"/>
      <c r="EA12" s="61"/>
      <c r="EB12" s="61"/>
      <c r="EC12" s="61"/>
      <c r="ED12" s="61"/>
      <c r="EE12" s="61"/>
      <c r="EF12" s="61"/>
      <c r="EG12" s="61"/>
      <c r="EH12" s="61"/>
      <c r="EI12" s="61"/>
      <c r="EJ12" s="61"/>
      <c r="EK12" s="61"/>
      <c r="EL12" s="61"/>
      <c r="EM12" s="61"/>
      <c r="EN12" s="61"/>
      <c r="EO12" s="61"/>
      <c r="EP12" s="61"/>
      <c r="EQ12" s="61"/>
      <c r="ER12" s="61"/>
      <c r="ES12" s="61"/>
      <c r="ET12" s="61"/>
      <c r="EU12" s="61"/>
      <c r="EV12" s="61"/>
      <c r="EW12" s="61"/>
      <c r="EX12" s="61"/>
      <c r="EY12" s="61"/>
      <c r="EZ12" s="61"/>
      <c r="FA12" s="61"/>
      <c r="FB12" s="61"/>
      <c r="FC12" s="61"/>
      <c r="FD12" s="61"/>
      <c r="FE12" s="61"/>
      <c r="FF12" s="61"/>
      <c r="FG12" s="61"/>
      <c r="FH12" s="61"/>
      <c r="FI12" s="61"/>
      <c r="FJ12" s="61"/>
      <c r="FK12" s="61"/>
      <c r="FL12" s="61"/>
      <c r="FM12" s="61"/>
      <c r="FN12" s="61"/>
      <c r="FO12" s="61"/>
      <c r="FP12" s="61"/>
      <c r="FQ12" s="61"/>
      <c r="FR12" s="61"/>
      <c r="FS12" s="61"/>
      <c r="FT12" s="61"/>
      <c r="FU12" s="61"/>
      <c r="FV12" s="61"/>
      <c r="FW12" s="61"/>
      <c r="FX12" s="61"/>
      <c r="FY12" s="61"/>
      <c r="FZ12" s="61"/>
      <c r="GA12" s="61"/>
      <c r="GB12" s="61"/>
      <c r="GC12" s="61"/>
      <c r="GD12" s="61"/>
      <c r="GE12" s="61"/>
      <c r="GF12" s="61"/>
      <c r="GG12" s="61"/>
      <c r="GH12" s="61"/>
      <c r="GI12" s="61"/>
      <c r="GJ12" s="61"/>
      <c r="GK12" s="61"/>
      <c r="GL12" s="61"/>
      <c r="GM12" s="61"/>
      <c r="GN12" s="61"/>
      <c r="GO12" s="61"/>
      <c r="GP12" s="61"/>
      <c r="GQ12" s="61"/>
      <c r="GR12" s="61"/>
      <c r="GS12" s="61"/>
      <c r="GT12" s="61"/>
      <c r="GU12" s="61"/>
      <c r="GV12" s="61"/>
      <c r="GW12" s="61"/>
      <c r="GX12" s="61"/>
      <c r="GY12" s="61"/>
      <c r="GZ12" s="61"/>
      <c r="HA12" s="61"/>
      <c r="HB12" s="61"/>
      <c r="HC12" s="61"/>
      <c r="HD12" s="61"/>
      <c r="HE12" s="61"/>
      <c r="HF12" s="61"/>
      <c r="HG12" s="61"/>
      <c r="HH12" s="61"/>
      <c r="HI12" s="61"/>
      <c r="HJ12" s="61"/>
      <c r="HK12" s="61"/>
      <c r="HL12" s="61"/>
      <c r="HM12" s="61"/>
      <c r="HN12" s="61"/>
      <c r="HO12" s="61"/>
      <c r="HP12" s="61"/>
      <c r="HQ12" s="61"/>
      <c r="HR12" s="61"/>
      <c r="HS12" s="61"/>
      <c r="HT12" s="61"/>
      <c r="HU12" s="61"/>
      <c r="HV12" s="61"/>
      <c r="HW12" s="61"/>
      <c r="HX12" s="61"/>
      <c r="HY12" s="61"/>
      <c r="HZ12" s="61"/>
      <c r="IA12" s="61"/>
      <c r="IB12" s="61"/>
      <c r="IC12" s="61"/>
      <c r="ID12" s="61"/>
      <c r="IE12" s="61"/>
      <c r="IF12" s="61"/>
      <c r="IG12" s="61"/>
      <c r="IH12" s="61"/>
      <c r="II12" s="61"/>
      <c r="IJ12" s="61"/>
      <c r="IK12" s="61"/>
      <c r="IL12" s="61"/>
      <c r="IM12" s="61"/>
      <c r="IN12" s="61"/>
      <c r="IO12" s="61"/>
      <c r="IP12" s="61"/>
      <c r="IQ12" s="61"/>
      <c r="IR12" s="61"/>
      <c r="IS12" s="61"/>
      <c r="IT12" s="61"/>
      <c r="IU12" s="61"/>
      <c r="IV12" s="61"/>
      <c r="IW12" s="61"/>
      <c r="IX12" s="61"/>
      <c r="IY12" s="61"/>
      <c r="IZ12" s="61"/>
      <c r="JA12" s="61"/>
      <c r="JB12" s="61"/>
      <c r="JC12" s="61"/>
      <c r="JD12" s="61"/>
      <c r="JE12" s="61"/>
      <c r="JF12" s="61"/>
      <c r="JG12" s="61"/>
      <c r="JH12" s="61"/>
      <c r="JI12" s="61"/>
      <c r="JJ12" s="61"/>
      <c r="JK12" s="61"/>
      <c r="JL12" s="61"/>
      <c r="JM12" s="61"/>
      <c r="JN12" s="61"/>
      <c r="JO12" s="61"/>
      <c r="JP12" s="61"/>
      <c r="JQ12" s="61"/>
      <c r="JR12" s="61"/>
      <c r="JS12" s="61"/>
      <c r="JT12" s="61"/>
      <c r="JU12" s="61"/>
      <c r="JV12" s="61"/>
      <c r="JW12" s="61"/>
      <c r="JX12" s="61"/>
      <c r="JY12" s="61"/>
      <c r="JZ12" s="61"/>
      <c r="KA12" s="61"/>
      <c r="KB12" s="61"/>
      <c r="KC12" s="61"/>
      <c r="KD12" s="61"/>
      <c r="KE12" s="61"/>
      <c r="KF12" s="61"/>
      <c r="KG12" s="61"/>
      <c r="KH12" s="61"/>
      <c r="KI12" s="61"/>
      <c r="KJ12" s="61"/>
      <c r="KK12" s="61"/>
      <c r="KL12" s="61"/>
      <c r="KM12" s="61"/>
      <c r="KN12" s="61"/>
      <c r="KO12" s="61"/>
      <c r="KP12" s="61"/>
      <c r="KQ12" s="61"/>
      <c r="KR12" s="61"/>
      <c r="KS12" s="61"/>
      <c r="KT12" s="61"/>
      <c r="KU12" s="61"/>
      <c r="KV12" s="61"/>
      <c r="KW12" s="61"/>
      <c r="KX12" s="61"/>
      <c r="KY12" s="61"/>
      <c r="KZ12" s="61"/>
      <c r="LA12" s="61"/>
      <c r="LB12" s="61"/>
      <c r="LC12" s="61"/>
      <c r="LD12" s="61"/>
      <c r="LE12" s="61"/>
      <c r="LF12" s="61"/>
      <c r="LG12" s="61"/>
      <c r="LH12" s="61"/>
      <c r="LI12" s="61"/>
      <c r="LJ12" s="61"/>
      <c r="LK12" s="61"/>
      <c r="LL12" s="61"/>
      <c r="LM12" s="61"/>
      <c r="LN12" s="61"/>
      <c r="LO12" s="61"/>
      <c r="LP12" s="61"/>
      <c r="LQ12" s="61"/>
      <c r="LR12" s="61"/>
      <c r="LS12" s="61"/>
      <c r="LT12" s="61"/>
      <c r="LU12" s="61"/>
      <c r="LV12" s="61"/>
      <c r="LW12" s="61"/>
      <c r="LX12" s="61"/>
      <c r="LY12" s="61"/>
      <c r="LZ12" s="61"/>
      <c r="MA12" s="61"/>
      <c r="MB12" s="61"/>
      <c r="MC12" s="61"/>
      <c r="MD12" s="61"/>
      <c r="ME12" s="61"/>
      <c r="MF12" s="61"/>
      <c r="MG12" s="61"/>
      <c r="MH12" s="61"/>
      <c r="MI12" s="61"/>
    </row>
    <row r="13" spans="1:347" s="1189" customFormat="1" ht="17.100000000000001" customHeight="1">
      <c r="A13" s="1317"/>
      <c r="B13" s="1317" t="s">
        <v>3833</v>
      </c>
      <c r="C13" s="1317"/>
      <c r="D13" s="1324"/>
      <c r="E13" s="1324"/>
      <c r="F13" s="1324"/>
      <c r="H13" s="61"/>
      <c r="I13" s="61"/>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61"/>
      <c r="AZ13" s="61"/>
      <c r="BA13" s="61"/>
      <c r="BB13" s="61"/>
      <c r="BC13" s="61"/>
      <c r="BD13" s="61"/>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61"/>
      <c r="DT13" s="61"/>
      <c r="DU13" s="61"/>
      <c r="DV13" s="61"/>
      <c r="DW13" s="61"/>
      <c r="DX13" s="61"/>
      <c r="DY13" s="61"/>
      <c r="DZ13" s="61"/>
      <c r="EA13" s="61"/>
      <c r="EB13" s="61"/>
      <c r="EC13" s="61"/>
      <c r="ED13" s="61"/>
      <c r="EE13" s="61"/>
      <c r="EF13" s="61"/>
      <c r="EG13" s="61"/>
      <c r="EH13" s="61"/>
      <c r="EI13" s="61"/>
      <c r="EJ13" s="61"/>
      <c r="EK13" s="61"/>
      <c r="EL13" s="61"/>
      <c r="EM13" s="61"/>
      <c r="EN13" s="61"/>
      <c r="EO13" s="61"/>
      <c r="EP13" s="61"/>
      <c r="EQ13" s="61"/>
      <c r="ER13" s="61"/>
      <c r="ES13" s="61"/>
      <c r="ET13" s="61"/>
      <c r="EU13" s="61"/>
      <c r="EV13" s="61"/>
      <c r="EW13" s="61"/>
      <c r="EX13" s="61"/>
      <c r="EY13" s="61"/>
      <c r="EZ13" s="61"/>
      <c r="FA13" s="61"/>
      <c r="FB13" s="61"/>
      <c r="FC13" s="61"/>
      <c r="FD13" s="61"/>
      <c r="FE13" s="61"/>
      <c r="FF13" s="61"/>
      <c r="FG13" s="61"/>
      <c r="FH13" s="61"/>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61"/>
      <c r="GN13" s="61"/>
      <c r="GO13" s="61"/>
      <c r="GP13" s="61"/>
      <c r="GQ13" s="61"/>
      <c r="GR13" s="61"/>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61"/>
      <c r="HX13" s="61"/>
      <c r="HY13" s="61"/>
      <c r="HZ13" s="61"/>
      <c r="IA13" s="61"/>
      <c r="IB13" s="61"/>
      <c r="IC13" s="61"/>
      <c r="ID13" s="61"/>
      <c r="IE13" s="61"/>
      <c r="IF13" s="61"/>
      <c r="IG13" s="61"/>
      <c r="IH13" s="61"/>
      <c r="II13" s="61"/>
      <c r="IJ13" s="61"/>
      <c r="IK13" s="61"/>
      <c r="IL13" s="61"/>
      <c r="IM13" s="61"/>
      <c r="IN13" s="61"/>
      <c r="IO13" s="61"/>
      <c r="IP13" s="61"/>
      <c r="IQ13" s="61"/>
      <c r="IR13" s="61"/>
      <c r="IS13" s="61"/>
      <c r="IT13" s="61"/>
      <c r="IU13" s="61"/>
      <c r="IV13" s="61"/>
      <c r="IW13" s="61"/>
      <c r="IX13" s="61"/>
      <c r="IY13" s="61"/>
      <c r="IZ13" s="61"/>
      <c r="JA13" s="61"/>
      <c r="JB13" s="61"/>
      <c r="JC13" s="61"/>
      <c r="JD13" s="61"/>
      <c r="JE13" s="61"/>
      <c r="JF13" s="61"/>
      <c r="JG13" s="61"/>
      <c r="JH13" s="61"/>
      <c r="JI13" s="61"/>
      <c r="JJ13" s="61"/>
      <c r="JK13" s="61"/>
      <c r="JL13" s="61"/>
      <c r="JM13" s="61"/>
      <c r="JN13" s="61"/>
      <c r="JO13" s="61"/>
      <c r="JP13" s="61"/>
      <c r="JQ13" s="61"/>
      <c r="JR13" s="61"/>
      <c r="JS13" s="61"/>
      <c r="JT13" s="61"/>
      <c r="JU13" s="61"/>
      <c r="JV13" s="61"/>
      <c r="JW13" s="61"/>
      <c r="JX13" s="61"/>
      <c r="JY13" s="61"/>
      <c r="JZ13" s="61"/>
      <c r="KA13" s="61"/>
      <c r="KB13" s="61"/>
      <c r="KC13" s="61"/>
      <c r="KD13" s="61"/>
      <c r="KE13" s="61"/>
      <c r="KF13" s="61"/>
      <c r="KG13" s="61"/>
      <c r="KH13" s="61"/>
      <c r="KI13" s="61"/>
      <c r="KJ13" s="61"/>
      <c r="KK13" s="61"/>
      <c r="KL13" s="61"/>
      <c r="KM13" s="61"/>
      <c r="KN13" s="61"/>
      <c r="KO13" s="61"/>
      <c r="KP13" s="61"/>
      <c r="KQ13" s="61"/>
      <c r="KR13" s="61"/>
      <c r="KS13" s="61"/>
      <c r="KT13" s="61"/>
      <c r="KU13" s="61"/>
      <c r="KV13" s="61"/>
      <c r="KW13" s="61"/>
      <c r="KX13" s="61"/>
      <c r="KY13" s="61"/>
      <c r="KZ13" s="61"/>
      <c r="LA13" s="61"/>
      <c r="LB13" s="61"/>
      <c r="LC13" s="61"/>
      <c r="LD13" s="61"/>
      <c r="LE13" s="61"/>
      <c r="LF13" s="61"/>
      <c r="LG13" s="61"/>
      <c r="LH13" s="61"/>
      <c r="LI13" s="61"/>
      <c r="LJ13" s="61"/>
      <c r="LK13" s="61"/>
      <c r="LL13" s="61"/>
      <c r="LM13" s="61"/>
      <c r="LN13" s="61"/>
      <c r="LO13" s="61"/>
      <c r="LP13" s="61"/>
      <c r="LQ13" s="61"/>
      <c r="LR13" s="61"/>
      <c r="LS13" s="61"/>
      <c r="LT13" s="61"/>
      <c r="LU13" s="61"/>
      <c r="LV13" s="61"/>
      <c r="LW13" s="61"/>
      <c r="LX13" s="61"/>
      <c r="LY13" s="61"/>
      <c r="LZ13" s="61"/>
      <c r="MA13" s="61"/>
      <c r="MB13" s="61"/>
      <c r="MC13" s="61"/>
      <c r="MD13" s="61"/>
      <c r="ME13" s="61"/>
      <c r="MF13" s="61"/>
      <c r="MG13" s="61"/>
      <c r="MH13" s="61"/>
      <c r="MI13" s="61"/>
    </row>
    <row r="14" spans="1:347" ht="17.100000000000001" customHeight="1">
      <c r="A14" s="1000"/>
      <c r="B14" s="1000"/>
      <c r="C14" s="1000"/>
      <c r="D14" s="1001"/>
      <c r="E14" s="1001"/>
      <c r="F14" s="1001"/>
    </row>
    <row r="15" spans="1:347" ht="17.100000000000001" customHeight="1" thickBot="1">
      <c r="A15" s="1000"/>
      <c r="B15" s="1000"/>
      <c r="C15" s="1000"/>
      <c r="D15" s="1001"/>
      <c r="E15" s="1001"/>
      <c r="F15" s="1001"/>
    </row>
    <row r="16" spans="1:347" s="1189" customFormat="1" ht="23.25" customHeight="1" thickBot="1">
      <c r="A16" s="1186" t="s">
        <v>317</v>
      </c>
      <c r="B16" s="1187" t="s">
        <v>41</v>
      </c>
      <c r="C16" s="1190" t="s">
        <v>47</v>
      </c>
      <c r="D16" s="2650" t="s">
        <v>3834</v>
      </c>
      <c r="E16" s="2651"/>
      <c r="F16" s="1188" t="s">
        <v>3835</v>
      </c>
      <c r="H16" s="61"/>
      <c r="I16" s="61"/>
      <c r="J16" s="61"/>
      <c r="K16" s="61"/>
      <c r="L16" s="61"/>
      <c r="M16" s="61"/>
      <c r="N16" s="61"/>
      <c r="O16" s="61"/>
      <c r="P16" s="61"/>
      <c r="Q16" s="61"/>
      <c r="R16" s="61"/>
      <c r="S16" s="61"/>
      <c r="T16" s="61"/>
      <c r="U16" s="61"/>
      <c r="V16" s="61"/>
      <c r="W16" s="61"/>
      <c r="X16" s="61"/>
      <c r="Y16" s="61"/>
      <c r="Z16" s="61"/>
      <c r="AA16" s="61"/>
      <c r="AB16" s="61"/>
      <c r="AC16" s="61"/>
      <c r="AD16" s="61"/>
      <c r="AE16" s="61"/>
      <c r="AF16" s="61"/>
      <c r="AG16" s="61"/>
      <c r="AH16" s="61"/>
      <c r="AI16" s="61"/>
      <c r="AJ16" s="61"/>
      <c r="AK16" s="61"/>
      <c r="AL16" s="61"/>
      <c r="AM16" s="61"/>
      <c r="AN16" s="61"/>
      <c r="AO16" s="61"/>
      <c r="AP16" s="61"/>
      <c r="AQ16" s="61"/>
      <c r="AR16" s="61"/>
      <c r="AS16" s="61"/>
      <c r="AT16" s="61"/>
      <c r="AU16" s="61"/>
      <c r="AV16" s="61"/>
      <c r="AW16" s="61"/>
      <c r="AX16" s="61"/>
      <c r="AY16" s="61"/>
      <c r="AZ16" s="61"/>
      <c r="BA16" s="61"/>
      <c r="BB16" s="61"/>
      <c r="BC16" s="61"/>
      <c r="BD16" s="61"/>
      <c r="BE16" s="61"/>
      <c r="BF16" s="61"/>
      <c r="BG16" s="61"/>
      <c r="BH16" s="61"/>
      <c r="BI16" s="61"/>
      <c r="BJ16" s="61"/>
      <c r="BK16" s="61"/>
      <c r="BL16" s="61"/>
      <c r="BM16" s="61"/>
      <c r="BN16" s="61"/>
      <c r="BO16" s="61"/>
      <c r="BP16" s="61"/>
      <c r="BQ16" s="61"/>
      <c r="BR16" s="61"/>
      <c r="BS16" s="61"/>
      <c r="BT16" s="61"/>
      <c r="BU16" s="61"/>
      <c r="BV16" s="61"/>
      <c r="BW16" s="61"/>
      <c r="BX16" s="61"/>
      <c r="BY16" s="61"/>
      <c r="BZ16" s="61"/>
      <c r="CA16" s="61"/>
      <c r="CB16" s="61"/>
      <c r="CC16" s="61"/>
      <c r="CD16" s="61"/>
      <c r="CE16" s="61"/>
      <c r="CF16" s="61"/>
      <c r="CG16" s="61"/>
      <c r="CH16" s="61"/>
      <c r="CI16" s="61"/>
      <c r="CJ16" s="61"/>
      <c r="CK16" s="61"/>
      <c r="CL16" s="61"/>
      <c r="CM16" s="61"/>
      <c r="CN16" s="61"/>
      <c r="CO16" s="61"/>
      <c r="CP16" s="61"/>
      <c r="CQ16" s="61"/>
      <c r="CR16" s="61"/>
      <c r="CS16" s="61"/>
      <c r="CT16" s="61"/>
      <c r="CU16" s="61"/>
      <c r="CV16" s="61"/>
      <c r="CW16" s="61"/>
      <c r="CX16" s="61"/>
      <c r="CY16" s="61"/>
      <c r="CZ16" s="61"/>
      <c r="DA16" s="61"/>
      <c r="DB16" s="61"/>
      <c r="DC16" s="61"/>
      <c r="DD16" s="61"/>
      <c r="DE16" s="61"/>
      <c r="DF16" s="61"/>
      <c r="DG16" s="61"/>
      <c r="DH16" s="61"/>
      <c r="DI16" s="61"/>
      <c r="DJ16" s="61"/>
      <c r="DK16" s="61"/>
      <c r="DL16" s="61"/>
      <c r="DM16" s="61"/>
      <c r="DN16" s="61"/>
      <c r="DO16" s="61"/>
      <c r="DP16" s="61"/>
      <c r="DQ16" s="61"/>
      <c r="DR16" s="61"/>
      <c r="DS16" s="61"/>
      <c r="DT16" s="61"/>
      <c r="DU16" s="61"/>
      <c r="DV16" s="61"/>
      <c r="DW16" s="61"/>
      <c r="DX16" s="61"/>
      <c r="DY16" s="61"/>
      <c r="DZ16" s="61"/>
      <c r="EA16" s="61"/>
      <c r="EB16" s="61"/>
      <c r="EC16" s="61"/>
      <c r="ED16" s="61"/>
      <c r="EE16" s="61"/>
      <c r="EF16" s="61"/>
      <c r="EG16" s="61"/>
      <c r="EH16" s="61"/>
      <c r="EI16" s="61"/>
      <c r="EJ16" s="61"/>
      <c r="EK16" s="61"/>
      <c r="EL16" s="61"/>
      <c r="EM16" s="61"/>
      <c r="EN16" s="61"/>
      <c r="EO16" s="61"/>
      <c r="EP16" s="61"/>
      <c r="EQ16" s="61"/>
      <c r="ER16" s="61"/>
      <c r="ES16" s="61"/>
      <c r="ET16" s="61"/>
      <c r="EU16" s="61"/>
      <c r="EV16" s="61"/>
      <c r="EW16" s="61"/>
      <c r="EX16" s="61"/>
      <c r="EY16" s="61"/>
      <c r="EZ16" s="61"/>
      <c r="FA16" s="61"/>
      <c r="FB16" s="61"/>
      <c r="FC16" s="61"/>
      <c r="FD16" s="61"/>
      <c r="FE16" s="61"/>
      <c r="FF16" s="61"/>
      <c r="FG16" s="61"/>
      <c r="FH16" s="61"/>
      <c r="FI16" s="61"/>
      <c r="FJ16" s="61"/>
      <c r="FK16" s="61"/>
      <c r="FL16" s="61"/>
      <c r="FM16" s="61"/>
      <c r="FN16" s="61"/>
      <c r="FO16" s="61"/>
      <c r="FP16" s="61"/>
      <c r="FQ16" s="61"/>
      <c r="FR16" s="61"/>
      <c r="FS16" s="61"/>
      <c r="FT16" s="61"/>
      <c r="FU16" s="61"/>
      <c r="FV16" s="61"/>
      <c r="FW16" s="61"/>
      <c r="FX16" s="61"/>
      <c r="FY16" s="61"/>
      <c r="FZ16" s="61"/>
      <c r="GA16" s="61"/>
      <c r="GB16" s="61"/>
      <c r="GC16" s="61"/>
      <c r="GD16" s="61"/>
      <c r="GE16" s="61"/>
      <c r="GF16" s="61"/>
      <c r="GG16" s="61"/>
      <c r="GH16" s="61"/>
      <c r="GI16" s="61"/>
      <c r="GJ16" s="61"/>
      <c r="GK16" s="61"/>
      <c r="GL16" s="61"/>
      <c r="GM16" s="61"/>
      <c r="GN16" s="61"/>
      <c r="GO16" s="61"/>
      <c r="GP16" s="61"/>
      <c r="GQ16" s="61"/>
      <c r="GR16" s="61"/>
      <c r="GS16" s="61"/>
      <c r="GT16" s="61"/>
      <c r="GU16" s="61"/>
      <c r="GV16" s="61"/>
      <c r="GW16" s="61"/>
      <c r="GX16" s="61"/>
      <c r="GY16" s="61"/>
      <c r="GZ16" s="61"/>
      <c r="HA16" s="61"/>
      <c r="HB16" s="61"/>
      <c r="HC16" s="61"/>
      <c r="HD16" s="61"/>
      <c r="HE16" s="61"/>
      <c r="HF16" s="61"/>
      <c r="HG16" s="61"/>
      <c r="HH16" s="61"/>
      <c r="HI16" s="61"/>
      <c r="HJ16" s="61"/>
      <c r="HK16" s="61"/>
      <c r="HL16" s="61"/>
      <c r="HM16" s="61"/>
      <c r="HN16" s="61"/>
      <c r="HO16" s="61"/>
      <c r="HP16" s="61"/>
      <c r="HQ16" s="61"/>
      <c r="HR16" s="61"/>
      <c r="HS16" s="61"/>
      <c r="HT16" s="61"/>
      <c r="HU16" s="61"/>
      <c r="HV16" s="61"/>
      <c r="HW16" s="61"/>
      <c r="HX16" s="61"/>
      <c r="HY16" s="61"/>
      <c r="HZ16" s="61"/>
      <c r="IA16" s="61"/>
      <c r="IB16" s="61"/>
      <c r="IC16" s="61"/>
      <c r="ID16" s="61"/>
      <c r="IE16" s="61"/>
      <c r="IF16" s="61"/>
      <c r="IG16" s="61"/>
      <c r="IH16" s="61"/>
      <c r="II16" s="61"/>
      <c r="IJ16" s="61"/>
      <c r="IK16" s="61"/>
      <c r="IL16" s="61"/>
      <c r="IM16" s="61"/>
      <c r="IN16" s="61"/>
      <c r="IO16" s="61"/>
      <c r="IP16" s="61"/>
      <c r="IQ16" s="61"/>
      <c r="IR16" s="61"/>
      <c r="IS16" s="61"/>
      <c r="IT16" s="61"/>
      <c r="IU16" s="61"/>
      <c r="IV16" s="61"/>
      <c r="IW16" s="61"/>
      <c r="IX16" s="61"/>
      <c r="IY16" s="61"/>
      <c r="IZ16" s="61"/>
      <c r="JA16" s="61"/>
      <c r="JB16" s="61"/>
      <c r="JC16" s="61"/>
      <c r="JD16" s="61"/>
      <c r="JE16" s="61"/>
      <c r="JF16" s="61"/>
      <c r="JG16" s="61"/>
      <c r="JH16" s="61"/>
      <c r="JI16" s="61"/>
      <c r="JJ16" s="61"/>
      <c r="JK16" s="61"/>
      <c r="JL16" s="61"/>
      <c r="JM16" s="61"/>
      <c r="JN16" s="61"/>
      <c r="JO16" s="61"/>
      <c r="JP16" s="61"/>
      <c r="JQ16" s="61"/>
      <c r="JR16" s="61"/>
      <c r="JS16" s="61"/>
      <c r="JT16" s="61"/>
      <c r="JU16" s="61"/>
      <c r="JV16" s="61"/>
      <c r="JW16" s="61"/>
      <c r="JX16" s="61"/>
      <c r="JY16" s="61"/>
      <c r="JZ16" s="61"/>
      <c r="KA16" s="61"/>
      <c r="KB16" s="61"/>
      <c r="KC16" s="61"/>
      <c r="KD16" s="61"/>
      <c r="KE16" s="61"/>
      <c r="KF16" s="61"/>
      <c r="KG16" s="61"/>
      <c r="KH16" s="61"/>
      <c r="KI16" s="61"/>
      <c r="KJ16" s="61"/>
      <c r="KK16" s="61"/>
      <c r="KL16" s="61"/>
      <c r="KM16" s="61"/>
      <c r="KN16" s="61"/>
      <c r="KO16" s="61"/>
      <c r="KP16" s="61"/>
      <c r="KQ16" s="61"/>
      <c r="KR16" s="61"/>
      <c r="KS16" s="61"/>
      <c r="KT16" s="61"/>
      <c r="KU16" s="61"/>
      <c r="KV16" s="61"/>
      <c r="KW16" s="61"/>
      <c r="KX16" s="61"/>
      <c r="KY16" s="61"/>
      <c r="KZ16" s="61"/>
      <c r="LA16" s="61"/>
      <c r="LB16" s="61"/>
      <c r="LC16" s="61"/>
      <c r="LD16" s="61"/>
      <c r="LE16" s="61"/>
      <c r="LF16" s="61"/>
      <c r="LG16" s="61"/>
      <c r="LH16" s="61"/>
      <c r="LI16" s="61"/>
      <c r="LJ16" s="61"/>
      <c r="LK16" s="61"/>
      <c r="LL16" s="61"/>
      <c r="LM16" s="61"/>
      <c r="LN16" s="61"/>
      <c r="LO16" s="61"/>
      <c r="LP16" s="61"/>
      <c r="LQ16" s="61"/>
      <c r="LR16" s="61"/>
      <c r="LS16" s="61"/>
      <c r="LT16" s="61"/>
      <c r="LU16" s="61"/>
      <c r="LV16" s="61"/>
      <c r="LW16" s="61"/>
      <c r="LX16" s="61"/>
      <c r="LY16" s="61"/>
      <c r="LZ16" s="61"/>
      <c r="MA16" s="61"/>
      <c r="MB16" s="61"/>
      <c r="MC16" s="61"/>
      <c r="MD16" s="61"/>
      <c r="ME16" s="61"/>
      <c r="MF16" s="61"/>
      <c r="MG16" s="61"/>
      <c r="MH16" s="61"/>
      <c r="MI16" s="61"/>
    </row>
    <row r="17" spans="1:347" ht="30" customHeight="1">
      <c r="A17" s="1251"/>
      <c r="B17" s="1268"/>
      <c r="C17" s="1266" t="s">
        <v>4773</v>
      </c>
      <c r="D17" s="1167"/>
      <c r="E17" s="1168"/>
      <c r="F17" s="1169"/>
    </row>
    <row r="18" spans="1:347" s="1361" customFormat="1" ht="95.1" customHeight="1">
      <c r="A18" s="1356"/>
      <c r="B18" s="1357"/>
      <c r="C18" s="1271" t="s">
        <v>9049</v>
      </c>
      <c r="D18" s="1358"/>
      <c r="E18" s="1359"/>
      <c r="F18" s="1360"/>
      <c r="H18" s="1222"/>
      <c r="I18" s="1222"/>
      <c r="J18" s="1222"/>
      <c r="K18" s="1222"/>
      <c r="L18" s="1222"/>
      <c r="M18" s="1222"/>
      <c r="N18" s="1222"/>
      <c r="O18" s="1222"/>
      <c r="P18" s="1222"/>
      <c r="Q18" s="1222"/>
      <c r="R18" s="1222"/>
      <c r="S18" s="1222"/>
      <c r="T18" s="1222"/>
      <c r="U18" s="1222"/>
      <c r="V18" s="1222"/>
      <c r="W18" s="1222"/>
      <c r="X18" s="1222"/>
      <c r="Y18" s="1222"/>
      <c r="Z18" s="1222"/>
      <c r="AA18" s="1222"/>
      <c r="AB18" s="1222"/>
      <c r="AC18" s="1222"/>
      <c r="AD18" s="1222"/>
      <c r="AE18" s="1222"/>
      <c r="AF18" s="1222"/>
      <c r="AG18" s="1222"/>
      <c r="AH18" s="1222"/>
      <c r="AI18" s="1222"/>
      <c r="AJ18" s="1222"/>
      <c r="AK18" s="1222"/>
      <c r="AL18" s="1222"/>
      <c r="AM18" s="1222"/>
      <c r="AN18" s="1222"/>
      <c r="AO18" s="1222"/>
      <c r="AP18" s="1222"/>
      <c r="AQ18" s="1222"/>
      <c r="AR18" s="1222"/>
      <c r="AS18" s="1222"/>
      <c r="AT18" s="1222"/>
      <c r="AU18" s="1222"/>
      <c r="AV18" s="1222"/>
      <c r="AW18" s="1222"/>
      <c r="AX18" s="1222"/>
      <c r="AY18" s="1222"/>
      <c r="AZ18" s="1222"/>
      <c r="BA18" s="1222"/>
      <c r="BB18" s="1222"/>
      <c r="BC18" s="1222"/>
      <c r="BD18" s="1222"/>
      <c r="BE18" s="1222"/>
      <c r="BF18" s="1222"/>
      <c r="BG18" s="1222"/>
      <c r="BH18" s="1222"/>
      <c r="BI18" s="1222"/>
      <c r="BJ18" s="1222"/>
      <c r="BK18" s="1222"/>
      <c r="BL18" s="1222"/>
      <c r="BM18" s="1222"/>
      <c r="BN18" s="1222"/>
      <c r="BO18" s="1222"/>
      <c r="BP18" s="1222"/>
      <c r="BQ18" s="1222"/>
      <c r="BR18" s="1222"/>
      <c r="BS18" s="1222"/>
      <c r="BT18" s="1222"/>
      <c r="BU18" s="1222"/>
      <c r="BV18" s="1222"/>
      <c r="BW18" s="1222"/>
      <c r="BX18" s="1222"/>
      <c r="BY18" s="1222"/>
      <c r="BZ18" s="1222"/>
      <c r="CA18" s="1222"/>
      <c r="CB18" s="1222"/>
      <c r="CC18" s="1222"/>
      <c r="CD18" s="1222"/>
      <c r="CE18" s="1222"/>
      <c r="CF18" s="1222"/>
      <c r="CG18" s="1222"/>
      <c r="CH18" s="1222"/>
      <c r="CI18" s="1222"/>
      <c r="CJ18" s="1222"/>
      <c r="CK18" s="1222"/>
      <c r="CL18" s="1222"/>
      <c r="CM18" s="1222"/>
      <c r="CN18" s="1222"/>
      <c r="CO18" s="1222"/>
      <c r="CP18" s="1222"/>
      <c r="CQ18" s="1222"/>
      <c r="CR18" s="1222"/>
      <c r="CS18" s="1222"/>
      <c r="CT18" s="1222"/>
      <c r="CU18" s="1222"/>
      <c r="CV18" s="1222"/>
      <c r="CW18" s="1222"/>
      <c r="CX18" s="1222"/>
      <c r="CY18" s="1222"/>
      <c r="CZ18" s="1222"/>
      <c r="DA18" s="1222"/>
      <c r="DB18" s="1222"/>
      <c r="DC18" s="1222"/>
      <c r="DD18" s="1222"/>
      <c r="DE18" s="1222"/>
      <c r="DF18" s="1222"/>
      <c r="DG18" s="1222"/>
      <c r="DH18" s="1222"/>
      <c r="DI18" s="1222"/>
      <c r="DJ18" s="1222"/>
      <c r="DK18" s="1222"/>
      <c r="DL18" s="1222"/>
      <c r="DM18" s="1222"/>
      <c r="DN18" s="1222"/>
      <c r="DO18" s="1222"/>
      <c r="DP18" s="1222"/>
      <c r="DQ18" s="1222"/>
      <c r="DR18" s="1222"/>
      <c r="DS18" s="1222"/>
      <c r="DT18" s="1222"/>
      <c r="DU18" s="1222"/>
      <c r="DV18" s="1222"/>
      <c r="DW18" s="1222"/>
      <c r="DX18" s="1222"/>
      <c r="DY18" s="1222"/>
      <c r="DZ18" s="1222"/>
      <c r="EA18" s="1222"/>
      <c r="EB18" s="1222"/>
      <c r="EC18" s="1222"/>
      <c r="ED18" s="1222"/>
      <c r="EE18" s="1222"/>
      <c r="EF18" s="1222"/>
      <c r="EG18" s="1222"/>
      <c r="EH18" s="1222"/>
      <c r="EI18" s="1222"/>
      <c r="EJ18" s="1222"/>
      <c r="EK18" s="1222"/>
      <c r="EL18" s="1222"/>
      <c r="EM18" s="1222"/>
      <c r="EN18" s="1222"/>
      <c r="EO18" s="1222"/>
      <c r="EP18" s="1222"/>
      <c r="EQ18" s="1222"/>
      <c r="ER18" s="1222"/>
      <c r="ES18" s="1222"/>
      <c r="ET18" s="1222"/>
      <c r="EU18" s="1222"/>
      <c r="EV18" s="1222"/>
      <c r="EW18" s="1222"/>
      <c r="EX18" s="1222"/>
      <c r="EY18" s="1222"/>
      <c r="EZ18" s="1222"/>
      <c r="FA18" s="1222"/>
      <c r="FB18" s="1222"/>
      <c r="FC18" s="1222"/>
      <c r="FD18" s="1222"/>
      <c r="FE18" s="1222"/>
      <c r="FF18" s="1222"/>
      <c r="FG18" s="1222"/>
      <c r="FH18" s="1222"/>
      <c r="FI18" s="1222"/>
      <c r="FJ18" s="1222"/>
      <c r="FK18" s="1222"/>
      <c r="FL18" s="1222"/>
      <c r="FM18" s="1222"/>
      <c r="FN18" s="1222"/>
      <c r="FO18" s="1222"/>
      <c r="FP18" s="1222"/>
      <c r="FQ18" s="1222"/>
      <c r="FR18" s="1222"/>
      <c r="FS18" s="1222"/>
      <c r="FT18" s="1222"/>
      <c r="FU18" s="1222"/>
      <c r="FV18" s="1222"/>
      <c r="FW18" s="1222"/>
      <c r="FX18" s="1222"/>
      <c r="FY18" s="1222"/>
      <c r="FZ18" s="1222"/>
      <c r="GA18" s="1222"/>
      <c r="GB18" s="1222"/>
      <c r="GC18" s="1222"/>
      <c r="GD18" s="1222"/>
      <c r="GE18" s="1222"/>
      <c r="GF18" s="1222"/>
      <c r="GG18" s="1222"/>
      <c r="GH18" s="1222"/>
      <c r="GI18" s="1222"/>
      <c r="GJ18" s="1222"/>
      <c r="GK18" s="1222"/>
      <c r="GL18" s="1222"/>
      <c r="GM18" s="1222"/>
      <c r="GN18" s="1222"/>
      <c r="GO18" s="1222"/>
      <c r="GP18" s="1222"/>
      <c r="GQ18" s="1222"/>
      <c r="GR18" s="1222"/>
      <c r="GS18" s="1222"/>
      <c r="GT18" s="1222"/>
      <c r="GU18" s="1222"/>
      <c r="GV18" s="1222"/>
      <c r="GW18" s="1222"/>
      <c r="GX18" s="1222"/>
      <c r="GY18" s="1222"/>
      <c r="GZ18" s="1222"/>
      <c r="HA18" s="1222"/>
      <c r="HB18" s="1222"/>
      <c r="HC18" s="1222"/>
      <c r="HD18" s="1222"/>
      <c r="HE18" s="1222"/>
      <c r="HF18" s="1222"/>
      <c r="HG18" s="1222"/>
      <c r="HH18" s="1222"/>
      <c r="HI18" s="1222"/>
      <c r="HJ18" s="1222"/>
      <c r="HK18" s="1222"/>
      <c r="HL18" s="1222"/>
      <c r="HM18" s="1222"/>
      <c r="HN18" s="1222"/>
      <c r="HO18" s="1222"/>
      <c r="HP18" s="1222"/>
      <c r="HQ18" s="1222"/>
      <c r="HR18" s="1222"/>
      <c r="HS18" s="1222"/>
      <c r="HT18" s="1222"/>
      <c r="HU18" s="1222"/>
      <c r="HV18" s="1222"/>
      <c r="HW18" s="1222"/>
      <c r="HX18" s="1222"/>
      <c r="HY18" s="1222"/>
      <c r="HZ18" s="1222"/>
      <c r="IA18" s="1222"/>
      <c r="IB18" s="1222"/>
      <c r="IC18" s="1222"/>
      <c r="ID18" s="1222"/>
      <c r="IE18" s="1222"/>
      <c r="IF18" s="1222"/>
      <c r="IG18" s="1222"/>
      <c r="IH18" s="1222"/>
      <c r="II18" s="1222"/>
      <c r="IJ18" s="1222"/>
      <c r="IK18" s="1222"/>
      <c r="IL18" s="1222"/>
      <c r="IM18" s="1222"/>
      <c r="IN18" s="1222"/>
      <c r="IO18" s="1222"/>
      <c r="IP18" s="1222"/>
      <c r="IQ18" s="1222"/>
      <c r="IR18" s="1222"/>
      <c r="IS18" s="1222"/>
      <c r="IT18" s="1222"/>
      <c r="IU18" s="1222"/>
      <c r="IV18" s="1222"/>
      <c r="IW18" s="1222"/>
      <c r="IX18" s="1222"/>
      <c r="IY18" s="1222"/>
      <c r="IZ18" s="1222"/>
      <c r="JA18" s="1222"/>
      <c r="JB18" s="1222"/>
      <c r="JC18" s="1222"/>
      <c r="JD18" s="1222"/>
      <c r="JE18" s="1222"/>
      <c r="JF18" s="1222"/>
      <c r="JG18" s="1222"/>
      <c r="JH18" s="1222"/>
      <c r="JI18" s="1222"/>
      <c r="JJ18" s="1222"/>
      <c r="JK18" s="1222"/>
      <c r="JL18" s="1222"/>
      <c r="JM18" s="1222"/>
      <c r="JN18" s="1222"/>
      <c r="JO18" s="1222"/>
      <c r="JP18" s="1222"/>
      <c r="JQ18" s="1222"/>
      <c r="JR18" s="1222"/>
      <c r="JS18" s="1222"/>
      <c r="JT18" s="1222"/>
      <c r="JU18" s="1222"/>
      <c r="JV18" s="1222"/>
      <c r="JW18" s="1222"/>
      <c r="JX18" s="1222"/>
      <c r="JY18" s="1222"/>
      <c r="JZ18" s="1222"/>
      <c r="KA18" s="1222"/>
      <c r="KB18" s="1222"/>
      <c r="KC18" s="1222"/>
      <c r="KD18" s="1222"/>
      <c r="KE18" s="1222"/>
      <c r="KF18" s="1222"/>
      <c r="KG18" s="1222"/>
      <c r="KH18" s="1222"/>
      <c r="KI18" s="1222"/>
      <c r="KJ18" s="1222"/>
      <c r="KK18" s="1222"/>
      <c r="KL18" s="1222"/>
      <c r="KM18" s="1222"/>
      <c r="KN18" s="1222"/>
      <c r="KO18" s="1222"/>
      <c r="KP18" s="1222"/>
      <c r="KQ18" s="1222"/>
      <c r="KR18" s="1222"/>
      <c r="KS18" s="1222"/>
      <c r="KT18" s="1222"/>
      <c r="KU18" s="1222"/>
      <c r="KV18" s="1222"/>
      <c r="KW18" s="1222"/>
      <c r="KX18" s="1222"/>
      <c r="KY18" s="1222"/>
      <c r="KZ18" s="1222"/>
      <c r="LA18" s="1222"/>
      <c r="LB18" s="1222"/>
      <c r="LC18" s="1222"/>
      <c r="LD18" s="1222"/>
      <c r="LE18" s="1222"/>
      <c r="LF18" s="1222"/>
      <c r="LG18" s="1222"/>
      <c r="LH18" s="1222"/>
      <c r="LI18" s="1222"/>
      <c r="LJ18" s="1222"/>
      <c r="LK18" s="1222"/>
      <c r="LL18" s="1222"/>
      <c r="LM18" s="1222"/>
      <c r="LN18" s="1222"/>
      <c r="LO18" s="1222"/>
      <c r="LP18" s="1222"/>
      <c r="LQ18" s="1222"/>
      <c r="LR18" s="1222"/>
      <c r="LS18" s="1222"/>
      <c r="LT18" s="1222"/>
      <c r="LU18" s="1222"/>
      <c r="LV18" s="1222"/>
      <c r="LW18" s="1222"/>
      <c r="LX18" s="1222"/>
      <c r="LY18" s="1222"/>
      <c r="LZ18" s="1222"/>
      <c r="MA18" s="1222"/>
      <c r="MB18" s="1222"/>
      <c r="MC18" s="1222"/>
      <c r="MD18" s="1222"/>
      <c r="ME18" s="1222"/>
      <c r="MF18" s="1222"/>
      <c r="MG18" s="1222"/>
      <c r="MH18" s="1222"/>
      <c r="MI18" s="1222"/>
    </row>
    <row r="19" spans="1:347" ht="50.1" customHeight="1">
      <c r="A19" s="1251"/>
      <c r="B19" s="1269"/>
      <c r="C19" s="1271" t="s">
        <v>4149</v>
      </c>
      <c r="D19" s="1167"/>
      <c r="E19" s="1168"/>
      <c r="F19" s="1169"/>
    </row>
    <row r="20" spans="1:347" ht="35.1" customHeight="1">
      <c r="A20" s="1251"/>
      <c r="B20" s="1269"/>
      <c r="C20" s="1271" t="s">
        <v>6183</v>
      </c>
      <c r="D20" s="1167"/>
      <c r="E20" s="1168"/>
      <c r="F20" s="1169"/>
    </row>
    <row r="21" spans="1:347" ht="21" customHeight="1" thickBot="1">
      <c r="A21" s="1251"/>
      <c r="B21" s="1270"/>
      <c r="C21" s="1267"/>
      <c r="D21" s="1252"/>
      <c r="E21" s="1253"/>
      <c r="F21" s="1254"/>
    </row>
    <row r="22" spans="1:347" s="61" customFormat="1" ht="20.100000000000001" customHeight="1" thickBot="1">
      <c r="A22" s="920">
        <v>1</v>
      </c>
      <c r="B22" s="1250">
        <v>1</v>
      </c>
      <c r="C22" s="1217" t="s">
        <v>3382</v>
      </c>
      <c r="D22" s="1424">
        <v>174109</v>
      </c>
      <c r="E22" s="1425"/>
      <c r="F22" s="1425">
        <v>174109</v>
      </c>
    </row>
    <row r="23" spans="1:347" customFormat="1" ht="14.4" customHeight="1">
      <c r="A23" s="685" t="s">
        <v>3162</v>
      </c>
      <c r="B23" s="1192"/>
      <c r="C23" s="1218"/>
      <c r="D23" s="1426"/>
      <c r="E23" s="1427"/>
      <c r="F23" s="1427"/>
    </row>
    <row r="24" spans="1:347" customFormat="1" ht="14.4" customHeight="1">
      <c r="A24" s="687" t="s">
        <v>3400</v>
      </c>
      <c r="B24" s="1192"/>
      <c r="C24" s="1201" t="s">
        <v>3158</v>
      </c>
      <c r="D24" s="1426"/>
      <c r="E24" s="1427"/>
      <c r="F24" s="1427"/>
    </row>
    <row r="25" spans="1:347" customFormat="1" ht="26.4">
      <c r="A25" s="687"/>
      <c r="B25" s="1193">
        <v>1</v>
      </c>
      <c r="C25" s="1204" t="s">
        <v>4602</v>
      </c>
      <c r="D25" s="1426"/>
      <c r="E25" s="1428"/>
      <c r="F25" s="1428"/>
    </row>
    <row r="26" spans="1:347" customFormat="1" ht="14.4" customHeight="1">
      <c r="A26" s="687"/>
      <c r="B26" s="1194">
        <v>4</v>
      </c>
      <c r="C26" s="1201" t="s">
        <v>6036</v>
      </c>
      <c r="D26" s="1426"/>
      <c r="E26" s="1427"/>
      <c r="F26" s="1427"/>
    </row>
    <row r="27" spans="1:347" customFormat="1" ht="26.4">
      <c r="A27" s="692" t="s">
        <v>6037</v>
      </c>
      <c r="B27" s="1195">
        <v>1</v>
      </c>
      <c r="C27" s="1206" t="s">
        <v>4394</v>
      </c>
      <c r="D27" s="1426"/>
      <c r="E27" s="1428"/>
      <c r="F27" s="1428"/>
    </row>
    <row r="28" spans="1:347" customFormat="1" ht="26.4">
      <c r="A28" s="693"/>
      <c r="B28" s="1195">
        <v>1</v>
      </c>
      <c r="C28" s="1206" t="s">
        <v>8644</v>
      </c>
      <c r="D28" s="1426"/>
      <c r="E28" s="1428"/>
      <c r="F28" s="1428"/>
    </row>
    <row r="29" spans="1:347" customFormat="1" ht="26.4">
      <c r="A29" s="698"/>
      <c r="B29" s="1195">
        <v>1</v>
      </c>
      <c r="C29" s="1206" t="s">
        <v>8645</v>
      </c>
      <c r="D29" s="1426"/>
      <c r="E29" s="1428"/>
      <c r="F29" s="1428"/>
    </row>
    <row r="30" spans="1:347" customFormat="1" ht="26.4">
      <c r="A30" s="693" t="s">
        <v>3190</v>
      </c>
      <c r="B30" s="1195">
        <v>1</v>
      </c>
      <c r="C30" s="1206" t="s">
        <v>8695</v>
      </c>
      <c r="D30" s="1426"/>
      <c r="E30" s="1428"/>
      <c r="F30" s="1428"/>
    </row>
    <row r="31" spans="1:347" customFormat="1" ht="14.4" customHeight="1">
      <c r="A31" s="928" t="s">
        <v>3314</v>
      </c>
      <c r="B31" s="1194">
        <v>4</v>
      </c>
      <c r="C31" s="1201" t="s">
        <v>6038</v>
      </c>
      <c r="D31" s="1426"/>
      <c r="E31" s="1427"/>
      <c r="F31" s="1427"/>
    </row>
    <row r="32" spans="1:347" customFormat="1" ht="26.4">
      <c r="A32" s="928" t="s">
        <v>3315</v>
      </c>
      <c r="B32" s="1195">
        <v>1</v>
      </c>
      <c r="C32" s="1206" t="s">
        <v>4396</v>
      </c>
      <c r="D32" s="1426"/>
      <c r="E32" s="1428"/>
      <c r="F32" s="1428"/>
    </row>
    <row r="33" spans="1:6" customFormat="1" ht="26.4">
      <c r="A33" s="928"/>
      <c r="B33" s="1195">
        <v>1</v>
      </c>
      <c r="C33" s="1206" t="s">
        <v>8650</v>
      </c>
      <c r="D33" s="1426"/>
      <c r="E33" s="1428"/>
      <c r="F33" s="1428"/>
    </row>
    <row r="34" spans="1:6" customFormat="1" ht="26.4">
      <c r="A34" s="928"/>
      <c r="B34" s="1195">
        <v>2</v>
      </c>
      <c r="C34" s="1206" t="s">
        <v>8643</v>
      </c>
      <c r="D34" s="1426"/>
      <c r="E34" s="1428"/>
      <c r="F34" s="1428"/>
    </row>
    <row r="35" spans="1:6" customFormat="1" ht="26.4">
      <c r="A35" s="693" t="s">
        <v>3819</v>
      </c>
      <c r="B35" s="1195">
        <v>1</v>
      </c>
      <c r="C35" s="1206" t="s">
        <v>8696</v>
      </c>
      <c r="D35" s="1426"/>
      <c r="E35" s="1428"/>
      <c r="F35" s="1428"/>
    </row>
    <row r="36" spans="1:6" customFormat="1" ht="26.4">
      <c r="A36" s="693"/>
      <c r="B36" s="1195">
        <v>2</v>
      </c>
      <c r="C36" s="1206" t="s">
        <v>1953</v>
      </c>
      <c r="D36" s="1426"/>
      <c r="E36" s="1428"/>
      <c r="F36" s="1428"/>
    </row>
    <row r="37" spans="1:6" customFormat="1" ht="14.4" customHeight="1">
      <c r="A37" s="692"/>
      <c r="B37" s="1195">
        <v>2</v>
      </c>
      <c r="C37" s="1191" t="s">
        <v>5091</v>
      </c>
      <c r="D37" s="1426"/>
      <c r="E37" s="1428"/>
      <c r="F37" s="1428"/>
    </row>
    <row r="38" spans="1:6" customFormat="1" ht="14.4" customHeight="1">
      <c r="A38" s="692"/>
      <c r="B38" s="1194">
        <v>4</v>
      </c>
      <c r="C38" s="1201" t="s">
        <v>6039</v>
      </c>
      <c r="D38" s="1426"/>
      <c r="E38" s="1427"/>
      <c r="F38" s="1427"/>
    </row>
    <row r="39" spans="1:6" customFormat="1" ht="26.4">
      <c r="A39" s="692"/>
      <c r="B39" s="1195">
        <v>1</v>
      </c>
      <c r="C39" s="1206" t="s">
        <v>4483</v>
      </c>
      <c r="D39" s="1426"/>
      <c r="E39" s="1428"/>
      <c r="F39" s="1428"/>
    </row>
    <row r="40" spans="1:6" customFormat="1" ht="26.4">
      <c r="A40" s="692"/>
      <c r="B40" s="1195">
        <v>1</v>
      </c>
      <c r="C40" s="1206" t="s">
        <v>8652</v>
      </c>
      <c r="D40" s="1426"/>
      <c r="E40" s="1428"/>
      <c r="F40" s="1428"/>
    </row>
    <row r="41" spans="1:6" customFormat="1" ht="26.4">
      <c r="A41" s="692"/>
      <c r="B41" s="1195">
        <v>2</v>
      </c>
      <c r="C41" s="1206" t="s">
        <v>8645</v>
      </c>
      <c r="D41" s="1426"/>
      <c r="E41" s="1428"/>
      <c r="F41" s="1428"/>
    </row>
    <row r="42" spans="1:6" customFormat="1" ht="26.4">
      <c r="A42" s="692"/>
      <c r="B42" s="1195">
        <v>1</v>
      </c>
      <c r="C42" s="1206" t="s">
        <v>8697</v>
      </c>
      <c r="D42" s="1426"/>
      <c r="E42" s="1428"/>
      <c r="F42" s="1428"/>
    </row>
    <row r="43" spans="1:6" customFormat="1" ht="26.4">
      <c r="A43" s="692"/>
      <c r="B43" s="1195">
        <v>2</v>
      </c>
      <c r="C43" s="1206" t="s">
        <v>1953</v>
      </c>
      <c r="D43" s="1426"/>
      <c r="E43" s="1428"/>
      <c r="F43" s="1428"/>
    </row>
    <row r="44" spans="1:6" customFormat="1" ht="14.4" customHeight="1">
      <c r="A44" s="692"/>
      <c r="B44" s="1195">
        <v>2</v>
      </c>
      <c r="C44" s="1191" t="s">
        <v>5091</v>
      </c>
      <c r="D44" s="1426"/>
      <c r="E44" s="1428"/>
      <c r="F44" s="1428"/>
    </row>
    <row r="45" spans="1:6" customFormat="1" ht="14.4" customHeight="1">
      <c r="A45" s="687"/>
      <c r="B45" s="1193"/>
      <c r="C45" s="1202" t="s">
        <v>729</v>
      </c>
      <c r="D45" s="1426"/>
      <c r="E45" s="1428"/>
      <c r="F45" s="1428"/>
    </row>
    <row r="46" spans="1:6" customFormat="1" ht="14.4" customHeight="1">
      <c r="A46" s="1207"/>
      <c r="B46" s="1196"/>
      <c r="C46" s="1201" t="s">
        <v>3063</v>
      </c>
      <c r="D46" s="1426"/>
      <c r="E46" s="1427"/>
      <c r="F46" s="1427"/>
    </row>
    <row r="47" spans="1:6" customFormat="1" ht="26.4">
      <c r="A47" s="687"/>
      <c r="B47" s="1193">
        <v>1</v>
      </c>
      <c r="C47" s="1204" t="s">
        <v>1951</v>
      </c>
      <c r="D47" s="1426"/>
      <c r="E47" s="1428"/>
      <c r="F47" s="1428"/>
    </row>
    <row r="48" spans="1:6" customFormat="1" ht="14.4" customHeight="1">
      <c r="A48" s="1208"/>
      <c r="B48" s="1197">
        <v>24</v>
      </c>
      <c r="C48" s="1203" t="s">
        <v>3388</v>
      </c>
      <c r="D48" s="1429"/>
      <c r="E48" s="1430"/>
      <c r="F48" s="1430"/>
    </row>
    <row r="49" spans="1:6" customFormat="1" ht="14.4" customHeight="1">
      <c r="A49" s="1208"/>
      <c r="B49" s="1197">
        <v>24</v>
      </c>
      <c r="C49" s="1203" t="s">
        <v>3351</v>
      </c>
      <c r="D49" s="1429"/>
      <c r="E49" s="1430"/>
      <c r="F49" s="1430"/>
    </row>
    <row r="50" spans="1:6" customFormat="1" ht="14.4" customHeight="1">
      <c r="A50" s="687"/>
      <c r="B50" s="1193"/>
      <c r="C50" s="1202" t="s">
        <v>729</v>
      </c>
      <c r="D50" s="1426"/>
      <c r="E50" s="1428"/>
      <c r="F50" s="1428"/>
    </row>
    <row r="51" spans="1:6" customFormat="1" ht="14.4" customHeight="1">
      <c r="A51" s="1207"/>
      <c r="B51" s="1196"/>
      <c r="C51" s="1201" t="s">
        <v>3352</v>
      </c>
      <c r="D51" s="1426"/>
      <c r="E51" s="1427"/>
      <c r="F51" s="1427"/>
    </row>
    <row r="52" spans="1:6" customFormat="1" ht="14.4" customHeight="1">
      <c r="A52" s="693"/>
      <c r="B52" s="1193">
        <v>2</v>
      </c>
      <c r="C52" s="1202" t="s">
        <v>8288</v>
      </c>
      <c r="D52" s="1426"/>
      <c r="E52" s="1428"/>
      <c r="F52" s="1428"/>
    </row>
    <row r="53" spans="1:6" customFormat="1" ht="14.4" customHeight="1">
      <c r="A53" s="1208"/>
      <c r="B53" s="1197">
        <v>1</v>
      </c>
      <c r="C53" s="1419" t="s">
        <v>3159</v>
      </c>
      <c r="D53" s="1429"/>
      <c r="E53" s="1430"/>
      <c r="F53" s="1430"/>
    </row>
    <row r="54" spans="1:6" customFormat="1" ht="14.4" customHeight="1">
      <c r="A54" s="1208"/>
      <c r="B54" s="1197">
        <v>1</v>
      </c>
      <c r="C54" s="1419" t="s">
        <v>3160</v>
      </c>
      <c r="D54" s="1429"/>
      <c r="E54" s="1430"/>
      <c r="F54" s="1430"/>
    </row>
    <row r="55" spans="1:6" customFormat="1" ht="14.4" customHeight="1">
      <c r="A55" s="687"/>
      <c r="B55" s="1193"/>
      <c r="C55" s="1202" t="s">
        <v>729</v>
      </c>
      <c r="D55" s="1426"/>
      <c r="E55" s="1428"/>
      <c r="F55" s="1428"/>
    </row>
    <row r="56" spans="1:6" customFormat="1" ht="14.4" customHeight="1">
      <c r="A56" s="693"/>
      <c r="B56" s="1194">
        <v>1</v>
      </c>
      <c r="C56" s="1201" t="s">
        <v>5103</v>
      </c>
      <c r="D56" s="1426"/>
      <c r="E56" s="1427"/>
      <c r="F56" s="1427"/>
    </row>
    <row r="57" spans="1:6" customFormat="1" ht="14.4" customHeight="1">
      <c r="A57" s="687"/>
      <c r="B57" s="1195">
        <v>3</v>
      </c>
      <c r="C57" s="1191" t="s">
        <v>3461</v>
      </c>
      <c r="D57" s="1426"/>
      <c r="E57" s="1428"/>
      <c r="F57" s="1428"/>
    </row>
    <row r="58" spans="1:6" customFormat="1" ht="14.4" customHeight="1">
      <c r="A58" s="1208"/>
      <c r="B58" s="1199">
        <v>1</v>
      </c>
      <c r="C58" s="1205" t="s">
        <v>3366</v>
      </c>
      <c r="D58" s="1429"/>
      <c r="E58" s="1430"/>
      <c r="F58" s="1430"/>
    </row>
    <row r="59" spans="1:6" customFormat="1" ht="14.4" customHeight="1">
      <c r="A59" s="687"/>
      <c r="B59" s="1193"/>
      <c r="C59" s="1202" t="s">
        <v>729</v>
      </c>
      <c r="D59" s="1426"/>
      <c r="E59" s="1428"/>
      <c r="F59" s="1428"/>
    </row>
    <row r="60" spans="1:6" customFormat="1" ht="14.4" customHeight="1">
      <c r="A60" s="1207"/>
      <c r="B60" s="1194">
        <v>2</v>
      </c>
      <c r="C60" s="1201" t="s">
        <v>3356</v>
      </c>
      <c r="D60" s="1426"/>
      <c r="E60" s="1427"/>
      <c r="F60" s="1427"/>
    </row>
    <row r="61" spans="1:6" customFormat="1" ht="14.4" customHeight="1">
      <c r="A61" s="1208"/>
      <c r="B61" s="1199">
        <v>1</v>
      </c>
      <c r="C61" s="1205" t="s">
        <v>3357</v>
      </c>
      <c r="D61" s="1429"/>
      <c r="E61" s="1430"/>
      <c r="F61" s="1430"/>
    </row>
    <row r="62" spans="1:6" customFormat="1" ht="14.4" customHeight="1">
      <c r="A62" s="1208"/>
      <c r="B62" s="1199">
        <v>1</v>
      </c>
      <c r="C62" s="1205" t="s">
        <v>3358</v>
      </c>
      <c r="D62" s="1429"/>
      <c r="E62" s="1430"/>
      <c r="F62" s="1430"/>
    </row>
    <row r="63" spans="1:6" customFormat="1" ht="14.4" customHeight="1">
      <c r="A63" s="1208"/>
      <c r="B63" s="1199">
        <v>1</v>
      </c>
      <c r="C63" s="1205" t="s">
        <v>3359</v>
      </c>
      <c r="D63" s="1429"/>
      <c r="E63" s="1430"/>
      <c r="F63" s="1430"/>
    </row>
    <row r="64" spans="1:6" customFormat="1" ht="14.4" customHeight="1">
      <c r="A64" s="1208"/>
      <c r="B64" s="1199">
        <v>1</v>
      </c>
      <c r="C64" s="1205" t="s">
        <v>3360</v>
      </c>
      <c r="D64" s="1429"/>
      <c r="E64" s="1430"/>
      <c r="F64" s="1430"/>
    </row>
    <row r="65" spans="1:6" customFormat="1" ht="14.4" customHeight="1">
      <c r="A65" s="1208"/>
      <c r="B65" s="1199">
        <v>1</v>
      </c>
      <c r="C65" s="1205" t="s">
        <v>3361</v>
      </c>
      <c r="D65" s="1429"/>
      <c r="E65" s="1430"/>
      <c r="F65" s="1430"/>
    </row>
    <row r="66" spans="1:6" customFormat="1" ht="14.4" customHeight="1">
      <c r="A66" s="687"/>
      <c r="B66" s="1193"/>
      <c r="C66" s="1202" t="s">
        <v>729</v>
      </c>
      <c r="D66" s="1426"/>
      <c r="E66" s="1428"/>
      <c r="F66" s="1428"/>
    </row>
    <row r="67" spans="1:6" customFormat="1" ht="14.4" customHeight="1">
      <c r="A67" s="687"/>
      <c r="B67" s="1193">
        <v>1</v>
      </c>
      <c r="C67" s="1198" t="s">
        <v>2908</v>
      </c>
      <c r="D67" s="1426"/>
      <c r="E67" s="1428"/>
      <c r="F67" s="1428"/>
    </row>
    <row r="68" spans="1:6" customFormat="1" ht="14.4" customHeight="1">
      <c r="A68" s="687"/>
      <c r="B68" s="1193">
        <v>1</v>
      </c>
      <c r="C68" s="1198" t="s">
        <v>316</v>
      </c>
      <c r="D68" s="1426"/>
      <c r="E68" s="1428"/>
      <c r="F68" s="1428"/>
    </row>
    <row r="69" spans="1:6" customFormat="1" ht="14.4" customHeight="1">
      <c r="A69" s="1209"/>
      <c r="B69" s="1197">
        <v>1</v>
      </c>
      <c r="C69" s="1203" t="s">
        <v>6040</v>
      </c>
      <c r="D69" s="1426"/>
      <c r="E69" s="1428"/>
      <c r="F69" s="1428"/>
    </row>
    <row r="70" spans="1:6" customFormat="1" ht="14.4" customHeight="1" thickBot="1">
      <c r="A70" s="699"/>
      <c r="B70" s="1200"/>
      <c r="C70" s="1417"/>
      <c r="D70" s="1431"/>
      <c r="E70" s="1432"/>
      <c r="F70" s="1432"/>
    </row>
    <row r="71" spans="1:6" s="61" customFormat="1" ht="20.100000000000001" customHeight="1" thickBot="1">
      <c r="A71" s="920">
        <v>2</v>
      </c>
      <c r="B71" s="1314">
        <v>1</v>
      </c>
      <c r="C71" s="1217" t="s">
        <v>3401</v>
      </c>
      <c r="D71" s="1424">
        <v>342453</v>
      </c>
      <c r="E71" s="1425"/>
      <c r="F71" s="1425">
        <v>342453</v>
      </c>
    </row>
    <row r="72" spans="1:6" customFormat="1" ht="14.4" customHeight="1">
      <c r="A72" s="685" t="s">
        <v>3162</v>
      </c>
      <c r="B72" s="1290"/>
      <c r="C72" s="1302"/>
      <c r="D72" s="1433"/>
      <c r="E72" s="1434"/>
      <c r="F72" s="1434"/>
    </row>
    <row r="73" spans="1:6" customFormat="1" ht="14.4" customHeight="1">
      <c r="A73" s="687" t="s">
        <v>3400</v>
      </c>
      <c r="B73" s="1283"/>
      <c r="C73" s="1201" t="s">
        <v>3158</v>
      </c>
      <c r="D73" s="1433"/>
      <c r="E73" s="1435"/>
      <c r="F73" s="1435"/>
    </row>
    <row r="74" spans="1:6" customFormat="1" ht="26.4">
      <c r="A74" s="687"/>
      <c r="B74" s="1283">
        <v>1</v>
      </c>
      <c r="C74" s="1204" t="s">
        <v>1476</v>
      </c>
      <c r="D74" s="1433"/>
      <c r="E74" s="1435"/>
      <c r="F74" s="1435"/>
    </row>
    <row r="75" spans="1:6" customFormat="1" ht="14.4" customHeight="1">
      <c r="A75" s="687"/>
      <c r="B75" s="1193"/>
      <c r="C75" s="1202" t="s">
        <v>729</v>
      </c>
      <c r="D75" s="1426"/>
      <c r="E75" s="1428"/>
      <c r="F75" s="1428"/>
    </row>
    <row r="76" spans="1:6" customFormat="1" ht="26.4">
      <c r="A76" s="692" t="s">
        <v>6037</v>
      </c>
      <c r="B76" s="1283">
        <v>1</v>
      </c>
      <c r="C76" s="1204" t="s">
        <v>4574</v>
      </c>
      <c r="D76" s="1433"/>
      <c r="E76" s="1435"/>
      <c r="F76" s="1435"/>
    </row>
    <row r="77" spans="1:6" customFormat="1" ht="14.4" customHeight="1">
      <c r="A77" s="693"/>
      <c r="B77" s="1193"/>
      <c r="C77" s="1202" t="s">
        <v>729</v>
      </c>
      <c r="D77" s="1426"/>
      <c r="E77" s="1428"/>
      <c r="F77" s="1428"/>
    </row>
    <row r="78" spans="1:6" customFormat="1" ht="14.4" customHeight="1">
      <c r="A78" s="698"/>
      <c r="B78" s="1293"/>
      <c r="C78" s="1303" t="s">
        <v>3377</v>
      </c>
      <c r="D78" s="1433"/>
      <c r="E78" s="1435"/>
      <c r="F78" s="1435"/>
    </row>
    <row r="79" spans="1:6" customFormat="1" ht="26.4">
      <c r="A79" s="693" t="s">
        <v>3190</v>
      </c>
      <c r="B79" s="1283">
        <v>1</v>
      </c>
      <c r="C79" s="1204" t="s">
        <v>1475</v>
      </c>
      <c r="D79" s="1433"/>
      <c r="E79" s="1434"/>
      <c r="F79" s="1434"/>
    </row>
    <row r="80" spans="1:6" customFormat="1" ht="26.4">
      <c r="A80" s="928" t="s">
        <v>3314</v>
      </c>
      <c r="B80" s="1283">
        <v>1</v>
      </c>
      <c r="C80" s="1204" t="s">
        <v>4575</v>
      </c>
      <c r="D80" s="1433"/>
      <c r="E80" s="1434"/>
      <c r="F80" s="1434"/>
    </row>
    <row r="81" spans="1:6" customFormat="1" ht="14.4" customHeight="1">
      <c r="A81" s="928" t="s">
        <v>3315</v>
      </c>
      <c r="B81" s="1293"/>
      <c r="C81" s="1303" t="s">
        <v>2654</v>
      </c>
      <c r="D81" s="1433"/>
      <c r="E81" s="1435"/>
      <c r="F81" s="1435"/>
    </row>
    <row r="82" spans="1:6" customFormat="1" ht="26.4">
      <c r="A82" s="928"/>
      <c r="B82" s="1283">
        <v>3</v>
      </c>
      <c r="C82" s="1204" t="s">
        <v>4434</v>
      </c>
      <c r="D82" s="1433"/>
      <c r="E82" s="1434"/>
      <c r="F82" s="1434"/>
    </row>
    <row r="83" spans="1:6" customFormat="1" ht="26.4">
      <c r="A83" s="928"/>
      <c r="B83" s="1283">
        <v>1</v>
      </c>
      <c r="C83" s="1204" t="s">
        <v>4433</v>
      </c>
      <c r="D83" s="1433"/>
      <c r="E83" s="1434"/>
      <c r="F83" s="1434"/>
    </row>
    <row r="84" spans="1:6" customFormat="1" ht="26.4">
      <c r="A84" s="693" t="s">
        <v>3819</v>
      </c>
      <c r="B84" s="1283">
        <v>1</v>
      </c>
      <c r="C84" s="1204" t="s">
        <v>4432</v>
      </c>
      <c r="D84" s="1433"/>
      <c r="E84" s="1434"/>
      <c r="F84" s="1434"/>
    </row>
    <row r="85" spans="1:6" customFormat="1" ht="26.4">
      <c r="A85" s="693"/>
      <c r="B85" s="1283">
        <v>4</v>
      </c>
      <c r="C85" s="1204" t="s">
        <v>4431</v>
      </c>
      <c r="D85" s="1433"/>
      <c r="E85" s="1434"/>
      <c r="F85" s="1434"/>
    </row>
    <row r="86" spans="1:6" customFormat="1" ht="26.4">
      <c r="A86" s="692"/>
      <c r="B86" s="1283">
        <v>4</v>
      </c>
      <c r="C86" s="1204" t="s">
        <v>4430</v>
      </c>
      <c r="D86" s="1433"/>
      <c r="E86" s="1434"/>
      <c r="F86" s="1434"/>
    </row>
    <row r="87" spans="1:6" customFormat="1" ht="26.4">
      <c r="A87" s="692"/>
      <c r="B87" s="1283">
        <v>1</v>
      </c>
      <c r="C87" s="1204" t="s">
        <v>4429</v>
      </c>
      <c r="D87" s="1433"/>
      <c r="E87" s="1434"/>
      <c r="F87" s="1434"/>
    </row>
    <row r="88" spans="1:6" customFormat="1" ht="26.4">
      <c r="A88" s="692"/>
      <c r="B88" s="1283">
        <v>1</v>
      </c>
      <c r="C88" s="1204" t="s">
        <v>4428</v>
      </c>
      <c r="D88" s="1433"/>
      <c r="E88" s="1434"/>
      <c r="F88" s="1434"/>
    </row>
    <row r="89" spans="1:6" customFormat="1" ht="26.4">
      <c r="A89" s="692"/>
      <c r="B89" s="1283">
        <v>1</v>
      </c>
      <c r="C89" s="1204" t="s">
        <v>4427</v>
      </c>
      <c r="D89" s="1433"/>
      <c r="E89" s="1434"/>
      <c r="F89" s="1434"/>
    </row>
    <row r="90" spans="1:6" customFormat="1" ht="14.4" customHeight="1">
      <c r="A90" s="693"/>
      <c r="B90" s="1283">
        <v>2</v>
      </c>
      <c r="C90" s="1304" t="s">
        <v>2935</v>
      </c>
      <c r="D90" s="1433"/>
      <c r="E90" s="1435"/>
      <c r="F90" s="1435"/>
    </row>
    <row r="91" spans="1:6" customFormat="1" ht="14.4" customHeight="1">
      <c r="A91" s="691"/>
      <c r="B91" s="1293"/>
      <c r="C91" s="1303" t="s">
        <v>3063</v>
      </c>
      <c r="D91" s="1433"/>
      <c r="E91" s="1435"/>
      <c r="F91" s="1435"/>
    </row>
    <row r="92" spans="1:6" customFormat="1" ht="26.4">
      <c r="A92" s="692"/>
      <c r="B92" s="1283">
        <v>1</v>
      </c>
      <c r="C92" s="1204" t="s">
        <v>4716</v>
      </c>
      <c r="D92" s="1433"/>
      <c r="E92" s="1434"/>
      <c r="F92" s="1434"/>
    </row>
    <row r="93" spans="1:6" customFormat="1" ht="14.4" customHeight="1">
      <c r="A93" s="693"/>
      <c r="B93" s="1197">
        <v>1</v>
      </c>
      <c r="C93" s="1203" t="s">
        <v>6041</v>
      </c>
      <c r="D93" s="1429"/>
      <c r="E93" s="1430"/>
      <c r="F93" s="1430"/>
    </row>
    <row r="94" spans="1:6" customFormat="1" ht="14.4" customHeight="1">
      <c r="A94" s="693"/>
      <c r="B94" s="1197">
        <v>1</v>
      </c>
      <c r="C94" s="1203" t="s">
        <v>3426</v>
      </c>
      <c r="D94" s="1429"/>
      <c r="E94" s="1430"/>
      <c r="F94" s="1430"/>
    </row>
    <row r="95" spans="1:6" customFormat="1" ht="14.4" customHeight="1">
      <c r="A95" s="693"/>
      <c r="B95" s="1197">
        <v>1</v>
      </c>
      <c r="C95" s="1203" t="s">
        <v>6042</v>
      </c>
      <c r="D95" s="1429"/>
      <c r="E95" s="1430"/>
      <c r="F95" s="1430"/>
    </row>
    <row r="96" spans="1:6" customFormat="1" ht="14.4" customHeight="1">
      <c r="A96" s="691"/>
      <c r="B96" s="1193"/>
      <c r="C96" s="1202" t="s">
        <v>729</v>
      </c>
      <c r="D96" s="1426"/>
      <c r="E96" s="1428"/>
      <c r="F96" s="1428"/>
    </row>
    <row r="97" spans="1:6" customFormat="1" ht="14.4" customHeight="1">
      <c r="A97" s="693"/>
      <c r="B97" s="1294">
        <v>1</v>
      </c>
      <c r="C97" s="1303" t="s">
        <v>6043</v>
      </c>
      <c r="D97" s="1426"/>
      <c r="E97" s="1428"/>
      <c r="F97" s="1428"/>
    </row>
    <row r="98" spans="1:6" customFormat="1" ht="14.4" customHeight="1">
      <c r="A98" s="692"/>
      <c r="B98" s="1199">
        <v>1</v>
      </c>
      <c r="C98" s="1205" t="s">
        <v>3378</v>
      </c>
      <c r="D98" s="1429"/>
      <c r="E98" s="1430"/>
      <c r="F98" s="1430"/>
    </row>
    <row r="99" spans="1:6" customFormat="1" ht="14.4" customHeight="1">
      <c r="A99" s="687"/>
      <c r="B99" s="1195">
        <v>1</v>
      </c>
      <c r="C99" s="1191" t="s">
        <v>2298</v>
      </c>
      <c r="D99" s="1426"/>
      <c r="E99" s="1427"/>
      <c r="F99" s="1427"/>
    </row>
    <row r="100" spans="1:6" customFormat="1" ht="26.4">
      <c r="A100" s="687"/>
      <c r="B100" s="1195">
        <v>1</v>
      </c>
      <c r="C100" s="1206" t="s">
        <v>2304</v>
      </c>
      <c r="D100" s="1426"/>
      <c r="E100" s="1427"/>
      <c r="F100" s="1427"/>
    </row>
    <row r="101" spans="1:6" customFormat="1" ht="26.4">
      <c r="A101" s="687"/>
      <c r="B101" s="1195">
        <v>1</v>
      </c>
      <c r="C101" s="1206" t="s">
        <v>7374</v>
      </c>
      <c r="D101" s="1426"/>
      <c r="E101" s="1427"/>
      <c r="F101" s="1427"/>
    </row>
    <row r="102" spans="1:6" customFormat="1" ht="26.4">
      <c r="A102" s="687"/>
      <c r="B102" s="1195">
        <v>1</v>
      </c>
      <c r="C102" s="1206" t="s">
        <v>7375</v>
      </c>
      <c r="D102" s="1426"/>
      <c r="E102" s="1427"/>
      <c r="F102" s="1427"/>
    </row>
    <row r="103" spans="1:6" customFormat="1" ht="26.4">
      <c r="A103" s="687"/>
      <c r="B103" s="1195">
        <v>1</v>
      </c>
      <c r="C103" s="1206" t="s">
        <v>2436</v>
      </c>
      <c r="D103" s="1426"/>
      <c r="E103" s="1427"/>
      <c r="F103" s="1427"/>
    </row>
    <row r="104" spans="1:6" customFormat="1" ht="26.4">
      <c r="A104" s="687"/>
      <c r="B104" s="1195">
        <v>1</v>
      </c>
      <c r="C104" s="1206" t="s">
        <v>4660</v>
      </c>
      <c r="D104" s="1426"/>
      <c r="E104" s="1427"/>
      <c r="F104" s="1427"/>
    </row>
    <row r="105" spans="1:6" customFormat="1" ht="14.4" customHeight="1">
      <c r="A105" s="687"/>
      <c r="B105" s="1195">
        <v>2</v>
      </c>
      <c r="C105" s="1191" t="s">
        <v>8386</v>
      </c>
      <c r="D105" s="1426"/>
      <c r="E105" s="1427"/>
      <c r="F105" s="1427"/>
    </row>
    <row r="106" spans="1:6" customFormat="1" ht="14.4" customHeight="1">
      <c r="A106" s="1208"/>
      <c r="B106" s="1199">
        <v>1</v>
      </c>
      <c r="C106" s="1205" t="s">
        <v>3379</v>
      </c>
      <c r="D106" s="1429"/>
      <c r="E106" s="1430"/>
      <c r="F106" s="1430"/>
    </row>
    <row r="107" spans="1:6" customFormat="1" ht="14.4" customHeight="1">
      <c r="A107" s="691"/>
      <c r="B107" s="1193"/>
      <c r="C107" s="1202" t="s">
        <v>729</v>
      </c>
      <c r="D107" s="1426"/>
      <c r="E107" s="1428"/>
      <c r="F107" s="1428"/>
    </row>
    <row r="108" spans="1:6" customFormat="1" ht="14.4" customHeight="1">
      <c r="A108" s="693"/>
      <c r="B108" s="1294">
        <v>2</v>
      </c>
      <c r="C108" s="1303" t="s">
        <v>6044</v>
      </c>
      <c r="D108" s="1426"/>
      <c r="E108" s="1428"/>
      <c r="F108" s="1428"/>
    </row>
    <row r="109" spans="1:6" customFormat="1" ht="14.4" customHeight="1">
      <c r="A109" s="692"/>
      <c r="B109" s="1199">
        <v>1</v>
      </c>
      <c r="C109" s="1205" t="s">
        <v>3378</v>
      </c>
      <c r="D109" s="1429"/>
      <c r="E109" s="1430"/>
      <c r="F109" s="1430"/>
    </row>
    <row r="110" spans="1:6" customFormat="1" ht="14.4" customHeight="1">
      <c r="A110" s="687"/>
      <c r="B110" s="1195">
        <v>1</v>
      </c>
      <c r="C110" s="1191" t="s">
        <v>4972</v>
      </c>
      <c r="D110" s="1426"/>
      <c r="E110" s="1427"/>
      <c r="F110" s="1427"/>
    </row>
    <row r="111" spans="1:6" customFormat="1" ht="14.4" customHeight="1">
      <c r="A111" s="687"/>
      <c r="B111" s="1195">
        <v>1</v>
      </c>
      <c r="C111" s="1191" t="s">
        <v>4973</v>
      </c>
      <c r="D111" s="1426"/>
      <c r="E111" s="1427"/>
      <c r="F111" s="1427"/>
    </row>
    <row r="112" spans="1:6" customFormat="1" ht="14.4" customHeight="1">
      <c r="A112" s="687"/>
      <c r="B112" s="1195">
        <v>1</v>
      </c>
      <c r="C112" s="1191" t="s">
        <v>1239</v>
      </c>
      <c r="D112" s="1426"/>
      <c r="E112" s="1427"/>
      <c r="F112" s="1427"/>
    </row>
    <row r="113" spans="1:6" customFormat="1" ht="26.4">
      <c r="A113" s="687"/>
      <c r="B113" s="1195">
        <v>1</v>
      </c>
      <c r="C113" s="1206" t="s">
        <v>7374</v>
      </c>
      <c r="D113" s="1426"/>
      <c r="E113" s="1427"/>
      <c r="F113" s="1427"/>
    </row>
    <row r="114" spans="1:6" customFormat="1" ht="26.4">
      <c r="A114" s="687"/>
      <c r="B114" s="1195">
        <v>1</v>
      </c>
      <c r="C114" s="1206" t="s">
        <v>7375</v>
      </c>
      <c r="D114" s="1426"/>
      <c r="E114" s="1427"/>
      <c r="F114" s="1427"/>
    </row>
    <row r="115" spans="1:6" customFormat="1" ht="26.4">
      <c r="A115" s="687"/>
      <c r="B115" s="1195">
        <v>1</v>
      </c>
      <c r="C115" s="1206" t="s">
        <v>2436</v>
      </c>
      <c r="D115" s="1426"/>
      <c r="E115" s="1427"/>
      <c r="F115" s="1427"/>
    </row>
    <row r="116" spans="1:6" customFormat="1" ht="26.4">
      <c r="A116" s="687"/>
      <c r="B116" s="1195">
        <v>1</v>
      </c>
      <c r="C116" s="1206" t="s">
        <v>4660</v>
      </c>
      <c r="D116" s="1426"/>
      <c r="E116" s="1427"/>
      <c r="F116" s="1427"/>
    </row>
    <row r="117" spans="1:6" customFormat="1" ht="14.4" customHeight="1">
      <c r="A117" s="687"/>
      <c r="B117" s="1195">
        <v>2</v>
      </c>
      <c r="C117" s="1191" t="s">
        <v>8386</v>
      </c>
      <c r="D117" s="1426"/>
      <c r="E117" s="1427"/>
      <c r="F117" s="1427"/>
    </row>
    <row r="118" spans="1:6" customFormat="1" ht="14.4" customHeight="1">
      <c r="A118" s="1208"/>
      <c r="B118" s="1199">
        <v>1</v>
      </c>
      <c r="C118" s="1205" t="s">
        <v>3379</v>
      </c>
      <c r="D118" s="1429"/>
      <c r="E118" s="1430"/>
      <c r="F118" s="1430"/>
    </row>
    <row r="119" spans="1:6" customFormat="1" ht="14.4" customHeight="1">
      <c r="A119" s="691"/>
      <c r="B119" s="1193"/>
      <c r="C119" s="1202" t="s">
        <v>729</v>
      </c>
      <c r="D119" s="1426"/>
      <c r="E119" s="1428"/>
      <c r="F119" s="1428"/>
    </row>
    <row r="120" spans="1:6" customFormat="1" ht="14.4" customHeight="1">
      <c r="A120" s="913"/>
      <c r="B120" s="1294">
        <v>1</v>
      </c>
      <c r="C120" s="1201" t="s">
        <v>3452</v>
      </c>
      <c r="D120" s="1426"/>
      <c r="E120" s="1427"/>
      <c r="F120" s="1427"/>
    </row>
    <row r="121" spans="1:6" customFormat="1" ht="26.4">
      <c r="A121" s="693"/>
      <c r="B121" s="1195">
        <v>1</v>
      </c>
      <c r="C121" s="1206" t="s">
        <v>7028</v>
      </c>
      <c r="D121" s="1426"/>
      <c r="E121" s="1428"/>
      <c r="F121" s="1428"/>
    </row>
    <row r="122" spans="1:6" customFormat="1" ht="14.4" customHeight="1">
      <c r="A122" s="1208"/>
      <c r="B122" s="1199">
        <v>1</v>
      </c>
      <c r="C122" s="1205" t="s">
        <v>3453</v>
      </c>
      <c r="D122" s="1429"/>
      <c r="E122" s="1430"/>
      <c r="F122" s="1430"/>
    </row>
    <row r="123" spans="1:6" customFormat="1" ht="14.4" customHeight="1">
      <c r="A123" s="687"/>
      <c r="B123" s="1193"/>
      <c r="C123" s="1202" t="s">
        <v>729</v>
      </c>
      <c r="D123" s="1426"/>
      <c r="E123" s="1428"/>
      <c r="F123" s="1428"/>
    </row>
    <row r="124" spans="1:6" customFormat="1" ht="14.4" customHeight="1">
      <c r="A124" s="913"/>
      <c r="B124" s="1294">
        <v>15</v>
      </c>
      <c r="C124" s="1201" t="s">
        <v>3451</v>
      </c>
      <c r="D124" s="1426"/>
      <c r="E124" s="1427"/>
      <c r="F124" s="1427"/>
    </row>
    <row r="125" spans="1:6" customFormat="1" ht="26.4">
      <c r="A125" s="693"/>
      <c r="B125" s="1195">
        <v>2</v>
      </c>
      <c r="C125" s="1206" t="s">
        <v>6732</v>
      </c>
      <c r="D125" s="1426"/>
      <c r="E125" s="1428"/>
      <c r="F125" s="1428"/>
    </row>
    <row r="126" spans="1:6" customFormat="1" ht="14.4" customHeight="1">
      <c r="A126" s="1208"/>
      <c r="B126" s="1199">
        <v>1</v>
      </c>
      <c r="C126" s="1205" t="s">
        <v>3453</v>
      </c>
      <c r="D126" s="1429"/>
      <c r="E126" s="1430"/>
      <c r="F126" s="1430"/>
    </row>
    <row r="127" spans="1:6" customFormat="1" ht="14.4" customHeight="1">
      <c r="A127" s="687"/>
      <c r="B127" s="1193"/>
      <c r="C127" s="1202" t="s">
        <v>729</v>
      </c>
      <c r="D127" s="1426"/>
      <c r="E127" s="1428"/>
      <c r="F127" s="1428"/>
    </row>
    <row r="128" spans="1:6" customFormat="1" ht="14.4" customHeight="1">
      <c r="A128" s="913"/>
      <c r="B128" s="1194">
        <v>1</v>
      </c>
      <c r="C128" s="1201" t="s">
        <v>6045</v>
      </c>
      <c r="D128" s="1426"/>
      <c r="E128" s="1427"/>
      <c r="F128" s="1427"/>
    </row>
    <row r="129" spans="1:6" customFormat="1" ht="26.4">
      <c r="A129" s="693"/>
      <c r="B129" s="1195">
        <v>1</v>
      </c>
      <c r="C129" s="1206" t="s">
        <v>3301</v>
      </c>
      <c r="D129" s="1426"/>
      <c r="E129" s="1428"/>
      <c r="F129" s="1428"/>
    </row>
    <row r="130" spans="1:6" customFormat="1" ht="14.4" customHeight="1">
      <c r="A130" s="691"/>
      <c r="B130" s="1195">
        <v>3</v>
      </c>
      <c r="C130" s="1191" t="s">
        <v>3404</v>
      </c>
      <c r="D130" s="1426"/>
      <c r="E130" s="1428"/>
      <c r="F130" s="1428"/>
    </row>
    <row r="131" spans="1:6" customFormat="1" ht="14.4" customHeight="1">
      <c r="A131" s="1208"/>
      <c r="B131" s="1199">
        <v>1</v>
      </c>
      <c r="C131" s="1205" t="s">
        <v>3159</v>
      </c>
      <c r="D131" s="1429"/>
      <c r="E131" s="1430"/>
      <c r="F131" s="1430"/>
    </row>
    <row r="132" spans="1:6" customFormat="1" ht="14.4" customHeight="1">
      <c r="A132" s="1208"/>
      <c r="B132" s="1199">
        <v>1</v>
      </c>
      <c r="C132" s="1205" t="s">
        <v>3160</v>
      </c>
      <c r="D132" s="1429"/>
      <c r="E132" s="1430"/>
      <c r="F132" s="1430"/>
    </row>
    <row r="133" spans="1:6" customFormat="1" ht="14.4" customHeight="1">
      <c r="A133" s="687"/>
      <c r="B133" s="1193"/>
      <c r="C133" s="1202" t="s">
        <v>729</v>
      </c>
      <c r="D133" s="1426"/>
      <c r="E133" s="1428"/>
      <c r="F133" s="1428"/>
    </row>
    <row r="134" spans="1:6" customFormat="1" ht="14.4" customHeight="1">
      <c r="A134" s="913"/>
      <c r="B134" s="1194">
        <v>6</v>
      </c>
      <c r="C134" s="1201" t="s">
        <v>6046</v>
      </c>
      <c r="D134" s="1426"/>
      <c r="E134" s="1427"/>
      <c r="F134" s="1427"/>
    </row>
    <row r="135" spans="1:6" customFormat="1" ht="26.4">
      <c r="A135" s="693"/>
      <c r="B135" s="1195">
        <v>1</v>
      </c>
      <c r="C135" s="1206" t="s">
        <v>4244</v>
      </c>
      <c r="D135" s="1426"/>
      <c r="E135" s="1428"/>
      <c r="F135" s="1428"/>
    </row>
    <row r="136" spans="1:6" customFormat="1" ht="14.4" customHeight="1">
      <c r="A136" s="691"/>
      <c r="B136" s="1195">
        <v>3</v>
      </c>
      <c r="C136" s="1191" t="s">
        <v>434</v>
      </c>
      <c r="D136" s="1426"/>
      <c r="E136" s="1428"/>
      <c r="F136" s="1428"/>
    </row>
    <row r="137" spans="1:6" customFormat="1" ht="14.4" customHeight="1">
      <c r="A137" s="1208"/>
      <c r="B137" s="1199">
        <v>1</v>
      </c>
      <c r="C137" s="1205" t="s">
        <v>3159</v>
      </c>
      <c r="D137" s="1429"/>
      <c r="E137" s="1430"/>
      <c r="F137" s="1430"/>
    </row>
    <row r="138" spans="1:6" customFormat="1" ht="14.4" customHeight="1">
      <c r="A138" s="1208"/>
      <c r="B138" s="1199">
        <v>1</v>
      </c>
      <c r="C138" s="1205" t="s">
        <v>3160</v>
      </c>
      <c r="D138" s="1429"/>
      <c r="E138" s="1430"/>
      <c r="F138" s="1430"/>
    </row>
    <row r="139" spans="1:6" customFormat="1" ht="14.4" customHeight="1">
      <c r="A139" s="687"/>
      <c r="B139" s="1193"/>
      <c r="C139" s="1202" t="s">
        <v>729</v>
      </c>
      <c r="D139" s="1426"/>
      <c r="E139" s="1428"/>
      <c r="F139" s="1428"/>
    </row>
    <row r="140" spans="1:6" customFormat="1" ht="14.4" customHeight="1">
      <c r="A140" s="913"/>
      <c r="B140" s="1194">
        <v>1</v>
      </c>
      <c r="C140" s="1201" t="s">
        <v>6047</v>
      </c>
      <c r="D140" s="1426"/>
      <c r="E140" s="1427"/>
      <c r="F140" s="1427"/>
    </row>
    <row r="141" spans="1:6" customFormat="1" ht="26.4">
      <c r="A141" s="693"/>
      <c r="B141" s="1195">
        <v>1</v>
      </c>
      <c r="C141" s="1206" t="s">
        <v>3301</v>
      </c>
      <c r="D141" s="1426"/>
      <c r="E141" s="1428"/>
      <c r="F141" s="1428"/>
    </row>
    <row r="142" spans="1:6" customFormat="1" ht="14.4" customHeight="1">
      <c r="A142" s="691"/>
      <c r="B142" s="1195">
        <v>3</v>
      </c>
      <c r="C142" s="1191" t="s">
        <v>429</v>
      </c>
      <c r="D142" s="1426"/>
      <c r="E142" s="1428"/>
      <c r="F142" s="1428"/>
    </row>
    <row r="143" spans="1:6" customFormat="1" ht="14.4" customHeight="1">
      <c r="A143" s="1208"/>
      <c r="B143" s="1199">
        <v>1</v>
      </c>
      <c r="C143" s="1205" t="s">
        <v>3159</v>
      </c>
      <c r="D143" s="1429"/>
      <c r="E143" s="1430"/>
      <c r="F143" s="1430"/>
    </row>
    <row r="144" spans="1:6" customFormat="1" ht="14.4" customHeight="1">
      <c r="A144" s="1208"/>
      <c r="B144" s="1199">
        <v>1</v>
      </c>
      <c r="C144" s="1205" t="s">
        <v>3160</v>
      </c>
      <c r="D144" s="1429"/>
      <c r="E144" s="1430"/>
      <c r="F144" s="1430"/>
    </row>
    <row r="145" spans="1:6" customFormat="1" ht="14.4" customHeight="1">
      <c r="A145" s="687"/>
      <c r="B145" s="1193"/>
      <c r="C145" s="1202" t="s">
        <v>729</v>
      </c>
      <c r="D145" s="1426"/>
      <c r="E145" s="1428"/>
      <c r="F145" s="1428"/>
    </row>
    <row r="146" spans="1:6" customFormat="1" ht="14.4" customHeight="1">
      <c r="A146" s="913"/>
      <c r="B146" s="1194">
        <v>2</v>
      </c>
      <c r="C146" s="1201" t="s">
        <v>6048</v>
      </c>
      <c r="D146" s="1426"/>
      <c r="E146" s="1427"/>
      <c r="F146" s="1427"/>
    </row>
    <row r="147" spans="1:6" customFormat="1" ht="26.4">
      <c r="A147" s="693"/>
      <c r="B147" s="1195">
        <v>1</v>
      </c>
      <c r="C147" s="1206" t="s">
        <v>3301</v>
      </c>
      <c r="D147" s="1426"/>
      <c r="E147" s="1428"/>
      <c r="F147" s="1428"/>
    </row>
    <row r="148" spans="1:6" customFormat="1" ht="14.4" customHeight="1">
      <c r="A148" s="691"/>
      <c r="B148" s="1195">
        <v>3</v>
      </c>
      <c r="C148" s="1191" t="s">
        <v>1822</v>
      </c>
      <c r="D148" s="1426"/>
      <c r="E148" s="1428"/>
      <c r="F148" s="1428"/>
    </row>
    <row r="149" spans="1:6" customFormat="1" ht="14.4" customHeight="1">
      <c r="A149" s="1208"/>
      <c r="B149" s="1199">
        <v>1</v>
      </c>
      <c r="C149" s="1205" t="s">
        <v>3159</v>
      </c>
      <c r="D149" s="1429"/>
      <c r="E149" s="1430"/>
      <c r="F149" s="1430"/>
    </row>
    <row r="150" spans="1:6" customFormat="1" ht="14.4" customHeight="1">
      <c r="A150" s="1208"/>
      <c r="B150" s="1199">
        <v>1</v>
      </c>
      <c r="C150" s="1205" t="s">
        <v>3160</v>
      </c>
      <c r="D150" s="1429"/>
      <c r="E150" s="1430"/>
      <c r="F150" s="1430"/>
    </row>
    <row r="151" spans="1:6" customFormat="1" ht="14.4" customHeight="1">
      <c r="A151" s="687"/>
      <c r="B151" s="1193"/>
      <c r="C151" s="1202" t="s">
        <v>729</v>
      </c>
      <c r="D151" s="1426"/>
      <c r="E151" s="1428"/>
      <c r="F151" s="1428"/>
    </row>
    <row r="152" spans="1:6" customFormat="1" ht="14.4" customHeight="1">
      <c r="A152" s="913"/>
      <c r="B152" s="1194">
        <v>3</v>
      </c>
      <c r="C152" s="1201" t="s">
        <v>6049</v>
      </c>
      <c r="D152" s="1426"/>
      <c r="E152" s="1427"/>
      <c r="F152" s="1427"/>
    </row>
    <row r="153" spans="1:6" customFormat="1" ht="26.4">
      <c r="A153" s="693"/>
      <c r="B153" s="1195">
        <v>1</v>
      </c>
      <c r="C153" s="1206" t="s">
        <v>3301</v>
      </c>
      <c r="D153" s="1426"/>
      <c r="E153" s="1428"/>
      <c r="F153" s="1428"/>
    </row>
    <row r="154" spans="1:6" customFormat="1" ht="14.4" customHeight="1">
      <c r="A154" s="691"/>
      <c r="B154" s="1195">
        <v>3</v>
      </c>
      <c r="C154" s="1191" t="s">
        <v>434</v>
      </c>
      <c r="D154" s="1426"/>
      <c r="E154" s="1428"/>
      <c r="F154" s="1428"/>
    </row>
    <row r="155" spans="1:6" customFormat="1" ht="14.4" customHeight="1">
      <c r="A155" s="1208"/>
      <c r="B155" s="1199">
        <v>1</v>
      </c>
      <c r="C155" s="1205" t="s">
        <v>3159</v>
      </c>
      <c r="D155" s="1429"/>
      <c r="E155" s="1430"/>
      <c r="F155" s="1430"/>
    </row>
    <row r="156" spans="1:6" customFormat="1" ht="14.4" customHeight="1">
      <c r="A156" s="1208"/>
      <c r="B156" s="1199">
        <v>1</v>
      </c>
      <c r="C156" s="1205" t="s">
        <v>3160</v>
      </c>
      <c r="D156" s="1429"/>
      <c r="E156" s="1430"/>
      <c r="F156" s="1430"/>
    </row>
    <row r="157" spans="1:6" customFormat="1" ht="14.4" customHeight="1">
      <c r="A157" s="687"/>
      <c r="B157" s="1193"/>
      <c r="C157" s="1202" t="s">
        <v>729</v>
      </c>
      <c r="D157" s="1426"/>
      <c r="E157" s="1428"/>
      <c r="F157" s="1428"/>
    </row>
    <row r="158" spans="1:6" customFormat="1" ht="14.4" customHeight="1">
      <c r="A158" s="693"/>
      <c r="B158" s="1194">
        <v>1</v>
      </c>
      <c r="C158" s="1201" t="s">
        <v>5103</v>
      </c>
      <c r="D158" s="1426"/>
      <c r="E158" s="1427"/>
      <c r="F158" s="1427"/>
    </row>
    <row r="159" spans="1:6" customFormat="1" ht="26.4">
      <c r="A159" s="687"/>
      <c r="B159" s="1195">
        <v>3</v>
      </c>
      <c r="C159" s="1206" t="s">
        <v>7374</v>
      </c>
      <c r="D159" s="1426"/>
      <c r="E159" s="1428"/>
      <c r="F159" s="1428"/>
    </row>
    <row r="160" spans="1:6" customFormat="1" ht="14.4" customHeight="1">
      <c r="A160" s="1208"/>
      <c r="B160" s="1199">
        <v>1</v>
      </c>
      <c r="C160" s="1205" t="s">
        <v>3366</v>
      </c>
      <c r="D160" s="1429"/>
      <c r="E160" s="1430"/>
      <c r="F160" s="1430"/>
    </row>
    <row r="161" spans="1:6" customFormat="1" ht="14.4" customHeight="1">
      <c r="A161" s="687"/>
      <c r="B161" s="1193"/>
      <c r="C161" s="1202" t="s">
        <v>729</v>
      </c>
      <c r="D161" s="1426"/>
      <c r="E161" s="1428"/>
      <c r="F161" s="1428"/>
    </row>
    <row r="162" spans="1:6" customFormat="1" ht="14.4" customHeight="1">
      <c r="A162" s="1207"/>
      <c r="B162" s="1194">
        <v>3</v>
      </c>
      <c r="C162" s="1201" t="s">
        <v>3356</v>
      </c>
      <c r="D162" s="1426"/>
      <c r="E162" s="1427"/>
      <c r="F162" s="1427"/>
    </row>
    <row r="163" spans="1:6" customFormat="1" ht="14.4" customHeight="1">
      <c r="A163" s="1208"/>
      <c r="B163" s="1199">
        <v>1</v>
      </c>
      <c r="C163" s="1205" t="s">
        <v>3357</v>
      </c>
      <c r="D163" s="1429"/>
      <c r="E163" s="1430"/>
      <c r="F163" s="1430"/>
    </row>
    <row r="164" spans="1:6" customFormat="1" ht="14.4" customHeight="1">
      <c r="A164" s="1208"/>
      <c r="B164" s="1199">
        <v>1</v>
      </c>
      <c r="C164" s="1205" t="s">
        <v>3358</v>
      </c>
      <c r="D164" s="1429"/>
      <c r="E164" s="1430"/>
      <c r="F164" s="1430"/>
    </row>
    <row r="165" spans="1:6" customFormat="1" ht="14.4" customHeight="1">
      <c r="A165" s="1208"/>
      <c r="B165" s="1199">
        <v>1</v>
      </c>
      <c r="C165" s="1205" t="s">
        <v>3359</v>
      </c>
      <c r="D165" s="1429"/>
      <c r="E165" s="1430"/>
      <c r="F165" s="1430"/>
    </row>
    <row r="166" spans="1:6" customFormat="1" ht="14.4" customHeight="1">
      <c r="A166" s="1208"/>
      <c r="B166" s="1199">
        <v>1</v>
      </c>
      <c r="C166" s="1205" t="s">
        <v>3360</v>
      </c>
      <c r="D166" s="1429"/>
      <c r="E166" s="1430"/>
      <c r="F166" s="1430"/>
    </row>
    <row r="167" spans="1:6" customFormat="1" ht="14.4" customHeight="1">
      <c r="A167" s="1208"/>
      <c r="B167" s="1199">
        <v>1</v>
      </c>
      <c r="C167" s="1205" t="s">
        <v>3361</v>
      </c>
      <c r="D167" s="1429"/>
      <c r="E167" s="1430"/>
      <c r="F167" s="1430"/>
    </row>
    <row r="168" spans="1:6" customFormat="1" ht="14.4" customHeight="1">
      <c r="A168" s="687"/>
      <c r="B168" s="1193"/>
      <c r="C168" s="1202" t="s">
        <v>729</v>
      </c>
      <c r="D168" s="1426"/>
      <c r="E168" s="1428"/>
      <c r="F168" s="1428"/>
    </row>
    <row r="169" spans="1:6" customFormat="1" ht="14.4" customHeight="1">
      <c r="A169" s="693"/>
      <c r="B169" s="1283">
        <v>1</v>
      </c>
      <c r="C169" s="1198" t="s">
        <v>316</v>
      </c>
      <c r="D169" s="1436"/>
      <c r="E169" s="1437"/>
      <c r="F169" s="1437"/>
    </row>
    <row r="170" spans="1:6" customFormat="1" ht="14.4" customHeight="1">
      <c r="A170" s="693"/>
      <c r="B170" s="1283">
        <v>1</v>
      </c>
      <c r="C170" s="1198" t="s">
        <v>2908</v>
      </c>
      <c r="D170" s="1436"/>
      <c r="E170" s="1437"/>
      <c r="F170" s="1437"/>
    </row>
    <row r="171" spans="1:6" customFormat="1" ht="14.4" customHeight="1">
      <c r="A171" s="1209"/>
      <c r="B171" s="1197">
        <v>1</v>
      </c>
      <c r="C171" s="1203" t="s">
        <v>6050</v>
      </c>
      <c r="D171" s="1426"/>
      <c r="E171" s="1428"/>
      <c r="F171" s="1428"/>
    </row>
    <row r="172" spans="1:6" customFormat="1" ht="14.4" customHeight="1">
      <c r="A172" s="1209"/>
      <c r="B172" s="1197">
        <v>1</v>
      </c>
      <c r="C172" s="1203" t="s">
        <v>6051</v>
      </c>
      <c r="D172" s="1426"/>
      <c r="E172" s="1428"/>
      <c r="F172" s="1428"/>
    </row>
    <row r="173" spans="1:6" customFormat="1" ht="14.4" customHeight="1" thickBot="1">
      <c r="A173" s="699"/>
      <c r="B173" s="1296"/>
      <c r="C173" s="1305"/>
      <c r="D173" s="1438"/>
      <c r="E173" s="1439"/>
      <c r="F173" s="1439"/>
    </row>
    <row r="174" spans="1:6" s="61" customFormat="1" ht="20.100000000000001" customHeight="1" thickBot="1">
      <c r="A174" s="920">
        <v>3</v>
      </c>
      <c r="B174" s="1314">
        <v>1</v>
      </c>
      <c r="C174" s="1217" t="s">
        <v>3751</v>
      </c>
      <c r="D174" s="1424">
        <v>204821</v>
      </c>
      <c r="E174" s="1425"/>
      <c r="F174" s="1425">
        <v>204821</v>
      </c>
    </row>
    <row r="175" spans="1:6" customFormat="1" ht="14.4" customHeight="1">
      <c r="A175" s="685" t="s">
        <v>3162</v>
      </c>
      <c r="B175" s="1290"/>
      <c r="C175" s="1302"/>
      <c r="D175" s="1433"/>
      <c r="E175" s="1434"/>
      <c r="F175" s="1434"/>
    </row>
    <row r="176" spans="1:6" customFormat="1" ht="14.4" customHeight="1">
      <c r="A176" s="687" t="s">
        <v>3400</v>
      </c>
      <c r="B176" s="1283"/>
      <c r="C176" s="1201" t="s">
        <v>2477</v>
      </c>
      <c r="D176" s="1433"/>
      <c r="E176" s="1435"/>
      <c r="F176" s="1435"/>
    </row>
    <row r="177" spans="1:6" customFormat="1" ht="14.4" customHeight="1">
      <c r="A177" s="687"/>
      <c r="B177" s="1192"/>
      <c r="C177" s="1306"/>
      <c r="D177" s="1426"/>
      <c r="E177" s="1427"/>
      <c r="F177" s="1427"/>
    </row>
    <row r="178" spans="1:6" customFormat="1" ht="14.4" customHeight="1">
      <c r="A178" s="687"/>
      <c r="B178" s="1192"/>
      <c r="C178" s="1203" t="s">
        <v>6179</v>
      </c>
      <c r="D178" s="1426"/>
      <c r="E178" s="1427"/>
      <c r="F178" s="1427"/>
    </row>
    <row r="179" spans="1:6" customFormat="1" ht="14.4" customHeight="1">
      <c r="A179" s="692" t="s">
        <v>6052</v>
      </c>
      <c r="B179" s="1192"/>
      <c r="C179" s="1203" t="s">
        <v>3427</v>
      </c>
      <c r="D179" s="1426"/>
      <c r="E179" s="1427"/>
      <c r="F179" s="1427"/>
    </row>
    <row r="180" spans="1:6" customFormat="1" ht="14.4" customHeight="1">
      <c r="A180" s="693"/>
      <c r="B180" s="1192"/>
      <c r="C180" s="1306"/>
      <c r="D180" s="1426"/>
      <c r="E180" s="1427"/>
      <c r="F180" s="1427"/>
    </row>
    <row r="181" spans="1:6" customFormat="1" ht="14.4" customHeight="1">
      <c r="A181" s="698"/>
      <c r="B181" s="1192"/>
      <c r="C181" s="1203" t="s">
        <v>3428</v>
      </c>
      <c r="D181" s="1433"/>
      <c r="E181" s="1434"/>
      <c r="F181" s="1434"/>
    </row>
    <row r="182" spans="1:6" customFormat="1" ht="14.4" customHeight="1">
      <c r="A182" s="693" t="s">
        <v>3190</v>
      </c>
      <c r="B182" s="1298"/>
      <c r="C182" s="1307"/>
      <c r="D182" s="1433"/>
      <c r="E182" s="1435"/>
      <c r="F182" s="1435"/>
    </row>
    <row r="183" spans="1:6" customFormat="1" ht="14.4" customHeight="1">
      <c r="A183" s="928" t="s">
        <v>3314</v>
      </c>
      <c r="B183" s="1299">
        <v>2</v>
      </c>
      <c r="C183" s="1205" t="s">
        <v>6180</v>
      </c>
      <c r="D183" s="1433"/>
      <c r="E183" s="1435"/>
      <c r="F183" s="1435"/>
    </row>
    <row r="184" spans="1:6" customFormat="1" ht="14.4" customHeight="1">
      <c r="A184" s="928" t="s">
        <v>3315</v>
      </c>
      <c r="B184" s="1192"/>
      <c r="C184" s="1205" t="s">
        <v>6053</v>
      </c>
      <c r="D184" s="1433"/>
      <c r="E184" s="1435"/>
      <c r="F184" s="1435"/>
    </row>
    <row r="185" spans="1:6" customFormat="1" ht="26.4">
      <c r="A185" s="928"/>
      <c r="B185" s="1192"/>
      <c r="C185" s="1315" t="s">
        <v>4610</v>
      </c>
      <c r="D185" s="1433"/>
      <c r="E185" s="1434"/>
      <c r="F185" s="1434"/>
    </row>
    <row r="186" spans="1:6" customFormat="1" ht="14.4" customHeight="1">
      <c r="A186" s="928"/>
      <c r="B186" s="1192"/>
      <c r="C186" s="1205" t="s">
        <v>3449</v>
      </c>
      <c r="D186" s="1433"/>
      <c r="E186" s="1435"/>
      <c r="F186" s="1435"/>
    </row>
    <row r="187" spans="1:6" customFormat="1" ht="14.4" customHeight="1">
      <c r="A187" s="693" t="s">
        <v>3819</v>
      </c>
      <c r="B187" s="1192"/>
      <c r="C187" s="1307"/>
      <c r="D187" s="1433"/>
      <c r="E187" s="1434"/>
      <c r="F187" s="1434"/>
    </row>
    <row r="188" spans="1:6" customFormat="1" ht="14.4" customHeight="1">
      <c r="A188" s="693"/>
      <c r="B188" s="1192"/>
      <c r="C188" s="1203" t="s">
        <v>6054</v>
      </c>
      <c r="D188" s="1426"/>
      <c r="E188" s="1428"/>
      <c r="F188" s="1428"/>
    </row>
    <row r="189" spans="1:6" customFormat="1" ht="14.4" customHeight="1">
      <c r="A189" s="692"/>
      <c r="B189" s="1192"/>
      <c r="C189" s="1203" t="s">
        <v>6055</v>
      </c>
      <c r="D189" s="1426"/>
      <c r="E189" s="1428"/>
      <c r="F189" s="1428"/>
    </row>
    <row r="190" spans="1:6" customFormat="1" ht="14.4" customHeight="1">
      <c r="A190" s="692"/>
      <c r="B190" s="1192"/>
      <c r="C190" s="1203" t="s">
        <v>6056</v>
      </c>
      <c r="D190" s="1426"/>
      <c r="E190" s="1428"/>
      <c r="F190" s="1428"/>
    </row>
    <row r="191" spans="1:6" customFormat="1" ht="14.4" customHeight="1">
      <c r="A191" s="692"/>
      <c r="B191" s="1192"/>
      <c r="C191" s="1203" t="s">
        <v>6057</v>
      </c>
      <c r="D191" s="1426"/>
      <c r="E191" s="1427"/>
      <c r="F191" s="1427"/>
    </row>
    <row r="192" spans="1:6" customFormat="1" ht="14.4" customHeight="1">
      <c r="A192" s="692"/>
      <c r="B192" s="1192"/>
      <c r="C192" s="1203" t="s">
        <v>3849</v>
      </c>
      <c r="D192" s="1426"/>
      <c r="E192" s="1427"/>
      <c r="F192" s="1427"/>
    </row>
    <row r="193" spans="1:6" customFormat="1" ht="14.4" customHeight="1">
      <c r="A193" s="692"/>
      <c r="B193" s="1192"/>
      <c r="C193" s="320"/>
      <c r="D193" s="1426"/>
      <c r="E193" s="1428"/>
      <c r="F193" s="1428"/>
    </row>
    <row r="194" spans="1:6" customFormat="1" ht="14.4" customHeight="1">
      <c r="A194" s="692"/>
      <c r="B194" s="1192"/>
      <c r="C194" s="1286" t="s">
        <v>6058</v>
      </c>
      <c r="D194" s="1426"/>
      <c r="E194" s="1427"/>
      <c r="F194" s="1427"/>
    </row>
    <row r="195" spans="1:6" customFormat="1" ht="14.4" customHeight="1">
      <c r="A195" s="692"/>
      <c r="B195" s="1192"/>
      <c r="C195" s="1286" t="s">
        <v>6059</v>
      </c>
      <c r="D195" s="1426"/>
      <c r="E195" s="1427"/>
      <c r="F195" s="1427"/>
    </row>
    <row r="196" spans="1:6" customFormat="1" ht="14.4" customHeight="1">
      <c r="A196" s="912"/>
      <c r="B196" s="1192"/>
      <c r="C196" s="1287" t="s">
        <v>3431</v>
      </c>
      <c r="D196" s="1426"/>
      <c r="E196" s="1428"/>
      <c r="F196" s="1428"/>
    </row>
    <row r="197" spans="1:6" customFormat="1" ht="14.4" customHeight="1">
      <c r="A197" s="913"/>
      <c r="B197" s="1192"/>
      <c r="C197" s="1287" t="s">
        <v>3432</v>
      </c>
      <c r="D197" s="1426"/>
      <c r="E197" s="1427"/>
      <c r="F197" s="1427"/>
    </row>
    <row r="198" spans="1:6" customFormat="1" ht="14.4" customHeight="1">
      <c r="A198" s="913"/>
      <c r="B198" s="1192"/>
      <c r="C198" s="1287" t="s">
        <v>3433</v>
      </c>
      <c r="D198" s="1426"/>
      <c r="E198" s="1428"/>
      <c r="F198" s="1428"/>
    </row>
    <row r="199" spans="1:6" customFormat="1" ht="14.4" customHeight="1">
      <c r="A199" s="1208"/>
      <c r="B199" s="1192"/>
      <c r="C199" s="1287" t="s">
        <v>3434</v>
      </c>
      <c r="D199" s="1426"/>
      <c r="E199" s="1427"/>
      <c r="F199" s="1427"/>
    </row>
    <row r="200" spans="1:6" customFormat="1" ht="14.4" customHeight="1">
      <c r="A200" s="687"/>
      <c r="B200" s="1192"/>
      <c r="C200" s="1287" t="s">
        <v>3435</v>
      </c>
      <c r="D200" s="1426"/>
      <c r="E200" s="1428"/>
      <c r="F200" s="1428"/>
    </row>
    <row r="201" spans="1:6" customFormat="1" ht="14.4" customHeight="1">
      <c r="A201" s="687"/>
      <c r="B201" s="1192"/>
      <c r="C201" s="1286" t="s">
        <v>6060</v>
      </c>
      <c r="D201" s="1426"/>
      <c r="E201" s="1427"/>
      <c r="F201" s="1427"/>
    </row>
    <row r="202" spans="1:6" customFormat="1" ht="14.4" customHeight="1">
      <c r="A202" s="687"/>
      <c r="B202" s="1192"/>
      <c r="C202" s="1286" t="s">
        <v>621</v>
      </c>
      <c r="D202" s="1426"/>
      <c r="E202" s="1427"/>
      <c r="F202" s="1427"/>
    </row>
    <row r="203" spans="1:6" customFormat="1" ht="14.4" customHeight="1">
      <c r="A203" s="687"/>
      <c r="B203" s="1192"/>
      <c r="C203" s="1287" t="s">
        <v>6061</v>
      </c>
      <c r="D203" s="1426"/>
      <c r="E203" s="1428"/>
      <c r="F203" s="1428"/>
    </row>
    <row r="204" spans="1:6" customFormat="1" ht="14.4" customHeight="1">
      <c r="A204" s="1301"/>
      <c r="B204" s="1193"/>
      <c r="C204" s="1287" t="s">
        <v>6062</v>
      </c>
      <c r="D204" s="1426"/>
      <c r="E204" s="1427"/>
      <c r="F204" s="1427"/>
    </row>
    <row r="205" spans="1:6" customFormat="1" ht="14.4" customHeight="1">
      <c r="A205" s="1301"/>
      <c r="B205" s="1194"/>
      <c r="C205" s="1287" t="s">
        <v>624</v>
      </c>
      <c r="D205" s="1426"/>
      <c r="E205" s="1427"/>
      <c r="F205" s="1427"/>
    </row>
    <row r="206" spans="1:6" customFormat="1" ht="14.4" customHeight="1">
      <c r="A206" s="1301"/>
      <c r="B206" s="1195"/>
      <c r="C206" s="1287" t="s">
        <v>625</v>
      </c>
      <c r="D206" s="1426"/>
      <c r="E206" s="1427"/>
      <c r="F206" s="1427"/>
    </row>
    <row r="207" spans="1:6" customFormat="1" ht="14.4" customHeight="1">
      <c r="A207" s="692"/>
      <c r="B207" s="1195"/>
      <c r="C207" s="1287" t="s">
        <v>6063</v>
      </c>
      <c r="D207" s="1426"/>
      <c r="E207" s="1427"/>
      <c r="F207" s="1427"/>
    </row>
    <row r="208" spans="1:6" customFormat="1" ht="14.4" customHeight="1">
      <c r="A208" s="693"/>
      <c r="B208" s="1194"/>
      <c r="C208" s="1288" t="s">
        <v>6064</v>
      </c>
      <c r="D208" s="1426"/>
      <c r="E208" s="1428"/>
      <c r="F208" s="1428"/>
    </row>
    <row r="209" spans="1:6" customFormat="1" ht="14.4" customHeight="1">
      <c r="A209" s="693"/>
      <c r="B209" s="1195"/>
      <c r="C209" s="1309" t="s">
        <v>6065</v>
      </c>
      <c r="D209" s="1426"/>
      <c r="E209" s="1428"/>
      <c r="F209" s="1428"/>
    </row>
    <row r="210" spans="1:6" customFormat="1" ht="14.4" customHeight="1">
      <c r="A210" s="693"/>
      <c r="B210" s="1195"/>
      <c r="C210" s="1310" t="s">
        <v>6066</v>
      </c>
      <c r="D210" s="1426"/>
      <c r="E210" s="1428"/>
      <c r="F210" s="1428"/>
    </row>
    <row r="211" spans="1:6" customFormat="1" ht="13.8">
      <c r="A211" s="693"/>
      <c r="B211" s="1284"/>
      <c r="C211" s="1354" t="s">
        <v>3855</v>
      </c>
      <c r="D211" s="1426"/>
      <c r="E211" s="1427"/>
      <c r="F211" s="1427"/>
    </row>
    <row r="212" spans="1:6" customFormat="1" ht="14.4" customHeight="1">
      <c r="A212" s="693"/>
      <c r="B212" s="1300"/>
      <c r="C212" s="1286" t="s">
        <v>6067</v>
      </c>
      <c r="D212" s="1426"/>
      <c r="E212" s="1428"/>
      <c r="F212" s="1428"/>
    </row>
    <row r="213" spans="1:6" customFormat="1" ht="13.8">
      <c r="A213" s="1207"/>
      <c r="B213" s="1195"/>
      <c r="C213" s="1355" t="s">
        <v>3857</v>
      </c>
      <c r="D213" s="1426"/>
      <c r="E213" s="1427"/>
      <c r="F213" s="1427"/>
    </row>
    <row r="214" spans="1:6" customFormat="1" ht="14.4" customHeight="1">
      <c r="A214" s="687"/>
      <c r="B214" s="1300"/>
      <c r="C214" s="1286" t="s">
        <v>6068</v>
      </c>
      <c r="D214" s="1426"/>
      <c r="E214" s="1428"/>
      <c r="F214" s="1428"/>
    </row>
    <row r="215" spans="1:6" customFormat="1" ht="14.4" customHeight="1">
      <c r="A215" s="687"/>
      <c r="B215" s="1195"/>
      <c r="C215" s="1554" t="s">
        <v>3447</v>
      </c>
      <c r="D215" s="1426"/>
      <c r="E215" s="1427"/>
      <c r="F215" s="1427"/>
    </row>
    <row r="216" spans="1:6" customFormat="1" ht="14.4" customHeight="1">
      <c r="A216" s="687"/>
      <c r="B216" s="1195"/>
      <c r="C216" s="1555"/>
      <c r="D216" s="1426"/>
      <c r="E216" s="1427"/>
      <c r="F216" s="1427"/>
    </row>
    <row r="217" spans="1:6" customFormat="1" ht="14.4" customHeight="1">
      <c r="A217" s="687"/>
      <c r="B217" s="1284"/>
      <c r="C217" s="1304" t="s">
        <v>729</v>
      </c>
      <c r="D217" s="1426"/>
      <c r="E217" s="1428"/>
      <c r="F217" s="1428"/>
    </row>
    <row r="218" spans="1:6" customFormat="1" ht="14.4" customHeight="1">
      <c r="A218" s="698"/>
      <c r="B218" s="1293"/>
      <c r="C218" s="1303" t="s">
        <v>3377</v>
      </c>
      <c r="D218" s="1433"/>
      <c r="E218" s="1435"/>
      <c r="F218" s="1435"/>
    </row>
    <row r="219" spans="1:6" customFormat="1" ht="26.4">
      <c r="A219" s="693"/>
      <c r="B219" s="1283">
        <v>1</v>
      </c>
      <c r="C219" s="1204" t="s">
        <v>4590</v>
      </c>
      <c r="D219" s="1433"/>
      <c r="E219" s="1434"/>
      <c r="F219" s="1434"/>
    </row>
    <row r="220" spans="1:6" customFormat="1" ht="14.4" customHeight="1">
      <c r="A220" s="928"/>
      <c r="B220" s="1293"/>
      <c r="C220" s="1303" t="s">
        <v>2654</v>
      </c>
      <c r="D220" s="1433"/>
      <c r="E220" s="1435"/>
      <c r="F220" s="1435"/>
    </row>
    <row r="221" spans="1:6" customFormat="1" ht="26.4">
      <c r="A221" s="928"/>
      <c r="B221" s="1283">
        <v>2</v>
      </c>
      <c r="C221" s="1204" t="s">
        <v>4494</v>
      </c>
      <c r="D221" s="1433"/>
      <c r="E221" s="1434"/>
      <c r="F221" s="1434"/>
    </row>
    <row r="222" spans="1:6" customFormat="1" ht="26.4">
      <c r="A222" s="928"/>
      <c r="B222" s="1283">
        <v>2</v>
      </c>
      <c r="C222" s="1204" t="s">
        <v>4524</v>
      </c>
      <c r="D222" s="1433"/>
      <c r="E222" s="1434"/>
      <c r="F222" s="1434"/>
    </row>
    <row r="223" spans="1:6" customFormat="1" ht="26.4">
      <c r="A223" s="693"/>
      <c r="B223" s="1283">
        <v>1</v>
      </c>
      <c r="C223" s="1204" t="s">
        <v>4523</v>
      </c>
      <c r="D223" s="1433"/>
      <c r="E223" s="1434"/>
      <c r="F223" s="1434"/>
    </row>
    <row r="224" spans="1:6" customFormat="1" ht="26.4">
      <c r="A224" s="693"/>
      <c r="B224" s="1283">
        <v>2</v>
      </c>
      <c r="C224" s="1204" t="s">
        <v>4393</v>
      </c>
      <c r="D224" s="1433"/>
      <c r="E224" s="1434"/>
      <c r="F224" s="1434"/>
    </row>
    <row r="225" spans="1:6" customFormat="1" ht="26.4">
      <c r="A225" s="692"/>
      <c r="B225" s="1283">
        <v>6</v>
      </c>
      <c r="C225" s="1204" t="s">
        <v>4392</v>
      </c>
      <c r="D225" s="1433"/>
      <c r="E225" s="1434"/>
      <c r="F225" s="1434"/>
    </row>
    <row r="226" spans="1:6" customFormat="1" ht="26.4">
      <c r="A226" s="692"/>
      <c r="B226" s="1283">
        <v>5</v>
      </c>
      <c r="C226" s="1204" t="s">
        <v>4390</v>
      </c>
      <c r="D226" s="1433"/>
      <c r="E226" s="1434"/>
      <c r="F226" s="1434"/>
    </row>
    <row r="227" spans="1:6" customFormat="1" ht="26.4">
      <c r="A227" s="692"/>
      <c r="B227" s="1283">
        <v>1</v>
      </c>
      <c r="C227" s="1204" t="s">
        <v>4389</v>
      </c>
      <c r="D227" s="1433"/>
      <c r="E227" s="1434"/>
      <c r="F227" s="1434"/>
    </row>
    <row r="228" spans="1:6" customFormat="1" ht="14.4" customHeight="1">
      <c r="A228" s="693"/>
      <c r="B228" s="1283">
        <v>2</v>
      </c>
      <c r="C228" s="1304" t="s">
        <v>2935</v>
      </c>
      <c r="D228" s="1433"/>
      <c r="E228" s="1435"/>
      <c r="F228" s="1435"/>
    </row>
    <row r="229" spans="1:6" customFormat="1" ht="14.4" customHeight="1">
      <c r="A229" s="691"/>
      <c r="B229" s="1293"/>
      <c r="C229" s="1303" t="s">
        <v>3063</v>
      </c>
      <c r="D229" s="1433"/>
      <c r="E229" s="1435"/>
      <c r="F229" s="1435"/>
    </row>
    <row r="230" spans="1:6" customFormat="1" ht="26.4">
      <c r="A230" s="692"/>
      <c r="B230" s="1283">
        <v>1</v>
      </c>
      <c r="C230" s="1204" t="s">
        <v>4716</v>
      </c>
      <c r="D230" s="1433"/>
      <c r="E230" s="1434"/>
      <c r="F230" s="1434"/>
    </row>
    <row r="231" spans="1:6" customFormat="1" ht="14.4" customHeight="1">
      <c r="A231" s="693"/>
      <c r="B231" s="1197">
        <v>1</v>
      </c>
      <c r="C231" s="1203" t="s">
        <v>5176</v>
      </c>
      <c r="D231" s="1429"/>
      <c r="E231" s="1430"/>
      <c r="F231" s="1430"/>
    </row>
    <row r="232" spans="1:6" customFormat="1" ht="14.4" customHeight="1">
      <c r="A232" s="693"/>
      <c r="B232" s="1197">
        <v>1</v>
      </c>
      <c r="C232" s="1203" t="s">
        <v>3426</v>
      </c>
      <c r="D232" s="1429"/>
      <c r="E232" s="1430"/>
      <c r="F232" s="1430"/>
    </row>
    <row r="233" spans="1:6" customFormat="1" ht="14.4" customHeight="1">
      <c r="A233" s="693"/>
      <c r="B233" s="1197">
        <v>1</v>
      </c>
      <c r="C233" s="1203" t="s">
        <v>6042</v>
      </c>
      <c r="D233" s="1429"/>
      <c r="E233" s="1430"/>
      <c r="F233" s="1430"/>
    </row>
    <row r="234" spans="1:6" customFormat="1" ht="14.4" customHeight="1">
      <c r="A234" s="691"/>
      <c r="B234" s="1193"/>
      <c r="C234" s="1202" t="s">
        <v>729</v>
      </c>
      <c r="D234" s="1426"/>
      <c r="E234" s="1428"/>
      <c r="F234" s="1428"/>
    </row>
    <row r="235" spans="1:6" customFormat="1" ht="14.4" customHeight="1">
      <c r="A235" s="693"/>
      <c r="B235" s="1294">
        <v>1</v>
      </c>
      <c r="C235" s="1303" t="s">
        <v>6069</v>
      </c>
      <c r="D235" s="1426"/>
      <c r="E235" s="1428"/>
      <c r="F235" s="1428"/>
    </row>
    <row r="236" spans="1:6" customFormat="1" ht="14.4" customHeight="1">
      <c r="A236" s="692"/>
      <c r="B236" s="1199">
        <v>1</v>
      </c>
      <c r="C236" s="1205" t="s">
        <v>3378</v>
      </c>
      <c r="D236" s="1429"/>
      <c r="E236" s="1430"/>
      <c r="F236" s="1430"/>
    </row>
    <row r="237" spans="1:6" customFormat="1" ht="14.4" customHeight="1">
      <c r="A237" s="687"/>
      <c r="B237" s="1195">
        <v>1</v>
      </c>
      <c r="C237" s="1191" t="s">
        <v>2299</v>
      </c>
      <c r="D237" s="1426"/>
      <c r="E237" s="1427"/>
      <c r="F237" s="1427"/>
    </row>
    <row r="238" spans="1:6" customFormat="1" ht="26.4">
      <c r="A238" s="687"/>
      <c r="B238" s="1195">
        <v>1</v>
      </c>
      <c r="C238" s="1206" t="s">
        <v>2304</v>
      </c>
      <c r="D238" s="1426"/>
      <c r="E238" s="1427"/>
      <c r="F238" s="1427"/>
    </row>
    <row r="239" spans="1:6" customFormat="1" ht="26.4">
      <c r="A239" s="687"/>
      <c r="B239" s="1195">
        <v>1</v>
      </c>
      <c r="C239" s="1206" t="s">
        <v>7374</v>
      </c>
      <c r="D239" s="1426"/>
      <c r="E239" s="1427"/>
      <c r="F239" s="1427"/>
    </row>
    <row r="240" spans="1:6" customFormat="1" ht="26.4">
      <c r="A240" s="687"/>
      <c r="B240" s="1195">
        <v>1</v>
      </c>
      <c r="C240" s="1206" t="s">
        <v>7375</v>
      </c>
      <c r="D240" s="1426"/>
      <c r="E240" s="1427"/>
      <c r="F240" s="1427"/>
    </row>
    <row r="241" spans="1:6" customFormat="1" ht="26.4">
      <c r="A241" s="687"/>
      <c r="B241" s="1195">
        <v>1</v>
      </c>
      <c r="C241" s="1206" t="s">
        <v>2436</v>
      </c>
      <c r="D241" s="1426"/>
      <c r="E241" s="1427"/>
      <c r="F241" s="1427"/>
    </row>
    <row r="242" spans="1:6" customFormat="1" ht="26.4">
      <c r="A242" s="687"/>
      <c r="B242" s="1195">
        <v>1</v>
      </c>
      <c r="C242" s="1206" t="s">
        <v>4660</v>
      </c>
      <c r="D242" s="1426"/>
      <c r="E242" s="1427"/>
      <c r="F242" s="1427"/>
    </row>
    <row r="243" spans="1:6" customFormat="1" ht="14.4" customHeight="1">
      <c r="A243" s="687"/>
      <c r="B243" s="1195">
        <v>2</v>
      </c>
      <c r="C243" s="1191" t="s">
        <v>8386</v>
      </c>
      <c r="D243" s="1426"/>
      <c r="E243" s="1427"/>
      <c r="F243" s="1427"/>
    </row>
    <row r="244" spans="1:6" customFormat="1" ht="14.4" customHeight="1">
      <c r="A244" s="1208"/>
      <c r="B244" s="1199">
        <v>1</v>
      </c>
      <c r="C244" s="1205" t="s">
        <v>3379</v>
      </c>
      <c r="D244" s="1429"/>
      <c r="E244" s="1430"/>
      <c r="F244" s="1430"/>
    </row>
    <row r="245" spans="1:6" customFormat="1" ht="14.4" customHeight="1">
      <c r="A245" s="687"/>
      <c r="B245" s="1193"/>
      <c r="C245" s="1202" t="s">
        <v>729</v>
      </c>
      <c r="D245" s="1426"/>
      <c r="E245" s="1428"/>
      <c r="F245" s="1428"/>
    </row>
    <row r="246" spans="1:6" customFormat="1" ht="14.4" customHeight="1">
      <c r="A246" s="913"/>
      <c r="B246" s="1294">
        <v>18</v>
      </c>
      <c r="C246" s="1201" t="s">
        <v>3451</v>
      </c>
      <c r="D246" s="1426"/>
      <c r="E246" s="1427"/>
      <c r="F246" s="1427"/>
    </row>
    <row r="247" spans="1:6" customFormat="1" ht="26.4">
      <c r="A247" s="693"/>
      <c r="B247" s="1195">
        <v>2</v>
      </c>
      <c r="C247" s="1206" t="s">
        <v>6732</v>
      </c>
      <c r="D247" s="1426"/>
      <c r="E247" s="1428"/>
      <c r="F247" s="1428"/>
    </row>
    <row r="248" spans="1:6" customFormat="1" ht="14.4" customHeight="1">
      <c r="A248" s="1208"/>
      <c r="B248" s="1199">
        <v>1</v>
      </c>
      <c r="C248" s="1205" t="s">
        <v>3453</v>
      </c>
      <c r="D248" s="1429"/>
      <c r="E248" s="1430"/>
      <c r="F248" s="1430"/>
    </row>
    <row r="249" spans="1:6" customFormat="1" ht="14.4" customHeight="1">
      <c r="A249" s="691"/>
      <c r="B249" s="1193"/>
      <c r="C249" s="1202" t="s">
        <v>729</v>
      </c>
      <c r="D249" s="1426"/>
      <c r="E249" s="1428"/>
      <c r="F249" s="1428"/>
    </row>
    <row r="250" spans="1:6" customFormat="1" ht="14.4" customHeight="1">
      <c r="A250" s="913"/>
      <c r="B250" s="1194">
        <v>1</v>
      </c>
      <c r="C250" s="1201" t="s">
        <v>6070</v>
      </c>
      <c r="D250" s="1426"/>
      <c r="E250" s="1427"/>
      <c r="F250" s="1427"/>
    </row>
    <row r="251" spans="1:6" customFormat="1" ht="26.4">
      <c r="A251" s="693"/>
      <c r="B251" s="1195">
        <v>1</v>
      </c>
      <c r="C251" s="1206" t="s">
        <v>3301</v>
      </c>
      <c r="D251" s="1426"/>
      <c r="E251" s="1428"/>
      <c r="F251" s="1428"/>
    </row>
    <row r="252" spans="1:6" customFormat="1" ht="14.4" customHeight="1">
      <c r="A252" s="691"/>
      <c r="B252" s="1195">
        <v>3</v>
      </c>
      <c r="C252" s="1191" t="s">
        <v>426</v>
      </c>
      <c r="D252" s="1426"/>
      <c r="E252" s="1428"/>
      <c r="F252" s="1428"/>
    </row>
    <row r="253" spans="1:6" customFormat="1" ht="14.4" customHeight="1">
      <c r="A253" s="1208"/>
      <c r="B253" s="1199">
        <v>1</v>
      </c>
      <c r="C253" s="1205" t="s">
        <v>3159</v>
      </c>
      <c r="D253" s="1429"/>
      <c r="E253" s="1430"/>
      <c r="F253" s="1430"/>
    </row>
    <row r="254" spans="1:6" customFormat="1" ht="14.4" customHeight="1">
      <c r="A254" s="1208"/>
      <c r="B254" s="1199">
        <v>1</v>
      </c>
      <c r="C254" s="1205" t="s">
        <v>3160</v>
      </c>
      <c r="D254" s="1429"/>
      <c r="E254" s="1430"/>
      <c r="F254" s="1430"/>
    </row>
    <row r="255" spans="1:6" customFormat="1" ht="14.4" customHeight="1">
      <c r="A255" s="687"/>
      <c r="B255" s="1193"/>
      <c r="C255" s="1202" t="s">
        <v>729</v>
      </c>
      <c r="D255" s="1426"/>
      <c r="E255" s="1428"/>
      <c r="F255" s="1428"/>
    </row>
    <row r="256" spans="1:6" customFormat="1" ht="14.4" customHeight="1">
      <c r="A256" s="913"/>
      <c r="B256" s="1194">
        <v>3</v>
      </c>
      <c r="C256" s="1201" t="s">
        <v>6046</v>
      </c>
      <c r="D256" s="1426"/>
      <c r="E256" s="1427"/>
      <c r="F256" s="1427"/>
    </row>
    <row r="257" spans="1:6" customFormat="1" ht="26.4">
      <c r="A257" s="693"/>
      <c r="B257" s="1195">
        <v>1</v>
      </c>
      <c r="C257" s="1206" t="s">
        <v>4244</v>
      </c>
      <c r="D257" s="1426"/>
      <c r="E257" s="1428"/>
      <c r="F257" s="1428"/>
    </row>
    <row r="258" spans="1:6" customFormat="1" ht="14.4" customHeight="1">
      <c r="A258" s="691"/>
      <c r="B258" s="1195">
        <v>3</v>
      </c>
      <c r="C258" s="1191" t="s">
        <v>434</v>
      </c>
      <c r="D258" s="1426"/>
      <c r="E258" s="1428"/>
      <c r="F258" s="1428"/>
    </row>
    <row r="259" spans="1:6" customFormat="1" ht="14.4" customHeight="1">
      <c r="A259" s="1208"/>
      <c r="B259" s="1199">
        <v>1</v>
      </c>
      <c r="C259" s="1205" t="s">
        <v>3159</v>
      </c>
      <c r="D259" s="1429"/>
      <c r="E259" s="1430"/>
      <c r="F259" s="1430"/>
    </row>
    <row r="260" spans="1:6" customFormat="1" ht="14.4" customHeight="1">
      <c r="A260" s="1208"/>
      <c r="B260" s="1199">
        <v>1</v>
      </c>
      <c r="C260" s="1205" t="s">
        <v>3160</v>
      </c>
      <c r="D260" s="1429"/>
      <c r="E260" s="1430"/>
      <c r="F260" s="1430"/>
    </row>
    <row r="261" spans="1:6" customFormat="1" ht="14.4" customHeight="1">
      <c r="A261" s="687"/>
      <c r="B261" s="1193"/>
      <c r="C261" s="1202" t="s">
        <v>729</v>
      </c>
      <c r="D261" s="1426"/>
      <c r="E261" s="1428"/>
      <c r="F261" s="1428"/>
    </row>
    <row r="262" spans="1:6" customFormat="1" ht="14.4" customHeight="1">
      <c r="A262" s="913"/>
      <c r="B262" s="1194">
        <v>8</v>
      </c>
      <c r="C262" s="1201" t="s">
        <v>6049</v>
      </c>
      <c r="D262" s="1426"/>
      <c r="E262" s="1427"/>
      <c r="F262" s="1427"/>
    </row>
    <row r="263" spans="1:6" customFormat="1" ht="26.4">
      <c r="A263" s="693"/>
      <c r="B263" s="1195">
        <v>1</v>
      </c>
      <c r="C263" s="1206" t="s">
        <v>3301</v>
      </c>
      <c r="D263" s="1426"/>
      <c r="E263" s="1428"/>
      <c r="F263" s="1428"/>
    </row>
    <row r="264" spans="1:6" customFormat="1" ht="14.4" customHeight="1">
      <c r="A264" s="691"/>
      <c r="B264" s="1195">
        <v>3</v>
      </c>
      <c r="C264" s="1191" t="s">
        <v>434</v>
      </c>
      <c r="D264" s="1426"/>
      <c r="E264" s="1428"/>
      <c r="F264" s="1428"/>
    </row>
    <row r="265" spans="1:6" customFormat="1" ht="14.4" customHeight="1">
      <c r="A265" s="1208"/>
      <c r="B265" s="1199">
        <v>1</v>
      </c>
      <c r="C265" s="1205" t="s">
        <v>3159</v>
      </c>
      <c r="D265" s="1429"/>
      <c r="E265" s="1430"/>
      <c r="F265" s="1430"/>
    </row>
    <row r="266" spans="1:6" customFormat="1" ht="14.4" customHeight="1">
      <c r="A266" s="1208"/>
      <c r="B266" s="1199">
        <v>1</v>
      </c>
      <c r="C266" s="1205" t="s">
        <v>3160</v>
      </c>
      <c r="D266" s="1429"/>
      <c r="E266" s="1430"/>
      <c r="F266" s="1430"/>
    </row>
    <row r="267" spans="1:6" customFormat="1" ht="14.4" customHeight="1">
      <c r="A267" s="687"/>
      <c r="B267" s="1193"/>
      <c r="C267" s="1202" t="s">
        <v>729</v>
      </c>
      <c r="D267" s="1426"/>
      <c r="E267" s="1428"/>
      <c r="F267" s="1428"/>
    </row>
    <row r="268" spans="1:6" customFormat="1" ht="14.4" customHeight="1">
      <c r="A268" s="913"/>
      <c r="B268" s="1194">
        <v>1</v>
      </c>
      <c r="C268" s="1201" t="s">
        <v>6048</v>
      </c>
      <c r="D268" s="1426"/>
      <c r="E268" s="1427"/>
      <c r="F268" s="1427"/>
    </row>
    <row r="269" spans="1:6" customFormat="1" ht="26.4">
      <c r="A269" s="693"/>
      <c r="B269" s="1195">
        <v>1</v>
      </c>
      <c r="C269" s="1206" t="s">
        <v>3301</v>
      </c>
      <c r="D269" s="1426"/>
      <c r="E269" s="1428"/>
      <c r="F269" s="1428"/>
    </row>
    <row r="270" spans="1:6" customFormat="1" ht="14.4" customHeight="1">
      <c r="A270" s="691"/>
      <c r="B270" s="1195">
        <v>3</v>
      </c>
      <c r="C270" s="1191" t="s">
        <v>1822</v>
      </c>
      <c r="D270" s="1426"/>
      <c r="E270" s="1428"/>
      <c r="F270" s="1428"/>
    </row>
    <row r="271" spans="1:6" customFormat="1" ht="14.4" customHeight="1">
      <c r="A271" s="1208"/>
      <c r="B271" s="1199">
        <v>1</v>
      </c>
      <c r="C271" s="1205" t="s">
        <v>3159</v>
      </c>
      <c r="D271" s="1429"/>
      <c r="E271" s="1430"/>
      <c r="F271" s="1430"/>
    </row>
    <row r="272" spans="1:6" customFormat="1" ht="14.4" customHeight="1">
      <c r="A272" s="1208"/>
      <c r="B272" s="1199">
        <v>1</v>
      </c>
      <c r="C272" s="1205" t="s">
        <v>3160</v>
      </c>
      <c r="D272" s="1429"/>
      <c r="E272" s="1430"/>
      <c r="F272" s="1430"/>
    </row>
    <row r="273" spans="1:6" customFormat="1" ht="14.4" customHeight="1">
      <c r="A273" s="687"/>
      <c r="B273" s="1193"/>
      <c r="C273" s="1202" t="s">
        <v>729</v>
      </c>
      <c r="D273" s="1426"/>
      <c r="E273" s="1428"/>
      <c r="F273" s="1428"/>
    </row>
    <row r="274" spans="1:6" customFormat="1" ht="14.4" customHeight="1">
      <c r="A274" s="1207"/>
      <c r="B274" s="1194">
        <v>2</v>
      </c>
      <c r="C274" s="1201" t="s">
        <v>3376</v>
      </c>
      <c r="D274" s="1426"/>
      <c r="E274" s="1427"/>
      <c r="F274" s="1427"/>
    </row>
    <row r="275" spans="1:6" customFormat="1" ht="26.4">
      <c r="A275" s="687"/>
      <c r="B275" s="1195">
        <v>3</v>
      </c>
      <c r="C275" s="1206" t="s">
        <v>7374</v>
      </c>
      <c r="D275" s="1426"/>
      <c r="E275" s="1428"/>
      <c r="F275" s="1428"/>
    </row>
    <row r="276" spans="1:6" customFormat="1" ht="14.4" customHeight="1">
      <c r="A276" s="1208"/>
      <c r="B276" s="1199">
        <v>1</v>
      </c>
      <c r="C276" s="1205" t="s">
        <v>3366</v>
      </c>
      <c r="D276" s="1429"/>
      <c r="E276" s="1430"/>
      <c r="F276" s="1430"/>
    </row>
    <row r="277" spans="1:6" customFormat="1" ht="14.4" customHeight="1">
      <c r="A277" s="687"/>
      <c r="B277" s="1195">
        <v>1</v>
      </c>
      <c r="C277" s="1191" t="s">
        <v>2433</v>
      </c>
      <c r="D277" s="1426"/>
      <c r="E277" s="1428"/>
      <c r="F277" s="1428"/>
    </row>
    <row r="278" spans="1:6" customFormat="1" ht="26.4">
      <c r="A278" s="687"/>
      <c r="B278" s="1195">
        <v>1</v>
      </c>
      <c r="C278" s="1206" t="s">
        <v>1425</v>
      </c>
      <c r="D278" s="1426"/>
      <c r="E278" s="1428"/>
      <c r="F278" s="1428"/>
    </row>
    <row r="279" spans="1:6" customFormat="1" ht="14.4" customHeight="1">
      <c r="A279" s="687"/>
      <c r="B279" s="1193"/>
      <c r="C279" s="1202" t="s">
        <v>729</v>
      </c>
      <c r="D279" s="1426"/>
      <c r="E279" s="1428"/>
      <c r="F279" s="1428"/>
    </row>
    <row r="280" spans="1:6" customFormat="1" ht="14.4" customHeight="1">
      <c r="A280" s="1207"/>
      <c r="B280" s="1194">
        <v>3</v>
      </c>
      <c r="C280" s="1201" t="s">
        <v>3356</v>
      </c>
      <c r="D280" s="1426"/>
      <c r="E280" s="1427"/>
      <c r="F280" s="1427"/>
    </row>
    <row r="281" spans="1:6" customFormat="1" ht="14.4" customHeight="1">
      <c r="A281" s="1208"/>
      <c r="B281" s="1199">
        <v>1</v>
      </c>
      <c r="C281" s="1205" t="s">
        <v>3357</v>
      </c>
      <c r="D281" s="1429"/>
      <c r="E281" s="1430"/>
      <c r="F281" s="1430"/>
    </row>
    <row r="282" spans="1:6" customFormat="1" ht="14.4" customHeight="1">
      <c r="A282" s="1208"/>
      <c r="B282" s="1199">
        <v>1</v>
      </c>
      <c r="C282" s="1205" t="s">
        <v>3358</v>
      </c>
      <c r="D282" s="1429"/>
      <c r="E282" s="1430"/>
      <c r="F282" s="1430"/>
    </row>
    <row r="283" spans="1:6" customFormat="1" ht="14.4" customHeight="1">
      <c r="A283" s="1208"/>
      <c r="B283" s="1199">
        <v>1</v>
      </c>
      <c r="C283" s="1205" t="s">
        <v>3359</v>
      </c>
      <c r="D283" s="1429"/>
      <c r="E283" s="1430"/>
      <c r="F283" s="1430"/>
    </row>
    <row r="284" spans="1:6" customFormat="1" ht="14.4" customHeight="1">
      <c r="A284" s="1208"/>
      <c r="B284" s="1199">
        <v>1</v>
      </c>
      <c r="C284" s="1205" t="s">
        <v>3360</v>
      </c>
      <c r="D284" s="1429"/>
      <c r="E284" s="1430"/>
      <c r="F284" s="1430"/>
    </row>
    <row r="285" spans="1:6" customFormat="1" ht="14.4" customHeight="1">
      <c r="A285" s="1208"/>
      <c r="B285" s="1199">
        <v>1</v>
      </c>
      <c r="C285" s="1205" t="s">
        <v>3361</v>
      </c>
      <c r="D285" s="1429"/>
      <c r="E285" s="1430"/>
      <c r="F285" s="1430"/>
    </row>
    <row r="286" spans="1:6" customFormat="1" ht="14.4" customHeight="1">
      <c r="A286" s="687"/>
      <c r="B286" s="1193"/>
      <c r="C286" s="1202" t="s">
        <v>729</v>
      </c>
      <c r="D286" s="1426"/>
      <c r="E286" s="1428"/>
      <c r="F286" s="1428"/>
    </row>
    <row r="287" spans="1:6" customFormat="1" ht="14.4" customHeight="1">
      <c r="A287" s="693"/>
      <c r="B287" s="1283">
        <v>1</v>
      </c>
      <c r="C287" s="1198" t="s">
        <v>316</v>
      </c>
      <c r="D287" s="1436"/>
      <c r="E287" s="1437"/>
      <c r="F287" s="1437"/>
    </row>
    <row r="288" spans="1:6" customFormat="1" ht="14.4" customHeight="1">
      <c r="A288" s="693"/>
      <c r="B288" s="1283">
        <v>1</v>
      </c>
      <c r="C288" s="1198" t="s">
        <v>2908</v>
      </c>
      <c r="D288" s="1436"/>
      <c r="E288" s="1437"/>
      <c r="F288" s="1437"/>
    </row>
    <row r="289" spans="1:6" customFormat="1" ht="14.4" customHeight="1">
      <c r="A289" s="1209"/>
      <c r="B289" s="1197">
        <v>1</v>
      </c>
      <c r="C289" s="1203" t="s">
        <v>6071</v>
      </c>
      <c r="D289" s="1426"/>
      <c r="E289" s="1428"/>
      <c r="F289" s="1428"/>
    </row>
    <row r="290" spans="1:6" customFormat="1" ht="14.4" customHeight="1" thickBot="1">
      <c r="A290" s="699"/>
      <c r="B290" s="1296"/>
      <c r="C290" s="1305"/>
      <c r="D290" s="1438"/>
      <c r="E290" s="1439"/>
      <c r="F290" s="1439"/>
    </row>
    <row r="291" spans="1:6" s="61" customFormat="1" ht="20.100000000000001" customHeight="1" thickBot="1">
      <c r="A291" s="920">
        <v>4</v>
      </c>
      <c r="B291" s="1314">
        <v>1</v>
      </c>
      <c r="C291" s="1217" t="s">
        <v>3450</v>
      </c>
      <c r="D291" s="1424">
        <v>161127</v>
      </c>
      <c r="E291" s="1425"/>
      <c r="F291" s="1425">
        <v>161127</v>
      </c>
    </row>
    <row r="292" spans="1:6" customFormat="1" ht="14.4" customHeight="1">
      <c r="A292" s="685" t="s">
        <v>3162</v>
      </c>
      <c r="B292" s="1290"/>
      <c r="C292" s="1302"/>
      <c r="D292" s="1433"/>
      <c r="E292" s="1434"/>
      <c r="F292" s="1434"/>
    </row>
    <row r="293" spans="1:6" customFormat="1" ht="14.4" customHeight="1">
      <c r="A293" s="687" t="s">
        <v>3400</v>
      </c>
      <c r="B293" s="1283"/>
      <c r="C293" s="1201" t="s">
        <v>3158</v>
      </c>
      <c r="D293" s="1433"/>
      <c r="E293" s="1435"/>
      <c r="F293" s="1435"/>
    </row>
    <row r="294" spans="1:6" customFormat="1" ht="26.4">
      <c r="A294" s="687"/>
      <c r="B294" s="1283">
        <v>1</v>
      </c>
      <c r="C294" s="1204" t="s">
        <v>4575</v>
      </c>
      <c r="D294" s="1433"/>
      <c r="E294" s="1435"/>
      <c r="F294" s="1435"/>
    </row>
    <row r="295" spans="1:6" customFormat="1" ht="14.4" customHeight="1">
      <c r="A295" s="687"/>
      <c r="B295" s="1293"/>
      <c r="C295" s="1303" t="s">
        <v>2654</v>
      </c>
      <c r="D295" s="1433"/>
      <c r="E295" s="1435"/>
      <c r="F295" s="1435"/>
    </row>
    <row r="296" spans="1:6" customFormat="1" ht="26.4">
      <c r="A296" s="692" t="s">
        <v>6037</v>
      </c>
      <c r="B296" s="1283">
        <v>19</v>
      </c>
      <c r="C296" s="1204" t="s">
        <v>4382</v>
      </c>
      <c r="D296" s="1433"/>
      <c r="E296" s="1434"/>
      <c r="F296" s="1434"/>
    </row>
    <row r="297" spans="1:6" customFormat="1" ht="26.4">
      <c r="A297" s="693"/>
      <c r="B297" s="1283">
        <v>1</v>
      </c>
      <c r="C297" s="1204" t="s">
        <v>4381</v>
      </c>
      <c r="D297" s="1433"/>
      <c r="E297" s="1434"/>
      <c r="F297" s="1434"/>
    </row>
    <row r="298" spans="1:6" customFormat="1" ht="14.4" customHeight="1">
      <c r="A298" s="698"/>
      <c r="B298" s="1283">
        <v>3</v>
      </c>
      <c r="C298" s="1304" t="s">
        <v>2935</v>
      </c>
      <c r="D298" s="1433"/>
      <c r="E298" s="1435"/>
      <c r="F298" s="1435"/>
    </row>
    <row r="299" spans="1:6" customFormat="1" ht="14.4" customHeight="1">
      <c r="A299" s="693" t="s">
        <v>3190</v>
      </c>
      <c r="B299" s="1293"/>
      <c r="C299" s="1303" t="s">
        <v>3063</v>
      </c>
      <c r="D299" s="1433"/>
      <c r="E299" s="1435"/>
      <c r="F299" s="1435"/>
    </row>
    <row r="300" spans="1:6" customFormat="1" ht="26.4">
      <c r="A300" s="928" t="s">
        <v>3314</v>
      </c>
      <c r="B300" s="1283">
        <v>1</v>
      </c>
      <c r="C300" s="1204" t="s">
        <v>4714</v>
      </c>
      <c r="D300" s="1433"/>
      <c r="E300" s="1434"/>
      <c r="F300" s="1434"/>
    </row>
    <row r="301" spans="1:6" customFormat="1" ht="14.4" customHeight="1">
      <c r="A301" s="928" t="s">
        <v>3315</v>
      </c>
      <c r="B301" s="1197">
        <v>1</v>
      </c>
      <c r="C301" s="1203" t="s">
        <v>5176</v>
      </c>
      <c r="D301" s="1429"/>
      <c r="E301" s="1430"/>
      <c r="F301" s="1430"/>
    </row>
    <row r="302" spans="1:6" customFormat="1" ht="14.4" customHeight="1">
      <c r="A302" s="928"/>
      <c r="B302" s="1197">
        <v>1</v>
      </c>
      <c r="C302" s="1203" t="s">
        <v>3426</v>
      </c>
      <c r="D302" s="1429"/>
      <c r="E302" s="1430"/>
      <c r="F302" s="1430"/>
    </row>
    <row r="303" spans="1:6" customFormat="1" ht="14.4" customHeight="1">
      <c r="A303" s="693" t="s">
        <v>3819</v>
      </c>
      <c r="B303" s="1197">
        <v>1</v>
      </c>
      <c r="C303" s="1203" t="s">
        <v>6042</v>
      </c>
      <c r="D303" s="1429"/>
      <c r="E303" s="1430"/>
      <c r="F303" s="1430"/>
    </row>
    <row r="304" spans="1:6" customFormat="1" ht="14.4" customHeight="1">
      <c r="A304" s="692"/>
      <c r="B304" s="1193"/>
      <c r="C304" s="1202" t="s">
        <v>729</v>
      </c>
      <c r="D304" s="1426"/>
      <c r="E304" s="1428"/>
      <c r="F304" s="1428"/>
    </row>
    <row r="305" spans="1:6" customFormat="1" ht="14.4" customHeight="1">
      <c r="A305" s="693"/>
      <c r="B305" s="1294">
        <v>1</v>
      </c>
      <c r="C305" s="1303" t="s">
        <v>6072</v>
      </c>
      <c r="D305" s="1426"/>
      <c r="E305" s="1428"/>
      <c r="F305" s="1428"/>
    </row>
    <row r="306" spans="1:6" customFormat="1" ht="14.4" customHeight="1">
      <c r="A306" s="692"/>
      <c r="B306" s="1199">
        <v>1</v>
      </c>
      <c r="C306" s="1205" t="s">
        <v>3378</v>
      </c>
      <c r="D306" s="1429"/>
      <c r="E306" s="1430"/>
      <c r="F306" s="1430"/>
    </row>
    <row r="307" spans="1:6" customFormat="1" ht="14.4" customHeight="1">
      <c r="A307" s="687"/>
      <c r="B307" s="1195">
        <v>1</v>
      </c>
      <c r="C307" s="1191" t="s">
        <v>2298</v>
      </c>
      <c r="D307" s="1426"/>
      <c r="E307" s="1427"/>
      <c r="F307" s="1427"/>
    </row>
    <row r="308" spans="1:6" customFormat="1" ht="26.4">
      <c r="A308" s="687"/>
      <c r="B308" s="1195">
        <v>1</v>
      </c>
      <c r="C308" s="1206" t="s">
        <v>2304</v>
      </c>
      <c r="D308" s="1426"/>
      <c r="E308" s="1427"/>
      <c r="F308" s="1427"/>
    </row>
    <row r="309" spans="1:6" customFormat="1" ht="26.4">
      <c r="A309" s="687"/>
      <c r="B309" s="1195">
        <v>1</v>
      </c>
      <c r="C309" s="1206" t="s">
        <v>7374</v>
      </c>
      <c r="D309" s="1426"/>
      <c r="E309" s="1427"/>
      <c r="F309" s="1427"/>
    </row>
    <row r="310" spans="1:6" customFormat="1" ht="26.4">
      <c r="A310" s="687"/>
      <c r="B310" s="1195">
        <v>1</v>
      </c>
      <c r="C310" s="1206" t="s">
        <v>7375</v>
      </c>
      <c r="D310" s="1426"/>
      <c r="E310" s="1427"/>
      <c r="F310" s="1427"/>
    </row>
    <row r="311" spans="1:6" customFormat="1" ht="26.4">
      <c r="A311" s="687"/>
      <c r="B311" s="1195">
        <v>1</v>
      </c>
      <c r="C311" s="1206" t="s">
        <v>2436</v>
      </c>
      <c r="D311" s="1426"/>
      <c r="E311" s="1427"/>
      <c r="F311" s="1427"/>
    </row>
    <row r="312" spans="1:6" customFormat="1" ht="26.4">
      <c r="A312" s="687"/>
      <c r="B312" s="1195">
        <v>1</v>
      </c>
      <c r="C312" s="1206" t="s">
        <v>4660</v>
      </c>
      <c r="D312" s="1426"/>
      <c r="E312" s="1427"/>
      <c r="F312" s="1427"/>
    </row>
    <row r="313" spans="1:6" customFormat="1" ht="14.4" customHeight="1">
      <c r="A313" s="687"/>
      <c r="B313" s="1195">
        <v>2</v>
      </c>
      <c r="C313" s="1191" t="s">
        <v>8386</v>
      </c>
      <c r="D313" s="1426"/>
      <c r="E313" s="1427"/>
      <c r="F313" s="1427"/>
    </row>
    <row r="314" spans="1:6" customFormat="1" ht="14.4" customHeight="1">
      <c r="A314" s="1208"/>
      <c r="B314" s="1199">
        <v>1</v>
      </c>
      <c r="C314" s="1205" t="s">
        <v>3379</v>
      </c>
      <c r="D314" s="1429"/>
      <c r="E314" s="1430"/>
      <c r="F314" s="1430"/>
    </row>
    <row r="315" spans="1:6" customFormat="1" ht="14.4" customHeight="1">
      <c r="A315" s="691"/>
      <c r="B315" s="1193"/>
      <c r="C315" s="1202" t="s">
        <v>729</v>
      </c>
      <c r="D315" s="1426"/>
      <c r="E315" s="1428"/>
      <c r="F315" s="1428"/>
    </row>
    <row r="316" spans="1:6" customFormat="1" ht="14.4" customHeight="1">
      <c r="A316" s="913"/>
      <c r="B316" s="1294">
        <v>19</v>
      </c>
      <c r="C316" s="1201" t="s">
        <v>3451</v>
      </c>
      <c r="D316" s="1426"/>
      <c r="E316" s="1427"/>
      <c r="F316" s="1427"/>
    </row>
    <row r="317" spans="1:6" customFormat="1" ht="26.4">
      <c r="A317" s="693"/>
      <c r="B317" s="1195">
        <v>2</v>
      </c>
      <c r="C317" s="1206" t="s">
        <v>6732</v>
      </c>
      <c r="D317" s="1426"/>
      <c r="E317" s="1428"/>
      <c r="F317" s="1428"/>
    </row>
    <row r="318" spans="1:6" customFormat="1" ht="14.4" customHeight="1">
      <c r="A318" s="1208"/>
      <c r="B318" s="1199">
        <v>1</v>
      </c>
      <c r="C318" s="1205" t="s">
        <v>3453</v>
      </c>
      <c r="D318" s="1429"/>
      <c r="E318" s="1430"/>
      <c r="F318" s="1430"/>
    </row>
    <row r="319" spans="1:6" customFormat="1" ht="14.4" customHeight="1">
      <c r="A319" s="691"/>
      <c r="B319" s="1193"/>
      <c r="C319" s="1202" t="s">
        <v>729</v>
      </c>
      <c r="D319" s="1426"/>
      <c r="E319" s="1428"/>
      <c r="F319" s="1428"/>
    </row>
    <row r="320" spans="1:6" customFormat="1" ht="14.4" customHeight="1">
      <c r="A320" s="913"/>
      <c r="B320" s="1194">
        <v>1</v>
      </c>
      <c r="C320" s="1201" t="s">
        <v>6047</v>
      </c>
      <c r="D320" s="1426"/>
      <c r="E320" s="1427"/>
      <c r="F320" s="1427"/>
    </row>
    <row r="321" spans="1:6" customFormat="1" ht="26.4">
      <c r="A321" s="693"/>
      <c r="B321" s="1195">
        <v>1</v>
      </c>
      <c r="C321" s="1206" t="s">
        <v>3301</v>
      </c>
      <c r="D321" s="1426"/>
      <c r="E321" s="1428"/>
      <c r="F321" s="1428"/>
    </row>
    <row r="322" spans="1:6" customFormat="1" ht="14.4" customHeight="1">
      <c r="A322" s="691"/>
      <c r="B322" s="1195">
        <v>3</v>
      </c>
      <c r="C322" s="1191" t="s">
        <v>429</v>
      </c>
      <c r="D322" s="1426"/>
      <c r="E322" s="1428"/>
      <c r="F322" s="1428"/>
    </row>
    <row r="323" spans="1:6" customFormat="1" ht="14.4" customHeight="1">
      <c r="A323" s="1208"/>
      <c r="B323" s="1199">
        <v>1</v>
      </c>
      <c r="C323" s="1205" t="s">
        <v>3159</v>
      </c>
      <c r="D323" s="1429"/>
      <c r="E323" s="1430"/>
      <c r="F323" s="1430"/>
    </row>
    <row r="324" spans="1:6" customFormat="1" ht="14.4" customHeight="1">
      <c r="A324" s="1208"/>
      <c r="B324" s="1199">
        <v>1</v>
      </c>
      <c r="C324" s="1205" t="s">
        <v>3160</v>
      </c>
      <c r="D324" s="1429"/>
      <c r="E324" s="1430"/>
      <c r="F324" s="1430"/>
    </row>
    <row r="325" spans="1:6" customFormat="1" ht="14.4" customHeight="1">
      <c r="A325" s="687"/>
      <c r="B325" s="1193"/>
      <c r="C325" s="1202" t="s">
        <v>729</v>
      </c>
      <c r="D325" s="1426"/>
      <c r="E325" s="1428"/>
      <c r="F325" s="1428"/>
    </row>
    <row r="326" spans="1:6" customFormat="1" ht="14.4" customHeight="1">
      <c r="A326" s="913"/>
      <c r="B326" s="1194">
        <v>19</v>
      </c>
      <c r="C326" s="1201" t="s">
        <v>6046</v>
      </c>
      <c r="D326" s="1426"/>
      <c r="E326" s="1427"/>
      <c r="F326" s="1427"/>
    </row>
    <row r="327" spans="1:6" customFormat="1" ht="26.4">
      <c r="A327" s="693"/>
      <c r="B327" s="1195">
        <v>1</v>
      </c>
      <c r="C327" s="1206" t="s">
        <v>4244</v>
      </c>
      <c r="D327" s="1426"/>
      <c r="E327" s="1428"/>
      <c r="F327" s="1428"/>
    </row>
    <row r="328" spans="1:6" customFormat="1" ht="14.4" customHeight="1">
      <c r="A328" s="691"/>
      <c r="B328" s="1195">
        <v>3</v>
      </c>
      <c r="C328" s="1191" t="s">
        <v>434</v>
      </c>
      <c r="D328" s="1426"/>
      <c r="E328" s="1428"/>
      <c r="F328" s="1428"/>
    </row>
    <row r="329" spans="1:6" customFormat="1" ht="14.4" customHeight="1">
      <c r="A329" s="1208"/>
      <c r="B329" s="1199">
        <v>1</v>
      </c>
      <c r="C329" s="1205" t="s">
        <v>3159</v>
      </c>
      <c r="D329" s="1429"/>
      <c r="E329" s="1430"/>
      <c r="F329" s="1430"/>
    </row>
    <row r="330" spans="1:6" customFormat="1" ht="14.4" customHeight="1">
      <c r="A330" s="1208"/>
      <c r="B330" s="1199">
        <v>1</v>
      </c>
      <c r="C330" s="1205" t="s">
        <v>3160</v>
      </c>
      <c r="D330" s="1429"/>
      <c r="E330" s="1430"/>
      <c r="F330" s="1430"/>
    </row>
    <row r="331" spans="1:6" customFormat="1" ht="14.4" customHeight="1">
      <c r="A331" s="687"/>
      <c r="B331" s="1193"/>
      <c r="C331" s="1202" t="s">
        <v>729</v>
      </c>
      <c r="D331" s="1426"/>
      <c r="E331" s="1428"/>
      <c r="F331" s="1428"/>
    </row>
    <row r="332" spans="1:6" customFormat="1" ht="14.4" customHeight="1">
      <c r="A332" s="693"/>
      <c r="B332" s="1194">
        <v>1</v>
      </c>
      <c r="C332" s="1201" t="s">
        <v>5103</v>
      </c>
      <c r="D332" s="1426"/>
      <c r="E332" s="1427"/>
      <c r="F332" s="1427"/>
    </row>
    <row r="333" spans="1:6" customFormat="1" ht="26.4">
      <c r="A333" s="687"/>
      <c r="B333" s="1195">
        <v>3</v>
      </c>
      <c r="C333" s="1206" t="s">
        <v>7374</v>
      </c>
      <c r="D333" s="1426"/>
      <c r="E333" s="1428"/>
      <c r="F333" s="1428"/>
    </row>
    <row r="334" spans="1:6" customFormat="1" ht="14.4" customHeight="1">
      <c r="A334" s="1208"/>
      <c r="B334" s="1199">
        <v>1</v>
      </c>
      <c r="C334" s="1205" t="s">
        <v>3366</v>
      </c>
      <c r="D334" s="1429"/>
      <c r="E334" s="1430"/>
      <c r="F334" s="1430"/>
    </row>
    <row r="335" spans="1:6" customFormat="1" ht="14.4" customHeight="1">
      <c r="A335" s="687"/>
      <c r="B335" s="1193"/>
      <c r="C335" s="1202" t="s">
        <v>729</v>
      </c>
      <c r="D335" s="1426"/>
      <c r="E335" s="1428"/>
      <c r="F335" s="1428"/>
    </row>
    <row r="336" spans="1:6" customFormat="1" ht="14.4" customHeight="1">
      <c r="A336" s="1207"/>
      <c r="B336" s="1194">
        <v>2</v>
      </c>
      <c r="C336" s="1201" t="s">
        <v>3356</v>
      </c>
      <c r="D336" s="1426"/>
      <c r="E336" s="1427"/>
      <c r="F336" s="1427"/>
    </row>
    <row r="337" spans="1:6" customFormat="1" ht="14.4" customHeight="1">
      <c r="A337" s="1208"/>
      <c r="B337" s="1199">
        <v>1</v>
      </c>
      <c r="C337" s="1205" t="s">
        <v>3357</v>
      </c>
      <c r="D337" s="1429"/>
      <c r="E337" s="1430"/>
      <c r="F337" s="1430"/>
    </row>
    <row r="338" spans="1:6" customFormat="1" ht="14.4" customHeight="1">
      <c r="A338" s="1208"/>
      <c r="B338" s="1199">
        <v>1</v>
      </c>
      <c r="C338" s="1205" t="s">
        <v>3358</v>
      </c>
      <c r="D338" s="1429"/>
      <c r="E338" s="1430"/>
      <c r="F338" s="1430"/>
    </row>
    <row r="339" spans="1:6" customFormat="1" ht="14.4" customHeight="1">
      <c r="A339" s="1208"/>
      <c r="B339" s="1199">
        <v>1</v>
      </c>
      <c r="C339" s="1205" t="s">
        <v>3359</v>
      </c>
      <c r="D339" s="1429"/>
      <c r="E339" s="1430"/>
      <c r="F339" s="1430"/>
    </row>
    <row r="340" spans="1:6" customFormat="1" ht="14.4" customHeight="1">
      <c r="A340" s="1208"/>
      <c r="B340" s="1199">
        <v>1</v>
      </c>
      <c r="C340" s="1205" t="s">
        <v>3360</v>
      </c>
      <c r="D340" s="1429"/>
      <c r="E340" s="1430"/>
      <c r="F340" s="1430"/>
    </row>
    <row r="341" spans="1:6" customFormat="1" ht="14.4" customHeight="1">
      <c r="A341" s="1208"/>
      <c r="B341" s="1199">
        <v>1</v>
      </c>
      <c r="C341" s="1205" t="s">
        <v>3361</v>
      </c>
      <c r="D341" s="1429"/>
      <c r="E341" s="1430"/>
      <c r="F341" s="1430"/>
    </row>
    <row r="342" spans="1:6" customFormat="1" ht="14.4" customHeight="1">
      <c r="A342" s="687"/>
      <c r="B342" s="1193"/>
      <c r="C342" s="1202" t="s">
        <v>729</v>
      </c>
      <c r="D342" s="1426"/>
      <c r="E342" s="1428"/>
      <c r="F342" s="1428"/>
    </row>
    <row r="343" spans="1:6" customFormat="1" ht="14.4" customHeight="1">
      <c r="A343" s="693"/>
      <c r="B343" s="1283">
        <v>1</v>
      </c>
      <c r="C343" s="1198" t="s">
        <v>316</v>
      </c>
      <c r="D343" s="1436"/>
      <c r="E343" s="1437"/>
      <c r="F343" s="1437"/>
    </row>
    <row r="344" spans="1:6" customFormat="1" ht="14.4" customHeight="1">
      <c r="A344" s="693"/>
      <c r="B344" s="1283">
        <v>1</v>
      </c>
      <c r="C344" s="1198" t="s">
        <v>2908</v>
      </c>
      <c r="D344" s="1436"/>
      <c r="E344" s="1437"/>
      <c r="F344" s="1437"/>
    </row>
    <row r="345" spans="1:6" customFormat="1" ht="14.4" customHeight="1" thickBot="1">
      <c r="A345" s="699"/>
      <c r="B345" s="1296"/>
      <c r="C345" s="1305"/>
      <c r="D345" s="1438"/>
      <c r="E345" s="1439"/>
      <c r="F345" s="1439"/>
    </row>
    <row r="346" spans="1:6" s="61" customFormat="1" ht="20.100000000000001" customHeight="1" thickBot="1">
      <c r="A346" s="920">
        <v>5</v>
      </c>
      <c r="B346" s="1314">
        <v>1</v>
      </c>
      <c r="C346" s="1217" t="s">
        <v>3455</v>
      </c>
      <c r="D346" s="1424">
        <v>149824</v>
      </c>
      <c r="E346" s="1425"/>
      <c r="F346" s="1425">
        <v>149824</v>
      </c>
    </row>
    <row r="347" spans="1:6" customFormat="1" ht="14.4" customHeight="1">
      <c r="A347" s="685" t="s">
        <v>3162</v>
      </c>
      <c r="B347" s="1290"/>
      <c r="C347" s="1302"/>
      <c r="D347" s="1433"/>
      <c r="E347" s="1434"/>
      <c r="F347" s="1434"/>
    </row>
    <row r="348" spans="1:6" customFormat="1" ht="14.4" customHeight="1">
      <c r="A348" s="687" t="s">
        <v>3400</v>
      </c>
      <c r="B348" s="1283"/>
      <c r="C348" s="1201" t="s">
        <v>3158</v>
      </c>
      <c r="D348" s="1433"/>
      <c r="E348" s="1435"/>
      <c r="F348" s="1435"/>
    </row>
    <row r="349" spans="1:6" customFormat="1" ht="26.4">
      <c r="A349" s="687"/>
      <c r="B349" s="1283">
        <v>1</v>
      </c>
      <c r="C349" s="1204" t="s">
        <v>4610</v>
      </c>
      <c r="D349" s="1433"/>
      <c r="E349" s="1435"/>
      <c r="F349" s="1435"/>
    </row>
    <row r="350" spans="1:6" customFormat="1" ht="14.4" customHeight="1">
      <c r="A350" s="687"/>
      <c r="B350" s="1293"/>
      <c r="C350" s="1303" t="s">
        <v>2654</v>
      </c>
      <c r="D350" s="1433"/>
      <c r="E350" s="1435"/>
      <c r="F350" s="1435"/>
    </row>
    <row r="351" spans="1:6" customFormat="1" ht="26.4">
      <c r="A351" s="692" t="s">
        <v>6037</v>
      </c>
      <c r="B351" s="1283">
        <v>1</v>
      </c>
      <c r="C351" s="1204" t="s">
        <v>4484</v>
      </c>
      <c r="D351" s="1433"/>
      <c r="E351" s="1434"/>
      <c r="F351" s="1434"/>
    </row>
    <row r="352" spans="1:6" customFormat="1" ht="26.4">
      <c r="A352" s="693"/>
      <c r="B352" s="1283">
        <v>1</v>
      </c>
      <c r="C352" s="1204" t="s">
        <v>4386</v>
      </c>
      <c r="D352" s="1433"/>
      <c r="E352" s="1434"/>
      <c r="F352" s="1434"/>
    </row>
    <row r="353" spans="1:6" customFormat="1" ht="26.4">
      <c r="A353" s="698"/>
      <c r="B353" s="1283">
        <v>2</v>
      </c>
      <c r="C353" s="1204" t="s">
        <v>4385</v>
      </c>
      <c r="D353" s="1433"/>
      <c r="E353" s="1434"/>
      <c r="F353" s="1434"/>
    </row>
    <row r="354" spans="1:6" customFormat="1" ht="26.4">
      <c r="A354" s="693" t="s">
        <v>3190</v>
      </c>
      <c r="B354" s="1283">
        <v>6</v>
      </c>
      <c r="C354" s="1204" t="s">
        <v>4384</v>
      </c>
      <c r="D354" s="1433"/>
      <c r="E354" s="1434"/>
      <c r="F354" s="1434"/>
    </row>
    <row r="355" spans="1:6" customFormat="1" ht="26.4">
      <c r="A355" s="928" t="s">
        <v>3314</v>
      </c>
      <c r="B355" s="1283">
        <v>1</v>
      </c>
      <c r="C355" s="1204" t="s">
        <v>4383</v>
      </c>
      <c r="D355" s="1433"/>
      <c r="E355" s="1434"/>
      <c r="F355" s="1434"/>
    </row>
    <row r="356" spans="1:6" customFormat="1" ht="26.4">
      <c r="A356" s="928" t="s">
        <v>3315</v>
      </c>
      <c r="B356" s="1283">
        <v>6</v>
      </c>
      <c r="C356" s="1204" t="s">
        <v>4382</v>
      </c>
      <c r="D356" s="1433"/>
      <c r="E356" s="1434"/>
      <c r="F356" s="1434"/>
    </row>
    <row r="357" spans="1:6" customFormat="1" ht="26.4">
      <c r="A357" s="928"/>
      <c r="B357" s="1283">
        <v>1</v>
      </c>
      <c r="C357" s="1204" t="s">
        <v>4381</v>
      </c>
      <c r="D357" s="1433"/>
      <c r="E357" s="1434"/>
      <c r="F357" s="1434"/>
    </row>
    <row r="358" spans="1:6" customFormat="1" ht="14.4" customHeight="1">
      <c r="A358" s="928"/>
      <c r="B358" s="1283">
        <v>2</v>
      </c>
      <c r="C358" s="1304" t="s">
        <v>2935</v>
      </c>
      <c r="D358" s="1433"/>
      <c r="E358" s="1435"/>
      <c r="F358" s="1435"/>
    </row>
    <row r="359" spans="1:6" customFormat="1" ht="14.4" customHeight="1">
      <c r="A359" s="928"/>
      <c r="B359" s="1293"/>
      <c r="C359" s="1303" t="s">
        <v>3063</v>
      </c>
      <c r="D359" s="1433"/>
      <c r="E359" s="1435"/>
      <c r="F359" s="1435"/>
    </row>
    <row r="360" spans="1:6" customFormat="1" ht="26.4">
      <c r="A360" s="928"/>
      <c r="B360" s="1283">
        <v>1</v>
      </c>
      <c r="C360" s="1204" t="s">
        <v>4714</v>
      </c>
      <c r="D360" s="1433"/>
      <c r="E360" s="1434"/>
      <c r="F360" s="1434"/>
    </row>
    <row r="361" spans="1:6" customFormat="1" ht="14.4" customHeight="1">
      <c r="A361" s="928"/>
      <c r="B361" s="1197">
        <v>1</v>
      </c>
      <c r="C361" s="1203" t="s">
        <v>5176</v>
      </c>
      <c r="D361" s="1429"/>
      <c r="E361" s="1430"/>
      <c r="F361" s="1430"/>
    </row>
    <row r="362" spans="1:6" customFormat="1" ht="14.4" customHeight="1">
      <c r="A362" s="693"/>
      <c r="B362" s="1197">
        <v>1</v>
      </c>
      <c r="C362" s="1203" t="s">
        <v>3426</v>
      </c>
      <c r="D362" s="1429"/>
      <c r="E362" s="1430"/>
      <c r="F362" s="1430"/>
    </row>
    <row r="363" spans="1:6" customFormat="1" ht="14.4" customHeight="1">
      <c r="A363" s="692"/>
      <c r="B363" s="1197">
        <v>1</v>
      </c>
      <c r="C363" s="1203" t="s">
        <v>6042</v>
      </c>
      <c r="D363" s="1429"/>
      <c r="E363" s="1430"/>
      <c r="F363" s="1430"/>
    </row>
    <row r="364" spans="1:6" customFormat="1" ht="14.4" customHeight="1">
      <c r="A364" s="691"/>
      <c r="B364" s="1193"/>
      <c r="C364" s="1202" t="s">
        <v>729</v>
      </c>
      <c r="D364" s="1426"/>
      <c r="E364" s="1428"/>
      <c r="F364" s="1428"/>
    </row>
    <row r="365" spans="1:6" customFormat="1" ht="14.4" customHeight="1">
      <c r="A365" s="693"/>
      <c r="B365" s="1294">
        <v>1</v>
      </c>
      <c r="C365" s="1303" t="s">
        <v>5104</v>
      </c>
      <c r="D365" s="1426"/>
      <c r="E365" s="1428"/>
      <c r="F365" s="1428"/>
    </row>
    <row r="366" spans="1:6" customFormat="1" ht="14.4" customHeight="1">
      <c r="A366" s="692"/>
      <c r="B366" s="1199">
        <v>1</v>
      </c>
      <c r="C366" s="1205" t="s">
        <v>3378</v>
      </c>
      <c r="D366" s="1429"/>
      <c r="E366" s="1430"/>
      <c r="F366" s="1430"/>
    </row>
    <row r="367" spans="1:6" customFormat="1" ht="26.4">
      <c r="A367" s="687"/>
      <c r="B367" s="1195">
        <v>1</v>
      </c>
      <c r="C367" s="1206" t="s">
        <v>2300</v>
      </c>
      <c r="D367" s="1426"/>
      <c r="E367" s="1427"/>
      <c r="F367" s="1427"/>
    </row>
    <row r="368" spans="1:6" customFormat="1" ht="14.4" customHeight="1">
      <c r="A368" s="687"/>
      <c r="B368" s="1195">
        <v>1</v>
      </c>
      <c r="C368" s="1191" t="s">
        <v>4960</v>
      </c>
      <c r="D368" s="1426"/>
      <c r="E368" s="1427"/>
      <c r="F368" s="1427"/>
    </row>
    <row r="369" spans="1:6" customFormat="1" ht="14.4" customHeight="1">
      <c r="A369" s="687"/>
      <c r="B369" s="1195">
        <v>1</v>
      </c>
      <c r="C369" s="1191" t="s">
        <v>4961</v>
      </c>
      <c r="D369" s="1426"/>
      <c r="E369" s="1427"/>
      <c r="F369" s="1427"/>
    </row>
    <row r="370" spans="1:6" customFormat="1" ht="14.4" customHeight="1">
      <c r="A370" s="687"/>
      <c r="B370" s="1195">
        <v>1</v>
      </c>
      <c r="C370" s="1191" t="s">
        <v>2306</v>
      </c>
      <c r="D370" s="1426"/>
      <c r="E370" s="1427"/>
      <c r="F370" s="1427"/>
    </row>
    <row r="371" spans="1:6" customFormat="1" ht="14.4" customHeight="1">
      <c r="A371" s="687"/>
      <c r="B371" s="1195">
        <v>1</v>
      </c>
      <c r="C371" s="1191" t="s">
        <v>2310</v>
      </c>
      <c r="D371" s="1426"/>
      <c r="E371" s="1427"/>
      <c r="F371" s="1427"/>
    </row>
    <row r="372" spans="1:6" customFormat="1" ht="26.4">
      <c r="A372" s="687"/>
      <c r="B372" s="1195">
        <v>1</v>
      </c>
      <c r="C372" s="1206" t="s">
        <v>7374</v>
      </c>
      <c r="D372" s="1426"/>
      <c r="E372" s="1427"/>
      <c r="F372" s="1427"/>
    </row>
    <row r="373" spans="1:6" customFormat="1" ht="26.4">
      <c r="A373" s="687"/>
      <c r="B373" s="1195">
        <v>1</v>
      </c>
      <c r="C373" s="1206" t="s">
        <v>7375</v>
      </c>
      <c r="D373" s="1426"/>
      <c r="E373" s="1427"/>
      <c r="F373" s="1427"/>
    </row>
    <row r="374" spans="1:6" customFormat="1" ht="26.4">
      <c r="A374" s="687"/>
      <c r="B374" s="1195">
        <v>1</v>
      </c>
      <c r="C374" s="1206" t="s">
        <v>2436</v>
      </c>
      <c r="D374" s="1426"/>
      <c r="E374" s="1427"/>
      <c r="F374" s="1427"/>
    </row>
    <row r="375" spans="1:6" customFormat="1" ht="26.4">
      <c r="A375" s="687"/>
      <c r="B375" s="1195">
        <v>1</v>
      </c>
      <c r="C375" s="1206" t="s">
        <v>4660</v>
      </c>
      <c r="D375" s="1426"/>
      <c r="E375" s="1427"/>
      <c r="F375" s="1427"/>
    </row>
    <row r="376" spans="1:6" customFormat="1" ht="14.4" customHeight="1">
      <c r="A376" s="687"/>
      <c r="B376" s="1195">
        <v>2</v>
      </c>
      <c r="C376" s="1191" t="s">
        <v>8386</v>
      </c>
      <c r="D376" s="1426"/>
      <c r="E376" s="1427"/>
      <c r="F376" s="1427"/>
    </row>
    <row r="377" spans="1:6" customFormat="1" ht="14.4" customHeight="1">
      <c r="A377" s="1208"/>
      <c r="B377" s="1199">
        <v>1</v>
      </c>
      <c r="C377" s="1205" t="s">
        <v>3379</v>
      </c>
      <c r="D377" s="1429"/>
      <c r="E377" s="1430"/>
      <c r="F377" s="1430"/>
    </row>
    <row r="378" spans="1:6" customFormat="1" ht="14.4" customHeight="1">
      <c r="A378" s="691"/>
      <c r="B378" s="1193"/>
      <c r="C378" s="1202" t="s">
        <v>729</v>
      </c>
      <c r="D378" s="1426"/>
      <c r="E378" s="1428"/>
      <c r="F378" s="1428"/>
    </row>
    <row r="379" spans="1:6" customFormat="1" ht="14.4" customHeight="1">
      <c r="A379" s="913"/>
      <c r="B379" s="1294">
        <v>17</v>
      </c>
      <c r="C379" s="1201" t="s">
        <v>3451</v>
      </c>
      <c r="D379" s="1426"/>
      <c r="E379" s="1427"/>
      <c r="F379" s="1427"/>
    </row>
    <row r="380" spans="1:6" customFormat="1" ht="26.4">
      <c r="A380" s="693"/>
      <c r="B380" s="1195">
        <v>2</v>
      </c>
      <c r="C380" s="1206" t="s">
        <v>6732</v>
      </c>
      <c r="D380" s="1426"/>
      <c r="E380" s="1428"/>
      <c r="F380" s="1428"/>
    </row>
    <row r="381" spans="1:6" customFormat="1" ht="14.4" customHeight="1">
      <c r="A381" s="1208"/>
      <c r="B381" s="1199">
        <v>1</v>
      </c>
      <c r="C381" s="1205" t="s">
        <v>3453</v>
      </c>
      <c r="D381" s="1429"/>
      <c r="E381" s="1430"/>
      <c r="F381" s="1430"/>
    </row>
    <row r="382" spans="1:6" customFormat="1" ht="14.4" customHeight="1">
      <c r="A382" s="691"/>
      <c r="B382" s="1193"/>
      <c r="C382" s="1202" t="s">
        <v>729</v>
      </c>
      <c r="D382" s="1426"/>
      <c r="E382" s="1428"/>
      <c r="F382" s="1428"/>
    </row>
    <row r="383" spans="1:6" customFormat="1" ht="14.4" customHeight="1">
      <c r="A383" s="913"/>
      <c r="B383" s="1194">
        <v>1</v>
      </c>
      <c r="C383" s="1201" t="s">
        <v>6070</v>
      </c>
      <c r="D383" s="1426"/>
      <c r="E383" s="1427"/>
      <c r="F383" s="1427"/>
    </row>
    <row r="384" spans="1:6" customFormat="1" ht="26.4">
      <c r="A384" s="693"/>
      <c r="B384" s="1195">
        <v>1</v>
      </c>
      <c r="C384" s="1206" t="s">
        <v>3301</v>
      </c>
      <c r="D384" s="1426"/>
      <c r="E384" s="1428"/>
      <c r="F384" s="1428"/>
    </row>
    <row r="385" spans="1:6" customFormat="1" ht="14.4" customHeight="1">
      <c r="A385" s="691"/>
      <c r="B385" s="1195">
        <v>3</v>
      </c>
      <c r="C385" s="1191" t="s">
        <v>426</v>
      </c>
      <c r="D385" s="1426"/>
      <c r="E385" s="1428"/>
      <c r="F385" s="1428"/>
    </row>
    <row r="386" spans="1:6" customFormat="1" ht="14.4" customHeight="1">
      <c r="A386" s="1208"/>
      <c r="B386" s="1199">
        <v>1</v>
      </c>
      <c r="C386" s="1205" t="s">
        <v>3159</v>
      </c>
      <c r="D386" s="1429"/>
      <c r="E386" s="1430"/>
      <c r="F386" s="1430"/>
    </row>
    <row r="387" spans="1:6" customFormat="1" ht="14.4" customHeight="1">
      <c r="A387" s="1208"/>
      <c r="B387" s="1199">
        <v>1</v>
      </c>
      <c r="C387" s="1205" t="s">
        <v>3160</v>
      </c>
      <c r="D387" s="1429"/>
      <c r="E387" s="1430"/>
      <c r="F387" s="1430"/>
    </row>
    <row r="388" spans="1:6" customFormat="1" ht="14.4" customHeight="1">
      <c r="A388" s="687"/>
      <c r="B388" s="1193"/>
      <c r="C388" s="1202" t="s">
        <v>729</v>
      </c>
      <c r="D388" s="1426"/>
      <c r="E388" s="1428"/>
      <c r="F388" s="1428"/>
    </row>
    <row r="389" spans="1:6" customFormat="1" ht="14.4" customHeight="1">
      <c r="A389" s="913"/>
      <c r="B389" s="1194">
        <v>13</v>
      </c>
      <c r="C389" s="1201" t="s">
        <v>6046</v>
      </c>
      <c r="D389" s="1426"/>
      <c r="E389" s="1427"/>
      <c r="F389" s="1427"/>
    </row>
    <row r="390" spans="1:6" customFormat="1" ht="26.4">
      <c r="A390" s="693"/>
      <c r="B390" s="1195">
        <v>1</v>
      </c>
      <c r="C390" s="1206" t="s">
        <v>4244</v>
      </c>
      <c r="D390" s="1426"/>
      <c r="E390" s="1428"/>
      <c r="F390" s="1428"/>
    </row>
    <row r="391" spans="1:6" customFormat="1" ht="14.4" customHeight="1">
      <c r="A391" s="691"/>
      <c r="B391" s="1195">
        <v>3</v>
      </c>
      <c r="C391" s="1191" t="s">
        <v>434</v>
      </c>
      <c r="D391" s="1426"/>
      <c r="E391" s="1428"/>
      <c r="F391" s="1428"/>
    </row>
    <row r="392" spans="1:6" customFormat="1" ht="14.4" customHeight="1">
      <c r="A392" s="1208"/>
      <c r="B392" s="1199">
        <v>1</v>
      </c>
      <c r="C392" s="1205" t="s">
        <v>3159</v>
      </c>
      <c r="D392" s="1429"/>
      <c r="E392" s="1430"/>
      <c r="F392" s="1430"/>
    </row>
    <row r="393" spans="1:6" customFormat="1" ht="14.4" customHeight="1">
      <c r="A393" s="1208"/>
      <c r="B393" s="1199">
        <v>1</v>
      </c>
      <c r="C393" s="1205" t="s">
        <v>3160</v>
      </c>
      <c r="D393" s="1429"/>
      <c r="E393" s="1430"/>
      <c r="F393" s="1430"/>
    </row>
    <row r="394" spans="1:6" customFormat="1" ht="14.4" customHeight="1">
      <c r="A394" s="687"/>
      <c r="B394" s="1193"/>
      <c r="C394" s="1202" t="s">
        <v>729</v>
      </c>
      <c r="D394" s="1426"/>
      <c r="E394" s="1428"/>
      <c r="F394" s="1428"/>
    </row>
    <row r="395" spans="1:6" customFormat="1" ht="14.4" customHeight="1">
      <c r="A395" s="913"/>
      <c r="B395" s="1194">
        <v>1</v>
      </c>
      <c r="C395" s="1201" t="s">
        <v>6073</v>
      </c>
      <c r="D395" s="1426"/>
      <c r="E395" s="1427"/>
      <c r="F395" s="1427"/>
    </row>
    <row r="396" spans="1:6" customFormat="1" ht="26.4">
      <c r="A396" s="693"/>
      <c r="B396" s="1195">
        <v>1</v>
      </c>
      <c r="C396" s="1206" t="s">
        <v>4244</v>
      </c>
      <c r="D396" s="1426"/>
      <c r="E396" s="1428"/>
      <c r="F396" s="1428"/>
    </row>
    <row r="397" spans="1:6" customFormat="1" ht="14.4" customHeight="1">
      <c r="A397" s="691"/>
      <c r="B397" s="1195">
        <v>3</v>
      </c>
      <c r="C397" s="1191" t="s">
        <v>432</v>
      </c>
      <c r="D397" s="1426"/>
      <c r="E397" s="1428"/>
      <c r="F397" s="1428"/>
    </row>
    <row r="398" spans="1:6" customFormat="1" ht="14.4" customHeight="1">
      <c r="A398" s="1208"/>
      <c r="B398" s="1199">
        <v>1</v>
      </c>
      <c r="C398" s="1205" t="s">
        <v>3159</v>
      </c>
      <c r="D398" s="1429"/>
      <c r="E398" s="1430"/>
      <c r="F398" s="1430"/>
    </row>
    <row r="399" spans="1:6" customFormat="1" ht="14.4" customHeight="1">
      <c r="A399" s="1208"/>
      <c r="B399" s="1199">
        <v>1</v>
      </c>
      <c r="C399" s="1205" t="s">
        <v>3160</v>
      </c>
      <c r="D399" s="1429"/>
      <c r="E399" s="1430"/>
      <c r="F399" s="1430"/>
    </row>
    <row r="400" spans="1:6" customFormat="1" ht="14.4" customHeight="1">
      <c r="A400" s="687"/>
      <c r="B400" s="1193"/>
      <c r="C400" s="1202" t="s">
        <v>729</v>
      </c>
      <c r="D400" s="1426"/>
      <c r="E400" s="1428"/>
      <c r="F400" s="1428"/>
    </row>
    <row r="401" spans="1:6" customFormat="1" ht="14.4" customHeight="1">
      <c r="A401" s="693"/>
      <c r="B401" s="1194">
        <v>1</v>
      </c>
      <c r="C401" s="1201" t="s">
        <v>5103</v>
      </c>
      <c r="D401" s="1426"/>
      <c r="E401" s="1427"/>
      <c r="F401" s="1427"/>
    </row>
    <row r="402" spans="1:6" customFormat="1" ht="26.4">
      <c r="A402" s="687"/>
      <c r="B402" s="1195">
        <v>3</v>
      </c>
      <c r="C402" s="1206" t="s">
        <v>7374</v>
      </c>
      <c r="D402" s="1426"/>
      <c r="E402" s="1428"/>
      <c r="F402" s="1428"/>
    </row>
    <row r="403" spans="1:6" customFormat="1" ht="14.4" customHeight="1">
      <c r="A403" s="1208"/>
      <c r="B403" s="1199">
        <v>1</v>
      </c>
      <c r="C403" s="1205" t="s">
        <v>3366</v>
      </c>
      <c r="D403" s="1429"/>
      <c r="E403" s="1430"/>
      <c r="F403" s="1430"/>
    </row>
    <row r="404" spans="1:6" customFormat="1" ht="14.4" customHeight="1">
      <c r="A404" s="687"/>
      <c r="B404" s="1193"/>
      <c r="C404" s="1202" t="s">
        <v>729</v>
      </c>
      <c r="D404" s="1426"/>
      <c r="E404" s="1428"/>
      <c r="F404" s="1428"/>
    </row>
    <row r="405" spans="1:6" customFormat="1" ht="14.4" customHeight="1">
      <c r="A405" s="1207"/>
      <c r="B405" s="1194">
        <v>2</v>
      </c>
      <c r="C405" s="1201" t="s">
        <v>3356</v>
      </c>
      <c r="D405" s="1426"/>
      <c r="E405" s="1427"/>
      <c r="F405" s="1427"/>
    </row>
    <row r="406" spans="1:6" customFormat="1" ht="14.4" customHeight="1">
      <c r="A406" s="1208"/>
      <c r="B406" s="1199">
        <v>1</v>
      </c>
      <c r="C406" s="1205" t="s">
        <v>3357</v>
      </c>
      <c r="D406" s="1429"/>
      <c r="E406" s="1430"/>
      <c r="F406" s="1430"/>
    </row>
    <row r="407" spans="1:6" customFormat="1" ht="14.4" customHeight="1">
      <c r="A407" s="1208"/>
      <c r="B407" s="1199">
        <v>1</v>
      </c>
      <c r="C407" s="1205" t="s">
        <v>3358</v>
      </c>
      <c r="D407" s="1429"/>
      <c r="E407" s="1430"/>
      <c r="F407" s="1430"/>
    </row>
    <row r="408" spans="1:6" customFormat="1" ht="14.4" customHeight="1">
      <c r="A408" s="1208"/>
      <c r="B408" s="1199">
        <v>1</v>
      </c>
      <c r="C408" s="1205" t="s">
        <v>3359</v>
      </c>
      <c r="D408" s="1429"/>
      <c r="E408" s="1430"/>
      <c r="F408" s="1430"/>
    </row>
    <row r="409" spans="1:6" customFormat="1" ht="14.4" customHeight="1">
      <c r="A409" s="1208"/>
      <c r="B409" s="1199">
        <v>1</v>
      </c>
      <c r="C409" s="1205" t="s">
        <v>3360</v>
      </c>
      <c r="D409" s="1429"/>
      <c r="E409" s="1430"/>
      <c r="F409" s="1430"/>
    </row>
    <row r="410" spans="1:6" customFormat="1" ht="14.4" customHeight="1">
      <c r="A410" s="1208"/>
      <c r="B410" s="1199">
        <v>1</v>
      </c>
      <c r="C410" s="1205" t="s">
        <v>3361</v>
      </c>
      <c r="D410" s="1429"/>
      <c r="E410" s="1430"/>
      <c r="F410" s="1430"/>
    </row>
    <row r="411" spans="1:6" customFormat="1" ht="14.4" customHeight="1">
      <c r="A411" s="687"/>
      <c r="B411" s="1193"/>
      <c r="C411" s="1202" t="s">
        <v>729</v>
      </c>
      <c r="D411" s="1426"/>
      <c r="E411" s="1428"/>
      <c r="F411" s="1428"/>
    </row>
    <row r="412" spans="1:6" customFormat="1" ht="14.4" customHeight="1">
      <c r="A412" s="693"/>
      <c r="B412" s="1283">
        <v>1</v>
      </c>
      <c r="C412" s="1198" t="s">
        <v>316</v>
      </c>
      <c r="D412" s="1436"/>
      <c r="E412" s="1437"/>
      <c r="F412" s="1437"/>
    </row>
    <row r="413" spans="1:6" customFormat="1" ht="14.4" customHeight="1">
      <c r="A413" s="693"/>
      <c r="B413" s="1283">
        <v>1</v>
      </c>
      <c r="C413" s="1198" t="s">
        <v>2908</v>
      </c>
      <c r="D413" s="1436"/>
      <c r="E413" s="1437"/>
      <c r="F413" s="1437"/>
    </row>
    <row r="414" spans="1:6" customFormat="1" ht="14.4" customHeight="1" thickBot="1">
      <c r="A414" s="699"/>
      <c r="B414" s="1296"/>
      <c r="C414" s="1305"/>
      <c r="D414" s="1438"/>
      <c r="E414" s="1439"/>
      <c r="F414" s="1439"/>
    </row>
    <row r="415" spans="1:6" s="61" customFormat="1" ht="20.100000000000001" customHeight="1" thickBot="1">
      <c r="A415" s="1372">
        <v>6</v>
      </c>
      <c r="B415" s="1250">
        <v>1</v>
      </c>
      <c r="C415" s="1217" t="s">
        <v>3579</v>
      </c>
      <c r="D415" s="1424">
        <v>5895</v>
      </c>
      <c r="E415" s="1425"/>
      <c r="F415" s="1425">
        <v>5895</v>
      </c>
    </row>
    <row r="416" spans="1:6" customFormat="1" ht="14.4" customHeight="1">
      <c r="A416" s="685" t="s">
        <v>3064</v>
      </c>
      <c r="B416" s="1192"/>
      <c r="C416" s="1201" t="s">
        <v>2662</v>
      </c>
      <c r="D416" s="1433"/>
      <c r="E416" s="1434"/>
      <c r="F416" s="1434"/>
    </row>
    <row r="417" spans="1:6" customFormat="1" ht="26.4">
      <c r="A417" s="687" t="s">
        <v>3400</v>
      </c>
      <c r="B417" s="1193">
        <v>1</v>
      </c>
      <c r="C417" s="1204" t="s">
        <v>4388</v>
      </c>
      <c r="D417" s="1433"/>
      <c r="E417" s="1435"/>
      <c r="F417" s="1435"/>
    </row>
    <row r="418" spans="1:6" customFormat="1" ht="14.4" customHeight="1">
      <c r="A418" s="693" t="s">
        <v>6074</v>
      </c>
      <c r="B418" s="1293"/>
      <c r="C418" s="1303" t="s">
        <v>2654</v>
      </c>
      <c r="D418" s="1433"/>
      <c r="E418" s="1435"/>
      <c r="F418" s="1435"/>
    </row>
    <row r="419" spans="1:6" customFormat="1" ht="14.4" customHeight="1">
      <c r="A419" s="692"/>
      <c r="B419" s="1193">
        <v>9</v>
      </c>
      <c r="C419" s="1202" t="s">
        <v>4208</v>
      </c>
      <c r="D419" s="1433"/>
      <c r="E419" s="1435"/>
      <c r="F419" s="1435"/>
    </row>
    <row r="420" spans="1:6" customFormat="1" ht="14.4" customHeight="1">
      <c r="A420" s="698"/>
      <c r="B420" s="1193">
        <v>3</v>
      </c>
      <c r="C420" s="1304" t="s">
        <v>2924</v>
      </c>
      <c r="D420" s="1426"/>
      <c r="E420" s="1428"/>
      <c r="F420" s="1428"/>
    </row>
    <row r="421" spans="1:6" customFormat="1" ht="14.4" customHeight="1">
      <c r="A421" s="693"/>
      <c r="B421" s="1293"/>
      <c r="C421" s="1303" t="s">
        <v>3063</v>
      </c>
      <c r="D421" s="1433"/>
      <c r="E421" s="1435"/>
      <c r="F421" s="1435"/>
    </row>
    <row r="422" spans="1:6" customFormat="1" ht="14.4" customHeight="1">
      <c r="A422" s="698"/>
      <c r="B422" s="1193">
        <v>8</v>
      </c>
      <c r="C422" s="1202" t="s">
        <v>2001</v>
      </c>
      <c r="D422" s="1433"/>
      <c r="E422" s="1435"/>
      <c r="F422" s="1435"/>
    </row>
    <row r="423" spans="1:6" customFormat="1" ht="14.4" customHeight="1">
      <c r="A423" s="693" t="s">
        <v>3190</v>
      </c>
      <c r="B423" s="1193"/>
      <c r="C423" s="1202" t="s">
        <v>729</v>
      </c>
      <c r="D423" s="1426"/>
      <c r="E423" s="1428"/>
      <c r="F423" s="1428"/>
    </row>
    <row r="424" spans="1:6" customFormat="1" ht="14.4" customHeight="1">
      <c r="A424" s="928" t="s">
        <v>3314</v>
      </c>
      <c r="B424" s="1194">
        <v>1</v>
      </c>
      <c r="C424" s="1201" t="s">
        <v>5103</v>
      </c>
      <c r="D424" s="1426"/>
      <c r="E424" s="1427"/>
      <c r="F424" s="1427"/>
    </row>
    <row r="425" spans="1:6" customFormat="1" ht="14.4" customHeight="1">
      <c r="A425" s="928" t="s">
        <v>3315</v>
      </c>
      <c r="B425" s="1195">
        <v>3</v>
      </c>
      <c r="C425" s="1191" t="s">
        <v>3461</v>
      </c>
      <c r="D425" s="1426"/>
      <c r="E425" s="1428"/>
      <c r="F425" s="1428"/>
    </row>
    <row r="426" spans="1:6" customFormat="1" ht="14.4" customHeight="1">
      <c r="A426" s="928"/>
      <c r="B426" s="1199">
        <v>1</v>
      </c>
      <c r="C426" s="1205" t="s">
        <v>3366</v>
      </c>
      <c r="D426" s="1429"/>
      <c r="E426" s="1430"/>
      <c r="F426" s="1430"/>
    </row>
    <row r="427" spans="1:6" customFormat="1" ht="14.4" customHeight="1">
      <c r="A427" s="693" t="s">
        <v>3819</v>
      </c>
      <c r="B427" s="1193"/>
      <c r="C427" s="1202" t="s">
        <v>729</v>
      </c>
      <c r="D427" s="1426"/>
      <c r="E427" s="1428"/>
      <c r="F427" s="1428"/>
    </row>
    <row r="428" spans="1:6" customFormat="1" ht="14.4" customHeight="1">
      <c r="A428" s="693"/>
      <c r="B428" s="1194">
        <v>1</v>
      </c>
      <c r="C428" s="1201" t="s">
        <v>5106</v>
      </c>
      <c r="D428" s="1426"/>
      <c r="E428" s="1427"/>
      <c r="F428" s="1427"/>
    </row>
    <row r="429" spans="1:6" customFormat="1" ht="14.4" customHeight="1">
      <c r="A429" s="692"/>
      <c r="B429" s="1195">
        <v>2</v>
      </c>
      <c r="C429" s="1191" t="s">
        <v>3281</v>
      </c>
      <c r="D429" s="1426"/>
      <c r="E429" s="1428"/>
      <c r="F429" s="1428"/>
    </row>
    <row r="430" spans="1:6" customFormat="1" ht="14.4" customHeight="1">
      <c r="A430" s="951"/>
      <c r="B430" s="1193"/>
      <c r="C430" s="1202" t="s">
        <v>729</v>
      </c>
      <c r="D430" s="1426"/>
      <c r="E430" s="1428"/>
      <c r="F430" s="1428"/>
    </row>
    <row r="431" spans="1:6" customFormat="1" ht="14.4" customHeight="1">
      <c r="A431" s="693"/>
      <c r="B431" s="1193">
        <v>1</v>
      </c>
      <c r="C431" s="1304" t="s">
        <v>2908</v>
      </c>
      <c r="D431" s="1426"/>
      <c r="E431" s="1428"/>
      <c r="F431" s="1428"/>
    </row>
    <row r="432" spans="1:6" customFormat="1" ht="14.4" customHeight="1">
      <c r="A432" s="693"/>
      <c r="B432" s="1193">
        <v>1</v>
      </c>
      <c r="C432" s="1198" t="s">
        <v>316</v>
      </c>
      <c r="D432" s="1436"/>
      <c r="E432" s="1437"/>
      <c r="F432" s="1437"/>
    </row>
    <row r="433" spans="1:6" customFormat="1" ht="14.4" customHeight="1" thickBot="1">
      <c r="A433" s="699"/>
      <c r="B433" s="1200"/>
      <c r="C433" s="1305"/>
      <c r="D433" s="1438"/>
      <c r="E433" s="1439"/>
      <c r="F433" s="1439"/>
    </row>
    <row r="434" spans="1:6" s="61" customFormat="1" ht="20.100000000000001" customHeight="1" thickBot="1">
      <c r="A434" s="1372">
        <v>7</v>
      </c>
      <c r="B434" s="1250">
        <v>1</v>
      </c>
      <c r="C434" s="1217" t="s">
        <v>3580</v>
      </c>
      <c r="D434" s="1424">
        <v>6303</v>
      </c>
      <c r="E434" s="1425"/>
      <c r="F434" s="1425">
        <v>6303</v>
      </c>
    </row>
    <row r="435" spans="1:6" customFormat="1" ht="14.4" customHeight="1">
      <c r="A435" s="685" t="s">
        <v>3064</v>
      </c>
      <c r="B435" s="1192"/>
      <c r="C435" s="1201" t="s">
        <v>2662</v>
      </c>
      <c r="D435" s="1433"/>
      <c r="E435" s="1434"/>
      <c r="F435" s="1434"/>
    </row>
    <row r="436" spans="1:6" customFormat="1" ht="26.4">
      <c r="A436" s="687" t="s">
        <v>3400</v>
      </c>
      <c r="B436" s="1193">
        <v>1</v>
      </c>
      <c r="C436" s="1204" t="s">
        <v>4388</v>
      </c>
      <c r="D436" s="1433"/>
      <c r="E436" s="1435"/>
      <c r="F436" s="1435"/>
    </row>
    <row r="437" spans="1:6" customFormat="1" ht="14.4" customHeight="1">
      <c r="A437" s="693" t="s">
        <v>6074</v>
      </c>
      <c r="B437" s="1293"/>
      <c r="C437" s="1303" t="s">
        <v>2654</v>
      </c>
      <c r="D437" s="1433"/>
      <c r="E437" s="1435"/>
      <c r="F437" s="1435"/>
    </row>
    <row r="438" spans="1:6" customFormat="1" ht="14.4" customHeight="1">
      <c r="A438" s="692"/>
      <c r="B438" s="1193">
        <v>10</v>
      </c>
      <c r="C438" s="1202" t="s">
        <v>4208</v>
      </c>
      <c r="D438" s="1433"/>
      <c r="E438" s="1435"/>
      <c r="F438" s="1435"/>
    </row>
    <row r="439" spans="1:6" customFormat="1" ht="14.4" customHeight="1">
      <c r="A439" s="698"/>
      <c r="B439" s="1193">
        <v>3</v>
      </c>
      <c r="C439" s="1304" t="s">
        <v>2924</v>
      </c>
      <c r="D439" s="1426"/>
      <c r="E439" s="1428"/>
      <c r="F439" s="1428"/>
    </row>
    <row r="440" spans="1:6" customFormat="1" ht="14.4" customHeight="1">
      <c r="A440" s="693"/>
      <c r="B440" s="1293"/>
      <c r="C440" s="1303" t="s">
        <v>3063</v>
      </c>
      <c r="D440" s="1433"/>
      <c r="E440" s="1435"/>
      <c r="F440" s="1435"/>
    </row>
    <row r="441" spans="1:6" customFormat="1" ht="14.4" customHeight="1">
      <c r="A441" s="698"/>
      <c r="B441" s="1193">
        <v>9</v>
      </c>
      <c r="C441" s="1202" t="s">
        <v>2001</v>
      </c>
      <c r="D441" s="1433"/>
      <c r="E441" s="1435"/>
      <c r="F441" s="1435"/>
    </row>
    <row r="442" spans="1:6" customFormat="1" ht="14.4" customHeight="1">
      <c r="A442" s="693" t="s">
        <v>3190</v>
      </c>
      <c r="B442" s="1193"/>
      <c r="C442" s="1202" t="s">
        <v>729</v>
      </c>
      <c r="D442" s="1426"/>
      <c r="E442" s="1428"/>
      <c r="F442" s="1428"/>
    </row>
    <row r="443" spans="1:6" customFormat="1" ht="14.4" customHeight="1">
      <c r="A443" s="928" t="s">
        <v>3314</v>
      </c>
      <c r="B443" s="1194">
        <v>1</v>
      </c>
      <c r="C443" s="1201" t="s">
        <v>5103</v>
      </c>
      <c r="D443" s="1426"/>
      <c r="E443" s="1427"/>
      <c r="F443" s="1427"/>
    </row>
    <row r="444" spans="1:6" customFormat="1" ht="14.4" customHeight="1">
      <c r="A444" s="928" t="s">
        <v>3315</v>
      </c>
      <c r="B444" s="1195">
        <v>3</v>
      </c>
      <c r="C444" s="1191" t="s">
        <v>3461</v>
      </c>
      <c r="D444" s="1426"/>
      <c r="E444" s="1428"/>
      <c r="F444" s="1428"/>
    </row>
    <row r="445" spans="1:6" customFormat="1" ht="14.4" customHeight="1">
      <c r="A445" s="928"/>
      <c r="B445" s="1199">
        <v>1</v>
      </c>
      <c r="C445" s="1205" t="s">
        <v>3366</v>
      </c>
      <c r="D445" s="1429"/>
      <c r="E445" s="1430"/>
      <c r="F445" s="1430"/>
    </row>
    <row r="446" spans="1:6" customFormat="1" ht="14.4" customHeight="1">
      <c r="A446" s="693" t="s">
        <v>3819</v>
      </c>
      <c r="B446" s="1193"/>
      <c r="C446" s="1202" t="s">
        <v>729</v>
      </c>
      <c r="D446" s="1426"/>
      <c r="E446" s="1428"/>
      <c r="F446" s="1428"/>
    </row>
    <row r="447" spans="1:6" customFormat="1" ht="14.4" customHeight="1">
      <c r="A447" s="693"/>
      <c r="B447" s="1194">
        <v>1</v>
      </c>
      <c r="C447" s="1201" t="s">
        <v>5106</v>
      </c>
      <c r="D447" s="1426"/>
      <c r="E447" s="1427"/>
      <c r="F447" s="1427"/>
    </row>
    <row r="448" spans="1:6" customFormat="1" ht="14.4" customHeight="1">
      <c r="A448" s="692"/>
      <c r="B448" s="1195">
        <v>2</v>
      </c>
      <c r="C448" s="1191" t="s">
        <v>3281</v>
      </c>
      <c r="D448" s="1426"/>
      <c r="E448" s="1428"/>
      <c r="F448" s="1428"/>
    </row>
    <row r="449" spans="1:6" customFormat="1" ht="14.4" customHeight="1">
      <c r="A449" s="951"/>
      <c r="B449" s="1193"/>
      <c r="C449" s="1202" t="s">
        <v>729</v>
      </c>
      <c r="D449" s="1426"/>
      <c r="E449" s="1428"/>
      <c r="F449" s="1428"/>
    </row>
    <row r="450" spans="1:6" customFormat="1" ht="14.4" customHeight="1">
      <c r="A450" s="693"/>
      <c r="B450" s="1193">
        <v>1</v>
      </c>
      <c r="C450" s="1304" t="s">
        <v>2908</v>
      </c>
      <c r="D450" s="1426"/>
      <c r="E450" s="1428"/>
      <c r="F450" s="1428"/>
    </row>
    <row r="451" spans="1:6" customFormat="1" ht="14.4" customHeight="1">
      <c r="A451" s="693"/>
      <c r="B451" s="1193">
        <v>1</v>
      </c>
      <c r="C451" s="1198" t="s">
        <v>316</v>
      </c>
      <c r="D451" s="1436"/>
      <c r="E451" s="1437"/>
      <c r="F451" s="1437"/>
    </row>
    <row r="452" spans="1:6" customFormat="1" ht="14.4" customHeight="1" thickBot="1">
      <c r="A452" s="699"/>
      <c r="B452" s="1200"/>
      <c r="C452" s="1305"/>
      <c r="D452" s="1438"/>
      <c r="E452" s="1439"/>
      <c r="F452" s="1439"/>
    </row>
    <row r="453" spans="1:6" s="61" customFormat="1" ht="20.100000000000001" customHeight="1" thickBot="1">
      <c r="A453" s="1372">
        <v>8</v>
      </c>
      <c r="B453" s="1250">
        <v>1</v>
      </c>
      <c r="C453" s="1217" t="s">
        <v>3581</v>
      </c>
      <c r="D453" s="1424">
        <v>7773</v>
      </c>
      <c r="E453" s="1425"/>
      <c r="F453" s="1425">
        <v>7773</v>
      </c>
    </row>
    <row r="454" spans="1:6" customFormat="1" ht="14.4" customHeight="1">
      <c r="A454" s="685" t="s">
        <v>3064</v>
      </c>
      <c r="B454" s="1192"/>
      <c r="C454" s="1201" t="s">
        <v>2662</v>
      </c>
      <c r="D454" s="1433"/>
      <c r="E454" s="1434"/>
      <c r="F454" s="1434"/>
    </row>
    <row r="455" spans="1:6" customFormat="1" ht="26.4">
      <c r="A455" s="687" t="s">
        <v>3400</v>
      </c>
      <c r="B455" s="1193">
        <v>1</v>
      </c>
      <c r="C455" s="1204" t="s">
        <v>4483</v>
      </c>
      <c r="D455" s="1433"/>
      <c r="E455" s="1435"/>
      <c r="F455" s="1435"/>
    </row>
    <row r="456" spans="1:6" customFormat="1" ht="14.4" customHeight="1">
      <c r="A456" s="693" t="s">
        <v>6074</v>
      </c>
      <c r="B456" s="1293"/>
      <c r="C456" s="1303" t="s">
        <v>2654</v>
      </c>
      <c r="D456" s="1433"/>
      <c r="E456" s="1435"/>
      <c r="F456" s="1435"/>
    </row>
    <row r="457" spans="1:6" customFormat="1" ht="14.4" customHeight="1">
      <c r="A457" s="692"/>
      <c r="B457" s="1193">
        <v>12</v>
      </c>
      <c r="C457" s="1202" t="s">
        <v>4208</v>
      </c>
      <c r="D457" s="1433"/>
      <c r="E457" s="1435"/>
      <c r="F457" s="1435"/>
    </row>
    <row r="458" spans="1:6" customFormat="1" ht="14.4" customHeight="1">
      <c r="A458" s="698"/>
      <c r="B458" s="1193">
        <v>3</v>
      </c>
      <c r="C458" s="1304" t="s">
        <v>2924</v>
      </c>
      <c r="D458" s="1426"/>
      <c r="E458" s="1428"/>
      <c r="F458" s="1428"/>
    </row>
    <row r="459" spans="1:6" customFormat="1" ht="14.4" customHeight="1">
      <c r="A459" s="693"/>
      <c r="B459" s="1293"/>
      <c r="C459" s="1303" t="s">
        <v>3063</v>
      </c>
      <c r="D459" s="1433"/>
      <c r="E459" s="1435"/>
      <c r="F459" s="1435"/>
    </row>
    <row r="460" spans="1:6" customFormat="1" ht="14.4" customHeight="1">
      <c r="A460" s="698"/>
      <c r="B460" s="1193">
        <v>11</v>
      </c>
      <c r="C460" s="1202" t="s">
        <v>2001</v>
      </c>
      <c r="D460" s="1433"/>
      <c r="E460" s="1435"/>
      <c r="F460" s="1435"/>
    </row>
    <row r="461" spans="1:6" customFormat="1" ht="14.4" customHeight="1">
      <c r="A461" s="693" t="s">
        <v>3190</v>
      </c>
      <c r="B461" s="1193"/>
      <c r="C461" s="1202" t="s">
        <v>729</v>
      </c>
      <c r="D461" s="1426"/>
      <c r="E461" s="1428"/>
      <c r="F461" s="1428"/>
    </row>
    <row r="462" spans="1:6" customFormat="1" ht="14.4" customHeight="1">
      <c r="A462" s="928" t="s">
        <v>3314</v>
      </c>
      <c r="B462" s="1194">
        <v>1</v>
      </c>
      <c r="C462" s="1201" t="s">
        <v>5103</v>
      </c>
      <c r="D462" s="1426"/>
      <c r="E462" s="1427"/>
      <c r="F462" s="1427"/>
    </row>
    <row r="463" spans="1:6" customFormat="1" ht="14.4" customHeight="1">
      <c r="A463" s="928" t="s">
        <v>3315</v>
      </c>
      <c r="B463" s="1195">
        <v>3</v>
      </c>
      <c r="C463" s="1191" t="s">
        <v>3461</v>
      </c>
      <c r="D463" s="1426"/>
      <c r="E463" s="1428"/>
      <c r="F463" s="1428"/>
    </row>
    <row r="464" spans="1:6" customFormat="1" ht="14.4" customHeight="1">
      <c r="A464" s="928"/>
      <c r="B464" s="1199">
        <v>1</v>
      </c>
      <c r="C464" s="1205" t="s">
        <v>3366</v>
      </c>
      <c r="D464" s="1429"/>
      <c r="E464" s="1430"/>
      <c r="F464" s="1430"/>
    </row>
    <row r="465" spans="1:6" customFormat="1" ht="14.4" customHeight="1">
      <c r="A465" s="693" t="s">
        <v>3819</v>
      </c>
      <c r="B465" s="1193"/>
      <c r="C465" s="1202" t="s">
        <v>729</v>
      </c>
      <c r="D465" s="1426"/>
      <c r="E465" s="1428"/>
      <c r="F465" s="1428"/>
    </row>
    <row r="466" spans="1:6" customFormat="1" ht="14.4" customHeight="1">
      <c r="A466" s="693"/>
      <c r="B466" s="1194">
        <v>1</v>
      </c>
      <c r="C466" s="1201" t="s">
        <v>5106</v>
      </c>
      <c r="D466" s="1426"/>
      <c r="E466" s="1427"/>
      <c r="F466" s="1427"/>
    </row>
    <row r="467" spans="1:6" customFormat="1" ht="14.4" customHeight="1">
      <c r="A467" s="692"/>
      <c r="B467" s="1195">
        <v>2</v>
      </c>
      <c r="C467" s="1191" t="s">
        <v>3281</v>
      </c>
      <c r="D467" s="1426"/>
      <c r="E467" s="1428"/>
      <c r="F467" s="1428"/>
    </row>
    <row r="468" spans="1:6" customFormat="1" ht="14.4" customHeight="1">
      <c r="A468" s="951"/>
      <c r="B468" s="1193"/>
      <c r="C468" s="1202" t="s">
        <v>729</v>
      </c>
      <c r="D468" s="1426"/>
      <c r="E468" s="1428"/>
      <c r="F468" s="1428"/>
    </row>
    <row r="469" spans="1:6" customFormat="1" ht="14.4" customHeight="1">
      <c r="A469" s="693"/>
      <c r="B469" s="1193">
        <v>1</v>
      </c>
      <c r="C469" s="1304" t="s">
        <v>2908</v>
      </c>
      <c r="D469" s="1426"/>
      <c r="E469" s="1428"/>
      <c r="F469" s="1428"/>
    </row>
    <row r="470" spans="1:6" customFormat="1" ht="14.4" customHeight="1">
      <c r="A470" s="693"/>
      <c r="B470" s="1193">
        <v>1</v>
      </c>
      <c r="C470" s="1198" t="s">
        <v>316</v>
      </c>
      <c r="D470" s="1436"/>
      <c r="E470" s="1437"/>
      <c r="F470" s="1437"/>
    </row>
    <row r="471" spans="1:6" customFormat="1" ht="14.4" customHeight="1" thickBot="1">
      <c r="A471" s="699"/>
      <c r="B471" s="1200"/>
      <c r="C471" s="1305"/>
      <c r="D471" s="1438"/>
      <c r="E471" s="1439"/>
      <c r="F471" s="1439"/>
    </row>
    <row r="472" spans="1:6" s="61" customFormat="1" ht="20.100000000000001" customHeight="1" thickBot="1">
      <c r="A472" s="1372">
        <v>9</v>
      </c>
      <c r="B472" s="1250">
        <v>1</v>
      </c>
      <c r="C472" s="1217" t="s">
        <v>3582</v>
      </c>
      <c r="D472" s="1424">
        <v>6804</v>
      </c>
      <c r="E472" s="1425"/>
      <c r="F472" s="1425">
        <v>6804</v>
      </c>
    </row>
    <row r="473" spans="1:6" customFormat="1" ht="14.4" customHeight="1">
      <c r="A473" s="685" t="s">
        <v>3064</v>
      </c>
      <c r="B473" s="1192"/>
      <c r="C473" s="1201" t="s">
        <v>2662</v>
      </c>
      <c r="D473" s="1433"/>
      <c r="E473" s="1434"/>
      <c r="F473" s="1434"/>
    </row>
    <row r="474" spans="1:6" customFormat="1" ht="26.4">
      <c r="A474" s="687" t="s">
        <v>3400</v>
      </c>
      <c r="B474" s="1193">
        <v>1</v>
      </c>
      <c r="C474" s="1204" t="s">
        <v>4388</v>
      </c>
      <c r="D474" s="1433"/>
      <c r="E474" s="1435"/>
      <c r="F474" s="1435"/>
    </row>
    <row r="475" spans="1:6" customFormat="1" ht="14.4" customHeight="1">
      <c r="A475" s="693" t="s">
        <v>6074</v>
      </c>
      <c r="B475" s="1293"/>
      <c r="C475" s="1303" t="s">
        <v>2654</v>
      </c>
      <c r="D475" s="1433"/>
      <c r="E475" s="1435"/>
      <c r="F475" s="1435"/>
    </row>
    <row r="476" spans="1:6" customFormat="1" ht="14.4" customHeight="1">
      <c r="A476" s="692"/>
      <c r="B476" s="1193">
        <v>11</v>
      </c>
      <c r="C476" s="1202" t="s">
        <v>4208</v>
      </c>
      <c r="D476" s="1433"/>
      <c r="E476" s="1435"/>
      <c r="F476" s="1435"/>
    </row>
    <row r="477" spans="1:6" customFormat="1" ht="14.4" customHeight="1">
      <c r="A477" s="698"/>
      <c r="B477" s="1193">
        <v>3</v>
      </c>
      <c r="C477" s="1304" t="s">
        <v>2924</v>
      </c>
      <c r="D477" s="1426"/>
      <c r="E477" s="1428"/>
      <c r="F477" s="1428"/>
    </row>
    <row r="478" spans="1:6" customFormat="1" ht="14.4" customHeight="1">
      <c r="A478" s="693"/>
      <c r="B478" s="1293"/>
      <c r="C478" s="1303" t="s">
        <v>3063</v>
      </c>
      <c r="D478" s="1433"/>
      <c r="E478" s="1435"/>
      <c r="F478" s="1435"/>
    </row>
    <row r="479" spans="1:6" customFormat="1" ht="14.4" customHeight="1">
      <c r="A479" s="698"/>
      <c r="B479" s="1193">
        <v>10</v>
      </c>
      <c r="C479" s="1202" t="s">
        <v>2001</v>
      </c>
      <c r="D479" s="1433"/>
      <c r="E479" s="1435"/>
      <c r="F479" s="1435"/>
    </row>
    <row r="480" spans="1:6" customFormat="1" ht="14.4" customHeight="1">
      <c r="A480" s="693" t="s">
        <v>3190</v>
      </c>
      <c r="B480" s="1193"/>
      <c r="C480" s="1202" t="s">
        <v>729</v>
      </c>
      <c r="D480" s="1426"/>
      <c r="E480" s="1428"/>
      <c r="F480" s="1428"/>
    </row>
    <row r="481" spans="1:6" customFormat="1" ht="14.4" customHeight="1">
      <c r="A481" s="928" t="s">
        <v>3314</v>
      </c>
      <c r="B481" s="1194">
        <v>1</v>
      </c>
      <c r="C481" s="1201" t="s">
        <v>5103</v>
      </c>
      <c r="D481" s="1426"/>
      <c r="E481" s="1427"/>
      <c r="F481" s="1427"/>
    </row>
    <row r="482" spans="1:6" customFormat="1" ht="14.4" customHeight="1">
      <c r="A482" s="928" t="s">
        <v>3315</v>
      </c>
      <c r="B482" s="1195">
        <v>3</v>
      </c>
      <c r="C482" s="1191" t="s">
        <v>3461</v>
      </c>
      <c r="D482" s="1426"/>
      <c r="E482" s="1428"/>
      <c r="F482" s="1428"/>
    </row>
    <row r="483" spans="1:6" customFormat="1" ht="14.4" customHeight="1">
      <c r="A483" s="928"/>
      <c r="B483" s="1199">
        <v>1</v>
      </c>
      <c r="C483" s="1205" t="s">
        <v>3366</v>
      </c>
      <c r="D483" s="1429"/>
      <c r="E483" s="1430"/>
      <c r="F483" s="1430"/>
    </row>
    <row r="484" spans="1:6" customFormat="1" ht="14.4" customHeight="1">
      <c r="A484" s="693" t="s">
        <v>3819</v>
      </c>
      <c r="B484" s="1193"/>
      <c r="C484" s="1202" t="s">
        <v>729</v>
      </c>
      <c r="D484" s="1426"/>
      <c r="E484" s="1428"/>
      <c r="F484" s="1428"/>
    </row>
    <row r="485" spans="1:6" customFormat="1" ht="14.4" customHeight="1">
      <c r="A485" s="693"/>
      <c r="B485" s="1194">
        <v>1</v>
      </c>
      <c r="C485" s="1201" t="s">
        <v>5106</v>
      </c>
      <c r="D485" s="1426"/>
      <c r="E485" s="1427"/>
      <c r="F485" s="1427"/>
    </row>
    <row r="486" spans="1:6" customFormat="1" ht="14.4" customHeight="1">
      <c r="A486" s="692"/>
      <c r="B486" s="1195">
        <v>2</v>
      </c>
      <c r="C486" s="1191" t="s">
        <v>3281</v>
      </c>
      <c r="D486" s="1426"/>
      <c r="E486" s="1428"/>
      <c r="F486" s="1428"/>
    </row>
    <row r="487" spans="1:6" customFormat="1" ht="14.4" customHeight="1">
      <c r="A487" s="951"/>
      <c r="B487" s="1193"/>
      <c r="C487" s="1202" t="s">
        <v>729</v>
      </c>
      <c r="D487" s="1426"/>
      <c r="E487" s="1428"/>
      <c r="F487" s="1428"/>
    </row>
    <row r="488" spans="1:6" customFormat="1" ht="14.4" customHeight="1">
      <c r="A488" s="693"/>
      <c r="B488" s="1193">
        <v>1</v>
      </c>
      <c r="C488" s="1304" t="s">
        <v>2908</v>
      </c>
      <c r="D488" s="1426"/>
      <c r="E488" s="1428"/>
      <c r="F488" s="1428"/>
    </row>
    <row r="489" spans="1:6" customFormat="1" ht="14.4" customHeight="1">
      <c r="A489" s="693"/>
      <c r="B489" s="1193">
        <v>1</v>
      </c>
      <c r="C489" s="1198" t="s">
        <v>316</v>
      </c>
      <c r="D489" s="1436"/>
      <c r="E489" s="1437"/>
      <c r="F489" s="1437"/>
    </row>
    <row r="490" spans="1:6" customFormat="1" ht="14.4" customHeight="1" thickBot="1">
      <c r="A490" s="699"/>
      <c r="B490" s="1200"/>
      <c r="C490" s="1305"/>
      <c r="D490" s="1438"/>
      <c r="E490" s="1439"/>
      <c r="F490" s="1439"/>
    </row>
    <row r="491" spans="1:6" s="61" customFormat="1" ht="20.100000000000001" customHeight="1" thickBot="1">
      <c r="A491" s="1372">
        <v>10</v>
      </c>
      <c r="B491" s="1250">
        <v>1</v>
      </c>
      <c r="C491" s="1217" t="s">
        <v>3591</v>
      </c>
      <c r="D491" s="1424">
        <v>15223</v>
      </c>
      <c r="E491" s="1425"/>
      <c r="F491" s="1425">
        <v>15223</v>
      </c>
    </row>
    <row r="492" spans="1:6" customFormat="1" ht="14.4" customHeight="1">
      <c r="A492" s="685" t="s">
        <v>3064</v>
      </c>
      <c r="B492" s="1192"/>
      <c r="C492" s="1201" t="s">
        <v>2662</v>
      </c>
      <c r="D492" s="1433"/>
      <c r="E492" s="1434"/>
      <c r="F492" s="1434"/>
    </row>
    <row r="493" spans="1:6" customFormat="1" ht="26.4">
      <c r="A493" s="687" t="s">
        <v>3400</v>
      </c>
      <c r="B493" s="1193">
        <v>1</v>
      </c>
      <c r="C493" s="1204" t="s">
        <v>4574</v>
      </c>
      <c r="D493" s="1433"/>
      <c r="E493" s="1435"/>
      <c r="F493" s="1435"/>
    </row>
    <row r="494" spans="1:6" customFormat="1" ht="14.4" customHeight="1">
      <c r="A494" s="693" t="s">
        <v>6074</v>
      </c>
      <c r="B494" s="1293"/>
      <c r="C494" s="1303" t="s">
        <v>2654</v>
      </c>
      <c r="D494" s="1433"/>
      <c r="E494" s="1435"/>
      <c r="F494" s="1435"/>
    </row>
    <row r="495" spans="1:6" customFormat="1" ht="14.4" customHeight="1">
      <c r="A495" s="692"/>
      <c r="B495" s="1193">
        <v>23</v>
      </c>
      <c r="C495" s="1202" t="s">
        <v>4208</v>
      </c>
      <c r="D495" s="1433"/>
      <c r="E495" s="1435"/>
      <c r="F495" s="1435"/>
    </row>
    <row r="496" spans="1:6" customFormat="1" ht="14.4" customHeight="1">
      <c r="A496" s="698"/>
      <c r="B496" s="1193">
        <v>3</v>
      </c>
      <c r="C496" s="1304" t="s">
        <v>2924</v>
      </c>
      <c r="D496" s="1426"/>
      <c r="E496" s="1428"/>
      <c r="F496" s="1428"/>
    </row>
    <row r="497" spans="1:6" customFormat="1" ht="14.4" customHeight="1">
      <c r="A497" s="693"/>
      <c r="B497" s="1293"/>
      <c r="C497" s="1303" t="s">
        <v>3063</v>
      </c>
      <c r="D497" s="1433"/>
      <c r="E497" s="1435"/>
      <c r="F497" s="1435"/>
    </row>
    <row r="498" spans="1:6" customFormat="1" ht="14.4" customHeight="1">
      <c r="A498" s="698"/>
      <c r="B498" s="1193">
        <v>22</v>
      </c>
      <c r="C498" s="1202" t="s">
        <v>2001</v>
      </c>
      <c r="D498" s="1433"/>
      <c r="E498" s="1435"/>
      <c r="F498" s="1435"/>
    </row>
    <row r="499" spans="1:6" customFormat="1" ht="14.4" customHeight="1">
      <c r="A499" s="693" t="s">
        <v>3190</v>
      </c>
      <c r="B499" s="1193"/>
      <c r="C499" s="1202" t="s">
        <v>729</v>
      </c>
      <c r="D499" s="1426"/>
      <c r="E499" s="1428"/>
      <c r="F499" s="1428"/>
    </row>
    <row r="500" spans="1:6" customFormat="1" ht="14.4" customHeight="1">
      <c r="A500" s="928" t="s">
        <v>3314</v>
      </c>
      <c r="B500" s="1194">
        <v>1</v>
      </c>
      <c r="C500" s="1201" t="s">
        <v>5103</v>
      </c>
      <c r="D500" s="1426"/>
      <c r="E500" s="1427"/>
      <c r="F500" s="1427"/>
    </row>
    <row r="501" spans="1:6" customFormat="1" ht="14.4" customHeight="1">
      <c r="A501" s="928" t="s">
        <v>3315</v>
      </c>
      <c r="B501" s="1195">
        <v>3</v>
      </c>
      <c r="C501" s="1191" t="s">
        <v>3461</v>
      </c>
      <c r="D501" s="1426"/>
      <c r="E501" s="1428"/>
      <c r="F501" s="1428"/>
    </row>
    <row r="502" spans="1:6" customFormat="1" ht="14.4" customHeight="1">
      <c r="A502" s="928"/>
      <c r="B502" s="1199">
        <v>1</v>
      </c>
      <c r="C502" s="1205" t="s">
        <v>3366</v>
      </c>
      <c r="D502" s="1429"/>
      <c r="E502" s="1430"/>
      <c r="F502" s="1430"/>
    </row>
    <row r="503" spans="1:6" customFormat="1" ht="14.4" customHeight="1">
      <c r="A503" s="693" t="s">
        <v>3819</v>
      </c>
      <c r="B503" s="1193"/>
      <c r="C503" s="1202" t="s">
        <v>729</v>
      </c>
      <c r="D503" s="1426"/>
      <c r="E503" s="1428"/>
      <c r="F503" s="1428"/>
    </row>
    <row r="504" spans="1:6" customFormat="1" ht="14.4" customHeight="1">
      <c r="A504" s="693"/>
      <c r="B504" s="1194">
        <v>1</v>
      </c>
      <c r="C504" s="1201" t="s">
        <v>5106</v>
      </c>
      <c r="D504" s="1426"/>
      <c r="E504" s="1427"/>
      <c r="F504" s="1427"/>
    </row>
    <row r="505" spans="1:6" customFormat="1" ht="14.4" customHeight="1">
      <c r="A505" s="692"/>
      <c r="B505" s="1195">
        <v>2</v>
      </c>
      <c r="C505" s="1191" t="s">
        <v>3281</v>
      </c>
      <c r="D505" s="1426"/>
      <c r="E505" s="1428"/>
      <c r="F505" s="1428"/>
    </row>
    <row r="506" spans="1:6" customFormat="1" ht="14.4" customHeight="1">
      <c r="A506" s="951"/>
      <c r="B506" s="1193"/>
      <c r="C506" s="1202" t="s">
        <v>729</v>
      </c>
      <c r="D506" s="1426"/>
      <c r="E506" s="1428"/>
      <c r="F506" s="1428"/>
    </row>
    <row r="507" spans="1:6" customFormat="1" ht="14.4" customHeight="1">
      <c r="A507" s="693"/>
      <c r="B507" s="1193">
        <v>1</v>
      </c>
      <c r="C507" s="1304" t="s">
        <v>2908</v>
      </c>
      <c r="D507" s="1426"/>
      <c r="E507" s="1428"/>
      <c r="F507" s="1428"/>
    </row>
    <row r="508" spans="1:6" customFormat="1" ht="14.4" customHeight="1">
      <c r="A508" s="693"/>
      <c r="B508" s="1193">
        <v>1</v>
      </c>
      <c r="C508" s="1198" t="s">
        <v>316</v>
      </c>
      <c r="D508" s="1436"/>
      <c r="E508" s="1437"/>
      <c r="F508" s="1437"/>
    </row>
    <row r="509" spans="1:6" customFormat="1" ht="14.4" customHeight="1" thickBot="1">
      <c r="A509" s="699"/>
      <c r="B509" s="1200"/>
      <c r="C509" s="1305"/>
      <c r="D509" s="1438"/>
      <c r="E509" s="1439"/>
      <c r="F509" s="1439"/>
    </row>
    <row r="510" spans="1:6" s="61" customFormat="1" ht="20.100000000000001" customHeight="1" thickBot="1">
      <c r="A510" s="1372">
        <v>11</v>
      </c>
      <c r="B510" s="1250">
        <v>1</v>
      </c>
      <c r="C510" s="1217" t="s">
        <v>3592</v>
      </c>
      <c r="D510" s="1424">
        <v>7364</v>
      </c>
      <c r="E510" s="1425"/>
      <c r="F510" s="1425">
        <v>7364</v>
      </c>
    </row>
    <row r="511" spans="1:6" customFormat="1" ht="14.4" customHeight="1">
      <c r="A511" s="685" t="s">
        <v>3064</v>
      </c>
      <c r="B511" s="1192"/>
      <c r="C511" s="1201" t="s">
        <v>2662</v>
      </c>
      <c r="D511" s="1433"/>
      <c r="E511" s="1434"/>
      <c r="F511" s="1434"/>
    </row>
    <row r="512" spans="1:6" customFormat="1" ht="26.4">
      <c r="A512" s="687" t="s">
        <v>3400</v>
      </c>
      <c r="B512" s="1193">
        <v>1</v>
      </c>
      <c r="C512" s="1204" t="s">
        <v>4483</v>
      </c>
      <c r="D512" s="1433"/>
      <c r="E512" s="1435"/>
      <c r="F512" s="1435"/>
    </row>
    <row r="513" spans="1:6" customFormat="1" ht="14.4" customHeight="1">
      <c r="A513" s="693" t="s">
        <v>6074</v>
      </c>
      <c r="B513" s="1293"/>
      <c r="C513" s="1303" t="s">
        <v>2654</v>
      </c>
      <c r="D513" s="1433"/>
      <c r="E513" s="1435"/>
      <c r="F513" s="1435"/>
    </row>
    <row r="514" spans="1:6" customFormat="1" ht="14.4" customHeight="1">
      <c r="A514" s="692"/>
      <c r="B514" s="1193">
        <v>11</v>
      </c>
      <c r="C514" s="1202" t="s">
        <v>4208</v>
      </c>
      <c r="D514" s="1433"/>
      <c r="E514" s="1435"/>
      <c r="F514" s="1435"/>
    </row>
    <row r="515" spans="1:6" customFormat="1" ht="14.4" customHeight="1">
      <c r="A515" s="698"/>
      <c r="B515" s="1193">
        <v>3</v>
      </c>
      <c r="C515" s="1304" t="s">
        <v>2924</v>
      </c>
      <c r="D515" s="1426"/>
      <c r="E515" s="1428"/>
      <c r="F515" s="1428"/>
    </row>
    <row r="516" spans="1:6" customFormat="1" ht="14.4" customHeight="1">
      <c r="A516" s="693"/>
      <c r="B516" s="1293"/>
      <c r="C516" s="1303" t="s">
        <v>3063</v>
      </c>
      <c r="D516" s="1433"/>
      <c r="E516" s="1435"/>
      <c r="F516" s="1435"/>
    </row>
    <row r="517" spans="1:6" customFormat="1" ht="14.4" customHeight="1">
      <c r="A517" s="698"/>
      <c r="B517" s="1193">
        <v>10</v>
      </c>
      <c r="C517" s="1202" t="s">
        <v>2001</v>
      </c>
      <c r="D517" s="1433"/>
      <c r="E517" s="1435"/>
      <c r="F517" s="1435"/>
    </row>
    <row r="518" spans="1:6" customFormat="1" ht="14.4" customHeight="1">
      <c r="A518" s="693" t="s">
        <v>3190</v>
      </c>
      <c r="B518" s="1193"/>
      <c r="C518" s="1202" t="s">
        <v>729</v>
      </c>
      <c r="D518" s="1426"/>
      <c r="E518" s="1428"/>
      <c r="F518" s="1428"/>
    </row>
    <row r="519" spans="1:6" customFormat="1" ht="14.4" customHeight="1">
      <c r="A519" s="928" t="s">
        <v>3314</v>
      </c>
      <c r="B519" s="1194">
        <v>1</v>
      </c>
      <c r="C519" s="1201" t="s">
        <v>5103</v>
      </c>
      <c r="D519" s="1426"/>
      <c r="E519" s="1427"/>
      <c r="F519" s="1427"/>
    </row>
    <row r="520" spans="1:6" customFormat="1" ht="14.4" customHeight="1">
      <c r="A520" s="928" t="s">
        <v>3315</v>
      </c>
      <c r="B520" s="1195">
        <v>3</v>
      </c>
      <c r="C520" s="1191" t="s">
        <v>3461</v>
      </c>
      <c r="D520" s="1426"/>
      <c r="E520" s="1428"/>
      <c r="F520" s="1428"/>
    </row>
    <row r="521" spans="1:6" customFormat="1" ht="14.4" customHeight="1">
      <c r="A521" s="928"/>
      <c r="B521" s="1199">
        <v>1</v>
      </c>
      <c r="C521" s="1205" t="s">
        <v>3366</v>
      </c>
      <c r="D521" s="1429"/>
      <c r="E521" s="1430"/>
      <c r="F521" s="1430"/>
    </row>
    <row r="522" spans="1:6" customFormat="1" ht="14.4" customHeight="1">
      <c r="A522" s="693" t="s">
        <v>3819</v>
      </c>
      <c r="B522" s="1193"/>
      <c r="C522" s="1202" t="s">
        <v>729</v>
      </c>
      <c r="D522" s="1426"/>
      <c r="E522" s="1428"/>
      <c r="F522" s="1428"/>
    </row>
    <row r="523" spans="1:6" customFormat="1" ht="14.4" customHeight="1">
      <c r="A523" s="693"/>
      <c r="B523" s="1194">
        <v>1</v>
      </c>
      <c r="C523" s="1201" t="s">
        <v>5106</v>
      </c>
      <c r="D523" s="1426"/>
      <c r="E523" s="1427"/>
      <c r="F523" s="1427"/>
    </row>
    <row r="524" spans="1:6" customFormat="1" ht="14.4" customHeight="1">
      <c r="A524" s="692"/>
      <c r="B524" s="1195">
        <v>2</v>
      </c>
      <c r="C524" s="1191" t="s">
        <v>3281</v>
      </c>
      <c r="D524" s="1426"/>
      <c r="E524" s="1428"/>
      <c r="F524" s="1428"/>
    </row>
    <row r="525" spans="1:6" customFormat="1" ht="14.4" customHeight="1">
      <c r="A525" s="951"/>
      <c r="B525" s="1193"/>
      <c r="C525" s="1202" t="s">
        <v>729</v>
      </c>
      <c r="D525" s="1426"/>
      <c r="E525" s="1428"/>
      <c r="F525" s="1428"/>
    </row>
    <row r="526" spans="1:6" customFormat="1" ht="14.4" customHeight="1">
      <c r="A526" s="693"/>
      <c r="B526" s="1193">
        <v>1</v>
      </c>
      <c r="C526" s="1304" t="s">
        <v>2908</v>
      </c>
      <c r="D526" s="1426"/>
      <c r="E526" s="1428"/>
      <c r="F526" s="1428"/>
    </row>
    <row r="527" spans="1:6" customFormat="1" ht="14.4" customHeight="1">
      <c r="A527" s="693"/>
      <c r="B527" s="1193">
        <v>1</v>
      </c>
      <c r="C527" s="1198" t="s">
        <v>316</v>
      </c>
      <c r="D527" s="1436"/>
      <c r="E527" s="1437"/>
      <c r="F527" s="1437"/>
    </row>
    <row r="528" spans="1:6" customFormat="1" ht="14.4" customHeight="1" thickBot="1">
      <c r="A528" s="699"/>
      <c r="B528" s="1200"/>
      <c r="C528" s="1305"/>
      <c r="D528" s="1438"/>
      <c r="E528" s="1439"/>
      <c r="F528" s="1439"/>
    </row>
    <row r="529" spans="1:6" s="61" customFormat="1" ht="20.100000000000001" customHeight="1" thickBot="1">
      <c r="A529" s="1372">
        <v>12</v>
      </c>
      <c r="B529" s="1250">
        <v>1</v>
      </c>
      <c r="C529" s="1217" t="s">
        <v>3593</v>
      </c>
      <c r="D529" s="1424">
        <v>6249</v>
      </c>
      <c r="E529" s="1425"/>
      <c r="F529" s="1425">
        <v>6249</v>
      </c>
    </row>
    <row r="530" spans="1:6" customFormat="1" ht="14.4" customHeight="1">
      <c r="A530" s="685" t="s">
        <v>3064</v>
      </c>
      <c r="B530" s="1192"/>
      <c r="C530" s="1201" t="s">
        <v>2662</v>
      </c>
      <c r="D530" s="1433"/>
      <c r="E530" s="1434"/>
      <c r="F530" s="1434"/>
    </row>
    <row r="531" spans="1:6" customFormat="1" ht="26.4">
      <c r="A531" s="687" t="s">
        <v>3400</v>
      </c>
      <c r="B531" s="1193">
        <v>1</v>
      </c>
      <c r="C531" s="1204" t="s">
        <v>4387</v>
      </c>
      <c r="D531" s="1433"/>
      <c r="E531" s="1435"/>
      <c r="F531" s="1435"/>
    </row>
    <row r="532" spans="1:6" customFormat="1" ht="14.4" customHeight="1">
      <c r="A532" s="693" t="s">
        <v>6074</v>
      </c>
      <c r="B532" s="1293"/>
      <c r="C532" s="1303" t="s">
        <v>2654</v>
      </c>
      <c r="D532" s="1433"/>
      <c r="E532" s="1435"/>
      <c r="F532" s="1435"/>
    </row>
    <row r="533" spans="1:6" customFormat="1" ht="14.4" customHeight="1">
      <c r="A533" s="692"/>
      <c r="B533" s="1193">
        <v>10</v>
      </c>
      <c r="C533" s="1202" t="s">
        <v>4208</v>
      </c>
      <c r="D533" s="1433"/>
      <c r="E533" s="1435"/>
      <c r="F533" s="1435"/>
    </row>
    <row r="534" spans="1:6" customFormat="1" ht="14.4" customHeight="1">
      <c r="A534" s="698"/>
      <c r="B534" s="1193">
        <v>3</v>
      </c>
      <c r="C534" s="1304" t="s">
        <v>2924</v>
      </c>
      <c r="D534" s="1426"/>
      <c r="E534" s="1428"/>
      <c r="F534" s="1428"/>
    </row>
    <row r="535" spans="1:6" customFormat="1" ht="14.4" customHeight="1">
      <c r="A535" s="693"/>
      <c r="B535" s="1293"/>
      <c r="C535" s="1303" t="s">
        <v>3063</v>
      </c>
      <c r="D535" s="1433"/>
      <c r="E535" s="1435"/>
      <c r="F535" s="1435"/>
    </row>
    <row r="536" spans="1:6" customFormat="1" ht="14.4" customHeight="1">
      <c r="A536" s="698"/>
      <c r="B536" s="1193">
        <v>9</v>
      </c>
      <c r="C536" s="1202" t="s">
        <v>2001</v>
      </c>
      <c r="D536" s="1433"/>
      <c r="E536" s="1435"/>
      <c r="F536" s="1435"/>
    </row>
    <row r="537" spans="1:6" customFormat="1" ht="14.4" customHeight="1">
      <c r="A537" s="693" t="s">
        <v>3190</v>
      </c>
      <c r="B537" s="1193"/>
      <c r="C537" s="1202" t="s">
        <v>729</v>
      </c>
      <c r="D537" s="1426"/>
      <c r="E537" s="1428"/>
      <c r="F537" s="1428"/>
    </row>
    <row r="538" spans="1:6" customFormat="1" ht="14.4" customHeight="1">
      <c r="A538" s="928" t="s">
        <v>3314</v>
      </c>
      <c r="B538" s="1194">
        <v>1</v>
      </c>
      <c r="C538" s="1201" t="s">
        <v>5103</v>
      </c>
      <c r="D538" s="1426"/>
      <c r="E538" s="1427"/>
      <c r="F538" s="1427"/>
    </row>
    <row r="539" spans="1:6" customFormat="1" ht="14.4" customHeight="1">
      <c r="A539" s="928" t="s">
        <v>3315</v>
      </c>
      <c r="B539" s="1195">
        <v>3</v>
      </c>
      <c r="C539" s="1191" t="s">
        <v>3461</v>
      </c>
      <c r="D539" s="1426"/>
      <c r="E539" s="1428"/>
      <c r="F539" s="1428"/>
    </row>
    <row r="540" spans="1:6" customFormat="1" ht="14.4" customHeight="1">
      <c r="A540" s="928"/>
      <c r="B540" s="1199">
        <v>1</v>
      </c>
      <c r="C540" s="1205" t="s">
        <v>3366</v>
      </c>
      <c r="D540" s="1429"/>
      <c r="E540" s="1430"/>
      <c r="F540" s="1430"/>
    </row>
    <row r="541" spans="1:6" customFormat="1" ht="14.4" customHeight="1">
      <c r="A541" s="693" t="s">
        <v>3819</v>
      </c>
      <c r="B541" s="1193"/>
      <c r="C541" s="1202" t="s">
        <v>729</v>
      </c>
      <c r="D541" s="1426"/>
      <c r="E541" s="1428"/>
      <c r="F541" s="1428"/>
    </row>
    <row r="542" spans="1:6" customFormat="1" ht="14.4" customHeight="1">
      <c r="A542" s="693"/>
      <c r="B542" s="1194">
        <v>1</v>
      </c>
      <c r="C542" s="1201" t="s">
        <v>5106</v>
      </c>
      <c r="D542" s="1426"/>
      <c r="E542" s="1427"/>
      <c r="F542" s="1427"/>
    </row>
    <row r="543" spans="1:6" customFormat="1" ht="14.4" customHeight="1">
      <c r="A543" s="692"/>
      <c r="B543" s="1195">
        <v>2</v>
      </c>
      <c r="C543" s="1191" t="s">
        <v>3281</v>
      </c>
      <c r="D543" s="1426"/>
      <c r="E543" s="1428"/>
      <c r="F543" s="1428"/>
    </row>
    <row r="544" spans="1:6" customFormat="1" ht="14.4" customHeight="1">
      <c r="A544" s="951"/>
      <c r="B544" s="1193"/>
      <c r="C544" s="1202" t="s">
        <v>729</v>
      </c>
      <c r="D544" s="1426"/>
      <c r="E544" s="1428"/>
      <c r="F544" s="1428"/>
    </row>
    <row r="545" spans="1:6" customFormat="1" ht="14.4" customHeight="1">
      <c r="A545" s="693"/>
      <c r="B545" s="1193">
        <v>1</v>
      </c>
      <c r="C545" s="1304" t="s">
        <v>2908</v>
      </c>
      <c r="D545" s="1426"/>
      <c r="E545" s="1428"/>
      <c r="F545" s="1428"/>
    </row>
    <row r="546" spans="1:6" customFormat="1" ht="14.4" customHeight="1">
      <c r="A546" s="693"/>
      <c r="B546" s="1193">
        <v>1</v>
      </c>
      <c r="C546" s="1198" t="s">
        <v>316</v>
      </c>
      <c r="D546" s="1436"/>
      <c r="E546" s="1437"/>
      <c r="F546" s="1437"/>
    </row>
    <row r="547" spans="1:6" customFormat="1" ht="14.4" customHeight="1" thickBot="1">
      <c r="A547" s="699"/>
      <c r="B547" s="1200"/>
      <c r="C547" s="1305"/>
      <c r="D547" s="1438"/>
      <c r="E547" s="1439"/>
      <c r="F547" s="1439"/>
    </row>
    <row r="548" spans="1:6" s="61" customFormat="1" ht="20.100000000000001" customHeight="1" thickBot="1">
      <c r="A548" s="1372">
        <v>13</v>
      </c>
      <c r="B548" s="1250">
        <v>1</v>
      </c>
      <c r="C548" s="1217" t="s">
        <v>3594</v>
      </c>
      <c r="D548" s="1424">
        <v>8635</v>
      </c>
      <c r="E548" s="1425"/>
      <c r="F548" s="1425">
        <v>8635</v>
      </c>
    </row>
    <row r="549" spans="1:6" customFormat="1" ht="14.4" customHeight="1">
      <c r="A549" s="685" t="s">
        <v>3064</v>
      </c>
      <c r="B549" s="1192"/>
      <c r="C549" s="1201" t="s">
        <v>2662</v>
      </c>
      <c r="D549" s="1433"/>
      <c r="E549" s="1434"/>
      <c r="F549" s="1434"/>
    </row>
    <row r="550" spans="1:6" customFormat="1" ht="26.4">
      <c r="A550" s="687" t="s">
        <v>3400</v>
      </c>
      <c r="B550" s="1193">
        <v>1</v>
      </c>
      <c r="C550" s="1204" t="s">
        <v>4483</v>
      </c>
      <c r="D550" s="1433"/>
      <c r="E550" s="1435"/>
      <c r="F550" s="1435"/>
    </row>
    <row r="551" spans="1:6" customFormat="1" ht="14.4" customHeight="1">
      <c r="A551" s="693" t="s">
        <v>6074</v>
      </c>
      <c r="B551" s="1293"/>
      <c r="C551" s="1303" t="s">
        <v>2654</v>
      </c>
      <c r="D551" s="1433"/>
      <c r="E551" s="1435"/>
      <c r="F551" s="1435"/>
    </row>
    <row r="552" spans="1:6" customFormat="1" ht="14.4" customHeight="1">
      <c r="A552" s="692"/>
      <c r="B552" s="1193">
        <v>14</v>
      </c>
      <c r="C552" s="1202" t="s">
        <v>4208</v>
      </c>
      <c r="D552" s="1433"/>
      <c r="E552" s="1435"/>
      <c r="F552" s="1435"/>
    </row>
    <row r="553" spans="1:6" customFormat="1" ht="14.4" customHeight="1">
      <c r="A553" s="698"/>
      <c r="B553" s="1193">
        <v>3</v>
      </c>
      <c r="C553" s="1304" t="s">
        <v>2924</v>
      </c>
      <c r="D553" s="1426"/>
      <c r="E553" s="1428"/>
      <c r="F553" s="1428"/>
    </row>
    <row r="554" spans="1:6" customFormat="1" ht="14.4" customHeight="1">
      <c r="A554" s="693"/>
      <c r="B554" s="1293"/>
      <c r="C554" s="1303" t="s">
        <v>3063</v>
      </c>
      <c r="D554" s="1433"/>
      <c r="E554" s="1435"/>
      <c r="F554" s="1435"/>
    </row>
    <row r="555" spans="1:6" customFormat="1" ht="14.4" customHeight="1">
      <c r="A555" s="698"/>
      <c r="B555" s="1193">
        <v>13</v>
      </c>
      <c r="C555" s="1202" t="s">
        <v>2001</v>
      </c>
      <c r="D555" s="1433"/>
      <c r="E555" s="1435"/>
      <c r="F555" s="1435"/>
    </row>
    <row r="556" spans="1:6" customFormat="1" ht="14.4" customHeight="1">
      <c r="A556" s="693" t="s">
        <v>3190</v>
      </c>
      <c r="B556" s="1193"/>
      <c r="C556" s="1202" t="s">
        <v>729</v>
      </c>
      <c r="D556" s="1426"/>
      <c r="E556" s="1428"/>
      <c r="F556" s="1428"/>
    </row>
    <row r="557" spans="1:6" customFormat="1" ht="14.4" customHeight="1">
      <c r="A557" s="928" t="s">
        <v>3314</v>
      </c>
      <c r="B557" s="1194">
        <v>1</v>
      </c>
      <c r="C557" s="1201" t="s">
        <v>5103</v>
      </c>
      <c r="D557" s="1426"/>
      <c r="E557" s="1427"/>
      <c r="F557" s="1427"/>
    </row>
    <row r="558" spans="1:6" customFormat="1" ht="14.4" customHeight="1">
      <c r="A558" s="928" t="s">
        <v>3315</v>
      </c>
      <c r="B558" s="1195">
        <v>3</v>
      </c>
      <c r="C558" s="1191" t="s">
        <v>3461</v>
      </c>
      <c r="D558" s="1426"/>
      <c r="E558" s="1428"/>
      <c r="F558" s="1428"/>
    </row>
    <row r="559" spans="1:6" customFormat="1" ht="14.4" customHeight="1">
      <c r="A559" s="928"/>
      <c r="B559" s="1199">
        <v>1</v>
      </c>
      <c r="C559" s="1205" t="s">
        <v>3366</v>
      </c>
      <c r="D559" s="1429"/>
      <c r="E559" s="1430"/>
      <c r="F559" s="1430"/>
    </row>
    <row r="560" spans="1:6" customFormat="1" ht="14.4" customHeight="1">
      <c r="A560" s="693" t="s">
        <v>3819</v>
      </c>
      <c r="B560" s="1193"/>
      <c r="C560" s="1202" t="s">
        <v>729</v>
      </c>
      <c r="D560" s="1426"/>
      <c r="E560" s="1428"/>
      <c r="F560" s="1428"/>
    </row>
    <row r="561" spans="1:6" customFormat="1" ht="14.4" customHeight="1">
      <c r="A561" s="693"/>
      <c r="B561" s="1194">
        <v>1</v>
      </c>
      <c r="C561" s="1201" t="s">
        <v>5106</v>
      </c>
      <c r="D561" s="1426"/>
      <c r="E561" s="1427"/>
      <c r="F561" s="1427"/>
    </row>
    <row r="562" spans="1:6" customFormat="1" ht="14.4" customHeight="1">
      <c r="A562" s="692"/>
      <c r="B562" s="1195">
        <v>2</v>
      </c>
      <c r="C562" s="1191" t="s">
        <v>3281</v>
      </c>
      <c r="D562" s="1426"/>
      <c r="E562" s="1428"/>
      <c r="F562" s="1428"/>
    </row>
    <row r="563" spans="1:6" customFormat="1" ht="14.4" customHeight="1">
      <c r="A563" s="951"/>
      <c r="B563" s="1193"/>
      <c r="C563" s="1202" t="s">
        <v>729</v>
      </c>
      <c r="D563" s="1426"/>
      <c r="E563" s="1428"/>
      <c r="F563" s="1428"/>
    </row>
    <row r="564" spans="1:6" customFormat="1" ht="14.4" customHeight="1">
      <c r="A564" s="693"/>
      <c r="B564" s="1193">
        <v>1</v>
      </c>
      <c r="C564" s="1304" t="s">
        <v>2908</v>
      </c>
      <c r="D564" s="1426"/>
      <c r="E564" s="1428"/>
      <c r="F564" s="1428"/>
    </row>
    <row r="565" spans="1:6" customFormat="1" ht="14.4" customHeight="1">
      <c r="A565" s="693"/>
      <c r="B565" s="1193">
        <v>1</v>
      </c>
      <c r="C565" s="1198" t="s">
        <v>316</v>
      </c>
      <c r="D565" s="1436"/>
      <c r="E565" s="1437"/>
      <c r="F565" s="1437"/>
    </row>
    <row r="566" spans="1:6" customFormat="1" ht="14.4" customHeight="1" thickBot="1">
      <c r="A566" s="699"/>
      <c r="B566" s="1200"/>
      <c r="C566" s="1305"/>
      <c r="D566" s="1438"/>
      <c r="E566" s="1439"/>
      <c r="F566" s="1439"/>
    </row>
    <row r="567" spans="1:6" s="61" customFormat="1" ht="20.100000000000001" customHeight="1" thickBot="1">
      <c r="A567" s="1372">
        <v>14</v>
      </c>
      <c r="B567" s="1250">
        <v>1</v>
      </c>
      <c r="C567" s="1217" t="s">
        <v>3595</v>
      </c>
      <c r="D567" s="1424">
        <v>7318</v>
      </c>
      <c r="E567" s="1425"/>
      <c r="F567" s="1425">
        <v>7318</v>
      </c>
    </row>
    <row r="568" spans="1:6" customFormat="1" ht="14.4" customHeight="1">
      <c r="A568" s="685" t="s">
        <v>3064</v>
      </c>
      <c r="B568" s="1192"/>
      <c r="C568" s="1201" t="s">
        <v>2662</v>
      </c>
      <c r="D568" s="1433"/>
      <c r="E568" s="1434"/>
      <c r="F568" s="1434"/>
    </row>
    <row r="569" spans="1:6" customFormat="1" ht="26.4">
      <c r="A569" s="687" t="s">
        <v>3400</v>
      </c>
      <c r="B569" s="1193">
        <v>1</v>
      </c>
      <c r="C569" s="1204" t="s">
        <v>4483</v>
      </c>
      <c r="D569" s="1433"/>
      <c r="E569" s="1435"/>
      <c r="F569" s="1435"/>
    </row>
    <row r="570" spans="1:6" customFormat="1" ht="14.4" customHeight="1">
      <c r="A570" s="693" t="s">
        <v>6074</v>
      </c>
      <c r="B570" s="1293"/>
      <c r="C570" s="1303" t="s">
        <v>2654</v>
      </c>
      <c r="D570" s="1433"/>
      <c r="E570" s="1435"/>
      <c r="F570" s="1435"/>
    </row>
    <row r="571" spans="1:6" customFormat="1" ht="14.4" customHeight="1">
      <c r="A571" s="692"/>
      <c r="B571" s="1193">
        <v>11</v>
      </c>
      <c r="C571" s="1202" t="s">
        <v>4208</v>
      </c>
      <c r="D571" s="1433"/>
      <c r="E571" s="1435"/>
      <c r="F571" s="1435"/>
    </row>
    <row r="572" spans="1:6" customFormat="1" ht="14.4" customHeight="1">
      <c r="A572" s="698"/>
      <c r="B572" s="1193">
        <v>3</v>
      </c>
      <c r="C572" s="1304" t="s">
        <v>2924</v>
      </c>
      <c r="D572" s="1426"/>
      <c r="E572" s="1428"/>
      <c r="F572" s="1428"/>
    </row>
    <row r="573" spans="1:6" customFormat="1" ht="14.4" customHeight="1">
      <c r="A573" s="693"/>
      <c r="B573" s="1293"/>
      <c r="C573" s="1303" t="s">
        <v>3063</v>
      </c>
      <c r="D573" s="1433"/>
      <c r="E573" s="1435"/>
      <c r="F573" s="1435"/>
    </row>
    <row r="574" spans="1:6" customFormat="1" ht="14.4" customHeight="1">
      <c r="A574" s="698"/>
      <c r="B574" s="1193">
        <v>10</v>
      </c>
      <c r="C574" s="1202" t="s">
        <v>2001</v>
      </c>
      <c r="D574" s="1433"/>
      <c r="E574" s="1435"/>
      <c r="F574" s="1435"/>
    </row>
    <row r="575" spans="1:6" customFormat="1" ht="14.4" customHeight="1">
      <c r="A575" s="693" t="s">
        <v>3190</v>
      </c>
      <c r="B575" s="1193"/>
      <c r="C575" s="1202" t="s">
        <v>729</v>
      </c>
      <c r="D575" s="1426"/>
      <c r="E575" s="1428"/>
      <c r="F575" s="1428"/>
    </row>
    <row r="576" spans="1:6" customFormat="1" ht="14.4" customHeight="1">
      <c r="A576" s="928" t="s">
        <v>3314</v>
      </c>
      <c r="B576" s="1194">
        <v>1</v>
      </c>
      <c r="C576" s="1201" t="s">
        <v>5103</v>
      </c>
      <c r="D576" s="1426"/>
      <c r="E576" s="1427"/>
      <c r="F576" s="1427"/>
    </row>
    <row r="577" spans="1:6" customFormat="1" ht="14.4" customHeight="1">
      <c r="A577" s="928" t="s">
        <v>3315</v>
      </c>
      <c r="B577" s="1195">
        <v>3</v>
      </c>
      <c r="C577" s="1191" t="s">
        <v>3461</v>
      </c>
      <c r="D577" s="1426"/>
      <c r="E577" s="1428"/>
      <c r="F577" s="1428"/>
    </row>
    <row r="578" spans="1:6" customFormat="1" ht="14.4" customHeight="1">
      <c r="A578" s="928"/>
      <c r="B578" s="1199">
        <v>1</v>
      </c>
      <c r="C578" s="1205" t="s">
        <v>3366</v>
      </c>
      <c r="D578" s="1429"/>
      <c r="E578" s="1430"/>
      <c r="F578" s="1430"/>
    </row>
    <row r="579" spans="1:6" customFormat="1" ht="14.4" customHeight="1">
      <c r="A579" s="693" t="s">
        <v>3819</v>
      </c>
      <c r="B579" s="1193"/>
      <c r="C579" s="1202" t="s">
        <v>729</v>
      </c>
      <c r="D579" s="1426"/>
      <c r="E579" s="1428"/>
      <c r="F579" s="1428"/>
    </row>
    <row r="580" spans="1:6" customFormat="1" ht="14.4" customHeight="1">
      <c r="A580" s="693"/>
      <c r="B580" s="1194">
        <v>1</v>
      </c>
      <c r="C580" s="1201" t="s">
        <v>5106</v>
      </c>
      <c r="D580" s="1426"/>
      <c r="E580" s="1427"/>
      <c r="F580" s="1427"/>
    </row>
    <row r="581" spans="1:6" customFormat="1" ht="14.4" customHeight="1">
      <c r="A581" s="692"/>
      <c r="B581" s="1195">
        <v>2</v>
      </c>
      <c r="C581" s="1191" t="s">
        <v>3281</v>
      </c>
      <c r="D581" s="1426"/>
      <c r="E581" s="1428"/>
      <c r="F581" s="1428"/>
    </row>
    <row r="582" spans="1:6" customFormat="1" ht="14.4" customHeight="1">
      <c r="A582" s="951"/>
      <c r="B582" s="1193"/>
      <c r="C582" s="1202" t="s">
        <v>729</v>
      </c>
      <c r="D582" s="1426"/>
      <c r="E582" s="1428"/>
      <c r="F582" s="1428"/>
    </row>
    <row r="583" spans="1:6" customFormat="1" ht="14.4" customHeight="1">
      <c r="A583" s="693"/>
      <c r="B583" s="1193">
        <v>1</v>
      </c>
      <c r="C583" s="1304" t="s">
        <v>2908</v>
      </c>
      <c r="D583" s="1426"/>
      <c r="E583" s="1428"/>
      <c r="F583" s="1428"/>
    </row>
    <row r="584" spans="1:6" customFormat="1" ht="14.4" customHeight="1">
      <c r="A584" s="693"/>
      <c r="B584" s="1193">
        <v>1</v>
      </c>
      <c r="C584" s="1198" t="s">
        <v>316</v>
      </c>
      <c r="D584" s="1436"/>
      <c r="E584" s="1437"/>
      <c r="F584" s="1437"/>
    </row>
    <row r="585" spans="1:6" customFormat="1" ht="14.4" customHeight="1" thickBot="1">
      <c r="A585" s="699"/>
      <c r="B585" s="1200"/>
      <c r="C585" s="1305"/>
      <c r="D585" s="1438"/>
      <c r="E585" s="1439"/>
      <c r="F585" s="1439"/>
    </row>
    <row r="586" spans="1:6" s="61" customFormat="1" ht="20.100000000000001" customHeight="1" thickBot="1">
      <c r="A586" s="1372">
        <v>15</v>
      </c>
      <c r="B586" s="1250">
        <v>1</v>
      </c>
      <c r="C586" s="1217" t="s">
        <v>3596</v>
      </c>
      <c r="D586" s="1424">
        <v>6395</v>
      </c>
      <c r="E586" s="1425"/>
      <c r="F586" s="1425">
        <v>6395</v>
      </c>
    </row>
    <row r="587" spans="1:6" customFormat="1" ht="14.4" customHeight="1">
      <c r="A587" s="685" t="s">
        <v>3064</v>
      </c>
      <c r="B587" s="1192"/>
      <c r="C587" s="1201" t="s">
        <v>2662</v>
      </c>
      <c r="D587" s="1433"/>
      <c r="E587" s="1434"/>
      <c r="F587" s="1434"/>
    </row>
    <row r="588" spans="1:6" customFormat="1" ht="26.4">
      <c r="A588" s="687" t="s">
        <v>3400</v>
      </c>
      <c r="B588" s="1193">
        <v>1</v>
      </c>
      <c r="C588" s="1204" t="s">
        <v>4388</v>
      </c>
      <c r="D588" s="1433"/>
      <c r="E588" s="1435"/>
      <c r="F588" s="1435"/>
    </row>
    <row r="589" spans="1:6" customFormat="1" ht="14.4" customHeight="1">
      <c r="A589" s="693" t="s">
        <v>6074</v>
      </c>
      <c r="B589" s="1293"/>
      <c r="C589" s="1303" t="s">
        <v>2654</v>
      </c>
      <c r="D589" s="1433"/>
      <c r="E589" s="1435"/>
      <c r="F589" s="1435"/>
    </row>
    <row r="590" spans="1:6" customFormat="1" ht="14.4" customHeight="1">
      <c r="A590" s="692"/>
      <c r="B590" s="1193">
        <v>10</v>
      </c>
      <c r="C590" s="1202" t="s">
        <v>4208</v>
      </c>
      <c r="D590" s="1433"/>
      <c r="E590" s="1435"/>
      <c r="F590" s="1435"/>
    </row>
    <row r="591" spans="1:6" customFormat="1" ht="14.4" customHeight="1">
      <c r="A591" s="698"/>
      <c r="B591" s="1193">
        <v>3</v>
      </c>
      <c r="C591" s="1304" t="s">
        <v>2924</v>
      </c>
      <c r="D591" s="1426"/>
      <c r="E591" s="1428"/>
      <c r="F591" s="1428"/>
    </row>
    <row r="592" spans="1:6" customFormat="1" ht="14.4" customHeight="1">
      <c r="A592" s="693"/>
      <c r="B592" s="1293"/>
      <c r="C592" s="1303" t="s">
        <v>3063</v>
      </c>
      <c r="D592" s="1433"/>
      <c r="E592" s="1435"/>
      <c r="F592" s="1435"/>
    </row>
    <row r="593" spans="1:6" customFormat="1" ht="14.4" customHeight="1">
      <c r="A593" s="698"/>
      <c r="B593" s="1193">
        <v>9</v>
      </c>
      <c r="C593" s="1202" t="s">
        <v>2001</v>
      </c>
      <c r="D593" s="1433"/>
      <c r="E593" s="1435"/>
      <c r="F593" s="1435"/>
    </row>
    <row r="594" spans="1:6" customFormat="1" ht="14.4" customHeight="1">
      <c r="A594" s="693" t="s">
        <v>3190</v>
      </c>
      <c r="B594" s="1193"/>
      <c r="C594" s="1202" t="s">
        <v>729</v>
      </c>
      <c r="D594" s="1426"/>
      <c r="E594" s="1428"/>
      <c r="F594" s="1428"/>
    </row>
    <row r="595" spans="1:6" customFormat="1" ht="14.4" customHeight="1">
      <c r="A595" s="928" t="s">
        <v>3314</v>
      </c>
      <c r="B595" s="1194">
        <v>1</v>
      </c>
      <c r="C595" s="1201" t="s">
        <v>5103</v>
      </c>
      <c r="D595" s="1426"/>
      <c r="E595" s="1427"/>
      <c r="F595" s="1427"/>
    </row>
    <row r="596" spans="1:6" customFormat="1" ht="14.4" customHeight="1">
      <c r="A596" s="928" t="s">
        <v>3315</v>
      </c>
      <c r="B596" s="1195">
        <v>3</v>
      </c>
      <c r="C596" s="1191" t="s">
        <v>3461</v>
      </c>
      <c r="D596" s="1426"/>
      <c r="E596" s="1428"/>
      <c r="F596" s="1428"/>
    </row>
    <row r="597" spans="1:6" customFormat="1" ht="14.4" customHeight="1">
      <c r="A597" s="928"/>
      <c r="B597" s="1199">
        <v>1</v>
      </c>
      <c r="C597" s="1205" t="s">
        <v>3366</v>
      </c>
      <c r="D597" s="1429"/>
      <c r="E597" s="1430"/>
      <c r="F597" s="1430"/>
    </row>
    <row r="598" spans="1:6" customFormat="1" ht="14.4" customHeight="1">
      <c r="A598" s="693" t="s">
        <v>3819</v>
      </c>
      <c r="B598" s="1193"/>
      <c r="C598" s="1202" t="s">
        <v>729</v>
      </c>
      <c r="D598" s="1426"/>
      <c r="E598" s="1428"/>
      <c r="F598" s="1428"/>
    </row>
    <row r="599" spans="1:6" customFormat="1" ht="14.4" customHeight="1">
      <c r="A599" s="693"/>
      <c r="B599" s="1194">
        <v>1</v>
      </c>
      <c r="C599" s="1201" t="s">
        <v>5106</v>
      </c>
      <c r="D599" s="1426"/>
      <c r="E599" s="1427"/>
      <c r="F599" s="1427"/>
    </row>
    <row r="600" spans="1:6" customFormat="1" ht="14.4" customHeight="1">
      <c r="A600" s="692"/>
      <c r="B600" s="1195">
        <v>2</v>
      </c>
      <c r="C600" s="1191" t="s">
        <v>3281</v>
      </c>
      <c r="D600" s="1426"/>
      <c r="E600" s="1428"/>
      <c r="F600" s="1428"/>
    </row>
    <row r="601" spans="1:6" customFormat="1" ht="14.4" customHeight="1">
      <c r="A601" s="951"/>
      <c r="B601" s="1193"/>
      <c r="C601" s="1202" t="s">
        <v>729</v>
      </c>
      <c r="D601" s="1426"/>
      <c r="E601" s="1428"/>
      <c r="F601" s="1428"/>
    </row>
    <row r="602" spans="1:6" customFormat="1" ht="14.4" customHeight="1">
      <c r="A602" s="693"/>
      <c r="B602" s="1193">
        <v>1</v>
      </c>
      <c r="C602" s="1304" t="s">
        <v>2908</v>
      </c>
      <c r="D602" s="1426"/>
      <c r="E602" s="1428"/>
      <c r="F602" s="1428"/>
    </row>
    <row r="603" spans="1:6" customFormat="1" ht="14.4" customHeight="1">
      <c r="A603" s="693"/>
      <c r="B603" s="1193">
        <v>1</v>
      </c>
      <c r="C603" s="1198" t="s">
        <v>316</v>
      </c>
      <c r="D603" s="1436"/>
      <c r="E603" s="1437"/>
      <c r="F603" s="1437"/>
    </row>
    <row r="604" spans="1:6" customFormat="1" ht="14.4" customHeight="1" thickBot="1">
      <c r="A604" s="699"/>
      <c r="B604" s="1200"/>
      <c r="C604" s="1305"/>
      <c r="D604" s="1438"/>
      <c r="E604" s="1439"/>
      <c r="F604" s="1439"/>
    </row>
    <row r="605" spans="1:6" s="61" customFormat="1" ht="20.100000000000001" customHeight="1" thickBot="1">
      <c r="A605" s="1372">
        <v>16</v>
      </c>
      <c r="B605" s="1250">
        <v>1</v>
      </c>
      <c r="C605" s="1217" t="s">
        <v>3597</v>
      </c>
      <c r="D605" s="1424">
        <v>8181</v>
      </c>
      <c r="E605" s="1425"/>
      <c r="F605" s="1425">
        <v>8181</v>
      </c>
    </row>
    <row r="606" spans="1:6" customFormat="1" ht="14.4" customHeight="1">
      <c r="A606" s="685" t="s">
        <v>3064</v>
      </c>
      <c r="B606" s="1192"/>
      <c r="C606" s="1201" t="s">
        <v>2662</v>
      </c>
      <c r="D606" s="1433"/>
      <c r="E606" s="1434"/>
      <c r="F606" s="1434"/>
    </row>
    <row r="607" spans="1:6" customFormat="1" ht="26.4">
      <c r="A607" s="687" t="s">
        <v>3400</v>
      </c>
      <c r="B607" s="1193">
        <v>1</v>
      </c>
      <c r="C607" s="1204" t="s">
        <v>4483</v>
      </c>
      <c r="D607" s="1433"/>
      <c r="E607" s="1435"/>
      <c r="F607" s="1435"/>
    </row>
    <row r="608" spans="1:6" customFormat="1" ht="14.4" customHeight="1">
      <c r="A608" s="693" t="s">
        <v>6074</v>
      </c>
      <c r="B608" s="1293"/>
      <c r="C608" s="1303" t="s">
        <v>2654</v>
      </c>
      <c r="D608" s="1433"/>
      <c r="E608" s="1435"/>
      <c r="F608" s="1435"/>
    </row>
    <row r="609" spans="1:6" customFormat="1" ht="14.4" customHeight="1">
      <c r="A609" s="692"/>
      <c r="B609" s="1193">
        <v>13</v>
      </c>
      <c r="C609" s="1202" t="s">
        <v>4208</v>
      </c>
      <c r="D609" s="1433"/>
      <c r="E609" s="1435"/>
      <c r="F609" s="1435"/>
    </row>
    <row r="610" spans="1:6" customFormat="1" ht="14.4" customHeight="1">
      <c r="A610" s="698"/>
      <c r="B610" s="1193">
        <v>3</v>
      </c>
      <c r="C610" s="1304" t="s">
        <v>2924</v>
      </c>
      <c r="D610" s="1426"/>
      <c r="E610" s="1428"/>
      <c r="F610" s="1428"/>
    </row>
    <row r="611" spans="1:6" customFormat="1" ht="14.4" customHeight="1">
      <c r="A611" s="693"/>
      <c r="B611" s="1293"/>
      <c r="C611" s="1303" t="s">
        <v>3063</v>
      </c>
      <c r="D611" s="1433"/>
      <c r="E611" s="1435"/>
      <c r="F611" s="1435"/>
    </row>
    <row r="612" spans="1:6" customFormat="1" ht="14.4" customHeight="1">
      <c r="A612" s="698"/>
      <c r="B612" s="1193">
        <v>12</v>
      </c>
      <c r="C612" s="1202" t="s">
        <v>2001</v>
      </c>
      <c r="D612" s="1433"/>
      <c r="E612" s="1435"/>
      <c r="F612" s="1435"/>
    </row>
    <row r="613" spans="1:6" customFormat="1" ht="14.4" customHeight="1">
      <c r="A613" s="693" t="s">
        <v>3190</v>
      </c>
      <c r="B613" s="1193"/>
      <c r="C613" s="1202" t="s">
        <v>729</v>
      </c>
      <c r="D613" s="1426"/>
      <c r="E613" s="1428"/>
      <c r="F613" s="1428"/>
    </row>
    <row r="614" spans="1:6" customFormat="1" ht="14.4" customHeight="1">
      <c r="A614" s="928" t="s">
        <v>3314</v>
      </c>
      <c r="B614" s="1194">
        <v>1</v>
      </c>
      <c r="C614" s="1201" t="s">
        <v>5103</v>
      </c>
      <c r="D614" s="1426"/>
      <c r="E614" s="1427"/>
      <c r="F614" s="1427"/>
    </row>
    <row r="615" spans="1:6" customFormat="1" ht="14.4" customHeight="1">
      <c r="A615" s="928" t="s">
        <v>3315</v>
      </c>
      <c r="B615" s="1195">
        <v>3</v>
      </c>
      <c r="C615" s="1191" t="s">
        <v>3461</v>
      </c>
      <c r="D615" s="1426"/>
      <c r="E615" s="1428"/>
      <c r="F615" s="1428"/>
    </row>
    <row r="616" spans="1:6" customFormat="1" ht="14.4" customHeight="1">
      <c r="A616" s="928"/>
      <c r="B616" s="1199">
        <v>1</v>
      </c>
      <c r="C616" s="1205" t="s">
        <v>3366</v>
      </c>
      <c r="D616" s="1429"/>
      <c r="E616" s="1430"/>
      <c r="F616" s="1430"/>
    </row>
    <row r="617" spans="1:6" customFormat="1" ht="14.4" customHeight="1">
      <c r="A617" s="693" t="s">
        <v>3819</v>
      </c>
      <c r="B617" s="1193"/>
      <c r="C617" s="1202" t="s">
        <v>729</v>
      </c>
      <c r="D617" s="1426"/>
      <c r="E617" s="1428"/>
      <c r="F617" s="1428"/>
    </row>
    <row r="618" spans="1:6" customFormat="1" ht="14.4" customHeight="1">
      <c r="A618" s="693"/>
      <c r="B618" s="1194">
        <v>1</v>
      </c>
      <c r="C618" s="1201" t="s">
        <v>5106</v>
      </c>
      <c r="D618" s="1426"/>
      <c r="E618" s="1427"/>
      <c r="F618" s="1427"/>
    </row>
    <row r="619" spans="1:6" customFormat="1" ht="14.4" customHeight="1">
      <c r="A619" s="692"/>
      <c r="B619" s="1195">
        <v>2</v>
      </c>
      <c r="C619" s="1191" t="s">
        <v>3281</v>
      </c>
      <c r="D619" s="1426"/>
      <c r="E619" s="1428"/>
      <c r="F619" s="1428"/>
    </row>
    <row r="620" spans="1:6" customFormat="1" ht="14.4" customHeight="1">
      <c r="A620" s="951"/>
      <c r="B620" s="1193"/>
      <c r="C620" s="1202" t="s">
        <v>729</v>
      </c>
      <c r="D620" s="1426"/>
      <c r="E620" s="1428"/>
      <c r="F620" s="1428"/>
    </row>
    <row r="621" spans="1:6" customFormat="1" ht="14.4" customHeight="1">
      <c r="A621" s="693"/>
      <c r="B621" s="1193">
        <v>1</v>
      </c>
      <c r="C621" s="1304" t="s">
        <v>2908</v>
      </c>
      <c r="D621" s="1426"/>
      <c r="E621" s="1428"/>
      <c r="F621" s="1428"/>
    </row>
    <row r="622" spans="1:6" customFormat="1" ht="14.4" customHeight="1">
      <c r="A622" s="693"/>
      <c r="B622" s="1193">
        <v>1</v>
      </c>
      <c r="C622" s="1198" t="s">
        <v>316</v>
      </c>
      <c r="D622" s="1436"/>
      <c r="E622" s="1437"/>
      <c r="F622" s="1437"/>
    </row>
    <row r="623" spans="1:6" customFormat="1" ht="14.4" customHeight="1" thickBot="1">
      <c r="A623" s="699"/>
      <c r="B623" s="1200"/>
      <c r="C623" s="1305"/>
      <c r="D623" s="1438"/>
      <c r="E623" s="1439"/>
      <c r="F623" s="1439"/>
    </row>
    <row r="624" spans="1:6" s="61" customFormat="1" ht="20.100000000000001" customHeight="1" thickBot="1">
      <c r="A624" s="1372">
        <v>17</v>
      </c>
      <c r="B624" s="1250">
        <v>1</v>
      </c>
      <c r="C624" s="1217" t="s">
        <v>3559</v>
      </c>
      <c r="D624" s="1424">
        <v>3855</v>
      </c>
      <c r="E624" s="1425"/>
      <c r="F624" s="1425">
        <v>3855</v>
      </c>
    </row>
    <row r="625" spans="1:6" customFormat="1" ht="14.4" customHeight="1">
      <c r="A625" s="685" t="s">
        <v>3064</v>
      </c>
      <c r="B625" s="1192"/>
      <c r="C625" s="1201" t="s">
        <v>2662</v>
      </c>
      <c r="D625" s="1433"/>
      <c r="E625" s="1434"/>
      <c r="F625" s="1434"/>
    </row>
    <row r="626" spans="1:6" customFormat="1" ht="26.4">
      <c r="A626" s="687" t="s">
        <v>5107</v>
      </c>
      <c r="B626" s="1193">
        <v>1</v>
      </c>
      <c r="C626" s="1204" t="s">
        <v>4386</v>
      </c>
      <c r="D626" s="1433"/>
      <c r="E626" s="1435"/>
      <c r="F626" s="1435"/>
    </row>
    <row r="627" spans="1:6" customFormat="1" ht="14.4" customHeight="1">
      <c r="A627" s="687" t="s">
        <v>4136</v>
      </c>
      <c r="B627" s="1193"/>
      <c r="C627" s="1202" t="s">
        <v>729</v>
      </c>
      <c r="D627" s="1426"/>
      <c r="E627" s="1428"/>
      <c r="F627" s="1428"/>
    </row>
    <row r="628" spans="1:6" customFormat="1" ht="14.4" customHeight="1">
      <c r="A628" s="687"/>
      <c r="B628" s="1293"/>
      <c r="C628" s="1303" t="s">
        <v>2654</v>
      </c>
      <c r="D628" s="1433"/>
      <c r="E628" s="1435"/>
      <c r="F628" s="1435"/>
    </row>
    <row r="629" spans="1:6" customFormat="1" ht="14.4" customHeight="1">
      <c r="A629" s="693" t="s">
        <v>6075</v>
      </c>
      <c r="B629" s="1193">
        <v>6</v>
      </c>
      <c r="C629" s="1202" t="s">
        <v>4208</v>
      </c>
      <c r="D629" s="1433"/>
      <c r="E629" s="1435"/>
      <c r="F629" s="1435"/>
    </row>
    <row r="630" spans="1:6" customFormat="1" ht="14.4" customHeight="1">
      <c r="A630" s="693"/>
      <c r="B630" s="1193">
        <v>4</v>
      </c>
      <c r="C630" s="1202" t="s">
        <v>2001</v>
      </c>
      <c r="D630" s="1433"/>
      <c r="E630" s="1435"/>
      <c r="F630" s="1435"/>
    </row>
    <row r="631" spans="1:6" customFormat="1" ht="14.4" customHeight="1">
      <c r="A631" s="687" t="s">
        <v>3541</v>
      </c>
      <c r="B631" s="1193">
        <v>2</v>
      </c>
      <c r="C631" s="1202" t="s">
        <v>6076</v>
      </c>
      <c r="D631" s="1433"/>
      <c r="E631" s="1435"/>
      <c r="F631" s="1435"/>
    </row>
    <row r="632" spans="1:6" customFormat="1" ht="14.4" customHeight="1">
      <c r="A632" s="1208"/>
      <c r="B632" s="1193"/>
      <c r="C632" s="1202" t="s">
        <v>729</v>
      </c>
      <c r="D632" s="1426"/>
      <c r="E632" s="1428"/>
      <c r="F632" s="1428"/>
    </row>
    <row r="633" spans="1:6" customFormat="1" ht="14.4" customHeight="1">
      <c r="A633" s="912" t="s">
        <v>3190</v>
      </c>
      <c r="B633" s="1194">
        <v>1</v>
      </c>
      <c r="C633" s="1201" t="s">
        <v>5103</v>
      </c>
      <c r="D633" s="1426"/>
      <c r="E633" s="1427"/>
      <c r="F633" s="1427"/>
    </row>
    <row r="634" spans="1:6" customFormat="1" ht="14.4" customHeight="1">
      <c r="A634" s="913" t="s">
        <v>3543</v>
      </c>
      <c r="B634" s="1195">
        <v>3</v>
      </c>
      <c r="C634" s="1191" t="s">
        <v>3461</v>
      </c>
      <c r="D634" s="1426"/>
      <c r="E634" s="1428"/>
      <c r="F634" s="1428"/>
    </row>
    <row r="635" spans="1:6" customFormat="1" ht="14.4" customHeight="1">
      <c r="A635" s="1371" t="s">
        <v>3544</v>
      </c>
      <c r="B635" s="1199">
        <v>1</v>
      </c>
      <c r="C635" s="1205" t="s">
        <v>3366</v>
      </c>
      <c r="D635" s="1429"/>
      <c r="E635" s="1430"/>
      <c r="F635" s="1430"/>
    </row>
    <row r="636" spans="1:6" customFormat="1" ht="14.4" customHeight="1">
      <c r="A636" s="693"/>
      <c r="B636" s="1193"/>
      <c r="C636" s="1202" t="s">
        <v>729</v>
      </c>
      <c r="D636" s="1426"/>
      <c r="E636" s="1428"/>
      <c r="F636" s="1428"/>
    </row>
    <row r="637" spans="1:6" customFormat="1" ht="14.4" customHeight="1">
      <c r="A637" s="928"/>
      <c r="B637" s="1194">
        <v>1</v>
      </c>
      <c r="C637" s="1201" t="s">
        <v>5106</v>
      </c>
      <c r="D637" s="1426"/>
      <c r="E637" s="1427"/>
      <c r="F637" s="1427"/>
    </row>
    <row r="638" spans="1:6" customFormat="1" ht="14.4" customHeight="1">
      <c r="A638" s="951"/>
      <c r="B638" s="1195">
        <v>2</v>
      </c>
      <c r="C638" s="1191" t="s">
        <v>3281</v>
      </c>
      <c r="D638" s="1426"/>
      <c r="E638" s="1428"/>
      <c r="F638" s="1428"/>
    </row>
    <row r="639" spans="1:6" customFormat="1" ht="14.4" customHeight="1">
      <c r="A639" s="1371"/>
      <c r="B639" s="1193"/>
      <c r="C639" s="1202" t="s">
        <v>729</v>
      </c>
      <c r="D639" s="1426"/>
      <c r="E639" s="1428"/>
      <c r="F639" s="1428"/>
    </row>
    <row r="640" spans="1:6" customFormat="1" ht="14.4" customHeight="1">
      <c r="A640" s="693"/>
      <c r="B640" s="1193">
        <v>1</v>
      </c>
      <c r="C640" s="1304" t="s">
        <v>2908</v>
      </c>
      <c r="D640" s="1426"/>
      <c r="E640" s="1428"/>
      <c r="F640" s="1428"/>
    </row>
    <row r="641" spans="1:6" customFormat="1" ht="14.4" customHeight="1">
      <c r="A641" s="691"/>
      <c r="B641" s="1193">
        <v>1</v>
      </c>
      <c r="C641" s="1198" t="s">
        <v>316</v>
      </c>
      <c r="D641" s="1436"/>
      <c r="E641" s="1437"/>
      <c r="F641" s="1437"/>
    </row>
    <row r="642" spans="1:6" customFormat="1" ht="14.4" customHeight="1" thickBot="1">
      <c r="A642" s="699"/>
      <c r="B642" s="1200"/>
      <c r="C642" s="1305"/>
      <c r="D642" s="1438"/>
      <c r="E642" s="1439"/>
      <c r="F642" s="1439"/>
    </row>
    <row r="643" spans="1:6" s="61" customFormat="1" ht="20.100000000000001" customHeight="1" thickBot="1">
      <c r="A643" s="1372">
        <v>18</v>
      </c>
      <c r="B643" s="1250">
        <v>1</v>
      </c>
      <c r="C643" s="1217" t="s">
        <v>3558</v>
      </c>
      <c r="D643" s="1424">
        <v>7084</v>
      </c>
      <c r="E643" s="1425"/>
      <c r="F643" s="1425">
        <v>7084</v>
      </c>
    </row>
    <row r="644" spans="1:6" customFormat="1" ht="14.4" customHeight="1">
      <c r="A644" s="685" t="s">
        <v>3064</v>
      </c>
      <c r="B644" s="1192"/>
      <c r="C644" s="1201" t="s">
        <v>2662</v>
      </c>
      <c r="D644" s="1433"/>
      <c r="E644" s="1434"/>
      <c r="F644" s="1434"/>
    </row>
    <row r="645" spans="1:6" customFormat="1" ht="26.4">
      <c r="A645" s="687" t="s">
        <v>5107</v>
      </c>
      <c r="B645" s="1193">
        <v>1</v>
      </c>
      <c r="C645" s="1204" t="s">
        <v>4483</v>
      </c>
      <c r="D645" s="1433"/>
      <c r="E645" s="1435"/>
      <c r="F645" s="1435"/>
    </row>
    <row r="646" spans="1:6" customFormat="1" ht="14.4" customHeight="1">
      <c r="A646" s="687" t="s">
        <v>4136</v>
      </c>
      <c r="B646" s="1193"/>
      <c r="C646" s="1202" t="s">
        <v>729</v>
      </c>
      <c r="D646" s="1426"/>
      <c r="E646" s="1428"/>
      <c r="F646" s="1428"/>
    </row>
    <row r="647" spans="1:6" customFormat="1" ht="14.4" customHeight="1">
      <c r="A647" s="687"/>
      <c r="B647" s="1293"/>
      <c r="C647" s="1303" t="s">
        <v>2654</v>
      </c>
      <c r="D647" s="1433"/>
      <c r="E647" s="1435"/>
      <c r="F647" s="1435"/>
    </row>
    <row r="648" spans="1:6" customFormat="1" ht="14.4" customHeight="1">
      <c r="A648" s="693" t="s">
        <v>6075</v>
      </c>
      <c r="B648" s="1193">
        <v>11</v>
      </c>
      <c r="C648" s="1202" t="s">
        <v>4208</v>
      </c>
      <c r="D648" s="1433"/>
      <c r="E648" s="1435"/>
      <c r="F648" s="1435"/>
    </row>
    <row r="649" spans="1:6" customFormat="1" ht="14.4" customHeight="1">
      <c r="A649" s="693"/>
      <c r="B649" s="1193">
        <v>10</v>
      </c>
      <c r="C649" s="1202" t="s">
        <v>2001</v>
      </c>
      <c r="D649" s="1433"/>
      <c r="E649" s="1435"/>
      <c r="F649" s="1435"/>
    </row>
    <row r="650" spans="1:6" customFormat="1" ht="14.4" customHeight="1">
      <c r="A650" s="687" t="s">
        <v>3541</v>
      </c>
      <c r="B650" s="1193">
        <v>3</v>
      </c>
      <c r="C650" s="1202" t="s">
        <v>6076</v>
      </c>
      <c r="D650" s="1433"/>
      <c r="E650" s="1435"/>
      <c r="F650" s="1435"/>
    </row>
    <row r="651" spans="1:6" customFormat="1" ht="14.4" customHeight="1">
      <c r="A651" s="1208"/>
      <c r="B651" s="1193"/>
      <c r="C651" s="1202" t="s">
        <v>729</v>
      </c>
      <c r="D651" s="1426"/>
      <c r="E651" s="1428"/>
      <c r="F651" s="1428"/>
    </row>
    <row r="652" spans="1:6" customFormat="1" ht="14.4" customHeight="1">
      <c r="A652" s="912" t="s">
        <v>3190</v>
      </c>
      <c r="B652" s="1194">
        <v>1</v>
      </c>
      <c r="C652" s="1201" t="s">
        <v>5103</v>
      </c>
      <c r="D652" s="1426"/>
      <c r="E652" s="1427"/>
      <c r="F652" s="1427"/>
    </row>
    <row r="653" spans="1:6" customFormat="1" ht="14.4" customHeight="1">
      <c r="A653" s="913" t="s">
        <v>3543</v>
      </c>
      <c r="B653" s="1195">
        <v>3</v>
      </c>
      <c r="C653" s="1191" t="s">
        <v>3461</v>
      </c>
      <c r="D653" s="1426"/>
      <c r="E653" s="1428"/>
      <c r="F653" s="1428"/>
    </row>
    <row r="654" spans="1:6" customFormat="1" ht="14.4" customHeight="1">
      <c r="A654" s="1371" t="s">
        <v>3544</v>
      </c>
      <c r="B654" s="1199">
        <v>1</v>
      </c>
      <c r="C654" s="1205" t="s">
        <v>3366</v>
      </c>
      <c r="D654" s="1429"/>
      <c r="E654" s="1430"/>
      <c r="F654" s="1430"/>
    </row>
    <row r="655" spans="1:6" customFormat="1" ht="14.4" customHeight="1">
      <c r="A655" s="693"/>
      <c r="B655" s="1193"/>
      <c r="C655" s="1202" t="s">
        <v>729</v>
      </c>
      <c r="D655" s="1426"/>
      <c r="E655" s="1428"/>
      <c r="F655" s="1428"/>
    </row>
    <row r="656" spans="1:6" customFormat="1" ht="14.4" customHeight="1">
      <c r="A656" s="928"/>
      <c r="B656" s="1194">
        <v>1</v>
      </c>
      <c r="C656" s="1201" t="s">
        <v>5106</v>
      </c>
      <c r="D656" s="1426"/>
      <c r="E656" s="1427"/>
      <c r="F656" s="1427"/>
    </row>
    <row r="657" spans="1:6" customFormat="1" ht="14.4" customHeight="1">
      <c r="A657" s="951"/>
      <c r="B657" s="1195">
        <v>2</v>
      </c>
      <c r="C657" s="1191" t="s">
        <v>3281</v>
      </c>
      <c r="D657" s="1426"/>
      <c r="E657" s="1428"/>
      <c r="F657" s="1428"/>
    </row>
    <row r="658" spans="1:6" customFormat="1" ht="14.4" customHeight="1">
      <c r="A658" s="1371"/>
      <c r="B658" s="1193"/>
      <c r="C658" s="1202" t="s">
        <v>729</v>
      </c>
      <c r="D658" s="1426"/>
      <c r="E658" s="1428"/>
      <c r="F658" s="1428"/>
    </row>
    <row r="659" spans="1:6" customFormat="1" ht="14.4" customHeight="1">
      <c r="A659" s="693"/>
      <c r="B659" s="1193">
        <v>1</v>
      </c>
      <c r="C659" s="1304" t="s">
        <v>2908</v>
      </c>
      <c r="D659" s="1426"/>
      <c r="E659" s="1428"/>
      <c r="F659" s="1428"/>
    </row>
    <row r="660" spans="1:6" customFormat="1" ht="14.4" customHeight="1">
      <c r="A660" s="691"/>
      <c r="B660" s="1193">
        <v>1</v>
      </c>
      <c r="C660" s="1198" t="s">
        <v>316</v>
      </c>
      <c r="D660" s="1436"/>
      <c r="E660" s="1437"/>
      <c r="F660" s="1437"/>
    </row>
    <row r="661" spans="1:6" customFormat="1" ht="14.4" customHeight="1" thickBot="1">
      <c r="A661" s="699"/>
      <c r="B661" s="1200"/>
      <c r="C661" s="1305"/>
      <c r="D661" s="1438"/>
      <c r="E661" s="1439"/>
      <c r="F661" s="1439"/>
    </row>
    <row r="662" spans="1:6" s="61" customFormat="1" ht="20.100000000000001" customHeight="1" thickBot="1">
      <c r="A662" s="1372">
        <v>19</v>
      </c>
      <c r="B662" s="1250">
        <v>1</v>
      </c>
      <c r="C662" s="1217" t="s">
        <v>3557</v>
      </c>
      <c r="D662" s="1424">
        <v>5019</v>
      </c>
      <c r="E662" s="1425"/>
      <c r="F662" s="1425">
        <v>5019</v>
      </c>
    </row>
    <row r="663" spans="1:6" customFormat="1" ht="14.4" customHeight="1">
      <c r="A663" s="685" t="s">
        <v>3064</v>
      </c>
      <c r="B663" s="1192"/>
      <c r="C663" s="1201" t="s">
        <v>2662</v>
      </c>
      <c r="D663" s="1433"/>
      <c r="E663" s="1434"/>
      <c r="F663" s="1434"/>
    </row>
    <row r="664" spans="1:6" customFormat="1" ht="26.4">
      <c r="A664" s="687" t="s">
        <v>5107</v>
      </c>
      <c r="B664" s="1193">
        <v>1</v>
      </c>
      <c r="C664" s="1204" t="s">
        <v>4387</v>
      </c>
      <c r="D664" s="1433"/>
      <c r="E664" s="1435"/>
      <c r="F664" s="1435"/>
    </row>
    <row r="665" spans="1:6" customFormat="1" ht="14.4" customHeight="1">
      <c r="A665" s="687" t="s">
        <v>4136</v>
      </c>
      <c r="B665" s="1193"/>
      <c r="C665" s="1202" t="s">
        <v>729</v>
      </c>
      <c r="D665" s="1426"/>
      <c r="E665" s="1428"/>
      <c r="F665" s="1428"/>
    </row>
    <row r="666" spans="1:6" customFormat="1" ht="14.4" customHeight="1">
      <c r="A666" s="687"/>
      <c r="B666" s="1293"/>
      <c r="C666" s="1303" t="s">
        <v>2654</v>
      </c>
      <c r="D666" s="1433"/>
      <c r="E666" s="1435"/>
      <c r="F666" s="1435"/>
    </row>
    <row r="667" spans="1:6" customFormat="1" ht="14.4" customHeight="1">
      <c r="A667" s="693" t="s">
        <v>6075</v>
      </c>
      <c r="B667" s="1193">
        <v>8</v>
      </c>
      <c r="C667" s="1202" t="s">
        <v>4208</v>
      </c>
      <c r="D667" s="1433"/>
      <c r="E667" s="1435"/>
      <c r="F667" s="1435"/>
    </row>
    <row r="668" spans="1:6" customFormat="1" ht="14.4" customHeight="1">
      <c r="A668" s="693"/>
      <c r="B668" s="1193">
        <v>6</v>
      </c>
      <c r="C668" s="1202" t="s">
        <v>2001</v>
      </c>
      <c r="D668" s="1433"/>
      <c r="E668" s="1435"/>
      <c r="F668" s="1435"/>
    </row>
    <row r="669" spans="1:6" customFormat="1" ht="14.4" customHeight="1">
      <c r="A669" s="687" t="s">
        <v>3541</v>
      </c>
      <c r="B669" s="1193">
        <v>2</v>
      </c>
      <c r="C669" s="1202" t="s">
        <v>6076</v>
      </c>
      <c r="D669" s="1433"/>
      <c r="E669" s="1435"/>
      <c r="F669" s="1435"/>
    </row>
    <row r="670" spans="1:6" customFormat="1" ht="14.4" customHeight="1">
      <c r="A670" s="1208"/>
      <c r="B670" s="1193"/>
      <c r="C670" s="1202" t="s">
        <v>729</v>
      </c>
      <c r="D670" s="1426"/>
      <c r="E670" s="1428"/>
      <c r="F670" s="1428"/>
    </row>
    <row r="671" spans="1:6" customFormat="1" ht="14.4" customHeight="1">
      <c r="A671" s="912" t="s">
        <v>3190</v>
      </c>
      <c r="B671" s="1194">
        <v>1</v>
      </c>
      <c r="C671" s="1201" t="s">
        <v>5103</v>
      </c>
      <c r="D671" s="1426"/>
      <c r="E671" s="1427"/>
      <c r="F671" s="1427"/>
    </row>
    <row r="672" spans="1:6" customFormat="1" ht="14.4" customHeight="1">
      <c r="A672" s="913" t="s">
        <v>3543</v>
      </c>
      <c r="B672" s="1195">
        <v>3</v>
      </c>
      <c r="C672" s="1191" t="s">
        <v>3461</v>
      </c>
      <c r="D672" s="1426"/>
      <c r="E672" s="1428"/>
      <c r="F672" s="1428"/>
    </row>
    <row r="673" spans="1:6" customFormat="1" ht="14.4" customHeight="1">
      <c r="A673" s="1371" t="s">
        <v>3544</v>
      </c>
      <c r="B673" s="1199">
        <v>1</v>
      </c>
      <c r="C673" s="1205" t="s">
        <v>3366</v>
      </c>
      <c r="D673" s="1429"/>
      <c r="E673" s="1430"/>
      <c r="F673" s="1430"/>
    </row>
    <row r="674" spans="1:6" customFormat="1" ht="14.4" customHeight="1">
      <c r="A674" s="693"/>
      <c r="B674" s="1193"/>
      <c r="C674" s="1202" t="s">
        <v>729</v>
      </c>
      <c r="D674" s="1426"/>
      <c r="E674" s="1428"/>
      <c r="F674" s="1428"/>
    </row>
    <row r="675" spans="1:6" customFormat="1" ht="14.4" customHeight="1">
      <c r="A675" s="928"/>
      <c r="B675" s="1194">
        <v>1</v>
      </c>
      <c r="C675" s="1201" t="s">
        <v>5106</v>
      </c>
      <c r="D675" s="1426"/>
      <c r="E675" s="1427"/>
      <c r="F675" s="1427"/>
    </row>
    <row r="676" spans="1:6" customFormat="1" ht="14.4" customHeight="1">
      <c r="A676" s="951"/>
      <c r="B676" s="1195">
        <v>2</v>
      </c>
      <c r="C676" s="1191" t="s">
        <v>3281</v>
      </c>
      <c r="D676" s="1426"/>
      <c r="E676" s="1428"/>
      <c r="F676" s="1428"/>
    </row>
    <row r="677" spans="1:6" customFormat="1" ht="14.4" customHeight="1">
      <c r="A677" s="1371"/>
      <c r="B677" s="1193"/>
      <c r="C677" s="1202" t="s">
        <v>729</v>
      </c>
      <c r="D677" s="1426"/>
      <c r="E677" s="1428"/>
      <c r="F677" s="1428"/>
    </row>
    <row r="678" spans="1:6" customFormat="1" ht="14.4" customHeight="1">
      <c r="A678" s="693"/>
      <c r="B678" s="1193">
        <v>1</v>
      </c>
      <c r="C678" s="1304" t="s">
        <v>2908</v>
      </c>
      <c r="D678" s="1426"/>
      <c r="E678" s="1428"/>
      <c r="F678" s="1428"/>
    </row>
    <row r="679" spans="1:6" customFormat="1" ht="14.4" customHeight="1">
      <c r="A679" s="691"/>
      <c r="B679" s="1193">
        <v>1</v>
      </c>
      <c r="C679" s="1198" t="s">
        <v>316</v>
      </c>
      <c r="D679" s="1436"/>
      <c r="E679" s="1437"/>
      <c r="F679" s="1437"/>
    </row>
    <row r="680" spans="1:6" customFormat="1" ht="14.4" customHeight="1" thickBot="1">
      <c r="A680" s="699"/>
      <c r="B680" s="1200"/>
      <c r="C680" s="1305"/>
      <c r="D680" s="1438"/>
      <c r="E680" s="1439"/>
      <c r="F680" s="1439"/>
    </row>
    <row r="681" spans="1:6" s="61" customFormat="1" ht="20.100000000000001" customHeight="1" thickBot="1">
      <c r="A681" s="1372">
        <v>20</v>
      </c>
      <c r="B681" s="1250">
        <v>1</v>
      </c>
      <c r="C681" s="1217" t="s">
        <v>3556</v>
      </c>
      <c r="D681" s="1424">
        <v>5305</v>
      </c>
      <c r="E681" s="1425"/>
      <c r="F681" s="1425">
        <v>5305</v>
      </c>
    </row>
    <row r="682" spans="1:6" customFormat="1" ht="14.4" customHeight="1">
      <c r="A682" s="685" t="s">
        <v>3064</v>
      </c>
      <c r="B682" s="1192"/>
      <c r="C682" s="1201" t="s">
        <v>2662</v>
      </c>
      <c r="D682" s="1433"/>
      <c r="E682" s="1434"/>
      <c r="F682" s="1434"/>
    </row>
    <row r="683" spans="1:6" customFormat="1" ht="26.4">
      <c r="A683" s="687" t="s">
        <v>5107</v>
      </c>
      <c r="B683" s="1193">
        <v>1</v>
      </c>
      <c r="C683" s="1204" t="s">
        <v>4387</v>
      </c>
      <c r="D683" s="1433"/>
      <c r="E683" s="1435"/>
      <c r="F683" s="1435"/>
    </row>
    <row r="684" spans="1:6" customFormat="1" ht="14.4" customHeight="1">
      <c r="A684" s="687" t="s">
        <v>4136</v>
      </c>
      <c r="B684" s="1193"/>
      <c r="C684" s="1202" t="s">
        <v>729</v>
      </c>
      <c r="D684" s="1426"/>
      <c r="E684" s="1428"/>
      <c r="F684" s="1428"/>
    </row>
    <row r="685" spans="1:6" customFormat="1" ht="14.4" customHeight="1">
      <c r="A685" s="687"/>
      <c r="B685" s="1293"/>
      <c r="C685" s="1303" t="s">
        <v>2654</v>
      </c>
      <c r="D685" s="1433"/>
      <c r="E685" s="1435"/>
      <c r="F685" s="1435"/>
    </row>
    <row r="686" spans="1:6" customFormat="1" ht="14.4" customHeight="1">
      <c r="A686" s="693" t="s">
        <v>6075</v>
      </c>
      <c r="B686" s="1193">
        <v>8</v>
      </c>
      <c r="C686" s="1202" t="s">
        <v>4208</v>
      </c>
      <c r="D686" s="1433"/>
      <c r="E686" s="1435"/>
      <c r="F686" s="1435"/>
    </row>
    <row r="687" spans="1:6" customFormat="1" ht="14.4" customHeight="1">
      <c r="A687" s="693"/>
      <c r="B687" s="1193">
        <v>7</v>
      </c>
      <c r="C687" s="1202" t="s">
        <v>2001</v>
      </c>
      <c r="D687" s="1433"/>
      <c r="E687" s="1435"/>
      <c r="F687" s="1435"/>
    </row>
    <row r="688" spans="1:6" customFormat="1" ht="14.4" customHeight="1">
      <c r="A688" s="687" t="s">
        <v>3541</v>
      </c>
      <c r="B688" s="1193">
        <v>2</v>
      </c>
      <c r="C688" s="1202" t="s">
        <v>6076</v>
      </c>
      <c r="D688" s="1433"/>
      <c r="E688" s="1435"/>
      <c r="F688" s="1435"/>
    </row>
    <row r="689" spans="1:6" customFormat="1" ht="14.4" customHeight="1">
      <c r="A689" s="1208"/>
      <c r="B689" s="1193"/>
      <c r="C689" s="1202" t="s">
        <v>729</v>
      </c>
      <c r="D689" s="1426"/>
      <c r="E689" s="1428"/>
      <c r="F689" s="1428"/>
    </row>
    <row r="690" spans="1:6" customFormat="1" ht="14.4" customHeight="1">
      <c r="A690" s="912" t="s">
        <v>3190</v>
      </c>
      <c r="B690" s="1194">
        <v>1</v>
      </c>
      <c r="C690" s="1201" t="s">
        <v>5103</v>
      </c>
      <c r="D690" s="1426"/>
      <c r="E690" s="1427"/>
      <c r="F690" s="1427"/>
    </row>
    <row r="691" spans="1:6" customFormat="1" ht="14.4" customHeight="1">
      <c r="A691" s="913" t="s">
        <v>3543</v>
      </c>
      <c r="B691" s="1195">
        <v>3</v>
      </c>
      <c r="C691" s="1191" t="s">
        <v>3461</v>
      </c>
      <c r="D691" s="1426"/>
      <c r="E691" s="1428"/>
      <c r="F691" s="1428"/>
    </row>
    <row r="692" spans="1:6" customFormat="1" ht="14.4" customHeight="1">
      <c r="A692" s="1371" t="s">
        <v>3544</v>
      </c>
      <c r="B692" s="1199">
        <v>1</v>
      </c>
      <c r="C692" s="1205" t="s">
        <v>3366</v>
      </c>
      <c r="D692" s="1429"/>
      <c r="E692" s="1430"/>
      <c r="F692" s="1430"/>
    </row>
    <row r="693" spans="1:6" customFormat="1" ht="14.4" customHeight="1">
      <c r="A693" s="693"/>
      <c r="B693" s="1193"/>
      <c r="C693" s="1202" t="s">
        <v>729</v>
      </c>
      <c r="D693" s="1426"/>
      <c r="E693" s="1428"/>
      <c r="F693" s="1428"/>
    </row>
    <row r="694" spans="1:6" customFormat="1" ht="14.4" customHeight="1">
      <c r="A694" s="928"/>
      <c r="B694" s="1194">
        <v>1</v>
      </c>
      <c r="C694" s="1201" t="s">
        <v>5106</v>
      </c>
      <c r="D694" s="1426"/>
      <c r="E694" s="1427"/>
      <c r="F694" s="1427"/>
    </row>
    <row r="695" spans="1:6" customFormat="1" ht="14.4" customHeight="1">
      <c r="A695" s="951"/>
      <c r="B695" s="1195">
        <v>2</v>
      </c>
      <c r="C695" s="1191" t="s">
        <v>3281</v>
      </c>
      <c r="D695" s="1426"/>
      <c r="E695" s="1428"/>
      <c r="F695" s="1428"/>
    </row>
    <row r="696" spans="1:6" customFormat="1" ht="14.4" customHeight="1">
      <c r="A696" s="1371"/>
      <c r="B696" s="1193"/>
      <c r="C696" s="1202" t="s">
        <v>729</v>
      </c>
      <c r="D696" s="1426"/>
      <c r="E696" s="1428"/>
      <c r="F696" s="1428"/>
    </row>
    <row r="697" spans="1:6" customFormat="1" ht="14.4" customHeight="1">
      <c r="A697" s="693"/>
      <c r="B697" s="1193">
        <v>1</v>
      </c>
      <c r="C697" s="1304" t="s">
        <v>2908</v>
      </c>
      <c r="D697" s="1426"/>
      <c r="E697" s="1428"/>
      <c r="F697" s="1428"/>
    </row>
    <row r="698" spans="1:6" customFormat="1" ht="14.4" customHeight="1">
      <c r="A698" s="691"/>
      <c r="B698" s="1193">
        <v>1</v>
      </c>
      <c r="C698" s="1198" t="s">
        <v>316</v>
      </c>
      <c r="D698" s="1436"/>
      <c r="E698" s="1437"/>
      <c r="F698" s="1437"/>
    </row>
    <row r="699" spans="1:6" customFormat="1" ht="14.4" customHeight="1" thickBot="1">
      <c r="A699" s="699"/>
      <c r="B699" s="1200"/>
      <c r="C699" s="1305"/>
      <c r="D699" s="1438"/>
      <c r="E699" s="1439"/>
      <c r="F699" s="1439"/>
    </row>
    <row r="700" spans="1:6" s="61" customFormat="1" ht="20.100000000000001" customHeight="1" thickBot="1">
      <c r="A700" s="1372">
        <v>21</v>
      </c>
      <c r="B700" s="1250">
        <v>1</v>
      </c>
      <c r="C700" s="1217" t="s">
        <v>3560</v>
      </c>
      <c r="D700" s="1424">
        <v>6497</v>
      </c>
      <c r="E700" s="1425"/>
      <c r="F700" s="1425">
        <v>6497</v>
      </c>
    </row>
    <row r="701" spans="1:6" customFormat="1" ht="14.4" customHeight="1">
      <c r="A701" s="685" t="s">
        <v>3064</v>
      </c>
      <c r="B701" s="1192"/>
      <c r="C701" s="1201" t="s">
        <v>2662</v>
      </c>
      <c r="D701" s="1433"/>
      <c r="E701" s="1434"/>
      <c r="F701" s="1434"/>
    </row>
    <row r="702" spans="1:6" customFormat="1" ht="26.4">
      <c r="A702" s="687" t="s">
        <v>5107</v>
      </c>
      <c r="B702" s="1193">
        <v>1</v>
      </c>
      <c r="C702" s="1204" t="s">
        <v>4384</v>
      </c>
      <c r="D702" s="1433"/>
      <c r="E702" s="1435"/>
      <c r="F702" s="1435"/>
    </row>
    <row r="703" spans="1:6" customFormat="1" ht="14.4" customHeight="1">
      <c r="A703" s="687" t="s">
        <v>4136</v>
      </c>
      <c r="B703" s="1193"/>
      <c r="C703" s="1202" t="s">
        <v>729</v>
      </c>
      <c r="D703" s="1426"/>
      <c r="E703" s="1428"/>
      <c r="F703" s="1428"/>
    </row>
    <row r="704" spans="1:6" customFormat="1" ht="14.4" customHeight="1">
      <c r="A704" s="687"/>
      <c r="B704" s="1293"/>
      <c r="C704" s="1303" t="s">
        <v>2654</v>
      </c>
      <c r="D704" s="1433"/>
      <c r="E704" s="1435"/>
      <c r="F704" s="1435"/>
    </row>
    <row r="705" spans="1:6" customFormat="1" ht="14.4" customHeight="1">
      <c r="A705" s="693" t="s">
        <v>6077</v>
      </c>
      <c r="B705" s="1193">
        <v>6</v>
      </c>
      <c r="C705" s="1202" t="s">
        <v>4206</v>
      </c>
      <c r="D705" s="1433"/>
      <c r="E705" s="1435"/>
      <c r="F705" s="1435"/>
    </row>
    <row r="706" spans="1:6" customFormat="1" ht="14.4" customHeight="1">
      <c r="A706" s="693"/>
      <c r="B706" s="1193">
        <v>6</v>
      </c>
      <c r="C706" s="1202" t="s">
        <v>2000</v>
      </c>
      <c r="D706" s="1433"/>
      <c r="E706" s="1435"/>
      <c r="F706" s="1435"/>
    </row>
    <row r="707" spans="1:6" customFormat="1" ht="14.4" customHeight="1">
      <c r="A707" s="698"/>
      <c r="B707" s="1193">
        <v>5</v>
      </c>
      <c r="C707" s="1202" t="s">
        <v>4176</v>
      </c>
      <c r="D707" s="1433"/>
      <c r="E707" s="1435"/>
      <c r="F707" s="1435"/>
    </row>
    <row r="708" spans="1:6" customFormat="1" ht="14.4" customHeight="1">
      <c r="A708" s="687" t="s">
        <v>3541</v>
      </c>
      <c r="B708" s="1193">
        <v>5</v>
      </c>
      <c r="C708" s="1202" t="s">
        <v>1995</v>
      </c>
      <c r="D708" s="1433"/>
      <c r="E708" s="1435"/>
      <c r="F708" s="1435"/>
    </row>
    <row r="709" spans="1:6" customFormat="1" ht="14.4" customHeight="1">
      <c r="A709" s="687" t="s">
        <v>3542</v>
      </c>
      <c r="B709" s="1193">
        <v>2</v>
      </c>
      <c r="C709" s="1202" t="s">
        <v>6076</v>
      </c>
      <c r="D709" s="1433"/>
      <c r="E709" s="1435"/>
      <c r="F709" s="1435"/>
    </row>
    <row r="710" spans="1:6" customFormat="1" ht="14.4" customHeight="1">
      <c r="A710" s="1208"/>
      <c r="B710" s="1193">
        <v>3</v>
      </c>
      <c r="C710" s="1202" t="s">
        <v>6078</v>
      </c>
      <c r="D710" s="1433"/>
      <c r="E710" s="1435"/>
      <c r="F710" s="1435"/>
    </row>
    <row r="711" spans="1:6" customFormat="1" ht="14.4" customHeight="1">
      <c r="A711" s="913" t="s">
        <v>3543</v>
      </c>
      <c r="B711" s="1193"/>
      <c r="C711" s="1202" t="s">
        <v>729</v>
      </c>
      <c r="D711" s="1426"/>
      <c r="E711" s="1428"/>
      <c r="F711" s="1428"/>
    </row>
    <row r="712" spans="1:6" customFormat="1" ht="14.4" customHeight="1">
      <c r="A712" s="1371" t="s">
        <v>3544</v>
      </c>
      <c r="B712" s="1193">
        <v>6</v>
      </c>
      <c r="C712" s="1202" t="s">
        <v>1157</v>
      </c>
      <c r="D712" s="1433"/>
      <c r="E712" s="1435"/>
      <c r="F712" s="1435"/>
    </row>
    <row r="713" spans="1:6" customFormat="1" ht="14.4" customHeight="1">
      <c r="A713" s="693"/>
      <c r="B713" s="1193"/>
      <c r="C713" s="1202" t="s">
        <v>729</v>
      </c>
      <c r="D713" s="1426"/>
      <c r="E713" s="1428"/>
      <c r="F713" s="1428"/>
    </row>
    <row r="714" spans="1:6" customFormat="1" ht="14.4" customHeight="1">
      <c r="A714" s="691"/>
      <c r="B714" s="1194">
        <v>1</v>
      </c>
      <c r="C714" s="1201" t="s">
        <v>5103</v>
      </c>
      <c r="D714" s="1426"/>
      <c r="E714" s="1427"/>
      <c r="F714" s="1427"/>
    </row>
    <row r="715" spans="1:6" customFormat="1" ht="14.4" customHeight="1">
      <c r="A715" s="687"/>
      <c r="B715" s="1195">
        <v>3</v>
      </c>
      <c r="C715" s="1191" t="s">
        <v>3461</v>
      </c>
      <c r="D715" s="1426"/>
      <c r="E715" s="1428"/>
      <c r="F715" s="1428"/>
    </row>
    <row r="716" spans="1:6" customFormat="1" ht="14.4" customHeight="1">
      <c r="A716" s="687"/>
      <c r="B716" s="1199">
        <v>1</v>
      </c>
      <c r="C716" s="1205" t="s">
        <v>3366</v>
      </c>
      <c r="D716" s="1429"/>
      <c r="E716" s="1430"/>
      <c r="F716" s="1430"/>
    </row>
    <row r="717" spans="1:6" customFormat="1" ht="14.4" customHeight="1">
      <c r="A717" s="693"/>
      <c r="B717" s="1193"/>
      <c r="C717" s="1202" t="s">
        <v>729</v>
      </c>
      <c r="D717" s="1426"/>
      <c r="E717" s="1428"/>
      <c r="F717" s="1428"/>
    </row>
    <row r="718" spans="1:6" customFormat="1" ht="14.4" customHeight="1">
      <c r="A718" s="693"/>
      <c r="B718" s="1194">
        <v>2</v>
      </c>
      <c r="C718" s="1303" t="s">
        <v>6079</v>
      </c>
      <c r="D718" s="1426"/>
      <c r="E718" s="1428"/>
      <c r="F718" s="1428"/>
    </row>
    <row r="719" spans="1:6" customFormat="1" ht="14.4" customHeight="1">
      <c r="A719" s="692"/>
      <c r="B719" s="1199">
        <v>1</v>
      </c>
      <c r="C719" s="1205" t="s">
        <v>6080</v>
      </c>
      <c r="D719" s="1429"/>
      <c r="E719" s="1430"/>
      <c r="F719" s="1430"/>
    </row>
    <row r="720" spans="1:6" customFormat="1" ht="14.4" customHeight="1">
      <c r="A720" s="687"/>
      <c r="B720" s="1195">
        <v>1</v>
      </c>
      <c r="C720" s="1191" t="s">
        <v>1651</v>
      </c>
      <c r="D720" s="1426"/>
      <c r="E720" s="1427"/>
      <c r="F720" s="1427"/>
    </row>
    <row r="721" spans="1:6" customFormat="1" ht="14.4" customHeight="1">
      <c r="A721" s="687"/>
      <c r="B721" s="1195">
        <v>6</v>
      </c>
      <c r="C721" s="1191" t="s">
        <v>8277</v>
      </c>
      <c r="D721" s="1426"/>
      <c r="E721" s="1427"/>
      <c r="F721" s="1427"/>
    </row>
    <row r="722" spans="1:6" customFormat="1" ht="14.4" customHeight="1">
      <c r="A722" s="691"/>
      <c r="B722" s="1193"/>
      <c r="C722" s="1202" t="s">
        <v>729</v>
      </c>
      <c r="D722" s="1426"/>
      <c r="E722" s="1428"/>
      <c r="F722" s="1428"/>
    </row>
    <row r="723" spans="1:6" customFormat="1" ht="14.4" customHeight="1">
      <c r="A723" s="687"/>
      <c r="B723" s="1194">
        <v>1</v>
      </c>
      <c r="C723" s="1201" t="s">
        <v>5106</v>
      </c>
      <c r="D723" s="1426"/>
      <c r="E723" s="1427"/>
      <c r="F723" s="1427"/>
    </row>
    <row r="724" spans="1:6" customFormat="1" ht="14.4" customHeight="1">
      <c r="A724" s="693"/>
      <c r="B724" s="1195">
        <v>2</v>
      </c>
      <c r="C724" s="1191" t="s">
        <v>3281</v>
      </c>
      <c r="D724" s="1426"/>
      <c r="E724" s="1428"/>
      <c r="F724" s="1428"/>
    </row>
    <row r="725" spans="1:6" customFormat="1" ht="14.4" customHeight="1">
      <c r="A725" s="1371"/>
      <c r="B725" s="1193"/>
      <c r="C725" s="1202" t="s">
        <v>729</v>
      </c>
      <c r="D725" s="1426"/>
      <c r="E725" s="1428"/>
      <c r="F725" s="1428"/>
    </row>
    <row r="726" spans="1:6" customFormat="1" ht="14.4" customHeight="1">
      <c r="A726" s="693"/>
      <c r="B726" s="1193">
        <v>1</v>
      </c>
      <c r="C726" s="1304" t="s">
        <v>2908</v>
      </c>
      <c r="D726" s="1426"/>
      <c r="E726" s="1428"/>
      <c r="F726" s="1428"/>
    </row>
    <row r="727" spans="1:6" customFormat="1" ht="14.4" customHeight="1">
      <c r="A727" s="691"/>
      <c r="B727" s="1193">
        <v>1</v>
      </c>
      <c r="C727" s="1198" t="s">
        <v>316</v>
      </c>
      <c r="D727" s="1436"/>
      <c r="E727" s="1437"/>
      <c r="F727" s="1437"/>
    </row>
    <row r="728" spans="1:6" customFormat="1" ht="14.4" customHeight="1" thickBot="1">
      <c r="A728" s="699"/>
      <c r="B728" s="1200"/>
      <c r="C728" s="1305"/>
      <c r="D728" s="1438"/>
      <c r="E728" s="1439"/>
      <c r="F728" s="1439"/>
    </row>
    <row r="729" spans="1:6" s="61" customFormat="1" ht="20.100000000000001" customHeight="1" thickBot="1">
      <c r="A729" s="1372">
        <v>22</v>
      </c>
      <c r="B729" s="1250">
        <v>1</v>
      </c>
      <c r="C729" s="1217" t="s">
        <v>3561</v>
      </c>
      <c r="D729" s="1424">
        <v>3629</v>
      </c>
      <c r="E729" s="1425"/>
      <c r="F729" s="1425">
        <v>3629</v>
      </c>
    </row>
    <row r="730" spans="1:6" customFormat="1" ht="14.4" customHeight="1">
      <c r="A730" s="685" t="s">
        <v>3064</v>
      </c>
      <c r="B730" s="1192"/>
      <c r="C730" s="1201" t="s">
        <v>2662</v>
      </c>
      <c r="D730" s="1433"/>
      <c r="E730" s="1434"/>
      <c r="F730" s="1434"/>
    </row>
    <row r="731" spans="1:6" customFormat="1" ht="26.4">
      <c r="A731" s="687" t="s">
        <v>5107</v>
      </c>
      <c r="B731" s="1193">
        <v>1</v>
      </c>
      <c r="C731" s="1204" t="s">
        <v>4384</v>
      </c>
      <c r="D731" s="1433"/>
      <c r="E731" s="1435"/>
      <c r="F731" s="1435"/>
    </row>
    <row r="732" spans="1:6" customFormat="1" ht="14.4" customHeight="1">
      <c r="A732" s="687" t="s">
        <v>4136</v>
      </c>
      <c r="B732" s="1193"/>
      <c r="C732" s="1202" t="s">
        <v>729</v>
      </c>
      <c r="D732" s="1426"/>
      <c r="E732" s="1428"/>
      <c r="F732" s="1428"/>
    </row>
    <row r="733" spans="1:6" customFormat="1" ht="14.4" customHeight="1">
      <c r="A733" s="687"/>
      <c r="B733" s="1293"/>
      <c r="C733" s="1303" t="s">
        <v>2654</v>
      </c>
      <c r="D733" s="1433"/>
      <c r="E733" s="1435"/>
      <c r="F733" s="1435"/>
    </row>
    <row r="734" spans="1:6" customFormat="1" ht="14.4" customHeight="1">
      <c r="A734" s="693" t="s">
        <v>6077</v>
      </c>
      <c r="B734" s="1193">
        <v>2</v>
      </c>
      <c r="C734" s="1202" t="s">
        <v>4206</v>
      </c>
      <c r="D734" s="1433"/>
      <c r="E734" s="1435"/>
      <c r="F734" s="1435"/>
    </row>
    <row r="735" spans="1:6" customFormat="1" ht="14.4" customHeight="1">
      <c r="A735" s="693"/>
      <c r="B735" s="1193">
        <v>2</v>
      </c>
      <c r="C735" s="1202" t="s">
        <v>2000</v>
      </c>
      <c r="D735" s="1433"/>
      <c r="E735" s="1435"/>
      <c r="F735" s="1435"/>
    </row>
    <row r="736" spans="1:6" customFormat="1" ht="14.4" customHeight="1">
      <c r="A736" s="698"/>
      <c r="B736" s="1193">
        <v>2</v>
      </c>
      <c r="C736" s="1202" t="s">
        <v>4176</v>
      </c>
      <c r="D736" s="1433"/>
      <c r="E736" s="1435"/>
      <c r="F736" s="1435"/>
    </row>
    <row r="737" spans="1:6" customFormat="1" ht="14.4" customHeight="1">
      <c r="A737" s="687" t="s">
        <v>3541</v>
      </c>
      <c r="B737" s="1193">
        <v>2</v>
      </c>
      <c r="C737" s="1202" t="s">
        <v>1995</v>
      </c>
      <c r="D737" s="1433"/>
      <c r="E737" s="1435"/>
      <c r="F737" s="1435"/>
    </row>
    <row r="738" spans="1:6" customFormat="1" ht="14.4" customHeight="1">
      <c r="A738" s="687" t="s">
        <v>3542</v>
      </c>
      <c r="B738" s="1193">
        <v>2</v>
      </c>
      <c r="C738" s="1202" t="s">
        <v>6076</v>
      </c>
      <c r="D738" s="1433"/>
      <c r="E738" s="1435"/>
      <c r="F738" s="1435"/>
    </row>
    <row r="739" spans="1:6" customFormat="1" ht="14.4" customHeight="1">
      <c r="A739" s="1208"/>
      <c r="B739" s="1193">
        <v>2</v>
      </c>
      <c r="C739" s="1202" t="s">
        <v>6078</v>
      </c>
      <c r="D739" s="1433"/>
      <c r="E739" s="1435"/>
      <c r="F739" s="1435"/>
    </row>
    <row r="740" spans="1:6" customFormat="1" ht="14.4" customHeight="1">
      <c r="A740" s="913" t="s">
        <v>3543</v>
      </c>
      <c r="B740" s="1193"/>
      <c r="C740" s="1202" t="s">
        <v>729</v>
      </c>
      <c r="D740" s="1426"/>
      <c r="E740" s="1428"/>
      <c r="F740" s="1428"/>
    </row>
    <row r="741" spans="1:6" customFormat="1" ht="14.4" customHeight="1">
      <c r="A741" s="1371" t="s">
        <v>3544</v>
      </c>
      <c r="B741" s="1193">
        <v>2</v>
      </c>
      <c r="C741" s="1202" t="s">
        <v>1157</v>
      </c>
      <c r="D741" s="1433"/>
      <c r="E741" s="1435"/>
      <c r="F741" s="1435"/>
    </row>
    <row r="742" spans="1:6" customFormat="1" ht="14.4" customHeight="1">
      <c r="A742" s="693"/>
      <c r="B742" s="1193"/>
      <c r="C742" s="1202" t="s">
        <v>729</v>
      </c>
      <c r="D742" s="1426"/>
      <c r="E742" s="1428"/>
      <c r="F742" s="1428"/>
    </row>
    <row r="743" spans="1:6" customFormat="1" ht="14.4" customHeight="1">
      <c r="A743" s="691"/>
      <c r="B743" s="1194">
        <v>1</v>
      </c>
      <c r="C743" s="1201" t="s">
        <v>5103</v>
      </c>
      <c r="D743" s="1426"/>
      <c r="E743" s="1427"/>
      <c r="F743" s="1427"/>
    </row>
    <row r="744" spans="1:6" customFormat="1" ht="14.4" customHeight="1">
      <c r="A744" s="687"/>
      <c r="B744" s="1195">
        <v>3</v>
      </c>
      <c r="C744" s="1191" t="s">
        <v>3461</v>
      </c>
      <c r="D744" s="1426"/>
      <c r="E744" s="1428"/>
      <c r="F744" s="1428"/>
    </row>
    <row r="745" spans="1:6" customFormat="1" ht="14.4" customHeight="1">
      <c r="A745" s="687"/>
      <c r="B745" s="1199">
        <v>1</v>
      </c>
      <c r="C745" s="1205" t="s">
        <v>3366</v>
      </c>
      <c r="D745" s="1429"/>
      <c r="E745" s="1430"/>
      <c r="F745" s="1430"/>
    </row>
    <row r="746" spans="1:6" customFormat="1" ht="14.4" customHeight="1">
      <c r="A746" s="693"/>
      <c r="B746" s="1193"/>
      <c r="C746" s="1202" t="s">
        <v>729</v>
      </c>
      <c r="D746" s="1426"/>
      <c r="E746" s="1428"/>
      <c r="F746" s="1428"/>
    </row>
    <row r="747" spans="1:6" customFormat="1" ht="14.4" customHeight="1">
      <c r="A747" s="693"/>
      <c r="B747" s="1194">
        <v>1</v>
      </c>
      <c r="C747" s="1303" t="s">
        <v>6079</v>
      </c>
      <c r="D747" s="1426"/>
      <c r="E747" s="1428"/>
      <c r="F747" s="1428"/>
    </row>
    <row r="748" spans="1:6" customFormat="1" ht="14.4" customHeight="1">
      <c r="A748" s="692"/>
      <c r="B748" s="1199">
        <v>1</v>
      </c>
      <c r="C748" s="1205" t="s">
        <v>6080</v>
      </c>
      <c r="D748" s="1429"/>
      <c r="E748" s="1430"/>
      <c r="F748" s="1430"/>
    </row>
    <row r="749" spans="1:6" customFormat="1" ht="14.4" customHeight="1">
      <c r="A749" s="687"/>
      <c r="B749" s="1195">
        <v>1</v>
      </c>
      <c r="C749" s="1191" t="s">
        <v>1651</v>
      </c>
      <c r="D749" s="1426"/>
      <c r="E749" s="1427"/>
      <c r="F749" s="1427"/>
    </row>
    <row r="750" spans="1:6" customFormat="1" ht="14.4" customHeight="1">
      <c r="A750" s="687"/>
      <c r="B750" s="1195">
        <v>6</v>
      </c>
      <c r="C750" s="1191" t="s">
        <v>8277</v>
      </c>
      <c r="D750" s="1426"/>
      <c r="E750" s="1427"/>
      <c r="F750" s="1427"/>
    </row>
    <row r="751" spans="1:6" customFormat="1" ht="14.4" customHeight="1">
      <c r="A751" s="691"/>
      <c r="B751" s="1193"/>
      <c r="C751" s="1202" t="s">
        <v>729</v>
      </c>
      <c r="D751" s="1426"/>
      <c r="E751" s="1428"/>
      <c r="F751" s="1428"/>
    </row>
    <row r="752" spans="1:6" customFormat="1" ht="14.4" customHeight="1">
      <c r="A752" s="687"/>
      <c r="B752" s="1194">
        <v>1</v>
      </c>
      <c r="C752" s="1201" t="s">
        <v>5106</v>
      </c>
      <c r="D752" s="1426"/>
      <c r="E752" s="1427"/>
      <c r="F752" s="1427"/>
    </row>
    <row r="753" spans="1:6" customFormat="1" ht="14.4" customHeight="1">
      <c r="A753" s="693"/>
      <c r="B753" s="1195">
        <v>2</v>
      </c>
      <c r="C753" s="1191" t="s">
        <v>3281</v>
      </c>
      <c r="D753" s="1426"/>
      <c r="E753" s="1428"/>
      <c r="F753" s="1428"/>
    </row>
    <row r="754" spans="1:6" customFormat="1" ht="14.4" customHeight="1">
      <c r="A754" s="1371"/>
      <c r="B754" s="1193"/>
      <c r="C754" s="1202" t="s">
        <v>729</v>
      </c>
      <c r="D754" s="1426"/>
      <c r="E754" s="1428"/>
      <c r="F754" s="1428"/>
    </row>
    <row r="755" spans="1:6" customFormat="1" ht="14.4" customHeight="1">
      <c r="A755" s="693"/>
      <c r="B755" s="1193">
        <v>1</v>
      </c>
      <c r="C755" s="1304" t="s">
        <v>2908</v>
      </c>
      <c r="D755" s="1426"/>
      <c r="E755" s="1428"/>
      <c r="F755" s="1428"/>
    </row>
    <row r="756" spans="1:6" customFormat="1" ht="14.4" customHeight="1">
      <c r="A756" s="691"/>
      <c r="B756" s="1193">
        <v>1</v>
      </c>
      <c r="C756" s="1198" t="s">
        <v>316</v>
      </c>
      <c r="D756" s="1436"/>
      <c r="E756" s="1437"/>
      <c r="F756" s="1437"/>
    </row>
    <row r="757" spans="1:6" customFormat="1" ht="14.4" customHeight="1" thickBot="1">
      <c r="A757" s="699"/>
      <c r="B757" s="1200"/>
      <c r="C757" s="1305"/>
      <c r="D757" s="1438"/>
      <c r="E757" s="1439"/>
      <c r="F757" s="1439"/>
    </row>
    <row r="758" spans="1:6" s="61" customFormat="1" ht="20.100000000000001" customHeight="1" thickBot="1">
      <c r="A758" s="1372">
        <v>23</v>
      </c>
      <c r="B758" s="1250">
        <v>1</v>
      </c>
      <c r="C758" s="1217" t="s">
        <v>3562</v>
      </c>
      <c r="D758" s="1424">
        <v>10688</v>
      </c>
      <c r="E758" s="1425"/>
      <c r="F758" s="1425">
        <v>10688</v>
      </c>
    </row>
    <row r="759" spans="1:6" customFormat="1" ht="14.4" customHeight="1">
      <c r="A759" s="685" t="s">
        <v>3064</v>
      </c>
      <c r="B759" s="1192"/>
      <c r="C759" s="1201" t="s">
        <v>2662</v>
      </c>
      <c r="D759" s="1433"/>
      <c r="E759" s="1434"/>
      <c r="F759" s="1434"/>
    </row>
    <row r="760" spans="1:6" customFormat="1" ht="26.4">
      <c r="A760" s="687" t="s">
        <v>5107</v>
      </c>
      <c r="B760" s="1193">
        <v>1</v>
      </c>
      <c r="C760" s="1204" t="s">
        <v>4386</v>
      </c>
      <c r="D760" s="1433"/>
      <c r="E760" s="1435"/>
      <c r="F760" s="1435"/>
    </row>
    <row r="761" spans="1:6" customFormat="1" ht="14.4" customHeight="1">
      <c r="A761" s="687" t="s">
        <v>4136</v>
      </c>
      <c r="B761" s="1193"/>
      <c r="C761" s="1202" t="s">
        <v>729</v>
      </c>
      <c r="D761" s="1426"/>
      <c r="E761" s="1428"/>
      <c r="F761" s="1428"/>
    </row>
    <row r="762" spans="1:6" customFormat="1" ht="14.4" customHeight="1">
      <c r="A762" s="687"/>
      <c r="B762" s="1293"/>
      <c r="C762" s="1303" t="s">
        <v>2654</v>
      </c>
      <c r="D762" s="1433"/>
      <c r="E762" s="1435"/>
      <c r="F762" s="1435"/>
    </row>
    <row r="763" spans="1:6" customFormat="1" ht="14.4" customHeight="1">
      <c r="A763" s="693" t="s">
        <v>6077</v>
      </c>
      <c r="B763" s="1193">
        <v>14</v>
      </c>
      <c r="C763" s="1202" t="s">
        <v>4206</v>
      </c>
      <c r="D763" s="1433"/>
      <c r="E763" s="1435"/>
      <c r="F763" s="1435"/>
    </row>
    <row r="764" spans="1:6" customFormat="1" ht="14.4" customHeight="1">
      <c r="A764" s="693"/>
      <c r="B764" s="1193">
        <v>14</v>
      </c>
      <c r="C764" s="1202" t="s">
        <v>2000</v>
      </c>
      <c r="D764" s="1433"/>
      <c r="E764" s="1435"/>
      <c r="F764" s="1435"/>
    </row>
    <row r="765" spans="1:6" customFormat="1" ht="14.4" customHeight="1">
      <c r="A765" s="698"/>
      <c r="B765" s="1193">
        <v>3</v>
      </c>
      <c r="C765" s="1202" t="s">
        <v>4176</v>
      </c>
      <c r="D765" s="1433"/>
      <c r="E765" s="1435"/>
      <c r="F765" s="1435"/>
    </row>
    <row r="766" spans="1:6" customFormat="1" ht="14.4" customHeight="1">
      <c r="A766" s="687" t="s">
        <v>3541</v>
      </c>
      <c r="B766" s="1193">
        <v>3</v>
      </c>
      <c r="C766" s="1202" t="s">
        <v>1995</v>
      </c>
      <c r="D766" s="1433"/>
      <c r="E766" s="1435"/>
      <c r="F766" s="1435"/>
    </row>
    <row r="767" spans="1:6" customFormat="1" ht="14.4" customHeight="1">
      <c r="A767" s="687" t="s">
        <v>3542</v>
      </c>
      <c r="B767" s="1193">
        <v>2</v>
      </c>
      <c r="C767" s="1202" t="s">
        <v>6076</v>
      </c>
      <c r="D767" s="1433"/>
      <c r="E767" s="1435"/>
      <c r="F767" s="1435"/>
    </row>
    <row r="768" spans="1:6" customFormat="1" ht="14.4" customHeight="1">
      <c r="A768" s="1208"/>
      <c r="B768" s="1193">
        <v>3</v>
      </c>
      <c r="C768" s="1202" t="s">
        <v>6078</v>
      </c>
      <c r="D768" s="1433"/>
      <c r="E768" s="1435"/>
      <c r="F768" s="1435"/>
    </row>
    <row r="769" spans="1:6" customFormat="1" ht="14.4" customHeight="1">
      <c r="A769" s="913" t="s">
        <v>3543</v>
      </c>
      <c r="B769" s="1193"/>
      <c r="C769" s="1202" t="s">
        <v>729</v>
      </c>
      <c r="D769" s="1426"/>
      <c r="E769" s="1428"/>
      <c r="F769" s="1428"/>
    </row>
    <row r="770" spans="1:6" customFormat="1" ht="14.4" customHeight="1">
      <c r="A770" s="1371" t="s">
        <v>3544</v>
      </c>
      <c r="B770" s="1193">
        <v>11</v>
      </c>
      <c r="C770" s="1202" t="s">
        <v>1157</v>
      </c>
      <c r="D770" s="1433"/>
      <c r="E770" s="1435"/>
      <c r="F770" s="1435"/>
    </row>
    <row r="771" spans="1:6" customFormat="1" ht="14.4" customHeight="1">
      <c r="A771" s="693"/>
      <c r="B771" s="1193"/>
      <c r="C771" s="1202" t="s">
        <v>729</v>
      </c>
      <c r="D771" s="1426"/>
      <c r="E771" s="1428"/>
      <c r="F771" s="1428"/>
    </row>
    <row r="772" spans="1:6" customFormat="1" ht="14.4" customHeight="1">
      <c r="A772" s="691"/>
      <c r="B772" s="1194">
        <v>1</v>
      </c>
      <c r="C772" s="1201" t="s">
        <v>5103</v>
      </c>
      <c r="D772" s="1426"/>
      <c r="E772" s="1427"/>
      <c r="F772" s="1427"/>
    </row>
    <row r="773" spans="1:6" customFormat="1" ht="14.4" customHeight="1">
      <c r="A773" s="687"/>
      <c r="B773" s="1195">
        <v>3</v>
      </c>
      <c r="C773" s="1191" t="s">
        <v>3461</v>
      </c>
      <c r="D773" s="1426"/>
      <c r="E773" s="1428"/>
      <c r="F773" s="1428"/>
    </row>
    <row r="774" spans="1:6" customFormat="1" ht="14.4" customHeight="1">
      <c r="A774" s="687"/>
      <c r="B774" s="1199">
        <v>1</v>
      </c>
      <c r="C774" s="1205" t="s">
        <v>3366</v>
      </c>
      <c r="D774" s="1429"/>
      <c r="E774" s="1430"/>
      <c r="F774" s="1430"/>
    </row>
    <row r="775" spans="1:6" customFormat="1" ht="14.4" customHeight="1">
      <c r="A775" s="693"/>
      <c r="B775" s="1193"/>
      <c r="C775" s="1202" t="s">
        <v>729</v>
      </c>
      <c r="D775" s="1426"/>
      <c r="E775" s="1428"/>
      <c r="F775" s="1428"/>
    </row>
    <row r="776" spans="1:6" customFormat="1" ht="14.4" customHeight="1">
      <c r="A776" s="693"/>
      <c r="B776" s="1194">
        <v>4</v>
      </c>
      <c r="C776" s="1303" t="s">
        <v>6079</v>
      </c>
      <c r="D776" s="1426"/>
      <c r="E776" s="1428"/>
      <c r="F776" s="1428"/>
    </row>
    <row r="777" spans="1:6" customFormat="1" ht="14.4" customHeight="1">
      <c r="A777" s="692"/>
      <c r="B777" s="1199">
        <v>1</v>
      </c>
      <c r="C777" s="1205" t="s">
        <v>6080</v>
      </c>
      <c r="D777" s="1429"/>
      <c r="E777" s="1430"/>
      <c r="F777" s="1430"/>
    </row>
    <row r="778" spans="1:6" customFormat="1" ht="14.4" customHeight="1">
      <c r="A778" s="687"/>
      <c r="B778" s="1195">
        <v>1</v>
      </c>
      <c r="C778" s="1191" t="s">
        <v>1651</v>
      </c>
      <c r="D778" s="1426"/>
      <c r="E778" s="1427"/>
      <c r="F778" s="1427"/>
    </row>
    <row r="779" spans="1:6" customFormat="1" ht="14.4" customHeight="1">
      <c r="A779" s="687"/>
      <c r="B779" s="1195">
        <v>6</v>
      </c>
      <c r="C779" s="1191" t="s">
        <v>8277</v>
      </c>
      <c r="D779" s="1426"/>
      <c r="E779" s="1427"/>
      <c r="F779" s="1427"/>
    </row>
    <row r="780" spans="1:6" customFormat="1" ht="14.4" customHeight="1">
      <c r="A780" s="691"/>
      <c r="B780" s="1193"/>
      <c r="C780" s="1202" t="s">
        <v>729</v>
      </c>
      <c r="D780" s="1426"/>
      <c r="E780" s="1428"/>
      <c r="F780" s="1428"/>
    </row>
    <row r="781" spans="1:6" customFormat="1" ht="14.4" customHeight="1">
      <c r="A781" s="687"/>
      <c r="B781" s="1194">
        <v>1</v>
      </c>
      <c r="C781" s="1201" t="s">
        <v>5106</v>
      </c>
      <c r="D781" s="1426"/>
      <c r="E781" s="1427"/>
      <c r="F781" s="1427"/>
    </row>
    <row r="782" spans="1:6" customFormat="1" ht="14.4" customHeight="1">
      <c r="A782" s="693"/>
      <c r="B782" s="1195">
        <v>2</v>
      </c>
      <c r="C782" s="1191" t="s">
        <v>3281</v>
      </c>
      <c r="D782" s="1426"/>
      <c r="E782" s="1428"/>
      <c r="F782" s="1428"/>
    </row>
    <row r="783" spans="1:6" customFormat="1" ht="14.4" customHeight="1">
      <c r="A783" s="1371"/>
      <c r="B783" s="1193"/>
      <c r="C783" s="1202" t="s">
        <v>729</v>
      </c>
      <c r="D783" s="1426"/>
      <c r="E783" s="1428"/>
      <c r="F783" s="1428"/>
    </row>
    <row r="784" spans="1:6" customFormat="1" ht="14.4" customHeight="1">
      <c r="A784" s="693"/>
      <c r="B784" s="1193">
        <v>1</v>
      </c>
      <c r="C784" s="1304" t="s">
        <v>2908</v>
      </c>
      <c r="D784" s="1426"/>
      <c r="E784" s="1428"/>
      <c r="F784" s="1428"/>
    </row>
    <row r="785" spans="1:6" customFormat="1" ht="14.4" customHeight="1">
      <c r="A785" s="691"/>
      <c r="B785" s="1193">
        <v>1</v>
      </c>
      <c r="C785" s="1198" t="s">
        <v>316</v>
      </c>
      <c r="D785" s="1436"/>
      <c r="E785" s="1437"/>
      <c r="F785" s="1437"/>
    </row>
    <row r="786" spans="1:6" customFormat="1" ht="14.4" customHeight="1" thickBot="1">
      <c r="A786" s="699"/>
      <c r="B786" s="1200"/>
      <c r="C786" s="1305"/>
      <c r="D786" s="1438"/>
      <c r="E786" s="1439"/>
      <c r="F786" s="1439"/>
    </row>
    <row r="787" spans="1:6" s="61" customFormat="1" ht="20.100000000000001" customHeight="1" thickBot="1">
      <c r="A787" s="1372">
        <v>24</v>
      </c>
      <c r="B787" s="1250">
        <v>1</v>
      </c>
      <c r="C787" s="1217" t="s">
        <v>3563</v>
      </c>
      <c r="D787" s="1424">
        <v>6620</v>
      </c>
      <c r="E787" s="1425"/>
      <c r="F787" s="1425">
        <v>6620</v>
      </c>
    </row>
    <row r="788" spans="1:6" customFormat="1" ht="14.4" customHeight="1">
      <c r="A788" s="685" t="s">
        <v>3064</v>
      </c>
      <c r="B788" s="1192"/>
      <c r="C788" s="1201" t="s">
        <v>2662</v>
      </c>
      <c r="D788" s="1433"/>
      <c r="E788" s="1434"/>
      <c r="F788" s="1434"/>
    </row>
    <row r="789" spans="1:6" customFormat="1" ht="26.4">
      <c r="A789" s="687" t="s">
        <v>5107</v>
      </c>
      <c r="B789" s="1193">
        <v>1</v>
      </c>
      <c r="C789" s="1204" t="s">
        <v>4523</v>
      </c>
      <c r="D789" s="1433"/>
      <c r="E789" s="1435"/>
      <c r="F789" s="1435"/>
    </row>
    <row r="790" spans="1:6" customFormat="1" ht="14.4" customHeight="1">
      <c r="A790" s="687" t="s">
        <v>4136</v>
      </c>
      <c r="B790" s="1193"/>
      <c r="C790" s="1202" t="s">
        <v>729</v>
      </c>
      <c r="D790" s="1426"/>
      <c r="E790" s="1428"/>
      <c r="F790" s="1428"/>
    </row>
    <row r="791" spans="1:6" customFormat="1" ht="14.4" customHeight="1">
      <c r="A791" s="687"/>
      <c r="B791" s="1293"/>
      <c r="C791" s="1303" t="s">
        <v>2654</v>
      </c>
      <c r="D791" s="1433"/>
      <c r="E791" s="1435"/>
      <c r="F791" s="1435"/>
    </row>
    <row r="792" spans="1:6" customFormat="1" ht="26.4">
      <c r="A792" s="693" t="s">
        <v>6077</v>
      </c>
      <c r="B792" s="1193">
        <v>1</v>
      </c>
      <c r="C792" s="1204" t="s">
        <v>4384</v>
      </c>
      <c r="D792" s="1433"/>
      <c r="E792" s="1435"/>
      <c r="F792" s="1435"/>
    </row>
    <row r="793" spans="1:6" customFormat="1" ht="14.4" customHeight="1">
      <c r="A793" s="693"/>
      <c r="B793" s="1193">
        <v>4</v>
      </c>
      <c r="C793" s="1202" t="s">
        <v>4206</v>
      </c>
      <c r="D793" s="1433"/>
      <c r="E793" s="1435"/>
      <c r="F793" s="1435"/>
    </row>
    <row r="794" spans="1:6" customFormat="1" ht="14.4" customHeight="1">
      <c r="A794" s="698"/>
      <c r="B794" s="1193">
        <v>4</v>
      </c>
      <c r="C794" s="1202" t="s">
        <v>2000</v>
      </c>
      <c r="D794" s="1433"/>
      <c r="E794" s="1435"/>
      <c r="F794" s="1435"/>
    </row>
    <row r="795" spans="1:6" customFormat="1" ht="14.4" customHeight="1">
      <c r="A795" s="687" t="s">
        <v>3541</v>
      </c>
      <c r="B795" s="1193">
        <v>3</v>
      </c>
      <c r="C795" s="1202" t="s">
        <v>4176</v>
      </c>
      <c r="D795" s="1433"/>
      <c r="E795" s="1435"/>
      <c r="F795" s="1435"/>
    </row>
    <row r="796" spans="1:6" customFormat="1" ht="14.4" customHeight="1">
      <c r="A796" s="687" t="s">
        <v>3542</v>
      </c>
      <c r="B796" s="1193">
        <v>1</v>
      </c>
      <c r="C796" s="1202" t="s">
        <v>1995</v>
      </c>
      <c r="D796" s="1433"/>
      <c r="E796" s="1435"/>
      <c r="F796" s="1435"/>
    </row>
    <row r="797" spans="1:6" customFormat="1" ht="14.4" customHeight="1">
      <c r="A797" s="1208"/>
      <c r="B797" s="1193">
        <v>2</v>
      </c>
      <c r="C797" s="1202" t="s">
        <v>6076</v>
      </c>
      <c r="D797" s="1433"/>
      <c r="E797" s="1435"/>
      <c r="F797" s="1435"/>
    </row>
    <row r="798" spans="1:6" customFormat="1" ht="14.4" customHeight="1">
      <c r="A798" s="912" t="s">
        <v>3190</v>
      </c>
      <c r="B798" s="1193">
        <v>3</v>
      </c>
      <c r="C798" s="1202" t="s">
        <v>6078</v>
      </c>
      <c r="D798" s="1433"/>
      <c r="E798" s="1435"/>
      <c r="F798" s="1435"/>
    </row>
    <row r="799" spans="1:6" customFormat="1" ht="14.4" customHeight="1">
      <c r="A799" s="1371" t="s">
        <v>3544</v>
      </c>
      <c r="B799" s="1193"/>
      <c r="C799" s="1202" t="s">
        <v>729</v>
      </c>
      <c r="D799" s="1426"/>
      <c r="E799" s="1428"/>
      <c r="F799" s="1428"/>
    </row>
    <row r="800" spans="1:6" customFormat="1" ht="14.4" customHeight="1">
      <c r="A800" s="693"/>
      <c r="B800" s="1193">
        <v>2</v>
      </c>
      <c r="C800" s="1202" t="s">
        <v>1157</v>
      </c>
      <c r="D800" s="1433"/>
      <c r="E800" s="1435"/>
      <c r="F800" s="1435"/>
    </row>
    <row r="801" spans="1:6" customFormat="1" ht="14.4" customHeight="1">
      <c r="A801" s="691"/>
      <c r="B801" s="1193"/>
      <c r="C801" s="1202" t="s">
        <v>729</v>
      </c>
      <c r="D801" s="1426"/>
      <c r="E801" s="1428"/>
      <c r="F801" s="1428"/>
    </row>
    <row r="802" spans="1:6" customFormat="1" ht="14.4" customHeight="1">
      <c r="A802" s="691"/>
      <c r="B802" s="1194">
        <v>1</v>
      </c>
      <c r="C802" s="1201" t="s">
        <v>5103</v>
      </c>
      <c r="D802" s="1426"/>
      <c r="E802" s="1427"/>
      <c r="F802" s="1427"/>
    </row>
    <row r="803" spans="1:6" customFormat="1" ht="14.4" customHeight="1">
      <c r="A803" s="687"/>
      <c r="B803" s="1195">
        <v>3</v>
      </c>
      <c r="C803" s="1191" t="s">
        <v>3461</v>
      </c>
      <c r="D803" s="1426"/>
      <c r="E803" s="1428"/>
      <c r="F803" s="1428"/>
    </row>
    <row r="804" spans="1:6" customFormat="1" ht="14.4" customHeight="1">
      <c r="A804" s="687"/>
      <c r="B804" s="1199">
        <v>1</v>
      </c>
      <c r="C804" s="1205" t="s">
        <v>3366</v>
      </c>
      <c r="D804" s="1429"/>
      <c r="E804" s="1430"/>
      <c r="F804" s="1430"/>
    </row>
    <row r="805" spans="1:6" customFormat="1" ht="14.4" customHeight="1">
      <c r="A805" s="693"/>
      <c r="B805" s="1193"/>
      <c r="C805" s="1202" t="s">
        <v>729</v>
      </c>
      <c r="D805" s="1426"/>
      <c r="E805" s="1428"/>
      <c r="F805" s="1428"/>
    </row>
    <row r="806" spans="1:6" customFormat="1" ht="14.4" customHeight="1">
      <c r="A806" s="693"/>
      <c r="B806" s="1194">
        <v>1</v>
      </c>
      <c r="C806" s="1303" t="s">
        <v>6079</v>
      </c>
      <c r="D806" s="1426"/>
      <c r="E806" s="1428"/>
      <c r="F806" s="1428"/>
    </row>
    <row r="807" spans="1:6" customFormat="1" ht="14.4" customHeight="1">
      <c r="A807" s="692"/>
      <c r="B807" s="1199">
        <v>1</v>
      </c>
      <c r="C807" s="1205" t="s">
        <v>6080</v>
      </c>
      <c r="D807" s="1429"/>
      <c r="E807" s="1430"/>
      <c r="F807" s="1430"/>
    </row>
    <row r="808" spans="1:6" customFormat="1" ht="14.4" customHeight="1">
      <c r="A808" s="687"/>
      <c r="B808" s="1195">
        <v>1</v>
      </c>
      <c r="C808" s="1191" t="s">
        <v>1651</v>
      </c>
      <c r="D808" s="1426"/>
      <c r="E808" s="1427"/>
      <c r="F808" s="1427"/>
    </row>
    <row r="809" spans="1:6" customFormat="1" ht="14.4" customHeight="1">
      <c r="A809" s="687"/>
      <c r="B809" s="1195">
        <v>6</v>
      </c>
      <c r="C809" s="1191" t="s">
        <v>8277</v>
      </c>
      <c r="D809" s="1426"/>
      <c r="E809" s="1427"/>
      <c r="F809" s="1427"/>
    </row>
    <row r="810" spans="1:6" customFormat="1" ht="14.4" customHeight="1">
      <c r="A810" s="691"/>
      <c r="B810" s="1193"/>
      <c r="C810" s="1202" t="s">
        <v>729</v>
      </c>
      <c r="D810" s="1426"/>
      <c r="E810" s="1428"/>
      <c r="F810" s="1428"/>
    </row>
    <row r="811" spans="1:6" customFormat="1" ht="14.4" customHeight="1">
      <c r="A811" s="687"/>
      <c r="B811" s="1194">
        <v>1</v>
      </c>
      <c r="C811" s="1201" t="s">
        <v>5106</v>
      </c>
      <c r="D811" s="1426"/>
      <c r="E811" s="1427"/>
      <c r="F811" s="1427"/>
    </row>
    <row r="812" spans="1:6" customFormat="1" ht="14.4" customHeight="1">
      <c r="A812" s="693"/>
      <c r="B812" s="1195">
        <v>2</v>
      </c>
      <c r="C812" s="1191" t="s">
        <v>3281</v>
      </c>
      <c r="D812" s="1426"/>
      <c r="E812" s="1428"/>
      <c r="F812" s="1428"/>
    </row>
    <row r="813" spans="1:6" customFormat="1" ht="14.4" customHeight="1">
      <c r="A813" s="1371"/>
      <c r="B813" s="1193"/>
      <c r="C813" s="1202" t="s">
        <v>729</v>
      </c>
      <c r="D813" s="1426"/>
      <c r="E813" s="1428"/>
      <c r="F813" s="1428"/>
    </row>
    <row r="814" spans="1:6" customFormat="1" ht="14.4" customHeight="1">
      <c r="A814" s="693"/>
      <c r="B814" s="1193">
        <v>1</v>
      </c>
      <c r="C814" s="1304" t="s">
        <v>2908</v>
      </c>
      <c r="D814" s="1426"/>
      <c r="E814" s="1428"/>
      <c r="F814" s="1428"/>
    </row>
    <row r="815" spans="1:6" customFormat="1" ht="14.4" customHeight="1">
      <c r="A815" s="691"/>
      <c r="B815" s="1193">
        <v>1</v>
      </c>
      <c r="C815" s="1198" t="s">
        <v>316</v>
      </c>
      <c r="D815" s="1436"/>
      <c r="E815" s="1437"/>
      <c r="F815" s="1437"/>
    </row>
    <row r="816" spans="1:6" customFormat="1" ht="14.4" customHeight="1" thickBot="1">
      <c r="A816" s="699"/>
      <c r="B816" s="1200"/>
      <c r="C816" s="1305"/>
      <c r="D816" s="1438"/>
      <c r="E816" s="1439"/>
      <c r="F816" s="1439"/>
    </row>
    <row r="817" spans="1:6" s="61" customFormat="1" ht="20.100000000000001" customHeight="1" thickBot="1">
      <c r="A817" s="1372">
        <v>25</v>
      </c>
      <c r="B817" s="1250">
        <v>1</v>
      </c>
      <c r="C817" s="1217" t="s">
        <v>3564</v>
      </c>
      <c r="D817" s="1424">
        <v>3618</v>
      </c>
      <c r="E817" s="1425"/>
      <c r="F817" s="1425">
        <v>3618</v>
      </c>
    </row>
    <row r="818" spans="1:6" customFormat="1" ht="14.4" customHeight="1">
      <c r="A818" s="685" t="s">
        <v>3064</v>
      </c>
      <c r="B818" s="1192"/>
      <c r="C818" s="1201" t="s">
        <v>2662</v>
      </c>
      <c r="D818" s="1433"/>
      <c r="E818" s="1434"/>
      <c r="F818" s="1434"/>
    </row>
    <row r="819" spans="1:6" customFormat="1" ht="26.4">
      <c r="A819" s="687" t="s">
        <v>5107</v>
      </c>
      <c r="B819" s="1193">
        <v>1</v>
      </c>
      <c r="C819" s="1204" t="s">
        <v>4384</v>
      </c>
      <c r="D819" s="1433"/>
      <c r="E819" s="1435"/>
      <c r="F819" s="1435"/>
    </row>
    <row r="820" spans="1:6" customFormat="1" ht="14.4" customHeight="1">
      <c r="A820" s="687" t="s">
        <v>4136</v>
      </c>
      <c r="B820" s="1193"/>
      <c r="C820" s="1202" t="s">
        <v>729</v>
      </c>
      <c r="D820" s="1426"/>
      <c r="E820" s="1428"/>
      <c r="F820" s="1428"/>
    </row>
    <row r="821" spans="1:6" customFormat="1" ht="14.4" customHeight="1">
      <c r="A821" s="687"/>
      <c r="B821" s="1293"/>
      <c r="C821" s="1303" t="s">
        <v>2654</v>
      </c>
      <c r="D821" s="1433"/>
      <c r="E821" s="1435"/>
      <c r="F821" s="1435"/>
    </row>
    <row r="822" spans="1:6" customFormat="1" ht="14.4" customHeight="1">
      <c r="A822" s="693" t="s">
        <v>6077</v>
      </c>
      <c r="B822" s="1193">
        <v>5</v>
      </c>
      <c r="C822" s="1202" t="s">
        <v>4176</v>
      </c>
      <c r="D822" s="1433"/>
      <c r="E822" s="1435"/>
      <c r="F822" s="1435"/>
    </row>
    <row r="823" spans="1:6" customFormat="1" ht="14.4" customHeight="1">
      <c r="A823" s="693"/>
      <c r="B823" s="1193">
        <v>5</v>
      </c>
      <c r="C823" s="1202" t="s">
        <v>1995</v>
      </c>
      <c r="D823" s="1433"/>
      <c r="E823" s="1435"/>
      <c r="F823" s="1435"/>
    </row>
    <row r="824" spans="1:6" customFormat="1" ht="14.4" customHeight="1">
      <c r="A824" s="698"/>
      <c r="B824" s="1193">
        <v>3</v>
      </c>
      <c r="C824" s="1202" t="s">
        <v>6078</v>
      </c>
      <c r="D824" s="1433"/>
      <c r="E824" s="1435"/>
      <c r="F824" s="1435"/>
    </row>
    <row r="825" spans="1:6" customFormat="1" ht="14.4" customHeight="1">
      <c r="A825" s="687" t="s">
        <v>3542</v>
      </c>
      <c r="B825" s="1193"/>
      <c r="C825" s="1202" t="s">
        <v>729</v>
      </c>
      <c r="D825" s="1426"/>
      <c r="E825" s="1428"/>
      <c r="F825" s="1428"/>
    </row>
    <row r="826" spans="1:6" customFormat="1" ht="14.4" customHeight="1">
      <c r="A826" s="1208"/>
      <c r="B826" s="1193">
        <v>3</v>
      </c>
      <c r="C826" s="1202" t="s">
        <v>1157</v>
      </c>
      <c r="D826" s="1433"/>
      <c r="E826" s="1435"/>
      <c r="F826" s="1435"/>
    </row>
    <row r="827" spans="1:6" customFormat="1" ht="14.4" customHeight="1">
      <c r="A827" s="912" t="s">
        <v>3190</v>
      </c>
      <c r="B827" s="1193"/>
      <c r="C827" s="1202" t="s">
        <v>729</v>
      </c>
      <c r="D827" s="1426"/>
      <c r="E827" s="1428"/>
      <c r="F827" s="1428"/>
    </row>
    <row r="828" spans="1:6" customFormat="1" ht="14.4" customHeight="1">
      <c r="A828" s="913" t="s">
        <v>3543</v>
      </c>
      <c r="B828" s="1194">
        <v>1</v>
      </c>
      <c r="C828" s="1201" t="s">
        <v>5103</v>
      </c>
      <c r="D828" s="1426"/>
      <c r="E828" s="1427"/>
      <c r="F828" s="1427"/>
    </row>
    <row r="829" spans="1:6" customFormat="1" ht="14.4" customHeight="1">
      <c r="A829" s="1371" t="s">
        <v>3544</v>
      </c>
      <c r="B829" s="1195">
        <v>3</v>
      </c>
      <c r="C829" s="1191" t="s">
        <v>3461</v>
      </c>
      <c r="D829" s="1426"/>
      <c r="E829" s="1428"/>
      <c r="F829" s="1428"/>
    </row>
    <row r="830" spans="1:6" customFormat="1" ht="14.4" customHeight="1">
      <c r="A830" s="693"/>
      <c r="B830" s="1199">
        <v>1</v>
      </c>
      <c r="C830" s="1205" t="s">
        <v>3366</v>
      </c>
      <c r="D830" s="1429"/>
      <c r="E830" s="1430"/>
      <c r="F830" s="1430"/>
    </row>
    <row r="831" spans="1:6" customFormat="1" ht="14.4" customHeight="1">
      <c r="A831" s="693"/>
      <c r="B831" s="1193"/>
      <c r="C831" s="1202" t="s">
        <v>729</v>
      </c>
      <c r="D831" s="1426"/>
      <c r="E831" s="1428"/>
      <c r="F831" s="1428"/>
    </row>
    <row r="832" spans="1:6" customFormat="1" ht="14.4" customHeight="1">
      <c r="A832" s="693"/>
      <c r="B832" s="1194">
        <v>2</v>
      </c>
      <c r="C832" s="1303" t="s">
        <v>6079</v>
      </c>
      <c r="D832" s="1426"/>
      <c r="E832" s="1428"/>
      <c r="F832" s="1428"/>
    </row>
    <row r="833" spans="1:6" customFormat="1" ht="14.4" customHeight="1">
      <c r="A833" s="692"/>
      <c r="B833" s="1199">
        <v>1</v>
      </c>
      <c r="C833" s="1205" t="s">
        <v>6080</v>
      </c>
      <c r="D833" s="1429"/>
      <c r="E833" s="1430"/>
      <c r="F833" s="1430"/>
    </row>
    <row r="834" spans="1:6" customFormat="1" ht="14.4" customHeight="1">
      <c r="A834" s="687"/>
      <c r="B834" s="1195">
        <v>1</v>
      </c>
      <c r="C834" s="1191" t="s">
        <v>1651</v>
      </c>
      <c r="D834" s="1426"/>
      <c r="E834" s="1427"/>
      <c r="F834" s="1427"/>
    </row>
    <row r="835" spans="1:6" customFormat="1" ht="14.4" customHeight="1">
      <c r="A835" s="687"/>
      <c r="B835" s="1195">
        <v>6</v>
      </c>
      <c r="C835" s="1191" t="s">
        <v>8277</v>
      </c>
      <c r="D835" s="1426"/>
      <c r="E835" s="1427"/>
      <c r="F835" s="1427"/>
    </row>
    <row r="836" spans="1:6" customFormat="1" ht="14.4" customHeight="1">
      <c r="A836" s="691"/>
      <c r="B836" s="1193"/>
      <c r="C836" s="1202" t="s">
        <v>729</v>
      </c>
      <c r="D836" s="1426"/>
      <c r="E836" s="1428"/>
      <c r="F836" s="1428"/>
    </row>
    <row r="837" spans="1:6" customFormat="1" ht="14.4" customHeight="1">
      <c r="A837" s="687"/>
      <c r="B837" s="1194">
        <v>1</v>
      </c>
      <c r="C837" s="1201" t="s">
        <v>5106</v>
      </c>
      <c r="D837" s="1426"/>
      <c r="E837" s="1427"/>
      <c r="F837" s="1427"/>
    </row>
    <row r="838" spans="1:6" customFormat="1" ht="14.4" customHeight="1">
      <c r="A838" s="693"/>
      <c r="B838" s="1195">
        <v>2</v>
      </c>
      <c r="C838" s="1191" t="s">
        <v>3281</v>
      </c>
      <c r="D838" s="1426"/>
      <c r="E838" s="1428"/>
      <c r="F838" s="1428"/>
    </row>
    <row r="839" spans="1:6" customFormat="1" ht="14.4" customHeight="1">
      <c r="A839" s="1371"/>
      <c r="B839" s="1193"/>
      <c r="C839" s="1202" t="s">
        <v>729</v>
      </c>
      <c r="D839" s="1426"/>
      <c r="E839" s="1428"/>
      <c r="F839" s="1428"/>
    </row>
    <row r="840" spans="1:6" customFormat="1" ht="14.4" customHeight="1">
      <c r="A840" s="693"/>
      <c r="B840" s="1193">
        <v>1</v>
      </c>
      <c r="C840" s="1304" t="s">
        <v>2908</v>
      </c>
      <c r="D840" s="1426"/>
      <c r="E840" s="1428"/>
      <c r="F840" s="1428"/>
    </row>
    <row r="841" spans="1:6" customFormat="1" ht="14.4" customHeight="1">
      <c r="A841" s="691"/>
      <c r="B841" s="1193">
        <v>1</v>
      </c>
      <c r="C841" s="1198" t="s">
        <v>316</v>
      </c>
      <c r="D841" s="1436"/>
      <c r="E841" s="1437"/>
      <c r="F841" s="1437"/>
    </row>
    <row r="842" spans="1:6" customFormat="1" ht="14.4" customHeight="1" thickBot="1">
      <c r="A842" s="699"/>
      <c r="B842" s="1200"/>
      <c r="C842" s="1305"/>
      <c r="D842" s="1438"/>
      <c r="E842" s="1439"/>
      <c r="F842" s="1439"/>
    </row>
    <row r="843" spans="1:6" s="61" customFormat="1" ht="20.100000000000001" customHeight="1" thickBot="1">
      <c r="A843" s="1372">
        <v>26</v>
      </c>
      <c r="B843" s="1250">
        <v>1</v>
      </c>
      <c r="C843" s="1217" t="s">
        <v>3565</v>
      </c>
      <c r="D843" s="1424">
        <v>3258</v>
      </c>
      <c r="E843" s="1425"/>
      <c r="F843" s="1425">
        <v>3258</v>
      </c>
    </row>
    <row r="844" spans="1:6" customFormat="1" ht="14.4" customHeight="1">
      <c r="A844" s="685" t="s">
        <v>3064</v>
      </c>
      <c r="B844" s="1192"/>
      <c r="C844" s="1201" t="s">
        <v>2662</v>
      </c>
      <c r="D844" s="1433"/>
      <c r="E844" s="1434"/>
      <c r="F844" s="1434"/>
    </row>
    <row r="845" spans="1:6" customFormat="1" ht="26.4">
      <c r="A845" s="687" t="s">
        <v>5107</v>
      </c>
      <c r="B845" s="1193">
        <v>1</v>
      </c>
      <c r="C845" s="1204" t="s">
        <v>4384</v>
      </c>
      <c r="D845" s="1433"/>
      <c r="E845" s="1435"/>
      <c r="F845" s="1435"/>
    </row>
    <row r="846" spans="1:6" customFormat="1" ht="14.4" customHeight="1">
      <c r="A846" s="687" t="s">
        <v>4136</v>
      </c>
      <c r="B846" s="1193"/>
      <c r="C846" s="1202" t="s">
        <v>729</v>
      </c>
      <c r="D846" s="1426"/>
      <c r="E846" s="1428"/>
      <c r="F846" s="1428"/>
    </row>
    <row r="847" spans="1:6" customFormat="1" ht="14.4" customHeight="1">
      <c r="A847" s="687"/>
      <c r="B847" s="1293"/>
      <c r="C847" s="1303" t="s">
        <v>2654</v>
      </c>
      <c r="D847" s="1433"/>
      <c r="E847" s="1435"/>
      <c r="F847" s="1435"/>
    </row>
    <row r="848" spans="1:6" customFormat="1" ht="14.4" customHeight="1">
      <c r="A848" s="693" t="s">
        <v>6077</v>
      </c>
      <c r="B848" s="1193">
        <v>1</v>
      </c>
      <c r="C848" s="1202" t="s">
        <v>4206</v>
      </c>
      <c r="D848" s="1433"/>
      <c r="E848" s="1435"/>
      <c r="F848" s="1435"/>
    </row>
    <row r="849" spans="1:6" customFormat="1" ht="14.4" customHeight="1">
      <c r="A849" s="693"/>
      <c r="B849" s="1193">
        <v>1</v>
      </c>
      <c r="C849" s="1202" t="s">
        <v>2000</v>
      </c>
      <c r="D849" s="1433"/>
      <c r="E849" s="1435"/>
      <c r="F849" s="1435"/>
    </row>
    <row r="850" spans="1:6" customFormat="1" ht="14.4" customHeight="1">
      <c r="A850" s="698"/>
      <c r="B850" s="1193">
        <v>2</v>
      </c>
      <c r="C850" s="1202" t="s">
        <v>4176</v>
      </c>
      <c r="D850" s="1433"/>
      <c r="E850" s="1435"/>
      <c r="F850" s="1435"/>
    </row>
    <row r="851" spans="1:6" customFormat="1" ht="14.4" customHeight="1">
      <c r="A851" s="687" t="s">
        <v>3541</v>
      </c>
      <c r="B851" s="1193">
        <v>2</v>
      </c>
      <c r="C851" s="1202" t="s">
        <v>1995</v>
      </c>
      <c r="D851" s="1433"/>
      <c r="E851" s="1435"/>
      <c r="F851" s="1435"/>
    </row>
    <row r="852" spans="1:6" customFormat="1" ht="14.4" customHeight="1">
      <c r="A852" s="687" t="s">
        <v>3542</v>
      </c>
      <c r="B852" s="1193">
        <v>3</v>
      </c>
      <c r="C852" s="1202" t="s">
        <v>6076</v>
      </c>
      <c r="D852" s="1433"/>
      <c r="E852" s="1435"/>
      <c r="F852" s="1435"/>
    </row>
    <row r="853" spans="1:6" customFormat="1" ht="14.4" customHeight="1">
      <c r="A853" s="1208"/>
      <c r="B853" s="1193">
        <v>2</v>
      </c>
      <c r="C853" s="1202" t="s">
        <v>6078</v>
      </c>
      <c r="D853" s="1433"/>
      <c r="E853" s="1435"/>
      <c r="F853" s="1435"/>
    </row>
    <row r="854" spans="1:6" customFormat="1" ht="14.4" customHeight="1">
      <c r="A854" s="913" t="s">
        <v>3543</v>
      </c>
      <c r="B854" s="1193"/>
      <c r="C854" s="1202" t="s">
        <v>729</v>
      </c>
      <c r="D854" s="1426"/>
      <c r="E854" s="1428"/>
      <c r="F854" s="1428"/>
    </row>
    <row r="855" spans="1:6" customFormat="1" ht="14.4" customHeight="1">
      <c r="A855" s="1371" t="s">
        <v>3544</v>
      </c>
      <c r="B855" s="1193">
        <v>2</v>
      </c>
      <c r="C855" s="1202" t="s">
        <v>1157</v>
      </c>
      <c r="D855" s="1433"/>
      <c r="E855" s="1435"/>
      <c r="F855" s="1435"/>
    </row>
    <row r="856" spans="1:6" customFormat="1" ht="14.4" customHeight="1">
      <c r="A856" s="693"/>
      <c r="B856" s="1193"/>
      <c r="C856" s="1202" t="s">
        <v>729</v>
      </c>
      <c r="D856" s="1426"/>
      <c r="E856" s="1428"/>
      <c r="F856" s="1428"/>
    </row>
    <row r="857" spans="1:6" customFormat="1" ht="14.4" customHeight="1">
      <c r="A857" s="691"/>
      <c r="B857" s="1194">
        <v>1</v>
      </c>
      <c r="C857" s="1201" t="s">
        <v>5103</v>
      </c>
      <c r="D857" s="1426"/>
      <c r="E857" s="1427"/>
      <c r="F857" s="1427"/>
    </row>
    <row r="858" spans="1:6" customFormat="1" ht="14.4" customHeight="1">
      <c r="A858" s="687"/>
      <c r="B858" s="1195">
        <v>3</v>
      </c>
      <c r="C858" s="1191" t="s">
        <v>3461</v>
      </c>
      <c r="D858" s="1426"/>
      <c r="E858" s="1428"/>
      <c r="F858" s="1428"/>
    </row>
    <row r="859" spans="1:6" customFormat="1" ht="14.4" customHeight="1">
      <c r="A859" s="687"/>
      <c r="B859" s="1199">
        <v>1</v>
      </c>
      <c r="C859" s="1205" t="s">
        <v>3366</v>
      </c>
      <c r="D859" s="1429"/>
      <c r="E859" s="1430"/>
      <c r="F859" s="1430"/>
    </row>
    <row r="860" spans="1:6" customFormat="1" ht="14.4" customHeight="1">
      <c r="A860" s="693"/>
      <c r="B860" s="1193"/>
      <c r="C860" s="1202" t="s">
        <v>729</v>
      </c>
      <c r="D860" s="1426"/>
      <c r="E860" s="1428"/>
      <c r="F860" s="1428"/>
    </row>
    <row r="861" spans="1:6" customFormat="1" ht="14.4" customHeight="1">
      <c r="A861" s="693"/>
      <c r="B861" s="1194">
        <v>1</v>
      </c>
      <c r="C861" s="1303" t="s">
        <v>6079</v>
      </c>
      <c r="D861" s="1426"/>
      <c r="E861" s="1428"/>
      <c r="F861" s="1428"/>
    </row>
    <row r="862" spans="1:6" customFormat="1" ht="14.4" customHeight="1">
      <c r="A862" s="692"/>
      <c r="B862" s="1199">
        <v>1</v>
      </c>
      <c r="C862" s="1205" t="s">
        <v>6080</v>
      </c>
      <c r="D862" s="1429"/>
      <c r="E862" s="1430"/>
      <c r="F862" s="1430"/>
    </row>
    <row r="863" spans="1:6" customFormat="1" ht="14.4" customHeight="1">
      <c r="A863" s="687"/>
      <c r="B863" s="1195">
        <v>1</v>
      </c>
      <c r="C863" s="1191" t="s">
        <v>1651</v>
      </c>
      <c r="D863" s="1426"/>
      <c r="E863" s="1427"/>
      <c r="F863" s="1427"/>
    </row>
    <row r="864" spans="1:6" customFormat="1" ht="14.4" customHeight="1">
      <c r="A864" s="687"/>
      <c r="B864" s="1195">
        <v>6</v>
      </c>
      <c r="C864" s="1191" t="s">
        <v>8277</v>
      </c>
      <c r="D864" s="1426"/>
      <c r="E864" s="1427"/>
      <c r="F864" s="1427"/>
    </row>
    <row r="865" spans="1:6" customFormat="1" ht="14.4" customHeight="1">
      <c r="A865" s="691"/>
      <c r="B865" s="1193"/>
      <c r="C865" s="1202" t="s">
        <v>729</v>
      </c>
      <c r="D865" s="1426"/>
      <c r="E865" s="1428"/>
      <c r="F865" s="1428"/>
    </row>
    <row r="866" spans="1:6" customFormat="1" ht="14.4" customHeight="1">
      <c r="A866" s="687"/>
      <c r="B866" s="1194">
        <v>1</v>
      </c>
      <c r="C866" s="1201" t="s">
        <v>5106</v>
      </c>
      <c r="D866" s="1426"/>
      <c r="E866" s="1427"/>
      <c r="F866" s="1427"/>
    </row>
    <row r="867" spans="1:6" customFormat="1" ht="14.4" customHeight="1">
      <c r="A867" s="693"/>
      <c r="B867" s="1195">
        <v>2</v>
      </c>
      <c r="C867" s="1191" t="s">
        <v>3281</v>
      </c>
      <c r="D867" s="1426"/>
      <c r="E867" s="1428"/>
      <c r="F867" s="1428"/>
    </row>
    <row r="868" spans="1:6" customFormat="1" ht="14.4" customHeight="1">
      <c r="A868" s="1371"/>
      <c r="B868" s="1193"/>
      <c r="C868" s="1202" t="s">
        <v>729</v>
      </c>
      <c r="D868" s="1426"/>
      <c r="E868" s="1428"/>
      <c r="F868" s="1428"/>
    </row>
    <row r="869" spans="1:6" customFormat="1" ht="14.4" customHeight="1">
      <c r="A869" s="693"/>
      <c r="B869" s="1193">
        <v>1</v>
      </c>
      <c r="C869" s="1304" t="s">
        <v>2908</v>
      </c>
      <c r="D869" s="1426"/>
      <c r="E869" s="1428"/>
      <c r="F869" s="1428"/>
    </row>
    <row r="870" spans="1:6" customFormat="1" ht="14.4" customHeight="1">
      <c r="A870" s="691"/>
      <c r="B870" s="1193">
        <v>1</v>
      </c>
      <c r="C870" s="1198" t="s">
        <v>316</v>
      </c>
      <c r="D870" s="1436"/>
      <c r="E870" s="1437"/>
      <c r="F870" s="1437"/>
    </row>
    <row r="871" spans="1:6" customFormat="1" ht="14.4" customHeight="1" thickBot="1">
      <c r="A871" s="699"/>
      <c r="B871" s="1200"/>
      <c r="C871" s="1305"/>
      <c r="D871" s="1438"/>
      <c r="E871" s="1439"/>
      <c r="F871" s="1439"/>
    </row>
    <row r="872" spans="1:6" s="61" customFormat="1" ht="20.100000000000001" customHeight="1" thickBot="1">
      <c r="A872" s="1372">
        <v>27</v>
      </c>
      <c r="B872" s="1250">
        <v>1</v>
      </c>
      <c r="C872" s="1217" t="s">
        <v>3566</v>
      </c>
      <c r="D872" s="1424">
        <v>5405</v>
      </c>
      <c r="E872" s="1425"/>
      <c r="F872" s="1425">
        <v>5405</v>
      </c>
    </row>
    <row r="873" spans="1:6" customFormat="1" ht="14.4" customHeight="1">
      <c r="A873" s="685" t="s">
        <v>3064</v>
      </c>
      <c r="B873" s="1192"/>
      <c r="C873" s="1201" t="s">
        <v>2662</v>
      </c>
      <c r="D873" s="1433"/>
      <c r="E873" s="1434"/>
      <c r="F873" s="1434"/>
    </row>
    <row r="874" spans="1:6" customFormat="1" ht="26.4">
      <c r="A874" s="687" t="s">
        <v>5107</v>
      </c>
      <c r="B874" s="1193">
        <v>1</v>
      </c>
      <c r="C874" s="1204" t="s">
        <v>4385</v>
      </c>
      <c r="D874" s="1433"/>
      <c r="E874" s="1435"/>
      <c r="F874" s="1435"/>
    </row>
    <row r="875" spans="1:6" customFormat="1" ht="14.4" customHeight="1">
      <c r="A875" s="687" t="s">
        <v>4136</v>
      </c>
      <c r="B875" s="1193"/>
      <c r="C875" s="1202" t="s">
        <v>729</v>
      </c>
      <c r="D875" s="1426"/>
      <c r="E875" s="1428"/>
      <c r="F875" s="1428"/>
    </row>
    <row r="876" spans="1:6" customFormat="1" ht="14.4" customHeight="1">
      <c r="A876" s="687"/>
      <c r="B876" s="1293"/>
      <c r="C876" s="1303" t="s">
        <v>2654</v>
      </c>
      <c r="D876" s="1433"/>
      <c r="E876" s="1435"/>
      <c r="F876" s="1435"/>
    </row>
    <row r="877" spans="1:6" customFormat="1" ht="14.4" customHeight="1">
      <c r="A877" s="693" t="s">
        <v>6077</v>
      </c>
      <c r="B877" s="1193">
        <v>5</v>
      </c>
      <c r="C877" s="1202" t="s">
        <v>4206</v>
      </c>
      <c r="D877" s="1433"/>
      <c r="E877" s="1435"/>
      <c r="F877" s="1435"/>
    </row>
    <row r="878" spans="1:6" customFormat="1" ht="14.4" customHeight="1">
      <c r="A878" s="693"/>
      <c r="B878" s="1193">
        <v>5</v>
      </c>
      <c r="C878" s="1202" t="s">
        <v>2000</v>
      </c>
      <c r="D878" s="1433"/>
      <c r="E878" s="1435"/>
      <c r="F878" s="1435"/>
    </row>
    <row r="879" spans="1:6" customFormat="1" ht="14.4" customHeight="1">
      <c r="A879" s="698"/>
      <c r="B879" s="1193">
        <v>4</v>
      </c>
      <c r="C879" s="1202" t="s">
        <v>4176</v>
      </c>
      <c r="D879" s="1433"/>
      <c r="E879" s="1435"/>
      <c r="F879" s="1435"/>
    </row>
    <row r="880" spans="1:6" customFormat="1" ht="14.4" customHeight="1">
      <c r="A880" s="687" t="s">
        <v>3541</v>
      </c>
      <c r="B880" s="1193">
        <v>3</v>
      </c>
      <c r="C880" s="1202" t="s">
        <v>1995</v>
      </c>
      <c r="D880" s="1433"/>
      <c r="E880" s="1435"/>
      <c r="F880" s="1435"/>
    </row>
    <row r="881" spans="1:6" customFormat="1" ht="14.4" customHeight="1">
      <c r="A881" s="687" t="s">
        <v>3542</v>
      </c>
      <c r="B881" s="1193">
        <v>1</v>
      </c>
      <c r="C881" s="1202" t="s">
        <v>6076</v>
      </c>
      <c r="D881" s="1433"/>
      <c r="E881" s="1435"/>
      <c r="F881" s="1435"/>
    </row>
    <row r="882" spans="1:6" customFormat="1" ht="14.4" customHeight="1">
      <c r="A882" s="1208"/>
      <c r="B882" s="1193">
        <v>2</v>
      </c>
      <c r="C882" s="1202" t="s">
        <v>6078</v>
      </c>
      <c r="D882" s="1433"/>
      <c r="E882" s="1435"/>
      <c r="F882" s="1435"/>
    </row>
    <row r="883" spans="1:6" customFormat="1" ht="14.4" customHeight="1">
      <c r="A883" s="913" t="s">
        <v>3543</v>
      </c>
      <c r="B883" s="1193"/>
      <c r="C883" s="1202" t="s">
        <v>729</v>
      </c>
      <c r="D883" s="1426"/>
      <c r="E883" s="1428"/>
      <c r="F883" s="1428"/>
    </row>
    <row r="884" spans="1:6" customFormat="1" ht="14.4" customHeight="1">
      <c r="A884" s="1371" t="s">
        <v>3544</v>
      </c>
      <c r="B884" s="1193">
        <v>3</v>
      </c>
      <c r="C884" s="1202" t="s">
        <v>1157</v>
      </c>
      <c r="D884" s="1433"/>
      <c r="E884" s="1435"/>
      <c r="F884" s="1435"/>
    </row>
    <row r="885" spans="1:6" customFormat="1" ht="14.4" customHeight="1">
      <c r="A885" s="693"/>
      <c r="B885" s="1193"/>
      <c r="C885" s="1202" t="s">
        <v>729</v>
      </c>
      <c r="D885" s="1426"/>
      <c r="E885" s="1428"/>
      <c r="F885" s="1428"/>
    </row>
    <row r="886" spans="1:6" customFormat="1" ht="14.4" customHeight="1">
      <c r="A886" s="691"/>
      <c r="B886" s="1194">
        <v>1</v>
      </c>
      <c r="C886" s="1201" t="s">
        <v>5103</v>
      </c>
      <c r="D886" s="1426"/>
      <c r="E886" s="1427"/>
      <c r="F886" s="1427"/>
    </row>
    <row r="887" spans="1:6" customFormat="1" ht="14.4" customHeight="1">
      <c r="A887" s="687"/>
      <c r="B887" s="1195">
        <v>3</v>
      </c>
      <c r="C887" s="1191" t="s">
        <v>3461</v>
      </c>
      <c r="D887" s="1426"/>
      <c r="E887" s="1428"/>
      <c r="F887" s="1428"/>
    </row>
    <row r="888" spans="1:6" customFormat="1" ht="14.4" customHeight="1">
      <c r="A888" s="687"/>
      <c r="B888" s="1199">
        <v>1</v>
      </c>
      <c r="C888" s="1205" t="s">
        <v>3366</v>
      </c>
      <c r="D888" s="1429"/>
      <c r="E888" s="1430"/>
      <c r="F888" s="1430"/>
    </row>
    <row r="889" spans="1:6" customFormat="1" ht="14.4" customHeight="1">
      <c r="A889" s="693"/>
      <c r="B889" s="1193"/>
      <c r="C889" s="1202" t="s">
        <v>729</v>
      </c>
      <c r="D889" s="1426"/>
      <c r="E889" s="1428"/>
      <c r="F889" s="1428"/>
    </row>
    <row r="890" spans="1:6" customFormat="1" ht="14.4" customHeight="1">
      <c r="A890" s="693"/>
      <c r="B890" s="1194">
        <v>2</v>
      </c>
      <c r="C890" s="1303" t="s">
        <v>6079</v>
      </c>
      <c r="D890" s="1426"/>
      <c r="E890" s="1428"/>
      <c r="F890" s="1428"/>
    </row>
    <row r="891" spans="1:6" customFormat="1" ht="14.4" customHeight="1">
      <c r="A891" s="692"/>
      <c r="B891" s="1199">
        <v>1</v>
      </c>
      <c r="C891" s="1205" t="s">
        <v>6080</v>
      </c>
      <c r="D891" s="1429"/>
      <c r="E891" s="1430"/>
      <c r="F891" s="1430"/>
    </row>
    <row r="892" spans="1:6" customFormat="1" ht="14.4" customHeight="1">
      <c r="A892" s="687"/>
      <c r="B892" s="1195">
        <v>1</v>
      </c>
      <c r="C892" s="1191" t="s">
        <v>1651</v>
      </c>
      <c r="D892" s="1426"/>
      <c r="E892" s="1427"/>
      <c r="F892" s="1427"/>
    </row>
    <row r="893" spans="1:6" customFormat="1" ht="14.4" customHeight="1">
      <c r="A893" s="687"/>
      <c r="B893" s="1195">
        <v>6</v>
      </c>
      <c r="C893" s="1191" t="s">
        <v>8277</v>
      </c>
      <c r="D893" s="1426"/>
      <c r="E893" s="1427"/>
      <c r="F893" s="1427"/>
    </row>
    <row r="894" spans="1:6" customFormat="1" ht="14.4" customHeight="1">
      <c r="A894" s="691"/>
      <c r="B894" s="1193"/>
      <c r="C894" s="1202" t="s">
        <v>729</v>
      </c>
      <c r="D894" s="1426"/>
      <c r="E894" s="1428"/>
      <c r="F894" s="1428"/>
    </row>
    <row r="895" spans="1:6" customFormat="1" ht="14.4" customHeight="1">
      <c r="A895" s="687"/>
      <c r="B895" s="1194">
        <v>1</v>
      </c>
      <c r="C895" s="1201" t="s">
        <v>5106</v>
      </c>
      <c r="D895" s="1426"/>
      <c r="E895" s="1427"/>
      <c r="F895" s="1427"/>
    </row>
    <row r="896" spans="1:6" customFormat="1" ht="14.4" customHeight="1">
      <c r="A896" s="693"/>
      <c r="B896" s="1195">
        <v>2</v>
      </c>
      <c r="C896" s="1191" t="s">
        <v>3281</v>
      </c>
      <c r="D896" s="1426"/>
      <c r="E896" s="1428"/>
      <c r="F896" s="1428"/>
    </row>
    <row r="897" spans="1:6" customFormat="1" ht="14.4" customHeight="1">
      <c r="A897" s="1371"/>
      <c r="B897" s="1193"/>
      <c r="C897" s="1202" t="s">
        <v>729</v>
      </c>
      <c r="D897" s="1426"/>
      <c r="E897" s="1428"/>
      <c r="F897" s="1428"/>
    </row>
    <row r="898" spans="1:6" customFormat="1" ht="14.4" customHeight="1">
      <c r="A898" s="693"/>
      <c r="B898" s="1193">
        <v>1</v>
      </c>
      <c r="C898" s="1304" t="s">
        <v>2908</v>
      </c>
      <c r="D898" s="1426"/>
      <c r="E898" s="1428"/>
      <c r="F898" s="1428"/>
    </row>
    <row r="899" spans="1:6" customFormat="1" ht="14.4" customHeight="1">
      <c r="A899" s="691"/>
      <c r="B899" s="1193">
        <v>1</v>
      </c>
      <c r="C899" s="1198" t="s">
        <v>316</v>
      </c>
      <c r="D899" s="1436"/>
      <c r="E899" s="1437"/>
      <c r="F899" s="1437"/>
    </row>
    <row r="900" spans="1:6" customFormat="1" ht="14.4" customHeight="1" thickBot="1">
      <c r="A900" s="699"/>
      <c r="B900" s="1200"/>
      <c r="C900" s="1305"/>
      <c r="D900" s="1438"/>
      <c r="E900" s="1439"/>
      <c r="F900" s="1439"/>
    </row>
    <row r="901" spans="1:6" s="61" customFormat="1" ht="20.100000000000001" customHeight="1" thickBot="1">
      <c r="A901" s="1372">
        <v>28</v>
      </c>
      <c r="B901" s="1250">
        <v>1</v>
      </c>
      <c r="C901" s="1217" t="s">
        <v>3567</v>
      </c>
      <c r="D901" s="1424">
        <v>5964</v>
      </c>
      <c r="E901" s="1425"/>
      <c r="F901" s="1425">
        <v>5964</v>
      </c>
    </row>
    <row r="902" spans="1:6" customFormat="1" ht="14.4" customHeight="1">
      <c r="A902" s="685" t="s">
        <v>3064</v>
      </c>
      <c r="B902" s="1192"/>
      <c r="C902" s="1201" t="s">
        <v>2662</v>
      </c>
      <c r="D902" s="1433"/>
      <c r="E902" s="1434"/>
      <c r="F902" s="1434"/>
    </row>
    <row r="903" spans="1:6" customFormat="1" ht="26.4">
      <c r="A903" s="687" t="s">
        <v>5107</v>
      </c>
      <c r="B903" s="1193">
        <v>1</v>
      </c>
      <c r="C903" s="1204" t="s">
        <v>4385</v>
      </c>
      <c r="D903" s="1433"/>
      <c r="E903" s="1435"/>
      <c r="F903" s="1435"/>
    </row>
    <row r="904" spans="1:6" customFormat="1" ht="14.4" customHeight="1">
      <c r="A904" s="687" t="s">
        <v>4136</v>
      </c>
      <c r="B904" s="1193"/>
      <c r="C904" s="1202" t="s">
        <v>729</v>
      </c>
      <c r="D904" s="1426"/>
      <c r="E904" s="1428"/>
      <c r="F904" s="1428"/>
    </row>
    <row r="905" spans="1:6" customFormat="1" ht="14.4" customHeight="1">
      <c r="A905" s="687"/>
      <c r="B905" s="1293"/>
      <c r="C905" s="1303" t="s">
        <v>2654</v>
      </c>
      <c r="D905" s="1433"/>
      <c r="E905" s="1435"/>
      <c r="F905" s="1435"/>
    </row>
    <row r="906" spans="1:6" customFormat="1" ht="14.4" customHeight="1">
      <c r="A906" s="693" t="s">
        <v>6077</v>
      </c>
      <c r="B906" s="1193">
        <v>4</v>
      </c>
      <c r="C906" s="1202" t="s">
        <v>4206</v>
      </c>
      <c r="D906" s="1433"/>
      <c r="E906" s="1435"/>
      <c r="F906" s="1435"/>
    </row>
    <row r="907" spans="1:6" customFormat="1" ht="14.4" customHeight="1">
      <c r="A907" s="693"/>
      <c r="B907" s="1193">
        <v>4</v>
      </c>
      <c r="C907" s="1202" t="s">
        <v>2000</v>
      </c>
      <c r="D907" s="1433"/>
      <c r="E907" s="1435"/>
      <c r="F907" s="1435"/>
    </row>
    <row r="908" spans="1:6" customFormat="1" ht="14.4" customHeight="1">
      <c r="A908" s="698"/>
      <c r="B908" s="1193">
        <v>6</v>
      </c>
      <c r="C908" s="1202" t="s">
        <v>4176</v>
      </c>
      <c r="D908" s="1433"/>
      <c r="E908" s="1435"/>
      <c r="F908" s="1435"/>
    </row>
    <row r="909" spans="1:6" customFormat="1" ht="14.4" customHeight="1">
      <c r="A909" s="687" t="s">
        <v>3541</v>
      </c>
      <c r="B909" s="1193">
        <v>5</v>
      </c>
      <c r="C909" s="1202" t="s">
        <v>1995</v>
      </c>
      <c r="D909" s="1433"/>
      <c r="E909" s="1435"/>
      <c r="F909" s="1435"/>
    </row>
    <row r="910" spans="1:6" customFormat="1" ht="14.4" customHeight="1">
      <c r="A910" s="687" t="s">
        <v>3542</v>
      </c>
      <c r="B910" s="1193">
        <v>2</v>
      </c>
      <c r="C910" s="1202" t="s">
        <v>6076</v>
      </c>
      <c r="D910" s="1433"/>
      <c r="E910" s="1435"/>
      <c r="F910" s="1435"/>
    </row>
    <row r="911" spans="1:6" customFormat="1" ht="14.4" customHeight="1">
      <c r="A911" s="1208"/>
      <c r="B911" s="1193">
        <v>2</v>
      </c>
      <c r="C911" s="1202" t="s">
        <v>6078</v>
      </c>
      <c r="D911" s="1433"/>
      <c r="E911" s="1435"/>
      <c r="F911" s="1435"/>
    </row>
    <row r="912" spans="1:6" customFormat="1" ht="14.4" customHeight="1">
      <c r="A912" s="913" t="s">
        <v>3543</v>
      </c>
      <c r="B912" s="1193"/>
      <c r="C912" s="1202" t="s">
        <v>729</v>
      </c>
      <c r="D912" s="1426"/>
      <c r="E912" s="1428"/>
      <c r="F912" s="1428"/>
    </row>
    <row r="913" spans="1:6" customFormat="1" ht="14.4" customHeight="1">
      <c r="A913" s="1371" t="s">
        <v>3544</v>
      </c>
      <c r="B913" s="1193">
        <v>5</v>
      </c>
      <c r="C913" s="1202" t="s">
        <v>1157</v>
      </c>
      <c r="D913" s="1433"/>
      <c r="E913" s="1435"/>
      <c r="F913" s="1435"/>
    </row>
    <row r="914" spans="1:6" customFormat="1" ht="14.4" customHeight="1">
      <c r="A914" s="693"/>
      <c r="B914" s="1193"/>
      <c r="C914" s="1202" t="s">
        <v>729</v>
      </c>
      <c r="D914" s="1426"/>
      <c r="E914" s="1428"/>
      <c r="F914" s="1428"/>
    </row>
    <row r="915" spans="1:6" customFormat="1" ht="14.4" customHeight="1">
      <c r="A915" s="691"/>
      <c r="B915" s="1194">
        <v>1</v>
      </c>
      <c r="C915" s="1201" t="s">
        <v>5103</v>
      </c>
      <c r="D915" s="1426"/>
      <c r="E915" s="1427"/>
      <c r="F915" s="1427"/>
    </row>
    <row r="916" spans="1:6" customFormat="1" ht="14.4" customHeight="1">
      <c r="A916" s="687"/>
      <c r="B916" s="1195">
        <v>3</v>
      </c>
      <c r="C916" s="1191" t="s">
        <v>3461</v>
      </c>
      <c r="D916" s="1426"/>
      <c r="E916" s="1428"/>
      <c r="F916" s="1428"/>
    </row>
    <row r="917" spans="1:6" customFormat="1" ht="14.4" customHeight="1">
      <c r="A917" s="687"/>
      <c r="B917" s="1199">
        <v>1</v>
      </c>
      <c r="C917" s="1205" t="s">
        <v>3366</v>
      </c>
      <c r="D917" s="1429"/>
      <c r="E917" s="1430"/>
      <c r="F917" s="1430"/>
    </row>
    <row r="918" spans="1:6" customFormat="1" ht="14.4" customHeight="1">
      <c r="A918" s="693"/>
      <c r="B918" s="1193"/>
      <c r="C918" s="1202" t="s">
        <v>729</v>
      </c>
      <c r="D918" s="1426"/>
      <c r="E918" s="1428"/>
      <c r="F918" s="1428"/>
    </row>
    <row r="919" spans="1:6" customFormat="1" ht="14.4" customHeight="1">
      <c r="A919" s="693"/>
      <c r="B919" s="1194">
        <v>3</v>
      </c>
      <c r="C919" s="1303" t="s">
        <v>6079</v>
      </c>
      <c r="D919" s="1426"/>
      <c r="E919" s="1428"/>
      <c r="F919" s="1428"/>
    </row>
    <row r="920" spans="1:6" customFormat="1" ht="14.4" customHeight="1">
      <c r="A920" s="692"/>
      <c r="B920" s="1199">
        <v>1</v>
      </c>
      <c r="C920" s="1205" t="s">
        <v>6080</v>
      </c>
      <c r="D920" s="1429"/>
      <c r="E920" s="1430"/>
      <c r="F920" s="1430"/>
    </row>
    <row r="921" spans="1:6" customFormat="1" ht="14.4" customHeight="1">
      <c r="A921" s="687"/>
      <c r="B921" s="1195">
        <v>1</v>
      </c>
      <c r="C921" s="1191" t="s">
        <v>1651</v>
      </c>
      <c r="D921" s="1426"/>
      <c r="E921" s="1427"/>
      <c r="F921" s="1427"/>
    </row>
    <row r="922" spans="1:6" customFormat="1" ht="14.4" customHeight="1">
      <c r="A922" s="687"/>
      <c r="B922" s="1195">
        <v>6</v>
      </c>
      <c r="C922" s="1191" t="s">
        <v>8277</v>
      </c>
      <c r="D922" s="1426"/>
      <c r="E922" s="1427"/>
      <c r="F922" s="1427"/>
    </row>
    <row r="923" spans="1:6" customFormat="1" ht="14.4" customHeight="1">
      <c r="A923" s="691"/>
      <c r="B923" s="1193"/>
      <c r="C923" s="1202" t="s">
        <v>729</v>
      </c>
      <c r="D923" s="1426"/>
      <c r="E923" s="1428"/>
      <c r="F923" s="1428"/>
    </row>
    <row r="924" spans="1:6" customFormat="1" ht="14.4" customHeight="1">
      <c r="A924" s="687"/>
      <c r="B924" s="1194">
        <v>1</v>
      </c>
      <c r="C924" s="1201" t="s">
        <v>5106</v>
      </c>
      <c r="D924" s="1426"/>
      <c r="E924" s="1427"/>
      <c r="F924" s="1427"/>
    </row>
    <row r="925" spans="1:6" customFormat="1" ht="14.4" customHeight="1">
      <c r="A925" s="693"/>
      <c r="B925" s="1195">
        <v>2</v>
      </c>
      <c r="C925" s="1191" t="s">
        <v>3281</v>
      </c>
      <c r="D925" s="1426"/>
      <c r="E925" s="1428"/>
      <c r="F925" s="1428"/>
    </row>
    <row r="926" spans="1:6" customFormat="1" ht="14.4" customHeight="1">
      <c r="A926" s="1371"/>
      <c r="B926" s="1193"/>
      <c r="C926" s="1202" t="s">
        <v>729</v>
      </c>
      <c r="D926" s="1426"/>
      <c r="E926" s="1428"/>
      <c r="F926" s="1428"/>
    </row>
    <row r="927" spans="1:6" customFormat="1" ht="14.4" customHeight="1">
      <c r="A927" s="693"/>
      <c r="B927" s="1193">
        <v>1</v>
      </c>
      <c r="C927" s="1304" t="s">
        <v>2908</v>
      </c>
      <c r="D927" s="1426"/>
      <c r="E927" s="1428"/>
      <c r="F927" s="1428"/>
    </row>
    <row r="928" spans="1:6" customFormat="1" ht="14.4" customHeight="1">
      <c r="A928" s="691"/>
      <c r="B928" s="1193">
        <v>1</v>
      </c>
      <c r="C928" s="1198" t="s">
        <v>316</v>
      </c>
      <c r="D928" s="1436"/>
      <c r="E928" s="1437"/>
      <c r="F928" s="1437"/>
    </row>
    <row r="929" spans="1:6" customFormat="1" ht="14.4" customHeight="1" thickBot="1">
      <c r="A929" s="699"/>
      <c r="B929" s="1200"/>
      <c r="C929" s="1305"/>
      <c r="D929" s="1438"/>
      <c r="E929" s="1439"/>
      <c r="F929" s="1439"/>
    </row>
    <row r="930" spans="1:6" s="61" customFormat="1" ht="20.100000000000001" customHeight="1" thickBot="1">
      <c r="A930" s="1372">
        <v>29</v>
      </c>
      <c r="B930" s="1250">
        <v>1</v>
      </c>
      <c r="C930" s="1217" t="s">
        <v>3568</v>
      </c>
      <c r="D930" s="1424">
        <v>6877</v>
      </c>
      <c r="E930" s="1425"/>
      <c r="F930" s="1425">
        <v>6877</v>
      </c>
    </row>
    <row r="931" spans="1:6" customFormat="1" ht="14.4" customHeight="1">
      <c r="A931" s="685" t="s">
        <v>3064</v>
      </c>
      <c r="B931" s="1192"/>
      <c r="C931" s="1201" t="s">
        <v>2662</v>
      </c>
      <c r="D931" s="1433"/>
      <c r="E931" s="1434"/>
      <c r="F931" s="1434"/>
    </row>
    <row r="932" spans="1:6" customFormat="1" ht="26.4">
      <c r="A932" s="687" t="s">
        <v>5107</v>
      </c>
      <c r="B932" s="1193">
        <v>1</v>
      </c>
      <c r="C932" s="1204" t="s">
        <v>4494</v>
      </c>
      <c r="D932" s="1433"/>
      <c r="E932" s="1435"/>
      <c r="F932" s="1435"/>
    </row>
    <row r="933" spans="1:6" customFormat="1" ht="14.4" customHeight="1">
      <c r="A933" s="687" t="s">
        <v>4136</v>
      </c>
      <c r="B933" s="1193"/>
      <c r="C933" s="1202" t="s">
        <v>729</v>
      </c>
      <c r="D933" s="1426"/>
      <c r="E933" s="1428"/>
      <c r="F933" s="1428"/>
    </row>
    <row r="934" spans="1:6" customFormat="1" ht="14.4" customHeight="1">
      <c r="A934" s="687"/>
      <c r="B934" s="1293"/>
      <c r="C934" s="1303" t="s">
        <v>2654</v>
      </c>
      <c r="D934" s="1433"/>
      <c r="E934" s="1435"/>
      <c r="F934" s="1435"/>
    </row>
    <row r="935" spans="1:6" customFormat="1" ht="26.4">
      <c r="A935" s="693" t="s">
        <v>6077</v>
      </c>
      <c r="B935" s="1193">
        <v>1</v>
      </c>
      <c r="C935" s="1204" t="s">
        <v>4386</v>
      </c>
      <c r="D935" s="1433"/>
      <c r="E935" s="1435"/>
      <c r="F935" s="1435"/>
    </row>
    <row r="936" spans="1:6" customFormat="1" ht="26.4">
      <c r="A936" s="693"/>
      <c r="B936" s="1193">
        <v>1</v>
      </c>
      <c r="C936" s="1204" t="s">
        <v>4385</v>
      </c>
      <c r="D936" s="1433"/>
      <c r="E936" s="1435"/>
      <c r="F936" s="1435"/>
    </row>
    <row r="937" spans="1:6" customFormat="1" ht="14.4" customHeight="1">
      <c r="A937" s="687" t="s">
        <v>3541</v>
      </c>
      <c r="B937" s="1193">
        <v>2</v>
      </c>
      <c r="C937" s="1202" t="s">
        <v>4206</v>
      </c>
      <c r="D937" s="1433"/>
      <c r="E937" s="1435"/>
      <c r="F937" s="1435"/>
    </row>
    <row r="938" spans="1:6" customFormat="1" ht="14.4" customHeight="1">
      <c r="A938" s="687" t="s">
        <v>3542</v>
      </c>
      <c r="B938" s="1193">
        <v>2</v>
      </c>
      <c r="C938" s="1202" t="s">
        <v>2000</v>
      </c>
      <c r="D938" s="1433"/>
      <c r="E938" s="1435"/>
      <c r="F938" s="1435"/>
    </row>
    <row r="939" spans="1:6" customFormat="1" ht="14.4" customHeight="1">
      <c r="A939" s="1208"/>
      <c r="B939" s="1193">
        <v>7</v>
      </c>
      <c r="C939" s="1202" t="s">
        <v>4176</v>
      </c>
      <c r="D939" s="1433"/>
      <c r="E939" s="1435"/>
      <c r="F939" s="1435"/>
    </row>
    <row r="940" spans="1:6" customFormat="1" ht="14.4" customHeight="1">
      <c r="A940" s="912" t="s">
        <v>3190</v>
      </c>
      <c r="B940" s="1193">
        <v>7</v>
      </c>
      <c r="C940" s="1202" t="s">
        <v>1995</v>
      </c>
      <c r="D940" s="1433"/>
      <c r="E940" s="1435"/>
      <c r="F940" s="1435"/>
    </row>
    <row r="941" spans="1:6" customFormat="1" ht="14.4" customHeight="1">
      <c r="A941" s="913" t="s">
        <v>3543</v>
      </c>
      <c r="B941" s="1193">
        <v>2</v>
      </c>
      <c r="C941" s="1202" t="s">
        <v>6076</v>
      </c>
      <c r="D941" s="1433"/>
      <c r="E941" s="1435"/>
      <c r="F941" s="1435"/>
    </row>
    <row r="942" spans="1:6" customFormat="1" ht="14.4" customHeight="1">
      <c r="A942" s="1371" t="s">
        <v>3544</v>
      </c>
      <c r="B942" s="1193">
        <v>3</v>
      </c>
      <c r="C942" s="1202" t="s">
        <v>6078</v>
      </c>
      <c r="D942" s="1433"/>
      <c r="E942" s="1435"/>
      <c r="F942" s="1435"/>
    </row>
    <row r="943" spans="1:6" customFormat="1" ht="14.4" customHeight="1">
      <c r="A943" s="691"/>
      <c r="B943" s="1193"/>
      <c r="C943" s="1202" t="s">
        <v>729</v>
      </c>
      <c r="D943" s="1426"/>
      <c r="E943" s="1428"/>
      <c r="F943" s="1428"/>
    </row>
    <row r="944" spans="1:6" customFormat="1" ht="14.4" customHeight="1">
      <c r="A944" s="691"/>
      <c r="B944" s="1193">
        <v>5</v>
      </c>
      <c r="C944" s="1202" t="s">
        <v>1157</v>
      </c>
      <c r="D944" s="1433"/>
      <c r="E944" s="1435"/>
      <c r="F944" s="1435"/>
    </row>
    <row r="945" spans="1:6" customFormat="1" ht="14.4" customHeight="1">
      <c r="A945" s="687"/>
      <c r="B945" s="1193"/>
      <c r="C945" s="1202" t="s">
        <v>729</v>
      </c>
      <c r="D945" s="1426"/>
      <c r="E945" s="1428"/>
      <c r="F945" s="1428"/>
    </row>
    <row r="946" spans="1:6" customFormat="1" ht="14.4" customHeight="1">
      <c r="A946" s="687"/>
      <c r="B946" s="1194">
        <v>1</v>
      </c>
      <c r="C946" s="1201" t="s">
        <v>5103</v>
      </c>
      <c r="D946" s="1426"/>
      <c r="E946" s="1427"/>
      <c r="F946" s="1427"/>
    </row>
    <row r="947" spans="1:6" customFormat="1" ht="14.4" customHeight="1">
      <c r="A947" s="1208"/>
      <c r="B947" s="1195">
        <v>3</v>
      </c>
      <c r="C947" s="1191" t="s">
        <v>3461</v>
      </c>
      <c r="D947" s="1426"/>
      <c r="E947" s="1428"/>
      <c r="F947" s="1428"/>
    </row>
    <row r="948" spans="1:6" customFormat="1" ht="14.4" customHeight="1">
      <c r="A948" s="687"/>
      <c r="B948" s="1199">
        <v>1</v>
      </c>
      <c r="C948" s="1205" t="s">
        <v>3366</v>
      </c>
      <c r="D948" s="1429"/>
      <c r="E948" s="1430"/>
      <c r="F948" s="1430"/>
    </row>
    <row r="949" spans="1:6" customFormat="1" ht="14.4" customHeight="1">
      <c r="A949" s="693"/>
      <c r="B949" s="1193"/>
      <c r="C949" s="1202" t="s">
        <v>729</v>
      </c>
      <c r="D949" s="1426"/>
      <c r="E949" s="1428"/>
      <c r="F949" s="1428"/>
    </row>
    <row r="950" spans="1:6" customFormat="1" ht="14.4" customHeight="1">
      <c r="A950" s="693"/>
      <c r="B950" s="1194">
        <v>2</v>
      </c>
      <c r="C950" s="1303" t="s">
        <v>6079</v>
      </c>
      <c r="D950" s="1426"/>
      <c r="E950" s="1428"/>
      <c r="F950" s="1428"/>
    </row>
    <row r="951" spans="1:6" customFormat="1" ht="14.4" customHeight="1">
      <c r="A951" s="692"/>
      <c r="B951" s="1199">
        <v>1</v>
      </c>
      <c r="C951" s="1205" t="s">
        <v>6080</v>
      </c>
      <c r="D951" s="1429"/>
      <c r="E951" s="1430"/>
      <c r="F951" s="1430"/>
    </row>
    <row r="952" spans="1:6" customFormat="1" ht="14.4" customHeight="1">
      <c r="A952" s="687"/>
      <c r="B952" s="1195">
        <v>1</v>
      </c>
      <c r="C952" s="1191" t="s">
        <v>1651</v>
      </c>
      <c r="D952" s="1426"/>
      <c r="E952" s="1427"/>
      <c r="F952" s="1427"/>
    </row>
    <row r="953" spans="1:6" customFormat="1" ht="14.4" customHeight="1">
      <c r="A953" s="687"/>
      <c r="B953" s="1195">
        <v>6</v>
      </c>
      <c r="C953" s="1191" t="s">
        <v>8277</v>
      </c>
      <c r="D953" s="1426"/>
      <c r="E953" s="1427"/>
      <c r="F953" s="1427"/>
    </row>
    <row r="954" spans="1:6" customFormat="1" ht="14.4" customHeight="1">
      <c r="A954" s="691"/>
      <c r="B954" s="1193"/>
      <c r="C954" s="1202" t="s">
        <v>729</v>
      </c>
      <c r="D954" s="1426"/>
      <c r="E954" s="1428"/>
      <c r="F954" s="1428"/>
    </row>
    <row r="955" spans="1:6" customFormat="1" ht="14.4" customHeight="1">
      <c r="A955" s="687"/>
      <c r="B955" s="1194">
        <v>1</v>
      </c>
      <c r="C955" s="1201" t="s">
        <v>5106</v>
      </c>
      <c r="D955" s="1426"/>
      <c r="E955" s="1427"/>
      <c r="F955" s="1427"/>
    </row>
    <row r="956" spans="1:6" customFormat="1" ht="14.4" customHeight="1">
      <c r="A956" s="693"/>
      <c r="B956" s="1195">
        <v>2</v>
      </c>
      <c r="C956" s="1191" t="s">
        <v>3281</v>
      </c>
      <c r="D956" s="1426"/>
      <c r="E956" s="1428"/>
      <c r="F956" s="1428"/>
    </row>
    <row r="957" spans="1:6" customFormat="1" ht="14.4" customHeight="1">
      <c r="A957" s="1371"/>
      <c r="B957" s="1193"/>
      <c r="C957" s="1202" t="s">
        <v>729</v>
      </c>
      <c r="D957" s="1426"/>
      <c r="E957" s="1428"/>
      <c r="F957" s="1428"/>
    </row>
    <row r="958" spans="1:6" customFormat="1" ht="14.4" customHeight="1">
      <c r="A958" s="693"/>
      <c r="B958" s="1193">
        <v>1</v>
      </c>
      <c r="C958" s="1304" t="s">
        <v>2908</v>
      </c>
      <c r="D958" s="1426"/>
      <c r="E958" s="1428"/>
      <c r="F958" s="1428"/>
    </row>
    <row r="959" spans="1:6" customFormat="1" ht="14.4" customHeight="1">
      <c r="A959" s="691"/>
      <c r="B959" s="1193">
        <v>1</v>
      </c>
      <c r="C959" s="1198" t="s">
        <v>316</v>
      </c>
      <c r="D959" s="1436"/>
      <c r="E959" s="1437"/>
      <c r="F959" s="1437"/>
    </row>
    <row r="960" spans="1:6" customFormat="1" ht="14.4" customHeight="1" thickBot="1">
      <c r="A960" s="699"/>
      <c r="B960" s="1200"/>
      <c r="C960" s="1305"/>
      <c r="D960" s="1438"/>
      <c r="E960" s="1439"/>
      <c r="F960" s="1439"/>
    </row>
    <row r="961" spans="1:6" s="61" customFormat="1" ht="20.100000000000001" customHeight="1" thickBot="1">
      <c r="A961" s="1372">
        <v>30</v>
      </c>
      <c r="B961" s="1250">
        <v>1</v>
      </c>
      <c r="C961" s="1217" t="s">
        <v>3569</v>
      </c>
      <c r="D961" s="1424">
        <v>10001</v>
      </c>
      <c r="E961" s="1425"/>
      <c r="F961" s="1425">
        <v>10001</v>
      </c>
    </row>
    <row r="962" spans="1:6" customFormat="1" ht="14.4" customHeight="1">
      <c r="A962" s="685" t="s">
        <v>3064</v>
      </c>
      <c r="B962" s="1192"/>
      <c r="C962" s="1201" t="s">
        <v>2662</v>
      </c>
      <c r="D962" s="1433"/>
      <c r="E962" s="1434"/>
      <c r="F962" s="1434"/>
    </row>
    <row r="963" spans="1:6" customFormat="1" ht="26.4">
      <c r="A963" s="687" t="s">
        <v>5107</v>
      </c>
      <c r="B963" s="1193">
        <v>1</v>
      </c>
      <c r="C963" s="1204" t="s">
        <v>4525</v>
      </c>
      <c r="D963" s="1433"/>
      <c r="E963" s="1435"/>
      <c r="F963" s="1435"/>
    </row>
    <row r="964" spans="1:6" customFormat="1" ht="14.4" customHeight="1">
      <c r="A964" s="687" t="s">
        <v>4136</v>
      </c>
      <c r="B964" s="1193"/>
      <c r="C964" s="1202" t="s">
        <v>729</v>
      </c>
      <c r="D964" s="1426"/>
      <c r="E964" s="1428"/>
      <c r="F964" s="1428"/>
    </row>
    <row r="965" spans="1:6" customFormat="1" ht="14.4" customHeight="1">
      <c r="A965" s="687"/>
      <c r="B965" s="1293"/>
      <c r="C965" s="1303" t="s">
        <v>2654</v>
      </c>
      <c r="D965" s="1433"/>
      <c r="E965" s="1435"/>
      <c r="F965" s="1435"/>
    </row>
    <row r="966" spans="1:6" customFormat="1" ht="26.4">
      <c r="A966" s="693" t="s">
        <v>6077</v>
      </c>
      <c r="B966" s="1193">
        <v>1</v>
      </c>
      <c r="C966" s="1204" t="s">
        <v>4388</v>
      </c>
      <c r="D966" s="1433"/>
      <c r="E966" s="1435"/>
      <c r="F966" s="1435"/>
    </row>
    <row r="967" spans="1:6" customFormat="1" ht="14.4" customHeight="1">
      <c r="A967" s="693"/>
      <c r="B967" s="1193">
        <v>2</v>
      </c>
      <c r="C967" s="1202" t="s">
        <v>4206</v>
      </c>
      <c r="D967" s="1433"/>
      <c r="E967" s="1435"/>
      <c r="F967" s="1435"/>
    </row>
    <row r="968" spans="1:6" customFormat="1" ht="14.4" customHeight="1">
      <c r="A968" s="687" t="s">
        <v>3541</v>
      </c>
      <c r="B968" s="1193">
        <v>2</v>
      </c>
      <c r="C968" s="1202" t="s">
        <v>2000</v>
      </c>
      <c r="D968" s="1433"/>
      <c r="E968" s="1435"/>
      <c r="F968" s="1435"/>
    </row>
    <row r="969" spans="1:6" customFormat="1" ht="14.4" customHeight="1">
      <c r="A969" s="687" t="s">
        <v>3542</v>
      </c>
      <c r="B969" s="1193">
        <v>2</v>
      </c>
      <c r="C969" s="1202" t="s">
        <v>4178</v>
      </c>
      <c r="D969" s="1433"/>
      <c r="E969" s="1435"/>
      <c r="F969" s="1435"/>
    </row>
    <row r="970" spans="1:6" customFormat="1" ht="14.4" customHeight="1">
      <c r="A970" s="1208"/>
      <c r="B970" s="1193">
        <v>2</v>
      </c>
      <c r="C970" s="1202" t="s">
        <v>1996</v>
      </c>
      <c r="D970" s="1433"/>
      <c r="E970" s="1435"/>
      <c r="F970" s="1435"/>
    </row>
    <row r="971" spans="1:6" customFormat="1" ht="14.4" customHeight="1">
      <c r="A971" s="912" t="s">
        <v>3190</v>
      </c>
      <c r="B971" s="1193">
        <v>14</v>
      </c>
      <c r="C971" s="1202" t="s">
        <v>4176</v>
      </c>
      <c r="D971" s="1433"/>
      <c r="E971" s="1435"/>
      <c r="F971" s="1435"/>
    </row>
    <row r="972" spans="1:6" customFormat="1" ht="14.4" customHeight="1">
      <c r="A972" s="913" t="s">
        <v>3543</v>
      </c>
      <c r="B972" s="1193">
        <v>14</v>
      </c>
      <c r="C972" s="1202" t="s">
        <v>1995</v>
      </c>
      <c r="D972" s="1433"/>
      <c r="E972" s="1435"/>
      <c r="F972" s="1435"/>
    </row>
    <row r="973" spans="1:6" customFormat="1" ht="14.4" customHeight="1">
      <c r="A973" s="1371" t="s">
        <v>3544</v>
      </c>
      <c r="B973" s="1193">
        <v>2</v>
      </c>
      <c r="C973" s="1202" t="s">
        <v>6076</v>
      </c>
      <c r="D973" s="1433"/>
      <c r="E973" s="1435"/>
      <c r="F973" s="1435"/>
    </row>
    <row r="974" spans="1:6" customFormat="1" ht="14.4" customHeight="1">
      <c r="A974" s="693"/>
      <c r="B974" s="1193">
        <v>2</v>
      </c>
      <c r="C974" s="1202" t="s">
        <v>6078</v>
      </c>
      <c r="D974" s="1433"/>
      <c r="E974" s="1435"/>
      <c r="F974" s="1435"/>
    </row>
    <row r="975" spans="1:6" customFormat="1" ht="14.4" customHeight="1">
      <c r="A975" s="691"/>
      <c r="B975" s="1193"/>
      <c r="C975" s="1202" t="s">
        <v>729</v>
      </c>
      <c r="D975" s="1426"/>
      <c r="E975" s="1428"/>
      <c r="F975" s="1428"/>
    </row>
    <row r="976" spans="1:6" customFormat="1" ht="14.4" customHeight="1">
      <c r="A976" s="687"/>
      <c r="B976" s="1193">
        <v>10</v>
      </c>
      <c r="C976" s="1202" t="s">
        <v>1157</v>
      </c>
      <c r="D976" s="1433"/>
      <c r="E976" s="1435"/>
      <c r="F976" s="1435"/>
    </row>
    <row r="977" spans="1:6" customFormat="1" ht="14.4" customHeight="1">
      <c r="A977" s="687"/>
      <c r="B977" s="1193"/>
      <c r="C977" s="1202" t="s">
        <v>729</v>
      </c>
      <c r="D977" s="1426"/>
      <c r="E977" s="1428"/>
      <c r="F977" s="1428"/>
    </row>
    <row r="978" spans="1:6" customFormat="1" ht="14.4" customHeight="1">
      <c r="A978" s="687"/>
      <c r="B978" s="1194">
        <v>1</v>
      </c>
      <c r="C978" s="1201" t="s">
        <v>5103</v>
      </c>
      <c r="D978" s="1426"/>
      <c r="E978" s="1427"/>
      <c r="F978" s="1427"/>
    </row>
    <row r="979" spans="1:6" customFormat="1" ht="14.4" customHeight="1">
      <c r="A979" s="687"/>
      <c r="B979" s="1195">
        <v>3</v>
      </c>
      <c r="C979" s="1191" t="s">
        <v>3461</v>
      </c>
      <c r="D979" s="1426"/>
      <c r="E979" s="1428"/>
      <c r="F979" s="1428"/>
    </row>
    <row r="980" spans="1:6" customFormat="1" ht="14.4" customHeight="1">
      <c r="A980" s="687"/>
      <c r="B980" s="1199">
        <v>1</v>
      </c>
      <c r="C980" s="1205" t="s">
        <v>3366</v>
      </c>
      <c r="D980" s="1429"/>
      <c r="E980" s="1430"/>
      <c r="F980" s="1430"/>
    </row>
    <row r="981" spans="1:6" customFormat="1" ht="14.4" customHeight="1">
      <c r="A981" s="693"/>
      <c r="B981" s="1193"/>
      <c r="C981" s="1202" t="s">
        <v>729</v>
      </c>
      <c r="D981" s="1426"/>
      <c r="E981" s="1428"/>
      <c r="F981" s="1428"/>
    </row>
    <row r="982" spans="1:6" customFormat="1" ht="14.4" customHeight="1">
      <c r="A982" s="693"/>
      <c r="B982" s="1194">
        <v>4</v>
      </c>
      <c r="C982" s="1303" t="s">
        <v>6079</v>
      </c>
      <c r="D982" s="1426"/>
      <c r="E982" s="1428"/>
      <c r="F982" s="1428"/>
    </row>
    <row r="983" spans="1:6" customFormat="1" ht="14.4" customHeight="1">
      <c r="A983" s="692"/>
      <c r="B983" s="1199">
        <v>1</v>
      </c>
      <c r="C983" s="1205" t="s">
        <v>6080</v>
      </c>
      <c r="D983" s="1429"/>
      <c r="E983" s="1430"/>
      <c r="F983" s="1430"/>
    </row>
    <row r="984" spans="1:6" customFormat="1" ht="14.4" customHeight="1">
      <c r="A984" s="687"/>
      <c r="B984" s="1195">
        <v>1</v>
      </c>
      <c r="C984" s="1191" t="s">
        <v>1651</v>
      </c>
      <c r="D984" s="1426"/>
      <c r="E984" s="1427"/>
      <c r="F984" s="1427"/>
    </row>
    <row r="985" spans="1:6" customFormat="1" ht="14.4" customHeight="1">
      <c r="A985" s="687"/>
      <c r="B985" s="1195">
        <v>6</v>
      </c>
      <c r="C985" s="1191" t="s">
        <v>8277</v>
      </c>
      <c r="D985" s="1426"/>
      <c r="E985" s="1427"/>
      <c r="F985" s="1427"/>
    </row>
    <row r="986" spans="1:6" customFormat="1" ht="14.4" customHeight="1">
      <c r="A986" s="691"/>
      <c r="B986" s="1193"/>
      <c r="C986" s="1202" t="s">
        <v>729</v>
      </c>
      <c r="D986" s="1426"/>
      <c r="E986" s="1428"/>
      <c r="F986" s="1428"/>
    </row>
    <row r="987" spans="1:6" customFormat="1" ht="14.4" customHeight="1">
      <c r="A987" s="687"/>
      <c r="B987" s="1194">
        <v>1</v>
      </c>
      <c r="C987" s="1201" t="s">
        <v>5106</v>
      </c>
      <c r="D987" s="1426"/>
      <c r="E987" s="1427"/>
      <c r="F987" s="1427"/>
    </row>
    <row r="988" spans="1:6" customFormat="1" ht="14.4" customHeight="1">
      <c r="A988" s="693"/>
      <c r="B988" s="1195">
        <v>2</v>
      </c>
      <c r="C988" s="1191" t="s">
        <v>3281</v>
      </c>
      <c r="D988" s="1426"/>
      <c r="E988" s="1428"/>
      <c r="F988" s="1428"/>
    </row>
    <row r="989" spans="1:6" customFormat="1" ht="14.4" customHeight="1">
      <c r="A989" s="1371"/>
      <c r="B989" s="1193"/>
      <c r="C989" s="1202" t="s">
        <v>729</v>
      </c>
      <c r="D989" s="1426"/>
      <c r="E989" s="1428"/>
      <c r="F989" s="1428"/>
    </row>
    <row r="990" spans="1:6" customFormat="1" ht="14.4" customHeight="1">
      <c r="A990" s="693"/>
      <c r="B990" s="1193">
        <v>1</v>
      </c>
      <c r="C990" s="1304" t="s">
        <v>2908</v>
      </c>
      <c r="D990" s="1426"/>
      <c r="E990" s="1428"/>
      <c r="F990" s="1428"/>
    </row>
    <row r="991" spans="1:6" customFormat="1" ht="14.4" customHeight="1">
      <c r="A991" s="691"/>
      <c r="B991" s="1193">
        <v>1</v>
      </c>
      <c r="C991" s="1198" t="s">
        <v>316</v>
      </c>
      <c r="D991" s="1436"/>
      <c r="E991" s="1437"/>
      <c r="F991" s="1437"/>
    </row>
    <row r="992" spans="1:6" customFormat="1" ht="14.4" customHeight="1" thickBot="1">
      <c r="A992" s="699"/>
      <c r="B992" s="1200"/>
      <c r="C992" s="1305"/>
      <c r="D992" s="1438"/>
      <c r="E992" s="1439"/>
      <c r="F992" s="1439"/>
    </row>
    <row r="993" spans="1:6" s="61" customFormat="1" ht="20.100000000000001" customHeight="1" thickBot="1">
      <c r="A993" s="1372">
        <v>31</v>
      </c>
      <c r="B993" s="1250">
        <v>1</v>
      </c>
      <c r="C993" s="1217" t="s">
        <v>3570</v>
      </c>
      <c r="D993" s="1424">
        <v>7686</v>
      </c>
      <c r="E993" s="1425"/>
      <c r="F993" s="1425">
        <v>7686</v>
      </c>
    </row>
    <row r="994" spans="1:6" customFormat="1" ht="14.4" customHeight="1">
      <c r="A994" s="685" t="s">
        <v>3064</v>
      </c>
      <c r="B994" s="1192"/>
      <c r="C994" s="1201" t="s">
        <v>2662</v>
      </c>
      <c r="D994" s="1433"/>
      <c r="E994" s="1434"/>
      <c r="F994" s="1434"/>
    </row>
    <row r="995" spans="1:6" customFormat="1" ht="26.4">
      <c r="A995" s="687" t="s">
        <v>5107</v>
      </c>
      <c r="B995" s="1193">
        <v>1</v>
      </c>
      <c r="C995" s="1204" t="s">
        <v>4523</v>
      </c>
      <c r="D995" s="1433"/>
      <c r="E995" s="1435"/>
      <c r="F995" s="1435"/>
    </row>
    <row r="996" spans="1:6" customFormat="1" ht="14.4" customHeight="1">
      <c r="A996" s="687" t="s">
        <v>4136</v>
      </c>
      <c r="B996" s="1193"/>
      <c r="C996" s="1202" t="s">
        <v>729</v>
      </c>
      <c r="D996" s="1426"/>
      <c r="E996" s="1428"/>
      <c r="F996" s="1428"/>
    </row>
    <row r="997" spans="1:6" customFormat="1" ht="14.4" customHeight="1">
      <c r="A997" s="687"/>
      <c r="B997" s="1293"/>
      <c r="C997" s="1303" t="s">
        <v>2654</v>
      </c>
      <c r="D997" s="1433"/>
      <c r="E997" s="1435"/>
      <c r="F997" s="1435"/>
    </row>
    <row r="998" spans="1:6" customFormat="1" ht="26.4">
      <c r="A998" s="693" t="s">
        <v>6077</v>
      </c>
      <c r="B998" s="1193">
        <v>2</v>
      </c>
      <c r="C998" s="1204" t="s">
        <v>4384</v>
      </c>
      <c r="D998" s="1433"/>
      <c r="E998" s="1435"/>
      <c r="F998" s="1435"/>
    </row>
    <row r="999" spans="1:6" customFormat="1" ht="14.4" customHeight="1">
      <c r="A999" s="693"/>
      <c r="B999" s="1193">
        <v>3</v>
      </c>
      <c r="C999" s="1202" t="s">
        <v>4206</v>
      </c>
      <c r="D999" s="1433"/>
      <c r="E999" s="1435"/>
      <c r="F999" s="1435"/>
    </row>
    <row r="1000" spans="1:6" customFormat="1" ht="14.4" customHeight="1">
      <c r="A1000" s="687" t="s">
        <v>3541</v>
      </c>
      <c r="B1000" s="1193">
        <v>3</v>
      </c>
      <c r="C1000" s="1202" t="s">
        <v>2000</v>
      </c>
      <c r="D1000" s="1433"/>
      <c r="E1000" s="1435"/>
      <c r="F1000" s="1435"/>
    </row>
    <row r="1001" spans="1:6" customFormat="1" ht="14.4" customHeight="1">
      <c r="A1001" s="687" t="s">
        <v>3542</v>
      </c>
      <c r="B1001" s="1193">
        <v>7</v>
      </c>
      <c r="C1001" s="1202" t="s">
        <v>4176</v>
      </c>
      <c r="D1001" s="1433"/>
      <c r="E1001" s="1435"/>
      <c r="F1001" s="1435"/>
    </row>
    <row r="1002" spans="1:6" customFormat="1" ht="14.4" customHeight="1">
      <c r="A1002" s="1208"/>
      <c r="B1002" s="1193">
        <v>6</v>
      </c>
      <c r="C1002" s="1202" t="s">
        <v>1995</v>
      </c>
      <c r="D1002" s="1433"/>
      <c r="E1002" s="1435"/>
      <c r="F1002" s="1435"/>
    </row>
    <row r="1003" spans="1:6" customFormat="1" ht="14.4" customHeight="1">
      <c r="A1003" s="912" t="s">
        <v>3190</v>
      </c>
      <c r="B1003" s="1193">
        <v>1</v>
      </c>
      <c r="C1003" s="1202" t="s">
        <v>6076</v>
      </c>
      <c r="D1003" s="1433"/>
      <c r="E1003" s="1435"/>
      <c r="F1003" s="1435"/>
    </row>
    <row r="1004" spans="1:6" customFormat="1" ht="14.4" customHeight="1">
      <c r="A1004" s="913" t="s">
        <v>3543</v>
      </c>
      <c r="B1004" s="1193">
        <v>3</v>
      </c>
      <c r="C1004" s="1202" t="s">
        <v>6078</v>
      </c>
      <c r="D1004" s="1433"/>
      <c r="E1004" s="1435"/>
      <c r="F1004" s="1435"/>
    </row>
    <row r="1005" spans="1:6" customFormat="1" ht="14.4" customHeight="1">
      <c r="A1005" s="693"/>
      <c r="B1005" s="1193"/>
      <c r="C1005" s="1202" t="s">
        <v>729</v>
      </c>
      <c r="D1005" s="1426"/>
      <c r="E1005" s="1428"/>
      <c r="F1005" s="1428"/>
    </row>
    <row r="1006" spans="1:6" customFormat="1" ht="14.4" customHeight="1">
      <c r="A1006" s="691"/>
      <c r="B1006" s="1193">
        <v>4</v>
      </c>
      <c r="C1006" s="1202" t="s">
        <v>1157</v>
      </c>
      <c r="D1006" s="1433"/>
      <c r="E1006" s="1435"/>
      <c r="F1006" s="1435"/>
    </row>
    <row r="1007" spans="1:6" customFormat="1" ht="14.4" customHeight="1">
      <c r="A1007" s="691"/>
      <c r="B1007" s="1193"/>
      <c r="C1007" s="1202" t="s">
        <v>729</v>
      </c>
      <c r="D1007" s="1426"/>
      <c r="E1007" s="1428"/>
      <c r="F1007" s="1428"/>
    </row>
    <row r="1008" spans="1:6" customFormat="1" ht="14.4" customHeight="1">
      <c r="A1008" s="687"/>
      <c r="B1008" s="1194">
        <v>1</v>
      </c>
      <c r="C1008" s="1201" t="s">
        <v>5103</v>
      </c>
      <c r="D1008" s="1426"/>
      <c r="E1008" s="1427"/>
      <c r="F1008" s="1427"/>
    </row>
    <row r="1009" spans="1:6" customFormat="1" ht="14.4" customHeight="1">
      <c r="A1009" s="687"/>
      <c r="B1009" s="1195">
        <v>3</v>
      </c>
      <c r="C1009" s="1191" t="s">
        <v>3461</v>
      </c>
      <c r="D1009" s="1426"/>
      <c r="E1009" s="1428"/>
      <c r="F1009" s="1428"/>
    </row>
    <row r="1010" spans="1:6" customFormat="1" ht="14.4" customHeight="1">
      <c r="A1010" s="687"/>
      <c r="B1010" s="1199">
        <v>1</v>
      </c>
      <c r="C1010" s="1205" t="s">
        <v>3366</v>
      </c>
      <c r="D1010" s="1429"/>
      <c r="E1010" s="1430"/>
      <c r="F1010" s="1430"/>
    </row>
    <row r="1011" spans="1:6" customFormat="1" ht="14.4" customHeight="1">
      <c r="A1011" s="693"/>
      <c r="B1011" s="1193"/>
      <c r="C1011" s="1202" t="s">
        <v>729</v>
      </c>
      <c r="D1011" s="1426"/>
      <c r="E1011" s="1428"/>
      <c r="F1011" s="1428"/>
    </row>
    <row r="1012" spans="1:6" customFormat="1" ht="14.4" customHeight="1">
      <c r="A1012" s="693"/>
      <c r="B1012" s="1194">
        <v>1</v>
      </c>
      <c r="C1012" s="1303" t="s">
        <v>6079</v>
      </c>
      <c r="D1012" s="1426"/>
      <c r="E1012" s="1428"/>
      <c r="F1012" s="1428"/>
    </row>
    <row r="1013" spans="1:6" customFormat="1" ht="14.4" customHeight="1">
      <c r="A1013" s="692"/>
      <c r="B1013" s="1199">
        <v>1</v>
      </c>
      <c r="C1013" s="1205" t="s">
        <v>6080</v>
      </c>
      <c r="D1013" s="1429"/>
      <c r="E1013" s="1430"/>
      <c r="F1013" s="1430"/>
    </row>
    <row r="1014" spans="1:6" customFormat="1" ht="14.4" customHeight="1">
      <c r="A1014" s="687"/>
      <c r="B1014" s="1195">
        <v>1</v>
      </c>
      <c r="C1014" s="1191" t="s">
        <v>1651</v>
      </c>
      <c r="D1014" s="1426"/>
      <c r="E1014" s="1427"/>
      <c r="F1014" s="1427"/>
    </row>
    <row r="1015" spans="1:6" customFormat="1" ht="14.4" customHeight="1">
      <c r="A1015" s="687"/>
      <c r="B1015" s="1195">
        <v>6</v>
      </c>
      <c r="C1015" s="1191" t="s">
        <v>8277</v>
      </c>
      <c r="D1015" s="1426"/>
      <c r="E1015" s="1427"/>
      <c r="F1015" s="1427"/>
    </row>
    <row r="1016" spans="1:6" customFormat="1" ht="14.4" customHeight="1">
      <c r="A1016" s="691"/>
      <c r="B1016" s="1193"/>
      <c r="C1016" s="1202" t="s">
        <v>729</v>
      </c>
      <c r="D1016" s="1426"/>
      <c r="E1016" s="1428"/>
      <c r="F1016" s="1428"/>
    </row>
    <row r="1017" spans="1:6" customFormat="1" ht="14.4" customHeight="1">
      <c r="A1017" s="687"/>
      <c r="B1017" s="1194">
        <v>1</v>
      </c>
      <c r="C1017" s="1201" t="s">
        <v>5106</v>
      </c>
      <c r="D1017" s="1426"/>
      <c r="E1017" s="1427"/>
      <c r="F1017" s="1427"/>
    </row>
    <row r="1018" spans="1:6" customFormat="1" ht="14.4" customHeight="1">
      <c r="A1018" s="693"/>
      <c r="B1018" s="1195">
        <v>2</v>
      </c>
      <c r="C1018" s="1191" t="s">
        <v>3281</v>
      </c>
      <c r="D1018" s="1426"/>
      <c r="E1018" s="1428"/>
      <c r="F1018" s="1428"/>
    </row>
    <row r="1019" spans="1:6" customFormat="1" ht="14.4" customHeight="1">
      <c r="A1019" s="1371"/>
      <c r="B1019" s="1193"/>
      <c r="C1019" s="1202" t="s">
        <v>729</v>
      </c>
      <c r="D1019" s="1426"/>
      <c r="E1019" s="1428"/>
      <c r="F1019" s="1428"/>
    </row>
    <row r="1020" spans="1:6" customFormat="1" ht="14.4" customHeight="1">
      <c r="A1020" s="693"/>
      <c r="B1020" s="1193">
        <v>1</v>
      </c>
      <c r="C1020" s="1304" t="s">
        <v>2908</v>
      </c>
      <c r="D1020" s="1426"/>
      <c r="E1020" s="1428"/>
      <c r="F1020" s="1428"/>
    </row>
    <row r="1021" spans="1:6" customFormat="1" ht="14.4" customHeight="1">
      <c r="A1021" s="691"/>
      <c r="B1021" s="1193">
        <v>1</v>
      </c>
      <c r="C1021" s="1198" t="s">
        <v>316</v>
      </c>
      <c r="D1021" s="1436"/>
      <c r="E1021" s="1437"/>
      <c r="F1021" s="1437"/>
    </row>
    <row r="1022" spans="1:6" customFormat="1" ht="14.4" customHeight="1" thickBot="1">
      <c r="A1022" s="699"/>
      <c r="B1022" s="1200"/>
      <c r="C1022" s="1305"/>
      <c r="D1022" s="1438"/>
      <c r="E1022" s="1439"/>
      <c r="F1022" s="1439"/>
    </row>
    <row r="1023" spans="1:6" s="61" customFormat="1" ht="20.100000000000001" customHeight="1" thickBot="1">
      <c r="A1023" s="1372">
        <v>32</v>
      </c>
      <c r="B1023" s="1250">
        <v>1</v>
      </c>
      <c r="C1023" s="1217" t="s">
        <v>3571</v>
      </c>
      <c r="D1023" s="1424">
        <v>8032</v>
      </c>
      <c r="E1023" s="1425"/>
      <c r="F1023" s="1425">
        <v>8032</v>
      </c>
    </row>
    <row r="1024" spans="1:6" customFormat="1" ht="14.4" customHeight="1">
      <c r="A1024" s="685" t="s">
        <v>3064</v>
      </c>
      <c r="B1024" s="1192"/>
      <c r="C1024" s="1201" t="s">
        <v>2662</v>
      </c>
      <c r="D1024" s="1433"/>
      <c r="E1024" s="1434"/>
      <c r="F1024" s="1434"/>
    </row>
    <row r="1025" spans="1:6" customFormat="1" ht="26.4">
      <c r="A1025" s="687" t="s">
        <v>5107</v>
      </c>
      <c r="B1025" s="1193">
        <v>1</v>
      </c>
      <c r="C1025" s="1204" t="s">
        <v>4523</v>
      </c>
      <c r="D1025" s="1433"/>
      <c r="E1025" s="1435"/>
      <c r="F1025" s="1435"/>
    </row>
    <row r="1026" spans="1:6" customFormat="1" ht="14.4" customHeight="1">
      <c r="A1026" s="687" t="s">
        <v>4136</v>
      </c>
      <c r="B1026" s="1193"/>
      <c r="C1026" s="1202" t="s">
        <v>729</v>
      </c>
      <c r="D1026" s="1426"/>
      <c r="E1026" s="1428"/>
      <c r="F1026" s="1428"/>
    </row>
    <row r="1027" spans="1:6" customFormat="1" ht="14.4" customHeight="1">
      <c r="A1027" s="687"/>
      <c r="B1027" s="1293"/>
      <c r="C1027" s="1303" t="s">
        <v>2654</v>
      </c>
      <c r="D1027" s="1433"/>
      <c r="E1027" s="1435"/>
      <c r="F1027" s="1435"/>
    </row>
    <row r="1028" spans="1:6" customFormat="1" ht="26.4">
      <c r="A1028" s="693" t="s">
        <v>6077</v>
      </c>
      <c r="B1028" s="1193">
        <v>1</v>
      </c>
      <c r="C1028" s="1204" t="s">
        <v>4384</v>
      </c>
      <c r="D1028" s="1433"/>
      <c r="E1028" s="1435"/>
      <c r="F1028" s="1435"/>
    </row>
    <row r="1029" spans="1:6" customFormat="1" ht="14.4" customHeight="1">
      <c r="A1029" s="693"/>
      <c r="B1029" s="1193">
        <v>1</v>
      </c>
      <c r="C1029" s="1202" t="s">
        <v>4206</v>
      </c>
      <c r="D1029" s="1433"/>
      <c r="E1029" s="1435"/>
      <c r="F1029" s="1435"/>
    </row>
    <row r="1030" spans="1:6" customFormat="1" ht="14.4" customHeight="1">
      <c r="A1030" s="687" t="s">
        <v>3541</v>
      </c>
      <c r="B1030" s="1193">
        <v>1</v>
      </c>
      <c r="C1030" s="1202" t="s">
        <v>2000</v>
      </c>
      <c r="D1030" s="1433"/>
      <c r="E1030" s="1435"/>
      <c r="F1030" s="1435"/>
    </row>
    <row r="1031" spans="1:6" customFormat="1" ht="14.4" customHeight="1">
      <c r="A1031" s="687" t="s">
        <v>3542</v>
      </c>
      <c r="B1031" s="1193">
        <v>12</v>
      </c>
      <c r="C1031" s="1202" t="s">
        <v>4176</v>
      </c>
      <c r="D1031" s="1433"/>
      <c r="E1031" s="1435"/>
      <c r="F1031" s="1435"/>
    </row>
    <row r="1032" spans="1:6" customFormat="1" ht="14.4" customHeight="1">
      <c r="A1032" s="1208"/>
      <c r="B1032" s="1193">
        <v>11</v>
      </c>
      <c r="C1032" s="1202" t="s">
        <v>1995</v>
      </c>
      <c r="D1032" s="1433"/>
      <c r="E1032" s="1435"/>
      <c r="F1032" s="1435"/>
    </row>
    <row r="1033" spans="1:6" customFormat="1" ht="14.4" customHeight="1">
      <c r="A1033" s="912" t="s">
        <v>3190</v>
      </c>
      <c r="B1033" s="1193">
        <v>1</v>
      </c>
      <c r="C1033" s="1202" t="s">
        <v>6076</v>
      </c>
      <c r="D1033" s="1433"/>
      <c r="E1033" s="1435"/>
      <c r="F1033" s="1435"/>
    </row>
    <row r="1034" spans="1:6" customFormat="1" ht="14.4" customHeight="1">
      <c r="A1034" s="913" t="s">
        <v>3543</v>
      </c>
      <c r="B1034" s="1193">
        <v>2</v>
      </c>
      <c r="C1034" s="1202" t="s">
        <v>6078</v>
      </c>
      <c r="D1034" s="1433"/>
      <c r="E1034" s="1435"/>
      <c r="F1034" s="1435"/>
    </row>
    <row r="1035" spans="1:6" customFormat="1" ht="14.4" customHeight="1">
      <c r="A1035" s="693"/>
      <c r="B1035" s="1193"/>
      <c r="C1035" s="1202" t="s">
        <v>729</v>
      </c>
      <c r="D1035" s="1426"/>
      <c r="E1035" s="1428"/>
      <c r="F1035" s="1428"/>
    </row>
    <row r="1036" spans="1:6" customFormat="1" ht="14.4" customHeight="1">
      <c r="A1036" s="691"/>
      <c r="B1036" s="1193">
        <v>8</v>
      </c>
      <c r="C1036" s="1202" t="s">
        <v>1157</v>
      </c>
      <c r="D1036" s="1433"/>
      <c r="E1036" s="1435"/>
      <c r="F1036" s="1435"/>
    </row>
    <row r="1037" spans="1:6" customFormat="1" ht="14.4" customHeight="1">
      <c r="A1037" s="691"/>
      <c r="B1037" s="1193"/>
      <c r="C1037" s="1202" t="s">
        <v>729</v>
      </c>
      <c r="D1037" s="1426"/>
      <c r="E1037" s="1428"/>
      <c r="F1037" s="1428"/>
    </row>
    <row r="1038" spans="1:6" customFormat="1" ht="14.4" customHeight="1">
      <c r="A1038" s="687"/>
      <c r="B1038" s="1194">
        <v>1</v>
      </c>
      <c r="C1038" s="1201" t="s">
        <v>5103</v>
      </c>
      <c r="D1038" s="1426"/>
      <c r="E1038" s="1427"/>
      <c r="F1038" s="1427"/>
    </row>
    <row r="1039" spans="1:6" customFormat="1" ht="14.4" customHeight="1">
      <c r="A1039" s="687"/>
      <c r="B1039" s="1195">
        <v>3</v>
      </c>
      <c r="C1039" s="1191" t="s">
        <v>3461</v>
      </c>
      <c r="D1039" s="1426"/>
      <c r="E1039" s="1428"/>
      <c r="F1039" s="1428"/>
    </row>
    <row r="1040" spans="1:6" customFormat="1" ht="14.4" customHeight="1">
      <c r="A1040" s="687"/>
      <c r="B1040" s="1199">
        <v>1</v>
      </c>
      <c r="C1040" s="1205" t="s">
        <v>3366</v>
      </c>
      <c r="D1040" s="1429"/>
      <c r="E1040" s="1430"/>
      <c r="F1040" s="1430"/>
    </row>
    <row r="1041" spans="1:6" customFormat="1" ht="14.4" customHeight="1">
      <c r="A1041" s="693"/>
      <c r="B1041" s="1193"/>
      <c r="C1041" s="1202" t="s">
        <v>729</v>
      </c>
      <c r="D1041" s="1426"/>
      <c r="E1041" s="1428"/>
      <c r="F1041" s="1428"/>
    </row>
    <row r="1042" spans="1:6" customFormat="1" ht="14.4" customHeight="1">
      <c r="A1042" s="693"/>
      <c r="B1042" s="1194">
        <v>3</v>
      </c>
      <c r="C1042" s="1303" t="s">
        <v>6079</v>
      </c>
      <c r="D1042" s="1426"/>
      <c r="E1042" s="1428"/>
      <c r="F1042" s="1428"/>
    </row>
    <row r="1043" spans="1:6" customFormat="1" ht="14.4" customHeight="1">
      <c r="A1043" s="692"/>
      <c r="B1043" s="1199">
        <v>1</v>
      </c>
      <c r="C1043" s="1205" t="s">
        <v>6080</v>
      </c>
      <c r="D1043" s="1429"/>
      <c r="E1043" s="1430"/>
      <c r="F1043" s="1430"/>
    </row>
    <row r="1044" spans="1:6" customFormat="1" ht="14.4" customHeight="1">
      <c r="A1044" s="687"/>
      <c r="B1044" s="1195">
        <v>1</v>
      </c>
      <c r="C1044" s="1191" t="s">
        <v>1651</v>
      </c>
      <c r="D1044" s="1426"/>
      <c r="E1044" s="1427"/>
      <c r="F1044" s="1427"/>
    </row>
    <row r="1045" spans="1:6" customFormat="1" ht="14.4" customHeight="1">
      <c r="A1045" s="687"/>
      <c r="B1045" s="1195">
        <v>6</v>
      </c>
      <c r="C1045" s="1191" t="s">
        <v>8277</v>
      </c>
      <c r="D1045" s="1426"/>
      <c r="E1045" s="1427"/>
      <c r="F1045" s="1427"/>
    </row>
    <row r="1046" spans="1:6" customFormat="1" ht="14.4" customHeight="1">
      <c r="A1046" s="691"/>
      <c r="B1046" s="1193"/>
      <c r="C1046" s="1202" t="s">
        <v>729</v>
      </c>
      <c r="D1046" s="1426"/>
      <c r="E1046" s="1428"/>
      <c r="F1046" s="1428"/>
    </row>
    <row r="1047" spans="1:6" customFormat="1" ht="14.4" customHeight="1">
      <c r="A1047" s="687"/>
      <c r="B1047" s="1194">
        <v>1</v>
      </c>
      <c r="C1047" s="1201" t="s">
        <v>5106</v>
      </c>
      <c r="D1047" s="1426"/>
      <c r="E1047" s="1427"/>
      <c r="F1047" s="1427"/>
    </row>
    <row r="1048" spans="1:6" customFormat="1" ht="14.4" customHeight="1">
      <c r="A1048" s="693"/>
      <c r="B1048" s="1195">
        <v>2</v>
      </c>
      <c r="C1048" s="1191" t="s">
        <v>3281</v>
      </c>
      <c r="D1048" s="1426"/>
      <c r="E1048" s="1428"/>
      <c r="F1048" s="1428"/>
    </row>
    <row r="1049" spans="1:6" customFormat="1" ht="14.4" customHeight="1">
      <c r="A1049" s="1371"/>
      <c r="B1049" s="1193"/>
      <c r="C1049" s="1202" t="s">
        <v>729</v>
      </c>
      <c r="D1049" s="1426"/>
      <c r="E1049" s="1428"/>
      <c r="F1049" s="1428"/>
    </row>
    <row r="1050" spans="1:6" customFormat="1" ht="14.4" customHeight="1">
      <c r="A1050" s="693"/>
      <c r="B1050" s="1193">
        <v>1</v>
      </c>
      <c r="C1050" s="1304" t="s">
        <v>2908</v>
      </c>
      <c r="D1050" s="1426"/>
      <c r="E1050" s="1428"/>
      <c r="F1050" s="1428"/>
    </row>
    <row r="1051" spans="1:6" customFormat="1" ht="14.4" customHeight="1">
      <c r="A1051" s="691"/>
      <c r="B1051" s="1193">
        <v>1</v>
      </c>
      <c r="C1051" s="1198" t="s">
        <v>316</v>
      </c>
      <c r="D1051" s="1436"/>
      <c r="E1051" s="1437"/>
      <c r="F1051" s="1437"/>
    </row>
    <row r="1052" spans="1:6" customFormat="1" ht="14.4" customHeight="1" thickBot="1">
      <c r="A1052" s="699"/>
      <c r="B1052" s="1200"/>
      <c r="C1052" s="1305"/>
      <c r="D1052" s="1438"/>
      <c r="E1052" s="1439"/>
      <c r="F1052" s="1439"/>
    </row>
    <row r="1053" spans="1:6" s="61" customFormat="1" ht="20.100000000000001" customHeight="1" thickBot="1">
      <c r="A1053" s="1372">
        <v>33</v>
      </c>
      <c r="B1053" s="1250">
        <v>1</v>
      </c>
      <c r="C1053" s="1217" t="s">
        <v>3572</v>
      </c>
      <c r="D1053" s="1424">
        <v>4124</v>
      </c>
      <c r="E1053" s="1425"/>
      <c r="F1053" s="1425">
        <v>4124</v>
      </c>
    </row>
    <row r="1054" spans="1:6" customFormat="1" ht="14.4" customHeight="1">
      <c r="A1054" s="685" t="s">
        <v>3064</v>
      </c>
      <c r="B1054" s="1192"/>
      <c r="C1054" s="1201" t="s">
        <v>2662</v>
      </c>
      <c r="D1054" s="1433"/>
      <c r="E1054" s="1434"/>
      <c r="F1054" s="1434"/>
    </row>
    <row r="1055" spans="1:6" customFormat="1" ht="26.4">
      <c r="A1055" s="687" t="s">
        <v>5107</v>
      </c>
      <c r="B1055" s="1193">
        <v>1</v>
      </c>
      <c r="C1055" s="1204" t="s">
        <v>4494</v>
      </c>
      <c r="D1055" s="1433"/>
      <c r="E1055" s="1435"/>
      <c r="F1055" s="1435"/>
    </row>
    <row r="1056" spans="1:6" customFormat="1" ht="14.4" customHeight="1">
      <c r="A1056" s="687" t="s">
        <v>4136</v>
      </c>
      <c r="B1056" s="1193"/>
      <c r="C1056" s="1202" t="s">
        <v>729</v>
      </c>
      <c r="D1056" s="1426"/>
      <c r="E1056" s="1428"/>
      <c r="F1056" s="1428"/>
    </row>
    <row r="1057" spans="1:6" customFormat="1" ht="14.4" customHeight="1">
      <c r="A1057" s="687"/>
      <c r="B1057" s="1293"/>
      <c r="C1057" s="1303" t="s">
        <v>2654</v>
      </c>
      <c r="D1057" s="1433"/>
      <c r="E1057" s="1435"/>
      <c r="F1057" s="1435"/>
    </row>
    <row r="1058" spans="1:6" customFormat="1" ht="26.4">
      <c r="A1058" s="693" t="s">
        <v>6077</v>
      </c>
      <c r="B1058" s="1193">
        <v>1</v>
      </c>
      <c r="C1058" s="1204" t="s">
        <v>4386</v>
      </c>
      <c r="D1058" s="1433"/>
      <c r="E1058" s="1435"/>
      <c r="F1058" s="1435"/>
    </row>
    <row r="1059" spans="1:6" customFormat="1" ht="26.4">
      <c r="A1059" s="693"/>
      <c r="B1059" s="1193">
        <v>1</v>
      </c>
      <c r="C1059" s="1204" t="s">
        <v>4384</v>
      </c>
      <c r="D1059" s="1433"/>
      <c r="E1059" s="1435"/>
      <c r="F1059" s="1435"/>
    </row>
    <row r="1060" spans="1:6" customFormat="1" ht="14.4" customHeight="1">
      <c r="A1060" s="687" t="s">
        <v>3541</v>
      </c>
      <c r="B1060" s="1193">
        <v>2</v>
      </c>
      <c r="C1060" s="1202" t="s">
        <v>6081</v>
      </c>
      <c r="D1060" s="1433"/>
      <c r="E1060" s="1435"/>
      <c r="F1060" s="1435"/>
    </row>
    <row r="1061" spans="1:6" customFormat="1" ht="14.4" customHeight="1">
      <c r="A1061" s="1208"/>
      <c r="B1061" s="1193"/>
      <c r="C1061" s="1202" t="s">
        <v>729</v>
      </c>
      <c r="D1061" s="1426"/>
      <c r="E1061" s="1428"/>
      <c r="F1061" s="1428"/>
    </row>
    <row r="1062" spans="1:6" customFormat="1" ht="14.4" customHeight="1">
      <c r="A1062" s="912" t="s">
        <v>3190</v>
      </c>
      <c r="B1062" s="1194">
        <v>1</v>
      </c>
      <c r="C1062" s="1201" t="s">
        <v>5103</v>
      </c>
      <c r="D1062" s="1426"/>
      <c r="E1062" s="1427"/>
      <c r="F1062" s="1427"/>
    </row>
    <row r="1063" spans="1:6" customFormat="1" ht="14.4" customHeight="1">
      <c r="A1063" s="913" t="s">
        <v>3543</v>
      </c>
      <c r="B1063" s="1195">
        <v>3</v>
      </c>
      <c r="C1063" s="1191" t="s">
        <v>3461</v>
      </c>
      <c r="D1063" s="1426"/>
      <c r="E1063" s="1428"/>
      <c r="F1063" s="1428"/>
    </row>
    <row r="1064" spans="1:6" customFormat="1" ht="14.4" customHeight="1">
      <c r="A1064" s="1371" t="s">
        <v>3544</v>
      </c>
      <c r="B1064" s="1199">
        <v>1</v>
      </c>
      <c r="C1064" s="1205" t="s">
        <v>3366</v>
      </c>
      <c r="D1064" s="1429"/>
      <c r="E1064" s="1430"/>
      <c r="F1064" s="1430"/>
    </row>
    <row r="1065" spans="1:6" customFormat="1" ht="14.4" customHeight="1">
      <c r="A1065" s="693"/>
      <c r="B1065" s="1193"/>
      <c r="C1065" s="1202" t="s">
        <v>729</v>
      </c>
      <c r="D1065" s="1426"/>
      <c r="E1065" s="1428"/>
      <c r="F1065" s="1428"/>
    </row>
    <row r="1066" spans="1:6" customFormat="1" ht="14.4" customHeight="1">
      <c r="A1066" s="687"/>
      <c r="B1066" s="1194">
        <v>1</v>
      </c>
      <c r="C1066" s="1201" t="s">
        <v>5106</v>
      </c>
      <c r="D1066" s="1426"/>
      <c r="E1066" s="1427"/>
      <c r="F1066" s="1427"/>
    </row>
    <row r="1067" spans="1:6" customFormat="1" ht="14.4" customHeight="1">
      <c r="A1067" s="693"/>
      <c r="B1067" s="1195">
        <v>2</v>
      </c>
      <c r="C1067" s="1191" t="s">
        <v>3281</v>
      </c>
      <c r="D1067" s="1426"/>
      <c r="E1067" s="1428"/>
      <c r="F1067" s="1428"/>
    </row>
    <row r="1068" spans="1:6" customFormat="1" ht="14.4" customHeight="1">
      <c r="A1068" s="1371"/>
      <c r="B1068" s="1193"/>
      <c r="C1068" s="1202" t="s">
        <v>729</v>
      </c>
      <c r="D1068" s="1426"/>
      <c r="E1068" s="1428"/>
      <c r="F1068" s="1428"/>
    </row>
    <row r="1069" spans="1:6" customFormat="1" ht="14.4" customHeight="1">
      <c r="A1069" s="693"/>
      <c r="B1069" s="1193">
        <v>1</v>
      </c>
      <c r="C1069" s="1304" t="s">
        <v>2908</v>
      </c>
      <c r="D1069" s="1426"/>
      <c r="E1069" s="1428"/>
      <c r="F1069" s="1428"/>
    </row>
    <row r="1070" spans="1:6" customFormat="1" ht="14.4" customHeight="1">
      <c r="A1070" s="691"/>
      <c r="B1070" s="1193">
        <v>1</v>
      </c>
      <c r="C1070" s="1198" t="s">
        <v>316</v>
      </c>
      <c r="D1070" s="1436"/>
      <c r="E1070" s="1437"/>
      <c r="F1070" s="1437"/>
    </row>
    <row r="1071" spans="1:6" customFormat="1" ht="14.4" customHeight="1" thickBot="1">
      <c r="A1071" s="699"/>
      <c r="B1071" s="1200"/>
      <c r="C1071" s="1305"/>
      <c r="D1071" s="1438"/>
      <c r="E1071" s="1439"/>
      <c r="F1071" s="1439"/>
    </row>
    <row r="1072" spans="1:6" s="61" customFormat="1" ht="20.100000000000001" customHeight="1" thickBot="1">
      <c r="A1072" s="1372">
        <v>34</v>
      </c>
      <c r="B1072" s="1250">
        <v>1</v>
      </c>
      <c r="C1072" s="1217" t="s">
        <v>3573</v>
      </c>
      <c r="D1072" s="1424">
        <v>4148</v>
      </c>
      <c r="E1072" s="1425"/>
      <c r="F1072" s="1425">
        <v>4148</v>
      </c>
    </row>
    <row r="1073" spans="1:6" customFormat="1" ht="14.4" customHeight="1">
      <c r="A1073" s="685" t="s">
        <v>3064</v>
      </c>
      <c r="B1073" s="1192"/>
      <c r="C1073" s="1201" t="s">
        <v>2662</v>
      </c>
      <c r="D1073" s="1433"/>
      <c r="E1073" s="1434"/>
      <c r="F1073" s="1434"/>
    </row>
    <row r="1074" spans="1:6" customFormat="1" ht="26.4">
      <c r="A1074" s="687" t="s">
        <v>5107</v>
      </c>
      <c r="B1074" s="1193">
        <v>1</v>
      </c>
      <c r="C1074" s="1204" t="s">
        <v>4493</v>
      </c>
      <c r="D1074" s="1433"/>
      <c r="E1074" s="1435"/>
      <c r="F1074" s="1435"/>
    </row>
    <row r="1075" spans="1:6" customFormat="1" ht="14.4" customHeight="1">
      <c r="A1075" s="687" t="s">
        <v>4136</v>
      </c>
      <c r="B1075" s="1193"/>
      <c r="C1075" s="1202" t="s">
        <v>729</v>
      </c>
      <c r="D1075" s="1426"/>
      <c r="E1075" s="1428"/>
      <c r="F1075" s="1428"/>
    </row>
    <row r="1076" spans="1:6" customFormat="1" ht="14.4" customHeight="1">
      <c r="A1076" s="687"/>
      <c r="B1076" s="1293"/>
      <c r="C1076" s="1303" t="s">
        <v>2654</v>
      </c>
      <c r="D1076" s="1433"/>
      <c r="E1076" s="1435"/>
      <c r="F1076" s="1435"/>
    </row>
    <row r="1077" spans="1:6" customFormat="1" ht="26.4">
      <c r="A1077" s="693" t="s">
        <v>6077</v>
      </c>
      <c r="B1077" s="1193">
        <v>2</v>
      </c>
      <c r="C1077" s="1204" t="s">
        <v>4385</v>
      </c>
      <c r="D1077" s="1433"/>
      <c r="E1077" s="1435"/>
      <c r="F1077" s="1435"/>
    </row>
    <row r="1078" spans="1:6" customFormat="1" ht="14.4" customHeight="1">
      <c r="A1078" s="687"/>
      <c r="B1078" s="1193">
        <v>2</v>
      </c>
      <c r="C1078" s="1202" t="s">
        <v>6081</v>
      </c>
      <c r="D1078" s="1433"/>
      <c r="E1078" s="1435"/>
      <c r="F1078" s="1435"/>
    </row>
    <row r="1079" spans="1:6" customFormat="1" ht="14.4" customHeight="1">
      <c r="A1079" s="687" t="s">
        <v>3542</v>
      </c>
      <c r="B1079" s="1193"/>
      <c r="C1079" s="1202" t="s">
        <v>729</v>
      </c>
      <c r="D1079" s="1426"/>
      <c r="E1079" s="1428"/>
      <c r="F1079" s="1428"/>
    </row>
    <row r="1080" spans="1:6" customFormat="1" ht="14.4" customHeight="1">
      <c r="A1080" s="1208"/>
      <c r="B1080" s="1194">
        <v>1</v>
      </c>
      <c r="C1080" s="1201" t="s">
        <v>5103</v>
      </c>
      <c r="D1080" s="1426"/>
      <c r="E1080" s="1427"/>
      <c r="F1080" s="1427"/>
    </row>
    <row r="1081" spans="1:6" customFormat="1" ht="14.4" customHeight="1">
      <c r="A1081" s="912" t="s">
        <v>3190</v>
      </c>
      <c r="B1081" s="1195">
        <v>3</v>
      </c>
      <c r="C1081" s="1191" t="s">
        <v>3461</v>
      </c>
      <c r="D1081" s="1426"/>
      <c r="E1081" s="1428"/>
      <c r="F1081" s="1428"/>
    </row>
    <row r="1082" spans="1:6" customFormat="1" ht="14.4" customHeight="1">
      <c r="A1082" s="913" t="s">
        <v>3543</v>
      </c>
      <c r="B1082" s="1199">
        <v>1</v>
      </c>
      <c r="C1082" s="1205" t="s">
        <v>3366</v>
      </c>
      <c r="D1082" s="1429"/>
      <c r="E1082" s="1430"/>
      <c r="F1082" s="1430"/>
    </row>
    <row r="1083" spans="1:6" customFormat="1" ht="14.4" customHeight="1">
      <c r="A1083" s="691"/>
      <c r="B1083" s="1193"/>
      <c r="C1083" s="1202" t="s">
        <v>729</v>
      </c>
      <c r="D1083" s="1426"/>
      <c r="E1083" s="1428"/>
      <c r="F1083" s="1428"/>
    </row>
    <row r="1084" spans="1:6" customFormat="1" ht="14.4" customHeight="1">
      <c r="A1084" s="693"/>
      <c r="B1084" s="1194">
        <v>1</v>
      </c>
      <c r="C1084" s="1201" t="s">
        <v>5106</v>
      </c>
      <c r="D1084" s="1426"/>
      <c r="E1084" s="1427"/>
      <c r="F1084" s="1427"/>
    </row>
    <row r="1085" spans="1:6" customFormat="1" ht="14.4" customHeight="1">
      <c r="A1085" s="693"/>
      <c r="B1085" s="1195">
        <v>2</v>
      </c>
      <c r="C1085" s="1191" t="s">
        <v>3281</v>
      </c>
      <c r="D1085" s="1426"/>
      <c r="E1085" s="1428"/>
      <c r="F1085" s="1428"/>
    </row>
    <row r="1086" spans="1:6" customFormat="1" ht="14.4" customHeight="1">
      <c r="A1086" s="1371"/>
      <c r="B1086" s="1193"/>
      <c r="C1086" s="1202" t="s">
        <v>729</v>
      </c>
      <c r="D1086" s="1426"/>
      <c r="E1086" s="1428"/>
      <c r="F1086" s="1428"/>
    </row>
    <row r="1087" spans="1:6" customFormat="1" ht="14.4" customHeight="1">
      <c r="A1087" s="693"/>
      <c r="B1087" s="1193">
        <v>1</v>
      </c>
      <c r="C1087" s="1304" t="s">
        <v>2908</v>
      </c>
      <c r="D1087" s="1426"/>
      <c r="E1087" s="1428"/>
      <c r="F1087" s="1428"/>
    </row>
    <row r="1088" spans="1:6" customFormat="1" ht="14.4" customHeight="1">
      <c r="A1088" s="691"/>
      <c r="B1088" s="1193">
        <v>1</v>
      </c>
      <c r="C1088" s="1198" t="s">
        <v>316</v>
      </c>
      <c r="D1088" s="1436"/>
      <c r="E1088" s="1437"/>
      <c r="F1088" s="1437"/>
    </row>
    <row r="1089" spans="1:6" customFormat="1" ht="14.4" customHeight="1" thickBot="1">
      <c r="A1089" s="699"/>
      <c r="B1089" s="1200"/>
      <c r="C1089" s="1305"/>
      <c r="D1089" s="1438"/>
      <c r="E1089" s="1439"/>
      <c r="F1089" s="1439"/>
    </row>
    <row r="1090" spans="1:6" s="61" customFormat="1" ht="20.100000000000001" customHeight="1" thickBot="1">
      <c r="A1090" s="1372">
        <v>35</v>
      </c>
      <c r="B1090" s="1250">
        <v>1</v>
      </c>
      <c r="C1090" s="1217" t="s">
        <v>3598</v>
      </c>
      <c r="D1090" s="1424">
        <v>2463</v>
      </c>
      <c r="E1090" s="1425"/>
      <c r="F1090" s="1425">
        <v>2463</v>
      </c>
    </row>
    <row r="1091" spans="1:6" customFormat="1" ht="14.4" customHeight="1">
      <c r="A1091" s="685" t="s">
        <v>3064</v>
      </c>
      <c r="B1091" s="1192"/>
      <c r="C1091" s="1201" t="s">
        <v>2662</v>
      </c>
      <c r="D1091" s="1433"/>
      <c r="E1091" s="1434"/>
      <c r="F1091" s="1434"/>
    </row>
    <row r="1092" spans="1:6" customFormat="1" ht="26.4">
      <c r="A1092" s="687" t="s">
        <v>5107</v>
      </c>
      <c r="B1092" s="1193">
        <v>1</v>
      </c>
      <c r="C1092" s="1204" t="s">
        <v>4384</v>
      </c>
      <c r="D1092" s="1433"/>
      <c r="E1092" s="1435"/>
      <c r="F1092" s="1435"/>
    </row>
    <row r="1093" spans="1:6" customFormat="1" ht="14.4" customHeight="1">
      <c r="A1093" s="687" t="s">
        <v>4136</v>
      </c>
      <c r="B1093" s="1293"/>
      <c r="C1093" s="1303" t="s">
        <v>2654</v>
      </c>
      <c r="D1093" s="1433"/>
      <c r="E1093" s="1435"/>
      <c r="F1093" s="1435"/>
    </row>
    <row r="1094" spans="1:6" customFormat="1" ht="14.4" customHeight="1">
      <c r="A1094" s="687"/>
      <c r="B1094" s="1193">
        <v>1</v>
      </c>
      <c r="C1094" s="1202" t="s">
        <v>4206</v>
      </c>
      <c r="D1094" s="1433"/>
      <c r="E1094" s="1435"/>
      <c r="F1094" s="1435"/>
    </row>
    <row r="1095" spans="1:6" customFormat="1" ht="14.4" customHeight="1">
      <c r="A1095" s="693" t="s">
        <v>5108</v>
      </c>
      <c r="B1095" s="1193">
        <v>1</v>
      </c>
      <c r="C1095" s="1202" t="s">
        <v>2000</v>
      </c>
      <c r="D1095" s="1433"/>
      <c r="E1095" s="1435"/>
      <c r="F1095" s="1435"/>
    </row>
    <row r="1096" spans="1:6" customFormat="1" ht="14.4" customHeight="1">
      <c r="A1096" s="693"/>
      <c r="B1096" s="1193">
        <v>3</v>
      </c>
      <c r="C1096" s="1202" t="s">
        <v>4176</v>
      </c>
      <c r="D1096" s="1433"/>
      <c r="E1096" s="1435"/>
      <c r="F1096" s="1435"/>
    </row>
    <row r="1097" spans="1:6" customFormat="1" ht="14.4" customHeight="1">
      <c r="A1097" s="698"/>
      <c r="B1097" s="1193">
        <v>1</v>
      </c>
      <c r="C1097" s="1202" t="s">
        <v>1995</v>
      </c>
      <c r="D1097" s="1433"/>
      <c r="E1097" s="1435"/>
      <c r="F1097" s="1435"/>
    </row>
    <row r="1098" spans="1:6" customFormat="1" ht="14.4" customHeight="1">
      <c r="A1098" s="687" t="s">
        <v>3541</v>
      </c>
      <c r="B1098" s="1193">
        <v>1</v>
      </c>
      <c r="C1098" s="1202" t="s">
        <v>6082</v>
      </c>
      <c r="D1098" s="1433"/>
      <c r="E1098" s="1435"/>
      <c r="F1098" s="1435"/>
    </row>
    <row r="1099" spans="1:6" customFormat="1" ht="14.4" customHeight="1">
      <c r="A1099" s="687" t="s">
        <v>3542</v>
      </c>
      <c r="B1099" s="1193">
        <v>3</v>
      </c>
      <c r="C1099" s="1202" t="s">
        <v>5105</v>
      </c>
      <c r="D1099" s="1433"/>
      <c r="E1099" s="1435"/>
      <c r="F1099" s="1435"/>
    </row>
    <row r="1100" spans="1:6" customFormat="1" ht="14.4" customHeight="1">
      <c r="A1100" s="912" t="s">
        <v>3190</v>
      </c>
      <c r="B1100" s="1193"/>
      <c r="C1100" s="1202" t="s">
        <v>729</v>
      </c>
      <c r="D1100" s="1426"/>
      <c r="E1100" s="1428"/>
      <c r="F1100" s="1428"/>
    </row>
    <row r="1101" spans="1:6" customFormat="1" ht="14.4" customHeight="1">
      <c r="A1101" s="913" t="s">
        <v>3543</v>
      </c>
      <c r="B1101" s="1194">
        <v>1</v>
      </c>
      <c r="C1101" s="1201" t="s">
        <v>5103</v>
      </c>
      <c r="D1101" s="1426"/>
      <c r="E1101" s="1427"/>
      <c r="F1101" s="1427"/>
    </row>
    <row r="1102" spans="1:6" customFormat="1" ht="14.4" customHeight="1">
      <c r="A1102" s="1371" t="s">
        <v>3544</v>
      </c>
      <c r="B1102" s="1195">
        <v>3</v>
      </c>
      <c r="C1102" s="1191" t="s">
        <v>3461</v>
      </c>
      <c r="D1102" s="1426"/>
      <c r="E1102" s="1428"/>
      <c r="F1102" s="1428"/>
    </row>
    <row r="1103" spans="1:6" customFormat="1" ht="14.4" customHeight="1">
      <c r="A1103" s="693"/>
      <c r="B1103" s="1199">
        <v>1</v>
      </c>
      <c r="C1103" s="1205" t="s">
        <v>3366</v>
      </c>
      <c r="D1103" s="1429"/>
      <c r="E1103" s="1430"/>
      <c r="F1103" s="1430"/>
    </row>
    <row r="1104" spans="1:6" customFormat="1" ht="14.4" customHeight="1">
      <c r="A1104" s="687"/>
      <c r="B1104" s="1193"/>
      <c r="C1104" s="1202" t="s">
        <v>729</v>
      </c>
      <c r="D1104" s="1426"/>
      <c r="E1104" s="1428"/>
      <c r="F1104" s="1428"/>
    </row>
    <row r="1105" spans="1:6" customFormat="1" ht="14.4" customHeight="1">
      <c r="A1105" s="693"/>
      <c r="B1105" s="1194">
        <v>1</v>
      </c>
      <c r="C1105" s="1201" t="s">
        <v>5106</v>
      </c>
      <c r="D1105" s="1426"/>
      <c r="E1105" s="1427"/>
      <c r="F1105" s="1427"/>
    </row>
    <row r="1106" spans="1:6" customFormat="1" ht="14.4" customHeight="1">
      <c r="A1106" s="1371"/>
      <c r="B1106" s="1195">
        <v>2</v>
      </c>
      <c r="C1106" s="1191" t="s">
        <v>3281</v>
      </c>
      <c r="D1106" s="1426"/>
      <c r="E1106" s="1428"/>
      <c r="F1106" s="1428"/>
    </row>
    <row r="1107" spans="1:6" customFormat="1" ht="14.4" customHeight="1">
      <c r="A1107" s="698"/>
      <c r="B1107" s="1193"/>
      <c r="C1107" s="1202" t="s">
        <v>729</v>
      </c>
      <c r="D1107" s="1426"/>
      <c r="E1107" s="1428"/>
      <c r="F1107" s="1428"/>
    </row>
    <row r="1108" spans="1:6" customFormat="1" ht="14.4" customHeight="1">
      <c r="A1108" s="693"/>
      <c r="B1108" s="1193">
        <v>1</v>
      </c>
      <c r="C1108" s="1304" t="s">
        <v>2908</v>
      </c>
      <c r="D1108" s="1426"/>
      <c r="E1108" s="1428"/>
      <c r="F1108" s="1428"/>
    </row>
    <row r="1109" spans="1:6" customFormat="1" ht="14.4" customHeight="1">
      <c r="A1109" s="693"/>
      <c r="B1109" s="1193">
        <v>1</v>
      </c>
      <c r="C1109" s="1198" t="s">
        <v>316</v>
      </c>
      <c r="D1109" s="1436"/>
      <c r="E1109" s="1437"/>
      <c r="F1109" s="1437"/>
    </row>
    <row r="1110" spans="1:6" customFormat="1" ht="14.4" customHeight="1" thickBot="1">
      <c r="A1110" s="699"/>
      <c r="B1110" s="1200"/>
      <c r="C1110" s="1305"/>
      <c r="D1110" s="1438"/>
      <c r="E1110" s="1439"/>
      <c r="F1110" s="1439"/>
    </row>
    <row r="1111" spans="1:6" s="61" customFormat="1" ht="20.100000000000001" customHeight="1" thickBot="1">
      <c r="A1111" s="1372">
        <v>36</v>
      </c>
      <c r="B1111" s="1250">
        <v>1</v>
      </c>
      <c r="C1111" s="1217" t="s">
        <v>3599</v>
      </c>
      <c r="D1111" s="1424">
        <v>3260</v>
      </c>
      <c r="E1111" s="1425"/>
      <c r="F1111" s="1425">
        <v>3260</v>
      </c>
    </row>
    <row r="1112" spans="1:6" customFormat="1" ht="14.4" customHeight="1">
      <c r="A1112" s="685" t="s">
        <v>3064</v>
      </c>
      <c r="B1112" s="1192"/>
      <c r="C1112" s="1201" t="s">
        <v>2662</v>
      </c>
      <c r="D1112" s="1433"/>
      <c r="E1112" s="1434"/>
      <c r="F1112" s="1434"/>
    </row>
    <row r="1113" spans="1:6" customFormat="1" ht="26.4">
      <c r="A1113" s="687" t="s">
        <v>5107</v>
      </c>
      <c r="B1113" s="1193">
        <v>1</v>
      </c>
      <c r="C1113" s="1204" t="s">
        <v>4384</v>
      </c>
      <c r="D1113" s="1433"/>
      <c r="E1113" s="1435"/>
      <c r="F1113" s="1435"/>
    </row>
    <row r="1114" spans="1:6" customFormat="1" ht="14.4" customHeight="1">
      <c r="A1114" s="687" t="s">
        <v>4136</v>
      </c>
      <c r="B1114" s="1293"/>
      <c r="C1114" s="1303" t="s">
        <v>2654</v>
      </c>
      <c r="D1114" s="1433"/>
      <c r="E1114" s="1435"/>
      <c r="F1114" s="1435"/>
    </row>
    <row r="1115" spans="1:6" customFormat="1" ht="14.4" customHeight="1">
      <c r="A1115" s="687"/>
      <c r="B1115" s="1193">
        <v>1</v>
      </c>
      <c r="C1115" s="1202" t="s">
        <v>4206</v>
      </c>
      <c r="D1115" s="1433"/>
      <c r="E1115" s="1435"/>
      <c r="F1115" s="1435"/>
    </row>
    <row r="1116" spans="1:6" customFormat="1" ht="14.4" customHeight="1">
      <c r="A1116" s="693" t="s">
        <v>5108</v>
      </c>
      <c r="B1116" s="1193">
        <v>30</v>
      </c>
      <c r="C1116" s="1202" t="s">
        <v>4176</v>
      </c>
      <c r="D1116" s="1433"/>
      <c r="E1116" s="1435"/>
      <c r="F1116" s="1435"/>
    </row>
    <row r="1117" spans="1:6" customFormat="1" ht="14.4" customHeight="1">
      <c r="A1117" s="687"/>
      <c r="B1117" s="1193">
        <v>1</v>
      </c>
      <c r="C1117" s="1202" t="s">
        <v>6083</v>
      </c>
      <c r="D1117" s="1433"/>
      <c r="E1117" s="1435"/>
      <c r="F1117" s="1435"/>
    </row>
    <row r="1118" spans="1:6" customFormat="1" ht="14.4" customHeight="1">
      <c r="A1118" s="693"/>
      <c r="B1118" s="1193">
        <v>2</v>
      </c>
      <c r="C1118" s="1202" t="s">
        <v>6084</v>
      </c>
      <c r="D1118" s="1433"/>
      <c r="E1118" s="1435"/>
      <c r="F1118" s="1435"/>
    </row>
    <row r="1119" spans="1:6" customFormat="1" ht="14.4" customHeight="1">
      <c r="A1119" s="687" t="s">
        <v>3541</v>
      </c>
      <c r="B1119" s="1193"/>
      <c r="C1119" s="1202" t="s">
        <v>729</v>
      </c>
      <c r="D1119" s="1426"/>
      <c r="E1119" s="1428"/>
      <c r="F1119" s="1428"/>
    </row>
    <row r="1120" spans="1:6" customFormat="1" ht="14.4" customHeight="1">
      <c r="A1120" s="687" t="s">
        <v>3542</v>
      </c>
      <c r="B1120" s="1194">
        <v>1</v>
      </c>
      <c r="C1120" s="1201" t="s">
        <v>5103</v>
      </c>
      <c r="D1120" s="1426"/>
      <c r="E1120" s="1427"/>
      <c r="F1120" s="1427"/>
    </row>
    <row r="1121" spans="1:6" customFormat="1" ht="14.4" customHeight="1">
      <c r="A1121" s="687"/>
      <c r="B1121" s="1195">
        <v>3</v>
      </c>
      <c r="C1121" s="1191" t="s">
        <v>3461</v>
      </c>
      <c r="D1121" s="1426"/>
      <c r="E1121" s="1428"/>
      <c r="F1121" s="1428"/>
    </row>
    <row r="1122" spans="1:6" customFormat="1" ht="14.4" customHeight="1">
      <c r="A1122" s="912" t="s">
        <v>3190</v>
      </c>
      <c r="B1122" s="1199">
        <v>1</v>
      </c>
      <c r="C1122" s="1205" t="s">
        <v>3366</v>
      </c>
      <c r="D1122" s="1429"/>
      <c r="E1122" s="1430"/>
      <c r="F1122" s="1430"/>
    </row>
    <row r="1123" spans="1:6" customFormat="1" ht="14.4" customHeight="1">
      <c r="A1123" s="1371" t="s">
        <v>3544</v>
      </c>
      <c r="B1123" s="1193"/>
      <c r="C1123" s="1202" t="s">
        <v>729</v>
      </c>
      <c r="D1123" s="1426"/>
      <c r="E1123" s="1428"/>
      <c r="F1123" s="1428"/>
    </row>
    <row r="1124" spans="1:6" customFormat="1" ht="14.4" customHeight="1">
      <c r="A1124" s="687"/>
      <c r="B1124" s="1194">
        <v>1</v>
      </c>
      <c r="C1124" s="1201" t="s">
        <v>5106</v>
      </c>
      <c r="D1124" s="1426"/>
      <c r="E1124" s="1427"/>
      <c r="F1124" s="1427"/>
    </row>
    <row r="1125" spans="1:6" customFormat="1" ht="14.4" customHeight="1">
      <c r="A1125" s="693"/>
      <c r="B1125" s="1195">
        <v>2</v>
      </c>
      <c r="C1125" s="1191" t="s">
        <v>3281</v>
      </c>
      <c r="D1125" s="1426"/>
      <c r="E1125" s="1428"/>
      <c r="F1125" s="1428"/>
    </row>
    <row r="1126" spans="1:6" customFormat="1" ht="14.4" customHeight="1">
      <c r="A1126" s="1371"/>
      <c r="B1126" s="1193"/>
      <c r="C1126" s="1202" t="s">
        <v>729</v>
      </c>
      <c r="D1126" s="1426"/>
      <c r="E1126" s="1428"/>
      <c r="F1126" s="1428"/>
    </row>
    <row r="1127" spans="1:6" customFormat="1" ht="14.4" customHeight="1">
      <c r="A1127" s="691"/>
      <c r="B1127" s="1193">
        <v>1</v>
      </c>
      <c r="C1127" s="1304" t="s">
        <v>2908</v>
      </c>
      <c r="D1127" s="1426"/>
      <c r="E1127" s="1428"/>
      <c r="F1127" s="1428"/>
    </row>
    <row r="1128" spans="1:6" customFormat="1" ht="14.4" customHeight="1">
      <c r="A1128" s="698"/>
      <c r="B1128" s="1193">
        <v>1</v>
      </c>
      <c r="C1128" s="1198" t="s">
        <v>316</v>
      </c>
      <c r="D1128" s="1436"/>
      <c r="E1128" s="1437"/>
      <c r="F1128" s="1437"/>
    </row>
    <row r="1129" spans="1:6" customFormat="1" ht="14.4" customHeight="1" thickBot="1">
      <c r="A1129" s="699"/>
      <c r="B1129" s="1200"/>
      <c r="C1129" s="1305"/>
      <c r="D1129" s="1438"/>
      <c r="E1129" s="1439"/>
      <c r="F1129" s="1439"/>
    </row>
    <row r="1130" spans="1:6" s="61" customFormat="1" ht="20.100000000000001" customHeight="1" thickBot="1">
      <c r="A1130" s="1372">
        <v>37</v>
      </c>
      <c r="B1130" s="1250">
        <v>1</v>
      </c>
      <c r="C1130" s="1217" t="s">
        <v>3608</v>
      </c>
      <c r="D1130" s="1424">
        <v>2518</v>
      </c>
      <c r="E1130" s="1425"/>
      <c r="F1130" s="1425">
        <v>2518</v>
      </c>
    </row>
    <row r="1131" spans="1:6" customFormat="1" ht="14.4" customHeight="1">
      <c r="A1131" s="685" t="s">
        <v>3064</v>
      </c>
      <c r="B1131" s="1192"/>
      <c r="C1131" s="1201" t="s">
        <v>2662</v>
      </c>
      <c r="D1131" s="1433"/>
      <c r="E1131" s="1434"/>
      <c r="F1131" s="1434"/>
    </row>
    <row r="1132" spans="1:6" customFormat="1" ht="26.4">
      <c r="A1132" s="687" t="s">
        <v>5107</v>
      </c>
      <c r="B1132" s="1193">
        <v>1</v>
      </c>
      <c r="C1132" s="1204" t="s">
        <v>4384</v>
      </c>
      <c r="D1132" s="1433"/>
      <c r="E1132" s="1435"/>
      <c r="F1132" s="1435"/>
    </row>
    <row r="1133" spans="1:6" customFormat="1" ht="14.4" customHeight="1">
      <c r="A1133" s="687" t="s">
        <v>4136</v>
      </c>
      <c r="B1133" s="1293"/>
      <c r="C1133" s="1303" t="s">
        <v>2654</v>
      </c>
      <c r="D1133" s="1433"/>
      <c r="E1133" s="1435"/>
      <c r="F1133" s="1435"/>
    </row>
    <row r="1134" spans="1:6" customFormat="1" ht="14.4" customHeight="1">
      <c r="A1134" s="687"/>
      <c r="B1134" s="1193">
        <v>5</v>
      </c>
      <c r="C1134" s="1202" t="s">
        <v>4206</v>
      </c>
      <c r="D1134" s="1433"/>
      <c r="E1134" s="1435"/>
      <c r="F1134" s="1435"/>
    </row>
    <row r="1135" spans="1:6" customFormat="1" ht="14.4" customHeight="1">
      <c r="A1135" s="693" t="s">
        <v>5108</v>
      </c>
      <c r="B1135" s="1193">
        <v>1</v>
      </c>
      <c r="C1135" s="1202" t="s">
        <v>4176</v>
      </c>
      <c r="D1135" s="1433"/>
      <c r="E1135" s="1435"/>
      <c r="F1135" s="1435"/>
    </row>
    <row r="1136" spans="1:6" customFormat="1" ht="14.4" customHeight="1">
      <c r="A1136" s="693"/>
      <c r="B1136" s="1193">
        <v>1</v>
      </c>
      <c r="C1136" s="1202" t="s">
        <v>6085</v>
      </c>
      <c r="D1136" s="1433"/>
      <c r="E1136" s="1435"/>
      <c r="F1136" s="1435"/>
    </row>
    <row r="1137" spans="1:6" customFormat="1" ht="14.4" customHeight="1">
      <c r="A1137" s="698"/>
      <c r="B1137" s="1193">
        <v>3</v>
      </c>
      <c r="C1137" s="1202" t="s">
        <v>6084</v>
      </c>
      <c r="D1137" s="1433"/>
      <c r="E1137" s="1435"/>
      <c r="F1137" s="1435"/>
    </row>
    <row r="1138" spans="1:6" customFormat="1" ht="14.4" customHeight="1">
      <c r="A1138" s="687" t="s">
        <v>3542</v>
      </c>
      <c r="B1138" s="1193"/>
      <c r="C1138" s="1202" t="s">
        <v>729</v>
      </c>
      <c r="D1138" s="1426"/>
      <c r="E1138" s="1428"/>
      <c r="F1138" s="1428"/>
    </row>
    <row r="1139" spans="1:6" customFormat="1" ht="14.4" customHeight="1">
      <c r="A1139" s="687"/>
      <c r="B1139" s="1194">
        <v>1</v>
      </c>
      <c r="C1139" s="1201" t="s">
        <v>5103</v>
      </c>
      <c r="D1139" s="1426"/>
      <c r="E1139" s="1427"/>
      <c r="F1139" s="1427"/>
    </row>
    <row r="1140" spans="1:6" customFormat="1" ht="14.4" customHeight="1">
      <c r="A1140" s="912" t="s">
        <v>3190</v>
      </c>
      <c r="B1140" s="1195">
        <v>3</v>
      </c>
      <c r="C1140" s="1191" t="s">
        <v>3461</v>
      </c>
      <c r="D1140" s="1426"/>
      <c r="E1140" s="1428"/>
      <c r="F1140" s="1428"/>
    </row>
    <row r="1141" spans="1:6" customFormat="1" ht="14.4" customHeight="1">
      <c r="A1141" s="913" t="s">
        <v>3543</v>
      </c>
      <c r="B1141" s="1199">
        <v>1</v>
      </c>
      <c r="C1141" s="1205" t="s">
        <v>3366</v>
      </c>
      <c r="D1141" s="1429"/>
      <c r="E1141" s="1430"/>
      <c r="F1141" s="1430"/>
    </row>
    <row r="1142" spans="1:6" customFormat="1" ht="14.4" customHeight="1">
      <c r="A1142" s="693"/>
      <c r="B1142" s="1193"/>
      <c r="C1142" s="1202" t="s">
        <v>729</v>
      </c>
      <c r="D1142" s="1426"/>
      <c r="E1142" s="1428"/>
      <c r="F1142" s="1428"/>
    </row>
    <row r="1143" spans="1:6" customFormat="1" ht="14.4" customHeight="1">
      <c r="A1143" s="687"/>
      <c r="B1143" s="1194">
        <v>1</v>
      </c>
      <c r="C1143" s="1201" t="s">
        <v>5106</v>
      </c>
      <c r="D1143" s="1426"/>
      <c r="E1143" s="1427"/>
      <c r="F1143" s="1427"/>
    </row>
    <row r="1144" spans="1:6" customFormat="1" ht="14.4" customHeight="1">
      <c r="A1144" s="693"/>
      <c r="B1144" s="1195">
        <v>2</v>
      </c>
      <c r="C1144" s="1191" t="s">
        <v>3281</v>
      </c>
      <c r="D1144" s="1426"/>
      <c r="E1144" s="1428"/>
      <c r="F1144" s="1428"/>
    </row>
    <row r="1145" spans="1:6" customFormat="1" ht="14.4" customHeight="1">
      <c r="A1145" s="1371"/>
      <c r="B1145" s="1193"/>
      <c r="C1145" s="1202" t="s">
        <v>729</v>
      </c>
      <c r="D1145" s="1426"/>
      <c r="E1145" s="1428"/>
      <c r="F1145" s="1428"/>
    </row>
    <row r="1146" spans="1:6" customFormat="1" ht="14.4" customHeight="1">
      <c r="A1146" s="693"/>
      <c r="B1146" s="1193">
        <v>1</v>
      </c>
      <c r="C1146" s="1304" t="s">
        <v>2908</v>
      </c>
      <c r="D1146" s="1426"/>
      <c r="E1146" s="1428"/>
      <c r="F1146" s="1428"/>
    </row>
    <row r="1147" spans="1:6" customFormat="1" ht="14.4" customHeight="1">
      <c r="A1147" s="691"/>
      <c r="B1147" s="1193">
        <v>1</v>
      </c>
      <c r="C1147" s="1198" t="s">
        <v>316</v>
      </c>
      <c r="D1147" s="1436"/>
      <c r="E1147" s="1437"/>
      <c r="F1147" s="1437"/>
    </row>
    <row r="1148" spans="1:6" customFormat="1" ht="14.4" customHeight="1" thickBot="1">
      <c r="A1148" s="699"/>
      <c r="B1148" s="1200"/>
      <c r="C1148" s="1305"/>
      <c r="D1148" s="1438"/>
      <c r="E1148" s="1439"/>
      <c r="F1148" s="1439"/>
    </row>
    <row r="1149" spans="1:6" s="61" customFormat="1" ht="20.100000000000001" customHeight="1" thickBot="1">
      <c r="A1149" s="1372">
        <v>38</v>
      </c>
      <c r="B1149" s="1250">
        <v>1</v>
      </c>
      <c r="C1149" s="1217" t="s">
        <v>3609</v>
      </c>
      <c r="D1149" s="1424">
        <v>10132</v>
      </c>
      <c r="E1149" s="1425"/>
      <c r="F1149" s="1425">
        <v>10132</v>
      </c>
    </row>
    <row r="1150" spans="1:6" customFormat="1" ht="14.4" customHeight="1">
      <c r="A1150" s="685" t="s">
        <v>3064</v>
      </c>
      <c r="B1150" s="1192"/>
      <c r="C1150" s="1201" t="s">
        <v>2662</v>
      </c>
      <c r="D1150" s="1433"/>
      <c r="E1150" s="1434"/>
      <c r="F1150" s="1434"/>
    </row>
    <row r="1151" spans="1:6" customFormat="1" ht="26.4">
      <c r="A1151" s="687" t="s">
        <v>5107</v>
      </c>
      <c r="B1151" s="1193">
        <v>1</v>
      </c>
      <c r="C1151" s="1204" t="s">
        <v>4388</v>
      </c>
      <c r="D1151" s="1433"/>
      <c r="E1151" s="1435"/>
      <c r="F1151" s="1435"/>
    </row>
    <row r="1152" spans="1:6" customFormat="1" ht="14.4" customHeight="1">
      <c r="A1152" s="687" t="s">
        <v>4136</v>
      </c>
      <c r="B1152" s="1293"/>
      <c r="C1152" s="1303" t="s">
        <v>2654</v>
      </c>
      <c r="D1152" s="1433"/>
      <c r="E1152" s="1435"/>
      <c r="F1152" s="1435"/>
    </row>
    <row r="1153" spans="1:6" customFormat="1" ht="14.4" customHeight="1">
      <c r="A1153" s="687"/>
      <c r="B1153" s="1193">
        <v>14</v>
      </c>
      <c r="C1153" s="1202" t="s">
        <v>4208</v>
      </c>
      <c r="D1153" s="1433"/>
      <c r="E1153" s="1435"/>
      <c r="F1153" s="1435"/>
    </row>
    <row r="1154" spans="1:6" customFormat="1" ht="14.4" customHeight="1">
      <c r="A1154" s="693" t="s">
        <v>5108</v>
      </c>
      <c r="B1154" s="1193">
        <v>2</v>
      </c>
      <c r="C1154" s="1202" t="s">
        <v>6086</v>
      </c>
      <c r="D1154" s="1433"/>
      <c r="E1154" s="1435"/>
      <c r="F1154" s="1435"/>
    </row>
    <row r="1155" spans="1:6" customFormat="1" ht="14.4" customHeight="1">
      <c r="A1155" s="698"/>
      <c r="B1155" s="1193"/>
      <c r="C1155" s="1202" t="s">
        <v>729</v>
      </c>
      <c r="D1155" s="1426"/>
      <c r="E1155" s="1428"/>
      <c r="F1155" s="1428"/>
    </row>
    <row r="1156" spans="1:6" customFormat="1" ht="14.4" customHeight="1">
      <c r="A1156" s="687" t="s">
        <v>3541</v>
      </c>
      <c r="B1156" s="1293"/>
      <c r="C1156" s="1303" t="s">
        <v>3610</v>
      </c>
      <c r="D1156" s="1433"/>
      <c r="E1156" s="1435"/>
      <c r="F1156" s="1435"/>
    </row>
    <row r="1157" spans="1:6" customFormat="1" ht="14.4" customHeight="1">
      <c r="A1157" s="687" t="s">
        <v>3542</v>
      </c>
      <c r="B1157" s="1293"/>
      <c r="C1157" s="1303" t="s">
        <v>3611</v>
      </c>
      <c r="D1157" s="1433"/>
      <c r="E1157" s="1435"/>
      <c r="F1157" s="1435"/>
    </row>
    <row r="1158" spans="1:6" customFormat="1" ht="14.4" customHeight="1">
      <c r="A1158" s="687"/>
      <c r="B1158" s="1193">
        <v>3</v>
      </c>
      <c r="C1158" s="1202" t="s">
        <v>4206</v>
      </c>
      <c r="D1158" s="1433"/>
      <c r="E1158" s="1435"/>
      <c r="F1158" s="1435"/>
    </row>
    <row r="1159" spans="1:6" customFormat="1" ht="14.4" customHeight="1">
      <c r="A1159" s="913" t="s">
        <v>3543</v>
      </c>
      <c r="B1159" s="1293"/>
      <c r="C1159" s="1303" t="s">
        <v>3612</v>
      </c>
      <c r="D1159" s="1433"/>
      <c r="E1159" s="1435"/>
      <c r="F1159" s="1435"/>
    </row>
    <row r="1160" spans="1:6" customFormat="1" ht="14.4" customHeight="1">
      <c r="A1160" s="1371" t="s">
        <v>3544</v>
      </c>
      <c r="B1160" s="1193">
        <v>3</v>
      </c>
      <c r="C1160" s="1202" t="s">
        <v>4206</v>
      </c>
      <c r="D1160" s="1433"/>
      <c r="E1160" s="1435"/>
      <c r="F1160" s="1435"/>
    </row>
    <row r="1161" spans="1:6" customFormat="1" ht="14.4" customHeight="1">
      <c r="A1161" s="687"/>
      <c r="B1161" s="1293"/>
      <c r="C1161" s="1303" t="s">
        <v>3613</v>
      </c>
      <c r="D1161" s="1433"/>
      <c r="E1161" s="1435"/>
      <c r="F1161" s="1435"/>
    </row>
    <row r="1162" spans="1:6" customFormat="1" ht="14.4" customHeight="1">
      <c r="A1162" s="687"/>
      <c r="B1162" s="1193">
        <v>3</v>
      </c>
      <c r="C1162" s="1202" t="s">
        <v>4206</v>
      </c>
      <c r="D1162" s="1433"/>
      <c r="E1162" s="1435"/>
      <c r="F1162" s="1435"/>
    </row>
    <row r="1163" spans="1:6" customFormat="1" ht="14.4" customHeight="1">
      <c r="A1163" s="687"/>
      <c r="B1163" s="1293"/>
      <c r="C1163" s="1303" t="s">
        <v>3614</v>
      </c>
      <c r="D1163" s="1433"/>
      <c r="E1163" s="1435"/>
      <c r="F1163" s="1435"/>
    </row>
    <row r="1164" spans="1:6" customFormat="1" ht="14.4" customHeight="1">
      <c r="A1164" s="687"/>
      <c r="B1164" s="1193">
        <v>4</v>
      </c>
      <c r="C1164" s="1202" t="s">
        <v>4206</v>
      </c>
      <c r="D1164" s="1433"/>
      <c r="E1164" s="1435"/>
      <c r="F1164" s="1435"/>
    </row>
    <row r="1165" spans="1:6" customFormat="1" ht="14.4" customHeight="1">
      <c r="A1165" s="687"/>
      <c r="B1165" s="1293"/>
      <c r="C1165" s="1303" t="s">
        <v>6087</v>
      </c>
      <c r="D1165" s="1433"/>
      <c r="E1165" s="1435"/>
      <c r="F1165" s="1435"/>
    </row>
    <row r="1166" spans="1:6" customFormat="1" ht="14.4" customHeight="1">
      <c r="A1166" s="687"/>
      <c r="B1166" s="1193">
        <v>3</v>
      </c>
      <c r="C1166" s="1202" t="s">
        <v>4206</v>
      </c>
      <c r="D1166" s="1433"/>
      <c r="E1166" s="1435"/>
      <c r="F1166" s="1435"/>
    </row>
    <row r="1167" spans="1:6" customFormat="1" ht="14.4" customHeight="1">
      <c r="A1167" s="687"/>
      <c r="B1167" s="1293"/>
      <c r="C1167" s="1303" t="s">
        <v>6088</v>
      </c>
      <c r="D1167" s="1433"/>
      <c r="E1167" s="1435"/>
      <c r="F1167" s="1435"/>
    </row>
    <row r="1168" spans="1:6" customFormat="1" ht="14.4" customHeight="1">
      <c r="A1168" s="687"/>
      <c r="B1168" s="1193">
        <v>4</v>
      </c>
      <c r="C1168" s="1202" t="s">
        <v>4206</v>
      </c>
      <c r="D1168" s="1433"/>
      <c r="E1168" s="1435"/>
      <c r="F1168" s="1435"/>
    </row>
    <row r="1169" spans="1:6" customFormat="1" ht="14.4" customHeight="1">
      <c r="A1169" s="687"/>
      <c r="B1169" s="1293"/>
      <c r="C1169" s="1303" t="s">
        <v>6089</v>
      </c>
      <c r="D1169" s="1433"/>
      <c r="E1169" s="1435"/>
      <c r="F1169" s="1435"/>
    </row>
    <row r="1170" spans="1:6" customFormat="1" ht="14.4" customHeight="1">
      <c r="A1170" s="687"/>
      <c r="B1170" s="1193">
        <v>3</v>
      </c>
      <c r="C1170" s="1202" t="s">
        <v>4206</v>
      </c>
      <c r="D1170" s="1433"/>
      <c r="E1170" s="1435"/>
      <c r="F1170" s="1435"/>
    </row>
    <row r="1171" spans="1:6" customFormat="1" ht="14.4" customHeight="1">
      <c r="A1171" s="687"/>
      <c r="B1171" s="1293"/>
      <c r="C1171" s="1303" t="s">
        <v>6090</v>
      </c>
      <c r="D1171" s="1433"/>
      <c r="E1171" s="1435"/>
      <c r="F1171" s="1435"/>
    </row>
    <row r="1172" spans="1:6" customFormat="1" ht="14.4" customHeight="1">
      <c r="A1172" s="687"/>
      <c r="B1172" s="1193">
        <v>5</v>
      </c>
      <c r="C1172" s="1202" t="s">
        <v>4206</v>
      </c>
      <c r="D1172" s="1433"/>
      <c r="E1172" s="1435"/>
      <c r="F1172" s="1435"/>
    </row>
    <row r="1173" spans="1:6" customFormat="1" ht="14.4" customHeight="1">
      <c r="A1173" s="687"/>
      <c r="B1173" s="1293"/>
      <c r="C1173" s="1303" t="s">
        <v>6091</v>
      </c>
      <c r="D1173" s="1433"/>
      <c r="E1173" s="1435"/>
      <c r="F1173" s="1435"/>
    </row>
    <row r="1174" spans="1:6" customFormat="1" ht="14.4" customHeight="1">
      <c r="A1174" s="687"/>
      <c r="B1174" s="1193">
        <v>2</v>
      </c>
      <c r="C1174" s="1202" t="s">
        <v>4206</v>
      </c>
      <c r="D1174" s="1433"/>
      <c r="E1174" s="1435"/>
      <c r="F1174" s="1435"/>
    </row>
    <row r="1175" spans="1:6" customFormat="1" ht="14.4" customHeight="1">
      <c r="A1175" s="687"/>
      <c r="B1175" s="1293"/>
      <c r="C1175" s="1303" t="s">
        <v>6092</v>
      </c>
      <c r="D1175" s="1433"/>
      <c r="E1175" s="1435"/>
      <c r="F1175" s="1435"/>
    </row>
    <row r="1176" spans="1:6" customFormat="1" ht="14.4" customHeight="1">
      <c r="A1176" s="687"/>
      <c r="B1176" s="1193">
        <v>2</v>
      </c>
      <c r="C1176" s="1202" t="s">
        <v>4176</v>
      </c>
      <c r="D1176" s="1433"/>
      <c r="E1176" s="1435"/>
      <c r="F1176" s="1435"/>
    </row>
    <row r="1177" spans="1:6" customFormat="1" ht="14.4" customHeight="1">
      <c r="A1177" s="687"/>
      <c r="B1177" s="1293"/>
      <c r="C1177" s="1303" t="s">
        <v>6093</v>
      </c>
      <c r="D1177" s="1433"/>
      <c r="E1177" s="1435"/>
      <c r="F1177" s="1435"/>
    </row>
    <row r="1178" spans="1:6" customFormat="1" ht="14.4" customHeight="1">
      <c r="A1178" s="687"/>
      <c r="B1178" s="1193">
        <v>2</v>
      </c>
      <c r="C1178" s="1202" t="s">
        <v>4176</v>
      </c>
      <c r="D1178" s="1433"/>
      <c r="E1178" s="1435"/>
      <c r="F1178" s="1435"/>
    </row>
    <row r="1179" spans="1:6" customFormat="1" ht="14.4" customHeight="1">
      <c r="A1179" s="687"/>
      <c r="B1179" s="1293"/>
      <c r="C1179" s="1303" t="s">
        <v>6094</v>
      </c>
      <c r="D1179" s="1433"/>
      <c r="E1179" s="1435"/>
      <c r="F1179" s="1435"/>
    </row>
    <row r="1180" spans="1:6" customFormat="1" ht="14.4" customHeight="1">
      <c r="A1180" s="687"/>
      <c r="B1180" s="1193">
        <v>3</v>
      </c>
      <c r="C1180" s="1202" t="s">
        <v>4206</v>
      </c>
      <c r="D1180" s="1433"/>
      <c r="E1180" s="1435"/>
      <c r="F1180" s="1435"/>
    </row>
    <row r="1181" spans="1:6" customFormat="1" ht="14.4" customHeight="1">
      <c r="A1181" s="687"/>
      <c r="B1181" s="1293"/>
      <c r="C1181" s="1303" t="s">
        <v>6095</v>
      </c>
      <c r="D1181" s="1433"/>
      <c r="E1181" s="1435"/>
      <c r="F1181" s="1435"/>
    </row>
    <row r="1182" spans="1:6" customFormat="1" ht="14.4" customHeight="1">
      <c r="A1182" s="687"/>
      <c r="B1182" s="1193">
        <v>2</v>
      </c>
      <c r="C1182" s="1202" t="s">
        <v>4206</v>
      </c>
      <c r="D1182" s="1433"/>
      <c r="E1182" s="1435"/>
      <c r="F1182" s="1435"/>
    </row>
    <row r="1183" spans="1:6" customFormat="1" ht="14.4" customHeight="1">
      <c r="A1183" s="693"/>
      <c r="B1183" s="1193"/>
      <c r="C1183" s="1202" t="s">
        <v>729</v>
      </c>
      <c r="D1183" s="1426"/>
      <c r="E1183" s="1428"/>
      <c r="F1183" s="1428"/>
    </row>
    <row r="1184" spans="1:6" customFormat="1" ht="14.4" customHeight="1">
      <c r="A1184" s="698"/>
      <c r="B1184" s="1194">
        <v>1</v>
      </c>
      <c r="C1184" s="1201" t="s">
        <v>5103</v>
      </c>
      <c r="D1184" s="1426"/>
      <c r="E1184" s="1427"/>
      <c r="F1184" s="1427"/>
    </row>
    <row r="1185" spans="1:6" customFormat="1" ht="14.4" customHeight="1">
      <c r="A1185" s="687"/>
      <c r="B1185" s="1195">
        <v>3</v>
      </c>
      <c r="C1185" s="1191" t="s">
        <v>3461</v>
      </c>
      <c r="D1185" s="1426"/>
      <c r="E1185" s="1428"/>
      <c r="F1185" s="1428"/>
    </row>
    <row r="1186" spans="1:6" customFormat="1" ht="14.4" customHeight="1">
      <c r="A1186" s="687"/>
      <c r="B1186" s="1199">
        <v>1</v>
      </c>
      <c r="C1186" s="1205" t="s">
        <v>3366</v>
      </c>
      <c r="D1186" s="1429"/>
      <c r="E1186" s="1430"/>
      <c r="F1186" s="1430"/>
    </row>
    <row r="1187" spans="1:6" customFormat="1" ht="14.4" customHeight="1">
      <c r="A1187" s="693"/>
      <c r="B1187" s="1193"/>
      <c r="C1187" s="1202" t="s">
        <v>729</v>
      </c>
      <c r="D1187" s="1426"/>
      <c r="E1187" s="1428"/>
      <c r="F1187" s="1428"/>
    </row>
    <row r="1188" spans="1:6" customFormat="1" ht="14.4" customHeight="1">
      <c r="A1188" s="693"/>
      <c r="B1188" s="1194">
        <v>1</v>
      </c>
      <c r="C1188" s="1303" t="s">
        <v>6096</v>
      </c>
      <c r="D1188" s="1426"/>
      <c r="E1188" s="1428"/>
      <c r="F1188" s="1428"/>
    </row>
    <row r="1189" spans="1:6" customFormat="1" ht="14.4" customHeight="1">
      <c r="A1189" s="692"/>
      <c r="B1189" s="1199">
        <v>1</v>
      </c>
      <c r="C1189" s="1205" t="s">
        <v>6080</v>
      </c>
      <c r="D1189" s="1429"/>
      <c r="E1189" s="1430"/>
      <c r="F1189" s="1430"/>
    </row>
    <row r="1190" spans="1:6" customFormat="1" ht="14.4" customHeight="1">
      <c r="A1190" s="687"/>
      <c r="B1190" s="1195">
        <v>1</v>
      </c>
      <c r="C1190" s="1191" t="s">
        <v>1651</v>
      </c>
      <c r="D1190" s="1426"/>
      <c r="E1190" s="1427"/>
      <c r="F1190" s="1427"/>
    </row>
    <row r="1191" spans="1:6" customFormat="1" ht="14.4" customHeight="1">
      <c r="A1191" s="687"/>
      <c r="B1191" s="1195">
        <v>8</v>
      </c>
      <c r="C1191" s="1191" t="s">
        <v>1157</v>
      </c>
      <c r="D1191" s="1426"/>
      <c r="E1191" s="1427"/>
      <c r="F1191" s="1427"/>
    </row>
    <row r="1192" spans="1:6" customFormat="1" ht="26.4">
      <c r="A1192" s="687"/>
      <c r="B1192" s="1195">
        <v>1</v>
      </c>
      <c r="C1192" s="1206" t="s">
        <v>2436</v>
      </c>
      <c r="D1192" s="1426"/>
      <c r="E1192" s="1427"/>
      <c r="F1192" s="1427"/>
    </row>
    <row r="1193" spans="1:6" customFormat="1" ht="14.4" customHeight="1">
      <c r="A1193" s="687"/>
      <c r="B1193" s="1195">
        <v>6</v>
      </c>
      <c r="C1193" s="1191" t="s">
        <v>8277</v>
      </c>
      <c r="D1193" s="1426"/>
      <c r="E1193" s="1427"/>
      <c r="F1193" s="1427"/>
    </row>
    <row r="1194" spans="1:6" customFormat="1" ht="14.4" customHeight="1">
      <c r="A1194" s="691"/>
      <c r="B1194" s="1193"/>
      <c r="C1194" s="1202" t="s">
        <v>729</v>
      </c>
      <c r="D1194" s="1426"/>
      <c r="E1194" s="1428"/>
      <c r="F1194" s="1428"/>
    </row>
    <row r="1195" spans="1:6" customFormat="1" ht="14.4" customHeight="1">
      <c r="A1195" s="687"/>
      <c r="B1195" s="1194">
        <v>1</v>
      </c>
      <c r="C1195" s="1201" t="s">
        <v>5106</v>
      </c>
      <c r="D1195" s="1426"/>
      <c r="E1195" s="1427"/>
      <c r="F1195" s="1427"/>
    </row>
    <row r="1196" spans="1:6" customFormat="1" ht="14.4" customHeight="1">
      <c r="A1196" s="693"/>
      <c r="B1196" s="1195">
        <v>2</v>
      </c>
      <c r="C1196" s="1191" t="s">
        <v>3281</v>
      </c>
      <c r="D1196" s="1426"/>
      <c r="E1196" s="1428"/>
      <c r="F1196" s="1428"/>
    </row>
    <row r="1197" spans="1:6" customFormat="1" ht="14.4" customHeight="1">
      <c r="A1197" s="1371"/>
      <c r="B1197" s="1193"/>
      <c r="C1197" s="1202" t="s">
        <v>729</v>
      </c>
      <c r="D1197" s="1426"/>
      <c r="E1197" s="1428"/>
      <c r="F1197" s="1428"/>
    </row>
    <row r="1198" spans="1:6" customFormat="1" ht="14.4" customHeight="1">
      <c r="A1198" s="693"/>
      <c r="B1198" s="1193">
        <v>1</v>
      </c>
      <c r="C1198" s="1304" t="s">
        <v>2908</v>
      </c>
      <c r="D1198" s="1426"/>
      <c r="E1198" s="1428"/>
      <c r="F1198" s="1428"/>
    </row>
    <row r="1199" spans="1:6" customFormat="1" ht="14.4" customHeight="1">
      <c r="A1199" s="691"/>
      <c r="B1199" s="1193">
        <v>1</v>
      </c>
      <c r="C1199" s="1198" t="s">
        <v>316</v>
      </c>
      <c r="D1199" s="1436"/>
      <c r="E1199" s="1437"/>
      <c r="F1199" s="1437"/>
    </row>
    <row r="1200" spans="1:6" customFormat="1" ht="14.4" customHeight="1" thickBot="1">
      <c r="A1200" s="699"/>
      <c r="B1200" s="1200"/>
      <c r="C1200" s="1305"/>
      <c r="D1200" s="1438"/>
      <c r="E1200" s="1439"/>
      <c r="F1200" s="1439"/>
    </row>
    <row r="1201" spans="1:6" s="61" customFormat="1" ht="20.100000000000001" customHeight="1" thickBot="1">
      <c r="A1201" s="1372">
        <v>39</v>
      </c>
      <c r="B1201" s="1250">
        <v>1</v>
      </c>
      <c r="C1201" s="1217" t="s">
        <v>3615</v>
      </c>
      <c r="D1201" s="1424">
        <v>14564</v>
      </c>
      <c r="E1201" s="1425"/>
      <c r="F1201" s="1425">
        <v>14564</v>
      </c>
    </row>
    <row r="1202" spans="1:6" customFormat="1" ht="14.4" customHeight="1">
      <c r="A1202" s="685" t="s">
        <v>3064</v>
      </c>
      <c r="B1202" s="1192"/>
      <c r="C1202" s="1201" t="s">
        <v>2662</v>
      </c>
      <c r="D1202" s="1433"/>
      <c r="E1202" s="1434"/>
      <c r="F1202" s="1434"/>
    </row>
    <row r="1203" spans="1:6" customFormat="1" ht="26.4">
      <c r="A1203" s="687" t="s">
        <v>5107</v>
      </c>
      <c r="B1203" s="1193">
        <v>1</v>
      </c>
      <c r="C1203" s="1204" t="s">
        <v>4384</v>
      </c>
      <c r="D1203" s="1433"/>
      <c r="E1203" s="1435"/>
      <c r="F1203" s="1435"/>
    </row>
    <row r="1204" spans="1:6" customFormat="1" ht="14.4" customHeight="1">
      <c r="A1204" s="687" t="s">
        <v>4136</v>
      </c>
      <c r="B1204" s="1193"/>
      <c r="C1204" s="1202" t="s">
        <v>729</v>
      </c>
      <c r="D1204" s="1426"/>
      <c r="E1204" s="1428"/>
      <c r="F1204" s="1428"/>
    </row>
    <row r="1205" spans="1:6" customFormat="1" ht="14.4" customHeight="1">
      <c r="A1205" s="687"/>
      <c r="B1205" s="1193">
        <v>1</v>
      </c>
      <c r="C1205" s="1202" t="s">
        <v>1528</v>
      </c>
      <c r="D1205" s="1433"/>
      <c r="E1205" s="1435"/>
      <c r="F1205" s="1435"/>
    </row>
    <row r="1206" spans="1:6" customFormat="1" ht="14.4" customHeight="1">
      <c r="A1206" s="693" t="s">
        <v>6097</v>
      </c>
      <c r="B1206" s="1193"/>
      <c r="C1206" s="1202" t="s">
        <v>729</v>
      </c>
      <c r="D1206" s="1426"/>
      <c r="E1206" s="1428"/>
      <c r="F1206" s="1428"/>
    </row>
    <row r="1207" spans="1:6" customFormat="1" ht="14.4" customHeight="1">
      <c r="A1207" s="693"/>
      <c r="B1207" s="1293"/>
      <c r="C1207" s="1303" t="s">
        <v>2654</v>
      </c>
      <c r="D1207" s="1433"/>
      <c r="E1207" s="1435"/>
      <c r="F1207" s="1435"/>
    </row>
    <row r="1208" spans="1:6" customFormat="1" ht="14.4" customHeight="1">
      <c r="A1208" s="698"/>
      <c r="B1208" s="1193">
        <v>15</v>
      </c>
      <c r="C1208" s="1202" t="s">
        <v>4206</v>
      </c>
      <c r="D1208" s="1433"/>
      <c r="E1208" s="1435"/>
      <c r="F1208" s="1435"/>
    </row>
    <row r="1209" spans="1:6" customFormat="1" ht="14.4" customHeight="1">
      <c r="A1209" s="687" t="s">
        <v>3541</v>
      </c>
      <c r="B1209" s="1193">
        <v>14</v>
      </c>
      <c r="C1209" s="1202" t="s">
        <v>2037</v>
      </c>
      <c r="D1209" s="1433"/>
      <c r="E1209" s="1435"/>
      <c r="F1209" s="1435"/>
    </row>
    <row r="1210" spans="1:6" customFormat="1" ht="14.4" customHeight="1">
      <c r="A1210" s="687" t="s">
        <v>3542</v>
      </c>
      <c r="B1210" s="1193">
        <v>3</v>
      </c>
      <c r="C1210" s="1202" t="s">
        <v>6086</v>
      </c>
      <c r="D1210" s="1433"/>
      <c r="E1210" s="1435"/>
      <c r="F1210" s="1435"/>
    </row>
    <row r="1211" spans="1:6" customFormat="1" ht="14.4" customHeight="1">
      <c r="A1211" s="912" t="s">
        <v>3190</v>
      </c>
      <c r="B1211" s="1193"/>
      <c r="C1211" s="1202" t="s">
        <v>729</v>
      </c>
      <c r="D1211" s="1426"/>
      <c r="E1211" s="1428"/>
      <c r="F1211" s="1428"/>
    </row>
    <row r="1212" spans="1:6" customFormat="1" ht="14.4" customHeight="1">
      <c r="A1212" s="913" t="s">
        <v>3543</v>
      </c>
      <c r="B1212" s="1193">
        <v>13</v>
      </c>
      <c r="C1212" s="1202" t="s">
        <v>1157</v>
      </c>
      <c r="D1212" s="1433"/>
      <c r="E1212" s="1435"/>
      <c r="F1212" s="1435"/>
    </row>
    <row r="1213" spans="1:6" customFormat="1" ht="14.4" customHeight="1">
      <c r="A1213" s="1371" t="s">
        <v>3544</v>
      </c>
      <c r="B1213" s="1193"/>
      <c r="C1213" s="1202" t="s">
        <v>729</v>
      </c>
      <c r="D1213" s="1426"/>
      <c r="E1213" s="1428"/>
      <c r="F1213" s="1428"/>
    </row>
    <row r="1214" spans="1:6" customFormat="1" ht="14.4" customHeight="1">
      <c r="A1214" s="698"/>
      <c r="B1214" s="1194">
        <v>1</v>
      </c>
      <c r="C1214" s="1201" t="s">
        <v>5103</v>
      </c>
      <c r="D1214" s="1426"/>
      <c r="E1214" s="1427"/>
      <c r="F1214" s="1427"/>
    </row>
    <row r="1215" spans="1:6" customFormat="1" ht="14.4" customHeight="1">
      <c r="A1215" s="687"/>
      <c r="B1215" s="1195">
        <v>3</v>
      </c>
      <c r="C1215" s="1191" t="s">
        <v>3461</v>
      </c>
      <c r="D1215" s="1426"/>
      <c r="E1215" s="1428"/>
      <c r="F1215" s="1428"/>
    </row>
    <row r="1216" spans="1:6" customFormat="1" ht="14.4" customHeight="1">
      <c r="A1216" s="687"/>
      <c r="B1216" s="1199">
        <v>1</v>
      </c>
      <c r="C1216" s="1205" t="s">
        <v>3366</v>
      </c>
      <c r="D1216" s="1429"/>
      <c r="E1216" s="1430"/>
      <c r="F1216" s="1430"/>
    </row>
    <row r="1217" spans="1:6" customFormat="1" ht="14.4" customHeight="1">
      <c r="A1217" s="693"/>
      <c r="B1217" s="1193"/>
      <c r="C1217" s="1202" t="s">
        <v>729</v>
      </c>
      <c r="D1217" s="1426"/>
      <c r="E1217" s="1428"/>
      <c r="F1217" s="1428"/>
    </row>
    <row r="1218" spans="1:6" customFormat="1" ht="14.4" customHeight="1">
      <c r="A1218" s="693"/>
      <c r="B1218" s="1194">
        <v>6</v>
      </c>
      <c r="C1218" s="1303" t="s">
        <v>6079</v>
      </c>
      <c r="D1218" s="1426"/>
      <c r="E1218" s="1428"/>
      <c r="F1218" s="1428"/>
    </row>
    <row r="1219" spans="1:6" customFormat="1" ht="14.4" customHeight="1">
      <c r="A1219" s="692"/>
      <c r="B1219" s="1199">
        <v>1</v>
      </c>
      <c r="C1219" s="1205" t="s">
        <v>6080</v>
      </c>
      <c r="D1219" s="1429"/>
      <c r="E1219" s="1430"/>
      <c r="F1219" s="1430"/>
    </row>
    <row r="1220" spans="1:6" customFormat="1" ht="14.4" customHeight="1">
      <c r="A1220" s="687"/>
      <c r="B1220" s="1195">
        <v>1</v>
      </c>
      <c r="C1220" s="1191" t="s">
        <v>1651</v>
      </c>
      <c r="D1220" s="1426"/>
      <c r="E1220" s="1427"/>
      <c r="F1220" s="1427"/>
    </row>
    <row r="1221" spans="1:6" customFormat="1" ht="14.4" customHeight="1">
      <c r="A1221" s="687"/>
      <c r="B1221" s="1195">
        <v>6</v>
      </c>
      <c r="C1221" s="1191" t="s">
        <v>8277</v>
      </c>
      <c r="D1221" s="1426"/>
      <c r="E1221" s="1427"/>
      <c r="F1221" s="1427"/>
    </row>
    <row r="1222" spans="1:6" customFormat="1" ht="14.4" customHeight="1">
      <c r="A1222" s="691"/>
      <c r="B1222" s="1193"/>
      <c r="C1222" s="1202" t="s">
        <v>729</v>
      </c>
      <c r="D1222" s="1426"/>
      <c r="E1222" s="1428"/>
      <c r="F1222" s="1428"/>
    </row>
    <row r="1223" spans="1:6" customFormat="1" ht="14.4" customHeight="1">
      <c r="A1223" s="687"/>
      <c r="B1223" s="1194">
        <v>1</v>
      </c>
      <c r="C1223" s="1201" t="s">
        <v>5106</v>
      </c>
      <c r="D1223" s="1426"/>
      <c r="E1223" s="1427"/>
      <c r="F1223" s="1427"/>
    </row>
    <row r="1224" spans="1:6" customFormat="1" ht="14.4" customHeight="1">
      <c r="A1224" s="693"/>
      <c r="B1224" s="1195">
        <v>2</v>
      </c>
      <c r="C1224" s="1191" t="s">
        <v>3281</v>
      </c>
      <c r="D1224" s="1426"/>
      <c r="E1224" s="1428"/>
      <c r="F1224" s="1428"/>
    </row>
    <row r="1225" spans="1:6" customFormat="1" ht="14.4" customHeight="1">
      <c r="A1225" s="1371"/>
      <c r="B1225" s="1193"/>
      <c r="C1225" s="1202" t="s">
        <v>729</v>
      </c>
      <c r="D1225" s="1426"/>
      <c r="E1225" s="1428"/>
      <c r="F1225" s="1428"/>
    </row>
    <row r="1226" spans="1:6" customFormat="1" ht="14.4" customHeight="1">
      <c r="A1226" s="693"/>
      <c r="B1226" s="1193">
        <v>1</v>
      </c>
      <c r="C1226" s="1304" t="s">
        <v>2908</v>
      </c>
      <c r="D1226" s="1426"/>
      <c r="E1226" s="1428"/>
      <c r="F1226" s="1428"/>
    </row>
    <row r="1227" spans="1:6" customFormat="1" ht="14.4" customHeight="1">
      <c r="A1227" s="693"/>
      <c r="B1227" s="1193">
        <v>1</v>
      </c>
      <c r="C1227" s="1304" t="s">
        <v>2910</v>
      </c>
      <c r="D1227" s="1426"/>
      <c r="E1227" s="1428"/>
      <c r="F1227" s="1428"/>
    </row>
    <row r="1228" spans="1:6" customFormat="1" ht="14.4" customHeight="1">
      <c r="A1228" s="691"/>
      <c r="B1228" s="1193">
        <v>1</v>
      </c>
      <c r="C1228" s="1198" t="s">
        <v>316</v>
      </c>
      <c r="D1228" s="1436"/>
      <c r="E1228" s="1437"/>
      <c r="F1228" s="1437"/>
    </row>
    <row r="1229" spans="1:6" customFormat="1" ht="14.4" customHeight="1" thickBot="1">
      <c r="A1229" s="699"/>
      <c r="B1229" s="1200"/>
      <c r="C1229" s="1305"/>
      <c r="D1229" s="1438"/>
      <c r="E1229" s="1439"/>
      <c r="F1229" s="1439"/>
    </row>
    <row r="1230" spans="1:6" s="61" customFormat="1" ht="20.100000000000001" customHeight="1" thickBot="1">
      <c r="A1230" s="1372">
        <v>40</v>
      </c>
      <c r="B1230" s="1250">
        <v>1</v>
      </c>
      <c r="C1230" s="1217" t="s">
        <v>3616</v>
      </c>
      <c r="D1230" s="1424">
        <v>15844</v>
      </c>
      <c r="E1230" s="1425"/>
      <c r="F1230" s="1425">
        <v>15844</v>
      </c>
    </row>
    <row r="1231" spans="1:6" customFormat="1" ht="14.4" customHeight="1">
      <c r="A1231" s="685" t="s">
        <v>3064</v>
      </c>
      <c r="B1231" s="1192"/>
      <c r="C1231" s="1201" t="s">
        <v>2662</v>
      </c>
      <c r="D1231" s="1433"/>
      <c r="E1231" s="1434"/>
      <c r="F1231" s="1434"/>
    </row>
    <row r="1232" spans="1:6" customFormat="1" ht="26.4">
      <c r="A1232" s="687" t="s">
        <v>5107</v>
      </c>
      <c r="B1232" s="1193">
        <v>1</v>
      </c>
      <c r="C1232" s="1204" t="s">
        <v>4384</v>
      </c>
      <c r="D1232" s="1433"/>
      <c r="E1232" s="1435"/>
      <c r="F1232" s="1435"/>
    </row>
    <row r="1233" spans="1:6" customFormat="1" ht="14.4" customHeight="1">
      <c r="A1233" s="687" t="s">
        <v>4136</v>
      </c>
      <c r="B1233" s="1193"/>
      <c r="C1233" s="1202" t="s">
        <v>729</v>
      </c>
      <c r="D1233" s="1426"/>
      <c r="E1233" s="1428"/>
      <c r="F1233" s="1428"/>
    </row>
    <row r="1234" spans="1:6" customFormat="1" ht="14.4" customHeight="1">
      <c r="A1234" s="687"/>
      <c r="B1234" s="1193">
        <v>1</v>
      </c>
      <c r="C1234" s="1202" t="s">
        <v>1528</v>
      </c>
      <c r="D1234" s="1433"/>
      <c r="E1234" s="1435"/>
      <c r="F1234" s="1435"/>
    </row>
    <row r="1235" spans="1:6" customFormat="1" ht="14.4" customHeight="1">
      <c r="A1235" s="693" t="s">
        <v>6097</v>
      </c>
      <c r="B1235" s="1193"/>
      <c r="C1235" s="1202" t="s">
        <v>729</v>
      </c>
      <c r="D1235" s="1426"/>
      <c r="E1235" s="1428"/>
      <c r="F1235" s="1428"/>
    </row>
    <row r="1236" spans="1:6" customFormat="1" ht="14.4" customHeight="1">
      <c r="A1236" s="693"/>
      <c r="B1236" s="1293"/>
      <c r="C1236" s="1303" t="s">
        <v>2654</v>
      </c>
      <c r="D1236" s="1433"/>
      <c r="E1236" s="1435"/>
      <c r="F1236" s="1435"/>
    </row>
    <row r="1237" spans="1:6" customFormat="1" ht="14.4" customHeight="1">
      <c r="A1237" s="698"/>
      <c r="B1237" s="1193">
        <v>12</v>
      </c>
      <c r="C1237" s="1202" t="s">
        <v>4206</v>
      </c>
      <c r="D1237" s="1433"/>
      <c r="E1237" s="1435"/>
      <c r="F1237" s="1435"/>
    </row>
    <row r="1238" spans="1:6" customFormat="1" ht="14.4" customHeight="1">
      <c r="A1238" s="687" t="s">
        <v>3541</v>
      </c>
      <c r="B1238" s="1193">
        <v>11</v>
      </c>
      <c r="C1238" s="1202" t="s">
        <v>2037</v>
      </c>
      <c r="D1238" s="1433"/>
      <c r="E1238" s="1435"/>
      <c r="F1238" s="1435"/>
    </row>
    <row r="1239" spans="1:6" customFormat="1" ht="14.4" customHeight="1">
      <c r="A1239" s="687" t="s">
        <v>3542</v>
      </c>
      <c r="B1239" s="1193">
        <v>7</v>
      </c>
      <c r="C1239" s="1202" t="s">
        <v>4176</v>
      </c>
      <c r="D1239" s="1433"/>
      <c r="E1239" s="1435"/>
      <c r="F1239" s="1435"/>
    </row>
    <row r="1240" spans="1:6" customFormat="1" ht="14.4" customHeight="1">
      <c r="A1240" s="693"/>
      <c r="B1240" s="1193">
        <v>7</v>
      </c>
      <c r="C1240" s="1202" t="s">
        <v>2032</v>
      </c>
      <c r="D1240" s="1433"/>
      <c r="E1240" s="1435"/>
      <c r="F1240" s="1435"/>
    </row>
    <row r="1241" spans="1:6" customFormat="1" ht="14.4" customHeight="1">
      <c r="A1241" s="912" t="s">
        <v>3190</v>
      </c>
      <c r="B1241" s="1193">
        <v>2</v>
      </c>
      <c r="C1241" s="1202" t="s">
        <v>6082</v>
      </c>
      <c r="D1241" s="1433"/>
      <c r="E1241" s="1435"/>
      <c r="F1241" s="1435"/>
    </row>
    <row r="1242" spans="1:6" customFormat="1" ht="14.4" customHeight="1">
      <c r="A1242" s="913" t="s">
        <v>3543</v>
      </c>
      <c r="B1242" s="1193">
        <v>3</v>
      </c>
      <c r="C1242" s="1202" t="s">
        <v>5105</v>
      </c>
      <c r="D1242" s="1433"/>
      <c r="E1242" s="1435"/>
      <c r="F1242" s="1435"/>
    </row>
    <row r="1243" spans="1:6" customFormat="1" ht="14.4" customHeight="1">
      <c r="A1243" s="698"/>
      <c r="B1243" s="1193"/>
      <c r="C1243" s="1202" t="s">
        <v>729</v>
      </c>
      <c r="D1243" s="1426"/>
      <c r="E1243" s="1428"/>
      <c r="F1243" s="1428"/>
    </row>
    <row r="1244" spans="1:6" customFormat="1" ht="14.4" customHeight="1">
      <c r="A1244" s="1371"/>
      <c r="B1244" s="1193">
        <v>17</v>
      </c>
      <c r="C1244" s="1202" t="s">
        <v>1157</v>
      </c>
      <c r="D1244" s="1433"/>
      <c r="E1244" s="1435"/>
      <c r="F1244" s="1435"/>
    </row>
    <row r="1245" spans="1:6" customFormat="1" ht="14.4" customHeight="1">
      <c r="A1245" s="698"/>
      <c r="B1245" s="1193"/>
      <c r="C1245" s="1202" t="s">
        <v>729</v>
      </c>
      <c r="D1245" s="1426"/>
      <c r="E1245" s="1428"/>
      <c r="F1245" s="1428"/>
    </row>
    <row r="1246" spans="1:6" customFormat="1" ht="14.4" customHeight="1">
      <c r="A1246" s="687"/>
      <c r="B1246" s="1194">
        <v>1</v>
      </c>
      <c r="C1246" s="1201" t="s">
        <v>5103</v>
      </c>
      <c r="D1246" s="1426"/>
      <c r="E1246" s="1427"/>
      <c r="F1246" s="1427"/>
    </row>
    <row r="1247" spans="1:6" customFormat="1" ht="14.4" customHeight="1">
      <c r="A1247" s="687"/>
      <c r="B1247" s="1195">
        <v>3</v>
      </c>
      <c r="C1247" s="1191" t="s">
        <v>3461</v>
      </c>
      <c r="D1247" s="1426"/>
      <c r="E1247" s="1428"/>
      <c r="F1247" s="1428"/>
    </row>
    <row r="1248" spans="1:6" customFormat="1" ht="14.4" customHeight="1">
      <c r="A1248" s="687"/>
      <c r="B1248" s="1199">
        <v>1</v>
      </c>
      <c r="C1248" s="1205" t="s">
        <v>3366</v>
      </c>
      <c r="D1248" s="1429"/>
      <c r="E1248" s="1430"/>
      <c r="F1248" s="1430"/>
    </row>
    <row r="1249" spans="1:6" customFormat="1" ht="14.4" customHeight="1">
      <c r="A1249" s="693"/>
      <c r="B1249" s="1193"/>
      <c r="C1249" s="1202" t="s">
        <v>729</v>
      </c>
      <c r="D1249" s="1426"/>
      <c r="E1249" s="1428"/>
      <c r="F1249" s="1428"/>
    </row>
    <row r="1250" spans="1:6" customFormat="1" ht="14.4" customHeight="1">
      <c r="A1250" s="693"/>
      <c r="B1250" s="1194">
        <v>7</v>
      </c>
      <c r="C1250" s="1303" t="s">
        <v>6079</v>
      </c>
      <c r="D1250" s="1426"/>
      <c r="E1250" s="1428"/>
      <c r="F1250" s="1428"/>
    </row>
    <row r="1251" spans="1:6" customFormat="1" ht="14.4" customHeight="1">
      <c r="A1251" s="692"/>
      <c r="B1251" s="1199">
        <v>1</v>
      </c>
      <c r="C1251" s="1205" t="s">
        <v>6080</v>
      </c>
      <c r="D1251" s="1429"/>
      <c r="E1251" s="1430"/>
      <c r="F1251" s="1430"/>
    </row>
    <row r="1252" spans="1:6" customFormat="1" ht="14.4" customHeight="1">
      <c r="A1252" s="687"/>
      <c r="B1252" s="1195">
        <v>1</v>
      </c>
      <c r="C1252" s="1191" t="s">
        <v>1651</v>
      </c>
      <c r="D1252" s="1426"/>
      <c r="E1252" s="1427"/>
      <c r="F1252" s="1427"/>
    </row>
    <row r="1253" spans="1:6" customFormat="1" ht="14.4" customHeight="1">
      <c r="A1253" s="687"/>
      <c r="B1253" s="1195">
        <v>6</v>
      </c>
      <c r="C1253" s="1191" t="s">
        <v>8277</v>
      </c>
      <c r="D1253" s="1426"/>
      <c r="E1253" s="1427"/>
      <c r="F1253" s="1427"/>
    </row>
    <row r="1254" spans="1:6" customFormat="1" ht="14.4" customHeight="1">
      <c r="A1254" s="691"/>
      <c r="B1254" s="1193"/>
      <c r="C1254" s="1202" t="s">
        <v>729</v>
      </c>
      <c r="D1254" s="1426"/>
      <c r="E1254" s="1428"/>
      <c r="F1254" s="1428"/>
    </row>
    <row r="1255" spans="1:6" customFormat="1" ht="14.4" customHeight="1">
      <c r="A1255" s="687"/>
      <c r="B1255" s="1194">
        <v>1</v>
      </c>
      <c r="C1255" s="1201" t="s">
        <v>5106</v>
      </c>
      <c r="D1255" s="1426"/>
      <c r="E1255" s="1427"/>
      <c r="F1255" s="1427"/>
    </row>
    <row r="1256" spans="1:6" customFormat="1" ht="14.4" customHeight="1">
      <c r="A1256" s="693"/>
      <c r="B1256" s="1195">
        <v>2</v>
      </c>
      <c r="C1256" s="1191" t="s">
        <v>3281</v>
      </c>
      <c r="D1256" s="1426"/>
      <c r="E1256" s="1428"/>
      <c r="F1256" s="1428"/>
    </row>
    <row r="1257" spans="1:6" customFormat="1" ht="14.4" customHeight="1">
      <c r="A1257" s="1371"/>
      <c r="B1257" s="1193"/>
      <c r="C1257" s="1202" t="s">
        <v>729</v>
      </c>
      <c r="D1257" s="1426"/>
      <c r="E1257" s="1428"/>
      <c r="F1257" s="1428"/>
    </row>
    <row r="1258" spans="1:6" customFormat="1" ht="14.4" customHeight="1">
      <c r="A1258" s="693"/>
      <c r="B1258" s="1193">
        <v>1</v>
      </c>
      <c r="C1258" s="1304" t="s">
        <v>2908</v>
      </c>
      <c r="D1258" s="1426"/>
      <c r="E1258" s="1428"/>
      <c r="F1258" s="1428"/>
    </row>
    <row r="1259" spans="1:6" customFormat="1" ht="14.4" customHeight="1">
      <c r="A1259" s="693"/>
      <c r="B1259" s="1193">
        <v>1</v>
      </c>
      <c r="C1259" s="1304" t="s">
        <v>2910</v>
      </c>
      <c r="D1259" s="1426"/>
      <c r="E1259" s="1428"/>
      <c r="F1259" s="1428"/>
    </row>
    <row r="1260" spans="1:6" customFormat="1" ht="14.4" customHeight="1">
      <c r="A1260" s="691"/>
      <c r="B1260" s="1193">
        <v>1</v>
      </c>
      <c r="C1260" s="1198" t="s">
        <v>316</v>
      </c>
      <c r="D1260" s="1436"/>
      <c r="E1260" s="1437"/>
      <c r="F1260" s="1437"/>
    </row>
    <row r="1261" spans="1:6" customFormat="1" ht="14.4" customHeight="1" thickBot="1">
      <c r="A1261" s="699"/>
      <c r="B1261" s="1200"/>
      <c r="C1261" s="1305"/>
      <c r="D1261" s="1438"/>
      <c r="E1261" s="1439"/>
      <c r="F1261" s="1439"/>
    </row>
    <row r="1262" spans="1:6" s="61" customFormat="1" ht="20.100000000000001" customHeight="1" thickBot="1">
      <c r="A1262" s="920">
        <v>41</v>
      </c>
      <c r="B1262" s="1314">
        <v>1</v>
      </c>
      <c r="C1262" s="1217" t="s">
        <v>3221</v>
      </c>
      <c r="D1262" s="1424">
        <v>10004</v>
      </c>
      <c r="E1262" s="1425"/>
      <c r="F1262" s="1425">
        <v>10004</v>
      </c>
    </row>
    <row r="1263" spans="1:6" customFormat="1" ht="14.4" customHeight="1">
      <c r="A1263" s="685" t="s">
        <v>3220</v>
      </c>
      <c r="B1263" s="1290"/>
      <c r="C1263" s="1302"/>
      <c r="D1263" s="1433"/>
      <c r="E1263" s="1434"/>
      <c r="F1263" s="1434"/>
    </row>
    <row r="1264" spans="1:6" customFormat="1" ht="14.4" customHeight="1">
      <c r="A1264" s="687"/>
      <c r="B1264" s="1283"/>
      <c r="C1264" s="1202" t="s">
        <v>6098</v>
      </c>
      <c r="D1264" s="1433"/>
      <c r="E1264" s="1435"/>
      <c r="F1264" s="1435"/>
    </row>
    <row r="1265" spans="1:6" customFormat="1" ht="14.4" customHeight="1">
      <c r="A1265" s="687"/>
      <c r="B1265" s="1283"/>
      <c r="C1265" s="1202" t="s">
        <v>6099</v>
      </c>
      <c r="D1265" s="1433"/>
      <c r="E1265" s="1435"/>
      <c r="F1265" s="1435"/>
    </row>
    <row r="1266" spans="1:6" customFormat="1" ht="14.4" customHeight="1">
      <c r="A1266" s="687"/>
      <c r="B1266" s="1283"/>
      <c r="C1266" s="1202" t="s">
        <v>6100</v>
      </c>
      <c r="D1266" s="1433"/>
      <c r="E1266" s="1435"/>
      <c r="F1266" s="1435"/>
    </row>
    <row r="1267" spans="1:6" customFormat="1" ht="14.4" customHeight="1">
      <c r="A1267" s="687"/>
      <c r="B1267" s="1283"/>
      <c r="C1267" s="1202" t="s">
        <v>6101</v>
      </c>
      <c r="D1267" s="1433"/>
      <c r="E1267" s="1435"/>
      <c r="F1267" s="1435"/>
    </row>
    <row r="1268" spans="1:6" customFormat="1" ht="14.4" customHeight="1">
      <c r="A1268" s="687"/>
      <c r="B1268" s="1283"/>
      <c r="C1268" s="1420"/>
      <c r="D1268" s="1433"/>
      <c r="E1268" s="1435"/>
      <c r="F1268" s="1435"/>
    </row>
    <row r="1269" spans="1:6" customFormat="1" ht="14.4" customHeight="1">
      <c r="A1269" s="687"/>
      <c r="B1269" s="1283"/>
      <c r="C1269" s="1311" t="s">
        <v>3215</v>
      </c>
      <c r="D1269" s="1433"/>
      <c r="E1269" s="1435"/>
      <c r="F1269" s="1435"/>
    </row>
    <row r="1270" spans="1:6" customFormat="1" ht="14.4" customHeight="1">
      <c r="A1270" s="692"/>
      <c r="B1270" s="1283" t="s">
        <v>3214</v>
      </c>
      <c r="C1270" s="1421" t="s">
        <v>3204</v>
      </c>
      <c r="D1270" s="1433"/>
      <c r="E1270" s="1435"/>
      <c r="F1270" s="1435"/>
    </row>
    <row r="1271" spans="1:6" customFormat="1" ht="14.4" customHeight="1">
      <c r="A1271" s="902"/>
      <c r="B1271" s="1285" t="s">
        <v>3195</v>
      </c>
      <c r="C1271" s="1191" t="s">
        <v>3193</v>
      </c>
      <c r="D1271" s="1433"/>
      <c r="E1271" s="1435"/>
      <c r="F1271" s="1435"/>
    </row>
    <row r="1272" spans="1:6" customFormat="1" ht="14.4" customHeight="1">
      <c r="A1272" s="692"/>
      <c r="B1272" s="1285" t="s">
        <v>3196</v>
      </c>
      <c r="C1272" s="1422" t="s">
        <v>3194</v>
      </c>
      <c r="D1272" s="1433"/>
      <c r="E1272" s="1435"/>
      <c r="F1272" s="1435"/>
    </row>
    <row r="1273" spans="1:6" customFormat="1" ht="14.4" customHeight="1">
      <c r="A1273" s="692"/>
      <c r="B1273" s="1285" t="s">
        <v>3199</v>
      </c>
      <c r="C1273" s="1422" t="s">
        <v>3200</v>
      </c>
      <c r="D1273" s="1433"/>
      <c r="E1273" s="1435"/>
      <c r="F1273" s="1435"/>
    </row>
    <row r="1274" spans="1:6" customFormat="1" ht="14.4" customHeight="1">
      <c r="A1274" s="692"/>
      <c r="B1274" s="1285" t="s">
        <v>3201</v>
      </c>
      <c r="C1274" s="1191" t="s">
        <v>3213</v>
      </c>
      <c r="D1274" s="1433"/>
      <c r="E1274" s="1434"/>
      <c r="F1274" s="1434"/>
    </row>
    <row r="1275" spans="1:6" customFormat="1" ht="14.4" customHeight="1">
      <c r="A1275" s="692"/>
      <c r="B1275" s="1285" t="s">
        <v>3202</v>
      </c>
      <c r="C1275" s="1191" t="s">
        <v>3207</v>
      </c>
      <c r="D1275" s="1433"/>
      <c r="E1275" s="1434"/>
      <c r="F1275" s="1434"/>
    </row>
    <row r="1276" spans="1:6" customFormat="1" ht="14.4" customHeight="1">
      <c r="A1276" s="687"/>
      <c r="B1276" s="1283"/>
      <c r="C1276" s="1420"/>
      <c r="D1276" s="1433"/>
      <c r="E1276" s="1435"/>
      <c r="F1276" s="1435"/>
    </row>
    <row r="1277" spans="1:6" customFormat="1" ht="14.4" customHeight="1">
      <c r="A1277" s="687"/>
      <c r="B1277" s="1283"/>
      <c r="C1277" s="1311" t="s">
        <v>3208</v>
      </c>
      <c r="D1277" s="1433"/>
      <c r="E1277" s="1435"/>
      <c r="F1277" s="1435"/>
    </row>
    <row r="1278" spans="1:6" customFormat="1" ht="14.4" customHeight="1">
      <c r="A1278" s="692"/>
      <c r="B1278" s="1283" t="s">
        <v>3203</v>
      </c>
      <c r="C1278" s="1421" t="s">
        <v>6102</v>
      </c>
      <c r="D1278" s="1433"/>
      <c r="E1278" s="1435"/>
      <c r="F1278" s="1435"/>
    </row>
    <row r="1279" spans="1:6" customFormat="1" ht="14.4" customHeight="1">
      <c r="A1279" s="692"/>
      <c r="B1279" s="1283"/>
      <c r="C1279" s="1421" t="s">
        <v>6103</v>
      </c>
      <c r="D1279" s="1433"/>
      <c r="E1279" s="1435"/>
      <c r="F1279" s="1435"/>
    </row>
    <row r="1280" spans="1:6" customFormat="1" ht="14.4" customHeight="1">
      <c r="A1280" s="692"/>
      <c r="B1280" s="1283" t="s">
        <v>3203</v>
      </c>
      <c r="C1280" s="1421" t="s">
        <v>6104</v>
      </c>
      <c r="D1280" s="1433"/>
      <c r="E1280" s="1435"/>
      <c r="F1280" s="1435"/>
    </row>
    <row r="1281" spans="1:6" customFormat="1" ht="14.4" customHeight="1">
      <c r="A1281" s="902"/>
      <c r="B1281" s="1283"/>
      <c r="C1281" s="1202" t="s">
        <v>6105</v>
      </c>
      <c r="D1281" s="1433"/>
      <c r="E1281" s="1435"/>
      <c r="F1281" s="1435"/>
    </row>
    <row r="1282" spans="1:6" customFormat="1" ht="14.4" customHeight="1">
      <c r="A1282" s="902"/>
      <c r="B1282" s="1283" t="s">
        <v>3203</v>
      </c>
      <c r="C1282" s="1202" t="s">
        <v>3210</v>
      </c>
      <c r="D1282" s="1433"/>
      <c r="E1282" s="1435"/>
      <c r="F1282" s="1435"/>
    </row>
    <row r="1283" spans="1:6" customFormat="1" ht="14.4" customHeight="1">
      <c r="A1283" s="692"/>
      <c r="B1283" s="1283"/>
      <c r="C1283" s="1420"/>
      <c r="D1283" s="1433"/>
      <c r="E1283" s="1434"/>
      <c r="F1283" s="1434"/>
    </row>
    <row r="1284" spans="1:6" customFormat="1" ht="14.4" customHeight="1">
      <c r="A1284" s="687"/>
      <c r="B1284" s="1283"/>
      <c r="C1284" s="1311" t="s">
        <v>3206</v>
      </c>
      <c r="D1284" s="1433"/>
      <c r="E1284" s="1435"/>
      <c r="F1284" s="1435"/>
    </row>
    <row r="1285" spans="1:6" customFormat="1" ht="13.8">
      <c r="A1285" s="692"/>
      <c r="B1285" s="1283" t="s">
        <v>3203</v>
      </c>
      <c r="C1285" s="1423" t="s">
        <v>3276</v>
      </c>
      <c r="D1285" s="1433"/>
      <c r="E1285" s="1435"/>
      <c r="F1285" s="1435"/>
    </row>
    <row r="1286" spans="1:6" customFormat="1" ht="14.4" customHeight="1">
      <c r="A1286" s="692"/>
      <c r="B1286" s="1283"/>
      <c r="C1286" s="1202" t="s">
        <v>3277</v>
      </c>
      <c r="D1286" s="1433"/>
      <c r="E1286" s="1434"/>
      <c r="F1286" s="1434"/>
    </row>
    <row r="1287" spans="1:6" customFormat="1" ht="14.4" customHeight="1">
      <c r="A1287" s="692"/>
      <c r="B1287" s="1283"/>
      <c r="C1287" s="1420"/>
      <c r="D1287" s="1433"/>
      <c r="E1287" s="1434"/>
      <c r="F1287" s="1434"/>
    </row>
    <row r="1288" spans="1:6" customFormat="1" ht="14.4" customHeight="1">
      <c r="A1288" s="692"/>
      <c r="B1288" s="1283"/>
      <c r="C1288" s="1420"/>
      <c r="D1288" s="1433"/>
      <c r="E1288" s="1434"/>
      <c r="F1288" s="1434"/>
    </row>
    <row r="1289" spans="1:6" customFormat="1" ht="14.4" customHeight="1">
      <c r="A1289" s="692"/>
      <c r="B1289" s="1283"/>
      <c r="C1289" s="1201" t="s">
        <v>3191</v>
      </c>
      <c r="D1289" s="1433"/>
      <c r="E1289" s="1434"/>
      <c r="F1289" s="1434"/>
    </row>
    <row r="1290" spans="1:6" customFormat="1" ht="14.4" customHeight="1">
      <c r="A1290" s="693"/>
      <c r="B1290" s="1293"/>
      <c r="C1290" s="1420"/>
      <c r="D1290" s="1433"/>
      <c r="E1290" s="1435"/>
      <c r="F1290" s="1435"/>
    </row>
    <row r="1291" spans="1:6" customFormat="1" ht="13.8">
      <c r="A1291" s="693"/>
      <c r="B1291" s="1293" t="s">
        <v>3190</v>
      </c>
      <c r="C1291" s="1204" t="s">
        <v>3198</v>
      </c>
      <c r="D1291" s="1433"/>
      <c r="E1291" s="1435"/>
      <c r="F1291" s="1435"/>
    </row>
    <row r="1292" spans="1:6" customFormat="1" ht="14.4" customHeight="1">
      <c r="A1292" s="693"/>
      <c r="B1292" s="1293"/>
      <c r="C1292" s="1202" t="s">
        <v>6106</v>
      </c>
      <c r="D1292" s="1433"/>
      <c r="E1292" s="1435"/>
      <c r="F1292" s="1435"/>
    </row>
    <row r="1293" spans="1:6" customFormat="1" ht="14.4" customHeight="1">
      <c r="A1293" s="693"/>
      <c r="B1293" s="1293"/>
      <c r="C1293" s="1202" t="s">
        <v>6107</v>
      </c>
      <c r="D1293" s="1433"/>
      <c r="E1293" s="1435"/>
      <c r="F1293" s="1435"/>
    </row>
    <row r="1294" spans="1:6" customFormat="1" ht="14.4" customHeight="1">
      <c r="A1294" s="693"/>
      <c r="B1294" s="1293"/>
      <c r="C1294" s="1420"/>
      <c r="D1294" s="1433"/>
      <c r="E1294" s="1435"/>
      <c r="F1294" s="1435"/>
    </row>
    <row r="1295" spans="1:6" customFormat="1" ht="14.4" customHeight="1">
      <c r="A1295" s="693"/>
      <c r="B1295" s="1293" t="s">
        <v>3190</v>
      </c>
      <c r="C1295" s="1202" t="s">
        <v>6108</v>
      </c>
      <c r="D1295" s="1433"/>
      <c r="E1295" s="1435"/>
      <c r="F1295" s="1435"/>
    </row>
    <row r="1296" spans="1:6" customFormat="1" ht="14.4" customHeight="1">
      <c r="A1296" s="693"/>
      <c r="B1296" s="1293"/>
      <c r="C1296" s="1202" t="s">
        <v>6109</v>
      </c>
      <c r="D1296" s="1433"/>
      <c r="E1296" s="1435"/>
      <c r="F1296" s="1435"/>
    </row>
    <row r="1297" spans="1:6" customFormat="1" ht="14.4" customHeight="1">
      <c r="A1297" s="693"/>
      <c r="B1297" s="1293"/>
      <c r="C1297" s="1420"/>
      <c r="D1297" s="1433"/>
      <c r="E1297" s="1435"/>
      <c r="F1297" s="1435"/>
    </row>
    <row r="1298" spans="1:6" customFormat="1" ht="14.4" customHeight="1">
      <c r="A1298" s="693"/>
      <c r="B1298" s="1293" t="s">
        <v>3190</v>
      </c>
      <c r="C1298" s="1202" t="s">
        <v>6110</v>
      </c>
      <c r="D1298" s="1433"/>
      <c r="E1298" s="1435"/>
      <c r="F1298" s="1435"/>
    </row>
    <row r="1299" spans="1:6" customFormat="1" ht="14.4" customHeight="1">
      <c r="A1299" s="693"/>
      <c r="B1299" s="1293"/>
      <c r="C1299" s="1202" t="s">
        <v>6111</v>
      </c>
      <c r="D1299" s="1433"/>
      <c r="E1299" s="1435"/>
      <c r="F1299" s="1435"/>
    </row>
    <row r="1300" spans="1:6" customFormat="1" ht="14.4" customHeight="1">
      <c r="A1300" s="693"/>
      <c r="B1300" s="1293"/>
      <c r="C1300" s="1202" t="s">
        <v>6112</v>
      </c>
      <c r="D1300" s="1433"/>
      <c r="E1300" s="1435"/>
      <c r="F1300" s="1435"/>
    </row>
    <row r="1301" spans="1:6" customFormat="1" ht="14.4" customHeight="1">
      <c r="A1301" s="693"/>
      <c r="B1301" s="1293"/>
      <c r="C1301" s="1420"/>
      <c r="D1301" s="1433"/>
      <c r="E1301" s="1435"/>
      <c r="F1301" s="1435"/>
    </row>
    <row r="1302" spans="1:6" customFormat="1" ht="14.4" customHeight="1">
      <c r="A1302" s="693"/>
      <c r="B1302" s="1293"/>
      <c r="C1302" s="1202" t="s">
        <v>6113</v>
      </c>
      <c r="D1302" s="1433"/>
      <c r="E1302" s="1435"/>
      <c r="F1302" s="1435"/>
    </row>
    <row r="1303" spans="1:6" customFormat="1" ht="14.4" customHeight="1">
      <c r="A1303" s="693"/>
      <c r="B1303" s="1293"/>
      <c r="C1303" s="1202" t="s">
        <v>6114</v>
      </c>
      <c r="D1303" s="1433"/>
      <c r="E1303" s="1435"/>
      <c r="F1303" s="1435"/>
    </row>
    <row r="1304" spans="1:6" customFormat="1" ht="14.4" customHeight="1">
      <c r="A1304" s="693"/>
      <c r="B1304" s="1293"/>
      <c r="C1304" s="1202" t="s">
        <v>6115</v>
      </c>
      <c r="D1304" s="1433"/>
      <c r="E1304" s="1435"/>
      <c r="F1304" s="1435"/>
    </row>
    <row r="1305" spans="1:6" customFormat="1" ht="14.4" customHeight="1">
      <c r="A1305" s="693"/>
      <c r="B1305" s="1293"/>
      <c r="C1305" s="1420"/>
      <c r="D1305" s="1433"/>
      <c r="E1305" s="1435"/>
      <c r="F1305" s="1435"/>
    </row>
    <row r="1306" spans="1:6" customFormat="1" ht="14.4" customHeight="1">
      <c r="A1306" s="693"/>
      <c r="B1306" s="1293" t="s">
        <v>3190</v>
      </c>
      <c r="C1306" s="1202" t="s">
        <v>6116</v>
      </c>
      <c r="D1306" s="1433"/>
      <c r="E1306" s="1435"/>
      <c r="F1306" s="1435"/>
    </row>
    <row r="1307" spans="1:6" customFormat="1" ht="14.4" customHeight="1">
      <c r="A1307" s="693"/>
      <c r="B1307" s="1293"/>
      <c r="C1307" s="1202" t="s">
        <v>6117</v>
      </c>
      <c r="D1307" s="1433"/>
      <c r="E1307" s="1435"/>
      <c r="F1307" s="1435"/>
    </row>
    <row r="1308" spans="1:6" customFormat="1" ht="14.4" customHeight="1">
      <c r="A1308" s="693"/>
      <c r="B1308" s="1293"/>
      <c r="C1308" s="1202" t="s">
        <v>6118</v>
      </c>
      <c r="D1308" s="1433"/>
      <c r="E1308" s="1435"/>
      <c r="F1308" s="1435"/>
    </row>
    <row r="1309" spans="1:6" customFormat="1" ht="14.4" customHeight="1">
      <c r="A1309" s="693"/>
      <c r="B1309" s="1293"/>
      <c r="C1309" s="1420"/>
      <c r="D1309" s="1433"/>
      <c r="E1309" s="1435"/>
      <c r="F1309" s="1435"/>
    </row>
    <row r="1310" spans="1:6" customFormat="1" ht="14.4" customHeight="1">
      <c r="A1310" s="693"/>
      <c r="B1310" s="1293" t="s">
        <v>3190</v>
      </c>
      <c r="C1310" s="1202" t="s">
        <v>6119</v>
      </c>
      <c r="D1310" s="1433"/>
      <c r="E1310" s="1435"/>
      <c r="F1310" s="1435"/>
    </row>
    <row r="1311" spans="1:6" customFormat="1" ht="14.4" customHeight="1">
      <c r="A1311" s="693"/>
      <c r="B1311" s="1293"/>
      <c r="C1311" s="1202" t="s">
        <v>6120</v>
      </c>
      <c r="D1311" s="1433"/>
      <c r="E1311" s="1435"/>
      <c r="F1311" s="1435"/>
    </row>
    <row r="1312" spans="1:6" customFormat="1" ht="14.4" customHeight="1">
      <c r="A1312" s="693"/>
      <c r="B1312" s="1293"/>
      <c r="C1312" s="1420"/>
      <c r="D1312" s="1433"/>
      <c r="E1312" s="1435"/>
      <c r="F1312" s="1435"/>
    </row>
    <row r="1313" spans="1:1211" customFormat="1" ht="14.4" customHeight="1">
      <c r="A1313" s="693"/>
      <c r="B1313" s="1293" t="s">
        <v>3190</v>
      </c>
      <c r="C1313" s="1202" t="s">
        <v>3197</v>
      </c>
      <c r="D1313" s="1433"/>
      <c r="E1313" s="1435"/>
      <c r="F1313" s="1435"/>
    </row>
    <row r="1314" spans="1:1211" customFormat="1" ht="14.4" customHeight="1">
      <c r="A1314" s="912"/>
      <c r="B1314" s="1283"/>
      <c r="C1314" s="1420"/>
      <c r="D1314" s="1433"/>
      <c r="E1314" s="1434"/>
      <c r="F1314" s="1434"/>
    </row>
    <row r="1315" spans="1:1211" customFormat="1" ht="14.4" customHeight="1" thickBot="1">
      <c r="A1315" s="699"/>
      <c r="B1315" s="1296"/>
      <c r="C1315" s="1305"/>
      <c r="D1315" s="1438"/>
      <c r="E1315" s="1439"/>
      <c r="F1315" s="1439"/>
    </row>
    <row r="1316" spans="1:1211" ht="21.9" customHeight="1">
      <c r="A1316" s="1073"/>
      <c r="B1316" s="1074"/>
      <c r="C1316" s="1075"/>
      <c r="D1316" s="1076"/>
      <c r="E1316" s="1076" t="s">
        <v>3915</v>
      </c>
      <c r="F1316" s="1454">
        <f>SUM(F11:F1315)</f>
        <v>1285069</v>
      </c>
    </row>
    <row r="1317" spans="1:1211" ht="21.9" customHeight="1" thickBot="1">
      <c r="A1317" s="1077"/>
      <c r="B1317" s="1078"/>
      <c r="C1317" s="1185" t="s">
        <v>3916</v>
      </c>
      <c r="D1317" s="1142" t="s">
        <v>3917</v>
      </c>
      <c r="E1317" s="1144">
        <v>0.18</v>
      </c>
      <c r="F1317" s="1455">
        <f>+F1316*E1317</f>
        <v>231312.41999999998</v>
      </c>
    </row>
    <row r="1318" spans="1:1211" ht="21.9" customHeight="1">
      <c r="A1318" s="1080"/>
      <c r="B1318" s="1081"/>
      <c r="C1318" s="1082"/>
      <c r="D1318" s="1083"/>
      <c r="E1318" s="1083"/>
      <c r="F1318" s="2631">
        <f>+F1316+F1317</f>
        <v>1516381.42</v>
      </c>
    </row>
    <row r="1319" spans="1:1211" ht="21.9" customHeight="1" thickBot="1">
      <c r="A1319" s="1084"/>
      <c r="B1319" s="1085"/>
      <c r="C1319" s="1086"/>
      <c r="D1319" s="1079"/>
      <c r="E1319" s="1079"/>
      <c r="F1319" s="2632"/>
    </row>
    <row r="1320" spans="1:1211" ht="14.1" customHeight="1">
      <c r="A1320" s="1091"/>
      <c r="B1320" s="1241"/>
      <c r="C1320" s="184"/>
      <c r="D1320" s="1093"/>
      <c r="E1320" s="1093"/>
      <c r="F1320" s="1440"/>
    </row>
    <row r="1321" spans="1:1211" ht="14.1" customHeight="1">
      <c r="A1321" s="900"/>
      <c r="B1321" s="630"/>
      <c r="C1321" s="631"/>
      <c r="D1321" s="1093"/>
      <c r="E1321" s="1093"/>
      <c r="F1321" s="1440"/>
    </row>
    <row r="1322" spans="1:1211" ht="14.1" customHeight="1">
      <c r="A1322" s="900"/>
      <c r="B1322" s="630"/>
      <c r="C1322" s="631"/>
      <c r="D1322" s="1093"/>
      <c r="E1322" s="1093"/>
      <c r="F1322" s="1093"/>
    </row>
    <row r="1323" spans="1:1211" ht="14.1" customHeight="1">
      <c r="A1323" s="900"/>
      <c r="B1323" s="630"/>
      <c r="C1323" s="631"/>
      <c r="D1323" s="1093"/>
      <c r="E1323" s="1093"/>
      <c r="F1323" s="1093"/>
    </row>
    <row r="1324" spans="1:1211" ht="14.1" customHeight="1">
      <c r="A1324" s="900"/>
      <c r="B1324" s="630"/>
      <c r="C1324" s="631"/>
      <c r="D1324" s="1093"/>
      <c r="E1324" s="1093"/>
      <c r="F1324" s="1093"/>
    </row>
    <row r="1325" spans="1:1211" s="20" customFormat="1" ht="14.1" customHeight="1">
      <c r="A1325" s="1249"/>
      <c r="B1325" s="380" t="s">
        <v>742</v>
      </c>
      <c r="C1325" s="184"/>
      <c r="D1325" s="120"/>
      <c r="E1325" s="701"/>
      <c r="F1325" s="703"/>
      <c r="G1325" s="702"/>
      <c r="H1325" s="702"/>
      <c r="I1325" s="702"/>
      <c r="J1325" s="700"/>
      <c r="K1325" s="112"/>
      <c r="L1325" s="363"/>
      <c r="M1325" s="112"/>
      <c r="N1325" s="362"/>
      <c r="O1325" s="573"/>
      <c r="P1325" s="120"/>
      <c r="Q1325" s="120"/>
      <c r="R1325" s="120"/>
      <c r="S1325" s="120"/>
      <c r="T1325" s="120"/>
      <c r="U1325" s="120"/>
      <c r="V1325" s="120"/>
      <c r="W1325" s="120"/>
      <c r="X1325" s="120"/>
      <c r="Y1325" s="120"/>
      <c r="Z1325" s="120"/>
      <c r="AA1325" s="120"/>
      <c r="AB1325" s="120"/>
      <c r="AC1325" s="120"/>
      <c r="AD1325" s="120"/>
      <c r="AE1325" s="120"/>
      <c r="AF1325" s="120"/>
      <c r="AG1325" s="120"/>
      <c r="AH1325" s="120"/>
      <c r="AI1325" s="120"/>
      <c r="AJ1325" s="120"/>
      <c r="AK1325" s="120"/>
      <c r="AL1325" s="120"/>
      <c r="AM1325" s="120"/>
      <c r="AN1325" s="120"/>
      <c r="AO1325" s="120"/>
      <c r="AP1325" s="120"/>
      <c r="AQ1325" s="120"/>
      <c r="AR1325" s="120"/>
      <c r="AS1325" s="120"/>
      <c r="AT1325" s="120"/>
      <c r="AU1325" s="120"/>
      <c r="AV1325" s="120"/>
      <c r="AW1325" s="120"/>
      <c r="AX1325" s="120"/>
      <c r="AY1325" s="120"/>
      <c r="AZ1325" s="120"/>
      <c r="BA1325" s="120"/>
      <c r="BB1325" s="120"/>
      <c r="BC1325" s="120"/>
      <c r="BD1325" s="120"/>
      <c r="BE1325" s="120"/>
      <c r="BF1325" s="120"/>
      <c r="BG1325" s="120"/>
      <c r="BH1325" s="120"/>
      <c r="BI1325" s="120"/>
      <c r="BJ1325" s="120"/>
      <c r="BK1325" s="120"/>
      <c r="BL1325" s="120"/>
      <c r="BM1325" s="120"/>
      <c r="BN1325" s="120"/>
      <c r="BO1325" s="120"/>
      <c r="BP1325" s="120"/>
      <c r="BQ1325" s="120"/>
      <c r="BR1325" s="120"/>
      <c r="BS1325" s="120"/>
      <c r="BT1325" s="120"/>
      <c r="BU1325" s="120"/>
      <c r="BV1325" s="120"/>
      <c r="BW1325" s="120"/>
      <c r="BX1325" s="120"/>
      <c r="BY1325" s="120"/>
      <c r="BZ1325" s="120"/>
      <c r="CA1325" s="120"/>
      <c r="CB1325" s="120"/>
      <c r="CC1325" s="120"/>
      <c r="CD1325" s="120"/>
      <c r="CE1325" s="120"/>
      <c r="CF1325" s="120"/>
      <c r="CG1325" s="120"/>
      <c r="CH1325" s="120"/>
      <c r="CI1325" s="120"/>
      <c r="CJ1325" s="120"/>
      <c r="CK1325" s="120"/>
      <c r="CL1325" s="120"/>
      <c r="CM1325" s="120"/>
      <c r="CN1325" s="120"/>
      <c r="CO1325" s="120"/>
      <c r="CP1325" s="120"/>
      <c r="CQ1325" s="120"/>
      <c r="CR1325" s="120"/>
      <c r="CS1325" s="120"/>
      <c r="CT1325" s="120"/>
      <c r="CU1325" s="120"/>
      <c r="CV1325" s="120"/>
      <c r="CW1325" s="120"/>
      <c r="CX1325" s="120"/>
      <c r="CY1325" s="120"/>
      <c r="CZ1325" s="120"/>
      <c r="DA1325" s="120"/>
      <c r="DB1325" s="120"/>
      <c r="DC1325" s="120"/>
      <c r="DD1325" s="120"/>
      <c r="DE1325" s="120"/>
      <c r="DF1325" s="120"/>
      <c r="DG1325" s="120"/>
      <c r="DH1325" s="120"/>
      <c r="DI1325" s="120"/>
      <c r="DJ1325" s="120"/>
      <c r="DK1325" s="120"/>
      <c r="DL1325" s="120"/>
      <c r="DM1325" s="120"/>
      <c r="DN1325" s="120"/>
      <c r="DO1325" s="120"/>
      <c r="DP1325" s="120"/>
      <c r="DQ1325" s="120"/>
      <c r="DR1325" s="120"/>
      <c r="DS1325" s="120"/>
      <c r="DT1325" s="120"/>
      <c r="DU1325" s="120"/>
      <c r="DV1325" s="120"/>
      <c r="DW1325" s="120"/>
      <c r="DX1325" s="120"/>
      <c r="DY1325" s="120"/>
      <c r="DZ1325" s="120"/>
      <c r="EA1325" s="120"/>
      <c r="EB1325" s="120"/>
      <c r="EC1325" s="120"/>
      <c r="ED1325" s="120"/>
      <c r="EE1325" s="120"/>
      <c r="EF1325" s="120"/>
      <c r="EG1325" s="120"/>
      <c r="EH1325" s="120"/>
      <c r="EI1325" s="120"/>
      <c r="EJ1325" s="120"/>
      <c r="EK1325" s="120"/>
      <c r="EL1325" s="120"/>
      <c r="EM1325" s="120"/>
      <c r="EN1325" s="120"/>
      <c r="EO1325" s="120"/>
      <c r="EP1325" s="120"/>
      <c r="EQ1325" s="120"/>
      <c r="ER1325" s="120"/>
      <c r="ES1325" s="120"/>
      <c r="ET1325" s="120"/>
      <c r="EU1325" s="120"/>
      <c r="EV1325" s="120"/>
      <c r="EW1325" s="120"/>
      <c r="EX1325" s="120"/>
      <c r="EY1325" s="120"/>
      <c r="EZ1325" s="120"/>
      <c r="FA1325" s="120"/>
      <c r="FB1325" s="120"/>
      <c r="FC1325" s="120"/>
      <c r="FD1325" s="120"/>
      <c r="FE1325" s="120"/>
      <c r="FF1325" s="120"/>
      <c r="FG1325" s="120"/>
      <c r="FH1325" s="120"/>
      <c r="FI1325" s="120"/>
      <c r="FJ1325" s="120"/>
      <c r="FK1325" s="120"/>
      <c r="FL1325" s="120"/>
      <c r="FM1325" s="120"/>
      <c r="FN1325" s="120"/>
      <c r="FO1325" s="120"/>
      <c r="FP1325" s="120"/>
      <c r="FQ1325" s="120"/>
      <c r="FR1325" s="120"/>
      <c r="FS1325" s="120"/>
      <c r="FT1325" s="120"/>
      <c r="FU1325" s="120"/>
      <c r="FV1325" s="120"/>
      <c r="FW1325" s="120"/>
      <c r="FX1325" s="120"/>
      <c r="FY1325" s="120"/>
      <c r="FZ1325" s="120"/>
      <c r="GA1325" s="120"/>
      <c r="GB1325" s="120"/>
      <c r="GC1325" s="120"/>
      <c r="GD1325" s="120"/>
      <c r="GE1325" s="120"/>
      <c r="GF1325" s="120"/>
      <c r="GG1325" s="120"/>
      <c r="GH1325" s="120"/>
      <c r="GI1325" s="120"/>
      <c r="GJ1325" s="120"/>
      <c r="GK1325" s="120"/>
      <c r="GL1325" s="120"/>
      <c r="GM1325" s="120"/>
      <c r="GN1325" s="120"/>
      <c r="GO1325" s="120"/>
      <c r="GP1325" s="120"/>
      <c r="GQ1325" s="120"/>
      <c r="GR1325" s="120"/>
      <c r="GS1325" s="120"/>
      <c r="GT1325" s="120"/>
      <c r="GU1325" s="120"/>
      <c r="GV1325" s="120"/>
      <c r="GW1325" s="120"/>
      <c r="GX1325" s="120"/>
      <c r="GY1325" s="120"/>
      <c r="GZ1325" s="120"/>
      <c r="HA1325" s="120"/>
      <c r="HB1325" s="120"/>
      <c r="HC1325" s="120"/>
      <c r="HD1325" s="120"/>
      <c r="HE1325" s="120"/>
      <c r="HF1325" s="120"/>
      <c r="HG1325" s="120"/>
      <c r="HH1325" s="120"/>
      <c r="HI1325" s="120"/>
      <c r="HJ1325" s="120"/>
      <c r="HK1325" s="120"/>
      <c r="HL1325" s="120"/>
      <c r="HM1325" s="120"/>
      <c r="HN1325" s="120"/>
      <c r="HO1325" s="120"/>
      <c r="HP1325" s="120"/>
      <c r="HQ1325" s="120"/>
      <c r="HR1325" s="120"/>
      <c r="HS1325" s="120"/>
      <c r="HT1325" s="120"/>
      <c r="HU1325" s="120"/>
      <c r="HV1325" s="120"/>
      <c r="HW1325" s="120"/>
      <c r="HX1325" s="120"/>
      <c r="HY1325" s="120"/>
      <c r="HZ1325" s="120"/>
      <c r="IA1325" s="120"/>
      <c r="IB1325" s="120"/>
      <c r="IC1325" s="120"/>
      <c r="ID1325" s="120"/>
      <c r="IE1325" s="120"/>
      <c r="IF1325" s="120"/>
      <c r="IG1325" s="120"/>
      <c r="IH1325" s="120"/>
      <c r="II1325" s="120"/>
      <c r="IJ1325" s="120"/>
      <c r="IK1325" s="120"/>
      <c r="IL1325" s="120"/>
      <c r="IM1325" s="120"/>
      <c r="IN1325" s="120"/>
      <c r="IO1325" s="120"/>
      <c r="IP1325" s="120"/>
      <c r="IQ1325" s="120"/>
      <c r="IR1325" s="120"/>
      <c r="IS1325" s="120"/>
      <c r="IT1325" s="120"/>
      <c r="IU1325" s="120"/>
      <c r="IV1325" s="120"/>
      <c r="IW1325" s="120"/>
      <c r="IX1325" s="120"/>
      <c r="IY1325" s="120"/>
      <c r="IZ1325" s="120"/>
      <c r="JA1325" s="120"/>
      <c r="JB1325" s="120"/>
      <c r="JC1325" s="120"/>
      <c r="JD1325" s="120"/>
      <c r="JE1325" s="120"/>
      <c r="JF1325" s="120"/>
      <c r="JG1325" s="120"/>
      <c r="JH1325" s="120"/>
      <c r="JI1325" s="120"/>
      <c r="JJ1325" s="120"/>
      <c r="JK1325" s="120"/>
      <c r="JL1325" s="120"/>
      <c r="JM1325" s="120"/>
      <c r="JN1325" s="120"/>
      <c r="JO1325" s="120"/>
      <c r="JP1325" s="120"/>
      <c r="JQ1325" s="120"/>
      <c r="JR1325" s="120"/>
      <c r="JS1325" s="120"/>
      <c r="JT1325" s="120"/>
      <c r="JU1325" s="120"/>
      <c r="JV1325" s="120"/>
      <c r="JW1325" s="120"/>
      <c r="JX1325" s="120"/>
      <c r="JY1325" s="120"/>
      <c r="JZ1325" s="120"/>
      <c r="KA1325" s="120"/>
      <c r="KB1325" s="120"/>
      <c r="KC1325" s="120"/>
      <c r="KD1325" s="120"/>
      <c r="KE1325" s="120"/>
      <c r="KF1325" s="120"/>
      <c r="KG1325" s="120"/>
      <c r="KH1325" s="120"/>
      <c r="KI1325" s="120"/>
      <c r="KJ1325" s="120"/>
      <c r="KK1325" s="120"/>
      <c r="KL1325" s="120"/>
      <c r="KM1325" s="120"/>
      <c r="KN1325" s="120"/>
      <c r="KO1325" s="120"/>
      <c r="KP1325" s="120"/>
      <c r="KQ1325" s="120"/>
      <c r="KR1325" s="120"/>
      <c r="KS1325" s="120"/>
      <c r="KT1325" s="120"/>
      <c r="KU1325" s="120"/>
      <c r="KV1325" s="120"/>
      <c r="KW1325" s="120"/>
      <c r="KX1325" s="120"/>
      <c r="KY1325" s="120"/>
      <c r="KZ1325" s="120"/>
      <c r="LA1325" s="120"/>
      <c r="LB1325" s="120"/>
      <c r="LC1325" s="120"/>
      <c r="LD1325" s="120"/>
      <c r="LE1325" s="120"/>
      <c r="LF1325" s="120"/>
      <c r="LG1325" s="120"/>
      <c r="LH1325" s="120"/>
      <c r="LI1325" s="120"/>
      <c r="LJ1325" s="120"/>
      <c r="LK1325" s="120"/>
      <c r="LL1325" s="120"/>
      <c r="LM1325" s="120"/>
      <c r="LN1325" s="120"/>
      <c r="LO1325" s="120"/>
      <c r="LP1325" s="120"/>
      <c r="LQ1325" s="120"/>
      <c r="LR1325" s="120"/>
      <c r="LS1325" s="120"/>
      <c r="LT1325" s="120"/>
      <c r="LU1325" s="120"/>
      <c r="LV1325" s="120"/>
      <c r="LW1325" s="120"/>
      <c r="LX1325" s="120"/>
      <c r="LY1325" s="120"/>
      <c r="LZ1325" s="120"/>
      <c r="MA1325" s="120"/>
      <c r="MB1325" s="120"/>
      <c r="MC1325" s="120"/>
      <c r="MD1325" s="120"/>
      <c r="ME1325" s="120"/>
      <c r="MF1325" s="120"/>
      <c r="MG1325" s="120"/>
      <c r="MH1325" s="120"/>
      <c r="MI1325" s="120"/>
      <c r="MJ1325" s="120"/>
      <c r="MK1325" s="120"/>
      <c r="ML1325" s="120"/>
      <c r="MM1325" s="120"/>
      <c r="MN1325" s="120"/>
      <c r="MO1325" s="120"/>
      <c r="MP1325" s="120"/>
      <c r="MQ1325" s="120"/>
      <c r="MR1325" s="120"/>
      <c r="MS1325" s="120"/>
      <c r="MT1325" s="120"/>
      <c r="MU1325" s="120"/>
      <c r="MV1325" s="120"/>
      <c r="MW1325" s="120"/>
      <c r="MX1325" s="120"/>
      <c r="MY1325" s="120"/>
      <c r="MZ1325" s="120"/>
      <c r="NA1325" s="120"/>
      <c r="NB1325" s="120"/>
      <c r="NC1325" s="120"/>
      <c r="ND1325" s="120"/>
      <c r="NE1325" s="120"/>
      <c r="NF1325" s="120"/>
      <c r="NG1325" s="120"/>
      <c r="NH1325" s="120"/>
      <c r="NI1325" s="120"/>
      <c r="NJ1325" s="120"/>
      <c r="NK1325" s="120"/>
      <c r="NL1325" s="120"/>
      <c r="NM1325" s="120"/>
      <c r="NN1325" s="120"/>
      <c r="NO1325" s="120"/>
      <c r="NP1325" s="120"/>
      <c r="NQ1325" s="120"/>
      <c r="NR1325" s="120"/>
      <c r="NS1325" s="120"/>
      <c r="NT1325" s="120"/>
      <c r="NU1325" s="120"/>
      <c r="NV1325" s="120"/>
      <c r="NW1325" s="120"/>
      <c r="NX1325" s="120"/>
      <c r="NY1325" s="120"/>
      <c r="NZ1325" s="120"/>
      <c r="OA1325" s="120"/>
      <c r="OB1325" s="120"/>
      <c r="OC1325" s="120"/>
      <c r="OD1325" s="120"/>
      <c r="OE1325" s="120"/>
      <c r="OF1325" s="120"/>
      <c r="OG1325" s="120"/>
      <c r="OH1325" s="120"/>
      <c r="OI1325" s="120"/>
      <c r="OJ1325" s="120"/>
      <c r="OK1325" s="120"/>
      <c r="OL1325" s="120"/>
      <c r="OM1325" s="120"/>
      <c r="ON1325" s="120"/>
      <c r="OO1325" s="120"/>
      <c r="OP1325" s="120"/>
      <c r="OQ1325" s="120"/>
      <c r="OR1325" s="120"/>
      <c r="OS1325" s="120"/>
      <c r="OT1325" s="120"/>
      <c r="OU1325" s="120"/>
      <c r="OV1325" s="120"/>
      <c r="OW1325" s="120"/>
      <c r="OX1325" s="120"/>
      <c r="OY1325" s="120"/>
      <c r="OZ1325" s="120"/>
      <c r="PA1325" s="120"/>
      <c r="PB1325" s="120"/>
      <c r="PC1325" s="120"/>
      <c r="PD1325" s="120"/>
      <c r="PE1325" s="120"/>
      <c r="PF1325" s="120"/>
      <c r="PG1325" s="120"/>
      <c r="PH1325" s="120"/>
      <c r="PI1325" s="120"/>
      <c r="PJ1325" s="120"/>
      <c r="PK1325" s="120"/>
      <c r="PL1325" s="120"/>
      <c r="PM1325" s="120"/>
      <c r="PN1325" s="120"/>
      <c r="PO1325" s="120"/>
      <c r="PP1325" s="120"/>
      <c r="PQ1325" s="120"/>
      <c r="PR1325" s="120"/>
      <c r="PS1325" s="120"/>
      <c r="PT1325" s="120"/>
      <c r="PU1325" s="120"/>
      <c r="PV1325" s="120"/>
      <c r="PW1325" s="120"/>
      <c r="PX1325" s="120"/>
      <c r="PY1325" s="120"/>
      <c r="PZ1325" s="120"/>
      <c r="QA1325" s="120"/>
      <c r="QB1325" s="120"/>
      <c r="QC1325" s="120"/>
      <c r="QD1325" s="120"/>
      <c r="QE1325" s="120"/>
      <c r="QF1325" s="120"/>
      <c r="QG1325" s="120"/>
      <c r="QH1325" s="120"/>
      <c r="QI1325" s="120"/>
      <c r="QJ1325" s="120"/>
      <c r="QK1325" s="120"/>
      <c r="QL1325" s="120"/>
      <c r="QM1325" s="120"/>
      <c r="QN1325" s="120"/>
      <c r="QO1325" s="120"/>
      <c r="QP1325" s="120"/>
      <c r="QQ1325" s="120"/>
      <c r="QR1325" s="120"/>
      <c r="QS1325" s="120"/>
      <c r="QT1325" s="120"/>
      <c r="QU1325" s="120"/>
      <c r="QV1325" s="120"/>
      <c r="QW1325" s="120"/>
      <c r="QX1325" s="120"/>
      <c r="QY1325" s="120"/>
      <c r="QZ1325" s="120"/>
      <c r="RA1325" s="120"/>
      <c r="RB1325" s="120"/>
      <c r="RC1325" s="120"/>
      <c r="RD1325" s="120"/>
      <c r="RE1325" s="120"/>
      <c r="RF1325" s="120"/>
      <c r="RG1325" s="120"/>
      <c r="RH1325" s="120"/>
      <c r="RI1325" s="120"/>
      <c r="RJ1325" s="120"/>
      <c r="RK1325" s="120"/>
      <c r="RL1325" s="120"/>
      <c r="RM1325" s="120"/>
      <c r="RN1325" s="120"/>
      <c r="RO1325" s="120"/>
      <c r="RP1325" s="120"/>
      <c r="RQ1325" s="120"/>
      <c r="RR1325" s="120"/>
      <c r="RS1325" s="120"/>
      <c r="RT1325" s="120"/>
      <c r="RU1325" s="120"/>
      <c r="RV1325" s="120"/>
      <c r="RW1325" s="120"/>
      <c r="RX1325" s="120"/>
      <c r="RY1325" s="120"/>
      <c r="RZ1325" s="120"/>
      <c r="SA1325" s="120"/>
      <c r="SB1325" s="120"/>
      <c r="SC1325" s="120"/>
      <c r="SD1325" s="120"/>
      <c r="SE1325" s="120"/>
      <c r="SF1325" s="120"/>
      <c r="SG1325" s="120"/>
      <c r="SH1325" s="120"/>
      <c r="SI1325" s="120"/>
      <c r="SJ1325" s="120"/>
      <c r="SK1325" s="120"/>
      <c r="SL1325" s="120"/>
      <c r="SM1325" s="120"/>
      <c r="SN1325" s="120"/>
      <c r="SO1325" s="120"/>
      <c r="SP1325" s="120"/>
      <c r="SQ1325" s="120"/>
      <c r="SR1325" s="120"/>
      <c r="SS1325" s="120"/>
      <c r="ST1325" s="120"/>
      <c r="SU1325" s="120"/>
      <c r="SV1325" s="120"/>
      <c r="SW1325" s="120"/>
      <c r="SX1325" s="120"/>
      <c r="SY1325" s="120"/>
      <c r="SZ1325" s="120"/>
      <c r="TA1325" s="120"/>
      <c r="TB1325" s="120"/>
      <c r="TC1325" s="120"/>
      <c r="TD1325" s="120"/>
      <c r="TE1325" s="120"/>
      <c r="TF1325" s="120"/>
      <c r="TG1325" s="120"/>
      <c r="TH1325" s="120"/>
      <c r="TI1325" s="120"/>
      <c r="TJ1325" s="120"/>
      <c r="TK1325" s="120"/>
      <c r="TL1325" s="120"/>
      <c r="TM1325" s="120"/>
      <c r="TN1325" s="120"/>
      <c r="TO1325" s="120"/>
      <c r="TP1325" s="120"/>
      <c r="TQ1325" s="120"/>
      <c r="TR1325" s="120"/>
      <c r="TS1325" s="120"/>
      <c r="TT1325" s="120"/>
      <c r="TU1325" s="120"/>
      <c r="TV1325" s="120"/>
      <c r="TW1325" s="120"/>
      <c r="TX1325" s="120"/>
      <c r="TY1325" s="120"/>
      <c r="TZ1325" s="120"/>
      <c r="UA1325" s="120"/>
      <c r="UB1325" s="120"/>
      <c r="UC1325" s="120"/>
      <c r="UD1325" s="120"/>
      <c r="UE1325" s="120"/>
      <c r="UF1325" s="120"/>
      <c r="UG1325" s="120"/>
      <c r="UH1325" s="120"/>
      <c r="UI1325" s="120"/>
      <c r="UJ1325" s="120"/>
      <c r="UK1325" s="120"/>
      <c r="UL1325" s="120"/>
      <c r="UM1325" s="120"/>
      <c r="UN1325" s="120"/>
      <c r="UO1325" s="120"/>
      <c r="UP1325" s="120"/>
      <c r="UQ1325" s="120"/>
      <c r="UR1325" s="120"/>
      <c r="US1325" s="120"/>
      <c r="UT1325" s="120"/>
      <c r="UU1325" s="120"/>
      <c r="UV1325" s="120"/>
      <c r="UW1325" s="120"/>
      <c r="UX1325" s="120"/>
      <c r="UY1325" s="120"/>
      <c r="UZ1325" s="120"/>
      <c r="VA1325" s="120"/>
      <c r="VB1325" s="120"/>
      <c r="VC1325" s="120"/>
      <c r="VD1325" s="120"/>
      <c r="VE1325" s="120"/>
      <c r="VF1325" s="120"/>
      <c r="VG1325" s="120"/>
      <c r="VH1325" s="120"/>
      <c r="VI1325" s="120"/>
      <c r="VJ1325" s="120"/>
      <c r="VK1325" s="120"/>
      <c r="VL1325" s="120"/>
      <c r="VM1325" s="120"/>
      <c r="VN1325" s="120"/>
      <c r="VO1325" s="120"/>
      <c r="VP1325" s="120"/>
      <c r="VQ1325" s="120"/>
      <c r="VR1325" s="120"/>
      <c r="VS1325" s="120"/>
      <c r="VT1325" s="120"/>
      <c r="VU1325" s="120"/>
      <c r="VV1325" s="120"/>
      <c r="VW1325" s="120"/>
      <c r="VX1325" s="120"/>
      <c r="VY1325" s="120"/>
      <c r="VZ1325" s="120"/>
      <c r="WA1325" s="120"/>
      <c r="WB1325" s="120"/>
      <c r="WC1325" s="120"/>
      <c r="WD1325" s="120"/>
      <c r="WE1325" s="120"/>
      <c r="WF1325" s="120"/>
      <c r="WG1325" s="120"/>
      <c r="WH1325" s="120"/>
      <c r="WI1325" s="120"/>
      <c r="WJ1325" s="120"/>
      <c r="WK1325" s="120"/>
      <c r="WL1325" s="120"/>
      <c r="WM1325" s="120"/>
      <c r="WN1325" s="120"/>
      <c r="WO1325" s="120"/>
      <c r="WP1325" s="120"/>
      <c r="WQ1325" s="120"/>
      <c r="WR1325" s="120"/>
      <c r="WS1325" s="120"/>
      <c r="WT1325" s="120"/>
      <c r="WU1325" s="120"/>
      <c r="WV1325" s="120"/>
      <c r="WW1325" s="120"/>
      <c r="WX1325" s="120"/>
      <c r="WY1325" s="120"/>
      <c r="WZ1325" s="120"/>
      <c r="XA1325" s="120"/>
      <c r="XB1325" s="120"/>
      <c r="XC1325" s="120"/>
      <c r="XD1325" s="120"/>
      <c r="XE1325" s="120"/>
      <c r="XF1325" s="120"/>
      <c r="XG1325" s="120"/>
      <c r="XH1325" s="120"/>
      <c r="XI1325" s="120"/>
      <c r="XJ1325" s="120"/>
      <c r="XK1325" s="120"/>
      <c r="XL1325" s="120"/>
      <c r="XM1325" s="120"/>
      <c r="XN1325" s="120"/>
      <c r="XO1325" s="120"/>
      <c r="XP1325" s="120"/>
      <c r="XQ1325" s="120"/>
      <c r="XR1325" s="120"/>
      <c r="XS1325" s="120"/>
      <c r="XT1325" s="120"/>
      <c r="XU1325" s="120"/>
      <c r="XV1325" s="120"/>
      <c r="XW1325" s="120"/>
      <c r="XX1325" s="120"/>
      <c r="XY1325" s="120"/>
      <c r="XZ1325" s="120"/>
      <c r="YA1325" s="120"/>
      <c r="YB1325" s="120"/>
      <c r="YC1325" s="120"/>
      <c r="YD1325" s="120"/>
      <c r="YE1325" s="120"/>
      <c r="YF1325" s="120"/>
      <c r="YG1325" s="120"/>
      <c r="YH1325" s="120"/>
      <c r="YI1325" s="120"/>
      <c r="YJ1325" s="120"/>
      <c r="YK1325" s="120"/>
      <c r="YL1325" s="120"/>
      <c r="YM1325" s="120"/>
      <c r="YN1325" s="120"/>
      <c r="YO1325" s="120"/>
      <c r="YP1325" s="120"/>
      <c r="YQ1325" s="120"/>
      <c r="YR1325" s="120"/>
      <c r="YS1325" s="120"/>
      <c r="YT1325" s="120"/>
      <c r="YU1325" s="120"/>
      <c r="YV1325" s="120"/>
      <c r="YW1325" s="120"/>
      <c r="YX1325" s="120"/>
      <c r="YY1325" s="120"/>
      <c r="YZ1325" s="120"/>
      <c r="ZA1325" s="120"/>
      <c r="ZB1325" s="120"/>
      <c r="ZC1325" s="120"/>
      <c r="ZD1325" s="120"/>
      <c r="ZE1325" s="120"/>
      <c r="ZF1325" s="120"/>
      <c r="ZG1325" s="120"/>
      <c r="ZH1325" s="120"/>
      <c r="ZI1325" s="120"/>
      <c r="ZJ1325" s="120"/>
      <c r="ZK1325" s="120"/>
      <c r="ZL1325" s="120"/>
      <c r="ZM1325" s="120"/>
      <c r="ZN1325" s="120"/>
      <c r="ZO1325" s="120"/>
      <c r="ZP1325" s="120"/>
      <c r="ZQ1325" s="120"/>
      <c r="ZR1325" s="120"/>
      <c r="ZS1325" s="120"/>
      <c r="ZT1325" s="120"/>
      <c r="ZU1325" s="120"/>
      <c r="ZV1325" s="120"/>
      <c r="ZW1325" s="120"/>
      <c r="ZX1325" s="120"/>
      <c r="ZY1325" s="120"/>
      <c r="ZZ1325" s="120"/>
      <c r="AAA1325" s="120"/>
      <c r="AAB1325" s="120"/>
      <c r="AAC1325" s="120"/>
      <c r="AAD1325" s="120"/>
      <c r="AAE1325" s="120"/>
      <c r="AAF1325" s="120"/>
      <c r="AAG1325" s="120"/>
      <c r="AAH1325" s="120"/>
      <c r="AAI1325" s="120"/>
      <c r="AAJ1325" s="120"/>
      <c r="AAK1325" s="120"/>
      <c r="AAL1325" s="120"/>
      <c r="AAM1325" s="120"/>
      <c r="AAN1325" s="120"/>
      <c r="AAO1325" s="120"/>
      <c r="AAP1325" s="120"/>
      <c r="AAQ1325" s="120"/>
      <c r="AAR1325" s="120"/>
      <c r="AAS1325" s="120"/>
      <c r="AAT1325" s="120"/>
      <c r="AAU1325" s="120"/>
      <c r="AAV1325" s="120"/>
      <c r="AAW1325" s="120"/>
      <c r="AAX1325" s="120"/>
      <c r="AAY1325" s="120"/>
      <c r="AAZ1325" s="120"/>
      <c r="ABA1325" s="120"/>
      <c r="ABB1325" s="120"/>
      <c r="ABC1325" s="120"/>
      <c r="ABD1325" s="120"/>
      <c r="ABE1325" s="120"/>
      <c r="ABF1325" s="120"/>
      <c r="ABG1325" s="120"/>
      <c r="ABH1325" s="120"/>
      <c r="ABI1325" s="120"/>
      <c r="ABJ1325" s="120"/>
      <c r="ABK1325" s="120"/>
      <c r="ABL1325" s="120"/>
      <c r="ABM1325" s="120"/>
      <c r="ABN1325" s="120"/>
      <c r="ABO1325" s="120"/>
      <c r="ABP1325" s="120"/>
      <c r="ABQ1325" s="120"/>
      <c r="ABR1325" s="120"/>
      <c r="ABS1325" s="120"/>
      <c r="ABT1325" s="120"/>
      <c r="ABU1325" s="120"/>
      <c r="ABV1325" s="120"/>
      <c r="ABW1325" s="120"/>
      <c r="ABX1325" s="120"/>
      <c r="ABY1325" s="120"/>
      <c r="ABZ1325" s="120"/>
      <c r="ACA1325" s="120"/>
      <c r="ACB1325" s="120"/>
      <c r="ACC1325" s="120"/>
      <c r="ACD1325" s="120"/>
      <c r="ACE1325" s="120"/>
      <c r="ACF1325" s="120"/>
      <c r="ACG1325" s="120"/>
      <c r="ACH1325" s="120"/>
      <c r="ACI1325" s="120"/>
      <c r="ACJ1325" s="120"/>
      <c r="ACK1325" s="120"/>
      <c r="ACL1325" s="120"/>
      <c r="ACM1325" s="120"/>
      <c r="ACN1325" s="120"/>
      <c r="ACO1325" s="120"/>
      <c r="ACP1325" s="120"/>
      <c r="ACQ1325" s="120"/>
      <c r="ACR1325" s="120"/>
      <c r="ACS1325" s="120"/>
      <c r="ACT1325" s="120"/>
      <c r="ACU1325" s="120"/>
      <c r="ACV1325" s="120"/>
      <c r="ACW1325" s="120"/>
      <c r="ACX1325" s="120"/>
      <c r="ACY1325" s="120"/>
      <c r="ACZ1325" s="120"/>
      <c r="ADA1325" s="120"/>
      <c r="ADB1325" s="120"/>
      <c r="ADC1325" s="120"/>
      <c r="ADD1325" s="120"/>
      <c r="ADE1325" s="120"/>
      <c r="ADF1325" s="120"/>
      <c r="ADG1325" s="120"/>
      <c r="ADH1325" s="120"/>
      <c r="ADI1325" s="120"/>
      <c r="ADJ1325" s="120"/>
      <c r="ADK1325" s="120"/>
      <c r="ADL1325" s="120"/>
      <c r="ADM1325" s="120"/>
      <c r="ADN1325" s="120"/>
      <c r="ADO1325" s="120"/>
      <c r="ADP1325" s="120"/>
      <c r="ADQ1325" s="120"/>
      <c r="ADR1325" s="120"/>
      <c r="ADS1325" s="120"/>
      <c r="ADT1325" s="120"/>
      <c r="ADU1325" s="120"/>
      <c r="ADV1325" s="120"/>
      <c r="ADW1325" s="120"/>
      <c r="ADX1325" s="120"/>
      <c r="ADY1325" s="120"/>
      <c r="ADZ1325" s="120"/>
      <c r="AEA1325" s="120"/>
      <c r="AEB1325" s="120"/>
      <c r="AEC1325" s="120"/>
      <c r="AED1325" s="120"/>
      <c r="AEE1325" s="120"/>
      <c r="AEF1325" s="120"/>
      <c r="AEG1325" s="120"/>
      <c r="AEH1325" s="120"/>
      <c r="AEI1325" s="120"/>
      <c r="AEJ1325" s="120"/>
      <c r="AEK1325" s="120"/>
      <c r="AEL1325" s="120"/>
      <c r="AEM1325" s="120"/>
      <c r="AEN1325" s="120"/>
      <c r="AEO1325" s="120"/>
      <c r="AEP1325" s="120"/>
      <c r="AEQ1325" s="120"/>
      <c r="AER1325" s="120"/>
      <c r="AES1325" s="120"/>
      <c r="AET1325" s="120"/>
      <c r="AEU1325" s="120"/>
      <c r="AEV1325" s="120"/>
      <c r="AEW1325" s="120"/>
      <c r="AEX1325" s="120"/>
      <c r="AEY1325" s="120"/>
      <c r="AEZ1325" s="120"/>
      <c r="AFA1325" s="120"/>
      <c r="AFB1325" s="120"/>
      <c r="AFC1325" s="120"/>
      <c r="AFD1325" s="120"/>
      <c r="AFE1325" s="120"/>
      <c r="AFF1325" s="120"/>
      <c r="AFG1325" s="120"/>
      <c r="AFH1325" s="120"/>
      <c r="AFI1325" s="120"/>
      <c r="AFJ1325" s="120"/>
      <c r="AFK1325" s="120"/>
      <c r="AFL1325" s="120"/>
      <c r="AFM1325" s="120"/>
      <c r="AFN1325" s="120"/>
      <c r="AFO1325" s="120"/>
      <c r="AFP1325" s="120"/>
      <c r="AFQ1325" s="120"/>
      <c r="AFR1325" s="120"/>
      <c r="AFS1325" s="120"/>
      <c r="AFT1325" s="120"/>
      <c r="AFU1325" s="120"/>
      <c r="AFV1325" s="120"/>
      <c r="AFW1325" s="120"/>
      <c r="AFX1325" s="120"/>
      <c r="AFY1325" s="120"/>
      <c r="AFZ1325" s="120"/>
      <c r="AGA1325" s="120"/>
      <c r="AGB1325" s="120"/>
      <c r="AGC1325" s="120"/>
      <c r="AGD1325" s="120"/>
      <c r="AGE1325" s="120"/>
      <c r="AGF1325" s="120"/>
      <c r="AGG1325" s="120"/>
      <c r="AGH1325" s="120"/>
      <c r="AGI1325" s="120"/>
      <c r="AGJ1325" s="120"/>
      <c r="AGK1325" s="120"/>
      <c r="AGL1325" s="120"/>
      <c r="AGM1325" s="120"/>
      <c r="AGN1325" s="120"/>
      <c r="AGO1325" s="120"/>
      <c r="AGP1325" s="120"/>
      <c r="AGQ1325" s="120"/>
      <c r="AGR1325" s="120"/>
      <c r="AGS1325" s="120"/>
      <c r="AGT1325" s="120"/>
      <c r="AGU1325" s="120"/>
      <c r="AGV1325" s="120"/>
      <c r="AGW1325" s="120"/>
      <c r="AGX1325" s="120"/>
      <c r="AGY1325" s="120"/>
      <c r="AGZ1325" s="120"/>
      <c r="AHA1325" s="120"/>
      <c r="AHB1325" s="120"/>
      <c r="AHC1325" s="120"/>
      <c r="AHD1325" s="120"/>
      <c r="AHE1325" s="120"/>
      <c r="AHF1325" s="120"/>
      <c r="AHG1325" s="120"/>
      <c r="AHH1325" s="120"/>
      <c r="AHI1325" s="120"/>
      <c r="AHJ1325" s="120"/>
      <c r="AHK1325" s="120"/>
      <c r="AHL1325" s="120"/>
      <c r="AHM1325" s="120"/>
      <c r="AHN1325" s="120"/>
      <c r="AHO1325" s="120"/>
      <c r="AHP1325" s="120"/>
      <c r="AHQ1325" s="120"/>
      <c r="AHR1325" s="120"/>
      <c r="AHS1325" s="120"/>
      <c r="AHT1325" s="120"/>
      <c r="AHU1325" s="120"/>
      <c r="AHV1325" s="120"/>
      <c r="AHW1325" s="120"/>
      <c r="AHX1325" s="120"/>
      <c r="AHY1325" s="120"/>
      <c r="AHZ1325" s="120"/>
      <c r="AIA1325" s="120"/>
      <c r="AIB1325" s="120"/>
      <c r="AIC1325" s="120"/>
      <c r="AID1325" s="120"/>
      <c r="AIE1325" s="120"/>
      <c r="AIF1325" s="120"/>
      <c r="AIG1325" s="120"/>
      <c r="AIH1325" s="120"/>
      <c r="AII1325" s="120"/>
      <c r="AIJ1325" s="120"/>
      <c r="AIK1325" s="120"/>
      <c r="AIL1325" s="120"/>
      <c r="AIM1325" s="120"/>
      <c r="AIN1325" s="120"/>
      <c r="AIO1325" s="120"/>
      <c r="AIP1325" s="120"/>
      <c r="AIQ1325" s="120"/>
      <c r="AIR1325" s="120"/>
      <c r="AIS1325" s="120"/>
      <c r="AIT1325" s="120"/>
      <c r="AIU1325" s="120"/>
      <c r="AIV1325" s="120"/>
      <c r="AIW1325" s="120"/>
      <c r="AIX1325" s="120"/>
      <c r="AIY1325" s="120"/>
      <c r="AIZ1325" s="120"/>
      <c r="AJA1325" s="120"/>
      <c r="AJB1325" s="120"/>
      <c r="AJC1325" s="120"/>
      <c r="AJD1325" s="120"/>
      <c r="AJE1325" s="120"/>
      <c r="AJF1325" s="120"/>
      <c r="AJG1325" s="120"/>
      <c r="AJH1325" s="120"/>
      <c r="AJI1325" s="120"/>
      <c r="AJJ1325" s="120"/>
      <c r="AJK1325" s="120"/>
      <c r="AJL1325" s="120"/>
      <c r="AJM1325" s="120"/>
      <c r="AJN1325" s="120"/>
      <c r="AJO1325" s="120"/>
      <c r="AJP1325" s="120"/>
      <c r="AJQ1325" s="120"/>
      <c r="AJR1325" s="120"/>
      <c r="AJS1325" s="120"/>
      <c r="AJT1325" s="120"/>
      <c r="AJU1325" s="120"/>
      <c r="AJV1325" s="120"/>
      <c r="AJW1325" s="120"/>
      <c r="AJX1325" s="120"/>
      <c r="AJY1325" s="120"/>
      <c r="AJZ1325" s="120"/>
      <c r="AKA1325" s="120"/>
      <c r="AKB1325" s="120"/>
      <c r="AKC1325" s="120"/>
      <c r="AKD1325" s="120"/>
      <c r="AKE1325" s="120"/>
      <c r="AKF1325" s="120"/>
      <c r="AKG1325" s="120"/>
      <c r="AKH1325" s="120"/>
      <c r="AKI1325" s="120"/>
      <c r="AKJ1325" s="120"/>
      <c r="AKK1325" s="120"/>
      <c r="AKL1325" s="120"/>
      <c r="AKM1325" s="120"/>
      <c r="AKN1325" s="120"/>
      <c r="AKO1325" s="120"/>
      <c r="AKP1325" s="120"/>
      <c r="AKQ1325" s="120"/>
      <c r="AKR1325" s="120"/>
      <c r="AKS1325" s="120"/>
      <c r="AKT1325" s="120"/>
      <c r="AKU1325" s="120"/>
      <c r="AKV1325" s="120"/>
      <c r="AKW1325" s="120"/>
      <c r="AKX1325" s="120"/>
      <c r="AKY1325" s="120"/>
      <c r="AKZ1325" s="120"/>
      <c r="ALA1325" s="120"/>
      <c r="ALB1325" s="120"/>
      <c r="ALC1325" s="120"/>
      <c r="ALD1325" s="120"/>
      <c r="ALE1325" s="120"/>
      <c r="ALF1325" s="120"/>
      <c r="ALG1325" s="120"/>
      <c r="ALH1325" s="120"/>
      <c r="ALI1325" s="120"/>
      <c r="ALJ1325" s="120"/>
      <c r="ALK1325" s="120"/>
      <c r="ALL1325" s="120"/>
      <c r="ALM1325" s="120"/>
      <c r="ALN1325" s="120"/>
      <c r="ALO1325" s="120"/>
      <c r="ALP1325" s="120"/>
      <c r="ALQ1325" s="120"/>
      <c r="ALR1325" s="120"/>
      <c r="ALS1325" s="120"/>
      <c r="ALT1325" s="120"/>
      <c r="ALU1325" s="120"/>
      <c r="ALV1325" s="120"/>
      <c r="ALW1325" s="120"/>
      <c r="ALX1325" s="120"/>
      <c r="ALY1325" s="120"/>
      <c r="ALZ1325" s="120"/>
      <c r="AMA1325" s="120"/>
      <c r="AMB1325" s="120"/>
      <c r="AMC1325" s="120"/>
      <c r="AMD1325" s="120"/>
      <c r="AME1325" s="120"/>
      <c r="AMF1325" s="120"/>
      <c r="AMG1325" s="120"/>
      <c r="AMH1325" s="120"/>
      <c r="AMI1325" s="120"/>
      <c r="AMJ1325" s="120"/>
      <c r="AMK1325" s="120"/>
      <c r="AML1325" s="120"/>
      <c r="AMM1325" s="120"/>
      <c r="AMN1325" s="120"/>
      <c r="AMO1325" s="120"/>
      <c r="AMP1325" s="120"/>
      <c r="AMQ1325" s="120"/>
      <c r="AMR1325" s="120"/>
      <c r="AMS1325" s="120"/>
      <c r="AMT1325" s="120"/>
      <c r="AMU1325" s="120"/>
      <c r="AMV1325" s="120"/>
      <c r="AMW1325" s="120"/>
      <c r="AMX1325" s="120"/>
      <c r="AMY1325" s="120"/>
      <c r="AMZ1325" s="120"/>
      <c r="ANA1325" s="120"/>
      <c r="ANB1325" s="120"/>
      <c r="ANC1325" s="120"/>
      <c r="AND1325" s="120"/>
      <c r="ANE1325" s="120"/>
      <c r="ANF1325" s="120"/>
      <c r="ANG1325" s="120"/>
      <c r="ANH1325" s="120"/>
      <c r="ANI1325" s="120"/>
      <c r="ANJ1325" s="120"/>
      <c r="ANK1325" s="120"/>
      <c r="ANL1325" s="120"/>
      <c r="ANM1325" s="120"/>
      <c r="ANN1325" s="120"/>
      <c r="ANO1325" s="120"/>
      <c r="ANP1325" s="120"/>
      <c r="ANQ1325" s="120"/>
      <c r="ANR1325" s="120"/>
      <c r="ANS1325" s="120"/>
      <c r="ANT1325" s="120"/>
      <c r="ANU1325" s="120"/>
      <c r="ANV1325" s="120"/>
      <c r="ANW1325" s="120"/>
      <c r="ANX1325" s="120"/>
      <c r="ANY1325" s="120"/>
      <c r="ANZ1325" s="120"/>
      <c r="AOA1325" s="120"/>
      <c r="AOB1325" s="120"/>
      <c r="AOC1325" s="120"/>
      <c r="AOD1325" s="120"/>
      <c r="AOE1325" s="120"/>
      <c r="AOF1325" s="120"/>
      <c r="AOG1325" s="120"/>
      <c r="AOH1325" s="120"/>
      <c r="AOI1325" s="120"/>
      <c r="AOJ1325" s="120"/>
      <c r="AOK1325" s="120"/>
      <c r="AOL1325" s="120"/>
      <c r="AOM1325" s="120"/>
      <c r="AON1325" s="120"/>
      <c r="AOO1325" s="120"/>
      <c r="AOP1325" s="120"/>
      <c r="AOQ1325" s="120"/>
      <c r="AOR1325" s="120"/>
      <c r="AOS1325" s="120"/>
      <c r="AOT1325" s="120"/>
      <c r="AOU1325" s="120"/>
      <c r="AOV1325" s="120"/>
      <c r="AOW1325" s="120"/>
      <c r="AOX1325" s="120"/>
      <c r="AOY1325" s="120"/>
      <c r="AOZ1325" s="120"/>
      <c r="APA1325" s="120"/>
      <c r="APB1325" s="120"/>
      <c r="APC1325" s="120"/>
      <c r="APD1325" s="120"/>
      <c r="APE1325" s="120"/>
      <c r="APF1325" s="120"/>
      <c r="APG1325" s="120"/>
      <c r="APH1325" s="120"/>
      <c r="API1325" s="120"/>
      <c r="APJ1325" s="120"/>
      <c r="APK1325" s="120"/>
      <c r="APL1325" s="120"/>
      <c r="APM1325" s="120"/>
      <c r="APN1325" s="120"/>
      <c r="APO1325" s="120"/>
      <c r="APP1325" s="120"/>
      <c r="APQ1325" s="120"/>
      <c r="APR1325" s="120"/>
      <c r="APS1325" s="120"/>
      <c r="APT1325" s="120"/>
      <c r="APU1325" s="120"/>
      <c r="APV1325" s="120"/>
      <c r="APW1325" s="120"/>
      <c r="APX1325" s="120"/>
      <c r="APY1325" s="120"/>
      <c r="APZ1325" s="120"/>
      <c r="AQA1325" s="120"/>
      <c r="AQB1325" s="120"/>
      <c r="AQC1325" s="120"/>
      <c r="AQD1325" s="120"/>
      <c r="AQE1325" s="120"/>
      <c r="AQF1325" s="120"/>
      <c r="AQG1325" s="120"/>
      <c r="AQH1325" s="120"/>
      <c r="AQI1325" s="120"/>
      <c r="AQJ1325" s="120"/>
      <c r="AQK1325" s="120"/>
      <c r="AQL1325" s="120"/>
      <c r="AQM1325" s="120"/>
      <c r="AQN1325" s="120"/>
      <c r="AQO1325" s="120"/>
      <c r="AQP1325" s="120"/>
      <c r="AQQ1325" s="120"/>
      <c r="AQR1325" s="120"/>
      <c r="AQS1325" s="120"/>
      <c r="AQT1325" s="120"/>
      <c r="AQU1325" s="120"/>
      <c r="AQV1325" s="120"/>
      <c r="AQW1325" s="120"/>
      <c r="AQX1325" s="120"/>
      <c r="AQY1325" s="120"/>
      <c r="AQZ1325" s="120"/>
      <c r="ARA1325" s="120"/>
      <c r="ARB1325" s="120"/>
      <c r="ARC1325" s="120"/>
      <c r="ARD1325" s="120"/>
      <c r="ARE1325" s="120"/>
      <c r="ARF1325" s="120"/>
      <c r="ARG1325" s="120"/>
      <c r="ARH1325" s="120"/>
      <c r="ARI1325" s="120"/>
      <c r="ARJ1325" s="120"/>
      <c r="ARK1325" s="120"/>
      <c r="ARL1325" s="120"/>
      <c r="ARM1325" s="120"/>
      <c r="ARN1325" s="120"/>
      <c r="ARO1325" s="120"/>
      <c r="ARP1325" s="120"/>
      <c r="ARQ1325" s="120"/>
      <c r="ARR1325" s="120"/>
      <c r="ARS1325" s="120"/>
      <c r="ART1325" s="120"/>
      <c r="ARU1325" s="120"/>
      <c r="ARV1325" s="120"/>
      <c r="ARW1325" s="120"/>
      <c r="ARX1325" s="120"/>
      <c r="ARY1325" s="120"/>
      <c r="ARZ1325" s="120"/>
      <c r="ASA1325" s="120"/>
      <c r="ASB1325" s="120"/>
      <c r="ASC1325" s="120"/>
      <c r="ASD1325" s="120"/>
      <c r="ASE1325" s="120"/>
      <c r="ASF1325" s="120"/>
      <c r="ASG1325" s="120"/>
      <c r="ASH1325" s="120"/>
      <c r="ASI1325" s="120"/>
      <c r="ASJ1325" s="120"/>
      <c r="ASK1325" s="120"/>
      <c r="ASL1325" s="120"/>
      <c r="ASM1325" s="120"/>
      <c r="ASN1325" s="120"/>
      <c r="ASO1325" s="120"/>
      <c r="ASP1325" s="120"/>
      <c r="ASQ1325" s="120"/>
      <c r="ASR1325" s="120"/>
      <c r="ASS1325" s="120"/>
      <c r="AST1325" s="120"/>
      <c r="ASU1325" s="120"/>
      <c r="ASV1325" s="120"/>
      <c r="ASW1325" s="120"/>
      <c r="ASX1325" s="120"/>
      <c r="ASY1325" s="120"/>
      <c r="ASZ1325" s="120"/>
      <c r="ATA1325" s="120"/>
      <c r="ATB1325" s="120"/>
      <c r="ATC1325" s="120"/>
      <c r="ATD1325" s="120"/>
      <c r="ATE1325" s="120"/>
      <c r="ATF1325" s="120"/>
      <c r="ATG1325" s="120"/>
      <c r="ATH1325" s="120"/>
      <c r="ATI1325" s="120"/>
      <c r="ATJ1325" s="120"/>
      <c r="ATK1325" s="120"/>
      <c r="ATL1325" s="120"/>
      <c r="ATM1325" s="120"/>
      <c r="ATN1325" s="120"/>
      <c r="ATO1325" s="120"/>
    </row>
    <row r="1326" spans="1:1211" s="20" customFormat="1" ht="14.1" customHeight="1">
      <c r="A1326" s="629"/>
      <c r="B1326" s="630"/>
      <c r="C1326" s="631"/>
      <c r="D1326" s="631"/>
      <c r="E1326" s="898"/>
      <c r="F1326" s="899"/>
      <c r="G1326" s="899"/>
      <c r="H1326" s="899"/>
      <c r="I1326" s="899"/>
      <c r="J1326" s="899"/>
      <c r="K1326" s="112"/>
      <c r="L1326" s="363"/>
      <c r="M1326" s="112"/>
      <c r="N1326" s="362"/>
      <c r="O1326" s="573"/>
      <c r="P1326" s="120"/>
      <c r="Q1326" s="120"/>
      <c r="R1326" s="120"/>
      <c r="S1326" s="120"/>
      <c r="T1326" s="120"/>
      <c r="U1326" s="120"/>
      <c r="V1326" s="120"/>
      <c r="W1326" s="120"/>
      <c r="X1326" s="120"/>
      <c r="Y1326" s="120"/>
      <c r="Z1326" s="120"/>
      <c r="AA1326" s="120"/>
      <c r="AB1326" s="120"/>
      <c r="AC1326" s="120"/>
      <c r="AD1326" s="120"/>
      <c r="AE1326" s="120"/>
      <c r="AF1326" s="120"/>
      <c r="AG1326" s="120"/>
      <c r="AH1326" s="120"/>
      <c r="AI1326" s="120"/>
      <c r="AJ1326" s="120"/>
      <c r="AK1326" s="120"/>
      <c r="AL1326" s="120"/>
      <c r="AM1326" s="120"/>
      <c r="AN1326" s="120"/>
      <c r="AO1326" s="120"/>
      <c r="AP1326" s="120"/>
      <c r="AQ1326" s="120"/>
      <c r="AR1326" s="120"/>
      <c r="AS1326" s="120"/>
      <c r="AT1326" s="120"/>
      <c r="AU1326" s="120"/>
      <c r="AV1326" s="120"/>
      <c r="AW1326" s="120"/>
      <c r="AX1326" s="120"/>
      <c r="AY1326" s="120"/>
      <c r="AZ1326" s="120"/>
      <c r="BA1326" s="120"/>
      <c r="BB1326" s="120"/>
      <c r="BC1326" s="120"/>
      <c r="BD1326" s="120"/>
      <c r="BE1326" s="120"/>
      <c r="BF1326" s="120"/>
      <c r="BG1326" s="120"/>
      <c r="BH1326" s="120"/>
      <c r="BI1326" s="120"/>
      <c r="BJ1326" s="120"/>
      <c r="BK1326" s="120"/>
      <c r="BL1326" s="120"/>
      <c r="BM1326" s="120"/>
      <c r="BN1326" s="120"/>
      <c r="BO1326" s="120"/>
      <c r="BP1326" s="120"/>
      <c r="BQ1326" s="120"/>
      <c r="BR1326" s="120"/>
      <c r="BS1326" s="120"/>
      <c r="BT1326" s="120"/>
      <c r="BU1326" s="120"/>
      <c r="BV1326" s="120"/>
      <c r="BW1326" s="120"/>
      <c r="BX1326" s="120"/>
      <c r="BY1326" s="120"/>
      <c r="BZ1326" s="120"/>
      <c r="CA1326" s="120"/>
      <c r="CB1326" s="120"/>
      <c r="CC1326" s="120"/>
      <c r="CD1326" s="120"/>
      <c r="CE1326" s="120"/>
      <c r="CF1326" s="120"/>
      <c r="CG1326" s="120"/>
      <c r="CH1326" s="120"/>
      <c r="CI1326" s="120"/>
      <c r="CJ1326" s="120"/>
      <c r="CK1326" s="120"/>
      <c r="CL1326" s="120"/>
      <c r="CM1326" s="120"/>
      <c r="CN1326" s="120"/>
      <c r="CO1326" s="120"/>
      <c r="CP1326" s="120"/>
      <c r="CQ1326" s="120"/>
      <c r="CR1326" s="120"/>
      <c r="CS1326" s="120"/>
      <c r="CT1326" s="120"/>
      <c r="CU1326" s="120"/>
      <c r="CV1326" s="120"/>
      <c r="CW1326" s="120"/>
      <c r="CX1326" s="120"/>
      <c r="CY1326" s="120"/>
      <c r="CZ1326" s="120"/>
      <c r="DA1326" s="120"/>
      <c r="DB1326" s="120"/>
      <c r="DC1326" s="120"/>
      <c r="DD1326" s="120"/>
      <c r="DE1326" s="120"/>
      <c r="DF1326" s="120"/>
      <c r="DG1326" s="120"/>
      <c r="DH1326" s="120"/>
      <c r="DI1326" s="120"/>
      <c r="DJ1326" s="120"/>
      <c r="DK1326" s="120"/>
      <c r="DL1326" s="120"/>
      <c r="DM1326" s="120"/>
      <c r="DN1326" s="120"/>
      <c r="DO1326" s="120"/>
      <c r="DP1326" s="120"/>
      <c r="DQ1326" s="120"/>
      <c r="DR1326" s="120"/>
      <c r="DS1326" s="120"/>
      <c r="DT1326" s="120"/>
      <c r="DU1326" s="120"/>
      <c r="DV1326" s="120"/>
      <c r="DW1326" s="120"/>
      <c r="DX1326" s="120"/>
      <c r="DY1326" s="120"/>
      <c r="DZ1326" s="120"/>
      <c r="EA1326" s="120"/>
      <c r="EB1326" s="120"/>
      <c r="EC1326" s="120"/>
      <c r="ED1326" s="120"/>
      <c r="EE1326" s="120"/>
      <c r="EF1326" s="120"/>
      <c r="EG1326" s="120"/>
      <c r="EH1326" s="120"/>
      <c r="EI1326" s="120"/>
      <c r="EJ1326" s="120"/>
      <c r="EK1326" s="120"/>
      <c r="EL1326" s="120"/>
      <c r="EM1326" s="120"/>
      <c r="EN1326" s="120"/>
      <c r="EO1326" s="120"/>
      <c r="EP1326" s="120"/>
      <c r="EQ1326" s="120"/>
      <c r="ER1326" s="120"/>
      <c r="ES1326" s="120"/>
      <c r="ET1326" s="120"/>
      <c r="EU1326" s="120"/>
      <c r="EV1326" s="120"/>
      <c r="EW1326" s="120"/>
      <c r="EX1326" s="120"/>
      <c r="EY1326" s="120"/>
      <c r="EZ1326" s="120"/>
      <c r="FA1326" s="120"/>
      <c r="FB1326" s="120"/>
      <c r="FC1326" s="120"/>
      <c r="FD1326" s="120"/>
      <c r="FE1326" s="120"/>
      <c r="FF1326" s="120"/>
      <c r="FG1326" s="120"/>
      <c r="FH1326" s="120"/>
      <c r="FI1326" s="120"/>
      <c r="FJ1326" s="120"/>
      <c r="FK1326" s="120"/>
      <c r="FL1326" s="120"/>
      <c r="FM1326" s="120"/>
      <c r="FN1326" s="120"/>
      <c r="FO1326" s="120"/>
      <c r="FP1326" s="120"/>
      <c r="FQ1326" s="120"/>
      <c r="FR1326" s="120"/>
      <c r="FS1326" s="120"/>
      <c r="FT1326" s="120"/>
      <c r="FU1326" s="120"/>
      <c r="FV1326" s="120"/>
      <c r="FW1326" s="120"/>
      <c r="FX1326" s="120"/>
      <c r="FY1326" s="120"/>
      <c r="FZ1326" s="120"/>
      <c r="GA1326" s="120"/>
      <c r="GB1326" s="120"/>
      <c r="GC1326" s="120"/>
      <c r="GD1326" s="120"/>
      <c r="GE1326" s="120"/>
      <c r="GF1326" s="120"/>
      <c r="GG1326" s="120"/>
      <c r="GH1326" s="120"/>
      <c r="GI1326" s="120"/>
      <c r="GJ1326" s="120"/>
      <c r="GK1326" s="120"/>
      <c r="GL1326" s="120"/>
      <c r="GM1326" s="120"/>
      <c r="GN1326" s="120"/>
      <c r="GO1326" s="120"/>
      <c r="GP1326" s="120"/>
      <c r="GQ1326" s="120"/>
      <c r="GR1326" s="120"/>
      <c r="GS1326" s="120"/>
      <c r="GT1326" s="120"/>
      <c r="GU1326" s="120"/>
      <c r="GV1326" s="120"/>
      <c r="GW1326" s="120"/>
      <c r="GX1326" s="120"/>
      <c r="GY1326" s="120"/>
      <c r="GZ1326" s="120"/>
      <c r="HA1326" s="120"/>
      <c r="HB1326" s="120"/>
      <c r="HC1326" s="120"/>
      <c r="HD1326" s="120"/>
      <c r="HE1326" s="120"/>
      <c r="HF1326" s="120"/>
      <c r="HG1326" s="120"/>
      <c r="HH1326" s="120"/>
      <c r="HI1326" s="120"/>
      <c r="HJ1326" s="120"/>
      <c r="HK1326" s="120"/>
      <c r="HL1326" s="120"/>
      <c r="HM1326" s="120"/>
      <c r="HN1326" s="120"/>
      <c r="HO1326" s="120"/>
      <c r="HP1326" s="120"/>
      <c r="HQ1326" s="120"/>
      <c r="HR1326" s="120"/>
      <c r="HS1326" s="120"/>
      <c r="HT1326" s="120"/>
      <c r="HU1326" s="120"/>
      <c r="HV1326" s="120"/>
      <c r="HW1326" s="120"/>
      <c r="HX1326" s="120"/>
      <c r="HY1326" s="120"/>
      <c r="HZ1326" s="120"/>
      <c r="IA1326" s="120"/>
      <c r="IB1326" s="120"/>
      <c r="IC1326" s="120"/>
      <c r="ID1326" s="120"/>
      <c r="IE1326" s="120"/>
      <c r="IF1326" s="120"/>
      <c r="IG1326" s="120"/>
      <c r="IH1326" s="120"/>
      <c r="II1326" s="120"/>
      <c r="IJ1326" s="120"/>
      <c r="IK1326" s="120"/>
      <c r="IL1326" s="120"/>
      <c r="IM1326" s="120"/>
      <c r="IN1326" s="120"/>
      <c r="IO1326" s="120"/>
      <c r="IP1326" s="120"/>
      <c r="IQ1326" s="120"/>
      <c r="IR1326" s="120"/>
      <c r="IS1326" s="120"/>
      <c r="IT1326" s="120"/>
      <c r="IU1326" s="120"/>
      <c r="IV1326" s="120"/>
      <c r="IW1326" s="120"/>
      <c r="IX1326" s="120"/>
      <c r="IY1326" s="120"/>
      <c r="IZ1326" s="120"/>
      <c r="JA1326" s="120"/>
      <c r="JB1326" s="120"/>
      <c r="JC1326" s="120"/>
      <c r="JD1326" s="120"/>
      <c r="JE1326" s="120"/>
      <c r="JF1326" s="120"/>
      <c r="JG1326" s="120"/>
      <c r="JH1326" s="120"/>
      <c r="JI1326" s="120"/>
      <c r="JJ1326" s="120"/>
      <c r="JK1326" s="120"/>
      <c r="JL1326" s="120"/>
      <c r="JM1326" s="120"/>
      <c r="JN1326" s="120"/>
      <c r="JO1326" s="120"/>
      <c r="JP1326" s="120"/>
      <c r="JQ1326" s="120"/>
      <c r="JR1326" s="120"/>
      <c r="JS1326" s="120"/>
      <c r="JT1326" s="120"/>
      <c r="JU1326" s="120"/>
      <c r="JV1326" s="120"/>
      <c r="JW1326" s="120"/>
      <c r="JX1326" s="120"/>
      <c r="JY1326" s="120"/>
      <c r="JZ1326" s="120"/>
      <c r="KA1326" s="120"/>
      <c r="KB1326" s="120"/>
      <c r="KC1326" s="120"/>
      <c r="KD1326" s="120"/>
      <c r="KE1326" s="120"/>
      <c r="KF1326" s="120"/>
      <c r="KG1326" s="120"/>
      <c r="KH1326" s="120"/>
      <c r="KI1326" s="120"/>
      <c r="KJ1326" s="120"/>
      <c r="KK1326" s="120"/>
      <c r="KL1326" s="120"/>
      <c r="KM1326" s="120"/>
      <c r="KN1326" s="120"/>
      <c r="KO1326" s="120"/>
      <c r="KP1326" s="120"/>
      <c r="KQ1326" s="120"/>
      <c r="KR1326" s="120"/>
      <c r="KS1326" s="120"/>
      <c r="KT1326" s="120"/>
      <c r="KU1326" s="120"/>
      <c r="KV1326" s="120"/>
      <c r="KW1326" s="120"/>
      <c r="KX1326" s="120"/>
      <c r="KY1326" s="120"/>
      <c r="KZ1326" s="120"/>
      <c r="LA1326" s="120"/>
      <c r="LB1326" s="120"/>
      <c r="LC1326" s="120"/>
      <c r="LD1326" s="120"/>
      <c r="LE1326" s="120"/>
      <c r="LF1326" s="120"/>
      <c r="LG1326" s="120"/>
      <c r="LH1326" s="120"/>
      <c r="LI1326" s="120"/>
      <c r="LJ1326" s="120"/>
      <c r="LK1326" s="120"/>
      <c r="LL1326" s="120"/>
      <c r="LM1326" s="120"/>
      <c r="LN1326" s="120"/>
      <c r="LO1326" s="120"/>
      <c r="LP1326" s="120"/>
      <c r="LQ1326" s="120"/>
      <c r="LR1326" s="120"/>
      <c r="LS1326" s="120"/>
      <c r="LT1326" s="120"/>
      <c r="LU1326" s="120"/>
      <c r="LV1326" s="120"/>
      <c r="LW1326" s="120"/>
      <c r="LX1326" s="120"/>
      <c r="LY1326" s="120"/>
      <c r="LZ1326" s="120"/>
      <c r="MA1326" s="120"/>
      <c r="MB1326" s="120"/>
      <c r="MC1326" s="120"/>
      <c r="MD1326" s="120"/>
      <c r="ME1326" s="120"/>
      <c r="MF1326" s="120"/>
      <c r="MG1326" s="120"/>
      <c r="MH1326" s="120"/>
      <c r="MI1326" s="120"/>
      <c r="MJ1326" s="120"/>
      <c r="MK1326" s="120"/>
      <c r="ML1326" s="120"/>
      <c r="MM1326" s="120"/>
      <c r="MN1326" s="120"/>
      <c r="MO1326" s="120"/>
      <c r="MP1326" s="120"/>
      <c r="MQ1326" s="120"/>
      <c r="MR1326" s="120"/>
      <c r="MS1326" s="120"/>
      <c r="MT1326" s="120"/>
      <c r="MU1326" s="120"/>
      <c r="MV1326" s="120"/>
      <c r="MW1326" s="120"/>
      <c r="MX1326" s="120"/>
      <c r="MY1326" s="120"/>
      <c r="MZ1326" s="120"/>
      <c r="NA1326" s="120"/>
      <c r="NB1326" s="120"/>
      <c r="NC1326" s="120"/>
      <c r="ND1326" s="120"/>
      <c r="NE1326" s="120"/>
      <c r="NF1326" s="120"/>
      <c r="NG1326" s="120"/>
      <c r="NH1326" s="120"/>
      <c r="NI1326" s="120"/>
      <c r="NJ1326" s="120"/>
      <c r="NK1326" s="120"/>
      <c r="NL1326" s="120"/>
      <c r="NM1326" s="120"/>
      <c r="NN1326" s="120"/>
      <c r="NO1326" s="120"/>
      <c r="NP1326" s="120"/>
      <c r="NQ1326" s="120"/>
      <c r="NR1326" s="120"/>
      <c r="NS1326" s="120"/>
      <c r="NT1326" s="120"/>
      <c r="NU1326" s="120"/>
      <c r="NV1326" s="120"/>
      <c r="NW1326" s="120"/>
      <c r="NX1326" s="120"/>
      <c r="NY1326" s="120"/>
      <c r="NZ1326" s="120"/>
      <c r="OA1326" s="120"/>
      <c r="OB1326" s="120"/>
      <c r="OC1326" s="120"/>
      <c r="OD1326" s="120"/>
      <c r="OE1326" s="120"/>
      <c r="OF1326" s="120"/>
      <c r="OG1326" s="120"/>
      <c r="OH1326" s="120"/>
      <c r="OI1326" s="120"/>
      <c r="OJ1326" s="120"/>
      <c r="OK1326" s="120"/>
      <c r="OL1326" s="120"/>
      <c r="OM1326" s="120"/>
      <c r="ON1326" s="120"/>
      <c r="OO1326" s="120"/>
      <c r="OP1326" s="120"/>
      <c r="OQ1326" s="120"/>
      <c r="OR1326" s="120"/>
      <c r="OS1326" s="120"/>
      <c r="OT1326" s="120"/>
      <c r="OU1326" s="120"/>
      <c r="OV1326" s="120"/>
      <c r="OW1326" s="120"/>
      <c r="OX1326" s="120"/>
      <c r="OY1326" s="120"/>
      <c r="OZ1326" s="120"/>
      <c r="PA1326" s="120"/>
      <c r="PB1326" s="120"/>
      <c r="PC1326" s="120"/>
      <c r="PD1326" s="120"/>
      <c r="PE1326" s="120"/>
      <c r="PF1326" s="120"/>
      <c r="PG1326" s="120"/>
      <c r="PH1326" s="120"/>
      <c r="PI1326" s="120"/>
      <c r="PJ1326" s="120"/>
      <c r="PK1326" s="120"/>
      <c r="PL1326" s="120"/>
      <c r="PM1326" s="120"/>
      <c r="PN1326" s="120"/>
      <c r="PO1326" s="120"/>
      <c r="PP1326" s="120"/>
      <c r="PQ1326" s="120"/>
      <c r="PR1326" s="120"/>
      <c r="PS1326" s="120"/>
      <c r="PT1326" s="120"/>
      <c r="PU1326" s="120"/>
      <c r="PV1326" s="120"/>
      <c r="PW1326" s="120"/>
      <c r="PX1326" s="120"/>
      <c r="PY1326" s="120"/>
      <c r="PZ1326" s="120"/>
      <c r="QA1326" s="120"/>
      <c r="QB1326" s="120"/>
      <c r="QC1326" s="120"/>
      <c r="QD1326" s="120"/>
      <c r="QE1326" s="120"/>
      <c r="QF1326" s="120"/>
      <c r="QG1326" s="120"/>
      <c r="QH1326" s="120"/>
      <c r="QI1326" s="120"/>
      <c r="QJ1326" s="120"/>
      <c r="QK1326" s="120"/>
      <c r="QL1326" s="120"/>
      <c r="QM1326" s="120"/>
      <c r="QN1326" s="120"/>
      <c r="QO1326" s="120"/>
      <c r="QP1326" s="120"/>
      <c r="QQ1326" s="120"/>
      <c r="QR1326" s="120"/>
      <c r="QS1326" s="120"/>
      <c r="QT1326" s="120"/>
      <c r="QU1326" s="120"/>
      <c r="QV1326" s="120"/>
      <c r="QW1326" s="120"/>
      <c r="QX1326" s="120"/>
      <c r="QY1326" s="120"/>
      <c r="QZ1326" s="120"/>
      <c r="RA1326" s="120"/>
      <c r="RB1326" s="120"/>
      <c r="RC1326" s="120"/>
      <c r="RD1326" s="120"/>
      <c r="RE1326" s="120"/>
      <c r="RF1326" s="120"/>
      <c r="RG1326" s="120"/>
      <c r="RH1326" s="120"/>
      <c r="RI1326" s="120"/>
      <c r="RJ1326" s="120"/>
      <c r="RK1326" s="120"/>
      <c r="RL1326" s="120"/>
      <c r="RM1326" s="120"/>
      <c r="RN1326" s="120"/>
      <c r="RO1326" s="120"/>
      <c r="RP1326" s="120"/>
      <c r="RQ1326" s="120"/>
      <c r="RR1326" s="120"/>
      <c r="RS1326" s="120"/>
      <c r="RT1326" s="120"/>
      <c r="RU1326" s="120"/>
      <c r="RV1326" s="120"/>
      <c r="RW1326" s="120"/>
      <c r="RX1326" s="120"/>
      <c r="RY1326" s="120"/>
      <c r="RZ1326" s="120"/>
      <c r="SA1326" s="120"/>
      <c r="SB1326" s="120"/>
      <c r="SC1326" s="120"/>
      <c r="SD1326" s="120"/>
      <c r="SE1326" s="120"/>
      <c r="SF1326" s="120"/>
      <c r="SG1326" s="120"/>
      <c r="SH1326" s="120"/>
      <c r="SI1326" s="120"/>
      <c r="SJ1326" s="120"/>
      <c r="SK1326" s="120"/>
      <c r="SL1326" s="120"/>
      <c r="SM1326" s="120"/>
      <c r="SN1326" s="120"/>
      <c r="SO1326" s="120"/>
      <c r="SP1326" s="120"/>
      <c r="SQ1326" s="120"/>
      <c r="SR1326" s="120"/>
      <c r="SS1326" s="120"/>
      <c r="ST1326" s="120"/>
      <c r="SU1326" s="120"/>
      <c r="SV1326" s="120"/>
      <c r="SW1326" s="120"/>
      <c r="SX1326" s="120"/>
      <c r="SY1326" s="120"/>
      <c r="SZ1326" s="120"/>
      <c r="TA1326" s="120"/>
      <c r="TB1326" s="120"/>
      <c r="TC1326" s="120"/>
      <c r="TD1326" s="120"/>
      <c r="TE1326" s="120"/>
      <c r="TF1326" s="120"/>
      <c r="TG1326" s="120"/>
      <c r="TH1326" s="120"/>
      <c r="TI1326" s="120"/>
      <c r="TJ1326" s="120"/>
      <c r="TK1326" s="120"/>
      <c r="TL1326" s="120"/>
      <c r="TM1326" s="120"/>
      <c r="TN1326" s="120"/>
      <c r="TO1326" s="120"/>
      <c r="TP1326" s="120"/>
      <c r="TQ1326" s="120"/>
      <c r="TR1326" s="120"/>
      <c r="TS1326" s="120"/>
      <c r="TT1326" s="120"/>
      <c r="TU1326" s="120"/>
      <c r="TV1326" s="120"/>
      <c r="TW1326" s="120"/>
      <c r="TX1326" s="120"/>
      <c r="TY1326" s="120"/>
      <c r="TZ1326" s="120"/>
      <c r="UA1326" s="120"/>
      <c r="UB1326" s="120"/>
      <c r="UC1326" s="120"/>
      <c r="UD1326" s="120"/>
      <c r="UE1326" s="120"/>
      <c r="UF1326" s="120"/>
      <c r="UG1326" s="120"/>
      <c r="UH1326" s="120"/>
      <c r="UI1326" s="120"/>
      <c r="UJ1326" s="120"/>
      <c r="UK1326" s="120"/>
      <c r="UL1326" s="120"/>
      <c r="UM1326" s="120"/>
      <c r="UN1326" s="120"/>
      <c r="UO1326" s="120"/>
      <c r="UP1326" s="120"/>
      <c r="UQ1326" s="120"/>
      <c r="UR1326" s="120"/>
      <c r="US1326" s="120"/>
      <c r="UT1326" s="120"/>
      <c r="UU1326" s="120"/>
      <c r="UV1326" s="120"/>
      <c r="UW1326" s="120"/>
      <c r="UX1326" s="120"/>
      <c r="UY1326" s="120"/>
      <c r="UZ1326" s="120"/>
      <c r="VA1326" s="120"/>
      <c r="VB1326" s="120"/>
      <c r="VC1326" s="120"/>
      <c r="VD1326" s="120"/>
      <c r="VE1326" s="120"/>
      <c r="VF1326" s="120"/>
      <c r="VG1326" s="120"/>
      <c r="VH1326" s="120"/>
      <c r="VI1326" s="120"/>
      <c r="VJ1326" s="120"/>
      <c r="VK1326" s="120"/>
      <c r="VL1326" s="120"/>
      <c r="VM1326" s="120"/>
      <c r="VN1326" s="120"/>
      <c r="VO1326" s="120"/>
      <c r="VP1326" s="120"/>
      <c r="VQ1326" s="120"/>
      <c r="VR1326" s="120"/>
      <c r="VS1326" s="120"/>
      <c r="VT1326" s="120"/>
      <c r="VU1326" s="120"/>
      <c r="VV1326" s="120"/>
      <c r="VW1326" s="120"/>
      <c r="VX1326" s="120"/>
      <c r="VY1326" s="120"/>
      <c r="VZ1326" s="120"/>
      <c r="WA1326" s="120"/>
      <c r="WB1326" s="120"/>
      <c r="WC1326" s="120"/>
      <c r="WD1326" s="120"/>
      <c r="WE1326" s="120"/>
      <c r="WF1326" s="120"/>
      <c r="WG1326" s="120"/>
      <c r="WH1326" s="120"/>
      <c r="WI1326" s="120"/>
      <c r="WJ1326" s="120"/>
      <c r="WK1326" s="120"/>
      <c r="WL1326" s="120"/>
      <c r="WM1326" s="120"/>
      <c r="WN1326" s="120"/>
      <c r="WO1326" s="120"/>
      <c r="WP1326" s="120"/>
      <c r="WQ1326" s="120"/>
      <c r="WR1326" s="120"/>
      <c r="WS1326" s="120"/>
      <c r="WT1326" s="120"/>
      <c r="WU1326" s="120"/>
      <c r="WV1326" s="120"/>
      <c r="WW1326" s="120"/>
      <c r="WX1326" s="120"/>
      <c r="WY1326" s="120"/>
      <c r="WZ1326" s="120"/>
      <c r="XA1326" s="120"/>
      <c r="XB1326" s="120"/>
      <c r="XC1326" s="120"/>
      <c r="XD1326" s="120"/>
      <c r="XE1326" s="120"/>
      <c r="XF1326" s="120"/>
      <c r="XG1326" s="120"/>
      <c r="XH1326" s="120"/>
      <c r="XI1326" s="120"/>
      <c r="XJ1326" s="120"/>
      <c r="XK1326" s="120"/>
      <c r="XL1326" s="120"/>
      <c r="XM1326" s="120"/>
      <c r="XN1326" s="120"/>
      <c r="XO1326" s="120"/>
      <c r="XP1326" s="120"/>
      <c r="XQ1326" s="120"/>
      <c r="XR1326" s="120"/>
      <c r="XS1326" s="120"/>
      <c r="XT1326" s="120"/>
      <c r="XU1326" s="120"/>
      <c r="XV1326" s="120"/>
      <c r="XW1326" s="120"/>
      <c r="XX1326" s="120"/>
      <c r="XY1326" s="120"/>
      <c r="XZ1326" s="120"/>
      <c r="YA1326" s="120"/>
      <c r="YB1326" s="120"/>
      <c r="YC1326" s="120"/>
      <c r="YD1326" s="120"/>
      <c r="YE1326" s="120"/>
      <c r="YF1326" s="120"/>
      <c r="YG1326" s="120"/>
      <c r="YH1326" s="120"/>
      <c r="YI1326" s="120"/>
      <c r="YJ1326" s="120"/>
      <c r="YK1326" s="120"/>
      <c r="YL1326" s="120"/>
      <c r="YM1326" s="120"/>
      <c r="YN1326" s="120"/>
      <c r="YO1326" s="120"/>
      <c r="YP1326" s="120"/>
      <c r="YQ1326" s="120"/>
      <c r="YR1326" s="120"/>
      <c r="YS1326" s="120"/>
      <c r="YT1326" s="120"/>
      <c r="YU1326" s="120"/>
      <c r="YV1326" s="120"/>
      <c r="YW1326" s="120"/>
      <c r="YX1326" s="120"/>
      <c r="YY1326" s="120"/>
      <c r="YZ1326" s="120"/>
      <c r="ZA1326" s="120"/>
      <c r="ZB1326" s="120"/>
      <c r="ZC1326" s="120"/>
      <c r="ZD1326" s="120"/>
      <c r="ZE1326" s="120"/>
      <c r="ZF1326" s="120"/>
      <c r="ZG1326" s="120"/>
      <c r="ZH1326" s="120"/>
      <c r="ZI1326" s="120"/>
      <c r="ZJ1326" s="120"/>
      <c r="ZK1326" s="120"/>
      <c r="ZL1326" s="120"/>
      <c r="ZM1326" s="120"/>
      <c r="ZN1326" s="120"/>
      <c r="ZO1326" s="120"/>
      <c r="ZP1326" s="120"/>
      <c r="ZQ1326" s="120"/>
      <c r="ZR1326" s="120"/>
      <c r="ZS1326" s="120"/>
      <c r="ZT1326" s="120"/>
      <c r="ZU1326" s="120"/>
      <c r="ZV1326" s="120"/>
      <c r="ZW1326" s="120"/>
      <c r="ZX1326" s="120"/>
      <c r="ZY1326" s="120"/>
      <c r="ZZ1326" s="120"/>
      <c r="AAA1326" s="120"/>
      <c r="AAB1326" s="120"/>
      <c r="AAC1326" s="120"/>
      <c r="AAD1326" s="120"/>
      <c r="AAE1326" s="120"/>
      <c r="AAF1326" s="120"/>
      <c r="AAG1326" s="120"/>
      <c r="AAH1326" s="120"/>
      <c r="AAI1326" s="120"/>
      <c r="AAJ1326" s="120"/>
      <c r="AAK1326" s="120"/>
      <c r="AAL1326" s="120"/>
      <c r="AAM1326" s="120"/>
      <c r="AAN1326" s="120"/>
      <c r="AAO1326" s="120"/>
      <c r="AAP1326" s="120"/>
      <c r="AAQ1326" s="120"/>
      <c r="AAR1326" s="120"/>
      <c r="AAS1326" s="120"/>
      <c r="AAT1326" s="120"/>
      <c r="AAU1326" s="120"/>
      <c r="AAV1326" s="120"/>
      <c r="AAW1326" s="120"/>
      <c r="AAX1326" s="120"/>
      <c r="AAY1326" s="120"/>
      <c r="AAZ1326" s="120"/>
      <c r="ABA1326" s="120"/>
      <c r="ABB1326" s="120"/>
      <c r="ABC1326" s="120"/>
      <c r="ABD1326" s="120"/>
      <c r="ABE1326" s="120"/>
      <c r="ABF1326" s="120"/>
      <c r="ABG1326" s="120"/>
      <c r="ABH1326" s="120"/>
      <c r="ABI1326" s="120"/>
      <c r="ABJ1326" s="120"/>
      <c r="ABK1326" s="120"/>
      <c r="ABL1326" s="120"/>
      <c r="ABM1326" s="120"/>
      <c r="ABN1326" s="120"/>
      <c r="ABO1326" s="120"/>
      <c r="ABP1326" s="120"/>
      <c r="ABQ1326" s="120"/>
      <c r="ABR1326" s="120"/>
      <c r="ABS1326" s="120"/>
      <c r="ABT1326" s="120"/>
      <c r="ABU1326" s="120"/>
      <c r="ABV1326" s="120"/>
      <c r="ABW1326" s="120"/>
      <c r="ABX1326" s="120"/>
      <c r="ABY1326" s="120"/>
      <c r="ABZ1326" s="120"/>
      <c r="ACA1326" s="120"/>
      <c r="ACB1326" s="120"/>
      <c r="ACC1326" s="120"/>
      <c r="ACD1326" s="120"/>
      <c r="ACE1326" s="120"/>
      <c r="ACF1326" s="120"/>
      <c r="ACG1326" s="120"/>
      <c r="ACH1326" s="120"/>
      <c r="ACI1326" s="120"/>
      <c r="ACJ1326" s="120"/>
      <c r="ACK1326" s="120"/>
      <c r="ACL1326" s="120"/>
      <c r="ACM1326" s="120"/>
      <c r="ACN1326" s="120"/>
      <c r="ACO1326" s="120"/>
      <c r="ACP1326" s="120"/>
      <c r="ACQ1326" s="120"/>
      <c r="ACR1326" s="120"/>
      <c r="ACS1326" s="120"/>
      <c r="ACT1326" s="120"/>
      <c r="ACU1326" s="120"/>
      <c r="ACV1326" s="120"/>
      <c r="ACW1326" s="120"/>
      <c r="ACX1326" s="120"/>
      <c r="ACY1326" s="120"/>
      <c r="ACZ1326" s="120"/>
      <c r="ADA1326" s="120"/>
      <c r="ADB1326" s="120"/>
      <c r="ADC1326" s="120"/>
      <c r="ADD1326" s="120"/>
      <c r="ADE1326" s="120"/>
      <c r="ADF1326" s="120"/>
      <c r="ADG1326" s="120"/>
      <c r="ADH1326" s="120"/>
      <c r="ADI1326" s="120"/>
      <c r="ADJ1326" s="120"/>
      <c r="ADK1326" s="120"/>
      <c r="ADL1326" s="120"/>
      <c r="ADM1326" s="120"/>
      <c r="ADN1326" s="120"/>
      <c r="ADO1326" s="120"/>
      <c r="ADP1326" s="120"/>
      <c r="ADQ1326" s="120"/>
      <c r="ADR1326" s="120"/>
      <c r="ADS1326" s="120"/>
      <c r="ADT1326" s="120"/>
      <c r="ADU1326" s="120"/>
      <c r="ADV1326" s="120"/>
      <c r="ADW1326" s="120"/>
      <c r="ADX1326" s="120"/>
      <c r="ADY1326" s="120"/>
      <c r="ADZ1326" s="120"/>
      <c r="AEA1326" s="120"/>
      <c r="AEB1326" s="120"/>
      <c r="AEC1326" s="120"/>
      <c r="AED1326" s="120"/>
      <c r="AEE1326" s="120"/>
      <c r="AEF1326" s="120"/>
      <c r="AEG1326" s="120"/>
      <c r="AEH1326" s="120"/>
      <c r="AEI1326" s="120"/>
      <c r="AEJ1326" s="120"/>
      <c r="AEK1326" s="120"/>
      <c r="AEL1326" s="120"/>
      <c r="AEM1326" s="120"/>
      <c r="AEN1326" s="120"/>
      <c r="AEO1326" s="120"/>
      <c r="AEP1326" s="120"/>
      <c r="AEQ1326" s="120"/>
      <c r="AER1326" s="120"/>
      <c r="AES1326" s="120"/>
      <c r="AET1326" s="120"/>
      <c r="AEU1326" s="120"/>
      <c r="AEV1326" s="120"/>
      <c r="AEW1326" s="120"/>
      <c r="AEX1326" s="120"/>
      <c r="AEY1326" s="120"/>
      <c r="AEZ1326" s="120"/>
      <c r="AFA1326" s="120"/>
      <c r="AFB1326" s="120"/>
      <c r="AFC1326" s="120"/>
      <c r="AFD1326" s="120"/>
      <c r="AFE1326" s="120"/>
      <c r="AFF1326" s="120"/>
      <c r="AFG1326" s="120"/>
      <c r="AFH1326" s="120"/>
      <c r="AFI1326" s="120"/>
      <c r="AFJ1326" s="120"/>
      <c r="AFK1326" s="120"/>
      <c r="AFL1326" s="120"/>
      <c r="AFM1326" s="120"/>
      <c r="AFN1326" s="120"/>
      <c r="AFO1326" s="120"/>
      <c r="AFP1326" s="120"/>
      <c r="AFQ1326" s="120"/>
      <c r="AFR1326" s="120"/>
      <c r="AFS1326" s="120"/>
      <c r="AFT1326" s="120"/>
      <c r="AFU1326" s="120"/>
      <c r="AFV1326" s="120"/>
      <c r="AFW1326" s="120"/>
      <c r="AFX1326" s="120"/>
      <c r="AFY1326" s="120"/>
      <c r="AFZ1326" s="120"/>
      <c r="AGA1326" s="120"/>
      <c r="AGB1326" s="120"/>
      <c r="AGC1326" s="120"/>
      <c r="AGD1326" s="120"/>
      <c r="AGE1326" s="120"/>
      <c r="AGF1326" s="120"/>
      <c r="AGG1326" s="120"/>
      <c r="AGH1326" s="120"/>
      <c r="AGI1326" s="120"/>
      <c r="AGJ1326" s="120"/>
      <c r="AGK1326" s="120"/>
      <c r="AGL1326" s="120"/>
      <c r="AGM1326" s="120"/>
      <c r="AGN1326" s="120"/>
      <c r="AGO1326" s="120"/>
      <c r="AGP1326" s="120"/>
      <c r="AGQ1326" s="120"/>
      <c r="AGR1326" s="120"/>
      <c r="AGS1326" s="120"/>
      <c r="AGT1326" s="120"/>
      <c r="AGU1326" s="120"/>
      <c r="AGV1326" s="120"/>
      <c r="AGW1326" s="120"/>
      <c r="AGX1326" s="120"/>
      <c r="AGY1326" s="120"/>
      <c r="AGZ1326" s="120"/>
      <c r="AHA1326" s="120"/>
      <c r="AHB1326" s="120"/>
      <c r="AHC1326" s="120"/>
      <c r="AHD1326" s="120"/>
      <c r="AHE1326" s="120"/>
      <c r="AHF1326" s="120"/>
      <c r="AHG1326" s="120"/>
      <c r="AHH1326" s="120"/>
      <c r="AHI1326" s="120"/>
      <c r="AHJ1326" s="120"/>
      <c r="AHK1326" s="120"/>
      <c r="AHL1326" s="120"/>
      <c r="AHM1326" s="120"/>
      <c r="AHN1326" s="120"/>
      <c r="AHO1326" s="120"/>
      <c r="AHP1326" s="120"/>
      <c r="AHQ1326" s="120"/>
      <c r="AHR1326" s="120"/>
      <c r="AHS1326" s="120"/>
      <c r="AHT1326" s="120"/>
      <c r="AHU1326" s="120"/>
      <c r="AHV1326" s="120"/>
      <c r="AHW1326" s="120"/>
      <c r="AHX1326" s="120"/>
      <c r="AHY1326" s="120"/>
      <c r="AHZ1326" s="120"/>
      <c r="AIA1326" s="120"/>
      <c r="AIB1326" s="120"/>
      <c r="AIC1326" s="120"/>
      <c r="AID1326" s="120"/>
      <c r="AIE1326" s="120"/>
      <c r="AIF1326" s="120"/>
      <c r="AIG1326" s="120"/>
      <c r="AIH1326" s="120"/>
      <c r="AII1326" s="120"/>
      <c r="AIJ1326" s="120"/>
      <c r="AIK1326" s="120"/>
      <c r="AIL1326" s="120"/>
      <c r="AIM1326" s="120"/>
      <c r="AIN1326" s="120"/>
      <c r="AIO1326" s="120"/>
      <c r="AIP1326" s="120"/>
      <c r="AIQ1326" s="120"/>
      <c r="AIR1326" s="120"/>
      <c r="AIS1326" s="120"/>
      <c r="AIT1326" s="120"/>
      <c r="AIU1326" s="120"/>
      <c r="AIV1326" s="120"/>
      <c r="AIW1326" s="120"/>
      <c r="AIX1326" s="120"/>
      <c r="AIY1326" s="120"/>
      <c r="AIZ1326" s="120"/>
      <c r="AJA1326" s="120"/>
      <c r="AJB1326" s="120"/>
      <c r="AJC1326" s="120"/>
      <c r="AJD1326" s="120"/>
      <c r="AJE1326" s="120"/>
      <c r="AJF1326" s="120"/>
      <c r="AJG1326" s="120"/>
      <c r="AJH1326" s="120"/>
      <c r="AJI1326" s="120"/>
      <c r="AJJ1326" s="120"/>
      <c r="AJK1326" s="120"/>
      <c r="AJL1326" s="120"/>
      <c r="AJM1326" s="120"/>
      <c r="AJN1326" s="120"/>
      <c r="AJO1326" s="120"/>
      <c r="AJP1326" s="120"/>
      <c r="AJQ1326" s="120"/>
      <c r="AJR1326" s="120"/>
      <c r="AJS1326" s="120"/>
      <c r="AJT1326" s="120"/>
      <c r="AJU1326" s="120"/>
      <c r="AJV1326" s="120"/>
      <c r="AJW1326" s="120"/>
      <c r="AJX1326" s="120"/>
      <c r="AJY1326" s="120"/>
      <c r="AJZ1326" s="120"/>
      <c r="AKA1326" s="120"/>
      <c r="AKB1326" s="120"/>
      <c r="AKC1326" s="120"/>
      <c r="AKD1326" s="120"/>
      <c r="AKE1326" s="120"/>
      <c r="AKF1326" s="120"/>
      <c r="AKG1326" s="120"/>
      <c r="AKH1326" s="120"/>
      <c r="AKI1326" s="120"/>
      <c r="AKJ1326" s="120"/>
      <c r="AKK1326" s="120"/>
      <c r="AKL1326" s="120"/>
      <c r="AKM1326" s="120"/>
      <c r="AKN1326" s="120"/>
      <c r="AKO1326" s="120"/>
      <c r="AKP1326" s="120"/>
      <c r="AKQ1326" s="120"/>
      <c r="AKR1326" s="120"/>
      <c r="AKS1326" s="120"/>
      <c r="AKT1326" s="120"/>
      <c r="AKU1326" s="120"/>
      <c r="AKV1326" s="120"/>
      <c r="AKW1326" s="120"/>
      <c r="AKX1326" s="120"/>
      <c r="AKY1326" s="120"/>
      <c r="AKZ1326" s="120"/>
      <c r="ALA1326" s="120"/>
      <c r="ALB1326" s="120"/>
      <c r="ALC1326" s="120"/>
      <c r="ALD1326" s="120"/>
      <c r="ALE1326" s="120"/>
      <c r="ALF1326" s="120"/>
      <c r="ALG1326" s="120"/>
      <c r="ALH1326" s="120"/>
      <c r="ALI1326" s="120"/>
      <c r="ALJ1326" s="120"/>
      <c r="ALK1326" s="120"/>
      <c r="ALL1326" s="120"/>
      <c r="ALM1326" s="120"/>
      <c r="ALN1326" s="120"/>
      <c r="ALO1326" s="120"/>
      <c r="ALP1326" s="120"/>
      <c r="ALQ1326" s="120"/>
      <c r="ALR1326" s="120"/>
      <c r="ALS1326" s="120"/>
      <c r="ALT1326" s="120"/>
      <c r="ALU1326" s="120"/>
      <c r="ALV1326" s="120"/>
      <c r="ALW1326" s="120"/>
      <c r="ALX1326" s="120"/>
      <c r="ALY1326" s="120"/>
      <c r="ALZ1326" s="120"/>
      <c r="AMA1326" s="120"/>
      <c r="AMB1326" s="120"/>
      <c r="AMC1326" s="120"/>
      <c r="AMD1326" s="120"/>
      <c r="AME1326" s="120"/>
      <c r="AMF1326" s="120"/>
      <c r="AMG1326" s="120"/>
      <c r="AMH1326" s="120"/>
      <c r="AMI1326" s="120"/>
      <c r="AMJ1326" s="120"/>
      <c r="AMK1326" s="120"/>
      <c r="AML1326" s="120"/>
      <c r="AMM1326" s="120"/>
      <c r="AMN1326" s="120"/>
      <c r="AMO1326" s="120"/>
      <c r="AMP1326" s="120"/>
      <c r="AMQ1326" s="120"/>
      <c r="AMR1326" s="120"/>
      <c r="AMS1326" s="120"/>
      <c r="AMT1326" s="120"/>
      <c r="AMU1326" s="120"/>
      <c r="AMV1326" s="120"/>
      <c r="AMW1326" s="120"/>
      <c r="AMX1326" s="120"/>
      <c r="AMY1326" s="120"/>
      <c r="AMZ1326" s="120"/>
      <c r="ANA1326" s="120"/>
      <c r="ANB1326" s="120"/>
      <c r="ANC1326" s="120"/>
      <c r="AND1326" s="120"/>
      <c r="ANE1326" s="120"/>
      <c r="ANF1326" s="120"/>
      <c r="ANG1326" s="120"/>
      <c r="ANH1326" s="120"/>
      <c r="ANI1326" s="120"/>
      <c r="ANJ1326" s="120"/>
      <c r="ANK1326" s="120"/>
      <c r="ANL1326" s="120"/>
      <c r="ANM1326" s="120"/>
      <c r="ANN1326" s="120"/>
      <c r="ANO1326" s="120"/>
      <c r="ANP1326" s="120"/>
      <c r="ANQ1326" s="120"/>
      <c r="ANR1326" s="120"/>
      <c r="ANS1326" s="120"/>
      <c r="ANT1326" s="120"/>
      <c r="ANU1326" s="120"/>
      <c r="ANV1326" s="120"/>
      <c r="ANW1326" s="120"/>
      <c r="ANX1326" s="120"/>
      <c r="ANY1326" s="120"/>
      <c r="ANZ1326" s="120"/>
      <c r="AOA1326" s="120"/>
      <c r="AOB1326" s="120"/>
      <c r="AOC1326" s="120"/>
      <c r="AOD1326" s="120"/>
      <c r="AOE1326" s="120"/>
      <c r="AOF1326" s="120"/>
      <c r="AOG1326" s="120"/>
      <c r="AOH1326" s="120"/>
      <c r="AOI1326" s="120"/>
      <c r="AOJ1326" s="120"/>
      <c r="AOK1326" s="120"/>
      <c r="AOL1326" s="120"/>
      <c r="AOM1326" s="120"/>
      <c r="AON1326" s="120"/>
      <c r="AOO1326" s="120"/>
      <c r="AOP1326" s="120"/>
      <c r="AOQ1326" s="120"/>
      <c r="AOR1326" s="120"/>
      <c r="AOS1326" s="120"/>
      <c r="AOT1326" s="120"/>
      <c r="AOU1326" s="120"/>
      <c r="AOV1326" s="120"/>
      <c r="AOW1326" s="120"/>
      <c r="AOX1326" s="120"/>
      <c r="AOY1326" s="120"/>
      <c r="AOZ1326" s="120"/>
      <c r="APA1326" s="120"/>
      <c r="APB1326" s="120"/>
      <c r="APC1326" s="120"/>
      <c r="APD1326" s="120"/>
      <c r="APE1326" s="120"/>
      <c r="APF1326" s="120"/>
      <c r="APG1326" s="120"/>
      <c r="APH1326" s="120"/>
      <c r="API1326" s="120"/>
      <c r="APJ1326" s="120"/>
      <c r="APK1326" s="120"/>
      <c r="APL1326" s="120"/>
      <c r="APM1326" s="120"/>
      <c r="APN1326" s="120"/>
      <c r="APO1326" s="120"/>
      <c r="APP1326" s="120"/>
      <c r="APQ1326" s="120"/>
      <c r="APR1326" s="120"/>
      <c r="APS1326" s="120"/>
      <c r="APT1326" s="120"/>
      <c r="APU1326" s="120"/>
      <c r="APV1326" s="120"/>
      <c r="APW1326" s="120"/>
      <c r="APX1326" s="120"/>
      <c r="APY1326" s="120"/>
      <c r="APZ1326" s="120"/>
      <c r="AQA1326" s="120"/>
      <c r="AQB1326" s="120"/>
      <c r="AQC1326" s="120"/>
      <c r="AQD1326" s="120"/>
      <c r="AQE1326" s="120"/>
      <c r="AQF1326" s="120"/>
      <c r="AQG1326" s="120"/>
      <c r="AQH1326" s="120"/>
      <c r="AQI1326" s="120"/>
      <c r="AQJ1326" s="120"/>
      <c r="AQK1326" s="120"/>
      <c r="AQL1326" s="120"/>
      <c r="AQM1326" s="120"/>
      <c r="AQN1326" s="120"/>
      <c r="AQO1326" s="120"/>
      <c r="AQP1326" s="120"/>
      <c r="AQQ1326" s="120"/>
      <c r="AQR1326" s="120"/>
      <c r="AQS1326" s="120"/>
      <c r="AQT1326" s="120"/>
      <c r="AQU1326" s="120"/>
      <c r="AQV1326" s="120"/>
      <c r="AQW1326" s="120"/>
      <c r="AQX1326" s="120"/>
      <c r="AQY1326" s="120"/>
      <c r="AQZ1326" s="120"/>
      <c r="ARA1326" s="120"/>
      <c r="ARB1326" s="120"/>
      <c r="ARC1326" s="120"/>
      <c r="ARD1326" s="120"/>
      <c r="ARE1326" s="120"/>
      <c r="ARF1326" s="120"/>
      <c r="ARG1326" s="120"/>
      <c r="ARH1326" s="120"/>
      <c r="ARI1326" s="120"/>
      <c r="ARJ1326" s="120"/>
      <c r="ARK1326" s="120"/>
      <c r="ARL1326" s="120"/>
      <c r="ARM1326" s="120"/>
      <c r="ARN1326" s="120"/>
      <c r="ARO1326" s="120"/>
      <c r="ARP1326" s="120"/>
      <c r="ARQ1326" s="120"/>
      <c r="ARR1326" s="120"/>
      <c r="ARS1326" s="120"/>
      <c r="ART1326" s="120"/>
      <c r="ARU1326" s="120"/>
      <c r="ARV1326" s="120"/>
      <c r="ARW1326" s="120"/>
      <c r="ARX1326" s="120"/>
      <c r="ARY1326" s="120"/>
      <c r="ARZ1326" s="120"/>
      <c r="ASA1326" s="120"/>
      <c r="ASB1326" s="120"/>
      <c r="ASC1326" s="120"/>
      <c r="ASD1326" s="120"/>
      <c r="ASE1326" s="120"/>
      <c r="ASF1326" s="120"/>
      <c r="ASG1326" s="120"/>
      <c r="ASH1326" s="120"/>
      <c r="ASI1326" s="120"/>
      <c r="ASJ1326" s="120"/>
      <c r="ASK1326" s="120"/>
      <c r="ASL1326" s="120"/>
      <c r="ASM1326" s="120"/>
      <c r="ASN1326" s="120"/>
      <c r="ASO1326" s="120"/>
      <c r="ASP1326" s="120"/>
      <c r="ASQ1326" s="120"/>
      <c r="ASR1326" s="120"/>
      <c r="ASS1326" s="120"/>
      <c r="AST1326" s="120"/>
      <c r="ASU1326" s="120"/>
      <c r="ASV1326" s="120"/>
      <c r="ASW1326" s="120"/>
      <c r="ASX1326" s="120"/>
      <c r="ASY1326" s="120"/>
      <c r="ASZ1326" s="120"/>
      <c r="ATA1326" s="120"/>
      <c r="ATB1326" s="120"/>
      <c r="ATC1326" s="120"/>
      <c r="ATD1326" s="120"/>
      <c r="ATE1326" s="120"/>
      <c r="ATF1326" s="120"/>
      <c r="ATG1326" s="120"/>
      <c r="ATH1326" s="120"/>
      <c r="ATI1326" s="120"/>
      <c r="ATJ1326" s="120"/>
      <c r="ATK1326" s="120"/>
      <c r="ATL1326" s="120"/>
      <c r="ATM1326" s="120"/>
      <c r="ATN1326" s="120"/>
      <c r="ATO1326" s="120"/>
    </row>
    <row r="1327" spans="1:1211" s="20" customFormat="1" ht="14.1" customHeight="1">
      <c r="A1327" s="112"/>
      <c r="B1327" s="945" t="s">
        <v>1564</v>
      </c>
      <c r="C1327" s="184" t="s">
        <v>3738</v>
      </c>
      <c r="D1327" s="120"/>
      <c r="E1327" s="701"/>
      <c r="F1327" s="703"/>
      <c r="G1327" s="702"/>
      <c r="H1327" s="702"/>
      <c r="I1327" s="702"/>
      <c r="J1327" s="700"/>
      <c r="K1327" s="112"/>
      <c r="L1327" s="363"/>
      <c r="M1327" s="112"/>
      <c r="N1327" s="362"/>
      <c r="O1327" s="573"/>
      <c r="P1327" s="120"/>
      <c r="Q1327" s="120"/>
      <c r="R1327" s="120"/>
      <c r="S1327" s="120"/>
      <c r="T1327" s="120"/>
      <c r="U1327" s="120"/>
      <c r="V1327" s="120"/>
      <c r="W1327" s="120"/>
      <c r="X1327" s="120"/>
      <c r="Y1327" s="120"/>
      <c r="Z1327" s="120"/>
      <c r="AA1327" s="120"/>
      <c r="AB1327" s="120"/>
      <c r="AC1327" s="120"/>
      <c r="AD1327" s="120"/>
      <c r="AE1327" s="120"/>
      <c r="AF1327" s="120"/>
      <c r="AG1327" s="120"/>
      <c r="AH1327" s="120"/>
      <c r="AI1327" s="120"/>
      <c r="AJ1327" s="120"/>
      <c r="AK1327" s="120"/>
      <c r="AL1327" s="120"/>
      <c r="AM1327" s="120"/>
      <c r="AN1327" s="120"/>
      <c r="AO1327" s="120"/>
      <c r="AP1327" s="120"/>
      <c r="AQ1327" s="120"/>
      <c r="AR1327" s="120"/>
      <c r="AS1327" s="120"/>
      <c r="AT1327" s="120"/>
      <c r="AU1327" s="120"/>
      <c r="AV1327" s="120"/>
      <c r="AW1327" s="120"/>
      <c r="AX1327" s="120"/>
      <c r="AY1327" s="120"/>
      <c r="AZ1327" s="120"/>
      <c r="BA1327" s="120"/>
      <c r="BB1327" s="120"/>
      <c r="BC1327" s="120"/>
      <c r="BD1327" s="120"/>
      <c r="BE1327" s="120"/>
      <c r="BF1327" s="120"/>
      <c r="BG1327" s="120"/>
      <c r="BH1327" s="120"/>
      <c r="BI1327" s="120"/>
      <c r="BJ1327" s="120"/>
      <c r="BK1327" s="120"/>
      <c r="BL1327" s="120"/>
      <c r="BM1327" s="120"/>
      <c r="BN1327" s="120"/>
      <c r="BO1327" s="120"/>
      <c r="BP1327" s="120"/>
      <c r="BQ1327" s="120"/>
      <c r="BR1327" s="120"/>
      <c r="BS1327" s="120"/>
      <c r="BT1327" s="120"/>
      <c r="BU1327" s="120"/>
      <c r="BV1327" s="120"/>
      <c r="BW1327" s="120"/>
      <c r="BX1327" s="120"/>
      <c r="BY1327" s="120"/>
      <c r="BZ1327" s="120"/>
      <c r="CA1327" s="120"/>
      <c r="CB1327" s="120"/>
      <c r="CC1327" s="120"/>
      <c r="CD1327" s="120"/>
      <c r="CE1327" s="120"/>
      <c r="CF1327" s="120"/>
      <c r="CG1327" s="120"/>
      <c r="CH1327" s="120"/>
      <c r="CI1327" s="120"/>
      <c r="CJ1327" s="120"/>
      <c r="CK1327" s="120"/>
      <c r="CL1327" s="120"/>
      <c r="CM1327" s="120"/>
      <c r="CN1327" s="120"/>
      <c r="CO1327" s="120"/>
      <c r="CP1327" s="120"/>
      <c r="CQ1327" s="120"/>
      <c r="CR1327" s="120"/>
      <c r="CS1327" s="120"/>
      <c r="CT1327" s="120"/>
      <c r="CU1327" s="120"/>
      <c r="CV1327" s="120"/>
      <c r="CW1327" s="120"/>
      <c r="CX1327" s="120"/>
      <c r="CY1327" s="120"/>
      <c r="CZ1327" s="120"/>
      <c r="DA1327" s="120"/>
      <c r="DB1327" s="120"/>
      <c r="DC1327" s="120"/>
      <c r="DD1327" s="120"/>
      <c r="DE1327" s="120"/>
      <c r="DF1327" s="120"/>
      <c r="DG1327" s="120"/>
      <c r="DH1327" s="120"/>
      <c r="DI1327" s="120"/>
      <c r="DJ1327" s="120"/>
      <c r="DK1327" s="120"/>
      <c r="DL1327" s="120"/>
      <c r="DM1327" s="120"/>
      <c r="DN1327" s="120"/>
      <c r="DO1327" s="120"/>
      <c r="DP1327" s="120"/>
      <c r="DQ1327" s="120"/>
      <c r="DR1327" s="120"/>
      <c r="DS1327" s="120"/>
      <c r="DT1327" s="120"/>
      <c r="DU1327" s="120"/>
      <c r="DV1327" s="120"/>
      <c r="DW1327" s="120"/>
      <c r="DX1327" s="120"/>
      <c r="DY1327" s="120"/>
      <c r="DZ1327" s="120"/>
      <c r="EA1327" s="120"/>
      <c r="EB1327" s="120"/>
      <c r="EC1327" s="120"/>
      <c r="ED1327" s="120"/>
      <c r="EE1327" s="120"/>
      <c r="EF1327" s="120"/>
      <c r="EG1327" s="120"/>
      <c r="EH1327" s="120"/>
      <c r="EI1327" s="120"/>
      <c r="EJ1327" s="120"/>
      <c r="EK1327" s="120"/>
      <c r="EL1327" s="120"/>
      <c r="EM1327" s="120"/>
      <c r="EN1327" s="120"/>
      <c r="EO1327" s="120"/>
      <c r="EP1327" s="120"/>
      <c r="EQ1327" s="120"/>
      <c r="ER1327" s="120"/>
      <c r="ES1327" s="120"/>
      <c r="ET1327" s="120"/>
      <c r="EU1327" s="120"/>
      <c r="EV1327" s="120"/>
      <c r="EW1327" s="120"/>
      <c r="EX1327" s="120"/>
      <c r="EY1327" s="120"/>
      <c r="EZ1327" s="120"/>
      <c r="FA1327" s="120"/>
      <c r="FB1327" s="120"/>
      <c r="FC1327" s="120"/>
      <c r="FD1327" s="120"/>
      <c r="FE1327" s="120"/>
      <c r="FF1327" s="120"/>
      <c r="FG1327" s="120"/>
      <c r="FH1327" s="120"/>
      <c r="FI1327" s="120"/>
      <c r="FJ1327" s="120"/>
      <c r="FK1327" s="120"/>
      <c r="FL1327" s="120"/>
      <c r="FM1327" s="120"/>
      <c r="FN1327" s="120"/>
      <c r="FO1327" s="120"/>
      <c r="FP1327" s="120"/>
      <c r="FQ1327" s="120"/>
      <c r="FR1327" s="120"/>
      <c r="FS1327" s="120"/>
      <c r="FT1327" s="120"/>
      <c r="FU1327" s="120"/>
      <c r="FV1327" s="120"/>
      <c r="FW1327" s="120"/>
      <c r="FX1327" s="120"/>
      <c r="FY1327" s="120"/>
      <c r="FZ1327" s="120"/>
      <c r="GA1327" s="120"/>
      <c r="GB1327" s="120"/>
      <c r="GC1327" s="120"/>
      <c r="GD1327" s="120"/>
      <c r="GE1327" s="120"/>
      <c r="GF1327" s="120"/>
      <c r="GG1327" s="120"/>
      <c r="GH1327" s="120"/>
      <c r="GI1327" s="120"/>
      <c r="GJ1327" s="120"/>
      <c r="GK1327" s="120"/>
      <c r="GL1327" s="120"/>
      <c r="GM1327" s="120"/>
      <c r="GN1327" s="120"/>
      <c r="GO1327" s="120"/>
      <c r="GP1327" s="120"/>
      <c r="GQ1327" s="120"/>
      <c r="GR1327" s="120"/>
      <c r="GS1327" s="120"/>
      <c r="GT1327" s="120"/>
      <c r="GU1327" s="120"/>
      <c r="GV1327" s="120"/>
      <c r="GW1327" s="120"/>
      <c r="GX1327" s="120"/>
      <c r="GY1327" s="120"/>
      <c r="GZ1327" s="120"/>
      <c r="HA1327" s="120"/>
      <c r="HB1327" s="120"/>
      <c r="HC1327" s="120"/>
      <c r="HD1327" s="120"/>
      <c r="HE1327" s="120"/>
      <c r="HF1327" s="120"/>
      <c r="HG1327" s="120"/>
      <c r="HH1327" s="120"/>
      <c r="HI1327" s="120"/>
      <c r="HJ1327" s="120"/>
      <c r="HK1327" s="120"/>
      <c r="HL1327" s="120"/>
      <c r="HM1327" s="120"/>
      <c r="HN1327" s="120"/>
      <c r="HO1327" s="120"/>
      <c r="HP1327" s="120"/>
      <c r="HQ1327" s="120"/>
      <c r="HR1327" s="120"/>
      <c r="HS1327" s="120"/>
      <c r="HT1327" s="120"/>
      <c r="HU1327" s="120"/>
      <c r="HV1327" s="120"/>
      <c r="HW1327" s="120"/>
      <c r="HX1327" s="120"/>
      <c r="HY1327" s="120"/>
      <c r="HZ1327" s="120"/>
      <c r="IA1327" s="120"/>
      <c r="IB1327" s="120"/>
      <c r="IC1327" s="120"/>
      <c r="ID1327" s="120"/>
      <c r="IE1327" s="120"/>
      <c r="IF1327" s="120"/>
      <c r="IG1327" s="120"/>
      <c r="IH1327" s="120"/>
      <c r="II1327" s="120"/>
      <c r="IJ1327" s="120"/>
      <c r="IK1327" s="120"/>
      <c r="IL1327" s="120"/>
      <c r="IM1327" s="120"/>
      <c r="IN1327" s="120"/>
      <c r="IO1327" s="120"/>
      <c r="IP1327" s="120"/>
      <c r="IQ1327" s="120"/>
      <c r="IR1327" s="120"/>
      <c r="IS1327" s="120"/>
      <c r="IT1327" s="120"/>
      <c r="IU1327" s="120"/>
      <c r="IV1327" s="120"/>
      <c r="IW1327" s="120"/>
      <c r="IX1327" s="120"/>
      <c r="IY1327" s="120"/>
      <c r="IZ1327" s="120"/>
      <c r="JA1327" s="120"/>
      <c r="JB1327" s="120"/>
      <c r="JC1327" s="120"/>
      <c r="JD1327" s="120"/>
      <c r="JE1327" s="120"/>
      <c r="JF1327" s="120"/>
      <c r="JG1327" s="120"/>
      <c r="JH1327" s="120"/>
      <c r="JI1327" s="120"/>
      <c r="JJ1327" s="120"/>
      <c r="JK1327" s="120"/>
      <c r="JL1327" s="120"/>
      <c r="JM1327" s="120"/>
      <c r="JN1327" s="120"/>
      <c r="JO1327" s="120"/>
      <c r="JP1327" s="120"/>
      <c r="JQ1327" s="120"/>
      <c r="JR1327" s="120"/>
      <c r="JS1327" s="120"/>
      <c r="JT1327" s="120"/>
      <c r="JU1327" s="120"/>
      <c r="JV1327" s="120"/>
      <c r="JW1327" s="120"/>
      <c r="JX1327" s="120"/>
      <c r="JY1327" s="120"/>
      <c r="JZ1327" s="120"/>
      <c r="KA1327" s="120"/>
      <c r="KB1327" s="120"/>
      <c r="KC1327" s="120"/>
      <c r="KD1327" s="120"/>
      <c r="KE1327" s="120"/>
      <c r="KF1327" s="120"/>
      <c r="KG1327" s="120"/>
      <c r="KH1327" s="120"/>
      <c r="KI1327" s="120"/>
      <c r="KJ1327" s="120"/>
      <c r="KK1327" s="120"/>
      <c r="KL1327" s="120"/>
      <c r="KM1327" s="120"/>
      <c r="KN1327" s="120"/>
      <c r="KO1327" s="120"/>
      <c r="KP1327" s="120"/>
      <c r="KQ1327" s="120"/>
      <c r="KR1327" s="120"/>
      <c r="KS1327" s="120"/>
      <c r="KT1327" s="120"/>
      <c r="KU1327" s="120"/>
      <c r="KV1327" s="120"/>
      <c r="KW1327" s="120"/>
      <c r="KX1327" s="120"/>
      <c r="KY1327" s="120"/>
      <c r="KZ1327" s="120"/>
      <c r="LA1327" s="120"/>
      <c r="LB1327" s="120"/>
      <c r="LC1327" s="120"/>
      <c r="LD1327" s="120"/>
      <c r="LE1327" s="120"/>
      <c r="LF1327" s="120"/>
      <c r="LG1327" s="120"/>
      <c r="LH1327" s="120"/>
      <c r="LI1327" s="120"/>
      <c r="LJ1327" s="120"/>
      <c r="LK1327" s="120"/>
      <c r="LL1327" s="120"/>
      <c r="LM1327" s="120"/>
      <c r="LN1327" s="120"/>
      <c r="LO1327" s="120"/>
      <c r="LP1327" s="120"/>
      <c r="LQ1327" s="120"/>
      <c r="LR1327" s="120"/>
      <c r="LS1327" s="120"/>
      <c r="LT1327" s="120"/>
      <c r="LU1327" s="120"/>
      <c r="LV1327" s="120"/>
      <c r="LW1327" s="120"/>
      <c r="LX1327" s="120"/>
      <c r="LY1327" s="120"/>
      <c r="LZ1327" s="120"/>
      <c r="MA1327" s="120"/>
      <c r="MB1327" s="120"/>
      <c r="MC1327" s="120"/>
      <c r="MD1327" s="120"/>
      <c r="ME1327" s="120"/>
      <c r="MF1327" s="120"/>
      <c r="MG1327" s="120"/>
      <c r="MH1327" s="120"/>
      <c r="MI1327" s="120"/>
      <c r="MJ1327" s="120"/>
      <c r="MK1327" s="120"/>
      <c r="ML1327" s="120"/>
      <c r="MM1327" s="120"/>
      <c r="MN1327" s="120"/>
      <c r="MO1327" s="120"/>
      <c r="MP1327" s="120"/>
      <c r="MQ1327" s="120"/>
      <c r="MR1327" s="120"/>
      <c r="MS1327" s="120"/>
      <c r="MT1327" s="120"/>
      <c r="MU1327" s="120"/>
      <c r="MV1327" s="120"/>
      <c r="MW1327" s="120"/>
      <c r="MX1327" s="120"/>
      <c r="MY1327" s="120"/>
      <c r="MZ1327" s="120"/>
      <c r="NA1327" s="120"/>
      <c r="NB1327" s="120"/>
      <c r="NC1327" s="120"/>
      <c r="ND1327" s="120"/>
      <c r="NE1327" s="120"/>
      <c r="NF1327" s="120"/>
      <c r="NG1327" s="120"/>
      <c r="NH1327" s="120"/>
      <c r="NI1327" s="120"/>
      <c r="NJ1327" s="120"/>
      <c r="NK1327" s="120"/>
      <c r="NL1327" s="120"/>
      <c r="NM1327" s="120"/>
      <c r="NN1327" s="120"/>
      <c r="NO1327" s="120"/>
      <c r="NP1327" s="120"/>
      <c r="NQ1327" s="120"/>
      <c r="NR1327" s="120"/>
      <c r="NS1327" s="120"/>
      <c r="NT1327" s="120"/>
      <c r="NU1327" s="120"/>
      <c r="NV1327" s="120"/>
      <c r="NW1327" s="120"/>
      <c r="NX1327" s="120"/>
      <c r="NY1327" s="120"/>
      <c r="NZ1327" s="120"/>
      <c r="OA1327" s="120"/>
      <c r="OB1327" s="120"/>
      <c r="OC1327" s="120"/>
      <c r="OD1327" s="120"/>
      <c r="OE1327" s="120"/>
      <c r="OF1327" s="120"/>
      <c r="OG1327" s="120"/>
      <c r="OH1327" s="120"/>
      <c r="OI1327" s="120"/>
      <c r="OJ1327" s="120"/>
      <c r="OK1327" s="120"/>
      <c r="OL1327" s="120"/>
      <c r="OM1327" s="120"/>
      <c r="ON1327" s="120"/>
      <c r="OO1327" s="120"/>
      <c r="OP1327" s="120"/>
      <c r="OQ1327" s="120"/>
      <c r="OR1327" s="120"/>
      <c r="OS1327" s="120"/>
      <c r="OT1327" s="120"/>
      <c r="OU1327" s="120"/>
      <c r="OV1327" s="120"/>
      <c r="OW1327" s="120"/>
      <c r="OX1327" s="120"/>
      <c r="OY1327" s="120"/>
      <c r="OZ1327" s="120"/>
      <c r="PA1327" s="120"/>
      <c r="PB1327" s="120"/>
      <c r="PC1327" s="120"/>
      <c r="PD1327" s="120"/>
      <c r="PE1327" s="120"/>
      <c r="PF1327" s="120"/>
      <c r="PG1327" s="120"/>
      <c r="PH1327" s="120"/>
      <c r="PI1327" s="120"/>
      <c r="PJ1327" s="120"/>
      <c r="PK1327" s="120"/>
      <c r="PL1327" s="120"/>
      <c r="PM1327" s="120"/>
      <c r="PN1327" s="120"/>
      <c r="PO1327" s="120"/>
      <c r="PP1327" s="120"/>
      <c r="PQ1327" s="120"/>
      <c r="PR1327" s="120"/>
      <c r="PS1327" s="120"/>
      <c r="PT1327" s="120"/>
      <c r="PU1327" s="120"/>
      <c r="PV1327" s="120"/>
      <c r="PW1327" s="120"/>
      <c r="PX1327" s="120"/>
      <c r="PY1327" s="120"/>
      <c r="PZ1327" s="120"/>
      <c r="QA1327" s="120"/>
      <c r="QB1327" s="120"/>
      <c r="QC1327" s="120"/>
      <c r="QD1327" s="120"/>
      <c r="QE1327" s="120"/>
      <c r="QF1327" s="120"/>
      <c r="QG1327" s="120"/>
      <c r="QH1327" s="120"/>
      <c r="QI1327" s="120"/>
      <c r="QJ1327" s="120"/>
      <c r="QK1327" s="120"/>
      <c r="QL1327" s="120"/>
      <c r="QM1327" s="120"/>
      <c r="QN1327" s="120"/>
      <c r="QO1327" s="120"/>
      <c r="QP1327" s="120"/>
      <c r="QQ1327" s="120"/>
      <c r="QR1327" s="120"/>
      <c r="QS1327" s="120"/>
      <c r="QT1327" s="120"/>
      <c r="QU1327" s="120"/>
      <c r="QV1327" s="120"/>
      <c r="QW1327" s="120"/>
      <c r="QX1327" s="120"/>
      <c r="QY1327" s="120"/>
      <c r="QZ1327" s="120"/>
      <c r="RA1327" s="120"/>
      <c r="RB1327" s="120"/>
      <c r="RC1327" s="120"/>
      <c r="RD1327" s="120"/>
      <c r="RE1327" s="120"/>
      <c r="RF1327" s="120"/>
      <c r="RG1327" s="120"/>
      <c r="RH1327" s="120"/>
      <c r="RI1327" s="120"/>
      <c r="RJ1327" s="120"/>
      <c r="RK1327" s="120"/>
      <c r="RL1327" s="120"/>
      <c r="RM1327" s="120"/>
      <c r="RN1327" s="120"/>
      <c r="RO1327" s="120"/>
      <c r="RP1327" s="120"/>
      <c r="RQ1327" s="120"/>
      <c r="RR1327" s="120"/>
      <c r="RS1327" s="120"/>
      <c r="RT1327" s="120"/>
      <c r="RU1327" s="120"/>
      <c r="RV1327" s="120"/>
      <c r="RW1327" s="120"/>
      <c r="RX1327" s="120"/>
      <c r="RY1327" s="120"/>
      <c r="RZ1327" s="120"/>
      <c r="SA1327" s="120"/>
      <c r="SB1327" s="120"/>
      <c r="SC1327" s="120"/>
      <c r="SD1327" s="120"/>
      <c r="SE1327" s="120"/>
      <c r="SF1327" s="120"/>
      <c r="SG1327" s="120"/>
      <c r="SH1327" s="120"/>
      <c r="SI1327" s="120"/>
      <c r="SJ1327" s="120"/>
      <c r="SK1327" s="120"/>
      <c r="SL1327" s="120"/>
      <c r="SM1327" s="120"/>
      <c r="SN1327" s="120"/>
      <c r="SO1327" s="120"/>
      <c r="SP1327" s="120"/>
      <c r="SQ1327" s="120"/>
      <c r="SR1327" s="120"/>
      <c r="SS1327" s="120"/>
      <c r="ST1327" s="120"/>
      <c r="SU1327" s="120"/>
      <c r="SV1327" s="120"/>
      <c r="SW1327" s="120"/>
      <c r="SX1327" s="120"/>
      <c r="SY1327" s="120"/>
      <c r="SZ1327" s="120"/>
      <c r="TA1327" s="120"/>
      <c r="TB1327" s="120"/>
      <c r="TC1327" s="120"/>
      <c r="TD1327" s="120"/>
      <c r="TE1327" s="120"/>
      <c r="TF1327" s="120"/>
      <c r="TG1327" s="120"/>
      <c r="TH1327" s="120"/>
      <c r="TI1327" s="120"/>
      <c r="TJ1327" s="120"/>
      <c r="TK1327" s="120"/>
      <c r="TL1327" s="120"/>
      <c r="TM1327" s="120"/>
      <c r="TN1327" s="120"/>
      <c r="TO1327" s="120"/>
      <c r="TP1327" s="120"/>
      <c r="TQ1327" s="120"/>
      <c r="TR1327" s="120"/>
      <c r="TS1327" s="120"/>
      <c r="TT1327" s="120"/>
      <c r="TU1327" s="120"/>
      <c r="TV1327" s="120"/>
      <c r="TW1327" s="120"/>
      <c r="TX1327" s="120"/>
      <c r="TY1327" s="120"/>
      <c r="TZ1327" s="120"/>
      <c r="UA1327" s="120"/>
      <c r="UB1327" s="120"/>
      <c r="UC1327" s="120"/>
      <c r="UD1327" s="120"/>
      <c r="UE1327" s="120"/>
      <c r="UF1327" s="120"/>
      <c r="UG1327" s="120"/>
      <c r="UH1327" s="120"/>
      <c r="UI1327" s="120"/>
      <c r="UJ1327" s="120"/>
      <c r="UK1327" s="120"/>
      <c r="UL1327" s="120"/>
      <c r="UM1327" s="120"/>
      <c r="UN1327" s="120"/>
      <c r="UO1327" s="120"/>
      <c r="UP1327" s="120"/>
      <c r="UQ1327" s="120"/>
      <c r="UR1327" s="120"/>
      <c r="US1327" s="120"/>
      <c r="UT1327" s="120"/>
      <c r="UU1327" s="120"/>
      <c r="UV1327" s="120"/>
      <c r="UW1327" s="120"/>
      <c r="UX1327" s="120"/>
      <c r="UY1327" s="120"/>
      <c r="UZ1327" s="120"/>
      <c r="VA1327" s="120"/>
      <c r="VB1327" s="120"/>
      <c r="VC1327" s="120"/>
      <c r="VD1327" s="120"/>
      <c r="VE1327" s="120"/>
      <c r="VF1327" s="120"/>
      <c r="VG1327" s="120"/>
      <c r="VH1327" s="120"/>
      <c r="VI1327" s="120"/>
      <c r="VJ1327" s="120"/>
      <c r="VK1327" s="120"/>
      <c r="VL1327" s="120"/>
      <c r="VM1327" s="120"/>
      <c r="VN1327" s="120"/>
      <c r="VO1327" s="120"/>
      <c r="VP1327" s="120"/>
      <c r="VQ1327" s="120"/>
      <c r="VR1327" s="120"/>
      <c r="VS1327" s="120"/>
      <c r="VT1327" s="120"/>
      <c r="VU1327" s="120"/>
      <c r="VV1327" s="120"/>
      <c r="VW1327" s="120"/>
      <c r="VX1327" s="120"/>
      <c r="VY1327" s="120"/>
      <c r="VZ1327" s="120"/>
      <c r="WA1327" s="120"/>
      <c r="WB1327" s="120"/>
      <c r="WC1327" s="120"/>
      <c r="WD1327" s="120"/>
      <c r="WE1327" s="120"/>
      <c r="WF1327" s="120"/>
      <c r="WG1327" s="120"/>
      <c r="WH1327" s="120"/>
      <c r="WI1327" s="120"/>
      <c r="WJ1327" s="120"/>
      <c r="WK1327" s="120"/>
      <c r="WL1327" s="120"/>
      <c r="WM1327" s="120"/>
      <c r="WN1327" s="120"/>
      <c r="WO1327" s="120"/>
      <c r="WP1327" s="120"/>
      <c r="WQ1327" s="120"/>
      <c r="WR1327" s="120"/>
      <c r="WS1327" s="120"/>
      <c r="WT1327" s="120"/>
      <c r="WU1327" s="120"/>
      <c r="WV1327" s="120"/>
      <c r="WW1327" s="120"/>
      <c r="WX1327" s="120"/>
      <c r="WY1327" s="120"/>
      <c r="WZ1327" s="120"/>
      <c r="XA1327" s="120"/>
      <c r="XB1327" s="120"/>
      <c r="XC1327" s="120"/>
      <c r="XD1327" s="120"/>
      <c r="XE1327" s="120"/>
      <c r="XF1327" s="120"/>
      <c r="XG1327" s="120"/>
      <c r="XH1327" s="120"/>
      <c r="XI1327" s="120"/>
      <c r="XJ1327" s="120"/>
      <c r="XK1327" s="120"/>
      <c r="XL1327" s="120"/>
      <c r="XM1327" s="120"/>
      <c r="XN1327" s="120"/>
      <c r="XO1327" s="120"/>
      <c r="XP1327" s="120"/>
      <c r="XQ1327" s="120"/>
      <c r="XR1327" s="120"/>
      <c r="XS1327" s="120"/>
      <c r="XT1327" s="120"/>
      <c r="XU1327" s="120"/>
      <c r="XV1327" s="120"/>
      <c r="XW1327" s="120"/>
      <c r="XX1327" s="120"/>
      <c r="XY1327" s="120"/>
      <c r="XZ1327" s="120"/>
      <c r="YA1327" s="120"/>
      <c r="YB1327" s="120"/>
      <c r="YC1327" s="120"/>
      <c r="YD1327" s="120"/>
      <c r="YE1327" s="120"/>
      <c r="YF1327" s="120"/>
      <c r="YG1327" s="120"/>
      <c r="YH1327" s="120"/>
      <c r="YI1327" s="120"/>
      <c r="YJ1327" s="120"/>
      <c r="YK1327" s="120"/>
      <c r="YL1327" s="120"/>
      <c r="YM1327" s="120"/>
      <c r="YN1327" s="120"/>
      <c r="YO1327" s="120"/>
      <c r="YP1327" s="120"/>
      <c r="YQ1327" s="120"/>
      <c r="YR1327" s="120"/>
      <c r="YS1327" s="120"/>
      <c r="YT1327" s="120"/>
      <c r="YU1327" s="120"/>
      <c r="YV1327" s="120"/>
      <c r="YW1327" s="120"/>
      <c r="YX1327" s="120"/>
      <c r="YY1327" s="120"/>
      <c r="YZ1327" s="120"/>
      <c r="ZA1327" s="120"/>
      <c r="ZB1327" s="120"/>
      <c r="ZC1327" s="120"/>
      <c r="ZD1327" s="120"/>
      <c r="ZE1327" s="120"/>
      <c r="ZF1327" s="120"/>
      <c r="ZG1327" s="120"/>
      <c r="ZH1327" s="120"/>
      <c r="ZI1327" s="120"/>
      <c r="ZJ1327" s="120"/>
      <c r="ZK1327" s="120"/>
      <c r="ZL1327" s="120"/>
      <c r="ZM1327" s="120"/>
      <c r="ZN1327" s="120"/>
      <c r="ZO1327" s="120"/>
      <c r="ZP1327" s="120"/>
      <c r="ZQ1327" s="120"/>
      <c r="ZR1327" s="120"/>
      <c r="ZS1327" s="120"/>
      <c r="ZT1327" s="120"/>
      <c r="ZU1327" s="120"/>
      <c r="ZV1327" s="120"/>
      <c r="ZW1327" s="120"/>
      <c r="ZX1327" s="120"/>
      <c r="ZY1327" s="120"/>
      <c r="ZZ1327" s="120"/>
      <c r="AAA1327" s="120"/>
      <c r="AAB1327" s="120"/>
      <c r="AAC1327" s="120"/>
      <c r="AAD1327" s="120"/>
      <c r="AAE1327" s="120"/>
      <c r="AAF1327" s="120"/>
      <c r="AAG1327" s="120"/>
      <c r="AAH1327" s="120"/>
      <c r="AAI1327" s="120"/>
      <c r="AAJ1327" s="120"/>
      <c r="AAK1327" s="120"/>
      <c r="AAL1327" s="120"/>
      <c r="AAM1327" s="120"/>
      <c r="AAN1327" s="120"/>
      <c r="AAO1327" s="120"/>
      <c r="AAP1327" s="120"/>
      <c r="AAQ1327" s="120"/>
      <c r="AAR1327" s="120"/>
      <c r="AAS1327" s="120"/>
      <c r="AAT1327" s="120"/>
      <c r="AAU1327" s="120"/>
      <c r="AAV1327" s="120"/>
      <c r="AAW1327" s="120"/>
      <c r="AAX1327" s="120"/>
      <c r="AAY1327" s="120"/>
      <c r="AAZ1327" s="120"/>
      <c r="ABA1327" s="120"/>
      <c r="ABB1327" s="120"/>
      <c r="ABC1327" s="120"/>
      <c r="ABD1327" s="120"/>
      <c r="ABE1327" s="120"/>
      <c r="ABF1327" s="120"/>
      <c r="ABG1327" s="120"/>
      <c r="ABH1327" s="120"/>
      <c r="ABI1327" s="120"/>
      <c r="ABJ1327" s="120"/>
      <c r="ABK1327" s="120"/>
      <c r="ABL1327" s="120"/>
      <c r="ABM1327" s="120"/>
      <c r="ABN1327" s="120"/>
      <c r="ABO1327" s="120"/>
      <c r="ABP1327" s="120"/>
      <c r="ABQ1327" s="120"/>
      <c r="ABR1327" s="120"/>
      <c r="ABS1327" s="120"/>
      <c r="ABT1327" s="120"/>
      <c r="ABU1327" s="120"/>
      <c r="ABV1327" s="120"/>
      <c r="ABW1327" s="120"/>
      <c r="ABX1327" s="120"/>
      <c r="ABY1327" s="120"/>
      <c r="ABZ1327" s="120"/>
      <c r="ACA1327" s="120"/>
      <c r="ACB1327" s="120"/>
      <c r="ACC1327" s="120"/>
      <c r="ACD1327" s="120"/>
      <c r="ACE1327" s="120"/>
      <c r="ACF1327" s="120"/>
      <c r="ACG1327" s="120"/>
      <c r="ACH1327" s="120"/>
      <c r="ACI1327" s="120"/>
      <c r="ACJ1327" s="120"/>
      <c r="ACK1327" s="120"/>
      <c r="ACL1327" s="120"/>
      <c r="ACM1327" s="120"/>
      <c r="ACN1327" s="120"/>
      <c r="ACO1327" s="120"/>
      <c r="ACP1327" s="120"/>
      <c r="ACQ1327" s="120"/>
      <c r="ACR1327" s="120"/>
      <c r="ACS1327" s="120"/>
      <c r="ACT1327" s="120"/>
      <c r="ACU1327" s="120"/>
      <c r="ACV1327" s="120"/>
      <c r="ACW1327" s="120"/>
      <c r="ACX1327" s="120"/>
      <c r="ACY1327" s="120"/>
      <c r="ACZ1327" s="120"/>
      <c r="ADA1327" s="120"/>
      <c r="ADB1327" s="120"/>
      <c r="ADC1327" s="120"/>
      <c r="ADD1327" s="120"/>
      <c r="ADE1327" s="120"/>
      <c r="ADF1327" s="120"/>
      <c r="ADG1327" s="120"/>
      <c r="ADH1327" s="120"/>
      <c r="ADI1327" s="120"/>
      <c r="ADJ1327" s="120"/>
      <c r="ADK1327" s="120"/>
      <c r="ADL1327" s="120"/>
      <c r="ADM1327" s="120"/>
      <c r="ADN1327" s="120"/>
      <c r="ADO1327" s="120"/>
      <c r="ADP1327" s="120"/>
      <c r="ADQ1327" s="120"/>
      <c r="ADR1327" s="120"/>
      <c r="ADS1327" s="120"/>
      <c r="ADT1327" s="120"/>
      <c r="ADU1327" s="120"/>
      <c r="ADV1327" s="120"/>
      <c r="ADW1327" s="120"/>
      <c r="ADX1327" s="120"/>
      <c r="ADY1327" s="120"/>
      <c r="ADZ1327" s="120"/>
      <c r="AEA1327" s="120"/>
      <c r="AEB1327" s="120"/>
      <c r="AEC1327" s="120"/>
      <c r="AED1327" s="120"/>
      <c r="AEE1327" s="120"/>
      <c r="AEF1327" s="120"/>
      <c r="AEG1327" s="120"/>
      <c r="AEH1327" s="120"/>
      <c r="AEI1327" s="120"/>
      <c r="AEJ1327" s="120"/>
      <c r="AEK1327" s="120"/>
      <c r="AEL1327" s="120"/>
      <c r="AEM1327" s="120"/>
      <c r="AEN1327" s="120"/>
      <c r="AEO1327" s="120"/>
      <c r="AEP1327" s="120"/>
      <c r="AEQ1327" s="120"/>
      <c r="AER1327" s="120"/>
      <c r="AES1327" s="120"/>
      <c r="AET1327" s="120"/>
      <c r="AEU1327" s="120"/>
      <c r="AEV1327" s="120"/>
      <c r="AEW1327" s="120"/>
      <c r="AEX1327" s="120"/>
      <c r="AEY1327" s="120"/>
      <c r="AEZ1327" s="120"/>
      <c r="AFA1327" s="120"/>
      <c r="AFB1327" s="120"/>
      <c r="AFC1327" s="120"/>
      <c r="AFD1327" s="120"/>
      <c r="AFE1327" s="120"/>
      <c r="AFF1327" s="120"/>
      <c r="AFG1327" s="120"/>
      <c r="AFH1327" s="120"/>
      <c r="AFI1327" s="120"/>
      <c r="AFJ1327" s="120"/>
      <c r="AFK1327" s="120"/>
      <c r="AFL1327" s="120"/>
      <c r="AFM1327" s="120"/>
      <c r="AFN1327" s="120"/>
      <c r="AFO1327" s="120"/>
      <c r="AFP1327" s="120"/>
      <c r="AFQ1327" s="120"/>
      <c r="AFR1327" s="120"/>
      <c r="AFS1327" s="120"/>
      <c r="AFT1327" s="120"/>
      <c r="AFU1327" s="120"/>
      <c r="AFV1327" s="120"/>
      <c r="AFW1327" s="120"/>
      <c r="AFX1327" s="120"/>
      <c r="AFY1327" s="120"/>
      <c r="AFZ1327" s="120"/>
      <c r="AGA1327" s="120"/>
      <c r="AGB1327" s="120"/>
      <c r="AGC1327" s="120"/>
      <c r="AGD1327" s="120"/>
      <c r="AGE1327" s="120"/>
      <c r="AGF1327" s="120"/>
      <c r="AGG1327" s="120"/>
      <c r="AGH1327" s="120"/>
      <c r="AGI1327" s="120"/>
      <c r="AGJ1327" s="120"/>
      <c r="AGK1327" s="120"/>
      <c r="AGL1327" s="120"/>
      <c r="AGM1327" s="120"/>
      <c r="AGN1327" s="120"/>
      <c r="AGO1327" s="120"/>
      <c r="AGP1327" s="120"/>
      <c r="AGQ1327" s="120"/>
      <c r="AGR1327" s="120"/>
      <c r="AGS1327" s="120"/>
      <c r="AGT1327" s="120"/>
      <c r="AGU1327" s="120"/>
      <c r="AGV1327" s="120"/>
      <c r="AGW1327" s="120"/>
      <c r="AGX1327" s="120"/>
      <c r="AGY1327" s="120"/>
      <c r="AGZ1327" s="120"/>
      <c r="AHA1327" s="120"/>
      <c r="AHB1327" s="120"/>
      <c r="AHC1327" s="120"/>
      <c r="AHD1327" s="120"/>
      <c r="AHE1327" s="120"/>
      <c r="AHF1327" s="120"/>
      <c r="AHG1327" s="120"/>
      <c r="AHH1327" s="120"/>
      <c r="AHI1327" s="120"/>
      <c r="AHJ1327" s="120"/>
      <c r="AHK1327" s="120"/>
      <c r="AHL1327" s="120"/>
      <c r="AHM1327" s="120"/>
      <c r="AHN1327" s="120"/>
      <c r="AHO1327" s="120"/>
      <c r="AHP1327" s="120"/>
      <c r="AHQ1327" s="120"/>
      <c r="AHR1327" s="120"/>
      <c r="AHS1327" s="120"/>
      <c r="AHT1327" s="120"/>
      <c r="AHU1327" s="120"/>
      <c r="AHV1327" s="120"/>
      <c r="AHW1327" s="120"/>
      <c r="AHX1327" s="120"/>
      <c r="AHY1327" s="120"/>
      <c r="AHZ1327" s="120"/>
      <c r="AIA1327" s="120"/>
      <c r="AIB1327" s="120"/>
      <c r="AIC1327" s="120"/>
      <c r="AID1327" s="120"/>
      <c r="AIE1327" s="120"/>
      <c r="AIF1327" s="120"/>
      <c r="AIG1327" s="120"/>
      <c r="AIH1327" s="120"/>
      <c r="AII1327" s="120"/>
      <c r="AIJ1327" s="120"/>
      <c r="AIK1327" s="120"/>
      <c r="AIL1327" s="120"/>
      <c r="AIM1327" s="120"/>
      <c r="AIN1327" s="120"/>
      <c r="AIO1327" s="120"/>
      <c r="AIP1327" s="120"/>
      <c r="AIQ1327" s="120"/>
      <c r="AIR1327" s="120"/>
      <c r="AIS1327" s="120"/>
      <c r="AIT1327" s="120"/>
      <c r="AIU1327" s="120"/>
      <c r="AIV1327" s="120"/>
      <c r="AIW1327" s="120"/>
      <c r="AIX1327" s="120"/>
      <c r="AIY1327" s="120"/>
      <c r="AIZ1327" s="120"/>
      <c r="AJA1327" s="120"/>
      <c r="AJB1327" s="120"/>
      <c r="AJC1327" s="120"/>
      <c r="AJD1327" s="120"/>
      <c r="AJE1327" s="120"/>
      <c r="AJF1327" s="120"/>
      <c r="AJG1327" s="120"/>
      <c r="AJH1327" s="120"/>
      <c r="AJI1327" s="120"/>
      <c r="AJJ1327" s="120"/>
      <c r="AJK1327" s="120"/>
      <c r="AJL1327" s="120"/>
      <c r="AJM1327" s="120"/>
      <c r="AJN1327" s="120"/>
      <c r="AJO1327" s="120"/>
      <c r="AJP1327" s="120"/>
      <c r="AJQ1327" s="120"/>
      <c r="AJR1327" s="120"/>
      <c r="AJS1327" s="120"/>
      <c r="AJT1327" s="120"/>
      <c r="AJU1327" s="120"/>
      <c r="AJV1327" s="120"/>
      <c r="AJW1327" s="120"/>
      <c r="AJX1327" s="120"/>
      <c r="AJY1327" s="120"/>
      <c r="AJZ1327" s="120"/>
      <c r="AKA1327" s="120"/>
      <c r="AKB1327" s="120"/>
      <c r="AKC1327" s="120"/>
      <c r="AKD1327" s="120"/>
      <c r="AKE1327" s="120"/>
      <c r="AKF1327" s="120"/>
      <c r="AKG1327" s="120"/>
      <c r="AKH1327" s="120"/>
      <c r="AKI1327" s="120"/>
      <c r="AKJ1327" s="120"/>
      <c r="AKK1327" s="120"/>
      <c r="AKL1327" s="120"/>
      <c r="AKM1327" s="120"/>
      <c r="AKN1327" s="120"/>
      <c r="AKO1327" s="120"/>
      <c r="AKP1327" s="120"/>
      <c r="AKQ1327" s="120"/>
      <c r="AKR1327" s="120"/>
      <c r="AKS1327" s="120"/>
      <c r="AKT1327" s="120"/>
      <c r="AKU1327" s="120"/>
      <c r="AKV1327" s="120"/>
      <c r="AKW1327" s="120"/>
      <c r="AKX1327" s="120"/>
      <c r="AKY1327" s="120"/>
      <c r="AKZ1327" s="120"/>
      <c r="ALA1327" s="120"/>
      <c r="ALB1327" s="120"/>
      <c r="ALC1327" s="120"/>
      <c r="ALD1327" s="120"/>
      <c r="ALE1327" s="120"/>
      <c r="ALF1327" s="120"/>
      <c r="ALG1327" s="120"/>
      <c r="ALH1327" s="120"/>
      <c r="ALI1327" s="120"/>
      <c r="ALJ1327" s="120"/>
      <c r="ALK1327" s="120"/>
      <c r="ALL1327" s="120"/>
      <c r="ALM1327" s="120"/>
      <c r="ALN1327" s="120"/>
      <c r="ALO1327" s="120"/>
      <c r="ALP1327" s="120"/>
      <c r="ALQ1327" s="120"/>
      <c r="ALR1327" s="120"/>
      <c r="ALS1327" s="120"/>
      <c r="ALT1327" s="120"/>
      <c r="ALU1327" s="120"/>
      <c r="ALV1327" s="120"/>
      <c r="ALW1327" s="120"/>
      <c r="ALX1327" s="120"/>
      <c r="ALY1327" s="120"/>
      <c r="ALZ1327" s="120"/>
      <c r="AMA1327" s="120"/>
      <c r="AMB1327" s="120"/>
      <c r="AMC1327" s="120"/>
      <c r="AMD1327" s="120"/>
      <c r="AME1327" s="120"/>
      <c r="AMF1327" s="120"/>
      <c r="AMG1327" s="120"/>
      <c r="AMH1327" s="120"/>
      <c r="AMI1327" s="120"/>
      <c r="AMJ1327" s="120"/>
      <c r="AMK1327" s="120"/>
      <c r="AML1327" s="120"/>
      <c r="AMM1327" s="120"/>
      <c r="AMN1327" s="120"/>
      <c r="AMO1327" s="120"/>
      <c r="AMP1327" s="120"/>
      <c r="AMQ1327" s="120"/>
      <c r="AMR1327" s="120"/>
      <c r="AMS1327" s="120"/>
      <c r="AMT1327" s="120"/>
      <c r="AMU1327" s="120"/>
      <c r="AMV1327" s="120"/>
      <c r="AMW1327" s="120"/>
      <c r="AMX1327" s="120"/>
      <c r="AMY1327" s="120"/>
      <c r="AMZ1327" s="120"/>
      <c r="ANA1327" s="120"/>
      <c r="ANB1327" s="120"/>
      <c r="ANC1327" s="120"/>
      <c r="AND1327" s="120"/>
      <c r="ANE1327" s="120"/>
      <c r="ANF1327" s="120"/>
      <c r="ANG1327" s="120"/>
      <c r="ANH1327" s="120"/>
      <c r="ANI1327" s="120"/>
      <c r="ANJ1327" s="120"/>
      <c r="ANK1327" s="120"/>
      <c r="ANL1327" s="120"/>
      <c r="ANM1327" s="120"/>
      <c r="ANN1327" s="120"/>
      <c r="ANO1327" s="120"/>
      <c r="ANP1327" s="120"/>
      <c r="ANQ1327" s="120"/>
      <c r="ANR1327" s="120"/>
      <c r="ANS1327" s="120"/>
      <c r="ANT1327" s="120"/>
      <c r="ANU1327" s="120"/>
      <c r="ANV1327" s="120"/>
      <c r="ANW1327" s="120"/>
      <c r="ANX1327" s="120"/>
      <c r="ANY1327" s="120"/>
      <c r="ANZ1327" s="120"/>
      <c r="AOA1327" s="120"/>
      <c r="AOB1327" s="120"/>
      <c r="AOC1327" s="120"/>
      <c r="AOD1327" s="120"/>
      <c r="AOE1327" s="120"/>
      <c r="AOF1327" s="120"/>
      <c r="AOG1327" s="120"/>
      <c r="AOH1327" s="120"/>
      <c r="AOI1327" s="120"/>
      <c r="AOJ1327" s="120"/>
      <c r="AOK1327" s="120"/>
      <c r="AOL1327" s="120"/>
      <c r="AOM1327" s="120"/>
      <c r="AON1327" s="120"/>
      <c r="AOO1327" s="120"/>
      <c r="AOP1327" s="120"/>
      <c r="AOQ1327" s="120"/>
      <c r="AOR1327" s="120"/>
      <c r="AOS1327" s="120"/>
      <c r="AOT1327" s="120"/>
      <c r="AOU1327" s="120"/>
      <c r="AOV1327" s="120"/>
      <c r="AOW1327" s="120"/>
      <c r="AOX1327" s="120"/>
      <c r="AOY1327" s="120"/>
      <c r="AOZ1327" s="120"/>
      <c r="APA1327" s="120"/>
      <c r="APB1327" s="120"/>
      <c r="APC1327" s="120"/>
      <c r="APD1327" s="120"/>
      <c r="APE1327" s="120"/>
      <c r="APF1327" s="120"/>
      <c r="APG1327" s="120"/>
      <c r="APH1327" s="120"/>
      <c r="API1327" s="120"/>
      <c r="APJ1327" s="120"/>
      <c r="APK1327" s="120"/>
      <c r="APL1327" s="120"/>
      <c r="APM1327" s="120"/>
      <c r="APN1327" s="120"/>
      <c r="APO1327" s="120"/>
      <c r="APP1327" s="120"/>
      <c r="APQ1327" s="120"/>
      <c r="APR1327" s="120"/>
      <c r="APS1327" s="120"/>
      <c r="APT1327" s="120"/>
      <c r="APU1327" s="120"/>
      <c r="APV1327" s="120"/>
      <c r="APW1327" s="120"/>
      <c r="APX1327" s="120"/>
      <c r="APY1327" s="120"/>
      <c r="APZ1327" s="120"/>
      <c r="AQA1327" s="120"/>
      <c r="AQB1327" s="120"/>
      <c r="AQC1327" s="120"/>
      <c r="AQD1327" s="120"/>
      <c r="AQE1327" s="120"/>
      <c r="AQF1327" s="120"/>
      <c r="AQG1327" s="120"/>
      <c r="AQH1327" s="120"/>
      <c r="AQI1327" s="120"/>
      <c r="AQJ1327" s="120"/>
      <c r="AQK1327" s="120"/>
      <c r="AQL1327" s="120"/>
      <c r="AQM1327" s="120"/>
      <c r="AQN1327" s="120"/>
      <c r="AQO1327" s="120"/>
      <c r="AQP1327" s="120"/>
      <c r="AQQ1327" s="120"/>
      <c r="AQR1327" s="120"/>
      <c r="AQS1327" s="120"/>
      <c r="AQT1327" s="120"/>
      <c r="AQU1327" s="120"/>
      <c r="AQV1327" s="120"/>
      <c r="AQW1327" s="120"/>
      <c r="AQX1327" s="120"/>
      <c r="AQY1327" s="120"/>
      <c r="AQZ1327" s="120"/>
      <c r="ARA1327" s="120"/>
      <c r="ARB1327" s="120"/>
      <c r="ARC1327" s="120"/>
      <c r="ARD1327" s="120"/>
      <c r="ARE1327" s="120"/>
      <c r="ARF1327" s="120"/>
      <c r="ARG1327" s="120"/>
      <c r="ARH1327" s="120"/>
      <c r="ARI1327" s="120"/>
      <c r="ARJ1327" s="120"/>
      <c r="ARK1327" s="120"/>
      <c r="ARL1327" s="120"/>
      <c r="ARM1327" s="120"/>
      <c r="ARN1327" s="120"/>
      <c r="ARO1327" s="120"/>
      <c r="ARP1327" s="120"/>
      <c r="ARQ1327" s="120"/>
      <c r="ARR1327" s="120"/>
      <c r="ARS1327" s="120"/>
      <c r="ART1327" s="120"/>
      <c r="ARU1327" s="120"/>
      <c r="ARV1327" s="120"/>
      <c r="ARW1327" s="120"/>
      <c r="ARX1327" s="120"/>
      <c r="ARY1327" s="120"/>
      <c r="ARZ1327" s="120"/>
      <c r="ASA1327" s="120"/>
      <c r="ASB1327" s="120"/>
      <c r="ASC1327" s="120"/>
      <c r="ASD1327" s="120"/>
      <c r="ASE1327" s="120"/>
      <c r="ASF1327" s="120"/>
      <c r="ASG1327" s="120"/>
      <c r="ASH1327" s="120"/>
      <c r="ASI1327" s="120"/>
      <c r="ASJ1327" s="120"/>
      <c r="ASK1327" s="120"/>
      <c r="ASL1327" s="120"/>
      <c r="ASM1327" s="120"/>
      <c r="ASN1327" s="120"/>
      <c r="ASO1327" s="120"/>
      <c r="ASP1327" s="120"/>
      <c r="ASQ1327" s="120"/>
      <c r="ASR1327" s="120"/>
      <c r="ASS1327" s="120"/>
      <c r="AST1327" s="120"/>
      <c r="ASU1327" s="120"/>
      <c r="ASV1327" s="120"/>
      <c r="ASW1327" s="120"/>
      <c r="ASX1327" s="120"/>
      <c r="ASY1327" s="120"/>
      <c r="ASZ1327" s="120"/>
      <c r="ATA1327" s="120"/>
      <c r="ATB1327" s="120"/>
      <c r="ATC1327" s="120"/>
      <c r="ATD1327" s="120"/>
      <c r="ATE1327" s="120"/>
      <c r="ATF1327" s="120"/>
      <c r="ATG1327" s="120"/>
      <c r="ATH1327" s="120"/>
      <c r="ATI1327" s="120"/>
      <c r="ATJ1327" s="120"/>
      <c r="ATK1327" s="120"/>
      <c r="ATL1327" s="120"/>
      <c r="ATM1327" s="120"/>
      <c r="ATN1327" s="120"/>
      <c r="ATO1327" s="120"/>
    </row>
    <row r="1328" spans="1:1211" s="20" customFormat="1" ht="14.1" customHeight="1">
      <c r="A1328" s="112"/>
      <c r="B1328" s="723"/>
      <c r="C1328" s="184" t="s">
        <v>3739</v>
      </c>
      <c r="D1328" s="120"/>
      <c r="E1328" s="701"/>
      <c r="F1328" s="703"/>
      <c r="G1328" s="702"/>
      <c r="H1328" s="702"/>
      <c r="I1328" s="702"/>
      <c r="J1328" s="700"/>
      <c r="K1328" s="112"/>
      <c r="L1328" s="363"/>
      <c r="M1328" s="112"/>
      <c r="N1328" s="362"/>
      <c r="O1328" s="573"/>
      <c r="P1328" s="120"/>
      <c r="Q1328" s="120"/>
      <c r="R1328" s="120"/>
      <c r="S1328" s="120"/>
      <c r="T1328" s="120"/>
      <c r="U1328" s="120"/>
      <c r="V1328" s="120"/>
      <c r="W1328" s="120"/>
      <c r="X1328" s="120"/>
      <c r="Y1328" s="120"/>
      <c r="Z1328" s="120"/>
      <c r="AA1328" s="120"/>
      <c r="AB1328" s="120"/>
      <c r="AC1328" s="120"/>
      <c r="AD1328" s="120"/>
      <c r="AE1328" s="120"/>
      <c r="AF1328" s="120"/>
      <c r="AG1328" s="120"/>
      <c r="AH1328" s="120"/>
      <c r="AI1328" s="120"/>
      <c r="AJ1328" s="120"/>
      <c r="AK1328" s="120"/>
      <c r="AL1328" s="120"/>
      <c r="AM1328" s="120"/>
      <c r="AN1328" s="120"/>
      <c r="AO1328" s="120"/>
      <c r="AP1328" s="120"/>
      <c r="AQ1328" s="120"/>
      <c r="AR1328" s="120"/>
      <c r="AS1328" s="120"/>
      <c r="AT1328" s="120"/>
      <c r="AU1328" s="120"/>
      <c r="AV1328" s="120"/>
      <c r="AW1328" s="120"/>
      <c r="AX1328" s="120"/>
      <c r="AY1328" s="120"/>
      <c r="AZ1328" s="120"/>
      <c r="BA1328" s="120"/>
      <c r="BB1328" s="120"/>
      <c r="BC1328" s="120"/>
      <c r="BD1328" s="120"/>
      <c r="BE1328" s="120"/>
      <c r="BF1328" s="120"/>
      <c r="BG1328" s="120"/>
      <c r="BH1328" s="120"/>
      <c r="BI1328" s="120"/>
      <c r="BJ1328" s="120"/>
      <c r="BK1328" s="120"/>
      <c r="BL1328" s="120"/>
      <c r="BM1328" s="120"/>
      <c r="BN1328" s="120"/>
      <c r="BO1328" s="120"/>
      <c r="BP1328" s="120"/>
      <c r="BQ1328" s="120"/>
      <c r="BR1328" s="120"/>
      <c r="BS1328" s="120"/>
      <c r="BT1328" s="120"/>
      <c r="BU1328" s="120"/>
      <c r="BV1328" s="120"/>
      <c r="BW1328" s="120"/>
      <c r="BX1328" s="120"/>
      <c r="BY1328" s="120"/>
      <c r="BZ1328" s="120"/>
      <c r="CA1328" s="120"/>
      <c r="CB1328" s="120"/>
      <c r="CC1328" s="120"/>
      <c r="CD1328" s="120"/>
      <c r="CE1328" s="120"/>
      <c r="CF1328" s="120"/>
      <c r="CG1328" s="120"/>
      <c r="CH1328" s="120"/>
      <c r="CI1328" s="120"/>
      <c r="CJ1328" s="120"/>
      <c r="CK1328" s="120"/>
      <c r="CL1328" s="120"/>
      <c r="CM1328" s="120"/>
      <c r="CN1328" s="120"/>
      <c r="CO1328" s="120"/>
      <c r="CP1328" s="120"/>
      <c r="CQ1328" s="120"/>
      <c r="CR1328" s="120"/>
      <c r="CS1328" s="120"/>
      <c r="CT1328" s="120"/>
      <c r="CU1328" s="120"/>
      <c r="CV1328" s="120"/>
      <c r="CW1328" s="120"/>
      <c r="CX1328" s="120"/>
      <c r="CY1328" s="120"/>
      <c r="CZ1328" s="120"/>
      <c r="DA1328" s="120"/>
      <c r="DB1328" s="120"/>
      <c r="DC1328" s="120"/>
      <c r="DD1328" s="120"/>
      <c r="DE1328" s="120"/>
      <c r="DF1328" s="120"/>
      <c r="DG1328" s="120"/>
      <c r="DH1328" s="120"/>
      <c r="DI1328" s="120"/>
      <c r="DJ1328" s="120"/>
      <c r="DK1328" s="120"/>
      <c r="DL1328" s="120"/>
      <c r="DM1328" s="120"/>
      <c r="DN1328" s="120"/>
      <c r="DO1328" s="120"/>
      <c r="DP1328" s="120"/>
      <c r="DQ1328" s="120"/>
      <c r="DR1328" s="120"/>
      <c r="DS1328" s="120"/>
      <c r="DT1328" s="120"/>
      <c r="DU1328" s="120"/>
      <c r="DV1328" s="120"/>
      <c r="DW1328" s="120"/>
      <c r="DX1328" s="120"/>
      <c r="DY1328" s="120"/>
      <c r="DZ1328" s="120"/>
      <c r="EA1328" s="120"/>
      <c r="EB1328" s="120"/>
      <c r="EC1328" s="120"/>
      <c r="ED1328" s="120"/>
      <c r="EE1328" s="120"/>
      <c r="EF1328" s="120"/>
      <c r="EG1328" s="120"/>
      <c r="EH1328" s="120"/>
      <c r="EI1328" s="120"/>
      <c r="EJ1328" s="120"/>
      <c r="EK1328" s="120"/>
      <c r="EL1328" s="120"/>
      <c r="EM1328" s="120"/>
      <c r="EN1328" s="120"/>
      <c r="EO1328" s="120"/>
      <c r="EP1328" s="120"/>
      <c r="EQ1328" s="120"/>
      <c r="ER1328" s="120"/>
      <c r="ES1328" s="120"/>
      <c r="ET1328" s="120"/>
      <c r="EU1328" s="120"/>
      <c r="EV1328" s="120"/>
      <c r="EW1328" s="120"/>
      <c r="EX1328" s="120"/>
      <c r="EY1328" s="120"/>
      <c r="EZ1328" s="120"/>
      <c r="FA1328" s="120"/>
      <c r="FB1328" s="120"/>
      <c r="FC1328" s="120"/>
      <c r="FD1328" s="120"/>
      <c r="FE1328" s="120"/>
      <c r="FF1328" s="120"/>
      <c r="FG1328" s="120"/>
      <c r="FH1328" s="120"/>
      <c r="FI1328" s="120"/>
      <c r="FJ1328" s="120"/>
      <c r="FK1328" s="120"/>
      <c r="FL1328" s="120"/>
      <c r="FM1328" s="120"/>
      <c r="FN1328" s="120"/>
      <c r="FO1328" s="120"/>
      <c r="FP1328" s="120"/>
      <c r="FQ1328" s="120"/>
      <c r="FR1328" s="120"/>
      <c r="FS1328" s="120"/>
      <c r="FT1328" s="120"/>
      <c r="FU1328" s="120"/>
      <c r="FV1328" s="120"/>
      <c r="FW1328" s="120"/>
      <c r="FX1328" s="120"/>
      <c r="FY1328" s="120"/>
      <c r="FZ1328" s="120"/>
      <c r="GA1328" s="120"/>
      <c r="GB1328" s="120"/>
      <c r="GC1328" s="120"/>
      <c r="GD1328" s="120"/>
      <c r="GE1328" s="120"/>
      <c r="GF1328" s="120"/>
      <c r="GG1328" s="120"/>
      <c r="GH1328" s="120"/>
      <c r="GI1328" s="120"/>
      <c r="GJ1328" s="120"/>
      <c r="GK1328" s="120"/>
      <c r="GL1328" s="120"/>
      <c r="GM1328" s="120"/>
      <c r="GN1328" s="120"/>
      <c r="GO1328" s="120"/>
      <c r="GP1328" s="120"/>
      <c r="GQ1328" s="120"/>
      <c r="GR1328" s="120"/>
      <c r="GS1328" s="120"/>
      <c r="GT1328" s="120"/>
      <c r="GU1328" s="120"/>
      <c r="GV1328" s="120"/>
      <c r="GW1328" s="120"/>
      <c r="GX1328" s="120"/>
      <c r="GY1328" s="120"/>
      <c r="GZ1328" s="120"/>
      <c r="HA1328" s="120"/>
      <c r="HB1328" s="120"/>
      <c r="HC1328" s="120"/>
      <c r="HD1328" s="120"/>
      <c r="HE1328" s="120"/>
      <c r="HF1328" s="120"/>
      <c r="HG1328" s="120"/>
      <c r="HH1328" s="120"/>
      <c r="HI1328" s="120"/>
      <c r="HJ1328" s="120"/>
      <c r="HK1328" s="120"/>
      <c r="HL1328" s="120"/>
      <c r="HM1328" s="120"/>
      <c r="HN1328" s="120"/>
      <c r="HO1328" s="120"/>
      <c r="HP1328" s="120"/>
      <c r="HQ1328" s="120"/>
      <c r="HR1328" s="120"/>
      <c r="HS1328" s="120"/>
      <c r="HT1328" s="120"/>
      <c r="HU1328" s="120"/>
      <c r="HV1328" s="120"/>
      <c r="HW1328" s="120"/>
      <c r="HX1328" s="120"/>
      <c r="HY1328" s="120"/>
      <c r="HZ1328" s="120"/>
      <c r="IA1328" s="120"/>
      <c r="IB1328" s="120"/>
      <c r="IC1328" s="120"/>
      <c r="ID1328" s="120"/>
      <c r="IE1328" s="120"/>
      <c r="IF1328" s="120"/>
      <c r="IG1328" s="120"/>
      <c r="IH1328" s="120"/>
      <c r="II1328" s="120"/>
      <c r="IJ1328" s="120"/>
      <c r="IK1328" s="120"/>
      <c r="IL1328" s="120"/>
      <c r="IM1328" s="120"/>
      <c r="IN1328" s="120"/>
      <c r="IO1328" s="120"/>
      <c r="IP1328" s="120"/>
      <c r="IQ1328" s="120"/>
      <c r="IR1328" s="120"/>
      <c r="IS1328" s="120"/>
      <c r="IT1328" s="120"/>
      <c r="IU1328" s="120"/>
      <c r="IV1328" s="120"/>
      <c r="IW1328" s="120"/>
      <c r="IX1328" s="120"/>
      <c r="IY1328" s="120"/>
      <c r="IZ1328" s="120"/>
      <c r="JA1328" s="120"/>
      <c r="JB1328" s="120"/>
      <c r="JC1328" s="120"/>
      <c r="JD1328" s="120"/>
      <c r="JE1328" s="120"/>
      <c r="JF1328" s="120"/>
      <c r="JG1328" s="120"/>
      <c r="JH1328" s="120"/>
      <c r="JI1328" s="120"/>
      <c r="JJ1328" s="120"/>
      <c r="JK1328" s="120"/>
      <c r="JL1328" s="120"/>
      <c r="JM1328" s="120"/>
      <c r="JN1328" s="120"/>
      <c r="JO1328" s="120"/>
      <c r="JP1328" s="120"/>
      <c r="JQ1328" s="120"/>
      <c r="JR1328" s="120"/>
      <c r="JS1328" s="120"/>
      <c r="JT1328" s="120"/>
      <c r="JU1328" s="120"/>
      <c r="JV1328" s="120"/>
      <c r="JW1328" s="120"/>
      <c r="JX1328" s="120"/>
      <c r="JY1328" s="120"/>
      <c r="JZ1328" s="120"/>
      <c r="KA1328" s="120"/>
      <c r="KB1328" s="120"/>
      <c r="KC1328" s="120"/>
      <c r="KD1328" s="120"/>
      <c r="KE1328" s="120"/>
      <c r="KF1328" s="120"/>
      <c r="KG1328" s="120"/>
      <c r="KH1328" s="120"/>
      <c r="KI1328" s="120"/>
      <c r="KJ1328" s="120"/>
      <c r="KK1328" s="120"/>
      <c r="KL1328" s="120"/>
      <c r="KM1328" s="120"/>
      <c r="KN1328" s="120"/>
      <c r="KO1328" s="120"/>
      <c r="KP1328" s="120"/>
      <c r="KQ1328" s="120"/>
      <c r="KR1328" s="120"/>
      <c r="KS1328" s="120"/>
      <c r="KT1328" s="120"/>
      <c r="KU1328" s="120"/>
      <c r="KV1328" s="120"/>
      <c r="KW1328" s="120"/>
      <c r="KX1328" s="120"/>
      <c r="KY1328" s="120"/>
      <c r="KZ1328" s="120"/>
      <c r="LA1328" s="120"/>
      <c r="LB1328" s="120"/>
      <c r="LC1328" s="120"/>
      <c r="LD1328" s="120"/>
      <c r="LE1328" s="120"/>
      <c r="LF1328" s="120"/>
      <c r="LG1328" s="120"/>
      <c r="LH1328" s="120"/>
      <c r="LI1328" s="120"/>
      <c r="LJ1328" s="120"/>
      <c r="LK1328" s="120"/>
      <c r="LL1328" s="120"/>
      <c r="LM1328" s="120"/>
      <c r="LN1328" s="120"/>
      <c r="LO1328" s="120"/>
      <c r="LP1328" s="120"/>
      <c r="LQ1328" s="120"/>
      <c r="LR1328" s="120"/>
      <c r="LS1328" s="120"/>
      <c r="LT1328" s="120"/>
      <c r="LU1328" s="120"/>
      <c r="LV1328" s="120"/>
      <c r="LW1328" s="120"/>
      <c r="LX1328" s="120"/>
      <c r="LY1328" s="120"/>
      <c r="LZ1328" s="120"/>
      <c r="MA1328" s="120"/>
      <c r="MB1328" s="120"/>
      <c r="MC1328" s="120"/>
      <c r="MD1328" s="120"/>
      <c r="ME1328" s="120"/>
      <c r="MF1328" s="120"/>
      <c r="MG1328" s="120"/>
      <c r="MH1328" s="120"/>
      <c r="MI1328" s="120"/>
      <c r="MJ1328" s="120"/>
      <c r="MK1328" s="120"/>
      <c r="ML1328" s="120"/>
      <c r="MM1328" s="120"/>
      <c r="MN1328" s="120"/>
      <c r="MO1328" s="120"/>
      <c r="MP1328" s="120"/>
      <c r="MQ1328" s="120"/>
      <c r="MR1328" s="120"/>
      <c r="MS1328" s="120"/>
      <c r="MT1328" s="120"/>
      <c r="MU1328" s="120"/>
      <c r="MV1328" s="120"/>
      <c r="MW1328" s="120"/>
      <c r="MX1328" s="120"/>
      <c r="MY1328" s="120"/>
      <c r="MZ1328" s="120"/>
      <c r="NA1328" s="120"/>
      <c r="NB1328" s="120"/>
      <c r="NC1328" s="120"/>
      <c r="ND1328" s="120"/>
      <c r="NE1328" s="120"/>
      <c r="NF1328" s="120"/>
      <c r="NG1328" s="120"/>
      <c r="NH1328" s="120"/>
      <c r="NI1328" s="120"/>
      <c r="NJ1328" s="120"/>
      <c r="NK1328" s="120"/>
      <c r="NL1328" s="120"/>
      <c r="NM1328" s="120"/>
      <c r="NN1328" s="120"/>
      <c r="NO1328" s="120"/>
      <c r="NP1328" s="120"/>
      <c r="NQ1328" s="120"/>
      <c r="NR1328" s="120"/>
      <c r="NS1328" s="120"/>
      <c r="NT1328" s="120"/>
      <c r="NU1328" s="120"/>
      <c r="NV1328" s="120"/>
      <c r="NW1328" s="120"/>
      <c r="NX1328" s="120"/>
      <c r="NY1328" s="120"/>
      <c r="NZ1328" s="120"/>
      <c r="OA1328" s="120"/>
      <c r="OB1328" s="120"/>
      <c r="OC1328" s="120"/>
      <c r="OD1328" s="120"/>
      <c r="OE1328" s="120"/>
      <c r="OF1328" s="120"/>
      <c r="OG1328" s="120"/>
      <c r="OH1328" s="120"/>
      <c r="OI1328" s="120"/>
      <c r="OJ1328" s="120"/>
      <c r="OK1328" s="120"/>
      <c r="OL1328" s="120"/>
      <c r="OM1328" s="120"/>
      <c r="ON1328" s="120"/>
      <c r="OO1328" s="120"/>
      <c r="OP1328" s="120"/>
      <c r="OQ1328" s="120"/>
      <c r="OR1328" s="120"/>
      <c r="OS1328" s="120"/>
      <c r="OT1328" s="120"/>
      <c r="OU1328" s="120"/>
      <c r="OV1328" s="120"/>
      <c r="OW1328" s="120"/>
      <c r="OX1328" s="120"/>
      <c r="OY1328" s="120"/>
      <c r="OZ1328" s="120"/>
      <c r="PA1328" s="120"/>
      <c r="PB1328" s="120"/>
      <c r="PC1328" s="120"/>
      <c r="PD1328" s="120"/>
      <c r="PE1328" s="120"/>
      <c r="PF1328" s="120"/>
      <c r="PG1328" s="120"/>
      <c r="PH1328" s="120"/>
      <c r="PI1328" s="120"/>
      <c r="PJ1328" s="120"/>
      <c r="PK1328" s="120"/>
      <c r="PL1328" s="120"/>
      <c r="PM1328" s="120"/>
      <c r="PN1328" s="120"/>
      <c r="PO1328" s="120"/>
      <c r="PP1328" s="120"/>
      <c r="PQ1328" s="120"/>
      <c r="PR1328" s="120"/>
      <c r="PS1328" s="120"/>
      <c r="PT1328" s="120"/>
      <c r="PU1328" s="120"/>
      <c r="PV1328" s="120"/>
      <c r="PW1328" s="120"/>
      <c r="PX1328" s="120"/>
      <c r="PY1328" s="120"/>
      <c r="PZ1328" s="120"/>
      <c r="QA1328" s="120"/>
      <c r="QB1328" s="120"/>
      <c r="QC1328" s="120"/>
      <c r="QD1328" s="120"/>
      <c r="QE1328" s="120"/>
      <c r="QF1328" s="120"/>
      <c r="QG1328" s="120"/>
      <c r="QH1328" s="120"/>
      <c r="QI1328" s="120"/>
      <c r="QJ1328" s="120"/>
      <c r="QK1328" s="120"/>
      <c r="QL1328" s="120"/>
      <c r="QM1328" s="120"/>
      <c r="QN1328" s="120"/>
      <c r="QO1328" s="120"/>
      <c r="QP1328" s="120"/>
      <c r="QQ1328" s="120"/>
      <c r="QR1328" s="120"/>
      <c r="QS1328" s="120"/>
      <c r="QT1328" s="120"/>
      <c r="QU1328" s="120"/>
      <c r="QV1328" s="120"/>
      <c r="QW1328" s="120"/>
      <c r="QX1328" s="120"/>
      <c r="QY1328" s="120"/>
      <c r="QZ1328" s="120"/>
      <c r="RA1328" s="120"/>
      <c r="RB1328" s="120"/>
      <c r="RC1328" s="120"/>
      <c r="RD1328" s="120"/>
      <c r="RE1328" s="120"/>
      <c r="RF1328" s="120"/>
      <c r="RG1328" s="120"/>
      <c r="RH1328" s="120"/>
      <c r="RI1328" s="120"/>
      <c r="RJ1328" s="120"/>
      <c r="RK1328" s="120"/>
      <c r="RL1328" s="120"/>
      <c r="RM1328" s="120"/>
      <c r="RN1328" s="120"/>
      <c r="RO1328" s="120"/>
      <c r="RP1328" s="120"/>
      <c r="RQ1328" s="120"/>
      <c r="RR1328" s="120"/>
      <c r="RS1328" s="120"/>
      <c r="RT1328" s="120"/>
      <c r="RU1328" s="120"/>
      <c r="RV1328" s="120"/>
      <c r="RW1328" s="120"/>
      <c r="RX1328" s="120"/>
      <c r="RY1328" s="120"/>
      <c r="RZ1328" s="120"/>
      <c r="SA1328" s="120"/>
      <c r="SB1328" s="120"/>
      <c r="SC1328" s="120"/>
      <c r="SD1328" s="120"/>
      <c r="SE1328" s="120"/>
      <c r="SF1328" s="120"/>
      <c r="SG1328" s="120"/>
      <c r="SH1328" s="120"/>
      <c r="SI1328" s="120"/>
      <c r="SJ1328" s="120"/>
      <c r="SK1328" s="120"/>
      <c r="SL1328" s="120"/>
      <c r="SM1328" s="120"/>
      <c r="SN1328" s="120"/>
      <c r="SO1328" s="120"/>
      <c r="SP1328" s="120"/>
      <c r="SQ1328" s="120"/>
      <c r="SR1328" s="120"/>
      <c r="SS1328" s="120"/>
      <c r="ST1328" s="120"/>
      <c r="SU1328" s="120"/>
      <c r="SV1328" s="120"/>
      <c r="SW1328" s="120"/>
      <c r="SX1328" s="120"/>
      <c r="SY1328" s="120"/>
      <c r="SZ1328" s="120"/>
      <c r="TA1328" s="120"/>
      <c r="TB1328" s="120"/>
      <c r="TC1328" s="120"/>
      <c r="TD1328" s="120"/>
      <c r="TE1328" s="120"/>
      <c r="TF1328" s="120"/>
      <c r="TG1328" s="120"/>
      <c r="TH1328" s="120"/>
      <c r="TI1328" s="120"/>
      <c r="TJ1328" s="120"/>
      <c r="TK1328" s="120"/>
      <c r="TL1328" s="120"/>
      <c r="TM1328" s="120"/>
      <c r="TN1328" s="120"/>
      <c r="TO1328" s="120"/>
      <c r="TP1328" s="120"/>
      <c r="TQ1328" s="120"/>
      <c r="TR1328" s="120"/>
      <c r="TS1328" s="120"/>
      <c r="TT1328" s="120"/>
      <c r="TU1328" s="120"/>
      <c r="TV1328" s="120"/>
      <c r="TW1328" s="120"/>
      <c r="TX1328" s="120"/>
      <c r="TY1328" s="120"/>
      <c r="TZ1328" s="120"/>
      <c r="UA1328" s="120"/>
      <c r="UB1328" s="120"/>
      <c r="UC1328" s="120"/>
      <c r="UD1328" s="120"/>
      <c r="UE1328" s="120"/>
      <c r="UF1328" s="120"/>
      <c r="UG1328" s="120"/>
      <c r="UH1328" s="120"/>
      <c r="UI1328" s="120"/>
      <c r="UJ1328" s="120"/>
      <c r="UK1328" s="120"/>
      <c r="UL1328" s="120"/>
      <c r="UM1328" s="120"/>
      <c r="UN1328" s="120"/>
      <c r="UO1328" s="120"/>
      <c r="UP1328" s="120"/>
      <c r="UQ1328" s="120"/>
      <c r="UR1328" s="120"/>
      <c r="US1328" s="120"/>
      <c r="UT1328" s="120"/>
      <c r="UU1328" s="120"/>
      <c r="UV1328" s="120"/>
      <c r="UW1328" s="120"/>
      <c r="UX1328" s="120"/>
      <c r="UY1328" s="120"/>
      <c r="UZ1328" s="120"/>
      <c r="VA1328" s="120"/>
      <c r="VB1328" s="120"/>
      <c r="VC1328" s="120"/>
      <c r="VD1328" s="120"/>
      <c r="VE1328" s="120"/>
      <c r="VF1328" s="120"/>
      <c r="VG1328" s="120"/>
      <c r="VH1328" s="120"/>
      <c r="VI1328" s="120"/>
      <c r="VJ1328" s="120"/>
      <c r="VK1328" s="120"/>
      <c r="VL1328" s="120"/>
      <c r="VM1328" s="120"/>
      <c r="VN1328" s="120"/>
      <c r="VO1328" s="120"/>
      <c r="VP1328" s="120"/>
      <c r="VQ1328" s="120"/>
      <c r="VR1328" s="120"/>
      <c r="VS1328" s="120"/>
      <c r="VT1328" s="120"/>
      <c r="VU1328" s="120"/>
      <c r="VV1328" s="120"/>
      <c r="VW1328" s="120"/>
      <c r="VX1328" s="120"/>
      <c r="VY1328" s="120"/>
      <c r="VZ1328" s="120"/>
      <c r="WA1328" s="120"/>
      <c r="WB1328" s="120"/>
      <c r="WC1328" s="120"/>
      <c r="WD1328" s="120"/>
      <c r="WE1328" s="120"/>
      <c r="WF1328" s="120"/>
      <c r="WG1328" s="120"/>
      <c r="WH1328" s="120"/>
      <c r="WI1328" s="120"/>
      <c r="WJ1328" s="120"/>
      <c r="WK1328" s="120"/>
      <c r="WL1328" s="120"/>
      <c r="WM1328" s="120"/>
      <c r="WN1328" s="120"/>
      <c r="WO1328" s="120"/>
      <c r="WP1328" s="120"/>
      <c r="WQ1328" s="120"/>
      <c r="WR1328" s="120"/>
      <c r="WS1328" s="120"/>
      <c r="WT1328" s="120"/>
      <c r="WU1328" s="120"/>
      <c r="WV1328" s="120"/>
      <c r="WW1328" s="120"/>
      <c r="WX1328" s="120"/>
      <c r="WY1328" s="120"/>
      <c r="WZ1328" s="120"/>
      <c r="XA1328" s="120"/>
      <c r="XB1328" s="120"/>
      <c r="XC1328" s="120"/>
      <c r="XD1328" s="120"/>
      <c r="XE1328" s="120"/>
      <c r="XF1328" s="120"/>
      <c r="XG1328" s="120"/>
      <c r="XH1328" s="120"/>
      <c r="XI1328" s="120"/>
      <c r="XJ1328" s="120"/>
      <c r="XK1328" s="120"/>
      <c r="XL1328" s="120"/>
      <c r="XM1328" s="120"/>
      <c r="XN1328" s="120"/>
      <c r="XO1328" s="120"/>
      <c r="XP1328" s="120"/>
      <c r="XQ1328" s="120"/>
      <c r="XR1328" s="120"/>
      <c r="XS1328" s="120"/>
      <c r="XT1328" s="120"/>
      <c r="XU1328" s="120"/>
      <c r="XV1328" s="120"/>
      <c r="XW1328" s="120"/>
      <c r="XX1328" s="120"/>
      <c r="XY1328" s="120"/>
      <c r="XZ1328" s="120"/>
      <c r="YA1328" s="120"/>
      <c r="YB1328" s="120"/>
      <c r="YC1328" s="120"/>
      <c r="YD1328" s="120"/>
      <c r="YE1328" s="120"/>
      <c r="YF1328" s="120"/>
      <c r="YG1328" s="120"/>
      <c r="YH1328" s="120"/>
      <c r="YI1328" s="120"/>
      <c r="YJ1328" s="120"/>
      <c r="YK1328" s="120"/>
      <c r="YL1328" s="120"/>
      <c r="YM1328" s="120"/>
      <c r="YN1328" s="120"/>
      <c r="YO1328" s="120"/>
      <c r="YP1328" s="120"/>
      <c r="YQ1328" s="120"/>
      <c r="YR1328" s="120"/>
      <c r="YS1328" s="120"/>
      <c r="YT1328" s="120"/>
      <c r="YU1328" s="120"/>
      <c r="YV1328" s="120"/>
      <c r="YW1328" s="120"/>
      <c r="YX1328" s="120"/>
      <c r="YY1328" s="120"/>
      <c r="YZ1328" s="120"/>
      <c r="ZA1328" s="120"/>
      <c r="ZB1328" s="120"/>
      <c r="ZC1328" s="120"/>
      <c r="ZD1328" s="120"/>
      <c r="ZE1328" s="120"/>
      <c r="ZF1328" s="120"/>
      <c r="ZG1328" s="120"/>
      <c r="ZH1328" s="120"/>
      <c r="ZI1328" s="120"/>
      <c r="ZJ1328" s="120"/>
      <c r="ZK1328" s="120"/>
      <c r="ZL1328" s="120"/>
      <c r="ZM1328" s="120"/>
      <c r="ZN1328" s="120"/>
      <c r="ZO1328" s="120"/>
      <c r="ZP1328" s="120"/>
      <c r="ZQ1328" s="120"/>
      <c r="ZR1328" s="120"/>
      <c r="ZS1328" s="120"/>
      <c r="ZT1328" s="120"/>
      <c r="ZU1328" s="120"/>
      <c r="ZV1328" s="120"/>
      <c r="ZW1328" s="120"/>
      <c r="ZX1328" s="120"/>
      <c r="ZY1328" s="120"/>
      <c r="ZZ1328" s="120"/>
      <c r="AAA1328" s="120"/>
      <c r="AAB1328" s="120"/>
      <c r="AAC1328" s="120"/>
      <c r="AAD1328" s="120"/>
      <c r="AAE1328" s="120"/>
      <c r="AAF1328" s="120"/>
      <c r="AAG1328" s="120"/>
      <c r="AAH1328" s="120"/>
      <c r="AAI1328" s="120"/>
      <c r="AAJ1328" s="120"/>
      <c r="AAK1328" s="120"/>
      <c r="AAL1328" s="120"/>
      <c r="AAM1328" s="120"/>
      <c r="AAN1328" s="120"/>
      <c r="AAO1328" s="120"/>
      <c r="AAP1328" s="120"/>
      <c r="AAQ1328" s="120"/>
      <c r="AAR1328" s="120"/>
      <c r="AAS1328" s="120"/>
      <c r="AAT1328" s="120"/>
      <c r="AAU1328" s="120"/>
      <c r="AAV1328" s="120"/>
      <c r="AAW1328" s="120"/>
      <c r="AAX1328" s="120"/>
      <c r="AAY1328" s="120"/>
      <c r="AAZ1328" s="120"/>
      <c r="ABA1328" s="120"/>
      <c r="ABB1328" s="120"/>
      <c r="ABC1328" s="120"/>
      <c r="ABD1328" s="120"/>
      <c r="ABE1328" s="120"/>
      <c r="ABF1328" s="120"/>
      <c r="ABG1328" s="120"/>
      <c r="ABH1328" s="120"/>
      <c r="ABI1328" s="120"/>
      <c r="ABJ1328" s="120"/>
      <c r="ABK1328" s="120"/>
      <c r="ABL1328" s="120"/>
      <c r="ABM1328" s="120"/>
      <c r="ABN1328" s="120"/>
      <c r="ABO1328" s="120"/>
      <c r="ABP1328" s="120"/>
      <c r="ABQ1328" s="120"/>
      <c r="ABR1328" s="120"/>
      <c r="ABS1328" s="120"/>
      <c r="ABT1328" s="120"/>
      <c r="ABU1328" s="120"/>
      <c r="ABV1328" s="120"/>
      <c r="ABW1328" s="120"/>
      <c r="ABX1328" s="120"/>
      <c r="ABY1328" s="120"/>
      <c r="ABZ1328" s="120"/>
      <c r="ACA1328" s="120"/>
      <c r="ACB1328" s="120"/>
      <c r="ACC1328" s="120"/>
      <c r="ACD1328" s="120"/>
      <c r="ACE1328" s="120"/>
      <c r="ACF1328" s="120"/>
      <c r="ACG1328" s="120"/>
      <c r="ACH1328" s="120"/>
      <c r="ACI1328" s="120"/>
      <c r="ACJ1328" s="120"/>
      <c r="ACK1328" s="120"/>
      <c r="ACL1328" s="120"/>
      <c r="ACM1328" s="120"/>
      <c r="ACN1328" s="120"/>
      <c r="ACO1328" s="120"/>
      <c r="ACP1328" s="120"/>
      <c r="ACQ1328" s="120"/>
      <c r="ACR1328" s="120"/>
      <c r="ACS1328" s="120"/>
      <c r="ACT1328" s="120"/>
      <c r="ACU1328" s="120"/>
      <c r="ACV1328" s="120"/>
      <c r="ACW1328" s="120"/>
      <c r="ACX1328" s="120"/>
      <c r="ACY1328" s="120"/>
      <c r="ACZ1328" s="120"/>
      <c r="ADA1328" s="120"/>
      <c r="ADB1328" s="120"/>
      <c r="ADC1328" s="120"/>
      <c r="ADD1328" s="120"/>
      <c r="ADE1328" s="120"/>
      <c r="ADF1328" s="120"/>
      <c r="ADG1328" s="120"/>
      <c r="ADH1328" s="120"/>
      <c r="ADI1328" s="120"/>
      <c r="ADJ1328" s="120"/>
      <c r="ADK1328" s="120"/>
      <c r="ADL1328" s="120"/>
      <c r="ADM1328" s="120"/>
      <c r="ADN1328" s="120"/>
      <c r="ADO1328" s="120"/>
      <c r="ADP1328" s="120"/>
      <c r="ADQ1328" s="120"/>
      <c r="ADR1328" s="120"/>
      <c r="ADS1328" s="120"/>
      <c r="ADT1328" s="120"/>
      <c r="ADU1328" s="120"/>
      <c r="ADV1328" s="120"/>
      <c r="ADW1328" s="120"/>
      <c r="ADX1328" s="120"/>
      <c r="ADY1328" s="120"/>
      <c r="ADZ1328" s="120"/>
      <c r="AEA1328" s="120"/>
      <c r="AEB1328" s="120"/>
      <c r="AEC1328" s="120"/>
      <c r="AED1328" s="120"/>
      <c r="AEE1328" s="120"/>
      <c r="AEF1328" s="120"/>
      <c r="AEG1328" s="120"/>
      <c r="AEH1328" s="120"/>
      <c r="AEI1328" s="120"/>
      <c r="AEJ1328" s="120"/>
      <c r="AEK1328" s="120"/>
      <c r="AEL1328" s="120"/>
      <c r="AEM1328" s="120"/>
      <c r="AEN1328" s="120"/>
      <c r="AEO1328" s="120"/>
      <c r="AEP1328" s="120"/>
      <c r="AEQ1328" s="120"/>
      <c r="AER1328" s="120"/>
      <c r="AES1328" s="120"/>
      <c r="AET1328" s="120"/>
      <c r="AEU1328" s="120"/>
      <c r="AEV1328" s="120"/>
      <c r="AEW1328" s="120"/>
      <c r="AEX1328" s="120"/>
      <c r="AEY1328" s="120"/>
      <c r="AEZ1328" s="120"/>
      <c r="AFA1328" s="120"/>
      <c r="AFB1328" s="120"/>
      <c r="AFC1328" s="120"/>
      <c r="AFD1328" s="120"/>
      <c r="AFE1328" s="120"/>
      <c r="AFF1328" s="120"/>
      <c r="AFG1328" s="120"/>
      <c r="AFH1328" s="120"/>
      <c r="AFI1328" s="120"/>
      <c r="AFJ1328" s="120"/>
      <c r="AFK1328" s="120"/>
      <c r="AFL1328" s="120"/>
      <c r="AFM1328" s="120"/>
      <c r="AFN1328" s="120"/>
      <c r="AFO1328" s="120"/>
      <c r="AFP1328" s="120"/>
      <c r="AFQ1328" s="120"/>
      <c r="AFR1328" s="120"/>
      <c r="AFS1328" s="120"/>
      <c r="AFT1328" s="120"/>
      <c r="AFU1328" s="120"/>
      <c r="AFV1328" s="120"/>
      <c r="AFW1328" s="120"/>
      <c r="AFX1328" s="120"/>
      <c r="AFY1328" s="120"/>
      <c r="AFZ1328" s="120"/>
      <c r="AGA1328" s="120"/>
      <c r="AGB1328" s="120"/>
      <c r="AGC1328" s="120"/>
      <c r="AGD1328" s="120"/>
      <c r="AGE1328" s="120"/>
      <c r="AGF1328" s="120"/>
      <c r="AGG1328" s="120"/>
      <c r="AGH1328" s="120"/>
      <c r="AGI1328" s="120"/>
      <c r="AGJ1328" s="120"/>
      <c r="AGK1328" s="120"/>
      <c r="AGL1328" s="120"/>
      <c r="AGM1328" s="120"/>
      <c r="AGN1328" s="120"/>
      <c r="AGO1328" s="120"/>
      <c r="AGP1328" s="120"/>
      <c r="AGQ1328" s="120"/>
      <c r="AGR1328" s="120"/>
      <c r="AGS1328" s="120"/>
      <c r="AGT1328" s="120"/>
      <c r="AGU1328" s="120"/>
      <c r="AGV1328" s="120"/>
      <c r="AGW1328" s="120"/>
      <c r="AGX1328" s="120"/>
      <c r="AGY1328" s="120"/>
      <c r="AGZ1328" s="120"/>
      <c r="AHA1328" s="120"/>
      <c r="AHB1328" s="120"/>
      <c r="AHC1328" s="120"/>
      <c r="AHD1328" s="120"/>
      <c r="AHE1328" s="120"/>
      <c r="AHF1328" s="120"/>
      <c r="AHG1328" s="120"/>
      <c r="AHH1328" s="120"/>
      <c r="AHI1328" s="120"/>
      <c r="AHJ1328" s="120"/>
      <c r="AHK1328" s="120"/>
      <c r="AHL1328" s="120"/>
      <c r="AHM1328" s="120"/>
      <c r="AHN1328" s="120"/>
      <c r="AHO1328" s="120"/>
      <c r="AHP1328" s="120"/>
      <c r="AHQ1328" s="120"/>
      <c r="AHR1328" s="120"/>
      <c r="AHS1328" s="120"/>
      <c r="AHT1328" s="120"/>
      <c r="AHU1328" s="120"/>
      <c r="AHV1328" s="120"/>
      <c r="AHW1328" s="120"/>
      <c r="AHX1328" s="120"/>
      <c r="AHY1328" s="120"/>
      <c r="AHZ1328" s="120"/>
      <c r="AIA1328" s="120"/>
      <c r="AIB1328" s="120"/>
      <c r="AIC1328" s="120"/>
      <c r="AID1328" s="120"/>
      <c r="AIE1328" s="120"/>
      <c r="AIF1328" s="120"/>
      <c r="AIG1328" s="120"/>
      <c r="AIH1328" s="120"/>
      <c r="AII1328" s="120"/>
      <c r="AIJ1328" s="120"/>
      <c r="AIK1328" s="120"/>
      <c r="AIL1328" s="120"/>
      <c r="AIM1328" s="120"/>
      <c r="AIN1328" s="120"/>
      <c r="AIO1328" s="120"/>
      <c r="AIP1328" s="120"/>
      <c r="AIQ1328" s="120"/>
      <c r="AIR1328" s="120"/>
      <c r="AIS1328" s="120"/>
      <c r="AIT1328" s="120"/>
      <c r="AIU1328" s="120"/>
      <c r="AIV1328" s="120"/>
      <c r="AIW1328" s="120"/>
      <c r="AIX1328" s="120"/>
      <c r="AIY1328" s="120"/>
      <c r="AIZ1328" s="120"/>
      <c r="AJA1328" s="120"/>
      <c r="AJB1328" s="120"/>
      <c r="AJC1328" s="120"/>
      <c r="AJD1328" s="120"/>
      <c r="AJE1328" s="120"/>
      <c r="AJF1328" s="120"/>
      <c r="AJG1328" s="120"/>
      <c r="AJH1328" s="120"/>
      <c r="AJI1328" s="120"/>
      <c r="AJJ1328" s="120"/>
      <c r="AJK1328" s="120"/>
      <c r="AJL1328" s="120"/>
      <c r="AJM1328" s="120"/>
      <c r="AJN1328" s="120"/>
      <c r="AJO1328" s="120"/>
      <c r="AJP1328" s="120"/>
      <c r="AJQ1328" s="120"/>
      <c r="AJR1328" s="120"/>
      <c r="AJS1328" s="120"/>
      <c r="AJT1328" s="120"/>
      <c r="AJU1328" s="120"/>
      <c r="AJV1328" s="120"/>
      <c r="AJW1328" s="120"/>
      <c r="AJX1328" s="120"/>
      <c r="AJY1328" s="120"/>
      <c r="AJZ1328" s="120"/>
      <c r="AKA1328" s="120"/>
      <c r="AKB1328" s="120"/>
      <c r="AKC1328" s="120"/>
      <c r="AKD1328" s="120"/>
      <c r="AKE1328" s="120"/>
      <c r="AKF1328" s="120"/>
      <c r="AKG1328" s="120"/>
      <c r="AKH1328" s="120"/>
      <c r="AKI1328" s="120"/>
      <c r="AKJ1328" s="120"/>
      <c r="AKK1328" s="120"/>
      <c r="AKL1328" s="120"/>
      <c r="AKM1328" s="120"/>
      <c r="AKN1328" s="120"/>
      <c r="AKO1328" s="120"/>
      <c r="AKP1328" s="120"/>
      <c r="AKQ1328" s="120"/>
      <c r="AKR1328" s="120"/>
      <c r="AKS1328" s="120"/>
      <c r="AKT1328" s="120"/>
      <c r="AKU1328" s="120"/>
      <c r="AKV1328" s="120"/>
      <c r="AKW1328" s="120"/>
      <c r="AKX1328" s="120"/>
      <c r="AKY1328" s="120"/>
      <c r="AKZ1328" s="120"/>
      <c r="ALA1328" s="120"/>
      <c r="ALB1328" s="120"/>
      <c r="ALC1328" s="120"/>
      <c r="ALD1328" s="120"/>
      <c r="ALE1328" s="120"/>
      <c r="ALF1328" s="120"/>
      <c r="ALG1328" s="120"/>
      <c r="ALH1328" s="120"/>
      <c r="ALI1328" s="120"/>
      <c r="ALJ1328" s="120"/>
      <c r="ALK1328" s="120"/>
      <c r="ALL1328" s="120"/>
      <c r="ALM1328" s="120"/>
      <c r="ALN1328" s="120"/>
      <c r="ALO1328" s="120"/>
      <c r="ALP1328" s="120"/>
      <c r="ALQ1328" s="120"/>
      <c r="ALR1328" s="120"/>
      <c r="ALS1328" s="120"/>
      <c r="ALT1328" s="120"/>
      <c r="ALU1328" s="120"/>
      <c r="ALV1328" s="120"/>
      <c r="ALW1328" s="120"/>
      <c r="ALX1328" s="120"/>
      <c r="ALY1328" s="120"/>
      <c r="ALZ1328" s="120"/>
      <c r="AMA1328" s="120"/>
      <c r="AMB1328" s="120"/>
      <c r="AMC1328" s="120"/>
      <c r="AMD1328" s="120"/>
      <c r="AME1328" s="120"/>
      <c r="AMF1328" s="120"/>
      <c r="AMG1328" s="120"/>
      <c r="AMH1328" s="120"/>
      <c r="AMI1328" s="120"/>
      <c r="AMJ1328" s="120"/>
      <c r="AMK1328" s="120"/>
      <c r="AML1328" s="120"/>
      <c r="AMM1328" s="120"/>
      <c r="AMN1328" s="120"/>
      <c r="AMO1328" s="120"/>
      <c r="AMP1328" s="120"/>
      <c r="AMQ1328" s="120"/>
      <c r="AMR1328" s="120"/>
      <c r="AMS1328" s="120"/>
      <c r="AMT1328" s="120"/>
      <c r="AMU1328" s="120"/>
      <c r="AMV1328" s="120"/>
      <c r="AMW1328" s="120"/>
      <c r="AMX1328" s="120"/>
      <c r="AMY1328" s="120"/>
      <c r="AMZ1328" s="120"/>
      <c r="ANA1328" s="120"/>
      <c r="ANB1328" s="120"/>
      <c r="ANC1328" s="120"/>
      <c r="AND1328" s="120"/>
      <c r="ANE1328" s="120"/>
      <c r="ANF1328" s="120"/>
      <c r="ANG1328" s="120"/>
      <c r="ANH1328" s="120"/>
      <c r="ANI1328" s="120"/>
      <c r="ANJ1328" s="120"/>
      <c r="ANK1328" s="120"/>
      <c r="ANL1328" s="120"/>
      <c r="ANM1328" s="120"/>
      <c r="ANN1328" s="120"/>
      <c r="ANO1328" s="120"/>
      <c r="ANP1328" s="120"/>
      <c r="ANQ1328" s="120"/>
      <c r="ANR1328" s="120"/>
      <c r="ANS1328" s="120"/>
      <c r="ANT1328" s="120"/>
      <c r="ANU1328" s="120"/>
      <c r="ANV1328" s="120"/>
      <c r="ANW1328" s="120"/>
      <c r="ANX1328" s="120"/>
      <c r="ANY1328" s="120"/>
      <c r="ANZ1328" s="120"/>
      <c r="AOA1328" s="120"/>
      <c r="AOB1328" s="120"/>
      <c r="AOC1328" s="120"/>
      <c r="AOD1328" s="120"/>
      <c r="AOE1328" s="120"/>
      <c r="AOF1328" s="120"/>
      <c r="AOG1328" s="120"/>
      <c r="AOH1328" s="120"/>
      <c r="AOI1328" s="120"/>
      <c r="AOJ1328" s="120"/>
      <c r="AOK1328" s="120"/>
      <c r="AOL1328" s="120"/>
      <c r="AOM1328" s="120"/>
      <c r="AON1328" s="120"/>
      <c r="AOO1328" s="120"/>
      <c r="AOP1328" s="120"/>
      <c r="AOQ1328" s="120"/>
      <c r="AOR1328" s="120"/>
      <c r="AOS1328" s="120"/>
      <c r="AOT1328" s="120"/>
      <c r="AOU1328" s="120"/>
      <c r="AOV1328" s="120"/>
      <c r="AOW1328" s="120"/>
      <c r="AOX1328" s="120"/>
      <c r="AOY1328" s="120"/>
      <c r="AOZ1328" s="120"/>
      <c r="APA1328" s="120"/>
      <c r="APB1328" s="120"/>
      <c r="APC1328" s="120"/>
      <c r="APD1328" s="120"/>
      <c r="APE1328" s="120"/>
      <c r="APF1328" s="120"/>
      <c r="APG1328" s="120"/>
      <c r="APH1328" s="120"/>
      <c r="API1328" s="120"/>
      <c r="APJ1328" s="120"/>
      <c r="APK1328" s="120"/>
      <c r="APL1328" s="120"/>
      <c r="APM1328" s="120"/>
      <c r="APN1328" s="120"/>
      <c r="APO1328" s="120"/>
      <c r="APP1328" s="120"/>
      <c r="APQ1328" s="120"/>
      <c r="APR1328" s="120"/>
      <c r="APS1328" s="120"/>
      <c r="APT1328" s="120"/>
      <c r="APU1328" s="120"/>
      <c r="APV1328" s="120"/>
      <c r="APW1328" s="120"/>
      <c r="APX1328" s="120"/>
      <c r="APY1328" s="120"/>
      <c r="APZ1328" s="120"/>
      <c r="AQA1328" s="120"/>
      <c r="AQB1328" s="120"/>
      <c r="AQC1328" s="120"/>
      <c r="AQD1328" s="120"/>
      <c r="AQE1328" s="120"/>
      <c r="AQF1328" s="120"/>
      <c r="AQG1328" s="120"/>
      <c r="AQH1328" s="120"/>
      <c r="AQI1328" s="120"/>
      <c r="AQJ1328" s="120"/>
      <c r="AQK1328" s="120"/>
      <c r="AQL1328" s="120"/>
      <c r="AQM1328" s="120"/>
      <c r="AQN1328" s="120"/>
      <c r="AQO1328" s="120"/>
      <c r="AQP1328" s="120"/>
      <c r="AQQ1328" s="120"/>
      <c r="AQR1328" s="120"/>
      <c r="AQS1328" s="120"/>
      <c r="AQT1328" s="120"/>
      <c r="AQU1328" s="120"/>
      <c r="AQV1328" s="120"/>
      <c r="AQW1328" s="120"/>
      <c r="AQX1328" s="120"/>
      <c r="AQY1328" s="120"/>
      <c r="AQZ1328" s="120"/>
      <c r="ARA1328" s="120"/>
      <c r="ARB1328" s="120"/>
      <c r="ARC1328" s="120"/>
      <c r="ARD1328" s="120"/>
      <c r="ARE1328" s="120"/>
      <c r="ARF1328" s="120"/>
      <c r="ARG1328" s="120"/>
      <c r="ARH1328" s="120"/>
      <c r="ARI1328" s="120"/>
      <c r="ARJ1328" s="120"/>
      <c r="ARK1328" s="120"/>
      <c r="ARL1328" s="120"/>
      <c r="ARM1328" s="120"/>
      <c r="ARN1328" s="120"/>
      <c r="ARO1328" s="120"/>
      <c r="ARP1328" s="120"/>
      <c r="ARQ1328" s="120"/>
      <c r="ARR1328" s="120"/>
      <c r="ARS1328" s="120"/>
      <c r="ART1328" s="120"/>
      <c r="ARU1328" s="120"/>
      <c r="ARV1328" s="120"/>
      <c r="ARW1328" s="120"/>
      <c r="ARX1328" s="120"/>
      <c r="ARY1328" s="120"/>
      <c r="ARZ1328" s="120"/>
      <c r="ASA1328" s="120"/>
      <c r="ASB1328" s="120"/>
      <c r="ASC1328" s="120"/>
      <c r="ASD1328" s="120"/>
      <c r="ASE1328" s="120"/>
      <c r="ASF1328" s="120"/>
      <c r="ASG1328" s="120"/>
      <c r="ASH1328" s="120"/>
      <c r="ASI1328" s="120"/>
      <c r="ASJ1328" s="120"/>
      <c r="ASK1328" s="120"/>
      <c r="ASL1328" s="120"/>
      <c r="ASM1328" s="120"/>
      <c r="ASN1328" s="120"/>
      <c r="ASO1328" s="120"/>
      <c r="ASP1328" s="120"/>
      <c r="ASQ1328" s="120"/>
      <c r="ASR1328" s="120"/>
      <c r="ASS1328" s="120"/>
      <c r="AST1328" s="120"/>
      <c r="ASU1328" s="120"/>
      <c r="ASV1328" s="120"/>
      <c r="ASW1328" s="120"/>
      <c r="ASX1328" s="120"/>
      <c r="ASY1328" s="120"/>
      <c r="ASZ1328" s="120"/>
      <c r="ATA1328" s="120"/>
      <c r="ATB1328" s="120"/>
      <c r="ATC1328" s="120"/>
      <c r="ATD1328" s="120"/>
      <c r="ATE1328" s="120"/>
      <c r="ATF1328" s="120"/>
      <c r="ATG1328" s="120"/>
      <c r="ATH1328" s="120"/>
      <c r="ATI1328" s="120"/>
      <c r="ATJ1328" s="120"/>
      <c r="ATK1328" s="120"/>
      <c r="ATL1328" s="120"/>
      <c r="ATM1328" s="120"/>
      <c r="ATN1328" s="120"/>
      <c r="ATO1328" s="120"/>
    </row>
    <row r="1329" spans="1:1211" s="20" customFormat="1" ht="14.1" customHeight="1">
      <c r="A1329" s="112"/>
      <c r="B1329" s="945"/>
      <c r="C1329" s="184" t="s">
        <v>3737</v>
      </c>
      <c r="D1329" s="120"/>
      <c r="E1329" s="701"/>
      <c r="F1329" s="703"/>
      <c r="G1329" s="702"/>
      <c r="H1329" s="702"/>
      <c r="I1329" s="702"/>
      <c r="J1329" s="700"/>
      <c r="K1329" s="112"/>
      <c r="L1329" s="363"/>
      <c r="M1329" s="112"/>
      <c r="N1329" s="362"/>
      <c r="O1329" s="573"/>
      <c r="P1329" s="120"/>
      <c r="Q1329" s="120"/>
      <c r="R1329" s="120"/>
      <c r="S1329" s="120"/>
      <c r="T1329" s="120"/>
      <c r="U1329" s="120"/>
      <c r="V1329" s="120"/>
      <c r="W1329" s="120"/>
      <c r="X1329" s="120"/>
      <c r="Y1329" s="120"/>
      <c r="Z1329" s="120"/>
      <c r="AA1329" s="120"/>
      <c r="AB1329" s="120"/>
      <c r="AC1329" s="120"/>
      <c r="AD1329" s="120"/>
      <c r="AE1329" s="120"/>
      <c r="AF1329" s="120"/>
      <c r="AG1329" s="120"/>
      <c r="AH1329" s="120"/>
      <c r="AI1329" s="120"/>
      <c r="AJ1329" s="120"/>
      <c r="AK1329" s="120"/>
      <c r="AL1329" s="120"/>
      <c r="AM1329" s="120"/>
      <c r="AN1329" s="120"/>
      <c r="AO1329" s="120"/>
      <c r="AP1329" s="120"/>
      <c r="AQ1329" s="120"/>
      <c r="AR1329" s="120"/>
      <c r="AS1329" s="120"/>
      <c r="AT1329" s="120"/>
      <c r="AU1329" s="120"/>
      <c r="AV1329" s="120"/>
      <c r="AW1329" s="120"/>
      <c r="AX1329" s="120"/>
      <c r="AY1329" s="120"/>
      <c r="AZ1329" s="120"/>
      <c r="BA1329" s="120"/>
      <c r="BB1329" s="120"/>
      <c r="BC1329" s="120"/>
      <c r="BD1329" s="120"/>
      <c r="BE1329" s="120"/>
      <c r="BF1329" s="120"/>
      <c r="BG1329" s="120"/>
      <c r="BH1329" s="120"/>
      <c r="BI1329" s="120"/>
      <c r="BJ1329" s="120"/>
      <c r="BK1329" s="120"/>
      <c r="BL1329" s="120"/>
      <c r="BM1329" s="120"/>
      <c r="BN1329" s="120"/>
      <c r="BO1329" s="120"/>
      <c r="BP1329" s="120"/>
      <c r="BQ1329" s="120"/>
      <c r="BR1329" s="120"/>
      <c r="BS1329" s="120"/>
      <c r="BT1329" s="120"/>
      <c r="BU1329" s="120"/>
      <c r="BV1329" s="120"/>
      <c r="BW1329" s="120"/>
      <c r="BX1329" s="120"/>
      <c r="BY1329" s="120"/>
      <c r="BZ1329" s="120"/>
      <c r="CA1329" s="120"/>
      <c r="CB1329" s="120"/>
      <c r="CC1329" s="120"/>
      <c r="CD1329" s="120"/>
      <c r="CE1329" s="120"/>
      <c r="CF1329" s="120"/>
      <c r="CG1329" s="120"/>
      <c r="CH1329" s="120"/>
      <c r="CI1329" s="120"/>
      <c r="CJ1329" s="120"/>
      <c r="CK1329" s="120"/>
      <c r="CL1329" s="120"/>
      <c r="CM1329" s="120"/>
      <c r="CN1329" s="120"/>
      <c r="CO1329" s="120"/>
      <c r="CP1329" s="120"/>
      <c r="CQ1329" s="120"/>
      <c r="CR1329" s="120"/>
      <c r="CS1329" s="120"/>
      <c r="CT1329" s="120"/>
      <c r="CU1329" s="120"/>
      <c r="CV1329" s="120"/>
      <c r="CW1329" s="120"/>
      <c r="CX1329" s="120"/>
      <c r="CY1329" s="120"/>
      <c r="CZ1329" s="120"/>
      <c r="DA1329" s="120"/>
      <c r="DB1329" s="120"/>
      <c r="DC1329" s="120"/>
      <c r="DD1329" s="120"/>
      <c r="DE1329" s="120"/>
      <c r="DF1329" s="120"/>
      <c r="DG1329" s="120"/>
      <c r="DH1329" s="120"/>
      <c r="DI1329" s="120"/>
      <c r="DJ1329" s="120"/>
      <c r="DK1329" s="120"/>
      <c r="DL1329" s="120"/>
      <c r="DM1329" s="120"/>
      <c r="DN1329" s="120"/>
      <c r="DO1329" s="120"/>
      <c r="DP1329" s="120"/>
      <c r="DQ1329" s="120"/>
      <c r="DR1329" s="120"/>
      <c r="DS1329" s="120"/>
      <c r="DT1329" s="120"/>
      <c r="DU1329" s="120"/>
      <c r="DV1329" s="120"/>
      <c r="DW1329" s="120"/>
      <c r="DX1329" s="120"/>
      <c r="DY1329" s="120"/>
      <c r="DZ1329" s="120"/>
      <c r="EA1329" s="120"/>
      <c r="EB1329" s="120"/>
      <c r="EC1329" s="120"/>
      <c r="ED1329" s="120"/>
      <c r="EE1329" s="120"/>
      <c r="EF1329" s="120"/>
      <c r="EG1329" s="120"/>
      <c r="EH1329" s="120"/>
      <c r="EI1329" s="120"/>
      <c r="EJ1329" s="120"/>
      <c r="EK1329" s="120"/>
      <c r="EL1329" s="120"/>
      <c r="EM1329" s="120"/>
      <c r="EN1329" s="120"/>
      <c r="EO1329" s="120"/>
      <c r="EP1329" s="120"/>
      <c r="EQ1329" s="120"/>
      <c r="ER1329" s="120"/>
      <c r="ES1329" s="120"/>
      <c r="ET1329" s="120"/>
      <c r="EU1329" s="120"/>
      <c r="EV1329" s="120"/>
      <c r="EW1329" s="120"/>
      <c r="EX1329" s="120"/>
      <c r="EY1329" s="120"/>
      <c r="EZ1329" s="120"/>
      <c r="FA1329" s="120"/>
      <c r="FB1329" s="120"/>
      <c r="FC1329" s="120"/>
      <c r="FD1329" s="120"/>
      <c r="FE1329" s="120"/>
      <c r="FF1329" s="120"/>
      <c r="FG1329" s="120"/>
      <c r="FH1329" s="120"/>
      <c r="FI1329" s="120"/>
      <c r="FJ1329" s="120"/>
      <c r="FK1329" s="120"/>
      <c r="FL1329" s="120"/>
      <c r="FM1329" s="120"/>
      <c r="FN1329" s="120"/>
      <c r="FO1329" s="120"/>
      <c r="FP1329" s="120"/>
      <c r="FQ1329" s="120"/>
      <c r="FR1329" s="120"/>
      <c r="FS1329" s="120"/>
      <c r="FT1329" s="120"/>
      <c r="FU1329" s="120"/>
      <c r="FV1329" s="120"/>
      <c r="FW1329" s="120"/>
      <c r="FX1329" s="120"/>
      <c r="FY1329" s="120"/>
      <c r="FZ1329" s="120"/>
      <c r="GA1329" s="120"/>
      <c r="GB1329" s="120"/>
      <c r="GC1329" s="120"/>
      <c r="GD1329" s="120"/>
      <c r="GE1329" s="120"/>
      <c r="GF1329" s="120"/>
      <c r="GG1329" s="120"/>
      <c r="GH1329" s="120"/>
      <c r="GI1329" s="120"/>
      <c r="GJ1329" s="120"/>
      <c r="GK1329" s="120"/>
      <c r="GL1329" s="120"/>
      <c r="GM1329" s="120"/>
      <c r="GN1329" s="120"/>
      <c r="GO1329" s="120"/>
      <c r="GP1329" s="120"/>
      <c r="GQ1329" s="120"/>
      <c r="GR1329" s="120"/>
      <c r="GS1329" s="120"/>
      <c r="GT1329" s="120"/>
      <c r="GU1329" s="120"/>
      <c r="GV1329" s="120"/>
      <c r="GW1329" s="120"/>
      <c r="GX1329" s="120"/>
      <c r="GY1329" s="120"/>
      <c r="GZ1329" s="120"/>
      <c r="HA1329" s="120"/>
      <c r="HB1329" s="120"/>
      <c r="HC1329" s="120"/>
      <c r="HD1329" s="120"/>
      <c r="HE1329" s="120"/>
      <c r="HF1329" s="120"/>
      <c r="HG1329" s="120"/>
      <c r="HH1329" s="120"/>
      <c r="HI1329" s="120"/>
      <c r="HJ1329" s="120"/>
      <c r="HK1329" s="120"/>
      <c r="HL1329" s="120"/>
      <c r="HM1329" s="120"/>
      <c r="HN1329" s="120"/>
      <c r="HO1329" s="120"/>
      <c r="HP1329" s="120"/>
      <c r="HQ1329" s="120"/>
      <c r="HR1329" s="120"/>
      <c r="HS1329" s="120"/>
      <c r="HT1329" s="120"/>
      <c r="HU1329" s="120"/>
      <c r="HV1329" s="120"/>
      <c r="HW1329" s="120"/>
      <c r="HX1329" s="120"/>
      <c r="HY1329" s="120"/>
      <c r="HZ1329" s="120"/>
      <c r="IA1329" s="120"/>
      <c r="IB1329" s="120"/>
      <c r="IC1329" s="120"/>
      <c r="ID1329" s="120"/>
      <c r="IE1329" s="120"/>
      <c r="IF1329" s="120"/>
      <c r="IG1329" s="120"/>
      <c r="IH1329" s="120"/>
      <c r="II1329" s="120"/>
      <c r="IJ1329" s="120"/>
      <c r="IK1329" s="120"/>
      <c r="IL1329" s="120"/>
      <c r="IM1329" s="120"/>
      <c r="IN1329" s="120"/>
      <c r="IO1329" s="120"/>
      <c r="IP1329" s="120"/>
      <c r="IQ1329" s="120"/>
      <c r="IR1329" s="120"/>
      <c r="IS1329" s="120"/>
      <c r="IT1329" s="120"/>
      <c r="IU1329" s="120"/>
      <c r="IV1329" s="120"/>
      <c r="IW1329" s="120"/>
      <c r="IX1329" s="120"/>
      <c r="IY1329" s="120"/>
      <c r="IZ1329" s="120"/>
      <c r="JA1329" s="120"/>
      <c r="JB1329" s="120"/>
      <c r="JC1329" s="120"/>
      <c r="JD1329" s="120"/>
      <c r="JE1329" s="120"/>
      <c r="JF1329" s="120"/>
      <c r="JG1329" s="120"/>
      <c r="JH1329" s="120"/>
      <c r="JI1329" s="120"/>
      <c r="JJ1329" s="120"/>
      <c r="JK1329" s="120"/>
      <c r="JL1329" s="120"/>
      <c r="JM1329" s="120"/>
      <c r="JN1329" s="120"/>
      <c r="JO1329" s="120"/>
      <c r="JP1329" s="120"/>
      <c r="JQ1329" s="120"/>
      <c r="JR1329" s="120"/>
      <c r="JS1329" s="120"/>
      <c r="JT1329" s="120"/>
      <c r="JU1329" s="120"/>
      <c r="JV1329" s="120"/>
      <c r="JW1329" s="120"/>
      <c r="JX1329" s="120"/>
      <c r="JY1329" s="120"/>
      <c r="JZ1329" s="120"/>
      <c r="KA1329" s="120"/>
      <c r="KB1329" s="120"/>
      <c r="KC1329" s="120"/>
      <c r="KD1329" s="120"/>
      <c r="KE1329" s="120"/>
      <c r="KF1329" s="120"/>
      <c r="KG1329" s="120"/>
      <c r="KH1329" s="120"/>
      <c r="KI1329" s="120"/>
      <c r="KJ1329" s="120"/>
      <c r="KK1329" s="120"/>
      <c r="KL1329" s="120"/>
      <c r="KM1329" s="120"/>
      <c r="KN1329" s="120"/>
      <c r="KO1329" s="120"/>
      <c r="KP1329" s="120"/>
      <c r="KQ1329" s="120"/>
      <c r="KR1329" s="120"/>
      <c r="KS1329" s="120"/>
      <c r="KT1329" s="120"/>
      <c r="KU1329" s="120"/>
      <c r="KV1329" s="120"/>
      <c r="KW1329" s="120"/>
      <c r="KX1329" s="120"/>
      <c r="KY1329" s="120"/>
      <c r="KZ1329" s="120"/>
      <c r="LA1329" s="120"/>
      <c r="LB1329" s="120"/>
      <c r="LC1329" s="120"/>
      <c r="LD1329" s="120"/>
      <c r="LE1329" s="120"/>
      <c r="LF1329" s="120"/>
      <c r="LG1329" s="120"/>
      <c r="LH1329" s="120"/>
      <c r="LI1329" s="120"/>
      <c r="LJ1329" s="120"/>
      <c r="LK1329" s="120"/>
      <c r="LL1329" s="120"/>
      <c r="LM1329" s="120"/>
      <c r="LN1329" s="120"/>
      <c r="LO1329" s="120"/>
      <c r="LP1329" s="120"/>
      <c r="LQ1329" s="120"/>
      <c r="LR1329" s="120"/>
      <c r="LS1329" s="120"/>
      <c r="LT1329" s="120"/>
      <c r="LU1329" s="120"/>
      <c r="LV1329" s="120"/>
      <c r="LW1329" s="120"/>
      <c r="LX1329" s="120"/>
      <c r="LY1329" s="120"/>
      <c r="LZ1329" s="120"/>
      <c r="MA1329" s="120"/>
      <c r="MB1329" s="120"/>
      <c r="MC1329" s="120"/>
      <c r="MD1329" s="120"/>
      <c r="ME1329" s="120"/>
      <c r="MF1329" s="120"/>
      <c r="MG1329" s="120"/>
      <c r="MH1329" s="120"/>
      <c r="MI1329" s="120"/>
      <c r="MJ1329" s="120"/>
      <c r="MK1329" s="120"/>
      <c r="ML1329" s="120"/>
      <c r="MM1329" s="120"/>
      <c r="MN1329" s="120"/>
      <c r="MO1329" s="120"/>
      <c r="MP1329" s="120"/>
      <c r="MQ1329" s="120"/>
      <c r="MR1329" s="120"/>
      <c r="MS1329" s="120"/>
      <c r="MT1329" s="120"/>
      <c r="MU1329" s="120"/>
      <c r="MV1329" s="120"/>
      <c r="MW1329" s="120"/>
      <c r="MX1329" s="120"/>
      <c r="MY1329" s="120"/>
      <c r="MZ1329" s="120"/>
      <c r="NA1329" s="120"/>
      <c r="NB1329" s="120"/>
      <c r="NC1329" s="120"/>
      <c r="ND1329" s="120"/>
      <c r="NE1329" s="120"/>
      <c r="NF1329" s="120"/>
      <c r="NG1329" s="120"/>
      <c r="NH1329" s="120"/>
      <c r="NI1329" s="120"/>
      <c r="NJ1329" s="120"/>
      <c r="NK1329" s="120"/>
      <c r="NL1329" s="120"/>
      <c r="NM1329" s="120"/>
      <c r="NN1329" s="120"/>
      <c r="NO1329" s="120"/>
      <c r="NP1329" s="120"/>
      <c r="NQ1329" s="120"/>
      <c r="NR1329" s="120"/>
      <c r="NS1329" s="120"/>
      <c r="NT1329" s="120"/>
      <c r="NU1329" s="120"/>
      <c r="NV1329" s="120"/>
      <c r="NW1329" s="120"/>
      <c r="NX1329" s="120"/>
      <c r="NY1329" s="120"/>
      <c r="NZ1329" s="120"/>
      <c r="OA1329" s="120"/>
      <c r="OB1329" s="120"/>
      <c r="OC1329" s="120"/>
      <c r="OD1329" s="120"/>
      <c r="OE1329" s="120"/>
      <c r="OF1329" s="120"/>
      <c r="OG1329" s="120"/>
      <c r="OH1329" s="120"/>
      <c r="OI1329" s="120"/>
      <c r="OJ1329" s="120"/>
      <c r="OK1329" s="120"/>
      <c r="OL1329" s="120"/>
      <c r="OM1329" s="120"/>
      <c r="ON1329" s="120"/>
      <c r="OO1329" s="120"/>
      <c r="OP1329" s="120"/>
      <c r="OQ1329" s="120"/>
      <c r="OR1329" s="120"/>
      <c r="OS1329" s="120"/>
      <c r="OT1329" s="120"/>
      <c r="OU1329" s="120"/>
      <c r="OV1329" s="120"/>
      <c r="OW1329" s="120"/>
      <c r="OX1329" s="120"/>
      <c r="OY1329" s="120"/>
      <c r="OZ1329" s="120"/>
      <c r="PA1329" s="120"/>
      <c r="PB1329" s="120"/>
      <c r="PC1329" s="120"/>
      <c r="PD1329" s="120"/>
      <c r="PE1329" s="120"/>
      <c r="PF1329" s="120"/>
      <c r="PG1329" s="120"/>
      <c r="PH1329" s="120"/>
      <c r="PI1329" s="120"/>
      <c r="PJ1329" s="120"/>
      <c r="PK1329" s="120"/>
      <c r="PL1329" s="120"/>
      <c r="PM1329" s="120"/>
      <c r="PN1329" s="120"/>
      <c r="PO1329" s="120"/>
      <c r="PP1329" s="120"/>
      <c r="PQ1329" s="120"/>
      <c r="PR1329" s="120"/>
      <c r="PS1329" s="120"/>
      <c r="PT1329" s="120"/>
      <c r="PU1329" s="120"/>
      <c r="PV1329" s="120"/>
      <c r="PW1329" s="120"/>
      <c r="PX1329" s="120"/>
      <c r="PY1329" s="120"/>
      <c r="PZ1329" s="120"/>
      <c r="QA1329" s="120"/>
      <c r="QB1329" s="120"/>
      <c r="QC1329" s="120"/>
      <c r="QD1329" s="120"/>
      <c r="QE1329" s="120"/>
      <c r="QF1329" s="120"/>
      <c r="QG1329" s="120"/>
      <c r="QH1329" s="120"/>
      <c r="QI1329" s="120"/>
      <c r="QJ1329" s="120"/>
      <c r="QK1329" s="120"/>
      <c r="QL1329" s="120"/>
      <c r="QM1329" s="120"/>
      <c r="QN1329" s="120"/>
      <c r="QO1329" s="120"/>
      <c r="QP1329" s="120"/>
      <c r="QQ1329" s="120"/>
      <c r="QR1329" s="120"/>
      <c r="QS1329" s="120"/>
      <c r="QT1329" s="120"/>
      <c r="QU1329" s="120"/>
      <c r="QV1329" s="120"/>
      <c r="QW1329" s="120"/>
      <c r="QX1329" s="120"/>
      <c r="QY1329" s="120"/>
      <c r="QZ1329" s="120"/>
      <c r="RA1329" s="120"/>
      <c r="RB1329" s="120"/>
      <c r="RC1329" s="120"/>
      <c r="RD1329" s="120"/>
      <c r="RE1329" s="120"/>
      <c r="RF1329" s="120"/>
      <c r="RG1329" s="120"/>
      <c r="RH1329" s="120"/>
      <c r="RI1329" s="120"/>
      <c r="RJ1329" s="120"/>
      <c r="RK1329" s="120"/>
      <c r="RL1329" s="120"/>
      <c r="RM1329" s="120"/>
      <c r="RN1329" s="120"/>
      <c r="RO1329" s="120"/>
      <c r="RP1329" s="120"/>
      <c r="RQ1329" s="120"/>
      <c r="RR1329" s="120"/>
      <c r="RS1329" s="120"/>
      <c r="RT1329" s="120"/>
      <c r="RU1329" s="120"/>
      <c r="RV1329" s="120"/>
      <c r="RW1329" s="120"/>
      <c r="RX1329" s="120"/>
      <c r="RY1329" s="120"/>
      <c r="RZ1329" s="120"/>
      <c r="SA1329" s="120"/>
      <c r="SB1329" s="120"/>
      <c r="SC1329" s="120"/>
      <c r="SD1329" s="120"/>
      <c r="SE1329" s="120"/>
      <c r="SF1329" s="120"/>
      <c r="SG1329" s="120"/>
      <c r="SH1329" s="120"/>
      <c r="SI1329" s="120"/>
      <c r="SJ1329" s="120"/>
      <c r="SK1329" s="120"/>
      <c r="SL1329" s="120"/>
      <c r="SM1329" s="120"/>
      <c r="SN1329" s="120"/>
      <c r="SO1329" s="120"/>
      <c r="SP1329" s="120"/>
      <c r="SQ1329" s="120"/>
      <c r="SR1329" s="120"/>
      <c r="SS1329" s="120"/>
      <c r="ST1329" s="120"/>
      <c r="SU1329" s="120"/>
      <c r="SV1329" s="120"/>
      <c r="SW1329" s="120"/>
      <c r="SX1329" s="120"/>
      <c r="SY1329" s="120"/>
      <c r="SZ1329" s="120"/>
      <c r="TA1329" s="120"/>
      <c r="TB1329" s="120"/>
      <c r="TC1329" s="120"/>
      <c r="TD1329" s="120"/>
      <c r="TE1329" s="120"/>
      <c r="TF1329" s="120"/>
      <c r="TG1329" s="120"/>
      <c r="TH1329" s="120"/>
      <c r="TI1329" s="120"/>
      <c r="TJ1329" s="120"/>
      <c r="TK1329" s="120"/>
      <c r="TL1329" s="120"/>
      <c r="TM1329" s="120"/>
      <c r="TN1329" s="120"/>
      <c r="TO1329" s="120"/>
      <c r="TP1329" s="120"/>
      <c r="TQ1329" s="120"/>
      <c r="TR1329" s="120"/>
      <c r="TS1329" s="120"/>
      <c r="TT1329" s="120"/>
      <c r="TU1329" s="120"/>
      <c r="TV1329" s="120"/>
      <c r="TW1329" s="120"/>
      <c r="TX1329" s="120"/>
      <c r="TY1329" s="120"/>
      <c r="TZ1329" s="120"/>
      <c r="UA1329" s="120"/>
      <c r="UB1329" s="120"/>
      <c r="UC1329" s="120"/>
      <c r="UD1329" s="120"/>
      <c r="UE1329" s="120"/>
      <c r="UF1329" s="120"/>
      <c r="UG1329" s="120"/>
      <c r="UH1329" s="120"/>
      <c r="UI1329" s="120"/>
      <c r="UJ1329" s="120"/>
      <c r="UK1329" s="120"/>
      <c r="UL1329" s="120"/>
      <c r="UM1329" s="120"/>
      <c r="UN1329" s="120"/>
      <c r="UO1329" s="120"/>
      <c r="UP1329" s="120"/>
      <c r="UQ1329" s="120"/>
      <c r="UR1329" s="120"/>
      <c r="US1329" s="120"/>
      <c r="UT1329" s="120"/>
      <c r="UU1329" s="120"/>
      <c r="UV1329" s="120"/>
      <c r="UW1329" s="120"/>
      <c r="UX1329" s="120"/>
      <c r="UY1329" s="120"/>
      <c r="UZ1329" s="120"/>
      <c r="VA1329" s="120"/>
      <c r="VB1329" s="120"/>
      <c r="VC1329" s="120"/>
      <c r="VD1329" s="120"/>
      <c r="VE1329" s="120"/>
      <c r="VF1329" s="120"/>
      <c r="VG1329" s="120"/>
      <c r="VH1329" s="120"/>
      <c r="VI1329" s="120"/>
      <c r="VJ1329" s="120"/>
      <c r="VK1329" s="120"/>
      <c r="VL1329" s="120"/>
      <c r="VM1329" s="120"/>
      <c r="VN1329" s="120"/>
      <c r="VO1329" s="120"/>
      <c r="VP1329" s="120"/>
      <c r="VQ1329" s="120"/>
      <c r="VR1329" s="120"/>
      <c r="VS1329" s="120"/>
      <c r="VT1329" s="120"/>
      <c r="VU1329" s="120"/>
      <c r="VV1329" s="120"/>
      <c r="VW1329" s="120"/>
      <c r="VX1329" s="120"/>
      <c r="VY1329" s="120"/>
      <c r="VZ1329" s="120"/>
      <c r="WA1329" s="120"/>
      <c r="WB1329" s="120"/>
      <c r="WC1329" s="120"/>
      <c r="WD1329" s="120"/>
      <c r="WE1329" s="120"/>
      <c r="WF1329" s="120"/>
      <c r="WG1329" s="120"/>
      <c r="WH1329" s="120"/>
      <c r="WI1329" s="120"/>
      <c r="WJ1329" s="120"/>
      <c r="WK1329" s="120"/>
      <c r="WL1329" s="120"/>
      <c r="WM1329" s="120"/>
      <c r="WN1329" s="120"/>
      <c r="WO1329" s="120"/>
      <c r="WP1329" s="120"/>
      <c r="WQ1329" s="120"/>
      <c r="WR1329" s="120"/>
      <c r="WS1329" s="120"/>
      <c r="WT1329" s="120"/>
      <c r="WU1329" s="120"/>
      <c r="WV1329" s="120"/>
      <c r="WW1329" s="120"/>
      <c r="WX1329" s="120"/>
      <c r="WY1329" s="120"/>
      <c r="WZ1329" s="120"/>
      <c r="XA1329" s="120"/>
      <c r="XB1329" s="120"/>
      <c r="XC1329" s="120"/>
      <c r="XD1329" s="120"/>
      <c r="XE1329" s="120"/>
      <c r="XF1329" s="120"/>
      <c r="XG1329" s="120"/>
      <c r="XH1329" s="120"/>
      <c r="XI1329" s="120"/>
      <c r="XJ1329" s="120"/>
      <c r="XK1329" s="120"/>
      <c r="XL1329" s="120"/>
      <c r="XM1329" s="120"/>
      <c r="XN1329" s="120"/>
      <c r="XO1329" s="120"/>
      <c r="XP1329" s="120"/>
      <c r="XQ1329" s="120"/>
      <c r="XR1329" s="120"/>
      <c r="XS1329" s="120"/>
      <c r="XT1329" s="120"/>
      <c r="XU1329" s="120"/>
      <c r="XV1329" s="120"/>
      <c r="XW1329" s="120"/>
      <c r="XX1329" s="120"/>
      <c r="XY1329" s="120"/>
      <c r="XZ1329" s="120"/>
      <c r="YA1329" s="120"/>
      <c r="YB1329" s="120"/>
      <c r="YC1329" s="120"/>
      <c r="YD1329" s="120"/>
      <c r="YE1329" s="120"/>
      <c r="YF1329" s="120"/>
      <c r="YG1329" s="120"/>
      <c r="YH1329" s="120"/>
      <c r="YI1329" s="120"/>
      <c r="YJ1329" s="120"/>
      <c r="YK1329" s="120"/>
      <c r="YL1329" s="120"/>
      <c r="YM1329" s="120"/>
      <c r="YN1329" s="120"/>
      <c r="YO1329" s="120"/>
      <c r="YP1329" s="120"/>
      <c r="YQ1329" s="120"/>
      <c r="YR1329" s="120"/>
      <c r="YS1329" s="120"/>
      <c r="YT1329" s="120"/>
      <c r="YU1329" s="120"/>
      <c r="YV1329" s="120"/>
      <c r="YW1329" s="120"/>
      <c r="YX1329" s="120"/>
      <c r="YY1329" s="120"/>
      <c r="YZ1329" s="120"/>
      <c r="ZA1329" s="120"/>
      <c r="ZB1329" s="120"/>
      <c r="ZC1329" s="120"/>
      <c r="ZD1329" s="120"/>
      <c r="ZE1329" s="120"/>
      <c r="ZF1329" s="120"/>
      <c r="ZG1329" s="120"/>
      <c r="ZH1329" s="120"/>
      <c r="ZI1329" s="120"/>
      <c r="ZJ1329" s="120"/>
      <c r="ZK1329" s="120"/>
      <c r="ZL1329" s="120"/>
      <c r="ZM1329" s="120"/>
      <c r="ZN1329" s="120"/>
      <c r="ZO1329" s="120"/>
      <c r="ZP1329" s="120"/>
      <c r="ZQ1329" s="120"/>
      <c r="ZR1329" s="120"/>
      <c r="ZS1329" s="120"/>
      <c r="ZT1329" s="120"/>
      <c r="ZU1329" s="120"/>
      <c r="ZV1329" s="120"/>
      <c r="ZW1329" s="120"/>
      <c r="ZX1329" s="120"/>
      <c r="ZY1329" s="120"/>
      <c r="ZZ1329" s="120"/>
      <c r="AAA1329" s="120"/>
      <c r="AAB1329" s="120"/>
      <c r="AAC1329" s="120"/>
      <c r="AAD1329" s="120"/>
      <c r="AAE1329" s="120"/>
      <c r="AAF1329" s="120"/>
      <c r="AAG1329" s="120"/>
      <c r="AAH1329" s="120"/>
      <c r="AAI1329" s="120"/>
      <c r="AAJ1329" s="120"/>
      <c r="AAK1329" s="120"/>
      <c r="AAL1329" s="120"/>
      <c r="AAM1329" s="120"/>
      <c r="AAN1329" s="120"/>
      <c r="AAO1329" s="120"/>
      <c r="AAP1329" s="120"/>
      <c r="AAQ1329" s="120"/>
      <c r="AAR1329" s="120"/>
      <c r="AAS1329" s="120"/>
      <c r="AAT1329" s="120"/>
      <c r="AAU1329" s="120"/>
      <c r="AAV1329" s="120"/>
      <c r="AAW1329" s="120"/>
      <c r="AAX1329" s="120"/>
      <c r="AAY1329" s="120"/>
      <c r="AAZ1329" s="120"/>
      <c r="ABA1329" s="120"/>
      <c r="ABB1329" s="120"/>
      <c r="ABC1329" s="120"/>
      <c r="ABD1329" s="120"/>
      <c r="ABE1329" s="120"/>
      <c r="ABF1329" s="120"/>
      <c r="ABG1329" s="120"/>
      <c r="ABH1329" s="120"/>
      <c r="ABI1329" s="120"/>
      <c r="ABJ1329" s="120"/>
      <c r="ABK1329" s="120"/>
      <c r="ABL1329" s="120"/>
      <c r="ABM1329" s="120"/>
      <c r="ABN1329" s="120"/>
      <c r="ABO1329" s="120"/>
      <c r="ABP1329" s="120"/>
      <c r="ABQ1329" s="120"/>
      <c r="ABR1329" s="120"/>
      <c r="ABS1329" s="120"/>
      <c r="ABT1329" s="120"/>
      <c r="ABU1329" s="120"/>
      <c r="ABV1329" s="120"/>
      <c r="ABW1329" s="120"/>
      <c r="ABX1329" s="120"/>
      <c r="ABY1329" s="120"/>
      <c r="ABZ1329" s="120"/>
      <c r="ACA1329" s="120"/>
      <c r="ACB1329" s="120"/>
      <c r="ACC1329" s="120"/>
      <c r="ACD1329" s="120"/>
      <c r="ACE1329" s="120"/>
      <c r="ACF1329" s="120"/>
      <c r="ACG1329" s="120"/>
      <c r="ACH1329" s="120"/>
      <c r="ACI1329" s="120"/>
      <c r="ACJ1329" s="120"/>
      <c r="ACK1329" s="120"/>
      <c r="ACL1329" s="120"/>
      <c r="ACM1329" s="120"/>
      <c r="ACN1329" s="120"/>
      <c r="ACO1329" s="120"/>
      <c r="ACP1329" s="120"/>
      <c r="ACQ1329" s="120"/>
      <c r="ACR1329" s="120"/>
      <c r="ACS1329" s="120"/>
      <c r="ACT1329" s="120"/>
      <c r="ACU1329" s="120"/>
      <c r="ACV1329" s="120"/>
      <c r="ACW1329" s="120"/>
      <c r="ACX1329" s="120"/>
      <c r="ACY1329" s="120"/>
      <c r="ACZ1329" s="120"/>
      <c r="ADA1329" s="120"/>
      <c r="ADB1329" s="120"/>
      <c r="ADC1329" s="120"/>
      <c r="ADD1329" s="120"/>
      <c r="ADE1329" s="120"/>
      <c r="ADF1329" s="120"/>
      <c r="ADG1329" s="120"/>
      <c r="ADH1329" s="120"/>
      <c r="ADI1329" s="120"/>
      <c r="ADJ1329" s="120"/>
      <c r="ADK1329" s="120"/>
      <c r="ADL1329" s="120"/>
      <c r="ADM1329" s="120"/>
      <c r="ADN1329" s="120"/>
      <c r="ADO1329" s="120"/>
      <c r="ADP1329" s="120"/>
      <c r="ADQ1329" s="120"/>
      <c r="ADR1329" s="120"/>
      <c r="ADS1329" s="120"/>
      <c r="ADT1329" s="120"/>
      <c r="ADU1329" s="120"/>
      <c r="ADV1329" s="120"/>
      <c r="ADW1329" s="120"/>
      <c r="ADX1329" s="120"/>
      <c r="ADY1329" s="120"/>
      <c r="ADZ1329" s="120"/>
      <c r="AEA1329" s="120"/>
      <c r="AEB1329" s="120"/>
      <c r="AEC1329" s="120"/>
      <c r="AED1329" s="120"/>
      <c r="AEE1329" s="120"/>
      <c r="AEF1329" s="120"/>
      <c r="AEG1329" s="120"/>
      <c r="AEH1329" s="120"/>
      <c r="AEI1329" s="120"/>
      <c r="AEJ1329" s="120"/>
      <c r="AEK1329" s="120"/>
      <c r="AEL1329" s="120"/>
      <c r="AEM1329" s="120"/>
      <c r="AEN1329" s="120"/>
      <c r="AEO1329" s="120"/>
      <c r="AEP1329" s="120"/>
      <c r="AEQ1329" s="120"/>
      <c r="AER1329" s="120"/>
      <c r="AES1329" s="120"/>
      <c r="AET1329" s="120"/>
      <c r="AEU1329" s="120"/>
      <c r="AEV1329" s="120"/>
      <c r="AEW1329" s="120"/>
      <c r="AEX1329" s="120"/>
      <c r="AEY1329" s="120"/>
      <c r="AEZ1329" s="120"/>
      <c r="AFA1329" s="120"/>
      <c r="AFB1329" s="120"/>
      <c r="AFC1329" s="120"/>
      <c r="AFD1329" s="120"/>
      <c r="AFE1329" s="120"/>
      <c r="AFF1329" s="120"/>
      <c r="AFG1329" s="120"/>
      <c r="AFH1329" s="120"/>
      <c r="AFI1329" s="120"/>
      <c r="AFJ1329" s="120"/>
      <c r="AFK1329" s="120"/>
      <c r="AFL1329" s="120"/>
      <c r="AFM1329" s="120"/>
      <c r="AFN1329" s="120"/>
      <c r="AFO1329" s="120"/>
      <c r="AFP1329" s="120"/>
      <c r="AFQ1329" s="120"/>
      <c r="AFR1329" s="120"/>
      <c r="AFS1329" s="120"/>
      <c r="AFT1329" s="120"/>
      <c r="AFU1329" s="120"/>
      <c r="AFV1329" s="120"/>
      <c r="AFW1329" s="120"/>
      <c r="AFX1329" s="120"/>
      <c r="AFY1329" s="120"/>
      <c r="AFZ1329" s="120"/>
      <c r="AGA1329" s="120"/>
      <c r="AGB1329" s="120"/>
      <c r="AGC1329" s="120"/>
      <c r="AGD1329" s="120"/>
      <c r="AGE1329" s="120"/>
      <c r="AGF1329" s="120"/>
      <c r="AGG1329" s="120"/>
      <c r="AGH1329" s="120"/>
      <c r="AGI1329" s="120"/>
      <c r="AGJ1329" s="120"/>
      <c r="AGK1329" s="120"/>
      <c r="AGL1329" s="120"/>
      <c r="AGM1329" s="120"/>
      <c r="AGN1329" s="120"/>
      <c r="AGO1329" s="120"/>
      <c r="AGP1329" s="120"/>
      <c r="AGQ1329" s="120"/>
      <c r="AGR1329" s="120"/>
      <c r="AGS1329" s="120"/>
      <c r="AGT1329" s="120"/>
      <c r="AGU1329" s="120"/>
      <c r="AGV1329" s="120"/>
      <c r="AGW1329" s="120"/>
      <c r="AGX1329" s="120"/>
      <c r="AGY1329" s="120"/>
      <c r="AGZ1329" s="120"/>
      <c r="AHA1329" s="120"/>
      <c r="AHB1329" s="120"/>
      <c r="AHC1329" s="120"/>
      <c r="AHD1329" s="120"/>
      <c r="AHE1329" s="120"/>
      <c r="AHF1329" s="120"/>
      <c r="AHG1329" s="120"/>
      <c r="AHH1329" s="120"/>
      <c r="AHI1329" s="120"/>
      <c r="AHJ1329" s="120"/>
      <c r="AHK1329" s="120"/>
      <c r="AHL1329" s="120"/>
      <c r="AHM1329" s="120"/>
      <c r="AHN1329" s="120"/>
      <c r="AHO1329" s="120"/>
      <c r="AHP1329" s="120"/>
      <c r="AHQ1329" s="120"/>
      <c r="AHR1329" s="120"/>
      <c r="AHS1329" s="120"/>
      <c r="AHT1329" s="120"/>
      <c r="AHU1329" s="120"/>
      <c r="AHV1329" s="120"/>
      <c r="AHW1329" s="120"/>
      <c r="AHX1329" s="120"/>
      <c r="AHY1329" s="120"/>
      <c r="AHZ1329" s="120"/>
      <c r="AIA1329" s="120"/>
      <c r="AIB1329" s="120"/>
      <c r="AIC1329" s="120"/>
      <c r="AID1329" s="120"/>
      <c r="AIE1329" s="120"/>
      <c r="AIF1329" s="120"/>
      <c r="AIG1329" s="120"/>
      <c r="AIH1329" s="120"/>
      <c r="AII1329" s="120"/>
      <c r="AIJ1329" s="120"/>
      <c r="AIK1329" s="120"/>
      <c r="AIL1329" s="120"/>
      <c r="AIM1329" s="120"/>
      <c r="AIN1329" s="120"/>
      <c r="AIO1329" s="120"/>
      <c r="AIP1329" s="120"/>
      <c r="AIQ1329" s="120"/>
      <c r="AIR1329" s="120"/>
      <c r="AIS1329" s="120"/>
      <c r="AIT1329" s="120"/>
      <c r="AIU1329" s="120"/>
      <c r="AIV1329" s="120"/>
      <c r="AIW1329" s="120"/>
      <c r="AIX1329" s="120"/>
      <c r="AIY1329" s="120"/>
      <c r="AIZ1329" s="120"/>
      <c r="AJA1329" s="120"/>
      <c r="AJB1329" s="120"/>
      <c r="AJC1329" s="120"/>
      <c r="AJD1329" s="120"/>
      <c r="AJE1329" s="120"/>
      <c r="AJF1329" s="120"/>
      <c r="AJG1329" s="120"/>
      <c r="AJH1329" s="120"/>
      <c r="AJI1329" s="120"/>
      <c r="AJJ1329" s="120"/>
      <c r="AJK1329" s="120"/>
      <c r="AJL1329" s="120"/>
      <c r="AJM1329" s="120"/>
      <c r="AJN1329" s="120"/>
      <c r="AJO1329" s="120"/>
      <c r="AJP1329" s="120"/>
      <c r="AJQ1329" s="120"/>
      <c r="AJR1329" s="120"/>
      <c r="AJS1329" s="120"/>
      <c r="AJT1329" s="120"/>
      <c r="AJU1329" s="120"/>
      <c r="AJV1329" s="120"/>
      <c r="AJW1329" s="120"/>
      <c r="AJX1329" s="120"/>
      <c r="AJY1329" s="120"/>
      <c r="AJZ1329" s="120"/>
      <c r="AKA1329" s="120"/>
      <c r="AKB1329" s="120"/>
      <c r="AKC1329" s="120"/>
      <c r="AKD1329" s="120"/>
      <c r="AKE1329" s="120"/>
      <c r="AKF1329" s="120"/>
      <c r="AKG1329" s="120"/>
      <c r="AKH1329" s="120"/>
      <c r="AKI1329" s="120"/>
      <c r="AKJ1329" s="120"/>
      <c r="AKK1329" s="120"/>
      <c r="AKL1329" s="120"/>
      <c r="AKM1329" s="120"/>
      <c r="AKN1329" s="120"/>
      <c r="AKO1329" s="120"/>
      <c r="AKP1329" s="120"/>
      <c r="AKQ1329" s="120"/>
      <c r="AKR1329" s="120"/>
      <c r="AKS1329" s="120"/>
      <c r="AKT1329" s="120"/>
      <c r="AKU1329" s="120"/>
      <c r="AKV1329" s="120"/>
      <c r="AKW1329" s="120"/>
      <c r="AKX1329" s="120"/>
      <c r="AKY1329" s="120"/>
      <c r="AKZ1329" s="120"/>
      <c r="ALA1329" s="120"/>
      <c r="ALB1329" s="120"/>
      <c r="ALC1329" s="120"/>
      <c r="ALD1329" s="120"/>
      <c r="ALE1329" s="120"/>
      <c r="ALF1329" s="120"/>
      <c r="ALG1329" s="120"/>
      <c r="ALH1329" s="120"/>
      <c r="ALI1329" s="120"/>
      <c r="ALJ1329" s="120"/>
      <c r="ALK1329" s="120"/>
      <c r="ALL1329" s="120"/>
      <c r="ALM1329" s="120"/>
      <c r="ALN1329" s="120"/>
      <c r="ALO1329" s="120"/>
      <c r="ALP1329" s="120"/>
      <c r="ALQ1329" s="120"/>
      <c r="ALR1329" s="120"/>
      <c r="ALS1329" s="120"/>
      <c r="ALT1329" s="120"/>
      <c r="ALU1329" s="120"/>
      <c r="ALV1329" s="120"/>
      <c r="ALW1329" s="120"/>
      <c r="ALX1329" s="120"/>
      <c r="ALY1329" s="120"/>
      <c r="ALZ1329" s="120"/>
      <c r="AMA1329" s="120"/>
      <c r="AMB1329" s="120"/>
      <c r="AMC1329" s="120"/>
      <c r="AMD1329" s="120"/>
      <c r="AME1329" s="120"/>
      <c r="AMF1329" s="120"/>
      <c r="AMG1329" s="120"/>
      <c r="AMH1329" s="120"/>
      <c r="AMI1329" s="120"/>
      <c r="AMJ1329" s="120"/>
      <c r="AMK1329" s="120"/>
      <c r="AML1329" s="120"/>
      <c r="AMM1329" s="120"/>
      <c r="AMN1329" s="120"/>
      <c r="AMO1329" s="120"/>
      <c r="AMP1329" s="120"/>
      <c r="AMQ1329" s="120"/>
      <c r="AMR1329" s="120"/>
      <c r="AMS1329" s="120"/>
      <c r="AMT1329" s="120"/>
      <c r="AMU1329" s="120"/>
      <c r="AMV1329" s="120"/>
      <c r="AMW1329" s="120"/>
      <c r="AMX1329" s="120"/>
      <c r="AMY1329" s="120"/>
      <c r="AMZ1329" s="120"/>
      <c r="ANA1329" s="120"/>
      <c r="ANB1329" s="120"/>
      <c r="ANC1329" s="120"/>
      <c r="AND1329" s="120"/>
      <c r="ANE1329" s="120"/>
      <c r="ANF1329" s="120"/>
      <c r="ANG1329" s="120"/>
      <c r="ANH1329" s="120"/>
      <c r="ANI1329" s="120"/>
      <c r="ANJ1329" s="120"/>
      <c r="ANK1329" s="120"/>
      <c r="ANL1329" s="120"/>
      <c r="ANM1329" s="120"/>
      <c r="ANN1329" s="120"/>
      <c r="ANO1329" s="120"/>
      <c r="ANP1329" s="120"/>
      <c r="ANQ1329" s="120"/>
      <c r="ANR1329" s="120"/>
      <c r="ANS1329" s="120"/>
      <c r="ANT1329" s="120"/>
      <c r="ANU1329" s="120"/>
      <c r="ANV1329" s="120"/>
      <c r="ANW1329" s="120"/>
      <c r="ANX1329" s="120"/>
      <c r="ANY1329" s="120"/>
      <c r="ANZ1329" s="120"/>
      <c r="AOA1329" s="120"/>
      <c r="AOB1329" s="120"/>
      <c r="AOC1329" s="120"/>
      <c r="AOD1329" s="120"/>
      <c r="AOE1329" s="120"/>
      <c r="AOF1329" s="120"/>
      <c r="AOG1329" s="120"/>
      <c r="AOH1329" s="120"/>
      <c r="AOI1329" s="120"/>
      <c r="AOJ1329" s="120"/>
      <c r="AOK1329" s="120"/>
      <c r="AOL1329" s="120"/>
      <c r="AOM1329" s="120"/>
      <c r="AON1329" s="120"/>
      <c r="AOO1329" s="120"/>
      <c r="AOP1329" s="120"/>
      <c r="AOQ1329" s="120"/>
      <c r="AOR1329" s="120"/>
      <c r="AOS1329" s="120"/>
      <c r="AOT1329" s="120"/>
      <c r="AOU1329" s="120"/>
      <c r="AOV1329" s="120"/>
      <c r="AOW1329" s="120"/>
      <c r="AOX1329" s="120"/>
      <c r="AOY1329" s="120"/>
      <c r="AOZ1329" s="120"/>
      <c r="APA1329" s="120"/>
      <c r="APB1329" s="120"/>
      <c r="APC1329" s="120"/>
      <c r="APD1329" s="120"/>
      <c r="APE1329" s="120"/>
      <c r="APF1329" s="120"/>
      <c r="APG1329" s="120"/>
      <c r="APH1329" s="120"/>
      <c r="API1329" s="120"/>
      <c r="APJ1329" s="120"/>
      <c r="APK1329" s="120"/>
      <c r="APL1329" s="120"/>
      <c r="APM1329" s="120"/>
      <c r="APN1329" s="120"/>
      <c r="APO1329" s="120"/>
      <c r="APP1329" s="120"/>
      <c r="APQ1329" s="120"/>
      <c r="APR1329" s="120"/>
      <c r="APS1329" s="120"/>
      <c r="APT1329" s="120"/>
      <c r="APU1329" s="120"/>
      <c r="APV1329" s="120"/>
      <c r="APW1329" s="120"/>
      <c r="APX1329" s="120"/>
      <c r="APY1329" s="120"/>
      <c r="APZ1329" s="120"/>
      <c r="AQA1329" s="120"/>
      <c r="AQB1329" s="120"/>
      <c r="AQC1329" s="120"/>
      <c r="AQD1329" s="120"/>
      <c r="AQE1329" s="120"/>
      <c r="AQF1329" s="120"/>
      <c r="AQG1329" s="120"/>
      <c r="AQH1329" s="120"/>
      <c r="AQI1329" s="120"/>
      <c r="AQJ1329" s="120"/>
      <c r="AQK1329" s="120"/>
      <c r="AQL1329" s="120"/>
      <c r="AQM1329" s="120"/>
      <c r="AQN1329" s="120"/>
      <c r="AQO1329" s="120"/>
      <c r="AQP1329" s="120"/>
      <c r="AQQ1329" s="120"/>
      <c r="AQR1329" s="120"/>
      <c r="AQS1329" s="120"/>
      <c r="AQT1329" s="120"/>
      <c r="AQU1329" s="120"/>
      <c r="AQV1329" s="120"/>
      <c r="AQW1329" s="120"/>
      <c r="AQX1329" s="120"/>
      <c r="AQY1329" s="120"/>
      <c r="AQZ1329" s="120"/>
      <c r="ARA1329" s="120"/>
      <c r="ARB1329" s="120"/>
      <c r="ARC1329" s="120"/>
      <c r="ARD1329" s="120"/>
      <c r="ARE1329" s="120"/>
      <c r="ARF1329" s="120"/>
      <c r="ARG1329" s="120"/>
      <c r="ARH1329" s="120"/>
      <c r="ARI1329" s="120"/>
      <c r="ARJ1329" s="120"/>
      <c r="ARK1329" s="120"/>
      <c r="ARL1329" s="120"/>
      <c r="ARM1329" s="120"/>
      <c r="ARN1329" s="120"/>
      <c r="ARO1329" s="120"/>
      <c r="ARP1329" s="120"/>
      <c r="ARQ1329" s="120"/>
      <c r="ARR1329" s="120"/>
      <c r="ARS1329" s="120"/>
      <c r="ART1329" s="120"/>
      <c r="ARU1329" s="120"/>
      <c r="ARV1329" s="120"/>
      <c r="ARW1329" s="120"/>
      <c r="ARX1329" s="120"/>
      <c r="ARY1329" s="120"/>
      <c r="ARZ1329" s="120"/>
      <c r="ASA1329" s="120"/>
      <c r="ASB1329" s="120"/>
      <c r="ASC1329" s="120"/>
      <c r="ASD1329" s="120"/>
      <c r="ASE1329" s="120"/>
      <c r="ASF1329" s="120"/>
      <c r="ASG1329" s="120"/>
      <c r="ASH1329" s="120"/>
      <c r="ASI1329" s="120"/>
      <c r="ASJ1329" s="120"/>
      <c r="ASK1329" s="120"/>
      <c r="ASL1329" s="120"/>
      <c r="ASM1329" s="120"/>
      <c r="ASN1329" s="120"/>
      <c r="ASO1329" s="120"/>
      <c r="ASP1329" s="120"/>
      <c r="ASQ1329" s="120"/>
      <c r="ASR1329" s="120"/>
      <c r="ASS1329" s="120"/>
      <c r="AST1329" s="120"/>
      <c r="ASU1329" s="120"/>
      <c r="ASV1329" s="120"/>
      <c r="ASW1329" s="120"/>
      <c r="ASX1329" s="120"/>
      <c r="ASY1329" s="120"/>
      <c r="ASZ1329" s="120"/>
      <c r="ATA1329" s="120"/>
      <c r="ATB1329" s="120"/>
      <c r="ATC1329" s="120"/>
      <c r="ATD1329" s="120"/>
      <c r="ATE1329" s="120"/>
      <c r="ATF1329" s="120"/>
      <c r="ATG1329" s="120"/>
      <c r="ATH1329" s="120"/>
      <c r="ATI1329" s="120"/>
      <c r="ATJ1329" s="120"/>
      <c r="ATK1329" s="120"/>
      <c r="ATL1329" s="120"/>
      <c r="ATM1329" s="120"/>
      <c r="ATN1329" s="120"/>
      <c r="ATO1329" s="120"/>
    </row>
    <row r="1330" spans="1:1211" s="20" customFormat="1" ht="14.1" customHeight="1">
      <c r="A1330" s="112"/>
      <c r="B1330" s="112"/>
      <c r="C1330" s="573"/>
      <c r="D1330" s="120"/>
      <c r="E1330" s="701"/>
      <c r="F1330" s="703"/>
      <c r="G1330" s="702"/>
      <c r="H1330" s="702"/>
      <c r="I1330" s="702"/>
      <c r="J1330" s="700"/>
      <c r="K1330" s="112"/>
      <c r="L1330" s="363"/>
      <c r="M1330" s="112"/>
      <c r="N1330" s="362"/>
      <c r="O1330" s="573"/>
      <c r="P1330" s="120"/>
      <c r="Q1330" s="120"/>
      <c r="R1330" s="120"/>
      <c r="S1330" s="120"/>
      <c r="T1330" s="120"/>
      <c r="U1330" s="120"/>
      <c r="V1330" s="120"/>
      <c r="W1330" s="120"/>
      <c r="X1330" s="120"/>
      <c r="Y1330" s="120"/>
      <c r="Z1330" s="120"/>
      <c r="AA1330" s="120"/>
      <c r="AB1330" s="120"/>
      <c r="AC1330" s="120"/>
      <c r="AD1330" s="120"/>
      <c r="AE1330" s="120"/>
      <c r="AF1330" s="120"/>
      <c r="AG1330" s="120"/>
      <c r="AH1330" s="120"/>
      <c r="AI1330" s="120"/>
      <c r="AJ1330" s="120"/>
      <c r="AK1330" s="120"/>
      <c r="AL1330" s="120"/>
      <c r="AM1330" s="120"/>
      <c r="AN1330" s="120"/>
      <c r="AO1330" s="120"/>
      <c r="AP1330" s="120"/>
      <c r="AQ1330" s="120"/>
      <c r="AR1330" s="120"/>
      <c r="AS1330" s="120"/>
      <c r="AT1330" s="120"/>
      <c r="AU1330" s="120"/>
      <c r="AV1330" s="120"/>
      <c r="AW1330" s="120"/>
      <c r="AX1330" s="120"/>
      <c r="AY1330" s="120"/>
      <c r="AZ1330" s="120"/>
      <c r="BA1330" s="120"/>
      <c r="BB1330" s="120"/>
      <c r="BC1330" s="120"/>
      <c r="BD1330" s="120"/>
      <c r="BE1330" s="120"/>
      <c r="BF1330" s="120"/>
      <c r="BG1330" s="120"/>
      <c r="BH1330" s="120"/>
      <c r="BI1330" s="120"/>
      <c r="BJ1330" s="120"/>
      <c r="BK1330" s="120"/>
      <c r="BL1330" s="120"/>
      <c r="BM1330" s="120"/>
      <c r="BN1330" s="120"/>
      <c r="BO1330" s="120"/>
      <c r="BP1330" s="120"/>
      <c r="BQ1330" s="120"/>
      <c r="BR1330" s="120"/>
      <c r="BS1330" s="120"/>
      <c r="BT1330" s="120"/>
      <c r="BU1330" s="120"/>
      <c r="BV1330" s="120"/>
      <c r="BW1330" s="120"/>
      <c r="BX1330" s="120"/>
      <c r="BY1330" s="120"/>
      <c r="BZ1330" s="120"/>
      <c r="CA1330" s="120"/>
      <c r="CB1330" s="120"/>
      <c r="CC1330" s="120"/>
      <c r="CD1330" s="120"/>
      <c r="CE1330" s="120"/>
      <c r="CF1330" s="120"/>
      <c r="CG1330" s="120"/>
      <c r="CH1330" s="120"/>
      <c r="CI1330" s="120"/>
      <c r="CJ1330" s="120"/>
      <c r="CK1330" s="120"/>
      <c r="CL1330" s="120"/>
      <c r="CM1330" s="120"/>
      <c r="CN1330" s="120"/>
      <c r="CO1330" s="120"/>
      <c r="CP1330" s="120"/>
      <c r="CQ1330" s="120"/>
      <c r="CR1330" s="120"/>
      <c r="CS1330" s="120"/>
      <c r="CT1330" s="120"/>
      <c r="CU1330" s="120"/>
      <c r="CV1330" s="120"/>
      <c r="CW1330" s="120"/>
      <c r="CX1330" s="120"/>
      <c r="CY1330" s="120"/>
      <c r="CZ1330" s="120"/>
      <c r="DA1330" s="120"/>
      <c r="DB1330" s="120"/>
      <c r="DC1330" s="120"/>
      <c r="DD1330" s="120"/>
      <c r="DE1330" s="120"/>
      <c r="DF1330" s="120"/>
      <c r="DG1330" s="120"/>
      <c r="DH1330" s="120"/>
      <c r="DI1330" s="120"/>
      <c r="DJ1330" s="120"/>
      <c r="DK1330" s="120"/>
      <c r="DL1330" s="120"/>
      <c r="DM1330" s="120"/>
      <c r="DN1330" s="120"/>
      <c r="DO1330" s="120"/>
      <c r="DP1330" s="120"/>
      <c r="DQ1330" s="120"/>
      <c r="DR1330" s="120"/>
      <c r="DS1330" s="120"/>
      <c r="DT1330" s="120"/>
      <c r="DU1330" s="120"/>
      <c r="DV1330" s="120"/>
      <c r="DW1330" s="120"/>
      <c r="DX1330" s="120"/>
      <c r="DY1330" s="120"/>
      <c r="DZ1330" s="120"/>
      <c r="EA1330" s="120"/>
      <c r="EB1330" s="120"/>
      <c r="EC1330" s="120"/>
      <c r="ED1330" s="120"/>
      <c r="EE1330" s="120"/>
      <c r="EF1330" s="120"/>
      <c r="EG1330" s="120"/>
      <c r="EH1330" s="120"/>
      <c r="EI1330" s="120"/>
      <c r="EJ1330" s="120"/>
      <c r="EK1330" s="120"/>
      <c r="EL1330" s="120"/>
      <c r="EM1330" s="120"/>
      <c r="EN1330" s="120"/>
      <c r="EO1330" s="120"/>
      <c r="EP1330" s="120"/>
      <c r="EQ1330" s="120"/>
      <c r="ER1330" s="120"/>
      <c r="ES1330" s="120"/>
      <c r="ET1330" s="120"/>
      <c r="EU1330" s="120"/>
      <c r="EV1330" s="120"/>
      <c r="EW1330" s="120"/>
      <c r="EX1330" s="120"/>
      <c r="EY1330" s="120"/>
      <c r="EZ1330" s="120"/>
      <c r="FA1330" s="120"/>
      <c r="FB1330" s="120"/>
      <c r="FC1330" s="120"/>
      <c r="FD1330" s="120"/>
      <c r="FE1330" s="120"/>
      <c r="FF1330" s="120"/>
      <c r="FG1330" s="120"/>
      <c r="FH1330" s="120"/>
      <c r="FI1330" s="120"/>
      <c r="FJ1330" s="120"/>
      <c r="FK1330" s="120"/>
      <c r="FL1330" s="120"/>
      <c r="FM1330" s="120"/>
      <c r="FN1330" s="120"/>
      <c r="FO1330" s="120"/>
      <c r="FP1330" s="120"/>
      <c r="FQ1330" s="120"/>
      <c r="FR1330" s="120"/>
      <c r="FS1330" s="120"/>
      <c r="FT1330" s="120"/>
      <c r="FU1330" s="120"/>
      <c r="FV1330" s="120"/>
      <c r="FW1330" s="120"/>
      <c r="FX1330" s="120"/>
      <c r="FY1330" s="120"/>
      <c r="FZ1330" s="120"/>
      <c r="GA1330" s="120"/>
      <c r="GB1330" s="120"/>
      <c r="GC1330" s="120"/>
      <c r="GD1330" s="120"/>
      <c r="GE1330" s="120"/>
      <c r="GF1330" s="120"/>
      <c r="GG1330" s="120"/>
      <c r="GH1330" s="120"/>
      <c r="GI1330" s="120"/>
      <c r="GJ1330" s="120"/>
      <c r="GK1330" s="120"/>
      <c r="GL1330" s="120"/>
      <c r="GM1330" s="120"/>
      <c r="GN1330" s="120"/>
      <c r="GO1330" s="120"/>
      <c r="GP1330" s="120"/>
      <c r="GQ1330" s="120"/>
      <c r="GR1330" s="120"/>
      <c r="GS1330" s="120"/>
      <c r="GT1330" s="120"/>
      <c r="GU1330" s="120"/>
      <c r="GV1330" s="120"/>
      <c r="GW1330" s="120"/>
      <c r="GX1330" s="120"/>
      <c r="GY1330" s="120"/>
      <c r="GZ1330" s="120"/>
      <c r="HA1330" s="120"/>
      <c r="HB1330" s="120"/>
      <c r="HC1330" s="120"/>
      <c r="HD1330" s="120"/>
      <c r="HE1330" s="120"/>
      <c r="HF1330" s="120"/>
      <c r="HG1330" s="120"/>
      <c r="HH1330" s="120"/>
      <c r="HI1330" s="120"/>
      <c r="HJ1330" s="120"/>
      <c r="HK1330" s="120"/>
      <c r="HL1330" s="120"/>
      <c r="HM1330" s="120"/>
      <c r="HN1330" s="120"/>
      <c r="HO1330" s="120"/>
      <c r="HP1330" s="120"/>
      <c r="HQ1330" s="120"/>
      <c r="HR1330" s="120"/>
      <c r="HS1330" s="120"/>
      <c r="HT1330" s="120"/>
      <c r="HU1330" s="120"/>
      <c r="HV1330" s="120"/>
      <c r="HW1330" s="120"/>
      <c r="HX1330" s="120"/>
      <c r="HY1330" s="120"/>
      <c r="HZ1330" s="120"/>
      <c r="IA1330" s="120"/>
      <c r="IB1330" s="120"/>
      <c r="IC1330" s="120"/>
      <c r="ID1330" s="120"/>
      <c r="IE1330" s="120"/>
      <c r="IF1330" s="120"/>
      <c r="IG1330" s="120"/>
      <c r="IH1330" s="120"/>
      <c r="II1330" s="120"/>
      <c r="IJ1330" s="120"/>
      <c r="IK1330" s="120"/>
      <c r="IL1330" s="120"/>
      <c r="IM1330" s="120"/>
      <c r="IN1330" s="120"/>
      <c r="IO1330" s="120"/>
      <c r="IP1330" s="120"/>
      <c r="IQ1330" s="120"/>
      <c r="IR1330" s="120"/>
      <c r="IS1330" s="120"/>
      <c r="IT1330" s="120"/>
      <c r="IU1330" s="120"/>
      <c r="IV1330" s="120"/>
      <c r="IW1330" s="120"/>
      <c r="IX1330" s="120"/>
      <c r="IY1330" s="120"/>
      <c r="IZ1330" s="120"/>
      <c r="JA1330" s="120"/>
      <c r="JB1330" s="120"/>
      <c r="JC1330" s="120"/>
      <c r="JD1330" s="120"/>
      <c r="JE1330" s="120"/>
      <c r="JF1330" s="120"/>
      <c r="JG1330" s="120"/>
      <c r="JH1330" s="120"/>
      <c r="JI1330" s="120"/>
      <c r="JJ1330" s="120"/>
      <c r="JK1330" s="120"/>
      <c r="JL1330" s="120"/>
      <c r="JM1330" s="120"/>
      <c r="JN1330" s="120"/>
      <c r="JO1330" s="120"/>
      <c r="JP1330" s="120"/>
      <c r="JQ1330" s="120"/>
      <c r="JR1330" s="120"/>
      <c r="JS1330" s="120"/>
      <c r="JT1330" s="120"/>
      <c r="JU1330" s="120"/>
      <c r="JV1330" s="120"/>
      <c r="JW1330" s="120"/>
      <c r="JX1330" s="120"/>
      <c r="JY1330" s="120"/>
      <c r="JZ1330" s="120"/>
      <c r="KA1330" s="120"/>
      <c r="KB1330" s="120"/>
      <c r="KC1330" s="120"/>
      <c r="KD1330" s="120"/>
      <c r="KE1330" s="120"/>
      <c r="KF1330" s="120"/>
      <c r="KG1330" s="120"/>
      <c r="KH1330" s="120"/>
      <c r="KI1330" s="120"/>
      <c r="KJ1330" s="120"/>
      <c r="KK1330" s="120"/>
      <c r="KL1330" s="120"/>
      <c r="KM1330" s="120"/>
      <c r="KN1330" s="120"/>
      <c r="KO1330" s="120"/>
      <c r="KP1330" s="120"/>
      <c r="KQ1330" s="120"/>
      <c r="KR1330" s="120"/>
      <c r="KS1330" s="120"/>
      <c r="KT1330" s="120"/>
      <c r="KU1330" s="120"/>
      <c r="KV1330" s="120"/>
      <c r="KW1330" s="120"/>
      <c r="KX1330" s="120"/>
      <c r="KY1330" s="120"/>
      <c r="KZ1330" s="120"/>
      <c r="LA1330" s="120"/>
      <c r="LB1330" s="120"/>
      <c r="LC1330" s="120"/>
      <c r="LD1330" s="120"/>
      <c r="LE1330" s="120"/>
      <c r="LF1330" s="120"/>
      <c r="LG1330" s="120"/>
      <c r="LH1330" s="120"/>
      <c r="LI1330" s="120"/>
      <c r="LJ1330" s="120"/>
      <c r="LK1330" s="120"/>
      <c r="LL1330" s="120"/>
      <c r="LM1330" s="120"/>
      <c r="LN1330" s="120"/>
      <c r="LO1330" s="120"/>
      <c r="LP1330" s="120"/>
      <c r="LQ1330" s="120"/>
      <c r="LR1330" s="120"/>
      <c r="LS1330" s="120"/>
      <c r="LT1330" s="120"/>
      <c r="LU1330" s="120"/>
      <c r="LV1330" s="120"/>
      <c r="LW1330" s="120"/>
      <c r="LX1330" s="120"/>
      <c r="LY1330" s="120"/>
      <c r="LZ1330" s="120"/>
      <c r="MA1330" s="120"/>
      <c r="MB1330" s="120"/>
      <c r="MC1330" s="120"/>
      <c r="MD1330" s="120"/>
      <c r="ME1330" s="120"/>
      <c r="MF1330" s="120"/>
      <c r="MG1330" s="120"/>
      <c r="MH1330" s="120"/>
      <c r="MI1330" s="120"/>
      <c r="MJ1330" s="120"/>
      <c r="MK1330" s="120"/>
      <c r="ML1330" s="120"/>
      <c r="MM1330" s="120"/>
      <c r="MN1330" s="120"/>
      <c r="MO1330" s="120"/>
      <c r="MP1330" s="120"/>
      <c r="MQ1330" s="120"/>
      <c r="MR1330" s="120"/>
      <c r="MS1330" s="120"/>
      <c r="MT1330" s="120"/>
      <c r="MU1330" s="120"/>
      <c r="MV1330" s="120"/>
      <c r="MW1330" s="120"/>
      <c r="MX1330" s="120"/>
      <c r="MY1330" s="120"/>
      <c r="MZ1330" s="120"/>
      <c r="NA1330" s="120"/>
      <c r="NB1330" s="120"/>
      <c r="NC1330" s="120"/>
      <c r="ND1330" s="120"/>
      <c r="NE1330" s="120"/>
      <c r="NF1330" s="120"/>
      <c r="NG1330" s="120"/>
      <c r="NH1330" s="120"/>
      <c r="NI1330" s="120"/>
      <c r="NJ1330" s="120"/>
      <c r="NK1330" s="120"/>
      <c r="NL1330" s="120"/>
      <c r="NM1330" s="120"/>
      <c r="NN1330" s="120"/>
      <c r="NO1330" s="120"/>
      <c r="NP1330" s="120"/>
      <c r="NQ1330" s="120"/>
      <c r="NR1330" s="120"/>
      <c r="NS1330" s="120"/>
      <c r="NT1330" s="120"/>
      <c r="NU1330" s="120"/>
      <c r="NV1330" s="120"/>
      <c r="NW1330" s="120"/>
      <c r="NX1330" s="120"/>
      <c r="NY1330" s="120"/>
      <c r="NZ1330" s="120"/>
      <c r="OA1330" s="120"/>
      <c r="OB1330" s="120"/>
      <c r="OC1330" s="120"/>
      <c r="OD1330" s="120"/>
      <c r="OE1330" s="120"/>
      <c r="OF1330" s="120"/>
      <c r="OG1330" s="120"/>
      <c r="OH1330" s="120"/>
      <c r="OI1330" s="120"/>
      <c r="OJ1330" s="120"/>
      <c r="OK1330" s="120"/>
      <c r="OL1330" s="120"/>
      <c r="OM1330" s="120"/>
      <c r="ON1330" s="120"/>
      <c r="OO1330" s="120"/>
      <c r="OP1330" s="120"/>
      <c r="OQ1330" s="120"/>
      <c r="OR1330" s="120"/>
      <c r="OS1330" s="120"/>
      <c r="OT1330" s="120"/>
      <c r="OU1330" s="120"/>
      <c r="OV1330" s="120"/>
      <c r="OW1330" s="120"/>
      <c r="OX1330" s="120"/>
      <c r="OY1330" s="120"/>
      <c r="OZ1330" s="120"/>
      <c r="PA1330" s="120"/>
      <c r="PB1330" s="120"/>
      <c r="PC1330" s="120"/>
      <c r="PD1330" s="120"/>
      <c r="PE1330" s="120"/>
      <c r="PF1330" s="120"/>
      <c r="PG1330" s="120"/>
      <c r="PH1330" s="120"/>
      <c r="PI1330" s="120"/>
      <c r="PJ1330" s="120"/>
      <c r="PK1330" s="120"/>
      <c r="PL1330" s="120"/>
      <c r="PM1330" s="120"/>
      <c r="PN1330" s="120"/>
      <c r="PO1330" s="120"/>
      <c r="PP1330" s="120"/>
      <c r="PQ1330" s="120"/>
      <c r="PR1330" s="120"/>
      <c r="PS1330" s="120"/>
      <c r="PT1330" s="120"/>
      <c r="PU1330" s="120"/>
      <c r="PV1330" s="120"/>
      <c r="PW1330" s="120"/>
      <c r="PX1330" s="120"/>
      <c r="PY1330" s="120"/>
      <c r="PZ1330" s="120"/>
      <c r="QA1330" s="120"/>
      <c r="QB1330" s="120"/>
      <c r="QC1330" s="120"/>
      <c r="QD1330" s="120"/>
      <c r="QE1330" s="120"/>
      <c r="QF1330" s="120"/>
      <c r="QG1330" s="120"/>
      <c r="QH1330" s="120"/>
      <c r="QI1330" s="120"/>
      <c r="QJ1330" s="120"/>
      <c r="QK1330" s="120"/>
      <c r="QL1330" s="120"/>
      <c r="QM1330" s="120"/>
      <c r="QN1330" s="120"/>
      <c r="QO1330" s="120"/>
      <c r="QP1330" s="120"/>
      <c r="QQ1330" s="120"/>
      <c r="QR1330" s="120"/>
      <c r="QS1330" s="120"/>
      <c r="QT1330" s="120"/>
      <c r="QU1330" s="120"/>
      <c r="QV1330" s="120"/>
      <c r="QW1330" s="120"/>
      <c r="QX1330" s="120"/>
      <c r="QY1330" s="120"/>
      <c r="QZ1330" s="120"/>
      <c r="RA1330" s="120"/>
      <c r="RB1330" s="120"/>
      <c r="RC1330" s="120"/>
      <c r="RD1330" s="120"/>
      <c r="RE1330" s="120"/>
      <c r="RF1330" s="120"/>
      <c r="RG1330" s="120"/>
      <c r="RH1330" s="120"/>
      <c r="RI1330" s="120"/>
      <c r="RJ1330" s="120"/>
      <c r="RK1330" s="120"/>
      <c r="RL1330" s="120"/>
      <c r="RM1330" s="120"/>
      <c r="RN1330" s="120"/>
      <c r="RO1330" s="120"/>
      <c r="RP1330" s="120"/>
      <c r="RQ1330" s="120"/>
      <c r="RR1330" s="120"/>
      <c r="RS1330" s="120"/>
      <c r="RT1330" s="120"/>
      <c r="RU1330" s="120"/>
      <c r="RV1330" s="120"/>
      <c r="RW1330" s="120"/>
      <c r="RX1330" s="120"/>
      <c r="RY1330" s="120"/>
      <c r="RZ1330" s="120"/>
      <c r="SA1330" s="120"/>
      <c r="SB1330" s="120"/>
      <c r="SC1330" s="120"/>
      <c r="SD1330" s="120"/>
      <c r="SE1330" s="120"/>
      <c r="SF1330" s="120"/>
      <c r="SG1330" s="120"/>
      <c r="SH1330" s="120"/>
      <c r="SI1330" s="120"/>
      <c r="SJ1330" s="120"/>
      <c r="SK1330" s="120"/>
      <c r="SL1330" s="120"/>
      <c r="SM1330" s="120"/>
      <c r="SN1330" s="120"/>
      <c r="SO1330" s="120"/>
      <c r="SP1330" s="120"/>
      <c r="SQ1330" s="120"/>
      <c r="SR1330" s="120"/>
      <c r="SS1330" s="120"/>
      <c r="ST1330" s="120"/>
      <c r="SU1330" s="120"/>
      <c r="SV1330" s="120"/>
      <c r="SW1330" s="120"/>
      <c r="SX1330" s="120"/>
      <c r="SY1330" s="120"/>
      <c r="SZ1330" s="120"/>
      <c r="TA1330" s="120"/>
      <c r="TB1330" s="120"/>
      <c r="TC1330" s="120"/>
      <c r="TD1330" s="120"/>
      <c r="TE1330" s="120"/>
      <c r="TF1330" s="120"/>
      <c r="TG1330" s="120"/>
      <c r="TH1330" s="120"/>
      <c r="TI1330" s="120"/>
      <c r="TJ1330" s="120"/>
      <c r="TK1330" s="120"/>
      <c r="TL1330" s="120"/>
      <c r="TM1330" s="120"/>
      <c r="TN1330" s="120"/>
      <c r="TO1330" s="120"/>
      <c r="TP1330" s="120"/>
      <c r="TQ1330" s="120"/>
      <c r="TR1330" s="120"/>
      <c r="TS1330" s="120"/>
      <c r="TT1330" s="120"/>
      <c r="TU1330" s="120"/>
      <c r="TV1330" s="120"/>
      <c r="TW1330" s="120"/>
      <c r="TX1330" s="120"/>
      <c r="TY1330" s="120"/>
      <c r="TZ1330" s="120"/>
      <c r="UA1330" s="120"/>
      <c r="UB1330" s="120"/>
      <c r="UC1330" s="120"/>
      <c r="UD1330" s="120"/>
      <c r="UE1330" s="120"/>
      <c r="UF1330" s="120"/>
      <c r="UG1330" s="120"/>
      <c r="UH1330" s="120"/>
      <c r="UI1330" s="120"/>
      <c r="UJ1330" s="120"/>
      <c r="UK1330" s="120"/>
      <c r="UL1330" s="120"/>
      <c r="UM1330" s="120"/>
      <c r="UN1330" s="120"/>
      <c r="UO1330" s="120"/>
      <c r="UP1330" s="120"/>
      <c r="UQ1330" s="120"/>
      <c r="UR1330" s="120"/>
      <c r="US1330" s="120"/>
      <c r="UT1330" s="120"/>
      <c r="UU1330" s="120"/>
      <c r="UV1330" s="120"/>
      <c r="UW1330" s="120"/>
      <c r="UX1330" s="120"/>
      <c r="UY1330" s="120"/>
      <c r="UZ1330" s="120"/>
      <c r="VA1330" s="120"/>
      <c r="VB1330" s="120"/>
      <c r="VC1330" s="120"/>
      <c r="VD1330" s="120"/>
      <c r="VE1330" s="120"/>
      <c r="VF1330" s="120"/>
      <c r="VG1330" s="120"/>
      <c r="VH1330" s="120"/>
      <c r="VI1330" s="120"/>
      <c r="VJ1330" s="120"/>
      <c r="VK1330" s="120"/>
      <c r="VL1330" s="120"/>
      <c r="VM1330" s="120"/>
      <c r="VN1330" s="120"/>
      <c r="VO1330" s="120"/>
      <c r="VP1330" s="120"/>
      <c r="VQ1330" s="120"/>
      <c r="VR1330" s="120"/>
      <c r="VS1330" s="120"/>
      <c r="VT1330" s="120"/>
      <c r="VU1330" s="120"/>
      <c r="VV1330" s="120"/>
      <c r="VW1330" s="120"/>
      <c r="VX1330" s="120"/>
      <c r="VY1330" s="120"/>
      <c r="VZ1330" s="120"/>
      <c r="WA1330" s="120"/>
      <c r="WB1330" s="120"/>
      <c r="WC1330" s="120"/>
      <c r="WD1330" s="120"/>
      <c r="WE1330" s="120"/>
      <c r="WF1330" s="120"/>
      <c r="WG1330" s="120"/>
      <c r="WH1330" s="120"/>
      <c r="WI1330" s="120"/>
      <c r="WJ1330" s="120"/>
      <c r="WK1330" s="120"/>
      <c r="WL1330" s="120"/>
      <c r="WM1330" s="120"/>
      <c r="WN1330" s="120"/>
      <c r="WO1330" s="120"/>
      <c r="WP1330" s="120"/>
      <c r="WQ1330" s="120"/>
      <c r="WR1330" s="120"/>
      <c r="WS1330" s="120"/>
      <c r="WT1330" s="120"/>
      <c r="WU1330" s="120"/>
      <c r="WV1330" s="120"/>
      <c r="WW1330" s="120"/>
      <c r="WX1330" s="120"/>
      <c r="WY1330" s="120"/>
      <c r="WZ1330" s="120"/>
      <c r="XA1330" s="120"/>
      <c r="XB1330" s="120"/>
      <c r="XC1330" s="120"/>
      <c r="XD1330" s="120"/>
      <c r="XE1330" s="120"/>
      <c r="XF1330" s="120"/>
      <c r="XG1330" s="120"/>
      <c r="XH1330" s="120"/>
      <c r="XI1330" s="120"/>
      <c r="XJ1330" s="120"/>
      <c r="XK1330" s="120"/>
      <c r="XL1330" s="120"/>
      <c r="XM1330" s="120"/>
      <c r="XN1330" s="120"/>
      <c r="XO1330" s="120"/>
      <c r="XP1330" s="120"/>
      <c r="XQ1330" s="120"/>
      <c r="XR1330" s="120"/>
      <c r="XS1330" s="120"/>
      <c r="XT1330" s="120"/>
      <c r="XU1330" s="120"/>
      <c r="XV1330" s="120"/>
      <c r="XW1330" s="120"/>
      <c r="XX1330" s="120"/>
      <c r="XY1330" s="120"/>
      <c r="XZ1330" s="120"/>
      <c r="YA1330" s="120"/>
      <c r="YB1330" s="120"/>
      <c r="YC1330" s="120"/>
      <c r="YD1330" s="120"/>
      <c r="YE1330" s="120"/>
      <c r="YF1330" s="120"/>
      <c r="YG1330" s="120"/>
      <c r="YH1330" s="120"/>
      <c r="YI1330" s="120"/>
      <c r="YJ1330" s="120"/>
      <c r="YK1330" s="120"/>
      <c r="YL1330" s="120"/>
      <c r="YM1330" s="120"/>
      <c r="YN1330" s="120"/>
      <c r="YO1330" s="120"/>
      <c r="YP1330" s="120"/>
      <c r="YQ1330" s="120"/>
      <c r="YR1330" s="120"/>
      <c r="YS1330" s="120"/>
      <c r="YT1330" s="120"/>
      <c r="YU1330" s="120"/>
      <c r="YV1330" s="120"/>
      <c r="YW1330" s="120"/>
      <c r="YX1330" s="120"/>
      <c r="YY1330" s="120"/>
      <c r="YZ1330" s="120"/>
      <c r="ZA1330" s="120"/>
      <c r="ZB1330" s="120"/>
      <c r="ZC1330" s="120"/>
      <c r="ZD1330" s="120"/>
      <c r="ZE1330" s="120"/>
      <c r="ZF1330" s="120"/>
      <c r="ZG1330" s="120"/>
      <c r="ZH1330" s="120"/>
      <c r="ZI1330" s="120"/>
      <c r="ZJ1330" s="120"/>
      <c r="ZK1330" s="120"/>
      <c r="ZL1330" s="120"/>
      <c r="ZM1330" s="120"/>
      <c r="ZN1330" s="120"/>
      <c r="ZO1330" s="120"/>
      <c r="ZP1330" s="120"/>
      <c r="ZQ1330" s="120"/>
      <c r="ZR1330" s="120"/>
      <c r="ZS1330" s="120"/>
      <c r="ZT1330" s="120"/>
      <c r="ZU1330" s="120"/>
      <c r="ZV1330" s="120"/>
      <c r="ZW1330" s="120"/>
      <c r="ZX1330" s="120"/>
      <c r="ZY1330" s="120"/>
      <c r="ZZ1330" s="120"/>
      <c r="AAA1330" s="120"/>
      <c r="AAB1330" s="120"/>
      <c r="AAC1330" s="120"/>
      <c r="AAD1330" s="120"/>
      <c r="AAE1330" s="120"/>
      <c r="AAF1330" s="120"/>
      <c r="AAG1330" s="120"/>
      <c r="AAH1330" s="120"/>
      <c r="AAI1330" s="120"/>
      <c r="AAJ1330" s="120"/>
      <c r="AAK1330" s="120"/>
      <c r="AAL1330" s="120"/>
      <c r="AAM1330" s="120"/>
      <c r="AAN1330" s="120"/>
      <c r="AAO1330" s="120"/>
      <c r="AAP1330" s="120"/>
      <c r="AAQ1330" s="120"/>
      <c r="AAR1330" s="120"/>
      <c r="AAS1330" s="120"/>
      <c r="AAT1330" s="120"/>
      <c r="AAU1330" s="120"/>
      <c r="AAV1330" s="120"/>
      <c r="AAW1330" s="120"/>
      <c r="AAX1330" s="120"/>
      <c r="AAY1330" s="120"/>
      <c r="AAZ1330" s="120"/>
      <c r="ABA1330" s="120"/>
      <c r="ABB1330" s="120"/>
      <c r="ABC1330" s="120"/>
      <c r="ABD1330" s="120"/>
      <c r="ABE1330" s="120"/>
      <c r="ABF1330" s="120"/>
      <c r="ABG1330" s="120"/>
      <c r="ABH1330" s="120"/>
      <c r="ABI1330" s="120"/>
      <c r="ABJ1330" s="120"/>
      <c r="ABK1330" s="120"/>
      <c r="ABL1330" s="120"/>
      <c r="ABM1330" s="120"/>
      <c r="ABN1330" s="120"/>
      <c r="ABO1330" s="120"/>
      <c r="ABP1330" s="120"/>
      <c r="ABQ1330" s="120"/>
      <c r="ABR1330" s="120"/>
      <c r="ABS1330" s="120"/>
      <c r="ABT1330" s="120"/>
      <c r="ABU1330" s="120"/>
      <c r="ABV1330" s="120"/>
      <c r="ABW1330" s="120"/>
      <c r="ABX1330" s="120"/>
      <c r="ABY1330" s="120"/>
      <c r="ABZ1330" s="120"/>
      <c r="ACA1330" s="120"/>
      <c r="ACB1330" s="120"/>
      <c r="ACC1330" s="120"/>
      <c r="ACD1330" s="120"/>
      <c r="ACE1330" s="120"/>
      <c r="ACF1330" s="120"/>
      <c r="ACG1330" s="120"/>
      <c r="ACH1330" s="120"/>
      <c r="ACI1330" s="120"/>
      <c r="ACJ1330" s="120"/>
      <c r="ACK1330" s="120"/>
      <c r="ACL1330" s="120"/>
      <c r="ACM1330" s="120"/>
      <c r="ACN1330" s="120"/>
      <c r="ACO1330" s="120"/>
      <c r="ACP1330" s="120"/>
      <c r="ACQ1330" s="120"/>
      <c r="ACR1330" s="120"/>
      <c r="ACS1330" s="120"/>
      <c r="ACT1330" s="120"/>
      <c r="ACU1330" s="120"/>
      <c r="ACV1330" s="120"/>
      <c r="ACW1330" s="120"/>
      <c r="ACX1330" s="120"/>
      <c r="ACY1330" s="120"/>
      <c r="ACZ1330" s="120"/>
      <c r="ADA1330" s="120"/>
      <c r="ADB1330" s="120"/>
      <c r="ADC1330" s="120"/>
      <c r="ADD1330" s="120"/>
      <c r="ADE1330" s="120"/>
      <c r="ADF1330" s="120"/>
      <c r="ADG1330" s="120"/>
      <c r="ADH1330" s="120"/>
      <c r="ADI1330" s="120"/>
      <c r="ADJ1330" s="120"/>
      <c r="ADK1330" s="120"/>
      <c r="ADL1330" s="120"/>
      <c r="ADM1330" s="120"/>
      <c r="ADN1330" s="120"/>
      <c r="ADO1330" s="120"/>
      <c r="ADP1330" s="120"/>
      <c r="ADQ1330" s="120"/>
      <c r="ADR1330" s="120"/>
      <c r="ADS1330" s="120"/>
      <c r="ADT1330" s="120"/>
      <c r="ADU1330" s="120"/>
      <c r="ADV1330" s="120"/>
      <c r="ADW1330" s="120"/>
      <c r="ADX1330" s="120"/>
      <c r="ADY1330" s="120"/>
      <c r="ADZ1330" s="120"/>
      <c r="AEA1330" s="120"/>
      <c r="AEB1330" s="120"/>
      <c r="AEC1330" s="120"/>
      <c r="AED1330" s="120"/>
      <c r="AEE1330" s="120"/>
      <c r="AEF1330" s="120"/>
      <c r="AEG1330" s="120"/>
      <c r="AEH1330" s="120"/>
      <c r="AEI1330" s="120"/>
      <c r="AEJ1330" s="120"/>
      <c r="AEK1330" s="120"/>
      <c r="AEL1330" s="120"/>
      <c r="AEM1330" s="120"/>
      <c r="AEN1330" s="120"/>
      <c r="AEO1330" s="120"/>
      <c r="AEP1330" s="120"/>
      <c r="AEQ1330" s="120"/>
      <c r="AER1330" s="120"/>
      <c r="AES1330" s="120"/>
      <c r="AET1330" s="120"/>
      <c r="AEU1330" s="120"/>
      <c r="AEV1330" s="120"/>
      <c r="AEW1330" s="120"/>
      <c r="AEX1330" s="120"/>
      <c r="AEY1330" s="120"/>
      <c r="AEZ1330" s="120"/>
      <c r="AFA1330" s="120"/>
      <c r="AFB1330" s="120"/>
      <c r="AFC1330" s="120"/>
      <c r="AFD1330" s="120"/>
      <c r="AFE1330" s="120"/>
      <c r="AFF1330" s="120"/>
      <c r="AFG1330" s="120"/>
      <c r="AFH1330" s="120"/>
      <c r="AFI1330" s="120"/>
      <c r="AFJ1330" s="120"/>
      <c r="AFK1330" s="120"/>
      <c r="AFL1330" s="120"/>
      <c r="AFM1330" s="120"/>
      <c r="AFN1330" s="120"/>
      <c r="AFO1330" s="120"/>
      <c r="AFP1330" s="120"/>
      <c r="AFQ1330" s="120"/>
      <c r="AFR1330" s="120"/>
      <c r="AFS1330" s="120"/>
      <c r="AFT1330" s="120"/>
      <c r="AFU1330" s="120"/>
      <c r="AFV1330" s="120"/>
      <c r="AFW1330" s="120"/>
      <c r="AFX1330" s="120"/>
      <c r="AFY1330" s="120"/>
      <c r="AFZ1330" s="120"/>
      <c r="AGA1330" s="120"/>
      <c r="AGB1330" s="120"/>
      <c r="AGC1330" s="120"/>
      <c r="AGD1330" s="120"/>
      <c r="AGE1330" s="120"/>
      <c r="AGF1330" s="120"/>
      <c r="AGG1330" s="120"/>
      <c r="AGH1330" s="120"/>
      <c r="AGI1330" s="120"/>
      <c r="AGJ1330" s="120"/>
      <c r="AGK1330" s="120"/>
      <c r="AGL1330" s="120"/>
      <c r="AGM1330" s="120"/>
      <c r="AGN1330" s="120"/>
      <c r="AGO1330" s="120"/>
      <c r="AGP1330" s="120"/>
      <c r="AGQ1330" s="120"/>
      <c r="AGR1330" s="120"/>
      <c r="AGS1330" s="120"/>
      <c r="AGT1330" s="120"/>
      <c r="AGU1330" s="120"/>
      <c r="AGV1330" s="120"/>
      <c r="AGW1330" s="120"/>
      <c r="AGX1330" s="120"/>
      <c r="AGY1330" s="120"/>
      <c r="AGZ1330" s="120"/>
      <c r="AHA1330" s="120"/>
      <c r="AHB1330" s="120"/>
      <c r="AHC1330" s="120"/>
      <c r="AHD1330" s="120"/>
      <c r="AHE1330" s="120"/>
      <c r="AHF1330" s="120"/>
      <c r="AHG1330" s="120"/>
      <c r="AHH1330" s="120"/>
      <c r="AHI1330" s="120"/>
      <c r="AHJ1330" s="120"/>
      <c r="AHK1330" s="120"/>
      <c r="AHL1330" s="120"/>
      <c r="AHM1330" s="120"/>
      <c r="AHN1330" s="120"/>
      <c r="AHO1330" s="120"/>
      <c r="AHP1330" s="120"/>
      <c r="AHQ1330" s="120"/>
      <c r="AHR1330" s="120"/>
      <c r="AHS1330" s="120"/>
      <c r="AHT1330" s="120"/>
      <c r="AHU1330" s="120"/>
      <c r="AHV1330" s="120"/>
      <c r="AHW1330" s="120"/>
      <c r="AHX1330" s="120"/>
      <c r="AHY1330" s="120"/>
      <c r="AHZ1330" s="120"/>
      <c r="AIA1330" s="120"/>
      <c r="AIB1330" s="120"/>
      <c r="AIC1330" s="120"/>
      <c r="AID1330" s="120"/>
      <c r="AIE1330" s="120"/>
      <c r="AIF1330" s="120"/>
      <c r="AIG1330" s="120"/>
      <c r="AIH1330" s="120"/>
      <c r="AII1330" s="120"/>
      <c r="AIJ1330" s="120"/>
      <c r="AIK1330" s="120"/>
      <c r="AIL1330" s="120"/>
      <c r="AIM1330" s="120"/>
      <c r="AIN1330" s="120"/>
      <c r="AIO1330" s="120"/>
      <c r="AIP1330" s="120"/>
      <c r="AIQ1330" s="120"/>
      <c r="AIR1330" s="120"/>
      <c r="AIS1330" s="120"/>
      <c r="AIT1330" s="120"/>
      <c r="AIU1330" s="120"/>
      <c r="AIV1330" s="120"/>
      <c r="AIW1330" s="120"/>
      <c r="AIX1330" s="120"/>
      <c r="AIY1330" s="120"/>
      <c r="AIZ1330" s="120"/>
      <c r="AJA1330" s="120"/>
      <c r="AJB1330" s="120"/>
      <c r="AJC1330" s="120"/>
      <c r="AJD1330" s="120"/>
      <c r="AJE1330" s="120"/>
      <c r="AJF1330" s="120"/>
      <c r="AJG1330" s="120"/>
      <c r="AJH1330" s="120"/>
      <c r="AJI1330" s="120"/>
      <c r="AJJ1330" s="120"/>
      <c r="AJK1330" s="120"/>
      <c r="AJL1330" s="120"/>
      <c r="AJM1330" s="120"/>
      <c r="AJN1330" s="120"/>
      <c r="AJO1330" s="120"/>
      <c r="AJP1330" s="120"/>
      <c r="AJQ1330" s="120"/>
      <c r="AJR1330" s="120"/>
      <c r="AJS1330" s="120"/>
      <c r="AJT1330" s="120"/>
      <c r="AJU1330" s="120"/>
      <c r="AJV1330" s="120"/>
      <c r="AJW1330" s="120"/>
      <c r="AJX1330" s="120"/>
      <c r="AJY1330" s="120"/>
      <c r="AJZ1330" s="120"/>
      <c r="AKA1330" s="120"/>
      <c r="AKB1330" s="120"/>
      <c r="AKC1330" s="120"/>
      <c r="AKD1330" s="120"/>
      <c r="AKE1330" s="120"/>
      <c r="AKF1330" s="120"/>
      <c r="AKG1330" s="120"/>
      <c r="AKH1330" s="120"/>
      <c r="AKI1330" s="120"/>
      <c r="AKJ1330" s="120"/>
      <c r="AKK1330" s="120"/>
      <c r="AKL1330" s="120"/>
      <c r="AKM1330" s="120"/>
      <c r="AKN1330" s="120"/>
      <c r="AKO1330" s="120"/>
      <c r="AKP1330" s="120"/>
      <c r="AKQ1330" s="120"/>
      <c r="AKR1330" s="120"/>
      <c r="AKS1330" s="120"/>
      <c r="AKT1330" s="120"/>
      <c r="AKU1330" s="120"/>
      <c r="AKV1330" s="120"/>
      <c r="AKW1330" s="120"/>
      <c r="AKX1330" s="120"/>
      <c r="AKY1330" s="120"/>
      <c r="AKZ1330" s="120"/>
      <c r="ALA1330" s="120"/>
      <c r="ALB1330" s="120"/>
      <c r="ALC1330" s="120"/>
      <c r="ALD1330" s="120"/>
      <c r="ALE1330" s="120"/>
      <c r="ALF1330" s="120"/>
      <c r="ALG1330" s="120"/>
      <c r="ALH1330" s="120"/>
      <c r="ALI1330" s="120"/>
      <c r="ALJ1330" s="120"/>
      <c r="ALK1330" s="120"/>
      <c r="ALL1330" s="120"/>
      <c r="ALM1330" s="120"/>
      <c r="ALN1330" s="120"/>
      <c r="ALO1330" s="120"/>
      <c r="ALP1330" s="120"/>
      <c r="ALQ1330" s="120"/>
      <c r="ALR1330" s="120"/>
      <c r="ALS1330" s="120"/>
      <c r="ALT1330" s="120"/>
      <c r="ALU1330" s="120"/>
      <c r="ALV1330" s="120"/>
      <c r="ALW1330" s="120"/>
      <c r="ALX1330" s="120"/>
      <c r="ALY1330" s="120"/>
      <c r="ALZ1330" s="120"/>
      <c r="AMA1330" s="120"/>
      <c r="AMB1330" s="120"/>
      <c r="AMC1330" s="120"/>
      <c r="AMD1330" s="120"/>
      <c r="AME1330" s="120"/>
      <c r="AMF1330" s="120"/>
      <c r="AMG1330" s="120"/>
      <c r="AMH1330" s="120"/>
      <c r="AMI1330" s="120"/>
      <c r="AMJ1330" s="120"/>
      <c r="AMK1330" s="120"/>
      <c r="AML1330" s="120"/>
      <c r="AMM1330" s="120"/>
      <c r="AMN1330" s="120"/>
      <c r="AMO1330" s="120"/>
      <c r="AMP1330" s="120"/>
      <c r="AMQ1330" s="120"/>
      <c r="AMR1330" s="120"/>
      <c r="AMS1330" s="120"/>
      <c r="AMT1330" s="120"/>
      <c r="AMU1330" s="120"/>
      <c r="AMV1330" s="120"/>
      <c r="AMW1330" s="120"/>
      <c r="AMX1330" s="120"/>
      <c r="AMY1330" s="120"/>
      <c r="AMZ1330" s="120"/>
      <c r="ANA1330" s="120"/>
      <c r="ANB1330" s="120"/>
      <c r="ANC1330" s="120"/>
      <c r="AND1330" s="120"/>
      <c r="ANE1330" s="120"/>
      <c r="ANF1330" s="120"/>
      <c r="ANG1330" s="120"/>
      <c r="ANH1330" s="120"/>
      <c r="ANI1330" s="120"/>
      <c r="ANJ1330" s="120"/>
      <c r="ANK1330" s="120"/>
      <c r="ANL1330" s="120"/>
      <c r="ANM1330" s="120"/>
      <c r="ANN1330" s="120"/>
      <c r="ANO1330" s="120"/>
      <c r="ANP1330" s="120"/>
      <c r="ANQ1330" s="120"/>
      <c r="ANR1330" s="120"/>
      <c r="ANS1330" s="120"/>
      <c r="ANT1330" s="120"/>
      <c r="ANU1330" s="120"/>
      <c r="ANV1330" s="120"/>
      <c r="ANW1330" s="120"/>
      <c r="ANX1330" s="120"/>
      <c r="ANY1330" s="120"/>
      <c r="ANZ1330" s="120"/>
      <c r="AOA1330" s="120"/>
      <c r="AOB1330" s="120"/>
      <c r="AOC1330" s="120"/>
      <c r="AOD1330" s="120"/>
      <c r="AOE1330" s="120"/>
      <c r="AOF1330" s="120"/>
      <c r="AOG1330" s="120"/>
      <c r="AOH1330" s="120"/>
      <c r="AOI1330" s="120"/>
      <c r="AOJ1330" s="120"/>
      <c r="AOK1330" s="120"/>
      <c r="AOL1330" s="120"/>
      <c r="AOM1330" s="120"/>
      <c r="AON1330" s="120"/>
      <c r="AOO1330" s="120"/>
      <c r="AOP1330" s="120"/>
      <c r="AOQ1330" s="120"/>
      <c r="AOR1330" s="120"/>
      <c r="AOS1330" s="120"/>
      <c r="AOT1330" s="120"/>
      <c r="AOU1330" s="120"/>
      <c r="AOV1330" s="120"/>
      <c r="AOW1330" s="120"/>
      <c r="AOX1330" s="120"/>
      <c r="AOY1330" s="120"/>
      <c r="AOZ1330" s="120"/>
      <c r="APA1330" s="120"/>
      <c r="APB1330" s="120"/>
      <c r="APC1330" s="120"/>
      <c r="APD1330" s="120"/>
      <c r="APE1330" s="120"/>
      <c r="APF1330" s="120"/>
      <c r="APG1330" s="120"/>
      <c r="APH1330" s="120"/>
      <c r="API1330" s="120"/>
      <c r="APJ1330" s="120"/>
      <c r="APK1330" s="120"/>
      <c r="APL1330" s="120"/>
      <c r="APM1330" s="120"/>
      <c r="APN1330" s="120"/>
      <c r="APO1330" s="120"/>
      <c r="APP1330" s="120"/>
      <c r="APQ1330" s="120"/>
      <c r="APR1330" s="120"/>
      <c r="APS1330" s="120"/>
      <c r="APT1330" s="120"/>
      <c r="APU1330" s="120"/>
      <c r="APV1330" s="120"/>
      <c r="APW1330" s="120"/>
      <c r="APX1330" s="120"/>
      <c r="APY1330" s="120"/>
      <c r="APZ1330" s="120"/>
      <c r="AQA1330" s="120"/>
      <c r="AQB1330" s="120"/>
      <c r="AQC1330" s="120"/>
      <c r="AQD1330" s="120"/>
      <c r="AQE1330" s="120"/>
      <c r="AQF1330" s="120"/>
      <c r="AQG1330" s="120"/>
      <c r="AQH1330" s="120"/>
      <c r="AQI1330" s="120"/>
      <c r="AQJ1330" s="120"/>
      <c r="AQK1330" s="120"/>
      <c r="AQL1330" s="120"/>
      <c r="AQM1330" s="120"/>
      <c r="AQN1330" s="120"/>
      <c r="AQO1330" s="120"/>
      <c r="AQP1330" s="120"/>
      <c r="AQQ1330" s="120"/>
      <c r="AQR1330" s="120"/>
      <c r="AQS1330" s="120"/>
      <c r="AQT1330" s="120"/>
      <c r="AQU1330" s="120"/>
      <c r="AQV1330" s="120"/>
      <c r="AQW1330" s="120"/>
      <c r="AQX1330" s="120"/>
      <c r="AQY1330" s="120"/>
      <c r="AQZ1330" s="120"/>
      <c r="ARA1330" s="120"/>
      <c r="ARB1330" s="120"/>
      <c r="ARC1330" s="120"/>
      <c r="ARD1330" s="120"/>
      <c r="ARE1330" s="120"/>
      <c r="ARF1330" s="120"/>
      <c r="ARG1330" s="120"/>
      <c r="ARH1330" s="120"/>
      <c r="ARI1330" s="120"/>
      <c r="ARJ1330" s="120"/>
      <c r="ARK1330" s="120"/>
      <c r="ARL1330" s="120"/>
      <c r="ARM1330" s="120"/>
      <c r="ARN1330" s="120"/>
      <c r="ARO1330" s="120"/>
      <c r="ARP1330" s="120"/>
      <c r="ARQ1330" s="120"/>
      <c r="ARR1330" s="120"/>
      <c r="ARS1330" s="120"/>
      <c r="ART1330" s="120"/>
      <c r="ARU1330" s="120"/>
      <c r="ARV1330" s="120"/>
      <c r="ARW1330" s="120"/>
      <c r="ARX1330" s="120"/>
      <c r="ARY1330" s="120"/>
      <c r="ARZ1330" s="120"/>
      <c r="ASA1330" s="120"/>
      <c r="ASB1330" s="120"/>
      <c r="ASC1330" s="120"/>
      <c r="ASD1330" s="120"/>
      <c r="ASE1330" s="120"/>
      <c r="ASF1330" s="120"/>
      <c r="ASG1330" s="120"/>
      <c r="ASH1330" s="120"/>
      <c r="ASI1330" s="120"/>
      <c r="ASJ1330" s="120"/>
      <c r="ASK1330" s="120"/>
      <c r="ASL1330" s="120"/>
      <c r="ASM1330" s="120"/>
      <c r="ASN1330" s="120"/>
      <c r="ASO1330" s="120"/>
      <c r="ASP1330" s="120"/>
      <c r="ASQ1330" s="120"/>
      <c r="ASR1330" s="120"/>
      <c r="ASS1330" s="120"/>
      <c r="AST1330" s="120"/>
      <c r="ASU1330" s="120"/>
      <c r="ASV1330" s="120"/>
      <c r="ASW1330" s="120"/>
      <c r="ASX1330" s="120"/>
      <c r="ASY1330" s="120"/>
      <c r="ASZ1330" s="120"/>
      <c r="ATA1330" s="120"/>
      <c r="ATB1330" s="120"/>
      <c r="ATC1330" s="120"/>
      <c r="ATD1330" s="120"/>
      <c r="ATE1330" s="120"/>
      <c r="ATF1330" s="120"/>
      <c r="ATG1330" s="120"/>
      <c r="ATH1330" s="120"/>
      <c r="ATI1330" s="120"/>
      <c r="ATJ1330" s="120"/>
      <c r="ATK1330" s="120"/>
      <c r="ATL1330" s="120"/>
      <c r="ATM1330" s="120"/>
      <c r="ATN1330" s="120"/>
      <c r="ATO1330" s="120"/>
    </row>
    <row r="1331" spans="1:1211" s="20" customFormat="1" ht="14.1" customHeight="1">
      <c r="A1331" s="112"/>
      <c r="B1331" s="945" t="s">
        <v>1564</v>
      </c>
      <c r="C1331" s="184" t="s">
        <v>3738</v>
      </c>
      <c r="D1331" s="120"/>
      <c r="E1331" s="701"/>
      <c r="F1331" s="703"/>
      <c r="G1331" s="702"/>
      <c r="H1331" s="702"/>
      <c r="I1331" s="702"/>
      <c r="J1331" s="700"/>
      <c r="K1331" s="112"/>
      <c r="L1331" s="363"/>
      <c r="M1331" s="112"/>
      <c r="N1331" s="362"/>
      <c r="O1331" s="573"/>
      <c r="P1331" s="120"/>
      <c r="Q1331" s="120"/>
      <c r="R1331" s="120"/>
      <c r="S1331" s="120"/>
      <c r="T1331" s="120"/>
      <c r="U1331" s="120"/>
      <c r="V1331" s="120"/>
      <c r="W1331" s="120"/>
      <c r="X1331" s="120"/>
      <c r="Y1331" s="120"/>
      <c r="Z1331" s="120"/>
      <c r="AA1331" s="120"/>
      <c r="AB1331" s="120"/>
      <c r="AC1331" s="120"/>
      <c r="AD1331" s="120"/>
      <c r="AE1331" s="120"/>
      <c r="AF1331" s="120"/>
      <c r="AG1331" s="120"/>
      <c r="AH1331" s="120"/>
      <c r="AI1331" s="120"/>
      <c r="AJ1331" s="120"/>
      <c r="AK1331" s="120"/>
      <c r="AL1331" s="120"/>
      <c r="AM1331" s="120"/>
      <c r="AN1331" s="120"/>
      <c r="AO1331" s="120"/>
      <c r="AP1331" s="120"/>
      <c r="AQ1331" s="120"/>
      <c r="AR1331" s="120"/>
      <c r="AS1331" s="120"/>
      <c r="AT1331" s="120"/>
      <c r="AU1331" s="120"/>
      <c r="AV1331" s="120"/>
      <c r="AW1331" s="120"/>
      <c r="AX1331" s="120"/>
      <c r="AY1331" s="120"/>
      <c r="AZ1331" s="120"/>
      <c r="BA1331" s="120"/>
      <c r="BB1331" s="120"/>
      <c r="BC1331" s="120"/>
      <c r="BD1331" s="120"/>
      <c r="BE1331" s="120"/>
      <c r="BF1331" s="120"/>
      <c r="BG1331" s="120"/>
      <c r="BH1331" s="120"/>
      <c r="BI1331" s="120"/>
      <c r="BJ1331" s="120"/>
      <c r="BK1331" s="120"/>
      <c r="BL1331" s="120"/>
      <c r="BM1331" s="120"/>
      <c r="BN1331" s="120"/>
      <c r="BO1331" s="120"/>
      <c r="BP1331" s="120"/>
      <c r="BQ1331" s="120"/>
      <c r="BR1331" s="120"/>
      <c r="BS1331" s="120"/>
      <c r="BT1331" s="120"/>
      <c r="BU1331" s="120"/>
      <c r="BV1331" s="120"/>
      <c r="BW1331" s="120"/>
      <c r="BX1331" s="120"/>
      <c r="BY1331" s="120"/>
      <c r="BZ1331" s="120"/>
      <c r="CA1331" s="120"/>
      <c r="CB1331" s="120"/>
      <c r="CC1331" s="120"/>
      <c r="CD1331" s="120"/>
      <c r="CE1331" s="120"/>
      <c r="CF1331" s="120"/>
      <c r="CG1331" s="120"/>
      <c r="CH1331" s="120"/>
      <c r="CI1331" s="120"/>
      <c r="CJ1331" s="120"/>
      <c r="CK1331" s="120"/>
      <c r="CL1331" s="120"/>
      <c r="CM1331" s="120"/>
      <c r="CN1331" s="120"/>
      <c r="CO1331" s="120"/>
      <c r="CP1331" s="120"/>
      <c r="CQ1331" s="120"/>
      <c r="CR1331" s="120"/>
      <c r="CS1331" s="120"/>
      <c r="CT1331" s="120"/>
      <c r="CU1331" s="120"/>
      <c r="CV1331" s="120"/>
      <c r="CW1331" s="120"/>
      <c r="CX1331" s="120"/>
      <c r="CY1331" s="120"/>
      <c r="CZ1331" s="120"/>
      <c r="DA1331" s="120"/>
      <c r="DB1331" s="120"/>
      <c r="DC1331" s="120"/>
      <c r="DD1331" s="120"/>
      <c r="DE1331" s="120"/>
      <c r="DF1331" s="120"/>
      <c r="DG1331" s="120"/>
      <c r="DH1331" s="120"/>
      <c r="DI1331" s="120"/>
      <c r="DJ1331" s="120"/>
      <c r="DK1331" s="120"/>
      <c r="DL1331" s="120"/>
      <c r="DM1331" s="120"/>
      <c r="DN1331" s="120"/>
      <c r="DO1331" s="120"/>
      <c r="DP1331" s="120"/>
      <c r="DQ1331" s="120"/>
      <c r="DR1331" s="120"/>
      <c r="DS1331" s="120"/>
      <c r="DT1331" s="120"/>
      <c r="DU1331" s="120"/>
      <c r="DV1331" s="120"/>
      <c r="DW1331" s="120"/>
      <c r="DX1331" s="120"/>
      <c r="DY1331" s="120"/>
      <c r="DZ1331" s="120"/>
      <c r="EA1331" s="120"/>
      <c r="EB1331" s="120"/>
      <c r="EC1331" s="120"/>
      <c r="ED1331" s="120"/>
      <c r="EE1331" s="120"/>
      <c r="EF1331" s="120"/>
      <c r="EG1331" s="120"/>
      <c r="EH1331" s="120"/>
      <c r="EI1331" s="120"/>
      <c r="EJ1331" s="120"/>
      <c r="EK1331" s="120"/>
      <c r="EL1331" s="120"/>
      <c r="EM1331" s="120"/>
      <c r="EN1331" s="120"/>
      <c r="EO1331" s="120"/>
      <c r="EP1331" s="120"/>
      <c r="EQ1331" s="120"/>
      <c r="ER1331" s="120"/>
      <c r="ES1331" s="120"/>
      <c r="ET1331" s="120"/>
      <c r="EU1331" s="120"/>
      <c r="EV1331" s="120"/>
      <c r="EW1331" s="120"/>
      <c r="EX1331" s="120"/>
      <c r="EY1331" s="120"/>
      <c r="EZ1331" s="120"/>
      <c r="FA1331" s="120"/>
      <c r="FB1331" s="120"/>
      <c r="FC1331" s="120"/>
      <c r="FD1331" s="120"/>
      <c r="FE1331" s="120"/>
      <c r="FF1331" s="120"/>
      <c r="FG1331" s="120"/>
      <c r="FH1331" s="120"/>
      <c r="FI1331" s="120"/>
      <c r="FJ1331" s="120"/>
      <c r="FK1331" s="120"/>
      <c r="FL1331" s="120"/>
      <c r="FM1331" s="120"/>
      <c r="FN1331" s="120"/>
      <c r="FO1331" s="120"/>
      <c r="FP1331" s="120"/>
      <c r="FQ1331" s="120"/>
      <c r="FR1331" s="120"/>
      <c r="FS1331" s="120"/>
      <c r="FT1331" s="120"/>
      <c r="FU1331" s="120"/>
      <c r="FV1331" s="120"/>
      <c r="FW1331" s="120"/>
      <c r="FX1331" s="120"/>
      <c r="FY1331" s="120"/>
      <c r="FZ1331" s="120"/>
      <c r="GA1331" s="120"/>
      <c r="GB1331" s="120"/>
      <c r="GC1331" s="120"/>
      <c r="GD1331" s="120"/>
      <c r="GE1331" s="120"/>
      <c r="GF1331" s="120"/>
      <c r="GG1331" s="120"/>
      <c r="GH1331" s="120"/>
      <c r="GI1331" s="120"/>
      <c r="GJ1331" s="120"/>
      <c r="GK1331" s="120"/>
      <c r="GL1331" s="120"/>
      <c r="GM1331" s="120"/>
      <c r="GN1331" s="120"/>
      <c r="GO1331" s="120"/>
      <c r="GP1331" s="120"/>
      <c r="GQ1331" s="120"/>
      <c r="GR1331" s="120"/>
      <c r="GS1331" s="120"/>
      <c r="GT1331" s="120"/>
      <c r="GU1331" s="120"/>
      <c r="GV1331" s="120"/>
      <c r="GW1331" s="120"/>
      <c r="GX1331" s="120"/>
      <c r="GY1331" s="120"/>
      <c r="GZ1331" s="120"/>
      <c r="HA1331" s="120"/>
      <c r="HB1331" s="120"/>
      <c r="HC1331" s="120"/>
      <c r="HD1331" s="120"/>
      <c r="HE1331" s="120"/>
      <c r="HF1331" s="120"/>
      <c r="HG1331" s="120"/>
      <c r="HH1331" s="120"/>
      <c r="HI1331" s="120"/>
      <c r="HJ1331" s="120"/>
      <c r="HK1331" s="120"/>
      <c r="HL1331" s="120"/>
      <c r="HM1331" s="120"/>
      <c r="HN1331" s="120"/>
      <c r="HO1331" s="120"/>
      <c r="HP1331" s="120"/>
      <c r="HQ1331" s="120"/>
      <c r="HR1331" s="120"/>
      <c r="HS1331" s="120"/>
      <c r="HT1331" s="120"/>
      <c r="HU1331" s="120"/>
      <c r="HV1331" s="120"/>
      <c r="HW1331" s="120"/>
      <c r="HX1331" s="120"/>
      <c r="HY1331" s="120"/>
      <c r="HZ1331" s="120"/>
      <c r="IA1331" s="120"/>
      <c r="IB1331" s="120"/>
      <c r="IC1331" s="120"/>
      <c r="ID1331" s="120"/>
      <c r="IE1331" s="120"/>
      <c r="IF1331" s="120"/>
      <c r="IG1331" s="120"/>
      <c r="IH1331" s="120"/>
      <c r="II1331" s="120"/>
      <c r="IJ1331" s="120"/>
      <c r="IK1331" s="120"/>
      <c r="IL1331" s="120"/>
      <c r="IM1331" s="120"/>
      <c r="IN1331" s="120"/>
      <c r="IO1331" s="120"/>
      <c r="IP1331" s="120"/>
      <c r="IQ1331" s="120"/>
      <c r="IR1331" s="120"/>
      <c r="IS1331" s="120"/>
      <c r="IT1331" s="120"/>
      <c r="IU1331" s="120"/>
      <c r="IV1331" s="120"/>
      <c r="IW1331" s="120"/>
      <c r="IX1331" s="120"/>
      <c r="IY1331" s="120"/>
      <c r="IZ1331" s="120"/>
      <c r="JA1331" s="120"/>
      <c r="JB1331" s="120"/>
      <c r="JC1331" s="120"/>
      <c r="JD1331" s="120"/>
      <c r="JE1331" s="120"/>
      <c r="JF1331" s="120"/>
      <c r="JG1331" s="120"/>
      <c r="JH1331" s="120"/>
      <c r="JI1331" s="120"/>
      <c r="JJ1331" s="120"/>
      <c r="JK1331" s="120"/>
      <c r="JL1331" s="120"/>
      <c r="JM1331" s="120"/>
      <c r="JN1331" s="120"/>
      <c r="JO1331" s="120"/>
      <c r="JP1331" s="120"/>
      <c r="JQ1331" s="120"/>
      <c r="JR1331" s="120"/>
      <c r="JS1331" s="120"/>
      <c r="JT1331" s="120"/>
      <c r="JU1331" s="120"/>
      <c r="JV1331" s="120"/>
      <c r="JW1331" s="120"/>
      <c r="JX1331" s="120"/>
      <c r="JY1331" s="120"/>
      <c r="JZ1331" s="120"/>
      <c r="KA1331" s="120"/>
      <c r="KB1331" s="120"/>
      <c r="KC1331" s="120"/>
      <c r="KD1331" s="120"/>
      <c r="KE1331" s="120"/>
      <c r="KF1331" s="120"/>
      <c r="KG1331" s="120"/>
      <c r="KH1331" s="120"/>
      <c r="KI1331" s="120"/>
      <c r="KJ1331" s="120"/>
      <c r="KK1331" s="120"/>
      <c r="KL1331" s="120"/>
      <c r="KM1331" s="120"/>
      <c r="KN1331" s="120"/>
      <c r="KO1331" s="120"/>
      <c r="KP1331" s="120"/>
      <c r="KQ1331" s="120"/>
      <c r="KR1331" s="120"/>
      <c r="KS1331" s="120"/>
      <c r="KT1331" s="120"/>
      <c r="KU1331" s="120"/>
      <c r="KV1331" s="120"/>
      <c r="KW1331" s="120"/>
      <c r="KX1331" s="120"/>
      <c r="KY1331" s="120"/>
      <c r="KZ1331" s="120"/>
      <c r="LA1331" s="120"/>
      <c r="LB1331" s="120"/>
      <c r="LC1331" s="120"/>
      <c r="LD1331" s="120"/>
      <c r="LE1331" s="120"/>
      <c r="LF1331" s="120"/>
      <c r="LG1331" s="120"/>
      <c r="LH1331" s="120"/>
      <c r="LI1331" s="120"/>
      <c r="LJ1331" s="120"/>
      <c r="LK1331" s="120"/>
      <c r="LL1331" s="120"/>
      <c r="LM1331" s="120"/>
      <c r="LN1331" s="120"/>
      <c r="LO1331" s="120"/>
      <c r="LP1331" s="120"/>
      <c r="LQ1331" s="120"/>
      <c r="LR1331" s="120"/>
      <c r="LS1331" s="120"/>
      <c r="LT1331" s="120"/>
      <c r="LU1331" s="120"/>
      <c r="LV1331" s="120"/>
      <c r="LW1331" s="120"/>
      <c r="LX1331" s="120"/>
      <c r="LY1331" s="120"/>
      <c r="LZ1331" s="120"/>
      <c r="MA1331" s="120"/>
      <c r="MB1331" s="120"/>
      <c r="MC1331" s="120"/>
      <c r="MD1331" s="120"/>
      <c r="ME1331" s="120"/>
      <c r="MF1331" s="120"/>
      <c r="MG1331" s="120"/>
      <c r="MH1331" s="120"/>
      <c r="MI1331" s="120"/>
      <c r="MJ1331" s="120"/>
      <c r="MK1331" s="120"/>
      <c r="ML1331" s="120"/>
      <c r="MM1331" s="120"/>
      <c r="MN1331" s="120"/>
      <c r="MO1331" s="120"/>
      <c r="MP1331" s="120"/>
      <c r="MQ1331" s="120"/>
      <c r="MR1331" s="120"/>
      <c r="MS1331" s="120"/>
      <c r="MT1331" s="120"/>
      <c r="MU1331" s="120"/>
      <c r="MV1331" s="120"/>
      <c r="MW1331" s="120"/>
      <c r="MX1331" s="120"/>
      <c r="MY1331" s="120"/>
      <c r="MZ1331" s="120"/>
      <c r="NA1331" s="120"/>
      <c r="NB1331" s="120"/>
      <c r="NC1331" s="120"/>
      <c r="ND1331" s="120"/>
      <c r="NE1331" s="120"/>
      <c r="NF1331" s="120"/>
      <c r="NG1331" s="120"/>
      <c r="NH1331" s="120"/>
      <c r="NI1331" s="120"/>
      <c r="NJ1331" s="120"/>
      <c r="NK1331" s="120"/>
      <c r="NL1331" s="120"/>
      <c r="NM1331" s="120"/>
      <c r="NN1331" s="120"/>
      <c r="NO1331" s="120"/>
      <c r="NP1331" s="120"/>
      <c r="NQ1331" s="120"/>
      <c r="NR1331" s="120"/>
      <c r="NS1331" s="120"/>
      <c r="NT1331" s="120"/>
      <c r="NU1331" s="120"/>
      <c r="NV1331" s="120"/>
      <c r="NW1331" s="120"/>
      <c r="NX1331" s="120"/>
      <c r="NY1331" s="120"/>
      <c r="NZ1331" s="120"/>
      <c r="OA1331" s="120"/>
      <c r="OB1331" s="120"/>
      <c r="OC1331" s="120"/>
      <c r="OD1331" s="120"/>
      <c r="OE1331" s="120"/>
      <c r="OF1331" s="120"/>
      <c r="OG1331" s="120"/>
      <c r="OH1331" s="120"/>
      <c r="OI1331" s="120"/>
      <c r="OJ1331" s="120"/>
      <c r="OK1331" s="120"/>
      <c r="OL1331" s="120"/>
      <c r="OM1331" s="120"/>
      <c r="ON1331" s="120"/>
      <c r="OO1331" s="120"/>
      <c r="OP1331" s="120"/>
      <c r="OQ1331" s="120"/>
      <c r="OR1331" s="120"/>
      <c r="OS1331" s="120"/>
      <c r="OT1331" s="120"/>
      <c r="OU1331" s="120"/>
      <c r="OV1331" s="120"/>
      <c r="OW1331" s="120"/>
      <c r="OX1331" s="120"/>
      <c r="OY1331" s="120"/>
      <c r="OZ1331" s="120"/>
      <c r="PA1331" s="120"/>
      <c r="PB1331" s="120"/>
      <c r="PC1331" s="120"/>
      <c r="PD1331" s="120"/>
      <c r="PE1331" s="120"/>
      <c r="PF1331" s="120"/>
      <c r="PG1331" s="120"/>
      <c r="PH1331" s="120"/>
      <c r="PI1331" s="120"/>
      <c r="PJ1331" s="120"/>
      <c r="PK1331" s="120"/>
      <c r="PL1331" s="120"/>
      <c r="PM1331" s="120"/>
      <c r="PN1331" s="120"/>
      <c r="PO1331" s="120"/>
      <c r="PP1331" s="120"/>
      <c r="PQ1331" s="120"/>
      <c r="PR1331" s="120"/>
      <c r="PS1331" s="120"/>
      <c r="PT1331" s="120"/>
      <c r="PU1331" s="120"/>
      <c r="PV1331" s="120"/>
      <c r="PW1331" s="120"/>
      <c r="PX1331" s="120"/>
      <c r="PY1331" s="120"/>
      <c r="PZ1331" s="120"/>
      <c r="QA1331" s="120"/>
      <c r="QB1331" s="120"/>
      <c r="QC1331" s="120"/>
      <c r="QD1331" s="120"/>
      <c r="QE1331" s="120"/>
      <c r="QF1331" s="120"/>
      <c r="QG1331" s="120"/>
      <c r="QH1331" s="120"/>
      <c r="QI1331" s="120"/>
      <c r="QJ1331" s="120"/>
      <c r="QK1331" s="120"/>
      <c r="QL1331" s="120"/>
      <c r="QM1331" s="120"/>
      <c r="QN1331" s="120"/>
      <c r="QO1331" s="120"/>
      <c r="QP1331" s="120"/>
      <c r="QQ1331" s="120"/>
      <c r="QR1331" s="120"/>
      <c r="QS1331" s="120"/>
      <c r="QT1331" s="120"/>
      <c r="QU1331" s="120"/>
      <c r="QV1331" s="120"/>
      <c r="QW1331" s="120"/>
      <c r="QX1331" s="120"/>
      <c r="QY1331" s="120"/>
      <c r="QZ1331" s="120"/>
      <c r="RA1331" s="120"/>
      <c r="RB1331" s="120"/>
      <c r="RC1331" s="120"/>
      <c r="RD1331" s="120"/>
      <c r="RE1331" s="120"/>
      <c r="RF1331" s="120"/>
      <c r="RG1331" s="120"/>
      <c r="RH1331" s="120"/>
      <c r="RI1331" s="120"/>
      <c r="RJ1331" s="120"/>
      <c r="RK1331" s="120"/>
      <c r="RL1331" s="120"/>
      <c r="RM1331" s="120"/>
      <c r="RN1331" s="120"/>
      <c r="RO1331" s="120"/>
      <c r="RP1331" s="120"/>
      <c r="RQ1331" s="120"/>
      <c r="RR1331" s="120"/>
      <c r="RS1331" s="120"/>
      <c r="RT1331" s="120"/>
      <c r="RU1331" s="120"/>
      <c r="RV1331" s="120"/>
      <c r="RW1331" s="120"/>
      <c r="RX1331" s="120"/>
      <c r="RY1331" s="120"/>
      <c r="RZ1331" s="120"/>
      <c r="SA1331" s="120"/>
      <c r="SB1331" s="120"/>
      <c r="SC1331" s="120"/>
      <c r="SD1331" s="120"/>
      <c r="SE1331" s="120"/>
      <c r="SF1331" s="120"/>
      <c r="SG1331" s="120"/>
      <c r="SH1331" s="120"/>
      <c r="SI1331" s="120"/>
      <c r="SJ1331" s="120"/>
      <c r="SK1331" s="120"/>
      <c r="SL1331" s="120"/>
      <c r="SM1331" s="120"/>
      <c r="SN1331" s="120"/>
      <c r="SO1331" s="120"/>
      <c r="SP1331" s="120"/>
      <c r="SQ1331" s="120"/>
      <c r="SR1331" s="120"/>
      <c r="SS1331" s="120"/>
      <c r="ST1331" s="120"/>
      <c r="SU1331" s="120"/>
      <c r="SV1331" s="120"/>
      <c r="SW1331" s="120"/>
      <c r="SX1331" s="120"/>
      <c r="SY1331" s="120"/>
      <c r="SZ1331" s="120"/>
      <c r="TA1331" s="120"/>
      <c r="TB1331" s="120"/>
      <c r="TC1331" s="120"/>
      <c r="TD1331" s="120"/>
      <c r="TE1331" s="120"/>
      <c r="TF1331" s="120"/>
      <c r="TG1331" s="120"/>
      <c r="TH1331" s="120"/>
      <c r="TI1331" s="120"/>
      <c r="TJ1331" s="120"/>
      <c r="TK1331" s="120"/>
      <c r="TL1331" s="120"/>
      <c r="TM1331" s="120"/>
      <c r="TN1331" s="120"/>
      <c r="TO1331" s="120"/>
      <c r="TP1331" s="120"/>
      <c r="TQ1331" s="120"/>
      <c r="TR1331" s="120"/>
      <c r="TS1331" s="120"/>
      <c r="TT1331" s="120"/>
      <c r="TU1331" s="120"/>
      <c r="TV1331" s="120"/>
      <c r="TW1331" s="120"/>
      <c r="TX1331" s="120"/>
      <c r="TY1331" s="120"/>
      <c r="TZ1331" s="120"/>
      <c r="UA1331" s="120"/>
      <c r="UB1331" s="120"/>
      <c r="UC1331" s="120"/>
      <c r="UD1331" s="120"/>
      <c r="UE1331" s="120"/>
      <c r="UF1331" s="120"/>
      <c r="UG1331" s="120"/>
      <c r="UH1331" s="120"/>
      <c r="UI1331" s="120"/>
      <c r="UJ1331" s="120"/>
      <c r="UK1331" s="120"/>
      <c r="UL1331" s="120"/>
      <c r="UM1331" s="120"/>
      <c r="UN1331" s="120"/>
      <c r="UO1331" s="120"/>
      <c r="UP1331" s="120"/>
      <c r="UQ1331" s="120"/>
      <c r="UR1331" s="120"/>
      <c r="US1331" s="120"/>
      <c r="UT1331" s="120"/>
      <c r="UU1331" s="120"/>
      <c r="UV1331" s="120"/>
      <c r="UW1331" s="120"/>
      <c r="UX1331" s="120"/>
      <c r="UY1331" s="120"/>
      <c r="UZ1331" s="120"/>
      <c r="VA1331" s="120"/>
      <c r="VB1331" s="120"/>
      <c r="VC1331" s="120"/>
      <c r="VD1331" s="120"/>
      <c r="VE1331" s="120"/>
      <c r="VF1331" s="120"/>
      <c r="VG1331" s="120"/>
      <c r="VH1331" s="120"/>
      <c r="VI1331" s="120"/>
      <c r="VJ1331" s="120"/>
      <c r="VK1331" s="120"/>
      <c r="VL1331" s="120"/>
      <c r="VM1331" s="120"/>
      <c r="VN1331" s="120"/>
      <c r="VO1331" s="120"/>
      <c r="VP1331" s="120"/>
      <c r="VQ1331" s="120"/>
      <c r="VR1331" s="120"/>
      <c r="VS1331" s="120"/>
      <c r="VT1331" s="120"/>
      <c r="VU1331" s="120"/>
      <c r="VV1331" s="120"/>
      <c r="VW1331" s="120"/>
      <c r="VX1331" s="120"/>
      <c r="VY1331" s="120"/>
      <c r="VZ1331" s="120"/>
      <c r="WA1331" s="120"/>
      <c r="WB1331" s="120"/>
      <c r="WC1331" s="120"/>
      <c r="WD1331" s="120"/>
      <c r="WE1331" s="120"/>
      <c r="WF1331" s="120"/>
      <c r="WG1331" s="120"/>
      <c r="WH1331" s="120"/>
      <c r="WI1331" s="120"/>
      <c r="WJ1331" s="120"/>
      <c r="WK1331" s="120"/>
      <c r="WL1331" s="120"/>
      <c r="WM1331" s="120"/>
      <c r="WN1331" s="120"/>
      <c r="WO1331" s="120"/>
      <c r="WP1331" s="120"/>
      <c r="WQ1331" s="120"/>
      <c r="WR1331" s="120"/>
      <c r="WS1331" s="120"/>
      <c r="WT1331" s="120"/>
      <c r="WU1331" s="120"/>
      <c r="WV1331" s="120"/>
      <c r="WW1331" s="120"/>
      <c r="WX1331" s="120"/>
      <c r="WY1331" s="120"/>
      <c r="WZ1331" s="120"/>
      <c r="XA1331" s="120"/>
      <c r="XB1331" s="120"/>
      <c r="XC1331" s="120"/>
      <c r="XD1331" s="120"/>
      <c r="XE1331" s="120"/>
      <c r="XF1331" s="120"/>
      <c r="XG1331" s="120"/>
      <c r="XH1331" s="120"/>
      <c r="XI1331" s="120"/>
      <c r="XJ1331" s="120"/>
      <c r="XK1331" s="120"/>
      <c r="XL1331" s="120"/>
      <c r="XM1331" s="120"/>
      <c r="XN1331" s="120"/>
      <c r="XO1331" s="120"/>
      <c r="XP1331" s="120"/>
      <c r="XQ1331" s="120"/>
      <c r="XR1331" s="120"/>
      <c r="XS1331" s="120"/>
      <c r="XT1331" s="120"/>
      <c r="XU1331" s="120"/>
      <c r="XV1331" s="120"/>
      <c r="XW1331" s="120"/>
      <c r="XX1331" s="120"/>
      <c r="XY1331" s="120"/>
      <c r="XZ1331" s="120"/>
      <c r="YA1331" s="120"/>
      <c r="YB1331" s="120"/>
      <c r="YC1331" s="120"/>
      <c r="YD1331" s="120"/>
      <c r="YE1331" s="120"/>
      <c r="YF1331" s="120"/>
      <c r="YG1331" s="120"/>
      <c r="YH1331" s="120"/>
      <c r="YI1331" s="120"/>
      <c r="YJ1331" s="120"/>
      <c r="YK1331" s="120"/>
      <c r="YL1331" s="120"/>
      <c r="YM1331" s="120"/>
      <c r="YN1331" s="120"/>
      <c r="YO1331" s="120"/>
      <c r="YP1331" s="120"/>
      <c r="YQ1331" s="120"/>
      <c r="YR1331" s="120"/>
      <c r="YS1331" s="120"/>
      <c r="YT1331" s="120"/>
      <c r="YU1331" s="120"/>
      <c r="YV1331" s="120"/>
      <c r="YW1331" s="120"/>
      <c r="YX1331" s="120"/>
      <c r="YY1331" s="120"/>
      <c r="YZ1331" s="120"/>
      <c r="ZA1331" s="120"/>
      <c r="ZB1331" s="120"/>
      <c r="ZC1331" s="120"/>
      <c r="ZD1331" s="120"/>
      <c r="ZE1331" s="120"/>
      <c r="ZF1331" s="120"/>
      <c r="ZG1331" s="120"/>
      <c r="ZH1331" s="120"/>
      <c r="ZI1331" s="120"/>
      <c r="ZJ1331" s="120"/>
      <c r="ZK1331" s="120"/>
      <c r="ZL1331" s="120"/>
      <c r="ZM1331" s="120"/>
      <c r="ZN1331" s="120"/>
      <c r="ZO1331" s="120"/>
      <c r="ZP1331" s="120"/>
      <c r="ZQ1331" s="120"/>
      <c r="ZR1331" s="120"/>
      <c r="ZS1331" s="120"/>
      <c r="ZT1331" s="120"/>
      <c r="ZU1331" s="120"/>
      <c r="ZV1331" s="120"/>
      <c r="ZW1331" s="120"/>
      <c r="ZX1331" s="120"/>
      <c r="ZY1331" s="120"/>
      <c r="ZZ1331" s="120"/>
      <c r="AAA1331" s="120"/>
      <c r="AAB1331" s="120"/>
      <c r="AAC1331" s="120"/>
      <c r="AAD1331" s="120"/>
      <c r="AAE1331" s="120"/>
      <c r="AAF1331" s="120"/>
      <c r="AAG1331" s="120"/>
      <c r="AAH1331" s="120"/>
      <c r="AAI1331" s="120"/>
      <c r="AAJ1331" s="120"/>
      <c r="AAK1331" s="120"/>
      <c r="AAL1331" s="120"/>
      <c r="AAM1331" s="120"/>
      <c r="AAN1331" s="120"/>
      <c r="AAO1331" s="120"/>
      <c r="AAP1331" s="120"/>
      <c r="AAQ1331" s="120"/>
      <c r="AAR1331" s="120"/>
      <c r="AAS1331" s="120"/>
      <c r="AAT1331" s="120"/>
      <c r="AAU1331" s="120"/>
      <c r="AAV1331" s="120"/>
      <c r="AAW1331" s="120"/>
      <c r="AAX1331" s="120"/>
      <c r="AAY1331" s="120"/>
      <c r="AAZ1331" s="120"/>
      <c r="ABA1331" s="120"/>
      <c r="ABB1331" s="120"/>
      <c r="ABC1331" s="120"/>
      <c r="ABD1331" s="120"/>
      <c r="ABE1331" s="120"/>
      <c r="ABF1331" s="120"/>
      <c r="ABG1331" s="120"/>
      <c r="ABH1331" s="120"/>
      <c r="ABI1331" s="120"/>
      <c r="ABJ1331" s="120"/>
      <c r="ABK1331" s="120"/>
      <c r="ABL1331" s="120"/>
      <c r="ABM1331" s="120"/>
      <c r="ABN1331" s="120"/>
      <c r="ABO1331" s="120"/>
      <c r="ABP1331" s="120"/>
      <c r="ABQ1331" s="120"/>
      <c r="ABR1331" s="120"/>
      <c r="ABS1331" s="120"/>
      <c r="ABT1331" s="120"/>
      <c r="ABU1331" s="120"/>
      <c r="ABV1331" s="120"/>
      <c r="ABW1331" s="120"/>
      <c r="ABX1331" s="120"/>
      <c r="ABY1331" s="120"/>
      <c r="ABZ1331" s="120"/>
      <c r="ACA1331" s="120"/>
      <c r="ACB1331" s="120"/>
      <c r="ACC1331" s="120"/>
      <c r="ACD1331" s="120"/>
      <c r="ACE1331" s="120"/>
      <c r="ACF1331" s="120"/>
      <c r="ACG1331" s="120"/>
      <c r="ACH1331" s="120"/>
      <c r="ACI1331" s="120"/>
      <c r="ACJ1331" s="120"/>
      <c r="ACK1331" s="120"/>
      <c r="ACL1331" s="120"/>
      <c r="ACM1331" s="120"/>
      <c r="ACN1331" s="120"/>
      <c r="ACO1331" s="120"/>
      <c r="ACP1331" s="120"/>
      <c r="ACQ1331" s="120"/>
      <c r="ACR1331" s="120"/>
      <c r="ACS1331" s="120"/>
      <c r="ACT1331" s="120"/>
      <c r="ACU1331" s="120"/>
      <c r="ACV1331" s="120"/>
      <c r="ACW1331" s="120"/>
      <c r="ACX1331" s="120"/>
      <c r="ACY1331" s="120"/>
      <c r="ACZ1331" s="120"/>
      <c r="ADA1331" s="120"/>
      <c r="ADB1331" s="120"/>
      <c r="ADC1331" s="120"/>
      <c r="ADD1331" s="120"/>
      <c r="ADE1331" s="120"/>
      <c r="ADF1331" s="120"/>
      <c r="ADG1331" s="120"/>
      <c r="ADH1331" s="120"/>
      <c r="ADI1331" s="120"/>
      <c r="ADJ1331" s="120"/>
      <c r="ADK1331" s="120"/>
      <c r="ADL1331" s="120"/>
      <c r="ADM1331" s="120"/>
      <c r="ADN1331" s="120"/>
      <c r="ADO1331" s="120"/>
      <c r="ADP1331" s="120"/>
      <c r="ADQ1331" s="120"/>
      <c r="ADR1331" s="120"/>
      <c r="ADS1331" s="120"/>
      <c r="ADT1331" s="120"/>
      <c r="ADU1331" s="120"/>
      <c r="ADV1331" s="120"/>
      <c r="ADW1331" s="120"/>
      <c r="ADX1331" s="120"/>
      <c r="ADY1331" s="120"/>
      <c r="ADZ1331" s="120"/>
      <c r="AEA1331" s="120"/>
      <c r="AEB1331" s="120"/>
      <c r="AEC1331" s="120"/>
      <c r="AED1331" s="120"/>
      <c r="AEE1331" s="120"/>
      <c r="AEF1331" s="120"/>
      <c r="AEG1331" s="120"/>
      <c r="AEH1331" s="120"/>
      <c r="AEI1331" s="120"/>
      <c r="AEJ1331" s="120"/>
      <c r="AEK1331" s="120"/>
      <c r="AEL1331" s="120"/>
      <c r="AEM1331" s="120"/>
      <c r="AEN1331" s="120"/>
      <c r="AEO1331" s="120"/>
      <c r="AEP1331" s="120"/>
      <c r="AEQ1331" s="120"/>
      <c r="AER1331" s="120"/>
      <c r="AES1331" s="120"/>
      <c r="AET1331" s="120"/>
      <c r="AEU1331" s="120"/>
      <c r="AEV1331" s="120"/>
      <c r="AEW1331" s="120"/>
      <c r="AEX1331" s="120"/>
      <c r="AEY1331" s="120"/>
      <c r="AEZ1331" s="120"/>
      <c r="AFA1331" s="120"/>
      <c r="AFB1331" s="120"/>
      <c r="AFC1331" s="120"/>
      <c r="AFD1331" s="120"/>
      <c r="AFE1331" s="120"/>
      <c r="AFF1331" s="120"/>
      <c r="AFG1331" s="120"/>
      <c r="AFH1331" s="120"/>
      <c r="AFI1331" s="120"/>
      <c r="AFJ1331" s="120"/>
      <c r="AFK1331" s="120"/>
      <c r="AFL1331" s="120"/>
      <c r="AFM1331" s="120"/>
      <c r="AFN1331" s="120"/>
      <c r="AFO1331" s="120"/>
      <c r="AFP1331" s="120"/>
      <c r="AFQ1331" s="120"/>
      <c r="AFR1331" s="120"/>
      <c r="AFS1331" s="120"/>
      <c r="AFT1331" s="120"/>
      <c r="AFU1331" s="120"/>
      <c r="AFV1331" s="120"/>
      <c r="AFW1331" s="120"/>
      <c r="AFX1331" s="120"/>
      <c r="AFY1331" s="120"/>
      <c r="AFZ1331" s="120"/>
      <c r="AGA1331" s="120"/>
      <c r="AGB1331" s="120"/>
      <c r="AGC1331" s="120"/>
      <c r="AGD1331" s="120"/>
      <c r="AGE1331" s="120"/>
      <c r="AGF1331" s="120"/>
      <c r="AGG1331" s="120"/>
      <c r="AGH1331" s="120"/>
      <c r="AGI1331" s="120"/>
      <c r="AGJ1331" s="120"/>
      <c r="AGK1331" s="120"/>
      <c r="AGL1331" s="120"/>
      <c r="AGM1331" s="120"/>
      <c r="AGN1331" s="120"/>
      <c r="AGO1331" s="120"/>
      <c r="AGP1331" s="120"/>
      <c r="AGQ1331" s="120"/>
      <c r="AGR1331" s="120"/>
      <c r="AGS1331" s="120"/>
      <c r="AGT1331" s="120"/>
      <c r="AGU1331" s="120"/>
      <c r="AGV1331" s="120"/>
      <c r="AGW1331" s="120"/>
      <c r="AGX1331" s="120"/>
      <c r="AGY1331" s="120"/>
      <c r="AGZ1331" s="120"/>
      <c r="AHA1331" s="120"/>
      <c r="AHB1331" s="120"/>
      <c r="AHC1331" s="120"/>
      <c r="AHD1331" s="120"/>
      <c r="AHE1331" s="120"/>
      <c r="AHF1331" s="120"/>
      <c r="AHG1331" s="120"/>
      <c r="AHH1331" s="120"/>
      <c r="AHI1331" s="120"/>
      <c r="AHJ1331" s="120"/>
      <c r="AHK1331" s="120"/>
      <c r="AHL1331" s="120"/>
      <c r="AHM1331" s="120"/>
      <c r="AHN1331" s="120"/>
      <c r="AHO1331" s="120"/>
      <c r="AHP1331" s="120"/>
      <c r="AHQ1331" s="120"/>
      <c r="AHR1331" s="120"/>
      <c r="AHS1331" s="120"/>
      <c r="AHT1331" s="120"/>
      <c r="AHU1331" s="120"/>
      <c r="AHV1331" s="120"/>
      <c r="AHW1331" s="120"/>
      <c r="AHX1331" s="120"/>
      <c r="AHY1331" s="120"/>
      <c r="AHZ1331" s="120"/>
      <c r="AIA1331" s="120"/>
      <c r="AIB1331" s="120"/>
      <c r="AIC1331" s="120"/>
      <c r="AID1331" s="120"/>
      <c r="AIE1331" s="120"/>
      <c r="AIF1331" s="120"/>
      <c r="AIG1331" s="120"/>
      <c r="AIH1331" s="120"/>
      <c r="AII1331" s="120"/>
      <c r="AIJ1331" s="120"/>
      <c r="AIK1331" s="120"/>
      <c r="AIL1331" s="120"/>
      <c r="AIM1331" s="120"/>
      <c r="AIN1331" s="120"/>
      <c r="AIO1331" s="120"/>
      <c r="AIP1331" s="120"/>
      <c r="AIQ1331" s="120"/>
      <c r="AIR1331" s="120"/>
      <c r="AIS1331" s="120"/>
      <c r="AIT1331" s="120"/>
      <c r="AIU1331" s="120"/>
      <c r="AIV1331" s="120"/>
      <c r="AIW1331" s="120"/>
      <c r="AIX1331" s="120"/>
      <c r="AIY1331" s="120"/>
      <c r="AIZ1331" s="120"/>
      <c r="AJA1331" s="120"/>
      <c r="AJB1331" s="120"/>
      <c r="AJC1331" s="120"/>
      <c r="AJD1331" s="120"/>
      <c r="AJE1331" s="120"/>
      <c r="AJF1331" s="120"/>
      <c r="AJG1331" s="120"/>
      <c r="AJH1331" s="120"/>
      <c r="AJI1331" s="120"/>
      <c r="AJJ1331" s="120"/>
      <c r="AJK1331" s="120"/>
      <c r="AJL1331" s="120"/>
      <c r="AJM1331" s="120"/>
      <c r="AJN1331" s="120"/>
      <c r="AJO1331" s="120"/>
      <c r="AJP1331" s="120"/>
      <c r="AJQ1331" s="120"/>
      <c r="AJR1331" s="120"/>
      <c r="AJS1331" s="120"/>
      <c r="AJT1331" s="120"/>
      <c r="AJU1331" s="120"/>
      <c r="AJV1331" s="120"/>
      <c r="AJW1331" s="120"/>
      <c r="AJX1331" s="120"/>
      <c r="AJY1331" s="120"/>
      <c r="AJZ1331" s="120"/>
      <c r="AKA1331" s="120"/>
      <c r="AKB1331" s="120"/>
      <c r="AKC1331" s="120"/>
      <c r="AKD1331" s="120"/>
      <c r="AKE1331" s="120"/>
      <c r="AKF1331" s="120"/>
      <c r="AKG1331" s="120"/>
      <c r="AKH1331" s="120"/>
      <c r="AKI1331" s="120"/>
      <c r="AKJ1331" s="120"/>
      <c r="AKK1331" s="120"/>
      <c r="AKL1331" s="120"/>
      <c r="AKM1331" s="120"/>
      <c r="AKN1331" s="120"/>
      <c r="AKO1331" s="120"/>
      <c r="AKP1331" s="120"/>
      <c r="AKQ1331" s="120"/>
      <c r="AKR1331" s="120"/>
      <c r="AKS1331" s="120"/>
      <c r="AKT1331" s="120"/>
      <c r="AKU1331" s="120"/>
      <c r="AKV1331" s="120"/>
      <c r="AKW1331" s="120"/>
      <c r="AKX1331" s="120"/>
      <c r="AKY1331" s="120"/>
      <c r="AKZ1331" s="120"/>
      <c r="ALA1331" s="120"/>
      <c r="ALB1331" s="120"/>
      <c r="ALC1331" s="120"/>
      <c r="ALD1331" s="120"/>
      <c r="ALE1331" s="120"/>
      <c r="ALF1331" s="120"/>
      <c r="ALG1331" s="120"/>
      <c r="ALH1331" s="120"/>
      <c r="ALI1331" s="120"/>
      <c r="ALJ1331" s="120"/>
      <c r="ALK1331" s="120"/>
      <c r="ALL1331" s="120"/>
      <c r="ALM1331" s="120"/>
      <c r="ALN1331" s="120"/>
      <c r="ALO1331" s="120"/>
      <c r="ALP1331" s="120"/>
      <c r="ALQ1331" s="120"/>
      <c r="ALR1331" s="120"/>
      <c r="ALS1331" s="120"/>
      <c r="ALT1331" s="120"/>
      <c r="ALU1331" s="120"/>
      <c r="ALV1331" s="120"/>
      <c r="ALW1331" s="120"/>
      <c r="ALX1331" s="120"/>
      <c r="ALY1331" s="120"/>
      <c r="ALZ1331" s="120"/>
      <c r="AMA1331" s="120"/>
      <c r="AMB1331" s="120"/>
      <c r="AMC1331" s="120"/>
      <c r="AMD1331" s="120"/>
      <c r="AME1331" s="120"/>
      <c r="AMF1331" s="120"/>
      <c r="AMG1331" s="120"/>
      <c r="AMH1331" s="120"/>
      <c r="AMI1331" s="120"/>
      <c r="AMJ1331" s="120"/>
      <c r="AMK1331" s="120"/>
      <c r="AML1331" s="120"/>
      <c r="AMM1331" s="120"/>
      <c r="AMN1331" s="120"/>
      <c r="AMO1331" s="120"/>
      <c r="AMP1331" s="120"/>
      <c r="AMQ1331" s="120"/>
      <c r="AMR1331" s="120"/>
      <c r="AMS1331" s="120"/>
      <c r="AMT1331" s="120"/>
      <c r="AMU1331" s="120"/>
      <c r="AMV1331" s="120"/>
      <c r="AMW1331" s="120"/>
      <c r="AMX1331" s="120"/>
      <c r="AMY1331" s="120"/>
      <c r="AMZ1331" s="120"/>
      <c r="ANA1331" s="120"/>
      <c r="ANB1331" s="120"/>
      <c r="ANC1331" s="120"/>
      <c r="AND1331" s="120"/>
      <c r="ANE1331" s="120"/>
      <c r="ANF1331" s="120"/>
      <c r="ANG1331" s="120"/>
      <c r="ANH1331" s="120"/>
      <c r="ANI1331" s="120"/>
      <c r="ANJ1331" s="120"/>
      <c r="ANK1331" s="120"/>
      <c r="ANL1331" s="120"/>
      <c r="ANM1331" s="120"/>
      <c r="ANN1331" s="120"/>
      <c r="ANO1331" s="120"/>
      <c r="ANP1331" s="120"/>
      <c r="ANQ1331" s="120"/>
      <c r="ANR1331" s="120"/>
      <c r="ANS1331" s="120"/>
      <c r="ANT1331" s="120"/>
      <c r="ANU1331" s="120"/>
      <c r="ANV1331" s="120"/>
      <c r="ANW1331" s="120"/>
      <c r="ANX1331" s="120"/>
      <c r="ANY1331" s="120"/>
      <c r="ANZ1331" s="120"/>
      <c r="AOA1331" s="120"/>
      <c r="AOB1331" s="120"/>
      <c r="AOC1331" s="120"/>
      <c r="AOD1331" s="120"/>
      <c r="AOE1331" s="120"/>
      <c r="AOF1331" s="120"/>
      <c r="AOG1331" s="120"/>
      <c r="AOH1331" s="120"/>
      <c r="AOI1331" s="120"/>
      <c r="AOJ1331" s="120"/>
      <c r="AOK1331" s="120"/>
      <c r="AOL1331" s="120"/>
      <c r="AOM1331" s="120"/>
      <c r="AON1331" s="120"/>
      <c r="AOO1331" s="120"/>
      <c r="AOP1331" s="120"/>
      <c r="AOQ1331" s="120"/>
      <c r="AOR1331" s="120"/>
      <c r="AOS1331" s="120"/>
      <c r="AOT1331" s="120"/>
      <c r="AOU1331" s="120"/>
      <c r="AOV1331" s="120"/>
      <c r="AOW1331" s="120"/>
      <c r="AOX1331" s="120"/>
      <c r="AOY1331" s="120"/>
      <c r="AOZ1331" s="120"/>
      <c r="APA1331" s="120"/>
      <c r="APB1331" s="120"/>
      <c r="APC1331" s="120"/>
      <c r="APD1331" s="120"/>
      <c r="APE1331" s="120"/>
      <c r="APF1331" s="120"/>
      <c r="APG1331" s="120"/>
      <c r="APH1331" s="120"/>
      <c r="API1331" s="120"/>
      <c r="APJ1331" s="120"/>
      <c r="APK1331" s="120"/>
      <c r="APL1331" s="120"/>
      <c r="APM1331" s="120"/>
      <c r="APN1331" s="120"/>
      <c r="APO1331" s="120"/>
      <c r="APP1331" s="120"/>
      <c r="APQ1331" s="120"/>
      <c r="APR1331" s="120"/>
      <c r="APS1331" s="120"/>
      <c r="APT1331" s="120"/>
      <c r="APU1331" s="120"/>
      <c r="APV1331" s="120"/>
      <c r="APW1331" s="120"/>
      <c r="APX1331" s="120"/>
      <c r="APY1331" s="120"/>
      <c r="APZ1331" s="120"/>
      <c r="AQA1331" s="120"/>
      <c r="AQB1331" s="120"/>
      <c r="AQC1331" s="120"/>
      <c r="AQD1331" s="120"/>
      <c r="AQE1331" s="120"/>
      <c r="AQF1331" s="120"/>
      <c r="AQG1331" s="120"/>
      <c r="AQH1331" s="120"/>
      <c r="AQI1331" s="120"/>
      <c r="AQJ1331" s="120"/>
      <c r="AQK1331" s="120"/>
      <c r="AQL1331" s="120"/>
      <c r="AQM1331" s="120"/>
      <c r="AQN1331" s="120"/>
      <c r="AQO1331" s="120"/>
      <c r="AQP1331" s="120"/>
      <c r="AQQ1331" s="120"/>
      <c r="AQR1331" s="120"/>
      <c r="AQS1331" s="120"/>
      <c r="AQT1331" s="120"/>
      <c r="AQU1331" s="120"/>
      <c r="AQV1331" s="120"/>
      <c r="AQW1331" s="120"/>
      <c r="AQX1331" s="120"/>
      <c r="AQY1331" s="120"/>
      <c r="AQZ1331" s="120"/>
      <c r="ARA1331" s="120"/>
      <c r="ARB1331" s="120"/>
      <c r="ARC1331" s="120"/>
      <c r="ARD1331" s="120"/>
      <c r="ARE1331" s="120"/>
      <c r="ARF1331" s="120"/>
      <c r="ARG1331" s="120"/>
      <c r="ARH1331" s="120"/>
      <c r="ARI1331" s="120"/>
      <c r="ARJ1331" s="120"/>
      <c r="ARK1331" s="120"/>
      <c r="ARL1331" s="120"/>
      <c r="ARM1331" s="120"/>
      <c r="ARN1331" s="120"/>
      <c r="ARO1331" s="120"/>
      <c r="ARP1331" s="120"/>
      <c r="ARQ1331" s="120"/>
      <c r="ARR1331" s="120"/>
      <c r="ARS1331" s="120"/>
      <c r="ART1331" s="120"/>
      <c r="ARU1331" s="120"/>
      <c r="ARV1331" s="120"/>
      <c r="ARW1331" s="120"/>
      <c r="ARX1331" s="120"/>
      <c r="ARY1331" s="120"/>
      <c r="ARZ1331" s="120"/>
      <c r="ASA1331" s="120"/>
      <c r="ASB1331" s="120"/>
      <c r="ASC1331" s="120"/>
      <c r="ASD1331" s="120"/>
      <c r="ASE1331" s="120"/>
      <c r="ASF1331" s="120"/>
      <c r="ASG1331" s="120"/>
      <c r="ASH1331" s="120"/>
      <c r="ASI1331" s="120"/>
      <c r="ASJ1331" s="120"/>
      <c r="ASK1331" s="120"/>
      <c r="ASL1331" s="120"/>
      <c r="ASM1331" s="120"/>
      <c r="ASN1331" s="120"/>
      <c r="ASO1331" s="120"/>
      <c r="ASP1331" s="120"/>
      <c r="ASQ1331" s="120"/>
      <c r="ASR1331" s="120"/>
      <c r="ASS1331" s="120"/>
      <c r="AST1331" s="120"/>
      <c r="ASU1331" s="120"/>
      <c r="ASV1331" s="120"/>
      <c r="ASW1331" s="120"/>
      <c r="ASX1331" s="120"/>
      <c r="ASY1331" s="120"/>
      <c r="ASZ1331" s="120"/>
      <c r="ATA1331" s="120"/>
      <c r="ATB1331" s="120"/>
      <c r="ATC1331" s="120"/>
      <c r="ATD1331" s="120"/>
      <c r="ATE1331" s="120"/>
      <c r="ATF1331" s="120"/>
      <c r="ATG1331" s="120"/>
      <c r="ATH1331" s="120"/>
      <c r="ATI1331" s="120"/>
      <c r="ATJ1331" s="120"/>
      <c r="ATK1331" s="120"/>
      <c r="ATL1331" s="120"/>
      <c r="ATM1331" s="120"/>
      <c r="ATN1331" s="120"/>
      <c r="ATO1331" s="120"/>
    </row>
    <row r="1332" spans="1:1211" s="20" customFormat="1" ht="14.1" customHeight="1">
      <c r="A1332" s="112"/>
      <c r="B1332" s="723"/>
      <c r="C1332" s="184" t="s">
        <v>3739</v>
      </c>
      <c r="D1332" s="120"/>
      <c r="E1332" s="701"/>
      <c r="F1332" s="703"/>
      <c r="G1332" s="702"/>
      <c r="H1332" s="702"/>
      <c r="I1332" s="702"/>
      <c r="J1332" s="700"/>
      <c r="K1332" s="112"/>
      <c r="L1332" s="363"/>
      <c r="M1332" s="112"/>
      <c r="N1332" s="362"/>
      <c r="O1332" s="573"/>
      <c r="P1332" s="120"/>
      <c r="Q1332" s="120"/>
      <c r="R1332" s="120"/>
      <c r="S1332" s="120"/>
      <c r="T1332" s="120"/>
      <c r="U1332" s="120"/>
      <c r="V1332" s="120"/>
      <c r="W1332" s="120"/>
      <c r="X1332" s="120"/>
      <c r="Y1332" s="120"/>
      <c r="Z1332" s="120"/>
      <c r="AA1332" s="120"/>
      <c r="AB1332" s="120"/>
      <c r="AC1332" s="120"/>
      <c r="AD1332" s="120"/>
      <c r="AE1332" s="120"/>
      <c r="AF1332" s="120"/>
      <c r="AG1332" s="120"/>
      <c r="AH1332" s="120"/>
      <c r="AI1332" s="120"/>
      <c r="AJ1332" s="120"/>
      <c r="AK1332" s="120"/>
      <c r="AL1332" s="120"/>
      <c r="AM1332" s="120"/>
      <c r="AN1332" s="120"/>
      <c r="AO1332" s="120"/>
      <c r="AP1332" s="120"/>
      <c r="AQ1332" s="120"/>
      <c r="AR1332" s="120"/>
      <c r="AS1332" s="120"/>
      <c r="AT1332" s="120"/>
      <c r="AU1332" s="120"/>
      <c r="AV1332" s="120"/>
      <c r="AW1332" s="120"/>
      <c r="AX1332" s="120"/>
      <c r="AY1332" s="120"/>
      <c r="AZ1332" s="120"/>
      <c r="BA1332" s="120"/>
      <c r="BB1332" s="120"/>
      <c r="BC1332" s="120"/>
      <c r="BD1332" s="120"/>
      <c r="BE1332" s="120"/>
      <c r="BF1332" s="120"/>
      <c r="BG1332" s="120"/>
      <c r="BH1332" s="120"/>
      <c r="BI1332" s="120"/>
      <c r="BJ1332" s="120"/>
      <c r="BK1332" s="120"/>
      <c r="BL1332" s="120"/>
      <c r="BM1332" s="120"/>
      <c r="BN1332" s="120"/>
      <c r="BO1332" s="120"/>
      <c r="BP1332" s="120"/>
      <c r="BQ1332" s="120"/>
      <c r="BR1332" s="120"/>
      <c r="BS1332" s="120"/>
      <c r="BT1332" s="120"/>
      <c r="BU1332" s="120"/>
      <c r="BV1332" s="120"/>
      <c r="BW1332" s="120"/>
      <c r="BX1332" s="120"/>
      <c r="BY1332" s="120"/>
      <c r="BZ1332" s="120"/>
      <c r="CA1332" s="120"/>
      <c r="CB1332" s="120"/>
      <c r="CC1332" s="120"/>
      <c r="CD1332" s="120"/>
      <c r="CE1332" s="120"/>
      <c r="CF1332" s="120"/>
      <c r="CG1332" s="120"/>
      <c r="CH1332" s="120"/>
      <c r="CI1332" s="120"/>
      <c r="CJ1332" s="120"/>
      <c r="CK1332" s="120"/>
      <c r="CL1332" s="120"/>
      <c r="CM1332" s="120"/>
      <c r="CN1332" s="120"/>
      <c r="CO1332" s="120"/>
      <c r="CP1332" s="120"/>
      <c r="CQ1332" s="120"/>
      <c r="CR1332" s="120"/>
      <c r="CS1332" s="120"/>
      <c r="CT1332" s="120"/>
      <c r="CU1332" s="120"/>
      <c r="CV1332" s="120"/>
      <c r="CW1332" s="120"/>
      <c r="CX1332" s="120"/>
      <c r="CY1332" s="120"/>
      <c r="CZ1332" s="120"/>
      <c r="DA1332" s="120"/>
      <c r="DB1332" s="120"/>
      <c r="DC1332" s="120"/>
      <c r="DD1332" s="120"/>
      <c r="DE1332" s="120"/>
      <c r="DF1332" s="120"/>
      <c r="DG1332" s="120"/>
      <c r="DH1332" s="120"/>
      <c r="DI1332" s="120"/>
      <c r="DJ1332" s="120"/>
      <c r="DK1332" s="120"/>
      <c r="DL1332" s="120"/>
      <c r="DM1332" s="120"/>
      <c r="DN1332" s="120"/>
      <c r="DO1332" s="120"/>
      <c r="DP1332" s="120"/>
      <c r="DQ1332" s="120"/>
      <c r="DR1332" s="120"/>
      <c r="DS1332" s="120"/>
      <c r="DT1332" s="120"/>
      <c r="DU1332" s="120"/>
      <c r="DV1332" s="120"/>
      <c r="DW1332" s="120"/>
      <c r="DX1332" s="120"/>
      <c r="DY1332" s="120"/>
      <c r="DZ1332" s="120"/>
      <c r="EA1332" s="120"/>
      <c r="EB1332" s="120"/>
      <c r="EC1332" s="120"/>
      <c r="ED1332" s="120"/>
      <c r="EE1332" s="120"/>
      <c r="EF1332" s="120"/>
      <c r="EG1332" s="120"/>
      <c r="EH1332" s="120"/>
      <c r="EI1332" s="120"/>
      <c r="EJ1332" s="120"/>
      <c r="EK1332" s="120"/>
      <c r="EL1332" s="120"/>
      <c r="EM1332" s="120"/>
      <c r="EN1332" s="120"/>
      <c r="EO1332" s="120"/>
      <c r="EP1332" s="120"/>
      <c r="EQ1332" s="120"/>
      <c r="ER1332" s="120"/>
      <c r="ES1332" s="120"/>
      <c r="ET1332" s="120"/>
      <c r="EU1332" s="120"/>
      <c r="EV1332" s="120"/>
      <c r="EW1332" s="120"/>
      <c r="EX1332" s="120"/>
      <c r="EY1332" s="120"/>
      <c r="EZ1332" s="120"/>
      <c r="FA1332" s="120"/>
      <c r="FB1332" s="120"/>
      <c r="FC1332" s="120"/>
      <c r="FD1332" s="120"/>
      <c r="FE1332" s="120"/>
      <c r="FF1332" s="120"/>
      <c r="FG1332" s="120"/>
      <c r="FH1332" s="120"/>
      <c r="FI1332" s="120"/>
      <c r="FJ1332" s="120"/>
      <c r="FK1332" s="120"/>
      <c r="FL1332" s="120"/>
      <c r="FM1332" s="120"/>
      <c r="FN1332" s="120"/>
      <c r="FO1332" s="120"/>
      <c r="FP1332" s="120"/>
      <c r="FQ1332" s="120"/>
      <c r="FR1332" s="120"/>
      <c r="FS1332" s="120"/>
      <c r="FT1332" s="120"/>
      <c r="FU1332" s="120"/>
      <c r="FV1332" s="120"/>
      <c r="FW1332" s="120"/>
      <c r="FX1332" s="120"/>
      <c r="FY1332" s="120"/>
      <c r="FZ1332" s="120"/>
      <c r="GA1332" s="120"/>
      <c r="GB1332" s="120"/>
      <c r="GC1332" s="120"/>
      <c r="GD1332" s="120"/>
      <c r="GE1332" s="120"/>
      <c r="GF1332" s="120"/>
      <c r="GG1332" s="120"/>
      <c r="GH1332" s="120"/>
      <c r="GI1332" s="120"/>
      <c r="GJ1332" s="120"/>
      <c r="GK1332" s="120"/>
      <c r="GL1332" s="120"/>
      <c r="GM1332" s="120"/>
      <c r="GN1332" s="120"/>
      <c r="GO1332" s="120"/>
      <c r="GP1332" s="120"/>
      <c r="GQ1332" s="120"/>
      <c r="GR1332" s="120"/>
      <c r="GS1332" s="120"/>
      <c r="GT1332" s="120"/>
      <c r="GU1332" s="120"/>
      <c r="GV1332" s="120"/>
      <c r="GW1332" s="120"/>
      <c r="GX1332" s="120"/>
      <c r="GY1332" s="120"/>
      <c r="GZ1332" s="120"/>
      <c r="HA1332" s="120"/>
      <c r="HB1332" s="120"/>
      <c r="HC1332" s="120"/>
      <c r="HD1332" s="120"/>
      <c r="HE1332" s="120"/>
      <c r="HF1332" s="120"/>
      <c r="HG1332" s="120"/>
      <c r="HH1332" s="120"/>
      <c r="HI1332" s="120"/>
      <c r="HJ1332" s="120"/>
      <c r="HK1332" s="120"/>
      <c r="HL1332" s="120"/>
      <c r="HM1332" s="120"/>
      <c r="HN1332" s="120"/>
      <c r="HO1332" s="120"/>
      <c r="HP1332" s="120"/>
      <c r="HQ1332" s="120"/>
      <c r="HR1332" s="120"/>
      <c r="HS1332" s="120"/>
      <c r="HT1332" s="120"/>
      <c r="HU1332" s="120"/>
      <c r="HV1332" s="120"/>
      <c r="HW1332" s="120"/>
      <c r="HX1332" s="120"/>
      <c r="HY1332" s="120"/>
      <c r="HZ1332" s="120"/>
      <c r="IA1332" s="120"/>
      <c r="IB1332" s="120"/>
      <c r="IC1332" s="120"/>
      <c r="ID1332" s="120"/>
      <c r="IE1332" s="120"/>
      <c r="IF1332" s="120"/>
      <c r="IG1332" s="120"/>
      <c r="IH1332" s="120"/>
      <c r="II1332" s="120"/>
      <c r="IJ1332" s="120"/>
      <c r="IK1332" s="120"/>
      <c r="IL1332" s="120"/>
      <c r="IM1332" s="120"/>
      <c r="IN1332" s="120"/>
      <c r="IO1332" s="120"/>
      <c r="IP1332" s="120"/>
      <c r="IQ1332" s="120"/>
      <c r="IR1332" s="120"/>
      <c r="IS1332" s="120"/>
      <c r="IT1332" s="120"/>
      <c r="IU1332" s="120"/>
      <c r="IV1332" s="120"/>
      <c r="IW1332" s="120"/>
      <c r="IX1332" s="120"/>
      <c r="IY1332" s="120"/>
      <c r="IZ1332" s="120"/>
      <c r="JA1332" s="120"/>
      <c r="JB1332" s="120"/>
      <c r="JC1332" s="120"/>
      <c r="JD1332" s="120"/>
      <c r="JE1332" s="120"/>
      <c r="JF1332" s="120"/>
      <c r="JG1332" s="120"/>
      <c r="JH1332" s="120"/>
      <c r="JI1332" s="120"/>
      <c r="JJ1332" s="120"/>
      <c r="JK1332" s="120"/>
      <c r="JL1332" s="120"/>
      <c r="JM1332" s="120"/>
      <c r="JN1332" s="120"/>
      <c r="JO1332" s="120"/>
      <c r="JP1332" s="120"/>
      <c r="JQ1332" s="120"/>
      <c r="JR1332" s="120"/>
      <c r="JS1332" s="120"/>
      <c r="JT1332" s="120"/>
      <c r="JU1332" s="120"/>
      <c r="JV1332" s="120"/>
      <c r="JW1332" s="120"/>
      <c r="JX1332" s="120"/>
      <c r="JY1332" s="120"/>
      <c r="JZ1332" s="120"/>
      <c r="KA1332" s="120"/>
      <c r="KB1332" s="120"/>
      <c r="KC1332" s="120"/>
      <c r="KD1332" s="120"/>
      <c r="KE1332" s="120"/>
      <c r="KF1332" s="120"/>
      <c r="KG1332" s="120"/>
      <c r="KH1332" s="120"/>
      <c r="KI1332" s="120"/>
      <c r="KJ1332" s="120"/>
      <c r="KK1332" s="120"/>
      <c r="KL1332" s="120"/>
      <c r="KM1332" s="120"/>
      <c r="KN1332" s="120"/>
      <c r="KO1332" s="120"/>
      <c r="KP1332" s="120"/>
      <c r="KQ1332" s="120"/>
      <c r="KR1332" s="120"/>
      <c r="KS1332" s="120"/>
      <c r="KT1332" s="120"/>
      <c r="KU1332" s="120"/>
      <c r="KV1332" s="120"/>
      <c r="KW1332" s="120"/>
      <c r="KX1332" s="120"/>
      <c r="KY1332" s="120"/>
      <c r="KZ1332" s="120"/>
      <c r="LA1332" s="120"/>
      <c r="LB1332" s="120"/>
      <c r="LC1332" s="120"/>
      <c r="LD1332" s="120"/>
      <c r="LE1332" s="120"/>
      <c r="LF1332" s="120"/>
      <c r="LG1332" s="120"/>
      <c r="LH1332" s="120"/>
      <c r="LI1332" s="120"/>
      <c r="LJ1332" s="120"/>
      <c r="LK1332" s="120"/>
      <c r="LL1332" s="120"/>
      <c r="LM1332" s="120"/>
      <c r="LN1332" s="120"/>
      <c r="LO1332" s="120"/>
      <c r="LP1332" s="120"/>
      <c r="LQ1332" s="120"/>
      <c r="LR1332" s="120"/>
      <c r="LS1332" s="120"/>
      <c r="LT1332" s="120"/>
      <c r="LU1332" s="120"/>
      <c r="LV1332" s="120"/>
      <c r="LW1332" s="120"/>
      <c r="LX1332" s="120"/>
      <c r="LY1332" s="120"/>
      <c r="LZ1332" s="120"/>
      <c r="MA1332" s="120"/>
      <c r="MB1332" s="120"/>
      <c r="MC1332" s="120"/>
      <c r="MD1332" s="120"/>
      <c r="ME1332" s="120"/>
      <c r="MF1332" s="120"/>
      <c r="MG1332" s="120"/>
      <c r="MH1332" s="120"/>
      <c r="MI1332" s="120"/>
      <c r="MJ1332" s="120"/>
      <c r="MK1332" s="120"/>
      <c r="ML1332" s="120"/>
      <c r="MM1332" s="120"/>
      <c r="MN1332" s="120"/>
      <c r="MO1332" s="120"/>
      <c r="MP1332" s="120"/>
      <c r="MQ1332" s="120"/>
      <c r="MR1332" s="120"/>
      <c r="MS1332" s="120"/>
      <c r="MT1332" s="120"/>
      <c r="MU1332" s="120"/>
      <c r="MV1332" s="120"/>
      <c r="MW1332" s="120"/>
      <c r="MX1332" s="120"/>
      <c r="MY1332" s="120"/>
      <c r="MZ1332" s="120"/>
      <c r="NA1332" s="120"/>
      <c r="NB1332" s="120"/>
      <c r="NC1332" s="120"/>
      <c r="ND1332" s="120"/>
      <c r="NE1332" s="120"/>
      <c r="NF1332" s="120"/>
      <c r="NG1332" s="120"/>
      <c r="NH1332" s="120"/>
      <c r="NI1332" s="120"/>
      <c r="NJ1332" s="120"/>
      <c r="NK1332" s="120"/>
      <c r="NL1332" s="120"/>
      <c r="NM1332" s="120"/>
      <c r="NN1332" s="120"/>
      <c r="NO1332" s="120"/>
      <c r="NP1332" s="120"/>
      <c r="NQ1332" s="120"/>
      <c r="NR1332" s="120"/>
      <c r="NS1332" s="120"/>
      <c r="NT1332" s="120"/>
      <c r="NU1332" s="120"/>
      <c r="NV1332" s="120"/>
      <c r="NW1332" s="120"/>
      <c r="NX1332" s="120"/>
      <c r="NY1332" s="120"/>
      <c r="NZ1332" s="120"/>
      <c r="OA1332" s="120"/>
      <c r="OB1332" s="120"/>
      <c r="OC1332" s="120"/>
      <c r="OD1332" s="120"/>
      <c r="OE1332" s="120"/>
      <c r="OF1332" s="120"/>
      <c r="OG1332" s="120"/>
      <c r="OH1332" s="120"/>
      <c r="OI1332" s="120"/>
      <c r="OJ1332" s="120"/>
      <c r="OK1332" s="120"/>
      <c r="OL1332" s="120"/>
      <c r="OM1332" s="120"/>
      <c r="ON1332" s="120"/>
      <c r="OO1332" s="120"/>
      <c r="OP1332" s="120"/>
      <c r="OQ1332" s="120"/>
      <c r="OR1332" s="120"/>
      <c r="OS1332" s="120"/>
      <c r="OT1332" s="120"/>
      <c r="OU1332" s="120"/>
      <c r="OV1332" s="120"/>
      <c r="OW1332" s="120"/>
      <c r="OX1332" s="120"/>
      <c r="OY1332" s="120"/>
      <c r="OZ1332" s="120"/>
      <c r="PA1332" s="120"/>
      <c r="PB1332" s="120"/>
      <c r="PC1332" s="120"/>
      <c r="PD1332" s="120"/>
      <c r="PE1332" s="120"/>
      <c r="PF1332" s="120"/>
      <c r="PG1332" s="120"/>
      <c r="PH1332" s="120"/>
      <c r="PI1332" s="120"/>
      <c r="PJ1332" s="120"/>
      <c r="PK1332" s="120"/>
      <c r="PL1332" s="120"/>
      <c r="PM1332" s="120"/>
      <c r="PN1332" s="120"/>
      <c r="PO1332" s="120"/>
      <c r="PP1332" s="120"/>
      <c r="PQ1332" s="120"/>
      <c r="PR1332" s="120"/>
      <c r="PS1332" s="120"/>
      <c r="PT1332" s="120"/>
      <c r="PU1332" s="120"/>
      <c r="PV1332" s="120"/>
      <c r="PW1332" s="120"/>
      <c r="PX1332" s="120"/>
      <c r="PY1332" s="120"/>
      <c r="PZ1332" s="120"/>
      <c r="QA1332" s="120"/>
      <c r="QB1332" s="120"/>
      <c r="QC1332" s="120"/>
      <c r="QD1332" s="120"/>
      <c r="QE1332" s="120"/>
      <c r="QF1332" s="120"/>
      <c r="QG1332" s="120"/>
      <c r="QH1332" s="120"/>
      <c r="QI1332" s="120"/>
      <c r="QJ1332" s="120"/>
      <c r="QK1332" s="120"/>
      <c r="QL1332" s="120"/>
      <c r="QM1332" s="120"/>
      <c r="QN1332" s="120"/>
      <c r="QO1332" s="120"/>
      <c r="QP1332" s="120"/>
      <c r="QQ1332" s="120"/>
      <c r="QR1332" s="120"/>
      <c r="QS1332" s="120"/>
      <c r="QT1332" s="120"/>
      <c r="QU1332" s="120"/>
      <c r="QV1332" s="120"/>
      <c r="QW1332" s="120"/>
      <c r="QX1332" s="120"/>
      <c r="QY1332" s="120"/>
      <c r="QZ1332" s="120"/>
      <c r="RA1332" s="120"/>
      <c r="RB1332" s="120"/>
      <c r="RC1332" s="120"/>
      <c r="RD1332" s="120"/>
      <c r="RE1332" s="120"/>
      <c r="RF1332" s="120"/>
      <c r="RG1332" s="120"/>
      <c r="RH1332" s="120"/>
      <c r="RI1332" s="120"/>
      <c r="RJ1332" s="120"/>
      <c r="RK1332" s="120"/>
      <c r="RL1332" s="120"/>
      <c r="RM1332" s="120"/>
      <c r="RN1332" s="120"/>
      <c r="RO1332" s="120"/>
      <c r="RP1332" s="120"/>
      <c r="RQ1332" s="120"/>
      <c r="RR1332" s="120"/>
      <c r="RS1332" s="120"/>
      <c r="RT1332" s="120"/>
      <c r="RU1332" s="120"/>
      <c r="RV1332" s="120"/>
      <c r="RW1332" s="120"/>
      <c r="RX1332" s="120"/>
      <c r="RY1332" s="120"/>
      <c r="RZ1332" s="120"/>
      <c r="SA1332" s="120"/>
      <c r="SB1332" s="120"/>
      <c r="SC1332" s="120"/>
      <c r="SD1332" s="120"/>
      <c r="SE1332" s="120"/>
      <c r="SF1332" s="120"/>
      <c r="SG1332" s="120"/>
      <c r="SH1332" s="120"/>
      <c r="SI1332" s="120"/>
      <c r="SJ1332" s="120"/>
      <c r="SK1332" s="120"/>
      <c r="SL1332" s="120"/>
      <c r="SM1332" s="120"/>
      <c r="SN1332" s="120"/>
      <c r="SO1332" s="120"/>
      <c r="SP1332" s="120"/>
      <c r="SQ1332" s="120"/>
      <c r="SR1332" s="120"/>
      <c r="SS1332" s="120"/>
      <c r="ST1332" s="120"/>
      <c r="SU1332" s="120"/>
      <c r="SV1332" s="120"/>
      <c r="SW1332" s="120"/>
      <c r="SX1332" s="120"/>
      <c r="SY1332" s="120"/>
      <c r="SZ1332" s="120"/>
      <c r="TA1332" s="120"/>
      <c r="TB1332" s="120"/>
      <c r="TC1332" s="120"/>
      <c r="TD1332" s="120"/>
      <c r="TE1332" s="120"/>
      <c r="TF1332" s="120"/>
      <c r="TG1332" s="120"/>
      <c r="TH1332" s="120"/>
      <c r="TI1332" s="120"/>
      <c r="TJ1332" s="120"/>
      <c r="TK1332" s="120"/>
      <c r="TL1332" s="120"/>
      <c r="TM1332" s="120"/>
      <c r="TN1332" s="120"/>
      <c r="TO1332" s="120"/>
      <c r="TP1332" s="120"/>
      <c r="TQ1332" s="120"/>
      <c r="TR1332" s="120"/>
      <c r="TS1332" s="120"/>
      <c r="TT1332" s="120"/>
      <c r="TU1332" s="120"/>
      <c r="TV1332" s="120"/>
      <c r="TW1332" s="120"/>
      <c r="TX1332" s="120"/>
      <c r="TY1332" s="120"/>
      <c r="TZ1332" s="120"/>
      <c r="UA1332" s="120"/>
      <c r="UB1332" s="120"/>
      <c r="UC1332" s="120"/>
      <c r="UD1332" s="120"/>
      <c r="UE1332" s="120"/>
      <c r="UF1332" s="120"/>
      <c r="UG1332" s="120"/>
      <c r="UH1332" s="120"/>
      <c r="UI1332" s="120"/>
      <c r="UJ1332" s="120"/>
      <c r="UK1332" s="120"/>
      <c r="UL1332" s="120"/>
      <c r="UM1332" s="120"/>
      <c r="UN1332" s="120"/>
      <c r="UO1332" s="120"/>
      <c r="UP1332" s="120"/>
      <c r="UQ1332" s="120"/>
      <c r="UR1332" s="120"/>
      <c r="US1332" s="120"/>
      <c r="UT1332" s="120"/>
      <c r="UU1332" s="120"/>
      <c r="UV1332" s="120"/>
      <c r="UW1332" s="120"/>
      <c r="UX1332" s="120"/>
      <c r="UY1332" s="120"/>
      <c r="UZ1332" s="120"/>
      <c r="VA1332" s="120"/>
      <c r="VB1332" s="120"/>
      <c r="VC1332" s="120"/>
      <c r="VD1332" s="120"/>
      <c r="VE1332" s="120"/>
      <c r="VF1332" s="120"/>
      <c r="VG1332" s="120"/>
      <c r="VH1332" s="120"/>
      <c r="VI1332" s="120"/>
      <c r="VJ1332" s="120"/>
      <c r="VK1332" s="120"/>
      <c r="VL1332" s="120"/>
      <c r="VM1332" s="120"/>
      <c r="VN1332" s="120"/>
      <c r="VO1332" s="120"/>
      <c r="VP1332" s="120"/>
      <c r="VQ1332" s="120"/>
      <c r="VR1332" s="120"/>
      <c r="VS1332" s="120"/>
      <c r="VT1332" s="120"/>
      <c r="VU1332" s="120"/>
      <c r="VV1332" s="120"/>
      <c r="VW1332" s="120"/>
      <c r="VX1332" s="120"/>
      <c r="VY1332" s="120"/>
      <c r="VZ1332" s="120"/>
      <c r="WA1332" s="120"/>
      <c r="WB1332" s="120"/>
      <c r="WC1332" s="120"/>
      <c r="WD1332" s="120"/>
      <c r="WE1332" s="120"/>
      <c r="WF1332" s="120"/>
      <c r="WG1332" s="120"/>
      <c r="WH1332" s="120"/>
      <c r="WI1332" s="120"/>
      <c r="WJ1332" s="120"/>
      <c r="WK1332" s="120"/>
      <c r="WL1332" s="120"/>
      <c r="WM1332" s="120"/>
      <c r="WN1332" s="120"/>
      <c r="WO1332" s="120"/>
      <c r="WP1332" s="120"/>
      <c r="WQ1332" s="120"/>
      <c r="WR1332" s="120"/>
      <c r="WS1332" s="120"/>
      <c r="WT1332" s="120"/>
      <c r="WU1332" s="120"/>
      <c r="WV1332" s="120"/>
      <c r="WW1332" s="120"/>
      <c r="WX1332" s="120"/>
      <c r="WY1332" s="120"/>
      <c r="WZ1332" s="120"/>
      <c r="XA1332" s="120"/>
      <c r="XB1332" s="120"/>
      <c r="XC1332" s="120"/>
      <c r="XD1332" s="120"/>
      <c r="XE1332" s="120"/>
      <c r="XF1332" s="120"/>
      <c r="XG1332" s="120"/>
      <c r="XH1332" s="120"/>
      <c r="XI1332" s="120"/>
      <c r="XJ1332" s="120"/>
      <c r="XK1332" s="120"/>
      <c r="XL1332" s="120"/>
      <c r="XM1332" s="120"/>
      <c r="XN1332" s="120"/>
      <c r="XO1332" s="120"/>
      <c r="XP1332" s="120"/>
      <c r="XQ1332" s="120"/>
      <c r="XR1332" s="120"/>
      <c r="XS1332" s="120"/>
      <c r="XT1332" s="120"/>
      <c r="XU1332" s="120"/>
      <c r="XV1332" s="120"/>
      <c r="XW1332" s="120"/>
      <c r="XX1332" s="120"/>
      <c r="XY1332" s="120"/>
      <c r="XZ1332" s="120"/>
      <c r="YA1332" s="120"/>
      <c r="YB1332" s="120"/>
      <c r="YC1332" s="120"/>
      <c r="YD1332" s="120"/>
      <c r="YE1332" s="120"/>
      <c r="YF1332" s="120"/>
      <c r="YG1332" s="120"/>
      <c r="YH1332" s="120"/>
      <c r="YI1332" s="120"/>
      <c r="YJ1332" s="120"/>
      <c r="YK1332" s="120"/>
      <c r="YL1332" s="120"/>
      <c r="YM1332" s="120"/>
      <c r="YN1332" s="120"/>
      <c r="YO1332" s="120"/>
      <c r="YP1332" s="120"/>
      <c r="YQ1332" s="120"/>
      <c r="YR1332" s="120"/>
      <c r="YS1332" s="120"/>
      <c r="YT1332" s="120"/>
      <c r="YU1332" s="120"/>
      <c r="YV1332" s="120"/>
      <c r="YW1332" s="120"/>
      <c r="YX1332" s="120"/>
      <c r="YY1332" s="120"/>
      <c r="YZ1332" s="120"/>
      <c r="ZA1332" s="120"/>
      <c r="ZB1332" s="120"/>
      <c r="ZC1332" s="120"/>
      <c r="ZD1332" s="120"/>
      <c r="ZE1332" s="120"/>
      <c r="ZF1332" s="120"/>
      <c r="ZG1332" s="120"/>
      <c r="ZH1332" s="120"/>
      <c r="ZI1332" s="120"/>
      <c r="ZJ1332" s="120"/>
      <c r="ZK1332" s="120"/>
      <c r="ZL1332" s="120"/>
      <c r="ZM1332" s="120"/>
      <c r="ZN1332" s="120"/>
      <c r="ZO1332" s="120"/>
      <c r="ZP1332" s="120"/>
      <c r="ZQ1332" s="120"/>
      <c r="ZR1332" s="120"/>
      <c r="ZS1332" s="120"/>
      <c r="ZT1332" s="120"/>
      <c r="ZU1332" s="120"/>
      <c r="ZV1332" s="120"/>
      <c r="ZW1332" s="120"/>
      <c r="ZX1332" s="120"/>
      <c r="ZY1332" s="120"/>
      <c r="ZZ1332" s="120"/>
      <c r="AAA1332" s="120"/>
      <c r="AAB1332" s="120"/>
      <c r="AAC1332" s="120"/>
      <c r="AAD1332" s="120"/>
      <c r="AAE1332" s="120"/>
      <c r="AAF1332" s="120"/>
      <c r="AAG1332" s="120"/>
      <c r="AAH1332" s="120"/>
      <c r="AAI1332" s="120"/>
      <c r="AAJ1332" s="120"/>
      <c r="AAK1332" s="120"/>
      <c r="AAL1332" s="120"/>
      <c r="AAM1332" s="120"/>
      <c r="AAN1332" s="120"/>
      <c r="AAO1332" s="120"/>
      <c r="AAP1332" s="120"/>
      <c r="AAQ1332" s="120"/>
      <c r="AAR1332" s="120"/>
      <c r="AAS1332" s="120"/>
      <c r="AAT1332" s="120"/>
      <c r="AAU1332" s="120"/>
      <c r="AAV1332" s="120"/>
      <c r="AAW1332" s="120"/>
      <c r="AAX1332" s="120"/>
      <c r="AAY1332" s="120"/>
      <c r="AAZ1332" s="120"/>
      <c r="ABA1332" s="120"/>
      <c r="ABB1332" s="120"/>
      <c r="ABC1332" s="120"/>
      <c r="ABD1332" s="120"/>
      <c r="ABE1332" s="120"/>
      <c r="ABF1332" s="120"/>
      <c r="ABG1332" s="120"/>
      <c r="ABH1332" s="120"/>
      <c r="ABI1332" s="120"/>
      <c r="ABJ1332" s="120"/>
      <c r="ABK1332" s="120"/>
      <c r="ABL1332" s="120"/>
      <c r="ABM1332" s="120"/>
      <c r="ABN1332" s="120"/>
      <c r="ABO1332" s="120"/>
      <c r="ABP1332" s="120"/>
      <c r="ABQ1332" s="120"/>
      <c r="ABR1332" s="120"/>
      <c r="ABS1332" s="120"/>
      <c r="ABT1332" s="120"/>
      <c r="ABU1332" s="120"/>
      <c r="ABV1332" s="120"/>
      <c r="ABW1332" s="120"/>
      <c r="ABX1332" s="120"/>
      <c r="ABY1332" s="120"/>
      <c r="ABZ1332" s="120"/>
      <c r="ACA1332" s="120"/>
      <c r="ACB1332" s="120"/>
      <c r="ACC1332" s="120"/>
      <c r="ACD1332" s="120"/>
      <c r="ACE1332" s="120"/>
      <c r="ACF1332" s="120"/>
      <c r="ACG1332" s="120"/>
      <c r="ACH1332" s="120"/>
      <c r="ACI1332" s="120"/>
      <c r="ACJ1332" s="120"/>
      <c r="ACK1332" s="120"/>
      <c r="ACL1332" s="120"/>
      <c r="ACM1332" s="120"/>
      <c r="ACN1332" s="120"/>
      <c r="ACO1332" s="120"/>
      <c r="ACP1332" s="120"/>
      <c r="ACQ1332" s="120"/>
      <c r="ACR1332" s="120"/>
      <c r="ACS1332" s="120"/>
      <c r="ACT1332" s="120"/>
      <c r="ACU1332" s="120"/>
      <c r="ACV1332" s="120"/>
      <c r="ACW1332" s="120"/>
      <c r="ACX1332" s="120"/>
      <c r="ACY1332" s="120"/>
      <c r="ACZ1332" s="120"/>
      <c r="ADA1332" s="120"/>
      <c r="ADB1332" s="120"/>
      <c r="ADC1332" s="120"/>
      <c r="ADD1332" s="120"/>
      <c r="ADE1332" s="120"/>
      <c r="ADF1332" s="120"/>
      <c r="ADG1332" s="120"/>
      <c r="ADH1332" s="120"/>
      <c r="ADI1332" s="120"/>
      <c r="ADJ1332" s="120"/>
      <c r="ADK1332" s="120"/>
      <c r="ADL1332" s="120"/>
      <c r="ADM1332" s="120"/>
      <c r="ADN1332" s="120"/>
      <c r="ADO1332" s="120"/>
      <c r="ADP1332" s="120"/>
      <c r="ADQ1332" s="120"/>
      <c r="ADR1332" s="120"/>
      <c r="ADS1332" s="120"/>
      <c r="ADT1332" s="120"/>
      <c r="ADU1332" s="120"/>
      <c r="ADV1332" s="120"/>
      <c r="ADW1332" s="120"/>
      <c r="ADX1332" s="120"/>
      <c r="ADY1332" s="120"/>
      <c r="ADZ1332" s="120"/>
      <c r="AEA1332" s="120"/>
      <c r="AEB1332" s="120"/>
      <c r="AEC1332" s="120"/>
      <c r="AED1332" s="120"/>
      <c r="AEE1332" s="120"/>
      <c r="AEF1332" s="120"/>
      <c r="AEG1332" s="120"/>
      <c r="AEH1332" s="120"/>
      <c r="AEI1332" s="120"/>
      <c r="AEJ1332" s="120"/>
      <c r="AEK1332" s="120"/>
      <c r="AEL1332" s="120"/>
      <c r="AEM1332" s="120"/>
      <c r="AEN1332" s="120"/>
      <c r="AEO1332" s="120"/>
      <c r="AEP1332" s="120"/>
      <c r="AEQ1332" s="120"/>
      <c r="AER1332" s="120"/>
      <c r="AES1332" s="120"/>
      <c r="AET1332" s="120"/>
      <c r="AEU1332" s="120"/>
      <c r="AEV1332" s="120"/>
      <c r="AEW1332" s="120"/>
      <c r="AEX1332" s="120"/>
      <c r="AEY1332" s="120"/>
      <c r="AEZ1332" s="120"/>
      <c r="AFA1332" s="120"/>
      <c r="AFB1332" s="120"/>
      <c r="AFC1332" s="120"/>
      <c r="AFD1332" s="120"/>
      <c r="AFE1332" s="120"/>
      <c r="AFF1332" s="120"/>
      <c r="AFG1332" s="120"/>
      <c r="AFH1332" s="120"/>
      <c r="AFI1332" s="120"/>
      <c r="AFJ1332" s="120"/>
      <c r="AFK1332" s="120"/>
      <c r="AFL1332" s="120"/>
      <c r="AFM1332" s="120"/>
      <c r="AFN1332" s="120"/>
      <c r="AFO1332" s="120"/>
      <c r="AFP1332" s="120"/>
      <c r="AFQ1332" s="120"/>
      <c r="AFR1332" s="120"/>
      <c r="AFS1332" s="120"/>
      <c r="AFT1332" s="120"/>
      <c r="AFU1332" s="120"/>
      <c r="AFV1332" s="120"/>
      <c r="AFW1332" s="120"/>
      <c r="AFX1332" s="120"/>
      <c r="AFY1332" s="120"/>
      <c r="AFZ1332" s="120"/>
      <c r="AGA1332" s="120"/>
      <c r="AGB1332" s="120"/>
      <c r="AGC1332" s="120"/>
      <c r="AGD1332" s="120"/>
      <c r="AGE1332" s="120"/>
      <c r="AGF1332" s="120"/>
      <c r="AGG1332" s="120"/>
      <c r="AGH1332" s="120"/>
      <c r="AGI1332" s="120"/>
      <c r="AGJ1332" s="120"/>
      <c r="AGK1332" s="120"/>
      <c r="AGL1332" s="120"/>
      <c r="AGM1332" s="120"/>
      <c r="AGN1332" s="120"/>
      <c r="AGO1332" s="120"/>
      <c r="AGP1332" s="120"/>
      <c r="AGQ1332" s="120"/>
      <c r="AGR1332" s="120"/>
      <c r="AGS1332" s="120"/>
      <c r="AGT1332" s="120"/>
      <c r="AGU1332" s="120"/>
      <c r="AGV1332" s="120"/>
      <c r="AGW1332" s="120"/>
      <c r="AGX1332" s="120"/>
      <c r="AGY1332" s="120"/>
      <c r="AGZ1332" s="120"/>
      <c r="AHA1332" s="120"/>
      <c r="AHB1332" s="120"/>
      <c r="AHC1332" s="120"/>
      <c r="AHD1332" s="120"/>
      <c r="AHE1332" s="120"/>
      <c r="AHF1332" s="120"/>
      <c r="AHG1332" s="120"/>
      <c r="AHH1332" s="120"/>
      <c r="AHI1332" s="120"/>
      <c r="AHJ1332" s="120"/>
      <c r="AHK1332" s="120"/>
      <c r="AHL1332" s="120"/>
      <c r="AHM1332" s="120"/>
      <c r="AHN1332" s="120"/>
      <c r="AHO1332" s="120"/>
      <c r="AHP1332" s="120"/>
      <c r="AHQ1332" s="120"/>
      <c r="AHR1332" s="120"/>
      <c r="AHS1332" s="120"/>
      <c r="AHT1332" s="120"/>
      <c r="AHU1332" s="120"/>
      <c r="AHV1332" s="120"/>
      <c r="AHW1332" s="120"/>
      <c r="AHX1332" s="120"/>
      <c r="AHY1332" s="120"/>
      <c r="AHZ1332" s="120"/>
      <c r="AIA1332" s="120"/>
      <c r="AIB1332" s="120"/>
      <c r="AIC1332" s="120"/>
      <c r="AID1332" s="120"/>
      <c r="AIE1332" s="120"/>
      <c r="AIF1332" s="120"/>
      <c r="AIG1332" s="120"/>
      <c r="AIH1332" s="120"/>
      <c r="AII1332" s="120"/>
      <c r="AIJ1332" s="120"/>
      <c r="AIK1332" s="120"/>
      <c r="AIL1332" s="120"/>
      <c r="AIM1332" s="120"/>
      <c r="AIN1332" s="120"/>
      <c r="AIO1332" s="120"/>
      <c r="AIP1332" s="120"/>
      <c r="AIQ1332" s="120"/>
      <c r="AIR1332" s="120"/>
      <c r="AIS1332" s="120"/>
      <c r="AIT1332" s="120"/>
      <c r="AIU1332" s="120"/>
      <c r="AIV1332" s="120"/>
      <c r="AIW1332" s="120"/>
      <c r="AIX1332" s="120"/>
      <c r="AIY1332" s="120"/>
      <c r="AIZ1332" s="120"/>
      <c r="AJA1332" s="120"/>
      <c r="AJB1332" s="120"/>
      <c r="AJC1332" s="120"/>
      <c r="AJD1332" s="120"/>
      <c r="AJE1332" s="120"/>
      <c r="AJF1332" s="120"/>
      <c r="AJG1332" s="120"/>
      <c r="AJH1332" s="120"/>
      <c r="AJI1332" s="120"/>
      <c r="AJJ1332" s="120"/>
      <c r="AJK1332" s="120"/>
      <c r="AJL1332" s="120"/>
      <c r="AJM1332" s="120"/>
      <c r="AJN1332" s="120"/>
      <c r="AJO1332" s="120"/>
      <c r="AJP1332" s="120"/>
      <c r="AJQ1332" s="120"/>
      <c r="AJR1332" s="120"/>
      <c r="AJS1332" s="120"/>
      <c r="AJT1332" s="120"/>
      <c r="AJU1332" s="120"/>
      <c r="AJV1332" s="120"/>
      <c r="AJW1332" s="120"/>
      <c r="AJX1332" s="120"/>
      <c r="AJY1332" s="120"/>
      <c r="AJZ1332" s="120"/>
      <c r="AKA1332" s="120"/>
      <c r="AKB1332" s="120"/>
      <c r="AKC1332" s="120"/>
      <c r="AKD1332" s="120"/>
      <c r="AKE1332" s="120"/>
      <c r="AKF1332" s="120"/>
      <c r="AKG1332" s="120"/>
      <c r="AKH1332" s="120"/>
      <c r="AKI1332" s="120"/>
      <c r="AKJ1332" s="120"/>
      <c r="AKK1332" s="120"/>
      <c r="AKL1332" s="120"/>
      <c r="AKM1332" s="120"/>
      <c r="AKN1332" s="120"/>
      <c r="AKO1332" s="120"/>
      <c r="AKP1332" s="120"/>
      <c r="AKQ1332" s="120"/>
      <c r="AKR1332" s="120"/>
      <c r="AKS1332" s="120"/>
      <c r="AKT1332" s="120"/>
      <c r="AKU1332" s="120"/>
      <c r="AKV1332" s="120"/>
      <c r="AKW1332" s="120"/>
      <c r="AKX1332" s="120"/>
      <c r="AKY1332" s="120"/>
      <c r="AKZ1332" s="120"/>
      <c r="ALA1332" s="120"/>
      <c r="ALB1332" s="120"/>
      <c r="ALC1332" s="120"/>
      <c r="ALD1332" s="120"/>
      <c r="ALE1332" s="120"/>
      <c r="ALF1332" s="120"/>
      <c r="ALG1332" s="120"/>
      <c r="ALH1332" s="120"/>
      <c r="ALI1332" s="120"/>
      <c r="ALJ1332" s="120"/>
      <c r="ALK1332" s="120"/>
      <c r="ALL1332" s="120"/>
      <c r="ALM1332" s="120"/>
      <c r="ALN1332" s="120"/>
      <c r="ALO1332" s="120"/>
      <c r="ALP1332" s="120"/>
      <c r="ALQ1332" s="120"/>
      <c r="ALR1332" s="120"/>
      <c r="ALS1332" s="120"/>
      <c r="ALT1332" s="120"/>
      <c r="ALU1332" s="120"/>
      <c r="ALV1332" s="120"/>
      <c r="ALW1332" s="120"/>
      <c r="ALX1332" s="120"/>
      <c r="ALY1332" s="120"/>
      <c r="ALZ1332" s="120"/>
      <c r="AMA1332" s="120"/>
      <c r="AMB1332" s="120"/>
      <c r="AMC1332" s="120"/>
      <c r="AMD1332" s="120"/>
      <c r="AME1332" s="120"/>
      <c r="AMF1332" s="120"/>
      <c r="AMG1332" s="120"/>
      <c r="AMH1332" s="120"/>
      <c r="AMI1332" s="120"/>
      <c r="AMJ1332" s="120"/>
      <c r="AMK1332" s="120"/>
      <c r="AML1332" s="120"/>
      <c r="AMM1332" s="120"/>
      <c r="AMN1332" s="120"/>
      <c r="AMO1332" s="120"/>
      <c r="AMP1332" s="120"/>
      <c r="AMQ1332" s="120"/>
      <c r="AMR1332" s="120"/>
      <c r="AMS1332" s="120"/>
      <c r="AMT1332" s="120"/>
      <c r="AMU1332" s="120"/>
      <c r="AMV1332" s="120"/>
      <c r="AMW1332" s="120"/>
      <c r="AMX1332" s="120"/>
      <c r="AMY1332" s="120"/>
      <c r="AMZ1332" s="120"/>
      <c r="ANA1332" s="120"/>
      <c r="ANB1332" s="120"/>
      <c r="ANC1332" s="120"/>
      <c r="AND1332" s="120"/>
      <c r="ANE1332" s="120"/>
      <c r="ANF1332" s="120"/>
      <c r="ANG1332" s="120"/>
      <c r="ANH1332" s="120"/>
      <c r="ANI1332" s="120"/>
      <c r="ANJ1332" s="120"/>
      <c r="ANK1332" s="120"/>
      <c r="ANL1332" s="120"/>
      <c r="ANM1332" s="120"/>
      <c r="ANN1332" s="120"/>
      <c r="ANO1332" s="120"/>
      <c r="ANP1332" s="120"/>
      <c r="ANQ1332" s="120"/>
      <c r="ANR1332" s="120"/>
      <c r="ANS1332" s="120"/>
      <c r="ANT1332" s="120"/>
      <c r="ANU1332" s="120"/>
      <c r="ANV1332" s="120"/>
      <c r="ANW1332" s="120"/>
      <c r="ANX1332" s="120"/>
      <c r="ANY1332" s="120"/>
      <c r="ANZ1332" s="120"/>
      <c r="AOA1332" s="120"/>
      <c r="AOB1332" s="120"/>
      <c r="AOC1332" s="120"/>
      <c r="AOD1332" s="120"/>
      <c r="AOE1332" s="120"/>
      <c r="AOF1332" s="120"/>
      <c r="AOG1332" s="120"/>
      <c r="AOH1332" s="120"/>
      <c r="AOI1332" s="120"/>
      <c r="AOJ1332" s="120"/>
      <c r="AOK1332" s="120"/>
      <c r="AOL1332" s="120"/>
      <c r="AOM1332" s="120"/>
      <c r="AON1332" s="120"/>
      <c r="AOO1332" s="120"/>
      <c r="AOP1332" s="120"/>
      <c r="AOQ1332" s="120"/>
      <c r="AOR1332" s="120"/>
      <c r="AOS1332" s="120"/>
      <c r="AOT1332" s="120"/>
      <c r="AOU1332" s="120"/>
      <c r="AOV1332" s="120"/>
      <c r="AOW1332" s="120"/>
      <c r="AOX1332" s="120"/>
      <c r="AOY1332" s="120"/>
      <c r="AOZ1332" s="120"/>
      <c r="APA1332" s="120"/>
      <c r="APB1332" s="120"/>
      <c r="APC1332" s="120"/>
      <c r="APD1332" s="120"/>
      <c r="APE1332" s="120"/>
      <c r="APF1332" s="120"/>
      <c r="APG1332" s="120"/>
      <c r="APH1332" s="120"/>
      <c r="API1332" s="120"/>
      <c r="APJ1332" s="120"/>
      <c r="APK1332" s="120"/>
      <c r="APL1332" s="120"/>
      <c r="APM1332" s="120"/>
      <c r="APN1332" s="120"/>
      <c r="APO1332" s="120"/>
      <c r="APP1332" s="120"/>
      <c r="APQ1332" s="120"/>
      <c r="APR1332" s="120"/>
      <c r="APS1332" s="120"/>
      <c r="APT1332" s="120"/>
      <c r="APU1332" s="120"/>
      <c r="APV1332" s="120"/>
      <c r="APW1332" s="120"/>
      <c r="APX1332" s="120"/>
      <c r="APY1332" s="120"/>
      <c r="APZ1332" s="120"/>
      <c r="AQA1332" s="120"/>
      <c r="AQB1332" s="120"/>
      <c r="AQC1332" s="120"/>
      <c r="AQD1332" s="120"/>
      <c r="AQE1332" s="120"/>
      <c r="AQF1332" s="120"/>
      <c r="AQG1332" s="120"/>
      <c r="AQH1332" s="120"/>
      <c r="AQI1332" s="120"/>
      <c r="AQJ1332" s="120"/>
      <c r="AQK1332" s="120"/>
      <c r="AQL1332" s="120"/>
      <c r="AQM1332" s="120"/>
      <c r="AQN1332" s="120"/>
      <c r="AQO1332" s="120"/>
      <c r="AQP1332" s="120"/>
      <c r="AQQ1332" s="120"/>
      <c r="AQR1332" s="120"/>
      <c r="AQS1332" s="120"/>
      <c r="AQT1332" s="120"/>
      <c r="AQU1332" s="120"/>
      <c r="AQV1332" s="120"/>
      <c r="AQW1332" s="120"/>
      <c r="AQX1332" s="120"/>
      <c r="AQY1332" s="120"/>
      <c r="AQZ1332" s="120"/>
      <c r="ARA1332" s="120"/>
      <c r="ARB1332" s="120"/>
      <c r="ARC1332" s="120"/>
      <c r="ARD1332" s="120"/>
      <c r="ARE1332" s="120"/>
      <c r="ARF1332" s="120"/>
      <c r="ARG1332" s="120"/>
      <c r="ARH1332" s="120"/>
      <c r="ARI1332" s="120"/>
      <c r="ARJ1332" s="120"/>
      <c r="ARK1332" s="120"/>
      <c r="ARL1332" s="120"/>
      <c r="ARM1332" s="120"/>
      <c r="ARN1332" s="120"/>
      <c r="ARO1332" s="120"/>
      <c r="ARP1332" s="120"/>
      <c r="ARQ1332" s="120"/>
      <c r="ARR1332" s="120"/>
      <c r="ARS1332" s="120"/>
      <c r="ART1332" s="120"/>
      <c r="ARU1332" s="120"/>
      <c r="ARV1332" s="120"/>
      <c r="ARW1332" s="120"/>
      <c r="ARX1332" s="120"/>
      <c r="ARY1332" s="120"/>
      <c r="ARZ1332" s="120"/>
      <c r="ASA1332" s="120"/>
      <c r="ASB1332" s="120"/>
      <c r="ASC1332" s="120"/>
      <c r="ASD1332" s="120"/>
      <c r="ASE1332" s="120"/>
      <c r="ASF1332" s="120"/>
      <c r="ASG1332" s="120"/>
      <c r="ASH1332" s="120"/>
      <c r="ASI1332" s="120"/>
      <c r="ASJ1332" s="120"/>
      <c r="ASK1332" s="120"/>
      <c r="ASL1332" s="120"/>
      <c r="ASM1332" s="120"/>
      <c r="ASN1332" s="120"/>
      <c r="ASO1332" s="120"/>
      <c r="ASP1332" s="120"/>
      <c r="ASQ1332" s="120"/>
      <c r="ASR1332" s="120"/>
      <c r="ASS1332" s="120"/>
      <c r="AST1332" s="120"/>
      <c r="ASU1332" s="120"/>
      <c r="ASV1332" s="120"/>
      <c r="ASW1332" s="120"/>
      <c r="ASX1332" s="120"/>
      <c r="ASY1332" s="120"/>
      <c r="ASZ1332" s="120"/>
      <c r="ATA1332" s="120"/>
      <c r="ATB1332" s="120"/>
      <c r="ATC1332" s="120"/>
      <c r="ATD1332" s="120"/>
      <c r="ATE1332" s="120"/>
      <c r="ATF1332" s="120"/>
      <c r="ATG1332" s="120"/>
      <c r="ATH1332" s="120"/>
      <c r="ATI1332" s="120"/>
      <c r="ATJ1332" s="120"/>
      <c r="ATK1332" s="120"/>
      <c r="ATL1332" s="120"/>
      <c r="ATM1332" s="120"/>
      <c r="ATN1332" s="120"/>
      <c r="ATO1332" s="120"/>
    </row>
    <row r="1333" spans="1:1211" s="20" customFormat="1" ht="14.1" customHeight="1">
      <c r="A1333" s="112"/>
      <c r="B1333" s="945"/>
      <c r="C1333" s="184" t="s">
        <v>3737</v>
      </c>
      <c r="D1333" s="120"/>
      <c r="E1333" s="701"/>
      <c r="F1333" s="703"/>
      <c r="G1333" s="702"/>
      <c r="H1333" s="702"/>
      <c r="I1333" s="702"/>
      <c r="J1333" s="700"/>
      <c r="K1333" s="112"/>
      <c r="L1333" s="363"/>
      <c r="M1333" s="112"/>
      <c r="N1333" s="362"/>
      <c r="O1333" s="573"/>
      <c r="P1333" s="120"/>
      <c r="Q1333" s="120"/>
      <c r="R1333" s="120"/>
      <c r="S1333" s="120"/>
      <c r="T1333" s="120"/>
      <c r="U1333" s="120"/>
      <c r="V1333" s="120"/>
      <c r="W1333" s="120"/>
      <c r="X1333" s="120"/>
      <c r="Y1333" s="120"/>
      <c r="Z1333" s="120"/>
      <c r="AA1333" s="120"/>
      <c r="AB1333" s="120"/>
      <c r="AC1333" s="120"/>
      <c r="AD1333" s="120"/>
      <c r="AE1333" s="120"/>
      <c r="AF1333" s="120"/>
      <c r="AG1333" s="120"/>
      <c r="AH1333" s="120"/>
      <c r="AI1333" s="120"/>
      <c r="AJ1333" s="120"/>
      <c r="AK1333" s="120"/>
      <c r="AL1333" s="120"/>
      <c r="AM1333" s="120"/>
      <c r="AN1333" s="120"/>
      <c r="AO1333" s="120"/>
      <c r="AP1333" s="120"/>
      <c r="AQ1333" s="120"/>
      <c r="AR1333" s="120"/>
      <c r="AS1333" s="120"/>
      <c r="AT1333" s="120"/>
      <c r="AU1333" s="120"/>
      <c r="AV1333" s="120"/>
      <c r="AW1333" s="120"/>
      <c r="AX1333" s="120"/>
      <c r="AY1333" s="120"/>
      <c r="AZ1333" s="120"/>
      <c r="BA1333" s="120"/>
      <c r="BB1333" s="120"/>
      <c r="BC1333" s="120"/>
      <c r="BD1333" s="120"/>
      <c r="BE1333" s="120"/>
      <c r="BF1333" s="120"/>
      <c r="BG1333" s="120"/>
      <c r="BH1333" s="120"/>
      <c r="BI1333" s="120"/>
      <c r="BJ1333" s="120"/>
      <c r="BK1333" s="120"/>
      <c r="BL1333" s="120"/>
      <c r="BM1333" s="120"/>
      <c r="BN1333" s="120"/>
      <c r="BO1333" s="120"/>
      <c r="BP1333" s="120"/>
      <c r="BQ1333" s="120"/>
      <c r="BR1333" s="120"/>
      <c r="BS1333" s="120"/>
      <c r="BT1333" s="120"/>
      <c r="BU1333" s="120"/>
      <c r="BV1333" s="120"/>
      <c r="BW1333" s="120"/>
      <c r="BX1333" s="120"/>
      <c r="BY1333" s="120"/>
      <c r="BZ1333" s="120"/>
      <c r="CA1333" s="120"/>
      <c r="CB1333" s="120"/>
      <c r="CC1333" s="120"/>
      <c r="CD1333" s="120"/>
      <c r="CE1333" s="120"/>
      <c r="CF1333" s="120"/>
      <c r="CG1333" s="120"/>
      <c r="CH1333" s="120"/>
      <c r="CI1333" s="120"/>
      <c r="CJ1333" s="120"/>
      <c r="CK1333" s="120"/>
      <c r="CL1333" s="120"/>
      <c r="CM1333" s="120"/>
      <c r="CN1333" s="120"/>
      <c r="CO1333" s="120"/>
      <c r="CP1333" s="120"/>
      <c r="CQ1333" s="120"/>
      <c r="CR1333" s="120"/>
      <c r="CS1333" s="120"/>
      <c r="CT1333" s="120"/>
      <c r="CU1333" s="120"/>
      <c r="CV1333" s="120"/>
      <c r="CW1333" s="120"/>
      <c r="CX1333" s="120"/>
      <c r="CY1333" s="120"/>
      <c r="CZ1333" s="120"/>
      <c r="DA1333" s="120"/>
      <c r="DB1333" s="120"/>
      <c r="DC1333" s="120"/>
      <c r="DD1333" s="120"/>
      <c r="DE1333" s="120"/>
      <c r="DF1333" s="120"/>
      <c r="DG1333" s="120"/>
      <c r="DH1333" s="120"/>
      <c r="DI1333" s="120"/>
      <c r="DJ1333" s="120"/>
      <c r="DK1333" s="120"/>
      <c r="DL1333" s="120"/>
      <c r="DM1333" s="120"/>
      <c r="DN1333" s="120"/>
      <c r="DO1333" s="120"/>
      <c r="DP1333" s="120"/>
      <c r="DQ1333" s="120"/>
      <c r="DR1333" s="120"/>
      <c r="DS1333" s="120"/>
      <c r="DT1333" s="120"/>
      <c r="DU1333" s="120"/>
      <c r="DV1333" s="120"/>
      <c r="DW1333" s="120"/>
      <c r="DX1333" s="120"/>
      <c r="DY1333" s="120"/>
      <c r="DZ1333" s="120"/>
      <c r="EA1333" s="120"/>
      <c r="EB1333" s="120"/>
      <c r="EC1333" s="120"/>
      <c r="ED1333" s="120"/>
      <c r="EE1333" s="120"/>
      <c r="EF1333" s="120"/>
      <c r="EG1333" s="120"/>
      <c r="EH1333" s="120"/>
      <c r="EI1333" s="120"/>
      <c r="EJ1333" s="120"/>
      <c r="EK1333" s="120"/>
      <c r="EL1333" s="120"/>
      <c r="EM1333" s="120"/>
      <c r="EN1333" s="120"/>
      <c r="EO1333" s="120"/>
      <c r="EP1333" s="120"/>
      <c r="EQ1333" s="120"/>
      <c r="ER1333" s="120"/>
      <c r="ES1333" s="120"/>
      <c r="ET1333" s="120"/>
      <c r="EU1333" s="120"/>
      <c r="EV1333" s="120"/>
      <c r="EW1333" s="120"/>
      <c r="EX1333" s="120"/>
      <c r="EY1333" s="120"/>
      <c r="EZ1333" s="120"/>
      <c r="FA1333" s="120"/>
      <c r="FB1333" s="120"/>
      <c r="FC1333" s="120"/>
      <c r="FD1333" s="120"/>
      <c r="FE1333" s="120"/>
      <c r="FF1333" s="120"/>
      <c r="FG1333" s="120"/>
      <c r="FH1333" s="120"/>
      <c r="FI1333" s="120"/>
      <c r="FJ1333" s="120"/>
      <c r="FK1333" s="120"/>
      <c r="FL1333" s="120"/>
      <c r="FM1333" s="120"/>
      <c r="FN1333" s="120"/>
      <c r="FO1333" s="120"/>
      <c r="FP1333" s="120"/>
      <c r="FQ1333" s="120"/>
      <c r="FR1333" s="120"/>
      <c r="FS1333" s="120"/>
      <c r="FT1333" s="120"/>
      <c r="FU1333" s="120"/>
      <c r="FV1333" s="120"/>
      <c r="FW1333" s="120"/>
      <c r="FX1333" s="120"/>
      <c r="FY1333" s="120"/>
      <c r="FZ1333" s="120"/>
      <c r="GA1333" s="120"/>
      <c r="GB1333" s="120"/>
      <c r="GC1333" s="120"/>
      <c r="GD1333" s="120"/>
      <c r="GE1333" s="120"/>
      <c r="GF1333" s="120"/>
      <c r="GG1333" s="120"/>
      <c r="GH1333" s="120"/>
      <c r="GI1333" s="120"/>
      <c r="GJ1333" s="120"/>
      <c r="GK1333" s="120"/>
      <c r="GL1333" s="120"/>
      <c r="GM1333" s="120"/>
      <c r="GN1333" s="120"/>
      <c r="GO1333" s="120"/>
      <c r="GP1333" s="120"/>
      <c r="GQ1333" s="120"/>
      <c r="GR1333" s="120"/>
      <c r="GS1333" s="120"/>
      <c r="GT1333" s="120"/>
      <c r="GU1333" s="120"/>
      <c r="GV1333" s="120"/>
      <c r="GW1333" s="120"/>
      <c r="GX1333" s="120"/>
      <c r="GY1333" s="120"/>
      <c r="GZ1333" s="120"/>
      <c r="HA1333" s="120"/>
      <c r="HB1333" s="120"/>
      <c r="HC1333" s="120"/>
      <c r="HD1333" s="120"/>
      <c r="HE1333" s="120"/>
      <c r="HF1333" s="120"/>
      <c r="HG1333" s="120"/>
      <c r="HH1333" s="120"/>
      <c r="HI1333" s="120"/>
      <c r="HJ1333" s="120"/>
      <c r="HK1333" s="120"/>
      <c r="HL1333" s="120"/>
      <c r="HM1333" s="120"/>
      <c r="HN1333" s="120"/>
      <c r="HO1333" s="120"/>
      <c r="HP1333" s="120"/>
      <c r="HQ1333" s="120"/>
      <c r="HR1333" s="120"/>
      <c r="HS1333" s="120"/>
      <c r="HT1333" s="120"/>
      <c r="HU1333" s="120"/>
      <c r="HV1333" s="120"/>
      <c r="HW1333" s="120"/>
      <c r="HX1333" s="120"/>
      <c r="HY1333" s="120"/>
      <c r="HZ1333" s="120"/>
      <c r="IA1333" s="120"/>
      <c r="IB1333" s="120"/>
      <c r="IC1333" s="120"/>
      <c r="ID1333" s="120"/>
      <c r="IE1333" s="120"/>
      <c r="IF1333" s="120"/>
      <c r="IG1333" s="120"/>
      <c r="IH1333" s="120"/>
      <c r="II1333" s="120"/>
      <c r="IJ1333" s="120"/>
      <c r="IK1333" s="120"/>
      <c r="IL1333" s="120"/>
      <c r="IM1333" s="120"/>
      <c r="IN1333" s="120"/>
      <c r="IO1333" s="120"/>
      <c r="IP1333" s="120"/>
      <c r="IQ1333" s="120"/>
      <c r="IR1333" s="120"/>
      <c r="IS1333" s="120"/>
      <c r="IT1333" s="120"/>
      <c r="IU1333" s="120"/>
      <c r="IV1333" s="120"/>
      <c r="IW1333" s="120"/>
      <c r="IX1333" s="120"/>
      <c r="IY1333" s="120"/>
      <c r="IZ1333" s="120"/>
      <c r="JA1333" s="120"/>
      <c r="JB1333" s="120"/>
      <c r="JC1333" s="120"/>
      <c r="JD1333" s="120"/>
      <c r="JE1333" s="120"/>
      <c r="JF1333" s="120"/>
      <c r="JG1333" s="120"/>
      <c r="JH1333" s="120"/>
      <c r="JI1333" s="120"/>
      <c r="JJ1333" s="120"/>
      <c r="JK1333" s="120"/>
      <c r="JL1333" s="120"/>
      <c r="JM1333" s="120"/>
      <c r="JN1333" s="120"/>
      <c r="JO1333" s="120"/>
      <c r="JP1333" s="120"/>
      <c r="JQ1333" s="120"/>
      <c r="JR1333" s="120"/>
      <c r="JS1333" s="120"/>
      <c r="JT1333" s="120"/>
      <c r="JU1333" s="120"/>
      <c r="JV1333" s="120"/>
      <c r="JW1333" s="120"/>
      <c r="JX1333" s="120"/>
      <c r="JY1333" s="120"/>
      <c r="JZ1333" s="120"/>
      <c r="KA1333" s="120"/>
      <c r="KB1333" s="120"/>
      <c r="KC1333" s="120"/>
      <c r="KD1333" s="120"/>
      <c r="KE1333" s="120"/>
      <c r="KF1333" s="120"/>
      <c r="KG1333" s="120"/>
      <c r="KH1333" s="120"/>
      <c r="KI1333" s="120"/>
      <c r="KJ1333" s="120"/>
      <c r="KK1333" s="120"/>
      <c r="KL1333" s="120"/>
      <c r="KM1333" s="120"/>
      <c r="KN1333" s="120"/>
      <c r="KO1333" s="120"/>
      <c r="KP1333" s="120"/>
      <c r="KQ1333" s="120"/>
      <c r="KR1333" s="120"/>
      <c r="KS1333" s="120"/>
      <c r="KT1333" s="120"/>
      <c r="KU1333" s="120"/>
      <c r="KV1333" s="120"/>
      <c r="KW1333" s="120"/>
      <c r="KX1333" s="120"/>
      <c r="KY1333" s="120"/>
      <c r="KZ1333" s="120"/>
      <c r="LA1333" s="120"/>
      <c r="LB1333" s="120"/>
      <c r="LC1333" s="120"/>
      <c r="LD1333" s="120"/>
      <c r="LE1333" s="120"/>
      <c r="LF1333" s="120"/>
      <c r="LG1333" s="120"/>
      <c r="LH1333" s="120"/>
      <c r="LI1333" s="120"/>
      <c r="LJ1333" s="120"/>
      <c r="LK1333" s="120"/>
      <c r="LL1333" s="120"/>
      <c r="LM1333" s="120"/>
      <c r="LN1333" s="120"/>
      <c r="LO1333" s="120"/>
      <c r="LP1333" s="120"/>
      <c r="LQ1333" s="120"/>
      <c r="LR1333" s="120"/>
      <c r="LS1333" s="120"/>
      <c r="LT1333" s="120"/>
      <c r="LU1333" s="120"/>
      <c r="LV1333" s="120"/>
      <c r="LW1333" s="120"/>
      <c r="LX1333" s="120"/>
      <c r="LY1333" s="120"/>
      <c r="LZ1333" s="120"/>
      <c r="MA1333" s="120"/>
      <c r="MB1333" s="120"/>
      <c r="MC1333" s="120"/>
      <c r="MD1333" s="120"/>
      <c r="ME1333" s="120"/>
      <c r="MF1333" s="120"/>
      <c r="MG1333" s="120"/>
      <c r="MH1333" s="120"/>
      <c r="MI1333" s="120"/>
      <c r="MJ1333" s="120"/>
      <c r="MK1333" s="120"/>
      <c r="ML1333" s="120"/>
      <c r="MM1333" s="120"/>
      <c r="MN1333" s="120"/>
      <c r="MO1333" s="120"/>
      <c r="MP1333" s="120"/>
      <c r="MQ1333" s="120"/>
      <c r="MR1333" s="120"/>
      <c r="MS1333" s="120"/>
      <c r="MT1333" s="120"/>
      <c r="MU1333" s="120"/>
      <c r="MV1333" s="120"/>
      <c r="MW1333" s="120"/>
      <c r="MX1333" s="120"/>
      <c r="MY1333" s="120"/>
      <c r="MZ1333" s="120"/>
      <c r="NA1333" s="120"/>
      <c r="NB1333" s="120"/>
      <c r="NC1333" s="120"/>
      <c r="ND1333" s="120"/>
      <c r="NE1333" s="120"/>
      <c r="NF1333" s="120"/>
      <c r="NG1333" s="120"/>
      <c r="NH1333" s="120"/>
      <c r="NI1333" s="120"/>
      <c r="NJ1333" s="120"/>
      <c r="NK1333" s="120"/>
      <c r="NL1333" s="120"/>
      <c r="NM1333" s="120"/>
      <c r="NN1333" s="120"/>
      <c r="NO1333" s="120"/>
      <c r="NP1333" s="120"/>
      <c r="NQ1333" s="120"/>
      <c r="NR1333" s="120"/>
      <c r="NS1333" s="120"/>
      <c r="NT1333" s="120"/>
      <c r="NU1333" s="120"/>
      <c r="NV1333" s="120"/>
      <c r="NW1333" s="120"/>
      <c r="NX1333" s="120"/>
      <c r="NY1333" s="120"/>
      <c r="NZ1333" s="120"/>
      <c r="OA1333" s="120"/>
      <c r="OB1333" s="120"/>
      <c r="OC1333" s="120"/>
      <c r="OD1333" s="120"/>
      <c r="OE1333" s="120"/>
      <c r="OF1333" s="120"/>
      <c r="OG1333" s="120"/>
      <c r="OH1333" s="120"/>
      <c r="OI1333" s="120"/>
      <c r="OJ1333" s="120"/>
      <c r="OK1333" s="120"/>
      <c r="OL1333" s="120"/>
      <c r="OM1333" s="120"/>
      <c r="ON1333" s="120"/>
      <c r="OO1333" s="120"/>
      <c r="OP1333" s="120"/>
      <c r="OQ1333" s="120"/>
      <c r="OR1333" s="120"/>
      <c r="OS1333" s="120"/>
      <c r="OT1333" s="120"/>
      <c r="OU1333" s="120"/>
      <c r="OV1333" s="120"/>
      <c r="OW1333" s="120"/>
      <c r="OX1333" s="120"/>
      <c r="OY1333" s="120"/>
      <c r="OZ1333" s="120"/>
      <c r="PA1333" s="120"/>
      <c r="PB1333" s="120"/>
      <c r="PC1333" s="120"/>
      <c r="PD1333" s="120"/>
      <c r="PE1333" s="120"/>
      <c r="PF1333" s="120"/>
      <c r="PG1333" s="120"/>
      <c r="PH1333" s="120"/>
      <c r="PI1333" s="120"/>
      <c r="PJ1333" s="120"/>
      <c r="PK1333" s="120"/>
      <c r="PL1333" s="120"/>
      <c r="PM1333" s="120"/>
      <c r="PN1333" s="120"/>
      <c r="PO1333" s="120"/>
      <c r="PP1333" s="120"/>
      <c r="PQ1333" s="120"/>
      <c r="PR1333" s="120"/>
      <c r="PS1333" s="120"/>
      <c r="PT1333" s="120"/>
      <c r="PU1333" s="120"/>
      <c r="PV1333" s="120"/>
      <c r="PW1333" s="120"/>
      <c r="PX1333" s="120"/>
      <c r="PY1333" s="120"/>
      <c r="PZ1333" s="120"/>
      <c r="QA1333" s="120"/>
      <c r="QB1333" s="120"/>
      <c r="QC1333" s="120"/>
      <c r="QD1333" s="120"/>
      <c r="QE1333" s="120"/>
      <c r="QF1333" s="120"/>
      <c r="QG1333" s="120"/>
      <c r="QH1333" s="120"/>
      <c r="QI1333" s="120"/>
      <c r="QJ1333" s="120"/>
      <c r="QK1333" s="120"/>
      <c r="QL1333" s="120"/>
      <c r="QM1333" s="120"/>
      <c r="QN1333" s="120"/>
      <c r="QO1333" s="120"/>
      <c r="QP1333" s="120"/>
      <c r="QQ1333" s="120"/>
      <c r="QR1333" s="120"/>
      <c r="QS1333" s="120"/>
      <c r="QT1333" s="120"/>
      <c r="QU1333" s="120"/>
      <c r="QV1333" s="120"/>
      <c r="QW1333" s="120"/>
      <c r="QX1333" s="120"/>
      <c r="QY1333" s="120"/>
      <c r="QZ1333" s="120"/>
      <c r="RA1333" s="120"/>
      <c r="RB1333" s="120"/>
      <c r="RC1333" s="120"/>
      <c r="RD1333" s="120"/>
      <c r="RE1333" s="120"/>
      <c r="RF1333" s="120"/>
      <c r="RG1333" s="120"/>
      <c r="RH1333" s="120"/>
      <c r="RI1333" s="120"/>
      <c r="RJ1333" s="120"/>
      <c r="RK1333" s="120"/>
      <c r="RL1333" s="120"/>
      <c r="RM1333" s="120"/>
      <c r="RN1333" s="120"/>
      <c r="RO1333" s="120"/>
      <c r="RP1333" s="120"/>
      <c r="RQ1333" s="120"/>
      <c r="RR1333" s="120"/>
      <c r="RS1333" s="120"/>
      <c r="RT1333" s="120"/>
      <c r="RU1333" s="120"/>
      <c r="RV1333" s="120"/>
      <c r="RW1333" s="120"/>
      <c r="RX1333" s="120"/>
      <c r="RY1333" s="120"/>
      <c r="RZ1333" s="120"/>
      <c r="SA1333" s="120"/>
      <c r="SB1333" s="120"/>
      <c r="SC1333" s="120"/>
      <c r="SD1333" s="120"/>
      <c r="SE1333" s="120"/>
      <c r="SF1333" s="120"/>
      <c r="SG1333" s="120"/>
      <c r="SH1333" s="120"/>
      <c r="SI1333" s="120"/>
      <c r="SJ1333" s="120"/>
      <c r="SK1333" s="120"/>
      <c r="SL1333" s="120"/>
      <c r="SM1333" s="120"/>
      <c r="SN1333" s="120"/>
      <c r="SO1333" s="120"/>
      <c r="SP1333" s="120"/>
      <c r="SQ1333" s="120"/>
      <c r="SR1333" s="120"/>
      <c r="SS1333" s="120"/>
      <c r="ST1333" s="120"/>
      <c r="SU1333" s="120"/>
      <c r="SV1333" s="120"/>
      <c r="SW1333" s="120"/>
      <c r="SX1333" s="120"/>
      <c r="SY1333" s="120"/>
      <c r="SZ1333" s="120"/>
      <c r="TA1333" s="120"/>
      <c r="TB1333" s="120"/>
      <c r="TC1333" s="120"/>
      <c r="TD1333" s="120"/>
      <c r="TE1333" s="120"/>
      <c r="TF1333" s="120"/>
      <c r="TG1333" s="120"/>
      <c r="TH1333" s="120"/>
      <c r="TI1333" s="120"/>
      <c r="TJ1333" s="120"/>
      <c r="TK1333" s="120"/>
      <c r="TL1333" s="120"/>
      <c r="TM1333" s="120"/>
      <c r="TN1333" s="120"/>
      <c r="TO1333" s="120"/>
      <c r="TP1333" s="120"/>
      <c r="TQ1333" s="120"/>
      <c r="TR1333" s="120"/>
      <c r="TS1333" s="120"/>
      <c r="TT1333" s="120"/>
      <c r="TU1333" s="120"/>
      <c r="TV1333" s="120"/>
      <c r="TW1333" s="120"/>
      <c r="TX1333" s="120"/>
      <c r="TY1333" s="120"/>
      <c r="TZ1333" s="120"/>
      <c r="UA1333" s="120"/>
      <c r="UB1333" s="120"/>
      <c r="UC1333" s="120"/>
      <c r="UD1333" s="120"/>
      <c r="UE1333" s="120"/>
      <c r="UF1333" s="120"/>
      <c r="UG1333" s="120"/>
      <c r="UH1333" s="120"/>
      <c r="UI1333" s="120"/>
      <c r="UJ1333" s="120"/>
      <c r="UK1333" s="120"/>
      <c r="UL1333" s="120"/>
      <c r="UM1333" s="120"/>
      <c r="UN1333" s="120"/>
      <c r="UO1333" s="120"/>
      <c r="UP1333" s="120"/>
      <c r="UQ1333" s="120"/>
      <c r="UR1333" s="120"/>
      <c r="US1333" s="120"/>
      <c r="UT1333" s="120"/>
      <c r="UU1333" s="120"/>
      <c r="UV1333" s="120"/>
      <c r="UW1333" s="120"/>
      <c r="UX1333" s="120"/>
      <c r="UY1333" s="120"/>
      <c r="UZ1333" s="120"/>
      <c r="VA1333" s="120"/>
      <c r="VB1333" s="120"/>
      <c r="VC1333" s="120"/>
      <c r="VD1333" s="120"/>
      <c r="VE1333" s="120"/>
      <c r="VF1333" s="120"/>
      <c r="VG1333" s="120"/>
      <c r="VH1333" s="120"/>
      <c r="VI1333" s="120"/>
      <c r="VJ1333" s="120"/>
      <c r="VK1333" s="120"/>
      <c r="VL1333" s="120"/>
      <c r="VM1333" s="120"/>
      <c r="VN1333" s="120"/>
      <c r="VO1333" s="120"/>
      <c r="VP1333" s="120"/>
      <c r="VQ1333" s="120"/>
      <c r="VR1333" s="120"/>
      <c r="VS1333" s="120"/>
      <c r="VT1333" s="120"/>
      <c r="VU1333" s="120"/>
      <c r="VV1333" s="120"/>
      <c r="VW1333" s="120"/>
      <c r="VX1333" s="120"/>
      <c r="VY1333" s="120"/>
      <c r="VZ1333" s="120"/>
      <c r="WA1333" s="120"/>
      <c r="WB1333" s="120"/>
      <c r="WC1333" s="120"/>
      <c r="WD1333" s="120"/>
      <c r="WE1333" s="120"/>
      <c r="WF1333" s="120"/>
      <c r="WG1333" s="120"/>
      <c r="WH1333" s="120"/>
      <c r="WI1333" s="120"/>
      <c r="WJ1333" s="120"/>
      <c r="WK1333" s="120"/>
      <c r="WL1333" s="120"/>
      <c r="WM1333" s="120"/>
      <c r="WN1333" s="120"/>
      <c r="WO1333" s="120"/>
      <c r="WP1333" s="120"/>
      <c r="WQ1333" s="120"/>
      <c r="WR1333" s="120"/>
      <c r="WS1333" s="120"/>
      <c r="WT1333" s="120"/>
      <c r="WU1333" s="120"/>
      <c r="WV1333" s="120"/>
      <c r="WW1333" s="120"/>
      <c r="WX1333" s="120"/>
      <c r="WY1333" s="120"/>
      <c r="WZ1333" s="120"/>
      <c r="XA1333" s="120"/>
      <c r="XB1333" s="120"/>
      <c r="XC1333" s="120"/>
      <c r="XD1333" s="120"/>
      <c r="XE1333" s="120"/>
      <c r="XF1333" s="120"/>
      <c r="XG1333" s="120"/>
      <c r="XH1333" s="120"/>
      <c r="XI1333" s="120"/>
      <c r="XJ1333" s="120"/>
      <c r="XK1333" s="120"/>
      <c r="XL1333" s="120"/>
      <c r="XM1333" s="120"/>
      <c r="XN1333" s="120"/>
      <c r="XO1333" s="120"/>
      <c r="XP1333" s="120"/>
      <c r="XQ1333" s="120"/>
      <c r="XR1333" s="120"/>
      <c r="XS1333" s="120"/>
      <c r="XT1333" s="120"/>
      <c r="XU1333" s="120"/>
      <c r="XV1333" s="120"/>
      <c r="XW1333" s="120"/>
      <c r="XX1333" s="120"/>
      <c r="XY1333" s="120"/>
      <c r="XZ1333" s="120"/>
      <c r="YA1333" s="120"/>
      <c r="YB1333" s="120"/>
      <c r="YC1333" s="120"/>
      <c r="YD1333" s="120"/>
      <c r="YE1333" s="120"/>
      <c r="YF1333" s="120"/>
      <c r="YG1333" s="120"/>
      <c r="YH1333" s="120"/>
      <c r="YI1333" s="120"/>
      <c r="YJ1333" s="120"/>
      <c r="YK1333" s="120"/>
      <c r="YL1333" s="120"/>
      <c r="YM1333" s="120"/>
      <c r="YN1333" s="120"/>
      <c r="YO1333" s="120"/>
      <c r="YP1333" s="120"/>
      <c r="YQ1333" s="120"/>
      <c r="YR1333" s="120"/>
      <c r="YS1333" s="120"/>
      <c r="YT1333" s="120"/>
      <c r="YU1333" s="120"/>
      <c r="YV1333" s="120"/>
      <c r="YW1333" s="120"/>
      <c r="YX1333" s="120"/>
      <c r="YY1333" s="120"/>
      <c r="YZ1333" s="120"/>
      <c r="ZA1333" s="120"/>
      <c r="ZB1333" s="120"/>
      <c r="ZC1333" s="120"/>
      <c r="ZD1333" s="120"/>
      <c r="ZE1333" s="120"/>
      <c r="ZF1333" s="120"/>
      <c r="ZG1333" s="120"/>
      <c r="ZH1333" s="120"/>
      <c r="ZI1333" s="120"/>
      <c r="ZJ1333" s="120"/>
      <c r="ZK1333" s="120"/>
      <c r="ZL1333" s="120"/>
      <c r="ZM1333" s="120"/>
      <c r="ZN1333" s="120"/>
      <c r="ZO1333" s="120"/>
      <c r="ZP1333" s="120"/>
      <c r="ZQ1333" s="120"/>
      <c r="ZR1333" s="120"/>
      <c r="ZS1333" s="120"/>
      <c r="ZT1333" s="120"/>
      <c r="ZU1333" s="120"/>
      <c r="ZV1333" s="120"/>
      <c r="ZW1333" s="120"/>
      <c r="ZX1333" s="120"/>
      <c r="ZY1333" s="120"/>
      <c r="ZZ1333" s="120"/>
      <c r="AAA1333" s="120"/>
      <c r="AAB1333" s="120"/>
      <c r="AAC1333" s="120"/>
      <c r="AAD1333" s="120"/>
      <c r="AAE1333" s="120"/>
      <c r="AAF1333" s="120"/>
      <c r="AAG1333" s="120"/>
      <c r="AAH1333" s="120"/>
      <c r="AAI1333" s="120"/>
      <c r="AAJ1333" s="120"/>
      <c r="AAK1333" s="120"/>
      <c r="AAL1333" s="120"/>
      <c r="AAM1333" s="120"/>
      <c r="AAN1333" s="120"/>
      <c r="AAO1333" s="120"/>
      <c r="AAP1333" s="120"/>
      <c r="AAQ1333" s="120"/>
      <c r="AAR1333" s="120"/>
      <c r="AAS1333" s="120"/>
      <c r="AAT1333" s="120"/>
      <c r="AAU1333" s="120"/>
      <c r="AAV1333" s="120"/>
      <c r="AAW1333" s="120"/>
      <c r="AAX1333" s="120"/>
      <c r="AAY1333" s="120"/>
      <c r="AAZ1333" s="120"/>
      <c r="ABA1333" s="120"/>
      <c r="ABB1333" s="120"/>
      <c r="ABC1333" s="120"/>
      <c r="ABD1333" s="120"/>
      <c r="ABE1333" s="120"/>
      <c r="ABF1333" s="120"/>
      <c r="ABG1333" s="120"/>
      <c r="ABH1333" s="120"/>
      <c r="ABI1333" s="120"/>
      <c r="ABJ1333" s="120"/>
      <c r="ABK1333" s="120"/>
      <c r="ABL1333" s="120"/>
      <c r="ABM1333" s="120"/>
      <c r="ABN1333" s="120"/>
      <c r="ABO1333" s="120"/>
      <c r="ABP1333" s="120"/>
      <c r="ABQ1333" s="120"/>
      <c r="ABR1333" s="120"/>
      <c r="ABS1333" s="120"/>
      <c r="ABT1333" s="120"/>
      <c r="ABU1333" s="120"/>
      <c r="ABV1333" s="120"/>
      <c r="ABW1333" s="120"/>
      <c r="ABX1333" s="120"/>
      <c r="ABY1333" s="120"/>
      <c r="ABZ1333" s="120"/>
      <c r="ACA1333" s="120"/>
      <c r="ACB1333" s="120"/>
      <c r="ACC1333" s="120"/>
      <c r="ACD1333" s="120"/>
      <c r="ACE1333" s="120"/>
      <c r="ACF1333" s="120"/>
      <c r="ACG1333" s="120"/>
      <c r="ACH1333" s="120"/>
      <c r="ACI1333" s="120"/>
      <c r="ACJ1333" s="120"/>
      <c r="ACK1333" s="120"/>
      <c r="ACL1333" s="120"/>
      <c r="ACM1333" s="120"/>
      <c r="ACN1333" s="120"/>
      <c r="ACO1333" s="120"/>
      <c r="ACP1333" s="120"/>
      <c r="ACQ1333" s="120"/>
      <c r="ACR1333" s="120"/>
      <c r="ACS1333" s="120"/>
      <c r="ACT1333" s="120"/>
      <c r="ACU1333" s="120"/>
      <c r="ACV1333" s="120"/>
      <c r="ACW1333" s="120"/>
      <c r="ACX1333" s="120"/>
      <c r="ACY1333" s="120"/>
      <c r="ACZ1333" s="120"/>
      <c r="ADA1333" s="120"/>
      <c r="ADB1333" s="120"/>
      <c r="ADC1333" s="120"/>
      <c r="ADD1333" s="120"/>
      <c r="ADE1333" s="120"/>
      <c r="ADF1333" s="120"/>
      <c r="ADG1333" s="120"/>
      <c r="ADH1333" s="120"/>
      <c r="ADI1333" s="120"/>
      <c r="ADJ1333" s="120"/>
      <c r="ADK1333" s="120"/>
      <c r="ADL1333" s="120"/>
      <c r="ADM1333" s="120"/>
      <c r="ADN1333" s="120"/>
      <c r="ADO1333" s="120"/>
      <c r="ADP1333" s="120"/>
      <c r="ADQ1333" s="120"/>
      <c r="ADR1333" s="120"/>
      <c r="ADS1333" s="120"/>
      <c r="ADT1333" s="120"/>
      <c r="ADU1333" s="120"/>
      <c r="ADV1333" s="120"/>
      <c r="ADW1333" s="120"/>
      <c r="ADX1333" s="120"/>
      <c r="ADY1333" s="120"/>
      <c r="ADZ1333" s="120"/>
      <c r="AEA1333" s="120"/>
      <c r="AEB1333" s="120"/>
      <c r="AEC1333" s="120"/>
      <c r="AED1333" s="120"/>
      <c r="AEE1333" s="120"/>
      <c r="AEF1333" s="120"/>
      <c r="AEG1333" s="120"/>
      <c r="AEH1333" s="120"/>
      <c r="AEI1333" s="120"/>
      <c r="AEJ1333" s="120"/>
      <c r="AEK1333" s="120"/>
      <c r="AEL1333" s="120"/>
      <c r="AEM1333" s="120"/>
      <c r="AEN1333" s="120"/>
      <c r="AEO1333" s="120"/>
      <c r="AEP1333" s="120"/>
      <c r="AEQ1333" s="120"/>
      <c r="AER1333" s="120"/>
      <c r="AES1333" s="120"/>
      <c r="AET1333" s="120"/>
      <c r="AEU1333" s="120"/>
      <c r="AEV1333" s="120"/>
      <c r="AEW1333" s="120"/>
      <c r="AEX1333" s="120"/>
      <c r="AEY1333" s="120"/>
      <c r="AEZ1333" s="120"/>
      <c r="AFA1333" s="120"/>
      <c r="AFB1333" s="120"/>
      <c r="AFC1333" s="120"/>
      <c r="AFD1333" s="120"/>
      <c r="AFE1333" s="120"/>
      <c r="AFF1333" s="120"/>
      <c r="AFG1333" s="120"/>
      <c r="AFH1333" s="120"/>
      <c r="AFI1333" s="120"/>
      <c r="AFJ1333" s="120"/>
      <c r="AFK1333" s="120"/>
      <c r="AFL1333" s="120"/>
      <c r="AFM1333" s="120"/>
      <c r="AFN1333" s="120"/>
      <c r="AFO1333" s="120"/>
      <c r="AFP1333" s="120"/>
      <c r="AFQ1333" s="120"/>
      <c r="AFR1333" s="120"/>
      <c r="AFS1333" s="120"/>
      <c r="AFT1333" s="120"/>
      <c r="AFU1333" s="120"/>
      <c r="AFV1333" s="120"/>
      <c r="AFW1333" s="120"/>
      <c r="AFX1333" s="120"/>
      <c r="AFY1333" s="120"/>
      <c r="AFZ1333" s="120"/>
      <c r="AGA1333" s="120"/>
      <c r="AGB1333" s="120"/>
      <c r="AGC1333" s="120"/>
      <c r="AGD1333" s="120"/>
      <c r="AGE1333" s="120"/>
      <c r="AGF1333" s="120"/>
      <c r="AGG1333" s="120"/>
      <c r="AGH1333" s="120"/>
      <c r="AGI1333" s="120"/>
      <c r="AGJ1333" s="120"/>
      <c r="AGK1333" s="120"/>
      <c r="AGL1333" s="120"/>
      <c r="AGM1333" s="120"/>
      <c r="AGN1333" s="120"/>
      <c r="AGO1333" s="120"/>
      <c r="AGP1333" s="120"/>
      <c r="AGQ1333" s="120"/>
      <c r="AGR1333" s="120"/>
      <c r="AGS1333" s="120"/>
      <c r="AGT1333" s="120"/>
      <c r="AGU1333" s="120"/>
      <c r="AGV1333" s="120"/>
      <c r="AGW1333" s="120"/>
      <c r="AGX1333" s="120"/>
      <c r="AGY1333" s="120"/>
      <c r="AGZ1333" s="120"/>
      <c r="AHA1333" s="120"/>
      <c r="AHB1333" s="120"/>
      <c r="AHC1333" s="120"/>
      <c r="AHD1333" s="120"/>
      <c r="AHE1333" s="120"/>
      <c r="AHF1333" s="120"/>
      <c r="AHG1333" s="120"/>
      <c r="AHH1333" s="120"/>
      <c r="AHI1333" s="120"/>
      <c r="AHJ1333" s="120"/>
      <c r="AHK1333" s="120"/>
      <c r="AHL1333" s="120"/>
      <c r="AHM1333" s="120"/>
      <c r="AHN1333" s="120"/>
      <c r="AHO1333" s="120"/>
      <c r="AHP1333" s="120"/>
      <c r="AHQ1333" s="120"/>
      <c r="AHR1333" s="120"/>
      <c r="AHS1333" s="120"/>
      <c r="AHT1333" s="120"/>
      <c r="AHU1333" s="120"/>
      <c r="AHV1333" s="120"/>
      <c r="AHW1333" s="120"/>
      <c r="AHX1333" s="120"/>
      <c r="AHY1333" s="120"/>
      <c r="AHZ1333" s="120"/>
      <c r="AIA1333" s="120"/>
      <c r="AIB1333" s="120"/>
      <c r="AIC1333" s="120"/>
      <c r="AID1333" s="120"/>
      <c r="AIE1333" s="120"/>
      <c r="AIF1333" s="120"/>
      <c r="AIG1333" s="120"/>
      <c r="AIH1333" s="120"/>
      <c r="AII1333" s="120"/>
      <c r="AIJ1333" s="120"/>
      <c r="AIK1333" s="120"/>
      <c r="AIL1333" s="120"/>
      <c r="AIM1333" s="120"/>
      <c r="AIN1333" s="120"/>
      <c r="AIO1333" s="120"/>
      <c r="AIP1333" s="120"/>
      <c r="AIQ1333" s="120"/>
      <c r="AIR1333" s="120"/>
      <c r="AIS1333" s="120"/>
      <c r="AIT1333" s="120"/>
      <c r="AIU1333" s="120"/>
      <c r="AIV1333" s="120"/>
      <c r="AIW1333" s="120"/>
      <c r="AIX1333" s="120"/>
      <c r="AIY1333" s="120"/>
      <c r="AIZ1333" s="120"/>
      <c r="AJA1333" s="120"/>
      <c r="AJB1333" s="120"/>
      <c r="AJC1333" s="120"/>
      <c r="AJD1333" s="120"/>
      <c r="AJE1333" s="120"/>
      <c r="AJF1333" s="120"/>
      <c r="AJG1333" s="120"/>
      <c r="AJH1333" s="120"/>
      <c r="AJI1333" s="120"/>
      <c r="AJJ1333" s="120"/>
      <c r="AJK1333" s="120"/>
      <c r="AJL1333" s="120"/>
      <c r="AJM1333" s="120"/>
      <c r="AJN1333" s="120"/>
      <c r="AJO1333" s="120"/>
      <c r="AJP1333" s="120"/>
      <c r="AJQ1333" s="120"/>
      <c r="AJR1333" s="120"/>
      <c r="AJS1333" s="120"/>
      <c r="AJT1333" s="120"/>
      <c r="AJU1333" s="120"/>
      <c r="AJV1333" s="120"/>
      <c r="AJW1333" s="120"/>
      <c r="AJX1333" s="120"/>
      <c r="AJY1333" s="120"/>
      <c r="AJZ1333" s="120"/>
      <c r="AKA1333" s="120"/>
      <c r="AKB1333" s="120"/>
      <c r="AKC1333" s="120"/>
      <c r="AKD1333" s="120"/>
      <c r="AKE1333" s="120"/>
      <c r="AKF1333" s="120"/>
      <c r="AKG1333" s="120"/>
      <c r="AKH1333" s="120"/>
      <c r="AKI1333" s="120"/>
      <c r="AKJ1333" s="120"/>
      <c r="AKK1333" s="120"/>
      <c r="AKL1333" s="120"/>
      <c r="AKM1333" s="120"/>
      <c r="AKN1333" s="120"/>
      <c r="AKO1333" s="120"/>
      <c r="AKP1333" s="120"/>
      <c r="AKQ1333" s="120"/>
      <c r="AKR1333" s="120"/>
      <c r="AKS1333" s="120"/>
      <c r="AKT1333" s="120"/>
      <c r="AKU1333" s="120"/>
      <c r="AKV1333" s="120"/>
      <c r="AKW1333" s="120"/>
      <c r="AKX1333" s="120"/>
      <c r="AKY1333" s="120"/>
      <c r="AKZ1333" s="120"/>
      <c r="ALA1333" s="120"/>
      <c r="ALB1333" s="120"/>
      <c r="ALC1333" s="120"/>
      <c r="ALD1333" s="120"/>
      <c r="ALE1333" s="120"/>
      <c r="ALF1333" s="120"/>
      <c r="ALG1333" s="120"/>
      <c r="ALH1333" s="120"/>
      <c r="ALI1333" s="120"/>
      <c r="ALJ1333" s="120"/>
      <c r="ALK1333" s="120"/>
      <c r="ALL1333" s="120"/>
      <c r="ALM1333" s="120"/>
      <c r="ALN1333" s="120"/>
      <c r="ALO1333" s="120"/>
      <c r="ALP1333" s="120"/>
      <c r="ALQ1333" s="120"/>
      <c r="ALR1333" s="120"/>
      <c r="ALS1333" s="120"/>
      <c r="ALT1333" s="120"/>
      <c r="ALU1333" s="120"/>
      <c r="ALV1333" s="120"/>
      <c r="ALW1333" s="120"/>
      <c r="ALX1333" s="120"/>
      <c r="ALY1333" s="120"/>
      <c r="ALZ1333" s="120"/>
      <c r="AMA1333" s="120"/>
      <c r="AMB1333" s="120"/>
      <c r="AMC1333" s="120"/>
      <c r="AMD1333" s="120"/>
      <c r="AME1333" s="120"/>
      <c r="AMF1333" s="120"/>
      <c r="AMG1333" s="120"/>
      <c r="AMH1333" s="120"/>
      <c r="AMI1333" s="120"/>
      <c r="AMJ1333" s="120"/>
      <c r="AMK1333" s="120"/>
      <c r="AML1333" s="120"/>
      <c r="AMM1333" s="120"/>
      <c r="AMN1333" s="120"/>
      <c r="AMO1333" s="120"/>
      <c r="AMP1333" s="120"/>
      <c r="AMQ1333" s="120"/>
      <c r="AMR1333" s="120"/>
      <c r="AMS1333" s="120"/>
      <c r="AMT1333" s="120"/>
      <c r="AMU1333" s="120"/>
      <c r="AMV1333" s="120"/>
      <c r="AMW1333" s="120"/>
      <c r="AMX1333" s="120"/>
      <c r="AMY1333" s="120"/>
      <c r="AMZ1333" s="120"/>
      <c r="ANA1333" s="120"/>
      <c r="ANB1333" s="120"/>
      <c r="ANC1333" s="120"/>
      <c r="AND1333" s="120"/>
      <c r="ANE1333" s="120"/>
      <c r="ANF1333" s="120"/>
      <c r="ANG1333" s="120"/>
      <c r="ANH1333" s="120"/>
      <c r="ANI1333" s="120"/>
      <c r="ANJ1333" s="120"/>
      <c r="ANK1333" s="120"/>
      <c r="ANL1333" s="120"/>
      <c r="ANM1333" s="120"/>
      <c r="ANN1333" s="120"/>
      <c r="ANO1333" s="120"/>
      <c r="ANP1333" s="120"/>
      <c r="ANQ1333" s="120"/>
      <c r="ANR1333" s="120"/>
      <c r="ANS1333" s="120"/>
      <c r="ANT1333" s="120"/>
      <c r="ANU1333" s="120"/>
      <c r="ANV1333" s="120"/>
      <c r="ANW1333" s="120"/>
      <c r="ANX1333" s="120"/>
      <c r="ANY1333" s="120"/>
      <c r="ANZ1333" s="120"/>
      <c r="AOA1333" s="120"/>
      <c r="AOB1333" s="120"/>
      <c r="AOC1333" s="120"/>
      <c r="AOD1333" s="120"/>
      <c r="AOE1333" s="120"/>
      <c r="AOF1333" s="120"/>
      <c r="AOG1333" s="120"/>
      <c r="AOH1333" s="120"/>
      <c r="AOI1333" s="120"/>
      <c r="AOJ1333" s="120"/>
      <c r="AOK1333" s="120"/>
      <c r="AOL1333" s="120"/>
      <c r="AOM1333" s="120"/>
      <c r="AON1333" s="120"/>
      <c r="AOO1333" s="120"/>
      <c r="AOP1333" s="120"/>
      <c r="AOQ1333" s="120"/>
      <c r="AOR1333" s="120"/>
      <c r="AOS1333" s="120"/>
      <c r="AOT1333" s="120"/>
      <c r="AOU1333" s="120"/>
      <c r="AOV1333" s="120"/>
      <c r="AOW1333" s="120"/>
      <c r="AOX1333" s="120"/>
      <c r="AOY1333" s="120"/>
      <c r="AOZ1333" s="120"/>
      <c r="APA1333" s="120"/>
      <c r="APB1333" s="120"/>
      <c r="APC1333" s="120"/>
      <c r="APD1333" s="120"/>
      <c r="APE1333" s="120"/>
      <c r="APF1333" s="120"/>
      <c r="APG1333" s="120"/>
      <c r="APH1333" s="120"/>
      <c r="API1333" s="120"/>
      <c r="APJ1333" s="120"/>
      <c r="APK1333" s="120"/>
      <c r="APL1333" s="120"/>
      <c r="APM1333" s="120"/>
      <c r="APN1333" s="120"/>
      <c r="APO1333" s="120"/>
      <c r="APP1333" s="120"/>
      <c r="APQ1333" s="120"/>
      <c r="APR1333" s="120"/>
      <c r="APS1333" s="120"/>
      <c r="APT1333" s="120"/>
      <c r="APU1333" s="120"/>
      <c r="APV1333" s="120"/>
      <c r="APW1333" s="120"/>
      <c r="APX1333" s="120"/>
      <c r="APY1333" s="120"/>
      <c r="APZ1333" s="120"/>
      <c r="AQA1333" s="120"/>
      <c r="AQB1333" s="120"/>
      <c r="AQC1333" s="120"/>
      <c r="AQD1333" s="120"/>
      <c r="AQE1333" s="120"/>
      <c r="AQF1333" s="120"/>
      <c r="AQG1333" s="120"/>
      <c r="AQH1333" s="120"/>
      <c r="AQI1333" s="120"/>
      <c r="AQJ1333" s="120"/>
      <c r="AQK1333" s="120"/>
      <c r="AQL1333" s="120"/>
      <c r="AQM1333" s="120"/>
      <c r="AQN1333" s="120"/>
      <c r="AQO1333" s="120"/>
      <c r="AQP1333" s="120"/>
      <c r="AQQ1333" s="120"/>
      <c r="AQR1333" s="120"/>
      <c r="AQS1333" s="120"/>
      <c r="AQT1333" s="120"/>
      <c r="AQU1333" s="120"/>
      <c r="AQV1333" s="120"/>
      <c r="AQW1333" s="120"/>
      <c r="AQX1333" s="120"/>
      <c r="AQY1333" s="120"/>
      <c r="AQZ1333" s="120"/>
      <c r="ARA1333" s="120"/>
      <c r="ARB1333" s="120"/>
      <c r="ARC1333" s="120"/>
      <c r="ARD1333" s="120"/>
      <c r="ARE1333" s="120"/>
      <c r="ARF1333" s="120"/>
      <c r="ARG1333" s="120"/>
      <c r="ARH1333" s="120"/>
      <c r="ARI1333" s="120"/>
      <c r="ARJ1333" s="120"/>
      <c r="ARK1333" s="120"/>
      <c r="ARL1333" s="120"/>
      <c r="ARM1333" s="120"/>
      <c r="ARN1333" s="120"/>
      <c r="ARO1333" s="120"/>
      <c r="ARP1333" s="120"/>
      <c r="ARQ1333" s="120"/>
      <c r="ARR1333" s="120"/>
      <c r="ARS1333" s="120"/>
      <c r="ART1333" s="120"/>
      <c r="ARU1333" s="120"/>
      <c r="ARV1333" s="120"/>
      <c r="ARW1333" s="120"/>
      <c r="ARX1333" s="120"/>
      <c r="ARY1333" s="120"/>
      <c r="ARZ1333" s="120"/>
      <c r="ASA1333" s="120"/>
      <c r="ASB1333" s="120"/>
      <c r="ASC1333" s="120"/>
      <c r="ASD1333" s="120"/>
      <c r="ASE1333" s="120"/>
      <c r="ASF1333" s="120"/>
      <c r="ASG1333" s="120"/>
      <c r="ASH1333" s="120"/>
      <c r="ASI1333" s="120"/>
      <c r="ASJ1333" s="120"/>
      <c r="ASK1333" s="120"/>
      <c r="ASL1333" s="120"/>
      <c r="ASM1333" s="120"/>
      <c r="ASN1333" s="120"/>
      <c r="ASO1333" s="120"/>
      <c r="ASP1333" s="120"/>
      <c r="ASQ1333" s="120"/>
      <c r="ASR1333" s="120"/>
      <c r="ASS1333" s="120"/>
      <c r="AST1333" s="120"/>
      <c r="ASU1333" s="120"/>
      <c r="ASV1333" s="120"/>
      <c r="ASW1333" s="120"/>
      <c r="ASX1333" s="120"/>
      <c r="ASY1333" s="120"/>
      <c r="ASZ1333" s="120"/>
      <c r="ATA1333" s="120"/>
      <c r="ATB1333" s="120"/>
      <c r="ATC1333" s="120"/>
      <c r="ATD1333" s="120"/>
      <c r="ATE1333" s="120"/>
      <c r="ATF1333" s="120"/>
      <c r="ATG1333" s="120"/>
      <c r="ATH1333" s="120"/>
      <c r="ATI1333" s="120"/>
      <c r="ATJ1333" s="120"/>
      <c r="ATK1333" s="120"/>
      <c r="ATL1333" s="120"/>
      <c r="ATM1333" s="120"/>
      <c r="ATN1333" s="120"/>
      <c r="ATO1333" s="120"/>
    </row>
    <row r="1334" spans="1:1211" s="20" customFormat="1" ht="14.1" customHeight="1">
      <c r="A1334" s="112"/>
      <c r="B1334" s="112"/>
      <c r="C1334" s="573"/>
      <c r="D1334" s="120"/>
      <c r="E1334" s="701"/>
      <c r="F1334" s="703"/>
      <c r="G1334" s="702"/>
      <c r="H1334" s="702"/>
      <c r="I1334" s="702"/>
      <c r="J1334" s="700"/>
      <c r="K1334" s="112"/>
      <c r="L1334" s="363"/>
      <c r="M1334" s="112"/>
      <c r="N1334" s="362"/>
      <c r="O1334" s="573"/>
      <c r="P1334" s="120"/>
      <c r="Q1334" s="120"/>
      <c r="R1334" s="120"/>
      <c r="S1334" s="120"/>
      <c r="T1334" s="120"/>
      <c r="U1334" s="120"/>
      <c r="V1334" s="120"/>
      <c r="W1334" s="120"/>
      <c r="X1334" s="120"/>
      <c r="Y1334" s="120"/>
      <c r="Z1334" s="120"/>
      <c r="AA1334" s="120"/>
      <c r="AB1334" s="120"/>
      <c r="AC1334" s="120"/>
      <c r="AD1334" s="120"/>
      <c r="AE1334" s="120"/>
      <c r="AF1334" s="120"/>
      <c r="AG1334" s="120"/>
      <c r="AH1334" s="120"/>
      <c r="AI1334" s="120"/>
      <c r="AJ1334" s="120"/>
      <c r="AK1334" s="120"/>
      <c r="AL1334" s="120"/>
      <c r="AM1334" s="120"/>
      <c r="AN1334" s="120"/>
      <c r="AO1334" s="120"/>
      <c r="AP1334" s="120"/>
      <c r="AQ1334" s="120"/>
      <c r="AR1334" s="120"/>
      <c r="AS1334" s="120"/>
      <c r="AT1334" s="120"/>
      <c r="AU1334" s="120"/>
      <c r="AV1334" s="120"/>
      <c r="AW1334" s="120"/>
      <c r="AX1334" s="120"/>
      <c r="AY1334" s="120"/>
      <c r="AZ1334" s="120"/>
      <c r="BA1334" s="120"/>
      <c r="BB1334" s="120"/>
      <c r="BC1334" s="120"/>
      <c r="BD1334" s="120"/>
      <c r="BE1334" s="120"/>
      <c r="BF1334" s="120"/>
      <c r="BG1334" s="120"/>
      <c r="BH1334" s="120"/>
      <c r="BI1334" s="120"/>
      <c r="BJ1334" s="120"/>
      <c r="BK1334" s="120"/>
      <c r="BL1334" s="120"/>
      <c r="BM1334" s="120"/>
      <c r="BN1334" s="120"/>
      <c r="BO1334" s="120"/>
      <c r="BP1334" s="120"/>
      <c r="BQ1334" s="120"/>
      <c r="BR1334" s="120"/>
      <c r="BS1334" s="120"/>
      <c r="BT1334" s="120"/>
      <c r="BU1334" s="120"/>
      <c r="BV1334" s="120"/>
      <c r="BW1334" s="120"/>
      <c r="BX1334" s="120"/>
      <c r="BY1334" s="120"/>
      <c r="BZ1334" s="120"/>
      <c r="CA1334" s="120"/>
      <c r="CB1334" s="120"/>
      <c r="CC1334" s="120"/>
      <c r="CD1334" s="120"/>
      <c r="CE1334" s="120"/>
      <c r="CF1334" s="120"/>
      <c r="CG1334" s="120"/>
      <c r="CH1334" s="120"/>
      <c r="CI1334" s="120"/>
      <c r="CJ1334" s="120"/>
      <c r="CK1334" s="120"/>
      <c r="CL1334" s="120"/>
      <c r="CM1334" s="120"/>
      <c r="CN1334" s="120"/>
      <c r="CO1334" s="120"/>
      <c r="CP1334" s="120"/>
      <c r="CQ1334" s="120"/>
      <c r="CR1334" s="120"/>
      <c r="CS1334" s="120"/>
      <c r="CT1334" s="120"/>
      <c r="CU1334" s="120"/>
      <c r="CV1334" s="120"/>
      <c r="CW1334" s="120"/>
      <c r="CX1334" s="120"/>
      <c r="CY1334" s="120"/>
      <c r="CZ1334" s="120"/>
      <c r="DA1334" s="120"/>
      <c r="DB1334" s="120"/>
      <c r="DC1334" s="120"/>
      <c r="DD1334" s="120"/>
      <c r="DE1334" s="120"/>
      <c r="DF1334" s="120"/>
      <c r="DG1334" s="120"/>
      <c r="DH1334" s="120"/>
      <c r="DI1334" s="120"/>
      <c r="DJ1334" s="120"/>
      <c r="DK1334" s="120"/>
      <c r="DL1334" s="120"/>
      <c r="DM1334" s="120"/>
      <c r="DN1334" s="120"/>
      <c r="DO1334" s="120"/>
      <c r="DP1334" s="120"/>
      <c r="DQ1334" s="120"/>
      <c r="DR1334" s="120"/>
      <c r="DS1334" s="120"/>
      <c r="DT1334" s="120"/>
      <c r="DU1334" s="120"/>
      <c r="DV1334" s="120"/>
      <c r="DW1334" s="120"/>
      <c r="DX1334" s="120"/>
      <c r="DY1334" s="120"/>
      <c r="DZ1334" s="120"/>
      <c r="EA1334" s="120"/>
      <c r="EB1334" s="120"/>
      <c r="EC1334" s="120"/>
      <c r="ED1334" s="120"/>
      <c r="EE1334" s="120"/>
      <c r="EF1334" s="120"/>
      <c r="EG1334" s="120"/>
      <c r="EH1334" s="120"/>
      <c r="EI1334" s="120"/>
      <c r="EJ1334" s="120"/>
      <c r="EK1334" s="120"/>
      <c r="EL1334" s="120"/>
      <c r="EM1334" s="120"/>
      <c r="EN1334" s="120"/>
      <c r="EO1334" s="120"/>
      <c r="EP1334" s="120"/>
      <c r="EQ1334" s="120"/>
      <c r="ER1334" s="120"/>
      <c r="ES1334" s="120"/>
      <c r="ET1334" s="120"/>
      <c r="EU1334" s="120"/>
      <c r="EV1334" s="120"/>
      <c r="EW1334" s="120"/>
      <c r="EX1334" s="120"/>
      <c r="EY1334" s="120"/>
      <c r="EZ1334" s="120"/>
      <c r="FA1334" s="120"/>
      <c r="FB1334" s="120"/>
      <c r="FC1334" s="120"/>
      <c r="FD1334" s="120"/>
      <c r="FE1334" s="120"/>
      <c r="FF1334" s="120"/>
      <c r="FG1334" s="120"/>
      <c r="FH1334" s="120"/>
      <c r="FI1334" s="120"/>
      <c r="FJ1334" s="120"/>
      <c r="FK1334" s="120"/>
      <c r="FL1334" s="120"/>
      <c r="FM1334" s="120"/>
      <c r="FN1334" s="120"/>
      <c r="FO1334" s="120"/>
      <c r="FP1334" s="120"/>
      <c r="FQ1334" s="120"/>
      <c r="FR1334" s="120"/>
      <c r="FS1334" s="120"/>
      <c r="FT1334" s="120"/>
      <c r="FU1334" s="120"/>
      <c r="FV1334" s="120"/>
      <c r="FW1334" s="120"/>
      <c r="FX1334" s="120"/>
      <c r="FY1334" s="120"/>
      <c r="FZ1334" s="120"/>
      <c r="GA1334" s="120"/>
      <c r="GB1334" s="120"/>
      <c r="GC1334" s="120"/>
      <c r="GD1334" s="120"/>
      <c r="GE1334" s="120"/>
      <c r="GF1334" s="120"/>
      <c r="GG1334" s="120"/>
      <c r="GH1334" s="120"/>
      <c r="GI1334" s="120"/>
      <c r="GJ1334" s="120"/>
      <c r="GK1334" s="120"/>
      <c r="GL1334" s="120"/>
      <c r="GM1334" s="120"/>
      <c r="GN1334" s="120"/>
      <c r="GO1334" s="120"/>
      <c r="GP1334" s="120"/>
      <c r="GQ1334" s="120"/>
      <c r="GR1334" s="120"/>
      <c r="GS1334" s="120"/>
      <c r="GT1334" s="120"/>
      <c r="GU1334" s="120"/>
      <c r="GV1334" s="120"/>
      <c r="GW1334" s="120"/>
      <c r="GX1334" s="120"/>
      <c r="GY1334" s="120"/>
      <c r="GZ1334" s="120"/>
      <c r="HA1334" s="120"/>
      <c r="HB1334" s="120"/>
      <c r="HC1334" s="120"/>
      <c r="HD1334" s="120"/>
      <c r="HE1334" s="120"/>
      <c r="HF1334" s="120"/>
      <c r="HG1334" s="120"/>
      <c r="HH1334" s="120"/>
      <c r="HI1334" s="120"/>
      <c r="HJ1334" s="120"/>
      <c r="HK1334" s="120"/>
      <c r="HL1334" s="120"/>
      <c r="HM1334" s="120"/>
      <c r="HN1334" s="120"/>
      <c r="HO1334" s="120"/>
      <c r="HP1334" s="120"/>
      <c r="HQ1334" s="120"/>
      <c r="HR1334" s="120"/>
      <c r="HS1334" s="120"/>
      <c r="HT1334" s="120"/>
      <c r="HU1334" s="120"/>
      <c r="HV1334" s="120"/>
      <c r="HW1334" s="120"/>
      <c r="HX1334" s="120"/>
      <c r="HY1334" s="120"/>
      <c r="HZ1334" s="120"/>
      <c r="IA1334" s="120"/>
      <c r="IB1334" s="120"/>
      <c r="IC1334" s="120"/>
      <c r="ID1334" s="120"/>
      <c r="IE1334" s="120"/>
      <c r="IF1334" s="120"/>
      <c r="IG1334" s="120"/>
      <c r="IH1334" s="120"/>
      <c r="II1334" s="120"/>
      <c r="IJ1334" s="120"/>
      <c r="IK1334" s="120"/>
      <c r="IL1334" s="120"/>
      <c r="IM1334" s="120"/>
      <c r="IN1334" s="120"/>
      <c r="IO1334" s="120"/>
      <c r="IP1334" s="120"/>
      <c r="IQ1334" s="120"/>
      <c r="IR1334" s="120"/>
      <c r="IS1334" s="120"/>
      <c r="IT1334" s="120"/>
      <c r="IU1334" s="120"/>
      <c r="IV1334" s="120"/>
      <c r="IW1334" s="120"/>
      <c r="IX1334" s="120"/>
      <c r="IY1334" s="120"/>
      <c r="IZ1334" s="120"/>
      <c r="JA1334" s="120"/>
      <c r="JB1334" s="120"/>
      <c r="JC1334" s="120"/>
      <c r="JD1334" s="120"/>
      <c r="JE1334" s="120"/>
      <c r="JF1334" s="120"/>
      <c r="JG1334" s="120"/>
      <c r="JH1334" s="120"/>
      <c r="JI1334" s="120"/>
      <c r="JJ1334" s="120"/>
      <c r="JK1334" s="120"/>
      <c r="JL1334" s="120"/>
      <c r="JM1334" s="120"/>
      <c r="JN1334" s="120"/>
      <c r="JO1334" s="120"/>
      <c r="JP1334" s="120"/>
      <c r="JQ1334" s="120"/>
      <c r="JR1334" s="120"/>
      <c r="JS1334" s="120"/>
      <c r="JT1334" s="120"/>
      <c r="JU1334" s="120"/>
      <c r="JV1334" s="120"/>
      <c r="JW1334" s="120"/>
      <c r="JX1334" s="120"/>
      <c r="JY1334" s="120"/>
      <c r="JZ1334" s="120"/>
      <c r="KA1334" s="120"/>
      <c r="KB1334" s="120"/>
      <c r="KC1334" s="120"/>
      <c r="KD1334" s="120"/>
      <c r="KE1334" s="120"/>
      <c r="KF1334" s="120"/>
      <c r="KG1334" s="120"/>
      <c r="KH1334" s="120"/>
      <c r="KI1334" s="120"/>
      <c r="KJ1334" s="120"/>
      <c r="KK1334" s="120"/>
      <c r="KL1334" s="120"/>
      <c r="KM1334" s="120"/>
      <c r="KN1334" s="120"/>
      <c r="KO1334" s="120"/>
      <c r="KP1334" s="120"/>
      <c r="KQ1334" s="120"/>
      <c r="KR1334" s="120"/>
      <c r="KS1334" s="120"/>
      <c r="KT1334" s="120"/>
      <c r="KU1334" s="120"/>
      <c r="KV1334" s="120"/>
      <c r="KW1334" s="120"/>
      <c r="KX1334" s="120"/>
      <c r="KY1334" s="120"/>
      <c r="KZ1334" s="120"/>
      <c r="LA1334" s="120"/>
      <c r="LB1334" s="120"/>
      <c r="LC1334" s="120"/>
      <c r="LD1334" s="120"/>
      <c r="LE1334" s="120"/>
      <c r="LF1334" s="120"/>
      <c r="LG1334" s="120"/>
      <c r="LH1334" s="120"/>
      <c r="LI1334" s="120"/>
      <c r="LJ1334" s="120"/>
      <c r="LK1334" s="120"/>
      <c r="LL1334" s="120"/>
      <c r="LM1334" s="120"/>
      <c r="LN1334" s="120"/>
      <c r="LO1334" s="120"/>
      <c r="LP1334" s="120"/>
      <c r="LQ1334" s="120"/>
      <c r="LR1334" s="120"/>
      <c r="LS1334" s="120"/>
      <c r="LT1334" s="120"/>
      <c r="LU1334" s="120"/>
      <c r="LV1334" s="120"/>
      <c r="LW1334" s="120"/>
      <c r="LX1334" s="120"/>
      <c r="LY1334" s="120"/>
      <c r="LZ1334" s="120"/>
      <c r="MA1334" s="120"/>
      <c r="MB1334" s="120"/>
      <c r="MC1334" s="120"/>
      <c r="MD1334" s="120"/>
      <c r="ME1334" s="120"/>
      <c r="MF1334" s="120"/>
      <c r="MG1334" s="120"/>
      <c r="MH1334" s="120"/>
      <c r="MI1334" s="120"/>
      <c r="MJ1334" s="120"/>
      <c r="MK1334" s="120"/>
      <c r="ML1334" s="120"/>
      <c r="MM1334" s="120"/>
      <c r="MN1334" s="120"/>
      <c r="MO1334" s="120"/>
      <c r="MP1334" s="120"/>
      <c r="MQ1334" s="120"/>
      <c r="MR1334" s="120"/>
      <c r="MS1334" s="120"/>
      <c r="MT1334" s="120"/>
      <c r="MU1334" s="120"/>
      <c r="MV1334" s="120"/>
      <c r="MW1334" s="120"/>
      <c r="MX1334" s="120"/>
      <c r="MY1334" s="120"/>
      <c r="MZ1334" s="120"/>
      <c r="NA1334" s="120"/>
      <c r="NB1334" s="120"/>
      <c r="NC1334" s="120"/>
      <c r="ND1334" s="120"/>
      <c r="NE1334" s="120"/>
      <c r="NF1334" s="120"/>
      <c r="NG1334" s="120"/>
      <c r="NH1334" s="120"/>
      <c r="NI1334" s="120"/>
      <c r="NJ1334" s="120"/>
      <c r="NK1334" s="120"/>
      <c r="NL1334" s="120"/>
      <c r="NM1334" s="120"/>
      <c r="NN1334" s="120"/>
      <c r="NO1334" s="120"/>
      <c r="NP1334" s="120"/>
      <c r="NQ1334" s="120"/>
      <c r="NR1334" s="120"/>
      <c r="NS1334" s="120"/>
      <c r="NT1334" s="120"/>
      <c r="NU1334" s="120"/>
      <c r="NV1334" s="120"/>
      <c r="NW1334" s="120"/>
      <c r="NX1334" s="120"/>
      <c r="NY1334" s="120"/>
      <c r="NZ1334" s="120"/>
      <c r="OA1334" s="120"/>
      <c r="OB1334" s="120"/>
      <c r="OC1334" s="120"/>
      <c r="OD1334" s="120"/>
      <c r="OE1334" s="120"/>
      <c r="OF1334" s="120"/>
      <c r="OG1334" s="120"/>
      <c r="OH1334" s="120"/>
      <c r="OI1334" s="120"/>
      <c r="OJ1334" s="120"/>
      <c r="OK1334" s="120"/>
      <c r="OL1334" s="120"/>
      <c r="OM1334" s="120"/>
      <c r="ON1334" s="120"/>
      <c r="OO1334" s="120"/>
      <c r="OP1334" s="120"/>
      <c r="OQ1334" s="120"/>
      <c r="OR1334" s="120"/>
      <c r="OS1334" s="120"/>
      <c r="OT1334" s="120"/>
      <c r="OU1334" s="120"/>
      <c r="OV1334" s="120"/>
      <c r="OW1334" s="120"/>
      <c r="OX1334" s="120"/>
      <c r="OY1334" s="120"/>
      <c r="OZ1334" s="120"/>
      <c r="PA1334" s="120"/>
      <c r="PB1334" s="120"/>
      <c r="PC1334" s="120"/>
      <c r="PD1334" s="120"/>
      <c r="PE1334" s="120"/>
      <c r="PF1334" s="120"/>
      <c r="PG1334" s="120"/>
      <c r="PH1334" s="120"/>
      <c r="PI1334" s="120"/>
      <c r="PJ1334" s="120"/>
      <c r="PK1334" s="120"/>
      <c r="PL1334" s="120"/>
      <c r="PM1334" s="120"/>
      <c r="PN1334" s="120"/>
      <c r="PO1334" s="120"/>
      <c r="PP1334" s="120"/>
      <c r="PQ1334" s="120"/>
      <c r="PR1334" s="120"/>
      <c r="PS1334" s="120"/>
      <c r="PT1334" s="120"/>
      <c r="PU1334" s="120"/>
      <c r="PV1334" s="120"/>
      <c r="PW1334" s="120"/>
      <c r="PX1334" s="120"/>
      <c r="PY1334" s="120"/>
      <c r="PZ1334" s="120"/>
      <c r="QA1334" s="120"/>
      <c r="QB1334" s="120"/>
      <c r="QC1334" s="120"/>
      <c r="QD1334" s="120"/>
      <c r="QE1334" s="120"/>
      <c r="QF1334" s="120"/>
      <c r="QG1334" s="120"/>
      <c r="QH1334" s="120"/>
      <c r="QI1334" s="120"/>
      <c r="QJ1334" s="120"/>
      <c r="QK1334" s="120"/>
      <c r="QL1334" s="120"/>
      <c r="QM1334" s="120"/>
      <c r="QN1334" s="120"/>
      <c r="QO1334" s="120"/>
      <c r="QP1334" s="120"/>
      <c r="QQ1334" s="120"/>
      <c r="QR1334" s="120"/>
      <c r="QS1334" s="120"/>
      <c r="QT1334" s="120"/>
      <c r="QU1334" s="120"/>
      <c r="QV1334" s="120"/>
      <c r="QW1334" s="120"/>
      <c r="QX1334" s="120"/>
      <c r="QY1334" s="120"/>
      <c r="QZ1334" s="120"/>
      <c r="RA1334" s="120"/>
      <c r="RB1334" s="120"/>
      <c r="RC1334" s="120"/>
      <c r="RD1334" s="120"/>
      <c r="RE1334" s="120"/>
      <c r="RF1334" s="120"/>
      <c r="RG1334" s="120"/>
      <c r="RH1334" s="120"/>
      <c r="RI1334" s="120"/>
      <c r="RJ1334" s="120"/>
      <c r="RK1334" s="120"/>
      <c r="RL1334" s="120"/>
      <c r="RM1334" s="120"/>
      <c r="RN1334" s="120"/>
      <c r="RO1334" s="120"/>
      <c r="RP1334" s="120"/>
      <c r="RQ1334" s="120"/>
      <c r="RR1334" s="120"/>
      <c r="RS1334" s="120"/>
      <c r="RT1334" s="120"/>
      <c r="RU1334" s="120"/>
      <c r="RV1334" s="120"/>
      <c r="RW1334" s="120"/>
      <c r="RX1334" s="120"/>
      <c r="RY1334" s="120"/>
      <c r="RZ1334" s="120"/>
      <c r="SA1334" s="120"/>
      <c r="SB1334" s="120"/>
      <c r="SC1334" s="120"/>
      <c r="SD1334" s="120"/>
      <c r="SE1334" s="120"/>
      <c r="SF1334" s="120"/>
      <c r="SG1334" s="120"/>
      <c r="SH1334" s="120"/>
      <c r="SI1334" s="120"/>
      <c r="SJ1334" s="120"/>
      <c r="SK1334" s="120"/>
      <c r="SL1334" s="120"/>
      <c r="SM1334" s="120"/>
      <c r="SN1334" s="120"/>
      <c r="SO1334" s="120"/>
      <c r="SP1334" s="120"/>
      <c r="SQ1334" s="120"/>
      <c r="SR1334" s="120"/>
      <c r="SS1334" s="120"/>
      <c r="ST1334" s="120"/>
      <c r="SU1334" s="120"/>
      <c r="SV1334" s="120"/>
      <c r="SW1334" s="120"/>
      <c r="SX1334" s="120"/>
      <c r="SY1334" s="120"/>
      <c r="SZ1334" s="120"/>
      <c r="TA1334" s="120"/>
      <c r="TB1334" s="120"/>
      <c r="TC1334" s="120"/>
      <c r="TD1334" s="120"/>
      <c r="TE1334" s="120"/>
      <c r="TF1334" s="120"/>
      <c r="TG1334" s="120"/>
      <c r="TH1334" s="120"/>
      <c r="TI1334" s="120"/>
      <c r="TJ1334" s="120"/>
      <c r="TK1334" s="120"/>
      <c r="TL1334" s="120"/>
      <c r="TM1334" s="120"/>
      <c r="TN1334" s="120"/>
      <c r="TO1334" s="120"/>
      <c r="TP1334" s="120"/>
      <c r="TQ1334" s="120"/>
      <c r="TR1334" s="120"/>
      <c r="TS1334" s="120"/>
      <c r="TT1334" s="120"/>
      <c r="TU1334" s="120"/>
      <c r="TV1334" s="120"/>
      <c r="TW1334" s="120"/>
      <c r="TX1334" s="120"/>
      <c r="TY1334" s="120"/>
      <c r="TZ1334" s="120"/>
      <c r="UA1334" s="120"/>
      <c r="UB1334" s="120"/>
      <c r="UC1334" s="120"/>
      <c r="UD1334" s="120"/>
      <c r="UE1334" s="120"/>
      <c r="UF1334" s="120"/>
      <c r="UG1334" s="120"/>
      <c r="UH1334" s="120"/>
      <c r="UI1334" s="120"/>
      <c r="UJ1334" s="120"/>
      <c r="UK1334" s="120"/>
      <c r="UL1334" s="120"/>
      <c r="UM1334" s="120"/>
      <c r="UN1334" s="120"/>
      <c r="UO1334" s="120"/>
      <c r="UP1334" s="120"/>
      <c r="UQ1334" s="120"/>
      <c r="UR1334" s="120"/>
      <c r="US1334" s="120"/>
      <c r="UT1334" s="120"/>
      <c r="UU1334" s="120"/>
      <c r="UV1334" s="120"/>
      <c r="UW1334" s="120"/>
      <c r="UX1334" s="120"/>
      <c r="UY1334" s="120"/>
      <c r="UZ1334" s="120"/>
      <c r="VA1334" s="120"/>
      <c r="VB1334" s="120"/>
      <c r="VC1334" s="120"/>
      <c r="VD1334" s="120"/>
      <c r="VE1334" s="120"/>
      <c r="VF1334" s="120"/>
      <c r="VG1334" s="120"/>
      <c r="VH1334" s="120"/>
      <c r="VI1334" s="120"/>
      <c r="VJ1334" s="120"/>
      <c r="VK1334" s="120"/>
      <c r="VL1334" s="120"/>
      <c r="VM1334" s="120"/>
      <c r="VN1334" s="120"/>
      <c r="VO1334" s="120"/>
      <c r="VP1334" s="120"/>
      <c r="VQ1334" s="120"/>
      <c r="VR1334" s="120"/>
      <c r="VS1334" s="120"/>
      <c r="VT1334" s="120"/>
      <c r="VU1334" s="120"/>
      <c r="VV1334" s="120"/>
      <c r="VW1334" s="120"/>
      <c r="VX1334" s="120"/>
      <c r="VY1334" s="120"/>
      <c r="VZ1334" s="120"/>
      <c r="WA1334" s="120"/>
      <c r="WB1334" s="120"/>
      <c r="WC1334" s="120"/>
      <c r="WD1334" s="120"/>
      <c r="WE1334" s="120"/>
      <c r="WF1334" s="120"/>
      <c r="WG1334" s="120"/>
      <c r="WH1334" s="120"/>
      <c r="WI1334" s="120"/>
      <c r="WJ1334" s="120"/>
      <c r="WK1334" s="120"/>
      <c r="WL1334" s="120"/>
      <c r="WM1334" s="120"/>
      <c r="WN1334" s="120"/>
      <c r="WO1334" s="120"/>
      <c r="WP1334" s="120"/>
      <c r="WQ1334" s="120"/>
      <c r="WR1334" s="120"/>
      <c r="WS1334" s="120"/>
      <c r="WT1334" s="120"/>
      <c r="WU1334" s="120"/>
      <c r="WV1334" s="120"/>
      <c r="WW1334" s="120"/>
      <c r="WX1334" s="120"/>
      <c r="WY1334" s="120"/>
      <c r="WZ1334" s="120"/>
      <c r="XA1334" s="120"/>
      <c r="XB1334" s="120"/>
      <c r="XC1334" s="120"/>
      <c r="XD1334" s="120"/>
      <c r="XE1334" s="120"/>
      <c r="XF1334" s="120"/>
      <c r="XG1334" s="120"/>
      <c r="XH1334" s="120"/>
      <c r="XI1334" s="120"/>
      <c r="XJ1334" s="120"/>
      <c r="XK1334" s="120"/>
      <c r="XL1334" s="120"/>
      <c r="XM1334" s="120"/>
      <c r="XN1334" s="120"/>
      <c r="XO1334" s="120"/>
      <c r="XP1334" s="120"/>
      <c r="XQ1334" s="120"/>
      <c r="XR1334" s="120"/>
      <c r="XS1334" s="120"/>
      <c r="XT1334" s="120"/>
      <c r="XU1334" s="120"/>
      <c r="XV1334" s="120"/>
      <c r="XW1334" s="120"/>
      <c r="XX1334" s="120"/>
      <c r="XY1334" s="120"/>
      <c r="XZ1334" s="120"/>
      <c r="YA1334" s="120"/>
      <c r="YB1334" s="120"/>
      <c r="YC1334" s="120"/>
      <c r="YD1334" s="120"/>
      <c r="YE1334" s="120"/>
      <c r="YF1334" s="120"/>
      <c r="YG1334" s="120"/>
      <c r="YH1334" s="120"/>
      <c r="YI1334" s="120"/>
      <c r="YJ1334" s="120"/>
      <c r="YK1334" s="120"/>
      <c r="YL1334" s="120"/>
      <c r="YM1334" s="120"/>
      <c r="YN1334" s="120"/>
      <c r="YO1334" s="120"/>
      <c r="YP1334" s="120"/>
      <c r="YQ1334" s="120"/>
      <c r="YR1334" s="120"/>
      <c r="YS1334" s="120"/>
      <c r="YT1334" s="120"/>
      <c r="YU1334" s="120"/>
      <c r="YV1334" s="120"/>
      <c r="YW1334" s="120"/>
      <c r="YX1334" s="120"/>
      <c r="YY1334" s="120"/>
      <c r="YZ1334" s="120"/>
      <c r="ZA1334" s="120"/>
      <c r="ZB1334" s="120"/>
      <c r="ZC1334" s="120"/>
      <c r="ZD1334" s="120"/>
      <c r="ZE1334" s="120"/>
      <c r="ZF1334" s="120"/>
      <c r="ZG1334" s="120"/>
      <c r="ZH1334" s="120"/>
      <c r="ZI1334" s="120"/>
      <c r="ZJ1334" s="120"/>
      <c r="ZK1334" s="120"/>
      <c r="ZL1334" s="120"/>
      <c r="ZM1334" s="120"/>
      <c r="ZN1334" s="120"/>
      <c r="ZO1334" s="120"/>
      <c r="ZP1334" s="120"/>
      <c r="ZQ1334" s="120"/>
      <c r="ZR1334" s="120"/>
      <c r="ZS1334" s="120"/>
      <c r="ZT1334" s="120"/>
      <c r="ZU1334" s="120"/>
      <c r="ZV1334" s="120"/>
      <c r="ZW1334" s="120"/>
      <c r="ZX1334" s="120"/>
      <c r="ZY1334" s="120"/>
      <c r="ZZ1334" s="120"/>
      <c r="AAA1334" s="120"/>
      <c r="AAB1334" s="120"/>
      <c r="AAC1334" s="120"/>
      <c r="AAD1334" s="120"/>
      <c r="AAE1334" s="120"/>
      <c r="AAF1334" s="120"/>
      <c r="AAG1334" s="120"/>
      <c r="AAH1334" s="120"/>
      <c r="AAI1334" s="120"/>
      <c r="AAJ1334" s="120"/>
      <c r="AAK1334" s="120"/>
      <c r="AAL1334" s="120"/>
      <c r="AAM1334" s="120"/>
      <c r="AAN1334" s="120"/>
      <c r="AAO1334" s="120"/>
      <c r="AAP1334" s="120"/>
      <c r="AAQ1334" s="120"/>
      <c r="AAR1334" s="120"/>
      <c r="AAS1334" s="120"/>
      <c r="AAT1334" s="120"/>
      <c r="AAU1334" s="120"/>
      <c r="AAV1334" s="120"/>
      <c r="AAW1334" s="120"/>
      <c r="AAX1334" s="120"/>
      <c r="AAY1334" s="120"/>
      <c r="AAZ1334" s="120"/>
      <c r="ABA1334" s="120"/>
      <c r="ABB1334" s="120"/>
      <c r="ABC1334" s="120"/>
      <c r="ABD1334" s="120"/>
      <c r="ABE1334" s="120"/>
      <c r="ABF1334" s="120"/>
      <c r="ABG1334" s="120"/>
      <c r="ABH1334" s="120"/>
      <c r="ABI1334" s="120"/>
      <c r="ABJ1334" s="120"/>
      <c r="ABK1334" s="120"/>
      <c r="ABL1334" s="120"/>
      <c r="ABM1334" s="120"/>
      <c r="ABN1334" s="120"/>
      <c r="ABO1334" s="120"/>
      <c r="ABP1334" s="120"/>
      <c r="ABQ1334" s="120"/>
      <c r="ABR1334" s="120"/>
      <c r="ABS1334" s="120"/>
      <c r="ABT1334" s="120"/>
      <c r="ABU1334" s="120"/>
      <c r="ABV1334" s="120"/>
      <c r="ABW1334" s="120"/>
      <c r="ABX1334" s="120"/>
      <c r="ABY1334" s="120"/>
      <c r="ABZ1334" s="120"/>
      <c r="ACA1334" s="120"/>
      <c r="ACB1334" s="120"/>
      <c r="ACC1334" s="120"/>
      <c r="ACD1334" s="120"/>
      <c r="ACE1334" s="120"/>
      <c r="ACF1334" s="120"/>
      <c r="ACG1334" s="120"/>
      <c r="ACH1334" s="120"/>
      <c r="ACI1334" s="120"/>
      <c r="ACJ1334" s="120"/>
      <c r="ACK1334" s="120"/>
      <c r="ACL1334" s="120"/>
      <c r="ACM1334" s="120"/>
      <c r="ACN1334" s="120"/>
      <c r="ACO1334" s="120"/>
      <c r="ACP1334" s="120"/>
      <c r="ACQ1334" s="120"/>
      <c r="ACR1334" s="120"/>
      <c r="ACS1334" s="120"/>
      <c r="ACT1334" s="120"/>
      <c r="ACU1334" s="120"/>
      <c r="ACV1334" s="120"/>
      <c r="ACW1334" s="120"/>
      <c r="ACX1334" s="120"/>
      <c r="ACY1334" s="120"/>
      <c r="ACZ1334" s="120"/>
      <c r="ADA1334" s="120"/>
      <c r="ADB1334" s="120"/>
      <c r="ADC1334" s="120"/>
      <c r="ADD1334" s="120"/>
      <c r="ADE1334" s="120"/>
      <c r="ADF1334" s="120"/>
      <c r="ADG1334" s="120"/>
      <c r="ADH1334" s="120"/>
      <c r="ADI1334" s="120"/>
      <c r="ADJ1334" s="120"/>
      <c r="ADK1334" s="120"/>
      <c r="ADL1334" s="120"/>
      <c r="ADM1334" s="120"/>
      <c r="ADN1334" s="120"/>
      <c r="ADO1334" s="120"/>
      <c r="ADP1334" s="120"/>
      <c r="ADQ1334" s="120"/>
      <c r="ADR1334" s="120"/>
      <c r="ADS1334" s="120"/>
      <c r="ADT1334" s="120"/>
      <c r="ADU1334" s="120"/>
      <c r="ADV1334" s="120"/>
      <c r="ADW1334" s="120"/>
      <c r="ADX1334" s="120"/>
      <c r="ADY1334" s="120"/>
      <c r="ADZ1334" s="120"/>
      <c r="AEA1334" s="120"/>
      <c r="AEB1334" s="120"/>
      <c r="AEC1334" s="120"/>
      <c r="AED1334" s="120"/>
      <c r="AEE1334" s="120"/>
      <c r="AEF1334" s="120"/>
      <c r="AEG1334" s="120"/>
      <c r="AEH1334" s="120"/>
      <c r="AEI1334" s="120"/>
      <c r="AEJ1334" s="120"/>
      <c r="AEK1334" s="120"/>
      <c r="AEL1334" s="120"/>
      <c r="AEM1334" s="120"/>
      <c r="AEN1334" s="120"/>
      <c r="AEO1334" s="120"/>
      <c r="AEP1334" s="120"/>
      <c r="AEQ1334" s="120"/>
      <c r="AER1334" s="120"/>
      <c r="AES1334" s="120"/>
      <c r="AET1334" s="120"/>
      <c r="AEU1334" s="120"/>
      <c r="AEV1334" s="120"/>
      <c r="AEW1334" s="120"/>
      <c r="AEX1334" s="120"/>
      <c r="AEY1334" s="120"/>
      <c r="AEZ1334" s="120"/>
      <c r="AFA1334" s="120"/>
      <c r="AFB1334" s="120"/>
      <c r="AFC1334" s="120"/>
      <c r="AFD1334" s="120"/>
      <c r="AFE1334" s="120"/>
      <c r="AFF1334" s="120"/>
      <c r="AFG1334" s="120"/>
      <c r="AFH1334" s="120"/>
      <c r="AFI1334" s="120"/>
      <c r="AFJ1334" s="120"/>
      <c r="AFK1334" s="120"/>
      <c r="AFL1334" s="120"/>
      <c r="AFM1334" s="120"/>
      <c r="AFN1334" s="120"/>
      <c r="AFO1334" s="120"/>
      <c r="AFP1334" s="120"/>
      <c r="AFQ1334" s="120"/>
      <c r="AFR1334" s="120"/>
      <c r="AFS1334" s="120"/>
      <c r="AFT1334" s="120"/>
      <c r="AFU1334" s="120"/>
      <c r="AFV1334" s="120"/>
      <c r="AFW1334" s="120"/>
      <c r="AFX1334" s="120"/>
      <c r="AFY1334" s="120"/>
      <c r="AFZ1334" s="120"/>
      <c r="AGA1334" s="120"/>
      <c r="AGB1334" s="120"/>
      <c r="AGC1334" s="120"/>
      <c r="AGD1334" s="120"/>
      <c r="AGE1334" s="120"/>
      <c r="AGF1334" s="120"/>
      <c r="AGG1334" s="120"/>
      <c r="AGH1334" s="120"/>
      <c r="AGI1334" s="120"/>
      <c r="AGJ1334" s="120"/>
      <c r="AGK1334" s="120"/>
      <c r="AGL1334" s="120"/>
      <c r="AGM1334" s="120"/>
      <c r="AGN1334" s="120"/>
      <c r="AGO1334" s="120"/>
      <c r="AGP1334" s="120"/>
      <c r="AGQ1334" s="120"/>
      <c r="AGR1334" s="120"/>
      <c r="AGS1334" s="120"/>
      <c r="AGT1334" s="120"/>
      <c r="AGU1334" s="120"/>
      <c r="AGV1334" s="120"/>
      <c r="AGW1334" s="120"/>
      <c r="AGX1334" s="120"/>
      <c r="AGY1334" s="120"/>
      <c r="AGZ1334" s="120"/>
      <c r="AHA1334" s="120"/>
      <c r="AHB1334" s="120"/>
      <c r="AHC1334" s="120"/>
      <c r="AHD1334" s="120"/>
      <c r="AHE1334" s="120"/>
      <c r="AHF1334" s="120"/>
      <c r="AHG1334" s="120"/>
      <c r="AHH1334" s="120"/>
      <c r="AHI1334" s="120"/>
      <c r="AHJ1334" s="120"/>
      <c r="AHK1334" s="120"/>
      <c r="AHL1334" s="120"/>
      <c r="AHM1334" s="120"/>
      <c r="AHN1334" s="120"/>
      <c r="AHO1334" s="120"/>
      <c r="AHP1334" s="120"/>
      <c r="AHQ1334" s="120"/>
      <c r="AHR1334" s="120"/>
      <c r="AHS1334" s="120"/>
      <c r="AHT1334" s="120"/>
      <c r="AHU1334" s="120"/>
      <c r="AHV1334" s="120"/>
      <c r="AHW1334" s="120"/>
      <c r="AHX1334" s="120"/>
      <c r="AHY1334" s="120"/>
      <c r="AHZ1334" s="120"/>
      <c r="AIA1334" s="120"/>
      <c r="AIB1334" s="120"/>
      <c r="AIC1334" s="120"/>
      <c r="AID1334" s="120"/>
      <c r="AIE1334" s="120"/>
      <c r="AIF1334" s="120"/>
      <c r="AIG1334" s="120"/>
      <c r="AIH1334" s="120"/>
      <c r="AII1334" s="120"/>
      <c r="AIJ1334" s="120"/>
      <c r="AIK1334" s="120"/>
      <c r="AIL1334" s="120"/>
      <c r="AIM1334" s="120"/>
      <c r="AIN1334" s="120"/>
      <c r="AIO1334" s="120"/>
      <c r="AIP1334" s="120"/>
      <c r="AIQ1334" s="120"/>
      <c r="AIR1334" s="120"/>
      <c r="AIS1334" s="120"/>
      <c r="AIT1334" s="120"/>
      <c r="AIU1334" s="120"/>
      <c r="AIV1334" s="120"/>
      <c r="AIW1334" s="120"/>
      <c r="AIX1334" s="120"/>
      <c r="AIY1334" s="120"/>
      <c r="AIZ1334" s="120"/>
      <c r="AJA1334" s="120"/>
      <c r="AJB1334" s="120"/>
      <c r="AJC1334" s="120"/>
      <c r="AJD1334" s="120"/>
      <c r="AJE1334" s="120"/>
      <c r="AJF1334" s="120"/>
      <c r="AJG1334" s="120"/>
      <c r="AJH1334" s="120"/>
      <c r="AJI1334" s="120"/>
      <c r="AJJ1334" s="120"/>
      <c r="AJK1334" s="120"/>
      <c r="AJL1334" s="120"/>
      <c r="AJM1334" s="120"/>
      <c r="AJN1334" s="120"/>
      <c r="AJO1334" s="120"/>
      <c r="AJP1334" s="120"/>
      <c r="AJQ1334" s="120"/>
      <c r="AJR1334" s="120"/>
      <c r="AJS1334" s="120"/>
      <c r="AJT1334" s="120"/>
      <c r="AJU1334" s="120"/>
      <c r="AJV1334" s="120"/>
      <c r="AJW1334" s="120"/>
      <c r="AJX1334" s="120"/>
      <c r="AJY1334" s="120"/>
      <c r="AJZ1334" s="120"/>
      <c r="AKA1334" s="120"/>
      <c r="AKB1334" s="120"/>
      <c r="AKC1334" s="120"/>
      <c r="AKD1334" s="120"/>
      <c r="AKE1334" s="120"/>
      <c r="AKF1334" s="120"/>
      <c r="AKG1334" s="120"/>
      <c r="AKH1334" s="120"/>
      <c r="AKI1334" s="120"/>
      <c r="AKJ1334" s="120"/>
      <c r="AKK1334" s="120"/>
      <c r="AKL1334" s="120"/>
      <c r="AKM1334" s="120"/>
      <c r="AKN1334" s="120"/>
      <c r="AKO1334" s="120"/>
      <c r="AKP1334" s="120"/>
      <c r="AKQ1334" s="120"/>
      <c r="AKR1334" s="120"/>
      <c r="AKS1334" s="120"/>
      <c r="AKT1334" s="120"/>
      <c r="AKU1334" s="120"/>
      <c r="AKV1334" s="120"/>
      <c r="AKW1334" s="120"/>
      <c r="AKX1334" s="120"/>
      <c r="AKY1334" s="120"/>
      <c r="AKZ1334" s="120"/>
      <c r="ALA1334" s="120"/>
      <c r="ALB1334" s="120"/>
      <c r="ALC1334" s="120"/>
      <c r="ALD1334" s="120"/>
      <c r="ALE1334" s="120"/>
      <c r="ALF1334" s="120"/>
      <c r="ALG1334" s="120"/>
      <c r="ALH1334" s="120"/>
      <c r="ALI1334" s="120"/>
      <c r="ALJ1334" s="120"/>
      <c r="ALK1334" s="120"/>
      <c r="ALL1334" s="120"/>
      <c r="ALM1334" s="120"/>
      <c r="ALN1334" s="120"/>
      <c r="ALO1334" s="120"/>
      <c r="ALP1334" s="120"/>
      <c r="ALQ1334" s="120"/>
      <c r="ALR1334" s="120"/>
      <c r="ALS1334" s="120"/>
      <c r="ALT1334" s="120"/>
      <c r="ALU1334" s="120"/>
      <c r="ALV1334" s="120"/>
      <c r="ALW1334" s="120"/>
      <c r="ALX1334" s="120"/>
      <c r="ALY1334" s="120"/>
      <c r="ALZ1334" s="120"/>
      <c r="AMA1334" s="120"/>
      <c r="AMB1334" s="120"/>
      <c r="AMC1334" s="120"/>
      <c r="AMD1334" s="120"/>
      <c r="AME1334" s="120"/>
      <c r="AMF1334" s="120"/>
      <c r="AMG1334" s="120"/>
      <c r="AMH1334" s="120"/>
      <c r="AMI1334" s="120"/>
      <c r="AMJ1334" s="120"/>
      <c r="AMK1334" s="120"/>
      <c r="AML1334" s="120"/>
      <c r="AMM1334" s="120"/>
      <c r="AMN1334" s="120"/>
      <c r="AMO1334" s="120"/>
      <c r="AMP1334" s="120"/>
      <c r="AMQ1334" s="120"/>
      <c r="AMR1334" s="120"/>
      <c r="AMS1334" s="120"/>
      <c r="AMT1334" s="120"/>
      <c r="AMU1334" s="120"/>
      <c r="AMV1334" s="120"/>
      <c r="AMW1334" s="120"/>
      <c r="AMX1334" s="120"/>
      <c r="AMY1334" s="120"/>
      <c r="AMZ1334" s="120"/>
      <c r="ANA1334" s="120"/>
      <c r="ANB1334" s="120"/>
      <c r="ANC1334" s="120"/>
      <c r="AND1334" s="120"/>
      <c r="ANE1334" s="120"/>
      <c r="ANF1334" s="120"/>
      <c r="ANG1334" s="120"/>
      <c r="ANH1334" s="120"/>
      <c r="ANI1334" s="120"/>
      <c r="ANJ1334" s="120"/>
      <c r="ANK1334" s="120"/>
      <c r="ANL1334" s="120"/>
      <c r="ANM1334" s="120"/>
      <c r="ANN1334" s="120"/>
      <c r="ANO1334" s="120"/>
      <c r="ANP1334" s="120"/>
      <c r="ANQ1334" s="120"/>
      <c r="ANR1334" s="120"/>
      <c r="ANS1334" s="120"/>
      <c r="ANT1334" s="120"/>
      <c r="ANU1334" s="120"/>
      <c r="ANV1334" s="120"/>
      <c r="ANW1334" s="120"/>
      <c r="ANX1334" s="120"/>
      <c r="ANY1334" s="120"/>
      <c r="ANZ1334" s="120"/>
      <c r="AOA1334" s="120"/>
      <c r="AOB1334" s="120"/>
      <c r="AOC1334" s="120"/>
      <c r="AOD1334" s="120"/>
      <c r="AOE1334" s="120"/>
      <c r="AOF1334" s="120"/>
      <c r="AOG1334" s="120"/>
      <c r="AOH1334" s="120"/>
      <c r="AOI1334" s="120"/>
      <c r="AOJ1334" s="120"/>
      <c r="AOK1334" s="120"/>
      <c r="AOL1334" s="120"/>
      <c r="AOM1334" s="120"/>
      <c r="AON1334" s="120"/>
      <c r="AOO1334" s="120"/>
      <c r="AOP1334" s="120"/>
      <c r="AOQ1334" s="120"/>
      <c r="AOR1334" s="120"/>
      <c r="AOS1334" s="120"/>
      <c r="AOT1334" s="120"/>
      <c r="AOU1334" s="120"/>
      <c r="AOV1334" s="120"/>
      <c r="AOW1334" s="120"/>
      <c r="AOX1334" s="120"/>
      <c r="AOY1334" s="120"/>
      <c r="AOZ1334" s="120"/>
      <c r="APA1334" s="120"/>
      <c r="APB1334" s="120"/>
      <c r="APC1334" s="120"/>
      <c r="APD1334" s="120"/>
      <c r="APE1334" s="120"/>
      <c r="APF1334" s="120"/>
      <c r="APG1334" s="120"/>
      <c r="APH1334" s="120"/>
      <c r="API1334" s="120"/>
      <c r="APJ1334" s="120"/>
      <c r="APK1334" s="120"/>
      <c r="APL1334" s="120"/>
      <c r="APM1334" s="120"/>
      <c r="APN1334" s="120"/>
      <c r="APO1334" s="120"/>
      <c r="APP1334" s="120"/>
      <c r="APQ1334" s="120"/>
      <c r="APR1334" s="120"/>
      <c r="APS1334" s="120"/>
      <c r="APT1334" s="120"/>
      <c r="APU1334" s="120"/>
      <c r="APV1334" s="120"/>
      <c r="APW1334" s="120"/>
      <c r="APX1334" s="120"/>
      <c r="APY1334" s="120"/>
      <c r="APZ1334" s="120"/>
      <c r="AQA1334" s="120"/>
      <c r="AQB1334" s="120"/>
      <c r="AQC1334" s="120"/>
      <c r="AQD1334" s="120"/>
      <c r="AQE1334" s="120"/>
      <c r="AQF1334" s="120"/>
      <c r="AQG1334" s="120"/>
      <c r="AQH1334" s="120"/>
      <c r="AQI1334" s="120"/>
      <c r="AQJ1334" s="120"/>
      <c r="AQK1334" s="120"/>
      <c r="AQL1334" s="120"/>
      <c r="AQM1334" s="120"/>
      <c r="AQN1334" s="120"/>
      <c r="AQO1334" s="120"/>
      <c r="AQP1334" s="120"/>
      <c r="AQQ1334" s="120"/>
      <c r="AQR1334" s="120"/>
      <c r="AQS1334" s="120"/>
      <c r="AQT1334" s="120"/>
      <c r="AQU1334" s="120"/>
      <c r="AQV1334" s="120"/>
      <c r="AQW1334" s="120"/>
      <c r="AQX1334" s="120"/>
      <c r="AQY1334" s="120"/>
      <c r="AQZ1334" s="120"/>
      <c r="ARA1334" s="120"/>
      <c r="ARB1334" s="120"/>
      <c r="ARC1334" s="120"/>
      <c r="ARD1334" s="120"/>
      <c r="ARE1334" s="120"/>
      <c r="ARF1334" s="120"/>
      <c r="ARG1334" s="120"/>
      <c r="ARH1334" s="120"/>
      <c r="ARI1334" s="120"/>
      <c r="ARJ1334" s="120"/>
      <c r="ARK1334" s="120"/>
      <c r="ARL1334" s="120"/>
      <c r="ARM1334" s="120"/>
      <c r="ARN1334" s="120"/>
      <c r="ARO1334" s="120"/>
      <c r="ARP1334" s="120"/>
      <c r="ARQ1334" s="120"/>
      <c r="ARR1334" s="120"/>
      <c r="ARS1334" s="120"/>
      <c r="ART1334" s="120"/>
      <c r="ARU1334" s="120"/>
      <c r="ARV1334" s="120"/>
      <c r="ARW1334" s="120"/>
      <c r="ARX1334" s="120"/>
      <c r="ARY1334" s="120"/>
      <c r="ARZ1334" s="120"/>
      <c r="ASA1334" s="120"/>
      <c r="ASB1334" s="120"/>
      <c r="ASC1334" s="120"/>
      <c r="ASD1334" s="120"/>
      <c r="ASE1334" s="120"/>
      <c r="ASF1334" s="120"/>
      <c r="ASG1334" s="120"/>
      <c r="ASH1334" s="120"/>
      <c r="ASI1334" s="120"/>
      <c r="ASJ1334" s="120"/>
      <c r="ASK1334" s="120"/>
      <c r="ASL1334" s="120"/>
      <c r="ASM1334" s="120"/>
      <c r="ASN1334" s="120"/>
      <c r="ASO1334" s="120"/>
      <c r="ASP1334" s="120"/>
      <c r="ASQ1334" s="120"/>
      <c r="ASR1334" s="120"/>
      <c r="ASS1334" s="120"/>
      <c r="AST1334" s="120"/>
      <c r="ASU1334" s="120"/>
      <c r="ASV1334" s="120"/>
      <c r="ASW1334" s="120"/>
      <c r="ASX1334" s="120"/>
      <c r="ASY1334" s="120"/>
      <c r="ASZ1334" s="120"/>
      <c r="ATA1334" s="120"/>
      <c r="ATB1334" s="120"/>
      <c r="ATC1334" s="120"/>
      <c r="ATD1334" s="120"/>
      <c r="ATE1334" s="120"/>
      <c r="ATF1334" s="120"/>
      <c r="ATG1334" s="120"/>
      <c r="ATH1334" s="120"/>
      <c r="ATI1334" s="120"/>
      <c r="ATJ1334" s="120"/>
      <c r="ATK1334" s="120"/>
      <c r="ATL1334" s="120"/>
      <c r="ATM1334" s="120"/>
      <c r="ATN1334" s="120"/>
      <c r="ATO1334" s="120"/>
    </row>
    <row r="1335" spans="1:1211" s="20" customFormat="1" ht="14.1" customHeight="1">
      <c r="A1335" s="112"/>
      <c r="B1335" s="945" t="s">
        <v>2666</v>
      </c>
      <c r="C1335" s="1413" t="s">
        <v>3740</v>
      </c>
      <c r="D1335" s="120"/>
      <c r="E1335" s="701"/>
      <c r="F1335" s="703"/>
      <c r="G1335" s="702"/>
      <c r="H1335" s="702"/>
      <c r="I1335" s="702"/>
      <c r="J1335" s="700"/>
      <c r="K1335" s="112"/>
      <c r="L1335" s="363"/>
      <c r="M1335" s="112"/>
      <c r="N1335" s="362"/>
      <c r="O1335" s="573"/>
      <c r="P1335" s="120"/>
      <c r="Q1335" s="120"/>
      <c r="R1335" s="120"/>
      <c r="S1335" s="120"/>
      <c r="T1335" s="120"/>
      <c r="U1335" s="120"/>
      <c r="V1335" s="120"/>
      <c r="W1335" s="120"/>
      <c r="X1335" s="120"/>
      <c r="Y1335" s="120"/>
      <c r="Z1335" s="120"/>
      <c r="AA1335" s="120"/>
      <c r="AB1335" s="120"/>
      <c r="AC1335" s="120"/>
      <c r="AD1335" s="120"/>
      <c r="AE1335" s="120"/>
      <c r="AF1335" s="120"/>
      <c r="AG1335" s="120"/>
      <c r="AH1335" s="120"/>
      <c r="AI1335" s="120"/>
      <c r="AJ1335" s="120"/>
      <c r="AK1335" s="120"/>
      <c r="AL1335" s="120"/>
      <c r="AM1335" s="120"/>
      <c r="AN1335" s="120"/>
      <c r="AO1335" s="120"/>
      <c r="AP1335" s="120"/>
      <c r="AQ1335" s="120"/>
      <c r="AR1335" s="120"/>
      <c r="AS1335" s="120"/>
      <c r="AT1335" s="120"/>
      <c r="AU1335" s="120"/>
      <c r="AV1335" s="120"/>
      <c r="AW1335" s="120"/>
      <c r="AX1335" s="120"/>
      <c r="AY1335" s="120"/>
      <c r="AZ1335" s="120"/>
      <c r="BA1335" s="120"/>
      <c r="BB1335" s="120"/>
      <c r="BC1335" s="120"/>
      <c r="BD1335" s="120"/>
      <c r="BE1335" s="120"/>
      <c r="BF1335" s="120"/>
      <c r="BG1335" s="120"/>
      <c r="BH1335" s="120"/>
      <c r="BI1335" s="120"/>
      <c r="BJ1335" s="120"/>
      <c r="BK1335" s="120"/>
      <c r="BL1335" s="120"/>
      <c r="BM1335" s="120"/>
      <c r="BN1335" s="120"/>
      <c r="BO1335" s="120"/>
      <c r="BP1335" s="120"/>
      <c r="BQ1335" s="120"/>
      <c r="BR1335" s="120"/>
      <c r="BS1335" s="120"/>
      <c r="BT1335" s="120"/>
      <c r="BU1335" s="120"/>
      <c r="BV1335" s="120"/>
      <c r="BW1335" s="120"/>
      <c r="BX1335" s="120"/>
      <c r="BY1335" s="120"/>
      <c r="BZ1335" s="120"/>
      <c r="CA1335" s="120"/>
      <c r="CB1335" s="120"/>
      <c r="CC1335" s="120"/>
      <c r="CD1335" s="120"/>
      <c r="CE1335" s="120"/>
      <c r="CF1335" s="120"/>
      <c r="CG1335" s="120"/>
      <c r="CH1335" s="120"/>
      <c r="CI1335" s="120"/>
      <c r="CJ1335" s="120"/>
      <c r="CK1335" s="120"/>
      <c r="CL1335" s="120"/>
      <c r="CM1335" s="120"/>
      <c r="CN1335" s="120"/>
      <c r="CO1335" s="120"/>
      <c r="CP1335" s="120"/>
      <c r="CQ1335" s="120"/>
      <c r="CR1335" s="120"/>
      <c r="CS1335" s="120"/>
      <c r="CT1335" s="120"/>
      <c r="CU1335" s="120"/>
      <c r="CV1335" s="120"/>
      <c r="CW1335" s="120"/>
      <c r="CX1335" s="120"/>
      <c r="CY1335" s="120"/>
      <c r="CZ1335" s="120"/>
      <c r="DA1335" s="120"/>
      <c r="DB1335" s="120"/>
      <c r="DC1335" s="120"/>
      <c r="DD1335" s="120"/>
      <c r="DE1335" s="120"/>
      <c r="DF1335" s="120"/>
      <c r="DG1335" s="120"/>
      <c r="DH1335" s="120"/>
      <c r="DI1335" s="120"/>
      <c r="DJ1335" s="120"/>
      <c r="DK1335" s="120"/>
      <c r="DL1335" s="120"/>
      <c r="DM1335" s="120"/>
      <c r="DN1335" s="120"/>
      <c r="DO1335" s="120"/>
      <c r="DP1335" s="120"/>
      <c r="DQ1335" s="120"/>
      <c r="DR1335" s="120"/>
      <c r="DS1335" s="120"/>
      <c r="DT1335" s="120"/>
      <c r="DU1335" s="120"/>
      <c r="DV1335" s="120"/>
      <c r="DW1335" s="120"/>
      <c r="DX1335" s="120"/>
      <c r="DY1335" s="120"/>
      <c r="DZ1335" s="120"/>
      <c r="EA1335" s="120"/>
      <c r="EB1335" s="120"/>
      <c r="EC1335" s="120"/>
      <c r="ED1335" s="120"/>
      <c r="EE1335" s="120"/>
      <c r="EF1335" s="120"/>
      <c r="EG1335" s="120"/>
      <c r="EH1335" s="120"/>
      <c r="EI1335" s="120"/>
      <c r="EJ1335" s="120"/>
      <c r="EK1335" s="120"/>
      <c r="EL1335" s="120"/>
      <c r="EM1335" s="120"/>
      <c r="EN1335" s="120"/>
      <c r="EO1335" s="120"/>
      <c r="EP1335" s="120"/>
      <c r="EQ1335" s="120"/>
      <c r="ER1335" s="120"/>
      <c r="ES1335" s="120"/>
      <c r="ET1335" s="120"/>
      <c r="EU1335" s="120"/>
      <c r="EV1335" s="120"/>
      <c r="EW1335" s="120"/>
      <c r="EX1335" s="120"/>
      <c r="EY1335" s="120"/>
      <c r="EZ1335" s="120"/>
      <c r="FA1335" s="120"/>
      <c r="FB1335" s="120"/>
      <c r="FC1335" s="120"/>
      <c r="FD1335" s="120"/>
      <c r="FE1335" s="120"/>
      <c r="FF1335" s="120"/>
      <c r="FG1335" s="120"/>
      <c r="FH1335" s="120"/>
      <c r="FI1335" s="120"/>
      <c r="FJ1335" s="120"/>
      <c r="FK1335" s="120"/>
      <c r="FL1335" s="120"/>
      <c r="FM1335" s="120"/>
      <c r="FN1335" s="120"/>
      <c r="FO1335" s="120"/>
      <c r="FP1335" s="120"/>
      <c r="FQ1335" s="120"/>
      <c r="FR1335" s="120"/>
      <c r="FS1335" s="120"/>
      <c r="FT1335" s="120"/>
      <c r="FU1335" s="120"/>
      <c r="FV1335" s="120"/>
      <c r="FW1335" s="120"/>
      <c r="FX1335" s="120"/>
      <c r="FY1335" s="120"/>
      <c r="FZ1335" s="120"/>
      <c r="GA1335" s="120"/>
      <c r="GB1335" s="120"/>
      <c r="GC1335" s="120"/>
      <c r="GD1335" s="120"/>
      <c r="GE1335" s="120"/>
      <c r="GF1335" s="120"/>
      <c r="GG1335" s="120"/>
      <c r="GH1335" s="120"/>
      <c r="GI1335" s="120"/>
      <c r="GJ1335" s="120"/>
      <c r="GK1335" s="120"/>
      <c r="GL1335" s="120"/>
      <c r="GM1335" s="120"/>
      <c r="GN1335" s="120"/>
      <c r="GO1335" s="120"/>
      <c r="GP1335" s="120"/>
      <c r="GQ1335" s="120"/>
      <c r="GR1335" s="120"/>
      <c r="GS1335" s="120"/>
      <c r="GT1335" s="120"/>
      <c r="GU1335" s="120"/>
      <c r="GV1335" s="120"/>
      <c r="GW1335" s="120"/>
      <c r="GX1335" s="120"/>
      <c r="GY1335" s="120"/>
      <c r="GZ1335" s="120"/>
      <c r="HA1335" s="120"/>
      <c r="HB1335" s="120"/>
      <c r="HC1335" s="120"/>
      <c r="HD1335" s="120"/>
      <c r="HE1335" s="120"/>
      <c r="HF1335" s="120"/>
      <c r="HG1335" s="120"/>
      <c r="HH1335" s="120"/>
      <c r="HI1335" s="120"/>
      <c r="HJ1335" s="120"/>
      <c r="HK1335" s="120"/>
      <c r="HL1335" s="120"/>
      <c r="HM1335" s="120"/>
      <c r="HN1335" s="120"/>
      <c r="HO1335" s="120"/>
      <c r="HP1335" s="120"/>
      <c r="HQ1335" s="120"/>
      <c r="HR1335" s="120"/>
      <c r="HS1335" s="120"/>
      <c r="HT1335" s="120"/>
      <c r="HU1335" s="120"/>
      <c r="HV1335" s="120"/>
      <c r="HW1335" s="120"/>
      <c r="HX1335" s="120"/>
      <c r="HY1335" s="120"/>
      <c r="HZ1335" s="120"/>
      <c r="IA1335" s="120"/>
      <c r="IB1335" s="120"/>
      <c r="IC1335" s="120"/>
      <c r="ID1335" s="120"/>
      <c r="IE1335" s="120"/>
      <c r="IF1335" s="120"/>
      <c r="IG1335" s="120"/>
      <c r="IH1335" s="120"/>
      <c r="II1335" s="120"/>
      <c r="IJ1335" s="120"/>
      <c r="IK1335" s="120"/>
      <c r="IL1335" s="120"/>
      <c r="IM1335" s="120"/>
      <c r="IN1335" s="120"/>
      <c r="IO1335" s="120"/>
      <c r="IP1335" s="120"/>
      <c r="IQ1335" s="120"/>
      <c r="IR1335" s="120"/>
      <c r="IS1335" s="120"/>
      <c r="IT1335" s="120"/>
      <c r="IU1335" s="120"/>
      <c r="IV1335" s="120"/>
      <c r="IW1335" s="120"/>
      <c r="IX1335" s="120"/>
      <c r="IY1335" s="120"/>
      <c r="IZ1335" s="120"/>
      <c r="JA1335" s="120"/>
      <c r="JB1335" s="120"/>
      <c r="JC1335" s="120"/>
      <c r="JD1335" s="120"/>
      <c r="JE1335" s="120"/>
      <c r="JF1335" s="120"/>
      <c r="JG1335" s="120"/>
      <c r="JH1335" s="120"/>
      <c r="JI1335" s="120"/>
      <c r="JJ1335" s="120"/>
      <c r="JK1335" s="120"/>
      <c r="JL1335" s="120"/>
      <c r="JM1335" s="120"/>
      <c r="JN1335" s="120"/>
      <c r="JO1335" s="120"/>
      <c r="JP1335" s="120"/>
      <c r="JQ1335" s="120"/>
      <c r="JR1335" s="120"/>
      <c r="JS1335" s="120"/>
      <c r="JT1335" s="120"/>
      <c r="JU1335" s="120"/>
      <c r="JV1335" s="120"/>
      <c r="JW1335" s="120"/>
      <c r="JX1335" s="120"/>
      <c r="JY1335" s="120"/>
      <c r="JZ1335" s="120"/>
      <c r="KA1335" s="120"/>
      <c r="KB1335" s="120"/>
      <c r="KC1335" s="120"/>
      <c r="KD1335" s="120"/>
      <c r="KE1335" s="120"/>
      <c r="KF1335" s="120"/>
      <c r="KG1335" s="120"/>
      <c r="KH1335" s="120"/>
      <c r="KI1335" s="120"/>
      <c r="KJ1335" s="120"/>
      <c r="KK1335" s="120"/>
      <c r="KL1335" s="120"/>
      <c r="KM1335" s="120"/>
      <c r="KN1335" s="120"/>
      <c r="KO1335" s="120"/>
      <c r="KP1335" s="120"/>
      <c r="KQ1335" s="120"/>
      <c r="KR1335" s="120"/>
      <c r="KS1335" s="120"/>
      <c r="KT1335" s="120"/>
      <c r="KU1335" s="120"/>
      <c r="KV1335" s="120"/>
      <c r="KW1335" s="120"/>
      <c r="KX1335" s="120"/>
      <c r="KY1335" s="120"/>
      <c r="KZ1335" s="120"/>
      <c r="LA1335" s="120"/>
      <c r="LB1335" s="120"/>
      <c r="LC1335" s="120"/>
      <c r="LD1335" s="120"/>
      <c r="LE1335" s="120"/>
      <c r="LF1335" s="120"/>
      <c r="LG1335" s="120"/>
      <c r="LH1335" s="120"/>
      <c r="LI1335" s="120"/>
      <c r="LJ1335" s="120"/>
      <c r="LK1335" s="120"/>
      <c r="LL1335" s="120"/>
      <c r="LM1335" s="120"/>
      <c r="LN1335" s="120"/>
      <c r="LO1335" s="120"/>
      <c r="LP1335" s="120"/>
      <c r="LQ1335" s="120"/>
      <c r="LR1335" s="120"/>
      <c r="LS1335" s="120"/>
      <c r="LT1335" s="120"/>
      <c r="LU1335" s="120"/>
      <c r="LV1335" s="120"/>
      <c r="LW1335" s="120"/>
      <c r="LX1335" s="120"/>
      <c r="LY1335" s="120"/>
      <c r="LZ1335" s="120"/>
      <c r="MA1335" s="120"/>
      <c r="MB1335" s="120"/>
      <c r="MC1335" s="120"/>
      <c r="MD1335" s="120"/>
      <c r="ME1335" s="120"/>
      <c r="MF1335" s="120"/>
      <c r="MG1335" s="120"/>
      <c r="MH1335" s="120"/>
      <c r="MI1335" s="120"/>
      <c r="MJ1335" s="120"/>
      <c r="MK1335" s="120"/>
      <c r="ML1335" s="120"/>
      <c r="MM1335" s="120"/>
      <c r="MN1335" s="120"/>
      <c r="MO1335" s="120"/>
      <c r="MP1335" s="120"/>
      <c r="MQ1335" s="120"/>
      <c r="MR1335" s="120"/>
      <c r="MS1335" s="120"/>
      <c r="MT1335" s="120"/>
      <c r="MU1335" s="120"/>
      <c r="MV1335" s="120"/>
      <c r="MW1335" s="120"/>
      <c r="MX1335" s="120"/>
      <c r="MY1335" s="120"/>
      <c r="MZ1335" s="120"/>
      <c r="NA1335" s="120"/>
      <c r="NB1335" s="120"/>
      <c r="NC1335" s="120"/>
      <c r="ND1335" s="120"/>
      <c r="NE1335" s="120"/>
      <c r="NF1335" s="120"/>
      <c r="NG1335" s="120"/>
      <c r="NH1335" s="120"/>
      <c r="NI1335" s="120"/>
      <c r="NJ1335" s="120"/>
      <c r="NK1335" s="120"/>
      <c r="NL1335" s="120"/>
      <c r="NM1335" s="120"/>
      <c r="NN1335" s="120"/>
      <c r="NO1335" s="120"/>
      <c r="NP1335" s="120"/>
      <c r="NQ1335" s="120"/>
      <c r="NR1335" s="120"/>
      <c r="NS1335" s="120"/>
      <c r="NT1335" s="120"/>
      <c r="NU1335" s="120"/>
      <c r="NV1335" s="120"/>
      <c r="NW1335" s="120"/>
      <c r="NX1335" s="120"/>
      <c r="NY1335" s="120"/>
      <c r="NZ1335" s="120"/>
      <c r="OA1335" s="120"/>
      <c r="OB1335" s="120"/>
      <c r="OC1335" s="120"/>
      <c r="OD1335" s="120"/>
      <c r="OE1335" s="120"/>
      <c r="OF1335" s="120"/>
      <c r="OG1335" s="120"/>
      <c r="OH1335" s="120"/>
      <c r="OI1335" s="120"/>
      <c r="OJ1335" s="120"/>
      <c r="OK1335" s="120"/>
      <c r="OL1335" s="120"/>
      <c r="OM1335" s="120"/>
      <c r="ON1335" s="120"/>
      <c r="OO1335" s="120"/>
      <c r="OP1335" s="120"/>
      <c r="OQ1335" s="120"/>
      <c r="OR1335" s="120"/>
      <c r="OS1335" s="120"/>
      <c r="OT1335" s="120"/>
      <c r="OU1335" s="120"/>
      <c r="OV1335" s="120"/>
      <c r="OW1335" s="120"/>
      <c r="OX1335" s="120"/>
      <c r="OY1335" s="120"/>
      <c r="OZ1335" s="120"/>
      <c r="PA1335" s="120"/>
      <c r="PB1335" s="120"/>
      <c r="PC1335" s="120"/>
      <c r="PD1335" s="120"/>
      <c r="PE1335" s="120"/>
      <c r="PF1335" s="120"/>
      <c r="PG1335" s="120"/>
      <c r="PH1335" s="120"/>
      <c r="PI1335" s="120"/>
      <c r="PJ1335" s="120"/>
      <c r="PK1335" s="120"/>
      <c r="PL1335" s="120"/>
      <c r="PM1335" s="120"/>
      <c r="PN1335" s="120"/>
      <c r="PO1335" s="120"/>
      <c r="PP1335" s="120"/>
      <c r="PQ1335" s="120"/>
      <c r="PR1335" s="120"/>
      <c r="PS1335" s="120"/>
      <c r="PT1335" s="120"/>
      <c r="PU1335" s="120"/>
      <c r="PV1335" s="120"/>
      <c r="PW1335" s="120"/>
      <c r="PX1335" s="120"/>
      <c r="PY1335" s="120"/>
      <c r="PZ1335" s="120"/>
      <c r="QA1335" s="120"/>
      <c r="QB1335" s="120"/>
      <c r="QC1335" s="120"/>
      <c r="QD1335" s="120"/>
      <c r="QE1335" s="120"/>
      <c r="QF1335" s="120"/>
      <c r="QG1335" s="120"/>
      <c r="QH1335" s="120"/>
      <c r="QI1335" s="120"/>
      <c r="QJ1335" s="120"/>
      <c r="QK1335" s="120"/>
      <c r="QL1335" s="120"/>
      <c r="QM1335" s="120"/>
      <c r="QN1335" s="120"/>
      <c r="QO1335" s="120"/>
      <c r="QP1335" s="120"/>
      <c r="QQ1335" s="120"/>
      <c r="QR1335" s="120"/>
      <c r="QS1335" s="120"/>
      <c r="QT1335" s="120"/>
      <c r="QU1335" s="120"/>
      <c r="QV1335" s="120"/>
      <c r="QW1335" s="120"/>
      <c r="QX1335" s="120"/>
      <c r="QY1335" s="120"/>
      <c r="QZ1335" s="120"/>
      <c r="RA1335" s="120"/>
      <c r="RB1335" s="120"/>
      <c r="RC1335" s="120"/>
      <c r="RD1335" s="120"/>
      <c r="RE1335" s="120"/>
      <c r="RF1335" s="120"/>
      <c r="RG1335" s="120"/>
      <c r="RH1335" s="120"/>
      <c r="RI1335" s="120"/>
      <c r="RJ1335" s="120"/>
      <c r="RK1335" s="120"/>
      <c r="RL1335" s="120"/>
      <c r="RM1335" s="120"/>
      <c r="RN1335" s="120"/>
      <c r="RO1335" s="120"/>
      <c r="RP1335" s="120"/>
      <c r="RQ1335" s="120"/>
      <c r="RR1335" s="120"/>
      <c r="RS1335" s="120"/>
      <c r="RT1335" s="120"/>
      <c r="RU1335" s="120"/>
      <c r="RV1335" s="120"/>
      <c r="RW1335" s="120"/>
      <c r="RX1335" s="120"/>
      <c r="RY1335" s="120"/>
      <c r="RZ1335" s="120"/>
      <c r="SA1335" s="120"/>
      <c r="SB1335" s="120"/>
      <c r="SC1335" s="120"/>
      <c r="SD1335" s="120"/>
      <c r="SE1335" s="120"/>
      <c r="SF1335" s="120"/>
      <c r="SG1335" s="120"/>
      <c r="SH1335" s="120"/>
      <c r="SI1335" s="120"/>
      <c r="SJ1335" s="120"/>
      <c r="SK1335" s="120"/>
      <c r="SL1335" s="120"/>
      <c r="SM1335" s="120"/>
      <c r="SN1335" s="120"/>
      <c r="SO1335" s="120"/>
      <c r="SP1335" s="120"/>
      <c r="SQ1335" s="120"/>
      <c r="SR1335" s="120"/>
      <c r="SS1335" s="120"/>
      <c r="ST1335" s="120"/>
      <c r="SU1335" s="120"/>
      <c r="SV1335" s="120"/>
      <c r="SW1335" s="120"/>
      <c r="SX1335" s="120"/>
      <c r="SY1335" s="120"/>
      <c r="SZ1335" s="120"/>
      <c r="TA1335" s="120"/>
      <c r="TB1335" s="120"/>
      <c r="TC1335" s="120"/>
      <c r="TD1335" s="120"/>
      <c r="TE1335" s="120"/>
      <c r="TF1335" s="120"/>
      <c r="TG1335" s="120"/>
      <c r="TH1335" s="120"/>
      <c r="TI1335" s="120"/>
      <c r="TJ1335" s="120"/>
      <c r="TK1335" s="120"/>
      <c r="TL1335" s="120"/>
      <c r="TM1335" s="120"/>
      <c r="TN1335" s="120"/>
      <c r="TO1335" s="120"/>
      <c r="TP1335" s="120"/>
      <c r="TQ1335" s="120"/>
      <c r="TR1335" s="120"/>
      <c r="TS1335" s="120"/>
      <c r="TT1335" s="120"/>
      <c r="TU1335" s="120"/>
      <c r="TV1335" s="120"/>
      <c r="TW1335" s="120"/>
      <c r="TX1335" s="120"/>
      <c r="TY1335" s="120"/>
      <c r="TZ1335" s="120"/>
      <c r="UA1335" s="120"/>
      <c r="UB1335" s="120"/>
      <c r="UC1335" s="120"/>
      <c r="UD1335" s="120"/>
      <c r="UE1335" s="120"/>
      <c r="UF1335" s="120"/>
      <c r="UG1335" s="120"/>
      <c r="UH1335" s="120"/>
      <c r="UI1335" s="120"/>
      <c r="UJ1335" s="120"/>
      <c r="UK1335" s="120"/>
      <c r="UL1335" s="120"/>
      <c r="UM1335" s="120"/>
      <c r="UN1335" s="120"/>
      <c r="UO1335" s="120"/>
      <c r="UP1335" s="120"/>
      <c r="UQ1335" s="120"/>
      <c r="UR1335" s="120"/>
      <c r="US1335" s="120"/>
      <c r="UT1335" s="120"/>
      <c r="UU1335" s="120"/>
      <c r="UV1335" s="120"/>
      <c r="UW1335" s="120"/>
      <c r="UX1335" s="120"/>
      <c r="UY1335" s="120"/>
      <c r="UZ1335" s="120"/>
      <c r="VA1335" s="120"/>
      <c r="VB1335" s="120"/>
      <c r="VC1335" s="120"/>
      <c r="VD1335" s="120"/>
      <c r="VE1335" s="120"/>
      <c r="VF1335" s="120"/>
      <c r="VG1335" s="120"/>
      <c r="VH1335" s="120"/>
      <c r="VI1335" s="120"/>
      <c r="VJ1335" s="120"/>
      <c r="VK1335" s="120"/>
      <c r="VL1335" s="120"/>
      <c r="VM1335" s="120"/>
      <c r="VN1335" s="120"/>
      <c r="VO1335" s="120"/>
      <c r="VP1335" s="120"/>
      <c r="VQ1335" s="120"/>
      <c r="VR1335" s="120"/>
      <c r="VS1335" s="120"/>
      <c r="VT1335" s="120"/>
      <c r="VU1335" s="120"/>
      <c r="VV1335" s="120"/>
      <c r="VW1335" s="120"/>
      <c r="VX1335" s="120"/>
      <c r="VY1335" s="120"/>
      <c r="VZ1335" s="120"/>
      <c r="WA1335" s="120"/>
      <c r="WB1335" s="120"/>
      <c r="WC1335" s="120"/>
      <c r="WD1335" s="120"/>
      <c r="WE1335" s="120"/>
      <c r="WF1335" s="120"/>
      <c r="WG1335" s="120"/>
      <c r="WH1335" s="120"/>
      <c r="WI1335" s="120"/>
      <c r="WJ1335" s="120"/>
      <c r="WK1335" s="120"/>
      <c r="WL1335" s="120"/>
      <c r="WM1335" s="120"/>
      <c r="WN1335" s="120"/>
      <c r="WO1335" s="120"/>
      <c r="WP1335" s="120"/>
      <c r="WQ1335" s="120"/>
      <c r="WR1335" s="120"/>
      <c r="WS1335" s="120"/>
      <c r="WT1335" s="120"/>
      <c r="WU1335" s="120"/>
      <c r="WV1335" s="120"/>
      <c r="WW1335" s="120"/>
      <c r="WX1335" s="120"/>
      <c r="WY1335" s="120"/>
      <c r="WZ1335" s="120"/>
      <c r="XA1335" s="120"/>
      <c r="XB1335" s="120"/>
      <c r="XC1335" s="120"/>
      <c r="XD1335" s="120"/>
      <c r="XE1335" s="120"/>
      <c r="XF1335" s="120"/>
      <c r="XG1335" s="120"/>
      <c r="XH1335" s="120"/>
      <c r="XI1335" s="120"/>
      <c r="XJ1335" s="120"/>
      <c r="XK1335" s="120"/>
      <c r="XL1335" s="120"/>
      <c r="XM1335" s="120"/>
      <c r="XN1335" s="120"/>
      <c r="XO1335" s="120"/>
      <c r="XP1335" s="120"/>
      <c r="XQ1335" s="120"/>
      <c r="XR1335" s="120"/>
      <c r="XS1335" s="120"/>
      <c r="XT1335" s="120"/>
      <c r="XU1335" s="120"/>
      <c r="XV1335" s="120"/>
      <c r="XW1335" s="120"/>
      <c r="XX1335" s="120"/>
      <c r="XY1335" s="120"/>
      <c r="XZ1335" s="120"/>
      <c r="YA1335" s="120"/>
      <c r="YB1335" s="120"/>
      <c r="YC1335" s="120"/>
      <c r="YD1335" s="120"/>
      <c r="YE1335" s="120"/>
      <c r="YF1335" s="120"/>
      <c r="YG1335" s="120"/>
      <c r="YH1335" s="120"/>
      <c r="YI1335" s="120"/>
      <c r="YJ1335" s="120"/>
      <c r="YK1335" s="120"/>
      <c r="YL1335" s="120"/>
      <c r="YM1335" s="120"/>
      <c r="YN1335" s="120"/>
      <c r="YO1335" s="120"/>
      <c r="YP1335" s="120"/>
      <c r="YQ1335" s="120"/>
      <c r="YR1335" s="120"/>
      <c r="YS1335" s="120"/>
      <c r="YT1335" s="120"/>
      <c r="YU1335" s="120"/>
      <c r="YV1335" s="120"/>
      <c r="YW1335" s="120"/>
      <c r="YX1335" s="120"/>
      <c r="YY1335" s="120"/>
      <c r="YZ1335" s="120"/>
      <c r="ZA1335" s="120"/>
      <c r="ZB1335" s="120"/>
      <c r="ZC1335" s="120"/>
      <c r="ZD1335" s="120"/>
      <c r="ZE1335" s="120"/>
      <c r="ZF1335" s="120"/>
      <c r="ZG1335" s="120"/>
      <c r="ZH1335" s="120"/>
      <c r="ZI1335" s="120"/>
      <c r="ZJ1335" s="120"/>
      <c r="ZK1335" s="120"/>
      <c r="ZL1335" s="120"/>
      <c r="ZM1335" s="120"/>
      <c r="ZN1335" s="120"/>
      <c r="ZO1335" s="120"/>
      <c r="ZP1335" s="120"/>
      <c r="ZQ1335" s="120"/>
      <c r="ZR1335" s="120"/>
      <c r="ZS1335" s="120"/>
      <c r="ZT1335" s="120"/>
      <c r="ZU1335" s="120"/>
      <c r="ZV1335" s="120"/>
      <c r="ZW1335" s="120"/>
      <c r="ZX1335" s="120"/>
      <c r="ZY1335" s="120"/>
      <c r="ZZ1335" s="120"/>
      <c r="AAA1335" s="120"/>
      <c r="AAB1335" s="120"/>
      <c r="AAC1335" s="120"/>
      <c r="AAD1335" s="120"/>
      <c r="AAE1335" s="120"/>
      <c r="AAF1335" s="120"/>
      <c r="AAG1335" s="120"/>
      <c r="AAH1335" s="120"/>
      <c r="AAI1335" s="120"/>
      <c r="AAJ1335" s="120"/>
      <c r="AAK1335" s="120"/>
      <c r="AAL1335" s="120"/>
      <c r="AAM1335" s="120"/>
      <c r="AAN1335" s="120"/>
      <c r="AAO1335" s="120"/>
      <c r="AAP1335" s="120"/>
      <c r="AAQ1335" s="120"/>
      <c r="AAR1335" s="120"/>
      <c r="AAS1335" s="120"/>
      <c r="AAT1335" s="120"/>
      <c r="AAU1335" s="120"/>
      <c r="AAV1335" s="120"/>
      <c r="AAW1335" s="120"/>
      <c r="AAX1335" s="120"/>
      <c r="AAY1335" s="120"/>
      <c r="AAZ1335" s="120"/>
      <c r="ABA1335" s="120"/>
      <c r="ABB1335" s="120"/>
      <c r="ABC1335" s="120"/>
      <c r="ABD1335" s="120"/>
      <c r="ABE1335" s="120"/>
      <c r="ABF1335" s="120"/>
      <c r="ABG1335" s="120"/>
      <c r="ABH1335" s="120"/>
      <c r="ABI1335" s="120"/>
      <c r="ABJ1335" s="120"/>
      <c r="ABK1335" s="120"/>
      <c r="ABL1335" s="120"/>
      <c r="ABM1335" s="120"/>
      <c r="ABN1335" s="120"/>
      <c r="ABO1335" s="120"/>
      <c r="ABP1335" s="120"/>
      <c r="ABQ1335" s="120"/>
      <c r="ABR1335" s="120"/>
      <c r="ABS1335" s="120"/>
      <c r="ABT1335" s="120"/>
      <c r="ABU1335" s="120"/>
      <c r="ABV1335" s="120"/>
      <c r="ABW1335" s="120"/>
      <c r="ABX1335" s="120"/>
      <c r="ABY1335" s="120"/>
      <c r="ABZ1335" s="120"/>
      <c r="ACA1335" s="120"/>
      <c r="ACB1335" s="120"/>
      <c r="ACC1335" s="120"/>
      <c r="ACD1335" s="120"/>
      <c r="ACE1335" s="120"/>
      <c r="ACF1335" s="120"/>
      <c r="ACG1335" s="120"/>
      <c r="ACH1335" s="120"/>
      <c r="ACI1335" s="120"/>
      <c r="ACJ1335" s="120"/>
      <c r="ACK1335" s="120"/>
      <c r="ACL1335" s="120"/>
      <c r="ACM1335" s="120"/>
      <c r="ACN1335" s="120"/>
      <c r="ACO1335" s="120"/>
      <c r="ACP1335" s="120"/>
      <c r="ACQ1335" s="120"/>
      <c r="ACR1335" s="120"/>
      <c r="ACS1335" s="120"/>
      <c r="ACT1335" s="120"/>
      <c r="ACU1335" s="120"/>
      <c r="ACV1335" s="120"/>
      <c r="ACW1335" s="120"/>
      <c r="ACX1335" s="120"/>
      <c r="ACY1335" s="120"/>
      <c r="ACZ1335" s="120"/>
      <c r="ADA1335" s="120"/>
      <c r="ADB1335" s="120"/>
      <c r="ADC1335" s="120"/>
      <c r="ADD1335" s="120"/>
      <c r="ADE1335" s="120"/>
      <c r="ADF1335" s="120"/>
      <c r="ADG1335" s="120"/>
      <c r="ADH1335" s="120"/>
      <c r="ADI1335" s="120"/>
      <c r="ADJ1335" s="120"/>
      <c r="ADK1335" s="120"/>
      <c r="ADL1335" s="120"/>
      <c r="ADM1335" s="120"/>
      <c r="ADN1335" s="120"/>
      <c r="ADO1335" s="120"/>
      <c r="ADP1335" s="120"/>
      <c r="ADQ1335" s="120"/>
      <c r="ADR1335" s="120"/>
      <c r="ADS1335" s="120"/>
      <c r="ADT1335" s="120"/>
      <c r="ADU1335" s="120"/>
      <c r="ADV1335" s="120"/>
      <c r="ADW1335" s="120"/>
      <c r="ADX1335" s="120"/>
      <c r="ADY1335" s="120"/>
      <c r="ADZ1335" s="120"/>
      <c r="AEA1335" s="120"/>
      <c r="AEB1335" s="120"/>
      <c r="AEC1335" s="120"/>
      <c r="AED1335" s="120"/>
      <c r="AEE1335" s="120"/>
      <c r="AEF1335" s="120"/>
      <c r="AEG1335" s="120"/>
      <c r="AEH1335" s="120"/>
      <c r="AEI1335" s="120"/>
      <c r="AEJ1335" s="120"/>
      <c r="AEK1335" s="120"/>
      <c r="AEL1335" s="120"/>
      <c r="AEM1335" s="120"/>
      <c r="AEN1335" s="120"/>
      <c r="AEO1335" s="120"/>
      <c r="AEP1335" s="120"/>
      <c r="AEQ1335" s="120"/>
      <c r="AER1335" s="120"/>
      <c r="AES1335" s="120"/>
      <c r="AET1335" s="120"/>
      <c r="AEU1335" s="120"/>
      <c r="AEV1335" s="120"/>
      <c r="AEW1335" s="120"/>
      <c r="AEX1335" s="120"/>
      <c r="AEY1335" s="120"/>
      <c r="AEZ1335" s="120"/>
      <c r="AFA1335" s="120"/>
      <c r="AFB1335" s="120"/>
      <c r="AFC1335" s="120"/>
      <c r="AFD1335" s="120"/>
      <c r="AFE1335" s="120"/>
      <c r="AFF1335" s="120"/>
      <c r="AFG1335" s="120"/>
      <c r="AFH1335" s="120"/>
      <c r="AFI1335" s="120"/>
      <c r="AFJ1335" s="120"/>
      <c r="AFK1335" s="120"/>
      <c r="AFL1335" s="120"/>
      <c r="AFM1335" s="120"/>
      <c r="AFN1335" s="120"/>
      <c r="AFO1335" s="120"/>
      <c r="AFP1335" s="120"/>
      <c r="AFQ1335" s="120"/>
      <c r="AFR1335" s="120"/>
      <c r="AFS1335" s="120"/>
      <c r="AFT1335" s="120"/>
      <c r="AFU1335" s="120"/>
      <c r="AFV1335" s="120"/>
      <c r="AFW1335" s="120"/>
      <c r="AFX1335" s="120"/>
      <c r="AFY1335" s="120"/>
      <c r="AFZ1335" s="120"/>
      <c r="AGA1335" s="120"/>
      <c r="AGB1335" s="120"/>
      <c r="AGC1335" s="120"/>
      <c r="AGD1335" s="120"/>
      <c r="AGE1335" s="120"/>
      <c r="AGF1335" s="120"/>
      <c r="AGG1335" s="120"/>
      <c r="AGH1335" s="120"/>
      <c r="AGI1335" s="120"/>
      <c r="AGJ1335" s="120"/>
      <c r="AGK1335" s="120"/>
      <c r="AGL1335" s="120"/>
      <c r="AGM1335" s="120"/>
      <c r="AGN1335" s="120"/>
      <c r="AGO1335" s="120"/>
      <c r="AGP1335" s="120"/>
      <c r="AGQ1335" s="120"/>
      <c r="AGR1335" s="120"/>
      <c r="AGS1335" s="120"/>
      <c r="AGT1335" s="120"/>
      <c r="AGU1335" s="120"/>
      <c r="AGV1335" s="120"/>
      <c r="AGW1335" s="120"/>
      <c r="AGX1335" s="120"/>
      <c r="AGY1335" s="120"/>
      <c r="AGZ1335" s="120"/>
      <c r="AHA1335" s="120"/>
      <c r="AHB1335" s="120"/>
      <c r="AHC1335" s="120"/>
      <c r="AHD1335" s="120"/>
      <c r="AHE1335" s="120"/>
      <c r="AHF1335" s="120"/>
      <c r="AHG1335" s="120"/>
      <c r="AHH1335" s="120"/>
      <c r="AHI1335" s="120"/>
      <c r="AHJ1335" s="120"/>
      <c r="AHK1335" s="120"/>
      <c r="AHL1335" s="120"/>
      <c r="AHM1335" s="120"/>
      <c r="AHN1335" s="120"/>
      <c r="AHO1335" s="120"/>
      <c r="AHP1335" s="120"/>
      <c r="AHQ1335" s="120"/>
      <c r="AHR1335" s="120"/>
      <c r="AHS1335" s="120"/>
      <c r="AHT1335" s="120"/>
      <c r="AHU1335" s="120"/>
      <c r="AHV1335" s="120"/>
      <c r="AHW1335" s="120"/>
      <c r="AHX1335" s="120"/>
      <c r="AHY1335" s="120"/>
      <c r="AHZ1335" s="120"/>
      <c r="AIA1335" s="120"/>
      <c r="AIB1335" s="120"/>
      <c r="AIC1335" s="120"/>
      <c r="AID1335" s="120"/>
      <c r="AIE1335" s="120"/>
      <c r="AIF1335" s="120"/>
      <c r="AIG1335" s="120"/>
      <c r="AIH1335" s="120"/>
      <c r="AII1335" s="120"/>
      <c r="AIJ1335" s="120"/>
      <c r="AIK1335" s="120"/>
      <c r="AIL1335" s="120"/>
      <c r="AIM1335" s="120"/>
      <c r="AIN1335" s="120"/>
      <c r="AIO1335" s="120"/>
      <c r="AIP1335" s="120"/>
      <c r="AIQ1335" s="120"/>
      <c r="AIR1335" s="120"/>
      <c r="AIS1335" s="120"/>
      <c r="AIT1335" s="120"/>
      <c r="AIU1335" s="120"/>
      <c r="AIV1335" s="120"/>
      <c r="AIW1335" s="120"/>
      <c r="AIX1335" s="120"/>
      <c r="AIY1335" s="120"/>
      <c r="AIZ1335" s="120"/>
      <c r="AJA1335" s="120"/>
      <c r="AJB1335" s="120"/>
      <c r="AJC1335" s="120"/>
      <c r="AJD1335" s="120"/>
      <c r="AJE1335" s="120"/>
      <c r="AJF1335" s="120"/>
      <c r="AJG1335" s="120"/>
      <c r="AJH1335" s="120"/>
      <c r="AJI1335" s="120"/>
      <c r="AJJ1335" s="120"/>
      <c r="AJK1335" s="120"/>
      <c r="AJL1335" s="120"/>
      <c r="AJM1335" s="120"/>
      <c r="AJN1335" s="120"/>
      <c r="AJO1335" s="120"/>
      <c r="AJP1335" s="120"/>
      <c r="AJQ1335" s="120"/>
      <c r="AJR1335" s="120"/>
      <c r="AJS1335" s="120"/>
      <c r="AJT1335" s="120"/>
      <c r="AJU1335" s="120"/>
      <c r="AJV1335" s="120"/>
      <c r="AJW1335" s="120"/>
      <c r="AJX1335" s="120"/>
      <c r="AJY1335" s="120"/>
      <c r="AJZ1335" s="120"/>
      <c r="AKA1335" s="120"/>
      <c r="AKB1335" s="120"/>
      <c r="AKC1335" s="120"/>
      <c r="AKD1335" s="120"/>
      <c r="AKE1335" s="120"/>
      <c r="AKF1335" s="120"/>
      <c r="AKG1335" s="120"/>
      <c r="AKH1335" s="120"/>
      <c r="AKI1335" s="120"/>
      <c r="AKJ1335" s="120"/>
      <c r="AKK1335" s="120"/>
      <c r="AKL1335" s="120"/>
      <c r="AKM1335" s="120"/>
      <c r="AKN1335" s="120"/>
      <c r="AKO1335" s="120"/>
      <c r="AKP1335" s="120"/>
      <c r="AKQ1335" s="120"/>
      <c r="AKR1335" s="120"/>
      <c r="AKS1335" s="120"/>
      <c r="AKT1335" s="120"/>
      <c r="AKU1335" s="120"/>
      <c r="AKV1335" s="120"/>
      <c r="AKW1335" s="120"/>
      <c r="AKX1335" s="120"/>
      <c r="AKY1335" s="120"/>
      <c r="AKZ1335" s="120"/>
      <c r="ALA1335" s="120"/>
      <c r="ALB1335" s="120"/>
      <c r="ALC1335" s="120"/>
      <c r="ALD1335" s="120"/>
      <c r="ALE1335" s="120"/>
      <c r="ALF1335" s="120"/>
      <c r="ALG1335" s="120"/>
      <c r="ALH1335" s="120"/>
      <c r="ALI1335" s="120"/>
      <c r="ALJ1335" s="120"/>
      <c r="ALK1335" s="120"/>
      <c r="ALL1335" s="120"/>
      <c r="ALM1335" s="120"/>
      <c r="ALN1335" s="120"/>
      <c r="ALO1335" s="120"/>
      <c r="ALP1335" s="120"/>
      <c r="ALQ1335" s="120"/>
      <c r="ALR1335" s="120"/>
      <c r="ALS1335" s="120"/>
      <c r="ALT1335" s="120"/>
      <c r="ALU1335" s="120"/>
      <c r="ALV1335" s="120"/>
      <c r="ALW1335" s="120"/>
      <c r="ALX1335" s="120"/>
      <c r="ALY1335" s="120"/>
      <c r="ALZ1335" s="120"/>
      <c r="AMA1335" s="120"/>
      <c r="AMB1335" s="120"/>
      <c r="AMC1335" s="120"/>
      <c r="AMD1335" s="120"/>
      <c r="AME1335" s="120"/>
      <c r="AMF1335" s="120"/>
      <c r="AMG1335" s="120"/>
      <c r="AMH1335" s="120"/>
      <c r="AMI1335" s="120"/>
      <c r="AMJ1335" s="120"/>
      <c r="AMK1335" s="120"/>
      <c r="AML1335" s="120"/>
      <c r="AMM1335" s="120"/>
      <c r="AMN1335" s="120"/>
      <c r="AMO1335" s="120"/>
      <c r="AMP1335" s="120"/>
      <c r="AMQ1335" s="120"/>
      <c r="AMR1335" s="120"/>
      <c r="AMS1335" s="120"/>
      <c r="AMT1335" s="120"/>
      <c r="AMU1335" s="120"/>
      <c r="AMV1335" s="120"/>
      <c r="AMW1335" s="120"/>
      <c r="AMX1335" s="120"/>
      <c r="AMY1335" s="120"/>
      <c r="AMZ1335" s="120"/>
      <c r="ANA1335" s="120"/>
      <c r="ANB1335" s="120"/>
      <c r="ANC1335" s="120"/>
      <c r="AND1335" s="120"/>
      <c r="ANE1335" s="120"/>
      <c r="ANF1335" s="120"/>
      <c r="ANG1335" s="120"/>
      <c r="ANH1335" s="120"/>
      <c r="ANI1335" s="120"/>
      <c r="ANJ1335" s="120"/>
      <c r="ANK1335" s="120"/>
      <c r="ANL1335" s="120"/>
      <c r="ANM1335" s="120"/>
      <c r="ANN1335" s="120"/>
      <c r="ANO1335" s="120"/>
      <c r="ANP1335" s="120"/>
      <c r="ANQ1335" s="120"/>
      <c r="ANR1335" s="120"/>
      <c r="ANS1335" s="120"/>
      <c r="ANT1335" s="120"/>
      <c r="ANU1335" s="120"/>
      <c r="ANV1335" s="120"/>
      <c r="ANW1335" s="120"/>
      <c r="ANX1335" s="120"/>
      <c r="ANY1335" s="120"/>
      <c r="ANZ1335" s="120"/>
      <c r="AOA1335" s="120"/>
      <c r="AOB1335" s="120"/>
      <c r="AOC1335" s="120"/>
      <c r="AOD1335" s="120"/>
      <c r="AOE1335" s="120"/>
      <c r="AOF1335" s="120"/>
      <c r="AOG1335" s="120"/>
      <c r="AOH1335" s="120"/>
      <c r="AOI1335" s="120"/>
      <c r="AOJ1335" s="120"/>
      <c r="AOK1335" s="120"/>
      <c r="AOL1335" s="120"/>
      <c r="AOM1335" s="120"/>
      <c r="AON1335" s="120"/>
      <c r="AOO1335" s="120"/>
      <c r="AOP1335" s="120"/>
      <c r="AOQ1335" s="120"/>
      <c r="AOR1335" s="120"/>
      <c r="AOS1335" s="120"/>
      <c r="AOT1335" s="120"/>
      <c r="AOU1335" s="120"/>
      <c r="AOV1335" s="120"/>
      <c r="AOW1335" s="120"/>
      <c r="AOX1335" s="120"/>
      <c r="AOY1335" s="120"/>
      <c r="AOZ1335" s="120"/>
      <c r="APA1335" s="120"/>
      <c r="APB1335" s="120"/>
      <c r="APC1335" s="120"/>
      <c r="APD1335" s="120"/>
      <c r="APE1335" s="120"/>
      <c r="APF1335" s="120"/>
      <c r="APG1335" s="120"/>
      <c r="APH1335" s="120"/>
      <c r="API1335" s="120"/>
      <c r="APJ1335" s="120"/>
      <c r="APK1335" s="120"/>
      <c r="APL1335" s="120"/>
      <c r="APM1335" s="120"/>
      <c r="APN1335" s="120"/>
      <c r="APO1335" s="120"/>
      <c r="APP1335" s="120"/>
      <c r="APQ1335" s="120"/>
      <c r="APR1335" s="120"/>
      <c r="APS1335" s="120"/>
      <c r="APT1335" s="120"/>
      <c r="APU1335" s="120"/>
      <c r="APV1335" s="120"/>
      <c r="APW1335" s="120"/>
      <c r="APX1335" s="120"/>
      <c r="APY1335" s="120"/>
      <c r="APZ1335" s="120"/>
      <c r="AQA1335" s="120"/>
      <c r="AQB1335" s="120"/>
      <c r="AQC1335" s="120"/>
      <c r="AQD1335" s="120"/>
      <c r="AQE1335" s="120"/>
      <c r="AQF1335" s="120"/>
      <c r="AQG1335" s="120"/>
      <c r="AQH1335" s="120"/>
      <c r="AQI1335" s="120"/>
      <c r="AQJ1335" s="120"/>
      <c r="AQK1335" s="120"/>
      <c r="AQL1335" s="120"/>
      <c r="AQM1335" s="120"/>
      <c r="AQN1335" s="120"/>
      <c r="AQO1335" s="120"/>
      <c r="AQP1335" s="120"/>
      <c r="AQQ1335" s="120"/>
      <c r="AQR1335" s="120"/>
      <c r="AQS1335" s="120"/>
      <c r="AQT1335" s="120"/>
      <c r="AQU1335" s="120"/>
      <c r="AQV1335" s="120"/>
      <c r="AQW1335" s="120"/>
      <c r="AQX1335" s="120"/>
      <c r="AQY1335" s="120"/>
      <c r="AQZ1335" s="120"/>
      <c r="ARA1335" s="120"/>
      <c r="ARB1335" s="120"/>
      <c r="ARC1335" s="120"/>
      <c r="ARD1335" s="120"/>
      <c r="ARE1335" s="120"/>
      <c r="ARF1335" s="120"/>
      <c r="ARG1335" s="120"/>
      <c r="ARH1335" s="120"/>
      <c r="ARI1335" s="120"/>
      <c r="ARJ1335" s="120"/>
      <c r="ARK1335" s="120"/>
      <c r="ARL1335" s="120"/>
      <c r="ARM1335" s="120"/>
      <c r="ARN1335" s="120"/>
      <c r="ARO1335" s="120"/>
      <c r="ARP1335" s="120"/>
      <c r="ARQ1335" s="120"/>
      <c r="ARR1335" s="120"/>
      <c r="ARS1335" s="120"/>
      <c r="ART1335" s="120"/>
      <c r="ARU1335" s="120"/>
      <c r="ARV1335" s="120"/>
      <c r="ARW1335" s="120"/>
      <c r="ARX1335" s="120"/>
      <c r="ARY1335" s="120"/>
      <c r="ARZ1335" s="120"/>
      <c r="ASA1335" s="120"/>
      <c r="ASB1335" s="120"/>
      <c r="ASC1335" s="120"/>
      <c r="ASD1335" s="120"/>
      <c r="ASE1335" s="120"/>
      <c r="ASF1335" s="120"/>
      <c r="ASG1335" s="120"/>
      <c r="ASH1335" s="120"/>
      <c r="ASI1335" s="120"/>
      <c r="ASJ1335" s="120"/>
      <c r="ASK1335" s="120"/>
      <c r="ASL1335" s="120"/>
      <c r="ASM1335" s="120"/>
      <c r="ASN1335" s="120"/>
      <c r="ASO1335" s="120"/>
      <c r="ASP1335" s="120"/>
      <c r="ASQ1335" s="120"/>
      <c r="ASR1335" s="120"/>
      <c r="ASS1335" s="120"/>
      <c r="AST1335" s="120"/>
      <c r="ASU1335" s="120"/>
      <c r="ASV1335" s="120"/>
      <c r="ASW1335" s="120"/>
      <c r="ASX1335" s="120"/>
      <c r="ASY1335" s="120"/>
      <c r="ASZ1335" s="120"/>
      <c r="ATA1335" s="120"/>
      <c r="ATB1335" s="120"/>
      <c r="ATC1335" s="120"/>
      <c r="ATD1335" s="120"/>
      <c r="ATE1335" s="120"/>
      <c r="ATF1335" s="120"/>
      <c r="ATG1335" s="120"/>
      <c r="ATH1335" s="120"/>
      <c r="ATI1335" s="120"/>
      <c r="ATJ1335" s="120"/>
      <c r="ATK1335" s="120"/>
      <c r="ATL1335" s="120"/>
      <c r="ATM1335" s="120"/>
      <c r="ATN1335" s="120"/>
      <c r="ATO1335" s="120"/>
    </row>
    <row r="1336" spans="1:1211" s="20" customFormat="1" ht="14.1" customHeight="1">
      <c r="A1336" s="112"/>
      <c r="B1336" s="945"/>
      <c r="C1336" s="1413" t="s">
        <v>3773</v>
      </c>
      <c r="D1336" s="120"/>
      <c r="E1336" s="701"/>
      <c r="F1336" s="703"/>
      <c r="G1336" s="702"/>
      <c r="H1336" s="702"/>
      <c r="I1336" s="702"/>
      <c r="J1336" s="700"/>
      <c r="K1336" s="112"/>
      <c r="L1336" s="363"/>
      <c r="M1336" s="112"/>
      <c r="N1336" s="362"/>
      <c r="O1336" s="573"/>
      <c r="P1336" s="120"/>
      <c r="Q1336" s="120"/>
      <c r="R1336" s="120"/>
      <c r="S1336" s="120"/>
      <c r="T1336" s="120"/>
      <c r="U1336" s="120"/>
      <c r="V1336" s="120"/>
      <c r="W1336" s="120"/>
      <c r="X1336" s="120"/>
      <c r="Y1336" s="120"/>
      <c r="Z1336" s="120"/>
      <c r="AA1336" s="120"/>
      <c r="AB1336" s="120"/>
      <c r="AC1336" s="120"/>
      <c r="AD1336" s="120"/>
      <c r="AE1336" s="120"/>
      <c r="AF1336" s="120"/>
      <c r="AG1336" s="120"/>
      <c r="AH1336" s="120"/>
      <c r="AI1336" s="120"/>
      <c r="AJ1336" s="120"/>
      <c r="AK1336" s="120"/>
      <c r="AL1336" s="120"/>
      <c r="AM1336" s="120"/>
      <c r="AN1336" s="120"/>
      <c r="AO1336" s="120"/>
      <c r="AP1336" s="120"/>
      <c r="AQ1336" s="120"/>
      <c r="AR1336" s="120"/>
      <c r="AS1336" s="120"/>
      <c r="AT1336" s="120"/>
      <c r="AU1336" s="120"/>
      <c r="AV1336" s="120"/>
      <c r="AW1336" s="120"/>
      <c r="AX1336" s="120"/>
      <c r="AY1336" s="120"/>
      <c r="AZ1336" s="120"/>
      <c r="BA1336" s="120"/>
      <c r="BB1336" s="120"/>
      <c r="BC1336" s="120"/>
      <c r="BD1336" s="120"/>
      <c r="BE1336" s="120"/>
      <c r="BF1336" s="120"/>
      <c r="BG1336" s="120"/>
      <c r="BH1336" s="120"/>
      <c r="BI1336" s="120"/>
      <c r="BJ1336" s="120"/>
      <c r="BK1336" s="120"/>
      <c r="BL1336" s="120"/>
      <c r="BM1336" s="120"/>
      <c r="BN1336" s="120"/>
      <c r="BO1336" s="120"/>
      <c r="BP1336" s="120"/>
      <c r="BQ1336" s="120"/>
      <c r="BR1336" s="120"/>
      <c r="BS1336" s="120"/>
      <c r="BT1336" s="120"/>
      <c r="BU1336" s="120"/>
      <c r="BV1336" s="120"/>
      <c r="BW1336" s="120"/>
      <c r="BX1336" s="120"/>
      <c r="BY1336" s="120"/>
      <c r="BZ1336" s="120"/>
      <c r="CA1336" s="120"/>
      <c r="CB1336" s="120"/>
      <c r="CC1336" s="120"/>
      <c r="CD1336" s="120"/>
      <c r="CE1336" s="120"/>
      <c r="CF1336" s="120"/>
      <c r="CG1336" s="120"/>
      <c r="CH1336" s="120"/>
      <c r="CI1336" s="120"/>
      <c r="CJ1336" s="120"/>
      <c r="CK1336" s="120"/>
      <c r="CL1336" s="120"/>
      <c r="CM1336" s="120"/>
      <c r="CN1336" s="120"/>
      <c r="CO1336" s="120"/>
      <c r="CP1336" s="120"/>
      <c r="CQ1336" s="120"/>
      <c r="CR1336" s="120"/>
      <c r="CS1336" s="120"/>
      <c r="CT1336" s="120"/>
      <c r="CU1336" s="120"/>
      <c r="CV1336" s="120"/>
      <c r="CW1336" s="120"/>
      <c r="CX1336" s="120"/>
      <c r="CY1336" s="120"/>
      <c r="CZ1336" s="120"/>
      <c r="DA1336" s="120"/>
      <c r="DB1336" s="120"/>
      <c r="DC1336" s="120"/>
      <c r="DD1336" s="120"/>
      <c r="DE1336" s="120"/>
      <c r="DF1336" s="120"/>
      <c r="DG1336" s="120"/>
      <c r="DH1336" s="120"/>
      <c r="DI1336" s="120"/>
      <c r="DJ1336" s="120"/>
      <c r="DK1336" s="120"/>
      <c r="DL1336" s="120"/>
      <c r="DM1336" s="120"/>
      <c r="DN1336" s="120"/>
      <c r="DO1336" s="120"/>
      <c r="DP1336" s="120"/>
      <c r="DQ1336" s="120"/>
      <c r="DR1336" s="120"/>
      <c r="DS1336" s="120"/>
      <c r="DT1336" s="120"/>
      <c r="DU1336" s="120"/>
      <c r="DV1336" s="120"/>
      <c r="DW1336" s="120"/>
      <c r="DX1336" s="120"/>
      <c r="DY1336" s="120"/>
      <c r="DZ1336" s="120"/>
      <c r="EA1336" s="120"/>
      <c r="EB1336" s="120"/>
      <c r="EC1336" s="120"/>
      <c r="ED1336" s="120"/>
      <c r="EE1336" s="120"/>
      <c r="EF1336" s="120"/>
      <c r="EG1336" s="120"/>
      <c r="EH1336" s="120"/>
      <c r="EI1336" s="120"/>
      <c r="EJ1336" s="120"/>
      <c r="EK1336" s="120"/>
      <c r="EL1336" s="120"/>
      <c r="EM1336" s="120"/>
      <c r="EN1336" s="120"/>
      <c r="EO1336" s="120"/>
      <c r="EP1336" s="120"/>
      <c r="EQ1336" s="120"/>
      <c r="ER1336" s="120"/>
      <c r="ES1336" s="120"/>
      <c r="ET1336" s="120"/>
      <c r="EU1336" s="120"/>
      <c r="EV1336" s="120"/>
      <c r="EW1336" s="120"/>
      <c r="EX1336" s="120"/>
      <c r="EY1336" s="120"/>
      <c r="EZ1336" s="120"/>
      <c r="FA1336" s="120"/>
      <c r="FB1336" s="120"/>
      <c r="FC1336" s="120"/>
      <c r="FD1336" s="120"/>
      <c r="FE1336" s="120"/>
      <c r="FF1336" s="120"/>
      <c r="FG1336" s="120"/>
      <c r="FH1336" s="120"/>
      <c r="FI1336" s="120"/>
      <c r="FJ1336" s="120"/>
      <c r="FK1336" s="120"/>
      <c r="FL1336" s="120"/>
      <c r="FM1336" s="120"/>
      <c r="FN1336" s="120"/>
      <c r="FO1336" s="120"/>
      <c r="FP1336" s="120"/>
      <c r="FQ1336" s="120"/>
      <c r="FR1336" s="120"/>
      <c r="FS1336" s="120"/>
      <c r="FT1336" s="120"/>
      <c r="FU1336" s="120"/>
      <c r="FV1336" s="120"/>
      <c r="FW1336" s="120"/>
      <c r="FX1336" s="120"/>
      <c r="FY1336" s="120"/>
      <c r="FZ1336" s="120"/>
      <c r="GA1336" s="120"/>
      <c r="GB1336" s="120"/>
      <c r="GC1336" s="120"/>
      <c r="GD1336" s="120"/>
      <c r="GE1336" s="120"/>
      <c r="GF1336" s="120"/>
      <c r="GG1336" s="120"/>
      <c r="GH1336" s="120"/>
      <c r="GI1336" s="120"/>
      <c r="GJ1336" s="120"/>
      <c r="GK1336" s="120"/>
      <c r="GL1336" s="120"/>
      <c r="GM1336" s="120"/>
      <c r="GN1336" s="120"/>
      <c r="GO1336" s="120"/>
      <c r="GP1336" s="120"/>
      <c r="GQ1336" s="120"/>
      <c r="GR1336" s="120"/>
      <c r="GS1336" s="120"/>
      <c r="GT1336" s="120"/>
      <c r="GU1336" s="120"/>
      <c r="GV1336" s="120"/>
      <c r="GW1336" s="120"/>
      <c r="GX1336" s="120"/>
      <c r="GY1336" s="120"/>
      <c r="GZ1336" s="120"/>
      <c r="HA1336" s="120"/>
      <c r="HB1336" s="120"/>
      <c r="HC1336" s="120"/>
      <c r="HD1336" s="120"/>
      <c r="HE1336" s="120"/>
      <c r="HF1336" s="120"/>
      <c r="HG1336" s="120"/>
      <c r="HH1336" s="120"/>
      <c r="HI1336" s="120"/>
      <c r="HJ1336" s="120"/>
      <c r="HK1336" s="120"/>
      <c r="HL1336" s="120"/>
      <c r="HM1336" s="120"/>
      <c r="HN1336" s="120"/>
      <c r="HO1336" s="120"/>
      <c r="HP1336" s="120"/>
      <c r="HQ1336" s="120"/>
      <c r="HR1336" s="120"/>
      <c r="HS1336" s="120"/>
      <c r="HT1336" s="120"/>
      <c r="HU1336" s="120"/>
      <c r="HV1336" s="120"/>
      <c r="HW1336" s="120"/>
      <c r="HX1336" s="120"/>
      <c r="HY1336" s="120"/>
      <c r="HZ1336" s="120"/>
      <c r="IA1336" s="120"/>
      <c r="IB1336" s="120"/>
      <c r="IC1336" s="120"/>
      <c r="ID1336" s="120"/>
      <c r="IE1336" s="120"/>
      <c r="IF1336" s="120"/>
      <c r="IG1336" s="120"/>
      <c r="IH1336" s="120"/>
      <c r="II1336" s="120"/>
      <c r="IJ1336" s="120"/>
      <c r="IK1336" s="120"/>
      <c r="IL1336" s="120"/>
      <c r="IM1336" s="120"/>
      <c r="IN1336" s="120"/>
      <c r="IO1336" s="120"/>
      <c r="IP1336" s="120"/>
      <c r="IQ1336" s="120"/>
      <c r="IR1336" s="120"/>
      <c r="IS1336" s="120"/>
      <c r="IT1336" s="120"/>
      <c r="IU1336" s="120"/>
      <c r="IV1336" s="120"/>
      <c r="IW1336" s="120"/>
      <c r="IX1336" s="120"/>
      <c r="IY1336" s="120"/>
      <c r="IZ1336" s="120"/>
      <c r="JA1336" s="120"/>
      <c r="JB1336" s="120"/>
      <c r="JC1336" s="120"/>
      <c r="JD1336" s="120"/>
      <c r="JE1336" s="120"/>
      <c r="JF1336" s="120"/>
      <c r="JG1336" s="120"/>
      <c r="JH1336" s="120"/>
      <c r="JI1336" s="120"/>
      <c r="JJ1336" s="120"/>
      <c r="JK1336" s="120"/>
      <c r="JL1336" s="120"/>
      <c r="JM1336" s="120"/>
      <c r="JN1336" s="120"/>
      <c r="JO1336" s="120"/>
      <c r="JP1336" s="120"/>
      <c r="JQ1336" s="120"/>
      <c r="JR1336" s="120"/>
      <c r="JS1336" s="120"/>
      <c r="JT1336" s="120"/>
      <c r="JU1336" s="120"/>
      <c r="JV1336" s="120"/>
      <c r="JW1336" s="120"/>
      <c r="JX1336" s="120"/>
      <c r="JY1336" s="120"/>
      <c r="JZ1336" s="120"/>
      <c r="KA1336" s="120"/>
      <c r="KB1336" s="120"/>
      <c r="KC1336" s="120"/>
      <c r="KD1336" s="120"/>
      <c r="KE1336" s="120"/>
      <c r="KF1336" s="120"/>
      <c r="KG1336" s="120"/>
      <c r="KH1336" s="120"/>
      <c r="KI1336" s="120"/>
      <c r="KJ1336" s="120"/>
      <c r="KK1336" s="120"/>
      <c r="KL1336" s="120"/>
      <c r="KM1336" s="120"/>
      <c r="KN1336" s="120"/>
      <c r="KO1336" s="120"/>
      <c r="KP1336" s="120"/>
      <c r="KQ1336" s="120"/>
      <c r="KR1336" s="120"/>
      <c r="KS1336" s="120"/>
      <c r="KT1336" s="120"/>
      <c r="KU1336" s="120"/>
      <c r="KV1336" s="120"/>
      <c r="KW1336" s="120"/>
      <c r="KX1336" s="120"/>
      <c r="KY1336" s="120"/>
      <c r="KZ1336" s="120"/>
      <c r="LA1336" s="120"/>
      <c r="LB1336" s="120"/>
      <c r="LC1336" s="120"/>
      <c r="LD1336" s="120"/>
      <c r="LE1336" s="120"/>
      <c r="LF1336" s="120"/>
      <c r="LG1336" s="120"/>
      <c r="LH1336" s="120"/>
      <c r="LI1336" s="120"/>
      <c r="LJ1336" s="120"/>
      <c r="LK1336" s="120"/>
      <c r="LL1336" s="120"/>
      <c r="LM1336" s="120"/>
      <c r="LN1336" s="120"/>
      <c r="LO1336" s="120"/>
      <c r="LP1336" s="120"/>
      <c r="LQ1336" s="120"/>
      <c r="LR1336" s="120"/>
      <c r="LS1336" s="120"/>
      <c r="LT1336" s="120"/>
      <c r="LU1336" s="120"/>
      <c r="LV1336" s="120"/>
      <c r="LW1336" s="120"/>
      <c r="LX1336" s="120"/>
      <c r="LY1336" s="120"/>
      <c r="LZ1336" s="120"/>
      <c r="MA1336" s="120"/>
      <c r="MB1336" s="120"/>
      <c r="MC1336" s="120"/>
      <c r="MD1336" s="120"/>
      <c r="ME1336" s="120"/>
      <c r="MF1336" s="120"/>
      <c r="MG1336" s="120"/>
      <c r="MH1336" s="120"/>
      <c r="MI1336" s="120"/>
      <c r="MJ1336" s="120"/>
      <c r="MK1336" s="120"/>
      <c r="ML1336" s="120"/>
      <c r="MM1336" s="120"/>
      <c r="MN1336" s="120"/>
      <c r="MO1336" s="120"/>
      <c r="MP1336" s="120"/>
      <c r="MQ1336" s="120"/>
      <c r="MR1336" s="120"/>
      <c r="MS1336" s="120"/>
      <c r="MT1336" s="120"/>
      <c r="MU1336" s="120"/>
      <c r="MV1336" s="120"/>
      <c r="MW1336" s="120"/>
      <c r="MX1336" s="120"/>
      <c r="MY1336" s="120"/>
      <c r="MZ1336" s="120"/>
      <c r="NA1336" s="120"/>
      <c r="NB1336" s="120"/>
      <c r="NC1336" s="120"/>
      <c r="ND1336" s="120"/>
      <c r="NE1336" s="120"/>
      <c r="NF1336" s="120"/>
      <c r="NG1336" s="120"/>
      <c r="NH1336" s="120"/>
      <c r="NI1336" s="120"/>
      <c r="NJ1336" s="120"/>
      <c r="NK1336" s="120"/>
      <c r="NL1336" s="120"/>
      <c r="NM1336" s="120"/>
      <c r="NN1336" s="120"/>
      <c r="NO1336" s="120"/>
      <c r="NP1336" s="120"/>
      <c r="NQ1336" s="120"/>
      <c r="NR1336" s="120"/>
      <c r="NS1336" s="120"/>
      <c r="NT1336" s="120"/>
      <c r="NU1336" s="120"/>
      <c r="NV1336" s="120"/>
      <c r="NW1336" s="120"/>
      <c r="NX1336" s="120"/>
      <c r="NY1336" s="120"/>
      <c r="NZ1336" s="120"/>
      <c r="OA1336" s="120"/>
      <c r="OB1336" s="120"/>
      <c r="OC1336" s="120"/>
      <c r="OD1336" s="120"/>
      <c r="OE1336" s="120"/>
      <c r="OF1336" s="120"/>
      <c r="OG1336" s="120"/>
      <c r="OH1336" s="120"/>
      <c r="OI1336" s="120"/>
      <c r="OJ1336" s="120"/>
      <c r="OK1336" s="120"/>
      <c r="OL1336" s="120"/>
      <c r="OM1336" s="120"/>
      <c r="ON1336" s="120"/>
      <c r="OO1336" s="120"/>
      <c r="OP1336" s="120"/>
      <c r="OQ1336" s="120"/>
      <c r="OR1336" s="120"/>
      <c r="OS1336" s="120"/>
      <c r="OT1336" s="120"/>
      <c r="OU1336" s="120"/>
      <c r="OV1336" s="120"/>
      <c r="OW1336" s="120"/>
      <c r="OX1336" s="120"/>
      <c r="OY1336" s="120"/>
      <c r="OZ1336" s="120"/>
      <c r="PA1336" s="120"/>
      <c r="PB1336" s="120"/>
      <c r="PC1336" s="120"/>
      <c r="PD1336" s="120"/>
      <c r="PE1336" s="120"/>
      <c r="PF1336" s="120"/>
      <c r="PG1336" s="120"/>
      <c r="PH1336" s="120"/>
      <c r="PI1336" s="120"/>
      <c r="PJ1336" s="120"/>
      <c r="PK1336" s="120"/>
      <c r="PL1336" s="120"/>
      <c r="PM1336" s="120"/>
      <c r="PN1336" s="120"/>
      <c r="PO1336" s="120"/>
      <c r="PP1336" s="120"/>
      <c r="PQ1336" s="120"/>
      <c r="PR1336" s="120"/>
      <c r="PS1336" s="120"/>
      <c r="PT1336" s="120"/>
      <c r="PU1336" s="120"/>
      <c r="PV1336" s="120"/>
      <c r="PW1336" s="120"/>
      <c r="PX1336" s="120"/>
      <c r="PY1336" s="120"/>
      <c r="PZ1336" s="120"/>
      <c r="QA1336" s="120"/>
      <c r="QB1336" s="120"/>
      <c r="QC1336" s="120"/>
      <c r="QD1336" s="120"/>
      <c r="QE1336" s="120"/>
      <c r="QF1336" s="120"/>
      <c r="QG1336" s="120"/>
      <c r="QH1336" s="120"/>
      <c r="QI1336" s="120"/>
      <c r="QJ1336" s="120"/>
      <c r="QK1336" s="120"/>
      <c r="QL1336" s="120"/>
      <c r="QM1336" s="120"/>
      <c r="QN1336" s="120"/>
      <c r="QO1336" s="120"/>
      <c r="QP1336" s="120"/>
      <c r="QQ1336" s="120"/>
      <c r="QR1336" s="120"/>
      <c r="QS1336" s="120"/>
      <c r="QT1336" s="120"/>
      <c r="QU1336" s="120"/>
      <c r="QV1336" s="120"/>
      <c r="QW1336" s="120"/>
      <c r="QX1336" s="120"/>
      <c r="QY1336" s="120"/>
      <c r="QZ1336" s="120"/>
      <c r="RA1336" s="120"/>
      <c r="RB1336" s="120"/>
      <c r="RC1336" s="120"/>
      <c r="RD1336" s="120"/>
      <c r="RE1336" s="120"/>
      <c r="RF1336" s="120"/>
      <c r="RG1336" s="120"/>
      <c r="RH1336" s="120"/>
      <c r="RI1336" s="120"/>
      <c r="RJ1336" s="120"/>
      <c r="RK1336" s="120"/>
      <c r="RL1336" s="120"/>
      <c r="RM1336" s="120"/>
      <c r="RN1336" s="120"/>
      <c r="RO1336" s="120"/>
      <c r="RP1336" s="120"/>
      <c r="RQ1336" s="120"/>
      <c r="RR1336" s="120"/>
      <c r="RS1336" s="120"/>
      <c r="RT1336" s="120"/>
      <c r="RU1336" s="120"/>
      <c r="RV1336" s="120"/>
      <c r="RW1336" s="120"/>
      <c r="RX1336" s="120"/>
      <c r="RY1336" s="120"/>
      <c r="RZ1336" s="120"/>
      <c r="SA1336" s="120"/>
      <c r="SB1336" s="120"/>
      <c r="SC1336" s="120"/>
      <c r="SD1336" s="120"/>
      <c r="SE1336" s="120"/>
      <c r="SF1336" s="120"/>
      <c r="SG1336" s="120"/>
      <c r="SH1336" s="120"/>
      <c r="SI1336" s="120"/>
      <c r="SJ1336" s="120"/>
      <c r="SK1336" s="120"/>
      <c r="SL1336" s="120"/>
      <c r="SM1336" s="120"/>
      <c r="SN1336" s="120"/>
      <c r="SO1336" s="120"/>
      <c r="SP1336" s="120"/>
      <c r="SQ1336" s="120"/>
      <c r="SR1336" s="120"/>
      <c r="SS1336" s="120"/>
      <c r="ST1336" s="120"/>
      <c r="SU1336" s="120"/>
      <c r="SV1336" s="120"/>
      <c r="SW1336" s="120"/>
      <c r="SX1336" s="120"/>
      <c r="SY1336" s="120"/>
      <c r="SZ1336" s="120"/>
      <c r="TA1336" s="120"/>
      <c r="TB1336" s="120"/>
      <c r="TC1336" s="120"/>
      <c r="TD1336" s="120"/>
      <c r="TE1336" s="120"/>
      <c r="TF1336" s="120"/>
      <c r="TG1336" s="120"/>
      <c r="TH1336" s="120"/>
      <c r="TI1336" s="120"/>
      <c r="TJ1336" s="120"/>
      <c r="TK1336" s="120"/>
      <c r="TL1336" s="120"/>
      <c r="TM1336" s="120"/>
      <c r="TN1336" s="120"/>
      <c r="TO1336" s="120"/>
      <c r="TP1336" s="120"/>
      <c r="TQ1336" s="120"/>
      <c r="TR1336" s="120"/>
      <c r="TS1336" s="120"/>
      <c r="TT1336" s="120"/>
      <c r="TU1336" s="120"/>
      <c r="TV1336" s="120"/>
      <c r="TW1336" s="120"/>
      <c r="TX1336" s="120"/>
      <c r="TY1336" s="120"/>
      <c r="TZ1336" s="120"/>
      <c r="UA1336" s="120"/>
      <c r="UB1336" s="120"/>
      <c r="UC1336" s="120"/>
      <c r="UD1336" s="120"/>
      <c r="UE1336" s="120"/>
      <c r="UF1336" s="120"/>
      <c r="UG1336" s="120"/>
      <c r="UH1336" s="120"/>
      <c r="UI1336" s="120"/>
      <c r="UJ1336" s="120"/>
      <c r="UK1336" s="120"/>
      <c r="UL1336" s="120"/>
      <c r="UM1336" s="120"/>
      <c r="UN1336" s="120"/>
      <c r="UO1336" s="120"/>
      <c r="UP1336" s="120"/>
      <c r="UQ1336" s="120"/>
      <c r="UR1336" s="120"/>
      <c r="US1336" s="120"/>
      <c r="UT1336" s="120"/>
      <c r="UU1336" s="120"/>
      <c r="UV1336" s="120"/>
      <c r="UW1336" s="120"/>
      <c r="UX1336" s="120"/>
      <c r="UY1336" s="120"/>
      <c r="UZ1336" s="120"/>
      <c r="VA1336" s="120"/>
      <c r="VB1336" s="120"/>
      <c r="VC1336" s="120"/>
      <c r="VD1336" s="120"/>
      <c r="VE1336" s="120"/>
      <c r="VF1336" s="120"/>
      <c r="VG1336" s="120"/>
      <c r="VH1336" s="120"/>
      <c r="VI1336" s="120"/>
      <c r="VJ1336" s="120"/>
      <c r="VK1336" s="120"/>
      <c r="VL1336" s="120"/>
      <c r="VM1336" s="120"/>
      <c r="VN1336" s="120"/>
      <c r="VO1336" s="120"/>
      <c r="VP1336" s="120"/>
      <c r="VQ1336" s="120"/>
      <c r="VR1336" s="120"/>
      <c r="VS1336" s="120"/>
      <c r="VT1336" s="120"/>
      <c r="VU1336" s="120"/>
      <c r="VV1336" s="120"/>
      <c r="VW1336" s="120"/>
      <c r="VX1336" s="120"/>
      <c r="VY1336" s="120"/>
      <c r="VZ1336" s="120"/>
      <c r="WA1336" s="120"/>
      <c r="WB1336" s="120"/>
      <c r="WC1336" s="120"/>
      <c r="WD1336" s="120"/>
      <c r="WE1336" s="120"/>
      <c r="WF1336" s="120"/>
      <c r="WG1336" s="120"/>
      <c r="WH1336" s="120"/>
      <c r="WI1336" s="120"/>
      <c r="WJ1336" s="120"/>
      <c r="WK1336" s="120"/>
      <c r="WL1336" s="120"/>
      <c r="WM1336" s="120"/>
      <c r="WN1336" s="120"/>
      <c r="WO1336" s="120"/>
      <c r="WP1336" s="120"/>
      <c r="WQ1336" s="120"/>
      <c r="WR1336" s="120"/>
      <c r="WS1336" s="120"/>
      <c r="WT1336" s="120"/>
      <c r="WU1336" s="120"/>
      <c r="WV1336" s="120"/>
      <c r="WW1336" s="120"/>
      <c r="WX1336" s="120"/>
      <c r="WY1336" s="120"/>
      <c r="WZ1336" s="120"/>
      <c r="XA1336" s="120"/>
      <c r="XB1336" s="120"/>
      <c r="XC1336" s="120"/>
      <c r="XD1336" s="120"/>
      <c r="XE1336" s="120"/>
      <c r="XF1336" s="120"/>
      <c r="XG1336" s="120"/>
      <c r="XH1336" s="120"/>
      <c r="XI1336" s="120"/>
      <c r="XJ1336" s="120"/>
      <c r="XK1336" s="120"/>
      <c r="XL1336" s="120"/>
      <c r="XM1336" s="120"/>
      <c r="XN1336" s="120"/>
      <c r="XO1336" s="120"/>
      <c r="XP1336" s="120"/>
      <c r="XQ1336" s="120"/>
      <c r="XR1336" s="120"/>
      <c r="XS1336" s="120"/>
      <c r="XT1336" s="120"/>
      <c r="XU1336" s="120"/>
      <c r="XV1336" s="120"/>
      <c r="XW1336" s="120"/>
      <c r="XX1336" s="120"/>
      <c r="XY1336" s="120"/>
      <c r="XZ1336" s="120"/>
      <c r="YA1336" s="120"/>
      <c r="YB1336" s="120"/>
      <c r="YC1336" s="120"/>
      <c r="YD1336" s="120"/>
      <c r="YE1336" s="120"/>
      <c r="YF1336" s="120"/>
      <c r="YG1336" s="120"/>
      <c r="YH1336" s="120"/>
      <c r="YI1336" s="120"/>
      <c r="YJ1336" s="120"/>
      <c r="YK1336" s="120"/>
      <c r="YL1336" s="120"/>
      <c r="YM1336" s="120"/>
      <c r="YN1336" s="120"/>
      <c r="YO1336" s="120"/>
      <c r="YP1336" s="120"/>
      <c r="YQ1336" s="120"/>
      <c r="YR1336" s="120"/>
      <c r="YS1336" s="120"/>
      <c r="YT1336" s="120"/>
      <c r="YU1336" s="120"/>
      <c r="YV1336" s="120"/>
      <c r="YW1336" s="120"/>
      <c r="YX1336" s="120"/>
      <c r="YY1336" s="120"/>
      <c r="YZ1336" s="120"/>
      <c r="ZA1336" s="120"/>
      <c r="ZB1336" s="120"/>
      <c r="ZC1336" s="120"/>
      <c r="ZD1336" s="120"/>
      <c r="ZE1336" s="120"/>
      <c r="ZF1336" s="120"/>
      <c r="ZG1336" s="120"/>
      <c r="ZH1336" s="120"/>
      <c r="ZI1336" s="120"/>
      <c r="ZJ1336" s="120"/>
      <c r="ZK1336" s="120"/>
      <c r="ZL1336" s="120"/>
      <c r="ZM1336" s="120"/>
      <c r="ZN1336" s="120"/>
      <c r="ZO1336" s="120"/>
      <c r="ZP1336" s="120"/>
      <c r="ZQ1336" s="120"/>
      <c r="ZR1336" s="120"/>
      <c r="ZS1336" s="120"/>
      <c r="ZT1336" s="120"/>
      <c r="ZU1336" s="120"/>
      <c r="ZV1336" s="120"/>
      <c r="ZW1336" s="120"/>
      <c r="ZX1336" s="120"/>
      <c r="ZY1336" s="120"/>
      <c r="ZZ1336" s="120"/>
      <c r="AAA1336" s="120"/>
      <c r="AAB1336" s="120"/>
      <c r="AAC1336" s="120"/>
      <c r="AAD1336" s="120"/>
      <c r="AAE1336" s="120"/>
      <c r="AAF1336" s="120"/>
      <c r="AAG1336" s="120"/>
      <c r="AAH1336" s="120"/>
      <c r="AAI1336" s="120"/>
      <c r="AAJ1336" s="120"/>
      <c r="AAK1336" s="120"/>
      <c r="AAL1336" s="120"/>
      <c r="AAM1336" s="120"/>
      <c r="AAN1336" s="120"/>
      <c r="AAO1336" s="120"/>
      <c r="AAP1336" s="120"/>
      <c r="AAQ1336" s="120"/>
      <c r="AAR1336" s="120"/>
      <c r="AAS1336" s="120"/>
      <c r="AAT1336" s="120"/>
      <c r="AAU1336" s="120"/>
      <c r="AAV1336" s="120"/>
      <c r="AAW1336" s="120"/>
      <c r="AAX1336" s="120"/>
      <c r="AAY1336" s="120"/>
      <c r="AAZ1336" s="120"/>
      <c r="ABA1336" s="120"/>
      <c r="ABB1336" s="120"/>
      <c r="ABC1336" s="120"/>
      <c r="ABD1336" s="120"/>
      <c r="ABE1336" s="120"/>
      <c r="ABF1336" s="120"/>
      <c r="ABG1336" s="120"/>
      <c r="ABH1336" s="120"/>
      <c r="ABI1336" s="120"/>
      <c r="ABJ1336" s="120"/>
      <c r="ABK1336" s="120"/>
      <c r="ABL1336" s="120"/>
      <c r="ABM1336" s="120"/>
      <c r="ABN1336" s="120"/>
      <c r="ABO1336" s="120"/>
      <c r="ABP1336" s="120"/>
      <c r="ABQ1336" s="120"/>
      <c r="ABR1336" s="120"/>
      <c r="ABS1336" s="120"/>
      <c r="ABT1336" s="120"/>
      <c r="ABU1336" s="120"/>
      <c r="ABV1336" s="120"/>
      <c r="ABW1336" s="120"/>
      <c r="ABX1336" s="120"/>
      <c r="ABY1336" s="120"/>
      <c r="ABZ1336" s="120"/>
      <c r="ACA1336" s="120"/>
      <c r="ACB1336" s="120"/>
      <c r="ACC1336" s="120"/>
      <c r="ACD1336" s="120"/>
      <c r="ACE1336" s="120"/>
      <c r="ACF1336" s="120"/>
      <c r="ACG1336" s="120"/>
      <c r="ACH1336" s="120"/>
      <c r="ACI1336" s="120"/>
      <c r="ACJ1336" s="120"/>
      <c r="ACK1336" s="120"/>
      <c r="ACL1336" s="120"/>
      <c r="ACM1336" s="120"/>
      <c r="ACN1336" s="120"/>
      <c r="ACO1336" s="120"/>
      <c r="ACP1336" s="120"/>
      <c r="ACQ1336" s="120"/>
      <c r="ACR1336" s="120"/>
      <c r="ACS1336" s="120"/>
      <c r="ACT1336" s="120"/>
      <c r="ACU1336" s="120"/>
      <c r="ACV1336" s="120"/>
      <c r="ACW1336" s="120"/>
      <c r="ACX1336" s="120"/>
      <c r="ACY1336" s="120"/>
      <c r="ACZ1336" s="120"/>
      <c r="ADA1336" s="120"/>
      <c r="ADB1336" s="120"/>
      <c r="ADC1336" s="120"/>
      <c r="ADD1336" s="120"/>
      <c r="ADE1336" s="120"/>
      <c r="ADF1336" s="120"/>
      <c r="ADG1336" s="120"/>
      <c r="ADH1336" s="120"/>
      <c r="ADI1336" s="120"/>
      <c r="ADJ1336" s="120"/>
      <c r="ADK1336" s="120"/>
      <c r="ADL1336" s="120"/>
      <c r="ADM1336" s="120"/>
      <c r="ADN1336" s="120"/>
      <c r="ADO1336" s="120"/>
      <c r="ADP1336" s="120"/>
      <c r="ADQ1336" s="120"/>
      <c r="ADR1336" s="120"/>
      <c r="ADS1336" s="120"/>
      <c r="ADT1336" s="120"/>
      <c r="ADU1336" s="120"/>
      <c r="ADV1336" s="120"/>
      <c r="ADW1336" s="120"/>
      <c r="ADX1336" s="120"/>
      <c r="ADY1336" s="120"/>
      <c r="ADZ1336" s="120"/>
      <c r="AEA1336" s="120"/>
      <c r="AEB1336" s="120"/>
      <c r="AEC1336" s="120"/>
      <c r="AED1336" s="120"/>
      <c r="AEE1336" s="120"/>
      <c r="AEF1336" s="120"/>
      <c r="AEG1336" s="120"/>
      <c r="AEH1336" s="120"/>
      <c r="AEI1336" s="120"/>
      <c r="AEJ1336" s="120"/>
      <c r="AEK1336" s="120"/>
      <c r="AEL1336" s="120"/>
      <c r="AEM1336" s="120"/>
      <c r="AEN1336" s="120"/>
      <c r="AEO1336" s="120"/>
      <c r="AEP1336" s="120"/>
      <c r="AEQ1336" s="120"/>
      <c r="AER1336" s="120"/>
      <c r="AES1336" s="120"/>
      <c r="AET1336" s="120"/>
      <c r="AEU1336" s="120"/>
      <c r="AEV1336" s="120"/>
      <c r="AEW1336" s="120"/>
      <c r="AEX1336" s="120"/>
      <c r="AEY1336" s="120"/>
      <c r="AEZ1336" s="120"/>
      <c r="AFA1336" s="120"/>
      <c r="AFB1336" s="120"/>
      <c r="AFC1336" s="120"/>
      <c r="AFD1336" s="120"/>
      <c r="AFE1336" s="120"/>
      <c r="AFF1336" s="120"/>
      <c r="AFG1336" s="120"/>
      <c r="AFH1336" s="120"/>
      <c r="AFI1336" s="120"/>
      <c r="AFJ1336" s="120"/>
      <c r="AFK1336" s="120"/>
      <c r="AFL1336" s="120"/>
      <c r="AFM1336" s="120"/>
      <c r="AFN1336" s="120"/>
      <c r="AFO1336" s="120"/>
      <c r="AFP1336" s="120"/>
      <c r="AFQ1336" s="120"/>
      <c r="AFR1336" s="120"/>
      <c r="AFS1336" s="120"/>
      <c r="AFT1336" s="120"/>
      <c r="AFU1336" s="120"/>
      <c r="AFV1336" s="120"/>
      <c r="AFW1336" s="120"/>
      <c r="AFX1336" s="120"/>
      <c r="AFY1336" s="120"/>
      <c r="AFZ1336" s="120"/>
      <c r="AGA1336" s="120"/>
      <c r="AGB1336" s="120"/>
      <c r="AGC1336" s="120"/>
      <c r="AGD1336" s="120"/>
      <c r="AGE1336" s="120"/>
      <c r="AGF1336" s="120"/>
      <c r="AGG1336" s="120"/>
      <c r="AGH1336" s="120"/>
      <c r="AGI1336" s="120"/>
      <c r="AGJ1336" s="120"/>
      <c r="AGK1336" s="120"/>
      <c r="AGL1336" s="120"/>
      <c r="AGM1336" s="120"/>
      <c r="AGN1336" s="120"/>
      <c r="AGO1336" s="120"/>
      <c r="AGP1336" s="120"/>
      <c r="AGQ1336" s="120"/>
      <c r="AGR1336" s="120"/>
      <c r="AGS1336" s="120"/>
      <c r="AGT1336" s="120"/>
      <c r="AGU1336" s="120"/>
      <c r="AGV1336" s="120"/>
      <c r="AGW1336" s="120"/>
      <c r="AGX1336" s="120"/>
      <c r="AGY1336" s="120"/>
      <c r="AGZ1336" s="120"/>
      <c r="AHA1336" s="120"/>
      <c r="AHB1336" s="120"/>
      <c r="AHC1336" s="120"/>
      <c r="AHD1336" s="120"/>
      <c r="AHE1336" s="120"/>
      <c r="AHF1336" s="120"/>
      <c r="AHG1336" s="120"/>
      <c r="AHH1336" s="120"/>
      <c r="AHI1336" s="120"/>
      <c r="AHJ1336" s="120"/>
      <c r="AHK1336" s="120"/>
      <c r="AHL1336" s="120"/>
      <c r="AHM1336" s="120"/>
      <c r="AHN1336" s="120"/>
      <c r="AHO1336" s="120"/>
      <c r="AHP1336" s="120"/>
      <c r="AHQ1336" s="120"/>
      <c r="AHR1336" s="120"/>
      <c r="AHS1336" s="120"/>
      <c r="AHT1336" s="120"/>
      <c r="AHU1336" s="120"/>
      <c r="AHV1336" s="120"/>
      <c r="AHW1336" s="120"/>
      <c r="AHX1336" s="120"/>
      <c r="AHY1336" s="120"/>
      <c r="AHZ1336" s="120"/>
      <c r="AIA1336" s="120"/>
      <c r="AIB1336" s="120"/>
      <c r="AIC1336" s="120"/>
      <c r="AID1336" s="120"/>
      <c r="AIE1336" s="120"/>
      <c r="AIF1336" s="120"/>
      <c r="AIG1336" s="120"/>
      <c r="AIH1336" s="120"/>
      <c r="AII1336" s="120"/>
      <c r="AIJ1336" s="120"/>
      <c r="AIK1336" s="120"/>
      <c r="AIL1336" s="120"/>
      <c r="AIM1336" s="120"/>
      <c r="AIN1336" s="120"/>
      <c r="AIO1336" s="120"/>
      <c r="AIP1336" s="120"/>
      <c r="AIQ1336" s="120"/>
      <c r="AIR1336" s="120"/>
      <c r="AIS1336" s="120"/>
      <c r="AIT1336" s="120"/>
      <c r="AIU1336" s="120"/>
      <c r="AIV1336" s="120"/>
      <c r="AIW1336" s="120"/>
      <c r="AIX1336" s="120"/>
      <c r="AIY1336" s="120"/>
      <c r="AIZ1336" s="120"/>
      <c r="AJA1336" s="120"/>
      <c r="AJB1336" s="120"/>
      <c r="AJC1336" s="120"/>
      <c r="AJD1336" s="120"/>
      <c r="AJE1336" s="120"/>
      <c r="AJF1336" s="120"/>
      <c r="AJG1336" s="120"/>
      <c r="AJH1336" s="120"/>
      <c r="AJI1336" s="120"/>
      <c r="AJJ1336" s="120"/>
      <c r="AJK1336" s="120"/>
      <c r="AJL1336" s="120"/>
      <c r="AJM1336" s="120"/>
      <c r="AJN1336" s="120"/>
      <c r="AJO1336" s="120"/>
      <c r="AJP1336" s="120"/>
      <c r="AJQ1336" s="120"/>
      <c r="AJR1336" s="120"/>
      <c r="AJS1336" s="120"/>
      <c r="AJT1336" s="120"/>
      <c r="AJU1336" s="120"/>
      <c r="AJV1336" s="120"/>
      <c r="AJW1336" s="120"/>
      <c r="AJX1336" s="120"/>
      <c r="AJY1336" s="120"/>
      <c r="AJZ1336" s="120"/>
      <c r="AKA1336" s="120"/>
      <c r="AKB1336" s="120"/>
      <c r="AKC1336" s="120"/>
      <c r="AKD1336" s="120"/>
      <c r="AKE1336" s="120"/>
      <c r="AKF1336" s="120"/>
      <c r="AKG1336" s="120"/>
      <c r="AKH1336" s="120"/>
      <c r="AKI1336" s="120"/>
      <c r="AKJ1336" s="120"/>
      <c r="AKK1336" s="120"/>
      <c r="AKL1336" s="120"/>
      <c r="AKM1336" s="120"/>
      <c r="AKN1336" s="120"/>
      <c r="AKO1336" s="120"/>
      <c r="AKP1336" s="120"/>
      <c r="AKQ1336" s="120"/>
      <c r="AKR1336" s="120"/>
      <c r="AKS1336" s="120"/>
      <c r="AKT1336" s="120"/>
      <c r="AKU1336" s="120"/>
      <c r="AKV1336" s="120"/>
      <c r="AKW1336" s="120"/>
      <c r="AKX1336" s="120"/>
      <c r="AKY1336" s="120"/>
      <c r="AKZ1336" s="120"/>
      <c r="ALA1336" s="120"/>
      <c r="ALB1336" s="120"/>
      <c r="ALC1336" s="120"/>
      <c r="ALD1336" s="120"/>
      <c r="ALE1336" s="120"/>
      <c r="ALF1336" s="120"/>
      <c r="ALG1336" s="120"/>
      <c r="ALH1336" s="120"/>
      <c r="ALI1336" s="120"/>
      <c r="ALJ1336" s="120"/>
      <c r="ALK1336" s="120"/>
      <c r="ALL1336" s="120"/>
      <c r="ALM1336" s="120"/>
      <c r="ALN1336" s="120"/>
      <c r="ALO1336" s="120"/>
      <c r="ALP1336" s="120"/>
      <c r="ALQ1336" s="120"/>
      <c r="ALR1336" s="120"/>
      <c r="ALS1336" s="120"/>
      <c r="ALT1336" s="120"/>
      <c r="ALU1336" s="120"/>
      <c r="ALV1336" s="120"/>
      <c r="ALW1336" s="120"/>
      <c r="ALX1336" s="120"/>
      <c r="ALY1336" s="120"/>
      <c r="ALZ1336" s="120"/>
      <c r="AMA1336" s="120"/>
      <c r="AMB1336" s="120"/>
      <c r="AMC1336" s="120"/>
      <c r="AMD1336" s="120"/>
      <c r="AME1336" s="120"/>
      <c r="AMF1336" s="120"/>
      <c r="AMG1336" s="120"/>
      <c r="AMH1336" s="120"/>
      <c r="AMI1336" s="120"/>
      <c r="AMJ1336" s="120"/>
      <c r="AMK1336" s="120"/>
      <c r="AML1336" s="120"/>
      <c r="AMM1336" s="120"/>
      <c r="AMN1336" s="120"/>
      <c r="AMO1336" s="120"/>
      <c r="AMP1336" s="120"/>
      <c r="AMQ1336" s="120"/>
      <c r="AMR1336" s="120"/>
      <c r="AMS1336" s="120"/>
      <c r="AMT1336" s="120"/>
      <c r="AMU1336" s="120"/>
      <c r="AMV1336" s="120"/>
      <c r="AMW1336" s="120"/>
      <c r="AMX1336" s="120"/>
      <c r="AMY1336" s="120"/>
      <c r="AMZ1336" s="120"/>
      <c r="ANA1336" s="120"/>
      <c r="ANB1336" s="120"/>
      <c r="ANC1336" s="120"/>
      <c r="AND1336" s="120"/>
      <c r="ANE1336" s="120"/>
      <c r="ANF1336" s="120"/>
      <c r="ANG1336" s="120"/>
      <c r="ANH1336" s="120"/>
      <c r="ANI1336" s="120"/>
      <c r="ANJ1336" s="120"/>
      <c r="ANK1336" s="120"/>
      <c r="ANL1336" s="120"/>
      <c r="ANM1336" s="120"/>
      <c r="ANN1336" s="120"/>
      <c r="ANO1336" s="120"/>
      <c r="ANP1336" s="120"/>
      <c r="ANQ1336" s="120"/>
      <c r="ANR1336" s="120"/>
      <c r="ANS1336" s="120"/>
      <c r="ANT1336" s="120"/>
      <c r="ANU1336" s="120"/>
      <c r="ANV1336" s="120"/>
      <c r="ANW1336" s="120"/>
      <c r="ANX1336" s="120"/>
      <c r="ANY1336" s="120"/>
      <c r="ANZ1336" s="120"/>
      <c r="AOA1336" s="120"/>
      <c r="AOB1336" s="120"/>
      <c r="AOC1336" s="120"/>
      <c r="AOD1336" s="120"/>
      <c r="AOE1336" s="120"/>
      <c r="AOF1336" s="120"/>
      <c r="AOG1336" s="120"/>
      <c r="AOH1336" s="120"/>
      <c r="AOI1336" s="120"/>
      <c r="AOJ1336" s="120"/>
      <c r="AOK1336" s="120"/>
      <c r="AOL1336" s="120"/>
      <c r="AOM1336" s="120"/>
      <c r="AON1336" s="120"/>
      <c r="AOO1336" s="120"/>
      <c r="AOP1336" s="120"/>
      <c r="AOQ1336" s="120"/>
      <c r="AOR1336" s="120"/>
      <c r="AOS1336" s="120"/>
      <c r="AOT1336" s="120"/>
      <c r="AOU1336" s="120"/>
      <c r="AOV1336" s="120"/>
      <c r="AOW1336" s="120"/>
      <c r="AOX1336" s="120"/>
      <c r="AOY1336" s="120"/>
      <c r="AOZ1336" s="120"/>
      <c r="APA1336" s="120"/>
      <c r="APB1336" s="120"/>
      <c r="APC1336" s="120"/>
      <c r="APD1336" s="120"/>
      <c r="APE1336" s="120"/>
      <c r="APF1336" s="120"/>
      <c r="APG1336" s="120"/>
      <c r="APH1336" s="120"/>
      <c r="API1336" s="120"/>
      <c r="APJ1336" s="120"/>
      <c r="APK1336" s="120"/>
      <c r="APL1336" s="120"/>
      <c r="APM1336" s="120"/>
      <c r="APN1336" s="120"/>
      <c r="APO1336" s="120"/>
      <c r="APP1336" s="120"/>
      <c r="APQ1336" s="120"/>
      <c r="APR1336" s="120"/>
      <c r="APS1336" s="120"/>
      <c r="APT1336" s="120"/>
      <c r="APU1336" s="120"/>
      <c r="APV1336" s="120"/>
      <c r="APW1336" s="120"/>
      <c r="APX1336" s="120"/>
      <c r="APY1336" s="120"/>
      <c r="APZ1336" s="120"/>
      <c r="AQA1336" s="120"/>
      <c r="AQB1336" s="120"/>
      <c r="AQC1336" s="120"/>
      <c r="AQD1336" s="120"/>
      <c r="AQE1336" s="120"/>
      <c r="AQF1336" s="120"/>
      <c r="AQG1336" s="120"/>
      <c r="AQH1336" s="120"/>
      <c r="AQI1336" s="120"/>
      <c r="AQJ1336" s="120"/>
      <c r="AQK1336" s="120"/>
      <c r="AQL1336" s="120"/>
      <c r="AQM1336" s="120"/>
      <c r="AQN1336" s="120"/>
      <c r="AQO1336" s="120"/>
      <c r="AQP1336" s="120"/>
      <c r="AQQ1336" s="120"/>
      <c r="AQR1336" s="120"/>
      <c r="AQS1336" s="120"/>
      <c r="AQT1336" s="120"/>
      <c r="AQU1336" s="120"/>
      <c r="AQV1336" s="120"/>
      <c r="AQW1336" s="120"/>
      <c r="AQX1336" s="120"/>
      <c r="AQY1336" s="120"/>
      <c r="AQZ1336" s="120"/>
      <c r="ARA1336" s="120"/>
      <c r="ARB1336" s="120"/>
      <c r="ARC1336" s="120"/>
      <c r="ARD1336" s="120"/>
      <c r="ARE1336" s="120"/>
      <c r="ARF1336" s="120"/>
      <c r="ARG1336" s="120"/>
      <c r="ARH1336" s="120"/>
      <c r="ARI1336" s="120"/>
      <c r="ARJ1336" s="120"/>
      <c r="ARK1336" s="120"/>
      <c r="ARL1336" s="120"/>
      <c r="ARM1336" s="120"/>
      <c r="ARN1336" s="120"/>
      <c r="ARO1336" s="120"/>
      <c r="ARP1336" s="120"/>
      <c r="ARQ1336" s="120"/>
      <c r="ARR1336" s="120"/>
      <c r="ARS1336" s="120"/>
      <c r="ART1336" s="120"/>
      <c r="ARU1336" s="120"/>
      <c r="ARV1336" s="120"/>
      <c r="ARW1336" s="120"/>
      <c r="ARX1336" s="120"/>
      <c r="ARY1336" s="120"/>
      <c r="ARZ1336" s="120"/>
      <c r="ASA1336" s="120"/>
      <c r="ASB1336" s="120"/>
      <c r="ASC1336" s="120"/>
      <c r="ASD1336" s="120"/>
      <c r="ASE1336" s="120"/>
      <c r="ASF1336" s="120"/>
      <c r="ASG1336" s="120"/>
      <c r="ASH1336" s="120"/>
      <c r="ASI1336" s="120"/>
      <c r="ASJ1336" s="120"/>
      <c r="ASK1336" s="120"/>
      <c r="ASL1336" s="120"/>
      <c r="ASM1336" s="120"/>
      <c r="ASN1336" s="120"/>
      <c r="ASO1336" s="120"/>
      <c r="ASP1336" s="120"/>
      <c r="ASQ1336" s="120"/>
      <c r="ASR1336" s="120"/>
      <c r="ASS1336" s="120"/>
      <c r="AST1336" s="120"/>
      <c r="ASU1336" s="120"/>
      <c r="ASV1336" s="120"/>
      <c r="ASW1336" s="120"/>
      <c r="ASX1336" s="120"/>
      <c r="ASY1336" s="120"/>
      <c r="ASZ1336" s="120"/>
      <c r="ATA1336" s="120"/>
      <c r="ATB1336" s="120"/>
      <c r="ATC1336" s="120"/>
      <c r="ATD1336" s="120"/>
      <c r="ATE1336" s="120"/>
      <c r="ATF1336" s="120"/>
      <c r="ATG1336" s="120"/>
      <c r="ATH1336" s="120"/>
      <c r="ATI1336" s="120"/>
      <c r="ATJ1336" s="120"/>
      <c r="ATK1336" s="120"/>
      <c r="ATL1336" s="120"/>
      <c r="ATM1336" s="120"/>
      <c r="ATN1336" s="120"/>
      <c r="ATO1336" s="120"/>
    </row>
    <row r="1337" spans="1:1211" s="20" customFormat="1" ht="14.1" customHeight="1">
      <c r="A1337" s="112"/>
      <c r="B1337" s="945"/>
      <c r="C1337" s="1413" t="s">
        <v>3743</v>
      </c>
      <c r="D1337" s="120"/>
      <c r="E1337" s="701"/>
      <c r="F1337" s="703"/>
      <c r="G1337" s="702"/>
      <c r="H1337" s="702"/>
      <c r="I1337" s="702"/>
      <c r="J1337" s="700"/>
      <c r="K1337" s="112"/>
      <c r="L1337" s="363"/>
      <c r="M1337" s="112"/>
      <c r="N1337" s="362"/>
      <c r="O1337" s="573"/>
      <c r="P1337" s="120"/>
      <c r="Q1337" s="120"/>
      <c r="R1337" s="120"/>
      <c r="S1337" s="120"/>
      <c r="T1337" s="120"/>
      <c r="U1337" s="120"/>
      <c r="V1337" s="120"/>
      <c r="W1337" s="120"/>
      <c r="X1337" s="120"/>
      <c r="Y1337" s="120"/>
      <c r="Z1337" s="120"/>
      <c r="AA1337" s="120"/>
      <c r="AB1337" s="120"/>
      <c r="AC1337" s="120"/>
      <c r="AD1337" s="120"/>
      <c r="AE1337" s="120"/>
      <c r="AF1337" s="120"/>
      <c r="AG1337" s="120"/>
      <c r="AH1337" s="120"/>
      <c r="AI1337" s="120"/>
      <c r="AJ1337" s="120"/>
      <c r="AK1337" s="120"/>
      <c r="AL1337" s="120"/>
      <c r="AM1337" s="120"/>
      <c r="AN1337" s="120"/>
      <c r="AO1337" s="120"/>
      <c r="AP1337" s="120"/>
      <c r="AQ1337" s="120"/>
      <c r="AR1337" s="120"/>
      <c r="AS1337" s="120"/>
      <c r="AT1337" s="120"/>
      <c r="AU1337" s="120"/>
      <c r="AV1337" s="120"/>
      <c r="AW1337" s="120"/>
      <c r="AX1337" s="120"/>
      <c r="AY1337" s="120"/>
      <c r="AZ1337" s="120"/>
      <c r="BA1337" s="120"/>
      <c r="BB1337" s="120"/>
      <c r="BC1337" s="120"/>
      <c r="BD1337" s="120"/>
      <c r="BE1337" s="120"/>
      <c r="BF1337" s="120"/>
      <c r="BG1337" s="120"/>
      <c r="BH1337" s="120"/>
      <c r="BI1337" s="120"/>
      <c r="BJ1337" s="120"/>
      <c r="BK1337" s="120"/>
      <c r="BL1337" s="120"/>
      <c r="BM1337" s="120"/>
      <c r="BN1337" s="120"/>
      <c r="BO1337" s="120"/>
      <c r="BP1337" s="120"/>
      <c r="BQ1337" s="120"/>
      <c r="BR1337" s="120"/>
      <c r="BS1337" s="120"/>
      <c r="BT1337" s="120"/>
      <c r="BU1337" s="120"/>
      <c r="BV1337" s="120"/>
      <c r="BW1337" s="120"/>
      <c r="BX1337" s="120"/>
      <c r="BY1337" s="120"/>
      <c r="BZ1337" s="120"/>
      <c r="CA1337" s="120"/>
      <c r="CB1337" s="120"/>
      <c r="CC1337" s="120"/>
      <c r="CD1337" s="120"/>
      <c r="CE1337" s="120"/>
      <c r="CF1337" s="120"/>
      <c r="CG1337" s="120"/>
      <c r="CH1337" s="120"/>
      <c r="CI1337" s="120"/>
      <c r="CJ1337" s="120"/>
      <c r="CK1337" s="120"/>
      <c r="CL1337" s="120"/>
      <c r="CM1337" s="120"/>
      <c r="CN1337" s="120"/>
      <c r="CO1337" s="120"/>
      <c r="CP1337" s="120"/>
      <c r="CQ1337" s="120"/>
      <c r="CR1337" s="120"/>
      <c r="CS1337" s="120"/>
      <c r="CT1337" s="120"/>
      <c r="CU1337" s="120"/>
      <c r="CV1337" s="120"/>
      <c r="CW1337" s="120"/>
      <c r="CX1337" s="120"/>
      <c r="CY1337" s="120"/>
      <c r="CZ1337" s="120"/>
      <c r="DA1337" s="120"/>
      <c r="DB1337" s="120"/>
      <c r="DC1337" s="120"/>
      <c r="DD1337" s="120"/>
      <c r="DE1337" s="120"/>
      <c r="DF1337" s="120"/>
      <c r="DG1337" s="120"/>
      <c r="DH1337" s="120"/>
      <c r="DI1337" s="120"/>
      <c r="DJ1337" s="120"/>
      <c r="DK1337" s="120"/>
      <c r="DL1337" s="120"/>
      <c r="DM1337" s="120"/>
      <c r="DN1337" s="120"/>
      <c r="DO1337" s="120"/>
      <c r="DP1337" s="120"/>
      <c r="DQ1337" s="120"/>
      <c r="DR1337" s="120"/>
      <c r="DS1337" s="120"/>
      <c r="DT1337" s="120"/>
      <c r="DU1337" s="120"/>
      <c r="DV1337" s="120"/>
      <c r="DW1337" s="120"/>
      <c r="DX1337" s="120"/>
      <c r="DY1337" s="120"/>
      <c r="DZ1337" s="120"/>
      <c r="EA1337" s="120"/>
      <c r="EB1337" s="120"/>
      <c r="EC1337" s="120"/>
      <c r="ED1337" s="120"/>
      <c r="EE1337" s="120"/>
      <c r="EF1337" s="120"/>
      <c r="EG1337" s="120"/>
      <c r="EH1337" s="120"/>
      <c r="EI1337" s="120"/>
      <c r="EJ1337" s="120"/>
      <c r="EK1337" s="120"/>
      <c r="EL1337" s="120"/>
      <c r="EM1337" s="120"/>
      <c r="EN1337" s="120"/>
      <c r="EO1337" s="120"/>
      <c r="EP1337" s="120"/>
      <c r="EQ1337" s="120"/>
      <c r="ER1337" s="120"/>
      <c r="ES1337" s="120"/>
      <c r="ET1337" s="120"/>
      <c r="EU1337" s="120"/>
      <c r="EV1337" s="120"/>
      <c r="EW1337" s="120"/>
      <c r="EX1337" s="120"/>
      <c r="EY1337" s="120"/>
      <c r="EZ1337" s="120"/>
      <c r="FA1337" s="120"/>
      <c r="FB1337" s="120"/>
      <c r="FC1337" s="120"/>
      <c r="FD1337" s="120"/>
      <c r="FE1337" s="120"/>
      <c r="FF1337" s="120"/>
      <c r="FG1337" s="120"/>
      <c r="FH1337" s="120"/>
      <c r="FI1337" s="120"/>
      <c r="FJ1337" s="120"/>
      <c r="FK1337" s="120"/>
      <c r="FL1337" s="120"/>
      <c r="FM1337" s="120"/>
      <c r="FN1337" s="120"/>
      <c r="FO1337" s="120"/>
      <c r="FP1337" s="120"/>
      <c r="FQ1337" s="120"/>
      <c r="FR1337" s="120"/>
      <c r="FS1337" s="120"/>
      <c r="FT1337" s="120"/>
      <c r="FU1337" s="120"/>
      <c r="FV1337" s="120"/>
      <c r="FW1337" s="120"/>
      <c r="FX1337" s="120"/>
      <c r="FY1337" s="120"/>
      <c r="FZ1337" s="120"/>
      <c r="GA1337" s="120"/>
      <c r="GB1337" s="120"/>
      <c r="GC1337" s="120"/>
      <c r="GD1337" s="120"/>
      <c r="GE1337" s="120"/>
      <c r="GF1337" s="120"/>
      <c r="GG1337" s="120"/>
      <c r="GH1337" s="120"/>
      <c r="GI1337" s="120"/>
      <c r="GJ1337" s="120"/>
      <c r="GK1337" s="120"/>
      <c r="GL1337" s="120"/>
      <c r="GM1337" s="120"/>
      <c r="GN1337" s="120"/>
      <c r="GO1337" s="120"/>
      <c r="GP1337" s="120"/>
      <c r="GQ1337" s="120"/>
      <c r="GR1337" s="120"/>
      <c r="GS1337" s="120"/>
      <c r="GT1337" s="120"/>
      <c r="GU1337" s="120"/>
      <c r="GV1337" s="120"/>
      <c r="GW1337" s="120"/>
      <c r="GX1337" s="120"/>
      <c r="GY1337" s="120"/>
      <c r="GZ1337" s="120"/>
      <c r="HA1337" s="120"/>
      <c r="HB1337" s="120"/>
      <c r="HC1337" s="120"/>
      <c r="HD1337" s="120"/>
      <c r="HE1337" s="120"/>
      <c r="HF1337" s="120"/>
      <c r="HG1337" s="120"/>
      <c r="HH1337" s="120"/>
      <c r="HI1337" s="120"/>
      <c r="HJ1337" s="120"/>
      <c r="HK1337" s="120"/>
      <c r="HL1337" s="120"/>
      <c r="HM1337" s="120"/>
      <c r="HN1337" s="120"/>
      <c r="HO1337" s="120"/>
      <c r="HP1337" s="120"/>
      <c r="HQ1337" s="120"/>
      <c r="HR1337" s="120"/>
      <c r="HS1337" s="120"/>
      <c r="HT1337" s="120"/>
      <c r="HU1337" s="120"/>
      <c r="HV1337" s="120"/>
      <c r="HW1337" s="120"/>
      <c r="HX1337" s="120"/>
      <c r="HY1337" s="120"/>
      <c r="HZ1337" s="120"/>
      <c r="IA1337" s="120"/>
      <c r="IB1337" s="120"/>
      <c r="IC1337" s="120"/>
      <c r="ID1337" s="120"/>
      <c r="IE1337" s="120"/>
      <c r="IF1337" s="120"/>
      <c r="IG1337" s="120"/>
      <c r="IH1337" s="120"/>
      <c r="II1337" s="120"/>
      <c r="IJ1337" s="120"/>
      <c r="IK1337" s="120"/>
      <c r="IL1337" s="120"/>
      <c r="IM1337" s="120"/>
      <c r="IN1337" s="120"/>
      <c r="IO1337" s="120"/>
      <c r="IP1337" s="120"/>
      <c r="IQ1337" s="120"/>
      <c r="IR1337" s="120"/>
      <c r="IS1337" s="120"/>
      <c r="IT1337" s="120"/>
      <c r="IU1337" s="120"/>
      <c r="IV1337" s="120"/>
      <c r="IW1337" s="120"/>
      <c r="IX1337" s="120"/>
      <c r="IY1337" s="120"/>
      <c r="IZ1337" s="120"/>
      <c r="JA1337" s="120"/>
      <c r="JB1337" s="120"/>
      <c r="JC1337" s="120"/>
      <c r="JD1337" s="120"/>
      <c r="JE1337" s="120"/>
      <c r="JF1337" s="120"/>
      <c r="JG1337" s="120"/>
      <c r="JH1337" s="120"/>
      <c r="JI1337" s="120"/>
      <c r="JJ1337" s="120"/>
      <c r="JK1337" s="120"/>
      <c r="JL1337" s="120"/>
      <c r="JM1337" s="120"/>
      <c r="JN1337" s="120"/>
      <c r="JO1337" s="120"/>
      <c r="JP1337" s="120"/>
      <c r="JQ1337" s="120"/>
      <c r="JR1337" s="120"/>
      <c r="JS1337" s="120"/>
      <c r="JT1337" s="120"/>
      <c r="JU1337" s="120"/>
      <c r="JV1337" s="120"/>
      <c r="JW1337" s="120"/>
      <c r="JX1337" s="120"/>
      <c r="JY1337" s="120"/>
      <c r="JZ1337" s="120"/>
      <c r="KA1337" s="120"/>
      <c r="KB1337" s="120"/>
      <c r="KC1337" s="120"/>
      <c r="KD1337" s="120"/>
      <c r="KE1337" s="120"/>
      <c r="KF1337" s="120"/>
      <c r="KG1337" s="120"/>
      <c r="KH1337" s="120"/>
      <c r="KI1337" s="120"/>
      <c r="KJ1337" s="120"/>
      <c r="KK1337" s="120"/>
      <c r="KL1337" s="120"/>
      <c r="KM1337" s="120"/>
      <c r="KN1337" s="120"/>
      <c r="KO1337" s="120"/>
      <c r="KP1337" s="120"/>
      <c r="KQ1337" s="120"/>
      <c r="KR1337" s="120"/>
      <c r="KS1337" s="120"/>
      <c r="KT1337" s="120"/>
      <c r="KU1337" s="120"/>
      <c r="KV1337" s="120"/>
      <c r="KW1337" s="120"/>
      <c r="KX1337" s="120"/>
      <c r="KY1337" s="120"/>
      <c r="KZ1337" s="120"/>
      <c r="LA1337" s="120"/>
      <c r="LB1337" s="120"/>
      <c r="LC1337" s="120"/>
      <c r="LD1337" s="120"/>
      <c r="LE1337" s="120"/>
      <c r="LF1337" s="120"/>
      <c r="LG1337" s="120"/>
      <c r="LH1337" s="120"/>
      <c r="LI1337" s="120"/>
      <c r="LJ1337" s="120"/>
      <c r="LK1337" s="120"/>
      <c r="LL1337" s="120"/>
      <c r="LM1337" s="120"/>
      <c r="LN1337" s="120"/>
      <c r="LO1337" s="120"/>
      <c r="LP1337" s="120"/>
      <c r="LQ1337" s="120"/>
      <c r="LR1337" s="120"/>
      <c r="LS1337" s="120"/>
      <c r="LT1337" s="120"/>
      <c r="LU1337" s="120"/>
      <c r="LV1337" s="120"/>
      <c r="LW1337" s="120"/>
      <c r="LX1337" s="120"/>
      <c r="LY1337" s="120"/>
      <c r="LZ1337" s="120"/>
      <c r="MA1337" s="120"/>
      <c r="MB1337" s="120"/>
      <c r="MC1337" s="120"/>
      <c r="MD1337" s="120"/>
      <c r="ME1337" s="120"/>
      <c r="MF1337" s="120"/>
      <c r="MG1337" s="120"/>
      <c r="MH1337" s="120"/>
      <c r="MI1337" s="120"/>
      <c r="MJ1337" s="120"/>
      <c r="MK1337" s="120"/>
      <c r="ML1337" s="120"/>
      <c r="MM1337" s="120"/>
      <c r="MN1337" s="120"/>
      <c r="MO1337" s="120"/>
      <c r="MP1337" s="120"/>
      <c r="MQ1337" s="120"/>
      <c r="MR1337" s="120"/>
      <c r="MS1337" s="120"/>
      <c r="MT1337" s="120"/>
      <c r="MU1337" s="120"/>
      <c r="MV1337" s="120"/>
      <c r="MW1337" s="120"/>
      <c r="MX1337" s="120"/>
      <c r="MY1337" s="120"/>
      <c r="MZ1337" s="120"/>
      <c r="NA1337" s="120"/>
      <c r="NB1337" s="120"/>
      <c r="NC1337" s="120"/>
      <c r="ND1337" s="120"/>
      <c r="NE1337" s="120"/>
      <c r="NF1337" s="120"/>
      <c r="NG1337" s="120"/>
      <c r="NH1337" s="120"/>
      <c r="NI1337" s="120"/>
      <c r="NJ1337" s="120"/>
      <c r="NK1337" s="120"/>
      <c r="NL1337" s="120"/>
      <c r="NM1337" s="120"/>
      <c r="NN1337" s="120"/>
      <c r="NO1337" s="120"/>
      <c r="NP1337" s="120"/>
      <c r="NQ1337" s="120"/>
      <c r="NR1337" s="120"/>
      <c r="NS1337" s="120"/>
      <c r="NT1337" s="120"/>
      <c r="NU1337" s="120"/>
      <c r="NV1337" s="120"/>
      <c r="NW1337" s="120"/>
      <c r="NX1337" s="120"/>
      <c r="NY1337" s="120"/>
      <c r="NZ1337" s="120"/>
      <c r="OA1337" s="120"/>
      <c r="OB1337" s="120"/>
      <c r="OC1337" s="120"/>
      <c r="OD1337" s="120"/>
      <c r="OE1337" s="120"/>
      <c r="OF1337" s="120"/>
      <c r="OG1337" s="120"/>
      <c r="OH1337" s="120"/>
      <c r="OI1337" s="120"/>
      <c r="OJ1337" s="120"/>
      <c r="OK1337" s="120"/>
      <c r="OL1337" s="120"/>
      <c r="OM1337" s="120"/>
      <c r="ON1337" s="120"/>
      <c r="OO1337" s="120"/>
      <c r="OP1337" s="120"/>
      <c r="OQ1337" s="120"/>
      <c r="OR1337" s="120"/>
      <c r="OS1337" s="120"/>
      <c r="OT1337" s="120"/>
      <c r="OU1337" s="120"/>
      <c r="OV1337" s="120"/>
      <c r="OW1337" s="120"/>
      <c r="OX1337" s="120"/>
      <c r="OY1337" s="120"/>
      <c r="OZ1337" s="120"/>
      <c r="PA1337" s="120"/>
      <c r="PB1337" s="120"/>
      <c r="PC1337" s="120"/>
      <c r="PD1337" s="120"/>
      <c r="PE1337" s="120"/>
      <c r="PF1337" s="120"/>
      <c r="PG1337" s="120"/>
      <c r="PH1337" s="120"/>
      <c r="PI1337" s="120"/>
      <c r="PJ1337" s="120"/>
      <c r="PK1337" s="120"/>
      <c r="PL1337" s="120"/>
      <c r="PM1337" s="120"/>
      <c r="PN1337" s="120"/>
      <c r="PO1337" s="120"/>
      <c r="PP1337" s="120"/>
      <c r="PQ1337" s="120"/>
      <c r="PR1337" s="120"/>
      <c r="PS1337" s="120"/>
      <c r="PT1337" s="120"/>
      <c r="PU1337" s="120"/>
      <c r="PV1337" s="120"/>
      <c r="PW1337" s="120"/>
      <c r="PX1337" s="120"/>
      <c r="PY1337" s="120"/>
      <c r="PZ1337" s="120"/>
      <c r="QA1337" s="120"/>
      <c r="QB1337" s="120"/>
      <c r="QC1337" s="120"/>
      <c r="QD1337" s="120"/>
      <c r="QE1337" s="120"/>
      <c r="QF1337" s="120"/>
      <c r="QG1337" s="120"/>
      <c r="QH1337" s="120"/>
      <c r="QI1337" s="120"/>
      <c r="QJ1337" s="120"/>
      <c r="QK1337" s="120"/>
      <c r="QL1337" s="120"/>
      <c r="QM1337" s="120"/>
      <c r="QN1337" s="120"/>
      <c r="QO1337" s="120"/>
      <c r="QP1337" s="120"/>
      <c r="QQ1337" s="120"/>
      <c r="QR1337" s="120"/>
      <c r="QS1337" s="120"/>
      <c r="QT1337" s="120"/>
      <c r="QU1337" s="120"/>
      <c r="QV1337" s="120"/>
      <c r="QW1337" s="120"/>
      <c r="QX1337" s="120"/>
      <c r="QY1337" s="120"/>
      <c r="QZ1337" s="120"/>
      <c r="RA1337" s="120"/>
      <c r="RB1337" s="120"/>
      <c r="RC1337" s="120"/>
      <c r="RD1337" s="120"/>
      <c r="RE1337" s="120"/>
      <c r="RF1337" s="120"/>
      <c r="RG1337" s="120"/>
      <c r="RH1337" s="120"/>
      <c r="RI1337" s="120"/>
      <c r="RJ1337" s="120"/>
      <c r="RK1337" s="120"/>
      <c r="RL1337" s="120"/>
      <c r="RM1337" s="120"/>
      <c r="RN1337" s="120"/>
      <c r="RO1337" s="120"/>
      <c r="RP1337" s="120"/>
      <c r="RQ1337" s="120"/>
      <c r="RR1337" s="120"/>
      <c r="RS1337" s="120"/>
      <c r="RT1337" s="120"/>
      <c r="RU1337" s="120"/>
      <c r="RV1337" s="120"/>
      <c r="RW1337" s="120"/>
      <c r="RX1337" s="120"/>
      <c r="RY1337" s="120"/>
      <c r="RZ1337" s="120"/>
      <c r="SA1337" s="120"/>
      <c r="SB1337" s="120"/>
      <c r="SC1337" s="120"/>
      <c r="SD1337" s="120"/>
      <c r="SE1337" s="120"/>
      <c r="SF1337" s="120"/>
      <c r="SG1337" s="120"/>
      <c r="SH1337" s="120"/>
      <c r="SI1337" s="120"/>
      <c r="SJ1337" s="120"/>
      <c r="SK1337" s="120"/>
      <c r="SL1337" s="120"/>
      <c r="SM1337" s="120"/>
      <c r="SN1337" s="120"/>
      <c r="SO1337" s="120"/>
      <c r="SP1337" s="120"/>
      <c r="SQ1337" s="120"/>
      <c r="SR1337" s="120"/>
      <c r="SS1337" s="120"/>
      <c r="ST1337" s="120"/>
      <c r="SU1337" s="120"/>
      <c r="SV1337" s="120"/>
      <c r="SW1337" s="120"/>
      <c r="SX1337" s="120"/>
      <c r="SY1337" s="120"/>
      <c r="SZ1337" s="120"/>
      <c r="TA1337" s="120"/>
      <c r="TB1337" s="120"/>
      <c r="TC1337" s="120"/>
      <c r="TD1337" s="120"/>
      <c r="TE1337" s="120"/>
      <c r="TF1337" s="120"/>
      <c r="TG1337" s="120"/>
      <c r="TH1337" s="120"/>
      <c r="TI1337" s="120"/>
      <c r="TJ1337" s="120"/>
      <c r="TK1337" s="120"/>
      <c r="TL1337" s="120"/>
      <c r="TM1337" s="120"/>
      <c r="TN1337" s="120"/>
      <c r="TO1337" s="120"/>
      <c r="TP1337" s="120"/>
      <c r="TQ1337" s="120"/>
      <c r="TR1337" s="120"/>
      <c r="TS1337" s="120"/>
      <c r="TT1337" s="120"/>
      <c r="TU1337" s="120"/>
      <c r="TV1337" s="120"/>
      <c r="TW1337" s="120"/>
      <c r="TX1337" s="120"/>
      <c r="TY1337" s="120"/>
      <c r="TZ1337" s="120"/>
      <c r="UA1337" s="120"/>
      <c r="UB1337" s="120"/>
      <c r="UC1337" s="120"/>
      <c r="UD1337" s="120"/>
      <c r="UE1337" s="120"/>
      <c r="UF1337" s="120"/>
      <c r="UG1337" s="120"/>
      <c r="UH1337" s="120"/>
      <c r="UI1337" s="120"/>
      <c r="UJ1337" s="120"/>
      <c r="UK1337" s="120"/>
      <c r="UL1337" s="120"/>
      <c r="UM1337" s="120"/>
      <c r="UN1337" s="120"/>
      <c r="UO1337" s="120"/>
      <c r="UP1337" s="120"/>
      <c r="UQ1337" s="120"/>
      <c r="UR1337" s="120"/>
      <c r="US1337" s="120"/>
      <c r="UT1337" s="120"/>
      <c r="UU1337" s="120"/>
      <c r="UV1337" s="120"/>
      <c r="UW1337" s="120"/>
      <c r="UX1337" s="120"/>
      <c r="UY1337" s="120"/>
      <c r="UZ1337" s="120"/>
      <c r="VA1337" s="120"/>
      <c r="VB1337" s="120"/>
      <c r="VC1337" s="120"/>
      <c r="VD1337" s="120"/>
      <c r="VE1337" s="120"/>
      <c r="VF1337" s="120"/>
      <c r="VG1337" s="120"/>
      <c r="VH1337" s="120"/>
      <c r="VI1337" s="120"/>
      <c r="VJ1337" s="120"/>
      <c r="VK1337" s="120"/>
      <c r="VL1337" s="120"/>
      <c r="VM1337" s="120"/>
      <c r="VN1337" s="120"/>
      <c r="VO1337" s="120"/>
      <c r="VP1337" s="120"/>
      <c r="VQ1337" s="120"/>
      <c r="VR1337" s="120"/>
      <c r="VS1337" s="120"/>
      <c r="VT1337" s="120"/>
      <c r="VU1337" s="120"/>
      <c r="VV1337" s="120"/>
      <c r="VW1337" s="120"/>
      <c r="VX1337" s="120"/>
      <c r="VY1337" s="120"/>
      <c r="VZ1337" s="120"/>
      <c r="WA1337" s="120"/>
      <c r="WB1337" s="120"/>
      <c r="WC1337" s="120"/>
      <c r="WD1337" s="120"/>
      <c r="WE1337" s="120"/>
      <c r="WF1337" s="120"/>
      <c r="WG1337" s="120"/>
      <c r="WH1337" s="120"/>
      <c r="WI1337" s="120"/>
      <c r="WJ1337" s="120"/>
      <c r="WK1337" s="120"/>
      <c r="WL1337" s="120"/>
      <c r="WM1337" s="120"/>
      <c r="WN1337" s="120"/>
      <c r="WO1337" s="120"/>
      <c r="WP1337" s="120"/>
      <c r="WQ1337" s="120"/>
      <c r="WR1337" s="120"/>
      <c r="WS1337" s="120"/>
      <c r="WT1337" s="120"/>
      <c r="WU1337" s="120"/>
      <c r="WV1337" s="120"/>
      <c r="WW1337" s="120"/>
      <c r="WX1337" s="120"/>
      <c r="WY1337" s="120"/>
      <c r="WZ1337" s="120"/>
      <c r="XA1337" s="120"/>
      <c r="XB1337" s="120"/>
      <c r="XC1337" s="120"/>
      <c r="XD1337" s="120"/>
      <c r="XE1337" s="120"/>
      <c r="XF1337" s="120"/>
      <c r="XG1337" s="120"/>
      <c r="XH1337" s="120"/>
      <c r="XI1337" s="120"/>
      <c r="XJ1337" s="120"/>
      <c r="XK1337" s="120"/>
      <c r="XL1337" s="120"/>
      <c r="XM1337" s="120"/>
      <c r="XN1337" s="120"/>
      <c r="XO1337" s="120"/>
      <c r="XP1337" s="120"/>
      <c r="XQ1337" s="120"/>
      <c r="XR1337" s="120"/>
      <c r="XS1337" s="120"/>
      <c r="XT1337" s="120"/>
      <c r="XU1337" s="120"/>
      <c r="XV1337" s="120"/>
      <c r="XW1337" s="120"/>
      <c r="XX1337" s="120"/>
      <c r="XY1337" s="120"/>
      <c r="XZ1337" s="120"/>
      <c r="YA1337" s="120"/>
      <c r="YB1337" s="120"/>
      <c r="YC1337" s="120"/>
      <c r="YD1337" s="120"/>
      <c r="YE1337" s="120"/>
      <c r="YF1337" s="120"/>
      <c r="YG1337" s="120"/>
      <c r="YH1337" s="120"/>
      <c r="YI1337" s="120"/>
      <c r="YJ1337" s="120"/>
      <c r="YK1337" s="120"/>
      <c r="YL1337" s="120"/>
      <c r="YM1337" s="120"/>
      <c r="YN1337" s="120"/>
      <c r="YO1337" s="120"/>
      <c r="YP1337" s="120"/>
      <c r="YQ1337" s="120"/>
      <c r="YR1337" s="120"/>
      <c r="YS1337" s="120"/>
      <c r="YT1337" s="120"/>
      <c r="YU1337" s="120"/>
      <c r="YV1337" s="120"/>
      <c r="YW1337" s="120"/>
      <c r="YX1337" s="120"/>
      <c r="YY1337" s="120"/>
      <c r="YZ1337" s="120"/>
      <c r="ZA1337" s="120"/>
      <c r="ZB1337" s="120"/>
      <c r="ZC1337" s="120"/>
      <c r="ZD1337" s="120"/>
      <c r="ZE1337" s="120"/>
      <c r="ZF1337" s="120"/>
      <c r="ZG1337" s="120"/>
      <c r="ZH1337" s="120"/>
      <c r="ZI1337" s="120"/>
      <c r="ZJ1337" s="120"/>
      <c r="ZK1337" s="120"/>
      <c r="ZL1337" s="120"/>
      <c r="ZM1337" s="120"/>
      <c r="ZN1337" s="120"/>
      <c r="ZO1337" s="120"/>
      <c r="ZP1337" s="120"/>
      <c r="ZQ1337" s="120"/>
      <c r="ZR1337" s="120"/>
      <c r="ZS1337" s="120"/>
      <c r="ZT1337" s="120"/>
      <c r="ZU1337" s="120"/>
      <c r="ZV1337" s="120"/>
      <c r="ZW1337" s="120"/>
      <c r="ZX1337" s="120"/>
      <c r="ZY1337" s="120"/>
      <c r="ZZ1337" s="120"/>
      <c r="AAA1337" s="120"/>
      <c r="AAB1337" s="120"/>
      <c r="AAC1337" s="120"/>
      <c r="AAD1337" s="120"/>
      <c r="AAE1337" s="120"/>
      <c r="AAF1337" s="120"/>
      <c r="AAG1337" s="120"/>
      <c r="AAH1337" s="120"/>
      <c r="AAI1337" s="120"/>
      <c r="AAJ1337" s="120"/>
      <c r="AAK1337" s="120"/>
      <c r="AAL1337" s="120"/>
      <c r="AAM1337" s="120"/>
      <c r="AAN1337" s="120"/>
      <c r="AAO1337" s="120"/>
      <c r="AAP1337" s="120"/>
      <c r="AAQ1337" s="120"/>
      <c r="AAR1337" s="120"/>
      <c r="AAS1337" s="120"/>
      <c r="AAT1337" s="120"/>
      <c r="AAU1337" s="120"/>
      <c r="AAV1337" s="120"/>
      <c r="AAW1337" s="120"/>
      <c r="AAX1337" s="120"/>
      <c r="AAY1337" s="120"/>
      <c r="AAZ1337" s="120"/>
      <c r="ABA1337" s="120"/>
      <c r="ABB1337" s="120"/>
      <c r="ABC1337" s="120"/>
      <c r="ABD1337" s="120"/>
      <c r="ABE1337" s="120"/>
      <c r="ABF1337" s="120"/>
      <c r="ABG1337" s="120"/>
      <c r="ABH1337" s="120"/>
      <c r="ABI1337" s="120"/>
      <c r="ABJ1337" s="120"/>
      <c r="ABK1337" s="120"/>
      <c r="ABL1337" s="120"/>
      <c r="ABM1337" s="120"/>
      <c r="ABN1337" s="120"/>
      <c r="ABO1337" s="120"/>
      <c r="ABP1337" s="120"/>
      <c r="ABQ1337" s="120"/>
      <c r="ABR1337" s="120"/>
      <c r="ABS1337" s="120"/>
      <c r="ABT1337" s="120"/>
      <c r="ABU1337" s="120"/>
      <c r="ABV1337" s="120"/>
      <c r="ABW1337" s="120"/>
      <c r="ABX1337" s="120"/>
      <c r="ABY1337" s="120"/>
      <c r="ABZ1337" s="120"/>
      <c r="ACA1337" s="120"/>
      <c r="ACB1337" s="120"/>
      <c r="ACC1337" s="120"/>
      <c r="ACD1337" s="120"/>
      <c r="ACE1337" s="120"/>
      <c r="ACF1337" s="120"/>
      <c r="ACG1337" s="120"/>
      <c r="ACH1337" s="120"/>
      <c r="ACI1337" s="120"/>
      <c r="ACJ1337" s="120"/>
      <c r="ACK1337" s="120"/>
      <c r="ACL1337" s="120"/>
      <c r="ACM1337" s="120"/>
      <c r="ACN1337" s="120"/>
      <c r="ACO1337" s="120"/>
      <c r="ACP1337" s="120"/>
      <c r="ACQ1337" s="120"/>
      <c r="ACR1337" s="120"/>
      <c r="ACS1337" s="120"/>
      <c r="ACT1337" s="120"/>
      <c r="ACU1337" s="120"/>
      <c r="ACV1337" s="120"/>
      <c r="ACW1337" s="120"/>
      <c r="ACX1337" s="120"/>
      <c r="ACY1337" s="120"/>
      <c r="ACZ1337" s="120"/>
      <c r="ADA1337" s="120"/>
      <c r="ADB1337" s="120"/>
      <c r="ADC1337" s="120"/>
      <c r="ADD1337" s="120"/>
      <c r="ADE1337" s="120"/>
      <c r="ADF1337" s="120"/>
      <c r="ADG1337" s="120"/>
      <c r="ADH1337" s="120"/>
      <c r="ADI1337" s="120"/>
      <c r="ADJ1337" s="120"/>
      <c r="ADK1337" s="120"/>
      <c r="ADL1337" s="120"/>
      <c r="ADM1337" s="120"/>
      <c r="ADN1337" s="120"/>
      <c r="ADO1337" s="120"/>
      <c r="ADP1337" s="120"/>
      <c r="ADQ1337" s="120"/>
      <c r="ADR1337" s="120"/>
      <c r="ADS1337" s="120"/>
      <c r="ADT1337" s="120"/>
      <c r="ADU1337" s="120"/>
      <c r="ADV1337" s="120"/>
      <c r="ADW1337" s="120"/>
      <c r="ADX1337" s="120"/>
      <c r="ADY1337" s="120"/>
      <c r="ADZ1337" s="120"/>
      <c r="AEA1337" s="120"/>
      <c r="AEB1337" s="120"/>
      <c r="AEC1337" s="120"/>
      <c r="AED1337" s="120"/>
      <c r="AEE1337" s="120"/>
      <c r="AEF1337" s="120"/>
      <c r="AEG1337" s="120"/>
      <c r="AEH1337" s="120"/>
      <c r="AEI1337" s="120"/>
      <c r="AEJ1337" s="120"/>
      <c r="AEK1337" s="120"/>
      <c r="AEL1337" s="120"/>
      <c r="AEM1337" s="120"/>
      <c r="AEN1337" s="120"/>
      <c r="AEO1337" s="120"/>
      <c r="AEP1337" s="120"/>
      <c r="AEQ1337" s="120"/>
      <c r="AER1337" s="120"/>
      <c r="AES1337" s="120"/>
      <c r="AET1337" s="120"/>
      <c r="AEU1337" s="120"/>
      <c r="AEV1337" s="120"/>
      <c r="AEW1337" s="120"/>
      <c r="AEX1337" s="120"/>
      <c r="AEY1337" s="120"/>
      <c r="AEZ1337" s="120"/>
      <c r="AFA1337" s="120"/>
      <c r="AFB1337" s="120"/>
      <c r="AFC1337" s="120"/>
      <c r="AFD1337" s="120"/>
      <c r="AFE1337" s="120"/>
      <c r="AFF1337" s="120"/>
      <c r="AFG1337" s="120"/>
      <c r="AFH1337" s="120"/>
      <c r="AFI1337" s="120"/>
      <c r="AFJ1337" s="120"/>
      <c r="AFK1337" s="120"/>
      <c r="AFL1337" s="120"/>
      <c r="AFM1337" s="120"/>
      <c r="AFN1337" s="120"/>
      <c r="AFO1337" s="120"/>
      <c r="AFP1337" s="120"/>
      <c r="AFQ1337" s="120"/>
      <c r="AFR1337" s="120"/>
      <c r="AFS1337" s="120"/>
      <c r="AFT1337" s="120"/>
      <c r="AFU1337" s="120"/>
      <c r="AFV1337" s="120"/>
      <c r="AFW1337" s="120"/>
      <c r="AFX1337" s="120"/>
      <c r="AFY1337" s="120"/>
      <c r="AFZ1337" s="120"/>
      <c r="AGA1337" s="120"/>
      <c r="AGB1337" s="120"/>
      <c r="AGC1337" s="120"/>
      <c r="AGD1337" s="120"/>
      <c r="AGE1337" s="120"/>
      <c r="AGF1337" s="120"/>
      <c r="AGG1337" s="120"/>
      <c r="AGH1337" s="120"/>
      <c r="AGI1337" s="120"/>
      <c r="AGJ1337" s="120"/>
      <c r="AGK1337" s="120"/>
      <c r="AGL1337" s="120"/>
      <c r="AGM1337" s="120"/>
      <c r="AGN1337" s="120"/>
      <c r="AGO1337" s="120"/>
      <c r="AGP1337" s="120"/>
      <c r="AGQ1337" s="120"/>
      <c r="AGR1337" s="120"/>
      <c r="AGS1337" s="120"/>
      <c r="AGT1337" s="120"/>
      <c r="AGU1337" s="120"/>
      <c r="AGV1337" s="120"/>
      <c r="AGW1337" s="120"/>
      <c r="AGX1337" s="120"/>
      <c r="AGY1337" s="120"/>
      <c r="AGZ1337" s="120"/>
      <c r="AHA1337" s="120"/>
      <c r="AHB1337" s="120"/>
      <c r="AHC1337" s="120"/>
      <c r="AHD1337" s="120"/>
      <c r="AHE1337" s="120"/>
      <c r="AHF1337" s="120"/>
      <c r="AHG1337" s="120"/>
      <c r="AHH1337" s="120"/>
      <c r="AHI1337" s="120"/>
      <c r="AHJ1337" s="120"/>
      <c r="AHK1337" s="120"/>
      <c r="AHL1337" s="120"/>
      <c r="AHM1337" s="120"/>
      <c r="AHN1337" s="120"/>
      <c r="AHO1337" s="120"/>
      <c r="AHP1337" s="120"/>
      <c r="AHQ1337" s="120"/>
      <c r="AHR1337" s="120"/>
      <c r="AHS1337" s="120"/>
      <c r="AHT1337" s="120"/>
      <c r="AHU1337" s="120"/>
      <c r="AHV1337" s="120"/>
      <c r="AHW1337" s="120"/>
      <c r="AHX1337" s="120"/>
      <c r="AHY1337" s="120"/>
      <c r="AHZ1337" s="120"/>
      <c r="AIA1337" s="120"/>
      <c r="AIB1337" s="120"/>
      <c r="AIC1337" s="120"/>
      <c r="AID1337" s="120"/>
      <c r="AIE1337" s="120"/>
      <c r="AIF1337" s="120"/>
      <c r="AIG1337" s="120"/>
      <c r="AIH1337" s="120"/>
      <c r="AII1337" s="120"/>
      <c r="AIJ1337" s="120"/>
      <c r="AIK1337" s="120"/>
      <c r="AIL1337" s="120"/>
      <c r="AIM1337" s="120"/>
      <c r="AIN1337" s="120"/>
      <c r="AIO1337" s="120"/>
      <c r="AIP1337" s="120"/>
      <c r="AIQ1337" s="120"/>
      <c r="AIR1337" s="120"/>
      <c r="AIS1337" s="120"/>
      <c r="AIT1337" s="120"/>
      <c r="AIU1337" s="120"/>
      <c r="AIV1337" s="120"/>
      <c r="AIW1337" s="120"/>
      <c r="AIX1337" s="120"/>
      <c r="AIY1337" s="120"/>
      <c r="AIZ1337" s="120"/>
      <c r="AJA1337" s="120"/>
      <c r="AJB1337" s="120"/>
      <c r="AJC1337" s="120"/>
      <c r="AJD1337" s="120"/>
      <c r="AJE1337" s="120"/>
      <c r="AJF1337" s="120"/>
      <c r="AJG1337" s="120"/>
      <c r="AJH1337" s="120"/>
      <c r="AJI1337" s="120"/>
      <c r="AJJ1337" s="120"/>
      <c r="AJK1337" s="120"/>
      <c r="AJL1337" s="120"/>
      <c r="AJM1337" s="120"/>
      <c r="AJN1337" s="120"/>
      <c r="AJO1337" s="120"/>
      <c r="AJP1337" s="120"/>
      <c r="AJQ1337" s="120"/>
      <c r="AJR1337" s="120"/>
      <c r="AJS1337" s="120"/>
      <c r="AJT1337" s="120"/>
      <c r="AJU1337" s="120"/>
      <c r="AJV1337" s="120"/>
      <c r="AJW1337" s="120"/>
      <c r="AJX1337" s="120"/>
      <c r="AJY1337" s="120"/>
      <c r="AJZ1337" s="120"/>
      <c r="AKA1337" s="120"/>
      <c r="AKB1337" s="120"/>
      <c r="AKC1337" s="120"/>
      <c r="AKD1337" s="120"/>
      <c r="AKE1337" s="120"/>
      <c r="AKF1337" s="120"/>
      <c r="AKG1337" s="120"/>
      <c r="AKH1337" s="120"/>
      <c r="AKI1337" s="120"/>
      <c r="AKJ1337" s="120"/>
      <c r="AKK1337" s="120"/>
      <c r="AKL1337" s="120"/>
      <c r="AKM1337" s="120"/>
      <c r="AKN1337" s="120"/>
      <c r="AKO1337" s="120"/>
      <c r="AKP1337" s="120"/>
      <c r="AKQ1337" s="120"/>
      <c r="AKR1337" s="120"/>
      <c r="AKS1337" s="120"/>
      <c r="AKT1337" s="120"/>
      <c r="AKU1337" s="120"/>
      <c r="AKV1337" s="120"/>
      <c r="AKW1337" s="120"/>
      <c r="AKX1337" s="120"/>
      <c r="AKY1337" s="120"/>
      <c r="AKZ1337" s="120"/>
      <c r="ALA1337" s="120"/>
      <c r="ALB1337" s="120"/>
      <c r="ALC1337" s="120"/>
      <c r="ALD1337" s="120"/>
      <c r="ALE1337" s="120"/>
      <c r="ALF1337" s="120"/>
      <c r="ALG1337" s="120"/>
      <c r="ALH1337" s="120"/>
      <c r="ALI1337" s="120"/>
      <c r="ALJ1337" s="120"/>
      <c r="ALK1337" s="120"/>
      <c r="ALL1337" s="120"/>
      <c r="ALM1337" s="120"/>
      <c r="ALN1337" s="120"/>
      <c r="ALO1337" s="120"/>
      <c r="ALP1337" s="120"/>
      <c r="ALQ1337" s="120"/>
      <c r="ALR1337" s="120"/>
      <c r="ALS1337" s="120"/>
      <c r="ALT1337" s="120"/>
      <c r="ALU1337" s="120"/>
      <c r="ALV1337" s="120"/>
      <c r="ALW1337" s="120"/>
      <c r="ALX1337" s="120"/>
      <c r="ALY1337" s="120"/>
      <c r="ALZ1337" s="120"/>
      <c r="AMA1337" s="120"/>
      <c r="AMB1337" s="120"/>
      <c r="AMC1337" s="120"/>
      <c r="AMD1337" s="120"/>
      <c r="AME1337" s="120"/>
      <c r="AMF1337" s="120"/>
      <c r="AMG1337" s="120"/>
      <c r="AMH1337" s="120"/>
      <c r="AMI1337" s="120"/>
      <c r="AMJ1337" s="120"/>
      <c r="AMK1337" s="120"/>
      <c r="AML1337" s="120"/>
      <c r="AMM1337" s="120"/>
      <c r="AMN1337" s="120"/>
      <c r="AMO1337" s="120"/>
      <c r="AMP1337" s="120"/>
      <c r="AMQ1337" s="120"/>
      <c r="AMR1337" s="120"/>
      <c r="AMS1337" s="120"/>
      <c r="AMT1337" s="120"/>
      <c r="AMU1337" s="120"/>
      <c r="AMV1337" s="120"/>
      <c r="AMW1337" s="120"/>
      <c r="AMX1337" s="120"/>
      <c r="AMY1337" s="120"/>
      <c r="AMZ1337" s="120"/>
      <c r="ANA1337" s="120"/>
      <c r="ANB1337" s="120"/>
      <c r="ANC1337" s="120"/>
      <c r="AND1337" s="120"/>
      <c r="ANE1337" s="120"/>
      <c r="ANF1337" s="120"/>
      <c r="ANG1337" s="120"/>
      <c r="ANH1337" s="120"/>
      <c r="ANI1337" s="120"/>
      <c r="ANJ1337" s="120"/>
      <c r="ANK1337" s="120"/>
      <c r="ANL1337" s="120"/>
      <c r="ANM1337" s="120"/>
      <c r="ANN1337" s="120"/>
      <c r="ANO1337" s="120"/>
      <c r="ANP1337" s="120"/>
      <c r="ANQ1337" s="120"/>
      <c r="ANR1337" s="120"/>
      <c r="ANS1337" s="120"/>
      <c r="ANT1337" s="120"/>
      <c r="ANU1337" s="120"/>
      <c r="ANV1337" s="120"/>
      <c r="ANW1337" s="120"/>
      <c r="ANX1337" s="120"/>
      <c r="ANY1337" s="120"/>
      <c r="ANZ1337" s="120"/>
      <c r="AOA1337" s="120"/>
      <c r="AOB1337" s="120"/>
      <c r="AOC1337" s="120"/>
      <c r="AOD1337" s="120"/>
      <c r="AOE1337" s="120"/>
      <c r="AOF1337" s="120"/>
      <c r="AOG1337" s="120"/>
      <c r="AOH1337" s="120"/>
      <c r="AOI1337" s="120"/>
      <c r="AOJ1337" s="120"/>
      <c r="AOK1337" s="120"/>
      <c r="AOL1337" s="120"/>
      <c r="AOM1337" s="120"/>
      <c r="AON1337" s="120"/>
      <c r="AOO1337" s="120"/>
      <c r="AOP1337" s="120"/>
      <c r="AOQ1337" s="120"/>
      <c r="AOR1337" s="120"/>
      <c r="AOS1337" s="120"/>
      <c r="AOT1337" s="120"/>
      <c r="AOU1337" s="120"/>
      <c r="AOV1337" s="120"/>
      <c r="AOW1337" s="120"/>
      <c r="AOX1337" s="120"/>
      <c r="AOY1337" s="120"/>
      <c r="AOZ1337" s="120"/>
      <c r="APA1337" s="120"/>
      <c r="APB1337" s="120"/>
      <c r="APC1337" s="120"/>
      <c r="APD1337" s="120"/>
      <c r="APE1337" s="120"/>
      <c r="APF1337" s="120"/>
      <c r="APG1337" s="120"/>
      <c r="APH1337" s="120"/>
      <c r="API1337" s="120"/>
      <c r="APJ1337" s="120"/>
      <c r="APK1337" s="120"/>
      <c r="APL1337" s="120"/>
      <c r="APM1337" s="120"/>
      <c r="APN1337" s="120"/>
      <c r="APO1337" s="120"/>
      <c r="APP1337" s="120"/>
      <c r="APQ1337" s="120"/>
      <c r="APR1337" s="120"/>
      <c r="APS1337" s="120"/>
      <c r="APT1337" s="120"/>
      <c r="APU1337" s="120"/>
      <c r="APV1337" s="120"/>
      <c r="APW1337" s="120"/>
      <c r="APX1337" s="120"/>
      <c r="APY1337" s="120"/>
      <c r="APZ1337" s="120"/>
      <c r="AQA1337" s="120"/>
      <c r="AQB1337" s="120"/>
      <c r="AQC1337" s="120"/>
      <c r="AQD1337" s="120"/>
      <c r="AQE1337" s="120"/>
      <c r="AQF1337" s="120"/>
      <c r="AQG1337" s="120"/>
      <c r="AQH1337" s="120"/>
      <c r="AQI1337" s="120"/>
      <c r="AQJ1337" s="120"/>
      <c r="AQK1337" s="120"/>
      <c r="AQL1337" s="120"/>
      <c r="AQM1337" s="120"/>
      <c r="AQN1337" s="120"/>
      <c r="AQO1337" s="120"/>
      <c r="AQP1337" s="120"/>
      <c r="AQQ1337" s="120"/>
      <c r="AQR1337" s="120"/>
      <c r="AQS1337" s="120"/>
      <c r="AQT1337" s="120"/>
      <c r="AQU1337" s="120"/>
      <c r="AQV1337" s="120"/>
      <c r="AQW1337" s="120"/>
      <c r="AQX1337" s="120"/>
      <c r="AQY1337" s="120"/>
      <c r="AQZ1337" s="120"/>
      <c r="ARA1337" s="120"/>
      <c r="ARB1337" s="120"/>
      <c r="ARC1337" s="120"/>
      <c r="ARD1337" s="120"/>
      <c r="ARE1337" s="120"/>
      <c r="ARF1337" s="120"/>
      <c r="ARG1337" s="120"/>
      <c r="ARH1337" s="120"/>
      <c r="ARI1337" s="120"/>
      <c r="ARJ1337" s="120"/>
      <c r="ARK1337" s="120"/>
      <c r="ARL1337" s="120"/>
      <c r="ARM1337" s="120"/>
      <c r="ARN1337" s="120"/>
      <c r="ARO1337" s="120"/>
      <c r="ARP1337" s="120"/>
      <c r="ARQ1337" s="120"/>
      <c r="ARR1337" s="120"/>
      <c r="ARS1337" s="120"/>
      <c r="ART1337" s="120"/>
      <c r="ARU1337" s="120"/>
      <c r="ARV1337" s="120"/>
      <c r="ARW1337" s="120"/>
      <c r="ARX1337" s="120"/>
      <c r="ARY1337" s="120"/>
      <c r="ARZ1337" s="120"/>
      <c r="ASA1337" s="120"/>
      <c r="ASB1337" s="120"/>
      <c r="ASC1337" s="120"/>
      <c r="ASD1337" s="120"/>
      <c r="ASE1337" s="120"/>
      <c r="ASF1337" s="120"/>
      <c r="ASG1337" s="120"/>
      <c r="ASH1337" s="120"/>
      <c r="ASI1337" s="120"/>
      <c r="ASJ1337" s="120"/>
      <c r="ASK1337" s="120"/>
      <c r="ASL1337" s="120"/>
      <c r="ASM1337" s="120"/>
      <c r="ASN1337" s="120"/>
      <c r="ASO1337" s="120"/>
      <c r="ASP1337" s="120"/>
      <c r="ASQ1337" s="120"/>
      <c r="ASR1337" s="120"/>
      <c r="ASS1337" s="120"/>
      <c r="AST1337" s="120"/>
      <c r="ASU1337" s="120"/>
      <c r="ASV1337" s="120"/>
      <c r="ASW1337" s="120"/>
      <c r="ASX1337" s="120"/>
      <c r="ASY1337" s="120"/>
      <c r="ASZ1337" s="120"/>
      <c r="ATA1337" s="120"/>
      <c r="ATB1337" s="120"/>
      <c r="ATC1337" s="120"/>
      <c r="ATD1337" s="120"/>
      <c r="ATE1337" s="120"/>
      <c r="ATF1337" s="120"/>
      <c r="ATG1337" s="120"/>
      <c r="ATH1337" s="120"/>
      <c r="ATI1337" s="120"/>
      <c r="ATJ1337" s="120"/>
      <c r="ATK1337" s="120"/>
      <c r="ATL1337" s="120"/>
      <c r="ATM1337" s="120"/>
      <c r="ATN1337" s="120"/>
      <c r="ATO1337" s="120"/>
    </row>
    <row r="1338" spans="1:1211" s="20" customFormat="1" ht="14.1" customHeight="1">
      <c r="A1338" s="964"/>
      <c r="B1338" s="965"/>
      <c r="C1338" s="966" t="s">
        <v>3744</v>
      </c>
      <c r="D1338" s="631"/>
      <c r="E1338" s="898"/>
      <c r="F1338" s="899"/>
      <c r="G1338" s="899"/>
      <c r="H1338" s="899"/>
      <c r="I1338" s="899"/>
      <c r="J1338" s="899"/>
      <c r="K1338" s="112"/>
      <c r="L1338" s="363"/>
      <c r="M1338" s="112"/>
      <c r="N1338" s="362"/>
      <c r="O1338" s="573"/>
      <c r="P1338" s="120"/>
      <c r="Q1338" s="120"/>
      <c r="R1338" s="120"/>
      <c r="S1338" s="120"/>
      <c r="T1338" s="120"/>
      <c r="U1338" s="120"/>
      <c r="V1338" s="120"/>
      <c r="W1338" s="120"/>
      <c r="X1338" s="120"/>
      <c r="Y1338" s="120"/>
      <c r="Z1338" s="120"/>
      <c r="AA1338" s="120"/>
      <c r="AB1338" s="120"/>
      <c r="AC1338" s="120"/>
      <c r="AD1338" s="120"/>
      <c r="AE1338" s="120"/>
      <c r="AF1338" s="120"/>
      <c r="AG1338" s="120"/>
      <c r="AH1338" s="120"/>
      <c r="AI1338" s="120"/>
      <c r="AJ1338" s="120"/>
      <c r="AK1338" s="120"/>
      <c r="AL1338" s="120"/>
      <c r="AM1338" s="120"/>
      <c r="AN1338" s="120"/>
      <c r="AO1338" s="120"/>
      <c r="AP1338" s="120"/>
      <c r="AQ1338" s="120"/>
      <c r="AR1338" s="120"/>
      <c r="AS1338" s="120"/>
      <c r="AT1338" s="120"/>
      <c r="AU1338" s="120"/>
      <c r="AV1338" s="120"/>
      <c r="AW1338" s="120"/>
      <c r="AX1338" s="120"/>
      <c r="AY1338" s="120"/>
      <c r="AZ1338" s="120"/>
      <c r="BA1338" s="120"/>
      <c r="BB1338" s="120"/>
      <c r="BC1338" s="120"/>
      <c r="BD1338" s="120"/>
      <c r="BE1338" s="120"/>
      <c r="BF1338" s="120"/>
      <c r="BG1338" s="120"/>
      <c r="BH1338" s="120"/>
      <c r="BI1338" s="120"/>
      <c r="BJ1338" s="120"/>
      <c r="BK1338" s="120"/>
      <c r="BL1338" s="120"/>
      <c r="BM1338" s="120"/>
      <c r="BN1338" s="120"/>
      <c r="BO1338" s="120"/>
      <c r="BP1338" s="120"/>
      <c r="BQ1338" s="120"/>
      <c r="BR1338" s="120"/>
      <c r="BS1338" s="120"/>
      <c r="BT1338" s="120"/>
      <c r="BU1338" s="120"/>
      <c r="BV1338" s="120"/>
      <c r="BW1338" s="120"/>
      <c r="BX1338" s="120"/>
      <c r="BY1338" s="120"/>
      <c r="BZ1338" s="120"/>
      <c r="CA1338" s="120"/>
      <c r="CB1338" s="120"/>
      <c r="CC1338" s="120"/>
      <c r="CD1338" s="120"/>
      <c r="CE1338" s="120"/>
      <c r="CF1338" s="120"/>
      <c r="CG1338" s="120"/>
      <c r="CH1338" s="120"/>
      <c r="CI1338" s="120"/>
      <c r="CJ1338" s="120"/>
      <c r="CK1338" s="120"/>
      <c r="CL1338" s="120"/>
      <c r="CM1338" s="120"/>
      <c r="CN1338" s="120"/>
      <c r="CO1338" s="120"/>
      <c r="CP1338" s="120"/>
      <c r="CQ1338" s="120"/>
      <c r="CR1338" s="120"/>
      <c r="CS1338" s="120"/>
      <c r="CT1338" s="120"/>
      <c r="CU1338" s="120"/>
      <c r="CV1338" s="120"/>
      <c r="CW1338" s="120"/>
      <c r="CX1338" s="120"/>
      <c r="CY1338" s="120"/>
      <c r="CZ1338" s="120"/>
      <c r="DA1338" s="120"/>
      <c r="DB1338" s="120"/>
      <c r="DC1338" s="120"/>
      <c r="DD1338" s="120"/>
      <c r="DE1338" s="120"/>
      <c r="DF1338" s="120"/>
      <c r="DG1338" s="120"/>
      <c r="DH1338" s="120"/>
      <c r="DI1338" s="120"/>
      <c r="DJ1338" s="120"/>
      <c r="DK1338" s="120"/>
      <c r="DL1338" s="120"/>
      <c r="DM1338" s="120"/>
      <c r="DN1338" s="120"/>
      <c r="DO1338" s="120"/>
      <c r="DP1338" s="120"/>
      <c r="DQ1338" s="120"/>
      <c r="DR1338" s="120"/>
      <c r="DS1338" s="120"/>
      <c r="DT1338" s="120"/>
      <c r="DU1338" s="120"/>
      <c r="DV1338" s="120"/>
      <c r="DW1338" s="120"/>
      <c r="DX1338" s="120"/>
      <c r="DY1338" s="120"/>
      <c r="DZ1338" s="120"/>
      <c r="EA1338" s="120"/>
      <c r="EB1338" s="120"/>
      <c r="EC1338" s="120"/>
      <c r="ED1338" s="120"/>
      <c r="EE1338" s="120"/>
      <c r="EF1338" s="120"/>
      <c r="EG1338" s="120"/>
      <c r="EH1338" s="120"/>
      <c r="EI1338" s="120"/>
      <c r="EJ1338" s="120"/>
      <c r="EK1338" s="120"/>
      <c r="EL1338" s="120"/>
      <c r="EM1338" s="120"/>
      <c r="EN1338" s="120"/>
      <c r="EO1338" s="120"/>
      <c r="EP1338" s="120"/>
      <c r="EQ1338" s="120"/>
      <c r="ER1338" s="120"/>
      <c r="ES1338" s="120"/>
      <c r="ET1338" s="120"/>
      <c r="EU1338" s="120"/>
      <c r="EV1338" s="120"/>
      <c r="EW1338" s="120"/>
      <c r="EX1338" s="120"/>
      <c r="EY1338" s="120"/>
      <c r="EZ1338" s="120"/>
      <c r="FA1338" s="120"/>
      <c r="FB1338" s="120"/>
      <c r="FC1338" s="120"/>
      <c r="FD1338" s="120"/>
      <c r="FE1338" s="120"/>
      <c r="FF1338" s="120"/>
      <c r="FG1338" s="120"/>
      <c r="FH1338" s="120"/>
      <c r="FI1338" s="120"/>
      <c r="FJ1338" s="120"/>
      <c r="FK1338" s="120"/>
      <c r="FL1338" s="120"/>
      <c r="FM1338" s="120"/>
      <c r="FN1338" s="120"/>
      <c r="FO1338" s="120"/>
      <c r="FP1338" s="120"/>
      <c r="FQ1338" s="120"/>
      <c r="FR1338" s="120"/>
      <c r="FS1338" s="120"/>
      <c r="FT1338" s="120"/>
      <c r="FU1338" s="120"/>
      <c r="FV1338" s="120"/>
      <c r="FW1338" s="120"/>
      <c r="FX1338" s="120"/>
      <c r="FY1338" s="120"/>
      <c r="FZ1338" s="120"/>
      <c r="GA1338" s="120"/>
      <c r="GB1338" s="120"/>
      <c r="GC1338" s="120"/>
      <c r="GD1338" s="120"/>
      <c r="GE1338" s="120"/>
      <c r="GF1338" s="120"/>
      <c r="GG1338" s="120"/>
      <c r="GH1338" s="120"/>
      <c r="GI1338" s="120"/>
      <c r="GJ1338" s="120"/>
      <c r="GK1338" s="120"/>
      <c r="GL1338" s="120"/>
      <c r="GM1338" s="120"/>
      <c r="GN1338" s="120"/>
      <c r="GO1338" s="120"/>
      <c r="GP1338" s="120"/>
      <c r="GQ1338" s="120"/>
      <c r="GR1338" s="120"/>
      <c r="GS1338" s="120"/>
      <c r="GT1338" s="120"/>
      <c r="GU1338" s="120"/>
      <c r="GV1338" s="120"/>
      <c r="GW1338" s="120"/>
      <c r="GX1338" s="120"/>
      <c r="GY1338" s="120"/>
      <c r="GZ1338" s="120"/>
      <c r="HA1338" s="120"/>
      <c r="HB1338" s="120"/>
      <c r="HC1338" s="120"/>
      <c r="HD1338" s="120"/>
      <c r="HE1338" s="120"/>
      <c r="HF1338" s="120"/>
      <c r="HG1338" s="120"/>
      <c r="HH1338" s="120"/>
      <c r="HI1338" s="120"/>
      <c r="HJ1338" s="120"/>
      <c r="HK1338" s="120"/>
      <c r="HL1338" s="120"/>
      <c r="HM1338" s="120"/>
      <c r="HN1338" s="120"/>
      <c r="HO1338" s="120"/>
      <c r="HP1338" s="120"/>
      <c r="HQ1338" s="120"/>
      <c r="HR1338" s="120"/>
      <c r="HS1338" s="120"/>
      <c r="HT1338" s="120"/>
      <c r="HU1338" s="120"/>
      <c r="HV1338" s="120"/>
      <c r="HW1338" s="120"/>
      <c r="HX1338" s="120"/>
      <c r="HY1338" s="120"/>
      <c r="HZ1338" s="120"/>
      <c r="IA1338" s="120"/>
      <c r="IB1338" s="120"/>
      <c r="IC1338" s="120"/>
      <c r="ID1338" s="120"/>
      <c r="IE1338" s="120"/>
      <c r="IF1338" s="120"/>
      <c r="IG1338" s="120"/>
      <c r="IH1338" s="120"/>
      <c r="II1338" s="120"/>
      <c r="IJ1338" s="120"/>
      <c r="IK1338" s="120"/>
      <c r="IL1338" s="120"/>
      <c r="IM1338" s="120"/>
      <c r="IN1338" s="120"/>
      <c r="IO1338" s="120"/>
      <c r="IP1338" s="120"/>
      <c r="IQ1338" s="120"/>
      <c r="IR1338" s="120"/>
      <c r="IS1338" s="120"/>
      <c r="IT1338" s="120"/>
      <c r="IU1338" s="120"/>
      <c r="IV1338" s="120"/>
      <c r="IW1338" s="120"/>
      <c r="IX1338" s="120"/>
      <c r="IY1338" s="120"/>
      <c r="IZ1338" s="120"/>
      <c r="JA1338" s="120"/>
      <c r="JB1338" s="120"/>
      <c r="JC1338" s="120"/>
      <c r="JD1338" s="120"/>
      <c r="JE1338" s="120"/>
      <c r="JF1338" s="120"/>
      <c r="JG1338" s="120"/>
      <c r="JH1338" s="120"/>
      <c r="JI1338" s="120"/>
      <c r="JJ1338" s="120"/>
      <c r="JK1338" s="120"/>
      <c r="JL1338" s="120"/>
      <c r="JM1338" s="120"/>
      <c r="JN1338" s="120"/>
      <c r="JO1338" s="120"/>
      <c r="JP1338" s="120"/>
      <c r="JQ1338" s="120"/>
      <c r="JR1338" s="120"/>
      <c r="JS1338" s="120"/>
      <c r="JT1338" s="120"/>
      <c r="JU1338" s="120"/>
      <c r="JV1338" s="120"/>
      <c r="JW1338" s="120"/>
      <c r="JX1338" s="120"/>
      <c r="JY1338" s="120"/>
      <c r="JZ1338" s="120"/>
      <c r="KA1338" s="120"/>
      <c r="KB1338" s="120"/>
      <c r="KC1338" s="120"/>
      <c r="KD1338" s="120"/>
      <c r="KE1338" s="120"/>
      <c r="KF1338" s="120"/>
      <c r="KG1338" s="120"/>
      <c r="KH1338" s="120"/>
      <c r="KI1338" s="120"/>
      <c r="KJ1338" s="120"/>
      <c r="KK1338" s="120"/>
      <c r="KL1338" s="120"/>
      <c r="KM1338" s="120"/>
      <c r="KN1338" s="120"/>
      <c r="KO1338" s="120"/>
      <c r="KP1338" s="120"/>
      <c r="KQ1338" s="120"/>
      <c r="KR1338" s="120"/>
      <c r="KS1338" s="120"/>
      <c r="KT1338" s="120"/>
      <c r="KU1338" s="120"/>
      <c r="KV1338" s="120"/>
      <c r="KW1338" s="120"/>
      <c r="KX1338" s="120"/>
      <c r="KY1338" s="120"/>
      <c r="KZ1338" s="120"/>
      <c r="LA1338" s="120"/>
      <c r="LB1338" s="120"/>
      <c r="LC1338" s="120"/>
      <c r="LD1338" s="120"/>
      <c r="LE1338" s="120"/>
      <c r="LF1338" s="120"/>
      <c r="LG1338" s="120"/>
      <c r="LH1338" s="120"/>
      <c r="LI1338" s="120"/>
      <c r="LJ1338" s="120"/>
      <c r="LK1338" s="120"/>
      <c r="LL1338" s="120"/>
      <c r="LM1338" s="120"/>
      <c r="LN1338" s="120"/>
      <c r="LO1338" s="120"/>
      <c r="LP1338" s="120"/>
      <c r="LQ1338" s="120"/>
      <c r="LR1338" s="120"/>
      <c r="LS1338" s="120"/>
      <c r="LT1338" s="120"/>
      <c r="LU1338" s="120"/>
      <c r="LV1338" s="120"/>
      <c r="LW1338" s="120"/>
      <c r="LX1338" s="120"/>
      <c r="LY1338" s="120"/>
      <c r="LZ1338" s="120"/>
      <c r="MA1338" s="120"/>
      <c r="MB1338" s="120"/>
      <c r="MC1338" s="120"/>
      <c r="MD1338" s="120"/>
      <c r="ME1338" s="120"/>
      <c r="MF1338" s="120"/>
      <c r="MG1338" s="120"/>
      <c r="MH1338" s="120"/>
      <c r="MI1338" s="120"/>
      <c r="MJ1338" s="120"/>
      <c r="MK1338" s="120"/>
      <c r="ML1338" s="120"/>
      <c r="MM1338" s="120"/>
      <c r="MN1338" s="120"/>
      <c r="MO1338" s="120"/>
      <c r="MP1338" s="120"/>
      <c r="MQ1338" s="120"/>
      <c r="MR1338" s="120"/>
      <c r="MS1338" s="120"/>
      <c r="MT1338" s="120"/>
      <c r="MU1338" s="120"/>
      <c r="MV1338" s="120"/>
      <c r="MW1338" s="120"/>
      <c r="MX1338" s="120"/>
      <c r="MY1338" s="120"/>
      <c r="MZ1338" s="120"/>
      <c r="NA1338" s="120"/>
      <c r="NB1338" s="120"/>
      <c r="NC1338" s="120"/>
      <c r="ND1338" s="120"/>
      <c r="NE1338" s="120"/>
      <c r="NF1338" s="120"/>
      <c r="NG1338" s="120"/>
      <c r="NH1338" s="120"/>
      <c r="NI1338" s="120"/>
      <c r="NJ1338" s="120"/>
      <c r="NK1338" s="120"/>
      <c r="NL1338" s="120"/>
      <c r="NM1338" s="120"/>
      <c r="NN1338" s="120"/>
      <c r="NO1338" s="120"/>
      <c r="NP1338" s="120"/>
      <c r="NQ1338" s="120"/>
      <c r="NR1338" s="120"/>
      <c r="NS1338" s="120"/>
      <c r="NT1338" s="120"/>
      <c r="NU1338" s="120"/>
      <c r="NV1338" s="120"/>
      <c r="NW1338" s="120"/>
      <c r="NX1338" s="120"/>
      <c r="NY1338" s="120"/>
      <c r="NZ1338" s="120"/>
      <c r="OA1338" s="120"/>
      <c r="OB1338" s="120"/>
      <c r="OC1338" s="120"/>
      <c r="OD1338" s="120"/>
      <c r="OE1338" s="120"/>
      <c r="OF1338" s="120"/>
      <c r="OG1338" s="120"/>
      <c r="OH1338" s="120"/>
      <c r="OI1338" s="120"/>
      <c r="OJ1338" s="120"/>
      <c r="OK1338" s="120"/>
      <c r="OL1338" s="120"/>
      <c r="OM1338" s="120"/>
      <c r="ON1338" s="120"/>
      <c r="OO1338" s="120"/>
      <c r="OP1338" s="120"/>
      <c r="OQ1338" s="120"/>
      <c r="OR1338" s="120"/>
      <c r="OS1338" s="120"/>
      <c r="OT1338" s="120"/>
      <c r="OU1338" s="120"/>
      <c r="OV1338" s="120"/>
      <c r="OW1338" s="120"/>
      <c r="OX1338" s="120"/>
      <c r="OY1338" s="120"/>
      <c r="OZ1338" s="120"/>
      <c r="PA1338" s="120"/>
      <c r="PB1338" s="120"/>
      <c r="PC1338" s="120"/>
      <c r="PD1338" s="120"/>
      <c r="PE1338" s="120"/>
      <c r="PF1338" s="120"/>
      <c r="PG1338" s="120"/>
      <c r="PH1338" s="120"/>
      <c r="PI1338" s="120"/>
      <c r="PJ1338" s="120"/>
      <c r="PK1338" s="120"/>
      <c r="PL1338" s="120"/>
      <c r="PM1338" s="120"/>
      <c r="PN1338" s="120"/>
      <c r="PO1338" s="120"/>
      <c r="PP1338" s="120"/>
      <c r="PQ1338" s="120"/>
      <c r="PR1338" s="120"/>
      <c r="PS1338" s="120"/>
      <c r="PT1338" s="120"/>
      <c r="PU1338" s="120"/>
      <c r="PV1338" s="120"/>
      <c r="PW1338" s="120"/>
      <c r="PX1338" s="120"/>
      <c r="PY1338" s="120"/>
      <c r="PZ1338" s="120"/>
      <c r="QA1338" s="120"/>
      <c r="QB1338" s="120"/>
      <c r="QC1338" s="120"/>
      <c r="QD1338" s="120"/>
      <c r="QE1338" s="120"/>
      <c r="QF1338" s="120"/>
      <c r="QG1338" s="120"/>
      <c r="QH1338" s="120"/>
      <c r="QI1338" s="120"/>
      <c r="QJ1338" s="120"/>
      <c r="QK1338" s="120"/>
      <c r="QL1338" s="120"/>
      <c r="QM1338" s="120"/>
      <c r="QN1338" s="120"/>
      <c r="QO1338" s="120"/>
      <c r="QP1338" s="120"/>
      <c r="QQ1338" s="120"/>
      <c r="QR1338" s="120"/>
      <c r="QS1338" s="120"/>
      <c r="QT1338" s="120"/>
      <c r="QU1338" s="120"/>
      <c r="QV1338" s="120"/>
      <c r="QW1338" s="120"/>
      <c r="QX1338" s="120"/>
      <c r="QY1338" s="120"/>
      <c r="QZ1338" s="120"/>
      <c r="RA1338" s="120"/>
      <c r="RB1338" s="120"/>
      <c r="RC1338" s="120"/>
      <c r="RD1338" s="120"/>
      <c r="RE1338" s="120"/>
      <c r="RF1338" s="120"/>
      <c r="RG1338" s="120"/>
      <c r="RH1338" s="120"/>
      <c r="RI1338" s="120"/>
      <c r="RJ1338" s="120"/>
      <c r="RK1338" s="120"/>
      <c r="RL1338" s="120"/>
      <c r="RM1338" s="120"/>
      <c r="RN1338" s="120"/>
      <c r="RO1338" s="120"/>
      <c r="RP1338" s="120"/>
      <c r="RQ1338" s="120"/>
      <c r="RR1338" s="120"/>
      <c r="RS1338" s="120"/>
      <c r="RT1338" s="120"/>
      <c r="RU1338" s="120"/>
      <c r="RV1338" s="120"/>
      <c r="RW1338" s="120"/>
      <c r="RX1338" s="120"/>
      <c r="RY1338" s="120"/>
      <c r="RZ1338" s="120"/>
      <c r="SA1338" s="120"/>
      <c r="SB1338" s="120"/>
      <c r="SC1338" s="120"/>
      <c r="SD1338" s="120"/>
      <c r="SE1338" s="120"/>
      <c r="SF1338" s="120"/>
      <c r="SG1338" s="120"/>
      <c r="SH1338" s="120"/>
      <c r="SI1338" s="120"/>
      <c r="SJ1338" s="120"/>
      <c r="SK1338" s="120"/>
      <c r="SL1338" s="120"/>
      <c r="SM1338" s="120"/>
      <c r="SN1338" s="120"/>
      <c r="SO1338" s="120"/>
      <c r="SP1338" s="120"/>
      <c r="SQ1338" s="120"/>
      <c r="SR1338" s="120"/>
      <c r="SS1338" s="120"/>
      <c r="ST1338" s="120"/>
      <c r="SU1338" s="120"/>
      <c r="SV1338" s="120"/>
      <c r="SW1338" s="120"/>
      <c r="SX1338" s="120"/>
      <c r="SY1338" s="120"/>
      <c r="SZ1338" s="120"/>
      <c r="TA1338" s="120"/>
      <c r="TB1338" s="120"/>
      <c r="TC1338" s="120"/>
      <c r="TD1338" s="120"/>
      <c r="TE1338" s="120"/>
      <c r="TF1338" s="120"/>
      <c r="TG1338" s="120"/>
      <c r="TH1338" s="120"/>
      <c r="TI1338" s="120"/>
      <c r="TJ1338" s="120"/>
      <c r="TK1338" s="120"/>
      <c r="TL1338" s="120"/>
      <c r="TM1338" s="120"/>
      <c r="TN1338" s="120"/>
      <c r="TO1338" s="120"/>
      <c r="TP1338" s="120"/>
      <c r="TQ1338" s="120"/>
      <c r="TR1338" s="120"/>
      <c r="TS1338" s="120"/>
      <c r="TT1338" s="120"/>
      <c r="TU1338" s="120"/>
      <c r="TV1338" s="120"/>
      <c r="TW1338" s="120"/>
      <c r="TX1338" s="120"/>
      <c r="TY1338" s="120"/>
      <c r="TZ1338" s="120"/>
      <c r="UA1338" s="120"/>
      <c r="UB1338" s="120"/>
      <c r="UC1338" s="120"/>
      <c r="UD1338" s="120"/>
      <c r="UE1338" s="120"/>
      <c r="UF1338" s="120"/>
      <c r="UG1338" s="120"/>
      <c r="UH1338" s="120"/>
      <c r="UI1338" s="120"/>
      <c r="UJ1338" s="120"/>
      <c r="UK1338" s="120"/>
      <c r="UL1338" s="120"/>
      <c r="UM1338" s="120"/>
      <c r="UN1338" s="120"/>
      <c r="UO1338" s="120"/>
      <c r="UP1338" s="120"/>
      <c r="UQ1338" s="120"/>
      <c r="UR1338" s="120"/>
      <c r="US1338" s="120"/>
      <c r="UT1338" s="120"/>
      <c r="UU1338" s="120"/>
      <c r="UV1338" s="120"/>
      <c r="UW1338" s="120"/>
      <c r="UX1338" s="120"/>
      <c r="UY1338" s="120"/>
      <c r="UZ1338" s="120"/>
      <c r="VA1338" s="120"/>
      <c r="VB1338" s="120"/>
      <c r="VC1338" s="120"/>
      <c r="VD1338" s="120"/>
      <c r="VE1338" s="120"/>
      <c r="VF1338" s="120"/>
      <c r="VG1338" s="120"/>
      <c r="VH1338" s="120"/>
      <c r="VI1338" s="120"/>
      <c r="VJ1338" s="120"/>
      <c r="VK1338" s="120"/>
      <c r="VL1338" s="120"/>
      <c r="VM1338" s="120"/>
      <c r="VN1338" s="120"/>
      <c r="VO1338" s="120"/>
      <c r="VP1338" s="120"/>
      <c r="VQ1338" s="120"/>
      <c r="VR1338" s="120"/>
      <c r="VS1338" s="120"/>
      <c r="VT1338" s="120"/>
      <c r="VU1338" s="120"/>
      <c r="VV1338" s="120"/>
      <c r="VW1338" s="120"/>
      <c r="VX1338" s="120"/>
      <c r="VY1338" s="120"/>
      <c r="VZ1338" s="120"/>
      <c r="WA1338" s="120"/>
      <c r="WB1338" s="120"/>
      <c r="WC1338" s="120"/>
      <c r="WD1338" s="120"/>
      <c r="WE1338" s="120"/>
      <c r="WF1338" s="120"/>
      <c r="WG1338" s="120"/>
      <c r="WH1338" s="120"/>
      <c r="WI1338" s="120"/>
      <c r="WJ1338" s="120"/>
      <c r="WK1338" s="120"/>
      <c r="WL1338" s="120"/>
      <c r="WM1338" s="120"/>
      <c r="WN1338" s="120"/>
      <c r="WO1338" s="120"/>
      <c r="WP1338" s="120"/>
      <c r="WQ1338" s="120"/>
      <c r="WR1338" s="120"/>
      <c r="WS1338" s="120"/>
      <c r="WT1338" s="120"/>
      <c r="WU1338" s="120"/>
      <c r="WV1338" s="120"/>
      <c r="WW1338" s="120"/>
      <c r="WX1338" s="120"/>
      <c r="WY1338" s="120"/>
      <c r="WZ1338" s="120"/>
      <c r="XA1338" s="120"/>
      <c r="XB1338" s="120"/>
      <c r="XC1338" s="120"/>
      <c r="XD1338" s="120"/>
      <c r="XE1338" s="120"/>
      <c r="XF1338" s="120"/>
      <c r="XG1338" s="120"/>
      <c r="XH1338" s="120"/>
      <c r="XI1338" s="120"/>
      <c r="XJ1338" s="120"/>
      <c r="XK1338" s="120"/>
      <c r="XL1338" s="120"/>
      <c r="XM1338" s="120"/>
      <c r="XN1338" s="120"/>
      <c r="XO1338" s="120"/>
      <c r="XP1338" s="120"/>
      <c r="XQ1338" s="120"/>
      <c r="XR1338" s="120"/>
      <c r="XS1338" s="120"/>
      <c r="XT1338" s="120"/>
      <c r="XU1338" s="120"/>
      <c r="XV1338" s="120"/>
      <c r="XW1338" s="120"/>
      <c r="XX1338" s="120"/>
      <c r="XY1338" s="120"/>
      <c r="XZ1338" s="120"/>
      <c r="YA1338" s="120"/>
      <c r="YB1338" s="120"/>
      <c r="YC1338" s="120"/>
      <c r="YD1338" s="120"/>
      <c r="YE1338" s="120"/>
      <c r="YF1338" s="120"/>
      <c r="YG1338" s="120"/>
      <c r="YH1338" s="120"/>
      <c r="YI1338" s="120"/>
      <c r="YJ1338" s="120"/>
      <c r="YK1338" s="120"/>
      <c r="YL1338" s="120"/>
      <c r="YM1338" s="120"/>
      <c r="YN1338" s="120"/>
      <c r="YO1338" s="120"/>
      <c r="YP1338" s="120"/>
      <c r="YQ1338" s="120"/>
      <c r="YR1338" s="120"/>
      <c r="YS1338" s="120"/>
      <c r="YT1338" s="120"/>
      <c r="YU1338" s="120"/>
      <c r="YV1338" s="120"/>
      <c r="YW1338" s="120"/>
      <c r="YX1338" s="120"/>
      <c r="YY1338" s="120"/>
      <c r="YZ1338" s="120"/>
      <c r="ZA1338" s="120"/>
      <c r="ZB1338" s="120"/>
      <c r="ZC1338" s="120"/>
      <c r="ZD1338" s="120"/>
      <c r="ZE1338" s="120"/>
      <c r="ZF1338" s="120"/>
      <c r="ZG1338" s="120"/>
      <c r="ZH1338" s="120"/>
      <c r="ZI1338" s="120"/>
      <c r="ZJ1338" s="120"/>
      <c r="ZK1338" s="120"/>
      <c r="ZL1338" s="120"/>
      <c r="ZM1338" s="120"/>
      <c r="ZN1338" s="120"/>
      <c r="ZO1338" s="120"/>
      <c r="ZP1338" s="120"/>
      <c r="ZQ1338" s="120"/>
      <c r="ZR1338" s="120"/>
      <c r="ZS1338" s="120"/>
      <c r="ZT1338" s="120"/>
      <c r="ZU1338" s="120"/>
      <c r="ZV1338" s="120"/>
      <c r="ZW1338" s="120"/>
      <c r="ZX1338" s="120"/>
      <c r="ZY1338" s="120"/>
      <c r="ZZ1338" s="120"/>
      <c r="AAA1338" s="120"/>
      <c r="AAB1338" s="120"/>
      <c r="AAC1338" s="120"/>
      <c r="AAD1338" s="120"/>
      <c r="AAE1338" s="120"/>
      <c r="AAF1338" s="120"/>
      <c r="AAG1338" s="120"/>
      <c r="AAH1338" s="120"/>
      <c r="AAI1338" s="120"/>
      <c r="AAJ1338" s="120"/>
      <c r="AAK1338" s="120"/>
      <c r="AAL1338" s="120"/>
      <c r="AAM1338" s="120"/>
      <c r="AAN1338" s="120"/>
      <c r="AAO1338" s="120"/>
      <c r="AAP1338" s="120"/>
      <c r="AAQ1338" s="120"/>
      <c r="AAR1338" s="120"/>
      <c r="AAS1338" s="120"/>
      <c r="AAT1338" s="120"/>
      <c r="AAU1338" s="120"/>
      <c r="AAV1338" s="120"/>
      <c r="AAW1338" s="120"/>
      <c r="AAX1338" s="120"/>
      <c r="AAY1338" s="120"/>
      <c r="AAZ1338" s="120"/>
      <c r="ABA1338" s="120"/>
      <c r="ABB1338" s="120"/>
      <c r="ABC1338" s="120"/>
      <c r="ABD1338" s="120"/>
      <c r="ABE1338" s="120"/>
      <c r="ABF1338" s="120"/>
      <c r="ABG1338" s="120"/>
      <c r="ABH1338" s="120"/>
      <c r="ABI1338" s="120"/>
      <c r="ABJ1338" s="120"/>
      <c r="ABK1338" s="120"/>
      <c r="ABL1338" s="120"/>
      <c r="ABM1338" s="120"/>
      <c r="ABN1338" s="120"/>
      <c r="ABO1338" s="120"/>
      <c r="ABP1338" s="120"/>
      <c r="ABQ1338" s="120"/>
      <c r="ABR1338" s="120"/>
      <c r="ABS1338" s="120"/>
      <c r="ABT1338" s="120"/>
      <c r="ABU1338" s="120"/>
      <c r="ABV1338" s="120"/>
      <c r="ABW1338" s="120"/>
      <c r="ABX1338" s="120"/>
      <c r="ABY1338" s="120"/>
      <c r="ABZ1338" s="120"/>
      <c r="ACA1338" s="120"/>
      <c r="ACB1338" s="120"/>
      <c r="ACC1338" s="120"/>
      <c r="ACD1338" s="120"/>
      <c r="ACE1338" s="120"/>
      <c r="ACF1338" s="120"/>
      <c r="ACG1338" s="120"/>
      <c r="ACH1338" s="120"/>
      <c r="ACI1338" s="120"/>
      <c r="ACJ1338" s="120"/>
      <c r="ACK1338" s="120"/>
      <c r="ACL1338" s="120"/>
      <c r="ACM1338" s="120"/>
      <c r="ACN1338" s="120"/>
      <c r="ACO1338" s="120"/>
      <c r="ACP1338" s="120"/>
      <c r="ACQ1338" s="120"/>
      <c r="ACR1338" s="120"/>
      <c r="ACS1338" s="120"/>
      <c r="ACT1338" s="120"/>
      <c r="ACU1338" s="120"/>
      <c r="ACV1338" s="120"/>
      <c r="ACW1338" s="120"/>
      <c r="ACX1338" s="120"/>
      <c r="ACY1338" s="120"/>
      <c r="ACZ1338" s="120"/>
      <c r="ADA1338" s="120"/>
      <c r="ADB1338" s="120"/>
      <c r="ADC1338" s="120"/>
      <c r="ADD1338" s="120"/>
      <c r="ADE1338" s="120"/>
      <c r="ADF1338" s="120"/>
      <c r="ADG1338" s="120"/>
      <c r="ADH1338" s="120"/>
      <c r="ADI1338" s="120"/>
      <c r="ADJ1338" s="120"/>
      <c r="ADK1338" s="120"/>
      <c r="ADL1338" s="120"/>
      <c r="ADM1338" s="120"/>
      <c r="ADN1338" s="120"/>
      <c r="ADO1338" s="120"/>
      <c r="ADP1338" s="120"/>
      <c r="ADQ1338" s="120"/>
      <c r="ADR1338" s="120"/>
      <c r="ADS1338" s="120"/>
      <c r="ADT1338" s="120"/>
      <c r="ADU1338" s="120"/>
      <c r="ADV1338" s="120"/>
      <c r="ADW1338" s="120"/>
      <c r="ADX1338" s="120"/>
      <c r="ADY1338" s="120"/>
      <c r="ADZ1338" s="120"/>
      <c r="AEA1338" s="120"/>
      <c r="AEB1338" s="120"/>
      <c r="AEC1338" s="120"/>
      <c r="AED1338" s="120"/>
      <c r="AEE1338" s="120"/>
      <c r="AEF1338" s="120"/>
      <c r="AEG1338" s="120"/>
      <c r="AEH1338" s="120"/>
      <c r="AEI1338" s="120"/>
      <c r="AEJ1338" s="120"/>
      <c r="AEK1338" s="120"/>
      <c r="AEL1338" s="120"/>
      <c r="AEM1338" s="120"/>
      <c r="AEN1338" s="120"/>
      <c r="AEO1338" s="120"/>
      <c r="AEP1338" s="120"/>
      <c r="AEQ1338" s="120"/>
      <c r="AER1338" s="120"/>
      <c r="AES1338" s="120"/>
      <c r="AET1338" s="120"/>
      <c r="AEU1338" s="120"/>
      <c r="AEV1338" s="120"/>
      <c r="AEW1338" s="120"/>
      <c r="AEX1338" s="120"/>
      <c r="AEY1338" s="120"/>
      <c r="AEZ1338" s="120"/>
      <c r="AFA1338" s="120"/>
      <c r="AFB1338" s="120"/>
      <c r="AFC1338" s="120"/>
      <c r="AFD1338" s="120"/>
      <c r="AFE1338" s="120"/>
      <c r="AFF1338" s="120"/>
      <c r="AFG1338" s="120"/>
      <c r="AFH1338" s="120"/>
      <c r="AFI1338" s="120"/>
      <c r="AFJ1338" s="120"/>
      <c r="AFK1338" s="120"/>
      <c r="AFL1338" s="120"/>
      <c r="AFM1338" s="120"/>
      <c r="AFN1338" s="120"/>
      <c r="AFO1338" s="120"/>
      <c r="AFP1338" s="120"/>
      <c r="AFQ1338" s="120"/>
      <c r="AFR1338" s="120"/>
      <c r="AFS1338" s="120"/>
      <c r="AFT1338" s="120"/>
      <c r="AFU1338" s="120"/>
      <c r="AFV1338" s="120"/>
      <c r="AFW1338" s="120"/>
      <c r="AFX1338" s="120"/>
      <c r="AFY1338" s="120"/>
      <c r="AFZ1338" s="120"/>
      <c r="AGA1338" s="120"/>
      <c r="AGB1338" s="120"/>
      <c r="AGC1338" s="120"/>
      <c r="AGD1338" s="120"/>
      <c r="AGE1338" s="120"/>
      <c r="AGF1338" s="120"/>
      <c r="AGG1338" s="120"/>
      <c r="AGH1338" s="120"/>
      <c r="AGI1338" s="120"/>
      <c r="AGJ1338" s="120"/>
      <c r="AGK1338" s="120"/>
      <c r="AGL1338" s="120"/>
      <c r="AGM1338" s="120"/>
      <c r="AGN1338" s="120"/>
      <c r="AGO1338" s="120"/>
      <c r="AGP1338" s="120"/>
      <c r="AGQ1338" s="120"/>
      <c r="AGR1338" s="120"/>
      <c r="AGS1338" s="120"/>
      <c r="AGT1338" s="120"/>
      <c r="AGU1338" s="120"/>
      <c r="AGV1338" s="120"/>
      <c r="AGW1338" s="120"/>
      <c r="AGX1338" s="120"/>
      <c r="AGY1338" s="120"/>
      <c r="AGZ1338" s="120"/>
      <c r="AHA1338" s="120"/>
      <c r="AHB1338" s="120"/>
      <c r="AHC1338" s="120"/>
      <c r="AHD1338" s="120"/>
      <c r="AHE1338" s="120"/>
      <c r="AHF1338" s="120"/>
      <c r="AHG1338" s="120"/>
      <c r="AHH1338" s="120"/>
      <c r="AHI1338" s="120"/>
      <c r="AHJ1338" s="120"/>
      <c r="AHK1338" s="120"/>
      <c r="AHL1338" s="120"/>
      <c r="AHM1338" s="120"/>
      <c r="AHN1338" s="120"/>
      <c r="AHO1338" s="120"/>
      <c r="AHP1338" s="120"/>
      <c r="AHQ1338" s="120"/>
      <c r="AHR1338" s="120"/>
      <c r="AHS1338" s="120"/>
      <c r="AHT1338" s="120"/>
      <c r="AHU1338" s="120"/>
      <c r="AHV1338" s="120"/>
      <c r="AHW1338" s="120"/>
      <c r="AHX1338" s="120"/>
      <c r="AHY1338" s="120"/>
      <c r="AHZ1338" s="120"/>
      <c r="AIA1338" s="120"/>
      <c r="AIB1338" s="120"/>
      <c r="AIC1338" s="120"/>
      <c r="AID1338" s="120"/>
      <c r="AIE1338" s="120"/>
      <c r="AIF1338" s="120"/>
      <c r="AIG1338" s="120"/>
      <c r="AIH1338" s="120"/>
      <c r="AII1338" s="120"/>
      <c r="AIJ1338" s="120"/>
      <c r="AIK1338" s="120"/>
      <c r="AIL1338" s="120"/>
      <c r="AIM1338" s="120"/>
      <c r="AIN1338" s="120"/>
      <c r="AIO1338" s="120"/>
      <c r="AIP1338" s="120"/>
      <c r="AIQ1338" s="120"/>
      <c r="AIR1338" s="120"/>
      <c r="AIS1338" s="120"/>
      <c r="AIT1338" s="120"/>
      <c r="AIU1338" s="120"/>
      <c r="AIV1338" s="120"/>
      <c r="AIW1338" s="120"/>
      <c r="AIX1338" s="120"/>
      <c r="AIY1338" s="120"/>
      <c r="AIZ1338" s="120"/>
      <c r="AJA1338" s="120"/>
      <c r="AJB1338" s="120"/>
      <c r="AJC1338" s="120"/>
      <c r="AJD1338" s="120"/>
      <c r="AJE1338" s="120"/>
      <c r="AJF1338" s="120"/>
      <c r="AJG1338" s="120"/>
      <c r="AJH1338" s="120"/>
      <c r="AJI1338" s="120"/>
      <c r="AJJ1338" s="120"/>
      <c r="AJK1338" s="120"/>
      <c r="AJL1338" s="120"/>
      <c r="AJM1338" s="120"/>
      <c r="AJN1338" s="120"/>
      <c r="AJO1338" s="120"/>
      <c r="AJP1338" s="120"/>
      <c r="AJQ1338" s="120"/>
      <c r="AJR1338" s="120"/>
      <c r="AJS1338" s="120"/>
      <c r="AJT1338" s="120"/>
      <c r="AJU1338" s="120"/>
      <c r="AJV1338" s="120"/>
      <c r="AJW1338" s="120"/>
      <c r="AJX1338" s="120"/>
      <c r="AJY1338" s="120"/>
      <c r="AJZ1338" s="120"/>
      <c r="AKA1338" s="120"/>
      <c r="AKB1338" s="120"/>
      <c r="AKC1338" s="120"/>
      <c r="AKD1338" s="120"/>
      <c r="AKE1338" s="120"/>
      <c r="AKF1338" s="120"/>
      <c r="AKG1338" s="120"/>
      <c r="AKH1338" s="120"/>
      <c r="AKI1338" s="120"/>
      <c r="AKJ1338" s="120"/>
      <c r="AKK1338" s="120"/>
      <c r="AKL1338" s="120"/>
      <c r="AKM1338" s="120"/>
      <c r="AKN1338" s="120"/>
      <c r="AKO1338" s="120"/>
      <c r="AKP1338" s="120"/>
      <c r="AKQ1338" s="120"/>
      <c r="AKR1338" s="120"/>
      <c r="AKS1338" s="120"/>
      <c r="AKT1338" s="120"/>
      <c r="AKU1338" s="120"/>
      <c r="AKV1338" s="120"/>
      <c r="AKW1338" s="120"/>
      <c r="AKX1338" s="120"/>
      <c r="AKY1338" s="120"/>
      <c r="AKZ1338" s="120"/>
      <c r="ALA1338" s="120"/>
      <c r="ALB1338" s="120"/>
      <c r="ALC1338" s="120"/>
      <c r="ALD1338" s="120"/>
      <c r="ALE1338" s="120"/>
      <c r="ALF1338" s="120"/>
      <c r="ALG1338" s="120"/>
      <c r="ALH1338" s="120"/>
      <c r="ALI1338" s="120"/>
      <c r="ALJ1338" s="120"/>
      <c r="ALK1338" s="120"/>
      <c r="ALL1338" s="120"/>
      <c r="ALM1338" s="120"/>
      <c r="ALN1338" s="120"/>
      <c r="ALO1338" s="120"/>
      <c r="ALP1338" s="120"/>
      <c r="ALQ1338" s="120"/>
      <c r="ALR1338" s="120"/>
      <c r="ALS1338" s="120"/>
      <c r="ALT1338" s="120"/>
      <c r="ALU1338" s="120"/>
      <c r="ALV1338" s="120"/>
      <c r="ALW1338" s="120"/>
      <c r="ALX1338" s="120"/>
      <c r="ALY1338" s="120"/>
      <c r="ALZ1338" s="120"/>
      <c r="AMA1338" s="120"/>
      <c r="AMB1338" s="120"/>
      <c r="AMC1338" s="120"/>
      <c r="AMD1338" s="120"/>
      <c r="AME1338" s="120"/>
      <c r="AMF1338" s="120"/>
      <c r="AMG1338" s="120"/>
      <c r="AMH1338" s="120"/>
      <c r="AMI1338" s="120"/>
      <c r="AMJ1338" s="120"/>
      <c r="AMK1338" s="120"/>
      <c r="AML1338" s="120"/>
      <c r="AMM1338" s="120"/>
      <c r="AMN1338" s="120"/>
      <c r="AMO1338" s="120"/>
      <c r="AMP1338" s="120"/>
      <c r="AMQ1338" s="120"/>
      <c r="AMR1338" s="120"/>
      <c r="AMS1338" s="120"/>
      <c r="AMT1338" s="120"/>
      <c r="AMU1338" s="120"/>
      <c r="AMV1338" s="120"/>
      <c r="AMW1338" s="120"/>
      <c r="AMX1338" s="120"/>
      <c r="AMY1338" s="120"/>
      <c r="AMZ1338" s="120"/>
      <c r="ANA1338" s="120"/>
      <c r="ANB1338" s="120"/>
      <c r="ANC1338" s="120"/>
      <c r="AND1338" s="120"/>
      <c r="ANE1338" s="120"/>
      <c r="ANF1338" s="120"/>
      <c r="ANG1338" s="120"/>
      <c r="ANH1338" s="120"/>
      <c r="ANI1338" s="120"/>
      <c r="ANJ1338" s="120"/>
      <c r="ANK1338" s="120"/>
      <c r="ANL1338" s="120"/>
      <c r="ANM1338" s="120"/>
      <c r="ANN1338" s="120"/>
      <c r="ANO1338" s="120"/>
      <c r="ANP1338" s="120"/>
      <c r="ANQ1338" s="120"/>
      <c r="ANR1338" s="120"/>
      <c r="ANS1338" s="120"/>
      <c r="ANT1338" s="120"/>
      <c r="ANU1338" s="120"/>
      <c r="ANV1338" s="120"/>
      <c r="ANW1338" s="120"/>
      <c r="ANX1338" s="120"/>
      <c r="ANY1338" s="120"/>
      <c r="ANZ1338" s="120"/>
      <c r="AOA1338" s="120"/>
      <c r="AOB1338" s="120"/>
      <c r="AOC1338" s="120"/>
      <c r="AOD1338" s="120"/>
      <c r="AOE1338" s="120"/>
      <c r="AOF1338" s="120"/>
      <c r="AOG1338" s="120"/>
      <c r="AOH1338" s="120"/>
      <c r="AOI1338" s="120"/>
      <c r="AOJ1338" s="120"/>
      <c r="AOK1338" s="120"/>
      <c r="AOL1338" s="120"/>
      <c r="AOM1338" s="120"/>
      <c r="AON1338" s="120"/>
      <c r="AOO1338" s="120"/>
      <c r="AOP1338" s="120"/>
      <c r="AOQ1338" s="120"/>
      <c r="AOR1338" s="120"/>
      <c r="AOS1338" s="120"/>
      <c r="AOT1338" s="120"/>
      <c r="AOU1338" s="120"/>
      <c r="AOV1338" s="120"/>
      <c r="AOW1338" s="120"/>
      <c r="AOX1338" s="120"/>
      <c r="AOY1338" s="120"/>
      <c r="AOZ1338" s="120"/>
      <c r="APA1338" s="120"/>
      <c r="APB1338" s="120"/>
      <c r="APC1338" s="120"/>
      <c r="APD1338" s="120"/>
      <c r="APE1338" s="120"/>
      <c r="APF1338" s="120"/>
      <c r="APG1338" s="120"/>
      <c r="APH1338" s="120"/>
      <c r="API1338" s="120"/>
      <c r="APJ1338" s="120"/>
      <c r="APK1338" s="120"/>
      <c r="APL1338" s="120"/>
      <c r="APM1338" s="120"/>
      <c r="APN1338" s="120"/>
      <c r="APO1338" s="120"/>
      <c r="APP1338" s="120"/>
      <c r="APQ1338" s="120"/>
      <c r="APR1338" s="120"/>
      <c r="APS1338" s="120"/>
      <c r="APT1338" s="120"/>
      <c r="APU1338" s="120"/>
      <c r="APV1338" s="120"/>
      <c r="APW1338" s="120"/>
      <c r="APX1338" s="120"/>
      <c r="APY1338" s="120"/>
      <c r="APZ1338" s="120"/>
      <c r="AQA1338" s="120"/>
      <c r="AQB1338" s="120"/>
      <c r="AQC1338" s="120"/>
      <c r="AQD1338" s="120"/>
      <c r="AQE1338" s="120"/>
      <c r="AQF1338" s="120"/>
      <c r="AQG1338" s="120"/>
      <c r="AQH1338" s="120"/>
      <c r="AQI1338" s="120"/>
      <c r="AQJ1338" s="120"/>
      <c r="AQK1338" s="120"/>
      <c r="AQL1338" s="120"/>
      <c r="AQM1338" s="120"/>
      <c r="AQN1338" s="120"/>
      <c r="AQO1338" s="120"/>
      <c r="AQP1338" s="120"/>
      <c r="AQQ1338" s="120"/>
      <c r="AQR1338" s="120"/>
      <c r="AQS1338" s="120"/>
      <c r="AQT1338" s="120"/>
      <c r="AQU1338" s="120"/>
      <c r="AQV1338" s="120"/>
      <c r="AQW1338" s="120"/>
      <c r="AQX1338" s="120"/>
      <c r="AQY1338" s="120"/>
      <c r="AQZ1338" s="120"/>
      <c r="ARA1338" s="120"/>
      <c r="ARB1338" s="120"/>
      <c r="ARC1338" s="120"/>
      <c r="ARD1338" s="120"/>
      <c r="ARE1338" s="120"/>
      <c r="ARF1338" s="120"/>
      <c r="ARG1338" s="120"/>
      <c r="ARH1338" s="120"/>
      <c r="ARI1338" s="120"/>
      <c r="ARJ1338" s="120"/>
      <c r="ARK1338" s="120"/>
      <c r="ARL1338" s="120"/>
      <c r="ARM1338" s="120"/>
      <c r="ARN1338" s="120"/>
      <c r="ARO1338" s="120"/>
      <c r="ARP1338" s="120"/>
      <c r="ARQ1338" s="120"/>
      <c r="ARR1338" s="120"/>
      <c r="ARS1338" s="120"/>
      <c r="ART1338" s="120"/>
      <c r="ARU1338" s="120"/>
      <c r="ARV1338" s="120"/>
      <c r="ARW1338" s="120"/>
      <c r="ARX1338" s="120"/>
      <c r="ARY1338" s="120"/>
      <c r="ARZ1338" s="120"/>
      <c r="ASA1338" s="120"/>
      <c r="ASB1338" s="120"/>
      <c r="ASC1338" s="120"/>
      <c r="ASD1338" s="120"/>
      <c r="ASE1338" s="120"/>
      <c r="ASF1338" s="120"/>
      <c r="ASG1338" s="120"/>
      <c r="ASH1338" s="120"/>
      <c r="ASI1338" s="120"/>
      <c r="ASJ1338" s="120"/>
      <c r="ASK1338" s="120"/>
      <c r="ASL1338" s="120"/>
      <c r="ASM1338" s="120"/>
      <c r="ASN1338" s="120"/>
      <c r="ASO1338" s="120"/>
      <c r="ASP1338" s="120"/>
      <c r="ASQ1338" s="120"/>
      <c r="ASR1338" s="120"/>
      <c r="ASS1338" s="120"/>
      <c r="AST1338" s="120"/>
      <c r="ASU1338" s="120"/>
      <c r="ASV1338" s="120"/>
      <c r="ASW1338" s="120"/>
      <c r="ASX1338" s="120"/>
      <c r="ASY1338" s="120"/>
      <c r="ASZ1338" s="120"/>
      <c r="ATA1338" s="120"/>
      <c r="ATB1338" s="120"/>
      <c r="ATC1338" s="120"/>
      <c r="ATD1338" s="120"/>
      <c r="ATE1338" s="120"/>
      <c r="ATF1338" s="120"/>
      <c r="ATG1338" s="120"/>
      <c r="ATH1338" s="120"/>
      <c r="ATI1338" s="120"/>
      <c r="ATJ1338" s="120"/>
      <c r="ATK1338" s="120"/>
      <c r="ATL1338" s="120"/>
      <c r="ATM1338" s="120"/>
      <c r="ATN1338" s="120"/>
      <c r="ATO1338" s="120"/>
    </row>
    <row r="1339" spans="1:1211" s="20" customFormat="1" ht="14.1" customHeight="1">
      <c r="A1339" s="112"/>
      <c r="B1339" s="945"/>
      <c r="C1339" s="1413" t="s">
        <v>3742</v>
      </c>
      <c r="D1339" s="120"/>
      <c r="E1339" s="701"/>
      <c r="F1339" s="703"/>
      <c r="G1339" s="702"/>
      <c r="H1339" s="702"/>
      <c r="I1339" s="702"/>
      <c r="J1339" s="700"/>
      <c r="K1339" s="112"/>
      <c r="L1339" s="363"/>
      <c r="M1339" s="112"/>
      <c r="N1339" s="362"/>
      <c r="O1339" s="573"/>
      <c r="P1339" s="120"/>
      <c r="Q1339" s="120"/>
      <c r="R1339" s="120"/>
      <c r="S1339" s="120"/>
      <c r="T1339" s="120"/>
      <c r="U1339" s="120"/>
      <c r="V1339" s="120"/>
      <c r="W1339" s="120"/>
      <c r="X1339" s="120"/>
      <c r="Y1339" s="120"/>
      <c r="Z1339" s="120"/>
      <c r="AA1339" s="120"/>
      <c r="AB1339" s="120"/>
      <c r="AC1339" s="120"/>
      <c r="AD1339" s="120"/>
      <c r="AE1339" s="120"/>
      <c r="AF1339" s="120"/>
      <c r="AG1339" s="120"/>
      <c r="AH1339" s="120"/>
      <c r="AI1339" s="120"/>
      <c r="AJ1339" s="120"/>
      <c r="AK1339" s="120"/>
      <c r="AL1339" s="120"/>
      <c r="AM1339" s="120"/>
      <c r="AN1339" s="120"/>
      <c r="AO1339" s="120"/>
      <c r="AP1339" s="120"/>
      <c r="AQ1339" s="120"/>
      <c r="AR1339" s="120"/>
      <c r="AS1339" s="120"/>
      <c r="AT1339" s="120"/>
      <c r="AU1339" s="120"/>
      <c r="AV1339" s="120"/>
      <c r="AW1339" s="120"/>
      <c r="AX1339" s="120"/>
      <c r="AY1339" s="120"/>
      <c r="AZ1339" s="120"/>
      <c r="BA1339" s="120"/>
      <c r="BB1339" s="120"/>
      <c r="BC1339" s="120"/>
      <c r="BD1339" s="120"/>
      <c r="BE1339" s="120"/>
      <c r="BF1339" s="120"/>
      <c r="BG1339" s="120"/>
      <c r="BH1339" s="120"/>
      <c r="BI1339" s="120"/>
      <c r="BJ1339" s="120"/>
      <c r="BK1339" s="120"/>
      <c r="BL1339" s="120"/>
      <c r="BM1339" s="120"/>
      <c r="BN1339" s="120"/>
      <c r="BO1339" s="120"/>
      <c r="BP1339" s="120"/>
      <c r="BQ1339" s="120"/>
      <c r="BR1339" s="120"/>
      <c r="BS1339" s="120"/>
      <c r="BT1339" s="120"/>
      <c r="BU1339" s="120"/>
      <c r="BV1339" s="120"/>
      <c r="BW1339" s="120"/>
      <c r="BX1339" s="120"/>
      <c r="BY1339" s="120"/>
      <c r="BZ1339" s="120"/>
      <c r="CA1339" s="120"/>
      <c r="CB1339" s="120"/>
      <c r="CC1339" s="120"/>
      <c r="CD1339" s="120"/>
      <c r="CE1339" s="120"/>
      <c r="CF1339" s="120"/>
      <c r="CG1339" s="120"/>
      <c r="CH1339" s="120"/>
      <c r="CI1339" s="120"/>
      <c r="CJ1339" s="120"/>
      <c r="CK1339" s="120"/>
      <c r="CL1339" s="120"/>
      <c r="CM1339" s="120"/>
      <c r="CN1339" s="120"/>
      <c r="CO1339" s="120"/>
      <c r="CP1339" s="120"/>
      <c r="CQ1339" s="120"/>
      <c r="CR1339" s="120"/>
      <c r="CS1339" s="120"/>
      <c r="CT1339" s="120"/>
      <c r="CU1339" s="120"/>
      <c r="CV1339" s="120"/>
      <c r="CW1339" s="120"/>
      <c r="CX1339" s="120"/>
      <c r="CY1339" s="120"/>
      <c r="CZ1339" s="120"/>
      <c r="DA1339" s="120"/>
      <c r="DB1339" s="120"/>
      <c r="DC1339" s="120"/>
      <c r="DD1339" s="120"/>
      <c r="DE1339" s="120"/>
      <c r="DF1339" s="120"/>
      <c r="DG1339" s="120"/>
      <c r="DH1339" s="120"/>
      <c r="DI1339" s="120"/>
      <c r="DJ1339" s="120"/>
      <c r="DK1339" s="120"/>
      <c r="DL1339" s="120"/>
      <c r="DM1339" s="120"/>
      <c r="DN1339" s="120"/>
      <c r="DO1339" s="120"/>
      <c r="DP1339" s="120"/>
      <c r="DQ1339" s="120"/>
      <c r="DR1339" s="120"/>
      <c r="DS1339" s="120"/>
      <c r="DT1339" s="120"/>
      <c r="DU1339" s="120"/>
      <c r="DV1339" s="120"/>
      <c r="DW1339" s="120"/>
      <c r="DX1339" s="120"/>
      <c r="DY1339" s="120"/>
      <c r="DZ1339" s="120"/>
      <c r="EA1339" s="120"/>
      <c r="EB1339" s="120"/>
      <c r="EC1339" s="120"/>
      <c r="ED1339" s="120"/>
      <c r="EE1339" s="120"/>
      <c r="EF1339" s="120"/>
      <c r="EG1339" s="120"/>
      <c r="EH1339" s="120"/>
      <c r="EI1339" s="120"/>
      <c r="EJ1339" s="120"/>
      <c r="EK1339" s="120"/>
      <c r="EL1339" s="120"/>
      <c r="EM1339" s="120"/>
      <c r="EN1339" s="120"/>
      <c r="EO1339" s="120"/>
      <c r="EP1339" s="120"/>
      <c r="EQ1339" s="120"/>
      <c r="ER1339" s="120"/>
      <c r="ES1339" s="120"/>
      <c r="ET1339" s="120"/>
      <c r="EU1339" s="120"/>
      <c r="EV1339" s="120"/>
      <c r="EW1339" s="120"/>
      <c r="EX1339" s="120"/>
      <c r="EY1339" s="120"/>
      <c r="EZ1339" s="120"/>
      <c r="FA1339" s="120"/>
      <c r="FB1339" s="120"/>
      <c r="FC1339" s="120"/>
      <c r="FD1339" s="120"/>
      <c r="FE1339" s="120"/>
      <c r="FF1339" s="120"/>
      <c r="FG1339" s="120"/>
      <c r="FH1339" s="120"/>
      <c r="FI1339" s="120"/>
      <c r="FJ1339" s="120"/>
      <c r="FK1339" s="120"/>
      <c r="FL1339" s="120"/>
      <c r="FM1339" s="120"/>
      <c r="FN1339" s="120"/>
      <c r="FO1339" s="120"/>
      <c r="FP1339" s="120"/>
      <c r="FQ1339" s="120"/>
      <c r="FR1339" s="120"/>
      <c r="FS1339" s="120"/>
      <c r="FT1339" s="120"/>
      <c r="FU1339" s="120"/>
      <c r="FV1339" s="120"/>
      <c r="FW1339" s="120"/>
      <c r="FX1339" s="120"/>
      <c r="FY1339" s="120"/>
      <c r="FZ1339" s="120"/>
      <c r="GA1339" s="120"/>
      <c r="GB1339" s="120"/>
      <c r="GC1339" s="120"/>
      <c r="GD1339" s="120"/>
      <c r="GE1339" s="120"/>
      <c r="GF1339" s="120"/>
      <c r="GG1339" s="120"/>
      <c r="GH1339" s="120"/>
      <c r="GI1339" s="120"/>
      <c r="GJ1339" s="120"/>
      <c r="GK1339" s="120"/>
      <c r="GL1339" s="120"/>
      <c r="GM1339" s="120"/>
      <c r="GN1339" s="120"/>
      <c r="GO1339" s="120"/>
      <c r="GP1339" s="120"/>
      <c r="GQ1339" s="120"/>
      <c r="GR1339" s="120"/>
      <c r="GS1339" s="120"/>
      <c r="GT1339" s="120"/>
      <c r="GU1339" s="120"/>
      <c r="GV1339" s="120"/>
      <c r="GW1339" s="120"/>
      <c r="GX1339" s="120"/>
      <c r="GY1339" s="120"/>
      <c r="GZ1339" s="120"/>
      <c r="HA1339" s="120"/>
      <c r="HB1339" s="120"/>
      <c r="HC1339" s="120"/>
      <c r="HD1339" s="120"/>
      <c r="HE1339" s="120"/>
      <c r="HF1339" s="120"/>
      <c r="HG1339" s="120"/>
      <c r="HH1339" s="120"/>
      <c r="HI1339" s="120"/>
      <c r="HJ1339" s="120"/>
      <c r="HK1339" s="120"/>
      <c r="HL1339" s="120"/>
      <c r="HM1339" s="120"/>
      <c r="HN1339" s="120"/>
      <c r="HO1339" s="120"/>
      <c r="HP1339" s="120"/>
      <c r="HQ1339" s="120"/>
      <c r="HR1339" s="120"/>
      <c r="HS1339" s="120"/>
      <c r="HT1339" s="120"/>
      <c r="HU1339" s="120"/>
      <c r="HV1339" s="120"/>
      <c r="HW1339" s="120"/>
      <c r="HX1339" s="120"/>
      <c r="HY1339" s="120"/>
      <c r="HZ1339" s="120"/>
      <c r="IA1339" s="120"/>
      <c r="IB1339" s="120"/>
      <c r="IC1339" s="120"/>
      <c r="ID1339" s="120"/>
      <c r="IE1339" s="120"/>
      <c r="IF1339" s="120"/>
      <c r="IG1339" s="120"/>
      <c r="IH1339" s="120"/>
      <c r="II1339" s="120"/>
      <c r="IJ1339" s="120"/>
      <c r="IK1339" s="120"/>
      <c r="IL1339" s="120"/>
      <c r="IM1339" s="120"/>
      <c r="IN1339" s="120"/>
      <c r="IO1339" s="120"/>
      <c r="IP1339" s="120"/>
      <c r="IQ1339" s="120"/>
      <c r="IR1339" s="120"/>
      <c r="IS1339" s="120"/>
      <c r="IT1339" s="120"/>
      <c r="IU1339" s="120"/>
      <c r="IV1339" s="120"/>
      <c r="IW1339" s="120"/>
      <c r="IX1339" s="120"/>
      <c r="IY1339" s="120"/>
      <c r="IZ1339" s="120"/>
      <c r="JA1339" s="120"/>
      <c r="JB1339" s="120"/>
      <c r="JC1339" s="120"/>
      <c r="JD1339" s="120"/>
      <c r="JE1339" s="120"/>
      <c r="JF1339" s="120"/>
      <c r="JG1339" s="120"/>
      <c r="JH1339" s="120"/>
      <c r="JI1339" s="120"/>
      <c r="JJ1339" s="120"/>
      <c r="JK1339" s="120"/>
      <c r="JL1339" s="120"/>
      <c r="JM1339" s="120"/>
      <c r="JN1339" s="120"/>
      <c r="JO1339" s="120"/>
      <c r="JP1339" s="120"/>
      <c r="JQ1339" s="120"/>
      <c r="JR1339" s="120"/>
      <c r="JS1339" s="120"/>
      <c r="JT1339" s="120"/>
      <c r="JU1339" s="120"/>
      <c r="JV1339" s="120"/>
      <c r="JW1339" s="120"/>
      <c r="JX1339" s="120"/>
      <c r="JY1339" s="120"/>
      <c r="JZ1339" s="120"/>
      <c r="KA1339" s="120"/>
      <c r="KB1339" s="120"/>
      <c r="KC1339" s="120"/>
      <c r="KD1339" s="120"/>
      <c r="KE1339" s="120"/>
      <c r="KF1339" s="120"/>
      <c r="KG1339" s="120"/>
      <c r="KH1339" s="120"/>
      <c r="KI1339" s="120"/>
      <c r="KJ1339" s="120"/>
      <c r="KK1339" s="120"/>
      <c r="KL1339" s="120"/>
      <c r="KM1339" s="120"/>
      <c r="KN1339" s="120"/>
      <c r="KO1339" s="120"/>
      <c r="KP1339" s="120"/>
      <c r="KQ1339" s="120"/>
      <c r="KR1339" s="120"/>
      <c r="KS1339" s="120"/>
      <c r="KT1339" s="120"/>
      <c r="KU1339" s="120"/>
      <c r="KV1339" s="120"/>
      <c r="KW1339" s="120"/>
      <c r="KX1339" s="120"/>
      <c r="KY1339" s="120"/>
      <c r="KZ1339" s="120"/>
      <c r="LA1339" s="120"/>
      <c r="LB1339" s="120"/>
      <c r="LC1339" s="120"/>
      <c r="LD1339" s="120"/>
      <c r="LE1339" s="120"/>
      <c r="LF1339" s="120"/>
      <c r="LG1339" s="120"/>
      <c r="LH1339" s="120"/>
      <c r="LI1339" s="120"/>
      <c r="LJ1339" s="120"/>
      <c r="LK1339" s="120"/>
      <c r="LL1339" s="120"/>
      <c r="LM1339" s="120"/>
      <c r="LN1339" s="120"/>
      <c r="LO1339" s="120"/>
      <c r="LP1339" s="120"/>
      <c r="LQ1339" s="120"/>
      <c r="LR1339" s="120"/>
      <c r="LS1339" s="120"/>
      <c r="LT1339" s="120"/>
      <c r="LU1339" s="120"/>
      <c r="LV1339" s="120"/>
      <c r="LW1339" s="120"/>
      <c r="LX1339" s="120"/>
      <c r="LY1339" s="120"/>
      <c r="LZ1339" s="120"/>
      <c r="MA1339" s="120"/>
      <c r="MB1339" s="120"/>
      <c r="MC1339" s="120"/>
      <c r="MD1339" s="120"/>
      <c r="ME1339" s="120"/>
      <c r="MF1339" s="120"/>
      <c r="MG1339" s="120"/>
      <c r="MH1339" s="120"/>
      <c r="MI1339" s="120"/>
      <c r="MJ1339" s="120"/>
      <c r="MK1339" s="120"/>
      <c r="ML1339" s="120"/>
      <c r="MM1339" s="120"/>
      <c r="MN1339" s="120"/>
      <c r="MO1339" s="120"/>
      <c r="MP1339" s="120"/>
      <c r="MQ1339" s="120"/>
      <c r="MR1339" s="120"/>
      <c r="MS1339" s="120"/>
      <c r="MT1339" s="120"/>
      <c r="MU1339" s="120"/>
      <c r="MV1339" s="120"/>
      <c r="MW1339" s="120"/>
      <c r="MX1339" s="120"/>
      <c r="MY1339" s="120"/>
      <c r="MZ1339" s="120"/>
      <c r="NA1339" s="120"/>
      <c r="NB1339" s="120"/>
      <c r="NC1339" s="120"/>
      <c r="ND1339" s="120"/>
      <c r="NE1339" s="120"/>
      <c r="NF1339" s="120"/>
      <c r="NG1339" s="120"/>
      <c r="NH1339" s="120"/>
      <c r="NI1339" s="120"/>
      <c r="NJ1339" s="120"/>
      <c r="NK1339" s="120"/>
      <c r="NL1339" s="120"/>
      <c r="NM1339" s="120"/>
      <c r="NN1339" s="120"/>
      <c r="NO1339" s="120"/>
      <c r="NP1339" s="120"/>
      <c r="NQ1339" s="120"/>
      <c r="NR1339" s="120"/>
      <c r="NS1339" s="120"/>
      <c r="NT1339" s="120"/>
      <c r="NU1339" s="120"/>
      <c r="NV1339" s="120"/>
      <c r="NW1339" s="120"/>
      <c r="NX1339" s="120"/>
      <c r="NY1339" s="120"/>
      <c r="NZ1339" s="120"/>
      <c r="OA1339" s="120"/>
      <c r="OB1339" s="120"/>
      <c r="OC1339" s="120"/>
      <c r="OD1339" s="120"/>
      <c r="OE1339" s="120"/>
      <c r="OF1339" s="120"/>
      <c r="OG1339" s="120"/>
      <c r="OH1339" s="120"/>
      <c r="OI1339" s="120"/>
      <c r="OJ1339" s="120"/>
      <c r="OK1339" s="120"/>
      <c r="OL1339" s="120"/>
      <c r="OM1339" s="120"/>
      <c r="ON1339" s="120"/>
      <c r="OO1339" s="120"/>
      <c r="OP1339" s="120"/>
      <c r="OQ1339" s="120"/>
      <c r="OR1339" s="120"/>
      <c r="OS1339" s="120"/>
      <c r="OT1339" s="120"/>
      <c r="OU1339" s="120"/>
      <c r="OV1339" s="120"/>
      <c r="OW1339" s="120"/>
      <c r="OX1339" s="120"/>
      <c r="OY1339" s="120"/>
      <c r="OZ1339" s="120"/>
      <c r="PA1339" s="120"/>
      <c r="PB1339" s="120"/>
      <c r="PC1339" s="120"/>
      <c r="PD1339" s="120"/>
      <c r="PE1339" s="120"/>
      <c r="PF1339" s="120"/>
      <c r="PG1339" s="120"/>
      <c r="PH1339" s="120"/>
      <c r="PI1339" s="120"/>
      <c r="PJ1339" s="120"/>
      <c r="PK1339" s="120"/>
      <c r="PL1339" s="120"/>
      <c r="PM1339" s="120"/>
      <c r="PN1339" s="120"/>
      <c r="PO1339" s="120"/>
      <c r="PP1339" s="120"/>
      <c r="PQ1339" s="120"/>
      <c r="PR1339" s="120"/>
      <c r="PS1339" s="120"/>
      <c r="PT1339" s="120"/>
      <c r="PU1339" s="120"/>
      <c r="PV1339" s="120"/>
      <c r="PW1339" s="120"/>
      <c r="PX1339" s="120"/>
      <c r="PY1339" s="120"/>
      <c r="PZ1339" s="120"/>
      <c r="QA1339" s="120"/>
      <c r="QB1339" s="120"/>
      <c r="QC1339" s="120"/>
      <c r="QD1339" s="120"/>
      <c r="QE1339" s="120"/>
      <c r="QF1339" s="120"/>
      <c r="QG1339" s="120"/>
      <c r="QH1339" s="120"/>
      <c r="QI1339" s="120"/>
      <c r="QJ1339" s="120"/>
      <c r="QK1339" s="120"/>
      <c r="QL1339" s="120"/>
      <c r="QM1339" s="120"/>
      <c r="QN1339" s="120"/>
      <c r="QO1339" s="120"/>
      <c r="QP1339" s="120"/>
      <c r="QQ1339" s="120"/>
      <c r="QR1339" s="120"/>
      <c r="QS1339" s="120"/>
      <c r="QT1339" s="120"/>
      <c r="QU1339" s="120"/>
      <c r="QV1339" s="120"/>
      <c r="QW1339" s="120"/>
      <c r="QX1339" s="120"/>
      <c r="QY1339" s="120"/>
      <c r="QZ1339" s="120"/>
      <c r="RA1339" s="120"/>
      <c r="RB1339" s="120"/>
      <c r="RC1339" s="120"/>
      <c r="RD1339" s="120"/>
      <c r="RE1339" s="120"/>
      <c r="RF1339" s="120"/>
      <c r="RG1339" s="120"/>
      <c r="RH1339" s="120"/>
      <c r="RI1339" s="120"/>
      <c r="RJ1339" s="120"/>
      <c r="RK1339" s="120"/>
      <c r="RL1339" s="120"/>
      <c r="RM1339" s="120"/>
      <c r="RN1339" s="120"/>
      <c r="RO1339" s="120"/>
      <c r="RP1339" s="120"/>
      <c r="RQ1339" s="120"/>
      <c r="RR1339" s="120"/>
      <c r="RS1339" s="120"/>
      <c r="RT1339" s="120"/>
      <c r="RU1339" s="120"/>
      <c r="RV1339" s="120"/>
      <c r="RW1339" s="120"/>
      <c r="RX1339" s="120"/>
      <c r="RY1339" s="120"/>
      <c r="RZ1339" s="120"/>
      <c r="SA1339" s="120"/>
      <c r="SB1339" s="120"/>
      <c r="SC1339" s="120"/>
      <c r="SD1339" s="120"/>
      <c r="SE1339" s="120"/>
      <c r="SF1339" s="120"/>
      <c r="SG1339" s="120"/>
      <c r="SH1339" s="120"/>
      <c r="SI1339" s="120"/>
      <c r="SJ1339" s="120"/>
      <c r="SK1339" s="120"/>
      <c r="SL1339" s="120"/>
      <c r="SM1339" s="120"/>
      <c r="SN1339" s="120"/>
      <c r="SO1339" s="120"/>
      <c r="SP1339" s="120"/>
      <c r="SQ1339" s="120"/>
      <c r="SR1339" s="120"/>
      <c r="SS1339" s="120"/>
      <c r="ST1339" s="120"/>
      <c r="SU1339" s="120"/>
      <c r="SV1339" s="120"/>
      <c r="SW1339" s="120"/>
      <c r="SX1339" s="120"/>
      <c r="SY1339" s="120"/>
      <c r="SZ1339" s="120"/>
      <c r="TA1339" s="120"/>
      <c r="TB1339" s="120"/>
      <c r="TC1339" s="120"/>
      <c r="TD1339" s="120"/>
      <c r="TE1339" s="120"/>
      <c r="TF1339" s="120"/>
      <c r="TG1339" s="120"/>
      <c r="TH1339" s="120"/>
      <c r="TI1339" s="120"/>
      <c r="TJ1339" s="120"/>
      <c r="TK1339" s="120"/>
      <c r="TL1339" s="120"/>
      <c r="TM1339" s="120"/>
      <c r="TN1339" s="120"/>
      <c r="TO1339" s="120"/>
      <c r="TP1339" s="120"/>
      <c r="TQ1339" s="120"/>
      <c r="TR1339" s="120"/>
      <c r="TS1339" s="120"/>
      <c r="TT1339" s="120"/>
      <c r="TU1339" s="120"/>
      <c r="TV1339" s="120"/>
      <c r="TW1339" s="120"/>
      <c r="TX1339" s="120"/>
      <c r="TY1339" s="120"/>
      <c r="TZ1339" s="120"/>
      <c r="UA1339" s="120"/>
      <c r="UB1339" s="120"/>
      <c r="UC1339" s="120"/>
      <c r="UD1339" s="120"/>
      <c r="UE1339" s="120"/>
      <c r="UF1339" s="120"/>
      <c r="UG1339" s="120"/>
      <c r="UH1339" s="120"/>
      <c r="UI1339" s="120"/>
      <c r="UJ1339" s="120"/>
      <c r="UK1339" s="120"/>
      <c r="UL1339" s="120"/>
      <c r="UM1339" s="120"/>
      <c r="UN1339" s="120"/>
      <c r="UO1339" s="120"/>
      <c r="UP1339" s="120"/>
      <c r="UQ1339" s="120"/>
      <c r="UR1339" s="120"/>
      <c r="US1339" s="120"/>
      <c r="UT1339" s="120"/>
      <c r="UU1339" s="120"/>
      <c r="UV1339" s="120"/>
      <c r="UW1339" s="120"/>
      <c r="UX1339" s="120"/>
      <c r="UY1339" s="120"/>
      <c r="UZ1339" s="120"/>
      <c r="VA1339" s="120"/>
      <c r="VB1339" s="120"/>
      <c r="VC1339" s="120"/>
      <c r="VD1339" s="120"/>
      <c r="VE1339" s="120"/>
      <c r="VF1339" s="120"/>
      <c r="VG1339" s="120"/>
      <c r="VH1339" s="120"/>
      <c r="VI1339" s="120"/>
      <c r="VJ1339" s="120"/>
      <c r="VK1339" s="120"/>
      <c r="VL1339" s="120"/>
      <c r="VM1339" s="120"/>
      <c r="VN1339" s="120"/>
      <c r="VO1339" s="120"/>
      <c r="VP1339" s="120"/>
      <c r="VQ1339" s="120"/>
      <c r="VR1339" s="120"/>
      <c r="VS1339" s="120"/>
      <c r="VT1339" s="120"/>
      <c r="VU1339" s="120"/>
      <c r="VV1339" s="120"/>
      <c r="VW1339" s="120"/>
      <c r="VX1339" s="120"/>
      <c r="VY1339" s="120"/>
      <c r="VZ1339" s="120"/>
      <c r="WA1339" s="120"/>
      <c r="WB1339" s="120"/>
      <c r="WC1339" s="120"/>
      <c r="WD1339" s="120"/>
      <c r="WE1339" s="120"/>
      <c r="WF1339" s="120"/>
      <c r="WG1339" s="120"/>
      <c r="WH1339" s="120"/>
      <c r="WI1339" s="120"/>
      <c r="WJ1339" s="120"/>
      <c r="WK1339" s="120"/>
      <c r="WL1339" s="120"/>
      <c r="WM1339" s="120"/>
      <c r="WN1339" s="120"/>
      <c r="WO1339" s="120"/>
      <c r="WP1339" s="120"/>
      <c r="WQ1339" s="120"/>
      <c r="WR1339" s="120"/>
      <c r="WS1339" s="120"/>
      <c r="WT1339" s="120"/>
      <c r="WU1339" s="120"/>
      <c r="WV1339" s="120"/>
      <c r="WW1339" s="120"/>
      <c r="WX1339" s="120"/>
      <c r="WY1339" s="120"/>
      <c r="WZ1339" s="120"/>
      <c r="XA1339" s="120"/>
      <c r="XB1339" s="120"/>
      <c r="XC1339" s="120"/>
      <c r="XD1339" s="120"/>
      <c r="XE1339" s="120"/>
      <c r="XF1339" s="120"/>
      <c r="XG1339" s="120"/>
      <c r="XH1339" s="120"/>
      <c r="XI1339" s="120"/>
      <c r="XJ1339" s="120"/>
      <c r="XK1339" s="120"/>
      <c r="XL1339" s="120"/>
      <c r="XM1339" s="120"/>
      <c r="XN1339" s="120"/>
      <c r="XO1339" s="120"/>
      <c r="XP1339" s="120"/>
      <c r="XQ1339" s="120"/>
      <c r="XR1339" s="120"/>
      <c r="XS1339" s="120"/>
      <c r="XT1339" s="120"/>
      <c r="XU1339" s="120"/>
      <c r="XV1339" s="120"/>
      <c r="XW1339" s="120"/>
      <c r="XX1339" s="120"/>
      <c r="XY1339" s="120"/>
      <c r="XZ1339" s="120"/>
      <c r="YA1339" s="120"/>
      <c r="YB1339" s="120"/>
      <c r="YC1339" s="120"/>
      <c r="YD1339" s="120"/>
      <c r="YE1339" s="120"/>
      <c r="YF1339" s="120"/>
      <c r="YG1339" s="120"/>
      <c r="YH1339" s="120"/>
      <c r="YI1339" s="120"/>
      <c r="YJ1339" s="120"/>
      <c r="YK1339" s="120"/>
      <c r="YL1339" s="120"/>
      <c r="YM1339" s="120"/>
      <c r="YN1339" s="120"/>
      <c r="YO1339" s="120"/>
      <c r="YP1339" s="120"/>
      <c r="YQ1339" s="120"/>
      <c r="YR1339" s="120"/>
      <c r="YS1339" s="120"/>
      <c r="YT1339" s="120"/>
      <c r="YU1339" s="120"/>
      <c r="YV1339" s="120"/>
      <c r="YW1339" s="120"/>
      <c r="YX1339" s="120"/>
      <c r="YY1339" s="120"/>
      <c r="YZ1339" s="120"/>
      <c r="ZA1339" s="120"/>
      <c r="ZB1339" s="120"/>
      <c r="ZC1339" s="120"/>
      <c r="ZD1339" s="120"/>
      <c r="ZE1339" s="120"/>
      <c r="ZF1339" s="120"/>
      <c r="ZG1339" s="120"/>
      <c r="ZH1339" s="120"/>
      <c r="ZI1339" s="120"/>
      <c r="ZJ1339" s="120"/>
      <c r="ZK1339" s="120"/>
      <c r="ZL1339" s="120"/>
      <c r="ZM1339" s="120"/>
      <c r="ZN1339" s="120"/>
      <c r="ZO1339" s="120"/>
      <c r="ZP1339" s="120"/>
      <c r="ZQ1339" s="120"/>
      <c r="ZR1339" s="120"/>
      <c r="ZS1339" s="120"/>
      <c r="ZT1339" s="120"/>
      <c r="ZU1339" s="120"/>
      <c r="ZV1339" s="120"/>
      <c r="ZW1339" s="120"/>
      <c r="ZX1339" s="120"/>
      <c r="ZY1339" s="120"/>
      <c r="ZZ1339" s="120"/>
      <c r="AAA1339" s="120"/>
      <c r="AAB1339" s="120"/>
      <c r="AAC1339" s="120"/>
      <c r="AAD1339" s="120"/>
      <c r="AAE1339" s="120"/>
      <c r="AAF1339" s="120"/>
      <c r="AAG1339" s="120"/>
      <c r="AAH1339" s="120"/>
      <c r="AAI1339" s="120"/>
      <c r="AAJ1339" s="120"/>
      <c r="AAK1339" s="120"/>
      <c r="AAL1339" s="120"/>
      <c r="AAM1339" s="120"/>
      <c r="AAN1339" s="120"/>
      <c r="AAO1339" s="120"/>
      <c r="AAP1339" s="120"/>
      <c r="AAQ1339" s="120"/>
      <c r="AAR1339" s="120"/>
      <c r="AAS1339" s="120"/>
      <c r="AAT1339" s="120"/>
      <c r="AAU1339" s="120"/>
      <c r="AAV1339" s="120"/>
      <c r="AAW1339" s="120"/>
      <c r="AAX1339" s="120"/>
      <c r="AAY1339" s="120"/>
      <c r="AAZ1339" s="120"/>
      <c r="ABA1339" s="120"/>
      <c r="ABB1339" s="120"/>
      <c r="ABC1339" s="120"/>
      <c r="ABD1339" s="120"/>
      <c r="ABE1339" s="120"/>
      <c r="ABF1339" s="120"/>
      <c r="ABG1339" s="120"/>
      <c r="ABH1339" s="120"/>
      <c r="ABI1339" s="120"/>
      <c r="ABJ1339" s="120"/>
      <c r="ABK1339" s="120"/>
      <c r="ABL1339" s="120"/>
      <c r="ABM1339" s="120"/>
      <c r="ABN1339" s="120"/>
      <c r="ABO1339" s="120"/>
      <c r="ABP1339" s="120"/>
      <c r="ABQ1339" s="120"/>
      <c r="ABR1339" s="120"/>
      <c r="ABS1339" s="120"/>
      <c r="ABT1339" s="120"/>
      <c r="ABU1339" s="120"/>
      <c r="ABV1339" s="120"/>
      <c r="ABW1339" s="120"/>
      <c r="ABX1339" s="120"/>
      <c r="ABY1339" s="120"/>
      <c r="ABZ1339" s="120"/>
      <c r="ACA1339" s="120"/>
      <c r="ACB1339" s="120"/>
      <c r="ACC1339" s="120"/>
      <c r="ACD1339" s="120"/>
      <c r="ACE1339" s="120"/>
      <c r="ACF1339" s="120"/>
      <c r="ACG1339" s="120"/>
      <c r="ACH1339" s="120"/>
      <c r="ACI1339" s="120"/>
      <c r="ACJ1339" s="120"/>
      <c r="ACK1339" s="120"/>
      <c r="ACL1339" s="120"/>
      <c r="ACM1339" s="120"/>
      <c r="ACN1339" s="120"/>
      <c r="ACO1339" s="120"/>
      <c r="ACP1339" s="120"/>
      <c r="ACQ1339" s="120"/>
      <c r="ACR1339" s="120"/>
      <c r="ACS1339" s="120"/>
      <c r="ACT1339" s="120"/>
      <c r="ACU1339" s="120"/>
      <c r="ACV1339" s="120"/>
      <c r="ACW1339" s="120"/>
      <c r="ACX1339" s="120"/>
      <c r="ACY1339" s="120"/>
      <c r="ACZ1339" s="120"/>
      <c r="ADA1339" s="120"/>
      <c r="ADB1339" s="120"/>
      <c r="ADC1339" s="120"/>
      <c r="ADD1339" s="120"/>
      <c r="ADE1339" s="120"/>
      <c r="ADF1339" s="120"/>
      <c r="ADG1339" s="120"/>
      <c r="ADH1339" s="120"/>
      <c r="ADI1339" s="120"/>
      <c r="ADJ1339" s="120"/>
      <c r="ADK1339" s="120"/>
      <c r="ADL1339" s="120"/>
      <c r="ADM1339" s="120"/>
      <c r="ADN1339" s="120"/>
      <c r="ADO1339" s="120"/>
      <c r="ADP1339" s="120"/>
      <c r="ADQ1339" s="120"/>
      <c r="ADR1339" s="120"/>
      <c r="ADS1339" s="120"/>
      <c r="ADT1339" s="120"/>
      <c r="ADU1339" s="120"/>
      <c r="ADV1339" s="120"/>
      <c r="ADW1339" s="120"/>
      <c r="ADX1339" s="120"/>
      <c r="ADY1339" s="120"/>
      <c r="ADZ1339" s="120"/>
      <c r="AEA1339" s="120"/>
      <c r="AEB1339" s="120"/>
      <c r="AEC1339" s="120"/>
      <c r="AED1339" s="120"/>
      <c r="AEE1339" s="120"/>
      <c r="AEF1339" s="120"/>
      <c r="AEG1339" s="120"/>
      <c r="AEH1339" s="120"/>
      <c r="AEI1339" s="120"/>
      <c r="AEJ1339" s="120"/>
      <c r="AEK1339" s="120"/>
      <c r="AEL1339" s="120"/>
      <c r="AEM1339" s="120"/>
      <c r="AEN1339" s="120"/>
      <c r="AEO1339" s="120"/>
      <c r="AEP1339" s="120"/>
      <c r="AEQ1339" s="120"/>
      <c r="AER1339" s="120"/>
      <c r="AES1339" s="120"/>
      <c r="AET1339" s="120"/>
      <c r="AEU1339" s="120"/>
      <c r="AEV1339" s="120"/>
      <c r="AEW1339" s="120"/>
      <c r="AEX1339" s="120"/>
      <c r="AEY1339" s="120"/>
      <c r="AEZ1339" s="120"/>
      <c r="AFA1339" s="120"/>
      <c r="AFB1339" s="120"/>
      <c r="AFC1339" s="120"/>
      <c r="AFD1339" s="120"/>
      <c r="AFE1339" s="120"/>
      <c r="AFF1339" s="120"/>
      <c r="AFG1339" s="120"/>
      <c r="AFH1339" s="120"/>
      <c r="AFI1339" s="120"/>
      <c r="AFJ1339" s="120"/>
      <c r="AFK1339" s="120"/>
      <c r="AFL1339" s="120"/>
      <c r="AFM1339" s="120"/>
      <c r="AFN1339" s="120"/>
      <c r="AFO1339" s="120"/>
      <c r="AFP1339" s="120"/>
      <c r="AFQ1339" s="120"/>
      <c r="AFR1339" s="120"/>
      <c r="AFS1339" s="120"/>
      <c r="AFT1339" s="120"/>
      <c r="AFU1339" s="120"/>
      <c r="AFV1339" s="120"/>
      <c r="AFW1339" s="120"/>
      <c r="AFX1339" s="120"/>
      <c r="AFY1339" s="120"/>
      <c r="AFZ1339" s="120"/>
      <c r="AGA1339" s="120"/>
      <c r="AGB1339" s="120"/>
      <c r="AGC1339" s="120"/>
      <c r="AGD1339" s="120"/>
      <c r="AGE1339" s="120"/>
      <c r="AGF1339" s="120"/>
      <c r="AGG1339" s="120"/>
      <c r="AGH1339" s="120"/>
      <c r="AGI1339" s="120"/>
      <c r="AGJ1339" s="120"/>
      <c r="AGK1339" s="120"/>
      <c r="AGL1339" s="120"/>
      <c r="AGM1339" s="120"/>
      <c r="AGN1339" s="120"/>
      <c r="AGO1339" s="120"/>
      <c r="AGP1339" s="120"/>
      <c r="AGQ1339" s="120"/>
      <c r="AGR1339" s="120"/>
      <c r="AGS1339" s="120"/>
      <c r="AGT1339" s="120"/>
      <c r="AGU1339" s="120"/>
      <c r="AGV1339" s="120"/>
      <c r="AGW1339" s="120"/>
      <c r="AGX1339" s="120"/>
      <c r="AGY1339" s="120"/>
      <c r="AGZ1339" s="120"/>
      <c r="AHA1339" s="120"/>
      <c r="AHB1339" s="120"/>
      <c r="AHC1339" s="120"/>
      <c r="AHD1339" s="120"/>
      <c r="AHE1339" s="120"/>
      <c r="AHF1339" s="120"/>
      <c r="AHG1339" s="120"/>
      <c r="AHH1339" s="120"/>
      <c r="AHI1339" s="120"/>
      <c r="AHJ1339" s="120"/>
      <c r="AHK1339" s="120"/>
      <c r="AHL1339" s="120"/>
      <c r="AHM1339" s="120"/>
      <c r="AHN1339" s="120"/>
      <c r="AHO1339" s="120"/>
      <c r="AHP1339" s="120"/>
      <c r="AHQ1339" s="120"/>
      <c r="AHR1339" s="120"/>
      <c r="AHS1339" s="120"/>
      <c r="AHT1339" s="120"/>
      <c r="AHU1339" s="120"/>
      <c r="AHV1339" s="120"/>
      <c r="AHW1339" s="120"/>
      <c r="AHX1339" s="120"/>
      <c r="AHY1339" s="120"/>
      <c r="AHZ1339" s="120"/>
      <c r="AIA1339" s="120"/>
      <c r="AIB1339" s="120"/>
      <c r="AIC1339" s="120"/>
      <c r="AID1339" s="120"/>
      <c r="AIE1339" s="120"/>
      <c r="AIF1339" s="120"/>
      <c r="AIG1339" s="120"/>
      <c r="AIH1339" s="120"/>
      <c r="AII1339" s="120"/>
      <c r="AIJ1339" s="120"/>
      <c r="AIK1339" s="120"/>
      <c r="AIL1339" s="120"/>
      <c r="AIM1339" s="120"/>
      <c r="AIN1339" s="120"/>
      <c r="AIO1339" s="120"/>
      <c r="AIP1339" s="120"/>
      <c r="AIQ1339" s="120"/>
      <c r="AIR1339" s="120"/>
      <c r="AIS1339" s="120"/>
      <c r="AIT1339" s="120"/>
      <c r="AIU1339" s="120"/>
      <c r="AIV1339" s="120"/>
      <c r="AIW1339" s="120"/>
      <c r="AIX1339" s="120"/>
      <c r="AIY1339" s="120"/>
      <c r="AIZ1339" s="120"/>
      <c r="AJA1339" s="120"/>
      <c r="AJB1339" s="120"/>
      <c r="AJC1339" s="120"/>
      <c r="AJD1339" s="120"/>
      <c r="AJE1339" s="120"/>
      <c r="AJF1339" s="120"/>
      <c r="AJG1339" s="120"/>
      <c r="AJH1339" s="120"/>
      <c r="AJI1339" s="120"/>
      <c r="AJJ1339" s="120"/>
      <c r="AJK1339" s="120"/>
      <c r="AJL1339" s="120"/>
      <c r="AJM1339" s="120"/>
      <c r="AJN1339" s="120"/>
      <c r="AJO1339" s="120"/>
      <c r="AJP1339" s="120"/>
      <c r="AJQ1339" s="120"/>
      <c r="AJR1339" s="120"/>
      <c r="AJS1339" s="120"/>
      <c r="AJT1339" s="120"/>
      <c r="AJU1339" s="120"/>
      <c r="AJV1339" s="120"/>
      <c r="AJW1339" s="120"/>
      <c r="AJX1339" s="120"/>
      <c r="AJY1339" s="120"/>
      <c r="AJZ1339" s="120"/>
      <c r="AKA1339" s="120"/>
      <c r="AKB1339" s="120"/>
      <c r="AKC1339" s="120"/>
      <c r="AKD1339" s="120"/>
      <c r="AKE1339" s="120"/>
      <c r="AKF1339" s="120"/>
      <c r="AKG1339" s="120"/>
      <c r="AKH1339" s="120"/>
      <c r="AKI1339" s="120"/>
      <c r="AKJ1339" s="120"/>
      <c r="AKK1339" s="120"/>
      <c r="AKL1339" s="120"/>
      <c r="AKM1339" s="120"/>
      <c r="AKN1339" s="120"/>
      <c r="AKO1339" s="120"/>
      <c r="AKP1339" s="120"/>
      <c r="AKQ1339" s="120"/>
      <c r="AKR1339" s="120"/>
      <c r="AKS1339" s="120"/>
      <c r="AKT1339" s="120"/>
      <c r="AKU1339" s="120"/>
      <c r="AKV1339" s="120"/>
      <c r="AKW1339" s="120"/>
      <c r="AKX1339" s="120"/>
      <c r="AKY1339" s="120"/>
      <c r="AKZ1339" s="120"/>
      <c r="ALA1339" s="120"/>
      <c r="ALB1339" s="120"/>
      <c r="ALC1339" s="120"/>
      <c r="ALD1339" s="120"/>
      <c r="ALE1339" s="120"/>
      <c r="ALF1339" s="120"/>
      <c r="ALG1339" s="120"/>
      <c r="ALH1339" s="120"/>
      <c r="ALI1339" s="120"/>
      <c r="ALJ1339" s="120"/>
      <c r="ALK1339" s="120"/>
      <c r="ALL1339" s="120"/>
      <c r="ALM1339" s="120"/>
      <c r="ALN1339" s="120"/>
      <c r="ALO1339" s="120"/>
      <c r="ALP1339" s="120"/>
      <c r="ALQ1339" s="120"/>
      <c r="ALR1339" s="120"/>
      <c r="ALS1339" s="120"/>
      <c r="ALT1339" s="120"/>
      <c r="ALU1339" s="120"/>
      <c r="ALV1339" s="120"/>
      <c r="ALW1339" s="120"/>
      <c r="ALX1339" s="120"/>
      <c r="ALY1339" s="120"/>
      <c r="ALZ1339" s="120"/>
      <c r="AMA1339" s="120"/>
      <c r="AMB1339" s="120"/>
      <c r="AMC1339" s="120"/>
      <c r="AMD1339" s="120"/>
      <c r="AME1339" s="120"/>
      <c r="AMF1339" s="120"/>
      <c r="AMG1339" s="120"/>
      <c r="AMH1339" s="120"/>
      <c r="AMI1339" s="120"/>
      <c r="AMJ1339" s="120"/>
      <c r="AMK1339" s="120"/>
      <c r="AML1339" s="120"/>
      <c r="AMM1339" s="120"/>
      <c r="AMN1339" s="120"/>
      <c r="AMO1339" s="120"/>
      <c r="AMP1339" s="120"/>
      <c r="AMQ1339" s="120"/>
      <c r="AMR1339" s="120"/>
      <c r="AMS1339" s="120"/>
      <c r="AMT1339" s="120"/>
      <c r="AMU1339" s="120"/>
      <c r="AMV1339" s="120"/>
      <c r="AMW1339" s="120"/>
      <c r="AMX1339" s="120"/>
      <c r="AMY1339" s="120"/>
      <c r="AMZ1339" s="120"/>
      <c r="ANA1339" s="120"/>
      <c r="ANB1339" s="120"/>
      <c r="ANC1339" s="120"/>
      <c r="AND1339" s="120"/>
      <c r="ANE1339" s="120"/>
      <c r="ANF1339" s="120"/>
      <c r="ANG1339" s="120"/>
      <c r="ANH1339" s="120"/>
      <c r="ANI1339" s="120"/>
      <c r="ANJ1339" s="120"/>
      <c r="ANK1339" s="120"/>
      <c r="ANL1339" s="120"/>
      <c r="ANM1339" s="120"/>
      <c r="ANN1339" s="120"/>
      <c r="ANO1339" s="120"/>
      <c r="ANP1339" s="120"/>
      <c r="ANQ1339" s="120"/>
      <c r="ANR1339" s="120"/>
      <c r="ANS1339" s="120"/>
      <c r="ANT1339" s="120"/>
      <c r="ANU1339" s="120"/>
      <c r="ANV1339" s="120"/>
      <c r="ANW1339" s="120"/>
      <c r="ANX1339" s="120"/>
      <c r="ANY1339" s="120"/>
      <c r="ANZ1339" s="120"/>
      <c r="AOA1339" s="120"/>
      <c r="AOB1339" s="120"/>
      <c r="AOC1339" s="120"/>
      <c r="AOD1339" s="120"/>
      <c r="AOE1339" s="120"/>
      <c r="AOF1339" s="120"/>
      <c r="AOG1339" s="120"/>
      <c r="AOH1339" s="120"/>
      <c r="AOI1339" s="120"/>
      <c r="AOJ1339" s="120"/>
      <c r="AOK1339" s="120"/>
      <c r="AOL1339" s="120"/>
      <c r="AOM1339" s="120"/>
      <c r="AON1339" s="120"/>
      <c r="AOO1339" s="120"/>
      <c r="AOP1339" s="120"/>
      <c r="AOQ1339" s="120"/>
      <c r="AOR1339" s="120"/>
      <c r="AOS1339" s="120"/>
      <c r="AOT1339" s="120"/>
      <c r="AOU1339" s="120"/>
      <c r="AOV1339" s="120"/>
      <c r="AOW1339" s="120"/>
      <c r="AOX1339" s="120"/>
      <c r="AOY1339" s="120"/>
      <c r="AOZ1339" s="120"/>
      <c r="APA1339" s="120"/>
      <c r="APB1339" s="120"/>
      <c r="APC1339" s="120"/>
      <c r="APD1339" s="120"/>
      <c r="APE1339" s="120"/>
      <c r="APF1339" s="120"/>
      <c r="APG1339" s="120"/>
      <c r="APH1339" s="120"/>
      <c r="API1339" s="120"/>
      <c r="APJ1339" s="120"/>
      <c r="APK1339" s="120"/>
      <c r="APL1339" s="120"/>
      <c r="APM1339" s="120"/>
      <c r="APN1339" s="120"/>
      <c r="APO1339" s="120"/>
      <c r="APP1339" s="120"/>
      <c r="APQ1339" s="120"/>
      <c r="APR1339" s="120"/>
      <c r="APS1339" s="120"/>
      <c r="APT1339" s="120"/>
      <c r="APU1339" s="120"/>
      <c r="APV1339" s="120"/>
      <c r="APW1339" s="120"/>
      <c r="APX1339" s="120"/>
      <c r="APY1339" s="120"/>
      <c r="APZ1339" s="120"/>
      <c r="AQA1339" s="120"/>
      <c r="AQB1339" s="120"/>
      <c r="AQC1339" s="120"/>
      <c r="AQD1339" s="120"/>
      <c r="AQE1339" s="120"/>
      <c r="AQF1339" s="120"/>
      <c r="AQG1339" s="120"/>
      <c r="AQH1339" s="120"/>
      <c r="AQI1339" s="120"/>
      <c r="AQJ1339" s="120"/>
      <c r="AQK1339" s="120"/>
      <c r="AQL1339" s="120"/>
      <c r="AQM1339" s="120"/>
      <c r="AQN1339" s="120"/>
      <c r="AQO1339" s="120"/>
      <c r="AQP1339" s="120"/>
      <c r="AQQ1339" s="120"/>
      <c r="AQR1339" s="120"/>
      <c r="AQS1339" s="120"/>
      <c r="AQT1339" s="120"/>
      <c r="AQU1339" s="120"/>
      <c r="AQV1339" s="120"/>
      <c r="AQW1339" s="120"/>
      <c r="AQX1339" s="120"/>
      <c r="AQY1339" s="120"/>
      <c r="AQZ1339" s="120"/>
      <c r="ARA1339" s="120"/>
      <c r="ARB1339" s="120"/>
      <c r="ARC1339" s="120"/>
      <c r="ARD1339" s="120"/>
      <c r="ARE1339" s="120"/>
      <c r="ARF1339" s="120"/>
      <c r="ARG1339" s="120"/>
      <c r="ARH1339" s="120"/>
      <c r="ARI1339" s="120"/>
      <c r="ARJ1339" s="120"/>
      <c r="ARK1339" s="120"/>
      <c r="ARL1339" s="120"/>
      <c r="ARM1339" s="120"/>
      <c r="ARN1339" s="120"/>
      <c r="ARO1339" s="120"/>
      <c r="ARP1339" s="120"/>
      <c r="ARQ1339" s="120"/>
      <c r="ARR1339" s="120"/>
      <c r="ARS1339" s="120"/>
      <c r="ART1339" s="120"/>
      <c r="ARU1339" s="120"/>
      <c r="ARV1339" s="120"/>
      <c r="ARW1339" s="120"/>
      <c r="ARX1339" s="120"/>
      <c r="ARY1339" s="120"/>
      <c r="ARZ1339" s="120"/>
      <c r="ASA1339" s="120"/>
      <c r="ASB1339" s="120"/>
      <c r="ASC1339" s="120"/>
      <c r="ASD1339" s="120"/>
      <c r="ASE1339" s="120"/>
      <c r="ASF1339" s="120"/>
      <c r="ASG1339" s="120"/>
      <c r="ASH1339" s="120"/>
      <c r="ASI1339" s="120"/>
      <c r="ASJ1339" s="120"/>
      <c r="ASK1339" s="120"/>
      <c r="ASL1339" s="120"/>
      <c r="ASM1339" s="120"/>
      <c r="ASN1339" s="120"/>
      <c r="ASO1339" s="120"/>
      <c r="ASP1339" s="120"/>
      <c r="ASQ1339" s="120"/>
      <c r="ASR1339" s="120"/>
      <c r="ASS1339" s="120"/>
      <c r="AST1339" s="120"/>
      <c r="ASU1339" s="120"/>
      <c r="ASV1339" s="120"/>
      <c r="ASW1339" s="120"/>
      <c r="ASX1339" s="120"/>
      <c r="ASY1339" s="120"/>
      <c r="ASZ1339" s="120"/>
      <c r="ATA1339" s="120"/>
      <c r="ATB1339" s="120"/>
      <c r="ATC1339" s="120"/>
      <c r="ATD1339" s="120"/>
      <c r="ATE1339" s="120"/>
      <c r="ATF1339" s="120"/>
      <c r="ATG1339" s="120"/>
      <c r="ATH1339" s="120"/>
      <c r="ATI1339" s="120"/>
      <c r="ATJ1339" s="120"/>
      <c r="ATK1339" s="120"/>
      <c r="ATL1339" s="120"/>
      <c r="ATM1339" s="120"/>
      <c r="ATN1339" s="120"/>
      <c r="ATO1339" s="120"/>
    </row>
    <row r="1340" spans="1:1211" s="20" customFormat="1" ht="14.1" customHeight="1">
      <c r="A1340" s="964"/>
      <c r="B1340" s="965"/>
      <c r="C1340" s="966"/>
      <c r="D1340" s="631"/>
      <c r="E1340" s="898"/>
      <c r="F1340" s="899"/>
      <c r="G1340" s="899"/>
      <c r="H1340" s="899"/>
      <c r="I1340" s="899"/>
      <c r="J1340" s="899"/>
      <c r="K1340" s="112"/>
      <c r="L1340" s="363"/>
      <c r="M1340" s="112"/>
      <c r="N1340" s="362"/>
      <c r="O1340" s="573"/>
      <c r="P1340" s="120"/>
      <c r="Q1340" s="120"/>
      <c r="R1340" s="120"/>
      <c r="S1340" s="120"/>
      <c r="T1340" s="120"/>
      <c r="U1340" s="120"/>
      <c r="V1340" s="120"/>
      <c r="W1340" s="120"/>
      <c r="X1340" s="120"/>
      <c r="Y1340" s="120"/>
      <c r="Z1340" s="120"/>
      <c r="AA1340" s="120"/>
      <c r="AB1340" s="120"/>
      <c r="AC1340" s="120"/>
      <c r="AD1340" s="120"/>
      <c r="AE1340" s="120"/>
      <c r="AF1340" s="120"/>
      <c r="AG1340" s="120"/>
      <c r="AH1340" s="120"/>
      <c r="AI1340" s="120"/>
      <c r="AJ1340" s="120"/>
      <c r="AK1340" s="120"/>
      <c r="AL1340" s="120"/>
      <c r="AM1340" s="120"/>
      <c r="AN1340" s="120"/>
      <c r="AO1340" s="120"/>
      <c r="AP1340" s="120"/>
      <c r="AQ1340" s="120"/>
      <c r="AR1340" s="120"/>
      <c r="AS1340" s="120"/>
      <c r="AT1340" s="120"/>
      <c r="AU1340" s="120"/>
      <c r="AV1340" s="120"/>
      <c r="AW1340" s="120"/>
      <c r="AX1340" s="120"/>
      <c r="AY1340" s="120"/>
      <c r="AZ1340" s="120"/>
      <c r="BA1340" s="120"/>
      <c r="BB1340" s="120"/>
      <c r="BC1340" s="120"/>
      <c r="BD1340" s="120"/>
      <c r="BE1340" s="120"/>
      <c r="BF1340" s="120"/>
      <c r="BG1340" s="120"/>
      <c r="BH1340" s="120"/>
      <c r="BI1340" s="120"/>
      <c r="BJ1340" s="120"/>
      <c r="BK1340" s="120"/>
      <c r="BL1340" s="120"/>
      <c r="BM1340" s="120"/>
      <c r="BN1340" s="120"/>
      <c r="BO1340" s="120"/>
      <c r="BP1340" s="120"/>
      <c r="BQ1340" s="120"/>
      <c r="BR1340" s="120"/>
      <c r="BS1340" s="120"/>
      <c r="BT1340" s="120"/>
      <c r="BU1340" s="120"/>
      <c r="BV1340" s="120"/>
      <c r="BW1340" s="120"/>
      <c r="BX1340" s="120"/>
      <c r="BY1340" s="120"/>
      <c r="BZ1340" s="120"/>
      <c r="CA1340" s="120"/>
      <c r="CB1340" s="120"/>
      <c r="CC1340" s="120"/>
      <c r="CD1340" s="120"/>
      <c r="CE1340" s="120"/>
      <c r="CF1340" s="120"/>
      <c r="CG1340" s="120"/>
      <c r="CH1340" s="120"/>
      <c r="CI1340" s="120"/>
      <c r="CJ1340" s="120"/>
      <c r="CK1340" s="120"/>
      <c r="CL1340" s="120"/>
      <c r="CM1340" s="120"/>
      <c r="CN1340" s="120"/>
      <c r="CO1340" s="120"/>
      <c r="CP1340" s="120"/>
      <c r="CQ1340" s="120"/>
      <c r="CR1340" s="120"/>
      <c r="CS1340" s="120"/>
      <c r="CT1340" s="120"/>
      <c r="CU1340" s="120"/>
      <c r="CV1340" s="120"/>
      <c r="CW1340" s="120"/>
      <c r="CX1340" s="120"/>
      <c r="CY1340" s="120"/>
      <c r="CZ1340" s="120"/>
      <c r="DA1340" s="120"/>
      <c r="DB1340" s="120"/>
      <c r="DC1340" s="120"/>
      <c r="DD1340" s="120"/>
      <c r="DE1340" s="120"/>
      <c r="DF1340" s="120"/>
      <c r="DG1340" s="120"/>
      <c r="DH1340" s="120"/>
      <c r="DI1340" s="120"/>
      <c r="DJ1340" s="120"/>
      <c r="DK1340" s="120"/>
      <c r="DL1340" s="120"/>
      <c r="DM1340" s="120"/>
      <c r="DN1340" s="120"/>
      <c r="DO1340" s="120"/>
      <c r="DP1340" s="120"/>
      <c r="DQ1340" s="120"/>
      <c r="DR1340" s="120"/>
      <c r="DS1340" s="120"/>
      <c r="DT1340" s="120"/>
      <c r="DU1340" s="120"/>
      <c r="DV1340" s="120"/>
      <c r="DW1340" s="120"/>
      <c r="DX1340" s="120"/>
      <c r="DY1340" s="120"/>
      <c r="DZ1340" s="120"/>
      <c r="EA1340" s="120"/>
      <c r="EB1340" s="120"/>
      <c r="EC1340" s="120"/>
      <c r="ED1340" s="120"/>
      <c r="EE1340" s="120"/>
      <c r="EF1340" s="120"/>
      <c r="EG1340" s="120"/>
      <c r="EH1340" s="120"/>
      <c r="EI1340" s="120"/>
      <c r="EJ1340" s="120"/>
      <c r="EK1340" s="120"/>
      <c r="EL1340" s="120"/>
      <c r="EM1340" s="120"/>
      <c r="EN1340" s="120"/>
      <c r="EO1340" s="120"/>
      <c r="EP1340" s="120"/>
      <c r="EQ1340" s="120"/>
      <c r="ER1340" s="120"/>
      <c r="ES1340" s="120"/>
      <c r="ET1340" s="120"/>
      <c r="EU1340" s="120"/>
      <c r="EV1340" s="120"/>
      <c r="EW1340" s="120"/>
      <c r="EX1340" s="120"/>
      <c r="EY1340" s="120"/>
      <c r="EZ1340" s="120"/>
      <c r="FA1340" s="120"/>
      <c r="FB1340" s="120"/>
      <c r="FC1340" s="120"/>
      <c r="FD1340" s="120"/>
      <c r="FE1340" s="120"/>
      <c r="FF1340" s="120"/>
      <c r="FG1340" s="120"/>
      <c r="FH1340" s="120"/>
      <c r="FI1340" s="120"/>
      <c r="FJ1340" s="120"/>
      <c r="FK1340" s="120"/>
      <c r="FL1340" s="120"/>
      <c r="FM1340" s="120"/>
      <c r="FN1340" s="120"/>
      <c r="FO1340" s="120"/>
      <c r="FP1340" s="120"/>
      <c r="FQ1340" s="120"/>
      <c r="FR1340" s="120"/>
      <c r="FS1340" s="120"/>
      <c r="FT1340" s="120"/>
      <c r="FU1340" s="120"/>
      <c r="FV1340" s="120"/>
      <c r="FW1340" s="120"/>
      <c r="FX1340" s="120"/>
      <c r="FY1340" s="120"/>
      <c r="FZ1340" s="120"/>
      <c r="GA1340" s="120"/>
      <c r="GB1340" s="120"/>
      <c r="GC1340" s="120"/>
      <c r="GD1340" s="120"/>
      <c r="GE1340" s="120"/>
      <c r="GF1340" s="120"/>
      <c r="GG1340" s="120"/>
      <c r="GH1340" s="120"/>
      <c r="GI1340" s="120"/>
      <c r="GJ1340" s="120"/>
      <c r="GK1340" s="120"/>
      <c r="GL1340" s="120"/>
      <c r="GM1340" s="120"/>
      <c r="GN1340" s="120"/>
      <c r="GO1340" s="120"/>
      <c r="GP1340" s="120"/>
      <c r="GQ1340" s="120"/>
      <c r="GR1340" s="120"/>
      <c r="GS1340" s="120"/>
      <c r="GT1340" s="120"/>
      <c r="GU1340" s="120"/>
      <c r="GV1340" s="120"/>
      <c r="GW1340" s="120"/>
      <c r="GX1340" s="120"/>
      <c r="GY1340" s="120"/>
      <c r="GZ1340" s="120"/>
      <c r="HA1340" s="120"/>
      <c r="HB1340" s="120"/>
      <c r="HC1340" s="120"/>
      <c r="HD1340" s="120"/>
      <c r="HE1340" s="120"/>
      <c r="HF1340" s="120"/>
      <c r="HG1340" s="120"/>
      <c r="HH1340" s="120"/>
      <c r="HI1340" s="120"/>
      <c r="HJ1340" s="120"/>
      <c r="HK1340" s="120"/>
      <c r="HL1340" s="120"/>
      <c r="HM1340" s="120"/>
      <c r="HN1340" s="120"/>
      <c r="HO1340" s="120"/>
      <c r="HP1340" s="120"/>
      <c r="HQ1340" s="120"/>
      <c r="HR1340" s="120"/>
      <c r="HS1340" s="120"/>
      <c r="HT1340" s="120"/>
      <c r="HU1340" s="120"/>
      <c r="HV1340" s="120"/>
      <c r="HW1340" s="120"/>
      <c r="HX1340" s="120"/>
      <c r="HY1340" s="120"/>
      <c r="HZ1340" s="120"/>
      <c r="IA1340" s="120"/>
      <c r="IB1340" s="120"/>
      <c r="IC1340" s="120"/>
      <c r="ID1340" s="120"/>
      <c r="IE1340" s="120"/>
      <c r="IF1340" s="120"/>
      <c r="IG1340" s="120"/>
      <c r="IH1340" s="120"/>
      <c r="II1340" s="120"/>
      <c r="IJ1340" s="120"/>
      <c r="IK1340" s="120"/>
      <c r="IL1340" s="120"/>
      <c r="IM1340" s="120"/>
      <c r="IN1340" s="120"/>
      <c r="IO1340" s="120"/>
      <c r="IP1340" s="120"/>
      <c r="IQ1340" s="120"/>
      <c r="IR1340" s="120"/>
      <c r="IS1340" s="120"/>
      <c r="IT1340" s="120"/>
      <c r="IU1340" s="120"/>
      <c r="IV1340" s="120"/>
      <c r="IW1340" s="120"/>
      <c r="IX1340" s="120"/>
      <c r="IY1340" s="120"/>
      <c r="IZ1340" s="120"/>
      <c r="JA1340" s="120"/>
      <c r="JB1340" s="120"/>
      <c r="JC1340" s="120"/>
      <c r="JD1340" s="120"/>
      <c r="JE1340" s="120"/>
      <c r="JF1340" s="120"/>
      <c r="JG1340" s="120"/>
      <c r="JH1340" s="120"/>
      <c r="JI1340" s="120"/>
      <c r="JJ1340" s="120"/>
      <c r="JK1340" s="120"/>
      <c r="JL1340" s="120"/>
      <c r="JM1340" s="120"/>
      <c r="JN1340" s="120"/>
      <c r="JO1340" s="120"/>
      <c r="JP1340" s="120"/>
      <c r="JQ1340" s="120"/>
      <c r="JR1340" s="120"/>
      <c r="JS1340" s="120"/>
      <c r="JT1340" s="120"/>
      <c r="JU1340" s="120"/>
      <c r="JV1340" s="120"/>
      <c r="JW1340" s="120"/>
      <c r="JX1340" s="120"/>
      <c r="JY1340" s="120"/>
      <c r="JZ1340" s="120"/>
      <c r="KA1340" s="120"/>
      <c r="KB1340" s="120"/>
      <c r="KC1340" s="120"/>
      <c r="KD1340" s="120"/>
      <c r="KE1340" s="120"/>
      <c r="KF1340" s="120"/>
      <c r="KG1340" s="120"/>
      <c r="KH1340" s="120"/>
      <c r="KI1340" s="120"/>
      <c r="KJ1340" s="120"/>
      <c r="KK1340" s="120"/>
      <c r="KL1340" s="120"/>
      <c r="KM1340" s="120"/>
      <c r="KN1340" s="120"/>
      <c r="KO1340" s="120"/>
      <c r="KP1340" s="120"/>
      <c r="KQ1340" s="120"/>
      <c r="KR1340" s="120"/>
      <c r="KS1340" s="120"/>
      <c r="KT1340" s="120"/>
      <c r="KU1340" s="120"/>
      <c r="KV1340" s="120"/>
      <c r="KW1340" s="120"/>
      <c r="KX1340" s="120"/>
      <c r="KY1340" s="120"/>
      <c r="KZ1340" s="120"/>
      <c r="LA1340" s="120"/>
      <c r="LB1340" s="120"/>
      <c r="LC1340" s="120"/>
      <c r="LD1340" s="120"/>
      <c r="LE1340" s="120"/>
      <c r="LF1340" s="120"/>
      <c r="LG1340" s="120"/>
      <c r="LH1340" s="120"/>
      <c r="LI1340" s="120"/>
      <c r="LJ1340" s="120"/>
      <c r="LK1340" s="120"/>
      <c r="LL1340" s="120"/>
      <c r="LM1340" s="120"/>
      <c r="LN1340" s="120"/>
      <c r="LO1340" s="120"/>
      <c r="LP1340" s="120"/>
      <c r="LQ1340" s="120"/>
      <c r="LR1340" s="120"/>
      <c r="LS1340" s="120"/>
      <c r="LT1340" s="120"/>
      <c r="LU1340" s="120"/>
      <c r="LV1340" s="120"/>
      <c r="LW1340" s="120"/>
      <c r="LX1340" s="120"/>
      <c r="LY1340" s="120"/>
      <c r="LZ1340" s="120"/>
      <c r="MA1340" s="120"/>
      <c r="MB1340" s="120"/>
      <c r="MC1340" s="120"/>
      <c r="MD1340" s="120"/>
      <c r="ME1340" s="120"/>
      <c r="MF1340" s="120"/>
      <c r="MG1340" s="120"/>
      <c r="MH1340" s="120"/>
      <c r="MI1340" s="120"/>
      <c r="MJ1340" s="120"/>
      <c r="MK1340" s="120"/>
      <c r="ML1340" s="120"/>
      <c r="MM1340" s="120"/>
      <c r="MN1340" s="120"/>
      <c r="MO1340" s="120"/>
      <c r="MP1340" s="120"/>
      <c r="MQ1340" s="120"/>
      <c r="MR1340" s="120"/>
      <c r="MS1340" s="120"/>
      <c r="MT1340" s="120"/>
      <c r="MU1340" s="120"/>
      <c r="MV1340" s="120"/>
      <c r="MW1340" s="120"/>
      <c r="MX1340" s="120"/>
      <c r="MY1340" s="120"/>
      <c r="MZ1340" s="120"/>
      <c r="NA1340" s="120"/>
      <c r="NB1340" s="120"/>
      <c r="NC1340" s="120"/>
      <c r="ND1340" s="120"/>
      <c r="NE1340" s="120"/>
      <c r="NF1340" s="120"/>
      <c r="NG1340" s="120"/>
      <c r="NH1340" s="120"/>
      <c r="NI1340" s="120"/>
      <c r="NJ1340" s="120"/>
      <c r="NK1340" s="120"/>
      <c r="NL1340" s="120"/>
      <c r="NM1340" s="120"/>
      <c r="NN1340" s="120"/>
      <c r="NO1340" s="120"/>
      <c r="NP1340" s="120"/>
      <c r="NQ1340" s="120"/>
      <c r="NR1340" s="120"/>
      <c r="NS1340" s="120"/>
      <c r="NT1340" s="120"/>
      <c r="NU1340" s="120"/>
      <c r="NV1340" s="120"/>
      <c r="NW1340" s="120"/>
      <c r="NX1340" s="120"/>
      <c r="NY1340" s="120"/>
      <c r="NZ1340" s="120"/>
      <c r="OA1340" s="120"/>
      <c r="OB1340" s="120"/>
      <c r="OC1340" s="120"/>
      <c r="OD1340" s="120"/>
      <c r="OE1340" s="120"/>
      <c r="OF1340" s="120"/>
      <c r="OG1340" s="120"/>
      <c r="OH1340" s="120"/>
      <c r="OI1340" s="120"/>
      <c r="OJ1340" s="120"/>
      <c r="OK1340" s="120"/>
      <c r="OL1340" s="120"/>
      <c r="OM1340" s="120"/>
      <c r="ON1340" s="120"/>
      <c r="OO1340" s="120"/>
      <c r="OP1340" s="120"/>
      <c r="OQ1340" s="120"/>
      <c r="OR1340" s="120"/>
      <c r="OS1340" s="120"/>
      <c r="OT1340" s="120"/>
      <c r="OU1340" s="120"/>
      <c r="OV1340" s="120"/>
      <c r="OW1340" s="120"/>
      <c r="OX1340" s="120"/>
      <c r="OY1340" s="120"/>
      <c r="OZ1340" s="120"/>
      <c r="PA1340" s="120"/>
      <c r="PB1340" s="120"/>
      <c r="PC1340" s="120"/>
      <c r="PD1340" s="120"/>
      <c r="PE1340" s="120"/>
      <c r="PF1340" s="120"/>
      <c r="PG1340" s="120"/>
      <c r="PH1340" s="120"/>
      <c r="PI1340" s="120"/>
      <c r="PJ1340" s="120"/>
      <c r="PK1340" s="120"/>
      <c r="PL1340" s="120"/>
      <c r="PM1340" s="120"/>
      <c r="PN1340" s="120"/>
      <c r="PO1340" s="120"/>
      <c r="PP1340" s="120"/>
      <c r="PQ1340" s="120"/>
      <c r="PR1340" s="120"/>
      <c r="PS1340" s="120"/>
      <c r="PT1340" s="120"/>
      <c r="PU1340" s="120"/>
      <c r="PV1340" s="120"/>
      <c r="PW1340" s="120"/>
      <c r="PX1340" s="120"/>
      <c r="PY1340" s="120"/>
      <c r="PZ1340" s="120"/>
      <c r="QA1340" s="120"/>
      <c r="QB1340" s="120"/>
      <c r="QC1340" s="120"/>
      <c r="QD1340" s="120"/>
      <c r="QE1340" s="120"/>
      <c r="QF1340" s="120"/>
      <c r="QG1340" s="120"/>
      <c r="QH1340" s="120"/>
      <c r="QI1340" s="120"/>
      <c r="QJ1340" s="120"/>
      <c r="QK1340" s="120"/>
      <c r="QL1340" s="120"/>
      <c r="QM1340" s="120"/>
      <c r="QN1340" s="120"/>
      <c r="QO1340" s="120"/>
      <c r="QP1340" s="120"/>
      <c r="QQ1340" s="120"/>
      <c r="QR1340" s="120"/>
      <c r="QS1340" s="120"/>
      <c r="QT1340" s="120"/>
      <c r="QU1340" s="120"/>
      <c r="QV1340" s="120"/>
      <c r="QW1340" s="120"/>
      <c r="QX1340" s="120"/>
      <c r="QY1340" s="120"/>
      <c r="QZ1340" s="120"/>
      <c r="RA1340" s="120"/>
      <c r="RB1340" s="120"/>
      <c r="RC1340" s="120"/>
      <c r="RD1340" s="120"/>
      <c r="RE1340" s="120"/>
      <c r="RF1340" s="120"/>
      <c r="RG1340" s="120"/>
      <c r="RH1340" s="120"/>
      <c r="RI1340" s="120"/>
      <c r="RJ1340" s="120"/>
      <c r="RK1340" s="120"/>
      <c r="RL1340" s="120"/>
      <c r="RM1340" s="120"/>
      <c r="RN1340" s="120"/>
      <c r="RO1340" s="120"/>
      <c r="RP1340" s="120"/>
      <c r="RQ1340" s="120"/>
      <c r="RR1340" s="120"/>
      <c r="RS1340" s="120"/>
      <c r="RT1340" s="120"/>
      <c r="RU1340" s="120"/>
      <c r="RV1340" s="120"/>
      <c r="RW1340" s="120"/>
      <c r="RX1340" s="120"/>
      <c r="RY1340" s="120"/>
      <c r="RZ1340" s="120"/>
      <c r="SA1340" s="120"/>
      <c r="SB1340" s="120"/>
      <c r="SC1340" s="120"/>
      <c r="SD1340" s="120"/>
      <c r="SE1340" s="120"/>
      <c r="SF1340" s="120"/>
      <c r="SG1340" s="120"/>
      <c r="SH1340" s="120"/>
      <c r="SI1340" s="120"/>
      <c r="SJ1340" s="120"/>
      <c r="SK1340" s="120"/>
      <c r="SL1340" s="120"/>
      <c r="SM1340" s="120"/>
      <c r="SN1340" s="120"/>
      <c r="SO1340" s="120"/>
      <c r="SP1340" s="120"/>
      <c r="SQ1340" s="120"/>
      <c r="SR1340" s="120"/>
      <c r="SS1340" s="120"/>
      <c r="ST1340" s="120"/>
      <c r="SU1340" s="120"/>
      <c r="SV1340" s="120"/>
      <c r="SW1340" s="120"/>
      <c r="SX1340" s="120"/>
      <c r="SY1340" s="120"/>
      <c r="SZ1340" s="120"/>
      <c r="TA1340" s="120"/>
      <c r="TB1340" s="120"/>
      <c r="TC1340" s="120"/>
      <c r="TD1340" s="120"/>
      <c r="TE1340" s="120"/>
      <c r="TF1340" s="120"/>
      <c r="TG1340" s="120"/>
      <c r="TH1340" s="120"/>
      <c r="TI1340" s="120"/>
      <c r="TJ1340" s="120"/>
      <c r="TK1340" s="120"/>
      <c r="TL1340" s="120"/>
      <c r="TM1340" s="120"/>
      <c r="TN1340" s="120"/>
      <c r="TO1340" s="120"/>
      <c r="TP1340" s="120"/>
      <c r="TQ1340" s="120"/>
      <c r="TR1340" s="120"/>
      <c r="TS1340" s="120"/>
      <c r="TT1340" s="120"/>
      <c r="TU1340" s="120"/>
      <c r="TV1340" s="120"/>
      <c r="TW1340" s="120"/>
      <c r="TX1340" s="120"/>
      <c r="TY1340" s="120"/>
      <c r="TZ1340" s="120"/>
      <c r="UA1340" s="120"/>
      <c r="UB1340" s="120"/>
      <c r="UC1340" s="120"/>
      <c r="UD1340" s="120"/>
      <c r="UE1340" s="120"/>
      <c r="UF1340" s="120"/>
      <c r="UG1340" s="120"/>
      <c r="UH1340" s="120"/>
      <c r="UI1340" s="120"/>
      <c r="UJ1340" s="120"/>
      <c r="UK1340" s="120"/>
      <c r="UL1340" s="120"/>
      <c r="UM1340" s="120"/>
      <c r="UN1340" s="120"/>
      <c r="UO1340" s="120"/>
      <c r="UP1340" s="120"/>
      <c r="UQ1340" s="120"/>
      <c r="UR1340" s="120"/>
      <c r="US1340" s="120"/>
      <c r="UT1340" s="120"/>
      <c r="UU1340" s="120"/>
      <c r="UV1340" s="120"/>
      <c r="UW1340" s="120"/>
      <c r="UX1340" s="120"/>
      <c r="UY1340" s="120"/>
      <c r="UZ1340" s="120"/>
      <c r="VA1340" s="120"/>
      <c r="VB1340" s="120"/>
      <c r="VC1340" s="120"/>
      <c r="VD1340" s="120"/>
      <c r="VE1340" s="120"/>
      <c r="VF1340" s="120"/>
      <c r="VG1340" s="120"/>
      <c r="VH1340" s="120"/>
      <c r="VI1340" s="120"/>
      <c r="VJ1340" s="120"/>
      <c r="VK1340" s="120"/>
      <c r="VL1340" s="120"/>
      <c r="VM1340" s="120"/>
      <c r="VN1340" s="120"/>
      <c r="VO1340" s="120"/>
      <c r="VP1340" s="120"/>
      <c r="VQ1340" s="120"/>
      <c r="VR1340" s="120"/>
      <c r="VS1340" s="120"/>
      <c r="VT1340" s="120"/>
      <c r="VU1340" s="120"/>
      <c r="VV1340" s="120"/>
      <c r="VW1340" s="120"/>
      <c r="VX1340" s="120"/>
      <c r="VY1340" s="120"/>
      <c r="VZ1340" s="120"/>
      <c r="WA1340" s="120"/>
      <c r="WB1340" s="120"/>
      <c r="WC1340" s="120"/>
      <c r="WD1340" s="120"/>
      <c r="WE1340" s="120"/>
      <c r="WF1340" s="120"/>
      <c r="WG1340" s="120"/>
      <c r="WH1340" s="120"/>
      <c r="WI1340" s="120"/>
      <c r="WJ1340" s="120"/>
      <c r="WK1340" s="120"/>
      <c r="WL1340" s="120"/>
      <c r="WM1340" s="120"/>
      <c r="WN1340" s="120"/>
      <c r="WO1340" s="120"/>
      <c r="WP1340" s="120"/>
      <c r="WQ1340" s="120"/>
      <c r="WR1340" s="120"/>
      <c r="WS1340" s="120"/>
      <c r="WT1340" s="120"/>
      <c r="WU1340" s="120"/>
      <c r="WV1340" s="120"/>
      <c r="WW1340" s="120"/>
      <c r="WX1340" s="120"/>
      <c r="WY1340" s="120"/>
      <c r="WZ1340" s="120"/>
      <c r="XA1340" s="120"/>
      <c r="XB1340" s="120"/>
      <c r="XC1340" s="120"/>
      <c r="XD1340" s="120"/>
      <c r="XE1340" s="120"/>
      <c r="XF1340" s="120"/>
      <c r="XG1340" s="120"/>
      <c r="XH1340" s="120"/>
      <c r="XI1340" s="120"/>
      <c r="XJ1340" s="120"/>
      <c r="XK1340" s="120"/>
      <c r="XL1340" s="120"/>
      <c r="XM1340" s="120"/>
      <c r="XN1340" s="120"/>
      <c r="XO1340" s="120"/>
      <c r="XP1340" s="120"/>
      <c r="XQ1340" s="120"/>
      <c r="XR1340" s="120"/>
      <c r="XS1340" s="120"/>
      <c r="XT1340" s="120"/>
      <c r="XU1340" s="120"/>
      <c r="XV1340" s="120"/>
      <c r="XW1340" s="120"/>
      <c r="XX1340" s="120"/>
      <c r="XY1340" s="120"/>
      <c r="XZ1340" s="120"/>
      <c r="YA1340" s="120"/>
      <c r="YB1340" s="120"/>
      <c r="YC1340" s="120"/>
      <c r="YD1340" s="120"/>
      <c r="YE1340" s="120"/>
      <c r="YF1340" s="120"/>
      <c r="YG1340" s="120"/>
      <c r="YH1340" s="120"/>
      <c r="YI1340" s="120"/>
      <c r="YJ1340" s="120"/>
      <c r="YK1340" s="120"/>
      <c r="YL1340" s="120"/>
      <c r="YM1340" s="120"/>
      <c r="YN1340" s="120"/>
      <c r="YO1340" s="120"/>
      <c r="YP1340" s="120"/>
      <c r="YQ1340" s="120"/>
      <c r="YR1340" s="120"/>
      <c r="YS1340" s="120"/>
      <c r="YT1340" s="120"/>
      <c r="YU1340" s="120"/>
      <c r="YV1340" s="120"/>
      <c r="YW1340" s="120"/>
      <c r="YX1340" s="120"/>
      <c r="YY1340" s="120"/>
      <c r="YZ1340" s="120"/>
      <c r="ZA1340" s="120"/>
      <c r="ZB1340" s="120"/>
      <c r="ZC1340" s="120"/>
      <c r="ZD1340" s="120"/>
      <c r="ZE1340" s="120"/>
      <c r="ZF1340" s="120"/>
      <c r="ZG1340" s="120"/>
      <c r="ZH1340" s="120"/>
      <c r="ZI1340" s="120"/>
      <c r="ZJ1340" s="120"/>
      <c r="ZK1340" s="120"/>
      <c r="ZL1340" s="120"/>
      <c r="ZM1340" s="120"/>
      <c r="ZN1340" s="120"/>
      <c r="ZO1340" s="120"/>
      <c r="ZP1340" s="120"/>
      <c r="ZQ1340" s="120"/>
      <c r="ZR1340" s="120"/>
      <c r="ZS1340" s="120"/>
      <c r="ZT1340" s="120"/>
      <c r="ZU1340" s="120"/>
      <c r="ZV1340" s="120"/>
      <c r="ZW1340" s="120"/>
      <c r="ZX1340" s="120"/>
      <c r="ZY1340" s="120"/>
      <c r="ZZ1340" s="120"/>
      <c r="AAA1340" s="120"/>
      <c r="AAB1340" s="120"/>
      <c r="AAC1340" s="120"/>
      <c r="AAD1340" s="120"/>
      <c r="AAE1340" s="120"/>
      <c r="AAF1340" s="120"/>
      <c r="AAG1340" s="120"/>
      <c r="AAH1340" s="120"/>
      <c r="AAI1340" s="120"/>
      <c r="AAJ1340" s="120"/>
      <c r="AAK1340" s="120"/>
      <c r="AAL1340" s="120"/>
      <c r="AAM1340" s="120"/>
      <c r="AAN1340" s="120"/>
      <c r="AAO1340" s="120"/>
      <c r="AAP1340" s="120"/>
      <c r="AAQ1340" s="120"/>
      <c r="AAR1340" s="120"/>
      <c r="AAS1340" s="120"/>
      <c r="AAT1340" s="120"/>
      <c r="AAU1340" s="120"/>
      <c r="AAV1340" s="120"/>
      <c r="AAW1340" s="120"/>
      <c r="AAX1340" s="120"/>
      <c r="AAY1340" s="120"/>
      <c r="AAZ1340" s="120"/>
      <c r="ABA1340" s="120"/>
      <c r="ABB1340" s="120"/>
      <c r="ABC1340" s="120"/>
      <c r="ABD1340" s="120"/>
      <c r="ABE1340" s="120"/>
      <c r="ABF1340" s="120"/>
      <c r="ABG1340" s="120"/>
      <c r="ABH1340" s="120"/>
      <c r="ABI1340" s="120"/>
      <c r="ABJ1340" s="120"/>
      <c r="ABK1340" s="120"/>
      <c r="ABL1340" s="120"/>
      <c r="ABM1340" s="120"/>
      <c r="ABN1340" s="120"/>
      <c r="ABO1340" s="120"/>
      <c r="ABP1340" s="120"/>
      <c r="ABQ1340" s="120"/>
      <c r="ABR1340" s="120"/>
      <c r="ABS1340" s="120"/>
      <c r="ABT1340" s="120"/>
      <c r="ABU1340" s="120"/>
      <c r="ABV1340" s="120"/>
      <c r="ABW1340" s="120"/>
      <c r="ABX1340" s="120"/>
      <c r="ABY1340" s="120"/>
      <c r="ABZ1340" s="120"/>
      <c r="ACA1340" s="120"/>
      <c r="ACB1340" s="120"/>
      <c r="ACC1340" s="120"/>
      <c r="ACD1340" s="120"/>
      <c r="ACE1340" s="120"/>
      <c r="ACF1340" s="120"/>
      <c r="ACG1340" s="120"/>
      <c r="ACH1340" s="120"/>
      <c r="ACI1340" s="120"/>
      <c r="ACJ1340" s="120"/>
      <c r="ACK1340" s="120"/>
      <c r="ACL1340" s="120"/>
      <c r="ACM1340" s="120"/>
      <c r="ACN1340" s="120"/>
      <c r="ACO1340" s="120"/>
      <c r="ACP1340" s="120"/>
      <c r="ACQ1340" s="120"/>
      <c r="ACR1340" s="120"/>
      <c r="ACS1340" s="120"/>
      <c r="ACT1340" s="120"/>
      <c r="ACU1340" s="120"/>
      <c r="ACV1340" s="120"/>
      <c r="ACW1340" s="120"/>
      <c r="ACX1340" s="120"/>
      <c r="ACY1340" s="120"/>
      <c r="ACZ1340" s="120"/>
      <c r="ADA1340" s="120"/>
      <c r="ADB1340" s="120"/>
      <c r="ADC1340" s="120"/>
      <c r="ADD1340" s="120"/>
      <c r="ADE1340" s="120"/>
      <c r="ADF1340" s="120"/>
      <c r="ADG1340" s="120"/>
      <c r="ADH1340" s="120"/>
      <c r="ADI1340" s="120"/>
      <c r="ADJ1340" s="120"/>
      <c r="ADK1340" s="120"/>
      <c r="ADL1340" s="120"/>
      <c r="ADM1340" s="120"/>
      <c r="ADN1340" s="120"/>
      <c r="ADO1340" s="120"/>
      <c r="ADP1340" s="120"/>
      <c r="ADQ1340" s="120"/>
      <c r="ADR1340" s="120"/>
      <c r="ADS1340" s="120"/>
      <c r="ADT1340" s="120"/>
      <c r="ADU1340" s="120"/>
      <c r="ADV1340" s="120"/>
      <c r="ADW1340" s="120"/>
      <c r="ADX1340" s="120"/>
      <c r="ADY1340" s="120"/>
      <c r="ADZ1340" s="120"/>
      <c r="AEA1340" s="120"/>
      <c r="AEB1340" s="120"/>
      <c r="AEC1340" s="120"/>
      <c r="AED1340" s="120"/>
      <c r="AEE1340" s="120"/>
      <c r="AEF1340" s="120"/>
      <c r="AEG1340" s="120"/>
      <c r="AEH1340" s="120"/>
      <c r="AEI1340" s="120"/>
      <c r="AEJ1340" s="120"/>
      <c r="AEK1340" s="120"/>
      <c r="AEL1340" s="120"/>
      <c r="AEM1340" s="120"/>
      <c r="AEN1340" s="120"/>
      <c r="AEO1340" s="120"/>
      <c r="AEP1340" s="120"/>
      <c r="AEQ1340" s="120"/>
      <c r="AER1340" s="120"/>
      <c r="AES1340" s="120"/>
      <c r="AET1340" s="120"/>
      <c r="AEU1340" s="120"/>
      <c r="AEV1340" s="120"/>
      <c r="AEW1340" s="120"/>
      <c r="AEX1340" s="120"/>
      <c r="AEY1340" s="120"/>
      <c r="AEZ1340" s="120"/>
      <c r="AFA1340" s="120"/>
      <c r="AFB1340" s="120"/>
      <c r="AFC1340" s="120"/>
      <c r="AFD1340" s="120"/>
      <c r="AFE1340" s="120"/>
      <c r="AFF1340" s="120"/>
      <c r="AFG1340" s="120"/>
      <c r="AFH1340" s="120"/>
      <c r="AFI1340" s="120"/>
      <c r="AFJ1340" s="120"/>
      <c r="AFK1340" s="120"/>
      <c r="AFL1340" s="120"/>
      <c r="AFM1340" s="120"/>
      <c r="AFN1340" s="120"/>
      <c r="AFO1340" s="120"/>
      <c r="AFP1340" s="120"/>
      <c r="AFQ1340" s="120"/>
      <c r="AFR1340" s="120"/>
      <c r="AFS1340" s="120"/>
      <c r="AFT1340" s="120"/>
      <c r="AFU1340" s="120"/>
      <c r="AFV1340" s="120"/>
      <c r="AFW1340" s="120"/>
      <c r="AFX1340" s="120"/>
      <c r="AFY1340" s="120"/>
      <c r="AFZ1340" s="120"/>
      <c r="AGA1340" s="120"/>
      <c r="AGB1340" s="120"/>
      <c r="AGC1340" s="120"/>
      <c r="AGD1340" s="120"/>
      <c r="AGE1340" s="120"/>
      <c r="AGF1340" s="120"/>
      <c r="AGG1340" s="120"/>
      <c r="AGH1340" s="120"/>
      <c r="AGI1340" s="120"/>
      <c r="AGJ1340" s="120"/>
      <c r="AGK1340" s="120"/>
      <c r="AGL1340" s="120"/>
      <c r="AGM1340" s="120"/>
      <c r="AGN1340" s="120"/>
      <c r="AGO1340" s="120"/>
      <c r="AGP1340" s="120"/>
      <c r="AGQ1340" s="120"/>
      <c r="AGR1340" s="120"/>
      <c r="AGS1340" s="120"/>
      <c r="AGT1340" s="120"/>
      <c r="AGU1340" s="120"/>
      <c r="AGV1340" s="120"/>
      <c r="AGW1340" s="120"/>
      <c r="AGX1340" s="120"/>
      <c r="AGY1340" s="120"/>
      <c r="AGZ1340" s="120"/>
      <c r="AHA1340" s="120"/>
      <c r="AHB1340" s="120"/>
      <c r="AHC1340" s="120"/>
      <c r="AHD1340" s="120"/>
      <c r="AHE1340" s="120"/>
      <c r="AHF1340" s="120"/>
      <c r="AHG1340" s="120"/>
      <c r="AHH1340" s="120"/>
      <c r="AHI1340" s="120"/>
      <c r="AHJ1340" s="120"/>
      <c r="AHK1340" s="120"/>
      <c r="AHL1340" s="120"/>
      <c r="AHM1340" s="120"/>
      <c r="AHN1340" s="120"/>
      <c r="AHO1340" s="120"/>
      <c r="AHP1340" s="120"/>
      <c r="AHQ1340" s="120"/>
      <c r="AHR1340" s="120"/>
      <c r="AHS1340" s="120"/>
      <c r="AHT1340" s="120"/>
      <c r="AHU1340" s="120"/>
      <c r="AHV1340" s="120"/>
      <c r="AHW1340" s="120"/>
      <c r="AHX1340" s="120"/>
      <c r="AHY1340" s="120"/>
      <c r="AHZ1340" s="120"/>
      <c r="AIA1340" s="120"/>
      <c r="AIB1340" s="120"/>
      <c r="AIC1340" s="120"/>
      <c r="AID1340" s="120"/>
      <c r="AIE1340" s="120"/>
      <c r="AIF1340" s="120"/>
      <c r="AIG1340" s="120"/>
      <c r="AIH1340" s="120"/>
      <c r="AII1340" s="120"/>
      <c r="AIJ1340" s="120"/>
      <c r="AIK1340" s="120"/>
      <c r="AIL1340" s="120"/>
      <c r="AIM1340" s="120"/>
      <c r="AIN1340" s="120"/>
      <c r="AIO1340" s="120"/>
      <c r="AIP1340" s="120"/>
      <c r="AIQ1340" s="120"/>
      <c r="AIR1340" s="120"/>
      <c r="AIS1340" s="120"/>
      <c r="AIT1340" s="120"/>
      <c r="AIU1340" s="120"/>
      <c r="AIV1340" s="120"/>
      <c r="AIW1340" s="120"/>
      <c r="AIX1340" s="120"/>
      <c r="AIY1340" s="120"/>
      <c r="AIZ1340" s="120"/>
      <c r="AJA1340" s="120"/>
      <c r="AJB1340" s="120"/>
      <c r="AJC1340" s="120"/>
      <c r="AJD1340" s="120"/>
      <c r="AJE1340" s="120"/>
      <c r="AJF1340" s="120"/>
      <c r="AJG1340" s="120"/>
      <c r="AJH1340" s="120"/>
      <c r="AJI1340" s="120"/>
      <c r="AJJ1340" s="120"/>
      <c r="AJK1340" s="120"/>
      <c r="AJL1340" s="120"/>
      <c r="AJM1340" s="120"/>
      <c r="AJN1340" s="120"/>
      <c r="AJO1340" s="120"/>
      <c r="AJP1340" s="120"/>
      <c r="AJQ1340" s="120"/>
      <c r="AJR1340" s="120"/>
      <c r="AJS1340" s="120"/>
      <c r="AJT1340" s="120"/>
      <c r="AJU1340" s="120"/>
      <c r="AJV1340" s="120"/>
      <c r="AJW1340" s="120"/>
      <c r="AJX1340" s="120"/>
      <c r="AJY1340" s="120"/>
      <c r="AJZ1340" s="120"/>
      <c r="AKA1340" s="120"/>
      <c r="AKB1340" s="120"/>
      <c r="AKC1340" s="120"/>
      <c r="AKD1340" s="120"/>
      <c r="AKE1340" s="120"/>
      <c r="AKF1340" s="120"/>
      <c r="AKG1340" s="120"/>
      <c r="AKH1340" s="120"/>
      <c r="AKI1340" s="120"/>
      <c r="AKJ1340" s="120"/>
      <c r="AKK1340" s="120"/>
      <c r="AKL1340" s="120"/>
      <c r="AKM1340" s="120"/>
      <c r="AKN1340" s="120"/>
      <c r="AKO1340" s="120"/>
      <c r="AKP1340" s="120"/>
      <c r="AKQ1340" s="120"/>
      <c r="AKR1340" s="120"/>
      <c r="AKS1340" s="120"/>
      <c r="AKT1340" s="120"/>
      <c r="AKU1340" s="120"/>
      <c r="AKV1340" s="120"/>
      <c r="AKW1340" s="120"/>
      <c r="AKX1340" s="120"/>
      <c r="AKY1340" s="120"/>
      <c r="AKZ1340" s="120"/>
      <c r="ALA1340" s="120"/>
      <c r="ALB1340" s="120"/>
      <c r="ALC1340" s="120"/>
      <c r="ALD1340" s="120"/>
      <c r="ALE1340" s="120"/>
      <c r="ALF1340" s="120"/>
      <c r="ALG1340" s="120"/>
      <c r="ALH1340" s="120"/>
      <c r="ALI1340" s="120"/>
      <c r="ALJ1340" s="120"/>
      <c r="ALK1340" s="120"/>
      <c r="ALL1340" s="120"/>
      <c r="ALM1340" s="120"/>
      <c r="ALN1340" s="120"/>
      <c r="ALO1340" s="120"/>
      <c r="ALP1340" s="120"/>
      <c r="ALQ1340" s="120"/>
      <c r="ALR1340" s="120"/>
      <c r="ALS1340" s="120"/>
      <c r="ALT1340" s="120"/>
      <c r="ALU1340" s="120"/>
      <c r="ALV1340" s="120"/>
      <c r="ALW1340" s="120"/>
      <c r="ALX1340" s="120"/>
      <c r="ALY1340" s="120"/>
      <c r="ALZ1340" s="120"/>
      <c r="AMA1340" s="120"/>
      <c r="AMB1340" s="120"/>
      <c r="AMC1340" s="120"/>
      <c r="AMD1340" s="120"/>
      <c r="AME1340" s="120"/>
      <c r="AMF1340" s="120"/>
      <c r="AMG1340" s="120"/>
      <c r="AMH1340" s="120"/>
      <c r="AMI1340" s="120"/>
      <c r="AMJ1340" s="120"/>
      <c r="AMK1340" s="120"/>
      <c r="AML1340" s="120"/>
      <c r="AMM1340" s="120"/>
      <c r="AMN1340" s="120"/>
      <c r="AMO1340" s="120"/>
      <c r="AMP1340" s="120"/>
      <c r="AMQ1340" s="120"/>
      <c r="AMR1340" s="120"/>
      <c r="AMS1340" s="120"/>
      <c r="AMT1340" s="120"/>
      <c r="AMU1340" s="120"/>
      <c r="AMV1340" s="120"/>
      <c r="AMW1340" s="120"/>
      <c r="AMX1340" s="120"/>
      <c r="AMY1340" s="120"/>
      <c r="AMZ1340" s="120"/>
      <c r="ANA1340" s="120"/>
      <c r="ANB1340" s="120"/>
      <c r="ANC1340" s="120"/>
      <c r="AND1340" s="120"/>
      <c r="ANE1340" s="120"/>
      <c r="ANF1340" s="120"/>
      <c r="ANG1340" s="120"/>
      <c r="ANH1340" s="120"/>
      <c r="ANI1340" s="120"/>
      <c r="ANJ1340" s="120"/>
      <c r="ANK1340" s="120"/>
      <c r="ANL1340" s="120"/>
      <c r="ANM1340" s="120"/>
      <c r="ANN1340" s="120"/>
      <c r="ANO1340" s="120"/>
      <c r="ANP1340" s="120"/>
      <c r="ANQ1340" s="120"/>
      <c r="ANR1340" s="120"/>
      <c r="ANS1340" s="120"/>
      <c r="ANT1340" s="120"/>
      <c r="ANU1340" s="120"/>
      <c r="ANV1340" s="120"/>
      <c r="ANW1340" s="120"/>
      <c r="ANX1340" s="120"/>
      <c r="ANY1340" s="120"/>
      <c r="ANZ1340" s="120"/>
      <c r="AOA1340" s="120"/>
      <c r="AOB1340" s="120"/>
      <c r="AOC1340" s="120"/>
      <c r="AOD1340" s="120"/>
      <c r="AOE1340" s="120"/>
      <c r="AOF1340" s="120"/>
      <c r="AOG1340" s="120"/>
      <c r="AOH1340" s="120"/>
      <c r="AOI1340" s="120"/>
      <c r="AOJ1340" s="120"/>
      <c r="AOK1340" s="120"/>
      <c r="AOL1340" s="120"/>
      <c r="AOM1340" s="120"/>
      <c r="AON1340" s="120"/>
      <c r="AOO1340" s="120"/>
      <c r="AOP1340" s="120"/>
      <c r="AOQ1340" s="120"/>
      <c r="AOR1340" s="120"/>
      <c r="AOS1340" s="120"/>
      <c r="AOT1340" s="120"/>
      <c r="AOU1340" s="120"/>
      <c r="AOV1340" s="120"/>
      <c r="AOW1340" s="120"/>
      <c r="AOX1340" s="120"/>
      <c r="AOY1340" s="120"/>
      <c r="AOZ1340" s="120"/>
      <c r="APA1340" s="120"/>
      <c r="APB1340" s="120"/>
      <c r="APC1340" s="120"/>
      <c r="APD1340" s="120"/>
      <c r="APE1340" s="120"/>
      <c r="APF1340" s="120"/>
      <c r="APG1340" s="120"/>
      <c r="APH1340" s="120"/>
      <c r="API1340" s="120"/>
      <c r="APJ1340" s="120"/>
      <c r="APK1340" s="120"/>
      <c r="APL1340" s="120"/>
      <c r="APM1340" s="120"/>
      <c r="APN1340" s="120"/>
      <c r="APO1340" s="120"/>
      <c r="APP1340" s="120"/>
      <c r="APQ1340" s="120"/>
      <c r="APR1340" s="120"/>
      <c r="APS1340" s="120"/>
      <c r="APT1340" s="120"/>
      <c r="APU1340" s="120"/>
      <c r="APV1340" s="120"/>
      <c r="APW1340" s="120"/>
      <c r="APX1340" s="120"/>
      <c r="APY1340" s="120"/>
      <c r="APZ1340" s="120"/>
      <c r="AQA1340" s="120"/>
      <c r="AQB1340" s="120"/>
      <c r="AQC1340" s="120"/>
      <c r="AQD1340" s="120"/>
      <c r="AQE1340" s="120"/>
      <c r="AQF1340" s="120"/>
      <c r="AQG1340" s="120"/>
      <c r="AQH1340" s="120"/>
      <c r="AQI1340" s="120"/>
      <c r="AQJ1340" s="120"/>
      <c r="AQK1340" s="120"/>
      <c r="AQL1340" s="120"/>
      <c r="AQM1340" s="120"/>
      <c r="AQN1340" s="120"/>
      <c r="AQO1340" s="120"/>
      <c r="AQP1340" s="120"/>
      <c r="AQQ1340" s="120"/>
      <c r="AQR1340" s="120"/>
      <c r="AQS1340" s="120"/>
      <c r="AQT1340" s="120"/>
      <c r="AQU1340" s="120"/>
      <c r="AQV1340" s="120"/>
      <c r="AQW1340" s="120"/>
      <c r="AQX1340" s="120"/>
      <c r="AQY1340" s="120"/>
      <c r="AQZ1340" s="120"/>
      <c r="ARA1340" s="120"/>
      <c r="ARB1340" s="120"/>
      <c r="ARC1340" s="120"/>
      <c r="ARD1340" s="120"/>
      <c r="ARE1340" s="120"/>
      <c r="ARF1340" s="120"/>
      <c r="ARG1340" s="120"/>
      <c r="ARH1340" s="120"/>
      <c r="ARI1340" s="120"/>
      <c r="ARJ1340" s="120"/>
      <c r="ARK1340" s="120"/>
      <c r="ARL1340" s="120"/>
      <c r="ARM1340" s="120"/>
      <c r="ARN1340" s="120"/>
      <c r="ARO1340" s="120"/>
      <c r="ARP1340" s="120"/>
      <c r="ARQ1340" s="120"/>
      <c r="ARR1340" s="120"/>
      <c r="ARS1340" s="120"/>
      <c r="ART1340" s="120"/>
      <c r="ARU1340" s="120"/>
      <c r="ARV1340" s="120"/>
      <c r="ARW1340" s="120"/>
      <c r="ARX1340" s="120"/>
      <c r="ARY1340" s="120"/>
      <c r="ARZ1340" s="120"/>
      <c r="ASA1340" s="120"/>
      <c r="ASB1340" s="120"/>
      <c r="ASC1340" s="120"/>
      <c r="ASD1340" s="120"/>
      <c r="ASE1340" s="120"/>
      <c r="ASF1340" s="120"/>
      <c r="ASG1340" s="120"/>
      <c r="ASH1340" s="120"/>
      <c r="ASI1340" s="120"/>
      <c r="ASJ1340" s="120"/>
      <c r="ASK1340" s="120"/>
      <c r="ASL1340" s="120"/>
      <c r="ASM1340" s="120"/>
      <c r="ASN1340" s="120"/>
      <c r="ASO1340" s="120"/>
      <c r="ASP1340" s="120"/>
      <c r="ASQ1340" s="120"/>
      <c r="ASR1340" s="120"/>
      <c r="ASS1340" s="120"/>
      <c r="AST1340" s="120"/>
      <c r="ASU1340" s="120"/>
      <c r="ASV1340" s="120"/>
      <c r="ASW1340" s="120"/>
      <c r="ASX1340" s="120"/>
      <c r="ASY1340" s="120"/>
      <c r="ASZ1340" s="120"/>
      <c r="ATA1340" s="120"/>
      <c r="ATB1340" s="120"/>
      <c r="ATC1340" s="120"/>
      <c r="ATD1340" s="120"/>
      <c r="ATE1340" s="120"/>
      <c r="ATF1340" s="120"/>
      <c r="ATG1340" s="120"/>
      <c r="ATH1340" s="120"/>
      <c r="ATI1340" s="120"/>
      <c r="ATJ1340" s="120"/>
      <c r="ATK1340" s="120"/>
      <c r="ATL1340" s="120"/>
      <c r="ATM1340" s="120"/>
      <c r="ATN1340" s="120"/>
      <c r="ATO1340" s="120"/>
    </row>
    <row r="1341" spans="1:1211" s="20" customFormat="1" ht="14.1" customHeight="1">
      <c r="A1341" s="112"/>
      <c r="B1341" s="945" t="s">
        <v>1795</v>
      </c>
      <c r="C1341" s="184" t="s">
        <v>6121</v>
      </c>
      <c r="D1341" s="120"/>
      <c r="E1341" s="701"/>
      <c r="F1341" s="703"/>
      <c r="G1341" s="702"/>
      <c r="H1341" s="702"/>
      <c r="I1341" s="702"/>
      <c r="J1341" s="700"/>
      <c r="K1341" s="112"/>
      <c r="L1341" s="363"/>
      <c r="M1341" s="112"/>
      <c r="N1341" s="362"/>
      <c r="O1341" s="573"/>
      <c r="P1341" s="120"/>
      <c r="Q1341" s="120"/>
      <c r="R1341" s="120"/>
      <c r="S1341" s="120"/>
      <c r="T1341" s="120"/>
      <c r="U1341" s="120"/>
      <c r="V1341" s="120"/>
      <c r="W1341" s="120"/>
      <c r="X1341" s="120"/>
      <c r="Y1341" s="120"/>
      <c r="Z1341" s="120"/>
      <c r="AA1341" s="120"/>
      <c r="AB1341" s="120"/>
      <c r="AC1341" s="120"/>
      <c r="AD1341" s="120"/>
      <c r="AE1341" s="120"/>
      <c r="AF1341" s="120"/>
      <c r="AG1341" s="120"/>
      <c r="AH1341" s="120"/>
      <c r="AI1341" s="120"/>
      <c r="AJ1341" s="120"/>
      <c r="AK1341" s="120"/>
      <c r="AL1341" s="120"/>
      <c r="AM1341" s="120"/>
      <c r="AN1341" s="120"/>
      <c r="AO1341" s="120"/>
      <c r="AP1341" s="120"/>
      <c r="AQ1341" s="120"/>
      <c r="AR1341" s="120"/>
      <c r="AS1341" s="120"/>
      <c r="AT1341" s="120"/>
      <c r="AU1341" s="120"/>
      <c r="AV1341" s="120"/>
      <c r="AW1341" s="120"/>
      <c r="AX1341" s="120"/>
      <c r="AY1341" s="120"/>
      <c r="AZ1341" s="120"/>
      <c r="BA1341" s="120"/>
      <c r="BB1341" s="120"/>
      <c r="BC1341" s="120"/>
      <c r="BD1341" s="120"/>
      <c r="BE1341" s="120"/>
      <c r="BF1341" s="120"/>
      <c r="BG1341" s="120"/>
      <c r="BH1341" s="120"/>
      <c r="BI1341" s="120"/>
      <c r="BJ1341" s="120"/>
      <c r="BK1341" s="120"/>
      <c r="BL1341" s="120"/>
      <c r="BM1341" s="120"/>
      <c r="BN1341" s="120"/>
      <c r="BO1341" s="120"/>
      <c r="BP1341" s="120"/>
      <c r="BQ1341" s="120"/>
      <c r="BR1341" s="120"/>
      <c r="BS1341" s="120"/>
      <c r="BT1341" s="120"/>
      <c r="BU1341" s="120"/>
      <c r="BV1341" s="120"/>
      <c r="BW1341" s="120"/>
      <c r="BX1341" s="120"/>
      <c r="BY1341" s="120"/>
      <c r="BZ1341" s="120"/>
      <c r="CA1341" s="120"/>
      <c r="CB1341" s="120"/>
      <c r="CC1341" s="120"/>
      <c r="CD1341" s="120"/>
      <c r="CE1341" s="120"/>
      <c r="CF1341" s="120"/>
      <c r="CG1341" s="120"/>
      <c r="CH1341" s="120"/>
      <c r="CI1341" s="120"/>
      <c r="CJ1341" s="120"/>
      <c r="CK1341" s="120"/>
      <c r="CL1341" s="120"/>
      <c r="CM1341" s="120"/>
      <c r="CN1341" s="120"/>
      <c r="CO1341" s="120"/>
      <c r="CP1341" s="120"/>
      <c r="CQ1341" s="120"/>
      <c r="CR1341" s="120"/>
      <c r="CS1341" s="120"/>
      <c r="CT1341" s="120"/>
      <c r="CU1341" s="120"/>
      <c r="CV1341" s="120"/>
      <c r="CW1341" s="120"/>
      <c r="CX1341" s="120"/>
      <c r="CY1341" s="120"/>
      <c r="CZ1341" s="120"/>
      <c r="DA1341" s="120"/>
      <c r="DB1341" s="120"/>
      <c r="DC1341" s="120"/>
      <c r="DD1341" s="120"/>
      <c r="DE1341" s="120"/>
      <c r="DF1341" s="120"/>
      <c r="DG1341" s="120"/>
      <c r="DH1341" s="120"/>
      <c r="DI1341" s="120"/>
      <c r="DJ1341" s="120"/>
      <c r="DK1341" s="120"/>
      <c r="DL1341" s="120"/>
      <c r="DM1341" s="120"/>
      <c r="DN1341" s="120"/>
      <c r="DO1341" s="120"/>
      <c r="DP1341" s="120"/>
      <c r="DQ1341" s="120"/>
      <c r="DR1341" s="120"/>
      <c r="DS1341" s="120"/>
      <c r="DT1341" s="120"/>
      <c r="DU1341" s="120"/>
      <c r="DV1341" s="120"/>
      <c r="DW1341" s="120"/>
      <c r="DX1341" s="120"/>
      <c r="DY1341" s="120"/>
      <c r="DZ1341" s="120"/>
      <c r="EA1341" s="120"/>
      <c r="EB1341" s="120"/>
      <c r="EC1341" s="120"/>
      <c r="ED1341" s="120"/>
      <c r="EE1341" s="120"/>
      <c r="EF1341" s="120"/>
      <c r="EG1341" s="120"/>
      <c r="EH1341" s="120"/>
      <c r="EI1341" s="120"/>
      <c r="EJ1341" s="120"/>
      <c r="EK1341" s="120"/>
      <c r="EL1341" s="120"/>
      <c r="EM1341" s="120"/>
      <c r="EN1341" s="120"/>
      <c r="EO1341" s="120"/>
      <c r="EP1341" s="120"/>
      <c r="EQ1341" s="120"/>
      <c r="ER1341" s="120"/>
      <c r="ES1341" s="120"/>
      <c r="ET1341" s="120"/>
      <c r="EU1341" s="120"/>
      <c r="EV1341" s="120"/>
      <c r="EW1341" s="120"/>
      <c r="EX1341" s="120"/>
      <c r="EY1341" s="120"/>
      <c r="EZ1341" s="120"/>
      <c r="FA1341" s="120"/>
      <c r="FB1341" s="120"/>
      <c r="FC1341" s="120"/>
      <c r="FD1341" s="120"/>
      <c r="FE1341" s="120"/>
      <c r="FF1341" s="120"/>
      <c r="FG1341" s="120"/>
      <c r="FH1341" s="120"/>
      <c r="FI1341" s="120"/>
      <c r="FJ1341" s="120"/>
      <c r="FK1341" s="120"/>
      <c r="FL1341" s="120"/>
      <c r="FM1341" s="120"/>
      <c r="FN1341" s="120"/>
      <c r="FO1341" s="120"/>
      <c r="FP1341" s="120"/>
      <c r="FQ1341" s="120"/>
      <c r="FR1341" s="120"/>
      <c r="FS1341" s="120"/>
      <c r="FT1341" s="120"/>
      <c r="FU1341" s="120"/>
      <c r="FV1341" s="120"/>
      <c r="FW1341" s="120"/>
      <c r="FX1341" s="120"/>
      <c r="FY1341" s="120"/>
      <c r="FZ1341" s="120"/>
      <c r="GA1341" s="120"/>
      <c r="GB1341" s="120"/>
      <c r="GC1341" s="120"/>
      <c r="GD1341" s="120"/>
      <c r="GE1341" s="120"/>
      <c r="GF1341" s="120"/>
      <c r="GG1341" s="120"/>
      <c r="GH1341" s="120"/>
      <c r="GI1341" s="120"/>
      <c r="GJ1341" s="120"/>
      <c r="GK1341" s="120"/>
      <c r="GL1341" s="120"/>
      <c r="GM1341" s="120"/>
      <c r="GN1341" s="120"/>
      <c r="GO1341" s="120"/>
      <c r="GP1341" s="120"/>
      <c r="GQ1341" s="120"/>
      <c r="GR1341" s="120"/>
      <c r="GS1341" s="120"/>
      <c r="GT1341" s="120"/>
      <c r="GU1341" s="120"/>
      <c r="GV1341" s="120"/>
      <c r="GW1341" s="120"/>
      <c r="GX1341" s="120"/>
      <c r="GY1341" s="120"/>
      <c r="GZ1341" s="120"/>
      <c r="HA1341" s="120"/>
      <c r="HB1341" s="120"/>
      <c r="HC1341" s="120"/>
      <c r="HD1341" s="120"/>
      <c r="HE1341" s="120"/>
      <c r="HF1341" s="120"/>
      <c r="HG1341" s="120"/>
      <c r="HH1341" s="120"/>
      <c r="HI1341" s="120"/>
      <c r="HJ1341" s="120"/>
      <c r="HK1341" s="120"/>
      <c r="HL1341" s="120"/>
      <c r="HM1341" s="120"/>
      <c r="HN1341" s="120"/>
      <c r="HO1341" s="120"/>
      <c r="HP1341" s="120"/>
      <c r="HQ1341" s="120"/>
      <c r="HR1341" s="120"/>
      <c r="HS1341" s="120"/>
      <c r="HT1341" s="120"/>
      <c r="HU1341" s="120"/>
      <c r="HV1341" s="120"/>
      <c r="HW1341" s="120"/>
      <c r="HX1341" s="120"/>
      <c r="HY1341" s="120"/>
      <c r="HZ1341" s="120"/>
      <c r="IA1341" s="120"/>
      <c r="IB1341" s="120"/>
      <c r="IC1341" s="120"/>
      <c r="ID1341" s="120"/>
      <c r="IE1341" s="120"/>
      <c r="IF1341" s="120"/>
      <c r="IG1341" s="120"/>
      <c r="IH1341" s="120"/>
      <c r="II1341" s="120"/>
      <c r="IJ1341" s="120"/>
      <c r="IK1341" s="120"/>
      <c r="IL1341" s="120"/>
      <c r="IM1341" s="120"/>
      <c r="IN1341" s="120"/>
      <c r="IO1341" s="120"/>
      <c r="IP1341" s="120"/>
      <c r="IQ1341" s="120"/>
      <c r="IR1341" s="120"/>
      <c r="IS1341" s="120"/>
      <c r="IT1341" s="120"/>
      <c r="IU1341" s="120"/>
      <c r="IV1341" s="120"/>
      <c r="IW1341" s="120"/>
      <c r="IX1341" s="120"/>
      <c r="IY1341" s="120"/>
      <c r="IZ1341" s="120"/>
      <c r="JA1341" s="120"/>
      <c r="JB1341" s="120"/>
      <c r="JC1341" s="120"/>
      <c r="JD1341" s="120"/>
      <c r="JE1341" s="120"/>
      <c r="JF1341" s="120"/>
      <c r="JG1341" s="120"/>
      <c r="JH1341" s="120"/>
      <c r="JI1341" s="120"/>
      <c r="JJ1341" s="120"/>
      <c r="JK1341" s="120"/>
      <c r="JL1341" s="120"/>
      <c r="JM1341" s="120"/>
      <c r="JN1341" s="120"/>
      <c r="JO1341" s="120"/>
      <c r="JP1341" s="120"/>
      <c r="JQ1341" s="120"/>
      <c r="JR1341" s="120"/>
      <c r="JS1341" s="120"/>
      <c r="JT1341" s="120"/>
      <c r="JU1341" s="120"/>
      <c r="JV1341" s="120"/>
      <c r="JW1341" s="120"/>
      <c r="JX1341" s="120"/>
      <c r="JY1341" s="120"/>
      <c r="JZ1341" s="120"/>
      <c r="KA1341" s="120"/>
      <c r="KB1341" s="120"/>
      <c r="KC1341" s="120"/>
      <c r="KD1341" s="120"/>
      <c r="KE1341" s="120"/>
      <c r="KF1341" s="120"/>
      <c r="KG1341" s="120"/>
      <c r="KH1341" s="120"/>
      <c r="KI1341" s="120"/>
      <c r="KJ1341" s="120"/>
      <c r="KK1341" s="120"/>
      <c r="KL1341" s="120"/>
      <c r="KM1341" s="120"/>
      <c r="KN1341" s="120"/>
      <c r="KO1341" s="120"/>
      <c r="KP1341" s="120"/>
      <c r="KQ1341" s="120"/>
      <c r="KR1341" s="120"/>
      <c r="KS1341" s="120"/>
      <c r="KT1341" s="120"/>
      <c r="KU1341" s="120"/>
      <c r="KV1341" s="120"/>
      <c r="KW1341" s="120"/>
      <c r="KX1341" s="120"/>
      <c r="KY1341" s="120"/>
      <c r="KZ1341" s="120"/>
      <c r="LA1341" s="120"/>
      <c r="LB1341" s="120"/>
      <c r="LC1341" s="120"/>
      <c r="LD1341" s="120"/>
      <c r="LE1341" s="120"/>
      <c r="LF1341" s="120"/>
      <c r="LG1341" s="120"/>
      <c r="LH1341" s="120"/>
      <c r="LI1341" s="120"/>
      <c r="LJ1341" s="120"/>
      <c r="LK1341" s="120"/>
      <c r="LL1341" s="120"/>
      <c r="LM1341" s="120"/>
      <c r="LN1341" s="120"/>
      <c r="LO1341" s="120"/>
      <c r="LP1341" s="120"/>
      <c r="LQ1341" s="120"/>
      <c r="LR1341" s="120"/>
      <c r="LS1341" s="120"/>
      <c r="LT1341" s="120"/>
      <c r="LU1341" s="120"/>
      <c r="LV1341" s="120"/>
      <c r="LW1341" s="120"/>
      <c r="LX1341" s="120"/>
      <c r="LY1341" s="120"/>
      <c r="LZ1341" s="120"/>
      <c r="MA1341" s="120"/>
      <c r="MB1341" s="120"/>
      <c r="MC1341" s="120"/>
      <c r="MD1341" s="120"/>
      <c r="ME1341" s="120"/>
      <c r="MF1341" s="120"/>
      <c r="MG1341" s="120"/>
      <c r="MH1341" s="120"/>
      <c r="MI1341" s="120"/>
      <c r="MJ1341" s="120"/>
      <c r="MK1341" s="120"/>
      <c r="ML1341" s="120"/>
      <c r="MM1341" s="120"/>
      <c r="MN1341" s="120"/>
      <c r="MO1341" s="120"/>
      <c r="MP1341" s="120"/>
      <c r="MQ1341" s="120"/>
      <c r="MR1341" s="120"/>
      <c r="MS1341" s="120"/>
      <c r="MT1341" s="120"/>
      <c r="MU1341" s="120"/>
      <c r="MV1341" s="120"/>
      <c r="MW1341" s="120"/>
      <c r="MX1341" s="120"/>
      <c r="MY1341" s="120"/>
      <c r="MZ1341" s="120"/>
      <c r="NA1341" s="120"/>
      <c r="NB1341" s="120"/>
      <c r="NC1341" s="120"/>
      <c r="ND1341" s="120"/>
      <c r="NE1341" s="120"/>
      <c r="NF1341" s="120"/>
      <c r="NG1341" s="120"/>
      <c r="NH1341" s="120"/>
      <c r="NI1341" s="120"/>
      <c r="NJ1341" s="120"/>
      <c r="NK1341" s="120"/>
      <c r="NL1341" s="120"/>
      <c r="NM1341" s="120"/>
      <c r="NN1341" s="120"/>
      <c r="NO1341" s="120"/>
      <c r="NP1341" s="120"/>
      <c r="NQ1341" s="120"/>
      <c r="NR1341" s="120"/>
      <c r="NS1341" s="120"/>
      <c r="NT1341" s="120"/>
      <c r="NU1341" s="120"/>
      <c r="NV1341" s="120"/>
      <c r="NW1341" s="120"/>
      <c r="NX1341" s="120"/>
      <c r="NY1341" s="120"/>
      <c r="NZ1341" s="120"/>
      <c r="OA1341" s="120"/>
      <c r="OB1341" s="120"/>
      <c r="OC1341" s="120"/>
      <c r="OD1341" s="120"/>
      <c r="OE1341" s="120"/>
      <c r="OF1341" s="120"/>
      <c r="OG1341" s="120"/>
      <c r="OH1341" s="120"/>
      <c r="OI1341" s="120"/>
      <c r="OJ1341" s="120"/>
      <c r="OK1341" s="120"/>
      <c r="OL1341" s="120"/>
      <c r="OM1341" s="120"/>
      <c r="ON1341" s="120"/>
      <c r="OO1341" s="120"/>
      <c r="OP1341" s="120"/>
      <c r="OQ1341" s="120"/>
      <c r="OR1341" s="120"/>
      <c r="OS1341" s="120"/>
      <c r="OT1341" s="120"/>
      <c r="OU1341" s="120"/>
      <c r="OV1341" s="120"/>
      <c r="OW1341" s="120"/>
      <c r="OX1341" s="120"/>
      <c r="OY1341" s="120"/>
      <c r="OZ1341" s="120"/>
      <c r="PA1341" s="120"/>
      <c r="PB1341" s="120"/>
      <c r="PC1341" s="120"/>
      <c r="PD1341" s="120"/>
      <c r="PE1341" s="120"/>
      <c r="PF1341" s="120"/>
      <c r="PG1341" s="120"/>
      <c r="PH1341" s="120"/>
      <c r="PI1341" s="120"/>
      <c r="PJ1341" s="120"/>
      <c r="PK1341" s="120"/>
      <c r="PL1341" s="120"/>
      <c r="PM1341" s="120"/>
      <c r="PN1341" s="120"/>
      <c r="PO1341" s="120"/>
      <c r="PP1341" s="120"/>
      <c r="PQ1341" s="120"/>
      <c r="PR1341" s="120"/>
      <c r="PS1341" s="120"/>
      <c r="PT1341" s="120"/>
      <c r="PU1341" s="120"/>
      <c r="PV1341" s="120"/>
      <c r="PW1341" s="120"/>
      <c r="PX1341" s="120"/>
      <c r="PY1341" s="120"/>
      <c r="PZ1341" s="120"/>
      <c r="QA1341" s="120"/>
      <c r="QB1341" s="120"/>
      <c r="QC1341" s="120"/>
      <c r="QD1341" s="120"/>
      <c r="QE1341" s="120"/>
      <c r="QF1341" s="120"/>
      <c r="QG1341" s="120"/>
      <c r="QH1341" s="120"/>
      <c r="QI1341" s="120"/>
      <c r="QJ1341" s="120"/>
      <c r="QK1341" s="120"/>
      <c r="QL1341" s="120"/>
      <c r="QM1341" s="120"/>
      <c r="QN1341" s="120"/>
      <c r="QO1341" s="120"/>
      <c r="QP1341" s="120"/>
      <c r="QQ1341" s="120"/>
      <c r="QR1341" s="120"/>
      <c r="QS1341" s="120"/>
      <c r="QT1341" s="120"/>
      <c r="QU1341" s="120"/>
      <c r="QV1341" s="120"/>
      <c r="QW1341" s="120"/>
      <c r="QX1341" s="120"/>
      <c r="QY1341" s="120"/>
      <c r="QZ1341" s="120"/>
      <c r="RA1341" s="120"/>
      <c r="RB1341" s="120"/>
      <c r="RC1341" s="120"/>
      <c r="RD1341" s="120"/>
      <c r="RE1341" s="120"/>
      <c r="RF1341" s="120"/>
      <c r="RG1341" s="120"/>
      <c r="RH1341" s="120"/>
      <c r="RI1341" s="120"/>
      <c r="RJ1341" s="120"/>
      <c r="RK1341" s="120"/>
      <c r="RL1341" s="120"/>
      <c r="RM1341" s="120"/>
      <c r="RN1341" s="120"/>
      <c r="RO1341" s="120"/>
      <c r="RP1341" s="120"/>
      <c r="RQ1341" s="120"/>
      <c r="RR1341" s="120"/>
      <c r="RS1341" s="120"/>
      <c r="RT1341" s="120"/>
      <c r="RU1341" s="120"/>
      <c r="RV1341" s="120"/>
      <c r="RW1341" s="120"/>
      <c r="RX1341" s="120"/>
      <c r="RY1341" s="120"/>
      <c r="RZ1341" s="120"/>
      <c r="SA1341" s="120"/>
      <c r="SB1341" s="120"/>
      <c r="SC1341" s="120"/>
      <c r="SD1341" s="120"/>
      <c r="SE1341" s="120"/>
      <c r="SF1341" s="120"/>
      <c r="SG1341" s="120"/>
      <c r="SH1341" s="120"/>
      <c r="SI1341" s="120"/>
      <c r="SJ1341" s="120"/>
      <c r="SK1341" s="120"/>
      <c r="SL1341" s="120"/>
      <c r="SM1341" s="120"/>
      <c r="SN1341" s="120"/>
      <c r="SO1341" s="120"/>
      <c r="SP1341" s="120"/>
      <c r="SQ1341" s="120"/>
      <c r="SR1341" s="120"/>
      <c r="SS1341" s="120"/>
      <c r="ST1341" s="120"/>
      <c r="SU1341" s="120"/>
      <c r="SV1341" s="120"/>
      <c r="SW1341" s="120"/>
      <c r="SX1341" s="120"/>
      <c r="SY1341" s="120"/>
      <c r="SZ1341" s="120"/>
      <c r="TA1341" s="120"/>
      <c r="TB1341" s="120"/>
      <c r="TC1341" s="120"/>
      <c r="TD1341" s="120"/>
      <c r="TE1341" s="120"/>
      <c r="TF1341" s="120"/>
      <c r="TG1341" s="120"/>
      <c r="TH1341" s="120"/>
      <c r="TI1341" s="120"/>
      <c r="TJ1341" s="120"/>
      <c r="TK1341" s="120"/>
      <c r="TL1341" s="120"/>
      <c r="TM1341" s="120"/>
      <c r="TN1341" s="120"/>
      <c r="TO1341" s="120"/>
      <c r="TP1341" s="120"/>
      <c r="TQ1341" s="120"/>
      <c r="TR1341" s="120"/>
      <c r="TS1341" s="120"/>
      <c r="TT1341" s="120"/>
      <c r="TU1341" s="120"/>
      <c r="TV1341" s="120"/>
      <c r="TW1341" s="120"/>
      <c r="TX1341" s="120"/>
      <c r="TY1341" s="120"/>
      <c r="TZ1341" s="120"/>
      <c r="UA1341" s="120"/>
      <c r="UB1341" s="120"/>
      <c r="UC1341" s="120"/>
      <c r="UD1341" s="120"/>
      <c r="UE1341" s="120"/>
      <c r="UF1341" s="120"/>
      <c r="UG1341" s="120"/>
      <c r="UH1341" s="120"/>
      <c r="UI1341" s="120"/>
      <c r="UJ1341" s="120"/>
      <c r="UK1341" s="120"/>
      <c r="UL1341" s="120"/>
      <c r="UM1341" s="120"/>
      <c r="UN1341" s="120"/>
      <c r="UO1341" s="120"/>
      <c r="UP1341" s="120"/>
      <c r="UQ1341" s="120"/>
      <c r="UR1341" s="120"/>
      <c r="US1341" s="120"/>
      <c r="UT1341" s="120"/>
      <c r="UU1341" s="120"/>
      <c r="UV1341" s="120"/>
      <c r="UW1341" s="120"/>
      <c r="UX1341" s="120"/>
      <c r="UY1341" s="120"/>
      <c r="UZ1341" s="120"/>
      <c r="VA1341" s="120"/>
      <c r="VB1341" s="120"/>
      <c r="VC1341" s="120"/>
      <c r="VD1341" s="120"/>
      <c r="VE1341" s="120"/>
      <c r="VF1341" s="120"/>
      <c r="VG1341" s="120"/>
      <c r="VH1341" s="120"/>
      <c r="VI1341" s="120"/>
      <c r="VJ1341" s="120"/>
      <c r="VK1341" s="120"/>
      <c r="VL1341" s="120"/>
      <c r="VM1341" s="120"/>
      <c r="VN1341" s="120"/>
      <c r="VO1341" s="120"/>
      <c r="VP1341" s="120"/>
      <c r="VQ1341" s="120"/>
      <c r="VR1341" s="120"/>
      <c r="VS1341" s="120"/>
      <c r="VT1341" s="120"/>
      <c r="VU1341" s="120"/>
      <c r="VV1341" s="120"/>
      <c r="VW1341" s="120"/>
      <c r="VX1341" s="120"/>
      <c r="VY1341" s="120"/>
      <c r="VZ1341" s="120"/>
      <c r="WA1341" s="120"/>
      <c r="WB1341" s="120"/>
      <c r="WC1341" s="120"/>
      <c r="WD1341" s="120"/>
      <c r="WE1341" s="120"/>
      <c r="WF1341" s="120"/>
      <c r="WG1341" s="120"/>
      <c r="WH1341" s="120"/>
      <c r="WI1341" s="120"/>
      <c r="WJ1341" s="120"/>
      <c r="WK1341" s="120"/>
      <c r="WL1341" s="120"/>
      <c r="WM1341" s="120"/>
      <c r="WN1341" s="120"/>
      <c r="WO1341" s="120"/>
      <c r="WP1341" s="120"/>
      <c r="WQ1341" s="120"/>
      <c r="WR1341" s="120"/>
      <c r="WS1341" s="120"/>
      <c r="WT1341" s="120"/>
      <c r="WU1341" s="120"/>
      <c r="WV1341" s="120"/>
      <c r="WW1341" s="120"/>
      <c r="WX1341" s="120"/>
      <c r="WY1341" s="120"/>
      <c r="WZ1341" s="120"/>
      <c r="XA1341" s="120"/>
      <c r="XB1341" s="120"/>
      <c r="XC1341" s="120"/>
      <c r="XD1341" s="120"/>
      <c r="XE1341" s="120"/>
      <c r="XF1341" s="120"/>
      <c r="XG1341" s="120"/>
      <c r="XH1341" s="120"/>
      <c r="XI1341" s="120"/>
      <c r="XJ1341" s="120"/>
      <c r="XK1341" s="120"/>
      <c r="XL1341" s="120"/>
      <c r="XM1341" s="120"/>
      <c r="XN1341" s="120"/>
      <c r="XO1341" s="120"/>
      <c r="XP1341" s="120"/>
      <c r="XQ1341" s="120"/>
      <c r="XR1341" s="120"/>
      <c r="XS1341" s="120"/>
      <c r="XT1341" s="120"/>
      <c r="XU1341" s="120"/>
      <c r="XV1341" s="120"/>
      <c r="XW1341" s="120"/>
      <c r="XX1341" s="120"/>
      <c r="XY1341" s="120"/>
      <c r="XZ1341" s="120"/>
      <c r="YA1341" s="120"/>
      <c r="YB1341" s="120"/>
      <c r="YC1341" s="120"/>
      <c r="YD1341" s="120"/>
      <c r="YE1341" s="120"/>
      <c r="YF1341" s="120"/>
      <c r="YG1341" s="120"/>
      <c r="YH1341" s="120"/>
      <c r="YI1341" s="120"/>
      <c r="YJ1341" s="120"/>
      <c r="YK1341" s="120"/>
      <c r="YL1341" s="120"/>
      <c r="YM1341" s="120"/>
      <c r="YN1341" s="120"/>
      <c r="YO1341" s="120"/>
      <c r="YP1341" s="120"/>
      <c r="YQ1341" s="120"/>
      <c r="YR1341" s="120"/>
      <c r="YS1341" s="120"/>
      <c r="YT1341" s="120"/>
      <c r="YU1341" s="120"/>
      <c r="YV1341" s="120"/>
      <c r="YW1341" s="120"/>
      <c r="YX1341" s="120"/>
      <c r="YY1341" s="120"/>
      <c r="YZ1341" s="120"/>
      <c r="ZA1341" s="120"/>
      <c r="ZB1341" s="120"/>
      <c r="ZC1341" s="120"/>
      <c r="ZD1341" s="120"/>
      <c r="ZE1341" s="120"/>
      <c r="ZF1341" s="120"/>
      <c r="ZG1341" s="120"/>
      <c r="ZH1341" s="120"/>
      <c r="ZI1341" s="120"/>
      <c r="ZJ1341" s="120"/>
      <c r="ZK1341" s="120"/>
      <c r="ZL1341" s="120"/>
      <c r="ZM1341" s="120"/>
      <c r="ZN1341" s="120"/>
      <c r="ZO1341" s="120"/>
      <c r="ZP1341" s="120"/>
      <c r="ZQ1341" s="120"/>
      <c r="ZR1341" s="120"/>
      <c r="ZS1341" s="120"/>
      <c r="ZT1341" s="120"/>
      <c r="ZU1341" s="120"/>
      <c r="ZV1341" s="120"/>
      <c r="ZW1341" s="120"/>
      <c r="ZX1341" s="120"/>
      <c r="ZY1341" s="120"/>
      <c r="ZZ1341" s="120"/>
      <c r="AAA1341" s="120"/>
      <c r="AAB1341" s="120"/>
      <c r="AAC1341" s="120"/>
      <c r="AAD1341" s="120"/>
      <c r="AAE1341" s="120"/>
      <c r="AAF1341" s="120"/>
      <c r="AAG1341" s="120"/>
      <c r="AAH1341" s="120"/>
      <c r="AAI1341" s="120"/>
      <c r="AAJ1341" s="120"/>
      <c r="AAK1341" s="120"/>
      <c r="AAL1341" s="120"/>
      <c r="AAM1341" s="120"/>
      <c r="AAN1341" s="120"/>
      <c r="AAO1341" s="120"/>
      <c r="AAP1341" s="120"/>
      <c r="AAQ1341" s="120"/>
      <c r="AAR1341" s="120"/>
      <c r="AAS1341" s="120"/>
      <c r="AAT1341" s="120"/>
      <c r="AAU1341" s="120"/>
      <c r="AAV1341" s="120"/>
      <c r="AAW1341" s="120"/>
      <c r="AAX1341" s="120"/>
      <c r="AAY1341" s="120"/>
      <c r="AAZ1341" s="120"/>
      <c r="ABA1341" s="120"/>
      <c r="ABB1341" s="120"/>
      <c r="ABC1341" s="120"/>
      <c r="ABD1341" s="120"/>
      <c r="ABE1341" s="120"/>
      <c r="ABF1341" s="120"/>
      <c r="ABG1341" s="120"/>
      <c r="ABH1341" s="120"/>
      <c r="ABI1341" s="120"/>
      <c r="ABJ1341" s="120"/>
      <c r="ABK1341" s="120"/>
      <c r="ABL1341" s="120"/>
      <c r="ABM1341" s="120"/>
      <c r="ABN1341" s="120"/>
      <c r="ABO1341" s="120"/>
      <c r="ABP1341" s="120"/>
      <c r="ABQ1341" s="120"/>
      <c r="ABR1341" s="120"/>
      <c r="ABS1341" s="120"/>
      <c r="ABT1341" s="120"/>
      <c r="ABU1341" s="120"/>
      <c r="ABV1341" s="120"/>
      <c r="ABW1341" s="120"/>
      <c r="ABX1341" s="120"/>
      <c r="ABY1341" s="120"/>
      <c r="ABZ1341" s="120"/>
      <c r="ACA1341" s="120"/>
      <c r="ACB1341" s="120"/>
      <c r="ACC1341" s="120"/>
      <c r="ACD1341" s="120"/>
      <c r="ACE1341" s="120"/>
      <c r="ACF1341" s="120"/>
      <c r="ACG1341" s="120"/>
      <c r="ACH1341" s="120"/>
      <c r="ACI1341" s="120"/>
      <c r="ACJ1341" s="120"/>
      <c r="ACK1341" s="120"/>
      <c r="ACL1341" s="120"/>
      <c r="ACM1341" s="120"/>
      <c r="ACN1341" s="120"/>
      <c r="ACO1341" s="120"/>
      <c r="ACP1341" s="120"/>
      <c r="ACQ1341" s="120"/>
      <c r="ACR1341" s="120"/>
      <c r="ACS1341" s="120"/>
      <c r="ACT1341" s="120"/>
      <c r="ACU1341" s="120"/>
      <c r="ACV1341" s="120"/>
      <c r="ACW1341" s="120"/>
      <c r="ACX1341" s="120"/>
      <c r="ACY1341" s="120"/>
      <c r="ACZ1341" s="120"/>
      <c r="ADA1341" s="120"/>
      <c r="ADB1341" s="120"/>
      <c r="ADC1341" s="120"/>
      <c r="ADD1341" s="120"/>
      <c r="ADE1341" s="120"/>
      <c r="ADF1341" s="120"/>
      <c r="ADG1341" s="120"/>
      <c r="ADH1341" s="120"/>
      <c r="ADI1341" s="120"/>
      <c r="ADJ1341" s="120"/>
      <c r="ADK1341" s="120"/>
      <c r="ADL1341" s="120"/>
      <c r="ADM1341" s="120"/>
      <c r="ADN1341" s="120"/>
      <c r="ADO1341" s="120"/>
      <c r="ADP1341" s="120"/>
      <c r="ADQ1341" s="120"/>
      <c r="ADR1341" s="120"/>
      <c r="ADS1341" s="120"/>
      <c r="ADT1341" s="120"/>
      <c r="ADU1341" s="120"/>
      <c r="ADV1341" s="120"/>
      <c r="ADW1341" s="120"/>
      <c r="ADX1341" s="120"/>
      <c r="ADY1341" s="120"/>
      <c r="ADZ1341" s="120"/>
      <c r="AEA1341" s="120"/>
      <c r="AEB1341" s="120"/>
      <c r="AEC1341" s="120"/>
      <c r="AED1341" s="120"/>
      <c r="AEE1341" s="120"/>
      <c r="AEF1341" s="120"/>
      <c r="AEG1341" s="120"/>
      <c r="AEH1341" s="120"/>
      <c r="AEI1341" s="120"/>
      <c r="AEJ1341" s="120"/>
      <c r="AEK1341" s="120"/>
      <c r="AEL1341" s="120"/>
      <c r="AEM1341" s="120"/>
      <c r="AEN1341" s="120"/>
      <c r="AEO1341" s="120"/>
      <c r="AEP1341" s="120"/>
      <c r="AEQ1341" s="120"/>
      <c r="AER1341" s="120"/>
      <c r="AES1341" s="120"/>
      <c r="AET1341" s="120"/>
      <c r="AEU1341" s="120"/>
      <c r="AEV1341" s="120"/>
      <c r="AEW1341" s="120"/>
      <c r="AEX1341" s="120"/>
      <c r="AEY1341" s="120"/>
      <c r="AEZ1341" s="120"/>
      <c r="AFA1341" s="120"/>
      <c r="AFB1341" s="120"/>
      <c r="AFC1341" s="120"/>
      <c r="AFD1341" s="120"/>
      <c r="AFE1341" s="120"/>
      <c r="AFF1341" s="120"/>
      <c r="AFG1341" s="120"/>
      <c r="AFH1341" s="120"/>
      <c r="AFI1341" s="120"/>
      <c r="AFJ1341" s="120"/>
      <c r="AFK1341" s="120"/>
      <c r="AFL1341" s="120"/>
      <c r="AFM1341" s="120"/>
      <c r="AFN1341" s="120"/>
      <c r="AFO1341" s="120"/>
      <c r="AFP1341" s="120"/>
      <c r="AFQ1341" s="120"/>
      <c r="AFR1341" s="120"/>
      <c r="AFS1341" s="120"/>
      <c r="AFT1341" s="120"/>
      <c r="AFU1341" s="120"/>
      <c r="AFV1341" s="120"/>
      <c r="AFW1341" s="120"/>
      <c r="AFX1341" s="120"/>
      <c r="AFY1341" s="120"/>
      <c r="AFZ1341" s="120"/>
      <c r="AGA1341" s="120"/>
      <c r="AGB1341" s="120"/>
      <c r="AGC1341" s="120"/>
      <c r="AGD1341" s="120"/>
      <c r="AGE1341" s="120"/>
      <c r="AGF1341" s="120"/>
      <c r="AGG1341" s="120"/>
      <c r="AGH1341" s="120"/>
      <c r="AGI1341" s="120"/>
      <c r="AGJ1341" s="120"/>
      <c r="AGK1341" s="120"/>
      <c r="AGL1341" s="120"/>
      <c r="AGM1341" s="120"/>
      <c r="AGN1341" s="120"/>
      <c r="AGO1341" s="120"/>
      <c r="AGP1341" s="120"/>
      <c r="AGQ1341" s="120"/>
      <c r="AGR1341" s="120"/>
      <c r="AGS1341" s="120"/>
      <c r="AGT1341" s="120"/>
      <c r="AGU1341" s="120"/>
      <c r="AGV1341" s="120"/>
      <c r="AGW1341" s="120"/>
      <c r="AGX1341" s="120"/>
      <c r="AGY1341" s="120"/>
      <c r="AGZ1341" s="120"/>
      <c r="AHA1341" s="120"/>
      <c r="AHB1341" s="120"/>
      <c r="AHC1341" s="120"/>
      <c r="AHD1341" s="120"/>
      <c r="AHE1341" s="120"/>
      <c r="AHF1341" s="120"/>
      <c r="AHG1341" s="120"/>
      <c r="AHH1341" s="120"/>
      <c r="AHI1341" s="120"/>
      <c r="AHJ1341" s="120"/>
      <c r="AHK1341" s="120"/>
      <c r="AHL1341" s="120"/>
      <c r="AHM1341" s="120"/>
      <c r="AHN1341" s="120"/>
      <c r="AHO1341" s="120"/>
      <c r="AHP1341" s="120"/>
      <c r="AHQ1341" s="120"/>
      <c r="AHR1341" s="120"/>
      <c r="AHS1341" s="120"/>
      <c r="AHT1341" s="120"/>
      <c r="AHU1341" s="120"/>
      <c r="AHV1341" s="120"/>
      <c r="AHW1341" s="120"/>
      <c r="AHX1341" s="120"/>
      <c r="AHY1341" s="120"/>
      <c r="AHZ1341" s="120"/>
      <c r="AIA1341" s="120"/>
      <c r="AIB1341" s="120"/>
      <c r="AIC1341" s="120"/>
      <c r="AID1341" s="120"/>
      <c r="AIE1341" s="120"/>
      <c r="AIF1341" s="120"/>
      <c r="AIG1341" s="120"/>
      <c r="AIH1341" s="120"/>
      <c r="AII1341" s="120"/>
      <c r="AIJ1341" s="120"/>
      <c r="AIK1341" s="120"/>
      <c r="AIL1341" s="120"/>
      <c r="AIM1341" s="120"/>
      <c r="AIN1341" s="120"/>
      <c r="AIO1341" s="120"/>
      <c r="AIP1341" s="120"/>
      <c r="AIQ1341" s="120"/>
      <c r="AIR1341" s="120"/>
      <c r="AIS1341" s="120"/>
      <c r="AIT1341" s="120"/>
      <c r="AIU1341" s="120"/>
      <c r="AIV1341" s="120"/>
      <c r="AIW1341" s="120"/>
      <c r="AIX1341" s="120"/>
      <c r="AIY1341" s="120"/>
      <c r="AIZ1341" s="120"/>
      <c r="AJA1341" s="120"/>
      <c r="AJB1341" s="120"/>
      <c r="AJC1341" s="120"/>
      <c r="AJD1341" s="120"/>
      <c r="AJE1341" s="120"/>
      <c r="AJF1341" s="120"/>
      <c r="AJG1341" s="120"/>
      <c r="AJH1341" s="120"/>
      <c r="AJI1341" s="120"/>
      <c r="AJJ1341" s="120"/>
      <c r="AJK1341" s="120"/>
      <c r="AJL1341" s="120"/>
      <c r="AJM1341" s="120"/>
      <c r="AJN1341" s="120"/>
      <c r="AJO1341" s="120"/>
      <c r="AJP1341" s="120"/>
      <c r="AJQ1341" s="120"/>
      <c r="AJR1341" s="120"/>
      <c r="AJS1341" s="120"/>
      <c r="AJT1341" s="120"/>
      <c r="AJU1341" s="120"/>
      <c r="AJV1341" s="120"/>
      <c r="AJW1341" s="120"/>
      <c r="AJX1341" s="120"/>
      <c r="AJY1341" s="120"/>
      <c r="AJZ1341" s="120"/>
      <c r="AKA1341" s="120"/>
      <c r="AKB1341" s="120"/>
      <c r="AKC1341" s="120"/>
      <c r="AKD1341" s="120"/>
      <c r="AKE1341" s="120"/>
      <c r="AKF1341" s="120"/>
      <c r="AKG1341" s="120"/>
      <c r="AKH1341" s="120"/>
      <c r="AKI1341" s="120"/>
      <c r="AKJ1341" s="120"/>
      <c r="AKK1341" s="120"/>
      <c r="AKL1341" s="120"/>
      <c r="AKM1341" s="120"/>
      <c r="AKN1341" s="120"/>
      <c r="AKO1341" s="120"/>
      <c r="AKP1341" s="120"/>
      <c r="AKQ1341" s="120"/>
      <c r="AKR1341" s="120"/>
      <c r="AKS1341" s="120"/>
      <c r="AKT1341" s="120"/>
      <c r="AKU1341" s="120"/>
      <c r="AKV1341" s="120"/>
      <c r="AKW1341" s="120"/>
      <c r="AKX1341" s="120"/>
      <c r="AKY1341" s="120"/>
      <c r="AKZ1341" s="120"/>
      <c r="ALA1341" s="120"/>
      <c r="ALB1341" s="120"/>
      <c r="ALC1341" s="120"/>
      <c r="ALD1341" s="120"/>
      <c r="ALE1341" s="120"/>
      <c r="ALF1341" s="120"/>
      <c r="ALG1341" s="120"/>
      <c r="ALH1341" s="120"/>
      <c r="ALI1341" s="120"/>
      <c r="ALJ1341" s="120"/>
      <c r="ALK1341" s="120"/>
      <c r="ALL1341" s="120"/>
      <c r="ALM1341" s="120"/>
      <c r="ALN1341" s="120"/>
      <c r="ALO1341" s="120"/>
      <c r="ALP1341" s="120"/>
      <c r="ALQ1341" s="120"/>
      <c r="ALR1341" s="120"/>
      <c r="ALS1341" s="120"/>
      <c r="ALT1341" s="120"/>
      <c r="ALU1341" s="120"/>
      <c r="ALV1341" s="120"/>
      <c r="ALW1341" s="120"/>
      <c r="ALX1341" s="120"/>
      <c r="ALY1341" s="120"/>
      <c r="ALZ1341" s="120"/>
      <c r="AMA1341" s="120"/>
      <c r="AMB1341" s="120"/>
      <c r="AMC1341" s="120"/>
      <c r="AMD1341" s="120"/>
      <c r="AME1341" s="120"/>
      <c r="AMF1341" s="120"/>
      <c r="AMG1341" s="120"/>
      <c r="AMH1341" s="120"/>
      <c r="AMI1341" s="120"/>
      <c r="AMJ1341" s="120"/>
      <c r="AMK1341" s="120"/>
      <c r="AML1341" s="120"/>
      <c r="AMM1341" s="120"/>
      <c r="AMN1341" s="120"/>
      <c r="AMO1341" s="120"/>
      <c r="AMP1341" s="120"/>
      <c r="AMQ1341" s="120"/>
      <c r="AMR1341" s="120"/>
      <c r="AMS1341" s="120"/>
      <c r="AMT1341" s="120"/>
      <c r="AMU1341" s="120"/>
      <c r="AMV1341" s="120"/>
      <c r="AMW1341" s="120"/>
      <c r="AMX1341" s="120"/>
      <c r="AMY1341" s="120"/>
      <c r="AMZ1341" s="120"/>
      <c r="ANA1341" s="120"/>
      <c r="ANB1341" s="120"/>
      <c r="ANC1341" s="120"/>
      <c r="AND1341" s="120"/>
      <c r="ANE1341" s="120"/>
      <c r="ANF1341" s="120"/>
      <c r="ANG1341" s="120"/>
      <c r="ANH1341" s="120"/>
      <c r="ANI1341" s="120"/>
      <c r="ANJ1341" s="120"/>
      <c r="ANK1341" s="120"/>
      <c r="ANL1341" s="120"/>
      <c r="ANM1341" s="120"/>
      <c r="ANN1341" s="120"/>
      <c r="ANO1341" s="120"/>
      <c r="ANP1341" s="120"/>
      <c r="ANQ1341" s="120"/>
      <c r="ANR1341" s="120"/>
      <c r="ANS1341" s="120"/>
      <c r="ANT1341" s="120"/>
      <c r="ANU1341" s="120"/>
      <c r="ANV1341" s="120"/>
      <c r="ANW1341" s="120"/>
      <c r="ANX1341" s="120"/>
      <c r="ANY1341" s="120"/>
      <c r="ANZ1341" s="120"/>
      <c r="AOA1341" s="120"/>
      <c r="AOB1341" s="120"/>
      <c r="AOC1341" s="120"/>
      <c r="AOD1341" s="120"/>
      <c r="AOE1341" s="120"/>
      <c r="AOF1341" s="120"/>
      <c r="AOG1341" s="120"/>
      <c r="AOH1341" s="120"/>
      <c r="AOI1341" s="120"/>
      <c r="AOJ1341" s="120"/>
      <c r="AOK1341" s="120"/>
      <c r="AOL1341" s="120"/>
      <c r="AOM1341" s="120"/>
      <c r="AON1341" s="120"/>
      <c r="AOO1341" s="120"/>
      <c r="AOP1341" s="120"/>
      <c r="AOQ1341" s="120"/>
      <c r="AOR1341" s="120"/>
      <c r="AOS1341" s="120"/>
      <c r="AOT1341" s="120"/>
      <c r="AOU1341" s="120"/>
      <c r="AOV1341" s="120"/>
      <c r="AOW1341" s="120"/>
      <c r="AOX1341" s="120"/>
      <c r="AOY1341" s="120"/>
      <c r="AOZ1341" s="120"/>
      <c r="APA1341" s="120"/>
      <c r="APB1341" s="120"/>
      <c r="APC1341" s="120"/>
      <c r="APD1341" s="120"/>
      <c r="APE1341" s="120"/>
      <c r="APF1341" s="120"/>
      <c r="APG1341" s="120"/>
      <c r="APH1341" s="120"/>
      <c r="API1341" s="120"/>
      <c r="APJ1341" s="120"/>
      <c r="APK1341" s="120"/>
      <c r="APL1341" s="120"/>
      <c r="APM1341" s="120"/>
      <c r="APN1341" s="120"/>
      <c r="APO1341" s="120"/>
      <c r="APP1341" s="120"/>
      <c r="APQ1341" s="120"/>
      <c r="APR1341" s="120"/>
      <c r="APS1341" s="120"/>
      <c r="APT1341" s="120"/>
      <c r="APU1341" s="120"/>
      <c r="APV1341" s="120"/>
      <c r="APW1341" s="120"/>
      <c r="APX1341" s="120"/>
      <c r="APY1341" s="120"/>
      <c r="APZ1341" s="120"/>
      <c r="AQA1341" s="120"/>
      <c r="AQB1341" s="120"/>
      <c r="AQC1341" s="120"/>
      <c r="AQD1341" s="120"/>
      <c r="AQE1341" s="120"/>
      <c r="AQF1341" s="120"/>
      <c r="AQG1341" s="120"/>
      <c r="AQH1341" s="120"/>
      <c r="AQI1341" s="120"/>
      <c r="AQJ1341" s="120"/>
      <c r="AQK1341" s="120"/>
      <c r="AQL1341" s="120"/>
      <c r="AQM1341" s="120"/>
      <c r="AQN1341" s="120"/>
      <c r="AQO1341" s="120"/>
      <c r="AQP1341" s="120"/>
      <c r="AQQ1341" s="120"/>
      <c r="AQR1341" s="120"/>
      <c r="AQS1341" s="120"/>
      <c r="AQT1341" s="120"/>
      <c r="AQU1341" s="120"/>
      <c r="AQV1341" s="120"/>
      <c r="AQW1341" s="120"/>
      <c r="AQX1341" s="120"/>
      <c r="AQY1341" s="120"/>
      <c r="AQZ1341" s="120"/>
      <c r="ARA1341" s="120"/>
      <c r="ARB1341" s="120"/>
      <c r="ARC1341" s="120"/>
      <c r="ARD1341" s="120"/>
      <c r="ARE1341" s="120"/>
      <c r="ARF1341" s="120"/>
      <c r="ARG1341" s="120"/>
      <c r="ARH1341" s="120"/>
      <c r="ARI1341" s="120"/>
      <c r="ARJ1341" s="120"/>
      <c r="ARK1341" s="120"/>
      <c r="ARL1341" s="120"/>
      <c r="ARM1341" s="120"/>
      <c r="ARN1341" s="120"/>
      <c r="ARO1341" s="120"/>
      <c r="ARP1341" s="120"/>
      <c r="ARQ1341" s="120"/>
      <c r="ARR1341" s="120"/>
      <c r="ARS1341" s="120"/>
      <c r="ART1341" s="120"/>
      <c r="ARU1341" s="120"/>
      <c r="ARV1341" s="120"/>
      <c r="ARW1341" s="120"/>
      <c r="ARX1341" s="120"/>
      <c r="ARY1341" s="120"/>
      <c r="ARZ1341" s="120"/>
      <c r="ASA1341" s="120"/>
      <c r="ASB1341" s="120"/>
      <c r="ASC1341" s="120"/>
      <c r="ASD1341" s="120"/>
      <c r="ASE1341" s="120"/>
      <c r="ASF1341" s="120"/>
      <c r="ASG1341" s="120"/>
      <c r="ASH1341" s="120"/>
      <c r="ASI1341" s="120"/>
      <c r="ASJ1341" s="120"/>
      <c r="ASK1341" s="120"/>
      <c r="ASL1341" s="120"/>
      <c r="ASM1341" s="120"/>
      <c r="ASN1341" s="120"/>
      <c r="ASO1341" s="120"/>
      <c r="ASP1341" s="120"/>
      <c r="ASQ1341" s="120"/>
      <c r="ASR1341" s="120"/>
      <c r="ASS1341" s="120"/>
      <c r="AST1341" s="120"/>
      <c r="ASU1341" s="120"/>
      <c r="ASV1341" s="120"/>
      <c r="ASW1341" s="120"/>
      <c r="ASX1341" s="120"/>
      <c r="ASY1341" s="120"/>
      <c r="ASZ1341" s="120"/>
      <c r="ATA1341" s="120"/>
      <c r="ATB1341" s="120"/>
      <c r="ATC1341" s="120"/>
      <c r="ATD1341" s="120"/>
      <c r="ATE1341" s="120"/>
      <c r="ATF1341" s="120"/>
      <c r="ATG1341" s="120"/>
      <c r="ATH1341" s="120"/>
      <c r="ATI1341" s="120"/>
      <c r="ATJ1341" s="120"/>
      <c r="ATK1341" s="120"/>
      <c r="ATL1341" s="120"/>
      <c r="ATM1341" s="120"/>
      <c r="ATN1341" s="120"/>
      <c r="ATO1341" s="120"/>
    </row>
    <row r="1342" spans="1:1211" s="20" customFormat="1" ht="14.1" customHeight="1">
      <c r="A1342" s="964"/>
      <c r="B1342" s="723"/>
      <c r="C1342" s="184" t="s">
        <v>6122</v>
      </c>
      <c r="D1342" s="631"/>
      <c r="E1342" s="898"/>
      <c r="F1342" s="899"/>
      <c r="G1342" s="899"/>
      <c r="H1342" s="899"/>
      <c r="I1342" s="899"/>
      <c r="J1342" s="899"/>
      <c r="K1342" s="112"/>
      <c r="L1342" s="363"/>
      <c r="M1342" s="112"/>
      <c r="N1342" s="362"/>
      <c r="O1342" s="573"/>
      <c r="P1342" s="120"/>
      <c r="Q1342" s="120"/>
      <c r="R1342" s="120"/>
      <c r="S1342" s="120"/>
      <c r="T1342" s="120"/>
      <c r="U1342" s="120"/>
      <c r="V1342" s="120"/>
      <c r="W1342" s="120"/>
      <c r="X1342" s="120"/>
      <c r="Y1342" s="120"/>
      <c r="Z1342" s="120"/>
      <c r="AA1342" s="120"/>
      <c r="AB1342" s="120"/>
      <c r="AC1342" s="120"/>
      <c r="AD1342" s="120"/>
      <c r="AE1342" s="120"/>
      <c r="AF1342" s="120"/>
      <c r="AG1342" s="120"/>
      <c r="AH1342" s="120"/>
      <c r="AI1342" s="120"/>
      <c r="AJ1342" s="120"/>
      <c r="AK1342" s="120"/>
      <c r="AL1342" s="120"/>
      <c r="AM1342" s="120"/>
      <c r="AN1342" s="120"/>
      <c r="AO1342" s="120"/>
      <c r="AP1342" s="120"/>
      <c r="AQ1342" s="120"/>
      <c r="AR1342" s="120"/>
      <c r="AS1342" s="120"/>
      <c r="AT1342" s="120"/>
      <c r="AU1342" s="120"/>
      <c r="AV1342" s="120"/>
      <c r="AW1342" s="120"/>
      <c r="AX1342" s="120"/>
      <c r="AY1342" s="120"/>
      <c r="AZ1342" s="120"/>
      <c r="BA1342" s="120"/>
      <c r="BB1342" s="120"/>
      <c r="BC1342" s="120"/>
      <c r="BD1342" s="120"/>
      <c r="BE1342" s="120"/>
      <c r="BF1342" s="120"/>
      <c r="BG1342" s="120"/>
      <c r="BH1342" s="120"/>
      <c r="BI1342" s="120"/>
      <c r="BJ1342" s="120"/>
      <c r="BK1342" s="120"/>
      <c r="BL1342" s="120"/>
      <c r="BM1342" s="120"/>
      <c r="BN1342" s="120"/>
      <c r="BO1342" s="120"/>
      <c r="BP1342" s="120"/>
      <c r="BQ1342" s="120"/>
      <c r="BR1342" s="120"/>
      <c r="BS1342" s="120"/>
      <c r="BT1342" s="120"/>
      <c r="BU1342" s="120"/>
      <c r="BV1342" s="120"/>
      <c r="BW1342" s="120"/>
      <c r="BX1342" s="120"/>
      <c r="BY1342" s="120"/>
      <c r="BZ1342" s="120"/>
      <c r="CA1342" s="120"/>
      <c r="CB1342" s="120"/>
      <c r="CC1342" s="120"/>
      <c r="CD1342" s="120"/>
      <c r="CE1342" s="120"/>
      <c r="CF1342" s="120"/>
      <c r="CG1342" s="120"/>
      <c r="CH1342" s="120"/>
      <c r="CI1342" s="120"/>
      <c r="CJ1342" s="120"/>
      <c r="CK1342" s="120"/>
      <c r="CL1342" s="120"/>
      <c r="CM1342" s="120"/>
      <c r="CN1342" s="120"/>
      <c r="CO1342" s="120"/>
      <c r="CP1342" s="120"/>
      <c r="CQ1342" s="120"/>
      <c r="CR1342" s="120"/>
      <c r="CS1342" s="120"/>
      <c r="CT1342" s="120"/>
      <c r="CU1342" s="120"/>
      <c r="CV1342" s="120"/>
      <c r="CW1342" s="120"/>
      <c r="CX1342" s="120"/>
      <c r="CY1342" s="120"/>
      <c r="CZ1342" s="120"/>
      <c r="DA1342" s="120"/>
      <c r="DB1342" s="120"/>
      <c r="DC1342" s="120"/>
      <c r="DD1342" s="120"/>
      <c r="DE1342" s="120"/>
      <c r="DF1342" s="120"/>
      <c r="DG1342" s="120"/>
      <c r="DH1342" s="120"/>
      <c r="DI1342" s="120"/>
      <c r="DJ1342" s="120"/>
      <c r="DK1342" s="120"/>
      <c r="DL1342" s="120"/>
      <c r="DM1342" s="120"/>
      <c r="DN1342" s="120"/>
      <c r="DO1342" s="120"/>
      <c r="DP1342" s="120"/>
      <c r="DQ1342" s="120"/>
      <c r="DR1342" s="120"/>
      <c r="DS1342" s="120"/>
      <c r="DT1342" s="120"/>
      <c r="DU1342" s="120"/>
      <c r="DV1342" s="120"/>
      <c r="DW1342" s="120"/>
      <c r="DX1342" s="120"/>
      <c r="DY1342" s="120"/>
      <c r="DZ1342" s="120"/>
      <c r="EA1342" s="120"/>
      <c r="EB1342" s="120"/>
      <c r="EC1342" s="120"/>
      <c r="ED1342" s="120"/>
      <c r="EE1342" s="120"/>
      <c r="EF1342" s="120"/>
      <c r="EG1342" s="120"/>
      <c r="EH1342" s="120"/>
      <c r="EI1342" s="120"/>
      <c r="EJ1342" s="120"/>
      <c r="EK1342" s="120"/>
      <c r="EL1342" s="120"/>
      <c r="EM1342" s="120"/>
      <c r="EN1342" s="120"/>
      <c r="EO1342" s="120"/>
      <c r="EP1342" s="120"/>
      <c r="EQ1342" s="120"/>
      <c r="ER1342" s="120"/>
      <c r="ES1342" s="120"/>
      <c r="ET1342" s="120"/>
      <c r="EU1342" s="120"/>
      <c r="EV1342" s="120"/>
      <c r="EW1342" s="120"/>
      <c r="EX1342" s="120"/>
      <c r="EY1342" s="120"/>
      <c r="EZ1342" s="120"/>
      <c r="FA1342" s="120"/>
      <c r="FB1342" s="120"/>
      <c r="FC1342" s="120"/>
      <c r="FD1342" s="120"/>
      <c r="FE1342" s="120"/>
      <c r="FF1342" s="120"/>
      <c r="FG1342" s="120"/>
      <c r="FH1342" s="120"/>
      <c r="FI1342" s="120"/>
      <c r="FJ1342" s="120"/>
      <c r="FK1342" s="120"/>
      <c r="FL1342" s="120"/>
      <c r="FM1342" s="120"/>
      <c r="FN1342" s="120"/>
      <c r="FO1342" s="120"/>
      <c r="FP1342" s="120"/>
      <c r="FQ1342" s="120"/>
      <c r="FR1342" s="120"/>
      <c r="FS1342" s="120"/>
      <c r="FT1342" s="120"/>
      <c r="FU1342" s="120"/>
      <c r="FV1342" s="120"/>
      <c r="FW1342" s="120"/>
      <c r="FX1342" s="120"/>
      <c r="FY1342" s="120"/>
      <c r="FZ1342" s="120"/>
      <c r="GA1342" s="120"/>
      <c r="GB1342" s="120"/>
      <c r="GC1342" s="120"/>
      <c r="GD1342" s="120"/>
      <c r="GE1342" s="120"/>
      <c r="GF1342" s="120"/>
      <c r="GG1342" s="120"/>
      <c r="GH1342" s="120"/>
      <c r="GI1342" s="120"/>
      <c r="GJ1342" s="120"/>
      <c r="GK1342" s="120"/>
      <c r="GL1342" s="120"/>
      <c r="GM1342" s="120"/>
      <c r="GN1342" s="120"/>
      <c r="GO1342" s="120"/>
      <c r="GP1342" s="120"/>
      <c r="GQ1342" s="120"/>
      <c r="GR1342" s="120"/>
      <c r="GS1342" s="120"/>
      <c r="GT1342" s="120"/>
      <c r="GU1342" s="120"/>
      <c r="GV1342" s="120"/>
      <c r="GW1342" s="120"/>
      <c r="GX1342" s="120"/>
      <c r="GY1342" s="120"/>
      <c r="GZ1342" s="120"/>
      <c r="HA1342" s="120"/>
      <c r="HB1342" s="120"/>
      <c r="HC1342" s="120"/>
      <c r="HD1342" s="120"/>
      <c r="HE1342" s="120"/>
      <c r="HF1342" s="120"/>
      <c r="HG1342" s="120"/>
      <c r="HH1342" s="120"/>
      <c r="HI1342" s="120"/>
      <c r="HJ1342" s="120"/>
      <c r="HK1342" s="120"/>
      <c r="HL1342" s="120"/>
      <c r="HM1342" s="120"/>
      <c r="HN1342" s="120"/>
      <c r="HO1342" s="120"/>
      <c r="HP1342" s="120"/>
      <c r="HQ1342" s="120"/>
      <c r="HR1342" s="120"/>
      <c r="HS1342" s="120"/>
      <c r="HT1342" s="120"/>
      <c r="HU1342" s="120"/>
      <c r="HV1342" s="120"/>
      <c r="HW1342" s="120"/>
      <c r="HX1342" s="120"/>
      <c r="HY1342" s="120"/>
      <c r="HZ1342" s="120"/>
      <c r="IA1342" s="120"/>
      <c r="IB1342" s="120"/>
      <c r="IC1342" s="120"/>
      <c r="ID1342" s="120"/>
      <c r="IE1342" s="120"/>
      <c r="IF1342" s="120"/>
      <c r="IG1342" s="120"/>
      <c r="IH1342" s="120"/>
      <c r="II1342" s="120"/>
      <c r="IJ1342" s="120"/>
      <c r="IK1342" s="120"/>
      <c r="IL1342" s="120"/>
      <c r="IM1342" s="120"/>
      <c r="IN1342" s="120"/>
      <c r="IO1342" s="120"/>
      <c r="IP1342" s="120"/>
      <c r="IQ1342" s="120"/>
      <c r="IR1342" s="120"/>
      <c r="IS1342" s="120"/>
      <c r="IT1342" s="120"/>
      <c r="IU1342" s="120"/>
      <c r="IV1342" s="120"/>
      <c r="IW1342" s="120"/>
      <c r="IX1342" s="120"/>
      <c r="IY1342" s="120"/>
      <c r="IZ1342" s="120"/>
      <c r="JA1342" s="120"/>
      <c r="JB1342" s="120"/>
      <c r="JC1342" s="120"/>
      <c r="JD1342" s="120"/>
      <c r="JE1342" s="120"/>
      <c r="JF1342" s="120"/>
      <c r="JG1342" s="120"/>
      <c r="JH1342" s="120"/>
      <c r="JI1342" s="120"/>
      <c r="JJ1342" s="120"/>
      <c r="JK1342" s="120"/>
      <c r="JL1342" s="120"/>
      <c r="JM1342" s="120"/>
      <c r="JN1342" s="120"/>
      <c r="JO1342" s="120"/>
      <c r="JP1342" s="120"/>
      <c r="JQ1342" s="120"/>
      <c r="JR1342" s="120"/>
      <c r="JS1342" s="120"/>
      <c r="JT1342" s="120"/>
      <c r="JU1342" s="120"/>
      <c r="JV1342" s="120"/>
      <c r="JW1342" s="120"/>
      <c r="JX1342" s="120"/>
      <c r="JY1342" s="120"/>
      <c r="JZ1342" s="120"/>
      <c r="KA1342" s="120"/>
      <c r="KB1342" s="120"/>
      <c r="KC1342" s="120"/>
      <c r="KD1342" s="120"/>
      <c r="KE1342" s="120"/>
      <c r="KF1342" s="120"/>
      <c r="KG1342" s="120"/>
      <c r="KH1342" s="120"/>
      <c r="KI1342" s="120"/>
      <c r="KJ1342" s="120"/>
      <c r="KK1342" s="120"/>
      <c r="KL1342" s="120"/>
      <c r="KM1342" s="120"/>
      <c r="KN1342" s="120"/>
      <c r="KO1342" s="120"/>
      <c r="KP1342" s="120"/>
      <c r="KQ1342" s="120"/>
      <c r="KR1342" s="120"/>
      <c r="KS1342" s="120"/>
      <c r="KT1342" s="120"/>
      <c r="KU1342" s="120"/>
      <c r="KV1342" s="120"/>
      <c r="KW1342" s="120"/>
      <c r="KX1342" s="120"/>
      <c r="KY1342" s="120"/>
      <c r="KZ1342" s="120"/>
      <c r="LA1342" s="120"/>
      <c r="LB1342" s="120"/>
      <c r="LC1342" s="120"/>
      <c r="LD1342" s="120"/>
      <c r="LE1342" s="120"/>
      <c r="LF1342" s="120"/>
      <c r="LG1342" s="120"/>
      <c r="LH1342" s="120"/>
      <c r="LI1342" s="120"/>
      <c r="LJ1342" s="120"/>
      <c r="LK1342" s="120"/>
      <c r="LL1342" s="120"/>
      <c r="LM1342" s="120"/>
      <c r="LN1342" s="120"/>
      <c r="LO1342" s="120"/>
      <c r="LP1342" s="120"/>
      <c r="LQ1342" s="120"/>
      <c r="LR1342" s="120"/>
      <c r="LS1342" s="120"/>
      <c r="LT1342" s="120"/>
      <c r="LU1342" s="120"/>
      <c r="LV1342" s="120"/>
      <c r="LW1342" s="120"/>
      <c r="LX1342" s="120"/>
      <c r="LY1342" s="120"/>
      <c r="LZ1342" s="120"/>
      <c r="MA1342" s="120"/>
      <c r="MB1342" s="120"/>
      <c r="MC1342" s="120"/>
      <c r="MD1342" s="120"/>
      <c r="ME1342" s="120"/>
      <c r="MF1342" s="120"/>
      <c r="MG1342" s="120"/>
      <c r="MH1342" s="120"/>
      <c r="MI1342" s="120"/>
      <c r="MJ1342" s="120"/>
      <c r="MK1342" s="120"/>
      <c r="ML1342" s="120"/>
      <c r="MM1342" s="120"/>
      <c r="MN1342" s="120"/>
      <c r="MO1342" s="120"/>
      <c r="MP1342" s="120"/>
      <c r="MQ1342" s="120"/>
      <c r="MR1342" s="120"/>
      <c r="MS1342" s="120"/>
      <c r="MT1342" s="120"/>
      <c r="MU1342" s="120"/>
      <c r="MV1342" s="120"/>
      <c r="MW1342" s="120"/>
      <c r="MX1342" s="120"/>
      <c r="MY1342" s="120"/>
      <c r="MZ1342" s="120"/>
      <c r="NA1342" s="120"/>
      <c r="NB1342" s="120"/>
      <c r="NC1342" s="120"/>
      <c r="ND1342" s="120"/>
      <c r="NE1342" s="120"/>
      <c r="NF1342" s="120"/>
      <c r="NG1342" s="120"/>
      <c r="NH1342" s="120"/>
      <c r="NI1342" s="120"/>
      <c r="NJ1342" s="120"/>
      <c r="NK1342" s="120"/>
      <c r="NL1342" s="120"/>
      <c r="NM1342" s="120"/>
      <c r="NN1342" s="120"/>
      <c r="NO1342" s="120"/>
      <c r="NP1342" s="120"/>
      <c r="NQ1342" s="120"/>
      <c r="NR1342" s="120"/>
      <c r="NS1342" s="120"/>
      <c r="NT1342" s="120"/>
      <c r="NU1342" s="120"/>
      <c r="NV1342" s="120"/>
      <c r="NW1342" s="120"/>
      <c r="NX1342" s="120"/>
      <c r="NY1342" s="120"/>
      <c r="NZ1342" s="120"/>
      <c r="OA1342" s="120"/>
      <c r="OB1342" s="120"/>
      <c r="OC1342" s="120"/>
      <c r="OD1342" s="120"/>
      <c r="OE1342" s="120"/>
      <c r="OF1342" s="120"/>
      <c r="OG1342" s="120"/>
      <c r="OH1342" s="120"/>
      <c r="OI1342" s="120"/>
      <c r="OJ1342" s="120"/>
      <c r="OK1342" s="120"/>
      <c r="OL1342" s="120"/>
      <c r="OM1342" s="120"/>
      <c r="ON1342" s="120"/>
      <c r="OO1342" s="120"/>
      <c r="OP1342" s="120"/>
      <c r="OQ1342" s="120"/>
      <c r="OR1342" s="120"/>
      <c r="OS1342" s="120"/>
      <c r="OT1342" s="120"/>
      <c r="OU1342" s="120"/>
      <c r="OV1342" s="120"/>
      <c r="OW1342" s="120"/>
      <c r="OX1342" s="120"/>
      <c r="OY1342" s="120"/>
      <c r="OZ1342" s="120"/>
      <c r="PA1342" s="120"/>
      <c r="PB1342" s="120"/>
      <c r="PC1342" s="120"/>
      <c r="PD1342" s="120"/>
      <c r="PE1342" s="120"/>
      <c r="PF1342" s="120"/>
      <c r="PG1342" s="120"/>
      <c r="PH1342" s="120"/>
      <c r="PI1342" s="120"/>
      <c r="PJ1342" s="120"/>
      <c r="PK1342" s="120"/>
      <c r="PL1342" s="120"/>
      <c r="PM1342" s="120"/>
      <c r="PN1342" s="120"/>
      <c r="PO1342" s="120"/>
      <c r="PP1342" s="120"/>
      <c r="PQ1342" s="120"/>
      <c r="PR1342" s="120"/>
      <c r="PS1342" s="120"/>
      <c r="PT1342" s="120"/>
      <c r="PU1342" s="120"/>
      <c r="PV1342" s="120"/>
      <c r="PW1342" s="120"/>
      <c r="PX1342" s="120"/>
      <c r="PY1342" s="120"/>
      <c r="PZ1342" s="120"/>
      <c r="QA1342" s="120"/>
      <c r="QB1342" s="120"/>
      <c r="QC1342" s="120"/>
      <c r="QD1342" s="120"/>
      <c r="QE1342" s="120"/>
      <c r="QF1342" s="120"/>
      <c r="QG1342" s="120"/>
      <c r="QH1342" s="120"/>
      <c r="QI1342" s="120"/>
      <c r="QJ1342" s="120"/>
      <c r="QK1342" s="120"/>
      <c r="QL1342" s="120"/>
      <c r="QM1342" s="120"/>
      <c r="QN1342" s="120"/>
      <c r="QO1342" s="120"/>
      <c r="QP1342" s="120"/>
      <c r="QQ1342" s="120"/>
      <c r="QR1342" s="120"/>
      <c r="QS1342" s="120"/>
      <c r="QT1342" s="120"/>
      <c r="QU1342" s="120"/>
      <c r="QV1342" s="120"/>
      <c r="QW1342" s="120"/>
      <c r="QX1342" s="120"/>
      <c r="QY1342" s="120"/>
      <c r="QZ1342" s="120"/>
      <c r="RA1342" s="120"/>
      <c r="RB1342" s="120"/>
      <c r="RC1342" s="120"/>
      <c r="RD1342" s="120"/>
      <c r="RE1342" s="120"/>
      <c r="RF1342" s="120"/>
      <c r="RG1342" s="120"/>
      <c r="RH1342" s="120"/>
      <c r="RI1342" s="120"/>
      <c r="RJ1342" s="120"/>
      <c r="RK1342" s="120"/>
      <c r="RL1342" s="120"/>
      <c r="RM1342" s="120"/>
      <c r="RN1342" s="120"/>
      <c r="RO1342" s="120"/>
      <c r="RP1342" s="120"/>
      <c r="RQ1342" s="120"/>
      <c r="RR1342" s="120"/>
      <c r="RS1342" s="120"/>
      <c r="RT1342" s="120"/>
      <c r="RU1342" s="120"/>
      <c r="RV1342" s="120"/>
      <c r="RW1342" s="120"/>
      <c r="RX1342" s="120"/>
      <c r="RY1342" s="120"/>
      <c r="RZ1342" s="120"/>
      <c r="SA1342" s="120"/>
      <c r="SB1342" s="120"/>
      <c r="SC1342" s="120"/>
      <c r="SD1342" s="120"/>
      <c r="SE1342" s="120"/>
      <c r="SF1342" s="120"/>
      <c r="SG1342" s="120"/>
      <c r="SH1342" s="120"/>
      <c r="SI1342" s="120"/>
      <c r="SJ1342" s="120"/>
      <c r="SK1342" s="120"/>
      <c r="SL1342" s="120"/>
      <c r="SM1342" s="120"/>
      <c r="SN1342" s="120"/>
      <c r="SO1342" s="120"/>
      <c r="SP1342" s="120"/>
      <c r="SQ1342" s="120"/>
      <c r="SR1342" s="120"/>
      <c r="SS1342" s="120"/>
      <c r="ST1342" s="120"/>
      <c r="SU1342" s="120"/>
      <c r="SV1342" s="120"/>
      <c r="SW1342" s="120"/>
      <c r="SX1342" s="120"/>
      <c r="SY1342" s="120"/>
      <c r="SZ1342" s="120"/>
      <c r="TA1342" s="120"/>
      <c r="TB1342" s="120"/>
      <c r="TC1342" s="120"/>
      <c r="TD1342" s="120"/>
      <c r="TE1342" s="120"/>
      <c r="TF1342" s="120"/>
      <c r="TG1342" s="120"/>
      <c r="TH1342" s="120"/>
      <c r="TI1342" s="120"/>
      <c r="TJ1342" s="120"/>
      <c r="TK1342" s="120"/>
      <c r="TL1342" s="120"/>
      <c r="TM1342" s="120"/>
      <c r="TN1342" s="120"/>
      <c r="TO1342" s="120"/>
      <c r="TP1342" s="120"/>
      <c r="TQ1342" s="120"/>
      <c r="TR1342" s="120"/>
      <c r="TS1342" s="120"/>
      <c r="TT1342" s="120"/>
      <c r="TU1342" s="120"/>
      <c r="TV1342" s="120"/>
      <c r="TW1342" s="120"/>
      <c r="TX1342" s="120"/>
      <c r="TY1342" s="120"/>
      <c r="TZ1342" s="120"/>
      <c r="UA1342" s="120"/>
      <c r="UB1342" s="120"/>
      <c r="UC1342" s="120"/>
      <c r="UD1342" s="120"/>
      <c r="UE1342" s="120"/>
      <c r="UF1342" s="120"/>
      <c r="UG1342" s="120"/>
      <c r="UH1342" s="120"/>
      <c r="UI1342" s="120"/>
      <c r="UJ1342" s="120"/>
      <c r="UK1342" s="120"/>
      <c r="UL1342" s="120"/>
      <c r="UM1342" s="120"/>
      <c r="UN1342" s="120"/>
      <c r="UO1342" s="120"/>
      <c r="UP1342" s="120"/>
      <c r="UQ1342" s="120"/>
      <c r="UR1342" s="120"/>
      <c r="US1342" s="120"/>
      <c r="UT1342" s="120"/>
      <c r="UU1342" s="120"/>
      <c r="UV1342" s="120"/>
      <c r="UW1342" s="120"/>
      <c r="UX1342" s="120"/>
      <c r="UY1342" s="120"/>
      <c r="UZ1342" s="120"/>
      <c r="VA1342" s="120"/>
      <c r="VB1342" s="120"/>
      <c r="VC1342" s="120"/>
      <c r="VD1342" s="120"/>
      <c r="VE1342" s="120"/>
      <c r="VF1342" s="120"/>
      <c r="VG1342" s="120"/>
      <c r="VH1342" s="120"/>
      <c r="VI1342" s="120"/>
      <c r="VJ1342" s="120"/>
      <c r="VK1342" s="120"/>
      <c r="VL1342" s="120"/>
      <c r="VM1342" s="120"/>
      <c r="VN1342" s="120"/>
      <c r="VO1342" s="120"/>
      <c r="VP1342" s="120"/>
      <c r="VQ1342" s="120"/>
      <c r="VR1342" s="120"/>
      <c r="VS1342" s="120"/>
      <c r="VT1342" s="120"/>
      <c r="VU1342" s="120"/>
      <c r="VV1342" s="120"/>
      <c r="VW1342" s="120"/>
      <c r="VX1342" s="120"/>
      <c r="VY1342" s="120"/>
      <c r="VZ1342" s="120"/>
      <c r="WA1342" s="120"/>
      <c r="WB1342" s="120"/>
      <c r="WC1342" s="120"/>
      <c r="WD1342" s="120"/>
      <c r="WE1342" s="120"/>
      <c r="WF1342" s="120"/>
      <c r="WG1342" s="120"/>
      <c r="WH1342" s="120"/>
      <c r="WI1342" s="120"/>
      <c r="WJ1342" s="120"/>
      <c r="WK1342" s="120"/>
      <c r="WL1342" s="120"/>
      <c r="WM1342" s="120"/>
      <c r="WN1342" s="120"/>
      <c r="WO1342" s="120"/>
      <c r="WP1342" s="120"/>
      <c r="WQ1342" s="120"/>
      <c r="WR1342" s="120"/>
      <c r="WS1342" s="120"/>
      <c r="WT1342" s="120"/>
      <c r="WU1342" s="120"/>
      <c r="WV1342" s="120"/>
      <c r="WW1342" s="120"/>
      <c r="WX1342" s="120"/>
      <c r="WY1342" s="120"/>
      <c r="WZ1342" s="120"/>
      <c r="XA1342" s="120"/>
      <c r="XB1342" s="120"/>
      <c r="XC1342" s="120"/>
      <c r="XD1342" s="120"/>
      <c r="XE1342" s="120"/>
      <c r="XF1342" s="120"/>
      <c r="XG1342" s="120"/>
      <c r="XH1342" s="120"/>
      <c r="XI1342" s="120"/>
      <c r="XJ1342" s="120"/>
      <c r="XK1342" s="120"/>
      <c r="XL1342" s="120"/>
      <c r="XM1342" s="120"/>
      <c r="XN1342" s="120"/>
      <c r="XO1342" s="120"/>
      <c r="XP1342" s="120"/>
      <c r="XQ1342" s="120"/>
      <c r="XR1342" s="120"/>
      <c r="XS1342" s="120"/>
      <c r="XT1342" s="120"/>
      <c r="XU1342" s="120"/>
      <c r="XV1342" s="120"/>
      <c r="XW1342" s="120"/>
      <c r="XX1342" s="120"/>
      <c r="XY1342" s="120"/>
      <c r="XZ1342" s="120"/>
      <c r="YA1342" s="120"/>
      <c r="YB1342" s="120"/>
      <c r="YC1342" s="120"/>
      <c r="YD1342" s="120"/>
      <c r="YE1342" s="120"/>
      <c r="YF1342" s="120"/>
      <c r="YG1342" s="120"/>
      <c r="YH1342" s="120"/>
      <c r="YI1342" s="120"/>
      <c r="YJ1342" s="120"/>
      <c r="YK1342" s="120"/>
      <c r="YL1342" s="120"/>
      <c r="YM1342" s="120"/>
      <c r="YN1342" s="120"/>
      <c r="YO1342" s="120"/>
      <c r="YP1342" s="120"/>
      <c r="YQ1342" s="120"/>
      <c r="YR1342" s="120"/>
      <c r="YS1342" s="120"/>
      <c r="YT1342" s="120"/>
      <c r="YU1342" s="120"/>
      <c r="YV1342" s="120"/>
      <c r="YW1342" s="120"/>
      <c r="YX1342" s="120"/>
      <c r="YY1342" s="120"/>
      <c r="YZ1342" s="120"/>
      <c r="ZA1342" s="120"/>
      <c r="ZB1342" s="120"/>
      <c r="ZC1342" s="120"/>
      <c r="ZD1342" s="120"/>
      <c r="ZE1342" s="120"/>
      <c r="ZF1342" s="120"/>
      <c r="ZG1342" s="120"/>
      <c r="ZH1342" s="120"/>
      <c r="ZI1342" s="120"/>
      <c r="ZJ1342" s="120"/>
      <c r="ZK1342" s="120"/>
      <c r="ZL1342" s="120"/>
      <c r="ZM1342" s="120"/>
      <c r="ZN1342" s="120"/>
      <c r="ZO1342" s="120"/>
      <c r="ZP1342" s="120"/>
      <c r="ZQ1342" s="120"/>
      <c r="ZR1342" s="120"/>
      <c r="ZS1342" s="120"/>
      <c r="ZT1342" s="120"/>
      <c r="ZU1342" s="120"/>
      <c r="ZV1342" s="120"/>
      <c r="ZW1342" s="120"/>
      <c r="ZX1342" s="120"/>
      <c r="ZY1342" s="120"/>
      <c r="ZZ1342" s="120"/>
      <c r="AAA1342" s="120"/>
      <c r="AAB1342" s="120"/>
      <c r="AAC1342" s="120"/>
      <c r="AAD1342" s="120"/>
      <c r="AAE1342" s="120"/>
      <c r="AAF1342" s="120"/>
      <c r="AAG1342" s="120"/>
      <c r="AAH1342" s="120"/>
      <c r="AAI1342" s="120"/>
      <c r="AAJ1342" s="120"/>
      <c r="AAK1342" s="120"/>
      <c r="AAL1342" s="120"/>
      <c r="AAM1342" s="120"/>
      <c r="AAN1342" s="120"/>
      <c r="AAO1342" s="120"/>
      <c r="AAP1342" s="120"/>
      <c r="AAQ1342" s="120"/>
      <c r="AAR1342" s="120"/>
      <c r="AAS1342" s="120"/>
      <c r="AAT1342" s="120"/>
      <c r="AAU1342" s="120"/>
      <c r="AAV1342" s="120"/>
      <c r="AAW1342" s="120"/>
      <c r="AAX1342" s="120"/>
      <c r="AAY1342" s="120"/>
      <c r="AAZ1342" s="120"/>
      <c r="ABA1342" s="120"/>
      <c r="ABB1342" s="120"/>
      <c r="ABC1342" s="120"/>
      <c r="ABD1342" s="120"/>
      <c r="ABE1342" s="120"/>
      <c r="ABF1342" s="120"/>
      <c r="ABG1342" s="120"/>
      <c r="ABH1342" s="120"/>
      <c r="ABI1342" s="120"/>
      <c r="ABJ1342" s="120"/>
      <c r="ABK1342" s="120"/>
      <c r="ABL1342" s="120"/>
      <c r="ABM1342" s="120"/>
      <c r="ABN1342" s="120"/>
      <c r="ABO1342" s="120"/>
      <c r="ABP1342" s="120"/>
      <c r="ABQ1342" s="120"/>
      <c r="ABR1342" s="120"/>
      <c r="ABS1342" s="120"/>
      <c r="ABT1342" s="120"/>
      <c r="ABU1342" s="120"/>
      <c r="ABV1342" s="120"/>
      <c r="ABW1342" s="120"/>
      <c r="ABX1342" s="120"/>
      <c r="ABY1342" s="120"/>
      <c r="ABZ1342" s="120"/>
      <c r="ACA1342" s="120"/>
      <c r="ACB1342" s="120"/>
      <c r="ACC1342" s="120"/>
      <c r="ACD1342" s="120"/>
      <c r="ACE1342" s="120"/>
      <c r="ACF1342" s="120"/>
      <c r="ACG1342" s="120"/>
      <c r="ACH1342" s="120"/>
      <c r="ACI1342" s="120"/>
      <c r="ACJ1342" s="120"/>
      <c r="ACK1342" s="120"/>
      <c r="ACL1342" s="120"/>
      <c r="ACM1342" s="120"/>
      <c r="ACN1342" s="120"/>
      <c r="ACO1342" s="120"/>
      <c r="ACP1342" s="120"/>
      <c r="ACQ1342" s="120"/>
      <c r="ACR1342" s="120"/>
      <c r="ACS1342" s="120"/>
      <c r="ACT1342" s="120"/>
      <c r="ACU1342" s="120"/>
      <c r="ACV1342" s="120"/>
      <c r="ACW1342" s="120"/>
      <c r="ACX1342" s="120"/>
      <c r="ACY1342" s="120"/>
      <c r="ACZ1342" s="120"/>
      <c r="ADA1342" s="120"/>
      <c r="ADB1342" s="120"/>
      <c r="ADC1342" s="120"/>
      <c r="ADD1342" s="120"/>
      <c r="ADE1342" s="120"/>
      <c r="ADF1342" s="120"/>
      <c r="ADG1342" s="120"/>
      <c r="ADH1342" s="120"/>
      <c r="ADI1342" s="120"/>
      <c r="ADJ1342" s="120"/>
      <c r="ADK1342" s="120"/>
      <c r="ADL1342" s="120"/>
      <c r="ADM1342" s="120"/>
      <c r="ADN1342" s="120"/>
      <c r="ADO1342" s="120"/>
      <c r="ADP1342" s="120"/>
      <c r="ADQ1342" s="120"/>
      <c r="ADR1342" s="120"/>
      <c r="ADS1342" s="120"/>
      <c r="ADT1342" s="120"/>
      <c r="ADU1342" s="120"/>
      <c r="ADV1342" s="120"/>
      <c r="ADW1342" s="120"/>
      <c r="ADX1342" s="120"/>
      <c r="ADY1342" s="120"/>
      <c r="ADZ1342" s="120"/>
      <c r="AEA1342" s="120"/>
      <c r="AEB1342" s="120"/>
      <c r="AEC1342" s="120"/>
      <c r="AED1342" s="120"/>
      <c r="AEE1342" s="120"/>
      <c r="AEF1342" s="120"/>
      <c r="AEG1342" s="120"/>
      <c r="AEH1342" s="120"/>
      <c r="AEI1342" s="120"/>
      <c r="AEJ1342" s="120"/>
      <c r="AEK1342" s="120"/>
      <c r="AEL1342" s="120"/>
      <c r="AEM1342" s="120"/>
      <c r="AEN1342" s="120"/>
      <c r="AEO1342" s="120"/>
      <c r="AEP1342" s="120"/>
      <c r="AEQ1342" s="120"/>
      <c r="AER1342" s="120"/>
      <c r="AES1342" s="120"/>
      <c r="AET1342" s="120"/>
      <c r="AEU1342" s="120"/>
      <c r="AEV1342" s="120"/>
      <c r="AEW1342" s="120"/>
      <c r="AEX1342" s="120"/>
      <c r="AEY1342" s="120"/>
      <c r="AEZ1342" s="120"/>
      <c r="AFA1342" s="120"/>
      <c r="AFB1342" s="120"/>
      <c r="AFC1342" s="120"/>
      <c r="AFD1342" s="120"/>
      <c r="AFE1342" s="120"/>
      <c r="AFF1342" s="120"/>
      <c r="AFG1342" s="120"/>
      <c r="AFH1342" s="120"/>
      <c r="AFI1342" s="120"/>
      <c r="AFJ1342" s="120"/>
      <c r="AFK1342" s="120"/>
      <c r="AFL1342" s="120"/>
      <c r="AFM1342" s="120"/>
      <c r="AFN1342" s="120"/>
      <c r="AFO1342" s="120"/>
      <c r="AFP1342" s="120"/>
      <c r="AFQ1342" s="120"/>
      <c r="AFR1342" s="120"/>
      <c r="AFS1342" s="120"/>
      <c r="AFT1342" s="120"/>
      <c r="AFU1342" s="120"/>
      <c r="AFV1342" s="120"/>
      <c r="AFW1342" s="120"/>
      <c r="AFX1342" s="120"/>
      <c r="AFY1342" s="120"/>
      <c r="AFZ1342" s="120"/>
      <c r="AGA1342" s="120"/>
      <c r="AGB1342" s="120"/>
      <c r="AGC1342" s="120"/>
      <c r="AGD1342" s="120"/>
      <c r="AGE1342" s="120"/>
      <c r="AGF1342" s="120"/>
      <c r="AGG1342" s="120"/>
      <c r="AGH1342" s="120"/>
      <c r="AGI1342" s="120"/>
      <c r="AGJ1342" s="120"/>
      <c r="AGK1342" s="120"/>
      <c r="AGL1342" s="120"/>
      <c r="AGM1342" s="120"/>
      <c r="AGN1342" s="120"/>
      <c r="AGO1342" s="120"/>
      <c r="AGP1342" s="120"/>
      <c r="AGQ1342" s="120"/>
      <c r="AGR1342" s="120"/>
      <c r="AGS1342" s="120"/>
      <c r="AGT1342" s="120"/>
      <c r="AGU1342" s="120"/>
      <c r="AGV1342" s="120"/>
      <c r="AGW1342" s="120"/>
      <c r="AGX1342" s="120"/>
      <c r="AGY1342" s="120"/>
      <c r="AGZ1342" s="120"/>
      <c r="AHA1342" s="120"/>
      <c r="AHB1342" s="120"/>
      <c r="AHC1342" s="120"/>
      <c r="AHD1342" s="120"/>
      <c r="AHE1342" s="120"/>
      <c r="AHF1342" s="120"/>
      <c r="AHG1342" s="120"/>
      <c r="AHH1342" s="120"/>
      <c r="AHI1342" s="120"/>
      <c r="AHJ1342" s="120"/>
      <c r="AHK1342" s="120"/>
      <c r="AHL1342" s="120"/>
      <c r="AHM1342" s="120"/>
      <c r="AHN1342" s="120"/>
      <c r="AHO1342" s="120"/>
      <c r="AHP1342" s="120"/>
      <c r="AHQ1342" s="120"/>
      <c r="AHR1342" s="120"/>
      <c r="AHS1342" s="120"/>
      <c r="AHT1342" s="120"/>
      <c r="AHU1342" s="120"/>
      <c r="AHV1342" s="120"/>
      <c r="AHW1342" s="120"/>
      <c r="AHX1342" s="120"/>
      <c r="AHY1342" s="120"/>
      <c r="AHZ1342" s="120"/>
      <c r="AIA1342" s="120"/>
      <c r="AIB1342" s="120"/>
      <c r="AIC1342" s="120"/>
      <c r="AID1342" s="120"/>
      <c r="AIE1342" s="120"/>
      <c r="AIF1342" s="120"/>
      <c r="AIG1342" s="120"/>
      <c r="AIH1342" s="120"/>
      <c r="AII1342" s="120"/>
      <c r="AIJ1342" s="120"/>
      <c r="AIK1342" s="120"/>
      <c r="AIL1342" s="120"/>
      <c r="AIM1342" s="120"/>
      <c r="AIN1342" s="120"/>
      <c r="AIO1342" s="120"/>
      <c r="AIP1342" s="120"/>
      <c r="AIQ1342" s="120"/>
      <c r="AIR1342" s="120"/>
      <c r="AIS1342" s="120"/>
      <c r="AIT1342" s="120"/>
      <c r="AIU1342" s="120"/>
      <c r="AIV1342" s="120"/>
      <c r="AIW1342" s="120"/>
      <c r="AIX1342" s="120"/>
      <c r="AIY1342" s="120"/>
      <c r="AIZ1342" s="120"/>
      <c r="AJA1342" s="120"/>
      <c r="AJB1342" s="120"/>
      <c r="AJC1342" s="120"/>
      <c r="AJD1342" s="120"/>
      <c r="AJE1342" s="120"/>
      <c r="AJF1342" s="120"/>
      <c r="AJG1342" s="120"/>
      <c r="AJH1342" s="120"/>
      <c r="AJI1342" s="120"/>
      <c r="AJJ1342" s="120"/>
      <c r="AJK1342" s="120"/>
      <c r="AJL1342" s="120"/>
      <c r="AJM1342" s="120"/>
      <c r="AJN1342" s="120"/>
      <c r="AJO1342" s="120"/>
      <c r="AJP1342" s="120"/>
      <c r="AJQ1342" s="120"/>
      <c r="AJR1342" s="120"/>
      <c r="AJS1342" s="120"/>
      <c r="AJT1342" s="120"/>
      <c r="AJU1342" s="120"/>
      <c r="AJV1342" s="120"/>
      <c r="AJW1342" s="120"/>
      <c r="AJX1342" s="120"/>
      <c r="AJY1342" s="120"/>
      <c r="AJZ1342" s="120"/>
      <c r="AKA1342" s="120"/>
      <c r="AKB1342" s="120"/>
      <c r="AKC1342" s="120"/>
      <c r="AKD1342" s="120"/>
      <c r="AKE1342" s="120"/>
      <c r="AKF1342" s="120"/>
      <c r="AKG1342" s="120"/>
      <c r="AKH1342" s="120"/>
      <c r="AKI1342" s="120"/>
      <c r="AKJ1342" s="120"/>
      <c r="AKK1342" s="120"/>
      <c r="AKL1342" s="120"/>
      <c r="AKM1342" s="120"/>
      <c r="AKN1342" s="120"/>
      <c r="AKO1342" s="120"/>
      <c r="AKP1342" s="120"/>
      <c r="AKQ1342" s="120"/>
      <c r="AKR1342" s="120"/>
      <c r="AKS1342" s="120"/>
      <c r="AKT1342" s="120"/>
      <c r="AKU1342" s="120"/>
      <c r="AKV1342" s="120"/>
      <c r="AKW1342" s="120"/>
      <c r="AKX1342" s="120"/>
      <c r="AKY1342" s="120"/>
      <c r="AKZ1342" s="120"/>
      <c r="ALA1342" s="120"/>
      <c r="ALB1342" s="120"/>
      <c r="ALC1342" s="120"/>
      <c r="ALD1342" s="120"/>
      <c r="ALE1342" s="120"/>
      <c r="ALF1342" s="120"/>
      <c r="ALG1342" s="120"/>
      <c r="ALH1342" s="120"/>
      <c r="ALI1342" s="120"/>
      <c r="ALJ1342" s="120"/>
      <c r="ALK1342" s="120"/>
      <c r="ALL1342" s="120"/>
      <c r="ALM1342" s="120"/>
      <c r="ALN1342" s="120"/>
      <c r="ALO1342" s="120"/>
      <c r="ALP1342" s="120"/>
      <c r="ALQ1342" s="120"/>
      <c r="ALR1342" s="120"/>
      <c r="ALS1342" s="120"/>
      <c r="ALT1342" s="120"/>
      <c r="ALU1342" s="120"/>
      <c r="ALV1342" s="120"/>
      <c r="ALW1342" s="120"/>
      <c r="ALX1342" s="120"/>
      <c r="ALY1342" s="120"/>
      <c r="ALZ1342" s="120"/>
      <c r="AMA1342" s="120"/>
      <c r="AMB1342" s="120"/>
      <c r="AMC1342" s="120"/>
      <c r="AMD1342" s="120"/>
      <c r="AME1342" s="120"/>
      <c r="AMF1342" s="120"/>
      <c r="AMG1342" s="120"/>
      <c r="AMH1342" s="120"/>
      <c r="AMI1342" s="120"/>
      <c r="AMJ1342" s="120"/>
      <c r="AMK1342" s="120"/>
      <c r="AML1342" s="120"/>
      <c r="AMM1342" s="120"/>
      <c r="AMN1342" s="120"/>
      <c r="AMO1342" s="120"/>
      <c r="AMP1342" s="120"/>
      <c r="AMQ1342" s="120"/>
      <c r="AMR1342" s="120"/>
      <c r="AMS1342" s="120"/>
      <c r="AMT1342" s="120"/>
      <c r="AMU1342" s="120"/>
      <c r="AMV1342" s="120"/>
      <c r="AMW1342" s="120"/>
      <c r="AMX1342" s="120"/>
      <c r="AMY1342" s="120"/>
      <c r="AMZ1342" s="120"/>
      <c r="ANA1342" s="120"/>
      <c r="ANB1342" s="120"/>
      <c r="ANC1342" s="120"/>
      <c r="AND1342" s="120"/>
      <c r="ANE1342" s="120"/>
      <c r="ANF1342" s="120"/>
      <c r="ANG1342" s="120"/>
      <c r="ANH1342" s="120"/>
      <c r="ANI1342" s="120"/>
      <c r="ANJ1342" s="120"/>
      <c r="ANK1342" s="120"/>
      <c r="ANL1342" s="120"/>
      <c r="ANM1342" s="120"/>
      <c r="ANN1342" s="120"/>
      <c r="ANO1342" s="120"/>
      <c r="ANP1342" s="120"/>
      <c r="ANQ1342" s="120"/>
      <c r="ANR1342" s="120"/>
      <c r="ANS1342" s="120"/>
      <c r="ANT1342" s="120"/>
      <c r="ANU1342" s="120"/>
      <c r="ANV1342" s="120"/>
      <c r="ANW1342" s="120"/>
      <c r="ANX1342" s="120"/>
      <c r="ANY1342" s="120"/>
      <c r="ANZ1342" s="120"/>
      <c r="AOA1342" s="120"/>
      <c r="AOB1342" s="120"/>
      <c r="AOC1342" s="120"/>
      <c r="AOD1342" s="120"/>
      <c r="AOE1342" s="120"/>
      <c r="AOF1342" s="120"/>
      <c r="AOG1342" s="120"/>
      <c r="AOH1342" s="120"/>
      <c r="AOI1342" s="120"/>
      <c r="AOJ1342" s="120"/>
      <c r="AOK1342" s="120"/>
      <c r="AOL1342" s="120"/>
      <c r="AOM1342" s="120"/>
      <c r="AON1342" s="120"/>
      <c r="AOO1342" s="120"/>
      <c r="AOP1342" s="120"/>
      <c r="AOQ1342" s="120"/>
      <c r="AOR1342" s="120"/>
      <c r="AOS1342" s="120"/>
      <c r="AOT1342" s="120"/>
      <c r="AOU1342" s="120"/>
      <c r="AOV1342" s="120"/>
      <c r="AOW1342" s="120"/>
      <c r="AOX1342" s="120"/>
      <c r="AOY1342" s="120"/>
      <c r="AOZ1342" s="120"/>
      <c r="APA1342" s="120"/>
      <c r="APB1342" s="120"/>
      <c r="APC1342" s="120"/>
      <c r="APD1342" s="120"/>
      <c r="APE1342" s="120"/>
      <c r="APF1342" s="120"/>
      <c r="APG1342" s="120"/>
      <c r="APH1342" s="120"/>
      <c r="API1342" s="120"/>
      <c r="APJ1342" s="120"/>
      <c r="APK1342" s="120"/>
      <c r="APL1342" s="120"/>
      <c r="APM1342" s="120"/>
      <c r="APN1342" s="120"/>
      <c r="APO1342" s="120"/>
      <c r="APP1342" s="120"/>
      <c r="APQ1342" s="120"/>
      <c r="APR1342" s="120"/>
      <c r="APS1342" s="120"/>
      <c r="APT1342" s="120"/>
      <c r="APU1342" s="120"/>
      <c r="APV1342" s="120"/>
      <c r="APW1342" s="120"/>
      <c r="APX1342" s="120"/>
      <c r="APY1342" s="120"/>
      <c r="APZ1342" s="120"/>
      <c r="AQA1342" s="120"/>
      <c r="AQB1342" s="120"/>
      <c r="AQC1342" s="120"/>
      <c r="AQD1342" s="120"/>
      <c r="AQE1342" s="120"/>
      <c r="AQF1342" s="120"/>
      <c r="AQG1342" s="120"/>
      <c r="AQH1342" s="120"/>
      <c r="AQI1342" s="120"/>
      <c r="AQJ1342" s="120"/>
      <c r="AQK1342" s="120"/>
      <c r="AQL1342" s="120"/>
      <c r="AQM1342" s="120"/>
      <c r="AQN1342" s="120"/>
      <c r="AQO1342" s="120"/>
      <c r="AQP1342" s="120"/>
      <c r="AQQ1342" s="120"/>
      <c r="AQR1342" s="120"/>
      <c r="AQS1342" s="120"/>
      <c r="AQT1342" s="120"/>
      <c r="AQU1342" s="120"/>
      <c r="AQV1342" s="120"/>
      <c r="AQW1342" s="120"/>
      <c r="AQX1342" s="120"/>
      <c r="AQY1342" s="120"/>
      <c r="AQZ1342" s="120"/>
      <c r="ARA1342" s="120"/>
      <c r="ARB1342" s="120"/>
      <c r="ARC1342" s="120"/>
      <c r="ARD1342" s="120"/>
      <c r="ARE1342" s="120"/>
      <c r="ARF1342" s="120"/>
      <c r="ARG1342" s="120"/>
      <c r="ARH1342" s="120"/>
      <c r="ARI1342" s="120"/>
      <c r="ARJ1342" s="120"/>
      <c r="ARK1342" s="120"/>
      <c r="ARL1342" s="120"/>
      <c r="ARM1342" s="120"/>
      <c r="ARN1342" s="120"/>
      <c r="ARO1342" s="120"/>
      <c r="ARP1342" s="120"/>
      <c r="ARQ1342" s="120"/>
      <c r="ARR1342" s="120"/>
      <c r="ARS1342" s="120"/>
      <c r="ART1342" s="120"/>
      <c r="ARU1342" s="120"/>
      <c r="ARV1342" s="120"/>
      <c r="ARW1342" s="120"/>
      <c r="ARX1342" s="120"/>
      <c r="ARY1342" s="120"/>
      <c r="ARZ1342" s="120"/>
      <c r="ASA1342" s="120"/>
      <c r="ASB1342" s="120"/>
      <c r="ASC1342" s="120"/>
      <c r="ASD1342" s="120"/>
      <c r="ASE1342" s="120"/>
      <c r="ASF1342" s="120"/>
      <c r="ASG1342" s="120"/>
      <c r="ASH1342" s="120"/>
      <c r="ASI1342" s="120"/>
      <c r="ASJ1342" s="120"/>
      <c r="ASK1342" s="120"/>
      <c r="ASL1342" s="120"/>
      <c r="ASM1342" s="120"/>
      <c r="ASN1342" s="120"/>
      <c r="ASO1342" s="120"/>
      <c r="ASP1342" s="120"/>
      <c r="ASQ1342" s="120"/>
      <c r="ASR1342" s="120"/>
      <c r="ASS1342" s="120"/>
      <c r="AST1342" s="120"/>
      <c r="ASU1342" s="120"/>
      <c r="ASV1342" s="120"/>
      <c r="ASW1342" s="120"/>
      <c r="ASX1342" s="120"/>
      <c r="ASY1342" s="120"/>
      <c r="ASZ1342" s="120"/>
      <c r="ATA1342" s="120"/>
      <c r="ATB1342" s="120"/>
      <c r="ATC1342" s="120"/>
      <c r="ATD1342" s="120"/>
      <c r="ATE1342" s="120"/>
      <c r="ATF1342" s="120"/>
      <c r="ATG1342" s="120"/>
      <c r="ATH1342" s="120"/>
      <c r="ATI1342" s="120"/>
      <c r="ATJ1342" s="120"/>
      <c r="ATK1342" s="120"/>
      <c r="ATL1342" s="120"/>
      <c r="ATM1342" s="120"/>
      <c r="ATN1342" s="120"/>
      <c r="ATO1342" s="120"/>
    </row>
    <row r="1343" spans="1:1211" s="20" customFormat="1" ht="14.1" customHeight="1">
      <c r="A1343" s="964"/>
      <c r="B1343" s="965"/>
      <c r="C1343" s="966"/>
      <c r="D1343" s="631"/>
      <c r="E1343" s="898"/>
      <c r="F1343" s="899"/>
      <c r="G1343" s="899"/>
      <c r="H1343" s="899"/>
      <c r="I1343" s="899"/>
      <c r="J1343" s="899"/>
      <c r="K1343" s="112"/>
      <c r="L1343" s="363"/>
      <c r="M1343" s="112"/>
      <c r="N1343" s="362"/>
      <c r="O1343" s="573"/>
      <c r="P1343" s="120"/>
      <c r="Q1343" s="120"/>
      <c r="R1343" s="120"/>
      <c r="S1343" s="120"/>
      <c r="T1343" s="120"/>
      <c r="U1343" s="120"/>
      <c r="V1343" s="120"/>
      <c r="W1343" s="120"/>
      <c r="X1343" s="120"/>
      <c r="Y1343" s="120"/>
      <c r="Z1343" s="120"/>
      <c r="AA1343" s="120"/>
      <c r="AB1343" s="120"/>
      <c r="AC1343" s="120"/>
      <c r="AD1343" s="120"/>
      <c r="AE1343" s="120"/>
      <c r="AF1343" s="120"/>
      <c r="AG1343" s="120"/>
      <c r="AH1343" s="120"/>
      <c r="AI1343" s="120"/>
      <c r="AJ1343" s="120"/>
      <c r="AK1343" s="120"/>
      <c r="AL1343" s="120"/>
      <c r="AM1343" s="120"/>
      <c r="AN1343" s="120"/>
      <c r="AO1343" s="120"/>
      <c r="AP1343" s="120"/>
      <c r="AQ1343" s="120"/>
      <c r="AR1343" s="120"/>
      <c r="AS1343" s="120"/>
      <c r="AT1343" s="120"/>
      <c r="AU1343" s="120"/>
      <c r="AV1343" s="120"/>
      <c r="AW1343" s="120"/>
      <c r="AX1343" s="120"/>
      <c r="AY1343" s="120"/>
      <c r="AZ1343" s="120"/>
      <c r="BA1343" s="120"/>
      <c r="BB1343" s="120"/>
      <c r="BC1343" s="120"/>
      <c r="BD1343" s="120"/>
      <c r="BE1343" s="120"/>
      <c r="BF1343" s="120"/>
      <c r="BG1343" s="120"/>
      <c r="BH1343" s="120"/>
      <c r="BI1343" s="120"/>
      <c r="BJ1343" s="120"/>
      <c r="BK1343" s="120"/>
      <c r="BL1343" s="120"/>
      <c r="BM1343" s="120"/>
      <c r="BN1343" s="120"/>
      <c r="BO1343" s="120"/>
      <c r="BP1343" s="120"/>
      <c r="BQ1343" s="120"/>
      <c r="BR1343" s="120"/>
      <c r="BS1343" s="120"/>
      <c r="BT1343" s="120"/>
      <c r="BU1343" s="120"/>
      <c r="BV1343" s="120"/>
      <c r="BW1343" s="120"/>
      <c r="BX1343" s="120"/>
      <c r="BY1343" s="120"/>
      <c r="BZ1343" s="120"/>
      <c r="CA1343" s="120"/>
      <c r="CB1343" s="120"/>
      <c r="CC1343" s="120"/>
      <c r="CD1343" s="120"/>
      <c r="CE1343" s="120"/>
      <c r="CF1343" s="120"/>
      <c r="CG1343" s="120"/>
      <c r="CH1343" s="120"/>
      <c r="CI1343" s="120"/>
      <c r="CJ1343" s="120"/>
      <c r="CK1343" s="120"/>
      <c r="CL1343" s="120"/>
      <c r="CM1343" s="120"/>
      <c r="CN1343" s="120"/>
      <c r="CO1343" s="120"/>
      <c r="CP1343" s="120"/>
      <c r="CQ1343" s="120"/>
      <c r="CR1343" s="120"/>
      <c r="CS1343" s="120"/>
      <c r="CT1343" s="120"/>
      <c r="CU1343" s="120"/>
      <c r="CV1343" s="120"/>
      <c r="CW1343" s="120"/>
      <c r="CX1343" s="120"/>
      <c r="CY1343" s="120"/>
      <c r="CZ1343" s="120"/>
      <c r="DA1343" s="120"/>
      <c r="DB1343" s="120"/>
      <c r="DC1343" s="120"/>
      <c r="DD1343" s="120"/>
      <c r="DE1343" s="120"/>
      <c r="DF1343" s="120"/>
      <c r="DG1343" s="120"/>
      <c r="DH1343" s="120"/>
      <c r="DI1343" s="120"/>
      <c r="DJ1343" s="120"/>
      <c r="DK1343" s="120"/>
      <c r="DL1343" s="120"/>
      <c r="DM1343" s="120"/>
      <c r="DN1343" s="120"/>
      <c r="DO1343" s="120"/>
      <c r="DP1343" s="120"/>
      <c r="DQ1343" s="120"/>
      <c r="DR1343" s="120"/>
      <c r="DS1343" s="120"/>
      <c r="DT1343" s="120"/>
      <c r="DU1343" s="120"/>
      <c r="DV1343" s="120"/>
      <c r="DW1343" s="120"/>
      <c r="DX1343" s="120"/>
      <c r="DY1343" s="120"/>
      <c r="DZ1343" s="120"/>
      <c r="EA1343" s="120"/>
      <c r="EB1343" s="120"/>
      <c r="EC1343" s="120"/>
      <c r="ED1343" s="120"/>
      <c r="EE1343" s="120"/>
      <c r="EF1343" s="120"/>
      <c r="EG1343" s="120"/>
      <c r="EH1343" s="120"/>
      <c r="EI1343" s="120"/>
      <c r="EJ1343" s="120"/>
      <c r="EK1343" s="120"/>
      <c r="EL1343" s="120"/>
      <c r="EM1343" s="120"/>
      <c r="EN1343" s="120"/>
      <c r="EO1343" s="120"/>
      <c r="EP1343" s="120"/>
      <c r="EQ1343" s="120"/>
      <c r="ER1343" s="120"/>
      <c r="ES1343" s="120"/>
      <c r="ET1343" s="120"/>
      <c r="EU1343" s="120"/>
      <c r="EV1343" s="120"/>
      <c r="EW1343" s="120"/>
      <c r="EX1343" s="120"/>
      <c r="EY1343" s="120"/>
      <c r="EZ1343" s="120"/>
      <c r="FA1343" s="120"/>
      <c r="FB1343" s="120"/>
      <c r="FC1343" s="120"/>
      <c r="FD1343" s="120"/>
      <c r="FE1343" s="120"/>
      <c r="FF1343" s="120"/>
      <c r="FG1343" s="120"/>
      <c r="FH1343" s="120"/>
      <c r="FI1343" s="120"/>
      <c r="FJ1343" s="120"/>
      <c r="FK1343" s="120"/>
      <c r="FL1343" s="120"/>
      <c r="FM1343" s="120"/>
      <c r="FN1343" s="120"/>
      <c r="FO1343" s="120"/>
      <c r="FP1343" s="120"/>
      <c r="FQ1343" s="120"/>
      <c r="FR1343" s="120"/>
      <c r="FS1343" s="120"/>
      <c r="FT1343" s="120"/>
      <c r="FU1343" s="120"/>
      <c r="FV1343" s="120"/>
      <c r="FW1343" s="120"/>
      <c r="FX1343" s="120"/>
      <c r="FY1343" s="120"/>
      <c r="FZ1343" s="120"/>
      <c r="GA1343" s="120"/>
      <c r="GB1343" s="120"/>
      <c r="GC1343" s="120"/>
      <c r="GD1343" s="120"/>
      <c r="GE1343" s="120"/>
      <c r="GF1343" s="120"/>
      <c r="GG1343" s="120"/>
      <c r="GH1343" s="120"/>
      <c r="GI1343" s="120"/>
      <c r="GJ1343" s="120"/>
      <c r="GK1343" s="120"/>
      <c r="GL1343" s="120"/>
      <c r="GM1343" s="120"/>
      <c r="GN1343" s="120"/>
      <c r="GO1343" s="120"/>
      <c r="GP1343" s="120"/>
      <c r="GQ1343" s="120"/>
      <c r="GR1343" s="120"/>
      <c r="GS1343" s="120"/>
      <c r="GT1343" s="120"/>
      <c r="GU1343" s="120"/>
      <c r="GV1343" s="120"/>
      <c r="GW1343" s="120"/>
      <c r="GX1343" s="120"/>
      <c r="GY1343" s="120"/>
      <c r="GZ1343" s="120"/>
      <c r="HA1343" s="120"/>
      <c r="HB1343" s="120"/>
      <c r="HC1343" s="120"/>
      <c r="HD1343" s="120"/>
      <c r="HE1343" s="120"/>
      <c r="HF1343" s="120"/>
      <c r="HG1343" s="120"/>
      <c r="HH1343" s="120"/>
      <c r="HI1343" s="120"/>
      <c r="HJ1343" s="120"/>
      <c r="HK1343" s="120"/>
      <c r="HL1343" s="120"/>
      <c r="HM1343" s="120"/>
      <c r="HN1343" s="120"/>
      <c r="HO1343" s="120"/>
      <c r="HP1343" s="120"/>
      <c r="HQ1343" s="120"/>
      <c r="HR1343" s="120"/>
      <c r="HS1343" s="120"/>
      <c r="HT1343" s="120"/>
      <c r="HU1343" s="120"/>
      <c r="HV1343" s="120"/>
      <c r="HW1343" s="120"/>
      <c r="HX1343" s="120"/>
      <c r="HY1343" s="120"/>
      <c r="HZ1343" s="120"/>
      <c r="IA1343" s="120"/>
      <c r="IB1343" s="120"/>
      <c r="IC1343" s="120"/>
      <c r="ID1343" s="120"/>
      <c r="IE1343" s="120"/>
      <c r="IF1343" s="120"/>
      <c r="IG1343" s="120"/>
      <c r="IH1343" s="120"/>
      <c r="II1343" s="120"/>
      <c r="IJ1343" s="120"/>
      <c r="IK1343" s="120"/>
      <c r="IL1343" s="120"/>
      <c r="IM1343" s="120"/>
      <c r="IN1343" s="120"/>
      <c r="IO1343" s="120"/>
      <c r="IP1343" s="120"/>
      <c r="IQ1343" s="120"/>
      <c r="IR1343" s="120"/>
      <c r="IS1343" s="120"/>
      <c r="IT1343" s="120"/>
      <c r="IU1343" s="120"/>
      <c r="IV1343" s="120"/>
      <c r="IW1343" s="120"/>
      <c r="IX1343" s="120"/>
      <c r="IY1343" s="120"/>
      <c r="IZ1343" s="120"/>
      <c r="JA1343" s="120"/>
      <c r="JB1343" s="120"/>
      <c r="JC1343" s="120"/>
      <c r="JD1343" s="120"/>
      <c r="JE1343" s="120"/>
      <c r="JF1343" s="120"/>
      <c r="JG1343" s="120"/>
      <c r="JH1343" s="120"/>
      <c r="JI1343" s="120"/>
      <c r="JJ1343" s="120"/>
      <c r="JK1343" s="120"/>
      <c r="JL1343" s="120"/>
      <c r="JM1343" s="120"/>
      <c r="JN1343" s="120"/>
      <c r="JO1343" s="120"/>
      <c r="JP1343" s="120"/>
      <c r="JQ1343" s="120"/>
      <c r="JR1343" s="120"/>
      <c r="JS1343" s="120"/>
      <c r="JT1343" s="120"/>
      <c r="JU1343" s="120"/>
      <c r="JV1343" s="120"/>
      <c r="JW1343" s="120"/>
      <c r="JX1343" s="120"/>
      <c r="JY1343" s="120"/>
      <c r="JZ1343" s="120"/>
      <c r="KA1343" s="120"/>
      <c r="KB1343" s="120"/>
      <c r="KC1343" s="120"/>
      <c r="KD1343" s="120"/>
      <c r="KE1343" s="120"/>
      <c r="KF1343" s="120"/>
      <c r="KG1343" s="120"/>
      <c r="KH1343" s="120"/>
      <c r="KI1343" s="120"/>
      <c r="KJ1343" s="120"/>
      <c r="KK1343" s="120"/>
      <c r="KL1343" s="120"/>
      <c r="KM1343" s="120"/>
      <c r="KN1343" s="120"/>
      <c r="KO1343" s="120"/>
      <c r="KP1343" s="120"/>
      <c r="KQ1343" s="120"/>
      <c r="KR1343" s="120"/>
      <c r="KS1343" s="120"/>
      <c r="KT1343" s="120"/>
      <c r="KU1343" s="120"/>
      <c r="KV1343" s="120"/>
      <c r="KW1343" s="120"/>
      <c r="KX1343" s="120"/>
      <c r="KY1343" s="120"/>
      <c r="KZ1343" s="120"/>
      <c r="LA1343" s="120"/>
      <c r="LB1343" s="120"/>
      <c r="LC1343" s="120"/>
      <c r="LD1343" s="120"/>
      <c r="LE1343" s="120"/>
      <c r="LF1343" s="120"/>
      <c r="LG1343" s="120"/>
      <c r="LH1343" s="120"/>
      <c r="LI1343" s="120"/>
      <c r="LJ1343" s="120"/>
      <c r="LK1343" s="120"/>
      <c r="LL1343" s="120"/>
      <c r="LM1343" s="120"/>
      <c r="LN1343" s="120"/>
      <c r="LO1343" s="120"/>
      <c r="LP1343" s="120"/>
      <c r="LQ1343" s="120"/>
      <c r="LR1343" s="120"/>
      <c r="LS1343" s="120"/>
      <c r="LT1343" s="120"/>
      <c r="LU1343" s="120"/>
      <c r="LV1343" s="120"/>
      <c r="LW1343" s="120"/>
      <c r="LX1343" s="120"/>
      <c r="LY1343" s="120"/>
      <c r="LZ1343" s="120"/>
      <c r="MA1343" s="120"/>
      <c r="MB1343" s="120"/>
      <c r="MC1343" s="120"/>
      <c r="MD1343" s="120"/>
      <c r="ME1343" s="120"/>
      <c r="MF1343" s="120"/>
      <c r="MG1343" s="120"/>
      <c r="MH1343" s="120"/>
      <c r="MI1343" s="120"/>
      <c r="MJ1343" s="120"/>
      <c r="MK1343" s="120"/>
      <c r="ML1343" s="120"/>
      <c r="MM1343" s="120"/>
      <c r="MN1343" s="120"/>
      <c r="MO1343" s="120"/>
      <c r="MP1343" s="120"/>
      <c r="MQ1343" s="120"/>
      <c r="MR1343" s="120"/>
      <c r="MS1343" s="120"/>
      <c r="MT1343" s="120"/>
      <c r="MU1343" s="120"/>
      <c r="MV1343" s="120"/>
      <c r="MW1343" s="120"/>
      <c r="MX1343" s="120"/>
      <c r="MY1343" s="120"/>
      <c r="MZ1343" s="120"/>
      <c r="NA1343" s="120"/>
      <c r="NB1343" s="120"/>
      <c r="NC1343" s="120"/>
      <c r="ND1343" s="120"/>
      <c r="NE1343" s="120"/>
      <c r="NF1343" s="120"/>
      <c r="NG1343" s="120"/>
      <c r="NH1343" s="120"/>
      <c r="NI1343" s="120"/>
      <c r="NJ1343" s="120"/>
      <c r="NK1343" s="120"/>
      <c r="NL1343" s="120"/>
      <c r="NM1343" s="120"/>
      <c r="NN1343" s="120"/>
      <c r="NO1343" s="120"/>
      <c r="NP1343" s="120"/>
      <c r="NQ1343" s="120"/>
      <c r="NR1343" s="120"/>
      <c r="NS1343" s="120"/>
      <c r="NT1343" s="120"/>
      <c r="NU1343" s="120"/>
      <c r="NV1343" s="120"/>
      <c r="NW1343" s="120"/>
      <c r="NX1343" s="120"/>
      <c r="NY1343" s="120"/>
      <c r="NZ1343" s="120"/>
      <c r="OA1343" s="120"/>
      <c r="OB1343" s="120"/>
      <c r="OC1343" s="120"/>
      <c r="OD1343" s="120"/>
      <c r="OE1343" s="120"/>
      <c r="OF1343" s="120"/>
      <c r="OG1343" s="120"/>
      <c r="OH1343" s="120"/>
      <c r="OI1343" s="120"/>
      <c r="OJ1343" s="120"/>
      <c r="OK1343" s="120"/>
      <c r="OL1343" s="120"/>
      <c r="OM1343" s="120"/>
      <c r="ON1343" s="120"/>
      <c r="OO1343" s="120"/>
      <c r="OP1343" s="120"/>
      <c r="OQ1343" s="120"/>
      <c r="OR1343" s="120"/>
      <c r="OS1343" s="120"/>
      <c r="OT1343" s="120"/>
      <c r="OU1343" s="120"/>
      <c r="OV1343" s="120"/>
      <c r="OW1343" s="120"/>
      <c r="OX1343" s="120"/>
      <c r="OY1343" s="120"/>
      <c r="OZ1343" s="120"/>
      <c r="PA1343" s="120"/>
      <c r="PB1343" s="120"/>
      <c r="PC1343" s="120"/>
      <c r="PD1343" s="120"/>
      <c r="PE1343" s="120"/>
      <c r="PF1343" s="120"/>
      <c r="PG1343" s="120"/>
      <c r="PH1343" s="120"/>
      <c r="PI1343" s="120"/>
      <c r="PJ1343" s="120"/>
      <c r="PK1343" s="120"/>
      <c r="PL1343" s="120"/>
      <c r="PM1343" s="120"/>
      <c r="PN1343" s="120"/>
      <c r="PO1343" s="120"/>
      <c r="PP1343" s="120"/>
      <c r="PQ1343" s="120"/>
      <c r="PR1343" s="120"/>
      <c r="PS1343" s="120"/>
      <c r="PT1343" s="120"/>
      <c r="PU1343" s="120"/>
      <c r="PV1343" s="120"/>
      <c r="PW1343" s="120"/>
      <c r="PX1343" s="120"/>
      <c r="PY1343" s="120"/>
      <c r="PZ1343" s="120"/>
      <c r="QA1343" s="120"/>
      <c r="QB1343" s="120"/>
      <c r="QC1343" s="120"/>
      <c r="QD1343" s="120"/>
      <c r="QE1343" s="120"/>
      <c r="QF1343" s="120"/>
      <c r="QG1343" s="120"/>
      <c r="QH1343" s="120"/>
      <c r="QI1343" s="120"/>
      <c r="QJ1343" s="120"/>
      <c r="QK1343" s="120"/>
      <c r="QL1343" s="120"/>
      <c r="QM1343" s="120"/>
      <c r="QN1343" s="120"/>
      <c r="QO1343" s="120"/>
      <c r="QP1343" s="120"/>
      <c r="QQ1343" s="120"/>
      <c r="QR1343" s="120"/>
      <c r="QS1343" s="120"/>
      <c r="QT1343" s="120"/>
      <c r="QU1343" s="120"/>
      <c r="QV1343" s="120"/>
      <c r="QW1343" s="120"/>
      <c r="QX1343" s="120"/>
      <c r="QY1343" s="120"/>
      <c r="QZ1343" s="120"/>
      <c r="RA1343" s="120"/>
      <c r="RB1343" s="120"/>
      <c r="RC1343" s="120"/>
      <c r="RD1343" s="120"/>
      <c r="RE1343" s="120"/>
      <c r="RF1343" s="120"/>
      <c r="RG1343" s="120"/>
      <c r="RH1343" s="120"/>
      <c r="RI1343" s="120"/>
      <c r="RJ1343" s="120"/>
      <c r="RK1343" s="120"/>
      <c r="RL1343" s="120"/>
      <c r="RM1343" s="120"/>
      <c r="RN1343" s="120"/>
      <c r="RO1343" s="120"/>
      <c r="RP1343" s="120"/>
      <c r="RQ1343" s="120"/>
      <c r="RR1343" s="120"/>
      <c r="RS1343" s="120"/>
      <c r="RT1343" s="120"/>
      <c r="RU1343" s="120"/>
      <c r="RV1343" s="120"/>
      <c r="RW1343" s="120"/>
      <c r="RX1343" s="120"/>
      <c r="RY1343" s="120"/>
      <c r="RZ1343" s="120"/>
      <c r="SA1343" s="120"/>
      <c r="SB1343" s="120"/>
      <c r="SC1343" s="120"/>
      <c r="SD1343" s="120"/>
      <c r="SE1343" s="120"/>
      <c r="SF1343" s="120"/>
      <c r="SG1343" s="120"/>
      <c r="SH1343" s="120"/>
      <c r="SI1343" s="120"/>
      <c r="SJ1343" s="120"/>
      <c r="SK1343" s="120"/>
      <c r="SL1343" s="120"/>
      <c r="SM1343" s="120"/>
      <c r="SN1343" s="120"/>
      <c r="SO1343" s="120"/>
      <c r="SP1343" s="120"/>
      <c r="SQ1343" s="120"/>
      <c r="SR1343" s="120"/>
      <c r="SS1343" s="120"/>
      <c r="ST1343" s="120"/>
      <c r="SU1343" s="120"/>
      <c r="SV1343" s="120"/>
      <c r="SW1343" s="120"/>
      <c r="SX1343" s="120"/>
      <c r="SY1343" s="120"/>
      <c r="SZ1343" s="120"/>
      <c r="TA1343" s="120"/>
      <c r="TB1343" s="120"/>
      <c r="TC1343" s="120"/>
      <c r="TD1343" s="120"/>
      <c r="TE1343" s="120"/>
      <c r="TF1343" s="120"/>
      <c r="TG1343" s="120"/>
      <c r="TH1343" s="120"/>
      <c r="TI1343" s="120"/>
      <c r="TJ1343" s="120"/>
      <c r="TK1343" s="120"/>
      <c r="TL1343" s="120"/>
      <c r="TM1343" s="120"/>
      <c r="TN1343" s="120"/>
      <c r="TO1343" s="120"/>
      <c r="TP1343" s="120"/>
      <c r="TQ1343" s="120"/>
      <c r="TR1343" s="120"/>
      <c r="TS1343" s="120"/>
      <c r="TT1343" s="120"/>
      <c r="TU1343" s="120"/>
      <c r="TV1343" s="120"/>
      <c r="TW1343" s="120"/>
      <c r="TX1343" s="120"/>
      <c r="TY1343" s="120"/>
      <c r="TZ1343" s="120"/>
      <c r="UA1343" s="120"/>
      <c r="UB1343" s="120"/>
      <c r="UC1343" s="120"/>
      <c r="UD1343" s="120"/>
      <c r="UE1343" s="120"/>
      <c r="UF1343" s="120"/>
      <c r="UG1343" s="120"/>
      <c r="UH1343" s="120"/>
      <c r="UI1343" s="120"/>
      <c r="UJ1343" s="120"/>
      <c r="UK1343" s="120"/>
      <c r="UL1343" s="120"/>
      <c r="UM1343" s="120"/>
      <c r="UN1343" s="120"/>
      <c r="UO1343" s="120"/>
      <c r="UP1343" s="120"/>
      <c r="UQ1343" s="120"/>
      <c r="UR1343" s="120"/>
      <c r="US1343" s="120"/>
      <c r="UT1343" s="120"/>
      <c r="UU1343" s="120"/>
      <c r="UV1343" s="120"/>
      <c r="UW1343" s="120"/>
      <c r="UX1343" s="120"/>
      <c r="UY1343" s="120"/>
      <c r="UZ1343" s="120"/>
      <c r="VA1343" s="120"/>
      <c r="VB1343" s="120"/>
      <c r="VC1343" s="120"/>
      <c r="VD1343" s="120"/>
      <c r="VE1343" s="120"/>
      <c r="VF1343" s="120"/>
      <c r="VG1343" s="120"/>
      <c r="VH1343" s="120"/>
      <c r="VI1343" s="120"/>
      <c r="VJ1343" s="120"/>
      <c r="VK1343" s="120"/>
      <c r="VL1343" s="120"/>
      <c r="VM1343" s="120"/>
      <c r="VN1343" s="120"/>
      <c r="VO1343" s="120"/>
      <c r="VP1343" s="120"/>
      <c r="VQ1343" s="120"/>
      <c r="VR1343" s="120"/>
      <c r="VS1343" s="120"/>
      <c r="VT1343" s="120"/>
      <c r="VU1343" s="120"/>
      <c r="VV1343" s="120"/>
      <c r="VW1343" s="120"/>
      <c r="VX1343" s="120"/>
      <c r="VY1343" s="120"/>
      <c r="VZ1343" s="120"/>
      <c r="WA1343" s="120"/>
      <c r="WB1343" s="120"/>
      <c r="WC1343" s="120"/>
      <c r="WD1343" s="120"/>
      <c r="WE1343" s="120"/>
      <c r="WF1343" s="120"/>
      <c r="WG1343" s="120"/>
      <c r="WH1343" s="120"/>
      <c r="WI1343" s="120"/>
      <c r="WJ1343" s="120"/>
      <c r="WK1343" s="120"/>
      <c r="WL1343" s="120"/>
      <c r="WM1343" s="120"/>
      <c r="WN1343" s="120"/>
      <c r="WO1343" s="120"/>
      <c r="WP1343" s="120"/>
      <c r="WQ1343" s="120"/>
      <c r="WR1343" s="120"/>
      <c r="WS1343" s="120"/>
      <c r="WT1343" s="120"/>
      <c r="WU1343" s="120"/>
      <c r="WV1343" s="120"/>
      <c r="WW1343" s="120"/>
      <c r="WX1343" s="120"/>
      <c r="WY1343" s="120"/>
      <c r="WZ1343" s="120"/>
      <c r="XA1343" s="120"/>
      <c r="XB1343" s="120"/>
      <c r="XC1343" s="120"/>
      <c r="XD1343" s="120"/>
      <c r="XE1343" s="120"/>
      <c r="XF1343" s="120"/>
      <c r="XG1343" s="120"/>
      <c r="XH1343" s="120"/>
      <c r="XI1343" s="120"/>
      <c r="XJ1343" s="120"/>
      <c r="XK1343" s="120"/>
      <c r="XL1343" s="120"/>
      <c r="XM1343" s="120"/>
      <c r="XN1343" s="120"/>
      <c r="XO1343" s="120"/>
      <c r="XP1343" s="120"/>
      <c r="XQ1343" s="120"/>
      <c r="XR1343" s="120"/>
      <c r="XS1343" s="120"/>
      <c r="XT1343" s="120"/>
      <c r="XU1343" s="120"/>
      <c r="XV1343" s="120"/>
      <c r="XW1343" s="120"/>
      <c r="XX1343" s="120"/>
      <c r="XY1343" s="120"/>
      <c r="XZ1343" s="120"/>
      <c r="YA1343" s="120"/>
      <c r="YB1343" s="120"/>
      <c r="YC1343" s="120"/>
      <c r="YD1343" s="120"/>
      <c r="YE1343" s="120"/>
      <c r="YF1343" s="120"/>
      <c r="YG1343" s="120"/>
      <c r="YH1343" s="120"/>
      <c r="YI1343" s="120"/>
      <c r="YJ1343" s="120"/>
      <c r="YK1343" s="120"/>
      <c r="YL1343" s="120"/>
      <c r="YM1343" s="120"/>
      <c r="YN1343" s="120"/>
      <c r="YO1343" s="120"/>
      <c r="YP1343" s="120"/>
      <c r="YQ1343" s="120"/>
      <c r="YR1343" s="120"/>
      <c r="YS1343" s="120"/>
      <c r="YT1343" s="120"/>
      <c r="YU1343" s="120"/>
      <c r="YV1343" s="120"/>
      <c r="YW1343" s="120"/>
      <c r="YX1343" s="120"/>
      <c r="YY1343" s="120"/>
      <c r="YZ1343" s="120"/>
      <c r="ZA1343" s="120"/>
      <c r="ZB1343" s="120"/>
      <c r="ZC1343" s="120"/>
      <c r="ZD1343" s="120"/>
      <c r="ZE1343" s="120"/>
      <c r="ZF1343" s="120"/>
      <c r="ZG1343" s="120"/>
      <c r="ZH1343" s="120"/>
      <c r="ZI1343" s="120"/>
      <c r="ZJ1343" s="120"/>
      <c r="ZK1343" s="120"/>
      <c r="ZL1343" s="120"/>
      <c r="ZM1343" s="120"/>
      <c r="ZN1343" s="120"/>
      <c r="ZO1343" s="120"/>
      <c r="ZP1343" s="120"/>
      <c r="ZQ1343" s="120"/>
      <c r="ZR1343" s="120"/>
      <c r="ZS1343" s="120"/>
      <c r="ZT1343" s="120"/>
      <c r="ZU1343" s="120"/>
      <c r="ZV1343" s="120"/>
      <c r="ZW1343" s="120"/>
      <c r="ZX1343" s="120"/>
      <c r="ZY1343" s="120"/>
      <c r="ZZ1343" s="120"/>
      <c r="AAA1343" s="120"/>
      <c r="AAB1343" s="120"/>
      <c r="AAC1343" s="120"/>
      <c r="AAD1343" s="120"/>
      <c r="AAE1343" s="120"/>
      <c r="AAF1343" s="120"/>
      <c r="AAG1343" s="120"/>
      <c r="AAH1343" s="120"/>
      <c r="AAI1343" s="120"/>
      <c r="AAJ1343" s="120"/>
      <c r="AAK1343" s="120"/>
      <c r="AAL1343" s="120"/>
      <c r="AAM1343" s="120"/>
      <c r="AAN1343" s="120"/>
      <c r="AAO1343" s="120"/>
      <c r="AAP1343" s="120"/>
      <c r="AAQ1343" s="120"/>
      <c r="AAR1343" s="120"/>
      <c r="AAS1343" s="120"/>
      <c r="AAT1343" s="120"/>
      <c r="AAU1343" s="120"/>
      <c r="AAV1343" s="120"/>
      <c r="AAW1343" s="120"/>
      <c r="AAX1343" s="120"/>
      <c r="AAY1343" s="120"/>
      <c r="AAZ1343" s="120"/>
      <c r="ABA1343" s="120"/>
      <c r="ABB1343" s="120"/>
      <c r="ABC1343" s="120"/>
      <c r="ABD1343" s="120"/>
      <c r="ABE1343" s="120"/>
      <c r="ABF1343" s="120"/>
      <c r="ABG1343" s="120"/>
      <c r="ABH1343" s="120"/>
      <c r="ABI1343" s="120"/>
      <c r="ABJ1343" s="120"/>
      <c r="ABK1343" s="120"/>
      <c r="ABL1343" s="120"/>
      <c r="ABM1343" s="120"/>
      <c r="ABN1343" s="120"/>
      <c r="ABO1343" s="120"/>
      <c r="ABP1343" s="120"/>
      <c r="ABQ1343" s="120"/>
      <c r="ABR1343" s="120"/>
      <c r="ABS1343" s="120"/>
      <c r="ABT1343" s="120"/>
      <c r="ABU1343" s="120"/>
      <c r="ABV1343" s="120"/>
      <c r="ABW1343" s="120"/>
      <c r="ABX1343" s="120"/>
      <c r="ABY1343" s="120"/>
      <c r="ABZ1343" s="120"/>
      <c r="ACA1343" s="120"/>
      <c r="ACB1343" s="120"/>
      <c r="ACC1343" s="120"/>
      <c r="ACD1343" s="120"/>
      <c r="ACE1343" s="120"/>
      <c r="ACF1343" s="120"/>
      <c r="ACG1343" s="120"/>
      <c r="ACH1343" s="120"/>
      <c r="ACI1343" s="120"/>
      <c r="ACJ1343" s="120"/>
      <c r="ACK1343" s="120"/>
      <c r="ACL1343" s="120"/>
      <c r="ACM1343" s="120"/>
      <c r="ACN1343" s="120"/>
      <c r="ACO1343" s="120"/>
      <c r="ACP1343" s="120"/>
      <c r="ACQ1343" s="120"/>
      <c r="ACR1343" s="120"/>
      <c r="ACS1343" s="120"/>
      <c r="ACT1343" s="120"/>
      <c r="ACU1343" s="120"/>
      <c r="ACV1343" s="120"/>
      <c r="ACW1343" s="120"/>
      <c r="ACX1343" s="120"/>
      <c r="ACY1343" s="120"/>
      <c r="ACZ1343" s="120"/>
      <c r="ADA1343" s="120"/>
      <c r="ADB1343" s="120"/>
      <c r="ADC1343" s="120"/>
      <c r="ADD1343" s="120"/>
      <c r="ADE1343" s="120"/>
      <c r="ADF1343" s="120"/>
      <c r="ADG1343" s="120"/>
      <c r="ADH1343" s="120"/>
      <c r="ADI1343" s="120"/>
      <c r="ADJ1343" s="120"/>
      <c r="ADK1343" s="120"/>
      <c r="ADL1343" s="120"/>
      <c r="ADM1343" s="120"/>
      <c r="ADN1343" s="120"/>
      <c r="ADO1343" s="120"/>
      <c r="ADP1343" s="120"/>
      <c r="ADQ1343" s="120"/>
      <c r="ADR1343" s="120"/>
      <c r="ADS1343" s="120"/>
      <c r="ADT1343" s="120"/>
      <c r="ADU1343" s="120"/>
      <c r="ADV1343" s="120"/>
      <c r="ADW1343" s="120"/>
      <c r="ADX1343" s="120"/>
      <c r="ADY1343" s="120"/>
      <c r="ADZ1343" s="120"/>
      <c r="AEA1343" s="120"/>
      <c r="AEB1343" s="120"/>
      <c r="AEC1343" s="120"/>
      <c r="AED1343" s="120"/>
      <c r="AEE1343" s="120"/>
      <c r="AEF1343" s="120"/>
      <c r="AEG1343" s="120"/>
      <c r="AEH1343" s="120"/>
      <c r="AEI1343" s="120"/>
      <c r="AEJ1343" s="120"/>
      <c r="AEK1343" s="120"/>
      <c r="AEL1343" s="120"/>
      <c r="AEM1343" s="120"/>
      <c r="AEN1343" s="120"/>
      <c r="AEO1343" s="120"/>
      <c r="AEP1343" s="120"/>
      <c r="AEQ1343" s="120"/>
      <c r="AER1343" s="120"/>
      <c r="AES1343" s="120"/>
      <c r="AET1343" s="120"/>
      <c r="AEU1343" s="120"/>
      <c r="AEV1343" s="120"/>
      <c r="AEW1343" s="120"/>
      <c r="AEX1343" s="120"/>
      <c r="AEY1343" s="120"/>
      <c r="AEZ1343" s="120"/>
      <c r="AFA1343" s="120"/>
      <c r="AFB1343" s="120"/>
      <c r="AFC1343" s="120"/>
      <c r="AFD1343" s="120"/>
      <c r="AFE1343" s="120"/>
      <c r="AFF1343" s="120"/>
      <c r="AFG1343" s="120"/>
      <c r="AFH1343" s="120"/>
      <c r="AFI1343" s="120"/>
      <c r="AFJ1343" s="120"/>
      <c r="AFK1343" s="120"/>
      <c r="AFL1343" s="120"/>
      <c r="AFM1343" s="120"/>
      <c r="AFN1343" s="120"/>
      <c r="AFO1343" s="120"/>
      <c r="AFP1343" s="120"/>
      <c r="AFQ1343" s="120"/>
      <c r="AFR1343" s="120"/>
      <c r="AFS1343" s="120"/>
      <c r="AFT1343" s="120"/>
      <c r="AFU1343" s="120"/>
      <c r="AFV1343" s="120"/>
      <c r="AFW1343" s="120"/>
      <c r="AFX1343" s="120"/>
      <c r="AFY1343" s="120"/>
      <c r="AFZ1343" s="120"/>
      <c r="AGA1343" s="120"/>
      <c r="AGB1343" s="120"/>
      <c r="AGC1343" s="120"/>
      <c r="AGD1343" s="120"/>
      <c r="AGE1343" s="120"/>
      <c r="AGF1343" s="120"/>
      <c r="AGG1343" s="120"/>
      <c r="AGH1343" s="120"/>
      <c r="AGI1343" s="120"/>
      <c r="AGJ1343" s="120"/>
      <c r="AGK1343" s="120"/>
      <c r="AGL1343" s="120"/>
      <c r="AGM1343" s="120"/>
      <c r="AGN1343" s="120"/>
      <c r="AGO1343" s="120"/>
      <c r="AGP1343" s="120"/>
      <c r="AGQ1343" s="120"/>
      <c r="AGR1343" s="120"/>
      <c r="AGS1343" s="120"/>
      <c r="AGT1343" s="120"/>
      <c r="AGU1343" s="120"/>
      <c r="AGV1343" s="120"/>
      <c r="AGW1343" s="120"/>
      <c r="AGX1343" s="120"/>
      <c r="AGY1343" s="120"/>
      <c r="AGZ1343" s="120"/>
      <c r="AHA1343" s="120"/>
      <c r="AHB1343" s="120"/>
      <c r="AHC1343" s="120"/>
      <c r="AHD1343" s="120"/>
      <c r="AHE1343" s="120"/>
      <c r="AHF1343" s="120"/>
      <c r="AHG1343" s="120"/>
      <c r="AHH1343" s="120"/>
      <c r="AHI1343" s="120"/>
      <c r="AHJ1343" s="120"/>
      <c r="AHK1343" s="120"/>
      <c r="AHL1343" s="120"/>
      <c r="AHM1343" s="120"/>
      <c r="AHN1343" s="120"/>
      <c r="AHO1343" s="120"/>
      <c r="AHP1343" s="120"/>
      <c r="AHQ1343" s="120"/>
      <c r="AHR1343" s="120"/>
      <c r="AHS1343" s="120"/>
      <c r="AHT1343" s="120"/>
      <c r="AHU1343" s="120"/>
      <c r="AHV1343" s="120"/>
      <c r="AHW1343" s="120"/>
      <c r="AHX1343" s="120"/>
      <c r="AHY1343" s="120"/>
      <c r="AHZ1343" s="120"/>
      <c r="AIA1343" s="120"/>
      <c r="AIB1343" s="120"/>
      <c r="AIC1343" s="120"/>
      <c r="AID1343" s="120"/>
      <c r="AIE1343" s="120"/>
      <c r="AIF1343" s="120"/>
      <c r="AIG1343" s="120"/>
      <c r="AIH1343" s="120"/>
      <c r="AII1343" s="120"/>
      <c r="AIJ1343" s="120"/>
      <c r="AIK1343" s="120"/>
      <c r="AIL1343" s="120"/>
      <c r="AIM1343" s="120"/>
      <c r="AIN1343" s="120"/>
      <c r="AIO1343" s="120"/>
      <c r="AIP1343" s="120"/>
      <c r="AIQ1343" s="120"/>
      <c r="AIR1343" s="120"/>
      <c r="AIS1343" s="120"/>
      <c r="AIT1343" s="120"/>
      <c r="AIU1343" s="120"/>
      <c r="AIV1343" s="120"/>
      <c r="AIW1343" s="120"/>
      <c r="AIX1343" s="120"/>
      <c r="AIY1343" s="120"/>
      <c r="AIZ1343" s="120"/>
      <c r="AJA1343" s="120"/>
      <c r="AJB1343" s="120"/>
      <c r="AJC1343" s="120"/>
      <c r="AJD1343" s="120"/>
      <c r="AJE1343" s="120"/>
      <c r="AJF1343" s="120"/>
      <c r="AJG1343" s="120"/>
      <c r="AJH1343" s="120"/>
      <c r="AJI1343" s="120"/>
      <c r="AJJ1343" s="120"/>
      <c r="AJK1343" s="120"/>
      <c r="AJL1343" s="120"/>
      <c r="AJM1343" s="120"/>
      <c r="AJN1343" s="120"/>
      <c r="AJO1343" s="120"/>
      <c r="AJP1343" s="120"/>
      <c r="AJQ1343" s="120"/>
      <c r="AJR1343" s="120"/>
      <c r="AJS1343" s="120"/>
      <c r="AJT1343" s="120"/>
      <c r="AJU1343" s="120"/>
      <c r="AJV1343" s="120"/>
      <c r="AJW1343" s="120"/>
      <c r="AJX1343" s="120"/>
      <c r="AJY1343" s="120"/>
      <c r="AJZ1343" s="120"/>
      <c r="AKA1343" s="120"/>
      <c r="AKB1343" s="120"/>
      <c r="AKC1343" s="120"/>
      <c r="AKD1343" s="120"/>
      <c r="AKE1343" s="120"/>
      <c r="AKF1343" s="120"/>
      <c r="AKG1343" s="120"/>
      <c r="AKH1343" s="120"/>
      <c r="AKI1343" s="120"/>
      <c r="AKJ1343" s="120"/>
      <c r="AKK1343" s="120"/>
      <c r="AKL1343" s="120"/>
      <c r="AKM1343" s="120"/>
      <c r="AKN1343" s="120"/>
      <c r="AKO1343" s="120"/>
      <c r="AKP1343" s="120"/>
      <c r="AKQ1343" s="120"/>
      <c r="AKR1343" s="120"/>
      <c r="AKS1343" s="120"/>
      <c r="AKT1343" s="120"/>
      <c r="AKU1343" s="120"/>
      <c r="AKV1343" s="120"/>
      <c r="AKW1343" s="120"/>
      <c r="AKX1343" s="120"/>
      <c r="AKY1343" s="120"/>
      <c r="AKZ1343" s="120"/>
      <c r="ALA1343" s="120"/>
      <c r="ALB1343" s="120"/>
      <c r="ALC1343" s="120"/>
      <c r="ALD1343" s="120"/>
      <c r="ALE1343" s="120"/>
      <c r="ALF1343" s="120"/>
      <c r="ALG1343" s="120"/>
      <c r="ALH1343" s="120"/>
      <c r="ALI1343" s="120"/>
      <c r="ALJ1343" s="120"/>
      <c r="ALK1343" s="120"/>
      <c r="ALL1343" s="120"/>
      <c r="ALM1343" s="120"/>
      <c r="ALN1343" s="120"/>
      <c r="ALO1343" s="120"/>
      <c r="ALP1343" s="120"/>
      <c r="ALQ1343" s="120"/>
      <c r="ALR1343" s="120"/>
      <c r="ALS1343" s="120"/>
      <c r="ALT1343" s="120"/>
      <c r="ALU1343" s="120"/>
      <c r="ALV1343" s="120"/>
      <c r="ALW1343" s="120"/>
      <c r="ALX1343" s="120"/>
      <c r="ALY1343" s="120"/>
      <c r="ALZ1343" s="120"/>
      <c r="AMA1343" s="120"/>
      <c r="AMB1343" s="120"/>
      <c r="AMC1343" s="120"/>
      <c r="AMD1343" s="120"/>
      <c r="AME1343" s="120"/>
      <c r="AMF1343" s="120"/>
      <c r="AMG1343" s="120"/>
      <c r="AMH1343" s="120"/>
      <c r="AMI1343" s="120"/>
      <c r="AMJ1343" s="120"/>
      <c r="AMK1343" s="120"/>
      <c r="AML1343" s="120"/>
      <c r="AMM1343" s="120"/>
      <c r="AMN1343" s="120"/>
      <c r="AMO1343" s="120"/>
      <c r="AMP1343" s="120"/>
      <c r="AMQ1343" s="120"/>
      <c r="AMR1343" s="120"/>
      <c r="AMS1343" s="120"/>
      <c r="AMT1343" s="120"/>
      <c r="AMU1343" s="120"/>
      <c r="AMV1343" s="120"/>
      <c r="AMW1343" s="120"/>
      <c r="AMX1343" s="120"/>
      <c r="AMY1343" s="120"/>
      <c r="AMZ1343" s="120"/>
      <c r="ANA1343" s="120"/>
      <c r="ANB1343" s="120"/>
      <c r="ANC1343" s="120"/>
      <c r="AND1343" s="120"/>
      <c r="ANE1343" s="120"/>
      <c r="ANF1343" s="120"/>
      <c r="ANG1343" s="120"/>
      <c r="ANH1343" s="120"/>
      <c r="ANI1343" s="120"/>
      <c r="ANJ1343" s="120"/>
      <c r="ANK1343" s="120"/>
      <c r="ANL1343" s="120"/>
      <c r="ANM1343" s="120"/>
      <c r="ANN1343" s="120"/>
      <c r="ANO1343" s="120"/>
      <c r="ANP1343" s="120"/>
      <c r="ANQ1343" s="120"/>
      <c r="ANR1343" s="120"/>
      <c r="ANS1343" s="120"/>
      <c r="ANT1343" s="120"/>
      <c r="ANU1343" s="120"/>
      <c r="ANV1343" s="120"/>
      <c r="ANW1343" s="120"/>
      <c r="ANX1343" s="120"/>
      <c r="ANY1343" s="120"/>
      <c r="ANZ1343" s="120"/>
      <c r="AOA1343" s="120"/>
      <c r="AOB1343" s="120"/>
      <c r="AOC1343" s="120"/>
      <c r="AOD1343" s="120"/>
      <c r="AOE1343" s="120"/>
      <c r="AOF1343" s="120"/>
      <c r="AOG1343" s="120"/>
      <c r="AOH1343" s="120"/>
      <c r="AOI1343" s="120"/>
      <c r="AOJ1343" s="120"/>
      <c r="AOK1343" s="120"/>
      <c r="AOL1343" s="120"/>
      <c r="AOM1343" s="120"/>
      <c r="AON1343" s="120"/>
      <c r="AOO1343" s="120"/>
      <c r="AOP1343" s="120"/>
      <c r="AOQ1343" s="120"/>
      <c r="AOR1343" s="120"/>
      <c r="AOS1343" s="120"/>
      <c r="AOT1343" s="120"/>
      <c r="AOU1343" s="120"/>
      <c r="AOV1343" s="120"/>
      <c r="AOW1343" s="120"/>
      <c r="AOX1343" s="120"/>
      <c r="AOY1343" s="120"/>
      <c r="AOZ1343" s="120"/>
      <c r="APA1343" s="120"/>
      <c r="APB1343" s="120"/>
      <c r="APC1343" s="120"/>
      <c r="APD1343" s="120"/>
      <c r="APE1343" s="120"/>
      <c r="APF1343" s="120"/>
      <c r="APG1343" s="120"/>
      <c r="APH1343" s="120"/>
      <c r="API1343" s="120"/>
      <c r="APJ1343" s="120"/>
      <c r="APK1343" s="120"/>
      <c r="APL1343" s="120"/>
      <c r="APM1343" s="120"/>
      <c r="APN1343" s="120"/>
      <c r="APO1343" s="120"/>
      <c r="APP1343" s="120"/>
      <c r="APQ1343" s="120"/>
      <c r="APR1343" s="120"/>
      <c r="APS1343" s="120"/>
      <c r="APT1343" s="120"/>
      <c r="APU1343" s="120"/>
      <c r="APV1343" s="120"/>
      <c r="APW1343" s="120"/>
      <c r="APX1343" s="120"/>
      <c r="APY1343" s="120"/>
      <c r="APZ1343" s="120"/>
      <c r="AQA1343" s="120"/>
      <c r="AQB1343" s="120"/>
      <c r="AQC1343" s="120"/>
      <c r="AQD1343" s="120"/>
      <c r="AQE1343" s="120"/>
      <c r="AQF1343" s="120"/>
      <c r="AQG1343" s="120"/>
      <c r="AQH1343" s="120"/>
      <c r="AQI1343" s="120"/>
      <c r="AQJ1343" s="120"/>
      <c r="AQK1343" s="120"/>
      <c r="AQL1343" s="120"/>
      <c r="AQM1343" s="120"/>
      <c r="AQN1343" s="120"/>
      <c r="AQO1343" s="120"/>
      <c r="AQP1343" s="120"/>
      <c r="AQQ1343" s="120"/>
      <c r="AQR1343" s="120"/>
      <c r="AQS1343" s="120"/>
      <c r="AQT1343" s="120"/>
      <c r="AQU1343" s="120"/>
      <c r="AQV1343" s="120"/>
      <c r="AQW1343" s="120"/>
      <c r="AQX1343" s="120"/>
      <c r="AQY1343" s="120"/>
      <c r="AQZ1343" s="120"/>
      <c r="ARA1343" s="120"/>
      <c r="ARB1343" s="120"/>
      <c r="ARC1343" s="120"/>
      <c r="ARD1343" s="120"/>
      <c r="ARE1343" s="120"/>
      <c r="ARF1343" s="120"/>
      <c r="ARG1343" s="120"/>
      <c r="ARH1343" s="120"/>
      <c r="ARI1343" s="120"/>
      <c r="ARJ1343" s="120"/>
      <c r="ARK1343" s="120"/>
      <c r="ARL1343" s="120"/>
      <c r="ARM1343" s="120"/>
      <c r="ARN1343" s="120"/>
      <c r="ARO1343" s="120"/>
      <c r="ARP1343" s="120"/>
      <c r="ARQ1343" s="120"/>
      <c r="ARR1343" s="120"/>
      <c r="ARS1343" s="120"/>
      <c r="ART1343" s="120"/>
      <c r="ARU1343" s="120"/>
      <c r="ARV1343" s="120"/>
      <c r="ARW1343" s="120"/>
      <c r="ARX1343" s="120"/>
      <c r="ARY1343" s="120"/>
      <c r="ARZ1343" s="120"/>
      <c r="ASA1343" s="120"/>
      <c r="ASB1343" s="120"/>
      <c r="ASC1343" s="120"/>
      <c r="ASD1343" s="120"/>
      <c r="ASE1343" s="120"/>
      <c r="ASF1343" s="120"/>
      <c r="ASG1343" s="120"/>
      <c r="ASH1343" s="120"/>
      <c r="ASI1343" s="120"/>
      <c r="ASJ1343" s="120"/>
      <c r="ASK1343" s="120"/>
      <c r="ASL1343" s="120"/>
      <c r="ASM1343" s="120"/>
      <c r="ASN1343" s="120"/>
      <c r="ASO1343" s="120"/>
      <c r="ASP1343" s="120"/>
      <c r="ASQ1343" s="120"/>
      <c r="ASR1343" s="120"/>
      <c r="ASS1343" s="120"/>
      <c r="AST1343" s="120"/>
      <c r="ASU1343" s="120"/>
      <c r="ASV1343" s="120"/>
      <c r="ASW1343" s="120"/>
      <c r="ASX1343" s="120"/>
      <c r="ASY1343" s="120"/>
      <c r="ASZ1343" s="120"/>
      <c r="ATA1343" s="120"/>
      <c r="ATB1343" s="120"/>
      <c r="ATC1343" s="120"/>
      <c r="ATD1343" s="120"/>
      <c r="ATE1343" s="120"/>
      <c r="ATF1343" s="120"/>
      <c r="ATG1343" s="120"/>
      <c r="ATH1343" s="120"/>
      <c r="ATI1343" s="120"/>
      <c r="ATJ1343" s="120"/>
      <c r="ATK1343" s="120"/>
      <c r="ATL1343" s="120"/>
      <c r="ATM1343" s="120"/>
      <c r="ATN1343" s="120"/>
      <c r="ATO1343" s="120"/>
    </row>
    <row r="1344" spans="1:1211" s="20" customFormat="1" ht="14.1" customHeight="1">
      <c r="A1344" s="112"/>
      <c r="B1344" s="945" t="s">
        <v>1796</v>
      </c>
      <c r="C1344" s="184" t="s">
        <v>3745</v>
      </c>
      <c r="D1344" s="120"/>
      <c r="E1344" s="701"/>
      <c r="F1344" s="703"/>
      <c r="G1344" s="702"/>
      <c r="H1344" s="702"/>
      <c r="I1344" s="702"/>
      <c r="J1344" s="700"/>
      <c r="K1344" s="112"/>
      <c r="L1344" s="363"/>
      <c r="M1344" s="112"/>
      <c r="N1344" s="362"/>
      <c r="O1344" s="573"/>
      <c r="P1344" s="120"/>
      <c r="Q1344" s="120"/>
      <c r="R1344" s="120"/>
      <c r="S1344" s="120"/>
      <c r="T1344" s="120"/>
      <c r="U1344" s="120"/>
      <c r="V1344" s="120"/>
      <c r="W1344" s="120"/>
      <c r="X1344" s="120"/>
      <c r="Y1344" s="120"/>
      <c r="Z1344" s="120"/>
      <c r="AA1344" s="120"/>
      <c r="AB1344" s="120"/>
      <c r="AC1344" s="120"/>
      <c r="AD1344" s="120"/>
      <c r="AE1344" s="120"/>
      <c r="AF1344" s="120"/>
      <c r="AG1344" s="120"/>
      <c r="AH1344" s="120"/>
      <c r="AI1344" s="120"/>
      <c r="AJ1344" s="120"/>
      <c r="AK1344" s="120"/>
      <c r="AL1344" s="120"/>
      <c r="AM1344" s="120"/>
      <c r="AN1344" s="120"/>
      <c r="AO1344" s="120"/>
      <c r="AP1344" s="120"/>
      <c r="AQ1344" s="120"/>
      <c r="AR1344" s="120"/>
      <c r="AS1344" s="120"/>
      <c r="AT1344" s="120"/>
      <c r="AU1344" s="120"/>
      <c r="AV1344" s="120"/>
      <c r="AW1344" s="120"/>
      <c r="AX1344" s="120"/>
      <c r="AY1344" s="120"/>
      <c r="AZ1344" s="120"/>
      <c r="BA1344" s="120"/>
      <c r="BB1344" s="120"/>
      <c r="BC1344" s="120"/>
      <c r="BD1344" s="120"/>
      <c r="BE1344" s="120"/>
      <c r="BF1344" s="120"/>
      <c r="BG1344" s="120"/>
      <c r="BH1344" s="120"/>
      <c r="BI1344" s="120"/>
      <c r="BJ1344" s="120"/>
      <c r="BK1344" s="120"/>
      <c r="BL1344" s="120"/>
      <c r="BM1344" s="120"/>
      <c r="BN1344" s="120"/>
      <c r="BO1344" s="120"/>
      <c r="BP1344" s="120"/>
      <c r="BQ1344" s="120"/>
      <c r="BR1344" s="120"/>
      <c r="BS1344" s="120"/>
      <c r="BT1344" s="120"/>
      <c r="BU1344" s="120"/>
      <c r="BV1344" s="120"/>
      <c r="BW1344" s="120"/>
      <c r="BX1344" s="120"/>
      <c r="BY1344" s="120"/>
      <c r="BZ1344" s="120"/>
      <c r="CA1344" s="120"/>
      <c r="CB1344" s="120"/>
      <c r="CC1344" s="120"/>
      <c r="CD1344" s="120"/>
      <c r="CE1344" s="120"/>
      <c r="CF1344" s="120"/>
      <c r="CG1344" s="120"/>
      <c r="CH1344" s="120"/>
      <c r="CI1344" s="120"/>
      <c r="CJ1344" s="120"/>
      <c r="CK1344" s="120"/>
      <c r="CL1344" s="120"/>
      <c r="CM1344" s="120"/>
      <c r="CN1344" s="120"/>
      <c r="CO1344" s="120"/>
      <c r="CP1344" s="120"/>
      <c r="CQ1344" s="120"/>
      <c r="CR1344" s="120"/>
      <c r="CS1344" s="120"/>
      <c r="CT1344" s="120"/>
      <c r="CU1344" s="120"/>
      <c r="CV1344" s="120"/>
      <c r="CW1344" s="120"/>
      <c r="CX1344" s="120"/>
      <c r="CY1344" s="120"/>
      <c r="CZ1344" s="120"/>
      <c r="DA1344" s="120"/>
      <c r="DB1344" s="120"/>
      <c r="DC1344" s="120"/>
      <c r="DD1344" s="120"/>
      <c r="DE1344" s="120"/>
      <c r="DF1344" s="120"/>
      <c r="DG1344" s="120"/>
      <c r="DH1344" s="120"/>
      <c r="DI1344" s="120"/>
      <c r="DJ1344" s="120"/>
      <c r="DK1344" s="120"/>
      <c r="DL1344" s="120"/>
      <c r="DM1344" s="120"/>
      <c r="DN1344" s="120"/>
      <c r="DO1344" s="120"/>
      <c r="DP1344" s="120"/>
      <c r="DQ1344" s="120"/>
      <c r="DR1344" s="120"/>
      <c r="DS1344" s="120"/>
      <c r="DT1344" s="120"/>
      <c r="DU1344" s="120"/>
      <c r="DV1344" s="120"/>
      <c r="DW1344" s="120"/>
      <c r="DX1344" s="120"/>
      <c r="DY1344" s="120"/>
      <c r="DZ1344" s="120"/>
      <c r="EA1344" s="120"/>
      <c r="EB1344" s="120"/>
      <c r="EC1344" s="120"/>
      <c r="ED1344" s="120"/>
      <c r="EE1344" s="120"/>
      <c r="EF1344" s="120"/>
      <c r="EG1344" s="120"/>
      <c r="EH1344" s="120"/>
      <c r="EI1344" s="120"/>
      <c r="EJ1344" s="120"/>
      <c r="EK1344" s="120"/>
      <c r="EL1344" s="120"/>
      <c r="EM1344" s="120"/>
      <c r="EN1344" s="120"/>
      <c r="EO1344" s="120"/>
      <c r="EP1344" s="120"/>
      <c r="EQ1344" s="120"/>
      <c r="ER1344" s="120"/>
      <c r="ES1344" s="120"/>
      <c r="ET1344" s="120"/>
      <c r="EU1344" s="120"/>
      <c r="EV1344" s="120"/>
      <c r="EW1344" s="120"/>
      <c r="EX1344" s="120"/>
      <c r="EY1344" s="120"/>
      <c r="EZ1344" s="120"/>
      <c r="FA1344" s="120"/>
      <c r="FB1344" s="120"/>
      <c r="FC1344" s="120"/>
      <c r="FD1344" s="120"/>
      <c r="FE1344" s="120"/>
      <c r="FF1344" s="120"/>
      <c r="FG1344" s="120"/>
      <c r="FH1344" s="120"/>
      <c r="FI1344" s="120"/>
      <c r="FJ1344" s="120"/>
      <c r="FK1344" s="120"/>
      <c r="FL1344" s="120"/>
      <c r="FM1344" s="120"/>
      <c r="FN1344" s="120"/>
      <c r="FO1344" s="120"/>
      <c r="FP1344" s="120"/>
      <c r="FQ1344" s="120"/>
      <c r="FR1344" s="120"/>
      <c r="FS1344" s="120"/>
      <c r="FT1344" s="120"/>
      <c r="FU1344" s="120"/>
      <c r="FV1344" s="120"/>
      <c r="FW1344" s="120"/>
      <c r="FX1344" s="120"/>
      <c r="FY1344" s="120"/>
      <c r="FZ1344" s="120"/>
      <c r="GA1344" s="120"/>
      <c r="GB1344" s="120"/>
      <c r="GC1344" s="120"/>
      <c r="GD1344" s="120"/>
      <c r="GE1344" s="120"/>
      <c r="GF1344" s="120"/>
      <c r="GG1344" s="120"/>
      <c r="GH1344" s="120"/>
      <c r="GI1344" s="120"/>
      <c r="GJ1344" s="120"/>
      <c r="GK1344" s="120"/>
      <c r="GL1344" s="120"/>
      <c r="GM1344" s="120"/>
      <c r="GN1344" s="120"/>
      <c r="GO1344" s="120"/>
      <c r="GP1344" s="120"/>
      <c r="GQ1344" s="120"/>
      <c r="GR1344" s="120"/>
      <c r="GS1344" s="120"/>
      <c r="GT1344" s="120"/>
      <c r="GU1344" s="120"/>
      <c r="GV1344" s="120"/>
      <c r="GW1344" s="120"/>
      <c r="GX1344" s="120"/>
      <c r="GY1344" s="120"/>
      <c r="GZ1344" s="120"/>
      <c r="HA1344" s="120"/>
      <c r="HB1344" s="120"/>
      <c r="HC1344" s="120"/>
      <c r="HD1344" s="120"/>
      <c r="HE1344" s="120"/>
      <c r="HF1344" s="120"/>
      <c r="HG1344" s="120"/>
      <c r="HH1344" s="120"/>
      <c r="HI1344" s="120"/>
      <c r="HJ1344" s="120"/>
      <c r="HK1344" s="120"/>
      <c r="HL1344" s="120"/>
      <c r="HM1344" s="120"/>
      <c r="HN1344" s="120"/>
      <c r="HO1344" s="120"/>
      <c r="HP1344" s="120"/>
      <c r="HQ1344" s="120"/>
      <c r="HR1344" s="120"/>
      <c r="HS1344" s="120"/>
      <c r="HT1344" s="120"/>
      <c r="HU1344" s="120"/>
      <c r="HV1344" s="120"/>
      <c r="HW1344" s="120"/>
      <c r="HX1344" s="120"/>
      <c r="HY1344" s="120"/>
      <c r="HZ1344" s="120"/>
      <c r="IA1344" s="120"/>
      <c r="IB1344" s="120"/>
      <c r="IC1344" s="120"/>
      <c r="ID1344" s="120"/>
      <c r="IE1344" s="120"/>
      <c r="IF1344" s="120"/>
      <c r="IG1344" s="120"/>
      <c r="IH1344" s="120"/>
      <c r="II1344" s="120"/>
      <c r="IJ1344" s="120"/>
      <c r="IK1344" s="120"/>
      <c r="IL1344" s="120"/>
      <c r="IM1344" s="120"/>
      <c r="IN1344" s="120"/>
      <c r="IO1344" s="120"/>
      <c r="IP1344" s="120"/>
      <c r="IQ1344" s="120"/>
      <c r="IR1344" s="120"/>
      <c r="IS1344" s="120"/>
      <c r="IT1344" s="120"/>
      <c r="IU1344" s="120"/>
      <c r="IV1344" s="120"/>
      <c r="IW1344" s="120"/>
      <c r="IX1344" s="120"/>
      <c r="IY1344" s="120"/>
      <c r="IZ1344" s="120"/>
      <c r="JA1344" s="120"/>
      <c r="JB1344" s="120"/>
      <c r="JC1344" s="120"/>
      <c r="JD1344" s="120"/>
      <c r="JE1344" s="120"/>
      <c r="JF1344" s="120"/>
      <c r="JG1344" s="120"/>
      <c r="JH1344" s="120"/>
      <c r="JI1344" s="120"/>
      <c r="JJ1344" s="120"/>
      <c r="JK1344" s="120"/>
      <c r="JL1344" s="120"/>
      <c r="JM1344" s="120"/>
      <c r="JN1344" s="120"/>
      <c r="JO1344" s="120"/>
      <c r="JP1344" s="120"/>
      <c r="JQ1344" s="120"/>
      <c r="JR1344" s="120"/>
      <c r="JS1344" s="120"/>
      <c r="JT1344" s="120"/>
      <c r="JU1344" s="120"/>
      <c r="JV1344" s="120"/>
      <c r="JW1344" s="120"/>
      <c r="JX1344" s="120"/>
      <c r="JY1344" s="120"/>
      <c r="JZ1344" s="120"/>
      <c r="KA1344" s="120"/>
      <c r="KB1344" s="120"/>
      <c r="KC1344" s="120"/>
      <c r="KD1344" s="120"/>
      <c r="KE1344" s="120"/>
      <c r="KF1344" s="120"/>
      <c r="KG1344" s="120"/>
      <c r="KH1344" s="120"/>
      <c r="KI1344" s="120"/>
      <c r="KJ1344" s="120"/>
      <c r="KK1344" s="120"/>
      <c r="KL1344" s="120"/>
      <c r="KM1344" s="120"/>
      <c r="KN1344" s="120"/>
      <c r="KO1344" s="120"/>
      <c r="KP1344" s="120"/>
      <c r="KQ1344" s="120"/>
      <c r="KR1344" s="120"/>
      <c r="KS1344" s="120"/>
      <c r="KT1344" s="120"/>
      <c r="KU1344" s="120"/>
      <c r="KV1344" s="120"/>
      <c r="KW1344" s="120"/>
      <c r="KX1344" s="120"/>
      <c r="KY1344" s="120"/>
      <c r="KZ1344" s="120"/>
      <c r="LA1344" s="120"/>
      <c r="LB1344" s="120"/>
      <c r="LC1344" s="120"/>
      <c r="LD1344" s="120"/>
      <c r="LE1344" s="120"/>
      <c r="LF1344" s="120"/>
      <c r="LG1344" s="120"/>
      <c r="LH1344" s="120"/>
      <c r="LI1344" s="120"/>
      <c r="LJ1344" s="120"/>
      <c r="LK1344" s="120"/>
      <c r="LL1344" s="120"/>
      <c r="LM1344" s="120"/>
      <c r="LN1344" s="120"/>
      <c r="LO1344" s="120"/>
      <c r="LP1344" s="120"/>
      <c r="LQ1344" s="120"/>
      <c r="LR1344" s="120"/>
      <c r="LS1344" s="120"/>
      <c r="LT1344" s="120"/>
      <c r="LU1344" s="120"/>
      <c r="LV1344" s="120"/>
      <c r="LW1344" s="120"/>
      <c r="LX1344" s="120"/>
      <c r="LY1344" s="120"/>
      <c r="LZ1344" s="120"/>
      <c r="MA1344" s="120"/>
      <c r="MB1344" s="120"/>
      <c r="MC1344" s="120"/>
      <c r="MD1344" s="120"/>
      <c r="ME1344" s="120"/>
      <c r="MF1344" s="120"/>
      <c r="MG1344" s="120"/>
      <c r="MH1344" s="120"/>
      <c r="MI1344" s="120"/>
      <c r="MJ1344" s="120"/>
      <c r="MK1344" s="120"/>
      <c r="ML1344" s="120"/>
      <c r="MM1344" s="120"/>
      <c r="MN1344" s="120"/>
      <c r="MO1344" s="120"/>
      <c r="MP1344" s="120"/>
      <c r="MQ1344" s="120"/>
      <c r="MR1344" s="120"/>
      <c r="MS1344" s="120"/>
      <c r="MT1344" s="120"/>
      <c r="MU1344" s="120"/>
      <c r="MV1344" s="120"/>
      <c r="MW1344" s="120"/>
      <c r="MX1344" s="120"/>
      <c r="MY1344" s="120"/>
      <c r="MZ1344" s="120"/>
      <c r="NA1344" s="120"/>
      <c r="NB1344" s="120"/>
      <c r="NC1344" s="120"/>
      <c r="ND1344" s="120"/>
      <c r="NE1344" s="120"/>
      <c r="NF1344" s="120"/>
      <c r="NG1344" s="120"/>
      <c r="NH1344" s="120"/>
      <c r="NI1344" s="120"/>
      <c r="NJ1344" s="120"/>
      <c r="NK1344" s="120"/>
      <c r="NL1344" s="120"/>
      <c r="NM1344" s="120"/>
      <c r="NN1344" s="120"/>
      <c r="NO1344" s="120"/>
      <c r="NP1344" s="120"/>
      <c r="NQ1344" s="120"/>
      <c r="NR1344" s="120"/>
      <c r="NS1344" s="120"/>
      <c r="NT1344" s="120"/>
      <c r="NU1344" s="120"/>
      <c r="NV1344" s="120"/>
      <c r="NW1344" s="120"/>
      <c r="NX1344" s="120"/>
      <c r="NY1344" s="120"/>
      <c r="NZ1344" s="120"/>
      <c r="OA1344" s="120"/>
      <c r="OB1344" s="120"/>
      <c r="OC1344" s="120"/>
      <c r="OD1344" s="120"/>
      <c r="OE1344" s="120"/>
      <c r="OF1344" s="120"/>
      <c r="OG1344" s="120"/>
      <c r="OH1344" s="120"/>
      <c r="OI1344" s="120"/>
      <c r="OJ1344" s="120"/>
      <c r="OK1344" s="120"/>
      <c r="OL1344" s="120"/>
      <c r="OM1344" s="120"/>
      <c r="ON1344" s="120"/>
      <c r="OO1344" s="120"/>
      <c r="OP1344" s="120"/>
      <c r="OQ1344" s="120"/>
      <c r="OR1344" s="120"/>
      <c r="OS1344" s="120"/>
      <c r="OT1344" s="120"/>
      <c r="OU1344" s="120"/>
      <c r="OV1344" s="120"/>
      <c r="OW1344" s="120"/>
      <c r="OX1344" s="120"/>
      <c r="OY1344" s="120"/>
      <c r="OZ1344" s="120"/>
      <c r="PA1344" s="120"/>
      <c r="PB1344" s="120"/>
      <c r="PC1344" s="120"/>
      <c r="PD1344" s="120"/>
      <c r="PE1344" s="120"/>
      <c r="PF1344" s="120"/>
      <c r="PG1344" s="120"/>
      <c r="PH1344" s="120"/>
      <c r="PI1344" s="120"/>
      <c r="PJ1344" s="120"/>
      <c r="PK1344" s="120"/>
      <c r="PL1344" s="120"/>
      <c r="PM1344" s="120"/>
      <c r="PN1344" s="120"/>
      <c r="PO1344" s="120"/>
      <c r="PP1344" s="120"/>
      <c r="PQ1344" s="120"/>
      <c r="PR1344" s="120"/>
      <c r="PS1344" s="120"/>
      <c r="PT1344" s="120"/>
      <c r="PU1344" s="120"/>
      <c r="PV1344" s="120"/>
      <c r="PW1344" s="120"/>
      <c r="PX1344" s="120"/>
      <c r="PY1344" s="120"/>
      <c r="PZ1344" s="120"/>
      <c r="QA1344" s="120"/>
      <c r="QB1344" s="120"/>
      <c r="QC1344" s="120"/>
      <c r="QD1344" s="120"/>
      <c r="QE1344" s="120"/>
      <c r="QF1344" s="120"/>
      <c r="QG1344" s="120"/>
      <c r="QH1344" s="120"/>
      <c r="QI1344" s="120"/>
      <c r="QJ1344" s="120"/>
      <c r="QK1344" s="120"/>
      <c r="QL1344" s="120"/>
      <c r="QM1344" s="120"/>
      <c r="QN1344" s="120"/>
      <c r="QO1344" s="120"/>
      <c r="QP1344" s="120"/>
      <c r="QQ1344" s="120"/>
      <c r="QR1344" s="120"/>
      <c r="QS1344" s="120"/>
      <c r="QT1344" s="120"/>
      <c r="QU1344" s="120"/>
      <c r="QV1344" s="120"/>
      <c r="QW1344" s="120"/>
      <c r="QX1344" s="120"/>
      <c r="QY1344" s="120"/>
      <c r="QZ1344" s="120"/>
      <c r="RA1344" s="120"/>
      <c r="RB1344" s="120"/>
      <c r="RC1344" s="120"/>
      <c r="RD1344" s="120"/>
      <c r="RE1344" s="120"/>
      <c r="RF1344" s="120"/>
      <c r="RG1344" s="120"/>
      <c r="RH1344" s="120"/>
      <c r="RI1344" s="120"/>
      <c r="RJ1344" s="120"/>
      <c r="RK1344" s="120"/>
      <c r="RL1344" s="120"/>
      <c r="RM1344" s="120"/>
      <c r="RN1344" s="120"/>
      <c r="RO1344" s="120"/>
      <c r="RP1344" s="120"/>
      <c r="RQ1344" s="120"/>
      <c r="RR1344" s="120"/>
      <c r="RS1344" s="120"/>
      <c r="RT1344" s="120"/>
      <c r="RU1344" s="120"/>
      <c r="RV1344" s="120"/>
      <c r="RW1344" s="120"/>
      <c r="RX1344" s="120"/>
      <c r="RY1344" s="120"/>
      <c r="RZ1344" s="120"/>
      <c r="SA1344" s="120"/>
      <c r="SB1344" s="120"/>
      <c r="SC1344" s="120"/>
      <c r="SD1344" s="120"/>
      <c r="SE1344" s="120"/>
      <c r="SF1344" s="120"/>
      <c r="SG1344" s="120"/>
      <c r="SH1344" s="120"/>
      <c r="SI1344" s="120"/>
      <c r="SJ1344" s="120"/>
      <c r="SK1344" s="120"/>
      <c r="SL1344" s="120"/>
      <c r="SM1344" s="120"/>
      <c r="SN1344" s="120"/>
      <c r="SO1344" s="120"/>
      <c r="SP1344" s="120"/>
      <c r="SQ1344" s="120"/>
      <c r="SR1344" s="120"/>
      <c r="SS1344" s="120"/>
      <c r="ST1344" s="120"/>
      <c r="SU1344" s="120"/>
      <c r="SV1344" s="120"/>
      <c r="SW1344" s="120"/>
      <c r="SX1344" s="120"/>
      <c r="SY1344" s="120"/>
      <c r="SZ1344" s="120"/>
      <c r="TA1344" s="120"/>
      <c r="TB1344" s="120"/>
      <c r="TC1344" s="120"/>
      <c r="TD1344" s="120"/>
      <c r="TE1344" s="120"/>
      <c r="TF1344" s="120"/>
      <c r="TG1344" s="120"/>
      <c r="TH1344" s="120"/>
      <c r="TI1344" s="120"/>
      <c r="TJ1344" s="120"/>
      <c r="TK1344" s="120"/>
      <c r="TL1344" s="120"/>
      <c r="TM1344" s="120"/>
      <c r="TN1344" s="120"/>
      <c r="TO1344" s="120"/>
      <c r="TP1344" s="120"/>
      <c r="TQ1344" s="120"/>
      <c r="TR1344" s="120"/>
      <c r="TS1344" s="120"/>
      <c r="TT1344" s="120"/>
      <c r="TU1344" s="120"/>
      <c r="TV1344" s="120"/>
      <c r="TW1344" s="120"/>
      <c r="TX1344" s="120"/>
      <c r="TY1344" s="120"/>
      <c r="TZ1344" s="120"/>
      <c r="UA1344" s="120"/>
      <c r="UB1344" s="120"/>
      <c r="UC1344" s="120"/>
      <c r="UD1344" s="120"/>
      <c r="UE1344" s="120"/>
      <c r="UF1344" s="120"/>
      <c r="UG1344" s="120"/>
      <c r="UH1344" s="120"/>
      <c r="UI1344" s="120"/>
      <c r="UJ1344" s="120"/>
      <c r="UK1344" s="120"/>
      <c r="UL1344" s="120"/>
      <c r="UM1344" s="120"/>
      <c r="UN1344" s="120"/>
      <c r="UO1344" s="120"/>
      <c r="UP1344" s="120"/>
      <c r="UQ1344" s="120"/>
      <c r="UR1344" s="120"/>
      <c r="US1344" s="120"/>
      <c r="UT1344" s="120"/>
      <c r="UU1344" s="120"/>
      <c r="UV1344" s="120"/>
      <c r="UW1344" s="120"/>
      <c r="UX1344" s="120"/>
      <c r="UY1344" s="120"/>
      <c r="UZ1344" s="120"/>
      <c r="VA1344" s="120"/>
      <c r="VB1344" s="120"/>
      <c r="VC1344" s="120"/>
      <c r="VD1344" s="120"/>
      <c r="VE1344" s="120"/>
      <c r="VF1344" s="120"/>
      <c r="VG1344" s="120"/>
      <c r="VH1344" s="120"/>
      <c r="VI1344" s="120"/>
      <c r="VJ1344" s="120"/>
      <c r="VK1344" s="120"/>
      <c r="VL1344" s="120"/>
      <c r="VM1344" s="120"/>
      <c r="VN1344" s="120"/>
      <c r="VO1344" s="120"/>
      <c r="VP1344" s="120"/>
      <c r="VQ1344" s="120"/>
      <c r="VR1344" s="120"/>
      <c r="VS1344" s="120"/>
      <c r="VT1344" s="120"/>
      <c r="VU1344" s="120"/>
      <c r="VV1344" s="120"/>
      <c r="VW1344" s="120"/>
      <c r="VX1344" s="120"/>
      <c r="VY1344" s="120"/>
      <c r="VZ1344" s="120"/>
      <c r="WA1344" s="120"/>
      <c r="WB1344" s="120"/>
      <c r="WC1344" s="120"/>
      <c r="WD1344" s="120"/>
      <c r="WE1344" s="120"/>
      <c r="WF1344" s="120"/>
      <c r="WG1344" s="120"/>
      <c r="WH1344" s="120"/>
      <c r="WI1344" s="120"/>
      <c r="WJ1344" s="120"/>
      <c r="WK1344" s="120"/>
      <c r="WL1344" s="120"/>
      <c r="WM1344" s="120"/>
      <c r="WN1344" s="120"/>
      <c r="WO1344" s="120"/>
      <c r="WP1344" s="120"/>
      <c r="WQ1344" s="120"/>
      <c r="WR1344" s="120"/>
      <c r="WS1344" s="120"/>
      <c r="WT1344" s="120"/>
      <c r="WU1344" s="120"/>
      <c r="WV1344" s="120"/>
      <c r="WW1344" s="120"/>
      <c r="WX1344" s="120"/>
      <c r="WY1344" s="120"/>
      <c r="WZ1344" s="120"/>
      <c r="XA1344" s="120"/>
      <c r="XB1344" s="120"/>
      <c r="XC1344" s="120"/>
      <c r="XD1344" s="120"/>
      <c r="XE1344" s="120"/>
      <c r="XF1344" s="120"/>
      <c r="XG1344" s="120"/>
      <c r="XH1344" s="120"/>
      <c r="XI1344" s="120"/>
      <c r="XJ1344" s="120"/>
      <c r="XK1344" s="120"/>
      <c r="XL1344" s="120"/>
      <c r="XM1344" s="120"/>
      <c r="XN1344" s="120"/>
      <c r="XO1344" s="120"/>
      <c r="XP1344" s="120"/>
      <c r="XQ1344" s="120"/>
      <c r="XR1344" s="120"/>
      <c r="XS1344" s="120"/>
      <c r="XT1344" s="120"/>
      <c r="XU1344" s="120"/>
      <c r="XV1344" s="120"/>
      <c r="XW1344" s="120"/>
      <c r="XX1344" s="120"/>
      <c r="XY1344" s="120"/>
      <c r="XZ1344" s="120"/>
      <c r="YA1344" s="120"/>
      <c r="YB1344" s="120"/>
      <c r="YC1344" s="120"/>
      <c r="YD1344" s="120"/>
      <c r="YE1344" s="120"/>
      <c r="YF1344" s="120"/>
      <c r="YG1344" s="120"/>
      <c r="YH1344" s="120"/>
      <c r="YI1344" s="120"/>
      <c r="YJ1344" s="120"/>
      <c r="YK1344" s="120"/>
      <c r="YL1344" s="120"/>
      <c r="YM1344" s="120"/>
      <c r="YN1344" s="120"/>
      <c r="YO1344" s="120"/>
      <c r="YP1344" s="120"/>
      <c r="YQ1344" s="120"/>
      <c r="YR1344" s="120"/>
      <c r="YS1344" s="120"/>
      <c r="YT1344" s="120"/>
      <c r="YU1344" s="120"/>
      <c r="YV1344" s="120"/>
      <c r="YW1344" s="120"/>
      <c r="YX1344" s="120"/>
      <c r="YY1344" s="120"/>
      <c r="YZ1344" s="120"/>
      <c r="ZA1344" s="120"/>
      <c r="ZB1344" s="120"/>
      <c r="ZC1344" s="120"/>
      <c r="ZD1344" s="120"/>
      <c r="ZE1344" s="120"/>
      <c r="ZF1344" s="120"/>
      <c r="ZG1344" s="120"/>
      <c r="ZH1344" s="120"/>
      <c r="ZI1344" s="120"/>
      <c r="ZJ1344" s="120"/>
      <c r="ZK1344" s="120"/>
      <c r="ZL1344" s="120"/>
      <c r="ZM1344" s="120"/>
      <c r="ZN1344" s="120"/>
      <c r="ZO1344" s="120"/>
      <c r="ZP1344" s="120"/>
      <c r="ZQ1344" s="120"/>
      <c r="ZR1344" s="120"/>
      <c r="ZS1344" s="120"/>
      <c r="ZT1344" s="120"/>
      <c r="ZU1344" s="120"/>
      <c r="ZV1344" s="120"/>
      <c r="ZW1344" s="120"/>
      <c r="ZX1344" s="120"/>
      <c r="ZY1344" s="120"/>
      <c r="ZZ1344" s="120"/>
      <c r="AAA1344" s="120"/>
      <c r="AAB1344" s="120"/>
      <c r="AAC1344" s="120"/>
      <c r="AAD1344" s="120"/>
      <c r="AAE1344" s="120"/>
      <c r="AAF1344" s="120"/>
      <c r="AAG1344" s="120"/>
      <c r="AAH1344" s="120"/>
      <c r="AAI1344" s="120"/>
      <c r="AAJ1344" s="120"/>
      <c r="AAK1344" s="120"/>
      <c r="AAL1344" s="120"/>
      <c r="AAM1344" s="120"/>
      <c r="AAN1344" s="120"/>
      <c r="AAO1344" s="120"/>
      <c r="AAP1344" s="120"/>
      <c r="AAQ1344" s="120"/>
      <c r="AAR1344" s="120"/>
      <c r="AAS1344" s="120"/>
      <c r="AAT1344" s="120"/>
      <c r="AAU1344" s="120"/>
      <c r="AAV1344" s="120"/>
      <c r="AAW1344" s="120"/>
      <c r="AAX1344" s="120"/>
      <c r="AAY1344" s="120"/>
      <c r="AAZ1344" s="120"/>
      <c r="ABA1344" s="120"/>
      <c r="ABB1344" s="120"/>
      <c r="ABC1344" s="120"/>
      <c r="ABD1344" s="120"/>
      <c r="ABE1344" s="120"/>
      <c r="ABF1344" s="120"/>
      <c r="ABG1344" s="120"/>
      <c r="ABH1344" s="120"/>
      <c r="ABI1344" s="120"/>
      <c r="ABJ1344" s="120"/>
      <c r="ABK1344" s="120"/>
      <c r="ABL1344" s="120"/>
      <c r="ABM1344" s="120"/>
      <c r="ABN1344" s="120"/>
      <c r="ABO1344" s="120"/>
      <c r="ABP1344" s="120"/>
      <c r="ABQ1344" s="120"/>
      <c r="ABR1344" s="120"/>
      <c r="ABS1344" s="120"/>
      <c r="ABT1344" s="120"/>
      <c r="ABU1344" s="120"/>
      <c r="ABV1344" s="120"/>
      <c r="ABW1344" s="120"/>
      <c r="ABX1344" s="120"/>
      <c r="ABY1344" s="120"/>
      <c r="ABZ1344" s="120"/>
      <c r="ACA1344" s="120"/>
      <c r="ACB1344" s="120"/>
      <c r="ACC1344" s="120"/>
      <c r="ACD1344" s="120"/>
      <c r="ACE1344" s="120"/>
      <c r="ACF1344" s="120"/>
      <c r="ACG1344" s="120"/>
      <c r="ACH1344" s="120"/>
      <c r="ACI1344" s="120"/>
      <c r="ACJ1344" s="120"/>
      <c r="ACK1344" s="120"/>
      <c r="ACL1344" s="120"/>
      <c r="ACM1344" s="120"/>
      <c r="ACN1344" s="120"/>
      <c r="ACO1344" s="120"/>
      <c r="ACP1344" s="120"/>
      <c r="ACQ1344" s="120"/>
      <c r="ACR1344" s="120"/>
      <c r="ACS1344" s="120"/>
      <c r="ACT1344" s="120"/>
      <c r="ACU1344" s="120"/>
      <c r="ACV1344" s="120"/>
      <c r="ACW1344" s="120"/>
      <c r="ACX1344" s="120"/>
      <c r="ACY1344" s="120"/>
      <c r="ACZ1344" s="120"/>
      <c r="ADA1344" s="120"/>
      <c r="ADB1344" s="120"/>
      <c r="ADC1344" s="120"/>
      <c r="ADD1344" s="120"/>
      <c r="ADE1344" s="120"/>
      <c r="ADF1344" s="120"/>
      <c r="ADG1344" s="120"/>
      <c r="ADH1344" s="120"/>
      <c r="ADI1344" s="120"/>
      <c r="ADJ1344" s="120"/>
      <c r="ADK1344" s="120"/>
      <c r="ADL1344" s="120"/>
      <c r="ADM1344" s="120"/>
      <c r="ADN1344" s="120"/>
      <c r="ADO1344" s="120"/>
      <c r="ADP1344" s="120"/>
      <c r="ADQ1344" s="120"/>
      <c r="ADR1344" s="120"/>
      <c r="ADS1344" s="120"/>
      <c r="ADT1344" s="120"/>
      <c r="ADU1344" s="120"/>
      <c r="ADV1344" s="120"/>
      <c r="ADW1344" s="120"/>
      <c r="ADX1344" s="120"/>
      <c r="ADY1344" s="120"/>
      <c r="ADZ1344" s="120"/>
      <c r="AEA1344" s="120"/>
      <c r="AEB1344" s="120"/>
      <c r="AEC1344" s="120"/>
      <c r="AED1344" s="120"/>
      <c r="AEE1344" s="120"/>
      <c r="AEF1344" s="120"/>
      <c r="AEG1344" s="120"/>
      <c r="AEH1344" s="120"/>
      <c r="AEI1344" s="120"/>
      <c r="AEJ1344" s="120"/>
      <c r="AEK1344" s="120"/>
      <c r="AEL1344" s="120"/>
      <c r="AEM1344" s="120"/>
      <c r="AEN1344" s="120"/>
      <c r="AEO1344" s="120"/>
      <c r="AEP1344" s="120"/>
      <c r="AEQ1344" s="120"/>
      <c r="AER1344" s="120"/>
      <c r="AES1344" s="120"/>
      <c r="AET1344" s="120"/>
      <c r="AEU1344" s="120"/>
      <c r="AEV1344" s="120"/>
      <c r="AEW1344" s="120"/>
      <c r="AEX1344" s="120"/>
      <c r="AEY1344" s="120"/>
      <c r="AEZ1344" s="120"/>
      <c r="AFA1344" s="120"/>
      <c r="AFB1344" s="120"/>
      <c r="AFC1344" s="120"/>
      <c r="AFD1344" s="120"/>
      <c r="AFE1344" s="120"/>
      <c r="AFF1344" s="120"/>
      <c r="AFG1344" s="120"/>
      <c r="AFH1344" s="120"/>
      <c r="AFI1344" s="120"/>
      <c r="AFJ1344" s="120"/>
      <c r="AFK1344" s="120"/>
      <c r="AFL1344" s="120"/>
      <c r="AFM1344" s="120"/>
      <c r="AFN1344" s="120"/>
      <c r="AFO1344" s="120"/>
      <c r="AFP1344" s="120"/>
      <c r="AFQ1344" s="120"/>
      <c r="AFR1344" s="120"/>
      <c r="AFS1344" s="120"/>
      <c r="AFT1344" s="120"/>
      <c r="AFU1344" s="120"/>
      <c r="AFV1344" s="120"/>
      <c r="AFW1344" s="120"/>
      <c r="AFX1344" s="120"/>
      <c r="AFY1344" s="120"/>
      <c r="AFZ1344" s="120"/>
      <c r="AGA1344" s="120"/>
      <c r="AGB1344" s="120"/>
      <c r="AGC1344" s="120"/>
      <c r="AGD1344" s="120"/>
      <c r="AGE1344" s="120"/>
      <c r="AGF1344" s="120"/>
      <c r="AGG1344" s="120"/>
      <c r="AGH1344" s="120"/>
      <c r="AGI1344" s="120"/>
      <c r="AGJ1344" s="120"/>
      <c r="AGK1344" s="120"/>
      <c r="AGL1344" s="120"/>
      <c r="AGM1344" s="120"/>
      <c r="AGN1344" s="120"/>
      <c r="AGO1344" s="120"/>
      <c r="AGP1344" s="120"/>
      <c r="AGQ1344" s="120"/>
      <c r="AGR1344" s="120"/>
      <c r="AGS1344" s="120"/>
      <c r="AGT1344" s="120"/>
      <c r="AGU1344" s="120"/>
      <c r="AGV1344" s="120"/>
      <c r="AGW1344" s="120"/>
      <c r="AGX1344" s="120"/>
      <c r="AGY1344" s="120"/>
      <c r="AGZ1344" s="120"/>
      <c r="AHA1344" s="120"/>
      <c r="AHB1344" s="120"/>
      <c r="AHC1344" s="120"/>
      <c r="AHD1344" s="120"/>
      <c r="AHE1344" s="120"/>
      <c r="AHF1344" s="120"/>
      <c r="AHG1344" s="120"/>
      <c r="AHH1344" s="120"/>
      <c r="AHI1344" s="120"/>
      <c r="AHJ1344" s="120"/>
      <c r="AHK1344" s="120"/>
      <c r="AHL1344" s="120"/>
      <c r="AHM1344" s="120"/>
      <c r="AHN1344" s="120"/>
      <c r="AHO1344" s="120"/>
      <c r="AHP1344" s="120"/>
      <c r="AHQ1344" s="120"/>
      <c r="AHR1344" s="120"/>
      <c r="AHS1344" s="120"/>
      <c r="AHT1344" s="120"/>
      <c r="AHU1344" s="120"/>
      <c r="AHV1344" s="120"/>
      <c r="AHW1344" s="120"/>
      <c r="AHX1344" s="120"/>
      <c r="AHY1344" s="120"/>
      <c r="AHZ1344" s="120"/>
      <c r="AIA1344" s="120"/>
      <c r="AIB1344" s="120"/>
      <c r="AIC1344" s="120"/>
      <c r="AID1344" s="120"/>
      <c r="AIE1344" s="120"/>
      <c r="AIF1344" s="120"/>
      <c r="AIG1344" s="120"/>
      <c r="AIH1344" s="120"/>
      <c r="AII1344" s="120"/>
      <c r="AIJ1344" s="120"/>
      <c r="AIK1344" s="120"/>
      <c r="AIL1344" s="120"/>
      <c r="AIM1344" s="120"/>
      <c r="AIN1344" s="120"/>
      <c r="AIO1344" s="120"/>
      <c r="AIP1344" s="120"/>
      <c r="AIQ1344" s="120"/>
      <c r="AIR1344" s="120"/>
      <c r="AIS1344" s="120"/>
      <c r="AIT1344" s="120"/>
      <c r="AIU1344" s="120"/>
      <c r="AIV1344" s="120"/>
      <c r="AIW1344" s="120"/>
      <c r="AIX1344" s="120"/>
      <c r="AIY1344" s="120"/>
      <c r="AIZ1344" s="120"/>
      <c r="AJA1344" s="120"/>
      <c r="AJB1344" s="120"/>
      <c r="AJC1344" s="120"/>
      <c r="AJD1344" s="120"/>
      <c r="AJE1344" s="120"/>
      <c r="AJF1344" s="120"/>
      <c r="AJG1344" s="120"/>
      <c r="AJH1344" s="120"/>
      <c r="AJI1344" s="120"/>
      <c r="AJJ1344" s="120"/>
      <c r="AJK1344" s="120"/>
      <c r="AJL1344" s="120"/>
      <c r="AJM1344" s="120"/>
      <c r="AJN1344" s="120"/>
      <c r="AJO1344" s="120"/>
      <c r="AJP1344" s="120"/>
      <c r="AJQ1344" s="120"/>
      <c r="AJR1344" s="120"/>
      <c r="AJS1344" s="120"/>
      <c r="AJT1344" s="120"/>
      <c r="AJU1344" s="120"/>
      <c r="AJV1344" s="120"/>
      <c r="AJW1344" s="120"/>
      <c r="AJX1344" s="120"/>
      <c r="AJY1344" s="120"/>
      <c r="AJZ1344" s="120"/>
      <c r="AKA1344" s="120"/>
      <c r="AKB1344" s="120"/>
      <c r="AKC1344" s="120"/>
      <c r="AKD1344" s="120"/>
      <c r="AKE1344" s="120"/>
      <c r="AKF1344" s="120"/>
      <c r="AKG1344" s="120"/>
      <c r="AKH1344" s="120"/>
      <c r="AKI1344" s="120"/>
      <c r="AKJ1344" s="120"/>
      <c r="AKK1344" s="120"/>
      <c r="AKL1344" s="120"/>
      <c r="AKM1344" s="120"/>
      <c r="AKN1344" s="120"/>
      <c r="AKO1344" s="120"/>
      <c r="AKP1344" s="120"/>
      <c r="AKQ1344" s="120"/>
      <c r="AKR1344" s="120"/>
      <c r="AKS1344" s="120"/>
      <c r="AKT1344" s="120"/>
      <c r="AKU1344" s="120"/>
      <c r="AKV1344" s="120"/>
      <c r="AKW1344" s="120"/>
      <c r="AKX1344" s="120"/>
      <c r="AKY1344" s="120"/>
      <c r="AKZ1344" s="120"/>
      <c r="ALA1344" s="120"/>
      <c r="ALB1344" s="120"/>
      <c r="ALC1344" s="120"/>
      <c r="ALD1344" s="120"/>
      <c r="ALE1344" s="120"/>
      <c r="ALF1344" s="120"/>
      <c r="ALG1344" s="120"/>
      <c r="ALH1344" s="120"/>
      <c r="ALI1344" s="120"/>
      <c r="ALJ1344" s="120"/>
      <c r="ALK1344" s="120"/>
      <c r="ALL1344" s="120"/>
      <c r="ALM1344" s="120"/>
      <c r="ALN1344" s="120"/>
      <c r="ALO1344" s="120"/>
      <c r="ALP1344" s="120"/>
      <c r="ALQ1344" s="120"/>
      <c r="ALR1344" s="120"/>
      <c r="ALS1344" s="120"/>
      <c r="ALT1344" s="120"/>
      <c r="ALU1344" s="120"/>
      <c r="ALV1344" s="120"/>
      <c r="ALW1344" s="120"/>
      <c r="ALX1344" s="120"/>
      <c r="ALY1344" s="120"/>
      <c r="ALZ1344" s="120"/>
      <c r="AMA1344" s="120"/>
      <c r="AMB1344" s="120"/>
      <c r="AMC1344" s="120"/>
      <c r="AMD1344" s="120"/>
      <c r="AME1344" s="120"/>
      <c r="AMF1344" s="120"/>
      <c r="AMG1344" s="120"/>
      <c r="AMH1344" s="120"/>
      <c r="AMI1344" s="120"/>
      <c r="AMJ1344" s="120"/>
      <c r="AMK1344" s="120"/>
      <c r="AML1344" s="120"/>
      <c r="AMM1344" s="120"/>
      <c r="AMN1344" s="120"/>
      <c r="AMO1344" s="120"/>
      <c r="AMP1344" s="120"/>
      <c r="AMQ1344" s="120"/>
      <c r="AMR1344" s="120"/>
      <c r="AMS1344" s="120"/>
      <c r="AMT1344" s="120"/>
      <c r="AMU1344" s="120"/>
      <c r="AMV1344" s="120"/>
      <c r="AMW1344" s="120"/>
      <c r="AMX1344" s="120"/>
      <c r="AMY1344" s="120"/>
      <c r="AMZ1344" s="120"/>
      <c r="ANA1344" s="120"/>
      <c r="ANB1344" s="120"/>
      <c r="ANC1344" s="120"/>
      <c r="AND1344" s="120"/>
      <c r="ANE1344" s="120"/>
      <c r="ANF1344" s="120"/>
      <c r="ANG1344" s="120"/>
      <c r="ANH1344" s="120"/>
      <c r="ANI1344" s="120"/>
      <c r="ANJ1344" s="120"/>
      <c r="ANK1344" s="120"/>
      <c r="ANL1344" s="120"/>
      <c r="ANM1344" s="120"/>
      <c r="ANN1344" s="120"/>
      <c r="ANO1344" s="120"/>
      <c r="ANP1344" s="120"/>
      <c r="ANQ1344" s="120"/>
      <c r="ANR1344" s="120"/>
      <c r="ANS1344" s="120"/>
      <c r="ANT1344" s="120"/>
      <c r="ANU1344" s="120"/>
      <c r="ANV1344" s="120"/>
      <c r="ANW1344" s="120"/>
      <c r="ANX1344" s="120"/>
      <c r="ANY1344" s="120"/>
      <c r="ANZ1344" s="120"/>
      <c r="AOA1344" s="120"/>
      <c r="AOB1344" s="120"/>
      <c r="AOC1344" s="120"/>
      <c r="AOD1344" s="120"/>
      <c r="AOE1344" s="120"/>
      <c r="AOF1344" s="120"/>
      <c r="AOG1344" s="120"/>
      <c r="AOH1344" s="120"/>
      <c r="AOI1344" s="120"/>
      <c r="AOJ1344" s="120"/>
      <c r="AOK1344" s="120"/>
      <c r="AOL1344" s="120"/>
      <c r="AOM1344" s="120"/>
      <c r="AON1344" s="120"/>
      <c r="AOO1344" s="120"/>
      <c r="AOP1344" s="120"/>
      <c r="AOQ1344" s="120"/>
      <c r="AOR1344" s="120"/>
      <c r="AOS1344" s="120"/>
      <c r="AOT1344" s="120"/>
      <c r="AOU1344" s="120"/>
      <c r="AOV1344" s="120"/>
      <c r="AOW1344" s="120"/>
      <c r="AOX1344" s="120"/>
      <c r="AOY1344" s="120"/>
      <c r="AOZ1344" s="120"/>
      <c r="APA1344" s="120"/>
      <c r="APB1344" s="120"/>
      <c r="APC1344" s="120"/>
      <c r="APD1344" s="120"/>
      <c r="APE1344" s="120"/>
      <c r="APF1344" s="120"/>
      <c r="APG1344" s="120"/>
      <c r="APH1344" s="120"/>
      <c r="API1344" s="120"/>
      <c r="APJ1344" s="120"/>
      <c r="APK1344" s="120"/>
      <c r="APL1344" s="120"/>
      <c r="APM1344" s="120"/>
      <c r="APN1344" s="120"/>
      <c r="APO1344" s="120"/>
      <c r="APP1344" s="120"/>
      <c r="APQ1344" s="120"/>
      <c r="APR1344" s="120"/>
      <c r="APS1344" s="120"/>
      <c r="APT1344" s="120"/>
      <c r="APU1344" s="120"/>
      <c r="APV1344" s="120"/>
      <c r="APW1344" s="120"/>
      <c r="APX1344" s="120"/>
      <c r="APY1344" s="120"/>
      <c r="APZ1344" s="120"/>
      <c r="AQA1344" s="120"/>
      <c r="AQB1344" s="120"/>
      <c r="AQC1344" s="120"/>
      <c r="AQD1344" s="120"/>
      <c r="AQE1344" s="120"/>
      <c r="AQF1344" s="120"/>
      <c r="AQG1344" s="120"/>
      <c r="AQH1344" s="120"/>
      <c r="AQI1344" s="120"/>
      <c r="AQJ1344" s="120"/>
      <c r="AQK1344" s="120"/>
      <c r="AQL1344" s="120"/>
      <c r="AQM1344" s="120"/>
      <c r="AQN1344" s="120"/>
      <c r="AQO1344" s="120"/>
      <c r="AQP1344" s="120"/>
      <c r="AQQ1344" s="120"/>
      <c r="AQR1344" s="120"/>
      <c r="AQS1344" s="120"/>
      <c r="AQT1344" s="120"/>
      <c r="AQU1344" s="120"/>
      <c r="AQV1344" s="120"/>
      <c r="AQW1344" s="120"/>
      <c r="AQX1344" s="120"/>
      <c r="AQY1344" s="120"/>
      <c r="AQZ1344" s="120"/>
      <c r="ARA1344" s="120"/>
      <c r="ARB1344" s="120"/>
      <c r="ARC1344" s="120"/>
      <c r="ARD1344" s="120"/>
      <c r="ARE1344" s="120"/>
      <c r="ARF1344" s="120"/>
      <c r="ARG1344" s="120"/>
      <c r="ARH1344" s="120"/>
      <c r="ARI1344" s="120"/>
      <c r="ARJ1344" s="120"/>
      <c r="ARK1344" s="120"/>
      <c r="ARL1344" s="120"/>
      <c r="ARM1344" s="120"/>
      <c r="ARN1344" s="120"/>
      <c r="ARO1344" s="120"/>
      <c r="ARP1344" s="120"/>
      <c r="ARQ1344" s="120"/>
      <c r="ARR1344" s="120"/>
      <c r="ARS1344" s="120"/>
      <c r="ART1344" s="120"/>
      <c r="ARU1344" s="120"/>
      <c r="ARV1344" s="120"/>
      <c r="ARW1344" s="120"/>
      <c r="ARX1344" s="120"/>
      <c r="ARY1344" s="120"/>
      <c r="ARZ1344" s="120"/>
      <c r="ASA1344" s="120"/>
      <c r="ASB1344" s="120"/>
      <c r="ASC1344" s="120"/>
      <c r="ASD1344" s="120"/>
      <c r="ASE1344" s="120"/>
      <c r="ASF1344" s="120"/>
      <c r="ASG1344" s="120"/>
      <c r="ASH1344" s="120"/>
      <c r="ASI1344" s="120"/>
      <c r="ASJ1344" s="120"/>
      <c r="ASK1344" s="120"/>
      <c r="ASL1344" s="120"/>
      <c r="ASM1344" s="120"/>
      <c r="ASN1344" s="120"/>
      <c r="ASO1344" s="120"/>
      <c r="ASP1344" s="120"/>
      <c r="ASQ1344" s="120"/>
      <c r="ASR1344" s="120"/>
      <c r="ASS1344" s="120"/>
      <c r="AST1344" s="120"/>
      <c r="ASU1344" s="120"/>
      <c r="ASV1344" s="120"/>
      <c r="ASW1344" s="120"/>
      <c r="ASX1344" s="120"/>
      <c r="ASY1344" s="120"/>
      <c r="ASZ1344" s="120"/>
      <c r="ATA1344" s="120"/>
      <c r="ATB1344" s="120"/>
      <c r="ATC1344" s="120"/>
      <c r="ATD1344" s="120"/>
      <c r="ATE1344" s="120"/>
      <c r="ATF1344" s="120"/>
      <c r="ATG1344" s="120"/>
      <c r="ATH1344" s="120"/>
      <c r="ATI1344" s="120"/>
      <c r="ATJ1344" s="120"/>
      <c r="ATK1344" s="120"/>
      <c r="ATL1344" s="120"/>
      <c r="ATM1344" s="120"/>
      <c r="ATN1344" s="120"/>
      <c r="ATO1344" s="120"/>
    </row>
    <row r="1345" spans="1:1211" s="20" customFormat="1" ht="14.1" customHeight="1">
      <c r="A1345" s="112"/>
      <c r="B1345" s="723"/>
      <c r="C1345" s="184" t="s">
        <v>3746</v>
      </c>
      <c r="D1345" s="120"/>
      <c r="E1345" s="701"/>
      <c r="F1345" s="703"/>
      <c r="G1345" s="702"/>
      <c r="H1345" s="702"/>
      <c r="I1345" s="702"/>
      <c r="J1345" s="700"/>
      <c r="K1345" s="112"/>
      <c r="L1345" s="363"/>
      <c r="M1345" s="112"/>
      <c r="N1345" s="362"/>
      <c r="O1345" s="573"/>
      <c r="P1345" s="120"/>
      <c r="Q1345" s="120"/>
      <c r="R1345" s="120"/>
      <c r="S1345" s="120"/>
      <c r="T1345" s="120"/>
      <c r="U1345" s="120"/>
      <c r="V1345" s="120"/>
      <c r="W1345" s="120"/>
      <c r="X1345" s="120"/>
      <c r="Y1345" s="120"/>
      <c r="Z1345" s="120"/>
      <c r="AA1345" s="120"/>
      <c r="AB1345" s="120"/>
      <c r="AC1345" s="120"/>
      <c r="AD1345" s="120"/>
      <c r="AE1345" s="120"/>
      <c r="AF1345" s="120"/>
      <c r="AG1345" s="120"/>
      <c r="AH1345" s="120"/>
      <c r="AI1345" s="120"/>
      <c r="AJ1345" s="120"/>
      <c r="AK1345" s="120"/>
      <c r="AL1345" s="120"/>
      <c r="AM1345" s="120"/>
      <c r="AN1345" s="120"/>
      <c r="AO1345" s="120"/>
      <c r="AP1345" s="120"/>
      <c r="AQ1345" s="120"/>
      <c r="AR1345" s="120"/>
      <c r="AS1345" s="120"/>
      <c r="AT1345" s="120"/>
      <c r="AU1345" s="120"/>
      <c r="AV1345" s="120"/>
      <c r="AW1345" s="120"/>
      <c r="AX1345" s="120"/>
      <c r="AY1345" s="120"/>
      <c r="AZ1345" s="120"/>
      <c r="BA1345" s="120"/>
      <c r="BB1345" s="120"/>
      <c r="BC1345" s="120"/>
      <c r="BD1345" s="120"/>
      <c r="BE1345" s="120"/>
      <c r="BF1345" s="120"/>
      <c r="BG1345" s="120"/>
      <c r="BH1345" s="120"/>
      <c r="BI1345" s="120"/>
      <c r="BJ1345" s="120"/>
      <c r="BK1345" s="120"/>
      <c r="BL1345" s="120"/>
      <c r="BM1345" s="120"/>
      <c r="BN1345" s="120"/>
      <c r="BO1345" s="120"/>
      <c r="BP1345" s="120"/>
      <c r="BQ1345" s="120"/>
      <c r="BR1345" s="120"/>
      <c r="BS1345" s="120"/>
      <c r="BT1345" s="120"/>
      <c r="BU1345" s="120"/>
      <c r="BV1345" s="120"/>
      <c r="BW1345" s="120"/>
      <c r="BX1345" s="120"/>
      <c r="BY1345" s="120"/>
      <c r="BZ1345" s="120"/>
      <c r="CA1345" s="120"/>
      <c r="CB1345" s="120"/>
      <c r="CC1345" s="120"/>
      <c r="CD1345" s="120"/>
      <c r="CE1345" s="120"/>
      <c r="CF1345" s="120"/>
      <c r="CG1345" s="120"/>
      <c r="CH1345" s="120"/>
      <c r="CI1345" s="120"/>
      <c r="CJ1345" s="120"/>
      <c r="CK1345" s="120"/>
      <c r="CL1345" s="120"/>
      <c r="CM1345" s="120"/>
      <c r="CN1345" s="120"/>
      <c r="CO1345" s="120"/>
      <c r="CP1345" s="120"/>
      <c r="CQ1345" s="120"/>
      <c r="CR1345" s="120"/>
      <c r="CS1345" s="120"/>
      <c r="CT1345" s="120"/>
      <c r="CU1345" s="120"/>
      <c r="CV1345" s="120"/>
      <c r="CW1345" s="120"/>
      <c r="CX1345" s="120"/>
      <c r="CY1345" s="120"/>
      <c r="CZ1345" s="120"/>
      <c r="DA1345" s="120"/>
      <c r="DB1345" s="120"/>
      <c r="DC1345" s="120"/>
      <c r="DD1345" s="120"/>
      <c r="DE1345" s="120"/>
      <c r="DF1345" s="120"/>
      <c r="DG1345" s="120"/>
      <c r="DH1345" s="120"/>
      <c r="DI1345" s="120"/>
      <c r="DJ1345" s="120"/>
      <c r="DK1345" s="120"/>
      <c r="DL1345" s="120"/>
      <c r="DM1345" s="120"/>
      <c r="DN1345" s="120"/>
      <c r="DO1345" s="120"/>
      <c r="DP1345" s="120"/>
      <c r="DQ1345" s="120"/>
      <c r="DR1345" s="120"/>
      <c r="DS1345" s="120"/>
      <c r="DT1345" s="120"/>
      <c r="DU1345" s="120"/>
      <c r="DV1345" s="120"/>
      <c r="DW1345" s="120"/>
      <c r="DX1345" s="120"/>
      <c r="DY1345" s="120"/>
      <c r="DZ1345" s="120"/>
      <c r="EA1345" s="120"/>
      <c r="EB1345" s="120"/>
      <c r="EC1345" s="120"/>
      <c r="ED1345" s="120"/>
      <c r="EE1345" s="120"/>
      <c r="EF1345" s="120"/>
      <c r="EG1345" s="120"/>
      <c r="EH1345" s="120"/>
      <c r="EI1345" s="120"/>
      <c r="EJ1345" s="120"/>
      <c r="EK1345" s="120"/>
      <c r="EL1345" s="120"/>
      <c r="EM1345" s="120"/>
      <c r="EN1345" s="120"/>
      <c r="EO1345" s="120"/>
      <c r="EP1345" s="120"/>
      <c r="EQ1345" s="120"/>
      <c r="ER1345" s="120"/>
      <c r="ES1345" s="120"/>
      <c r="ET1345" s="120"/>
      <c r="EU1345" s="120"/>
      <c r="EV1345" s="120"/>
      <c r="EW1345" s="120"/>
      <c r="EX1345" s="120"/>
      <c r="EY1345" s="120"/>
      <c r="EZ1345" s="120"/>
      <c r="FA1345" s="120"/>
      <c r="FB1345" s="120"/>
      <c r="FC1345" s="120"/>
      <c r="FD1345" s="120"/>
      <c r="FE1345" s="120"/>
      <c r="FF1345" s="120"/>
      <c r="FG1345" s="120"/>
      <c r="FH1345" s="120"/>
      <c r="FI1345" s="120"/>
      <c r="FJ1345" s="120"/>
      <c r="FK1345" s="120"/>
      <c r="FL1345" s="120"/>
      <c r="FM1345" s="120"/>
      <c r="FN1345" s="120"/>
      <c r="FO1345" s="120"/>
      <c r="FP1345" s="120"/>
      <c r="FQ1345" s="120"/>
      <c r="FR1345" s="120"/>
      <c r="FS1345" s="120"/>
      <c r="FT1345" s="120"/>
      <c r="FU1345" s="120"/>
      <c r="FV1345" s="120"/>
      <c r="FW1345" s="120"/>
      <c r="FX1345" s="120"/>
      <c r="FY1345" s="120"/>
      <c r="FZ1345" s="120"/>
      <c r="GA1345" s="120"/>
      <c r="GB1345" s="120"/>
      <c r="GC1345" s="120"/>
      <c r="GD1345" s="120"/>
      <c r="GE1345" s="120"/>
      <c r="GF1345" s="120"/>
      <c r="GG1345" s="120"/>
      <c r="GH1345" s="120"/>
      <c r="GI1345" s="120"/>
      <c r="GJ1345" s="120"/>
      <c r="GK1345" s="120"/>
      <c r="GL1345" s="120"/>
      <c r="GM1345" s="120"/>
      <c r="GN1345" s="120"/>
      <c r="GO1345" s="120"/>
      <c r="GP1345" s="120"/>
      <c r="GQ1345" s="120"/>
      <c r="GR1345" s="120"/>
      <c r="GS1345" s="120"/>
      <c r="GT1345" s="120"/>
      <c r="GU1345" s="120"/>
      <c r="GV1345" s="120"/>
      <c r="GW1345" s="120"/>
      <c r="GX1345" s="120"/>
      <c r="GY1345" s="120"/>
      <c r="GZ1345" s="120"/>
      <c r="HA1345" s="120"/>
      <c r="HB1345" s="120"/>
      <c r="HC1345" s="120"/>
      <c r="HD1345" s="120"/>
      <c r="HE1345" s="120"/>
      <c r="HF1345" s="120"/>
      <c r="HG1345" s="120"/>
      <c r="HH1345" s="120"/>
      <c r="HI1345" s="120"/>
      <c r="HJ1345" s="120"/>
      <c r="HK1345" s="120"/>
      <c r="HL1345" s="120"/>
      <c r="HM1345" s="120"/>
      <c r="HN1345" s="120"/>
      <c r="HO1345" s="120"/>
      <c r="HP1345" s="120"/>
      <c r="HQ1345" s="120"/>
      <c r="HR1345" s="120"/>
      <c r="HS1345" s="120"/>
      <c r="HT1345" s="120"/>
      <c r="HU1345" s="120"/>
      <c r="HV1345" s="120"/>
      <c r="HW1345" s="120"/>
      <c r="HX1345" s="120"/>
      <c r="HY1345" s="120"/>
      <c r="HZ1345" s="120"/>
      <c r="IA1345" s="120"/>
      <c r="IB1345" s="120"/>
      <c r="IC1345" s="120"/>
      <c r="ID1345" s="120"/>
      <c r="IE1345" s="120"/>
      <c r="IF1345" s="120"/>
      <c r="IG1345" s="120"/>
      <c r="IH1345" s="120"/>
      <c r="II1345" s="120"/>
      <c r="IJ1345" s="120"/>
      <c r="IK1345" s="120"/>
      <c r="IL1345" s="120"/>
      <c r="IM1345" s="120"/>
      <c r="IN1345" s="120"/>
      <c r="IO1345" s="120"/>
      <c r="IP1345" s="120"/>
      <c r="IQ1345" s="120"/>
      <c r="IR1345" s="120"/>
      <c r="IS1345" s="120"/>
      <c r="IT1345" s="120"/>
      <c r="IU1345" s="120"/>
      <c r="IV1345" s="120"/>
      <c r="IW1345" s="120"/>
      <c r="IX1345" s="120"/>
      <c r="IY1345" s="120"/>
      <c r="IZ1345" s="120"/>
      <c r="JA1345" s="120"/>
      <c r="JB1345" s="120"/>
      <c r="JC1345" s="120"/>
      <c r="JD1345" s="120"/>
      <c r="JE1345" s="120"/>
      <c r="JF1345" s="120"/>
      <c r="JG1345" s="120"/>
      <c r="JH1345" s="120"/>
      <c r="JI1345" s="120"/>
      <c r="JJ1345" s="120"/>
      <c r="JK1345" s="120"/>
      <c r="JL1345" s="120"/>
      <c r="JM1345" s="120"/>
      <c r="JN1345" s="120"/>
      <c r="JO1345" s="120"/>
      <c r="JP1345" s="120"/>
      <c r="JQ1345" s="120"/>
      <c r="JR1345" s="120"/>
      <c r="JS1345" s="120"/>
      <c r="JT1345" s="120"/>
      <c r="JU1345" s="120"/>
      <c r="JV1345" s="120"/>
      <c r="JW1345" s="120"/>
      <c r="JX1345" s="120"/>
      <c r="JY1345" s="120"/>
      <c r="JZ1345" s="120"/>
      <c r="KA1345" s="120"/>
      <c r="KB1345" s="120"/>
      <c r="KC1345" s="120"/>
      <c r="KD1345" s="120"/>
      <c r="KE1345" s="120"/>
      <c r="KF1345" s="120"/>
      <c r="KG1345" s="120"/>
      <c r="KH1345" s="120"/>
      <c r="KI1345" s="120"/>
      <c r="KJ1345" s="120"/>
      <c r="KK1345" s="120"/>
      <c r="KL1345" s="120"/>
      <c r="KM1345" s="120"/>
      <c r="KN1345" s="120"/>
      <c r="KO1345" s="120"/>
      <c r="KP1345" s="120"/>
      <c r="KQ1345" s="120"/>
      <c r="KR1345" s="120"/>
      <c r="KS1345" s="120"/>
      <c r="KT1345" s="120"/>
      <c r="KU1345" s="120"/>
      <c r="KV1345" s="120"/>
      <c r="KW1345" s="120"/>
      <c r="KX1345" s="120"/>
      <c r="KY1345" s="120"/>
      <c r="KZ1345" s="120"/>
      <c r="LA1345" s="120"/>
      <c r="LB1345" s="120"/>
      <c r="LC1345" s="120"/>
      <c r="LD1345" s="120"/>
      <c r="LE1345" s="120"/>
      <c r="LF1345" s="120"/>
      <c r="LG1345" s="120"/>
      <c r="LH1345" s="120"/>
      <c r="LI1345" s="120"/>
      <c r="LJ1345" s="120"/>
      <c r="LK1345" s="120"/>
      <c r="LL1345" s="120"/>
      <c r="LM1345" s="120"/>
      <c r="LN1345" s="120"/>
      <c r="LO1345" s="120"/>
      <c r="LP1345" s="120"/>
      <c r="LQ1345" s="120"/>
      <c r="LR1345" s="120"/>
      <c r="LS1345" s="120"/>
      <c r="LT1345" s="120"/>
      <c r="LU1345" s="120"/>
      <c r="LV1345" s="120"/>
      <c r="LW1345" s="120"/>
      <c r="LX1345" s="120"/>
      <c r="LY1345" s="120"/>
      <c r="LZ1345" s="120"/>
      <c r="MA1345" s="120"/>
      <c r="MB1345" s="120"/>
      <c r="MC1345" s="120"/>
      <c r="MD1345" s="120"/>
      <c r="ME1345" s="120"/>
      <c r="MF1345" s="120"/>
      <c r="MG1345" s="120"/>
      <c r="MH1345" s="120"/>
      <c r="MI1345" s="120"/>
      <c r="MJ1345" s="120"/>
      <c r="MK1345" s="120"/>
      <c r="ML1345" s="120"/>
      <c r="MM1345" s="120"/>
      <c r="MN1345" s="120"/>
      <c r="MO1345" s="120"/>
      <c r="MP1345" s="120"/>
      <c r="MQ1345" s="120"/>
      <c r="MR1345" s="120"/>
      <c r="MS1345" s="120"/>
      <c r="MT1345" s="120"/>
      <c r="MU1345" s="120"/>
      <c r="MV1345" s="120"/>
      <c r="MW1345" s="120"/>
      <c r="MX1345" s="120"/>
      <c r="MY1345" s="120"/>
      <c r="MZ1345" s="120"/>
      <c r="NA1345" s="120"/>
      <c r="NB1345" s="120"/>
      <c r="NC1345" s="120"/>
      <c r="ND1345" s="120"/>
      <c r="NE1345" s="120"/>
      <c r="NF1345" s="120"/>
      <c r="NG1345" s="120"/>
      <c r="NH1345" s="120"/>
      <c r="NI1345" s="120"/>
      <c r="NJ1345" s="120"/>
      <c r="NK1345" s="120"/>
      <c r="NL1345" s="120"/>
      <c r="NM1345" s="120"/>
      <c r="NN1345" s="120"/>
      <c r="NO1345" s="120"/>
      <c r="NP1345" s="120"/>
      <c r="NQ1345" s="120"/>
      <c r="NR1345" s="120"/>
      <c r="NS1345" s="120"/>
      <c r="NT1345" s="120"/>
      <c r="NU1345" s="120"/>
      <c r="NV1345" s="120"/>
      <c r="NW1345" s="120"/>
      <c r="NX1345" s="120"/>
      <c r="NY1345" s="120"/>
      <c r="NZ1345" s="120"/>
      <c r="OA1345" s="120"/>
      <c r="OB1345" s="120"/>
      <c r="OC1345" s="120"/>
      <c r="OD1345" s="120"/>
      <c r="OE1345" s="120"/>
      <c r="OF1345" s="120"/>
      <c r="OG1345" s="120"/>
      <c r="OH1345" s="120"/>
      <c r="OI1345" s="120"/>
      <c r="OJ1345" s="120"/>
      <c r="OK1345" s="120"/>
      <c r="OL1345" s="120"/>
      <c r="OM1345" s="120"/>
      <c r="ON1345" s="120"/>
      <c r="OO1345" s="120"/>
      <c r="OP1345" s="120"/>
      <c r="OQ1345" s="120"/>
      <c r="OR1345" s="120"/>
      <c r="OS1345" s="120"/>
      <c r="OT1345" s="120"/>
      <c r="OU1345" s="120"/>
      <c r="OV1345" s="120"/>
      <c r="OW1345" s="120"/>
      <c r="OX1345" s="120"/>
      <c r="OY1345" s="120"/>
      <c r="OZ1345" s="120"/>
      <c r="PA1345" s="120"/>
      <c r="PB1345" s="120"/>
      <c r="PC1345" s="120"/>
      <c r="PD1345" s="120"/>
      <c r="PE1345" s="120"/>
      <c r="PF1345" s="120"/>
      <c r="PG1345" s="120"/>
      <c r="PH1345" s="120"/>
      <c r="PI1345" s="120"/>
      <c r="PJ1345" s="120"/>
      <c r="PK1345" s="120"/>
      <c r="PL1345" s="120"/>
      <c r="PM1345" s="120"/>
      <c r="PN1345" s="120"/>
      <c r="PO1345" s="120"/>
      <c r="PP1345" s="120"/>
      <c r="PQ1345" s="120"/>
      <c r="PR1345" s="120"/>
      <c r="PS1345" s="120"/>
      <c r="PT1345" s="120"/>
      <c r="PU1345" s="120"/>
      <c r="PV1345" s="120"/>
      <c r="PW1345" s="120"/>
      <c r="PX1345" s="120"/>
      <c r="PY1345" s="120"/>
      <c r="PZ1345" s="120"/>
      <c r="QA1345" s="120"/>
      <c r="QB1345" s="120"/>
      <c r="QC1345" s="120"/>
      <c r="QD1345" s="120"/>
      <c r="QE1345" s="120"/>
      <c r="QF1345" s="120"/>
      <c r="QG1345" s="120"/>
      <c r="QH1345" s="120"/>
      <c r="QI1345" s="120"/>
      <c r="QJ1345" s="120"/>
      <c r="QK1345" s="120"/>
      <c r="QL1345" s="120"/>
      <c r="QM1345" s="120"/>
      <c r="QN1345" s="120"/>
      <c r="QO1345" s="120"/>
      <c r="QP1345" s="120"/>
      <c r="QQ1345" s="120"/>
      <c r="QR1345" s="120"/>
      <c r="QS1345" s="120"/>
      <c r="QT1345" s="120"/>
      <c r="QU1345" s="120"/>
      <c r="QV1345" s="120"/>
      <c r="QW1345" s="120"/>
      <c r="QX1345" s="120"/>
      <c r="QY1345" s="120"/>
      <c r="QZ1345" s="120"/>
      <c r="RA1345" s="120"/>
      <c r="RB1345" s="120"/>
      <c r="RC1345" s="120"/>
      <c r="RD1345" s="120"/>
      <c r="RE1345" s="120"/>
      <c r="RF1345" s="120"/>
      <c r="RG1345" s="120"/>
      <c r="RH1345" s="120"/>
      <c r="RI1345" s="120"/>
      <c r="RJ1345" s="120"/>
      <c r="RK1345" s="120"/>
      <c r="RL1345" s="120"/>
      <c r="RM1345" s="120"/>
      <c r="RN1345" s="120"/>
      <c r="RO1345" s="120"/>
      <c r="RP1345" s="120"/>
      <c r="RQ1345" s="120"/>
      <c r="RR1345" s="120"/>
      <c r="RS1345" s="120"/>
      <c r="RT1345" s="120"/>
      <c r="RU1345" s="120"/>
      <c r="RV1345" s="120"/>
      <c r="RW1345" s="120"/>
      <c r="RX1345" s="120"/>
      <c r="RY1345" s="120"/>
      <c r="RZ1345" s="120"/>
      <c r="SA1345" s="120"/>
      <c r="SB1345" s="120"/>
      <c r="SC1345" s="120"/>
      <c r="SD1345" s="120"/>
      <c r="SE1345" s="120"/>
      <c r="SF1345" s="120"/>
      <c r="SG1345" s="120"/>
      <c r="SH1345" s="120"/>
      <c r="SI1345" s="120"/>
      <c r="SJ1345" s="120"/>
      <c r="SK1345" s="120"/>
      <c r="SL1345" s="120"/>
      <c r="SM1345" s="120"/>
      <c r="SN1345" s="120"/>
      <c r="SO1345" s="120"/>
      <c r="SP1345" s="120"/>
      <c r="SQ1345" s="120"/>
      <c r="SR1345" s="120"/>
      <c r="SS1345" s="120"/>
      <c r="ST1345" s="120"/>
      <c r="SU1345" s="120"/>
      <c r="SV1345" s="120"/>
      <c r="SW1345" s="120"/>
      <c r="SX1345" s="120"/>
      <c r="SY1345" s="120"/>
      <c r="SZ1345" s="120"/>
      <c r="TA1345" s="120"/>
      <c r="TB1345" s="120"/>
      <c r="TC1345" s="120"/>
      <c r="TD1345" s="120"/>
      <c r="TE1345" s="120"/>
      <c r="TF1345" s="120"/>
      <c r="TG1345" s="120"/>
      <c r="TH1345" s="120"/>
      <c r="TI1345" s="120"/>
      <c r="TJ1345" s="120"/>
      <c r="TK1345" s="120"/>
      <c r="TL1345" s="120"/>
      <c r="TM1345" s="120"/>
      <c r="TN1345" s="120"/>
      <c r="TO1345" s="120"/>
      <c r="TP1345" s="120"/>
      <c r="TQ1345" s="120"/>
      <c r="TR1345" s="120"/>
      <c r="TS1345" s="120"/>
      <c r="TT1345" s="120"/>
      <c r="TU1345" s="120"/>
      <c r="TV1345" s="120"/>
      <c r="TW1345" s="120"/>
      <c r="TX1345" s="120"/>
      <c r="TY1345" s="120"/>
      <c r="TZ1345" s="120"/>
      <c r="UA1345" s="120"/>
      <c r="UB1345" s="120"/>
      <c r="UC1345" s="120"/>
      <c r="UD1345" s="120"/>
      <c r="UE1345" s="120"/>
      <c r="UF1345" s="120"/>
      <c r="UG1345" s="120"/>
      <c r="UH1345" s="120"/>
      <c r="UI1345" s="120"/>
      <c r="UJ1345" s="120"/>
      <c r="UK1345" s="120"/>
      <c r="UL1345" s="120"/>
      <c r="UM1345" s="120"/>
      <c r="UN1345" s="120"/>
      <c r="UO1345" s="120"/>
      <c r="UP1345" s="120"/>
      <c r="UQ1345" s="120"/>
      <c r="UR1345" s="120"/>
      <c r="US1345" s="120"/>
      <c r="UT1345" s="120"/>
      <c r="UU1345" s="120"/>
      <c r="UV1345" s="120"/>
      <c r="UW1345" s="120"/>
      <c r="UX1345" s="120"/>
      <c r="UY1345" s="120"/>
      <c r="UZ1345" s="120"/>
      <c r="VA1345" s="120"/>
      <c r="VB1345" s="120"/>
      <c r="VC1345" s="120"/>
      <c r="VD1345" s="120"/>
      <c r="VE1345" s="120"/>
      <c r="VF1345" s="120"/>
      <c r="VG1345" s="120"/>
      <c r="VH1345" s="120"/>
      <c r="VI1345" s="120"/>
      <c r="VJ1345" s="120"/>
      <c r="VK1345" s="120"/>
      <c r="VL1345" s="120"/>
      <c r="VM1345" s="120"/>
      <c r="VN1345" s="120"/>
      <c r="VO1345" s="120"/>
      <c r="VP1345" s="120"/>
      <c r="VQ1345" s="120"/>
      <c r="VR1345" s="120"/>
      <c r="VS1345" s="120"/>
      <c r="VT1345" s="120"/>
      <c r="VU1345" s="120"/>
      <c r="VV1345" s="120"/>
      <c r="VW1345" s="120"/>
      <c r="VX1345" s="120"/>
      <c r="VY1345" s="120"/>
      <c r="VZ1345" s="120"/>
      <c r="WA1345" s="120"/>
      <c r="WB1345" s="120"/>
      <c r="WC1345" s="120"/>
      <c r="WD1345" s="120"/>
      <c r="WE1345" s="120"/>
      <c r="WF1345" s="120"/>
      <c r="WG1345" s="120"/>
      <c r="WH1345" s="120"/>
      <c r="WI1345" s="120"/>
      <c r="WJ1345" s="120"/>
      <c r="WK1345" s="120"/>
      <c r="WL1345" s="120"/>
      <c r="WM1345" s="120"/>
      <c r="WN1345" s="120"/>
      <c r="WO1345" s="120"/>
      <c r="WP1345" s="120"/>
      <c r="WQ1345" s="120"/>
      <c r="WR1345" s="120"/>
      <c r="WS1345" s="120"/>
      <c r="WT1345" s="120"/>
      <c r="WU1345" s="120"/>
      <c r="WV1345" s="120"/>
      <c r="WW1345" s="120"/>
      <c r="WX1345" s="120"/>
      <c r="WY1345" s="120"/>
      <c r="WZ1345" s="120"/>
      <c r="XA1345" s="120"/>
      <c r="XB1345" s="120"/>
      <c r="XC1345" s="120"/>
      <c r="XD1345" s="120"/>
      <c r="XE1345" s="120"/>
      <c r="XF1345" s="120"/>
      <c r="XG1345" s="120"/>
      <c r="XH1345" s="120"/>
      <c r="XI1345" s="120"/>
      <c r="XJ1345" s="120"/>
      <c r="XK1345" s="120"/>
      <c r="XL1345" s="120"/>
      <c r="XM1345" s="120"/>
      <c r="XN1345" s="120"/>
      <c r="XO1345" s="120"/>
      <c r="XP1345" s="120"/>
      <c r="XQ1345" s="120"/>
      <c r="XR1345" s="120"/>
      <c r="XS1345" s="120"/>
      <c r="XT1345" s="120"/>
      <c r="XU1345" s="120"/>
      <c r="XV1345" s="120"/>
      <c r="XW1345" s="120"/>
      <c r="XX1345" s="120"/>
      <c r="XY1345" s="120"/>
      <c r="XZ1345" s="120"/>
      <c r="YA1345" s="120"/>
      <c r="YB1345" s="120"/>
      <c r="YC1345" s="120"/>
      <c r="YD1345" s="120"/>
      <c r="YE1345" s="120"/>
      <c r="YF1345" s="120"/>
      <c r="YG1345" s="120"/>
      <c r="YH1345" s="120"/>
      <c r="YI1345" s="120"/>
      <c r="YJ1345" s="120"/>
      <c r="YK1345" s="120"/>
      <c r="YL1345" s="120"/>
      <c r="YM1345" s="120"/>
      <c r="YN1345" s="120"/>
      <c r="YO1345" s="120"/>
      <c r="YP1345" s="120"/>
      <c r="YQ1345" s="120"/>
      <c r="YR1345" s="120"/>
      <c r="YS1345" s="120"/>
      <c r="YT1345" s="120"/>
      <c r="YU1345" s="120"/>
      <c r="YV1345" s="120"/>
      <c r="YW1345" s="120"/>
      <c r="YX1345" s="120"/>
      <c r="YY1345" s="120"/>
      <c r="YZ1345" s="120"/>
      <c r="ZA1345" s="120"/>
      <c r="ZB1345" s="120"/>
      <c r="ZC1345" s="120"/>
      <c r="ZD1345" s="120"/>
      <c r="ZE1345" s="120"/>
      <c r="ZF1345" s="120"/>
      <c r="ZG1345" s="120"/>
      <c r="ZH1345" s="120"/>
      <c r="ZI1345" s="120"/>
      <c r="ZJ1345" s="120"/>
      <c r="ZK1345" s="120"/>
      <c r="ZL1345" s="120"/>
      <c r="ZM1345" s="120"/>
      <c r="ZN1345" s="120"/>
      <c r="ZO1345" s="120"/>
      <c r="ZP1345" s="120"/>
      <c r="ZQ1345" s="120"/>
      <c r="ZR1345" s="120"/>
      <c r="ZS1345" s="120"/>
      <c r="ZT1345" s="120"/>
      <c r="ZU1345" s="120"/>
      <c r="ZV1345" s="120"/>
      <c r="ZW1345" s="120"/>
      <c r="ZX1345" s="120"/>
      <c r="ZY1345" s="120"/>
      <c r="ZZ1345" s="120"/>
      <c r="AAA1345" s="120"/>
      <c r="AAB1345" s="120"/>
      <c r="AAC1345" s="120"/>
      <c r="AAD1345" s="120"/>
      <c r="AAE1345" s="120"/>
      <c r="AAF1345" s="120"/>
      <c r="AAG1345" s="120"/>
      <c r="AAH1345" s="120"/>
      <c r="AAI1345" s="120"/>
      <c r="AAJ1345" s="120"/>
      <c r="AAK1345" s="120"/>
      <c r="AAL1345" s="120"/>
      <c r="AAM1345" s="120"/>
      <c r="AAN1345" s="120"/>
      <c r="AAO1345" s="120"/>
      <c r="AAP1345" s="120"/>
      <c r="AAQ1345" s="120"/>
      <c r="AAR1345" s="120"/>
      <c r="AAS1345" s="120"/>
      <c r="AAT1345" s="120"/>
      <c r="AAU1345" s="120"/>
      <c r="AAV1345" s="120"/>
      <c r="AAW1345" s="120"/>
      <c r="AAX1345" s="120"/>
      <c r="AAY1345" s="120"/>
      <c r="AAZ1345" s="120"/>
      <c r="ABA1345" s="120"/>
      <c r="ABB1345" s="120"/>
      <c r="ABC1345" s="120"/>
      <c r="ABD1345" s="120"/>
      <c r="ABE1345" s="120"/>
      <c r="ABF1345" s="120"/>
      <c r="ABG1345" s="120"/>
      <c r="ABH1345" s="120"/>
      <c r="ABI1345" s="120"/>
      <c r="ABJ1345" s="120"/>
      <c r="ABK1345" s="120"/>
      <c r="ABL1345" s="120"/>
      <c r="ABM1345" s="120"/>
      <c r="ABN1345" s="120"/>
      <c r="ABO1345" s="120"/>
      <c r="ABP1345" s="120"/>
      <c r="ABQ1345" s="120"/>
      <c r="ABR1345" s="120"/>
      <c r="ABS1345" s="120"/>
      <c r="ABT1345" s="120"/>
      <c r="ABU1345" s="120"/>
      <c r="ABV1345" s="120"/>
      <c r="ABW1345" s="120"/>
      <c r="ABX1345" s="120"/>
      <c r="ABY1345" s="120"/>
      <c r="ABZ1345" s="120"/>
      <c r="ACA1345" s="120"/>
      <c r="ACB1345" s="120"/>
      <c r="ACC1345" s="120"/>
      <c r="ACD1345" s="120"/>
      <c r="ACE1345" s="120"/>
      <c r="ACF1345" s="120"/>
      <c r="ACG1345" s="120"/>
      <c r="ACH1345" s="120"/>
      <c r="ACI1345" s="120"/>
      <c r="ACJ1345" s="120"/>
      <c r="ACK1345" s="120"/>
      <c r="ACL1345" s="120"/>
      <c r="ACM1345" s="120"/>
      <c r="ACN1345" s="120"/>
      <c r="ACO1345" s="120"/>
      <c r="ACP1345" s="120"/>
      <c r="ACQ1345" s="120"/>
      <c r="ACR1345" s="120"/>
      <c r="ACS1345" s="120"/>
      <c r="ACT1345" s="120"/>
      <c r="ACU1345" s="120"/>
      <c r="ACV1345" s="120"/>
      <c r="ACW1345" s="120"/>
      <c r="ACX1345" s="120"/>
      <c r="ACY1345" s="120"/>
      <c r="ACZ1345" s="120"/>
      <c r="ADA1345" s="120"/>
      <c r="ADB1345" s="120"/>
      <c r="ADC1345" s="120"/>
      <c r="ADD1345" s="120"/>
      <c r="ADE1345" s="120"/>
      <c r="ADF1345" s="120"/>
      <c r="ADG1345" s="120"/>
      <c r="ADH1345" s="120"/>
      <c r="ADI1345" s="120"/>
      <c r="ADJ1345" s="120"/>
      <c r="ADK1345" s="120"/>
      <c r="ADL1345" s="120"/>
      <c r="ADM1345" s="120"/>
      <c r="ADN1345" s="120"/>
      <c r="ADO1345" s="120"/>
      <c r="ADP1345" s="120"/>
      <c r="ADQ1345" s="120"/>
      <c r="ADR1345" s="120"/>
      <c r="ADS1345" s="120"/>
      <c r="ADT1345" s="120"/>
      <c r="ADU1345" s="120"/>
      <c r="ADV1345" s="120"/>
      <c r="ADW1345" s="120"/>
      <c r="ADX1345" s="120"/>
      <c r="ADY1345" s="120"/>
      <c r="ADZ1345" s="120"/>
      <c r="AEA1345" s="120"/>
      <c r="AEB1345" s="120"/>
      <c r="AEC1345" s="120"/>
      <c r="AED1345" s="120"/>
      <c r="AEE1345" s="120"/>
      <c r="AEF1345" s="120"/>
      <c r="AEG1345" s="120"/>
      <c r="AEH1345" s="120"/>
      <c r="AEI1345" s="120"/>
      <c r="AEJ1345" s="120"/>
      <c r="AEK1345" s="120"/>
      <c r="AEL1345" s="120"/>
      <c r="AEM1345" s="120"/>
      <c r="AEN1345" s="120"/>
      <c r="AEO1345" s="120"/>
      <c r="AEP1345" s="120"/>
      <c r="AEQ1345" s="120"/>
      <c r="AER1345" s="120"/>
      <c r="AES1345" s="120"/>
      <c r="AET1345" s="120"/>
      <c r="AEU1345" s="120"/>
      <c r="AEV1345" s="120"/>
      <c r="AEW1345" s="120"/>
      <c r="AEX1345" s="120"/>
      <c r="AEY1345" s="120"/>
      <c r="AEZ1345" s="120"/>
      <c r="AFA1345" s="120"/>
      <c r="AFB1345" s="120"/>
      <c r="AFC1345" s="120"/>
      <c r="AFD1345" s="120"/>
      <c r="AFE1345" s="120"/>
      <c r="AFF1345" s="120"/>
      <c r="AFG1345" s="120"/>
      <c r="AFH1345" s="120"/>
      <c r="AFI1345" s="120"/>
      <c r="AFJ1345" s="120"/>
      <c r="AFK1345" s="120"/>
      <c r="AFL1345" s="120"/>
      <c r="AFM1345" s="120"/>
      <c r="AFN1345" s="120"/>
      <c r="AFO1345" s="120"/>
      <c r="AFP1345" s="120"/>
      <c r="AFQ1345" s="120"/>
      <c r="AFR1345" s="120"/>
      <c r="AFS1345" s="120"/>
      <c r="AFT1345" s="120"/>
      <c r="AFU1345" s="120"/>
      <c r="AFV1345" s="120"/>
      <c r="AFW1345" s="120"/>
      <c r="AFX1345" s="120"/>
      <c r="AFY1345" s="120"/>
      <c r="AFZ1345" s="120"/>
      <c r="AGA1345" s="120"/>
      <c r="AGB1345" s="120"/>
      <c r="AGC1345" s="120"/>
      <c r="AGD1345" s="120"/>
      <c r="AGE1345" s="120"/>
      <c r="AGF1345" s="120"/>
      <c r="AGG1345" s="120"/>
      <c r="AGH1345" s="120"/>
      <c r="AGI1345" s="120"/>
      <c r="AGJ1345" s="120"/>
      <c r="AGK1345" s="120"/>
      <c r="AGL1345" s="120"/>
      <c r="AGM1345" s="120"/>
      <c r="AGN1345" s="120"/>
      <c r="AGO1345" s="120"/>
      <c r="AGP1345" s="120"/>
      <c r="AGQ1345" s="120"/>
      <c r="AGR1345" s="120"/>
      <c r="AGS1345" s="120"/>
      <c r="AGT1345" s="120"/>
      <c r="AGU1345" s="120"/>
      <c r="AGV1345" s="120"/>
      <c r="AGW1345" s="120"/>
      <c r="AGX1345" s="120"/>
      <c r="AGY1345" s="120"/>
      <c r="AGZ1345" s="120"/>
      <c r="AHA1345" s="120"/>
      <c r="AHB1345" s="120"/>
      <c r="AHC1345" s="120"/>
      <c r="AHD1345" s="120"/>
      <c r="AHE1345" s="120"/>
      <c r="AHF1345" s="120"/>
      <c r="AHG1345" s="120"/>
      <c r="AHH1345" s="120"/>
      <c r="AHI1345" s="120"/>
      <c r="AHJ1345" s="120"/>
      <c r="AHK1345" s="120"/>
      <c r="AHL1345" s="120"/>
      <c r="AHM1345" s="120"/>
      <c r="AHN1345" s="120"/>
      <c r="AHO1345" s="120"/>
      <c r="AHP1345" s="120"/>
      <c r="AHQ1345" s="120"/>
      <c r="AHR1345" s="120"/>
      <c r="AHS1345" s="120"/>
      <c r="AHT1345" s="120"/>
      <c r="AHU1345" s="120"/>
      <c r="AHV1345" s="120"/>
      <c r="AHW1345" s="120"/>
      <c r="AHX1345" s="120"/>
      <c r="AHY1345" s="120"/>
      <c r="AHZ1345" s="120"/>
      <c r="AIA1345" s="120"/>
      <c r="AIB1345" s="120"/>
      <c r="AIC1345" s="120"/>
      <c r="AID1345" s="120"/>
      <c r="AIE1345" s="120"/>
      <c r="AIF1345" s="120"/>
      <c r="AIG1345" s="120"/>
      <c r="AIH1345" s="120"/>
      <c r="AII1345" s="120"/>
      <c r="AIJ1345" s="120"/>
      <c r="AIK1345" s="120"/>
      <c r="AIL1345" s="120"/>
      <c r="AIM1345" s="120"/>
      <c r="AIN1345" s="120"/>
      <c r="AIO1345" s="120"/>
      <c r="AIP1345" s="120"/>
      <c r="AIQ1345" s="120"/>
      <c r="AIR1345" s="120"/>
      <c r="AIS1345" s="120"/>
      <c r="AIT1345" s="120"/>
      <c r="AIU1345" s="120"/>
      <c r="AIV1345" s="120"/>
      <c r="AIW1345" s="120"/>
      <c r="AIX1345" s="120"/>
      <c r="AIY1345" s="120"/>
      <c r="AIZ1345" s="120"/>
      <c r="AJA1345" s="120"/>
      <c r="AJB1345" s="120"/>
      <c r="AJC1345" s="120"/>
      <c r="AJD1345" s="120"/>
      <c r="AJE1345" s="120"/>
      <c r="AJF1345" s="120"/>
      <c r="AJG1345" s="120"/>
      <c r="AJH1345" s="120"/>
      <c r="AJI1345" s="120"/>
      <c r="AJJ1345" s="120"/>
      <c r="AJK1345" s="120"/>
      <c r="AJL1345" s="120"/>
      <c r="AJM1345" s="120"/>
      <c r="AJN1345" s="120"/>
      <c r="AJO1345" s="120"/>
      <c r="AJP1345" s="120"/>
      <c r="AJQ1345" s="120"/>
      <c r="AJR1345" s="120"/>
      <c r="AJS1345" s="120"/>
      <c r="AJT1345" s="120"/>
      <c r="AJU1345" s="120"/>
      <c r="AJV1345" s="120"/>
      <c r="AJW1345" s="120"/>
      <c r="AJX1345" s="120"/>
      <c r="AJY1345" s="120"/>
      <c r="AJZ1345" s="120"/>
      <c r="AKA1345" s="120"/>
      <c r="AKB1345" s="120"/>
      <c r="AKC1345" s="120"/>
      <c r="AKD1345" s="120"/>
      <c r="AKE1345" s="120"/>
      <c r="AKF1345" s="120"/>
      <c r="AKG1345" s="120"/>
      <c r="AKH1345" s="120"/>
      <c r="AKI1345" s="120"/>
      <c r="AKJ1345" s="120"/>
      <c r="AKK1345" s="120"/>
      <c r="AKL1345" s="120"/>
      <c r="AKM1345" s="120"/>
      <c r="AKN1345" s="120"/>
      <c r="AKO1345" s="120"/>
      <c r="AKP1345" s="120"/>
      <c r="AKQ1345" s="120"/>
      <c r="AKR1345" s="120"/>
      <c r="AKS1345" s="120"/>
      <c r="AKT1345" s="120"/>
      <c r="AKU1345" s="120"/>
      <c r="AKV1345" s="120"/>
      <c r="AKW1345" s="120"/>
      <c r="AKX1345" s="120"/>
      <c r="AKY1345" s="120"/>
      <c r="AKZ1345" s="120"/>
      <c r="ALA1345" s="120"/>
      <c r="ALB1345" s="120"/>
      <c r="ALC1345" s="120"/>
      <c r="ALD1345" s="120"/>
      <c r="ALE1345" s="120"/>
      <c r="ALF1345" s="120"/>
      <c r="ALG1345" s="120"/>
      <c r="ALH1345" s="120"/>
      <c r="ALI1345" s="120"/>
      <c r="ALJ1345" s="120"/>
      <c r="ALK1345" s="120"/>
      <c r="ALL1345" s="120"/>
      <c r="ALM1345" s="120"/>
      <c r="ALN1345" s="120"/>
      <c r="ALO1345" s="120"/>
      <c r="ALP1345" s="120"/>
      <c r="ALQ1345" s="120"/>
      <c r="ALR1345" s="120"/>
      <c r="ALS1345" s="120"/>
      <c r="ALT1345" s="120"/>
      <c r="ALU1345" s="120"/>
      <c r="ALV1345" s="120"/>
      <c r="ALW1345" s="120"/>
      <c r="ALX1345" s="120"/>
      <c r="ALY1345" s="120"/>
      <c r="ALZ1345" s="120"/>
      <c r="AMA1345" s="120"/>
      <c r="AMB1345" s="120"/>
      <c r="AMC1345" s="120"/>
      <c r="AMD1345" s="120"/>
      <c r="AME1345" s="120"/>
      <c r="AMF1345" s="120"/>
      <c r="AMG1345" s="120"/>
      <c r="AMH1345" s="120"/>
      <c r="AMI1345" s="120"/>
      <c r="AMJ1345" s="120"/>
      <c r="AMK1345" s="120"/>
      <c r="AML1345" s="120"/>
      <c r="AMM1345" s="120"/>
      <c r="AMN1345" s="120"/>
      <c r="AMO1345" s="120"/>
      <c r="AMP1345" s="120"/>
      <c r="AMQ1345" s="120"/>
      <c r="AMR1345" s="120"/>
      <c r="AMS1345" s="120"/>
      <c r="AMT1345" s="120"/>
      <c r="AMU1345" s="120"/>
      <c r="AMV1345" s="120"/>
      <c r="AMW1345" s="120"/>
      <c r="AMX1345" s="120"/>
      <c r="AMY1345" s="120"/>
      <c r="AMZ1345" s="120"/>
      <c r="ANA1345" s="120"/>
      <c r="ANB1345" s="120"/>
      <c r="ANC1345" s="120"/>
      <c r="AND1345" s="120"/>
      <c r="ANE1345" s="120"/>
      <c r="ANF1345" s="120"/>
      <c r="ANG1345" s="120"/>
      <c r="ANH1345" s="120"/>
      <c r="ANI1345" s="120"/>
      <c r="ANJ1345" s="120"/>
      <c r="ANK1345" s="120"/>
      <c r="ANL1345" s="120"/>
      <c r="ANM1345" s="120"/>
      <c r="ANN1345" s="120"/>
      <c r="ANO1345" s="120"/>
      <c r="ANP1345" s="120"/>
      <c r="ANQ1345" s="120"/>
      <c r="ANR1345" s="120"/>
      <c r="ANS1345" s="120"/>
      <c r="ANT1345" s="120"/>
      <c r="ANU1345" s="120"/>
      <c r="ANV1345" s="120"/>
      <c r="ANW1345" s="120"/>
      <c r="ANX1345" s="120"/>
      <c r="ANY1345" s="120"/>
      <c r="ANZ1345" s="120"/>
      <c r="AOA1345" s="120"/>
      <c r="AOB1345" s="120"/>
      <c r="AOC1345" s="120"/>
      <c r="AOD1345" s="120"/>
      <c r="AOE1345" s="120"/>
      <c r="AOF1345" s="120"/>
      <c r="AOG1345" s="120"/>
      <c r="AOH1345" s="120"/>
      <c r="AOI1345" s="120"/>
      <c r="AOJ1345" s="120"/>
      <c r="AOK1345" s="120"/>
      <c r="AOL1345" s="120"/>
      <c r="AOM1345" s="120"/>
      <c r="AON1345" s="120"/>
      <c r="AOO1345" s="120"/>
      <c r="AOP1345" s="120"/>
      <c r="AOQ1345" s="120"/>
      <c r="AOR1345" s="120"/>
      <c r="AOS1345" s="120"/>
      <c r="AOT1345" s="120"/>
      <c r="AOU1345" s="120"/>
      <c r="AOV1345" s="120"/>
      <c r="AOW1345" s="120"/>
      <c r="AOX1345" s="120"/>
      <c r="AOY1345" s="120"/>
      <c r="AOZ1345" s="120"/>
      <c r="APA1345" s="120"/>
      <c r="APB1345" s="120"/>
      <c r="APC1345" s="120"/>
      <c r="APD1345" s="120"/>
      <c r="APE1345" s="120"/>
      <c r="APF1345" s="120"/>
      <c r="APG1345" s="120"/>
      <c r="APH1345" s="120"/>
      <c r="API1345" s="120"/>
      <c r="APJ1345" s="120"/>
      <c r="APK1345" s="120"/>
      <c r="APL1345" s="120"/>
      <c r="APM1345" s="120"/>
      <c r="APN1345" s="120"/>
      <c r="APO1345" s="120"/>
      <c r="APP1345" s="120"/>
      <c r="APQ1345" s="120"/>
      <c r="APR1345" s="120"/>
      <c r="APS1345" s="120"/>
      <c r="APT1345" s="120"/>
      <c r="APU1345" s="120"/>
      <c r="APV1345" s="120"/>
      <c r="APW1345" s="120"/>
      <c r="APX1345" s="120"/>
      <c r="APY1345" s="120"/>
      <c r="APZ1345" s="120"/>
      <c r="AQA1345" s="120"/>
      <c r="AQB1345" s="120"/>
      <c r="AQC1345" s="120"/>
      <c r="AQD1345" s="120"/>
      <c r="AQE1345" s="120"/>
      <c r="AQF1345" s="120"/>
      <c r="AQG1345" s="120"/>
      <c r="AQH1345" s="120"/>
      <c r="AQI1345" s="120"/>
      <c r="AQJ1345" s="120"/>
      <c r="AQK1345" s="120"/>
      <c r="AQL1345" s="120"/>
      <c r="AQM1345" s="120"/>
      <c r="AQN1345" s="120"/>
      <c r="AQO1345" s="120"/>
      <c r="AQP1345" s="120"/>
      <c r="AQQ1345" s="120"/>
      <c r="AQR1345" s="120"/>
      <c r="AQS1345" s="120"/>
      <c r="AQT1345" s="120"/>
      <c r="AQU1345" s="120"/>
      <c r="AQV1345" s="120"/>
      <c r="AQW1345" s="120"/>
      <c r="AQX1345" s="120"/>
      <c r="AQY1345" s="120"/>
      <c r="AQZ1345" s="120"/>
      <c r="ARA1345" s="120"/>
      <c r="ARB1345" s="120"/>
      <c r="ARC1345" s="120"/>
      <c r="ARD1345" s="120"/>
      <c r="ARE1345" s="120"/>
      <c r="ARF1345" s="120"/>
      <c r="ARG1345" s="120"/>
      <c r="ARH1345" s="120"/>
      <c r="ARI1345" s="120"/>
      <c r="ARJ1345" s="120"/>
      <c r="ARK1345" s="120"/>
      <c r="ARL1345" s="120"/>
      <c r="ARM1345" s="120"/>
      <c r="ARN1345" s="120"/>
      <c r="ARO1345" s="120"/>
      <c r="ARP1345" s="120"/>
      <c r="ARQ1345" s="120"/>
      <c r="ARR1345" s="120"/>
      <c r="ARS1345" s="120"/>
      <c r="ART1345" s="120"/>
      <c r="ARU1345" s="120"/>
      <c r="ARV1345" s="120"/>
      <c r="ARW1345" s="120"/>
      <c r="ARX1345" s="120"/>
      <c r="ARY1345" s="120"/>
      <c r="ARZ1345" s="120"/>
      <c r="ASA1345" s="120"/>
      <c r="ASB1345" s="120"/>
      <c r="ASC1345" s="120"/>
      <c r="ASD1345" s="120"/>
      <c r="ASE1345" s="120"/>
      <c r="ASF1345" s="120"/>
      <c r="ASG1345" s="120"/>
      <c r="ASH1345" s="120"/>
      <c r="ASI1345" s="120"/>
      <c r="ASJ1345" s="120"/>
      <c r="ASK1345" s="120"/>
      <c r="ASL1345" s="120"/>
      <c r="ASM1345" s="120"/>
      <c r="ASN1345" s="120"/>
      <c r="ASO1345" s="120"/>
      <c r="ASP1345" s="120"/>
      <c r="ASQ1345" s="120"/>
      <c r="ASR1345" s="120"/>
      <c r="ASS1345" s="120"/>
      <c r="AST1345" s="120"/>
      <c r="ASU1345" s="120"/>
      <c r="ASV1345" s="120"/>
      <c r="ASW1345" s="120"/>
      <c r="ASX1345" s="120"/>
      <c r="ASY1345" s="120"/>
      <c r="ASZ1345" s="120"/>
      <c r="ATA1345" s="120"/>
      <c r="ATB1345" s="120"/>
      <c r="ATC1345" s="120"/>
      <c r="ATD1345" s="120"/>
      <c r="ATE1345" s="120"/>
      <c r="ATF1345" s="120"/>
      <c r="ATG1345" s="120"/>
      <c r="ATH1345" s="120"/>
      <c r="ATI1345" s="120"/>
      <c r="ATJ1345" s="120"/>
      <c r="ATK1345" s="120"/>
      <c r="ATL1345" s="120"/>
      <c r="ATM1345" s="120"/>
      <c r="ATN1345" s="120"/>
      <c r="ATO1345" s="120"/>
    </row>
    <row r="1346" spans="1:1211" s="20" customFormat="1" ht="14.1" customHeight="1">
      <c r="A1346" s="629"/>
      <c r="B1346" s="630"/>
      <c r="C1346" s="631"/>
      <c r="D1346" s="631"/>
      <c r="E1346" s="898"/>
      <c r="F1346" s="899"/>
      <c r="G1346" s="899"/>
      <c r="H1346" s="899"/>
      <c r="I1346" s="899"/>
      <c r="J1346" s="899"/>
      <c r="K1346" s="112"/>
      <c r="L1346" s="363"/>
      <c r="M1346" s="112"/>
      <c r="N1346" s="362"/>
      <c r="O1346" s="573"/>
      <c r="P1346" s="120"/>
      <c r="Q1346" s="120"/>
      <c r="R1346" s="120"/>
      <c r="S1346" s="120"/>
      <c r="T1346" s="120"/>
      <c r="U1346" s="120"/>
      <c r="V1346" s="120"/>
      <c r="W1346" s="120"/>
      <c r="X1346" s="120"/>
      <c r="Y1346" s="120"/>
      <c r="Z1346" s="120"/>
      <c r="AA1346" s="120"/>
      <c r="AB1346" s="120"/>
      <c r="AC1346" s="120"/>
      <c r="AD1346" s="120"/>
      <c r="AE1346" s="120"/>
      <c r="AF1346" s="120"/>
      <c r="AG1346" s="120"/>
      <c r="AH1346" s="120"/>
      <c r="AI1346" s="120"/>
      <c r="AJ1346" s="120"/>
      <c r="AK1346" s="120"/>
      <c r="AL1346" s="120"/>
      <c r="AM1346" s="120"/>
      <c r="AN1346" s="120"/>
      <c r="AO1346" s="120"/>
      <c r="AP1346" s="120"/>
      <c r="AQ1346" s="120"/>
      <c r="AR1346" s="120"/>
      <c r="AS1346" s="120"/>
      <c r="AT1346" s="120"/>
      <c r="AU1346" s="120"/>
      <c r="AV1346" s="120"/>
      <c r="AW1346" s="120"/>
      <c r="AX1346" s="120"/>
      <c r="AY1346" s="120"/>
      <c r="AZ1346" s="120"/>
      <c r="BA1346" s="120"/>
      <c r="BB1346" s="120"/>
      <c r="BC1346" s="120"/>
      <c r="BD1346" s="120"/>
      <c r="BE1346" s="120"/>
      <c r="BF1346" s="120"/>
      <c r="BG1346" s="120"/>
      <c r="BH1346" s="120"/>
      <c r="BI1346" s="120"/>
      <c r="BJ1346" s="120"/>
      <c r="BK1346" s="120"/>
      <c r="BL1346" s="120"/>
      <c r="BM1346" s="120"/>
      <c r="BN1346" s="120"/>
      <c r="BO1346" s="120"/>
      <c r="BP1346" s="120"/>
      <c r="BQ1346" s="120"/>
      <c r="BR1346" s="120"/>
      <c r="BS1346" s="120"/>
      <c r="BT1346" s="120"/>
      <c r="BU1346" s="120"/>
      <c r="BV1346" s="120"/>
      <c r="BW1346" s="120"/>
      <c r="BX1346" s="120"/>
      <c r="BY1346" s="120"/>
      <c r="BZ1346" s="120"/>
      <c r="CA1346" s="120"/>
      <c r="CB1346" s="120"/>
      <c r="CC1346" s="120"/>
      <c r="CD1346" s="120"/>
      <c r="CE1346" s="120"/>
      <c r="CF1346" s="120"/>
      <c r="CG1346" s="120"/>
      <c r="CH1346" s="120"/>
      <c r="CI1346" s="120"/>
      <c r="CJ1346" s="120"/>
      <c r="CK1346" s="120"/>
      <c r="CL1346" s="120"/>
      <c r="CM1346" s="120"/>
      <c r="CN1346" s="120"/>
      <c r="CO1346" s="120"/>
      <c r="CP1346" s="120"/>
      <c r="CQ1346" s="120"/>
      <c r="CR1346" s="120"/>
      <c r="CS1346" s="120"/>
      <c r="CT1346" s="120"/>
      <c r="CU1346" s="120"/>
      <c r="CV1346" s="120"/>
      <c r="CW1346" s="120"/>
      <c r="CX1346" s="120"/>
      <c r="CY1346" s="120"/>
      <c r="CZ1346" s="120"/>
      <c r="DA1346" s="120"/>
      <c r="DB1346" s="120"/>
      <c r="DC1346" s="120"/>
      <c r="DD1346" s="120"/>
      <c r="DE1346" s="120"/>
      <c r="DF1346" s="120"/>
      <c r="DG1346" s="120"/>
      <c r="DH1346" s="120"/>
      <c r="DI1346" s="120"/>
      <c r="DJ1346" s="120"/>
      <c r="DK1346" s="120"/>
      <c r="DL1346" s="120"/>
      <c r="DM1346" s="120"/>
      <c r="DN1346" s="120"/>
      <c r="DO1346" s="120"/>
      <c r="DP1346" s="120"/>
      <c r="DQ1346" s="120"/>
      <c r="DR1346" s="120"/>
      <c r="DS1346" s="120"/>
      <c r="DT1346" s="120"/>
      <c r="DU1346" s="120"/>
      <c r="DV1346" s="120"/>
      <c r="DW1346" s="120"/>
      <c r="DX1346" s="120"/>
      <c r="DY1346" s="120"/>
      <c r="DZ1346" s="120"/>
      <c r="EA1346" s="120"/>
      <c r="EB1346" s="120"/>
      <c r="EC1346" s="120"/>
      <c r="ED1346" s="120"/>
      <c r="EE1346" s="120"/>
      <c r="EF1346" s="120"/>
      <c r="EG1346" s="120"/>
      <c r="EH1346" s="120"/>
      <c r="EI1346" s="120"/>
      <c r="EJ1346" s="120"/>
      <c r="EK1346" s="120"/>
      <c r="EL1346" s="120"/>
      <c r="EM1346" s="120"/>
      <c r="EN1346" s="120"/>
      <c r="EO1346" s="120"/>
      <c r="EP1346" s="120"/>
      <c r="EQ1346" s="120"/>
      <c r="ER1346" s="120"/>
      <c r="ES1346" s="120"/>
      <c r="ET1346" s="120"/>
      <c r="EU1346" s="120"/>
      <c r="EV1346" s="120"/>
      <c r="EW1346" s="120"/>
      <c r="EX1346" s="120"/>
      <c r="EY1346" s="120"/>
      <c r="EZ1346" s="120"/>
      <c r="FA1346" s="120"/>
      <c r="FB1346" s="120"/>
      <c r="FC1346" s="120"/>
      <c r="FD1346" s="120"/>
      <c r="FE1346" s="120"/>
      <c r="FF1346" s="120"/>
      <c r="FG1346" s="120"/>
      <c r="FH1346" s="120"/>
      <c r="FI1346" s="120"/>
      <c r="FJ1346" s="120"/>
      <c r="FK1346" s="120"/>
      <c r="FL1346" s="120"/>
      <c r="FM1346" s="120"/>
      <c r="FN1346" s="120"/>
      <c r="FO1346" s="120"/>
      <c r="FP1346" s="120"/>
      <c r="FQ1346" s="120"/>
      <c r="FR1346" s="120"/>
      <c r="FS1346" s="120"/>
      <c r="FT1346" s="120"/>
      <c r="FU1346" s="120"/>
      <c r="FV1346" s="120"/>
      <c r="FW1346" s="120"/>
      <c r="FX1346" s="120"/>
      <c r="FY1346" s="120"/>
      <c r="FZ1346" s="120"/>
      <c r="GA1346" s="120"/>
      <c r="GB1346" s="120"/>
      <c r="GC1346" s="120"/>
      <c r="GD1346" s="120"/>
      <c r="GE1346" s="120"/>
      <c r="GF1346" s="120"/>
      <c r="GG1346" s="120"/>
      <c r="GH1346" s="120"/>
      <c r="GI1346" s="120"/>
      <c r="GJ1346" s="120"/>
      <c r="GK1346" s="120"/>
      <c r="GL1346" s="120"/>
      <c r="GM1346" s="120"/>
      <c r="GN1346" s="120"/>
      <c r="GO1346" s="120"/>
      <c r="GP1346" s="120"/>
      <c r="GQ1346" s="120"/>
      <c r="GR1346" s="120"/>
      <c r="GS1346" s="120"/>
      <c r="GT1346" s="120"/>
      <c r="GU1346" s="120"/>
      <c r="GV1346" s="120"/>
      <c r="GW1346" s="120"/>
      <c r="GX1346" s="120"/>
      <c r="GY1346" s="120"/>
      <c r="GZ1346" s="120"/>
      <c r="HA1346" s="120"/>
      <c r="HB1346" s="120"/>
      <c r="HC1346" s="120"/>
      <c r="HD1346" s="120"/>
      <c r="HE1346" s="120"/>
      <c r="HF1346" s="120"/>
      <c r="HG1346" s="120"/>
      <c r="HH1346" s="120"/>
      <c r="HI1346" s="120"/>
      <c r="HJ1346" s="120"/>
      <c r="HK1346" s="120"/>
      <c r="HL1346" s="120"/>
      <c r="HM1346" s="120"/>
      <c r="HN1346" s="120"/>
      <c r="HO1346" s="120"/>
      <c r="HP1346" s="120"/>
      <c r="HQ1346" s="120"/>
      <c r="HR1346" s="120"/>
      <c r="HS1346" s="120"/>
      <c r="HT1346" s="120"/>
      <c r="HU1346" s="120"/>
      <c r="HV1346" s="120"/>
      <c r="HW1346" s="120"/>
      <c r="HX1346" s="120"/>
      <c r="HY1346" s="120"/>
      <c r="HZ1346" s="120"/>
      <c r="IA1346" s="120"/>
      <c r="IB1346" s="120"/>
      <c r="IC1346" s="120"/>
      <c r="ID1346" s="120"/>
      <c r="IE1346" s="120"/>
      <c r="IF1346" s="120"/>
      <c r="IG1346" s="120"/>
      <c r="IH1346" s="120"/>
      <c r="II1346" s="120"/>
      <c r="IJ1346" s="120"/>
      <c r="IK1346" s="120"/>
      <c r="IL1346" s="120"/>
      <c r="IM1346" s="120"/>
      <c r="IN1346" s="120"/>
      <c r="IO1346" s="120"/>
      <c r="IP1346" s="120"/>
      <c r="IQ1346" s="120"/>
      <c r="IR1346" s="120"/>
      <c r="IS1346" s="120"/>
      <c r="IT1346" s="120"/>
      <c r="IU1346" s="120"/>
      <c r="IV1346" s="120"/>
      <c r="IW1346" s="120"/>
      <c r="IX1346" s="120"/>
      <c r="IY1346" s="120"/>
      <c r="IZ1346" s="120"/>
      <c r="JA1346" s="120"/>
      <c r="JB1346" s="120"/>
      <c r="JC1346" s="120"/>
      <c r="JD1346" s="120"/>
      <c r="JE1346" s="120"/>
      <c r="JF1346" s="120"/>
      <c r="JG1346" s="120"/>
      <c r="JH1346" s="120"/>
      <c r="JI1346" s="120"/>
      <c r="JJ1346" s="120"/>
      <c r="JK1346" s="120"/>
      <c r="JL1346" s="120"/>
      <c r="JM1346" s="120"/>
      <c r="JN1346" s="120"/>
      <c r="JO1346" s="120"/>
      <c r="JP1346" s="120"/>
      <c r="JQ1346" s="120"/>
      <c r="JR1346" s="120"/>
      <c r="JS1346" s="120"/>
      <c r="JT1346" s="120"/>
      <c r="JU1346" s="120"/>
      <c r="JV1346" s="120"/>
      <c r="JW1346" s="120"/>
      <c r="JX1346" s="120"/>
      <c r="JY1346" s="120"/>
      <c r="JZ1346" s="120"/>
      <c r="KA1346" s="120"/>
      <c r="KB1346" s="120"/>
      <c r="KC1346" s="120"/>
      <c r="KD1346" s="120"/>
      <c r="KE1346" s="120"/>
      <c r="KF1346" s="120"/>
      <c r="KG1346" s="120"/>
      <c r="KH1346" s="120"/>
      <c r="KI1346" s="120"/>
      <c r="KJ1346" s="120"/>
      <c r="KK1346" s="120"/>
      <c r="KL1346" s="120"/>
      <c r="KM1346" s="120"/>
      <c r="KN1346" s="120"/>
      <c r="KO1346" s="120"/>
      <c r="KP1346" s="120"/>
      <c r="KQ1346" s="120"/>
      <c r="KR1346" s="120"/>
      <c r="KS1346" s="120"/>
      <c r="KT1346" s="120"/>
      <c r="KU1346" s="120"/>
      <c r="KV1346" s="120"/>
      <c r="KW1346" s="120"/>
      <c r="KX1346" s="120"/>
      <c r="KY1346" s="120"/>
      <c r="KZ1346" s="120"/>
      <c r="LA1346" s="120"/>
      <c r="LB1346" s="120"/>
      <c r="LC1346" s="120"/>
      <c r="LD1346" s="120"/>
      <c r="LE1346" s="120"/>
      <c r="LF1346" s="120"/>
      <c r="LG1346" s="120"/>
      <c r="LH1346" s="120"/>
      <c r="LI1346" s="120"/>
      <c r="LJ1346" s="120"/>
      <c r="LK1346" s="120"/>
      <c r="LL1346" s="120"/>
      <c r="LM1346" s="120"/>
      <c r="LN1346" s="120"/>
      <c r="LO1346" s="120"/>
      <c r="LP1346" s="120"/>
      <c r="LQ1346" s="120"/>
      <c r="LR1346" s="120"/>
      <c r="LS1346" s="120"/>
      <c r="LT1346" s="120"/>
      <c r="LU1346" s="120"/>
      <c r="LV1346" s="120"/>
      <c r="LW1346" s="120"/>
      <c r="LX1346" s="120"/>
      <c r="LY1346" s="120"/>
      <c r="LZ1346" s="120"/>
      <c r="MA1346" s="120"/>
      <c r="MB1346" s="120"/>
      <c r="MC1346" s="120"/>
      <c r="MD1346" s="120"/>
      <c r="ME1346" s="120"/>
      <c r="MF1346" s="120"/>
      <c r="MG1346" s="120"/>
      <c r="MH1346" s="120"/>
      <c r="MI1346" s="120"/>
      <c r="MJ1346" s="120"/>
      <c r="MK1346" s="120"/>
      <c r="ML1346" s="120"/>
      <c r="MM1346" s="120"/>
      <c r="MN1346" s="120"/>
      <c r="MO1346" s="120"/>
      <c r="MP1346" s="120"/>
      <c r="MQ1346" s="120"/>
      <c r="MR1346" s="120"/>
      <c r="MS1346" s="120"/>
      <c r="MT1346" s="120"/>
      <c r="MU1346" s="120"/>
      <c r="MV1346" s="120"/>
      <c r="MW1346" s="120"/>
      <c r="MX1346" s="120"/>
      <c r="MY1346" s="120"/>
      <c r="MZ1346" s="120"/>
      <c r="NA1346" s="120"/>
      <c r="NB1346" s="120"/>
      <c r="NC1346" s="120"/>
      <c r="ND1346" s="120"/>
      <c r="NE1346" s="120"/>
      <c r="NF1346" s="120"/>
      <c r="NG1346" s="120"/>
      <c r="NH1346" s="120"/>
      <c r="NI1346" s="120"/>
      <c r="NJ1346" s="120"/>
      <c r="NK1346" s="120"/>
      <c r="NL1346" s="120"/>
      <c r="NM1346" s="120"/>
      <c r="NN1346" s="120"/>
      <c r="NO1346" s="120"/>
      <c r="NP1346" s="120"/>
      <c r="NQ1346" s="120"/>
      <c r="NR1346" s="120"/>
      <c r="NS1346" s="120"/>
      <c r="NT1346" s="120"/>
      <c r="NU1346" s="120"/>
      <c r="NV1346" s="120"/>
      <c r="NW1346" s="120"/>
      <c r="NX1346" s="120"/>
      <c r="NY1346" s="120"/>
      <c r="NZ1346" s="120"/>
      <c r="OA1346" s="120"/>
      <c r="OB1346" s="120"/>
      <c r="OC1346" s="120"/>
      <c r="OD1346" s="120"/>
      <c r="OE1346" s="120"/>
      <c r="OF1346" s="120"/>
      <c r="OG1346" s="120"/>
      <c r="OH1346" s="120"/>
      <c r="OI1346" s="120"/>
      <c r="OJ1346" s="120"/>
      <c r="OK1346" s="120"/>
      <c r="OL1346" s="120"/>
      <c r="OM1346" s="120"/>
      <c r="ON1346" s="120"/>
      <c r="OO1346" s="120"/>
      <c r="OP1346" s="120"/>
      <c r="OQ1346" s="120"/>
      <c r="OR1346" s="120"/>
      <c r="OS1346" s="120"/>
      <c r="OT1346" s="120"/>
      <c r="OU1346" s="120"/>
      <c r="OV1346" s="120"/>
      <c r="OW1346" s="120"/>
      <c r="OX1346" s="120"/>
      <c r="OY1346" s="120"/>
      <c r="OZ1346" s="120"/>
      <c r="PA1346" s="120"/>
      <c r="PB1346" s="120"/>
      <c r="PC1346" s="120"/>
      <c r="PD1346" s="120"/>
      <c r="PE1346" s="120"/>
      <c r="PF1346" s="120"/>
      <c r="PG1346" s="120"/>
      <c r="PH1346" s="120"/>
      <c r="PI1346" s="120"/>
      <c r="PJ1346" s="120"/>
      <c r="PK1346" s="120"/>
      <c r="PL1346" s="120"/>
      <c r="PM1346" s="120"/>
      <c r="PN1346" s="120"/>
      <c r="PO1346" s="120"/>
      <c r="PP1346" s="120"/>
      <c r="PQ1346" s="120"/>
      <c r="PR1346" s="120"/>
      <c r="PS1346" s="120"/>
      <c r="PT1346" s="120"/>
      <c r="PU1346" s="120"/>
      <c r="PV1346" s="120"/>
      <c r="PW1346" s="120"/>
      <c r="PX1346" s="120"/>
      <c r="PY1346" s="120"/>
      <c r="PZ1346" s="120"/>
      <c r="QA1346" s="120"/>
      <c r="QB1346" s="120"/>
      <c r="QC1346" s="120"/>
      <c r="QD1346" s="120"/>
      <c r="QE1346" s="120"/>
      <c r="QF1346" s="120"/>
      <c r="QG1346" s="120"/>
      <c r="QH1346" s="120"/>
      <c r="QI1346" s="120"/>
      <c r="QJ1346" s="120"/>
      <c r="QK1346" s="120"/>
      <c r="QL1346" s="120"/>
      <c r="QM1346" s="120"/>
      <c r="QN1346" s="120"/>
      <c r="QO1346" s="120"/>
      <c r="QP1346" s="120"/>
      <c r="QQ1346" s="120"/>
      <c r="QR1346" s="120"/>
      <c r="QS1346" s="120"/>
      <c r="QT1346" s="120"/>
      <c r="QU1346" s="120"/>
      <c r="QV1346" s="120"/>
      <c r="QW1346" s="120"/>
      <c r="QX1346" s="120"/>
      <c r="QY1346" s="120"/>
      <c r="QZ1346" s="120"/>
      <c r="RA1346" s="120"/>
      <c r="RB1346" s="120"/>
      <c r="RC1346" s="120"/>
      <c r="RD1346" s="120"/>
      <c r="RE1346" s="120"/>
      <c r="RF1346" s="120"/>
      <c r="RG1346" s="120"/>
      <c r="RH1346" s="120"/>
      <c r="RI1346" s="120"/>
      <c r="RJ1346" s="120"/>
      <c r="RK1346" s="120"/>
      <c r="RL1346" s="120"/>
      <c r="RM1346" s="120"/>
      <c r="RN1346" s="120"/>
      <c r="RO1346" s="120"/>
      <c r="RP1346" s="120"/>
      <c r="RQ1346" s="120"/>
      <c r="RR1346" s="120"/>
      <c r="RS1346" s="120"/>
      <c r="RT1346" s="120"/>
      <c r="RU1346" s="120"/>
      <c r="RV1346" s="120"/>
      <c r="RW1346" s="120"/>
      <c r="RX1346" s="120"/>
      <c r="RY1346" s="120"/>
      <c r="RZ1346" s="120"/>
      <c r="SA1346" s="120"/>
      <c r="SB1346" s="120"/>
      <c r="SC1346" s="120"/>
      <c r="SD1346" s="120"/>
      <c r="SE1346" s="120"/>
      <c r="SF1346" s="120"/>
      <c r="SG1346" s="120"/>
      <c r="SH1346" s="120"/>
      <c r="SI1346" s="120"/>
      <c r="SJ1346" s="120"/>
      <c r="SK1346" s="120"/>
      <c r="SL1346" s="120"/>
      <c r="SM1346" s="120"/>
      <c r="SN1346" s="120"/>
      <c r="SO1346" s="120"/>
      <c r="SP1346" s="120"/>
      <c r="SQ1346" s="120"/>
      <c r="SR1346" s="120"/>
      <c r="SS1346" s="120"/>
      <c r="ST1346" s="120"/>
      <c r="SU1346" s="120"/>
      <c r="SV1346" s="120"/>
      <c r="SW1346" s="120"/>
      <c r="SX1346" s="120"/>
      <c r="SY1346" s="120"/>
      <c r="SZ1346" s="120"/>
      <c r="TA1346" s="120"/>
      <c r="TB1346" s="120"/>
      <c r="TC1346" s="120"/>
      <c r="TD1346" s="120"/>
      <c r="TE1346" s="120"/>
      <c r="TF1346" s="120"/>
      <c r="TG1346" s="120"/>
      <c r="TH1346" s="120"/>
      <c r="TI1346" s="120"/>
      <c r="TJ1346" s="120"/>
      <c r="TK1346" s="120"/>
      <c r="TL1346" s="120"/>
      <c r="TM1346" s="120"/>
      <c r="TN1346" s="120"/>
      <c r="TO1346" s="120"/>
      <c r="TP1346" s="120"/>
      <c r="TQ1346" s="120"/>
      <c r="TR1346" s="120"/>
      <c r="TS1346" s="120"/>
      <c r="TT1346" s="120"/>
      <c r="TU1346" s="120"/>
      <c r="TV1346" s="120"/>
      <c r="TW1346" s="120"/>
      <c r="TX1346" s="120"/>
      <c r="TY1346" s="120"/>
      <c r="TZ1346" s="120"/>
      <c r="UA1346" s="120"/>
      <c r="UB1346" s="120"/>
      <c r="UC1346" s="120"/>
      <c r="UD1346" s="120"/>
      <c r="UE1346" s="120"/>
      <c r="UF1346" s="120"/>
      <c r="UG1346" s="120"/>
      <c r="UH1346" s="120"/>
      <c r="UI1346" s="120"/>
      <c r="UJ1346" s="120"/>
      <c r="UK1346" s="120"/>
      <c r="UL1346" s="120"/>
      <c r="UM1346" s="120"/>
      <c r="UN1346" s="120"/>
      <c r="UO1346" s="120"/>
      <c r="UP1346" s="120"/>
      <c r="UQ1346" s="120"/>
      <c r="UR1346" s="120"/>
      <c r="US1346" s="120"/>
      <c r="UT1346" s="120"/>
      <c r="UU1346" s="120"/>
      <c r="UV1346" s="120"/>
      <c r="UW1346" s="120"/>
      <c r="UX1346" s="120"/>
      <c r="UY1346" s="120"/>
      <c r="UZ1346" s="120"/>
      <c r="VA1346" s="120"/>
      <c r="VB1346" s="120"/>
      <c r="VC1346" s="120"/>
      <c r="VD1346" s="120"/>
      <c r="VE1346" s="120"/>
      <c r="VF1346" s="120"/>
      <c r="VG1346" s="120"/>
      <c r="VH1346" s="120"/>
      <c r="VI1346" s="120"/>
      <c r="VJ1346" s="120"/>
      <c r="VK1346" s="120"/>
      <c r="VL1346" s="120"/>
      <c r="VM1346" s="120"/>
      <c r="VN1346" s="120"/>
      <c r="VO1346" s="120"/>
      <c r="VP1346" s="120"/>
      <c r="VQ1346" s="120"/>
      <c r="VR1346" s="120"/>
      <c r="VS1346" s="120"/>
      <c r="VT1346" s="120"/>
      <c r="VU1346" s="120"/>
      <c r="VV1346" s="120"/>
      <c r="VW1346" s="120"/>
      <c r="VX1346" s="120"/>
      <c r="VY1346" s="120"/>
      <c r="VZ1346" s="120"/>
      <c r="WA1346" s="120"/>
      <c r="WB1346" s="120"/>
      <c r="WC1346" s="120"/>
      <c r="WD1346" s="120"/>
      <c r="WE1346" s="120"/>
      <c r="WF1346" s="120"/>
      <c r="WG1346" s="120"/>
      <c r="WH1346" s="120"/>
      <c r="WI1346" s="120"/>
      <c r="WJ1346" s="120"/>
      <c r="WK1346" s="120"/>
      <c r="WL1346" s="120"/>
      <c r="WM1346" s="120"/>
      <c r="WN1346" s="120"/>
      <c r="WO1346" s="120"/>
      <c r="WP1346" s="120"/>
      <c r="WQ1346" s="120"/>
      <c r="WR1346" s="120"/>
      <c r="WS1346" s="120"/>
      <c r="WT1346" s="120"/>
      <c r="WU1346" s="120"/>
      <c r="WV1346" s="120"/>
      <c r="WW1346" s="120"/>
      <c r="WX1346" s="120"/>
      <c r="WY1346" s="120"/>
      <c r="WZ1346" s="120"/>
      <c r="XA1346" s="120"/>
      <c r="XB1346" s="120"/>
      <c r="XC1346" s="120"/>
      <c r="XD1346" s="120"/>
      <c r="XE1346" s="120"/>
      <c r="XF1346" s="120"/>
      <c r="XG1346" s="120"/>
      <c r="XH1346" s="120"/>
      <c r="XI1346" s="120"/>
      <c r="XJ1346" s="120"/>
      <c r="XK1346" s="120"/>
      <c r="XL1346" s="120"/>
      <c r="XM1346" s="120"/>
      <c r="XN1346" s="120"/>
      <c r="XO1346" s="120"/>
      <c r="XP1346" s="120"/>
      <c r="XQ1346" s="120"/>
      <c r="XR1346" s="120"/>
      <c r="XS1346" s="120"/>
      <c r="XT1346" s="120"/>
      <c r="XU1346" s="120"/>
      <c r="XV1346" s="120"/>
      <c r="XW1346" s="120"/>
      <c r="XX1346" s="120"/>
      <c r="XY1346" s="120"/>
      <c r="XZ1346" s="120"/>
      <c r="YA1346" s="120"/>
      <c r="YB1346" s="120"/>
      <c r="YC1346" s="120"/>
      <c r="YD1346" s="120"/>
      <c r="YE1346" s="120"/>
      <c r="YF1346" s="120"/>
      <c r="YG1346" s="120"/>
      <c r="YH1346" s="120"/>
      <c r="YI1346" s="120"/>
      <c r="YJ1346" s="120"/>
      <c r="YK1346" s="120"/>
      <c r="YL1346" s="120"/>
      <c r="YM1346" s="120"/>
      <c r="YN1346" s="120"/>
      <c r="YO1346" s="120"/>
      <c r="YP1346" s="120"/>
      <c r="YQ1346" s="120"/>
      <c r="YR1346" s="120"/>
      <c r="YS1346" s="120"/>
      <c r="YT1346" s="120"/>
      <c r="YU1346" s="120"/>
      <c r="YV1346" s="120"/>
      <c r="YW1346" s="120"/>
      <c r="YX1346" s="120"/>
      <c r="YY1346" s="120"/>
      <c r="YZ1346" s="120"/>
      <c r="ZA1346" s="120"/>
      <c r="ZB1346" s="120"/>
      <c r="ZC1346" s="120"/>
      <c r="ZD1346" s="120"/>
      <c r="ZE1346" s="120"/>
      <c r="ZF1346" s="120"/>
      <c r="ZG1346" s="120"/>
      <c r="ZH1346" s="120"/>
      <c r="ZI1346" s="120"/>
      <c r="ZJ1346" s="120"/>
      <c r="ZK1346" s="120"/>
      <c r="ZL1346" s="120"/>
      <c r="ZM1346" s="120"/>
      <c r="ZN1346" s="120"/>
      <c r="ZO1346" s="120"/>
      <c r="ZP1346" s="120"/>
      <c r="ZQ1346" s="120"/>
      <c r="ZR1346" s="120"/>
      <c r="ZS1346" s="120"/>
      <c r="ZT1346" s="120"/>
      <c r="ZU1346" s="120"/>
      <c r="ZV1346" s="120"/>
      <c r="ZW1346" s="120"/>
      <c r="ZX1346" s="120"/>
      <c r="ZY1346" s="120"/>
      <c r="ZZ1346" s="120"/>
      <c r="AAA1346" s="120"/>
      <c r="AAB1346" s="120"/>
      <c r="AAC1346" s="120"/>
      <c r="AAD1346" s="120"/>
      <c r="AAE1346" s="120"/>
      <c r="AAF1346" s="120"/>
      <c r="AAG1346" s="120"/>
      <c r="AAH1346" s="120"/>
      <c r="AAI1346" s="120"/>
      <c r="AAJ1346" s="120"/>
      <c r="AAK1346" s="120"/>
      <c r="AAL1346" s="120"/>
      <c r="AAM1346" s="120"/>
      <c r="AAN1346" s="120"/>
      <c r="AAO1346" s="120"/>
      <c r="AAP1346" s="120"/>
      <c r="AAQ1346" s="120"/>
      <c r="AAR1346" s="120"/>
      <c r="AAS1346" s="120"/>
      <c r="AAT1346" s="120"/>
      <c r="AAU1346" s="120"/>
      <c r="AAV1346" s="120"/>
      <c r="AAW1346" s="120"/>
      <c r="AAX1346" s="120"/>
      <c r="AAY1346" s="120"/>
      <c r="AAZ1346" s="120"/>
      <c r="ABA1346" s="120"/>
      <c r="ABB1346" s="120"/>
      <c r="ABC1346" s="120"/>
      <c r="ABD1346" s="120"/>
      <c r="ABE1346" s="120"/>
      <c r="ABF1346" s="120"/>
      <c r="ABG1346" s="120"/>
      <c r="ABH1346" s="120"/>
      <c r="ABI1346" s="120"/>
      <c r="ABJ1346" s="120"/>
      <c r="ABK1346" s="120"/>
      <c r="ABL1346" s="120"/>
      <c r="ABM1346" s="120"/>
      <c r="ABN1346" s="120"/>
      <c r="ABO1346" s="120"/>
      <c r="ABP1346" s="120"/>
      <c r="ABQ1346" s="120"/>
      <c r="ABR1346" s="120"/>
      <c r="ABS1346" s="120"/>
      <c r="ABT1346" s="120"/>
      <c r="ABU1346" s="120"/>
      <c r="ABV1346" s="120"/>
      <c r="ABW1346" s="120"/>
      <c r="ABX1346" s="120"/>
      <c r="ABY1346" s="120"/>
      <c r="ABZ1346" s="120"/>
      <c r="ACA1346" s="120"/>
      <c r="ACB1346" s="120"/>
      <c r="ACC1346" s="120"/>
      <c r="ACD1346" s="120"/>
      <c r="ACE1346" s="120"/>
      <c r="ACF1346" s="120"/>
      <c r="ACG1346" s="120"/>
      <c r="ACH1346" s="120"/>
      <c r="ACI1346" s="120"/>
      <c r="ACJ1346" s="120"/>
      <c r="ACK1346" s="120"/>
      <c r="ACL1346" s="120"/>
      <c r="ACM1346" s="120"/>
      <c r="ACN1346" s="120"/>
      <c r="ACO1346" s="120"/>
      <c r="ACP1346" s="120"/>
      <c r="ACQ1346" s="120"/>
      <c r="ACR1346" s="120"/>
      <c r="ACS1346" s="120"/>
      <c r="ACT1346" s="120"/>
      <c r="ACU1346" s="120"/>
      <c r="ACV1346" s="120"/>
      <c r="ACW1346" s="120"/>
      <c r="ACX1346" s="120"/>
      <c r="ACY1346" s="120"/>
      <c r="ACZ1346" s="120"/>
      <c r="ADA1346" s="120"/>
      <c r="ADB1346" s="120"/>
      <c r="ADC1346" s="120"/>
      <c r="ADD1346" s="120"/>
      <c r="ADE1346" s="120"/>
      <c r="ADF1346" s="120"/>
      <c r="ADG1346" s="120"/>
      <c r="ADH1346" s="120"/>
      <c r="ADI1346" s="120"/>
      <c r="ADJ1346" s="120"/>
      <c r="ADK1346" s="120"/>
      <c r="ADL1346" s="120"/>
      <c r="ADM1346" s="120"/>
      <c r="ADN1346" s="120"/>
      <c r="ADO1346" s="120"/>
      <c r="ADP1346" s="120"/>
      <c r="ADQ1346" s="120"/>
      <c r="ADR1346" s="120"/>
      <c r="ADS1346" s="120"/>
      <c r="ADT1346" s="120"/>
      <c r="ADU1346" s="120"/>
      <c r="ADV1346" s="120"/>
      <c r="ADW1346" s="120"/>
      <c r="ADX1346" s="120"/>
      <c r="ADY1346" s="120"/>
      <c r="ADZ1346" s="120"/>
      <c r="AEA1346" s="120"/>
      <c r="AEB1346" s="120"/>
      <c r="AEC1346" s="120"/>
      <c r="AED1346" s="120"/>
      <c r="AEE1346" s="120"/>
      <c r="AEF1346" s="120"/>
      <c r="AEG1346" s="120"/>
      <c r="AEH1346" s="120"/>
      <c r="AEI1346" s="120"/>
      <c r="AEJ1346" s="120"/>
      <c r="AEK1346" s="120"/>
      <c r="AEL1346" s="120"/>
      <c r="AEM1346" s="120"/>
      <c r="AEN1346" s="120"/>
      <c r="AEO1346" s="120"/>
      <c r="AEP1346" s="120"/>
      <c r="AEQ1346" s="120"/>
      <c r="AER1346" s="120"/>
      <c r="AES1346" s="120"/>
      <c r="AET1346" s="120"/>
      <c r="AEU1346" s="120"/>
      <c r="AEV1346" s="120"/>
      <c r="AEW1346" s="120"/>
      <c r="AEX1346" s="120"/>
      <c r="AEY1346" s="120"/>
      <c r="AEZ1346" s="120"/>
      <c r="AFA1346" s="120"/>
      <c r="AFB1346" s="120"/>
      <c r="AFC1346" s="120"/>
      <c r="AFD1346" s="120"/>
      <c r="AFE1346" s="120"/>
      <c r="AFF1346" s="120"/>
      <c r="AFG1346" s="120"/>
      <c r="AFH1346" s="120"/>
      <c r="AFI1346" s="120"/>
      <c r="AFJ1346" s="120"/>
      <c r="AFK1346" s="120"/>
      <c r="AFL1346" s="120"/>
      <c r="AFM1346" s="120"/>
      <c r="AFN1346" s="120"/>
      <c r="AFO1346" s="120"/>
      <c r="AFP1346" s="120"/>
      <c r="AFQ1346" s="120"/>
      <c r="AFR1346" s="120"/>
      <c r="AFS1346" s="120"/>
      <c r="AFT1346" s="120"/>
      <c r="AFU1346" s="120"/>
      <c r="AFV1346" s="120"/>
      <c r="AFW1346" s="120"/>
      <c r="AFX1346" s="120"/>
      <c r="AFY1346" s="120"/>
      <c r="AFZ1346" s="120"/>
      <c r="AGA1346" s="120"/>
      <c r="AGB1346" s="120"/>
      <c r="AGC1346" s="120"/>
      <c r="AGD1346" s="120"/>
      <c r="AGE1346" s="120"/>
      <c r="AGF1346" s="120"/>
      <c r="AGG1346" s="120"/>
      <c r="AGH1346" s="120"/>
      <c r="AGI1346" s="120"/>
      <c r="AGJ1346" s="120"/>
      <c r="AGK1346" s="120"/>
      <c r="AGL1346" s="120"/>
      <c r="AGM1346" s="120"/>
      <c r="AGN1346" s="120"/>
      <c r="AGO1346" s="120"/>
      <c r="AGP1346" s="120"/>
      <c r="AGQ1346" s="120"/>
      <c r="AGR1346" s="120"/>
      <c r="AGS1346" s="120"/>
      <c r="AGT1346" s="120"/>
      <c r="AGU1346" s="120"/>
      <c r="AGV1346" s="120"/>
      <c r="AGW1346" s="120"/>
      <c r="AGX1346" s="120"/>
      <c r="AGY1346" s="120"/>
      <c r="AGZ1346" s="120"/>
      <c r="AHA1346" s="120"/>
      <c r="AHB1346" s="120"/>
      <c r="AHC1346" s="120"/>
      <c r="AHD1346" s="120"/>
      <c r="AHE1346" s="120"/>
      <c r="AHF1346" s="120"/>
      <c r="AHG1346" s="120"/>
      <c r="AHH1346" s="120"/>
      <c r="AHI1346" s="120"/>
      <c r="AHJ1346" s="120"/>
      <c r="AHK1346" s="120"/>
      <c r="AHL1346" s="120"/>
      <c r="AHM1346" s="120"/>
      <c r="AHN1346" s="120"/>
      <c r="AHO1346" s="120"/>
      <c r="AHP1346" s="120"/>
      <c r="AHQ1346" s="120"/>
      <c r="AHR1346" s="120"/>
      <c r="AHS1346" s="120"/>
      <c r="AHT1346" s="120"/>
      <c r="AHU1346" s="120"/>
      <c r="AHV1346" s="120"/>
      <c r="AHW1346" s="120"/>
      <c r="AHX1346" s="120"/>
      <c r="AHY1346" s="120"/>
      <c r="AHZ1346" s="120"/>
      <c r="AIA1346" s="120"/>
      <c r="AIB1346" s="120"/>
      <c r="AIC1346" s="120"/>
      <c r="AID1346" s="120"/>
      <c r="AIE1346" s="120"/>
      <c r="AIF1346" s="120"/>
      <c r="AIG1346" s="120"/>
      <c r="AIH1346" s="120"/>
      <c r="AII1346" s="120"/>
      <c r="AIJ1346" s="120"/>
      <c r="AIK1346" s="120"/>
      <c r="AIL1346" s="120"/>
      <c r="AIM1346" s="120"/>
      <c r="AIN1346" s="120"/>
      <c r="AIO1346" s="120"/>
      <c r="AIP1346" s="120"/>
      <c r="AIQ1346" s="120"/>
      <c r="AIR1346" s="120"/>
      <c r="AIS1346" s="120"/>
      <c r="AIT1346" s="120"/>
      <c r="AIU1346" s="120"/>
      <c r="AIV1346" s="120"/>
      <c r="AIW1346" s="120"/>
      <c r="AIX1346" s="120"/>
      <c r="AIY1346" s="120"/>
      <c r="AIZ1346" s="120"/>
      <c r="AJA1346" s="120"/>
      <c r="AJB1346" s="120"/>
      <c r="AJC1346" s="120"/>
      <c r="AJD1346" s="120"/>
      <c r="AJE1346" s="120"/>
      <c r="AJF1346" s="120"/>
      <c r="AJG1346" s="120"/>
      <c r="AJH1346" s="120"/>
      <c r="AJI1346" s="120"/>
      <c r="AJJ1346" s="120"/>
      <c r="AJK1346" s="120"/>
      <c r="AJL1346" s="120"/>
      <c r="AJM1346" s="120"/>
      <c r="AJN1346" s="120"/>
      <c r="AJO1346" s="120"/>
      <c r="AJP1346" s="120"/>
      <c r="AJQ1346" s="120"/>
      <c r="AJR1346" s="120"/>
      <c r="AJS1346" s="120"/>
      <c r="AJT1346" s="120"/>
      <c r="AJU1346" s="120"/>
      <c r="AJV1346" s="120"/>
      <c r="AJW1346" s="120"/>
      <c r="AJX1346" s="120"/>
      <c r="AJY1346" s="120"/>
      <c r="AJZ1346" s="120"/>
      <c r="AKA1346" s="120"/>
      <c r="AKB1346" s="120"/>
      <c r="AKC1346" s="120"/>
      <c r="AKD1346" s="120"/>
      <c r="AKE1346" s="120"/>
      <c r="AKF1346" s="120"/>
      <c r="AKG1346" s="120"/>
      <c r="AKH1346" s="120"/>
      <c r="AKI1346" s="120"/>
      <c r="AKJ1346" s="120"/>
      <c r="AKK1346" s="120"/>
      <c r="AKL1346" s="120"/>
      <c r="AKM1346" s="120"/>
      <c r="AKN1346" s="120"/>
      <c r="AKO1346" s="120"/>
      <c r="AKP1346" s="120"/>
      <c r="AKQ1346" s="120"/>
      <c r="AKR1346" s="120"/>
      <c r="AKS1346" s="120"/>
      <c r="AKT1346" s="120"/>
      <c r="AKU1346" s="120"/>
      <c r="AKV1346" s="120"/>
      <c r="AKW1346" s="120"/>
      <c r="AKX1346" s="120"/>
      <c r="AKY1346" s="120"/>
      <c r="AKZ1346" s="120"/>
      <c r="ALA1346" s="120"/>
      <c r="ALB1346" s="120"/>
      <c r="ALC1346" s="120"/>
      <c r="ALD1346" s="120"/>
      <c r="ALE1346" s="120"/>
      <c r="ALF1346" s="120"/>
      <c r="ALG1346" s="120"/>
      <c r="ALH1346" s="120"/>
      <c r="ALI1346" s="120"/>
      <c r="ALJ1346" s="120"/>
      <c r="ALK1346" s="120"/>
      <c r="ALL1346" s="120"/>
      <c r="ALM1346" s="120"/>
      <c r="ALN1346" s="120"/>
      <c r="ALO1346" s="120"/>
      <c r="ALP1346" s="120"/>
      <c r="ALQ1346" s="120"/>
      <c r="ALR1346" s="120"/>
      <c r="ALS1346" s="120"/>
      <c r="ALT1346" s="120"/>
      <c r="ALU1346" s="120"/>
      <c r="ALV1346" s="120"/>
      <c r="ALW1346" s="120"/>
      <c r="ALX1346" s="120"/>
      <c r="ALY1346" s="120"/>
      <c r="ALZ1346" s="120"/>
      <c r="AMA1346" s="120"/>
      <c r="AMB1346" s="120"/>
      <c r="AMC1346" s="120"/>
      <c r="AMD1346" s="120"/>
      <c r="AME1346" s="120"/>
      <c r="AMF1346" s="120"/>
      <c r="AMG1346" s="120"/>
      <c r="AMH1346" s="120"/>
      <c r="AMI1346" s="120"/>
      <c r="AMJ1346" s="120"/>
      <c r="AMK1346" s="120"/>
      <c r="AML1346" s="120"/>
      <c r="AMM1346" s="120"/>
      <c r="AMN1346" s="120"/>
      <c r="AMO1346" s="120"/>
      <c r="AMP1346" s="120"/>
      <c r="AMQ1346" s="120"/>
      <c r="AMR1346" s="120"/>
      <c r="AMS1346" s="120"/>
      <c r="AMT1346" s="120"/>
      <c r="AMU1346" s="120"/>
      <c r="AMV1346" s="120"/>
      <c r="AMW1346" s="120"/>
      <c r="AMX1346" s="120"/>
      <c r="AMY1346" s="120"/>
      <c r="AMZ1346" s="120"/>
      <c r="ANA1346" s="120"/>
      <c r="ANB1346" s="120"/>
      <c r="ANC1346" s="120"/>
      <c r="AND1346" s="120"/>
      <c r="ANE1346" s="120"/>
      <c r="ANF1346" s="120"/>
      <c r="ANG1346" s="120"/>
      <c r="ANH1346" s="120"/>
      <c r="ANI1346" s="120"/>
      <c r="ANJ1346" s="120"/>
      <c r="ANK1346" s="120"/>
      <c r="ANL1346" s="120"/>
      <c r="ANM1346" s="120"/>
      <c r="ANN1346" s="120"/>
      <c r="ANO1346" s="120"/>
      <c r="ANP1346" s="120"/>
      <c r="ANQ1346" s="120"/>
      <c r="ANR1346" s="120"/>
      <c r="ANS1346" s="120"/>
      <c r="ANT1346" s="120"/>
      <c r="ANU1346" s="120"/>
      <c r="ANV1346" s="120"/>
      <c r="ANW1346" s="120"/>
      <c r="ANX1346" s="120"/>
      <c r="ANY1346" s="120"/>
      <c r="ANZ1346" s="120"/>
      <c r="AOA1346" s="120"/>
      <c r="AOB1346" s="120"/>
      <c r="AOC1346" s="120"/>
      <c r="AOD1346" s="120"/>
      <c r="AOE1346" s="120"/>
      <c r="AOF1346" s="120"/>
      <c r="AOG1346" s="120"/>
      <c r="AOH1346" s="120"/>
      <c r="AOI1346" s="120"/>
      <c r="AOJ1346" s="120"/>
      <c r="AOK1346" s="120"/>
      <c r="AOL1346" s="120"/>
      <c r="AOM1346" s="120"/>
      <c r="AON1346" s="120"/>
      <c r="AOO1346" s="120"/>
      <c r="AOP1346" s="120"/>
      <c r="AOQ1346" s="120"/>
      <c r="AOR1346" s="120"/>
      <c r="AOS1346" s="120"/>
      <c r="AOT1346" s="120"/>
      <c r="AOU1346" s="120"/>
      <c r="AOV1346" s="120"/>
      <c r="AOW1346" s="120"/>
      <c r="AOX1346" s="120"/>
      <c r="AOY1346" s="120"/>
      <c r="AOZ1346" s="120"/>
      <c r="APA1346" s="120"/>
      <c r="APB1346" s="120"/>
      <c r="APC1346" s="120"/>
      <c r="APD1346" s="120"/>
      <c r="APE1346" s="120"/>
      <c r="APF1346" s="120"/>
      <c r="APG1346" s="120"/>
      <c r="APH1346" s="120"/>
      <c r="API1346" s="120"/>
      <c r="APJ1346" s="120"/>
      <c r="APK1346" s="120"/>
      <c r="APL1346" s="120"/>
      <c r="APM1346" s="120"/>
      <c r="APN1346" s="120"/>
      <c r="APO1346" s="120"/>
      <c r="APP1346" s="120"/>
      <c r="APQ1346" s="120"/>
      <c r="APR1346" s="120"/>
      <c r="APS1346" s="120"/>
      <c r="APT1346" s="120"/>
      <c r="APU1346" s="120"/>
      <c r="APV1346" s="120"/>
      <c r="APW1346" s="120"/>
      <c r="APX1346" s="120"/>
      <c r="APY1346" s="120"/>
      <c r="APZ1346" s="120"/>
      <c r="AQA1346" s="120"/>
      <c r="AQB1346" s="120"/>
      <c r="AQC1346" s="120"/>
      <c r="AQD1346" s="120"/>
      <c r="AQE1346" s="120"/>
      <c r="AQF1346" s="120"/>
      <c r="AQG1346" s="120"/>
      <c r="AQH1346" s="120"/>
      <c r="AQI1346" s="120"/>
      <c r="AQJ1346" s="120"/>
      <c r="AQK1346" s="120"/>
      <c r="AQL1346" s="120"/>
      <c r="AQM1346" s="120"/>
      <c r="AQN1346" s="120"/>
      <c r="AQO1346" s="120"/>
      <c r="AQP1346" s="120"/>
      <c r="AQQ1346" s="120"/>
      <c r="AQR1346" s="120"/>
      <c r="AQS1346" s="120"/>
      <c r="AQT1346" s="120"/>
      <c r="AQU1346" s="120"/>
      <c r="AQV1346" s="120"/>
      <c r="AQW1346" s="120"/>
      <c r="AQX1346" s="120"/>
      <c r="AQY1346" s="120"/>
      <c r="AQZ1346" s="120"/>
      <c r="ARA1346" s="120"/>
      <c r="ARB1346" s="120"/>
      <c r="ARC1346" s="120"/>
      <c r="ARD1346" s="120"/>
      <c r="ARE1346" s="120"/>
      <c r="ARF1346" s="120"/>
      <c r="ARG1346" s="120"/>
      <c r="ARH1346" s="120"/>
      <c r="ARI1346" s="120"/>
      <c r="ARJ1346" s="120"/>
      <c r="ARK1346" s="120"/>
      <c r="ARL1346" s="120"/>
      <c r="ARM1346" s="120"/>
      <c r="ARN1346" s="120"/>
      <c r="ARO1346" s="120"/>
      <c r="ARP1346" s="120"/>
      <c r="ARQ1346" s="120"/>
      <c r="ARR1346" s="120"/>
      <c r="ARS1346" s="120"/>
      <c r="ART1346" s="120"/>
      <c r="ARU1346" s="120"/>
      <c r="ARV1346" s="120"/>
      <c r="ARW1346" s="120"/>
      <c r="ARX1346" s="120"/>
      <c r="ARY1346" s="120"/>
      <c r="ARZ1346" s="120"/>
      <c r="ASA1346" s="120"/>
      <c r="ASB1346" s="120"/>
      <c r="ASC1346" s="120"/>
      <c r="ASD1346" s="120"/>
      <c r="ASE1346" s="120"/>
      <c r="ASF1346" s="120"/>
      <c r="ASG1346" s="120"/>
      <c r="ASH1346" s="120"/>
      <c r="ASI1346" s="120"/>
      <c r="ASJ1346" s="120"/>
      <c r="ASK1346" s="120"/>
      <c r="ASL1346" s="120"/>
      <c r="ASM1346" s="120"/>
      <c r="ASN1346" s="120"/>
      <c r="ASO1346" s="120"/>
      <c r="ASP1346" s="120"/>
      <c r="ASQ1346" s="120"/>
      <c r="ASR1346" s="120"/>
      <c r="ASS1346" s="120"/>
      <c r="AST1346" s="120"/>
      <c r="ASU1346" s="120"/>
      <c r="ASV1346" s="120"/>
      <c r="ASW1346" s="120"/>
      <c r="ASX1346" s="120"/>
      <c r="ASY1346" s="120"/>
      <c r="ASZ1346" s="120"/>
      <c r="ATA1346" s="120"/>
      <c r="ATB1346" s="120"/>
      <c r="ATC1346" s="120"/>
      <c r="ATD1346" s="120"/>
      <c r="ATE1346" s="120"/>
      <c r="ATF1346" s="120"/>
      <c r="ATG1346" s="120"/>
      <c r="ATH1346" s="120"/>
      <c r="ATI1346" s="120"/>
      <c r="ATJ1346" s="120"/>
      <c r="ATK1346" s="120"/>
      <c r="ATL1346" s="120"/>
      <c r="ATM1346" s="120"/>
      <c r="ATN1346" s="120"/>
      <c r="ATO1346" s="120"/>
    </row>
    <row r="1347" spans="1:1211" s="20" customFormat="1" ht="14.1" customHeight="1">
      <c r="A1347" s="112"/>
      <c r="B1347" s="945" t="s">
        <v>3153</v>
      </c>
      <c r="C1347" s="184" t="s">
        <v>3747</v>
      </c>
      <c r="D1347" s="120"/>
      <c r="E1347" s="701"/>
      <c r="F1347" s="703"/>
      <c r="G1347" s="702"/>
      <c r="H1347" s="702"/>
      <c r="I1347" s="702"/>
      <c r="J1347" s="700"/>
      <c r="K1347" s="112"/>
      <c r="L1347" s="363"/>
      <c r="M1347" s="112"/>
      <c r="N1347" s="362"/>
      <c r="O1347" s="573"/>
      <c r="P1347" s="120"/>
      <c r="Q1347" s="120"/>
      <c r="R1347" s="120"/>
      <c r="S1347" s="120"/>
      <c r="T1347" s="120"/>
      <c r="U1347" s="120"/>
      <c r="V1347" s="120"/>
      <c r="W1347" s="120"/>
      <c r="X1347" s="120"/>
      <c r="Y1347" s="120"/>
      <c r="Z1347" s="120"/>
      <c r="AA1347" s="120"/>
      <c r="AB1347" s="120"/>
      <c r="AC1347" s="120"/>
      <c r="AD1347" s="120"/>
      <c r="AE1347" s="120"/>
      <c r="AF1347" s="120"/>
      <c r="AG1347" s="120"/>
      <c r="AH1347" s="120"/>
      <c r="AI1347" s="120"/>
      <c r="AJ1347" s="120"/>
      <c r="AK1347" s="120"/>
      <c r="AL1347" s="120"/>
      <c r="AM1347" s="120"/>
      <c r="AN1347" s="120"/>
      <c r="AO1347" s="120"/>
      <c r="AP1347" s="120"/>
      <c r="AQ1347" s="120"/>
      <c r="AR1347" s="120"/>
      <c r="AS1347" s="120"/>
      <c r="AT1347" s="120"/>
      <c r="AU1347" s="120"/>
      <c r="AV1347" s="120"/>
      <c r="AW1347" s="120"/>
      <c r="AX1347" s="120"/>
      <c r="AY1347" s="120"/>
      <c r="AZ1347" s="120"/>
      <c r="BA1347" s="120"/>
      <c r="BB1347" s="120"/>
      <c r="BC1347" s="120"/>
      <c r="BD1347" s="120"/>
      <c r="BE1347" s="120"/>
      <c r="BF1347" s="120"/>
      <c r="BG1347" s="120"/>
      <c r="BH1347" s="120"/>
      <c r="BI1347" s="120"/>
      <c r="BJ1347" s="120"/>
      <c r="BK1347" s="120"/>
      <c r="BL1347" s="120"/>
      <c r="BM1347" s="120"/>
      <c r="BN1347" s="120"/>
      <c r="BO1347" s="120"/>
      <c r="BP1347" s="120"/>
      <c r="BQ1347" s="120"/>
      <c r="BR1347" s="120"/>
      <c r="BS1347" s="120"/>
      <c r="BT1347" s="120"/>
      <c r="BU1347" s="120"/>
      <c r="BV1347" s="120"/>
      <c r="BW1347" s="120"/>
      <c r="BX1347" s="120"/>
      <c r="BY1347" s="120"/>
      <c r="BZ1347" s="120"/>
      <c r="CA1347" s="120"/>
      <c r="CB1347" s="120"/>
      <c r="CC1347" s="120"/>
      <c r="CD1347" s="120"/>
      <c r="CE1347" s="120"/>
      <c r="CF1347" s="120"/>
      <c r="CG1347" s="120"/>
      <c r="CH1347" s="120"/>
      <c r="CI1347" s="120"/>
      <c r="CJ1347" s="120"/>
      <c r="CK1347" s="120"/>
      <c r="CL1347" s="120"/>
      <c r="CM1347" s="120"/>
      <c r="CN1347" s="120"/>
      <c r="CO1347" s="120"/>
      <c r="CP1347" s="120"/>
      <c r="CQ1347" s="120"/>
      <c r="CR1347" s="120"/>
      <c r="CS1347" s="120"/>
      <c r="CT1347" s="120"/>
      <c r="CU1347" s="120"/>
      <c r="CV1347" s="120"/>
      <c r="CW1347" s="120"/>
      <c r="CX1347" s="120"/>
      <c r="CY1347" s="120"/>
      <c r="CZ1347" s="120"/>
      <c r="DA1347" s="120"/>
      <c r="DB1347" s="120"/>
      <c r="DC1347" s="120"/>
      <c r="DD1347" s="120"/>
      <c r="DE1347" s="120"/>
      <c r="DF1347" s="120"/>
      <c r="DG1347" s="120"/>
      <c r="DH1347" s="120"/>
      <c r="DI1347" s="120"/>
      <c r="DJ1347" s="120"/>
      <c r="DK1347" s="120"/>
      <c r="DL1347" s="120"/>
      <c r="DM1347" s="120"/>
      <c r="DN1347" s="120"/>
      <c r="DO1347" s="120"/>
      <c r="DP1347" s="120"/>
      <c r="DQ1347" s="120"/>
      <c r="DR1347" s="120"/>
      <c r="DS1347" s="120"/>
      <c r="DT1347" s="120"/>
      <c r="DU1347" s="120"/>
      <c r="DV1347" s="120"/>
      <c r="DW1347" s="120"/>
      <c r="DX1347" s="120"/>
      <c r="DY1347" s="120"/>
      <c r="DZ1347" s="120"/>
      <c r="EA1347" s="120"/>
      <c r="EB1347" s="120"/>
      <c r="EC1347" s="120"/>
      <c r="ED1347" s="120"/>
      <c r="EE1347" s="120"/>
      <c r="EF1347" s="120"/>
      <c r="EG1347" s="120"/>
      <c r="EH1347" s="120"/>
      <c r="EI1347" s="120"/>
      <c r="EJ1347" s="120"/>
      <c r="EK1347" s="120"/>
      <c r="EL1347" s="120"/>
      <c r="EM1347" s="120"/>
      <c r="EN1347" s="120"/>
      <c r="EO1347" s="120"/>
      <c r="EP1347" s="120"/>
      <c r="EQ1347" s="120"/>
      <c r="ER1347" s="120"/>
      <c r="ES1347" s="120"/>
      <c r="ET1347" s="120"/>
      <c r="EU1347" s="120"/>
      <c r="EV1347" s="120"/>
      <c r="EW1347" s="120"/>
      <c r="EX1347" s="120"/>
      <c r="EY1347" s="120"/>
      <c r="EZ1347" s="120"/>
      <c r="FA1347" s="120"/>
      <c r="FB1347" s="120"/>
      <c r="FC1347" s="120"/>
      <c r="FD1347" s="120"/>
      <c r="FE1347" s="120"/>
      <c r="FF1347" s="120"/>
      <c r="FG1347" s="120"/>
      <c r="FH1347" s="120"/>
      <c r="FI1347" s="120"/>
      <c r="FJ1347" s="120"/>
      <c r="FK1347" s="120"/>
      <c r="FL1347" s="120"/>
      <c r="FM1347" s="120"/>
      <c r="FN1347" s="120"/>
      <c r="FO1347" s="120"/>
      <c r="FP1347" s="120"/>
      <c r="FQ1347" s="120"/>
      <c r="FR1347" s="120"/>
      <c r="FS1347" s="120"/>
      <c r="FT1347" s="120"/>
      <c r="FU1347" s="120"/>
      <c r="FV1347" s="120"/>
      <c r="FW1347" s="120"/>
      <c r="FX1347" s="120"/>
      <c r="FY1347" s="120"/>
      <c r="FZ1347" s="120"/>
      <c r="GA1347" s="120"/>
      <c r="GB1347" s="120"/>
      <c r="GC1347" s="120"/>
      <c r="GD1347" s="120"/>
      <c r="GE1347" s="120"/>
      <c r="GF1347" s="120"/>
      <c r="GG1347" s="120"/>
      <c r="GH1347" s="120"/>
      <c r="GI1347" s="120"/>
      <c r="GJ1347" s="120"/>
      <c r="GK1347" s="120"/>
      <c r="GL1347" s="120"/>
      <c r="GM1347" s="120"/>
      <c r="GN1347" s="120"/>
      <c r="GO1347" s="120"/>
      <c r="GP1347" s="120"/>
      <c r="GQ1347" s="120"/>
      <c r="GR1347" s="120"/>
      <c r="GS1347" s="120"/>
      <c r="GT1347" s="120"/>
      <c r="GU1347" s="120"/>
      <c r="GV1347" s="120"/>
      <c r="GW1347" s="120"/>
      <c r="GX1347" s="120"/>
      <c r="GY1347" s="120"/>
      <c r="GZ1347" s="120"/>
      <c r="HA1347" s="120"/>
      <c r="HB1347" s="120"/>
      <c r="HC1347" s="120"/>
      <c r="HD1347" s="120"/>
      <c r="HE1347" s="120"/>
      <c r="HF1347" s="120"/>
      <c r="HG1347" s="120"/>
      <c r="HH1347" s="120"/>
      <c r="HI1347" s="120"/>
      <c r="HJ1347" s="120"/>
      <c r="HK1347" s="120"/>
      <c r="HL1347" s="120"/>
      <c r="HM1347" s="120"/>
      <c r="HN1347" s="120"/>
      <c r="HO1347" s="120"/>
      <c r="HP1347" s="120"/>
      <c r="HQ1347" s="120"/>
      <c r="HR1347" s="120"/>
      <c r="HS1347" s="120"/>
      <c r="HT1347" s="120"/>
      <c r="HU1347" s="120"/>
      <c r="HV1347" s="120"/>
      <c r="HW1347" s="120"/>
      <c r="HX1347" s="120"/>
      <c r="HY1347" s="120"/>
      <c r="HZ1347" s="120"/>
      <c r="IA1347" s="120"/>
      <c r="IB1347" s="120"/>
      <c r="IC1347" s="120"/>
      <c r="ID1347" s="120"/>
      <c r="IE1347" s="120"/>
      <c r="IF1347" s="120"/>
      <c r="IG1347" s="120"/>
      <c r="IH1347" s="120"/>
      <c r="II1347" s="120"/>
      <c r="IJ1347" s="120"/>
      <c r="IK1347" s="120"/>
      <c r="IL1347" s="120"/>
      <c r="IM1347" s="120"/>
      <c r="IN1347" s="120"/>
      <c r="IO1347" s="120"/>
      <c r="IP1347" s="120"/>
      <c r="IQ1347" s="120"/>
      <c r="IR1347" s="120"/>
      <c r="IS1347" s="120"/>
      <c r="IT1347" s="120"/>
      <c r="IU1347" s="120"/>
      <c r="IV1347" s="120"/>
      <c r="IW1347" s="120"/>
      <c r="IX1347" s="120"/>
      <c r="IY1347" s="120"/>
      <c r="IZ1347" s="120"/>
      <c r="JA1347" s="120"/>
      <c r="JB1347" s="120"/>
      <c r="JC1347" s="120"/>
      <c r="JD1347" s="120"/>
      <c r="JE1347" s="120"/>
      <c r="JF1347" s="120"/>
      <c r="JG1347" s="120"/>
      <c r="JH1347" s="120"/>
      <c r="JI1347" s="120"/>
      <c r="JJ1347" s="120"/>
      <c r="JK1347" s="120"/>
      <c r="JL1347" s="120"/>
      <c r="JM1347" s="120"/>
      <c r="JN1347" s="120"/>
      <c r="JO1347" s="120"/>
      <c r="JP1347" s="120"/>
      <c r="JQ1347" s="120"/>
      <c r="JR1347" s="120"/>
      <c r="JS1347" s="120"/>
      <c r="JT1347" s="120"/>
      <c r="JU1347" s="120"/>
      <c r="JV1347" s="120"/>
      <c r="JW1347" s="120"/>
      <c r="JX1347" s="120"/>
      <c r="JY1347" s="120"/>
      <c r="JZ1347" s="120"/>
      <c r="KA1347" s="120"/>
      <c r="KB1347" s="120"/>
      <c r="KC1347" s="120"/>
      <c r="KD1347" s="120"/>
      <c r="KE1347" s="120"/>
      <c r="KF1347" s="120"/>
      <c r="KG1347" s="120"/>
      <c r="KH1347" s="120"/>
      <c r="KI1347" s="120"/>
      <c r="KJ1347" s="120"/>
      <c r="KK1347" s="120"/>
      <c r="KL1347" s="120"/>
      <c r="KM1347" s="120"/>
      <c r="KN1347" s="120"/>
      <c r="KO1347" s="120"/>
      <c r="KP1347" s="120"/>
      <c r="KQ1347" s="120"/>
      <c r="KR1347" s="120"/>
      <c r="KS1347" s="120"/>
      <c r="KT1347" s="120"/>
      <c r="KU1347" s="120"/>
      <c r="KV1347" s="120"/>
      <c r="KW1347" s="120"/>
      <c r="KX1347" s="120"/>
      <c r="KY1347" s="120"/>
      <c r="KZ1347" s="120"/>
      <c r="LA1347" s="120"/>
      <c r="LB1347" s="120"/>
      <c r="LC1347" s="120"/>
      <c r="LD1347" s="120"/>
      <c r="LE1347" s="120"/>
      <c r="LF1347" s="120"/>
      <c r="LG1347" s="120"/>
      <c r="LH1347" s="120"/>
      <c r="LI1347" s="120"/>
      <c r="LJ1347" s="120"/>
      <c r="LK1347" s="120"/>
      <c r="LL1347" s="120"/>
      <c r="LM1347" s="120"/>
      <c r="LN1347" s="120"/>
      <c r="LO1347" s="120"/>
      <c r="LP1347" s="120"/>
      <c r="LQ1347" s="120"/>
      <c r="LR1347" s="120"/>
      <c r="LS1347" s="120"/>
      <c r="LT1347" s="120"/>
      <c r="LU1347" s="120"/>
      <c r="LV1347" s="120"/>
      <c r="LW1347" s="120"/>
      <c r="LX1347" s="120"/>
      <c r="LY1347" s="120"/>
      <c r="LZ1347" s="120"/>
      <c r="MA1347" s="120"/>
      <c r="MB1347" s="120"/>
      <c r="MC1347" s="120"/>
      <c r="MD1347" s="120"/>
      <c r="ME1347" s="120"/>
      <c r="MF1347" s="120"/>
      <c r="MG1347" s="120"/>
      <c r="MH1347" s="120"/>
      <c r="MI1347" s="120"/>
      <c r="MJ1347" s="120"/>
      <c r="MK1347" s="120"/>
      <c r="ML1347" s="120"/>
      <c r="MM1347" s="120"/>
      <c r="MN1347" s="120"/>
      <c r="MO1347" s="120"/>
      <c r="MP1347" s="120"/>
      <c r="MQ1347" s="120"/>
      <c r="MR1347" s="120"/>
      <c r="MS1347" s="120"/>
      <c r="MT1347" s="120"/>
      <c r="MU1347" s="120"/>
      <c r="MV1347" s="120"/>
      <c r="MW1347" s="120"/>
      <c r="MX1347" s="120"/>
      <c r="MY1347" s="120"/>
      <c r="MZ1347" s="120"/>
      <c r="NA1347" s="120"/>
      <c r="NB1347" s="120"/>
      <c r="NC1347" s="120"/>
      <c r="ND1347" s="120"/>
      <c r="NE1347" s="120"/>
      <c r="NF1347" s="120"/>
      <c r="NG1347" s="120"/>
      <c r="NH1347" s="120"/>
      <c r="NI1347" s="120"/>
      <c r="NJ1347" s="120"/>
      <c r="NK1347" s="120"/>
      <c r="NL1347" s="120"/>
      <c r="NM1347" s="120"/>
      <c r="NN1347" s="120"/>
      <c r="NO1347" s="120"/>
      <c r="NP1347" s="120"/>
      <c r="NQ1347" s="120"/>
      <c r="NR1347" s="120"/>
      <c r="NS1347" s="120"/>
      <c r="NT1347" s="120"/>
      <c r="NU1347" s="120"/>
      <c r="NV1347" s="120"/>
      <c r="NW1347" s="120"/>
      <c r="NX1347" s="120"/>
      <c r="NY1347" s="120"/>
      <c r="NZ1347" s="120"/>
      <c r="OA1347" s="120"/>
      <c r="OB1347" s="120"/>
      <c r="OC1347" s="120"/>
      <c r="OD1347" s="120"/>
      <c r="OE1347" s="120"/>
      <c r="OF1347" s="120"/>
      <c r="OG1347" s="120"/>
      <c r="OH1347" s="120"/>
      <c r="OI1347" s="120"/>
      <c r="OJ1347" s="120"/>
      <c r="OK1347" s="120"/>
      <c r="OL1347" s="120"/>
      <c r="OM1347" s="120"/>
      <c r="ON1347" s="120"/>
      <c r="OO1347" s="120"/>
      <c r="OP1347" s="120"/>
      <c r="OQ1347" s="120"/>
      <c r="OR1347" s="120"/>
      <c r="OS1347" s="120"/>
      <c r="OT1347" s="120"/>
      <c r="OU1347" s="120"/>
      <c r="OV1347" s="120"/>
      <c r="OW1347" s="120"/>
      <c r="OX1347" s="120"/>
      <c r="OY1347" s="120"/>
      <c r="OZ1347" s="120"/>
      <c r="PA1347" s="120"/>
      <c r="PB1347" s="120"/>
      <c r="PC1347" s="120"/>
      <c r="PD1347" s="120"/>
      <c r="PE1347" s="120"/>
      <c r="PF1347" s="120"/>
      <c r="PG1347" s="120"/>
      <c r="PH1347" s="120"/>
      <c r="PI1347" s="120"/>
      <c r="PJ1347" s="120"/>
      <c r="PK1347" s="120"/>
      <c r="PL1347" s="120"/>
      <c r="PM1347" s="120"/>
      <c r="PN1347" s="120"/>
      <c r="PO1347" s="120"/>
      <c r="PP1347" s="120"/>
      <c r="PQ1347" s="120"/>
      <c r="PR1347" s="120"/>
      <c r="PS1347" s="120"/>
      <c r="PT1347" s="120"/>
      <c r="PU1347" s="120"/>
      <c r="PV1347" s="120"/>
      <c r="PW1347" s="120"/>
      <c r="PX1347" s="120"/>
      <c r="PY1347" s="120"/>
      <c r="PZ1347" s="120"/>
      <c r="QA1347" s="120"/>
      <c r="QB1347" s="120"/>
      <c r="QC1347" s="120"/>
      <c r="QD1347" s="120"/>
      <c r="QE1347" s="120"/>
      <c r="QF1347" s="120"/>
      <c r="QG1347" s="120"/>
      <c r="QH1347" s="120"/>
      <c r="QI1347" s="120"/>
      <c r="QJ1347" s="120"/>
      <c r="QK1347" s="120"/>
      <c r="QL1347" s="120"/>
      <c r="QM1347" s="120"/>
      <c r="QN1347" s="120"/>
      <c r="QO1347" s="120"/>
      <c r="QP1347" s="120"/>
      <c r="QQ1347" s="120"/>
      <c r="QR1347" s="120"/>
      <c r="QS1347" s="120"/>
      <c r="QT1347" s="120"/>
      <c r="QU1347" s="120"/>
      <c r="QV1347" s="120"/>
      <c r="QW1347" s="120"/>
      <c r="QX1347" s="120"/>
      <c r="QY1347" s="120"/>
      <c r="QZ1347" s="120"/>
      <c r="RA1347" s="120"/>
      <c r="RB1347" s="120"/>
      <c r="RC1347" s="120"/>
      <c r="RD1347" s="120"/>
      <c r="RE1347" s="120"/>
      <c r="RF1347" s="120"/>
      <c r="RG1347" s="120"/>
      <c r="RH1347" s="120"/>
      <c r="RI1347" s="120"/>
      <c r="RJ1347" s="120"/>
      <c r="RK1347" s="120"/>
      <c r="RL1347" s="120"/>
      <c r="RM1347" s="120"/>
      <c r="RN1347" s="120"/>
      <c r="RO1347" s="120"/>
      <c r="RP1347" s="120"/>
      <c r="RQ1347" s="120"/>
      <c r="RR1347" s="120"/>
      <c r="RS1347" s="120"/>
      <c r="RT1347" s="120"/>
      <c r="RU1347" s="120"/>
      <c r="RV1347" s="120"/>
      <c r="RW1347" s="120"/>
      <c r="RX1347" s="120"/>
      <c r="RY1347" s="120"/>
      <c r="RZ1347" s="120"/>
      <c r="SA1347" s="120"/>
      <c r="SB1347" s="120"/>
      <c r="SC1347" s="120"/>
      <c r="SD1347" s="120"/>
      <c r="SE1347" s="120"/>
      <c r="SF1347" s="120"/>
      <c r="SG1347" s="120"/>
      <c r="SH1347" s="120"/>
      <c r="SI1347" s="120"/>
      <c r="SJ1347" s="120"/>
      <c r="SK1347" s="120"/>
      <c r="SL1347" s="120"/>
      <c r="SM1347" s="120"/>
      <c r="SN1347" s="120"/>
      <c r="SO1347" s="120"/>
      <c r="SP1347" s="120"/>
      <c r="SQ1347" s="120"/>
      <c r="SR1347" s="120"/>
      <c r="SS1347" s="120"/>
      <c r="ST1347" s="120"/>
      <c r="SU1347" s="120"/>
      <c r="SV1347" s="120"/>
      <c r="SW1347" s="120"/>
      <c r="SX1347" s="120"/>
      <c r="SY1347" s="120"/>
      <c r="SZ1347" s="120"/>
      <c r="TA1347" s="120"/>
      <c r="TB1347" s="120"/>
      <c r="TC1347" s="120"/>
      <c r="TD1347" s="120"/>
      <c r="TE1347" s="120"/>
      <c r="TF1347" s="120"/>
      <c r="TG1347" s="120"/>
      <c r="TH1347" s="120"/>
      <c r="TI1347" s="120"/>
      <c r="TJ1347" s="120"/>
      <c r="TK1347" s="120"/>
      <c r="TL1347" s="120"/>
      <c r="TM1347" s="120"/>
      <c r="TN1347" s="120"/>
      <c r="TO1347" s="120"/>
      <c r="TP1347" s="120"/>
      <c r="TQ1347" s="120"/>
      <c r="TR1347" s="120"/>
      <c r="TS1347" s="120"/>
      <c r="TT1347" s="120"/>
      <c r="TU1347" s="120"/>
      <c r="TV1347" s="120"/>
      <c r="TW1347" s="120"/>
      <c r="TX1347" s="120"/>
      <c r="TY1347" s="120"/>
      <c r="TZ1347" s="120"/>
      <c r="UA1347" s="120"/>
      <c r="UB1347" s="120"/>
      <c r="UC1347" s="120"/>
      <c r="UD1347" s="120"/>
      <c r="UE1347" s="120"/>
      <c r="UF1347" s="120"/>
      <c r="UG1347" s="120"/>
      <c r="UH1347" s="120"/>
      <c r="UI1347" s="120"/>
      <c r="UJ1347" s="120"/>
      <c r="UK1347" s="120"/>
      <c r="UL1347" s="120"/>
      <c r="UM1347" s="120"/>
      <c r="UN1347" s="120"/>
      <c r="UO1347" s="120"/>
      <c r="UP1347" s="120"/>
      <c r="UQ1347" s="120"/>
      <c r="UR1347" s="120"/>
      <c r="US1347" s="120"/>
      <c r="UT1347" s="120"/>
      <c r="UU1347" s="120"/>
      <c r="UV1347" s="120"/>
      <c r="UW1347" s="120"/>
      <c r="UX1347" s="120"/>
      <c r="UY1347" s="120"/>
      <c r="UZ1347" s="120"/>
      <c r="VA1347" s="120"/>
      <c r="VB1347" s="120"/>
      <c r="VC1347" s="120"/>
      <c r="VD1347" s="120"/>
      <c r="VE1347" s="120"/>
      <c r="VF1347" s="120"/>
      <c r="VG1347" s="120"/>
      <c r="VH1347" s="120"/>
      <c r="VI1347" s="120"/>
      <c r="VJ1347" s="120"/>
      <c r="VK1347" s="120"/>
      <c r="VL1347" s="120"/>
      <c r="VM1347" s="120"/>
      <c r="VN1347" s="120"/>
      <c r="VO1347" s="120"/>
      <c r="VP1347" s="120"/>
      <c r="VQ1347" s="120"/>
      <c r="VR1347" s="120"/>
      <c r="VS1347" s="120"/>
      <c r="VT1347" s="120"/>
      <c r="VU1347" s="120"/>
      <c r="VV1347" s="120"/>
      <c r="VW1347" s="120"/>
      <c r="VX1347" s="120"/>
      <c r="VY1347" s="120"/>
      <c r="VZ1347" s="120"/>
      <c r="WA1347" s="120"/>
      <c r="WB1347" s="120"/>
      <c r="WC1347" s="120"/>
      <c r="WD1347" s="120"/>
      <c r="WE1347" s="120"/>
      <c r="WF1347" s="120"/>
      <c r="WG1347" s="120"/>
      <c r="WH1347" s="120"/>
      <c r="WI1347" s="120"/>
      <c r="WJ1347" s="120"/>
      <c r="WK1347" s="120"/>
      <c r="WL1347" s="120"/>
      <c r="WM1347" s="120"/>
      <c r="WN1347" s="120"/>
      <c r="WO1347" s="120"/>
      <c r="WP1347" s="120"/>
      <c r="WQ1347" s="120"/>
      <c r="WR1347" s="120"/>
      <c r="WS1347" s="120"/>
      <c r="WT1347" s="120"/>
      <c r="WU1347" s="120"/>
      <c r="WV1347" s="120"/>
      <c r="WW1347" s="120"/>
      <c r="WX1347" s="120"/>
      <c r="WY1347" s="120"/>
      <c r="WZ1347" s="120"/>
      <c r="XA1347" s="120"/>
      <c r="XB1347" s="120"/>
      <c r="XC1347" s="120"/>
      <c r="XD1347" s="120"/>
      <c r="XE1347" s="120"/>
      <c r="XF1347" s="120"/>
      <c r="XG1347" s="120"/>
      <c r="XH1347" s="120"/>
      <c r="XI1347" s="120"/>
      <c r="XJ1347" s="120"/>
      <c r="XK1347" s="120"/>
      <c r="XL1347" s="120"/>
      <c r="XM1347" s="120"/>
      <c r="XN1347" s="120"/>
      <c r="XO1347" s="120"/>
      <c r="XP1347" s="120"/>
      <c r="XQ1347" s="120"/>
      <c r="XR1347" s="120"/>
      <c r="XS1347" s="120"/>
      <c r="XT1347" s="120"/>
      <c r="XU1347" s="120"/>
      <c r="XV1347" s="120"/>
      <c r="XW1347" s="120"/>
      <c r="XX1347" s="120"/>
      <c r="XY1347" s="120"/>
      <c r="XZ1347" s="120"/>
      <c r="YA1347" s="120"/>
      <c r="YB1347" s="120"/>
      <c r="YC1347" s="120"/>
      <c r="YD1347" s="120"/>
      <c r="YE1347" s="120"/>
      <c r="YF1347" s="120"/>
      <c r="YG1347" s="120"/>
      <c r="YH1347" s="120"/>
      <c r="YI1347" s="120"/>
      <c r="YJ1347" s="120"/>
      <c r="YK1347" s="120"/>
      <c r="YL1347" s="120"/>
      <c r="YM1347" s="120"/>
      <c r="YN1347" s="120"/>
      <c r="YO1347" s="120"/>
      <c r="YP1347" s="120"/>
      <c r="YQ1347" s="120"/>
      <c r="YR1347" s="120"/>
      <c r="YS1347" s="120"/>
      <c r="YT1347" s="120"/>
      <c r="YU1347" s="120"/>
      <c r="YV1347" s="120"/>
      <c r="YW1347" s="120"/>
      <c r="YX1347" s="120"/>
      <c r="YY1347" s="120"/>
      <c r="YZ1347" s="120"/>
      <c r="ZA1347" s="120"/>
      <c r="ZB1347" s="120"/>
      <c r="ZC1347" s="120"/>
      <c r="ZD1347" s="120"/>
      <c r="ZE1347" s="120"/>
      <c r="ZF1347" s="120"/>
      <c r="ZG1347" s="120"/>
      <c r="ZH1347" s="120"/>
      <c r="ZI1347" s="120"/>
      <c r="ZJ1347" s="120"/>
      <c r="ZK1347" s="120"/>
      <c r="ZL1347" s="120"/>
      <c r="ZM1347" s="120"/>
      <c r="ZN1347" s="120"/>
      <c r="ZO1347" s="120"/>
      <c r="ZP1347" s="120"/>
      <c r="ZQ1347" s="120"/>
      <c r="ZR1347" s="120"/>
      <c r="ZS1347" s="120"/>
      <c r="ZT1347" s="120"/>
      <c r="ZU1347" s="120"/>
      <c r="ZV1347" s="120"/>
      <c r="ZW1347" s="120"/>
      <c r="ZX1347" s="120"/>
      <c r="ZY1347" s="120"/>
      <c r="ZZ1347" s="120"/>
      <c r="AAA1347" s="120"/>
      <c r="AAB1347" s="120"/>
      <c r="AAC1347" s="120"/>
      <c r="AAD1347" s="120"/>
      <c r="AAE1347" s="120"/>
      <c r="AAF1347" s="120"/>
      <c r="AAG1347" s="120"/>
      <c r="AAH1347" s="120"/>
      <c r="AAI1347" s="120"/>
      <c r="AAJ1347" s="120"/>
      <c r="AAK1347" s="120"/>
      <c r="AAL1347" s="120"/>
      <c r="AAM1347" s="120"/>
      <c r="AAN1347" s="120"/>
      <c r="AAO1347" s="120"/>
      <c r="AAP1347" s="120"/>
      <c r="AAQ1347" s="120"/>
      <c r="AAR1347" s="120"/>
      <c r="AAS1347" s="120"/>
      <c r="AAT1347" s="120"/>
      <c r="AAU1347" s="120"/>
      <c r="AAV1347" s="120"/>
      <c r="AAW1347" s="120"/>
      <c r="AAX1347" s="120"/>
      <c r="AAY1347" s="120"/>
      <c r="AAZ1347" s="120"/>
      <c r="ABA1347" s="120"/>
      <c r="ABB1347" s="120"/>
      <c r="ABC1347" s="120"/>
      <c r="ABD1347" s="120"/>
      <c r="ABE1347" s="120"/>
      <c r="ABF1347" s="120"/>
      <c r="ABG1347" s="120"/>
      <c r="ABH1347" s="120"/>
      <c r="ABI1347" s="120"/>
      <c r="ABJ1347" s="120"/>
      <c r="ABK1347" s="120"/>
      <c r="ABL1347" s="120"/>
      <c r="ABM1347" s="120"/>
      <c r="ABN1347" s="120"/>
      <c r="ABO1347" s="120"/>
      <c r="ABP1347" s="120"/>
      <c r="ABQ1347" s="120"/>
      <c r="ABR1347" s="120"/>
      <c r="ABS1347" s="120"/>
      <c r="ABT1347" s="120"/>
      <c r="ABU1347" s="120"/>
      <c r="ABV1347" s="120"/>
      <c r="ABW1347" s="120"/>
      <c r="ABX1347" s="120"/>
      <c r="ABY1347" s="120"/>
      <c r="ABZ1347" s="120"/>
      <c r="ACA1347" s="120"/>
      <c r="ACB1347" s="120"/>
      <c r="ACC1347" s="120"/>
      <c r="ACD1347" s="120"/>
      <c r="ACE1347" s="120"/>
      <c r="ACF1347" s="120"/>
      <c r="ACG1347" s="120"/>
      <c r="ACH1347" s="120"/>
      <c r="ACI1347" s="120"/>
      <c r="ACJ1347" s="120"/>
      <c r="ACK1347" s="120"/>
      <c r="ACL1347" s="120"/>
      <c r="ACM1347" s="120"/>
      <c r="ACN1347" s="120"/>
      <c r="ACO1347" s="120"/>
      <c r="ACP1347" s="120"/>
      <c r="ACQ1347" s="120"/>
      <c r="ACR1347" s="120"/>
      <c r="ACS1347" s="120"/>
      <c r="ACT1347" s="120"/>
      <c r="ACU1347" s="120"/>
      <c r="ACV1347" s="120"/>
      <c r="ACW1347" s="120"/>
      <c r="ACX1347" s="120"/>
      <c r="ACY1347" s="120"/>
      <c r="ACZ1347" s="120"/>
      <c r="ADA1347" s="120"/>
      <c r="ADB1347" s="120"/>
      <c r="ADC1347" s="120"/>
      <c r="ADD1347" s="120"/>
      <c r="ADE1347" s="120"/>
      <c r="ADF1347" s="120"/>
      <c r="ADG1347" s="120"/>
      <c r="ADH1347" s="120"/>
      <c r="ADI1347" s="120"/>
      <c r="ADJ1347" s="120"/>
      <c r="ADK1347" s="120"/>
      <c r="ADL1347" s="120"/>
      <c r="ADM1347" s="120"/>
      <c r="ADN1347" s="120"/>
      <c r="ADO1347" s="120"/>
      <c r="ADP1347" s="120"/>
      <c r="ADQ1347" s="120"/>
      <c r="ADR1347" s="120"/>
      <c r="ADS1347" s="120"/>
      <c r="ADT1347" s="120"/>
      <c r="ADU1347" s="120"/>
      <c r="ADV1347" s="120"/>
      <c r="ADW1347" s="120"/>
      <c r="ADX1347" s="120"/>
      <c r="ADY1347" s="120"/>
      <c r="ADZ1347" s="120"/>
      <c r="AEA1347" s="120"/>
      <c r="AEB1347" s="120"/>
      <c r="AEC1347" s="120"/>
      <c r="AED1347" s="120"/>
      <c r="AEE1347" s="120"/>
      <c r="AEF1347" s="120"/>
      <c r="AEG1347" s="120"/>
      <c r="AEH1347" s="120"/>
      <c r="AEI1347" s="120"/>
      <c r="AEJ1347" s="120"/>
      <c r="AEK1347" s="120"/>
      <c r="AEL1347" s="120"/>
      <c r="AEM1347" s="120"/>
      <c r="AEN1347" s="120"/>
      <c r="AEO1347" s="120"/>
      <c r="AEP1347" s="120"/>
      <c r="AEQ1347" s="120"/>
      <c r="AER1347" s="120"/>
      <c r="AES1347" s="120"/>
      <c r="AET1347" s="120"/>
      <c r="AEU1347" s="120"/>
      <c r="AEV1347" s="120"/>
      <c r="AEW1347" s="120"/>
      <c r="AEX1347" s="120"/>
      <c r="AEY1347" s="120"/>
      <c r="AEZ1347" s="120"/>
      <c r="AFA1347" s="120"/>
      <c r="AFB1347" s="120"/>
      <c r="AFC1347" s="120"/>
      <c r="AFD1347" s="120"/>
      <c r="AFE1347" s="120"/>
      <c r="AFF1347" s="120"/>
      <c r="AFG1347" s="120"/>
      <c r="AFH1347" s="120"/>
      <c r="AFI1347" s="120"/>
      <c r="AFJ1347" s="120"/>
      <c r="AFK1347" s="120"/>
      <c r="AFL1347" s="120"/>
      <c r="AFM1347" s="120"/>
      <c r="AFN1347" s="120"/>
      <c r="AFO1347" s="120"/>
      <c r="AFP1347" s="120"/>
      <c r="AFQ1347" s="120"/>
      <c r="AFR1347" s="120"/>
      <c r="AFS1347" s="120"/>
      <c r="AFT1347" s="120"/>
      <c r="AFU1347" s="120"/>
      <c r="AFV1347" s="120"/>
      <c r="AFW1347" s="120"/>
      <c r="AFX1347" s="120"/>
      <c r="AFY1347" s="120"/>
      <c r="AFZ1347" s="120"/>
      <c r="AGA1347" s="120"/>
      <c r="AGB1347" s="120"/>
      <c r="AGC1347" s="120"/>
      <c r="AGD1347" s="120"/>
      <c r="AGE1347" s="120"/>
      <c r="AGF1347" s="120"/>
      <c r="AGG1347" s="120"/>
      <c r="AGH1347" s="120"/>
      <c r="AGI1347" s="120"/>
      <c r="AGJ1347" s="120"/>
      <c r="AGK1347" s="120"/>
      <c r="AGL1347" s="120"/>
      <c r="AGM1347" s="120"/>
      <c r="AGN1347" s="120"/>
      <c r="AGO1347" s="120"/>
      <c r="AGP1347" s="120"/>
      <c r="AGQ1347" s="120"/>
      <c r="AGR1347" s="120"/>
      <c r="AGS1347" s="120"/>
      <c r="AGT1347" s="120"/>
      <c r="AGU1347" s="120"/>
      <c r="AGV1347" s="120"/>
      <c r="AGW1347" s="120"/>
      <c r="AGX1347" s="120"/>
      <c r="AGY1347" s="120"/>
      <c r="AGZ1347" s="120"/>
      <c r="AHA1347" s="120"/>
      <c r="AHB1347" s="120"/>
      <c r="AHC1347" s="120"/>
      <c r="AHD1347" s="120"/>
      <c r="AHE1347" s="120"/>
      <c r="AHF1347" s="120"/>
      <c r="AHG1347" s="120"/>
      <c r="AHH1347" s="120"/>
      <c r="AHI1347" s="120"/>
      <c r="AHJ1347" s="120"/>
      <c r="AHK1347" s="120"/>
      <c r="AHL1347" s="120"/>
      <c r="AHM1347" s="120"/>
      <c r="AHN1347" s="120"/>
      <c r="AHO1347" s="120"/>
      <c r="AHP1347" s="120"/>
      <c r="AHQ1347" s="120"/>
      <c r="AHR1347" s="120"/>
      <c r="AHS1347" s="120"/>
      <c r="AHT1347" s="120"/>
      <c r="AHU1347" s="120"/>
      <c r="AHV1347" s="120"/>
      <c r="AHW1347" s="120"/>
      <c r="AHX1347" s="120"/>
      <c r="AHY1347" s="120"/>
      <c r="AHZ1347" s="120"/>
      <c r="AIA1347" s="120"/>
      <c r="AIB1347" s="120"/>
      <c r="AIC1347" s="120"/>
      <c r="AID1347" s="120"/>
      <c r="AIE1347" s="120"/>
      <c r="AIF1347" s="120"/>
      <c r="AIG1347" s="120"/>
      <c r="AIH1347" s="120"/>
      <c r="AII1347" s="120"/>
      <c r="AIJ1347" s="120"/>
      <c r="AIK1347" s="120"/>
      <c r="AIL1347" s="120"/>
      <c r="AIM1347" s="120"/>
      <c r="AIN1347" s="120"/>
      <c r="AIO1347" s="120"/>
      <c r="AIP1347" s="120"/>
      <c r="AIQ1347" s="120"/>
      <c r="AIR1347" s="120"/>
      <c r="AIS1347" s="120"/>
      <c r="AIT1347" s="120"/>
      <c r="AIU1347" s="120"/>
      <c r="AIV1347" s="120"/>
      <c r="AIW1347" s="120"/>
      <c r="AIX1347" s="120"/>
      <c r="AIY1347" s="120"/>
      <c r="AIZ1347" s="120"/>
      <c r="AJA1347" s="120"/>
      <c r="AJB1347" s="120"/>
      <c r="AJC1347" s="120"/>
      <c r="AJD1347" s="120"/>
      <c r="AJE1347" s="120"/>
      <c r="AJF1347" s="120"/>
      <c r="AJG1347" s="120"/>
      <c r="AJH1347" s="120"/>
      <c r="AJI1347" s="120"/>
      <c r="AJJ1347" s="120"/>
      <c r="AJK1347" s="120"/>
      <c r="AJL1347" s="120"/>
      <c r="AJM1347" s="120"/>
      <c r="AJN1347" s="120"/>
      <c r="AJO1347" s="120"/>
      <c r="AJP1347" s="120"/>
      <c r="AJQ1347" s="120"/>
      <c r="AJR1347" s="120"/>
      <c r="AJS1347" s="120"/>
      <c r="AJT1347" s="120"/>
      <c r="AJU1347" s="120"/>
      <c r="AJV1347" s="120"/>
      <c r="AJW1347" s="120"/>
      <c r="AJX1347" s="120"/>
      <c r="AJY1347" s="120"/>
      <c r="AJZ1347" s="120"/>
      <c r="AKA1347" s="120"/>
      <c r="AKB1347" s="120"/>
      <c r="AKC1347" s="120"/>
      <c r="AKD1347" s="120"/>
      <c r="AKE1347" s="120"/>
      <c r="AKF1347" s="120"/>
      <c r="AKG1347" s="120"/>
      <c r="AKH1347" s="120"/>
      <c r="AKI1347" s="120"/>
      <c r="AKJ1347" s="120"/>
      <c r="AKK1347" s="120"/>
      <c r="AKL1347" s="120"/>
      <c r="AKM1347" s="120"/>
      <c r="AKN1347" s="120"/>
      <c r="AKO1347" s="120"/>
      <c r="AKP1347" s="120"/>
      <c r="AKQ1347" s="120"/>
      <c r="AKR1347" s="120"/>
      <c r="AKS1347" s="120"/>
      <c r="AKT1347" s="120"/>
      <c r="AKU1347" s="120"/>
      <c r="AKV1347" s="120"/>
      <c r="AKW1347" s="120"/>
      <c r="AKX1347" s="120"/>
      <c r="AKY1347" s="120"/>
      <c r="AKZ1347" s="120"/>
      <c r="ALA1347" s="120"/>
      <c r="ALB1347" s="120"/>
      <c r="ALC1347" s="120"/>
      <c r="ALD1347" s="120"/>
      <c r="ALE1347" s="120"/>
      <c r="ALF1347" s="120"/>
      <c r="ALG1347" s="120"/>
      <c r="ALH1347" s="120"/>
      <c r="ALI1347" s="120"/>
      <c r="ALJ1347" s="120"/>
      <c r="ALK1347" s="120"/>
      <c r="ALL1347" s="120"/>
      <c r="ALM1347" s="120"/>
      <c r="ALN1347" s="120"/>
      <c r="ALO1347" s="120"/>
      <c r="ALP1347" s="120"/>
      <c r="ALQ1347" s="120"/>
      <c r="ALR1347" s="120"/>
      <c r="ALS1347" s="120"/>
      <c r="ALT1347" s="120"/>
      <c r="ALU1347" s="120"/>
      <c r="ALV1347" s="120"/>
      <c r="ALW1347" s="120"/>
      <c r="ALX1347" s="120"/>
      <c r="ALY1347" s="120"/>
      <c r="ALZ1347" s="120"/>
      <c r="AMA1347" s="120"/>
      <c r="AMB1347" s="120"/>
      <c r="AMC1347" s="120"/>
      <c r="AMD1347" s="120"/>
      <c r="AME1347" s="120"/>
      <c r="AMF1347" s="120"/>
      <c r="AMG1347" s="120"/>
      <c r="AMH1347" s="120"/>
      <c r="AMI1347" s="120"/>
      <c r="AMJ1347" s="120"/>
      <c r="AMK1347" s="120"/>
      <c r="AML1347" s="120"/>
      <c r="AMM1347" s="120"/>
      <c r="AMN1347" s="120"/>
      <c r="AMO1347" s="120"/>
      <c r="AMP1347" s="120"/>
      <c r="AMQ1347" s="120"/>
      <c r="AMR1347" s="120"/>
      <c r="AMS1347" s="120"/>
      <c r="AMT1347" s="120"/>
      <c r="AMU1347" s="120"/>
      <c r="AMV1347" s="120"/>
      <c r="AMW1347" s="120"/>
      <c r="AMX1347" s="120"/>
      <c r="AMY1347" s="120"/>
      <c r="AMZ1347" s="120"/>
      <c r="ANA1347" s="120"/>
      <c r="ANB1347" s="120"/>
      <c r="ANC1347" s="120"/>
      <c r="AND1347" s="120"/>
      <c r="ANE1347" s="120"/>
      <c r="ANF1347" s="120"/>
      <c r="ANG1347" s="120"/>
      <c r="ANH1347" s="120"/>
      <c r="ANI1347" s="120"/>
      <c r="ANJ1347" s="120"/>
      <c r="ANK1347" s="120"/>
      <c r="ANL1347" s="120"/>
      <c r="ANM1347" s="120"/>
      <c r="ANN1347" s="120"/>
      <c r="ANO1347" s="120"/>
      <c r="ANP1347" s="120"/>
      <c r="ANQ1347" s="120"/>
      <c r="ANR1347" s="120"/>
      <c r="ANS1347" s="120"/>
      <c r="ANT1347" s="120"/>
      <c r="ANU1347" s="120"/>
      <c r="ANV1347" s="120"/>
      <c r="ANW1347" s="120"/>
      <c r="ANX1347" s="120"/>
      <c r="ANY1347" s="120"/>
      <c r="ANZ1347" s="120"/>
      <c r="AOA1347" s="120"/>
      <c r="AOB1347" s="120"/>
      <c r="AOC1347" s="120"/>
      <c r="AOD1347" s="120"/>
      <c r="AOE1347" s="120"/>
      <c r="AOF1347" s="120"/>
      <c r="AOG1347" s="120"/>
      <c r="AOH1347" s="120"/>
      <c r="AOI1347" s="120"/>
      <c r="AOJ1347" s="120"/>
      <c r="AOK1347" s="120"/>
      <c r="AOL1347" s="120"/>
      <c r="AOM1347" s="120"/>
      <c r="AON1347" s="120"/>
      <c r="AOO1347" s="120"/>
      <c r="AOP1347" s="120"/>
      <c r="AOQ1347" s="120"/>
      <c r="AOR1347" s="120"/>
      <c r="AOS1347" s="120"/>
      <c r="AOT1347" s="120"/>
      <c r="AOU1347" s="120"/>
      <c r="AOV1347" s="120"/>
      <c r="AOW1347" s="120"/>
      <c r="AOX1347" s="120"/>
      <c r="AOY1347" s="120"/>
      <c r="AOZ1347" s="120"/>
      <c r="APA1347" s="120"/>
      <c r="APB1347" s="120"/>
      <c r="APC1347" s="120"/>
      <c r="APD1347" s="120"/>
      <c r="APE1347" s="120"/>
      <c r="APF1347" s="120"/>
      <c r="APG1347" s="120"/>
      <c r="APH1347" s="120"/>
      <c r="API1347" s="120"/>
      <c r="APJ1347" s="120"/>
      <c r="APK1347" s="120"/>
      <c r="APL1347" s="120"/>
      <c r="APM1347" s="120"/>
      <c r="APN1347" s="120"/>
      <c r="APO1347" s="120"/>
      <c r="APP1347" s="120"/>
      <c r="APQ1347" s="120"/>
      <c r="APR1347" s="120"/>
      <c r="APS1347" s="120"/>
      <c r="APT1347" s="120"/>
      <c r="APU1347" s="120"/>
      <c r="APV1347" s="120"/>
      <c r="APW1347" s="120"/>
      <c r="APX1347" s="120"/>
      <c r="APY1347" s="120"/>
      <c r="APZ1347" s="120"/>
      <c r="AQA1347" s="120"/>
      <c r="AQB1347" s="120"/>
      <c r="AQC1347" s="120"/>
      <c r="AQD1347" s="120"/>
      <c r="AQE1347" s="120"/>
      <c r="AQF1347" s="120"/>
      <c r="AQG1347" s="120"/>
      <c r="AQH1347" s="120"/>
      <c r="AQI1347" s="120"/>
      <c r="AQJ1347" s="120"/>
      <c r="AQK1347" s="120"/>
      <c r="AQL1347" s="120"/>
      <c r="AQM1347" s="120"/>
      <c r="AQN1347" s="120"/>
      <c r="AQO1347" s="120"/>
      <c r="AQP1347" s="120"/>
      <c r="AQQ1347" s="120"/>
      <c r="AQR1347" s="120"/>
      <c r="AQS1347" s="120"/>
      <c r="AQT1347" s="120"/>
      <c r="AQU1347" s="120"/>
      <c r="AQV1347" s="120"/>
      <c r="AQW1347" s="120"/>
      <c r="AQX1347" s="120"/>
      <c r="AQY1347" s="120"/>
      <c r="AQZ1347" s="120"/>
      <c r="ARA1347" s="120"/>
      <c r="ARB1347" s="120"/>
      <c r="ARC1347" s="120"/>
      <c r="ARD1347" s="120"/>
      <c r="ARE1347" s="120"/>
      <c r="ARF1347" s="120"/>
      <c r="ARG1347" s="120"/>
      <c r="ARH1347" s="120"/>
      <c r="ARI1347" s="120"/>
      <c r="ARJ1347" s="120"/>
      <c r="ARK1347" s="120"/>
      <c r="ARL1347" s="120"/>
      <c r="ARM1347" s="120"/>
      <c r="ARN1347" s="120"/>
      <c r="ARO1347" s="120"/>
      <c r="ARP1347" s="120"/>
      <c r="ARQ1347" s="120"/>
      <c r="ARR1347" s="120"/>
      <c r="ARS1347" s="120"/>
      <c r="ART1347" s="120"/>
      <c r="ARU1347" s="120"/>
      <c r="ARV1347" s="120"/>
      <c r="ARW1347" s="120"/>
      <c r="ARX1347" s="120"/>
      <c r="ARY1347" s="120"/>
      <c r="ARZ1347" s="120"/>
      <c r="ASA1347" s="120"/>
      <c r="ASB1347" s="120"/>
      <c r="ASC1347" s="120"/>
      <c r="ASD1347" s="120"/>
      <c r="ASE1347" s="120"/>
      <c r="ASF1347" s="120"/>
      <c r="ASG1347" s="120"/>
      <c r="ASH1347" s="120"/>
      <c r="ASI1347" s="120"/>
      <c r="ASJ1347" s="120"/>
      <c r="ASK1347" s="120"/>
      <c r="ASL1347" s="120"/>
      <c r="ASM1347" s="120"/>
      <c r="ASN1347" s="120"/>
      <c r="ASO1347" s="120"/>
      <c r="ASP1347" s="120"/>
      <c r="ASQ1347" s="120"/>
      <c r="ASR1347" s="120"/>
      <c r="ASS1347" s="120"/>
      <c r="AST1347" s="120"/>
      <c r="ASU1347" s="120"/>
      <c r="ASV1347" s="120"/>
      <c r="ASW1347" s="120"/>
      <c r="ASX1347" s="120"/>
      <c r="ASY1347" s="120"/>
      <c r="ASZ1347" s="120"/>
      <c r="ATA1347" s="120"/>
      <c r="ATB1347" s="120"/>
      <c r="ATC1347" s="120"/>
      <c r="ATD1347" s="120"/>
      <c r="ATE1347" s="120"/>
      <c r="ATF1347" s="120"/>
      <c r="ATG1347" s="120"/>
      <c r="ATH1347" s="120"/>
      <c r="ATI1347" s="120"/>
      <c r="ATJ1347" s="120"/>
      <c r="ATK1347" s="120"/>
      <c r="ATL1347" s="120"/>
      <c r="ATM1347" s="120"/>
      <c r="ATN1347" s="120"/>
      <c r="ATO1347" s="120"/>
    </row>
    <row r="1348" spans="1:1211" s="20" customFormat="1" ht="14.1" customHeight="1">
      <c r="A1348" s="112"/>
      <c r="B1348" s="723"/>
      <c r="C1348" s="184" t="s">
        <v>3748</v>
      </c>
      <c r="D1348" s="120"/>
      <c r="E1348" s="701"/>
      <c r="F1348" s="703"/>
      <c r="G1348" s="702"/>
      <c r="H1348" s="702"/>
      <c r="I1348" s="702"/>
      <c r="J1348" s="700"/>
      <c r="K1348" s="112"/>
      <c r="L1348" s="363"/>
      <c r="M1348" s="112"/>
      <c r="N1348" s="362"/>
      <c r="O1348" s="573"/>
      <c r="P1348" s="120"/>
      <c r="Q1348" s="120"/>
      <c r="R1348" s="120"/>
      <c r="S1348" s="120"/>
      <c r="T1348" s="120"/>
      <c r="U1348" s="120"/>
      <c r="V1348" s="120"/>
      <c r="W1348" s="120"/>
      <c r="X1348" s="120"/>
      <c r="Y1348" s="120"/>
      <c r="Z1348" s="120"/>
      <c r="AA1348" s="120"/>
      <c r="AB1348" s="120"/>
      <c r="AC1348" s="120"/>
      <c r="AD1348" s="120"/>
      <c r="AE1348" s="120"/>
      <c r="AF1348" s="120"/>
      <c r="AG1348" s="120"/>
      <c r="AH1348" s="120"/>
      <c r="AI1348" s="120"/>
      <c r="AJ1348" s="120"/>
      <c r="AK1348" s="120"/>
      <c r="AL1348" s="120"/>
      <c r="AM1348" s="120"/>
      <c r="AN1348" s="120"/>
      <c r="AO1348" s="120"/>
      <c r="AP1348" s="120"/>
      <c r="AQ1348" s="120"/>
      <c r="AR1348" s="120"/>
      <c r="AS1348" s="120"/>
      <c r="AT1348" s="120"/>
      <c r="AU1348" s="120"/>
      <c r="AV1348" s="120"/>
      <c r="AW1348" s="120"/>
      <c r="AX1348" s="120"/>
      <c r="AY1348" s="120"/>
      <c r="AZ1348" s="120"/>
      <c r="BA1348" s="120"/>
      <c r="BB1348" s="120"/>
      <c r="BC1348" s="120"/>
      <c r="BD1348" s="120"/>
      <c r="BE1348" s="120"/>
      <c r="BF1348" s="120"/>
      <c r="BG1348" s="120"/>
      <c r="BH1348" s="120"/>
      <c r="BI1348" s="120"/>
      <c r="BJ1348" s="120"/>
      <c r="BK1348" s="120"/>
      <c r="BL1348" s="120"/>
      <c r="BM1348" s="120"/>
      <c r="BN1348" s="120"/>
      <c r="BO1348" s="120"/>
      <c r="BP1348" s="120"/>
      <c r="BQ1348" s="120"/>
      <c r="BR1348" s="120"/>
      <c r="BS1348" s="120"/>
      <c r="BT1348" s="120"/>
      <c r="BU1348" s="120"/>
      <c r="BV1348" s="120"/>
      <c r="BW1348" s="120"/>
      <c r="BX1348" s="120"/>
      <c r="BY1348" s="120"/>
      <c r="BZ1348" s="120"/>
      <c r="CA1348" s="120"/>
      <c r="CB1348" s="120"/>
      <c r="CC1348" s="120"/>
      <c r="CD1348" s="120"/>
      <c r="CE1348" s="120"/>
      <c r="CF1348" s="120"/>
      <c r="CG1348" s="120"/>
      <c r="CH1348" s="120"/>
      <c r="CI1348" s="120"/>
      <c r="CJ1348" s="120"/>
      <c r="CK1348" s="120"/>
      <c r="CL1348" s="120"/>
      <c r="CM1348" s="120"/>
      <c r="CN1348" s="120"/>
      <c r="CO1348" s="120"/>
      <c r="CP1348" s="120"/>
      <c r="CQ1348" s="120"/>
      <c r="CR1348" s="120"/>
      <c r="CS1348" s="120"/>
      <c r="CT1348" s="120"/>
      <c r="CU1348" s="120"/>
      <c r="CV1348" s="120"/>
      <c r="CW1348" s="120"/>
      <c r="CX1348" s="120"/>
      <c r="CY1348" s="120"/>
      <c r="CZ1348" s="120"/>
      <c r="DA1348" s="120"/>
      <c r="DB1348" s="120"/>
      <c r="DC1348" s="120"/>
      <c r="DD1348" s="120"/>
      <c r="DE1348" s="120"/>
      <c r="DF1348" s="120"/>
      <c r="DG1348" s="120"/>
      <c r="DH1348" s="120"/>
      <c r="DI1348" s="120"/>
      <c r="DJ1348" s="120"/>
      <c r="DK1348" s="120"/>
      <c r="DL1348" s="120"/>
      <c r="DM1348" s="120"/>
      <c r="DN1348" s="120"/>
      <c r="DO1348" s="120"/>
      <c r="DP1348" s="120"/>
      <c r="DQ1348" s="120"/>
      <c r="DR1348" s="120"/>
      <c r="DS1348" s="120"/>
      <c r="DT1348" s="120"/>
      <c r="DU1348" s="120"/>
      <c r="DV1348" s="120"/>
      <c r="DW1348" s="120"/>
      <c r="DX1348" s="120"/>
      <c r="DY1348" s="120"/>
      <c r="DZ1348" s="120"/>
      <c r="EA1348" s="120"/>
      <c r="EB1348" s="120"/>
      <c r="EC1348" s="120"/>
      <c r="ED1348" s="120"/>
      <c r="EE1348" s="120"/>
      <c r="EF1348" s="120"/>
      <c r="EG1348" s="120"/>
      <c r="EH1348" s="120"/>
      <c r="EI1348" s="120"/>
      <c r="EJ1348" s="120"/>
      <c r="EK1348" s="120"/>
      <c r="EL1348" s="120"/>
      <c r="EM1348" s="120"/>
      <c r="EN1348" s="120"/>
      <c r="EO1348" s="120"/>
      <c r="EP1348" s="120"/>
      <c r="EQ1348" s="120"/>
      <c r="ER1348" s="120"/>
      <c r="ES1348" s="120"/>
      <c r="ET1348" s="120"/>
      <c r="EU1348" s="120"/>
      <c r="EV1348" s="120"/>
      <c r="EW1348" s="120"/>
      <c r="EX1348" s="120"/>
      <c r="EY1348" s="120"/>
      <c r="EZ1348" s="120"/>
      <c r="FA1348" s="120"/>
      <c r="FB1348" s="120"/>
      <c r="FC1348" s="120"/>
      <c r="FD1348" s="120"/>
      <c r="FE1348" s="120"/>
      <c r="FF1348" s="120"/>
      <c r="FG1348" s="120"/>
      <c r="FH1348" s="120"/>
      <c r="FI1348" s="120"/>
      <c r="FJ1348" s="120"/>
      <c r="FK1348" s="120"/>
      <c r="FL1348" s="120"/>
      <c r="FM1348" s="120"/>
      <c r="FN1348" s="120"/>
      <c r="FO1348" s="120"/>
      <c r="FP1348" s="120"/>
      <c r="FQ1348" s="120"/>
      <c r="FR1348" s="120"/>
      <c r="FS1348" s="120"/>
      <c r="FT1348" s="120"/>
      <c r="FU1348" s="120"/>
      <c r="FV1348" s="120"/>
      <c r="FW1348" s="120"/>
      <c r="FX1348" s="120"/>
      <c r="FY1348" s="120"/>
      <c r="FZ1348" s="120"/>
      <c r="GA1348" s="120"/>
      <c r="GB1348" s="120"/>
      <c r="GC1348" s="120"/>
      <c r="GD1348" s="120"/>
      <c r="GE1348" s="120"/>
      <c r="GF1348" s="120"/>
      <c r="GG1348" s="120"/>
      <c r="GH1348" s="120"/>
      <c r="GI1348" s="120"/>
      <c r="GJ1348" s="120"/>
      <c r="GK1348" s="120"/>
      <c r="GL1348" s="120"/>
      <c r="GM1348" s="120"/>
      <c r="GN1348" s="120"/>
      <c r="GO1348" s="120"/>
      <c r="GP1348" s="120"/>
      <c r="GQ1348" s="120"/>
      <c r="GR1348" s="120"/>
      <c r="GS1348" s="120"/>
      <c r="GT1348" s="120"/>
      <c r="GU1348" s="120"/>
      <c r="GV1348" s="120"/>
      <c r="GW1348" s="120"/>
      <c r="GX1348" s="120"/>
      <c r="GY1348" s="120"/>
      <c r="GZ1348" s="120"/>
      <c r="HA1348" s="120"/>
      <c r="HB1348" s="120"/>
      <c r="HC1348" s="120"/>
      <c r="HD1348" s="120"/>
      <c r="HE1348" s="120"/>
      <c r="HF1348" s="120"/>
      <c r="HG1348" s="120"/>
      <c r="HH1348" s="120"/>
      <c r="HI1348" s="120"/>
      <c r="HJ1348" s="120"/>
      <c r="HK1348" s="120"/>
      <c r="HL1348" s="120"/>
      <c r="HM1348" s="120"/>
      <c r="HN1348" s="120"/>
      <c r="HO1348" s="120"/>
      <c r="HP1348" s="120"/>
      <c r="HQ1348" s="120"/>
      <c r="HR1348" s="120"/>
      <c r="HS1348" s="120"/>
      <c r="HT1348" s="120"/>
      <c r="HU1348" s="120"/>
      <c r="HV1348" s="120"/>
      <c r="HW1348" s="120"/>
      <c r="HX1348" s="120"/>
      <c r="HY1348" s="120"/>
      <c r="HZ1348" s="120"/>
      <c r="IA1348" s="120"/>
      <c r="IB1348" s="120"/>
      <c r="IC1348" s="120"/>
      <c r="ID1348" s="120"/>
      <c r="IE1348" s="120"/>
      <c r="IF1348" s="120"/>
      <c r="IG1348" s="120"/>
      <c r="IH1348" s="120"/>
      <c r="II1348" s="120"/>
      <c r="IJ1348" s="120"/>
      <c r="IK1348" s="120"/>
      <c r="IL1348" s="120"/>
      <c r="IM1348" s="120"/>
      <c r="IN1348" s="120"/>
      <c r="IO1348" s="120"/>
      <c r="IP1348" s="120"/>
      <c r="IQ1348" s="120"/>
      <c r="IR1348" s="120"/>
      <c r="IS1348" s="120"/>
      <c r="IT1348" s="120"/>
      <c r="IU1348" s="120"/>
      <c r="IV1348" s="120"/>
      <c r="IW1348" s="120"/>
      <c r="IX1348" s="120"/>
      <c r="IY1348" s="120"/>
      <c r="IZ1348" s="120"/>
      <c r="JA1348" s="120"/>
      <c r="JB1348" s="120"/>
      <c r="JC1348" s="120"/>
      <c r="JD1348" s="120"/>
      <c r="JE1348" s="120"/>
      <c r="JF1348" s="120"/>
      <c r="JG1348" s="120"/>
      <c r="JH1348" s="120"/>
      <c r="JI1348" s="120"/>
      <c r="JJ1348" s="120"/>
      <c r="JK1348" s="120"/>
      <c r="JL1348" s="120"/>
      <c r="JM1348" s="120"/>
      <c r="JN1348" s="120"/>
      <c r="JO1348" s="120"/>
      <c r="JP1348" s="120"/>
      <c r="JQ1348" s="120"/>
      <c r="JR1348" s="120"/>
      <c r="JS1348" s="120"/>
      <c r="JT1348" s="120"/>
      <c r="JU1348" s="120"/>
      <c r="JV1348" s="120"/>
      <c r="JW1348" s="120"/>
      <c r="JX1348" s="120"/>
      <c r="JY1348" s="120"/>
      <c r="JZ1348" s="120"/>
      <c r="KA1348" s="120"/>
      <c r="KB1348" s="120"/>
      <c r="KC1348" s="120"/>
      <c r="KD1348" s="120"/>
      <c r="KE1348" s="120"/>
      <c r="KF1348" s="120"/>
      <c r="KG1348" s="120"/>
      <c r="KH1348" s="120"/>
      <c r="KI1348" s="120"/>
      <c r="KJ1348" s="120"/>
      <c r="KK1348" s="120"/>
      <c r="KL1348" s="120"/>
      <c r="KM1348" s="120"/>
      <c r="KN1348" s="120"/>
      <c r="KO1348" s="120"/>
      <c r="KP1348" s="120"/>
      <c r="KQ1348" s="120"/>
      <c r="KR1348" s="120"/>
      <c r="KS1348" s="120"/>
      <c r="KT1348" s="120"/>
      <c r="KU1348" s="120"/>
      <c r="KV1348" s="120"/>
      <c r="KW1348" s="120"/>
      <c r="KX1348" s="120"/>
      <c r="KY1348" s="120"/>
      <c r="KZ1348" s="120"/>
      <c r="LA1348" s="120"/>
      <c r="LB1348" s="120"/>
      <c r="LC1348" s="120"/>
      <c r="LD1348" s="120"/>
      <c r="LE1348" s="120"/>
      <c r="LF1348" s="120"/>
      <c r="LG1348" s="120"/>
      <c r="LH1348" s="120"/>
      <c r="LI1348" s="120"/>
      <c r="LJ1348" s="120"/>
      <c r="LK1348" s="120"/>
      <c r="LL1348" s="120"/>
      <c r="LM1348" s="120"/>
      <c r="LN1348" s="120"/>
      <c r="LO1348" s="120"/>
      <c r="LP1348" s="120"/>
      <c r="LQ1348" s="120"/>
      <c r="LR1348" s="120"/>
      <c r="LS1348" s="120"/>
      <c r="LT1348" s="120"/>
      <c r="LU1348" s="120"/>
      <c r="LV1348" s="120"/>
      <c r="LW1348" s="120"/>
      <c r="LX1348" s="120"/>
      <c r="LY1348" s="120"/>
      <c r="LZ1348" s="120"/>
      <c r="MA1348" s="120"/>
      <c r="MB1348" s="120"/>
      <c r="MC1348" s="120"/>
      <c r="MD1348" s="120"/>
      <c r="ME1348" s="120"/>
      <c r="MF1348" s="120"/>
      <c r="MG1348" s="120"/>
      <c r="MH1348" s="120"/>
      <c r="MI1348" s="120"/>
      <c r="MJ1348" s="120"/>
      <c r="MK1348" s="120"/>
      <c r="ML1348" s="120"/>
      <c r="MM1348" s="120"/>
      <c r="MN1348" s="120"/>
      <c r="MO1348" s="120"/>
      <c r="MP1348" s="120"/>
      <c r="MQ1348" s="120"/>
      <c r="MR1348" s="120"/>
      <c r="MS1348" s="120"/>
      <c r="MT1348" s="120"/>
      <c r="MU1348" s="120"/>
      <c r="MV1348" s="120"/>
      <c r="MW1348" s="120"/>
      <c r="MX1348" s="120"/>
      <c r="MY1348" s="120"/>
      <c r="MZ1348" s="120"/>
      <c r="NA1348" s="120"/>
      <c r="NB1348" s="120"/>
      <c r="NC1348" s="120"/>
      <c r="ND1348" s="120"/>
      <c r="NE1348" s="120"/>
      <c r="NF1348" s="120"/>
      <c r="NG1348" s="120"/>
      <c r="NH1348" s="120"/>
      <c r="NI1348" s="120"/>
      <c r="NJ1348" s="120"/>
      <c r="NK1348" s="120"/>
      <c r="NL1348" s="120"/>
      <c r="NM1348" s="120"/>
      <c r="NN1348" s="120"/>
      <c r="NO1348" s="120"/>
      <c r="NP1348" s="120"/>
      <c r="NQ1348" s="120"/>
      <c r="NR1348" s="120"/>
      <c r="NS1348" s="120"/>
      <c r="NT1348" s="120"/>
      <c r="NU1348" s="120"/>
      <c r="NV1348" s="120"/>
      <c r="NW1348" s="120"/>
      <c r="NX1348" s="120"/>
      <c r="NY1348" s="120"/>
      <c r="NZ1348" s="120"/>
      <c r="OA1348" s="120"/>
      <c r="OB1348" s="120"/>
      <c r="OC1348" s="120"/>
      <c r="OD1348" s="120"/>
      <c r="OE1348" s="120"/>
      <c r="OF1348" s="120"/>
      <c r="OG1348" s="120"/>
      <c r="OH1348" s="120"/>
      <c r="OI1348" s="120"/>
      <c r="OJ1348" s="120"/>
      <c r="OK1348" s="120"/>
      <c r="OL1348" s="120"/>
      <c r="OM1348" s="120"/>
      <c r="ON1348" s="120"/>
      <c r="OO1348" s="120"/>
      <c r="OP1348" s="120"/>
      <c r="OQ1348" s="120"/>
      <c r="OR1348" s="120"/>
      <c r="OS1348" s="120"/>
      <c r="OT1348" s="120"/>
      <c r="OU1348" s="120"/>
      <c r="OV1348" s="120"/>
      <c r="OW1348" s="120"/>
      <c r="OX1348" s="120"/>
      <c r="OY1348" s="120"/>
      <c r="OZ1348" s="120"/>
      <c r="PA1348" s="120"/>
      <c r="PB1348" s="120"/>
      <c r="PC1348" s="120"/>
      <c r="PD1348" s="120"/>
      <c r="PE1348" s="120"/>
      <c r="PF1348" s="120"/>
      <c r="PG1348" s="120"/>
      <c r="PH1348" s="120"/>
      <c r="PI1348" s="120"/>
      <c r="PJ1348" s="120"/>
      <c r="PK1348" s="120"/>
      <c r="PL1348" s="120"/>
      <c r="PM1348" s="120"/>
      <c r="PN1348" s="120"/>
      <c r="PO1348" s="120"/>
      <c r="PP1348" s="120"/>
      <c r="PQ1348" s="120"/>
      <c r="PR1348" s="120"/>
      <c r="PS1348" s="120"/>
      <c r="PT1348" s="120"/>
      <c r="PU1348" s="120"/>
      <c r="PV1348" s="120"/>
      <c r="PW1348" s="120"/>
      <c r="PX1348" s="120"/>
      <c r="PY1348" s="120"/>
      <c r="PZ1348" s="120"/>
      <c r="QA1348" s="120"/>
      <c r="QB1348" s="120"/>
      <c r="QC1348" s="120"/>
      <c r="QD1348" s="120"/>
      <c r="QE1348" s="120"/>
      <c r="QF1348" s="120"/>
      <c r="QG1348" s="120"/>
      <c r="QH1348" s="120"/>
      <c r="QI1348" s="120"/>
      <c r="QJ1348" s="120"/>
      <c r="QK1348" s="120"/>
      <c r="QL1348" s="120"/>
      <c r="QM1348" s="120"/>
      <c r="QN1348" s="120"/>
      <c r="QO1348" s="120"/>
      <c r="QP1348" s="120"/>
      <c r="QQ1348" s="120"/>
      <c r="QR1348" s="120"/>
      <c r="QS1348" s="120"/>
      <c r="QT1348" s="120"/>
      <c r="QU1348" s="120"/>
      <c r="QV1348" s="120"/>
      <c r="QW1348" s="120"/>
      <c r="QX1348" s="120"/>
      <c r="QY1348" s="120"/>
      <c r="QZ1348" s="120"/>
      <c r="RA1348" s="120"/>
      <c r="RB1348" s="120"/>
      <c r="RC1348" s="120"/>
      <c r="RD1348" s="120"/>
      <c r="RE1348" s="120"/>
      <c r="RF1348" s="120"/>
      <c r="RG1348" s="120"/>
      <c r="RH1348" s="120"/>
      <c r="RI1348" s="120"/>
      <c r="RJ1348" s="120"/>
      <c r="RK1348" s="120"/>
      <c r="RL1348" s="120"/>
      <c r="RM1348" s="120"/>
      <c r="RN1348" s="120"/>
      <c r="RO1348" s="120"/>
      <c r="RP1348" s="120"/>
      <c r="RQ1348" s="120"/>
      <c r="RR1348" s="120"/>
      <c r="RS1348" s="120"/>
      <c r="RT1348" s="120"/>
      <c r="RU1348" s="120"/>
      <c r="RV1348" s="120"/>
      <c r="RW1348" s="120"/>
      <c r="RX1348" s="120"/>
      <c r="RY1348" s="120"/>
      <c r="RZ1348" s="120"/>
      <c r="SA1348" s="120"/>
      <c r="SB1348" s="120"/>
      <c r="SC1348" s="120"/>
      <c r="SD1348" s="120"/>
      <c r="SE1348" s="120"/>
      <c r="SF1348" s="120"/>
      <c r="SG1348" s="120"/>
      <c r="SH1348" s="120"/>
      <c r="SI1348" s="120"/>
      <c r="SJ1348" s="120"/>
      <c r="SK1348" s="120"/>
      <c r="SL1348" s="120"/>
      <c r="SM1348" s="120"/>
      <c r="SN1348" s="120"/>
      <c r="SO1348" s="120"/>
      <c r="SP1348" s="120"/>
      <c r="SQ1348" s="120"/>
      <c r="SR1348" s="120"/>
      <c r="SS1348" s="120"/>
      <c r="ST1348" s="120"/>
      <c r="SU1348" s="120"/>
      <c r="SV1348" s="120"/>
      <c r="SW1348" s="120"/>
      <c r="SX1348" s="120"/>
      <c r="SY1348" s="120"/>
      <c r="SZ1348" s="120"/>
      <c r="TA1348" s="120"/>
      <c r="TB1348" s="120"/>
      <c r="TC1348" s="120"/>
      <c r="TD1348" s="120"/>
      <c r="TE1348" s="120"/>
      <c r="TF1348" s="120"/>
      <c r="TG1348" s="120"/>
      <c r="TH1348" s="120"/>
      <c r="TI1348" s="120"/>
      <c r="TJ1348" s="120"/>
      <c r="TK1348" s="120"/>
      <c r="TL1348" s="120"/>
      <c r="TM1348" s="120"/>
      <c r="TN1348" s="120"/>
      <c r="TO1348" s="120"/>
      <c r="TP1348" s="120"/>
      <c r="TQ1348" s="120"/>
      <c r="TR1348" s="120"/>
      <c r="TS1348" s="120"/>
      <c r="TT1348" s="120"/>
      <c r="TU1348" s="120"/>
      <c r="TV1348" s="120"/>
      <c r="TW1348" s="120"/>
      <c r="TX1348" s="120"/>
      <c r="TY1348" s="120"/>
      <c r="TZ1348" s="120"/>
      <c r="UA1348" s="120"/>
      <c r="UB1348" s="120"/>
      <c r="UC1348" s="120"/>
      <c r="UD1348" s="120"/>
      <c r="UE1348" s="120"/>
      <c r="UF1348" s="120"/>
      <c r="UG1348" s="120"/>
      <c r="UH1348" s="120"/>
      <c r="UI1348" s="120"/>
      <c r="UJ1348" s="120"/>
      <c r="UK1348" s="120"/>
      <c r="UL1348" s="120"/>
      <c r="UM1348" s="120"/>
      <c r="UN1348" s="120"/>
      <c r="UO1348" s="120"/>
      <c r="UP1348" s="120"/>
      <c r="UQ1348" s="120"/>
      <c r="UR1348" s="120"/>
      <c r="US1348" s="120"/>
      <c r="UT1348" s="120"/>
      <c r="UU1348" s="120"/>
      <c r="UV1348" s="120"/>
      <c r="UW1348" s="120"/>
      <c r="UX1348" s="120"/>
      <c r="UY1348" s="120"/>
      <c r="UZ1348" s="120"/>
      <c r="VA1348" s="120"/>
      <c r="VB1348" s="120"/>
      <c r="VC1348" s="120"/>
      <c r="VD1348" s="120"/>
      <c r="VE1348" s="120"/>
      <c r="VF1348" s="120"/>
      <c r="VG1348" s="120"/>
      <c r="VH1348" s="120"/>
      <c r="VI1348" s="120"/>
      <c r="VJ1348" s="120"/>
      <c r="VK1348" s="120"/>
      <c r="VL1348" s="120"/>
      <c r="VM1348" s="120"/>
      <c r="VN1348" s="120"/>
      <c r="VO1348" s="120"/>
      <c r="VP1348" s="120"/>
      <c r="VQ1348" s="120"/>
      <c r="VR1348" s="120"/>
      <c r="VS1348" s="120"/>
      <c r="VT1348" s="120"/>
      <c r="VU1348" s="120"/>
      <c r="VV1348" s="120"/>
      <c r="VW1348" s="120"/>
      <c r="VX1348" s="120"/>
      <c r="VY1348" s="120"/>
      <c r="VZ1348" s="120"/>
      <c r="WA1348" s="120"/>
      <c r="WB1348" s="120"/>
      <c r="WC1348" s="120"/>
      <c r="WD1348" s="120"/>
      <c r="WE1348" s="120"/>
      <c r="WF1348" s="120"/>
      <c r="WG1348" s="120"/>
      <c r="WH1348" s="120"/>
      <c r="WI1348" s="120"/>
      <c r="WJ1348" s="120"/>
      <c r="WK1348" s="120"/>
      <c r="WL1348" s="120"/>
      <c r="WM1348" s="120"/>
      <c r="WN1348" s="120"/>
      <c r="WO1348" s="120"/>
      <c r="WP1348" s="120"/>
      <c r="WQ1348" s="120"/>
      <c r="WR1348" s="120"/>
      <c r="WS1348" s="120"/>
      <c r="WT1348" s="120"/>
      <c r="WU1348" s="120"/>
      <c r="WV1348" s="120"/>
      <c r="WW1348" s="120"/>
      <c r="WX1348" s="120"/>
      <c r="WY1348" s="120"/>
      <c r="WZ1348" s="120"/>
      <c r="XA1348" s="120"/>
      <c r="XB1348" s="120"/>
      <c r="XC1348" s="120"/>
      <c r="XD1348" s="120"/>
      <c r="XE1348" s="120"/>
      <c r="XF1348" s="120"/>
      <c r="XG1348" s="120"/>
      <c r="XH1348" s="120"/>
      <c r="XI1348" s="120"/>
      <c r="XJ1348" s="120"/>
      <c r="XK1348" s="120"/>
      <c r="XL1348" s="120"/>
      <c r="XM1348" s="120"/>
      <c r="XN1348" s="120"/>
      <c r="XO1348" s="120"/>
      <c r="XP1348" s="120"/>
      <c r="XQ1348" s="120"/>
      <c r="XR1348" s="120"/>
      <c r="XS1348" s="120"/>
      <c r="XT1348" s="120"/>
      <c r="XU1348" s="120"/>
      <c r="XV1348" s="120"/>
      <c r="XW1348" s="120"/>
      <c r="XX1348" s="120"/>
      <c r="XY1348" s="120"/>
      <c r="XZ1348" s="120"/>
      <c r="YA1348" s="120"/>
      <c r="YB1348" s="120"/>
      <c r="YC1348" s="120"/>
      <c r="YD1348" s="120"/>
      <c r="YE1348" s="120"/>
      <c r="YF1348" s="120"/>
      <c r="YG1348" s="120"/>
      <c r="YH1348" s="120"/>
      <c r="YI1348" s="120"/>
      <c r="YJ1348" s="120"/>
      <c r="YK1348" s="120"/>
      <c r="YL1348" s="120"/>
      <c r="YM1348" s="120"/>
      <c r="YN1348" s="120"/>
      <c r="YO1348" s="120"/>
      <c r="YP1348" s="120"/>
      <c r="YQ1348" s="120"/>
      <c r="YR1348" s="120"/>
      <c r="YS1348" s="120"/>
      <c r="YT1348" s="120"/>
      <c r="YU1348" s="120"/>
      <c r="YV1348" s="120"/>
      <c r="YW1348" s="120"/>
      <c r="YX1348" s="120"/>
      <c r="YY1348" s="120"/>
      <c r="YZ1348" s="120"/>
      <c r="ZA1348" s="120"/>
      <c r="ZB1348" s="120"/>
      <c r="ZC1348" s="120"/>
      <c r="ZD1348" s="120"/>
      <c r="ZE1348" s="120"/>
      <c r="ZF1348" s="120"/>
      <c r="ZG1348" s="120"/>
      <c r="ZH1348" s="120"/>
      <c r="ZI1348" s="120"/>
      <c r="ZJ1348" s="120"/>
      <c r="ZK1348" s="120"/>
      <c r="ZL1348" s="120"/>
      <c r="ZM1348" s="120"/>
      <c r="ZN1348" s="120"/>
      <c r="ZO1348" s="120"/>
      <c r="ZP1348" s="120"/>
      <c r="ZQ1348" s="120"/>
      <c r="ZR1348" s="120"/>
      <c r="ZS1348" s="120"/>
      <c r="ZT1348" s="120"/>
      <c r="ZU1348" s="120"/>
      <c r="ZV1348" s="120"/>
      <c r="ZW1348" s="120"/>
      <c r="ZX1348" s="120"/>
      <c r="ZY1348" s="120"/>
      <c r="ZZ1348" s="120"/>
      <c r="AAA1348" s="120"/>
      <c r="AAB1348" s="120"/>
      <c r="AAC1348" s="120"/>
      <c r="AAD1348" s="120"/>
      <c r="AAE1348" s="120"/>
      <c r="AAF1348" s="120"/>
      <c r="AAG1348" s="120"/>
      <c r="AAH1348" s="120"/>
      <c r="AAI1348" s="120"/>
      <c r="AAJ1348" s="120"/>
      <c r="AAK1348" s="120"/>
      <c r="AAL1348" s="120"/>
      <c r="AAM1348" s="120"/>
      <c r="AAN1348" s="120"/>
      <c r="AAO1348" s="120"/>
      <c r="AAP1348" s="120"/>
      <c r="AAQ1348" s="120"/>
      <c r="AAR1348" s="120"/>
      <c r="AAS1348" s="120"/>
      <c r="AAT1348" s="120"/>
      <c r="AAU1348" s="120"/>
      <c r="AAV1348" s="120"/>
      <c r="AAW1348" s="120"/>
      <c r="AAX1348" s="120"/>
      <c r="AAY1348" s="120"/>
      <c r="AAZ1348" s="120"/>
      <c r="ABA1348" s="120"/>
      <c r="ABB1348" s="120"/>
      <c r="ABC1348" s="120"/>
      <c r="ABD1348" s="120"/>
      <c r="ABE1348" s="120"/>
      <c r="ABF1348" s="120"/>
      <c r="ABG1348" s="120"/>
      <c r="ABH1348" s="120"/>
      <c r="ABI1348" s="120"/>
      <c r="ABJ1348" s="120"/>
      <c r="ABK1348" s="120"/>
      <c r="ABL1348" s="120"/>
      <c r="ABM1348" s="120"/>
      <c r="ABN1348" s="120"/>
      <c r="ABO1348" s="120"/>
      <c r="ABP1348" s="120"/>
      <c r="ABQ1348" s="120"/>
      <c r="ABR1348" s="120"/>
      <c r="ABS1348" s="120"/>
      <c r="ABT1348" s="120"/>
      <c r="ABU1348" s="120"/>
      <c r="ABV1348" s="120"/>
      <c r="ABW1348" s="120"/>
      <c r="ABX1348" s="120"/>
      <c r="ABY1348" s="120"/>
      <c r="ABZ1348" s="120"/>
      <c r="ACA1348" s="120"/>
      <c r="ACB1348" s="120"/>
      <c r="ACC1348" s="120"/>
      <c r="ACD1348" s="120"/>
      <c r="ACE1348" s="120"/>
      <c r="ACF1348" s="120"/>
      <c r="ACG1348" s="120"/>
      <c r="ACH1348" s="120"/>
      <c r="ACI1348" s="120"/>
      <c r="ACJ1348" s="120"/>
      <c r="ACK1348" s="120"/>
      <c r="ACL1348" s="120"/>
      <c r="ACM1348" s="120"/>
      <c r="ACN1348" s="120"/>
      <c r="ACO1348" s="120"/>
      <c r="ACP1348" s="120"/>
      <c r="ACQ1348" s="120"/>
      <c r="ACR1348" s="120"/>
      <c r="ACS1348" s="120"/>
      <c r="ACT1348" s="120"/>
      <c r="ACU1348" s="120"/>
      <c r="ACV1348" s="120"/>
      <c r="ACW1348" s="120"/>
      <c r="ACX1348" s="120"/>
      <c r="ACY1348" s="120"/>
      <c r="ACZ1348" s="120"/>
      <c r="ADA1348" s="120"/>
      <c r="ADB1348" s="120"/>
      <c r="ADC1348" s="120"/>
      <c r="ADD1348" s="120"/>
      <c r="ADE1348" s="120"/>
      <c r="ADF1348" s="120"/>
      <c r="ADG1348" s="120"/>
      <c r="ADH1348" s="120"/>
      <c r="ADI1348" s="120"/>
      <c r="ADJ1348" s="120"/>
      <c r="ADK1348" s="120"/>
      <c r="ADL1348" s="120"/>
      <c r="ADM1348" s="120"/>
      <c r="ADN1348" s="120"/>
      <c r="ADO1348" s="120"/>
      <c r="ADP1348" s="120"/>
      <c r="ADQ1348" s="120"/>
      <c r="ADR1348" s="120"/>
      <c r="ADS1348" s="120"/>
      <c r="ADT1348" s="120"/>
      <c r="ADU1348" s="120"/>
      <c r="ADV1348" s="120"/>
      <c r="ADW1348" s="120"/>
      <c r="ADX1348" s="120"/>
      <c r="ADY1348" s="120"/>
      <c r="ADZ1348" s="120"/>
      <c r="AEA1348" s="120"/>
      <c r="AEB1348" s="120"/>
      <c r="AEC1348" s="120"/>
      <c r="AED1348" s="120"/>
      <c r="AEE1348" s="120"/>
      <c r="AEF1348" s="120"/>
      <c r="AEG1348" s="120"/>
      <c r="AEH1348" s="120"/>
      <c r="AEI1348" s="120"/>
      <c r="AEJ1348" s="120"/>
      <c r="AEK1348" s="120"/>
      <c r="AEL1348" s="120"/>
      <c r="AEM1348" s="120"/>
      <c r="AEN1348" s="120"/>
      <c r="AEO1348" s="120"/>
      <c r="AEP1348" s="120"/>
      <c r="AEQ1348" s="120"/>
      <c r="AER1348" s="120"/>
      <c r="AES1348" s="120"/>
      <c r="AET1348" s="120"/>
      <c r="AEU1348" s="120"/>
      <c r="AEV1348" s="120"/>
      <c r="AEW1348" s="120"/>
      <c r="AEX1348" s="120"/>
      <c r="AEY1348" s="120"/>
      <c r="AEZ1348" s="120"/>
      <c r="AFA1348" s="120"/>
      <c r="AFB1348" s="120"/>
      <c r="AFC1348" s="120"/>
      <c r="AFD1348" s="120"/>
      <c r="AFE1348" s="120"/>
      <c r="AFF1348" s="120"/>
      <c r="AFG1348" s="120"/>
      <c r="AFH1348" s="120"/>
      <c r="AFI1348" s="120"/>
      <c r="AFJ1348" s="120"/>
      <c r="AFK1348" s="120"/>
      <c r="AFL1348" s="120"/>
      <c r="AFM1348" s="120"/>
      <c r="AFN1348" s="120"/>
      <c r="AFO1348" s="120"/>
      <c r="AFP1348" s="120"/>
      <c r="AFQ1348" s="120"/>
      <c r="AFR1348" s="120"/>
      <c r="AFS1348" s="120"/>
      <c r="AFT1348" s="120"/>
      <c r="AFU1348" s="120"/>
      <c r="AFV1348" s="120"/>
      <c r="AFW1348" s="120"/>
      <c r="AFX1348" s="120"/>
      <c r="AFY1348" s="120"/>
      <c r="AFZ1348" s="120"/>
      <c r="AGA1348" s="120"/>
      <c r="AGB1348" s="120"/>
      <c r="AGC1348" s="120"/>
      <c r="AGD1348" s="120"/>
      <c r="AGE1348" s="120"/>
      <c r="AGF1348" s="120"/>
      <c r="AGG1348" s="120"/>
      <c r="AGH1348" s="120"/>
      <c r="AGI1348" s="120"/>
      <c r="AGJ1348" s="120"/>
      <c r="AGK1348" s="120"/>
      <c r="AGL1348" s="120"/>
      <c r="AGM1348" s="120"/>
      <c r="AGN1348" s="120"/>
      <c r="AGO1348" s="120"/>
      <c r="AGP1348" s="120"/>
      <c r="AGQ1348" s="120"/>
      <c r="AGR1348" s="120"/>
      <c r="AGS1348" s="120"/>
      <c r="AGT1348" s="120"/>
      <c r="AGU1348" s="120"/>
      <c r="AGV1348" s="120"/>
      <c r="AGW1348" s="120"/>
      <c r="AGX1348" s="120"/>
      <c r="AGY1348" s="120"/>
      <c r="AGZ1348" s="120"/>
      <c r="AHA1348" s="120"/>
      <c r="AHB1348" s="120"/>
      <c r="AHC1348" s="120"/>
      <c r="AHD1348" s="120"/>
      <c r="AHE1348" s="120"/>
      <c r="AHF1348" s="120"/>
      <c r="AHG1348" s="120"/>
      <c r="AHH1348" s="120"/>
      <c r="AHI1348" s="120"/>
      <c r="AHJ1348" s="120"/>
      <c r="AHK1348" s="120"/>
      <c r="AHL1348" s="120"/>
      <c r="AHM1348" s="120"/>
      <c r="AHN1348" s="120"/>
      <c r="AHO1348" s="120"/>
      <c r="AHP1348" s="120"/>
      <c r="AHQ1348" s="120"/>
      <c r="AHR1348" s="120"/>
      <c r="AHS1348" s="120"/>
      <c r="AHT1348" s="120"/>
      <c r="AHU1348" s="120"/>
      <c r="AHV1348" s="120"/>
      <c r="AHW1348" s="120"/>
      <c r="AHX1348" s="120"/>
      <c r="AHY1348" s="120"/>
      <c r="AHZ1348" s="120"/>
      <c r="AIA1348" s="120"/>
      <c r="AIB1348" s="120"/>
      <c r="AIC1348" s="120"/>
      <c r="AID1348" s="120"/>
      <c r="AIE1348" s="120"/>
      <c r="AIF1348" s="120"/>
      <c r="AIG1348" s="120"/>
      <c r="AIH1348" s="120"/>
      <c r="AII1348" s="120"/>
      <c r="AIJ1348" s="120"/>
      <c r="AIK1348" s="120"/>
      <c r="AIL1348" s="120"/>
      <c r="AIM1348" s="120"/>
      <c r="AIN1348" s="120"/>
      <c r="AIO1348" s="120"/>
      <c r="AIP1348" s="120"/>
      <c r="AIQ1348" s="120"/>
      <c r="AIR1348" s="120"/>
      <c r="AIS1348" s="120"/>
      <c r="AIT1348" s="120"/>
      <c r="AIU1348" s="120"/>
      <c r="AIV1348" s="120"/>
      <c r="AIW1348" s="120"/>
      <c r="AIX1348" s="120"/>
      <c r="AIY1348" s="120"/>
      <c r="AIZ1348" s="120"/>
      <c r="AJA1348" s="120"/>
      <c r="AJB1348" s="120"/>
      <c r="AJC1348" s="120"/>
      <c r="AJD1348" s="120"/>
      <c r="AJE1348" s="120"/>
      <c r="AJF1348" s="120"/>
      <c r="AJG1348" s="120"/>
      <c r="AJH1348" s="120"/>
      <c r="AJI1348" s="120"/>
      <c r="AJJ1348" s="120"/>
      <c r="AJK1348" s="120"/>
      <c r="AJL1348" s="120"/>
      <c r="AJM1348" s="120"/>
      <c r="AJN1348" s="120"/>
      <c r="AJO1348" s="120"/>
      <c r="AJP1348" s="120"/>
      <c r="AJQ1348" s="120"/>
      <c r="AJR1348" s="120"/>
      <c r="AJS1348" s="120"/>
      <c r="AJT1348" s="120"/>
      <c r="AJU1348" s="120"/>
      <c r="AJV1348" s="120"/>
      <c r="AJW1348" s="120"/>
      <c r="AJX1348" s="120"/>
      <c r="AJY1348" s="120"/>
      <c r="AJZ1348" s="120"/>
      <c r="AKA1348" s="120"/>
      <c r="AKB1348" s="120"/>
      <c r="AKC1348" s="120"/>
      <c r="AKD1348" s="120"/>
      <c r="AKE1348" s="120"/>
      <c r="AKF1348" s="120"/>
      <c r="AKG1348" s="120"/>
      <c r="AKH1348" s="120"/>
      <c r="AKI1348" s="120"/>
      <c r="AKJ1348" s="120"/>
      <c r="AKK1348" s="120"/>
      <c r="AKL1348" s="120"/>
      <c r="AKM1348" s="120"/>
      <c r="AKN1348" s="120"/>
      <c r="AKO1348" s="120"/>
      <c r="AKP1348" s="120"/>
      <c r="AKQ1348" s="120"/>
      <c r="AKR1348" s="120"/>
      <c r="AKS1348" s="120"/>
      <c r="AKT1348" s="120"/>
      <c r="AKU1348" s="120"/>
      <c r="AKV1348" s="120"/>
      <c r="AKW1348" s="120"/>
      <c r="AKX1348" s="120"/>
      <c r="AKY1348" s="120"/>
      <c r="AKZ1348" s="120"/>
      <c r="ALA1348" s="120"/>
      <c r="ALB1348" s="120"/>
      <c r="ALC1348" s="120"/>
      <c r="ALD1348" s="120"/>
      <c r="ALE1348" s="120"/>
      <c r="ALF1348" s="120"/>
      <c r="ALG1348" s="120"/>
      <c r="ALH1348" s="120"/>
      <c r="ALI1348" s="120"/>
      <c r="ALJ1348" s="120"/>
      <c r="ALK1348" s="120"/>
      <c r="ALL1348" s="120"/>
      <c r="ALM1348" s="120"/>
      <c r="ALN1348" s="120"/>
      <c r="ALO1348" s="120"/>
      <c r="ALP1348" s="120"/>
      <c r="ALQ1348" s="120"/>
      <c r="ALR1348" s="120"/>
      <c r="ALS1348" s="120"/>
      <c r="ALT1348" s="120"/>
      <c r="ALU1348" s="120"/>
      <c r="ALV1348" s="120"/>
      <c r="ALW1348" s="120"/>
      <c r="ALX1348" s="120"/>
      <c r="ALY1348" s="120"/>
      <c r="ALZ1348" s="120"/>
      <c r="AMA1348" s="120"/>
      <c r="AMB1348" s="120"/>
      <c r="AMC1348" s="120"/>
      <c r="AMD1348" s="120"/>
      <c r="AME1348" s="120"/>
      <c r="AMF1348" s="120"/>
      <c r="AMG1348" s="120"/>
      <c r="AMH1348" s="120"/>
      <c r="AMI1348" s="120"/>
      <c r="AMJ1348" s="120"/>
      <c r="AMK1348" s="120"/>
      <c r="AML1348" s="120"/>
      <c r="AMM1348" s="120"/>
      <c r="AMN1348" s="120"/>
      <c r="AMO1348" s="120"/>
      <c r="AMP1348" s="120"/>
      <c r="AMQ1348" s="120"/>
      <c r="AMR1348" s="120"/>
      <c r="AMS1348" s="120"/>
      <c r="AMT1348" s="120"/>
      <c r="AMU1348" s="120"/>
      <c r="AMV1348" s="120"/>
      <c r="AMW1348" s="120"/>
      <c r="AMX1348" s="120"/>
      <c r="AMY1348" s="120"/>
      <c r="AMZ1348" s="120"/>
      <c r="ANA1348" s="120"/>
      <c r="ANB1348" s="120"/>
      <c r="ANC1348" s="120"/>
      <c r="AND1348" s="120"/>
      <c r="ANE1348" s="120"/>
      <c r="ANF1348" s="120"/>
      <c r="ANG1348" s="120"/>
      <c r="ANH1348" s="120"/>
      <c r="ANI1348" s="120"/>
      <c r="ANJ1348" s="120"/>
      <c r="ANK1348" s="120"/>
      <c r="ANL1348" s="120"/>
      <c r="ANM1348" s="120"/>
      <c r="ANN1348" s="120"/>
      <c r="ANO1348" s="120"/>
      <c r="ANP1348" s="120"/>
      <c r="ANQ1348" s="120"/>
      <c r="ANR1348" s="120"/>
      <c r="ANS1348" s="120"/>
      <c r="ANT1348" s="120"/>
      <c r="ANU1348" s="120"/>
      <c r="ANV1348" s="120"/>
      <c r="ANW1348" s="120"/>
      <c r="ANX1348" s="120"/>
      <c r="ANY1348" s="120"/>
      <c r="ANZ1348" s="120"/>
      <c r="AOA1348" s="120"/>
      <c r="AOB1348" s="120"/>
      <c r="AOC1348" s="120"/>
      <c r="AOD1348" s="120"/>
      <c r="AOE1348" s="120"/>
      <c r="AOF1348" s="120"/>
      <c r="AOG1348" s="120"/>
      <c r="AOH1348" s="120"/>
      <c r="AOI1348" s="120"/>
      <c r="AOJ1348" s="120"/>
      <c r="AOK1348" s="120"/>
      <c r="AOL1348" s="120"/>
      <c r="AOM1348" s="120"/>
      <c r="AON1348" s="120"/>
      <c r="AOO1348" s="120"/>
      <c r="AOP1348" s="120"/>
      <c r="AOQ1348" s="120"/>
      <c r="AOR1348" s="120"/>
      <c r="AOS1348" s="120"/>
      <c r="AOT1348" s="120"/>
      <c r="AOU1348" s="120"/>
      <c r="AOV1348" s="120"/>
      <c r="AOW1348" s="120"/>
      <c r="AOX1348" s="120"/>
      <c r="AOY1348" s="120"/>
      <c r="AOZ1348" s="120"/>
      <c r="APA1348" s="120"/>
      <c r="APB1348" s="120"/>
      <c r="APC1348" s="120"/>
      <c r="APD1348" s="120"/>
      <c r="APE1348" s="120"/>
      <c r="APF1348" s="120"/>
      <c r="APG1348" s="120"/>
      <c r="APH1348" s="120"/>
      <c r="API1348" s="120"/>
      <c r="APJ1348" s="120"/>
      <c r="APK1348" s="120"/>
      <c r="APL1348" s="120"/>
      <c r="APM1348" s="120"/>
      <c r="APN1348" s="120"/>
      <c r="APO1348" s="120"/>
      <c r="APP1348" s="120"/>
      <c r="APQ1348" s="120"/>
      <c r="APR1348" s="120"/>
      <c r="APS1348" s="120"/>
      <c r="APT1348" s="120"/>
      <c r="APU1348" s="120"/>
      <c r="APV1348" s="120"/>
      <c r="APW1348" s="120"/>
      <c r="APX1348" s="120"/>
      <c r="APY1348" s="120"/>
      <c r="APZ1348" s="120"/>
      <c r="AQA1348" s="120"/>
      <c r="AQB1348" s="120"/>
      <c r="AQC1348" s="120"/>
      <c r="AQD1348" s="120"/>
      <c r="AQE1348" s="120"/>
      <c r="AQF1348" s="120"/>
      <c r="AQG1348" s="120"/>
      <c r="AQH1348" s="120"/>
      <c r="AQI1348" s="120"/>
      <c r="AQJ1348" s="120"/>
      <c r="AQK1348" s="120"/>
      <c r="AQL1348" s="120"/>
      <c r="AQM1348" s="120"/>
      <c r="AQN1348" s="120"/>
      <c r="AQO1348" s="120"/>
      <c r="AQP1348" s="120"/>
      <c r="AQQ1348" s="120"/>
      <c r="AQR1348" s="120"/>
      <c r="AQS1348" s="120"/>
      <c r="AQT1348" s="120"/>
      <c r="AQU1348" s="120"/>
      <c r="AQV1348" s="120"/>
      <c r="AQW1348" s="120"/>
      <c r="AQX1348" s="120"/>
      <c r="AQY1348" s="120"/>
      <c r="AQZ1348" s="120"/>
      <c r="ARA1348" s="120"/>
      <c r="ARB1348" s="120"/>
      <c r="ARC1348" s="120"/>
      <c r="ARD1348" s="120"/>
      <c r="ARE1348" s="120"/>
      <c r="ARF1348" s="120"/>
      <c r="ARG1348" s="120"/>
      <c r="ARH1348" s="120"/>
      <c r="ARI1348" s="120"/>
      <c r="ARJ1348" s="120"/>
      <c r="ARK1348" s="120"/>
      <c r="ARL1348" s="120"/>
      <c r="ARM1348" s="120"/>
      <c r="ARN1348" s="120"/>
      <c r="ARO1348" s="120"/>
      <c r="ARP1348" s="120"/>
      <c r="ARQ1348" s="120"/>
      <c r="ARR1348" s="120"/>
      <c r="ARS1348" s="120"/>
      <c r="ART1348" s="120"/>
      <c r="ARU1348" s="120"/>
      <c r="ARV1348" s="120"/>
      <c r="ARW1348" s="120"/>
      <c r="ARX1348" s="120"/>
      <c r="ARY1348" s="120"/>
      <c r="ARZ1348" s="120"/>
      <c r="ASA1348" s="120"/>
      <c r="ASB1348" s="120"/>
      <c r="ASC1348" s="120"/>
      <c r="ASD1348" s="120"/>
      <c r="ASE1348" s="120"/>
      <c r="ASF1348" s="120"/>
      <c r="ASG1348" s="120"/>
      <c r="ASH1348" s="120"/>
      <c r="ASI1348" s="120"/>
      <c r="ASJ1348" s="120"/>
      <c r="ASK1348" s="120"/>
      <c r="ASL1348" s="120"/>
      <c r="ASM1348" s="120"/>
      <c r="ASN1348" s="120"/>
      <c r="ASO1348" s="120"/>
      <c r="ASP1348" s="120"/>
      <c r="ASQ1348" s="120"/>
      <c r="ASR1348" s="120"/>
      <c r="ASS1348" s="120"/>
      <c r="AST1348" s="120"/>
      <c r="ASU1348" s="120"/>
      <c r="ASV1348" s="120"/>
      <c r="ASW1348" s="120"/>
      <c r="ASX1348" s="120"/>
      <c r="ASY1348" s="120"/>
      <c r="ASZ1348" s="120"/>
      <c r="ATA1348" s="120"/>
      <c r="ATB1348" s="120"/>
      <c r="ATC1348" s="120"/>
      <c r="ATD1348" s="120"/>
      <c r="ATE1348" s="120"/>
      <c r="ATF1348" s="120"/>
      <c r="ATG1348" s="120"/>
      <c r="ATH1348" s="120"/>
      <c r="ATI1348" s="120"/>
      <c r="ATJ1348" s="120"/>
      <c r="ATK1348" s="120"/>
      <c r="ATL1348" s="120"/>
      <c r="ATM1348" s="120"/>
      <c r="ATN1348" s="120"/>
      <c r="ATO1348" s="120"/>
    </row>
    <row r="1349" spans="1:1211" s="20" customFormat="1" ht="14.1" customHeight="1">
      <c r="A1349" s="112"/>
      <c r="B1349" s="723"/>
      <c r="C1349" s="184" t="s">
        <v>3749</v>
      </c>
      <c r="D1349" s="120"/>
      <c r="E1349" s="701"/>
      <c r="F1349" s="703"/>
      <c r="G1349" s="702"/>
      <c r="H1349" s="702"/>
      <c r="I1349" s="702"/>
      <c r="J1349" s="700"/>
      <c r="K1349" s="112"/>
      <c r="L1349" s="363"/>
      <c r="M1349" s="112"/>
      <c r="N1349" s="362"/>
      <c r="O1349" s="573"/>
      <c r="P1349" s="120"/>
      <c r="Q1349" s="120"/>
      <c r="R1349" s="120"/>
      <c r="S1349" s="120"/>
      <c r="T1349" s="120"/>
      <c r="U1349" s="120"/>
      <c r="V1349" s="120"/>
      <c r="W1349" s="120"/>
      <c r="X1349" s="120"/>
      <c r="Y1349" s="120"/>
      <c r="Z1349" s="120"/>
      <c r="AA1349" s="120"/>
      <c r="AB1349" s="120"/>
      <c r="AC1349" s="120"/>
      <c r="AD1349" s="120"/>
      <c r="AE1349" s="120"/>
      <c r="AF1349" s="120"/>
      <c r="AG1349" s="120"/>
      <c r="AH1349" s="120"/>
      <c r="AI1349" s="120"/>
      <c r="AJ1349" s="120"/>
      <c r="AK1349" s="120"/>
      <c r="AL1349" s="120"/>
      <c r="AM1349" s="120"/>
      <c r="AN1349" s="120"/>
      <c r="AO1349" s="120"/>
      <c r="AP1349" s="120"/>
      <c r="AQ1349" s="120"/>
      <c r="AR1349" s="120"/>
      <c r="AS1349" s="120"/>
      <c r="AT1349" s="120"/>
      <c r="AU1349" s="120"/>
      <c r="AV1349" s="120"/>
      <c r="AW1349" s="120"/>
      <c r="AX1349" s="120"/>
      <c r="AY1349" s="120"/>
      <c r="AZ1349" s="120"/>
      <c r="BA1349" s="120"/>
      <c r="BB1349" s="120"/>
      <c r="BC1349" s="120"/>
      <c r="BD1349" s="120"/>
      <c r="BE1349" s="120"/>
      <c r="BF1349" s="120"/>
      <c r="BG1349" s="120"/>
      <c r="BH1349" s="120"/>
      <c r="BI1349" s="120"/>
      <c r="BJ1349" s="120"/>
      <c r="BK1349" s="120"/>
      <c r="BL1349" s="120"/>
      <c r="BM1349" s="120"/>
      <c r="BN1349" s="120"/>
      <c r="BO1349" s="120"/>
      <c r="BP1349" s="120"/>
      <c r="BQ1349" s="120"/>
      <c r="BR1349" s="120"/>
      <c r="BS1349" s="120"/>
      <c r="BT1349" s="120"/>
      <c r="BU1349" s="120"/>
      <c r="BV1349" s="120"/>
      <c r="BW1349" s="120"/>
      <c r="BX1349" s="120"/>
      <c r="BY1349" s="120"/>
      <c r="BZ1349" s="120"/>
      <c r="CA1349" s="120"/>
      <c r="CB1349" s="120"/>
      <c r="CC1349" s="120"/>
      <c r="CD1349" s="120"/>
      <c r="CE1349" s="120"/>
      <c r="CF1349" s="120"/>
      <c r="CG1349" s="120"/>
      <c r="CH1349" s="120"/>
      <c r="CI1349" s="120"/>
      <c r="CJ1349" s="120"/>
      <c r="CK1349" s="120"/>
      <c r="CL1349" s="120"/>
      <c r="CM1349" s="120"/>
      <c r="CN1349" s="120"/>
      <c r="CO1349" s="120"/>
      <c r="CP1349" s="120"/>
      <c r="CQ1349" s="120"/>
      <c r="CR1349" s="120"/>
      <c r="CS1349" s="120"/>
      <c r="CT1349" s="120"/>
      <c r="CU1349" s="120"/>
      <c r="CV1349" s="120"/>
      <c r="CW1349" s="120"/>
      <c r="CX1349" s="120"/>
      <c r="CY1349" s="120"/>
      <c r="CZ1349" s="120"/>
      <c r="DA1349" s="120"/>
      <c r="DB1349" s="120"/>
      <c r="DC1349" s="120"/>
      <c r="DD1349" s="120"/>
      <c r="DE1349" s="120"/>
      <c r="DF1349" s="120"/>
      <c r="DG1349" s="120"/>
      <c r="DH1349" s="120"/>
      <c r="DI1349" s="120"/>
      <c r="DJ1349" s="120"/>
      <c r="DK1349" s="120"/>
      <c r="DL1349" s="120"/>
      <c r="DM1349" s="120"/>
      <c r="DN1349" s="120"/>
      <c r="DO1349" s="120"/>
      <c r="DP1349" s="120"/>
      <c r="DQ1349" s="120"/>
      <c r="DR1349" s="120"/>
      <c r="DS1349" s="120"/>
      <c r="DT1349" s="120"/>
      <c r="DU1349" s="120"/>
      <c r="DV1349" s="120"/>
      <c r="DW1349" s="120"/>
      <c r="DX1349" s="120"/>
      <c r="DY1349" s="120"/>
      <c r="DZ1349" s="120"/>
      <c r="EA1349" s="120"/>
      <c r="EB1349" s="120"/>
      <c r="EC1349" s="120"/>
      <c r="ED1349" s="120"/>
      <c r="EE1349" s="120"/>
      <c r="EF1349" s="120"/>
      <c r="EG1349" s="120"/>
      <c r="EH1349" s="120"/>
      <c r="EI1349" s="120"/>
      <c r="EJ1349" s="120"/>
      <c r="EK1349" s="120"/>
      <c r="EL1349" s="120"/>
      <c r="EM1349" s="120"/>
      <c r="EN1349" s="120"/>
      <c r="EO1349" s="120"/>
      <c r="EP1349" s="120"/>
      <c r="EQ1349" s="120"/>
      <c r="ER1349" s="120"/>
      <c r="ES1349" s="120"/>
      <c r="ET1349" s="120"/>
      <c r="EU1349" s="120"/>
      <c r="EV1349" s="120"/>
      <c r="EW1349" s="120"/>
      <c r="EX1349" s="120"/>
      <c r="EY1349" s="120"/>
      <c r="EZ1349" s="120"/>
      <c r="FA1349" s="120"/>
      <c r="FB1349" s="120"/>
      <c r="FC1349" s="120"/>
      <c r="FD1349" s="120"/>
      <c r="FE1349" s="120"/>
      <c r="FF1349" s="120"/>
      <c r="FG1349" s="120"/>
      <c r="FH1349" s="120"/>
      <c r="FI1349" s="120"/>
      <c r="FJ1349" s="120"/>
      <c r="FK1349" s="120"/>
      <c r="FL1349" s="120"/>
      <c r="FM1349" s="120"/>
      <c r="FN1349" s="120"/>
      <c r="FO1349" s="120"/>
      <c r="FP1349" s="120"/>
      <c r="FQ1349" s="120"/>
      <c r="FR1349" s="120"/>
      <c r="FS1349" s="120"/>
      <c r="FT1349" s="120"/>
      <c r="FU1349" s="120"/>
      <c r="FV1349" s="120"/>
      <c r="FW1349" s="120"/>
      <c r="FX1349" s="120"/>
      <c r="FY1349" s="120"/>
      <c r="FZ1349" s="120"/>
      <c r="GA1349" s="120"/>
      <c r="GB1349" s="120"/>
      <c r="GC1349" s="120"/>
      <c r="GD1349" s="120"/>
      <c r="GE1349" s="120"/>
      <c r="GF1349" s="120"/>
      <c r="GG1349" s="120"/>
      <c r="GH1349" s="120"/>
      <c r="GI1349" s="120"/>
      <c r="GJ1349" s="120"/>
      <c r="GK1349" s="120"/>
      <c r="GL1349" s="120"/>
      <c r="GM1349" s="120"/>
      <c r="GN1349" s="120"/>
      <c r="GO1349" s="120"/>
      <c r="GP1349" s="120"/>
      <c r="GQ1349" s="120"/>
      <c r="GR1349" s="120"/>
      <c r="GS1349" s="120"/>
      <c r="GT1349" s="120"/>
      <c r="GU1349" s="120"/>
      <c r="GV1349" s="120"/>
      <c r="GW1349" s="120"/>
      <c r="GX1349" s="120"/>
      <c r="GY1349" s="120"/>
      <c r="GZ1349" s="120"/>
      <c r="HA1349" s="120"/>
      <c r="HB1349" s="120"/>
      <c r="HC1349" s="120"/>
      <c r="HD1349" s="120"/>
      <c r="HE1349" s="120"/>
      <c r="HF1349" s="120"/>
      <c r="HG1349" s="120"/>
      <c r="HH1349" s="120"/>
      <c r="HI1349" s="120"/>
      <c r="HJ1349" s="120"/>
      <c r="HK1349" s="120"/>
      <c r="HL1349" s="120"/>
      <c r="HM1349" s="120"/>
      <c r="HN1349" s="120"/>
      <c r="HO1349" s="120"/>
      <c r="HP1349" s="120"/>
      <c r="HQ1349" s="120"/>
      <c r="HR1349" s="120"/>
      <c r="HS1349" s="120"/>
      <c r="HT1349" s="120"/>
      <c r="HU1349" s="120"/>
      <c r="HV1349" s="120"/>
      <c r="HW1349" s="120"/>
      <c r="HX1349" s="120"/>
      <c r="HY1349" s="120"/>
      <c r="HZ1349" s="120"/>
      <c r="IA1349" s="120"/>
      <c r="IB1349" s="120"/>
      <c r="IC1349" s="120"/>
      <c r="ID1349" s="120"/>
      <c r="IE1349" s="120"/>
      <c r="IF1349" s="120"/>
      <c r="IG1349" s="120"/>
      <c r="IH1349" s="120"/>
      <c r="II1349" s="120"/>
      <c r="IJ1349" s="120"/>
      <c r="IK1349" s="120"/>
      <c r="IL1349" s="120"/>
      <c r="IM1349" s="120"/>
      <c r="IN1349" s="120"/>
      <c r="IO1349" s="120"/>
      <c r="IP1349" s="120"/>
      <c r="IQ1349" s="120"/>
      <c r="IR1349" s="120"/>
      <c r="IS1349" s="120"/>
      <c r="IT1349" s="120"/>
      <c r="IU1349" s="120"/>
      <c r="IV1349" s="120"/>
      <c r="IW1349" s="120"/>
      <c r="IX1349" s="120"/>
      <c r="IY1349" s="120"/>
      <c r="IZ1349" s="120"/>
      <c r="JA1349" s="120"/>
      <c r="JB1349" s="120"/>
      <c r="JC1349" s="120"/>
      <c r="JD1349" s="120"/>
      <c r="JE1349" s="120"/>
      <c r="JF1349" s="120"/>
      <c r="JG1349" s="120"/>
      <c r="JH1349" s="120"/>
      <c r="JI1349" s="120"/>
      <c r="JJ1349" s="120"/>
      <c r="JK1349" s="120"/>
      <c r="JL1349" s="120"/>
      <c r="JM1349" s="120"/>
      <c r="JN1349" s="120"/>
      <c r="JO1349" s="120"/>
      <c r="JP1349" s="120"/>
      <c r="JQ1349" s="120"/>
      <c r="JR1349" s="120"/>
      <c r="JS1349" s="120"/>
      <c r="JT1349" s="120"/>
      <c r="JU1349" s="120"/>
      <c r="JV1349" s="120"/>
      <c r="JW1349" s="120"/>
      <c r="JX1349" s="120"/>
      <c r="JY1349" s="120"/>
      <c r="JZ1349" s="120"/>
      <c r="KA1349" s="120"/>
      <c r="KB1349" s="120"/>
      <c r="KC1349" s="120"/>
      <c r="KD1349" s="120"/>
      <c r="KE1349" s="120"/>
      <c r="KF1349" s="120"/>
      <c r="KG1349" s="120"/>
      <c r="KH1349" s="120"/>
      <c r="KI1349" s="120"/>
      <c r="KJ1349" s="120"/>
      <c r="KK1349" s="120"/>
      <c r="KL1349" s="120"/>
      <c r="KM1349" s="120"/>
      <c r="KN1349" s="120"/>
      <c r="KO1349" s="120"/>
      <c r="KP1349" s="120"/>
      <c r="KQ1349" s="120"/>
      <c r="KR1349" s="120"/>
      <c r="KS1349" s="120"/>
      <c r="KT1349" s="120"/>
      <c r="KU1349" s="120"/>
      <c r="KV1349" s="120"/>
      <c r="KW1349" s="120"/>
      <c r="KX1349" s="120"/>
      <c r="KY1349" s="120"/>
      <c r="KZ1349" s="120"/>
      <c r="LA1349" s="120"/>
      <c r="LB1349" s="120"/>
      <c r="LC1349" s="120"/>
      <c r="LD1349" s="120"/>
      <c r="LE1349" s="120"/>
      <c r="LF1349" s="120"/>
      <c r="LG1349" s="120"/>
      <c r="LH1349" s="120"/>
      <c r="LI1349" s="120"/>
      <c r="LJ1349" s="120"/>
      <c r="LK1349" s="120"/>
      <c r="LL1349" s="120"/>
      <c r="LM1349" s="120"/>
      <c r="LN1349" s="120"/>
      <c r="LO1349" s="120"/>
      <c r="LP1349" s="120"/>
      <c r="LQ1349" s="120"/>
      <c r="LR1349" s="120"/>
      <c r="LS1349" s="120"/>
      <c r="LT1349" s="120"/>
      <c r="LU1349" s="120"/>
      <c r="LV1349" s="120"/>
      <c r="LW1349" s="120"/>
      <c r="LX1349" s="120"/>
      <c r="LY1349" s="120"/>
      <c r="LZ1349" s="120"/>
      <c r="MA1349" s="120"/>
      <c r="MB1349" s="120"/>
      <c r="MC1349" s="120"/>
      <c r="MD1349" s="120"/>
      <c r="ME1349" s="120"/>
      <c r="MF1349" s="120"/>
      <c r="MG1349" s="120"/>
      <c r="MH1349" s="120"/>
      <c r="MI1349" s="120"/>
      <c r="MJ1349" s="120"/>
      <c r="MK1349" s="120"/>
      <c r="ML1349" s="120"/>
      <c r="MM1349" s="120"/>
      <c r="MN1349" s="120"/>
      <c r="MO1349" s="120"/>
      <c r="MP1349" s="120"/>
      <c r="MQ1349" s="120"/>
      <c r="MR1349" s="120"/>
      <c r="MS1349" s="120"/>
      <c r="MT1349" s="120"/>
      <c r="MU1349" s="120"/>
      <c r="MV1349" s="120"/>
      <c r="MW1349" s="120"/>
      <c r="MX1349" s="120"/>
      <c r="MY1349" s="120"/>
      <c r="MZ1349" s="120"/>
      <c r="NA1349" s="120"/>
      <c r="NB1349" s="120"/>
      <c r="NC1349" s="120"/>
      <c r="ND1349" s="120"/>
      <c r="NE1349" s="120"/>
      <c r="NF1349" s="120"/>
      <c r="NG1349" s="120"/>
      <c r="NH1349" s="120"/>
      <c r="NI1349" s="120"/>
      <c r="NJ1349" s="120"/>
      <c r="NK1349" s="120"/>
      <c r="NL1349" s="120"/>
      <c r="NM1349" s="120"/>
      <c r="NN1349" s="120"/>
      <c r="NO1349" s="120"/>
      <c r="NP1349" s="120"/>
      <c r="NQ1349" s="120"/>
      <c r="NR1349" s="120"/>
      <c r="NS1349" s="120"/>
      <c r="NT1349" s="120"/>
      <c r="NU1349" s="120"/>
      <c r="NV1349" s="120"/>
      <c r="NW1349" s="120"/>
      <c r="NX1349" s="120"/>
      <c r="NY1349" s="120"/>
      <c r="NZ1349" s="120"/>
      <c r="OA1349" s="120"/>
      <c r="OB1349" s="120"/>
      <c r="OC1349" s="120"/>
      <c r="OD1349" s="120"/>
      <c r="OE1349" s="120"/>
      <c r="OF1349" s="120"/>
      <c r="OG1349" s="120"/>
      <c r="OH1349" s="120"/>
      <c r="OI1349" s="120"/>
      <c r="OJ1349" s="120"/>
      <c r="OK1349" s="120"/>
      <c r="OL1349" s="120"/>
      <c r="OM1349" s="120"/>
      <c r="ON1349" s="120"/>
      <c r="OO1349" s="120"/>
      <c r="OP1349" s="120"/>
      <c r="OQ1349" s="120"/>
      <c r="OR1349" s="120"/>
      <c r="OS1349" s="120"/>
      <c r="OT1349" s="120"/>
      <c r="OU1349" s="120"/>
      <c r="OV1349" s="120"/>
      <c r="OW1349" s="120"/>
      <c r="OX1349" s="120"/>
      <c r="OY1349" s="120"/>
      <c r="OZ1349" s="120"/>
      <c r="PA1349" s="120"/>
      <c r="PB1349" s="120"/>
      <c r="PC1349" s="120"/>
      <c r="PD1349" s="120"/>
      <c r="PE1349" s="120"/>
      <c r="PF1349" s="120"/>
      <c r="PG1349" s="120"/>
      <c r="PH1349" s="120"/>
      <c r="PI1349" s="120"/>
      <c r="PJ1349" s="120"/>
      <c r="PK1349" s="120"/>
      <c r="PL1349" s="120"/>
      <c r="PM1349" s="120"/>
      <c r="PN1349" s="120"/>
      <c r="PO1349" s="120"/>
      <c r="PP1349" s="120"/>
      <c r="PQ1349" s="120"/>
      <c r="PR1349" s="120"/>
      <c r="PS1349" s="120"/>
      <c r="PT1349" s="120"/>
      <c r="PU1349" s="120"/>
      <c r="PV1349" s="120"/>
      <c r="PW1349" s="120"/>
      <c r="PX1349" s="120"/>
      <c r="PY1349" s="120"/>
      <c r="PZ1349" s="120"/>
      <c r="QA1349" s="120"/>
      <c r="QB1349" s="120"/>
      <c r="QC1349" s="120"/>
      <c r="QD1349" s="120"/>
      <c r="QE1349" s="120"/>
      <c r="QF1349" s="120"/>
      <c r="QG1349" s="120"/>
      <c r="QH1349" s="120"/>
      <c r="QI1349" s="120"/>
      <c r="QJ1349" s="120"/>
      <c r="QK1349" s="120"/>
      <c r="QL1349" s="120"/>
      <c r="QM1349" s="120"/>
      <c r="QN1349" s="120"/>
      <c r="QO1349" s="120"/>
      <c r="QP1349" s="120"/>
      <c r="QQ1349" s="120"/>
      <c r="QR1349" s="120"/>
      <c r="QS1349" s="120"/>
      <c r="QT1349" s="120"/>
      <c r="QU1349" s="120"/>
      <c r="QV1349" s="120"/>
      <c r="QW1349" s="120"/>
      <c r="QX1349" s="120"/>
      <c r="QY1349" s="120"/>
      <c r="QZ1349" s="120"/>
      <c r="RA1349" s="120"/>
      <c r="RB1349" s="120"/>
      <c r="RC1349" s="120"/>
      <c r="RD1349" s="120"/>
      <c r="RE1349" s="120"/>
      <c r="RF1349" s="120"/>
      <c r="RG1349" s="120"/>
      <c r="RH1349" s="120"/>
      <c r="RI1349" s="120"/>
      <c r="RJ1349" s="120"/>
      <c r="RK1349" s="120"/>
      <c r="RL1349" s="120"/>
      <c r="RM1349" s="120"/>
      <c r="RN1349" s="120"/>
      <c r="RO1349" s="120"/>
      <c r="RP1349" s="120"/>
      <c r="RQ1349" s="120"/>
      <c r="RR1349" s="120"/>
      <c r="RS1349" s="120"/>
      <c r="RT1349" s="120"/>
      <c r="RU1349" s="120"/>
      <c r="RV1349" s="120"/>
      <c r="RW1349" s="120"/>
      <c r="RX1349" s="120"/>
      <c r="RY1349" s="120"/>
      <c r="RZ1349" s="120"/>
      <c r="SA1349" s="120"/>
      <c r="SB1349" s="120"/>
      <c r="SC1349" s="120"/>
      <c r="SD1349" s="120"/>
      <c r="SE1349" s="120"/>
      <c r="SF1349" s="120"/>
      <c r="SG1349" s="120"/>
      <c r="SH1349" s="120"/>
      <c r="SI1349" s="120"/>
      <c r="SJ1349" s="120"/>
      <c r="SK1349" s="120"/>
      <c r="SL1349" s="120"/>
      <c r="SM1349" s="120"/>
      <c r="SN1349" s="120"/>
      <c r="SO1349" s="120"/>
      <c r="SP1349" s="120"/>
      <c r="SQ1349" s="120"/>
      <c r="SR1349" s="120"/>
      <c r="SS1349" s="120"/>
      <c r="ST1349" s="120"/>
      <c r="SU1349" s="120"/>
      <c r="SV1349" s="120"/>
      <c r="SW1349" s="120"/>
      <c r="SX1349" s="120"/>
      <c r="SY1349" s="120"/>
      <c r="SZ1349" s="120"/>
      <c r="TA1349" s="120"/>
      <c r="TB1349" s="120"/>
      <c r="TC1349" s="120"/>
      <c r="TD1349" s="120"/>
      <c r="TE1349" s="120"/>
      <c r="TF1349" s="120"/>
      <c r="TG1349" s="120"/>
      <c r="TH1349" s="120"/>
      <c r="TI1349" s="120"/>
      <c r="TJ1349" s="120"/>
      <c r="TK1349" s="120"/>
      <c r="TL1349" s="120"/>
      <c r="TM1349" s="120"/>
      <c r="TN1349" s="120"/>
      <c r="TO1349" s="120"/>
      <c r="TP1349" s="120"/>
      <c r="TQ1349" s="120"/>
      <c r="TR1349" s="120"/>
      <c r="TS1349" s="120"/>
      <c r="TT1349" s="120"/>
      <c r="TU1349" s="120"/>
      <c r="TV1349" s="120"/>
      <c r="TW1349" s="120"/>
      <c r="TX1349" s="120"/>
      <c r="TY1349" s="120"/>
      <c r="TZ1349" s="120"/>
      <c r="UA1349" s="120"/>
      <c r="UB1349" s="120"/>
      <c r="UC1349" s="120"/>
      <c r="UD1349" s="120"/>
      <c r="UE1349" s="120"/>
      <c r="UF1349" s="120"/>
      <c r="UG1349" s="120"/>
      <c r="UH1349" s="120"/>
      <c r="UI1349" s="120"/>
      <c r="UJ1349" s="120"/>
      <c r="UK1349" s="120"/>
      <c r="UL1349" s="120"/>
      <c r="UM1349" s="120"/>
      <c r="UN1349" s="120"/>
      <c r="UO1349" s="120"/>
      <c r="UP1349" s="120"/>
      <c r="UQ1349" s="120"/>
      <c r="UR1349" s="120"/>
      <c r="US1349" s="120"/>
      <c r="UT1349" s="120"/>
      <c r="UU1349" s="120"/>
      <c r="UV1349" s="120"/>
      <c r="UW1349" s="120"/>
      <c r="UX1349" s="120"/>
      <c r="UY1349" s="120"/>
      <c r="UZ1349" s="120"/>
      <c r="VA1349" s="120"/>
      <c r="VB1349" s="120"/>
      <c r="VC1349" s="120"/>
      <c r="VD1349" s="120"/>
      <c r="VE1349" s="120"/>
      <c r="VF1349" s="120"/>
      <c r="VG1349" s="120"/>
      <c r="VH1349" s="120"/>
      <c r="VI1349" s="120"/>
      <c r="VJ1349" s="120"/>
      <c r="VK1349" s="120"/>
      <c r="VL1349" s="120"/>
      <c r="VM1349" s="120"/>
      <c r="VN1349" s="120"/>
      <c r="VO1349" s="120"/>
      <c r="VP1349" s="120"/>
      <c r="VQ1349" s="120"/>
      <c r="VR1349" s="120"/>
      <c r="VS1349" s="120"/>
      <c r="VT1349" s="120"/>
      <c r="VU1349" s="120"/>
      <c r="VV1349" s="120"/>
      <c r="VW1349" s="120"/>
      <c r="VX1349" s="120"/>
      <c r="VY1349" s="120"/>
      <c r="VZ1349" s="120"/>
      <c r="WA1349" s="120"/>
      <c r="WB1349" s="120"/>
      <c r="WC1349" s="120"/>
      <c r="WD1349" s="120"/>
      <c r="WE1349" s="120"/>
      <c r="WF1349" s="120"/>
      <c r="WG1349" s="120"/>
      <c r="WH1349" s="120"/>
      <c r="WI1349" s="120"/>
      <c r="WJ1349" s="120"/>
      <c r="WK1349" s="120"/>
      <c r="WL1349" s="120"/>
      <c r="WM1349" s="120"/>
      <c r="WN1349" s="120"/>
      <c r="WO1349" s="120"/>
      <c r="WP1349" s="120"/>
      <c r="WQ1349" s="120"/>
      <c r="WR1349" s="120"/>
      <c r="WS1349" s="120"/>
      <c r="WT1349" s="120"/>
      <c r="WU1349" s="120"/>
      <c r="WV1349" s="120"/>
      <c r="WW1349" s="120"/>
      <c r="WX1349" s="120"/>
      <c r="WY1349" s="120"/>
      <c r="WZ1349" s="120"/>
      <c r="XA1349" s="120"/>
      <c r="XB1349" s="120"/>
      <c r="XC1349" s="120"/>
      <c r="XD1349" s="120"/>
      <c r="XE1349" s="120"/>
      <c r="XF1349" s="120"/>
      <c r="XG1349" s="120"/>
      <c r="XH1349" s="120"/>
      <c r="XI1349" s="120"/>
      <c r="XJ1349" s="120"/>
      <c r="XK1349" s="120"/>
      <c r="XL1349" s="120"/>
      <c r="XM1349" s="120"/>
      <c r="XN1349" s="120"/>
      <c r="XO1349" s="120"/>
      <c r="XP1349" s="120"/>
      <c r="XQ1349" s="120"/>
      <c r="XR1349" s="120"/>
      <c r="XS1349" s="120"/>
      <c r="XT1349" s="120"/>
      <c r="XU1349" s="120"/>
      <c r="XV1349" s="120"/>
      <c r="XW1349" s="120"/>
      <c r="XX1349" s="120"/>
      <c r="XY1349" s="120"/>
      <c r="XZ1349" s="120"/>
      <c r="YA1349" s="120"/>
      <c r="YB1349" s="120"/>
      <c r="YC1349" s="120"/>
      <c r="YD1349" s="120"/>
      <c r="YE1349" s="120"/>
      <c r="YF1349" s="120"/>
      <c r="YG1349" s="120"/>
      <c r="YH1349" s="120"/>
      <c r="YI1349" s="120"/>
      <c r="YJ1349" s="120"/>
      <c r="YK1349" s="120"/>
      <c r="YL1349" s="120"/>
      <c r="YM1349" s="120"/>
      <c r="YN1349" s="120"/>
      <c r="YO1349" s="120"/>
      <c r="YP1349" s="120"/>
      <c r="YQ1349" s="120"/>
      <c r="YR1349" s="120"/>
      <c r="YS1349" s="120"/>
      <c r="YT1349" s="120"/>
      <c r="YU1349" s="120"/>
      <c r="YV1349" s="120"/>
      <c r="YW1349" s="120"/>
      <c r="YX1349" s="120"/>
      <c r="YY1349" s="120"/>
      <c r="YZ1349" s="120"/>
      <c r="ZA1349" s="120"/>
      <c r="ZB1349" s="120"/>
      <c r="ZC1349" s="120"/>
      <c r="ZD1349" s="120"/>
      <c r="ZE1349" s="120"/>
      <c r="ZF1349" s="120"/>
      <c r="ZG1349" s="120"/>
      <c r="ZH1349" s="120"/>
      <c r="ZI1349" s="120"/>
      <c r="ZJ1349" s="120"/>
      <c r="ZK1349" s="120"/>
      <c r="ZL1349" s="120"/>
      <c r="ZM1349" s="120"/>
      <c r="ZN1349" s="120"/>
      <c r="ZO1349" s="120"/>
      <c r="ZP1349" s="120"/>
      <c r="ZQ1349" s="120"/>
      <c r="ZR1349" s="120"/>
      <c r="ZS1349" s="120"/>
      <c r="ZT1349" s="120"/>
      <c r="ZU1349" s="120"/>
      <c r="ZV1349" s="120"/>
      <c r="ZW1349" s="120"/>
      <c r="ZX1349" s="120"/>
      <c r="ZY1349" s="120"/>
      <c r="ZZ1349" s="120"/>
      <c r="AAA1349" s="120"/>
      <c r="AAB1349" s="120"/>
      <c r="AAC1349" s="120"/>
      <c r="AAD1349" s="120"/>
      <c r="AAE1349" s="120"/>
      <c r="AAF1349" s="120"/>
      <c r="AAG1349" s="120"/>
      <c r="AAH1349" s="120"/>
      <c r="AAI1349" s="120"/>
      <c r="AAJ1349" s="120"/>
      <c r="AAK1349" s="120"/>
      <c r="AAL1349" s="120"/>
      <c r="AAM1349" s="120"/>
      <c r="AAN1349" s="120"/>
      <c r="AAO1349" s="120"/>
      <c r="AAP1349" s="120"/>
      <c r="AAQ1349" s="120"/>
      <c r="AAR1349" s="120"/>
      <c r="AAS1349" s="120"/>
      <c r="AAT1349" s="120"/>
      <c r="AAU1349" s="120"/>
      <c r="AAV1349" s="120"/>
      <c r="AAW1349" s="120"/>
      <c r="AAX1349" s="120"/>
      <c r="AAY1349" s="120"/>
      <c r="AAZ1349" s="120"/>
      <c r="ABA1349" s="120"/>
      <c r="ABB1349" s="120"/>
      <c r="ABC1349" s="120"/>
      <c r="ABD1349" s="120"/>
      <c r="ABE1349" s="120"/>
      <c r="ABF1349" s="120"/>
      <c r="ABG1349" s="120"/>
      <c r="ABH1349" s="120"/>
      <c r="ABI1349" s="120"/>
      <c r="ABJ1349" s="120"/>
      <c r="ABK1349" s="120"/>
      <c r="ABL1349" s="120"/>
      <c r="ABM1349" s="120"/>
      <c r="ABN1349" s="120"/>
      <c r="ABO1349" s="120"/>
      <c r="ABP1349" s="120"/>
      <c r="ABQ1349" s="120"/>
      <c r="ABR1349" s="120"/>
      <c r="ABS1349" s="120"/>
      <c r="ABT1349" s="120"/>
      <c r="ABU1349" s="120"/>
      <c r="ABV1349" s="120"/>
      <c r="ABW1349" s="120"/>
      <c r="ABX1349" s="120"/>
      <c r="ABY1349" s="120"/>
      <c r="ABZ1349" s="120"/>
      <c r="ACA1349" s="120"/>
      <c r="ACB1349" s="120"/>
      <c r="ACC1349" s="120"/>
      <c r="ACD1349" s="120"/>
      <c r="ACE1349" s="120"/>
      <c r="ACF1349" s="120"/>
      <c r="ACG1349" s="120"/>
      <c r="ACH1349" s="120"/>
      <c r="ACI1349" s="120"/>
      <c r="ACJ1349" s="120"/>
      <c r="ACK1349" s="120"/>
      <c r="ACL1349" s="120"/>
      <c r="ACM1349" s="120"/>
      <c r="ACN1349" s="120"/>
      <c r="ACO1349" s="120"/>
      <c r="ACP1349" s="120"/>
      <c r="ACQ1349" s="120"/>
      <c r="ACR1349" s="120"/>
      <c r="ACS1349" s="120"/>
      <c r="ACT1349" s="120"/>
      <c r="ACU1349" s="120"/>
      <c r="ACV1349" s="120"/>
      <c r="ACW1349" s="120"/>
      <c r="ACX1349" s="120"/>
      <c r="ACY1349" s="120"/>
      <c r="ACZ1349" s="120"/>
      <c r="ADA1349" s="120"/>
      <c r="ADB1349" s="120"/>
      <c r="ADC1349" s="120"/>
      <c r="ADD1349" s="120"/>
      <c r="ADE1349" s="120"/>
      <c r="ADF1349" s="120"/>
      <c r="ADG1349" s="120"/>
      <c r="ADH1349" s="120"/>
      <c r="ADI1349" s="120"/>
      <c r="ADJ1349" s="120"/>
      <c r="ADK1349" s="120"/>
      <c r="ADL1349" s="120"/>
      <c r="ADM1349" s="120"/>
      <c r="ADN1349" s="120"/>
      <c r="ADO1349" s="120"/>
      <c r="ADP1349" s="120"/>
      <c r="ADQ1349" s="120"/>
      <c r="ADR1349" s="120"/>
      <c r="ADS1349" s="120"/>
      <c r="ADT1349" s="120"/>
      <c r="ADU1349" s="120"/>
      <c r="ADV1349" s="120"/>
      <c r="ADW1349" s="120"/>
      <c r="ADX1349" s="120"/>
      <c r="ADY1349" s="120"/>
      <c r="ADZ1349" s="120"/>
      <c r="AEA1349" s="120"/>
      <c r="AEB1349" s="120"/>
      <c r="AEC1349" s="120"/>
      <c r="AED1349" s="120"/>
      <c r="AEE1349" s="120"/>
      <c r="AEF1349" s="120"/>
      <c r="AEG1349" s="120"/>
      <c r="AEH1349" s="120"/>
      <c r="AEI1349" s="120"/>
      <c r="AEJ1349" s="120"/>
      <c r="AEK1349" s="120"/>
      <c r="AEL1349" s="120"/>
      <c r="AEM1349" s="120"/>
      <c r="AEN1349" s="120"/>
      <c r="AEO1349" s="120"/>
      <c r="AEP1349" s="120"/>
      <c r="AEQ1349" s="120"/>
      <c r="AER1349" s="120"/>
      <c r="AES1349" s="120"/>
      <c r="AET1349" s="120"/>
      <c r="AEU1349" s="120"/>
      <c r="AEV1349" s="120"/>
      <c r="AEW1349" s="120"/>
      <c r="AEX1349" s="120"/>
      <c r="AEY1349" s="120"/>
      <c r="AEZ1349" s="120"/>
      <c r="AFA1349" s="120"/>
      <c r="AFB1349" s="120"/>
      <c r="AFC1349" s="120"/>
      <c r="AFD1349" s="120"/>
      <c r="AFE1349" s="120"/>
      <c r="AFF1349" s="120"/>
      <c r="AFG1349" s="120"/>
      <c r="AFH1349" s="120"/>
      <c r="AFI1349" s="120"/>
      <c r="AFJ1349" s="120"/>
      <c r="AFK1349" s="120"/>
      <c r="AFL1349" s="120"/>
      <c r="AFM1349" s="120"/>
      <c r="AFN1349" s="120"/>
      <c r="AFO1349" s="120"/>
      <c r="AFP1349" s="120"/>
      <c r="AFQ1349" s="120"/>
      <c r="AFR1349" s="120"/>
      <c r="AFS1349" s="120"/>
      <c r="AFT1349" s="120"/>
      <c r="AFU1349" s="120"/>
      <c r="AFV1349" s="120"/>
      <c r="AFW1349" s="120"/>
      <c r="AFX1349" s="120"/>
      <c r="AFY1349" s="120"/>
      <c r="AFZ1349" s="120"/>
      <c r="AGA1349" s="120"/>
      <c r="AGB1349" s="120"/>
      <c r="AGC1349" s="120"/>
      <c r="AGD1349" s="120"/>
      <c r="AGE1349" s="120"/>
      <c r="AGF1349" s="120"/>
      <c r="AGG1349" s="120"/>
      <c r="AGH1349" s="120"/>
      <c r="AGI1349" s="120"/>
      <c r="AGJ1349" s="120"/>
      <c r="AGK1349" s="120"/>
      <c r="AGL1349" s="120"/>
      <c r="AGM1349" s="120"/>
      <c r="AGN1349" s="120"/>
      <c r="AGO1349" s="120"/>
      <c r="AGP1349" s="120"/>
      <c r="AGQ1349" s="120"/>
      <c r="AGR1349" s="120"/>
      <c r="AGS1349" s="120"/>
      <c r="AGT1349" s="120"/>
      <c r="AGU1349" s="120"/>
      <c r="AGV1349" s="120"/>
      <c r="AGW1349" s="120"/>
      <c r="AGX1349" s="120"/>
      <c r="AGY1349" s="120"/>
      <c r="AGZ1349" s="120"/>
      <c r="AHA1349" s="120"/>
      <c r="AHB1349" s="120"/>
      <c r="AHC1349" s="120"/>
      <c r="AHD1349" s="120"/>
      <c r="AHE1349" s="120"/>
      <c r="AHF1349" s="120"/>
      <c r="AHG1349" s="120"/>
      <c r="AHH1349" s="120"/>
      <c r="AHI1349" s="120"/>
      <c r="AHJ1349" s="120"/>
      <c r="AHK1349" s="120"/>
      <c r="AHL1349" s="120"/>
      <c r="AHM1349" s="120"/>
      <c r="AHN1349" s="120"/>
      <c r="AHO1349" s="120"/>
      <c r="AHP1349" s="120"/>
      <c r="AHQ1349" s="120"/>
      <c r="AHR1349" s="120"/>
      <c r="AHS1349" s="120"/>
      <c r="AHT1349" s="120"/>
      <c r="AHU1349" s="120"/>
      <c r="AHV1349" s="120"/>
      <c r="AHW1349" s="120"/>
      <c r="AHX1349" s="120"/>
      <c r="AHY1349" s="120"/>
      <c r="AHZ1349" s="120"/>
      <c r="AIA1349" s="120"/>
      <c r="AIB1349" s="120"/>
      <c r="AIC1349" s="120"/>
      <c r="AID1349" s="120"/>
      <c r="AIE1349" s="120"/>
      <c r="AIF1349" s="120"/>
      <c r="AIG1349" s="120"/>
      <c r="AIH1349" s="120"/>
      <c r="AII1349" s="120"/>
      <c r="AIJ1349" s="120"/>
      <c r="AIK1349" s="120"/>
      <c r="AIL1349" s="120"/>
      <c r="AIM1349" s="120"/>
      <c r="AIN1349" s="120"/>
      <c r="AIO1349" s="120"/>
      <c r="AIP1349" s="120"/>
      <c r="AIQ1349" s="120"/>
      <c r="AIR1349" s="120"/>
      <c r="AIS1349" s="120"/>
      <c r="AIT1349" s="120"/>
      <c r="AIU1349" s="120"/>
      <c r="AIV1349" s="120"/>
      <c r="AIW1349" s="120"/>
      <c r="AIX1349" s="120"/>
      <c r="AIY1349" s="120"/>
      <c r="AIZ1349" s="120"/>
      <c r="AJA1349" s="120"/>
      <c r="AJB1349" s="120"/>
      <c r="AJC1349" s="120"/>
      <c r="AJD1349" s="120"/>
      <c r="AJE1349" s="120"/>
      <c r="AJF1349" s="120"/>
      <c r="AJG1349" s="120"/>
      <c r="AJH1349" s="120"/>
      <c r="AJI1349" s="120"/>
      <c r="AJJ1349" s="120"/>
      <c r="AJK1349" s="120"/>
      <c r="AJL1349" s="120"/>
      <c r="AJM1349" s="120"/>
      <c r="AJN1349" s="120"/>
      <c r="AJO1349" s="120"/>
      <c r="AJP1349" s="120"/>
      <c r="AJQ1349" s="120"/>
      <c r="AJR1349" s="120"/>
      <c r="AJS1349" s="120"/>
      <c r="AJT1349" s="120"/>
      <c r="AJU1349" s="120"/>
      <c r="AJV1349" s="120"/>
      <c r="AJW1349" s="120"/>
      <c r="AJX1349" s="120"/>
      <c r="AJY1349" s="120"/>
      <c r="AJZ1349" s="120"/>
      <c r="AKA1349" s="120"/>
      <c r="AKB1349" s="120"/>
      <c r="AKC1349" s="120"/>
      <c r="AKD1349" s="120"/>
      <c r="AKE1349" s="120"/>
      <c r="AKF1349" s="120"/>
      <c r="AKG1349" s="120"/>
      <c r="AKH1349" s="120"/>
      <c r="AKI1349" s="120"/>
      <c r="AKJ1349" s="120"/>
      <c r="AKK1349" s="120"/>
      <c r="AKL1349" s="120"/>
      <c r="AKM1349" s="120"/>
      <c r="AKN1349" s="120"/>
      <c r="AKO1349" s="120"/>
      <c r="AKP1349" s="120"/>
      <c r="AKQ1349" s="120"/>
      <c r="AKR1349" s="120"/>
      <c r="AKS1349" s="120"/>
      <c r="AKT1349" s="120"/>
      <c r="AKU1349" s="120"/>
      <c r="AKV1349" s="120"/>
      <c r="AKW1349" s="120"/>
      <c r="AKX1349" s="120"/>
      <c r="AKY1349" s="120"/>
      <c r="AKZ1349" s="120"/>
      <c r="ALA1349" s="120"/>
      <c r="ALB1349" s="120"/>
      <c r="ALC1349" s="120"/>
      <c r="ALD1349" s="120"/>
      <c r="ALE1349" s="120"/>
      <c r="ALF1349" s="120"/>
      <c r="ALG1349" s="120"/>
      <c r="ALH1349" s="120"/>
      <c r="ALI1349" s="120"/>
      <c r="ALJ1349" s="120"/>
      <c r="ALK1349" s="120"/>
      <c r="ALL1349" s="120"/>
      <c r="ALM1349" s="120"/>
      <c r="ALN1349" s="120"/>
      <c r="ALO1349" s="120"/>
      <c r="ALP1349" s="120"/>
      <c r="ALQ1349" s="120"/>
      <c r="ALR1349" s="120"/>
      <c r="ALS1349" s="120"/>
      <c r="ALT1349" s="120"/>
      <c r="ALU1349" s="120"/>
      <c r="ALV1349" s="120"/>
      <c r="ALW1349" s="120"/>
      <c r="ALX1349" s="120"/>
      <c r="ALY1349" s="120"/>
      <c r="ALZ1349" s="120"/>
      <c r="AMA1349" s="120"/>
      <c r="AMB1349" s="120"/>
      <c r="AMC1349" s="120"/>
      <c r="AMD1349" s="120"/>
      <c r="AME1349" s="120"/>
      <c r="AMF1349" s="120"/>
      <c r="AMG1349" s="120"/>
      <c r="AMH1349" s="120"/>
      <c r="AMI1349" s="120"/>
      <c r="AMJ1349" s="120"/>
      <c r="AMK1349" s="120"/>
      <c r="AML1349" s="120"/>
      <c r="AMM1349" s="120"/>
      <c r="AMN1349" s="120"/>
      <c r="AMO1349" s="120"/>
      <c r="AMP1349" s="120"/>
      <c r="AMQ1349" s="120"/>
      <c r="AMR1349" s="120"/>
      <c r="AMS1349" s="120"/>
      <c r="AMT1349" s="120"/>
      <c r="AMU1349" s="120"/>
      <c r="AMV1349" s="120"/>
      <c r="AMW1349" s="120"/>
      <c r="AMX1349" s="120"/>
      <c r="AMY1349" s="120"/>
      <c r="AMZ1349" s="120"/>
      <c r="ANA1349" s="120"/>
      <c r="ANB1349" s="120"/>
      <c r="ANC1349" s="120"/>
      <c r="AND1349" s="120"/>
      <c r="ANE1349" s="120"/>
      <c r="ANF1349" s="120"/>
      <c r="ANG1349" s="120"/>
      <c r="ANH1349" s="120"/>
      <c r="ANI1349" s="120"/>
      <c r="ANJ1349" s="120"/>
      <c r="ANK1349" s="120"/>
      <c r="ANL1349" s="120"/>
      <c r="ANM1349" s="120"/>
      <c r="ANN1349" s="120"/>
      <c r="ANO1349" s="120"/>
      <c r="ANP1349" s="120"/>
      <c r="ANQ1349" s="120"/>
      <c r="ANR1349" s="120"/>
      <c r="ANS1349" s="120"/>
      <c r="ANT1349" s="120"/>
      <c r="ANU1349" s="120"/>
      <c r="ANV1349" s="120"/>
      <c r="ANW1349" s="120"/>
      <c r="ANX1349" s="120"/>
      <c r="ANY1349" s="120"/>
      <c r="ANZ1349" s="120"/>
      <c r="AOA1349" s="120"/>
      <c r="AOB1349" s="120"/>
      <c r="AOC1349" s="120"/>
      <c r="AOD1349" s="120"/>
      <c r="AOE1349" s="120"/>
      <c r="AOF1349" s="120"/>
      <c r="AOG1349" s="120"/>
      <c r="AOH1349" s="120"/>
      <c r="AOI1349" s="120"/>
      <c r="AOJ1349" s="120"/>
      <c r="AOK1349" s="120"/>
      <c r="AOL1349" s="120"/>
      <c r="AOM1349" s="120"/>
      <c r="AON1349" s="120"/>
      <c r="AOO1349" s="120"/>
      <c r="AOP1349" s="120"/>
      <c r="AOQ1349" s="120"/>
      <c r="AOR1349" s="120"/>
      <c r="AOS1349" s="120"/>
      <c r="AOT1349" s="120"/>
      <c r="AOU1349" s="120"/>
      <c r="AOV1349" s="120"/>
      <c r="AOW1349" s="120"/>
      <c r="AOX1349" s="120"/>
      <c r="AOY1349" s="120"/>
      <c r="AOZ1349" s="120"/>
      <c r="APA1349" s="120"/>
      <c r="APB1349" s="120"/>
      <c r="APC1349" s="120"/>
      <c r="APD1349" s="120"/>
      <c r="APE1349" s="120"/>
      <c r="APF1349" s="120"/>
      <c r="APG1349" s="120"/>
      <c r="APH1349" s="120"/>
      <c r="API1349" s="120"/>
      <c r="APJ1349" s="120"/>
      <c r="APK1349" s="120"/>
      <c r="APL1349" s="120"/>
      <c r="APM1349" s="120"/>
      <c r="APN1349" s="120"/>
      <c r="APO1349" s="120"/>
      <c r="APP1349" s="120"/>
      <c r="APQ1349" s="120"/>
      <c r="APR1349" s="120"/>
      <c r="APS1349" s="120"/>
      <c r="APT1349" s="120"/>
      <c r="APU1349" s="120"/>
      <c r="APV1349" s="120"/>
      <c r="APW1349" s="120"/>
      <c r="APX1349" s="120"/>
      <c r="APY1349" s="120"/>
      <c r="APZ1349" s="120"/>
      <c r="AQA1349" s="120"/>
      <c r="AQB1349" s="120"/>
      <c r="AQC1349" s="120"/>
      <c r="AQD1349" s="120"/>
      <c r="AQE1349" s="120"/>
      <c r="AQF1349" s="120"/>
      <c r="AQG1349" s="120"/>
      <c r="AQH1349" s="120"/>
      <c r="AQI1349" s="120"/>
      <c r="AQJ1349" s="120"/>
      <c r="AQK1349" s="120"/>
      <c r="AQL1349" s="120"/>
      <c r="AQM1349" s="120"/>
      <c r="AQN1349" s="120"/>
      <c r="AQO1349" s="120"/>
      <c r="AQP1349" s="120"/>
      <c r="AQQ1349" s="120"/>
      <c r="AQR1349" s="120"/>
      <c r="AQS1349" s="120"/>
      <c r="AQT1349" s="120"/>
      <c r="AQU1349" s="120"/>
      <c r="AQV1349" s="120"/>
      <c r="AQW1349" s="120"/>
      <c r="AQX1349" s="120"/>
      <c r="AQY1349" s="120"/>
      <c r="AQZ1349" s="120"/>
      <c r="ARA1349" s="120"/>
      <c r="ARB1349" s="120"/>
      <c r="ARC1349" s="120"/>
      <c r="ARD1349" s="120"/>
      <c r="ARE1349" s="120"/>
      <c r="ARF1349" s="120"/>
      <c r="ARG1349" s="120"/>
      <c r="ARH1349" s="120"/>
      <c r="ARI1349" s="120"/>
      <c r="ARJ1349" s="120"/>
      <c r="ARK1349" s="120"/>
      <c r="ARL1349" s="120"/>
      <c r="ARM1349" s="120"/>
      <c r="ARN1349" s="120"/>
      <c r="ARO1349" s="120"/>
      <c r="ARP1349" s="120"/>
      <c r="ARQ1349" s="120"/>
      <c r="ARR1349" s="120"/>
      <c r="ARS1349" s="120"/>
      <c r="ART1349" s="120"/>
      <c r="ARU1349" s="120"/>
      <c r="ARV1349" s="120"/>
      <c r="ARW1349" s="120"/>
      <c r="ARX1349" s="120"/>
      <c r="ARY1349" s="120"/>
      <c r="ARZ1349" s="120"/>
      <c r="ASA1349" s="120"/>
      <c r="ASB1349" s="120"/>
      <c r="ASC1349" s="120"/>
      <c r="ASD1349" s="120"/>
      <c r="ASE1349" s="120"/>
      <c r="ASF1349" s="120"/>
      <c r="ASG1349" s="120"/>
      <c r="ASH1349" s="120"/>
      <c r="ASI1349" s="120"/>
      <c r="ASJ1349" s="120"/>
      <c r="ASK1349" s="120"/>
      <c r="ASL1349" s="120"/>
      <c r="ASM1349" s="120"/>
      <c r="ASN1349" s="120"/>
      <c r="ASO1349" s="120"/>
      <c r="ASP1349" s="120"/>
      <c r="ASQ1349" s="120"/>
      <c r="ASR1349" s="120"/>
      <c r="ASS1349" s="120"/>
      <c r="AST1349" s="120"/>
      <c r="ASU1349" s="120"/>
      <c r="ASV1349" s="120"/>
      <c r="ASW1349" s="120"/>
      <c r="ASX1349" s="120"/>
      <c r="ASY1349" s="120"/>
      <c r="ASZ1349" s="120"/>
      <c r="ATA1349" s="120"/>
      <c r="ATB1349" s="120"/>
      <c r="ATC1349" s="120"/>
      <c r="ATD1349" s="120"/>
      <c r="ATE1349" s="120"/>
      <c r="ATF1349" s="120"/>
      <c r="ATG1349" s="120"/>
      <c r="ATH1349" s="120"/>
      <c r="ATI1349" s="120"/>
      <c r="ATJ1349" s="120"/>
      <c r="ATK1349" s="120"/>
      <c r="ATL1349" s="120"/>
      <c r="ATM1349" s="120"/>
      <c r="ATN1349" s="120"/>
      <c r="ATO1349" s="120"/>
    </row>
    <row r="1350" spans="1:1211" s="20" customFormat="1" ht="14.1" customHeight="1">
      <c r="A1350" s="629"/>
      <c r="B1350" s="630"/>
      <c r="C1350" s="631"/>
      <c r="D1350" s="631"/>
      <c r="E1350" s="898"/>
      <c r="F1350" s="899"/>
      <c r="G1350" s="899"/>
      <c r="H1350" s="899"/>
      <c r="I1350" s="899"/>
      <c r="J1350" s="899"/>
      <c r="K1350" s="112"/>
      <c r="L1350" s="363"/>
      <c r="M1350" s="112"/>
      <c r="N1350" s="362"/>
      <c r="O1350" s="573"/>
      <c r="P1350" s="120"/>
      <c r="Q1350" s="120"/>
      <c r="R1350" s="120"/>
      <c r="S1350" s="120"/>
      <c r="T1350" s="120"/>
      <c r="U1350" s="120"/>
      <c r="V1350" s="120"/>
      <c r="W1350" s="120"/>
      <c r="X1350" s="120"/>
      <c r="Y1350" s="120"/>
      <c r="Z1350" s="120"/>
      <c r="AA1350" s="120"/>
      <c r="AB1350" s="120"/>
      <c r="AC1350" s="120"/>
      <c r="AD1350" s="120"/>
      <c r="AE1350" s="120"/>
      <c r="AF1350" s="120"/>
      <c r="AG1350" s="120"/>
      <c r="AH1350" s="120"/>
      <c r="AI1350" s="120"/>
      <c r="AJ1350" s="120"/>
      <c r="AK1350" s="120"/>
      <c r="AL1350" s="120"/>
      <c r="AM1350" s="120"/>
      <c r="AN1350" s="120"/>
      <c r="AO1350" s="120"/>
      <c r="AP1350" s="120"/>
      <c r="AQ1350" s="120"/>
      <c r="AR1350" s="120"/>
      <c r="AS1350" s="120"/>
      <c r="AT1350" s="120"/>
      <c r="AU1350" s="120"/>
      <c r="AV1350" s="120"/>
      <c r="AW1350" s="120"/>
      <c r="AX1350" s="120"/>
      <c r="AY1350" s="120"/>
      <c r="AZ1350" s="120"/>
      <c r="BA1350" s="120"/>
      <c r="BB1350" s="120"/>
      <c r="BC1350" s="120"/>
      <c r="BD1350" s="120"/>
      <c r="BE1350" s="120"/>
      <c r="BF1350" s="120"/>
      <c r="BG1350" s="120"/>
      <c r="BH1350" s="120"/>
      <c r="BI1350" s="120"/>
      <c r="BJ1350" s="120"/>
      <c r="BK1350" s="120"/>
      <c r="BL1350" s="120"/>
      <c r="BM1350" s="120"/>
      <c r="BN1350" s="120"/>
      <c r="BO1350" s="120"/>
      <c r="BP1350" s="120"/>
      <c r="BQ1350" s="120"/>
      <c r="BR1350" s="120"/>
      <c r="BS1350" s="120"/>
      <c r="BT1350" s="120"/>
      <c r="BU1350" s="120"/>
      <c r="BV1350" s="120"/>
      <c r="BW1350" s="120"/>
      <c r="BX1350" s="120"/>
      <c r="BY1350" s="120"/>
      <c r="BZ1350" s="120"/>
      <c r="CA1350" s="120"/>
      <c r="CB1350" s="120"/>
      <c r="CC1350" s="120"/>
      <c r="CD1350" s="120"/>
      <c r="CE1350" s="120"/>
      <c r="CF1350" s="120"/>
      <c r="CG1350" s="120"/>
      <c r="CH1350" s="120"/>
      <c r="CI1350" s="120"/>
      <c r="CJ1350" s="120"/>
      <c r="CK1350" s="120"/>
      <c r="CL1350" s="120"/>
      <c r="CM1350" s="120"/>
      <c r="CN1350" s="120"/>
      <c r="CO1350" s="120"/>
      <c r="CP1350" s="120"/>
      <c r="CQ1350" s="120"/>
      <c r="CR1350" s="120"/>
      <c r="CS1350" s="120"/>
      <c r="CT1350" s="120"/>
      <c r="CU1350" s="120"/>
      <c r="CV1350" s="120"/>
      <c r="CW1350" s="120"/>
      <c r="CX1350" s="120"/>
      <c r="CY1350" s="120"/>
      <c r="CZ1350" s="120"/>
      <c r="DA1350" s="120"/>
      <c r="DB1350" s="120"/>
      <c r="DC1350" s="120"/>
      <c r="DD1350" s="120"/>
      <c r="DE1350" s="120"/>
      <c r="DF1350" s="120"/>
      <c r="DG1350" s="120"/>
      <c r="DH1350" s="120"/>
      <c r="DI1350" s="120"/>
      <c r="DJ1350" s="120"/>
      <c r="DK1350" s="120"/>
      <c r="DL1350" s="120"/>
      <c r="DM1350" s="120"/>
      <c r="DN1350" s="120"/>
      <c r="DO1350" s="120"/>
      <c r="DP1350" s="120"/>
      <c r="DQ1350" s="120"/>
      <c r="DR1350" s="120"/>
      <c r="DS1350" s="120"/>
      <c r="DT1350" s="120"/>
      <c r="DU1350" s="120"/>
      <c r="DV1350" s="120"/>
      <c r="DW1350" s="120"/>
      <c r="DX1350" s="120"/>
      <c r="DY1350" s="120"/>
      <c r="DZ1350" s="120"/>
      <c r="EA1350" s="120"/>
      <c r="EB1350" s="120"/>
      <c r="EC1350" s="120"/>
      <c r="ED1350" s="120"/>
      <c r="EE1350" s="120"/>
      <c r="EF1350" s="120"/>
      <c r="EG1350" s="120"/>
      <c r="EH1350" s="120"/>
      <c r="EI1350" s="120"/>
      <c r="EJ1350" s="120"/>
      <c r="EK1350" s="120"/>
      <c r="EL1350" s="120"/>
      <c r="EM1350" s="120"/>
      <c r="EN1350" s="120"/>
      <c r="EO1350" s="120"/>
      <c r="EP1350" s="120"/>
      <c r="EQ1350" s="120"/>
      <c r="ER1350" s="120"/>
      <c r="ES1350" s="120"/>
      <c r="ET1350" s="120"/>
      <c r="EU1350" s="120"/>
      <c r="EV1350" s="120"/>
      <c r="EW1350" s="120"/>
      <c r="EX1350" s="120"/>
      <c r="EY1350" s="120"/>
      <c r="EZ1350" s="120"/>
      <c r="FA1350" s="120"/>
      <c r="FB1350" s="120"/>
      <c r="FC1350" s="120"/>
      <c r="FD1350" s="120"/>
      <c r="FE1350" s="120"/>
      <c r="FF1350" s="120"/>
      <c r="FG1350" s="120"/>
      <c r="FH1350" s="120"/>
      <c r="FI1350" s="120"/>
      <c r="FJ1350" s="120"/>
      <c r="FK1350" s="120"/>
      <c r="FL1350" s="120"/>
      <c r="FM1350" s="120"/>
      <c r="FN1350" s="120"/>
      <c r="FO1350" s="120"/>
      <c r="FP1350" s="120"/>
      <c r="FQ1350" s="120"/>
      <c r="FR1350" s="120"/>
      <c r="FS1350" s="120"/>
      <c r="FT1350" s="120"/>
      <c r="FU1350" s="120"/>
      <c r="FV1350" s="120"/>
      <c r="FW1350" s="120"/>
      <c r="FX1350" s="120"/>
      <c r="FY1350" s="120"/>
      <c r="FZ1350" s="120"/>
      <c r="GA1350" s="120"/>
      <c r="GB1350" s="120"/>
      <c r="GC1350" s="120"/>
      <c r="GD1350" s="120"/>
      <c r="GE1350" s="120"/>
      <c r="GF1350" s="120"/>
      <c r="GG1350" s="120"/>
      <c r="GH1350" s="120"/>
      <c r="GI1350" s="120"/>
      <c r="GJ1350" s="120"/>
      <c r="GK1350" s="120"/>
      <c r="GL1350" s="120"/>
      <c r="GM1350" s="120"/>
      <c r="GN1350" s="120"/>
      <c r="GO1350" s="120"/>
      <c r="GP1350" s="120"/>
      <c r="GQ1350" s="120"/>
      <c r="GR1350" s="120"/>
      <c r="GS1350" s="120"/>
      <c r="GT1350" s="120"/>
      <c r="GU1350" s="120"/>
      <c r="GV1350" s="120"/>
      <c r="GW1350" s="120"/>
      <c r="GX1350" s="120"/>
      <c r="GY1350" s="120"/>
      <c r="GZ1350" s="120"/>
      <c r="HA1350" s="120"/>
      <c r="HB1350" s="120"/>
      <c r="HC1350" s="120"/>
      <c r="HD1350" s="120"/>
      <c r="HE1350" s="120"/>
      <c r="HF1350" s="120"/>
      <c r="HG1350" s="120"/>
      <c r="HH1350" s="120"/>
      <c r="HI1350" s="120"/>
      <c r="HJ1350" s="120"/>
      <c r="HK1350" s="120"/>
      <c r="HL1350" s="120"/>
      <c r="HM1350" s="120"/>
      <c r="HN1350" s="120"/>
      <c r="HO1350" s="120"/>
      <c r="HP1350" s="120"/>
      <c r="HQ1350" s="120"/>
      <c r="HR1350" s="120"/>
      <c r="HS1350" s="120"/>
      <c r="HT1350" s="120"/>
      <c r="HU1350" s="120"/>
      <c r="HV1350" s="120"/>
      <c r="HW1350" s="120"/>
      <c r="HX1350" s="120"/>
      <c r="HY1350" s="120"/>
      <c r="HZ1350" s="120"/>
      <c r="IA1350" s="120"/>
      <c r="IB1350" s="120"/>
      <c r="IC1350" s="120"/>
      <c r="ID1350" s="120"/>
      <c r="IE1350" s="120"/>
      <c r="IF1350" s="120"/>
      <c r="IG1350" s="120"/>
      <c r="IH1350" s="120"/>
      <c r="II1350" s="120"/>
      <c r="IJ1350" s="120"/>
      <c r="IK1350" s="120"/>
      <c r="IL1350" s="120"/>
      <c r="IM1350" s="120"/>
      <c r="IN1350" s="120"/>
      <c r="IO1350" s="120"/>
      <c r="IP1350" s="120"/>
      <c r="IQ1350" s="120"/>
      <c r="IR1350" s="120"/>
      <c r="IS1350" s="120"/>
      <c r="IT1350" s="120"/>
      <c r="IU1350" s="120"/>
      <c r="IV1350" s="120"/>
      <c r="IW1350" s="120"/>
      <c r="IX1350" s="120"/>
      <c r="IY1350" s="120"/>
      <c r="IZ1350" s="120"/>
      <c r="JA1350" s="120"/>
      <c r="JB1350" s="120"/>
      <c r="JC1350" s="120"/>
      <c r="JD1350" s="120"/>
      <c r="JE1350" s="120"/>
      <c r="JF1350" s="120"/>
      <c r="JG1350" s="120"/>
      <c r="JH1350" s="120"/>
      <c r="JI1350" s="120"/>
      <c r="JJ1350" s="120"/>
      <c r="JK1350" s="120"/>
      <c r="JL1350" s="120"/>
      <c r="JM1350" s="120"/>
      <c r="JN1350" s="120"/>
      <c r="JO1350" s="120"/>
      <c r="JP1350" s="120"/>
      <c r="JQ1350" s="120"/>
      <c r="JR1350" s="120"/>
      <c r="JS1350" s="120"/>
      <c r="JT1350" s="120"/>
      <c r="JU1350" s="120"/>
      <c r="JV1350" s="120"/>
      <c r="JW1350" s="120"/>
      <c r="JX1350" s="120"/>
      <c r="JY1350" s="120"/>
      <c r="JZ1350" s="120"/>
      <c r="KA1350" s="120"/>
      <c r="KB1350" s="120"/>
      <c r="KC1350" s="120"/>
      <c r="KD1350" s="120"/>
      <c r="KE1350" s="120"/>
      <c r="KF1350" s="120"/>
      <c r="KG1350" s="120"/>
      <c r="KH1350" s="120"/>
      <c r="KI1350" s="120"/>
      <c r="KJ1350" s="120"/>
      <c r="KK1350" s="120"/>
      <c r="KL1350" s="120"/>
      <c r="KM1350" s="120"/>
      <c r="KN1350" s="120"/>
      <c r="KO1350" s="120"/>
      <c r="KP1350" s="120"/>
      <c r="KQ1350" s="120"/>
      <c r="KR1350" s="120"/>
      <c r="KS1350" s="120"/>
      <c r="KT1350" s="120"/>
      <c r="KU1350" s="120"/>
      <c r="KV1350" s="120"/>
      <c r="KW1350" s="120"/>
      <c r="KX1350" s="120"/>
      <c r="KY1350" s="120"/>
      <c r="KZ1350" s="120"/>
      <c r="LA1350" s="120"/>
      <c r="LB1350" s="120"/>
      <c r="LC1350" s="120"/>
      <c r="LD1350" s="120"/>
      <c r="LE1350" s="120"/>
      <c r="LF1350" s="120"/>
      <c r="LG1350" s="120"/>
      <c r="LH1350" s="120"/>
      <c r="LI1350" s="120"/>
      <c r="LJ1350" s="120"/>
      <c r="LK1350" s="120"/>
      <c r="LL1350" s="120"/>
      <c r="LM1350" s="120"/>
      <c r="LN1350" s="120"/>
      <c r="LO1350" s="120"/>
      <c r="LP1350" s="120"/>
      <c r="LQ1350" s="120"/>
      <c r="LR1350" s="120"/>
      <c r="LS1350" s="120"/>
      <c r="LT1350" s="120"/>
      <c r="LU1350" s="120"/>
      <c r="LV1350" s="120"/>
      <c r="LW1350" s="120"/>
      <c r="LX1350" s="120"/>
      <c r="LY1350" s="120"/>
      <c r="LZ1350" s="120"/>
      <c r="MA1350" s="120"/>
      <c r="MB1350" s="120"/>
      <c r="MC1350" s="120"/>
      <c r="MD1350" s="120"/>
      <c r="ME1350" s="120"/>
      <c r="MF1350" s="120"/>
      <c r="MG1350" s="120"/>
      <c r="MH1350" s="120"/>
      <c r="MI1350" s="120"/>
      <c r="MJ1350" s="120"/>
      <c r="MK1350" s="120"/>
      <c r="ML1350" s="120"/>
      <c r="MM1350" s="120"/>
      <c r="MN1350" s="120"/>
      <c r="MO1350" s="120"/>
      <c r="MP1350" s="120"/>
      <c r="MQ1350" s="120"/>
      <c r="MR1350" s="120"/>
      <c r="MS1350" s="120"/>
      <c r="MT1350" s="120"/>
      <c r="MU1350" s="120"/>
      <c r="MV1350" s="120"/>
      <c r="MW1350" s="120"/>
      <c r="MX1350" s="120"/>
      <c r="MY1350" s="120"/>
      <c r="MZ1350" s="120"/>
      <c r="NA1350" s="120"/>
      <c r="NB1350" s="120"/>
      <c r="NC1350" s="120"/>
      <c r="ND1350" s="120"/>
      <c r="NE1350" s="120"/>
      <c r="NF1350" s="120"/>
      <c r="NG1350" s="120"/>
      <c r="NH1350" s="120"/>
      <c r="NI1350" s="120"/>
      <c r="NJ1350" s="120"/>
      <c r="NK1350" s="120"/>
      <c r="NL1350" s="120"/>
      <c r="NM1350" s="120"/>
      <c r="NN1350" s="120"/>
      <c r="NO1350" s="120"/>
      <c r="NP1350" s="120"/>
      <c r="NQ1350" s="120"/>
      <c r="NR1350" s="120"/>
      <c r="NS1350" s="120"/>
      <c r="NT1350" s="120"/>
      <c r="NU1350" s="120"/>
      <c r="NV1350" s="120"/>
      <c r="NW1350" s="120"/>
      <c r="NX1350" s="120"/>
      <c r="NY1350" s="120"/>
      <c r="NZ1350" s="120"/>
      <c r="OA1350" s="120"/>
      <c r="OB1350" s="120"/>
      <c r="OC1350" s="120"/>
      <c r="OD1350" s="120"/>
      <c r="OE1350" s="120"/>
      <c r="OF1350" s="120"/>
      <c r="OG1350" s="120"/>
      <c r="OH1350" s="120"/>
      <c r="OI1350" s="120"/>
      <c r="OJ1350" s="120"/>
      <c r="OK1350" s="120"/>
      <c r="OL1350" s="120"/>
      <c r="OM1350" s="120"/>
      <c r="ON1350" s="120"/>
      <c r="OO1350" s="120"/>
      <c r="OP1350" s="120"/>
      <c r="OQ1350" s="120"/>
      <c r="OR1350" s="120"/>
      <c r="OS1350" s="120"/>
      <c r="OT1350" s="120"/>
      <c r="OU1350" s="120"/>
      <c r="OV1350" s="120"/>
      <c r="OW1350" s="120"/>
      <c r="OX1350" s="120"/>
      <c r="OY1350" s="120"/>
      <c r="OZ1350" s="120"/>
      <c r="PA1350" s="120"/>
      <c r="PB1350" s="120"/>
      <c r="PC1350" s="120"/>
      <c r="PD1350" s="120"/>
      <c r="PE1350" s="120"/>
      <c r="PF1350" s="120"/>
      <c r="PG1350" s="120"/>
      <c r="PH1350" s="120"/>
      <c r="PI1350" s="120"/>
      <c r="PJ1350" s="120"/>
      <c r="PK1350" s="120"/>
      <c r="PL1350" s="120"/>
      <c r="PM1350" s="120"/>
      <c r="PN1350" s="120"/>
      <c r="PO1350" s="120"/>
      <c r="PP1350" s="120"/>
      <c r="PQ1350" s="120"/>
      <c r="PR1350" s="120"/>
      <c r="PS1350" s="120"/>
      <c r="PT1350" s="120"/>
      <c r="PU1350" s="120"/>
      <c r="PV1350" s="120"/>
      <c r="PW1350" s="120"/>
      <c r="PX1350" s="120"/>
      <c r="PY1350" s="120"/>
      <c r="PZ1350" s="120"/>
      <c r="QA1350" s="120"/>
      <c r="QB1350" s="120"/>
      <c r="QC1350" s="120"/>
      <c r="QD1350" s="120"/>
      <c r="QE1350" s="120"/>
      <c r="QF1350" s="120"/>
      <c r="QG1350" s="120"/>
      <c r="QH1350" s="120"/>
      <c r="QI1350" s="120"/>
      <c r="QJ1350" s="120"/>
      <c r="QK1350" s="120"/>
      <c r="QL1350" s="120"/>
      <c r="QM1350" s="120"/>
      <c r="QN1350" s="120"/>
      <c r="QO1350" s="120"/>
      <c r="QP1350" s="120"/>
      <c r="QQ1350" s="120"/>
      <c r="QR1350" s="120"/>
      <c r="QS1350" s="120"/>
      <c r="QT1350" s="120"/>
      <c r="QU1350" s="120"/>
      <c r="QV1350" s="120"/>
      <c r="QW1350" s="120"/>
      <c r="QX1350" s="120"/>
      <c r="QY1350" s="120"/>
      <c r="QZ1350" s="120"/>
      <c r="RA1350" s="120"/>
      <c r="RB1350" s="120"/>
      <c r="RC1350" s="120"/>
      <c r="RD1350" s="120"/>
      <c r="RE1350" s="120"/>
      <c r="RF1350" s="120"/>
      <c r="RG1350" s="120"/>
      <c r="RH1350" s="120"/>
      <c r="RI1350" s="120"/>
      <c r="RJ1350" s="120"/>
      <c r="RK1350" s="120"/>
      <c r="RL1350" s="120"/>
      <c r="RM1350" s="120"/>
      <c r="RN1350" s="120"/>
      <c r="RO1350" s="120"/>
      <c r="RP1350" s="120"/>
      <c r="RQ1350" s="120"/>
      <c r="RR1350" s="120"/>
      <c r="RS1350" s="120"/>
      <c r="RT1350" s="120"/>
      <c r="RU1350" s="120"/>
      <c r="RV1350" s="120"/>
      <c r="RW1350" s="120"/>
      <c r="RX1350" s="120"/>
      <c r="RY1350" s="120"/>
      <c r="RZ1350" s="120"/>
      <c r="SA1350" s="120"/>
      <c r="SB1350" s="120"/>
      <c r="SC1350" s="120"/>
      <c r="SD1350" s="120"/>
      <c r="SE1350" s="120"/>
      <c r="SF1350" s="120"/>
      <c r="SG1350" s="120"/>
      <c r="SH1350" s="120"/>
      <c r="SI1350" s="120"/>
      <c r="SJ1350" s="120"/>
      <c r="SK1350" s="120"/>
      <c r="SL1350" s="120"/>
      <c r="SM1350" s="120"/>
      <c r="SN1350" s="120"/>
      <c r="SO1350" s="120"/>
      <c r="SP1350" s="120"/>
      <c r="SQ1350" s="120"/>
      <c r="SR1350" s="120"/>
      <c r="SS1350" s="120"/>
      <c r="ST1350" s="120"/>
      <c r="SU1350" s="120"/>
      <c r="SV1350" s="120"/>
      <c r="SW1350" s="120"/>
      <c r="SX1350" s="120"/>
      <c r="SY1350" s="120"/>
      <c r="SZ1350" s="120"/>
      <c r="TA1350" s="120"/>
      <c r="TB1350" s="120"/>
      <c r="TC1350" s="120"/>
      <c r="TD1350" s="120"/>
      <c r="TE1350" s="120"/>
      <c r="TF1350" s="120"/>
      <c r="TG1350" s="120"/>
      <c r="TH1350" s="120"/>
      <c r="TI1350" s="120"/>
      <c r="TJ1350" s="120"/>
      <c r="TK1350" s="120"/>
      <c r="TL1350" s="120"/>
      <c r="TM1350" s="120"/>
      <c r="TN1350" s="120"/>
      <c r="TO1350" s="120"/>
      <c r="TP1350" s="120"/>
      <c r="TQ1350" s="120"/>
      <c r="TR1350" s="120"/>
      <c r="TS1350" s="120"/>
      <c r="TT1350" s="120"/>
      <c r="TU1350" s="120"/>
      <c r="TV1350" s="120"/>
      <c r="TW1350" s="120"/>
      <c r="TX1350" s="120"/>
      <c r="TY1350" s="120"/>
      <c r="TZ1350" s="120"/>
      <c r="UA1350" s="120"/>
      <c r="UB1350" s="120"/>
      <c r="UC1350" s="120"/>
      <c r="UD1350" s="120"/>
      <c r="UE1350" s="120"/>
      <c r="UF1350" s="120"/>
      <c r="UG1350" s="120"/>
      <c r="UH1350" s="120"/>
      <c r="UI1350" s="120"/>
      <c r="UJ1350" s="120"/>
      <c r="UK1350" s="120"/>
      <c r="UL1350" s="120"/>
      <c r="UM1350" s="120"/>
      <c r="UN1350" s="120"/>
      <c r="UO1350" s="120"/>
      <c r="UP1350" s="120"/>
      <c r="UQ1350" s="120"/>
      <c r="UR1350" s="120"/>
      <c r="US1350" s="120"/>
      <c r="UT1350" s="120"/>
      <c r="UU1350" s="120"/>
      <c r="UV1350" s="120"/>
      <c r="UW1350" s="120"/>
      <c r="UX1350" s="120"/>
      <c r="UY1350" s="120"/>
      <c r="UZ1350" s="120"/>
      <c r="VA1350" s="120"/>
      <c r="VB1350" s="120"/>
      <c r="VC1350" s="120"/>
      <c r="VD1350" s="120"/>
      <c r="VE1350" s="120"/>
      <c r="VF1350" s="120"/>
      <c r="VG1350" s="120"/>
      <c r="VH1350" s="120"/>
      <c r="VI1350" s="120"/>
      <c r="VJ1350" s="120"/>
      <c r="VK1350" s="120"/>
      <c r="VL1350" s="120"/>
      <c r="VM1350" s="120"/>
      <c r="VN1350" s="120"/>
      <c r="VO1350" s="120"/>
      <c r="VP1350" s="120"/>
      <c r="VQ1350" s="120"/>
      <c r="VR1350" s="120"/>
      <c r="VS1350" s="120"/>
      <c r="VT1350" s="120"/>
      <c r="VU1350" s="120"/>
      <c r="VV1350" s="120"/>
      <c r="VW1350" s="120"/>
      <c r="VX1350" s="120"/>
      <c r="VY1350" s="120"/>
      <c r="VZ1350" s="120"/>
      <c r="WA1350" s="120"/>
      <c r="WB1350" s="120"/>
      <c r="WC1350" s="120"/>
      <c r="WD1350" s="120"/>
      <c r="WE1350" s="120"/>
      <c r="WF1350" s="120"/>
      <c r="WG1350" s="120"/>
      <c r="WH1350" s="120"/>
      <c r="WI1350" s="120"/>
      <c r="WJ1350" s="120"/>
      <c r="WK1350" s="120"/>
      <c r="WL1350" s="120"/>
      <c r="WM1350" s="120"/>
      <c r="WN1350" s="120"/>
      <c r="WO1350" s="120"/>
      <c r="WP1350" s="120"/>
      <c r="WQ1350" s="120"/>
      <c r="WR1350" s="120"/>
      <c r="WS1350" s="120"/>
      <c r="WT1350" s="120"/>
      <c r="WU1350" s="120"/>
      <c r="WV1350" s="120"/>
      <c r="WW1350" s="120"/>
      <c r="WX1350" s="120"/>
      <c r="WY1350" s="120"/>
      <c r="WZ1350" s="120"/>
      <c r="XA1350" s="120"/>
      <c r="XB1350" s="120"/>
      <c r="XC1350" s="120"/>
      <c r="XD1350" s="120"/>
      <c r="XE1350" s="120"/>
      <c r="XF1350" s="120"/>
      <c r="XG1350" s="120"/>
      <c r="XH1350" s="120"/>
      <c r="XI1350" s="120"/>
      <c r="XJ1350" s="120"/>
      <c r="XK1350" s="120"/>
      <c r="XL1350" s="120"/>
      <c r="XM1350" s="120"/>
      <c r="XN1350" s="120"/>
      <c r="XO1350" s="120"/>
      <c r="XP1350" s="120"/>
      <c r="XQ1350" s="120"/>
      <c r="XR1350" s="120"/>
      <c r="XS1350" s="120"/>
      <c r="XT1350" s="120"/>
      <c r="XU1350" s="120"/>
      <c r="XV1350" s="120"/>
      <c r="XW1350" s="120"/>
      <c r="XX1350" s="120"/>
      <c r="XY1350" s="120"/>
      <c r="XZ1350" s="120"/>
      <c r="YA1350" s="120"/>
      <c r="YB1350" s="120"/>
      <c r="YC1350" s="120"/>
      <c r="YD1350" s="120"/>
      <c r="YE1350" s="120"/>
      <c r="YF1350" s="120"/>
      <c r="YG1350" s="120"/>
      <c r="YH1350" s="120"/>
      <c r="YI1350" s="120"/>
      <c r="YJ1350" s="120"/>
      <c r="YK1350" s="120"/>
      <c r="YL1350" s="120"/>
      <c r="YM1350" s="120"/>
      <c r="YN1350" s="120"/>
      <c r="YO1350" s="120"/>
      <c r="YP1350" s="120"/>
      <c r="YQ1350" s="120"/>
      <c r="YR1350" s="120"/>
      <c r="YS1350" s="120"/>
      <c r="YT1350" s="120"/>
      <c r="YU1350" s="120"/>
      <c r="YV1350" s="120"/>
      <c r="YW1350" s="120"/>
      <c r="YX1350" s="120"/>
      <c r="YY1350" s="120"/>
      <c r="YZ1350" s="120"/>
      <c r="ZA1350" s="120"/>
      <c r="ZB1350" s="120"/>
      <c r="ZC1350" s="120"/>
      <c r="ZD1350" s="120"/>
      <c r="ZE1350" s="120"/>
      <c r="ZF1350" s="120"/>
      <c r="ZG1350" s="120"/>
      <c r="ZH1350" s="120"/>
      <c r="ZI1350" s="120"/>
      <c r="ZJ1350" s="120"/>
      <c r="ZK1350" s="120"/>
      <c r="ZL1350" s="120"/>
      <c r="ZM1350" s="120"/>
      <c r="ZN1350" s="120"/>
      <c r="ZO1350" s="120"/>
      <c r="ZP1350" s="120"/>
      <c r="ZQ1350" s="120"/>
      <c r="ZR1350" s="120"/>
      <c r="ZS1350" s="120"/>
      <c r="ZT1350" s="120"/>
      <c r="ZU1350" s="120"/>
      <c r="ZV1350" s="120"/>
      <c r="ZW1350" s="120"/>
      <c r="ZX1350" s="120"/>
      <c r="ZY1350" s="120"/>
      <c r="ZZ1350" s="120"/>
      <c r="AAA1350" s="120"/>
      <c r="AAB1350" s="120"/>
      <c r="AAC1350" s="120"/>
      <c r="AAD1350" s="120"/>
      <c r="AAE1350" s="120"/>
      <c r="AAF1350" s="120"/>
      <c r="AAG1350" s="120"/>
      <c r="AAH1350" s="120"/>
      <c r="AAI1350" s="120"/>
      <c r="AAJ1350" s="120"/>
      <c r="AAK1350" s="120"/>
      <c r="AAL1350" s="120"/>
      <c r="AAM1350" s="120"/>
      <c r="AAN1350" s="120"/>
      <c r="AAO1350" s="120"/>
      <c r="AAP1350" s="120"/>
      <c r="AAQ1350" s="120"/>
      <c r="AAR1350" s="120"/>
      <c r="AAS1350" s="120"/>
      <c r="AAT1350" s="120"/>
      <c r="AAU1350" s="120"/>
      <c r="AAV1350" s="120"/>
      <c r="AAW1350" s="120"/>
      <c r="AAX1350" s="120"/>
      <c r="AAY1350" s="120"/>
      <c r="AAZ1350" s="120"/>
      <c r="ABA1350" s="120"/>
      <c r="ABB1350" s="120"/>
      <c r="ABC1350" s="120"/>
      <c r="ABD1350" s="120"/>
      <c r="ABE1350" s="120"/>
      <c r="ABF1350" s="120"/>
      <c r="ABG1350" s="120"/>
      <c r="ABH1350" s="120"/>
      <c r="ABI1350" s="120"/>
      <c r="ABJ1350" s="120"/>
      <c r="ABK1350" s="120"/>
      <c r="ABL1350" s="120"/>
      <c r="ABM1350" s="120"/>
      <c r="ABN1350" s="120"/>
      <c r="ABO1350" s="120"/>
      <c r="ABP1350" s="120"/>
      <c r="ABQ1350" s="120"/>
      <c r="ABR1350" s="120"/>
      <c r="ABS1350" s="120"/>
      <c r="ABT1350" s="120"/>
      <c r="ABU1350" s="120"/>
      <c r="ABV1350" s="120"/>
      <c r="ABW1350" s="120"/>
      <c r="ABX1350" s="120"/>
      <c r="ABY1350" s="120"/>
      <c r="ABZ1350" s="120"/>
      <c r="ACA1350" s="120"/>
      <c r="ACB1350" s="120"/>
      <c r="ACC1350" s="120"/>
      <c r="ACD1350" s="120"/>
      <c r="ACE1350" s="120"/>
      <c r="ACF1350" s="120"/>
      <c r="ACG1350" s="120"/>
      <c r="ACH1350" s="120"/>
      <c r="ACI1350" s="120"/>
      <c r="ACJ1350" s="120"/>
      <c r="ACK1350" s="120"/>
      <c r="ACL1350" s="120"/>
      <c r="ACM1350" s="120"/>
      <c r="ACN1350" s="120"/>
      <c r="ACO1350" s="120"/>
      <c r="ACP1350" s="120"/>
      <c r="ACQ1350" s="120"/>
      <c r="ACR1350" s="120"/>
      <c r="ACS1350" s="120"/>
      <c r="ACT1350" s="120"/>
      <c r="ACU1350" s="120"/>
      <c r="ACV1350" s="120"/>
      <c r="ACW1350" s="120"/>
      <c r="ACX1350" s="120"/>
      <c r="ACY1350" s="120"/>
      <c r="ACZ1350" s="120"/>
      <c r="ADA1350" s="120"/>
      <c r="ADB1350" s="120"/>
      <c r="ADC1350" s="120"/>
      <c r="ADD1350" s="120"/>
      <c r="ADE1350" s="120"/>
      <c r="ADF1350" s="120"/>
      <c r="ADG1350" s="120"/>
      <c r="ADH1350" s="120"/>
      <c r="ADI1350" s="120"/>
      <c r="ADJ1350" s="120"/>
      <c r="ADK1350" s="120"/>
      <c r="ADL1350" s="120"/>
      <c r="ADM1350" s="120"/>
      <c r="ADN1350" s="120"/>
      <c r="ADO1350" s="120"/>
      <c r="ADP1350" s="120"/>
      <c r="ADQ1350" s="120"/>
      <c r="ADR1350" s="120"/>
      <c r="ADS1350" s="120"/>
      <c r="ADT1350" s="120"/>
      <c r="ADU1350" s="120"/>
      <c r="ADV1350" s="120"/>
      <c r="ADW1350" s="120"/>
      <c r="ADX1350" s="120"/>
      <c r="ADY1350" s="120"/>
      <c r="ADZ1350" s="120"/>
      <c r="AEA1350" s="120"/>
      <c r="AEB1350" s="120"/>
      <c r="AEC1350" s="120"/>
      <c r="AED1350" s="120"/>
      <c r="AEE1350" s="120"/>
      <c r="AEF1350" s="120"/>
      <c r="AEG1350" s="120"/>
      <c r="AEH1350" s="120"/>
      <c r="AEI1350" s="120"/>
      <c r="AEJ1350" s="120"/>
      <c r="AEK1350" s="120"/>
      <c r="AEL1350" s="120"/>
      <c r="AEM1350" s="120"/>
      <c r="AEN1350" s="120"/>
      <c r="AEO1350" s="120"/>
      <c r="AEP1350" s="120"/>
      <c r="AEQ1350" s="120"/>
      <c r="AER1350" s="120"/>
      <c r="AES1350" s="120"/>
      <c r="AET1350" s="120"/>
      <c r="AEU1350" s="120"/>
      <c r="AEV1350" s="120"/>
      <c r="AEW1350" s="120"/>
      <c r="AEX1350" s="120"/>
      <c r="AEY1350" s="120"/>
      <c r="AEZ1350" s="120"/>
      <c r="AFA1350" s="120"/>
      <c r="AFB1350" s="120"/>
      <c r="AFC1350" s="120"/>
      <c r="AFD1350" s="120"/>
      <c r="AFE1350" s="120"/>
      <c r="AFF1350" s="120"/>
      <c r="AFG1350" s="120"/>
      <c r="AFH1350" s="120"/>
      <c r="AFI1350" s="120"/>
      <c r="AFJ1350" s="120"/>
      <c r="AFK1350" s="120"/>
      <c r="AFL1350" s="120"/>
      <c r="AFM1350" s="120"/>
      <c r="AFN1350" s="120"/>
      <c r="AFO1350" s="120"/>
      <c r="AFP1350" s="120"/>
      <c r="AFQ1350" s="120"/>
      <c r="AFR1350" s="120"/>
      <c r="AFS1350" s="120"/>
      <c r="AFT1350" s="120"/>
      <c r="AFU1350" s="120"/>
      <c r="AFV1350" s="120"/>
      <c r="AFW1350" s="120"/>
      <c r="AFX1350" s="120"/>
      <c r="AFY1350" s="120"/>
      <c r="AFZ1350" s="120"/>
      <c r="AGA1350" s="120"/>
      <c r="AGB1350" s="120"/>
      <c r="AGC1350" s="120"/>
      <c r="AGD1350" s="120"/>
      <c r="AGE1350" s="120"/>
      <c r="AGF1350" s="120"/>
      <c r="AGG1350" s="120"/>
      <c r="AGH1350" s="120"/>
      <c r="AGI1350" s="120"/>
      <c r="AGJ1350" s="120"/>
      <c r="AGK1350" s="120"/>
      <c r="AGL1350" s="120"/>
      <c r="AGM1350" s="120"/>
      <c r="AGN1350" s="120"/>
      <c r="AGO1350" s="120"/>
      <c r="AGP1350" s="120"/>
      <c r="AGQ1350" s="120"/>
      <c r="AGR1350" s="120"/>
      <c r="AGS1350" s="120"/>
      <c r="AGT1350" s="120"/>
      <c r="AGU1350" s="120"/>
      <c r="AGV1350" s="120"/>
      <c r="AGW1350" s="120"/>
      <c r="AGX1350" s="120"/>
      <c r="AGY1350" s="120"/>
      <c r="AGZ1350" s="120"/>
      <c r="AHA1350" s="120"/>
      <c r="AHB1350" s="120"/>
      <c r="AHC1350" s="120"/>
      <c r="AHD1350" s="120"/>
      <c r="AHE1350" s="120"/>
      <c r="AHF1350" s="120"/>
      <c r="AHG1350" s="120"/>
      <c r="AHH1350" s="120"/>
      <c r="AHI1350" s="120"/>
      <c r="AHJ1350" s="120"/>
      <c r="AHK1350" s="120"/>
      <c r="AHL1350" s="120"/>
      <c r="AHM1350" s="120"/>
      <c r="AHN1350" s="120"/>
      <c r="AHO1350" s="120"/>
      <c r="AHP1350" s="120"/>
      <c r="AHQ1350" s="120"/>
      <c r="AHR1350" s="120"/>
      <c r="AHS1350" s="120"/>
      <c r="AHT1350" s="120"/>
      <c r="AHU1350" s="120"/>
      <c r="AHV1350" s="120"/>
      <c r="AHW1350" s="120"/>
      <c r="AHX1350" s="120"/>
      <c r="AHY1350" s="120"/>
      <c r="AHZ1350" s="120"/>
      <c r="AIA1350" s="120"/>
      <c r="AIB1350" s="120"/>
      <c r="AIC1350" s="120"/>
      <c r="AID1350" s="120"/>
      <c r="AIE1350" s="120"/>
      <c r="AIF1350" s="120"/>
      <c r="AIG1350" s="120"/>
      <c r="AIH1350" s="120"/>
      <c r="AII1350" s="120"/>
      <c r="AIJ1350" s="120"/>
      <c r="AIK1350" s="120"/>
      <c r="AIL1350" s="120"/>
      <c r="AIM1350" s="120"/>
      <c r="AIN1350" s="120"/>
      <c r="AIO1350" s="120"/>
      <c r="AIP1350" s="120"/>
      <c r="AIQ1350" s="120"/>
      <c r="AIR1350" s="120"/>
      <c r="AIS1350" s="120"/>
      <c r="AIT1350" s="120"/>
      <c r="AIU1350" s="120"/>
      <c r="AIV1350" s="120"/>
      <c r="AIW1350" s="120"/>
      <c r="AIX1350" s="120"/>
      <c r="AIY1350" s="120"/>
      <c r="AIZ1350" s="120"/>
      <c r="AJA1350" s="120"/>
      <c r="AJB1350" s="120"/>
      <c r="AJC1350" s="120"/>
      <c r="AJD1350" s="120"/>
      <c r="AJE1350" s="120"/>
      <c r="AJF1350" s="120"/>
      <c r="AJG1350" s="120"/>
      <c r="AJH1350" s="120"/>
      <c r="AJI1350" s="120"/>
      <c r="AJJ1350" s="120"/>
      <c r="AJK1350" s="120"/>
      <c r="AJL1350" s="120"/>
      <c r="AJM1350" s="120"/>
      <c r="AJN1350" s="120"/>
      <c r="AJO1350" s="120"/>
      <c r="AJP1350" s="120"/>
      <c r="AJQ1350" s="120"/>
      <c r="AJR1350" s="120"/>
      <c r="AJS1350" s="120"/>
      <c r="AJT1350" s="120"/>
      <c r="AJU1350" s="120"/>
      <c r="AJV1350" s="120"/>
      <c r="AJW1350" s="120"/>
      <c r="AJX1350" s="120"/>
      <c r="AJY1350" s="120"/>
      <c r="AJZ1350" s="120"/>
      <c r="AKA1350" s="120"/>
      <c r="AKB1350" s="120"/>
      <c r="AKC1350" s="120"/>
      <c r="AKD1350" s="120"/>
      <c r="AKE1350" s="120"/>
      <c r="AKF1350" s="120"/>
      <c r="AKG1350" s="120"/>
      <c r="AKH1350" s="120"/>
      <c r="AKI1350" s="120"/>
      <c r="AKJ1350" s="120"/>
      <c r="AKK1350" s="120"/>
      <c r="AKL1350" s="120"/>
      <c r="AKM1350" s="120"/>
      <c r="AKN1350" s="120"/>
      <c r="AKO1350" s="120"/>
      <c r="AKP1350" s="120"/>
      <c r="AKQ1350" s="120"/>
      <c r="AKR1350" s="120"/>
      <c r="AKS1350" s="120"/>
      <c r="AKT1350" s="120"/>
      <c r="AKU1350" s="120"/>
      <c r="AKV1350" s="120"/>
      <c r="AKW1350" s="120"/>
      <c r="AKX1350" s="120"/>
      <c r="AKY1350" s="120"/>
      <c r="AKZ1350" s="120"/>
      <c r="ALA1350" s="120"/>
      <c r="ALB1350" s="120"/>
      <c r="ALC1350" s="120"/>
      <c r="ALD1350" s="120"/>
      <c r="ALE1350" s="120"/>
      <c r="ALF1350" s="120"/>
      <c r="ALG1350" s="120"/>
      <c r="ALH1350" s="120"/>
      <c r="ALI1350" s="120"/>
      <c r="ALJ1350" s="120"/>
      <c r="ALK1350" s="120"/>
      <c r="ALL1350" s="120"/>
      <c r="ALM1350" s="120"/>
      <c r="ALN1350" s="120"/>
      <c r="ALO1350" s="120"/>
      <c r="ALP1350" s="120"/>
      <c r="ALQ1350" s="120"/>
      <c r="ALR1350" s="120"/>
      <c r="ALS1350" s="120"/>
      <c r="ALT1350" s="120"/>
      <c r="ALU1350" s="120"/>
      <c r="ALV1350" s="120"/>
      <c r="ALW1350" s="120"/>
      <c r="ALX1350" s="120"/>
      <c r="ALY1350" s="120"/>
      <c r="ALZ1350" s="120"/>
      <c r="AMA1350" s="120"/>
      <c r="AMB1350" s="120"/>
      <c r="AMC1350" s="120"/>
      <c r="AMD1350" s="120"/>
      <c r="AME1350" s="120"/>
      <c r="AMF1350" s="120"/>
      <c r="AMG1350" s="120"/>
      <c r="AMH1350" s="120"/>
      <c r="AMI1350" s="120"/>
      <c r="AMJ1350" s="120"/>
      <c r="AMK1350" s="120"/>
      <c r="AML1350" s="120"/>
      <c r="AMM1350" s="120"/>
      <c r="AMN1350" s="120"/>
      <c r="AMO1350" s="120"/>
      <c r="AMP1350" s="120"/>
      <c r="AMQ1350" s="120"/>
      <c r="AMR1350" s="120"/>
      <c r="AMS1350" s="120"/>
      <c r="AMT1350" s="120"/>
      <c r="AMU1350" s="120"/>
      <c r="AMV1350" s="120"/>
      <c r="AMW1350" s="120"/>
      <c r="AMX1350" s="120"/>
      <c r="AMY1350" s="120"/>
      <c r="AMZ1350" s="120"/>
      <c r="ANA1350" s="120"/>
      <c r="ANB1350" s="120"/>
      <c r="ANC1350" s="120"/>
      <c r="AND1350" s="120"/>
      <c r="ANE1350" s="120"/>
      <c r="ANF1350" s="120"/>
      <c r="ANG1350" s="120"/>
      <c r="ANH1350" s="120"/>
      <c r="ANI1350" s="120"/>
      <c r="ANJ1350" s="120"/>
      <c r="ANK1350" s="120"/>
      <c r="ANL1350" s="120"/>
      <c r="ANM1350" s="120"/>
      <c r="ANN1350" s="120"/>
      <c r="ANO1350" s="120"/>
      <c r="ANP1350" s="120"/>
      <c r="ANQ1350" s="120"/>
      <c r="ANR1350" s="120"/>
      <c r="ANS1350" s="120"/>
      <c r="ANT1350" s="120"/>
      <c r="ANU1350" s="120"/>
      <c r="ANV1350" s="120"/>
      <c r="ANW1350" s="120"/>
      <c r="ANX1350" s="120"/>
      <c r="ANY1350" s="120"/>
      <c r="ANZ1350" s="120"/>
      <c r="AOA1350" s="120"/>
      <c r="AOB1350" s="120"/>
      <c r="AOC1350" s="120"/>
      <c r="AOD1350" s="120"/>
      <c r="AOE1350" s="120"/>
      <c r="AOF1350" s="120"/>
      <c r="AOG1350" s="120"/>
      <c r="AOH1350" s="120"/>
      <c r="AOI1350" s="120"/>
      <c r="AOJ1350" s="120"/>
      <c r="AOK1350" s="120"/>
      <c r="AOL1350" s="120"/>
      <c r="AOM1350" s="120"/>
      <c r="AON1350" s="120"/>
      <c r="AOO1350" s="120"/>
      <c r="AOP1350" s="120"/>
      <c r="AOQ1350" s="120"/>
      <c r="AOR1350" s="120"/>
      <c r="AOS1350" s="120"/>
      <c r="AOT1350" s="120"/>
      <c r="AOU1350" s="120"/>
      <c r="AOV1350" s="120"/>
      <c r="AOW1350" s="120"/>
      <c r="AOX1350" s="120"/>
      <c r="AOY1350" s="120"/>
      <c r="AOZ1350" s="120"/>
      <c r="APA1350" s="120"/>
      <c r="APB1350" s="120"/>
      <c r="APC1350" s="120"/>
      <c r="APD1350" s="120"/>
      <c r="APE1350" s="120"/>
      <c r="APF1350" s="120"/>
      <c r="APG1350" s="120"/>
      <c r="APH1350" s="120"/>
      <c r="API1350" s="120"/>
      <c r="APJ1350" s="120"/>
      <c r="APK1350" s="120"/>
      <c r="APL1350" s="120"/>
      <c r="APM1350" s="120"/>
      <c r="APN1350" s="120"/>
      <c r="APO1350" s="120"/>
      <c r="APP1350" s="120"/>
      <c r="APQ1350" s="120"/>
      <c r="APR1350" s="120"/>
      <c r="APS1350" s="120"/>
      <c r="APT1350" s="120"/>
      <c r="APU1350" s="120"/>
      <c r="APV1350" s="120"/>
      <c r="APW1350" s="120"/>
      <c r="APX1350" s="120"/>
      <c r="APY1350" s="120"/>
      <c r="APZ1350" s="120"/>
      <c r="AQA1350" s="120"/>
      <c r="AQB1350" s="120"/>
      <c r="AQC1350" s="120"/>
      <c r="AQD1350" s="120"/>
      <c r="AQE1350" s="120"/>
      <c r="AQF1350" s="120"/>
      <c r="AQG1350" s="120"/>
      <c r="AQH1350" s="120"/>
      <c r="AQI1350" s="120"/>
      <c r="AQJ1350" s="120"/>
      <c r="AQK1350" s="120"/>
      <c r="AQL1350" s="120"/>
      <c r="AQM1350" s="120"/>
      <c r="AQN1350" s="120"/>
      <c r="AQO1350" s="120"/>
      <c r="AQP1350" s="120"/>
      <c r="AQQ1350" s="120"/>
      <c r="AQR1350" s="120"/>
      <c r="AQS1350" s="120"/>
      <c r="AQT1350" s="120"/>
      <c r="AQU1350" s="120"/>
      <c r="AQV1350" s="120"/>
      <c r="AQW1350" s="120"/>
      <c r="AQX1350" s="120"/>
      <c r="AQY1350" s="120"/>
      <c r="AQZ1350" s="120"/>
      <c r="ARA1350" s="120"/>
      <c r="ARB1350" s="120"/>
      <c r="ARC1350" s="120"/>
      <c r="ARD1350" s="120"/>
      <c r="ARE1350" s="120"/>
      <c r="ARF1350" s="120"/>
      <c r="ARG1350" s="120"/>
      <c r="ARH1350" s="120"/>
      <c r="ARI1350" s="120"/>
      <c r="ARJ1350" s="120"/>
      <c r="ARK1350" s="120"/>
      <c r="ARL1350" s="120"/>
      <c r="ARM1350" s="120"/>
      <c r="ARN1350" s="120"/>
      <c r="ARO1350" s="120"/>
      <c r="ARP1350" s="120"/>
      <c r="ARQ1350" s="120"/>
      <c r="ARR1350" s="120"/>
      <c r="ARS1350" s="120"/>
      <c r="ART1350" s="120"/>
      <c r="ARU1350" s="120"/>
      <c r="ARV1350" s="120"/>
      <c r="ARW1350" s="120"/>
      <c r="ARX1350" s="120"/>
      <c r="ARY1350" s="120"/>
      <c r="ARZ1350" s="120"/>
      <c r="ASA1350" s="120"/>
      <c r="ASB1350" s="120"/>
      <c r="ASC1350" s="120"/>
      <c r="ASD1350" s="120"/>
      <c r="ASE1350" s="120"/>
      <c r="ASF1350" s="120"/>
      <c r="ASG1350" s="120"/>
      <c r="ASH1350" s="120"/>
      <c r="ASI1350" s="120"/>
      <c r="ASJ1350" s="120"/>
      <c r="ASK1350" s="120"/>
      <c r="ASL1350" s="120"/>
      <c r="ASM1350" s="120"/>
      <c r="ASN1350" s="120"/>
      <c r="ASO1350" s="120"/>
      <c r="ASP1350" s="120"/>
      <c r="ASQ1350" s="120"/>
      <c r="ASR1350" s="120"/>
      <c r="ASS1350" s="120"/>
      <c r="AST1350" s="120"/>
      <c r="ASU1350" s="120"/>
      <c r="ASV1350" s="120"/>
      <c r="ASW1350" s="120"/>
      <c r="ASX1350" s="120"/>
      <c r="ASY1350" s="120"/>
      <c r="ASZ1350" s="120"/>
      <c r="ATA1350" s="120"/>
      <c r="ATB1350" s="120"/>
      <c r="ATC1350" s="120"/>
      <c r="ATD1350" s="120"/>
      <c r="ATE1350" s="120"/>
      <c r="ATF1350" s="120"/>
      <c r="ATG1350" s="120"/>
      <c r="ATH1350" s="120"/>
      <c r="ATI1350" s="120"/>
      <c r="ATJ1350" s="120"/>
      <c r="ATK1350" s="120"/>
      <c r="ATL1350" s="120"/>
      <c r="ATM1350" s="120"/>
      <c r="ATN1350" s="120"/>
      <c r="ATO1350" s="120"/>
    </row>
    <row r="1351" spans="1:1211" s="20" customFormat="1" ht="14.1" customHeight="1">
      <c r="A1351" s="112"/>
      <c r="B1351" s="945" t="s">
        <v>3154</v>
      </c>
      <c r="C1351" s="184" t="s">
        <v>6123</v>
      </c>
      <c r="D1351" s="120"/>
      <c r="E1351" s="701"/>
      <c r="F1351" s="703"/>
      <c r="G1351" s="702"/>
      <c r="H1351" s="702"/>
      <c r="I1351" s="702"/>
      <c r="J1351" s="700"/>
      <c r="K1351" s="112"/>
      <c r="L1351" s="363"/>
      <c r="M1351" s="112"/>
      <c r="N1351" s="362"/>
      <c r="O1351" s="573"/>
      <c r="P1351" s="120"/>
      <c r="Q1351" s="120"/>
      <c r="R1351" s="120"/>
      <c r="S1351" s="120"/>
      <c r="T1351" s="120"/>
      <c r="U1351" s="120"/>
      <c r="V1351" s="120"/>
      <c r="W1351" s="120"/>
      <c r="X1351" s="120"/>
      <c r="Y1351" s="120"/>
      <c r="Z1351" s="120"/>
      <c r="AA1351" s="120"/>
      <c r="AB1351" s="120"/>
      <c r="AC1351" s="120"/>
      <c r="AD1351" s="120"/>
      <c r="AE1351" s="120"/>
      <c r="AF1351" s="120"/>
      <c r="AG1351" s="120"/>
      <c r="AH1351" s="120"/>
      <c r="AI1351" s="120"/>
      <c r="AJ1351" s="120"/>
      <c r="AK1351" s="120"/>
      <c r="AL1351" s="120"/>
      <c r="AM1351" s="120"/>
      <c r="AN1351" s="120"/>
      <c r="AO1351" s="120"/>
      <c r="AP1351" s="120"/>
      <c r="AQ1351" s="120"/>
      <c r="AR1351" s="120"/>
      <c r="AS1351" s="120"/>
      <c r="AT1351" s="120"/>
      <c r="AU1351" s="120"/>
      <c r="AV1351" s="120"/>
      <c r="AW1351" s="120"/>
      <c r="AX1351" s="120"/>
      <c r="AY1351" s="120"/>
      <c r="AZ1351" s="120"/>
      <c r="BA1351" s="120"/>
      <c r="BB1351" s="120"/>
      <c r="BC1351" s="120"/>
      <c r="BD1351" s="120"/>
      <c r="BE1351" s="120"/>
      <c r="BF1351" s="120"/>
      <c r="BG1351" s="120"/>
      <c r="BH1351" s="120"/>
      <c r="BI1351" s="120"/>
      <c r="BJ1351" s="120"/>
      <c r="BK1351" s="120"/>
      <c r="BL1351" s="120"/>
      <c r="BM1351" s="120"/>
      <c r="BN1351" s="120"/>
      <c r="BO1351" s="120"/>
      <c r="BP1351" s="120"/>
      <c r="BQ1351" s="120"/>
      <c r="BR1351" s="120"/>
      <c r="BS1351" s="120"/>
      <c r="BT1351" s="120"/>
      <c r="BU1351" s="120"/>
      <c r="BV1351" s="120"/>
      <c r="BW1351" s="120"/>
      <c r="BX1351" s="120"/>
      <c r="BY1351" s="120"/>
      <c r="BZ1351" s="120"/>
      <c r="CA1351" s="120"/>
      <c r="CB1351" s="120"/>
      <c r="CC1351" s="120"/>
      <c r="CD1351" s="120"/>
      <c r="CE1351" s="120"/>
      <c r="CF1351" s="120"/>
      <c r="CG1351" s="120"/>
      <c r="CH1351" s="120"/>
      <c r="CI1351" s="120"/>
      <c r="CJ1351" s="120"/>
      <c r="CK1351" s="120"/>
      <c r="CL1351" s="120"/>
      <c r="CM1351" s="120"/>
      <c r="CN1351" s="120"/>
      <c r="CO1351" s="120"/>
      <c r="CP1351" s="120"/>
      <c r="CQ1351" s="120"/>
      <c r="CR1351" s="120"/>
      <c r="CS1351" s="120"/>
      <c r="CT1351" s="120"/>
      <c r="CU1351" s="120"/>
      <c r="CV1351" s="120"/>
      <c r="CW1351" s="120"/>
      <c r="CX1351" s="120"/>
      <c r="CY1351" s="120"/>
      <c r="CZ1351" s="120"/>
      <c r="DA1351" s="120"/>
      <c r="DB1351" s="120"/>
      <c r="DC1351" s="120"/>
      <c r="DD1351" s="120"/>
      <c r="DE1351" s="120"/>
      <c r="DF1351" s="120"/>
      <c r="DG1351" s="120"/>
      <c r="DH1351" s="120"/>
      <c r="DI1351" s="120"/>
      <c r="DJ1351" s="120"/>
      <c r="DK1351" s="120"/>
      <c r="DL1351" s="120"/>
      <c r="DM1351" s="120"/>
      <c r="DN1351" s="120"/>
      <c r="DO1351" s="120"/>
      <c r="DP1351" s="120"/>
      <c r="DQ1351" s="120"/>
      <c r="DR1351" s="120"/>
      <c r="DS1351" s="120"/>
      <c r="DT1351" s="120"/>
      <c r="DU1351" s="120"/>
      <c r="DV1351" s="120"/>
      <c r="DW1351" s="120"/>
      <c r="DX1351" s="120"/>
      <c r="DY1351" s="120"/>
      <c r="DZ1351" s="120"/>
      <c r="EA1351" s="120"/>
      <c r="EB1351" s="120"/>
      <c r="EC1351" s="120"/>
      <c r="ED1351" s="120"/>
      <c r="EE1351" s="120"/>
      <c r="EF1351" s="120"/>
      <c r="EG1351" s="120"/>
      <c r="EH1351" s="120"/>
      <c r="EI1351" s="120"/>
      <c r="EJ1351" s="120"/>
      <c r="EK1351" s="120"/>
      <c r="EL1351" s="120"/>
      <c r="EM1351" s="120"/>
      <c r="EN1351" s="120"/>
      <c r="EO1351" s="120"/>
      <c r="EP1351" s="120"/>
      <c r="EQ1351" s="120"/>
      <c r="ER1351" s="120"/>
      <c r="ES1351" s="120"/>
      <c r="ET1351" s="120"/>
      <c r="EU1351" s="120"/>
      <c r="EV1351" s="120"/>
      <c r="EW1351" s="120"/>
      <c r="EX1351" s="120"/>
      <c r="EY1351" s="120"/>
      <c r="EZ1351" s="120"/>
      <c r="FA1351" s="120"/>
      <c r="FB1351" s="120"/>
      <c r="FC1351" s="120"/>
      <c r="FD1351" s="120"/>
      <c r="FE1351" s="120"/>
      <c r="FF1351" s="120"/>
      <c r="FG1351" s="120"/>
      <c r="FH1351" s="120"/>
      <c r="FI1351" s="120"/>
      <c r="FJ1351" s="120"/>
      <c r="FK1351" s="120"/>
      <c r="FL1351" s="120"/>
      <c r="FM1351" s="120"/>
      <c r="FN1351" s="120"/>
      <c r="FO1351" s="120"/>
      <c r="FP1351" s="120"/>
      <c r="FQ1351" s="120"/>
      <c r="FR1351" s="120"/>
      <c r="FS1351" s="120"/>
      <c r="FT1351" s="120"/>
      <c r="FU1351" s="120"/>
      <c r="FV1351" s="120"/>
      <c r="FW1351" s="120"/>
      <c r="FX1351" s="120"/>
      <c r="FY1351" s="120"/>
      <c r="FZ1351" s="120"/>
      <c r="GA1351" s="120"/>
      <c r="GB1351" s="120"/>
      <c r="GC1351" s="120"/>
      <c r="GD1351" s="120"/>
      <c r="GE1351" s="120"/>
      <c r="GF1351" s="120"/>
      <c r="GG1351" s="120"/>
      <c r="GH1351" s="120"/>
      <c r="GI1351" s="120"/>
      <c r="GJ1351" s="120"/>
      <c r="GK1351" s="120"/>
      <c r="GL1351" s="120"/>
      <c r="GM1351" s="120"/>
      <c r="GN1351" s="120"/>
      <c r="GO1351" s="120"/>
      <c r="GP1351" s="120"/>
      <c r="GQ1351" s="120"/>
      <c r="GR1351" s="120"/>
      <c r="GS1351" s="120"/>
      <c r="GT1351" s="120"/>
      <c r="GU1351" s="120"/>
      <c r="GV1351" s="120"/>
      <c r="GW1351" s="120"/>
      <c r="GX1351" s="120"/>
      <c r="GY1351" s="120"/>
      <c r="GZ1351" s="120"/>
      <c r="HA1351" s="120"/>
      <c r="HB1351" s="120"/>
      <c r="HC1351" s="120"/>
      <c r="HD1351" s="120"/>
      <c r="HE1351" s="120"/>
      <c r="HF1351" s="120"/>
      <c r="HG1351" s="120"/>
      <c r="HH1351" s="120"/>
      <c r="HI1351" s="120"/>
      <c r="HJ1351" s="120"/>
      <c r="HK1351" s="120"/>
      <c r="HL1351" s="120"/>
      <c r="HM1351" s="120"/>
      <c r="HN1351" s="120"/>
      <c r="HO1351" s="120"/>
      <c r="HP1351" s="120"/>
      <c r="HQ1351" s="120"/>
      <c r="HR1351" s="120"/>
      <c r="HS1351" s="120"/>
      <c r="HT1351" s="120"/>
      <c r="HU1351" s="120"/>
      <c r="HV1351" s="120"/>
      <c r="HW1351" s="120"/>
      <c r="HX1351" s="120"/>
      <c r="HY1351" s="120"/>
      <c r="HZ1351" s="120"/>
      <c r="IA1351" s="120"/>
      <c r="IB1351" s="120"/>
      <c r="IC1351" s="120"/>
      <c r="ID1351" s="120"/>
      <c r="IE1351" s="120"/>
      <c r="IF1351" s="120"/>
      <c r="IG1351" s="120"/>
      <c r="IH1351" s="120"/>
      <c r="II1351" s="120"/>
      <c r="IJ1351" s="120"/>
      <c r="IK1351" s="120"/>
      <c r="IL1351" s="120"/>
      <c r="IM1351" s="120"/>
      <c r="IN1351" s="120"/>
      <c r="IO1351" s="120"/>
      <c r="IP1351" s="120"/>
      <c r="IQ1351" s="120"/>
      <c r="IR1351" s="120"/>
      <c r="IS1351" s="120"/>
      <c r="IT1351" s="120"/>
      <c r="IU1351" s="120"/>
      <c r="IV1351" s="120"/>
      <c r="IW1351" s="120"/>
      <c r="IX1351" s="120"/>
      <c r="IY1351" s="120"/>
      <c r="IZ1351" s="120"/>
      <c r="JA1351" s="120"/>
      <c r="JB1351" s="120"/>
      <c r="JC1351" s="120"/>
      <c r="JD1351" s="120"/>
      <c r="JE1351" s="120"/>
      <c r="JF1351" s="120"/>
      <c r="JG1351" s="120"/>
      <c r="JH1351" s="120"/>
      <c r="JI1351" s="120"/>
      <c r="JJ1351" s="120"/>
      <c r="JK1351" s="120"/>
      <c r="JL1351" s="120"/>
      <c r="JM1351" s="120"/>
      <c r="JN1351" s="120"/>
      <c r="JO1351" s="120"/>
      <c r="JP1351" s="120"/>
      <c r="JQ1351" s="120"/>
      <c r="JR1351" s="120"/>
      <c r="JS1351" s="120"/>
      <c r="JT1351" s="120"/>
      <c r="JU1351" s="120"/>
      <c r="JV1351" s="120"/>
      <c r="JW1351" s="120"/>
      <c r="JX1351" s="120"/>
      <c r="JY1351" s="120"/>
      <c r="JZ1351" s="120"/>
      <c r="KA1351" s="120"/>
      <c r="KB1351" s="120"/>
      <c r="KC1351" s="120"/>
      <c r="KD1351" s="120"/>
      <c r="KE1351" s="120"/>
      <c r="KF1351" s="120"/>
      <c r="KG1351" s="120"/>
      <c r="KH1351" s="120"/>
      <c r="KI1351" s="120"/>
      <c r="KJ1351" s="120"/>
      <c r="KK1351" s="120"/>
      <c r="KL1351" s="120"/>
      <c r="KM1351" s="120"/>
      <c r="KN1351" s="120"/>
      <c r="KO1351" s="120"/>
      <c r="KP1351" s="120"/>
      <c r="KQ1351" s="120"/>
      <c r="KR1351" s="120"/>
      <c r="KS1351" s="120"/>
      <c r="KT1351" s="120"/>
      <c r="KU1351" s="120"/>
      <c r="KV1351" s="120"/>
      <c r="KW1351" s="120"/>
      <c r="KX1351" s="120"/>
      <c r="KY1351" s="120"/>
      <c r="KZ1351" s="120"/>
      <c r="LA1351" s="120"/>
      <c r="LB1351" s="120"/>
      <c r="LC1351" s="120"/>
      <c r="LD1351" s="120"/>
      <c r="LE1351" s="120"/>
      <c r="LF1351" s="120"/>
      <c r="LG1351" s="120"/>
      <c r="LH1351" s="120"/>
      <c r="LI1351" s="120"/>
      <c r="LJ1351" s="120"/>
      <c r="LK1351" s="120"/>
      <c r="LL1351" s="120"/>
      <c r="LM1351" s="120"/>
      <c r="LN1351" s="120"/>
      <c r="LO1351" s="120"/>
      <c r="LP1351" s="120"/>
      <c r="LQ1351" s="120"/>
      <c r="LR1351" s="120"/>
      <c r="LS1351" s="120"/>
      <c r="LT1351" s="120"/>
      <c r="LU1351" s="120"/>
      <c r="LV1351" s="120"/>
      <c r="LW1351" s="120"/>
      <c r="LX1351" s="120"/>
      <c r="LY1351" s="120"/>
      <c r="LZ1351" s="120"/>
      <c r="MA1351" s="120"/>
      <c r="MB1351" s="120"/>
      <c r="MC1351" s="120"/>
      <c r="MD1351" s="120"/>
      <c r="ME1351" s="120"/>
      <c r="MF1351" s="120"/>
      <c r="MG1351" s="120"/>
      <c r="MH1351" s="120"/>
      <c r="MI1351" s="120"/>
      <c r="MJ1351" s="120"/>
      <c r="MK1351" s="120"/>
      <c r="ML1351" s="120"/>
      <c r="MM1351" s="120"/>
      <c r="MN1351" s="120"/>
      <c r="MO1351" s="120"/>
      <c r="MP1351" s="120"/>
      <c r="MQ1351" s="120"/>
      <c r="MR1351" s="120"/>
      <c r="MS1351" s="120"/>
      <c r="MT1351" s="120"/>
      <c r="MU1351" s="120"/>
      <c r="MV1351" s="120"/>
      <c r="MW1351" s="120"/>
      <c r="MX1351" s="120"/>
      <c r="MY1351" s="120"/>
      <c r="MZ1351" s="120"/>
      <c r="NA1351" s="120"/>
      <c r="NB1351" s="120"/>
      <c r="NC1351" s="120"/>
      <c r="ND1351" s="120"/>
      <c r="NE1351" s="120"/>
      <c r="NF1351" s="120"/>
      <c r="NG1351" s="120"/>
      <c r="NH1351" s="120"/>
      <c r="NI1351" s="120"/>
      <c r="NJ1351" s="120"/>
      <c r="NK1351" s="120"/>
      <c r="NL1351" s="120"/>
      <c r="NM1351" s="120"/>
      <c r="NN1351" s="120"/>
      <c r="NO1351" s="120"/>
      <c r="NP1351" s="120"/>
      <c r="NQ1351" s="120"/>
      <c r="NR1351" s="120"/>
      <c r="NS1351" s="120"/>
      <c r="NT1351" s="120"/>
      <c r="NU1351" s="120"/>
      <c r="NV1351" s="120"/>
      <c r="NW1351" s="120"/>
      <c r="NX1351" s="120"/>
      <c r="NY1351" s="120"/>
      <c r="NZ1351" s="120"/>
      <c r="OA1351" s="120"/>
      <c r="OB1351" s="120"/>
      <c r="OC1351" s="120"/>
      <c r="OD1351" s="120"/>
      <c r="OE1351" s="120"/>
      <c r="OF1351" s="120"/>
      <c r="OG1351" s="120"/>
      <c r="OH1351" s="120"/>
      <c r="OI1351" s="120"/>
      <c r="OJ1351" s="120"/>
      <c r="OK1351" s="120"/>
      <c r="OL1351" s="120"/>
      <c r="OM1351" s="120"/>
      <c r="ON1351" s="120"/>
      <c r="OO1351" s="120"/>
      <c r="OP1351" s="120"/>
      <c r="OQ1351" s="120"/>
      <c r="OR1351" s="120"/>
      <c r="OS1351" s="120"/>
      <c r="OT1351" s="120"/>
      <c r="OU1351" s="120"/>
      <c r="OV1351" s="120"/>
      <c r="OW1351" s="120"/>
      <c r="OX1351" s="120"/>
      <c r="OY1351" s="120"/>
      <c r="OZ1351" s="120"/>
      <c r="PA1351" s="120"/>
      <c r="PB1351" s="120"/>
      <c r="PC1351" s="120"/>
      <c r="PD1351" s="120"/>
      <c r="PE1351" s="120"/>
      <c r="PF1351" s="120"/>
      <c r="PG1351" s="120"/>
      <c r="PH1351" s="120"/>
      <c r="PI1351" s="120"/>
      <c r="PJ1351" s="120"/>
      <c r="PK1351" s="120"/>
      <c r="PL1351" s="120"/>
      <c r="PM1351" s="120"/>
      <c r="PN1351" s="120"/>
      <c r="PO1351" s="120"/>
      <c r="PP1351" s="120"/>
      <c r="PQ1351" s="120"/>
      <c r="PR1351" s="120"/>
      <c r="PS1351" s="120"/>
      <c r="PT1351" s="120"/>
      <c r="PU1351" s="120"/>
      <c r="PV1351" s="120"/>
      <c r="PW1351" s="120"/>
      <c r="PX1351" s="120"/>
      <c r="PY1351" s="120"/>
      <c r="PZ1351" s="120"/>
      <c r="QA1351" s="120"/>
      <c r="QB1351" s="120"/>
      <c r="QC1351" s="120"/>
      <c r="QD1351" s="120"/>
      <c r="QE1351" s="120"/>
      <c r="QF1351" s="120"/>
      <c r="QG1351" s="120"/>
      <c r="QH1351" s="120"/>
      <c r="QI1351" s="120"/>
      <c r="QJ1351" s="120"/>
      <c r="QK1351" s="120"/>
      <c r="QL1351" s="120"/>
      <c r="QM1351" s="120"/>
      <c r="QN1351" s="120"/>
      <c r="QO1351" s="120"/>
      <c r="QP1351" s="120"/>
      <c r="QQ1351" s="120"/>
      <c r="QR1351" s="120"/>
      <c r="QS1351" s="120"/>
      <c r="QT1351" s="120"/>
      <c r="QU1351" s="120"/>
      <c r="QV1351" s="120"/>
      <c r="QW1351" s="120"/>
      <c r="QX1351" s="120"/>
      <c r="QY1351" s="120"/>
      <c r="QZ1351" s="120"/>
      <c r="RA1351" s="120"/>
      <c r="RB1351" s="120"/>
      <c r="RC1351" s="120"/>
      <c r="RD1351" s="120"/>
      <c r="RE1351" s="120"/>
      <c r="RF1351" s="120"/>
      <c r="RG1351" s="120"/>
      <c r="RH1351" s="120"/>
      <c r="RI1351" s="120"/>
      <c r="RJ1351" s="120"/>
      <c r="RK1351" s="120"/>
      <c r="RL1351" s="120"/>
      <c r="RM1351" s="120"/>
      <c r="RN1351" s="120"/>
      <c r="RO1351" s="120"/>
      <c r="RP1351" s="120"/>
      <c r="RQ1351" s="120"/>
      <c r="RR1351" s="120"/>
      <c r="RS1351" s="120"/>
      <c r="RT1351" s="120"/>
      <c r="RU1351" s="120"/>
      <c r="RV1351" s="120"/>
      <c r="RW1351" s="120"/>
      <c r="RX1351" s="120"/>
      <c r="RY1351" s="120"/>
      <c r="RZ1351" s="120"/>
      <c r="SA1351" s="120"/>
      <c r="SB1351" s="120"/>
      <c r="SC1351" s="120"/>
      <c r="SD1351" s="120"/>
      <c r="SE1351" s="120"/>
      <c r="SF1351" s="120"/>
      <c r="SG1351" s="120"/>
      <c r="SH1351" s="120"/>
      <c r="SI1351" s="120"/>
      <c r="SJ1351" s="120"/>
      <c r="SK1351" s="120"/>
      <c r="SL1351" s="120"/>
      <c r="SM1351" s="120"/>
      <c r="SN1351" s="120"/>
      <c r="SO1351" s="120"/>
      <c r="SP1351" s="120"/>
      <c r="SQ1351" s="120"/>
      <c r="SR1351" s="120"/>
      <c r="SS1351" s="120"/>
      <c r="ST1351" s="120"/>
      <c r="SU1351" s="120"/>
      <c r="SV1351" s="120"/>
      <c r="SW1351" s="120"/>
      <c r="SX1351" s="120"/>
      <c r="SY1351" s="120"/>
      <c r="SZ1351" s="120"/>
      <c r="TA1351" s="120"/>
      <c r="TB1351" s="120"/>
      <c r="TC1351" s="120"/>
      <c r="TD1351" s="120"/>
      <c r="TE1351" s="120"/>
      <c r="TF1351" s="120"/>
      <c r="TG1351" s="120"/>
      <c r="TH1351" s="120"/>
      <c r="TI1351" s="120"/>
      <c r="TJ1351" s="120"/>
      <c r="TK1351" s="120"/>
      <c r="TL1351" s="120"/>
      <c r="TM1351" s="120"/>
      <c r="TN1351" s="120"/>
      <c r="TO1351" s="120"/>
      <c r="TP1351" s="120"/>
      <c r="TQ1351" s="120"/>
      <c r="TR1351" s="120"/>
      <c r="TS1351" s="120"/>
      <c r="TT1351" s="120"/>
      <c r="TU1351" s="120"/>
      <c r="TV1351" s="120"/>
      <c r="TW1351" s="120"/>
      <c r="TX1351" s="120"/>
      <c r="TY1351" s="120"/>
      <c r="TZ1351" s="120"/>
      <c r="UA1351" s="120"/>
      <c r="UB1351" s="120"/>
      <c r="UC1351" s="120"/>
      <c r="UD1351" s="120"/>
      <c r="UE1351" s="120"/>
      <c r="UF1351" s="120"/>
      <c r="UG1351" s="120"/>
      <c r="UH1351" s="120"/>
      <c r="UI1351" s="120"/>
      <c r="UJ1351" s="120"/>
      <c r="UK1351" s="120"/>
      <c r="UL1351" s="120"/>
      <c r="UM1351" s="120"/>
      <c r="UN1351" s="120"/>
      <c r="UO1351" s="120"/>
      <c r="UP1351" s="120"/>
      <c r="UQ1351" s="120"/>
      <c r="UR1351" s="120"/>
      <c r="US1351" s="120"/>
      <c r="UT1351" s="120"/>
      <c r="UU1351" s="120"/>
      <c r="UV1351" s="120"/>
      <c r="UW1351" s="120"/>
      <c r="UX1351" s="120"/>
      <c r="UY1351" s="120"/>
      <c r="UZ1351" s="120"/>
      <c r="VA1351" s="120"/>
      <c r="VB1351" s="120"/>
      <c r="VC1351" s="120"/>
      <c r="VD1351" s="120"/>
      <c r="VE1351" s="120"/>
      <c r="VF1351" s="120"/>
      <c r="VG1351" s="120"/>
      <c r="VH1351" s="120"/>
      <c r="VI1351" s="120"/>
      <c r="VJ1351" s="120"/>
      <c r="VK1351" s="120"/>
      <c r="VL1351" s="120"/>
      <c r="VM1351" s="120"/>
      <c r="VN1351" s="120"/>
      <c r="VO1351" s="120"/>
      <c r="VP1351" s="120"/>
      <c r="VQ1351" s="120"/>
      <c r="VR1351" s="120"/>
      <c r="VS1351" s="120"/>
      <c r="VT1351" s="120"/>
      <c r="VU1351" s="120"/>
      <c r="VV1351" s="120"/>
      <c r="VW1351" s="120"/>
      <c r="VX1351" s="120"/>
      <c r="VY1351" s="120"/>
      <c r="VZ1351" s="120"/>
      <c r="WA1351" s="120"/>
      <c r="WB1351" s="120"/>
      <c r="WC1351" s="120"/>
      <c r="WD1351" s="120"/>
      <c r="WE1351" s="120"/>
      <c r="WF1351" s="120"/>
      <c r="WG1351" s="120"/>
      <c r="WH1351" s="120"/>
      <c r="WI1351" s="120"/>
      <c r="WJ1351" s="120"/>
      <c r="WK1351" s="120"/>
      <c r="WL1351" s="120"/>
      <c r="WM1351" s="120"/>
      <c r="WN1351" s="120"/>
      <c r="WO1351" s="120"/>
      <c r="WP1351" s="120"/>
      <c r="WQ1351" s="120"/>
      <c r="WR1351" s="120"/>
      <c r="WS1351" s="120"/>
      <c r="WT1351" s="120"/>
      <c r="WU1351" s="120"/>
      <c r="WV1351" s="120"/>
      <c r="WW1351" s="120"/>
      <c r="WX1351" s="120"/>
      <c r="WY1351" s="120"/>
      <c r="WZ1351" s="120"/>
      <c r="XA1351" s="120"/>
      <c r="XB1351" s="120"/>
      <c r="XC1351" s="120"/>
      <c r="XD1351" s="120"/>
      <c r="XE1351" s="120"/>
      <c r="XF1351" s="120"/>
      <c r="XG1351" s="120"/>
      <c r="XH1351" s="120"/>
      <c r="XI1351" s="120"/>
      <c r="XJ1351" s="120"/>
      <c r="XK1351" s="120"/>
      <c r="XL1351" s="120"/>
      <c r="XM1351" s="120"/>
      <c r="XN1351" s="120"/>
      <c r="XO1351" s="120"/>
      <c r="XP1351" s="120"/>
      <c r="XQ1351" s="120"/>
      <c r="XR1351" s="120"/>
      <c r="XS1351" s="120"/>
      <c r="XT1351" s="120"/>
      <c r="XU1351" s="120"/>
      <c r="XV1351" s="120"/>
      <c r="XW1351" s="120"/>
      <c r="XX1351" s="120"/>
      <c r="XY1351" s="120"/>
      <c r="XZ1351" s="120"/>
      <c r="YA1351" s="120"/>
      <c r="YB1351" s="120"/>
      <c r="YC1351" s="120"/>
      <c r="YD1351" s="120"/>
      <c r="YE1351" s="120"/>
      <c r="YF1351" s="120"/>
      <c r="YG1351" s="120"/>
      <c r="YH1351" s="120"/>
      <c r="YI1351" s="120"/>
      <c r="YJ1351" s="120"/>
      <c r="YK1351" s="120"/>
      <c r="YL1351" s="120"/>
      <c r="YM1351" s="120"/>
      <c r="YN1351" s="120"/>
      <c r="YO1351" s="120"/>
      <c r="YP1351" s="120"/>
      <c r="YQ1351" s="120"/>
      <c r="YR1351" s="120"/>
      <c r="YS1351" s="120"/>
      <c r="YT1351" s="120"/>
      <c r="YU1351" s="120"/>
      <c r="YV1351" s="120"/>
      <c r="YW1351" s="120"/>
      <c r="YX1351" s="120"/>
      <c r="YY1351" s="120"/>
      <c r="YZ1351" s="120"/>
      <c r="ZA1351" s="120"/>
      <c r="ZB1351" s="120"/>
      <c r="ZC1351" s="120"/>
      <c r="ZD1351" s="120"/>
      <c r="ZE1351" s="120"/>
      <c r="ZF1351" s="120"/>
      <c r="ZG1351" s="120"/>
      <c r="ZH1351" s="120"/>
      <c r="ZI1351" s="120"/>
      <c r="ZJ1351" s="120"/>
      <c r="ZK1351" s="120"/>
      <c r="ZL1351" s="120"/>
      <c r="ZM1351" s="120"/>
      <c r="ZN1351" s="120"/>
      <c r="ZO1351" s="120"/>
      <c r="ZP1351" s="120"/>
      <c r="ZQ1351" s="120"/>
      <c r="ZR1351" s="120"/>
      <c r="ZS1351" s="120"/>
      <c r="ZT1351" s="120"/>
      <c r="ZU1351" s="120"/>
      <c r="ZV1351" s="120"/>
      <c r="ZW1351" s="120"/>
      <c r="ZX1351" s="120"/>
      <c r="ZY1351" s="120"/>
      <c r="ZZ1351" s="120"/>
      <c r="AAA1351" s="120"/>
      <c r="AAB1351" s="120"/>
      <c r="AAC1351" s="120"/>
      <c r="AAD1351" s="120"/>
      <c r="AAE1351" s="120"/>
      <c r="AAF1351" s="120"/>
      <c r="AAG1351" s="120"/>
      <c r="AAH1351" s="120"/>
      <c r="AAI1351" s="120"/>
      <c r="AAJ1351" s="120"/>
      <c r="AAK1351" s="120"/>
      <c r="AAL1351" s="120"/>
      <c r="AAM1351" s="120"/>
      <c r="AAN1351" s="120"/>
      <c r="AAO1351" s="120"/>
      <c r="AAP1351" s="120"/>
      <c r="AAQ1351" s="120"/>
      <c r="AAR1351" s="120"/>
      <c r="AAS1351" s="120"/>
      <c r="AAT1351" s="120"/>
      <c r="AAU1351" s="120"/>
      <c r="AAV1351" s="120"/>
      <c r="AAW1351" s="120"/>
      <c r="AAX1351" s="120"/>
      <c r="AAY1351" s="120"/>
      <c r="AAZ1351" s="120"/>
      <c r="ABA1351" s="120"/>
      <c r="ABB1351" s="120"/>
      <c r="ABC1351" s="120"/>
      <c r="ABD1351" s="120"/>
      <c r="ABE1351" s="120"/>
      <c r="ABF1351" s="120"/>
      <c r="ABG1351" s="120"/>
      <c r="ABH1351" s="120"/>
      <c r="ABI1351" s="120"/>
      <c r="ABJ1351" s="120"/>
      <c r="ABK1351" s="120"/>
      <c r="ABL1351" s="120"/>
      <c r="ABM1351" s="120"/>
      <c r="ABN1351" s="120"/>
      <c r="ABO1351" s="120"/>
      <c r="ABP1351" s="120"/>
      <c r="ABQ1351" s="120"/>
      <c r="ABR1351" s="120"/>
      <c r="ABS1351" s="120"/>
      <c r="ABT1351" s="120"/>
      <c r="ABU1351" s="120"/>
      <c r="ABV1351" s="120"/>
      <c r="ABW1351" s="120"/>
      <c r="ABX1351" s="120"/>
      <c r="ABY1351" s="120"/>
      <c r="ABZ1351" s="120"/>
      <c r="ACA1351" s="120"/>
      <c r="ACB1351" s="120"/>
      <c r="ACC1351" s="120"/>
      <c r="ACD1351" s="120"/>
      <c r="ACE1351" s="120"/>
      <c r="ACF1351" s="120"/>
      <c r="ACG1351" s="120"/>
      <c r="ACH1351" s="120"/>
      <c r="ACI1351" s="120"/>
      <c r="ACJ1351" s="120"/>
      <c r="ACK1351" s="120"/>
      <c r="ACL1351" s="120"/>
      <c r="ACM1351" s="120"/>
      <c r="ACN1351" s="120"/>
      <c r="ACO1351" s="120"/>
      <c r="ACP1351" s="120"/>
      <c r="ACQ1351" s="120"/>
      <c r="ACR1351" s="120"/>
      <c r="ACS1351" s="120"/>
      <c r="ACT1351" s="120"/>
      <c r="ACU1351" s="120"/>
      <c r="ACV1351" s="120"/>
      <c r="ACW1351" s="120"/>
      <c r="ACX1351" s="120"/>
      <c r="ACY1351" s="120"/>
      <c r="ACZ1351" s="120"/>
      <c r="ADA1351" s="120"/>
      <c r="ADB1351" s="120"/>
      <c r="ADC1351" s="120"/>
      <c r="ADD1351" s="120"/>
      <c r="ADE1351" s="120"/>
      <c r="ADF1351" s="120"/>
      <c r="ADG1351" s="120"/>
      <c r="ADH1351" s="120"/>
      <c r="ADI1351" s="120"/>
      <c r="ADJ1351" s="120"/>
      <c r="ADK1351" s="120"/>
      <c r="ADL1351" s="120"/>
      <c r="ADM1351" s="120"/>
      <c r="ADN1351" s="120"/>
      <c r="ADO1351" s="120"/>
      <c r="ADP1351" s="120"/>
      <c r="ADQ1351" s="120"/>
      <c r="ADR1351" s="120"/>
      <c r="ADS1351" s="120"/>
      <c r="ADT1351" s="120"/>
      <c r="ADU1351" s="120"/>
      <c r="ADV1351" s="120"/>
      <c r="ADW1351" s="120"/>
      <c r="ADX1351" s="120"/>
      <c r="ADY1351" s="120"/>
      <c r="ADZ1351" s="120"/>
      <c r="AEA1351" s="120"/>
      <c r="AEB1351" s="120"/>
      <c r="AEC1351" s="120"/>
      <c r="AED1351" s="120"/>
      <c r="AEE1351" s="120"/>
      <c r="AEF1351" s="120"/>
      <c r="AEG1351" s="120"/>
      <c r="AEH1351" s="120"/>
      <c r="AEI1351" s="120"/>
      <c r="AEJ1351" s="120"/>
      <c r="AEK1351" s="120"/>
      <c r="AEL1351" s="120"/>
      <c r="AEM1351" s="120"/>
      <c r="AEN1351" s="120"/>
      <c r="AEO1351" s="120"/>
      <c r="AEP1351" s="120"/>
      <c r="AEQ1351" s="120"/>
      <c r="AER1351" s="120"/>
      <c r="AES1351" s="120"/>
      <c r="AET1351" s="120"/>
      <c r="AEU1351" s="120"/>
      <c r="AEV1351" s="120"/>
      <c r="AEW1351" s="120"/>
      <c r="AEX1351" s="120"/>
      <c r="AEY1351" s="120"/>
      <c r="AEZ1351" s="120"/>
      <c r="AFA1351" s="120"/>
      <c r="AFB1351" s="120"/>
      <c r="AFC1351" s="120"/>
      <c r="AFD1351" s="120"/>
      <c r="AFE1351" s="120"/>
      <c r="AFF1351" s="120"/>
      <c r="AFG1351" s="120"/>
      <c r="AFH1351" s="120"/>
      <c r="AFI1351" s="120"/>
      <c r="AFJ1351" s="120"/>
      <c r="AFK1351" s="120"/>
      <c r="AFL1351" s="120"/>
      <c r="AFM1351" s="120"/>
      <c r="AFN1351" s="120"/>
      <c r="AFO1351" s="120"/>
      <c r="AFP1351" s="120"/>
      <c r="AFQ1351" s="120"/>
      <c r="AFR1351" s="120"/>
      <c r="AFS1351" s="120"/>
      <c r="AFT1351" s="120"/>
      <c r="AFU1351" s="120"/>
      <c r="AFV1351" s="120"/>
      <c r="AFW1351" s="120"/>
      <c r="AFX1351" s="120"/>
      <c r="AFY1351" s="120"/>
      <c r="AFZ1351" s="120"/>
      <c r="AGA1351" s="120"/>
      <c r="AGB1351" s="120"/>
      <c r="AGC1351" s="120"/>
      <c r="AGD1351" s="120"/>
      <c r="AGE1351" s="120"/>
      <c r="AGF1351" s="120"/>
      <c r="AGG1351" s="120"/>
      <c r="AGH1351" s="120"/>
      <c r="AGI1351" s="120"/>
      <c r="AGJ1351" s="120"/>
      <c r="AGK1351" s="120"/>
      <c r="AGL1351" s="120"/>
      <c r="AGM1351" s="120"/>
      <c r="AGN1351" s="120"/>
      <c r="AGO1351" s="120"/>
      <c r="AGP1351" s="120"/>
      <c r="AGQ1351" s="120"/>
      <c r="AGR1351" s="120"/>
      <c r="AGS1351" s="120"/>
      <c r="AGT1351" s="120"/>
      <c r="AGU1351" s="120"/>
      <c r="AGV1351" s="120"/>
      <c r="AGW1351" s="120"/>
      <c r="AGX1351" s="120"/>
      <c r="AGY1351" s="120"/>
      <c r="AGZ1351" s="120"/>
      <c r="AHA1351" s="120"/>
      <c r="AHB1351" s="120"/>
      <c r="AHC1351" s="120"/>
      <c r="AHD1351" s="120"/>
      <c r="AHE1351" s="120"/>
      <c r="AHF1351" s="120"/>
      <c r="AHG1351" s="120"/>
      <c r="AHH1351" s="120"/>
      <c r="AHI1351" s="120"/>
      <c r="AHJ1351" s="120"/>
      <c r="AHK1351" s="120"/>
      <c r="AHL1351" s="120"/>
      <c r="AHM1351" s="120"/>
      <c r="AHN1351" s="120"/>
      <c r="AHO1351" s="120"/>
      <c r="AHP1351" s="120"/>
      <c r="AHQ1351" s="120"/>
      <c r="AHR1351" s="120"/>
      <c r="AHS1351" s="120"/>
      <c r="AHT1351" s="120"/>
      <c r="AHU1351" s="120"/>
      <c r="AHV1351" s="120"/>
      <c r="AHW1351" s="120"/>
      <c r="AHX1351" s="120"/>
      <c r="AHY1351" s="120"/>
      <c r="AHZ1351" s="120"/>
      <c r="AIA1351" s="120"/>
      <c r="AIB1351" s="120"/>
      <c r="AIC1351" s="120"/>
      <c r="AID1351" s="120"/>
      <c r="AIE1351" s="120"/>
      <c r="AIF1351" s="120"/>
      <c r="AIG1351" s="120"/>
      <c r="AIH1351" s="120"/>
      <c r="AII1351" s="120"/>
      <c r="AIJ1351" s="120"/>
      <c r="AIK1351" s="120"/>
      <c r="AIL1351" s="120"/>
      <c r="AIM1351" s="120"/>
      <c r="AIN1351" s="120"/>
      <c r="AIO1351" s="120"/>
      <c r="AIP1351" s="120"/>
      <c r="AIQ1351" s="120"/>
      <c r="AIR1351" s="120"/>
      <c r="AIS1351" s="120"/>
      <c r="AIT1351" s="120"/>
      <c r="AIU1351" s="120"/>
      <c r="AIV1351" s="120"/>
      <c r="AIW1351" s="120"/>
      <c r="AIX1351" s="120"/>
      <c r="AIY1351" s="120"/>
      <c r="AIZ1351" s="120"/>
      <c r="AJA1351" s="120"/>
      <c r="AJB1351" s="120"/>
      <c r="AJC1351" s="120"/>
      <c r="AJD1351" s="120"/>
      <c r="AJE1351" s="120"/>
      <c r="AJF1351" s="120"/>
      <c r="AJG1351" s="120"/>
      <c r="AJH1351" s="120"/>
      <c r="AJI1351" s="120"/>
      <c r="AJJ1351" s="120"/>
      <c r="AJK1351" s="120"/>
      <c r="AJL1351" s="120"/>
      <c r="AJM1351" s="120"/>
      <c r="AJN1351" s="120"/>
      <c r="AJO1351" s="120"/>
      <c r="AJP1351" s="120"/>
      <c r="AJQ1351" s="120"/>
      <c r="AJR1351" s="120"/>
      <c r="AJS1351" s="120"/>
      <c r="AJT1351" s="120"/>
      <c r="AJU1351" s="120"/>
      <c r="AJV1351" s="120"/>
      <c r="AJW1351" s="120"/>
      <c r="AJX1351" s="120"/>
      <c r="AJY1351" s="120"/>
      <c r="AJZ1351" s="120"/>
      <c r="AKA1351" s="120"/>
      <c r="AKB1351" s="120"/>
      <c r="AKC1351" s="120"/>
      <c r="AKD1351" s="120"/>
      <c r="AKE1351" s="120"/>
      <c r="AKF1351" s="120"/>
      <c r="AKG1351" s="120"/>
      <c r="AKH1351" s="120"/>
      <c r="AKI1351" s="120"/>
      <c r="AKJ1351" s="120"/>
      <c r="AKK1351" s="120"/>
      <c r="AKL1351" s="120"/>
      <c r="AKM1351" s="120"/>
      <c r="AKN1351" s="120"/>
      <c r="AKO1351" s="120"/>
      <c r="AKP1351" s="120"/>
      <c r="AKQ1351" s="120"/>
      <c r="AKR1351" s="120"/>
      <c r="AKS1351" s="120"/>
      <c r="AKT1351" s="120"/>
      <c r="AKU1351" s="120"/>
      <c r="AKV1351" s="120"/>
      <c r="AKW1351" s="120"/>
      <c r="AKX1351" s="120"/>
      <c r="AKY1351" s="120"/>
      <c r="AKZ1351" s="120"/>
      <c r="ALA1351" s="120"/>
      <c r="ALB1351" s="120"/>
      <c r="ALC1351" s="120"/>
      <c r="ALD1351" s="120"/>
      <c r="ALE1351" s="120"/>
      <c r="ALF1351" s="120"/>
      <c r="ALG1351" s="120"/>
      <c r="ALH1351" s="120"/>
      <c r="ALI1351" s="120"/>
      <c r="ALJ1351" s="120"/>
      <c r="ALK1351" s="120"/>
      <c r="ALL1351" s="120"/>
      <c r="ALM1351" s="120"/>
      <c r="ALN1351" s="120"/>
      <c r="ALO1351" s="120"/>
      <c r="ALP1351" s="120"/>
      <c r="ALQ1351" s="120"/>
      <c r="ALR1351" s="120"/>
      <c r="ALS1351" s="120"/>
      <c r="ALT1351" s="120"/>
      <c r="ALU1351" s="120"/>
      <c r="ALV1351" s="120"/>
      <c r="ALW1351" s="120"/>
      <c r="ALX1351" s="120"/>
      <c r="ALY1351" s="120"/>
      <c r="ALZ1351" s="120"/>
      <c r="AMA1351" s="120"/>
      <c r="AMB1351" s="120"/>
      <c r="AMC1351" s="120"/>
      <c r="AMD1351" s="120"/>
      <c r="AME1351" s="120"/>
      <c r="AMF1351" s="120"/>
      <c r="AMG1351" s="120"/>
      <c r="AMH1351" s="120"/>
      <c r="AMI1351" s="120"/>
      <c r="AMJ1351" s="120"/>
      <c r="AMK1351" s="120"/>
      <c r="AML1351" s="120"/>
      <c r="AMM1351" s="120"/>
      <c r="AMN1351" s="120"/>
      <c r="AMO1351" s="120"/>
      <c r="AMP1351" s="120"/>
      <c r="AMQ1351" s="120"/>
      <c r="AMR1351" s="120"/>
      <c r="AMS1351" s="120"/>
      <c r="AMT1351" s="120"/>
      <c r="AMU1351" s="120"/>
      <c r="AMV1351" s="120"/>
      <c r="AMW1351" s="120"/>
      <c r="AMX1351" s="120"/>
      <c r="AMY1351" s="120"/>
      <c r="AMZ1351" s="120"/>
      <c r="ANA1351" s="120"/>
      <c r="ANB1351" s="120"/>
      <c r="ANC1351" s="120"/>
      <c r="AND1351" s="120"/>
      <c r="ANE1351" s="120"/>
      <c r="ANF1351" s="120"/>
      <c r="ANG1351" s="120"/>
      <c r="ANH1351" s="120"/>
      <c r="ANI1351" s="120"/>
      <c r="ANJ1351" s="120"/>
      <c r="ANK1351" s="120"/>
      <c r="ANL1351" s="120"/>
      <c r="ANM1351" s="120"/>
      <c r="ANN1351" s="120"/>
      <c r="ANO1351" s="120"/>
      <c r="ANP1351" s="120"/>
      <c r="ANQ1351" s="120"/>
      <c r="ANR1351" s="120"/>
      <c r="ANS1351" s="120"/>
      <c r="ANT1351" s="120"/>
      <c r="ANU1351" s="120"/>
      <c r="ANV1351" s="120"/>
      <c r="ANW1351" s="120"/>
      <c r="ANX1351" s="120"/>
      <c r="ANY1351" s="120"/>
      <c r="ANZ1351" s="120"/>
      <c r="AOA1351" s="120"/>
      <c r="AOB1351" s="120"/>
      <c r="AOC1351" s="120"/>
      <c r="AOD1351" s="120"/>
      <c r="AOE1351" s="120"/>
      <c r="AOF1351" s="120"/>
      <c r="AOG1351" s="120"/>
      <c r="AOH1351" s="120"/>
      <c r="AOI1351" s="120"/>
      <c r="AOJ1351" s="120"/>
      <c r="AOK1351" s="120"/>
      <c r="AOL1351" s="120"/>
      <c r="AOM1351" s="120"/>
      <c r="AON1351" s="120"/>
      <c r="AOO1351" s="120"/>
      <c r="AOP1351" s="120"/>
      <c r="AOQ1351" s="120"/>
      <c r="AOR1351" s="120"/>
      <c r="AOS1351" s="120"/>
      <c r="AOT1351" s="120"/>
      <c r="AOU1351" s="120"/>
      <c r="AOV1351" s="120"/>
      <c r="AOW1351" s="120"/>
      <c r="AOX1351" s="120"/>
      <c r="AOY1351" s="120"/>
      <c r="AOZ1351" s="120"/>
      <c r="APA1351" s="120"/>
      <c r="APB1351" s="120"/>
      <c r="APC1351" s="120"/>
      <c r="APD1351" s="120"/>
      <c r="APE1351" s="120"/>
      <c r="APF1351" s="120"/>
      <c r="APG1351" s="120"/>
      <c r="APH1351" s="120"/>
      <c r="API1351" s="120"/>
      <c r="APJ1351" s="120"/>
      <c r="APK1351" s="120"/>
      <c r="APL1351" s="120"/>
      <c r="APM1351" s="120"/>
      <c r="APN1351" s="120"/>
      <c r="APO1351" s="120"/>
      <c r="APP1351" s="120"/>
      <c r="APQ1351" s="120"/>
      <c r="APR1351" s="120"/>
      <c r="APS1351" s="120"/>
      <c r="APT1351" s="120"/>
      <c r="APU1351" s="120"/>
      <c r="APV1351" s="120"/>
      <c r="APW1351" s="120"/>
      <c r="APX1351" s="120"/>
      <c r="APY1351" s="120"/>
      <c r="APZ1351" s="120"/>
      <c r="AQA1351" s="120"/>
      <c r="AQB1351" s="120"/>
      <c r="AQC1351" s="120"/>
      <c r="AQD1351" s="120"/>
      <c r="AQE1351" s="120"/>
      <c r="AQF1351" s="120"/>
      <c r="AQG1351" s="120"/>
      <c r="AQH1351" s="120"/>
      <c r="AQI1351" s="120"/>
      <c r="AQJ1351" s="120"/>
      <c r="AQK1351" s="120"/>
      <c r="AQL1351" s="120"/>
      <c r="AQM1351" s="120"/>
      <c r="AQN1351" s="120"/>
      <c r="AQO1351" s="120"/>
      <c r="AQP1351" s="120"/>
      <c r="AQQ1351" s="120"/>
      <c r="AQR1351" s="120"/>
      <c r="AQS1351" s="120"/>
      <c r="AQT1351" s="120"/>
      <c r="AQU1351" s="120"/>
      <c r="AQV1351" s="120"/>
      <c r="AQW1351" s="120"/>
      <c r="AQX1351" s="120"/>
      <c r="AQY1351" s="120"/>
      <c r="AQZ1351" s="120"/>
      <c r="ARA1351" s="120"/>
      <c r="ARB1351" s="120"/>
      <c r="ARC1351" s="120"/>
      <c r="ARD1351" s="120"/>
      <c r="ARE1351" s="120"/>
      <c r="ARF1351" s="120"/>
      <c r="ARG1351" s="120"/>
      <c r="ARH1351" s="120"/>
      <c r="ARI1351" s="120"/>
      <c r="ARJ1351" s="120"/>
      <c r="ARK1351" s="120"/>
      <c r="ARL1351" s="120"/>
      <c r="ARM1351" s="120"/>
      <c r="ARN1351" s="120"/>
      <c r="ARO1351" s="120"/>
      <c r="ARP1351" s="120"/>
      <c r="ARQ1351" s="120"/>
      <c r="ARR1351" s="120"/>
      <c r="ARS1351" s="120"/>
      <c r="ART1351" s="120"/>
      <c r="ARU1351" s="120"/>
      <c r="ARV1351" s="120"/>
      <c r="ARW1351" s="120"/>
      <c r="ARX1351" s="120"/>
      <c r="ARY1351" s="120"/>
      <c r="ARZ1351" s="120"/>
      <c r="ASA1351" s="120"/>
      <c r="ASB1351" s="120"/>
      <c r="ASC1351" s="120"/>
      <c r="ASD1351" s="120"/>
      <c r="ASE1351" s="120"/>
      <c r="ASF1351" s="120"/>
      <c r="ASG1351" s="120"/>
      <c r="ASH1351" s="120"/>
      <c r="ASI1351" s="120"/>
      <c r="ASJ1351" s="120"/>
      <c r="ASK1351" s="120"/>
      <c r="ASL1351" s="120"/>
      <c r="ASM1351" s="120"/>
      <c r="ASN1351" s="120"/>
      <c r="ASO1351" s="120"/>
      <c r="ASP1351" s="120"/>
      <c r="ASQ1351" s="120"/>
      <c r="ASR1351" s="120"/>
      <c r="ASS1351" s="120"/>
      <c r="AST1351" s="120"/>
      <c r="ASU1351" s="120"/>
      <c r="ASV1351" s="120"/>
      <c r="ASW1351" s="120"/>
      <c r="ASX1351" s="120"/>
      <c r="ASY1351" s="120"/>
      <c r="ASZ1351" s="120"/>
      <c r="ATA1351" s="120"/>
      <c r="ATB1351" s="120"/>
      <c r="ATC1351" s="120"/>
      <c r="ATD1351" s="120"/>
      <c r="ATE1351" s="120"/>
      <c r="ATF1351" s="120"/>
      <c r="ATG1351" s="120"/>
      <c r="ATH1351" s="120"/>
      <c r="ATI1351" s="120"/>
      <c r="ATJ1351" s="120"/>
      <c r="ATK1351" s="120"/>
      <c r="ATL1351" s="120"/>
      <c r="ATM1351" s="120"/>
      <c r="ATN1351" s="120"/>
      <c r="ATO1351" s="120"/>
    </row>
    <row r="1352" spans="1:1211" s="20" customFormat="1" ht="14.1" customHeight="1">
      <c r="A1352" s="112"/>
      <c r="B1352" s="723"/>
      <c r="C1352" s="184" t="s">
        <v>6124</v>
      </c>
      <c r="D1352" s="120"/>
      <c r="E1352" s="701"/>
      <c r="F1352" s="703"/>
      <c r="G1352" s="702"/>
      <c r="H1352" s="702"/>
      <c r="I1352" s="702"/>
      <c r="J1352" s="700"/>
      <c r="K1352" s="112"/>
      <c r="L1352" s="363"/>
      <c r="M1352" s="112"/>
      <c r="N1352" s="362"/>
      <c r="O1352" s="573"/>
      <c r="P1352" s="120"/>
      <c r="Q1352" s="120"/>
      <c r="R1352" s="120"/>
      <c r="S1352" s="120"/>
      <c r="T1352" s="120"/>
      <c r="U1352" s="120"/>
      <c r="V1352" s="120"/>
      <c r="W1352" s="120"/>
      <c r="X1352" s="120"/>
      <c r="Y1352" s="120"/>
      <c r="Z1352" s="120"/>
      <c r="AA1352" s="120"/>
      <c r="AB1352" s="120"/>
      <c r="AC1352" s="120"/>
      <c r="AD1352" s="120"/>
      <c r="AE1352" s="120"/>
      <c r="AF1352" s="120"/>
      <c r="AG1352" s="120"/>
      <c r="AH1352" s="120"/>
      <c r="AI1352" s="120"/>
      <c r="AJ1352" s="120"/>
      <c r="AK1352" s="120"/>
      <c r="AL1352" s="120"/>
      <c r="AM1352" s="120"/>
      <c r="AN1352" s="120"/>
      <c r="AO1352" s="120"/>
      <c r="AP1352" s="120"/>
      <c r="AQ1352" s="120"/>
      <c r="AR1352" s="120"/>
      <c r="AS1352" s="120"/>
      <c r="AT1352" s="120"/>
      <c r="AU1352" s="120"/>
      <c r="AV1352" s="120"/>
      <c r="AW1352" s="120"/>
      <c r="AX1352" s="120"/>
      <c r="AY1352" s="120"/>
      <c r="AZ1352" s="120"/>
      <c r="BA1352" s="120"/>
      <c r="BB1352" s="120"/>
      <c r="BC1352" s="120"/>
      <c r="BD1352" s="120"/>
      <c r="BE1352" s="120"/>
      <c r="BF1352" s="120"/>
      <c r="BG1352" s="120"/>
      <c r="BH1352" s="120"/>
      <c r="BI1352" s="120"/>
      <c r="BJ1352" s="120"/>
      <c r="BK1352" s="120"/>
      <c r="BL1352" s="120"/>
      <c r="BM1352" s="120"/>
      <c r="BN1352" s="120"/>
      <c r="BO1352" s="120"/>
      <c r="BP1352" s="120"/>
      <c r="BQ1352" s="120"/>
      <c r="BR1352" s="120"/>
      <c r="BS1352" s="120"/>
      <c r="BT1352" s="120"/>
      <c r="BU1352" s="120"/>
      <c r="BV1352" s="120"/>
      <c r="BW1352" s="120"/>
      <c r="BX1352" s="120"/>
      <c r="BY1352" s="120"/>
      <c r="BZ1352" s="120"/>
      <c r="CA1352" s="120"/>
      <c r="CB1352" s="120"/>
      <c r="CC1352" s="120"/>
      <c r="CD1352" s="120"/>
      <c r="CE1352" s="120"/>
      <c r="CF1352" s="120"/>
      <c r="CG1352" s="120"/>
      <c r="CH1352" s="120"/>
      <c r="CI1352" s="120"/>
      <c r="CJ1352" s="120"/>
      <c r="CK1352" s="120"/>
      <c r="CL1352" s="120"/>
      <c r="CM1352" s="120"/>
      <c r="CN1352" s="120"/>
      <c r="CO1352" s="120"/>
      <c r="CP1352" s="120"/>
      <c r="CQ1352" s="120"/>
      <c r="CR1352" s="120"/>
      <c r="CS1352" s="120"/>
      <c r="CT1352" s="120"/>
      <c r="CU1352" s="120"/>
      <c r="CV1352" s="120"/>
      <c r="CW1352" s="120"/>
      <c r="CX1352" s="120"/>
      <c r="CY1352" s="120"/>
      <c r="CZ1352" s="120"/>
      <c r="DA1352" s="120"/>
      <c r="DB1352" s="120"/>
      <c r="DC1352" s="120"/>
      <c r="DD1352" s="120"/>
      <c r="DE1352" s="120"/>
      <c r="DF1352" s="120"/>
      <c r="DG1352" s="120"/>
      <c r="DH1352" s="120"/>
      <c r="DI1352" s="120"/>
      <c r="DJ1352" s="120"/>
      <c r="DK1352" s="120"/>
      <c r="DL1352" s="120"/>
      <c r="DM1352" s="120"/>
      <c r="DN1352" s="120"/>
      <c r="DO1352" s="120"/>
      <c r="DP1352" s="120"/>
      <c r="DQ1352" s="120"/>
      <c r="DR1352" s="120"/>
      <c r="DS1352" s="120"/>
      <c r="DT1352" s="120"/>
      <c r="DU1352" s="120"/>
      <c r="DV1352" s="120"/>
      <c r="DW1352" s="120"/>
      <c r="DX1352" s="120"/>
      <c r="DY1352" s="120"/>
      <c r="DZ1352" s="120"/>
      <c r="EA1352" s="120"/>
      <c r="EB1352" s="120"/>
      <c r="EC1352" s="120"/>
      <c r="ED1352" s="120"/>
      <c r="EE1352" s="120"/>
      <c r="EF1352" s="120"/>
      <c r="EG1352" s="120"/>
      <c r="EH1352" s="120"/>
      <c r="EI1352" s="120"/>
      <c r="EJ1352" s="120"/>
      <c r="EK1352" s="120"/>
      <c r="EL1352" s="120"/>
      <c r="EM1352" s="120"/>
      <c r="EN1352" s="120"/>
      <c r="EO1352" s="120"/>
      <c r="EP1352" s="120"/>
      <c r="EQ1352" s="120"/>
      <c r="ER1352" s="120"/>
      <c r="ES1352" s="120"/>
      <c r="ET1352" s="120"/>
      <c r="EU1352" s="120"/>
      <c r="EV1352" s="120"/>
      <c r="EW1352" s="120"/>
      <c r="EX1352" s="120"/>
      <c r="EY1352" s="120"/>
      <c r="EZ1352" s="120"/>
      <c r="FA1352" s="120"/>
      <c r="FB1352" s="120"/>
      <c r="FC1352" s="120"/>
      <c r="FD1352" s="120"/>
      <c r="FE1352" s="120"/>
      <c r="FF1352" s="120"/>
      <c r="FG1352" s="120"/>
      <c r="FH1352" s="120"/>
      <c r="FI1352" s="120"/>
      <c r="FJ1352" s="120"/>
      <c r="FK1352" s="120"/>
      <c r="FL1352" s="120"/>
      <c r="FM1352" s="120"/>
      <c r="FN1352" s="120"/>
      <c r="FO1352" s="120"/>
      <c r="FP1352" s="120"/>
      <c r="FQ1352" s="120"/>
      <c r="FR1352" s="120"/>
      <c r="FS1352" s="120"/>
      <c r="FT1352" s="120"/>
      <c r="FU1352" s="120"/>
      <c r="FV1352" s="120"/>
      <c r="FW1352" s="120"/>
      <c r="FX1352" s="120"/>
      <c r="FY1352" s="120"/>
      <c r="FZ1352" s="120"/>
      <c r="GA1352" s="120"/>
      <c r="GB1352" s="120"/>
      <c r="GC1352" s="120"/>
      <c r="GD1352" s="120"/>
      <c r="GE1352" s="120"/>
      <c r="GF1352" s="120"/>
      <c r="GG1352" s="120"/>
      <c r="GH1352" s="120"/>
      <c r="GI1352" s="120"/>
      <c r="GJ1352" s="120"/>
      <c r="GK1352" s="120"/>
      <c r="GL1352" s="120"/>
      <c r="GM1352" s="120"/>
      <c r="GN1352" s="120"/>
      <c r="GO1352" s="120"/>
      <c r="GP1352" s="120"/>
      <c r="GQ1352" s="120"/>
      <c r="GR1352" s="120"/>
      <c r="GS1352" s="120"/>
      <c r="GT1352" s="120"/>
      <c r="GU1352" s="120"/>
      <c r="GV1352" s="120"/>
      <c r="GW1352" s="120"/>
      <c r="GX1352" s="120"/>
      <c r="GY1352" s="120"/>
      <c r="GZ1352" s="120"/>
      <c r="HA1352" s="120"/>
      <c r="HB1352" s="120"/>
      <c r="HC1352" s="120"/>
      <c r="HD1352" s="120"/>
      <c r="HE1352" s="120"/>
      <c r="HF1352" s="120"/>
      <c r="HG1352" s="120"/>
      <c r="HH1352" s="120"/>
      <c r="HI1352" s="120"/>
      <c r="HJ1352" s="120"/>
      <c r="HK1352" s="120"/>
      <c r="HL1352" s="120"/>
      <c r="HM1352" s="120"/>
      <c r="HN1352" s="120"/>
      <c r="HO1352" s="120"/>
      <c r="HP1352" s="120"/>
      <c r="HQ1352" s="120"/>
      <c r="HR1352" s="120"/>
      <c r="HS1352" s="120"/>
      <c r="HT1352" s="120"/>
      <c r="HU1352" s="120"/>
      <c r="HV1352" s="120"/>
      <c r="HW1352" s="120"/>
      <c r="HX1352" s="120"/>
      <c r="HY1352" s="120"/>
      <c r="HZ1352" s="120"/>
      <c r="IA1352" s="120"/>
      <c r="IB1352" s="120"/>
      <c r="IC1352" s="120"/>
      <c r="ID1352" s="120"/>
      <c r="IE1352" s="120"/>
      <c r="IF1352" s="120"/>
      <c r="IG1352" s="120"/>
      <c r="IH1352" s="120"/>
      <c r="II1352" s="120"/>
      <c r="IJ1352" s="120"/>
      <c r="IK1352" s="120"/>
      <c r="IL1352" s="120"/>
      <c r="IM1352" s="120"/>
      <c r="IN1352" s="120"/>
      <c r="IO1352" s="120"/>
      <c r="IP1352" s="120"/>
      <c r="IQ1352" s="120"/>
      <c r="IR1352" s="120"/>
      <c r="IS1352" s="120"/>
      <c r="IT1352" s="120"/>
      <c r="IU1352" s="120"/>
      <c r="IV1352" s="120"/>
      <c r="IW1352" s="120"/>
      <c r="IX1352" s="120"/>
      <c r="IY1352" s="120"/>
      <c r="IZ1352" s="120"/>
      <c r="JA1352" s="120"/>
      <c r="JB1352" s="120"/>
      <c r="JC1352" s="120"/>
      <c r="JD1352" s="120"/>
      <c r="JE1352" s="120"/>
      <c r="JF1352" s="120"/>
      <c r="JG1352" s="120"/>
      <c r="JH1352" s="120"/>
      <c r="JI1352" s="120"/>
      <c r="JJ1352" s="120"/>
      <c r="JK1352" s="120"/>
      <c r="JL1352" s="120"/>
      <c r="JM1352" s="120"/>
      <c r="JN1352" s="120"/>
      <c r="JO1352" s="120"/>
      <c r="JP1352" s="120"/>
      <c r="JQ1352" s="120"/>
      <c r="JR1352" s="120"/>
      <c r="JS1352" s="120"/>
      <c r="JT1352" s="120"/>
      <c r="JU1352" s="120"/>
      <c r="JV1352" s="120"/>
      <c r="JW1352" s="120"/>
      <c r="JX1352" s="120"/>
      <c r="JY1352" s="120"/>
      <c r="JZ1352" s="120"/>
      <c r="KA1352" s="120"/>
      <c r="KB1352" s="120"/>
      <c r="KC1352" s="120"/>
      <c r="KD1352" s="120"/>
      <c r="KE1352" s="120"/>
      <c r="KF1352" s="120"/>
      <c r="KG1352" s="120"/>
      <c r="KH1352" s="120"/>
      <c r="KI1352" s="120"/>
      <c r="KJ1352" s="120"/>
      <c r="KK1352" s="120"/>
      <c r="KL1352" s="120"/>
      <c r="KM1352" s="120"/>
      <c r="KN1352" s="120"/>
      <c r="KO1352" s="120"/>
      <c r="KP1352" s="120"/>
      <c r="KQ1352" s="120"/>
      <c r="KR1352" s="120"/>
      <c r="KS1352" s="120"/>
      <c r="KT1352" s="120"/>
      <c r="KU1352" s="120"/>
      <c r="KV1352" s="120"/>
      <c r="KW1352" s="120"/>
      <c r="KX1352" s="120"/>
      <c r="KY1352" s="120"/>
      <c r="KZ1352" s="120"/>
      <c r="LA1352" s="120"/>
      <c r="LB1352" s="120"/>
      <c r="LC1352" s="120"/>
      <c r="LD1352" s="120"/>
      <c r="LE1352" s="120"/>
      <c r="LF1352" s="120"/>
      <c r="LG1352" s="120"/>
      <c r="LH1352" s="120"/>
      <c r="LI1352" s="120"/>
      <c r="LJ1352" s="120"/>
      <c r="LK1352" s="120"/>
      <c r="LL1352" s="120"/>
      <c r="LM1352" s="120"/>
      <c r="LN1352" s="120"/>
      <c r="LO1352" s="120"/>
      <c r="LP1352" s="120"/>
      <c r="LQ1352" s="120"/>
      <c r="LR1352" s="120"/>
      <c r="LS1352" s="120"/>
      <c r="LT1352" s="120"/>
      <c r="LU1352" s="120"/>
      <c r="LV1352" s="120"/>
      <c r="LW1352" s="120"/>
      <c r="LX1352" s="120"/>
      <c r="LY1352" s="120"/>
      <c r="LZ1352" s="120"/>
      <c r="MA1352" s="120"/>
      <c r="MB1352" s="120"/>
      <c r="MC1352" s="120"/>
      <c r="MD1352" s="120"/>
      <c r="ME1352" s="120"/>
      <c r="MF1352" s="120"/>
      <c r="MG1352" s="120"/>
      <c r="MH1352" s="120"/>
      <c r="MI1352" s="120"/>
      <c r="MJ1352" s="120"/>
      <c r="MK1352" s="120"/>
      <c r="ML1352" s="120"/>
      <c r="MM1352" s="120"/>
      <c r="MN1352" s="120"/>
      <c r="MO1352" s="120"/>
      <c r="MP1352" s="120"/>
      <c r="MQ1352" s="120"/>
      <c r="MR1352" s="120"/>
      <c r="MS1352" s="120"/>
      <c r="MT1352" s="120"/>
      <c r="MU1352" s="120"/>
      <c r="MV1352" s="120"/>
      <c r="MW1352" s="120"/>
      <c r="MX1352" s="120"/>
      <c r="MY1352" s="120"/>
      <c r="MZ1352" s="120"/>
      <c r="NA1352" s="120"/>
      <c r="NB1352" s="120"/>
      <c r="NC1352" s="120"/>
      <c r="ND1352" s="120"/>
      <c r="NE1352" s="120"/>
      <c r="NF1352" s="120"/>
      <c r="NG1352" s="120"/>
      <c r="NH1352" s="120"/>
      <c r="NI1352" s="120"/>
      <c r="NJ1352" s="120"/>
      <c r="NK1352" s="120"/>
      <c r="NL1352" s="120"/>
      <c r="NM1352" s="120"/>
      <c r="NN1352" s="120"/>
      <c r="NO1352" s="120"/>
      <c r="NP1352" s="120"/>
      <c r="NQ1352" s="120"/>
      <c r="NR1352" s="120"/>
      <c r="NS1352" s="120"/>
      <c r="NT1352" s="120"/>
      <c r="NU1352" s="120"/>
      <c r="NV1352" s="120"/>
      <c r="NW1352" s="120"/>
      <c r="NX1352" s="120"/>
      <c r="NY1352" s="120"/>
      <c r="NZ1352" s="120"/>
      <c r="OA1352" s="120"/>
      <c r="OB1352" s="120"/>
      <c r="OC1352" s="120"/>
      <c r="OD1352" s="120"/>
      <c r="OE1352" s="120"/>
      <c r="OF1352" s="120"/>
      <c r="OG1352" s="120"/>
      <c r="OH1352" s="120"/>
      <c r="OI1352" s="120"/>
      <c r="OJ1352" s="120"/>
      <c r="OK1352" s="120"/>
      <c r="OL1352" s="120"/>
      <c r="OM1352" s="120"/>
      <c r="ON1352" s="120"/>
      <c r="OO1352" s="120"/>
      <c r="OP1352" s="120"/>
      <c r="OQ1352" s="120"/>
      <c r="OR1352" s="120"/>
      <c r="OS1352" s="120"/>
      <c r="OT1352" s="120"/>
      <c r="OU1352" s="120"/>
      <c r="OV1352" s="120"/>
      <c r="OW1352" s="120"/>
      <c r="OX1352" s="120"/>
      <c r="OY1352" s="120"/>
      <c r="OZ1352" s="120"/>
      <c r="PA1352" s="120"/>
      <c r="PB1352" s="120"/>
      <c r="PC1352" s="120"/>
      <c r="PD1352" s="120"/>
      <c r="PE1352" s="120"/>
      <c r="PF1352" s="120"/>
      <c r="PG1352" s="120"/>
      <c r="PH1352" s="120"/>
      <c r="PI1352" s="120"/>
      <c r="PJ1352" s="120"/>
      <c r="PK1352" s="120"/>
      <c r="PL1352" s="120"/>
      <c r="PM1352" s="120"/>
      <c r="PN1352" s="120"/>
      <c r="PO1352" s="120"/>
      <c r="PP1352" s="120"/>
      <c r="PQ1352" s="120"/>
      <c r="PR1352" s="120"/>
      <c r="PS1352" s="120"/>
      <c r="PT1352" s="120"/>
      <c r="PU1352" s="120"/>
      <c r="PV1352" s="120"/>
      <c r="PW1352" s="120"/>
      <c r="PX1352" s="120"/>
      <c r="PY1352" s="120"/>
      <c r="PZ1352" s="120"/>
      <c r="QA1352" s="120"/>
      <c r="QB1352" s="120"/>
      <c r="QC1352" s="120"/>
      <c r="QD1352" s="120"/>
      <c r="QE1352" s="120"/>
      <c r="QF1352" s="120"/>
      <c r="QG1352" s="120"/>
      <c r="QH1352" s="120"/>
      <c r="QI1352" s="120"/>
      <c r="QJ1352" s="120"/>
      <c r="QK1352" s="120"/>
      <c r="QL1352" s="120"/>
      <c r="QM1352" s="120"/>
      <c r="QN1352" s="120"/>
      <c r="QO1352" s="120"/>
      <c r="QP1352" s="120"/>
      <c r="QQ1352" s="120"/>
      <c r="QR1352" s="120"/>
      <c r="QS1352" s="120"/>
      <c r="QT1352" s="120"/>
      <c r="QU1352" s="120"/>
      <c r="QV1352" s="120"/>
      <c r="QW1352" s="120"/>
      <c r="QX1352" s="120"/>
      <c r="QY1352" s="120"/>
      <c r="QZ1352" s="120"/>
      <c r="RA1352" s="120"/>
      <c r="RB1352" s="120"/>
      <c r="RC1352" s="120"/>
      <c r="RD1352" s="120"/>
      <c r="RE1352" s="120"/>
      <c r="RF1352" s="120"/>
      <c r="RG1352" s="120"/>
      <c r="RH1352" s="120"/>
      <c r="RI1352" s="120"/>
      <c r="RJ1352" s="120"/>
      <c r="RK1352" s="120"/>
      <c r="RL1352" s="120"/>
      <c r="RM1352" s="120"/>
      <c r="RN1352" s="120"/>
      <c r="RO1352" s="120"/>
      <c r="RP1352" s="120"/>
      <c r="RQ1352" s="120"/>
      <c r="RR1352" s="120"/>
      <c r="RS1352" s="120"/>
      <c r="RT1352" s="120"/>
      <c r="RU1352" s="120"/>
      <c r="RV1352" s="120"/>
      <c r="RW1352" s="120"/>
      <c r="RX1352" s="120"/>
      <c r="RY1352" s="120"/>
      <c r="RZ1352" s="120"/>
      <c r="SA1352" s="120"/>
      <c r="SB1352" s="120"/>
      <c r="SC1352" s="120"/>
      <c r="SD1352" s="120"/>
      <c r="SE1352" s="120"/>
      <c r="SF1352" s="120"/>
      <c r="SG1352" s="120"/>
      <c r="SH1352" s="120"/>
      <c r="SI1352" s="120"/>
      <c r="SJ1352" s="120"/>
      <c r="SK1352" s="120"/>
      <c r="SL1352" s="120"/>
      <c r="SM1352" s="120"/>
      <c r="SN1352" s="120"/>
      <c r="SO1352" s="120"/>
      <c r="SP1352" s="120"/>
      <c r="SQ1352" s="120"/>
      <c r="SR1352" s="120"/>
      <c r="SS1352" s="120"/>
      <c r="ST1352" s="120"/>
      <c r="SU1352" s="120"/>
      <c r="SV1352" s="120"/>
      <c r="SW1352" s="120"/>
      <c r="SX1352" s="120"/>
      <c r="SY1352" s="120"/>
      <c r="SZ1352" s="120"/>
      <c r="TA1352" s="120"/>
      <c r="TB1352" s="120"/>
      <c r="TC1352" s="120"/>
      <c r="TD1352" s="120"/>
      <c r="TE1352" s="120"/>
      <c r="TF1352" s="120"/>
      <c r="TG1352" s="120"/>
      <c r="TH1352" s="120"/>
      <c r="TI1352" s="120"/>
      <c r="TJ1352" s="120"/>
      <c r="TK1352" s="120"/>
      <c r="TL1352" s="120"/>
      <c r="TM1352" s="120"/>
      <c r="TN1352" s="120"/>
      <c r="TO1352" s="120"/>
      <c r="TP1352" s="120"/>
      <c r="TQ1352" s="120"/>
      <c r="TR1352" s="120"/>
      <c r="TS1352" s="120"/>
      <c r="TT1352" s="120"/>
      <c r="TU1352" s="120"/>
      <c r="TV1352" s="120"/>
      <c r="TW1352" s="120"/>
      <c r="TX1352" s="120"/>
      <c r="TY1352" s="120"/>
      <c r="TZ1352" s="120"/>
      <c r="UA1352" s="120"/>
      <c r="UB1352" s="120"/>
      <c r="UC1352" s="120"/>
      <c r="UD1352" s="120"/>
      <c r="UE1352" s="120"/>
      <c r="UF1352" s="120"/>
      <c r="UG1352" s="120"/>
      <c r="UH1352" s="120"/>
      <c r="UI1352" s="120"/>
      <c r="UJ1352" s="120"/>
      <c r="UK1352" s="120"/>
      <c r="UL1352" s="120"/>
      <c r="UM1352" s="120"/>
      <c r="UN1352" s="120"/>
      <c r="UO1352" s="120"/>
      <c r="UP1352" s="120"/>
      <c r="UQ1352" s="120"/>
      <c r="UR1352" s="120"/>
      <c r="US1352" s="120"/>
      <c r="UT1352" s="120"/>
      <c r="UU1352" s="120"/>
      <c r="UV1352" s="120"/>
      <c r="UW1352" s="120"/>
      <c r="UX1352" s="120"/>
      <c r="UY1352" s="120"/>
      <c r="UZ1352" s="120"/>
      <c r="VA1352" s="120"/>
      <c r="VB1352" s="120"/>
      <c r="VC1352" s="120"/>
      <c r="VD1352" s="120"/>
      <c r="VE1352" s="120"/>
      <c r="VF1352" s="120"/>
      <c r="VG1352" s="120"/>
      <c r="VH1352" s="120"/>
      <c r="VI1352" s="120"/>
      <c r="VJ1352" s="120"/>
      <c r="VK1352" s="120"/>
      <c r="VL1352" s="120"/>
      <c r="VM1352" s="120"/>
      <c r="VN1352" s="120"/>
      <c r="VO1352" s="120"/>
      <c r="VP1352" s="120"/>
      <c r="VQ1352" s="120"/>
      <c r="VR1352" s="120"/>
      <c r="VS1352" s="120"/>
      <c r="VT1352" s="120"/>
      <c r="VU1352" s="120"/>
      <c r="VV1352" s="120"/>
      <c r="VW1352" s="120"/>
      <c r="VX1352" s="120"/>
      <c r="VY1352" s="120"/>
      <c r="VZ1352" s="120"/>
      <c r="WA1352" s="120"/>
      <c r="WB1352" s="120"/>
      <c r="WC1352" s="120"/>
      <c r="WD1352" s="120"/>
      <c r="WE1352" s="120"/>
      <c r="WF1352" s="120"/>
      <c r="WG1352" s="120"/>
      <c r="WH1352" s="120"/>
      <c r="WI1352" s="120"/>
      <c r="WJ1352" s="120"/>
      <c r="WK1352" s="120"/>
      <c r="WL1352" s="120"/>
      <c r="WM1352" s="120"/>
      <c r="WN1352" s="120"/>
      <c r="WO1352" s="120"/>
      <c r="WP1352" s="120"/>
      <c r="WQ1352" s="120"/>
      <c r="WR1352" s="120"/>
      <c r="WS1352" s="120"/>
      <c r="WT1352" s="120"/>
      <c r="WU1352" s="120"/>
      <c r="WV1352" s="120"/>
      <c r="WW1352" s="120"/>
      <c r="WX1352" s="120"/>
      <c r="WY1352" s="120"/>
      <c r="WZ1352" s="120"/>
      <c r="XA1352" s="120"/>
      <c r="XB1352" s="120"/>
      <c r="XC1352" s="120"/>
      <c r="XD1352" s="120"/>
      <c r="XE1352" s="120"/>
      <c r="XF1352" s="120"/>
      <c r="XG1352" s="120"/>
      <c r="XH1352" s="120"/>
      <c r="XI1352" s="120"/>
      <c r="XJ1352" s="120"/>
      <c r="XK1352" s="120"/>
      <c r="XL1352" s="120"/>
      <c r="XM1352" s="120"/>
      <c r="XN1352" s="120"/>
      <c r="XO1352" s="120"/>
      <c r="XP1352" s="120"/>
      <c r="XQ1352" s="120"/>
      <c r="XR1352" s="120"/>
      <c r="XS1352" s="120"/>
      <c r="XT1352" s="120"/>
      <c r="XU1352" s="120"/>
      <c r="XV1352" s="120"/>
      <c r="XW1352" s="120"/>
      <c r="XX1352" s="120"/>
      <c r="XY1352" s="120"/>
      <c r="XZ1352" s="120"/>
      <c r="YA1352" s="120"/>
      <c r="YB1352" s="120"/>
      <c r="YC1352" s="120"/>
      <c r="YD1352" s="120"/>
      <c r="YE1352" s="120"/>
      <c r="YF1352" s="120"/>
      <c r="YG1352" s="120"/>
      <c r="YH1352" s="120"/>
      <c r="YI1352" s="120"/>
      <c r="YJ1352" s="120"/>
      <c r="YK1352" s="120"/>
      <c r="YL1352" s="120"/>
      <c r="YM1352" s="120"/>
      <c r="YN1352" s="120"/>
      <c r="YO1352" s="120"/>
      <c r="YP1352" s="120"/>
      <c r="YQ1352" s="120"/>
      <c r="YR1352" s="120"/>
      <c r="YS1352" s="120"/>
      <c r="YT1352" s="120"/>
      <c r="YU1352" s="120"/>
      <c r="YV1352" s="120"/>
      <c r="YW1352" s="120"/>
      <c r="YX1352" s="120"/>
      <c r="YY1352" s="120"/>
      <c r="YZ1352" s="120"/>
      <c r="ZA1352" s="120"/>
      <c r="ZB1352" s="120"/>
      <c r="ZC1352" s="120"/>
      <c r="ZD1352" s="120"/>
      <c r="ZE1352" s="120"/>
      <c r="ZF1352" s="120"/>
      <c r="ZG1352" s="120"/>
      <c r="ZH1352" s="120"/>
      <c r="ZI1352" s="120"/>
      <c r="ZJ1352" s="120"/>
      <c r="ZK1352" s="120"/>
      <c r="ZL1352" s="120"/>
      <c r="ZM1352" s="120"/>
      <c r="ZN1352" s="120"/>
      <c r="ZO1352" s="120"/>
      <c r="ZP1352" s="120"/>
      <c r="ZQ1352" s="120"/>
      <c r="ZR1352" s="120"/>
      <c r="ZS1352" s="120"/>
      <c r="ZT1352" s="120"/>
      <c r="ZU1352" s="120"/>
      <c r="ZV1352" s="120"/>
      <c r="ZW1352" s="120"/>
      <c r="ZX1352" s="120"/>
      <c r="ZY1352" s="120"/>
      <c r="ZZ1352" s="120"/>
      <c r="AAA1352" s="120"/>
      <c r="AAB1352" s="120"/>
      <c r="AAC1352" s="120"/>
      <c r="AAD1352" s="120"/>
      <c r="AAE1352" s="120"/>
      <c r="AAF1352" s="120"/>
      <c r="AAG1352" s="120"/>
      <c r="AAH1352" s="120"/>
      <c r="AAI1352" s="120"/>
      <c r="AAJ1352" s="120"/>
      <c r="AAK1352" s="120"/>
      <c r="AAL1352" s="120"/>
      <c r="AAM1352" s="120"/>
      <c r="AAN1352" s="120"/>
      <c r="AAO1352" s="120"/>
      <c r="AAP1352" s="120"/>
      <c r="AAQ1352" s="120"/>
      <c r="AAR1352" s="120"/>
      <c r="AAS1352" s="120"/>
      <c r="AAT1352" s="120"/>
      <c r="AAU1352" s="120"/>
      <c r="AAV1352" s="120"/>
      <c r="AAW1352" s="120"/>
      <c r="AAX1352" s="120"/>
      <c r="AAY1352" s="120"/>
      <c r="AAZ1352" s="120"/>
      <c r="ABA1352" s="120"/>
      <c r="ABB1352" s="120"/>
      <c r="ABC1352" s="120"/>
      <c r="ABD1352" s="120"/>
      <c r="ABE1352" s="120"/>
      <c r="ABF1352" s="120"/>
      <c r="ABG1352" s="120"/>
      <c r="ABH1352" s="120"/>
      <c r="ABI1352" s="120"/>
      <c r="ABJ1352" s="120"/>
      <c r="ABK1352" s="120"/>
      <c r="ABL1352" s="120"/>
      <c r="ABM1352" s="120"/>
      <c r="ABN1352" s="120"/>
      <c r="ABO1352" s="120"/>
      <c r="ABP1352" s="120"/>
      <c r="ABQ1352" s="120"/>
      <c r="ABR1352" s="120"/>
      <c r="ABS1352" s="120"/>
      <c r="ABT1352" s="120"/>
      <c r="ABU1352" s="120"/>
      <c r="ABV1352" s="120"/>
      <c r="ABW1352" s="120"/>
      <c r="ABX1352" s="120"/>
      <c r="ABY1352" s="120"/>
      <c r="ABZ1352" s="120"/>
      <c r="ACA1352" s="120"/>
      <c r="ACB1352" s="120"/>
      <c r="ACC1352" s="120"/>
      <c r="ACD1352" s="120"/>
      <c r="ACE1352" s="120"/>
      <c r="ACF1352" s="120"/>
      <c r="ACG1352" s="120"/>
      <c r="ACH1352" s="120"/>
      <c r="ACI1352" s="120"/>
      <c r="ACJ1352" s="120"/>
      <c r="ACK1352" s="120"/>
      <c r="ACL1352" s="120"/>
      <c r="ACM1352" s="120"/>
      <c r="ACN1352" s="120"/>
      <c r="ACO1352" s="120"/>
      <c r="ACP1352" s="120"/>
      <c r="ACQ1352" s="120"/>
      <c r="ACR1352" s="120"/>
      <c r="ACS1352" s="120"/>
      <c r="ACT1352" s="120"/>
      <c r="ACU1352" s="120"/>
      <c r="ACV1352" s="120"/>
      <c r="ACW1352" s="120"/>
      <c r="ACX1352" s="120"/>
      <c r="ACY1352" s="120"/>
      <c r="ACZ1352" s="120"/>
      <c r="ADA1352" s="120"/>
      <c r="ADB1352" s="120"/>
      <c r="ADC1352" s="120"/>
      <c r="ADD1352" s="120"/>
      <c r="ADE1352" s="120"/>
      <c r="ADF1352" s="120"/>
      <c r="ADG1352" s="120"/>
      <c r="ADH1352" s="120"/>
      <c r="ADI1352" s="120"/>
      <c r="ADJ1352" s="120"/>
      <c r="ADK1352" s="120"/>
      <c r="ADL1352" s="120"/>
      <c r="ADM1352" s="120"/>
      <c r="ADN1352" s="120"/>
      <c r="ADO1352" s="120"/>
      <c r="ADP1352" s="120"/>
      <c r="ADQ1352" s="120"/>
      <c r="ADR1352" s="120"/>
      <c r="ADS1352" s="120"/>
      <c r="ADT1352" s="120"/>
      <c r="ADU1352" s="120"/>
      <c r="ADV1352" s="120"/>
      <c r="ADW1352" s="120"/>
      <c r="ADX1352" s="120"/>
      <c r="ADY1352" s="120"/>
      <c r="ADZ1352" s="120"/>
      <c r="AEA1352" s="120"/>
      <c r="AEB1352" s="120"/>
      <c r="AEC1352" s="120"/>
      <c r="AED1352" s="120"/>
      <c r="AEE1352" s="120"/>
      <c r="AEF1352" s="120"/>
      <c r="AEG1352" s="120"/>
      <c r="AEH1352" s="120"/>
      <c r="AEI1352" s="120"/>
      <c r="AEJ1352" s="120"/>
      <c r="AEK1352" s="120"/>
      <c r="AEL1352" s="120"/>
      <c r="AEM1352" s="120"/>
      <c r="AEN1352" s="120"/>
      <c r="AEO1352" s="120"/>
      <c r="AEP1352" s="120"/>
      <c r="AEQ1352" s="120"/>
      <c r="AER1352" s="120"/>
      <c r="AES1352" s="120"/>
      <c r="AET1352" s="120"/>
      <c r="AEU1352" s="120"/>
      <c r="AEV1352" s="120"/>
      <c r="AEW1352" s="120"/>
      <c r="AEX1352" s="120"/>
      <c r="AEY1352" s="120"/>
      <c r="AEZ1352" s="120"/>
      <c r="AFA1352" s="120"/>
      <c r="AFB1352" s="120"/>
      <c r="AFC1352" s="120"/>
      <c r="AFD1352" s="120"/>
      <c r="AFE1352" s="120"/>
      <c r="AFF1352" s="120"/>
      <c r="AFG1352" s="120"/>
      <c r="AFH1352" s="120"/>
      <c r="AFI1352" s="120"/>
      <c r="AFJ1352" s="120"/>
      <c r="AFK1352" s="120"/>
      <c r="AFL1352" s="120"/>
      <c r="AFM1352" s="120"/>
      <c r="AFN1352" s="120"/>
      <c r="AFO1352" s="120"/>
      <c r="AFP1352" s="120"/>
      <c r="AFQ1352" s="120"/>
      <c r="AFR1352" s="120"/>
      <c r="AFS1352" s="120"/>
      <c r="AFT1352" s="120"/>
      <c r="AFU1352" s="120"/>
      <c r="AFV1352" s="120"/>
      <c r="AFW1352" s="120"/>
      <c r="AFX1352" s="120"/>
      <c r="AFY1352" s="120"/>
      <c r="AFZ1352" s="120"/>
      <c r="AGA1352" s="120"/>
      <c r="AGB1352" s="120"/>
      <c r="AGC1352" s="120"/>
      <c r="AGD1352" s="120"/>
      <c r="AGE1352" s="120"/>
      <c r="AGF1352" s="120"/>
      <c r="AGG1352" s="120"/>
      <c r="AGH1352" s="120"/>
      <c r="AGI1352" s="120"/>
      <c r="AGJ1352" s="120"/>
      <c r="AGK1352" s="120"/>
      <c r="AGL1352" s="120"/>
      <c r="AGM1352" s="120"/>
      <c r="AGN1352" s="120"/>
      <c r="AGO1352" s="120"/>
      <c r="AGP1352" s="120"/>
      <c r="AGQ1352" s="120"/>
      <c r="AGR1352" s="120"/>
      <c r="AGS1352" s="120"/>
      <c r="AGT1352" s="120"/>
      <c r="AGU1352" s="120"/>
      <c r="AGV1352" s="120"/>
      <c r="AGW1352" s="120"/>
      <c r="AGX1352" s="120"/>
      <c r="AGY1352" s="120"/>
      <c r="AGZ1352" s="120"/>
      <c r="AHA1352" s="120"/>
      <c r="AHB1352" s="120"/>
      <c r="AHC1352" s="120"/>
      <c r="AHD1352" s="120"/>
      <c r="AHE1352" s="120"/>
      <c r="AHF1352" s="120"/>
      <c r="AHG1352" s="120"/>
      <c r="AHH1352" s="120"/>
      <c r="AHI1352" s="120"/>
      <c r="AHJ1352" s="120"/>
      <c r="AHK1352" s="120"/>
      <c r="AHL1352" s="120"/>
      <c r="AHM1352" s="120"/>
      <c r="AHN1352" s="120"/>
      <c r="AHO1352" s="120"/>
      <c r="AHP1352" s="120"/>
      <c r="AHQ1352" s="120"/>
      <c r="AHR1352" s="120"/>
      <c r="AHS1352" s="120"/>
      <c r="AHT1352" s="120"/>
      <c r="AHU1352" s="120"/>
      <c r="AHV1352" s="120"/>
      <c r="AHW1352" s="120"/>
      <c r="AHX1352" s="120"/>
      <c r="AHY1352" s="120"/>
      <c r="AHZ1352" s="120"/>
      <c r="AIA1352" s="120"/>
      <c r="AIB1352" s="120"/>
      <c r="AIC1352" s="120"/>
      <c r="AID1352" s="120"/>
      <c r="AIE1352" s="120"/>
      <c r="AIF1352" s="120"/>
      <c r="AIG1352" s="120"/>
      <c r="AIH1352" s="120"/>
      <c r="AII1352" s="120"/>
      <c r="AIJ1352" s="120"/>
      <c r="AIK1352" s="120"/>
      <c r="AIL1352" s="120"/>
      <c r="AIM1352" s="120"/>
      <c r="AIN1352" s="120"/>
      <c r="AIO1352" s="120"/>
      <c r="AIP1352" s="120"/>
      <c r="AIQ1352" s="120"/>
      <c r="AIR1352" s="120"/>
      <c r="AIS1352" s="120"/>
      <c r="AIT1352" s="120"/>
      <c r="AIU1352" s="120"/>
      <c r="AIV1352" s="120"/>
      <c r="AIW1352" s="120"/>
      <c r="AIX1352" s="120"/>
      <c r="AIY1352" s="120"/>
      <c r="AIZ1352" s="120"/>
      <c r="AJA1352" s="120"/>
      <c r="AJB1352" s="120"/>
      <c r="AJC1352" s="120"/>
      <c r="AJD1352" s="120"/>
      <c r="AJE1352" s="120"/>
      <c r="AJF1352" s="120"/>
      <c r="AJG1352" s="120"/>
      <c r="AJH1352" s="120"/>
      <c r="AJI1352" s="120"/>
      <c r="AJJ1352" s="120"/>
      <c r="AJK1352" s="120"/>
      <c r="AJL1352" s="120"/>
      <c r="AJM1352" s="120"/>
      <c r="AJN1352" s="120"/>
      <c r="AJO1352" s="120"/>
      <c r="AJP1352" s="120"/>
      <c r="AJQ1352" s="120"/>
      <c r="AJR1352" s="120"/>
      <c r="AJS1352" s="120"/>
      <c r="AJT1352" s="120"/>
      <c r="AJU1352" s="120"/>
      <c r="AJV1352" s="120"/>
      <c r="AJW1352" s="120"/>
      <c r="AJX1352" s="120"/>
      <c r="AJY1352" s="120"/>
      <c r="AJZ1352" s="120"/>
      <c r="AKA1352" s="120"/>
      <c r="AKB1352" s="120"/>
      <c r="AKC1352" s="120"/>
      <c r="AKD1352" s="120"/>
      <c r="AKE1352" s="120"/>
      <c r="AKF1352" s="120"/>
      <c r="AKG1352" s="120"/>
      <c r="AKH1352" s="120"/>
      <c r="AKI1352" s="120"/>
      <c r="AKJ1352" s="120"/>
      <c r="AKK1352" s="120"/>
      <c r="AKL1352" s="120"/>
      <c r="AKM1352" s="120"/>
      <c r="AKN1352" s="120"/>
      <c r="AKO1352" s="120"/>
      <c r="AKP1352" s="120"/>
      <c r="AKQ1352" s="120"/>
      <c r="AKR1352" s="120"/>
      <c r="AKS1352" s="120"/>
      <c r="AKT1352" s="120"/>
      <c r="AKU1352" s="120"/>
      <c r="AKV1352" s="120"/>
      <c r="AKW1352" s="120"/>
      <c r="AKX1352" s="120"/>
      <c r="AKY1352" s="120"/>
      <c r="AKZ1352" s="120"/>
      <c r="ALA1352" s="120"/>
      <c r="ALB1352" s="120"/>
      <c r="ALC1352" s="120"/>
      <c r="ALD1352" s="120"/>
      <c r="ALE1352" s="120"/>
      <c r="ALF1352" s="120"/>
      <c r="ALG1352" s="120"/>
      <c r="ALH1352" s="120"/>
      <c r="ALI1352" s="120"/>
      <c r="ALJ1352" s="120"/>
      <c r="ALK1352" s="120"/>
      <c r="ALL1352" s="120"/>
      <c r="ALM1352" s="120"/>
      <c r="ALN1352" s="120"/>
      <c r="ALO1352" s="120"/>
      <c r="ALP1352" s="120"/>
      <c r="ALQ1352" s="120"/>
      <c r="ALR1352" s="120"/>
      <c r="ALS1352" s="120"/>
      <c r="ALT1352" s="120"/>
      <c r="ALU1352" s="120"/>
      <c r="ALV1352" s="120"/>
      <c r="ALW1352" s="120"/>
      <c r="ALX1352" s="120"/>
      <c r="ALY1352" s="120"/>
      <c r="ALZ1352" s="120"/>
      <c r="AMA1352" s="120"/>
      <c r="AMB1352" s="120"/>
      <c r="AMC1352" s="120"/>
      <c r="AMD1352" s="120"/>
      <c r="AME1352" s="120"/>
      <c r="AMF1352" s="120"/>
      <c r="AMG1352" s="120"/>
      <c r="AMH1352" s="120"/>
      <c r="AMI1352" s="120"/>
      <c r="AMJ1352" s="120"/>
      <c r="AMK1352" s="120"/>
      <c r="AML1352" s="120"/>
      <c r="AMM1352" s="120"/>
      <c r="AMN1352" s="120"/>
      <c r="AMO1352" s="120"/>
      <c r="AMP1352" s="120"/>
      <c r="AMQ1352" s="120"/>
      <c r="AMR1352" s="120"/>
      <c r="AMS1352" s="120"/>
      <c r="AMT1352" s="120"/>
      <c r="AMU1352" s="120"/>
      <c r="AMV1352" s="120"/>
      <c r="AMW1352" s="120"/>
      <c r="AMX1352" s="120"/>
      <c r="AMY1352" s="120"/>
      <c r="AMZ1352" s="120"/>
      <c r="ANA1352" s="120"/>
      <c r="ANB1352" s="120"/>
      <c r="ANC1352" s="120"/>
      <c r="AND1352" s="120"/>
      <c r="ANE1352" s="120"/>
      <c r="ANF1352" s="120"/>
      <c r="ANG1352" s="120"/>
      <c r="ANH1352" s="120"/>
      <c r="ANI1352" s="120"/>
      <c r="ANJ1352" s="120"/>
      <c r="ANK1352" s="120"/>
      <c r="ANL1352" s="120"/>
      <c r="ANM1352" s="120"/>
      <c r="ANN1352" s="120"/>
      <c r="ANO1352" s="120"/>
      <c r="ANP1352" s="120"/>
      <c r="ANQ1352" s="120"/>
      <c r="ANR1352" s="120"/>
      <c r="ANS1352" s="120"/>
      <c r="ANT1352" s="120"/>
      <c r="ANU1352" s="120"/>
      <c r="ANV1352" s="120"/>
      <c r="ANW1352" s="120"/>
      <c r="ANX1352" s="120"/>
      <c r="ANY1352" s="120"/>
      <c r="ANZ1352" s="120"/>
      <c r="AOA1352" s="120"/>
      <c r="AOB1352" s="120"/>
      <c r="AOC1352" s="120"/>
      <c r="AOD1352" s="120"/>
      <c r="AOE1352" s="120"/>
      <c r="AOF1352" s="120"/>
      <c r="AOG1352" s="120"/>
      <c r="AOH1352" s="120"/>
      <c r="AOI1352" s="120"/>
      <c r="AOJ1352" s="120"/>
      <c r="AOK1352" s="120"/>
      <c r="AOL1352" s="120"/>
      <c r="AOM1352" s="120"/>
      <c r="AON1352" s="120"/>
      <c r="AOO1352" s="120"/>
      <c r="AOP1352" s="120"/>
      <c r="AOQ1352" s="120"/>
      <c r="AOR1352" s="120"/>
      <c r="AOS1352" s="120"/>
      <c r="AOT1352" s="120"/>
      <c r="AOU1352" s="120"/>
      <c r="AOV1352" s="120"/>
      <c r="AOW1352" s="120"/>
      <c r="AOX1352" s="120"/>
      <c r="AOY1352" s="120"/>
      <c r="AOZ1352" s="120"/>
      <c r="APA1352" s="120"/>
      <c r="APB1352" s="120"/>
      <c r="APC1352" s="120"/>
      <c r="APD1352" s="120"/>
      <c r="APE1352" s="120"/>
      <c r="APF1352" s="120"/>
      <c r="APG1352" s="120"/>
      <c r="APH1352" s="120"/>
      <c r="API1352" s="120"/>
      <c r="APJ1352" s="120"/>
      <c r="APK1352" s="120"/>
      <c r="APL1352" s="120"/>
      <c r="APM1352" s="120"/>
      <c r="APN1352" s="120"/>
      <c r="APO1352" s="120"/>
      <c r="APP1352" s="120"/>
      <c r="APQ1352" s="120"/>
      <c r="APR1352" s="120"/>
      <c r="APS1352" s="120"/>
      <c r="APT1352" s="120"/>
      <c r="APU1352" s="120"/>
      <c r="APV1352" s="120"/>
      <c r="APW1352" s="120"/>
      <c r="APX1352" s="120"/>
      <c r="APY1352" s="120"/>
      <c r="APZ1352" s="120"/>
      <c r="AQA1352" s="120"/>
      <c r="AQB1352" s="120"/>
      <c r="AQC1352" s="120"/>
      <c r="AQD1352" s="120"/>
      <c r="AQE1352" s="120"/>
      <c r="AQF1352" s="120"/>
      <c r="AQG1352" s="120"/>
      <c r="AQH1352" s="120"/>
      <c r="AQI1352" s="120"/>
      <c r="AQJ1352" s="120"/>
      <c r="AQK1352" s="120"/>
      <c r="AQL1352" s="120"/>
      <c r="AQM1352" s="120"/>
      <c r="AQN1352" s="120"/>
      <c r="AQO1352" s="120"/>
      <c r="AQP1352" s="120"/>
      <c r="AQQ1352" s="120"/>
      <c r="AQR1352" s="120"/>
      <c r="AQS1352" s="120"/>
      <c r="AQT1352" s="120"/>
      <c r="AQU1352" s="120"/>
      <c r="AQV1352" s="120"/>
      <c r="AQW1352" s="120"/>
      <c r="AQX1352" s="120"/>
      <c r="AQY1352" s="120"/>
      <c r="AQZ1352" s="120"/>
      <c r="ARA1352" s="120"/>
      <c r="ARB1352" s="120"/>
      <c r="ARC1352" s="120"/>
      <c r="ARD1352" s="120"/>
      <c r="ARE1352" s="120"/>
      <c r="ARF1352" s="120"/>
      <c r="ARG1352" s="120"/>
      <c r="ARH1352" s="120"/>
      <c r="ARI1352" s="120"/>
      <c r="ARJ1352" s="120"/>
      <c r="ARK1352" s="120"/>
      <c r="ARL1352" s="120"/>
      <c r="ARM1352" s="120"/>
      <c r="ARN1352" s="120"/>
      <c r="ARO1352" s="120"/>
      <c r="ARP1352" s="120"/>
      <c r="ARQ1352" s="120"/>
      <c r="ARR1352" s="120"/>
      <c r="ARS1352" s="120"/>
      <c r="ART1352" s="120"/>
      <c r="ARU1352" s="120"/>
      <c r="ARV1352" s="120"/>
      <c r="ARW1352" s="120"/>
      <c r="ARX1352" s="120"/>
      <c r="ARY1352" s="120"/>
      <c r="ARZ1352" s="120"/>
      <c r="ASA1352" s="120"/>
      <c r="ASB1352" s="120"/>
      <c r="ASC1352" s="120"/>
      <c r="ASD1352" s="120"/>
      <c r="ASE1352" s="120"/>
      <c r="ASF1352" s="120"/>
      <c r="ASG1352" s="120"/>
      <c r="ASH1352" s="120"/>
      <c r="ASI1352" s="120"/>
      <c r="ASJ1352" s="120"/>
      <c r="ASK1352" s="120"/>
      <c r="ASL1352" s="120"/>
      <c r="ASM1352" s="120"/>
      <c r="ASN1352" s="120"/>
      <c r="ASO1352" s="120"/>
      <c r="ASP1352" s="120"/>
      <c r="ASQ1352" s="120"/>
      <c r="ASR1352" s="120"/>
      <c r="ASS1352" s="120"/>
      <c r="AST1352" s="120"/>
      <c r="ASU1352" s="120"/>
      <c r="ASV1352" s="120"/>
      <c r="ASW1352" s="120"/>
      <c r="ASX1352" s="120"/>
      <c r="ASY1352" s="120"/>
      <c r="ASZ1352" s="120"/>
      <c r="ATA1352" s="120"/>
      <c r="ATB1352" s="120"/>
      <c r="ATC1352" s="120"/>
      <c r="ATD1352" s="120"/>
      <c r="ATE1352" s="120"/>
      <c r="ATF1352" s="120"/>
      <c r="ATG1352" s="120"/>
      <c r="ATH1352" s="120"/>
      <c r="ATI1352" s="120"/>
      <c r="ATJ1352" s="120"/>
      <c r="ATK1352" s="120"/>
      <c r="ATL1352" s="120"/>
      <c r="ATM1352" s="120"/>
      <c r="ATN1352" s="120"/>
      <c r="ATO1352" s="120"/>
    </row>
    <row r="1353" spans="1:1211" s="20" customFormat="1" ht="14.1" customHeight="1">
      <c r="A1353" s="112"/>
      <c r="B1353" s="945"/>
      <c r="C1353" s="184" t="s">
        <v>6125</v>
      </c>
      <c r="D1353" s="120"/>
      <c r="E1353" s="701"/>
      <c r="F1353" s="703"/>
      <c r="G1353" s="702"/>
      <c r="H1353" s="702"/>
      <c r="I1353" s="702"/>
      <c r="J1353" s="700"/>
      <c r="K1353" s="112"/>
      <c r="L1353" s="363"/>
      <c r="M1353" s="112"/>
      <c r="N1353" s="362"/>
      <c r="O1353" s="573"/>
      <c r="P1353" s="120"/>
      <c r="Q1353" s="120"/>
      <c r="R1353" s="120"/>
      <c r="S1353" s="120"/>
      <c r="T1353" s="120"/>
      <c r="U1353" s="120"/>
      <c r="V1353" s="120"/>
      <c r="W1353" s="120"/>
      <c r="X1353" s="120"/>
      <c r="Y1353" s="120"/>
      <c r="Z1353" s="120"/>
      <c r="AA1353" s="120"/>
      <c r="AB1353" s="120"/>
      <c r="AC1353" s="120"/>
      <c r="AD1353" s="120"/>
      <c r="AE1353" s="120"/>
      <c r="AF1353" s="120"/>
      <c r="AG1353" s="120"/>
      <c r="AH1353" s="120"/>
      <c r="AI1353" s="120"/>
      <c r="AJ1353" s="120"/>
      <c r="AK1353" s="120"/>
      <c r="AL1353" s="120"/>
      <c r="AM1353" s="120"/>
      <c r="AN1353" s="120"/>
      <c r="AO1353" s="120"/>
      <c r="AP1353" s="120"/>
      <c r="AQ1353" s="120"/>
      <c r="AR1353" s="120"/>
      <c r="AS1353" s="120"/>
      <c r="AT1353" s="120"/>
      <c r="AU1353" s="120"/>
      <c r="AV1353" s="120"/>
      <c r="AW1353" s="120"/>
      <c r="AX1353" s="120"/>
      <c r="AY1353" s="120"/>
      <c r="AZ1353" s="120"/>
      <c r="BA1353" s="120"/>
      <c r="BB1353" s="120"/>
      <c r="BC1353" s="120"/>
      <c r="BD1353" s="120"/>
      <c r="BE1353" s="120"/>
      <c r="BF1353" s="120"/>
      <c r="BG1353" s="120"/>
      <c r="BH1353" s="120"/>
      <c r="BI1353" s="120"/>
      <c r="BJ1353" s="120"/>
      <c r="BK1353" s="120"/>
      <c r="BL1353" s="120"/>
      <c r="BM1353" s="120"/>
      <c r="BN1353" s="120"/>
      <c r="BO1353" s="120"/>
      <c r="BP1353" s="120"/>
      <c r="BQ1353" s="120"/>
      <c r="BR1353" s="120"/>
      <c r="BS1353" s="120"/>
      <c r="BT1353" s="120"/>
      <c r="BU1353" s="120"/>
      <c r="BV1353" s="120"/>
      <c r="BW1353" s="120"/>
      <c r="BX1353" s="120"/>
      <c r="BY1353" s="120"/>
      <c r="BZ1353" s="120"/>
      <c r="CA1353" s="120"/>
      <c r="CB1353" s="120"/>
      <c r="CC1353" s="120"/>
      <c r="CD1353" s="120"/>
      <c r="CE1353" s="120"/>
      <c r="CF1353" s="120"/>
      <c r="CG1353" s="120"/>
      <c r="CH1353" s="120"/>
      <c r="CI1353" s="120"/>
      <c r="CJ1353" s="120"/>
      <c r="CK1353" s="120"/>
      <c r="CL1353" s="120"/>
      <c r="CM1353" s="120"/>
      <c r="CN1353" s="120"/>
      <c r="CO1353" s="120"/>
      <c r="CP1353" s="120"/>
      <c r="CQ1353" s="120"/>
      <c r="CR1353" s="120"/>
      <c r="CS1353" s="120"/>
      <c r="CT1353" s="120"/>
      <c r="CU1353" s="120"/>
      <c r="CV1353" s="120"/>
      <c r="CW1353" s="120"/>
      <c r="CX1353" s="120"/>
      <c r="CY1353" s="120"/>
      <c r="CZ1353" s="120"/>
      <c r="DA1353" s="120"/>
      <c r="DB1353" s="120"/>
      <c r="DC1353" s="120"/>
      <c r="DD1353" s="120"/>
      <c r="DE1353" s="120"/>
      <c r="DF1353" s="120"/>
      <c r="DG1353" s="120"/>
      <c r="DH1353" s="120"/>
      <c r="DI1353" s="120"/>
      <c r="DJ1353" s="120"/>
      <c r="DK1353" s="120"/>
      <c r="DL1353" s="120"/>
      <c r="DM1353" s="120"/>
      <c r="DN1353" s="120"/>
      <c r="DO1353" s="120"/>
      <c r="DP1353" s="120"/>
      <c r="DQ1353" s="120"/>
      <c r="DR1353" s="120"/>
      <c r="DS1353" s="120"/>
      <c r="DT1353" s="120"/>
      <c r="DU1353" s="120"/>
      <c r="DV1353" s="120"/>
      <c r="DW1353" s="120"/>
      <c r="DX1353" s="120"/>
      <c r="DY1353" s="120"/>
      <c r="DZ1353" s="120"/>
      <c r="EA1353" s="120"/>
      <c r="EB1353" s="120"/>
      <c r="EC1353" s="120"/>
      <c r="ED1353" s="120"/>
      <c r="EE1353" s="120"/>
      <c r="EF1353" s="120"/>
      <c r="EG1353" s="120"/>
      <c r="EH1353" s="120"/>
      <c r="EI1353" s="120"/>
      <c r="EJ1353" s="120"/>
      <c r="EK1353" s="120"/>
      <c r="EL1353" s="120"/>
      <c r="EM1353" s="120"/>
      <c r="EN1353" s="120"/>
      <c r="EO1353" s="120"/>
      <c r="EP1353" s="120"/>
      <c r="EQ1353" s="120"/>
      <c r="ER1353" s="120"/>
      <c r="ES1353" s="120"/>
      <c r="ET1353" s="120"/>
      <c r="EU1353" s="120"/>
      <c r="EV1353" s="120"/>
      <c r="EW1353" s="120"/>
      <c r="EX1353" s="120"/>
      <c r="EY1353" s="120"/>
      <c r="EZ1353" s="120"/>
      <c r="FA1353" s="120"/>
      <c r="FB1353" s="120"/>
      <c r="FC1353" s="120"/>
      <c r="FD1353" s="120"/>
      <c r="FE1353" s="120"/>
      <c r="FF1353" s="120"/>
      <c r="FG1353" s="120"/>
      <c r="FH1353" s="120"/>
      <c r="FI1353" s="120"/>
      <c r="FJ1353" s="120"/>
      <c r="FK1353" s="120"/>
      <c r="FL1353" s="120"/>
      <c r="FM1353" s="120"/>
      <c r="FN1353" s="120"/>
      <c r="FO1353" s="120"/>
      <c r="FP1353" s="120"/>
      <c r="FQ1353" s="120"/>
      <c r="FR1353" s="120"/>
      <c r="FS1353" s="120"/>
      <c r="FT1353" s="120"/>
      <c r="FU1353" s="120"/>
      <c r="FV1353" s="120"/>
      <c r="FW1353" s="120"/>
      <c r="FX1353" s="120"/>
      <c r="FY1353" s="120"/>
      <c r="FZ1353" s="120"/>
      <c r="GA1353" s="120"/>
      <c r="GB1353" s="120"/>
      <c r="GC1353" s="120"/>
      <c r="GD1353" s="120"/>
      <c r="GE1353" s="120"/>
      <c r="GF1353" s="120"/>
      <c r="GG1353" s="120"/>
      <c r="GH1353" s="120"/>
      <c r="GI1353" s="120"/>
      <c r="GJ1353" s="120"/>
      <c r="GK1353" s="120"/>
      <c r="GL1353" s="120"/>
      <c r="GM1353" s="120"/>
      <c r="GN1353" s="120"/>
      <c r="GO1353" s="120"/>
      <c r="GP1353" s="120"/>
      <c r="GQ1353" s="120"/>
      <c r="GR1353" s="120"/>
      <c r="GS1353" s="120"/>
      <c r="GT1353" s="120"/>
      <c r="GU1353" s="120"/>
      <c r="GV1353" s="120"/>
      <c r="GW1353" s="120"/>
      <c r="GX1353" s="120"/>
      <c r="GY1353" s="120"/>
      <c r="GZ1353" s="120"/>
      <c r="HA1353" s="120"/>
      <c r="HB1353" s="120"/>
      <c r="HC1353" s="120"/>
      <c r="HD1353" s="120"/>
      <c r="HE1353" s="120"/>
      <c r="HF1353" s="120"/>
      <c r="HG1353" s="120"/>
      <c r="HH1353" s="120"/>
      <c r="HI1353" s="120"/>
      <c r="HJ1353" s="120"/>
      <c r="HK1353" s="120"/>
      <c r="HL1353" s="120"/>
      <c r="HM1353" s="120"/>
      <c r="HN1353" s="120"/>
      <c r="HO1353" s="120"/>
      <c r="HP1353" s="120"/>
      <c r="HQ1353" s="120"/>
      <c r="HR1353" s="120"/>
      <c r="HS1353" s="120"/>
      <c r="HT1353" s="120"/>
      <c r="HU1353" s="120"/>
      <c r="HV1353" s="120"/>
      <c r="HW1353" s="120"/>
      <c r="HX1353" s="120"/>
      <c r="HY1353" s="120"/>
      <c r="HZ1353" s="120"/>
      <c r="IA1353" s="120"/>
      <c r="IB1353" s="120"/>
      <c r="IC1353" s="120"/>
      <c r="ID1353" s="120"/>
      <c r="IE1353" s="120"/>
      <c r="IF1353" s="120"/>
      <c r="IG1353" s="120"/>
      <c r="IH1353" s="120"/>
      <c r="II1353" s="120"/>
      <c r="IJ1353" s="120"/>
      <c r="IK1353" s="120"/>
      <c r="IL1353" s="120"/>
      <c r="IM1353" s="120"/>
      <c r="IN1353" s="120"/>
      <c r="IO1353" s="120"/>
      <c r="IP1353" s="120"/>
      <c r="IQ1353" s="120"/>
      <c r="IR1353" s="120"/>
      <c r="IS1353" s="120"/>
      <c r="IT1353" s="120"/>
      <c r="IU1353" s="120"/>
      <c r="IV1353" s="120"/>
      <c r="IW1353" s="120"/>
      <c r="IX1353" s="120"/>
      <c r="IY1353" s="120"/>
      <c r="IZ1353" s="120"/>
      <c r="JA1353" s="120"/>
      <c r="JB1353" s="120"/>
      <c r="JC1353" s="120"/>
      <c r="JD1353" s="120"/>
      <c r="JE1353" s="120"/>
      <c r="JF1353" s="120"/>
      <c r="JG1353" s="120"/>
      <c r="JH1353" s="120"/>
      <c r="JI1353" s="120"/>
      <c r="JJ1353" s="120"/>
      <c r="JK1353" s="120"/>
      <c r="JL1353" s="120"/>
      <c r="JM1353" s="120"/>
      <c r="JN1353" s="120"/>
      <c r="JO1353" s="120"/>
      <c r="JP1353" s="120"/>
      <c r="JQ1353" s="120"/>
      <c r="JR1353" s="120"/>
      <c r="JS1353" s="120"/>
      <c r="JT1353" s="120"/>
      <c r="JU1353" s="120"/>
      <c r="JV1353" s="120"/>
      <c r="JW1353" s="120"/>
      <c r="JX1353" s="120"/>
      <c r="JY1353" s="120"/>
      <c r="JZ1353" s="120"/>
      <c r="KA1353" s="120"/>
      <c r="KB1353" s="120"/>
      <c r="KC1353" s="120"/>
      <c r="KD1353" s="120"/>
      <c r="KE1353" s="120"/>
      <c r="KF1353" s="120"/>
      <c r="KG1353" s="120"/>
      <c r="KH1353" s="120"/>
      <c r="KI1353" s="120"/>
      <c r="KJ1353" s="120"/>
      <c r="KK1353" s="120"/>
      <c r="KL1353" s="120"/>
      <c r="KM1353" s="120"/>
      <c r="KN1353" s="120"/>
      <c r="KO1353" s="120"/>
      <c r="KP1353" s="120"/>
      <c r="KQ1353" s="120"/>
      <c r="KR1353" s="120"/>
      <c r="KS1353" s="120"/>
      <c r="KT1353" s="120"/>
      <c r="KU1353" s="120"/>
      <c r="KV1353" s="120"/>
      <c r="KW1353" s="120"/>
      <c r="KX1353" s="120"/>
      <c r="KY1353" s="120"/>
      <c r="KZ1353" s="120"/>
      <c r="LA1353" s="120"/>
      <c r="LB1353" s="120"/>
      <c r="LC1353" s="120"/>
      <c r="LD1353" s="120"/>
      <c r="LE1353" s="120"/>
      <c r="LF1353" s="120"/>
      <c r="LG1353" s="120"/>
      <c r="LH1353" s="120"/>
      <c r="LI1353" s="120"/>
      <c r="LJ1353" s="120"/>
      <c r="LK1353" s="120"/>
      <c r="LL1353" s="120"/>
      <c r="LM1353" s="120"/>
      <c r="LN1353" s="120"/>
      <c r="LO1353" s="120"/>
      <c r="LP1353" s="120"/>
      <c r="LQ1353" s="120"/>
      <c r="LR1353" s="120"/>
      <c r="LS1353" s="120"/>
      <c r="LT1353" s="120"/>
      <c r="LU1353" s="120"/>
      <c r="LV1353" s="120"/>
      <c r="LW1353" s="120"/>
      <c r="LX1353" s="120"/>
      <c r="LY1353" s="120"/>
      <c r="LZ1353" s="120"/>
      <c r="MA1353" s="120"/>
      <c r="MB1353" s="120"/>
      <c r="MC1353" s="120"/>
      <c r="MD1353" s="120"/>
      <c r="ME1353" s="120"/>
      <c r="MF1353" s="120"/>
      <c r="MG1353" s="120"/>
      <c r="MH1353" s="120"/>
      <c r="MI1353" s="120"/>
      <c r="MJ1353" s="120"/>
      <c r="MK1353" s="120"/>
      <c r="ML1353" s="120"/>
      <c r="MM1353" s="120"/>
      <c r="MN1353" s="120"/>
      <c r="MO1353" s="120"/>
      <c r="MP1353" s="120"/>
      <c r="MQ1353" s="120"/>
      <c r="MR1353" s="120"/>
      <c r="MS1353" s="120"/>
      <c r="MT1353" s="120"/>
      <c r="MU1353" s="120"/>
      <c r="MV1353" s="120"/>
      <c r="MW1353" s="120"/>
      <c r="MX1353" s="120"/>
      <c r="MY1353" s="120"/>
      <c r="MZ1353" s="120"/>
      <c r="NA1353" s="120"/>
      <c r="NB1353" s="120"/>
      <c r="NC1353" s="120"/>
      <c r="ND1353" s="120"/>
      <c r="NE1353" s="120"/>
      <c r="NF1353" s="120"/>
      <c r="NG1353" s="120"/>
      <c r="NH1353" s="120"/>
      <c r="NI1353" s="120"/>
      <c r="NJ1353" s="120"/>
      <c r="NK1353" s="120"/>
      <c r="NL1353" s="120"/>
      <c r="NM1353" s="120"/>
      <c r="NN1353" s="120"/>
      <c r="NO1353" s="120"/>
      <c r="NP1353" s="120"/>
      <c r="NQ1353" s="120"/>
      <c r="NR1353" s="120"/>
      <c r="NS1353" s="120"/>
      <c r="NT1353" s="120"/>
      <c r="NU1353" s="120"/>
      <c r="NV1353" s="120"/>
      <c r="NW1353" s="120"/>
      <c r="NX1353" s="120"/>
      <c r="NY1353" s="120"/>
      <c r="NZ1353" s="120"/>
      <c r="OA1353" s="120"/>
      <c r="OB1353" s="120"/>
      <c r="OC1353" s="120"/>
      <c r="OD1353" s="120"/>
      <c r="OE1353" s="120"/>
      <c r="OF1353" s="120"/>
      <c r="OG1353" s="120"/>
      <c r="OH1353" s="120"/>
      <c r="OI1353" s="120"/>
      <c r="OJ1353" s="120"/>
      <c r="OK1353" s="120"/>
      <c r="OL1353" s="120"/>
      <c r="OM1353" s="120"/>
      <c r="ON1353" s="120"/>
      <c r="OO1353" s="120"/>
      <c r="OP1353" s="120"/>
      <c r="OQ1353" s="120"/>
      <c r="OR1353" s="120"/>
      <c r="OS1353" s="120"/>
      <c r="OT1353" s="120"/>
      <c r="OU1353" s="120"/>
      <c r="OV1353" s="120"/>
      <c r="OW1353" s="120"/>
      <c r="OX1353" s="120"/>
      <c r="OY1353" s="120"/>
      <c r="OZ1353" s="120"/>
      <c r="PA1353" s="120"/>
      <c r="PB1353" s="120"/>
      <c r="PC1353" s="120"/>
      <c r="PD1353" s="120"/>
      <c r="PE1353" s="120"/>
      <c r="PF1353" s="120"/>
      <c r="PG1353" s="120"/>
      <c r="PH1353" s="120"/>
      <c r="PI1353" s="120"/>
      <c r="PJ1353" s="120"/>
      <c r="PK1353" s="120"/>
      <c r="PL1353" s="120"/>
      <c r="PM1353" s="120"/>
      <c r="PN1353" s="120"/>
      <c r="PO1353" s="120"/>
      <c r="PP1353" s="120"/>
      <c r="PQ1353" s="120"/>
      <c r="PR1353" s="120"/>
      <c r="PS1353" s="120"/>
      <c r="PT1353" s="120"/>
      <c r="PU1353" s="120"/>
      <c r="PV1353" s="120"/>
      <c r="PW1353" s="120"/>
      <c r="PX1353" s="120"/>
      <c r="PY1353" s="120"/>
      <c r="PZ1353" s="120"/>
      <c r="QA1353" s="120"/>
      <c r="QB1353" s="120"/>
      <c r="QC1353" s="120"/>
      <c r="QD1353" s="120"/>
      <c r="QE1353" s="120"/>
      <c r="QF1353" s="120"/>
      <c r="QG1353" s="120"/>
      <c r="QH1353" s="120"/>
      <c r="QI1353" s="120"/>
      <c r="QJ1353" s="120"/>
      <c r="QK1353" s="120"/>
      <c r="QL1353" s="120"/>
      <c r="QM1353" s="120"/>
      <c r="QN1353" s="120"/>
      <c r="QO1353" s="120"/>
      <c r="QP1353" s="120"/>
      <c r="QQ1353" s="120"/>
      <c r="QR1353" s="120"/>
      <c r="QS1353" s="120"/>
      <c r="QT1353" s="120"/>
      <c r="QU1353" s="120"/>
      <c r="QV1353" s="120"/>
      <c r="QW1353" s="120"/>
      <c r="QX1353" s="120"/>
      <c r="QY1353" s="120"/>
      <c r="QZ1353" s="120"/>
      <c r="RA1353" s="120"/>
      <c r="RB1353" s="120"/>
      <c r="RC1353" s="120"/>
      <c r="RD1353" s="120"/>
      <c r="RE1353" s="120"/>
      <c r="RF1353" s="120"/>
      <c r="RG1353" s="120"/>
      <c r="RH1353" s="120"/>
      <c r="RI1353" s="120"/>
      <c r="RJ1353" s="120"/>
      <c r="RK1353" s="120"/>
      <c r="RL1353" s="120"/>
      <c r="RM1353" s="120"/>
      <c r="RN1353" s="120"/>
      <c r="RO1353" s="120"/>
      <c r="RP1353" s="120"/>
      <c r="RQ1353" s="120"/>
      <c r="RR1353" s="120"/>
      <c r="RS1353" s="120"/>
      <c r="RT1353" s="120"/>
      <c r="RU1353" s="120"/>
      <c r="RV1353" s="120"/>
      <c r="RW1353" s="120"/>
      <c r="RX1353" s="120"/>
      <c r="RY1353" s="120"/>
      <c r="RZ1353" s="120"/>
      <c r="SA1353" s="120"/>
      <c r="SB1353" s="120"/>
      <c r="SC1353" s="120"/>
      <c r="SD1353" s="120"/>
      <c r="SE1353" s="120"/>
      <c r="SF1353" s="120"/>
      <c r="SG1353" s="120"/>
      <c r="SH1353" s="120"/>
      <c r="SI1353" s="120"/>
      <c r="SJ1353" s="120"/>
      <c r="SK1353" s="120"/>
      <c r="SL1353" s="120"/>
      <c r="SM1353" s="120"/>
      <c r="SN1353" s="120"/>
      <c r="SO1353" s="120"/>
      <c r="SP1353" s="120"/>
      <c r="SQ1353" s="120"/>
      <c r="SR1353" s="120"/>
      <c r="SS1353" s="120"/>
      <c r="ST1353" s="120"/>
      <c r="SU1353" s="120"/>
      <c r="SV1353" s="120"/>
      <c r="SW1353" s="120"/>
      <c r="SX1353" s="120"/>
      <c r="SY1353" s="120"/>
      <c r="SZ1353" s="120"/>
      <c r="TA1353" s="120"/>
      <c r="TB1353" s="120"/>
      <c r="TC1353" s="120"/>
      <c r="TD1353" s="120"/>
      <c r="TE1353" s="120"/>
      <c r="TF1353" s="120"/>
      <c r="TG1353" s="120"/>
      <c r="TH1353" s="120"/>
      <c r="TI1353" s="120"/>
      <c r="TJ1353" s="120"/>
      <c r="TK1353" s="120"/>
      <c r="TL1353" s="120"/>
      <c r="TM1353" s="120"/>
      <c r="TN1353" s="120"/>
      <c r="TO1353" s="120"/>
      <c r="TP1353" s="120"/>
      <c r="TQ1353" s="120"/>
      <c r="TR1353" s="120"/>
      <c r="TS1353" s="120"/>
      <c r="TT1353" s="120"/>
      <c r="TU1353" s="120"/>
      <c r="TV1353" s="120"/>
      <c r="TW1353" s="120"/>
      <c r="TX1353" s="120"/>
      <c r="TY1353" s="120"/>
      <c r="TZ1353" s="120"/>
      <c r="UA1353" s="120"/>
      <c r="UB1353" s="120"/>
      <c r="UC1353" s="120"/>
      <c r="UD1353" s="120"/>
      <c r="UE1353" s="120"/>
      <c r="UF1353" s="120"/>
      <c r="UG1353" s="120"/>
      <c r="UH1353" s="120"/>
      <c r="UI1353" s="120"/>
      <c r="UJ1353" s="120"/>
      <c r="UK1353" s="120"/>
      <c r="UL1353" s="120"/>
      <c r="UM1353" s="120"/>
      <c r="UN1353" s="120"/>
      <c r="UO1353" s="120"/>
      <c r="UP1353" s="120"/>
      <c r="UQ1353" s="120"/>
      <c r="UR1353" s="120"/>
      <c r="US1353" s="120"/>
      <c r="UT1353" s="120"/>
      <c r="UU1353" s="120"/>
      <c r="UV1353" s="120"/>
      <c r="UW1353" s="120"/>
      <c r="UX1353" s="120"/>
      <c r="UY1353" s="120"/>
      <c r="UZ1353" s="120"/>
      <c r="VA1353" s="120"/>
      <c r="VB1353" s="120"/>
      <c r="VC1353" s="120"/>
      <c r="VD1353" s="120"/>
      <c r="VE1353" s="120"/>
      <c r="VF1353" s="120"/>
      <c r="VG1353" s="120"/>
      <c r="VH1353" s="120"/>
      <c r="VI1353" s="120"/>
      <c r="VJ1353" s="120"/>
      <c r="VK1353" s="120"/>
      <c r="VL1353" s="120"/>
      <c r="VM1353" s="120"/>
      <c r="VN1353" s="120"/>
      <c r="VO1353" s="120"/>
      <c r="VP1353" s="120"/>
      <c r="VQ1353" s="120"/>
      <c r="VR1353" s="120"/>
      <c r="VS1353" s="120"/>
      <c r="VT1353" s="120"/>
      <c r="VU1353" s="120"/>
      <c r="VV1353" s="120"/>
      <c r="VW1353" s="120"/>
      <c r="VX1353" s="120"/>
      <c r="VY1353" s="120"/>
      <c r="VZ1353" s="120"/>
      <c r="WA1353" s="120"/>
      <c r="WB1353" s="120"/>
      <c r="WC1353" s="120"/>
      <c r="WD1353" s="120"/>
      <c r="WE1353" s="120"/>
      <c r="WF1353" s="120"/>
      <c r="WG1353" s="120"/>
      <c r="WH1353" s="120"/>
      <c r="WI1353" s="120"/>
      <c r="WJ1353" s="120"/>
      <c r="WK1353" s="120"/>
      <c r="WL1353" s="120"/>
      <c r="WM1353" s="120"/>
      <c r="WN1353" s="120"/>
      <c r="WO1353" s="120"/>
      <c r="WP1353" s="120"/>
      <c r="WQ1353" s="120"/>
      <c r="WR1353" s="120"/>
      <c r="WS1353" s="120"/>
      <c r="WT1353" s="120"/>
      <c r="WU1353" s="120"/>
      <c r="WV1353" s="120"/>
      <c r="WW1353" s="120"/>
      <c r="WX1353" s="120"/>
      <c r="WY1353" s="120"/>
      <c r="WZ1353" s="120"/>
      <c r="XA1353" s="120"/>
      <c r="XB1353" s="120"/>
      <c r="XC1353" s="120"/>
      <c r="XD1353" s="120"/>
      <c r="XE1353" s="120"/>
      <c r="XF1353" s="120"/>
      <c r="XG1353" s="120"/>
      <c r="XH1353" s="120"/>
      <c r="XI1353" s="120"/>
      <c r="XJ1353" s="120"/>
      <c r="XK1353" s="120"/>
      <c r="XL1353" s="120"/>
      <c r="XM1353" s="120"/>
      <c r="XN1353" s="120"/>
      <c r="XO1353" s="120"/>
      <c r="XP1353" s="120"/>
      <c r="XQ1353" s="120"/>
      <c r="XR1353" s="120"/>
      <c r="XS1353" s="120"/>
      <c r="XT1353" s="120"/>
      <c r="XU1353" s="120"/>
      <c r="XV1353" s="120"/>
      <c r="XW1353" s="120"/>
      <c r="XX1353" s="120"/>
      <c r="XY1353" s="120"/>
      <c r="XZ1353" s="120"/>
      <c r="YA1353" s="120"/>
      <c r="YB1353" s="120"/>
      <c r="YC1353" s="120"/>
      <c r="YD1353" s="120"/>
      <c r="YE1353" s="120"/>
      <c r="YF1353" s="120"/>
      <c r="YG1353" s="120"/>
      <c r="YH1353" s="120"/>
      <c r="YI1353" s="120"/>
      <c r="YJ1353" s="120"/>
      <c r="YK1353" s="120"/>
      <c r="YL1353" s="120"/>
      <c r="YM1353" s="120"/>
      <c r="YN1353" s="120"/>
      <c r="YO1353" s="120"/>
      <c r="YP1353" s="120"/>
      <c r="YQ1353" s="120"/>
      <c r="YR1353" s="120"/>
      <c r="YS1353" s="120"/>
      <c r="YT1353" s="120"/>
      <c r="YU1353" s="120"/>
      <c r="YV1353" s="120"/>
      <c r="YW1353" s="120"/>
      <c r="YX1353" s="120"/>
      <c r="YY1353" s="120"/>
      <c r="YZ1353" s="120"/>
      <c r="ZA1353" s="120"/>
      <c r="ZB1353" s="120"/>
      <c r="ZC1353" s="120"/>
      <c r="ZD1353" s="120"/>
      <c r="ZE1353" s="120"/>
      <c r="ZF1353" s="120"/>
      <c r="ZG1353" s="120"/>
      <c r="ZH1353" s="120"/>
      <c r="ZI1353" s="120"/>
      <c r="ZJ1353" s="120"/>
      <c r="ZK1353" s="120"/>
      <c r="ZL1353" s="120"/>
      <c r="ZM1353" s="120"/>
      <c r="ZN1353" s="120"/>
      <c r="ZO1353" s="120"/>
      <c r="ZP1353" s="120"/>
      <c r="ZQ1353" s="120"/>
      <c r="ZR1353" s="120"/>
      <c r="ZS1353" s="120"/>
      <c r="ZT1353" s="120"/>
      <c r="ZU1353" s="120"/>
      <c r="ZV1353" s="120"/>
      <c r="ZW1353" s="120"/>
      <c r="ZX1353" s="120"/>
      <c r="ZY1353" s="120"/>
      <c r="ZZ1353" s="120"/>
      <c r="AAA1353" s="120"/>
      <c r="AAB1353" s="120"/>
      <c r="AAC1353" s="120"/>
      <c r="AAD1353" s="120"/>
      <c r="AAE1353" s="120"/>
      <c r="AAF1353" s="120"/>
      <c r="AAG1353" s="120"/>
      <c r="AAH1353" s="120"/>
      <c r="AAI1353" s="120"/>
      <c r="AAJ1353" s="120"/>
      <c r="AAK1353" s="120"/>
      <c r="AAL1353" s="120"/>
      <c r="AAM1353" s="120"/>
      <c r="AAN1353" s="120"/>
      <c r="AAO1353" s="120"/>
      <c r="AAP1353" s="120"/>
      <c r="AAQ1353" s="120"/>
      <c r="AAR1353" s="120"/>
      <c r="AAS1353" s="120"/>
      <c r="AAT1353" s="120"/>
      <c r="AAU1353" s="120"/>
      <c r="AAV1353" s="120"/>
      <c r="AAW1353" s="120"/>
      <c r="AAX1353" s="120"/>
      <c r="AAY1353" s="120"/>
      <c r="AAZ1353" s="120"/>
      <c r="ABA1353" s="120"/>
      <c r="ABB1353" s="120"/>
      <c r="ABC1353" s="120"/>
      <c r="ABD1353" s="120"/>
      <c r="ABE1353" s="120"/>
      <c r="ABF1353" s="120"/>
      <c r="ABG1353" s="120"/>
      <c r="ABH1353" s="120"/>
      <c r="ABI1353" s="120"/>
      <c r="ABJ1353" s="120"/>
      <c r="ABK1353" s="120"/>
      <c r="ABL1353" s="120"/>
      <c r="ABM1353" s="120"/>
      <c r="ABN1353" s="120"/>
      <c r="ABO1353" s="120"/>
      <c r="ABP1353" s="120"/>
      <c r="ABQ1353" s="120"/>
      <c r="ABR1353" s="120"/>
      <c r="ABS1353" s="120"/>
      <c r="ABT1353" s="120"/>
      <c r="ABU1353" s="120"/>
      <c r="ABV1353" s="120"/>
      <c r="ABW1353" s="120"/>
      <c r="ABX1353" s="120"/>
      <c r="ABY1353" s="120"/>
      <c r="ABZ1353" s="120"/>
      <c r="ACA1353" s="120"/>
      <c r="ACB1353" s="120"/>
      <c r="ACC1353" s="120"/>
      <c r="ACD1353" s="120"/>
      <c r="ACE1353" s="120"/>
      <c r="ACF1353" s="120"/>
      <c r="ACG1353" s="120"/>
      <c r="ACH1353" s="120"/>
      <c r="ACI1353" s="120"/>
      <c r="ACJ1353" s="120"/>
      <c r="ACK1353" s="120"/>
      <c r="ACL1353" s="120"/>
      <c r="ACM1353" s="120"/>
      <c r="ACN1353" s="120"/>
      <c r="ACO1353" s="120"/>
      <c r="ACP1353" s="120"/>
      <c r="ACQ1353" s="120"/>
      <c r="ACR1353" s="120"/>
      <c r="ACS1353" s="120"/>
      <c r="ACT1353" s="120"/>
      <c r="ACU1353" s="120"/>
      <c r="ACV1353" s="120"/>
      <c r="ACW1353" s="120"/>
      <c r="ACX1353" s="120"/>
      <c r="ACY1353" s="120"/>
      <c r="ACZ1353" s="120"/>
      <c r="ADA1353" s="120"/>
      <c r="ADB1353" s="120"/>
      <c r="ADC1353" s="120"/>
      <c r="ADD1353" s="120"/>
      <c r="ADE1353" s="120"/>
      <c r="ADF1353" s="120"/>
      <c r="ADG1353" s="120"/>
      <c r="ADH1353" s="120"/>
      <c r="ADI1353" s="120"/>
      <c r="ADJ1353" s="120"/>
      <c r="ADK1353" s="120"/>
      <c r="ADL1353" s="120"/>
      <c r="ADM1353" s="120"/>
      <c r="ADN1353" s="120"/>
      <c r="ADO1353" s="120"/>
      <c r="ADP1353" s="120"/>
      <c r="ADQ1353" s="120"/>
      <c r="ADR1353" s="120"/>
      <c r="ADS1353" s="120"/>
      <c r="ADT1353" s="120"/>
      <c r="ADU1353" s="120"/>
      <c r="ADV1353" s="120"/>
      <c r="ADW1353" s="120"/>
      <c r="ADX1353" s="120"/>
      <c r="ADY1353" s="120"/>
      <c r="ADZ1353" s="120"/>
      <c r="AEA1353" s="120"/>
      <c r="AEB1353" s="120"/>
      <c r="AEC1353" s="120"/>
      <c r="AED1353" s="120"/>
      <c r="AEE1353" s="120"/>
      <c r="AEF1353" s="120"/>
      <c r="AEG1353" s="120"/>
      <c r="AEH1353" s="120"/>
      <c r="AEI1353" s="120"/>
      <c r="AEJ1353" s="120"/>
      <c r="AEK1353" s="120"/>
      <c r="AEL1353" s="120"/>
      <c r="AEM1353" s="120"/>
      <c r="AEN1353" s="120"/>
      <c r="AEO1353" s="120"/>
      <c r="AEP1353" s="120"/>
      <c r="AEQ1353" s="120"/>
      <c r="AER1353" s="120"/>
      <c r="AES1353" s="120"/>
      <c r="AET1353" s="120"/>
      <c r="AEU1353" s="120"/>
      <c r="AEV1353" s="120"/>
      <c r="AEW1353" s="120"/>
      <c r="AEX1353" s="120"/>
      <c r="AEY1353" s="120"/>
      <c r="AEZ1353" s="120"/>
      <c r="AFA1353" s="120"/>
      <c r="AFB1353" s="120"/>
      <c r="AFC1353" s="120"/>
      <c r="AFD1353" s="120"/>
      <c r="AFE1353" s="120"/>
      <c r="AFF1353" s="120"/>
      <c r="AFG1353" s="120"/>
      <c r="AFH1353" s="120"/>
      <c r="AFI1353" s="120"/>
      <c r="AFJ1353" s="120"/>
      <c r="AFK1353" s="120"/>
      <c r="AFL1353" s="120"/>
      <c r="AFM1353" s="120"/>
      <c r="AFN1353" s="120"/>
      <c r="AFO1353" s="120"/>
      <c r="AFP1353" s="120"/>
      <c r="AFQ1353" s="120"/>
      <c r="AFR1353" s="120"/>
      <c r="AFS1353" s="120"/>
      <c r="AFT1353" s="120"/>
      <c r="AFU1353" s="120"/>
      <c r="AFV1353" s="120"/>
      <c r="AFW1353" s="120"/>
      <c r="AFX1353" s="120"/>
      <c r="AFY1353" s="120"/>
      <c r="AFZ1353" s="120"/>
      <c r="AGA1353" s="120"/>
      <c r="AGB1353" s="120"/>
      <c r="AGC1353" s="120"/>
      <c r="AGD1353" s="120"/>
      <c r="AGE1353" s="120"/>
      <c r="AGF1353" s="120"/>
      <c r="AGG1353" s="120"/>
      <c r="AGH1353" s="120"/>
      <c r="AGI1353" s="120"/>
      <c r="AGJ1353" s="120"/>
      <c r="AGK1353" s="120"/>
      <c r="AGL1353" s="120"/>
      <c r="AGM1353" s="120"/>
      <c r="AGN1353" s="120"/>
      <c r="AGO1353" s="120"/>
      <c r="AGP1353" s="120"/>
      <c r="AGQ1353" s="120"/>
      <c r="AGR1353" s="120"/>
      <c r="AGS1353" s="120"/>
      <c r="AGT1353" s="120"/>
      <c r="AGU1353" s="120"/>
      <c r="AGV1353" s="120"/>
      <c r="AGW1353" s="120"/>
      <c r="AGX1353" s="120"/>
      <c r="AGY1353" s="120"/>
      <c r="AGZ1353" s="120"/>
      <c r="AHA1353" s="120"/>
      <c r="AHB1353" s="120"/>
      <c r="AHC1353" s="120"/>
      <c r="AHD1353" s="120"/>
      <c r="AHE1353" s="120"/>
      <c r="AHF1353" s="120"/>
      <c r="AHG1353" s="120"/>
      <c r="AHH1353" s="120"/>
      <c r="AHI1353" s="120"/>
      <c r="AHJ1353" s="120"/>
      <c r="AHK1353" s="120"/>
      <c r="AHL1353" s="120"/>
      <c r="AHM1353" s="120"/>
      <c r="AHN1353" s="120"/>
      <c r="AHO1353" s="120"/>
      <c r="AHP1353" s="120"/>
      <c r="AHQ1353" s="120"/>
      <c r="AHR1353" s="120"/>
      <c r="AHS1353" s="120"/>
      <c r="AHT1353" s="120"/>
      <c r="AHU1353" s="120"/>
      <c r="AHV1353" s="120"/>
      <c r="AHW1353" s="120"/>
      <c r="AHX1353" s="120"/>
      <c r="AHY1353" s="120"/>
      <c r="AHZ1353" s="120"/>
      <c r="AIA1353" s="120"/>
      <c r="AIB1353" s="120"/>
      <c r="AIC1353" s="120"/>
      <c r="AID1353" s="120"/>
      <c r="AIE1353" s="120"/>
      <c r="AIF1353" s="120"/>
      <c r="AIG1353" s="120"/>
      <c r="AIH1353" s="120"/>
      <c r="AII1353" s="120"/>
      <c r="AIJ1353" s="120"/>
      <c r="AIK1353" s="120"/>
      <c r="AIL1353" s="120"/>
      <c r="AIM1353" s="120"/>
      <c r="AIN1353" s="120"/>
      <c r="AIO1353" s="120"/>
      <c r="AIP1353" s="120"/>
      <c r="AIQ1353" s="120"/>
      <c r="AIR1353" s="120"/>
      <c r="AIS1353" s="120"/>
      <c r="AIT1353" s="120"/>
      <c r="AIU1353" s="120"/>
      <c r="AIV1353" s="120"/>
      <c r="AIW1353" s="120"/>
      <c r="AIX1353" s="120"/>
      <c r="AIY1353" s="120"/>
      <c r="AIZ1353" s="120"/>
      <c r="AJA1353" s="120"/>
      <c r="AJB1353" s="120"/>
      <c r="AJC1353" s="120"/>
      <c r="AJD1353" s="120"/>
      <c r="AJE1353" s="120"/>
      <c r="AJF1353" s="120"/>
      <c r="AJG1353" s="120"/>
      <c r="AJH1353" s="120"/>
      <c r="AJI1353" s="120"/>
      <c r="AJJ1353" s="120"/>
      <c r="AJK1353" s="120"/>
      <c r="AJL1353" s="120"/>
      <c r="AJM1353" s="120"/>
      <c r="AJN1353" s="120"/>
      <c r="AJO1353" s="120"/>
      <c r="AJP1353" s="120"/>
      <c r="AJQ1353" s="120"/>
      <c r="AJR1353" s="120"/>
      <c r="AJS1353" s="120"/>
      <c r="AJT1353" s="120"/>
      <c r="AJU1353" s="120"/>
      <c r="AJV1353" s="120"/>
      <c r="AJW1353" s="120"/>
      <c r="AJX1353" s="120"/>
      <c r="AJY1353" s="120"/>
      <c r="AJZ1353" s="120"/>
      <c r="AKA1353" s="120"/>
      <c r="AKB1353" s="120"/>
      <c r="AKC1353" s="120"/>
      <c r="AKD1353" s="120"/>
      <c r="AKE1353" s="120"/>
      <c r="AKF1353" s="120"/>
      <c r="AKG1353" s="120"/>
      <c r="AKH1353" s="120"/>
      <c r="AKI1353" s="120"/>
      <c r="AKJ1353" s="120"/>
      <c r="AKK1353" s="120"/>
      <c r="AKL1353" s="120"/>
      <c r="AKM1353" s="120"/>
      <c r="AKN1353" s="120"/>
      <c r="AKO1353" s="120"/>
      <c r="AKP1353" s="120"/>
      <c r="AKQ1353" s="120"/>
      <c r="AKR1353" s="120"/>
      <c r="AKS1353" s="120"/>
      <c r="AKT1353" s="120"/>
      <c r="AKU1353" s="120"/>
      <c r="AKV1353" s="120"/>
      <c r="AKW1353" s="120"/>
      <c r="AKX1353" s="120"/>
      <c r="AKY1353" s="120"/>
      <c r="AKZ1353" s="120"/>
      <c r="ALA1353" s="120"/>
      <c r="ALB1353" s="120"/>
      <c r="ALC1353" s="120"/>
      <c r="ALD1353" s="120"/>
      <c r="ALE1353" s="120"/>
      <c r="ALF1353" s="120"/>
      <c r="ALG1353" s="120"/>
      <c r="ALH1353" s="120"/>
      <c r="ALI1353" s="120"/>
      <c r="ALJ1353" s="120"/>
      <c r="ALK1353" s="120"/>
      <c r="ALL1353" s="120"/>
      <c r="ALM1353" s="120"/>
      <c r="ALN1353" s="120"/>
      <c r="ALO1353" s="120"/>
      <c r="ALP1353" s="120"/>
      <c r="ALQ1353" s="120"/>
      <c r="ALR1353" s="120"/>
      <c r="ALS1353" s="120"/>
      <c r="ALT1353" s="120"/>
      <c r="ALU1353" s="120"/>
      <c r="ALV1353" s="120"/>
      <c r="ALW1353" s="120"/>
      <c r="ALX1353" s="120"/>
      <c r="ALY1353" s="120"/>
      <c r="ALZ1353" s="120"/>
      <c r="AMA1353" s="120"/>
      <c r="AMB1353" s="120"/>
      <c r="AMC1353" s="120"/>
      <c r="AMD1353" s="120"/>
      <c r="AME1353" s="120"/>
      <c r="AMF1353" s="120"/>
      <c r="AMG1353" s="120"/>
      <c r="AMH1353" s="120"/>
      <c r="AMI1353" s="120"/>
      <c r="AMJ1353" s="120"/>
      <c r="AMK1353" s="120"/>
      <c r="AML1353" s="120"/>
      <c r="AMM1353" s="120"/>
      <c r="AMN1353" s="120"/>
      <c r="AMO1353" s="120"/>
      <c r="AMP1353" s="120"/>
      <c r="AMQ1353" s="120"/>
      <c r="AMR1353" s="120"/>
      <c r="AMS1353" s="120"/>
      <c r="AMT1353" s="120"/>
      <c r="AMU1353" s="120"/>
      <c r="AMV1353" s="120"/>
      <c r="AMW1353" s="120"/>
      <c r="AMX1353" s="120"/>
      <c r="AMY1353" s="120"/>
      <c r="AMZ1353" s="120"/>
      <c r="ANA1353" s="120"/>
      <c r="ANB1353" s="120"/>
      <c r="ANC1353" s="120"/>
      <c r="AND1353" s="120"/>
      <c r="ANE1353" s="120"/>
      <c r="ANF1353" s="120"/>
      <c r="ANG1353" s="120"/>
      <c r="ANH1353" s="120"/>
      <c r="ANI1353" s="120"/>
      <c r="ANJ1353" s="120"/>
      <c r="ANK1353" s="120"/>
      <c r="ANL1353" s="120"/>
      <c r="ANM1353" s="120"/>
      <c r="ANN1353" s="120"/>
      <c r="ANO1353" s="120"/>
      <c r="ANP1353" s="120"/>
      <c r="ANQ1353" s="120"/>
      <c r="ANR1353" s="120"/>
      <c r="ANS1353" s="120"/>
      <c r="ANT1353" s="120"/>
      <c r="ANU1353" s="120"/>
      <c r="ANV1353" s="120"/>
      <c r="ANW1353" s="120"/>
      <c r="ANX1353" s="120"/>
      <c r="ANY1353" s="120"/>
      <c r="ANZ1353" s="120"/>
      <c r="AOA1353" s="120"/>
      <c r="AOB1353" s="120"/>
      <c r="AOC1353" s="120"/>
      <c r="AOD1353" s="120"/>
      <c r="AOE1353" s="120"/>
      <c r="AOF1353" s="120"/>
      <c r="AOG1353" s="120"/>
      <c r="AOH1353" s="120"/>
      <c r="AOI1353" s="120"/>
      <c r="AOJ1353" s="120"/>
      <c r="AOK1353" s="120"/>
      <c r="AOL1353" s="120"/>
      <c r="AOM1353" s="120"/>
      <c r="AON1353" s="120"/>
      <c r="AOO1353" s="120"/>
      <c r="AOP1353" s="120"/>
      <c r="AOQ1353" s="120"/>
      <c r="AOR1353" s="120"/>
      <c r="AOS1353" s="120"/>
      <c r="AOT1353" s="120"/>
      <c r="AOU1353" s="120"/>
      <c r="AOV1353" s="120"/>
      <c r="AOW1353" s="120"/>
      <c r="AOX1353" s="120"/>
      <c r="AOY1353" s="120"/>
      <c r="AOZ1353" s="120"/>
      <c r="APA1353" s="120"/>
      <c r="APB1353" s="120"/>
      <c r="APC1353" s="120"/>
      <c r="APD1353" s="120"/>
      <c r="APE1353" s="120"/>
      <c r="APF1353" s="120"/>
      <c r="APG1353" s="120"/>
      <c r="APH1353" s="120"/>
      <c r="API1353" s="120"/>
      <c r="APJ1353" s="120"/>
      <c r="APK1353" s="120"/>
      <c r="APL1353" s="120"/>
      <c r="APM1353" s="120"/>
      <c r="APN1353" s="120"/>
      <c r="APO1353" s="120"/>
      <c r="APP1353" s="120"/>
      <c r="APQ1353" s="120"/>
      <c r="APR1353" s="120"/>
      <c r="APS1353" s="120"/>
      <c r="APT1353" s="120"/>
      <c r="APU1353" s="120"/>
      <c r="APV1353" s="120"/>
      <c r="APW1353" s="120"/>
      <c r="APX1353" s="120"/>
      <c r="APY1353" s="120"/>
      <c r="APZ1353" s="120"/>
      <c r="AQA1353" s="120"/>
      <c r="AQB1353" s="120"/>
      <c r="AQC1353" s="120"/>
      <c r="AQD1353" s="120"/>
      <c r="AQE1353" s="120"/>
      <c r="AQF1353" s="120"/>
      <c r="AQG1353" s="120"/>
      <c r="AQH1353" s="120"/>
      <c r="AQI1353" s="120"/>
      <c r="AQJ1353" s="120"/>
      <c r="AQK1353" s="120"/>
      <c r="AQL1353" s="120"/>
      <c r="AQM1353" s="120"/>
      <c r="AQN1353" s="120"/>
      <c r="AQO1353" s="120"/>
      <c r="AQP1353" s="120"/>
      <c r="AQQ1353" s="120"/>
      <c r="AQR1353" s="120"/>
      <c r="AQS1353" s="120"/>
      <c r="AQT1353" s="120"/>
      <c r="AQU1353" s="120"/>
      <c r="AQV1353" s="120"/>
      <c r="AQW1353" s="120"/>
      <c r="AQX1353" s="120"/>
      <c r="AQY1353" s="120"/>
      <c r="AQZ1353" s="120"/>
      <c r="ARA1353" s="120"/>
      <c r="ARB1353" s="120"/>
      <c r="ARC1353" s="120"/>
      <c r="ARD1353" s="120"/>
      <c r="ARE1353" s="120"/>
      <c r="ARF1353" s="120"/>
      <c r="ARG1353" s="120"/>
      <c r="ARH1353" s="120"/>
      <c r="ARI1353" s="120"/>
      <c r="ARJ1353" s="120"/>
      <c r="ARK1353" s="120"/>
      <c r="ARL1353" s="120"/>
      <c r="ARM1353" s="120"/>
      <c r="ARN1353" s="120"/>
      <c r="ARO1353" s="120"/>
      <c r="ARP1353" s="120"/>
      <c r="ARQ1353" s="120"/>
      <c r="ARR1353" s="120"/>
      <c r="ARS1353" s="120"/>
      <c r="ART1353" s="120"/>
      <c r="ARU1353" s="120"/>
      <c r="ARV1353" s="120"/>
      <c r="ARW1353" s="120"/>
      <c r="ARX1353" s="120"/>
      <c r="ARY1353" s="120"/>
      <c r="ARZ1353" s="120"/>
      <c r="ASA1353" s="120"/>
      <c r="ASB1353" s="120"/>
      <c r="ASC1353" s="120"/>
      <c r="ASD1353" s="120"/>
      <c r="ASE1353" s="120"/>
      <c r="ASF1353" s="120"/>
      <c r="ASG1353" s="120"/>
      <c r="ASH1353" s="120"/>
      <c r="ASI1353" s="120"/>
      <c r="ASJ1353" s="120"/>
      <c r="ASK1353" s="120"/>
      <c r="ASL1353" s="120"/>
      <c r="ASM1353" s="120"/>
      <c r="ASN1353" s="120"/>
      <c r="ASO1353" s="120"/>
      <c r="ASP1353" s="120"/>
      <c r="ASQ1353" s="120"/>
      <c r="ASR1353" s="120"/>
      <c r="ASS1353" s="120"/>
      <c r="AST1353" s="120"/>
      <c r="ASU1353" s="120"/>
      <c r="ASV1353" s="120"/>
      <c r="ASW1353" s="120"/>
      <c r="ASX1353" s="120"/>
      <c r="ASY1353" s="120"/>
      <c r="ASZ1353" s="120"/>
      <c r="ATA1353" s="120"/>
      <c r="ATB1353" s="120"/>
      <c r="ATC1353" s="120"/>
      <c r="ATD1353" s="120"/>
      <c r="ATE1353" s="120"/>
      <c r="ATF1353" s="120"/>
      <c r="ATG1353" s="120"/>
      <c r="ATH1353" s="120"/>
      <c r="ATI1353" s="120"/>
      <c r="ATJ1353" s="120"/>
      <c r="ATK1353" s="120"/>
      <c r="ATL1353" s="120"/>
      <c r="ATM1353" s="120"/>
      <c r="ATN1353" s="120"/>
      <c r="ATO1353" s="120"/>
    </row>
    <row r="1354" spans="1:1211" s="20" customFormat="1" ht="14.1" customHeight="1">
      <c r="A1354" s="629"/>
      <c r="B1354" s="630"/>
      <c r="C1354" s="631"/>
      <c r="D1354" s="631"/>
      <c r="E1354" s="898"/>
      <c r="F1354" s="899"/>
      <c r="G1354" s="899"/>
      <c r="H1354" s="899"/>
      <c r="I1354" s="899"/>
      <c r="J1354" s="899"/>
      <c r="K1354" s="112"/>
      <c r="L1354" s="363"/>
      <c r="M1354" s="112"/>
      <c r="N1354" s="362"/>
      <c r="O1354" s="573"/>
      <c r="P1354" s="120"/>
      <c r="Q1354" s="120"/>
      <c r="R1354" s="120"/>
      <c r="S1354" s="120"/>
      <c r="T1354" s="120"/>
      <c r="U1354" s="120"/>
      <c r="V1354" s="120"/>
      <c r="W1354" s="120"/>
      <c r="X1354" s="120"/>
      <c r="Y1354" s="120"/>
      <c r="Z1354" s="120"/>
      <c r="AA1354" s="120"/>
      <c r="AB1354" s="120"/>
      <c r="AC1354" s="120"/>
      <c r="AD1354" s="120"/>
      <c r="AE1354" s="120"/>
      <c r="AF1354" s="120"/>
      <c r="AG1354" s="120"/>
      <c r="AH1354" s="120"/>
      <c r="AI1354" s="120"/>
      <c r="AJ1354" s="120"/>
      <c r="AK1354" s="120"/>
      <c r="AL1354" s="120"/>
      <c r="AM1354" s="120"/>
      <c r="AN1354" s="120"/>
      <c r="AO1354" s="120"/>
      <c r="AP1354" s="120"/>
      <c r="AQ1354" s="120"/>
      <c r="AR1354" s="120"/>
      <c r="AS1354" s="120"/>
      <c r="AT1354" s="120"/>
      <c r="AU1354" s="120"/>
      <c r="AV1354" s="120"/>
      <c r="AW1354" s="120"/>
      <c r="AX1354" s="120"/>
      <c r="AY1354" s="120"/>
      <c r="AZ1354" s="120"/>
      <c r="BA1354" s="120"/>
      <c r="BB1354" s="120"/>
      <c r="BC1354" s="120"/>
      <c r="BD1354" s="120"/>
      <c r="BE1354" s="120"/>
      <c r="BF1354" s="120"/>
      <c r="BG1354" s="120"/>
      <c r="BH1354" s="120"/>
      <c r="BI1354" s="120"/>
      <c r="BJ1354" s="120"/>
      <c r="BK1354" s="120"/>
      <c r="BL1354" s="120"/>
      <c r="BM1354" s="120"/>
      <c r="BN1354" s="120"/>
      <c r="BO1354" s="120"/>
      <c r="BP1354" s="120"/>
      <c r="BQ1354" s="120"/>
      <c r="BR1354" s="120"/>
      <c r="BS1354" s="120"/>
      <c r="BT1354" s="120"/>
      <c r="BU1354" s="120"/>
      <c r="BV1354" s="120"/>
      <c r="BW1354" s="120"/>
      <c r="BX1354" s="120"/>
      <c r="BY1354" s="120"/>
      <c r="BZ1354" s="120"/>
      <c r="CA1354" s="120"/>
      <c r="CB1354" s="120"/>
      <c r="CC1354" s="120"/>
      <c r="CD1354" s="120"/>
      <c r="CE1354" s="120"/>
      <c r="CF1354" s="120"/>
      <c r="CG1354" s="120"/>
      <c r="CH1354" s="120"/>
      <c r="CI1354" s="120"/>
      <c r="CJ1354" s="120"/>
      <c r="CK1354" s="120"/>
      <c r="CL1354" s="120"/>
      <c r="CM1354" s="120"/>
      <c r="CN1354" s="120"/>
      <c r="CO1354" s="120"/>
      <c r="CP1354" s="120"/>
      <c r="CQ1354" s="120"/>
      <c r="CR1354" s="120"/>
      <c r="CS1354" s="120"/>
      <c r="CT1354" s="120"/>
      <c r="CU1354" s="120"/>
      <c r="CV1354" s="120"/>
      <c r="CW1354" s="120"/>
      <c r="CX1354" s="120"/>
      <c r="CY1354" s="120"/>
      <c r="CZ1354" s="120"/>
      <c r="DA1354" s="120"/>
      <c r="DB1354" s="120"/>
      <c r="DC1354" s="120"/>
      <c r="DD1354" s="120"/>
      <c r="DE1354" s="120"/>
      <c r="DF1354" s="120"/>
      <c r="DG1354" s="120"/>
      <c r="DH1354" s="120"/>
      <c r="DI1354" s="120"/>
      <c r="DJ1354" s="120"/>
      <c r="DK1354" s="120"/>
      <c r="DL1354" s="120"/>
      <c r="DM1354" s="120"/>
      <c r="DN1354" s="120"/>
      <c r="DO1354" s="120"/>
      <c r="DP1354" s="120"/>
      <c r="DQ1354" s="120"/>
      <c r="DR1354" s="120"/>
      <c r="DS1354" s="120"/>
      <c r="DT1354" s="120"/>
      <c r="DU1354" s="120"/>
      <c r="DV1354" s="120"/>
      <c r="DW1354" s="120"/>
      <c r="DX1354" s="120"/>
      <c r="DY1354" s="120"/>
      <c r="DZ1354" s="120"/>
      <c r="EA1354" s="120"/>
      <c r="EB1354" s="120"/>
      <c r="EC1354" s="120"/>
      <c r="ED1354" s="120"/>
      <c r="EE1354" s="120"/>
      <c r="EF1354" s="120"/>
      <c r="EG1354" s="120"/>
      <c r="EH1354" s="120"/>
      <c r="EI1354" s="120"/>
      <c r="EJ1354" s="120"/>
      <c r="EK1354" s="120"/>
      <c r="EL1354" s="120"/>
      <c r="EM1354" s="120"/>
      <c r="EN1354" s="120"/>
      <c r="EO1354" s="120"/>
      <c r="EP1354" s="120"/>
      <c r="EQ1354" s="120"/>
      <c r="ER1354" s="120"/>
      <c r="ES1354" s="120"/>
      <c r="ET1354" s="120"/>
      <c r="EU1354" s="120"/>
      <c r="EV1354" s="120"/>
      <c r="EW1354" s="120"/>
      <c r="EX1354" s="120"/>
      <c r="EY1354" s="120"/>
      <c r="EZ1354" s="120"/>
      <c r="FA1354" s="120"/>
      <c r="FB1354" s="120"/>
      <c r="FC1354" s="120"/>
      <c r="FD1354" s="120"/>
      <c r="FE1354" s="120"/>
      <c r="FF1354" s="120"/>
      <c r="FG1354" s="120"/>
      <c r="FH1354" s="120"/>
      <c r="FI1354" s="120"/>
      <c r="FJ1354" s="120"/>
      <c r="FK1354" s="120"/>
      <c r="FL1354" s="120"/>
      <c r="FM1354" s="120"/>
      <c r="FN1354" s="120"/>
      <c r="FO1354" s="120"/>
      <c r="FP1354" s="120"/>
      <c r="FQ1354" s="120"/>
      <c r="FR1354" s="120"/>
      <c r="FS1354" s="120"/>
      <c r="FT1354" s="120"/>
      <c r="FU1354" s="120"/>
      <c r="FV1354" s="120"/>
      <c r="FW1354" s="120"/>
      <c r="FX1354" s="120"/>
      <c r="FY1354" s="120"/>
      <c r="FZ1354" s="120"/>
      <c r="GA1354" s="120"/>
      <c r="GB1354" s="120"/>
      <c r="GC1354" s="120"/>
      <c r="GD1354" s="120"/>
      <c r="GE1354" s="120"/>
      <c r="GF1354" s="120"/>
      <c r="GG1354" s="120"/>
      <c r="GH1354" s="120"/>
      <c r="GI1354" s="120"/>
      <c r="GJ1354" s="120"/>
      <c r="GK1354" s="120"/>
      <c r="GL1354" s="120"/>
      <c r="GM1354" s="120"/>
      <c r="GN1354" s="120"/>
      <c r="GO1354" s="120"/>
      <c r="GP1354" s="120"/>
      <c r="GQ1354" s="120"/>
      <c r="GR1354" s="120"/>
      <c r="GS1354" s="120"/>
      <c r="GT1354" s="120"/>
      <c r="GU1354" s="120"/>
      <c r="GV1354" s="120"/>
      <c r="GW1354" s="120"/>
      <c r="GX1354" s="120"/>
      <c r="GY1354" s="120"/>
      <c r="GZ1354" s="120"/>
      <c r="HA1354" s="120"/>
      <c r="HB1354" s="120"/>
      <c r="HC1354" s="120"/>
      <c r="HD1354" s="120"/>
      <c r="HE1354" s="120"/>
      <c r="HF1354" s="120"/>
      <c r="HG1354" s="120"/>
      <c r="HH1354" s="120"/>
      <c r="HI1354" s="120"/>
      <c r="HJ1354" s="120"/>
      <c r="HK1354" s="120"/>
      <c r="HL1354" s="120"/>
      <c r="HM1354" s="120"/>
      <c r="HN1354" s="120"/>
      <c r="HO1354" s="120"/>
      <c r="HP1354" s="120"/>
      <c r="HQ1354" s="120"/>
      <c r="HR1354" s="120"/>
      <c r="HS1354" s="120"/>
      <c r="HT1354" s="120"/>
      <c r="HU1354" s="120"/>
      <c r="HV1354" s="120"/>
      <c r="HW1354" s="120"/>
      <c r="HX1354" s="120"/>
      <c r="HY1354" s="120"/>
      <c r="HZ1354" s="120"/>
      <c r="IA1354" s="120"/>
      <c r="IB1354" s="120"/>
      <c r="IC1354" s="120"/>
      <c r="ID1354" s="120"/>
      <c r="IE1354" s="120"/>
      <c r="IF1354" s="120"/>
      <c r="IG1354" s="120"/>
      <c r="IH1354" s="120"/>
      <c r="II1354" s="120"/>
      <c r="IJ1354" s="120"/>
      <c r="IK1354" s="120"/>
      <c r="IL1354" s="120"/>
      <c r="IM1354" s="120"/>
      <c r="IN1354" s="120"/>
      <c r="IO1354" s="120"/>
      <c r="IP1354" s="120"/>
      <c r="IQ1354" s="120"/>
      <c r="IR1354" s="120"/>
      <c r="IS1354" s="120"/>
      <c r="IT1354" s="120"/>
      <c r="IU1354" s="120"/>
      <c r="IV1354" s="120"/>
      <c r="IW1354" s="120"/>
      <c r="IX1354" s="120"/>
      <c r="IY1354" s="120"/>
      <c r="IZ1354" s="120"/>
      <c r="JA1354" s="120"/>
      <c r="JB1354" s="120"/>
      <c r="JC1354" s="120"/>
      <c r="JD1354" s="120"/>
      <c r="JE1354" s="120"/>
      <c r="JF1354" s="120"/>
      <c r="JG1354" s="120"/>
      <c r="JH1354" s="120"/>
      <c r="JI1354" s="120"/>
      <c r="JJ1354" s="120"/>
      <c r="JK1354" s="120"/>
      <c r="JL1354" s="120"/>
      <c r="JM1354" s="120"/>
      <c r="JN1354" s="120"/>
      <c r="JO1354" s="120"/>
      <c r="JP1354" s="120"/>
      <c r="JQ1354" s="120"/>
      <c r="JR1354" s="120"/>
      <c r="JS1354" s="120"/>
      <c r="JT1354" s="120"/>
      <c r="JU1354" s="120"/>
      <c r="JV1354" s="120"/>
      <c r="JW1354" s="120"/>
      <c r="JX1354" s="120"/>
      <c r="JY1354" s="120"/>
      <c r="JZ1354" s="120"/>
      <c r="KA1354" s="120"/>
      <c r="KB1354" s="120"/>
      <c r="KC1354" s="120"/>
      <c r="KD1354" s="120"/>
      <c r="KE1354" s="120"/>
      <c r="KF1354" s="120"/>
      <c r="KG1354" s="120"/>
      <c r="KH1354" s="120"/>
      <c r="KI1354" s="120"/>
      <c r="KJ1354" s="120"/>
      <c r="KK1354" s="120"/>
      <c r="KL1354" s="120"/>
      <c r="KM1354" s="120"/>
      <c r="KN1354" s="120"/>
      <c r="KO1354" s="120"/>
      <c r="KP1354" s="120"/>
      <c r="KQ1354" s="120"/>
      <c r="KR1354" s="120"/>
      <c r="KS1354" s="120"/>
      <c r="KT1354" s="120"/>
      <c r="KU1354" s="120"/>
      <c r="KV1354" s="120"/>
      <c r="KW1354" s="120"/>
      <c r="KX1354" s="120"/>
      <c r="KY1354" s="120"/>
      <c r="KZ1354" s="120"/>
      <c r="LA1354" s="120"/>
      <c r="LB1354" s="120"/>
      <c r="LC1354" s="120"/>
      <c r="LD1354" s="120"/>
      <c r="LE1354" s="120"/>
      <c r="LF1354" s="120"/>
      <c r="LG1354" s="120"/>
      <c r="LH1354" s="120"/>
      <c r="LI1354" s="120"/>
      <c r="LJ1354" s="120"/>
      <c r="LK1354" s="120"/>
      <c r="LL1354" s="120"/>
      <c r="LM1354" s="120"/>
      <c r="LN1354" s="120"/>
      <c r="LO1354" s="120"/>
      <c r="LP1354" s="120"/>
      <c r="LQ1354" s="120"/>
      <c r="LR1354" s="120"/>
      <c r="LS1354" s="120"/>
      <c r="LT1354" s="120"/>
      <c r="LU1354" s="120"/>
      <c r="LV1354" s="120"/>
      <c r="LW1354" s="120"/>
      <c r="LX1354" s="120"/>
      <c r="LY1354" s="120"/>
      <c r="LZ1354" s="120"/>
      <c r="MA1354" s="120"/>
      <c r="MB1354" s="120"/>
      <c r="MC1354" s="120"/>
      <c r="MD1354" s="120"/>
      <c r="ME1354" s="120"/>
      <c r="MF1354" s="120"/>
      <c r="MG1354" s="120"/>
      <c r="MH1354" s="120"/>
      <c r="MI1354" s="120"/>
      <c r="MJ1354" s="120"/>
      <c r="MK1354" s="120"/>
      <c r="ML1354" s="120"/>
      <c r="MM1354" s="120"/>
      <c r="MN1354" s="120"/>
      <c r="MO1354" s="120"/>
      <c r="MP1354" s="120"/>
      <c r="MQ1354" s="120"/>
      <c r="MR1354" s="120"/>
      <c r="MS1354" s="120"/>
      <c r="MT1354" s="120"/>
      <c r="MU1354" s="120"/>
      <c r="MV1354" s="120"/>
      <c r="MW1354" s="120"/>
      <c r="MX1354" s="120"/>
      <c r="MY1354" s="120"/>
      <c r="MZ1354" s="120"/>
      <c r="NA1354" s="120"/>
      <c r="NB1354" s="120"/>
      <c r="NC1354" s="120"/>
      <c r="ND1354" s="120"/>
      <c r="NE1354" s="120"/>
      <c r="NF1354" s="120"/>
      <c r="NG1354" s="120"/>
      <c r="NH1354" s="120"/>
      <c r="NI1354" s="120"/>
      <c r="NJ1354" s="120"/>
      <c r="NK1354" s="120"/>
      <c r="NL1354" s="120"/>
      <c r="NM1354" s="120"/>
      <c r="NN1354" s="120"/>
      <c r="NO1354" s="120"/>
      <c r="NP1354" s="120"/>
      <c r="NQ1354" s="120"/>
      <c r="NR1354" s="120"/>
      <c r="NS1354" s="120"/>
      <c r="NT1354" s="120"/>
      <c r="NU1354" s="120"/>
      <c r="NV1354" s="120"/>
      <c r="NW1354" s="120"/>
      <c r="NX1354" s="120"/>
      <c r="NY1354" s="120"/>
      <c r="NZ1354" s="120"/>
      <c r="OA1354" s="120"/>
      <c r="OB1354" s="120"/>
      <c r="OC1354" s="120"/>
      <c r="OD1354" s="120"/>
      <c r="OE1354" s="120"/>
      <c r="OF1354" s="120"/>
      <c r="OG1354" s="120"/>
      <c r="OH1354" s="120"/>
      <c r="OI1354" s="120"/>
      <c r="OJ1354" s="120"/>
      <c r="OK1354" s="120"/>
      <c r="OL1354" s="120"/>
      <c r="OM1354" s="120"/>
      <c r="ON1354" s="120"/>
      <c r="OO1354" s="120"/>
      <c r="OP1354" s="120"/>
      <c r="OQ1354" s="120"/>
      <c r="OR1354" s="120"/>
      <c r="OS1354" s="120"/>
      <c r="OT1354" s="120"/>
      <c r="OU1354" s="120"/>
      <c r="OV1354" s="120"/>
      <c r="OW1354" s="120"/>
      <c r="OX1354" s="120"/>
      <c r="OY1354" s="120"/>
      <c r="OZ1354" s="120"/>
      <c r="PA1354" s="120"/>
      <c r="PB1354" s="120"/>
      <c r="PC1354" s="120"/>
      <c r="PD1354" s="120"/>
      <c r="PE1354" s="120"/>
      <c r="PF1354" s="120"/>
      <c r="PG1354" s="120"/>
      <c r="PH1354" s="120"/>
      <c r="PI1354" s="120"/>
      <c r="PJ1354" s="120"/>
      <c r="PK1354" s="120"/>
      <c r="PL1354" s="120"/>
      <c r="PM1354" s="120"/>
      <c r="PN1354" s="120"/>
      <c r="PO1354" s="120"/>
      <c r="PP1354" s="120"/>
      <c r="PQ1354" s="120"/>
      <c r="PR1354" s="120"/>
      <c r="PS1354" s="120"/>
      <c r="PT1354" s="120"/>
      <c r="PU1354" s="120"/>
      <c r="PV1354" s="120"/>
      <c r="PW1354" s="120"/>
      <c r="PX1354" s="120"/>
      <c r="PY1354" s="120"/>
      <c r="PZ1354" s="120"/>
      <c r="QA1354" s="120"/>
      <c r="QB1354" s="120"/>
      <c r="QC1354" s="120"/>
      <c r="QD1354" s="120"/>
      <c r="QE1354" s="120"/>
      <c r="QF1354" s="120"/>
      <c r="QG1354" s="120"/>
      <c r="QH1354" s="120"/>
      <c r="QI1354" s="120"/>
      <c r="QJ1354" s="120"/>
      <c r="QK1354" s="120"/>
      <c r="QL1354" s="120"/>
      <c r="QM1354" s="120"/>
      <c r="QN1354" s="120"/>
      <c r="QO1354" s="120"/>
      <c r="QP1354" s="120"/>
      <c r="QQ1354" s="120"/>
      <c r="QR1354" s="120"/>
      <c r="QS1354" s="120"/>
      <c r="QT1354" s="120"/>
      <c r="QU1354" s="120"/>
      <c r="QV1354" s="120"/>
      <c r="QW1354" s="120"/>
      <c r="QX1354" s="120"/>
      <c r="QY1354" s="120"/>
      <c r="QZ1354" s="120"/>
      <c r="RA1354" s="120"/>
      <c r="RB1354" s="120"/>
      <c r="RC1354" s="120"/>
      <c r="RD1354" s="120"/>
      <c r="RE1354" s="120"/>
      <c r="RF1354" s="120"/>
      <c r="RG1354" s="120"/>
      <c r="RH1354" s="120"/>
      <c r="RI1354" s="120"/>
      <c r="RJ1354" s="120"/>
      <c r="RK1354" s="120"/>
      <c r="RL1354" s="120"/>
      <c r="RM1354" s="120"/>
      <c r="RN1354" s="120"/>
      <c r="RO1354" s="120"/>
      <c r="RP1354" s="120"/>
      <c r="RQ1354" s="120"/>
      <c r="RR1354" s="120"/>
      <c r="RS1354" s="120"/>
      <c r="RT1354" s="120"/>
      <c r="RU1354" s="120"/>
      <c r="RV1354" s="120"/>
      <c r="RW1354" s="120"/>
      <c r="RX1354" s="120"/>
      <c r="RY1354" s="120"/>
      <c r="RZ1354" s="120"/>
      <c r="SA1354" s="120"/>
      <c r="SB1354" s="120"/>
      <c r="SC1354" s="120"/>
      <c r="SD1354" s="120"/>
      <c r="SE1354" s="120"/>
      <c r="SF1354" s="120"/>
      <c r="SG1354" s="120"/>
      <c r="SH1354" s="120"/>
      <c r="SI1354" s="120"/>
      <c r="SJ1354" s="120"/>
      <c r="SK1354" s="120"/>
      <c r="SL1354" s="120"/>
      <c r="SM1354" s="120"/>
      <c r="SN1354" s="120"/>
      <c r="SO1354" s="120"/>
      <c r="SP1354" s="120"/>
      <c r="SQ1354" s="120"/>
      <c r="SR1354" s="120"/>
      <c r="SS1354" s="120"/>
      <c r="ST1354" s="120"/>
      <c r="SU1354" s="120"/>
      <c r="SV1354" s="120"/>
      <c r="SW1354" s="120"/>
      <c r="SX1354" s="120"/>
      <c r="SY1354" s="120"/>
      <c r="SZ1354" s="120"/>
      <c r="TA1354" s="120"/>
      <c r="TB1354" s="120"/>
      <c r="TC1354" s="120"/>
      <c r="TD1354" s="120"/>
      <c r="TE1354" s="120"/>
      <c r="TF1354" s="120"/>
      <c r="TG1354" s="120"/>
      <c r="TH1354" s="120"/>
      <c r="TI1354" s="120"/>
      <c r="TJ1354" s="120"/>
      <c r="TK1354" s="120"/>
      <c r="TL1354" s="120"/>
      <c r="TM1354" s="120"/>
      <c r="TN1354" s="120"/>
      <c r="TO1354" s="120"/>
      <c r="TP1354" s="120"/>
      <c r="TQ1354" s="120"/>
      <c r="TR1354" s="120"/>
      <c r="TS1354" s="120"/>
      <c r="TT1354" s="120"/>
      <c r="TU1354" s="120"/>
      <c r="TV1354" s="120"/>
      <c r="TW1354" s="120"/>
      <c r="TX1354" s="120"/>
      <c r="TY1354" s="120"/>
      <c r="TZ1354" s="120"/>
      <c r="UA1354" s="120"/>
      <c r="UB1354" s="120"/>
      <c r="UC1354" s="120"/>
      <c r="UD1354" s="120"/>
      <c r="UE1354" s="120"/>
      <c r="UF1354" s="120"/>
      <c r="UG1354" s="120"/>
      <c r="UH1354" s="120"/>
      <c r="UI1354" s="120"/>
      <c r="UJ1354" s="120"/>
      <c r="UK1354" s="120"/>
      <c r="UL1354" s="120"/>
      <c r="UM1354" s="120"/>
      <c r="UN1354" s="120"/>
      <c r="UO1354" s="120"/>
      <c r="UP1354" s="120"/>
      <c r="UQ1354" s="120"/>
      <c r="UR1354" s="120"/>
      <c r="US1354" s="120"/>
      <c r="UT1354" s="120"/>
      <c r="UU1354" s="120"/>
      <c r="UV1354" s="120"/>
      <c r="UW1354" s="120"/>
      <c r="UX1354" s="120"/>
      <c r="UY1354" s="120"/>
      <c r="UZ1354" s="120"/>
      <c r="VA1354" s="120"/>
      <c r="VB1354" s="120"/>
      <c r="VC1354" s="120"/>
      <c r="VD1354" s="120"/>
      <c r="VE1354" s="120"/>
      <c r="VF1354" s="120"/>
      <c r="VG1354" s="120"/>
      <c r="VH1354" s="120"/>
      <c r="VI1354" s="120"/>
      <c r="VJ1354" s="120"/>
      <c r="VK1354" s="120"/>
      <c r="VL1354" s="120"/>
      <c r="VM1354" s="120"/>
      <c r="VN1354" s="120"/>
      <c r="VO1354" s="120"/>
      <c r="VP1354" s="120"/>
      <c r="VQ1354" s="120"/>
      <c r="VR1354" s="120"/>
      <c r="VS1354" s="120"/>
      <c r="VT1354" s="120"/>
      <c r="VU1354" s="120"/>
      <c r="VV1354" s="120"/>
      <c r="VW1354" s="120"/>
      <c r="VX1354" s="120"/>
      <c r="VY1354" s="120"/>
      <c r="VZ1354" s="120"/>
      <c r="WA1354" s="120"/>
      <c r="WB1354" s="120"/>
      <c r="WC1354" s="120"/>
      <c r="WD1354" s="120"/>
      <c r="WE1354" s="120"/>
      <c r="WF1354" s="120"/>
      <c r="WG1354" s="120"/>
      <c r="WH1354" s="120"/>
      <c r="WI1354" s="120"/>
      <c r="WJ1354" s="120"/>
      <c r="WK1354" s="120"/>
      <c r="WL1354" s="120"/>
      <c r="WM1354" s="120"/>
      <c r="WN1354" s="120"/>
      <c r="WO1354" s="120"/>
      <c r="WP1354" s="120"/>
      <c r="WQ1354" s="120"/>
      <c r="WR1354" s="120"/>
      <c r="WS1354" s="120"/>
      <c r="WT1354" s="120"/>
      <c r="WU1354" s="120"/>
      <c r="WV1354" s="120"/>
      <c r="WW1354" s="120"/>
      <c r="WX1354" s="120"/>
      <c r="WY1354" s="120"/>
      <c r="WZ1354" s="120"/>
      <c r="XA1354" s="120"/>
      <c r="XB1354" s="120"/>
      <c r="XC1354" s="120"/>
      <c r="XD1354" s="120"/>
      <c r="XE1354" s="120"/>
      <c r="XF1354" s="120"/>
      <c r="XG1354" s="120"/>
      <c r="XH1354" s="120"/>
      <c r="XI1354" s="120"/>
      <c r="XJ1354" s="120"/>
      <c r="XK1354" s="120"/>
      <c r="XL1354" s="120"/>
      <c r="XM1354" s="120"/>
      <c r="XN1354" s="120"/>
      <c r="XO1354" s="120"/>
      <c r="XP1354" s="120"/>
      <c r="XQ1354" s="120"/>
      <c r="XR1354" s="120"/>
      <c r="XS1354" s="120"/>
      <c r="XT1354" s="120"/>
      <c r="XU1354" s="120"/>
      <c r="XV1354" s="120"/>
      <c r="XW1354" s="120"/>
      <c r="XX1354" s="120"/>
      <c r="XY1354" s="120"/>
      <c r="XZ1354" s="120"/>
      <c r="YA1354" s="120"/>
      <c r="YB1354" s="120"/>
      <c r="YC1354" s="120"/>
      <c r="YD1354" s="120"/>
      <c r="YE1354" s="120"/>
      <c r="YF1354" s="120"/>
      <c r="YG1354" s="120"/>
      <c r="YH1354" s="120"/>
      <c r="YI1354" s="120"/>
      <c r="YJ1354" s="120"/>
      <c r="YK1354" s="120"/>
      <c r="YL1354" s="120"/>
      <c r="YM1354" s="120"/>
      <c r="YN1354" s="120"/>
      <c r="YO1354" s="120"/>
      <c r="YP1354" s="120"/>
      <c r="YQ1354" s="120"/>
      <c r="YR1354" s="120"/>
      <c r="YS1354" s="120"/>
      <c r="YT1354" s="120"/>
      <c r="YU1354" s="120"/>
      <c r="YV1354" s="120"/>
      <c r="YW1354" s="120"/>
      <c r="YX1354" s="120"/>
      <c r="YY1354" s="120"/>
      <c r="YZ1354" s="120"/>
      <c r="ZA1354" s="120"/>
      <c r="ZB1354" s="120"/>
      <c r="ZC1354" s="120"/>
      <c r="ZD1354" s="120"/>
      <c r="ZE1354" s="120"/>
      <c r="ZF1354" s="120"/>
      <c r="ZG1354" s="120"/>
      <c r="ZH1354" s="120"/>
      <c r="ZI1354" s="120"/>
      <c r="ZJ1354" s="120"/>
      <c r="ZK1354" s="120"/>
      <c r="ZL1354" s="120"/>
      <c r="ZM1354" s="120"/>
      <c r="ZN1354" s="120"/>
      <c r="ZO1354" s="120"/>
      <c r="ZP1354" s="120"/>
      <c r="ZQ1354" s="120"/>
      <c r="ZR1354" s="120"/>
      <c r="ZS1354" s="120"/>
      <c r="ZT1354" s="120"/>
      <c r="ZU1354" s="120"/>
      <c r="ZV1354" s="120"/>
      <c r="ZW1354" s="120"/>
      <c r="ZX1354" s="120"/>
      <c r="ZY1354" s="120"/>
      <c r="ZZ1354" s="120"/>
      <c r="AAA1354" s="120"/>
      <c r="AAB1354" s="120"/>
      <c r="AAC1354" s="120"/>
      <c r="AAD1354" s="120"/>
      <c r="AAE1354" s="120"/>
      <c r="AAF1354" s="120"/>
      <c r="AAG1354" s="120"/>
      <c r="AAH1354" s="120"/>
      <c r="AAI1354" s="120"/>
      <c r="AAJ1354" s="120"/>
      <c r="AAK1354" s="120"/>
      <c r="AAL1354" s="120"/>
      <c r="AAM1354" s="120"/>
      <c r="AAN1354" s="120"/>
      <c r="AAO1354" s="120"/>
      <c r="AAP1354" s="120"/>
      <c r="AAQ1354" s="120"/>
      <c r="AAR1354" s="120"/>
      <c r="AAS1354" s="120"/>
      <c r="AAT1354" s="120"/>
      <c r="AAU1354" s="120"/>
      <c r="AAV1354" s="120"/>
      <c r="AAW1354" s="120"/>
      <c r="AAX1354" s="120"/>
      <c r="AAY1354" s="120"/>
      <c r="AAZ1354" s="120"/>
      <c r="ABA1354" s="120"/>
      <c r="ABB1354" s="120"/>
      <c r="ABC1354" s="120"/>
      <c r="ABD1354" s="120"/>
      <c r="ABE1354" s="120"/>
      <c r="ABF1354" s="120"/>
      <c r="ABG1354" s="120"/>
      <c r="ABH1354" s="120"/>
      <c r="ABI1354" s="120"/>
      <c r="ABJ1354" s="120"/>
      <c r="ABK1354" s="120"/>
      <c r="ABL1354" s="120"/>
      <c r="ABM1354" s="120"/>
      <c r="ABN1354" s="120"/>
      <c r="ABO1354" s="120"/>
      <c r="ABP1354" s="120"/>
      <c r="ABQ1354" s="120"/>
      <c r="ABR1354" s="120"/>
      <c r="ABS1354" s="120"/>
      <c r="ABT1354" s="120"/>
      <c r="ABU1354" s="120"/>
      <c r="ABV1354" s="120"/>
      <c r="ABW1354" s="120"/>
      <c r="ABX1354" s="120"/>
      <c r="ABY1354" s="120"/>
      <c r="ABZ1354" s="120"/>
      <c r="ACA1354" s="120"/>
      <c r="ACB1354" s="120"/>
      <c r="ACC1354" s="120"/>
      <c r="ACD1354" s="120"/>
      <c r="ACE1354" s="120"/>
      <c r="ACF1354" s="120"/>
      <c r="ACG1354" s="120"/>
      <c r="ACH1354" s="120"/>
      <c r="ACI1354" s="120"/>
      <c r="ACJ1354" s="120"/>
      <c r="ACK1354" s="120"/>
      <c r="ACL1354" s="120"/>
      <c r="ACM1354" s="120"/>
      <c r="ACN1354" s="120"/>
      <c r="ACO1354" s="120"/>
      <c r="ACP1354" s="120"/>
      <c r="ACQ1354" s="120"/>
      <c r="ACR1354" s="120"/>
      <c r="ACS1354" s="120"/>
      <c r="ACT1354" s="120"/>
      <c r="ACU1354" s="120"/>
      <c r="ACV1354" s="120"/>
      <c r="ACW1354" s="120"/>
      <c r="ACX1354" s="120"/>
      <c r="ACY1354" s="120"/>
      <c r="ACZ1354" s="120"/>
      <c r="ADA1354" s="120"/>
      <c r="ADB1354" s="120"/>
      <c r="ADC1354" s="120"/>
      <c r="ADD1354" s="120"/>
      <c r="ADE1354" s="120"/>
      <c r="ADF1354" s="120"/>
      <c r="ADG1354" s="120"/>
      <c r="ADH1354" s="120"/>
      <c r="ADI1354" s="120"/>
      <c r="ADJ1354" s="120"/>
      <c r="ADK1354" s="120"/>
      <c r="ADL1354" s="120"/>
      <c r="ADM1354" s="120"/>
      <c r="ADN1354" s="120"/>
      <c r="ADO1354" s="120"/>
      <c r="ADP1354" s="120"/>
      <c r="ADQ1354" s="120"/>
      <c r="ADR1354" s="120"/>
      <c r="ADS1354" s="120"/>
      <c r="ADT1354" s="120"/>
      <c r="ADU1354" s="120"/>
      <c r="ADV1354" s="120"/>
      <c r="ADW1354" s="120"/>
      <c r="ADX1354" s="120"/>
      <c r="ADY1354" s="120"/>
      <c r="ADZ1354" s="120"/>
      <c r="AEA1354" s="120"/>
      <c r="AEB1354" s="120"/>
      <c r="AEC1354" s="120"/>
      <c r="AED1354" s="120"/>
      <c r="AEE1354" s="120"/>
      <c r="AEF1354" s="120"/>
      <c r="AEG1354" s="120"/>
      <c r="AEH1354" s="120"/>
      <c r="AEI1354" s="120"/>
      <c r="AEJ1354" s="120"/>
      <c r="AEK1354" s="120"/>
      <c r="AEL1354" s="120"/>
      <c r="AEM1354" s="120"/>
      <c r="AEN1354" s="120"/>
      <c r="AEO1354" s="120"/>
      <c r="AEP1354" s="120"/>
      <c r="AEQ1354" s="120"/>
      <c r="AER1354" s="120"/>
      <c r="AES1354" s="120"/>
      <c r="AET1354" s="120"/>
      <c r="AEU1354" s="120"/>
      <c r="AEV1354" s="120"/>
      <c r="AEW1354" s="120"/>
      <c r="AEX1354" s="120"/>
      <c r="AEY1354" s="120"/>
      <c r="AEZ1354" s="120"/>
      <c r="AFA1354" s="120"/>
      <c r="AFB1354" s="120"/>
      <c r="AFC1354" s="120"/>
      <c r="AFD1354" s="120"/>
      <c r="AFE1354" s="120"/>
      <c r="AFF1354" s="120"/>
      <c r="AFG1354" s="120"/>
      <c r="AFH1354" s="120"/>
      <c r="AFI1354" s="120"/>
      <c r="AFJ1354" s="120"/>
      <c r="AFK1354" s="120"/>
      <c r="AFL1354" s="120"/>
      <c r="AFM1354" s="120"/>
      <c r="AFN1354" s="120"/>
      <c r="AFO1354" s="120"/>
      <c r="AFP1354" s="120"/>
      <c r="AFQ1354" s="120"/>
      <c r="AFR1354" s="120"/>
      <c r="AFS1354" s="120"/>
      <c r="AFT1354" s="120"/>
      <c r="AFU1354" s="120"/>
      <c r="AFV1354" s="120"/>
      <c r="AFW1354" s="120"/>
      <c r="AFX1354" s="120"/>
      <c r="AFY1354" s="120"/>
      <c r="AFZ1354" s="120"/>
      <c r="AGA1354" s="120"/>
      <c r="AGB1354" s="120"/>
      <c r="AGC1354" s="120"/>
      <c r="AGD1354" s="120"/>
      <c r="AGE1354" s="120"/>
      <c r="AGF1354" s="120"/>
      <c r="AGG1354" s="120"/>
      <c r="AGH1354" s="120"/>
      <c r="AGI1354" s="120"/>
      <c r="AGJ1354" s="120"/>
      <c r="AGK1354" s="120"/>
      <c r="AGL1354" s="120"/>
      <c r="AGM1354" s="120"/>
      <c r="AGN1354" s="120"/>
      <c r="AGO1354" s="120"/>
      <c r="AGP1354" s="120"/>
      <c r="AGQ1354" s="120"/>
      <c r="AGR1354" s="120"/>
      <c r="AGS1354" s="120"/>
      <c r="AGT1354" s="120"/>
      <c r="AGU1354" s="120"/>
      <c r="AGV1354" s="120"/>
      <c r="AGW1354" s="120"/>
      <c r="AGX1354" s="120"/>
      <c r="AGY1354" s="120"/>
      <c r="AGZ1354" s="120"/>
      <c r="AHA1354" s="120"/>
      <c r="AHB1354" s="120"/>
      <c r="AHC1354" s="120"/>
      <c r="AHD1354" s="120"/>
      <c r="AHE1354" s="120"/>
      <c r="AHF1354" s="120"/>
      <c r="AHG1354" s="120"/>
      <c r="AHH1354" s="120"/>
      <c r="AHI1354" s="120"/>
      <c r="AHJ1354" s="120"/>
      <c r="AHK1354" s="120"/>
      <c r="AHL1354" s="120"/>
      <c r="AHM1354" s="120"/>
      <c r="AHN1354" s="120"/>
      <c r="AHO1354" s="120"/>
      <c r="AHP1354" s="120"/>
      <c r="AHQ1354" s="120"/>
      <c r="AHR1354" s="120"/>
      <c r="AHS1354" s="120"/>
      <c r="AHT1354" s="120"/>
      <c r="AHU1354" s="120"/>
      <c r="AHV1354" s="120"/>
      <c r="AHW1354" s="120"/>
      <c r="AHX1354" s="120"/>
      <c r="AHY1354" s="120"/>
      <c r="AHZ1354" s="120"/>
      <c r="AIA1354" s="120"/>
      <c r="AIB1354" s="120"/>
      <c r="AIC1354" s="120"/>
      <c r="AID1354" s="120"/>
      <c r="AIE1354" s="120"/>
      <c r="AIF1354" s="120"/>
      <c r="AIG1354" s="120"/>
      <c r="AIH1354" s="120"/>
      <c r="AII1354" s="120"/>
      <c r="AIJ1354" s="120"/>
      <c r="AIK1354" s="120"/>
      <c r="AIL1354" s="120"/>
      <c r="AIM1354" s="120"/>
      <c r="AIN1354" s="120"/>
      <c r="AIO1354" s="120"/>
      <c r="AIP1354" s="120"/>
      <c r="AIQ1354" s="120"/>
      <c r="AIR1354" s="120"/>
      <c r="AIS1354" s="120"/>
      <c r="AIT1354" s="120"/>
      <c r="AIU1354" s="120"/>
      <c r="AIV1354" s="120"/>
      <c r="AIW1354" s="120"/>
      <c r="AIX1354" s="120"/>
      <c r="AIY1354" s="120"/>
      <c r="AIZ1354" s="120"/>
      <c r="AJA1354" s="120"/>
      <c r="AJB1354" s="120"/>
      <c r="AJC1354" s="120"/>
      <c r="AJD1354" s="120"/>
      <c r="AJE1354" s="120"/>
      <c r="AJF1354" s="120"/>
      <c r="AJG1354" s="120"/>
      <c r="AJH1354" s="120"/>
      <c r="AJI1354" s="120"/>
      <c r="AJJ1354" s="120"/>
      <c r="AJK1354" s="120"/>
      <c r="AJL1354" s="120"/>
      <c r="AJM1354" s="120"/>
      <c r="AJN1354" s="120"/>
      <c r="AJO1354" s="120"/>
      <c r="AJP1354" s="120"/>
      <c r="AJQ1354" s="120"/>
      <c r="AJR1354" s="120"/>
      <c r="AJS1354" s="120"/>
      <c r="AJT1354" s="120"/>
      <c r="AJU1354" s="120"/>
      <c r="AJV1354" s="120"/>
      <c r="AJW1354" s="120"/>
      <c r="AJX1354" s="120"/>
      <c r="AJY1354" s="120"/>
      <c r="AJZ1354" s="120"/>
      <c r="AKA1354" s="120"/>
      <c r="AKB1354" s="120"/>
      <c r="AKC1354" s="120"/>
      <c r="AKD1354" s="120"/>
      <c r="AKE1354" s="120"/>
      <c r="AKF1354" s="120"/>
      <c r="AKG1354" s="120"/>
      <c r="AKH1354" s="120"/>
      <c r="AKI1354" s="120"/>
      <c r="AKJ1354" s="120"/>
      <c r="AKK1354" s="120"/>
      <c r="AKL1354" s="120"/>
      <c r="AKM1354" s="120"/>
      <c r="AKN1354" s="120"/>
      <c r="AKO1354" s="120"/>
      <c r="AKP1354" s="120"/>
      <c r="AKQ1354" s="120"/>
      <c r="AKR1354" s="120"/>
      <c r="AKS1354" s="120"/>
      <c r="AKT1354" s="120"/>
      <c r="AKU1354" s="120"/>
      <c r="AKV1354" s="120"/>
      <c r="AKW1354" s="120"/>
      <c r="AKX1354" s="120"/>
      <c r="AKY1354" s="120"/>
      <c r="AKZ1354" s="120"/>
      <c r="ALA1354" s="120"/>
      <c r="ALB1354" s="120"/>
      <c r="ALC1354" s="120"/>
      <c r="ALD1354" s="120"/>
      <c r="ALE1354" s="120"/>
      <c r="ALF1354" s="120"/>
      <c r="ALG1354" s="120"/>
      <c r="ALH1354" s="120"/>
      <c r="ALI1354" s="120"/>
      <c r="ALJ1354" s="120"/>
      <c r="ALK1354" s="120"/>
      <c r="ALL1354" s="120"/>
      <c r="ALM1354" s="120"/>
      <c r="ALN1354" s="120"/>
      <c r="ALO1354" s="120"/>
      <c r="ALP1354" s="120"/>
      <c r="ALQ1354" s="120"/>
      <c r="ALR1354" s="120"/>
      <c r="ALS1354" s="120"/>
      <c r="ALT1354" s="120"/>
      <c r="ALU1354" s="120"/>
      <c r="ALV1354" s="120"/>
      <c r="ALW1354" s="120"/>
      <c r="ALX1354" s="120"/>
      <c r="ALY1354" s="120"/>
      <c r="ALZ1354" s="120"/>
      <c r="AMA1354" s="120"/>
      <c r="AMB1354" s="120"/>
      <c r="AMC1354" s="120"/>
      <c r="AMD1354" s="120"/>
      <c r="AME1354" s="120"/>
      <c r="AMF1354" s="120"/>
      <c r="AMG1354" s="120"/>
      <c r="AMH1354" s="120"/>
      <c r="AMI1354" s="120"/>
      <c r="AMJ1354" s="120"/>
      <c r="AMK1354" s="120"/>
      <c r="AML1354" s="120"/>
      <c r="AMM1354" s="120"/>
      <c r="AMN1354" s="120"/>
      <c r="AMO1354" s="120"/>
      <c r="AMP1354" s="120"/>
      <c r="AMQ1354" s="120"/>
      <c r="AMR1354" s="120"/>
      <c r="AMS1354" s="120"/>
      <c r="AMT1354" s="120"/>
      <c r="AMU1354" s="120"/>
      <c r="AMV1354" s="120"/>
      <c r="AMW1354" s="120"/>
      <c r="AMX1354" s="120"/>
      <c r="AMY1354" s="120"/>
      <c r="AMZ1354" s="120"/>
      <c r="ANA1354" s="120"/>
      <c r="ANB1354" s="120"/>
      <c r="ANC1354" s="120"/>
      <c r="AND1354" s="120"/>
      <c r="ANE1354" s="120"/>
      <c r="ANF1354" s="120"/>
      <c r="ANG1354" s="120"/>
      <c r="ANH1354" s="120"/>
      <c r="ANI1354" s="120"/>
      <c r="ANJ1354" s="120"/>
      <c r="ANK1354" s="120"/>
      <c r="ANL1354" s="120"/>
      <c r="ANM1354" s="120"/>
      <c r="ANN1354" s="120"/>
      <c r="ANO1354" s="120"/>
      <c r="ANP1354" s="120"/>
      <c r="ANQ1354" s="120"/>
      <c r="ANR1354" s="120"/>
      <c r="ANS1354" s="120"/>
      <c r="ANT1354" s="120"/>
      <c r="ANU1354" s="120"/>
      <c r="ANV1354" s="120"/>
      <c r="ANW1354" s="120"/>
      <c r="ANX1354" s="120"/>
      <c r="ANY1354" s="120"/>
      <c r="ANZ1354" s="120"/>
      <c r="AOA1354" s="120"/>
      <c r="AOB1354" s="120"/>
      <c r="AOC1354" s="120"/>
      <c r="AOD1354" s="120"/>
      <c r="AOE1354" s="120"/>
      <c r="AOF1354" s="120"/>
      <c r="AOG1354" s="120"/>
      <c r="AOH1354" s="120"/>
      <c r="AOI1354" s="120"/>
      <c r="AOJ1354" s="120"/>
      <c r="AOK1354" s="120"/>
      <c r="AOL1354" s="120"/>
      <c r="AOM1354" s="120"/>
      <c r="AON1354" s="120"/>
      <c r="AOO1354" s="120"/>
      <c r="AOP1354" s="120"/>
      <c r="AOQ1354" s="120"/>
      <c r="AOR1354" s="120"/>
      <c r="AOS1354" s="120"/>
      <c r="AOT1354" s="120"/>
      <c r="AOU1354" s="120"/>
      <c r="AOV1354" s="120"/>
      <c r="AOW1354" s="120"/>
      <c r="AOX1354" s="120"/>
      <c r="AOY1354" s="120"/>
      <c r="AOZ1354" s="120"/>
      <c r="APA1354" s="120"/>
      <c r="APB1354" s="120"/>
      <c r="APC1354" s="120"/>
      <c r="APD1354" s="120"/>
      <c r="APE1354" s="120"/>
      <c r="APF1354" s="120"/>
      <c r="APG1354" s="120"/>
      <c r="APH1354" s="120"/>
      <c r="API1354" s="120"/>
      <c r="APJ1354" s="120"/>
      <c r="APK1354" s="120"/>
      <c r="APL1354" s="120"/>
      <c r="APM1354" s="120"/>
      <c r="APN1354" s="120"/>
      <c r="APO1354" s="120"/>
      <c r="APP1354" s="120"/>
      <c r="APQ1354" s="120"/>
      <c r="APR1354" s="120"/>
      <c r="APS1354" s="120"/>
      <c r="APT1354" s="120"/>
      <c r="APU1354" s="120"/>
      <c r="APV1354" s="120"/>
      <c r="APW1354" s="120"/>
      <c r="APX1354" s="120"/>
      <c r="APY1354" s="120"/>
      <c r="APZ1354" s="120"/>
      <c r="AQA1354" s="120"/>
      <c r="AQB1354" s="120"/>
      <c r="AQC1354" s="120"/>
      <c r="AQD1354" s="120"/>
      <c r="AQE1354" s="120"/>
      <c r="AQF1354" s="120"/>
      <c r="AQG1354" s="120"/>
      <c r="AQH1354" s="120"/>
      <c r="AQI1354" s="120"/>
      <c r="AQJ1354" s="120"/>
      <c r="AQK1354" s="120"/>
      <c r="AQL1354" s="120"/>
      <c r="AQM1354" s="120"/>
      <c r="AQN1354" s="120"/>
      <c r="AQO1354" s="120"/>
      <c r="AQP1354" s="120"/>
      <c r="AQQ1354" s="120"/>
      <c r="AQR1354" s="120"/>
      <c r="AQS1354" s="120"/>
      <c r="AQT1354" s="120"/>
      <c r="AQU1354" s="120"/>
      <c r="AQV1354" s="120"/>
      <c r="AQW1354" s="120"/>
      <c r="AQX1354" s="120"/>
      <c r="AQY1354" s="120"/>
      <c r="AQZ1354" s="120"/>
      <c r="ARA1354" s="120"/>
      <c r="ARB1354" s="120"/>
      <c r="ARC1354" s="120"/>
      <c r="ARD1354" s="120"/>
      <c r="ARE1354" s="120"/>
      <c r="ARF1354" s="120"/>
      <c r="ARG1354" s="120"/>
      <c r="ARH1354" s="120"/>
      <c r="ARI1354" s="120"/>
      <c r="ARJ1354" s="120"/>
      <c r="ARK1354" s="120"/>
      <c r="ARL1354" s="120"/>
      <c r="ARM1354" s="120"/>
      <c r="ARN1354" s="120"/>
      <c r="ARO1354" s="120"/>
      <c r="ARP1354" s="120"/>
      <c r="ARQ1354" s="120"/>
      <c r="ARR1354" s="120"/>
      <c r="ARS1354" s="120"/>
      <c r="ART1354" s="120"/>
      <c r="ARU1354" s="120"/>
      <c r="ARV1354" s="120"/>
      <c r="ARW1354" s="120"/>
      <c r="ARX1354" s="120"/>
      <c r="ARY1354" s="120"/>
      <c r="ARZ1354" s="120"/>
      <c r="ASA1354" s="120"/>
      <c r="ASB1354" s="120"/>
      <c r="ASC1354" s="120"/>
      <c r="ASD1354" s="120"/>
      <c r="ASE1354" s="120"/>
      <c r="ASF1354" s="120"/>
      <c r="ASG1354" s="120"/>
      <c r="ASH1354" s="120"/>
      <c r="ASI1354" s="120"/>
      <c r="ASJ1354" s="120"/>
      <c r="ASK1354" s="120"/>
      <c r="ASL1354" s="120"/>
      <c r="ASM1354" s="120"/>
      <c r="ASN1354" s="120"/>
      <c r="ASO1354" s="120"/>
      <c r="ASP1354" s="120"/>
      <c r="ASQ1354" s="120"/>
      <c r="ASR1354" s="120"/>
      <c r="ASS1354" s="120"/>
      <c r="AST1354" s="120"/>
      <c r="ASU1354" s="120"/>
      <c r="ASV1354" s="120"/>
      <c r="ASW1354" s="120"/>
      <c r="ASX1354" s="120"/>
      <c r="ASY1354" s="120"/>
      <c r="ASZ1354" s="120"/>
      <c r="ATA1354" s="120"/>
      <c r="ATB1354" s="120"/>
      <c r="ATC1354" s="120"/>
      <c r="ATD1354" s="120"/>
      <c r="ATE1354" s="120"/>
      <c r="ATF1354" s="120"/>
      <c r="ATG1354" s="120"/>
      <c r="ATH1354" s="120"/>
      <c r="ATI1354" s="120"/>
      <c r="ATJ1354" s="120"/>
      <c r="ATK1354" s="120"/>
      <c r="ATL1354" s="120"/>
      <c r="ATM1354" s="120"/>
      <c r="ATN1354" s="120"/>
      <c r="ATO1354" s="120"/>
    </row>
    <row r="1355" spans="1:1211" s="20" customFormat="1" ht="14.1" customHeight="1">
      <c r="A1355" s="112"/>
      <c r="B1355" s="945" t="s">
        <v>3166</v>
      </c>
      <c r="C1355" s="184" t="s">
        <v>6126</v>
      </c>
      <c r="D1355" s="120"/>
      <c r="E1355" s="701"/>
      <c r="F1355" s="703"/>
      <c r="G1355" s="702"/>
      <c r="H1355" s="702"/>
      <c r="I1355" s="702"/>
      <c r="J1355" s="700"/>
      <c r="K1355" s="112"/>
      <c r="L1355" s="363"/>
      <c r="M1355" s="112"/>
      <c r="N1355" s="362"/>
      <c r="O1355" s="573"/>
      <c r="P1355" s="120"/>
      <c r="Q1355" s="120"/>
      <c r="R1355" s="120"/>
      <c r="S1355" s="120"/>
      <c r="T1355" s="120"/>
      <c r="U1355" s="120"/>
      <c r="V1355" s="120"/>
      <c r="W1355" s="120"/>
      <c r="X1355" s="120"/>
      <c r="Y1355" s="120"/>
      <c r="Z1355" s="120"/>
      <c r="AA1355" s="120"/>
      <c r="AB1355" s="120"/>
      <c r="AC1355" s="120"/>
      <c r="AD1355" s="120"/>
      <c r="AE1355" s="120"/>
      <c r="AF1355" s="120"/>
      <c r="AG1355" s="120"/>
      <c r="AH1355" s="120"/>
      <c r="AI1355" s="120"/>
      <c r="AJ1355" s="120"/>
      <c r="AK1355" s="120"/>
      <c r="AL1355" s="120"/>
      <c r="AM1355" s="120"/>
      <c r="AN1355" s="120"/>
      <c r="AO1355" s="120"/>
      <c r="AP1355" s="120"/>
      <c r="AQ1355" s="120"/>
      <c r="AR1355" s="120"/>
      <c r="AS1355" s="120"/>
      <c r="AT1355" s="120"/>
      <c r="AU1355" s="120"/>
      <c r="AV1355" s="120"/>
      <c r="AW1355" s="120"/>
      <c r="AX1355" s="120"/>
      <c r="AY1355" s="120"/>
      <c r="AZ1355" s="120"/>
      <c r="BA1355" s="120"/>
      <c r="BB1355" s="120"/>
      <c r="BC1355" s="120"/>
      <c r="BD1355" s="120"/>
      <c r="BE1355" s="120"/>
      <c r="BF1355" s="120"/>
      <c r="BG1355" s="120"/>
      <c r="BH1355" s="120"/>
      <c r="BI1355" s="120"/>
      <c r="BJ1355" s="120"/>
      <c r="BK1355" s="120"/>
      <c r="BL1355" s="120"/>
      <c r="BM1355" s="120"/>
      <c r="BN1355" s="120"/>
      <c r="BO1355" s="120"/>
      <c r="BP1355" s="120"/>
      <c r="BQ1355" s="120"/>
      <c r="BR1355" s="120"/>
      <c r="BS1355" s="120"/>
      <c r="BT1355" s="120"/>
      <c r="BU1355" s="120"/>
      <c r="BV1355" s="120"/>
      <c r="BW1355" s="120"/>
      <c r="BX1355" s="120"/>
      <c r="BY1355" s="120"/>
      <c r="BZ1355" s="120"/>
      <c r="CA1355" s="120"/>
      <c r="CB1355" s="120"/>
      <c r="CC1355" s="120"/>
      <c r="CD1355" s="120"/>
      <c r="CE1355" s="120"/>
      <c r="CF1355" s="120"/>
      <c r="CG1355" s="120"/>
      <c r="CH1355" s="120"/>
      <c r="CI1355" s="120"/>
      <c r="CJ1355" s="120"/>
      <c r="CK1355" s="120"/>
      <c r="CL1355" s="120"/>
      <c r="CM1355" s="120"/>
      <c r="CN1355" s="120"/>
      <c r="CO1355" s="120"/>
      <c r="CP1355" s="120"/>
      <c r="CQ1355" s="120"/>
      <c r="CR1355" s="120"/>
      <c r="CS1355" s="120"/>
      <c r="CT1355" s="120"/>
      <c r="CU1355" s="120"/>
      <c r="CV1355" s="120"/>
      <c r="CW1355" s="120"/>
      <c r="CX1355" s="120"/>
      <c r="CY1355" s="120"/>
      <c r="CZ1355" s="120"/>
      <c r="DA1355" s="120"/>
      <c r="DB1355" s="120"/>
      <c r="DC1355" s="120"/>
      <c r="DD1355" s="120"/>
      <c r="DE1355" s="120"/>
      <c r="DF1355" s="120"/>
      <c r="DG1355" s="120"/>
      <c r="DH1355" s="120"/>
      <c r="DI1355" s="120"/>
      <c r="DJ1355" s="120"/>
      <c r="DK1355" s="120"/>
      <c r="DL1355" s="120"/>
      <c r="DM1355" s="120"/>
      <c r="DN1355" s="120"/>
      <c r="DO1355" s="120"/>
      <c r="DP1355" s="120"/>
      <c r="DQ1355" s="120"/>
      <c r="DR1355" s="120"/>
      <c r="DS1355" s="120"/>
      <c r="DT1355" s="120"/>
      <c r="DU1355" s="120"/>
      <c r="DV1355" s="120"/>
      <c r="DW1355" s="120"/>
      <c r="DX1355" s="120"/>
      <c r="DY1355" s="120"/>
      <c r="DZ1355" s="120"/>
      <c r="EA1355" s="120"/>
      <c r="EB1355" s="120"/>
      <c r="EC1355" s="120"/>
      <c r="ED1355" s="120"/>
      <c r="EE1355" s="120"/>
      <c r="EF1355" s="120"/>
      <c r="EG1355" s="120"/>
      <c r="EH1355" s="120"/>
      <c r="EI1355" s="120"/>
      <c r="EJ1355" s="120"/>
      <c r="EK1355" s="120"/>
      <c r="EL1355" s="120"/>
      <c r="EM1355" s="120"/>
      <c r="EN1355" s="120"/>
      <c r="EO1355" s="120"/>
      <c r="EP1355" s="120"/>
      <c r="EQ1355" s="120"/>
      <c r="ER1355" s="120"/>
      <c r="ES1355" s="120"/>
      <c r="ET1355" s="120"/>
      <c r="EU1355" s="120"/>
      <c r="EV1355" s="120"/>
      <c r="EW1355" s="120"/>
      <c r="EX1355" s="120"/>
      <c r="EY1355" s="120"/>
      <c r="EZ1355" s="120"/>
      <c r="FA1355" s="120"/>
      <c r="FB1355" s="120"/>
      <c r="FC1355" s="120"/>
      <c r="FD1355" s="120"/>
      <c r="FE1355" s="120"/>
      <c r="FF1355" s="120"/>
      <c r="FG1355" s="120"/>
      <c r="FH1355" s="120"/>
      <c r="FI1355" s="120"/>
      <c r="FJ1355" s="120"/>
      <c r="FK1355" s="120"/>
      <c r="FL1355" s="120"/>
      <c r="FM1355" s="120"/>
      <c r="FN1355" s="120"/>
      <c r="FO1355" s="120"/>
      <c r="FP1355" s="120"/>
      <c r="FQ1355" s="120"/>
      <c r="FR1355" s="120"/>
      <c r="FS1355" s="120"/>
      <c r="FT1355" s="120"/>
      <c r="FU1355" s="120"/>
      <c r="FV1355" s="120"/>
      <c r="FW1355" s="120"/>
      <c r="FX1355" s="120"/>
      <c r="FY1355" s="120"/>
      <c r="FZ1355" s="120"/>
      <c r="GA1355" s="120"/>
      <c r="GB1355" s="120"/>
      <c r="GC1355" s="120"/>
      <c r="GD1355" s="120"/>
      <c r="GE1355" s="120"/>
      <c r="GF1355" s="120"/>
      <c r="GG1355" s="120"/>
      <c r="GH1355" s="120"/>
      <c r="GI1355" s="120"/>
      <c r="GJ1355" s="120"/>
      <c r="GK1355" s="120"/>
      <c r="GL1355" s="120"/>
      <c r="GM1355" s="120"/>
      <c r="GN1355" s="120"/>
      <c r="GO1355" s="120"/>
      <c r="GP1355" s="120"/>
      <c r="GQ1355" s="120"/>
      <c r="GR1355" s="120"/>
      <c r="GS1355" s="120"/>
      <c r="GT1355" s="120"/>
      <c r="GU1355" s="120"/>
      <c r="GV1355" s="120"/>
      <c r="GW1355" s="120"/>
      <c r="GX1355" s="120"/>
      <c r="GY1355" s="120"/>
      <c r="GZ1355" s="120"/>
      <c r="HA1355" s="120"/>
      <c r="HB1355" s="120"/>
      <c r="HC1355" s="120"/>
      <c r="HD1355" s="120"/>
      <c r="HE1355" s="120"/>
      <c r="HF1355" s="120"/>
      <c r="HG1355" s="120"/>
      <c r="HH1355" s="120"/>
      <c r="HI1355" s="120"/>
      <c r="HJ1355" s="120"/>
      <c r="HK1355" s="120"/>
      <c r="HL1355" s="120"/>
      <c r="HM1355" s="120"/>
      <c r="HN1355" s="120"/>
      <c r="HO1355" s="120"/>
      <c r="HP1355" s="120"/>
      <c r="HQ1355" s="120"/>
      <c r="HR1355" s="120"/>
      <c r="HS1355" s="120"/>
      <c r="HT1355" s="120"/>
      <c r="HU1355" s="120"/>
      <c r="HV1355" s="120"/>
      <c r="HW1355" s="120"/>
      <c r="HX1355" s="120"/>
      <c r="HY1355" s="120"/>
      <c r="HZ1355" s="120"/>
      <c r="IA1355" s="120"/>
      <c r="IB1355" s="120"/>
      <c r="IC1355" s="120"/>
      <c r="ID1355" s="120"/>
      <c r="IE1355" s="120"/>
      <c r="IF1355" s="120"/>
      <c r="IG1355" s="120"/>
      <c r="IH1355" s="120"/>
      <c r="II1355" s="120"/>
      <c r="IJ1355" s="120"/>
      <c r="IK1355" s="120"/>
      <c r="IL1355" s="120"/>
      <c r="IM1355" s="120"/>
      <c r="IN1355" s="120"/>
      <c r="IO1355" s="120"/>
      <c r="IP1355" s="120"/>
      <c r="IQ1355" s="120"/>
      <c r="IR1355" s="120"/>
      <c r="IS1355" s="120"/>
      <c r="IT1355" s="120"/>
      <c r="IU1355" s="120"/>
      <c r="IV1355" s="120"/>
      <c r="IW1355" s="120"/>
      <c r="IX1355" s="120"/>
      <c r="IY1355" s="120"/>
      <c r="IZ1355" s="120"/>
      <c r="JA1355" s="120"/>
      <c r="JB1355" s="120"/>
      <c r="JC1355" s="120"/>
      <c r="JD1355" s="120"/>
      <c r="JE1355" s="120"/>
      <c r="JF1355" s="120"/>
      <c r="JG1355" s="120"/>
      <c r="JH1355" s="120"/>
      <c r="JI1355" s="120"/>
      <c r="JJ1355" s="120"/>
      <c r="JK1355" s="120"/>
      <c r="JL1355" s="120"/>
      <c r="JM1355" s="120"/>
      <c r="JN1355" s="120"/>
      <c r="JO1355" s="120"/>
      <c r="JP1355" s="120"/>
      <c r="JQ1355" s="120"/>
      <c r="JR1355" s="120"/>
      <c r="JS1355" s="120"/>
      <c r="JT1355" s="120"/>
      <c r="JU1355" s="120"/>
      <c r="JV1355" s="120"/>
      <c r="JW1355" s="120"/>
      <c r="JX1355" s="120"/>
      <c r="JY1355" s="120"/>
      <c r="JZ1355" s="120"/>
      <c r="KA1355" s="120"/>
      <c r="KB1355" s="120"/>
      <c r="KC1355" s="120"/>
      <c r="KD1355" s="120"/>
      <c r="KE1355" s="120"/>
      <c r="KF1355" s="120"/>
      <c r="KG1355" s="120"/>
      <c r="KH1355" s="120"/>
      <c r="KI1355" s="120"/>
      <c r="KJ1355" s="120"/>
      <c r="KK1355" s="120"/>
      <c r="KL1355" s="120"/>
      <c r="KM1355" s="120"/>
      <c r="KN1355" s="120"/>
      <c r="KO1355" s="120"/>
      <c r="KP1355" s="120"/>
      <c r="KQ1355" s="120"/>
      <c r="KR1355" s="120"/>
      <c r="KS1355" s="120"/>
      <c r="KT1355" s="120"/>
      <c r="KU1355" s="120"/>
      <c r="KV1355" s="120"/>
      <c r="KW1355" s="120"/>
      <c r="KX1355" s="120"/>
      <c r="KY1355" s="120"/>
      <c r="KZ1355" s="120"/>
      <c r="LA1355" s="120"/>
      <c r="LB1355" s="120"/>
      <c r="LC1355" s="120"/>
      <c r="LD1355" s="120"/>
      <c r="LE1355" s="120"/>
      <c r="LF1355" s="120"/>
      <c r="LG1355" s="120"/>
      <c r="LH1355" s="120"/>
      <c r="LI1355" s="120"/>
      <c r="LJ1355" s="120"/>
      <c r="LK1355" s="120"/>
      <c r="LL1355" s="120"/>
      <c r="LM1355" s="120"/>
      <c r="LN1355" s="120"/>
      <c r="LO1355" s="120"/>
      <c r="LP1355" s="120"/>
      <c r="LQ1355" s="120"/>
      <c r="LR1355" s="120"/>
      <c r="LS1355" s="120"/>
      <c r="LT1355" s="120"/>
      <c r="LU1355" s="120"/>
      <c r="LV1355" s="120"/>
      <c r="LW1355" s="120"/>
      <c r="LX1355" s="120"/>
      <c r="LY1355" s="120"/>
      <c r="LZ1355" s="120"/>
      <c r="MA1355" s="120"/>
      <c r="MB1355" s="120"/>
      <c r="MC1355" s="120"/>
      <c r="MD1355" s="120"/>
      <c r="ME1355" s="120"/>
      <c r="MF1355" s="120"/>
      <c r="MG1355" s="120"/>
      <c r="MH1355" s="120"/>
      <c r="MI1355" s="120"/>
      <c r="MJ1355" s="120"/>
      <c r="MK1355" s="120"/>
      <c r="ML1355" s="120"/>
      <c r="MM1355" s="120"/>
      <c r="MN1355" s="120"/>
      <c r="MO1355" s="120"/>
      <c r="MP1355" s="120"/>
      <c r="MQ1355" s="120"/>
      <c r="MR1355" s="120"/>
      <c r="MS1355" s="120"/>
      <c r="MT1355" s="120"/>
      <c r="MU1355" s="120"/>
      <c r="MV1355" s="120"/>
      <c r="MW1355" s="120"/>
      <c r="MX1355" s="120"/>
      <c r="MY1355" s="120"/>
      <c r="MZ1355" s="120"/>
      <c r="NA1355" s="120"/>
      <c r="NB1355" s="120"/>
      <c r="NC1355" s="120"/>
      <c r="ND1355" s="120"/>
      <c r="NE1355" s="120"/>
      <c r="NF1355" s="120"/>
      <c r="NG1355" s="120"/>
      <c r="NH1355" s="120"/>
      <c r="NI1355" s="120"/>
      <c r="NJ1355" s="120"/>
      <c r="NK1355" s="120"/>
      <c r="NL1355" s="120"/>
      <c r="NM1355" s="120"/>
      <c r="NN1355" s="120"/>
      <c r="NO1355" s="120"/>
      <c r="NP1355" s="120"/>
      <c r="NQ1355" s="120"/>
      <c r="NR1355" s="120"/>
      <c r="NS1355" s="120"/>
      <c r="NT1355" s="120"/>
      <c r="NU1355" s="120"/>
      <c r="NV1355" s="120"/>
      <c r="NW1355" s="120"/>
      <c r="NX1355" s="120"/>
      <c r="NY1355" s="120"/>
      <c r="NZ1355" s="120"/>
      <c r="OA1355" s="120"/>
      <c r="OB1355" s="120"/>
      <c r="OC1355" s="120"/>
      <c r="OD1355" s="120"/>
      <c r="OE1355" s="120"/>
      <c r="OF1355" s="120"/>
      <c r="OG1355" s="120"/>
      <c r="OH1355" s="120"/>
      <c r="OI1355" s="120"/>
      <c r="OJ1355" s="120"/>
      <c r="OK1355" s="120"/>
      <c r="OL1355" s="120"/>
      <c r="OM1355" s="120"/>
      <c r="ON1355" s="120"/>
      <c r="OO1355" s="120"/>
      <c r="OP1355" s="120"/>
      <c r="OQ1355" s="120"/>
      <c r="OR1355" s="120"/>
      <c r="OS1355" s="120"/>
      <c r="OT1355" s="120"/>
      <c r="OU1355" s="120"/>
      <c r="OV1355" s="120"/>
      <c r="OW1355" s="120"/>
      <c r="OX1355" s="120"/>
      <c r="OY1355" s="120"/>
      <c r="OZ1355" s="120"/>
      <c r="PA1355" s="120"/>
      <c r="PB1355" s="120"/>
      <c r="PC1355" s="120"/>
      <c r="PD1355" s="120"/>
      <c r="PE1355" s="120"/>
      <c r="PF1355" s="120"/>
      <c r="PG1355" s="120"/>
      <c r="PH1355" s="120"/>
      <c r="PI1355" s="120"/>
      <c r="PJ1355" s="120"/>
      <c r="PK1355" s="120"/>
      <c r="PL1355" s="120"/>
      <c r="PM1355" s="120"/>
      <c r="PN1355" s="120"/>
      <c r="PO1355" s="120"/>
      <c r="PP1355" s="120"/>
      <c r="PQ1355" s="120"/>
      <c r="PR1355" s="120"/>
      <c r="PS1355" s="120"/>
      <c r="PT1355" s="120"/>
      <c r="PU1355" s="120"/>
      <c r="PV1355" s="120"/>
      <c r="PW1355" s="120"/>
      <c r="PX1355" s="120"/>
      <c r="PY1355" s="120"/>
      <c r="PZ1355" s="120"/>
      <c r="QA1355" s="120"/>
      <c r="QB1355" s="120"/>
      <c r="QC1355" s="120"/>
      <c r="QD1355" s="120"/>
      <c r="QE1355" s="120"/>
      <c r="QF1355" s="120"/>
      <c r="QG1355" s="120"/>
      <c r="QH1355" s="120"/>
      <c r="QI1355" s="120"/>
      <c r="QJ1355" s="120"/>
      <c r="QK1355" s="120"/>
      <c r="QL1355" s="120"/>
      <c r="QM1355" s="120"/>
      <c r="QN1355" s="120"/>
      <c r="QO1355" s="120"/>
      <c r="QP1355" s="120"/>
      <c r="QQ1355" s="120"/>
      <c r="QR1355" s="120"/>
      <c r="QS1355" s="120"/>
      <c r="QT1355" s="120"/>
      <c r="QU1355" s="120"/>
      <c r="QV1355" s="120"/>
      <c r="QW1355" s="120"/>
      <c r="QX1355" s="120"/>
      <c r="QY1355" s="120"/>
      <c r="QZ1355" s="120"/>
      <c r="RA1355" s="120"/>
      <c r="RB1355" s="120"/>
      <c r="RC1355" s="120"/>
      <c r="RD1355" s="120"/>
      <c r="RE1355" s="120"/>
      <c r="RF1355" s="120"/>
      <c r="RG1355" s="120"/>
      <c r="RH1355" s="120"/>
      <c r="RI1355" s="120"/>
      <c r="RJ1355" s="120"/>
      <c r="RK1355" s="120"/>
      <c r="RL1355" s="120"/>
      <c r="RM1355" s="120"/>
      <c r="RN1355" s="120"/>
      <c r="RO1355" s="120"/>
      <c r="RP1355" s="120"/>
      <c r="RQ1355" s="120"/>
      <c r="RR1355" s="120"/>
      <c r="RS1355" s="120"/>
      <c r="RT1355" s="120"/>
      <c r="RU1355" s="120"/>
      <c r="RV1355" s="120"/>
      <c r="RW1355" s="120"/>
      <c r="RX1355" s="120"/>
      <c r="RY1355" s="120"/>
      <c r="RZ1355" s="120"/>
      <c r="SA1355" s="120"/>
      <c r="SB1355" s="120"/>
      <c r="SC1355" s="120"/>
      <c r="SD1355" s="120"/>
      <c r="SE1355" s="120"/>
      <c r="SF1355" s="120"/>
      <c r="SG1355" s="120"/>
      <c r="SH1355" s="120"/>
      <c r="SI1355" s="120"/>
      <c r="SJ1355" s="120"/>
      <c r="SK1355" s="120"/>
      <c r="SL1355" s="120"/>
      <c r="SM1355" s="120"/>
      <c r="SN1355" s="120"/>
      <c r="SO1355" s="120"/>
      <c r="SP1355" s="120"/>
      <c r="SQ1355" s="120"/>
      <c r="SR1355" s="120"/>
      <c r="SS1355" s="120"/>
      <c r="ST1355" s="120"/>
      <c r="SU1355" s="120"/>
      <c r="SV1355" s="120"/>
      <c r="SW1355" s="120"/>
      <c r="SX1355" s="120"/>
      <c r="SY1355" s="120"/>
      <c r="SZ1355" s="120"/>
      <c r="TA1355" s="120"/>
      <c r="TB1355" s="120"/>
      <c r="TC1355" s="120"/>
      <c r="TD1355" s="120"/>
      <c r="TE1355" s="120"/>
      <c r="TF1355" s="120"/>
      <c r="TG1355" s="120"/>
      <c r="TH1355" s="120"/>
      <c r="TI1355" s="120"/>
      <c r="TJ1355" s="120"/>
      <c r="TK1355" s="120"/>
      <c r="TL1355" s="120"/>
      <c r="TM1355" s="120"/>
      <c r="TN1355" s="120"/>
      <c r="TO1355" s="120"/>
      <c r="TP1355" s="120"/>
      <c r="TQ1355" s="120"/>
      <c r="TR1355" s="120"/>
      <c r="TS1355" s="120"/>
      <c r="TT1355" s="120"/>
      <c r="TU1355" s="120"/>
      <c r="TV1355" s="120"/>
      <c r="TW1355" s="120"/>
      <c r="TX1355" s="120"/>
      <c r="TY1355" s="120"/>
      <c r="TZ1355" s="120"/>
      <c r="UA1355" s="120"/>
      <c r="UB1355" s="120"/>
      <c r="UC1355" s="120"/>
      <c r="UD1355" s="120"/>
      <c r="UE1355" s="120"/>
      <c r="UF1355" s="120"/>
      <c r="UG1355" s="120"/>
      <c r="UH1355" s="120"/>
      <c r="UI1355" s="120"/>
      <c r="UJ1355" s="120"/>
      <c r="UK1355" s="120"/>
      <c r="UL1355" s="120"/>
      <c r="UM1355" s="120"/>
      <c r="UN1355" s="120"/>
      <c r="UO1355" s="120"/>
      <c r="UP1355" s="120"/>
      <c r="UQ1355" s="120"/>
      <c r="UR1355" s="120"/>
      <c r="US1355" s="120"/>
      <c r="UT1355" s="120"/>
      <c r="UU1355" s="120"/>
      <c r="UV1355" s="120"/>
      <c r="UW1355" s="120"/>
      <c r="UX1355" s="120"/>
      <c r="UY1355" s="120"/>
      <c r="UZ1355" s="120"/>
      <c r="VA1355" s="120"/>
      <c r="VB1355" s="120"/>
      <c r="VC1355" s="120"/>
      <c r="VD1355" s="120"/>
      <c r="VE1355" s="120"/>
      <c r="VF1355" s="120"/>
      <c r="VG1355" s="120"/>
      <c r="VH1355" s="120"/>
      <c r="VI1355" s="120"/>
      <c r="VJ1355" s="120"/>
      <c r="VK1355" s="120"/>
      <c r="VL1355" s="120"/>
      <c r="VM1355" s="120"/>
      <c r="VN1355" s="120"/>
      <c r="VO1355" s="120"/>
      <c r="VP1355" s="120"/>
      <c r="VQ1355" s="120"/>
      <c r="VR1355" s="120"/>
      <c r="VS1355" s="120"/>
      <c r="VT1355" s="120"/>
      <c r="VU1355" s="120"/>
      <c r="VV1355" s="120"/>
      <c r="VW1355" s="120"/>
      <c r="VX1355" s="120"/>
      <c r="VY1355" s="120"/>
      <c r="VZ1355" s="120"/>
      <c r="WA1355" s="120"/>
      <c r="WB1355" s="120"/>
      <c r="WC1355" s="120"/>
      <c r="WD1355" s="120"/>
      <c r="WE1355" s="120"/>
      <c r="WF1355" s="120"/>
      <c r="WG1355" s="120"/>
      <c r="WH1355" s="120"/>
      <c r="WI1355" s="120"/>
      <c r="WJ1355" s="120"/>
      <c r="WK1355" s="120"/>
      <c r="WL1355" s="120"/>
      <c r="WM1355" s="120"/>
      <c r="WN1355" s="120"/>
      <c r="WO1355" s="120"/>
      <c r="WP1355" s="120"/>
      <c r="WQ1355" s="120"/>
      <c r="WR1355" s="120"/>
      <c r="WS1355" s="120"/>
      <c r="WT1355" s="120"/>
      <c r="WU1355" s="120"/>
      <c r="WV1355" s="120"/>
      <c r="WW1355" s="120"/>
      <c r="WX1355" s="120"/>
      <c r="WY1355" s="120"/>
      <c r="WZ1355" s="120"/>
      <c r="XA1355" s="120"/>
      <c r="XB1355" s="120"/>
      <c r="XC1355" s="120"/>
      <c r="XD1355" s="120"/>
      <c r="XE1355" s="120"/>
      <c r="XF1355" s="120"/>
      <c r="XG1355" s="120"/>
      <c r="XH1355" s="120"/>
      <c r="XI1355" s="120"/>
      <c r="XJ1355" s="120"/>
      <c r="XK1355" s="120"/>
      <c r="XL1355" s="120"/>
      <c r="XM1355" s="120"/>
      <c r="XN1355" s="120"/>
      <c r="XO1355" s="120"/>
      <c r="XP1355" s="120"/>
      <c r="XQ1355" s="120"/>
      <c r="XR1355" s="120"/>
      <c r="XS1355" s="120"/>
      <c r="XT1355" s="120"/>
      <c r="XU1355" s="120"/>
      <c r="XV1355" s="120"/>
      <c r="XW1355" s="120"/>
      <c r="XX1355" s="120"/>
      <c r="XY1355" s="120"/>
      <c r="XZ1355" s="120"/>
      <c r="YA1355" s="120"/>
      <c r="YB1355" s="120"/>
      <c r="YC1355" s="120"/>
      <c r="YD1355" s="120"/>
      <c r="YE1355" s="120"/>
      <c r="YF1355" s="120"/>
      <c r="YG1355" s="120"/>
      <c r="YH1355" s="120"/>
      <c r="YI1355" s="120"/>
      <c r="YJ1355" s="120"/>
      <c r="YK1355" s="120"/>
      <c r="YL1355" s="120"/>
      <c r="YM1355" s="120"/>
      <c r="YN1355" s="120"/>
      <c r="YO1355" s="120"/>
      <c r="YP1355" s="120"/>
      <c r="YQ1355" s="120"/>
      <c r="YR1355" s="120"/>
      <c r="YS1355" s="120"/>
      <c r="YT1355" s="120"/>
      <c r="YU1355" s="120"/>
      <c r="YV1355" s="120"/>
      <c r="YW1355" s="120"/>
      <c r="YX1355" s="120"/>
      <c r="YY1355" s="120"/>
      <c r="YZ1355" s="120"/>
      <c r="ZA1355" s="120"/>
      <c r="ZB1355" s="120"/>
      <c r="ZC1355" s="120"/>
      <c r="ZD1355" s="120"/>
      <c r="ZE1355" s="120"/>
      <c r="ZF1355" s="120"/>
      <c r="ZG1355" s="120"/>
      <c r="ZH1355" s="120"/>
      <c r="ZI1355" s="120"/>
      <c r="ZJ1355" s="120"/>
      <c r="ZK1355" s="120"/>
      <c r="ZL1355" s="120"/>
      <c r="ZM1355" s="120"/>
      <c r="ZN1355" s="120"/>
      <c r="ZO1355" s="120"/>
      <c r="ZP1355" s="120"/>
      <c r="ZQ1355" s="120"/>
      <c r="ZR1355" s="120"/>
      <c r="ZS1355" s="120"/>
      <c r="ZT1355" s="120"/>
      <c r="ZU1355" s="120"/>
      <c r="ZV1355" s="120"/>
      <c r="ZW1355" s="120"/>
      <c r="ZX1355" s="120"/>
      <c r="ZY1355" s="120"/>
      <c r="ZZ1355" s="120"/>
      <c r="AAA1355" s="120"/>
      <c r="AAB1355" s="120"/>
      <c r="AAC1355" s="120"/>
      <c r="AAD1355" s="120"/>
      <c r="AAE1355" s="120"/>
      <c r="AAF1355" s="120"/>
      <c r="AAG1355" s="120"/>
      <c r="AAH1355" s="120"/>
      <c r="AAI1355" s="120"/>
      <c r="AAJ1355" s="120"/>
      <c r="AAK1355" s="120"/>
      <c r="AAL1355" s="120"/>
      <c r="AAM1355" s="120"/>
      <c r="AAN1355" s="120"/>
      <c r="AAO1355" s="120"/>
      <c r="AAP1355" s="120"/>
      <c r="AAQ1355" s="120"/>
      <c r="AAR1355" s="120"/>
      <c r="AAS1355" s="120"/>
      <c r="AAT1355" s="120"/>
      <c r="AAU1355" s="120"/>
      <c r="AAV1355" s="120"/>
      <c r="AAW1355" s="120"/>
      <c r="AAX1355" s="120"/>
      <c r="AAY1355" s="120"/>
      <c r="AAZ1355" s="120"/>
      <c r="ABA1355" s="120"/>
      <c r="ABB1355" s="120"/>
      <c r="ABC1355" s="120"/>
      <c r="ABD1355" s="120"/>
      <c r="ABE1355" s="120"/>
      <c r="ABF1355" s="120"/>
      <c r="ABG1355" s="120"/>
      <c r="ABH1355" s="120"/>
      <c r="ABI1355" s="120"/>
      <c r="ABJ1355" s="120"/>
      <c r="ABK1355" s="120"/>
      <c r="ABL1355" s="120"/>
      <c r="ABM1355" s="120"/>
      <c r="ABN1355" s="120"/>
      <c r="ABO1355" s="120"/>
      <c r="ABP1355" s="120"/>
      <c r="ABQ1355" s="120"/>
      <c r="ABR1355" s="120"/>
      <c r="ABS1355" s="120"/>
      <c r="ABT1355" s="120"/>
      <c r="ABU1355" s="120"/>
      <c r="ABV1355" s="120"/>
      <c r="ABW1355" s="120"/>
      <c r="ABX1355" s="120"/>
      <c r="ABY1355" s="120"/>
      <c r="ABZ1355" s="120"/>
      <c r="ACA1355" s="120"/>
      <c r="ACB1355" s="120"/>
      <c r="ACC1355" s="120"/>
      <c r="ACD1355" s="120"/>
      <c r="ACE1355" s="120"/>
      <c r="ACF1355" s="120"/>
      <c r="ACG1355" s="120"/>
      <c r="ACH1355" s="120"/>
      <c r="ACI1355" s="120"/>
      <c r="ACJ1355" s="120"/>
      <c r="ACK1355" s="120"/>
      <c r="ACL1355" s="120"/>
      <c r="ACM1355" s="120"/>
      <c r="ACN1355" s="120"/>
      <c r="ACO1355" s="120"/>
      <c r="ACP1355" s="120"/>
      <c r="ACQ1355" s="120"/>
      <c r="ACR1355" s="120"/>
      <c r="ACS1355" s="120"/>
      <c r="ACT1355" s="120"/>
      <c r="ACU1355" s="120"/>
      <c r="ACV1355" s="120"/>
      <c r="ACW1355" s="120"/>
      <c r="ACX1355" s="120"/>
      <c r="ACY1355" s="120"/>
      <c r="ACZ1355" s="120"/>
      <c r="ADA1355" s="120"/>
      <c r="ADB1355" s="120"/>
      <c r="ADC1355" s="120"/>
      <c r="ADD1355" s="120"/>
      <c r="ADE1355" s="120"/>
      <c r="ADF1355" s="120"/>
      <c r="ADG1355" s="120"/>
      <c r="ADH1355" s="120"/>
      <c r="ADI1355" s="120"/>
      <c r="ADJ1355" s="120"/>
      <c r="ADK1355" s="120"/>
      <c r="ADL1355" s="120"/>
      <c r="ADM1355" s="120"/>
      <c r="ADN1355" s="120"/>
      <c r="ADO1355" s="120"/>
      <c r="ADP1355" s="120"/>
      <c r="ADQ1355" s="120"/>
      <c r="ADR1355" s="120"/>
      <c r="ADS1355" s="120"/>
      <c r="ADT1355" s="120"/>
      <c r="ADU1355" s="120"/>
      <c r="ADV1355" s="120"/>
      <c r="ADW1355" s="120"/>
      <c r="ADX1355" s="120"/>
      <c r="ADY1355" s="120"/>
      <c r="ADZ1355" s="120"/>
      <c r="AEA1355" s="120"/>
      <c r="AEB1355" s="120"/>
      <c r="AEC1355" s="120"/>
      <c r="AED1355" s="120"/>
      <c r="AEE1355" s="120"/>
      <c r="AEF1355" s="120"/>
      <c r="AEG1355" s="120"/>
      <c r="AEH1355" s="120"/>
      <c r="AEI1355" s="120"/>
      <c r="AEJ1355" s="120"/>
      <c r="AEK1355" s="120"/>
      <c r="AEL1355" s="120"/>
      <c r="AEM1355" s="120"/>
      <c r="AEN1355" s="120"/>
      <c r="AEO1355" s="120"/>
      <c r="AEP1355" s="120"/>
      <c r="AEQ1355" s="120"/>
      <c r="AER1355" s="120"/>
      <c r="AES1355" s="120"/>
      <c r="AET1355" s="120"/>
      <c r="AEU1355" s="120"/>
      <c r="AEV1355" s="120"/>
      <c r="AEW1355" s="120"/>
      <c r="AEX1355" s="120"/>
      <c r="AEY1355" s="120"/>
      <c r="AEZ1355" s="120"/>
      <c r="AFA1355" s="120"/>
      <c r="AFB1355" s="120"/>
      <c r="AFC1355" s="120"/>
      <c r="AFD1355" s="120"/>
      <c r="AFE1355" s="120"/>
      <c r="AFF1355" s="120"/>
      <c r="AFG1355" s="120"/>
      <c r="AFH1355" s="120"/>
      <c r="AFI1355" s="120"/>
      <c r="AFJ1355" s="120"/>
      <c r="AFK1355" s="120"/>
      <c r="AFL1355" s="120"/>
      <c r="AFM1355" s="120"/>
      <c r="AFN1355" s="120"/>
      <c r="AFO1355" s="120"/>
      <c r="AFP1355" s="120"/>
      <c r="AFQ1355" s="120"/>
      <c r="AFR1355" s="120"/>
      <c r="AFS1355" s="120"/>
      <c r="AFT1355" s="120"/>
      <c r="AFU1355" s="120"/>
      <c r="AFV1355" s="120"/>
      <c r="AFW1355" s="120"/>
      <c r="AFX1355" s="120"/>
      <c r="AFY1355" s="120"/>
      <c r="AFZ1355" s="120"/>
      <c r="AGA1355" s="120"/>
      <c r="AGB1355" s="120"/>
      <c r="AGC1355" s="120"/>
      <c r="AGD1355" s="120"/>
      <c r="AGE1355" s="120"/>
      <c r="AGF1355" s="120"/>
      <c r="AGG1355" s="120"/>
      <c r="AGH1355" s="120"/>
      <c r="AGI1355" s="120"/>
      <c r="AGJ1355" s="120"/>
      <c r="AGK1355" s="120"/>
      <c r="AGL1355" s="120"/>
      <c r="AGM1355" s="120"/>
      <c r="AGN1355" s="120"/>
      <c r="AGO1355" s="120"/>
      <c r="AGP1355" s="120"/>
      <c r="AGQ1355" s="120"/>
      <c r="AGR1355" s="120"/>
      <c r="AGS1355" s="120"/>
      <c r="AGT1355" s="120"/>
      <c r="AGU1355" s="120"/>
      <c r="AGV1355" s="120"/>
      <c r="AGW1355" s="120"/>
      <c r="AGX1355" s="120"/>
      <c r="AGY1355" s="120"/>
      <c r="AGZ1355" s="120"/>
      <c r="AHA1355" s="120"/>
      <c r="AHB1355" s="120"/>
      <c r="AHC1355" s="120"/>
      <c r="AHD1355" s="120"/>
      <c r="AHE1355" s="120"/>
      <c r="AHF1355" s="120"/>
      <c r="AHG1355" s="120"/>
      <c r="AHH1355" s="120"/>
      <c r="AHI1355" s="120"/>
      <c r="AHJ1355" s="120"/>
      <c r="AHK1355" s="120"/>
      <c r="AHL1355" s="120"/>
      <c r="AHM1355" s="120"/>
      <c r="AHN1355" s="120"/>
      <c r="AHO1355" s="120"/>
      <c r="AHP1355" s="120"/>
      <c r="AHQ1355" s="120"/>
      <c r="AHR1355" s="120"/>
      <c r="AHS1355" s="120"/>
      <c r="AHT1355" s="120"/>
      <c r="AHU1355" s="120"/>
      <c r="AHV1355" s="120"/>
      <c r="AHW1355" s="120"/>
      <c r="AHX1355" s="120"/>
      <c r="AHY1355" s="120"/>
      <c r="AHZ1355" s="120"/>
      <c r="AIA1355" s="120"/>
      <c r="AIB1355" s="120"/>
      <c r="AIC1355" s="120"/>
      <c r="AID1355" s="120"/>
      <c r="AIE1355" s="120"/>
      <c r="AIF1355" s="120"/>
      <c r="AIG1355" s="120"/>
      <c r="AIH1355" s="120"/>
      <c r="AII1355" s="120"/>
      <c r="AIJ1355" s="120"/>
      <c r="AIK1355" s="120"/>
      <c r="AIL1355" s="120"/>
      <c r="AIM1355" s="120"/>
      <c r="AIN1355" s="120"/>
      <c r="AIO1355" s="120"/>
      <c r="AIP1355" s="120"/>
      <c r="AIQ1355" s="120"/>
      <c r="AIR1355" s="120"/>
      <c r="AIS1355" s="120"/>
      <c r="AIT1355" s="120"/>
      <c r="AIU1355" s="120"/>
      <c r="AIV1355" s="120"/>
      <c r="AIW1355" s="120"/>
      <c r="AIX1355" s="120"/>
      <c r="AIY1355" s="120"/>
      <c r="AIZ1355" s="120"/>
      <c r="AJA1355" s="120"/>
      <c r="AJB1355" s="120"/>
      <c r="AJC1355" s="120"/>
      <c r="AJD1355" s="120"/>
      <c r="AJE1355" s="120"/>
      <c r="AJF1355" s="120"/>
      <c r="AJG1355" s="120"/>
      <c r="AJH1355" s="120"/>
      <c r="AJI1355" s="120"/>
      <c r="AJJ1355" s="120"/>
      <c r="AJK1355" s="120"/>
      <c r="AJL1355" s="120"/>
      <c r="AJM1355" s="120"/>
      <c r="AJN1355" s="120"/>
      <c r="AJO1355" s="120"/>
      <c r="AJP1355" s="120"/>
      <c r="AJQ1355" s="120"/>
      <c r="AJR1355" s="120"/>
      <c r="AJS1355" s="120"/>
      <c r="AJT1355" s="120"/>
      <c r="AJU1355" s="120"/>
      <c r="AJV1355" s="120"/>
      <c r="AJW1355" s="120"/>
      <c r="AJX1355" s="120"/>
      <c r="AJY1355" s="120"/>
      <c r="AJZ1355" s="120"/>
      <c r="AKA1355" s="120"/>
      <c r="AKB1355" s="120"/>
      <c r="AKC1355" s="120"/>
      <c r="AKD1355" s="120"/>
      <c r="AKE1355" s="120"/>
      <c r="AKF1355" s="120"/>
      <c r="AKG1355" s="120"/>
      <c r="AKH1355" s="120"/>
      <c r="AKI1355" s="120"/>
      <c r="AKJ1355" s="120"/>
      <c r="AKK1355" s="120"/>
      <c r="AKL1355" s="120"/>
      <c r="AKM1355" s="120"/>
      <c r="AKN1355" s="120"/>
      <c r="AKO1355" s="120"/>
      <c r="AKP1355" s="120"/>
      <c r="AKQ1355" s="120"/>
      <c r="AKR1355" s="120"/>
      <c r="AKS1355" s="120"/>
      <c r="AKT1355" s="120"/>
      <c r="AKU1355" s="120"/>
      <c r="AKV1355" s="120"/>
      <c r="AKW1355" s="120"/>
      <c r="AKX1355" s="120"/>
      <c r="AKY1355" s="120"/>
      <c r="AKZ1355" s="120"/>
      <c r="ALA1355" s="120"/>
      <c r="ALB1355" s="120"/>
      <c r="ALC1355" s="120"/>
      <c r="ALD1355" s="120"/>
      <c r="ALE1355" s="120"/>
      <c r="ALF1355" s="120"/>
      <c r="ALG1355" s="120"/>
      <c r="ALH1355" s="120"/>
      <c r="ALI1355" s="120"/>
      <c r="ALJ1355" s="120"/>
      <c r="ALK1355" s="120"/>
      <c r="ALL1355" s="120"/>
      <c r="ALM1355" s="120"/>
      <c r="ALN1355" s="120"/>
      <c r="ALO1355" s="120"/>
      <c r="ALP1355" s="120"/>
      <c r="ALQ1355" s="120"/>
      <c r="ALR1355" s="120"/>
      <c r="ALS1355" s="120"/>
      <c r="ALT1355" s="120"/>
      <c r="ALU1355" s="120"/>
      <c r="ALV1355" s="120"/>
      <c r="ALW1355" s="120"/>
      <c r="ALX1355" s="120"/>
      <c r="ALY1355" s="120"/>
      <c r="ALZ1355" s="120"/>
      <c r="AMA1355" s="120"/>
      <c r="AMB1355" s="120"/>
      <c r="AMC1355" s="120"/>
      <c r="AMD1355" s="120"/>
      <c r="AME1355" s="120"/>
      <c r="AMF1355" s="120"/>
      <c r="AMG1355" s="120"/>
      <c r="AMH1355" s="120"/>
      <c r="AMI1355" s="120"/>
      <c r="AMJ1355" s="120"/>
      <c r="AMK1355" s="120"/>
      <c r="AML1355" s="120"/>
      <c r="AMM1355" s="120"/>
      <c r="AMN1355" s="120"/>
      <c r="AMO1355" s="120"/>
      <c r="AMP1355" s="120"/>
      <c r="AMQ1355" s="120"/>
      <c r="AMR1355" s="120"/>
      <c r="AMS1355" s="120"/>
      <c r="AMT1355" s="120"/>
      <c r="AMU1355" s="120"/>
      <c r="AMV1355" s="120"/>
      <c r="AMW1355" s="120"/>
      <c r="AMX1355" s="120"/>
      <c r="AMY1355" s="120"/>
      <c r="AMZ1355" s="120"/>
      <c r="ANA1355" s="120"/>
      <c r="ANB1355" s="120"/>
      <c r="ANC1355" s="120"/>
      <c r="AND1355" s="120"/>
      <c r="ANE1355" s="120"/>
      <c r="ANF1355" s="120"/>
      <c r="ANG1355" s="120"/>
      <c r="ANH1355" s="120"/>
      <c r="ANI1355" s="120"/>
      <c r="ANJ1355" s="120"/>
      <c r="ANK1355" s="120"/>
      <c r="ANL1355" s="120"/>
      <c r="ANM1355" s="120"/>
      <c r="ANN1355" s="120"/>
      <c r="ANO1355" s="120"/>
      <c r="ANP1355" s="120"/>
      <c r="ANQ1355" s="120"/>
      <c r="ANR1355" s="120"/>
      <c r="ANS1355" s="120"/>
      <c r="ANT1355" s="120"/>
      <c r="ANU1355" s="120"/>
      <c r="ANV1355" s="120"/>
      <c r="ANW1355" s="120"/>
      <c r="ANX1355" s="120"/>
      <c r="ANY1355" s="120"/>
      <c r="ANZ1355" s="120"/>
      <c r="AOA1355" s="120"/>
      <c r="AOB1355" s="120"/>
      <c r="AOC1355" s="120"/>
      <c r="AOD1355" s="120"/>
      <c r="AOE1355" s="120"/>
      <c r="AOF1355" s="120"/>
      <c r="AOG1355" s="120"/>
      <c r="AOH1355" s="120"/>
      <c r="AOI1355" s="120"/>
      <c r="AOJ1355" s="120"/>
      <c r="AOK1355" s="120"/>
      <c r="AOL1355" s="120"/>
      <c r="AOM1355" s="120"/>
      <c r="AON1355" s="120"/>
      <c r="AOO1355" s="120"/>
      <c r="AOP1355" s="120"/>
      <c r="AOQ1355" s="120"/>
      <c r="AOR1355" s="120"/>
      <c r="AOS1355" s="120"/>
      <c r="AOT1355" s="120"/>
      <c r="AOU1355" s="120"/>
      <c r="AOV1355" s="120"/>
      <c r="AOW1355" s="120"/>
      <c r="AOX1355" s="120"/>
      <c r="AOY1355" s="120"/>
      <c r="AOZ1355" s="120"/>
      <c r="APA1355" s="120"/>
      <c r="APB1355" s="120"/>
      <c r="APC1355" s="120"/>
      <c r="APD1355" s="120"/>
      <c r="APE1355" s="120"/>
      <c r="APF1355" s="120"/>
      <c r="APG1355" s="120"/>
      <c r="APH1355" s="120"/>
      <c r="API1355" s="120"/>
      <c r="APJ1355" s="120"/>
      <c r="APK1355" s="120"/>
      <c r="APL1355" s="120"/>
      <c r="APM1355" s="120"/>
      <c r="APN1355" s="120"/>
      <c r="APO1355" s="120"/>
      <c r="APP1355" s="120"/>
      <c r="APQ1355" s="120"/>
      <c r="APR1355" s="120"/>
      <c r="APS1355" s="120"/>
      <c r="APT1355" s="120"/>
      <c r="APU1355" s="120"/>
      <c r="APV1355" s="120"/>
      <c r="APW1355" s="120"/>
      <c r="APX1355" s="120"/>
      <c r="APY1355" s="120"/>
      <c r="APZ1355" s="120"/>
      <c r="AQA1355" s="120"/>
      <c r="AQB1355" s="120"/>
      <c r="AQC1355" s="120"/>
      <c r="AQD1355" s="120"/>
      <c r="AQE1355" s="120"/>
      <c r="AQF1355" s="120"/>
      <c r="AQG1355" s="120"/>
      <c r="AQH1355" s="120"/>
      <c r="AQI1355" s="120"/>
      <c r="AQJ1355" s="120"/>
      <c r="AQK1355" s="120"/>
      <c r="AQL1355" s="120"/>
      <c r="AQM1355" s="120"/>
      <c r="AQN1355" s="120"/>
      <c r="AQO1355" s="120"/>
      <c r="AQP1355" s="120"/>
      <c r="AQQ1355" s="120"/>
      <c r="AQR1355" s="120"/>
      <c r="AQS1355" s="120"/>
      <c r="AQT1355" s="120"/>
      <c r="AQU1355" s="120"/>
      <c r="AQV1355" s="120"/>
      <c r="AQW1355" s="120"/>
      <c r="AQX1355" s="120"/>
      <c r="AQY1355" s="120"/>
      <c r="AQZ1355" s="120"/>
      <c r="ARA1355" s="120"/>
      <c r="ARB1355" s="120"/>
      <c r="ARC1355" s="120"/>
      <c r="ARD1355" s="120"/>
      <c r="ARE1355" s="120"/>
      <c r="ARF1355" s="120"/>
      <c r="ARG1355" s="120"/>
      <c r="ARH1355" s="120"/>
      <c r="ARI1355" s="120"/>
      <c r="ARJ1355" s="120"/>
      <c r="ARK1355" s="120"/>
      <c r="ARL1355" s="120"/>
      <c r="ARM1355" s="120"/>
      <c r="ARN1355" s="120"/>
      <c r="ARO1355" s="120"/>
      <c r="ARP1355" s="120"/>
      <c r="ARQ1355" s="120"/>
      <c r="ARR1355" s="120"/>
      <c r="ARS1355" s="120"/>
      <c r="ART1355" s="120"/>
      <c r="ARU1355" s="120"/>
      <c r="ARV1355" s="120"/>
      <c r="ARW1355" s="120"/>
      <c r="ARX1355" s="120"/>
      <c r="ARY1355" s="120"/>
      <c r="ARZ1355" s="120"/>
      <c r="ASA1355" s="120"/>
      <c r="ASB1355" s="120"/>
      <c r="ASC1355" s="120"/>
      <c r="ASD1355" s="120"/>
      <c r="ASE1355" s="120"/>
      <c r="ASF1355" s="120"/>
      <c r="ASG1355" s="120"/>
      <c r="ASH1355" s="120"/>
      <c r="ASI1355" s="120"/>
      <c r="ASJ1355" s="120"/>
      <c r="ASK1355" s="120"/>
      <c r="ASL1355" s="120"/>
      <c r="ASM1355" s="120"/>
      <c r="ASN1355" s="120"/>
      <c r="ASO1355" s="120"/>
      <c r="ASP1355" s="120"/>
      <c r="ASQ1355" s="120"/>
      <c r="ASR1355" s="120"/>
      <c r="ASS1355" s="120"/>
      <c r="AST1355" s="120"/>
      <c r="ASU1355" s="120"/>
      <c r="ASV1355" s="120"/>
      <c r="ASW1355" s="120"/>
      <c r="ASX1355" s="120"/>
      <c r="ASY1355" s="120"/>
      <c r="ASZ1355" s="120"/>
      <c r="ATA1355" s="120"/>
      <c r="ATB1355" s="120"/>
      <c r="ATC1355" s="120"/>
      <c r="ATD1355" s="120"/>
      <c r="ATE1355" s="120"/>
      <c r="ATF1355" s="120"/>
      <c r="ATG1355" s="120"/>
      <c r="ATH1355" s="120"/>
      <c r="ATI1355" s="120"/>
      <c r="ATJ1355" s="120"/>
      <c r="ATK1355" s="120"/>
      <c r="ATL1355" s="120"/>
      <c r="ATM1355" s="120"/>
      <c r="ATN1355" s="120"/>
      <c r="ATO1355" s="120"/>
    </row>
    <row r="1356" spans="1:1211" s="20" customFormat="1" ht="14.1" customHeight="1">
      <c r="A1356" s="629"/>
      <c r="B1356" s="630"/>
      <c r="C1356" s="631"/>
      <c r="D1356" s="631"/>
      <c r="E1356" s="898"/>
      <c r="F1356" s="899"/>
      <c r="G1356" s="899"/>
      <c r="H1356" s="899"/>
      <c r="I1356" s="899"/>
      <c r="J1356" s="899"/>
      <c r="K1356" s="112"/>
      <c r="L1356" s="363"/>
      <c r="M1356" s="112"/>
      <c r="N1356" s="362"/>
      <c r="O1356" s="573"/>
      <c r="P1356" s="120"/>
      <c r="Q1356" s="120"/>
      <c r="R1356" s="120"/>
      <c r="S1356" s="120"/>
      <c r="T1356" s="120"/>
      <c r="U1356" s="120"/>
      <c r="V1356" s="120"/>
      <c r="W1356" s="120"/>
      <c r="X1356" s="120"/>
      <c r="Y1356" s="120"/>
      <c r="Z1356" s="120"/>
      <c r="AA1356" s="120"/>
      <c r="AB1356" s="120"/>
      <c r="AC1356" s="120"/>
      <c r="AD1356" s="120"/>
      <c r="AE1356" s="120"/>
      <c r="AF1356" s="120"/>
      <c r="AG1356" s="120"/>
      <c r="AH1356" s="120"/>
      <c r="AI1356" s="120"/>
      <c r="AJ1356" s="120"/>
      <c r="AK1356" s="120"/>
      <c r="AL1356" s="120"/>
      <c r="AM1356" s="120"/>
      <c r="AN1356" s="120"/>
      <c r="AO1356" s="120"/>
      <c r="AP1356" s="120"/>
      <c r="AQ1356" s="120"/>
      <c r="AR1356" s="120"/>
      <c r="AS1356" s="120"/>
      <c r="AT1356" s="120"/>
      <c r="AU1356" s="120"/>
      <c r="AV1356" s="120"/>
      <c r="AW1356" s="120"/>
      <c r="AX1356" s="120"/>
      <c r="AY1356" s="120"/>
      <c r="AZ1356" s="120"/>
      <c r="BA1356" s="120"/>
      <c r="BB1356" s="120"/>
      <c r="BC1356" s="120"/>
      <c r="BD1356" s="120"/>
      <c r="BE1356" s="120"/>
      <c r="BF1356" s="120"/>
      <c r="BG1356" s="120"/>
      <c r="BH1356" s="120"/>
      <c r="BI1356" s="120"/>
      <c r="BJ1356" s="120"/>
      <c r="BK1356" s="120"/>
      <c r="BL1356" s="120"/>
      <c r="BM1356" s="120"/>
      <c r="BN1356" s="120"/>
      <c r="BO1356" s="120"/>
      <c r="BP1356" s="120"/>
      <c r="BQ1356" s="120"/>
      <c r="BR1356" s="120"/>
      <c r="BS1356" s="120"/>
      <c r="BT1356" s="120"/>
      <c r="BU1356" s="120"/>
      <c r="BV1356" s="120"/>
      <c r="BW1356" s="120"/>
      <c r="BX1356" s="120"/>
      <c r="BY1356" s="120"/>
      <c r="BZ1356" s="120"/>
      <c r="CA1356" s="120"/>
      <c r="CB1356" s="120"/>
      <c r="CC1356" s="120"/>
      <c r="CD1356" s="120"/>
      <c r="CE1356" s="120"/>
      <c r="CF1356" s="120"/>
      <c r="CG1356" s="120"/>
      <c r="CH1356" s="120"/>
      <c r="CI1356" s="120"/>
      <c r="CJ1356" s="120"/>
      <c r="CK1356" s="120"/>
      <c r="CL1356" s="120"/>
      <c r="CM1356" s="120"/>
      <c r="CN1356" s="120"/>
      <c r="CO1356" s="120"/>
      <c r="CP1356" s="120"/>
      <c r="CQ1356" s="120"/>
      <c r="CR1356" s="120"/>
      <c r="CS1356" s="120"/>
      <c r="CT1356" s="120"/>
      <c r="CU1356" s="120"/>
      <c r="CV1356" s="120"/>
      <c r="CW1356" s="120"/>
      <c r="CX1356" s="120"/>
      <c r="CY1356" s="120"/>
      <c r="CZ1356" s="120"/>
      <c r="DA1356" s="120"/>
      <c r="DB1356" s="120"/>
      <c r="DC1356" s="120"/>
      <c r="DD1356" s="120"/>
      <c r="DE1356" s="120"/>
      <c r="DF1356" s="120"/>
      <c r="DG1356" s="120"/>
      <c r="DH1356" s="120"/>
      <c r="DI1356" s="120"/>
      <c r="DJ1356" s="120"/>
      <c r="DK1356" s="120"/>
      <c r="DL1356" s="120"/>
      <c r="DM1356" s="120"/>
      <c r="DN1356" s="120"/>
      <c r="DO1356" s="120"/>
      <c r="DP1356" s="120"/>
      <c r="DQ1356" s="120"/>
      <c r="DR1356" s="120"/>
      <c r="DS1356" s="120"/>
      <c r="DT1356" s="120"/>
      <c r="DU1356" s="120"/>
      <c r="DV1356" s="120"/>
      <c r="DW1356" s="120"/>
      <c r="DX1356" s="120"/>
      <c r="DY1356" s="120"/>
      <c r="DZ1356" s="120"/>
      <c r="EA1356" s="120"/>
      <c r="EB1356" s="120"/>
      <c r="EC1356" s="120"/>
      <c r="ED1356" s="120"/>
      <c r="EE1356" s="120"/>
      <c r="EF1356" s="120"/>
      <c r="EG1356" s="120"/>
      <c r="EH1356" s="120"/>
      <c r="EI1356" s="120"/>
      <c r="EJ1356" s="120"/>
      <c r="EK1356" s="120"/>
      <c r="EL1356" s="120"/>
      <c r="EM1356" s="120"/>
      <c r="EN1356" s="120"/>
      <c r="EO1356" s="120"/>
      <c r="EP1356" s="120"/>
      <c r="EQ1356" s="120"/>
      <c r="ER1356" s="120"/>
      <c r="ES1356" s="120"/>
      <c r="ET1356" s="120"/>
      <c r="EU1356" s="120"/>
      <c r="EV1356" s="120"/>
      <c r="EW1356" s="120"/>
      <c r="EX1356" s="120"/>
      <c r="EY1356" s="120"/>
      <c r="EZ1356" s="120"/>
      <c r="FA1356" s="120"/>
      <c r="FB1356" s="120"/>
      <c r="FC1356" s="120"/>
      <c r="FD1356" s="120"/>
      <c r="FE1356" s="120"/>
      <c r="FF1356" s="120"/>
      <c r="FG1356" s="120"/>
      <c r="FH1356" s="120"/>
      <c r="FI1356" s="120"/>
      <c r="FJ1356" s="120"/>
      <c r="FK1356" s="120"/>
      <c r="FL1356" s="120"/>
      <c r="FM1356" s="120"/>
      <c r="FN1356" s="120"/>
      <c r="FO1356" s="120"/>
      <c r="FP1356" s="120"/>
      <c r="FQ1356" s="120"/>
      <c r="FR1356" s="120"/>
      <c r="FS1356" s="120"/>
      <c r="FT1356" s="120"/>
      <c r="FU1356" s="120"/>
      <c r="FV1356" s="120"/>
      <c r="FW1356" s="120"/>
      <c r="FX1356" s="120"/>
      <c r="FY1356" s="120"/>
      <c r="FZ1356" s="120"/>
      <c r="GA1356" s="120"/>
      <c r="GB1356" s="120"/>
      <c r="GC1356" s="120"/>
      <c r="GD1356" s="120"/>
      <c r="GE1356" s="120"/>
      <c r="GF1356" s="120"/>
      <c r="GG1356" s="120"/>
      <c r="GH1356" s="120"/>
      <c r="GI1356" s="120"/>
      <c r="GJ1356" s="120"/>
      <c r="GK1356" s="120"/>
      <c r="GL1356" s="120"/>
      <c r="GM1356" s="120"/>
      <c r="GN1356" s="120"/>
      <c r="GO1356" s="120"/>
      <c r="GP1356" s="120"/>
      <c r="GQ1356" s="120"/>
      <c r="GR1356" s="120"/>
      <c r="GS1356" s="120"/>
      <c r="GT1356" s="120"/>
      <c r="GU1356" s="120"/>
      <c r="GV1356" s="120"/>
      <c r="GW1356" s="120"/>
      <c r="GX1356" s="120"/>
      <c r="GY1356" s="120"/>
      <c r="GZ1356" s="120"/>
      <c r="HA1356" s="120"/>
      <c r="HB1356" s="120"/>
      <c r="HC1356" s="120"/>
      <c r="HD1356" s="120"/>
      <c r="HE1356" s="120"/>
      <c r="HF1356" s="120"/>
      <c r="HG1356" s="120"/>
      <c r="HH1356" s="120"/>
      <c r="HI1356" s="120"/>
      <c r="HJ1356" s="120"/>
      <c r="HK1356" s="120"/>
      <c r="HL1356" s="120"/>
      <c r="HM1356" s="120"/>
      <c r="HN1356" s="120"/>
      <c r="HO1356" s="120"/>
      <c r="HP1356" s="120"/>
      <c r="HQ1356" s="120"/>
      <c r="HR1356" s="120"/>
      <c r="HS1356" s="120"/>
      <c r="HT1356" s="120"/>
      <c r="HU1356" s="120"/>
      <c r="HV1356" s="120"/>
      <c r="HW1356" s="120"/>
      <c r="HX1356" s="120"/>
      <c r="HY1356" s="120"/>
      <c r="HZ1356" s="120"/>
      <c r="IA1356" s="120"/>
      <c r="IB1356" s="120"/>
      <c r="IC1356" s="120"/>
      <c r="ID1356" s="120"/>
      <c r="IE1356" s="120"/>
      <c r="IF1356" s="120"/>
      <c r="IG1356" s="120"/>
      <c r="IH1356" s="120"/>
      <c r="II1356" s="120"/>
      <c r="IJ1356" s="120"/>
      <c r="IK1356" s="120"/>
      <c r="IL1356" s="120"/>
      <c r="IM1356" s="120"/>
      <c r="IN1356" s="120"/>
      <c r="IO1356" s="120"/>
      <c r="IP1356" s="120"/>
      <c r="IQ1356" s="120"/>
      <c r="IR1356" s="120"/>
      <c r="IS1356" s="120"/>
      <c r="IT1356" s="120"/>
      <c r="IU1356" s="120"/>
      <c r="IV1356" s="120"/>
      <c r="IW1356" s="120"/>
      <c r="IX1356" s="120"/>
      <c r="IY1356" s="120"/>
      <c r="IZ1356" s="120"/>
      <c r="JA1356" s="120"/>
      <c r="JB1356" s="120"/>
      <c r="JC1356" s="120"/>
      <c r="JD1356" s="120"/>
      <c r="JE1356" s="120"/>
      <c r="JF1356" s="120"/>
      <c r="JG1356" s="120"/>
      <c r="JH1356" s="120"/>
      <c r="JI1356" s="120"/>
      <c r="JJ1356" s="120"/>
      <c r="JK1356" s="120"/>
      <c r="JL1356" s="120"/>
      <c r="JM1356" s="120"/>
      <c r="JN1356" s="120"/>
      <c r="JO1356" s="120"/>
      <c r="JP1356" s="120"/>
      <c r="JQ1356" s="120"/>
      <c r="JR1356" s="120"/>
      <c r="JS1356" s="120"/>
      <c r="JT1356" s="120"/>
      <c r="JU1356" s="120"/>
      <c r="JV1356" s="120"/>
      <c r="JW1356" s="120"/>
      <c r="JX1356" s="120"/>
      <c r="JY1356" s="120"/>
      <c r="JZ1356" s="120"/>
      <c r="KA1356" s="120"/>
      <c r="KB1356" s="120"/>
      <c r="KC1356" s="120"/>
      <c r="KD1356" s="120"/>
      <c r="KE1356" s="120"/>
      <c r="KF1356" s="120"/>
      <c r="KG1356" s="120"/>
      <c r="KH1356" s="120"/>
      <c r="KI1356" s="120"/>
      <c r="KJ1356" s="120"/>
      <c r="KK1356" s="120"/>
      <c r="KL1356" s="120"/>
      <c r="KM1356" s="120"/>
      <c r="KN1356" s="120"/>
      <c r="KO1356" s="120"/>
      <c r="KP1356" s="120"/>
      <c r="KQ1356" s="120"/>
      <c r="KR1356" s="120"/>
      <c r="KS1356" s="120"/>
      <c r="KT1356" s="120"/>
      <c r="KU1356" s="120"/>
      <c r="KV1356" s="120"/>
      <c r="KW1356" s="120"/>
      <c r="KX1356" s="120"/>
      <c r="KY1356" s="120"/>
      <c r="KZ1356" s="120"/>
      <c r="LA1356" s="120"/>
      <c r="LB1356" s="120"/>
      <c r="LC1356" s="120"/>
      <c r="LD1356" s="120"/>
      <c r="LE1356" s="120"/>
      <c r="LF1356" s="120"/>
      <c r="LG1356" s="120"/>
      <c r="LH1356" s="120"/>
      <c r="LI1356" s="120"/>
      <c r="LJ1356" s="120"/>
      <c r="LK1356" s="120"/>
      <c r="LL1356" s="120"/>
      <c r="LM1356" s="120"/>
      <c r="LN1356" s="120"/>
      <c r="LO1356" s="120"/>
      <c r="LP1356" s="120"/>
      <c r="LQ1356" s="120"/>
      <c r="LR1356" s="120"/>
      <c r="LS1356" s="120"/>
      <c r="LT1356" s="120"/>
      <c r="LU1356" s="120"/>
      <c r="LV1356" s="120"/>
      <c r="LW1356" s="120"/>
      <c r="LX1356" s="120"/>
      <c r="LY1356" s="120"/>
      <c r="LZ1356" s="120"/>
      <c r="MA1356" s="120"/>
      <c r="MB1356" s="120"/>
      <c r="MC1356" s="120"/>
      <c r="MD1356" s="120"/>
      <c r="ME1356" s="120"/>
      <c r="MF1356" s="120"/>
      <c r="MG1356" s="120"/>
      <c r="MH1356" s="120"/>
      <c r="MI1356" s="120"/>
      <c r="MJ1356" s="120"/>
      <c r="MK1356" s="120"/>
      <c r="ML1356" s="120"/>
      <c r="MM1356" s="120"/>
      <c r="MN1356" s="120"/>
      <c r="MO1356" s="120"/>
      <c r="MP1356" s="120"/>
      <c r="MQ1356" s="120"/>
      <c r="MR1356" s="120"/>
      <c r="MS1356" s="120"/>
      <c r="MT1356" s="120"/>
      <c r="MU1356" s="120"/>
      <c r="MV1356" s="120"/>
      <c r="MW1356" s="120"/>
      <c r="MX1356" s="120"/>
      <c r="MY1356" s="120"/>
      <c r="MZ1356" s="120"/>
      <c r="NA1356" s="120"/>
      <c r="NB1356" s="120"/>
      <c r="NC1356" s="120"/>
      <c r="ND1356" s="120"/>
      <c r="NE1356" s="120"/>
      <c r="NF1356" s="120"/>
      <c r="NG1356" s="120"/>
      <c r="NH1356" s="120"/>
      <c r="NI1356" s="120"/>
      <c r="NJ1356" s="120"/>
      <c r="NK1356" s="120"/>
      <c r="NL1356" s="120"/>
      <c r="NM1356" s="120"/>
      <c r="NN1356" s="120"/>
      <c r="NO1356" s="120"/>
      <c r="NP1356" s="120"/>
      <c r="NQ1356" s="120"/>
      <c r="NR1356" s="120"/>
      <c r="NS1356" s="120"/>
      <c r="NT1356" s="120"/>
      <c r="NU1356" s="120"/>
      <c r="NV1356" s="120"/>
      <c r="NW1356" s="120"/>
      <c r="NX1356" s="120"/>
      <c r="NY1356" s="120"/>
      <c r="NZ1356" s="120"/>
      <c r="OA1356" s="120"/>
      <c r="OB1356" s="120"/>
      <c r="OC1356" s="120"/>
      <c r="OD1356" s="120"/>
      <c r="OE1356" s="120"/>
      <c r="OF1356" s="120"/>
      <c r="OG1356" s="120"/>
      <c r="OH1356" s="120"/>
      <c r="OI1356" s="120"/>
      <c r="OJ1356" s="120"/>
      <c r="OK1356" s="120"/>
      <c r="OL1356" s="120"/>
      <c r="OM1356" s="120"/>
      <c r="ON1356" s="120"/>
      <c r="OO1356" s="120"/>
      <c r="OP1356" s="120"/>
      <c r="OQ1356" s="120"/>
      <c r="OR1356" s="120"/>
      <c r="OS1356" s="120"/>
      <c r="OT1356" s="120"/>
      <c r="OU1356" s="120"/>
      <c r="OV1356" s="120"/>
      <c r="OW1356" s="120"/>
      <c r="OX1356" s="120"/>
      <c r="OY1356" s="120"/>
      <c r="OZ1356" s="120"/>
      <c r="PA1356" s="120"/>
      <c r="PB1356" s="120"/>
      <c r="PC1356" s="120"/>
      <c r="PD1356" s="120"/>
      <c r="PE1356" s="120"/>
      <c r="PF1356" s="120"/>
      <c r="PG1356" s="120"/>
      <c r="PH1356" s="120"/>
      <c r="PI1356" s="120"/>
      <c r="PJ1356" s="120"/>
      <c r="PK1356" s="120"/>
      <c r="PL1356" s="120"/>
      <c r="PM1356" s="120"/>
      <c r="PN1356" s="120"/>
      <c r="PO1356" s="120"/>
      <c r="PP1356" s="120"/>
      <c r="PQ1356" s="120"/>
      <c r="PR1356" s="120"/>
      <c r="PS1356" s="120"/>
      <c r="PT1356" s="120"/>
      <c r="PU1356" s="120"/>
      <c r="PV1356" s="120"/>
      <c r="PW1356" s="120"/>
      <c r="PX1356" s="120"/>
      <c r="PY1356" s="120"/>
      <c r="PZ1356" s="120"/>
      <c r="QA1356" s="120"/>
      <c r="QB1356" s="120"/>
      <c r="QC1356" s="120"/>
      <c r="QD1356" s="120"/>
      <c r="QE1356" s="120"/>
      <c r="QF1356" s="120"/>
      <c r="QG1356" s="120"/>
      <c r="QH1356" s="120"/>
      <c r="QI1356" s="120"/>
      <c r="QJ1356" s="120"/>
      <c r="QK1356" s="120"/>
      <c r="QL1356" s="120"/>
      <c r="QM1356" s="120"/>
      <c r="QN1356" s="120"/>
      <c r="QO1356" s="120"/>
      <c r="QP1356" s="120"/>
      <c r="QQ1356" s="120"/>
      <c r="QR1356" s="120"/>
      <c r="QS1356" s="120"/>
      <c r="QT1356" s="120"/>
      <c r="QU1356" s="120"/>
      <c r="QV1356" s="120"/>
      <c r="QW1356" s="120"/>
      <c r="QX1356" s="120"/>
      <c r="QY1356" s="120"/>
      <c r="QZ1356" s="120"/>
      <c r="RA1356" s="120"/>
      <c r="RB1356" s="120"/>
      <c r="RC1356" s="120"/>
      <c r="RD1356" s="120"/>
      <c r="RE1356" s="120"/>
      <c r="RF1356" s="120"/>
      <c r="RG1356" s="120"/>
      <c r="RH1356" s="120"/>
      <c r="RI1356" s="120"/>
      <c r="RJ1356" s="120"/>
      <c r="RK1356" s="120"/>
      <c r="RL1356" s="120"/>
      <c r="RM1356" s="120"/>
      <c r="RN1356" s="120"/>
      <c r="RO1356" s="120"/>
      <c r="RP1356" s="120"/>
      <c r="RQ1356" s="120"/>
      <c r="RR1356" s="120"/>
      <c r="RS1356" s="120"/>
      <c r="RT1356" s="120"/>
      <c r="RU1356" s="120"/>
      <c r="RV1356" s="120"/>
      <c r="RW1356" s="120"/>
      <c r="RX1356" s="120"/>
      <c r="RY1356" s="120"/>
      <c r="RZ1356" s="120"/>
      <c r="SA1356" s="120"/>
      <c r="SB1356" s="120"/>
      <c r="SC1356" s="120"/>
      <c r="SD1356" s="120"/>
      <c r="SE1356" s="120"/>
      <c r="SF1356" s="120"/>
      <c r="SG1356" s="120"/>
      <c r="SH1356" s="120"/>
      <c r="SI1356" s="120"/>
      <c r="SJ1356" s="120"/>
      <c r="SK1356" s="120"/>
      <c r="SL1356" s="120"/>
      <c r="SM1356" s="120"/>
      <c r="SN1356" s="120"/>
      <c r="SO1356" s="120"/>
      <c r="SP1356" s="120"/>
      <c r="SQ1356" s="120"/>
      <c r="SR1356" s="120"/>
      <c r="SS1356" s="120"/>
      <c r="ST1356" s="120"/>
      <c r="SU1356" s="120"/>
      <c r="SV1356" s="120"/>
      <c r="SW1356" s="120"/>
      <c r="SX1356" s="120"/>
      <c r="SY1356" s="120"/>
      <c r="SZ1356" s="120"/>
      <c r="TA1356" s="120"/>
      <c r="TB1356" s="120"/>
      <c r="TC1356" s="120"/>
      <c r="TD1356" s="120"/>
      <c r="TE1356" s="120"/>
      <c r="TF1356" s="120"/>
      <c r="TG1356" s="120"/>
      <c r="TH1356" s="120"/>
      <c r="TI1356" s="120"/>
      <c r="TJ1356" s="120"/>
      <c r="TK1356" s="120"/>
      <c r="TL1356" s="120"/>
      <c r="TM1356" s="120"/>
      <c r="TN1356" s="120"/>
      <c r="TO1356" s="120"/>
      <c r="TP1356" s="120"/>
      <c r="TQ1356" s="120"/>
      <c r="TR1356" s="120"/>
      <c r="TS1356" s="120"/>
      <c r="TT1356" s="120"/>
      <c r="TU1356" s="120"/>
      <c r="TV1356" s="120"/>
      <c r="TW1356" s="120"/>
      <c r="TX1356" s="120"/>
      <c r="TY1356" s="120"/>
      <c r="TZ1356" s="120"/>
      <c r="UA1356" s="120"/>
      <c r="UB1356" s="120"/>
      <c r="UC1356" s="120"/>
      <c r="UD1356" s="120"/>
      <c r="UE1356" s="120"/>
      <c r="UF1356" s="120"/>
      <c r="UG1356" s="120"/>
      <c r="UH1356" s="120"/>
      <c r="UI1356" s="120"/>
      <c r="UJ1356" s="120"/>
      <c r="UK1356" s="120"/>
      <c r="UL1356" s="120"/>
      <c r="UM1356" s="120"/>
      <c r="UN1356" s="120"/>
      <c r="UO1356" s="120"/>
      <c r="UP1356" s="120"/>
      <c r="UQ1356" s="120"/>
      <c r="UR1356" s="120"/>
      <c r="US1356" s="120"/>
      <c r="UT1356" s="120"/>
      <c r="UU1356" s="120"/>
      <c r="UV1356" s="120"/>
      <c r="UW1356" s="120"/>
      <c r="UX1356" s="120"/>
      <c r="UY1356" s="120"/>
      <c r="UZ1356" s="120"/>
      <c r="VA1356" s="120"/>
      <c r="VB1356" s="120"/>
      <c r="VC1356" s="120"/>
      <c r="VD1356" s="120"/>
      <c r="VE1356" s="120"/>
      <c r="VF1356" s="120"/>
      <c r="VG1356" s="120"/>
      <c r="VH1356" s="120"/>
      <c r="VI1356" s="120"/>
      <c r="VJ1356" s="120"/>
      <c r="VK1356" s="120"/>
      <c r="VL1356" s="120"/>
      <c r="VM1356" s="120"/>
      <c r="VN1356" s="120"/>
      <c r="VO1356" s="120"/>
      <c r="VP1356" s="120"/>
      <c r="VQ1356" s="120"/>
      <c r="VR1356" s="120"/>
      <c r="VS1356" s="120"/>
      <c r="VT1356" s="120"/>
      <c r="VU1356" s="120"/>
      <c r="VV1356" s="120"/>
      <c r="VW1356" s="120"/>
      <c r="VX1356" s="120"/>
      <c r="VY1356" s="120"/>
      <c r="VZ1356" s="120"/>
      <c r="WA1356" s="120"/>
      <c r="WB1356" s="120"/>
      <c r="WC1356" s="120"/>
      <c r="WD1356" s="120"/>
      <c r="WE1356" s="120"/>
      <c r="WF1356" s="120"/>
      <c r="WG1356" s="120"/>
      <c r="WH1356" s="120"/>
      <c r="WI1356" s="120"/>
      <c r="WJ1356" s="120"/>
      <c r="WK1356" s="120"/>
      <c r="WL1356" s="120"/>
      <c r="WM1356" s="120"/>
      <c r="WN1356" s="120"/>
      <c r="WO1356" s="120"/>
      <c r="WP1356" s="120"/>
      <c r="WQ1356" s="120"/>
      <c r="WR1356" s="120"/>
      <c r="WS1356" s="120"/>
      <c r="WT1356" s="120"/>
      <c r="WU1356" s="120"/>
      <c r="WV1356" s="120"/>
      <c r="WW1356" s="120"/>
      <c r="WX1356" s="120"/>
      <c r="WY1356" s="120"/>
      <c r="WZ1356" s="120"/>
      <c r="XA1356" s="120"/>
      <c r="XB1356" s="120"/>
      <c r="XC1356" s="120"/>
      <c r="XD1356" s="120"/>
      <c r="XE1356" s="120"/>
      <c r="XF1356" s="120"/>
      <c r="XG1356" s="120"/>
      <c r="XH1356" s="120"/>
      <c r="XI1356" s="120"/>
      <c r="XJ1356" s="120"/>
      <c r="XK1356" s="120"/>
      <c r="XL1356" s="120"/>
      <c r="XM1356" s="120"/>
      <c r="XN1356" s="120"/>
      <c r="XO1356" s="120"/>
      <c r="XP1356" s="120"/>
      <c r="XQ1356" s="120"/>
      <c r="XR1356" s="120"/>
      <c r="XS1356" s="120"/>
      <c r="XT1356" s="120"/>
      <c r="XU1356" s="120"/>
      <c r="XV1356" s="120"/>
      <c r="XW1356" s="120"/>
      <c r="XX1356" s="120"/>
      <c r="XY1356" s="120"/>
      <c r="XZ1356" s="120"/>
      <c r="YA1356" s="120"/>
      <c r="YB1356" s="120"/>
      <c r="YC1356" s="120"/>
      <c r="YD1356" s="120"/>
      <c r="YE1356" s="120"/>
      <c r="YF1356" s="120"/>
      <c r="YG1356" s="120"/>
      <c r="YH1356" s="120"/>
      <c r="YI1356" s="120"/>
      <c r="YJ1356" s="120"/>
      <c r="YK1356" s="120"/>
      <c r="YL1356" s="120"/>
      <c r="YM1356" s="120"/>
      <c r="YN1356" s="120"/>
      <c r="YO1356" s="120"/>
      <c r="YP1356" s="120"/>
      <c r="YQ1356" s="120"/>
      <c r="YR1356" s="120"/>
      <c r="YS1356" s="120"/>
      <c r="YT1356" s="120"/>
      <c r="YU1356" s="120"/>
      <c r="YV1356" s="120"/>
      <c r="YW1356" s="120"/>
      <c r="YX1356" s="120"/>
      <c r="YY1356" s="120"/>
      <c r="YZ1356" s="120"/>
      <c r="ZA1356" s="120"/>
      <c r="ZB1356" s="120"/>
      <c r="ZC1356" s="120"/>
      <c r="ZD1356" s="120"/>
      <c r="ZE1356" s="120"/>
      <c r="ZF1356" s="120"/>
      <c r="ZG1356" s="120"/>
      <c r="ZH1356" s="120"/>
      <c r="ZI1356" s="120"/>
      <c r="ZJ1356" s="120"/>
      <c r="ZK1356" s="120"/>
      <c r="ZL1356" s="120"/>
      <c r="ZM1356" s="120"/>
      <c r="ZN1356" s="120"/>
      <c r="ZO1356" s="120"/>
      <c r="ZP1356" s="120"/>
      <c r="ZQ1356" s="120"/>
      <c r="ZR1356" s="120"/>
      <c r="ZS1356" s="120"/>
      <c r="ZT1356" s="120"/>
      <c r="ZU1356" s="120"/>
      <c r="ZV1356" s="120"/>
      <c r="ZW1356" s="120"/>
      <c r="ZX1356" s="120"/>
      <c r="ZY1356" s="120"/>
      <c r="ZZ1356" s="120"/>
      <c r="AAA1356" s="120"/>
      <c r="AAB1356" s="120"/>
      <c r="AAC1356" s="120"/>
      <c r="AAD1356" s="120"/>
      <c r="AAE1356" s="120"/>
      <c r="AAF1356" s="120"/>
      <c r="AAG1356" s="120"/>
      <c r="AAH1356" s="120"/>
      <c r="AAI1356" s="120"/>
      <c r="AAJ1356" s="120"/>
      <c r="AAK1356" s="120"/>
      <c r="AAL1356" s="120"/>
      <c r="AAM1356" s="120"/>
      <c r="AAN1356" s="120"/>
      <c r="AAO1356" s="120"/>
      <c r="AAP1356" s="120"/>
      <c r="AAQ1356" s="120"/>
      <c r="AAR1356" s="120"/>
      <c r="AAS1356" s="120"/>
      <c r="AAT1356" s="120"/>
      <c r="AAU1356" s="120"/>
      <c r="AAV1356" s="120"/>
      <c r="AAW1356" s="120"/>
      <c r="AAX1356" s="120"/>
      <c r="AAY1356" s="120"/>
      <c r="AAZ1356" s="120"/>
      <c r="ABA1356" s="120"/>
      <c r="ABB1356" s="120"/>
      <c r="ABC1356" s="120"/>
      <c r="ABD1356" s="120"/>
      <c r="ABE1356" s="120"/>
      <c r="ABF1356" s="120"/>
      <c r="ABG1356" s="120"/>
      <c r="ABH1356" s="120"/>
      <c r="ABI1356" s="120"/>
      <c r="ABJ1356" s="120"/>
      <c r="ABK1356" s="120"/>
      <c r="ABL1356" s="120"/>
      <c r="ABM1356" s="120"/>
      <c r="ABN1356" s="120"/>
      <c r="ABO1356" s="120"/>
      <c r="ABP1356" s="120"/>
      <c r="ABQ1356" s="120"/>
      <c r="ABR1356" s="120"/>
      <c r="ABS1356" s="120"/>
      <c r="ABT1356" s="120"/>
      <c r="ABU1356" s="120"/>
      <c r="ABV1356" s="120"/>
      <c r="ABW1356" s="120"/>
      <c r="ABX1356" s="120"/>
      <c r="ABY1356" s="120"/>
      <c r="ABZ1356" s="120"/>
      <c r="ACA1356" s="120"/>
      <c r="ACB1356" s="120"/>
      <c r="ACC1356" s="120"/>
      <c r="ACD1356" s="120"/>
      <c r="ACE1356" s="120"/>
      <c r="ACF1356" s="120"/>
      <c r="ACG1356" s="120"/>
      <c r="ACH1356" s="120"/>
      <c r="ACI1356" s="120"/>
      <c r="ACJ1356" s="120"/>
      <c r="ACK1356" s="120"/>
      <c r="ACL1356" s="120"/>
      <c r="ACM1356" s="120"/>
      <c r="ACN1356" s="120"/>
      <c r="ACO1356" s="120"/>
      <c r="ACP1356" s="120"/>
      <c r="ACQ1356" s="120"/>
      <c r="ACR1356" s="120"/>
      <c r="ACS1356" s="120"/>
      <c r="ACT1356" s="120"/>
      <c r="ACU1356" s="120"/>
      <c r="ACV1356" s="120"/>
      <c r="ACW1356" s="120"/>
      <c r="ACX1356" s="120"/>
      <c r="ACY1356" s="120"/>
      <c r="ACZ1356" s="120"/>
      <c r="ADA1356" s="120"/>
      <c r="ADB1356" s="120"/>
      <c r="ADC1356" s="120"/>
      <c r="ADD1356" s="120"/>
      <c r="ADE1356" s="120"/>
      <c r="ADF1356" s="120"/>
      <c r="ADG1356" s="120"/>
      <c r="ADH1356" s="120"/>
      <c r="ADI1356" s="120"/>
      <c r="ADJ1356" s="120"/>
      <c r="ADK1356" s="120"/>
      <c r="ADL1356" s="120"/>
      <c r="ADM1356" s="120"/>
      <c r="ADN1356" s="120"/>
      <c r="ADO1356" s="120"/>
      <c r="ADP1356" s="120"/>
      <c r="ADQ1356" s="120"/>
      <c r="ADR1356" s="120"/>
      <c r="ADS1356" s="120"/>
      <c r="ADT1356" s="120"/>
      <c r="ADU1356" s="120"/>
      <c r="ADV1356" s="120"/>
      <c r="ADW1356" s="120"/>
      <c r="ADX1356" s="120"/>
      <c r="ADY1356" s="120"/>
      <c r="ADZ1356" s="120"/>
      <c r="AEA1356" s="120"/>
      <c r="AEB1356" s="120"/>
      <c r="AEC1356" s="120"/>
      <c r="AED1356" s="120"/>
      <c r="AEE1356" s="120"/>
      <c r="AEF1356" s="120"/>
      <c r="AEG1356" s="120"/>
      <c r="AEH1356" s="120"/>
      <c r="AEI1356" s="120"/>
      <c r="AEJ1356" s="120"/>
      <c r="AEK1356" s="120"/>
      <c r="AEL1356" s="120"/>
      <c r="AEM1356" s="120"/>
      <c r="AEN1356" s="120"/>
      <c r="AEO1356" s="120"/>
      <c r="AEP1356" s="120"/>
      <c r="AEQ1356" s="120"/>
      <c r="AER1356" s="120"/>
      <c r="AES1356" s="120"/>
      <c r="AET1356" s="120"/>
      <c r="AEU1356" s="120"/>
      <c r="AEV1356" s="120"/>
      <c r="AEW1356" s="120"/>
      <c r="AEX1356" s="120"/>
      <c r="AEY1356" s="120"/>
      <c r="AEZ1356" s="120"/>
      <c r="AFA1356" s="120"/>
      <c r="AFB1356" s="120"/>
      <c r="AFC1356" s="120"/>
      <c r="AFD1356" s="120"/>
      <c r="AFE1356" s="120"/>
      <c r="AFF1356" s="120"/>
      <c r="AFG1356" s="120"/>
      <c r="AFH1356" s="120"/>
      <c r="AFI1356" s="120"/>
      <c r="AFJ1356" s="120"/>
      <c r="AFK1356" s="120"/>
      <c r="AFL1356" s="120"/>
      <c r="AFM1356" s="120"/>
      <c r="AFN1356" s="120"/>
      <c r="AFO1356" s="120"/>
      <c r="AFP1356" s="120"/>
      <c r="AFQ1356" s="120"/>
      <c r="AFR1356" s="120"/>
      <c r="AFS1356" s="120"/>
      <c r="AFT1356" s="120"/>
      <c r="AFU1356" s="120"/>
      <c r="AFV1356" s="120"/>
      <c r="AFW1356" s="120"/>
      <c r="AFX1356" s="120"/>
      <c r="AFY1356" s="120"/>
      <c r="AFZ1356" s="120"/>
      <c r="AGA1356" s="120"/>
      <c r="AGB1356" s="120"/>
      <c r="AGC1356" s="120"/>
      <c r="AGD1356" s="120"/>
      <c r="AGE1356" s="120"/>
      <c r="AGF1356" s="120"/>
      <c r="AGG1356" s="120"/>
      <c r="AGH1356" s="120"/>
      <c r="AGI1356" s="120"/>
      <c r="AGJ1356" s="120"/>
      <c r="AGK1356" s="120"/>
      <c r="AGL1356" s="120"/>
      <c r="AGM1356" s="120"/>
      <c r="AGN1356" s="120"/>
      <c r="AGO1356" s="120"/>
      <c r="AGP1356" s="120"/>
      <c r="AGQ1356" s="120"/>
      <c r="AGR1356" s="120"/>
      <c r="AGS1356" s="120"/>
      <c r="AGT1356" s="120"/>
      <c r="AGU1356" s="120"/>
      <c r="AGV1356" s="120"/>
      <c r="AGW1356" s="120"/>
      <c r="AGX1356" s="120"/>
      <c r="AGY1356" s="120"/>
      <c r="AGZ1356" s="120"/>
      <c r="AHA1356" s="120"/>
      <c r="AHB1356" s="120"/>
      <c r="AHC1356" s="120"/>
      <c r="AHD1356" s="120"/>
      <c r="AHE1356" s="120"/>
      <c r="AHF1356" s="120"/>
      <c r="AHG1356" s="120"/>
      <c r="AHH1356" s="120"/>
      <c r="AHI1356" s="120"/>
      <c r="AHJ1356" s="120"/>
      <c r="AHK1356" s="120"/>
      <c r="AHL1356" s="120"/>
      <c r="AHM1356" s="120"/>
      <c r="AHN1356" s="120"/>
      <c r="AHO1356" s="120"/>
      <c r="AHP1356" s="120"/>
      <c r="AHQ1356" s="120"/>
      <c r="AHR1356" s="120"/>
      <c r="AHS1356" s="120"/>
      <c r="AHT1356" s="120"/>
      <c r="AHU1356" s="120"/>
      <c r="AHV1356" s="120"/>
      <c r="AHW1356" s="120"/>
      <c r="AHX1356" s="120"/>
      <c r="AHY1356" s="120"/>
      <c r="AHZ1356" s="120"/>
      <c r="AIA1356" s="120"/>
      <c r="AIB1356" s="120"/>
      <c r="AIC1356" s="120"/>
      <c r="AID1356" s="120"/>
      <c r="AIE1356" s="120"/>
      <c r="AIF1356" s="120"/>
      <c r="AIG1356" s="120"/>
      <c r="AIH1356" s="120"/>
      <c r="AII1356" s="120"/>
      <c r="AIJ1356" s="120"/>
      <c r="AIK1356" s="120"/>
      <c r="AIL1356" s="120"/>
      <c r="AIM1356" s="120"/>
      <c r="AIN1356" s="120"/>
      <c r="AIO1356" s="120"/>
      <c r="AIP1356" s="120"/>
      <c r="AIQ1356" s="120"/>
      <c r="AIR1356" s="120"/>
      <c r="AIS1356" s="120"/>
      <c r="AIT1356" s="120"/>
      <c r="AIU1356" s="120"/>
      <c r="AIV1356" s="120"/>
      <c r="AIW1356" s="120"/>
      <c r="AIX1356" s="120"/>
      <c r="AIY1356" s="120"/>
      <c r="AIZ1356" s="120"/>
      <c r="AJA1356" s="120"/>
      <c r="AJB1356" s="120"/>
      <c r="AJC1356" s="120"/>
      <c r="AJD1356" s="120"/>
      <c r="AJE1356" s="120"/>
      <c r="AJF1356" s="120"/>
      <c r="AJG1356" s="120"/>
      <c r="AJH1356" s="120"/>
      <c r="AJI1356" s="120"/>
      <c r="AJJ1356" s="120"/>
      <c r="AJK1356" s="120"/>
      <c r="AJL1356" s="120"/>
      <c r="AJM1356" s="120"/>
      <c r="AJN1356" s="120"/>
      <c r="AJO1356" s="120"/>
      <c r="AJP1356" s="120"/>
      <c r="AJQ1356" s="120"/>
      <c r="AJR1356" s="120"/>
      <c r="AJS1356" s="120"/>
      <c r="AJT1356" s="120"/>
      <c r="AJU1356" s="120"/>
      <c r="AJV1356" s="120"/>
      <c r="AJW1356" s="120"/>
      <c r="AJX1356" s="120"/>
      <c r="AJY1356" s="120"/>
      <c r="AJZ1356" s="120"/>
      <c r="AKA1356" s="120"/>
      <c r="AKB1356" s="120"/>
      <c r="AKC1356" s="120"/>
      <c r="AKD1356" s="120"/>
      <c r="AKE1356" s="120"/>
      <c r="AKF1356" s="120"/>
      <c r="AKG1356" s="120"/>
      <c r="AKH1356" s="120"/>
      <c r="AKI1356" s="120"/>
      <c r="AKJ1356" s="120"/>
      <c r="AKK1356" s="120"/>
      <c r="AKL1356" s="120"/>
      <c r="AKM1356" s="120"/>
      <c r="AKN1356" s="120"/>
      <c r="AKO1356" s="120"/>
      <c r="AKP1356" s="120"/>
      <c r="AKQ1356" s="120"/>
      <c r="AKR1356" s="120"/>
      <c r="AKS1356" s="120"/>
      <c r="AKT1356" s="120"/>
      <c r="AKU1356" s="120"/>
      <c r="AKV1356" s="120"/>
      <c r="AKW1356" s="120"/>
      <c r="AKX1356" s="120"/>
      <c r="AKY1356" s="120"/>
      <c r="AKZ1356" s="120"/>
      <c r="ALA1356" s="120"/>
      <c r="ALB1356" s="120"/>
      <c r="ALC1356" s="120"/>
      <c r="ALD1356" s="120"/>
      <c r="ALE1356" s="120"/>
      <c r="ALF1356" s="120"/>
      <c r="ALG1356" s="120"/>
      <c r="ALH1356" s="120"/>
      <c r="ALI1356" s="120"/>
      <c r="ALJ1356" s="120"/>
      <c r="ALK1356" s="120"/>
      <c r="ALL1356" s="120"/>
      <c r="ALM1356" s="120"/>
      <c r="ALN1356" s="120"/>
      <c r="ALO1356" s="120"/>
      <c r="ALP1356" s="120"/>
      <c r="ALQ1356" s="120"/>
      <c r="ALR1356" s="120"/>
      <c r="ALS1356" s="120"/>
      <c r="ALT1356" s="120"/>
      <c r="ALU1356" s="120"/>
      <c r="ALV1356" s="120"/>
      <c r="ALW1356" s="120"/>
      <c r="ALX1356" s="120"/>
      <c r="ALY1356" s="120"/>
      <c r="ALZ1356" s="120"/>
      <c r="AMA1356" s="120"/>
      <c r="AMB1356" s="120"/>
      <c r="AMC1356" s="120"/>
      <c r="AMD1356" s="120"/>
      <c r="AME1356" s="120"/>
      <c r="AMF1356" s="120"/>
      <c r="AMG1356" s="120"/>
      <c r="AMH1356" s="120"/>
      <c r="AMI1356" s="120"/>
      <c r="AMJ1356" s="120"/>
      <c r="AMK1356" s="120"/>
      <c r="AML1356" s="120"/>
      <c r="AMM1356" s="120"/>
      <c r="AMN1356" s="120"/>
      <c r="AMO1356" s="120"/>
      <c r="AMP1356" s="120"/>
      <c r="AMQ1356" s="120"/>
      <c r="AMR1356" s="120"/>
      <c r="AMS1356" s="120"/>
      <c r="AMT1356" s="120"/>
      <c r="AMU1356" s="120"/>
      <c r="AMV1356" s="120"/>
      <c r="AMW1356" s="120"/>
      <c r="AMX1356" s="120"/>
      <c r="AMY1356" s="120"/>
      <c r="AMZ1356" s="120"/>
      <c r="ANA1356" s="120"/>
      <c r="ANB1356" s="120"/>
      <c r="ANC1356" s="120"/>
      <c r="AND1356" s="120"/>
      <c r="ANE1356" s="120"/>
      <c r="ANF1356" s="120"/>
      <c r="ANG1356" s="120"/>
      <c r="ANH1356" s="120"/>
      <c r="ANI1356" s="120"/>
      <c r="ANJ1356" s="120"/>
      <c r="ANK1356" s="120"/>
      <c r="ANL1356" s="120"/>
      <c r="ANM1356" s="120"/>
      <c r="ANN1356" s="120"/>
      <c r="ANO1356" s="120"/>
      <c r="ANP1356" s="120"/>
      <c r="ANQ1356" s="120"/>
      <c r="ANR1356" s="120"/>
      <c r="ANS1356" s="120"/>
      <c r="ANT1356" s="120"/>
      <c r="ANU1356" s="120"/>
      <c r="ANV1356" s="120"/>
      <c r="ANW1356" s="120"/>
      <c r="ANX1356" s="120"/>
      <c r="ANY1356" s="120"/>
      <c r="ANZ1356" s="120"/>
      <c r="AOA1356" s="120"/>
      <c r="AOB1356" s="120"/>
      <c r="AOC1356" s="120"/>
      <c r="AOD1356" s="120"/>
      <c r="AOE1356" s="120"/>
      <c r="AOF1356" s="120"/>
      <c r="AOG1356" s="120"/>
      <c r="AOH1356" s="120"/>
      <c r="AOI1356" s="120"/>
      <c r="AOJ1356" s="120"/>
      <c r="AOK1356" s="120"/>
      <c r="AOL1356" s="120"/>
      <c r="AOM1356" s="120"/>
      <c r="AON1356" s="120"/>
      <c r="AOO1356" s="120"/>
      <c r="AOP1356" s="120"/>
      <c r="AOQ1356" s="120"/>
      <c r="AOR1356" s="120"/>
      <c r="AOS1356" s="120"/>
      <c r="AOT1356" s="120"/>
      <c r="AOU1356" s="120"/>
      <c r="AOV1356" s="120"/>
      <c r="AOW1356" s="120"/>
      <c r="AOX1356" s="120"/>
      <c r="AOY1356" s="120"/>
      <c r="AOZ1356" s="120"/>
      <c r="APA1356" s="120"/>
      <c r="APB1356" s="120"/>
      <c r="APC1356" s="120"/>
      <c r="APD1356" s="120"/>
      <c r="APE1356" s="120"/>
      <c r="APF1356" s="120"/>
      <c r="APG1356" s="120"/>
      <c r="APH1356" s="120"/>
      <c r="API1356" s="120"/>
      <c r="APJ1356" s="120"/>
      <c r="APK1356" s="120"/>
      <c r="APL1356" s="120"/>
      <c r="APM1356" s="120"/>
      <c r="APN1356" s="120"/>
      <c r="APO1356" s="120"/>
      <c r="APP1356" s="120"/>
      <c r="APQ1356" s="120"/>
      <c r="APR1356" s="120"/>
      <c r="APS1356" s="120"/>
      <c r="APT1356" s="120"/>
      <c r="APU1356" s="120"/>
      <c r="APV1356" s="120"/>
      <c r="APW1356" s="120"/>
      <c r="APX1356" s="120"/>
      <c r="APY1356" s="120"/>
      <c r="APZ1356" s="120"/>
      <c r="AQA1356" s="120"/>
      <c r="AQB1356" s="120"/>
      <c r="AQC1356" s="120"/>
      <c r="AQD1356" s="120"/>
      <c r="AQE1356" s="120"/>
      <c r="AQF1356" s="120"/>
      <c r="AQG1356" s="120"/>
      <c r="AQH1356" s="120"/>
      <c r="AQI1356" s="120"/>
      <c r="AQJ1356" s="120"/>
      <c r="AQK1356" s="120"/>
      <c r="AQL1356" s="120"/>
      <c r="AQM1356" s="120"/>
      <c r="AQN1356" s="120"/>
      <c r="AQO1356" s="120"/>
      <c r="AQP1356" s="120"/>
      <c r="AQQ1356" s="120"/>
      <c r="AQR1356" s="120"/>
      <c r="AQS1356" s="120"/>
      <c r="AQT1356" s="120"/>
      <c r="AQU1356" s="120"/>
      <c r="AQV1356" s="120"/>
      <c r="AQW1356" s="120"/>
      <c r="AQX1356" s="120"/>
      <c r="AQY1356" s="120"/>
      <c r="AQZ1356" s="120"/>
      <c r="ARA1356" s="120"/>
      <c r="ARB1356" s="120"/>
      <c r="ARC1356" s="120"/>
      <c r="ARD1356" s="120"/>
      <c r="ARE1356" s="120"/>
      <c r="ARF1356" s="120"/>
      <c r="ARG1356" s="120"/>
      <c r="ARH1356" s="120"/>
      <c r="ARI1356" s="120"/>
      <c r="ARJ1356" s="120"/>
      <c r="ARK1356" s="120"/>
      <c r="ARL1356" s="120"/>
      <c r="ARM1356" s="120"/>
      <c r="ARN1356" s="120"/>
      <c r="ARO1356" s="120"/>
      <c r="ARP1356" s="120"/>
      <c r="ARQ1356" s="120"/>
      <c r="ARR1356" s="120"/>
      <c r="ARS1356" s="120"/>
      <c r="ART1356" s="120"/>
      <c r="ARU1356" s="120"/>
      <c r="ARV1356" s="120"/>
      <c r="ARW1356" s="120"/>
      <c r="ARX1356" s="120"/>
      <c r="ARY1356" s="120"/>
      <c r="ARZ1356" s="120"/>
      <c r="ASA1356" s="120"/>
      <c r="ASB1356" s="120"/>
      <c r="ASC1356" s="120"/>
      <c r="ASD1356" s="120"/>
      <c r="ASE1356" s="120"/>
      <c r="ASF1356" s="120"/>
      <c r="ASG1356" s="120"/>
      <c r="ASH1356" s="120"/>
      <c r="ASI1356" s="120"/>
      <c r="ASJ1356" s="120"/>
      <c r="ASK1356" s="120"/>
      <c r="ASL1356" s="120"/>
      <c r="ASM1356" s="120"/>
      <c r="ASN1356" s="120"/>
      <c r="ASO1356" s="120"/>
      <c r="ASP1356" s="120"/>
      <c r="ASQ1356" s="120"/>
      <c r="ASR1356" s="120"/>
      <c r="ASS1356" s="120"/>
      <c r="AST1356" s="120"/>
      <c r="ASU1356" s="120"/>
      <c r="ASV1356" s="120"/>
      <c r="ASW1356" s="120"/>
      <c r="ASX1356" s="120"/>
      <c r="ASY1356" s="120"/>
      <c r="ASZ1356" s="120"/>
      <c r="ATA1356" s="120"/>
      <c r="ATB1356" s="120"/>
      <c r="ATC1356" s="120"/>
      <c r="ATD1356" s="120"/>
      <c r="ATE1356" s="120"/>
      <c r="ATF1356" s="120"/>
      <c r="ATG1356" s="120"/>
      <c r="ATH1356" s="120"/>
      <c r="ATI1356" s="120"/>
      <c r="ATJ1356" s="120"/>
      <c r="ATK1356" s="120"/>
      <c r="ATL1356" s="120"/>
      <c r="ATM1356" s="120"/>
      <c r="ATN1356" s="120"/>
      <c r="ATO1356" s="120"/>
    </row>
    <row r="1357" spans="1:1211" s="20" customFormat="1" ht="14.1" customHeight="1">
      <c r="A1357" s="112"/>
      <c r="B1357" s="945" t="s">
        <v>3155</v>
      </c>
      <c r="C1357" s="184" t="s">
        <v>6127</v>
      </c>
      <c r="D1357" s="120"/>
      <c r="E1357" s="701"/>
      <c r="F1357" s="703"/>
      <c r="G1357" s="702"/>
      <c r="H1357" s="702"/>
      <c r="I1357" s="702"/>
      <c r="J1357" s="700"/>
      <c r="K1357" s="112"/>
      <c r="L1357" s="363"/>
      <c r="M1357" s="112"/>
      <c r="N1357" s="362"/>
      <c r="O1357" s="573"/>
      <c r="P1357" s="120"/>
      <c r="Q1357" s="120"/>
      <c r="R1357" s="120"/>
      <c r="S1357" s="120"/>
      <c r="T1357" s="120"/>
      <c r="U1357" s="120"/>
      <c r="V1357" s="120"/>
      <c r="W1357" s="120"/>
      <c r="X1357" s="120"/>
      <c r="Y1357" s="120"/>
      <c r="Z1357" s="120"/>
      <c r="AA1357" s="120"/>
      <c r="AB1357" s="120"/>
      <c r="AC1357" s="120"/>
      <c r="AD1357" s="120"/>
      <c r="AE1357" s="120"/>
      <c r="AF1357" s="120"/>
      <c r="AG1357" s="120"/>
      <c r="AH1357" s="120"/>
      <c r="AI1357" s="120"/>
      <c r="AJ1357" s="120"/>
      <c r="AK1357" s="120"/>
      <c r="AL1357" s="120"/>
      <c r="AM1357" s="120"/>
      <c r="AN1357" s="120"/>
      <c r="AO1357" s="120"/>
      <c r="AP1357" s="120"/>
      <c r="AQ1357" s="120"/>
      <c r="AR1357" s="120"/>
      <c r="AS1357" s="120"/>
      <c r="AT1357" s="120"/>
      <c r="AU1357" s="120"/>
      <c r="AV1357" s="120"/>
      <c r="AW1357" s="120"/>
      <c r="AX1357" s="120"/>
      <c r="AY1357" s="120"/>
      <c r="AZ1357" s="120"/>
      <c r="BA1357" s="120"/>
      <c r="BB1357" s="120"/>
      <c r="BC1357" s="120"/>
      <c r="BD1357" s="120"/>
      <c r="BE1357" s="120"/>
      <c r="BF1357" s="120"/>
      <c r="BG1357" s="120"/>
      <c r="BH1357" s="120"/>
      <c r="BI1357" s="120"/>
      <c r="BJ1357" s="120"/>
      <c r="BK1357" s="120"/>
      <c r="BL1357" s="120"/>
      <c r="BM1357" s="120"/>
      <c r="BN1357" s="120"/>
      <c r="BO1357" s="120"/>
      <c r="BP1357" s="120"/>
      <c r="BQ1357" s="120"/>
      <c r="BR1357" s="120"/>
      <c r="BS1357" s="120"/>
      <c r="BT1357" s="120"/>
      <c r="BU1357" s="120"/>
      <c r="BV1357" s="120"/>
      <c r="BW1357" s="120"/>
      <c r="BX1357" s="120"/>
      <c r="BY1357" s="120"/>
      <c r="BZ1357" s="120"/>
      <c r="CA1357" s="120"/>
      <c r="CB1357" s="120"/>
      <c r="CC1357" s="120"/>
      <c r="CD1357" s="120"/>
      <c r="CE1357" s="120"/>
      <c r="CF1357" s="120"/>
      <c r="CG1357" s="120"/>
      <c r="CH1357" s="120"/>
      <c r="CI1357" s="120"/>
      <c r="CJ1357" s="120"/>
      <c r="CK1357" s="120"/>
      <c r="CL1357" s="120"/>
      <c r="CM1357" s="120"/>
      <c r="CN1357" s="120"/>
      <c r="CO1357" s="120"/>
      <c r="CP1357" s="120"/>
      <c r="CQ1357" s="120"/>
      <c r="CR1357" s="120"/>
      <c r="CS1357" s="120"/>
      <c r="CT1357" s="120"/>
      <c r="CU1357" s="120"/>
      <c r="CV1357" s="120"/>
      <c r="CW1357" s="120"/>
      <c r="CX1357" s="120"/>
      <c r="CY1357" s="120"/>
      <c r="CZ1357" s="120"/>
      <c r="DA1357" s="120"/>
      <c r="DB1357" s="120"/>
      <c r="DC1357" s="120"/>
      <c r="DD1357" s="120"/>
      <c r="DE1357" s="120"/>
      <c r="DF1357" s="120"/>
      <c r="DG1357" s="120"/>
      <c r="DH1357" s="120"/>
      <c r="DI1357" s="120"/>
      <c r="DJ1357" s="120"/>
      <c r="DK1357" s="120"/>
      <c r="DL1357" s="120"/>
      <c r="DM1357" s="120"/>
      <c r="DN1357" s="120"/>
      <c r="DO1357" s="120"/>
      <c r="DP1357" s="120"/>
      <c r="DQ1357" s="120"/>
      <c r="DR1357" s="120"/>
      <c r="DS1357" s="120"/>
      <c r="DT1357" s="120"/>
      <c r="DU1357" s="120"/>
      <c r="DV1357" s="120"/>
      <c r="DW1357" s="120"/>
      <c r="DX1357" s="120"/>
      <c r="DY1357" s="120"/>
      <c r="DZ1357" s="120"/>
      <c r="EA1357" s="120"/>
      <c r="EB1357" s="120"/>
      <c r="EC1357" s="120"/>
      <c r="ED1357" s="120"/>
      <c r="EE1357" s="120"/>
      <c r="EF1357" s="120"/>
      <c r="EG1357" s="120"/>
      <c r="EH1357" s="120"/>
      <c r="EI1357" s="120"/>
      <c r="EJ1357" s="120"/>
      <c r="EK1357" s="120"/>
      <c r="EL1357" s="120"/>
      <c r="EM1357" s="120"/>
      <c r="EN1357" s="120"/>
      <c r="EO1357" s="120"/>
      <c r="EP1357" s="120"/>
      <c r="EQ1357" s="120"/>
      <c r="ER1357" s="120"/>
      <c r="ES1357" s="120"/>
      <c r="ET1357" s="120"/>
      <c r="EU1357" s="120"/>
      <c r="EV1357" s="120"/>
      <c r="EW1357" s="120"/>
      <c r="EX1357" s="120"/>
      <c r="EY1357" s="120"/>
      <c r="EZ1357" s="120"/>
      <c r="FA1357" s="120"/>
      <c r="FB1357" s="120"/>
      <c r="FC1357" s="120"/>
      <c r="FD1357" s="120"/>
      <c r="FE1357" s="120"/>
      <c r="FF1357" s="120"/>
      <c r="FG1357" s="120"/>
      <c r="FH1357" s="120"/>
      <c r="FI1357" s="120"/>
      <c r="FJ1357" s="120"/>
      <c r="FK1357" s="120"/>
      <c r="FL1357" s="120"/>
      <c r="FM1357" s="120"/>
      <c r="FN1357" s="120"/>
      <c r="FO1357" s="120"/>
      <c r="FP1357" s="120"/>
      <c r="FQ1357" s="120"/>
      <c r="FR1357" s="120"/>
      <c r="FS1357" s="120"/>
      <c r="FT1357" s="120"/>
      <c r="FU1357" s="120"/>
      <c r="FV1357" s="120"/>
      <c r="FW1357" s="120"/>
      <c r="FX1357" s="120"/>
      <c r="FY1357" s="120"/>
      <c r="FZ1357" s="120"/>
      <c r="GA1357" s="120"/>
      <c r="GB1357" s="120"/>
      <c r="GC1357" s="120"/>
      <c r="GD1357" s="120"/>
      <c r="GE1357" s="120"/>
      <c r="GF1357" s="120"/>
      <c r="GG1357" s="120"/>
      <c r="GH1357" s="120"/>
      <c r="GI1357" s="120"/>
      <c r="GJ1357" s="120"/>
      <c r="GK1357" s="120"/>
      <c r="GL1357" s="120"/>
      <c r="GM1357" s="120"/>
      <c r="GN1357" s="120"/>
      <c r="GO1357" s="120"/>
      <c r="GP1357" s="120"/>
      <c r="GQ1357" s="120"/>
      <c r="GR1357" s="120"/>
      <c r="GS1357" s="120"/>
      <c r="GT1357" s="120"/>
      <c r="GU1357" s="120"/>
      <c r="GV1357" s="120"/>
      <c r="GW1357" s="120"/>
      <c r="GX1357" s="120"/>
      <c r="GY1357" s="120"/>
      <c r="GZ1357" s="120"/>
      <c r="HA1357" s="120"/>
      <c r="HB1357" s="120"/>
      <c r="HC1357" s="120"/>
      <c r="HD1357" s="120"/>
      <c r="HE1357" s="120"/>
      <c r="HF1357" s="120"/>
      <c r="HG1357" s="120"/>
      <c r="HH1357" s="120"/>
      <c r="HI1357" s="120"/>
      <c r="HJ1357" s="120"/>
      <c r="HK1357" s="120"/>
      <c r="HL1357" s="120"/>
      <c r="HM1357" s="120"/>
      <c r="HN1357" s="120"/>
      <c r="HO1357" s="120"/>
      <c r="HP1357" s="120"/>
      <c r="HQ1357" s="120"/>
      <c r="HR1357" s="120"/>
      <c r="HS1357" s="120"/>
      <c r="HT1357" s="120"/>
      <c r="HU1357" s="120"/>
      <c r="HV1357" s="120"/>
      <c r="HW1357" s="120"/>
      <c r="HX1357" s="120"/>
      <c r="HY1357" s="120"/>
      <c r="HZ1357" s="120"/>
      <c r="IA1357" s="120"/>
      <c r="IB1357" s="120"/>
      <c r="IC1357" s="120"/>
      <c r="ID1357" s="120"/>
      <c r="IE1357" s="120"/>
      <c r="IF1357" s="120"/>
      <c r="IG1357" s="120"/>
      <c r="IH1357" s="120"/>
      <c r="II1357" s="120"/>
      <c r="IJ1357" s="120"/>
      <c r="IK1357" s="120"/>
      <c r="IL1357" s="120"/>
      <c r="IM1357" s="120"/>
      <c r="IN1357" s="120"/>
      <c r="IO1357" s="120"/>
      <c r="IP1357" s="120"/>
      <c r="IQ1357" s="120"/>
      <c r="IR1357" s="120"/>
      <c r="IS1357" s="120"/>
      <c r="IT1357" s="120"/>
      <c r="IU1357" s="120"/>
      <c r="IV1357" s="120"/>
      <c r="IW1357" s="120"/>
      <c r="IX1357" s="120"/>
      <c r="IY1357" s="120"/>
      <c r="IZ1357" s="120"/>
      <c r="JA1357" s="120"/>
      <c r="JB1357" s="120"/>
      <c r="JC1357" s="120"/>
      <c r="JD1357" s="120"/>
      <c r="JE1357" s="120"/>
      <c r="JF1357" s="120"/>
      <c r="JG1357" s="120"/>
      <c r="JH1357" s="120"/>
      <c r="JI1357" s="120"/>
      <c r="JJ1357" s="120"/>
      <c r="JK1357" s="120"/>
      <c r="JL1357" s="120"/>
      <c r="JM1357" s="120"/>
      <c r="JN1357" s="120"/>
      <c r="JO1357" s="120"/>
      <c r="JP1357" s="120"/>
      <c r="JQ1357" s="120"/>
      <c r="JR1357" s="120"/>
      <c r="JS1357" s="120"/>
      <c r="JT1357" s="120"/>
      <c r="JU1357" s="120"/>
      <c r="JV1357" s="120"/>
      <c r="JW1357" s="120"/>
      <c r="JX1357" s="120"/>
      <c r="JY1357" s="120"/>
      <c r="JZ1357" s="120"/>
      <c r="KA1357" s="120"/>
      <c r="KB1357" s="120"/>
      <c r="KC1357" s="120"/>
      <c r="KD1357" s="120"/>
      <c r="KE1357" s="120"/>
      <c r="KF1357" s="120"/>
      <c r="KG1357" s="120"/>
      <c r="KH1357" s="120"/>
      <c r="KI1357" s="120"/>
      <c r="KJ1357" s="120"/>
      <c r="KK1357" s="120"/>
      <c r="KL1357" s="120"/>
      <c r="KM1357" s="120"/>
      <c r="KN1357" s="120"/>
      <c r="KO1357" s="120"/>
      <c r="KP1357" s="120"/>
      <c r="KQ1357" s="120"/>
      <c r="KR1357" s="120"/>
      <c r="KS1357" s="120"/>
      <c r="KT1357" s="120"/>
      <c r="KU1357" s="120"/>
      <c r="KV1357" s="120"/>
      <c r="KW1357" s="120"/>
      <c r="KX1357" s="120"/>
      <c r="KY1357" s="120"/>
      <c r="KZ1357" s="120"/>
      <c r="LA1357" s="120"/>
      <c r="LB1357" s="120"/>
      <c r="LC1357" s="120"/>
      <c r="LD1357" s="120"/>
      <c r="LE1357" s="120"/>
      <c r="LF1357" s="120"/>
      <c r="LG1357" s="120"/>
      <c r="LH1357" s="120"/>
      <c r="LI1357" s="120"/>
      <c r="LJ1357" s="120"/>
      <c r="LK1357" s="120"/>
      <c r="LL1357" s="120"/>
      <c r="LM1357" s="120"/>
      <c r="LN1357" s="120"/>
      <c r="LO1357" s="120"/>
      <c r="LP1357" s="120"/>
      <c r="LQ1357" s="120"/>
      <c r="LR1357" s="120"/>
      <c r="LS1357" s="120"/>
      <c r="LT1357" s="120"/>
      <c r="LU1357" s="120"/>
      <c r="LV1357" s="120"/>
      <c r="LW1357" s="120"/>
      <c r="LX1357" s="120"/>
      <c r="LY1357" s="120"/>
      <c r="LZ1357" s="120"/>
      <c r="MA1357" s="120"/>
      <c r="MB1357" s="120"/>
      <c r="MC1357" s="120"/>
      <c r="MD1357" s="120"/>
      <c r="ME1357" s="120"/>
      <c r="MF1357" s="120"/>
      <c r="MG1357" s="120"/>
      <c r="MH1357" s="120"/>
      <c r="MI1357" s="120"/>
      <c r="MJ1357" s="120"/>
      <c r="MK1357" s="120"/>
      <c r="ML1357" s="120"/>
      <c r="MM1357" s="120"/>
      <c r="MN1357" s="120"/>
      <c r="MO1357" s="120"/>
      <c r="MP1357" s="120"/>
      <c r="MQ1357" s="120"/>
      <c r="MR1357" s="120"/>
      <c r="MS1357" s="120"/>
      <c r="MT1357" s="120"/>
      <c r="MU1357" s="120"/>
      <c r="MV1357" s="120"/>
      <c r="MW1357" s="120"/>
      <c r="MX1357" s="120"/>
      <c r="MY1357" s="120"/>
      <c r="MZ1357" s="120"/>
      <c r="NA1357" s="120"/>
      <c r="NB1357" s="120"/>
      <c r="NC1357" s="120"/>
      <c r="ND1357" s="120"/>
      <c r="NE1357" s="120"/>
      <c r="NF1357" s="120"/>
      <c r="NG1357" s="120"/>
      <c r="NH1357" s="120"/>
      <c r="NI1357" s="120"/>
      <c r="NJ1357" s="120"/>
      <c r="NK1357" s="120"/>
      <c r="NL1357" s="120"/>
      <c r="NM1357" s="120"/>
      <c r="NN1357" s="120"/>
      <c r="NO1357" s="120"/>
      <c r="NP1357" s="120"/>
      <c r="NQ1357" s="120"/>
      <c r="NR1357" s="120"/>
      <c r="NS1357" s="120"/>
      <c r="NT1357" s="120"/>
      <c r="NU1357" s="120"/>
      <c r="NV1357" s="120"/>
      <c r="NW1357" s="120"/>
      <c r="NX1357" s="120"/>
      <c r="NY1357" s="120"/>
      <c r="NZ1357" s="120"/>
      <c r="OA1357" s="120"/>
      <c r="OB1357" s="120"/>
      <c r="OC1357" s="120"/>
      <c r="OD1357" s="120"/>
      <c r="OE1357" s="120"/>
      <c r="OF1357" s="120"/>
      <c r="OG1357" s="120"/>
      <c r="OH1357" s="120"/>
      <c r="OI1357" s="120"/>
      <c r="OJ1357" s="120"/>
      <c r="OK1357" s="120"/>
      <c r="OL1357" s="120"/>
      <c r="OM1357" s="120"/>
      <c r="ON1357" s="120"/>
      <c r="OO1357" s="120"/>
      <c r="OP1357" s="120"/>
      <c r="OQ1357" s="120"/>
      <c r="OR1357" s="120"/>
      <c r="OS1357" s="120"/>
      <c r="OT1357" s="120"/>
      <c r="OU1357" s="120"/>
      <c r="OV1357" s="120"/>
      <c r="OW1357" s="120"/>
      <c r="OX1357" s="120"/>
      <c r="OY1357" s="120"/>
      <c r="OZ1357" s="120"/>
      <c r="PA1357" s="120"/>
      <c r="PB1357" s="120"/>
      <c r="PC1357" s="120"/>
      <c r="PD1357" s="120"/>
      <c r="PE1357" s="120"/>
      <c r="PF1357" s="120"/>
      <c r="PG1357" s="120"/>
      <c r="PH1357" s="120"/>
      <c r="PI1357" s="120"/>
      <c r="PJ1357" s="120"/>
      <c r="PK1357" s="120"/>
      <c r="PL1357" s="120"/>
      <c r="PM1357" s="120"/>
      <c r="PN1357" s="120"/>
      <c r="PO1357" s="120"/>
      <c r="PP1357" s="120"/>
      <c r="PQ1357" s="120"/>
      <c r="PR1357" s="120"/>
      <c r="PS1357" s="120"/>
      <c r="PT1357" s="120"/>
      <c r="PU1357" s="120"/>
      <c r="PV1357" s="120"/>
      <c r="PW1357" s="120"/>
      <c r="PX1357" s="120"/>
      <c r="PY1357" s="120"/>
      <c r="PZ1357" s="120"/>
      <c r="QA1357" s="120"/>
      <c r="QB1357" s="120"/>
      <c r="QC1357" s="120"/>
      <c r="QD1357" s="120"/>
      <c r="QE1357" s="120"/>
      <c r="QF1357" s="120"/>
      <c r="QG1357" s="120"/>
      <c r="QH1357" s="120"/>
      <c r="QI1357" s="120"/>
      <c r="QJ1357" s="120"/>
      <c r="QK1357" s="120"/>
      <c r="QL1357" s="120"/>
      <c r="QM1357" s="120"/>
      <c r="QN1357" s="120"/>
      <c r="QO1357" s="120"/>
      <c r="QP1357" s="120"/>
      <c r="QQ1357" s="120"/>
      <c r="QR1357" s="120"/>
      <c r="QS1357" s="120"/>
      <c r="QT1357" s="120"/>
      <c r="QU1357" s="120"/>
      <c r="QV1357" s="120"/>
      <c r="QW1357" s="120"/>
      <c r="QX1357" s="120"/>
      <c r="QY1357" s="120"/>
      <c r="QZ1357" s="120"/>
      <c r="RA1357" s="120"/>
      <c r="RB1357" s="120"/>
      <c r="RC1357" s="120"/>
      <c r="RD1357" s="120"/>
      <c r="RE1357" s="120"/>
      <c r="RF1357" s="120"/>
      <c r="RG1357" s="120"/>
      <c r="RH1357" s="120"/>
      <c r="RI1357" s="120"/>
      <c r="RJ1357" s="120"/>
      <c r="RK1357" s="120"/>
      <c r="RL1357" s="120"/>
      <c r="RM1357" s="120"/>
      <c r="RN1357" s="120"/>
      <c r="RO1357" s="120"/>
      <c r="RP1357" s="120"/>
      <c r="RQ1357" s="120"/>
      <c r="RR1357" s="120"/>
      <c r="RS1357" s="120"/>
      <c r="RT1357" s="120"/>
      <c r="RU1357" s="120"/>
      <c r="RV1357" s="120"/>
      <c r="RW1357" s="120"/>
      <c r="RX1357" s="120"/>
      <c r="RY1357" s="120"/>
      <c r="RZ1357" s="120"/>
      <c r="SA1357" s="120"/>
      <c r="SB1357" s="120"/>
      <c r="SC1357" s="120"/>
      <c r="SD1357" s="120"/>
      <c r="SE1357" s="120"/>
      <c r="SF1357" s="120"/>
      <c r="SG1357" s="120"/>
      <c r="SH1357" s="120"/>
      <c r="SI1357" s="120"/>
      <c r="SJ1357" s="120"/>
      <c r="SK1357" s="120"/>
      <c r="SL1357" s="120"/>
      <c r="SM1357" s="120"/>
      <c r="SN1357" s="120"/>
      <c r="SO1357" s="120"/>
      <c r="SP1357" s="120"/>
      <c r="SQ1357" s="120"/>
      <c r="SR1357" s="120"/>
      <c r="SS1357" s="120"/>
      <c r="ST1357" s="120"/>
      <c r="SU1357" s="120"/>
      <c r="SV1357" s="120"/>
      <c r="SW1357" s="120"/>
      <c r="SX1357" s="120"/>
      <c r="SY1357" s="120"/>
      <c r="SZ1357" s="120"/>
      <c r="TA1357" s="120"/>
      <c r="TB1357" s="120"/>
      <c r="TC1357" s="120"/>
      <c r="TD1357" s="120"/>
      <c r="TE1357" s="120"/>
      <c r="TF1357" s="120"/>
      <c r="TG1357" s="120"/>
      <c r="TH1357" s="120"/>
      <c r="TI1357" s="120"/>
      <c r="TJ1357" s="120"/>
      <c r="TK1357" s="120"/>
      <c r="TL1357" s="120"/>
      <c r="TM1357" s="120"/>
      <c r="TN1357" s="120"/>
      <c r="TO1357" s="120"/>
      <c r="TP1357" s="120"/>
      <c r="TQ1357" s="120"/>
      <c r="TR1357" s="120"/>
      <c r="TS1357" s="120"/>
      <c r="TT1357" s="120"/>
      <c r="TU1357" s="120"/>
      <c r="TV1357" s="120"/>
      <c r="TW1357" s="120"/>
      <c r="TX1357" s="120"/>
      <c r="TY1357" s="120"/>
      <c r="TZ1357" s="120"/>
      <c r="UA1357" s="120"/>
      <c r="UB1357" s="120"/>
      <c r="UC1357" s="120"/>
      <c r="UD1357" s="120"/>
      <c r="UE1357" s="120"/>
      <c r="UF1357" s="120"/>
      <c r="UG1357" s="120"/>
      <c r="UH1357" s="120"/>
      <c r="UI1357" s="120"/>
      <c r="UJ1357" s="120"/>
      <c r="UK1357" s="120"/>
      <c r="UL1357" s="120"/>
      <c r="UM1357" s="120"/>
      <c r="UN1357" s="120"/>
      <c r="UO1357" s="120"/>
      <c r="UP1357" s="120"/>
      <c r="UQ1357" s="120"/>
      <c r="UR1357" s="120"/>
      <c r="US1357" s="120"/>
      <c r="UT1357" s="120"/>
      <c r="UU1357" s="120"/>
      <c r="UV1357" s="120"/>
      <c r="UW1357" s="120"/>
      <c r="UX1357" s="120"/>
      <c r="UY1357" s="120"/>
      <c r="UZ1357" s="120"/>
      <c r="VA1357" s="120"/>
      <c r="VB1357" s="120"/>
      <c r="VC1357" s="120"/>
      <c r="VD1357" s="120"/>
      <c r="VE1357" s="120"/>
      <c r="VF1357" s="120"/>
      <c r="VG1357" s="120"/>
      <c r="VH1357" s="120"/>
      <c r="VI1357" s="120"/>
      <c r="VJ1357" s="120"/>
      <c r="VK1357" s="120"/>
      <c r="VL1357" s="120"/>
      <c r="VM1357" s="120"/>
      <c r="VN1357" s="120"/>
      <c r="VO1357" s="120"/>
      <c r="VP1357" s="120"/>
      <c r="VQ1357" s="120"/>
      <c r="VR1357" s="120"/>
      <c r="VS1357" s="120"/>
      <c r="VT1357" s="120"/>
      <c r="VU1357" s="120"/>
      <c r="VV1357" s="120"/>
      <c r="VW1357" s="120"/>
      <c r="VX1357" s="120"/>
      <c r="VY1357" s="120"/>
      <c r="VZ1357" s="120"/>
      <c r="WA1357" s="120"/>
      <c r="WB1357" s="120"/>
      <c r="WC1357" s="120"/>
      <c r="WD1357" s="120"/>
      <c r="WE1357" s="120"/>
      <c r="WF1357" s="120"/>
      <c r="WG1357" s="120"/>
      <c r="WH1357" s="120"/>
      <c r="WI1357" s="120"/>
      <c r="WJ1357" s="120"/>
      <c r="WK1357" s="120"/>
      <c r="WL1357" s="120"/>
      <c r="WM1357" s="120"/>
      <c r="WN1357" s="120"/>
      <c r="WO1357" s="120"/>
      <c r="WP1357" s="120"/>
      <c r="WQ1357" s="120"/>
      <c r="WR1357" s="120"/>
      <c r="WS1357" s="120"/>
      <c r="WT1357" s="120"/>
      <c r="WU1357" s="120"/>
      <c r="WV1357" s="120"/>
      <c r="WW1357" s="120"/>
      <c r="WX1357" s="120"/>
      <c r="WY1357" s="120"/>
      <c r="WZ1357" s="120"/>
      <c r="XA1357" s="120"/>
      <c r="XB1357" s="120"/>
      <c r="XC1357" s="120"/>
      <c r="XD1357" s="120"/>
      <c r="XE1357" s="120"/>
      <c r="XF1357" s="120"/>
      <c r="XG1357" s="120"/>
      <c r="XH1357" s="120"/>
      <c r="XI1357" s="120"/>
      <c r="XJ1357" s="120"/>
      <c r="XK1357" s="120"/>
      <c r="XL1357" s="120"/>
      <c r="XM1357" s="120"/>
      <c r="XN1357" s="120"/>
      <c r="XO1357" s="120"/>
      <c r="XP1357" s="120"/>
      <c r="XQ1357" s="120"/>
      <c r="XR1357" s="120"/>
      <c r="XS1357" s="120"/>
      <c r="XT1357" s="120"/>
      <c r="XU1357" s="120"/>
      <c r="XV1357" s="120"/>
      <c r="XW1357" s="120"/>
      <c r="XX1357" s="120"/>
      <c r="XY1357" s="120"/>
      <c r="XZ1357" s="120"/>
      <c r="YA1357" s="120"/>
      <c r="YB1357" s="120"/>
      <c r="YC1357" s="120"/>
      <c r="YD1357" s="120"/>
      <c r="YE1357" s="120"/>
      <c r="YF1357" s="120"/>
      <c r="YG1357" s="120"/>
      <c r="YH1357" s="120"/>
      <c r="YI1357" s="120"/>
      <c r="YJ1357" s="120"/>
      <c r="YK1357" s="120"/>
      <c r="YL1357" s="120"/>
      <c r="YM1357" s="120"/>
      <c r="YN1357" s="120"/>
      <c r="YO1357" s="120"/>
      <c r="YP1357" s="120"/>
      <c r="YQ1357" s="120"/>
      <c r="YR1357" s="120"/>
      <c r="YS1357" s="120"/>
      <c r="YT1357" s="120"/>
      <c r="YU1357" s="120"/>
      <c r="YV1357" s="120"/>
      <c r="YW1357" s="120"/>
      <c r="YX1357" s="120"/>
      <c r="YY1357" s="120"/>
      <c r="YZ1357" s="120"/>
      <c r="ZA1357" s="120"/>
      <c r="ZB1357" s="120"/>
      <c r="ZC1357" s="120"/>
      <c r="ZD1357" s="120"/>
      <c r="ZE1357" s="120"/>
      <c r="ZF1357" s="120"/>
      <c r="ZG1357" s="120"/>
      <c r="ZH1357" s="120"/>
      <c r="ZI1357" s="120"/>
      <c r="ZJ1357" s="120"/>
      <c r="ZK1357" s="120"/>
      <c r="ZL1357" s="120"/>
      <c r="ZM1357" s="120"/>
      <c r="ZN1357" s="120"/>
      <c r="ZO1357" s="120"/>
      <c r="ZP1357" s="120"/>
      <c r="ZQ1357" s="120"/>
      <c r="ZR1357" s="120"/>
      <c r="ZS1357" s="120"/>
      <c r="ZT1357" s="120"/>
      <c r="ZU1357" s="120"/>
      <c r="ZV1357" s="120"/>
      <c r="ZW1357" s="120"/>
      <c r="ZX1357" s="120"/>
      <c r="ZY1357" s="120"/>
      <c r="ZZ1357" s="120"/>
      <c r="AAA1357" s="120"/>
      <c r="AAB1357" s="120"/>
      <c r="AAC1357" s="120"/>
      <c r="AAD1357" s="120"/>
      <c r="AAE1357" s="120"/>
      <c r="AAF1357" s="120"/>
      <c r="AAG1357" s="120"/>
      <c r="AAH1357" s="120"/>
      <c r="AAI1357" s="120"/>
      <c r="AAJ1357" s="120"/>
      <c r="AAK1357" s="120"/>
      <c r="AAL1357" s="120"/>
      <c r="AAM1357" s="120"/>
      <c r="AAN1357" s="120"/>
      <c r="AAO1357" s="120"/>
      <c r="AAP1357" s="120"/>
      <c r="AAQ1357" s="120"/>
      <c r="AAR1357" s="120"/>
      <c r="AAS1357" s="120"/>
      <c r="AAT1357" s="120"/>
      <c r="AAU1357" s="120"/>
      <c r="AAV1357" s="120"/>
      <c r="AAW1357" s="120"/>
      <c r="AAX1357" s="120"/>
      <c r="AAY1357" s="120"/>
      <c r="AAZ1357" s="120"/>
      <c r="ABA1357" s="120"/>
      <c r="ABB1357" s="120"/>
      <c r="ABC1357" s="120"/>
      <c r="ABD1357" s="120"/>
      <c r="ABE1357" s="120"/>
      <c r="ABF1357" s="120"/>
      <c r="ABG1357" s="120"/>
      <c r="ABH1357" s="120"/>
      <c r="ABI1357" s="120"/>
      <c r="ABJ1357" s="120"/>
      <c r="ABK1357" s="120"/>
      <c r="ABL1357" s="120"/>
      <c r="ABM1357" s="120"/>
      <c r="ABN1357" s="120"/>
      <c r="ABO1357" s="120"/>
      <c r="ABP1357" s="120"/>
      <c r="ABQ1357" s="120"/>
      <c r="ABR1357" s="120"/>
      <c r="ABS1357" s="120"/>
      <c r="ABT1357" s="120"/>
      <c r="ABU1357" s="120"/>
      <c r="ABV1357" s="120"/>
      <c r="ABW1357" s="120"/>
      <c r="ABX1357" s="120"/>
      <c r="ABY1357" s="120"/>
      <c r="ABZ1357" s="120"/>
      <c r="ACA1357" s="120"/>
      <c r="ACB1357" s="120"/>
      <c r="ACC1357" s="120"/>
      <c r="ACD1357" s="120"/>
      <c r="ACE1357" s="120"/>
      <c r="ACF1357" s="120"/>
      <c r="ACG1357" s="120"/>
      <c r="ACH1357" s="120"/>
      <c r="ACI1357" s="120"/>
      <c r="ACJ1357" s="120"/>
      <c r="ACK1357" s="120"/>
      <c r="ACL1357" s="120"/>
      <c r="ACM1357" s="120"/>
      <c r="ACN1357" s="120"/>
      <c r="ACO1357" s="120"/>
      <c r="ACP1357" s="120"/>
      <c r="ACQ1357" s="120"/>
      <c r="ACR1357" s="120"/>
      <c r="ACS1357" s="120"/>
      <c r="ACT1357" s="120"/>
      <c r="ACU1357" s="120"/>
      <c r="ACV1357" s="120"/>
      <c r="ACW1357" s="120"/>
      <c r="ACX1357" s="120"/>
      <c r="ACY1357" s="120"/>
      <c r="ACZ1357" s="120"/>
      <c r="ADA1357" s="120"/>
      <c r="ADB1357" s="120"/>
      <c r="ADC1357" s="120"/>
      <c r="ADD1357" s="120"/>
      <c r="ADE1357" s="120"/>
      <c r="ADF1357" s="120"/>
      <c r="ADG1357" s="120"/>
      <c r="ADH1357" s="120"/>
      <c r="ADI1357" s="120"/>
      <c r="ADJ1357" s="120"/>
      <c r="ADK1357" s="120"/>
      <c r="ADL1357" s="120"/>
      <c r="ADM1357" s="120"/>
      <c r="ADN1357" s="120"/>
      <c r="ADO1357" s="120"/>
      <c r="ADP1357" s="120"/>
      <c r="ADQ1357" s="120"/>
      <c r="ADR1357" s="120"/>
      <c r="ADS1357" s="120"/>
      <c r="ADT1357" s="120"/>
      <c r="ADU1357" s="120"/>
      <c r="ADV1357" s="120"/>
      <c r="ADW1357" s="120"/>
      <c r="ADX1357" s="120"/>
      <c r="ADY1357" s="120"/>
      <c r="ADZ1357" s="120"/>
      <c r="AEA1357" s="120"/>
      <c r="AEB1357" s="120"/>
      <c r="AEC1357" s="120"/>
      <c r="AED1357" s="120"/>
      <c r="AEE1357" s="120"/>
      <c r="AEF1357" s="120"/>
      <c r="AEG1357" s="120"/>
      <c r="AEH1357" s="120"/>
      <c r="AEI1357" s="120"/>
      <c r="AEJ1357" s="120"/>
      <c r="AEK1357" s="120"/>
      <c r="AEL1357" s="120"/>
      <c r="AEM1357" s="120"/>
      <c r="AEN1357" s="120"/>
      <c r="AEO1357" s="120"/>
      <c r="AEP1357" s="120"/>
      <c r="AEQ1357" s="120"/>
      <c r="AER1357" s="120"/>
      <c r="AES1357" s="120"/>
      <c r="AET1357" s="120"/>
      <c r="AEU1357" s="120"/>
      <c r="AEV1357" s="120"/>
      <c r="AEW1357" s="120"/>
      <c r="AEX1357" s="120"/>
      <c r="AEY1357" s="120"/>
      <c r="AEZ1357" s="120"/>
      <c r="AFA1357" s="120"/>
      <c r="AFB1357" s="120"/>
      <c r="AFC1357" s="120"/>
      <c r="AFD1357" s="120"/>
      <c r="AFE1357" s="120"/>
      <c r="AFF1357" s="120"/>
      <c r="AFG1357" s="120"/>
      <c r="AFH1357" s="120"/>
      <c r="AFI1357" s="120"/>
      <c r="AFJ1357" s="120"/>
      <c r="AFK1357" s="120"/>
      <c r="AFL1357" s="120"/>
      <c r="AFM1357" s="120"/>
      <c r="AFN1357" s="120"/>
      <c r="AFO1357" s="120"/>
      <c r="AFP1357" s="120"/>
      <c r="AFQ1357" s="120"/>
      <c r="AFR1357" s="120"/>
      <c r="AFS1357" s="120"/>
      <c r="AFT1357" s="120"/>
      <c r="AFU1357" s="120"/>
      <c r="AFV1357" s="120"/>
      <c r="AFW1357" s="120"/>
      <c r="AFX1357" s="120"/>
      <c r="AFY1357" s="120"/>
      <c r="AFZ1357" s="120"/>
      <c r="AGA1357" s="120"/>
      <c r="AGB1357" s="120"/>
      <c r="AGC1357" s="120"/>
      <c r="AGD1357" s="120"/>
      <c r="AGE1357" s="120"/>
      <c r="AGF1357" s="120"/>
      <c r="AGG1357" s="120"/>
      <c r="AGH1357" s="120"/>
      <c r="AGI1357" s="120"/>
      <c r="AGJ1357" s="120"/>
      <c r="AGK1357" s="120"/>
      <c r="AGL1357" s="120"/>
      <c r="AGM1357" s="120"/>
      <c r="AGN1357" s="120"/>
      <c r="AGO1357" s="120"/>
      <c r="AGP1357" s="120"/>
      <c r="AGQ1357" s="120"/>
      <c r="AGR1357" s="120"/>
      <c r="AGS1357" s="120"/>
      <c r="AGT1357" s="120"/>
      <c r="AGU1357" s="120"/>
      <c r="AGV1357" s="120"/>
      <c r="AGW1357" s="120"/>
      <c r="AGX1357" s="120"/>
      <c r="AGY1357" s="120"/>
      <c r="AGZ1357" s="120"/>
      <c r="AHA1357" s="120"/>
      <c r="AHB1357" s="120"/>
      <c r="AHC1357" s="120"/>
      <c r="AHD1357" s="120"/>
      <c r="AHE1357" s="120"/>
      <c r="AHF1357" s="120"/>
      <c r="AHG1357" s="120"/>
      <c r="AHH1357" s="120"/>
      <c r="AHI1357" s="120"/>
      <c r="AHJ1357" s="120"/>
      <c r="AHK1357" s="120"/>
      <c r="AHL1357" s="120"/>
      <c r="AHM1357" s="120"/>
      <c r="AHN1357" s="120"/>
      <c r="AHO1357" s="120"/>
      <c r="AHP1357" s="120"/>
      <c r="AHQ1357" s="120"/>
      <c r="AHR1357" s="120"/>
      <c r="AHS1357" s="120"/>
      <c r="AHT1357" s="120"/>
      <c r="AHU1357" s="120"/>
      <c r="AHV1357" s="120"/>
      <c r="AHW1357" s="120"/>
      <c r="AHX1357" s="120"/>
      <c r="AHY1357" s="120"/>
      <c r="AHZ1357" s="120"/>
      <c r="AIA1357" s="120"/>
      <c r="AIB1357" s="120"/>
      <c r="AIC1357" s="120"/>
      <c r="AID1357" s="120"/>
      <c r="AIE1357" s="120"/>
      <c r="AIF1357" s="120"/>
      <c r="AIG1357" s="120"/>
      <c r="AIH1357" s="120"/>
      <c r="AII1357" s="120"/>
      <c r="AIJ1357" s="120"/>
      <c r="AIK1357" s="120"/>
      <c r="AIL1357" s="120"/>
      <c r="AIM1357" s="120"/>
      <c r="AIN1357" s="120"/>
      <c r="AIO1357" s="120"/>
      <c r="AIP1357" s="120"/>
      <c r="AIQ1357" s="120"/>
      <c r="AIR1357" s="120"/>
      <c r="AIS1357" s="120"/>
      <c r="AIT1357" s="120"/>
      <c r="AIU1357" s="120"/>
      <c r="AIV1357" s="120"/>
      <c r="AIW1357" s="120"/>
      <c r="AIX1357" s="120"/>
      <c r="AIY1357" s="120"/>
      <c r="AIZ1357" s="120"/>
      <c r="AJA1357" s="120"/>
      <c r="AJB1357" s="120"/>
      <c r="AJC1357" s="120"/>
      <c r="AJD1357" s="120"/>
      <c r="AJE1357" s="120"/>
      <c r="AJF1357" s="120"/>
      <c r="AJG1357" s="120"/>
      <c r="AJH1357" s="120"/>
      <c r="AJI1357" s="120"/>
      <c r="AJJ1357" s="120"/>
      <c r="AJK1357" s="120"/>
      <c r="AJL1357" s="120"/>
      <c r="AJM1357" s="120"/>
      <c r="AJN1357" s="120"/>
      <c r="AJO1357" s="120"/>
      <c r="AJP1357" s="120"/>
      <c r="AJQ1357" s="120"/>
      <c r="AJR1357" s="120"/>
      <c r="AJS1357" s="120"/>
      <c r="AJT1357" s="120"/>
      <c r="AJU1357" s="120"/>
      <c r="AJV1357" s="120"/>
      <c r="AJW1357" s="120"/>
      <c r="AJX1357" s="120"/>
      <c r="AJY1357" s="120"/>
      <c r="AJZ1357" s="120"/>
      <c r="AKA1357" s="120"/>
      <c r="AKB1357" s="120"/>
      <c r="AKC1357" s="120"/>
      <c r="AKD1357" s="120"/>
      <c r="AKE1357" s="120"/>
      <c r="AKF1357" s="120"/>
      <c r="AKG1357" s="120"/>
      <c r="AKH1357" s="120"/>
      <c r="AKI1357" s="120"/>
      <c r="AKJ1357" s="120"/>
      <c r="AKK1357" s="120"/>
      <c r="AKL1357" s="120"/>
      <c r="AKM1357" s="120"/>
      <c r="AKN1357" s="120"/>
      <c r="AKO1357" s="120"/>
      <c r="AKP1357" s="120"/>
      <c r="AKQ1357" s="120"/>
      <c r="AKR1357" s="120"/>
      <c r="AKS1357" s="120"/>
      <c r="AKT1357" s="120"/>
      <c r="AKU1357" s="120"/>
      <c r="AKV1357" s="120"/>
      <c r="AKW1357" s="120"/>
      <c r="AKX1357" s="120"/>
      <c r="AKY1357" s="120"/>
      <c r="AKZ1357" s="120"/>
      <c r="ALA1357" s="120"/>
      <c r="ALB1357" s="120"/>
      <c r="ALC1357" s="120"/>
      <c r="ALD1357" s="120"/>
      <c r="ALE1357" s="120"/>
      <c r="ALF1357" s="120"/>
      <c r="ALG1357" s="120"/>
      <c r="ALH1357" s="120"/>
      <c r="ALI1357" s="120"/>
      <c r="ALJ1357" s="120"/>
      <c r="ALK1357" s="120"/>
      <c r="ALL1357" s="120"/>
      <c r="ALM1357" s="120"/>
      <c r="ALN1357" s="120"/>
      <c r="ALO1357" s="120"/>
      <c r="ALP1357" s="120"/>
      <c r="ALQ1357" s="120"/>
      <c r="ALR1357" s="120"/>
      <c r="ALS1357" s="120"/>
      <c r="ALT1357" s="120"/>
      <c r="ALU1357" s="120"/>
      <c r="ALV1357" s="120"/>
      <c r="ALW1357" s="120"/>
      <c r="ALX1357" s="120"/>
      <c r="ALY1357" s="120"/>
      <c r="ALZ1357" s="120"/>
      <c r="AMA1357" s="120"/>
      <c r="AMB1357" s="120"/>
      <c r="AMC1357" s="120"/>
      <c r="AMD1357" s="120"/>
      <c r="AME1357" s="120"/>
      <c r="AMF1357" s="120"/>
      <c r="AMG1357" s="120"/>
      <c r="AMH1357" s="120"/>
      <c r="AMI1357" s="120"/>
      <c r="AMJ1357" s="120"/>
      <c r="AMK1357" s="120"/>
      <c r="AML1357" s="120"/>
      <c r="AMM1357" s="120"/>
      <c r="AMN1357" s="120"/>
      <c r="AMO1357" s="120"/>
      <c r="AMP1357" s="120"/>
      <c r="AMQ1357" s="120"/>
      <c r="AMR1357" s="120"/>
      <c r="AMS1357" s="120"/>
      <c r="AMT1357" s="120"/>
      <c r="AMU1357" s="120"/>
      <c r="AMV1357" s="120"/>
      <c r="AMW1357" s="120"/>
      <c r="AMX1357" s="120"/>
      <c r="AMY1357" s="120"/>
      <c r="AMZ1357" s="120"/>
      <c r="ANA1357" s="120"/>
      <c r="ANB1357" s="120"/>
      <c r="ANC1357" s="120"/>
      <c r="AND1357" s="120"/>
      <c r="ANE1357" s="120"/>
      <c r="ANF1357" s="120"/>
      <c r="ANG1357" s="120"/>
      <c r="ANH1357" s="120"/>
      <c r="ANI1357" s="120"/>
      <c r="ANJ1357" s="120"/>
      <c r="ANK1357" s="120"/>
      <c r="ANL1357" s="120"/>
      <c r="ANM1357" s="120"/>
      <c r="ANN1357" s="120"/>
      <c r="ANO1357" s="120"/>
      <c r="ANP1357" s="120"/>
      <c r="ANQ1357" s="120"/>
      <c r="ANR1357" s="120"/>
      <c r="ANS1357" s="120"/>
      <c r="ANT1357" s="120"/>
      <c r="ANU1357" s="120"/>
      <c r="ANV1357" s="120"/>
      <c r="ANW1357" s="120"/>
      <c r="ANX1357" s="120"/>
      <c r="ANY1357" s="120"/>
      <c r="ANZ1357" s="120"/>
      <c r="AOA1357" s="120"/>
      <c r="AOB1357" s="120"/>
      <c r="AOC1357" s="120"/>
      <c r="AOD1357" s="120"/>
      <c r="AOE1357" s="120"/>
      <c r="AOF1357" s="120"/>
      <c r="AOG1357" s="120"/>
      <c r="AOH1357" s="120"/>
      <c r="AOI1357" s="120"/>
      <c r="AOJ1357" s="120"/>
      <c r="AOK1357" s="120"/>
      <c r="AOL1357" s="120"/>
      <c r="AOM1357" s="120"/>
      <c r="AON1357" s="120"/>
      <c r="AOO1357" s="120"/>
      <c r="AOP1357" s="120"/>
      <c r="AOQ1357" s="120"/>
      <c r="AOR1357" s="120"/>
      <c r="AOS1357" s="120"/>
      <c r="AOT1357" s="120"/>
      <c r="AOU1357" s="120"/>
      <c r="AOV1357" s="120"/>
      <c r="AOW1357" s="120"/>
      <c r="AOX1357" s="120"/>
      <c r="AOY1357" s="120"/>
      <c r="AOZ1357" s="120"/>
      <c r="APA1357" s="120"/>
      <c r="APB1357" s="120"/>
      <c r="APC1357" s="120"/>
      <c r="APD1357" s="120"/>
      <c r="APE1357" s="120"/>
      <c r="APF1357" s="120"/>
      <c r="APG1357" s="120"/>
      <c r="APH1357" s="120"/>
      <c r="API1357" s="120"/>
      <c r="APJ1357" s="120"/>
      <c r="APK1357" s="120"/>
      <c r="APL1357" s="120"/>
      <c r="APM1357" s="120"/>
      <c r="APN1357" s="120"/>
      <c r="APO1357" s="120"/>
      <c r="APP1357" s="120"/>
      <c r="APQ1357" s="120"/>
      <c r="APR1357" s="120"/>
      <c r="APS1357" s="120"/>
      <c r="APT1357" s="120"/>
      <c r="APU1357" s="120"/>
      <c r="APV1357" s="120"/>
      <c r="APW1357" s="120"/>
      <c r="APX1357" s="120"/>
      <c r="APY1357" s="120"/>
      <c r="APZ1357" s="120"/>
      <c r="AQA1357" s="120"/>
      <c r="AQB1357" s="120"/>
      <c r="AQC1357" s="120"/>
      <c r="AQD1357" s="120"/>
      <c r="AQE1357" s="120"/>
      <c r="AQF1357" s="120"/>
      <c r="AQG1357" s="120"/>
      <c r="AQH1357" s="120"/>
      <c r="AQI1357" s="120"/>
      <c r="AQJ1357" s="120"/>
      <c r="AQK1357" s="120"/>
      <c r="AQL1357" s="120"/>
      <c r="AQM1357" s="120"/>
      <c r="AQN1357" s="120"/>
      <c r="AQO1357" s="120"/>
      <c r="AQP1357" s="120"/>
      <c r="AQQ1357" s="120"/>
      <c r="AQR1357" s="120"/>
      <c r="AQS1357" s="120"/>
      <c r="AQT1357" s="120"/>
      <c r="AQU1357" s="120"/>
      <c r="AQV1357" s="120"/>
      <c r="AQW1357" s="120"/>
      <c r="AQX1357" s="120"/>
      <c r="AQY1357" s="120"/>
      <c r="AQZ1357" s="120"/>
      <c r="ARA1357" s="120"/>
      <c r="ARB1357" s="120"/>
      <c r="ARC1357" s="120"/>
      <c r="ARD1357" s="120"/>
      <c r="ARE1357" s="120"/>
      <c r="ARF1357" s="120"/>
      <c r="ARG1357" s="120"/>
      <c r="ARH1357" s="120"/>
      <c r="ARI1357" s="120"/>
      <c r="ARJ1357" s="120"/>
      <c r="ARK1357" s="120"/>
      <c r="ARL1357" s="120"/>
      <c r="ARM1357" s="120"/>
      <c r="ARN1357" s="120"/>
      <c r="ARO1357" s="120"/>
      <c r="ARP1357" s="120"/>
      <c r="ARQ1357" s="120"/>
      <c r="ARR1357" s="120"/>
      <c r="ARS1357" s="120"/>
      <c r="ART1357" s="120"/>
      <c r="ARU1357" s="120"/>
      <c r="ARV1357" s="120"/>
      <c r="ARW1357" s="120"/>
      <c r="ARX1357" s="120"/>
      <c r="ARY1357" s="120"/>
      <c r="ARZ1357" s="120"/>
      <c r="ASA1357" s="120"/>
      <c r="ASB1357" s="120"/>
      <c r="ASC1357" s="120"/>
      <c r="ASD1357" s="120"/>
      <c r="ASE1357" s="120"/>
      <c r="ASF1357" s="120"/>
      <c r="ASG1357" s="120"/>
      <c r="ASH1357" s="120"/>
      <c r="ASI1357" s="120"/>
      <c r="ASJ1357" s="120"/>
      <c r="ASK1357" s="120"/>
      <c r="ASL1357" s="120"/>
      <c r="ASM1357" s="120"/>
      <c r="ASN1357" s="120"/>
      <c r="ASO1357" s="120"/>
      <c r="ASP1357" s="120"/>
      <c r="ASQ1357" s="120"/>
      <c r="ASR1357" s="120"/>
      <c r="ASS1357" s="120"/>
      <c r="AST1357" s="120"/>
      <c r="ASU1357" s="120"/>
      <c r="ASV1357" s="120"/>
      <c r="ASW1357" s="120"/>
      <c r="ASX1357" s="120"/>
      <c r="ASY1357" s="120"/>
      <c r="ASZ1357" s="120"/>
      <c r="ATA1357" s="120"/>
      <c r="ATB1357" s="120"/>
      <c r="ATC1357" s="120"/>
      <c r="ATD1357" s="120"/>
      <c r="ATE1357" s="120"/>
      <c r="ATF1357" s="120"/>
      <c r="ATG1357" s="120"/>
      <c r="ATH1357" s="120"/>
      <c r="ATI1357" s="120"/>
      <c r="ATJ1357" s="120"/>
      <c r="ATK1357" s="120"/>
      <c r="ATL1357" s="120"/>
      <c r="ATM1357" s="120"/>
      <c r="ATN1357" s="120"/>
      <c r="ATO1357" s="120"/>
    </row>
    <row r="1358" spans="1:1211" s="20" customFormat="1" ht="14.1" customHeight="1">
      <c r="A1358" s="112"/>
      <c r="B1358" s="723"/>
      <c r="C1358" s="184" t="s">
        <v>6128</v>
      </c>
      <c r="D1358" s="120"/>
      <c r="E1358" s="701"/>
      <c r="F1358" s="703"/>
      <c r="G1358" s="702"/>
      <c r="H1358" s="702"/>
      <c r="I1358" s="702"/>
      <c r="J1358" s="700"/>
      <c r="K1358" s="112"/>
      <c r="L1358" s="363"/>
      <c r="M1358" s="112"/>
      <c r="N1358" s="362"/>
      <c r="O1358" s="573"/>
      <c r="P1358" s="120"/>
      <c r="Q1358" s="120"/>
      <c r="R1358" s="120"/>
      <c r="S1358" s="120"/>
      <c r="T1358" s="120"/>
      <c r="U1358" s="120"/>
      <c r="V1358" s="120"/>
      <c r="W1358" s="120"/>
      <c r="X1358" s="120"/>
      <c r="Y1358" s="120"/>
      <c r="Z1358" s="120"/>
      <c r="AA1358" s="120"/>
      <c r="AB1358" s="120"/>
      <c r="AC1358" s="120"/>
      <c r="AD1358" s="120"/>
      <c r="AE1358" s="120"/>
      <c r="AF1358" s="120"/>
      <c r="AG1358" s="120"/>
      <c r="AH1358" s="120"/>
      <c r="AI1358" s="120"/>
      <c r="AJ1358" s="120"/>
      <c r="AK1358" s="120"/>
      <c r="AL1358" s="120"/>
      <c r="AM1358" s="120"/>
      <c r="AN1358" s="120"/>
      <c r="AO1358" s="120"/>
      <c r="AP1358" s="120"/>
      <c r="AQ1358" s="120"/>
      <c r="AR1358" s="120"/>
      <c r="AS1358" s="120"/>
      <c r="AT1358" s="120"/>
      <c r="AU1358" s="120"/>
      <c r="AV1358" s="120"/>
      <c r="AW1358" s="120"/>
      <c r="AX1358" s="120"/>
      <c r="AY1358" s="120"/>
      <c r="AZ1358" s="120"/>
      <c r="BA1358" s="120"/>
      <c r="BB1358" s="120"/>
      <c r="BC1358" s="120"/>
      <c r="BD1358" s="120"/>
      <c r="BE1358" s="120"/>
      <c r="BF1358" s="120"/>
      <c r="BG1358" s="120"/>
      <c r="BH1358" s="120"/>
      <c r="BI1358" s="120"/>
      <c r="BJ1358" s="120"/>
      <c r="BK1358" s="120"/>
      <c r="BL1358" s="120"/>
      <c r="BM1358" s="120"/>
      <c r="BN1358" s="120"/>
      <c r="BO1358" s="120"/>
      <c r="BP1358" s="120"/>
      <c r="BQ1358" s="120"/>
      <c r="BR1358" s="120"/>
      <c r="BS1358" s="120"/>
      <c r="BT1358" s="120"/>
      <c r="BU1358" s="120"/>
      <c r="BV1358" s="120"/>
      <c r="BW1358" s="120"/>
      <c r="BX1358" s="120"/>
      <c r="BY1358" s="120"/>
      <c r="BZ1358" s="120"/>
      <c r="CA1358" s="120"/>
      <c r="CB1358" s="120"/>
      <c r="CC1358" s="120"/>
      <c r="CD1358" s="120"/>
      <c r="CE1358" s="120"/>
      <c r="CF1358" s="120"/>
      <c r="CG1358" s="120"/>
      <c r="CH1358" s="120"/>
      <c r="CI1358" s="120"/>
      <c r="CJ1358" s="120"/>
      <c r="CK1358" s="120"/>
      <c r="CL1358" s="120"/>
      <c r="CM1358" s="120"/>
      <c r="CN1358" s="120"/>
      <c r="CO1358" s="120"/>
      <c r="CP1358" s="120"/>
      <c r="CQ1358" s="120"/>
      <c r="CR1358" s="120"/>
      <c r="CS1358" s="120"/>
      <c r="CT1358" s="120"/>
      <c r="CU1358" s="120"/>
      <c r="CV1358" s="120"/>
      <c r="CW1358" s="120"/>
      <c r="CX1358" s="120"/>
      <c r="CY1358" s="120"/>
      <c r="CZ1358" s="120"/>
      <c r="DA1358" s="120"/>
      <c r="DB1358" s="120"/>
      <c r="DC1358" s="120"/>
      <c r="DD1358" s="120"/>
      <c r="DE1358" s="120"/>
      <c r="DF1358" s="120"/>
      <c r="DG1358" s="120"/>
      <c r="DH1358" s="120"/>
      <c r="DI1358" s="120"/>
      <c r="DJ1358" s="120"/>
      <c r="DK1358" s="120"/>
      <c r="DL1358" s="120"/>
      <c r="DM1358" s="120"/>
      <c r="DN1358" s="120"/>
      <c r="DO1358" s="120"/>
      <c r="DP1358" s="120"/>
      <c r="DQ1358" s="120"/>
      <c r="DR1358" s="120"/>
      <c r="DS1358" s="120"/>
      <c r="DT1358" s="120"/>
      <c r="DU1358" s="120"/>
      <c r="DV1358" s="120"/>
      <c r="DW1358" s="120"/>
      <c r="DX1358" s="120"/>
      <c r="DY1358" s="120"/>
      <c r="DZ1358" s="120"/>
      <c r="EA1358" s="120"/>
      <c r="EB1358" s="120"/>
      <c r="EC1358" s="120"/>
      <c r="ED1358" s="120"/>
      <c r="EE1358" s="120"/>
      <c r="EF1358" s="120"/>
      <c r="EG1358" s="120"/>
      <c r="EH1358" s="120"/>
      <c r="EI1358" s="120"/>
      <c r="EJ1358" s="120"/>
      <c r="EK1358" s="120"/>
      <c r="EL1358" s="120"/>
      <c r="EM1358" s="120"/>
      <c r="EN1358" s="120"/>
      <c r="EO1358" s="120"/>
      <c r="EP1358" s="120"/>
      <c r="EQ1358" s="120"/>
      <c r="ER1358" s="120"/>
      <c r="ES1358" s="120"/>
      <c r="ET1358" s="120"/>
      <c r="EU1358" s="120"/>
      <c r="EV1358" s="120"/>
      <c r="EW1358" s="120"/>
      <c r="EX1358" s="120"/>
      <c r="EY1358" s="120"/>
      <c r="EZ1358" s="120"/>
      <c r="FA1358" s="120"/>
      <c r="FB1358" s="120"/>
      <c r="FC1358" s="120"/>
      <c r="FD1358" s="120"/>
      <c r="FE1358" s="120"/>
      <c r="FF1358" s="120"/>
      <c r="FG1358" s="120"/>
      <c r="FH1358" s="120"/>
      <c r="FI1358" s="120"/>
      <c r="FJ1358" s="120"/>
      <c r="FK1358" s="120"/>
      <c r="FL1358" s="120"/>
      <c r="FM1358" s="120"/>
      <c r="FN1358" s="120"/>
      <c r="FO1358" s="120"/>
      <c r="FP1358" s="120"/>
      <c r="FQ1358" s="120"/>
      <c r="FR1358" s="120"/>
      <c r="FS1358" s="120"/>
      <c r="FT1358" s="120"/>
      <c r="FU1358" s="120"/>
      <c r="FV1358" s="120"/>
      <c r="FW1358" s="120"/>
      <c r="FX1358" s="120"/>
      <c r="FY1358" s="120"/>
      <c r="FZ1358" s="120"/>
      <c r="GA1358" s="120"/>
      <c r="GB1358" s="120"/>
      <c r="GC1358" s="120"/>
      <c r="GD1358" s="120"/>
      <c r="GE1358" s="120"/>
      <c r="GF1358" s="120"/>
      <c r="GG1358" s="120"/>
      <c r="GH1358" s="120"/>
      <c r="GI1358" s="120"/>
      <c r="GJ1358" s="120"/>
      <c r="GK1358" s="120"/>
      <c r="GL1358" s="120"/>
      <c r="GM1358" s="120"/>
      <c r="GN1358" s="120"/>
      <c r="GO1358" s="120"/>
      <c r="GP1358" s="120"/>
      <c r="GQ1358" s="120"/>
      <c r="GR1358" s="120"/>
      <c r="GS1358" s="120"/>
      <c r="GT1358" s="120"/>
      <c r="GU1358" s="120"/>
      <c r="GV1358" s="120"/>
      <c r="GW1358" s="120"/>
      <c r="GX1358" s="120"/>
      <c r="GY1358" s="120"/>
      <c r="GZ1358" s="120"/>
      <c r="HA1358" s="120"/>
      <c r="HB1358" s="120"/>
      <c r="HC1358" s="120"/>
      <c r="HD1358" s="120"/>
      <c r="HE1358" s="120"/>
      <c r="HF1358" s="120"/>
      <c r="HG1358" s="120"/>
      <c r="HH1358" s="120"/>
      <c r="HI1358" s="120"/>
      <c r="HJ1358" s="120"/>
      <c r="HK1358" s="120"/>
      <c r="HL1358" s="120"/>
      <c r="HM1358" s="120"/>
      <c r="HN1358" s="120"/>
      <c r="HO1358" s="120"/>
      <c r="HP1358" s="120"/>
      <c r="HQ1358" s="120"/>
      <c r="HR1358" s="120"/>
      <c r="HS1358" s="120"/>
      <c r="HT1358" s="120"/>
      <c r="HU1358" s="120"/>
      <c r="HV1358" s="120"/>
      <c r="HW1358" s="120"/>
      <c r="HX1358" s="120"/>
      <c r="HY1358" s="120"/>
      <c r="HZ1358" s="120"/>
      <c r="IA1358" s="120"/>
      <c r="IB1358" s="120"/>
      <c r="IC1358" s="120"/>
      <c r="ID1358" s="120"/>
      <c r="IE1358" s="120"/>
      <c r="IF1358" s="120"/>
      <c r="IG1358" s="120"/>
      <c r="IH1358" s="120"/>
      <c r="II1358" s="120"/>
      <c r="IJ1358" s="120"/>
      <c r="IK1358" s="120"/>
      <c r="IL1358" s="120"/>
      <c r="IM1358" s="120"/>
      <c r="IN1358" s="120"/>
      <c r="IO1358" s="120"/>
      <c r="IP1358" s="120"/>
      <c r="IQ1358" s="120"/>
      <c r="IR1358" s="120"/>
      <c r="IS1358" s="120"/>
      <c r="IT1358" s="120"/>
      <c r="IU1358" s="120"/>
      <c r="IV1358" s="120"/>
      <c r="IW1358" s="120"/>
      <c r="IX1358" s="120"/>
      <c r="IY1358" s="120"/>
      <c r="IZ1358" s="120"/>
      <c r="JA1358" s="120"/>
      <c r="JB1358" s="120"/>
      <c r="JC1358" s="120"/>
      <c r="JD1358" s="120"/>
      <c r="JE1358" s="120"/>
      <c r="JF1358" s="120"/>
      <c r="JG1358" s="120"/>
      <c r="JH1358" s="120"/>
      <c r="JI1358" s="120"/>
      <c r="JJ1358" s="120"/>
      <c r="JK1358" s="120"/>
      <c r="JL1358" s="120"/>
      <c r="JM1358" s="120"/>
      <c r="JN1358" s="120"/>
      <c r="JO1358" s="120"/>
      <c r="JP1358" s="120"/>
      <c r="JQ1358" s="120"/>
      <c r="JR1358" s="120"/>
      <c r="JS1358" s="120"/>
      <c r="JT1358" s="120"/>
      <c r="JU1358" s="120"/>
      <c r="JV1358" s="120"/>
      <c r="JW1358" s="120"/>
      <c r="JX1358" s="120"/>
      <c r="JY1358" s="120"/>
      <c r="JZ1358" s="120"/>
      <c r="KA1358" s="120"/>
      <c r="KB1358" s="120"/>
      <c r="KC1358" s="120"/>
      <c r="KD1358" s="120"/>
      <c r="KE1358" s="120"/>
      <c r="KF1358" s="120"/>
      <c r="KG1358" s="120"/>
      <c r="KH1358" s="120"/>
      <c r="KI1358" s="120"/>
      <c r="KJ1358" s="120"/>
      <c r="KK1358" s="120"/>
      <c r="KL1358" s="120"/>
      <c r="KM1358" s="120"/>
      <c r="KN1358" s="120"/>
      <c r="KO1358" s="120"/>
      <c r="KP1358" s="120"/>
      <c r="KQ1358" s="120"/>
      <c r="KR1358" s="120"/>
      <c r="KS1358" s="120"/>
      <c r="KT1358" s="120"/>
      <c r="KU1358" s="120"/>
      <c r="KV1358" s="120"/>
      <c r="KW1358" s="120"/>
      <c r="KX1358" s="120"/>
      <c r="KY1358" s="120"/>
      <c r="KZ1358" s="120"/>
      <c r="LA1358" s="120"/>
      <c r="LB1358" s="120"/>
      <c r="LC1358" s="120"/>
      <c r="LD1358" s="120"/>
      <c r="LE1358" s="120"/>
      <c r="LF1358" s="120"/>
      <c r="LG1358" s="120"/>
      <c r="LH1358" s="120"/>
      <c r="LI1358" s="120"/>
      <c r="LJ1358" s="120"/>
      <c r="LK1358" s="120"/>
      <c r="LL1358" s="120"/>
      <c r="LM1358" s="120"/>
      <c r="LN1358" s="120"/>
      <c r="LO1358" s="120"/>
      <c r="LP1358" s="120"/>
      <c r="LQ1358" s="120"/>
      <c r="LR1358" s="120"/>
      <c r="LS1358" s="120"/>
      <c r="LT1358" s="120"/>
      <c r="LU1358" s="120"/>
      <c r="LV1358" s="120"/>
      <c r="LW1358" s="120"/>
      <c r="LX1358" s="120"/>
      <c r="LY1358" s="120"/>
      <c r="LZ1358" s="120"/>
      <c r="MA1358" s="120"/>
      <c r="MB1358" s="120"/>
      <c r="MC1358" s="120"/>
      <c r="MD1358" s="120"/>
      <c r="ME1358" s="120"/>
      <c r="MF1358" s="120"/>
      <c r="MG1358" s="120"/>
      <c r="MH1358" s="120"/>
      <c r="MI1358" s="120"/>
      <c r="MJ1358" s="120"/>
      <c r="MK1358" s="120"/>
      <c r="ML1358" s="120"/>
      <c r="MM1358" s="120"/>
      <c r="MN1358" s="120"/>
      <c r="MO1358" s="120"/>
      <c r="MP1358" s="120"/>
      <c r="MQ1358" s="120"/>
      <c r="MR1358" s="120"/>
      <c r="MS1358" s="120"/>
      <c r="MT1358" s="120"/>
      <c r="MU1358" s="120"/>
      <c r="MV1358" s="120"/>
      <c r="MW1358" s="120"/>
      <c r="MX1358" s="120"/>
      <c r="MY1358" s="120"/>
      <c r="MZ1358" s="120"/>
      <c r="NA1358" s="120"/>
      <c r="NB1358" s="120"/>
      <c r="NC1358" s="120"/>
      <c r="ND1358" s="120"/>
      <c r="NE1358" s="120"/>
      <c r="NF1358" s="120"/>
      <c r="NG1358" s="120"/>
      <c r="NH1358" s="120"/>
      <c r="NI1358" s="120"/>
      <c r="NJ1358" s="120"/>
      <c r="NK1358" s="120"/>
      <c r="NL1358" s="120"/>
      <c r="NM1358" s="120"/>
      <c r="NN1358" s="120"/>
      <c r="NO1358" s="120"/>
      <c r="NP1358" s="120"/>
      <c r="NQ1358" s="120"/>
      <c r="NR1358" s="120"/>
      <c r="NS1358" s="120"/>
      <c r="NT1358" s="120"/>
      <c r="NU1358" s="120"/>
      <c r="NV1358" s="120"/>
      <c r="NW1358" s="120"/>
      <c r="NX1358" s="120"/>
      <c r="NY1358" s="120"/>
      <c r="NZ1358" s="120"/>
      <c r="OA1358" s="120"/>
      <c r="OB1358" s="120"/>
      <c r="OC1358" s="120"/>
      <c r="OD1358" s="120"/>
      <c r="OE1358" s="120"/>
      <c r="OF1358" s="120"/>
      <c r="OG1358" s="120"/>
      <c r="OH1358" s="120"/>
      <c r="OI1358" s="120"/>
      <c r="OJ1358" s="120"/>
      <c r="OK1358" s="120"/>
      <c r="OL1358" s="120"/>
      <c r="OM1358" s="120"/>
      <c r="ON1358" s="120"/>
      <c r="OO1358" s="120"/>
      <c r="OP1358" s="120"/>
      <c r="OQ1358" s="120"/>
      <c r="OR1358" s="120"/>
      <c r="OS1358" s="120"/>
      <c r="OT1358" s="120"/>
      <c r="OU1358" s="120"/>
      <c r="OV1358" s="120"/>
      <c r="OW1358" s="120"/>
      <c r="OX1358" s="120"/>
      <c r="OY1358" s="120"/>
      <c r="OZ1358" s="120"/>
      <c r="PA1358" s="120"/>
      <c r="PB1358" s="120"/>
      <c r="PC1358" s="120"/>
      <c r="PD1358" s="120"/>
      <c r="PE1358" s="120"/>
      <c r="PF1358" s="120"/>
      <c r="PG1358" s="120"/>
      <c r="PH1358" s="120"/>
      <c r="PI1358" s="120"/>
      <c r="PJ1358" s="120"/>
      <c r="PK1358" s="120"/>
      <c r="PL1358" s="120"/>
      <c r="PM1358" s="120"/>
      <c r="PN1358" s="120"/>
      <c r="PO1358" s="120"/>
      <c r="PP1358" s="120"/>
      <c r="PQ1358" s="120"/>
      <c r="PR1358" s="120"/>
      <c r="PS1358" s="120"/>
      <c r="PT1358" s="120"/>
      <c r="PU1358" s="120"/>
      <c r="PV1358" s="120"/>
      <c r="PW1358" s="120"/>
      <c r="PX1358" s="120"/>
      <c r="PY1358" s="120"/>
      <c r="PZ1358" s="120"/>
      <c r="QA1358" s="120"/>
      <c r="QB1358" s="120"/>
      <c r="QC1358" s="120"/>
      <c r="QD1358" s="120"/>
      <c r="QE1358" s="120"/>
      <c r="QF1358" s="120"/>
      <c r="QG1358" s="120"/>
      <c r="QH1358" s="120"/>
      <c r="QI1358" s="120"/>
      <c r="QJ1358" s="120"/>
      <c r="QK1358" s="120"/>
      <c r="QL1358" s="120"/>
      <c r="QM1358" s="120"/>
      <c r="QN1358" s="120"/>
      <c r="QO1358" s="120"/>
      <c r="QP1358" s="120"/>
      <c r="QQ1358" s="120"/>
      <c r="QR1358" s="120"/>
      <c r="QS1358" s="120"/>
      <c r="QT1358" s="120"/>
      <c r="QU1358" s="120"/>
      <c r="QV1358" s="120"/>
      <c r="QW1358" s="120"/>
      <c r="QX1358" s="120"/>
      <c r="QY1358" s="120"/>
      <c r="QZ1358" s="120"/>
      <c r="RA1358" s="120"/>
      <c r="RB1358" s="120"/>
      <c r="RC1358" s="120"/>
      <c r="RD1358" s="120"/>
      <c r="RE1358" s="120"/>
      <c r="RF1358" s="120"/>
      <c r="RG1358" s="120"/>
      <c r="RH1358" s="120"/>
      <c r="RI1358" s="120"/>
      <c r="RJ1358" s="120"/>
      <c r="RK1358" s="120"/>
      <c r="RL1358" s="120"/>
      <c r="RM1358" s="120"/>
      <c r="RN1358" s="120"/>
      <c r="RO1358" s="120"/>
      <c r="RP1358" s="120"/>
      <c r="RQ1358" s="120"/>
      <c r="RR1358" s="120"/>
      <c r="RS1358" s="120"/>
      <c r="RT1358" s="120"/>
      <c r="RU1358" s="120"/>
      <c r="RV1358" s="120"/>
      <c r="RW1358" s="120"/>
      <c r="RX1358" s="120"/>
      <c r="RY1358" s="120"/>
      <c r="RZ1358" s="120"/>
      <c r="SA1358" s="120"/>
      <c r="SB1358" s="120"/>
      <c r="SC1358" s="120"/>
      <c r="SD1358" s="120"/>
      <c r="SE1358" s="120"/>
      <c r="SF1358" s="120"/>
      <c r="SG1358" s="120"/>
      <c r="SH1358" s="120"/>
      <c r="SI1358" s="120"/>
      <c r="SJ1358" s="120"/>
      <c r="SK1358" s="120"/>
      <c r="SL1358" s="120"/>
      <c r="SM1358" s="120"/>
      <c r="SN1358" s="120"/>
      <c r="SO1358" s="120"/>
      <c r="SP1358" s="120"/>
      <c r="SQ1358" s="120"/>
      <c r="SR1358" s="120"/>
      <c r="SS1358" s="120"/>
      <c r="ST1358" s="120"/>
      <c r="SU1358" s="120"/>
      <c r="SV1358" s="120"/>
      <c r="SW1358" s="120"/>
      <c r="SX1358" s="120"/>
      <c r="SY1358" s="120"/>
      <c r="SZ1358" s="120"/>
      <c r="TA1358" s="120"/>
      <c r="TB1358" s="120"/>
      <c r="TC1358" s="120"/>
      <c r="TD1358" s="120"/>
      <c r="TE1358" s="120"/>
      <c r="TF1358" s="120"/>
      <c r="TG1358" s="120"/>
      <c r="TH1358" s="120"/>
      <c r="TI1358" s="120"/>
      <c r="TJ1358" s="120"/>
      <c r="TK1358" s="120"/>
      <c r="TL1358" s="120"/>
      <c r="TM1358" s="120"/>
      <c r="TN1358" s="120"/>
      <c r="TO1358" s="120"/>
      <c r="TP1358" s="120"/>
      <c r="TQ1358" s="120"/>
      <c r="TR1358" s="120"/>
      <c r="TS1358" s="120"/>
      <c r="TT1358" s="120"/>
      <c r="TU1358" s="120"/>
      <c r="TV1358" s="120"/>
      <c r="TW1358" s="120"/>
      <c r="TX1358" s="120"/>
      <c r="TY1358" s="120"/>
      <c r="TZ1358" s="120"/>
      <c r="UA1358" s="120"/>
      <c r="UB1358" s="120"/>
      <c r="UC1358" s="120"/>
      <c r="UD1358" s="120"/>
      <c r="UE1358" s="120"/>
      <c r="UF1358" s="120"/>
      <c r="UG1358" s="120"/>
      <c r="UH1358" s="120"/>
      <c r="UI1358" s="120"/>
      <c r="UJ1358" s="120"/>
      <c r="UK1358" s="120"/>
      <c r="UL1358" s="120"/>
      <c r="UM1358" s="120"/>
      <c r="UN1358" s="120"/>
      <c r="UO1358" s="120"/>
      <c r="UP1358" s="120"/>
      <c r="UQ1358" s="120"/>
      <c r="UR1358" s="120"/>
      <c r="US1358" s="120"/>
      <c r="UT1358" s="120"/>
      <c r="UU1358" s="120"/>
      <c r="UV1358" s="120"/>
      <c r="UW1358" s="120"/>
      <c r="UX1358" s="120"/>
      <c r="UY1358" s="120"/>
      <c r="UZ1358" s="120"/>
      <c r="VA1358" s="120"/>
      <c r="VB1358" s="120"/>
      <c r="VC1358" s="120"/>
      <c r="VD1358" s="120"/>
      <c r="VE1358" s="120"/>
      <c r="VF1358" s="120"/>
      <c r="VG1358" s="120"/>
      <c r="VH1358" s="120"/>
      <c r="VI1358" s="120"/>
      <c r="VJ1358" s="120"/>
      <c r="VK1358" s="120"/>
      <c r="VL1358" s="120"/>
      <c r="VM1358" s="120"/>
      <c r="VN1358" s="120"/>
      <c r="VO1358" s="120"/>
      <c r="VP1358" s="120"/>
      <c r="VQ1358" s="120"/>
      <c r="VR1358" s="120"/>
      <c r="VS1358" s="120"/>
      <c r="VT1358" s="120"/>
      <c r="VU1358" s="120"/>
      <c r="VV1358" s="120"/>
      <c r="VW1358" s="120"/>
      <c r="VX1358" s="120"/>
      <c r="VY1358" s="120"/>
      <c r="VZ1358" s="120"/>
      <c r="WA1358" s="120"/>
      <c r="WB1358" s="120"/>
      <c r="WC1358" s="120"/>
      <c r="WD1358" s="120"/>
      <c r="WE1358" s="120"/>
      <c r="WF1358" s="120"/>
      <c r="WG1358" s="120"/>
      <c r="WH1358" s="120"/>
      <c r="WI1358" s="120"/>
      <c r="WJ1358" s="120"/>
      <c r="WK1358" s="120"/>
      <c r="WL1358" s="120"/>
      <c r="WM1358" s="120"/>
      <c r="WN1358" s="120"/>
      <c r="WO1358" s="120"/>
      <c r="WP1358" s="120"/>
      <c r="WQ1358" s="120"/>
      <c r="WR1358" s="120"/>
      <c r="WS1358" s="120"/>
      <c r="WT1358" s="120"/>
      <c r="WU1358" s="120"/>
      <c r="WV1358" s="120"/>
      <c r="WW1358" s="120"/>
      <c r="WX1358" s="120"/>
      <c r="WY1358" s="120"/>
      <c r="WZ1358" s="120"/>
      <c r="XA1358" s="120"/>
      <c r="XB1358" s="120"/>
      <c r="XC1358" s="120"/>
      <c r="XD1358" s="120"/>
      <c r="XE1358" s="120"/>
      <c r="XF1358" s="120"/>
      <c r="XG1358" s="120"/>
      <c r="XH1358" s="120"/>
      <c r="XI1358" s="120"/>
      <c r="XJ1358" s="120"/>
      <c r="XK1358" s="120"/>
      <c r="XL1358" s="120"/>
      <c r="XM1358" s="120"/>
      <c r="XN1358" s="120"/>
      <c r="XO1358" s="120"/>
      <c r="XP1358" s="120"/>
      <c r="XQ1358" s="120"/>
      <c r="XR1358" s="120"/>
      <c r="XS1358" s="120"/>
      <c r="XT1358" s="120"/>
      <c r="XU1358" s="120"/>
      <c r="XV1358" s="120"/>
      <c r="XW1358" s="120"/>
      <c r="XX1358" s="120"/>
      <c r="XY1358" s="120"/>
      <c r="XZ1358" s="120"/>
      <c r="YA1358" s="120"/>
      <c r="YB1358" s="120"/>
      <c r="YC1358" s="120"/>
      <c r="YD1358" s="120"/>
      <c r="YE1358" s="120"/>
      <c r="YF1358" s="120"/>
      <c r="YG1358" s="120"/>
      <c r="YH1358" s="120"/>
      <c r="YI1358" s="120"/>
      <c r="YJ1358" s="120"/>
      <c r="YK1358" s="120"/>
      <c r="YL1358" s="120"/>
      <c r="YM1358" s="120"/>
      <c r="YN1358" s="120"/>
      <c r="YO1358" s="120"/>
      <c r="YP1358" s="120"/>
      <c r="YQ1358" s="120"/>
      <c r="YR1358" s="120"/>
      <c r="YS1358" s="120"/>
      <c r="YT1358" s="120"/>
      <c r="YU1358" s="120"/>
      <c r="YV1358" s="120"/>
      <c r="YW1358" s="120"/>
      <c r="YX1358" s="120"/>
      <c r="YY1358" s="120"/>
      <c r="YZ1358" s="120"/>
      <c r="ZA1358" s="120"/>
      <c r="ZB1358" s="120"/>
      <c r="ZC1358" s="120"/>
      <c r="ZD1358" s="120"/>
      <c r="ZE1358" s="120"/>
      <c r="ZF1358" s="120"/>
      <c r="ZG1358" s="120"/>
      <c r="ZH1358" s="120"/>
      <c r="ZI1358" s="120"/>
      <c r="ZJ1358" s="120"/>
      <c r="ZK1358" s="120"/>
      <c r="ZL1358" s="120"/>
      <c r="ZM1358" s="120"/>
      <c r="ZN1358" s="120"/>
      <c r="ZO1358" s="120"/>
      <c r="ZP1358" s="120"/>
      <c r="ZQ1358" s="120"/>
      <c r="ZR1358" s="120"/>
      <c r="ZS1358" s="120"/>
      <c r="ZT1358" s="120"/>
      <c r="ZU1358" s="120"/>
      <c r="ZV1358" s="120"/>
      <c r="ZW1358" s="120"/>
      <c r="ZX1358" s="120"/>
      <c r="ZY1358" s="120"/>
      <c r="ZZ1358" s="120"/>
      <c r="AAA1358" s="120"/>
      <c r="AAB1358" s="120"/>
      <c r="AAC1358" s="120"/>
      <c r="AAD1358" s="120"/>
      <c r="AAE1358" s="120"/>
      <c r="AAF1358" s="120"/>
      <c r="AAG1358" s="120"/>
      <c r="AAH1358" s="120"/>
      <c r="AAI1358" s="120"/>
      <c r="AAJ1358" s="120"/>
      <c r="AAK1358" s="120"/>
      <c r="AAL1358" s="120"/>
      <c r="AAM1358" s="120"/>
      <c r="AAN1358" s="120"/>
      <c r="AAO1358" s="120"/>
      <c r="AAP1358" s="120"/>
      <c r="AAQ1358" s="120"/>
      <c r="AAR1358" s="120"/>
      <c r="AAS1358" s="120"/>
      <c r="AAT1358" s="120"/>
      <c r="AAU1358" s="120"/>
      <c r="AAV1358" s="120"/>
      <c r="AAW1358" s="120"/>
      <c r="AAX1358" s="120"/>
      <c r="AAY1358" s="120"/>
      <c r="AAZ1358" s="120"/>
      <c r="ABA1358" s="120"/>
      <c r="ABB1358" s="120"/>
      <c r="ABC1358" s="120"/>
      <c r="ABD1358" s="120"/>
      <c r="ABE1358" s="120"/>
      <c r="ABF1358" s="120"/>
      <c r="ABG1358" s="120"/>
      <c r="ABH1358" s="120"/>
      <c r="ABI1358" s="120"/>
      <c r="ABJ1358" s="120"/>
      <c r="ABK1358" s="120"/>
      <c r="ABL1358" s="120"/>
      <c r="ABM1358" s="120"/>
      <c r="ABN1358" s="120"/>
      <c r="ABO1358" s="120"/>
      <c r="ABP1358" s="120"/>
      <c r="ABQ1358" s="120"/>
      <c r="ABR1358" s="120"/>
      <c r="ABS1358" s="120"/>
      <c r="ABT1358" s="120"/>
      <c r="ABU1358" s="120"/>
      <c r="ABV1358" s="120"/>
      <c r="ABW1358" s="120"/>
      <c r="ABX1358" s="120"/>
      <c r="ABY1358" s="120"/>
      <c r="ABZ1358" s="120"/>
      <c r="ACA1358" s="120"/>
      <c r="ACB1358" s="120"/>
      <c r="ACC1358" s="120"/>
      <c r="ACD1358" s="120"/>
      <c r="ACE1358" s="120"/>
      <c r="ACF1358" s="120"/>
      <c r="ACG1358" s="120"/>
      <c r="ACH1358" s="120"/>
      <c r="ACI1358" s="120"/>
      <c r="ACJ1358" s="120"/>
      <c r="ACK1358" s="120"/>
      <c r="ACL1358" s="120"/>
      <c r="ACM1358" s="120"/>
      <c r="ACN1358" s="120"/>
      <c r="ACO1358" s="120"/>
      <c r="ACP1358" s="120"/>
      <c r="ACQ1358" s="120"/>
      <c r="ACR1358" s="120"/>
      <c r="ACS1358" s="120"/>
      <c r="ACT1358" s="120"/>
      <c r="ACU1358" s="120"/>
      <c r="ACV1358" s="120"/>
      <c r="ACW1358" s="120"/>
      <c r="ACX1358" s="120"/>
      <c r="ACY1358" s="120"/>
      <c r="ACZ1358" s="120"/>
      <c r="ADA1358" s="120"/>
      <c r="ADB1358" s="120"/>
      <c r="ADC1358" s="120"/>
      <c r="ADD1358" s="120"/>
      <c r="ADE1358" s="120"/>
      <c r="ADF1358" s="120"/>
      <c r="ADG1358" s="120"/>
      <c r="ADH1358" s="120"/>
      <c r="ADI1358" s="120"/>
      <c r="ADJ1358" s="120"/>
      <c r="ADK1358" s="120"/>
      <c r="ADL1358" s="120"/>
      <c r="ADM1358" s="120"/>
      <c r="ADN1358" s="120"/>
      <c r="ADO1358" s="120"/>
      <c r="ADP1358" s="120"/>
      <c r="ADQ1358" s="120"/>
      <c r="ADR1358" s="120"/>
      <c r="ADS1358" s="120"/>
      <c r="ADT1358" s="120"/>
      <c r="ADU1358" s="120"/>
      <c r="ADV1358" s="120"/>
      <c r="ADW1358" s="120"/>
      <c r="ADX1358" s="120"/>
      <c r="ADY1358" s="120"/>
      <c r="ADZ1358" s="120"/>
      <c r="AEA1358" s="120"/>
      <c r="AEB1358" s="120"/>
      <c r="AEC1358" s="120"/>
      <c r="AED1358" s="120"/>
      <c r="AEE1358" s="120"/>
      <c r="AEF1358" s="120"/>
      <c r="AEG1358" s="120"/>
      <c r="AEH1358" s="120"/>
      <c r="AEI1358" s="120"/>
      <c r="AEJ1358" s="120"/>
      <c r="AEK1358" s="120"/>
      <c r="AEL1358" s="120"/>
      <c r="AEM1358" s="120"/>
      <c r="AEN1358" s="120"/>
      <c r="AEO1358" s="120"/>
      <c r="AEP1358" s="120"/>
      <c r="AEQ1358" s="120"/>
      <c r="AER1358" s="120"/>
      <c r="AES1358" s="120"/>
      <c r="AET1358" s="120"/>
      <c r="AEU1358" s="120"/>
      <c r="AEV1358" s="120"/>
      <c r="AEW1358" s="120"/>
      <c r="AEX1358" s="120"/>
      <c r="AEY1358" s="120"/>
      <c r="AEZ1358" s="120"/>
      <c r="AFA1358" s="120"/>
      <c r="AFB1358" s="120"/>
      <c r="AFC1358" s="120"/>
      <c r="AFD1358" s="120"/>
      <c r="AFE1358" s="120"/>
      <c r="AFF1358" s="120"/>
      <c r="AFG1358" s="120"/>
      <c r="AFH1358" s="120"/>
      <c r="AFI1358" s="120"/>
      <c r="AFJ1358" s="120"/>
      <c r="AFK1358" s="120"/>
      <c r="AFL1358" s="120"/>
      <c r="AFM1358" s="120"/>
      <c r="AFN1358" s="120"/>
      <c r="AFO1358" s="120"/>
      <c r="AFP1358" s="120"/>
      <c r="AFQ1358" s="120"/>
      <c r="AFR1358" s="120"/>
      <c r="AFS1358" s="120"/>
      <c r="AFT1358" s="120"/>
      <c r="AFU1358" s="120"/>
      <c r="AFV1358" s="120"/>
      <c r="AFW1358" s="120"/>
      <c r="AFX1358" s="120"/>
      <c r="AFY1358" s="120"/>
      <c r="AFZ1358" s="120"/>
      <c r="AGA1358" s="120"/>
      <c r="AGB1358" s="120"/>
      <c r="AGC1358" s="120"/>
      <c r="AGD1358" s="120"/>
      <c r="AGE1358" s="120"/>
      <c r="AGF1358" s="120"/>
      <c r="AGG1358" s="120"/>
      <c r="AGH1358" s="120"/>
      <c r="AGI1358" s="120"/>
      <c r="AGJ1358" s="120"/>
      <c r="AGK1358" s="120"/>
      <c r="AGL1358" s="120"/>
      <c r="AGM1358" s="120"/>
      <c r="AGN1358" s="120"/>
      <c r="AGO1358" s="120"/>
      <c r="AGP1358" s="120"/>
      <c r="AGQ1358" s="120"/>
      <c r="AGR1358" s="120"/>
      <c r="AGS1358" s="120"/>
      <c r="AGT1358" s="120"/>
      <c r="AGU1358" s="120"/>
      <c r="AGV1358" s="120"/>
      <c r="AGW1358" s="120"/>
      <c r="AGX1358" s="120"/>
      <c r="AGY1358" s="120"/>
      <c r="AGZ1358" s="120"/>
      <c r="AHA1358" s="120"/>
      <c r="AHB1358" s="120"/>
      <c r="AHC1358" s="120"/>
      <c r="AHD1358" s="120"/>
      <c r="AHE1358" s="120"/>
      <c r="AHF1358" s="120"/>
      <c r="AHG1358" s="120"/>
      <c r="AHH1358" s="120"/>
      <c r="AHI1358" s="120"/>
      <c r="AHJ1358" s="120"/>
      <c r="AHK1358" s="120"/>
      <c r="AHL1358" s="120"/>
      <c r="AHM1358" s="120"/>
      <c r="AHN1358" s="120"/>
      <c r="AHO1358" s="120"/>
      <c r="AHP1358" s="120"/>
      <c r="AHQ1358" s="120"/>
      <c r="AHR1358" s="120"/>
      <c r="AHS1358" s="120"/>
      <c r="AHT1358" s="120"/>
      <c r="AHU1358" s="120"/>
      <c r="AHV1358" s="120"/>
      <c r="AHW1358" s="120"/>
      <c r="AHX1358" s="120"/>
      <c r="AHY1358" s="120"/>
      <c r="AHZ1358" s="120"/>
      <c r="AIA1358" s="120"/>
      <c r="AIB1358" s="120"/>
      <c r="AIC1358" s="120"/>
      <c r="AID1358" s="120"/>
      <c r="AIE1358" s="120"/>
      <c r="AIF1358" s="120"/>
      <c r="AIG1358" s="120"/>
      <c r="AIH1358" s="120"/>
      <c r="AII1358" s="120"/>
      <c r="AIJ1358" s="120"/>
      <c r="AIK1358" s="120"/>
      <c r="AIL1358" s="120"/>
      <c r="AIM1358" s="120"/>
      <c r="AIN1358" s="120"/>
      <c r="AIO1358" s="120"/>
      <c r="AIP1358" s="120"/>
      <c r="AIQ1358" s="120"/>
      <c r="AIR1358" s="120"/>
      <c r="AIS1358" s="120"/>
      <c r="AIT1358" s="120"/>
      <c r="AIU1358" s="120"/>
      <c r="AIV1358" s="120"/>
      <c r="AIW1358" s="120"/>
      <c r="AIX1358" s="120"/>
      <c r="AIY1358" s="120"/>
      <c r="AIZ1358" s="120"/>
      <c r="AJA1358" s="120"/>
      <c r="AJB1358" s="120"/>
      <c r="AJC1358" s="120"/>
      <c r="AJD1358" s="120"/>
      <c r="AJE1358" s="120"/>
      <c r="AJF1358" s="120"/>
      <c r="AJG1358" s="120"/>
      <c r="AJH1358" s="120"/>
      <c r="AJI1358" s="120"/>
      <c r="AJJ1358" s="120"/>
      <c r="AJK1358" s="120"/>
      <c r="AJL1358" s="120"/>
      <c r="AJM1358" s="120"/>
      <c r="AJN1358" s="120"/>
      <c r="AJO1358" s="120"/>
      <c r="AJP1358" s="120"/>
      <c r="AJQ1358" s="120"/>
      <c r="AJR1358" s="120"/>
      <c r="AJS1358" s="120"/>
      <c r="AJT1358" s="120"/>
      <c r="AJU1358" s="120"/>
      <c r="AJV1358" s="120"/>
      <c r="AJW1358" s="120"/>
      <c r="AJX1358" s="120"/>
      <c r="AJY1358" s="120"/>
      <c r="AJZ1358" s="120"/>
      <c r="AKA1358" s="120"/>
      <c r="AKB1358" s="120"/>
      <c r="AKC1358" s="120"/>
      <c r="AKD1358" s="120"/>
      <c r="AKE1358" s="120"/>
      <c r="AKF1358" s="120"/>
      <c r="AKG1358" s="120"/>
      <c r="AKH1358" s="120"/>
      <c r="AKI1358" s="120"/>
      <c r="AKJ1358" s="120"/>
      <c r="AKK1358" s="120"/>
      <c r="AKL1358" s="120"/>
      <c r="AKM1358" s="120"/>
      <c r="AKN1358" s="120"/>
      <c r="AKO1358" s="120"/>
      <c r="AKP1358" s="120"/>
      <c r="AKQ1358" s="120"/>
      <c r="AKR1358" s="120"/>
      <c r="AKS1358" s="120"/>
      <c r="AKT1358" s="120"/>
      <c r="AKU1358" s="120"/>
      <c r="AKV1358" s="120"/>
      <c r="AKW1358" s="120"/>
      <c r="AKX1358" s="120"/>
      <c r="AKY1358" s="120"/>
      <c r="AKZ1358" s="120"/>
      <c r="ALA1358" s="120"/>
      <c r="ALB1358" s="120"/>
      <c r="ALC1358" s="120"/>
      <c r="ALD1358" s="120"/>
      <c r="ALE1358" s="120"/>
      <c r="ALF1358" s="120"/>
      <c r="ALG1358" s="120"/>
      <c r="ALH1358" s="120"/>
      <c r="ALI1358" s="120"/>
      <c r="ALJ1358" s="120"/>
      <c r="ALK1358" s="120"/>
      <c r="ALL1358" s="120"/>
      <c r="ALM1358" s="120"/>
      <c r="ALN1358" s="120"/>
      <c r="ALO1358" s="120"/>
      <c r="ALP1358" s="120"/>
      <c r="ALQ1358" s="120"/>
      <c r="ALR1358" s="120"/>
      <c r="ALS1358" s="120"/>
      <c r="ALT1358" s="120"/>
      <c r="ALU1358" s="120"/>
      <c r="ALV1358" s="120"/>
      <c r="ALW1358" s="120"/>
      <c r="ALX1358" s="120"/>
      <c r="ALY1358" s="120"/>
      <c r="ALZ1358" s="120"/>
      <c r="AMA1358" s="120"/>
      <c r="AMB1358" s="120"/>
      <c r="AMC1358" s="120"/>
      <c r="AMD1358" s="120"/>
      <c r="AME1358" s="120"/>
      <c r="AMF1358" s="120"/>
      <c r="AMG1358" s="120"/>
      <c r="AMH1358" s="120"/>
      <c r="AMI1358" s="120"/>
      <c r="AMJ1358" s="120"/>
      <c r="AMK1358" s="120"/>
      <c r="AML1358" s="120"/>
      <c r="AMM1358" s="120"/>
      <c r="AMN1358" s="120"/>
      <c r="AMO1358" s="120"/>
      <c r="AMP1358" s="120"/>
      <c r="AMQ1358" s="120"/>
      <c r="AMR1358" s="120"/>
      <c r="AMS1358" s="120"/>
      <c r="AMT1358" s="120"/>
      <c r="AMU1358" s="120"/>
      <c r="AMV1358" s="120"/>
      <c r="AMW1358" s="120"/>
      <c r="AMX1358" s="120"/>
      <c r="AMY1358" s="120"/>
      <c r="AMZ1358" s="120"/>
      <c r="ANA1358" s="120"/>
      <c r="ANB1358" s="120"/>
      <c r="ANC1358" s="120"/>
      <c r="AND1358" s="120"/>
      <c r="ANE1358" s="120"/>
      <c r="ANF1358" s="120"/>
      <c r="ANG1358" s="120"/>
      <c r="ANH1358" s="120"/>
      <c r="ANI1358" s="120"/>
      <c r="ANJ1358" s="120"/>
      <c r="ANK1358" s="120"/>
      <c r="ANL1358" s="120"/>
      <c r="ANM1358" s="120"/>
      <c r="ANN1358" s="120"/>
      <c r="ANO1358" s="120"/>
      <c r="ANP1358" s="120"/>
      <c r="ANQ1358" s="120"/>
      <c r="ANR1358" s="120"/>
      <c r="ANS1358" s="120"/>
      <c r="ANT1358" s="120"/>
      <c r="ANU1358" s="120"/>
      <c r="ANV1358" s="120"/>
      <c r="ANW1358" s="120"/>
      <c r="ANX1358" s="120"/>
      <c r="ANY1358" s="120"/>
      <c r="ANZ1358" s="120"/>
      <c r="AOA1358" s="120"/>
      <c r="AOB1358" s="120"/>
      <c r="AOC1358" s="120"/>
      <c r="AOD1358" s="120"/>
      <c r="AOE1358" s="120"/>
      <c r="AOF1358" s="120"/>
      <c r="AOG1358" s="120"/>
      <c r="AOH1358" s="120"/>
      <c r="AOI1358" s="120"/>
      <c r="AOJ1358" s="120"/>
      <c r="AOK1358" s="120"/>
      <c r="AOL1358" s="120"/>
      <c r="AOM1358" s="120"/>
      <c r="AON1358" s="120"/>
      <c r="AOO1358" s="120"/>
      <c r="AOP1358" s="120"/>
      <c r="AOQ1358" s="120"/>
      <c r="AOR1358" s="120"/>
      <c r="AOS1358" s="120"/>
      <c r="AOT1358" s="120"/>
      <c r="AOU1358" s="120"/>
      <c r="AOV1358" s="120"/>
      <c r="AOW1358" s="120"/>
      <c r="AOX1358" s="120"/>
      <c r="AOY1358" s="120"/>
      <c r="AOZ1358" s="120"/>
      <c r="APA1358" s="120"/>
      <c r="APB1358" s="120"/>
      <c r="APC1358" s="120"/>
      <c r="APD1358" s="120"/>
      <c r="APE1358" s="120"/>
      <c r="APF1358" s="120"/>
      <c r="APG1358" s="120"/>
      <c r="APH1358" s="120"/>
      <c r="API1358" s="120"/>
      <c r="APJ1358" s="120"/>
      <c r="APK1358" s="120"/>
      <c r="APL1358" s="120"/>
      <c r="APM1358" s="120"/>
      <c r="APN1358" s="120"/>
      <c r="APO1358" s="120"/>
      <c r="APP1358" s="120"/>
      <c r="APQ1358" s="120"/>
      <c r="APR1358" s="120"/>
      <c r="APS1358" s="120"/>
      <c r="APT1358" s="120"/>
      <c r="APU1358" s="120"/>
      <c r="APV1358" s="120"/>
      <c r="APW1358" s="120"/>
      <c r="APX1358" s="120"/>
      <c r="APY1358" s="120"/>
      <c r="APZ1358" s="120"/>
      <c r="AQA1358" s="120"/>
      <c r="AQB1358" s="120"/>
      <c r="AQC1358" s="120"/>
      <c r="AQD1358" s="120"/>
      <c r="AQE1358" s="120"/>
      <c r="AQF1358" s="120"/>
      <c r="AQG1358" s="120"/>
      <c r="AQH1358" s="120"/>
      <c r="AQI1358" s="120"/>
      <c r="AQJ1358" s="120"/>
      <c r="AQK1358" s="120"/>
      <c r="AQL1358" s="120"/>
      <c r="AQM1358" s="120"/>
      <c r="AQN1358" s="120"/>
      <c r="AQO1358" s="120"/>
      <c r="AQP1358" s="120"/>
      <c r="AQQ1358" s="120"/>
      <c r="AQR1358" s="120"/>
      <c r="AQS1358" s="120"/>
      <c r="AQT1358" s="120"/>
      <c r="AQU1358" s="120"/>
      <c r="AQV1358" s="120"/>
      <c r="AQW1358" s="120"/>
      <c r="AQX1358" s="120"/>
      <c r="AQY1358" s="120"/>
      <c r="AQZ1358" s="120"/>
      <c r="ARA1358" s="120"/>
      <c r="ARB1358" s="120"/>
      <c r="ARC1358" s="120"/>
      <c r="ARD1358" s="120"/>
      <c r="ARE1358" s="120"/>
      <c r="ARF1358" s="120"/>
      <c r="ARG1358" s="120"/>
      <c r="ARH1358" s="120"/>
      <c r="ARI1358" s="120"/>
      <c r="ARJ1358" s="120"/>
      <c r="ARK1358" s="120"/>
      <c r="ARL1358" s="120"/>
      <c r="ARM1358" s="120"/>
      <c r="ARN1358" s="120"/>
      <c r="ARO1358" s="120"/>
      <c r="ARP1358" s="120"/>
      <c r="ARQ1358" s="120"/>
      <c r="ARR1358" s="120"/>
      <c r="ARS1358" s="120"/>
      <c r="ART1358" s="120"/>
      <c r="ARU1358" s="120"/>
      <c r="ARV1358" s="120"/>
      <c r="ARW1358" s="120"/>
      <c r="ARX1358" s="120"/>
      <c r="ARY1358" s="120"/>
      <c r="ARZ1358" s="120"/>
      <c r="ASA1358" s="120"/>
      <c r="ASB1358" s="120"/>
      <c r="ASC1358" s="120"/>
      <c r="ASD1358" s="120"/>
      <c r="ASE1358" s="120"/>
      <c r="ASF1358" s="120"/>
      <c r="ASG1358" s="120"/>
      <c r="ASH1358" s="120"/>
      <c r="ASI1358" s="120"/>
      <c r="ASJ1358" s="120"/>
      <c r="ASK1358" s="120"/>
      <c r="ASL1358" s="120"/>
      <c r="ASM1358" s="120"/>
      <c r="ASN1358" s="120"/>
      <c r="ASO1358" s="120"/>
      <c r="ASP1358" s="120"/>
      <c r="ASQ1358" s="120"/>
      <c r="ASR1358" s="120"/>
      <c r="ASS1358" s="120"/>
      <c r="AST1358" s="120"/>
      <c r="ASU1358" s="120"/>
      <c r="ASV1358" s="120"/>
      <c r="ASW1358" s="120"/>
      <c r="ASX1358" s="120"/>
      <c r="ASY1358" s="120"/>
      <c r="ASZ1358" s="120"/>
      <c r="ATA1358" s="120"/>
      <c r="ATB1358" s="120"/>
      <c r="ATC1358" s="120"/>
      <c r="ATD1358" s="120"/>
      <c r="ATE1358" s="120"/>
      <c r="ATF1358" s="120"/>
      <c r="ATG1358" s="120"/>
      <c r="ATH1358" s="120"/>
      <c r="ATI1358" s="120"/>
      <c r="ATJ1358" s="120"/>
      <c r="ATK1358" s="120"/>
      <c r="ATL1358" s="120"/>
      <c r="ATM1358" s="120"/>
      <c r="ATN1358" s="120"/>
      <c r="ATO1358" s="120"/>
    </row>
    <row r="1359" spans="1:1211" s="20" customFormat="1" ht="14.1" customHeight="1">
      <c r="A1359" s="629"/>
      <c r="B1359" s="630"/>
      <c r="C1359" s="631"/>
      <c r="D1359" s="631"/>
      <c r="E1359" s="898"/>
      <c r="F1359" s="899"/>
      <c r="G1359" s="899"/>
      <c r="H1359" s="899"/>
      <c r="I1359" s="899"/>
      <c r="J1359" s="899"/>
      <c r="K1359" s="112"/>
      <c r="L1359" s="363"/>
      <c r="M1359" s="112"/>
      <c r="N1359" s="362"/>
      <c r="O1359" s="573"/>
      <c r="P1359" s="120"/>
      <c r="Q1359" s="120"/>
      <c r="R1359" s="120"/>
      <c r="S1359" s="120"/>
      <c r="T1359" s="120"/>
      <c r="U1359" s="120"/>
      <c r="V1359" s="120"/>
      <c r="W1359" s="120"/>
      <c r="X1359" s="120"/>
      <c r="Y1359" s="120"/>
      <c r="Z1359" s="120"/>
      <c r="AA1359" s="120"/>
      <c r="AB1359" s="120"/>
      <c r="AC1359" s="120"/>
      <c r="AD1359" s="120"/>
      <c r="AE1359" s="120"/>
      <c r="AF1359" s="120"/>
      <c r="AG1359" s="120"/>
      <c r="AH1359" s="120"/>
      <c r="AI1359" s="120"/>
      <c r="AJ1359" s="120"/>
      <c r="AK1359" s="120"/>
      <c r="AL1359" s="120"/>
      <c r="AM1359" s="120"/>
      <c r="AN1359" s="120"/>
      <c r="AO1359" s="120"/>
      <c r="AP1359" s="120"/>
      <c r="AQ1359" s="120"/>
      <c r="AR1359" s="120"/>
      <c r="AS1359" s="120"/>
      <c r="AT1359" s="120"/>
      <c r="AU1359" s="120"/>
      <c r="AV1359" s="120"/>
      <c r="AW1359" s="120"/>
      <c r="AX1359" s="120"/>
      <c r="AY1359" s="120"/>
      <c r="AZ1359" s="120"/>
      <c r="BA1359" s="120"/>
      <c r="BB1359" s="120"/>
      <c r="BC1359" s="120"/>
      <c r="BD1359" s="120"/>
      <c r="BE1359" s="120"/>
      <c r="BF1359" s="120"/>
      <c r="BG1359" s="120"/>
      <c r="BH1359" s="120"/>
      <c r="BI1359" s="120"/>
      <c r="BJ1359" s="120"/>
      <c r="BK1359" s="120"/>
      <c r="BL1359" s="120"/>
      <c r="BM1359" s="120"/>
      <c r="BN1359" s="120"/>
      <c r="BO1359" s="120"/>
      <c r="BP1359" s="120"/>
      <c r="BQ1359" s="120"/>
      <c r="BR1359" s="120"/>
      <c r="BS1359" s="120"/>
      <c r="BT1359" s="120"/>
      <c r="BU1359" s="120"/>
      <c r="BV1359" s="120"/>
      <c r="BW1359" s="120"/>
      <c r="BX1359" s="120"/>
      <c r="BY1359" s="120"/>
      <c r="BZ1359" s="120"/>
      <c r="CA1359" s="120"/>
      <c r="CB1359" s="120"/>
      <c r="CC1359" s="120"/>
      <c r="CD1359" s="120"/>
      <c r="CE1359" s="120"/>
      <c r="CF1359" s="120"/>
      <c r="CG1359" s="120"/>
      <c r="CH1359" s="120"/>
      <c r="CI1359" s="120"/>
      <c r="CJ1359" s="120"/>
      <c r="CK1359" s="120"/>
      <c r="CL1359" s="120"/>
      <c r="CM1359" s="120"/>
      <c r="CN1359" s="120"/>
      <c r="CO1359" s="120"/>
      <c r="CP1359" s="120"/>
      <c r="CQ1359" s="120"/>
      <c r="CR1359" s="120"/>
      <c r="CS1359" s="120"/>
      <c r="CT1359" s="120"/>
      <c r="CU1359" s="120"/>
      <c r="CV1359" s="120"/>
      <c r="CW1359" s="120"/>
      <c r="CX1359" s="120"/>
      <c r="CY1359" s="120"/>
      <c r="CZ1359" s="120"/>
      <c r="DA1359" s="120"/>
      <c r="DB1359" s="120"/>
      <c r="DC1359" s="120"/>
      <c r="DD1359" s="120"/>
      <c r="DE1359" s="120"/>
      <c r="DF1359" s="120"/>
      <c r="DG1359" s="120"/>
      <c r="DH1359" s="120"/>
      <c r="DI1359" s="120"/>
      <c r="DJ1359" s="120"/>
      <c r="DK1359" s="120"/>
      <c r="DL1359" s="120"/>
      <c r="DM1359" s="120"/>
      <c r="DN1359" s="120"/>
      <c r="DO1359" s="120"/>
      <c r="DP1359" s="120"/>
      <c r="DQ1359" s="120"/>
      <c r="DR1359" s="120"/>
      <c r="DS1359" s="120"/>
      <c r="DT1359" s="120"/>
      <c r="DU1359" s="120"/>
      <c r="DV1359" s="120"/>
      <c r="DW1359" s="120"/>
      <c r="DX1359" s="120"/>
      <c r="DY1359" s="120"/>
      <c r="DZ1359" s="120"/>
      <c r="EA1359" s="120"/>
      <c r="EB1359" s="120"/>
      <c r="EC1359" s="120"/>
      <c r="ED1359" s="120"/>
      <c r="EE1359" s="120"/>
      <c r="EF1359" s="120"/>
      <c r="EG1359" s="120"/>
      <c r="EH1359" s="120"/>
      <c r="EI1359" s="120"/>
      <c r="EJ1359" s="120"/>
      <c r="EK1359" s="120"/>
      <c r="EL1359" s="120"/>
      <c r="EM1359" s="120"/>
      <c r="EN1359" s="120"/>
      <c r="EO1359" s="120"/>
      <c r="EP1359" s="120"/>
      <c r="EQ1359" s="120"/>
      <c r="ER1359" s="120"/>
      <c r="ES1359" s="120"/>
      <c r="ET1359" s="120"/>
      <c r="EU1359" s="120"/>
      <c r="EV1359" s="120"/>
      <c r="EW1359" s="120"/>
      <c r="EX1359" s="120"/>
      <c r="EY1359" s="120"/>
      <c r="EZ1359" s="120"/>
      <c r="FA1359" s="120"/>
      <c r="FB1359" s="120"/>
      <c r="FC1359" s="120"/>
      <c r="FD1359" s="120"/>
      <c r="FE1359" s="120"/>
      <c r="FF1359" s="120"/>
      <c r="FG1359" s="120"/>
      <c r="FH1359" s="120"/>
      <c r="FI1359" s="120"/>
      <c r="FJ1359" s="120"/>
      <c r="FK1359" s="120"/>
      <c r="FL1359" s="120"/>
      <c r="FM1359" s="120"/>
      <c r="FN1359" s="120"/>
      <c r="FO1359" s="120"/>
      <c r="FP1359" s="120"/>
      <c r="FQ1359" s="120"/>
      <c r="FR1359" s="120"/>
      <c r="FS1359" s="120"/>
      <c r="FT1359" s="120"/>
      <c r="FU1359" s="120"/>
      <c r="FV1359" s="120"/>
      <c r="FW1359" s="120"/>
      <c r="FX1359" s="120"/>
      <c r="FY1359" s="120"/>
      <c r="FZ1359" s="120"/>
      <c r="GA1359" s="120"/>
      <c r="GB1359" s="120"/>
      <c r="GC1359" s="120"/>
      <c r="GD1359" s="120"/>
      <c r="GE1359" s="120"/>
      <c r="GF1359" s="120"/>
      <c r="GG1359" s="120"/>
      <c r="GH1359" s="120"/>
      <c r="GI1359" s="120"/>
      <c r="GJ1359" s="120"/>
      <c r="GK1359" s="120"/>
      <c r="GL1359" s="120"/>
      <c r="GM1359" s="120"/>
      <c r="GN1359" s="120"/>
      <c r="GO1359" s="120"/>
      <c r="GP1359" s="120"/>
      <c r="GQ1359" s="120"/>
      <c r="GR1359" s="120"/>
      <c r="GS1359" s="120"/>
      <c r="GT1359" s="120"/>
      <c r="GU1359" s="120"/>
      <c r="GV1359" s="120"/>
      <c r="GW1359" s="120"/>
      <c r="GX1359" s="120"/>
      <c r="GY1359" s="120"/>
      <c r="GZ1359" s="120"/>
      <c r="HA1359" s="120"/>
      <c r="HB1359" s="120"/>
      <c r="HC1359" s="120"/>
      <c r="HD1359" s="120"/>
      <c r="HE1359" s="120"/>
      <c r="HF1359" s="120"/>
      <c r="HG1359" s="120"/>
      <c r="HH1359" s="120"/>
      <c r="HI1359" s="120"/>
      <c r="HJ1359" s="120"/>
      <c r="HK1359" s="120"/>
      <c r="HL1359" s="120"/>
      <c r="HM1359" s="120"/>
      <c r="HN1359" s="120"/>
      <c r="HO1359" s="120"/>
      <c r="HP1359" s="120"/>
      <c r="HQ1359" s="120"/>
      <c r="HR1359" s="120"/>
      <c r="HS1359" s="120"/>
      <c r="HT1359" s="120"/>
      <c r="HU1359" s="120"/>
      <c r="HV1359" s="120"/>
      <c r="HW1359" s="120"/>
      <c r="HX1359" s="120"/>
      <c r="HY1359" s="120"/>
      <c r="HZ1359" s="120"/>
      <c r="IA1359" s="120"/>
      <c r="IB1359" s="120"/>
      <c r="IC1359" s="120"/>
      <c r="ID1359" s="120"/>
      <c r="IE1359" s="120"/>
      <c r="IF1359" s="120"/>
      <c r="IG1359" s="120"/>
      <c r="IH1359" s="120"/>
      <c r="II1359" s="120"/>
      <c r="IJ1359" s="120"/>
      <c r="IK1359" s="120"/>
      <c r="IL1359" s="120"/>
      <c r="IM1359" s="120"/>
      <c r="IN1359" s="120"/>
      <c r="IO1359" s="120"/>
      <c r="IP1359" s="120"/>
      <c r="IQ1359" s="120"/>
      <c r="IR1359" s="120"/>
      <c r="IS1359" s="120"/>
      <c r="IT1359" s="120"/>
      <c r="IU1359" s="120"/>
      <c r="IV1359" s="120"/>
      <c r="IW1359" s="120"/>
      <c r="IX1359" s="120"/>
      <c r="IY1359" s="120"/>
      <c r="IZ1359" s="120"/>
      <c r="JA1359" s="120"/>
      <c r="JB1359" s="120"/>
      <c r="JC1359" s="120"/>
      <c r="JD1359" s="120"/>
      <c r="JE1359" s="120"/>
      <c r="JF1359" s="120"/>
      <c r="JG1359" s="120"/>
      <c r="JH1359" s="120"/>
      <c r="JI1359" s="120"/>
      <c r="JJ1359" s="120"/>
      <c r="JK1359" s="120"/>
      <c r="JL1359" s="120"/>
      <c r="JM1359" s="120"/>
      <c r="JN1359" s="120"/>
      <c r="JO1359" s="120"/>
      <c r="JP1359" s="120"/>
      <c r="JQ1359" s="120"/>
      <c r="JR1359" s="120"/>
      <c r="JS1359" s="120"/>
      <c r="JT1359" s="120"/>
      <c r="JU1359" s="120"/>
      <c r="JV1359" s="120"/>
      <c r="JW1359" s="120"/>
      <c r="JX1359" s="120"/>
      <c r="JY1359" s="120"/>
      <c r="JZ1359" s="120"/>
      <c r="KA1359" s="120"/>
      <c r="KB1359" s="120"/>
      <c r="KC1359" s="120"/>
      <c r="KD1359" s="120"/>
      <c r="KE1359" s="120"/>
      <c r="KF1359" s="120"/>
      <c r="KG1359" s="120"/>
      <c r="KH1359" s="120"/>
      <c r="KI1359" s="120"/>
      <c r="KJ1359" s="120"/>
      <c r="KK1359" s="120"/>
      <c r="KL1359" s="120"/>
      <c r="KM1359" s="120"/>
      <c r="KN1359" s="120"/>
      <c r="KO1359" s="120"/>
      <c r="KP1359" s="120"/>
      <c r="KQ1359" s="120"/>
      <c r="KR1359" s="120"/>
      <c r="KS1359" s="120"/>
      <c r="KT1359" s="120"/>
      <c r="KU1359" s="120"/>
      <c r="KV1359" s="120"/>
      <c r="KW1359" s="120"/>
      <c r="KX1359" s="120"/>
      <c r="KY1359" s="120"/>
      <c r="KZ1359" s="120"/>
      <c r="LA1359" s="120"/>
      <c r="LB1359" s="120"/>
      <c r="LC1359" s="120"/>
      <c r="LD1359" s="120"/>
      <c r="LE1359" s="120"/>
      <c r="LF1359" s="120"/>
      <c r="LG1359" s="120"/>
      <c r="LH1359" s="120"/>
      <c r="LI1359" s="120"/>
      <c r="LJ1359" s="120"/>
      <c r="LK1359" s="120"/>
      <c r="LL1359" s="120"/>
      <c r="LM1359" s="120"/>
      <c r="LN1359" s="120"/>
      <c r="LO1359" s="120"/>
      <c r="LP1359" s="120"/>
      <c r="LQ1359" s="120"/>
      <c r="LR1359" s="120"/>
      <c r="LS1359" s="120"/>
      <c r="LT1359" s="120"/>
      <c r="LU1359" s="120"/>
      <c r="LV1359" s="120"/>
      <c r="LW1359" s="120"/>
      <c r="LX1359" s="120"/>
      <c r="LY1359" s="120"/>
      <c r="LZ1359" s="120"/>
      <c r="MA1359" s="120"/>
      <c r="MB1359" s="120"/>
      <c r="MC1359" s="120"/>
      <c r="MD1359" s="120"/>
      <c r="ME1359" s="120"/>
      <c r="MF1359" s="120"/>
      <c r="MG1359" s="120"/>
      <c r="MH1359" s="120"/>
      <c r="MI1359" s="120"/>
      <c r="MJ1359" s="120"/>
      <c r="MK1359" s="120"/>
      <c r="ML1359" s="120"/>
      <c r="MM1359" s="120"/>
      <c r="MN1359" s="120"/>
      <c r="MO1359" s="120"/>
      <c r="MP1359" s="120"/>
      <c r="MQ1359" s="120"/>
      <c r="MR1359" s="120"/>
      <c r="MS1359" s="120"/>
      <c r="MT1359" s="120"/>
      <c r="MU1359" s="120"/>
      <c r="MV1359" s="120"/>
      <c r="MW1359" s="120"/>
      <c r="MX1359" s="120"/>
      <c r="MY1359" s="120"/>
      <c r="MZ1359" s="120"/>
      <c r="NA1359" s="120"/>
      <c r="NB1359" s="120"/>
      <c r="NC1359" s="120"/>
      <c r="ND1359" s="120"/>
      <c r="NE1359" s="120"/>
      <c r="NF1359" s="120"/>
      <c r="NG1359" s="120"/>
      <c r="NH1359" s="120"/>
      <c r="NI1359" s="120"/>
      <c r="NJ1359" s="120"/>
      <c r="NK1359" s="120"/>
      <c r="NL1359" s="120"/>
      <c r="NM1359" s="120"/>
      <c r="NN1359" s="120"/>
      <c r="NO1359" s="120"/>
      <c r="NP1359" s="120"/>
      <c r="NQ1359" s="120"/>
      <c r="NR1359" s="120"/>
      <c r="NS1359" s="120"/>
      <c r="NT1359" s="120"/>
      <c r="NU1359" s="120"/>
      <c r="NV1359" s="120"/>
      <c r="NW1359" s="120"/>
      <c r="NX1359" s="120"/>
      <c r="NY1359" s="120"/>
      <c r="NZ1359" s="120"/>
      <c r="OA1359" s="120"/>
      <c r="OB1359" s="120"/>
      <c r="OC1359" s="120"/>
      <c r="OD1359" s="120"/>
      <c r="OE1359" s="120"/>
      <c r="OF1359" s="120"/>
      <c r="OG1359" s="120"/>
      <c r="OH1359" s="120"/>
      <c r="OI1359" s="120"/>
      <c r="OJ1359" s="120"/>
      <c r="OK1359" s="120"/>
      <c r="OL1359" s="120"/>
      <c r="OM1359" s="120"/>
      <c r="ON1359" s="120"/>
      <c r="OO1359" s="120"/>
      <c r="OP1359" s="120"/>
      <c r="OQ1359" s="120"/>
      <c r="OR1359" s="120"/>
      <c r="OS1359" s="120"/>
      <c r="OT1359" s="120"/>
      <c r="OU1359" s="120"/>
      <c r="OV1359" s="120"/>
      <c r="OW1359" s="120"/>
      <c r="OX1359" s="120"/>
      <c r="OY1359" s="120"/>
      <c r="OZ1359" s="120"/>
      <c r="PA1359" s="120"/>
      <c r="PB1359" s="120"/>
      <c r="PC1359" s="120"/>
      <c r="PD1359" s="120"/>
      <c r="PE1359" s="120"/>
      <c r="PF1359" s="120"/>
      <c r="PG1359" s="120"/>
      <c r="PH1359" s="120"/>
      <c r="PI1359" s="120"/>
      <c r="PJ1359" s="120"/>
      <c r="PK1359" s="120"/>
      <c r="PL1359" s="120"/>
      <c r="PM1359" s="120"/>
      <c r="PN1359" s="120"/>
      <c r="PO1359" s="120"/>
      <c r="PP1359" s="120"/>
      <c r="PQ1359" s="120"/>
      <c r="PR1359" s="120"/>
      <c r="PS1359" s="120"/>
      <c r="PT1359" s="120"/>
      <c r="PU1359" s="120"/>
      <c r="PV1359" s="120"/>
      <c r="PW1359" s="120"/>
      <c r="PX1359" s="120"/>
      <c r="PY1359" s="120"/>
      <c r="PZ1359" s="120"/>
      <c r="QA1359" s="120"/>
      <c r="QB1359" s="120"/>
      <c r="QC1359" s="120"/>
      <c r="QD1359" s="120"/>
      <c r="QE1359" s="120"/>
      <c r="QF1359" s="120"/>
      <c r="QG1359" s="120"/>
      <c r="QH1359" s="120"/>
      <c r="QI1359" s="120"/>
      <c r="QJ1359" s="120"/>
      <c r="QK1359" s="120"/>
      <c r="QL1359" s="120"/>
      <c r="QM1359" s="120"/>
      <c r="QN1359" s="120"/>
      <c r="QO1359" s="120"/>
      <c r="QP1359" s="120"/>
      <c r="QQ1359" s="120"/>
      <c r="QR1359" s="120"/>
      <c r="QS1359" s="120"/>
      <c r="QT1359" s="120"/>
      <c r="QU1359" s="120"/>
      <c r="QV1359" s="120"/>
      <c r="QW1359" s="120"/>
      <c r="QX1359" s="120"/>
      <c r="QY1359" s="120"/>
      <c r="QZ1359" s="120"/>
      <c r="RA1359" s="120"/>
      <c r="RB1359" s="120"/>
      <c r="RC1359" s="120"/>
      <c r="RD1359" s="120"/>
      <c r="RE1359" s="120"/>
      <c r="RF1359" s="120"/>
      <c r="RG1359" s="120"/>
      <c r="RH1359" s="120"/>
      <c r="RI1359" s="120"/>
      <c r="RJ1359" s="120"/>
      <c r="RK1359" s="120"/>
      <c r="RL1359" s="120"/>
      <c r="RM1359" s="120"/>
      <c r="RN1359" s="120"/>
      <c r="RO1359" s="120"/>
      <c r="RP1359" s="120"/>
      <c r="RQ1359" s="120"/>
      <c r="RR1359" s="120"/>
      <c r="RS1359" s="120"/>
      <c r="RT1359" s="120"/>
      <c r="RU1359" s="120"/>
      <c r="RV1359" s="120"/>
      <c r="RW1359" s="120"/>
      <c r="RX1359" s="120"/>
      <c r="RY1359" s="120"/>
      <c r="RZ1359" s="120"/>
      <c r="SA1359" s="120"/>
      <c r="SB1359" s="120"/>
      <c r="SC1359" s="120"/>
      <c r="SD1359" s="120"/>
      <c r="SE1359" s="120"/>
      <c r="SF1359" s="120"/>
      <c r="SG1359" s="120"/>
      <c r="SH1359" s="120"/>
      <c r="SI1359" s="120"/>
      <c r="SJ1359" s="120"/>
      <c r="SK1359" s="120"/>
      <c r="SL1359" s="120"/>
      <c r="SM1359" s="120"/>
      <c r="SN1359" s="120"/>
      <c r="SO1359" s="120"/>
      <c r="SP1359" s="120"/>
      <c r="SQ1359" s="120"/>
      <c r="SR1359" s="120"/>
      <c r="SS1359" s="120"/>
      <c r="ST1359" s="120"/>
      <c r="SU1359" s="120"/>
      <c r="SV1359" s="120"/>
      <c r="SW1359" s="120"/>
      <c r="SX1359" s="120"/>
      <c r="SY1359" s="120"/>
      <c r="SZ1359" s="120"/>
      <c r="TA1359" s="120"/>
      <c r="TB1359" s="120"/>
      <c r="TC1359" s="120"/>
      <c r="TD1359" s="120"/>
      <c r="TE1359" s="120"/>
      <c r="TF1359" s="120"/>
      <c r="TG1359" s="120"/>
      <c r="TH1359" s="120"/>
      <c r="TI1359" s="120"/>
      <c r="TJ1359" s="120"/>
      <c r="TK1359" s="120"/>
      <c r="TL1359" s="120"/>
      <c r="TM1359" s="120"/>
      <c r="TN1359" s="120"/>
      <c r="TO1359" s="120"/>
      <c r="TP1359" s="120"/>
      <c r="TQ1359" s="120"/>
      <c r="TR1359" s="120"/>
      <c r="TS1359" s="120"/>
      <c r="TT1359" s="120"/>
      <c r="TU1359" s="120"/>
      <c r="TV1359" s="120"/>
      <c r="TW1359" s="120"/>
      <c r="TX1359" s="120"/>
      <c r="TY1359" s="120"/>
      <c r="TZ1359" s="120"/>
      <c r="UA1359" s="120"/>
      <c r="UB1359" s="120"/>
      <c r="UC1359" s="120"/>
      <c r="UD1359" s="120"/>
      <c r="UE1359" s="120"/>
      <c r="UF1359" s="120"/>
      <c r="UG1359" s="120"/>
      <c r="UH1359" s="120"/>
      <c r="UI1359" s="120"/>
      <c r="UJ1359" s="120"/>
      <c r="UK1359" s="120"/>
      <c r="UL1359" s="120"/>
      <c r="UM1359" s="120"/>
      <c r="UN1359" s="120"/>
      <c r="UO1359" s="120"/>
      <c r="UP1359" s="120"/>
      <c r="UQ1359" s="120"/>
      <c r="UR1359" s="120"/>
      <c r="US1359" s="120"/>
      <c r="UT1359" s="120"/>
      <c r="UU1359" s="120"/>
      <c r="UV1359" s="120"/>
      <c r="UW1359" s="120"/>
      <c r="UX1359" s="120"/>
      <c r="UY1359" s="120"/>
      <c r="UZ1359" s="120"/>
      <c r="VA1359" s="120"/>
      <c r="VB1359" s="120"/>
      <c r="VC1359" s="120"/>
      <c r="VD1359" s="120"/>
      <c r="VE1359" s="120"/>
      <c r="VF1359" s="120"/>
      <c r="VG1359" s="120"/>
      <c r="VH1359" s="120"/>
      <c r="VI1359" s="120"/>
      <c r="VJ1359" s="120"/>
      <c r="VK1359" s="120"/>
      <c r="VL1359" s="120"/>
      <c r="VM1359" s="120"/>
      <c r="VN1359" s="120"/>
      <c r="VO1359" s="120"/>
      <c r="VP1359" s="120"/>
      <c r="VQ1359" s="120"/>
      <c r="VR1359" s="120"/>
      <c r="VS1359" s="120"/>
      <c r="VT1359" s="120"/>
      <c r="VU1359" s="120"/>
      <c r="VV1359" s="120"/>
      <c r="VW1359" s="120"/>
      <c r="VX1359" s="120"/>
      <c r="VY1359" s="120"/>
      <c r="VZ1359" s="120"/>
      <c r="WA1359" s="120"/>
      <c r="WB1359" s="120"/>
      <c r="WC1359" s="120"/>
      <c r="WD1359" s="120"/>
      <c r="WE1359" s="120"/>
      <c r="WF1359" s="120"/>
      <c r="WG1359" s="120"/>
      <c r="WH1359" s="120"/>
      <c r="WI1359" s="120"/>
      <c r="WJ1359" s="120"/>
      <c r="WK1359" s="120"/>
      <c r="WL1359" s="120"/>
      <c r="WM1359" s="120"/>
      <c r="WN1359" s="120"/>
      <c r="WO1359" s="120"/>
      <c r="WP1359" s="120"/>
      <c r="WQ1359" s="120"/>
      <c r="WR1359" s="120"/>
      <c r="WS1359" s="120"/>
      <c r="WT1359" s="120"/>
      <c r="WU1359" s="120"/>
      <c r="WV1359" s="120"/>
      <c r="WW1359" s="120"/>
      <c r="WX1359" s="120"/>
      <c r="WY1359" s="120"/>
      <c r="WZ1359" s="120"/>
      <c r="XA1359" s="120"/>
      <c r="XB1359" s="120"/>
      <c r="XC1359" s="120"/>
      <c r="XD1359" s="120"/>
      <c r="XE1359" s="120"/>
      <c r="XF1359" s="120"/>
      <c r="XG1359" s="120"/>
      <c r="XH1359" s="120"/>
      <c r="XI1359" s="120"/>
      <c r="XJ1359" s="120"/>
      <c r="XK1359" s="120"/>
      <c r="XL1359" s="120"/>
      <c r="XM1359" s="120"/>
      <c r="XN1359" s="120"/>
      <c r="XO1359" s="120"/>
      <c r="XP1359" s="120"/>
      <c r="XQ1359" s="120"/>
      <c r="XR1359" s="120"/>
      <c r="XS1359" s="120"/>
      <c r="XT1359" s="120"/>
      <c r="XU1359" s="120"/>
      <c r="XV1359" s="120"/>
      <c r="XW1359" s="120"/>
      <c r="XX1359" s="120"/>
      <c r="XY1359" s="120"/>
      <c r="XZ1359" s="120"/>
      <c r="YA1359" s="120"/>
      <c r="YB1359" s="120"/>
      <c r="YC1359" s="120"/>
      <c r="YD1359" s="120"/>
      <c r="YE1359" s="120"/>
      <c r="YF1359" s="120"/>
      <c r="YG1359" s="120"/>
      <c r="YH1359" s="120"/>
      <c r="YI1359" s="120"/>
      <c r="YJ1359" s="120"/>
      <c r="YK1359" s="120"/>
      <c r="YL1359" s="120"/>
      <c r="YM1359" s="120"/>
      <c r="YN1359" s="120"/>
      <c r="YO1359" s="120"/>
      <c r="YP1359" s="120"/>
      <c r="YQ1359" s="120"/>
      <c r="YR1359" s="120"/>
      <c r="YS1359" s="120"/>
      <c r="YT1359" s="120"/>
      <c r="YU1359" s="120"/>
      <c r="YV1359" s="120"/>
      <c r="YW1359" s="120"/>
      <c r="YX1359" s="120"/>
      <c r="YY1359" s="120"/>
      <c r="YZ1359" s="120"/>
      <c r="ZA1359" s="120"/>
      <c r="ZB1359" s="120"/>
      <c r="ZC1359" s="120"/>
      <c r="ZD1359" s="120"/>
      <c r="ZE1359" s="120"/>
      <c r="ZF1359" s="120"/>
      <c r="ZG1359" s="120"/>
      <c r="ZH1359" s="120"/>
      <c r="ZI1359" s="120"/>
      <c r="ZJ1359" s="120"/>
      <c r="ZK1359" s="120"/>
      <c r="ZL1359" s="120"/>
      <c r="ZM1359" s="120"/>
      <c r="ZN1359" s="120"/>
      <c r="ZO1359" s="120"/>
      <c r="ZP1359" s="120"/>
      <c r="ZQ1359" s="120"/>
      <c r="ZR1359" s="120"/>
      <c r="ZS1359" s="120"/>
      <c r="ZT1359" s="120"/>
      <c r="ZU1359" s="120"/>
      <c r="ZV1359" s="120"/>
      <c r="ZW1359" s="120"/>
      <c r="ZX1359" s="120"/>
      <c r="ZY1359" s="120"/>
      <c r="ZZ1359" s="120"/>
      <c r="AAA1359" s="120"/>
      <c r="AAB1359" s="120"/>
      <c r="AAC1359" s="120"/>
      <c r="AAD1359" s="120"/>
      <c r="AAE1359" s="120"/>
      <c r="AAF1359" s="120"/>
      <c r="AAG1359" s="120"/>
      <c r="AAH1359" s="120"/>
      <c r="AAI1359" s="120"/>
      <c r="AAJ1359" s="120"/>
      <c r="AAK1359" s="120"/>
      <c r="AAL1359" s="120"/>
      <c r="AAM1359" s="120"/>
      <c r="AAN1359" s="120"/>
      <c r="AAO1359" s="120"/>
      <c r="AAP1359" s="120"/>
      <c r="AAQ1359" s="120"/>
      <c r="AAR1359" s="120"/>
      <c r="AAS1359" s="120"/>
      <c r="AAT1359" s="120"/>
      <c r="AAU1359" s="120"/>
      <c r="AAV1359" s="120"/>
      <c r="AAW1359" s="120"/>
      <c r="AAX1359" s="120"/>
      <c r="AAY1359" s="120"/>
      <c r="AAZ1359" s="120"/>
      <c r="ABA1359" s="120"/>
      <c r="ABB1359" s="120"/>
      <c r="ABC1359" s="120"/>
      <c r="ABD1359" s="120"/>
      <c r="ABE1359" s="120"/>
      <c r="ABF1359" s="120"/>
      <c r="ABG1359" s="120"/>
      <c r="ABH1359" s="120"/>
      <c r="ABI1359" s="120"/>
      <c r="ABJ1359" s="120"/>
      <c r="ABK1359" s="120"/>
      <c r="ABL1359" s="120"/>
      <c r="ABM1359" s="120"/>
      <c r="ABN1359" s="120"/>
      <c r="ABO1359" s="120"/>
      <c r="ABP1359" s="120"/>
      <c r="ABQ1359" s="120"/>
      <c r="ABR1359" s="120"/>
      <c r="ABS1359" s="120"/>
      <c r="ABT1359" s="120"/>
      <c r="ABU1359" s="120"/>
      <c r="ABV1359" s="120"/>
      <c r="ABW1359" s="120"/>
      <c r="ABX1359" s="120"/>
      <c r="ABY1359" s="120"/>
      <c r="ABZ1359" s="120"/>
      <c r="ACA1359" s="120"/>
      <c r="ACB1359" s="120"/>
      <c r="ACC1359" s="120"/>
      <c r="ACD1359" s="120"/>
      <c r="ACE1359" s="120"/>
      <c r="ACF1359" s="120"/>
      <c r="ACG1359" s="120"/>
      <c r="ACH1359" s="120"/>
      <c r="ACI1359" s="120"/>
      <c r="ACJ1359" s="120"/>
      <c r="ACK1359" s="120"/>
      <c r="ACL1359" s="120"/>
      <c r="ACM1359" s="120"/>
      <c r="ACN1359" s="120"/>
      <c r="ACO1359" s="120"/>
      <c r="ACP1359" s="120"/>
      <c r="ACQ1359" s="120"/>
      <c r="ACR1359" s="120"/>
      <c r="ACS1359" s="120"/>
      <c r="ACT1359" s="120"/>
      <c r="ACU1359" s="120"/>
      <c r="ACV1359" s="120"/>
      <c r="ACW1359" s="120"/>
      <c r="ACX1359" s="120"/>
      <c r="ACY1359" s="120"/>
      <c r="ACZ1359" s="120"/>
      <c r="ADA1359" s="120"/>
      <c r="ADB1359" s="120"/>
      <c r="ADC1359" s="120"/>
      <c r="ADD1359" s="120"/>
      <c r="ADE1359" s="120"/>
      <c r="ADF1359" s="120"/>
      <c r="ADG1359" s="120"/>
      <c r="ADH1359" s="120"/>
      <c r="ADI1359" s="120"/>
      <c r="ADJ1359" s="120"/>
      <c r="ADK1359" s="120"/>
      <c r="ADL1359" s="120"/>
      <c r="ADM1359" s="120"/>
      <c r="ADN1359" s="120"/>
      <c r="ADO1359" s="120"/>
      <c r="ADP1359" s="120"/>
      <c r="ADQ1359" s="120"/>
      <c r="ADR1359" s="120"/>
      <c r="ADS1359" s="120"/>
      <c r="ADT1359" s="120"/>
      <c r="ADU1359" s="120"/>
      <c r="ADV1359" s="120"/>
      <c r="ADW1359" s="120"/>
      <c r="ADX1359" s="120"/>
      <c r="ADY1359" s="120"/>
      <c r="ADZ1359" s="120"/>
      <c r="AEA1359" s="120"/>
      <c r="AEB1359" s="120"/>
      <c r="AEC1359" s="120"/>
      <c r="AED1359" s="120"/>
      <c r="AEE1359" s="120"/>
      <c r="AEF1359" s="120"/>
      <c r="AEG1359" s="120"/>
      <c r="AEH1359" s="120"/>
      <c r="AEI1359" s="120"/>
      <c r="AEJ1359" s="120"/>
      <c r="AEK1359" s="120"/>
      <c r="AEL1359" s="120"/>
      <c r="AEM1359" s="120"/>
      <c r="AEN1359" s="120"/>
      <c r="AEO1359" s="120"/>
      <c r="AEP1359" s="120"/>
      <c r="AEQ1359" s="120"/>
      <c r="AER1359" s="120"/>
      <c r="AES1359" s="120"/>
      <c r="AET1359" s="120"/>
      <c r="AEU1359" s="120"/>
      <c r="AEV1359" s="120"/>
      <c r="AEW1359" s="120"/>
      <c r="AEX1359" s="120"/>
      <c r="AEY1359" s="120"/>
      <c r="AEZ1359" s="120"/>
      <c r="AFA1359" s="120"/>
      <c r="AFB1359" s="120"/>
      <c r="AFC1359" s="120"/>
      <c r="AFD1359" s="120"/>
      <c r="AFE1359" s="120"/>
      <c r="AFF1359" s="120"/>
      <c r="AFG1359" s="120"/>
      <c r="AFH1359" s="120"/>
      <c r="AFI1359" s="120"/>
      <c r="AFJ1359" s="120"/>
      <c r="AFK1359" s="120"/>
      <c r="AFL1359" s="120"/>
      <c r="AFM1359" s="120"/>
      <c r="AFN1359" s="120"/>
      <c r="AFO1359" s="120"/>
      <c r="AFP1359" s="120"/>
      <c r="AFQ1359" s="120"/>
      <c r="AFR1359" s="120"/>
      <c r="AFS1359" s="120"/>
      <c r="AFT1359" s="120"/>
      <c r="AFU1359" s="120"/>
      <c r="AFV1359" s="120"/>
      <c r="AFW1359" s="120"/>
      <c r="AFX1359" s="120"/>
      <c r="AFY1359" s="120"/>
      <c r="AFZ1359" s="120"/>
      <c r="AGA1359" s="120"/>
      <c r="AGB1359" s="120"/>
      <c r="AGC1359" s="120"/>
      <c r="AGD1359" s="120"/>
      <c r="AGE1359" s="120"/>
      <c r="AGF1359" s="120"/>
      <c r="AGG1359" s="120"/>
      <c r="AGH1359" s="120"/>
      <c r="AGI1359" s="120"/>
      <c r="AGJ1359" s="120"/>
      <c r="AGK1359" s="120"/>
      <c r="AGL1359" s="120"/>
      <c r="AGM1359" s="120"/>
      <c r="AGN1359" s="120"/>
      <c r="AGO1359" s="120"/>
      <c r="AGP1359" s="120"/>
      <c r="AGQ1359" s="120"/>
      <c r="AGR1359" s="120"/>
      <c r="AGS1359" s="120"/>
      <c r="AGT1359" s="120"/>
      <c r="AGU1359" s="120"/>
      <c r="AGV1359" s="120"/>
      <c r="AGW1359" s="120"/>
      <c r="AGX1359" s="120"/>
      <c r="AGY1359" s="120"/>
      <c r="AGZ1359" s="120"/>
      <c r="AHA1359" s="120"/>
      <c r="AHB1359" s="120"/>
      <c r="AHC1359" s="120"/>
      <c r="AHD1359" s="120"/>
      <c r="AHE1359" s="120"/>
      <c r="AHF1359" s="120"/>
      <c r="AHG1359" s="120"/>
      <c r="AHH1359" s="120"/>
      <c r="AHI1359" s="120"/>
      <c r="AHJ1359" s="120"/>
      <c r="AHK1359" s="120"/>
      <c r="AHL1359" s="120"/>
      <c r="AHM1359" s="120"/>
      <c r="AHN1359" s="120"/>
      <c r="AHO1359" s="120"/>
      <c r="AHP1359" s="120"/>
      <c r="AHQ1359" s="120"/>
      <c r="AHR1359" s="120"/>
      <c r="AHS1359" s="120"/>
      <c r="AHT1359" s="120"/>
      <c r="AHU1359" s="120"/>
      <c r="AHV1359" s="120"/>
      <c r="AHW1359" s="120"/>
      <c r="AHX1359" s="120"/>
      <c r="AHY1359" s="120"/>
      <c r="AHZ1359" s="120"/>
      <c r="AIA1359" s="120"/>
      <c r="AIB1359" s="120"/>
      <c r="AIC1359" s="120"/>
      <c r="AID1359" s="120"/>
      <c r="AIE1359" s="120"/>
      <c r="AIF1359" s="120"/>
      <c r="AIG1359" s="120"/>
      <c r="AIH1359" s="120"/>
      <c r="AII1359" s="120"/>
      <c r="AIJ1359" s="120"/>
      <c r="AIK1359" s="120"/>
      <c r="AIL1359" s="120"/>
      <c r="AIM1359" s="120"/>
      <c r="AIN1359" s="120"/>
      <c r="AIO1359" s="120"/>
      <c r="AIP1359" s="120"/>
      <c r="AIQ1359" s="120"/>
      <c r="AIR1359" s="120"/>
      <c r="AIS1359" s="120"/>
      <c r="AIT1359" s="120"/>
      <c r="AIU1359" s="120"/>
      <c r="AIV1359" s="120"/>
      <c r="AIW1359" s="120"/>
      <c r="AIX1359" s="120"/>
      <c r="AIY1359" s="120"/>
      <c r="AIZ1359" s="120"/>
      <c r="AJA1359" s="120"/>
      <c r="AJB1359" s="120"/>
      <c r="AJC1359" s="120"/>
      <c r="AJD1359" s="120"/>
      <c r="AJE1359" s="120"/>
      <c r="AJF1359" s="120"/>
      <c r="AJG1359" s="120"/>
      <c r="AJH1359" s="120"/>
      <c r="AJI1359" s="120"/>
      <c r="AJJ1359" s="120"/>
      <c r="AJK1359" s="120"/>
      <c r="AJL1359" s="120"/>
      <c r="AJM1359" s="120"/>
      <c r="AJN1359" s="120"/>
      <c r="AJO1359" s="120"/>
      <c r="AJP1359" s="120"/>
      <c r="AJQ1359" s="120"/>
      <c r="AJR1359" s="120"/>
      <c r="AJS1359" s="120"/>
      <c r="AJT1359" s="120"/>
      <c r="AJU1359" s="120"/>
      <c r="AJV1359" s="120"/>
      <c r="AJW1359" s="120"/>
      <c r="AJX1359" s="120"/>
      <c r="AJY1359" s="120"/>
      <c r="AJZ1359" s="120"/>
      <c r="AKA1359" s="120"/>
      <c r="AKB1359" s="120"/>
      <c r="AKC1359" s="120"/>
      <c r="AKD1359" s="120"/>
      <c r="AKE1359" s="120"/>
      <c r="AKF1359" s="120"/>
      <c r="AKG1359" s="120"/>
      <c r="AKH1359" s="120"/>
      <c r="AKI1359" s="120"/>
      <c r="AKJ1359" s="120"/>
      <c r="AKK1359" s="120"/>
      <c r="AKL1359" s="120"/>
      <c r="AKM1359" s="120"/>
      <c r="AKN1359" s="120"/>
      <c r="AKO1359" s="120"/>
      <c r="AKP1359" s="120"/>
      <c r="AKQ1359" s="120"/>
      <c r="AKR1359" s="120"/>
      <c r="AKS1359" s="120"/>
      <c r="AKT1359" s="120"/>
      <c r="AKU1359" s="120"/>
      <c r="AKV1359" s="120"/>
      <c r="AKW1359" s="120"/>
      <c r="AKX1359" s="120"/>
      <c r="AKY1359" s="120"/>
      <c r="AKZ1359" s="120"/>
      <c r="ALA1359" s="120"/>
      <c r="ALB1359" s="120"/>
      <c r="ALC1359" s="120"/>
      <c r="ALD1359" s="120"/>
      <c r="ALE1359" s="120"/>
      <c r="ALF1359" s="120"/>
      <c r="ALG1359" s="120"/>
      <c r="ALH1359" s="120"/>
      <c r="ALI1359" s="120"/>
      <c r="ALJ1359" s="120"/>
      <c r="ALK1359" s="120"/>
      <c r="ALL1359" s="120"/>
      <c r="ALM1359" s="120"/>
      <c r="ALN1359" s="120"/>
      <c r="ALO1359" s="120"/>
      <c r="ALP1359" s="120"/>
      <c r="ALQ1359" s="120"/>
      <c r="ALR1359" s="120"/>
      <c r="ALS1359" s="120"/>
      <c r="ALT1359" s="120"/>
      <c r="ALU1359" s="120"/>
      <c r="ALV1359" s="120"/>
      <c r="ALW1359" s="120"/>
      <c r="ALX1359" s="120"/>
      <c r="ALY1359" s="120"/>
      <c r="ALZ1359" s="120"/>
      <c r="AMA1359" s="120"/>
      <c r="AMB1359" s="120"/>
      <c r="AMC1359" s="120"/>
      <c r="AMD1359" s="120"/>
      <c r="AME1359" s="120"/>
      <c r="AMF1359" s="120"/>
      <c r="AMG1359" s="120"/>
      <c r="AMH1359" s="120"/>
      <c r="AMI1359" s="120"/>
      <c r="AMJ1359" s="120"/>
      <c r="AMK1359" s="120"/>
      <c r="AML1359" s="120"/>
      <c r="AMM1359" s="120"/>
      <c r="AMN1359" s="120"/>
      <c r="AMO1359" s="120"/>
      <c r="AMP1359" s="120"/>
      <c r="AMQ1359" s="120"/>
      <c r="AMR1359" s="120"/>
      <c r="AMS1359" s="120"/>
      <c r="AMT1359" s="120"/>
      <c r="AMU1359" s="120"/>
      <c r="AMV1359" s="120"/>
      <c r="AMW1359" s="120"/>
      <c r="AMX1359" s="120"/>
      <c r="AMY1359" s="120"/>
      <c r="AMZ1359" s="120"/>
      <c r="ANA1359" s="120"/>
      <c r="ANB1359" s="120"/>
      <c r="ANC1359" s="120"/>
      <c r="AND1359" s="120"/>
      <c r="ANE1359" s="120"/>
      <c r="ANF1359" s="120"/>
      <c r="ANG1359" s="120"/>
      <c r="ANH1359" s="120"/>
      <c r="ANI1359" s="120"/>
      <c r="ANJ1359" s="120"/>
      <c r="ANK1359" s="120"/>
      <c r="ANL1359" s="120"/>
      <c r="ANM1359" s="120"/>
      <c r="ANN1359" s="120"/>
      <c r="ANO1359" s="120"/>
      <c r="ANP1359" s="120"/>
      <c r="ANQ1359" s="120"/>
      <c r="ANR1359" s="120"/>
      <c r="ANS1359" s="120"/>
      <c r="ANT1359" s="120"/>
      <c r="ANU1359" s="120"/>
      <c r="ANV1359" s="120"/>
      <c r="ANW1359" s="120"/>
      <c r="ANX1359" s="120"/>
      <c r="ANY1359" s="120"/>
      <c r="ANZ1359" s="120"/>
      <c r="AOA1359" s="120"/>
      <c r="AOB1359" s="120"/>
      <c r="AOC1359" s="120"/>
      <c r="AOD1359" s="120"/>
      <c r="AOE1359" s="120"/>
      <c r="AOF1359" s="120"/>
      <c r="AOG1359" s="120"/>
      <c r="AOH1359" s="120"/>
      <c r="AOI1359" s="120"/>
      <c r="AOJ1359" s="120"/>
      <c r="AOK1359" s="120"/>
      <c r="AOL1359" s="120"/>
      <c r="AOM1359" s="120"/>
      <c r="AON1359" s="120"/>
      <c r="AOO1359" s="120"/>
      <c r="AOP1359" s="120"/>
      <c r="AOQ1359" s="120"/>
      <c r="AOR1359" s="120"/>
      <c r="AOS1359" s="120"/>
      <c r="AOT1359" s="120"/>
      <c r="AOU1359" s="120"/>
      <c r="AOV1359" s="120"/>
      <c r="AOW1359" s="120"/>
      <c r="AOX1359" s="120"/>
      <c r="AOY1359" s="120"/>
      <c r="AOZ1359" s="120"/>
      <c r="APA1359" s="120"/>
      <c r="APB1359" s="120"/>
      <c r="APC1359" s="120"/>
      <c r="APD1359" s="120"/>
      <c r="APE1359" s="120"/>
      <c r="APF1359" s="120"/>
      <c r="APG1359" s="120"/>
      <c r="APH1359" s="120"/>
      <c r="API1359" s="120"/>
      <c r="APJ1359" s="120"/>
      <c r="APK1359" s="120"/>
      <c r="APL1359" s="120"/>
      <c r="APM1359" s="120"/>
      <c r="APN1359" s="120"/>
      <c r="APO1359" s="120"/>
      <c r="APP1359" s="120"/>
      <c r="APQ1359" s="120"/>
      <c r="APR1359" s="120"/>
      <c r="APS1359" s="120"/>
      <c r="APT1359" s="120"/>
      <c r="APU1359" s="120"/>
      <c r="APV1359" s="120"/>
      <c r="APW1359" s="120"/>
      <c r="APX1359" s="120"/>
      <c r="APY1359" s="120"/>
      <c r="APZ1359" s="120"/>
      <c r="AQA1359" s="120"/>
      <c r="AQB1359" s="120"/>
      <c r="AQC1359" s="120"/>
      <c r="AQD1359" s="120"/>
      <c r="AQE1359" s="120"/>
      <c r="AQF1359" s="120"/>
      <c r="AQG1359" s="120"/>
      <c r="AQH1359" s="120"/>
      <c r="AQI1359" s="120"/>
      <c r="AQJ1359" s="120"/>
      <c r="AQK1359" s="120"/>
      <c r="AQL1359" s="120"/>
      <c r="AQM1359" s="120"/>
      <c r="AQN1359" s="120"/>
      <c r="AQO1359" s="120"/>
      <c r="AQP1359" s="120"/>
      <c r="AQQ1359" s="120"/>
      <c r="AQR1359" s="120"/>
      <c r="AQS1359" s="120"/>
      <c r="AQT1359" s="120"/>
      <c r="AQU1359" s="120"/>
      <c r="AQV1359" s="120"/>
      <c r="AQW1359" s="120"/>
      <c r="AQX1359" s="120"/>
      <c r="AQY1359" s="120"/>
      <c r="AQZ1359" s="120"/>
      <c r="ARA1359" s="120"/>
      <c r="ARB1359" s="120"/>
      <c r="ARC1359" s="120"/>
      <c r="ARD1359" s="120"/>
      <c r="ARE1359" s="120"/>
      <c r="ARF1359" s="120"/>
      <c r="ARG1359" s="120"/>
      <c r="ARH1359" s="120"/>
      <c r="ARI1359" s="120"/>
      <c r="ARJ1359" s="120"/>
      <c r="ARK1359" s="120"/>
      <c r="ARL1359" s="120"/>
      <c r="ARM1359" s="120"/>
      <c r="ARN1359" s="120"/>
      <c r="ARO1359" s="120"/>
      <c r="ARP1359" s="120"/>
      <c r="ARQ1359" s="120"/>
      <c r="ARR1359" s="120"/>
      <c r="ARS1359" s="120"/>
      <c r="ART1359" s="120"/>
      <c r="ARU1359" s="120"/>
      <c r="ARV1359" s="120"/>
      <c r="ARW1359" s="120"/>
      <c r="ARX1359" s="120"/>
      <c r="ARY1359" s="120"/>
      <c r="ARZ1359" s="120"/>
      <c r="ASA1359" s="120"/>
      <c r="ASB1359" s="120"/>
      <c r="ASC1359" s="120"/>
      <c r="ASD1359" s="120"/>
      <c r="ASE1359" s="120"/>
      <c r="ASF1359" s="120"/>
      <c r="ASG1359" s="120"/>
      <c r="ASH1359" s="120"/>
      <c r="ASI1359" s="120"/>
      <c r="ASJ1359" s="120"/>
      <c r="ASK1359" s="120"/>
      <c r="ASL1359" s="120"/>
      <c r="ASM1359" s="120"/>
      <c r="ASN1359" s="120"/>
      <c r="ASO1359" s="120"/>
      <c r="ASP1359" s="120"/>
      <c r="ASQ1359" s="120"/>
      <c r="ASR1359" s="120"/>
      <c r="ASS1359" s="120"/>
      <c r="AST1359" s="120"/>
      <c r="ASU1359" s="120"/>
      <c r="ASV1359" s="120"/>
      <c r="ASW1359" s="120"/>
      <c r="ASX1359" s="120"/>
      <c r="ASY1359" s="120"/>
      <c r="ASZ1359" s="120"/>
      <c r="ATA1359" s="120"/>
      <c r="ATB1359" s="120"/>
      <c r="ATC1359" s="120"/>
      <c r="ATD1359" s="120"/>
      <c r="ATE1359" s="120"/>
      <c r="ATF1359" s="120"/>
      <c r="ATG1359" s="120"/>
      <c r="ATH1359" s="120"/>
      <c r="ATI1359" s="120"/>
      <c r="ATJ1359" s="120"/>
      <c r="ATK1359" s="120"/>
      <c r="ATL1359" s="120"/>
      <c r="ATM1359" s="120"/>
      <c r="ATN1359" s="120"/>
      <c r="ATO1359" s="120"/>
    </row>
    <row r="1360" spans="1:1211" s="20" customFormat="1" ht="14.1" customHeight="1">
      <c r="A1360" s="112"/>
      <c r="B1360" s="945" t="s">
        <v>3776</v>
      </c>
      <c r="C1360" s="184" t="s">
        <v>6129</v>
      </c>
      <c r="D1360" s="120"/>
      <c r="E1360" s="701"/>
      <c r="F1360" s="703"/>
      <c r="G1360" s="702"/>
      <c r="H1360" s="702"/>
      <c r="I1360" s="702"/>
      <c r="J1360" s="700"/>
      <c r="K1360" s="112"/>
      <c r="L1360" s="363"/>
      <c r="M1360" s="112"/>
      <c r="N1360" s="362"/>
      <c r="O1360" s="573"/>
      <c r="P1360" s="120"/>
      <c r="Q1360" s="120"/>
      <c r="R1360" s="120"/>
      <c r="S1360" s="120"/>
      <c r="T1360" s="120"/>
      <c r="U1360" s="120"/>
      <c r="V1360" s="120"/>
      <c r="W1360" s="120"/>
      <c r="X1360" s="120"/>
      <c r="Y1360" s="120"/>
      <c r="Z1360" s="120"/>
      <c r="AA1360" s="120"/>
      <c r="AB1360" s="120"/>
      <c r="AC1360" s="120"/>
      <c r="AD1360" s="120"/>
      <c r="AE1360" s="120"/>
      <c r="AF1360" s="120"/>
      <c r="AG1360" s="120"/>
      <c r="AH1360" s="120"/>
      <c r="AI1360" s="120"/>
      <c r="AJ1360" s="120"/>
      <c r="AK1360" s="120"/>
      <c r="AL1360" s="120"/>
      <c r="AM1360" s="120"/>
      <c r="AN1360" s="120"/>
      <c r="AO1360" s="120"/>
      <c r="AP1360" s="120"/>
      <c r="AQ1360" s="120"/>
      <c r="AR1360" s="120"/>
      <c r="AS1360" s="120"/>
      <c r="AT1360" s="120"/>
      <c r="AU1360" s="120"/>
      <c r="AV1360" s="120"/>
      <c r="AW1360" s="120"/>
      <c r="AX1360" s="120"/>
      <c r="AY1360" s="120"/>
      <c r="AZ1360" s="120"/>
      <c r="BA1360" s="120"/>
      <c r="BB1360" s="120"/>
      <c r="BC1360" s="120"/>
      <c r="BD1360" s="120"/>
      <c r="BE1360" s="120"/>
      <c r="BF1360" s="120"/>
      <c r="BG1360" s="120"/>
      <c r="BH1360" s="120"/>
      <c r="BI1360" s="120"/>
      <c r="BJ1360" s="120"/>
      <c r="BK1360" s="120"/>
      <c r="BL1360" s="120"/>
      <c r="BM1360" s="120"/>
      <c r="BN1360" s="120"/>
      <c r="BO1360" s="120"/>
      <c r="BP1360" s="120"/>
      <c r="BQ1360" s="120"/>
      <c r="BR1360" s="120"/>
      <c r="BS1360" s="120"/>
      <c r="BT1360" s="120"/>
      <c r="BU1360" s="120"/>
      <c r="BV1360" s="120"/>
      <c r="BW1360" s="120"/>
      <c r="BX1360" s="120"/>
      <c r="BY1360" s="120"/>
      <c r="BZ1360" s="120"/>
      <c r="CA1360" s="120"/>
      <c r="CB1360" s="120"/>
      <c r="CC1360" s="120"/>
      <c r="CD1360" s="120"/>
      <c r="CE1360" s="120"/>
      <c r="CF1360" s="120"/>
      <c r="CG1360" s="120"/>
      <c r="CH1360" s="120"/>
      <c r="CI1360" s="120"/>
      <c r="CJ1360" s="120"/>
      <c r="CK1360" s="120"/>
      <c r="CL1360" s="120"/>
      <c r="CM1360" s="120"/>
      <c r="CN1360" s="120"/>
      <c r="CO1360" s="120"/>
      <c r="CP1360" s="120"/>
      <c r="CQ1360" s="120"/>
      <c r="CR1360" s="120"/>
      <c r="CS1360" s="120"/>
      <c r="CT1360" s="120"/>
      <c r="CU1360" s="120"/>
      <c r="CV1360" s="120"/>
      <c r="CW1360" s="120"/>
      <c r="CX1360" s="120"/>
      <c r="CY1360" s="120"/>
      <c r="CZ1360" s="120"/>
      <c r="DA1360" s="120"/>
      <c r="DB1360" s="120"/>
      <c r="DC1360" s="120"/>
      <c r="DD1360" s="120"/>
      <c r="DE1360" s="120"/>
      <c r="DF1360" s="120"/>
      <c r="DG1360" s="120"/>
      <c r="DH1360" s="120"/>
      <c r="DI1360" s="120"/>
      <c r="DJ1360" s="120"/>
      <c r="DK1360" s="120"/>
      <c r="DL1360" s="120"/>
      <c r="DM1360" s="120"/>
      <c r="DN1360" s="120"/>
      <c r="DO1360" s="120"/>
      <c r="DP1360" s="120"/>
      <c r="DQ1360" s="120"/>
      <c r="DR1360" s="120"/>
      <c r="DS1360" s="120"/>
      <c r="DT1360" s="120"/>
      <c r="DU1360" s="120"/>
      <c r="DV1360" s="120"/>
      <c r="DW1360" s="120"/>
      <c r="DX1360" s="120"/>
      <c r="DY1360" s="120"/>
      <c r="DZ1360" s="120"/>
      <c r="EA1360" s="120"/>
      <c r="EB1360" s="120"/>
      <c r="EC1360" s="120"/>
      <c r="ED1360" s="120"/>
      <c r="EE1360" s="120"/>
      <c r="EF1360" s="120"/>
      <c r="EG1360" s="120"/>
      <c r="EH1360" s="120"/>
      <c r="EI1360" s="120"/>
      <c r="EJ1360" s="120"/>
      <c r="EK1360" s="120"/>
      <c r="EL1360" s="120"/>
      <c r="EM1360" s="120"/>
      <c r="EN1360" s="120"/>
      <c r="EO1360" s="120"/>
      <c r="EP1360" s="120"/>
      <c r="EQ1360" s="120"/>
      <c r="ER1360" s="120"/>
      <c r="ES1360" s="120"/>
      <c r="ET1360" s="120"/>
      <c r="EU1360" s="120"/>
      <c r="EV1360" s="120"/>
      <c r="EW1360" s="120"/>
      <c r="EX1360" s="120"/>
      <c r="EY1360" s="120"/>
      <c r="EZ1360" s="120"/>
      <c r="FA1360" s="120"/>
      <c r="FB1360" s="120"/>
      <c r="FC1360" s="120"/>
      <c r="FD1360" s="120"/>
      <c r="FE1360" s="120"/>
      <c r="FF1360" s="120"/>
      <c r="FG1360" s="120"/>
      <c r="FH1360" s="120"/>
      <c r="FI1360" s="120"/>
      <c r="FJ1360" s="120"/>
      <c r="FK1360" s="120"/>
      <c r="FL1360" s="120"/>
      <c r="FM1360" s="120"/>
      <c r="FN1360" s="120"/>
      <c r="FO1360" s="120"/>
      <c r="FP1360" s="120"/>
      <c r="FQ1360" s="120"/>
      <c r="FR1360" s="120"/>
      <c r="FS1360" s="120"/>
      <c r="FT1360" s="120"/>
      <c r="FU1360" s="120"/>
      <c r="FV1360" s="120"/>
      <c r="FW1360" s="120"/>
      <c r="FX1360" s="120"/>
      <c r="FY1360" s="120"/>
      <c r="FZ1360" s="120"/>
      <c r="GA1360" s="120"/>
      <c r="GB1360" s="120"/>
      <c r="GC1360" s="120"/>
      <c r="GD1360" s="120"/>
      <c r="GE1360" s="120"/>
      <c r="GF1360" s="120"/>
      <c r="GG1360" s="120"/>
      <c r="GH1360" s="120"/>
      <c r="GI1360" s="120"/>
      <c r="GJ1360" s="120"/>
      <c r="GK1360" s="120"/>
      <c r="GL1360" s="120"/>
      <c r="GM1360" s="120"/>
      <c r="GN1360" s="120"/>
      <c r="GO1360" s="120"/>
      <c r="GP1360" s="120"/>
      <c r="GQ1360" s="120"/>
      <c r="GR1360" s="120"/>
      <c r="GS1360" s="120"/>
      <c r="GT1360" s="120"/>
      <c r="GU1360" s="120"/>
      <c r="GV1360" s="120"/>
      <c r="GW1360" s="120"/>
      <c r="GX1360" s="120"/>
      <c r="GY1360" s="120"/>
      <c r="GZ1360" s="120"/>
      <c r="HA1360" s="120"/>
      <c r="HB1360" s="120"/>
      <c r="HC1360" s="120"/>
      <c r="HD1360" s="120"/>
      <c r="HE1360" s="120"/>
      <c r="HF1360" s="120"/>
      <c r="HG1360" s="120"/>
      <c r="HH1360" s="120"/>
      <c r="HI1360" s="120"/>
      <c r="HJ1360" s="120"/>
      <c r="HK1360" s="120"/>
      <c r="HL1360" s="120"/>
      <c r="HM1360" s="120"/>
      <c r="HN1360" s="120"/>
      <c r="HO1360" s="120"/>
      <c r="HP1360" s="120"/>
      <c r="HQ1360" s="120"/>
      <c r="HR1360" s="120"/>
      <c r="HS1360" s="120"/>
      <c r="HT1360" s="120"/>
      <c r="HU1360" s="120"/>
      <c r="HV1360" s="120"/>
      <c r="HW1360" s="120"/>
      <c r="HX1360" s="120"/>
      <c r="HY1360" s="120"/>
      <c r="HZ1360" s="120"/>
      <c r="IA1360" s="120"/>
      <c r="IB1360" s="120"/>
      <c r="IC1360" s="120"/>
      <c r="ID1360" s="120"/>
      <c r="IE1360" s="120"/>
      <c r="IF1360" s="120"/>
      <c r="IG1360" s="120"/>
      <c r="IH1360" s="120"/>
      <c r="II1360" s="120"/>
      <c r="IJ1360" s="120"/>
      <c r="IK1360" s="120"/>
      <c r="IL1360" s="120"/>
      <c r="IM1360" s="120"/>
      <c r="IN1360" s="120"/>
      <c r="IO1360" s="120"/>
      <c r="IP1360" s="120"/>
      <c r="IQ1360" s="120"/>
      <c r="IR1360" s="120"/>
      <c r="IS1360" s="120"/>
      <c r="IT1360" s="120"/>
      <c r="IU1360" s="120"/>
      <c r="IV1360" s="120"/>
      <c r="IW1360" s="120"/>
      <c r="IX1360" s="120"/>
      <c r="IY1360" s="120"/>
      <c r="IZ1360" s="120"/>
      <c r="JA1360" s="120"/>
      <c r="JB1360" s="120"/>
      <c r="JC1360" s="120"/>
      <c r="JD1360" s="120"/>
      <c r="JE1360" s="120"/>
      <c r="JF1360" s="120"/>
      <c r="JG1360" s="120"/>
      <c r="JH1360" s="120"/>
      <c r="JI1360" s="120"/>
      <c r="JJ1360" s="120"/>
      <c r="JK1360" s="120"/>
      <c r="JL1360" s="120"/>
      <c r="JM1360" s="120"/>
      <c r="JN1360" s="120"/>
      <c r="JO1360" s="120"/>
      <c r="JP1360" s="120"/>
      <c r="JQ1360" s="120"/>
      <c r="JR1360" s="120"/>
      <c r="JS1360" s="120"/>
      <c r="JT1360" s="120"/>
      <c r="JU1360" s="120"/>
      <c r="JV1360" s="120"/>
      <c r="JW1360" s="120"/>
      <c r="JX1360" s="120"/>
      <c r="JY1360" s="120"/>
      <c r="JZ1360" s="120"/>
      <c r="KA1360" s="120"/>
      <c r="KB1360" s="120"/>
      <c r="KC1360" s="120"/>
      <c r="KD1360" s="120"/>
      <c r="KE1360" s="120"/>
      <c r="KF1360" s="120"/>
      <c r="KG1360" s="120"/>
      <c r="KH1360" s="120"/>
      <c r="KI1360" s="120"/>
      <c r="KJ1360" s="120"/>
      <c r="KK1360" s="120"/>
      <c r="KL1360" s="120"/>
      <c r="KM1360" s="120"/>
      <c r="KN1360" s="120"/>
      <c r="KO1360" s="120"/>
      <c r="KP1360" s="120"/>
      <c r="KQ1360" s="120"/>
      <c r="KR1360" s="120"/>
      <c r="KS1360" s="120"/>
      <c r="KT1360" s="120"/>
      <c r="KU1360" s="120"/>
      <c r="KV1360" s="120"/>
      <c r="KW1360" s="120"/>
      <c r="KX1360" s="120"/>
      <c r="KY1360" s="120"/>
      <c r="KZ1360" s="120"/>
      <c r="LA1360" s="120"/>
      <c r="LB1360" s="120"/>
      <c r="LC1360" s="120"/>
      <c r="LD1360" s="120"/>
      <c r="LE1360" s="120"/>
      <c r="LF1360" s="120"/>
      <c r="LG1360" s="120"/>
      <c r="LH1360" s="120"/>
      <c r="LI1360" s="120"/>
      <c r="LJ1360" s="120"/>
      <c r="LK1360" s="120"/>
      <c r="LL1360" s="120"/>
      <c r="LM1360" s="120"/>
      <c r="LN1360" s="120"/>
      <c r="LO1360" s="120"/>
      <c r="LP1360" s="120"/>
      <c r="LQ1360" s="120"/>
      <c r="LR1360" s="120"/>
      <c r="LS1360" s="120"/>
      <c r="LT1360" s="120"/>
      <c r="LU1360" s="120"/>
      <c r="LV1360" s="120"/>
      <c r="LW1360" s="120"/>
      <c r="LX1360" s="120"/>
      <c r="LY1360" s="120"/>
      <c r="LZ1360" s="120"/>
      <c r="MA1360" s="120"/>
      <c r="MB1360" s="120"/>
      <c r="MC1360" s="120"/>
      <c r="MD1360" s="120"/>
      <c r="ME1360" s="120"/>
      <c r="MF1360" s="120"/>
      <c r="MG1360" s="120"/>
      <c r="MH1360" s="120"/>
      <c r="MI1360" s="120"/>
      <c r="MJ1360" s="120"/>
      <c r="MK1360" s="120"/>
      <c r="ML1360" s="120"/>
      <c r="MM1360" s="120"/>
      <c r="MN1360" s="120"/>
      <c r="MO1360" s="120"/>
      <c r="MP1360" s="120"/>
      <c r="MQ1360" s="120"/>
      <c r="MR1360" s="120"/>
      <c r="MS1360" s="120"/>
      <c r="MT1360" s="120"/>
      <c r="MU1360" s="120"/>
      <c r="MV1360" s="120"/>
      <c r="MW1360" s="120"/>
      <c r="MX1360" s="120"/>
      <c r="MY1360" s="120"/>
      <c r="MZ1360" s="120"/>
      <c r="NA1360" s="120"/>
      <c r="NB1360" s="120"/>
      <c r="NC1360" s="120"/>
      <c r="ND1360" s="120"/>
      <c r="NE1360" s="120"/>
      <c r="NF1360" s="120"/>
      <c r="NG1360" s="120"/>
      <c r="NH1360" s="120"/>
      <c r="NI1360" s="120"/>
      <c r="NJ1360" s="120"/>
      <c r="NK1360" s="120"/>
      <c r="NL1360" s="120"/>
      <c r="NM1360" s="120"/>
      <c r="NN1360" s="120"/>
      <c r="NO1360" s="120"/>
      <c r="NP1360" s="120"/>
      <c r="NQ1360" s="120"/>
      <c r="NR1360" s="120"/>
      <c r="NS1360" s="120"/>
      <c r="NT1360" s="120"/>
      <c r="NU1360" s="120"/>
      <c r="NV1360" s="120"/>
      <c r="NW1360" s="120"/>
      <c r="NX1360" s="120"/>
      <c r="NY1360" s="120"/>
      <c r="NZ1360" s="120"/>
      <c r="OA1360" s="120"/>
      <c r="OB1360" s="120"/>
      <c r="OC1360" s="120"/>
      <c r="OD1360" s="120"/>
      <c r="OE1360" s="120"/>
      <c r="OF1360" s="120"/>
      <c r="OG1360" s="120"/>
      <c r="OH1360" s="120"/>
      <c r="OI1360" s="120"/>
      <c r="OJ1360" s="120"/>
      <c r="OK1360" s="120"/>
      <c r="OL1360" s="120"/>
      <c r="OM1360" s="120"/>
      <c r="ON1360" s="120"/>
      <c r="OO1360" s="120"/>
      <c r="OP1360" s="120"/>
      <c r="OQ1360" s="120"/>
      <c r="OR1360" s="120"/>
      <c r="OS1360" s="120"/>
      <c r="OT1360" s="120"/>
      <c r="OU1360" s="120"/>
      <c r="OV1360" s="120"/>
      <c r="OW1360" s="120"/>
      <c r="OX1360" s="120"/>
      <c r="OY1360" s="120"/>
      <c r="OZ1360" s="120"/>
      <c r="PA1360" s="120"/>
      <c r="PB1360" s="120"/>
      <c r="PC1360" s="120"/>
      <c r="PD1360" s="120"/>
      <c r="PE1360" s="120"/>
      <c r="PF1360" s="120"/>
      <c r="PG1360" s="120"/>
      <c r="PH1360" s="120"/>
      <c r="PI1360" s="120"/>
      <c r="PJ1360" s="120"/>
      <c r="PK1360" s="120"/>
      <c r="PL1360" s="120"/>
      <c r="PM1360" s="120"/>
      <c r="PN1360" s="120"/>
      <c r="PO1360" s="120"/>
      <c r="PP1360" s="120"/>
      <c r="PQ1360" s="120"/>
      <c r="PR1360" s="120"/>
      <c r="PS1360" s="120"/>
      <c r="PT1360" s="120"/>
      <c r="PU1360" s="120"/>
      <c r="PV1360" s="120"/>
      <c r="PW1360" s="120"/>
      <c r="PX1360" s="120"/>
      <c r="PY1360" s="120"/>
      <c r="PZ1360" s="120"/>
      <c r="QA1360" s="120"/>
      <c r="QB1360" s="120"/>
      <c r="QC1360" s="120"/>
      <c r="QD1360" s="120"/>
      <c r="QE1360" s="120"/>
      <c r="QF1360" s="120"/>
      <c r="QG1360" s="120"/>
      <c r="QH1360" s="120"/>
      <c r="QI1360" s="120"/>
      <c r="QJ1360" s="120"/>
      <c r="QK1360" s="120"/>
      <c r="QL1360" s="120"/>
      <c r="QM1360" s="120"/>
      <c r="QN1360" s="120"/>
      <c r="QO1360" s="120"/>
      <c r="QP1360" s="120"/>
      <c r="QQ1360" s="120"/>
      <c r="QR1360" s="120"/>
      <c r="QS1360" s="120"/>
      <c r="QT1360" s="120"/>
      <c r="QU1360" s="120"/>
      <c r="QV1360" s="120"/>
      <c r="QW1360" s="120"/>
      <c r="QX1360" s="120"/>
      <c r="QY1360" s="120"/>
      <c r="QZ1360" s="120"/>
      <c r="RA1360" s="120"/>
      <c r="RB1360" s="120"/>
      <c r="RC1360" s="120"/>
      <c r="RD1360" s="120"/>
      <c r="RE1360" s="120"/>
      <c r="RF1360" s="120"/>
      <c r="RG1360" s="120"/>
      <c r="RH1360" s="120"/>
      <c r="RI1360" s="120"/>
      <c r="RJ1360" s="120"/>
      <c r="RK1360" s="120"/>
      <c r="RL1360" s="120"/>
      <c r="RM1360" s="120"/>
      <c r="RN1360" s="120"/>
      <c r="RO1360" s="120"/>
      <c r="RP1360" s="120"/>
      <c r="RQ1360" s="120"/>
      <c r="RR1360" s="120"/>
      <c r="RS1360" s="120"/>
      <c r="RT1360" s="120"/>
      <c r="RU1360" s="120"/>
      <c r="RV1360" s="120"/>
      <c r="RW1360" s="120"/>
      <c r="RX1360" s="120"/>
      <c r="RY1360" s="120"/>
      <c r="RZ1360" s="120"/>
      <c r="SA1360" s="120"/>
      <c r="SB1360" s="120"/>
      <c r="SC1360" s="120"/>
      <c r="SD1360" s="120"/>
      <c r="SE1360" s="120"/>
      <c r="SF1360" s="120"/>
      <c r="SG1360" s="120"/>
      <c r="SH1360" s="120"/>
      <c r="SI1360" s="120"/>
      <c r="SJ1360" s="120"/>
      <c r="SK1360" s="120"/>
      <c r="SL1360" s="120"/>
      <c r="SM1360" s="120"/>
      <c r="SN1360" s="120"/>
      <c r="SO1360" s="120"/>
      <c r="SP1360" s="120"/>
      <c r="SQ1360" s="120"/>
      <c r="SR1360" s="120"/>
      <c r="SS1360" s="120"/>
      <c r="ST1360" s="120"/>
      <c r="SU1360" s="120"/>
      <c r="SV1360" s="120"/>
      <c r="SW1360" s="120"/>
      <c r="SX1360" s="120"/>
      <c r="SY1360" s="120"/>
      <c r="SZ1360" s="120"/>
      <c r="TA1360" s="120"/>
      <c r="TB1360" s="120"/>
      <c r="TC1360" s="120"/>
      <c r="TD1360" s="120"/>
      <c r="TE1360" s="120"/>
      <c r="TF1360" s="120"/>
      <c r="TG1360" s="120"/>
      <c r="TH1360" s="120"/>
      <c r="TI1360" s="120"/>
      <c r="TJ1360" s="120"/>
      <c r="TK1360" s="120"/>
      <c r="TL1360" s="120"/>
      <c r="TM1360" s="120"/>
      <c r="TN1360" s="120"/>
      <c r="TO1360" s="120"/>
      <c r="TP1360" s="120"/>
      <c r="TQ1360" s="120"/>
      <c r="TR1360" s="120"/>
      <c r="TS1360" s="120"/>
      <c r="TT1360" s="120"/>
      <c r="TU1360" s="120"/>
      <c r="TV1360" s="120"/>
      <c r="TW1360" s="120"/>
      <c r="TX1360" s="120"/>
      <c r="TY1360" s="120"/>
      <c r="TZ1360" s="120"/>
      <c r="UA1360" s="120"/>
      <c r="UB1360" s="120"/>
      <c r="UC1360" s="120"/>
      <c r="UD1360" s="120"/>
      <c r="UE1360" s="120"/>
      <c r="UF1360" s="120"/>
      <c r="UG1360" s="120"/>
      <c r="UH1360" s="120"/>
      <c r="UI1360" s="120"/>
      <c r="UJ1360" s="120"/>
      <c r="UK1360" s="120"/>
      <c r="UL1360" s="120"/>
      <c r="UM1360" s="120"/>
      <c r="UN1360" s="120"/>
      <c r="UO1360" s="120"/>
      <c r="UP1360" s="120"/>
      <c r="UQ1360" s="120"/>
      <c r="UR1360" s="120"/>
      <c r="US1360" s="120"/>
      <c r="UT1360" s="120"/>
      <c r="UU1360" s="120"/>
      <c r="UV1360" s="120"/>
      <c r="UW1360" s="120"/>
      <c r="UX1360" s="120"/>
      <c r="UY1360" s="120"/>
      <c r="UZ1360" s="120"/>
      <c r="VA1360" s="120"/>
      <c r="VB1360" s="120"/>
      <c r="VC1360" s="120"/>
      <c r="VD1360" s="120"/>
      <c r="VE1360" s="120"/>
      <c r="VF1360" s="120"/>
      <c r="VG1360" s="120"/>
      <c r="VH1360" s="120"/>
      <c r="VI1360" s="120"/>
      <c r="VJ1360" s="120"/>
      <c r="VK1360" s="120"/>
      <c r="VL1360" s="120"/>
      <c r="VM1360" s="120"/>
      <c r="VN1360" s="120"/>
      <c r="VO1360" s="120"/>
      <c r="VP1360" s="120"/>
      <c r="VQ1360" s="120"/>
      <c r="VR1360" s="120"/>
      <c r="VS1360" s="120"/>
      <c r="VT1360" s="120"/>
      <c r="VU1360" s="120"/>
      <c r="VV1360" s="120"/>
      <c r="VW1360" s="120"/>
      <c r="VX1360" s="120"/>
      <c r="VY1360" s="120"/>
      <c r="VZ1360" s="120"/>
      <c r="WA1360" s="120"/>
      <c r="WB1360" s="120"/>
      <c r="WC1360" s="120"/>
      <c r="WD1360" s="120"/>
      <c r="WE1360" s="120"/>
      <c r="WF1360" s="120"/>
      <c r="WG1360" s="120"/>
      <c r="WH1360" s="120"/>
      <c r="WI1360" s="120"/>
      <c r="WJ1360" s="120"/>
      <c r="WK1360" s="120"/>
      <c r="WL1360" s="120"/>
      <c r="WM1360" s="120"/>
      <c r="WN1360" s="120"/>
      <c r="WO1360" s="120"/>
      <c r="WP1360" s="120"/>
      <c r="WQ1360" s="120"/>
      <c r="WR1360" s="120"/>
      <c r="WS1360" s="120"/>
      <c r="WT1360" s="120"/>
      <c r="WU1360" s="120"/>
      <c r="WV1360" s="120"/>
      <c r="WW1360" s="120"/>
      <c r="WX1360" s="120"/>
      <c r="WY1360" s="120"/>
      <c r="WZ1360" s="120"/>
      <c r="XA1360" s="120"/>
      <c r="XB1360" s="120"/>
      <c r="XC1360" s="120"/>
      <c r="XD1360" s="120"/>
      <c r="XE1360" s="120"/>
      <c r="XF1360" s="120"/>
      <c r="XG1360" s="120"/>
      <c r="XH1360" s="120"/>
      <c r="XI1360" s="120"/>
      <c r="XJ1360" s="120"/>
      <c r="XK1360" s="120"/>
      <c r="XL1360" s="120"/>
      <c r="XM1360" s="120"/>
      <c r="XN1360" s="120"/>
      <c r="XO1360" s="120"/>
      <c r="XP1360" s="120"/>
      <c r="XQ1360" s="120"/>
      <c r="XR1360" s="120"/>
      <c r="XS1360" s="120"/>
      <c r="XT1360" s="120"/>
      <c r="XU1360" s="120"/>
      <c r="XV1360" s="120"/>
      <c r="XW1360" s="120"/>
      <c r="XX1360" s="120"/>
      <c r="XY1360" s="120"/>
      <c r="XZ1360" s="120"/>
      <c r="YA1360" s="120"/>
      <c r="YB1360" s="120"/>
      <c r="YC1360" s="120"/>
      <c r="YD1360" s="120"/>
      <c r="YE1360" s="120"/>
      <c r="YF1360" s="120"/>
      <c r="YG1360" s="120"/>
      <c r="YH1360" s="120"/>
      <c r="YI1360" s="120"/>
      <c r="YJ1360" s="120"/>
      <c r="YK1360" s="120"/>
      <c r="YL1360" s="120"/>
      <c r="YM1360" s="120"/>
      <c r="YN1360" s="120"/>
      <c r="YO1360" s="120"/>
      <c r="YP1360" s="120"/>
      <c r="YQ1360" s="120"/>
      <c r="YR1360" s="120"/>
      <c r="YS1360" s="120"/>
      <c r="YT1360" s="120"/>
      <c r="YU1360" s="120"/>
      <c r="YV1360" s="120"/>
      <c r="YW1360" s="120"/>
      <c r="YX1360" s="120"/>
      <c r="YY1360" s="120"/>
      <c r="YZ1360" s="120"/>
      <c r="ZA1360" s="120"/>
      <c r="ZB1360" s="120"/>
      <c r="ZC1360" s="120"/>
      <c r="ZD1360" s="120"/>
      <c r="ZE1360" s="120"/>
      <c r="ZF1360" s="120"/>
      <c r="ZG1360" s="120"/>
      <c r="ZH1360" s="120"/>
      <c r="ZI1360" s="120"/>
      <c r="ZJ1360" s="120"/>
      <c r="ZK1360" s="120"/>
      <c r="ZL1360" s="120"/>
      <c r="ZM1360" s="120"/>
      <c r="ZN1360" s="120"/>
      <c r="ZO1360" s="120"/>
      <c r="ZP1360" s="120"/>
      <c r="ZQ1360" s="120"/>
      <c r="ZR1360" s="120"/>
      <c r="ZS1360" s="120"/>
      <c r="ZT1360" s="120"/>
      <c r="ZU1360" s="120"/>
      <c r="ZV1360" s="120"/>
      <c r="ZW1360" s="120"/>
      <c r="ZX1360" s="120"/>
      <c r="ZY1360" s="120"/>
      <c r="ZZ1360" s="120"/>
      <c r="AAA1360" s="120"/>
      <c r="AAB1360" s="120"/>
      <c r="AAC1360" s="120"/>
      <c r="AAD1360" s="120"/>
      <c r="AAE1360" s="120"/>
      <c r="AAF1360" s="120"/>
      <c r="AAG1360" s="120"/>
      <c r="AAH1360" s="120"/>
      <c r="AAI1360" s="120"/>
      <c r="AAJ1360" s="120"/>
      <c r="AAK1360" s="120"/>
      <c r="AAL1360" s="120"/>
      <c r="AAM1360" s="120"/>
      <c r="AAN1360" s="120"/>
      <c r="AAO1360" s="120"/>
      <c r="AAP1360" s="120"/>
      <c r="AAQ1360" s="120"/>
      <c r="AAR1360" s="120"/>
      <c r="AAS1360" s="120"/>
      <c r="AAT1360" s="120"/>
      <c r="AAU1360" s="120"/>
      <c r="AAV1360" s="120"/>
      <c r="AAW1360" s="120"/>
      <c r="AAX1360" s="120"/>
      <c r="AAY1360" s="120"/>
      <c r="AAZ1360" s="120"/>
      <c r="ABA1360" s="120"/>
      <c r="ABB1360" s="120"/>
      <c r="ABC1360" s="120"/>
      <c r="ABD1360" s="120"/>
      <c r="ABE1360" s="120"/>
      <c r="ABF1360" s="120"/>
      <c r="ABG1360" s="120"/>
      <c r="ABH1360" s="120"/>
      <c r="ABI1360" s="120"/>
      <c r="ABJ1360" s="120"/>
      <c r="ABK1360" s="120"/>
      <c r="ABL1360" s="120"/>
      <c r="ABM1360" s="120"/>
      <c r="ABN1360" s="120"/>
      <c r="ABO1360" s="120"/>
      <c r="ABP1360" s="120"/>
      <c r="ABQ1360" s="120"/>
      <c r="ABR1360" s="120"/>
      <c r="ABS1360" s="120"/>
      <c r="ABT1360" s="120"/>
      <c r="ABU1360" s="120"/>
      <c r="ABV1360" s="120"/>
      <c r="ABW1360" s="120"/>
      <c r="ABX1360" s="120"/>
      <c r="ABY1360" s="120"/>
      <c r="ABZ1360" s="120"/>
      <c r="ACA1360" s="120"/>
      <c r="ACB1360" s="120"/>
      <c r="ACC1360" s="120"/>
      <c r="ACD1360" s="120"/>
      <c r="ACE1360" s="120"/>
      <c r="ACF1360" s="120"/>
      <c r="ACG1360" s="120"/>
      <c r="ACH1360" s="120"/>
      <c r="ACI1360" s="120"/>
      <c r="ACJ1360" s="120"/>
      <c r="ACK1360" s="120"/>
      <c r="ACL1360" s="120"/>
      <c r="ACM1360" s="120"/>
      <c r="ACN1360" s="120"/>
      <c r="ACO1360" s="120"/>
      <c r="ACP1360" s="120"/>
      <c r="ACQ1360" s="120"/>
      <c r="ACR1360" s="120"/>
      <c r="ACS1360" s="120"/>
      <c r="ACT1360" s="120"/>
      <c r="ACU1360" s="120"/>
      <c r="ACV1360" s="120"/>
      <c r="ACW1360" s="120"/>
      <c r="ACX1360" s="120"/>
      <c r="ACY1360" s="120"/>
      <c r="ACZ1360" s="120"/>
      <c r="ADA1360" s="120"/>
      <c r="ADB1360" s="120"/>
      <c r="ADC1360" s="120"/>
      <c r="ADD1360" s="120"/>
      <c r="ADE1360" s="120"/>
      <c r="ADF1360" s="120"/>
      <c r="ADG1360" s="120"/>
      <c r="ADH1360" s="120"/>
      <c r="ADI1360" s="120"/>
      <c r="ADJ1360" s="120"/>
      <c r="ADK1360" s="120"/>
      <c r="ADL1360" s="120"/>
      <c r="ADM1360" s="120"/>
      <c r="ADN1360" s="120"/>
      <c r="ADO1360" s="120"/>
      <c r="ADP1360" s="120"/>
      <c r="ADQ1360" s="120"/>
      <c r="ADR1360" s="120"/>
      <c r="ADS1360" s="120"/>
      <c r="ADT1360" s="120"/>
      <c r="ADU1360" s="120"/>
      <c r="ADV1360" s="120"/>
      <c r="ADW1360" s="120"/>
      <c r="ADX1360" s="120"/>
      <c r="ADY1360" s="120"/>
      <c r="ADZ1360" s="120"/>
      <c r="AEA1360" s="120"/>
      <c r="AEB1360" s="120"/>
      <c r="AEC1360" s="120"/>
      <c r="AED1360" s="120"/>
      <c r="AEE1360" s="120"/>
      <c r="AEF1360" s="120"/>
      <c r="AEG1360" s="120"/>
      <c r="AEH1360" s="120"/>
      <c r="AEI1360" s="120"/>
      <c r="AEJ1360" s="120"/>
      <c r="AEK1360" s="120"/>
      <c r="AEL1360" s="120"/>
      <c r="AEM1360" s="120"/>
      <c r="AEN1360" s="120"/>
      <c r="AEO1360" s="120"/>
      <c r="AEP1360" s="120"/>
      <c r="AEQ1360" s="120"/>
      <c r="AER1360" s="120"/>
      <c r="AES1360" s="120"/>
      <c r="AET1360" s="120"/>
      <c r="AEU1360" s="120"/>
      <c r="AEV1360" s="120"/>
      <c r="AEW1360" s="120"/>
      <c r="AEX1360" s="120"/>
      <c r="AEY1360" s="120"/>
      <c r="AEZ1360" s="120"/>
      <c r="AFA1360" s="120"/>
      <c r="AFB1360" s="120"/>
      <c r="AFC1360" s="120"/>
      <c r="AFD1360" s="120"/>
      <c r="AFE1360" s="120"/>
      <c r="AFF1360" s="120"/>
      <c r="AFG1360" s="120"/>
      <c r="AFH1360" s="120"/>
      <c r="AFI1360" s="120"/>
      <c r="AFJ1360" s="120"/>
      <c r="AFK1360" s="120"/>
      <c r="AFL1360" s="120"/>
      <c r="AFM1360" s="120"/>
      <c r="AFN1360" s="120"/>
      <c r="AFO1360" s="120"/>
      <c r="AFP1360" s="120"/>
      <c r="AFQ1360" s="120"/>
      <c r="AFR1360" s="120"/>
      <c r="AFS1360" s="120"/>
      <c r="AFT1360" s="120"/>
      <c r="AFU1360" s="120"/>
      <c r="AFV1360" s="120"/>
      <c r="AFW1360" s="120"/>
      <c r="AFX1360" s="120"/>
      <c r="AFY1360" s="120"/>
      <c r="AFZ1360" s="120"/>
      <c r="AGA1360" s="120"/>
      <c r="AGB1360" s="120"/>
      <c r="AGC1360" s="120"/>
      <c r="AGD1360" s="120"/>
      <c r="AGE1360" s="120"/>
      <c r="AGF1360" s="120"/>
      <c r="AGG1360" s="120"/>
      <c r="AGH1360" s="120"/>
      <c r="AGI1360" s="120"/>
      <c r="AGJ1360" s="120"/>
      <c r="AGK1360" s="120"/>
      <c r="AGL1360" s="120"/>
      <c r="AGM1360" s="120"/>
      <c r="AGN1360" s="120"/>
      <c r="AGO1360" s="120"/>
      <c r="AGP1360" s="120"/>
      <c r="AGQ1360" s="120"/>
      <c r="AGR1360" s="120"/>
      <c r="AGS1360" s="120"/>
      <c r="AGT1360" s="120"/>
      <c r="AGU1360" s="120"/>
      <c r="AGV1360" s="120"/>
      <c r="AGW1360" s="120"/>
      <c r="AGX1360" s="120"/>
      <c r="AGY1360" s="120"/>
      <c r="AGZ1360" s="120"/>
      <c r="AHA1360" s="120"/>
      <c r="AHB1360" s="120"/>
      <c r="AHC1360" s="120"/>
      <c r="AHD1360" s="120"/>
      <c r="AHE1360" s="120"/>
      <c r="AHF1360" s="120"/>
      <c r="AHG1360" s="120"/>
      <c r="AHH1360" s="120"/>
      <c r="AHI1360" s="120"/>
      <c r="AHJ1360" s="120"/>
      <c r="AHK1360" s="120"/>
      <c r="AHL1360" s="120"/>
      <c r="AHM1360" s="120"/>
      <c r="AHN1360" s="120"/>
      <c r="AHO1360" s="120"/>
      <c r="AHP1360" s="120"/>
      <c r="AHQ1360" s="120"/>
      <c r="AHR1360" s="120"/>
      <c r="AHS1360" s="120"/>
      <c r="AHT1360" s="120"/>
      <c r="AHU1360" s="120"/>
      <c r="AHV1360" s="120"/>
      <c r="AHW1360" s="120"/>
      <c r="AHX1360" s="120"/>
      <c r="AHY1360" s="120"/>
      <c r="AHZ1360" s="120"/>
      <c r="AIA1360" s="120"/>
      <c r="AIB1360" s="120"/>
      <c r="AIC1360" s="120"/>
      <c r="AID1360" s="120"/>
      <c r="AIE1360" s="120"/>
      <c r="AIF1360" s="120"/>
      <c r="AIG1360" s="120"/>
      <c r="AIH1360" s="120"/>
      <c r="AII1360" s="120"/>
      <c r="AIJ1360" s="120"/>
      <c r="AIK1360" s="120"/>
      <c r="AIL1360" s="120"/>
      <c r="AIM1360" s="120"/>
      <c r="AIN1360" s="120"/>
      <c r="AIO1360" s="120"/>
      <c r="AIP1360" s="120"/>
      <c r="AIQ1360" s="120"/>
      <c r="AIR1360" s="120"/>
      <c r="AIS1360" s="120"/>
      <c r="AIT1360" s="120"/>
      <c r="AIU1360" s="120"/>
      <c r="AIV1360" s="120"/>
      <c r="AIW1360" s="120"/>
      <c r="AIX1360" s="120"/>
      <c r="AIY1360" s="120"/>
      <c r="AIZ1360" s="120"/>
      <c r="AJA1360" s="120"/>
      <c r="AJB1360" s="120"/>
      <c r="AJC1360" s="120"/>
      <c r="AJD1360" s="120"/>
      <c r="AJE1360" s="120"/>
      <c r="AJF1360" s="120"/>
      <c r="AJG1360" s="120"/>
      <c r="AJH1360" s="120"/>
      <c r="AJI1360" s="120"/>
      <c r="AJJ1360" s="120"/>
      <c r="AJK1360" s="120"/>
      <c r="AJL1360" s="120"/>
      <c r="AJM1360" s="120"/>
      <c r="AJN1360" s="120"/>
      <c r="AJO1360" s="120"/>
      <c r="AJP1360" s="120"/>
      <c r="AJQ1360" s="120"/>
      <c r="AJR1360" s="120"/>
      <c r="AJS1360" s="120"/>
      <c r="AJT1360" s="120"/>
      <c r="AJU1360" s="120"/>
      <c r="AJV1360" s="120"/>
      <c r="AJW1360" s="120"/>
      <c r="AJX1360" s="120"/>
      <c r="AJY1360" s="120"/>
      <c r="AJZ1360" s="120"/>
      <c r="AKA1360" s="120"/>
      <c r="AKB1360" s="120"/>
      <c r="AKC1360" s="120"/>
      <c r="AKD1360" s="120"/>
      <c r="AKE1360" s="120"/>
      <c r="AKF1360" s="120"/>
      <c r="AKG1360" s="120"/>
      <c r="AKH1360" s="120"/>
      <c r="AKI1360" s="120"/>
      <c r="AKJ1360" s="120"/>
      <c r="AKK1360" s="120"/>
      <c r="AKL1360" s="120"/>
      <c r="AKM1360" s="120"/>
      <c r="AKN1360" s="120"/>
      <c r="AKO1360" s="120"/>
      <c r="AKP1360" s="120"/>
      <c r="AKQ1360" s="120"/>
      <c r="AKR1360" s="120"/>
      <c r="AKS1360" s="120"/>
      <c r="AKT1360" s="120"/>
      <c r="AKU1360" s="120"/>
      <c r="AKV1360" s="120"/>
      <c r="AKW1360" s="120"/>
      <c r="AKX1360" s="120"/>
      <c r="AKY1360" s="120"/>
      <c r="AKZ1360" s="120"/>
      <c r="ALA1360" s="120"/>
      <c r="ALB1360" s="120"/>
      <c r="ALC1360" s="120"/>
      <c r="ALD1360" s="120"/>
      <c r="ALE1360" s="120"/>
      <c r="ALF1360" s="120"/>
      <c r="ALG1360" s="120"/>
      <c r="ALH1360" s="120"/>
      <c r="ALI1360" s="120"/>
      <c r="ALJ1360" s="120"/>
      <c r="ALK1360" s="120"/>
      <c r="ALL1360" s="120"/>
      <c r="ALM1360" s="120"/>
      <c r="ALN1360" s="120"/>
      <c r="ALO1360" s="120"/>
      <c r="ALP1360" s="120"/>
      <c r="ALQ1360" s="120"/>
      <c r="ALR1360" s="120"/>
      <c r="ALS1360" s="120"/>
      <c r="ALT1360" s="120"/>
      <c r="ALU1360" s="120"/>
      <c r="ALV1360" s="120"/>
      <c r="ALW1360" s="120"/>
      <c r="ALX1360" s="120"/>
      <c r="ALY1360" s="120"/>
      <c r="ALZ1360" s="120"/>
      <c r="AMA1360" s="120"/>
      <c r="AMB1360" s="120"/>
      <c r="AMC1360" s="120"/>
      <c r="AMD1360" s="120"/>
      <c r="AME1360" s="120"/>
      <c r="AMF1360" s="120"/>
      <c r="AMG1360" s="120"/>
      <c r="AMH1360" s="120"/>
      <c r="AMI1360" s="120"/>
      <c r="AMJ1360" s="120"/>
      <c r="AMK1360" s="120"/>
      <c r="AML1360" s="120"/>
      <c r="AMM1360" s="120"/>
      <c r="AMN1360" s="120"/>
      <c r="AMO1360" s="120"/>
      <c r="AMP1360" s="120"/>
      <c r="AMQ1360" s="120"/>
      <c r="AMR1360" s="120"/>
      <c r="AMS1360" s="120"/>
      <c r="AMT1360" s="120"/>
      <c r="AMU1360" s="120"/>
      <c r="AMV1360" s="120"/>
      <c r="AMW1360" s="120"/>
      <c r="AMX1360" s="120"/>
      <c r="AMY1360" s="120"/>
      <c r="AMZ1360" s="120"/>
      <c r="ANA1360" s="120"/>
      <c r="ANB1360" s="120"/>
      <c r="ANC1360" s="120"/>
      <c r="AND1360" s="120"/>
      <c r="ANE1360" s="120"/>
      <c r="ANF1360" s="120"/>
      <c r="ANG1360" s="120"/>
      <c r="ANH1360" s="120"/>
      <c r="ANI1360" s="120"/>
      <c r="ANJ1360" s="120"/>
      <c r="ANK1360" s="120"/>
      <c r="ANL1360" s="120"/>
      <c r="ANM1360" s="120"/>
      <c r="ANN1360" s="120"/>
      <c r="ANO1360" s="120"/>
      <c r="ANP1360" s="120"/>
      <c r="ANQ1360" s="120"/>
      <c r="ANR1360" s="120"/>
      <c r="ANS1360" s="120"/>
      <c r="ANT1360" s="120"/>
      <c r="ANU1360" s="120"/>
      <c r="ANV1360" s="120"/>
      <c r="ANW1360" s="120"/>
      <c r="ANX1360" s="120"/>
      <c r="ANY1360" s="120"/>
      <c r="ANZ1360" s="120"/>
      <c r="AOA1360" s="120"/>
      <c r="AOB1360" s="120"/>
      <c r="AOC1360" s="120"/>
      <c r="AOD1360" s="120"/>
      <c r="AOE1360" s="120"/>
      <c r="AOF1360" s="120"/>
      <c r="AOG1360" s="120"/>
      <c r="AOH1360" s="120"/>
      <c r="AOI1360" s="120"/>
      <c r="AOJ1360" s="120"/>
      <c r="AOK1360" s="120"/>
      <c r="AOL1360" s="120"/>
      <c r="AOM1360" s="120"/>
      <c r="AON1360" s="120"/>
      <c r="AOO1360" s="120"/>
      <c r="AOP1360" s="120"/>
      <c r="AOQ1360" s="120"/>
      <c r="AOR1360" s="120"/>
      <c r="AOS1360" s="120"/>
      <c r="AOT1360" s="120"/>
      <c r="AOU1360" s="120"/>
      <c r="AOV1360" s="120"/>
      <c r="AOW1360" s="120"/>
      <c r="AOX1360" s="120"/>
      <c r="AOY1360" s="120"/>
      <c r="AOZ1360" s="120"/>
      <c r="APA1360" s="120"/>
      <c r="APB1360" s="120"/>
      <c r="APC1360" s="120"/>
      <c r="APD1360" s="120"/>
      <c r="APE1360" s="120"/>
      <c r="APF1360" s="120"/>
      <c r="APG1360" s="120"/>
      <c r="APH1360" s="120"/>
      <c r="API1360" s="120"/>
      <c r="APJ1360" s="120"/>
      <c r="APK1360" s="120"/>
      <c r="APL1360" s="120"/>
      <c r="APM1360" s="120"/>
      <c r="APN1360" s="120"/>
      <c r="APO1360" s="120"/>
      <c r="APP1360" s="120"/>
      <c r="APQ1360" s="120"/>
      <c r="APR1360" s="120"/>
      <c r="APS1360" s="120"/>
      <c r="APT1360" s="120"/>
      <c r="APU1360" s="120"/>
      <c r="APV1360" s="120"/>
      <c r="APW1360" s="120"/>
      <c r="APX1360" s="120"/>
      <c r="APY1360" s="120"/>
      <c r="APZ1360" s="120"/>
      <c r="AQA1360" s="120"/>
      <c r="AQB1360" s="120"/>
      <c r="AQC1360" s="120"/>
      <c r="AQD1360" s="120"/>
      <c r="AQE1360" s="120"/>
      <c r="AQF1360" s="120"/>
      <c r="AQG1360" s="120"/>
      <c r="AQH1360" s="120"/>
      <c r="AQI1360" s="120"/>
      <c r="AQJ1360" s="120"/>
      <c r="AQK1360" s="120"/>
      <c r="AQL1360" s="120"/>
      <c r="AQM1360" s="120"/>
      <c r="AQN1360" s="120"/>
      <c r="AQO1360" s="120"/>
      <c r="AQP1360" s="120"/>
      <c r="AQQ1360" s="120"/>
      <c r="AQR1360" s="120"/>
      <c r="AQS1360" s="120"/>
      <c r="AQT1360" s="120"/>
      <c r="AQU1360" s="120"/>
      <c r="AQV1360" s="120"/>
      <c r="AQW1360" s="120"/>
      <c r="AQX1360" s="120"/>
      <c r="AQY1360" s="120"/>
      <c r="AQZ1360" s="120"/>
      <c r="ARA1360" s="120"/>
      <c r="ARB1360" s="120"/>
      <c r="ARC1360" s="120"/>
      <c r="ARD1360" s="120"/>
      <c r="ARE1360" s="120"/>
      <c r="ARF1360" s="120"/>
      <c r="ARG1360" s="120"/>
      <c r="ARH1360" s="120"/>
      <c r="ARI1360" s="120"/>
      <c r="ARJ1360" s="120"/>
      <c r="ARK1360" s="120"/>
      <c r="ARL1360" s="120"/>
      <c r="ARM1360" s="120"/>
      <c r="ARN1360" s="120"/>
      <c r="ARO1360" s="120"/>
      <c r="ARP1360" s="120"/>
      <c r="ARQ1360" s="120"/>
      <c r="ARR1360" s="120"/>
      <c r="ARS1360" s="120"/>
      <c r="ART1360" s="120"/>
      <c r="ARU1360" s="120"/>
      <c r="ARV1360" s="120"/>
      <c r="ARW1360" s="120"/>
      <c r="ARX1360" s="120"/>
      <c r="ARY1360" s="120"/>
      <c r="ARZ1360" s="120"/>
      <c r="ASA1360" s="120"/>
      <c r="ASB1360" s="120"/>
      <c r="ASC1360" s="120"/>
      <c r="ASD1360" s="120"/>
      <c r="ASE1360" s="120"/>
      <c r="ASF1360" s="120"/>
      <c r="ASG1360" s="120"/>
      <c r="ASH1360" s="120"/>
      <c r="ASI1360" s="120"/>
      <c r="ASJ1360" s="120"/>
      <c r="ASK1360" s="120"/>
      <c r="ASL1360" s="120"/>
      <c r="ASM1360" s="120"/>
      <c r="ASN1360" s="120"/>
      <c r="ASO1360" s="120"/>
      <c r="ASP1360" s="120"/>
      <c r="ASQ1360" s="120"/>
      <c r="ASR1360" s="120"/>
      <c r="ASS1360" s="120"/>
      <c r="AST1360" s="120"/>
      <c r="ASU1360" s="120"/>
      <c r="ASV1360" s="120"/>
      <c r="ASW1360" s="120"/>
      <c r="ASX1360" s="120"/>
      <c r="ASY1360" s="120"/>
      <c r="ASZ1360" s="120"/>
      <c r="ATA1360" s="120"/>
      <c r="ATB1360" s="120"/>
      <c r="ATC1360" s="120"/>
      <c r="ATD1360" s="120"/>
      <c r="ATE1360" s="120"/>
      <c r="ATF1360" s="120"/>
      <c r="ATG1360" s="120"/>
      <c r="ATH1360" s="120"/>
      <c r="ATI1360" s="120"/>
      <c r="ATJ1360" s="120"/>
      <c r="ATK1360" s="120"/>
      <c r="ATL1360" s="120"/>
      <c r="ATM1360" s="120"/>
      <c r="ATN1360" s="120"/>
      <c r="ATO1360" s="120"/>
    </row>
    <row r="1361" spans="1:1211" s="20" customFormat="1" ht="14.1" customHeight="1">
      <c r="A1361" s="112"/>
      <c r="B1361" s="723"/>
      <c r="C1361" s="184" t="s">
        <v>6130</v>
      </c>
      <c r="D1361" s="120"/>
      <c r="E1361" s="701"/>
      <c r="F1361" s="703"/>
      <c r="G1361" s="702"/>
      <c r="H1361" s="702"/>
      <c r="I1361" s="702"/>
      <c r="J1361" s="700"/>
      <c r="K1361" s="112"/>
      <c r="L1361" s="363"/>
      <c r="M1361" s="112"/>
      <c r="N1361" s="362"/>
      <c r="O1361" s="573"/>
      <c r="P1361" s="120"/>
      <c r="Q1361" s="120"/>
      <c r="R1361" s="120"/>
      <c r="S1361" s="120"/>
      <c r="T1361" s="120"/>
      <c r="U1361" s="120"/>
      <c r="V1361" s="120"/>
      <c r="W1361" s="120"/>
      <c r="X1361" s="120"/>
      <c r="Y1361" s="120"/>
      <c r="Z1361" s="120"/>
      <c r="AA1361" s="120"/>
      <c r="AB1361" s="120"/>
      <c r="AC1361" s="120"/>
      <c r="AD1361" s="120"/>
      <c r="AE1361" s="120"/>
      <c r="AF1361" s="120"/>
      <c r="AG1361" s="120"/>
      <c r="AH1361" s="120"/>
      <c r="AI1361" s="120"/>
      <c r="AJ1361" s="120"/>
      <c r="AK1361" s="120"/>
      <c r="AL1361" s="120"/>
      <c r="AM1361" s="120"/>
      <c r="AN1361" s="120"/>
      <c r="AO1361" s="120"/>
      <c r="AP1361" s="120"/>
      <c r="AQ1361" s="120"/>
      <c r="AR1361" s="120"/>
      <c r="AS1361" s="120"/>
      <c r="AT1361" s="120"/>
      <c r="AU1361" s="120"/>
      <c r="AV1361" s="120"/>
      <c r="AW1361" s="120"/>
      <c r="AX1361" s="120"/>
      <c r="AY1361" s="120"/>
      <c r="AZ1361" s="120"/>
      <c r="BA1361" s="120"/>
      <c r="BB1361" s="120"/>
      <c r="BC1361" s="120"/>
      <c r="BD1361" s="120"/>
      <c r="BE1361" s="120"/>
      <c r="BF1361" s="120"/>
      <c r="BG1361" s="120"/>
      <c r="BH1361" s="120"/>
      <c r="BI1361" s="120"/>
      <c r="BJ1361" s="120"/>
      <c r="BK1361" s="120"/>
      <c r="BL1361" s="120"/>
      <c r="BM1361" s="120"/>
      <c r="BN1361" s="120"/>
      <c r="BO1361" s="120"/>
      <c r="BP1361" s="120"/>
      <c r="BQ1361" s="120"/>
      <c r="BR1361" s="120"/>
      <c r="BS1361" s="120"/>
      <c r="BT1361" s="120"/>
      <c r="BU1361" s="120"/>
      <c r="BV1361" s="120"/>
      <c r="BW1361" s="120"/>
      <c r="BX1361" s="120"/>
      <c r="BY1361" s="120"/>
      <c r="BZ1361" s="120"/>
      <c r="CA1361" s="120"/>
      <c r="CB1361" s="120"/>
      <c r="CC1361" s="120"/>
      <c r="CD1361" s="120"/>
      <c r="CE1361" s="120"/>
      <c r="CF1361" s="120"/>
      <c r="CG1361" s="120"/>
      <c r="CH1361" s="120"/>
      <c r="CI1361" s="120"/>
      <c r="CJ1361" s="120"/>
      <c r="CK1361" s="120"/>
      <c r="CL1361" s="120"/>
      <c r="CM1361" s="120"/>
      <c r="CN1361" s="120"/>
      <c r="CO1361" s="120"/>
      <c r="CP1361" s="120"/>
      <c r="CQ1361" s="120"/>
      <c r="CR1361" s="120"/>
      <c r="CS1361" s="120"/>
      <c r="CT1361" s="120"/>
      <c r="CU1361" s="120"/>
      <c r="CV1361" s="120"/>
      <c r="CW1361" s="120"/>
      <c r="CX1361" s="120"/>
      <c r="CY1361" s="120"/>
      <c r="CZ1361" s="120"/>
      <c r="DA1361" s="120"/>
      <c r="DB1361" s="120"/>
      <c r="DC1361" s="120"/>
      <c r="DD1361" s="120"/>
      <c r="DE1361" s="120"/>
      <c r="DF1361" s="120"/>
      <c r="DG1361" s="120"/>
      <c r="DH1361" s="120"/>
      <c r="DI1361" s="120"/>
      <c r="DJ1361" s="120"/>
      <c r="DK1361" s="120"/>
      <c r="DL1361" s="120"/>
      <c r="DM1361" s="120"/>
      <c r="DN1361" s="120"/>
      <c r="DO1361" s="120"/>
      <c r="DP1361" s="120"/>
      <c r="DQ1361" s="120"/>
      <c r="DR1361" s="120"/>
      <c r="DS1361" s="120"/>
      <c r="DT1361" s="120"/>
      <c r="DU1361" s="120"/>
      <c r="DV1361" s="120"/>
      <c r="DW1361" s="120"/>
      <c r="DX1361" s="120"/>
      <c r="DY1361" s="120"/>
      <c r="DZ1361" s="120"/>
      <c r="EA1361" s="120"/>
      <c r="EB1361" s="120"/>
      <c r="EC1361" s="120"/>
      <c r="ED1361" s="120"/>
      <c r="EE1361" s="120"/>
      <c r="EF1361" s="120"/>
      <c r="EG1361" s="120"/>
      <c r="EH1361" s="120"/>
      <c r="EI1361" s="120"/>
      <c r="EJ1361" s="120"/>
      <c r="EK1361" s="120"/>
      <c r="EL1361" s="120"/>
      <c r="EM1361" s="120"/>
      <c r="EN1361" s="120"/>
      <c r="EO1361" s="120"/>
      <c r="EP1361" s="120"/>
      <c r="EQ1361" s="120"/>
      <c r="ER1361" s="120"/>
      <c r="ES1361" s="120"/>
      <c r="ET1361" s="120"/>
      <c r="EU1361" s="120"/>
      <c r="EV1361" s="120"/>
      <c r="EW1361" s="120"/>
      <c r="EX1361" s="120"/>
      <c r="EY1361" s="120"/>
      <c r="EZ1361" s="120"/>
      <c r="FA1361" s="120"/>
      <c r="FB1361" s="120"/>
      <c r="FC1361" s="120"/>
      <c r="FD1361" s="120"/>
      <c r="FE1361" s="120"/>
      <c r="FF1361" s="120"/>
      <c r="FG1361" s="120"/>
      <c r="FH1361" s="120"/>
      <c r="FI1361" s="120"/>
      <c r="FJ1361" s="120"/>
      <c r="FK1361" s="120"/>
      <c r="FL1361" s="120"/>
      <c r="FM1361" s="120"/>
      <c r="FN1361" s="120"/>
      <c r="FO1361" s="120"/>
      <c r="FP1361" s="120"/>
      <c r="FQ1361" s="120"/>
      <c r="FR1361" s="120"/>
      <c r="FS1361" s="120"/>
      <c r="FT1361" s="120"/>
      <c r="FU1361" s="120"/>
      <c r="FV1361" s="120"/>
      <c r="FW1361" s="120"/>
      <c r="FX1361" s="120"/>
      <c r="FY1361" s="120"/>
      <c r="FZ1361" s="120"/>
      <c r="GA1361" s="120"/>
      <c r="GB1361" s="120"/>
      <c r="GC1361" s="120"/>
      <c r="GD1361" s="120"/>
      <c r="GE1361" s="120"/>
      <c r="GF1361" s="120"/>
      <c r="GG1361" s="120"/>
      <c r="GH1361" s="120"/>
      <c r="GI1361" s="120"/>
      <c r="GJ1361" s="120"/>
      <c r="GK1361" s="120"/>
      <c r="GL1361" s="120"/>
      <c r="GM1361" s="120"/>
      <c r="GN1361" s="120"/>
      <c r="GO1361" s="120"/>
      <c r="GP1361" s="120"/>
      <c r="GQ1361" s="120"/>
      <c r="GR1361" s="120"/>
      <c r="GS1361" s="120"/>
      <c r="GT1361" s="120"/>
      <c r="GU1361" s="120"/>
      <c r="GV1361" s="120"/>
      <c r="GW1361" s="120"/>
      <c r="GX1361" s="120"/>
      <c r="GY1361" s="120"/>
      <c r="GZ1361" s="120"/>
      <c r="HA1361" s="120"/>
      <c r="HB1361" s="120"/>
      <c r="HC1361" s="120"/>
      <c r="HD1361" s="120"/>
      <c r="HE1361" s="120"/>
      <c r="HF1361" s="120"/>
      <c r="HG1361" s="120"/>
      <c r="HH1361" s="120"/>
      <c r="HI1361" s="120"/>
      <c r="HJ1361" s="120"/>
      <c r="HK1361" s="120"/>
      <c r="HL1361" s="120"/>
      <c r="HM1361" s="120"/>
      <c r="HN1361" s="120"/>
      <c r="HO1361" s="120"/>
      <c r="HP1361" s="120"/>
      <c r="HQ1361" s="120"/>
      <c r="HR1361" s="120"/>
      <c r="HS1361" s="120"/>
      <c r="HT1361" s="120"/>
      <c r="HU1361" s="120"/>
      <c r="HV1361" s="120"/>
      <c r="HW1361" s="120"/>
      <c r="HX1361" s="120"/>
      <c r="HY1361" s="120"/>
      <c r="HZ1361" s="120"/>
      <c r="IA1361" s="120"/>
      <c r="IB1361" s="120"/>
      <c r="IC1361" s="120"/>
      <c r="ID1361" s="120"/>
      <c r="IE1361" s="120"/>
      <c r="IF1361" s="120"/>
      <c r="IG1361" s="120"/>
      <c r="IH1361" s="120"/>
      <c r="II1361" s="120"/>
      <c r="IJ1361" s="120"/>
      <c r="IK1361" s="120"/>
      <c r="IL1361" s="120"/>
      <c r="IM1361" s="120"/>
      <c r="IN1361" s="120"/>
      <c r="IO1361" s="120"/>
      <c r="IP1361" s="120"/>
      <c r="IQ1361" s="120"/>
      <c r="IR1361" s="120"/>
      <c r="IS1361" s="120"/>
      <c r="IT1361" s="120"/>
      <c r="IU1361" s="120"/>
      <c r="IV1361" s="120"/>
      <c r="IW1361" s="120"/>
      <c r="IX1361" s="120"/>
      <c r="IY1361" s="120"/>
      <c r="IZ1361" s="120"/>
      <c r="JA1361" s="120"/>
      <c r="JB1361" s="120"/>
      <c r="JC1361" s="120"/>
      <c r="JD1361" s="120"/>
      <c r="JE1361" s="120"/>
      <c r="JF1361" s="120"/>
      <c r="JG1361" s="120"/>
      <c r="JH1361" s="120"/>
      <c r="JI1361" s="120"/>
      <c r="JJ1361" s="120"/>
      <c r="JK1361" s="120"/>
      <c r="JL1361" s="120"/>
      <c r="JM1361" s="120"/>
      <c r="JN1361" s="120"/>
      <c r="JO1361" s="120"/>
      <c r="JP1361" s="120"/>
      <c r="JQ1361" s="120"/>
      <c r="JR1361" s="120"/>
      <c r="JS1361" s="120"/>
      <c r="JT1361" s="120"/>
      <c r="JU1361" s="120"/>
      <c r="JV1361" s="120"/>
      <c r="JW1361" s="120"/>
      <c r="JX1361" s="120"/>
      <c r="JY1361" s="120"/>
      <c r="JZ1361" s="120"/>
      <c r="KA1361" s="120"/>
      <c r="KB1361" s="120"/>
      <c r="KC1361" s="120"/>
      <c r="KD1361" s="120"/>
      <c r="KE1361" s="120"/>
      <c r="KF1361" s="120"/>
      <c r="KG1361" s="120"/>
      <c r="KH1361" s="120"/>
      <c r="KI1361" s="120"/>
      <c r="KJ1361" s="120"/>
      <c r="KK1361" s="120"/>
      <c r="KL1361" s="120"/>
      <c r="KM1361" s="120"/>
      <c r="KN1361" s="120"/>
      <c r="KO1361" s="120"/>
      <c r="KP1361" s="120"/>
      <c r="KQ1361" s="120"/>
      <c r="KR1361" s="120"/>
      <c r="KS1361" s="120"/>
      <c r="KT1361" s="120"/>
      <c r="KU1361" s="120"/>
      <c r="KV1361" s="120"/>
      <c r="KW1361" s="120"/>
      <c r="KX1361" s="120"/>
      <c r="KY1361" s="120"/>
      <c r="KZ1361" s="120"/>
      <c r="LA1361" s="120"/>
      <c r="LB1361" s="120"/>
      <c r="LC1361" s="120"/>
      <c r="LD1361" s="120"/>
      <c r="LE1361" s="120"/>
      <c r="LF1361" s="120"/>
      <c r="LG1361" s="120"/>
      <c r="LH1361" s="120"/>
      <c r="LI1361" s="120"/>
      <c r="LJ1361" s="120"/>
      <c r="LK1361" s="120"/>
      <c r="LL1361" s="120"/>
      <c r="LM1361" s="120"/>
      <c r="LN1361" s="120"/>
      <c r="LO1361" s="120"/>
      <c r="LP1361" s="120"/>
      <c r="LQ1361" s="120"/>
      <c r="LR1361" s="120"/>
      <c r="LS1361" s="120"/>
      <c r="LT1361" s="120"/>
      <c r="LU1361" s="120"/>
      <c r="LV1361" s="120"/>
      <c r="LW1361" s="120"/>
      <c r="LX1361" s="120"/>
      <c r="LY1361" s="120"/>
      <c r="LZ1361" s="120"/>
      <c r="MA1361" s="120"/>
      <c r="MB1361" s="120"/>
      <c r="MC1361" s="120"/>
      <c r="MD1361" s="120"/>
      <c r="ME1361" s="120"/>
      <c r="MF1361" s="120"/>
      <c r="MG1361" s="120"/>
      <c r="MH1361" s="120"/>
      <c r="MI1361" s="120"/>
      <c r="MJ1361" s="120"/>
      <c r="MK1361" s="120"/>
      <c r="ML1361" s="120"/>
      <c r="MM1361" s="120"/>
      <c r="MN1361" s="120"/>
      <c r="MO1361" s="120"/>
      <c r="MP1361" s="120"/>
      <c r="MQ1361" s="120"/>
      <c r="MR1361" s="120"/>
      <c r="MS1361" s="120"/>
      <c r="MT1361" s="120"/>
      <c r="MU1361" s="120"/>
      <c r="MV1361" s="120"/>
      <c r="MW1361" s="120"/>
      <c r="MX1361" s="120"/>
      <c r="MY1361" s="120"/>
      <c r="MZ1361" s="120"/>
      <c r="NA1361" s="120"/>
      <c r="NB1361" s="120"/>
      <c r="NC1361" s="120"/>
      <c r="ND1361" s="120"/>
      <c r="NE1361" s="120"/>
      <c r="NF1361" s="120"/>
      <c r="NG1361" s="120"/>
      <c r="NH1361" s="120"/>
      <c r="NI1361" s="120"/>
      <c r="NJ1361" s="120"/>
      <c r="NK1361" s="120"/>
      <c r="NL1361" s="120"/>
      <c r="NM1361" s="120"/>
      <c r="NN1361" s="120"/>
      <c r="NO1361" s="120"/>
      <c r="NP1361" s="120"/>
      <c r="NQ1361" s="120"/>
      <c r="NR1361" s="120"/>
      <c r="NS1361" s="120"/>
      <c r="NT1361" s="120"/>
      <c r="NU1361" s="120"/>
      <c r="NV1361" s="120"/>
      <c r="NW1361" s="120"/>
      <c r="NX1361" s="120"/>
      <c r="NY1361" s="120"/>
      <c r="NZ1361" s="120"/>
      <c r="OA1361" s="120"/>
      <c r="OB1361" s="120"/>
      <c r="OC1361" s="120"/>
      <c r="OD1361" s="120"/>
      <c r="OE1361" s="120"/>
      <c r="OF1361" s="120"/>
      <c r="OG1361" s="120"/>
      <c r="OH1361" s="120"/>
      <c r="OI1361" s="120"/>
      <c r="OJ1361" s="120"/>
      <c r="OK1361" s="120"/>
      <c r="OL1361" s="120"/>
      <c r="OM1361" s="120"/>
      <c r="ON1361" s="120"/>
      <c r="OO1361" s="120"/>
      <c r="OP1361" s="120"/>
      <c r="OQ1361" s="120"/>
      <c r="OR1361" s="120"/>
      <c r="OS1361" s="120"/>
      <c r="OT1361" s="120"/>
      <c r="OU1361" s="120"/>
      <c r="OV1361" s="120"/>
      <c r="OW1361" s="120"/>
      <c r="OX1361" s="120"/>
      <c r="OY1361" s="120"/>
      <c r="OZ1361" s="120"/>
      <c r="PA1361" s="120"/>
      <c r="PB1361" s="120"/>
      <c r="PC1361" s="120"/>
      <c r="PD1361" s="120"/>
      <c r="PE1361" s="120"/>
      <c r="PF1361" s="120"/>
      <c r="PG1361" s="120"/>
      <c r="PH1361" s="120"/>
      <c r="PI1361" s="120"/>
      <c r="PJ1361" s="120"/>
      <c r="PK1361" s="120"/>
      <c r="PL1361" s="120"/>
      <c r="PM1361" s="120"/>
      <c r="PN1361" s="120"/>
      <c r="PO1361" s="120"/>
      <c r="PP1361" s="120"/>
      <c r="PQ1361" s="120"/>
      <c r="PR1361" s="120"/>
      <c r="PS1361" s="120"/>
      <c r="PT1361" s="120"/>
      <c r="PU1361" s="120"/>
      <c r="PV1361" s="120"/>
      <c r="PW1361" s="120"/>
      <c r="PX1361" s="120"/>
      <c r="PY1361" s="120"/>
      <c r="PZ1361" s="120"/>
      <c r="QA1361" s="120"/>
      <c r="QB1361" s="120"/>
      <c r="QC1361" s="120"/>
      <c r="QD1361" s="120"/>
      <c r="QE1361" s="120"/>
      <c r="QF1361" s="120"/>
      <c r="QG1361" s="120"/>
      <c r="QH1361" s="120"/>
      <c r="QI1361" s="120"/>
      <c r="QJ1361" s="120"/>
      <c r="QK1361" s="120"/>
      <c r="QL1361" s="120"/>
      <c r="QM1361" s="120"/>
      <c r="QN1361" s="120"/>
      <c r="QO1361" s="120"/>
      <c r="QP1361" s="120"/>
      <c r="QQ1361" s="120"/>
      <c r="QR1361" s="120"/>
      <c r="QS1361" s="120"/>
      <c r="QT1361" s="120"/>
      <c r="QU1361" s="120"/>
      <c r="QV1361" s="120"/>
      <c r="QW1361" s="120"/>
      <c r="QX1361" s="120"/>
      <c r="QY1361" s="120"/>
      <c r="QZ1361" s="120"/>
      <c r="RA1361" s="120"/>
      <c r="RB1361" s="120"/>
      <c r="RC1361" s="120"/>
      <c r="RD1361" s="120"/>
      <c r="RE1361" s="120"/>
      <c r="RF1361" s="120"/>
      <c r="RG1361" s="120"/>
      <c r="RH1361" s="120"/>
      <c r="RI1361" s="120"/>
      <c r="RJ1361" s="120"/>
      <c r="RK1361" s="120"/>
      <c r="RL1361" s="120"/>
      <c r="RM1361" s="120"/>
      <c r="RN1361" s="120"/>
      <c r="RO1361" s="120"/>
      <c r="RP1361" s="120"/>
      <c r="RQ1361" s="120"/>
      <c r="RR1361" s="120"/>
      <c r="RS1361" s="120"/>
      <c r="RT1361" s="120"/>
      <c r="RU1361" s="120"/>
      <c r="RV1361" s="120"/>
      <c r="RW1361" s="120"/>
      <c r="RX1361" s="120"/>
      <c r="RY1361" s="120"/>
      <c r="RZ1361" s="120"/>
      <c r="SA1361" s="120"/>
      <c r="SB1361" s="120"/>
      <c r="SC1361" s="120"/>
      <c r="SD1361" s="120"/>
      <c r="SE1361" s="120"/>
      <c r="SF1361" s="120"/>
      <c r="SG1361" s="120"/>
      <c r="SH1361" s="120"/>
      <c r="SI1361" s="120"/>
      <c r="SJ1361" s="120"/>
      <c r="SK1361" s="120"/>
      <c r="SL1361" s="120"/>
      <c r="SM1361" s="120"/>
      <c r="SN1361" s="120"/>
      <c r="SO1361" s="120"/>
      <c r="SP1361" s="120"/>
      <c r="SQ1361" s="120"/>
      <c r="SR1361" s="120"/>
      <c r="SS1361" s="120"/>
      <c r="ST1361" s="120"/>
      <c r="SU1361" s="120"/>
      <c r="SV1361" s="120"/>
      <c r="SW1361" s="120"/>
      <c r="SX1361" s="120"/>
      <c r="SY1361" s="120"/>
      <c r="SZ1361" s="120"/>
      <c r="TA1361" s="120"/>
      <c r="TB1361" s="120"/>
      <c r="TC1361" s="120"/>
      <c r="TD1361" s="120"/>
      <c r="TE1361" s="120"/>
      <c r="TF1361" s="120"/>
      <c r="TG1361" s="120"/>
      <c r="TH1361" s="120"/>
      <c r="TI1361" s="120"/>
      <c r="TJ1361" s="120"/>
      <c r="TK1361" s="120"/>
      <c r="TL1361" s="120"/>
      <c r="TM1361" s="120"/>
      <c r="TN1361" s="120"/>
      <c r="TO1361" s="120"/>
      <c r="TP1361" s="120"/>
      <c r="TQ1361" s="120"/>
      <c r="TR1361" s="120"/>
      <c r="TS1361" s="120"/>
      <c r="TT1361" s="120"/>
      <c r="TU1361" s="120"/>
      <c r="TV1361" s="120"/>
      <c r="TW1361" s="120"/>
      <c r="TX1361" s="120"/>
      <c r="TY1361" s="120"/>
      <c r="TZ1361" s="120"/>
      <c r="UA1361" s="120"/>
      <c r="UB1361" s="120"/>
      <c r="UC1361" s="120"/>
      <c r="UD1361" s="120"/>
      <c r="UE1361" s="120"/>
      <c r="UF1361" s="120"/>
      <c r="UG1361" s="120"/>
      <c r="UH1361" s="120"/>
      <c r="UI1361" s="120"/>
      <c r="UJ1361" s="120"/>
      <c r="UK1361" s="120"/>
      <c r="UL1361" s="120"/>
      <c r="UM1361" s="120"/>
      <c r="UN1361" s="120"/>
      <c r="UO1361" s="120"/>
      <c r="UP1361" s="120"/>
      <c r="UQ1361" s="120"/>
      <c r="UR1361" s="120"/>
      <c r="US1361" s="120"/>
      <c r="UT1361" s="120"/>
      <c r="UU1361" s="120"/>
      <c r="UV1361" s="120"/>
      <c r="UW1361" s="120"/>
      <c r="UX1361" s="120"/>
      <c r="UY1361" s="120"/>
      <c r="UZ1361" s="120"/>
      <c r="VA1361" s="120"/>
      <c r="VB1361" s="120"/>
      <c r="VC1361" s="120"/>
      <c r="VD1361" s="120"/>
      <c r="VE1361" s="120"/>
      <c r="VF1361" s="120"/>
      <c r="VG1361" s="120"/>
      <c r="VH1361" s="120"/>
      <c r="VI1361" s="120"/>
      <c r="VJ1361" s="120"/>
      <c r="VK1361" s="120"/>
      <c r="VL1361" s="120"/>
      <c r="VM1361" s="120"/>
      <c r="VN1361" s="120"/>
      <c r="VO1361" s="120"/>
      <c r="VP1361" s="120"/>
      <c r="VQ1361" s="120"/>
      <c r="VR1361" s="120"/>
      <c r="VS1361" s="120"/>
      <c r="VT1361" s="120"/>
      <c r="VU1361" s="120"/>
      <c r="VV1361" s="120"/>
      <c r="VW1361" s="120"/>
      <c r="VX1361" s="120"/>
      <c r="VY1361" s="120"/>
      <c r="VZ1361" s="120"/>
      <c r="WA1361" s="120"/>
      <c r="WB1361" s="120"/>
      <c r="WC1361" s="120"/>
      <c r="WD1361" s="120"/>
      <c r="WE1361" s="120"/>
      <c r="WF1361" s="120"/>
      <c r="WG1361" s="120"/>
      <c r="WH1361" s="120"/>
      <c r="WI1361" s="120"/>
      <c r="WJ1361" s="120"/>
      <c r="WK1361" s="120"/>
      <c r="WL1361" s="120"/>
      <c r="WM1361" s="120"/>
      <c r="WN1361" s="120"/>
      <c r="WO1361" s="120"/>
      <c r="WP1361" s="120"/>
      <c r="WQ1361" s="120"/>
      <c r="WR1361" s="120"/>
      <c r="WS1361" s="120"/>
      <c r="WT1361" s="120"/>
      <c r="WU1361" s="120"/>
      <c r="WV1361" s="120"/>
      <c r="WW1361" s="120"/>
      <c r="WX1361" s="120"/>
      <c r="WY1361" s="120"/>
      <c r="WZ1361" s="120"/>
      <c r="XA1361" s="120"/>
      <c r="XB1361" s="120"/>
      <c r="XC1361" s="120"/>
      <c r="XD1361" s="120"/>
      <c r="XE1361" s="120"/>
      <c r="XF1361" s="120"/>
      <c r="XG1361" s="120"/>
      <c r="XH1361" s="120"/>
      <c r="XI1361" s="120"/>
      <c r="XJ1361" s="120"/>
      <c r="XK1361" s="120"/>
      <c r="XL1361" s="120"/>
      <c r="XM1361" s="120"/>
      <c r="XN1361" s="120"/>
      <c r="XO1361" s="120"/>
      <c r="XP1361" s="120"/>
      <c r="XQ1361" s="120"/>
      <c r="XR1361" s="120"/>
      <c r="XS1361" s="120"/>
      <c r="XT1361" s="120"/>
      <c r="XU1361" s="120"/>
      <c r="XV1361" s="120"/>
      <c r="XW1361" s="120"/>
      <c r="XX1361" s="120"/>
      <c r="XY1361" s="120"/>
      <c r="XZ1361" s="120"/>
      <c r="YA1361" s="120"/>
      <c r="YB1361" s="120"/>
      <c r="YC1361" s="120"/>
      <c r="YD1361" s="120"/>
      <c r="YE1361" s="120"/>
      <c r="YF1361" s="120"/>
      <c r="YG1361" s="120"/>
      <c r="YH1361" s="120"/>
      <c r="YI1361" s="120"/>
      <c r="YJ1361" s="120"/>
      <c r="YK1361" s="120"/>
      <c r="YL1361" s="120"/>
      <c r="YM1361" s="120"/>
      <c r="YN1361" s="120"/>
      <c r="YO1361" s="120"/>
      <c r="YP1361" s="120"/>
      <c r="YQ1361" s="120"/>
      <c r="YR1361" s="120"/>
      <c r="YS1361" s="120"/>
      <c r="YT1361" s="120"/>
      <c r="YU1361" s="120"/>
      <c r="YV1361" s="120"/>
      <c r="YW1361" s="120"/>
      <c r="YX1361" s="120"/>
      <c r="YY1361" s="120"/>
      <c r="YZ1361" s="120"/>
      <c r="ZA1361" s="120"/>
      <c r="ZB1361" s="120"/>
      <c r="ZC1361" s="120"/>
      <c r="ZD1361" s="120"/>
      <c r="ZE1361" s="120"/>
      <c r="ZF1361" s="120"/>
      <c r="ZG1361" s="120"/>
      <c r="ZH1361" s="120"/>
      <c r="ZI1361" s="120"/>
      <c r="ZJ1361" s="120"/>
      <c r="ZK1361" s="120"/>
      <c r="ZL1361" s="120"/>
      <c r="ZM1361" s="120"/>
      <c r="ZN1361" s="120"/>
      <c r="ZO1361" s="120"/>
      <c r="ZP1361" s="120"/>
      <c r="ZQ1361" s="120"/>
      <c r="ZR1361" s="120"/>
      <c r="ZS1361" s="120"/>
      <c r="ZT1361" s="120"/>
      <c r="ZU1361" s="120"/>
      <c r="ZV1361" s="120"/>
      <c r="ZW1361" s="120"/>
      <c r="ZX1361" s="120"/>
      <c r="ZY1361" s="120"/>
      <c r="ZZ1361" s="120"/>
      <c r="AAA1361" s="120"/>
      <c r="AAB1361" s="120"/>
      <c r="AAC1361" s="120"/>
      <c r="AAD1361" s="120"/>
      <c r="AAE1361" s="120"/>
      <c r="AAF1361" s="120"/>
      <c r="AAG1361" s="120"/>
      <c r="AAH1361" s="120"/>
      <c r="AAI1361" s="120"/>
      <c r="AAJ1361" s="120"/>
      <c r="AAK1361" s="120"/>
      <c r="AAL1361" s="120"/>
      <c r="AAM1361" s="120"/>
      <c r="AAN1361" s="120"/>
      <c r="AAO1361" s="120"/>
      <c r="AAP1361" s="120"/>
      <c r="AAQ1361" s="120"/>
      <c r="AAR1361" s="120"/>
      <c r="AAS1361" s="120"/>
      <c r="AAT1361" s="120"/>
      <c r="AAU1361" s="120"/>
      <c r="AAV1361" s="120"/>
      <c r="AAW1361" s="120"/>
      <c r="AAX1361" s="120"/>
      <c r="AAY1361" s="120"/>
      <c r="AAZ1361" s="120"/>
      <c r="ABA1361" s="120"/>
      <c r="ABB1361" s="120"/>
      <c r="ABC1361" s="120"/>
      <c r="ABD1361" s="120"/>
      <c r="ABE1361" s="120"/>
      <c r="ABF1361" s="120"/>
      <c r="ABG1361" s="120"/>
      <c r="ABH1361" s="120"/>
      <c r="ABI1361" s="120"/>
      <c r="ABJ1361" s="120"/>
      <c r="ABK1361" s="120"/>
      <c r="ABL1361" s="120"/>
      <c r="ABM1361" s="120"/>
      <c r="ABN1361" s="120"/>
      <c r="ABO1361" s="120"/>
      <c r="ABP1361" s="120"/>
      <c r="ABQ1361" s="120"/>
      <c r="ABR1361" s="120"/>
      <c r="ABS1361" s="120"/>
      <c r="ABT1361" s="120"/>
      <c r="ABU1361" s="120"/>
      <c r="ABV1361" s="120"/>
      <c r="ABW1361" s="120"/>
      <c r="ABX1361" s="120"/>
      <c r="ABY1361" s="120"/>
      <c r="ABZ1361" s="120"/>
      <c r="ACA1361" s="120"/>
      <c r="ACB1361" s="120"/>
      <c r="ACC1361" s="120"/>
      <c r="ACD1361" s="120"/>
      <c r="ACE1361" s="120"/>
      <c r="ACF1361" s="120"/>
      <c r="ACG1361" s="120"/>
      <c r="ACH1361" s="120"/>
      <c r="ACI1361" s="120"/>
      <c r="ACJ1361" s="120"/>
      <c r="ACK1361" s="120"/>
      <c r="ACL1361" s="120"/>
      <c r="ACM1361" s="120"/>
      <c r="ACN1361" s="120"/>
      <c r="ACO1361" s="120"/>
      <c r="ACP1361" s="120"/>
      <c r="ACQ1361" s="120"/>
      <c r="ACR1361" s="120"/>
      <c r="ACS1361" s="120"/>
      <c r="ACT1361" s="120"/>
      <c r="ACU1361" s="120"/>
      <c r="ACV1361" s="120"/>
      <c r="ACW1361" s="120"/>
      <c r="ACX1361" s="120"/>
      <c r="ACY1361" s="120"/>
      <c r="ACZ1361" s="120"/>
      <c r="ADA1361" s="120"/>
      <c r="ADB1361" s="120"/>
      <c r="ADC1361" s="120"/>
      <c r="ADD1361" s="120"/>
      <c r="ADE1361" s="120"/>
      <c r="ADF1361" s="120"/>
      <c r="ADG1361" s="120"/>
      <c r="ADH1361" s="120"/>
      <c r="ADI1361" s="120"/>
      <c r="ADJ1361" s="120"/>
      <c r="ADK1361" s="120"/>
      <c r="ADL1361" s="120"/>
      <c r="ADM1361" s="120"/>
      <c r="ADN1361" s="120"/>
      <c r="ADO1361" s="120"/>
      <c r="ADP1361" s="120"/>
      <c r="ADQ1361" s="120"/>
      <c r="ADR1361" s="120"/>
      <c r="ADS1361" s="120"/>
      <c r="ADT1361" s="120"/>
      <c r="ADU1361" s="120"/>
      <c r="ADV1361" s="120"/>
      <c r="ADW1361" s="120"/>
      <c r="ADX1361" s="120"/>
      <c r="ADY1361" s="120"/>
      <c r="ADZ1361" s="120"/>
      <c r="AEA1361" s="120"/>
      <c r="AEB1361" s="120"/>
      <c r="AEC1361" s="120"/>
      <c r="AED1361" s="120"/>
      <c r="AEE1361" s="120"/>
      <c r="AEF1361" s="120"/>
      <c r="AEG1361" s="120"/>
      <c r="AEH1361" s="120"/>
      <c r="AEI1361" s="120"/>
      <c r="AEJ1361" s="120"/>
      <c r="AEK1361" s="120"/>
      <c r="AEL1361" s="120"/>
      <c r="AEM1361" s="120"/>
      <c r="AEN1361" s="120"/>
      <c r="AEO1361" s="120"/>
      <c r="AEP1361" s="120"/>
      <c r="AEQ1361" s="120"/>
      <c r="AER1361" s="120"/>
      <c r="AES1361" s="120"/>
      <c r="AET1361" s="120"/>
      <c r="AEU1361" s="120"/>
      <c r="AEV1361" s="120"/>
      <c r="AEW1361" s="120"/>
      <c r="AEX1361" s="120"/>
      <c r="AEY1361" s="120"/>
      <c r="AEZ1361" s="120"/>
      <c r="AFA1361" s="120"/>
      <c r="AFB1361" s="120"/>
      <c r="AFC1361" s="120"/>
      <c r="AFD1361" s="120"/>
      <c r="AFE1361" s="120"/>
      <c r="AFF1361" s="120"/>
      <c r="AFG1361" s="120"/>
      <c r="AFH1361" s="120"/>
      <c r="AFI1361" s="120"/>
      <c r="AFJ1361" s="120"/>
      <c r="AFK1361" s="120"/>
      <c r="AFL1361" s="120"/>
      <c r="AFM1361" s="120"/>
      <c r="AFN1361" s="120"/>
      <c r="AFO1361" s="120"/>
      <c r="AFP1361" s="120"/>
      <c r="AFQ1361" s="120"/>
      <c r="AFR1361" s="120"/>
      <c r="AFS1361" s="120"/>
      <c r="AFT1361" s="120"/>
      <c r="AFU1361" s="120"/>
      <c r="AFV1361" s="120"/>
      <c r="AFW1361" s="120"/>
      <c r="AFX1361" s="120"/>
      <c r="AFY1361" s="120"/>
      <c r="AFZ1361" s="120"/>
      <c r="AGA1361" s="120"/>
      <c r="AGB1361" s="120"/>
      <c r="AGC1361" s="120"/>
      <c r="AGD1361" s="120"/>
      <c r="AGE1361" s="120"/>
      <c r="AGF1361" s="120"/>
      <c r="AGG1361" s="120"/>
      <c r="AGH1361" s="120"/>
      <c r="AGI1361" s="120"/>
      <c r="AGJ1361" s="120"/>
      <c r="AGK1361" s="120"/>
      <c r="AGL1361" s="120"/>
      <c r="AGM1361" s="120"/>
      <c r="AGN1361" s="120"/>
      <c r="AGO1361" s="120"/>
      <c r="AGP1361" s="120"/>
      <c r="AGQ1361" s="120"/>
      <c r="AGR1361" s="120"/>
      <c r="AGS1361" s="120"/>
      <c r="AGT1361" s="120"/>
      <c r="AGU1361" s="120"/>
      <c r="AGV1361" s="120"/>
      <c r="AGW1361" s="120"/>
      <c r="AGX1361" s="120"/>
      <c r="AGY1361" s="120"/>
      <c r="AGZ1361" s="120"/>
      <c r="AHA1361" s="120"/>
      <c r="AHB1361" s="120"/>
      <c r="AHC1361" s="120"/>
      <c r="AHD1361" s="120"/>
      <c r="AHE1361" s="120"/>
      <c r="AHF1361" s="120"/>
      <c r="AHG1361" s="120"/>
      <c r="AHH1361" s="120"/>
      <c r="AHI1361" s="120"/>
      <c r="AHJ1361" s="120"/>
      <c r="AHK1361" s="120"/>
      <c r="AHL1361" s="120"/>
      <c r="AHM1361" s="120"/>
      <c r="AHN1361" s="120"/>
      <c r="AHO1361" s="120"/>
      <c r="AHP1361" s="120"/>
      <c r="AHQ1361" s="120"/>
      <c r="AHR1361" s="120"/>
      <c r="AHS1361" s="120"/>
      <c r="AHT1361" s="120"/>
      <c r="AHU1361" s="120"/>
      <c r="AHV1361" s="120"/>
      <c r="AHW1361" s="120"/>
      <c r="AHX1361" s="120"/>
      <c r="AHY1361" s="120"/>
      <c r="AHZ1361" s="120"/>
      <c r="AIA1361" s="120"/>
      <c r="AIB1361" s="120"/>
      <c r="AIC1361" s="120"/>
      <c r="AID1361" s="120"/>
      <c r="AIE1361" s="120"/>
      <c r="AIF1361" s="120"/>
      <c r="AIG1361" s="120"/>
      <c r="AIH1361" s="120"/>
      <c r="AII1361" s="120"/>
      <c r="AIJ1361" s="120"/>
      <c r="AIK1361" s="120"/>
      <c r="AIL1361" s="120"/>
      <c r="AIM1361" s="120"/>
      <c r="AIN1361" s="120"/>
      <c r="AIO1361" s="120"/>
      <c r="AIP1361" s="120"/>
      <c r="AIQ1361" s="120"/>
      <c r="AIR1361" s="120"/>
      <c r="AIS1361" s="120"/>
      <c r="AIT1361" s="120"/>
      <c r="AIU1361" s="120"/>
      <c r="AIV1361" s="120"/>
      <c r="AIW1361" s="120"/>
      <c r="AIX1361" s="120"/>
      <c r="AIY1361" s="120"/>
      <c r="AIZ1361" s="120"/>
      <c r="AJA1361" s="120"/>
      <c r="AJB1361" s="120"/>
      <c r="AJC1361" s="120"/>
      <c r="AJD1361" s="120"/>
      <c r="AJE1361" s="120"/>
      <c r="AJF1361" s="120"/>
      <c r="AJG1361" s="120"/>
      <c r="AJH1361" s="120"/>
      <c r="AJI1361" s="120"/>
      <c r="AJJ1361" s="120"/>
      <c r="AJK1361" s="120"/>
      <c r="AJL1361" s="120"/>
      <c r="AJM1361" s="120"/>
      <c r="AJN1361" s="120"/>
      <c r="AJO1361" s="120"/>
      <c r="AJP1361" s="120"/>
      <c r="AJQ1361" s="120"/>
      <c r="AJR1361" s="120"/>
      <c r="AJS1361" s="120"/>
      <c r="AJT1361" s="120"/>
      <c r="AJU1361" s="120"/>
      <c r="AJV1361" s="120"/>
      <c r="AJW1361" s="120"/>
      <c r="AJX1361" s="120"/>
      <c r="AJY1361" s="120"/>
      <c r="AJZ1361" s="120"/>
      <c r="AKA1361" s="120"/>
      <c r="AKB1361" s="120"/>
      <c r="AKC1361" s="120"/>
      <c r="AKD1361" s="120"/>
      <c r="AKE1361" s="120"/>
      <c r="AKF1361" s="120"/>
      <c r="AKG1361" s="120"/>
      <c r="AKH1361" s="120"/>
      <c r="AKI1361" s="120"/>
      <c r="AKJ1361" s="120"/>
      <c r="AKK1361" s="120"/>
      <c r="AKL1361" s="120"/>
      <c r="AKM1361" s="120"/>
      <c r="AKN1361" s="120"/>
      <c r="AKO1361" s="120"/>
      <c r="AKP1361" s="120"/>
      <c r="AKQ1361" s="120"/>
      <c r="AKR1361" s="120"/>
      <c r="AKS1361" s="120"/>
      <c r="AKT1361" s="120"/>
      <c r="AKU1361" s="120"/>
      <c r="AKV1361" s="120"/>
      <c r="AKW1361" s="120"/>
      <c r="AKX1361" s="120"/>
      <c r="AKY1361" s="120"/>
      <c r="AKZ1361" s="120"/>
      <c r="ALA1361" s="120"/>
      <c r="ALB1361" s="120"/>
      <c r="ALC1361" s="120"/>
      <c r="ALD1361" s="120"/>
      <c r="ALE1361" s="120"/>
      <c r="ALF1361" s="120"/>
      <c r="ALG1361" s="120"/>
      <c r="ALH1361" s="120"/>
      <c r="ALI1361" s="120"/>
      <c r="ALJ1361" s="120"/>
      <c r="ALK1361" s="120"/>
      <c r="ALL1361" s="120"/>
      <c r="ALM1361" s="120"/>
      <c r="ALN1361" s="120"/>
      <c r="ALO1361" s="120"/>
      <c r="ALP1361" s="120"/>
      <c r="ALQ1361" s="120"/>
      <c r="ALR1361" s="120"/>
      <c r="ALS1361" s="120"/>
      <c r="ALT1361" s="120"/>
      <c r="ALU1361" s="120"/>
      <c r="ALV1361" s="120"/>
      <c r="ALW1361" s="120"/>
      <c r="ALX1361" s="120"/>
      <c r="ALY1361" s="120"/>
      <c r="ALZ1361" s="120"/>
      <c r="AMA1361" s="120"/>
      <c r="AMB1361" s="120"/>
      <c r="AMC1361" s="120"/>
      <c r="AMD1361" s="120"/>
      <c r="AME1361" s="120"/>
      <c r="AMF1361" s="120"/>
      <c r="AMG1361" s="120"/>
      <c r="AMH1361" s="120"/>
      <c r="AMI1361" s="120"/>
      <c r="AMJ1361" s="120"/>
      <c r="AMK1361" s="120"/>
      <c r="AML1361" s="120"/>
      <c r="AMM1361" s="120"/>
      <c r="AMN1361" s="120"/>
      <c r="AMO1361" s="120"/>
      <c r="AMP1361" s="120"/>
      <c r="AMQ1361" s="120"/>
      <c r="AMR1361" s="120"/>
      <c r="AMS1361" s="120"/>
      <c r="AMT1361" s="120"/>
      <c r="AMU1361" s="120"/>
      <c r="AMV1361" s="120"/>
      <c r="AMW1361" s="120"/>
      <c r="AMX1361" s="120"/>
      <c r="AMY1361" s="120"/>
      <c r="AMZ1361" s="120"/>
      <c r="ANA1361" s="120"/>
      <c r="ANB1361" s="120"/>
      <c r="ANC1361" s="120"/>
      <c r="AND1361" s="120"/>
      <c r="ANE1361" s="120"/>
      <c r="ANF1361" s="120"/>
      <c r="ANG1361" s="120"/>
      <c r="ANH1361" s="120"/>
      <c r="ANI1361" s="120"/>
      <c r="ANJ1361" s="120"/>
      <c r="ANK1361" s="120"/>
      <c r="ANL1361" s="120"/>
      <c r="ANM1361" s="120"/>
      <c r="ANN1361" s="120"/>
      <c r="ANO1361" s="120"/>
      <c r="ANP1361" s="120"/>
      <c r="ANQ1361" s="120"/>
      <c r="ANR1361" s="120"/>
      <c r="ANS1361" s="120"/>
      <c r="ANT1361" s="120"/>
      <c r="ANU1361" s="120"/>
      <c r="ANV1361" s="120"/>
      <c r="ANW1361" s="120"/>
      <c r="ANX1361" s="120"/>
      <c r="ANY1361" s="120"/>
      <c r="ANZ1361" s="120"/>
      <c r="AOA1361" s="120"/>
      <c r="AOB1361" s="120"/>
      <c r="AOC1361" s="120"/>
      <c r="AOD1361" s="120"/>
      <c r="AOE1361" s="120"/>
      <c r="AOF1361" s="120"/>
      <c r="AOG1361" s="120"/>
      <c r="AOH1361" s="120"/>
      <c r="AOI1361" s="120"/>
      <c r="AOJ1361" s="120"/>
      <c r="AOK1361" s="120"/>
      <c r="AOL1361" s="120"/>
      <c r="AOM1361" s="120"/>
      <c r="AON1361" s="120"/>
      <c r="AOO1361" s="120"/>
      <c r="AOP1361" s="120"/>
      <c r="AOQ1361" s="120"/>
      <c r="AOR1361" s="120"/>
      <c r="AOS1361" s="120"/>
      <c r="AOT1361" s="120"/>
      <c r="AOU1361" s="120"/>
      <c r="AOV1361" s="120"/>
      <c r="AOW1361" s="120"/>
      <c r="AOX1361" s="120"/>
      <c r="AOY1361" s="120"/>
      <c r="AOZ1361" s="120"/>
      <c r="APA1361" s="120"/>
      <c r="APB1361" s="120"/>
      <c r="APC1361" s="120"/>
      <c r="APD1361" s="120"/>
      <c r="APE1361" s="120"/>
      <c r="APF1361" s="120"/>
      <c r="APG1361" s="120"/>
      <c r="APH1361" s="120"/>
      <c r="API1361" s="120"/>
      <c r="APJ1361" s="120"/>
      <c r="APK1361" s="120"/>
      <c r="APL1361" s="120"/>
      <c r="APM1361" s="120"/>
      <c r="APN1361" s="120"/>
      <c r="APO1361" s="120"/>
      <c r="APP1361" s="120"/>
      <c r="APQ1361" s="120"/>
      <c r="APR1361" s="120"/>
      <c r="APS1361" s="120"/>
      <c r="APT1361" s="120"/>
      <c r="APU1361" s="120"/>
      <c r="APV1361" s="120"/>
      <c r="APW1361" s="120"/>
      <c r="APX1361" s="120"/>
      <c r="APY1361" s="120"/>
      <c r="APZ1361" s="120"/>
      <c r="AQA1361" s="120"/>
      <c r="AQB1361" s="120"/>
      <c r="AQC1361" s="120"/>
      <c r="AQD1361" s="120"/>
      <c r="AQE1361" s="120"/>
      <c r="AQF1361" s="120"/>
      <c r="AQG1361" s="120"/>
      <c r="AQH1361" s="120"/>
      <c r="AQI1361" s="120"/>
      <c r="AQJ1361" s="120"/>
      <c r="AQK1361" s="120"/>
      <c r="AQL1361" s="120"/>
      <c r="AQM1361" s="120"/>
      <c r="AQN1361" s="120"/>
      <c r="AQO1361" s="120"/>
      <c r="AQP1361" s="120"/>
      <c r="AQQ1361" s="120"/>
      <c r="AQR1361" s="120"/>
      <c r="AQS1361" s="120"/>
      <c r="AQT1361" s="120"/>
      <c r="AQU1361" s="120"/>
      <c r="AQV1361" s="120"/>
      <c r="AQW1361" s="120"/>
      <c r="AQX1361" s="120"/>
      <c r="AQY1361" s="120"/>
      <c r="AQZ1361" s="120"/>
      <c r="ARA1361" s="120"/>
      <c r="ARB1361" s="120"/>
      <c r="ARC1361" s="120"/>
      <c r="ARD1361" s="120"/>
      <c r="ARE1361" s="120"/>
      <c r="ARF1361" s="120"/>
      <c r="ARG1361" s="120"/>
      <c r="ARH1361" s="120"/>
      <c r="ARI1361" s="120"/>
      <c r="ARJ1361" s="120"/>
      <c r="ARK1361" s="120"/>
      <c r="ARL1361" s="120"/>
      <c r="ARM1361" s="120"/>
      <c r="ARN1361" s="120"/>
      <c r="ARO1361" s="120"/>
      <c r="ARP1361" s="120"/>
      <c r="ARQ1361" s="120"/>
      <c r="ARR1361" s="120"/>
      <c r="ARS1361" s="120"/>
      <c r="ART1361" s="120"/>
      <c r="ARU1361" s="120"/>
      <c r="ARV1361" s="120"/>
      <c r="ARW1361" s="120"/>
      <c r="ARX1361" s="120"/>
      <c r="ARY1361" s="120"/>
      <c r="ARZ1361" s="120"/>
      <c r="ASA1361" s="120"/>
      <c r="ASB1361" s="120"/>
      <c r="ASC1361" s="120"/>
      <c r="ASD1361" s="120"/>
      <c r="ASE1361" s="120"/>
      <c r="ASF1361" s="120"/>
      <c r="ASG1361" s="120"/>
      <c r="ASH1361" s="120"/>
      <c r="ASI1361" s="120"/>
      <c r="ASJ1361" s="120"/>
      <c r="ASK1361" s="120"/>
      <c r="ASL1361" s="120"/>
      <c r="ASM1361" s="120"/>
      <c r="ASN1361" s="120"/>
      <c r="ASO1361" s="120"/>
      <c r="ASP1361" s="120"/>
      <c r="ASQ1361" s="120"/>
      <c r="ASR1361" s="120"/>
      <c r="ASS1361" s="120"/>
      <c r="AST1361" s="120"/>
      <c r="ASU1361" s="120"/>
      <c r="ASV1361" s="120"/>
      <c r="ASW1361" s="120"/>
      <c r="ASX1361" s="120"/>
      <c r="ASY1361" s="120"/>
      <c r="ASZ1361" s="120"/>
      <c r="ATA1361" s="120"/>
      <c r="ATB1361" s="120"/>
      <c r="ATC1361" s="120"/>
      <c r="ATD1361" s="120"/>
      <c r="ATE1361" s="120"/>
      <c r="ATF1361" s="120"/>
      <c r="ATG1361" s="120"/>
      <c r="ATH1361" s="120"/>
      <c r="ATI1361" s="120"/>
      <c r="ATJ1361" s="120"/>
      <c r="ATK1361" s="120"/>
      <c r="ATL1361" s="120"/>
      <c r="ATM1361" s="120"/>
      <c r="ATN1361" s="120"/>
      <c r="ATO1361" s="120"/>
    </row>
    <row r="1362" spans="1:1211" s="20" customFormat="1" ht="14.1" customHeight="1">
      <c r="A1362" s="629"/>
      <c r="B1362" s="630"/>
      <c r="C1362" s="631"/>
      <c r="D1362" s="631"/>
      <c r="E1362" s="898"/>
      <c r="F1362" s="899"/>
      <c r="G1362" s="899"/>
      <c r="H1362" s="899"/>
      <c r="I1362" s="899"/>
      <c r="J1362" s="899"/>
      <c r="K1362" s="112"/>
      <c r="L1362" s="363"/>
      <c r="M1362" s="112"/>
      <c r="N1362" s="362"/>
      <c r="O1362" s="573"/>
      <c r="P1362" s="120"/>
      <c r="Q1362" s="120"/>
      <c r="R1362" s="120"/>
      <c r="S1362" s="120"/>
      <c r="T1362" s="120"/>
      <c r="U1362" s="120"/>
      <c r="V1362" s="120"/>
      <c r="W1362" s="120"/>
      <c r="X1362" s="120"/>
      <c r="Y1362" s="120"/>
      <c r="Z1362" s="120"/>
      <c r="AA1362" s="120"/>
      <c r="AB1362" s="120"/>
      <c r="AC1362" s="120"/>
      <c r="AD1362" s="120"/>
      <c r="AE1362" s="120"/>
      <c r="AF1362" s="120"/>
      <c r="AG1362" s="120"/>
      <c r="AH1362" s="120"/>
      <c r="AI1362" s="120"/>
      <c r="AJ1362" s="120"/>
      <c r="AK1362" s="120"/>
      <c r="AL1362" s="120"/>
      <c r="AM1362" s="120"/>
      <c r="AN1362" s="120"/>
      <c r="AO1362" s="120"/>
      <c r="AP1362" s="120"/>
      <c r="AQ1362" s="120"/>
      <c r="AR1362" s="120"/>
      <c r="AS1362" s="120"/>
      <c r="AT1362" s="120"/>
      <c r="AU1362" s="120"/>
      <c r="AV1362" s="120"/>
      <c r="AW1362" s="120"/>
      <c r="AX1362" s="120"/>
      <c r="AY1362" s="120"/>
      <c r="AZ1362" s="120"/>
      <c r="BA1362" s="120"/>
      <c r="BB1362" s="120"/>
      <c r="BC1362" s="120"/>
      <c r="BD1362" s="120"/>
      <c r="BE1362" s="120"/>
      <c r="BF1362" s="120"/>
      <c r="BG1362" s="120"/>
      <c r="BH1362" s="120"/>
      <c r="BI1362" s="120"/>
      <c r="BJ1362" s="120"/>
      <c r="BK1362" s="120"/>
      <c r="BL1362" s="120"/>
      <c r="BM1362" s="120"/>
      <c r="BN1362" s="120"/>
      <c r="BO1362" s="120"/>
      <c r="BP1362" s="120"/>
      <c r="BQ1362" s="120"/>
      <c r="BR1362" s="120"/>
      <c r="BS1362" s="120"/>
      <c r="BT1362" s="120"/>
      <c r="BU1362" s="120"/>
      <c r="BV1362" s="120"/>
      <c r="BW1362" s="120"/>
      <c r="BX1362" s="120"/>
      <c r="BY1362" s="120"/>
      <c r="BZ1362" s="120"/>
      <c r="CA1362" s="120"/>
      <c r="CB1362" s="120"/>
      <c r="CC1362" s="120"/>
      <c r="CD1362" s="120"/>
      <c r="CE1362" s="120"/>
      <c r="CF1362" s="120"/>
      <c r="CG1362" s="120"/>
      <c r="CH1362" s="120"/>
      <c r="CI1362" s="120"/>
      <c r="CJ1362" s="120"/>
      <c r="CK1362" s="120"/>
      <c r="CL1362" s="120"/>
      <c r="CM1362" s="120"/>
      <c r="CN1362" s="120"/>
      <c r="CO1362" s="120"/>
      <c r="CP1362" s="120"/>
      <c r="CQ1362" s="120"/>
      <c r="CR1362" s="120"/>
      <c r="CS1362" s="120"/>
      <c r="CT1362" s="120"/>
      <c r="CU1362" s="120"/>
      <c r="CV1362" s="120"/>
      <c r="CW1362" s="120"/>
      <c r="CX1362" s="120"/>
      <c r="CY1362" s="120"/>
      <c r="CZ1362" s="120"/>
      <c r="DA1362" s="120"/>
      <c r="DB1362" s="120"/>
      <c r="DC1362" s="120"/>
      <c r="DD1362" s="120"/>
      <c r="DE1362" s="120"/>
      <c r="DF1362" s="120"/>
      <c r="DG1362" s="120"/>
      <c r="DH1362" s="120"/>
      <c r="DI1362" s="120"/>
      <c r="DJ1362" s="120"/>
      <c r="DK1362" s="120"/>
      <c r="DL1362" s="120"/>
      <c r="DM1362" s="120"/>
      <c r="DN1362" s="120"/>
      <c r="DO1362" s="120"/>
      <c r="DP1362" s="120"/>
      <c r="DQ1362" s="120"/>
      <c r="DR1362" s="120"/>
      <c r="DS1362" s="120"/>
      <c r="DT1362" s="120"/>
      <c r="DU1362" s="120"/>
      <c r="DV1362" s="120"/>
      <c r="DW1362" s="120"/>
      <c r="DX1362" s="120"/>
      <c r="DY1362" s="120"/>
      <c r="DZ1362" s="120"/>
      <c r="EA1362" s="120"/>
      <c r="EB1362" s="120"/>
      <c r="EC1362" s="120"/>
      <c r="ED1362" s="120"/>
      <c r="EE1362" s="120"/>
      <c r="EF1362" s="120"/>
      <c r="EG1362" s="120"/>
      <c r="EH1362" s="120"/>
      <c r="EI1362" s="120"/>
      <c r="EJ1362" s="120"/>
      <c r="EK1362" s="120"/>
      <c r="EL1362" s="120"/>
      <c r="EM1362" s="120"/>
      <c r="EN1362" s="120"/>
      <c r="EO1362" s="120"/>
      <c r="EP1362" s="120"/>
      <c r="EQ1362" s="120"/>
      <c r="ER1362" s="120"/>
      <c r="ES1362" s="120"/>
      <c r="ET1362" s="120"/>
      <c r="EU1362" s="120"/>
      <c r="EV1362" s="120"/>
      <c r="EW1362" s="120"/>
      <c r="EX1362" s="120"/>
      <c r="EY1362" s="120"/>
      <c r="EZ1362" s="120"/>
      <c r="FA1362" s="120"/>
      <c r="FB1362" s="120"/>
      <c r="FC1362" s="120"/>
      <c r="FD1362" s="120"/>
      <c r="FE1362" s="120"/>
      <c r="FF1362" s="120"/>
      <c r="FG1362" s="120"/>
      <c r="FH1362" s="120"/>
      <c r="FI1362" s="120"/>
      <c r="FJ1362" s="120"/>
      <c r="FK1362" s="120"/>
      <c r="FL1362" s="120"/>
      <c r="FM1362" s="120"/>
      <c r="FN1362" s="120"/>
      <c r="FO1362" s="120"/>
      <c r="FP1362" s="120"/>
      <c r="FQ1362" s="120"/>
      <c r="FR1362" s="120"/>
      <c r="FS1362" s="120"/>
      <c r="FT1362" s="120"/>
      <c r="FU1362" s="120"/>
      <c r="FV1362" s="120"/>
      <c r="FW1362" s="120"/>
      <c r="FX1362" s="120"/>
      <c r="FY1362" s="120"/>
      <c r="FZ1362" s="120"/>
      <c r="GA1362" s="120"/>
      <c r="GB1362" s="120"/>
      <c r="GC1362" s="120"/>
      <c r="GD1362" s="120"/>
      <c r="GE1362" s="120"/>
      <c r="GF1362" s="120"/>
      <c r="GG1362" s="120"/>
      <c r="GH1362" s="120"/>
      <c r="GI1362" s="120"/>
      <c r="GJ1362" s="120"/>
      <c r="GK1362" s="120"/>
      <c r="GL1362" s="120"/>
      <c r="GM1362" s="120"/>
      <c r="GN1362" s="120"/>
      <c r="GO1362" s="120"/>
      <c r="GP1362" s="120"/>
      <c r="GQ1362" s="120"/>
      <c r="GR1362" s="120"/>
      <c r="GS1362" s="120"/>
      <c r="GT1362" s="120"/>
      <c r="GU1362" s="120"/>
      <c r="GV1362" s="120"/>
      <c r="GW1362" s="120"/>
      <c r="GX1362" s="120"/>
      <c r="GY1362" s="120"/>
      <c r="GZ1362" s="120"/>
      <c r="HA1362" s="120"/>
      <c r="HB1362" s="120"/>
      <c r="HC1362" s="120"/>
      <c r="HD1362" s="120"/>
      <c r="HE1362" s="120"/>
      <c r="HF1362" s="120"/>
      <c r="HG1362" s="120"/>
      <c r="HH1362" s="120"/>
      <c r="HI1362" s="120"/>
      <c r="HJ1362" s="120"/>
      <c r="HK1362" s="120"/>
      <c r="HL1362" s="120"/>
      <c r="HM1362" s="120"/>
      <c r="HN1362" s="120"/>
      <c r="HO1362" s="120"/>
      <c r="HP1362" s="120"/>
      <c r="HQ1362" s="120"/>
      <c r="HR1362" s="120"/>
      <c r="HS1362" s="120"/>
      <c r="HT1362" s="120"/>
      <c r="HU1362" s="120"/>
      <c r="HV1362" s="120"/>
      <c r="HW1362" s="120"/>
      <c r="HX1362" s="120"/>
      <c r="HY1362" s="120"/>
      <c r="HZ1362" s="120"/>
      <c r="IA1362" s="120"/>
      <c r="IB1362" s="120"/>
      <c r="IC1362" s="120"/>
      <c r="ID1362" s="120"/>
      <c r="IE1362" s="120"/>
      <c r="IF1362" s="120"/>
      <c r="IG1362" s="120"/>
      <c r="IH1362" s="120"/>
      <c r="II1362" s="120"/>
      <c r="IJ1362" s="120"/>
      <c r="IK1362" s="120"/>
      <c r="IL1362" s="120"/>
      <c r="IM1362" s="120"/>
      <c r="IN1362" s="120"/>
      <c r="IO1362" s="120"/>
      <c r="IP1362" s="120"/>
      <c r="IQ1362" s="120"/>
      <c r="IR1362" s="120"/>
      <c r="IS1362" s="120"/>
      <c r="IT1362" s="120"/>
      <c r="IU1362" s="120"/>
      <c r="IV1362" s="120"/>
      <c r="IW1362" s="120"/>
      <c r="IX1362" s="120"/>
      <c r="IY1362" s="120"/>
      <c r="IZ1362" s="120"/>
      <c r="JA1362" s="120"/>
      <c r="JB1362" s="120"/>
      <c r="JC1362" s="120"/>
      <c r="JD1362" s="120"/>
      <c r="JE1362" s="120"/>
      <c r="JF1362" s="120"/>
      <c r="JG1362" s="120"/>
      <c r="JH1362" s="120"/>
      <c r="JI1362" s="120"/>
      <c r="JJ1362" s="120"/>
      <c r="JK1362" s="120"/>
      <c r="JL1362" s="120"/>
      <c r="JM1362" s="120"/>
      <c r="JN1362" s="120"/>
      <c r="JO1362" s="120"/>
      <c r="JP1362" s="120"/>
      <c r="JQ1362" s="120"/>
      <c r="JR1362" s="120"/>
      <c r="JS1362" s="120"/>
      <c r="JT1362" s="120"/>
      <c r="JU1362" s="120"/>
      <c r="JV1362" s="120"/>
      <c r="JW1362" s="120"/>
      <c r="JX1362" s="120"/>
      <c r="JY1362" s="120"/>
      <c r="JZ1362" s="120"/>
      <c r="KA1362" s="120"/>
      <c r="KB1362" s="120"/>
      <c r="KC1362" s="120"/>
      <c r="KD1362" s="120"/>
      <c r="KE1362" s="120"/>
      <c r="KF1362" s="120"/>
      <c r="KG1362" s="120"/>
      <c r="KH1362" s="120"/>
      <c r="KI1362" s="120"/>
      <c r="KJ1362" s="120"/>
      <c r="KK1362" s="120"/>
      <c r="KL1362" s="120"/>
      <c r="KM1362" s="120"/>
      <c r="KN1362" s="120"/>
      <c r="KO1362" s="120"/>
      <c r="KP1362" s="120"/>
      <c r="KQ1362" s="120"/>
      <c r="KR1362" s="120"/>
      <c r="KS1362" s="120"/>
      <c r="KT1362" s="120"/>
      <c r="KU1362" s="120"/>
      <c r="KV1362" s="120"/>
      <c r="KW1362" s="120"/>
      <c r="KX1362" s="120"/>
      <c r="KY1362" s="120"/>
      <c r="KZ1362" s="120"/>
      <c r="LA1362" s="120"/>
      <c r="LB1362" s="120"/>
      <c r="LC1362" s="120"/>
      <c r="LD1362" s="120"/>
      <c r="LE1362" s="120"/>
      <c r="LF1362" s="120"/>
      <c r="LG1362" s="120"/>
      <c r="LH1362" s="120"/>
      <c r="LI1362" s="120"/>
      <c r="LJ1362" s="120"/>
      <c r="LK1362" s="120"/>
      <c r="LL1362" s="120"/>
      <c r="LM1362" s="120"/>
      <c r="LN1362" s="120"/>
      <c r="LO1362" s="120"/>
      <c r="LP1362" s="120"/>
      <c r="LQ1362" s="120"/>
      <c r="LR1362" s="120"/>
      <c r="LS1362" s="120"/>
      <c r="LT1362" s="120"/>
      <c r="LU1362" s="120"/>
      <c r="LV1362" s="120"/>
      <c r="LW1362" s="120"/>
      <c r="LX1362" s="120"/>
      <c r="LY1362" s="120"/>
      <c r="LZ1362" s="120"/>
      <c r="MA1362" s="120"/>
      <c r="MB1362" s="120"/>
      <c r="MC1362" s="120"/>
      <c r="MD1362" s="120"/>
      <c r="ME1362" s="120"/>
      <c r="MF1362" s="120"/>
      <c r="MG1362" s="120"/>
      <c r="MH1362" s="120"/>
      <c r="MI1362" s="120"/>
      <c r="MJ1362" s="120"/>
      <c r="MK1362" s="120"/>
      <c r="ML1362" s="120"/>
      <c r="MM1362" s="120"/>
      <c r="MN1362" s="120"/>
      <c r="MO1362" s="120"/>
      <c r="MP1362" s="120"/>
      <c r="MQ1362" s="120"/>
      <c r="MR1362" s="120"/>
      <c r="MS1362" s="120"/>
      <c r="MT1362" s="120"/>
      <c r="MU1362" s="120"/>
      <c r="MV1362" s="120"/>
      <c r="MW1362" s="120"/>
      <c r="MX1362" s="120"/>
      <c r="MY1362" s="120"/>
      <c r="MZ1362" s="120"/>
      <c r="NA1362" s="120"/>
      <c r="NB1362" s="120"/>
      <c r="NC1362" s="120"/>
      <c r="ND1362" s="120"/>
      <c r="NE1362" s="120"/>
      <c r="NF1362" s="120"/>
      <c r="NG1362" s="120"/>
      <c r="NH1362" s="120"/>
      <c r="NI1362" s="120"/>
      <c r="NJ1362" s="120"/>
      <c r="NK1362" s="120"/>
      <c r="NL1362" s="120"/>
      <c r="NM1362" s="120"/>
      <c r="NN1362" s="120"/>
      <c r="NO1362" s="120"/>
      <c r="NP1362" s="120"/>
      <c r="NQ1362" s="120"/>
      <c r="NR1362" s="120"/>
      <c r="NS1362" s="120"/>
      <c r="NT1362" s="120"/>
      <c r="NU1362" s="120"/>
      <c r="NV1362" s="120"/>
      <c r="NW1362" s="120"/>
      <c r="NX1362" s="120"/>
      <c r="NY1362" s="120"/>
      <c r="NZ1362" s="120"/>
      <c r="OA1362" s="120"/>
      <c r="OB1362" s="120"/>
      <c r="OC1362" s="120"/>
      <c r="OD1362" s="120"/>
      <c r="OE1362" s="120"/>
      <c r="OF1362" s="120"/>
      <c r="OG1362" s="120"/>
      <c r="OH1362" s="120"/>
      <c r="OI1362" s="120"/>
      <c r="OJ1362" s="120"/>
      <c r="OK1362" s="120"/>
      <c r="OL1362" s="120"/>
      <c r="OM1362" s="120"/>
      <c r="ON1362" s="120"/>
      <c r="OO1362" s="120"/>
      <c r="OP1362" s="120"/>
      <c r="OQ1362" s="120"/>
      <c r="OR1362" s="120"/>
      <c r="OS1362" s="120"/>
      <c r="OT1362" s="120"/>
      <c r="OU1362" s="120"/>
      <c r="OV1362" s="120"/>
      <c r="OW1362" s="120"/>
      <c r="OX1362" s="120"/>
      <c r="OY1362" s="120"/>
      <c r="OZ1362" s="120"/>
      <c r="PA1362" s="120"/>
      <c r="PB1362" s="120"/>
      <c r="PC1362" s="120"/>
      <c r="PD1362" s="120"/>
      <c r="PE1362" s="120"/>
      <c r="PF1362" s="120"/>
      <c r="PG1362" s="120"/>
      <c r="PH1362" s="120"/>
      <c r="PI1362" s="120"/>
      <c r="PJ1362" s="120"/>
      <c r="PK1362" s="120"/>
      <c r="PL1362" s="120"/>
      <c r="PM1362" s="120"/>
      <c r="PN1362" s="120"/>
      <c r="PO1362" s="120"/>
      <c r="PP1362" s="120"/>
      <c r="PQ1362" s="120"/>
      <c r="PR1362" s="120"/>
      <c r="PS1362" s="120"/>
      <c r="PT1362" s="120"/>
      <c r="PU1362" s="120"/>
      <c r="PV1362" s="120"/>
      <c r="PW1362" s="120"/>
      <c r="PX1362" s="120"/>
      <c r="PY1362" s="120"/>
      <c r="PZ1362" s="120"/>
      <c r="QA1362" s="120"/>
      <c r="QB1362" s="120"/>
      <c r="QC1362" s="120"/>
      <c r="QD1362" s="120"/>
      <c r="QE1362" s="120"/>
      <c r="QF1362" s="120"/>
      <c r="QG1362" s="120"/>
      <c r="QH1362" s="120"/>
      <c r="QI1362" s="120"/>
      <c r="QJ1362" s="120"/>
      <c r="QK1362" s="120"/>
      <c r="QL1362" s="120"/>
      <c r="QM1362" s="120"/>
      <c r="QN1362" s="120"/>
      <c r="QO1362" s="120"/>
      <c r="QP1362" s="120"/>
      <c r="QQ1362" s="120"/>
      <c r="QR1362" s="120"/>
      <c r="QS1362" s="120"/>
      <c r="QT1362" s="120"/>
      <c r="QU1362" s="120"/>
      <c r="QV1362" s="120"/>
      <c r="QW1362" s="120"/>
      <c r="QX1362" s="120"/>
      <c r="QY1362" s="120"/>
      <c r="QZ1362" s="120"/>
      <c r="RA1362" s="120"/>
      <c r="RB1362" s="120"/>
      <c r="RC1362" s="120"/>
      <c r="RD1362" s="120"/>
      <c r="RE1362" s="120"/>
      <c r="RF1362" s="120"/>
      <c r="RG1362" s="120"/>
      <c r="RH1362" s="120"/>
      <c r="RI1362" s="120"/>
      <c r="RJ1362" s="120"/>
      <c r="RK1362" s="120"/>
      <c r="RL1362" s="120"/>
      <c r="RM1362" s="120"/>
      <c r="RN1362" s="120"/>
      <c r="RO1362" s="120"/>
      <c r="RP1362" s="120"/>
      <c r="RQ1362" s="120"/>
      <c r="RR1362" s="120"/>
      <c r="RS1362" s="120"/>
      <c r="RT1362" s="120"/>
      <c r="RU1362" s="120"/>
      <c r="RV1362" s="120"/>
      <c r="RW1362" s="120"/>
      <c r="RX1362" s="120"/>
      <c r="RY1362" s="120"/>
      <c r="RZ1362" s="120"/>
      <c r="SA1362" s="120"/>
      <c r="SB1362" s="120"/>
      <c r="SC1362" s="120"/>
      <c r="SD1362" s="120"/>
      <c r="SE1362" s="120"/>
      <c r="SF1362" s="120"/>
      <c r="SG1362" s="120"/>
      <c r="SH1362" s="120"/>
      <c r="SI1362" s="120"/>
      <c r="SJ1362" s="120"/>
      <c r="SK1362" s="120"/>
      <c r="SL1362" s="120"/>
      <c r="SM1362" s="120"/>
      <c r="SN1362" s="120"/>
      <c r="SO1362" s="120"/>
      <c r="SP1362" s="120"/>
      <c r="SQ1362" s="120"/>
      <c r="SR1362" s="120"/>
      <c r="SS1362" s="120"/>
      <c r="ST1362" s="120"/>
      <c r="SU1362" s="120"/>
      <c r="SV1362" s="120"/>
      <c r="SW1362" s="120"/>
      <c r="SX1362" s="120"/>
      <c r="SY1362" s="120"/>
      <c r="SZ1362" s="120"/>
      <c r="TA1362" s="120"/>
      <c r="TB1362" s="120"/>
      <c r="TC1362" s="120"/>
      <c r="TD1362" s="120"/>
      <c r="TE1362" s="120"/>
      <c r="TF1362" s="120"/>
      <c r="TG1362" s="120"/>
      <c r="TH1362" s="120"/>
      <c r="TI1362" s="120"/>
      <c r="TJ1362" s="120"/>
      <c r="TK1362" s="120"/>
      <c r="TL1362" s="120"/>
      <c r="TM1362" s="120"/>
      <c r="TN1362" s="120"/>
      <c r="TO1362" s="120"/>
      <c r="TP1362" s="120"/>
      <c r="TQ1362" s="120"/>
      <c r="TR1362" s="120"/>
      <c r="TS1362" s="120"/>
      <c r="TT1362" s="120"/>
      <c r="TU1362" s="120"/>
      <c r="TV1362" s="120"/>
      <c r="TW1362" s="120"/>
      <c r="TX1362" s="120"/>
      <c r="TY1362" s="120"/>
      <c r="TZ1362" s="120"/>
      <c r="UA1362" s="120"/>
      <c r="UB1362" s="120"/>
      <c r="UC1362" s="120"/>
      <c r="UD1362" s="120"/>
      <c r="UE1362" s="120"/>
      <c r="UF1362" s="120"/>
      <c r="UG1362" s="120"/>
      <c r="UH1362" s="120"/>
      <c r="UI1362" s="120"/>
      <c r="UJ1362" s="120"/>
      <c r="UK1362" s="120"/>
      <c r="UL1362" s="120"/>
      <c r="UM1362" s="120"/>
      <c r="UN1362" s="120"/>
      <c r="UO1362" s="120"/>
      <c r="UP1362" s="120"/>
      <c r="UQ1362" s="120"/>
      <c r="UR1362" s="120"/>
      <c r="US1362" s="120"/>
      <c r="UT1362" s="120"/>
      <c r="UU1362" s="120"/>
      <c r="UV1362" s="120"/>
      <c r="UW1362" s="120"/>
      <c r="UX1362" s="120"/>
      <c r="UY1362" s="120"/>
      <c r="UZ1362" s="120"/>
      <c r="VA1362" s="120"/>
      <c r="VB1362" s="120"/>
      <c r="VC1362" s="120"/>
      <c r="VD1362" s="120"/>
      <c r="VE1362" s="120"/>
      <c r="VF1362" s="120"/>
      <c r="VG1362" s="120"/>
      <c r="VH1362" s="120"/>
      <c r="VI1362" s="120"/>
      <c r="VJ1362" s="120"/>
      <c r="VK1362" s="120"/>
      <c r="VL1362" s="120"/>
      <c r="VM1362" s="120"/>
      <c r="VN1362" s="120"/>
      <c r="VO1362" s="120"/>
      <c r="VP1362" s="120"/>
      <c r="VQ1362" s="120"/>
      <c r="VR1362" s="120"/>
      <c r="VS1362" s="120"/>
      <c r="VT1362" s="120"/>
      <c r="VU1362" s="120"/>
      <c r="VV1362" s="120"/>
      <c r="VW1362" s="120"/>
      <c r="VX1362" s="120"/>
      <c r="VY1362" s="120"/>
      <c r="VZ1362" s="120"/>
      <c r="WA1362" s="120"/>
      <c r="WB1362" s="120"/>
      <c r="WC1362" s="120"/>
      <c r="WD1362" s="120"/>
      <c r="WE1362" s="120"/>
      <c r="WF1362" s="120"/>
      <c r="WG1362" s="120"/>
      <c r="WH1362" s="120"/>
      <c r="WI1362" s="120"/>
      <c r="WJ1362" s="120"/>
      <c r="WK1362" s="120"/>
      <c r="WL1362" s="120"/>
      <c r="WM1362" s="120"/>
      <c r="WN1362" s="120"/>
      <c r="WO1362" s="120"/>
      <c r="WP1362" s="120"/>
      <c r="WQ1362" s="120"/>
      <c r="WR1362" s="120"/>
      <c r="WS1362" s="120"/>
      <c r="WT1362" s="120"/>
      <c r="WU1362" s="120"/>
      <c r="WV1362" s="120"/>
      <c r="WW1362" s="120"/>
      <c r="WX1362" s="120"/>
      <c r="WY1362" s="120"/>
      <c r="WZ1362" s="120"/>
      <c r="XA1362" s="120"/>
      <c r="XB1362" s="120"/>
      <c r="XC1362" s="120"/>
      <c r="XD1362" s="120"/>
      <c r="XE1362" s="120"/>
      <c r="XF1362" s="120"/>
      <c r="XG1362" s="120"/>
      <c r="XH1362" s="120"/>
      <c r="XI1362" s="120"/>
      <c r="XJ1362" s="120"/>
      <c r="XK1362" s="120"/>
      <c r="XL1362" s="120"/>
      <c r="XM1362" s="120"/>
      <c r="XN1362" s="120"/>
      <c r="XO1362" s="120"/>
      <c r="XP1362" s="120"/>
      <c r="XQ1362" s="120"/>
      <c r="XR1362" s="120"/>
      <c r="XS1362" s="120"/>
      <c r="XT1362" s="120"/>
      <c r="XU1362" s="120"/>
      <c r="XV1362" s="120"/>
      <c r="XW1362" s="120"/>
      <c r="XX1362" s="120"/>
      <c r="XY1362" s="120"/>
      <c r="XZ1362" s="120"/>
      <c r="YA1362" s="120"/>
      <c r="YB1362" s="120"/>
      <c r="YC1362" s="120"/>
      <c r="YD1362" s="120"/>
      <c r="YE1362" s="120"/>
      <c r="YF1362" s="120"/>
      <c r="YG1362" s="120"/>
      <c r="YH1362" s="120"/>
      <c r="YI1362" s="120"/>
      <c r="YJ1362" s="120"/>
      <c r="YK1362" s="120"/>
      <c r="YL1362" s="120"/>
      <c r="YM1362" s="120"/>
      <c r="YN1362" s="120"/>
      <c r="YO1362" s="120"/>
      <c r="YP1362" s="120"/>
      <c r="YQ1362" s="120"/>
      <c r="YR1362" s="120"/>
      <c r="YS1362" s="120"/>
      <c r="YT1362" s="120"/>
      <c r="YU1362" s="120"/>
      <c r="YV1362" s="120"/>
      <c r="YW1362" s="120"/>
      <c r="YX1362" s="120"/>
      <c r="YY1362" s="120"/>
      <c r="YZ1362" s="120"/>
      <c r="ZA1362" s="120"/>
      <c r="ZB1362" s="120"/>
      <c r="ZC1362" s="120"/>
      <c r="ZD1362" s="120"/>
      <c r="ZE1362" s="120"/>
      <c r="ZF1362" s="120"/>
      <c r="ZG1362" s="120"/>
      <c r="ZH1362" s="120"/>
      <c r="ZI1362" s="120"/>
      <c r="ZJ1362" s="120"/>
      <c r="ZK1362" s="120"/>
      <c r="ZL1362" s="120"/>
      <c r="ZM1362" s="120"/>
      <c r="ZN1362" s="120"/>
      <c r="ZO1362" s="120"/>
      <c r="ZP1362" s="120"/>
      <c r="ZQ1362" s="120"/>
      <c r="ZR1362" s="120"/>
      <c r="ZS1362" s="120"/>
      <c r="ZT1362" s="120"/>
      <c r="ZU1362" s="120"/>
      <c r="ZV1362" s="120"/>
      <c r="ZW1362" s="120"/>
      <c r="ZX1362" s="120"/>
      <c r="ZY1362" s="120"/>
      <c r="ZZ1362" s="120"/>
      <c r="AAA1362" s="120"/>
      <c r="AAB1362" s="120"/>
      <c r="AAC1362" s="120"/>
      <c r="AAD1362" s="120"/>
      <c r="AAE1362" s="120"/>
      <c r="AAF1362" s="120"/>
      <c r="AAG1362" s="120"/>
      <c r="AAH1362" s="120"/>
      <c r="AAI1362" s="120"/>
      <c r="AAJ1362" s="120"/>
      <c r="AAK1362" s="120"/>
      <c r="AAL1362" s="120"/>
      <c r="AAM1362" s="120"/>
      <c r="AAN1362" s="120"/>
      <c r="AAO1362" s="120"/>
      <c r="AAP1362" s="120"/>
      <c r="AAQ1362" s="120"/>
      <c r="AAR1362" s="120"/>
      <c r="AAS1362" s="120"/>
      <c r="AAT1362" s="120"/>
      <c r="AAU1362" s="120"/>
      <c r="AAV1362" s="120"/>
      <c r="AAW1362" s="120"/>
      <c r="AAX1362" s="120"/>
      <c r="AAY1362" s="120"/>
      <c r="AAZ1362" s="120"/>
      <c r="ABA1362" s="120"/>
      <c r="ABB1362" s="120"/>
      <c r="ABC1362" s="120"/>
      <c r="ABD1362" s="120"/>
      <c r="ABE1362" s="120"/>
      <c r="ABF1362" s="120"/>
      <c r="ABG1362" s="120"/>
      <c r="ABH1362" s="120"/>
      <c r="ABI1362" s="120"/>
      <c r="ABJ1362" s="120"/>
      <c r="ABK1362" s="120"/>
      <c r="ABL1362" s="120"/>
      <c r="ABM1362" s="120"/>
      <c r="ABN1362" s="120"/>
      <c r="ABO1362" s="120"/>
      <c r="ABP1362" s="120"/>
      <c r="ABQ1362" s="120"/>
      <c r="ABR1362" s="120"/>
      <c r="ABS1362" s="120"/>
      <c r="ABT1362" s="120"/>
      <c r="ABU1362" s="120"/>
      <c r="ABV1362" s="120"/>
      <c r="ABW1362" s="120"/>
      <c r="ABX1362" s="120"/>
      <c r="ABY1362" s="120"/>
      <c r="ABZ1362" s="120"/>
      <c r="ACA1362" s="120"/>
      <c r="ACB1362" s="120"/>
      <c r="ACC1362" s="120"/>
      <c r="ACD1362" s="120"/>
      <c r="ACE1362" s="120"/>
      <c r="ACF1362" s="120"/>
      <c r="ACG1362" s="120"/>
      <c r="ACH1362" s="120"/>
      <c r="ACI1362" s="120"/>
      <c r="ACJ1362" s="120"/>
      <c r="ACK1362" s="120"/>
      <c r="ACL1362" s="120"/>
      <c r="ACM1362" s="120"/>
      <c r="ACN1362" s="120"/>
      <c r="ACO1362" s="120"/>
      <c r="ACP1362" s="120"/>
      <c r="ACQ1362" s="120"/>
      <c r="ACR1362" s="120"/>
      <c r="ACS1362" s="120"/>
      <c r="ACT1362" s="120"/>
      <c r="ACU1362" s="120"/>
      <c r="ACV1362" s="120"/>
      <c r="ACW1362" s="120"/>
      <c r="ACX1362" s="120"/>
      <c r="ACY1362" s="120"/>
      <c r="ACZ1362" s="120"/>
      <c r="ADA1362" s="120"/>
      <c r="ADB1362" s="120"/>
      <c r="ADC1362" s="120"/>
      <c r="ADD1362" s="120"/>
      <c r="ADE1362" s="120"/>
      <c r="ADF1362" s="120"/>
      <c r="ADG1362" s="120"/>
      <c r="ADH1362" s="120"/>
      <c r="ADI1362" s="120"/>
      <c r="ADJ1362" s="120"/>
      <c r="ADK1362" s="120"/>
      <c r="ADL1362" s="120"/>
      <c r="ADM1362" s="120"/>
      <c r="ADN1362" s="120"/>
      <c r="ADO1362" s="120"/>
      <c r="ADP1362" s="120"/>
      <c r="ADQ1362" s="120"/>
      <c r="ADR1362" s="120"/>
      <c r="ADS1362" s="120"/>
      <c r="ADT1362" s="120"/>
      <c r="ADU1362" s="120"/>
      <c r="ADV1362" s="120"/>
      <c r="ADW1362" s="120"/>
      <c r="ADX1362" s="120"/>
      <c r="ADY1362" s="120"/>
      <c r="ADZ1362" s="120"/>
      <c r="AEA1362" s="120"/>
      <c r="AEB1362" s="120"/>
      <c r="AEC1362" s="120"/>
      <c r="AED1362" s="120"/>
      <c r="AEE1362" s="120"/>
      <c r="AEF1362" s="120"/>
      <c r="AEG1362" s="120"/>
      <c r="AEH1362" s="120"/>
      <c r="AEI1362" s="120"/>
      <c r="AEJ1362" s="120"/>
      <c r="AEK1362" s="120"/>
      <c r="AEL1362" s="120"/>
      <c r="AEM1362" s="120"/>
      <c r="AEN1362" s="120"/>
      <c r="AEO1362" s="120"/>
      <c r="AEP1362" s="120"/>
      <c r="AEQ1362" s="120"/>
      <c r="AER1362" s="120"/>
      <c r="AES1362" s="120"/>
      <c r="AET1362" s="120"/>
      <c r="AEU1362" s="120"/>
      <c r="AEV1362" s="120"/>
      <c r="AEW1362" s="120"/>
      <c r="AEX1362" s="120"/>
      <c r="AEY1362" s="120"/>
      <c r="AEZ1362" s="120"/>
      <c r="AFA1362" s="120"/>
      <c r="AFB1362" s="120"/>
      <c r="AFC1362" s="120"/>
      <c r="AFD1362" s="120"/>
      <c r="AFE1362" s="120"/>
      <c r="AFF1362" s="120"/>
      <c r="AFG1362" s="120"/>
      <c r="AFH1362" s="120"/>
      <c r="AFI1362" s="120"/>
      <c r="AFJ1362" s="120"/>
      <c r="AFK1362" s="120"/>
      <c r="AFL1362" s="120"/>
      <c r="AFM1362" s="120"/>
      <c r="AFN1362" s="120"/>
      <c r="AFO1362" s="120"/>
      <c r="AFP1362" s="120"/>
      <c r="AFQ1362" s="120"/>
      <c r="AFR1362" s="120"/>
      <c r="AFS1362" s="120"/>
      <c r="AFT1362" s="120"/>
      <c r="AFU1362" s="120"/>
      <c r="AFV1362" s="120"/>
      <c r="AFW1362" s="120"/>
      <c r="AFX1362" s="120"/>
      <c r="AFY1362" s="120"/>
      <c r="AFZ1362" s="120"/>
      <c r="AGA1362" s="120"/>
      <c r="AGB1362" s="120"/>
      <c r="AGC1362" s="120"/>
      <c r="AGD1362" s="120"/>
      <c r="AGE1362" s="120"/>
      <c r="AGF1362" s="120"/>
      <c r="AGG1362" s="120"/>
      <c r="AGH1362" s="120"/>
      <c r="AGI1362" s="120"/>
      <c r="AGJ1362" s="120"/>
      <c r="AGK1362" s="120"/>
      <c r="AGL1362" s="120"/>
      <c r="AGM1362" s="120"/>
      <c r="AGN1362" s="120"/>
      <c r="AGO1362" s="120"/>
      <c r="AGP1362" s="120"/>
      <c r="AGQ1362" s="120"/>
      <c r="AGR1362" s="120"/>
      <c r="AGS1362" s="120"/>
      <c r="AGT1362" s="120"/>
      <c r="AGU1362" s="120"/>
      <c r="AGV1362" s="120"/>
      <c r="AGW1362" s="120"/>
      <c r="AGX1362" s="120"/>
      <c r="AGY1362" s="120"/>
      <c r="AGZ1362" s="120"/>
      <c r="AHA1362" s="120"/>
      <c r="AHB1362" s="120"/>
      <c r="AHC1362" s="120"/>
      <c r="AHD1362" s="120"/>
      <c r="AHE1362" s="120"/>
      <c r="AHF1362" s="120"/>
      <c r="AHG1362" s="120"/>
      <c r="AHH1362" s="120"/>
      <c r="AHI1362" s="120"/>
      <c r="AHJ1362" s="120"/>
      <c r="AHK1362" s="120"/>
      <c r="AHL1362" s="120"/>
      <c r="AHM1362" s="120"/>
      <c r="AHN1362" s="120"/>
      <c r="AHO1362" s="120"/>
      <c r="AHP1362" s="120"/>
      <c r="AHQ1362" s="120"/>
      <c r="AHR1362" s="120"/>
      <c r="AHS1362" s="120"/>
      <c r="AHT1362" s="120"/>
      <c r="AHU1362" s="120"/>
      <c r="AHV1362" s="120"/>
      <c r="AHW1362" s="120"/>
      <c r="AHX1362" s="120"/>
      <c r="AHY1362" s="120"/>
      <c r="AHZ1362" s="120"/>
      <c r="AIA1362" s="120"/>
      <c r="AIB1362" s="120"/>
      <c r="AIC1362" s="120"/>
      <c r="AID1362" s="120"/>
      <c r="AIE1362" s="120"/>
      <c r="AIF1362" s="120"/>
      <c r="AIG1362" s="120"/>
      <c r="AIH1362" s="120"/>
      <c r="AII1362" s="120"/>
      <c r="AIJ1362" s="120"/>
      <c r="AIK1362" s="120"/>
      <c r="AIL1362" s="120"/>
      <c r="AIM1362" s="120"/>
      <c r="AIN1362" s="120"/>
      <c r="AIO1362" s="120"/>
      <c r="AIP1362" s="120"/>
      <c r="AIQ1362" s="120"/>
      <c r="AIR1362" s="120"/>
      <c r="AIS1362" s="120"/>
      <c r="AIT1362" s="120"/>
      <c r="AIU1362" s="120"/>
      <c r="AIV1362" s="120"/>
      <c r="AIW1362" s="120"/>
      <c r="AIX1362" s="120"/>
      <c r="AIY1362" s="120"/>
      <c r="AIZ1362" s="120"/>
      <c r="AJA1362" s="120"/>
      <c r="AJB1362" s="120"/>
      <c r="AJC1362" s="120"/>
      <c r="AJD1362" s="120"/>
      <c r="AJE1362" s="120"/>
      <c r="AJF1362" s="120"/>
      <c r="AJG1362" s="120"/>
      <c r="AJH1362" s="120"/>
      <c r="AJI1362" s="120"/>
      <c r="AJJ1362" s="120"/>
      <c r="AJK1362" s="120"/>
      <c r="AJL1362" s="120"/>
      <c r="AJM1362" s="120"/>
      <c r="AJN1362" s="120"/>
      <c r="AJO1362" s="120"/>
      <c r="AJP1362" s="120"/>
      <c r="AJQ1362" s="120"/>
      <c r="AJR1362" s="120"/>
      <c r="AJS1362" s="120"/>
      <c r="AJT1362" s="120"/>
      <c r="AJU1362" s="120"/>
      <c r="AJV1362" s="120"/>
      <c r="AJW1362" s="120"/>
      <c r="AJX1362" s="120"/>
      <c r="AJY1362" s="120"/>
      <c r="AJZ1362" s="120"/>
      <c r="AKA1362" s="120"/>
      <c r="AKB1362" s="120"/>
      <c r="AKC1362" s="120"/>
      <c r="AKD1362" s="120"/>
      <c r="AKE1362" s="120"/>
      <c r="AKF1362" s="120"/>
      <c r="AKG1362" s="120"/>
      <c r="AKH1362" s="120"/>
      <c r="AKI1362" s="120"/>
      <c r="AKJ1362" s="120"/>
      <c r="AKK1362" s="120"/>
      <c r="AKL1362" s="120"/>
      <c r="AKM1362" s="120"/>
      <c r="AKN1362" s="120"/>
      <c r="AKO1362" s="120"/>
      <c r="AKP1362" s="120"/>
      <c r="AKQ1362" s="120"/>
      <c r="AKR1362" s="120"/>
      <c r="AKS1362" s="120"/>
      <c r="AKT1362" s="120"/>
      <c r="AKU1362" s="120"/>
      <c r="AKV1362" s="120"/>
      <c r="AKW1362" s="120"/>
      <c r="AKX1362" s="120"/>
      <c r="AKY1362" s="120"/>
      <c r="AKZ1362" s="120"/>
      <c r="ALA1362" s="120"/>
      <c r="ALB1362" s="120"/>
      <c r="ALC1362" s="120"/>
      <c r="ALD1362" s="120"/>
      <c r="ALE1362" s="120"/>
      <c r="ALF1362" s="120"/>
      <c r="ALG1362" s="120"/>
      <c r="ALH1362" s="120"/>
      <c r="ALI1362" s="120"/>
      <c r="ALJ1362" s="120"/>
      <c r="ALK1362" s="120"/>
      <c r="ALL1362" s="120"/>
      <c r="ALM1362" s="120"/>
      <c r="ALN1362" s="120"/>
      <c r="ALO1362" s="120"/>
      <c r="ALP1362" s="120"/>
      <c r="ALQ1362" s="120"/>
      <c r="ALR1362" s="120"/>
      <c r="ALS1362" s="120"/>
      <c r="ALT1362" s="120"/>
      <c r="ALU1362" s="120"/>
      <c r="ALV1362" s="120"/>
      <c r="ALW1362" s="120"/>
      <c r="ALX1362" s="120"/>
      <c r="ALY1362" s="120"/>
      <c r="ALZ1362" s="120"/>
      <c r="AMA1362" s="120"/>
      <c r="AMB1362" s="120"/>
      <c r="AMC1362" s="120"/>
      <c r="AMD1362" s="120"/>
      <c r="AME1362" s="120"/>
      <c r="AMF1362" s="120"/>
      <c r="AMG1362" s="120"/>
      <c r="AMH1362" s="120"/>
      <c r="AMI1362" s="120"/>
      <c r="AMJ1362" s="120"/>
      <c r="AMK1362" s="120"/>
      <c r="AML1362" s="120"/>
      <c r="AMM1362" s="120"/>
      <c r="AMN1362" s="120"/>
      <c r="AMO1362" s="120"/>
      <c r="AMP1362" s="120"/>
      <c r="AMQ1362" s="120"/>
      <c r="AMR1362" s="120"/>
      <c r="AMS1362" s="120"/>
      <c r="AMT1362" s="120"/>
      <c r="AMU1362" s="120"/>
      <c r="AMV1362" s="120"/>
      <c r="AMW1362" s="120"/>
      <c r="AMX1362" s="120"/>
      <c r="AMY1362" s="120"/>
      <c r="AMZ1362" s="120"/>
      <c r="ANA1362" s="120"/>
      <c r="ANB1362" s="120"/>
      <c r="ANC1362" s="120"/>
      <c r="AND1362" s="120"/>
      <c r="ANE1362" s="120"/>
      <c r="ANF1362" s="120"/>
      <c r="ANG1362" s="120"/>
      <c r="ANH1362" s="120"/>
      <c r="ANI1362" s="120"/>
      <c r="ANJ1362" s="120"/>
      <c r="ANK1362" s="120"/>
      <c r="ANL1362" s="120"/>
      <c r="ANM1362" s="120"/>
      <c r="ANN1362" s="120"/>
      <c r="ANO1362" s="120"/>
      <c r="ANP1362" s="120"/>
      <c r="ANQ1362" s="120"/>
      <c r="ANR1362" s="120"/>
      <c r="ANS1362" s="120"/>
      <c r="ANT1362" s="120"/>
      <c r="ANU1362" s="120"/>
      <c r="ANV1362" s="120"/>
      <c r="ANW1362" s="120"/>
      <c r="ANX1362" s="120"/>
      <c r="ANY1362" s="120"/>
      <c r="ANZ1362" s="120"/>
      <c r="AOA1362" s="120"/>
      <c r="AOB1362" s="120"/>
      <c r="AOC1362" s="120"/>
      <c r="AOD1362" s="120"/>
      <c r="AOE1362" s="120"/>
      <c r="AOF1362" s="120"/>
      <c r="AOG1362" s="120"/>
      <c r="AOH1362" s="120"/>
      <c r="AOI1362" s="120"/>
      <c r="AOJ1362" s="120"/>
      <c r="AOK1362" s="120"/>
      <c r="AOL1362" s="120"/>
      <c r="AOM1362" s="120"/>
      <c r="AON1362" s="120"/>
      <c r="AOO1362" s="120"/>
      <c r="AOP1362" s="120"/>
      <c r="AOQ1362" s="120"/>
      <c r="AOR1362" s="120"/>
      <c r="AOS1362" s="120"/>
      <c r="AOT1362" s="120"/>
      <c r="AOU1362" s="120"/>
      <c r="AOV1362" s="120"/>
      <c r="AOW1362" s="120"/>
      <c r="AOX1362" s="120"/>
      <c r="AOY1362" s="120"/>
      <c r="AOZ1362" s="120"/>
      <c r="APA1362" s="120"/>
      <c r="APB1362" s="120"/>
      <c r="APC1362" s="120"/>
      <c r="APD1362" s="120"/>
      <c r="APE1362" s="120"/>
      <c r="APF1362" s="120"/>
      <c r="APG1362" s="120"/>
      <c r="APH1362" s="120"/>
      <c r="API1362" s="120"/>
      <c r="APJ1362" s="120"/>
      <c r="APK1362" s="120"/>
      <c r="APL1362" s="120"/>
      <c r="APM1362" s="120"/>
      <c r="APN1362" s="120"/>
      <c r="APO1362" s="120"/>
      <c r="APP1362" s="120"/>
      <c r="APQ1362" s="120"/>
      <c r="APR1362" s="120"/>
      <c r="APS1362" s="120"/>
      <c r="APT1362" s="120"/>
      <c r="APU1362" s="120"/>
      <c r="APV1362" s="120"/>
      <c r="APW1362" s="120"/>
      <c r="APX1362" s="120"/>
      <c r="APY1362" s="120"/>
      <c r="APZ1362" s="120"/>
      <c r="AQA1362" s="120"/>
      <c r="AQB1362" s="120"/>
      <c r="AQC1362" s="120"/>
      <c r="AQD1362" s="120"/>
      <c r="AQE1362" s="120"/>
      <c r="AQF1362" s="120"/>
      <c r="AQG1362" s="120"/>
      <c r="AQH1362" s="120"/>
      <c r="AQI1362" s="120"/>
      <c r="AQJ1362" s="120"/>
      <c r="AQK1362" s="120"/>
      <c r="AQL1362" s="120"/>
      <c r="AQM1362" s="120"/>
      <c r="AQN1362" s="120"/>
      <c r="AQO1362" s="120"/>
      <c r="AQP1362" s="120"/>
      <c r="AQQ1362" s="120"/>
      <c r="AQR1362" s="120"/>
      <c r="AQS1362" s="120"/>
      <c r="AQT1362" s="120"/>
      <c r="AQU1362" s="120"/>
      <c r="AQV1362" s="120"/>
      <c r="AQW1362" s="120"/>
      <c r="AQX1362" s="120"/>
      <c r="AQY1362" s="120"/>
      <c r="AQZ1362" s="120"/>
      <c r="ARA1362" s="120"/>
      <c r="ARB1362" s="120"/>
      <c r="ARC1362" s="120"/>
      <c r="ARD1362" s="120"/>
      <c r="ARE1362" s="120"/>
      <c r="ARF1362" s="120"/>
      <c r="ARG1362" s="120"/>
      <c r="ARH1362" s="120"/>
      <c r="ARI1362" s="120"/>
      <c r="ARJ1362" s="120"/>
      <c r="ARK1362" s="120"/>
      <c r="ARL1362" s="120"/>
      <c r="ARM1362" s="120"/>
      <c r="ARN1362" s="120"/>
      <c r="ARO1362" s="120"/>
      <c r="ARP1362" s="120"/>
      <c r="ARQ1362" s="120"/>
      <c r="ARR1362" s="120"/>
      <c r="ARS1362" s="120"/>
      <c r="ART1362" s="120"/>
      <c r="ARU1362" s="120"/>
      <c r="ARV1362" s="120"/>
      <c r="ARW1362" s="120"/>
      <c r="ARX1362" s="120"/>
      <c r="ARY1362" s="120"/>
      <c r="ARZ1362" s="120"/>
      <c r="ASA1362" s="120"/>
      <c r="ASB1362" s="120"/>
      <c r="ASC1362" s="120"/>
      <c r="ASD1362" s="120"/>
      <c r="ASE1362" s="120"/>
      <c r="ASF1362" s="120"/>
      <c r="ASG1362" s="120"/>
      <c r="ASH1362" s="120"/>
      <c r="ASI1362" s="120"/>
      <c r="ASJ1362" s="120"/>
      <c r="ASK1362" s="120"/>
      <c r="ASL1362" s="120"/>
      <c r="ASM1362" s="120"/>
      <c r="ASN1362" s="120"/>
      <c r="ASO1362" s="120"/>
      <c r="ASP1362" s="120"/>
      <c r="ASQ1362" s="120"/>
      <c r="ASR1362" s="120"/>
      <c r="ASS1362" s="120"/>
      <c r="AST1362" s="120"/>
      <c r="ASU1362" s="120"/>
      <c r="ASV1362" s="120"/>
      <c r="ASW1362" s="120"/>
      <c r="ASX1362" s="120"/>
      <c r="ASY1362" s="120"/>
      <c r="ASZ1362" s="120"/>
      <c r="ATA1362" s="120"/>
      <c r="ATB1362" s="120"/>
      <c r="ATC1362" s="120"/>
      <c r="ATD1362" s="120"/>
      <c r="ATE1362" s="120"/>
      <c r="ATF1362" s="120"/>
      <c r="ATG1362" s="120"/>
      <c r="ATH1362" s="120"/>
      <c r="ATI1362" s="120"/>
      <c r="ATJ1362" s="120"/>
      <c r="ATK1362" s="120"/>
      <c r="ATL1362" s="120"/>
      <c r="ATM1362" s="120"/>
      <c r="ATN1362" s="120"/>
      <c r="ATO1362" s="120"/>
    </row>
    <row r="1363" spans="1:1211" s="20" customFormat="1" ht="14.1" customHeight="1">
      <c r="A1363" s="112"/>
      <c r="B1363" s="945" t="s">
        <v>3775</v>
      </c>
      <c r="C1363" s="184" t="s">
        <v>6131</v>
      </c>
      <c r="D1363" s="120"/>
      <c r="E1363" s="701"/>
      <c r="F1363" s="703"/>
      <c r="G1363" s="702"/>
      <c r="H1363" s="702"/>
      <c r="I1363" s="702"/>
      <c r="J1363" s="700"/>
      <c r="K1363" s="112"/>
      <c r="L1363" s="363"/>
      <c r="M1363" s="112"/>
      <c r="N1363" s="362"/>
      <c r="O1363" s="573"/>
      <c r="P1363" s="120"/>
      <c r="Q1363" s="120"/>
      <c r="R1363" s="120"/>
      <c r="S1363" s="120"/>
      <c r="T1363" s="120"/>
      <c r="U1363" s="120"/>
      <c r="V1363" s="120"/>
      <c r="W1363" s="120"/>
      <c r="X1363" s="120"/>
      <c r="Y1363" s="120"/>
      <c r="Z1363" s="120"/>
      <c r="AA1363" s="120"/>
      <c r="AB1363" s="120"/>
      <c r="AC1363" s="120"/>
      <c r="AD1363" s="120"/>
      <c r="AE1363" s="120"/>
      <c r="AF1363" s="120"/>
      <c r="AG1363" s="120"/>
      <c r="AH1363" s="120"/>
      <c r="AI1363" s="120"/>
      <c r="AJ1363" s="120"/>
      <c r="AK1363" s="120"/>
      <c r="AL1363" s="120"/>
      <c r="AM1363" s="120"/>
      <c r="AN1363" s="120"/>
      <c r="AO1363" s="120"/>
      <c r="AP1363" s="120"/>
      <c r="AQ1363" s="120"/>
      <c r="AR1363" s="120"/>
      <c r="AS1363" s="120"/>
      <c r="AT1363" s="120"/>
      <c r="AU1363" s="120"/>
      <c r="AV1363" s="120"/>
      <c r="AW1363" s="120"/>
      <c r="AX1363" s="120"/>
      <c r="AY1363" s="120"/>
      <c r="AZ1363" s="120"/>
      <c r="BA1363" s="120"/>
      <c r="BB1363" s="120"/>
      <c r="BC1363" s="120"/>
      <c r="BD1363" s="120"/>
      <c r="BE1363" s="120"/>
      <c r="BF1363" s="120"/>
      <c r="BG1363" s="120"/>
      <c r="BH1363" s="120"/>
      <c r="BI1363" s="120"/>
      <c r="BJ1363" s="120"/>
      <c r="BK1363" s="120"/>
      <c r="BL1363" s="120"/>
      <c r="BM1363" s="120"/>
      <c r="BN1363" s="120"/>
      <c r="BO1363" s="120"/>
      <c r="BP1363" s="120"/>
      <c r="BQ1363" s="120"/>
      <c r="BR1363" s="120"/>
      <c r="BS1363" s="120"/>
      <c r="BT1363" s="120"/>
      <c r="BU1363" s="120"/>
      <c r="BV1363" s="120"/>
      <c r="BW1363" s="120"/>
      <c r="BX1363" s="120"/>
      <c r="BY1363" s="120"/>
      <c r="BZ1363" s="120"/>
      <c r="CA1363" s="120"/>
      <c r="CB1363" s="120"/>
      <c r="CC1363" s="120"/>
      <c r="CD1363" s="120"/>
      <c r="CE1363" s="120"/>
      <c r="CF1363" s="120"/>
      <c r="CG1363" s="120"/>
      <c r="CH1363" s="120"/>
      <c r="CI1363" s="120"/>
      <c r="CJ1363" s="120"/>
      <c r="CK1363" s="120"/>
      <c r="CL1363" s="120"/>
      <c r="CM1363" s="120"/>
      <c r="CN1363" s="120"/>
      <c r="CO1363" s="120"/>
      <c r="CP1363" s="120"/>
      <c r="CQ1363" s="120"/>
      <c r="CR1363" s="120"/>
      <c r="CS1363" s="120"/>
      <c r="CT1363" s="120"/>
      <c r="CU1363" s="120"/>
      <c r="CV1363" s="120"/>
      <c r="CW1363" s="120"/>
      <c r="CX1363" s="120"/>
      <c r="CY1363" s="120"/>
      <c r="CZ1363" s="120"/>
      <c r="DA1363" s="120"/>
      <c r="DB1363" s="120"/>
      <c r="DC1363" s="120"/>
      <c r="DD1363" s="120"/>
      <c r="DE1363" s="120"/>
      <c r="DF1363" s="120"/>
      <c r="DG1363" s="120"/>
      <c r="DH1363" s="120"/>
      <c r="DI1363" s="120"/>
      <c r="DJ1363" s="120"/>
      <c r="DK1363" s="120"/>
      <c r="DL1363" s="120"/>
      <c r="DM1363" s="120"/>
      <c r="DN1363" s="120"/>
      <c r="DO1363" s="120"/>
      <c r="DP1363" s="120"/>
      <c r="DQ1363" s="120"/>
      <c r="DR1363" s="120"/>
      <c r="DS1363" s="120"/>
      <c r="DT1363" s="120"/>
      <c r="DU1363" s="120"/>
      <c r="DV1363" s="120"/>
      <c r="DW1363" s="120"/>
      <c r="DX1363" s="120"/>
      <c r="DY1363" s="120"/>
      <c r="DZ1363" s="120"/>
      <c r="EA1363" s="120"/>
      <c r="EB1363" s="120"/>
      <c r="EC1363" s="120"/>
      <c r="ED1363" s="120"/>
      <c r="EE1363" s="120"/>
      <c r="EF1363" s="120"/>
      <c r="EG1363" s="120"/>
      <c r="EH1363" s="120"/>
      <c r="EI1363" s="120"/>
      <c r="EJ1363" s="120"/>
      <c r="EK1363" s="120"/>
      <c r="EL1363" s="120"/>
      <c r="EM1363" s="120"/>
      <c r="EN1363" s="120"/>
      <c r="EO1363" s="120"/>
      <c r="EP1363" s="120"/>
      <c r="EQ1363" s="120"/>
      <c r="ER1363" s="120"/>
      <c r="ES1363" s="120"/>
      <c r="ET1363" s="120"/>
      <c r="EU1363" s="120"/>
      <c r="EV1363" s="120"/>
      <c r="EW1363" s="120"/>
      <c r="EX1363" s="120"/>
      <c r="EY1363" s="120"/>
      <c r="EZ1363" s="120"/>
      <c r="FA1363" s="120"/>
      <c r="FB1363" s="120"/>
      <c r="FC1363" s="120"/>
      <c r="FD1363" s="120"/>
      <c r="FE1363" s="120"/>
      <c r="FF1363" s="120"/>
      <c r="FG1363" s="120"/>
      <c r="FH1363" s="120"/>
      <c r="FI1363" s="120"/>
      <c r="FJ1363" s="120"/>
      <c r="FK1363" s="120"/>
      <c r="FL1363" s="120"/>
      <c r="FM1363" s="120"/>
      <c r="FN1363" s="120"/>
      <c r="FO1363" s="120"/>
      <c r="FP1363" s="120"/>
      <c r="FQ1363" s="120"/>
      <c r="FR1363" s="120"/>
      <c r="FS1363" s="120"/>
      <c r="FT1363" s="120"/>
      <c r="FU1363" s="120"/>
      <c r="FV1363" s="120"/>
      <c r="FW1363" s="120"/>
      <c r="FX1363" s="120"/>
      <c r="FY1363" s="120"/>
      <c r="FZ1363" s="120"/>
      <c r="GA1363" s="120"/>
      <c r="GB1363" s="120"/>
      <c r="GC1363" s="120"/>
      <c r="GD1363" s="120"/>
      <c r="GE1363" s="120"/>
      <c r="GF1363" s="120"/>
      <c r="GG1363" s="120"/>
      <c r="GH1363" s="120"/>
      <c r="GI1363" s="120"/>
      <c r="GJ1363" s="120"/>
      <c r="GK1363" s="120"/>
      <c r="GL1363" s="120"/>
      <c r="GM1363" s="120"/>
      <c r="GN1363" s="120"/>
      <c r="GO1363" s="120"/>
      <c r="GP1363" s="120"/>
      <c r="GQ1363" s="120"/>
      <c r="GR1363" s="120"/>
      <c r="GS1363" s="120"/>
      <c r="GT1363" s="120"/>
      <c r="GU1363" s="120"/>
      <c r="GV1363" s="120"/>
      <c r="GW1363" s="120"/>
      <c r="GX1363" s="120"/>
      <c r="GY1363" s="120"/>
      <c r="GZ1363" s="120"/>
      <c r="HA1363" s="120"/>
      <c r="HB1363" s="120"/>
      <c r="HC1363" s="120"/>
      <c r="HD1363" s="120"/>
      <c r="HE1363" s="120"/>
      <c r="HF1363" s="120"/>
      <c r="HG1363" s="120"/>
      <c r="HH1363" s="120"/>
      <c r="HI1363" s="120"/>
      <c r="HJ1363" s="120"/>
      <c r="HK1363" s="120"/>
      <c r="HL1363" s="120"/>
      <c r="HM1363" s="120"/>
      <c r="HN1363" s="120"/>
      <c r="HO1363" s="120"/>
      <c r="HP1363" s="120"/>
      <c r="HQ1363" s="120"/>
      <c r="HR1363" s="120"/>
      <c r="HS1363" s="120"/>
      <c r="HT1363" s="120"/>
      <c r="HU1363" s="120"/>
      <c r="HV1363" s="120"/>
      <c r="HW1363" s="120"/>
      <c r="HX1363" s="120"/>
      <c r="HY1363" s="120"/>
      <c r="HZ1363" s="120"/>
      <c r="IA1363" s="120"/>
      <c r="IB1363" s="120"/>
      <c r="IC1363" s="120"/>
      <c r="ID1363" s="120"/>
      <c r="IE1363" s="120"/>
      <c r="IF1363" s="120"/>
      <c r="IG1363" s="120"/>
      <c r="IH1363" s="120"/>
      <c r="II1363" s="120"/>
      <c r="IJ1363" s="120"/>
      <c r="IK1363" s="120"/>
      <c r="IL1363" s="120"/>
      <c r="IM1363" s="120"/>
      <c r="IN1363" s="120"/>
      <c r="IO1363" s="120"/>
      <c r="IP1363" s="120"/>
      <c r="IQ1363" s="120"/>
      <c r="IR1363" s="120"/>
      <c r="IS1363" s="120"/>
      <c r="IT1363" s="120"/>
      <c r="IU1363" s="120"/>
      <c r="IV1363" s="120"/>
      <c r="IW1363" s="120"/>
      <c r="IX1363" s="120"/>
      <c r="IY1363" s="120"/>
      <c r="IZ1363" s="120"/>
      <c r="JA1363" s="120"/>
      <c r="JB1363" s="120"/>
      <c r="JC1363" s="120"/>
      <c r="JD1363" s="120"/>
      <c r="JE1363" s="120"/>
      <c r="JF1363" s="120"/>
      <c r="JG1363" s="120"/>
      <c r="JH1363" s="120"/>
      <c r="JI1363" s="120"/>
      <c r="JJ1363" s="120"/>
      <c r="JK1363" s="120"/>
      <c r="JL1363" s="120"/>
      <c r="JM1363" s="120"/>
      <c r="JN1363" s="120"/>
      <c r="JO1363" s="120"/>
      <c r="JP1363" s="120"/>
      <c r="JQ1363" s="120"/>
      <c r="JR1363" s="120"/>
      <c r="JS1363" s="120"/>
      <c r="JT1363" s="120"/>
      <c r="JU1363" s="120"/>
      <c r="JV1363" s="120"/>
      <c r="JW1363" s="120"/>
      <c r="JX1363" s="120"/>
      <c r="JY1363" s="120"/>
      <c r="JZ1363" s="120"/>
      <c r="KA1363" s="120"/>
      <c r="KB1363" s="120"/>
      <c r="KC1363" s="120"/>
      <c r="KD1363" s="120"/>
      <c r="KE1363" s="120"/>
      <c r="KF1363" s="120"/>
      <c r="KG1363" s="120"/>
      <c r="KH1363" s="120"/>
      <c r="KI1363" s="120"/>
      <c r="KJ1363" s="120"/>
      <c r="KK1363" s="120"/>
      <c r="KL1363" s="120"/>
      <c r="KM1363" s="120"/>
      <c r="KN1363" s="120"/>
      <c r="KO1363" s="120"/>
      <c r="KP1363" s="120"/>
      <c r="KQ1363" s="120"/>
      <c r="KR1363" s="120"/>
      <c r="KS1363" s="120"/>
      <c r="KT1363" s="120"/>
      <c r="KU1363" s="120"/>
      <c r="KV1363" s="120"/>
      <c r="KW1363" s="120"/>
      <c r="KX1363" s="120"/>
      <c r="KY1363" s="120"/>
      <c r="KZ1363" s="120"/>
      <c r="LA1363" s="120"/>
      <c r="LB1363" s="120"/>
      <c r="LC1363" s="120"/>
      <c r="LD1363" s="120"/>
      <c r="LE1363" s="120"/>
      <c r="LF1363" s="120"/>
      <c r="LG1363" s="120"/>
      <c r="LH1363" s="120"/>
      <c r="LI1363" s="120"/>
      <c r="LJ1363" s="120"/>
      <c r="LK1363" s="120"/>
      <c r="LL1363" s="120"/>
      <c r="LM1363" s="120"/>
      <c r="LN1363" s="120"/>
      <c r="LO1363" s="120"/>
      <c r="LP1363" s="120"/>
      <c r="LQ1363" s="120"/>
      <c r="LR1363" s="120"/>
      <c r="LS1363" s="120"/>
      <c r="LT1363" s="120"/>
      <c r="LU1363" s="120"/>
      <c r="LV1363" s="120"/>
      <c r="LW1363" s="120"/>
      <c r="LX1363" s="120"/>
      <c r="LY1363" s="120"/>
      <c r="LZ1363" s="120"/>
      <c r="MA1363" s="120"/>
      <c r="MB1363" s="120"/>
      <c r="MC1363" s="120"/>
      <c r="MD1363" s="120"/>
      <c r="ME1363" s="120"/>
      <c r="MF1363" s="120"/>
      <c r="MG1363" s="120"/>
      <c r="MH1363" s="120"/>
      <c r="MI1363" s="120"/>
      <c r="MJ1363" s="120"/>
      <c r="MK1363" s="120"/>
      <c r="ML1363" s="120"/>
      <c r="MM1363" s="120"/>
      <c r="MN1363" s="120"/>
      <c r="MO1363" s="120"/>
      <c r="MP1363" s="120"/>
      <c r="MQ1363" s="120"/>
      <c r="MR1363" s="120"/>
      <c r="MS1363" s="120"/>
      <c r="MT1363" s="120"/>
      <c r="MU1363" s="120"/>
      <c r="MV1363" s="120"/>
      <c r="MW1363" s="120"/>
      <c r="MX1363" s="120"/>
      <c r="MY1363" s="120"/>
      <c r="MZ1363" s="120"/>
      <c r="NA1363" s="120"/>
      <c r="NB1363" s="120"/>
      <c r="NC1363" s="120"/>
      <c r="ND1363" s="120"/>
      <c r="NE1363" s="120"/>
      <c r="NF1363" s="120"/>
      <c r="NG1363" s="120"/>
      <c r="NH1363" s="120"/>
      <c r="NI1363" s="120"/>
      <c r="NJ1363" s="120"/>
      <c r="NK1363" s="120"/>
      <c r="NL1363" s="120"/>
      <c r="NM1363" s="120"/>
      <c r="NN1363" s="120"/>
      <c r="NO1363" s="120"/>
      <c r="NP1363" s="120"/>
      <c r="NQ1363" s="120"/>
      <c r="NR1363" s="120"/>
      <c r="NS1363" s="120"/>
      <c r="NT1363" s="120"/>
      <c r="NU1363" s="120"/>
      <c r="NV1363" s="120"/>
      <c r="NW1363" s="120"/>
      <c r="NX1363" s="120"/>
      <c r="NY1363" s="120"/>
      <c r="NZ1363" s="120"/>
      <c r="OA1363" s="120"/>
      <c r="OB1363" s="120"/>
      <c r="OC1363" s="120"/>
      <c r="OD1363" s="120"/>
      <c r="OE1363" s="120"/>
      <c r="OF1363" s="120"/>
      <c r="OG1363" s="120"/>
      <c r="OH1363" s="120"/>
      <c r="OI1363" s="120"/>
      <c r="OJ1363" s="120"/>
      <c r="OK1363" s="120"/>
      <c r="OL1363" s="120"/>
      <c r="OM1363" s="120"/>
      <c r="ON1363" s="120"/>
      <c r="OO1363" s="120"/>
      <c r="OP1363" s="120"/>
      <c r="OQ1363" s="120"/>
      <c r="OR1363" s="120"/>
      <c r="OS1363" s="120"/>
      <c r="OT1363" s="120"/>
      <c r="OU1363" s="120"/>
      <c r="OV1363" s="120"/>
      <c r="OW1363" s="120"/>
      <c r="OX1363" s="120"/>
      <c r="OY1363" s="120"/>
      <c r="OZ1363" s="120"/>
      <c r="PA1363" s="120"/>
      <c r="PB1363" s="120"/>
      <c r="PC1363" s="120"/>
      <c r="PD1363" s="120"/>
      <c r="PE1363" s="120"/>
      <c r="PF1363" s="120"/>
      <c r="PG1363" s="120"/>
      <c r="PH1363" s="120"/>
      <c r="PI1363" s="120"/>
      <c r="PJ1363" s="120"/>
      <c r="PK1363" s="120"/>
      <c r="PL1363" s="120"/>
      <c r="PM1363" s="120"/>
      <c r="PN1363" s="120"/>
      <c r="PO1363" s="120"/>
      <c r="PP1363" s="120"/>
      <c r="PQ1363" s="120"/>
      <c r="PR1363" s="120"/>
      <c r="PS1363" s="120"/>
      <c r="PT1363" s="120"/>
      <c r="PU1363" s="120"/>
      <c r="PV1363" s="120"/>
      <c r="PW1363" s="120"/>
      <c r="PX1363" s="120"/>
      <c r="PY1363" s="120"/>
      <c r="PZ1363" s="120"/>
      <c r="QA1363" s="120"/>
      <c r="QB1363" s="120"/>
      <c r="QC1363" s="120"/>
      <c r="QD1363" s="120"/>
      <c r="QE1363" s="120"/>
      <c r="QF1363" s="120"/>
      <c r="QG1363" s="120"/>
      <c r="QH1363" s="120"/>
      <c r="QI1363" s="120"/>
      <c r="QJ1363" s="120"/>
      <c r="QK1363" s="120"/>
      <c r="QL1363" s="120"/>
      <c r="QM1363" s="120"/>
      <c r="QN1363" s="120"/>
      <c r="QO1363" s="120"/>
      <c r="QP1363" s="120"/>
      <c r="QQ1363" s="120"/>
      <c r="QR1363" s="120"/>
      <c r="QS1363" s="120"/>
      <c r="QT1363" s="120"/>
      <c r="QU1363" s="120"/>
      <c r="QV1363" s="120"/>
      <c r="QW1363" s="120"/>
      <c r="QX1363" s="120"/>
      <c r="QY1363" s="120"/>
      <c r="QZ1363" s="120"/>
      <c r="RA1363" s="120"/>
      <c r="RB1363" s="120"/>
      <c r="RC1363" s="120"/>
      <c r="RD1363" s="120"/>
      <c r="RE1363" s="120"/>
      <c r="RF1363" s="120"/>
      <c r="RG1363" s="120"/>
      <c r="RH1363" s="120"/>
      <c r="RI1363" s="120"/>
      <c r="RJ1363" s="120"/>
      <c r="RK1363" s="120"/>
      <c r="RL1363" s="120"/>
      <c r="RM1363" s="120"/>
      <c r="RN1363" s="120"/>
      <c r="RO1363" s="120"/>
      <c r="RP1363" s="120"/>
      <c r="RQ1363" s="120"/>
      <c r="RR1363" s="120"/>
      <c r="RS1363" s="120"/>
      <c r="RT1363" s="120"/>
      <c r="RU1363" s="120"/>
      <c r="RV1363" s="120"/>
      <c r="RW1363" s="120"/>
      <c r="RX1363" s="120"/>
      <c r="RY1363" s="120"/>
      <c r="RZ1363" s="120"/>
      <c r="SA1363" s="120"/>
      <c r="SB1363" s="120"/>
      <c r="SC1363" s="120"/>
      <c r="SD1363" s="120"/>
      <c r="SE1363" s="120"/>
      <c r="SF1363" s="120"/>
      <c r="SG1363" s="120"/>
      <c r="SH1363" s="120"/>
      <c r="SI1363" s="120"/>
      <c r="SJ1363" s="120"/>
      <c r="SK1363" s="120"/>
      <c r="SL1363" s="120"/>
      <c r="SM1363" s="120"/>
      <c r="SN1363" s="120"/>
      <c r="SO1363" s="120"/>
      <c r="SP1363" s="120"/>
      <c r="SQ1363" s="120"/>
      <c r="SR1363" s="120"/>
      <c r="SS1363" s="120"/>
      <c r="ST1363" s="120"/>
      <c r="SU1363" s="120"/>
      <c r="SV1363" s="120"/>
      <c r="SW1363" s="120"/>
      <c r="SX1363" s="120"/>
      <c r="SY1363" s="120"/>
      <c r="SZ1363" s="120"/>
      <c r="TA1363" s="120"/>
      <c r="TB1363" s="120"/>
      <c r="TC1363" s="120"/>
      <c r="TD1363" s="120"/>
      <c r="TE1363" s="120"/>
      <c r="TF1363" s="120"/>
      <c r="TG1363" s="120"/>
      <c r="TH1363" s="120"/>
      <c r="TI1363" s="120"/>
      <c r="TJ1363" s="120"/>
      <c r="TK1363" s="120"/>
      <c r="TL1363" s="120"/>
      <c r="TM1363" s="120"/>
      <c r="TN1363" s="120"/>
      <c r="TO1363" s="120"/>
      <c r="TP1363" s="120"/>
      <c r="TQ1363" s="120"/>
      <c r="TR1363" s="120"/>
      <c r="TS1363" s="120"/>
      <c r="TT1363" s="120"/>
      <c r="TU1363" s="120"/>
      <c r="TV1363" s="120"/>
      <c r="TW1363" s="120"/>
      <c r="TX1363" s="120"/>
      <c r="TY1363" s="120"/>
      <c r="TZ1363" s="120"/>
      <c r="UA1363" s="120"/>
      <c r="UB1363" s="120"/>
      <c r="UC1363" s="120"/>
      <c r="UD1363" s="120"/>
      <c r="UE1363" s="120"/>
      <c r="UF1363" s="120"/>
      <c r="UG1363" s="120"/>
      <c r="UH1363" s="120"/>
      <c r="UI1363" s="120"/>
      <c r="UJ1363" s="120"/>
      <c r="UK1363" s="120"/>
      <c r="UL1363" s="120"/>
      <c r="UM1363" s="120"/>
      <c r="UN1363" s="120"/>
      <c r="UO1363" s="120"/>
      <c r="UP1363" s="120"/>
      <c r="UQ1363" s="120"/>
      <c r="UR1363" s="120"/>
      <c r="US1363" s="120"/>
      <c r="UT1363" s="120"/>
      <c r="UU1363" s="120"/>
      <c r="UV1363" s="120"/>
      <c r="UW1363" s="120"/>
      <c r="UX1363" s="120"/>
      <c r="UY1363" s="120"/>
      <c r="UZ1363" s="120"/>
      <c r="VA1363" s="120"/>
      <c r="VB1363" s="120"/>
      <c r="VC1363" s="120"/>
      <c r="VD1363" s="120"/>
      <c r="VE1363" s="120"/>
      <c r="VF1363" s="120"/>
      <c r="VG1363" s="120"/>
      <c r="VH1363" s="120"/>
      <c r="VI1363" s="120"/>
      <c r="VJ1363" s="120"/>
      <c r="VK1363" s="120"/>
      <c r="VL1363" s="120"/>
      <c r="VM1363" s="120"/>
      <c r="VN1363" s="120"/>
      <c r="VO1363" s="120"/>
      <c r="VP1363" s="120"/>
      <c r="VQ1363" s="120"/>
      <c r="VR1363" s="120"/>
      <c r="VS1363" s="120"/>
      <c r="VT1363" s="120"/>
      <c r="VU1363" s="120"/>
      <c r="VV1363" s="120"/>
      <c r="VW1363" s="120"/>
      <c r="VX1363" s="120"/>
      <c r="VY1363" s="120"/>
      <c r="VZ1363" s="120"/>
      <c r="WA1363" s="120"/>
      <c r="WB1363" s="120"/>
      <c r="WC1363" s="120"/>
      <c r="WD1363" s="120"/>
      <c r="WE1363" s="120"/>
      <c r="WF1363" s="120"/>
      <c r="WG1363" s="120"/>
      <c r="WH1363" s="120"/>
      <c r="WI1363" s="120"/>
      <c r="WJ1363" s="120"/>
      <c r="WK1363" s="120"/>
      <c r="WL1363" s="120"/>
      <c r="WM1363" s="120"/>
      <c r="WN1363" s="120"/>
      <c r="WO1363" s="120"/>
      <c r="WP1363" s="120"/>
      <c r="WQ1363" s="120"/>
      <c r="WR1363" s="120"/>
      <c r="WS1363" s="120"/>
      <c r="WT1363" s="120"/>
      <c r="WU1363" s="120"/>
      <c r="WV1363" s="120"/>
      <c r="WW1363" s="120"/>
      <c r="WX1363" s="120"/>
      <c r="WY1363" s="120"/>
      <c r="WZ1363" s="120"/>
      <c r="XA1363" s="120"/>
      <c r="XB1363" s="120"/>
      <c r="XC1363" s="120"/>
      <c r="XD1363" s="120"/>
      <c r="XE1363" s="120"/>
      <c r="XF1363" s="120"/>
      <c r="XG1363" s="120"/>
      <c r="XH1363" s="120"/>
      <c r="XI1363" s="120"/>
      <c r="XJ1363" s="120"/>
      <c r="XK1363" s="120"/>
      <c r="XL1363" s="120"/>
      <c r="XM1363" s="120"/>
      <c r="XN1363" s="120"/>
      <c r="XO1363" s="120"/>
      <c r="XP1363" s="120"/>
      <c r="XQ1363" s="120"/>
      <c r="XR1363" s="120"/>
      <c r="XS1363" s="120"/>
      <c r="XT1363" s="120"/>
      <c r="XU1363" s="120"/>
      <c r="XV1363" s="120"/>
      <c r="XW1363" s="120"/>
      <c r="XX1363" s="120"/>
      <c r="XY1363" s="120"/>
      <c r="XZ1363" s="120"/>
      <c r="YA1363" s="120"/>
      <c r="YB1363" s="120"/>
      <c r="YC1363" s="120"/>
      <c r="YD1363" s="120"/>
      <c r="YE1363" s="120"/>
      <c r="YF1363" s="120"/>
      <c r="YG1363" s="120"/>
      <c r="YH1363" s="120"/>
      <c r="YI1363" s="120"/>
      <c r="YJ1363" s="120"/>
      <c r="YK1363" s="120"/>
      <c r="YL1363" s="120"/>
      <c r="YM1363" s="120"/>
      <c r="YN1363" s="120"/>
      <c r="YO1363" s="120"/>
      <c r="YP1363" s="120"/>
      <c r="YQ1363" s="120"/>
      <c r="YR1363" s="120"/>
      <c r="YS1363" s="120"/>
      <c r="YT1363" s="120"/>
      <c r="YU1363" s="120"/>
      <c r="YV1363" s="120"/>
      <c r="YW1363" s="120"/>
      <c r="YX1363" s="120"/>
      <c r="YY1363" s="120"/>
      <c r="YZ1363" s="120"/>
      <c r="ZA1363" s="120"/>
      <c r="ZB1363" s="120"/>
      <c r="ZC1363" s="120"/>
      <c r="ZD1363" s="120"/>
      <c r="ZE1363" s="120"/>
      <c r="ZF1363" s="120"/>
      <c r="ZG1363" s="120"/>
      <c r="ZH1363" s="120"/>
      <c r="ZI1363" s="120"/>
      <c r="ZJ1363" s="120"/>
      <c r="ZK1363" s="120"/>
      <c r="ZL1363" s="120"/>
      <c r="ZM1363" s="120"/>
      <c r="ZN1363" s="120"/>
      <c r="ZO1363" s="120"/>
      <c r="ZP1363" s="120"/>
      <c r="ZQ1363" s="120"/>
      <c r="ZR1363" s="120"/>
      <c r="ZS1363" s="120"/>
      <c r="ZT1363" s="120"/>
      <c r="ZU1363" s="120"/>
      <c r="ZV1363" s="120"/>
      <c r="ZW1363" s="120"/>
      <c r="ZX1363" s="120"/>
      <c r="ZY1363" s="120"/>
      <c r="ZZ1363" s="120"/>
      <c r="AAA1363" s="120"/>
      <c r="AAB1363" s="120"/>
      <c r="AAC1363" s="120"/>
      <c r="AAD1363" s="120"/>
      <c r="AAE1363" s="120"/>
      <c r="AAF1363" s="120"/>
      <c r="AAG1363" s="120"/>
      <c r="AAH1363" s="120"/>
      <c r="AAI1363" s="120"/>
      <c r="AAJ1363" s="120"/>
      <c r="AAK1363" s="120"/>
      <c r="AAL1363" s="120"/>
      <c r="AAM1363" s="120"/>
      <c r="AAN1363" s="120"/>
      <c r="AAO1363" s="120"/>
      <c r="AAP1363" s="120"/>
      <c r="AAQ1363" s="120"/>
      <c r="AAR1363" s="120"/>
      <c r="AAS1363" s="120"/>
      <c r="AAT1363" s="120"/>
      <c r="AAU1363" s="120"/>
      <c r="AAV1363" s="120"/>
      <c r="AAW1363" s="120"/>
      <c r="AAX1363" s="120"/>
      <c r="AAY1363" s="120"/>
      <c r="AAZ1363" s="120"/>
      <c r="ABA1363" s="120"/>
      <c r="ABB1363" s="120"/>
      <c r="ABC1363" s="120"/>
      <c r="ABD1363" s="120"/>
      <c r="ABE1363" s="120"/>
      <c r="ABF1363" s="120"/>
      <c r="ABG1363" s="120"/>
      <c r="ABH1363" s="120"/>
      <c r="ABI1363" s="120"/>
      <c r="ABJ1363" s="120"/>
      <c r="ABK1363" s="120"/>
      <c r="ABL1363" s="120"/>
      <c r="ABM1363" s="120"/>
      <c r="ABN1363" s="120"/>
      <c r="ABO1363" s="120"/>
      <c r="ABP1363" s="120"/>
      <c r="ABQ1363" s="120"/>
      <c r="ABR1363" s="120"/>
      <c r="ABS1363" s="120"/>
      <c r="ABT1363" s="120"/>
      <c r="ABU1363" s="120"/>
      <c r="ABV1363" s="120"/>
      <c r="ABW1363" s="120"/>
      <c r="ABX1363" s="120"/>
      <c r="ABY1363" s="120"/>
      <c r="ABZ1363" s="120"/>
      <c r="ACA1363" s="120"/>
      <c r="ACB1363" s="120"/>
      <c r="ACC1363" s="120"/>
      <c r="ACD1363" s="120"/>
      <c r="ACE1363" s="120"/>
      <c r="ACF1363" s="120"/>
      <c r="ACG1363" s="120"/>
      <c r="ACH1363" s="120"/>
      <c r="ACI1363" s="120"/>
      <c r="ACJ1363" s="120"/>
      <c r="ACK1363" s="120"/>
      <c r="ACL1363" s="120"/>
      <c r="ACM1363" s="120"/>
      <c r="ACN1363" s="120"/>
      <c r="ACO1363" s="120"/>
      <c r="ACP1363" s="120"/>
      <c r="ACQ1363" s="120"/>
      <c r="ACR1363" s="120"/>
      <c r="ACS1363" s="120"/>
      <c r="ACT1363" s="120"/>
      <c r="ACU1363" s="120"/>
      <c r="ACV1363" s="120"/>
      <c r="ACW1363" s="120"/>
      <c r="ACX1363" s="120"/>
      <c r="ACY1363" s="120"/>
      <c r="ACZ1363" s="120"/>
      <c r="ADA1363" s="120"/>
      <c r="ADB1363" s="120"/>
      <c r="ADC1363" s="120"/>
      <c r="ADD1363" s="120"/>
      <c r="ADE1363" s="120"/>
      <c r="ADF1363" s="120"/>
      <c r="ADG1363" s="120"/>
      <c r="ADH1363" s="120"/>
      <c r="ADI1363" s="120"/>
      <c r="ADJ1363" s="120"/>
      <c r="ADK1363" s="120"/>
      <c r="ADL1363" s="120"/>
      <c r="ADM1363" s="120"/>
      <c r="ADN1363" s="120"/>
      <c r="ADO1363" s="120"/>
      <c r="ADP1363" s="120"/>
      <c r="ADQ1363" s="120"/>
      <c r="ADR1363" s="120"/>
      <c r="ADS1363" s="120"/>
      <c r="ADT1363" s="120"/>
      <c r="ADU1363" s="120"/>
      <c r="ADV1363" s="120"/>
      <c r="ADW1363" s="120"/>
      <c r="ADX1363" s="120"/>
      <c r="ADY1363" s="120"/>
      <c r="ADZ1363" s="120"/>
      <c r="AEA1363" s="120"/>
      <c r="AEB1363" s="120"/>
      <c r="AEC1363" s="120"/>
      <c r="AED1363" s="120"/>
      <c r="AEE1363" s="120"/>
      <c r="AEF1363" s="120"/>
      <c r="AEG1363" s="120"/>
      <c r="AEH1363" s="120"/>
      <c r="AEI1363" s="120"/>
      <c r="AEJ1363" s="120"/>
      <c r="AEK1363" s="120"/>
      <c r="AEL1363" s="120"/>
      <c r="AEM1363" s="120"/>
      <c r="AEN1363" s="120"/>
      <c r="AEO1363" s="120"/>
      <c r="AEP1363" s="120"/>
      <c r="AEQ1363" s="120"/>
      <c r="AER1363" s="120"/>
      <c r="AES1363" s="120"/>
      <c r="AET1363" s="120"/>
      <c r="AEU1363" s="120"/>
      <c r="AEV1363" s="120"/>
      <c r="AEW1363" s="120"/>
      <c r="AEX1363" s="120"/>
      <c r="AEY1363" s="120"/>
      <c r="AEZ1363" s="120"/>
      <c r="AFA1363" s="120"/>
      <c r="AFB1363" s="120"/>
      <c r="AFC1363" s="120"/>
      <c r="AFD1363" s="120"/>
      <c r="AFE1363" s="120"/>
      <c r="AFF1363" s="120"/>
      <c r="AFG1363" s="120"/>
      <c r="AFH1363" s="120"/>
      <c r="AFI1363" s="120"/>
      <c r="AFJ1363" s="120"/>
      <c r="AFK1363" s="120"/>
      <c r="AFL1363" s="120"/>
      <c r="AFM1363" s="120"/>
      <c r="AFN1363" s="120"/>
      <c r="AFO1363" s="120"/>
      <c r="AFP1363" s="120"/>
      <c r="AFQ1363" s="120"/>
      <c r="AFR1363" s="120"/>
      <c r="AFS1363" s="120"/>
      <c r="AFT1363" s="120"/>
      <c r="AFU1363" s="120"/>
      <c r="AFV1363" s="120"/>
      <c r="AFW1363" s="120"/>
      <c r="AFX1363" s="120"/>
      <c r="AFY1363" s="120"/>
      <c r="AFZ1363" s="120"/>
      <c r="AGA1363" s="120"/>
      <c r="AGB1363" s="120"/>
      <c r="AGC1363" s="120"/>
      <c r="AGD1363" s="120"/>
      <c r="AGE1363" s="120"/>
      <c r="AGF1363" s="120"/>
      <c r="AGG1363" s="120"/>
      <c r="AGH1363" s="120"/>
      <c r="AGI1363" s="120"/>
      <c r="AGJ1363" s="120"/>
      <c r="AGK1363" s="120"/>
      <c r="AGL1363" s="120"/>
      <c r="AGM1363" s="120"/>
      <c r="AGN1363" s="120"/>
      <c r="AGO1363" s="120"/>
      <c r="AGP1363" s="120"/>
      <c r="AGQ1363" s="120"/>
      <c r="AGR1363" s="120"/>
      <c r="AGS1363" s="120"/>
      <c r="AGT1363" s="120"/>
      <c r="AGU1363" s="120"/>
      <c r="AGV1363" s="120"/>
      <c r="AGW1363" s="120"/>
      <c r="AGX1363" s="120"/>
      <c r="AGY1363" s="120"/>
      <c r="AGZ1363" s="120"/>
      <c r="AHA1363" s="120"/>
      <c r="AHB1363" s="120"/>
      <c r="AHC1363" s="120"/>
      <c r="AHD1363" s="120"/>
      <c r="AHE1363" s="120"/>
      <c r="AHF1363" s="120"/>
      <c r="AHG1363" s="120"/>
      <c r="AHH1363" s="120"/>
      <c r="AHI1363" s="120"/>
      <c r="AHJ1363" s="120"/>
      <c r="AHK1363" s="120"/>
      <c r="AHL1363" s="120"/>
      <c r="AHM1363" s="120"/>
      <c r="AHN1363" s="120"/>
      <c r="AHO1363" s="120"/>
      <c r="AHP1363" s="120"/>
      <c r="AHQ1363" s="120"/>
      <c r="AHR1363" s="120"/>
      <c r="AHS1363" s="120"/>
      <c r="AHT1363" s="120"/>
      <c r="AHU1363" s="120"/>
      <c r="AHV1363" s="120"/>
      <c r="AHW1363" s="120"/>
      <c r="AHX1363" s="120"/>
      <c r="AHY1363" s="120"/>
      <c r="AHZ1363" s="120"/>
      <c r="AIA1363" s="120"/>
      <c r="AIB1363" s="120"/>
      <c r="AIC1363" s="120"/>
      <c r="AID1363" s="120"/>
      <c r="AIE1363" s="120"/>
      <c r="AIF1363" s="120"/>
      <c r="AIG1363" s="120"/>
      <c r="AIH1363" s="120"/>
      <c r="AII1363" s="120"/>
      <c r="AIJ1363" s="120"/>
      <c r="AIK1363" s="120"/>
      <c r="AIL1363" s="120"/>
      <c r="AIM1363" s="120"/>
      <c r="AIN1363" s="120"/>
      <c r="AIO1363" s="120"/>
      <c r="AIP1363" s="120"/>
      <c r="AIQ1363" s="120"/>
      <c r="AIR1363" s="120"/>
      <c r="AIS1363" s="120"/>
      <c r="AIT1363" s="120"/>
      <c r="AIU1363" s="120"/>
      <c r="AIV1363" s="120"/>
      <c r="AIW1363" s="120"/>
      <c r="AIX1363" s="120"/>
      <c r="AIY1363" s="120"/>
      <c r="AIZ1363" s="120"/>
      <c r="AJA1363" s="120"/>
      <c r="AJB1363" s="120"/>
      <c r="AJC1363" s="120"/>
      <c r="AJD1363" s="120"/>
      <c r="AJE1363" s="120"/>
      <c r="AJF1363" s="120"/>
      <c r="AJG1363" s="120"/>
      <c r="AJH1363" s="120"/>
      <c r="AJI1363" s="120"/>
      <c r="AJJ1363" s="120"/>
      <c r="AJK1363" s="120"/>
      <c r="AJL1363" s="120"/>
      <c r="AJM1363" s="120"/>
      <c r="AJN1363" s="120"/>
      <c r="AJO1363" s="120"/>
      <c r="AJP1363" s="120"/>
      <c r="AJQ1363" s="120"/>
      <c r="AJR1363" s="120"/>
      <c r="AJS1363" s="120"/>
      <c r="AJT1363" s="120"/>
      <c r="AJU1363" s="120"/>
      <c r="AJV1363" s="120"/>
      <c r="AJW1363" s="120"/>
      <c r="AJX1363" s="120"/>
      <c r="AJY1363" s="120"/>
      <c r="AJZ1363" s="120"/>
      <c r="AKA1363" s="120"/>
      <c r="AKB1363" s="120"/>
      <c r="AKC1363" s="120"/>
      <c r="AKD1363" s="120"/>
      <c r="AKE1363" s="120"/>
      <c r="AKF1363" s="120"/>
      <c r="AKG1363" s="120"/>
      <c r="AKH1363" s="120"/>
      <c r="AKI1363" s="120"/>
      <c r="AKJ1363" s="120"/>
      <c r="AKK1363" s="120"/>
      <c r="AKL1363" s="120"/>
      <c r="AKM1363" s="120"/>
      <c r="AKN1363" s="120"/>
      <c r="AKO1363" s="120"/>
      <c r="AKP1363" s="120"/>
      <c r="AKQ1363" s="120"/>
      <c r="AKR1363" s="120"/>
      <c r="AKS1363" s="120"/>
      <c r="AKT1363" s="120"/>
      <c r="AKU1363" s="120"/>
      <c r="AKV1363" s="120"/>
      <c r="AKW1363" s="120"/>
      <c r="AKX1363" s="120"/>
      <c r="AKY1363" s="120"/>
      <c r="AKZ1363" s="120"/>
      <c r="ALA1363" s="120"/>
      <c r="ALB1363" s="120"/>
      <c r="ALC1363" s="120"/>
      <c r="ALD1363" s="120"/>
      <c r="ALE1363" s="120"/>
      <c r="ALF1363" s="120"/>
      <c r="ALG1363" s="120"/>
      <c r="ALH1363" s="120"/>
      <c r="ALI1363" s="120"/>
      <c r="ALJ1363" s="120"/>
      <c r="ALK1363" s="120"/>
      <c r="ALL1363" s="120"/>
      <c r="ALM1363" s="120"/>
      <c r="ALN1363" s="120"/>
      <c r="ALO1363" s="120"/>
      <c r="ALP1363" s="120"/>
      <c r="ALQ1363" s="120"/>
      <c r="ALR1363" s="120"/>
      <c r="ALS1363" s="120"/>
      <c r="ALT1363" s="120"/>
      <c r="ALU1363" s="120"/>
      <c r="ALV1363" s="120"/>
      <c r="ALW1363" s="120"/>
      <c r="ALX1363" s="120"/>
      <c r="ALY1363" s="120"/>
      <c r="ALZ1363" s="120"/>
      <c r="AMA1363" s="120"/>
      <c r="AMB1363" s="120"/>
      <c r="AMC1363" s="120"/>
      <c r="AMD1363" s="120"/>
      <c r="AME1363" s="120"/>
      <c r="AMF1363" s="120"/>
      <c r="AMG1363" s="120"/>
      <c r="AMH1363" s="120"/>
      <c r="AMI1363" s="120"/>
      <c r="AMJ1363" s="120"/>
      <c r="AMK1363" s="120"/>
      <c r="AML1363" s="120"/>
      <c r="AMM1363" s="120"/>
      <c r="AMN1363" s="120"/>
      <c r="AMO1363" s="120"/>
      <c r="AMP1363" s="120"/>
      <c r="AMQ1363" s="120"/>
      <c r="AMR1363" s="120"/>
      <c r="AMS1363" s="120"/>
      <c r="AMT1363" s="120"/>
      <c r="AMU1363" s="120"/>
      <c r="AMV1363" s="120"/>
      <c r="AMW1363" s="120"/>
      <c r="AMX1363" s="120"/>
      <c r="AMY1363" s="120"/>
      <c r="AMZ1363" s="120"/>
      <c r="ANA1363" s="120"/>
      <c r="ANB1363" s="120"/>
      <c r="ANC1363" s="120"/>
      <c r="AND1363" s="120"/>
      <c r="ANE1363" s="120"/>
      <c r="ANF1363" s="120"/>
      <c r="ANG1363" s="120"/>
      <c r="ANH1363" s="120"/>
      <c r="ANI1363" s="120"/>
      <c r="ANJ1363" s="120"/>
      <c r="ANK1363" s="120"/>
      <c r="ANL1363" s="120"/>
      <c r="ANM1363" s="120"/>
      <c r="ANN1363" s="120"/>
      <c r="ANO1363" s="120"/>
      <c r="ANP1363" s="120"/>
      <c r="ANQ1363" s="120"/>
      <c r="ANR1363" s="120"/>
      <c r="ANS1363" s="120"/>
      <c r="ANT1363" s="120"/>
      <c r="ANU1363" s="120"/>
      <c r="ANV1363" s="120"/>
      <c r="ANW1363" s="120"/>
      <c r="ANX1363" s="120"/>
      <c r="ANY1363" s="120"/>
      <c r="ANZ1363" s="120"/>
      <c r="AOA1363" s="120"/>
      <c r="AOB1363" s="120"/>
      <c r="AOC1363" s="120"/>
      <c r="AOD1363" s="120"/>
      <c r="AOE1363" s="120"/>
      <c r="AOF1363" s="120"/>
      <c r="AOG1363" s="120"/>
      <c r="AOH1363" s="120"/>
      <c r="AOI1363" s="120"/>
      <c r="AOJ1363" s="120"/>
      <c r="AOK1363" s="120"/>
      <c r="AOL1363" s="120"/>
      <c r="AOM1363" s="120"/>
      <c r="AON1363" s="120"/>
      <c r="AOO1363" s="120"/>
      <c r="AOP1363" s="120"/>
      <c r="AOQ1363" s="120"/>
      <c r="AOR1363" s="120"/>
      <c r="AOS1363" s="120"/>
      <c r="AOT1363" s="120"/>
      <c r="AOU1363" s="120"/>
      <c r="AOV1363" s="120"/>
      <c r="AOW1363" s="120"/>
      <c r="AOX1363" s="120"/>
      <c r="AOY1363" s="120"/>
      <c r="AOZ1363" s="120"/>
      <c r="APA1363" s="120"/>
      <c r="APB1363" s="120"/>
      <c r="APC1363" s="120"/>
      <c r="APD1363" s="120"/>
      <c r="APE1363" s="120"/>
      <c r="APF1363" s="120"/>
      <c r="APG1363" s="120"/>
      <c r="APH1363" s="120"/>
      <c r="API1363" s="120"/>
      <c r="APJ1363" s="120"/>
      <c r="APK1363" s="120"/>
      <c r="APL1363" s="120"/>
      <c r="APM1363" s="120"/>
      <c r="APN1363" s="120"/>
      <c r="APO1363" s="120"/>
      <c r="APP1363" s="120"/>
      <c r="APQ1363" s="120"/>
      <c r="APR1363" s="120"/>
      <c r="APS1363" s="120"/>
      <c r="APT1363" s="120"/>
      <c r="APU1363" s="120"/>
      <c r="APV1363" s="120"/>
      <c r="APW1363" s="120"/>
      <c r="APX1363" s="120"/>
      <c r="APY1363" s="120"/>
      <c r="APZ1363" s="120"/>
      <c r="AQA1363" s="120"/>
      <c r="AQB1363" s="120"/>
      <c r="AQC1363" s="120"/>
      <c r="AQD1363" s="120"/>
      <c r="AQE1363" s="120"/>
      <c r="AQF1363" s="120"/>
      <c r="AQG1363" s="120"/>
      <c r="AQH1363" s="120"/>
      <c r="AQI1363" s="120"/>
      <c r="AQJ1363" s="120"/>
      <c r="AQK1363" s="120"/>
      <c r="AQL1363" s="120"/>
      <c r="AQM1363" s="120"/>
      <c r="AQN1363" s="120"/>
      <c r="AQO1363" s="120"/>
      <c r="AQP1363" s="120"/>
      <c r="AQQ1363" s="120"/>
      <c r="AQR1363" s="120"/>
      <c r="AQS1363" s="120"/>
      <c r="AQT1363" s="120"/>
      <c r="AQU1363" s="120"/>
      <c r="AQV1363" s="120"/>
      <c r="AQW1363" s="120"/>
      <c r="AQX1363" s="120"/>
      <c r="AQY1363" s="120"/>
      <c r="AQZ1363" s="120"/>
      <c r="ARA1363" s="120"/>
      <c r="ARB1363" s="120"/>
      <c r="ARC1363" s="120"/>
      <c r="ARD1363" s="120"/>
      <c r="ARE1363" s="120"/>
      <c r="ARF1363" s="120"/>
      <c r="ARG1363" s="120"/>
      <c r="ARH1363" s="120"/>
      <c r="ARI1363" s="120"/>
      <c r="ARJ1363" s="120"/>
      <c r="ARK1363" s="120"/>
      <c r="ARL1363" s="120"/>
      <c r="ARM1363" s="120"/>
      <c r="ARN1363" s="120"/>
      <c r="ARO1363" s="120"/>
      <c r="ARP1363" s="120"/>
      <c r="ARQ1363" s="120"/>
      <c r="ARR1363" s="120"/>
      <c r="ARS1363" s="120"/>
      <c r="ART1363" s="120"/>
      <c r="ARU1363" s="120"/>
      <c r="ARV1363" s="120"/>
      <c r="ARW1363" s="120"/>
      <c r="ARX1363" s="120"/>
      <c r="ARY1363" s="120"/>
      <c r="ARZ1363" s="120"/>
      <c r="ASA1363" s="120"/>
      <c r="ASB1363" s="120"/>
      <c r="ASC1363" s="120"/>
      <c r="ASD1363" s="120"/>
      <c r="ASE1363" s="120"/>
      <c r="ASF1363" s="120"/>
      <c r="ASG1363" s="120"/>
      <c r="ASH1363" s="120"/>
      <c r="ASI1363" s="120"/>
      <c r="ASJ1363" s="120"/>
      <c r="ASK1363" s="120"/>
      <c r="ASL1363" s="120"/>
      <c r="ASM1363" s="120"/>
      <c r="ASN1363" s="120"/>
      <c r="ASO1363" s="120"/>
      <c r="ASP1363" s="120"/>
      <c r="ASQ1363" s="120"/>
      <c r="ASR1363" s="120"/>
      <c r="ASS1363" s="120"/>
      <c r="AST1363" s="120"/>
      <c r="ASU1363" s="120"/>
      <c r="ASV1363" s="120"/>
      <c r="ASW1363" s="120"/>
      <c r="ASX1363" s="120"/>
      <c r="ASY1363" s="120"/>
      <c r="ASZ1363" s="120"/>
      <c r="ATA1363" s="120"/>
      <c r="ATB1363" s="120"/>
      <c r="ATC1363" s="120"/>
      <c r="ATD1363" s="120"/>
      <c r="ATE1363" s="120"/>
      <c r="ATF1363" s="120"/>
      <c r="ATG1363" s="120"/>
      <c r="ATH1363" s="120"/>
      <c r="ATI1363" s="120"/>
      <c r="ATJ1363" s="120"/>
      <c r="ATK1363" s="120"/>
      <c r="ATL1363" s="120"/>
      <c r="ATM1363" s="120"/>
      <c r="ATN1363" s="120"/>
      <c r="ATO1363" s="120"/>
    </row>
    <row r="1364" spans="1:1211" s="20" customFormat="1" ht="14.1" customHeight="1">
      <c r="A1364" s="112"/>
      <c r="B1364" s="723"/>
      <c r="C1364" s="184" t="s">
        <v>6132</v>
      </c>
      <c r="D1364" s="120"/>
      <c r="E1364" s="701"/>
      <c r="F1364" s="703"/>
      <c r="G1364" s="702"/>
      <c r="H1364" s="702"/>
      <c r="I1364" s="702"/>
      <c r="J1364" s="700"/>
      <c r="K1364" s="112"/>
      <c r="L1364" s="363"/>
      <c r="M1364" s="112"/>
      <c r="N1364" s="362"/>
      <c r="O1364" s="573"/>
      <c r="P1364" s="120"/>
      <c r="Q1364" s="120"/>
      <c r="R1364" s="120"/>
      <c r="S1364" s="120"/>
      <c r="T1364" s="120"/>
      <c r="U1364" s="120"/>
      <c r="V1364" s="120"/>
      <c r="W1364" s="120"/>
      <c r="X1364" s="120"/>
      <c r="Y1364" s="120"/>
      <c r="Z1364" s="120"/>
      <c r="AA1364" s="120"/>
      <c r="AB1364" s="120"/>
      <c r="AC1364" s="120"/>
      <c r="AD1364" s="120"/>
      <c r="AE1364" s="120"/>
      <c r="AF1364" s="120"/>
      <c r="AG1364" s="120"/>
      <c r="AH1364" s="120"/>
      <c r="AI1364" s="120"/>
      <c r="AJ1364" s="120"/>
      <c r="AK1364" s="120"/>
      <c r="AL1364" s="120"/>
      <c r="AM1364" s="120"/>
      <c r="AN1364" s="120"/>
      <c r="AO1364" s="120"/>
      <c r="AP1364" s="120"/>
      <c r="AQ1364" s="120"/>
      <c r="AR1364" s="120"/>
      <c r="AS1364" s="120"/>
      <c r="AT1364" s="120"/>
      <c r="AU1364" s="120"/>
      <c r="AV1364" s="120"/>
      <c r="AW1364" s="120"/>
      <c r="AX1364" s="120"/>
      <c r="AY1364" s="120"/>
      <c r="AZ1364" s="120"/>
      <c r="BA1364" s="120"/>
      <c r="BB1364" s="120"/>
      <c r="BC1364" s="120"/>
      <c r="BD1364" s="120"/>
      <c r="BE1364" s="120"/>
      <c r="BF1364" s="120"/>
      <c r="BG1364" s="120"/>
      <c r="BH1364" s="120"/>
      <c r="BI1364" s="120"/>
      <c r="BJ1364" s="120"/>
      <c r="BK1364" s="120"/>
      <c r="BL1364" s="120"/>
      <c r="BM1364" s="120"/>
      <c r="BN1364" s="120"/>
      <c r="BO1364" s="120"/>
      <c r="BP1364" s="120"/>
      <c r="BQ1364" s="120"/>
      <c r="BR1364" s="120"/>
      <c r="BS1364" s="120"/>
      <c r="BT1364" s="120"/>
      <c r="BU1364" s="120"/>
      <c r="BV1364" s="120"/>
      <c r="BW1364" s="120"/>
      <c r="BX1364" s="120"/>
      <c r="BY1364" s="120"/>
      <c r="BZ1364" s="120"/>
      <c r="CA1364" s="120"/>
      <c r="CB1364" s="120"/>
      <c r="CC1364" s="120"/>
      <c r="CD1364" s="120"/>
      <c r="CE1364" s="120"/>
      <c r="CF1364" s="120"/>
      <c r="CG1364" s="120"/>
      <c r="CH1364" s="120"/>
      <c r="CI1364" s="120"/>
      <c r="CJ1364" s="120"/>
      <c r="CK1364" s="120"/>
      <c r="CL1364" s="120"/>
      <c r="CM1364" s="120"/>
      <c r="CN1364" s="120"/>
      <c r="CO1364" s="120"/>
      <c r="CP1364" s="120"/>
      <c r="CQ1364" s="120"/>
      <c r="CR1364" s="120"/>
      <c r="CS1364" s="120"/>
      <c r="CT1364" s="120"/>
      <c r="CU1364" s="120"/>
      <c r="CV1364" s="120"/>
      <c r="CW1364" s="120"/>
      <c r="CX1364" s="120"/>
      <c r="CY1364" s="120"/>
      <c r="CZ1364" s="120"/>
      <c r="DA1364" s="120"/>
      <c r="DB1364" s="120"/>
      <c r="DC1364" s="120"/>
      <c r="DD1364" s="120"/>
      <c r="DE1364" s="120"/>
      <c r="DF1364" s="120"/>
      <c r="DG1364" s="120"/>
      <c r="DH1364" s="120"/>
      <c r="DI1364" s="120"/>
      <c r="DJ1364" s="120"/>
      <c r="DK1364" s="120"/>
      <c r="DL1364" s="120"/>
      <c r="DM1364" s="120"/>
      <c r="DN1364" s="120"/>
      <c r="DO1364" s="120"/>
      <c r="DP1364" s="120"/>
      <c r="DQ1364" s="120"/>
      <c r="DR1364" s="120"/>
      <c r="DS1364" s="120"/>
      <c r="DT1364" s="120"/>
      <c r="DU1364" s="120"/>
      <c r="DV1364" s="120"/>
      <c r="DW1364" s="120"/>
      <c r="DX1364" s="120"/>
      <c r="DY1364" s="120"/>
      <c r="DZ1364" s="120"/>
      <c r="EA1364" s="120"/>
      <c r="EB1364" s="120"/>
      <c r="EC1364" s="120"/>
      <c r="ED1364" s="120"/>
      <c r="EE1364" s="120"/>
      <c r="EF1364" s="120"/>
      <c r="EG1364" s="120"/>
      <c r="EH1364" s="120"/>
      <c r="EI1364" s="120"/>
      <c r="EJ1364" s="120"/>
      <c r="EK1364" s="120"/>
      <c r="EL1364" s="120"/>
      <c r="EM1364" s="120"/>
      <c r="EN1364" s="120"/>
      <c r="EO1364" s="120"/>
      <c r="EP1364" s="120"/>
      <c r="EQ1364" s="120"/>
      <c r="ER1364" s="120"/>
      <c r="ES1364" s="120"/>
      <c r="ET1364" s="120"/>
      <c r="EU1364" s="120"/>
      <c r="EV1364" s="120"/>
      <c r="EW1364" s="120"/>
      <c r="EX1364" s="120"/>
      <c r="EY1364" s="120"/>
      <c r="EZ1364" s="120"/>
      <c r="FA1364" s="120"/>
      <c r="FB1364" s="120"/>
      <c r="FC1364" s="120"/>
      <c r="FD1364" s="120"/>
      <c r="FE1364" s="120"/>
      <c r="FF1364" s="120"/>
      <c r="FG1364" s="120"/>
      <c r="FH1364" s="120"/>
      <c r="FI1364" s="120"/>
      <c r="FJ1364" s="120"/>
      <c r="FK1364" s="120"/>
      <c r="FL1364" s="120"/>
      <c r="FM1364" s="120"/>
      <c r="FN1364" s="120"/>
      <c r="FO1364" s="120"/>
      <c r="FP1364" s="120"/>
      <c r="FQ1364" s="120"/>
      <c r="FR1364" s="120"/>
      <c r="FS1364" s="120"/>
      <c r="FT1364" s="120"/>
      <c r="FU1364" s="120"/>
      <c r="FV1364" s="120"/>
      <c r="FW1364" s="120"/>
      <c r="FX1364" s="120"/>
      <c r="FY1364" s="120"/>
      <c r="FZ1364" s="120"/>
      <c r="GA1364" s="120"/>
      <c r="GB1364" s="120"/>
      <c r="GC1364" s="120"/>
      <c r="GD1364" s="120"/>
      <c r="GE1364" s="120"/>
      <c r="GF1364" s="120"/>
      <c r="GG1364" s="120"/>
      <c r="GH1364" s="120"/>
      <c r="GI1364" s="120"/>
      <c r="GJ1364" s="120"/>
      <c r="GK1364" s="120"/>
      <c r="GL1364" s="120"/>
      <c r="GM1364" s="120"/>
      <c r="GN1364" s="120"/>
      <c r="GO1364" s="120"/>
      <c r="GP1364" s="120"/>
      <c r="GQ1364" s="120"/>
      <c r="GR1364" s="120"/>
      <c r="GS1364" s="120"/>
      <c r="GT1364" s="120"/>
      <c r="GU1364" s="120"/>
      <c r="GV1364" s="120"/>
      <c r="GW1364" s="120"/>
      <c r="GX1364" s="120"/>
      <c r="GY1364" s="120"/>
      <c r="GZ1364" s="120"/>
      <c r="HA1364" s="120"/>
      <c r="HB1364" s="120"/>
      <c r="HC1364" s="120"/>
      <c r="HD1364" s="120"/>
      <c r="HE1364" s="120"/>
      <c r="HF1364" s="120"/>
      <c r="HG1364" s="120"/>
      <c r="HH1364" s="120"/>
      <c r="HI1364" s="120"/>
      <c r="HJ1364" s="120"/>
      <c r="HK1364" s="120"/>
      <c r="HL1364" s="120"/>
      <c r="HM1364" s="120"/>
      <c r="HN1364" s="120"/>
      <c r="HO1364" s="120"/>
      <c r="HP1364" s="120"/>
      <c r="HQ1364" s="120"/>
      <c r="HR1364" s="120"/>
      <c r="HS1364" s="120"/>
      <c r="HT1364" s="120"/>
      <c r="HU1364" s="120"/>
      <c r="HV1364" s="120"/>
      <c r="HW1364" s="120"/>
      <c r="HX1364" s="120"/>
      <c r="HY1364" s="120"/>
      <c r="HZ1364" s="120"/>
      <c r="IA1364" s="120"/>
      <c r="IB1364" s="120"/>
      <c r="IC1364" s="120"/>
      <c r="ID1364" s="120"/>
      <c r="IE1364" s="120"/>
      <c r="IF1364" s="120"/>
      <c r="IG1364" s="120"/>
      <c r="IH1364" s="120"/>
      <c r="II1364" s="120"/>
      <c r="IJ1364" s="120"/>
      <c r="IK1364" s="120"/>
      <c r="IL1364" s="120"/>
      <c r="IM1364" s="120"/>
      <c r="IN1364" s="120"/>
      <c r="IO1364" s="120"/>
      <c r="IP1364" s="120"/>
      <c r="IQ1364" s="120"/>
      <c r="IR1364" s="120"/>
      <c r="IS1364" s="120"/>
      <c r="IT1364" s="120"/>
      <c r="IU1364" s="120"/>
      <c r="IV1364" s="120"/>
      <c r="IW1364" s="120"/>
      <c r="IX1364" s="120"/>
      <c r="IY1364" s="120"/>
      <c r="IZ1364" s="120"/>
      <c r="JA1364" s="120"/>
      <c r="JB1364" s="120"/>
      <c r="JC1364" s="120"/>
      <c r="JD1364" s="120"/>
      <c r="JE1364" s="120"/>
      <c r="JF1364" s="120"/>
      <c r="JG1364" s="120"/>
      <c r="JH1364" s="120"/>
      <c r="JI1364" s="120"/>
      <c r="JJ1364" s="120"/>
      <c r="JK1364" s="120"/>
      <c r="JL1364" s="120"/>
      <c r="JM1364" s="120"/>
      <c r="JN1364" s="120"/>
      <c r="JO1364" s="120"/>
      <c r="JP1364" s="120"/>
      <c r="JQ1364" s="120"/>
      <c r="JR1364" s="120"/>
      <c r="JS1364" s="120"/>
      <c r="JT1364" s="120"/>
      <c r="JU1364" s="120"/>
      <c r="JV1364" s="120"/>
      <c r="JW1364" s="120"/>
      <c r="JX1364" s="120"/>
      <c r="JY1364" s="120"/>
      <c r="JZ1364" s="120"/>
      <c r="KA1364" s="120"/>
      <c r="KB1364" s="120"/>
      <c r="KC1364" s="120"/>
      <c r="KD1364" s="120"/>
      <c r="KE1364" s="120"/>
      <c r="KF1364" s="120"/>
      <c r="KG1364" s="120"/>
      <c r="KH1364" s="120"/>
      <c r="KI1364" s="120"/>
      <c r="KJ1364" s="120"/>
      <c r="KK1364" s="120"/>
      <c r="KL1364" s="120"/>
      <c r="KM1364" s="120"/>
      <c r="KN1364" s="120"/>
      <c r="KO1364" s="120"/>
      <c r="KP1364" s="120"/>
      <c r="KQ1364" s="120"/>
      <c r="KR1364" s="120"/>
      <c r="KS1364" s="120"/>
      <c r="KT1364" s="120"/>
      <c r="KU1364" s="120"/>
      <c r="KV1364" s="120"/>
      <c r="KW1364" s="120"/>
      <c r="KX1364" s="120"/>
      <c r="KY1364" s="120"/>
      <c r="KZ1364" s="120"/>
      <c r="LA1364" s="120"/>
      <c r="LB1364" s="120"/>
      <c r="LC1364" s="120"/>
      <c r="LD1364" s="120"/>
      <c r="LE1364" s="120"/>
      <c r="LF1364" s="120"/>
      <c r="LG1364" s="120"/>
      <c r="LH1364" s="120"/>
      <c r="LI1364" s="120"/>
      <c r="LJ1364" s="120"/>
      <c r="LK1364" s="120"/>
      <c r="LL1364" s="120"/>
      <c r="LM1364" s="120"/>
      <c r="LN1364" s="120"/>
      <c r="LO1364" s="120"/>
      <c r="LP1364" s="120"/>
      <c r="LQ1364" s="120"/>
      <c r="LR1364" s="120"/>
      <c r="LS1364" s="120"/>
      <c r="LT1364" s="120"/>
      <c r="LU1364" s="120"/>
      <c r="LV1364" s="120"/>
      <c r="LW1364" s="120"/>
      <c r="LX1364" s="120"/>
      <c r="LY1364" s="120"/>
      <c r="LZ1364" s="120"/>
      <c r="MA1364" s="120"/>
      <c r="MB1364" s="120"/>
      <c r="MC1364" s="120"/>
      <c r="MD1364" s="120"/>
      <c r="ME1364" s="120"/>
      <c r="MF1364" s="120"/>
      <c r="MG1364" s="120"/>
      <c r="MH1364" s="120"/>
      <c r="MI1364" s="120"/>
      <c r="MJ1364" s="120"/>
      <c r="MK1364" s="120"/>
      <c r="ML1364" s="120"/>
      <c r="MM1364" s="120"/>
      <c r="MN1364" s="120"/>
      <c r="MO1364" s="120"/>
      <c r="MP1364" s="120"/>
      <c r="MQ1364" s="120"/>
      <c r="MR1364" s="120"/>
      <c r="MS1364" s="120"/>
      <c r="MT1364" s="120"/>
      <c r="MU1364" s="120"/>
      <c r="MV1364" s="120"/>
      <c r="MW1364" s="120"/>
      <c r="MX1364" s="120"/>
      <c r="MY1364" s="120"/>
      <c r="MZ1364" s="120"/>
      <c r="NA1364" s="120"/>
      <c r="NB1364" s="120"/>
      <c r="NC1364" s="120"/>
      <c r="ND1364" s="120"/>
      <c r="NE1364" s="120"/>
      <c r="NF1364" s="120"/>
      <c r="NG1364" s="120"/>
      <c r="NH1364" s="120"/>
      <c r="NI1364" s="120"/>
      <c r="NJ1364" s="120"/>
      <c r="NK1364" s="120"/>
      <c r="NL1364" s="120"/>
      <c r="NM1364" s="120"/>
      <c r="NN1364" s="120"/>
      <c r="NO1364" s="120"/>
      <c r="NP1364" s="120"/>
      <c r="NQ1364" s="120"/>
      <c r="NR1364" s="120"/>
      <c r="NS1364" s="120"/>
      <c r="NT1364" s="120"/>
      <c r="NU1364" s="120"/>
      <c r="NV1364" s="120"/>
      <c r="NW1364" s="120"/>
      <c r="NX1364" s="120"/>
      <c r="NY1364" s="120"/>
      <c r="NZ1364" s="120"/>
      <c r="OA1364" s="120"/>
      <c r="OB1364" s="120"/>
      <c r="OC1364" s="120"/>
      <c r="OD1364" s="120"/>
      <c r="OE1364" s="120"/>
      <c r="OF1364" s="120"/>
      <c r="OG1364" s="120"/>
      <c r="OH1364" s="120"/>
      <c r="OI1364" s="120"/>
      <c r="OJ1364" s="120"/>
      <c r="OK1364" s="120"/>
      <c r="OL1364" s="120"/>
      <c r="OM1364" s="120"/>
      <c r="ON1364" s="120"/>
      <c r="OO1364" s="120"/>
      <c r="OP1364" s="120"/>
      <c r="OQ1364" s="120"/>
      <c r="OR1364" s="120"/>
      <c r="OS1364" s="120"/>
      <c r="OT1364" s="120"/>
      <c r="OU1364" s="120"/>
      <c r="OV1364" s="120"/>
      <c r="OW1364" s="120"/>
      <c r="OX1364" s="120"/>
      <c r="OY1364" s="120"/>
      <c r="OZ1364" s="120"/>
      <c r="PA1364" s="120"/>
      <c r="PB1364" s="120"/>
      <c r="PC1364" s="120"/>
      <c r="PD1364" s="120"/>
      <c r="PE1364" s="120"/>
      <c r="PF1364" s="120"/>
      <c r="PG1364" s="120"/>
      <c r="PH1364" s="120"/>
      <c r="PI1364" s="120"/>
      <c r="PJ1364" s="120"/>
      <c r="PK1364" s="120"/>
      <c r="PL1364" s="120"/>
      <c r="PM1364" s="120"/>
      <c r="PN1364" s="120"/>
      <c r="PO1364" s="120"/>
      <c r="PP1364" s="120"/>
      <c r="PQ1364" s="120"/>
      <c r="PR1364" s="120"/>
      <c r="PS1364" s="120"/>
      <c r="PT1364" s="120"/>
      <c r="PU1364" s="120"/>
      <c r="PV1364" s="120"/>
      <c r="PW1364" s="120"/>
      <c r="PX1364" s="120"/>
      <c r="PY1364" s="120"/>
      <c r="PZ1364" s="120"/>
      <c r="QA1364" s="120"/>
      <c r="QB1364" s="120"/>
      <c r="QC1364" s="120"/>
      <c r="QD1364" s="120"/>
      <c r="QE1364" s="120"/>
      <c r="QF1364" s="120"/>
      <c r="QG1364" s="120"/>
      <c r="QH1364" s="120"/>
      <c r="QI1364" s="120"/>
      <c r="QJ1364" s="120"/>
      <c r="QK1364" s="120"/>
      <c r="QL1364" s="120"/>
      <c r="QM1364" s="120"/>
      <c r="QN1364" s="120"/>
      <c r="QO1364" s="120"/>
      <c r="QP1364" s="120"/>
      <c r="QQ1364" s="120"/>
      <c r="QR1364" s="120"/>
      <c r="QS1364" s="120"/>
      <c r="QT1364" s="120"/>
      <c r="QU1364" s="120"/>
      <c r="QV1364" s="120"/>
      <c r="QW1364" s="120"/>
      <c r="QX1364" s="120"/>
      <c r="QY1364" s="120"/>
      <c r="QZ1364" s="120"/>
      <c r="RA1364" s="120"/>
      <c r="RB1364" s="120"/>
      <c r="RC1364" s="120"/>
      <c r="RD1364" s="120"/>
      <c r="RE1364" s="120"/>
      <c r="RF1364" s="120"/>
      <c r="RG1364" s="120"/>
      <c r="RH1364" s="120"/>
      <c r="RI1364" s="120"/>
      <c r="RJ1364" s="120"/>
      <c r="RK1364" s="120"/>
      <c r="RL1364" s="120"/>
      <c r="RM1364" s="120"/>
      <c r="RN1364" s="120"/>
      <c r="RO1364" s="120"/>
      <c r="RP1364" s="120"/>
      <c r="RQ1364" s="120"/>
      <c r="RR1364" s="120"/>
      <c r="RS1364" s="120"/>
      <c r="RT1364" s="120"/>
      <c r="RU1364" s="120"/>
      <c r="RV1364" s="120"/>
      <c r="RW1364" s="120"/>
      <c r="RX1364" s="120"/>
      <c r="RY1364" s="120"/>
      <c r="RZ1364" s="120"/>
      <c r="SA1364" s="120"/>
      <c r="SB1364" s="120"/>
      <c r="SC1364" s="120"/>
      <c r="SD1364" s="120"/>
      <c r="SE1364" s="120"/>
      <c r="SF1364" s="120"/>
      <c r="SG1364" s="120"/>
      <c r="SH1364" s="120"/>
      <c r="SI1364" s="120"/>
      <c r="SJ1364" s="120"/>
      <c r="SK1364" s="120"/>
      <c r="SL1364" s="120"/>
      <c r="SM1364" s="120"/>
      <c r="SN1364" s="120"/>
      <c r="SO1364" s="120"/>
      <c r="SP1364" s="120"/>
      <c r="SQ1364" s="120"/>
      <c r="SR1364" s="120"/>
      <c r="SS1364" s="120"/>
      <c r="ST1364" s="120"/>
      <c r="SU1364" s="120"/>
      <c r="SV1364" s="120"/>
      <c r="SW1364" s="120"/>
      <c r="SX1364" s="120"/>
      <c r="SY1364" s="120"/>
      <c r="SZ1364" s="120"/>
      <c r="TA1364" s="120"/>
      <c r="TB1364" s="120"/>
      <c r="TC1364" s="120"/>
      <c r="TD1364" s="120"/>
      <c r="TE1364" s="120"/>
      <c r="TF1364" s="120"/>
      <c r="TG1364" s="120"/>
      <c r="TH1364" s="120"/>
      <c r="TI1364" s="120"/>
      <c r="TJ1364" s="120"/>
      <c r="TK1364" s="120"/>
      <c r="TL1364" s="120"/>
      <c r="TM1364" s="120"/>
      <c r="TN1364" s="120"/>
      <c r="TO1364" s="120"/>
      <c r="TP1364" s="120"/>
      <c r="TQ1364" s="120"/>
      <c r="TR1364" s="120"/>
      <c r="TS1364" s="120"/>
      <c r="TT1364" s="120"/>
      <c r="TU1364" s="120"/>
      <c r="TV1364" s="120"/>
      <c r="TW1364" s="120"/>
      <c r="TX1364" s="120"/>
      <c r="TY1364" s="120"/>
      <c r="TZ1364" s="120"/>
      <c r="UA1364" s="120"/>
      <c r="UB1364" s="120"/>
      <c r="UC1364" s="120"/>
      <c r="UD1364" s="120"/>
      <c r="UE1364" s="120"/>
      <c r="UF1364" s="120"/>
      <c r="UG1364" s="120"/>
      <c r="UH1364" s="120"/>
      <c r="UI1364" s="120"/>
      <c r="UJ1364" s="120"/>
      <c r="UK1364" s="120"/>
      <c r="UL1364" s="120"/>
      <c r="UM1364" s="120"/>
      <c r="UN1364" s="120"/>
      <c r="UO1364" s="120"/>
      <c r="UP1364" s="120"/>
      <c r="UQ1364" s="120"/>
      <c r="UR1364" s="120"/>
      <c r="US1364" s="120"/>
      <c r="UT1364" s="120"/>
      <c r="UU1364" s="120"/>
      <c r="UV1364" s="120"/>
      <c r="UW1364" s="120"/>
      <c r="UX1364" s="120"/>
      <c r="UY1364" s="120"/>
      <c r="UZ1364" s="120"/>
      <c r="VA1364" s="120"/>
      <c r="VB1364" s="120"/>
      <c r="VC1364" s="120"/>
      <c r="VD1364" s="120"/>
      <c r="VE1364" s="120"/>
      <c r="VF1364" s="120"/>
      <c r="VG1364" s="120"/>
      <c r="VH1364" s="120"/>
      <c r="VI1364" s="120"/>
      <c r="VJ1364" s="120"/>
      <c r="VK1364" s="120"/>
      <c r="VL1364" s="120"/>
      <c r="VM1364" s="120"/>
      <c r="VN1364" s="120"/>
      <c r="VO1364" s="120"/>
      <c r="VP1364" s="120"/>
      <c r="VQ1364" s="120"/>
      <c r="VR1364" s="120"/>
      <c r="VS1364" s="120"/>
      <c r="VT1364" s="120"/>
      <c r="VU1364" s="120"/>
      <c r="VV1364" s="120"/>
      <c r="VW1364" s="120"/>
      <c r="VX1364" s="120"/>
      <c r="VY1364" s="120"/>
      <c r="VZ1364" s="120"/>
      <c r="WA1364" s="120"/>
      <c r="WB1364" s="120"/>
      <c r="WC1364" s="120"/>
      <c r="WD1364" s="120"/>
      <c r="WE1364" s="120"/>
      <c r="WF1364" s="120"/>
      <c r="WG1364" s="120"/>
      <c r="WH1364" s="120"/>
      <c r="WI1364" s="120"/>
      <c r="WJ1364" s="120"/>
      <c r="WK1364" s="120"/>
      <c r="WL1364" s="120"/>
      <c r="WM1364" s="120"/>
      <c r="WN1364" s="120"/>
      <c r="WO1364" s="120"/>
      <c r="WP1364" s="120"/>
      <c r="WQ1364" s="120"/>
      <c r="WR1364" s="120"/>
      <c r="WS1364" s="120"/>
      <c r="WT1364" s="120"/>
      <c r="WU1364" s="120"/>
      <c r="WV1364" s="120"/>
      <c r="WW1364" s="120"/>
      <c r="WX1364" s="120"/>
      <c r="WY1364" s="120"/>
      <c r="WZ1364" s="120"/>
      <c r="XA1364" s="120"/>
      <c r="XB1364" s="120"/>
      <c r="XC1364" s="120"/>
      <c r="XD1364" s="120"/>
      <c r="XE1364" s="120"/>
      <c r="XF1364" s="120"/>
      <c r="XG1364" s="120"/>
      <c r="XH1364" s="120"/>
      <c r="XI1364" s="120"/>
      <c r="XJ1364" s="120"/>
      <c r="XK1364" s="120"/>
      <c r="XL1364" s="120"/>
      <c r="XM1364" s="120"/>
      <c r="XN1364" s="120"/>
      <c r="XO1364" s="120"/>
      <c r="XP1364" s="120"/>
      <c r="XQ1364" s="120"/>
      <c r="XR1364" s="120"/>
      <c r="XS1364" s="120"/>
      <c r="XT1364" s="120"/>
      <c r="XU1364" s="120"/>
      <c r="XV1364" s="120"/>
      <c r="XW1364" s="120"/>
      <c r="XX1364" s="120"/>
      <c r="XY1364" s="120"/>
      <c r="XZ1364" s="120"/>
      <c r="YA1364" s="120"/>
      <c r="YB1364" s="120"/>
      <c r="YC1364" s="120"/>
      <c r="YD1364" s="120"/>
      <c r="YE1364" s="120"/>
      <c r="YF1364" s="120"/>
      <c r="YG1364" s="120"/>
      <c r="YH1364" s="120"/>
      <c r="YI1364" s="120"/>
      <c r="YJ1364" s="120"/>
      <c r="YK1364" s="120"/>
      <c r="YL1364" s="120"/>
      <c r="YM1364" s="120"/>
      <c r="YN1364" s="120"/>
      <c r="YO1364" s="120"/>
      <c r="YP1364" s="120"/>
      <c r="YQ1364" s="120"/>
      <c r="YR1364" s="120"/>
      <c r="YS1364" s="120"/>
      <c r="YT1364" s="120"/>
      <c r="YU1364" s="120"/>
      <c r="YV1364" s="120"/>
      <c r="YW1364" s="120"/>
      <c r="YX1364" s="120"/>
      <c r="YY1364" s="120"/>
      <c r="YZ1364" s="120"/>
      <c r="ZA1364" s="120"/>
      <c r="ZB1364" s="120"/>
      <c r="ZC1364" s="120"/>
      <c r="ZD1364" s="120"/>
      <c r="ZE1364" s="120"/>
      <c r="ZF1364" s="120"/>
      <c r="ZG1364" s="120"/>
      <c r="ZH1364" s="120"/>
      <c r="ZI1364" s="120"/>
      <c r="ZJ1364" s="120"/>
      <c r="ZK1364" s="120"/>
      <c r="ZL1364" s="120"/>
      <c r="ZM1364" s="120"/>
      <c r="ZN1364" s="120"/>
      <c r="ZO1364" s="120"/>
      <c r="ZP1364" s="120"/>
      <c r="ZQ1364" s="120"/>
      <c r="ZR1364" s="120"/>
      <c r="ZS1364" s="120"/>
      <c r="ZT1364" s="120"/>
      <c r="ZU1364" s="120"/>
      <c r="ZV1364" s="120"/>
      <c r="ZW1364" s="120"/>
      <c r="ZX1364" s="120"/>
      <c r="ZY1364" s="120"/>
      <c r="ZZ1364" s="120"/>
      <c r="AAA1364" s="120"/>
      <c r="AAB1364" s="120"/>
      <c r="AAC1364" s="120"/>
      <c r="AAD1364" s="120"/>
      <c r="AAE1364" s="120"/>
      <c r="AAF1364" s="120"/>
      <c r="AAG1364" s="120"/>
      <c r="AAH1364" s="120"/>
      <c r="AAI1364" s="120"/>
      <c r="AAJ1364" s="120"/>
      <c r="AAK1364" s="120"/>
      <c r="AAL1364" s="120"/>
      <c r="AAM1364" s="120"/>
      <c r="AAN1364" s="120"/>
      <c r="AAO1364" s="120"/>
      <c r="AAP1364" s="120"/>
      <c r="AAQ1364" s="120"/>
      <c r="AAR1364" s="120"/>
      <c r="AAS1364" s="120"/>
      <c r="AAT1364" s="120"/>
      <c r="AAU1364" s="120"/>
      <c r="AAV1364" s="120"/>
      <c r="AAW1364" s="120"/>
      <c r="AAX1364" s="120"/>
      <c r="AAY1364" s="120"/>
      <c r="AAZ1364" s="120"/>
      <c r="ABA1364" s="120"/>
      <c r="ABB1364" s="120"/>
      <c r="ABC1364" s="120"/>
      <c r="ABD1364" s="120"/>
      <c r="ABE1364" s="120"/>
      <c r="ABF1364" s="120"/>
      <c r="ABG1364" s="120"/>
      <c r="ABH1364" s="120"/>
      <c r="ABI1364" s="120"/>
      <c r="ABJ1364" s="120"/>
      <c r="ABK1364" s="120"/>
      <c r="ABL1364" s="120"/>
      <c r="ABM1364" s="120"/>
      <c r="ABN1364" s="120"/>
      <c r="ABO1364" s="120"/>
      <c r="ABP1364" s="120"/>
      <c r="ABQ1364" s="120"/>
      <c r="ABR1364" s="120"/>
      <c r="ABS1364" s="120"/>
      <c r="ABT1364" s="120"/>
      <c r="ABU1364" s="120"/>
      <c r="ABV1364" s="120"/>
      <c r="ABW1364" s="120"/>
      <c r="ABX1364" s="120"/>
      <c r="ABY1364" s="120"/>
      <c r="ABZ1364" s="120"/>
      <c r="ACA1364" s="120"/>
      <c r="ACB1364" s="120"/>
      <c r="ACC1364" s="120"/>
      <c r="ACD1364" s="120"/>
      <c r="ACE1364" s="120"/>
      <c r="ACF1364" s="120"/>
      <c r="ACG1364" s="120"/>
      <c r="ACH1364" s="120"/>
      <c r="ACI1364" s="120"/>
      <c r="ACJ1364" s="120"/>
      <c r="ACK1364" s="120"/>
      <c r="ACL1364" s="120"/>
      <c r="ACM1364" s="120"/>
      <c r="ACN1364" s="120"/>
      <c r="ACO1364" s="120"/>
      <c r="ACP1364" s="120"/>
      <c r="ACQ1364" s="120"/>
      <c r="ACR1364" s="120"/>
      <c r="ACS1364" s="120"/>
      <c r="ACT1364" s="120"/>
      <c r="ACU1364" s="120"/>
      <c r="ACV1364" s="120"/>
      <c r="ACW1364" s="120"/>
      <c r="ACX1364" s="120"/>
      <c r="ACY1364" s="120"/>
      <c r="ACZ1364" s="120"/>
      <c r="ADA1364" s="120"/>
      <c r="ADB1364" s="120"/>
      <c r="ADC1364" s="120"/>
      <c r="ADD1364" s="120"/>
      <c r="ADE1364" s="120"/>
      <c r="ADF1364" s="120"/>
      <c r="ADG1364" s="120"/>
      <c r="ADH1364" s="120"/>
      <c r="ADI1364" s="120"/>
      <c r="ADJ1364" s="120"/>
      <c r="ADK1364" s="120"/>
      <c r="ADL1364" s="120"/>
      <c r="ADM1364" s="120"/>
      <c r="ADN1364" s="120"/>
      <c r="ADO1364" s="120"/>
      <c r="ADP1364" s="120"/>
      <c r="ADQ1364" s="120"/>
      <c r="ADR1364" s="120"/>
      <c r="ADS1364" s="120"/>
      <c r="ADT1364" s="120"/>
      <c r="ADU1364" s="120"/>
      <c r="ADV1364" s="120"/>
      <c r="ADW1364" s="120"/>
      <c r="ADX1364" s="120"/>
      <c r="ADY1364" s="120"/>
      <c r="ADZ1364" s="120"/>
      <c r="AEA1364" s="120"/>
      <c r="AEB1364" s="120"/>
      <c r="AEC1364" s="120"/>
      <c r="AED1364" s="120"/>
      <c r="AEE1364" s="120"/>
      <c r="AEF1364" s="120"/>
      <c r="AEG1364" s="120"/>
      <c r="AEH1364" s="120"/>
      <c r="AEI1364" s="120"/>
      <c r="AEJ1364" s="120"/>
      <c r="AEK1364" s="120"/>
      <c r="AEL1364" s="120"/>
      <c r="AEM1364" s="120"/>
      <c r="AEN1364" s="120"/>
      <c r="AEO1364" s="120"/>
      <c r="AEP1364" s="120"/>
      <c r="AEQ1364" s="120"/>
      <c r="AER1364" s="120"/>
      <c r="AES1364" s="120"/>
      <c r="AET1364" s="120"/>
      <c r="AEU1364" s="120"/>
      <c r="AEV1364" s="120"/>
      <c r="AEW1364" s="120"/>
      <c r="AEX1364" s="120"/>
      <c r="AEY1364" s="120"/>
      <c r="AEZ1364" s="120"/>
      <c r="AFA1364" s="120"/>
      <c r="AFB1364" s="120"/>
      <c r="AFC1364" s="120"/>
      <c r="AFD1364" s="120"/>
      <c r="AFE1364" s="120"/>
      <c r="AFF1364" s="120"/>
      <c r="AFG1364" s="120"/>
      <c r="AFH1364" s="120"/>
      <c r="AFI1364" s="120"/>
      <c r="AFJ1364" s="120"/>
      <c r="AFK1364" s="120"/>
      <c r="AFL1364" s="120"/>
      <c r="AFM1364" s="120"/>
      <c r="AFN1364" s="120"/>
      <c r="AFO1364" s="120"/>
      <c r="AFP1364" s="120"/>
      <c r="AFQ1364" s="120"/>
      <c r="AFR1364" s="120"/>
      <c r="AFS1364" s="120"/>
      <c r="AFT1364" s="120"/>
      <c r="AFU1364" s="120"/>
      <c r="AFV1364" s="120"/>
      <c r="AFW1364" s="120"/>
      <c r="AFX1364" s="120"/>
      <c r="AFY1364" s="120"/>
      <c r="AFZ1364" s="120"/>
      <c r="AGA1364" s="120"/>
      <c r="AGB1364" s="120"/>
      <c r="AGC1364" s="120"/>
      <c r="AGD1364" s="120"/>
      <c r="AGE1364" s="120"/>
      <c r="AGF1364" s="120"/>
      <c r="AGG1364" s="120"/>
      <c r="AGH1364" s="120"/>
      <c r="AGI1364" s="120"/>
      <c r="AGJ1364" s="120"/>
      <c r="AGK1364" s="120"/>
      <c r="AGL1364" s="120"/>
      <c r="AGM1364" s="120"/>
      <c r="AGN1364" s="120"/>
      <c r="AGO1364" s="120"/>
      <c r="AGP1364" s="120"/>
      <c r="AGQ1364" s="120"/>
      <c r="AGR1364" s="120"/>
      <c r="AGS1364" s="120"/>
      <c r="AGT1364" s="120"/>
      <c r="AGU1364" s="120"/>
      <c r="AGV1364" s="120"/>
      <c r="AGW1364" s="120"/>
      <c r="AGX1364" s="120"/>
      <c r="AGY1364" s="120"/>
      <c r="AGZ1364" s="120"/>
      <c r="AHA1364" s="120"/>
      <c r="AHB1364" s="120"/>
      <c r="AHC1364" s="120"/>
      <c r="AHD1364" s="120"/>
      <c r="AHE1364" s="120"/>
      <c r="AHF1364" s="120"/>
      <c r="AHG1364" s="120"/>
      <c r="AHH1364" s="120"/>
      <c r="AHI1364" s="120"/>
      <c r="AHJ1364" s="120"/>
      <c r="AHK1364" s="120"/>
      <c r="AHL1364" s="120"/>
      <c r="AHM1364" s="120"/>
      <c r="AHN1364" s="120"/>
      <c r="AHO1364" s="120"/>
      <c r="AHP1364" s="120"/>
      <c r="AHQ1364" s="120"/>
      <c r="AHR1364" s="120"/>
      <c r="AHS1364" s="120"/>
      <c r="AHT1364" s="120"/>
      <c r="AHU1364" s="120"/>
      <c r="AHV1364" s="120"/>
      <c r="AHW1364" s="120"/>
      <c r="AHX1364" s="120"/>
      <c r="AHY1364" s="120"/>
      <c r="AHZ1364" s="120"/>
      <c r="AIA1364" s="120"/>
      <c r="AIB1364" s="120"/>
      <c r="AIC1364" s="120"/>
      <c r="AID1364" s="120"/>
      <c r="AIE1364" s="120"/>
      <c r="AIF1364" s="120"/>
      <c r="AIG1364" s="120"/>
      <c r="AIH1364" s="120"/>
      <c r="AII1364" s="120"/>
      <c r="AIJ1364" s="120"/>
      <c r="AIK1364" s="120"/>
      <c r="AIL1364" s="120"/>
      <c r="AIM1364" s="120"/>
      <c r="AIN1364" s="120"/>
      <c r="AIO1364" s="120"/>
      <c r="AIP1364" s="120"/>
      <c r="AIQ1364" s="120"/>
      <c r="AIR1364" s="120"/>
      <c r="AIS1364" s="120"/>
      <c r="AIT1364" s="120"/>
      <c r="AIU1364" s="120"/>
      <c r="AIV1364" s="120"/>
      <c r="AIW1364" s="120"/>
      <c r="AIX1364" s="120"/>
      <c r="AIY1364" s="120"/>
      <c r="AIZ1364" s="120"/>
      <c r="AJA1364" s="120"/>
      <c r="AJB1364" s="120"/>
      <c r="AJC1364" s="120"/>
      <c r="AJD1364" s="120"/>
      <c r="AJE1364" s="120"/>
      <c r="AJF1364" s="120"/>
      <c r="AJG1364" s="120"/>
      <c r="AJH1364" s="120"/>
      <c r="AJI1364" s="120"/>
      <c r="AJJ1364" s="120"/>
      <c r="AJK1364" s="120"/>
      <c r="AJL1364" s="120"/>
      <c r="AJM1364" s="120"/>
      <c r="AJN1364" s="120"/>
      <c r="AJO1364" s="120"/>
      <c r="AJP1364" s="120"/>
      <c r="AJQ1364" s="120"/>
      <c r="AJR1364" s="120"/>
      <c r="AJS1364" s="120"/>
      <c r="AJT1364" s="120"/>
      <c r="AJU1364" s="120"/>
      <c r="AJV1364" s="120"/>
      <c r="AJW1364" s="120"/>
      <c r="AJX1364" s="120"/>
      <c r="AJY1364" s="120"/>
      <c r="AJZ1364" s="120"/>
      <c r="AKA1364" s="120"/>
      <c r="AKB1364" s="120"/>
      <c r="AKC1364" s="120"/>
      <c r="AKD1364" s="120"/>
      <c r="AKE1364" s="120"/>
      <c r="AKF1364" s="120"/>
      <c r="AKG1364" s="120"/>
      <c r="AKH1364" s="120"/>
      <c r="AKI1364" s="120"/>
      <c r="AKJ1364" s="120"/>
      <c r="AKK1364" s="120"/>
      <c r="AKL1364" s="120"/>
      <c r="AKM1364" s="120"/>
      <c r="AKN1364" s="120"/>
      <c r="AKO1364" s="120"/>
      <c r="AKP1364" s="120"/>
      <c r="AKQ1364" s="120"/>
      <c r="AKR1364" s="120"/>
      <c r="AKS1364" s="120"/>
      <c r="AKT1364" s="120"/>
      <c r="AKU1364" s="120"/>
      <c r="AKV1364" s="120"/>
      <c r="AKW1364" s="120"/>
      <c r="AKX1364" s="120"/>
      <c r="AKY1364" s="120"/>
      <c r="AKZ1364" s="120"/>
      <c r="ALA1364" s="120"/>
      <c r="ALB1364" s="120"/>
      <c r="ALC1364" s="120"/>
      <c r="ALD1364" s="120"/>
      <c r="ALE1364" s="120"/>
      <c r="ALF1364" s="120"/>
      <c r="ALG1364" s="120"/>
      <c r="ALH1364" s="120"/>
      <c r="ALI1364" s="120"/>
      <c r="ALJ1364" s="120"/>
      <c r="ALK1364" s="120"/>
      <c r="ALL1364" s="120"/>
      <c r="ALM1364" s="120"/>
      <c r="ALN1364" s="120"/>
      <c r="ALO1364" s="120"/>
      <c r="ALP1364" s="120"/>
      <c r="ALQ1364" s="120"/>
      <c r="ALR1364" s="120"/>
      <c r="ALS1364" s="120"/>
      <c r="ALT1364" s="120"/>
      <c r="ALU1364" s="120"/>
      <c r="ALV1364" s="120"/>
      <c r="ALW1364" s="120"/>
      <c r="ALX1364" s="120"/>
      <c r="ALY1364" s="120"/>
      <c r="ALZ1364" s="120"/>
      <c r="AMA1364" s="120"/>
      <c r="AMB1364" s="120"/>
      <c r="AMC1364" s="120"/>
      <c r="AMD1364" s="120"/>
      <c r="AME1364" s="120"/>
      <c r="AMF1364" s="120"/>
      <c r="AMG1364" s="120"/>
      <c r="AMH1364" s="120"/>
      <c r="AMI1364" s="120"/>
      <c r="AMJ1364" s="120"/>
      <c r="AMK1364" s="120"/>
      <c r="AML1364" s="120"/>
      <c r="AMM1364" s="120"/>
      <c r="AMN1364" s="120"/>
      <c r="AMO1364" s="120"/>
      <c r="AMP1364" s="120"/>
      <c r="AMQ1364" s="120"/>
      <c r="AMR1364" s="120"/>
      <c r="AMS1364" s="120"/>
      <c r="AMT1364" s="120"/>
      <c r="AMU1364" s="120"/>
      <c r="AMV1364" s="120"/>
      <c r="AMW1364" s="120"/>
      <c r="AMX1364" s="120"/>
      <c r="AMY1364" s="120"/>
      <c r="AMZ1364" s="120"/>
      <c r="ANA1364" s="120"/>
      <c r="ANB1364" s="120"/>
      <c r="ANC1364" s="120"/>
      <c r="AND1364" s="120"/>
      <c r="ANE1364" s="120"/>
      <c r="ANF1364" s="120"/>
      <c r="ANG1364" s="120"/>
      <c r="ANH1364" s="120"/>
      <c r="ANI1364" s="120"/>
      <c r="ANJ1364" s="120"/>
      <c r="ANK1364" s="120"/>
      <c r="ANL1364" s="120"/>
      <c r="ANM1364" s="120"/>
      <c r="ANN1364" s="120"/>
      <c r="ANO1364" s="120"/>
      <c r="ANP1364" s="120"/>
      <c r="ANQ1364" s="120"/>
      <c r="ANR1364" s="120"/>
      <c r="ANS1364" s="120"/>
      <c r="ANT1364" s="120"/>
      <c r="ANU1364" s="120"/>
      <c r="ANV1364" s="120"/>
      <c r="ANW1364" s="120"/>
      <c r="ANX1364" s="120"/>
      <c r="ANY1364" s="120"/>
      <c r="ANZ1364" s="120"/>
      <c r="AOA1364" s="120"/>
      <c r="AOB1364" s="120"/>
      <c r="AOC1364" s="120"/>
      <c r="AOD1364" s="120"/>
      <c r="AOE1364" s="120"/>
      <c r="AOF1364" s="120"/>
      <c r="AOG1364" s="120"/>
      <c r="AOH1364" s="120"/>
      <c r="AOI1364" s="120"/>
      <c r="AOJ1364" s="120"/>
      <c r="AOK1364" s="120"/>
      <c r="AOL1364" s="120"/>
      <c r="AOM1364" s="120"/>
      <c r="AON1364" s="120"/>
      <c r="AOO1364" s="120"/>
      <c r="AOP1364" s="120"/>
      <c r="AOQ1364" s="120"/>
      <c r="AOR1364" s="120"/>
      <c r="AOS1364" s="120"/>
      <c r="AOT1364" s="120"/>
      <c r="AOU1364" s="120"/>
      <c r="AOV1364" s="120"/>
      <c r="AOW1364" s="120"/>
      <c r="AOX1364" s="120"/>
      <c r="AOY1364" s="120"/>
      <c r="AOZ1364" s="120"/>
      <c r="APA1364" s="120"/>
      <c r="APB1364" s="120"/>
      <c r="APC1364" s="120"/>
      <c r="APD1364" s="120"/>
      <c r="APE1364" s="120"/>
      <c r="APF1364" s="120"/>
      <c r="APG1364" s="120"/>
      <c r="APH1364" s="120"/>
      <c r="API1364" s="120"/>
      <c r="APJ1364" s="120"/>
      <c r="APK1364" s="120"/>
      <c r="APL1364" s="120"/>
      <c r="APM1364" s="120"/>
      <c r="APN1364" s="120"/>
      <c r="APO1364" s="120"/>
      <c r="APP1364" s="120"/>
      <c r="APQ1364" s="120"/>
      <c r="APR1364" s="120"/>
      <c r="APS1364" s="120"/>
      <c r="APT1364" s="120"/>
      <c r="APU1364" s="120"/>
      <c r="APV1364" s="120"/>
      <c r="APW1364" s="120"/>
      <c r="APX1364" s="120"/>
      <c r="APY1364" s="120"/>
      <c r="APZ1364" s="120"/>
      <c r="AQA1364" s="120"/>
      <c r="AQB1364" s="120"/>
      <c r="AQC1364" s="120"/>
      <c r="AQD1364" s="120"/>
      <c r="AQE1364" s="120"/>
      <c r="AQF1364" s="120"/>
      <c r="AQG1364" s="120"/>
      <c r="AQH1364" s="120"/>
      <c r="AQI1364" s="120"/>
      <c r="AQJ1364" s="120"/>
      <c r="AQK1364" s="120"/>
      <c r="AQL1364" s="120"/>
      <c r="AQM1364" s="120"/>
      <c r="AQN1364" s="120"/>
      <c r="AQO1364" s="120"/>
      <c r="AQP1364" s="120"/>
      <c r="AQQ1364" s="120"/>
      <c r="AQR1364" s="120"/>
      <c r="AQS1364" s="120"/>
      <c r="AQT1364" s="120"/>
      <c r="AQU1364" s="120"/>
      <c r="AQV1364" s="120"/>
      <c r="AQW1364" s="120"/>
      <c r="AQX1364" s="120"/>
      <c r="AQY1364" s="120"/>
      <c r="AQZ1364" s="120"/>
      <c r="ARA1364" s="120"/>
      <c r="ARB1364" s="120"/>
      <c r="ARC1364" s="120"/>
      <c r="ARD1364" s="120"/>
      <c r="ARE1364" s="120"/>
      <c r="ARF1364" s="120"/>
      <c r="ARG1364" s="120"/>
      <c r="ARH1364" s="120"/>
      <c r="ARI1364" s="120"/>
      <c r="ARJ1364" s="120"/>
      <c r="ARK1364" s="120"/>
      <c r="ARL1364" s="120"/>
      <c r="ARM1364" s="120"/>
      <c r="ARN1364" s="120"/>
      <c r="ARO1364" s="120"/>
      <c r="ARP1364" s="120"/>
      <c r="ARQ1364" s="120"/>
      <c r="ARR1364" s="120"/>
      <c r="ARS1364" s="120"/>
      <c r="ART1364" s="120"/>
      <c r="ARU1364" s="120"/>
      <c r="ARV1364" s="120"/>
      <c r="ARW1364" s="120"/>
      <c r="ARX1364" s="120"/>
      <c r="ARY1364" s="120"/>
      <c r="ARZ1364" s="120"/>
      <c r="ASA1364" s="120"/>
      <c r="ASB1364" s="120"/>
      <c r="ASC1364" s="120"/>
      <c r="ASD1364" s="120"/>
      <c r="ASE1364" s="120"/>
      <c r="ASF1364" s="120"/>
      <c r="ASG1364" s="120"/>
      <c r="ASH1364" s="120"/>
      <c r="ASI1364" s="120"/>
      <c r="ASJ1364" s="120"/>
      <c r="ASK1364" s="120"/>
      <c r="ASL1364" s="120"/>
      <c r="ASM1364" s="120"/>
      <c r="ASN1364" s="120"/>
      <c r="ASO1364" s="120"/>
      <c r="ASP1364" s="120"/>
      <c r="ASQ1364" s="120"/>
      <c r="ASR1364" s="120"/>
      <c r="ASS1364" s="120"/>
      <c r="AST1364" s="120"/>
      <c r="ASU1364" s="120"/>
      <c r="ASV1364" s="120"/>
      <c r="ASW1364" s="120"/>
      <c r="ASX1364" s="120"/>
      <c r="ASY1364" s="120"/>
      <c r="ASZ1364" s="120"/>
      <c r="ATA1364" s="120"/>
      <c r="ATB1364" s="120"/>
      <c r="ATC1364" s="120"/>
      <c r="ATD1364" s="120"/>
      <c r="ATE1364" s="120"/>
      <c r="ATF1364" s="120"/>
      <c r="ATG1364" s="120"/>
      <c r="ATH1364" s="120"/>
      <c r="ATI1364" s="120"/>
      <c r="ATJ1364" s="120"/>
      <c r="ATK1364" s="120"/>
      <c r="ATL1364" s="120"/>
      <c r="ATM1364" s="120"/>
      <c r="ATN1364" s="120"/>
      <c r="ATO1364" s="120"/>
    </row>
    <row r="1365" spans="1:1211" s="20" customFormat="1" ht="14.1" customHeight="1">
      <c r="A1365" s="900"/>
      <c r="B1365" s="630"/>
      <c r="C1365" s="631"/>
      <c r="D1365" s="631"/>
      <c r="E1365" s="898"/>
      <c r="F1365" s="899"/>
      <c r="G1365" s="899"/>
      <c r="H1365" s="899"/>
      <c r="I1365" s="899"/>
      <c r="J1365" s="899"/>
      <c r="K1365" s="112"/>
      <c r="L1365" s="363"/>
      <c r="M1365" s="112"/>
      <c r="N1365" s="362"/>
      <c r="O1365" s="573"/>
      <c r="P1365" s="120"/>
      <c r="Q1365" s="120"/>
      <c r="R1365" s="120"/>
      <c r="S1365" s="120"/>
      <c r="T1365" s="120"/>
      <c r="U1365" s="120"/>
      <c r="V1365" s="120"/>
      <c r="W1365" s="120"/>
      <c r="X1365" s="120"/>
      <c r="Y1365" s="120"/>
      <c r="Z1365" s="120"/>
      <c r="AA1365" s="120"/>
      <c r="AB1365" s="120"/>
      <c r="AC1365" s="120"/>
      <c r="AD1365" s="120"/>
      <c r="AE1365" s="120"/>
      <c r="AF1365" s="120"/>
      <c r="AG1365" s="120"/>
      <c r="AH1365" s="120"/>
      <c r="AI1365" s="120"/>
      <c r="AJ1365" s="120"/>
      <c r="AK1365" s="120"/>
      <c r="AL1365" s="120"/>
      <c r="AM1365" s="120"/>
      <c r="AN1365" s="120"/>
      <c r="AO1365" s="120"/>
      <c r="AP1365" s="120"/>
      <c r="AQ1365" s="120"/>
      <c r="AR1365" s="120"/>
      <c r="AS1365" s="120"/>
      <c r="AT1365" s="120"/>
      <c r="AU1365" s="120"/>
      <c r="AV1365" s="120"/>
      <c r="AW1365" s="120"/>
      <c r="AX1365" s="120"/>
      <c r="AY1365" s="120"/>
      <c r="AZ1365" s="120"/>
      <c r="BA1365" s="120"/>
      <c r="BB1365" s="120"/>
      <c r="BC1365" s="120"/>
      <c r="BD1365" s="120"/>
      <c r="BE1365" s="120"/>
      <c r="BF1365" s="120"/>
      <c r="BG1365" s="120"/>
      <c r="BH1365" s="120"/>
      <c r="BI1365" s="120"/>
      <c r="BJ1365" s="120"/>
      <c r="BK1365" s="120"/>
      <c r="BL1365" s="120"/>
      <c r="BM1365" s="120"/>
      <c r="BN1365" s="120"/>
      <c r="BO1365" s="120"/>
      <c r="BP1365" s="120"/>
      <c r="BQ1365" s="120"/>
      <c r="BR1365" s="120"/>
      <c r="BS1365" s="120"/>
      <c r="BT1365" s="120"/>
      <c r="BU1365" s="120"/>
      <c r="BV1365" s="120"/>
      <c r="BW1365" s="120"/>
      <c r="BX1365" s="120"/>
      <c r="BY1365" s="120"/>
      <c r="BZ1365" s="120"/>
      <c r="CA1365" s="120"/>
      <c r="CB1365" s="120"/>
      <c r="CC1365" s="120"/>
      <c r="CD1365" s="120"/>
      <c r="CE1365" s="120"/>
      <c r="CF1365" s="120"/>
      <c r="CG1365" s="120"/>
      <c r="CH1365" s="120"/>
      <c r="CI1365" s="120"/>
      <c r="CJ1365" s="120"/>
      <c r="CK1365" s="120"/>
      <c r="CL1365" s="120"/>
      <c r="CM1365" s="120"/>
      <c r="CN1365" s="120"/>
      <c r="CO1365" s="120"/>
      <c r="CP1365" s="120"/>
      <c r="CQ1365" s="120"/>
      <c r="CR1365" s="120"/>
      <c r="CS1365" s="120"/>
      <c r="CT1365" s="120"/>
      <c r="CU1365" s="120"/>
      <c r="CV1365" s="120"/>
      <c r="CW1365" s="120"/>
      <c r="CX1365" s="120"/>
      <c r="CY1365" s="120"/>
      <c r="CZ1365" s="120"/>
      <c r="DA1365" s="120"/>
      <c r="DB1365" s="120"/>
      <c r="DC1365" s="120"/>
      <c r="DD1365" s="120"/>
      <c r="DE1365" s="120"/>
      <c r="DF1365" s="120"/>
      <c r="DG1365" s="120"/>
      <c r="DH1365" s="120"/>
      <c r="DI1365" s="120"/>
      <c r="DJ1365" s="120"/>
      <c r="DK1365" s="120"/>
      <c r="DL1365" s="120"/>
      <c r="DM1365" s="120"/>
      <c r="DN1365" s="120"/>
      <c r="DO1365" s="120"/>
      <c r="DP1365" s="120"/>
      <c r="DQ1365" s="120"/>
      <c r="DR1365" s="120"/>
      <c r="DS1365" s="120"/>
      <c r="DT1365" s="120"/>
      <c r="DU1365" s="120"/>
      <c r="DV1365" s="120"/>
      <c r="DW1365" s="120"/>
      <c r="DX1365" s="120"/>
      <c r="DY1365" s="120"/>
      <c r="DZ1365" s="120"/>
      <c r="EA1365" s="120"/>
      <c r="EB1365" s="120"/>
      <c r="EC1365" s="120"/>
      <c r="ED1365" s="120"/>
      <c r="EE1365" s="120"/>
      <c r="EF1365" s="120"/>
      <c r="EG1365" s="120"/>
      <c r="EH1365" s="120"/>
      <c r="EI1365" s="120"/>
      <c r="EJ1365" s="120"/>
      <c r="EK1365" s="120"/>
      <c r="EL1365" s="120"/>
      <c r="EM1365" s="120"/>
      <c r="EN1365" s="120"/>
      <c r="EO1365" s="120"/>
      <c r="EP1365" s="120"/>
      <c r="EQ1365" s="120"/>
      <c r="ER1365" s="120"/>
      <c r="ES1365" s="120"/>
      <c r="ET1365" s="120"/>
      <c r="EU1365" s="120"/>
      <c r="EV1365" s="120"/>
      <c r="EW1365" s="120"/>
      <c r="EX1365" s="120"/>
      <c r="EY1365" s="120"/>
      <c r="EZ1365" s="120"/>
      <c r="FA1365" s="120"/>
      <c r="FB1365" s="120"/>
      <c r="FC1365" s="120"/>
      <c r="FD1365" s="120"/>
      <c r="FE1365" s="120"/>
      <c r="FF1365" s="120"/>
      <c r="FG1365" s="120"/>
      <c r="FH1365" s="120"/>
      <c r="FI1365" s="120"/>
      <c r="FJ1365" s="120"/>
      <c r="FK1365" s="120"/>
      <c r="FL1365" s="120"/>
      <c r="FM1365" s="120"/>
      <c r="FN1365" s="120"/>
      <c r="FO1365" s="120"/>
      <c r="FP1365" s="120"/>
      <c r="FQ1365" s="120"/>
      <c r="FR1365" s="120"/>
      <c r="FS1365" s="120"/>
      <c r="FT1365" s="120"/>
      <c r="FU1365" s="120"/>
      <c r="FV1365" s="120"/>
      <c r="FW1365" s="120"/>
      <c r="FX1365" s="120"/>
      <c r="FY1365" s="120"/>
      <c r="FZ1365" s="120"/>
      <c r="GA1365" s="120"/>
      <c r="GB1365" s="120"/>
      <c r="GC1365" s="120"/>
      <c r="GD1365" s="120"/>
      <c r="GE1365" s="120"/>
      <c r="GF1365" s="120"/>
      <c r="GG1365" s="120"/>
      <c r="GH1365" s="120"/>
      <c r="GI1365" s="120"/>
      <c r="GJ1365" s="120"/>
      <c r="GK1365" s="120"/>
      <c r="GL1365" s="120"/>
      <c r="GM1365" s="120"/>
      <c r="GN1365" s="120"/>
      <c r="GO1365" s="120"/>
      <c r="GP1365" s="120"/>
      <c r="GQ1365" s="120"/>
      <c r="GR1365" s="120"/>
      <c r="GS1365" s="120"/>
      <c r="GT1365" s="120"/>
      <c r="GU1365" s="120"/>
      <c r="GV1365" s="120"/>
      <c r="GW1365" s="120"/>
      <c r="GX1365" s="120"/>
      <c r="GY1365" s="120"/>
      <c r="GZ1365" s="120"/>
      <c r="HA1365" s="120"/>
      <c r="HB1365" s="120"/>
      <c r="HC1365" s="120"/>
      <c r="HD1365" s="120"/>
      <c r="HE1365" s="120"/>
      <c r="HF1365" s="120"/>
      <c r="HG1365" s="120"/>
      <c r="HH1365" s="120"/>
      <c r="HI1365" s="120"/>
      <c r="HJ1365" s="120"/>
      <c r="HK1365" s="120"/>
      <c r="HL1365" s="120"/>
      <c r="HM1365" s="120"/>
      <c r="HN1365" s="120"/>
      <c r="HO1365" s="120"/>
      <c r="HP1365" s="120"/>
      <c r="HQ1365" s="120"/>
      <c r="HR1365" s="120"/>
      <c r="HS1365" s="120"/>
      <c r="HT1365" s="120"/>
      <c r="HU1365" s="120"/>
      <c r="HV1365" s="120"/>
      <c r="HW1365" s="120"/>
      <c r="HX1365" s="120"/>
      <c r="HY1365" s="120"/>
      <c r="HZ1365" s="120"/>
      <c r="IA1365" s="120"/>
      <c r="IB1365" s="120"/>
      <c r="IC1365" s="120"/>
      <c r="ID1365" s="120"/>
      <c r="IE1365" s="120"/>
      <c r="IF1365" s="120"/>
      <c r="IG1365" s="120"/>
      <c r="IH1365" s="120"/>
      <c r="II1365" s="120"/>
      <c r="IJ1365" s="120"/>
      <c r="IK1365" s="120"/>
      <c r="IL1365" s="120"/>
      <c r="IM1365" s="120"/>
      <c r="IN1365" s="120"/>
      <c r="IO1365" s="120"/>
      <c r="IP1365" s="120"/>
      <c r="IQ1365" s="120"/>
      <c r="IR1365" s="120"/>
      <c r="IS1365" s="120"/>
      <c r="IT1365" s="120"/>
      <c r="IU1365" s="120"/>
      <c r="IV1365" s="120"/>
      <c r="IW1365" s="120"/>
      <c r="IX1365" s="120"/>
      <c r="IY1365" s="120"/>
      <c r="IZ1365" s="120"/>
      <c r="JA1365" s="120"/>
      <c r="JB1365" s="120"/>
      <c r="JC1365" s="120"/>
      <c r="JD1365" s="120"/>
      <c r="JE1365" s="120"/>
      <c r="JF1365" s="120"/>
      <c r="JG1365" s="120"/>
      <c r="JH1365" s="120"/>
      <c r="JI1365" s="120"/>
      <c r="JJ1365" s="120"/>
      <c r="JK1365" s="120"/>
      <c r="JL1365" s="120"/>
      <c r="JM1365" s="120"/>
      <c r="JN1365" s="120"/>
      <c r="JO1365" s="120"/>
      <c r="JP1365" s="120"/>
      <c r="JQ1365" s="120"/>
      <c r="JR1365" s="120"/>
      <c r="JS1365" s="120"/>
      <c r="JT1365" s="120"/>
      <c r="JU1365" s="120"/>
      <c r="JV1365" s="120"/>
      <c r="JW1365" s="120"/>
      <c r="JX1365" s="120"/>
      <c r="JY1365" s="120"/>
      <c r="JZ1365" s="120"/>
      <c r="KA1365" s="120"/>
      <c r="KB1365" s="120"/>
      <c r="KC1365" s="120"/>
      <c r="KD1365" s="120"/>
      <c r="KE1365" s="120"/>
      <c r="KF1365" s="120"/>
      <c r="KG1365" s="120"/>
      <c r="KH1365" s="120"/>
      <c r="KI1365" s="120"/>
      <c r="KJ1365" s="120"/>
      <c r="KK1365" s="120"/>
      <c r="KL1365" s="120"/>
      <c r="KM1365" s="120"/>
      <c r="KN1365" s="120"/>
      <c r="KO1365" s="120"/>
      <c r="KP1365" s="120"/>
      <c r="KQ1365" s="120"/>
      <c r="KR1365" s="120"/>
      <c r="KS1365" s="120"/>
      <c r="KT1365" s="120"/>
      <c r="KU1365" s="120"/>
      <c r="KV1365" s="120"/>
      <c r="KW1365" s="120"/>
      <c r="KX1365" s="120"/>
      <c r="KY1365" s="120"/>
      <c r="KZ1365" s="120"/>
      <c r="LA1365" s="120"/>
      <c r="LB1365" s="120"/>
      <c r="LC1365" s="120"/>
      <c r="LD1365" s="120"/>
      <c r="LE1365" s="120"/>
      <c r="LF1365" s="120"/>
      <c r="LG1365" s="120"/>
      <c r="LH1365" s="120"/>
      <c r="LI1365" s="120"/>
      <c r="LJ1365" s="120"/>
      <c r="LK1365" s="120"/>
      <c r="LL1365" s="120"/>
      <c r="LM1365" s="120"/>
      <c r="LN1365" s="120"/>
      <c r="LO1365" s="120"/>
      <c r="LP1365" s="120"/>
      <c r="LQ1365" s="120"/>
      <c r="LR1365" s="120"/>
      <c r="LS1365" s="120"/>
      <c r="LT1365" s="120"/>
      <c r="LU1365" s="120"/>
      <c r="LV1365" s="120"/>
      <c r="LW1365" s="120"/>
      <c r="LX1365" s="120"/>
      <c r="LY1365" s="120"/>
      <c r="LZ1365" s="120"/>
      <c r="MA1365" s="120"/>
      <c r="MB1365" s="120"/>
      <c r="MC1365" s="120"/>
      <c r="MD1365" s="120"/>
      <c r="ME1365" s="120"/>
      <c r="MF1365" s="120"/>
      <c r="MG1365" s="120"/>
      <c r="MH1365" s="120"/>
      <c r="MI1365" s="120"/>
      <c r="MJ1365" s="120"/>
      <c r="MK1365" s="120"/>
      <c r="ML1365" s="120"/>
      <c r="MM1365" s="120"/>
      <c r="MN1365" s="120"/>
      <c r="MO1365" s="120"/>
      <c r="MP1365" s="120"/>
      <c r="MQ1365" s="120"/>
      <c r="MR1365" s="120"/>
      <c r="MS1365" s="120"/>
      <c r="MT1365" s="120"/>
      <c r="MU1365" s="120"/>
      <c r="MV1365" s="120"/>
      <c r="MW1365" s="120"/>
      <c r="MX1365" s="120"/>
      <c r="MY1365" s="120"/>
      <c r="MZ1365" s="120"/>
      <c r="NA1365" s="120"/>
      <c r="NB1365" s="120"/>
      <c r="NC1365" s="120"/>
      <c r="ND1365" s="120"/>
      <c r="NE1365" s="120"/>
      <c r="NF1365" s="120"/>
      <c r="NG1365" s="120"/>
      <c r="NH1365" s="120"/>
      <c r="NI1365" s="120"/>
      <c r="NJ1365" s="120"/>
      <c r="NK1365" s="120"/>
      <c r="NL1365" s="120"/>
      <c r="NM1365" s="120"/>
      <c r="NN1365" s="120"/>
      <c r="NO1365" s="120"/>
      <c r="NP1365" s="120"/>
      <c r="NQ1365" s="120"/>
      <c r="NR1365" s="120"/>
      <c r="NS1365" s="120"/>
      <c r="NT1365" s="120"/>
      <c r="NU1365" s="120"/>
      <c r="NV1365" s="120"/>
      <c r="NW1365" s="120"/>
      <c r="NX1365" s="120"/>
      <c r="NY1365" s="120"/>
      <c r="NZ1365" s="120"/>
      <c r="OA1365" s="120"/>
      <c r="OB1365" s="120"/>
      <c r="OC1365" s="120"/>
      <c r="OD1365" s="120"/>
      <c r="OE1365" s="120"/>
      <c r="OF1365" s="120"/>
      <c r="OG1365" s="120"/>
      <c r="OH1365" s="120"/>
      <c r="OI1365" s="120"/>
      <c r="OJ1365" s="120"/>
      <c r="OK1365" s="120"/>
      <c r="OL1365" s="120"/>
      <c r="OM1365" s="120"/>
      <c r="ON1365" s="120"/>
      <c r="OO1365" s="120"/>
      <c r="OP1365" s="120"/>
      <c r="OQ1365" s="120"/>
      <c r="OR1365" s="120"/>
      <c r="OS1365" s="120"/>
      <c r="OT1365" s="120"/>
      <c r="OU1365" s="120"/>
      <c r="OV1365" s="120"/>
      <c r="OW1365" s="120"/>
      <c r="OX1365" s="120"/>
      <c r="OY1365" s="120"/>
      <c r="OZ1365" s="120"/>
      <c r="PA1365" s="120"/>
      <c r="PB1365" s="120"/>
      <c r="PC1365" s="120"/>
      <c r="PD1365" s="120"/>
      <c r="PE1365" s="120"/>
      <c r="PF1365" s="120"/>
      <c r="PG1365" s="120"/>
      <c r="PH1365" s="120"/>
      <c r="PI1365" s="120"/>
      <c r="PJ1365" s="120"/>
      <c r="PK1365" s="120"/>
      <c r="PL1365" s="120"/>
      <c r="PM1365" s="120"/>
      <c r="PN1365" s="120"/>
      <c r="PO1365" s="120"/>
      <c r="PP1365" s="120"/>
      <c r="PQ1365" s="120"/>
      <c r="PR1365" s="120"/>
      <c r="PS1365" s="120"/>
      <c r="PT1365" s="120"/>
      <c r="PU1365" s="120"/>
      <c r="PV1365" s="120"/>
      <c r="PW1365" s="120"/>
      <c r="PX1365" s="120"/>
      <c r="PY1365" s="120"/>
      <c r="PZ1365" s="120"/>
      <c r="QA1365" s="120"/>
      <c r="QB1365" s="120"/>
      <c r="QC1365" s="120"/>
      <c r="QD1365" s="120"/>
      <c r="QE1365" s="120"/>
      <c r="QF1365" s="120"/>
      <c r="QG1365" s="120"/>
      <c r="QH1365" s="120"/>
      <c r="QI1365" s="120"/>
      <c r="QJ1365" s="120"/>
      <c r="QK1365" s="120"/>
      <c r="QL1365" s="120"/>
      <c r="QM1365" s="120"/>
      <c r="QN1365" s="120"/>
      <c r="QO1365" s="120"/>
      <c r="QP1365" s="120"/>
      <c r="QQ1365" s="120"/>
      <c r="QR1365" s="120"/>
      <c r="QS1365" s="120"/>
      <c r="QT1365" s="120"/>
      <c r="QU1365" s="120"/>
      <c r="QV1365" s="120"/>
      <c r="QW1365" s="120"/>
      <c r="QX1365" s="120"/>
      <c r="QY1365" s="120"/>
      <c r="QZ1365" s="120"/>
      <c r="RA1365" s="120"/>
      <c r="RB1365" s="120"/>
      <c r="RC1365" s="120"/>
      <c r="RD1365" s="120"/>
      <c r="RE1365" s="120"/>
      <c r="RF1365" s="120"/>
      <c r="RG1365" s="120"/>
      <c r="RH1365" s="120"/>
      <c r="RI1365" s="120"/>
      <c r="RJ1365" s="120"/>
      <c r="RK1365" s="120"/>
      <c r="RL1365" s="120"/>
      <c r="RM1365" s="120"/>
      <c r="RN1365" s="120"/>
      <c r="RO1365" s="120"/>
      <c r="RP1365" s="120"/>
      <c r="RQ1365" s="120"/>
      <c r="RR1365" s="120"/>
      <c r="RS1365" s="120"/>
      <c r="RT1365" s="120"/>
      <c r="RU1365" s="120"/>
      <c r="RV1365" s="120"/>
      <c r="RW1365" s="120"/>
      <c r="RX1365" s="120"/>
      <c r="RY1365" s="120"/>
      <c r="RZ1365" s="120"/>
      <c r="SA1365" s="120"/>
      <c r="SB1365" s="120"/>
      <c r="SC1365" s="120"/>
      <c r="SD1365" s="120"/>
      <c r="SE1365" s="120"/>
      <c r="SF1365" s="120"/>
      <c r="SG1365" s="120"/>
      <c r="SH1365" s="120"/>
      <c r="SI1365" s="120"/>
      <c r="SJ1365" s="120"/>
      <c r="SK1365" s="120"/>
      <c r="SL1365" s="120"/>
      <c r="SM1365" s="120"/>
      <c r="SN1365" s="120"/>
      <c r="SO1365" s="120"/>
      <c r="SP1365" s="120"/>
      <c r="SQ1365" s="120"/>
      <c r="SR1365" s="120"/>
      <c r="SS1365" s="120"/>
      <c r="ST1365" s="120"/>
      <c r="SU1365" s="120"/>
      <c r="SV1365" s="120"/>
      <c r="SW1365" s="120"/>
      <c r="SX1365" s="120"/>
      <c r="SY1365" s="120"/>
      <c r="SZ1365" s="120"/>
      <c r="TA1365" s="120"/>
      <c r="TB1365" s="120"/>
      <c r="TC1365" s="120"/>
      <c r="TD1365" s="120"/>
      <c r="TE1365" s="120"/>
      <c r="TF1365" s="120"/>
      <c r="TG1365" s="120"/>
      <c r="TH1365" s="120"/>
      <c r="TI1365" s="120"/>
      <c r="TJ1365" s="120"/>
      <c r="TK1365" s="120"/>
      <c r="TL1365" s="120"/>
      <c r="TM1365" s="120"/>
      <c r="TN1365" s="120"/>
      <c r="TO1365" s="120"/>
      <c r="TP1365" s="120"/>
      <c r="TQ1365" s="120"/>
      <c r="TR1365" s="120"/>
      <c r="TS1365" s="120"/>
      <c r="TT1365" s="120"/>
      <c r="TU1365" s="120"/>
      <c r="TV1365" s="120"/>
      <c r="TW1365" s="120"/>
      <c r="TX1365" s="120"/>
      <c r="TY1365" s="120"/>
      <c r="TZ1365" s="120"/>
      <c r="UA1365" s="120"/>
      <c r="UB1365" s="120"/>
      <c r="UC1365" s="120"/>
      <c r="UD1365" s="120"/>
      <c r="UE1365" s="120"/>
      <c r="UF1365" s="120"/>
      <c r="UG1365" s="120"/>
      <c r="UH1365" s="120"/>
      <c r="UI1365" s="120"/>
      <c r="UJ1365" s="120"/>
      <c r="UK1365" s="120"/>
      <c r="UL1365" s="120"/>
      <c r="UM1365" s="120"/>
      <c r="UN1365" s="120"/>
      <c r="UO1365" s="120"/>
      <c r="UP1365" s="120"/>
      <c r="UQ1365" s="120"/>
      <c r="UR1365" s="120"/>
      <c r="US1365" s="120"/>
      <c r="UT1365" s="120"/>
      <c r="UU1365" s="120"/>
      <c r="UV1365" s="120"/>
      <c r="UW1365" s="120"/>
      <c r="UX1365" s="120"/>
      <c r="UY1365" s="120"/>
      <c r="UZ1365" s="120"/>
      <c r="VA1365" s="120"/>
      <c r="VB1365" s="120"/>
      <c r="VC1365" s="120"/>
      <c r="VD1365" s="120"/>
      <c r="VE1365" s="120"/>
      <c r="VF1365" s="120"/>
      <c r="VG1365" s="120"/>
      <c r="VH1365" s="120"/>
      <c r="VI1365" s="120"/>
      <c r="VJ1365" s="120"/>
      <c r="VK1365" s="120"/>
      <c r="VL1365" s="120"/>
      <c r="VM1365" s="120"/>
      <c r="VN1365" s="120"/>
      <c r="VO1365" s="120"/>
      <c r="VP1365" s="120"/>
      <c r="VQ1365" s="120"/>
      <c r="VR1365" s="120"/>
      <c r="VS1365" s="120"/>
      <c r="VT1365" s="120"/>
      <c r="VU1365" s="120"/>
      <c r="VV1365" s="120"/>
      <c r="VW1365" s="120"/>
      <c r="VX1365" s="120"/>
      <c r="VY1365" s="120"/>
      <c r="VZ1365" s="120"/>
      <c r="WA1365" s="120"/>
      <c r="WB1365" s="120"/>
      <c r="WC1365" s="120"/>
      <c r="WD1365" s="120"/>
      <c r="WE1365" s="120"/>
      <c r="WF1365" s="120"/>
      <c r="WG1365" s="120"/>
      <c r="WH1365" s="120"/>
      <c r="WI1365" s="120"/>
      <c r="WJ1365" s="120"/>
      <c r="WK1365" s="120"/>
      <c r="WL1365" s="120"/>
      <c r="WM1365" s="120"/>
      <c r="WN1365" s="120"/>
      <c r="WO1365" s="120"/>
      <c r="WP1365" s="120"/>
      <c r="WQ1365" s="120"/>
      <c r="WR1365" s="120"/>
      <c r="WS1365" s="120"/>
      <c r="WT1365" s="120"/>
      <c r="WU1365" s="120"/>
      <c r="WV1365" s="120"/>
      <c r="WW1365" s="120"/>
      <c r="WX1365" s="120"/>
      <c r="WY1365" s="120"/>
      <c r="WZ1365" s="120"/>
      <c r="XA1365" s="120"/>
      <c r="XB1365" s="120"/>
      <c r="XC1365" s="120"/>
      <c r="XD1365" s="120"/>
      <c r="XE1365" s="120"/>
      <c r="XF1365" s="120"/>
      <c r="XG1365" s="120"/>
      <c r="XH1365" s="120"/>
      <c r="XI1365" s="120"/>
      <c r="XJ1365" s="120"/>
      <c r="XK1365" s="120"/>
      <c r="XL1365" s="120"/>
      <c r="XM1365" s="120"/>
      <c r="XN1365" s="120"/>
      <c r="XO1365" s="120"/>
      <c r="XP1365" s="120"/>
      <c r="XQ1365" s="120"/>
      <c r="XR1365" s="120"/>
      <c r="XS1365" s="120"/>
      <c r="XT1365" s="120"/>
      <c r="XU1365" s="120"/>
      <c r="XV1365" s="120"/>
      <c r="XW1365" s="120"/>
      <c r="XX1365" s="120"/>
      <c r="XY1365" s="120"/>
      <c r="XZ1365" s="120"/>
      <c r="YA1365" s="120"/>
      <c r="YB1365" s="120"/>
      <c r="YC1365" s="120"/>
      <c r="YD1365" s="120"/>
      <c r="YE1365" s="120"/>
      <c r="YF1365" s="120"/>
      <c r="YG1365" s="120"/>
      <c r="YH1365" s="120"/>
      <c r="YI1365" s="120"/>
      <c r="YJ1365" s="120"/>
      <c r="YK1365" s="120"/>
      <c r="YL1365" s="120"/>
      <c r="YM1365" s="120"/>
      <c r="YN1365" s="120"/>
      <c r="YO1365" s="120"/>
      <c r="YP1365" s="120"/>
      <c r="YQ1365" s="120"/>
      <c r="YR1365" s="120"/>
      <c r="YS1365" s="120"/>
      <c r="YT1365" s="120"/>
      <c r="YU1365" s="120"/>
      <c r="YV1365" s="120"/>
      <c r="YW1365" s="120"/>
      <c r="YX1365" s="120"/>
      <c r="YY1365" s="120"/>
      <c r="YZ1365" s="120"/>
      <c r="ZA1365" s="120"/>
      <c r="ZB1365" s="120"/>
      <c r="ZC1365" s="120"/>
      <c r="ZD1365" s="120"/>
      <c r="ZE1365" s="120"/>
      <c r="ZF1365" s="120"/>
      <c r="ZG1365" s="120"/>
      <c r="ZH1365" s="120"/>
      <c r="ZI1365" s="120"/>
      <c r="ZJ1365" s="120"/>
      <c r="ZK1365" s="120"/>
      <c r="ZL1365" s="120"/>
      <c r="ZM1365" s="120"/>
      <c r="ZN1365" s="120"/>
      <c r="ZO1365" s="120"/>
      <c r="ZP1365" s="120"/>
      <c r="ZQ1365" s="120"/>
      <c r="ZR1365" s="120"/>
      <c r="ZS1365" s="120"/>
      <c r="ZT1365" s="120"/>
      <c r="ZU1365" s="120"/>
      <c r="ZV1365" s="120"/>
      <c r="ZW1365" s="120"/>
      <c r="ZX1365" s="120"/>
      <c r="ZY1365" s="120"/>
      <c r="ZZ1365" s="120"/>
      <c r="AAA1365" s="120"/>
      <c r="AAB1365" s="120"/>
      <c r="AAC1365" s="120"/>
      <c r="AAD1365" s="120"/>
      <c r="AAE1365" s="120"/>
      <c r="AAF1365" s="120"/>
      <c r="AAG1365" s="120"/>
      <c r="AAH1365" s="120"/>
      <c r="AAI1365" s="120"/>
      <c r="AAJ1365" s="120"/>
      <c r="AAK1365" s="120"/>
      <c r="AAL1365" s="120"/>
      <c r="AAM1365" s="120"/>
      <c r="AAN1365" s="120"/>
      <c r="AAO1365" s="120"/>
      <c r="AAP1365" s="120"/>
      <c r="AAQ1365" s="120"/>
      <c r="AAR1365" s="120"/>
      <c r="AAS1365" s="120"/>
      <c r="AAT1365" s="120"/>
      <c r="AAU1365" s="120"/>
      <c r="AAV1365" s="120"/>
      <c r="AAW1365" s="120"/>
      <c r="AAX1365" s="120"/>
      <c r="AAY1365" s="120"/>
      <c r="AAZ1365" s="120"/>
      <c r="ABA1365" s="120"/>
      <c r="ABB1365" s="120"/>
      <c r="ABC1365" s="120"/>
      <c r="ABD1365" s="120"/>
      <c r="ABE1365" s="120"/>
      <c r="ABF1365" s="120"/>
      <c r="ABG1365" s="120"/>
      <c r="ABH1365" s="120"/>
      <c r="ABI1365" s="120"/>
      <c r="ABJ1365" s="120"/>
      <c r="ABK1365" s="120"/>
      <c r="ABL1365" s="120"/>
      <c r="ABM1365" s="120"/>
      <c r="ABN1365" s="120"/>
      <c r="ABO1365" s="120"/>
      <c r="ABP1365" s="120"/>
      <c r="ABQ1365" s="120"/>
      <c r="ABR1365" s="120"/>
      <c r="ABS1365" s="120"/>
      <c r="ABT1365" s="120"/>
      <c r="ABU1365" s="120"/>
      <c r="ABV1365" s="120"/>
      <c r="ABW1365" s="120"/>
      <c r="ABX1365" s="120"/>
      <c r="ABY1365" s="120"/>
      <c r="ABZ1365" s="120"/>
      <c r="ACA1365" s="120"/>
      <c r="ACB1365" s="120"/>
      <c r="ACC1365" s="120"/>
      <c r="ACD1365" s="120"/>
      <c r="ACE1365" s="120"/>
      <c r="ACF1365" s="120"/>
      <c r="ACG1365" s="120"/>
      <c r="ACH1365" s="120"/>
      <c r="ACI1365" s="120"/>
      <c r="ACJ1365" s="120"/>
      <c r="ACK1365" s="120"/>
      <c r="ACL1365" s="120"/>
      <c r="ACM1365" s="120"/>
      <c r="ACN1365" s="120"/>
      <c r="ACO1365" s="120"/>
      <c r="ACP1365" s="120"/>
      <c r="ACQ1365" s="120"/>
      <c r="ACR1365" s="120"/>
      <c r="ACS1365" s="120"/>
      <c r="ACT1365" s="120"/>
      <c r="ACU1365" s="120"/>
      <c r="ACV1365" s="120"/>
      <c r="ACW1365" s="120"/>
      <c r="ACX1365" s="120"/>
      <c r="ACY1365" s="120"/>
      <c r="ACZ1365" s="120"/>
      <c r="ADA1365" s="120"/>
      <c r="ADB1365" s="120"/>
      <c r="ADC1365" s="120"/>
      <c r="ADD1365" s="120"/>
      <c r="ADE1365" s="120"/>
      <c r="ADF1365" s="120"/>
      <c r="ADG1365" s="120"/>
      <c r="ADH1365" s="120"/>
      <c r="ADI1365" s="120"/>
      <c r="ADJ1365" s="120"/>
      <c r="ADK1365" s="120"/>
      <c r="ADL1365" s="120"/>
      <c r="ADM1365" s="120"/>
      <c r="ADN1365" s="120"/>
      <c r="ADO1365" s="120"/>
      <c r="ADP1365" s="120"/>
      <c r="ADQ1365" s="120"/>
      <c r="ADR1365" s="120"/>
      <c r="ADS1365" s="120"/>
      <c r="ADT1365" s="120"/>
      <c r="ADU1365" s="120"/>
      <c r="ADV1365" s="120"/>
      <c r="ADW1365" s="120"/>
      <c r="ADX1365" s="120"/>
      <c r="ADY1365" s="120"/>
      <c r="ADZ1365" s="120"/>
      <c r="AEA1365" s="120"/>
      <c r="AEB1365" s="120"/>
      <c r="AEC1365" s="120"/>
      <c r="AED1365" s="120"/>
      <c r="AEE1365" s="120"/>
      <c r="AEF1365" s="120"/>
      <c r="AEG1365" s="120"/>
      <c r="AEH1365" s="120"/>
      <c r="AEI1365" s="120"/>
      <c r="AEJ1365" s="120"/>
      <c r="AEK1365" s="120"/>
      <c r="AEL1365" s="120"/>
      <c r="AEM1365" s="120"/>
      <c r="AEN1365" s="120"/>
      <c r="AEO1365" s="120"/>
      <c r="AEP1365" s="120"/>
      <c r="AEQ1365" s="120"/>
      <c r="AER1365" s="120"/>
      <c r="AES1365" s="120"/>
      <c r="AET1365" s="120"/>
      <c r="AEU1365" s="120"/>
      <c r="AEV1365" s="120"/>
      <c r="AEW1365" s="120"/>
      <c r="AEX1365" s="120"/>
      <c r="AEY1365" s="120"/>
      <c r="AEZ1365" s="120"/>
      <c r="AFA1365" s="120"/>
      <c r="AFB1365" s="120"/>
      <c r="AFC1365" s="120"/>
      <c r="AFD1365" s="120"/>
      <c r="AFE1365" s="120"/>
      <c r="AFF1365" s="120"/>
      <c r="AFG1365" s="120"/>
      <c r="AFH1365" s="120"/>
      <c r="AFI1365" s="120"/>
      <c r="AFJ1365" s="120"/>
      <c r="AFK1365" s="120"/>
      <c r="AFL1365" s="120"/>
      <c r="AFM1365" s="120"/>
      <c r="AFN1365" s="120"/>
      <c r="AFO1365" s="120"/>
      <c r="AFP1365" s="120"/>
      <c r="AFQ1365" s="120"/>
      <c r="AFR1365" s="120"/>
      <c r="AFS1365" s="120"/>
      <c r="AFT1365" s="120"/>
      <c r="AFU1365" s="120"/>
      <c r="AFV1365" s="120"/>
      <c r="AFW1365" s="120"/>
      <c r="AFX1365" s="120"/>
      <c r="AFY1365" s="120"/>
      <c r="AFZ1365" s="120"/>
      <c r="AGA1365" s="120"/>
      <c r="AGB1365" s="120"/>
      <c r="AGC1365" s="120"/>
      <c r="AGD1365" s="120"/>
      <c r="AGE1365" s="120"/>
      <c r="AGF1365" s="120"/>
      <c r="AGG1365" s="120"/>
      <c r="AGH1365" s="120"/>
      <c r="AGI1365" s="120"/>
      <c r="AGJ1365" s="120"/>
      <c r="AGK1365" s="120"/>
      <c r="AGL1365" s="120"/>
      <c r="AGM1365" s="120"/>
      <c r="AGN1365" s="120"/>
      <c r="AGO1365" s="120"/>
      <c r="AGP1365" s="120"/>
      <c r="AGQ1365" s="120"/>
      <c r="AGR1365" s="120"/>
      <c r="AGS1365" s="120"/>
      <c r="AGT1365" s="120"/>
      <c r="AGU1365" s="120"/>
      <c r="AGV1365" s="120"/>
      <c r="AGW1365" s="120"/>
      <c r="AGX1365" s="120"/>
      <c r="AGY1365" s="120"/>
      <c r="AGZ1365" s="120"/>
      <c r="AHA1365" s="120"/>
      <c r="AHB1365" s="120"/>
      <c r="AHC1365" s="120"/>
      <c r="AHD1365" s="120"/>
      <c r="AHE1365" s="120"/>
      <c r="AHF1365" s="120"/>
      <c r="AHG1365" s="120"/>
      <c r="AHH1365" s="120"/>
      <c r="AHI1365" s="120"/>
      <c r="AHJ1365" s="120"/>
      <c r="AHK1365" s="120"/>
      <c r="AHL1365" s="120"/>
      <c r="AHM1365" s="120"/>
      <c r="AHN1365" s="120"/>
      <c r="AHO1365" s="120"/>
      <c r="AHP1365" s="120"/>
      <c r="AHQ1365" s="120"/>
      <c r="AHR1365" s="120"/>
      <c r="AHS1365" s="120"/>
      <c r="AHT1365" s="120"/>
      <c r="AHU1365" s="120"/>
      <c r="AHV1365" s="120"/>
      <c r="AHW1365" s="120"/>
      <c r="AHX1365" s="120"/>
      <c r="AHY1365" s="120"/>
      <c r="AHZ1365" s="120"/>
      <c r="AIA1365" s="120"/>
      <c r="AIB1365" s="120"/>
      <c r="AIC1365" s="120"/>
      <c r="AID1365" s="120"/>
      <c r="AIE1365" s="120"/>
      <c r="AIF1365" s="120"/>
      <c r="AIG1365" s="120"/>
      <c r="AIH1365" s="120"/>
      <c r="AII1365" s="120"/>
      <c r="AIJ1365" s="120"/>
      <c r="AIK1365" s="120"/>
      <c r="AIL1365" s="120"/>
      <c r="AIM1365" s="120"/>
      <c r="AIN1365" s="120"/>
      <c r="AIO1365" s="120"/>
      <c r="AIP1365" s="120"/>
      <c r="AIQ1365" s="120"/>
      <c r="AIR1365" s="120"/>
      <c r="AIS1365" s="120"/>
      <c r="AIT1365" s="120"/>
      <c r="AIU1365" s="120"/>
      <c r="AIV1365" s="120"/>
      <c r="AIW1365" s="120"/>
      <c r="AIX1365" s="120"/>
      <c r="AIY1365" s="120"/>
      <c r="AIZ1365" s="120"/>
      <c r="AJA1365" s="120"/>
      <c r="AJB1365" s="120"/>
      <c r="AJC1365" s="120"/>
      <c r="AJD1365" s="120"/>
      <c r="AJE1365" s="120"/>
      <c r="AJF1365" s="120"/>
      <c r="AJG1365" s="120"/>
      <c r="AJH1365" s="120"/>
      <c r="AJI1365" s="120"/>
      <c r="AJJ1365" s="120"/>
      <c r="AJK1365" s="120"/>
      <c r="AJL1365" s="120"/>
      <c r="AJM1365" s="120"/>
      <c r="AJN1365" s="120"/>
      <c r="AJO1365" s="120"/>
      <c r="AJP1365" s="120"/>
      <c r="AJQ1365" s="120"/>
      <c r="AJR1365" s="120"/>
      <c r="AJS1365" s="120"/>
      <c r="AJT1365" s="120"/>
      <c r="AJU1365" s="120"/>
      <c r="AJV1365" s="120"/>
      <c r="AJW1365" s="120"/>
      <c r="AJX1365" s="120"/>
      <c r="AJY1365" s="120"/>
      <c r="AJZ1365" s="120"/>
      <c r="AKA1365" s="120"/>
      <c r="AKB1365" s="120"/>
      <c r="AKC1365" s="120"/>
      <c r="AKD1365" s="120"/>
      <c r="AKE1365" s="120"/>
      <c r="AKF1365" s="120"/>
      <c r="AKG1365" s="120"/>
      <c r="AKH1365" s="120"/>
      <c r="AKI1365" s="120"/>
      <c r="AKJ1365" s="120"/>
      <c r="AKK1365" s="120"/>
      <c r="AKL1365" s="120"/>
      <c r="AKM1365" s="120"/>
      <c r="AKN1365" s="120"/>
      <c r="AKO1365" s="120"/>
      <c r="AKP1365" s="120"/>
      <c r="AKQ1365" s="120"/>
      <c r="AKR1365" s="120"/>
      <c r="AKS1365" s="120"/>
      <c r="AKT1365" s="120"/>
      <c r="AKU1365" s="120"/>
      <c r="AKV1365" s="120"/>
      <c r="AKW1365" s="120"/>
      <c r="AKX1365" s="120"/>
      <c r="AKY1365" s="120"/>
      <c r="AKZ1365" s="120"/>
      <c r="ALA1365" s="120"/>
      <c r="ALB1365" s="120"/>
      <c r="ALC1365" s="120"/>
      <c r="ALD1365" s="120"/>
      <c r="ALE1365" s="120"/>
      <c r="ALF1365" s="120"/>
      <c r="ALG1365" s="120"/>
      <c r="ALH1365" s="120"/>
      <c r="ALI1365" s="120"/>
      <c r="ALJ1365" s="120"/>
      <c r="ALK1365" s="120"/>
      <c r="ALL1365" s="120"/>
      <c r="ALM1365" s="120"/>
      <c r="ALN1365" s="120"/>
      <c r="ALO1365" s="120"/>
      <c r="ALP1365" s="120"/>
      <c r="ALQ1365" s="120"/>
      <c r="ALR1365" s="120"/>
      <c r="ALS1365" s="120"/>
      <c r="ALT1365" s="120"/>
      <c r="ALU1365" s="120"/>
      <c r="ALV1365" s="120"/>
      <c r="ALW1365" s="120"/>
      <c r="ALX1365" s="120"/>
      <c r="ALY1365" s="120"/>
      <c r="ALZ1365" s="120"/>
      <c r="AMA1365" s="120"/>
      <c r="AMB1365" s="120"/>
      <c r="AMC1365" s="120"/>
      <c r="AMD1365" s="120"/>
      <c r="AME1365" s="120"/>
      <c r="AMF1365" s="120"/>
      <c r="AMG1365" s="120"/>
      <c r="AMH1365" s="120"/>
      <c r="AMI1365" s="120"/>
      <c r="AMJ1365" s="120"/>
      <c r="AMK1365" s="120"/>
      <c r="AML1365" s="120"/>
      <c r="AMM1365" s="120"/>
      <c r="AMN1365" s="120"/>
      <c r="AMO1365" s="120"/>
      <c r="AMP1365" s="120"/>
      <c r="AMQ1365" s="120"/>
      <c r="AMR1365" s="120"/>
      <c r="AMS1365" s="120"/>
      <c r="AMT1365" s="120"/>
      <c r="AMU1365" s="120"/>
      <c r="AMV1365" s="120"/>
      <c r="AMW1365" s="120"/>
      <c r="AMX1365" s="120"/>
      <c r="AMY1365" s="120"/>
      <c r="AMZ1365" s="120"/>
      <c r="ANA1365" s="120"/>
      <c r="ANB1365" s="120"/>
      <c r="ANC1365" s="120"/>
      <c r="AND1365" s="120"/>
      <c r="ANE1365" s="120"/>
      <c r="ANF1365" s="120"/>
      <c r="ANG1365" s="120"/>
      <c r="ANH1365" s="120"/>
      <c r="ANI1365" s="120"/>
      <c r="ANJ1365" s="120"/>
      <c r="ANK1365" s="120"/>
      <c r="ANL1365" s="120"/>
      <c r="ANM1365" s="120"/>
      <c r="ANN1365" s="120"/>
      <c r="ANO1365" s="120"/>
      <c r="ANP1365" s="120"/>
      <c r="ANQ1365" s="120"/>
      <c r="ANR1365" s="120"/>
      <c r="ANS1365" s="120"/>
      <c r="ANT1365" s="120"/>
      <c r="ANU1365" s="120"/>
      <c r="ANV1365" s="120"/>
      <c r="ANW1365" s="120"/>
      <c r="ANX1365" s="120"/>
      <c r="ANY1365" s="120"/>
      <c r="ANZ1365" s="120"/>
      <c r="AOA1365" s="120"/>
      <c r="AOB1365" s="120"/>
      <c r="AOC1365" s="120"/>
      <c r="AOD1365" s="120"/>
      <c r="AOE1365" s="120"/>
      <c r="AOF1365" s="120"/>
      <c r="AOG1365" s="120"/>
      <c r="AOH1365" s="120"/>
      <c r="AOI1365" s="120"/>
      <c r="AOJ1365" s="120"/>
      <c r="AOK1365" s="120"/>
      <c r="AOL1365" s="120"/>
      <c r="AOM1365" s="120"/>
      <c r="AON1365" s="120"/>
      <c r="AOO1365" s="120"/>
      <c r="AOP1365" s="120"/>
      <c r="AOQ1365" s="120"/>
      <c r="AOR1365" s="120"/>
      <c r="AOS1365" s="120"/>
      <c r="AOT1365" s="120"/>
      <c r="AOU1365" s="120"/>
      <c r="AOV1365" s="120"/>
      <c r="AOW1365" s="120"/>
      <c r="AOX1365" s="120"/>
      <c r="AOY1365" s="120"/>
      <c r="AOZ1365" s="120"/>
      <c r="APA1365" s="120"/>
      <c r="APB1365" s="120"/>
      <c r="APC1365" s="120"/>
      <c r="APD1365" s="120"/>
      <c r="APE1365" s="120"/>
      <c r="APF1365" s="120"/>
      <c r="APG1365" s="120"/>
      <c r="APH1365" s="120"/>
      <c r="API1365" s="120"/>
      <c r="APJ1365" s="120"/>
      <c r="APK1365" s="120"/>
      <c r="APL1365" s="120"/>
      <c r="APM1365" s="120"/>
      <c r="APN1365" s="120"/>
      <c r="APO1365" s="120"/>
      <c r="APP1365" s="120"/>
      <c r="APQ1365" s="120"/>
      <c r="APR1365" s="120"/>
      <c r="APS1365" s="120"/>
      <c r="APT1365" s="120"/>
      <c r="APU1365" s="120"/>
      <c r="APV1365" s="120"/>
      <c r="APW1365" s="120"/>
      <c r="APX1365" s="120"/>
      <c r="APY1365" s="120"/>
      <c r="APZ1365" s="120"/>
      <c r="AQA1365" s="120"/>
      <c r="AQB1365" s="120"/>
      <c r="AQC1365" s="120"/>
      <c r="AQD1365" s="120"/>
      <c r="AQE1365" s="120"/>
      <c r="AQF1365" s="120"/>
      <c r="AQG1365" s="120"/>
      <c r="AQH1365" s="120"/>
      <c r="AQI1365" s="120"/>
      <c r="AQJ1365" s="120"/>
      <c r="AQK1365" s="120"/>
      <c r="AQL1365" s="120"/>
      <c r="AQM1365" s="120"/>
      <c r="AQN1365" s="120"/>
      <c r="AQO1365" s="120"/>
      <c r="AQP1365" s="120"/>
      <c r="AQQ1365" s="120"/>
      <c r="AQR1365" s="120"/>
      <c r="AQS1365" s="120"/>
      <c r="AQT1365" s="120"/>
      <c r="AQU1365" s="120"/>
      <c r="AQV1365" s="120"/>
      <c r="AQW1365" s="120"/>
      <c r="AQX1365" s="120"/>
      <c r="AQY1365" s="120"/>
      <c r="AQZ1365" s="120"/>
      <c r="ARA1365" s="120"/>
      <c r="ARB1365" s="120"/>
      <c r="ARC1365" s="120"/>
      <c r="ARD1365" s="120"/>
      <c r="ARE1365" s="120"/>
      <c r="ARF1365" s="120"/>
      <c r="ARG1365" s="120"/>
      <c r="ARH1365" s="120"/>
      <c r="ARI1365" s="120"/>
      <c r="ARJ1365" s="120"/>
      <c r="ARK1365" s="120"/>
      <c r="ARL1365" s="120"/>
      <c r="ARM1365" s="120"/>
      <c r="ARN1365" s="120"/>
      <c r="ARO1365" s="120"/>
      <c r="ARP1365" s="120"/>
      <c r="ARQ1365" s="120"/>
      <c r="ARR1365" s="120"/>
      <c r="ARS1365" s="120"/>
      <c r="ART1365" s="120"/>
      <c r="ARU1365" s="120"/>
      <c r="ARV1365" s="120"/>
      <c r="ARW1365" s="120"/>
      <c r="ARX1365" s="120"/>
      <c r="ARY1365" s="120"/>
      <c r="ARZ1365" s="120"/>
      <c r="ASA1365" s="120"/>
      <c r="ASB1365" s="120"/>
      <c r="ASC1365" s="120"/>
      <c r="ASD1365" s="120"/>
      <c r="ASE1365" s="120"/>
      <c r="ASF1365" s="120"/>
      <c r="ASG1365" s="120"/>
      <c r="ASH1365" s="120"/>
      <c r="ASI1365" s="120"/>
      <c r="ASJ1365" s="120"/>
      <c r="ASK1365" s="120"/>
      <c r="ASL1365" s="120"/>
      <c r="ASM1365" s="120"/>
      <c r="ASN1365" s="120"/>
      <c r="ASO1365" s="120"/>
      <c r="ASP1365" s="120"/>
      <c r="ASQ1365" s="120"/>
      <c r="ASR1365" s="120"/>
      <c r="ASS1365" s="120"/>
      <c r="AST1365" s="120"/>
      <c r="ASU1365" s="120"/>
      <c r="ASV1365" s="120"/>
      <c r="ASW1365" s="120"/>
      <c r="ASX1365" s="120"/>
      <c r="ASY1365" s="120"/>
      <c r="ASZ1365" s="120"/>
      <c r="ATA1365" s="120"/>
      <c r="ATB1365" s="120"/>
      <c r="ATC1365" s="120"/>
      <c r="ATD1365" s="120"/>
      <c r="ATE1365" s="120"/>
      <c r="ATF1365" s="120"/>
      <c r="ATG1365" s="120"/>
      <c r="ATH1365" s="120"/>
      <c r="ATI1365" s="120"/>
      <c r="ATJ1365" s="120"/>
      <c r="ATK1365" s="120"/>
      <c r="ATL1365" s="120"/>
      <c r="ATM1365" s="120"/>
      <c r="ATN1365" s="120"/>
      <c r="ATO1365" s="120"/>
    </row>
    <row r="1366" spans="1:1211" s="20" customFormat="1" ht="14.1" customHeight="1">
      <c r="A1366" s="900"/>
      <c r="B1366" s="1255" t="s">
        <v>3945</v>
      </c>
      <c r="C1366" s="184" t="s">
        <v>6133</v>
      </c>
      <c r="D1366" s="631"/>
      <c r="E1366" s="898"/>
      <c r="F1366" s="899"/>
      <c r="G1366" s="899"/>
      <c r="H1366" s="899"/>
      <c r="I1366" s="899"/>
      <c r="J1366" s="899"/>
      <c r="K1366" s="112"/>
      <c r="L1366" s="363"/>
      <c r="M1366" s="112"/>
      <c r="N1366" s="362"/>
      <c r="O1366" s="573"/>
      <c r="P1366" s="120"/>
      <c r="Q1366" s="120"/>
      <c r="R1366" s="120"/>
      <c r="S1366" s="120"/>
      <c r="T1366" s="120"/>
      <c r="U1366" s="120"/>
      <c r="V1366" s="120"/>
      <c r="W1366" s="120"/>
      <c r="X1366" s="120"/>
      <c r="Y1366" s="120"/>
      <c r="Z1366" s="120"/>
      <c r="AA1366" s="120"/>
      <c r="AB1366" s="120"/>
      <c r="AC1366" s="120"/>
      <c r="AD1366" s="120"/>
      <c r="AE1366" s="120"/>
      <c r="AF1366" s="120"/>
      <c r="AG1366" s="120"/>
      <c r="AH1366" s="120"/>
      <c r="AI1366" s="120"/>
      <c r="AJ1366" s="120"/>
      <c r="AK1366" s="120"/>
      <c r="AL1366" s="120"/>
      <c r="AM1366" s="120"/>
      <c r="AN1366" s="120"/>
      <c r="AO1366" s="120"/>
      <c r="AP1366" s="120"/>
      <c r="AQ1366" s="120"/>
      <c r="AR1366" s="120"/>
      <c r="AS1366" s="120"/>
      <c r="AT1366" s="120"/>
      <c r="AU1366" s="120"/>
      <c r="AV1366" s="120"/>
      <c r="AW1366" s="120"/>
      <c r="AX1366" s="120"/>
      <c r="AY1366" s="120"/>
      <c r="AZ1366" s="120"/>
      <c r="BA1366" s="120"/>
      <c r="BB1366" s="120"/>
      <c r="BC1366" s="120"/>
      <c r="BD1366" s="120"/>
      <c r="BE1366" s="120"/>
      <c r="BF1366" s="120"/>
      <c r="BG1366" s="120"/>
      <c r="BH1366" s="120"/>
      <c r="BI1366" s="120"/>
      <c r="BJ1366" s="120"/>
      <c r="BK1366" s="120"/>
      <c r="BL1366" s="120"/>
      <c r="BM1366" s="120"/>
      <c r="BN1366" s="120"/>
      <c r="BO1366" s="120"/>
      <c r="BP1366" s="120"/>
      <c r="BQ1366" s="120"/>
      <c r="BR1366" s="120"/>
      <c r="BS1366" s="120"/>
      <c r="BT1366" s="120"/>
      <c r="BU1366" s="120"/>
      <c r="BV1366" s="120"/>
      <c r="BW1366" s="120"/>
      <c r="BX1366" s="120"/>
      <c r="BY1366" s="120"/>
      <c r="BZ1366" s="120"/>
      <c r="CA1366" s="120"/>
      <c r="CB1366" s="120"/>
      <c r="CC1366" s="120"/>
      <c r="CD1366" s="120"/>
      <c r="CE1366" s="120"/>
      <c r="CF1366" s="120"/>
      <c r="CG1366" s="120"/>
      <c r="CH1366" s="120"/>
      <c r="CI1366" s="120"/>
      <c r="CJ1366" s="120"/>
      <c r="CK1366" s="120"/>
      <c r="CL1366" s="120"/>
      <c r="CM1366" s="120"/>
      <c r="CN1366" s="120"/>
      <c r="CO1366" s="120"/>
      <c r="CP1366" s="120"/>
      <c r="CQ1366" s="120"/>
      <c r="CR1366" s="120"/>
      <c r="CS1366" s="120"/>
      <c r="CT1366" s="120"/>
      <c r="CU1366" s="120"/>
      <c r="CV1366" s="120"/>
      <c r="CW1366" s="120"/>
      <c r="CX1366" s="120"/>
      <c r="CY1366" s="120"/>
      <c r="CZ1366" s="120"/>
      <c r="DA1366" s="120"/>
      <c r="DB1366" s="120"/>
      <c r="DC1366" s="120"/>
      <c r="DD1366" s="120"/>
      <c r="DE1366" s="120"/>
      <c r="DF1366" s="120"/>
      <c r="DG1366" s="120"/>
      <c r="DH1366" s="120"/>
      <c r="DI1366" s="120"/>
      <c r="DJ1366" s="120"/>
      <c r="DK1366" s="120"/>
      <c r="DL1366" s="120"/>
      <c r="DM1366" s="120"/>
      <c r="DN1366" s="120"/>
      <c r="DO1366" s="120"/>
      <c r="DP1366" s="120"/>
      <c r="DQ1366" s="120"/>
      <c r="DR1366" s="120"/>
      <c r="DS1366" s="120"/>
      <c r="DT1366" s="120"/>
      <c r="DU1366" s="120"/>
      <c r="DV1366" s="120"/>
      <c r="DW1366" s="120"/>
      <c r="DX1366" s="120"/>
      <c r="DY1366" s="120"/>
      <c r="DZ1366" s="120"/>
      <c r="EA1366" s="120"/>
      <c r="EB1366" s="120"/>
      <c r="EC1366" s="120"/>
      <c r="ED1366" s="120"/>
      <c r="EE1366" s="120"/>
      <c r="EF1366" s="120"/>
      <c r="EG1366" s="120"/>
      <c r="EH1366" s="120"/>
      <c r="EI1366" s="120"/>
      <c r="EJ1366" s="120"/>
      <c r="EK1366" s="120"/>
      <c r="EL1366" s="120"/>
      <c r="EM1366" s="120"/>
      <c r="EN1366" s="120"/>
      <c r="EO1366" s="120"/>
      <c r="EP1366" s="120"/>
      <c r="EQ1366" s="120"/>
      <c r="ER1366" s="120"/>
      <c r="ES1366" s="120"/>
      <c r="ET1366" s="120"/>
      <c r="EU1366" s="120"/>
      <c r="EV1366" s="120"/>
      <c r="EW1366" s="120"/>
      <c r="EX1366" s="120"/>
      <c r="EY1366" s="120"/>
      <c r="EZ1366" s="120"/>
      <c r="FA1366" s="120"/>
      <c r="FB1366" s="120"/>
      <c r="FC1366" s="120"/>
      <c r="FD1366" s="120"/>
      <c r="FE1366" s="120"/>
      <c r="FF1366" s="120"/>
      <c r="FG1366" s="120"/>
      <c r="FH1366" s="120"/>
      <c r="FI1366" s="120"/>
      <c r="FJ1366" s="120"/>
      <c r="FK1366" s="120"/>
      <c r="FL1366" s="120"/>
      <c r="FM1366" s="120"/>
      <c r="FN1366" s="120"/>
      <c r="FO1366" s="120"/>
      <c r="FP1366" s="120"/>
      <c r="FQ1366" s="120"/>
      <c r="FR1366" s="120"/>
      <c r="FS1366" s="120"/>
      <c r="FT1366" s="120"/>
      <c r="FU1366" s="120"/>
      <c r="FV1366" s="120"/>
      <c r="FW1366" s="120"/>
      <c r="FX1366" s="120"/>
      <c r="FY1366" s="120"/>
      <c r="FZ1366" s="120"/>
      <c r="GA1366" s="120"/>
      <c r="GB1366" s="120"/>
      <c r="GC1366" s="120"/>
      <c r="GD1366" s="120"/>
      <c r="GE1366" s="120"/>
      <c r="GF1366" s="120"/>
      <c r="GG1366" s="120"/>
      <c r="GH1366" s="120"/>
      <c r="GI1366" s="120"/>
      <c r="GJ1366" s="120"/>
      <c r="GK1366" s="120"/>
      <c r="GL1366" s="120"/>
      <c r="GM1366" s="120"/>
      <c r="GN1366" s="120"/>
      <c r="GO1366" s="120"/>
      <c r="GP1366" s="120"/>
      <c r="GQ1366" s="120"/>
      <c r="GR1366" s="120"/>
      <c r="GS1366" s="120"/>
      <c r="GT1366" s="120"/>
      <c r="GU1366" s="120"/>
      <c r="GV1366" s="120"/>
      <c r="GW1366" s="120"/>
      <c r="GX1366" s="120"/>
      <c r="GY1366" s="120"/>
      <c r="GZ1366" s="120"/>
      <c r="HA1366" s="120"/>
      <c r="HB1366" s="120"/>
      <c r="HC1366" s="120"/>
      <c r="HD1366" s="120"/>
      <c r="HE1366" s="120"/>
      <c r="HF1366" s="120"/>
      <c r="HG1366" s="120"/>
      <c r="HH1366" s="120"/>
      <c r="HI1366" s="120"/>
      <c r="HJ1366" s="120"/>
      <c r="HK1366" s="120"/>
      <c r="HL1366" s="120"/>
      <c r="HM1366" s="120"/>
      <c r="HN1366" s="120"/>
      <c r="HO1366" s="120"/>
      <c r="HP1366" s="120"/>
      <c r="HQ1366" s="120"/>
      <c r="HR1366" s="120"/>
      <c r="HS1366" s="120"/>
      <c r="HT1366" s="120"/>
      <c r="HU1366" s="120"/>
      <c r="HV1366" s="120"/>
      <c r="HW1366" s="120"/>
      <c r="HX1366" s="120"/>
      <c r="HY1366" s="120"/>
      <c r="HZ1366" s="120"/>
      <c r="IA1366" s="120"/>
      <c r="IB1366" s="120"/>
      <c r="IC1366" s="120"/>
      <c r="ID1366" s="120"/>
      <c r="IE1366" s="120"/>
      <c r="IF1366" s="120"/>
      <c r="IG1366" s="120"/>
      <c r="IH1366" s="120"/>
      <c r="II1366" s="120"/>
      <c r="IJ1366" s="120"/>
      <c r="IK1366" s="120"/>
      <c r="IL1366" s="120"/>
      <c r="IM1366" s="120"/>
      <c r="IN1366" s="120"/>
      <c r="IO1366" s="120"/>
      <c r="IP1366" s="120"/>
      <c r="IQ1366" s="120"/>
      <c r="IR1366" s="120"/>
      <c r="IS1366" s="120"/>
      <c r="IT1366" s="120"/>
      <c r="IU1366" s="120"/>
      <c r="IV1366" s="120"/>
      <c r="IW1366" s="120"/>
      <c r="IX1366" s="120"/>
      <c r="IY1366" s="120"/>
      <c r="IZ1366" s="120"/>
      <c r="JA1366" s="120"/>
      <c r="JB1366" s="120"/>
      <c r="JC1366" s="120"/>
      <c r="JD1366" s="120"/>
      <c r="JE1366" s="120"/>
      <c r="JF1366" s="120"/>
      <c r="JG1366" s="120"/>
      <c r="JH1366" s="120"/>
      <c r="JI1366" s="120"/>
      <c r="JJ1366" s="120"/>
      <c r="JK1366" s="120"/>
      <c r="JL1366" s="120"/>
      <c r="JM1366" s="120"/>
      <c r="JN1366" s="120"/>
      <c r="JO1366" s="120"/>
      <c r="JP1366" s="120"/>
      <c r="JQ1366" s="120"/>
      <c r="JR1366" s="120"/>
      <c r="JS1366" s="120"/>
      <c r="JT1366" s="120"/>
      <c r="JU1366" s="120"/>
      <c r="JV1366" s="120"/>
      <c r="JW1366" s="120"/>
      <c r="JX1366" s="120"/>
      <c r="JY1366" s="120"/>
      <c r="JZ1366" s="120"/>
      <c r="KA1366" s="120"/>
      <c r="KB1366" s="120"/>
      <c r="KC1366" s="120"/>
      <c r="KD1366" s="120"/>
      <c r="KE1366" s="120"/>
      <c r="KF1366" s="120"/>
      <c r="KG1366" s="120"/>
      <c r="KH1366" s="120"/>
      <c r="KI1366" s="120"/>
      <c r="KJ1366" s="120"/>
      <c r="KK1366" s="120"/>
      <c r="KL1366" s="120"/>
      <c r="KM1366" s="120"/>
      <c r="KN1366" s="120"/>
      <c r="KO1366" s="120"/>
      <c r="KP1366" s="120"/>
      <c r="KQ1366" s="120"/>
      <c r="KR1366" s="120"/>
      <c r="KS1366" s="120"/>
      <c r="KT1366" s="120"/>
      <c r="KU1366" s="120"/>
      <c r="KV1366" s="120"/>
      <c r="KW1366" s="120"/>
      <c r="KX1366" s="120"/>
      <c r="KY1366" s="120"/>
      <c r="KZ1366" s="120"/>
      <c r="LA1366" s="120"/>
      <c r="LB1366" s="120"/>
      <c r="LC1366" s="120"/>
      <c r="LD1366" s="120"/>
      <c r="LE1366" s="120"/>
      <c r="LF1366" s="120"/>
      <c r="LG1366" s="120"/>
      <c r="LH1366" s="120"/>
      <c r="LI1366" s="120"/>
      <c r="LJ1366" s="120"/>
      <c r="LK1366" s="120"/>
      <c r="LL1366" s="120"/>
      <c r="LM1366" s="120"/>
      <c r="LN1366" s="120"/>
      <c r="LO1366" s="120"/>
      <c r="LP1366" s="120"/>
      <c r="LQ1366" s="120"/>
      <c r="LR1366" s="120"/>
      <c r="LS1366" s="120"/>
      <c r="LT1366" s="120"/>
      <c r="LU1366" s="120"/>
      <c r="LV1366" s="120"/>
      <c r="LW1366" s="120"/>
      <c r="LX1366" s="120"/>
      <c r="LY1366" s="120"/>
      <c r="LZ1366" s="120"/>
      <c r="MA1366" s="120"/>
      <c r="MB1366" s="120"/>
      <c r="MC1366" s="120"/>
      <c r="MD1366" s="120"/>
      <c r="ME1366" s="120"/>
      <c r="MF1366" s="120"/>
      <c r="MG1366" s="120"/>
      <c r="MH1366" s="120"/>
      <c r="MI1366" s="120"/>
      <c r="MJ1366" s="120"/>
      <c r="MK1366" s="120"/>
      <c r="ML1366" s="120"/>
      <c r="MM1366" s="120"/>
      <c r="MN1366" s="120"/>
      <c r="MO1366" s="120"/>
      <c r="MP1366" s="120"/>
      <c r="MQ1366" s="120"/>
      <c r="MR1366" s="120"/>
      <c r="MS1366" s="120"/>
      <c r="MT1366" s="120"/>
      <c r="MU1366" s="120"/>
      <c r="MV1366" s="120"/>
      <c r="MW1366" s="120"/>
      <c r="MX1366" s="120"/>
      <c r="MY1366" s="120"/>
      <c r="MZ1366" s="120"/>
      <c r="NA1366" s="120"/>
      <c r="NB1366" s="120"/>
      <c r="NC1366" s="120"/>
      <c r="ND1366" s="120"/>
      <c r="NE1366" s="120"/>
      <c r="NF1366" s="120"/>
      <c r="NG1366" s="120"/>
      <c r="NH1366" s="120"/>
      <c r="NI1366" s="120"/>
      <c r="NJ1366" s="120"/>
      <c r="NK1366" s="120"/>
      <c r="NL1366" s="120"/>
      <c r="NM1366" s="120"/>
      <c r="NN1366" s="120"/>
      <c r="NO1366" s="120"/>
      <c r="NP1366" s="120"/>
      <c r="NQ1366" s="120"/>
      <c r="NR1366" s="120"/>
      <c r="NS1366" s="120"/>
      <c r="NT1366" s="120"/>
      <c r="NU1366" s="120"/>
      <c r="NV1366" s="120"/>
      <c r="NW1366" s="120"/>
      <c r="NX1366" s="120"/>
      <c r="NY1366" s="120"/>
      <c r="NZ1366" s="120"/>
      <c r="OA1366" s="120"/>
      <c r="OB1366" s="120"/>
      <c r="OC1366" s="120"/>
      <c r="OD1366" s="120"/>
      <c r="OE1366" s="120"/>
      <c r="OF1366" s="120"/>
      <c r="OG1366" s="120"/>
      <c r="OH1366" s="120"/>
      <c r="OI1366" s="120"/>
      <c r="OJ1366" s="120"/>
      <c r="OK1366" s="120"/>
      <c r="OL1366" s="120"/>
      <c r="OM1366" s="120"/>
      <c r="ON1366" s="120"/>
      <c r="OO1366" s="120"/>
      <c r="OP1366" s="120"/>
      <c r="OQ1366" s="120"/>
      <c r="OR1366" s="120"/>
      <c r="OS1366" s="120"/>
      <c r="OT1366" s="120"/>
      <c r="OU1366" s="120"/>
      <c r="OV1366" s="120"/>
      <c r="OW1366" s="120"/>
      <c r="OX1366" s="120"/>
      <c r="OY1366" s="120"/>
      <c r="OZ1366" s="120"/>
      <c r="PA1366" s="120"/>
      <c r="PB1366" s="120"/>
      <c r="PC1366" s="120"/>
      <c r="PD1366" s="120"/>
      <c r="PE1366" s="120"/>
      <c r="PF1366" s="120"/>
      <c r="PG1366" s="120"/>
      <c r="PH1366" s="120"/>
      <c r="PI1366" s="120"/>
      <c r="PJ1366" s="120"/>
      <c r="PK1366" s="120"/>
      <c r="PL1366" s="120"/>
      <c r="PM1366" s="120"/>
      <c r="PN1366" s="120"/>
      <c r="PO1366" s="120"/>
      <c r="PP1366" s="120"/>
      <c r="PQ1366" s="120"/>
      <c r="PR1366" s="120"/>
      <c r="PS1366" s="120"/>
      <c r="PT1366" s="120"/>
      <c r="PU1366" s="120"/>
      <c r="PV1366" s="120"/>
      <c r="PW1366" s="120"/>
      <c r="PX1366" s="120"/>
      <c r="PY1366" s="120"/>
      <c r="PZ1366" s="120"/>
      <c r="QA1366" s="120"/>
      <c r="QB1366" s="120"/>
      <c r="QC1366" s="120"/>
      <c r="QD1366" s="120"/>
      <c r="QE1366" s="120"/>
      <c r="QF1366" s="120"/>
      <c r="QG1366" s="120"/>
      <c r="QH1366" s="120"/>
      <c r="QI1366" s="120"/>
      <c r="QJ1366" s="120"/>
      <c r="QK1366" s="120"/>
      <c r="QL1366" s="120"/>
      <c r="QM1366" s="120"/>
      <c r="QN1366" s="120"/>
      <c r="QO1366" s="120"/>
      <c r="QP1366" s="120"/>
      <c r="QQ1366" s="120"/>
      <c r="QR1366" s="120"/>
      <c r="QS1366" s="120"/>
      <c r="QT1366" s="120"/>
      <c r="QU1366" s="120"/>
      <c r="QV1366" s="120"/>
      <c r="QW1366" s="120"/>
      <c r="QX1366" s="120"/>
      <c r="QY1366" s="120"/>
      <c r="QZ1366" s="120"/>
      <c r="RA1366" s="120"/>
      <c r="RB1366" s="120"/>
      <c r="RC1366" s="120"/>
      <c r="RD1366" s="120"/>
      <c r="RE1366" s="120"/>
      <c r="RF1366" s="120"/>
      <c r="RG1366" s="120"/>
      <c r="RH1366" s="120"/>
      <c r="RI1366" s="120"/>
      <c r="RJ1366" s="120"/>
      <c r="RK1366" s="120"/>
      <c r="RL1366" s="120"/>
      <c r="RM1366" s="120"/>
      <c r="RN1366" s="120"/>
      <c r="RO1366" s="120"/>
      <c r="RP1366" s="120"/>
      <c r="RQ1366" s="120"/>
      <c r="RR1366" s="120"/>
      <c r="RS1366" s="120"/>
      <c r="RT1366" s="120"/>
      <c r="RU1366" s="120"/>
      <c r="RV1366" s="120"/>
      <c r="RW1366" s="120"/>
      <c r="RX1366" s="120"/>
      <c r="RY1366" s="120"/>
      <c r="RZ1366" s="120"/>
      <c r="SA1366" s="120"/>
      <c r="SB1366" s="120"/>
      <c r="SC1366" s="120"/>
      <c r="SD1366" s="120"/>
      <c r="SE1366" s="120"/>
      <c r="SF1366" s="120"/>
      <c r="SG1366" s="120"/>
      <c r="SH1366" s="120"/>
      <c r="SI1366" s="120"/>
      <c r="SJ1366" s="120"/>
      <c r="SK1366" s="120"/>
      <c r="SL1366" s="120"/>
      <c r="SM1366" s="120"/>
      <c r="SN1366" s="120"/>
      <c r="SO1366" s="120"/>
      <c r="SP1366" s="120"/>
      <c r="SQ1366" s="120"/>
      <c r="SR1366" s="120"/>
      <c r="SS1366" s="120"/>
      <c r="ST1366" s="120"/>
      <c r="SU1366" s="120"/>
      <c r="SV1366" s="120"/>
      <c r="SW1366" s="120"/>
      <c r="SX1366" s="120"/>
      <c r="SY1366" s="120"/>
      <c r="SZ1366" s="120"/>
      <c r="TA1366" s="120"/>
      <c r="TB1366" s="120"/>
      <c r="TC1366" s="120"/>
      <c r="TD1366" s="120"/>
      <c r="TE1366" s="120"/>
      <c r="TF1366" s="120"/>
      <c r="TG1366" s="120"/>
      <c r="TH1366" s="120"/>
      <c r="TI1366" s="120"/>
      <c r="TJ1366" s="120"/>
      <c r="TK1366" s="120"/>
      <c r="TL1366" s="120"/>
      <c r="TM1366" s="120"/>
      <c r="TN1366" s="120"/>
      <c r="TO1366" s="120"/>
      <c r="TP1366" s="120"/>
      <c r="TQ1366" s="120"/>
      <c r="TR1366" s="120"/>
      <c r="TS1366" s="120"/>
      <c r="TT1366" s="120"/>
      <c r="TU1366" s="120"/>
      <c r="TV1366" s="120"/>
      <c r="TW1366" s="120"/>
      <c r="TX1366" s="120"/>
      <c r="TY1366" s="120"/>
      <c r="TZ1366" s="120"/>
      <c r="UA1366" s="120"/>
      <c r="UB1366" s="120"/>
      <c r="UC1366" s="120"/>
      <c r="UD1366" s="120"/>
      <c r="UE1366" s="120"/>
      <c r="UF1366" s="120"/>
      <c r="UG1366" s="120"/>
      <c r="UH1366" s="120"/>
      <c r="UI1366" s="120"/>
      <c r="UJ1366" s="120"/>
      <c r="UK1366" s="120"/>
      <c r="UL1366" s="120"/>
      <c r="UM1366" s="120"/>
      <c r="UN1366" s="120"/>
      <c r="UO1366" s="120"/>
      <c r="UP1366" s="120"/>
      <c r="UQ1366" s="120"/>
      <c r="UR1366" s="120"/>
      <c r="US1366" s="120"/>
      <c r="UT1366" s="120"/>
      <c r="UU1366" s="120"/>
      <c r="UV1366" s="120"/>
      <c r="UW1366" s="120"/>
      <c r="UX1366" s="120"/>
      <c r="UY1366" s="120"/>
      <c r="UZ1366" s="120"/>
      <c r="VA1366" s="120"/>
      <c r="VB1366" s="120"/>
      <c r="VC1366" s="120"/>
      <c r="VD1366" s="120"/>
      <c r="VE1366" s="120"/>
      <c r="VF1366" s="120"/>
      <c r="VG1366" s="120"/>
      <c r="VH1366" s="120"/>
      <c r="VI1366" s="120"/>
      <c r="VJ1366" s="120"/>
      <c r="VK1366" s="120"/>
      <c r="VL1366" s="120"/>
      <c r="VM1366" s="120"/>
      <c r="VN1366" s="120"/>
      <c r="VO1366" s="120"/>
      <c r="VP1366" s="120"/>
      <c r="VQ1366" s="120"/>
      <c r="VR1366" s="120"/>
      <c r="VS1366" s="120"/>
      <c r="VT1366" s="120"/>
      <c r="VU1366" s="120"/>
      <c r="VV1366" s="120"/>
      <c r="VW1366" s="120"/>
      <c r="VX1366" s="120"/>
      <c r="VY1366" s="120"/>
      <c r="VZ1366" s="120"/>
      <c r="WA1366" s="120"/>
      <c r="WB1366" s="120"/>
      <c r="WC1366" s="120"/>
      <c r="WD1366" s="120"/>
      <c r="WE1366" s="120"/>
      <c r="WF1366" s="120"/>
      <c r="WG1366" s="120"/>
      <c r="WH1366" s="120"/>
      <c r="WI1366" s="120"/>
      <c r="WJ1366" s="120"/>
      <c r="WK1366" s="120"/>
      <c r="WL1366" s="120"/>
      <c r="WM1366" s="120"/>
      <c r="WN1366" s="120"/>
      <c r="WO1366" s="120"/>
      <c r="WP1366" s="120"/>
      <c r="WQ1366" s="120"/>
      <c r="WR1366" s="120"/>
      <c r="WS1366" s="120"/>
      <c r="WT1366" s="120"/>
      <c r="WU1366" s="120"/>
      <c r="WV1366" s="120"/>
      <c r="WW1366" s="120"/>
      <c r="WX1366" s="120"/>
      <c r="WY1366" s="120"/>
      <c r="WZ1366" s="120"/>
      <c r="XA1366" s="120"/>
      <c r="XB1366" s="120"/>
      <c r="XC1366" s="120"/>
      <c r="XD1366" s="120"/>
      <c r="XE1366" s="120"/>
      <c r="XF1366" s="120"/>
      <c r="XG1366" s="120"/>
      <c r="XH1366" s="120"/>
      <c r="XI1366" s="120"/>
      <c r="XJ1366" s="120"/>
      <c r="XK1366" s="120"/>
      <c r="XL1366" s="120"/>
      <c r="XM1366" s="120"/>
      <c r="XN1366" s="120"/>
      <c r="XO1366" s="120"/>
      <c r="XP1366" s="120"/>
      <c r="XQ1366" s="120"/>
      <c r="XR1366" s="120"/>
      <c r="XS1366" s="120"/>
      <c r="XT1366" s="120"/>
      <c r="XU1366" s="120"/>
      <c r="XV1366" s="120"/>
      <c r="XW1366" s="120"/>
      <c r="XX1366" s="120"/>
      <c r="XY1366" s="120"/>
      <c r="XZ1366" s="120"/>
      <c r="YA1366" s="120"/>
      <c r="YB1366" s="120"/>
      <c r="YC1366" s="120"/>
      <c r="YD1366" s="120"/>
      <c r="YE1366" s="120"/>
      <c r="YF1366" s="120"/>
      <c r="YG1366" s="120"/>
      <c r="YH1366" s="120"/>
      <c r="YI1366" s="120"/>
      <c r="YJ1366" s="120"/>
      <c r="YK1366" s="120"/>
      <c r="YL1366" s="120"/>
      <c r="YM1366" s="120"/>
      <c r="YN1366" s="120"/>
      <c r="YO1366" s="120"/>
      <c r="YP1366" s="120"/>
      <c r="YQ1366" s="120"/>
      <c r="YR1366" s="120"/>
      <c r="YS1366" s="120"/>
      <c r="YT1366" s="120"/>
      <c r="YU1366" s="120"/>
      <c r="YV1366" s="120"/>
      <c r="YW1366" s="120"/>
      <c r="YX1366" s="120"/>
      <c r="YY1366" s="120"/>
      <c r="YZ1366" s="120"/>
      <c r="ZA1366" s="120"/>
      <c r="ZB1366" s="120"/>
      <c r="ZC1366" s="120"/>
      <c r="ZD1366" s="120"/>
      <c r="ZE1366" s="120"/>
      <c r="ZF1366" s="120"/>
      <c r="ZG1366" s="120"/>
      <c r="ZH1366" s="120"/>
      <c r="ZI1366" s="120"/>
      <c r="ZJ1366" s="120"/>
      <c r="ZK1366" s="120"/>
      <c r="ZL1366" s="120"/>
      <c r="ZM1366" s="120"/>
      <c r="ZN1366" s="120"/>
      <c r="ZO1366" s="120"/>
      <c r="ZP1366" s="120"/>
      <c r="ZQ1366" s="120"/>
      <c r="ZR1366" s="120"/>
      <c r="ZS1366" s="120"/>
      <c r="ZT1366" s="120"/>
      <c r="ZU1366" s="120"/>
      <c r="ZV1366" s="120"/>
      <c r="ZW1366" s="120"/>
      <c r="ZX1366" s="120"/>
      <c r="ZY1366" s="120"/>
      <c r="ZZ1366" s="120"/>
      <c r="AAA1366" s="120"/>
      <c r="AAB1366" s="120"/>
      <c r="AAC1366" s="120"/>
      <c r="AAD1366" s="120"/>
      <c r="AAE1366" s="120"/>
      <c r="AAF1366" s="120"/>
      <c r="AAG1366" s="120"/>
      <c r="AAH1366" s="120"/>
      <c r="AAI1366" s="120"/>
      <c r="AAJ1366" s="120"/>
      <c r="AAK1366" s="120"/>
      <c r="AAL1366" s="120"/>
      <c r="AAM1366" s="120"/>
      <c r="AAN1366" s="120"/>
      <c r="AAO1366" s="120"/>
      <c r="AAP1366" s="120"/>
      <c r="AAQ1366" s="120"/>
      <c r="AAR1366" s="120"/>
      <c r="AAS1366" s="120"/>
      <c r="AAT1366" s="120"/>
      <c r="AAU1366" s="120"/>
      <c r="AAV1366" s="120"/>
      <c r="AAW1366" s="120"/>
      <c r="AAX1366" s="120"/>
      <c r="AAY1366" s="120"/>
      <c r="AAZ1366" s="120"/>
      <c r="ABA1366" s="120"/>
      <c r="ABB1366" s="120"/>
      <c r="ABC1366" s="120"/>
      <c r="ABD1366" s="120"/>
      <c r="ABE1366" s="120"/>
      <c r="ABF1366" s="120"/>
      <c r="ABG1366" s="120"/>
      <c r="ABH1366" s="120"/>
      <c r="ABI1366" s="120"/>
      <c r="ABJ1366" s="120"/>
      <c r="ABK1366" s="120"/>
      <c r="ABL1366" s="120"/>
      <c r="ABM1366" s="120"/>
      <c r="ABN1366" s="120"/>
      <c r="ABO1366" s="120"/>
      <c r="ABP1366" s="120"/>
      <c r="ABQ1366" s="120"/>
      <c r="ABR1366" s="120"/>
      <c r="ABS1366" s="120"/>
      <c r="ABT1366" s="120"/>
      <c r="ABU1366" s="120"/>
      <c r="ABV1366" s="120"/>
      <c r="ABW1366" s="120"/>
      <c r="ABX1366" s="120"/>
      <c r="ABY1366" s="120"/>
      <c r="ABZ1366" s="120"/>
      <c r="ACA1366" s="120"/>
      <c r="ACB1366" s="120"/>
      <c r="ACC1366" s="120"/>
      <c r="ACD1366" s="120"/>
      <c r="ACE1366" s="120"/>
      <c r="ACF1366" s="120"/>
      <c r="ACG1366" s="120"/>
      <c r="ACH1366" s="120"/>
      <c r="ACI1366" s="120"/>
      <c r="ACJ1366" s="120"/>
      <c r="ACK1366" s="120"/>
      <c r="ACL1366" s="120"/>
      <c r="ACM1366" s="120"/>
      <c r="ACN1366" s="120"/>
      <c r="ACO1366" s="120"/>
      <c r="ACP1366" s="120"/>
      <c r="ACQ1366" s="120"/>
      <c r="ACR1366" s="120"/>
      <c r="ACS1366" s="120"/>
      <c r="ACT1366" s="120"/>
      <c r="ACU1366" s="120"/>
      <c r="ACV1366" s="120"/>
      <c r="ACW1366" s="120"/>
      <c r="ACX1366" s="120"/>
      <c r="ACY1366" s="120"/>
      <c r="ACZ1366" s="120"/>
      <c r="ADA1366" s="120"/>
      <c r="ADB1366" s="120"/>
      <c r="ADC1366" s="120"/>
      <c r="ADD1366" s="120"/>
      <c r="ADE1366" s="120"/>
      <c r="ADF1366" s="120"/>
      <c r="ADG1366" s="120"/>
      <c r="ADH1366" s="120"/>
      <c r="ADI1366" s="120"/>
      <c r="ADJ1366" s="120"/>
      <c r="ADK1366" s="120"/>
      <c r="ADL1366" s="120"/>
      <c r="ADM1366" s="120"/>
      <c r="ADN1366" s="120"/>
      <c r="ADO1366" s="120"/>
      <c r="ADP1366" s="120"/>
      <c r="ADQ1366" s="120"/>
      <c r="ADR1366" s="120"/>
      <c r="ADS1366" s="120"/>
      <c r="ADT1366" s="120"/>
      <c r="ADU1366" s="120"/>
      <c r="ADV1366" s="120"/>
      <c r="ADW1366" s="120"/>
      <c r="ADX1366" s="120"/>
      <c r="ADY1366" s="120"/>
      <c r="ADZ1366" s="120"/>
      <c r="AEA1366" s="120"/>
      <c r="AEB1366" s="120"/>
      <c r="AEC1366" s="120"/>
      <c r="AED1366" s="120"/>
      <c r="AEE1366" s="120"/>
      <c r="AEF1366" s="120"/>
      <c r="AEG1366" s="120"/>
      <c r="AEH1366" s="120"/>
      <c r="AEI1366" s="120"/>
      <c r="AEJ1366" s="120"/>
      <c r="AEK1366" s="120"/>
      <c r="AEL1366" s="120"/>
      <c r="AEM1366" s="120"/>
      <c r="AEN1366" s="120"/>
      <c r="AEO1366" s="120"/>
      <c r="AEP1366" s="120"/>
      <c r="AEQ1366" s="120"/>
      <c r="AER1366" s="120"/>
      <c r="AES1366" s="120"/>
      <c r="AET1366" s="120"/>
      <c r="AEU1366" s="120"/>
      <c r="AEV1366" s="120"/>
      <c r="AEW1366" s="120"/>
      <c r="AEX1366" s="120"/>
      <c r="AEY1366" s="120"/>
      <c r="AEZ1366" s="120"/>
      <c r="AFA1366" s="120"/>
      <c r="AFB1366" s="120"/>
      <c r="AFC1366" s="120"/>
      <c r="AFD1366" s="120"/>
      <c r="AFE1366" s="120"/>
      <c r="AFF1366" s="120"/>
      <c r="AFG1366" s="120"/>
      <c r="AFH1366" s="120"/>
      <c r="AFI1366" s="120"/>
      <c r="AFJ1366" s="120"/>
      <c r="AFK1366" s="120"/>
      <c r="AFL1366" s="120"/>
      <c r="AFM1366" s="120"/>
      <c r="AFN1366" s="120"/>
      <c r="AFO1366" s="120"/>
      <c r="AFP1366" s="120"/>
      <c r="AFQ1366" s="120"/>
      <c r="AFR1366" s="120"/>
      <c r="AFS1366" s="120"/>
      <c r="AFT1366" s="120"/>
      <c r="AFU1366" s="120"/>
      <c r="AFV1366" s="120"/>
      <c r="AFW1366" s="120"/>
      <c r="AFX1366" s="120"/>
      <c r="AFY1366" s="120"/>
      <c r="AFZ1366" s="120"/>
      <c r="AGA1366" s="120"/>
      <c r="AGB1366" s="120"/>
      <c r="AGC1366" s="120"/>
      <c r="AGD1366" s="120"/>
      <c r="AGE1366" s="120"/>
      <c r="AGF1366" s="120"/>
      <c r="AGG1366" s="120"/>
      <c r="AGH1366" s="120"/>
      <c r="AGI1366" s="120"/>
      <c r="AGJ1366" s="120"/>
      <c r="AGK1366" s="120"/>
      <c r="AGL1366" s="120"/>
      <c r="AGM1366" s="120"/>
      <c r="AGN1366" s="120"/>
      <c r="AGO1366" s="120"/>
      <c r="AGP1366" s="120"/>
      <c r="AGQ1366" s="120"/>
      <c r="AGR1366" s="120"/>
      <c r="AGS1366" s="120"/>
      <c r="AGT1366" s="120"/>
      <c r="AGU1366" s="120"/>
      <c r="AGV1366" s="120"/>
      <c r="AGW1366" s="120"/>
      <c r="AGX1366" s="120"/>
      <c r="AGY1366" s="120"/>
      <c r="AGZ1366" s="120"/>
      <c r="AHA1366" s="120"/>
      <c r="AHB1366" s="120"/>
      <c r="AHC1366" s="120"/>
      <c r="AHD1366" s="120"/>
      <c r="AHE1366" s="120"/>
      <c r="AHF1366" s="120"/>
      <c r="AHG1366" s="120"/>
      <c r="AHH1366" s="120"/>
      <c r="AHI1366" s="120"/>
      <c r="AHJ1366" s="120"/>
      <c r="AHK1366" s="120"/>
      <c r="AHL1366" s="120"/>
      <c r="AHM1366" s="120"/>
      <c r="AHN1366" s="120"/>
      <c r="AHO1366" s="120"/>
      <c r="AHP1366" s="120"/>
      <c r="AHQ1366" s="120"/>
      <c r="AHR1366" s="120"/>
      <c r="AHS1366" s="120"/>
      <c r="AHT1366" s="120"/>
      <c r="AHU1366" s="120"/>
      <c r="AHV1366" s="120"/>
      <c r="AHW1366" s="120"/>
      <c r="AHX1366" s="120"/>
      <c r="AHY1366" s="120"/>
      <c r="AHZ1366" s="120"/>
      <c r="AIA1366" s="120"/>
      <c r="AIB1366" s="120"/>
      <c r="AIC1366" s="120"/>
      <c r="AID1366" s="120"/>
      <c r="AIE1366" s="120"/>
      <c r="AIF1366" s="120"/>
      <c r="AIG1366" s="120"/>
      <c r="AIH1366" s="120"/>
      <c r="AII1366" s="120"/>
      <c r="AIJ1366" s="120"/>
      <c r="AIK1366" s="120"/>
      <c r="AIL1366" s="120"/>
      <c r="AIM1366" s="120"/>
      <c r="AIN1366" s="120"/>
      <c r="AIO1366" s="120"/>
      <c r="AIP1366" s="120"/>
      <c r="AIQ1366" s="120"/>
      <c r="AIR1366" s="120"/>
      <c r="AIS1366" s="120"/>
      <c r="AIT1366" s="120"/>
      <c r="AIU1366" s="120"/>
      <c r="AIV1366" s="120"/>
      <c r="AIW1366" s="120"/>
      <c r="AIX1366" s="120"/>
      <c r="AIY1366" s="120"/>
      <c r="AIZ1366" s="120"/>
      <c r="AJA1366" s="120"/>
      <c r="AJB1366" s="120"/>
      <c r="AJC1366" s="120"/>
      <c r="AJD1366" s="120"/>
      <c r="AJE1366" s="120"/>
      <c r="AJF1366" s="120"/>
      <c r="AJG1366" s="120"/>
      <c r="AJH1366" s="120"/>
      <c r="AJI1366" s="120"/>
      <c r="AJJ1366" s="120"/>
      <c r="AJK1366" s="120"/>
      <c r="AJL1366" s="120"/>
      <c r="AJM1366" s="120"/>
      <c r="AJN1366" s="120"/>
      <c r="AJO1366" s="120"/>
      <c r="AJP1366" s="120"/>
      <c r="AJQ1366" s="120"/>
      <c r="AJR1366" s="120"/>
      <c r="AJS1366" s="120"/>
      <c r="AJT1366" s="120"/>
      <c r="AJU1366" s="120"/>
      <c r="AJV1366" s="120"/>
      <c r="AJW1366" s="120"/>
      <c r="AJX1366" s="120"/>
      <c r="AJY1366" s="120"/>
      <c r="AJZ1366" s="120"/>
      <c r="AKA1366" s="120"/>
      <c r="AKB1366" s="120"/>
      <c r="AKC1366" s="120"/>
      <c r="AKD1366" s="120"/>
      <c r="AKE1366" s="120"/>
      <c r="AKF1366" s="120"/>
      <c r="AKG1366" s="120"/>
      <c r="AKH1366" s="120"/>
      <c r="AKI1366" s="120"/>
      <c r="AKJ1366" s="120"/>
      <c r="AKK1366" s="120"/>
      <c r="AKL1366" s="120"/>
      <c r="AKM1366" s="120"/>
      <c r="AKN1366" s="120"/>
      <c r="AKO1366" s="120"/>
      <c r="AKP1366" s="120"/>
      <c r="AKQ1366" s="120"/>
      <c r="AKR1366" s="120"/>
      <c r="AKS1366" s="120"/>
      <c r="AKT1366" s="120"/>
      <c r="AKU1366" s="120"/>
      <c r="AKV1366" s="120"/>
      <c r="AKW1366" s="120"/>
      <c r="AKX1366" s="120"/>
      <c r="AKY1366" s="120"/>
      <c r="AKZ1366" s="120"/>
      <c r="ALA1366" s="120"/>
      <c r="ALB1366" s="120"/>
      <c r="ALC1366" s="120"/>
      <c r="ALD1366" s="120"/>
      <c r="ALE1366" s="120"/>
      <c r="ALF1366" s="120"/>
      <c r="ALG1366" s="120"/>
      <c r="ALH1366" s="120"/>
      <c r="ALI1366" s="120"/>
      <c r="ALJ1366" s="120"/>
      <c r="ALK1366" s="120"/>
      <c r="ALL1366" s="120"/>
      <c r="ALM1366" s="120"/>
      <c r="ALN1366" s="120"/>
      <c r="ALO1366" s="120"/>
      <c r="ALP1366" s="120"/>
      <c r="ALQ1366" s="120"/>
      <c r="ALR1366" s="120"/>
      <c r="ALS1366" s="120"/>
      <c r="ALT1366" s="120"/>
      <c r="ALU1366" s="120"/>
      <c r="ALV1366" s="120"/>
      <c r="ALW1366" s="120"/>
      <c r="ALX1366" s="120"/>
      <c r="ALY1366" s="120"/>
      <c r="ALZ1366" s="120"/>
      <c r="AMA1366" s="120"/>
      <c r="AMB1366" s="120"/>
      <c r="AMC1366" s="120"/>
      <c r="AMD1366" s="120"/>
      <c r="AME1366" s="120"/>
      <c r="AMF1366" s="120"/>
      <c r="AMG1366" s="120"/>
      <c r="AMH1366" s="120"/>
      <c r="AMI1366" s="120"/>
      <c r="AMJ1366" s="120"/>
      <c r="AMK1366" s="120"/>
      <c r="AML1366" s="120"/>
      <c r="AMM1366" s="120"/>
      <c r="AMN1366" s="120"/>
      <c r="AMO1366" s="120"/>
      <c r="AMP1366" s="120"/>
      <c r="AMQ1366" s="120"/>
      <c r="AMR1366" s="120"/>
      <c r="AMS1366" s="120"/>
      <c r="AMT1366" s="120"/>
      <c r="AMU1366" s="120"/>
      <c r="AMV1366" s="120"/>
      <c r="AMW1366" s="120"/>
      <c r="AMX1366" s="120"/>
      <c r="AMY1366" s="120"/>
      <c r="AMZ1366" s="120"/>
      <c r="ANA1366" s="120"/>
      <c r="ANB1366" s="120"/>
      <c r="ANC1366" s="120"/>
      <c r="AND1366" s="120"/>
      <c r="ANE1366" s="120"/>
      <c r="ANF1366" s="120"/>
      <c r="ANG1366" s="120"/>
      <c r="ANH1366" s="120"/>
      <c r="ANI1366" s="120"/>
      <c r="ANJ1366" s="120"/>
      <c r="ANK1366" s="120"/>
      <c r="ANL1366" s="120"/>
      <c r="ANM1366" s="120"/>
      <c r="ANN1366" s="120"/>
      <c r="ANO1366" s="120"/>
      <c r="ANP1366" s="120"/>
      <c r="ANQ1366" s="120"/>
      <c r="ANR1366" s="120"/>
      <c r="ANS1366" s="120"/>
      <c r="ANT1366" s="120"/>
      <c r="ANU1366" s="120"/>
      <c r="ANV1366" s="120"/>
      <c r="ANW1366" s="120"/>
      <c r="ANX1366" s="120"/>
      <c r="ANY1366" s="120"/>
      <c r="ANZ1366" s="120"/>
      <c r="AOA1366" s="120"/>
      <c r="AOB1366" s="120"/>
      <c r="AOC1366" s="120"/>
      <c r="AOD1366" s="120"/>
      <c r="AOE1366" s="120"/>
      <c r="AOF1366" s="120"/>
      <c r="AOG1366" s="120"/>
      <c r="AOH1366" s="120"/>
      <c r="AOI1366" s="120"/>
      <c r="AOJ1366" s="120"/>
      <c r="AOK1366" s="120"/>
      <c r="AOL1366" s="120"/>
      <c r="AOM1366" s="120"/>
      <c r="AON1366" s="120"/>
      <c r="AOO1366" s="120"/>
      <c r="AOP1366" s="120"/>
      <c r="AOQ1366" s="120"/>
      <c r="AOR1366" s="120"/>
      <c r="AOS1366" s="120"/>
      <c r="AOT1366" s="120"/>
      <c r="AOU1366" s="120"/>
      <c r="AOV1366" s="120"/>
      <c r="AOW1366" s="120"/>
      <c r="AOX1366" s="120"/>
      <c r="AOY1366" s="120"/>
      <c r="AOZ1366" s="120"/>
      <c r="APA1366" s="120"/>
      <c r="APB1366" s="120"/>
      <c r="APC1366" s="120"/>
      <c r="APD1366" s="120"/>
      <c r="APE1366" s="120"/>
      <c r="APF1366" s="120"/>
      <c r="APG1366" s="120"/>
      <c r="APH1366" s="120"/>
      <c r="API1366" s="120"/>
      <c r="APJ1366" s="120"/>
      <c r="APK1366" s="120"/>
      <c r="APL1366" s="120"/>
      <c r="APM1366" s="120"/>
      <c r="APN1366" s="120"/>
      <c r="APO1366" s="120"/>
      <c r="APP1366" s="120"/>
      <c r="APQ1366" s="120"/>
      <c r="APR1366" s="120"/>
      <c r="APS1366" s="120"/>
      <c r="APT1366" s="120"/>
      <c r="APU1366" s="120"/>
      <c r="APV1366" s="120"/>
      <c r="APW1366" s="120"/>
      <c r="APX1366" s="120"/>
      <c r="APY1366" s="120"/>
      <c r="APZ1366" s="120"/>
      <c r="AQA1366" s="120"/>
      <c r="AQB1366" s="120"/>
      <c r="AQC1366" s="120"/>
      <c r="AQD1366" s="120"/>
      <c r="AQE1366" s="120"/>
      <c r="AQF1366" s="120"/>
      <c r="AQG1366" s="120"/>
      <c r="AQH1366" s="120"/>
      <c r="AQI1366" s="120"/>
      <c r="AQJ1366" s="120"/>
      <c r="AQK1366" s="120"/>
      <c r="AQL1366" s="120"/>
      <c r="AQM1366" s="120"/>
      <c r="AQN1366" s="120"/>
      <c r="AQO1366" s="120"/>
      <c r="AQP1366" s="120"/>
      <c r="AQQ1366" s="120"/>
      <c r="AQR1366" s="120"/>
      <c r="AQS1366" s="120"/>
      <c r="AQT1366" s="120"/>
      <c r="AQU1366" s="120"/>
      <c r="AQV1366" s="120"/>
      <c r="AQW1366" s="120"/>
      <c r="AQX1366" s="120"/>
      <c r="AQY1366" s="120"/>
      <c r="AQZ1366" s="120"/>
      <c r="ARA1366" s="120"/>
      <c r="ARB1366" s="120"/>
      <c r="ARC1366" s="120"/>
      <c r="ARD1366" s="120"/>
      <c r="ARE1366" s="120"/>
      <c r="ARF1366" s="120"/>
      <c r="ARG1366" s="120"/>
      <c r="ARH1366" s="120"/>
      <c r="ARI1366" s="120"/>
      <c r="ARJ1366" s="120"/>
      <c r="ARK1366" s="120"/>
      <c r="ARL1366" s="120"/>
      <c r="ARM1366" s="120"/>
      <c r="ARN1366" s="120"/>
      <c r="ARO1366" s="120"/>
      <c r="ARP1366" s="120"/>
      <c r="ARQ1366" s="120"/>
      <c r="ARR1366" s="120"/>
      <c r="ARS1366" s="120"/>
      <c r="ART1366" s="120"/>
      <c r="ARU1366" s="120"/>
      <c r="ARV1366" s="120"/>
      <c r="ARW1366" s="120"/>
      <c r="ARX1366" s="120"/>
      <c r="ARY1366" s="120"/>
      <c r="ARZ1366" s="120"/>
      <c r="ASA1366" s="120"/>
      <c r="ASB1366" s="120"/>
      <c r="ASC1366" s="120"/>
      <c r="ASD1366" s="120"/>
      <c r="ASE1366" s="120"/>
      <c r="ASF1366" s="120"/>
      <c r="ASG1366" s="120"/>
      <c r="ASH1366" s="120"/>
      <c r="ASI1366" s="120"/>
      <c r="ASJ1366" s="120"/>
      <c r="ASK1366" s="120"/>
      <c r="ASL1366" s="120"/>
      <c r="ASM1366" s="120"/>
      <c r="ASN1366" s="120"/>
      <c r="ASO1366" s="120"/>
      <c r="ASP1366" s="120"/>
      <c r="ASQ1366" s="120"/>
      <c r="ASR1366" s="120"/>
      <c r="ASS1366" s="120"/>
      <c r="AST1366" s="120"/>
      <c r="ASU1366" s="120"/>
      <c r="ASV1366" s="120"/>
      <c r="ASW1366" s="120"/>
      <c r="ASX1366" s="120"/>
      <c r="ASY1366" s="120"/>
      <c r="ASZ1366" s="120"/>
      <c r="ATA1366" s="120"/>
      <c r="ATB1366" s="120"/>
      <c r="ATC1366" s="120"/>
      <c r="ATD1366" s="120"/>
      <c r="ATE1366" s="120"/>
      <c r="ATF1366" s="120"/>
      <c r="ATG1366" s="120"/>
      <c r="ATH1366" s="120"/>
      <c r="ATI1366" s="120"/>
      <c r="ATJ1366" s="120"/>
      <c r="ATK1366" s="120"/>
      <c r="ATL1366" s="120"/>
      <c r="ATM1366" s="120"/>
      <c r="ATN1366" s="120"/>
      <c r="ATO1366" s="120"/>
    </row>
    <row r="1367" spans="1:1211" s="20" customFormat="1" ht="14.1" customHeight="1">
      <c r="A1367" s="900"/>
      <c r="B1367" s="723"/>
      <c r="C1367" s="184" t="s">
        <v>6134</v>
      </c>
      <c r="D1367" s="631"/>
      <c r="E1367" s="898"/>
      <c r="F1367" s="899"/>
      <c r="G1367" s="899"/>
      <c r="H1367" s="899"/>
      <c r="I1367" s="899"/>
      <c r="J1367" s="899"/>
      <c r="K1367" s="112"/>
      <c r="L1367" s="363"/>
      <c r="M1367" s="112"/>
      <c r="N1367" s="362"/>
      <c r="O1367" s="573"/>
      <c r="P1367" s="120"/>
      <c r="Q1367" s="120"/>
      <c r="R1367" s="120"/>
      <c r="S1367" s="120"/>
      <c r="T1367" s="120"/>
      <c r="U1367" s="120"/>
      <c r="V1367" s="120"/>
      <c r="W1367" s="120"/>
      <c r="X1367" s="120"/>
      <c r="Y1367" s="120"/>
      <c r="Z1367" s="120"/>
      <c r="AA1367" s="120"/>
      <c r="AB1367" s="120"/>
      <c r="AC1367" s="120"/>
      <c r="AD1367" s="120"/>
      <c r="AE1367" s="120"/>
      <c r="AF1367" s="120"/>
      <c r="AG1367" s="120"/>
      <c r="AH1367" s="120"/>
      <c r="AI1367" s="120"/>
      <c r="AJ1367" s="120"/>
      <c r="AK1367" s="120"/>
      <c r="AL1367" s="120"/>
      <c r="AM1367" s="120"/>
      <c r="AN1367" s="120"/>
      <c r="AO1367" s="120"/>
      <c r="AP1367" s="120"/>
      <c r="AQ1367" s="120"/>
      <c r="AR1367" s="120"/>
      <c r="AS1367" s="120"/>
      <c r="AT1367" s="120"/>
      <c r="AU1367" s="120"/>
      <c r="AV1367" s="120"/>
      <c r="AW1367" s="120"/>
      <c r="AX1367" s="120"/>
      <c r="AY1367" s="120"/>
      <c r="AZ1367" s="120"/>
      <c r="BA1367" s="120"/>
      <c r="BB1367" s="120"/>
      <c r="BC1367" s="120"/>
      <c r="BD1367" s="120"/>
      <c r="BE1367" s="120"/>
      <c r="BF1367" s="120"/>
      <c r="BG1367" s="120"/>
      <c r="BH1367" s="120"/>
      <c r="BI1367" s="120"/>
      <c r="BJ1367" s="120"/>
      <c r="BK1367" s="120"/>
      <c r="BL1367" s="120"/>
      <c r="BM1367" s="120"/>
      <c r="BN1367" s="120"/>
      <c r="BO1367" s="120"/>
      <c r="BP1367" s="120"/>
      <c r="BQ1367" s="120"/>
      <c r="BR1367" s="120"/>
      <c r="BS1367" s="120"/>
      <c r="BT1367" s="120"/>
      <c r="BU1367" s="120"/>
      <c r="BV1367" s="120"/>
      <c r="BW1367" s="120"/>
      <c r="BX1367" s="120"/>
      <c r="BY1367" s="120"/>
      <c r="BZ1367" s="120"/>
      <c r="CA1367" s="120"/>
      <c r="CB1367" s="120"/>
      <c r="CC1367" s="120"/>
      <c r="CD1367" s="120"/>
      <c r="CE1367" s="120"/>
      <c r="CF1367" s="120"/>
      <c r="CG1367" s="120"/>
      <c r="CH1367" s="120"/>
      <c r="CI1367" s="120"/>
      <c r="CJ1367" s="120"/>
      <c r="CK1367" s="120"/>
      <c r="CL1367" s="120"/>
      <c r="CM1367" s="120"/>
      <c r="CN1367" s="120"/>
      <c r="CO1367" s="120"/>
      <c r="CP1367" s="120"/>
      <c r="CQ1367" s="120"/>
      <c r="CR1367" s="120"/>
      <c r="CS1367" s="120"/>
      <c r="CT1367" s="120"/>
      <c r="CU1367" s="120"/>
      <c r="CV1367" s="120"/>
      <c r="CW1367" s="120"/>
      <c r="CX1367" s="120"/>
      <c r="CY1367" s="120"/>
      <c r="CZ1367" s="120"/>
      <c r="DA1367" s="120"/>
      <c r="DB1367" s="120"/>
      <c r="DC1367" s="120"/>
      <c r="DD1367" s="120"/>
      <c r="DE1367" s="120"/>
      <c r="DF1367" s="120"/>
      <c r="DG1367" s="120"/>
      <c r="DH1367" s="120"/>
      <c r="DI1367" s="120"/>
      <c r="DJ1367" s="120"/>
      <c r="DK1367" s="120"/>
      <c r="DL1367" s="120"/>
      <c r="DM1367" s="120"/>
      <c r="DN1367" s="120"/>
      <c r="DO1367" s="120"/>
      <c r="DP1367" s="120"/>
      <c r="DQ1367" s="120"/>
      <c r="DR1367" s="120"/>
      <c r="DS1367" s="120"/>
      <c r="DT1367" s="120"/>
      <c r="DU1367" s="120"/>
      <c r="DV1367" s="120"/>
      <c r="DW1367" s="120"/>
      <c r="DX1367" s="120"/>
      <c r="DY1367" s="120"/>
      <c r="DZ1367" s="120"/>
      <c r="EA1367" s="120"/>
      <c r="EB1367" s="120"/>
      <c r="EC1367" s="120"/>
      <c r="ED1367" s="120"/>
      <c r="EE1367" s="120"/>
      <c r="EF1367" s="120"/>
      <c r="EG1367" s="120"/>
      <c r="EH1367" s="120"/>
      <c r="EI1367" s="120"/>
      <c r="EJ1367" s="120"/>
      <c r="EK1367" s="120"/>
      <c r="EL1367" s="120"/>
      <c r="EM1367" s="120"/>
      <c r="EN1367" s="120"/>
      <c r="EO1367" s="120"/>
      <c r="EP1367" s="120"/>
      <c r="EQ1367" s="120"/>
      <c r="ER1367" s="120"/>
      <c r="ES1367" s="120"/>
      <c r="ET1367" s="120"/>
      <c r="EU1367" s="120"/>
      <c r="EV1367" s="120"/>
      <c r="EW1367" s="120"/>
      <c r="EX1367" s="120"/>
      <c r="EY1367" s="120"/>
      <c r="EZ1367" s="120"/>
      <c r="FA1367" s="120"/>
      <c r="FB1367" s="120"/>
      <c r="FC1367" s="120"/>
      <c r="FD1367" s="120"/>
      <c r="FE1367" s="120"/>
      <c r="FF1367" s="120"/>
      <c r="FG1367" s="120"/>
      <c r="FH1367" s="120"/>
      <c r="FI1367" s="120"/>
      <c r="FJ1367" s="120"/>
      <c r="FK1367" s="120"/>
      <c r="FL1367" s="120"/>
      <c r="FM1367" s="120"/>
      <c r="FN1367" s="120"/>
      <c r="FO1367" s="120"/>
      <c r="FP1367" s="120"/>
      <c r="FQ1367" s="120"/>
      <c r="FR1367" s="120"/>
      <c r="FS1367" s="120"/>
      <c r="FT1367" s="120"/>
      <c r="FU1367" s="120"/>
      <c r="FV1367" s="120"/>
      <c r="FW1367" s="120"/>
      <c r="FX1367" s="120"/>
      <c r="FY1367" s="120"/>
      <c r="FZ1367" s="120"/>
      <c r="GA1367" s="120"/>
      <c r="GB1367" s="120"/>
      <c r="GC1367" s="120"/>
      <c r="GD1367" s="120"/>
      <c r="GE1367" s="120"/>
      <c r="GF1367" s="120"/>
      <c r="GG1367" s="120"/>
      <c r="GH1367" s="120"/>
      <c r="GI1367" s="120"/>
      <c r="GJ1367" s="120"/>
      <c r="GK1367" s="120"/>
      <c r="GL1367" s="120"/>
      <c r="GM1367" s="120"/>
      <c r="GN1367" s="120"/>
      <c r="GO1367" s="120"/>
      <c r="GP1367" s="120"/>
      <c r="GQ1367" s="120"/>
      <c r="GR1367" s="120"/>
      <c r="GS1367" s="120"/>
      <c r="GT1367" s="120"/>
      <c r="GU1367" s="120"/>
      <c r="GV1367" s="120"/>
      <c r="GW1367" s="120"/>
      <c r="GX1367" s="120"/>
      <c r="GY1367" s="120"/>
      <c r="GZ1367" s="120"/>
      <c r="HA1367" s="120"/>
      <c r="HB1367" s="120"/>
      <c r="HC1367" s="120"/>
      <c r="HD1367" s="120"/>
      <c r="HE1367" s="120"/>
      <c r="HF1367" s="120"/>
      <c r="HG1367" s="120"/>
      <c r="HH1367" s="120"/>
      <c r="HI1367" s="120"/>
      <c r="HJ1367" s="120"/>
      <c r="HK1367" s="120"/>
      <c r="HL1367" s="120"/>
      <c r="HM1367" s="120"/>
      <c r="HN1367" s="120"/>
      <c r="HO1367" s="120"/>
      <c r="HP1367" s="120"/>
      <c r="HQ1367" s="120"/>
      <c r="HR1367" s="120"/>
      <c r="HS1367" s="120"/>
      <c r="HT1367" s="120"/>
      <c r="HU1367" s="120"/>
      <c r="HV1367" s="120"/>
      <c r="HW1367" s="120"/>
      <c r="HX1367" s="120"/>
      <c r="HY1367" s="120"/>
      <c r="HZ1367" s="120"/>
      <c r="IA1367" s="120"/>
      <c r="IB1367" s="120"/>
      <c r="IC1367" s="120"/>
      <c r="ID1367" s="120"/>
      <c r="IE1367" s="120"/>
      <c r="IF1367" s="120"/>
      <c r="IG1367" s="120"/>
      <c r="IH1367" s="120"/>
      <c r="II1367" s="120"/>
      <c r="IJ1367" s="120"/>
      <c r="IK1367" s="120"/>
      <c r="IL1367" s="120"/>
      <c r="IM1367" s="120"/>
      <c r="IN1367" s="120"/>
      <c r="IO1367" s="120"/>
      <c r="IP1367" s="120"/>
      <c r="IQ1367" s="120"/>
      <c r="IR1367" s="120"/>
      <c r="IS1367" s="120"/>
      <c r="IT1367" s="120"/>
      <c r="IU1367" s="120"/>
      <c r="IV1367" s="120"/>
      <c r="IW1367" s="120"/>
      <c r="IX1367" s="120"/>
      <c r="IY1367" s="120"/>
      <c r="IZ1367" s="120"/>
      <c r="JA1367" s="120"/>
      <c r="JB1367" s="120"/>
      <c r="JC1367" s="120"/>
      <c r="JD1367" s="120"/>
      <c r="JE1367" s="120"/>
      <c r="JF1367" s="120"/>
      <c r="JG1367" s="120"/>
      <c r="JH1367" s="120"/>
      <c r="JI1367" s="120"/>
      <c r="JJ1367" s="120"/>
      <c r="JK1367" s="120"/>
      <c r="JL1367" s="120"/>
      <c r="JM1367" s="120"/>
      <c r="JN1367" s="120"/>
      <c r="JO1367" s="120"/>
      <c r="JP1367" s="120"/>
      <c r="JQ1367" s="120"/>
      <c r="JR1367" s="120"/>
      <c r="JS1367" s="120"/>
      <c r="JT1367" s="120"/>
      <c r="JU1367" s="120"/>
      <c r="JV1367" s="120"/>
      <c r="JW1367" s="120"/>
      <c r="JX1367" s="120"/>
      <c r="JY1367" s="120"/>
      <c r="JZ1367" s="120"/>
      <c r="KA1367" s="120"/>
      <c r="KB1367" s="120"/>
      <c r="KC1367" s="120"/>
      <c r="KD1367" s="120"/>
      <c r="KE1367" s="120"/>
      <c r="KF1367" s="120"/>
      <c r="KG1367" s="120"/>
      <c r="KH1367" s="120"/>
      <c r="KI1367" s="120"/>
      <c r="KJ1367" s="120"/>
      <c r="KK1367" s="120"/>
      <c r="KL1367" s="120"/>
      <c r="KM1367" s="120"/>
      <c r="KN1367" s="120"/>
      <c r="KO1367" s="120"/>
      <c r="KP1367" s="120"/>
      <c r="KQ1367" s="120"/>
      <c r="KR1367" s="120"/>
      <c r="KS1367" s="120"/>
      <c r="KT1367" s="120"/>
      <c r="KU1367" s="120"/>
      <c r="KV1367" s="120"/>
      <c r="KW1367" s="120"/>
      <c r="KX1367" s="120"/>
      <c r="KY1367" s="120"/>
      <c r="KZ1367" s="120"/>
      <c r="LA1367" s="120"/>
      <c r="LB1367" s="120"/>
      <c r="LC1367" s="120"/>
      <c r="LD1367" s="120"/>
      <c r="LE1367" s="120"/>
      <c r="LF1367" s="120"/>
      <c r="LG1367" s="120"/>
      <c r="LH1367" s="120"/>
      <c r="LI1367" s="120"/>
      <c r="LJ1367" s="120"/>
      <c r="LK1367" s="120"/>
      <c r="LL1367" s="120"/>
      <c r="LM1367" s="120"/>
      <c r="LN1367" s="120"/>
      <c r="LO1367" s="120"/>
      <c r="LP1367" s="120"/>
      <c r="LQ1367" s="120"/>
      <c r="LR1367" s="120"/>
      <c r="LS1367" s="120"/>
      <c r="LT1367" s="120"/>
      <c r="LU1367" s="120"/>
      <c r="LV1367" s="120"/>
      <c r="LW1367" s="120"/>
      <c r="LX1367" s="120"/>
      <c r="LY1367" s="120"/>
      <c r="LZ1367" s="120"/>
      <c r="MA1367" s="120"/>
      <c r="MB1367" s="120"/>
      <c r="MC1367" s="120"/>
      <c r="MD1367" s="120"/>
      <c r="ME1367" s="120"/>
      <c r="MF1367" s="120"/>
      <c r="MG1367" s="120"/>
      <c r="MH1367" s="120"/>
      <c r="MI1367" s="120"/>
      <c r="MJ1367" s="120"/>
      <c r="MK1367" s="120"/>
      <c r="ML1367" s="120"/>
      <c r="MM1367" s="120"/>
      <c r="MN1367" s="120"/>
      <c r="MO1367" s="120"/>
      <c r="MP1367" s="120"/>
      <c r="MQ1367" s="120"/>
      <c r="MR1367" s="120"/>
      <c r="MS1367" s="120"/>
      <c r="MT1367" s="120"/>
      <c r="MU1367" s="120"/>
      <c r="MV1367" s="120"/>
      <c r="MW1367" s="120"/>
      <c r="MX1367" s="120"/>
      <c r="MY1367" s="120"/>
      <c r="MZ1367" s="120"/>
      <c r="NA1367" s="120"/>
      <c r="NB1367" s="120"/>
      <c r="NC1367" s="120"/>
      <c r="ND1367" s="120"/>
      <c r="NE1367" s="120"/>
      <c r="NF1367" s="120"/>
      <c r="NG1367" s="120"/>
      <c r="NH1367" s="120"/>
      <c r="NI1367" s="120"/>
      <c r="NJ1367" s="120"/>
      <c r="NK1367" s="120"/>
      <c r="NL1367" s="120"/>
      <c r="NM1367" s="120"/>
      <c r="NN1367" s="120"/>
      <c r="NO1367" s="120"/>
      <c r="NP1367" s="120"/>
      <c r="NQ1367" s="120"/>
      <c r="NR1367" s="120"/>
      <c r="NS1367" s="120"/>
      <c r="NT1367" s="120"/>
      <c r="NU1367" s="120"/>
      <c r="NV1367" s="120"/>
      <c r="NW1367" s="120"/>
      <c r="NX1367" s="120"/>
      <c r="NY1367" s="120"/>
      <c r="NZ1367" s="120"/>
      <c r="OA1367" s="120"/>
      <c r="OB1367" s="120"/>
      <c r="OC1367" s="120"/>
      <c r="OD1367" s="120"/>
      <c r="OE1367" s="120"/>
      <c r="OF1367" s="120"/>
      <c r="OG1367" s="120"/>
      <c r="OH1367" s="120"/>
      <c r="OI1367" s="120"/>
      <c r="OJ1367" s="120"/>
      <c r="OK1367" s="120"/>
      <c r="OL1367" s="120"/>
      <c r="OM1367" s="120"/>
      <c r="ON1367" s="120"/>
      <c r="OO1367" s="120"/>
      <c r="OP1367" s="120"/>
      <c r="OQ1367" s="120"/>
      <c r="OR1367" s="120"/>
      <c r="OS1367" s="120"/>
      <c r="OT1367" s="120"/>
      <c r="OU1367" s="120"/>
      <c r="OV1367" s="120"/>
      <c r="OW1367" s="120"/>
      <c r="OX1367" s="120"/>
      <c r="OY1367" s="120"/>
      <c r="OZ1367" s="120"/>
      <c r="PA1367" s="120"/>
      <c r="PB1367" s="120"/>
      <c r="PC1367" s="120"/>
      <c r="PD1367" s="120"/>
      <c r="PE1367" s="120"/>
      <c r="PF1367" s="120"/>
      <c r="PG1367" s="120"/>
      <c r="PH1367" s="120"/>
      <c r="PI1367" s="120"/>
      <c r="PJ1367" s="120"/>
      <c r="PK1367" s="120"/>
      <c r="PL1367" s="120"/>
      <c r="PM1367" s="120"/>
      <c r="PN1367" s="120"/>
      <c r="PO1367" s="120"/>
      <c r="PP1367" s="120"/>
      <c r="PQ1367" s="120"/>
      <c r="PR1367" s="120"/>
      <c r="PS1367" s="120"/>
      <c r="PT1367" s="120"/>
      <c r="PU1367" s="120"/>
      <c r="PV1367" s="120"/>
      <c r="PW1367" s="120"/>
      <c r="PX1367" s="120"/>
      <c r="PY1367" s="120"/>
      <c r="PZ1367" s="120"/>
      <c r="QA1367" s="120"/>
      <c r="QB1367" s="120"/>
      <c r="QC1367" s="120"/>
      <c r="QD1367" s="120"/>
      <c r="QE1367" s="120"/>
      <c r="QF1367" s="120"/>
      <c r="QG1367" s="120"/>
      <c r="QH1367" s="120"/>
      <c r="QI1367" s="120"/>
      <c r="QJ1367" s="120"/>
      <c r="QK1367" s="120"/>
      <c r="QL1367" s="120"/>
      <c r="QM1367" s="120"/>
      <c r="QN1367" s="120"/>
      <c r="QO1367" s="120"/>
      <c r="QP1367" s="120"/>
      <c r="QQ1367" s="120"/>
      <c r="QR1367" s="120"/>
      <c r="QS1367" s="120"/>
      <c r="QT1367" s="120"/>
      <c r="QU1367" s="120"/>
      <c r="QV1367" s="120"/>
      <c r="QW1367" s="120"/>
      <c r="QX1367" s="120"/>
      <c r="QY1367" s="120"/>
      <c r="QZ1367" s="120"/>
      <c r="RA1367" s="120"/>
      <c r="RB1367" s="120"/>
      <c r="RC1367" s="120"/>
      <c r="RD1367" s="120"/>
      <c r="RE1367" s="120"/>
      <c r="RF1367" s="120"/>
      <c r="RG1367" s="120"/>
      <c r="RH1367" s="120"/>
      <c r="RI1367" s="120"/>
      <c r="RJ1367" s="120"/>
      <c r="RK1367" s="120"/>
      <c r="RL1367" s="120"/>
      <c r="RM1367" s="120"/>
      <c r="RN1367" s="120"/>
      <c r="RO1367" s="120"/>
      <c r="RP1367" s="120"/>
      <c r="RQ1367" s="120"/>
      <c r="RR1367" s="120"/>
      <c r="RS1367" s="120"/>
      <c r="RT1367" s="120"/>
      <c r="RU1367" s="120"/>
      <c r="RV1367" s="120"/>
      <c r="RW1367" s="120"/>
      <c r="RX1367" s="120"/>
      <c r="RY1367" s="120"/>
      <c r="RZ1367" s="120"/>
      <c r="SA1367" s="120"/>
      <c r="SB1367" s="120"/>
      <c r="SC1367" s="120"/>
      <c r="SD1367" s="120"/>
      <c r="SE1367" s="120"/>
      <c r="SF1367" s="120"/>
      <c r="SG1367" s="120"/>
      <c r="SH1367" s="120"/>
      <c r="SI1367" s="120"/>
      <c r="SJ1367" s="120"/>
      <c r="SK1367" s="120"/>
      <c r="SL1367" s="120"/>
      <c r="SM1367" s="120"/>
      <c r="SN1367" s="120"/>
      <c r="SO1367" s="120"/>
      <c r="SP1367" s="120"/>
      <c r="SQ1367" s="120"/>
      <c r="SR1367" s="120"/>
      <c r="SS1367" s="120"/>
      <c r="ST1367" s="120"/>
      <c r="SU1367" s="120"/>
      <c r="SV1367" s="120"/>
      <c r="SW1367" s="120"/>
      <c r="SX1367" s="120"/>
      <c r="SY1367" s="120"/>
      <c r="SZ1367" s="120"/>
      <c r="TA1367" s="120"/>
      <c r="TB1367" s="120"/>
      <c r="TC1367" s="120"/>
      <c r="TD1367" s="120"/>
      <c r="TE1367" s="120"/>
      <c r="TF1367" s="120"/>
      <c r="TG1367" s="120"/>
      <c r="TH1367" s="120"/>
      <c r="TI1367" s="120"/>
      <c r="TJ1367" s="120"/>
      <c r="TK1367" s="120"/>
      <c r="TL1367" s="120"/>
      <c r="TM1367" s="120"/>
      <c r="TN1367" s="120"/>
      <c r="TO1367" s="120"/>
      <c r="TP1367" s="120"/>
      <c r="TQ1367" s="120"/>
      <c r="TR1367" s="120"/>
      <c r="TS1367" s="120"/>
      <c r="TT1367" s="120"/>
      <c r="TU1367" s="120"/>
      <c r="TV1367" s="120"/>
      <c r="TW1367" s="120"/>
      <c r="TX1367" s="120"/>
      <c r="TY1367" s="120"/>
      <c r="TZ1367" s="120"/>
      <c r="UA1367" s="120"/>
      <c r="UB1367" s="120"/>
      <c r="UC1367" s="120"/>
      <c r="UD1367" s="120"/>
      <c r="UE1367" s="120"/>
      <c r="UF1367" s="120"/>
      <c r="UG1367" s="120"/>
      <c r="UH1367" s="120"/>
      <c r="UI1367" s="120"/>
      <c r="UJ1367" s="120"/>
      <c r="UK1367" s="120"/>
      <c r="UL1367" s="120"/>
      <c r="UM1367" s="120"/>
      <c r="UN1367" s="120"/>
      <c r="UO1367" s="120"/>
      <c r="UP1367" s="120"/>
      <c r="UQ1367" s="120"/>
      <c r="UR1367" s="120"/>
      <c r="US1367" s="120"/>
      <c r="UT1367" s="120"/>
      <c r="UU1367" s="120"/>
      <c r="UV1367" s="120"/>
      <c r="UW1367" s="120"/>
      <c r="UX1367" s="120"/>
      <c r="UY1367" s="120"/>
      <c r="UZ1367" s="120"/>
      <c r="VA1367" s="120"/>
      <c r="VB1367" s="120"/>
      <c r="VC1367" s="120"/>
      <c r="VD1367" s="120"/>
      <c r="VE1367" s="120"/>
      <c r="VF1367" s="120"/>
      <c r="VG1367" s="120"/>
      <c r="VH1367" s="120"/>
      <c r="VI1367" s="120"/>
      <c r="VJ1367" s="120"/>
      <c r="VK1367" s="120"/>
      <c r="VL1367" s="120"/>
      <c r="VM1367" s="120"/>
      <c r="VN1367" s="120"/>
      <c r="VO1367" s="120"/>
      <c r="VP1367" s="120"/>
      <c r="VQ1367" s="120"/>
      <c r="VR1367" s="120"/>
      <c r="VS1367" s="120"/>
      <c r="VT1367" s="120"/>
      <c r="VU1367" s="120"/>
      <c r="VV1367" s="120"/>
      <c r="VW1367" s="120"/>
      <c r="VX1367" s="120"/>
      <c r="VY1367" s="120"/>
      <c r="VZ1367" s="120"/>
      <c r="WA1367" s="120"/>
      <c r="WB1367" s="120"/>
      <c r="WC1367" s="120"/>
      <c r="WD1367" s="120"/>
      <c r="WE1367" s="120"/>
      <c r="WF1367" s="120"/>
      <c r="WG1367" s="120"/>
      <c r="WH1367" s="120"/>
      <c r="WI1367" s="120"/>
      <c r="WJ1367" s="120"/>
      <c r="WK1367" s="120"/>
      <c r="WL1367" s="120"/>
      <c r="WM1367" s="120"/>
      <c r="WN1367" s="120"/>
      <c r="WO1367" s="120"/>
      <c r="WP1367" s="120"/>
      <c r="WQ1367" s="120"/>
      <c r="WR1367" s="120"/>
      <c r="WS1367" s="120"/>
      <c r="WT1367" s="120"/>
      <c r="WU1367" s="120"/>
      <c r="WV1367" s="120"/>
      <c r="WW1367" s="120"/>
      <c r="WX1367" s="120"/>
      <c r="WY1367" s="120"/>
      <c r="WZ1367" s="120"/>
      <c r="XA1367" s="120"/>
      <c r="XB1367" s="120"/>
      <c r="XC1367" s="120"/>
      <c r="XD1367" s="120"/>
      <c r="XE1367" s="120"/>
      <c r="XF1367" s="120"/>
      <c r="XG1367" s="120"/>
      <c r="XH1367" s="120"/>
      <c r="XI1367" s="120"/>
      <c r="XJ1367" s="120"/>
      <c r="XK1367" s="120"/>
      <c r="XL1367" s="120"/>
      <c r="XM1367" s="120"/>
      <c r="XN1367" s="120"/>
      <c r="XO1367" s="120"/>
      <c r="XP1367" s="120"/>
      <c r="XQ1367" s="120"/>
      <c r="XR1367" s="120"/>
      <c r="XS1367" s="120"/>
      <c r="XT1367" s="120"/>
      <c r="XU1367" s="120"/>
      <c r="XV1367" s="120"/>
      <c r="XW1367" s="120"/>
      <c r="XX1367" s="120"/>
      <c r="XY1367" s="120"/>
      <c r="XZ1367" s="120"/>
      <c r="YA1367" s="120"/>
      <c r="YB1367" s="120"/>
      <c r="YC1367" s="120"/>
      <c r="YD1367" s="120"/>
      <c r="YE1367" s="120"/>
      <c r="YF1367" s="120"/>
      <c r="YG1367" s="120"/>
      <c r="YH1367" s="120"/>
      <c r="YI1367" s="120"/>
      <c r="YJ1367" s="120"/>
      <c r="YK1367" s="120"/>
      <c r="YL1367" s="120"/>
      <c r="YM1367" s="120"/>
      <c r="YN1367" s="120"/>
      <c r="YO1367" s="120"/>
      <c r="YP1367" s="120"/>
      <c r="YQ1367" s="120"/>
      <c r="YR1367" s="120"/>
      <c r="YS1367" s="120"/>
      <c r="YT1367" s="120"/>
      <c r="YU1367" s="120"/>
      <c r="YV1367" s="120"/>
      <c r="YW1367" s="120"/>
      <c r="YX1367" s="120"/>
      <c r="YY1367" s="120"/>
      <c r="YZ1367" s="120"/>
      <c r="ZA1367" s="120"/>
      <c r="ZB1367" s="120"/>
      <c r="ZC1367" s="120"/>
      <c r="ZD1367" s="120"/>
      <c r="ZE1367" s="120"/>
      <c r="ZF1367" s="120"/>
      <c r="ZG1367" s="120"/>
      <c r="ZH1367" s="120"/>
      <c r="ZI1367" s="120"/>
      <c r="ZJ1367" s="120"/>
      <c r="ZK1367" s="120"/>
      <c r="ZL1367" s="120"/>
      <c r="ZM1367" s="120"/>
      <c r="ZN1367" s="120"/>
      <c r="ZO1367" s="120"/>
      <c r="ZP1367" s="120"/>
      <c r="ZQ1367" s="120"/>
      <c r="ZR1367" s="120"/>
      <c r="ZS1367" s="120"/>
      <c r="ZT1367" s="120"/>
      <c r="ZU1367" s="120"/>
      <c r="ZV1367" s="120"/>
      <c r="ZW1367" s="120"/>
      <c r="ZX1367" s="120"/>
      <c r="ZY1367" s="120"/>
      <c r="ZZ1367" s="120"/>
      <c r="AAA1367" s="120"/>
      <c r="AAB1367" s="120"/>
      <c r="AAC1367" s="120"/>
      <c r="AAD1367" s="120"/>
      <c r="AAE1367" s="120"/>
      <c r="AAF1367" s="120"/>
      <c r="AAG1367" s="120"/>
      <c r="AAH1367" s="120"/>
      <c r="AAI1367" s="120"/>
      <c r="AAJ1367" s="120"/>
      <c r="AAK1367" s="120"/>
      <c r="AAL1367" s="120"/>
      <c r="AAM1367" s="120"/>
      <c r="AAN1367" s="120"/>
      <c r="AAO1367" s="120"/>
      <c r="AAP1367" s="120"/>
      <c r="AAQ1367" s="120"/>
      <c r="AAR1367" s="120"/>
      <c r="AAS1367" s="120"/>
      <c r="AAT1367" s="120"/>
      <c r="AAU1367" s="120"/>
      <c r="AAV1367" s="120"/>
      <c r="AAW1367" s="120"/>
      <c r="AAX1367" s="120"/>
      <c r="AAY1367" s="120"/>
      <c r="AAZ1367" s="120"/>
      <c r="ABA1367" s="120"/>
      <c r="ABB1367" s="120"/>
      <c r="ABC1367" s="120"/>
      <c r="ABD1367" s="120"/>
      <c r="ABE1367" s="120"/>
      <c r="ABF1367" s="120"/>
      <c r="ABG1367" s="120"/>
      <c r="ABH1367" s="120"/>
      <c r="ABI1367" s="120"/>
      <c r="ABJ1367" s="120"/>
      <c r="ABK1367" s="120"/>
      <c r="ABL1367" s="120"/>
      <c r="ABM1367" s="120"/>
      <c r="ABN1367" s="120"/>
      <c r="ABO1367" s="120"/>
      <c r="ABP1367" s="120"/>
      <c r="ABQ1367" s="120"/>
      <c r="ABR1367" s="120"/>
      <c r="ABS1367" s="120"/>
      <c r="ABT1367" s="120"/>
      <c r="ABU1367" s="120"/>
      <c r="ABV1367" s="120"/>
      <c r="ABW1367" s="120"/>
      <c r="ABX1367" s="120"/>
      <c r="ABY1367" s="120"/>
      <c r="ABZ1367" s="120"/>
      <c r="ACA1367" s="120"/>
      <c r="ACB1367" s="120"/>
      <c r="ACC1367" s="120"/>
      <c r="ACD1367" s="120"/>
      <c r="ACE1367" s="120"/>
      <c r="ACF1367" s="120"/>
      <c r="ACG1367" s="120"/>
      <c r="ACH1367" s="120"/>
      <c r="ACI1367" s="120"/>
      <c r="ACJ1367" s="120"/>
      <c r="ACK1367" s="120"/>
      <c r="ACL1367" s="120"/>
      <c r="ACM1367" s="120"/>
      <c r="ACN1367" s="120"/>
      <c r="ACO1367" s="120"/>
      <c r="ACP1367" s="120"/>
      <c r="ACQ1367" s="120"/>
      <c r="ACR1367" s="120"/>
      <c r="ACS1367" s="120"/>
      <c r="ACT1367" s="120"/>
      <c r="ACU1367" s="120"/>
      <c r="ACV1367" s="120"/>
      <c r="ACW1367" s="120"/>
      <c r="ACX1367" s="120"/>
      <c r="ACY1367" s="120"/>
      <c r="ACZ1367" s="120"/>
      <c r="ADA1367" s="120"/>
      <c r="ADB1367" s="120"/>
      <c r="ADC1367" s="120"/>
      <c r="ADD1367" s="120"/>
      <c r="ADE1367" s="120"/>
      <c r="ADF1367" s="120"/>
      <c r="ADG1367" s="120"/>
      <c r="ADH1367" s="120"/>
      <c r="ADI1367" s="120"/>
      <c r="ADJ1367" s="120"/>
      <c r="ADK1367" s="120"/>
      <c r="ADL1367" s="120"/>
      <c r="ADM1367" s="120"/>
      <c r="ADN1367" s="120"/>
      <c r="ADO1367" s="120"/>
      <c r="ADP1367" s="120"/>
      <c r="ADQ1367" s="120"/>
      <c r="ADR1367" s="120"/>
      <c r="ADS1367" s="120"/>
      <c r="ADT1367" s="120"/>
      <c r="ADU1367" s="120"/>
      <c r="ADV1367" s="120"/>
      <c r="ADW1367" s="120"/>
      <c r="ADX1367" s="120"/>
      <c r="ADY1367" s="120"/>
      <c r="ADZ1367" s="120"/>
      <c r="AEA1367" s="120"/>
      <c r="AEB1367" s="120"/>
      <c r="AEC1367" s="120"/>
      <c r="AED1367" s="120"/>
      <c r="AEE1367" s="120"/>
      <c r="AEF1367" s="120"/>
      <c r="AEG1367" s="120"/>
      <c r="AEH1367" s="120"/>
      <c r="AEI1367" s="120"/>
      <c r="AEJ1367" s="120"/>
      <c r="AEK1367" s="120"/>
      <c r="AEL1367" s="120"/>
      <c r="AEM1367" s="120"/>
      <c r="AEN1367" s="120"/>
      <c r="AEO1367" s="120"/>
      <c r="AEP1367" s="120"/>
      <c r="AEQ1367" s="120"/>
      <c r="AER1367" s="120"/>
      <c r="AES1367" s="120"/>
      <c r="AET1367" s="120"/>
      <c r="AEU1367" s="120"/>
      <c r="AEV1367" s="120"/>
      <c r="AEW1367" s="120"/>
      <c r="AEX1367" s="120"/>
      <c r="AEY1367" s="120"/>
      <c r="AEZ1367" s="120"/>
      <c r="AFA1367" s="120"/>
      <c r="AFB1367" s="120"/>
      <c r="AFC1367" s="120"/>
      <c r="AFD1367" s="120"/>
      <c r="AFE1367" s="120"/>
      <c r="AFF1367" s="120"/>
      <c r="AFG1367" s="120"/>
      <c r="AFH1367" s="120"/>
      <c r="AFI1367" s="120"/>
      <c r="AFJ1367" s="120"/>
      <c r="AFK1367" s="120"/>
      <c r="AFL1367" s="120"/>
      <c r="AFM1367" s="120"/>
      <c r="AFN1367" s="120"/>
      <c r="AFO1367" s="120"/>
      <c r="AFP1367" s="120"/>
      <c r="AFQ1367" s="120"/>
      <c r="AFR1367" s="120"/>
      <c r="AFS1367" s="120"/>
      <c r="AFT1367" s="120"/>
      <c r="AFU1367" s="120"/>
      <c r="AFV1367" s="120"/>
      <c r="AFW1367" s="120"/>
      <c r="AFX1367" s="120"/>
      <c r="AFY1367" s="120"/>
      <c r="AFZ1367" s="120"/>
      <c r="AGA1367" s="120"/>
      <c r="AGB1367" s="120"/>
      <c r="AGC1367" s="120"/>
      <c r="AGD1367" s="120"/>
      <c r="AGE1367" s="120"/>
      <c r="AGF1367" s="120"/>
      <c r="AGG1367" s="120"/>
      <c r="AGH1367" s="120"/>
      <c r="AGI1367" s="120"/>
      <c r="AGJ1367" s="120"/>
      <c r="AGK1367" s="120"/>
      <c r="AGL1367" s="120"/>
      <c r="AGM1367" s="120"/>
      <c r="AGN1367" s="120"/>
      <c r="AGO1367" s="120"/>
      <c r="AGP1367" s="120"/>
      <c r="AGQ1367" s="120"/>
      <c r="AGR1367" s="120"/>
      <c r="AGS1367" s="120"/>
      <c r="AGT1367" s="120"/>
      <c r="AGU1367" s="120"/>
      <c r="AGV1367" s="120"/>
      <c r="AGW1367" s="120"/>
      <c r="AGX1367" s="120"/>
      <c r="AGY1367" s="120"/>
      <c r="AGZ1367" s="120"/>
      <c r="AHA1367" s="120"/>
      <c r="AHB1367" s="120"/>
      <c r="AHC1367" s="120"/>
      <c r="AHD1367" s="120"/>
      <c r="AHE1367" s="120"/>
      <c r="AHF1367" s="120"/>
      <c r="AHG1367" s="120"/>
      <c r="AHH1367" s="120"/>
      <c r="AHI1367" s="120"/>
      <c r="AHJ1367" s="120"/>
      <c r="AHK1367" s="120"/>
      <c r="AHL1367" s="120"/>
      <c r="AHM1367" s="120"/>
      <c r="AHN1367" s="120"/>
      <c r="AHO1367" s="120"/>
      <c r="AHP1367" s="120"/>
      <c r="AHQ1367" s="120"/>
      <c r="AHR1367" s="120"/>
      <c r="AHS1367" s="120"/>
      <c r="AHT1367" s="120"/>
      <c r="AHU1367" s="120"/>
      <c r="AHV1367" s="120"/>
      <c r="AHW1367" s="120"/>
      <c r="AHX1367" s="120"/>
      <c r="AHY1367" s="120"/>
      <c r="AHZ1367" s="120"/>
      <c r="AIA1367" s="120"/>
      <c r="AIB1367" s="120"/>
      <c r="AIC1367" s="120"/>
      <c r="AID1367" s="120"/>
      <c r="AIE1367" s="120"/>
      <c r="AIF1367" s="120"/>
      <c r="AIG1367" s="120"/>
      <c r="AIH1367" s="120"/>
      <c r="AII1367" s="120"/>
      <c r="AIJ1367" s="120"/>
      <c r="AIK1367" s="120"/>
      <c r="AIL1367" s="120"/>
      <c r="AIM1367" s="120"/>
      <c r="AIN1367" s="120"/>
      <c r="AIO1367" s="120"/>
      <c r="AIP1367" s="120"/>
      <c r="AIQ1367" s="120"/>
      <c r="AIR1367" s="120"/>
      <c r="AIS1367" s="120"/>
      <c r="AIT1367" s="120"/>
      <c r="AIU1367" s="120"/>
      <c r="AIV1367" s="120"/>
      <c r="AIW1367" s="120"/>
      <c r="AIX1367" s="120"/>
      <c r="AIY1367" s="120"/>
      <c r="AIZ1367" s="120"/>
      <c r="AJA1367" s="120"/>
      <c r="AJB1367" s="120"/>
      <c r="AJC1367" s="120"/>
      <c r="AJD1367" s="120"/>
      <c r="AJE1367" s="120"/>
      <c r="AJF1367" s="120"/>
      <c r="AJG1367" s="120"/>
      <c r="AJH1367" s="120"/>
      <c r="AJI1367" s="120"/>
      <c r="AJJ1367" s="120"/>
      <c r="AJK1367" s="120"/>
      <c r="AJL1367" s="120"/>
      <c r="AJM1367" s="120"/>
      <c r="AJN1367" s="120"/>
      <c r="AJO1367" s="120"/>
      <c r="AJP1367" s="120"/>
      <c r="AJQ1367" s="120"/>
      <c r="AJR1367" s="120"/>
      <c r="AJS1367" s="120"/>
      <c r="AJT1367" s="120"/>
      <c r="AJU1367" s="120"/>
      <c r="AJV1367" s="120"/>
      <c r="AJW1367" s="120"/>
      <c r="AJX1367" s="120"/>
      <c r="AJY1367" s="120"/>
      <c r="AJZ1367" s="120"/>
      <c r="AKA1367" s="120"/>
      <c r="AKB1367" s="120"/>
      <c r="AKC1367" s="120"/>
      <c r="AKD1367" s="120"/>
      <c r="AKE1367" s="120"/>
      <c r="AKF1367" s="120"/>
      <c r="AKG1367" s="120"/>
      <c r="AKH1367" s="120"/>
      <c r="AKI1367" s="120"/>
      <c r="AKJ1367" s="120"/>
      <c r="AKK1367" s="120"/>
      <c r="AKL1367" s="120"/>
      <c r="AKM1367" s="120"/>
      <c r="AKN1367" s="120"/>
      <c r="AKO1367" s="120"/>
      <c r="AKP1367" s="120"/>
      <c r="AKQ1367" s="120"/>
      <c r="AKR1367" s="120"/>
      <c r="AKS1367" s="120"/>
      <c r="AKT1367" s="120"/>
      <c r="AKU1367" s="120"/>
      <c r="AKV1367" s="120"/>
      <c r="AKW1367" s="120"/>
      <c r="AKX1367" s="120"/>
      <c r="AKY1367" s="120"/>
      <c r="AKZ1367" s="120"/>
      <c r="ALA1367" s="120"/>
      <c r="ALB1367" s="120"/>
      <c r="ALC1367" s="120"/>
      <c r="ALD1367" s="120"/>
      <c r="ALE1367" s="120"/>
      <c r="ALF1367" s="120"/>
      <c r="ALG1367" s="120"/>
      <c r="ALH1367" s="120"/>
      <c r="ALI1367" s="120"/>
      <c r="ALJ1367" s="120"/>
      <c r="ALK1367" s="120"/>
      <c r="ALL1367" s="120"/>
      <c r="ALM1367" s="120"/>
      <c r="ALN1367" s="120"/>
      <c r="ALO1367" s="120"/>
      <c r="ALP1367" s="120"/>
      <c r="ALQ1367" s="120"/>
      <c r="ALR1367" s="120"/>
      <c r="ALS1367" s="120"/>
      <c r="ALT1367" s="120"/>
      <c r="ALU1367" s="120"/>
      <c r="ALV1367" s="120"/>
      <c r="ALW1367" s="120"/>
      <c r="ALX1367" s="120"/>
      <c r="ALY1367" s="120"/>
      <c r="ALZ1367" s="120"/>
      <c r="AMA1367" s="120"/>
      <c r="AMB1367" s="120"/>
      <c r="AMC1367" s="120"/>
      <c r="AMD1367" s="120"/>
      <c r="AME1367" s="120"/>
      <c r="AMF1367" s="120"/>
      <c r="AMG1367" s="120"/>
      <c r="AMH1367" s="120"/>
      <c r="AMI1367" s="120"/>
      <c r="AMJ1367" s="120"/>
      <c r="AMK1367" s="120"/>
      <c r="AML1367" s="120"/>
      <c r="AMM1367" s="120"/>
      <c r="AMN1367" s="120"/>
      <c r="AMO1367" s="120"/>
      <c r="AMP1367" s="120"/>
      <c r="AMQ1367" s="120"/>
      <c r="AMR1367" s="120"/>
      <c r="AMS1367" s="120"/>
      <c r="AMT1367" s="120"/>
      <c r="AMU1367" s="120"/>
      <c r="AMV1367" s="120"/>
      <c r="AMW1367" s="120"/>
      <c r="AMX1367" s="120"/>
      <c r="AMY1367" s="120"/>
      <c r="AMZ1367" s="120"/>
      <c r="ANA1367" s="120"/>
      <c r="ANB1367" s="120"/>
      <c r="ANC1367" s="120"/>
      <c r="AND1367" s="120"/>
      <c r="ANE1367" s="120"/>
      <c r="ANF1367" s="120"/>
      <c r="ANG1367" s="120"/>
      <c r="ANH1367" s="120"/>
      <c r="ANI1367" s="120"/>
      <c r="ANJ1367" s="120"/>
      <c r="ANK1367" s="120"/>
      <c r="ANL1367" s="120"/>
      <c r="ANM1367" s="120"/>
      <c r="ANN1367" s="120"/>
      <c r="ANO1367" s="120"/>
      <c r="ANP1367" s="120"/>
      <c r="ANQ1367" s="120"/>
      <c r="ANR1367" s="120"/>
      <c r="ANS1367" s="120"/>
      <c r="ANT1367" s="120"/>
      <c r="ANU1367" s="120"/>
      <c r="ANV1367" s="120"/>
      <c r="ANW1367" s="120"/>
      <c r="ANX1367" s="120"/>
      <c r="ANY1367" s="120"/>
      <c r="ANZ1367" s="120"/>
      <c r="AOA1367" s="120"/>
      <c r="AOB1367" s="120"/>
      <c r="AOC1367" s="120"/>
      <c r="AOD1367" s="120"/>
      <c r="AOE1367" s="120"/>
      <c r="AOF1367" s="120"/>
      <c r="AOG1367" s="120"/>
      <c r="AOH1367" s="120"/>
      <c r="AOI1367" s="120"/>
      <c r="AOJ1367" s="120"/>
      <c r="AOK1367" s="120"/>
      <c r="AOL1367" s="120"/>
      <c r="AOM1367" s="120"/>
      <c r="AON1367" s="120"/>
      <c r="AOO1367" s="120"/>
      <c r="AOP1367" s="120"/>
      <c r="AOQ1367" s="120"/>
      <c r="AOR1367" s="120"/>
      <c r="AOS1367" s="120"/>
      <c r="AOT1367" s="120"/>
      <c r="AOU1367" s="120"/>
      <c r="AOV1367" s="120"/>
      <c r="AOW1367" s="120"/>
      <c r="AOX1367" s="120"/>
      <c r="AOY1367" s="120"/>
      <c r="AOZ1367" s="120"/>
      <c r="APA1367" s="120"/>
      <c r="APB1367" s="120"/>
      <c r="APC1367" s="120"/>
      <c r="APD1367" s="120"/>
      <c r="APE1367" s="120"/>
      <c r="APF1367" s="120"/>
      <c r="APG1367" s="120"/>
      <c r="APH1367" s="120"/>
      <c r="API1367" s="120"/>
      <c r="APJ1367" s="120"/>
      <c r="APK1367" s="120"/>
      <c r="APL1367" s="120"/>
      <c r="APM1367" s="120"/>
      <c r="APN1367" s="120"/>
      <c r="APO1367" s="120"/>
      <c r="APP1367" s="120"/>
      <c r="APQ1367" s="120"/>
      <c r="APR1367" s="120"/>
      <c r="APS1367" s="120"/>
      <c r="APT1367" s="120"/>
      <c r="APU1367" s="120"/>
      <c r="APV1367" s="120"/>
      <c r="APW1367" s="120"/>
      <c r="APX1367" s="120"/>
      <c r="APY1367" s="120"/>
      <c r="APZ1367" s="120"/>
      <c r="AQA1367" s="120"/>
      <c r="AQB1367" s="120"/>
      <c r="AQC1367" s="120"/>
      <c r="AQD1367" s="120"/>
      <c r="AQE1367" s="120"/>
      <c r="AQF1367" s="120"/>
      <c r="AQG1367" s="120"/>
      <c r="AQH1367" s="120"/>
      <c r="AQI1367" s="120"/>
      <c r="AQJ1367" s="120"/>
      <c r="AQK1367" s="120"/>
      <c r="AQL1367" s="120"/>
      <c r="AQM1367" s="120"/>
      <c r="AQN1367" s="120"/>
      <c r="AQO1367" s="120"/>
      <c r="AQP1367" s="120"/>
      <c r="AQQ1367" s="120"/>
      <c r="AQR1367" s="120"/>
      <c r="AQS1367" s="120"/>
      <c r="AQT1367" s="120"/>
      <c r="AQU1367" s="120"/>
      <c r="AQV1367" s="120"/>
      <c r="AQW1367" s="120"/>
      <c r="AQX1367" s="120"/>
      <c r="AQY1367" s="120"/>
      <c r="AQZ1367" s="120"/>
      <c r="ARA1367" s="120"/>
      <c r="ARB1367" s="120"/>
      <c r="ARC1367" s="120"/>
      <c r="ARD1367" s="120"/>
      <c r="ARE1367" s="120"/>
      <c r="ARF1367" s="120"/>
      <c r="ARG1367" s="120"/>
      <c r="ARH1367" s="120"/>
      <c r="ARI1367" s="120"/>
      <c r="ARJ1367" s="120"/>
      <c r="ARK1367" s="120"/>
      <c r="ARL1367" s="120"/>
      <c r="ARM1367" s="120"/>
      <c r="ARN1367" s="120"/>
      <c r="ARO1367" s="120"/>
      <c r="ARP1367" s="120"/>
      <c r="ARQ1367" s="120"/>
      <c r="ARR1367" s="120"/>
      <c r="ARS1367" s="120"/>
      <c r="ART1367" s="120"/>
      <c r="ARU1367" s="120"/>
      <c r="ARV1367" s="120"/>
      <c r="ARW1367" s="120"/>
      <c r="ARX1367" s="120"/>
      <c r="ARY1367" s="120"/>
      <c r="ARZ1367" s="120"/>
      <c r="ASA1367" s="120"/>
      <c r="ASB1367" s="120"/>
      <c r="ASC1367" s="120"/>
      <c r="ASD1367" s="120"/>
      <c r="ASE1367" s="120"/>
      <c r="ASF1367" s="120"/>
      <c r="ASG1367" s="120"/>
      <c r="ASH1367" s="120"/>
      <c r="ASI1367" s="120"/>
      <c r="ASJ1367" s="120"/>
      <c r="ASK1367" s="120"/>
      <c r="ASL1367" s="120"/>
      <c r="ASM1367" s="120"/>
      <c r="ASN1367" s="120"/>
      <c r="ASO1367" s="120"/>
      <c r="ASP1367" s="120"/>
      <c r="ASQ1367" s="120"/>
      <c r="ASR1367" s="120"/>
      <c r="ASS1367" s="120"/>
      <c r="AST1367" s="120"/>
      <c r="ASU1367" s="120"/>
      <c r="ASV1367" s="120"/>
      <c r="ASW1367" s="120"/>
      <c r="ASX1367" s="120"/>
      <c r="ASY1367" s="120"/>
      <c r="ASZ1367" s="120"/>
      <c r="ATA1367" s="120"/>
      <c r="ATB1367" s="120"/>
      <c r="ATC1367" s="120"/>
      <c r="ATD1367" s="120"/>
      <c r="ATE1367" s="120"/>
      <c r="ATF1367" s="120"/>
      <c r="ATG1367" s="120"/>
      <c r="ATH1367" s="120"/>
      <c r="ATI1367" s="120"/>
      <c r="ATJ1367" s="120"/>
      <c r="ATK1367" s="120"/>
      <c r="ATL1367" s="120"/>
      <c r="ATM1367" s="120"/>
      <c r="ATN1367" s="120"/>
      <c r="ATO1367" s="120"/>
    </row>
    <row r="1368" spans="1:1211" s="20" customFormat="1" ht="14.1" customHeight="1">
      <c r="A1368" s="900"/>
      <c r="B1368" s="723"/>
      <c r="C1368" s="184" t="s">
        <v>6135</v>
      </c>
      <c r="D1368" s="631"/>
      <c r="E1368" s="898"/>
      <c r="F1368" s="899"/>
      <c r="G1368" s="899"/>
      <c r="H1368" s="899"/>
      <c r="I1368" s="899"/>
      <c r="J1368" s="899"/>
      <c r="K1368" s="112"/>
      <c r="L1368" s="363"/>
      <c r="M1368" s="112"/>
      <c r="N1368" s="362"/>
      <c r="O1368" s="573"/>
      <c r="P1368" s="120"/>
      <c r="Q1368" s="120"/>
      <c r="R1368" s="120"/>
      <c r="S1368" s="120"/>
      <c r="T1368" s="120"/>
      <c r="U1368" s="120"/>
      <c r="V1368" s="120"/>
      <c r="W1368" s="120"/>
      <c r="X1368" s="120"/>
      <c r="Y1368" s="120"/>
      <c r="Z1368" s="120"/>
      <c r="AA1368" s="120"/>
      <c r="AB1368" s="120"/>
      <c r="AC1368" s="120"/>
      <c r="AD1368" s="120"/>
      <c r="AE1368" s="120"/>
      <c r="AF1368" s="120"/>
      <c r="AG1368" s="120"/>
      <c r="AH1368" s="120"/>
      <c r="AI1368" s="120"/>
      <c r="AJ1368" s="120"/>
      <c r="AK1368" s="120"/>
      <c r="AL1368" s="120"/>
      <c r="AM1368" s="120"/>
      <c r="AN1368" s="120"/>
      <c r="AO1368" s="120"/>
      <c r="AP1368" s="120"/>
      <c r="AQ1368" s="120"/>
      <c r="AR1368" s="120"/>
      <c r="AS1368" s="120"/>
      <c r="AT1368" s="120"/>
      <c r="AU1368" s="120"/>
      <c r="AV1368" s="120"/>
      <c r="AW1368" s="120"/>
      <c r="AX1368" s="120"/>
      <c r="AY1368" s="120"/>
      <c r="AZ1368" s="120"/>
      <c r="BA1368" s="120"/>
      <c r="BB1368" s="120"/>
      <c r="BC1368" s="120"/>
      <c r="BD1368" s="120"/>
      <c r="BE1368" s="120"/>
      <c r="BF1368" s="120"/>
      <c r="BG1368" s="120"/>
      <c r="BH1368" s="120"/>
      <c r="BI1368" s="120"/>
      <c r="BJ1368" s="120"/>
      <c r="BK1368" s="120"/>
      <c r="BL1368" s="120"/>
      <c r="BM1368" s="120"/>
      <c r="BN1368" s="120"/>
      <c r="BO1368" s="120"/>
      <c r="BP1368" s="120"/>
      <c r="BQ1368" s="120"/>
      <c r="BR1368" s="120"/>
      <c r="BS1368" s="120"/>
      <c r="BT1368" s="120"/>
      <c r="BU1368" s="120"/>
      <c r="BV1368" s="120"/>
      <c r="BW1368" s="120"/>
      <c r="BX1368" s="120"/>
      <c r="BY1368" s="120"/>
      <c r="BZ1368" s="120"/>
      <c r="CA1368" s="120"/>
      <c r="CB1368" s="120"/>
      <c r="CC1368" s="120"/>
      <c r="CD1368" s="120"/>
      <c r="CE1368" s="120"/>
      <c r="CF1368" s="120"/>
      <c r="CG1368" s="120"/>
      <c r="CH1368" s="120"/>
      <c r="CI1368" s="120"/>
      <c r="CJ1368" s="120"/>
      <c r="CK1368" s="120"/>
      <c r="CL1368" s="120"/>
      <c r="CM1368" s="120"/>
      <c r="CN1368" s="120"/>
      <c r="CO1368" s="120"/>
      <c r="CP1368" s="120"/>
      <c r="CQ1368" s="120"/>
      <c r="CR1368" s="120"/>
      <c r="CS1368" s="120"/>
      <c r="CT1368" s="120"/>
      <c r="CU1368" s="120"/>
      <c r="CV1368" s="120"/>
      <c r="CW1368" s="120"/>
      <c r="CX1368" s="120"/>
      <c r="CY1368" s="120"/>
      <c r="CZ1368" s="120"/>
      <c r="DA1368" s="120"/>
      <c r="DB1368" s="120"/>
      <c r="DC1368" s="120"/>
      <c r="DD1368" s="120"/>
      <c r="DE1368" s="120"/>
      <c r="DF1368" s="120"/>
      <c r="DG1368" s="120"/>
      <c r="DH1368" s="120"/>
      <c r="DI1368" s="120"/>
      <c r="DJ1368" s="120"/>
      <c r="DK1368" s="120"/>
      <c r="DL1368" s="120"/>
      <c r="DM1368" s="120"/>
      <c r="DN1368" s="120"/>
      <c r="DO1368" s="120"/>
      <c r="DP1368" s="120"/>
      <c r="DQ1368" s="120"/>
      <c r="DR1368" s="120"/>
      <c r="DS1368" s="120"/>
      <c r="DT1368" s="120"/>
      <c r="DU1368" s="120"/>
      <c r="DV1368" s="120"/>
      <c r="DW1368" s="120"/>
      <c r="DX1368" s="120"/>
      <c r="DY1368" s="120"/>
      <c r="DZ1368" s="120"/>
      <c r="EA1368" s="120"/>
      <c r="EB1368" s="120"/>
      <c r="EC1368" s="120"/>
      <c r="ED1368" s="120"/>
      <c r="EE1368" s="120"/>
      <c r="EF1368" s="120"/>
      <c r="EG1368" s="120"/>
      <c r="EH1368" s="120"/>
      <c r="EI1368" s="120"/>
      <c r="EJ1368" s="120"/>
      <c r="EK1368" s="120"/>
      <c r="EL1368" s="120"/>
      <c r="EM1368" s="120"/>
      <c r="EN1368" s="120"/>
      <c r="EO1368" s="120"/>
      <c r="EP1368" s="120"/>
      <c r="EQ1368" s="120"/>
      <c r="ER1368" s="120"/>
      <c r="ES1368" s="120"/>
      <c r="ET1368" s="120"/>
      <c r="EU1368" s="120"/>
      <c r="EV1368" s="120"/>
      <c r="EW1368" s="120"/>
      <c r="EX1368" s="120"/>
      <c r="EY1368" s="120"/>
      <c r="EZ1368" s="120"/>
      <c r="FA1368" s="120"/>
      <c r="FB1368" s="120"/>
      <c r="FC1368" s="120"/>
      <c r="FD1368" s="120"/>
      <c r="FE1368" s="120"/>
      <c r="FF1368" s="120"/>
      <c r="FG1368" s="120"/>
      <c r="FH1368" s="120"/>
      <c r="FI1368" s="120"/>
      <c r="FJ1368" s="120"/>
      <c r="FK1368" s="120"/>
      <c r="FL1368" s="120"/>
      <c r="FM1368" s="120"/>
      <c r="FN1368" s="120"/>
      <c r="FO1368" s="120"/>
      <c r="FP1368" s="120"/>
      <c r="FQ1368" s="120"/>
      <c r="FR1368" s="120"/>
      <c r="FS1368" s="120"/>
      <c r="FT1368" s="120"/>
      <c r="FU1368" s="120"/>
      <c r="FV1368" s="120"/>
      <c r="FW1368" s="120"/>
      <c r="FX1368" s="120"/>
      <c r="FY1368" s="120"/>
      <c r="FZ1368" s="120"/>
      <c r="GA1368" s="120"/>
      <c r="GB1368" s="120"/>
      <c r="GC1368" s="120"/>
      <c r="GD1368" s="120"/>
      <c r="GE1368" s="120"/>
      <c r="GF1368" s="120"/>
      <c r="GG1368" s="120"/>
      <c r="GH1368" s="120"/>
      <c r="GI1368" s="120"/>
      <c r="GJ1368" s="120"/>
      <c r="GK1368" s="120"/>
      <c r="GL1368" s="120"/>
      <c r="GM1368" s="120"/>
      <c r="GN1368" s="120"/>
      <c r="GO1368" s="120"/>
      <c r="GP1368" s="120"/>
      <c r="GQ1368" s="120"/>
      <c r="GR1368" s="120"/>
      <c r="GS1368" s="120"/>
      <c r="GT1368" s="120"/>
      <c r="GU1368" s="120"/>
      <c r="GV1368" s="120"/>
      <c r="GW1368" s="120"/>
      <c r="GX1368" s="120"/>
      <c r="GY1368" s="120"/>
      <c r="GZ1368" s="120"/>
      <c r="HA1368" s="120"/>
      <c r="HB1368" s="120"/>
      <c r="HC1368" s="120"/>
      <c r="HD1368" s="120"/>
      <c r="HE1368" s="120"/>
      <c r="HF1368" s="120"/>
      <c r="HG1368" s="120"/>
      <c r="HH1368" s="120"/>
      <c r="HI1368" s="120"/>
      <c r="HJ1368" s="120"/>
      <c r="HK1368" s="120"/>
      <c r="HL1368" s="120"/>
      <c r="HM1368" s="120"/>
      <c r="HN1368" s="120"/>
      <c r="HO1368" s="120"/>
      <c r="HP1368" s="120"/>
      <c r="HQ1368" s="120"/>
      <c r="HR1368" s="120"/>
      <c r="HS1368" s="120"/>
      <c r="HT1368" s="120"/>
      <c r="HU1368" s="120"/>
      <c r="HV1368" s="120"/>
      <c r="HW1368" s="120"/>
      <c r="HX1368" s="120"/>
      <c r="HY1368" s="120"/>
      <c r="HZ1368" s="120"/>
      <c r="IA1368" s="120"/>
      <c r="IB1368" s="120"/>
      <c r="IC1368" s="120"/>
      <c r="ID1368" s="120"/>
      <c r="IE1368" s="120"/>
      <c r="IF1368" s="120"/>
      <c r="IG1368" s="120"/>
      <c r="IH1368" s="120"/>
      <c r="II1368" s="120"/>
      <c r="IJ1368" s="120"/>
      <c r="IK1368" s="120"/>
      <c r="IL1368" s="120"/>
      <c r="IM1368" s="120"/>
      <c r="IN1368" s="120"/>
      <c r="IO1368" s="120"/>
      <c r="IP1368" s="120"/>
      <c r="IQ1368" s="120"/>
      <c r="IR1368" s="120"/>
      <c r="IS1368" s="120"/>
      <c r="IT1368" s="120"/>
      <c r="IU1368" s="120"/>
      <c r="IV1368" s="120"/>
      <c r="IW1368" s="120"/>
      <c r="IX1368" s="120"/>
      <c r="IY1368" s="120"/>
      <c r="IZ1368" s="120"/>
      <c r="JA1368" s="120"/>
      <c r="JB1368" s="120"/>
      <c r="JC1368" s="120"/>
      <c r="JD1368" s="120"/>
      <c r="JE1368" s="120"/>
      <c r="JF1368" s="120"/>
      <c r="JG1368" s="120"/>
      <c r="JH1368" s="120"/>
      <c r="JI1368" s="120"/>
      <c r="JJ1368" s="120"/>
      <c r="JK1368" s="120"/>
      <c r="JL1368" s="120"/>
      <c r="JM1368" s="120"/>
      <c r="JN1368" s="120"/>
      <c r="JO1368" s="120"/>
      <c r="JP1368" s="120"/>
      <c r="JQ1368" s="120"/>
      <c r="JR1368" s="120"/>
      <c r="JS1368" s="120"/>
      <c r="JT1368" s="120"/>
      <c r="JU1368" s="120"/>
      <c r="JV1368" s="120"/>
      <c r="JW1368" s="120"/>
      <c r="JX1368" s="120"/>
      <c r="JY1368" s="120"/>
      <c r="JZ1368" s="120"/>
      <c r="KA1368" s="120"/>
      <c r="KB1368" s="120"/>
      <c r="KC1368" s="120"/>
      <c r="KD1368" s="120"/>
      <c r="KE1368" s="120"/>
      <c r="KF1368" s="120"/>
      <c r="KG1368" s="120"/>
      <c r="KH1368" s="120"/>
      <c r="KI1368" s="120"/>
      <c r="KJ1368" s="120"/>
      <c r="KK1368" s="120"/>
      <c r="KL1368" s="120"/>
      <c r="KM1368" s="120"/>
      <c r="KN1368" s="120"/>
      <c r="KO1368" s="120"/>
      <c r="KP1368" s="120"/>
      <c r="KQ1368" s="120"/>
      <c r="KR1368" s="120"/>
      <c r="KS1368" s="120"/>
      <c r="KT1368" s="120"/>
      <c r="KU1368" s="120"/>
      <c r="KV1368" s="120"/>
      <c r="KW1368" s="120"/>
      <c r="KX1368" s="120"/>
      <c r="KY1368" s="120"/>
      <c r="KZ1368" s="120"/>
      <c r="LA1368" s="120"/>
      <c r="LB1368" s="120"/>
      <c r="LC1368" s="120"/>
      <c r="LD1368" s="120"/>
      <c r="LE1368" s="120"/>
      <c r="LF1368" s="120"/>
      <c r="LG1368" s="120"/>
      <c r="LH1368" s="120"/>
      <c r="LI1368" s="120"/>
      <c r="LJ1368" s="120"/>
      <c r="LK1368" s="120"/>
      <c r="LL1368" s="120"/>
      <c r="LM1368" s="120"/>
      <c r="LN1368" s="120"/>
      <c r="LO1368" s="120"/>
      <c r="LP1368" s="120"/>
      <c r="LQ1368" s="120"/>
      <c r="LR1368" s="120"/>
      <c r="LS1368" s="120"/>
      <c r="LT1368" s="120"/>
      <c r="LU1368" s="120"/>
      <c r="LV1368" s="120"/>
      <c r="LW1368" s="120"/>
      <c r="LX1368" s="120"/>
      <c r="LY1368" s="120"/>
      <c r="LZ1368" s="120"/>
      <c r="MA1368" s="120"/>
      <c r="MB1368" s="120"/>
      <c r="MC1368" s="120"/>
      <c r="MD1368" s="120"/>
      <c r="ME1368" s="120"/>
      <c r="MF1368" s="120"/>
      <c r="MG1368" s="120"/>
      <c r="MH1368" s="120"/>
      <c r="MI1368" s="120"/>
      <c r="MJ1368" s="120"/>
      <c r="MK1368" s="120"/>
      <c r="ML1368" s="120"/>
      <c r="MM1368" s="120"/>
      <c r="MN1368" s="120"/>
      <c r="MO1368" s="120"/>
      <c r="MP1368" s="120"/>
      <c r="MQ1368" s="120"/>
      <c r="MR1368" s="120"/>
      <c r="MS1368" s="120"/>
      <c r="MT1368" s="120"/>
      <c r="MU1368" s="120"/>
      <c r="MV1368" s="120"/>
      <c r="MW1368" s="120"/>
      <c r="MX1368" s="120"/>
      <c r="MY1368" s="120"/>
      <c r="MZ1368" s="120"/>
      <c r="NA1368" s="120"/>
      <c r="NB1368" s="120"/>
      <c r="NC1368" s="120"/>
      <c r="ND1368" s="120"/>
      <c r="NE1368" s="120"/>
      <c r="NF1368" s="120"/>
      <c r="NG1368" s="120"/>
      <c r="NH1368" s="120"/>
      <c r="NI1368" s="120"/>
      <c r="NJ1368" s="120"/>
      <c r="NK1368" s="120"/>
      <c r="NL1368" s="120"/>
      <c r="NM1368" s="120"/>
      <c r="NN1368" s="120"/>
      <c r="NO1368" s="120"/>
      <c r="NP1368" s="120"/>
      <c r="NQ1368" s="120"/>
      <c r="NR1368" s="120"/>
      <c r="NS1368" s="120"/>
      <c r="NT1368" s="120"/>
      <c r="NU1368" s="120"/>
      <c r="NV1368" s="120"/>
      <c r="NW1368" s="120"/>
      <c r="NX1368" s="120"/>
      <c r="NY1368" s="120"/>
      <c r="NZ1368" s="120"/>
      <c r="OA1368" s="120"/>
      <c r="OB1368" s="120"/>
      <c r="OC1368" s="120"/>
      <c r="OD1368" s="120"/>
      <c r="OE1368" s="120"/>
      <c r="OF1368" s="120"/>
      <c r="OG1368" s="120"/>
      <c r="OH1368" s="120"/>
      <c r="OI1368" s="120"/>
      <c r="OJ1368" s="120"/>
      <c r="OK1368" s="120"/>
      <c r="OL1368" s="120"/>
      <c r="OM1368" s="120"/>
      <c r="ON1368" s="120"/>
      <c r="OO1368" s="120"/>
      <c r="OP1368" s="120"/>
      <c r="OQ1368" s="120"/>
      <c r="OR1368" s="120"/>
      <c r="OS1368" s="120"/>
      <c r="OT1368" s="120"/>
      <c r="OU1368" s="120"/>
      <c r="OV1368" s="120"/>
      <c r="OW1368" s="120"/>
      <c r="OX1368" s="120"/>
      <c r="OY1368" s="120"/>
      <c r="OZ1368" s="120"/>
      <c r="PA1368" s="120"/>
      <c r="PB1368" s="120"/>
      <c r="PC1368" s="120"/>
      <c r="PD1368" s="120"/>
      <c r="PE1368" s="120"/>
      <c r="PF1368" s="120"/>
      <c r="PG1368" s="120"/>
      <c r="PH1368" s="120"/>
      <c r="PI1368" s="120"/>
      <c r="PJ1368" s="120"/>
      <c r="PK1368" s="120"/>
      <c r="PL1368" s="120"/>
      <c r="PM1368" s="120"/>
      <c r="PN1368" s="120"/>
      <c r="PO1368" s="120"/>
      <c r="PP1368" s="120"/>
      <c r="PQ1368" s="120"/>
      <c r="PR1368" s="120"/>
      <c r="PS1368" s="120"/>
      <c r="PT1368" s="120"/>
      <c r="PU1368" s="120"/>
      <c r="PV1368" s="120"/>
      <c r="PW1368" s="120"/>
      <c r="PX1368" s="120"/>
      <c r="PY1368" s="120"/>
      <c r="PZ1368" s="120"/>
      <c r="QA1368" s="120"/>
      <c r="QB1368" s="120"/>
      <c r="QC1368" s="120"/>
      <c r="QD1368" s="120"/>
      <c r="QE1368" s="120"/>
      <c r="QF1368" s="120"/>
      <c r="QG1368" s="120"/>
      <c r="QH1368" s="120"/>
      <c r="QI1368" s="120"/>
      <c r="QJ1368" s="120"/>
      <c r="QK1368" s="120"/>
      <c r="QL1368" s="120"/>
      <c r="QM1368" s="120"/>
      <c r="QN1368" s="120"/>
      <c r="QO1368" s="120"/>
      <c r="QP1368" s="120"/>
      <c r="QQ1368" s="120"/>
      <c r="QR1368" s="120"/>
      <c r="QS1368" s="120"/>
      <c r="QT1368" s="120"/>
      <c r="QU1368" s="120"/>
      <c r="QV1368" s="120"/>
      <c r="QW1368" s="120"/>
      <c r="QX1368" s="120"/>
      <c r="QY1368" s="120"/>
      <c r="QZ1368" s="120"/>
      <c r="RA1368" s="120"/>
      <c r="RB1368" s="120"/>
      <c r="RC1368" s="120"/>
      <c r="RD1368" s="120"/>
      <c r="RE1368" s="120"/>
      <c r="RF1368" s="120"/>
      <c r="RG1368" s="120"/>
      <c r="RH1368" s="120"/>
      <c r="RI1368" s="120"/>
      <c r="RJ1368" s="120"/>
      <c r="RK1368" s="120"/>
      <c r="RL1368" s="120"/>
      <c r="RM1368" s="120"/>
      <c r="RN1368" s="120"/>
      <c r="RO1368" s="120"/>
      <c r="RP1368" s="120"/>
      <c r="RQ1368" s="120"/>
      <c r="RR1368" s="120"/>
      <c r="RS1368" s="120"/>
      <c r="RT1368" s="120"/>
      <c r="RU1368" s="120"/>
      <c r="RV1368" s="120"/>
      <c r="RW1368" s="120"/>
      <c r="RX1368" s="120"/>
      <c r="RY1368" s="120"/>
      <c r="RZ1368" s="120"/>
      <c r="SA1368" s="120"/>
      <c r="SB1368" s="120"/>
      <c r="SC1368" s="120"/>
      <c r="SD1368" s="120"/>
      <c r="SE1368" s="120"/>
      <c r="SF1368" s="120"/>
      <c r="SG1368" s="120"/>
      <c r="SH1368" s="120"/>
      <c r="SI1368" s="120"/>
      <c r="SJ1368" s="120"/>
      <c r="SK1368" s="120"/>
      <c r="SL1368" s="120"/>
      <c r="SM1368" s="120"/>
      <c r="SN1368" s="120"/>
      <c r="SO1368" s="120"/>
      <c r="SP1368" s="120"/>
      <c r="SQ1368" s="120"/>
      <c r="SR1368" s="120"/>
      <c r="SS1368" s="120"/>
      <c r="ST1368" s="120"/>
      <c r="SU1368" s="120"/>
      <c r="SV1368" s="120"/>
      <c r="SW1368" s="120"/>
      <c r="SX1368" s="120"/>
      <c r="SY1368" s="120"/>
      <c r="SZ1368" s="120"/>
      <c r="TA1368" s="120"/>
      <c r="TB1368" s="120"/>
      <c r="TC1368" s="120"/>
      <c r="TD1368" s="120"/>
      <c r="TE1368" s="120"/>
      <c r="TF1368" s="120"/>
      <c r="TG1368" s="120"/>
      <c r="TH1368" s="120"/>
      <c r="TI1368" s="120"/>
      <c r="TJ1368" s="120"/>
      <c r="TK1368" s="120"/>
      <c r="TL1368" s="120"/>
      <c r="TM1368" s="120"/>
      <c r="TN1368" s="120"/>
      <c r="TO1368" s="120"/>
      <c r="TP1368" s="120"/>
      <c r="TQ1368" s="120"/>
      <c r="TR1368" s="120"/>
      <c r="TS1368" s="120"/>
      <c r="TT1368" s="120"/>
      <c r="TU1368" s="120"/>
      <c r="TV1368" s="120"/>
      <c r="TW1368" s="120"/>
      <c r="TX1368" s="120"/>
      <c r="TY1368" s="120"/>
      <c r="TZ1368" s="120"/>
      <c r="UA1368" s="120"/>
      <c r="UB1368" s="120"/>
      <c r="UC1368" s="120"/>
      <c r="UD1368" s="120"/>
      <c r="UE1368" s="120"/>
      <c r="UF1368" s="120"/>
      <c r="UG1368" s="120"/>
      <c r="UH1368" s="120"/>
      <c r="UI1368" s="120"/>
      <c r="UJ1368" s="120"/>
      <c r="UK1368" s="120"/>
      <c r="UL1368" s="120"/>
      <c r="UM1368" s="120"/>
      <c r="UN1368" s="120"/>
      <c r="UO1368" s="120"/>
      <c r="UP1368" s="120"/>
      <c r="UQ1368" s="120"/>
      <c r="UR1368" s="120"/>
      <c r="US1368" s="120"/>
      <c r="UT1368" s="120"/>
      <c r="UU1368" s="120"/>
      <c r="UV1368" s="120"/>
      <c r="UW1368" s="120"/>
      <c r="UX1368" s="120"/>
      <c r="UY1368" s="120"/>
      <c r="UZ1368" s="120"/>
      <c r="VA1368" s="120"/>
      <c r="VB1368" s="120"/>
      <c r="VC1368" s="120"/>
      <c r="VD1368" s="120"/>
      <c r="VE1368" s="120"/>
      <c r="VF1368" s="120"/>
      <c r="VG1368" s="120"/>
      <c r="VH1368" s="120"/>
      <c r="VI1368" s="120"/>
      <c r="VJ1368" s="120"/>
      <c r="VK1368" s="120"/>
      <c r="VL1368" s="120"/>
      <c r="VM1368" s="120"/>
      <c r="VN1368" s="120"/>
      <c r="VO1368" s="120"/>
      <c r="VP1368" s="120"/>
      <c r="VQ1368" s="120"/>
      <c r="VR1368" s="120"/>
      <c r="VS1368" s="120"/>
      <c r="VT1368" s="120"/>
      <c r="VU1368" s="120"/>
      <c r="VV1368" s="120"/>
      <c r="VW1368" s="120"/>
      <c r="VX1368" s="120"/>
      <c r="VY1368" s="120"/>
      <c r="VZ1368" s="120"/>
      <c r="WA1368" s="120"/>
      <c r="WB1368" s="120"/>
      <c r="WC1368" s="120"/>
      <c r="WD1368" s="120"/>
      <c r="WE1368" s="120"/>
      <c r="WF1368" s="120"/>
      <c r="WG1368" s="120"/>
      <c r="WH1368" s="120"/>
      <c r="WI1368" s="120"/>
      <c r="WJ1368" s="120"/>
      <c r="WK1368" s="120"/>
      <c r="WL1368" s="120"/>
      <c r="WM1368" s="120"/>
      <c r="WN1368" s="120"/>
      <c r="WO1368" s="120"/>
      <c r="WP1368" s="120"/>
      <c r="WQ1368" s="120"/>
      <c r="WR1368" s="120"/>
      <c r="WS1368" s="120"/>
      <c r="WT1368" s="120"/>
      <c r="WU1368" s="120"/>
      <c r="WV1368" s="120"/>
      <c r="WW1368" s="120"/>
      <c r="WX1368" s="120"/>
      <c r="WY1368" s="120"/>
      <c r="WZ1368" s="120"/>
      <c r="XA1368" s="120"/>
      <c r="XB1368" s="120"/>
      <c r="XC1368" s="120"/>
      <c r="XD1368" s="120"/>
      <c r="XE1368" s="120"/>
      <c r="XF1368" s="120"/>
      <c r="XG1368" s="120"/>
      <c r="XH1368" s="120"/>
      <c r="XI1368" s="120"/>
      <c r="XJ1368" s="120"/>
      <c r="XK1368" s="120"/>
      <c r="XL1368" s="120"/>
      <c r="XM1368" s="120"/>
      <c r="XN1368" s="120"/>
      <c r="XO1368" s="120"/>
      <c r="XP1368" s="120"/>
      <c r="XQ1368" s="120"/>
      <c r="XR1368" s="120"/>
      <c r="XS1368" s="120"/>
      <c r="XT1368" s="120"/>
      <c r="XU1368" s="120"/>
      <c r="XV1368" s="120"/>
      <c r="XW1368" s="120"/>
      <c r="XX1368" s="120"/>
      <c r="XY1368" s="120"/>
      <c r="XZ1368" s="120"/>
      <c r="YA1368" s="120"/>
      <c r="YB1368" s="120"/>
      <c r="YC1368" s="120"/>
      <c r="YD1368" s="120"/>
      <c r="YE1368" s="120"/>
      <c r="YF1368" s="120"/>
      <c r="YG1368" s="120"/>
      <c r="YH1368" s="120"/>
      <c r="YI1368" s="120"/>
      <c r="YJ1368" s="120"/>
      <c r="YK1368" s="120"/>
      <c r="YL1368" s="120"/>
      <c r="YM1368" s="120"/>
      <c r="YN1368" s="120"/>
      <c r="YO1368" s="120"/>
      <c r="YP1368" s="120"/>
      <c r="YQ1368" s="120"/>
      <c r="YR1368" s="120"/>
      <c r="YS1368" s="120"/>
      <c r="YT1368" s="120"/>
      <c r="YU1368" s="120"/>
      <c r="YV1368" s="120"/>
      <c r="YW1368" s="120"/>
      <c r="YX1368" s="120"/>
      <c r="YY1368" s="120"/>
      <c r="YZ1368" s="120"/>
      <c r="ZA1368" s="120"/>
      <c r="ZB1368" s="120"/>
      <c r="ZC1368" s="120"/>
      <c r="ZD1368" s="120"/>
      <c r="ZE1368" s="120"/>
      <c r="ZF1368" s="120"/>
      <c r="ZG1368" s="120"/>
      <c r="ZH1368" s="120"/>
      <c r="ZI1368" s="120"/>
      <c r="ZJ1368" s="120"/>
      <c r="ZK1368" s="120"/>
      <c r="ZL1368" s="120"/>
      <c r="ZM1368" s="120"/>
      <c r="ZN1368" s="120"/>
      <c r="ZO1368" s="120"/>
      <c r="ZP1368" s="120"/>
      <c r="ZQ1368" s="120"/>
      <c r="ZR1368" s="120"/>
      <c r="ZS1368" s="120"/>
      <c r="ZT1368" s="120"/>
      <c r="ZU1368" s="120"/>
      <c r="ZV1368" s="120"/>
      <c r="ZW1368" s="120"/>
      <c r="ZX1368" s="120"/>
      <c r="ZY1368" s="120"/>
      <c r="ZZ1368" s="120"/>
      <c r="AAA1368" s="120"/>
      <c r="AAB1368" s="120"/>
      <c r="AAC1368" s="120"/>
      <c r="AAD1368" s="120"/>
      <c r="AAE1368" s="120"/>
      <c r="AAF1368" s="120"/>
      <c r="AAG1368" s="120"/>
      <c r="AAH1368" s="120"/>
      <c r="AAI1368" s="120"/>
      <c r="AAJ1368" s="120"/>
      <c r="AAK1368" s="120"/>
      <c r="AAL1368" s="120"/>
      <c r="AAM1368" s="120"/>
      <c r="AAN1368" s="120"/>
      <c r="AAO1368" s="120"/>
      <c r="AAP1368" s="120"/>
      <c r="AAQ1368" s="120"/>
      <c r="AAR1368" s="120"/>
      <c r="AAS1368" s="120"/>
      <c r="AAT1368" s="120"/>
      <c r="AAU1368" s="120"/>
      <c r="AAV1368" s="120"/>
      <c r="AAW1368" s="120"/>
      <c r="AAX1368" s="120"/>
      <c r="AAY1368" s="120"/>
      <c r="AAZ1368" s="120"/>
      <c r="ABA1368" s="120"/>
      <c r="ABB1368" s="120"/>
      <c r="ABC1368" s="120"/>
      <c r="ABD1368" s="120"/>
      <c r="ABE1368" s="120"/>
      <c r="ABF1368" s="120"/>
      <c r="ABG1368" s="120"/>
      <c r="ABH1368" s="120"/>
      <c r="ABI1368" s="120"/>
      <c r="ABJ1368" s="120"/>
      <c r="ABK1368" s="120"/>
      <c r="ABL1368" s="120"/>
      <c r="ABM1368" s="120"/>
      <c r="ABN1368" s="120"/>
      <c r="ABO1368" s="120"/>
      <c r="ABP1368" s="120"/>
      <c r="ABQ1368" s="120"/>
      <c r="ABR1368" s="120"/>
      <c r="ABS1368" s="120"/>
      <c r="ABT1368" s="120"/>
      <c r="ABU1368" s="120"/>
      <c r="ABV1368" s="120"/>
      <c r="ABW1368" s="120"/>
      <c r="ABX1368" s="120"/>
      <c r="ABY1368" s="120"/>
      <c r="ABZ1368" s="120"/>
      <c r="ACA1368" s="120"/>
      <c r="ACB1368" s="120"/>
      <c r="ACC1368" s="120"/>
      <c r="ACD1368" s="120"/>
      <c r="ACE1368" s="120"/>
      <c r="ACF1368" s="120"/>
      <c r="ACG1368" s="120"/>
      <c r="ACH1368" s="120"/>
      <c r="ACI1368" s="120"/>
      <c r="ACJ1368" s="120"/>
      <c r="ACK1368" s="120"/>
      <c r="ACL1368" s="120"/>
      <c r="ACM1368" s="120"/>
      <c r="ACN1368" s="120"/>
      <c r="ACO1368" s="120"/>
      <c r="ACP1368" s="120"/>
      <c r="ACQ1368" s="120"/>
      <c r="ACR1368" s="120"/>
      <c r="ACS1368" s="120"/>
      <c r="ACT1368" s="120"/>
      <c r="ACU1368" s="120"/>
      <c r="ACV1368" s="120"/>
      <c r="ACW1368" s="120"/>
      <c r="ACX1368" s="120"/>
      <c r="ACY1368" s="120"/>
      <c r="ACZ1368" s="120"/>
      <c r="ADA1368" s="120"/>
      <c r="ADB1368" s="120"/>
      <c r="ADC1368" s="120"/>
      <c r="ADD1368" s="120"/>
      <c r="ADE1368" s="120"/>
      <c r="ADF1368" s="120"/>
      <c r="ADG1368" s="120"/>
      <c r="ADH1368" s="120"/>
      <c r="ADI1368" s="120"/>
      <c r="ADJ1368" s="120"/>
      <c r="ADK1368" s="120"/>
      <c r="ADL1368" s="120"/>
      <c r="ADM1368" s="120"/>
      <c r="ADN1368" s="120"/>
      <c r="ADO1368" s="120"/>
      <c r="ADP1368" s="120"/>
      <c r="ADQ1368" s="120"/>
      <c r="ADR1368" s="120"/>
      <c r="ADS1368" s="120"/>
      <c r="ADT1368" s="120"/>
      <c r="ADU1368" s="120"/>
      <c r="ADV1368" s="120"/>
      <c r="ADW1368" s="120"/>
      <c r="ADX1368" s="120"/>
      <c r="ADY1368" s="120"/>
      <c r="ADZ1368" s="120"/>
      <c r="AEA1368" s="120"/>
      <c r="AEB1368" s="120"/>
      <c r="AEC1368" s="120"/>
      <c r="AED1368" s="120"/>
      <c r="AEE1368" s="120"/>
      <c r="AEF1368" s="120"/>
      <c r="AEG1368" s="120"/>
      <c r="AEH1368" s="120"/>
      <c r="AEI1368" s="120"/>
      <c r="AEJ1368" s="120"/>
      <c r="AEK1368" s="120"/>
      <c r="AEL1368" s="120"/>
      <c r="AEM1368" s="120"/>
      <c r="AEN1368" s="120"/>
      <c r="AEO1368" s="120"/>
      <c r="AEP1368" s="120"/>
      <c r="AEQ1368" s="120"/>
      <c r="AER1368" s="120"/>
      <c r="AES1368" s="120"/>
      <c r="AET1368" s="120"/>
      <c r="AEU1368" s="120"/>
      <c r="AEV1368" s="120"/>
      <c r="AEW1368" s="120"/>
      <c r="AEX1368" s="120"/>
      <c r="AEY1368" s="120"/>
      <c r="AEZ1368" s="120"/>
      <c r="AFA1368" s="120"/>
      <c r="AFB1368" s="120"/>
      <c r="AFC1368" s="120"/>
      <c r="AFD1368" s="120"/>
      <c r="AFE1368" s="120"/>
      <c r="AFF1368" s="120"/>
      <c r="AFG1368" s="120"/>
      <c r="AFH1368" s="120"/>
      <c r="AFI1368" s="120"/>
      <c r="AFJ1368" s="120"/>
      <c r="AFK1368" s="120"/>
      <c r="AFL1368" s="120"/>
      <c r="AFM1368" s="120"/>
      <c r="AFN1368" s="120"/>
      <c r="AFO1368" s="120"/>
      <c r="AFP1368" s="120"/>
      <c r="AFQ1368" s="120"/>
      <c r="AFR1368" s="120"/>
      <c r="AFS1368" s="120"/>
      <c r="AFT1368" s="120"/>
      <c r="AFU1368" s="120"/>
      <c r="AFV1368" s="120"/>
      <c r="AFW1368" s="120"/>
      <c r="AFX1368" s="120"/>
      <c r="AFY1368" s="120"/>
      <c r="AFZ1368" s="120"/>
      <c r="AGA1368" s="120"/>
      <c r="AGB1368" s="120"/>
      <c r="AGC1368" s="120"/>
      <c r="AGD1368" s="120"/>
      <c r="AGE1368" s="120"/>
      <c r="AGF1368" s="120"/>
      <c r="AGG1368" s="120"/>
      <c r="AGH1368" s="120"/>
      <c r="AGI1368" s="120"/>
      <c r="AGJ1368" s="120"/>
      <c r="AGK1368" s="120"/>
      <c r="AGL1368" s="120"/>
      <c r="AGM1368" s="120"/>
      <c r="AGN1368" s="120"/>
      <c r="AGO1368" s="120"/>
      <c r="AGP1368" s="120"/>
      <c r="AGQ1368" s="120"/>
      <c r="AGR1368" s="120"/>
      <c r="AGS1368" s="120"/>
      <c r="AGT1368" s="120"/>
      <c r="AGU1368" s="120"/>
      <c r="AGV1368" s="120"/>
      <c r="AGW1368" s="120"/>
      <c r="AGX1368" s="120"/>
      <c r="AGY1368" s="120"/>
      <c r="AGZ1368" s="120"/>
      <c r="AHA1368" s="120"/>
      <c r="AHB1368" s="120"/>
      <c r="AHC1368" s="120"/>
      <c r="AHD1368" s="120"/>
      <c r="AHE1368" s="120"/>
      <c r="AHF1368" s="120"/>
      <c r="AHG1368" s="120"/>
      <c r="AHH1368" s="120"/>
      <c r="AHI1368" s="120"/>
      <c r="AHJ1368" s="120"/>
      <c r="AHK1368" s="120"/>
      <c r="AHL1368" s="120"/>
      <c r="AHM1368" s="120"/>
      <c r="AHN1368" s="120"/>
      <c r="AHO1368" s="120"/>
      <c r="AHP1368" s="120"/>
      <c r="AHQ1368" s="120"/>
      <c r="AHR1368" s="120"/>
      <c r="AHS1368" s="120"/>
      <c r="AHT1368" s="120"/>
      <c r="AHU1368" s="120"/>
      <c r="AHV1368" s="120"/>
      <c r="AHW1368" s="120"/>
      <c r="AHX1368" s="120"/>
      <c r="AHY1368" s="120"/>
      <c r="AHZ1368" s="120"/>
      <c r="AIA1368" s="120"/>
      <c r="AIB1368" s="120"/>
      <c r="AIC1368" s="120"/>
      <c r="AID1368" s="120"/>
      <c r="AIE1368" s="120"/>
      <c r="AIF1368" s="120"/>
      <c r="AIG1368" s="120"/>
      <c r="AIH1368" s="120"/>
      <c r="AII1368" s="120"/>
      <c r="AIJ1368" s="120"/>
      <c r="AIK1368" s="120"/>
      <c r="AIL1368" s="120"/>
      <c r="AIM1368" s="120"/>
      <c r="AIN1368" s="120"/>
      <c r="AIO1368" s="120"/>
      <c r="AIP1368" s="120"/>
      <c r="AIQ1368" s="120"/>
      <c r="AIR1368" s="120"/>
      <c r="AIS1368" s="120"/>
      <c r="AIT1368" s="120"/>
      <c r="AIU1368" s="120"/>
      <c r="AIV1368" s="120"/>
      <c r="AIW1368" s="120"/>
      <c r="AIX1368" s="120"/>
      <c r="AIY1368" s="120"/>
      <c r="AIZ1368" s="120"/>
      <c r="AJA1368" s="120"/>
      <c r="AJB1368" s="120"/>
      <c r="AJC1368" s="120"/>
      <c r="AJD1368" s="120"/>
      <c r="AJE1368" s="120"/>
      <c r="AJF1368" s="120"/>
      <c r="AJG1368" s="120"/>
      <c r="AJH1368" s="120"/>
      <c r="AJI1368" s="120"/>
      <c r="AJJ1368" s="120"/>
      <c r="AJK1368" s="120"/>
      <c r="AJL1368" s="120"/>
      <c r="AJM1368" s="120"/>
      <c r="AJN1368" s="120"/>
      <c r="AJO1368" s="120"/>
      <c r="AJP1368" s="120"/>
      <c r="AJQ1368" s="120"/>
      <c r="AJR1368" s="120"/>
      <c r="AJS1368" s="120"/>
      <c r="AJT1368" s="120"/>
      <c r="AJU1368" s="120"/>
      <c r="AJV1368" s="120"/>
      <c r="AJW1368" s="120"/>
      <c r="AJX1368" s="120"/>
      <c r="AJY1368" s="120"/>
      <c r="AJZ1368" s="120"/>
      <c r="AKA1368" s="120"/>
      <c r="AKB1368" s="120"/>
      <c r="AKC1368" s="120"/>
      <c r="AKD1368" s="120"/>
      <c r="AKE1368" s="120"/>
      <c r="AKF1368" s="120"/>
      <c r="AKG1368" s="120"/>
      <c r="AKH1368" s="120"/>
      <c r="AKI1368" s="120"/>
      <c r="AKJ1368" s="120"/>
      <c r="AKK1368" s="120"/>
      <c r="AKL1368" s="120"/>
      <c r="AKM1368" s="120"/>
      <c r="AKN1368" s="120"/>
      <c r="AKO1368" s="120"/>
      <c r="AKP1368" s="120"/>
      <c r="AKQ1368" s="120"/>
      <c r="AKR1368" s="120"/>
      <c r="AKS1368" s="120"/>
      <c r="AKT1368" s="120"/>
      <c r="AKU1368" s="120"/>
      <c r="AKV1368" s="120"/>
      <c r="AKW1368" s="120"/>
      <c r="AKX1368" s="120"/>
      <c r="AKY1368" s="120"/>
      <c r="AKZ1368" s="120"/>
      <c r="ALA1368" s="120"/>
      <c r="ALB1368" s="120"/>
      <c r="ALC1368" s="120"/>
      <c r="ALD1368" s="120"/>
      <c r="ALE1368" s="120"/>
      <c r="ALF1368" s="120"/>
      <c r="ALG1368" s="120"/>
      <c r="ALH1368" s="120"/>
      <c r="ALI1368" s="120"/>
      <c r="ALJ1368" s="120"/>
      <c r="ALK1368" s="120"/>
      <c r="ALL1368" s="120"/>
      <c r="ALM1368" s="120"/>
      <c r="ALN1368" s="120"/>
      <c r="ALO1368" s="120"/>
      <c r="ALP1368" s="120"/>
      <c r="ALQ1368" s="120"/>
      <c r="ALR1368" s="120"/>
      <c r="ALS1368" s="120"/>
      <c r="ALT1368" s="120"/>
      <c r="ALU1368" s="120"/>
      <c r="ALV1368" s="120"/>
      <c r="ALW1368" s="120"/>
      <c r="ALX1368" s="120"/>
      <c r="ALY1368" s="120"/>
      <c r="ALZ1368" s="120"/>
      <c r="AMA1368" s="120"/>
      <c r="AMB1368" s="120"/>
      <c r="AMC1368" s="120"/>
      <c r="AMD1368" s="120"/>
      <c r="AME1368" s="120"/>
      <c r="AMF1368" s="120"/>
      <c r="AMG1368" s="120"/>
      <c r="AMH1368" s="120"/>
      <c r="AMI1368" s="120"/>
      <c r="AMJ1368" s="120"/>
      <c r="AMK1368" s="120"/>
      <c r="AML1368" s="120"/>
      <c r="AMM1368" s="120"/>
      <c r="AMN1368" s="120"/>
      <c r="AMO1368" s="120"/>
      <c r="AMP1368" s="120"/>
      <c r="AMQ1368" s="120"/>
      <c r="AMR1368" s="120"/>
      <c r="AMS1368" s="120"/>
      <c r="AMT1368" s="120"/>
      <c r="AMU1368" s="120"/>
      <c r="AMV1368" s="120"/>
      <c r="AMW1368" s="120"/>
      <c r="AMX1368" s="120"/>
      <c r="AMY1368" s="120"/>
      <c r="AMZ1368" s="120"/>
      <c r="ANA1368" s="120"/>
      <c r="ANB1368" s="120"/>
      <c r="ANC1368" s="120"/>
      <c r="AND1368" s="120"/>
      <c r="ANE1368" s="120"/>
      <c r="ANF1368" s="120"/>
      <c r="ANG1368" s="120"/>
      <c r="ANH1368" s="120"/>
      <c r="ANI1368" s="120"/>
      <c r="ANJ1368" s="120"/>
      <c r="ANK1368" s="120"/>
      <c r="ANL1368" s="120"/>
      <c r="ANM1368" s="120"/>
      <c r="ANN1368" s="120"/>
      <c r="ANO1368" s="120"/>
      <c r="ANP1368" s="120"/>
      <c r="ANQ1368" s="120"/>
      <c r="ANR1368" s="120"/>
      <c r="ANS1368" s="120"/>
      <c r="ANT1368" s="120"/>
      <c r="ANU1368" s="120"/>
      <c r="ANV1368" s="120"/>
      <c r="ANW1368" s="120"/>
      <c r="ANX1368" s="120"/>
      <c r="ANY1368" s="120"/>
      <c r="ANZ1368" s="120"/>
      <c r="AOA1368" s="120"/>
      <c r="AOB1368" s="120"/>
      <c r="AOC1368" s="120"/>
      <c r="AOD1368" s="120"/>
      <c r="AOE1368" s="120"/>
      <c r="AOF1368" s="120"/>
      <c r="AOG1368" s="120"/>
      <c r="AOH1368" s="120"/>
      <c r="AOI1368" s="120"/>
      <c r="AOJ1368" s="120"/>
      <c r="AOK1368" s="120"/>
      <c r="AOL1368" s="120"/>
      <c r="AOM1368" s="120"/>
      <c r="AON1368" s="120"/>
      <c r="AOO1368" s="120"/>
      <c r="AOP1368" s="120"/>
      <c r="AOQ1368" s="120"/>
      <c r="AOR1368" s="120"/>
      <c r="AOS1368" s="120"/>
      <c r="AOT1368" s="120"/>
      <c r="AOU1368" s="120"/>
      <c r="AOV1368" s="120"/>
      <c r="AOW1368" s="120"/>
      <c r="AOX1368" s="120"/>
      <c r="AOY1368" s="120"/>
      <c r="AOZ1368" s="120"/>
      <c r="APA1368" s="120"/>
      <c r="APB1368" s="120"/>
      <c r="APC1368" s="120"/>
      <c r="APD1368" s="120"/>
      <c r="APE1368" s="120"/>
      <c r="APF1368" s="120"/>
      <c r="APG1368" s="120"/>
      <c r="APH1368" s="120"/>
      <c r="API1368" s="120"/>
      <c r="APJ1368" s="120"/>
      <c r="APK1368" s="120"/>
      <c r="APL1368" s="120"/>
      <c r="APM1368" s="120"/>
      <c r="APN1368" s="120"/>
      <c r="APO1368" s="120"/>
      <c r="APP1368" s="120"/>
      <c r="APQ1368" s="120"/>
      <c r="APR1368" s="120"/>
      <c r="APS1368" s="120"/>
      <c r="APT1368" s="120"/>
      <c r="APU1368" s="120"/>
      <c r="APV1368" s="120"/>
      <c r="APW1368" s="120"/>
      <c r="APX1368" s="120"/>
      <c r="APY1368" s="120"/>
      <c r="APZ1368" s="120"/>
      <c r="AQA1368" s="120"/>
      <c r="AQB1368" s="120"/>
      <c r="AQC1368" s="120"/>
      <c r="AQD1368" s="120"/>
      <c r="AQE1368" s="120"/>
      <c r="AQF1368" s="120"/>
      <c r="AQG1368" s="120"/>
      <c r="AQH1368" s="120"/>
      <c r="AQI1368" s="120"/>
      <c r="AQJ1368" s="120"/>
      <c r="AQK1368" s="120"/>
      <c r="AQL1368" s="120"/>
      <c r="AQM1368" s="120"/>
      <c r="AQN1368" s="120"/>
      <c r="AQO1368" s="120"/>
      <c r="AQP1368" s="120"/>
      <c r="AQQ1368" s="120"/>
      <c r="AQR1368" s="120"/>
      <c r="AQS1368" s="120"/>
      <c r="AQT1368" s="120"/>
      <c r="AQU1368" s="120"/>
      <c r="AQV1368" s="120"/>
      <c r="AQW1368" s="120"/>
      <c r="AQX1368" s="120"/>
      <c r="AQY1368" s="120"/>
      <c r="AQZ1368" s="120"/>
      <c r="ARA1368" s="120"/>
      <c r="ARB1368" s="120"/>
      <c r="ARC1368" s="120"/>
      <c r="ARD1368" s="120"/>
      <c r="ARE1368" s="120"/>
      <c r="ARF1368" s="120"/>
      <c r="ARG1368" s="120"/>
      <c r="ARH1368" s="120"/>
      <c r="ARI1368" s="120"/>
      <c r="ARJ1368" s="120"/>
      <c r="ARK1368" s="120"/>
      <c r="ARL1368" s="120"/>
      <c r="ARM1368" s="120"/>
      <c r="ARN1368" s="120"/>
      <c r="ARO1368" s="120"/>
      <c r="ARP1368" s="120"/>
      <c r="ARQ1368" s="120"/>
      <c r="ARR1368" s="120"/>
      <c r="ARS1368" s="120"/>
      <c r="ART1368" s="120"/>
      <c r="ARU1368" s="120"/>
      <c r="ARV1368" s="120"/>
      <c r="ARW1368" s="120"/>
      <c r="ARX1368" s="120"/>
      <c r="ARY1368" s="120"/>
      <c r="ARZ1368" s="120"/>
      <c r="ASA1368" s="120"/>
      <c r="ASB1368" s="120"/>
      <c r="ASC1368" s="120"/>
      <c r="ASD1368" s="120"/>
      <c r="ASE1368" s="120"/>
      <c r="ASF1368" s="120"/>
      <c r="ASG1368" s="120"/>
      <c r="ASH1368" s="120"/>
      <c r="ASI1368" s="120"/>
      <c r="ASJ1368" s="120"/>
      <c r="ASK1368" s="120"/>
      <c r="ASL1368" s="120"/>
      <c r="ASM1368" s="120"/>
      <c r="ASN1368" s="120"/>
      <c r="ASO1368" s="120"/>
      <c r="ASP1368" s="120"/>
      <c r="ASQ1368" s="120"/>
      <c r="ASR1368" s="120"/>
      <c r="ASS1368" s="120"/>
      <c r="AST1368" s="120"/>
      <c r="ASU1368" s="120"/>
      <c r="ASV1368" s="120"/>
      <c r="ASW1368" s="120"/>
      <c r="ASX1368" s="120"/>
      <c r="ASY1368" s="120"/>
      <c r="ASZ1368" s="120"/>
      <c r="ATA1368" s="120"/>
      <c r="ATB1368" s="120"/>
      <c r="ATC1368" s="120"/>
      <c r="ATD1368" s="120"/>
      <c r="ATE1368" s="120"/>
      <c r="ATF1368" s="120"/>
      <c r="ATG1368" s="120"/>
      <c r="ATH1368" s="120"/>
      <c r="ATI1368" s="120"/>
      <c r="ATJ1368" s="120"/>
      <c r="ATK1368" s="120"/>
      <c r="ATL1368" s="120"/>
      <c r="ATM1368" s="120"/>
      <c r="ATN1368" s="120"/>
      <c r="ATO1368" s="120"/>
    </row>
    <row r="1369" spans="1:1211" s="20" customFormat="1" ht="14.1" customHeight="1">
      <c r="A1369" s="900"/>
      <c r="B1369" s="723"/>
      <c r="C1369" s="184" t="s">
        <v>6136</v>
      </c>
      <c r="D1369" s="631"/>
      <c r="E1369" s="898"/>
      <c r="F1369" s="899"/>
      <c r="G1369" s="899"/>
      <c r="H1369" s="899"/>
      <c r="I1369" s="899"/>
      <c r="J1369" s="899"/>
      <c r="K1369" s="112"/>
      <c r="L1369" s="363"/>
      <c r="M1369" s="112"/>
      <c r="N1369" s="362"/>
      <c r="O1369" s="573"/>
      <c r="P1369" s="120"/>
      <c r="Q1369" s="120"/>
      <c r="R1369" s="120"/>
      <c r="S1369" s="120"/>
      <c r="T1369" s="120"/>
      <c r="U1369" s="120"/>
      <c r="V1369" s="120"/>
      <c r="W1369" s="120"/>
      <c r="X1369" s="120"/>
      <c r="Y1369" s="120"/>
      <c r="Z1369" s="120"/>
      <c r="AA1369" s="120"/>
      <c r="AB1369" s="120"/>
      <c r="AC1369" s="120"/>
      <c r="AD1369" s="120"/>
      <c r="AE1369" s="120"/>
      <c r="AF1369" s="120"/>
      <c r="AG1369" s="120"/>
      <c r="AH1369" s="120"/>
      <c r="AI1369" s="120"/>
      <c r="AJ1369" s="120"/>
      <c r="AK1369" s="120"/>
      <c r="AL1369" s="120"/>
      <c r="AM1369" s="120"/>
      <c r="AN1369" s="120"/>
      <c r="AO1369" s="120"/>
      <c r="AP1369" s="120"/>
      <c r="AQ1369" s="120"/>
      <c r="AR1369" s="120"/>
      <c r="AS1369" s="120"/>
      <c r="AT1369" s="120"/>
      <c r="AU1369" s="120"/>
      <c r="AV1369" s="120"/>
      <c r="AW1369" s="120"/>
      <c r="AX1369" s="120"/>
      <c r="AY1369" s="120"/>
      <c r="AZ1369" s="120"/>
      <c r="BA1369" s="120"/>
      <c r="BB1369" s="120"/>
      <c r="BC1369" s="120"/>
      <c r="BD1369" s="120"/>
      <c r="BE1369" s="120"/>
      <c r="BF1369" s="120"/>
      <c r="BG1369" s="120"/>
      <c r="BH1369" s="120"/>
      <c r="BI1369" s="120"/>
      <c r="BJ1369" s="120"/>
      <c r="BK1369" s="120"/>
      <c r="BL1369" s="120"/>
      <c r="BM1369" s="120"/>
      <c r="BN1369" s="120"/>
      <c r="BO1369" s="120"/>
      <c r="BP1369" s="120"/>
      <c r="BQ1369" s="120"/>
      <c r="BR1369" s="120"/>
      <c r="BS1369" s="120"/>
      <c r="BT1369" s="120"/>
      <c r="BU1369" s="120"/>
      <c r="BV1369" s="120"/>
      <c r="BW1369" s="120"/>
      <c r="BX1369" s="120"/>
      <c r="BY1369" s="120"/>
      <c r="BZ1369" s="120"/>
      <c r="CA1369" s="120"/>
      <c r="CB1369" s="120"/>
      <c r="CC1369" s="120"/>
      <c r="CD1369" s="120"/>
      <c r="CE1369" s="120"/>
      <c r="CF1369" s="120"/>
      <c r="CG1369" s="120"/>
      <c r="CH1369" s="120"/>
      <c r="CI1369" s="120"/>
      <c r="CJ1369" s="120"/>
      <c r="CK1369" s="120"/>
      <c r="CL1369" s="120"/>
      <c r="CM1369" s="120"/>
      <c r="CN1369" s="120"/>
      <c r="CO1369" s="120"/>
      <c r="CP1369" s="120"/>
      <c r="CQ1369" s="120"/>
      <c r="CR1369" s="120"/>
      <c r="CS1369" s="120"/>
      <c r="CT1369" s="120"/>
      <c r="CU1369" s="120"/>
      <c r="CV1369" s="120"/>
      <c r="CW1369" s="120"/>
      <c r="CX1369" s="120"/>
      <c r="CY1369" s="120"/>
      <c r="CZ1369" s="120"/>
      <c r="DA1369" s="120"/>
      <c r="DB1369" s="120"/>
      <c r="DC1369" s="120"/>
      <c r="DD1369" s="120"/>
      <c r="DE1369" s="120"/>
      <c r="DF1369" s="120"/>
      <c r="DG1369" s="120"/>
      <c r="DH1369" s="120"/>
      <c r="DI1369" s="120"/>
      <c r="DJ1369" s="120"/>
      <c r="DK1369" s="120"/>
      <c r="DL1369" s="120"/>
      <c r="DM1369" s="120"/>
      <c r="DN1369" s="120"/>
      <c r="DO1369" s="120"/>
      <c r="DP1369" s="120"/>
      <c r="DQ1369" s="120"/>
      <c r="DR1369" s="120"/>
      <c r="DS1369" s="120"/>
      <c r="DT1369" s="120"/>
      <c r="DU1369" s="120"/>
      <c r="DV1369" s="120"/>
      <c r="DW1369" s="120"/>
      <c r="DX1369" s="120"/>
      <c r="DY1369" s="120"/>
      <c r="DZ1369" s="120"/>
      <c r="EA1369" s="120"/>
      <c r="EB1369" s="120"/>
      <c r="EC1369" s="120"/>
      <c r="ED1369" s="120"/>
      <c r="EE1369" s="120"/>
      <c r="EF1369" s="120"/>
      <c r="EG1369" s="120"/>
      <c r="EH1369" s="120"/>
      <c r="EI1369" s="120"/>
      <c r="EJ1369" s="120"/>
      <c r="EK1369" s="120"/>
      <c r="EL1369" s="120"/>
      <c r="EM1369" s="120"/>
      <c r="EN1369" s="120"/>
      <c r="EO1369" s="120"/>
      <c r="EP1369" s="120"/>
      <c r="EQ1369" s="120"/>
      <c r="ER1369" s="120"/>
      <c r="ES1369" s="120"/>
      <c r="ET1369" s="120"/>
      <c r="EU1369" s="120"/>
      <c r="EV1369" s="120"/>
      <c r="EW1369" s="120"/>
      <c r="EX1369" s="120"/>
      <c r="EY1369" s="120"/>
      <c r="EZ1369" s="120"/>
      <c r="FA1369" s="120"/>
      <c r="FB1369" s="120"/>
      <c r="FC1369" s="120"/>
      <c r="FD1369" s="120"/>
      <c r="FE1369" s="120"/>
      <c r="FF1369" s="120"/>
      <c r="FG1369" s="120"/>
      <c r="FH1369" s="120"/>
      <c r="FI1369" s="120"/>
      <c r="FJ1369" s="120"/>
      <c r="FK1369" s="120"/>
      <c r="FL1369" s="120"/>
      <c r="FM1369" s="120"/>
      <c r="FN1369" s="120"/>
      <c r="FO1369" s="120"/>
      <c r="FP1369" s="120"/>
      <c r="FQ1369" s="120"/>
      <c r="FR1369" s="120"/>
      <c r="FS1369" s="120"/>
      <c r="FT1369" s="120"/>
      <c r="FU1369" s="120"/>
      <c r="FV1369" s="120"/>
      <c r="FW1369" s="120"/>
      <c r="FX1369" s="120"/>
      <c r="FY1369" s="120"/>
      <c r="FZ1369" s="120"/>
      <c r="GA1369" s="120"/>
      <c r="GB1369" s="120"/>
      <c r="GC1369" s="120"/>
      <c r="GD1369" s="120"/>
      <c r="GE1369" s="120"/>
      <c r="GF1369" s="120"/>
      <c r="GG1369" s="120"/>
      <c r="GH1369" s="120"/>
      <c r="GI1369" s="120"/>
      <c r="GJ1369" s="120"/>
      <c r="GK1369" s="120"/>
      <c r="GL1369" s="120"/>
      <c r="GM1369" s="120"/>
      <c r="GN1369" s="120"/>
      <c r="GO1369" s="120"/>
      <c r="GP1369" s="120"/>
      <c r="GQ1369" s="120"/>
      <c r="GR1369" s="120"/>
      <c r="GS1369" s="120"/>
      <c r="GT1369" s="120"/>
      <c r="GU1369" s="120"/>
      <c r="GV1369" s="120"/>
      <c r="GW1369" s="120"/>
      <c r="GX1369" s="120"/>
      <c r="GY1369" s="120"/>
      <c r="GZ1369" s="120"/>
      <c r="HA1369" s="120"/>
      <c r="HB1369" s="120"/>
      <c r="HC1369" s="120"/>
      <c r="HD1369" s="120"/>
      <c r="HE1369" s="120"/>
      <c r="HF1369" s="120"/>
      <c r="HG1369" s="120"/>
      <c r="HH1369" s="120"/>
      <c r="HI1369" s="120"/>
      <c r="HJ1369" s="120"/>
      <c r="HK1369" s="120"/>
      <c r="HL1369" s="120"/>
      <c r="HM1369" s="120"/>
      <c r="HN1369" s="120"/>
      <c r="HO1369" s="120"/>
      <c r="HP1369" s="120"/>
      <c r="HQ1369" s="120"/>
      <c r="HR1369" s="120"/>
      <c r="HS1369" s="120"/>
      <c r="HT1369" s="120"/>
      <c r="HU1369" s="120"/>
      <c r="HV1369" s="120"/>
      <c r="HW1369" s="120"/>
      <c r="HX1369" s="120"/>
      <c r="HY1369" s="120"/>
      <c r="HZ1369" s="120"/>
      <c r="IA1369" s="120"/>
      <c r="IB1369" s="120"/>
      <c r="IC1369" s="120"/>
      <c r="ID1369" s="120"/>
      <c r="IE1369" s="120"/>
      <c r="IF1369" s="120"/>
      <c r="IG1369" s="120"/>
      <c r="IH1369" s="120"/>
      <c r="II1369" s="120"/>
      <c r="IJ1369" s="120"/>
      <c r="IK1369" s="120"/>
      <c r="IL1369" s="120"/>
      <c r="IM1369" s="120"/>
      <c r="IN1369" s="120"/>
      <c r="IO1369" s="120"/>
      <c r="IP1369" s="120"/>
      <c r="IQ1369" s="120"/>
      <c r="IR1369" s="120"/>
      <c r="IS1369" s="120"/>
      <c r="IT1369" s="120"/>
      <c r="IU1369" s="120"/>
      <c r="IV1369" s="120"/>
      <c r="IW1369" s="120"/>
      <c r="IX1369" s="120"/>
      <c r="IY1369" s="120"/>
      <c r="IZ1369" s="120"/>
      <c r="JA1369" s="120"/>
      <c r="JB1369" s="120"/>
      <c r="JC1369" s="120"/>
      <c r="JD1369" s="120"/>
      <c r="JE1369" s="120"/>
      <c r="JF1369" s="120"/>
      <c r="JG1369" s="120"/>
      <c r="JH1369" s="120"/>
      <c r="JI1369" s="120"/>
      <c r="JJ1369" s="120"/>
      <c r="JK1369" s="120"/>
      <c r="JL1369" s="120"/>
      <c r="JM1369" s="120"/>
      <c r="JN1369" s="120"/>
      <c r="JO1369" s="120"/>
      <c r="JP1369" s="120"/>
      <c r="JQ1369" s="120"/>
      <c r="JR1369" s="120"/>
      <c r="JS1369" s="120"/>
      <c r="JT1369" s="120"/>
      <c r="JU1369" s="120"/>
      <c r="JV1369" s="120"/>
      <c r="JW1369" s="120"/>
      <c r="JX1369" s="120"/>
      <c r="JY1369" s="120"/>
      <c r="JZ1369" s="120"/>
      <c r="KA1369" s="120"/>
      <c r="KB1369" s="120"/>
      <c r="KC1369" s="120"/>
      <c r="KD1369" s="120"/>
      <c r="KE1369" s="120"/>
      <c r="KF1369" s="120"/>
      <c r="KG1369" s="120"/>
      <c r="KH1369" s="120"/>
      <c r="KI1369" s="120"/>
      <c r="KJ1369" s="120"/>
      <c r="KK1369" s="120"/>
      <c r="KL1369" s="120"/>
      <c r="KM1369" s="120"/>
      <c r="KN1369" s="120"/>
      <c r="KO1369" s="120"/>
      <c r="KP1369" s="120"/>
      <c r="KQ1369" s="120"/>
      <c r="KR1369" s="120"/>
      <c r="KS1369" s="120"/>
      <c r="KT1369" s="120"/>
      <c r="KU1369" s="120"/>
      <c r="KV1369" s="120"/>
      <c r="KW1369" s="120"/>
      <c r="KX1369" s="120"/>
      <c r="KY1369" s="120"/>
      <c r="KZ1369" s="120"/>
      <c r="LA1369" s="120"/>
      <c r="LB1369" s="120"/>
      <c r="LC1369" s="120"/>
      <c r="LD1369" s="120"/>
      <c r="LE1369" s="120"/>
      <c r="LF1369" s="120"/>
      <c r="LG1369" s="120"/>
      <c r="LH1369" s="120"/>
      <c r="LI1369" s="120"/>
      <c r="LJ1369" s="120"/>
      <c r="LK1369" s="120"/>
      <c r="LL1369" s="120"/>
      <c r="LM1369" s="120"/>
      <c r="LN1369" s="120"/>
      <c r="LO1369" s="120"/>
      <c r="LP1369" s="120"/>
      <c r="LQ1369" s="120"/>
      <c r="LR1369" s="120"/>
      <c r="LS1369" s="120"/>
      <c r="LT1369" s="120"/>
      <c r="LU1369" s="120"/>
      <c r="LV1369" s="120"/>
      <c r="LW1369" s="120"/>
      <c r="LX1369" s="120"/>
      <c r="LY1369" s="120"/>
      <c r="LZ1369" s="120"/>
      <c r="MA1369" s="120"/>
      <c r="MB1369" s="120"/>
      <c r="MC1369" s="120"/>
      <c r="MD1369" s="120"/>
      <c r="ME1369" s="120"/>
      <c r="MF1369" s="120"/>
      <c r="MG1369" s="120"/>
      <c r="MH1369" s="120"/>
      <c r="MI1369" s="120"/>
      <c r="MJ1369" s="120"/>
      <c r="MK1369" s="120"/>
      <c r="ML1369" s="120"/>
      <c r="MM1369" s="120"/>
      <c r="MN1369" s="120"/>
      <c r="MO1369" s="120"/>
      <c r="MP1369" s="120"/>
      <c r="MQ1369" s="120"/>
      <c r="MR1369" s="120"/>
      <c r="MS1369" s="120"/>
      <c r="MT1369" s="120"/>
      <c r="MU1369" s="120"/>
      <c r="MV1369" s="120"/>
      <c r="MW1369" s="120"/>
      <c r="MX1369" s="120"/>
      <c r="MY1369" s="120"/>
      <c r="MZ1369" s="120"/>
      <c r="NA1369" s="120"/>
      <c r="NB1369" s="120"/>
      <c r="NC1369" s="120"/>
      <c r="ND1369" s="120"/>
      <c r="NE1369" s="120"/>
      <c r="NF1369" s="120"/>
      <c r="NG1369" s="120"/>
      <c r="NH1369" s="120"/>
      <c r="NI1369" s="120"/>
      <c r="NJ1369" s="120"/>
      <c r="NK1369" s="120"/>
      <c r="NL1369" s="120"/>
      <c r="NM1369" s="120"/>
      <c r="NN1369" s="120"/>
      <c r="NO1369" s="120"/>
      <c r="NP1369" s="120"/>
      <c r="NQ1369" s="120"/>
      <c r="NR1369" s="120"/>
      <c r="NS1369" s="120"/>
      <c r="NT1369" s="120"/>
      <c r="NU1369" s="120"/>
      <c r="NV1369" s="120"/>
      <c r="NW1369" s="120"/>
      <c r="NX1369" s="120"/>
      <c r="NY1369" s="120"/>
      <c r="NZ1369" s="120"/>
      <c r="OA1369" s="120"/>
      <c r="OB1369" s="120"/>
      <c r="OC1369" s="120"/>
      <c r="OD1369" s="120"/>
      <c r="OE1369" s="120"/>
      <c r="OF1369" s="120"/>
      <c r="OG1369" s="120"/>
      <c r="OH1369" s="120"/>
      <c r="OI1369" s="120"/>
      <c r="OJ1369" s="120"/>
      <c r="OK1369" s="120"/>
      <c r="OL1369" s="120"/>
      <c r="OM1369" s="120"/>
      <c r="ON1369" s="120"/>
      <c r="OO1369" s="120"/>
      <c r="OP1369" s="120"/>
      <c r="OQ1369" s="120"/>
      <c r="OR1369" s="120"/>
      <c r="OS1369" s="120"/>
      <c r="OT1369" s="120"/>
      <c r="OU1369" s="120"/>
      <c r="OV1369" s="120"/>
      <c r="OW1369" s="120"/>
      <c r="OX1369" s="120"/>
      <c r="OY1369" s="120"/>
      <c r="OZ1369" s="120"/>
      <c r="PA1369" s="120"/>
      <c r="PB1369" s="120"/>
      <c r="PC1369" s="120"/>
      <c r="PD1369" s="120"/>
      <c r="PE1369" s="120"/>
      <c r="PF1369" s="120"/>
      <c r="PG1369" s="120"/>
      <c r="PH1369" s="120"/>
      <c r="PI1369" s="120"/>
      <c r="PJ1369" s="120"/>
      <c r="PK1369" s="120"/>
      <c r="PL1369" s="120"/>
      <c r="PM1369" s="120"/>
      <c r="PN1369" s="120"/>
      <c r="PO1369" s="120"/>
      <c r="PP1369" s="120"/>
      <c r="PQ1369" s="120"/>
      <c r="PR1369" s="120"/>
      <c r="PS1369" s="120"/>
      <c r="PT1369" s="120"/>
      <c r="PU1369" s="120"/>
      <c r="PV1369" s="120"/>
      <c r="PW1369" s="120"/>
      <c r="PX1369" s="120"/>
      <c r="PY1369" s="120"/>
      <c r="PZ1369" s="120"/>
      <c r="QA1369" s="120"/>
      <c r="QB1369" s="120"/>
      <c r="QC1369" s="120"/>
      <c r="QD1369" s="120"/>
      <c r="QE1369" s="120"/>
      <c r="QF1369" s="120"/>
      <c r="QG1369" s="120"/>
      <c r="QH1369" s="120"/>
      <c r="QI1369" s="120"/>
      <c r="QJ1369" s="120"/>
      <c r="QK1369" s="120"/>
      <c r="QL1369" s="120"/>
      <c r="QM1369" s="120"/>
      <c r="QN1369" s="120"/>
      <c r="QO1369" s="120"/>
      <c r="QP1369" s="120"/>
      <c r="QQ1369" s="120"/>
      <c r="QR1369" s="120"/>
      <c r="QS1369" s="120"/>
      <c r="QT1369" s="120"/>
      <c r="QU1369" s="120"/>
      <c r="QV1369" s="120"/>
      <c r="QW1369" s="120"/>
      <c r="QX1369" s="120"/>
      <c r="QY1369" s="120"/>
      <c r="QZ1369" s="120"/>
      <c r="RA1369" s="120"/>
      <c r="RB1369" s="120"/>
      <c r="RC1369" s="120"/>
      <c r="RD1369" s="120"/>
      <c r="RE1369" s="120"/>
      <c r="RF1369" s="120"/>
      <c r="RG1369" s="120"/>
      <c r="RH1369" s="120"/>
      <c r="RI1369" s="120"/>
      <c r="RJ1369" s="120"/>
      <c r="RK1369" s="120"/>
      <c r="RL1369" s="120"/>
      <c r="RM1369" s="120"/>
      <c r="RN1369" s="120"/>
      <c r="RO1369" s="120"/>
      <c r="RP1369" s="120"/>
      <c r="RQ1369" s="120"/>
      <c r="RR1369" s="120"/>
      <c r="RS1369" s="120"/>
      <c r="RT1369" s="120"/>
      <c r="RU1369" s="120"/>
      <c r="RV1369" s="120"/>
      <c r="RW1369" s="120"/>
      <c r="RX1369" s="120"/>
      <c r="RY1369" s="120"/>
      <c r="RZ1369" s="120"/>
      <c r="SA1369" s="120"/>
      <c r="SB1369" s="120"/>
      <c r="SC1369" s="120"/>
      <c r="SD1369" s="120"/>
      <c r="SE1369" s="120"/>
      <c r="SF1369" s="120"/>
      <c r="SG1369" s="120"/>
      <c r="SH1369" s="120"/>
      <c r="SI1369" s="120"/>
      <c r="SJ1369" s="120"/>
      <c r="SK1369" s="120"/>
      <c r="SL1369" s="120"/>
      <c r="SM1369" s="120"/>
      <c r="SN1369" s="120"/>
      <c r="SO1369" s="120"/>
      <c r="SP1369" s="120"/>
      <c r="SQ1369" s="120"/>
      <c r="SR1369" s="120"/>
      <c r="SS1369" s="120"/>
      <c r="ST1369" s="120"/>
      <c r="SU1369" s="120"/>
      <c r="SV1369" s="120"/>
      <c r="SW1369" s="120"/>
      <c r="SX1369" s="120"/>
      <c r="SY1369" s="120"/>
      <c r="SZ1369" s="120"/>
      <c r="TA1369" s="120"/>
      <c r="TB1369" s="120"/>
      <c r="TC1369" s="120"/>
      <c r="TD1369" s="120"/>
      <c r="TE1369" s="120"/>
      <c r="TF1369" s="120"/>
      <c r="TG1369" s="120"/>
      <c r="TH1369" s="120"/>
      <c r="TI1369" s="120"/>
      <c r="TJ1369" s="120"/>
      <c r="TK1369" s="120"/>
      <c r="TL1369" s="120"/>
      <c r="TM1369" s="120"/>
      <c r="TN1369" s="120"/>
      <c r="TO1369" s="120"/>
      <c r="TP1369" s="120"/>
      <c r="TQ1369" s="120"/>
      <c r="TR1369" s="120"/>
      <c r="TS1369" s="120"/>
      <c r="TT1369" s="120"/>
      <c r="TU1369" s="120"/>
      <c r="TV1369" s="120"/>
      <c r="TW1369" s="120"/>
      <c r="TX1369" s="120"/>
      <c r="TY1369" s="120"/>
      <c r="TZ1369" s="120"/>
      <c r="UA1369" s="120"/>
      <c r="UB1369" s="120"/>
      <c r="UC1369" s="120"/>
      <c r="UD1369" s="120"/>
      <c r="UE1369" s="120"/>
      <c r="UF1369" s="120"/>
      <c r="UG1369" s="120"/>
      <c r="UH1369" s="120"/>
      <c r="UI1369" s="120"/>
      <c r="UJ1369" s="120"/>
      <c r="UK1369" s="120"/>
      <c r="UL1369" s="120"/>
      <c r="UM1369" s="120"/>
      <c r="UN1369" s="120"/>
      <c r="UO1369" s="120"/>
      <c r="UP1369" s="120"/>
      <c r="UQ1369" s="120"/>
      <c r="UR1369" s="120"/>
      <c r="US1369" s="120"/>
      <c r="UT1369" s="120"/>
      <c r="UU1369" s="120"/>
      <c r="UV1369" s="120"/>
      <c r="UW1369" s="120"/>
      <c r="UX1369" s="120"/>
      <c r="UY1369" s="120"/>
      <c r="UZ1369" s="120"/>
      <c r="VA1369" s="120"/>
      <c r="VB1369" s="120"/>
      <c r="VC1369" s="120"/>
      <c r="VD1369" s="120"/>
      <c r="VE1369" s="120"/>
      <c r="VF1369" s="120"/>
      <c r="VG1369" s="120"/>
      <c r="VH1369" s="120"/>
      <c r="VI1369" s="120"/>
      <c r="VJ1369" s="120"/>
      <c r="VK1369" s="120"/>
      <c r="VL1369" s="120"/>
      <c r="VM1369" s="120"/>
      <c r="VN1369" s="120"/>
      <c r="VO1369" s="120"/>
      <c r="VP1369" s="120"/>
      <c r="VQ1369" s="120"/>
      <c r="VR1369" s="120"/>
      <c r="VS1369" s="120"/>
      <c r="VT1369" s="120"/>
      <c r="VU1369" s="120"/>
      <c r="VV1369" s="120"/>
      <c r="VW1369" s="120"/>
      <c r="VX1369" s="120"/>
      <c r="VY1369" s="120"/>
      <c r="VZ1369" s="120"/>
      <c r="WA1369" s="120"/>
      <c r="WB1369" s="120"/>
      <c r="WC1369" s="120"/>
      <c r="WD1369" s="120"/>
      <c r="WE1369" s="120"/>
      <c r="WF1369" s="120"/>
      <c r="WG1369" s="120"/>
      <c r="WH1369" s="120"/>
      <c r="WI1369" s="120"/>
      <c r="WJ1369" s="120"/>
      <c r="WK1369" s="120"/>
      <c r="WL1369" s="120"/>
      <c r="WM1369" s="120"/>
      <c r="WN1369" s="120"/>
      <c r="WO1369" s="120"/>
      <c r="WP1369" s="120"/>
      <c r="WQ1369" s="120"/>
      <c r="WR1369" s="120"/>
      <c r="WS1369" s="120"/>
      <c r="WT1369" s="120"/>
      <c r="WU1369" s="120"/>
      <c r="WV1369" s="120"/>
      <c r="WW1369" s="120"/>
      <c r="WX1369" s="120"/>
      <c r="WY1369" s="120"/>
      <c r="WZ1369" s="120"/>
      <c r="XA1369" s="120"/>
      <c r="XB1369" s="120"/>
      <c r="XC1369" s="120"/>
      <c r="XD1369" s="120"/>
      <c r="XE1369" s="120"/>
      <c r="XF1369" s="120"/>
      <c r="XG1369" s="120"/>
      <c r="XH1369" s="120"/>
      <c r="XI1369" s="120"/>
      <c r="XJ1369" s="120"/>
      <c r="XK1369" s="120"/>
      <c r="XL1369" s="120"/>
      <c r="XM1369" s="120"/>
      <c r="XN1369" s="120"/>
      <c r="XO1369" s="120"/>
      <c r="XP1369" s="120"/>
      <c r="XQ1369" s="120"/>
      <c r="XR1369" s="120"/>
      <c r="XS1369" s="120"/>
      <c r="XT1369" s="120"/>
      <c r="XU1369" s="120"/>
      <c r="XV1369" s="120"/>
      <c r="XW1369" s="120"/>
      <c r="XX1369" s="120"/>
      <c r="XY1369" s="120"/>
      <c r="XZ1369" s="120"/>
      <c r="YA1369" s="120"/>
      <c r="YB1369" s="120"/>
      <c r="YC1369" s="120"/>
      <c r="YD1369" s="120"/>
      <c r="YE1369" s="120"/>
      <c r="YF1369" s="120"/>
      <c r="YG1369" s="120"/>
      <c r="YH1369" s="120"/>
      <c r="YI1369" s="120"/>
      <c r="YJ1369" s="120"/>
      <c r="YK1369" s="120"/>
      <c r="YL1369" s="120"/>
      <c r="YM1369" s="120"/>
      <c r="YN1369" s="120"/>
      <c r="YO1369" s="120"/>
      <c r="YP1369" s="120"/>
      <c r="YQ1369" s="120"/>
      <c r="YR1369" s="120"/>
      <c r="YS1369" s="120"/>
      <c r="YT1369" s="120"/>
      <c r="YU1369" s="120"/>
      <c r="YV1369" s="120"/>
      <c r="YW1369" s="120"/>
      <c r="YX1369" s="120"/>
      <c r="YY1369" s="120"/>
      <c r="YZ1369" s="120"/>
      <c r="ZA1369" s="120"/>
      <c r="ZB1369" s="120"/>
      <c r="ZC1369" s="120"/>
      <c r="ZD1369" s="120"/>
      <c r="ZE1369" s="120"/>
      <c r="ZF1369" s="120"/>
      <c r="ZG1369" s="120"/>
      <c r="ZH1369" s="120"/>
      <c r="ZI1369" s="120"/>
      <c r="ZJ1369" s="120"/>
      <c r="ZK1369" s="120"/>
      <c r="ZL1369" s="120"/>
      <c r="ZM1369" s="120"/>
      <c r="ZN1369" s="120"/>
      <c r="ZO1369" s="120"/>
      <c r="ZP1369" s="120"/>
      <c r="ZQ1369" s="120"/>
      <c r="ZR1369" s="120"/>
      <c r="ZS1369" s="120"/>
      <c r="ZT1369" s="120"/>
      <c r="ZU1369" s="120"/>
      <c r="ZV1369" s="120"/>
      <c r="ZW1369" s="120"/>
      <c r="ZX1369" s="120"/>
      <c r="ZY1369" s="120"/>
      <c r="ZZ1369" s="120"/>
      <c r="AAA1369" s="120"/>
      <c r="AAB1369" s="120"/>
      <c r="AAC1369" s="120"/>
      <c r="AAD1369" s="120"/>
      <c r="AAE1369" s="120"/>
      <c r="AAF1369" s="120"/>
      <c r="AAG1369" s="120"/>
      <c r="AAH1369" s="120"/>
      <c r="AAI1369" s="120"/>
      <c r="AAJ1369" s="120"/>
      <c r="AAK1369" s="120"/>
      <c r="AAL1369" s="120"/>
      <c r="AAM1369" s="120"/>
      <c r="AAN1369" s="120"/>
      <c r="AAO1369" s="120"/>
      <c r="AAP1369" s="120"/>
      <c r="AAQ1369" s="120"/>
      <c r="AAR1369" s="120"/>
      <c r="AAS1369" s="120"/>
      <c r="AAT1369" s="120"/>
      <c r="AAU1369" s="120"/>
      <c r="AAV1369" s="120"/>
      <c r="AAW1369" s="120"/>
      <c r="AAX1369" s="120"/>
      <c r="AAY1369" s="120"/>
      <c r="AAZ1369" s="120"/>
      <c r="ABA1369" s="120"/>
      <c r="ABB1369" s="120"/>
      <c r="ABC1369" s="120"/>
      <c r="ABD1369" s="120"/>
      <c r="ABE1369" s="120"/>
      <c r="ABF1369" s="120"/>
      <c r="ABG1369" s="120"/>
      <c r="ABH1369" s="120"/>
      <c r="ABI1369" s="120"/>
      <c r="ABJ1369" s="120"/>
      <c r="ABK1369" s="120"/>
      <c r="ABL1369" s="120"/>
      <c r="ABM1369" s="120"/>
      <c r="ABN1369" s="120"/>
      <c r="ABO1369" s="120"/>
      <c r="ABP1369" s="120"/>
      <c r="ABQ1369" s="120"/>
      <c r="ABR1369" s="120"/>
      <c r="ABS1369" s="120"/>
      <c r="ABT1369" s="120"/>
      <c r="ABU1369" s="120"/>
      <c r="ABV1369" s="120"/>
      <c r="ABW1369" s="120"/>
      <c r="ABX1369" s="120"/>
      <c r="ABY1369" s="120"/>
      <c r="ABZ1369" s="120"/>
      <c r="ACA1369" s="120"/>
      <c r="ACB1369" s="120"/>
      <c r="ACC1369" s="120"/>
      <c r="ACD1369" s="120"/>
      <c r="ACE1369" s="120"/>
      <c r="ACF1369" s="120"/>
      <c r="ACG1369" s="120"/>
      <c r="ACH1369" s="120"/>
      <c r="ACI1369" s="120"/>
      <c r="ACJ1369" s="120"/>
      <c r="ACK1369" s="120"/>
      <c r="ACL1369" s="120"/>
      <c r="ACM1369" s="120"/>
      <c r="ACN1369" s="120"/>
      <c r="ACO1369" s="120"/>
      <c r="ACP1369" s="120"/>
      <c r="ACQ1369" s="120"/>
      <c r="ACR1369" s="120"/>
      <c r="ACS1369" s="120"/>
      <c r="ACT1369" s="120"/>
      <c r="ACU1369" s="120"/>
      <c r="ACV1369" s="120"/>
      <c r="ACW1369" s="120"/>
      <c r="ACX1369" s="120"/>
      <c r="ACY1369" s="120"/>
      <c r="ACZ1369" s="120"/>
      <c r="ADA1369" s="120"/>
      <c r="ADB1369" s="120"/>
      <c r="ADC1369" s="120"/>
      <c r="ADD1369" s="120"/>
      <c r="ADE1369" s="120"/>
      <c r="ADF1369" s="120"/>
      <c r="ADG1369" s="120"/>
      <c r="ADH1369" s="120"/>
      <c r="ADI1369" s="120"/>
      <c r="ADJ1369" s="120"/>
      <c r="ADK1369" s="120"/>
      <c r="ADL1369" s="120"/>
      <c r="ADM1369" s="120"/>
      <c r="ADN1369" s="120"/>
      <c r="ADO1369" s="120"/>
      <c r="ADP1369" s="120"/>
      <c r="ADQ1369" s="120"/>
      <c r="ADR1369" s="120"/>
      <c r="ADS1369" s="120"/>
      <c r="ADT1369" s="120"/>
      <c r="ADU1369" s="120"/>
      <c r="ADV1369" s="120"/>
      <c r="ADW1369" s="120"/>
      <c r="ADX1369" s="120"/>
      <c r="ADY1369" s="120"/>
      <c r="ADZ1369" s="120"/>
      <c r="AEA1369" s="120"/>
      <c r="AEB1369" s="120"/>
      <c r="AEC1369" s="120"/>
      <c r="AED1369" s="120"/>
      <c r="AEE1369" s="120"/>
      <c r="AEF1369" s="120"/>
      <c r="AEG1369" s="120"/>
      <c r="AEH1369" s="120"/>
      <c r="AEI1369" s="120"/>
      <c r="AEJ1369" s="120"/>
      <c r="AEK1369" s="120"/>
      <c r="AEL1369" s="120"/>
      <c r="AEM1369" s="120"/>
      <c r="AEN1369" s="120"/>
      <c r="AEO1369" s="120"/>
      <c r="AEP1369" s="120"/>
      <c r="AEQ1369" s="120"/>
      <c r="AER1369" s="120"/>
      <c r="AES1369" s="120"/>
      <c r="AET1369" s="120"/>
      <c r="AEU1369" s="120"/>
      <c r="AEV1369" s="120"/>
      <c r="AEW1369" s="120"/>
      <c r="AEX1369" s="120"/>
      <c r="AEY1369" s="120"/>
      <c r="AEZ1369" s="120"/>
      <c r="AFA1369" s="120"/>
      <c r="AFB1369" s="120"/>
      <c r="AFC1369" s="120"/>
      <c r="AFD1369" s="120"/>
      <c r="AFE1369" s="120"/>
      <c r="AFF1369" s="120"/>
      <c r="AFG1369" s="120"/>
      <c r="AFH1369" s="120"/>
      <c r="AFI1369" s="120"/>
      <c r="AFJ1369" s="120"/>
      <c r="AFK1369" s="120"/>
      <c r="AFL1369" s="120"/>
      <c r="AFM1369" s="120"/>
      <c r="AFN1369" s="120"/>
      <c r="AFO1369" s="120"/>
      <c r="AFP1369" s="120"/>
      <c r="AFQ1369" s="120"/>
      <c r="AFR1369" s="120"/>
      <c r="AFS1369" s="120"/>
      <c r="AFT1369" s="120"/>
      <c r="AFU1369" s="120"/>
      <c r="AFV1369" s="120"/>
      <c r="AFW1369" s="120"/>
      <c r="AFX1369" s="120"/>
      <c r="AFY1369" s="120"/>
      <c r="AFZ1369" s="120"/>
      <c r="AGA1369" s="120"/>
      <c r="AGB1369" s="120"/>
      <c r="AGC1369" s="120"/>
      <c r="AGD1369" s="120"/>
      <c r="AGE1369" s="120"/>
      <c r="AGF1369" s="120"/>
      <c r="AGG1369" s="120"/>
      <c r="AGH1369" s="120"/>
      <c r="AGI1369" s="120"/>
      <c r="AGJ1369" s="120"/>
      <c r="AGK1369" s="120"/>
      <c r="AGL1369" s="120"/>
      <c r="AGM1369" s="120"/>
      <c r="AGN1369" s="120"/>
      <c r="AGO1369" s="120"/>
      <c r="AGP1369" s="120"/>
      <c r="AGQ1369" s="120"/>
      <c r="AGR1369" s="120"/>
      <c r="AGS1369" s="120"/>
      <c r="AGT1369" s="120"/>
      <c r="AGU1369" s="120"/>
      <c r="AGV1369" s="120"/>
      <c r="AGW1369" s="120"/>
      <c r="AGX1369" s="120"/>
      <c r="AGY1369" s="120"/>
      <c r="AGZ1369" s="120"/>
      <c r="AHA1369" s="120"/>
      <c r="AHB1369" s="120"/>
      <c r="AHC1369" s="120"/>
      <c r="AHD1369" s="120"/>
      <c r="AHE1369" s="120"/>
      <c r="AHF1369" s="120"/>
      <c r="AHG1369" s="120"/>
      <c r="AHH1369" s="120"/>
      <c r="AHI1369" s="120"/>
      <c r="AHJ1369" s="120"/>
      <c r="AHK1369" s="120"/>
      <c r="AHL1369" s="120"/>
      <c r="AHM1369" s="120"/>
      <c r="AHN1369" s="120"/>
      <c r="AHO1369" s="120"/>
      <c r="AHP1369" s="120"/>
      <c r="AHQ1369" s="120"/>
      <c r="AHR1369" s="120"/>
      <c r="AHS1369" s="120"/>
      <c r="AHT1369" s="120"/>
      <c r="AHU1369" s="120"/>
      <c r="AHV1369" s="120"/>
      <c r="AHW1369" s="120"/>
      <c r="AHX1369" s="120"/>
      <c r="AHY1369" s="120"/>
      <c r="AHZ1369" s="120"/>
      <c r="AIA1369" s="120"/>
      <c r="AIB1369" s="120"/>
      <c r="AIC1369" s="120"/>
      <c r="AID1369" s="120"/>
      <c r="AIE1369" s="120"/>
      <c r="AIF1369" s="120"/>
      <c r="AIG1369" s="120"/>
      <c r="AIH1369" s="120"/>
      <c r="AII1369" s="120"/>
      <c r="AIJ1369" s="120"/>
      <c r="AIK1369" s="120"/>
      <c r="AIL1369" s="120"/>
      <c r="AIM1369" s="120"/>
      <c r="AIN1369" s="120"/>
      <c r="AIO1369" s="120"/>
      <c r="AIP1369" s="120"/>
      <c r="AIQ1369" s="120"/>
      <c r="AIR1369" s="120"/>
      <c r="AIS1369" s="120"/>
      <c r="AIT1369" s="120"/>
      <c r="AIU1369" s="120"/>
      <c r="AIV1369" s="120"/>
      <c r="AIW1369" s="120"/>
      <c r="AIX1369" s="120"/>
      <c r="AIY1369" s="120"/>
      <c r="AIZ1369" s="120"/>
      <c r="AJA1369" s="120"/>
      <c r="AJB1369" s="120"/>
      <c r="AJC1369" s="120"/>
      <c r="AJD1369" s="120"/>
      <c r="AJE1369" s="120"/>
      <c r="AJF1369" s="120"/>
      <c r="AJG1369" s="120"/>
      <c r="AJH1369" s="120"/>
      <c r="AJI1369" s="120"/>
      <c r="AJJ1369" s="120"/>
      <c r="AJK1369" s="120"/>
      <c r="AJL1369" s="120"/>
      <c r="AJM1369" s="120"/>
      <c r="AJN1369" s="120"/>
      <c r="AJO1369" s="120"/>
      <c r="AJP1369" s="120"/>
      <c r="AJQ1369" s="120"/>
      <c r="AJR1369" s="120"/>
      <c r="AJS1369" s="120"/>
      <c r="AJT1369" s="120"/>
      <c r="AJU1369" s="120"/>
      <c r="AJV1369" s="120"/>
      <c r="AJW1369" s="120"/>
      <c r="AJX1369" s="120"/>
      <c r="AJY1369" s="120"/>
      <c r="AJZ1369" s="120"/>
      <c r="AKA1369" s="120"/>
      <c r="AKB1369" s="120"/>
      <c r="AKC1369" s="120"/>
      <c r="AKD1369" s="120"/>
      <c r="AKE1369" s="120"/>
      <c r="AKF1369" s="120"/>
      <c r="AKG1369" s="120"/>
      <c r="AKH1369" s="120"/>
      <c r="AKI1369" s="120"/>
      <c r="AKJ1369" s="120"/>
      <c r="AKK1369" s="120"/>
      <c r="AKL1369" s="120"/>
      <c r="AKM1369" s="120"/>
      <c r="AKN1369" s="120"/>
      <c r="AKO1369" s="120"/>
      <c r="AKP1369" s="120"/>
      <c r="AKQ1369" s="120"/>
      <c r="AKR1369" s="120"/>
      <c r="AKS1369" s="120"/>
      <c r="AKT1369" s="120"/>
      <c r="AKU1369" s="120"/>
      <c r="AKV1369" s="120"/>
      <c r="AKW1369" s="120"/>
      <c r="AKX1369" s="120"/>
      <c r="AKY1369" s="120"/>
      <c r="AKZ1369" s="120"/>
      <c r="ALA1369" s="120"/>
      <c r="ALB1369" s="120"/>
      <c r="ALC1369" s="120"/>
      <c r="ALD1369" s="120"/>
      <c r="ALE1369" s="120"/>
      <c r="ALF1369" s="120"/>
      <c r="ALG1369" s="120"/>
      <c r="ALH1369" s="120"/>
      <c r="ALI1369" s="120"/>
      <c r="ALJ1369" s="120"/>
      <c r="ALK1369" s="120"/>
      <c r="ALL1369" s="120"/>
      <c r="ALM1369" s="120"/>
      <c r="ALN1369" s="120"/>
      <c r="ALO1369" s="120"/>
      <c r="ALP1369" s="120"/>
      <c r="ALQ1369" s="120"/>
      <c r="ALR1369" s="120"/>
      <c r="ALS1369" s="120"/>
      <c r="ALT1369" s="120"/>
      <c r="ALU1369" s="120"/>
      <c r="ALV1369" s="120"/>
      <c r="ALW1369" s="120"/>
      <c r="ALX1369" s="120"/>
      <c r="ALY1369" s="120"/>
      <c r="ALZ1369" s="120"/>
      <c r="AMA1369" s="120"/>
      <c r="AMB1369" s="120"/>
      <c r="AMC1369" s="120"/>
      <c r="AMD1369" s="120"/>
      <c r="AME1369" s="120"/>
      <c r="AMF1369" s="120"/>
      <c r="AMG1369" s="120"/>
      <c r="AMH1369" s="120"/>
      <c r="AMI1369" s="120"/>
      <c r="AMJ1369" s="120"/>
      <c r="AMK1369" s="120"/>
      <c r="AML1369" s="120"/>
      <c r="AMM1369" s="120"/>
      <c r="AMN1369" s="120"/>
      <c r="AMO1369" s="120"/>
      <c r="AMP1369" s="120"/>
      <c r="AMQ1369" s="120"/>
      <c r="AMR1369" s="120"/>
      <c r="AMS1369" s="120"/>
      <c r="AMT1369" s="120"/>
      <c r="AMU1369" s="120"/>
      <c r="AMV1369" s="120"/>
      <c r="AMW1369" s="120"/>
      <c r="AMX1369" s="120"/>
      <c r="AMY1369" s="120"/>
      <c r="AMZ1369" s="120"/>
      <c r="ANA1369" s="120"/>
      <c r="ANB1369" s="120"/>
      <c r="ANC1369" s="120"/>
      <c r="AND1369" s="120"/>
      <c r="ANE1369" s="120"/>
      <c r="ANF1369" s="120"/>
      <c r="ANG1369" s="120"/>
      <c r="ANH1369" s="120"/>
      <c r="ANI1369" s="120"/>
      <c r="ANJ1369" s="120"/>
      <c r="ANK1369" s="120"/>
      <c r="ANL1369" s="120"/>
      <c r="ANM1369" s="120"/>
      <c r="ANN1369" s="120"/>
      <c r="ANO1369" s="120"/>
      <c r="ANP1369" s="120"/>
      <c r="ANQ1369" s="120"/>
      <c r="ANR1369" s="120"/>
      <c r="ANS1369" s="120"/>
      <c r="ANT1369" s="120"/>
      <c r="ANU1369" s="120"/>
      <c r="ANV1369" s="120"/>
      <c r="ANW1369" s="120"/>
      <c r="ANX1369" s="120"/>
      <c r="ANY1369" s="120"/>
      <c r="ANZ1369" s="120"/>
      <c r="AOA1369" s="120"/>
      <c r="AOB1369" s="120"/>
      <c r="AOC1369" s="120"/>
      <c r="AOD1369" s="120"/>
      <c r="AOE1369" s="120"/>
      <c r="AOF1369" s="120"/>
      <c r="AOG1369" s="120"/>
      <c r="AOH1369" s="120"/>
      <c r="AOI1369" s="120"/>
      <c r="AOJ1369" s="120"/>
      <c r="AOK1369" s="120"/>
      <c r="AOL1369" s="120"/>
      <c r="AOM1369" s="120"/>
      <c r="AON1369" s="120"/>
      <c r="AOO1369" s="120"/>
      <c r="AOP1369" s="120"/>
      <c r="AOQ1369" s="120"/>
      <c r="AOR1369" s="120"/>
      <c r="AOS1369" s="120"/>
      <c r="AOT1369" s="120"/>
      <c r="AOU1369" s="120"/>
      <c r="AOV1369" s="120"/>
      <c r="AOW1369" s="120"/>
      <c r="AOX1369" s="120"/>
      <c r="AOY1369" s="120"/>
      <c r="AOZ1369" s="120"/>
      <c r="APA1369" s="120"/>
      <c r="APB1369" s="120"/>
      <c r="APC1369" s="120"/>
      <c r="APD1369" s="120"/>
      <c r="APE1369" s="120"/>
      <c r="APF1369" s="120"/>
      <c r="APG1369" s="120"/>
      <c r="APH1369" s="120"/>
      <c r="API1369" s="120"/>
      <c r="APJ1369" s="120"/>
      <c r="APK1369" s="120"/>
      <c r="APL1369" s="120"/>
      <c r="APM1369" s="120"/>
      <c r="APN1369" s="120"/>
      <c r="APO1369" s="120"/>
      <c r="APP1369" s="120"/>
      <c r="APQ1369" s="120"/>
      <c r="APR1369" s="120"/>
      <c r="APS1369" s="120"/>
      <c r="APT1369" s="120"/>
      <c r="APU1369" s="120"/>
      <c r="APV1369" s="120"/>
      <c r="APW1369" s="120"/>
      <c r="APX1369" s="120"/>
      <c r="APY1369" s="120"/>
      <c r="APZ1369" s="120"/>
      <c r="AQA1369" s="120"/>
      <c r="AQB1369" s="120"/>
      <c r="AQC1369" s="120"/>
      <c r="AQD1369" s="120"/>
      <c r="AQE1369" s="120"/>
      <c r="AQF1369" s="120"/>
      <c r="AQG1369" s="120"/>
      <c r="AQH1369" s="120"/>
      <c r="AQI1369" s="120"/>
      <c r="AQJ1369" s="120"/>
      <c r="AQK1369" s="120"/>
      <c r="AQL1369" s="120"/>
      <c r="AQM1369" s="120"/>
      <c r="AQN1369" s="120"/>
      <c r="AQO1369" s="120"/>
      <c r="AQP1369" s="120"/>
      <c r="AQQ1369" s="120"/>
      <c r="AQR1369" s="120"/>
      <c r="AQS1369" s="120"/>
      <c r="AQT1369" s="120"/>
      <c r="AQU1369" s="120"/>
      <c r="AQV1369" s="120"/>
      <c r="AQW1369" s="120"/>
      <c r="AQX1369" s="120"/>
      <c r="AQY1369" s="120"/>
      <c r="AQZ1369" s="120"/>
      <c r="ARA1369" s="120"/>
      <c r="ARB1369" s="120"/>
      <c r="ARC1369" s="120"/>
      <c r="ARD1369" s="120"/>
      <c r="ARE1369" s="120"/>
      <c r="ARF1369" s="120"/>
      <c r="ARG1369" s="120"/>
      <c r="ARH1369" s="120"/>
      <c r="ARI1369" s="120"/>
      <c r="ARJ1369" s="120"/>
      <c r="ARK1369" s="120"/>
      <c r="ARL1369" s="120"/>
      <c r="ARM1369" s="120"/>
      <c r="ARN1369" s="120"/>
      <c r="ARO1369" s="120"/>
      <c r="ARP1369" s="120"/>
      <c r="ARQ1369" s="120"/>
      <c r="ARR1369" s="120"/>
      <c r="ARS1369" s="120"/>
      <c r="ART1369" s="120"/>
      <c r="ARU1369" s="120"/>
      <c r="ARV1369" s="120"/>
      <c r="ARW1369" s="120"/>
      <c r="ARX1369" s="120"/>
      <c r="ARY1369" s="120"/>
      <c r="ARZ1369" s="120"/>
      <c r="ASA1369" s="120"/>
      <c r="ASB1369" s="120"/>
      <c r="ASC1369" s="120"/>
      <c r="ASD1369" s="120"/>
      <c r="ASE1369" s="120"/>
      <c r="ASF1369" s="120"/>
      <c r="ASG1369" s="120"/>
      <c r="ASH1369" s="120"/>
      <c r="ASI1369" s="120"/>
      <c r="ASJ1369" s="120"/>
      <c r="ASK1369" s="120"/>
      <c r="ASL1369" s="120"/>
      <c r="ASM1369" s="120"/>
      <c r="ASN1369" s="120"/>
      <c r="ASO1369" s="120"/>
      <c r="ASP1369" s="120"/>
      <c r="ASQ1369" s="120"/>
      <c r="ASR1369" s="120"/>
      <c r="ASS1369" s="120"/>
      <c r="AST1369" s="120"/>
      <c r="ASU1369" s="120"/>
      <c r="ASV1369" s="120"/>
      <c r="ASW1369" s="120"/>
      <c r="ASX1369" s="120"/>
      <c r="ASY1369" s="120"/>
      <c r="ASZ1369" s="120"/>
      <c r="ATA1369" s="120"/>
      <c r="ATB1369" s="120"/>
      <c r="ATC1369" s="120"/>
      <c r="ATD1369" s="120"/>
      <c r="ATE1369" s="120"/>
      <c r="ATF1369" s="120"/>
      <c r="ATG1369" s="120"/>
      <c r="ATH1369" s="120"/>
      <c r="ATI1369" s="120"/>
      <c r="ATJ1369" s="120"/>
      <c r="ATK1369" s="120"/>
      <c r="ATL1369" s="120"/>
      <c r="ATM1369" s="120"/>
      <c r="ATN1369" s="120"/>
      <c r="ATO1369" s="120"/>
    </row>
    <row r="1370" spans="1:1211" s="20" customFormat="1" ht="14.1" customHeight="1">
      <c r="A1370" s="900"/>
      <c r="B1370" s="723"/>
      <c r="C1370" s="184" t="s">
        <v>3774</v>
      </c>
      <c r="D1370" s="631"/>
      <c r="E1370" s="898"/>
      <c r="F1370" s="899"/>
      <c r="G1370" s="899"/>
      <c r="H1370" s="899"/>
      <c r="I1370" s="899"/>
      <c r="J1370" s="899"/>
      <c r="K1370" s="112"/>
      <c r="L1370" s="363"/>
      <c r="M1370" s="112"/>
      <c r="N1370" s="362"/>
      <c r="O1370" s="573"/>
      <c r="P1370" s="120"/>
      <c r="Q1370" s="120"/>
      <c r="R1370" s="120"/>
      <c r="S1370" s="120"/>
      <c r="T1370" s="120"/>
      <c r="U1370" s="120"/>
      <c r="V1370" s="120"/>
      <c r="W1370" s="120"/>
      <c r="X1370" s="120"/>
      <c r="Y1370" s="120"/>
      <c r="Z1370" s="120"/>
      <c r="AA1370" s="120"/>
      <c r="AB1370" s="120"/>
      <c r="AC1370" s="120"/>
      <c r="AD1370" s="120"/>
      <c r="AE1370" s="120"/>
      <c r="AF1370" s="120"/>
      <c r="AG1370" s="120"/>
      <c r="AH1370" s="120"/>
      <c r="AI1370" s="120"/>
      <c r="AJ1370" s="120"/>
      <c r="AK1370" s="120"/>
      <c r="AL1370" s="120"/>
      <c r="AM1370" s="120"/>
      <c r="AN1370" s="120"/>
      <c r="AO1370" s="120"/>
      <c r="AP1370" s="120"/>
      <c r="AQ1370" s="120"/>
      <c r="AR1370" s="120"/>
      <c r="AS1370" s="120"/>
      <c r="AT1370" s="120"/>
      <c r="AU1370" s="120"/>
      <c r="AV1370" s="120"/>
      <c r="AW1370" s="120"/>
      <c r="AX1370" s="120"/>
      <c r="AY1370" s="120"/>
      <c r="AZ1370" s="120"/>
      <c r="BA1370" s="120"/>
      <c r="BB1370" s="120"/>
      <c r="BC1370" s="120"/>
      <c r="BD1370" s="120"/>
      <c r="BE1370" s="120"/>
      <c r="BF1370" s="120"/>
      <c r="BG1370" s="120"/>
      <c r="BH1370" s="120"/>
      <c r="BI1370" s="120"/>
      <c r="BJ1370" s="120"/>
      <c r="BK1370" s="120"/>
      <c r="BL1370" s="120"/>
      <c r="BM1370" s="120"/>
      <c r="BN1370" s="120"/>
      <c r="BO1370" s="120"/>
      <c r="BP1370" s="120"/>
      <c r="BQ1370" s="120"/>
      <c r="BR1370" s="120"/>
      <c r="BS1370" s="120"/>
      <c r="BT1370" s="120"/>
      <c r="BU1370" s="120"/>
      <c r="BV1370" s="120"/>
      <c r="BW1370" s="120"/>
      <c r="BX1370" s="120"/>
      <c r="BY1370" s="120"/>
      <c r="BZ1370" s="120"/>
      <c r="CA1370" s="120"/>
      <c r="CB1370" s="120"/>
      <c r="CC1370" s="120"/>
      <c r="CD1370" s="120"/>
      <c r="CE1370" s="120"/>
      <c r="CF1370" s="120"/>
      <c r="CG1370" s="120"/>
      <c r="CH1370" s="120"/>
      <c r="CI1370" s="120"/>
      <c r="CJ1370" s="120"/>
      <c r="CK1370" s="120"/>
      <c r="CL1370" s="120"/>
      <c r="CM1370" s="120"/>
      <c r="CN1370" s="120"/>
      <c r="CO1370" s="120"/>
      <c r="CP1370" s="120"/>
      <c r="CQ1370" s="120"/>
      <c r="CR1370" s="120"/>
      <c r="CS1370" s="120"/>
      <c r="CT1370" s="120"/>
      <c r="CU1370" s="120"/>
      <c r="CV1370" s="120"/>
      <c r="CW1370" s="120"/>
      <c r="CX1370" s="120"/>
      <c r="CY1370" s="120"/>
      <c r="CZ1370" s="120"/>
      <c r="DA1370" s="120"/>
      <c r="DB1370" s="120"/>
      <c r="DC1370" s="120"/>
      <c r="DD1370" s="120"/>
      <c r="DE1370" s="120"/>
      <c r="DF1370" s="120"/>
      <c r="DG1370" s="120"/>
      <c r="DH1370" s="120"/>
      <c r="DI1370" s="120"/>
      <c r="DJ1370" s="120"/>
      <c r="DK1370" s="120"/>
      <c r="DL1370" s="120"/>
      <c r="DM1370" s="120"/>
      <c r="DN1370" s="120"/>
      <c r="DO1370" s="120"/>
      <c r="DP1370" s="120"/>
      <c r="DQ1370" s="120"/>
      <c r="DR1370" s="120"/>
      <c r="DS1370" s="120"/>
      <c r="DT1370" s="120"/>
      <c r="DU1370" s="120"/>
      <c r="DV1370" s="120"/>
      <c r="DW1370" s="120"/>
      <c r="DX1370" s="120"/>
      <c r="DY1370" s="120"/>
      <c r="DZ1370" s="120"/>
      <c r="EA1370" s="120"/>
      <c r="EB1370" s="120"/>
      <c r="EC1370" s="120"/>
      <c r="ED1370" s="120"/>
      <c r="EE1370" s="120"/>
      <c r="EF1370" s="120"/>
      <c r="EG1370" s="120"/>
      <c r="EH1370" s="120"/>
      <c r="EI1370" s="120"/>
      <c r="EJ1370" s="120"/>
      <c r="EK1370" s="120"/>
      <c r="EL1370" s="120"/>
      <c r="EM1370" s="120"/>
      <c r="EN1370" s="120"/>
      <c r="EO1370" s="120"/>
      <c r="EP1370" s="120"/>
      <c r="EQ1370" s="120"/>
      <c r="ER1370" s="120"/>
      <c r="ES1370" s="120"/>
      <c r="ET1370" s="120"/>
      <c r="EU1370" s="120"/>
      <c r="EV1370" s="120"/>
      <c r="EW1370" s="120"/>
      <c r="EX1370" s="120"/>
      <c r="EY1370" s="120"/>
      <c r="EZ1370" s="120"/>
      <c r="FA1370" s="120"/>
      <c r="FB1370" s="120"/>
      <c r="FC1370" s="120"/>
      <c r="FD1370" s="120"/>
      <c r="FE1370" s="120"/>
      <c r="FF1370" s="120"/>
      <c r="FG1370" s="120"/>
      <c r="FH1370" s="120"/>
      <c r="FI1370" s="120"/>
      <c r="FJ1370" s="120"/>
      <c r="FK1370" s="120"/>
      <c r="FL1370" s="120"/>
      <c r="FM1370" s="120"/>
      <c r="FN1370" s="120"/>
      <c r="FO1370" s="120"/>
      <c r="FP1370" s="120"/>
      <c r="FQ1370" s="120"/>
      <c r="FR1370" s="120"/>
      <c r="FS1370" s="120"/>
      <c r="FT1370" s="120"/>
      <c r="FU1370" s="120"/>
      <c r="FV1370" s="120"/>
      <c r="FW1370" s="120"/>
      <c r="FX1370" s="120"/>
      <c r="FY1370" s="120"/>
      <c r="FZ1370" s="120"/>
      <c r="GA1370" s="120"/>
      <c r="GB1370" s="120"/>
      <c r="GC1370" s="120"/>
      <c r="GD1370" s="120"/>
      <c r="GE1370" s="120"/>
      <c r="GF1370" s="120"/>
      <c r="GG1370" s="120"/>
      <c r="GH1370" s="120"/>
      <c r="GI1370" s="120"/>
      <c r="GJ1370" s="120"/>
      <c r="GK1370" s="120"/>
      <c r="GL1370" s="120"/>
      <c r="GM1370" s="120"/>
      <c r="GN1370" s="120"/>
      <c r="GO1370" s="120"/>
      <c r="GP1370" s="120"/>
      <c r="GQ1370" s="120"/>
      <c r="GR1370" s="120"/>
      <c r="GS1370" s="120"/>
      <c r="GT1370" s="120"/>
      <c r="GU1370" s="120"/>
      <c r="GV1370" s="120"/>
      <c r="GW1370" s="120"/>
      <c r="GX1370" s="120"/>
      <c r="GY1370" s="120"/>
      <c r="GZ1370" s="120"/>
      <c r="HA1370" s="120"/>
      <c r="HB1370" s="120"/>
      <c r="HC1370" s="120"/>
      <c r="HD1370" s="120"/>
      <c r="HE1370" s="120"/>
      <c r="HF1370" s="120"/>
      <c r="HG1370" s="120"/>
      <c r="HH1370" s="120"/>
      <c r="HI1370" s="120"/>
      <c r="HJ1370" s="120"/>
      <c r="HK1370" s="120"/>
      <c r="HL1370" s="120"/>
      <c r="HM1370" s="120"/>
      <c r="HN1370" s="120"/>
      <c r="HO1370" s="120"/>
      <c r="HP1370" s="120"/>
      <c r="HQ1370" s="120"/>
      <c r="HR1370" s="120"/>
      <c r="HS1370" s="120"/>
      <c r="HT1370" s="120"/>
      <c r="HU1370" s="120"/>
      <c r="HV1370" s="120"/>
      <c r="HW1370" s="120"/>
      <c r="HX1370" s="120"/>
      <c r="HY1370" s="120"/>
      <c r="HZ1370" s="120"/>
      <c r="IA1370" s="120"/>
      <c r="IB1370" s="120"/>
      <c r="IC1370" s="120"/>
      <c r="ID1370" s="120"/>
      <c r="IE1370" s="120"/>
      <c r="IF1370" s="120"/>
      <c r="IG1370" s="120"/>
      <c r="IH1370" s="120"/>
      <c r="II1370" s="120"/>
      <c r="IJ1370" s="120"/>
      <c r="IK1370" s="120"/>
      <c r="IL1370" s="120"/>
      <c r="IM1370" s="120"/>
      <c r="IN1370" s="120"/>
      <c r="IO1370" s="120"/>
      <c r="IP1370" s="120"/>
      <c r="IQ1370" s="120"/>
      <c r="IR1370" s="120"/>
      <c r="IS1370" s="120"/>
      <c r="IT1370" s="120"/>
      <c r="IU1370" s="120"/>
      <c r="IV1370" s="120"/>
      <c r="IW1370" s="120"/>
      <c r="IX1370" s="120"/>
      <c r="IY1370" s="120"/>
      <c r="IZ1370" s="120"/>
      <c r="JA1370" s="120"/>
      <c r="JB1370" s="120"/>
      <c r="JC1370" s="120"/>
      <c r="JD1370" s="120"/>
      <c r="JE1370" s="120"/>
      <c r="JF1370" s="120"/>
      <c r="JG1370" s="120"/>
      <c r="JH1370" s="120"/>
      <c r="JI1370" s="120"/>
      <c r="JJ1370" s="120"/>
      <c r="JK1370" s="120"/>
      <c r="JL1370" s="120"/>
      <c r="JM1370" s="120"/>
      <c r="JN1370" s="120"/>
      <c r="JO1370" s="120"/>
      <c r="JP1370" s="120"/>
      <c r="JQ1370" s="120"/>
      <c r="JR1370" s="120"/>
      <c r="JS1370" s="120"/>
      <c r="JT1370" s="120"/>
      <c r="JU1370" s="120"/>
      <c r="JV1370" s="120"/>
      <c r="JW1370" s="120"/>
      <c r="JX1370" s="120"/>
      <c r="JY1370" s="120"/>
      <c r="JZ1370" s="120"/>
      <c r="KA1370" s="120"/>
      <c r="KB1370" s="120"/>
      <c r="KC1370" s="120"/>
      <c r="KD1370" s="120"/>
      <c r="KE1370" s="120"/>
      <c r="KF1370" s="120"/>
      <c r="KG1370" s="120"/>
      <c r="KH1370" s="120"/>
      <c r="KI1370" s="120"/>
      <c r="KJ1370" s="120"/>
      <c r="KK1370" s="120"/>
      <c r="KL1370" s="120"/>
      <c r="KM1370" s="120"/>
      <c r="KN1370" s="120"/>
      <c r="KO1370" s="120"/>
      <c r="KP1370" s="120"/>
      <c r="KQ1370" s="120"/>
      <c r="KR1370" s="120"/>
      <c r="KS1370" s="120"/>
      <c r="KT1370" s="120"/>
      <c r="KU1370" s="120"/>
      <c r="KV1370" s="120"/>
      <c r="KW1370" s="120"/>
      <c r="KX1370" s="120"/>
      <c r="KY1370" s="120"/>
      <c r="KZ1370" s="120"/>
      <c r="LA1370" s="120"/>
      <c r="LB1370" s="120"/>
      <c r="LC1370" s="120"/>
      <c r="LD1370" s="120"/>
      <c r="LE1370" s="120"/>
      <c r="LF1370" s="120"/>
      <c r="LG1370" s="120"/>
      <c r="LH1370" s="120"/>
      <c r="LI1370" s="120"/>
      <c r="LJ1370" s="120"/>
      <c r="LK1370" s="120"/>
      <c r="LL1370" s="120"/>
      <c r="LM1370" s="120"/>
      <c r="LN1370" s="120"/>
      <c r="LO1370" s="120"/>
      <c r="LP1370" s="120"/>
      <c r="LQ1370" s="120"/>
      <c r="LR1370" s="120"/>
      <c r="LS1370" s="120"/>
      <c r="LT1370" s="120"/>
      <c r="LU1370" s="120"/>
      <c r="LV1370" s="120"/>
      <c r="LW1370" s="120"/>
      <c r="LX1370" s="120"/>
      <c r="LY1370" s="120"/>
      <c r="LZ1370" s="120"/>
      <c r="MA1370" s="120"/>
      <c r="MB1370" s="120"/>
      <c r="MC1370" s="120"/>
      <c r="MD1370" s="120"/>
      <c r="ME1370" s="120"/>
      <c r="MF1370" s="120"/>
      <c r="MG1370" s="120"/>
      <c r="MH1370" s="120"/>
      <c r="MI1370" s="120"/>
      <c r="MJ1370" s="120"/>
      <c r="MK1370" s="120"/>
      <c r="ML1370" s="120"/>
      <c r="MM1370" s="120"/>
      <c r="MN1370" s="120"/>
      <c r="MO1370" s="120"/>
      <c r="MP1370" s="120"/>
      <c r="MQ1370" s="120"/>
      <c r="MR1370" s="120"/>
      <c r="MS1370" s="120"/>
      <c r="MT1370" s="120"/>
      <c r="MU1370" s="120"/>
      <c r="MV1370" s="120"/>
      <c r="MW1370" s="120"/>
      <c r="MX1370" s="120"/>
      <c r="MY1370" s="120"/>
      <c r="MZ1370" s="120"/>
      <c r="NA1370" s="120"/>
      <c r="NB1370" s="120"/>
      <c r="NC1370" s="120"/>
      <c r="ND1370" s="120"/>
      <c r="NE1370" s="120"/>
      <c r="NF1370" s="120"/>
      <c r="NG1370" s="120"/>
      <c r="NH1370" s="120"/>
      <c r="NI1370" s="120"/>
      <c r="NJ1370" s="120"/>
      <c r="NK1370" s="120"/>
      <c r="NL1370" s="120"/>
      <c r="NM1370" s="120"/>
      <c r="NN1370" s="120"/>
      <c r="NO1370" s="120"/>
      <c r="NP1370" s="120"/>
      <c r="NQ1370" s="120"/>
      <c r="NR1370" s="120"/>
      <c r="NS1370" s="120"/>
      <c r="NT1370" s="120"/>
      <c r="NU1370" s="120"/>
      <c r="NV1370" s="120"/>
      <c r="NW1370" s="120"/>
      <c r="NX1370" s="120"/>
      <c r="NY1370" s="120"/>
      <c r="NZ1370" s="120"/>
      <c r="OA1370" s="120"/>
      <c r="OB1370" s="120"/>
      <c r="OC1370" s="120"/>
      <c r="OD1370" s="120"/>
      <c r="OE1370" s="120"/>
      <c r="OF1370" s="120"/>
      <c r="OG1370" s="120"/>
      <c r="OH1370" s="120"/>
      <c r="OI1370" s="120"/>
      <c r="OJ1370" s="120"/>
      <c r="OK1370" s="120"/>
      <c r="OL1370" s="120"/>
      <c r="OM1370" s="120"/>
      <c r="ON1370" s="120"/>
      <c r="OO1370" s="120"/>
      <c r="OP1370" s="120"/>
      <c r="OQ1370" s="120"/>
      <c r="OR1370" s="120"/>
      <c r="OS1370" s="120"/>
      <c r="OT1370" s="120"/>
      <c r="OU1370" s="120"/>
      <c r="OV1370" s="120"/>
      <c r="OW1370" s="120"/>
      <c r="OX1370" s="120"/>
      <c r="OY1370" s="120"/>
      <c r="OZ1370" s="120"/>
      <c r="PA1370" s="120"/>
      <c r="PB1370" s="120"/>
      <c r="PC1370" s="120"/>
      <c r="PD1370" s="120"/>
      <c r="PE1370" s="120"/>
      <c r="PF1370" s="120"/>
      <c r="PG1370" s="120"/>
      <c r="PH1370" s="120"/>
      <c r="PI1370" s="120"/>
      <c r="PJ1370" s="120"/>
      <c r="PK1370" s="120"/>
      <c r="PL1370" s="120"/>
      <c r="PM1370" s="120"/>
      <c r="PN1370" s="120"/>
      <c r="PO1370" s="120"/>
      <c r="PP1370" s="120"/>
      <c r="PQ1370" s="120"/>
      <c r="PR1370" s="120"/>
      <c r="PS1370" s="120"/>
      <c r="PT1370" s="120"/>
      <c r="PU1370" s="120"/>
      <c r="PV1370" s="120"/>
      <c r="PW1370" s="120"/>
      <c r="PX1370" s="120"/>
      <c r="PY1370" s="120"/>
      <c r="PZ1370" s="120"/>
      <c r="QA1370" s="120"/>
      <c r="QB1370" s="120"/>
      <c r="QC1370" s="120"/>
      <c r="QD1370" s="120"/>
      <c r="QE1370" s="120"/>
      <c r="QF1370" s="120"/>
      <c r="QG1370" s="120"/>
      <c r="QH1370" s="120"/>
      <c r="QI1370" s="120"/>
      <c r="QJ1370" s="120"/>
      <c r="QK1370" s="120"/>
      <c r="QL1370" s="120"/>
      <c r="QM1370" s="120"/>
      <c r="QN1370" s="120"/>
      <c r="QO1370" s="120"/>
      <c r="QP1370" s="120"/>
      <c r="QQ1370" s="120"/>
      <c r="QR1370" s="120"/>
      <c r="QS1370" s="120"/>
      <c r="QT1370" s="120"/>
      <c r="QU1370" s="120"/>
      <c r="QV1370" s="120"/>
      <c r="QW1370" s="120"/>
      <c r="QX1370" s="120"/>
      <c r="QY1370" s="120"/>
      <c r="QZ1370" s="120"/>
      <c r="RA1370" s="120"/>
      <c r="RB1370" s="120"/>
      <c r="RC1370" s="120"/>
      <c r="RD1370" s="120"/>
      <c r="RE1370" s="120"/>
      <c r="RF1370" s="120"/>
      <c r="RG1370" s="120"/>
      <c r="RH1370" s="120"/>
      <c r="RI1370" s="120"/>
      <c r="RJ1370" s="120"/>
      <c r="RK1370" s="120"/>
      <c r="RL1370" s="120"/>
      <c r="RM1370" s="120"/>
      <c r="RN1370" s="120"/>
      <c r="RO1370" s="120"/>
      <c r="RP1370" s="120"/>
      <c r="RQ1370" s="120"/>
      <c r="RR1370" s="120"/>
      <c r="RS1370" s="120"/>
      <c r="RT1370" s="120"/>
      <c r="RU1370" s="120"/>
      <c r="RV1370" s="120"/>
      <c r="RW1370" s="120"/>
      <c r="RX1370" s="120"/>
      <c r="RY1370" s="120"/>
      <c r="RZ1370" s="120"/>
      <c r="SA1370" s="120"/>
      <c r="SB1370" s="120"/>
      <c r="SC1370" s="120"/>
      <c r="SD1370" s="120"/>
      <c r="SE1370" s="120"/>
      <c r="SF1370" s="120"/>
      <c r="SG1370" s="120"/>
      <c r="SH1370" s="120"/>
      <c r="SI1370" s="120"/>
      <c r="SJ1370" s="120"/>
      <c r="SK1370" s="120"/>
      <c r="SL1370" s="120"/>
      <c r="SM1370" s="120"/>
      <c r="SN1370" s="120"/>
      <c r="SO1370" s="120"/>
      <c r="SP1370" s="120"/>
      <c r="SQ1370" s="120"/>
      <c r="SR1370" s="120"/>
      <c r="SS1370" s="120"/>
      <c r="ST1370" s="120"/>
      <c r="SU1370" s="120"/>
      <c r="SV1370" s="120"/>
      <c r="SW1370" s="120"/>
      <c r="SX1370" s="120"/>
      <c r="SY1370" s="120"/>
      <c r="SZ1370" s="120"/>
      <c r="TA1370" s="120"/>
      <c r="TB1370" s="120"/>
      <c r="TC1370" s="120"/>
      <c r="TD1370" s="120"/>
      <c r="TE1370" s="120"/>
      <c r="TF1370" s="120"/>
      <c r="TG1370" s="120"/>
      <c r="TH1370" s="120"/>
      <c r="TI1370" s="120"/>
      <c r="TJ1370" s="120"/>
      <c r="TK1370" s="120"/>
      <c r="TL1370" s="120"/>
      <c r="TM1370" s="120"/>
      <c r="TN1370" s="120"/>
      <c r="TO1370" s="120"/>
      <c r="TP1370" s="120"/>
      <c r="TQ1370" s="120"/>
      <c r="TR1370" s="120"/>
      <c r="TS1370" s="120"/>
      <c r="TT1370" s="120"/>
      <c r="TU1370" s="120"/>
      <c r="TV1370" s="120"/>
      <c r="TW1370" s="120"/>
      <c r="TX1370" s="120"/>
      <c r="TY1370" s="120"/>
      <c r="TZ1370" s="120"/>
      <c r="UA1370" s="120"/>
      <c r="UB1370" s="120"/>
      <c r="UC1370" s="120"/>
      <c r="UD1370" s="120"/>
      <c r="UE1370" s="120"/>
      <c r="UF1370" s="120"/>
      <c r="UG1370" s="120"/>
      <c r="UH1370" s="120"/>
      <c r="UI1370" s="120"/>
      <c r="UJ1370" s="120"/>
      <c r="UK1370" s="120"/>
      <c r="UL1370" s="120"/>
      <c r="UM1370" s="120"/>
      <c r="UN1370" s="120"/>
      <c r="UO1370" s="120"/>
      <c r="UP1370" s="120"/>
      <c r="UQ1370" s="120"/>
      <c r="UR1370" s="120"/>
      <c r="US1370" s="120"/>
      <c r="UT1370" s="120"/>
      <c r="UU1370" s="120"/>
      <c r="UV1370" s="120"/>
      <c r="UW1370" s="120"/>
      <c r="UX1370" s="120"/>
      <c r="UY1370" s="120"/>
      <c r="UZ1370" s="120"/>
      <c r="VA1370" s="120"/>
      <c r="VB1370" s="120"/>
      <c r="VC1370" s="120"/>
      <c r="VD1370" s="120"/>
      <c r="VE1370" s="120"/>
      <c r="VF1370" s="120"/>
      <c r="VG1370" s="120"/>
      <c r="VH1370" s="120"/>
      <c r="VI1370" s="120"/>
      <c r="VJ1370" s="120"/>
      <c r="VK1370" s="120"/>
      <c r="VL1370" s="120"/>
      <c r="VM1370" s="120"/>
      <c r="VN1370" s="120"/>
      <c r="VO1370" s="120"/>
      <c r="VP1370" s="120"/>
      <c r="VQ1370" s="120"/>
      <c r="VR1370" s="120"/>
      <c r="VS1370" s="120"/>
      <c r="VT1370" s="120"/>
      <c r="VU1370" s="120"/>
      <c r="VV1370" s="120"/>
      <c r="VW1370" s="120"/>
      <c r="VX1370" s="120"/>
      <c r="VY1370" s="120"/>
      <c r="VZ1370" s="120"/>
      <c r="WA1370" s="120"/>
      <c r="WB1370" s="120"/>
      <c r="WC1370" s="120"/>
      <c r="WD1370" s="120"/>
      <c r="WE1370" s="120"/>
      <c r="WF1370" s="120"/>
      <c r="WG1370" s="120"/>
      <c r="WH1370" s="120"/>
      <c r="WI1370" s="120"/>
      <c r="WJ1370" s="120"/>
      <c r="WK1370" s="120"/>
      <c r="WL1370" s="120"/>
      <c r="WM1370" s="120"/>
      <c r="WN1370" s="120"/>
      <c r="WO1370" s="120"/>
      <c r="WP1370" s="120"/>
      <c r="WQ1370" s="120"/>
      <c r="WR1370" s="120"/>
      <c r="WS1370" s="120"/>
      <c r="WT1370" s="120"/>
      <c r="WU1370" s="120"/>
      <c r="WV1370" s="120"/>
      <c r="WW1370" s="120"/>
      <c r="WX1370" s="120"/>
      <c r="WY1370" s="120"/>
      <c r="WZ1370" s="120"/>
      <c r="XA1370" s="120"/>
      <c r="XB1370" s="120"/>
      <c r="XC1370" s="120"/>
      <c r="XD1370" s="120"/>
      <c r="XE1370" s="120"/>
      <c r="XF1370" s="120"/>
      <c r="XG1370" s="120"/>
      <c r="XH1370" s="120"/>
      <c r="XI1370" s="120"/>
      <c r="XJ1370" s="120"/>
      <c r="XK1370" s="120"/>
      <c r="XL1370" s="120"/>
      <c r="XM1370" s="120"/>
      <c r="XN1370" s="120"/>
      <c r="XO1370" s="120"/>
      <c r="XP1370" s="120"/>
      <c r="XQ1370" s="120"/>
      <c r="XR1370" s="120"/>
      <c r="XS1370" s="120"/>
      <c r="XT1370" s="120"/>
      <c r="XU1370" s="120"/>
      <c r="XV1370" s="120"/>
      <c r="XW1370" s="120"/>
      <c r="XX1370" s="120"/>
      <c r="XY1370" s="120"/>
      <c r="XZ1370" s="120"/>
      <c r="YA1370" s="120"/>
      <c r="YB1370" s="120"/>
      <c r="YC1370" s="120"/>
      <c r="YD1370" s="120"/>
      <c r="YE1370" s="120"/>
      <c r="YF1370" s="120"/>
      <c r="YG1370" s="120"/>
      <c r="YH1370" s="120"/>
      <c r="YI1370" s="120"/>
      <c r="YJ1370" s="120"/>
      <c r="YK1370" s="120"/>
      <c r="YL1370" s="120"/>
      <c r="YM1370" s="120"/>
      <c r="YN1370" s="120"/>
      <c r="YO1370" s="120"/>
      <c r="YP1370" s="120"/>
      <c r="YQ1370" s="120"/>
      <c r="YR1370" s="120"/>
      <c r="YS1370" s="120"/>
      <c r="YT1370" s="120"/>
      <c r="YU1370" s="120"/>
      <c r="YV1370" s="120"/>
      <c r="YW1370" s="120"/>
      <c r="YX1370" s="120"/>
      <c r="YY1370" s="120"/>
      <c r="YZ1370" s="120"/>
      <c r="ZA1370" s="120"/>
      <c r="ZB1370" s="120"/>
      <c r="ZC1370" s="120"/>
      <c r="ZD1370" s="120"/>
      <c r="ZE1370" s="120"/>
      <c r="ZF1370" s="120"/>
      <c r="ZG1370" s="120"/>
      <c r="ZH1370" s="120"/>
      <c r="ZI1370" s="120"/>
      <c r="ZJ1370" s="120"/>
      <c r="ZK1370" s="120"/>
      <c r="ZL1370" s="120"/>
      <c r="ZM1370" s="120"/>
      <c r="ZN1370" s="120"/>
      <c r="ZO1370" s="120"/>
      <c r="ZP1370" s="120"/>
      <c r="ZQ1370" s="120"/>
      <c r="ZR1370" s="120"/>
      <c r="ZS1370" s="120"/>
      <c r="ZT1370" s="120"/>
      <c r="ZU1370" s="120"/>
      <c r="ZV1370" s="120"/>
      <c r="ZW1370" s="120"/>
      <c r="ZX1370" s="120"/>
      <c r="ZY1370" s="120"/>
      <c r="ZZ1370" s="120"/>
      <c r="AAA1370" s="120"/>
      <c r="AAB1370" s="120"/>
      <c r="AAC1370" s="120"/>
      <c r="AAD1370" s="120"/>
      <c r="AAE1370" s="120"/>
      <c r="AAF1370" s="120"/>
      <c r="AAG1370" s="120"/>
      <c r="AAH1370" s="120"/>
      <c r="AAI1370" s="120"/>
      <c r="AAJ1370" s="120"/>
      <c r="AAK1370" s="120"/>
      <c r="AAL1370" s="120"/>
      <c r="AAM1370" s="120"/>
      <c r="AAN1370" s="120"/>
      <c r="AAO1370" s="120"/>
      <c r="AAP1370" s="120"/>
      <c r="AAQ1370" s="120"/>
      <c r="AAR1370" s="120"/>
      <c r="AAS1370" s="120"/>
      <c r="AAT1370" s="120"/>
      <c r="AAU1370" s="120"/>
      <c r="AAV1370" s="120"/>
      <c r="AAW1370" s="120"/>
      <c r="AAX1370" s="120"/>
      <c r="AAY1370" s="120"/>
      <c r="AAZ1370" s="120"/>
      <c r="ABA1370" s="120"/>
      <c r="ABB1370" s="120"/>
      <c r="ABC1370" s="120"/>
      <c r="ABD1370" s="120"/>
      <c r="ABE1370" s="120"/>
      <c r="ABF1370" s="120"/>
      <c r="ABG1370" s="120"/>
      <c r="ABH1370" s="120"/>
      <c r="ABI1370" s="120"/>
      <c r="ABJ1370" s="120"/>
      <c r="ABK1370" s="120"/>
      <c r="ABL1370" s="120"/>
      <c r="ABM1370" s="120"/>
      <c r="ABN1370" s="120"/>
      <c r="ABO1370" s="120"/>
      <c r="ABP1370" s="120"/>
      <c r="ABQ1370" s="120"/>
      <c r="ABR1370" s="120"/>
      <c r="ABS1370" s="120"/>
      <c r="ABT1370" s="120"/>
      <c r="ABU1370" s="120"/>
      <c r="ABV1370" s="120"/>
      <c r="ABW1370" s="120"/>
      <c r="ABX1370" s="120"/>
      <c r="ABY1370" s="120"/>
      <c r="ABZ1370" s="120"/>
      <c r="ACA1370" s="120"/>
      <c r="ACB1370" s="120"/>
      <c r="ACC1370" s="120"/>
      <c r="ACD1370" s="120"/>
      <c r="ACE1370" s="120"/>
      <c r="ACF1370" s="120"/>
      <c r="ACG1370" s="120"/>
      <c r="ACH1370" s="120"/>
      <c r="ACI1370" s="120"/>
      <c r="ACJ1370" s="120"/>
      <c r="ACK1370" s="120"/>
      <c r="ACL1370" s="120"/>
      <c r="ACM1370" s="120"/>
      <c r="ACN1370" s="120"/>
      <c r="ACO1370" s="120"/>
      <c r="ACP1370" s="120"/>
      <c r="ACQ1370" s="120"/>
      <c r="ACR1370" s="120"/>
      <c r="ACS1370" s="120"/>
      <c r="ACT1370" s="120"/>
      <c r="ACU1370" s="120"/>
      <c r="ACV1370" s="120"/>
      <c r="ACW1370" s="120"/>
      <c r="ACX1370" s="120"/>
      <c r="ACY1370" s="120"/>
      <c r="ACZ1370" s="120"/>
      <c r="ADA1370" s="120"/>
      <c r="ADB1370" s="120"/>
      <c r="ADC1370" s="120"/>
      <c r="ADD1370" s="120"/>
      <c r="ADE1370" s="120"/>
      <c r="ADF1370" s="120"/>
      <c r="ADG1370" s="120"/>
      <c r="ADH1370" s="120"/>
      <c r="ADI1370" s="120"/>
      <c r="ADJ1370" s="120"/>
      <c r="ADK1370" s="120"/>
      <c r="ADL1370" s="120"/>
      <c r="ADM1370" s="120"/>
      <c r="ADN1370" s="120"/>
      <c r="ADO1370" s="120"/>
      <c r="ADP1370" s="120"/>
      <c r="ADQ1370" s="120"/>
      <c r="ADR1370" s="120"/>
      <c r="ADS1370" s="120"/>
      <c r="ADT1370" s="120"/>
      <c r="ADU1370" s="120"/>
      <c r="ADV1370" s="120"/>
      <c r="ADW1370" s="120"/>
      <c r="ADX1370" s="120"/>
      <c r="ADY1370" s="120"/>
      <c r="ADZ1370" s="120"/>
      <c r="AEA1370" s="120"/>
      <c r="AEB1370" s="120"/>
      <c r="AEC1370" s="120"/>
      <c r="AED1370" s="120"/>
      <c r="AEE1370" s="120"/>
      <c r="AEF1370" s="120"/>
      <c r="AEG1370" s="120"/>
      <c r="AEH1370" s="120"/>
      <c r="AEI1370" s="120"/>
      <c r="AEJ1370" s="120"/>
      <c r="AEK1370" s="120"/>
      <c r="AEL1370" s="120"/>
      <c r="AEM1370" s="120"/>
      <c r="AEN1370" s="120"/>
      <c r="AEO1370" s="120"/>
      <c r="AEP1370" s="120"/>
      <c r="AEQ1370" s="120"/>
      <c r="AER1370" s="120"/>
      <c r="AES1370" s="120"/>
      <c r="AET1370" s="120"/>
      <c r="AEU1370" s="120"/>
      <c r="AEV1370" s="120"/>
      <c r="AEW1370" s="120"/>
      <c r="AEX1370" s="120"/>
      <c r="AEY1370" s="120"/>
      <c r="AEZ1370" s="120"/>
      <c r="AFA1370" s="120"/>
      <c r="AFB1370" s="120"/>
      <c r="AFC1370" s="120"/>
      <c r="AFD1370" s="120"/>
      <c r="AFE1370" s="120"/>
      <c r="AFF1370" s="120"/>
      <c r="AFG1370" s="120"/>
      <c r="AFH1370" s="120"/>
      <c r="AFI1370" s="120"/>
      <c r="AFJ1370" s="120"/>
      <c r="AFK1370" s="120"/>
      <c r="AFL1370" s="120"/>
      <c r="AFM1370" s="120"/>
      <c r="AFN1370" s="120"/>
      <c r="AFO1370" s="120"/>
      <c r="AFP1370" s="120"/>
      <c r="AFQ1370" s="120"/>
      <c r="AFR1370" s="120"/>
      <c r="AFS1370" s="120"/>
      <c r="AFT1370" s="120"/>
      <c r="AFU1370" s="120"/>
      <c r="AFV1370" s="120"/>
      <c r="AFW1370" s="120"/>
      <c r="AFX1370" s="120"/>
      <c r="AFY1370" s="120"/>
      <c r="AFZ1370" s="120"/>
      <c r="AGA1370" s="120"/>
      <c r="AGB1370" s="120"/>
      <c r="AGC1370" s="120"/>
      <c r="AGD1370" s="120"/>
      <c r="AGE1370" s="120"/>
      <c r="AGF1370" s="120"/>
      <c r="AGG1370" s="120"/>
      <c r="AGH1370" s="120"/>
      <c r="AGI1370" s="120"/>
      <c r="AGJ1370" s="120"/>
      <c r="AGK1370" s="120"/>
      <c r="AGL1370" s="120"/>
      <c r="AGM1370" s="120"/>
      <c r="AGN1370" s="120"/>
      <c r="AGO1370" s="120"/>
      <c r="AGP1370" s="120"/>
      <c r="AGQ1370" s="120"/>
      <c r="AGR1370" s="120"/>
      <c r="AGS1370" s="120"/>
      <c r="AGT1370" s="120"/>
      <c r="AGU1370" s="120"/>
      <c r="AGV1370" s="120"/>
      <c r="AGW1370" s="120"/>
      <c r="AGX1370" s="120"/>
      <c r="AGY1370" s="120"/>
      <c r="AGZ1370" s="120"/>
      <c r="AHA1370" s="120"/>
      <c r="AHB1370" s="120"/>
      <c r="AHC1370" s="120"/>
      <c r="AHD1370" s="120"/>
      <c r="AHE1370" s="120"/>
      <c r="AHF1370" s="120"/>
      <c r="AHG1370" s="120"/>
      <c r="AHH1370" s="120"/>
      <c r="AHI1370" s="120"/>
      <c r="AHJ1370" s="120"/>
      <c r="AHK1370" s="120"/>
      <c r="AHL1370" s="120"/>
      <c r="AHM1370" s="120"/>
      <c r="AHN1370" s="120"/>
      <c r="AHO1370" s="120"/>
      <c r="AHP1370" s="120"/>
      <c r="AHQ1370" s="120"/>
      <c r="AHR1370" s="120"/>
      <c r="AHS1370" s="120"/>
      <c r="AHT1370" s="120"/>
      <c r="AHU1370" s="120"/>
      <c r="AHV1370" s="120"/>
      <c r="AHW1370" s="120"/>
      <c r="AHX1370" s="120"/>
      <c r="AHY1370" s="120"/>
      <c r="AHZ1370" s="120"/>
      <c r="AIA1370" s="120"/>
      <c r="AIB1370" s="120"/>
      <c r="AIC1370" s="120"/>
      <c r="AID1370" s="120"/>
      <c r="AIE1370" s="120"/>
      <c r="AIF1370" s="120"/>
      <c r="AIG1370" s="120"/>
      <c r="AIH1370" s="120"/>
      <c r="AII1370" s="120"/>
      <c r="AIJ1370" s="120"/>
      <c r="AIK1370" s="120"/>
      <c r="AIL1370" s="120"/>
      <c r="AIM1370" s="120"/>
      <c r="AIN1370" s="120"/>
      <c r="AIO1370" s="120"/>
      <c r="AIP1370" s="120"/>
      <c r="AIQ1370" s="120"/>
      <c r="AIR1370" s="120"/>
      <c r="AIS1370" s="120"/>
      <c r="AIT1370" s="120"/>
      <c r="AIU1370" s="120"/>
      <c r="AIV1370" s="120"/>
      <c r="AIW1370" s="120"/>
      <c r="AIX1370" s="120"/>
      <c r="AIY1370" s="120"/>
      <c r="AIZ1370" s="120"/>
      <c r="AJA1370" s="120"/>
      <c r="AJB1370" s="120"/>
      <c r="AJC1370" s="120"/>
      <c r="AJD1370" s="120"/>
      <c r="AJE1370" s="120"/>
      <c r="AJF1370" s="120"/>
      <c r="AJG1370" s="120"/>
      <c r="AJH1370" s="120"/>
      <c r="AJI1370" s="120"/>
      <c r="AJJ1370" s="120"/>
      <c r="AJK1370" s="120"/>
      <c r="AJL1370" s="120"/>
      <c r="AJM1370" s="120"/>
      <c r="AJN1370" s="120"/>
      <c r="AJO1370" s="120"/>
      <c r="AJP1370" s="120"/>
      <c r="AJQ1370" s="120"/>
      <c r="AJR1370" s="120"/>
      <c r="AJS1370" s="120"/>
      <c r="AJT1370" s="120"/>
      <c r="AJU1370" s="120"/>
      <c r="AJV1370" s="120"/>
      <c r="AJW1370" s="120"/>
      <c r="AJX1370" s="120"/>
      <c r="AJY1370" s="120"/>
      <c r="AJZ1370" s="120"/>
      <c r="AKA1370" s="120"/>
      <c r="AKB1370" s="120"/>
      <c r="AKC1370" s="120"/>
      <c r="AKD1370" s="120"/>
      <c r="AKE1370" s="120"/>
      <c r="AKF1370" s="120"/>
      <c r="AKG1370" s="120"/>
      <c r="AKH1370" s="120"/>
      <c r="AKI1370" s="120"/>
      <c r="AKJ1370" s="120"/>
      <c r="AKK1370" s="120"/>
      <c r="AKL1370" s="120"/>
      <c r="AKM1370" s="120"/>
      <c r="AKN1370" s="120"/>
      <c r="AKO1370" s="120"/>
      <c r="AKP1370" s="120"/>
      <c r="AKQ1370" s="120"/>
      <c r="AKR1370" s="120"/>
      <c r="AKS1370" s="120"/>
      <c r="AKT1370" s="120"/>
      <c r="AKU1370" s="120"/>
      <c r="AKV1370" s="120"/>
      <c r="AKW1370" s="120"/>
      <c r="AKX1370" s="120"/>
      <c r="AKY1370" s="120"/>
      <c r="AKZ1370" s="120"/>
      <c r="ALA1370" s="120"/>
      <c r="ALB1370" s="120"/>
      <c r="ALC1370" s="120"/>
      <c r="ALD1370" s="120"/>
      <c r="ALE1370" s="120"/>
      <c r="ALF1370" s="120"/>
      <c r="ALG1370" s="120"/>
      <c r="ALH1370" s="120"/>
      <c r="ALI1370" s="120"/>
      <c r="ALJ1370" s="120"/>
      <c r="ALK1370" s="120"/>
      <c r="ALL1370" s="120"/>
      <c r="ALM1370" s="120"/>
      <c r="ALN1370" s="120"/>
      <c r="ALO1370" s="120"/>
      <c r="ALP1370" s="120"/>
      <c r="ALQ1370" s="120"/>
      <c r="ALR1370" s="120"/>
      <c r="ALS1370" s="120"/>
      <c r="ALT1370" s="120"/>
      <c r="ALU1370" s="120"/>
      <c r="ALV1370" s="120"/>
      <c r="ALW1370" s="120"/>
      <c r="ALX1370" s="120"/>
      <c r="ALY1370" s="120"/>
      <c r="ALZ1370" s="120"/>
      <c r="AMA1370" s="120"/>
      <c r="AMB1370" s="120"/>
      <c r="AMC1370" s="120"/>
      <c r="AMD1370" s="120"/>
      <c r="AME1370" s="120"/>
      <c r="AMF1370" s="120"/>
      <c r="AMG1370" s="120"/>
      <c r="AMH1370" s="120"/>
      <c r="AMI1370" s="120"/>
      <c r="AMJ1370" s="120"/>
      <c r="AMK1370" s="120"/>
      <c r="AML1370" s="120"/>
      <c r="AMM1370" s="120"/>
      <c r="AMN1370" s="120"/>
      <c r="AMO1370" s="120"/>
      <c r="AMP1370" s="120"/>
      <c r="AMQ1370" s="120"/>
      <c r="AMR1370" s="120"/>
      <c r="AMS1370" s="120"/>
      <c r="AMT1370" s="120"/>
      <c r="AMU1370" s="120"/>
      <c r="AMV1370" s="120"/>
      <c r="AMW1370" s="120"/>
      <c r="AMX1370" s="120"/>
      <c r="AMY1370" s="120"/>
      <c r="AMZ1370" s="120"/>
      <c r="ANA1370" s="120"/>
      <c r="ANB1370" s="120"/>
      <c r="ANC1370" s="120"/>
      <c r="AND1370" s="120"/>
      <c r="ANE1370" s="120"/>
      <c r="ANF1370" s="120"/>
      <c r="ANG1370" s="120"/>
      <c r="ANH1370" s="120"/>
      <c r="ANI1370" s="120"/>
      <c r="ANJ1370" s="120"/>
      <c r="ANK1370" s="120"/>
      <c r="ANL1370" s="120"/>
      <c r="ANM1370" s="120"/>
      <c r="ANN1370" s="120"/>
      <c r="ANO1370" s="120"/>
      <c r="ANP1370" s="120"/>
      <c r="ANQ1370" s="120"/>
      <c r="ANR1370" s="120"/>
      <c r="ANS1370" s="120"/>
      <c r="ANT1370" s="120"/>
      <c r="ANU1370" s="120"/>
      <c r="ANV1370" s="120"/>
      <c r="ANW1370" s="120"/>
      <c r="ANX1370" s="120"/>
      <c r="ANY1370" s="120"/>
      <c r="ANZ1370" s="120"/>
      <c r="AOA1370" s="120"/>
      <c r="AOB1370" s="120"/>
      <c r="AOC1370" s="120"/>
      <c r="AOD1370" s="120"/>
      <c r="AOE1370" s="120"/>
      <c r="AOF1370" s="120"/>
      <c r="AOG1370" s="120"/>
      <c r="AOH1370" s="120"/>
      <c r="AOI1370" s="120"/>
      <c r="AOJ1370" s="120"/>
      <c r="AOK1370" s="120"/>
      <c r="AOL1370" s="120"/>
      <c r="AOM1370" s="120"/>
      <c r="AON1370" s="120"/>
      <c r="AOO1370" s="120"/>
      <c r="AOP1370" s="120"/>
      <c r="AOQ1370" s="120"/>
      <c r="AOR1370" s="120"/>
      <c r="AOS1370" s="120"/>
      <c r="AOT1370" s="120"/>
      <c r="AOU1370" s="120"/>
      <c r="AOV1370" s="120"/>
      <c r="AOW1370" s="120"/>
      <c r="AOX1370" s="120"/>
      <c r="AOY1370" s="120"/>
      <c r="AOZ1370" s="120"/>
      <c r="APA1370" s="120"/>
      <c r="APB1370" s="120"/>
      <c r="APC1370" s="120"/>
      <c r="APD1370" s="120"/>
      <c r="APE1370" s="120"/>
      <c r="APF1370" s="120"/>
      <c r="APG1370" s="120"/>
      <c r="APH1370" s="120"/>
      <c r="API1370" s="120"/>
      <c r="APJ1370" s="120"/>
      <c r="APK1370" s="120"/>
      <c r="APL1370" s="120"/>
      <c r="APM1370" s="120"/>
      <c r="APN1370" s="120"/>
      <c r="APO1370" s="120"/>
      <c r="APP1370" s="120"/>
      <c r="APQ1370" s="120"/>
      <c r="APR1370" s="120"/>
      <c r="APS1370" s="120"/>
      <c r="APT1370" s="120"/>
      <c r="APU1370" s="120"/>
      <c r="APV1370" s="120"/>
      <c r="APW1370" s="120"/>
      <c r="APX1370" s="120"/>
      <c r="APY1370" s="120"/>
      <c r="APZ1370" s="120"/>
      <c r="AQA1370" s="120"/>
      <c r="AQB1370" s="120"/>
      <c r="AQC1370" s="120"/>
      <c r="AQD1370" s="120"/>
      <c r="AQE1370" s="120"/>
      <c r="AQF1370" s="120"/>
      <c r="AQG1370" s="120"/>
      <c r="AQH1370" s="120"/>
      <c r="AQI1370" s="120"/>
      <c r="AQJ1370" s="120"/>
      <c r="AQK1370" s="120"/>
      <c r="AQL1370" s="120"/>
      <c r="AQM1370" s="120"/>
      <c r="AQN1370" s="120"/>
      <c r="AQO1370" s="120"/>
      <c r="AQP1370" s="120"/>
      <c r="AQQ1370" s="120"/>
      <c r="AQR1370" s="120"/>
      <c r="AQS1370" s="120"/>
      <c r="AQT1370" s="120"/>
      <c r="AQU1370" s="120"/>
      <c r="AQV1370" s="120"/>
      <c r="AQW1370" s="120"/>
      <c r="AQX1370" s="120"/>
      <c r="AQY1370" s="120"/>
      <c r="AQZ1370" s="120"/>
      <c r="ARA1370" s="120"/>
      <c r="ARB1370" s="120"/>
      <c r="ARC1370" s="120"/>
      <c r="ARD1370" s="120"/>
      <c r="ARE1370" s="120"/>
      <c r="ARF1370" s="120"/>
      <c r="ARG1370" s="120"/>
      <c r="ARH1370" s="120"/>
      <c r="ARI1370" s="120"/>
      <c r="ARJ1370" s="120"/>
      <c r="ARK1370" s="120"/>
      <c r="ARL1370" s="120"/>
      <c r="ARM1370" s="120"/>
      <c r="ARN1370" s="120"/>
      <c r="ARO1370" s="120"/>
      <c r="ARP1370" s="120"/>
      <c r="ARQ1370" s="120"/>
      <c r="ARR1370" s="120"/>
      <c r="ARS1370" s="120"/>
      <c r="ART1370" s="120"/>
      <c r="ARU1370" s="120"/>
      <c r="ARV1370" s="120"/>
      <c r="ARW1370" s="120"/>
      <c r="ARX1370" s="120"/>
      <c r="ARY1370" s="120"/>
      <c r="ARZ1370" s="120"/>
      <c r="ASA1370" s="120"/>
      <c r="ASB1370" s="120"/>
      <c r="ASC1370" s="120"/>
      <c r="ASD1370" s="120"/>
      <c r="ASE1370" s="120"/>
      <c r="ASF1370" s="120"/>
      <c r="ASG1370" s="120"/>
      <c r="ASH1370" s="120"/>
      <c r="ASI1370" s="120"/>
      <c r="ASJ1370" s="120"/>
      <c r="ASK1370" s="120"/>
      <c r="ASL1370" s="120"/>
      <c r="ASM1370" s="120"/>
      <c r="ASN1370" s="120"/>
      <c r="ASO1370" s="120"/>
      <c r="ASP1370" s="120"/>
      <c r="ASQ1370" s="120"/>
      <c r="ASR1370" s="120"/>
      <c r="ASS1370" s="120"/>
      <c r="AST1370" s="120"/>
      <c r="ASU1370" s="120"/>
      <c r="ASV1370" s="120"/>
      <c r="ASW1370" s="120"/>
      <c r="ASX1370" s="120"/>
      <c r="ASY1370" s="120"/>
      <c r="ASZ1370" s="120"/>
      <c r="ATA1370" s="120"/>
      <c r="ATB1370" s="120"/>
      <c r="ATC1370" s="120"/>
      <c r="ATD1370" s="120"/>
      <c r="ATE1370" s="120"/>
      <c r="ATF1370" s="120"/>
      <c r="ATG1370" s="120"/>
      <c r="ATH1370" s="120"/>
      <c r="ATI1370" s="120"/>
      <c r="ATJ1370" s="120"/>
      <c r="ATK1370" s="120"/>
      <c r="ATL1370" s="120"/>
      <c r="ATM1370" s="120"/>
      <c r="ATN1370" s="120"/>
      <c r="ATO1370" s="120"/>
    </row>
    <row r="1371" spans="1:1211" s="20" customFormat="1" ht="14.1" customHeight="1">
      <c r="A1371" s="900"/>
      <c r="B1371" s="806"/>
      <c r="C1371" s="805"/>
      <c r="D1371" s="631"/>
      <c r="E1371" s="898"/>
      <c r="F1371" s="899"/>
      <c r="G1371" s="899"/>
      <c r="H1371" s="899"/>
      <c r="I1371" s="899"/>
      <c r="J1371" s="899"/>
      <c r="K1371" s="112"/>
      <c r="L1371" s="363"/>
      <c r="M1371" s="112"/>
      <c r="N1371" s="362"/>
      <c r="O1371" s="573"/>
      <c r="P1371" s="120"/>
      <c r="Q1371" s="120"/>
      <c r="R1371" s="120"/>
      <c r="S1371" s="120"/>
      <c r="T1371" s="120"/>
      <c r="U1371" s="120"/>
      <c r="V1371" s="120"/>
      <c r="W1371" s="120"/>
      <c r="X1371" s="120"/>
      <c r="Y1371" s="120"/>
      <c r="Z1371" s="120"/>
      <c r="AA1371" s="120"/>
      <c r="AB1371" s="120"/>
      <c r="AC1371" s="120"/>
      <c r="AD1371" s="120"/>
      <c r="AE1371" s="120"/>
      <c r="AF1371" s="120"/>
      <c r="AG1371" s="120"/>
      <c r="AH1371" s="120"/>
      <c r="AI1371" s="120"/>
      <c r="AJ1371" s="120"/>
      <c r="AK1371" s="120"/>
      <c r="AL1371" s="120"/>
      <c r="AM1371" s="120"/>
      <c r="AN1371" s="120"/>
      <c r="AO1371" s="120"/>
      <c r="AP1371" s="120"/>
      <c r="AQ1371" s="120"/>
      <c r="AR1371" s="120"/>
      <c r="AS1371" s="120"/>
      <c r="AT1371" s="120"/>
      <c r="AU1371" s="120"/>
      <c r="AV1371" s="120"/>
      <c r="AW1371" s="120"/>
      <c r="AX1371" s="120"/>
      <c r="AY1371" s="120"/>
      <c r="AZ1371" s="120"/>
      <c r="BA1371" s="120"/>
      <c r="BB1371" s="120"/>
      <c r="BC1371" s="120"/>
      <c r="BD1371" s="120"/>
      <c r="BE1371" s="120"/>
      <c r="BF1371" s="120"/>
      <c r="BG1371" s="120"/>
      <c r="BH1371" s="120"/>
      <c r="BI1371" s="120"/>
      <c r="BJ1371" s="120"/>
      <c r="BK1371" s="120"/>
      <c r="BL1371" s="120"/>
      <c r="BM1371" s="120"/>
      <c r="BN1371" s="120"/>
      <c r="BO1371" s="120"/>
      <c r="BP1371" s="120"/>
      <c r="BQ1371" s="120"/>
      <c r="BR1371" s="120"/>
      <c r="BS1371" s="120"/>
      <c r="BT1371" s="120"/>
      <c r="BU1371" s="120"/>
      <c r="BV1371" s="120"/>
      <c r="BW1371" s="120"/>
      <c r="BX1371" s="120"/>
      <c r="BY1371" s="120"/>
      <c r="BZ1371" s="120"/>
      <c r="CA1371" s="120"/>
      <c r="CB1371" s="120"/>
      <c r="CC1371" s="120"/>
      <c r="CD1371" s="120"/>
      <c r="CE1371" s="120"/>
      <c r="CF1371" s="120"/>
      <c r="CG1371" s="120"/>
      <c r="CH1371" s="120"/>
      <c r="CI1371" s="120"/>
      <c r="CJ1371" s="120"/>
      <c r="CK1371" s="120"/>
      <c r="CL1371" s="120"/>
      <c r="CM1371" s="120"/>
      <c r="CN1371" s="120"/>
      <c r="CO1371" s="120"/>
      <c r="CP1371" s="120"/>
      <c r="CQ1371" s="120"/>
      <c r="CR1371" s="120"/>
      <c r="CS1371" s="120"/>
      <c r="CT1371" s="120"/>
      <c r="CU1371" s="120"/>
      <c r="CV1371" s="120"/>
      <c r="CW1371" s="120"/>
      <c r="CX1371" s="120"/>
      <c r="CY1371" s="120"/>
      <c r="CZ1371" s="120"/>
      <c r="DA1371" s="120"/>
      <c r="DB1371" s="120"/>
      <c r="DC1371" s="120"/>
      <c r="DD1371" s="120"/>
      <c r="DE1371" s="120"/>
      <c r="DF1371" s="120"/>
      <c r="DG1371" s="120"/>
      <c r="DH1371" s="120"/>
      <c r="DI1371" s="120"/>
      <c r="DJ1371" s="120"/>
      <c r="DK1371" s="120"/>
      <c r="DL1371" s="120"/>
      <c r="DM1371" s="120"/>
      <c r="DN1371" s="120"/>
      <c r="DO1371" s="120"/>
      <c r="DP1371" s="120"/>
      <c r="DQ1371" s="120"/>
      <c r="DR1371" s="120"/>
      <c r="DS1371" s="120"/>
      <c r="DT1371" s="120"/>
      <c r="DU1371" s="120"/>
      <c r="DV1371" s="120"/>
      <c r="DW1371" s="120"/>
      <c r="DX1371" s="120"/>
      <c r="DY1371" s="120"/>
      <c r="DZ1371" s="120"/>
      <c r="EA1371" s="120"/>
      <c r="EB1371" s="120"/>
      <c r="EC1371" s="120"/>
      <c r="ED1371" s="120"/>
      <c r="EE1371" s="120"/>
      <c r="EF1371" s="120"/>
      <c r="EG1371" s="120"/>
      <c r="EH1371" s="120"/>
      <c r="EI1371" s="120"/>
      <c r="EJ1371" s="120"/>
      <c r="EK1371" s="120"/>
      <c r="EL1371" s="120"/>
      <c r="EM1371" s="120"/>
      <c r="EN1371" s="120"/>
      <c r="EO1371" s="120"/>
      <c r="EP1371" s="120"/>
      <c r="EQ1371" s="120"/>
      <c r="ER1371" s="120"/>
      <c r="ES1371" s="120"/>
      <c r="ET1371" s="120"/>
      <c r="EU1371" s="120"/>
      <c r="EV1371" s="120"/>
      <c r="EW1371" s="120"/>
      <c r="EX1371" s="120"/>
      <c r="EY1371" s="120"/>
      <c r="EZ1371" s="120"/>
      <c r="FA1371" s="120"/>
      <c r="FB1371" s="120"/>
      <c r="FC1371" s="120"/>
      <c r="FD1371" s="120"/>
      <c r="FE1371" s="120"/>
      <c r="FF1371" s="120"/>
      <c r="FG1371" s="120"/>
      <c r="FH1371" s="120"/>
      <c r="FI1371" s="120"/>
      <c r="FJ1371" s="120"/>
      <c r="FK1371" s="120"/>
      <c r="FL1371" s="120"/>
      <c r="FM1371" s="120"/>
      <c r="FN1371" s="120"/>
      <c r="FO1371" s="120"/>
      <c r="FP1371" s="120"/>
      <c r="FQ1371" s="120"/>
      <c r="FR1371" s="120"/>
      <c r="FS1371" s="120"/>
      <c r="FT1371" s="120"/>
      <c r="FU1371" s="120"/>
      <c r="FV1371" s="120"/>
      <c r="FW1371" s="120"/>
      <c r="FX1371" s="120"/>
      <c r="FY1371" s="120"/>
      <c r="FZ1371" s="120"/>
      <c r="GA1371" s="120"/>
      <c r="GB1371" s="120"/>
      <c r="GC1371" s="120"/>
      <c r="GD1371" s="120"/>
      <c r="GE1371" s="120"/>
      <c r="GF1371" s="120"/>
      <c r="GG1371" s="120"/>
      <c r="GH1371" s="120"/>
      <c r="GI1371" s="120"/>
      <c r="GJ1371" s="120"/>
      <c r="GK1371" s="120"/>
      <c r="GL1371" s="120"/>
      <c r="GM1371" s="120"/>
      <c r="GN1371" s="120"/>
      <c r="GO1371" s="120"/>
      <c r="GP1371" s="120"/>
      <c r="GQ1371" s="120"/>
      <c r="GR1371" s="120"/>
      <c r="GS1371" s="120"/>
      <c r="GT1371" s="120"/>
      <c r="GU1371" s="120"/>
      <c r="GV1371" s="120"/>
      <c r="GW1371" s="120"/>
      <c r="GX1371" s="120"/>
      <c r="GY1371" s="120"/>
      <c r="GZ1371" s="120"/>
      <c r="HA1371" s="120"/>
      <c r="HB1371" s="120"/>
      <c r="HC1371" s="120"/>
      <c r="HD1371" s="120"/>
      <c r="HE1371" s="120"/>
      <c r="HF1371" s="120"/>
      <c r="HG1371" s="120"/>
      <c r="HH1371" s="120"/>
      <c r="HI1371" s="120"/>
      <c r="HJ1371" s="120"/>
      <c r="HK1371" s="120"/>
      <c r="HL1371" s="120"/>
      <c r="HM1371" s="120"/>
      <c r="HN1371" s="120"/>
      <c r="HO1371" s="120"/>
      <c r="HP1371" s="120"/>
      <c r="HQ1371" s="120"/>
      <c r="HR1371" s="120"/>
      <c r="HS1371" s="120"/>
      <c r="HT1371" s="120"/>
      <c r="HU1371" s="120"/>
      <c r="HV1371" s="120"/>
      <c r="HW1371" s="120"/>
      <c r="HX1371" s="120"/>
      <c r="HY1371" s="120"/>
      <c r="HZ1371" s="120"/>
      <c r="IA1371" s="120"/>
      <c r="IB1371" s="120"/>
      <c r="IC1371" s="120"/>
      <c r="ID1371" s="120"/>
      <c r="IE1371" s="120"/>
      <c r="IF1371" s="120"/>
      <c r="IG1371" s="120"/>
      <c r="IH1371" s="120"/>
      <c r="II1371" s="120"/>
      <c r="IJ1371" s="120"/>
      <c r="IK1371" s="120"/>
      <c r="IL1371" s="120"/>
      <c r="IM1371" s="120"/>
      <c r="IN1371" s="120"/>
      <c r="IO1371" s="120"/>
      <c r="IP1371" s="120"/>
      <c r="IQ1371" s="120"/>
      <c r="IR1371" s="120"/>
      <c r="IS1371" s="120"/>
      <c r="IT1371" s="120"/>
      <c r="IU1371" s="120"/>
      <c r="IV1371" s="120"/>
      <c r="IW1371" s="120"/>
      <c r="IX1371" s="120"/>
      <c r="IY1371" s="120"/>
      <c r="IZ1371" s="120"/>
      <c r="JA1371" s="120"/>
      <c r="JB1371" s="120"/>
      <c r="JC1371" s="120"/>
      <c r="JD1371" s="120"/>
      <c r="JE1371" s="120"/>
      <c r="JF1371" s="120"/>
      <c r="JG1371" s="120"/>
      <c r="JH1371" s="120"/>
      <c r="JI1371" s="120"/>
      <c r="JJ1371" s="120"/>
      <c r="JK1371" s="120"/>
      <c r="JL1371" s="120"/>
      <c r="JM1371" s="120"/>
      <c r="JN1371" s="120"/>
      <c r="JO1371" s="120"/>
      <c r="JP1371" s="120"/>
      <c r="JQ1371" s="120"/>
      <c r="JR1371" s="120"/>
      <c r="JS1371" s="120"/>
      <c r="JT1371" s="120"/>
      <c r="JU1371" s="120"/>
      <c r="JV1371" s="120"/>
      <c r="JW1371" s="120"/>
      <c r="JX1371" s="120"/>
      <c r="JY1371" s="120"/>
      <c r="JZ1371" s="120"/>
      <c r="KA1371" s="120"/>
      <c r="KB1371" s="120"/>
      <c r="KC1371" s="120"/>
      <c r="KD1371" s="120"/>
      <c r="KE1371" s="120"/>
      <c r="KF1371" s="120"/>
      <c r="KG1371" s="120"/>
      <c r="KH1371" s="120"/>
      <c r="KI1371" s="120"/>
      <c r="KJ1371" s="120"/>
      <c r="KK1371" s="120"/>
      <c r="KL1371" s="120"/>
      <c r="KM1371" s="120"/>
      <c r="KN1371" s="120"/>
      <c r="KO1371" s="120"/>
      <c r="KP1371" s="120"/>
      <c r="KQ1371" s="120"/>
      <c r="KR1371" s="120"/>
      <c r="KS1371" s="120"/>
      <c r="KT1371" s="120"/>
      <c r="KU1371" s="120"/>
      <c r="KV1371" s="120"/>
      <c r="KW1371" s="120"/>
      <c r="KX1371" s="120"/>
      <c r="KY1371" s="120"/>
      <c r="KZ1371" s="120"/>
      <c r="LA1371" s="120"/>
      <c r="LB1371" s="120"/>
      <c r="LC1371" s="120"/>
      <c r="LD1371" s="120"/>
      <c r="LE1371" s="120"/>
      <c r="LF1371" s="120"/>
      <c r="LG1371" s="120"/>
      <c r="LH1371" s="120"/>
      <c r="LI1371" s="120"/>
      <c r="LJ1371" s="120"/>
      <c r="LK1371" s="120"/>
      <c r="LL1371" s="120"/>
      <c r="LM1371" s="120"/>
      <c r="LN1371" s="120"/>
      <c r="LO1371" s="120"/>
      <c r="LP1371" s="120"/>
      <c r="LQ1371" s="120"/>
      <c r="LR1371" s="120"/>
      <c r="LS1371" s="120"/>
      <c r="LT1371" s="120"/>
      <c r="LU1371" s="120"/>
      <c r="LV1371" s="120"/>
      <c r="LW1371" s="120"/>
      <c r="LX1371" s="120"/>
      <c r="LY1371" s="120"/>
      <c r="LZ1371" s="120"/>
      <c r="MA1371" s="120"/>
      <c r="MB1371" s="120"/>
      <c r="MC1371" s="120"/>
      <c r="MD1371" s="120"/>
      <c r="ME1371" s="120"/>
      <c r="MF1371" s="120"/>
      <c r="MG1371" s="120"/>
      <c r="MH1371" s="120"/>
      <c r="MI1371" s="120"/>
      <c r="MJ1371" s="120"/>
      <c r="MK1371" s="120"/>
      <c r="ML1371" s="120"/>
      <c r="MM1371" s="120"/>
      <c r="MN1371" s="120"/>
      <c r="MO1371" s="120"/>
      <c r="MP1371" s="120"/>
      <c r="MQ1371" s="120"/>
      <c r="MR1371" s="120"/>
      <c r="MS1371" s="120"/>
      <c r="MT1371" s="120"/>
      <c r="MU1371" s="120"/>
      <c r="MV1371" s="120"/>
      <c r="MW1371" s="120"/>
      <c r="MX1371" s="120"/>
      <c r="MY1371" s="120"/>
      <c r="MZ1371" s="120"/>
      <c r="NA1371" s="120"/>
      <c r="NB1371" s="120"/>
      <c r="NC1371" s="120"/>
      <c r="ND1371" s="120"/>
      <c r="NE1371" s="120"/>
      <c r="NF1371" s="120"/>
      <c r="NG1371" s="120"/>
      <c r="NH1371" s="120"/>
      <c r="NI1371" s="120"/>
      <c r="NJ1371" s="120"/>
      <c r="NK1371" s="120"/>
      <c r="NL1371" s="120"/>
      <c r="NM1371" s="120"/>
      <c r="NN1371" s="120"/>
      <c r="NO1371" s="120"/>
      <c r="NP1371" s="120"/>
      <c r="NQ1371" s="120"/>
      <c r="NR1371" s="120"/>
      <c r="NS1371" s="120"/>
      <c r="NT1371" s="120"/>
      <c r="NU1371" s="120"/>
      <c r="NV1371" s="120"/>
      <c r="NW1371" s="120"/>
      <c r="NX1371" s="120"/>
      <c r="NY1371" s="120"/>
      <c r="NZ1371" s="120"/>
      <c r="OA1371" s="120"/>
      <c r="OB1371" s="120"/>
      <c r="OC1371" s="120"/>
      <c r="OD1371" s="120"/>
      <c r="OE1371" s="120"/>
      <c r="OF1371" s="120"/>
      <c r="OG1371" s="120"/>
      <c r="OH1371" s="120"/>
      <c r="OI1371" s="120"/>
      <c r="OJ1371" s="120"/>
      <c r="OK1371" s="120"/>
      <c r="OL1371" s="120"/>
      <c r="OM1371" s="120"/>
      <c r="ON1371" s="120"/>
      <c r="OO1371" s="120"/>
      <c r="OP1371" s="120"/>
      <c r="OQ1371" s="120"/>
      <c r="OR1371" s="120"/>
      <c r="OS1371" s="120"/>
      <c r="OT1371" s="120"/>
      <c r="OU1371" s="120"/>
      <c r="OV1371" s="120"/>
      <c r="OW1371" s="120"/>
      <c r="OX1371" s="120"/>
      <c r="OY1371" s="120"/>
      <c r="OZ1371" s="120"/>
      <c r="PA1371" s="120"/>
      <c r="PB1371" s="120"/>
      <c r="PC1371" s="120"/>
      <c r="PD1371" s="120"/>
      <c r="PE1371" s="120"/>
      <c r="PF1371" s="120"/>
      <c r="PG1371" s="120"/>
      <c r="PH1371" s="120"/>
      <c r="PI1371" s="120"/>
      <c r="PJ1371" s="120"/>
      <c r="PK1371" s="120"/>
      <c r="PL1371" s="120"/>
      <c r="PM1371" s="120"/>
      <c r="PN1371" s="120"/>
      <c r="PO1371" s="120"/>
      <c r="PP1371" s="120"/>
      <c r="PQ1371" s="120"/>
      <c r="PR1371" s="120"/>
      <c r="PS1371" s="120"/>
      <c r="PT1371" s="120"/>
      <c r="PU1371" s="120"/>
      <c r="PV1371" s="120"/>
      <c r="PW1371" s="120"/>
      <c r="PX1371" s="120"/>
      <c r="PY1371" s="120"/>
      <c r="PZ1371" s="120"/>
      <c r="QA1371" s="120"/>
      <c r="QB1371" s="120"/>
      <c r="QC1371" s="120"/>
      <c r="QD1371" s="120"/>
      <c r="QE1371" s="120"/>
      <c r="QF1371" s="120"/>
      <c r="QG1371" s="120"/>
      <c r="QH1371" s="120"/>
      <c r="QI1371" s="120"/>
      <c r="QJ1371" s="120"/>
      <c r="QK1371" s="120"/>
      <c r="QL1371" s="120"/>
      <c r="QM1371" s="120"/>
      <c r="QN1371" s="120"/>
      <c r="QO1371" s="120"/>
      <c r="QP1371" s="120"/>
      <c r="QQ1371" s="120"/>
      <c r="QR1371" s="120"/>
      <c r="QS1371" s="120"/>
      <c r="QT1371" s="120"/>
      <c r="QU1371" s="120"/>
      <c r="QV1371" s="120"/>
      <c r="QW1371" s="120"/>
      <c r="QX1371" s="120"/>
      <c r="QY1371" s="120"/>
      <c r="QZ1371" s="120"/>
      <c r="RA1371" s="120"/>
      <c r="RB1371" s="120"/>
      <c r="RC1371" s="120"/>
      <c r="RD1371" s="120"/>
      <c r="RE1371" s="120"/>
      <c r="RF1371" s="120"/>
      <c r="RG1371" s="120"/>
      <c r="RH1371" s="120"/>
      <c r="RI1371" s="120"/>
      <c r="RJ1371" s="120"/>
      <c r="RK1371" s="120"/>
      <c r="RL1371" s="120"/>
      <c r="RM1371" s="120"/>
      <c r="RN1371" s="120"/>
      <c r="RO1371" s="120"/>
      <c r="RP1371" s="120"/>
      <c r="RQ1371" s="120"/>
      <c r="RR1371" s="120"/>
      <c r="RS1371" s="120"/>
      <c r="RT1371" s="120"/>
      <c r="RU1371" s="120"/>
      <c r="RV1371" s="120"/>
      <c r="RW1371" s="120"/>
      <c r="RX1371" s="120"/>
      <c r="RY1371" s="120"/>
      <c r="RZ1371" s="120"/>
      <c r="SA1371" s="120"/>
      <c r="SB1371" s="120"/>
      <c r="SC1371" s="120"/>
      <c r="SD1371" s="120"/>
      <c r="SE1371" s="120"/>
      <c r="SF1371" s="120"/>
      <c r="SG1371" s="120"/>
      <c r="SH1371" s="120"/>
      <c r="SI1371" s="120"/>
      <c r="SJ1371" s="120"/>
      <c r="SK1371" s="120"/>
      <c r="SL1371" s="120"/>
      <c r="SM1371" s="120"/>
      <c r="SN1371" s="120"/>
      <c r="SO1371" s="120"/>
      <c r="SP1371" s="120"/>
      <c r="SQ1371" s="120"/>
      <c r="SR1371" s="120"/>
      <c r="SS1371" s="120"/>
      <c r="ST1371" s="120"/>
      <c r="SU1371" s="120"/>
      <c r="SV1371" s="120"/>
      <c r="SW1371" s="120"/>
      <c r="SX1371" s="120"/>
      <c r="SY1371" s="120"/>
      <c r="SZ1371" s="120"/>
      <c r="TA1371" s="120"/>
      <c r="TB1371" s="120"/>
      <c r="TC1371" s="120"/>
      <c r="TD1371" s="120"/>
      <c r="TE1371" s="120"/>
      <c r="TF1371" s="120"/>
      <c r="TG1371" s="120"/>
      <c r="TH1371" s="120"/>
      <c r="TI1371" s="120"/>
      <c r="TJ1371" s="120"/>
      <c r="TK1371" s="120"/>
      <c r="TL1371" s="120"/>
      <c r="TM1371" s="120"/>
      <c r="TN1371" s="120"/>
      <c r="TO1371" s="120"/>
      <c r="TP1371" s="120"/>
      <c r="TQ1371" s="120"/>
      <c r="TR1371" s="120"/>
      <c r="TS1371" s="120"/>
      <c r="TT1371" s="120"/>
      <c r="TU1371" s="120"/>
      <c r="TV1371" s="120"/>
      <c r="TW1371" s="120"/>
      <c r="TX1371" s="120"/>
      <c r="TY1371" s="120"/>
      <c r="TZ1371" s="120"/>
      <c r="UA1371" s="120"/>
      <c r="UB1371" s="120"/>
      <c r="UC1371" s="120"/>
      <c r="UD1371" s="120"/>
      <c r="UE1371" s="120"/>
      <c r="UF1371" s="120"/>
      <c r="UG1371" s="120"/>
      <c r="UH1371" s="120"/>
      <c r="UI1371" s="120"/>
      <c r="UJ1371" s="120"/>
      <c r="UK1371" s="120"/>
      <c r="UL1371" s="120"/>
      <c r="UM1371" s="120"/>
      <c r="UN1371" s="120"/>
      <c r="UO1371" s="120"/>
      <c r="UP1371" s="120"/>
      <c r="UQ1371" s="120"/>
      <c r="UR1371" s="120"/>
      <c r="US1371" s="120"/>
      <c r="UT1371" s="120"/>
      <c r="UU1371" s="120"/>
      <c r="UV1371" s="120"/>
      <c r="UW1371" s="120"/>
      <c r="UX1371" s="120"/>
      <c r="UY1371" s="120"/>
      <c r="UZ1371" s="120"/>
      <c r="VA1371" s="120"/>
      <c r="VB1371" s="120"/>
      <c r="VC1371" s="120"/>
      <c r="VD1371" s="120"/>
      <c r="VE1371" s="120"/>
      <c r="VF1371" s="120"/>
      <c r="VG1371" s="120"/>
      <c r="VH1371" s="120"/>
      <c r="VI1371" s="120"/>
      <c r="VJ1371" s="120"/>
      <c r="VK1371" s="120"/>
      <c r="VL1371" s="120"/>
      <c r="VM1371" s="120"/>
      <c r="VN1371" s="120"/>
      <c r="VO1371" s="120"/>
      <c r="VP1371" s="120"/>
      <c r="VQ1371" s="120"/>
      <c r="VR1371" s="120"/>
      <c r="VS1371" s="120"/>
      <c r="VT1371" s="120"/>
      <c r="VU1371" s="120"/>
      <c r="VV1371" s="120"/>
      <c r="VW1371" s="120"/>
      <c r="VX1371" s="120"/>
      <c r="VY1371" s="120"/>
      <c r="VZ1371" s="120"/>
      <c r="WA1371" s="120"/>
      <c r="WB1371" s="120"/>
      <c r="WC1371" s="120"/>
      <c r="WD1371" s="120"/>
      <c r="WE1371" s="120"/>
      <c r="WF1371" s="120"/>
      <c r="WG1371" s="120"/>
      <c r="WH1371" s="120"/>
      <c r="WI1371" s="120"/>
      <c r="WJ1371" s="120"/>
      <c r="WK1371" s="120"/>
      <c r="WL1371" s="120"/>
      <c r="WM1371" s="120"/>
      <c r="WN1371" s="120"/>
      <c r="WO1371" s="120"/>
      <c r="WP1371" s="120"/>
      <c r="WQ1371" s="120"/>
      <c r="WR1371" s="120"/>
      <c r="WS1371" s="120"/>
      <c r="WT1371" s="120"/>
      <c r="WU1371" s="120"/>
      <c r="WV1371" s="120"/>
      <c r="WW1371" s="120"/>
      <c r="WX1371" s="120"/>
      <c r="WY1371" s="120"/>
      <c r="WZ1371" s="120"/>
      <c r="XA1371" s="120"/>
      <c r="XB1371" s="120"/>
      <c r="XC1371" s="120"/>
      <c r="XD1371" s="120"/>
      <c r="XE1371" s="120"/>
      <c r="XF1371" s="120"/>
      <c r="XG1371" s="120"/>
      <c r="XH1371" s="120"/>
      <c r="XI1371" s="120"/>
      <c r="XJ1371" s="120"/>
      <c r="XK1371" s="120"/>
      <c r="XL1371" s="120"/>
      <c r="XM1371" s="120"/>
      <c r="XN1371" s="120"/>
      <c r="XO1371" s="120"/>
      <c r="XP1371" s="120"/>
      <c r="XQ1371" s="120"/>
      <c r="XR1371" s="120"/>
      <c r="XS1371" s="120"/>
      <c r="XT1371" s="120"/>
      <c r="XU1371" s="120"/>
      <c r="XV1371" s="120"/>
      <c r="XW1371" s="120"/>
      <c r="XX1371" s="120"/>
      <c r="XY1371" s="120"/>
      <c r="XZ1371" s="120"/>
      <c r="YA1371" s="120"/>
      <c r="YB1371" s="120"/>
      <c r="YC1371" s="120"/>
      <c r="YD1371" s="120"/>
      <c r="YE1371" s="120"/>
      <c r="YF1371" s="120"/>
      <c r="YG1371" s="120"/>
      <c r="YH1371" s="120"/>
      <c r="YI1371" s="120"/>
      <c r="YJ1371" s="120"/>
      <c r="YK1371" s="120"/>
      <c r="YL1371" s="120"/>
      <c r="YM1371" s="120"/>
      <c r="YN1371" s="120"/>
      <c r="YO1371" s="120"/>
      <c r="YP1371" s="120"/>
      <c r="YQ1371" s="120"/>
      <c r="YR1371" s="120"/>
      <c r="YS1371" s="120"/>
      <c r="YT1371" s="120"/>
      <c r="YU1371" s="120"/>
      <c r="YV1371" s="120"/>
      <c r="YW1371" s="120"/>
      <c r="YX1371" s="120"/>
      <c r="YY1371" s="120"/>
      <c r="YZ1371" s="120"/>
      <c r="ZA1371" s="120"/>
      <c r="ZB1371" s="120"/>
      <c r="ZC1371" s="120"/>
      <c r="ZD1371" s="120"/>
      <c r="ZE1371" s="120"/>
      <c r="ZF1371" s="120"/>
      <c r="ZG1371" s="120"/>
      <c r="ZH1371" s="120"/>
      <c r="ZI1371" s="120"/>
      <c r="ZJ1371" s="120"/>
      <c r="ZK1371" s="120"/>
      <c r="ZL1371" s="120"/>
      <c r="ZM1371" s="120"/>
      <c r="ZN1371" s="120"/>
      <c r="ZO1371" s="120"/>
      <c r="ZP1371" s="120"/>
      <c r="ZQ1371" s="120"/>
      <c r="ZR1371" s="120"/>
      <c r="ZS1371" s="120"/>
      <c r="ZT1371" s="120"/>
      <c r="ZU1371" s="120"/>
      <c r="ZV1371" s="120"/>
      <c r="ZW1371" s="120"/>
      <c r="ZX1371" s="120"/>
      <c r="ZY1371" s="120"/>
      <c r="ZZ1371" s="120"/>
      <c r="AAA1371" s="120"/>
      <c r="AAB1371" s="120"/>
      <c r="AAC1371" s="120"/>
      <c r="AAD1371" s="120"/>
      <c r="AAE1371" s="120"/>
      <c r="AAF1371" s="120"/>
      <c r="AAG1371" s="120"/>
      <c r="AAH1371" s="120"/>
      <c r="AAI1371" s="120"/>
      <c r="AAJ1371" s="120"/>
      <c r="AAK1371" s="120"/>
      <c r="AAL1371" s="120"/>
      <c r="AAM1371" s="120"/>
      <c r="AAN1371" s="120"/>
      <c r="AAO1371" s="120"/>
      <c r="AAP1371" s="120"/>
      <c r="AAQ1371" s="120"/>
      <c r="AAR1371" s="120"/>
      <c r="AAS1371" s="120"/>
      <c r="AAT1371" s="120"/>
      <c r="AAU1371" s="120"/>
      <c r="AAV1371" s="120"/>
      <c r="AAW1371" s="120"/>
      <c r="AAX1371" s="120"/>
      <c r="AAY1371" s="120"/>
      <c r="AAZ1371" s="120"/>
      <c r="ABA1371" s="120"/>
      <c r="ABB1371" s="120"/>
      <c r="ABC1371" s="120"/>
      <c r="ABD1371" s="120"/>
      <c r="ABE1371" s="120"/>
      <c r="ABF1371" s="120"/>
      <c r="ABG1371" s="120"/>
      <c r="ABH1371" s="120"/>
      <c r="ABI1371" s="120"/>
      <c r="ABJ1371" s="120"/>
      <c r="ABK1371" s="120"/>
      <c r="ABL1371" s="120"/>
      <c r="ABM1371" s="120"/>
      <c r="ABN1371" s="120"/>
      <c r="ABO1371" s="120"/>
      <c r="ABP1371" s="120"/>
      <c r="ABQ1371" s="120"/>
      <c r="ABR1371" s="120"/>
      <c r="ABS1371" s="120"/>
      <c r="ABT1371" s="120"/>
      <c r="ABU1371" s="120"/>
      <c r="ABV1371" s="120"/>
      <c r="ABW1371" s="120"/>
      <c r="ABX1371" s="120"/>
      <c r="ABY1371" s="120"/>
      <c r="ABZ1371" s="120"/>
      <c r="ACA1371" s="120"/>
      <c r="ACB1371" s="120"/>
      <c r="ACC1371" s="120"/>
      <c r="ACD1371" s="120"/>
      <c r="ACE1371" s="120"/>
      <c r="ACF1371" s="120"/>
      <c r="ACG1371" s="120"/>
      <c r="ACH1371" s="120"/>
      <c r="ACI1371" s="120"/>
      <c r="ACJ1371" s="120"/>
      <c r="ACK1371" s="120"/>
      <c r="ACL1371" s="120"/>
      <c r="ACM1371" s="120"/>
      <c r="ACN1371" s="120"/>
      <c r="ACO1371" s="120"/>
      <c r="ACP1371" s="120"/>
      <c r="ACQ1371" s="120"/>
      <c r="ACR1371" s="120"/>
      <c r="ACS1371" s="120"/>
      <c r="ACT1371" s="120"/>
      <c r="ACU1371" s="120"/>
      <c r="ACV1371" s="120"/>
      <c r="ACW1371" s="120"/>
      <c r="ACX1371" s="120"/>
      <c r="ACY1371" s="120"/>
      <c r="ACZ1371" s="120"/>
      <c r="ADA1371" s="120"/>
      <c r="ADB1371" s="120"/>
      <c r="ADC1371" s="120"/>
      <c r="ADD1371" s="120"/>
      <c r="ADE1371" s="120"/>
      <c r="ADF1371" s="120"/>
      <c r="ADG1371" s="120"/>
      <c r="ADH1371" s="120"/>
      <c r="ADI1371" s="120"/>
      <c r="ADJ1371" s="120"/>
      <c r="ADK1371" s="120"/>
      <c r="ADL1371" s="120"/>
      <c r="ADM1371" s="120"/>
      <c r="ADN1371" s="120"/>
      <c r="ADO1371" s="120"/>
      <c r="ADP1371" s="120"/>
      <c r="ADQ1371" s="120"/>
      <c r="ADR1371" s="120"/>
      <c r="ADS1371" s="120"/>
      <c r="ADT1371" s="120"/>
      <c r="ADU1371" s="120"/>
      <c r="ADV1371" s="120"/>
      <c r="ADW1371" s="120"/>
      <c r="ADX1371" s="120"/>
      <c r="ADY1371" s="120"/>
      <c r="ADZ1371" s="120"/>
      <c r="AEA1371" s="120"/>
      <c r="AEB1371" s="120"/>
      <c r="AEC1371" s="120"/>
      <c r="AED1371" s="120"/>
      <c r="AEE1371" s="120"/>
      <c r="AEF1371" s="120"/>
      <c r="AEG1371" s="120"/>
      <c r="AEH1371" s="120"/>
      <c r="AEI1371" s="120"/>
      <c r="AEJ1371" s="120"/>
      <c r="AEK1371" s="120"/>
      <c r="AEL1371" s="120"/>
      <c r="AEM1371" s="120"/>
      <c r="AEN1371" s="120"/>
      <c r="AEO1371" s="120"/>
      <c r="AEP1371" s="120"/>
      <c r="AEQ1371" s="120"/>
      <c r="AER1371" s="120"/>
      <c r="AES1371" s="120"/>
      <c r="AET1371" s="120"/>
      <c r="AEU1371" s="120"/>
      <c r="AEV1371" s="120"/>
      <c r="AEW1371" s="120"/>
      <c r="AEX1371" s="120"/>
      <c r="AEY1371" s="120"/>
      <c r="AEZ1371" s="120"/>
      <c r="AFA1371" s="120"/>
      <c r="AFB1371" s="120"/>
      <c r="AFC1371" s="120"/>
      <c r="AFD1371" s="120"/>
      <c r="AFE1371" s="120"/>
      <c r="AFF1371" s="120"/>
      <c r="AFG1371" s="120"/>
      <c r="AFH1371" s="120"/>
      <c r="AFI1371" s="120"/>
      <c r="AFJ1371" s="120"/>
      <c r="AFK1371" s="120"/>
      <c r="AFL1371" s="120"/>
      <c r="AFM1371" s="120"/>
      <c r="AFN1371" s="120"/>
      <c r="AFO1371" s="120"/>
      <c r="AFP1371" s="120"/>
      <c r="AFQ1371" s="120"/>
      <c r="AFR1371" s="120"/>
      <c r="AFS1371" s="120"/>
      <c r="AFT1371" s="120"/>
      <c r="AFU1371" s="120"/>
      <c r="AFV1371" s="120"/>
      <c r="AFW1371" s="120"/>
      <c r="AFX1371" s="120"/>
      <c r="AFY1371" s="120"/>
      <c r="AFZ1371" s="120"/>
      <c r="AGA1371" s="120"/>
      <c r="AGB1371" s="120"/>
      <c r="AGC1371" s="120"/>
      <c r="AGD1371" s="120"/>
      <c r="AGE1371" s="120"/>
      <c r="AGF1371" s="120"/>
      <c r="AGG1371" s="120"/>
      <c r="AGH1371" s="120"/>
      <c r="AGI1371" s="120"/>
      <c r="AGJ1371" s="120"/>
      <c r="AGK1371" s="120"/>
      <c r="AGL1371" s="120"/>
      <c r="AGM1371" s="120"/>
      <c r="AGN1371" s="120"/>
      <c r="AGO1371" s="120"/>
      <c r="AGP1371" s="120"/>
      <c r="AGQ1371" s="120"/>
      <c r="AGR1371" s="120"/>
      <c r="AGS1371" s="120"/>
      <c r="AGT1371" s="120"/>
      <c r="AGU1371" s="120"/>
      <c r="AGV1371" s="120"/>
      <c r="AGW1371" s="120"/>
      <c r="AGX1371" s="120"/>
      <c r="AGY1371" s="120"/>
      <c r="AGZ1371" s="120"/>
      <c r="AHA1371" s="120"/>
      <c r="AHB1371" s="120"/>
      <c r="AHC1371" s="120"/>
      <c r="AHD1371" s="120"/>
      <c r="AHE1371" s="120"/>
      <c r="AHF1371" s="120"/>
      <c r="AHG1371" s="120"/>
      <c r="AHH1371" s="120"/>
      <c r="AHI1371" s="120"/>
      <c r="AHJ1371" s="120"/>
      <c r="AHK1371" s="120"/>
      <c r="AHL1371" s="120"/>
      <c r="AHM1371" s="120"/>
      <c r="AHN1371" s="120"/>
      <c r="AHO1371" s="120"/>
      <c r="AHP1371" s="120"/>
      <c r="AHQ1371" s="120"/>
      <c r="AHR1371" s="120"/>
      <c r="AHS1371" s="120"/>
      <c r="AHT1371" s="120"/>
      <c r="AHU1371" s="120"/>
      <c r="AHV1371" s="120"/>
      <c r="AHW1371" s="120"/>
      <c r="AHX1371" s="120"/>
      <c r="AHY1371" s="120"/>
      <c r="AHZ1371" s="120"/>
      <c r="AIA1371" s="120"/>
      <c r="AIB1371" s="120"/>
      <c r="AIC1371" s="120"/>
      <c r="AID1371" s="120"/>
      <c r="AIE1371" s="120"/>
      <c r="AIF1371" s="120"/>
      <c r="AIG1371" s="120"/>
      <c r="AIH1371" s="120"/>
      <c r="AII1371" s="120"/>
      <c r="AIJ1371" s="120"/>
      <c r="AIK1371" s="120"/>
      <c r="AIL1371" s="120"/>
      <c r="AIM1371" s="120"/>
      <c r="AIN1371" s="120"/>
      <c r="AIO1371" s="120"/>
      <c r="AIP1371" s="120"/>
      <c r="AIQ1371" s="120"/>
      <c r="AIR1371" s="120"/>
      <c r="AIS1371" s="120"/>
      <c r="AIT1371" s="120"/>
      <c r="AIU1371" s="120"/>
      <c r="AIV1371" s="120"/>
      <c r="AIW1371" s="120"/>
      <c r="AIX1371" s="120"/>
      <c r="AIY1371" s="120"/>
      <c r="AIZ1371" s="120"/>
      <c r="AJA1371" s="120"/>
      <c r="AJB1371" s="120"/>
      <c r="AJC1371" s="120"/>
      <c r="AJD1371" s="120"/>
      <c r="AJE1371" s="120"/>
      <c r="AJF1371" s="120"/>
      <c r="AJG1371" s="120"/>
      <c r="AJH1371" s="120"/>
      <c r="AJI1371" s="120"/>
      <c r="AJJ1371" s="120"/>
      <c r="AJK1371" s="120"/>
      <c r="AJL1371" s="120"/>
      <c r="AJM1371" s="120"/>
      <c r="AJN1371" s="120"/>
      <c r="AJO1371" s="120"/>
      <c r="AJP1371" s="120"/>
      <c r="AJQ1371" s="120"/>
      <c r="AJR1371" s="120"/>
      <c r="AJS1371" s="120"/>
      <c r="AJT1371" s="120"/>
      <c r="AJU1371" s="120"/>
      <c r="AJV1371" s="120"/>
      <c r="AJW1371" s="120"/>
      <c r="AJX1371" s="120"/>
      <c r="AJY1371" s="120"/>
      <c r="AJZ1371" s="120"/>
      <c r="AKA1371" s="120"/>
      <c r="AKB1371" s="120"/>
      <c r="AKC1371" s="120"/>
      <c r="AKD1371" s="120"/>
      <c r="AKE1371" s="120"/>
      <c r="AKF1371" s="120"/>
      <c r="AKG1371" s="120"/>
      <c r="AKH1371" s="120"/>
      <c r="AKI1371" s="120"/>
      <c r="AKJ1371" s="120"/>
      <c r="AKK1371" s="120"/>
      <c r="AKL1371" s="120"/>
      <c r="AKM1371" s="120"/>
      <c r="AKN1371" s="120"/>
      <c r="AKO1371" s="120"/>
      <c r="AKP1371" s="120"/>
      <c r="AKQ1371" s="120"/>
      <c r="AKR1371" s="120"/>
      <c r="AKS1371" s="120"/>
      <c r="AKT1371" s="120"/>
      <c r="AKU1371" s="120"/>
      <c r="AKV1371" s="120"/>
      <c r="AKW1371" s="120"/>
      <c r="AKX1371" s="120"/>
      <c r="AKY1371" s="120"/>
      <c r="AKZ1371" s="120"/>
      <c r="ALA1371" s="120"/>
      <c r="ALB1371" s="120"/>
      <c r="ALC1371" s="120"/>
      <c r="ALD1371" s="120"/>
      <c r="ALE1371" s="120"/>
      <c r="ALF1371" s="120"/>
      <c r="ALG1371" s="120"/>
      <c r="ALH1371" s="120"/>
      <c r="ALI1371" s="120"/>
      <c r="ALJ1371" s="120"/>
      <c r="ALK1371" s="120"/>
      <c r="ALL1371" s="120"/>
      <c r="ALM1371" s="120"/>
      <c r="ALN1371" s="120"/>
      <c r="ALO1371" s="120"/>
      <c r="ALP1371" s="120"/>
      <c r="ALQ1371" s="120"/>
      <c r="ALR1371" s="120"/>
      <c r="ALS1371" s="120"/>
      <c r="ALT1371" s="120"/>
      <c r="ALU1371" s="120"/>
      <c r="ALV1371" s="120"/>
      <c r="ALW1371" s="120"/>
      <c r="ALX1371" s="120"/>
      <c r="ALY1371" s="120"/>
      <c r="ALZ1371" s="120"/>
      <c r="AMA1371" s="120"/>
      <c r="AMB1371" s="120"/>
      <c r="AMC1371" s="120"/>
      <c r="AMD1371" s="120"/>
      <c r="AME1371" s="120"/>
      <c r="AMF1371" s="120"/>
      <c r="AMG1371" s="120"/>
      <c r="AMH1371" s="120"/>
      <c r="AMI1371" s="120"/>
      <c r="AMJ1371" s="120"/>
      <c r="AMK1371" s="120"/>
      <c r="AML1371" s="120"/>
      <c r="AMM1371" s="120"/>
      <c r="AMN1371" s="120"/>
      <c r="AMO1371" s="120"/>
      <c r="AMP1371" s="120"/>
      <c r="AMQ1371" s="120"/>
      <c r="AMR1371" s="120"/>
      <c r="AMS1371" s="120"/>
      <c r="AMT1371" s="120"/>
      <c r="AMU1371" s="120"/>
      <c r="AMV1371" s="120"/>
      <c r="AMW1371" s="120"/>
      <c r="AMX1371" s="120"/>
      <c r="AMY1371" s="120"/>
      <c r="AMZ1371" s="120"/>
      <c r="ANA1371" s="120"/>
      <c r="ANB1371" s="120"/>
      <c r="ANC1371" s="120"/>
      <c r="AND1371" s="120"/>
      <c r="ANE1371" s="120"/>
      <c r="ANF1371" s="120"/>
      <c r="ANG1371" s="120"/>
      <c r="ANH1371" s="120"/>
      <c r="ANI1371" s="120"/>
      <c r="ANJ1371" s="120"/>
      <c r="ANK1371" s="120"/>
      <c r="ANL1371" s="120"/>
      <c r="ANM1371" s="120"/>
      <c r="ANN1371" s="120"/>
      <c r="ANO1371" s="120"/>
      <c r="ANP1371" s="120"/>
      <c r="ANQ1371" s="120"/>
      <c r="ANR1371" s="120"/>
      <c r="ANS1371" s="120"/>
      <c r="ANT1371" s="120"/>
      <c r="ANU1371" s="120"/>
      <c r="ANV1371" s="120"/>
      <c r="ANW1371" s="120"/>
      <c r="ANX1371" s="120"/>
      <c r="ANY1371" s="120"/>
      <c r="ANZ1371" s="120"/>
      <c r="AOA1371" s="120"/>
      <c r="AOB1371" s="120"/>
      <c r="AOC1371" s="120"/>
      <c r="AOD1371" s="120"/>
      <c r="AOE1371" s="120"/>
      <c r="AOF1371" s="120"/>
      <c r="AOG1371" s="120"/>
      <c r="AOH1371" s="120"/>
      <c r="AOI1371" s="120"/>
      <c r="AOJ1371" s="120"/>
      <c r="AOK1371" s="120"/>
      <c r="AOL1371" s="120"/>
      <c r="AOM1371" s="120"/>
      <c r="AON1371" s="120"/>
      <c r="AOO1371" s="120"/>
      <c r="AOP1371" s="120"/>
      <c r="AOQ1371" s="120"/>
      <c r="AOR1371" s="120"/>
      <c r="AOS1371" s="120"/>
      <c r="AOT1371" s="120"/>
      <c r="AOU1371" s="120"/>
      <c r="AOV1371" s="120"/>
      <c r="AOW1371" s="120"/>
      <c r="AOX1371" s="120"/>
      <c r="AOY1371" s="120"/>
      <c r="AOZ1371" s="120"/>
      <c r="APA1371" s="120"/>
      <c r="APB1371" s="120"/>
      <c r="APC1371" s="120"/>
      <c r="APD1371" s="120"/>
      <c r="APE1371" s="120"/>
      <c r="APF1371" s="120"/>
      <c r="APG1371" s="120"/>
      <c r="APH1371" s="120"/>
      <c r="API1371" s="120"/>
      <c r="APJ1371" s="120"/>
      <c r="APK1371" s="120"/>
      <c r="APL1371" s="120"/>
      <c r="APM1371" s="120"/>
      <c r="APN1371" s="120"/>
      <c r="APO1371" s="120"/>
      <c r="APP1371" s="120"/>
      <c r="APQ1371" s="120"/>
      <c r="APR1371" s="120"/>
      <c r="APS1371" s="120"/>
      <c r="APT1371" s="120"/>
      <c r="APU1371" s="120"/>
      <c r="APV1371" s="120"/>
      <c r="APW1371" s="120"/>
      <c r="APX1371" s="120"/>
      <c r="APY1371" s="120"/>
      <c r="APZ1371" s="120"/>
      <c r="AQA1371" s="120"/>
      <c r="AQB1371" s="120"/>
      <c r="AQC1371" s="120"/>
      <c r="AQD1371" s="120"/>
      <c r="AQE1371" s="120"/>
      <c r="AQF1371" s="120"/>
      <c r="AQG1371" s="120"/>
      <c r="AQH1371" s="120"/>
      <c r="AQI1371" s="120"/>
      <c r="AQJ1371" s="120"/>
      <c r="AQK1371" s="120"/>
      <c r="AQL1371" s="120"/>
      <c r="AQM1371" s="120"/>
      <c r="AQN1371" s="120"/>
      <c r="AQO1371" s="120"/>
      <c r="AQP1371" s="120"/>
      <c r="AQQ1371" s="120"/>
      <c r="AQR1371" s="120"/>
      <c r="AQS1371" s="120"/>
      <c r="AQT1371" s="120"/>
      <c r="AQU1371" s="120"/>
      <c r="AQV1371" s="120"/>
      <c r="AQW1371" s="120"/>
      <c r="AQX1371" s="120"/>
      <c r="AQY1371" s="120"/>
      <c r="AQZ1371" s="120"/>
      <c r="ARA1371" s="120"/>
      <c r="ARB1371" s="120"/>
      <c r="ARC1371" s="120"/>
      <c r="ARD1371" s="120"/>
      <c r="ARE1371" s="120"/>
      <c r="ARF1371" s="120"/>
      <c r="ARG1371" s="120"/>
      <c r="ARH1371" s="120"/>
      <c r="ARI1371" s="120"/>
      <c r="ARJ1371" s="120"/>
      <c r="ARK1371" s="120"/>
      <c r="ARL1371" s="120"/>
      <c r="ARM1371" s="120"/>
      <c r="ARN1371" s="120"/>
      <c r="ARO1371" s="120"/>
      <c r="ARP1371" s="120"/>
      <c r="ARQ1371" s="120"/>
      <c r="ARR1371" s="120"/>
      <c r="ARS1371" s="120"/>
      <c r="ART1371" s="120"/>
      <c r="ARU1371" s="120"/>
      <c r="ARV1371" s="120"/>
      <c r="ARW1371" s="120"/>
      <c r="ARX1371" s="120"/>
      <c r="ARY1371" s="120"/>
      <c r="ARZ1371" s="120"/>
      <c r="ASA1371" s="120"/>
      <c r="ASB1371" s="120"/>
      <c r="ASC1371" s="120"/>
      <c r="ASD1371" s="120"/>
      <c r="ASE1371" s="120"/>
      <c r="ASF1371" s="120"/>
      <c r="ASG1371" s="120"/>
      <c r="ASH1371" s="120"/>
      <c r="ASI1371" s="120"/>
      <c r="ASJ1371" s="120"/>
      <c r="ASK1371" s="120"/>
      <c r="ASL1371" s="120"/>
      <c r="ASM1371" s="120"/>
      <c r="ASN1371" s="120"/>
      <c r="ASO1371" s="120"/>
      <c r="ASP1371" s="120"/>
      <c r="ASQ1371" s="120"/>
      <c r="ASR1371" s="120"/>
      <c r="ASS1371" s="120"/>
      <c r="AST1371" s="120"/>
      <c r="ASU1371" s="120"/>
      <c r="ASV1371" s="120"/>
      <c r="ASW1371" s="120"/>
      <c r="ASX1371" s="120"/>
      <c r="ASY1371" s="120"/>
      <c r="ASZ1371" s="120"/>
      <c r="ATA1371" s="120"/>
      <c r="ATB1371" s="120"/>
      <c r="ATC1371" s="120"/>
      <c r="ATD1371" s="120"/>
      <c r="ATE1371" s="120"/>
      <c r="ATF1371" s="120"/>
      <c r="ATG1371" s="120"/>
      <c r="ATH1371" s="120"/>
      <c r="ATI1371" s="120"/>
      <c r="ATJ1371" s="120"/>
      <c r="ATK1371" s="120"/>
      <c r="ATL1371" s="120"/>
      <c r="ATM1371" s="120"/>
      <c r="ATN1371" s="120"/>
      <c r="ATO1371" s="120"/>
    </row>
    <row r="1372" spans="1:1211" s="20" customFormat="1" ht="14.1" customHeight="1">
      <c r="A1372" s="900"/>
      <c r="B1372" s="931" t="s">
        <v>3777</v>
      </c>
      <c r="C1372" s="932" t="s">
        <v>6137</v>
      </c>
      <c r="D1372" s="631"/>
      <c r="E1372" s="898"/>
      <c r="F1372" s="899"/>
      <c r="G1372" s="899"/>
      <c r="H1372" s="899"/>
      <c r="I1372" s="899"/>
      <c r="J1372" s="899"/>
      <c r="K1372" s="112"/>
      <c r="L1372" s="363"/>
      <c r="M1372" s="112"/>
      <c r="N1372" s="362"/>
      <c r="O1372" s="573"/>
      <c r="P1372" s="120"/>
      <c r="Q1372" s="120"/>
      <c r="R1372" s="120"/>
      <c r="S1372" s="120"/>
      <c r="T1372" s="120"/>
      <c r="U1372" s="120"/>
      <c r="V1372" s="120"/>
      <c r="W1372" s="120"/>
      <c r="X1372" s="120"/>
      <c r="Y1372" s="120"/>
      <c r="Z1372" s="120"/>
      <c r="AA1372" s="120"/>
      <c r="AB1372" s="120"/>
      <c r="AC1372" s="120"/>
      <c r="AD1372" s="120"/>
      <c r="AE1372" s="120"/>
      <c r="AF1372" s="120"/>
      <c r="AG1372" s="120"/>
      <c r="AH1372" s="120"/>
      <c r="AI1372" s="120"/>
      <c r="AJ1372" s="120"/>
      <c r="AK1372" s="120"/>
      <c r="AL1372" s="120"/>
      <c r="AM1372" s="120"/>
      <c r="AN1372" s="120"/>
      <c r="AO1372" s="120"/>
      <c r="AP1372" s="120"/>
      <c r="AQ1372" s="120"/>
      <c r="AR1372" s="120"/>
      <c r="AS1372" s="120"/>
      <c r="AT1372" s="120"/>
      <c r="AU1372" s="120"/>
      <c r="AV1372" s="120"/>
      <c r="AW1372" s="120"/>
      <c r="AX1372" s="120"/>
      <c r="AY1372" s="120"/>
      <c r="AZ1372" s="120"/>
      <c r="BA1372" s="120"/>
      <c r="BB1372" s="120"/>
      <c r="BC1372" s="120"/>
      <c r="BD1372" s="120"/>
      <c r="BE1372" s="120"/>
      <c r="BF1372" s="120"/>
      <c r="BG1372" s="120"/>
      <c r="BH1372" s="120"/>
      <c r="BI1372" s="120"/>
      <c r="BJ1372" s="120"/>
      <c r="BK1372" s="120"/>
      <c r="BL1372" s="120"/>
      <c r="BM1372" s="120"/>
      <c r="BN1372" s="120"/>
      <c r="BO1372" s="120"/>
      <c r="BP1372" s="120"/>
      <c r="BQ1372" s="120"/>
      <c r="BR1372" s="120"/>
      <c r="BS1372" s="120"/>
      <c r="BT1372" s="120"/>
      <c r="BU1372" s="120"/>
      <c r="BV1372" s="120"/>
      <c r="BW1372" s="120"/>
      <c r="BX1372" s="120"/>
      <c r="BY1372" s="120"/>
      <c r="BZ1372" s="120"/>
      <c r="CA1372" s="120"/>
      <c r="CB1372" s="120"/>
      <c r="CC1372" s="120"/>
      <c r="CD1372" s="120"/>
      <c r="CE1372" s="120"/>
      <c r="CF1372" s="120"/>
      <c r="CG1372" s="120"/>
      <c r="CH1372" s="120"/>
      <c r="CI1372" s="120"/>
      <c r="CJ1372" s="120"/>
      <c r="CK1372" s="120"/>
      <c r="CL1372" s="120"/>
      <c r="CM1372" s="120"/>
      <c r="CN1372" s="120"/>
      <c r="CO1372" s="120"/>
      <c r="CP1372" s="120"/>
      <c r="CQ1372" s="120"/>
      <c r="CR1372" s="120"/>
      <c r="CS1372" s="120"/>
      <c r="CT1372" s="120"/>
      <c r="CU1372" s="120"/>
      <c r="CV1372" s="120"/>
      <c r="CW1372" s="120"/>
      <c r="CX1372" s="120"/>
      <c r="CY1372" s="120"/>
      <c r="CZ1372" s="120"/>
      <c r="DA1372" s="120"/>
      <c r="DB1372" s="120"/>
      <c r="DC1372" s="120"/>
      <c r="DD1372" s="120"/>
      <c r="DE1372" s="120"/>
      <c r="DF1372" s="120"/>
      <c r="DG1372" s="120"/>
      <c r="DH1372" s="120"/>
      <c r="DI1372" s="120"/>
      <c r="DJ1372" s="120"/>
      <c r="DK1372" s="120"/>
      <c r="DL1372" s="120"/>
      <c r="DM1372" s="120"/>
      <c r="DN1372" s="120"/>
      <c r="DO1372" s="120"/>
      <c r="DP1372" s="120"/>
      <c r="DQ1372" s="120"/>
      <c r="DR1372" s="120"/>
      <c r="DS1372" s="120"/>
      <c r="DT1372" s="120"/>
      <c r="DU1372" s="120"/>
      <c r="DV1372" s="120"/>
      <c r="DW1372" s="120"/>
      <c r="DX1372" s="120"/>
      <c r="DY1372" s="120"/>
      <c r="DZ1372" s="120"/>
      <c r="EA1372" s="120"/>
      <c r="EB1372" s="120"/>
      <c r="EC1372" s="120"/>
      <c r="ED1372" s="120"/>
      <c r="EE1372" s="120"/>
      <c r="EF1372" s="120"/>
      <c r="EG1372" s="120"/>
      <c r="EH1372" s="120"/>
      <c r="EI1372" s="120"/>
      <c r="EJ1372" s="120"/>
      <c r="EK1372" s="120"/>
      <c r="EL1372" s="120"/>
      <c r="EM1372" s="120"/>
      <c r="EN1372" s="120"/>
      <c r="EO1372" s="120"/>
      <c r="EP1372" s="120"/>
      <c r="EQ1372" s="120"/>
      <c r="ER1372" s="120"/>
      <c r="ES1372" s="120"/>
      <c r="ET1372" s="120"/>
      <c r="EU1372" s="120"/>
      <c r="EV1372" s="120"/>
      <c r="EW1372" s="120"/>
      <c r="EX1372" s="120"/>
      <c r="EY1372" s="120"/>
      <c r="EZ1372" s="120"/>
      <c r="FA1372" s="120"/>
      <c r="FB1372" s="120"/>
      <c r="FC1372" s="120"/>
      <c r="FD1372" s="120"/>
      <c r="FE1372" s="120"/>
      <c r="FF1372" s="120"/>
      <c r="FG1372" s="120"/>
      <c r="FH1372" s="120"/>
      <c r="FI1372" s="120"/>
      <c r="FJ1372" s="120"/>
      <c r="FK1372" s="120"/>
      <c r="FL1372" s="120"/>
      <c r="FM1372" s="120"/>
      <c r="FN1372" s="120"/>
      <c r="FO1372" s="120"/>
      <c r="FP1372" s="120"/>
      <c r="FQ1372" s="120"/>
      <c r="FR1372" s="120"/>
      <c r="FS1372" s="120"/>
      <c r="FT1372" s="120"/>
      <c r="FU1372" s="120"/>
      <c r="FV1372" s="120"/>
      <c r="FW1372" s="120"/>
      <c r="FX1372" s="120"/>
      <c r="FY1372" s="120"/>
      <c r="FZ1372" s="120"/>
      <c r="GA1372" s="120"/>
      <c r="GB1372" s="120"/>
      <c r="GC1372" s="120"/>
      <c r="GD1372" s="120"/>
      <c r="GE1372" s="120"/>
      <c r="GF1372" s="120"/>
      <c r="GG1372" s="120"/>
      <c r="GH1372" s="120"/>
      <c r="GI1372" s="120"/>
      <c r="GJ1372" s="120"/>
      <c r="GK1372" s="120"/>
      <c r="GL1372" s="120"/>
      <c r="GM1372" s="120"/>
      <c r="GN1372" s="120"/>
      <c r="GO1372" s="120"/>
      <c r="GP1372" s="120"/>
      <c r="GQ1372" s="120"/>
      <c r="GR1372" s="120"/>
      <c r="GS1372" s="120"/>
      <c r="GT1372" s="120"/>
      <c r="GU1372" s="120"/>
      <c r="GV1372" s="120"/>
      <c r="GW1372" s="120"/>
      <c r="GX1372" s="120"/>
      <c r="GY1372" s="120"/>
      <c r="GZ1372" s="120"/>
      <c r="HA1372" s="120"/>
      <c r="HB1372" s="120"/>
      <c r="HC1372" s="120"/>
      <c r="HD1372" s="120"/>
      <c r="HE1372" s="120"/>
      <c r="HF1372" s="120"/>
      <c r="HG1372" s="120"/>
      <c r="HH1372" s="120"/>
      <c r="HI1372" s="120"/>
      <c r="HJ1372" s="120"/>
      <c r="HK1372" s="120"/>
      <c r="HL1372" s="120"/>
      <c r="HM1372" s="120"/>
      <c r="HN1372" s="120"/>
      <c r="HO1372" s="120"/>
      <c r="HP1372" s="120"/>
      <c r="HQ1372" s="120"/>
      <c r="HR1372" s="120"/>
      <c r="HS1372" s="120"/>
      <c r="HT1372" s="120"/>
      <c r="HU1372" s="120"/>
      <c r="HV1372" s="120"/>
      <c r="HW1372" s="120"/>
      <c r="HX1372" s="120"/>
      <c r="HY1372" s="120"/>
      <c r="HZ1372" s="120"/>
      <c r="IA1372" s="120"/>
      <c r="IB1372" s="120"/>
      <c r="IC1372" s="120"/>
      <c r="ID1372" s="120"/>
      <c r="IE1372" s="120"/>
      <c r="IF1372" s="120"/>
      <c r="IG1372" s="120"/>
      <c r="IH1372" s="120"/>
      <c r="II1372" s="120"/>
      <c r="IJ1372" s="120"/>
      <c r="IK1372" s="120"/>
      <c r="IL1372" s="120"/>
      <c r="IM1372" s="120"/>
      <c r="IN1372" s="120"/>
      <c r="IO1372" s="120"/>
      <c r="IP1372" s="120"/>
      <c r="IQ1372" s="120"/>
      <c r="IR1372" s="120"/>
      <c r="IS1372" s="120"/>
      <c r="IT1372" s="120"/>
      <c r="IU1372" s="120"/>
      <c r="IV1372" s="120"/>
      <c r="IW1372" s="120"/>
      <c r="IX1372" s="120"/>
      <c r="IY1372" s="120"/>
      <c r="IZ1372" s="120"/>
      <c r="JA1372" s="120"/>
      <c r="JB1372" s="120"/>
      <c r="JC1372" s="120"/>
      <c r="JD1372" s="120"/>
      <c r="JE1372" s="120"/>
      <c r="JF1372" s="120"/>
      <c r="JG1372" s="120"/>
      <c r="JH1372" s="120"/>
      <c r="JI1372" s="120"/>
      <c r="JJ1372" s="120"/>
      <c r="JK1372" s="120"/>
      <c r="JL1372" s="120"/>
      <c r="JM1372" s="120"/>
      <c r="JN1372" s="120"/>
      <c r="JO1372" s="120"/>
      <c r="JP1372" s="120"/>
      <c r="JQ1372" s="120"/>
      <c r="JR1372" s="120"/>
      <c r="JS1372" s="120"/>
      <c r="JT1372" s="120"/>
      <c r="JU1372" s="120"/>
      <c r="JV1372" s="120"/>
      <c r="JW1372" s="120"/>
      <c r="JX1372" s="120"/>
      <c r="JY1372" s="120"/>
      <c r="JZ1372" s="120"/>
      <c r="KA1372" s="120"/>
      <c r="KB1372" s="120"/>
      <c r="KC1372" s="120"/>
      <c r="KD1372" s="120"/>
      <c r="KE1372" s="120"/>
      <c r="KF1372" s="120"/>
      <c r="KG1372" s="120"/>
      <c r="KH1372" s="120"/>
      <c r="KI1372" s="120"/>
      <c r="KJ1372" s="120"/>
      <c r="KK1372" s="120"/>
      <c r="KL1372" s="120"/>
      <c r="KM1372" s="120"/>
      <c r="KN1372" s="120"/>
      <c r="KO1372" s="120"/>
      <c r="KP1372" s="120"/>
      <c r="KQ1372" s="120"/>
      <c r="KR1372" s="120"/>
      <c r="KS1372" s="120"/>
      <c r="KT1372" s="120"/>
      <c r="KU1372" s="120"/>
      <c r="KV1372" s="120"/>
      <c r="KW1372" s="120"/>
      <c r="KX1372" s="120"/>
      <c r="KY1372" s="120"/>
      <c r="KZ1372" s="120"/>
      <c r="LA1372" s="120"/>
      <c r="LB1372" s="120"/>
      <c r="LC1372" s="120"/>
      <c r="LD1372" s="120"/>
      <c r="LE1372" s="120"/>
      <c r="LF1372" s="120"/>
      <c r="LG1372" s="120"/>
      <c r="LH1372" s="120"/>
      <c r="LI1372" s="120"/>
      <c r="LJ1372" s="120"/>
      <c r="LK1372" s="120"/>
      <c r="LL1372" s="120"/>
      <c r="LM1372" s="120"/>
      <c r="LN1372" s="120"/>
      <c r="LO1372" s="120"/>
      <c r="LP1372" s="120"/>
      <c r="LQ1372" s="120"/>
      <c r="LR1372" s="120"/>
      <c r="LS1372" s="120"/>
      <c r="LT1372" s="120"/>
      <c r="LU1372" s="120"/>
      <c r="LV1372" s="120"/>
      <c r="LW1372" s="120"/>
      <c r="LX1372" s="120"/>
      <c r="LY1372" s="120"/>
      <c r="LZ1372" s="120"/>
      <c r="MA1372" s="120"/>
      <c r="MB1372" s="120"/>
      <c r="MC1372" s="120"/>
      <c r="MD1372" s="120"/>
      <c r="ME1372" s="120"/>
      <c r="MF1372" s="120"/>
      <c r="MG1372" s="120"/>
      <c r="MH1372" s="120"/>
      <c r="MI1372" s="120"/>
      <c r="MJ1372" s="120"/>
      <c r="MK1372" s="120"/>
      <c r="ML1372" s="120"/>
      <c r="MM1372" s="120"/>
      <c r="MN1372" s="120"/>
      <c r="MO1372" s="120"/>
      <c r="MP1372" s="120"/>
      <c r="MQ1372" s="120"/>
      <c r="MR1372" s="120"/>
      <c r="MS1372" s="120"/>
      <c r="MT1372" s="120"/>
      <c r="MU1372" s="120"/>
      <c r="MV1372" s="120"/>
      <c r="MW1372" s="120"/>
      <c r="MX1372" s="120"/>
      <c r="MY1372" s="120"/>
      <c r="MZ1372" s="120"/>
      <c r="NA1372" s="120"/>
      <c r="NB1372" s="120"/>
      <c r="NC1372" s="120"/>
      <c r="ND1372" s="120"/>
      <c r="NE1372" s="120"/>
      <c r="NF1372" s="120"/>
      <c r="NG1372" s="120"/>
      <c r="NH1372" s="120"/>
      <c r="NI1372" s="120"/>
      <c r="NJ1372" s="120"/>
      <c r="NK1372" s="120"/>
      <c r="NL1372" s="120"/>
      <c r="NM1372" s="120"/>
      <c r="NN1372" s="120"/>
      <c r="NO1372" s="120"/>
      <c r="NP1372" s="120"/>
      <c r="NQ1372" s="120"/>
      <c r="NR1372" s="120"/>
      <c r="NS1372" s="120"/>
      <c r="NT1372" s="120"/>
      <c r="NU1372" s="120"/>
      <c r="NV1372" s="120"/>
      <c r="NW1372" s="120"/>
      <c r="NX1372" s="120"/>
      <c r="NY1372" s="120"/>
      <c r="NZ1372" s="120"/>
      <c r="OA1372" s="120"/>
      <c r="OB1372" s="120"/>
      <c r="OC1372" s="120"/>
      <c r="OD1372" s="120"/>
      <c r="OE1372" s="120"/>
      <c r="OF1372" s="120"/>
      <c r="OG1372" s="120"/>
      <c r="OH1372" s="120"/>
      <c r="OI1372" s="120"/>
      <c r="OJ1372" s="120"/>
      <c r="OK1372" s="120"/>
      <c r="OL1372" s="120"/>
      <c r="OM1372" s="120"/>
      <c r="ON1372" s="120"/>
      <c r="OO1372" s="120"/>
      <c r="OP1372" s="120"/>
      <c r="OQ1372" s="120"/>
      <c r="OR1372" s="120"/>
      <c r="OS1372" s="120"/>
      <c r="OT1372" s="120"/>
      <c r="OU1372" s="120"/>
      <c r="OV1372" s="120"/>
      <c r="OW1372" s="120"/>
      <c r="OX1372" s="120"/>
      <c r="OY1372" s="120"/>
      <c r="OZ1372" s="120"/>
      <c r="PA1372" s="120"/>
      <c r="PB1372" s="120"/>
      <c r="PC1372" s="120"/>
      <c r="PD1372" s="120"/>
      <c r="PE1372" s="120"/>
      <c r="PF1372" s="120"/>
      <c r="PG1372" s="120"/>
      <c r="PH1372" s="120"/>
      <c r="PI1372" s="120"/>
      <c r="PJ1372" s="120"/>
      <c r="PK1372" s="120"/>
      <c r="PL1372" s="120"/>
      <c r="PM1372" s="120"/>
      <c r="PN1372" s="120"/>
      <c r="PO1372" s="120"/>
      <c r="PP1372" s="120"/>
      <c r="PQ1372" s="120"/>
      <c r="PR1372" s="120"/>
      <c r="PS1372" s="120"/>
      <c r="PT1372" s="120"/>
      <c r="PU1372" s="120"/>
      <c r="PV1372" s="120"/>
      <c r="PW1372" s="120"/>
      <c r="PX1372" s="120"/>
      <c r="PY1372" s="120"/>
      <c r="PZ1372" s="120"/>
      <c r="QA1372" s="120"/>
      <c r="QB1372" s="120"/>
      <c r="QC1372" s="120"/>
      <c r="QD1372" s="120"/>
      <c r="QE1372" s="120"/>
      <c r="QF1372" s="120"/>
      <c r="QG1372" s="120"/>
      <c r="QH1372" s="120"/>
      <c r="QI1372" s="120"/>
      <c r="QJ1372" s="120"/>
      <c r="QK1372" s="120"/>
      <c r="QL1372" s="120"/>
      <c r="QM1372" s="120"/>
      <c r="QN1372" s="120"/>
      <c r="QO1372" s="120"/>
      <c r="QP1372" s="120"/>
      <c r="QQ1372" s="120"/>
      <c r="QR1372" s="120"/>
      <c r="QS1372" s="120"/>
      <c r="QT1372" s="120"/>
      <c r="QU1372" s="120"/>
      <c r="QV1372" s="120"/>
      <c r="QW1372" s="120"/>
      <c r="QX1372" s="120"/>
      <c r="QY1372" s="120"/>
      <c r="QZ1372" s="120"/>
      <c r="RA1372" s="120"/>
      <c r="RB1372" s="120"/>
      <c r="RC1372" s="120"/>
      <c r="RD1372" s="120"/>
      <c r="RE1372" s="120"/>
      <c r="RF1372" s="120"/>
      <c r="RG1372" s="120"/>
      <c r="RH1372" s="120"/>
      <c r="RI1372" s="120"/>
      <c r="RJ1372" s="120"/>
      <c r="RK1372" s="120"/>
      <c r="RL1372" s="120"/>
      <c r="RM1372" s="120"/>
      <c r="RN1372" s="120"/>
      <c r="RO1372" s="120"/>
      <c r="RP1372" s="120"/>
      <c r="RQ1372" s="120"/>
      <c r="RR1372" s="120"/>
      <c r="RS1372" s="120"/>
      <c r="RT1372" s="120"/>
      <c r="RU1372" s="120"/>
      <c r="RV1372" s="120"/>
      <c r="RW1372" s="120"/>
      <c r="RX1372" s="120"/>
      <c r="RY1372" s="120"/>
      <c r="RZ1372" s="120"/>
      <c r="SA1372" s="120"/>
      <c r="SB1372" s="120"/>
      <c r="SC1372" s="120"/>
      <c r="SD1372" s="120"/>
      <c r="SE1372" s="120"/>
      <c r="SF1372" s="120"/>
      <c r="SG1372" s="120"/>
      <c r="SH1372" s="120"/>
      <c r="SI1372" s="120"/>
      <c r="SJ1372" s="120"/>
      <c r="SK1372" s="120"/>
      <c r="SL1372" s="120"/>
      <c r="SM1372" s="120"/>
      <c r="SN1372" s="120"/>
      <c r="SO1372" s="120"/>
      <c r="SP1372" s="120"/>
      <c r="SQ1372" s="120"/>
      <c r="SR1372" s="120"/>
      <c r="SS1372" s="120"/>
      <c r="ST1372" s="120"/>
      <c r="SU1372" s="120"/>
      <c r="SV1372" s="120"/>
      <c r="SW1372" s="120"/>
      <c r="SX1372" s="120"/>
      <c r="SY1372" s="120"/>
      <c r="SZ1372" s="120"/>
      <c r="TA1372" s="120"/>
      <c r="TB1372" s="120"/>
      <c r="TC1372" s="120"/>
      <c r="TD1372" s="120"/>
      <c r="TE1372" s="120"/>
      <c r="TF1372" s="120"/>
      <c r="TG1372" s="120"/>
      <c r="TH1372" s="120"/>
      <c r="TI1372" s="120"/>
      <c r="TJ1372" s="120"/>
      <c r="TK1372" s="120"/>
      <c r="TL1372" s="120"/>
      <c r="TM1372" s="120"/>
      <c r="TN1372" s="120"/>
      <c r="TO1372" s="120"/>
      <c r="TP1372" s="120"/>
      <c r="TQ1372" s="120"/>
      <c r="TR1372" s="120"/>
      <c r="TS1372" s="120"/>
      <c r="TT1372" s="120"/>
      <c r="TU1372" s="120"/>
      <c r="TV1372" s="120"/>
      <c r="TW1372" s="120"/>
      <c r="TX1372" s="120"/>
      <c r="TY1372" s="120"/>
      <c r="TZ1372" s="120"/>
      <c r="UA1372" s="120"/>
      <c r="UB1372" s="120"/>
      <c r="UC1372" s="120"/>
      <c r="UD1372" s="120"/>
      <c r="UE1372" s="120"/>
      <c r="UF1372" s="120"/>
      <c r="UG1372" s="120"/>
      <c r="UH1372" s="120"/>
      <c r="UI1372" s="120"/>
      <c r="UJ1372" s="120"/>
      <c r="UK1372" s="120"/>
      <c r="UL1372" s="120"/>
      <c r="UM1372" s="120"/>
      <c r="UN1372" s="120"/>
      <c r="UO1372" s="120"/>
      <c r="UP1372" s="120"/>
      <c r="UQ1372" s="120"/>
      <c r="UR1372" s="120"/>
      <c r="US1372" s="120"/>
      <c r="UT1372" s="120"/>
      <c r="UU1372" s="120"/>
      <c r="UV1372" s="120"/>
      <c r="UW1372" s="120"/>
      <c r="UX1372" s="120"/>
      <c r="UY1372" s="120"/>
      <c r="UZ1372" s="120"/>
      <c r="VA1372" s="120"/>
      <c r="VB1372" s="120"/>
      <c r="VC1372" s="120"/>
      <c r="VD1372" s="120"/>
      <c r="VE1372" s="120"/>
      <c r="VF1372" s="120"/>
      <c r="VG1372" s="120"/>
      <c r="VH1372" s="120"/>
      <c r="VI1372" s="120"/>
      <c r="VJ1372" s="120"/>
      <c r="VK1372" s="120"/>
      <c r="VL1372" s="120"/>
      <c r="VM1372" s="120"/>
      <c r="VN1372" s="120"/>
      <c r="VO1372" s="120"/>
      <c r="VP1372" s="120"/>
      <c r="VQ1372" s="120"/>
      <c r="VR1372" s="120"/>
      <c r="VS1372" s="120"/>
      <c r="VT1372" s="120"/>
      <c r="VU1372" s="120"/>
      <c r="VV1372" s="120"/>
      <c r="VW1372" s="120"/>
      <c r="VX1372" s="120"/>
      <c r="VY1372" s="120"/>
      <c r="VZ1372" s="120"/>
      <c r="WA1372" s="120"/>
      <c r="WB1372" s="120"/>
      <c r="WC1372" s="120"/>
      <c r="WD1372" s="120"/>
      <c r="WE1372" s="120"/>
      <c r="WF1372" s="120"/>
      <c r="WG1372" s="120"/>
      <c r="WH1372" s="120"/>
      <c r="WI1372" s="120"/>
      <c r="WJ1372" s="120"/>
      <c r="WK1372" s="120"/>
      <c r="WL1372" s="120"/>
      <c r="WM1372" s="120"/>
      <c r="WN1372" s="120"/>
      <c r="WO1372" s="120"/>
      <c r="WP1372" s="120"/>
      <c r="WQ1372" s="120"/>
      <c r="WR1372" s="120"/>
      <c r="WS1372" s="120"/>
      <c r="WT1372" s="120"/>
      <c r="WU1372" s="120"/>
      <c r="WV1372" s="120"/>
      <c r="WW1372" s="120"/>
      <c r="WX1372" s="120"/>
      <c r="WY1372" s="120"/>
      <c r="WZ1372" s="120"/>
      <c r="XA1372" s="120"/>
      <c r="XB1372" s="120"/>
      <c r="XC1372" s="120"/>
      <c r="XD1372" s="120"/>
      <c r="XE1372" s="120"/>
      <c r="XF1372" s="120"/>
      <c r="XG1372" s="120"/>
      <c r="XH1372" s="120"/>
      <c r="XI1372" s="120"/>
      <c r="XJ1372" s="120"/>
      <c r="XK1372" s="120"/>
      <c r="XL1372" s="120"/>
      <c r="XM1372" s="120"/>
      <c r="XN1372" s="120"/>
      <c r="XO1372" s="120"/>
      <c r="XP1372" s="120"/>
      <c r="XQ1372" s="120"/>
      <c r="XR1372" s="120"/>
      <c r="XS1372" s="120"/>
      <c r="XT1372" s="120"/>
      <c r="XU1372" s="120"/>
      <c r="XV1372" s="120"/>
      <c r="XW1372" s="120"/>
      <c r="XX1372" s="120"/>
      <c r="XY1372" s="120"/>
      <c r="XZ1372" s="120"/>
      <c r="YA1372" s="120"/>
      <c r="YB1372" s="120"/>
      <c r="YC1372" s="120"/>
      <c r="YD1372" s="120"/>
      <c r="YE1372" s="120"/>
      <c r="YF1372" s="120"/>
      <c r="YG1372" s="120"/>
      <c r="YH1372" s="120"/>
      <c r="YI1372" s="120"/>
      <c r="YJ1372" s="120"/>
      <c r="YK1372" s="120"/>
      <c r="YL1372" s="120"/>
      <c r="YM1372" s="120"/>
      <c r="YN1372" s="120"/>
      <c r="YO1372" s="120"/>
      <c r="YP1372" s="120"/>
      <c r="YQ1372" s="120"/>
      <c r="YR1372" s="120"/>
      <c r="YS1372" s="120"/>
      <c r="YT1372" s="120"/>
      <c r="YU1372" s="120"/>
      <c r="YV1372" s="120"/>
      <c r="YW1372" s="120"/>
      <c r="YX1372" s="120"/>
      <c r="YY1372" s="120"/>
      <c r="YZ1372" s="120"/>
      <c r="ZA1372" s="120"/>
      <c r="ZB1372" s="120"/>
      <c r="ZC1372" s="120"/>
      <c r="ZD1372" s="120"/>
      <c r="ZE1372" s="120"/>
      <c r="ZF1372" s="120"/>
      <c r="ZG1372" s="120"/>
      <c r="ZH1372" s="120"/>
      <c r="ZI1372" s="120"/>
      <c r="ZJ1372" s="120"/>
      <c r="ZK1372" s="120"/>
      <c r="ZL1372" s="120"/>
      <c r="ZM1372" s="120"/>
      <c r="ZN1372" s="120"/>
      <c r="ZO1372" s="120"/>
      <c r="ZP1372" s="120"/>
      <c r="ZQ1372" s="120"/>
      <c r="ZR1372" s="120"/>
      <c r="ZS1372" s="120"/>
      <c r="ZT1372" s="120"/>
      <c r="ZU1372" s="120"/>
      <c r="ZV1372" s="120"/>
      <c r="ZW1372" s="120"/>
      <c r="ZX1372" s="120"/>
      <c r="ZY1372" s="120"/>
      <c r="ZZ1372" s="120"/>
      <c r="AAA1372" s="120"/>
      <c r="AAB1372" s="120"/>
      <c r="AAC1372" s="120"/>
      <c r="AAD1372" s="120"/>
      <c r="AAE1372" s="120"/>
      <c r="AAF1372" s="120"/>
      <c r="AAG1372" s="120"/>
      <c r="AAH1372" s="120"/>
      <c r="AAI1372" s="120"/>
      <c r="AAJ1372" s="120"/>
      <c r="AAK1372" s="120"/>
      <c r="AAL1372" s="120"/>
      <c r="AAM1372" s="120"/>
      <c r="AAN1372" s="120"/>
      <c r="AAO1372" s="120"/>
      <c r="AAP1372" s="120"/>
      <c r="AAQ1372" s="120"/>
      <c r="AAR1372" s="120"/>
      <c r="AAS1372" s="120"/>
      <c r="AAT1372" s="120"/>
      <c r="AAU1372" s="120"/>
      <c r="AAV1372" s="120"/>
      <c r="AAW1372" s="120"/>
      <c r="AAX1372" s="120"/>
      <c r="AAY1372" s="120"/>
      <c r="AAZ1372" s="120"/>
      <c r="ABA1372" s="120"/>
      <c r="ABB1372" s="120"/>
      <c r="ABC1372" s="120"/>
      <c r="ABD1372" s="120"/>
      <c r="ABE1372" s="120"/>
      <c r="ABF1372" s="120"/>
      <c r="ABG1372" s="120"/>
      <c r="ABH1372" s="120"/>
      <c r="ABI1372" s="120"/>
      <c r="ABJ1372" s="120"/>
      <c r="ABK1372" s="120"/>
      <c r="ABL1372" s="120"/>
      <c r="ABM1372" s="120"/>
      <c r="ABN1372" s="120"/>
      <c r="ABO1372" s="120"/>
      <c r="ABP1372" s="120"/>
      <c r="ABQ1372" s="120"/>
      <c r="ABR1372" s="120"/>
      <c r="ABS1372" s="120"/>
      <c r="ABT1372" s="120"/>
      <c r="ABU1372" s="120"/>
      <c r="ABV1372" s="120"/>
      <c r="ABW1372" s="120"/>
      <c r="ABX1372" s="120"/>
      <c r="ABY1372" s="120"/>
      <c r="ABZ1372" s="120"/>
      <c r="ACA1372" s="120"/>
      <c r="ACB1372" s="120"/>
      <c r="ACC1372" s="120"/>
      <c r="ACD1372" s="120"/>
      <c r="ACE1372" s="120"/>
      <c r="ACF1372" s="120"/>
      <c r="ACG1372" s="120"/>
      <c r="ACH1372" s="120"/>
      <c r="ACI1372" s="120"/>
      <c r="ACJ1372" s="120"/>
      <c r="ACK1372" s="120"/>
      <c r="ACL1372" s="120"/>
      <c r="ACM1372" s="120"/>
      <c r="ACN1372" s="120"/>
      <c r="ACO1372" s="120"/>
      <c r="ACP1372" s="120"/>
      <c r="ACQ1372" s="120"/>
      <c r="ACR1372" s="120"/>
      <c r="ACS1372" s="120"/>
      <c r="ACT1372" s="120"/>
      <c r="ACU1372" s="120"/>
      <c r="ACV1372" s="120"/>
      <c r="ACW1372" s="120"/>
      <c r="ACX1372" s="120"/>
      <c r="ACY1372" s="120"/>
      <c r="ACZ1372" s="120"/>
      <c r="ADA1372" s="120"/>
      <c r="ADB1372" s="120"/>
      <c r="ADC1372" s="120"/>
      <c r="ADD1372" s="120"/>
      <c r="ADE1372" s="120"/>
      <c r="ADF1372" s="120"/>
      <c r="ADG1372" s="120"/>
      <c r="ADH1372" s="120"/>
      <c r="ADI1372" s="120"/>
      <c r="ADJ1372" s="120"/>
      <c r="ADK1372" s="120"/>
      <c r="ADL1372" s="120"/>
      <c r="ADM1372" s="120"/>
      <c r="ADN1372" s="120"/>
      <c r="ADO1372" s="120"/>
      <c r="ADP1372" s="120"/>
      <c r="ADQ1372" s="120"/>
      <c r="ADR1372" s="120"/>
      <c r="ADS1372" s="120"/>
      <c r="ADT1372" s="120"/>
      <c r="ADU1372" s="120"/>
      <c r="ADV1372" s="120"/>
      <c r="ADW1372" s="120"/>
      <c r="ADX1372" s="120"/>
      <c r="ADY1372" s="120"/>
      <c r="ADZ1372" s="120"/>
      <c r="AEA1372" s="120"/>
      <c r="AEB1372" s="120"/>
      <c r="AEC1372" s="120"/>
      <c r="AED1372" s="120"/>
      <c r="AEE1372" s="120"/>
      <c r="AEF1372" s="120"/>
      <c r="AEG1372" s="120"/>
      <c r="AEH1372" s="120"/>
      <c r="AEI1372" s="120"/>
      <c r="AEJ1372" s="120"/>
      <c r="AEK1372" s="120"/>
      <c r="AEL1372" s="120"/>
      <c r="AEM1372" s="120"/>
      <c r="AEN1372" s="120"/>
      <c r="AEO1372" s="120"/>
      <c r="AEP1372" s="120"/>
      <c r="AEQ1372" s="120"/>
      <c r="AER1372" s="120"/>
      <c r="AES1372" s="120"/>
      <c r="AET1372" s="120"/>
      <c r="AEU1372" s="120"/>
      <c r="AEV1372" s="120"/>
      <c r="AEW1372" s="120"/>
      <c r="AEX1372" s="120"/>
      <c r="AEY1372" s="120"/>
      <c r="AEZ1372" s="120"/>
      <c r="AFA1372" s="120"/>
      <c r="AFB1372" s="120"/>
      <c r="AFC1372" s="120"/>
      <c r="AFD1372" s="120"/>
      <c r="AFE1372" s="120"/>
      <c r="AFF1372" s="120"/>
      <c r="AFG1372" s="120"/>
      <c r="AFH1372" s="120"/>
      <c r="AFI1372" s="120"/>
      <c r="AFJ1372" s="120"/>
      <c r="AFK1372" s="120"/>
      <c r="AFL1372" s="120"/>
      <c r="AFM1372" s="120"/>
      <c r="AFN1372" s="120"/>
      <c r="AFO1372" s="120"/>
      <c r="AFP1372" s="120"/>
      <c r="AFQ1372" s="120"/>
      <c r="AFR1372" s="120"/>
      <c r="AFS1372" s="120"/>
      <c r="AFT1372" s="120"/>
      <c r="AFU1372" s="120"/>
      <c r="AFV1372" s="120"/>
      <c r="AFW1372" s="120"/>
      <c r="AFX1372" s="120"/>
      <c r="AFY1372" s="120"/>
      <c r="AFZ1372" s="120"/>
      <c r="AGA1372" s="120"/>
      <c r="AGB1372" s="120"/>
      <c r="AGC1372" s="120"/>
      <c r="AGD1372" s="120"/>
      <c r="AGE1372" s="120"/>
      <c r="AGF1372" s="120"/>
      <c r="AGG1372" s="120"/>
      <c r="AGH1372" s="120"/>
      <c r="AGI1372" s="120"/>
      <c r="AGJ1372" s="120"/>
      <c r="AGK1372" s="120"/>
      <c r="AGL1372" s="120"/>
      <c r="AGM1372" s="120"/>
      <c r="AGN1372" s="120"/>
      <c r="AGO1372" s="120"/>
      <c r="AGP1372" s="120"/>
      <c r="AGQ1372" s="120"/>
      <c r="AGR1372" s="120"/>
      <c r="AGS1372" s="120"/>
      <c r="AGT1372" s="120"/>
      <c r="AGU1372" s="120"/>
      <c r="AGV1372" s="120"/>
      <c r="AGW1372" s="120"/>
      <c r="AGX1372" s="120"/>
      <c r="AGY1372" s="120"/>
      <c r="AGZ1372" s="120"/>
      <c r="AHA1372" s="120"/>
      <c r="AHB1372" s="120"/>
      <c r="AHC1372" s="120"/>
      <c r="AHD1372" s="120"/>
      <c r="AHE1372" s="120"/>
      <c r="AHF1372" s="120"/>
      <c r="AHG1372" s="120"/>
      <c r="AHH1372" s="120"/>
      <c r="AHI1372" s="120"/>
      <c r="AHJ1372" s="120"/>
      <c r="AHK1372" s="120"/>
      <c r="AHL1372" s="120"/>
      <c r="AHM1372" s="120"/>
      <c r="AHN1372" s="120"/>
      <c r="AHO1372" s="120"/>
      <c r="AHP1372" s="120"/>
      <c r="AHQ1372" s="120"/>
      <c r="AHR1372" s="120"/>
      <c r="AHS1372" s="120"/>
      <c r="AHT1372" s="120"/>
      <c r="AHU1372" s="120"/>
      <c r="AHV1372" s="120"/>
      <c r="AHW1372" s="120"/>
      <c r="AHX1372" s="120"/>
      <c r="AHY1372" s="120"/>
      <c r="AHZ1372" s="120"/>
      <c r="AIA1372" s="120"/>
      <c r="AIB1372" s="120"/>
      <c r="AIC1372" s="120"/>
      <c r="AID1372" s="120"/>
      <c r="AIE1372" s="120"/>
      <c r="AIF1372" s="120"/>
      <c r="AIG1372" s="120"/>
      <c r="AIH1372" s="120"/>
      <c r="AII1372" s="120"/>
      <c r="AIJ1372" s="120"/>
      <c r="AIK1372" s="120"/>
      <c r="AIL1372" s="120"/>
      <c r="AIM1372" s="120"/>
      <c r="AIN1372" s="120"/>
      <c r="AIO1372" s="120"/>
      <c r="AIP1372" s="120"/>
      <c r="AIQ1372" s="120"/>
      <c r="AIR1372" s="120"/>
      <c r="AIS1372" s="120"/>
      <c r="AIT1372" s="120"/>
      <c r="AIU1372" s="120"/>
      <c r="AIV1372" s="120"/>
      <c r="AIW1372" s="120"/>
      <c r="AIX1372" s="120"/>
      <c r="AIY1372" s="120"/>
      <c r="AIZ1372" s="120"/>
      <c r="AJA1372" s="120"/>
      <c r="AJB1372" s="120"/>
      <c r="AJC1372" s="120"/>
      <c r="AJD1372" s="120"/>
      <c r="AJE1372" s="120"/>
      <c r="AJF1372" s="120"/>
      <c r="AJG1372" s="120"/>
      <c r="AJH1372" s="120"/>
      <c r="AJI1372" s="120"/>
      <c r="AJJ1372" s="120"/>
      <c r="AJK1372" s="120"/>
      <c r="AJL1372" s="120"/>
      <c r="AJM1372" s="120"/>
      <c r="AJN1372" s="120"/>
      <c r="AJO1372" s="120"/>
      <c r="AJP1372" s="120"/>
      <c r="AJQ1372" s="120"/>
      <c r="AJR1372" s="120"/>
      <c r="AJS1372" s="120"/>
      <c r="AJT1372" s="120"/>
      <c r="AJU1372" s="120"/>
      <c r="AJV1372" s="120"/>
      <c r="AJW1372" s="120"/>
      <c r="AJX1372" s="120"/>
      <c r="AJY1372" s="120"/>
      <c r="AJZ1372" s="120"/>
      <c r="AKA1372" s="120"/>
      <c r="AKB1372" s="120"/>
      <c r="AKC1372" s="120"/>
      <c r="AKD1372" s="120"/>
      <c r="AKE1372" s="120"/>
      <c r="AKF1372" s="120"/>
      <c r="AKG1372" s="120"/>
      <c r="AKH1372" s="120"/>
      <c r="AKI1372" s="120"/>
      <c r="AKJ1372" s="120"/>
      <c r="AKK1372" s="120"/>
      <c r="AKL1372" s="120"/>
      <c r="AKM1372" s="120"/>
      <c r="AKN1372" s="120"/>
      <c r="AKO1372" s="120"/>
      <c r="AKP1372" s="120"/>
      <c r="AKQ1372" s="120"/>
      <c r="AKR1372" s="120"/>
      <c r="AKS1372" s="120"/>
      <c r="AKT1372" s="120"/>
      <c r="AKU1372" s="120"/>
      <c r="AKV1372" s="120"/>
      <c r="AKW1372" s="120"/>
      <c r="AKX1372" s="120"/>
      <c r="AKY1372" s="120"/>
      <c r="AKZ1372" s="120"/>
      <c r="ALA1372" s="120"/>
      <c r="ALB1372" s="120"/>
      <c r="ALC1372" s="120"/>
      <c r="ALD1372" s="120"/>
      <c r="ALE1372" s="120"/>
      <c r="ALF1372" s="120"/>
      <c r="ALG1372" s="120"/>
      <c r="ALH1372" s="120"/>
      <c r="ALI1372" s="120"/>
      <c r="ALJ1372" s="120"/>
      <c r="ALK1372" s="120"/>
      <c r="ALL1372" s="120"/>
      <c r="ALM1372" s="120"/>
      <c r="ALN1372" s="120"/>
      <c r="ALO1372" s="120"/>
      <c r="ALP1372" s="120"/>
      <c r="ALQ1372" s="120"/>
      <c r="ALR1372" s="120"/>
      <c r="ALS1372" s="120"/>
      <c r="ALT1372" s="120"/>
      <c r="ALU1372" s="120"/>
      <c r="ALV1372" s="120"/>
      <c r="ALW1372" s="120"/>
      <c r="ALX1372" s="120"/>
      <c r="ALY1372" s="120"/>
      <c r="ALZ1372" s="120"/>
      <c r="AMA1372" s="120"/>
      <c r="AMB1372" s="120"/>
      <c r="AMC1372" s="120"/>
      <c r="AMD1372" s="120"/>
      <c r="AME1372" s="120"/>
      <c r="AMF1372" s="120"/>
      <c r="AMG1372" s="120"/>
      <c r="AMH1372" s="120"/>
      <c r="AMI1372" s="120"/>
      <c r="AMJ1372" s="120"/>
      <c r="AMK1372" s="120"/>
      <c r="AML1372" s="120"/>
      <c r="AMM1372" s="120"/>
      <c r="AMN1372" s="120"/>
      <c r="AMO1372" s="120"/>
      <c r="AMP1372" s="120"/>
      <c r="AMQ1372" s="120"/>
      <c r="AMR1372" s="120"/>
      <c r="AMS1372" s="120"/>
      <c r="AMT1372" s="120"/>
      <c r="AMU1372" s="120"/>
      <c r="AMV1372" s="120"/>
      <c r="AMW1372" s="120"/>
      <c r="AMX1372" s="120"/>
      <c r="AMY1372" s="120"/>
      <c r="AMZ1372" s="120"/>
      <c r="ANA1372" s="120"/>
      <c r="ANB1372" s="120"/>
      <c r="ANC1372" s="120"/>
      <c r="AND1372" s="120"/>
      <c r="ANE1372" s="120"/>
      <c r="ANF1372" s="120"/>
      <c r="ANG1372" s="120"/>
      <c r="ANH1372" s="120"/>
      <c r="ANI1372" s="120"/>
      <c r="ANJ1372" s="120"/>
      <c r="ANK1372" s="120"/>
      <c r="ANL1372" s="120"/>
      <c r="ANM1372" s="120"/>
      <c r="ANN1372" s="120"/>
      <c r="ANO1372" s="120"/>
      <c r="ANP1372" s="120"/>
      <c r="ANQ1372" s="120"/>
      <c r="ANR1372" s="120"/>
      <c r="ANS1372" s="120"/>
      <c r="ANT1372" s="120"/>
      <c r="ANU1372" s="120"/>
      <c r="ANV1372" s="120"/>
      <c r="ANW1372" s="120"/>
      <c r="ANX1372" s="120"/>
      <c r="ANY1372" s="120"/>
      <c r="ANZ1372" s="120"/>
      <c r="AOA1372" s="120"/>
      <c r="AOB1372" s="120"/>
      <c r="AOC1372" s="120"/>
      <c r="AOD1372" s="120"/>
      <c r="AOE1372" s="120"/>
      <c r="AOF1372" s="120"/>
      <c r="AOG1372" s="120"/>
      <c r="AOH1372" s="120"/>
      <c r="AOI1372" s="120"/>
      <c r="AOJ1372" s="120"/>
      <c r="AOK1372" s="120"/>
      <c r="AOL1372" s="120"/>
      <c r="AOM1372" s="120"/>
      <c r="AON1372" s="120"/>
      <c r="AOO1372" s="120"/>
      <c r="AOP1372" s="120"/>
      <c r="AOQ1372" s="120"/>
      <c r="AOR1372" s="120"/>
      <c r="AOS1372" s="120"/>
      <c r="AOT1372" s="120"/>
      <c r="AOU1372" s="120"/>
      <c r="AOV1372" s="120"/>
      <c r="AOW1372" s="120"/>
      <c r="AOX1372" s="120"/>
      <c r="AOY1372" s="120"/>
      <c r="AOZ1372" s="120"/>
      <c r="APA1372" s="120"/>
      <c r="APB1372" s="120"/>
      <c r="APC1372" s="120"/>
      <c r="APD1372" s="120"/>
      <c r="APE1372" s="120"/>
      <c r="APF1372" s="120"/>
      <c r="APG1372" s="120"/>
      <c r="APH1372" s="120"/>
      <c r="API1372" s="120"/>
      <c r="APJ1372" s="120"/>
      <c r="APK1372" s="120"/>
      <c r="APL1372" s="120"/>
      <c r="APM1372" s="120"/>
      <c r="APN1372" s="120"/>
      <c r="APO1372" s="120"/>
      <c r="APP1372" s="120"/>
      <c r="APQ1372" s="120"/>
      <c r="APR1372" s="120"/>
      <c r="APS1372" s="120"/>
      <c r="APT1372" s="120"/>
      <c r="APU1372" s="120"/>
      <c r="APV1372" s="120"/>
      <c r="APW1372" s="120"/>
      <c r="APX1372" s="120"/>
      <c r="APY1372" s="120"/>
      <c r="APZ1372" s="120"/>
      <c r="AQA1372" s="120"/>
      <c r="AQB1372" s="120"/>
      <c r="AQC1372" s="120"/>
      <c r="AQD1372" s="120"/>
      <c r="AQE1372" s="120"/>
      <c r="AQF1372" s="120"/>
      <c r="AQG1372" s="120"/>
      <c r="AQH1372" s="120"/>
      <c r="AQI1372" s="120"/>
      <c r="AQJ1372" s="120"/>
      <c r="AQK1372" s="120"/>
      <c r="AQL1372" s="120"/>
      <c r="AQM1372" s="120"/>
      <c r="AQN1372" s="120"/>
      <c r="AQO1372" s="120"/>
      <c r="AQP1372" s="120"/>
      <c r="AQQ1372" s="120"/>
      <c r="AQR1372" s="120"/>
      <c r="AQS1372" s="120"/>
      <c r="AQT1372" s="120"/>
      <c r="AQU1372" s="120"/>
      <c r="AQV1372" s="120"/>
      <c r="AQW1372" s="120"/>
      <c r="AQX1372" s="120"/>
      <c r="AQY1372" s="120"/>
      <c r="AQZ1372" s="120"/>
      <c r="ARA1372" s="120"/>
      <c r="ARB1372" s="120"/>
      <c r="ARC1372" s="120"/>
      <c r="ARD1372" s="120"/>
      <c r="ARE1372" s="120"/>
      <c r="ARF1372" s="120"/>
      <c r="ARG1372" s="120"/>
      <c r="ARH1372" s="120"/>
      <c r="ARI1372" s="120"/>
      <c r="ARJ1372" s="120"/>
      <c r="ARK1372" s="120"/>
      <c r="ARL1372" s="120"/>
      <c r="ARM1372" s="120"/>
      <c r="ARN1372" s="120"/>
      <c r="ARO1372" s="120"/>
      <c r="ARP1372" s="120"/>
      <c r="ARQ1372" s="120"/>
      <c r="ARR1372" s="120"/>
      <c r="ARS1372" s="120"/>
      <c r="ART1372" s="120"/>
      <c r="ARU1372" s="120"/>
      <c r="ARV1372" s="120"/>
      <c r="ARW1372" s="120"/>
      <c r="ARX1372" s="120"/>
      <c r="ARY1372" s="120"/>
      <c r="ARZ1372" s="120"/>
      <c r="ASA1372" s="120"/>
      <c r="ASB1372" s="120"/>
      <c r="ASC1372" s="120"/>
      <c r="ASD1372" s="120"/>
      <c r="ASE1372" s="120"/>
      <c r="ASF1372" s="120"/>
      <c r="ASG1372" s="120"/>
      <c r="ASH1372" s="120"/>
      <c r="ASI1372" s="120"/>
      <c r="ASJ1372" s="120"/>
      <c r="ASK1372" s="120"/>
      <c r="ASL1372" s="120"/>
      <c r="ASM1372" s="120"/>
      <c r="ASN1372" s="120"/>
      <c r="ASO1372" s="120"/>
      <c r="ASP1372" s="120"/>
      <c r="ASQ1372" s="120"/>
      <c r="ASR1372" s="120"/>
      <c r="ASS1372" s="120"/>
      <c r="AST1372" s="120"/>
      <c r="ASU1372" s="120"/>
      <c r="ASV1372" s="120"/>
      <c r="ASW1372" s="120"/>
      <c r="ASX1372" s="120"/>
      <c r="ASY1372" s="120"/>
      <c r="ASZ1372" s="120"/>
      <c r="ATA1372" s="120"/>
      <c r="ATB1372" s="120"/>
      <c r="ATC1372" s="120"/>
      <c r="ATD1372" s="120"/>
      <c r="ATE1372" s="120"/>
      <c r="ATF1372" s="120"/>
      <c r="ATG1372" s="120"/>
      <c r="ATH1372" s="120"/>
      <c r="ATI1372" s="120"/>
      <c r="ATJ1372" s="120"/>
      <c r="ATK1372" s="120"/>
      <c r="ATL1372" s="120"/>
      <c r="ATM1372" s="120"/>
      <c r="ATN1372" s="120"/>
      <c r="ATO1372" s="120"/>
    </row>
    <row r="1373" spans="1:1211" s="20" customFormat="1" ht="14.1" customHeight="1">
      <c r="A1373" s="900"/>
      <c r="B1373" s="933"/>
      <c r="C1373" s="932" t="s">
        <v>6138</v>
      </c>
      <c r="D1373" s="631"/>
      <c r="E1373" s="898"/>
      <c r="F1373" s="899"/>
      <c r="G1373" s="899"/>
      <c r="H1373" s="899"/>
      <c r="I1373" s="899"/>
      <c r="J1373" s="899"/>
      <c r="K1373" s="112"/>
      <c r="L1373" s="363"/>
      <c r="M1373" s="112"/>
      <c r="N1373" s="362"/>
      <c r="O1373" s="573"/>
      <c r="P1373" s="120"/>
      <c r="Q1373" s="120"/>
      <c r="R1373" s="120"/>
      <c r="S1373" s="120"/>
      <c r="T1373" s="120"/>
      <c r="U1373" s="120"/>
      <c r="V1373" s="120"/>
      <c r="W1373" s="120"/>
      <c r="X1373" s="120"/>
      <c r="Y1373" s="120"/>
      <c r="Z1373" s="120"/>
      <c r="AA1373" s="120"/>
      <c r="AB1373" s="120"/>
      <c r="AC1373" s="120"/>
      <c r="AD1373" s="120"/>
      <c r="AE1373" s="120"/>
      <c r="AF1373" s="120"/>
      <c r="AG1373" s="120"/>
      <c r="AH1373" s="120"/>
      <c r="AI1373" s="120"/>
      <c r="AJ1373" s="120"/>
      <c r="AK1373" s="120"/>
      <c r="AL1373" s="120"/>
      <c r="AM1373" s="120"/>
      <c r="AN1373" s="120"/>
      <c r="AO1373" s="120"/>
      <c r="AP1373" s="120"/>
      <c r="AQ1373" s="120"/>
      <c r="AR1373" s="120"/>
      <c r="AS1373" s="120"/>
      <c r="AT1373" s="120"/>
      <c r="AU1373" s="120"/>
      <c r="AV1373" s="120"/>
      <c r="AW1373" s="120"/>
      <c r="AX1373" s="120"/>
      <c r="AY1373" s="120"/>
      <c r="AZ1373" s="120"/>
      <c r="BA1373" s="120"/>
      <c r="BB1373" s="120"/>
      <c r="BC1373" s="120"/>
      <c r="BD1373" s="120"/>
      <c r="BE1373" s="120"/>
      <c r="BF1373" s="120"/>
      <c r="BG1373" s="120"/>
      <c r="BH1373" s="120"/>
      <c r="BI1373" s="120"/>
      <c r="BJ1373" s="120"/>
      <c r="BK1373" s="120"/>
      <c r="BL1373" s="120"/>
      <c r="BM1373" s="120"/>
      <c r="BN1373" s="120"/>
      <c r="BO1373" s="120"/>
      <c r="BP1373" s="120"/>
      <c r="BQ1373" s="120"/>
      <c r="BR1373" s="120"/>
      <c r="BS1373" s="120"/>
      <c r="BT1373" s="120"/>
      <c r="BU1373" s="120"/>
      <c r="BV1373" s="120"/>
      <c r="BW1373" s="120"/>
      <c r="BX1373" s="120"/>
      <c r="BY1373" s="120"/>
      <c r="BZ1373" s="120"/>
      <c r="CA1373" s="120"/>
      <c r="CB1373" s="120"/>
      <c r="CC1373" s="120"/>
      <c r="CD1373" s="120"/>
      <c r="CE1373" s="120"/>
      <c r="CF1373" s="120"/>
      <c r="CG1373" s="120"/>
      <c r="CH1373" s="120"/>
      <c r="CI1373" s="120"/>
      <c r="CJ1373" s="120"/>
      <c r="CK1373" s="120"/>
      <c r="CL1373" s="120"/>
      <c r="CM1373" s="120"/>
      <c r="CN1373" s="120"/>
      <c r="CO1373" s="120"/>
      <c r="CP1373" s="120"/>
      <c r="CQ1373" s="120"/>
      <c r="CR1373" s="120"/>
      <c r="CS1373" s="120"/>
      <c r="CT1373" s="120"/>
      <c r="CU1373" s="120"/>
      <c r="CV1373" s="120"/>
      <c r="CW1373" s="120"/>
      <c r="CX1373" s="120"/>
      <c r="CY1373" s="120"/>
      <c r="CZ1373" s="120"/>
      <c r="DA1373" s="120"/>
      <c r="DB1373" s="120"/>
      <c r="DC1373" s="120"/>
      <c r="DD1373" s="120"/>
      <c r="DE1373" s="120"/>
      <c r="DF1373" s="120"/>
      <c r="DG1373" s="120"/>
      <c r="DH1373" s="120"/>
      <c r="DI1373" s="120"/>
      <c r="DJ1373" s="120"/>
      <c r="DK1373" s="120"/>
      <c r="DL1373" s="120"/>
      <c r="DM1373" s="120"/>
      <c r="DN1373" s="120"/>
      <c r="DO1373" s="120"/>
      <c r="DP1373" s="120"/>
      <c r="DQ1373" s="120"/>
      <c r="DR1373" s="120"/>
      <c r="DS1373" s="120"/>
      <c r="DT1373" s="120"/>
      <c r="DU1373" s="120"/>
      <c r="DV1373" s="120"/>
      <c r="DW1373" s="120"/>
      <c r="DX1373" s="120"/>
      <c r="DY1373" s="120"/>
      <c r="DZ1373" s="120"/>
      <c r="EA1373" s="120"/>
      <c r="EB1373" s="120"/>
      <c r="EC1373" s="120"/>
      <c r="ED1373" s="120"/>
      <c r="EE1373" s="120"/>
      <c r="EF1373" s="120"/>
      <c r="EG1373" s="120"/>
      <c r="EH1373" s="120"/>
      <c r="EI1373" s="120"/>
      <c r="EJ1373" s="120"/>
      <c r="EK1373" s="120"/>
      <c r="EL1373" s="120"/>
      <c r="EM1373" s="120"/>
      <c r="EN1373" s="120"/>
      <c r="EO1373" s="120"/>
      <c r="EP1373" s="120"/>
      <c r="EQ1373" s="120"/>
      <c r="ER1373" s="120"/>
      <c r="ES1373" s="120"/>
      <c r="ET1373" s="120"/>
      <c r="EU1373" s="120"/>
      <c r="EV1373" s="120"/>
      <c r="EW1373" s="120"/>
      <c r="EX1373" s="120"/>
      <c r="EY1373" s="120"/>
      <c r="EZ1373" s="120"/>
      <c r="FA1373" s="120"/>
      <c r="FB1373" s="120"/>
      <c r="FC1373" s="120"/>
      <c r="FD1373" s="120"/>
      <c r="FE1373" s="120"/>
      <c r="FF1373" s="120"/>
      <c r="FG1373" s="120"/>
      <c r="FH1373" s="120"/>
      <c r="FI1373" s="120"/>
      <c r="FJ1373" s="120"/>
      <c r="FK1373" s="120"/>
      <c r="FL1373" s="120"/>
      <c r="FM1373" s="120"/>
      <c r="FN1373" s="120"/>
      <c r="FO1373" s="120"/>
      <c r="FP1373" s="120"/>
      <c r="FQ1373" s="120"/>
      <c r="FR1373" s="120"/>
      <c r="FS1373" s="120"/>
      <c r="FT1373" s="120"/>
      <c r="FU1373" s="120"/>
      <c r="FV1373" s="120"/>
      <c r="FW1373" s="120"/>
      <c r="FX1373" s="120"/>
      <c r="FY1373" s="120"/>
      <c r="FZ1373" s="120"/>
      <c r="GA1373" s="120"/>
      <c r="GB1373" s="120"/>
      <c r="GC1373" s="120"/>
      <c r="GD1373" s="120"/>
      <c r="GE1373" s="120"/>
      <c r="GF1373" s="120"/>
      <c r="GG1373" s="120"/>
      <c r="GH1373" s="120"/>
      <c r="GI1373" s="120"/>
      <c r="GJ1373" s="120"/>
      <c r="GK1373" s="120"/>
      <c r="GL1373" s="120"/>
      <c r="GM1373" s="120"/>
      <c r="GN1373" s="120"/>
      <c r="GO1373" s="120"/>
      <c r="GP1373" s="120"/>
      <c r="GQ1373" s="120"/>
      <c r="GR1373" s="120"/>
      <c r="GS1373" s="120"/>
      <c r="GT1373" s="120"/>
      <c r="GU1373" s="120"/>
      <c r="GV1373" s="120"/>
      <c r="GW1373" s="120"/>
      <c r="GX1373" s="120"/>
      <c r="GY1373" s="120"/>
      <c r="GZ1373" s="120"/>
      <c r="HA1373" s="120"/>
      <c r="HB1373" s="120"/>
      <c r="HC1373" s="120"/>
      <c r="HD1373" s="120"/>
      <c r="HE1373" s="120"/>
      <c r="HF1373" s="120"/>
      <c r="HG1373" s="120"/>
      <c r="HH1373" s="120"/>
      <c r="HI1373" s="120"/>
      <c r="HJ1373" s="120"/>
      <c r="HK1373" s="120"/>
      <c r="HL1373" s="120"/>
      <c r="HM1373" s="120"/>
      <c r="HN1373" s="120"/>
      <c r="HO1373" s="120"/>
      <c r="HP1373" s="120"/>
      <c r="HQ1373" s="120"/>
      <c r="HR1373" s="120"/>
      <c r="HS1373" s="120"/>
      <c r="HT1373" s="120"/>
      <c r="HU1373" s="120"/>
      <c r="HV1373" s="120"/>
      <c r="HW1373" s="120"/>
      <c r="HX1373" s="120"/>
      <c r="HY1373" s="120"/>
      <c r="HZ1373" s="120"/>
      <c r="IA1373" s="120"/>
      <c r="IB1373" s="120"/>
      <c r="IC1373" s="120"/>
      <c r="ID1373" s="120"/>
      <c r="IE1373" s="120"/>
      <c r="IF1373" s="120"/>
      <c r="IG1373" s="120"/>
      <c r="IH1373" s="120"/>
      <c r="II1373" s="120"/>
      <c r="IJ1373" s="120"/>
      <c r="IK1373" s="120"/>
      <c r="IL1373" s="120"/>
      <c r="IM1373" s="120"/>
      <c r="IN1373" s="120"/>
      <c r="IO1373" s="120"/>
      <c r="IP1373" s="120"/>
      <c r="IQ1373" s="120"/>
      <c r="IR1373" s="120"/>
      <c r="IS1373" s="120"/>
      <c r="IT1373" s="120"/>
      <c r="IU1373" s="120"/>
      <c r="IV1373" s="120"/>
      <c r="IW1373" s="120"/>
      <c r="IX1373" s="120"/>
      <c r="IY1373" s="120"/>
      <c r="IZ1373" s="120"/>
      <c r="JA1373" s="120"/>
      <c r="JB1373" s="120"/>
      <c r="JC1373" s="120"/>
      <c r="JD1373" s="120"/>
      <c r="JE1373" s="120"/>
      <c r="JF1373" s="120"/>
      <c r="JG1373" s="120"/>
      <c r="JH1373" s="120"/>
      <c r="JI1373" s="120"/>
      <c r="JJ1373" s="120"/>
      <c r="JK1373" s="120"/>
      <c r="JL1373" s="120"/>
      <c r="JM1373" s="120"/>
      <c r="JN1373" s="120"/>
      <c r="JO1373" s="120"/>
      <c r="JP1373" s="120"/>
      <c r="JQ1373" s="120"/>
      <c r="JR1373" s="120"/>
      <c r="JS1373" s="120"/>
      <c r="JT1373" s="120"/>
      <c r="JU1373" s="120"/>
      <c r="JV1373" s="120"/>
      <c r="JW1373" s="120"/>
      <c r="JX1373" s="120"/>
      <c r="JY1373" s="120"/>
      <c r="JZ1373" s="120"/>
      <c r="KA1373" s="120"/>
      <c r="KB1373" s="120"/>
      <c r="KC1373" s="120"/>
      <c r="KD1373" s="120"/>
      <c r="KE1373" s="120"/>
      <c r="KF1373" s="120"/>
      <c r="KG1373" s="120"/>
      <c r="KH1373" s="120"/>
      <c r="KI1373" s="120"/>
      <c r="KJ1373" s="120"/>
      <c r="KK1373" s="120"/>
      <c r="KL1373" s="120"/>
      <c r="KM1373" s="120"/>
      <c r="KN1373" s="120"/>
      <c r="KO1373" s="120"/>
      <c r="KP1373" s="120"/>
      <c r="KQ1373" s="120"/>
      <c r="KR1373" s="120"/>
      <c r="KS1373" s="120"/>
      <c r="KT1373" s="120"/>
      <c r="KU1373" s="120"/>
      <c r="KV1373" s="120"/>
      <c r="KW1373" s="120"/>
      <c r="KX1373" s="120"/>
      <c r="KY1373" s="120"/>
      <c r="KZ1373" s="120"/>
      <c r="LA1373" s="120"/>
      <c r="LB1373" s="120"/>
      <c r="LC1373" s="120"/>
      <c r="LD1373" s="120"/>
      <c r="LE1373" s="120"/>
      <c r="LF1373" s="120"/>
      <c r="LG1373" s="120"/>
      <c r="LH1373" s="120"/>
      <c r="LI1373" s="120"/>
      <c r="LJ1373" s="120"/>
      <c r="LK1373" s="120"/>
      <c r="LL1373" s="120"/>
      <c r="LM1373" s="120"/>
      <c r="LN1373" s="120"/>
      <c r="LO1373" s="120"/>
      <c r="LP1373" s="120"/>
      <c r="LQ1373" s="120"/>
      <c r="LR1373" s="120"/>
      <c r="LS1373" s="120"/>
      <c r="LT1373" s="120"/>
      <c r="LU1373" s="120"/>
      <c r="LV1373" s="120"/>
      <c r="LW1373" s="120"/>
      <c r="LX1373" s="120"/>
      <c r="LY1373" s="120"/>
      <c r="LZ1373" s="120"/>
      <c r="MA1373" s="120"/>
      <c r="MB1373" s="120"/>
      <c r="MC1373" s="120"/>
      <c r="MD1373" s="120"/>
      <c r="ME1373" s="120"/>
      <c r="MF1373" s="120"/>
      <c r="MG1373" s="120"/>
      <c r="MH1373" s="120"/>
      <c r="MI1373" s="120"/>
      <c r="MJ1373" s="120"/>
      <c r="MK1373" s="120"/>
      <c r="ML1373" s="120"/>
      <c r="MM1373" s="120"/>
      <c r="MN1373" s="120"/>
      <c r="MO1373" s="120"/>
      <c r="MP1373" s="120"/>
      <c r="MQ1373" s="120"/>
      <c r="MR1373" s="120"/>
      <c r="MS1373" s="120"/>
      <c r="MT1373" s="120"/>
      <c r="MU1373" s="120"/>
      <c r="MV1373" s="120"/>
      <c r="MW1373" s="120"/>
      <c r="MX1373" s="120"/>
      <c r="MY1373" s="120"/>
      <c r="MZ1373" s="120"/>
      <c r="NA1373" s="120"/>
      <c r="NB1373" s="120"/>
      <c r="NC1373" s="120"/>
      <c r="ND1373" s="120"/>
      <c r="NE1373" s="120"/>
      <c r="NF1373" s="120"/>
      <c r="NG1373" s="120"/>
      <c r="NH1373" s="120"/>
      <c r="NI1373" s="120"/>
      <c r="NJ1373" s="120"/>
      <c r="NK1373" s="120"/>
      <c r="NL1373" s="120"/>
      <c r="NM1373" s="120"/>
      <c r="NN1373" s="120"/>
      <c r="NO1373" s="120"/>
      <c r="NP1373" s="120"/>
      <c r="NQ1373" s="120"/>
      <c r="NR1373" s="120"/>
      <c r="NS1373" s="120"/>
      <c r="NT1373" s="120"/>
      <c r="NU1373" s="120"/>
      <c r="NV1373" s="120"/>
      <c r="NW1373" s="120"/>
      <c r="NX1373" s="120"/>
      <c r="NY1373" s="120"/>
      <c r="NZ1373" s="120"/>
      <c r="OA1373" s="120"/>
      <c r="OB1373" s="120"/>
      <c r="OC1373" s="120"/>
      <c r="OD1373" s="120"/>
      <c r="OE1373" s="120"/>
      <c r="OF1373" s="120"/>
      <c r="OG1373" s="120"/>
      <c r="OH1373" s="120"/>
      <c r="OI1373" s="120"/>
      <c r="OJ1373" s="120"/>
      <c r="OK1373" s="120"/>
      <c r="OL1373" s="120"/>
      <c r="OM1373" s="120"/>
      <c r="ON1373" s="120"/>
      <c r="OO1373" s="120"/>
      <c r="OP1373" s="120"/>
      <c r="OQ1373" s="120"/>
      <c r="OR1373" s="120"/>
      <c r="OS1373" s="120"/>
      <c r="OT1373" s="120"/>
      <c r="OU1373" s="120"/>
      <c r="OV1373" s="120"/>
      <c r="OW1373" s="120"/>
      <c r="OX1373" s="120"/>
      <c r="OY1373" s="120"/>
      <c r="OZ1373" s="120"/>
      <c r="PA1373" s="120"/>
      <c r="PB1373" s="120"/>
      <c r="PC1373" s="120"/>
      <c r="PD1373" s="120"/>
      <c r="PE1373" s="120"/>
      <c r="PF1373" s="120"/>
      <c r="PG1373" s="120"/>
      <c r="PH1373" s="120"/>
      <c r="PI1373" s="120"/>
      <c r="PJ1373" s="120"/>
      <c r="PK1373" s="120"/>
      <c r="PL1373" s="120"/>
      <c r="PM1373" s="120"/>
      <c r="PN1373" s="120"/>
      <c r="PO1373" s="120"/>
      <c r="PP1373" s="120"/>
      <c r="PQ1373" s="120"/>
      <c r="PR1373" s="120"/>
      <c r="PS1373" s="120"/>
      <c r="PT1373" s="120"/>
      <c r="PU1373" s="120"/>
      <c r="PV1373" s="120"/>
      <c r="PW1373" s="120"/>
      <c r="PX1373" s="120"/>
      <c r="PY1373" s="120"/>
      <c r="PZ1373" s="120"/>
      <c r="QA1373" s="120"/>
      <c r="QB1373" s="120"/>
      <c r="QC1373" s="120"/>
      <c r="QD1373" s="120"/>
      <c r="QE1373" s="120"/>
      <c r="QF1373" s="120"/>
      <c r="QG1373" s="120"/>
      <c r="QH1373" s="120"/>
      <c r="QI1373" s="120"/>
      <c r="QJ1373" s="120"/>
      <c r="QK1373" s="120"/>
      <c r="QL1373" s="120"/>
      <c r="QM1373" s="120"/>
      <c r="QN1373" s="120"/>
      <c r="QO1373" s="120"/>
      <c r="QP1373" s="120"/>
      <c r="QQ1373" s="120"/>
      <c r="QR1373" s="120"/>
      <c r="QS1373" s="120"/>
      <c r="QT1373" s="120"/>
      <c r="QU1373" s="120"/>
      <c r="QV1373" s="120"/>
      <c r="QW1373" s="120"/>
      <c r="QX1373" s="120"/>
      <c r="QY1373" s="120"/>
      <c r="QZ1373" s="120"/>
      <c r="RA1373" s="120"/>
      <c r="RB1373" s="120"/>
      <c r="RC1373" s="120"/>
      <c r="RD1373" s="120"/>
      <c r="RE1373" s="120"/>
      <c r="RF1373" s="120"/>
      <c r="RG1373" s="120"/>
      <c r="RH1373" s="120"/>
      <c r="RI1373" s="120"/>
      <c r="RJ1373" s="120"/>
      <c r="RK1373" s="120"/>
      <c r="RL1373" s="120"/>
      <c r="RM1373" s="120"/>
      <c r="RN1373" s="120"/>
      <c r="RO1373" s="120"/>
      <c r="RP1373" s="120"/>
      <c r="RQ1373" s="120"/>
      <c r="RR1373" s="120"/>
      <c r="RS1373" s="120"/>
      <c r="RT1373" s="120"/>
      <c r="RU1373" s="120"/>
      <c r="RV1373" s="120"/>
      <c r="RW1373" s="120"/>
      <c r="RX1373" s="120"/>
      <c r="RY1373" s="120"/>
      <c r="RZ1373" s="120"/>
      <c r="SA1373" s="120"/>
      <c r="SB1373" s="120"/>
      <c r="SC1373" s="120"/>
      <c r="SD1373" s="120"/>
      <c r="SE1373" s="120"/>
      <c r="SF1373" s="120"/>
      <c r="SG1373" s="120"/>
      <c r="SH1373" s="120"/>
      <c r="SI1373" s="120"/>
      <c r="SJ1373" s="120"/>
      <c r="SK1373" s="120"/>
      <c r="SL1373" s="120"/>
      <c r="SM1373" s="120"/>
      <c r="SN1373" s="120"/>
      <c r="SO1373" s="120"/>
      <c r="SP1373" s="120"/>
      <c r="SQ1373" s="120"/>
      <c r="SR1373" s="120"/>
      <c r="SS1373" s="120"/>
      <c r="ST1373" s="120"/>
      <c r="SU1373" s="120"/>
      <c r="SV1373" s="120"/>
      <c r="SW1373" s="120"/>
      <c r="SX1373" s="120"/>
      <c r="SY1373" s="120"/>
      <c r="SZ1373" s="120"/>
      <c r="TA1373" s="120"/>
      <c r="TB1373" s="120"/>
      <c r="TC1373" s="120"/>
      <c r="TD1373" s="120"/>
      <c r="TE1373" s="120"/>
      <c r="TF1373" s="120"/>
      <c r="TG1373" s="120"/>
      <c r="TH1373" s="120"/>
      <c r="TI1373" s="120"/>
      <c r="TJ1373" s="120"/>
      <c r="TK1373" s="120"/>
      <c r="TL1373" s="120"/>
      <c r="TM1373" s="120"/>
      <c r="TN1373" s="120"/>
      <c r="TO1373" s="120"/>
      <c r="TP1373" s="120"/>
      <c r="TQ1373" s="120"/>
      <c r="TR1373" s="120"/>
      <c r="TS1373" s="120"/>
      <c r="TT1373" s="120"/>
      <c r="TU1373" s="120"/>
      <c r="TV1373" s="120"/>
      <c r="TW1373" s="120"/>
      <c r="TX1373" s="120"/>
      <c r="TY1373" s="120"/>
      <c r="TZ1373" s="120"/>
      <c r="UA1373" s="120"/>
      <c r="UB1373" s="120"/>
      <c r="UC1373" s="120"/>
      <c r="UD1373" s="120"/>
      <c r="UE1373" s="120"/>
      <c r="UF1373" s="120"/>
      <c r="UG1373" s="120"/>
      <c r="UH1373" s="120"/>
      <c r="UI1373" s="120"/>
      <c r="UJ1373" s="120"/>
      <c r="UK1373" s="120"/>
      <c r="UL1373" s="120"/>
      <c r="UM1373" s="120"/>
      <c r="UN1373" s="120"/>
      <c r="UO1373" s="120"/>
      <c r="UP1373" s="120"/>
      <c r="UQ1373" s="120"/>
      <c r="UR1373" s="120"/>
      <c r="US1373" s="120"/>
      <c r="UT1373" s="120"/>
      <c r="UU1373" s="120"/>
      <c r="UV1373" s="120"/>
      <c r="UW1373" s="120"/>
      <c r="UX1373" s="120"/>
      <c r="UY1373" s="120"/>
      <c r="UZ1373" s="120"/>
      <c r="VA1373" s="120"/>
      <c r="VB1373" s="120"/>
      <c r="VC1373" s="120"/>
      <c r="VD1373" s="120"/>
      <c r="VE1373" s="120"/>
      <c r="VF1373" s="120"/>
      <c r="VG1373" s="120"/>
      <c r="VH1373" s="120"/>
      <c r="VI1373" s="120"/>
      <c r="VJ1373" s="120"/>
      <c r="VK1373" s="120"/>
      <c r="VL1373" s="120"/>
      <c r="VM1373" s="120"/>
      <c r="VN1373" s="120"/>
      <c r="VO1373" s="120"/>
      <c r="VP1373" s="120"/>
      <c r="VQ1373" s="120"/>
      <c r="VR1373" s="120"/>
      <c r="VS1373" s="120"/>
      <c r="VT1373" s="120"/>
      <c r="VU1373" s="120"/>
      <c r="VV1373" s="120"/>
      <c r="VW1373" s="120"/>
      <c r="VX1373" s="120"/>
      <c r="VY1373" s="120"/>
      <c r="VZ1373" s="120"/>
      <c r="WA1373" s="120"/>
      <c r="WB1373" s="120"/>
      <c r="WC1373" s="120"/>
      <c r="WD1373" s="120"/>
      <c r="WE1373" s="120"/>
      <c r="WF1373" s="120"/>
      <c r="WG1373" s="120"/>
      <c r="WH1373" s="120"/>
      <c r="WI1373" s="120"/>
      <c r="WJ1373" s="120"/>
      <c r="WK1373" s="120"/>
      <c r="WL1373" s="120"/>
      <c r="WM1373" s="120"/>
      <c r="WN1373" s="120"/>
      <c r="WO1373" s="120"/>
      <c r="WP1373" s="120"/>
      <c r="WQ1373" s="120"/>
      <c r="WR1373" s="120"/>
      <c r="WS1373" s="120"/>
      <c r="WT1373" s="120"/>
      <c r="WU1373" s="120"/>
      <c r="WV1373" s="120"/>
      <c r="WW1373" s="120"/>
      <c r="WX1373" s="120"/>
      <c r="WY1373" s="120"/>
      <c r="WZ1373" s="120"/>
      <c r="XA1373" s="120"/>
      <c r="XB1373" s="120"/>
      <c r="XC1373" s="120"/>
      <c r="XD1373" s="120"/>
      <c r="XE1373" s="120"/>
      <c r="XF1373" s="120"/>
      <c r="XG1373" s="120"/>
      <c r="XH1373" s="120"/>
      <c r="XI1373" s="120"/>
      <c r="XJ1373" s="120"/>
      <c r="XK1373" s="120"/>
      <c r="XL1373" s="120"/>
      <c r="XM1373" s="120"/>
      <c r="XN1373" s="120"/>
      <c r="XO1373" s="120"/>
      <c r="XP1373" s="120"/>
      <c r="XQ1373" s="120"/>
      <c r="XR1373" s="120"/>
      <c r="XS1373" s="120"/>
      <c r="XT1373" s="120"/>
      <c r="XU1373" s="120"/>
      <c r="XV1373" s="120"/>
      <c r="XW1373" s="120"/>
      <c r="XX1373" s="120"/>
      <c r="XY1373" s="120"/>
      <c r="XZ1373" s="120"/>
      <c r="YA1373" s="120"/>
      <c r="YB1373" s="120"/>
      <c r="YC1373" s="120"/>
      <c r="YD1373" s="120"/>
      <c r="YE1373" s="120"/>
      <c r="YF1373" s="120"/>
      <c r="YG1373" s="120"/>
      <c r="YH1373" s="120"/>
      <c r="YI1373" s="120"/>
      <c r="YJ1373" s="120"/>
      <c r="YK1373" s="120"/>
      <c r="YL1373" s="120"/>
      <c r="YM1373" s="120"/>
      <c r="YN1373" s="120"/>
      <c r="YO1373" s="120"/>
      <c r="YP1373" s="120"/>
      <c r="YQ1373" s="120"/>
      <c r="YR1373" s="120"/>
      <c r="YS1373" s="120"/>
      <c r="YT1373" s="120"/>
      <c r="YU1373" s="120"/>
      <c r="YV1373" s="120"/>
      <c r="YW1373" s="120"/>
      <c r="YX1373" s="120"/>
      <c r="YY1373" s="120"/>
      <c r="YZ1373" s="120"/>
      <c r="ZA1373" s="120"/>
      <c r="ZB1373" s="120"/>
      <c r="ZC1373" s="120"/>
      <c r="ZD1373" s="120"/>
      <c r="ZE1373" s="120"/>
      <c r="ZF1373" s="120"/>
      <c r="ZG1373" s="120"/>
      <c r="ZH1373" s="120"/>
      <c r="ZI1373" s="120"/>
      <c r="ZJ1373" s="120"/>
      <c r="ZK1373" s="120"/>
      <c r="ZL1373" s="120"/>
      <c r="ZM1373" s="120"/>
      <c r="ZN1373" s="120"/>
      <c r="ZO1373" s="120"/>
      <c r="ZP1373" s="120"/>
      <c r="ZQ1373" s="120"/>
      <c r="ZR1373" s="120"/>
      <c r="ZS1373" s="120"/>
      <c r="ZT1373" s="120"/>
      <c r="ZU1373" s="120"/>
      <c r="ZV1373" s="120"/>
      <c r="ZW1373" s="120"/>
      <c r="ZX1373" s="120"/>
      <c r="ZY1373" s="120"/>
      <c r="ZZ1373" s="120"/>
      <c r="AAA1373" s="120"/>
      <c r="AAB1373" s="120"/>
      <c r="AAC1373" s="120"/>
      <c r="AAD1373" s="120"/>
      <c r="AAE1373" s="120"/>
      <c r="AAF1373" s="120"/>
      <c r="AAG1373" s="120"/>
      <c r="AAH1373" s="120"/>
      <c r="AAI1373" s="120"/>
      <c r="AAJ1373" s="120"/>
      <c r="AAK1373" s="120"/>
      <c r="AAL1373" s="120"/>
      <c r="AAM1373" s="120"/>
      <c r="AAN1373" s="120"/>
      <c r="AAO1373" s="120"/>
      <c r="AAP1373" s="120"/>
      <c r="AAQ1373" s="120"/>
      <c r="AAR1373" s="120"/>
      <c r="AAS1373" s="120"/>
      <c r="AAT1373" s="120"/>
      <c r="AAU1373" s="120"/>
      <c r="AAV1373" s="120"/>
      <c r="AAW1373" s="120"/>
      <c r="AAX1373" s="120"/>
      <c r="AAY1373" s="120"/>
      <c r="AAZ1373" s="120"/>
      <c r="ABA1373" s="120"/>
      <c r="ABB1373" s="120"/>
      <c r="ABC1373" s="120"/>
      <c r="ABD1373" s="120"/>
      <c r="ABE1373" s="120"/>
      <c r="ABF1373" s="120"/>
      <c r="ABG1373" s="120"/>
      <c r="ABH1373" s="120"/>
      <c r="ABI1373" s="120"/>
      <c r="ABJ1373" s="120"/>
      <c r="ABK1373" s="120"/>
      <c r="ABL1373" s="120"/>
      <c r="ABM1373" s="120"/>
      <c r="ABN1373" s="120"/>
      <c r="ABO1373" s="120"/>
      <c r="ABP1373" s="120"/>
      <c r="ABQ1373" s="120"/>
      <c r="ABR1373" s="120"/>
      <c r="ABS1373" s="120"/>
      <c r="ABT1373" s="120"/>
      <c r="ABU1373" s="120"/>
      <c r="ABV1373" s="120"/>
      <c r="ABW1373" s="120"/>
      <c r="ABX1373" s="120"/>
      <c r="ABY1373" s="120"/>
      <c r="ABZ1373" s="120"/>
      <c r="ACA1373" s="120"/>
      <c r="ACB1373" s="120"/>
      <c r="ACC1373" s="120"/>
      <c r="ACD1373" s="120"/>
      <c r="ACE1373" s="120"/>
      <c r="ACF1373" s="120"/>
      <c r="ACG1373" s="120"/>
      <c r="ACH1373" s="120"/>
      <c r="ACI1373" s="120"/>
      <c r="ACJ1373" s="120"/>
      <c r="ACK1373" s="120"/>
      <c r="ACL1373" s="120"/>
      <c r="ACM1373" s="120"/>
      <c r="ACN1373" s="120"/>
      <c r="ACO1373" s="120"/>
      <c r="ACP1373" s="120"/>
      <c r="ACQ1373" s="120"/>
      <c r="ACR1373" s="120"/>
      <c r="ACS1373" s="120"/>
      <c r="ACT1373" s="120"/>
      <c r="ACU1373" s="120"/>
      <c r="ACV1373" s="120"/>
      <c r="ACW1373" s="120"/>
      <c r="ACX1373" s="120"/>
      <c r="ACY1373" s="120"/>
      <c r="ACZ1373" s="120"/>
      <c r="ADA1373" s="120"/>
      <c r="ADB1373" s="120"/>
      <c r="ADC1373" s="120"/>
      <c r="ADD1373" s="120"/>
      <c r="ADE1373" s="120"/>
      <c r="ADF1373" s="120"/>
      <c r="ADG1373" s="120"/>
      <c r="ADH1373" s="120"/>
      <c r="ADI1373" s="120"/>
      <c r="ADJ1373" s="120"/>
      <c r="ADK1373" s="120"/>
      <c r="ADL1373" s="120"/>
      <c r="ADM1373" s="120"/>
      <c r="ADN1373" s="120"/>
      <c r="ADO1373" s="120"/>
      <c r="ADP1373" s="120"/>
      <c r="ADQ1373" s="120"/>
      <c r="ADR1373" s="120"/>
      <c r="ADS1373" s="120"/>
      <c r="ADT1373" s="120"/>
      <c r="ADU1373" s="120"/>
      <c r="ADV1373" s="120"/>
      <c r="ADW1373" s="120"/>
      <c r="ADX1373" s="120"/>
      <c r="ADY1373" s="120"/>
      <c r="ADZ1373" s="120"/>
      <c r="AEA1373" s="120"/>
      <c r="AEB1373" s="120"/>
      <c r="AEC1373" s="120"/>
      <c r="AED1373" s="120"/>
      <c r="AEE1373" s="120"/>
      <c r="AEF1373" s="120"/>
      <c r="AEG1373" s="120"/>
      <c r="AEH1373" s="120"/>
      <c r="AEI1373" s="120"/>
      <c r="AEJ1373" s="120"/>
      <c r="AEK1373" s="120"/>
      <c r="AEL1373" s="120"/>
      <c r="AEM1373" s="120"/>
      <c r="AEN1373" s="120"/>
      <c r="AEO1373" s="120"/>
      <c r="AEP1373" s="120"/>
      <c r="AEQ1373" s="120"/>
      <c r="AER1373" s="120"/>
      <c r="AES1373" s="120"/>
      <c r="AET1373" s="120"/>
      <c r="AEU1373" s="120"/>
      <c r="AEV1373" s="120"/>
      <c r="AEW1373" s="120"/>
      <c r="AEX1373" s="120"/>
      <c r="AEY1373" s="120"/>
      <c r="AEZ1373" s="120"/>
      <c r="AFA1373" s="120"/>
      <c r="AFB1373" s="120"/>
      <c r="AFC1373" s="120"/>
      <c r="AFD1373" s="120"/>
      <c r="AFE1373" s="120"/>
      <c r="AFF1373" s="120"/>
      <c r="AFG1373" s="120"/>
      <c r="AFH1373" s="120"/>
      <c r="AFI1373" s="120"/>
      <c r="AFJ1373" s="120"/>
      <c r="AFK1373" s="120"/>
      <c r="AFL1373" s="120"/>
      <c r="AFM1373" s="120"/>
      <c r="AFN1373" s="120"/>
      <c r="AFO1373" s="120"/>
      <c r="AFP1373" s="120"/>
      <c r="AFQ1373" s="120"/>
      <c r="AFR1373" s="120"/>
      <c r="AFS1373" s="120"/>
      <c r="AFT1373" s="120"/>
      <c r="AFU1373" s="120"/>
      <c r="AFV1373" s="120"/>
      <c r="AFW1373" s="120"/>
      <c r="AFX1373" s="120"/>
      <c r="AFY1373" s="120"/>
      <c r="AFZ1373" s="120"/>
      <c r="AGA1373" s="120"/>
      <c r="AGB1373" s="120"/>
      <c r="AGC1373" s="120"/>
      <c r="AGD1373" s="120"/>
      <c r="AGE1373" s="120"/>
      <c r="AGF1373" s="120"/>
      <c r="AGG1373" s="120"/>
      <c r="AGH1373" s="120"/>
      <c r="AGI1373" s="120"/>
      <c r="AGJ1373" s="120"/>
      <c r="AGK1373" s="120"/>
      <c r="AGL1373" s="120"/>
      <c r="AGM1373" s="120"/>
      <c r="AGN1373" s="120"/>
      <c r="AGO1373" s="120"/>
      <c r="AGP1373" s="120"/>
      <c r="AGQ1373" s="120"/>
      <c r="AGR1373" s="120"/>
      <c r="AGS1373" s="120"/>
      <c r="AGT1373" s="120"/>
      <c r="AGU1373" s="120"/>
      <c r="AGV1373" s="120"/>
      <c r="AGW1373" s="120"/>
      <c r="AGX1373" s="120"/>
      <c r="AGY1373" s="120"/>
      <c r="AGZ1373" s="120"/>
      <c r="AHA1373" s="120"/>
      <c r="AHB1373" s="120"/>
      <c r="AHC1373" s="120"/>
      <c r="AHD1373" s="120"/>
      <c r="AHE1373" s="120"/>
      <c r="AHF1373" s="120"/>
      <c r="AHG1373" s="120"/>
      <c r="AHH1373" s="120"/>
      <c r="AHI1373" s="120"/>
      <c r="AHJ1373" s="120"/>
      <c r="AHK1373" s="120"/>
      <c r="AHL1373" s="120"/>
      <c r="AHM1373" s="120"/>
      <c r="AHN1373" s="120"/>
      <c r="AHO1373" s="120"/>
      <c r="AHP1373" s="120"/>
      <c r="AHQ1373" s="120"/>
      <c r="AHR1373" s="120"/>
      <c r="AHS1373" s="120"/>
      <c r="AHT1373" s="120"/>
      <c r="AHU1373" s="120"/>
      <c r="AHV1373" s="120"/>
      <c r="AHW1373" s="120"/>
      <c r="AHX1373" s="120"/>
      <c r="AHY1373" s="120"/>
      <c r="AHZ1373" s="120"/>
      <c r="AIA1373" s="120"/>
      <c r="AIB1373" s="120"/>
      <c r="AIC1373" s="120"/>
      <c r="AID1373" s="120"/>
      <c r="AIE1373" s="120"/>
      <c r="AIF1373" s="120"/>
      <c r="AIG1373" s="120"/>
      <c r="AIH1373" s="120"/>
      <c r="AII1373" s="120"/>
      <c r="AIJ1373" s="120"/>
      <c r="AIK1373" s="120"/>
      <c r="AIL1373" s="120"/>
      <c r="AIM1373" s="120"/>
      <c r="AIN1373" s="120"/>
      <c r="AIO1373" s="120"/>
      <c r="AIP1373" s="120"/>
      <c r="AIQ1373" s="120"/>
      <c r="AIR1373" s="120"/>
      <c r="AIS1373" s="120"/>
      <c r="AIT1373" s="120"/>
      <c r="AIU1373" s="120"/>
      <c r="AIV1373" s="120"/>
      <c r="AIW1373" s="120"/>
      <c r="AIX1373" s="120"/>
      <c r="AIY1373" s="120"/>
      <c r="AIZ1373" s="120"/>
      <c r="AJA1373" s="120"/>
      <c r="AJB1373" s="120"/>
      <c r="AJC1373" s="120"/>
      <c r="AJD1373" s="120"/>
      <c r="AJE1373" s="120"/>
      <c r="AJF1373" s="120"/>
      <c r="AJG1373" s="120"/>
      <c r="AJH1373" s="120"/>
      <c r="AJI1373" s="120"/>
      <c r="AJJ1373" s="120"/>
      <c r="AJK1373" s="120"/>
      <c r="AJL1373" s="120"/>
      <c r="AJM1373" s="120"/>
      <c r="AJN1373" s="120"/>
      <c r="AJO1373" s="120"/>
      <c r="AJP1373" s="120"/>
      <c r="AJQ1373" s="120"/>
      <c r="AJR1373" s="120"/>
      <c r="AJS1373" s="120"/>
      <c r="AJT1373" s="120"/>
      <c r="AJU1373" s="120"/>
      <c r="AJV1373" s="120"/>
      <c r="AJW1373" s="120"/>
      <c r="AJX1373" s="120"/>
      <c r="AJY1373" s="120"/>
      <c r="AJZ1373" s="120"/>
      <c r="AKA1373" s="120"/>
      <c r="AKB1373" s="120"/>
      <c r="AKC1373" s="120"/>
      <c r="AKD1373" s="120"/>
      <c r="AKE1373" s="120"/>
      <c r="AKF1373" s="120"/>
      <c r="AKG1373" s="120"/>
      <c r="AKH1373" s="120"/>
      <c r="AKI1373" s="120"/>
      <c r="AKJ1373" s="120"/>
      <c r="AKK1373" s="120"/>
      <c r="AKL1373" s="120"/>
      <c r="AKM1373" s="120"/>
      <c r="AKN1373" s="120"/>
      <c r="AKO1373" s="120"/>
      <c r="AKP1373" s="120"/>
      <c r="AKQ1373" s="120"/>
      <c r="AKR1373" s="120"/>
      <c r="AKS1373" s="120"/>
      <c r="AKT1373" s="120"/>
      <c r="AKU1373" s="120"/>
      <c r="AKV1373" s="120"/>
      <c r="AKW1373" s="120"/>
      <c r="AKX1373" s="120"/>
      <c r="AKY1373" s="120"/>
      <c r="AKZ1373" s="120"/>
      <c r="ALA1373" s="120"/>
      <c r="ALB1373" s="120"/>
      <c r="ALC1373" s="120"/>
      <c r="ALD1373" s="120"/>
      <c r="ALE1373" s="120"/>
      <c r="ALF1373" s="120"/>
      <c r="ALG1373" s="120"/>
      <c r="ALH1373" s="120"/>
      <c r="ALI1373" s="120"/>
      <c r="ALJ1373" s="120"/>
      <c r="ALK1373" s="120"/>
      <c r="ALL1373" s="120"/>
      <c r="ALM1373" s="120"/>
      <c r="ALN1373" s="120"/>
      <c r="ALO1373" s="120"/>
      <c r="ALP1373" s="120"/>
      <c r="ALQ1373" s="120"/>
      <c r="ALR1373" s="120"/>
      <c r="ALS1373" s="120"/>
      <c r="ALT1373" s="120"/>
      <c r="ALU1373" s="120"/>
      <c r="ALV1373" s="120"/>
      <c r="ALW1373" s="120"/>
      <c r="ALX1373" s="120"/>
      <c r="ALY1373" s="120"/>
      <c r="ALZ1373" s="120"/>
      <c r="AMA1373" s="120"/>
      <c r="AMB1373" s="120"/>
      <c r="AMC1373" s="120"/>
      <c r="AMD1373" s="120"/>
      <c r="AME1373" s="120"/>
      <c r="AMF1373" s="120"/>
      <c r="AMG1373" s="120"/>
      <c r="AMH1373" s="120"/>
      <c r="AMI1373" s="120"/>
      <c r="AMJ1373" s="120"/>
      <c r="AMK1373" s="120"/>
      <c r="AML1373" s="120"/>
      <c r="AMM1373" s="120"/>
      <c r="AMN1373" s="120"/>
      <c r="AMO1373" s="120"/>
      <c r="AMP1373" s="120"/>
      <c r="AMQ1373" s="120"/>
      <c r="AMR1373" s="120"/>
      <c r="AMS1373" s="120"/>
      <c r="AMT1373" s="120"/>
      <c r="AMU1373" s="120"/>
      <c r="AMV1373" s="120"/>
      <c r="AMW1373" s="120"/>
      <c r="AMX1373" s="120"/>
      <c r="AMY1373" s="120"/>
      <c r="AMZ1373" s="120"/>
      <c r="ANA1373" s="120"/>
      <c r="ANB1373" s="120"/>
      <c r="ANC1373" s="120"/>
      <c r="AND1373" s="120"/>
      <c r="ANE1373" s="120"/>
      <c r="ANF1373" s="120"/>
      <c r="ANG1373" s="120"/>
      <c r="ANH1373" s="120"/>
      <c r="ANI1373" s="120"/>
      <c r="ANJ1373" s="120"/>
      <c r="ANK1373" s="120"/>
      <c r="ANL1373" s="120"/>
      <c r="ANM1373" s="120"/>
      <c r="ANN1373" s="120"/>
      <c r="ANO1373" s="120"/>
      <c r="ANP1373" s="120"/>
      <c r="ANQ1373" s="120"/>
      <c r="ANR1373" s="120"/>
      <c r="ANS1373" s="120"/>
      <c r="ANT1373" s="120"/>
      <c r="ANU1373" s="120"/>
      <c r="ANV1373" s="120"/>
      <c r="ANW1373" s="120"/>
      <c r="ANX1373" s="120"/>
      <c r="ANY1373" s="120"/>
      <c r="ANZ1373" s="120"/>
      <c r="AOA1373" s="120"/>
      <c r="AOB1373" s="120"/>
      <c r="AOC1373" s="120"/>
      <c r="AOD1373" s="120"/>
      <c r="AOE1373" s="120"/>
      <c r="AOF1373" s="120"/>
      <c r="AOG1373" s="120"/>
      <c r="AOH1373" s="120"/>
      <c r="AOI1373" s="120"/>
      <c r="AOJ1373" s="120"/>
      <c r="AOK1373" s="120"/>
      <c r="AOL1373" s="120"/>
      <c r="AOM1373" s="120"/>
      <c r="AON1373" s="120"/>
      <c r="AOO1373" s="120"/>
      <c r="AOP1373" s="120"/>
      <c r="AOQ1373" s="120"/>
      <c r="AOR1373" s="120"/>
      <c r="AOS1373" s="120"/>
      <c r="AOT1373" s="120"/>
      <c r="AOU1373" s="120"/>
      <c r="AOV1373" s="120"/>
      <c r="AOW1373" s="120"/>
      <c r="AOX1373" s="120"/>
      <c r="AOY1373" s="120"/>
      <c r="AOZ1373" s="120"/>
      <c r="APA1373" s="120"/>
      <c r="APB1373" s="120"/>
      <c r="APC1373" s="120"/>
      <c r="APD1373" s="120"/>
      <c r="APE1373" s="120"/>
      <c r="APF1373" s="120"/>
      <c r="APG1373" s="120"/>
      <c r="APH1373" s="120"/>
      <c r="API1373" s="120"/>
      <c r="APJ1373" s="120"/>
      <c r="APK1373" s="120"/>
      <c r="APL1373" s="120"/>
      <c r="APM1373" s="120"/>
      <c r="APN1373" s="120"/>
      <c r="APO1373" s="120"/>
      <c r="APP1373" s="120"/>
      <c r="APQ1373" s="120"/>
      <c r="APR1373" s="120"/>
      <c r="APS1373" s="120"/>
      <c r="APT1373" s="120"/>
      <c r="APU1373" s="120"/>
      <c r="APV1373" s="120"/>
      <c r="APW1373" s="120"/>
      <c r="APX1373" s="120"/>
      <c r="APY1373" s="120"/>
      <c r="APZ1373" s="120"/>
      <c r="AQA1373" s="120"/>
      <c r="AQB1373" s="120"/>
      <c r="AQC1373" s="120"/>
      <c r="AQD1373" s="120"/>
      <c r="AQE1373" s="120"/>
      <c r="AQF1373" s="120"/>
      <c r="AQG1373" s="120"/>
      <c r="AQH1373" s="120"/>
      <c r="AQI1373" s="120"/>
      <c r="AQJ1373" s="120"/>
      <c r="AQK1373" s="120"/>
      <c r="AQL1373" s="120"/>
      <c r="AQM1373" s="120"/>
      <c r="AQN1373" s="120"/>
      <c r="AQO1373" s="120"/>
      <c r="AQP1373" s="120"/>
      <c r="AQQ1373" s="120"/>
      <c r="AQR1373" s="120"/>
      <c r="AQS1373" s="120"/>
      <c r="AQT1373" s="120"/>
      <c r="AQU1373" s="120"/>
      <c r="AQV1373" s="120"/>
      <c r="AQW1373" s="120"/>
      <c r="AQX1373" s="120"/>
      <c r="AQY1373" s="120"/>
      <c r="AQZ1373" s="120"/>
      <c r="ARA1373" s="120"/>
      <c r="ARB1373" s="120"/>
      <c r="ARC1373" s="120"/>
      <c r="ARD1373" s="120"/>
      <c r="ARE1373" s="120"/>
      <c r="ARF1373" s="120"/>
      <c r="ARG1373" s="120"/>
      <c r="ARH1373" s="120"/>
      <c r="ARI1373" s="120"/>
      <c r="ARJ1373" s="120"/>
      <c r="ARK1373" s="120"/>
      <c r="ARL1373" s="120"/>
      <c r="ARM1373" s="120"/>
      <c r="ARN1373" s="120"/>
      <c r="ARO1373" s="120"/>
      <c r="ARP1373" s="120"/>
      <c r="ARQ1373" s="120"/>
      <c r="ARR1373" s="120"/>
      <c r="ARS1373" s="120"/>
      <c r="ART1373" s="120"/>
      <c r="ARU1373" s="120"/>
      <c r="ARV1373" s="120"/>
      <c r="ARW1373" s="120"/>
      <c r="ARX1373" s="120"/>
      <c r="ARY1373" s="120"/>
      <c r="ARZ1373" s="120"/>
      <c r="ASA1373" s="120"/>
      <c r="ASB1373" s="120"/>
      <c r="ASC1373" s="120"/>
      <c r="ASD1373" s="120"/>
      <c r="ASE1373" s="120"/>
      <c r="ASF1373" s="120"/>
      <c r="ASG1373" s="120"/>
      <c r="ASH1373" s="120"/>
      <c r="ASI1373" s="120"/>
      <c r="ASJ1373" s="120"/>
      <c r="ASK1373" s="120"/>
      <c r="ASL1373" s="120"/>
      <c r="ASM1373" s="120"/>
      <c r="ASN1373" s="120"/>
      <c r="ASO1373" s="120"/>
      <c r="ASP1373" s="120"/>
      <c r="ASQ1373" s="120"/>
      <c r="ASR1373" s="120"/>
      <c r="ASS1373" s="120"/>
      <c r="AST1373" s="120"/>
      <c r="ASU1373" s="120"/>
      <c r="ASV1373" s="120"/>
      <c r="ASW1373" s="120"/>
      <c r="ASX1373" s="120"/>
      <c r="ASY1373" s="120"/>
      <c r="ASZ1373" s="120"/>
      <c r="ATA1373" s="120"/>
      <c r="ATB1373" s="120"/>
      <c r="ATC1373" s="120"/>
      <c r="ATD1373" s="120"/>
      <c r="ATE1373" s="120"/>
      <c r="ATF1373" s="120"/>
      <c r="ATG1373" s="120"/>
      <c r="ATH1373" s="120"/>
      <c r="ATI1373" s="120"/>
      <c r="ATJ1373" s="120"/>
      <c r="ATK1373" s="120"/>
      <c r="ATL1373" s="120"/>
      <c r="ATM1373" s="120"/>
      <c r="ATN1373" s="120"/>
      <c r="ATO1373" s="120"/>
    </row>
    <row r="1374" spans="1:1211" s="20" customFormat="1" ht="14.1" customHeight="1">
      <c r="A1374" s="900"/>
      <c r="B1374" s="933"/>
      <c r="C1374" s="932" t="s">
        <v>6139</v>
      </c>
      <c r="D1374" s="631"/>
      <c r="E1374" s="898"/>
      <c r="F1374" s="899"/>
      <c r="G1374" s="899"/>
      <c r="H1374" s="899"/>
      <c r="I1374" s="899"/>
      <c r="J1374" s="899"/>
      <c r="K1374" s="112"/>
      <c r="L1374" s="363"/>
      <c r="M1374" s="112"/>
      <c r="N1374" s="362"/>
      <c r="O1374" s="573"/>
      <c r="P1374" s="120"/>
      <c r="Q1374" s="120"/>
      <c r="R1374" s="120"/>
      <c r="S1374" s="120"/>
      <c r="T1374" s="120"/>
      <c r="U1374" s="120"/>
      <c r="V1374" s="120"/>
      <c r="W1374" s="120"/>
      <c r="X1374" s="120"/>
      <c r="Y1374" s="120"/>
      <c r="Z1374" s="120"/>
      <c r="AA1374" s="120"/>
      <c r="AB1374" s="120"/>
      <c r="AC1374" s="120"/>
      <c r="AD1374" s="120"/>
      <c r="AE1374" s="120"/>
      <c r="AF1374" s="120"/>
      <c r="AG1374" s="120"/>
      <c r="AH1374" s="120"/>
      <c r="AI1374" s="120"/>
      <c r="AJ1374" s="120"/>
      <c r="AK1374" s="120"/>
      <c r="AL1374" s="120"/>
      <c r="AM1374" s="120"/>
      <c r="AN1374" s="120"/>
      <c r="AO1374" s="120"/>
      <c r="AP1374" s="120"/>
      <c r="AQ1374" s="120"/>
      <c r="AR1374" s="120"/>
      <c r="AS1374" s="120"/>
      <c r="AT1374" s="120"/>
      <c r="AU1374" s="120"/>
      <c r="AV1374" s="120"/>
      <c r="AW1374" s="120"/>
      <c r="AX1374" s="120"/>
      <c r="AY1374" s="120"/>
      <c r="AZ1374" s="120"/>
      <c r="BA1374" s="120"/>
      <c r="BB1374" s="120"/>
      <c r="BC1374" s="120"/>
      <c r="BD1374" s="120"/>
      <c r="BE1374" s="120"/>
      <c r="BF1374" s="120"/>
      <c r="BG1374" s="120"/>
      <c r="BH1374" s="120"/>
      <c r="BI1374" s="120"/>
      <c r="BJ1374" s="120"/>
      <c r="BK1374" s="120"/>
      <c r="BL1374" s="120"/>
      <c r="BM1374" s="120"/>
      <c r="BN1374" s="120"/>
      <c r="BO1374" s="120"/>
      <c r="BP1374" s="120"/>
      <c r="BQ1374" s="120"/>
      <c r="BR1374" s="120"/>
      <c r="BS1374" s="120"/>
      <c r="BT1374" s="120"/>
      <c r="BU1374" s="120"/>
      <c r="BV1374" s="120"/>
      <c r="BW1374" s="120"/>
      <c r="BX1374" s="120"/>
      <c r="BY1374" s="120"/>
      <c r="BZ1374" s="120"/>
      <c r="CA1374" s="120"/>
      <c r="CB1374" s="120"/>
      <c r="CC1374" s="120"/>
      <c r="CD1374" s="120"/>
      <c r="CE1374" s="120"/>
      <c r="CF1374" s="120"/>
      <c r="CG1374" s="120"/>
      <c r="CH1374" s="120"/>
      <c r="CI1374" s="120"/>
      <c r="CJ1374" s="120"/>
      <c r="CK1374" s="120"/>
      <c r="CL1374" s="120"/>
      <c r="CM1374" s="120"/>
      <c r="CN1374" s="120"/>
      <c r="CO1374" s="120"/>
      <c r="CP1374" s="120"/>
      <c r="CQ1374" s="120"/>
      <c r="CR1374" s="120"/>
      <c r="CS1374" s="120"/>
      <c r="CT1374" s="120"/>
      <c r="CU1374" s="120"/>
      <c r="CV1374" s="120"/>
      <c r="CW1374" s="120"/>
      <c r="CX1374" s="120"/>
      <c r="CY1374" s="120"/>
      <c r="CZ1374" s="120"/>
      <c r="DA1374" s="120"/>
      <c r="DB1374" s="120"/>
      <c r="DC1374" s="120"/>
      <c r="DD1374" s="120"/>
      <c r="DE1374" s="120"/>
      <c r="DF1374" s="120"/>
      <c r="DG1374" s="120"/>
      <c r="DH1374" s="120"/>
      <c r="DI1374" s="120"/>
      <c r="DJ1374" s="120"/>
      <c r="DK1374" s="120"/>
      <c r="DL1374" s="120"/>
      <c r="DM1374" s="120"/>
      <c r="DN1374" s="120"/>
      <c r="DO1374" s="120"/>
      <c r="DP1374" s="120"/>
      <c r="DQ1374" s="120"/>
      <c r="DR1374" s="120"/>
      <c r="DS1374" s="120"/>
      <c r="DT1374" s="120"/>
      <c r="DU1374" s="120"/>
      <c r="DV1374" s="120"/>
      <c r="DW1374" s="120"/>
      <c r="DX1374" s="120"/>
      <c r="DY1374" s="120"/>
      <c r="DZ1374" s="120"/>
      <c r="EA1374" s="120"/>
      <c r="EB1374" s="120"/>
      <c r="EC1374" s="120"/>
      <c r="ED1374" s="120"/>
      <c r="EE1374" s="120"/>
      <c r="EF1374" s="120"/>
      <c r="EG1374" s="120"/>
      <c r="EH1374" s="120"/>
      <c r="EI1374" s="120"/>
      <c r="EJ1374" s="120"/>
      <c r="EK1374" s="120"/>
      <c r="EL1374" s="120"/>
      <c r="EM1374" s="120"/>
      <c r="EN1374" s="120"/>
      <c r="EO1374" s="120"/>
      <c r="EP1374" s="120"/>
      <c r="EQ1374" s="120"/>
      <c r="ER1374" s="120"/>
      <c r="ES1374" s="120"/>
      <c r="ET1374" s="120"/>
      <c r="EU1374" s="120"/>
      <c r="EV1374" s="120"/>
      <c r="EW1374" s="120"/>
      <c r="EX1374" s="120"/>
      <c r="EY1374" s="120"/>
      <c r="EZ1374" s="120"/>
      <c r="FA1374" s="120"/>
      <c r="FB1374" s="120"/>
      <c r="FC1374" s="120"/>
      <c r="FD1374" s="120"/>
      <c r="FE1374" s="120"/>
      <c r="FF1374" s="120"/>
      <c r="FG1374" s="120"/>
      <c r="FH1374" s="120"/>
      <c r="FI1374" s="120"/>
      <c r="FJ1374" s="120"/>
      <c r="FK1374" s="120"/>
      <c r="FL1374" s="120"/>
      <c r="FM1374" s="120"/>
      <c r="FN1374" s="120"/>
      <c r="FO1374" s="120"/>
      <c r="FP1374" s="120"/>
      <c r="FQ1374" s="120"/>
      <c r="FR1374" s="120"/>
      <c r="FS1374" s="120"/>
      <c r="FT1374" s="120"/>
      <c r="FU1374" s="120"/>
      <c r="FV1374" s="120"/>
      <c r="FW1374" s="120"/>
      <c r="FX1374" s="120"/>
      <c r="FY1374" s="120"/>
      <c r="FZ1374" s="120"/>
      <c r="GA1374" s="120"/>
      <c r="GB1374" s="120"/>
      <c r="GC1374" s="120"/>
      <c r="GD1374" s="120"/>
      <c r="GE1374" s="120"/>
      <c r="GF1374" s="120"/>
      <c r="GG1374" s="120"/>
      <c r="GH1374" s="120"/>
      <c r="GI1374" s="120"/>
      <c r="GJ1374" s="120"/>
      <c r="GK1374" s="120"/>
      <c r="GL1374" s="120"/>
      <c r="GM1374" s="120"/>
      <c r="GN1374" s="120"/>
      <c r="GO1374" s="120"/>
      <c r="GP1374" s="120"/>
      <c r="GQ1374" s="120"/>
      <c r="GR1374" s="120"/>
      <c r="GS1374" s="120"/>
      <c r="GT1374" s="120"/>
      <c r="GU1374" s="120"/>
      <c r="GV1374" s="120"/>
      <c r="GW1374" s="120"/>
      <c r="GX1374" s="120"/>
      <c r="GY1374" s="120"/>
      <c r="GZ1374" s="120"/>
      <c r="HA1374" s="120"/>
      <c r="HB1374" s="120"/>
      <c r="HC1374" s="120"/>
      <c r="HD1374" s="120"/>
      <c r="HE1374" s="120"/>
      <c r="HF1374" s="120"/>
      <c r="HG1374" s="120"/>
      <c r="HH1374" s="120"/>
      <c r="HI1374" s="120"/>
      <c r="HJ1374" s="120"/>
      <c r="HK1374" s="120"/>
      <c r="HL1374" s="120"/>
      <c r="HM1374" s="120"/>
      <c r="HN1374" s="120"/>
      <c r="HO1374" s="120"/>
      <c r="HP1374" s="120"/>
      <c r="HQ1374" s="120"/>
      <c r="HR1374" s="120"/>
      <c r="HS1374" s="120"/>
      <c r="HT1374" s="120"/>
      <c r="HU1374" s="120"/>
      <c r="HV1374" s="120"/>
      <c r="HW1374" s="120"/>
      <c r="HX1374" s="120"/>
      <c r="HY1374" s="120"/>
      <c r="HZ1374" s="120"/>
      <c r="IA1374" s="120"/>
      <c r="IB1374" s="120"/>
      <c r="IC1374" s="120"/>
      <c r="ID1374" s="120"/>
      <c r="IE1374" s="120"/>
      <c r="IF1374" s="120"/>
      <c r="IG1374" s="120"/>
      <c r="IH1374" s="120"/>
      <c r="II1374" s="120"/>
      <c r="IJ1374" s="120"/>
      <c r="IK1374" s="120"/>
      <c r="IL1374" s="120"/>
      <c r="IM1374" s="120"/>
      <c r="IN1374" s="120"/>
      <c r="IO1374" s="120"/>
      <c r="IP1374" s="120"/>
      <c r="IQ1374" s="120"/>
      <c r="IR1374" s="120"/>
      <c r="IS1374" s="120"/>
      <c r="IT1374" s="120"/>
      <c r="IU1374" s="120"/>
      <c r="IV1374" s="120"/>
      <c r="IW1374" s="120"/>
      <c r="IX1374" s="120"/>
      <c r="IY1374" s="120"/>
      <c r="IZ1374" s="120"/>
      <c r="JA1374" s="120"/>
      <c r="JB1374" s="120"/>
      <c r="JC1374" s="120"/>
      <c r="JD1374" s="120"/>
      <c r="JE1374" s="120"/>
      <c r="JF1374" s="120"/>
      <c r="JG1374" s="120"/>
      <c r="JH1374" s="120"/>
      <c r="JI1374" s="120"/>
      <c r="JJ1374" s="120"/>
      <c r="JK1374" s="120"/>
      <c r="JL1374" s="120"/>
      <c r="JM1374" s="120"/>
      <c r="JN1374" s="120"/>
      <c r="JO1374" s="120"/>
      <c r="JP1374" s="120"/>
      <c r="JQ1374" s="120"/>
      <c r="JR1374" s="120"/>
      <c r="JS1374" s="120"/>
      <c r="JT1374" s="120"/>
      <c r="JU1374" s="120"/>
      <c r="JV1374" s="120"/>
      <c r="JW1374" s="120"/>
      <c r="JX1374" s="120"/>
      <c r="JY1374" s="120"/>
      <c r="JZ1374" s="120"/>
      <c r="KA1374" s="120"/>
      <c r="KB1374" s="120"/>
      <c r="KC1374" s="120"/>
      <c r="KD1374" s="120"/>
      <c r="KE1374" s="120"/>
      <c r="KF1374" s="120"/>
      <c r="KG1374" s="120"/>
      <c r="KH1374" s="120"/>
      <c r="KI1374" s="120"/>
      <c r="KJ1374" s="120"/>
      <c r="KK1374" s="120"/>
      <c r="KL1374" s="120"/>
      <c r="KM1374" s="120"/>
      <c r="KN1374" s="120"/>
      <c r="KO1374" s="120"/>
      <c r="KP1374" s="120"/>
      <c r="KQ1374" s="120"/>
      <c r="KR1374" s="120"/>
      <c r="KS1374" s="120"/>
      <c r="KT1374" s="120"/>
      <c r="KU1374" s="120"/>
      <c r="KV1374" s="120"/>
      <c r="KW1374" s="120"/>
      <c r="KX1374" s="120"/>
      <c r="KY1374" s="120"/>
      <c r="KZ1374" s="120"/>
      <c r="LA1374" s="120"/>
      <c r="LB1374" s="120"/>
      <c r="LC1374" s="120"/>
      <c r="LD1374" s="120"/>
      <c r="LE1374" s="120"/>
      <c r="LF1374" s="120"/>
      <c r="LG1374" s="120"/>
      <c r="LH1374" s="120"/>
      <c r="LI1374" s="120"/>
      <c r="LJ1374" s="120"/>
      <c r="LK1374" s="120"/>
      <c r="LL1374" s="120"/>
      <c r="LM1374" s="120"/>
      <c r="LN1374" s="120"/>
      <c r="LO1374" s="120"/>
      <c r="LP1374" s="120"/>
      <c r="LQ1374" s="120"/>
      <c r="LR1374" s="120"/>
      <c r="LS1374" s="120"/>
      <c r="LT1374" s="120"/>
      <c r="LU1374" s="120"/>
      <c r="LV1374" s="120"/>
      <c r="LW1374" s="120"/>
      <c r="LX1374" s="120"/>
      <c r="LY1374" s="120"/>
      <c r="LZ1374" s="120"/>
      <c r="MA1374" s="120"/>
      <c r="MB1374" s="120"/>
      <c r="MC1374" s="120"/>
      <c r="MD1374" s="120"/>
      <c r="ME1374" s="120"/>
      <c r="MF1374" s="120"/>
      <c r="MG1374" s="120"/>
      <c r="MH1374" s="120"/>
      <c r="MI1374" s="120"/>
      <c r="MJ1374" s="120"/>
      <c r="MK1374" s="120"/>
      <c r="ML1374" s="120"/>
      <c r="MM1374" s="120"/>
      <c r="MN1374" s="120"/>
      <c r="MO1374" s="120"/>
      <c r="MP1374" s="120"/>
      <c r="MQ1374" s="120"/>
      <c r="MR1374" s="120"/>
      <c r="MS1374" s="120"/>
      <c r="MT1374" s="120"/>
      <c r="MU1374" s="120"/>
      <c r="MV1374" s="120"/>
      <c r="MW1374" s="120"/>
      <c r="MX1374" s="120"/>
      <c r="MY1374" s="120"/>
      <c r="MZ1374" s="120"/>
      <c r="NA1374" s="120"/>
      <c r="NB1374" s="120"/>
      <c r="NC1374" s="120"/>
      <c r="ND1374" s="120"/>
      <c r="NE1374" s="120"/>
      <c r="NF1374" s="120"/>
      <c r="NG1374" s="120"/>
      <c r="NH1374" s="120"/>
      <c r="NI1374" s="120"/>
      <c r="NJ1374" s="120"/>
      <c r="NK1374" s="120"/>
      <c r="NL1374" s="120"/>
      <c r="NM1374" s="120"/>
      <c r="NN1374" s="120"/>
      <c r="NO1374" s="120"/>
      <c r="NP1374" s="120"/>
      <c r="NQ1374" s="120"/>
      <c r="NR1374" s="120"/>
      <c r="NS1374" s="120"/>
      <c r="NT1374" s="120"/>
      <c r="NU1374" s="120"/>
      <c r="NV1374" s="120"/>
      <c r="NW1374" s="120"/>
      <c r="NX1374" s="120"/>
      <c r="NY1374" s="120"/>
      <c r="NZ1374" s="120"/>
      <c r="OA1374" s="120"/>
      <c r="OB1374" s="120"/>
      <c r="OC1374" s="120"/>
      <c r="OD1374" s="120"/>
      <c r="OE1374" s="120"/>
      <c r="OF1374" s="120"/>
      <c r="OG1374" s="120"/>
      <c r="OH1374" s="120"/>
      <c r="OI1374" s="120"/>
      <c r="OJ1374" s="120"/>
      <c r="OK1374" s="120"/>
      <c r="OL1374" s="120"/>
      <c r="OM1374" s="120"/>
      <c r="ON1374" s="120"/>
      <c r="OO1374" s="120"/>
      <c r="OP1374" s="120"/>
      <c r="OQ1374" s="120"/>
      <c r="OR1374" s="120"/>
      <c r="OS1374" s="120"/>
      <c r="OT1374" s="120"/>
      <c r="OU1374" s="120"/>
      <c r="OV1374" s="120"/>
      <c r="OW1374" s="120"/>
      <c r="OX1374" s="120"/>
      <c r="OY1374" s="120"/>
      <c r="OZ1374" s="120"/>
      <c r="PA1374" s="120"/>
      <c r="PB1374" s="120"/>
      <c r="PC1374" s="120"/>
      <c r="PD1374" s="120"/>
      <c r="PE1374" s="120"/>
      <c r="PF1374" s="120"/>
      <c r="PG1374" s="120"/>
      <c r="PH1374" s="120"/>
      <c r="PI1374" s="120"/>
      <c r="PJ1374" s="120"/>
      <c r="PK1374" s="120"/>
      <c r="PL1374" s="120"/>
      <c r="PM1374" s="120"/>
      <c r="PN1374" s="120"/>
      <c r="PO1374" s="120"/>
      <c r="PP1374" s="120"/>
      <c r="PQ1374" s="120"/>
      <c r="PR1374" s="120"/>
      <c r="PS1374" s="120"/>
      <c r="PT1374" s="120"/>
      <c r="PU1374" s="120"/>
      <c r="PV1374" s="120"/>
      <c r="PW1374" s="120"/>
      <c r="PX1374" s="120"/>
      <c r="PY1374" s="120"/>
      <c r="PZ1374" s="120"/>
      <c r="QA1374" s="120"/>
      <c r="QB1374" s="120"/>
      <c r="QC1374" s="120"/>
      <c r="QD1374" s="120"/>
      <c r="QE1374" s="120"/>
      <c r="QF1374" s="120"/>
      <c r="QG1374" s="120"/>
      <c r="QH1374" s="120"/>
      <c r="QI1374" s="120"/>
      <c r="QJ1374" s="120"/>
      <c r="QK1374" s="120"/>
      <c r="QL1374" s="120"/>
      <c r="QM1374" s="120"/>
      <c r="QN1374" s="120"/>
      <c r="QO1374" s="120"/>
      <c r="QP1374" s="120"/>
      <c r="QQ1374" s="120"/>
      <c r="QR1374" s="120"/>
      <c r="QS1374" s="120"/>
      <c r="QT1374" s="120"/>
      <c r="QU1374" s="120"/>
      <c r="QV1374" s="120"/>
      <c r="QW1374" s="120"/>
      <c r="QX1374" s="120"/>
      <c r="QY1374" s="120"/>
      <c r="QZ1374" s="120"/>
      <c r="RA1374" s="120"/>
      <c r="RB1374" s="120"/>
      <c r="RC1374" s="120"/>
      <c r="RD1374" s="120"/>
      <c r="RE1374" s="120"/>
      <c r="RF1374" s="120"/>
      <c r="RG1374" s="120"/>
      <c r="RH1374" s="120"/>
      <c r="RI1374" s="120"/>
      <c r="RJ1374" s="120"/>
      <c r="RK1374" s="120"/>
      <c r="RL1374" s="120"/>
      <c r="RM1374" s="120"/>
      <c r="RN1374" s="120"/>
      <c r="RO1374" s="120"/>
      <c r="RP1374" s="120"/>
      <c r="RQ1374" s="120"/>
      <c r="RR1374" s="120"/>
      <c r="RS1374" s="120"/>
      <c r="RT1374" s="120"/>
      <c r="RU1374" s="120"/>
      <c r="RV1374" s="120"/>
      <c r="RW1374" s="120"/>
      <c r="RX1374" s="120"/>
      <c r="RY1374" s="120"/>
      <c r="RZ1374" s="120"/>
      <c r="SA1374" s="120"/>
      <c r="SB1374" s="120"/>
      <c r="SC1374" s="120"/>
      <c r="SD1374" s="120"/>
      <c r="SE1374" s="120"/>
      <c r="SF1374" s="120"/>
      <c r="SG1374" s="120"/>
      <c r="SH1374" s="120"/>
      <c r="SI1374" s="120"/>
      <c r="SJ1374" s="120"/>
      <c r="SK1374" s="120"/>
      <c r="SL1374" s="120"/>
      <c r="SM1374" s="120"/>
      <c r="SN1374" s="120"/>
      <c r="SO1374" s="120"/>
      <c r="SP1374" s="120"/>
      <c r="SQ1374" s="120"/>
      <c r="SR1374" s="120"/>
      <c r="SS1374" s="120"/>
      <c r="ST1374" s="120"/>
      <c r="SU1374" s="120"/>
      <c r="SV1374" s="120"/>
      <c r="SW1374" s="120"/>
      <c r="SX1374" s="120"/>
      <c r="SY1374" s="120"/>
      <c r="SZ1374" s="120"/>
      <c r="TA1374" s="120"/>
      <c r="TB1374" s="120"/>
      <c r="TC1374" s="120"/>
      <c r="TD1374" s="120"/>
      <c r="TE1374" s="120"/>
      <c r="TF1374" s="120"/>
      <c r="TG1374" s="120"/>
      <c r="TH1374" s="120"/>
      <c r="TI1374" s="120"/>
      <c r="TJ1374" s="120"/>
      <c r="TK1374" s="120"/>
      <c r="TL1374" s="120"/>
      <c r="TM1374" s="120"/>
      <c r="TN1374" s="120"/>
      <c r="TO1374" s="120"/>
      <c r="TP1374" s="120"/>
      <c r="TQ1374" s="120"/>
      <c r="TR1374" s="120"/>
      <c r="TS1374" s="120"/>
      <c r="TT1374" s="120"/>
      <c r="TU1374" s="120"/>
      <c r="TV1374" s="120"/>
      <c r="TW1374" s="120"/>
      <c r="TX1374" s="120"/>
      <c r="TY1374" s="120"/>
      <c r="TZ1374" s="120"/>
      <c r="UA1374" s="120"/>
      <c r="UB1374" s="120"/>
      <c r="UC1374" s="120"/>
      <c r="UD1374" s="120"/>
      <c r="UE1374" s="120"/>
      <c r="UF1374" s="120"/>
      <c r="UG1374" s="120"/>
      <c r="UH1374" s="120"/>
      <c r="UI1374" s="120"/>
      <c r="UJ1374" s="120"/>
      <c r="UK1374" s="120"/>
      <c r="UL1374" s="120"/>
      <c r="UM1374" s="120"/>
      <c r="UN1374" s="120"/>
      <c r="UO1374" s="120"/>
      <c r="UP1374" s="120"/>
      <c r="UQ1374" s="120"/>
      <c r="UR1374" s="120"/>
      <c r="US1374" s="120"/>
      <c r="UT1374" s="120"/>
      <c r="UU1374" s="120"/>
      <c r="UV1374" s="120"/>
      <c r="UW1374" s="120"/>
      <c r="UX1374" s="120"/>
      <c r="UY1374" s="120"/>
      <c r="UZ1374" s="120"/>
      <c r="VA1374" s="120"/>
      <c r="VB1374" s="120"/>
      <c r="VC1374" s="120"/>
      <c r="VD1374" s="120"/>
      <c r="VE1374" s="120"/>
      <c r="VF1374" s="120"/>
      <c r="VG1374" s="120"/>
      <c r="VH1374" s="120"/>
      <c r="VI1374" s="120"/>
      <c r="VJ1374" s="120"/>
      <c r="VK1374" s="120"/>
      <c r="VL1374" s="120"/>
      <c r="VM1374" s="120"/>
      <c r="VN1374" s="120"/>
      <c r="VO1374" s="120"/>
      <c r="VP1374" s="120"/>
      <c r="VQ1374" s="120"/>
      <c r="VR1374" s="120"/>
      <c r="VS1374" s="120"/>
      <c r="VT1374" s="120"/>
      <c r="VU1374" s="120"/>
      <c r="VV1374" s="120"/>
      <c r="VW1374" s="120"/>
      <c r="VX1374" s="120"/>
      <c r="VY1374" s="120"/>
      <c r="VZ1374" s="120"/>
      <c r="WA1374" s="120"/>
      <c r="WB1374" s="120"/>
      <c r="WC1374" s="120"/>
      <c r="WD1374" s="120"/>
      <c r="WE1374" s="120"/>
      <c r="WF1374" s="120"/>
      <c r="WG1374" s="120"/>
      <c r="WH1374" s="120"/>
      <c r="WI1374" s="120"/>
      <c r="WJ1374" s="120"/>
      <c r="WK1374" s="120"/>
      <c r="WL1374" s="120"/>
      <c r="WM1374" s="120"/>
      <c r="WN1374" s="120"/>
      <c r="WO1374" s="120"/>
      <c r="WP1374" s="120"/>
      <c r="WQ1374" s="120"/>
      <c r="WR1374" s="120"/>
      <c r="WS1374" s="120"/>
      <c r="WT1374" s="120"/>
      <c r="WU1374" s="120"/>
      <c r="WV1374" s="120"/>
      <c r="WW1374" s="120"/>
      <c r="WX1374" s="120"/>
      <c r="WY1374" s="120"/>
      <c r="WZ1374" s="120"/>
      <c r="XA1374" s="120"/>
      <c r="XB1374" s="120"/>
      <c r="XC1374" s="120"/>
      <c r="XD1374" s="120"/>
      <c r="XE1374" s="120"/>
      <c r="XF1374" s="120"/>
      <c r="XG1374" s="120"/>
      <c r="XH1374" s="120"/>
      <c r="XI1374" s="120"/>
      <c r="XJ1374" s="120"/>
      <c r="XK1374" s="120"/>
      <c r="XL1374" s="120"/>
      <c r="XM1374" s="120"/>
      <c r="XN1374" s="120"/>
      <c r="XO1374" s="120"/>
      <c r="XP1374" s="120"/>
      <c r="XQ1374" s="120"/>
      <c r="XR1374" s="120"/>
      <c r="XS1374" s="120"/>
      <c r="XT1374" s="120"/>
      <c r="XU1374" s="120"/>
      <c r="XV1374" s="120"/>
      <c r="XW1374" s="120"/>
      <c r="XX1374" s="120"/>
      <c r="XY1374" s="120"/>
      <c r="XZ1374" s="120"/>
      <c r="YA1374" s="120"/>
      <c r="YB1374" s="120"/>
      <c r="YC1374" s="120"/>
      <c r="YD1374" s="120"/>
      <c r="YE1374" s="120"/>
      <c r="YF1374" s="120"/>
      <c r="YG1374" s="120"/>
      <c r="YH1374" s="120"/>
      <c r="YI1374" s="120"/>
      <c r="YJ1374" s="120"/>
      <c r="YK1374" s="120"/>
      <c r="YL1374" s="120"/>
      <c r="YM1374" s="120"/>
      <c r="YN1374" s="120"/>
      <c r="YO1374" s="120"/>
      <c r="YP1374" s="120"/>
      <c r="YQ1374" s="120"/>
      <c r="YR1374" s="120"/>
      <c r="YS1374" s="120"/>
      <c r="YT1374" s="120"/>
      <c r="YU1374" s="120"/>
      <c r="YV1374" s="120"/>
      <c r="YW1374" s="120"/>
      <c r="YX1374" s="120"/>
      <c r="YY1374" s="120"/>
      <c r="YZ1374" s="120"/>
      <c r="ZA1374" s="120"/>
      <c r="ZB1374" s="120"/>
      <c r="ZC1374" s="120"/>
      <c r="ZD1374" s="120"/>
      <c r="ZE1374" s="120"/>
      <c r="ZF1374" s="120"/>
      <c r="ZG1374" s="120"/>
      <c r="ZH1374" s="120"/>
      <c r="ZI1374" s="120"/>
      <c r="ZJ1374" s="120"/>
      <c r="ZK1374" s="120"/>
      <c r="ZL1374" s="120"/>
      <c r="ZM1374" s="120"/>
      <c r="ZN1374" s="120"/>
      <c r="ZO1374" s="120"/>
      <c r="ZP1374" s="120"/>
      <c r="ZQ1374" s="120"/>
      <c r="ZR1374" s="120"/>
      <c r="ZS1374" s="120"/>
      <c r="ZT1374" s="120"/>
      <c r="ZU1374" s="120"/>
      <c r="ZV1374" s="120"/>
      <c r="ZW1374" s="120"/>
      <c r="ZX1374" s="120"/>
      <c r="ZY1374" s="120"/>
      <c r="ZZ1374" s="120"/>
      <c r="AAA1374" s="120"/>
      <c r="AAB1374" s="120"/>
      <c r="AAC1374" s="120"/>
      <c r="AAD1374" s="120"/>
      <c r="AAE1374" s="120"/>
      <c r="AAF1374" s="120"/>
      <c r="AAG1374" s="120"/>
      <c r="AAH1374" s="120"/>
      <c r="AAI1374" s="120"/>
      <c r="AAJ1374" s="120"/>
      <c r="AAK1374" s="120"/>
      <c r="AAL1374" s="120"/>
      <c r="AAM1374" s="120"/>
      <c r="AAN1374" s="120"/>
      <c r="AAO1374" s="120"/>
      <c r="AAP1374" s="120"/>
      <c r="AAQ1374" s="120"/>
      <c r="AAR1374" s="120"/>
      <c r="AAS1374" s="120"/>
      <c r="AAT1374" s="120"/>
      <c r="AAU1374" s="120"/>
      <c r="AAV1374" s="120"/>
      <c r="AAW1374" s="120"/>
      <c r="AAX1374" s="120"/>
      <c r="AAY1374" s="120"/>
      <c r="AAZ1374" s="120"/>
      <c r="ABA1374" s="120"/>
      <c r="ABB1374" s="120"/>
      <c r="ABC1374" s="120"/>
      <c r="ABD1374" s="120"/>
      <c r="ABE1374" s="120"/>
      <c r="ABF1374" s="120"/>
      <c r="ABG1374" s="120"/>
      <c r="ABH1374" s="120"/>
      <c r="ABI1374" s="120"/>
      <c r="ABJ1374" s="120"/>
      <c r="ABK1374" s="120"/>
      <c r="ABL1374" s="120"/>
      <c r="ABM1374" s="120"/>
      <c r="ABN1374" s="120"/>
      <c r="ABO1374" s="120"/>
      <c r="ABP1374" s="120"/>
      <c r="ABQ1374" s="120"/>
      <c r="ABR1374" s="120"/>
      <c r="ABS1374" s="120"/>
      <c r="ABT1374" s="120"/>
      <c r="ABU1374" s="120"/>
      <c r="ABV1374" s="120"/>
      <c r="ABW1374" s="120"/>
      <c r="ABX1374" s="120"/>
      <c r="ABY1374" s="120"/>
      <c r="ABZ1374" s="120"/>
      <c r="ACA1374" s="120"/>
      <c r="ACB1374" s="120"/>
      <c r="ACC1374" s="120"/>
      <c r="ACD1374" s="120"/>
      <c r="ACE1374" s="120"/>
      <c r="ACF1374" s="120"/>
      <c r="ACG1374" s="120"/>
      <c r="ACH1374" s="120"/>
      <c r="ACI1374" s="120"/>
      <c r="ACJ1374" s="120"/>
      <c r="ACK1374" s="120"/>
      <c r="ACL1374" s="120"/>
      <c r="ACM1374" s="120"/>
      <c r="ACN1374" s="120"/>
      <c r="ACO1374" s="120"/>
      <c r="ACP1374" s="120"/>
      <c r="ACQ1374" s="120"/>
      <c r="ACR1374" s="120"/>
      <c r="ACS1374" s="120"/>
      <c r="ACT1374" s="120"/>
      <c r="ACU1374" s="120"/>
      <c r="ACV1374" s="120"/>
      <c r="ACW1374" s="120"/>
      <c r="ACX1374" s="120"/>
      <c r="ACY1374" s="120"/>
      <c r="ACZ1374" s="120"/>
      <c r="ADA1374" s="120"/>
      <c r="ADB1374" s="120"/>
      <c r="ADC1374" s="120"/>
      <c r="ADD1374" s="120"/>
      <c r="ADE1374" s="120"/>
      <c r="ADF1374" s="120"/>
      <c r="ADG1374" s="120"/>
      <c r="ADH1374" s="120"/>
      <c r="ADI1374" s="120"/>
      <c r="ADJ1374" s="120"/>
      <c r="ADK1374" s="120"/>
      <c r="ADL1374" s="120"/>
      <c r="ADM1374" s="120"/>
      <c r="ADN1374" s="120"/>
      <c r="ADO1374" s="120"/>
      <c r="ADP1374" s="120"/>
      <c r="ADQ1374" s="120"/>
      <c r="ADR1374" s="120"/>
      <c r="ADS1374" s="120"/>
      <c r="ADT1374" s="120"/>
      <c r="ADU1374" s="120"/>
      <c r="ADV1374" s="120"/>
      <c r="ADW1374" s="120"/>
      <c r="ADX1374" s="120"/>
      <c r="ADY1374" s="120"/>
      <c r="ADZ1374" s="120"/>
      <c r="AEA1374" s="120"/>
      <c r="AEB1374" s="120"/>
      <c r="AEC1374" s="120"/>
      <c r="AED1374" s="120"/>
      <c r="AEE1374" s="120"/>
      <c r="AEF1374" s="120"/>
      <c r="AEG1374" s="120"/>
      <c r="AEH1374" s="120"/>
      <c r="AEI1374" s="120"/>
      <c r="AEJ1374" s="120"/>
      <c r="AEK1374" s="120"/>
      <c r="AEL1374" s="120"/>
      <c r="AEM1374" s="120"/>
      <c r="AEN1374" s="120"/>
      <c r="AEO1374" s="120"/>
      <c r="AEP1374" s="120"/>
      <c r="AEQ1374" s="120"/>
      <c r="AER1374" s="120"/>
      <c r="AES1374" s="120"/>
      <c r="AET1374" s="120"/>
      <c r="AEU1374" s="120"/>
      <c r="AEV1374" s="120"/>
      <c r="AEW1374" s="120"/>
      <c r="AEX1374" s="120"/>
      <c r="AEY1374" s="120"/>
      <c r="AEZ1374" s="120"/>
      <c r="AFA1374" s="120"/>
      <c r="AFB1374" s="120"/>
      <c r="AFC1374" s="120"/>
      <c r="AFD1374" s="120"/>
      <c r="AFE1374" s="120"/>
      <c r="AFF1374" s="120"/>
      <c r="AFG1374" s="120"/>
      <c r="AFH1374" s="120"/>
      <c r="AFI1374" s="120"/>
      <c r="AFJ1374" s="120"/>
      <c r="AFK1374" s="120"/>
      <c r="AFL1374" s="120"/>
      <c r="AFM1374" s="120"/>
      <c r="AFN1374" s="120"/>
      <c r="AFO1374" s="120"/>
      <c r="AFP1374" s="120"/>
      <c r="AFQ1374" s="120"/>
      <c r="AFR1374" s="120"/>
      <c r="AFS1374" s="120"/>
      <c r="AFT1374" s="120"/>
      <c r="AFU1374" s="120"/>
      <c r="AFV1374" s="120"/>
      <c r="AFW1374" s="120"/>
      <c r="AFX1374" s="120"/>
      <c r="AFY1374" s="120"/>
      <c r="AFZ1374" s="120"/>
      <c r="AGA1374" s="120"/>
      <c r="AGB1374" s="120"/>
      <c r="AGC1374" s="120"/>
      <c r="AGD1374" s="120"/>
      <c r="AGE1374" s="120"/>
      <c r="AGF1374" s="120"/>
      <c r="AGG1374" s="120"/>
      <c r="AGH1374" s="120"/>
      <c r="AGI1374" s="120"/>
      <c r="AGJ1374" s="120"/>
      <c r="AGK1374" s="120"/>
      <c r="AGL1374" s="120"/>
      <c r="AGM1374" s="120"/>
      <c r="AGN1374" s="120"/>
      <c r="AGO1374" s="120"/>
      <c r="AGP1374" s="120"/>
      <c r="AGQ1374" s="120"/>
      <c r="AGR1374" s="120"/>
      <c r="AGS1374" s="120"/>
      <c r="AGT1374" s="120"/>
      <c r="AGU1374" s="120"/>
      <c r="AGV1374" s="120"/>
      <c r="AGW1374" s="120"/>
      <c r="AGX1374" s="120"/>
      <c r="AGY1374" s="120"/>
      <c r="AGZ1374" s="120"/>
      <c r="AHA1374" s="120"/>
      <c r="AHB1374" s="120"/>
      <c r="AHC1374" s="120"/>
      <c r="AHD1374" s="120"/>
      <c r="AHE1374" s="120"/>
      <c r="AHF1374" s="120"/>
      <c r="AHG1374" s="120"/>
      <c r="AHH1374" s="120"/>
      <c r="AHI1374" s="120"/>
      <c r="AHJ1374" s="120"/>
      <c r="AHK1374" s="120"/>
      <c r="AHL1374" s="120"/>
      <c r="AHM1374" s="120"/>
      <c r="AHN1374" s="120"/>
      <c r="AHO1374" s="120"/>
      <c r="AHP1374" s="120"/>
      <c r="AHQ1374" s="120"/>
      <c r="AHR1374" s="120"/>
      <c r="AHS1374" s="120"/>
      <c r="AHT1374" s="120"/>
      <c r="AHU1374" s="120"/>
      <c r="AHV1374" s="120"/>
      <c r="AHW1374" s="120"/>
      <c r="AHX1374" s="120"/>
      <c r="AHY1374" s="120"/>
      <c r="AHZ1374" s="120"/>
      <c r="AIA1374" s="120"/>
      <c r="AIB1374" s="120"/>
      <c r="AIC1374" s="120"/>
      <c r="AID1374" s="120"/>
      <c r="AIE1374" s="120"/>
      <c r="AIF1374" s="120"/>
      <c r="AIG1374" s="120"/>
      <c r="AIH1374" s="120"/>
      <c r="AII1374" s="120"/>
      <c r="AIJ1374" s="120"/>
      <c r="AIK1374" s="120"/>
      <c r="AIL1374" s="120"/>
      <c r="AIM1374" s="120"/>
      <c r="AIN1374" s="120"/>
      <c r="AIO1374" s="120"/>
      <c r="AIP1374" s="120"/>
      <c r="AIQ1374" s="120"/>
      <c r="AIR1374" s="120"/>
      <c r="AIS1374" s="120"/>
      <c r="AIT1374" s="120"/>
      <c r="AIU1374" s="120"/>
      <c r="AIV1374" s="120"/>
      <c r="AIW1374" s="120"/>
      <c r="AIX1374" s="120"/>
      <c r="AIY1374" s="120"/>
      <c r="AIZ1374" s="120"/>
      <c r="AJA1374" s="120"/>
      <c r="AJB1374" s="120"/>
      <c r="AJC1374" s="120"/>
      <c r="AJD1374" s="120"/>
      <c r="AJE1374" s="120"/>
      <c r="AJF1374" s="120"/>
      <c r="AJG1374" s="120"/>
      <c r="AJH1374" s="120"/>
      <c r="AJI1374" s="120"/>
      <c r="AJJ1374" s="120"/>
      <c r="AJK1374" s="120"/>
      <c r="AJL1374" s="120"/>
      <c r="AJM1374" s="120"/>
      <c r="AJN1374" s="120"/>
      <c r="AJO1374" s="120"/>
      <c r="AJP1374" s="120"/>
      <c r="AJQ1374" s="120"/>
      <c r="AJR1374" s="120"/>
      <c r="AJS1374" s="120"/>
      <c r="AJT1374" s="120"/>
      <c r="AJU1374" s="120"/>
      <c r="AJV1374" s="120"/>
      <c r="AJW1374" s="120"/>
      <c r="AJX1374" s="120"/>
      <c r="AJY1374" s="120"/>
      <c r="AJZ1374" s="120"/>
      <c r="AKA1374" s="120"/>
      <c r="AKB1374" s="120"/>
      <c r="AKC1374" s="120"/>
      <c r="AKD1374" s="120"/>
      <c r="AKE1374" s="120"/>
      <c r="AKF1374" s="120"/>
      <c r="AKG1374" s="120"/>
      <c r="AKH1374" s="120"/>
      <c r="AKI1374" s="120"/>
      <c r="AKJ1374" s="120"/>
      <c r="AKK1374" s="120"/>
      <c r="AKL1374" s="120"/>
      <c r="AKM1374" s="120"/>
      <c r="AKN1374" s="120"/>
      <c r="AKO1374" s="120"/>
      <c r="AKP1374" s="120"/>
      <c r="AKQ1374" s="120"/>
      <c r="AKR1374" s="120"/>
      <c r="AKS1374" s="120"/>
      <c r="AKT1374" s="120"/>
      <c r="AKU1374" s="120"/>
      <c r="AKV1374" s="120"/>
      <c r="AKW1374" s="120"/>
      <c r="AKX1374" s="120"/>
      <c r="AKY1374" s="120"/>
      <c r="AKZ1374" s="120"/>
      <c r="ALA1374" s="120"/>
      <c r="ALB1374" s="120"/>
      <c r="ALC1374" s="120"/>
      <c r="ALD1374" s="120"/>
      <c r="ALE1374" s="120"/>
      <c r="ALF1374" s="120"/>
      <c r="ALG1374" s="120"/>
      <c r="ALH1374" s="120"/>
      <c r="ALI1374" s="120"/>
      <c r="ALJ1374" s="120"/>
      <c r="ALK1374" s="120"/>
      <c r="ALL1374" s="120"/>
      <c r="ALM1374" s="120"/>
      <c r="ALN1374" s="120"/>
      <c r="ALO1374" s="120"/>
      <c r="ALP1374" s="120"/>
      <c r="ALQ1374" s="120"/>
      <c r="ALR1374" s="120"/>
      <c r="ALS1374" s="120"/>
      <c r="ALT1374" s="120"/>
      <c r="ALU1374" s="120"/>
      <c r="ALV1374" s="120"/>
      <c r="ALW1374" s="120"/>
      <c r="ALX1374" s="120"/>
      <c r="ALY1374" s="120"/>
      <c r="ALZ1374" s="120"/>
      <c r="AMA1374" s="120"/>
      <c r="AMB1374" s="120"/>
      <c r="AMC1374" s="120"/>
      <c r="AMD1374" s="120"/>
      <c r="AME1374" s="120"/>
      <c r="AMF1374" s="120"/>
      <c r="AMG1374" s="120"/>
      <c r="AMH1374" s="120"/>
      <c r="AMI1374" s="120"/>
      <c r="AMJ1374" s="120"/>
      <c r="AMK1374" s="120"/>
      <c r="AML1374" s="120"/>
      <c r="AMM1374" s="120"/>
      <c r="AMN1374" s="120"/>
      <c r="AMO1374" s="120"/>
      <c r="AMP1374" s="120"/>
      <c r="AMQ1374" s="120"/>
      <c r="AMR1374" s="120"/>
      <c r="AMS1374" s="120"/>
      <c r="AMT1374" s="120"/>
      <c r="AMU1374" s="120"/>
      <c r="AMV1374" s="120"/>
      <c r="AMW1374" s="120"/>
      <c r="AMX1374" s="120"/>
      <c r="AMY1374" s="120"/>
      <c r="AMZ1374" s="120"/>
      <c r="ANA1374" s="120"/>
      <c r="ANB1374" s="120"/>
      <c r="ANC1374" s="120"/>
      <c r="AND1374" s="120"/>
      <c r="ANE1374" s="120"/>
      <c r="ANF1374" s="120"/>
      <c r="ANG1374" s="120"/>
      <c r="ANH1374" s="120"/>
      <c r="ANI1374" s="120"/>
      <c r="ANJ1374" s="120"/>
      <c r="ANK1374" s="120"/>
      <c r="ANL1374" s="120"/>
      <c r="ANM1374" s="120"/>
      <c r="ANN1374" s="120"/>
      <c r="ANO1374" s="120"/>
      <c r="ANP1374" s="120"/>
      <c r="ANQ1374" s="120"/>
      <c r="ANR1374" s="120"/>
      <c r="ANS1374" s="120"/>
      <c r="ANT1374" s="120"/>
      <c r="ANU1374" s="120"/>
      <c r="ANV1374" s="120"/>
      <c r="ANW1374" s="120"/>
      <c r="ANX1374" s="120"/>
      <c r="ANY1374" s="120"/>
      <c r="ANZ1374" s="120"/>
      <c r="AOA1374" s="120"/>
      <c r="AOB1374" s="120"/>
      <c r="AOC1374" s="120"/>
      <c r="AOD1374" s="120"/>
      <c r="AOE1374" s="120"/>
      <c r="AOF1374" s="120"/>
      <c r="AOG1374" s="120"/>
      <c r="AOH1374" s="120"/>
      <c r="AOI1374" s="120"/>
      <c r="AOJ1374" s="120"/>
      <c r="AOK1374" s="120"/>
      <c r="AOL1374" s="120"/>
      <c r="AOM1374" s="120"/>
      <c r="AON1374" s="120"/>
      <c r="AOO1374" s="120"/>
      <c r="AOP1374" s="120"/>
      <c r="AOQ1374" s="120"/>
      <c r="AOR1374" s="120"/>
      <c r="AOS1374" s="120"/>
      <c r="AOT1374" s="120"/>
      <c r="AOU1374" s="120"/>
      <c r="AOV1374" s="120"/>
      <c r="AOW1374" s="120"/>
      <c r="AOX1374" s="120"/>
      <c r="AOY1374" s="120"/>
      <c r="AOZ1374" s="120"/>
      <c r="APA1374" s="120"/>
      <c r="APB1374" s="120"/>
      <c r="APC1374" s="120"/>
      <c r="APD1374" s="120"/>
      <c r="APE1374" s="120"/>
      <c r="APF1374" s="120"/>
      <c r="APG1374" s="120"/>
      <c r="APH1374" s="120"/>
      <c r="API1374" s="120"/>
      <c r="APJ1374" s="120"/>
      <c r="APK1374" s="120"/>
      <c r="APL1374" s="120"/>
      <c r="APM1374" s="120"/>
      <c r="APN1374" s="120"/>
      <c r="APO1374" s="120"/>
      <c r="APP1374" s="120"/>
      <c r="APQ1374" s="120"/>
      <c r="APR1374" s="120"/>
      <c r="APS1374" s="120"/>
      <c r="APT1374" s="120"/>
      <c r="APU1374" s="120"/>
      <c r="APV1374" s="120"/>
      <c r="APW1374" s="120"/>
      <c r="APX1374" s="120"/>
      <c r="APY1374" s="120"/>
      <c r="APZ1374" s="120"/>
      <c r="AQA1374" s="120"/>
      <c r="AQB1374" s="120"/>
      <c r="AQC1374" s="120"/>
      <c r="AQD1374" s="120"/>
      <c r="AQE1374" s="120"/>
      <c r="AQF1374" s="120"/>
      <c r="AQG1374" s="120"/>
      <c r="AQH1374" s="120"/>
      <c r="AQI1374" s="120"/>
      <c r="AQJ1374" s="120"/>
      <c r="AQK1374" s="120"/>
      <c r="AQL1374" s="120"/>
      <c r="AQM1374" s="120"/>
      <c r="AQN1374" s="120"/>
      <c r="AQO1374" s="120"/>
      <c r="AQP1374" s="120"/>
      <c r="AQQ1374" s="120"/>
      <c r="AQR1374" s="120"/>
      <c r="AQS1374" s="120"/>
      <c r="AQT1374" s="120"/>
      <c r="AQU1374" s="120"/>
      <c r="AQV1374" s="120"/>
      <c r="AQW1374" s="120"/>
      <c r="AQX1374" s="120"/>
      <c r="AQY1374" s="120"/>
      <c r="AQZ1374" s="120"/>
      <c r="ARA1374" s="120"/>
      <c r="ARB1374" s="120"/>
      <c r="ARC1374" s="120"/>
      <c r="ARD1374" s="120"/>
      <c r="ARE1374" s="120"/>
      <c r="ARF1374" s="120"/>
      <c r="ARG1374" s="120"/>
      <c r="ARH1374" s="120"/>
      <c r="ARI1374" s="120"/>
      <c r="ARJ1374" s="120"/>
      <c r="ARK1374" s="120"/>
      <c r="ARL1374" s="120"/>
      <c r="ARM1374" s="120"/>
      <c r="ARN1374" s="120"/>
      <c r="ARO1374" s="120"/>
      <c r="ARP1374" s="120"/>
      <c r="ARQ1374" s="120"/>
      <c r="ARR1374" s="120"/>
      <c r="ARS1374" s="120"/>
      <c r="ART1374" s="120"/>
      <c r="ARU1374" s="120"/>
      <c r="ARV1374" s="120"/>
      <c r="ARW1374" s="120"/>
      <c r="ARX1374" s="120"/>
      <c r="ARY1374" s="120"/>
      <c r="ARZ1374" s="120"/>
      <c r="ASA1374" s="120"/>
      <c r="ASB1374" s="120"/>
      <c r="ASC1374" s="120"/>
      <c r="ASD1374" s="120"/>
      <c r="ASE1374" s="120"/>
      <c r="ASF1374" s="120"/>
      <c r="ASG1374" s="120"/>
      <c r="ASH1374" s="120"/>
      <c r="ASI1374" s="120"/>
      <c r="ASJ1374" s="120"/>
      <c r="ASK1374" s="120"/>
      <c r="ASL1374" s="120"/>
      <c r="ASM1374" s="120"/>
      <c r="ASN1374" s="120"/>
      <c r="ASO1374" s="120"/>
      <c r="ASP1374" s="120"/>
      <c r="ASQ1374" s="120"/>
      <c r="ASR1374" s="120"/>
      <c r="ASS1374" s="120"/>
      <c r="AST1374" s="120"/>
      <c r="ASU1374" s="120"/>
      <c r="ASV1374" s="120"/>
      <c r="ASW1374" s="120"/>
      <c r="ASX1374" s="120"/>
      <c r="ASY1374" s="120"/>
      <c r="ASZ1374" s="120"/>
      <c r="ATA1374" s="120"/>
      <c r="ATB1374" s="120"/>
      <c r="ATC1374" s="120"/>
      <c r="ATD1374" s="120"/>
      <c r="ATE1374" s="120"/>
      <c r="ATF1374" s="120"/>
      <c r="ATG1374" s="120"/>
      <c r="ATH1374" s="120"/>
      <c r="ATI1374" s="120"/>
      <c r="ATJ1374" s="120"/>
      <c r="ATK1374" s="120"/>
      <c r="ATL1374" s="120"/>
      <c r="ATM1374" s="120"/>
      <c r="ATN1374" s="120"/>
      <c r="ATO1374" s="120"/>
    </row>
    <row r="1375" spans="1:1211" s="20" customFormat="1" ht="14.1" customHeight="1">
      <c r="A1375" s="112"/>
      <c r="B1375" s="945"/>
      <c r="C1375" s="184"/>
      <c r="D1375" s="120"/>
      <c r="E1375" s="701"/>
      <c r="F1375" s="703"/>
      <c r="G1375" s="702"/>
      <c r="H1375" s="702"/>
      <c r="I1375" s="702"/>
      <c r="J1375" s="700"/>
      <c r="K1375" s="112"/>
      <c r="L1375" s="363"/>
      <c r="M1375" s="112"/>
      <c r="N1375" s="362"/>
      <c r="O1375" s="573"/>
      <c r="P1375" s="120"/>
      <c r="Q1375" s="120"/>
      <c r="R1375" s="120"/>
      <c r="S1375" s="120"/>
      <c r="T1375" s="120"/>
      <c r="U1375" s="120"/>
      <c r="V1375" s="120"/>
      <c r="W1375" s="120"/>
      <c r="X1375" s="120"/>
      <c r="Y1375" s="120"/>
      <c r="Z1375" s="120"/>
      <c r="AA1375" s="120"/>
      <c r="AB1375" s="120"/>
      <c r="AC1375" s="120"/>
      <c r="AD1375" s="120"/>
      <c r="AE1375" s="120"/>
      <c r="AF1375" s="120"/>
      <c r="AG1375" s="120"/>
      <c r="AH1375" s="120"/>
      <c r="AI1375" s="120"/>
      <c r="AJ1375" s="120"/>
      <c r="AK1375" s="120"/>
      <c r="AL1375" s="120"/>
      <c r="AM1375" s="120"/>
      <c r="AN1375" s="120"/>
      <c r="AO1375" s="120"/>
      <c r="AP1375" s="120"/>
      <c r="AQ1375" s="120"/>
      <c r="AR1375" s="120"/>
      <c r="AS1375" s="120"/>
      <c r="AT1375" s="120"/>
      <c r="AU1375" s="120"/>
      <c r="AV1375" s="120"/>
      <c r="AW1375" s="120"/>
      <c r="AX1375" s="120"/>
      <c r="AY1375" s="120"/>
      <c r="AZ1375" s="120"/>
      <c r="BA1375" s="120"/>
      <c r="BB1375" s="120"/>
      <c r="BC1375" s="120"/>
      <c r="BD1375" s="120"/>
      <c r="BE1375" s="120"/>
      <c r="BF1375" s="120"/>
      <c r="BG1375" s="120"/>
      <c r="BH1375" s="120"/>
      <c r="BI1375" s="120"/>
      <c r="BJ1375" s="120"/>
      <c r="BK1375" s="120"/>
      <c r="BL1375" s="120"/>
      <c r="BM1375" s="120"/>
      <c r="BN1375" s="120"/>
      <c r="BO1375" s="120"/>
      <c r="BP1375" s="120"/>
      <c r="BQ1375" s="120"/>
      <c r="BR1375" s="120"/>
      <c r="BS1375" s="120"/>
      <c r="BT1375" s="120"/>
      <c r="BU1375" s="120"/>
      <c r="BV1375" s="120"/>
      <c r="BW1375" s="120"/>
      <c r="BX1375" s="120"/>
      <c r="BY1375" s="120"/>
      <c r="BZ1375" s="120"/>
      <c r="CA1375" s="120"/>
      <c r="CB1375" s="120"/>
      <c r="CC1375" s="120"/>
      <c r="CD1375" s="120"/>
      <c r="CE1375" s="120"/>
      <c r="CF1375" s="120"/>
      <c r="CG1375" s="120"/>
      <c r="CH1375" s="120"/>
      <c r="CI1375" s="120"/>
      <c r="CJ1375" s="120"/>
      <c r="CK1375" s="120"/>
      <c r="CL1375" s="120"/>
      <c r="CM1375" s="120"/>
      <c r="CN1375" s="120"/>
      <c r="CO1375" s="120"/>
      <c r="CP1375" s="120"/>
      <c r="CQ1375" s="120"/>
      <c r="CR1375" s="120"/>
      <c r="CS1375" s="120"/>
      <c r="CT1375" s="120"/>
      <c r="CU1375" s="120"/>
      <c r="CV1375" s="120"/>
      <c r="CW1375" s="120"/>
      <c r="CX1375" s="120"/>
      <c r="CY1375" s="120"/>
      <c r="CZ1375" s="120"/>
      <c r="DA1375" s="120"/>
      <c r="DB1375" s="120"/>
      <c r="DC1375" s="120"/>
      <c r="DD1375" s="120"/>
      <c r="DE1375" s="120"/>
      <c r="DF1375" s="120"/>
      <c r="DG1375" s="120"/>
      <c r="DH1375" s="120"/>
      <c r="DI1375" s="120"/>
      <c r="DJ1375" s="120"/>
      <c r="DK1375" s="120"/>
      <c r="DL1375" s="120"/>
      <c r="DM1375" s="120"/>
      <c r="DN1375" s="120"/>
      <c r="DO1375" s="120"/>
      <c r="DP1375" s="120"/>
      <c r="DQ1375" s="120"/>
      <c r="DR1375" s="120"/>
      <c r="DS1375" s="120"/>
      <c r="DT1375" s="120"/>
      <c r="DU1375" s="120"/>
      <c r="DV1375" s="120"/>
      <c r="DW1375" s="120"/>
      <c r="DX1375" s="120"/>
      <c r="DY1375" s="120"/>
      <c r="DZ1375" s="120"/>
      <c r="EA1375" s="120"/>
      <c r="EB1375" s="120"/>
      <c r="EC1375" s="120"/>
      <c r="ED1375" s="120"/>
      <c r="EE1375" s="120"/>
      <c r="EF1375" s="120"/>
      <c r="EG1375" s="120"/>
      <c r="EH1375" s="120"/>
      <c r="EI1375" s="120"/>
      <c r="EJ1375" s="120"/>
      <c r="EK1375" s="120"/>
      <c r="EL1375" s="120"/>
      <c r="EM1375" s="120"/>
      <c r="EN1375" s="120"/>
      <c r="EO1375" s="120"/>
      <c r="EP1375" s="120"/>
      <c r="EQ1375" s="120"/>
      <c r="ER1375" s="120"/>
      <c r="ES1375" s="120"/>
      <c r="ET1375" s="120"/>
      <c r="EU1375" s="120"/>
      <c r="EV1375" s="120"/>
      <c r="EW1375" s="120"/>
      <c r="EX1375" s="120"/>
      <c r="EY1375" s="120"/>
      <c r="EZ1375" s="120"/>
      <c r="FA1375" s="120"/>
      <c r="FB1375" s="120"/>
      <c r="FC1375" s="120"/>
      <c r="FD1375" s="120"/>
      <c r="FE1375" s="120"/>
      <c r="FF1375" s="120"/>
      <c r="FG1375" s="120"/>
      <c r="FH1375" s="120"/>
      <c r="FI1375" s="120"/>
      <c r="FJ1375" s="120"/>
      <c r="FK1375" s="120"/>
      <c r="FL1375" s="120"/>
      <c r="FM1375" s="120"/>
      <c r="FN1375" s="120"/>
      <c r="FO1375" s="120"/>
      <c r="FP1375" s="120"/>
      <c r="FQ1375" s="120"/>
      <c r="FR1375" s="120"/>
      <c r="FS1375" s="120"/>
      <c r="FT1375" s="120"/>
      <c r="FU1375" s="120"/>
      <c r="FV1375" s="120"/>
      <c r="FW1375" s="120"/>
      <c r="FX1375" s="120"/>
      <c r="FY1375" s="120"/>
      <c r="FZ1375" s="120"/>
      <c r="GA1375" s="120"/>
      <c r="GB1375" s="120"/>
      <c r="GC1375" s="120"/>
      <c r="GD1375" s="120"/>
      <c r="GE1375" s="120"/>
      <c r="GF1375" s="120"/>
      <c r="GG1375" s="120"/>
      <c r="GH1375" s="120"/>
      <c r="GI1375" s="120"/>
      <c r="GJ1375" s="120"/>
      <c r="GK1375" s="120"/>
      <c r="GL1375" s="120"/>
      <c r="GM1375" s="120"/>
      <c r="GN1375" s="120"/>
      <c r="GO1375" s="120"/>
      <c r="GP1375" s="120"/>
      <c r="GQ1375" s="120"/>
      <c r="GR1375" s="120"/>
      <c r="GS1375" s="120"/>
      <c r="GT1375" s="120"/>
      <c r="GU1375" s="120"/>
      <c r="GV1375" s="120"/>
      <c r="GW1375" s="120"/>
      <c r="GX1375" s="120"/>
      <c r="GY1375" s="120"/>
      <c r="GZ1375" s="120"/>
      <c r="HA1375" s="120"/>
      <c r="HB1375" s="120"/>
      <c r="HC1375" s="120"/>
      <c r="HD1375" s="120"/>
      <c r="HE1375" s="120"/>
      <c r="HF1375" s="120"/>
      <c r="HG1375" s="120"/>
      <c r="HH1375" s="120"/>
      <c r="HI1375" s="120"/>
      <c r="HJ1375" s="120"/>
      <c r="HK1375" s="120"/>
      <c r="HL1375" s="120"/>
      <c r="HM1375" s="120"/>
      <c r="HN1375" s="120"/>
      <c r="HO1375" s="120"/>
      <c r="HP1375" s="120"/>
      <c r="HQ1375" s="120"/>
      <c r="HR1375" s="120"/>
      <c r="HS1375" s="120"/>
      <c r="HT1375" s="120"/>
      <c r="HU1375" s="120"/>
      <c r="HV1375" s="120"/>
      <c r="HW1375" s="120"/>
      <c r="HX1375" s="120"/>
      <c r="HY1375" s="120"/>
      <c r="HZ1375" s="120"/>
      <c r="IA1375" s="120"/>
      <c r="IB1375" s="120"/>
      <c r="IC1375" s="120"/>
      <c r="ID1375" s="120"/>
      <c r="IE1375" s="120"/>
      <c r="IF1375" s="120"/>
      <c r="IG1375" s="120"/>
      <c r="IH1375" s="120"/>
      <c r="II1375" s="120"/>
      <c r="IJ1375" s="120"/>
      <c r="IK1375" s="120"/>
      <c r="IL1375" s="120"/>
      <c r="IM1375" s="120"/>
      <c r="IN1375" s="120"/>
      <c r="IO1375" s="120"/>
      <c r="IP1375" s="120"/>
      <c r="IQ1375" s="120"/>
      <c r="IR1375" s="120"/>
      <c r="IS1375" s="120"/>
      <c r="IT1375" s="120"/>
      <c r="IU1375" s="120"/>
      <c r="IV1375" s="120"/>
      <c r="IW1375" s="120"/>
      <c r="IX1375" s="120"/>
      <c r="IY1375" s="120"/>
      <c r="IZ1375" s="120"/>
      <c r="JA1375" s="120"/>
      <c r="JB1375" s="120"/>
      <c r="JC1375" s="120"/>
      <c r="JD1375" s="120"/>
      <c r="JE1375" s="120"/>
      <c r="JF1375" s="120"/>
      <c r="JG1375" s="120"/>
      <c r="JH1375" s="120"/>
      <c r="JI1375" s="120"/>
      <c r="JJ1375" s="120"/>
      <c r="JK1375" s="120"/>
      <c r="JL1375" s="120"/>
      <c r="JM1375" s="120"/>
      <c r="JN1375" s="120"/>
      <c r="JO1375" s="120"/>
      <c r="JP1375" s="120"/>
      <c r="JQ1375" s="120"/>
      <c r="JR1375" s="120"/>
      <c r="JS1375" s="120"/>
      <c r="JT1375" s="120"/>
      <c r="JU1375" s="120"/>
      <c r="JV1375" s="120"/>
      <c r="JW1375" s="120"/>
      <c r="JX1375" s="120"/>
      <c r="JY1375" s="120"/>
      <c r="JZ1375" s="120"/>
      <c r="KA1375" s="120"/>
      <c r="KB1375" s="120"/>
      <c r="KC1375" s="120"/>
      <c r="KD1375" s="120"/>
      <c r="KE1375" s="120"/>
      <c r="KF1375" s="120"/>
      <c r="KG1375" s="120"/>
      <c r="KH1375" s="120"/>
      <c r="KI1375" s="120"/>
      <c r="KJ1375" s="120"/>
      <c r="KK1375" s="120"/>
      <c r="KL1375" s="120"/>
      <c r="KM1375" s="120"/>
      <c r="KN1375" s="120"/>
      <c r="KO1375" s="120"/>
      <c r="KP1375" s="120"/>
      <c r="KQ1375" s="120"/>
      <c r="KR1375" s="120"/>
      <c r="KS1375" s="120"/>
      <c r="KT1375" s="120"/>
      <c r="KU1375" s="120"/>
      <c r="KV1375" s="120"/>
      <c r="KW1375" s="120"/>
      <c r="KX1375" s="120"/>
      <c r="KY1375" s="120"/>
      <c r="KZ1375" s="120"/>
      <c r="LA1375" s="120"/>
      <c r="LB1375" s="120"/>
      <c r="LC1375" s="120"/>
      <c r="LD1375" s="120"/>
      <c r="LE1375" s="120"/>
      <c r="LF1375" s="120"/>
      <c r="LG1375" s="120"/>
      <c r="LH1375" s="120"/>
      <c r="LI1375" s="120"/>
      <c r="LJ1375" s="120"/>
      <c r="LK1375" s="120"/>
      <c r="LL1375" s="120"/>
      <c r="LM1375" s="120"/>
      <c r="LN1375" s="120"/>
      <c r="LO1375" s="120"/>
      <c r="LP1375" s="120"/>
      <c r="LQ1375" s="120"/>
      <c r="LR1375" s="120"/>
      <c r="LS1375" s="120"/>
      <c r="LT1375" s="120"/>
      <c r="LU1375" s="120"/>
      <c r="LV1375" s="120"/>
      <c r="LW1375" s="120"/>
      <c r="LX1375" s="120"/>
      <c r="LY1375" s="120"/>
      <c r="LZ1375" s="120"/>
      <c r="MA1375" s="120"/>
      <c r="MB1375" s="120"/>
      <c r="MC1375" s="120"/>
      <c r="MD1375" s="120"/>
      <c r="ME1375" s="120"/>
      <c r="MF1375" s="120"/>
      <c r="MG1375" s="120"/>
      <c r="MH1375" s="120"/>
      <c r="MI1375" s="120"/>
      <c r="MJ1375" s="120"/>
      <c r="MK1375" s="120"/>
      <c r="ML1375" s="120"/>
      <c r="MM1375" s="120"/>
      <c r="MN1375" s="120"/>
      <c r="MO1375" s="120"/>
      <c r="MP1375" s="120"/>
      <c r="MQ1375" s="120"/>
      <c r="MR1375" s="120"/>
      <c r="MS1375" s="120"/>
      <c r="MT1375" s="120"/>
      <c r="MU1375" s="120"/>
      <c r="MV1375" s="120"/>
      <c r="MW1375" s="120"/>
      <c r="MX1375" s="120"/>
      <c r="MY1375" s="120"/>
      <c r="MZ1375" s="120"/>
      <c r="NA1375" s="120"/>
      <c r="NB1375" s="120"/>
      <c r="NC1375" s="120"/>
      <c r="ND1375" s="120"/>
      <c r="NE1375" s="120"/>
      <c r="NF1375" s="120"/>
      <c r="NG1375" s="120"/>
      <c r="NH1375" s="120"/>
      <c r="NI1375" s="120"/>
      <c r="NJ1375" s="120"/>
      <c r="NK1375" s="120"/>
      <c r="NL1375" s="120"/>
      <c r="NM1375" s="120"/>
      <c r="NN1375" s="120"/>
      <c r="NO1375" s="120"/>
      <c r="NP1375" s="120"/>
      <c r="NQ1375" s="120"/>
      <c r="NR1375" s="120"/>
      <c r="NS1375" s="120"/>
      <c r="NT1375" s="120"/>
      <c r="NU1375" s="120"/>
      <c r="NV1375" s="120"/>
      <c r="NW1375" s="120"/>
      <c r="NX1375" s="120"/>
      <c r="NY1375" s="120"/>
      <c r="NZ1375" s="120"/>
      <c r="OA1375" s="120"/>
      <c r="OB1375" s="120"/>
      <c r="OC1375" s="120"/>
      <c r="OD1375" s="120"/>
      <c r="OE1375" s="120"/>
      <c r="OF1375" s="120"/>
      <c r="OG1375" s="120"/>
      <c r="OH1375" s="120"/>
      <c r="OI1375" s="120"/>
      <c r="OJ1375" s="120"/>
      <c r="OK1375" s="120"/>
      <c r="OL1375" s="120"/>
      <c r="OM1375" s="120"/>
      <c r="ON1375" s="120"/>
      <c r="OO1375" s="120"/>
      <c r="OP1375" s="120"/>
      <c r="OQ1375" s="120"/>
      <c r="OR1375" s="120"/>
      <c r="OS1375" s="120"/>
      <c r="OT1375" s="120"/>
      <c r="OU1375" s="120"/>
      <c r="OV1375" s="120"/>
      <c r="OW1375" s="120"/>
      <c r="OX1375" s="120"/>
      <c r="OY1375" s="120"/>
      <c r="OZ1375" s="120"/>
      <c r="PA1375" s="120"/>
      <c r="PB1375" s="120"/>
      <c r="PC1375" s="120"/>
      <c r="PD1375" s="120"/>
      <c r="PE1375" s="120"/>
      <c r="PF1375" s="120"/>
      <c r="PG1375" s="120"/>
      <c r="PH1375" s="120"/>
      <c r="PI1375" s="120"/>
      <c r="PJ1375" s="120"/>
      <c r="PK1375" s="120"/>
      <c r="PL1375" s="120"/>
      <c r="PM1375" s="120"/>
      <c r="PN1375" s="120"/>
      <c r="PO1375" s="120"/>
      <c r="PP1375" s="120"/>
      <c r="PQ1375" s="120"/>
      <c r="PR1375" s="120"/>
      <c r="PS1375" s="120"/>
      <c r="PT1375" s="120"/>
      <c r="PU1375" s="120"/>
      <c r="PV1375" s="120"/>
      <c r="PW1375" s="120"/>
      <c r="PX1375" s="120"/>
      <c r="PY1375" s="120"/>
      <c r="PZ1375" s="120"/>
      <c r="QA1375" s="120"/>
      <c r="QB1375" s="120"/>
      <c r="QC1375" s="120"/>
      <c r="QD1375" s="120"/>
      <c r="QE1375" s="120"/>
      <c r="QF1375" s="120"/>
      <c r="QG1375" s="120"/>
      <c r="QH1375" s="120"/>
      <c r="QI1375" s="120"/>
      <c r="QJ1375" s="120"/>
      <c r="QK1375" s="120"/>
      <c r="QL1375" s="120"/>
      <c r="QM1375" s="120"/>
      <c r="QN1375" s="120"/>
      <c r="QO1375" s="120"/>
      <c r="QP1375" s="120"/>
      <c r="QQ1375" s="120"/>
      <c r="QR1375" s="120"/>
      <c r="QS1375" s="120"/>
      <c r="QT1375" s="120"/>
      <c r="QU1375" s="120"/>
      <c r="QV1375" s="120"/>
      <c r="QW1375" s="120"/>
      <c r="QX1375" s="120"/>
      <c r="QY1375" s="120"/>
      <c r="QZ1375" s="120"/>
      <c r="RA1375" s="120"/>
      <c r="RB1375" s="120"/>
      <c r="RC1375" s="120"/>
      <c r="RD1375" s="120"/>
      <c r="RE1375" s="120"/>
      <c r="RF1375" s="120"/>
      <c r="RG1375" s="120"/>
      <c r="RH1375" s="120"/>
      <c r="RI1375" s="120"/>
      <c r="RJ1375" s="120"/>
      <c r="RK1375" s="120"/>
      <c r="RL1375" s="120"/>
      <c r="RM1375" s="120"/>
      <c r="RN1375" s="120"/>
      <c r="RO1375" s="120"/>
      <c r="RP1375" s="120"/>
      <c r="RQ1375" s="120"/>
      <c r="RR1375" s="120"/>
      <c r="RS1375" s="120"/>
      <c r="RT1375" s="120"/>
      <c r="RU1375" s="120"/>
      <c r="RV1375" s="120"/>
      <c r="RW1375" s="120"/>
      <c r="RX1375" s="120"/>
      <c r="RY1375" s="120"/>
      <c r="RZ1375" s="120"/>
      <c r="SA1375" s="120"/>
      <c r="SB1375" s="120"/>
      <c r="SC1375" s="120"/>
      <c r="SD1375" s="120"/>
      <c r="SE1375" s="120"/>
      <c r="SF1375" s="120"/>
      <c r="SG1375" s="120"/>
      <c r="SH1375" s="120"/>
      <c r="SI1375" s="120"/>
      <c r="SJ1375" s="120"/>
      <c r="SK1375" s="120"/>
      <c r="SL1375" s="120"/>
      <c r="SM1375" s="120"/>
      <c r="SN1375" s="120"/>
      <c r="SO1375" s="120"/>
      <c r="SP1375" s="120"/>
      <c r="SQ1375" s="120"/>
      <c r="SR1375" s="120"/>
      <c r="SS1375" s="120"/>
      <c r="ST1375" s="120"/>
      <c r="SU1375" s="120"/>
      <c r="SV1375" s="120"/>
      <c r="SW1375" s="120"/>
      <c r="SX1375" s="120"/>
      <c r="SY1375" s="120"/>
      <c r="SZ1375" s="120"/>
      <c r="TA1375" s="120"/>
      <c r="TB1375" s="120"/>
      <c r="TC1375" s="120"/>
      <c r="TD1375" s="120"/>
      <c r="TE1375" s="120"/>
      <c r="TF1375" s="120"/>
      <c r="TG1375" s="120"/>
      <c r="TH1375" s="120"/>
      <c r="TI1375" s="120"/>
      <c r="TJ1375" s="120"/>
      <c r="TK1375" s="120"/>
      <c r="TL1375" s="120"/>
      <c r="TM1375" s="120"/>
      <c r="TN1375" s="120"/>
      <c r="TO1375" s="120"/>
      <c r="TP1375" s="120"/>
      <c r="TQ1375" s="120"/>
      <c r="TR1375" s="120"/>
      <c r="TS1375" s="120"/>
      <c r="TT1375" s="120"/>
      <c r="TU1375" s="120"/>
      <c r="TV1375" s="120"/>
      <c r="TW1375" s="120"/>
      <c r="TX1375" s="120"/>
      <c r="TY1375" s="120"/>
      <c r="TZ1375" s="120"/>
      <c r="UA1375" s="120"/>
      <c r="UB1375" s="120"/>
      <c r="UC1375" s="120"/>
      <c r="UD1375" s="120"/>
      <c r="UE1375" s="120"/>
      <c r="UF1375" s="120"/>
      <c r="UG1375" s="120"/>
      <c r="UH1375" s="120"/>
      <c r="UI1375" s="120"/>
      <c r="UJ1375" s="120"/>
      <c r="UK1375" s="120"/>
      <c r="UL1375" s="120"/>
      <c r="UM1375" s="120"/>
      <c r="UN1375" s="120"/>
      <c r="UO1375" s="120"/>
      <c r="UP1375" s="120"/>
      <c r="UQ1375" s="120"/>
      <c r="UR1375" s="120"/>
      <c r="US1375" s="120"/>
      <c r="UT1375" s="120"/>
      <c r="UU1375" s="120"/>
      <c r="UV1375" s="120"/>
      <c r="UW1375" s="120"/>
      <c r="UX1375" s="120"/>
      <c r="UY1375" s="120"/>
      <c r="UZ1375" s="120"/>
      <c r="VA1375" s="120"/>
      <c r="VB1375" s="120"/>
      <c r="VC1375" s="120"/>
      <c r="VD1375" s="120"/>
      <c r="VE1375" s="120"/>
      <c r="VF1375" s="120"/>
      <c r="VG1375" s="120"/>
      <c r="VH1375" s="120"/>
      <c r="VI1375" s="120"/>
      <c r="VJ1375" s="120"/>
      <c r="VK1375" s="120"/>
      <c r="VL1375" s="120"/>
      <c r="VM1375" s="120"/>
      <c r="VN1375" s="120"/>
      <c r="VO1375" s="120"/>
      <c r="VP1375" s="120"/>
      <c r="VQ1375" s="120"/>
      <c r="VR1375" s="120"/>
      <c r="VS1375" s="120"/>
      <c r="VT1375" s="120"/>
      <c r="VU1375" s="120"/>
      <c r="VV1375" s="120"/>
      <c r="VW1375" s="120"/>
      <c r="VX1375" s="120"/>
      <c r="VY1375" s="120"/>
      <c r="VZ1375" s="120"/>
      <c r="WA1375" s="120"/>
      <c r="WB1375" s="120"/>
      <c r="WC1375" s="120"/>
      <c r="WD1375" s="120"/>
      <c r="WE1375" s="120"/>
      <c r="WF1375" s="120"/>
      <c r="WG1375" s="120"/>
      <c r="WH1375" s="120"/>
      <c r="WI1375" s="120"/>
      <c r="WJ1375" s="120"/>
      <c r="WK1375" s="120"/>
      <c r="WL1375" s="120"/>
      <c r="WM1375" s="120"/>
      <c r="WN1375" s="120"/>
      <c r="WO1375" s="120"/>
      <c r="WP1375" s="120"/>
      <c r="WQ1375" s="120"/>
      <c r="WR1375" s="120"/>
      <c r="WS1375" s="120"/>
      <c r="WT1375" s="120"/>
      <c r="WU1375" s="120"/>
      <c r="WV1375" s="120"/>
      <c r="WW1375" s="120"/>
      <c r="WX1375" s="120"/>
      <c r="WY1375" s="120"/>
      <c r="WZ1375" s="120"/>
      <c r="XA1375" s="120"/>
      <c r="XB1375" s="120"/>
      <c r="XC1375" s="120"/>
      <c r="XD1375" s="120"/>
      <c r="XE1375" s="120"/>
      <c r="XF1375" s="120"/>
      <c r="XG1375" s="120"/>
      <c r="XH1375" s="120"/>
      <c r="XI1375" s="120"/>
      <c r="XJ1375" s="120"/>
      <c r="XK1375" s="120"/>
      <c r="XL1375" s="120"/>
      <c r="XM1375" s="120"/>
      <c r="XN1375" s="120"/>
      <c r="XO1375" s="120"/>
      <c r="XP1375" s="120"/>
      <c r="XQ1375" s="120"/>
      <c r="XR1375" s="120"/>
      <c r="XS1375" s="120"/>
      <c r="XT1375" s="120"/>
      <c r="XU1375" s="120"/>
      <c r="XV1375" s="120"/>
      <c r="XW1375" s="120"/>
      <c r="XX1375" s="120"/>
      <c r="XY1375" s="120"/>
      <c r="XZ1375" s="120"/>
      <c r="YA1375" s="120"/>
      <c r="YB1375" s="120"/>
      <c r="YC1375" s="120"/>
      <c r="YD1375" s="120"/>
      <c r="YE1375" s="120"/>
      <c r="YF1375" s="120"/>
      <c r="YG1375" s="120"/>
      <c r="YH1375" s="120"/>
      <c r="YI1375" s="120"/>
      <c r="YJ1375" s="120"/>
      <c r="YK1375" s="120"/>
      <c r="YL1375" s="120"/>
      <c r="YM1375" s="120"/>
      <c r="YN1375" s="120"/>
      <c r="YO1375" s="120"/>
      <c r="YP1375" s="120"/>
      <c r="YQ1375" s="120"/>
      <c r="YR1375" s="120"/>
      <c r="YS1375" s="120"/>
      <c r="YT1375" s="120"/>
      <c r="YU1375" s="120"/>
      <c r="YV1375" s="120"/>
      <c r="YW1375" s="120"/>
      <c r="YX1375" s="120"/>
      <c r="YY1375" s="120"/>
      <c r="YZ1375" s="120"/>
      <c r="ZA1375" s="120"/>
      <c r="ZB1375" s="120"/>
      <c r="ZC1375" s="120"/>
      <c r="ZD1375" s="120"/>
      <c r="ZE1375" s="120"/>
      <c r="ZF1375" s="120"/>
      <c r="ZG1375" s="120"/>
      <c r="ZH1375" s="120"/>
      <c r="ZI1375" s="120"/>
      <c r="ZJ1375" s="120"/>
      <c r="ZK1375" s="120"/>
      <c r="ZL1375" s="120"/>
      <c r="ZM1375" s="120"/>
      <c r="ZN1375" s="120"/>
      <c r="ZO1375" s="120"/>
      <c r="ZP1375" s="120"/>
      <c r="ZQ1375" s="120"/>
      <c r="ZR1375" s="120"/>
      <c r="ZS1375" s="120"/>
      <c r="ZT1375" s="120"/>
      <c r="ZU1375" s="120"/>
      <c r="ZV1375" s="120"/>
      <c r="ZW1375" s="120"/>
      <c r="ZX1375" s="120"/>
      <c r="ZY1375" s="120"/>
      <c r="ZZ1375" s="120"/>
      <c r="AAA1375" s="120"/>
      <c r="AAB1375" s="120"/>
      <c r="AAC1375" s="120"/>
      <c r="AAD1375" s="120"/>
      <c r="AAE1375" s="120"/>
      <c r="AAF1375" s="120"/>
      <c r="AAG1375" s="120"/>
      <c r="AAH1375" s="120"/>
      <c r="AAI1375" s="120"/>
      <c r="AAJ1375" s="120"/>
      <c r="AAK1375" s="120"/>
      <c r="AAL1375" s="120"/>
      <c r="AAM1375" s="120"/>
      <c r="AAN1375" s="120"/>
      <c r="AAO1375" s="120"/>
      <c r="AAP1375" s="120"/>
      <c r="AAQ1375" s="120"/>
      <c r="AAR1375" s="120"/>
      <c r="AAS1375" s="120"/>
      <c r="AAT1375" s="120"/>
      <c r="AAU1375" s="120"/>
      <c r="AAV1375" s="120"/>
      <c r="AAW1375" s="120"/>
      <c r="AAX1375" s="120"/>
      <c r="AAY1375" s="120"/>
      <c r="AAZ1375" s="120"/>
      <c r="ABA1375" s="120"/>
      <c r="ABB1375" s="120"/>
      <c r="ABC1375" s="120"/>
      <c r="ABD1375" s="120"/>
      <c r="ABE1375" s="120"/>
      <c r="ABF1375" s="120"/>
      <c r="ABG1375" s="120"/>
      <c r="ABH1375" s="120"/>
      <c r="ABI1375" s="120"/>
      <c r="ABJ1375" s="120"/>
      <c r="ABK1375" s="120"/>
      <c r="ABL1375" s="120"/>
      <c r="ABM1375" s="120"/>
      <c r="ABN1375" s="120"/>
      <c r="ABO1375" s="120"/>
      <c r="ABP1375" s="120"/>
      <c r="ABQ1375" s="120"/>
      <c r="ABR1375" s="120"/>
      <c r="ABS1375" s="120"/>
      <c r="ABT1375" s="120"/>
      <c r="ABU1375" s="120"/>
      <c r="ABV1375" s="120"/>
      <c r="ABW1375" s="120"/>
      <c r="ABX1375" s="120"/>
      <c r="ABY1375" s="120"/>
      <c r="ABZ1375" s="120"/>
      <c r="ACA1375" s="120"/>
      <c r="ACB1375" s="120"/>
      <c r="ACC1375" s="120"/>
      <c r="ACD1375" s="120"/>
      <c r="ACE1375" s="120"/>
      <c r="ACF1375" s="120"/>
      <c r="ACG1375" s="120"/>
      <c r="ACH1375" s="120"/>
      <c r="ACI1375" s="120"/>
      <c r="ACJ1375" s="120"/>
      <c r="ACK1375" s="120"/>
      <c r="ACL1375" s="120"/>
      <c r="ACM1375" s="120"/>
      <c r="ACN1375" s="120"/>
      <c r="ACO1375" s="120"/>
      <c r="ACP1375" s="120"/>
      <c r="ACQ1375" s="120"/>
      <c r="ACR1375" s="120"/>
      <c r="ACS1375" s="120"/>
      <c r="ACT1375" s="120"/>
      <c r="ACU1375" s="120"/>
      <c r="ACV1375" s="120"/>
      <c r="ACW1375" s="120"/>
      <c r="ACX1375" s="120"/>
      <c r="ACY1375" s="120"/>
      <c r="ACZ1375" s="120"/>
      <c r="ADA1375" s="120"/>
      <c r="ADB1375" s="120"/>
      <c r="ADC1375" s="120"/>
      <c r="ADD1375" s="120"/>
      <c r="ADE1375" s="120"/>
      <c r="ADF1375" s="120"/>
      <c r="ADG1375" s="120"/>
      <c r="ADH1375" s="120"/>
      <c r="ADI1375" s="120"/>
      <c r="ADJ1375" s="120"/>
      <c r="ADK1375" s="120"/>
      <c r="ADL1375" s="120"/>
      <c r="ADM1375" s="120"/>
      <c r="ADN1375" s="120"/>
      <c r="ADO1375" s="120"/>
      <c r="ADP1375" s="120"/>
      <c r="ADQ1375" s="120"/>
      <c r="ADR1375" s="120"/>
      <c r="ADS1375" s="120"/>
      <c r="ADT1375" s="120"/>
      <c r="ADU1375" s="120"/>
      <c r="ADV1375" s="120"/>
      <c r="ADW1375" s="120"/>
      <c r="ADX1375" s="120"/>
      <c r="ADY1375" s="120"/>
      <c r="ADZ1375" s="120"/>
      <c r="AEA1375" s="120"/>
      <c r="AEB1375" s="120"/>
      <c r="AEC1375" s="120"/>
      <c r="AED1375" s="120"/>
      <c r="AEE1375" s="120"/>
      <c r="AEF1375" s="120"/>
      <c r="AEG1375" s="120"/>
      <c r="AEH1375" s="120"/>
      <c r="AEI1375" s="120"/>
      <c r="AEJ1375" s="120"/>
      <c r="AEK1375" s="120"/>
      <c r="AEL1375" s="120"/>
      <c r="AEM1375" s="120"/>
      <c r="AEN1375" s="120"/>
      <c r="AEO1375" s="120"/>
      <c r="AEP1375" s="120"/>
      <c r="AEQ1375" s="120"/>
      <c r="AER1375" s="120"/>
      <c r="AES1375" s="120"/>
      <c r="AET1375" s="120"/>
      <c r="AEU1375" s="120"/>
      <c r="AEV1375" s="120"/>
      <c r="AEW1375" s="120"/>
      <c r="AEX1375" s="120"/>
      <c r="AEY1375" s="120"/>
      <c r="AEZ1375" s="120"/>
      <c r="AFA1375" s="120"/>
      <c r="AFB1375" s="120"/>
      <c r="AFC1375" s="120"/>
      <c r="AFD1375" s="120"/>
      <c r="AFE1375" s="120"/>
      <c r="AFF1375" s="120"/>
      <c r="AFG1375" s="120"/>
      <c r="AFH1375" s="120"/>
      <c r="AFI1375" s="120"/>
      <c r="AFJ1375" s="120"/>
      <c r="AFK1375" s="120"/>
      <c r="AFL1375" s="120"/>
      <c r="AFM1375" s="120"/>
      <c r="AFN1375" s="120"/>
      <c r="AFO1375" s="120"/>
      <c r="AFP1375" s="120"/>
      <c r="AFQ1375" s="120"/>
      <c r="AFR1375" s="120"/>
      <c r="AFS1375" s="120"/>
      <c r="AFT1375" s="120"/>
      <c r="AFU1375" s="120"/>
      <c r="AFV1375" s="120"/>
      <c r="AFW1375" s="120"/>
      <c r="AFX1375" s="120"/>
      <c r="AFY1375" s="120"/>
      <c r="AFZ1375" s="120"/>
      <c r="AGA1375" s="120"/>
      <c r="AGB1375" s="120"/>
      <c r="AGC1375" s="120"/>
      <c r="AGD1375" s="120"/>
      <c r="AGE1375" s="120"/>
      <c r="AGF1375" s="120"/>
      <c r="AGG1375" s="120"/>
      <c r="AGH1375" s="120"/>
      <c r="AGI1375" s="120"/>
      <c r="AGJ1375" s="120"/>
      <c r="AGK1375" s="120"/>
      <c r="AGL1375" s="120"/>
      <c r="AGM1375" s="120"/>
      <c r="AGN1375" s="120"/>
      <c r="AGO1375" s="120"/>
      <c r="AGP1375" s="120"/>
      <c r="AGQ1375" s="120"/>
      <c r="AGR1375" s="120"/>
      <c r="AGS1375" s="120"/>
      <c r="AGT1375" s="120"/>
      <c r="AGU1375" s="120"/>
      <c r="AGV1375" s="120"/>
      <c r="AGW1375" s="120"/>
      <c r="AGX1375" s="120"/>
      <c r="AGY1375" s="120"/>
      <c r="AGZ1375" s="120"/>
      <c r="AHA1375" s="120"/>
      <c r="AHB1375" s="120"/>
      <c r="AHC1375" s="120"/>
      <c r="AHD1375" s="120"/>
      <c r="AHE1375" s="120"/>
      <c r="AHF1375" s="120"/>
      <c r="AHG1375" s="120"/>
      <c r="AHH1375" s="120"/>
      <c r="AHI1375" s="120"/>
      <c r="AHJ1375" s="120"/>
      <c r="AHK1375" s="120"/>
      <c r="AHL1375" s="120"/>
      <c r="AHM1375" s="120"/>
      <c r="AHN1375" s="120"/>
      <c r="AHO1375" s="120"/>
      <c r="AHP1375" s="120"/>
      <c r="AHQ1375" s="120"/>
      <c r="AHR1375" s="120"/>
      <c r="AHS1375" s="120"/>
      <c r="AHT1375" s="120"/>
      <c r="AHU1375" s="120"/>
      <c r="AHV1375" s="120"/>
      <c r="AHW1375" s="120"/>
      <c r="AHX1375" s="120"/>
      <c r="AHY1375" s="120"/>
      <c r="AHZ1375" s="120"/>
      <c r="AIA1375" s="120"/>
      <c r="AIB1375" s="120"/>
      <c r="AIC1375" s="120"/>
      <c r="AID1375" s="120"/>
      <c r="AIE1375" s="120"/>
      <c r="AIF1375" s="120"/>
      <c r="AIG1375" s="120"/>
      <c r="AIH1375" s="120"/>
      <c r="AII1375" s="120"/>
      <c r="AIJ1375" s="120"/>
      <c r="AIK1375" s="120"/>
      <c r="AIL1375" s="120"/>
      <c r="AIM1375" s="120"/>
      <c r="AIN1375" s="120"/>
      <c r="AIO1375" s="120"/>
      <c r="AIP1375" s="120"/>
      <c r="AIQ1375" s="120"/>
      <c r="AIR1375" s="120"/>
      <c r="AIS1375" s="120"/>
      <c r="AIT1375" s="120"/>
      <c r="AIU1375" s="120"/>
      <c r="AIV1375" s="120"/>
      <c r="AIW1375" s="120"/>
      <c r="AIX1375" s="120"/>
      <c r="AIY1375" s="120"/>
      <c r="AIZ1375" s="120"/>
      <c r="AJA1375" s="120"/>
      <c r="AJB1375" s="120"/>
      <c r="AJC1375" s="120"/>
      <c r="AJD1375" s="120"/>
      <c r="AJE1375" s="120"/>
      <c r="AJF1375" s="120"/>
      <c r="AJG1375" s="120"/>
      <c r="AJH1375" s="120"/>
      <c r="AJI1375" s="120"/>
      <c r="AJJ1375" s="120"/>
      <c r="AJK1375" s="120"/>
      <c r="AJL1375" s="120"/>
      <c r="AJM1375" s="120"/>
      <c r="AJN1375" s="120"/>
      <c r="AJO1375" s="120"/>
      <c r="AJP1375" s="120"/>
      <c r="AJQ1375" s="120"/>
      <c r="AJR1375" s="120"/>
      <c r="AJS1375" s="120"/>
      <c r="AJT1375" s="120"/>
      <c r="AJU1375" s="120"/>
      <c r="AJV1375" s="120"/>
      <c r="AJW1375" s="120"/>
      <c r="AJX1375" s="120"/>
      <c r="AJY1375" s="120"/>
      <c r="AJZ1375" s="120"/>
      <c r="AKA1375" s="120"/>
      <c r="AKB1375" s="120"/>
      <c r="AKC1375" s="120"/>
      <c r="AKD1375" s="120"/>
      <c r="AKE1375" s="120"/>
      <c r="AKF1375" s="120"/>
      <c r="AKG1375" s="120"/>
      <c r="AKH1375" s="120"/>
      <c r="AKI1375" s="120"/>
      <c r="AKJ1375" s="120"/>
      <c r="AKK1375" s="120"/>
      <c r="AKL1375" s="120"/>
      <c r="AKM1375" s="120"/>
      <c r="AKN1375" s="120"/>
      <c r="AKO1375" s="120"/>
      <c r="AKP1375" s="120"/>
      <c r="AKQ1375" s="120"/>
      <c r="AKR1375" s="120"/>
      <c r="AKS1375" s="120"/>
      <c r="AKT1375" s="120"/>
      <c r="AKU1375" s="120"/>
      <c r="AKV1375" s="120"/>
      <c r="AKW1375" s="120"/>
      <c r="AKX1375" s="120"/>
      <c r="AKY1375" s="120"/>
      <c r="AKZ1375" s="120"/>
      <c r="ALA1375" s="120"/>
      <c r="ALB1375" s="120"/>
      <c r="ALC1375" s="120"/>
      <c r="ALD1375" s="120"/>
      <c r="ALE1375" s="120"/>
      <c r="ALF1375" s="120"/>
      <c r="ALG1375" s="120"/>
      <c r="ALH1375" s="120"/>
      <c r="ALI1375" s="120"/>
      <c r="ALJ1375" s="120"/>
      <c r="ALK1375" s="120"/>
      <c r="ALL1375" s="120"/>
      <c r="ALM1375" s="120"/>
      <c r="ALN1375" s="120"/>
      <c r="ALO1375" s="120"/>
      <c r="ALP1375" s="120"/>
      <c r="ALQ1375" s="120"/>
      <c r="ALR1375" s="120"/>
      <c r="ALS1375" s="120"/>
      <c r="ALT1375" s="120"/>
      <c r="ALU1375" s="120"/>
      <c r="ALV1375" s="120"/>
      <c r="ALW1375" s="120"/>
      <c r="ALX1375" s="120"/>
      <c r="ALY1375" s="120"/>
      <c r="ALZ1375" s="120"/>
      <c r="AMA1375" s="120"/>
      <c r="AMB1375" s="120"/>
      <c r="AMC1375" s="120"/>
      <c r="AMD1375" s="120"/>
      <c r="AME1375" s="120"/>
      <c r="AMF1375" s="120"/>
      <c r="AMG1375" s="120"/>
      <c r="AMH1375" s="120"/>
      <c r="AMI1375" s="120"/>
      <c r="AMJ1375" s="120"/>
      <c r="AMK1375" s="120"/>
      <c r="AML1375" s="120"/>
      <c r="AMM1375" s="120"/>
      <c r="AMN1375" s="120"/>
      <c r="AMO1375" s="120"/>
      <c r="AMP1375" s="120"/>
      <c r="AMQ1375" s="120"/>
      <c r="AMR1375" s="120"/>
      <c r="AMS1375" s="120"/>
      <c r="AMT1375" s="120"/>
      <c r="AMU1375" s="120"/>
      <c r="AMV1375" s="120"/>
      <c r="AMW1375" s="120"/>
      <c r="AMX1375" s="120"/>
      <c r="AMY1375" s="120"/>
      <c r="AMZ1375" s="120"/>
      <c r="ANA1375" s="120"/>
      <c r="ANB1375" s="120"/>
      <c r="ANC1375" s="120"/>
      <c r="AND1375" s="120"/>
      <c r="ANE1375" s="120"/>
      <c r="ANF1375" s="120"/>
      <c r="ANG1375" s="120"/>
      <c r="ANH1375" s="120"/>
      <c r="ANI1375" s="120"/>
      <c r="ANJ1375" s="120"/>
      <c r="ANK1375" s="120"/>
      <c r="ANL1375" s="120"/>
      <c r="ANM1375" s="120"/>
      <c r="ANN1375" s="120"/>
      <c r="ANO1375" s="120"/>
      <c r="ANP1375" s="120"/>
      <c r="ANQ1375" s="120"/>
      <c r="ANR1375" s="120"/>
      <c r="ANS1375" s="120"/>
      <c r="ANT1375" s="120"/>
      <c r="ANU1375" s="120"/>
      <c r="ANV1375" s="120"/>
      <c r="ANW1375" s="120"/>
      <c r="ANX1375" s="120"/>
      <c r="ANY1375" s="120"/>
      <c r="ANZ1375" s="120"/>
      <c r="AOA1375" s="120"/>
      <c r="AOB1375" s="120"/>
      <c r="AOC1375" s="120"/>
      <c r="AOD1375" s="120"/>
      <c r="AOE1375" s="120"/>
      <c r="AOF1375" s="120"/>
      <c r="AOG1375" s="120"/>
      <c r="AOH1375" s="120"/>
      <c r="AOI1375" s="120"/>
      <c r="AOJ1375" s="120"/>
      <c r="AOK1375" s="120"/>
      <c r="AOL1375" s="120"/>
      <c r="AOM1375" s="120"/>
      <c r="AON1375" s="120"/>
      <c r="AOO1375" s="120"/>
      <c r="AOP1375" s="120"/>
      <c r="AOQ1375" s="120"/>
      <c r="AOR1375" s="120"/>
      <c r="AOS1375" s="120"/>
      <c r="AOT1375" s="120"/>
      <c r="AOU1375" s="120"/>
      <c r="AOV1375" s="120"/>
      <c r="AOW1375" s="120"/>
      <c r="AOX1375" s="120"/>
      <c r="AOY1375" s="120"/>
      <c r="AOZ1375" s="120"/>
      <c r="APA1375" s="120"/>
      <c r="APB1375" s="120"/>
      <c r="APC1375" s="120"/>
      <c r="APD1375" s="120"/>
      <c r="APE1375" s="120"/>
      <c r="APF1375" s="120"/>
      <c r="APG1375" s="120"/>
      <c r="APH1375" s="120"/>
      <c r="API1375" s="120"/>
      <c r="APJ1375" s="120"/>
      <c r="APK1375" s="120"/>
      <c r="APL1375" s="120"/>
      <c r="APM1375" s="120"/>
      <c r="APN1375" s="120"/>
      <c r="APO1375" s="120"/>
      <c r="APP1375" s="120"/>
      <c r="APQ1375" s="120"/>
      <c r="APR1375" s="120"/>
      <c r="APS1375" s="120"/>
      <c r="APT1375" s="120"/>
      <c r="APU1375" s="120"/>
      <c r="APV1375" s="120"/>
      <c r="APW1375" s="120"/>
      <c r="APX1375" s="120"/>
      <c r="APY1375" s="120"/>
      <c r="APZ1375" s="120"/>
      <c r="AQA1375" s="120"/>
      <c r="AQB1375" s="120"/>
      <c r="AQC1375" s="120"/>
      <c r="AQD1375" s="120"/>
      <c r="AQE1375" s="120"/>
      <c r="AQF1375" s="120"/>
      <c r="AQG1375" s="120"/>
      <c r="AQH1375" s="120"/>
      <c r="AQI1375" s="120"/>
      <c r="AQJ1375" s="120"/>
      <c r="AQK1375" s="120"/>
      <c r="AQL1375" s="120"/>
      <c r="AQM1375" s="120"/>
      <c r="AQN1375" s="120"/>
      <c r="AQO1375" s="120"/>
      <c r="AQP1375" s="120"/>
      <c r="AQQ1375" s="120"/>
      <c r="AQR1375" s="120"/>
      <c r="AQS1375" s="120"/>
      <c r="AQT1375" s="120"/>
      <c r="AQU1375" s="120"/>
      <c r="AQV1375" s="120"/>
      <c r="AQW1375" s="120"/>
      <c r="AQX1375" s="120"/>
      <c r="AQY1375" s="120"/>
      <c r="AQZ1375" s="120"/>
      <c r="ARA1375" s="120"/>
      <c r="ARB1375" s="120"/>
      <c r="ARC1375" s="120"/>
      <c r="ARD1375" s="120"/>
      <c r="ARE1375" s="120"/>
      <c r="ARF1375" s="120"/>
      <c r="ARG1375" s="120"/>
      <c r="ARH1375" s="120"/>
      <c r="ARI1375" s="120"/>
      <c r="ARJ1375" s="120"/>
      <c r="ARK1375" s="120"/>
      <c r="ARL1375" s="120"/>
      <c r="ARM1375" s="120"/>
      <c r="ARN1375" s="120"/>
      <c r="ARO1375" s="120"/>
      <c r="ARP1375" s="120"/>
      <c r="ARQ1375" s="120"/>
      <c r="ARR1375" s="120"/>
      <c r="ARS1375" s="120"/>
      <c r="ART1375" s="120"/>
      <c r="ARU1375" s="120"/>
      <c r="ARV1375" s="120"/>
      <c r="ARW1375" s="120"/>
      <c r="ARX1375" s="120"/>
      <c r="ARY1375" s="120"/>
      <c r="ARZ1375" s="120"/>
      <c r="ASA1375" s="120"/>
      <c r="ASB1375" s="120"/>
      <c r="ASC1375" s="120"/>
      <c r="ASD1375" s="120"/>
      <c r="ASE1375" s="120"/>
      <c r="ASF1375" s="120"/>
      <c r="ASG1375" s="120"/>
      <c r="ASH1375" s="120"/>
      <c r="ASI1375" s="120"/>
      <c r="ASJ1375" s="120"/>
      <c r="ASK1375" s="120"/>
      <c r="ASL1375" s="120"/>
      <c r="ASM1375" s="120"/>
      <c r="ASN1375" s="120"/>
      <c r="ASO1375" s="120"/>
      <c r="ASP1375" s="120"/>
      <c r="ASQ1375" s="120"/>
      <c r="ASR1375" s="120"/>
      <c r="ASS1375" s="120"/>
      <c r="AST1375" s="120"/>
      <c r="ASU1375" s="120"/>
      <c r="ASV1375" s="120"/>
      <c r="ASW1375" s="120"/>
      <c r="ASX1375" s="120"/>
      <c r="ASY1375" s="120"/>
      <c r="ASZ1375" s="120"/>
      <c r="ATA1375" s="120"/>
      <c r="ATB1375" s="120"/>
      <c r="ATC1375" s="120"/>
      <c r="ATD1375" s="120"/>
      <c r="ATE1375" s="120"/>
      <c r="ATF1375" s="120"/>
      <c r="ATG1375" s="120"/>
      <c r="ATH1375" s="120"/>
      <c r="ATI1375" s="120"/>
      <c r="ATJ1375" s="120"/>
      <c r="ATK1375" s="120"/>
      <c r="ATL1375" s="120"/>
      <c r="ATM1375" s="120"/>
      <c r="ATN1375" s="120"/>
      <c r="ATO1375" s="120"/>
    </row>
    <row r="1376" spans="1:1211" s="20" customFormat="1" ht="14.1" customHeight="1">
      <c r="A1376" s="112"/>
      <c r="B1376" s="945" t="s">
        <v>3778</v>
      </c>
      <c r="C1376" s="184" t="s">
        <v>6140</v>
      </c>
      <c r="D1376" s="120"/>
      <c r="E1376" s="701"/>
      <c r="F1376" s="703"/>
      <c r="G1376" s="702"/>
      <c r="H1376" s="702"/>
      <c r="I1376" s="702"/>
      <c r="J1376" s="700"/>
      <c r="K1376" s="112"/>
      <c r="L1376" s="363"/>
      <c r="M1376" s="112"/>
      <c r="N1376" s="362"/>
      <c r="O1376" s="573"/>
      <c r="P1376" s="120"/>
      <c r="Q1376" s="120"/>
      <c r="R1376" s="120"/>
      <c r="S1376" s="120"/>
      <c r="T1376" s="120"/>
      <c r="U1376" s="120"/>
      <c r="V1376" s="120"/>
      <c r="W1376" s="120"/>
      <c r="X1376" s="120"/>
      <c r="Y1376" s="120"/>
      <c r="Z1376" s="120"/>
      <c r="AA1376" s="120"/>
      <c r="AB1376" s="120"/>
      <c r="AC1376" s="120"/>
      <c r="AD1376" s="120"/>
      <c r="AE1376" s="120"/>
      <c r="AF1376" s="120"/>
      <c r="AG1376" s="120"/>
      <c r="AH1376" s="120"/>
      <c r="AI1376" s="120"/>
      <c r="AJ1376" s="120"/>
      <c r="AK1376" s="120"/>
      <c r="AL1376" s="120"/>
      <c r="AM1376" s="120"/>
      <c r="AN1376" s="120"/>
      <c r="AO1376" s="120"/>
      <c r="AP1376" s="120"/>
      <c r="AQ1376" s="120"/>
      <c r="AR1376" s="120"/>
      <c r="AS1376" s="120"/>
      <c r="AT1376" s="120"/>
      <c r="AU1376" s="120"/>
      <c r="AV1376" s="120"/>
      <c r="AW1376" s="120"/>
      <c r="AX1376" s="120"/>
      <c r="AY1376" s="120"/>
      <c r="AZ1376" s="120"/>
      <c r="BA1376" s="120"/>
      <c r="BB1376" s="120"/>
      <c r="BC1376" s="120"/>
      <c r="BD1376" s="120"/>
      <c r="BE1376" s="120"/>
      <c r="BF1376" s="120"/>
      <c r="BG1376" s="120"/>
      <c r="BH1376" s="120"/>
      <c r="BI1376" s="120"/>
      <c r="BJ1376" s="120"/>
      <c r="BK1376" s="120"/>
      <c r="BL1376" s="120"/>
      <c r="BM1376" s="120"/>
      <c r="BN1376" s="120"/>
      <c r="BO1376" s="120"/>
      <c r="BP1376" s="120"/>
      <c r="BQ1376" s="120"/>
      <c r="BR1376" s="120"/>
      <c r="BS1376" s="120"/>
      <c r="BT1376" s="120"/>
      <c r="BU1376" s="120"/>
      <c r="BV1376" s="120"/>
      <c r="BW1376" s="120"/>
      <c r="BX1376" s="120"/>
      <c r="BY1376" s="120"/>
      <c r="BZ1376" s="120"/>
      <c r="CA1376" s="120"/>
      <c r="CB1376" s="120"/>
      <c r="CC1376" s="120"/>
      <c r="CD1376" s="120"/>
      <c r="CE1376" s="120"/>
      <c r="CF1376" s="120"/>
      <c r="CG1376" s="120"/>
      <c r="CH1376" s="120"/>
      <c r="CI1376" s="120"/>
      <c r="CJ1376" s="120"/>
      <c r="CK1376" s="120"/>
      <c r="CL1376" s="120"/>
      <c r="CM1376" s="120"/>
      <c r="CN1376" s="120"/>
      <c r="CO1376" s="120"/>
      <c r="CP1376" s="120"/>
      <c r="CQ1376" s="120"/>
      <c r="CR1376" s="120"/>
      <c r="CS1376" s="120"/>
      <c r="CT1376" s="120"/>
      <c r="CU1376" s="120"/>
      <c r="CV1376" s="120"/>
      <c r="CW1376" s="120"/>
      <c r="CX1376" s="120"/>
      <c r="CY1376" s="120"/>
      <c r="CZ1376" s="120"/>
      <c r="DA1376" s="120"/>
      <c r="DB1376" s="120"/>
      <c r="DC1376" s="120"/>
      <c r="DD1376" s="120"/>
      <c r="DE1376" s="120"/>
      <c r="DF1376" s="120"/>
      <c r="DG1376" s="120"/>
      <c r="DH1376" s="120"/>
      <c r="DI1376" s="120"/>
      <c r="DJ1376" s="120"/>
      <c r="DK1376" s="120"/>
      <c r="DL1376" s="120"/>
      <c r="DM1376" s="120"/>
      <c r="DN1376" s="120"/>
      <c r="DO1376" s="120"/>
      <c r="DP1376" s="120"/>
      <c r="DQ1376" s="120"/>
      <c r="DR1376" s="120"/>
      <c r="DS1376" s="120"/>
      <c r="DT1376" s="120"/>
      <c r="DU1376" s="120"/>
      <c r="DV1376" s="120"/>
      <c r="DW1376" s="120"/>
      <c r="DX1376" s="120"/>
      <c r="DY1376" s="120"/>
      <c r="DZ1376" s="120"/>
      <c r="EA1376" s="120"/>
      <c r="EB1376" s="120"/>
      <c r="EC1376" s="120"/>
      <c r="ED1376" s="120"/>
      <c r="EE1376" s="120"/>
      <c r="EF1376" s="120"/>
      <c r="EG1376" s="120"/>
      <c r="EH1376" s="120"/>
      <c r="EI1376" s="120"/>
      <c r="EJ1376" s="120"/>
      <c r="EK1376" s="120"/>
      <c r="EL1376" s="120"/>
      <c r="EM1376" s="120"/>
      <c r="EN1376" s="120"/>
      <c r="EO1376" s="120"/>
      <c r="EP1376" s="120"/>
      <c r="EQ1376" s="120"/>
      <c r="ER1376" s="120"/>
      <c r="ES1376" s="120"/>
      <c r="ET1376" s="120"/>
      <c r="EU1376" s="120"/>
      <c r="EV1376" s="120"/>
      <c r="EW1376" s="120"/>
      <c r="EX1376" s="120"/>
      <c r="EY1376" s="120"/>
      <c r="EZ1376" s="120"/>
      <c r="FA1376" s="120"/>
      <c r="FB1376" s="120"/>
      <c r="FC1376" s="120"/>
      <c r="FD1376" s="120"/>
      <c r="FE1376" s="120"/>
      <c r="FF1376" s="120"/>
      <c r="FG1376" s="120"/>
      <c r="FH1376" s="120"/>
      <c r="FI1376" s="120"/>
      <c r="FJ1376" s="120"/>
      <c r="FK1376" s="120"/>
      <c r="FL1376" s="120"/>
      <c r="FM1376" s="120"/>
      <c r="FN1376" s="120"/>
      <c r="FO1376" s="120"/>
      <c r="FP1376" s="120"/>
      <c r="FQ1376" s="120"/>
      <c r="FR1376" s="120"/>
      <c r="FS1376" s="120"/>
      <c r="FT1376" s="120"/>
      <c r="FU1376" s="120"/>
      <c r="FV1376" s="120"/>
      <c r="FW1376" s="120"/>
      <c r="FX1376" s="120"/>
      <c r="FY1376" s="120"/>
      <c r="FZ1376" s="120"/>
      <c r="GA1376" s="120"/>
      <c r="GB1376" s="120"/>
      <c r="GC1376" s="120"/>
      <c r="GD1376" s="120"/>
      <c r="GE1376" s="120"/>
      <c r="GF1376" s="120"/>
      <c r="GG1376" s="120"/>
      <c r="GH1376" s="120"/>
      <c r="GI1376" s="120"/>
      <c r="GJ1376" s="120"/>
      <c r="GK1376" s="120"/>
      <c r="GL1376" s="120"/>
      <c r="GM1376" s="120"/>
      <c r="GN1376" s="120"/>
      <c r="GO1376" s="120"/>
      <c r="GP1376" s="120"/>
      <c r="GQ1376" s="120"/>
      <c r="GR1376" s="120"/>
      <c r="GS1376" s="120"/>
      <c r="GT1376" s="120"/>
      <c r="GU1376" s="120"/>
      <c r="GV1376" s="120"/>
      <c r="GW1376" s="120"/>
      <c r="GX1376" s="120"/>
      <c r="GY1376" s="120"/>
      <c r="GZ1376" s="120"/>
      <c r="HA1376" s="120"/>
      <c r="HB1376" s="120"/>
      <c r="HC1376" s="120"/>
      <c r="HD1376" s="120"/>
      <c r="HE1376" s="120"/>
      <c r="HF1376" s="120"/>
      <c r="HG1376" s="120"/>
      <c r="HH1376" s="120"/>
      <c r="HI1376" s="120"/>
      <c r="HJ1376" s="120"/>
      <c r="HK1376" s="120"/>
      <c r="HL1376" s="120"/>
      <c r="HM1376" s="120"/>
      <c r="HN1376" s="120"/>
      <c r="HO1376" s="120"/>
      <c r="HP1376" s="120"/>
      <c r="HQ1376" s="120"/>
      <c r="HR1376" s="120"/>
      <c r="HS1376" s="120"/>
      <c r="HT1376" s="120"/>
      <c r="HU1376" s="120"/>
      <c r="HV1376" s="120"/>
      <c r="HW1376" s="120"/>
      <c r="HX1376" s="120"/>
      <c r="HY1376" s="120"/>
      <c r="HZ1376" s="120"/>
      <c r="IA1376" s="120"/>
      <c r="IB1376" s="120"/>
      <c r="IC1376" s="120"/>
      <c r="ID1376" s="120"/>
      <c r="IE1376" s="120"/>
      <c r="IF1376" s="120"/>
      <c r="IG1376" s="120"/>
      <c r="IH1376" s="120"/>
      <c r="II1376" s="120"/>
      <c r="IJ1376" s="120"/>
      <c r="IK1376" s="120"/>
      <c r="IL1376" s="120"/>
      <c r="IM1376" s="120"/>
      <c r="IN1376" s="120"/>
      <c r="IO1376" s="120"/>
      <c r="IP1376" s="120"/>
      <c r="IQ1376" s="120"/>
      <c r="IR1376" s="120"/>
      <c r="IS1376" s="120"/>
      <c r="IT1376" s="120"/>
      <c r="IU1376" s="120"/>
      <c r="IV1376" s="120"/>
      <c r="IW1376" s="120"/>
      <c r="IX1376" s="120"/>
      <c r="IY1376" s="120"/>
      <c r="IZ1376" s="120"/>
      <c r="JA1376" s="120"/>
      <c r="JB1376" s="120"/>
      <c r="JC1376" s="120"/>
      <c r="JD1376" s="120"/>
      <c r="JE1376" s="120"/>
      <c r="JF1376" s="120"/>
      <c r="JG1376" s="120"/>
      <c r="JH1376" s="120"/>
      <c r="JI1376" s="120"/>
      <c r="JJ1376" s="120"/>
      <c r="JK1376" s="120"/>
      <c r="JL1376" s="120"/>
      <c r="JM1376" s="120"/>
      <c r="JN1376" s="120"/>
      <c r="JO1376" s="120"/>
      <c r="JP1376" s="120"/>
      <c r="JQ1376" s="120"/>
      <c r="JR1376" s="120"/>
      <c r="JS1376" s="120"/>
      <c r="JT1376" s="120"/>
      <c r="JU1376" s="120"/>
      <c r="JV1376" s="120"/>
      <c r="JW1376" s="120"/>
      <c r="JX1376" s="120"/>
      <c r="JY1376" s="120"/>
      <c r="JZ1376" s="120"/>
      <c r="KA1376" s="120"/>
      <c r="KB1376" s="120"/>
      <c r="KC1376" s="120"/>
      <c r="KD1376" s="120"/>
      <c r="KE1376" s="120"/>
      <c r="KF1376" s="120"/>
      <c r="KG1376" s="120"/>
      <c r="KH1376" s="120"/>
      <c r="KI1376" s="120"/>
      <c r="KJ1376" s="120"/>
      <c r="KK1376" s="120"/>
      <c r="KL1376" s="120"/>
      <c r="KM1376" s="120"/>
      <c r="KN1376" s="120"/>
      <c r="KO1376" s="120"/>
      <c r="KP1376" s="120"/>
      <c r="KQ1376" s="120"/>
      <c r="KR1376" s="120"/>
      <c r="KS1376" s="120"/>
      <c r="KT1376" s="120"/>
      <c r="KU1376" s="120"/>
      <c r="KV1376" s="120"/>
      <c r="KW1376" s="120"/>
      <c r="KX1376" s="120"/>
      <c r="KY1376" s="120"/>
      <c r="KZ1376" s="120"/>
      <c r="LA1376" s="120"/>
      <c r="LB1376" s="120"/>
      <c r="LC1376" s="120"/>
      <c r="LD1376" s="120"/>
      <c r="LE1376" s="120"/>
      <c r="LF1376" s="120"/>
      <c r="LG1376" s="120"/>
      <c r="LH1376" s="120"/>
      <c r="LI1376" s="120"/>
      <c r="LJ1376" s="120"/>
      <c r="LK1376" s="120"/>
      <c r="LL1376" s="120"/>
      <c r="LM1376" s="120"/>
      <c r="LN1376" s="120"/>
      <c r="LO1376" s="120"/>
      <c r="LP1376" s="120"/>
      <c r="LQ1376" s="120"/>
      <c r="LR1376" s="120"/>
      <c r="LS1376" s="120"/>
      <c r="LT1376" s="120"/>
      <c r="LU1376" s="120"/>
      <c r="LV1376" s="120"/>
      <c r="LW1376" s="120"/>
      <c r="LX1376" s="120"/>
      <c r="LY1376" s="120"/>
      <c r="LZ1376" s="120"/>
      <c r="MA1376" s="120"/>
      <c r="MB1376" s="120"/>
      <c r="MC1376" s="120"/>
      <c r="MD1376" s="120"/>
      <c r="ME1376" s="120"/>
      <c r="MF1376" s="120"/>
      <c r="MG1376" s="120"/>
      <c r="MH1376" s="120"/>
      <c r="MI1376" s="120"/>
      <c r="MJ1376" s="120"/>
      <c r="MK1376" s="120"/>
      <c r="ML1376" s="120"/>
      <c r="MM1376" s="120"/>
      <c r="MN1376" s="120"/>
      <c r="MO1376" s="120"/>
      <c r="MP1376" s="120"/>
      <c r="MQ1376" s="120"/>
      <c r="MR1376" s="120"/>
      <c r="MS1376" s="120"/>
      <c r="MT1376" s="120"/>
      <c r="MU1376" s="120"/>
      <c r="MV1376" s="120"/>
      <c r="MW1376" s="120"/>
      <c r="MX1376" s="120"/>
      <c r="MY1376" s="120"/>
      <c r="MZ1376" s="120"/>
      <c r="NA1376" s="120"/>
      <c r="NB1376" s="120"/>
      <c r="NC1376" s="120"/>
      <c r="ND1376" s="120"/>
      <c r="NE1376" s="120"/>
      <c r="NF1376" s="120"/>
      <c r="NG1376" s="120"/>
      <c r="NH1376" s="120"/>
      <c r="NI1376" s="120"/>
      <c r="NJ1376" s="120"/>
      <c r="NK1376" s="120"/>
      <c r="NL1376" s="120"/>
      <c r="NM1376" s="120"/>
      <c r="NN1376" s="120"/>
      <c r="NO1376" s="120"/>
      <c r="NP1376" s="120"/>
      <c r="NQ1376" s="120"/>
      <c r="NR1376" s="120"/>
      <c r="NS1376" s="120"/>
      <c r="NT1376" s="120"/>
      <c r="NU1376" s="120"/>
      <c r="NV1376" s="120"/>
      <c r="NW1376" s="120"/>
      <c r="NX1376" s="120"/>
      <c r="NY1376" s="120"/>
      <c r="NZ1376" s="120"/>
      <c r="OA1376" s="120"/>
      <c r="OB1376" s="120"/>
      <c r="OC1376" s="120"/>
      <c r="OD1376" s="120"/>
      <c r="OE1376" s="120"/>
      <c r="OF1376" s="120"/>
      <c r="OG1376" s="120"/>
      <c r="OH1376" s="120"/>
      <c r="OI1376" s="120"/>
      <c r="OJ1376" s="120"/>
      <c r="OK1376" s="120"/>
      <c r="OL1376" s="120"/>
      <c r="OM1376" s="120"/>
      <c r="ON1376" s="120"/>
      <c r="OO1376" s="120"/>
      <c r="OP1376" s="120"/>
      <c r="OQ1376" s="120"/>
      <c r="OR1376" s="120"/>
      <c r="OS1376" s="120"/>
      <c r="OT1376" s="120"/>
      <c r="OU1376" s="120"/>
      <c r="OV1376" s="120"/>
      <c r="OW1376" s="120"/>
      <c r="OX1376" s="120"/>
      <c r="OY1376" s="120"/>
      <c r="OZ1376" s="120"/>
      <c r="PA1376" s="120"/>
      <c r="PB1376" s="120"/>
      <c r="PC1376" s="120"/>
      <c r="PD1376" s="120"/>
      <c r="PE1376" s="120"/>
      <c r="PF1376" s="120"/>
      <c r="PG1376" s="120"/>
      <c r="PH1376" s="120"/>
      <c r="PI1376" s="120"/>
      <c r="PJ1376" s="120"/>
      <c r="PK1376" s="120"/>
      <c r="PL1376" s="120"/>
      <c r="PM1376" s="120"/>
      <c r="PN1376" s="120"/>
      <c r="PO1376" s="120"/>
      <c r="PP1376" s="120"/>
      <c r="PQ1376" s="120"/>
      <c r="PR1376" s="120"/>
      <c r="PS1376" s="120"/>
      <c r="PT1376" s="120"/>
      <c r="PU1376" s="120"/>
      <c r="PV1376" s="120"/>
      <c r="PW1376" s="120"/>
      <c r="PX1376" s="120"/>
      <c r="PY1376" s="120"/>
      <c r="PZ1376" s="120"/>
      <c r="QA1376" s="120"/>
      <c r="QB1376" s="120"/>
      <c r="QC1376" s="120"/>
      <c r="QD1376" s="120"/>
      <c r="QE1376" s="120"/>
      <c r="QF1376" s="120"/>
      <c r="QG1376" s="120"/>
      <c r="QH1376" s="120"/>
      <c r="QI1376" s="120"/>
      <c r="QJ1376" s="120"/>
      <c r="QK1376" s="120"/>
      <c r="QL1376" s="120"/>
      <c r="QM1376" s="120"/>
      <c r="QN1376" s="120"/>
      <c r="QO1376" s="120"/>
      <c r="QP1376" s="120"/>
      <c r="QQ1376" s="120"/>
      <c r="QR1376" s="120"/>
      <c r="QS1376" s="120"/>
      <c r="QT1376" s="120"/>
      <c r="QU1376" s="120"/>
      <c r="QV1376" s="120"/>
      <c r="QW1376" s="120"/>
      <c r="QX1376" s="120"/>
      <c r="QY1376" s="120"/>
      <c r="QZ1376" s="120"/>
      <c r="RA1376" s="120"/>
      <c r="RB1376" s="120"/>
      <c r="RC1376" s="120"/>
      <c r="RD1376" s="120"/>
      <c r="RE1376" s="120"/>
      <c r="RF1376" s="120"/>
      <c r="RG1376" s="120"/>
      <c r="RH1376" s="120"/>
      <c r="RI1376" s="120"/>
      <c r="RJ1376" s="120"/>
      <c r="RK1376" s="120"/>
      <c r="RL1376" s="120"/>
      <c r="RM1376" s="120"/>
      <c r="RN1376" s="120"/>
      <c r="RO1376" s="120"/>
      <c r="RP1376" s="120"/>
      <c r="RQ1376" s="120"/>
      <c r="RR1376" s="120"/>
      <c r="RS1376" s="120"/>
      <c r="RT1376" s="120"/>
      <c r="RU1376" s="120"/>
      <c r="RV1376" s="120"/>
      <c r="RW1376" s="120"/>
      <c r="RX1376" s="120"/>
      <c r="RY1376" s="120"/>
      <c r="RZ1376" s="120"/>
      <c r="SA1376" s="120"/>
      <c r="SB1376" s="120"/>
      <c r="SC1376" s="120"/>
      <c r="SD1376" s="120"/>
      <c r="SE1376" s="120"/>
      <c r="SF1376" s="120"/>
      <c r="SG1376" s="120"/>
      <c r="SH1376" s="120"/>
      <c r="SI1376" s="120"/>
      <c r="SJ1376" s="120"/>
      <c r="SK1376" s="120"/>
      <c r="SL1376" s="120"/>
      <c r="SM1376" s="120"/>
      <c r="SN1376" s="120"/>
      <c r="SO1376" s="120"/>
      <c r="SP1376" s="120"/>
      <c r="SQ1376" s="120"/>
      <c r="SR1376" s="120"/>
      <c r="SS1376" s="120"/>
      <c r="ST1376" s="120"/>
      <c r="SU1376" s="120"/>
      <c r="SV1376" s="120"/>
      <c r="SW1376" s="120"/>
      <c r="SX1376" s="120"/>
      <c r="SY1376" s="120"/>
      <c r="SZ1376" s="120"/>
      <c r="TA1376" s="120"/>
      <c r="TB1376" s="120"/>
      <c r="TC1376" s="120"/>
      <c r="TD1376" s="120"/>
      <c r="TE1376" s="120"/>
      <c r="TF1376" s="120"/>
      <c r="TG1376" s="120"/>
      <c r="TH1376" s="120"/>
      <c r="TI1376" s="120"/>
      <c r="TJ1376" s="120"/>
      <c r="TK1376" s="120"/>
      <c r="TL1376" s="120"/>
      <c r="TM1376" s="120"/>
      <c r="TN1376" s="120"/>
      <c r="TO1376" s="120"/>
      <c r="TP1376" s="120"/>
      <c r="TQ1376" s="120"/>
      <c r="TR1376" s="120"/>
      <c r="TS1376" s="120"/>
      <c r="TT1376" s="120"/>
      <c r="TU1376" s="120"/>
      <c r="TV1376" s="120"/>
      <c r="TW1376" s="120"/>
      <c r="TX1376" s="120"/>
      <c r="TY1376" s="120"/>
      <c r="TZ1376" s="120"/>
      <c r="UA1376" s="120"/>
      <c r="UB1376" s="120"/>
      <c r="UC1376" s="120"/>
      <c r="UD1376" s="120"/>
      <c r="UE1376" s="120"/>
      <c r="UF1376" s="120"/>
      <c r="UG1376" s="120"/>
      <c r="UH1376" s="120"/>
      <c r="UI1376" s="120"/>
      <c r="UJ1376" s="120"/>
      <c r="UK1376" s="120"/>
      <c r="UL1376" s="120"/>
      <c r="UM1376" s="120"/>
      <c r="UN1376" s="120"/>
      <c r="UO1376" s="120"/>
      <c r="UP1376" s="120"/>
      <c r="UQ1376" s="120"/>
      <c r="UR1376" s="120"/>
      <c r="US1376" s="120"/>
      <c r="UT1376" s="120"/>
      <c r="UU1376" s="120"/>
      <c r="UV1376" s="120"/>
      <c r="UW1376" s="120"/>
      <c r="UX1376" s="120"/>
      <c r="UY1376" s="120"/>
      <c r="UZ1376" s="120"/>
      <c r="VA1376" s="120"/>
      <c r="VB1376" s="120"/>
      <c r="VC1376" s="120"/>
      <c r="VD1376" s="120"/>
      <c r="VE1376" s="120"/>
      <c r="VF1376" s="120"/>
      <c r="VG1376" s="120"/>
      <c r="VH1376" s="120"/>
      <c r="VI1376" s="120"/>
      <c r="VJ1376" s="120"/>
      <c r="VK1376" s="120"/>
      <c r="VL1376" s="120"/>
      <c r="VM1376" s="120"/>
      <c r="VN1376" s="120"/>
      <c r="VO1376" s="120"/>
      <c r="VP1376" s="120"/>
      <c r="VQ1376" s="120"/>
      <c r="VR1376" s="120"/>
      <c r="VS1376" s="120"/>
      <c r="VT1376" s="120"/>
      <c r="VU1376" s="120"/>
      <c r="VV1376" s="120"/>
      <c r="VW1376" s="120"/>
      <c r="VX1376" s="120"/>
      <c r="VY1376" s="120"/>
      <c r="VZ1376" s="120"/>
      <c r="WA1376" s="120"/>
      <c r="WB1376" s="120"/>
      <c r="WC1376" s="120"/>
      <c r="WD1376" s="120"/>
      <c r="WE1376" s="120"/>
      <c r="WF1376" s="120"/>
      <c r="WG1376" s="120"/>
      <c r="WH1376" s="120"/>
      <c r="WI1376" s="120"/>
      <c r="WJ1376" s="120"/>
      <c r="WK1376" s="120"/>
      <c r="WL1376" s="120"/>
      <c r="WM1376" s="120"/>
      <c r="WN1376" s="120"/>
      <c r="WO1376" s="120"/>
      <c r="WP1376" s="120"/>
      <c r="WQ1376" s="120"/>
      <c r="WR1376" s="120"/>
      <c r="WS1376" s="120"/>
      <c r="WT1376" s="120"/>
      <c r="WU1376" s="120"/>
      <c r="WV1376" s="120"/>
      <c r="WW1376" s="120"/>
      <c r="WX1376" s="120"/>
      <c r="WY1376" s="120"/>
      <c r="WZ1376" s="120"/>
      <c r="XA1376" s="120"/>
      <c r="XB1376" s="120"/>
      <c r="XC1376" s="120"/>
      <c r="XD1376" s="120"/>
      <c r="XE1376" s="120"/>
      <c r="XF1376" s="120"/>
      <c r="XG1376" s="120"/>
      <c r="XH1376" s="120"/>
      <c r="XI1376" s="120"/>
      <c r="XJ1376" s="120"/>
      <c r="XK1376" s="120"/>
      <c r="XL1376" s="120"/>
      <c r="XM1376" s="120"/>
      <c r="XN1376" s="120"/>
      <c r="XO1376" s="120"/>
      <c r="XP1376" s="120"/>
      <c r="XQ1376" s="120"/>
      <c r="XR1376" s="120"/>
      <c r="XS1376" s="120"/>
      <c r="XT1376" s="120"/>
      <c r="XU1376" s="120"/>
      <c r="XV1376" s="120"/>
      <c r="XW1376" s="120"/>
      <c r="XX1376" s="120"/>
      <c r="XY1376" s="120"/>
      <c r="XZ1376" s="120"/>
      <c r="YA1376" s="120"/>
      <c r="YB1376" s="120"/>
      <c r="YC1376" s="120"/>
      <c r="YD1376" s="120"/>
      <c r="YE1376" s="120"/>
      <c r="YF1376" s="120"/>
      <c r="YG1376" s="120"/>
      <c r="YH1376" s="120"/>
      <c r="YI1376" s="120"/>
      <c r="YJ1376" s="120"/>
      <c r="YK1376" s="120"/>
      <c r="YL1376" s="120"/>
      <c r="YM1376" s="120"/>
      <c r="YN1376" s="120"/>
      <c r="YO1376" s="120"/>
      <c r="YP1376" s="120"/>
      <c r="YQ1376" s="120"/>
      <c r="YR1376" s="120"/>
      <c r="YS1376" s="120"/>
      <c r="YT1376" s="120"/>
      <c r="YU1376" s="120"/>
      <c r="YV1376" s="120"/>
      <c r="YW1376" s="120"/>
      <c r="YX1376" s="120"/>
      <c r="YY1376" s="120"/>
      <c r="YZ1376" s="120"/>
      <c r="ZA1376" s="120"/>
      <c r="ZB1376" s="120"/>
      <c r="ZC1376" s="120"/>
      <c r="ZD1376" s="120"/>
      <c r="ZE1376" s="120"/>
      <c r="ZF1376" s="120"/>
      <c r="ZG1376" s="120"/>
      <c r="ZH1376" s="120"/>
      <c r="ZI1376" s="120"/>
      <c r="ZJ1376" s="120"/>
      <c r="ZK1376" s="120"/>
      <c r="ZL1376" s="120"/>
      <c r="ZM1376" s="120"/>
      <c r="ZN1376" s="120"/>
      <c r="ZO1376" s="120"/>
      <c r="ZP1376" s="120"/>
      <c r="ZQ1376" s="120"/>
      <c r="ZR1376" s="120"/>
      <c r="ZS1376" s="120"/>
      <c r="ZT1376" s="120"/>
      <c r="ZU1376" s="120"/>
      <c r="ZV1376" s="120"/>
      <c r="ZW1376" s="120"/>
      <c r="ZX1376" s="120"/>
      <c r="ZY1376" s="120"/>
      <c r="ZZ1376" s="120"/>
      <c r="AAA1376" s="120"/>
      <c r="AAB1376" s="120"/>
      <c r="AAC1376" s="120"/>
      <c r="AAD1376" s="120"/>
      <c r="AAE1376" s="120"/>
      <c r="AAF1376" s="120"/>
      <c r="AAG1376" s="120"/>
      <c r="AAH1376" s="120"/>
      <c r="AAI1376" s="120"/>
      <c r="AAJ1376" s="120"/>
      <c r="AAK1376" s="120"/>
      <c r="AAL1376" s="120"/>
      <c r="AAM1376" s="120"/>
      <c r="AAN1376" s="120"/>
      <c r="AAO1376" s="120"/>
      <c r="AAP1376" s="120"/>
      <c r="AAQ1376" s="120"/>
      <c r="AAR1376" s="120"/>
      <c r="AAS1376" s="120"/>
      <c r="AAT1376" s="120"/>
      <c r="AAU1376" s="120"/>
      <c r="AAV1376" s="120"/>
      <c r="AAW1376" s="120"/>
      <c r="AAX1376" s="120"/>
      <c r="AAY1376" s="120"/>
      <c r="AAZ1376" s="120"/>
      <c r="ABA1376" s="120"/>
      <c r="ABB1376" s="120"/>
      <c r="ABC1376" s="120"/>
      <c r="ABD1376" s="120"/>
      <c r="ABE1376" s="120"/>
      <c r="ABF1376" s="120"/>
      <c r="ABG1376" s="120"/>
      <c r="ABH1376" s="120"/>
      <c r="ABI1376" s="120"/>
      <c r="ABJ1376" s="120"/>
      <c r="ABK1376" s="120"/>
      <c r="ABL1376" s="120"/>
      <c r="ABM1376" s="120"/>
      <c r="ABN1376" s="120"/>
      <c r="ABO1376" s="120"/>
      <c r="ABP1376" s="120"/>
      <c r="ABQ1376" s="120"/>
      <c r="ABR1376" s="120"/>
      <c r="ABS1376" s="120"/>
      <c r="ABT1376" s="120"/>
      <c r="ABU1376" s="120"/>
      <c r="ABV1376" s="120"/>
      <c r="ABW1376" s="120"/>
      <c r="ABX1376" s="120"/>
      <c r="ABY1376" s="120"/>
      <c r="ABZ1376" s="120"/>
      <c r="ACA1376" s="120"/>
      <c r="ACB1376" s="120"/>
      <c r="ACC1376" s="120"/>
      <c r="ACD1376" s="120"/>
      <c r="ACE1376" s="120"/>
      <c r="ACF1376" s="120"/>
      <c r="ACG1376" s="120"/>
      <c r="ACH1376" s="120"/>
      <c r="ACI1376" s="120"/>
      <c r="ACJ1376" s="120"/>
      <c r="ACK1376" s="120"/>
      <c r="ACL1376" s="120"/>
      <c r="ACM1376" s="120"/>
      <c r="ACN1376" s="120"/>
      <c r="ACO1376" s="120"/>
      <c r="ACP1376" s="120"/>
      <c r="ACQ1376" s="120"/>
      <c r="ACR1376" s="120"/>
      <c r="ACS1376" s="120"/>
      <c r="ACT1376" s="120"/>
      <c r="ACU1376" s="120"/>
      <c r="ACV1376" s="120"/>
      <c r="ACW1376" s="120"/>
      <c r="ACX1376" s="120"/>
      <c r="ACY1376" s="120"/>
      <c r="ACZ1376" s="120"/>
      <c r="ADA1376" s="120"/>
      <c r="ADB1376" s="120"/>
      <c r="ADC1376" s="120"/>
      <c r="ADD1376" s="120"/>
      <c r="ADE1376" s="120"/>
      <c r="ADF1376" s="120"/>
      <c r="ADG1376" s="120"/>
      <c r="ADH1376" s="120"/>
      <c r="ADI1376" s="120"/>
      <c r="ADJ1376" s="120"/>
      <c r="ADK1376" s="120"/>
      <c r="ADL1376" s="120"/>
      <c r="ADM1376" s="120"/>
      <c r="ADN1376" s="120"/>
      <c r="ADO1376" s="120"/>
      <c r="ADP1376" s="120"/>
      <c r="ADQ1376" s="120"/>
      <c r="ADR1376" s="120"/>
      <c r="ADS1376" s="120"/>
      <c r="ADT1376" s="120"/>
      <c r="ADU1376" s="120"/>
      <c r="ADV1376" s="120"/>
      <c r="ADW1376" s="120"/>
      <c r="ADX1376" s="120"/>
      <c r="ADY1376" s="120"/>
      <c r="ADZ1376" s="120"/>
      <c r="AEA1376" s="120"/>
      <c r="AEB1376" s="120"/>
      <c r="AEC1376" s="120"/>
      <c r="AED1376" s="120"/>
      <c r="AEE1376" s="120"/>
      <c r="AEF1376" s="120"/>
      <c r="AEG1376" s="120"/>
      <c r="AEH1376" s="120"/>
      <c r="AEI1376" s="120"/>
      <c r="AEJ1376" s="120"/>
      <c r="AEK1376" s="120"/>
      <c r="AEL1376" s="120"/>
      <c r="AEM1376" s="120"/>
      <c r="AEN1376" s="120"/>
      <c r="AEO1376" s="120"/>
      <c r="AEP1376" s="120"/>
      <c r="AEQ1376" s="120"/>
      <c r="AER1376" s="120"/>
      <c r="AES1376" s="120"/>
      <c r="AET1376" s="120"/>
      <c r="AEU1376" s="120"/>
      <c r="AEV1376" s="120"/>
      <c r="AEW1376" s="120"/>
      <c r="AEX1376" s="120"/>
      <c r="AEY1376" s="120"/>
      <c r="AEZ1376" s="120"/>
      <c r="AFA1376" s="120"/>
      <c r="AFB1376" s="120"/>
      <c r="AFC1376" s="120"/>
      <c r="AFD1376" s="120"/>
      <c r="AFE1376" s="120"/>
      <c r="AFF1376" s="120"/>
      <c r="AFG1376" s="120"/>
      <c r="AFH1376" s="120"/>
      <c r="AFI1376" s="120"/>
      <c r="AFJ1376" s="120"/>
      <c r="AFK1376" s="120"/>
      <c r="AFL1376" s="120"/>
      <c r="AFM1376" s="120"/>
      <c r="AFN1376" s="120"/>
      <c r="AFO1376" s="120"/>
      <c r="AFP1376" s="120"/>
      <c r="AFQ1376" s="120"/>
      <c r="AFR1376" s="120"/>
      <c r="AFS1376" s="120"/>
      <c r="AFT1376" s="120"/>
      <c r="AFU1376" s="120"/>
      <c r="AFV1376" s="120"/>
      <c r="AFW1376" s="120"/>
      <c r="AFX1376" s="120"/>
      <c r="AFY1376" s="120"/>
      <c r="AFZ1376" s="120"/>
      <c r="AGA1376" s="120"/>
      <c r="AGB1376" s="120"/>
      <c r="AGC1376" s="120"/>
      <c r="AGD1376" s="120"/>
      <c r="AGE1376" s="120"/>
      <c r="AGF1376" s="120"/>
      <c r="AGG1376" s="120"/>
      <c r="AGH1376" s="120"/>
      <c r="AGI1376" s="120"/>
      <c r="AGJ1376" s="120"/>
      <c r="AGK1376" s="120"/>
      <c r="AGL1376" s="120"/>
      <c r="AGM1376" s="120"/>
      <c r="AGN1376" s="120"/>
      <c r="AGO1376" s="120"/>
      <c r="AGP1376" s="120"/>
      <c r="AGQ1376" s="120"/>
      <c r="AGR1376" s="120"/>
      <c r="AGS1376" s="120"/>
      <c r="AGT1376" s="120"/>
      <c r="AGU1376" s="120"/>
      <c r="AGV1376" s="120"/>
      <c r="AGW1376" s="120"/>
      <c r="AGX1376" s="120"/>
      <c r="AGY1376" s="120"/>
      <c r="AGZ1376" s="120"/>
      <c r="AHA1376" s="120"/>
      <c r="AHB1376" s="120"/>
      <c r="AHC1376" s="120"/>
      <c r="AHD1376" s="120"/>
      <c r="AHE1376" s="120"/>
      <c r="AHF1376" s="120"/>
      <c r="AHG1376" s="120"/>
      <c r="AHH1376" s="120"/>
      <c r="AHI1376" s="120"/>
      <c r="AHJ1376" s="120"/>
      <c r="AHK1376" s="120"/>
      <c r="AHL1376" s="120"/>
      <c r="AHM1376" s="120"/>
      <c r="AHN1376" s="120"/>
      <c r="AHO1376" s="120"/>
      <c r="AHP1376" s="120"/>
      <c r="AHQ1376" s="120"/>
      <c r="AHR1376" s="120"/>
      <c r="AHS1376" s="120"/>
      <c r="AHT1376" s="120"/>
      <c r="AHU1376" s="120"/>
      <c r="AHV1376" s="120"/>
      <c r="AHW1376" s="120"/>
      <c r="AHX1376" s="120"/>
      <c r="AHY1376" s="120"/>
      <c r="AHZ1376" s="120"/>
      <c r="AIA1376" s="120"/>
      <c r="AIB1376" s="120"/>
      <c r="AIC1376" s="120"/>
      <c r="AID1376" s="120"/>
      <c r="AIE1376" s="120"/>
      <c r="AIF1376" s="120"/>
      <c r="AIG1376" s="120"/>
      <c r="AIH1376" s="120"/>
      <c r="AII1376" s="120"/>
      <c r="AIJ1376" s="120"/>
      <c r="AIK1376" s="120"/>
      <c r="AIL1376" s="120"/>
      <c r="AIM1376" s="120"/>
      <c r="AIN1376" s="120"/>
      <c r="AIO1376" s="120"/>
      <c r="AIP1376" s="120"/>
      <c r="AIQ1376" s="120"/>
      <c r="AIR1376" s="120"/>
      <c r="AIS1376" s="120"/>
      <c r="AIT1376" s="120"/>
      <c r="AIU1376" s="120"/>
      <c r="AIV1376" s="120"/>
      <c r="AIW1376" s="120"/>
      <c r="AIX1376" s="120"/>
      <c r="AIY1376" s="120"/>
      <c r="AIZ1376" s="120"/>
      <c r="AJA1376" s="120"/>
      <c r="AJB1376" s="120"/>
      <c r="AJC1376" s="120"/>
      <c r="AJD1376" s="120"/>
      <c r="AJE1376" s="120"/>
      <c r="AJF1376" s="120"/>
      <c r="AJG1376" s="120"/>
      <c r="AJH1376" s="120"/>
      <c r="AJI1376" s="120"/>
      <c r="AJJ1376" s="120"/>
      <c r="AJK1376" s="120"/>
      <c r="AJL1376" s="120"/>
      <c r="AJM1376" s="120"/>
      <c r="AJN1376" s="120"/>
      <c r="AJO1376" s="120"/>
      <c r="AJP1376" s="120"/>
      <c r="AJQ1376" s="120"/>
      <c r="AJR1376" s="120"/>
      <c r="AJS1376" s="120"/>
      <c r="AJT1376" s="120"/>
      <c r="AJU1376" s="120"/>
      <c r="AJV1376" s="120"/>
      <c r="AJW1376" s="120"/>
      <c r="AJX1376" s="120"/>
      <c r="AJY1376" s="120"/>
      <c r="AJZ1376" s="120"/>
      <c r="AKA1376" s="120"/>
      <c r="AKB1376" s="120"/>
      <c r="AKC1376" s="120"/>
      <c r="AKD1376" s="120"/>
      <c r="AKE1376" s="120"/>
      <c r="AKF1376" s="120"/>
      <c r="AKG1376" s="120"/>
      <c r="AKH1376" s="120"/>
      <c r="AKI1376" s="120"/>
      <c r="AKJ1376" s="120"/>
      <c r="AKK1376" s="120"/>
      <c r="AKL1376" s="120"/>
      <c r="AKM1376" s="120"/>
      <c r="AKN1376" s="120"/>
      <c r="AKO1376" s="120"/>
      <c r="AKP1376" s="120"/>
      <c r="AKQ1376" s="120"/>
      <c r="AKR1376" s="120"/>
      <c r="AKS1376" s="120"/>
      <c r="AKT1376" s="120"/>
      <c r="AKU1376" s="120"/>
      <c r="AKV1376" s="120"/>
      <c r="AKW1376" s="120"/>
      <c r="AKX1376" s="120"/>
      <c r="AKY1376" s="120"/>
      <c r="AKZ1376" s="120"/>
      <c r="ALA1376" s="120"/>
      <c r="ALB1376" s="120"/>
      <c r="ALC1376" s="120"/>
      <c r="ALD1376" s="120"/>
      <c r="ALE1376" s="120"/>
      <c r="ALF1376" s="120"/>
      <c r="ALG1376" s="120"/>
      <c r="ALH1376" s="120"/>
      <c r="ALI1376" s="120"/>
      <c r="ALJ1376" s="120"/>
      <c r="ALK1376" s="120"/>
      <c r="ALL1376" s="120"/>
      <c r="ALM1376" s="120"/>
      <c r="ALN1376" s="120"/>
      <c r="ALO1376" s="120"/>
      <c r="ALP1376" s="120"/>
      <c r="ALQ1376" s="120"/>
      <c r="ALR1376" s="120"/>
      <c r="ALS1376" s="120"/>
      <c r="ALT1376" s="120"/>
      <c r="ALU1376" s="120"/>
      <c r="ALV1376" s="120"/>
      <c r="ALW1376" s="120"/>
      <c r="ALX1376" s="120"/>
      <c r="ALY1376" s="120"/>
      <c r="ALZ1376" s="120"/>
      <c r="AMA1376" s="120"/>
      <c r="AMB1376" s="120"/>
      <c r="AMC1376" s="120"/>
      <c r="AMD1376" s="120"/>
      <c r="AME1376" s="120"/>
      <c r="AMF1376" s="120"/>
      <c r="AMG1376" s="120"/>
      <c r="AMH1376" s="120"/>
      <c r="AMI1376" s="120"/>
      <c r="AMJ1376" s="120"/>
      <c r="AMK1376" s="120"/>
      <c r="AML1376" s="120"/>
      <c r="AMM1376" s="120"/>
      <c r="AMN1376" s="120"/>
      <c r="AMO1376" s="120"/>
      <c r="AMP1376" s="120"/>
      <c r="AMQ1376" s="120"/>
      <c r="AMR1376" s="120"/>
      <c r="AMS1376" s="120"/>
      <c r="AMT1376" s="120"/>
      <c r="AMU1376" s="120"/>
      <c r="AMV1376" s="120"/>
      <c r="AMW1376" s="120"/>
      <c r="AMX1376" s="120"/>
      <c r="AMY1376" s="120"/>
      <c r="AMZ1376" s="120"/>
      <c r="ANA1376" s="120"/>
      <c r="ANB1376" s="120"/>
      <c r="ANC1376" s="120"/>
      <c r="AND1376" s="120"/>
      <c r="ANE1376" s="120"/>
      <c r="ANF1376" s="120"/>
      <c r="ANG1376" s="120"/>
      <c r="ANH1376" s="120"/>
      <c r="ANI1376" s="120"/>
      <c r="ANJ1376" s="120"/>
      <c r="ANK1376" s="120"/>
      <c r="ANL1376" s="120"/>
      <c r="ANM1376" s="120"/>
      <c r="ANN1376" s="120"/>
      <c r="ANO1376" s="120"/>
      <c r="ANP1376" s="120"/>
      <c r="ANQ1376" s="120"/>
      <c r="ANR1376" s="120"/>
      <c r="ANS1376" s="120"/>
      <c r="ANT1376" s="120"/>
      <c r="ANU1376" s="120"/>
      <c r="ANV1376" s="120"/>
      <c r="ANW1376" s="120"/>
      <c r="ANX1376" s="120"/>
      <c r="ANY1376" s="120"/>
      <c r="ANZ1376" s="120"/>
      <c r="AOA1376" s="120"/>
      <c r="AOB1376" s="120"/>
      <c r="AOC1376" s="120"/>
      <c r="AOD1376" s="120"/>
      <c r="AOE1376" s="120"/>
      <c r="AOF1376" s="120"/>
      <c r="AOG1376" s="120"/>
      <c r="AOH1376" s="120"/>
      <c r="AOI1376" s="120"/>
      <c r="AOJ1376" s="120"/>
      <c r="AOK1376" s="120"/>
      <c r="AOL1376" s="120"/>
      <c r="AOM1376" s="120"/>
      <c r="AON1376" s="120"/>
      <c r="AOO1376" s="120"/>
      <c r="AOP1376" s="120"/>
      <c r="AOQ1376" s="120"/>
      <c r="AOR1376" s="120"/>
      <c r="AOS1376" s="120"/>
      <c r="AOT1376" s="120"/>
      <c r="AOU1376" s="120"/>
      <c r="AOV1376" s="120"/>
      <c r="AOW1376" s="120"/>
      <c r="AOX1376" s="120"/>
      <c r="AOY1376" s="120"/>
      <c r="AOZ1376" s="120"/>
      <c r="APA1376" s="120"/>
      <c r="APB1376" s="120"/>
      <c r="APC1376" s="120"/>
      <c r="APD1376" s="120"/>
      <c r="APE1376" s="120"/>
      <c r="APF1376" s="120"/>
      <c r="APG1376" s="120"/>
      <c r="APH1376" s="120"/>
      <c r="API1376" s="120"/>
      <c r="APJ1376" s="120"/>
      <c r="APK1376" s="120"/>
      <c r="APL1376" s="120"/>
      <c r="APM1376" s="120"/>
      <c r="APN1376" s="120"/>
      <c r="APO1376" s="120"/>
      <c r="APP1376" s="120"/>
      <c r="APQ1376" s="120"/>
      <c r="APR1376" s="120"/>
      <c r="APS1376" s="120"/>
      <c r="APT1376" s="120"/>
      <c r="APU1376" s="120"/>
      <c r="APV1376" s="120"/>
      <c r="APW1376" s="120"/>
      <c r="APX1376" s="120"/>
      <c r="APY1376" s="120"/>
      <c r="APZ1376" s="120"/>
      <c r="AQA1376" s="120"/>
      <c r="AQB1376" s="120"/>
      <c r="AQC1376" s="120"/>
      <c r="AQD1376" s="120"/>
      <c r="AQE1376" s="120"/>
      <c r="AQF1376" s="120"/>
      <c r="AQG1376" s="120"/>
      <c r="AQH1376" s="120"/>
      <c r="AQI1376" s="120"/>
      <c r="AQJ1376" s="120"/>
      <c r="AQK1376" s="120"/>
      <c r="AQL1376" s="120"/>
      <c r="AQM1376" s="120"/>
      <c r="AQN1376" s="120"/>
      <c r="AQO1376" s="120"/>
      <c r="AQP1376" s="120"/>
      <c r="AQQ1376" s="120"/>
      <c r="AQR1376" s="120"/>
      <c r="AQS1376" s="120"/>
      <c r="AQT1376" s="120"/>
      <c r="AQU1376" s="120"/>
      <c r="AQV1376" s="120"/>
      <c r="AQW1376" s="120"/>
      <c r="AQX1376" s="120"/>
      <c r="AQY1376" s="120"/>
      <c r="AQZ1376" s="120"/>
      <c r="ARA1376" s="120"/>
      <c r="ARB1376" s="120"/>
      <c r="ARC1376" s="120"/>
      <c r="ARD1376" s="120"/>
      <c r="ARE1376" s="120"/>
      <c r="ARF1376" s="120"/>
      <c r="ARG1376" s="120"/>
      <c r="ARH1376" s="120"/>
      <c r="ARI1376" s="120"/>
      <c r="ARJ1376" s="120"/>
      <c r="ARK1376" s="120"/>
      <c r="ARL1376" s="120"/>
      <c r="ARM1376" s="120"/>
      <c r="ARN1376" s="120"/>
      <c r="ARO1376" s="120"/>
      <c r="ARP1376" s="120"/>
      <c r="ARQ1376" s="120"/>
      <c r="ARR1376" s="120"/>
      <c r="ARS1376" s="120"/>
      <c r="ART1376" s="120"/>
      <c r="ARU1376" s="120"/>
      <c r="ARV1376" s="120"/>
      <c r="ARW1376" s="120"/>
      <c r="ARX1376" s="120"/>
      <c r="ARY1376" s="120"/>
      <c r="ARZ1376" s="120"/>
      <c r="ASA1376" s="120"/>
      <c r="ASB1376" s="120"/>
      <c r="ASC1376" s="120"/>
      <c r="ASD1376" s="120"/>
      <c r="ASE1376" s="120"/>
      <c r="ASF1376" s="120"/>
      <c r="ASG1376" s="120"/>
      <c r="ASH1376" s="120"/>
      <c r="ASI1376" s="120"/>
      <c r="ASJ1376" s="120"/>
      <c r="ASK1376" s="120"/>
      <c r="ASL1376" s="120"/>
      <c r="ASM1376" s="120"/>
      <c r="ASN1376" s="120"/>
      <c r="ASO1376" s="120"/>
      <c r="ASP1376" s="120"/>
      <c r="ASQ1376" s="120"/>
      <c r="ASR1376" s="120"/>
      <c r="ASS1376" s="120"/>
      <c r="AST1376" s="120"/>
      <c r="ASU1376" s="120"/>
      <c r="ASV1376" s="120"/>
      <c r="ASW1376" s="120"/>
      <c r="ASX1376" s="120"/>
      <c r="ASY1376" s="120"/>
      <c r="ASZ1376" s="120"/>
      <c r="ATA1376" s="120"/>
      <c r="ATB1376" s="120"/>
      <c r="ATC1376" s="120"/>
      <c r="ATD1376" s="120"/>
      <c r="ATE1376" s="120"/>
      <c r="ATF1376" s="120"/>
      <c r="ATG1376" s="120"/>
      <c r="ATH1376" s="120"/>
      <c r="ATI1376" s="120"/>
      <c r="ATJ1376" s="120"/>
      <c r="ATK1376" s="120"/>
      <c r="ATL1376" s="120"/>
      <c r="ATM1376" s="120"/>
      <c r="ATN1376" s="120"/>
      <c r="ATO1376" s="120"/>
    </row>
    <row r="1377" spans="1:1211" s="20" customFormat="1" ht="14.1" customHeight="1">
      <c r="A1377" s="112"/>
      <c r="B1377" s="723"/>
      <c r="C1377" s="184" t="s">
        <v>6141</v>
      </c>
      <c r="D1377" s="120"/>
      <c r="E1377" s="701"/>
      <c r="F1377" s="703"/>
      <c r="G1377" s="702"/>
      <c r="H1377" s="702"/>
      <c r="I1377" s="702"/>
      <c r="J1377" s="700"/>
      <c r="K1377" s="112"/>
      <c r="L1377" s="363"/>
      <c r="M1377" s="112"/>
      <c r="N1377" s="362"/>
      <c r="O1377" s="573"/>
      <c r="P1377" s="120"/>
      <c r="Q1377" s="120"/>
      <c r="R1377" s="120"/>
      <c r="S1377" s="120"/>
      <c r="T1377" s="120"/>
      <c r="U1377" s="120"/>
      <c r="V1377" s="120"/>
      <c r="W1377" s="120"/>
      <c r="X1377" s="120"/>
      <c r="Y1377" s="120"/>
      <c r="Z1377" s="120"/>
      <c r="AA1377" s="120"/>
      <c r="AB1377" s="120"/>
      <c r="AC1377" s="120"/>
      <c r="AD1377" s="120"/>
      <c r="AE1377" s="120"/>
      <c r="AF1377" s="120"/>
      <c r="AG1377" s="120"/>
      <c r="AH1377" s="120"/>
      <c r="AI1377" s="120"/>
      <c r="AJ1377" s="120"/>
      <c r="AK1377" s="120"/>
      <c r="AL1377" s="120"/>
      <c r="AM1377" s="120"/>
      <c r="AN1377" s="120"/>
      <c r="AO1377" s="120"/>
      <c r="AP1377" s="120"/>
      <c r="AQ1377" s="120"/>
      <c r="AR1377" s="120"/>
      <c r="AS1377" s="120"/>
      <c r="AT1377" s="120"/>
      <c r="AU1377" s="120"/>
      <c r="AV1377" s="120"/>
      <c r="AW1377" s="120"/>
      <c r="AX1377" s="120"/>
      <c r="AY1377" s="120"/>
      <c r="AZ1377" s="120"/>
      <c r="BA1377" s="120"/>
      <c r="BB1377" s="120"/>
      <c r="BC1377" s="120"/>
      <c r="BD1377" s="120"/>
      <c r="BE1377" s="120"/>
      <c r="BF1377" s="120"/>
      <c r="BG1377" s="120"/>
      <c r="BH1377" s="120"/>
      <c r="BI1377" s="120"/>
      <c r="BJ1377" s="120"/>
      <c r="BK1377" s="120"/>
      <c r="BL1377" s="120"/>
      <c r="BM1377" s="120"/>
      <c r="BN1377" s="120"/>
      <c r="BO1377" s="120"/>
      <c r="BP1377" s="120"/>
      <c r="BQ1377" s="120"/>
      <c r="BR1377" s="120"/>
      <c r="BS1377" s="120"/>
      <c r="BT1377" s="120"/>
      <c r="BU1377" s="120"/>
      <c r="BV1377" s="120"/>
      <c r="BW1377" s="120"/>
      <c r="BX1377" s="120"/>
      <c r="BY1377" s="120"/>
      <c r="BZ1377" s="120"/>
      <c r="CA1377" s="120"/>
      <c r="CB1377" s="120"/>
      <c r="CC1377" s="120"/>
      <c r="CD1377" s="120"/>
      <c r="CE1377" s="120"/>
      <c r="CF1377" s="120"/>
      <c r="CG1377" s="120"/>
      <c r="CH1377" s="120"/>
      <c r="CI1377" s="120"/>
      <c r="CJ1377" s="120"/>
      <c r="CK1377" s="120"/>
      <c r="CL1377" s="120"/>
      <c r="CM1377" s="120"/>
      <c r="CN1377" s="120"/>
      <c r="CO1377" s="120"/>
      <c r="CP1377" s="120"/>
      <c r="CQ1377" s="120"/>
      <c r="CR1377" s="120"/>
      <c r="CS1377" s="120"/>
      <c r="CT1377" s="120"/>
      <c r="CU1377" s="120"/>
      <c r="CV1377" s="120"/>
      <c r="CW1377" s="120"/>
      <c r="CX1377" s="120"/>
      <c r="CY1377" s="120"/>
      <c r="CZ1377" s="120"/>
      <c r="DA1377" s="120"/>
      <c r="DB1377" s="120"/>
      <c r="DC1377" s="120"/>
      <c r="DD1377" s="120"/>
      <c r="DE1377" s="120"/>
      <c r="DF1377" s="120"/>
      <c r="DG1377" s="120"/>
      <c r="DH1377" s="120"/>
      <c r="DI1377" s="120"/>
      <c r="DJ1377" s="120"/>
      <c r="DK1377" s="120"/>
      <c r="DL1377" s="120"/>
      <c r="DM1377" s="120"/>
      <c r="DN1377" s="120"/>
      <c r="DO1377" s="120"/>
      <c r="DP1377" s="120"/>
      <c r="DQ1377" s="120"/>
      <c r="DR1377" s="120"/>
      <c r="DS1377" s="120"/>
      <c r="DT1377" s="120"/>
      <c r="DU1377" s="120"/>
      <c r="DV1377" s="120"/>
      <c r="DW1377" s="120"/>
      <c r="DX1377" s="120"/>
      <c r="DY1377" s="120"/>
      <c r="DZ1377" s="120"/>
      <c r="EA1377" s="120"/>
      <c r="EB1377" s="120"/>
      <c r="EC1377" s="120"/>
      <c r="ED1377" s="120"/>
      <c r="EE1377" s="120"/>
      <c r="EF1377" s="120"/>
      <c r="EG1377" s="120"/>
      <c r="EH1377" s="120"/>
      <c r="EI1377" s="120"/>
      <c r="EJ1377" s="120"/>
      <c r="EK1377" s="120"/>
      <c r="EL1377" s="120"/>
      <c r="EM1377" s="120"/>
      <c r="EN1377" s="120"/>
      <c r="EO1377" s="120"/>
      <c r="EP1377" s="120"/>
      <c r="EQ1377" s="120"/>
      <c r="ER1377" s="120"/>
      <c r="ES1377" s="120"/>
      <c r="ET1377" s="120"/>
      <c r="EU1377" s="120"/>
      <c r="EV1377" s="120"/>
      <c r="EW1377" s="120"/>
      <c r="EX1377" s="120"/>
      <c r="EY1377" s="120"/>
      <c r="EZ1377" s="120"/>
      <c r="FA1377" s="120"/>
      <c r="FB1377" s="120"/>
      <c r="FC1377" s="120"/>
      <c r="FD1377" s="120"/>
      <c r="FE1377" s="120"/>
      <c r="FF1377" s="120"/>
      <c r="FG1377" s="120"/>
      <c r="FH1377" s="120"/>
      <c r="FI1377" s="120"/>
      <c r="FJ1377" s="120"/>
      <c r="FK1377" s="120"/>
      <c r="FL1377" s="120"/>
      <c r="FM1377" s="120"/>
      <c r="FN1377" s="120"/>
      <c r="FO1377" s="120"/>
      <c r="FP1377" s="120"/>
      <c r="FQ1377" s="120"/>
      <c r="FR1377" s="120"/>
      <c r="FS1377" s="120"/>
      <c r="FT1377" s="120"/>
      <c r="FU1377" s="120"/>
      <c r="FV1377" s="120"/>
      <c r="FW1377" s="120"/>
      <c r="FX1377" s="120"/>
      <c r="FY1377" s="120"/>
      <c r="FZ1377" s="120"/>
      <c r="GA1377" s="120"/>
      <c r="GB1377" s="120"/>
      <c r="GC1377" s="120"/>
      <c r="GD1377" s="120"/>
      <c r="GE1377" s="120"/>
      <c r="GF1377" s="120"/>
      <c r="GG1377" s="120"/>
      <c r="GH1377" s="120"/>
      <c r="GI1377" s="120"/>
      <c r="GJ1377" s="120"/>
      <c r="GK1377" s="120"/>
      <c r="GL1377" s="120"/>
      <c r="GM1377" s="120"/>
      <c r="GN1377" s="120"/>
      <c r="GO1377" s="120"/>
      <c r="GP1377" s="120"/>
      <c r="GQ1377" s="120"/>
      <c r="GR1377" s="120"/>
      <c r="GS1377" s="120"/>
      <c r="GT1377" s="120"/>
      <c r="GU1377" s="120"/>
      <c r="GV1377" s="120"/>
      <c r="GW1377" s="120"/>
      <c r="GX1377" s="120"/>
      <c r="GY1377" s="120"/>
      <c r="GZ1377" s="120"/>
      <c r="HA1377" s="120"/>
      <c r="HB1377" s="120"/>
      <c r="HC1377" s="120"/>
      <c r="HD1377" s="120"/>
      <c r="HE1377" s="120"/>
      <c r="HF1377" s="120"/>
      <c r="HG1377" s="120"/>
      <c r="HH1377" s="120"/>
      <c r="HI1377" s="120"/>
      <c r="HJ1377" s="120"/>
      <c r="HK1377" s="120"/>
      <c r="HL1377" s="120"/>
      <c r="HM1377" s="120"/>
      <c r="HN1377" s="120"/>
      <c r="HO1377" s="120"/>
      <c r="HP1377" s="120"/>
      <c r="HQ1377" s="120"/>
      <c r="HR1377" s="120"/>
      <c r="HS1377" s="120"/>
      <c r="HT1377" s="120"/>
      <c r="HU1377" s="120"/>
      <c r="HV1377" s="120"/>
      <c r="HW1377" s="120"/>
      <c r="HX1377" s="120"/>
      <c r="HY1377" s="120"/>
      <c r="HZ1377" s="120"/>
      <c r="IA1377" s="120"/>
      <c r="IB1377" s="120"/>
      <c r="IC1377" s="120"/>
      <c r="ID1377" s="120"/>
      <c r="IE1377" s="120"/>
      <c r="IF1377" s="120"/>
      <c r="IG1377" s="120"/>
      <c r="IH1377" s="120"/>
      <c r="II1377" s="120"/>
      <c r="IJ1377" s="120"/>
      <c r="IK1377" s="120"/>
      <c r="IL1377" s="120"/>
      <c r="IM1377" s="120"/>
      <c r="IN1377" s="120"/>
      <c r="IO1377" s="120"/>
      <c r="IP1377" s="120"/>
      <c r="IQ1377" s="120"/>
      <c r="IR1377" s="120"/>
      <c r="IS1377" s="120"/>
      <c r="IT1377" s="120"/>
      <c r="IU1377" s="120"/>
      <c r="IV1377" s="120"/>
      <c r="IW1377" s="120"/>
      <c r="IX1377" s="120"/>
      <c r="IY1377" s="120"/>
      <c r="IZ1377" s="120"/>
      <c r="JA1377" s="120"/>
      <c r="JB1377" s="120"/>
      <c r="JC1377" s="120"/>
      <c r="JD1377" s="120"/>
      <c r="JE1377" s="120"/>
      <c r="JF1377" s="120"/>
      <c r="JG1377" s="120"/>
      <c r="JH1377" s="120"/>
      <c r="JI1377" s="120"/>
      <c r="JJ1377" s="120"/>
      <c r="JK1377" s="120"/>
      <c r="JL1377" s="120"/>
      <c r="JM1377" s="120"/>
      <c r="JN1377" s="120"/>
      <c r="JO1377" s="120"/>
      <c r="JP1377" s="120"/>
      <c r="JQ1377" s="120"/>
      <c r="JR1377" s="120"/>
      <c r="JS1377" s="120"/>
      <c r="JT1377" s="120"/>
      <c r="JU1377" s="120"/>
      <c r="JV1377" s="120"/>
      <c r="JW1377" s="120"/>
      <c r="JX1377" s="120"/>
      <c r="JY1377" s="120"/>
      <c r="JZ1377" s="120"/>
      <c r="KA1377" s="120"/>
      <c r="KB1377" s="120"/>
      <c r="KC1377" s="120"/>
      <c r="KD1377" s="120"/>
      <c r="KE1377" s="120"/>
      <c r="KF1377" s="120"/>
      <c r="KG1377" s="120"/>
      <c r="KH1377" s="120"/>
      <c r="KI1377" s="120"/>
      <c r="KJ1377" s="120"/>
      <c r="KK1377" s="120"/>
      <c r="KL1377" s="120"/>
      <c r="KM1377" s="120"/>
      <c r="KN1377" s="120"/>
      <c r="KO1377" s="120"/>
      <c r="KP1377" s="120"/>
      <c r="KQ1377" s="120"/>
      <c r="KR1377" s="120"/>
      <c r="KS1377" s="120"/>
      <c r="KT1377" s="120"/>
      <c r="KU1377" s="120"/>
      <c r="KV1377" s="120"/>
      <c r="KW1377" s="120"/>
      <c r="KX1377" s="120"/>
      <c r="KY1377" s="120"/>
      <c r="KZ1377" s="120"/>
      <c r="LA1377" s="120"/>
      <c r="LB1377" s="120"/>
      <c r="LC1377" s="120"/>
      <c r="LD1377" s="120"/>
      <c r="LE1377" s="120"/>
      <c r="LF1377" s="120"/>
      <c r="LG1377" s="120"/>
      <c r="LH1377" s="120"/>
      <c r="LI1377" s="120"/>
      <c r="LJ1377" s="120"/>
      <c r="LK1377" s="120"/>
      <c r="LL1377" s="120"/>
      <c r="LM1377" s="120"/>
      <c r="LN1377" s="120"/>
      <c r="LO1377" s="120"/>
      <c r="LP1377" s="120"/>
      <c r="LQ1377" s="120"/>
      <c r="LR1377" s="120"/>
      <c r="LS1377" s="120"/>
      <c r="LT1377" s="120"/>
      <c r="LU1377" s="120"/>
      <c r="LV1377" s="120"/>
      <c r="LW1377" s="120"/>
      <c r="LX1377" s="120"/>
      <c r="LY1377" s="120"/>
      <c r="LZ1377" s="120"/>
      <c r="MA1377" s="120"/>
      <c r="MB1377" s="120"/>
      <c r="MC1377" s="120"/>
      <c r="MD1377" s="120"/>
      <c r="ME1377" s="120"/>
      <c r="MF1377" s="120"/>
      <c r="MG1377" s="120"/>
      <c r="MH1377" s="120"/>
      <c r="MI1377" s="120"/>
      <c r="MJ1377" s="120"/>
      <c r="MK1377" s="120"/>
      <c r="ML1377" s="120"/>
      <c r="MM1377" s="120"/>
      <c r="MN1377" s="120"/>
      <c r="MO1377" s="120"/>
      <c r="MP1377" s="120"/>
      <c r="MQ1377" s="120"/>
      <c r="MR1377" s="120"/>
      <c r="MS1377" s="120"/>
      <c r="MT1377" s="120"/>
      <c r="MU1377" s="120"/>
      <c r="MV1377" s="120"/>
      <c r="MW1377" s="120"/>
      <c r="MX1377" s="120"/>
      <c r="MY1377" s="120"/>
      <c r="MZ1377" s="120"/>
      <c r="NA1377" s="120"/>
      <c r="NB1377" s="120"/>
      <c r="NC1377" s="120"/>
      <c r="ND1377" s="120"/>
      <c r="NE1377" s="120"/>
      <c r="NF1377" s="120"/>
      <c r="NG1377" s="120"/>
      <c r="NH1377" s="120"/>
      <c r="NI1377" s="120"/>
      <c r="NJ1377" s="120"/>
      <c r="NK1377" s="120"/>
      <c r="NL1377" s="120"/>
      <c r="NM1377" s="120"/>
      <c r="NN1377" s="120"/>
      <c r="NO1377" s="120"/>
      <c r="NP1377" s="120"/>
      <c r="NQ1377" s="120"/>
      <c r="NR1377" s="120"/>
      <c r="NS1377" s="120"/>
      <c r="NT1377" s="120"/>
      <c r="NU1377" s="120"/>
      <c r="NV1377" s="120"/>
      <c r="NW1377" s="120"/>
      <c r="NX1377" s="120"/>
      <c r="NY1377" s="120"/>
      <c r="NZ1377" s="120"/>
      <c r="OA1377" s="120"/>
      <c r="OB1377" s="120"/>
      <c r="OC1377" s="120"/>
      <c r="OD1377" s="120"/>
      <c r="OE1377" s="120"/>
      <c r="OF1377" s="120"/>
      <c r="OG1377" s="120"/>
      <c r="OH1377" s="120"/>
      <c r="OI1377" s="120"/>
      <c r="OJ1377" s="120"/>
      <c r="OK1377" s="120"/>
      <c r="OL1377" s="120"/>
      <c r="OM1377" s="120"/>
      <c r="ON1377" s="120"/>
      <c r="OO1377" s="120"/>
      <c r="OP1377" s="120"/>
      <c r="OQ1377" s="120"/>
      <c r="OR1377" s="120"/>
      <c r="OS1377" s="120"/>
      <c r="OT1377" s="120"/>
      <c r="OU1377" s="120"/>
      <c r="OV1377" s="120"/>
      <c r="OW1377" s="120"/>
      <c r="OX1377" s="120"/>
      <c r="OY1377" s="120"/>
      <c r="OZ1377" s="120"/>
      <c r="PA1377" s="120"/>
      <c r="PB1377" s="120"/>
      <c r="PC1377" s="120"/>
      <c r="PD1377" s="120"/>
      <c r="PE1377" s="120"/>
      <c r="PF1377" s="120"/>
      <c r="PG1377" s="120"/>
      <c r="PH1377" s="120"/>
      <c r="PI1377" s="120"/>
      <c r="PJ1377" s="120"/>
      <c r="PK1377" s="120"/>
      <c r="PL1377" s="120"/>
      <c r="PM1377" s="120"/>
      <c r="PN1377" s="120"/>
      <c r="PO1377" s="120"/>
      <c r="PP1377" s="120"/>
      <c r="PQ1377" s="120"/>
      <c r="PR1377" s="120"/>
      <c r="PS1377" s="120"/>
      <c r="PT1377" s="120"/>
      <c r="PU1377" s="120"/>
      <c r="PV1377" s="120"/>
      <c r="PW1377" s="120"/>
      <c r="PX1377" s="120"/>
      <c r="PY1377" s="120"/>
      <c r="PZ1377" s="120"/>
      <c r="QA1377" s="120"/>
      <c r="QB1377" s="120"/>
      <c r="QC1377" s="120"/>
      <c r="QD1377" s="120"/>
      <c r="QE1377" s="120"/>
      <c r="QF1377" s="120"/>
      <c r="QG1377" s="120"/>
      <c r="QH1377" s="120"/>
      <c r="QI1377" s="120"/>
      <c r="QJ1377" s="120"/>
      <c r="QK1377" s="120"/>
      <c r="QL1377" s="120"/>
      <c r="QM1377" s="120"/>
      <c r="QN1377" s="120"/>
      <c r="QO1377" s="120"/>
      <c r="QP1377" s="120"/>
      <c r="QQ1377" s="120"/>
      <c r="QR1377" s="120"/>
      <c r="QS1377" s="120"/>
      <c r="QT1377" s="120"/>
      <c r="QU1377" s="120"/>
      <c r="QV1377" s="120"/>
      <c r="QW1377" s="120"/>
      <c r="QX1377" s="120"/>
      <c r="QY1377" s="120"/>
      <c r="QZ1377" s="120"/>
      <c r="RA1377" s="120"/>
      <c r="RB1377" s="120"/>
      <c r="RC1377" s="120"/>
      <c r="RD1377" s="120"/>
      <c r="RE1377" s="120"/>
      <c r="RF1377" s="120"/>
      <c r="RG1377" s="120"/>
      <c r="RH1377" s="120"/>
      <c r="RI1377" s="120"/>
      <c r="RJ1377" s="120"/>
      <c r="RK1377" s="120"/>
      <c r="RL1377" s="120"/>
      <c r="RM1377" s="120"/>
      <c r="RN1377" s="120"/>
      <c r="RO1377" s="120"/>
      <c r="RP1377" s="120"/>
      <c r="RQ1377" s="120"/>
      <c r="RR1377" s="120"/>
      <c r="RS1377" s="120"/>
      <c r="RT1377" s="120"/>
      <c r="RU1377" s="120"/>
      <c r="RV1377" s="120"/>
      <c r="RW1377" s="120"/>
      <c r="RX1377" s="120"/>
      <c r="RY1377" s="120"/>
      <c r="RZ1377" s="120"/>
      <c r="SA1377" s="120"/>
      <c r="SB1377" s="120"/>
      <c r="SC1377" s="120"/>
      <c r="SD1377" s="120"/>
      <c r="SE1377" s="120"/>
      <c r="SF1377" s="120"/>
      <c r="SG1377" s="120"/>
      <c r="SH1377" s="120"/>
      <c r="SI1377" s="120"/>
      <c r="SJ1377" s="120"/>
      <c r="SK1377" s="120"/>
      <c r="SL1377" s="120"/>
      <c r="SM1377" s="120"/>
      <c r="SN1377" s="120"/>
      <c r="SO1377" s="120"/>
      <c r="SP1377" s="120"/>
      <c r="SQ1377" s="120"/>
      <c r="SR1377" s="120"/>
      <c r="SS1377" s="120"/>
      <c r="ST1377" s="120"/>
      <c r="SU1377" s="120"/>
      <c r="SV1377" s="120"/>
      <c r="SW1377" s="120"/>
      <c r="SX1377" s="120"/>
      <c r="SY1377" s="120"/>
      <c r="SZ1377" s="120"/>
      <c r="TA1377" s="120"/>
      <c r="TB1377" s="120"/>
      <c r="TC1377" s="120"/>
      <c r="TD1377" s="120"/>
      <c r="TE1377" s="120"/>
      <c r="TF1377" s="120"/>
      <c r="TG1377" s="120"/>
      <c r="TH1377" s="120"/>
      <c r="TI1377" s="120"/>
      <c r="TJ1377" s="120"/>
      <c r="TK1377" s="120"/>
      <c r="TL1377" s="120"/>
      <c r="TM1377" s="120"/>
      <c r="TN1377" s="120"/>
      <c r="TO1377" s="120"/>
      <c r="TP1377" s="120"/>
      <c r="TQ1377" s="120"/>
      <c r="TR1377" s="120"/>
      <c r="TS1377" s="120"/>
      <c r="TT1377" s="120"/>
      <c r="TU1377" s="120"/>
      <c r="TV1377" s="120"/>
      <c r="TW1377" s="120"/>
      <c r="TX1377" s="120"/>
      <c r="TY1377" s="120"/>
      <c r="TZ1377" s="120"/>
      <c r="UA1377" s="120"/>
      <c r="UB1377" s="120"/>
      <c r="UC1377" s="120"/>
      <c r="UD1377" s="120"/>
      <c r="UE1377" s="120"/>
      <c r="UF1377" s="120"/>
      <c r="UG1377" s="120"/>
      <c r="UH1377" s="120"/>
      <c r="UI1377" s="120"/>
      <c r="UJ1377" s="120"/>
      <c r="UK1377" s="120"/>
      <c r="UL1377" s="120"/>
      <c r="UM1377" s="120"/>
      <c r="UN1377" s="120"/>
      <c r="UO1377" s="120"/>
      <c r="UP1377" s="120"/>
      <c r="UQ1377" s="120"/>
      <c r="UR1377" s="120"/>
      <c r="US1377" s="120"/>
      <c r="UT1377" s="120"/>
      <c r="UU1377" s="120"/>
      <c r="UV1377" s="120"/>
      <c r="UW1377" s="120"/>
      <c r="UX1377" s="120"/>
      <c r="UY1377" s="120"/>
      <c r="UZ1377" s="120"/>
      <c r="VA1377" s="120"/>
      <c r="VB1377" s="120"/>
      <c r="VC1377" s="120"/>
      <c r="VD1377" s="120"/>
      <c r="VE1377" s="120"/>
      <c r="VF1377" s="120"/>
      <c r="VG1377" s="120"/>
      <c r="VH1377" s="120"/>
      <c r="VI1377" s="120"/>
      <c r="VJ1377" s="120"/>
      <c r="VK1377" s="120"/>
      <c r="VL1377" s="120"/>
      <c r="VM1377" s="120"/>
      <c r="VN1377" s="120"/>
      <c r="VO1377" s="120"/>
      <c r="VP1377" s="120"/>
      <c r="VQ1377" s="120"/>
      <c r="VR1377" s="120"/>
      <c r="VS1377" s="120"/>
      <c r="VT1377" s="120"/>
      <c r="VU1377" s="120"/>
      <c r="VV1377" s="120"/>
      <c r="VW1377" s="120"/>
      <c r="VX1377" s="120"/>
      <c r="VY1377" s="120"/>
      <c r="VZ1377" s="120"/>
      <c r="WA1377" s="120"/>
      <c r="WB1377" s="120"/>
      <c r="WC1377" s="120"/>
      <c r="WD1377" s="120"/>
      <c r="WE1377" s="120"/>
      <c r="WF1377" s="120"/>
      <c r="WG1377" s="120"/>
      <c r="WH1377" s="120"/>
      <c r="WI1377" s="120"/>
      <c r="WJ1377" s="120"/>
      <c r="WK1377" s="120"/>
      <c r="WL1377" s="120"/>
      <c r="WM1377" s="120"/>
      <c r="WN1377" s="120"/>
      <c r="WO1377" s="120"/>
      <c r="WP1377" s="120"/>
      <c r="WQ1377" s="120"/>
      <c r="WR1377" s="120"/>
      <c r="WS1377" s="120"/>
      <c r="WT1377" s="120"/>
      <c r="WU1377" s="120"/>
      <c r="WV1377" s="120"/>
      <c r="WW1377" s="120"/>
      <c r="WX1377" s="120"/>
      <c r="WY1377" s="120"/>
      <c r="WZ1377" s="120"/>
      <c r="XA1377" s="120"/>
      <c r="XB1377" s="120"/>
      <c r="XC1377" s="120"/>
      <c r="XD1377" s="120"/>
      <c r="XE1377" s="120"/>
      <c r="XF1377" s="120"/>
      <c r="XG1377" s="120"/>
      <c r="XH1377" s="120"/>
      <c r="XI1377" s="120"/>
      <c r="XJ1377" s="120"/>
      <c r="XK1377" s="120"/>
      <c r="XL1377" s="120"/>
      <c r="XM1377" s="120"/>
      <c r="XN1377" s="120"/>
      <c r="XO1377" s="120"/>
      <c r="XP1377" s="120"/>
      <c r="XQ1377" s="120"/>
      <c r="XR1377" s="120"/>
      <c r="XS1377" s="120"/>
      <c r="XT1377" s="120"/>
      <c r="XU1377" s="120"/>
      <c r="XV1377" s="120"/>
      <c r="XW1377" s="120"/>
      <c r="XX1377" s="120"/>
      <c r="XY1377" s="120"/>
      <c r="XZ1377" s="120"/>
      <c r="YA1377" s="120"/>
      <c r="YB1377" s="120"/>
      <c r="YC1377" s="120"/>
      <c r="YD1377" s="120"/>
      <c r="YE1377" s="120"/>
      <c r="YF1377" s="120"/>
      <c r="YG1377" s="120"/>
      <c r="YH1377" s="120"/>
      <c r="YI1377" s="120"/>
      <c r="YJ1377" s="120"/>
      <c r="YK1377" s="120"/>
      <c r="YL1377" s="120"/>
      <c r="YM1377" s="120"/>
      <c r="YN1377" s="120"/>
      <c r="YO1377" s="120"/>
      <c r="YP1377" s="120"/>
      <c r="YQ1377" s="120"/>
      <c r="YR1377" s="120"/>
      <c r="YS1377" s="120"/>
      <c r="YT1377" s="120"/>
      <c r="YU1377" s="120"/>
      <c r="YV1377" s="120"/>
      <c r="YW1377" s="120"/>
      <c r="YX1377" s="120"/>
      <c r="YY1377" s="120"/>
      <c r="YZ1377" s="120"/>
      <c r="ZA1377" s="120"/>
      <c r="ZB1377" s="120"/>
      <c r="ZC1377" s="120"/>
      <c r="ZD1377" s="120"/>
      <c r="ZE1377" s="120"/>
      <c r="ZF1377" s="120"/>
      <c r="ZG1377" s="120"/>
      <c r="ZH1377" s="120"/>
      <c r="ZI1377" s="120"/>
      <c r="ZJ1377" s="120"/>
      <c r="ZK1377" s="120"/>
      <c r="ZL1377" s="120"/>
      <c r="ZM1377" s="120"/>
      <c r="ZN1377" s="120"/>
      <c r="ZO1377" s="120"/>
      <c r="ZP1377" s="120"/>
      <c r="ZQ1377" s="120"/>
      <c r="ZR1377" s="120"/>
      <c r="ZS1377" s="120"/>
      <c r="ZT1377" s="120"/>
      <c r="ZU1377" s="120"/>
      <c r="ZV1377" s="120"/>
      <c r="ZW1377" s="120"/>
      <c r="ZX1377" s="120"/>
      <c r="ZY1377" s="120"/>
      <c r="ZZ1377" s="120"/>
      <c r="AAA1377" s="120"/>
      <c r="AAB1377" s="120"/>
      <c r="AAC1377" s="120"/>
      <c r="AAD1377" s="120"/>
      <c r="AAE1377" s="120"/>
      <c r="AAF1377" s="120"/>
      <c r="AAG1377" s="120"/>
      <c r="AAH1377" s="120"/>
      <c r="AAI1377" s="120"/>
      <c r="AAJ1377" s="120"/>
      <c r="AAK1377" s="120"/>
      <c r="AAL1377" s="120"/>
      <c r="AAM1377" s="120"/>
      <c r="AAN1377" s="120"/>
      <c r="AAO1377" s="120"/>
      <c r="AAP1377" s="120"/>
      <c r="AAQ1377" s="120"/>
      <c r="AAR1377" s="120"/>
      <c r="AAS1377" s="120"/>
      <c r="AAT1377" s="120"/>
      <c r="AAU1377" s="120"/>
      <c r="AAV1377" s="120"/>
      <c r="AAW1377" s="120"/>
      <c r="AAX1377" s="120"/>
      <c r="AAY1377" s="120"/>
      <c r="AAZ1377" s="120"/>
      <c r="ABA1377" s="120"/>
      <c r="ABB1377" s="120"/>
      <c r="ABC1377" s="120"/>
      <c r="ABD1377" s="120"/>
      <c r="ABE1377" s="120"/>
      <c r="ABF1377" s="120"/>
      <c r="ABG1377" s="120"/>
      <c r="ABH1377" s="120"/>
      <c r="ABI1377" s="120"/>
      <c r="ABJ1377" s="120"/>
      <c r="ABK1377" s="120"/>
      <c r="ABL1377" s="120"/>
      <c r="ABM1377" s="120"/>
      <c r="ABN1377" s="120"/>
      <c r="ABO1377" s="120"/>
      <c r="ABP1377" s="120"/>
      <c r="ABQ1377" s="120"/>
      <c r="ABR1377" s="120"/>
      <c r="ABS1377" s="120"/>
      <c r="ABT1377" s="120"/>
      <c r="ABU1377" s="120"/>
      <c r="ABV1377" s="120"/>
      <c r="ABW1377" s="120"/>
      <c r="ABX1377" s="120"/>
      <c r="ABY1377" s="120"/>
      <c r="ABZ1377" s="120"/>
      <c r="ACA1377" s="120"/>
      <c r="ACB1377" s="120"/>
      <c r="ACC1377" s="120"/>
      <c r="ACD1377" s="120"/>
      <c r="ACE1377" s="120"/>
      <c r="ACF1377" s="120"/>
      <c r="ACG1377" s="120"/>
      <c r="ACH1377" s="120"/>
      <c r="ACI1377" s="120"/>
      <c r="ACJ1377" s="120"/>
      <c r="ACK1377" s="120"/>
      <c r="ACL1377" s="120"/>
      <c r="ACM1377" s="120"/>
      <c r="ACN1377" s="120"/>
      <c r="ACO1377" s="120"/>
      <c r="ACP1377" s="120"/>
      <c r="ACQ1377" s="120"/>
      <c r="ACR1377" s="120"/>
      <c r="ACS1377" s="120"/>
      <c r="ACT1377" s="120"/>
      <c r="ACU1377" s="120"/>
      <c r="ACV1377" s="120"/>
      <c r="ACW1377" s="120"/>
      <c r="ACX1377" s="120"/>
      <c r="ACY1377" s="120"/>
      <c r="ACZ1377" s="120"/>
      <c r="ADA1377" s="120"/>
      <c r="ADB1377" s="120"/>
      <c r="ADC1377" s="120"/>
      <c r="ADD1377" s="120"/>
      <c r="ADE1377" s="120"/>
      <c r="ADF1377" s="120"/>
      <c r="ADG1377" s="120"/>
      <c r="ADH1377" s="120"/>
      <c r="ADI1377" s="120"/>
      <c r="ADJ1377" s="120"/>
      <c r="ADK1377" s="120"/>
      <c r="ADL1377" s="120"/>
      <c r="ADM1377" s="120"/>
      <c r="ADN1377" s="120"/>
      <c r="ADO1377" s="120"/>
      <c r="ADP1377" s="120"/>
      <c r="ADQ1377" s="120"/>
      <c r="ADR1377" s="120"/>
      <c r="ADS1377" s="120"/>
      <c r="ADT1377" s="120"/>
      <c r="ADU1377" s="120"/>
      <c r="ADV1377" s="120"/>
      <c r="ADW1377" s="120"/>
      <c r="ADX1377" s="120"/>
      <c r="ADY1377" s="120"/>
      <c r="ADZ1377" s="120"/>
      <c r="AEA1377" s="120"/>
      <c r="AEB1377" s="120"/>
      <c r="AEC1377" s="120"/>
      <c r="AED1377" s="120"/>
      <c r="AEE1377" s="120"/>
      <c r="AEF1377" s="120"/>
      <c r="AEG1377" s="120"/>
      <c r="AEH1377" s="120"/>
      <c r="AEI1377" s="120"/>
      <c r="AEJ1377" s="120"/>
      <c r="AEK1377" s="120"/>
      <c r="AEL1377" s="120"/>
      <c r="AEM1377" s="120"/>
      <c r="AEN1377" s="120"/>
      <c r="AEO1377" s="120"/>
      <c r="AEP1377" s="120"/>
      <c r="AEQ1377" s="120"/>
      <c r="AER1377" s="120"/>
      <c r="AES1377" s="120"/>
      <c r="AET1377" s="120"/>
      <c r="AEU1377" s="120"/>
      <c r="AEV1377" s="120"/>
      <c r="AEW1377" s="120"/>
      <c r="AEX1377" s="120"/>
      <c r="AEY1377" s="120"/>
      <c r="AEZ1377" s="120"/>
      <c r="AFA1377" s="120"/>
      <c r="AFB1377" s="120"/>
      <c r="AFC1377" s="120"/>
      <c r="AFD1377" s="120"/>
      <c r="AFE1377" s="120"/>
      <c r="AFF1377" s="120"/>
      <c r="AFG1377" s="120"/>
      <c r="AFH1377" s="120"/>
      <c r="AFI1377" s="120"/>
      <c r="AFJ1377" s="120"/>
      <c r="AFK1377" s="120"/>
      <c r="AFL1377" s="120"/>
      <c r="AFM1377" s="120"/>
      <c r="AFN1377" s="120"/>
      <c r="AFO1377" s="120"/>
      <c r="AFP1377" s="120"/>
      <c r="AFQ1377" s="120"/>
      <c r="AFR1377" s="120"/>
      <c r="AFS1377" s="120"/>
      <c r="AFT1377" s="120"/>
      <c r="AFU1377" s="120"/>
      <c r="AFV1377" s="120"/>
      <c r="AFW1377" s="120"/>
      <c r="AFX1377" s="120"/>
      <c r="AFY1377" s="120"/>
      <c r="AFZ1377" s="120"/>
      <c r="AGA1377" s="120"/>
      <c r="AGB1377" s="120"/>
      <c r="AGC1377" s="120"/>
      <c r="AGD1377" s="120"/>
      <c r="AGE1377" s="120"/>
      <c r="AGF1377" s="120"/>
      <c r="AGG1377" s="120"/>
      <c r="AGH1377" s="120"/>
      <c r="AGI1377" s="120"/>
      <c r="AGJ1377" s="120"/>
      <c r="AGK1377" s="120"/>
      <c r="AGL1377" s="120"/>
      <c r="AGM1377" s="120"/>
      <c r="AGN1377" s="120"/>
      <c r="AGO1377" s="120"/>
      <c r="AGP1377" s="120"/>
      <c r="AGQ1377" s="120"/>
      <c r="AGR1377" s="120"/>
      <c r="AGS1377" s="120"/>
      <c r="AGT1377" s="120"/>
      <c r="AGU1377" s="120"/>
      <c r="AGV1377" s="120"/>
      <c r="AGW1377" s="120"/>
      <c r="AGX1377" s="120"/>
      <c r="AGY1377" s="120"/>
      <c r="AGZ1377" s="120"/>
      <c r="AHA1377" s="120"/>
      <c r="AHB1377" s="120"/>
      <c r="AHC1377" s="120"/>
      <c r="AHD1377" s="120"/>
      <c r="AHE1377" s="120"/>
      <c r="AHF1377" s="120"/>
      <c r="AHG1377" s="120"/>
      <c r="AHH1377" s="120"/>
      <c r="AHI1377" s="120"/>
      <c r="AHJ1377" s="120"/>
      <c r="AHK1377" s="120"/>
      <c r="AHL1377" s="120"/>
      <c r="AHM1377" s="120"/>
      <c r="AHN1377" s="120"/>
      <c r="AHO1377" s="120"/>
      <c r="AHP1377" s="120"/>
      <c r="AHQ1377" s="120"/>
      <c r="AHR1377" s="120"/>
      <c r="AHS1377" s="120"/>
      <c r="AHT1377" s="120"/>
      <c r="AHU1377" s="120"/>
      <c r="AHV1377" s="120"/>
      <c r="AHW1377" s="120"/>
      <c r="AHX1377" s="120"/>
      <c r="AHY1377" s="120"/>
      <c r="AHZ1377" s="120"/>
      <c r="AIA1377" s="120"/>
      <c r="AIB1377" s="120"/>
      <c r="AIC1377" s="120"/>
      <c r="AID1377" s="120"/>
      <c r="AIE1377" s="120"/>
      <c r="AIF1377" s="120"/>
      <c r="AIG1377" s="120"/>
      <c r="AIH1377" s="120"/>
      <c r="AII1377" s="120"/>
      <c r="AIJ1377" s="120"/>
      <c r="AIK1377" s="120"/>
      <c r="AIL1377" s="120"/>
      <c r="AIM1377" s="120"/>
      <c r="AIN1377" s="120"/>
      <c r="AIO1377" s="120"/>
      <c r="AIP1377" s="120"/>
      <c r="AIQ1377" s="120"/>
      <c r="AIR1377" s="120"/>
      <c r="AIS1377" s="120"/>
      <c r="AIT1377" s="120"/>
      <c r="AIU1377" s="120"/>
      <c r="AIV1377" s="120"/>
      <c r="AIW1377" s="120"/>
      <c r="AIX1377" s="120"/>
      <c r="AIY1377" s="120"/>
      <c r="AIZ1377" s="120"/>
      <c r="AJA1377" s="120"/>
      <c r="AJB1377" s="120"/>
      <c r="AJC1377" s="120"/>
      <c r="AJD1377" s="120"/>
      <c r="AJE1377" s="120"/>
      <c r="AJF1377" s="120"/>
      <c r="AJG1377" s="120"/>
      <c r="AJH1377" s="120"/>
      <c r="AJI1377" s="120"/>
      <c r="AJJ1377" s="120"/>
      <c r="AJK1377" s="120"/>
      <c r="AJL1377" s="120"/>
      <c r="AJM1377" s="120"/>
      <c r="AJN1377" s="120"/>
      <c r="AJO1377" s="120"/>
      <c r="AJP1377" s="120"/>
      <c r="AJQ1377" s="120"/>
      <c r="AJR1377" s="120"/>
      <c r="AJS1377" s="120"/>
      <c r="AJT1377" s="120"/>
      <c r="AJU1377" s="120"/>
      <c r="AJV1377" s="120"/>
      <c r="AJW1377" s="120"/>
      <c r="AJX1377" s="120"/>
      <c r="AJY1377" s="120"/>
      <c r="AJZ1377" s="120"/>
      <c r="AKA1377" s="120"/>
      <c r="AKB1377" s="120"/>
      <c r="AKC1377" s="120"/>
      <c r="AKD1377" s="120"/>
      <c r="AKE1377" s="120"/>
      <c r="AKF1377" s="120"/>
      <c r="AKG1377" s="120"/>
      <c r="AKH1377" s="120"/>
      <c r="AKI1377" s="120"/>
      <c r="AKJ1377" s="120"/>
      <c r="AKK1377" s="120"/>
      <c r="AKL1377" s="120"/>
      <c r="AKM1377" s="120"/>
      <c r="AKN1377" s="120"/>
      <c r="AKO1377" s="120"/>
      <c r="AKP1377" s="120"/>
      <c r="AKQ1377" s="120"/>
      <c r="AKR1377" s="120"/>
      <c r="AKS1377" s="120"/>
      <c r="AKT1377" s="120"/>
      <c r="AKU1377" s="120"/>
      <c r="AKV1377" s="120"/>
      <c r="AKW1377" s="120"/>
      <c r="AKX1377" s="120"/>
      <c r="AKY1377" s="120"/>
      <c r="AKZ1377" s="120"/>
      <c r="ALA1377" s="120"/>
      <c r="ALB1377" s="120"/>
      <c r="ALC1377" s="120"/>
      <c r="ALD1377" s="120"/>
      <c r="ALE1377" s="120"/>
      <c r="ALF1377" s="120"/>
      <c r="ALG1377" s="120"/>
      <c r="ALH1377" s="120"/>
      <c r="ALI1377" s="120"/>
      <c r="ALJ1377" s="120"/>
      <c r="ALK1377" s="120"/>
      <c r="ALL1377" s="120"/>
      <c r="ALM1377" s="120"/>
      <c r="ALN1377" s="120"/>
      <c r="ALO1377" s="120"/>
      <c r="ALP1377" s="120"/>
      <c r="ALQ1377" s="120"/>
      <c r="ALR1377" s="120"/>
      <c r="ALS1377" s="120"/>
      <c r="ALT1377" s="120"/>
      <c r="ALU1377" s="120"/>
      <c r="ALV1377" s="120"/>
      <c r="ALW1377" s="120"/>
      <c r="ALX1377" s="120"/>
      <c r="ALY1377" s="120"/>
      <c r="ALZ1377" s="120"/>
      <c r="AMA1377" s="120"/>
      <c r="AMB1377" s="120"/>
      <c r="AMC1377" s="120"/>
      <c r="AMD1377" s="120"/>
      <c r="AME1377" s="120"/>
      <c r="AMF1377" s="120"/>
      <c r="AMG1377" s="120"/>
      <c r="AMH1377" s="120"/>
      <c r="AMI1377" s="120"/>
      <c r="AMJ1377" s="120"/>
      <c r="AMK1377" s="120"/>
      <c r="AML1377" s="120"/>
      <c r="AMM1377" s="120"/>
      <c r="AMN1377" s="120"/>
      <c r="AMO1377" s="120"/>
      <c r="AMP1377" s="120"/>
      <c r="AMQ1377" s="120"/>
      <c r="AMR1377" s="120"/>
      <c r="AMS1377" s="120"/>
      <c r="AMT1377" s="120"/>
      <c r="AMU1377" s="120"/>
      <c r="AMV1377" s="120"/>
      <c r="AMW1377" s="120"/>
      <c r="AMX1377" s="120"/>
      <c r="AMY1377" s="120"/>
      <c r="AMZ1377" s="120"/>
      <c r="ANA1377" s="120"/>
      <c r="ANB1377" s="120"/>
      <c r="ANC1377" s="120"/>
      <c r="AND1377" s="120"/>
      <c r="ANE1377" s="120"/>
      <c r="ANF1377" s="120"/>
      <c r="ANG1377" s="120"/>
      <c r="ANH1377" s="120"/>
      <c r="ANI1377" s="120"/>
      <c r="ANJ1377" s="120"/>
      <c r="ANK1377" s="120"/>
      <c r="ANL1377" s="120"/>
      <c r="ANM1377" s="120"/>
      <c r="ANN1377" s="120"/>
      <c r="ANO1377" s="120"/>
      <c r="ANP1377" s="120"/>
      <c r="ANQ1377" s="120"/>
      <c r="ANR1377" s="120"/>
      <c r="ANS1377" s="120"/>
      <c r="ANT1377" s="120"/>
      <c r="ANU1377" s="120"/>
      <c r="ANV1377" s="120"/>
      <c r="ANW1377" s="120"/>
      <c r="ANX1377" s="120"/>
      <c r="ANY1377" s="120"/>
      <c r="ANZ1377" s="120"/>
      <c r="AOA1377" s="120"/>
      <c r="AOB1377" s="120"/>
      <c r="AOC1377" s="120"/>
      <c r="AOD1377" s="120"/>
      <c r="AOE1377" s="120"/>
      <c r="AOF1377" s="120"/>
      <c r="AOG1377" s="120"/>
      <c r="AOH1377" s="120"/>
      <c r="AOI1377" s="120"/>
      <c r="AOJ1377" s="120"/>
      <c r="AOK1377" s="120"/>
      <c r="AOL1377" s="120"/>
      <c r="AOM1377" s="120"/>
      <c r="AON1377" s="120"/>
      <c r="AOO1377" s="120"/>
      <c r="AOP1377" s="120"/>
      <c r="AOQ1377" s="120"/>
      <c r="AOR1377" s="120"/>
      <c r="AOS1377" s="120"/>
      <c r="AOT1377" s="120"/>
      <c r="AOU1377" s="120"/>
      <c r="AOV1377" s="120"/>
      <c r="AOW1377" s="120"/>
      <c r="AOX1377" s="120"/>
      <c r="AOY1377" s="120"/>
      <c r="AOZ1377" s="120"/>
      <c r="APA1377" s="120"/>
      <c r="APB1377" s="120"/>
      <c r="APC1377" s="120"/>
      <c r="APD1377" s="120"/>
      <c r="APE1377" s="120"/>
      <c r="APF1377" s="120"/>
      <c r="APG1377" s="120"/>
      <c r="APH1377" s="120"/>
      <c r="API1377" s="120"/>
      <c r="APJ1377" s="120"/>
      <c r="APK1377" s="120"/>
      <c r="APL1377" s="120"/>
      <c r="APM1377" s="120"/>
      <c r="APN1377" s="120"/>
      <c r="APO1377" s="120"/>
      <c r="APP1377" s="120"/>
      <c r="APQ1377" s="120"/>
      <c r="APR1377" s="120"/>
      <c r="APS1377" s="120"/>
      <c r="APT1377" s="120"/>
      <c r="APU1377" s="120"/>
      <c r="APV1377" s="120"/>
      <c r="APW1377" s="120"/>
      <c r="APX1377" s="120"/>
      <c r="APY1377" s="120"/>
      <c r="APZ1377" s="120"/>
      <c r="AQA1377" s="120"/>
      <c r="AQB1377" s="120"/>
      <c r="AQC1377" s="120"/>
      <c r="AQD1377" s="120"/>
      <c r="AQE1377" s="120"/>
      <c r="AQF1377" s="120"/>
      <c r="AQG1377" s="120"/>
      <c r="AQH1377" s="120"/>
      <c r="AQI1377" s="120"/>
      <c r="AQJ1377" s="120"/>
      <c r="AQK1377" s="120"/>
      <c r="AQL1377" s="120"/>
      <c r="AQM1377" s="120"/>
      <c r="AQN1377" s="120"/>
      <c r="AQO1377" s="120"/>
      <c r="AQP1377" s="120"/>
      <c r="AQQ1377" s="120"/>
      <c r="AQR1377" s="120"/>
      <c r="AQS1377" s="120"/>
      <c r="AQT1377" s="120"/>
      <c r="AQU1377" s="120"/>
      <c r="AQV1377" s="120"/>
      <c r="AQW1377" s="120"/>
      <c r="AQX1377" s="120"/>
      <c r="AQY1377" s="120"/>
      <c r="AQZ1377" s="120"/>
      <c r="ARA1377" s="120"/>
      <c r="ARB1377" s="120"/>
      <c r="ARC1377" s="120"/>
      <c r="ARD1377" s="120"/>
      <c r="ARE1377" s="120"/>
      <c r="ARF1377" s="120"/>
      <c r="ARG1377" s="120"/>
      <c r="ARH1377" s="120"/>
      <c r="ARI1377" s="120"/>
      <c r="ARJ1377" s="120"/>
      <c r="ARK1377" s="120"/>
      <c r="ARL1377" s="120"/>
      <c r="ARM1377" s="120"/>
      <c r="ARN1377" s="120"/>
      <c r="ARO1377" s="120"/>
      <c r="ARP1377" s="120"/>
      <c r="ARQ1377" s="120"/>
      <c r="ARR1377" s="120"/>
      <c r="ARS1377" s="120"/>
      <c r="ART1377" s="120"/>
      <c r="ARU1377" s="120"/>
      <c r="ARV1377" s="120"/>
      <c r="ARW1377" s="120"/>
      <c r="ARX1377" s="120"/>
      <c r="ARY1377" s="120"/>
      <c r="ARZ1377" s="120"/>
      <c r="ASA1377" s="120"/>
      <c r="ASB1377" s="120"/>
      <c r="ASC1377" s="120"/>
      <c r="ASD1377" s="120"/>
      <c r="ASE1377" s="120"/>
      <c r="ASF1377" s="120"/>
      <c r="ASG1377" s="120"/>
      <c r="ASH1377" s="120"/>
      <c r="ASI1377" s="120"/>
      <c r="ASJ1377" s="120"/>
      <c r="ASK1377" s="120"/>
      <c r="ASL1377" s="120"/>
      <c r="ASM1377" s="120"/>
      <c r="ASN1377" s="120"/>
      <c r="ASO1377" s="120"/>
      <c r="ASP1377" s="120"/>
      <c r="ASQ1377" s="120"/>
      <c r="ASR1377" s="120"/>
      <c r="ASS1377" s="120"/>
      <c r="AST1377" s="120"/>
      <c r="ASU1377" s="120"/>
      <c r="ASV1377" s="120"/>
      <c r="ASW1377" s="120"/>
      <c r="ASX1377" s="120"/>
      <c r="ASY1377" s="120"/>
      <c r="ASZ1377" s="120"/>
      <c r="ATA1377" s="120"/>
      <c r="ATB1377" s="120"/>
      <c r="ATC1377" s="120"/>
      <c r="ATD1377" s="120"/>
      <c r="ATE1377" s="120"/>
      <c r="ATF1377" s="120"/>
      <c r="ATG1377" s="120"/>
      <c r="ATH1377" s="120"/>
      <c r="ATI1377" s="120"/>
      <c r="ATJ1377" s="120"/>
      <c r="ATK1377" s="120"/>
      <c r="ATL1377" s="120"/>
      <c r="ATM1377" s="120"/>
      <c r="ATN1377" s="120"/>
      <c r="ATO1377" s="120"/>
    </row>
    <row r="1378" spans="1:1211" s="20" customFormat="1" ht="14.1" customHeight="1">
      <c r="A1378" s="112"/>
      <c r="B1378" s="945"/>
      <c r="C1378" s="184"/>
      <c r="D1378" s="120"/>
      <c r="E1378" s="701"/>
      <c r="F1378" s="703"/>
      <c r="G1378" s="702"/>
      <c r="H1378" s="702"/>
      <c r="I1378" s="702"/>
      <c r="J1378" s="700"/>
      <c r="K1378" s="112"/>
      <c r="L1378" s="363"/>
      <c r="M1378" s="112"/>
      <c r="N1378" s="362"/>
      <c r="O1378" s="573"/>
      <c r="P1378" s="120"/>
      <c r="Q1378" s="120"/>
      <c r="R1378" s="120"/>
      <c r="S1378" s="120"/>
      <c r="T1378" s="120"/>
      <c r="U1378" s="120"/>
      <c r="V1378" s="120"/>
      <c r="W1378" s="120"/>
      <c r="X1378" s="120"/>
      <c r="Y1378" s="120"/>
      <c r="Z1378" s="120"/>
      <c r="AA1378" s="120"/>
      <c r="AB1378" s="120"/>
      <c r="AC1378" s="120"/>
      <c r="AD1378" s="120"/>
      <c r="AE1378" s="120"/>
      <c r="AF1378" s="120"/>
      <c r="AG1378" s="120"/>
      <c r="AH1378" s="120"/>
      <c r="AI1378" s="120"/>
      <c r="AJ1378" s="120"/>
      <c r="AK1378" s="120"/>
      <c r="AL1378" s="120"/>
      <c r="AM1378" s="120"/>
      <c r="AN1378" s="120"/>
      <c r="AO1378" s="120"/>
      <c r="AP1378" s="120"/>
      <c r="AQ1378" s="120"/>
      <c r="AR1378" s="120"/>
      <c r="AS1378" s="120"/>
      <c r="AT1378" s="120"/>
      <c r="AU1378" s="120"/>
      <c r="AV1378" s="120"/>
      <c r="AW1378" s="120"/>
      <c r="AX1378" s="120"/>
      <c r="AY1378" s="120"/>
      <c r="AZ1378" s="120"/>
      <c r="BA1378" s="120"/>
      <c r="BB1378" s="120"/>
      <c r="BC1378" s="120"/>
      <c r="BD1378" s="120"/>
      <c r="BE1378" s="120"/>
      <c r="BF1378" s="120"/>
      <c r="BG1378" s="120"/>
      <c r="BH1378" s="120"/>
      <c r="BI1378" s="120"/>
      <c r="BJ1378" s="120"/>
      <c r="BK1378" s="120"/>
      <c r="BL1378" s="120"/>
      <c r="BM1378" s="120"/>
      <c r="BN1378" s="120"/>
      <c r="BO1378" s="120"/>
      <c r="BP1378" s="120"/>
      <c r="BQ1378" s="120"/>
      <c r="BR1378" s="120"/>
      <c r="BS1378" s="120"/>
      <c r="BT1378" s="120"/>
      <c r="BU1378" s="120"/>
      <c r="BV1378" s="120"/>
      <c r="BW1378" s="120"/>
      <c r="BX1378" s="120"/>
      <c r="BY1378" s="120"/>
      <c r="BZ1378" s="120"/>
      <c r="CA1378" s="120"/>
      <c r="CB1378" s="120"/>
      <c r="CC1378" s="120"/>
      <c r="CD1378" s="120"/>
      <c r="CE1378" s="120"/>
      <c r="CF1378" s="120"/>
      <c r="CG1378" s="120"/>
      <c r="CH1378" s="120"/>
      <c r="CI1378" s="120"/>
      <c r="CJ1378" s="120"/>
      <c r="CK1378" s="120"/>
      <c r="CL1378" s="120"/>
      <c r="CM1378" s="120"/>
      <c r="CN1378" s="120"/>
      <c r="CO1378" s="120"/>
      <c r="CP1378" s="120"/>
      <c r="CQ1378" s="120"/>
      <c r="CR1378" s="120"/>
      <c r="CS1378" s="120"/>
      <c r="CT1378" s="120"/>
      <c r="CU1378" s="120"/>
      <c r="CV1378" s="120"/>
      <c r="CW1378" s="120"/>
      <c r="CX1378" s="120"/>
      <c r="CY1378" s="120"/>
      <c r="CZ1378" s="120"/>
      <c r="DA1378" s="120"/>
      <c r="DB1378" s="120"/>
      <c r="DC1378" s="120"/>
      <c r="DD1378" s="120"/>
      <c r="DE1378" s="120"/>
      <c r="DF1378" s="120"/>
      <c r="DG1378" s="120"/>
      <c r="DH1378" s="120"/>
      <c r="DI1378" s="120"/>
      <c r="DJ1378" s="120"/>
      <c r="DK1378" s="120"/>
      <c r="DL1378" s="120"/>
      <c r="DM1378" s="120"/>
      <c r="DN1378" s="120"/>
      <c r="DO1378" s="120"/>
      <c r="DP1378" s="120"/>
      <c r="DQ1378" s="120"/>
      <c r="DR1378" s="120"/>
      <c r="DS1378" s="120"/>
      <c r="DT1378" s="120"/>
      <c r="DU1378" s="120"/>
      <c r="DV1378" s="120"/>
      <c r="DW1378" s="120"/>
      <c r="DX1378" s="120"/>
      <c r="DY1378" s="120"/>
      <c r="DZ1378" s="120"/>
      <c r="EA1378" s="120"/>
      <c r="EB1378" s="120"/>
      <c r="EC1378" s="120"/>
      <c r="ED1378" s="120"/>
      <c r="EE1378" s="120"/>
      <c r="EF1378" s="120"/>
      <c r="EG1378" s="120"/>
      <c r="EH1378" s="120"/>
      <c r="EI1378" s="120"/>
      <c r="EJ1378" s="120"/>
      <c r="EK1378" s="120"/>
      <c r="EL1378" s="120"/>
      <c r="EM1378" s="120"/>
      <c r="EN1378" s="120"/>
      <c r="EO1378" s="120"/>
      <c r="EP1378" s="120"/>
      <c r="EQ1378" s="120"/>
      <c r="ER1378" s="120"/>
      <c r="ES1378" s="120"/>
      <c r="ET1378" s="120"/>
      <c r="EU1378" s="120"/>
      <c r="EV1378" s="120"/>
      <c r="EW1378" s="120"/>
      <c r="EX1378" s="120"/>
      <c r="EY1378" s="120"/>
      <c r="EZ1378" s="120"/>
      <c r="FA1378" s="120"/>
      <c r="FB1378" s="120"/>
      <c r="FC1378" s="120"/>
      <c r="FD1378" s="120"/>
      <c r="FE1378" s="120"/>
      <c r="FF1378" s="120"/>
      <c r="FG1378" s="120"/>
      <c r="FH1378" s="120"/>
      <c r="FI1378" s="120"/>
      <c r="FJ1378" s="120"/>
      <c r="FK1378" s="120"/>
      <c r="FL1378" s="120"/>
      <c r="FM1378" s="120"/>
      <c r="FN1378" s="120"/>
      <c r="FO1378" s="120"/>
      <c r="FP1378" s="120"/>
      <c r="FQ1378" s="120"/>
      <c r="FR1378" s="120"/>
      <c r="FS1378" s="120"/>
      <c r="FT1378" s="120"/>
      <c r="FU1378" s="120"/>
      <c r="FV1378" s="120"/>
      <c r="FW1378" s="120"/>
      <c r="FX1378" s="120"/>
      <c r="FY1378" s="120"/>
      <c r="FZ1378" s="120"/>
      <c r="GA1378" s="120"/>
      <c r="GB1378" s="120"/>
      <c r="GC1378" s="120"/>
      <c r="GD1378" s="120"/>
      <c r="GE1378" s="120"/>
      <c r="GF1378" s="120"/>
      <c r="GG1378" s="120"/>
      <c r="GH1378" s="120"/>
      <c r="GI1378" s="120"/>
      <c r="GJ1378" s="120"/>
      <c r="GK1378" s="120"/>
      <c r="GL1378" s="120"/>
      <c r="GM1378" s="120"/>
      <c r="GN1378" s="120"/>
      <c r="GO1378" s="120"/>
      <c r="GP1378" s="120"/>
      <c r="GQ1378" s="120"/>
      <c r="GR1378" s="120"/>
      <c r="GS1378" s="120"/>
      <c r="GT1378" s="120"/>
      <c r="GU1378" s="120"/>
      <c r="GV1378" s="120"/>
      <c r="GW1378" s="120"/>
      <c r="GX1378" s="120"/>
      <c r="GY1378" s="120"/>
      <c r="GZ1378" s="120"/>
      <c r="HA1378" s="120"/>
      <c r="HB1378" s="120"/>
      <c r="HC1378" s="120"/>
      <c r="HD1378" s="120"/>
      <c r="HE1378" s="120"/>
      <c r="HF1378" s="120"/>
      <c r="HG1378" s="120"/>
      <c r="HH1378" s="120"/>
      <c r="HI1378" s="120"/>
      <c r="HJ1378" s="120"/>
      <c r="HK1378" s="120"/>
      <c r="HL1378" s="120"/>
      <c r="HM1378" s="120"/>
      <c r="HN1378" s="120"/>
      <c r="HO1378" s="120"/>
      <c r="HP1378" s="120"/>
      <c r="HQ1378" s="120"/>
      <c r="HR1378" s="120"/>
      <c r="HS1378" s="120"/>
      <c r="HT1378" s="120"/>
      <c r="HU1378" s="120"/>
      <c r="HV1378" s="120"/>
      <c r="HW1378" s="120"/>
      <c r="HX1378" s="120"/>
      <c r="HY1378" s="120"/>
      <c r="HZ1378" s="120"/>
      <c r="IA1378" s="120"/>
      <c r="IB1378" s="120"/>
      <c r="IC1378" s="120"/>
      <c r="ID1378" s="120"/>
      <c r="IE1378" s="120"/>
      <c r="IF1378" s="120"/>
      <c r="IG1378" s="120"/>
      <c r="IH1378" s="120"/>
      <c r="II1378" s="120"/>
      <c r="IJ1378" s="120"/>
      <c r="IK1378" s="120"/>
      <c r="IL1378" s="120"/>
      <c r="IM1378" s="120"/>
      <c r="IN1378" s="120"/>
      <c r="IO1378" s="120"/>
      <c r="IP1378" s="120"/>
      <c r="IQ1378" s="120"/>
      <c r="IR1378" s="120"/>
      <c r="IS1378" s="120"/>
      <c r="IT1378" s="120"/>
      <c r="IU1378" s="120"/>
      <c r="IV1378" s="120"/>
      <c r="IW1378" s="120"/>
      <c r="IX1378" s="120"/>
      <c r="IY1378" s="120"/>
      <c r="IZ1378" s="120"/>
      <c r="JA1378" s="120"/>
      <c r="JB1378" s="120"/>
      <c r="JC1378" s="120"/>
      <c r="JD1378" s="120"/>
      <c r="JE1378" s="120"/>
      <c r="JF1378" s="120"/>
      <c r="JG1378" s="120"/>
      <c r="JH1378" s="120"/>
      <c r="JI1378" s="120"/>
      <c r="JJ1378" s="120"/>
      <c r="JK1378" s="120"/>
      <c r="JL1378" s="120"/>
      <c r="JM1378" s="120"/>
      <c r="JN1378" s="120"/>
      <c r="JO1378" s="120"/>
      <c r="JP1378" s="120"/>
      <c r="JQ1378" s="120"/>
      <c r="JR1378" s="120"/>
      <c r="JS1378" s="120"/>
      <c r="JT1378" s="120"/>
      <c r="JU1378" s="120"/>
      <c r="JV1378" s="120"/>
      <c r="JW1378" s="120"/>
      <c r="JX1378" s="120"/>
      <c r="JY1378" s="120"/>
      <c r="JZ1378" s="120"/>
      <c r="KA1378" s="120"/>
      <c r="KB1378" s="120"/>
      <c r="KC1378" s="120"/>
      <c r="KD1378" s="120"/>
      <c r="KE1378" s="120"/>
      <c r="KF1378" s="120"/>
      <c r="KG1378" s="120"/>
      <c r="KH1378" s="120"/>
      <c r="KI1378" s="120"/>
      <c r="KJ1378" s="120"/>
      <c r="KK1378" s="120"/>
      <c r="KL1378" s="120"/>
      <c r="KM1378" s="120"/>
      <c r="KN1378" s="120"/>
      <c r="KO1378" s="120"/>
      <c r="KP1378" s="120"/>
      <c r="KQ1378" s="120"/>
      <c r="KR1378" s="120"/>
      <c r="KS1378" s="120"/>
      <c r="KT1378" s="120"/>
      <c r="KU1378" s="120"/>
      <c r="KV1378" s="120"/>
      <c r="KW1378" s="120"/>
      <c r="KX1378" s="120"/>
      <c r="KY1378" s="120"/>
      <c r="KZ1378" s="120"/>
      <c r="LA1378" s="120"/>
      <c r="LB1378" s="120"/>
      <c r="LC1378" s="120"/>
      <c r="LD1378" s="120"/>
      <c r="LE1378" s="120"/>
      <c r="LF1378" s="120"/>
      <c r="LG1378" s="120"/>
      <c r="LH1378" s="120"/>
      <c r="LI1378" s="120"/>
      <c r="LJ1378" s="120"/>
      <c r="LK1378" s="120"/>
      <c r="LL1378" s="120"/>
      <c r="LM1378" s="120"/>
      <c r="LN1378" s="120"/>
      <c r="LO1378" s="120"/>
      <c r="LP1378" s="120"/>
      <c r="LQ1378" s="120"/>
      <c r="LR1378" s="120"/>
      <c r="LS1378" s="120"/>
      <c r="LT1378" s="120"/>
      <c r="LU1378" s="120"/>
      <c r="LV1378" s="120"/>
      <c r="LW1378" s="120"/>
      <c r="LX1378" s="120"/>
      <c r="LY1378" s="120"/>
      <c r="LZ1378" s="120"/>
      <c r="MA1378" s="120"/>
      <c r="MB1378" s="120"/>
      <c r="MC1378" s="120"/>
      <c r="MD1378" s="120"/>
      <c r="ME1378" s="120"/>
      <c r="MF1378" s="120"/>
      <c r="MG1378" s="120"/>
      <c r="MH1378" s="120"/>
      <c r="MI1378" s="120"/>
      <c r="MJ1378" s="120"/>
      <c r="MK1378" s="120"/>
      <c r="ML1378" s="120"/>
      <c r="MM1378" s="120"/>
      <c r="MN1378" s="120"/>
      <c r="MO1378" s="120"/>
      <c r="MP1378" s="120"/>
      <c r="MQ1378" s="120"/>
      <c r="MR1378" s="120"/>
      <c r="MS1378" s="120"/>
      <c r="MT1378" s="120"/>
      <c r="MU1378" s="120"/>
      <c r="MV1378" s="120"/>
      <c r="MW1378" s="120"/>
      <c r="MX1378" s="120"/>
      <c r="MY1378" s="120"/>
      <c r="MZ1378" s="120"/>
      <c r="NA1378" s="120"/>
      <c r="NB1378" s="120"/>
      <c r="NC1378" s="120"/>
      <c r="ND1378" s="120"/>
      <c r="NE1378" s="120"/>
      <c r="NF1378" s="120"/>
      <c r="NG1378" s="120"/>
      <c r="NH1378" s="120"/>
      <c r="NI1378" s="120"/>
      <c r="NJ1378" s="120"/>
      <c r="NK1378" s="120"/>
      <c r="NL1378" s="120"/>
      <c r="NM1378" s="120"/>
      <c r="NN1378" s="120"/>
      <c r="NO1378" s="120"/>
      <c r="NP1378" s="120"/>
      <c r="NQ1378" s="120"/>
      <c r="NR1378" s="120"/>
      <c r="NS1378" s="120"/>
      <c r="NT1378" s="120"/>
      <c r="NU1378" s="120"/>
      <c r="NV1378" s="120"/>
      <c r="NW1378" s="120"/>
      <c r="NX1378" s="120"/>
      <c r="NY1378" s="120"/>
      <c r="NZ1378" s="120"/>
      <c r="OA1378" s="120"/>
      <c r="OB1378" s="120"/>
      <c r="OC1378" s="120"/>
      <c r="OD1378" s="120"/>
      <c r="OE1378" s="120"/>
      <c r="OF1378" s="120"/>
      <c r="OG1378" s="120"/>
      <c r="OH1378" s="120"/>
      <c r="OI1378" s="120"/>
      <c r="OJ1378" s="120"/>
      <c r="OK1378" s="120"/>
      <c r="OL1378" s="120"/>
      <c r="OM1378" s="120"/>
      <c r="ON1378" s="120"/>
      <c r="OO1378" s="120"/>
      <c r="OP1378" s="120"/>
      <c r="OQ1378" s="120"/>
      <c r="OR1378" s="120"/>
      <c r="OS1378" s="120"/>
      <c r="OT1378" s="120"/>
      <c r="OU1378" s="120"/>
      <c r="OV1378" s="120"/>
      <c r="OW1378" s="120"/>
      <c r="OX1378" s="120"/>
      <c r="OY1378" s="120"/>
      <c r="OZ1378" s="120"/>
      <c r="PA1378" s="120"/>
      <c r="PB1378" s="120"/>
      <c r="PC1378" s="120"/>
      <c r="PD1378" s="120"/>
      <c r="PE1378" s="120"/>
      <c r="PF1378" s="120"/>
      <c r="PG1378" s="120"/>
      <c r="PH1378" s="120"/>
      <c r="PI1378" s="120"/>
      <c r="PJ1378" s="120"/>
      <c r="PK1378" s="120"/>
      <c r="PL1378" s="120"/>
      <c r="PM1378" s="120"/>
      <c r="PN1378" s="120"/>
      <c r="PO1378" s="120"/>
      <c r="PP1378" s="120"/>
      <c r="PQ1378" s="120"/>
      <c r="PR1378" s="120"/>
      <c r="PS1378" s="120"/>
      <c r="PT1378" s="120"/>
      <c r="PU1378" s="120"/>
      <c r="PV1378" s="120"/>
      <c r="PW1378" s="120"/>
      <c r="PX1378" s="120"/>
      <c r="PY1378" s="120"/>
      <c r="PZ1378" s="120"/>
      <c r="QA1378" s="120"/>
      <c r="QB1378" s="120"/>
      <c r="QC1378" s="120"/>
      <c r="QD1378" s="120"/>
      <c r="QE1378" s="120"/>
      <c r="QF1378" s="120"/>
      <c r="QG1378" s="120"/>
      <c r="QH1378" s="120"/>
      <c r="QI1378" s="120"/>
      <c r="QJ1378" s="120"/>
      <c r="QK1378" s="120"/>
      <c r="QL1378" s="120"/>
      <c r="QM1378" s="120"/>
      <c r="QN1378" s="120"/>
      <c r="QO1378" s="120"/>
      <c r="QP1378" s="120"/>
      <c r="QQ1378" s="120"/>
      <c r="QR1378" s="120"/>
      <c r="QS1378" s="120"/>
      <c r="QT1378" s="120"/>
      <c r="QU1378" s="120"/>
      <c r="QV1378" s="120"/>
      <c r="QW1378" s="120"/>
      <c r="QX1378" s="120"/>
      <c r="QY1378" s="120"/>
      <c r="QZ1378" s="120"/>
      <c r="RA1378" s="120"/>
      <c r="RB1378" s="120"/>
      <c r="RC1378" s="120"/>
      <c r="RD1378" s="120"/>
      <c r="RE1378" s="120"/>
      <c r="RF1378" s="120"/>
      <c r="RG1378" s="120"/>
      <c r="RH1378" s="120"/>
      <c r="RI1378" s="120"/>
      <c r="RJ1378" s="120"/>
      <c r="RK1378" s="120"/>
      <c r="RL1378" s="120"/>
      <c r="RM1378" s="120"/>
      <c r="RN1378" s="120"/>
      <c r="RO1378" s="120"/>
      <c r="RP1378" s="120"/>
      <c r="RQ1378" s="120"/>
      <c r="RR1378" s="120"/>
      <c r="RS1378" s="120"/>
      <c r="RT1378" s="120"/>
      <c r="RU1378" s="120"/>
      <c r="RV1378" s="120"/>
      <c r="RW1378" s="120"/>
      <c r="RX1378" s="120"/>
      <c r="RY1378" s="120"/>
      <c r="RZ1378" s="120"/>
      <c r="SA1378" s="120"/>
      <c r="SB1378" s="120"/>
      <c r="SC1378" s="120"/>
      <c r="SD1378" s="120"/>
      <c r="SE1378" s="120"/>
      <c r="SF1378" s="120"/>
      <c r="SG1378" s="120"/>
      <c r="SH1378" s="120"/>
      <c r="SI1378" s="120"/>
      <c r="SJ1378" s="120"/>
      <c r="SK1378" s="120"/>
      <c r="SL1378" s="120"/>
      <c r="SM1378" s="120"/>
      <c r="SN1378" s="120"/>
      <c r="SO1378" s="120"/>
      <c r="SP1378" s="120"/>
      <c r="SQ1378" s="120"/>
      <c r="SR1378" s="120"/>
      <c r="SS1378" s="120"/>
      <c r="ST1378" s="120"/>
      <c r="SU1378" s="120"/>
      <c r="SV1378" s="120"/>
      <c r="SW1378" s="120"/>
      <c r="SX1378" s="120"/>
      <c r="SY1378" s="120"/>
      <c r="SZ1378" s="120"/>
      <c r="TA1378" s="120"/>
      <c r="TB1378" s="120"/>
      <c r="TC1378" s="120"/>
      <c r="TD1378" s="120"/>
      <c r="TE1378" s="120"/>
      <c r="TF1378" s="120"/>
      <c r="TG1378" s="120"/>
      <c r="TH1378" s="120"/>
      <c r="TI1378" s="120"/>
      <c r="TJ1378" s="120"/>
      <c r="TK1378" s="120"/>
      <c r="TL1378" s="120"/>
      <c r="TM1378" s="120"/>
      <c r="TN1378" s="120"/>
      <c r="TO1378" s="120"/>
      <c r="TP1378" s="120"/>
      <c r="TQ1378" s="120"/>
      <c r="TR1378" s="120"/>
      <c r="TS1378" s="120"/>
      <c r="TT1378" s="120"/>
      <c r="TU1378" s="120"/>
      <c r="TV1378" s="120"/>
      <c r="TW1378" s="120"/>
      <c r="TX1378" s="120"/>
      <c r="TY1378" s="120"/>
      <c r="TZ1378" s="120"/>
      <c r="UA1378" s="120"/>
      <c r="UB1378" s="120"/>
      <c r="UC1378" s="120"/>
      <c r="UD1378" s="120"/>
      <c r="UE1378" s="120"/>
      <c r="UF1378" s="120"/>
      <c r="UG1378" s="120"/>
      <c r="UH1378" s="120"/>
      <c r="UI1378" s="120"/>
      <c r="UJ1378" s="120"/>
      <c r="UK1378" s="120"/>
      <c r="UL1378" s="120"/>
      <c r="UM1378" s="120"/>
      <c r="UN1378" s="120"/>
      <c r="UO1378" s="120"/>
      <c r="UP1378" s="120"/>
      <c r="UQ1378" s="120"/>
      <c r="UR1378" s="120"/>
      <c r="US1378" s="120"/>
      <c r="UT1378" s="120"/>
      <c r="UU1378" s="120"/>
      <c r="UV1378" s="120"/>
      <c r="UW1378" s="120"/>
      <c r="UX1378" s="120"/>
      <c r="UY1378" s="120"/>
      <c r="UZ1378" s="120"/>
      <c r="VA1378" s="120"/>
      <c r="VB1378" s="120"/>
      <c r="VC1378" s="120"/>
      <c r="VD1378" s="120"/>
      <c r="VE1378" s="120"/>
      <c r="VF1378" s="120"/>
      <c r="VG1378" s="120"/>
      <c r="VH1378" s="120"/>
      <c r="VI1378" s="120"/>
      <c r="VJ1378" s="120"/>
      <c r="VK1378" s="120"/>
      <c r="VL1378" s="120"/>
      <c r="VM1378" s="120"/>
      <c r="VN1378" s="120"/>
      <c r="VO1378" s="120"/>
      <c r="VP1378" s="120"/>
      <c r="VQ1378" s="120"/>
      <c r="VR1378" s="120"/>
      <c r="VS1378" s="120"/>
      <c r="VT1378" s="120"/>
      <c r="VU1378" s="120"/>
      <c r="VV1378" s="120"/>
      <c r="VW1378" s="120"/>
      <c r="VX1378" s="120"/>
      <c r="VY1378" s="120"/>
      <c r="VZ1378" s="120"/>
      <c r="WA1378" s="120"/>
      <c r="WB1378" s="120"/>
      <c r="WC1378" s="120"/>
      <c r="WD1378" s="120"/>
      <c r="WE1378" s="120"/>
      <c r="WF1378" s="120"/>
      <c r="WG1378" s="120"/>
      <c r="WH1378" s="120"/>
      <c r="WI1378" s="120"/>
      <c r="WJ1378" s="120"/>
      <c r="WK1378" s="120"/>
      <c r="WL1378" s="120"/>
      <c r="WM1378" s="120"/>
      <c r="WN1378" s="120"/>
      <c r="WO1378" s="120"/>
      <c r="WP1378" s="120"/>
      <c r="WQ1378" s="120"/>
      <c r="WR1378" s="120"/>
      <c r="WS1378" s="120"/>
      <c r="WT1378" s="120"/>
      <c r="WU1378" s="120"/>
      <c r="WV1378" s="120"/>
      <c r="WW1378" s="120"/>
      <c r="WX1378" s="120"/>
      <c r="WY1378" s="120"/>
      <c r="WZ1378" s="120"/>
      <c r="XA1378" s="120"/>
      <c r="XB1378" s="120"/>
      <c r="XC1378" s="120"/>
      <c r="XD1378" s="120"/>
      <c r="XE1378" s="120"/>
      <c r="XF1378" s="120"/>
      <c r="XG1378" s="120"/>
      <c r="XH1378" s="120"/>
      <c r="XI1378" s="120"/>
      <c r="XJ1378" s="120"/>
      <c r="XK1378" s="120"/>
      <c r="XL1378" s="120"/>
      <c r="XM1378" s="120"/>
      <c r="XN1378" s="120"/>
      <c r="XO1378" s="120"/>
      <c r="XP1378" s="120"/>
      <c r="XQ1378" s="120"/>
      <c r="XR1378" s="120"/>
      <c r="XS1378" s="120"/>
      <c r="XT1378" s="120"/>
      <c r="XU1378" s="120"/>
      <c r="XV1378" s="120"/>
      <c r="XW1378" s="120"/>
      <c r="XX1378" s="120"/>
      <c r="XY1378" s="120"/>
      <c r="XZ1378" s="120"/>
      <c r="YA1378" s="120"/>
      <c r="YB1378" s="120"/>
      <c r="YC1378" s="120"/>
      <c r="YD1378" s="120"/>
      <c r="YE1378" s="120"/>
      <c r="YF1378" s="120"/>
      <c r="YG1378" s="120"/>
      <c r="YH1378" s="120"/>
      <c r="YI1378" s="120"/>
      <c r="YJ1378" s="120"/>
      <c r="YK1378" s="120"/>
      <c r="YL1378" s="120"/>
      <c r="YM1378" s="120"/>
      <c r="YN1378" s="120"/>
      <c r="YO1378" s="120"/>
      <c r="YP1378" s="120"/>
      <c r="YQ1378" s="120"/>
      <c r="YR1378" s="120"/>
      <c r="YS1378" s="120"/>
      <c r="YT1378" s="120"/>
      <c r="YU1378" s="120"/>
      <c r="YV1378" s="120"/>
      <c r="YW1378" s="120"/>
      <c r="YX1378" s="120"/>
      <c r="YY1378" s="120"/>
      <c r="YZ1378" s="120"/>
      <c r="ZA1378" s="120"/>
      <c r="ZB1378" s="120"/>
      <c r="ZC1378" s="120"/>
      <c r="ZD1378" s="120"/>
      <c r="ZE1378" s="120"/>
      <c r="ZF1378" s="120"/>
      <c r="ZG1378" s="120"/>
      <c r="ZH1378" s="120"/>
      <c r="ZI1378" s="120"/>
      <c r="ZJ1378" s="120"/>
      <c r="ZK1378" s="120"/>
      <c r="ZL1378" s="120"/>
      <c r="ZM1378" s="120"/>
      <c r="ZN1378" s="120"/>
      <c r="ZO1378" s="120"/>
      <c r="ZP1378" s="120"/>
      <c r="ZQ1378" s="120"/>
      <c r="ZR1378" s="120"/>
      <c r="ZS1378" s="120"/>
      <c r="ZT1378" s="120"/>
      <c r="ZU1378" s="120"/>
      <c r="ZV1378" s="120"/>
      <c r="ZW1378" s="120"/>
      <c r="ZX1378" s="120"/>
      <c r="ZY1378" s="120"/>
      <c r="ZZ1378" s="120"/>
      <c r="AAA1378" s="120"/>
      <c r="AAB1378" s="120"/>
      <c r="AAC1378" s="120"/>
      <c r="AAD1378" s="120"/>
      <c r="AAE1378" s="120"/>
      <c r="AAF1378" s="120"/>
      <c r="AAG1378" s="120"/>
      <c r="AAH1378" s="120"/>
      <c r="AAI1378" s="120"/>
      <c r="AAJ1378" s="120"/>
      <c r="AAK1378" s="120"/>
      <c r="AAL1378" s="120"/>
      <c r="AAM1378" s="120"/>
      <c r="AAN1378" s="120"/>
      <c r="AAO1378" s="120"/>
      <c r="AAP1378" s="120"/>
      <c r="AAQ1378" s="120"/>
      <c r="AAR1378" s="120"/>
      <c r="AAS1378" s="120"/>
      <c r="AAT1378" s="120"/>
      <c r="AAU1378" s="120"/>
      <c r="AAV1378" s="120"/>
      <c r="AAW1378" s="120"/>
      <c r="AAX1378" s="120"/>
      <c r="AAY1378" s="120"/>
      <c r="AAZ1378" s="120"/>
      <c r="ABA1378" s="120"/>
      <c r="ABB1378" s="120"/>
      <c r="ABC1378" s="120"/>
      <c r="ABD1378" s="120"/>
      <c r="ABE1378" s="120"/>
      <c r="ABF1378" s="120"/>
      <c r="ABG1378" s="120"/>
      <c r="ABH1378" s="120"/>
      <c r="ABI1378" s="120"/>
      <c r="ABJ1378" s="120"/>
      <c r="ABK1378" s="120"/>
      <c r="ABL1378" s="120"/>
      <c r="ABM1378" s="120"/>
      <c r="ABN1378" s="120"/>
      <c r="ABO1378" s="120"/>
      <c r="ABP1378" s="120"/>
      <c r="ABQ1378" s="120"/>
      <c r="ABR1378" s="120"/>
      <c r="ABS1378" s="120"/>
      <c r="ABT1378" s="120"/>
      <c r="ABU1378" s="120"/>
      <c r="ABV1378" s="120"/>
      <c r="ABW1378" s="120"/>
      <c r="ABX1378" s="120"/>
      <c r="ABY1378" s="120"/>
      <c r="ABZ1378" s="120"/>
      <c r="ACA1378" s="120"/>
      <c r="ACB1378" s="120"/>
      <c r="ACC1378" s="120"/>
      <c r="ACD1378" s="120"/>
      <c r="ACE1378" s="120"/>
      <c r="ACF1378" s="120"/>
      <c r="ACG1378" s="120"/>
      <c r="ACH1378" s="120"/>
      <c r="ACI1378" s="120"/>
      <c r="ACJ1378" s="120"/>
      <c r="ACK1378" s="120"/>
      <c r="ACL1378" s="120"/>
      <c r="ACM1378" s="120"/>
      <c r="ACN1378" s="120"/>
      <c r="ACO1378" s="120"/>
      <c r="ACP1378" s="120"/>
      <c r="ACQ1378" s="120"/>
      <c r="ACR1378" s="120"/>
      <c r="ACS1378" s="120"/>
      <c r="ACT1378" s="120"/>
      <c r="ACU1378" s="120"/>
      <c r="ACV1378" s="120"/>
      <c r="ACW1378" s="120"/>
      <c r="ACX1378" s="120"/>
      <c r="ACY1378" s="120"/>
      <c r="ACZ1378" s="120"/>
      <c r="ADA1378" s="120"/>
      <c r="ADB1378" s="120"/>
      <c r="ADC1378" s="120"/>
      <c r="ADD1378" s="120"/>
      <c r="ADE1378" s="120"/>
      <c r="ADF1378" s="120"/>
      <c r="ADG1378" s="120"/>
      <c r="ADH1378" s="120"/>
      <c r="ADI1378" s="120"/>
      <c r="ADJ1378" s="120"/>
      <c r="ADK1378" s="120"/>
      <c r="ADL1378" s="120"/>
      <c r="ADM1378" s="120"/>
      <c r="ADN1378" s="120"/>
      <c r="ADO1378" s="120"/>
      <c r="ADP1378" s="120"/>
      <c r="ADQ1378" s="120"/>
      <c r="ADR1378" s="120"/>
      <c r="ADS1378" s="120"/>
      <c r="ADT1378" s="120"/>
      <c r="ADU1378" s="120"/>
      <c r="ADV1378" s="120"/>
      <c r="ADW1378" s="120"/>
      <c r="ADX1378" s="120"/>
      <c r="ADY1378" s="120"/>
      <c r="ADZ1378" s="120"/>
      <c r="AEA1378" s="120"/>
      <c r="AEB1378" s="120"/>
      <c r="AEC1378" s="120"/>
      <c r="AED1378" s="120"/>
      <c r="AEE1378" s="120"/>
      <c r="AEF1378" s="120"/>
      <c r="AEG1378" s="120"/>
      <c r="AEH1378" s="120"/>
      <c r="AEI1378" s="120"/>
      <c r="AEJ1378" s="120"/>
      <c r="AEK1378" s="120"/>
      <c r="AEL1378" s="120"/>
      <c r="AEM1378" s="120"/>
      <c r="AEN1378" s="120"/>
      <c r="AEO1378" s="120"/>
      <c r="AEP1378" s="120"/>
      <c r="AEQ1378" s="120"/>
      <c r="AER1378" s="120"/>
      <c r="AES1378" s="120"/>
      <c r="AET1378" s="120"/>
      <c r="AEU1378" s="120"/>
      <c r="AEV1378" s="120"/>
      <c r="AEW1378" s="120"/>
      <c r="AEX1378" s="120"/>
      <c r="AEY1378" s="120"/>
      <c r="AEZ1378" s="120"/>
      <c r="AFA1378" s="120"/>
      <c r="AFB1378" s="120"/>
      <c r="AFC1378" s="120"/>
      <c r="AFD1378" s="120"/>
      <c r="AFE1378" s="120"/>
      <c r="AFF1378" s="120"/>
      <c r="AFG1378" s="120"/>
      <c r="AFH1378" s="120"/>
      <c r="AFI1378" s="120"/>
      <c r="AFJ1378" s="120"/>
      <c r="AFK1378" s="120"/>
      <c r="AFL1378" s="120"/>
      <c r="AFM1378" s="120"/>
      <c r="AFN1378" s="120"/>
      <c r="AFO1378" s="120"/>
      <c r="AFP1378" s="120"/>
      <c r="AFQ1378" s="120"/>
      <c r="AFR1378" s="120"/>
      <c r="AFS1378" s="120"/>
      <c r="AFT1378" s="120"/>
      <c r="AFU1378" s="120"/>
      <c r="AFV1378" s="120"/>
      <c r="AFW1378" s="120"/>
      <c r="AFX1378" s="120"/>
      <c r="AFY1378" s="120"/>
      <c r="AFZ1378" s="120"/>
      <c r="AGA1378" s="120"/>
      <c r="AGB1378" s="120"/>
      <c r="AGC1378" s="120"/>
      <c r="AGD1378" s="120"/>
      <c r="AGE1378" s="120"/>
      <c r="AGF1378" s="120"/>
      <c r="AGG1378" s="120"/>
      <c r="AGH1378" s="120"/>
      <c r="AGI1378" s="120"/>
      <c r="AGJ1378" s="120"/>
      <c r="AGK1378" s="120"/>
      <c r="AGL1378" s="120"/>
      <c r="AGM1378" s="120"/>
      <c r="AGN1378" s="120"/>
      <c r="AGO1378" s="120"/>
      <c r="AGP1378" s="120"/>
      <c r="AGQ1378" s="120"/>
      <c r="AGR1378" s="120"/>
      <c r="AGS1378" s="120"/>
      <c r="AGT1378" s="120"/>
      <c r="AGU1378" s="120"/>
      <c r="AGV1378" s="120"/>
      <c r="AGW1378" s="120"/>
      <c r="AGX1378" s="120"/>
      <c r="AGY1378" s="120"/>
      <c r="AGZ1378" s="120"/>
      <c r="AHA1378" s="120"/>
      <c r="AHB1378" s="120"/>
      <c r="AHC1378" s="120"/>
      <c r="AHD1378" s="120"/>
      <c r="AHE1378" s="120"/>
      <c r="AHF1378" s="120"/>
      <c r="AHG1378" s="120"/>
      <c r="AHH1378" s="120"/>
      <c r="AHI1378" s="120"/>
      <c r="AHJ1378" s="120"/>
      <c r="AHK1378" s="120"/>
      <c r="AHL1378" s="120"/>
      <c r="AHM1378" s="120"/>
      <c r="AHN1378" s="120"/>
      <c r="AHO1378" s="120"/>
      <c r="AHP1378" s="120"/>
      <c r="AHQ1378" s="120"/>
      <c r="AHR1378" s="120"/>
      <c r="AHS1378" s="120"/>
      <c r="AHT1378" s="120"/>
      <c r="AHU1378" s="120"/>
      <c r="AHV1378" s="120"/>
      <c r="AHW1378" s="120"/>
      <c r="AHX1378" s="120"/>
      <c r="AHY1378" s="120"/>
      <c r="AHZ1378" s="120"/>
      <c r="AIA1378" s="120"/>
      <c r="AIB1378" s="120"/>
      <c r="AIC1378" s="120"/>
      <c r="AID1378" s="120"/>
      <c r="AIE1378" s="120"/>
      <c r="AIF1378" s="120"/>
      <c r="AIG1378" s="120"/>
      <c r="AIH1378" s="120"/>
      <c r="AII1378" s="120"/>
      <c r="AIJ1378" s="120"/>
      <c r="AIK1378" s="120"/>
      <c r="AIL1378" s="120"/>
      <c r="AIM1378" s="120"/>
      <c r="AIN1378" s="120"/>
      <c r="AIO1378" s="120"/>
      <c r="AIP1378" s="120"/>
      <c r="AIQ1378" s="120"/>
      <c r="AIR1378" s="120"/>
      <c r="AIS1378" s="120"/>
      <c r="AIT1378" s="120"/>
      <c r="AIU1378" s="120"/>
      <c r="AIV1378" s="120"/>
      <c r="AIW1378" s="120"/>
      <c r="AIX1378" s="120"/>
      <c r="AIY1378" s="120"/>
      <c r="AIZ1378" s="120"/>
      <c r="AJA1378" s="120"/>
      <c r="AJB1378" s="120"/>
      <c r="AJC1378" s="120"/>
      <c r="AJD1378" s="120"/>
      <c r="AJE1378" s="120"/>
      <c r="AJF1378" s="120"/>
      <c r="AJG1378" s="120"/>
      <c r="AJH1378" s="120"/>
      <c r="AJI1378" s="120"/>
      <c r="AJJ1378" s="120"/>
      <c r="AJK1378" s="120"/>
      <c r="AJL1378" s="120"/>
      <c r="AJM1378" s="120"/>
      <c r="AJN1378" s="120"/>
      <c r="AJO1378" s="120"/>
      <c r="AJP1378" s="120"/>
      <c r="AJQ1378" s="120"/>
      <c r="AJR1378" s="120"/>
      <c r="AJS1378" s="120"/>
      <c r="AJT1378" s="120"/>
      <c r="AJU1378" s="120"/>
      <c r="AJV1378" s="120"/>
      <c r="AJW1378" s="120"/>
      <c r="AJX1378" s="120"/>
      <c r="AJY1378" s="120"/>
      <c r="AJZ1378" s="120"/>
      <c r="AKA1378" s="120"/>
      <c r="AKB1378" s="120"/>
      <c r="AKC1378" s="120"/>
      <c r="AKD1378" s="120"/>
      <c r="AKE1378" s="120"/>
      <c r="AKF1378" s="120"/>
      <c r="AKG1378" s="120"/>
      <c r="AKH1378" s="120"/>
      <c r="AKI1378" s="120"/>
      <c r="AKJ1378" s="120"/>
      <c r="AKK1378" s="120"/>
      <c r="AKL1378" s="120"/>
      <c r="AKM1378" s="120"/>
      <c r="AKN1378" s="120"/>
      <c r="AKO1378" s="120"/>
      <c r="AKP1378" s="120"/>
      <c r="AKQ1378" s="120"/>
      <c r="AKR1378" s="120"/>
      <c r="AKS1378" s="120"/>
      <c r="AKT1378" s="120"/>
      <c r="AKU1378" s="120"/>
      <c r="AKV1378" s="120"/>
      <c r="AKW1378" s="120"/>
      <c r="AKX1378" s="120"/>
      <c r="AKY1378" s="120"/>
      <c r="AKZ1378" s="120"/>
      <c r="ALA1378" s="120"/>
      <c r="ALB1378" s="120"/>
      <c r="ALC1378" s="120"/>
      <c r="ALD1378" s="120"/>
      <c r="ALE1378" s="120"/>
      <c r="ALF1378" s="120"/>
      <c r="ALG1378" s="120"/>
      <c r="ALH1378" s="120"/>
      <c r="ALI1378" s="120"/>
      <c r="ALJ1378" s="120"/>
      <c r="ALK1378" s="120"/>
      <c r="ALL1378" s="120"/>
      <c r="ALM1378" s="120"/>
      <c r="ALN1378" s="120"/>
      <c r="ALO1378" s="120"/>
      <c r="ALP1378" s="120"/>
      <c r="ALQ1378" s="120"/>
      <c r="ALR1378" s="120"/>
      <c r="ALS1378" s="120"/>
      <c r="ALT1378" s="120"/>
      <c r="ALU1378" s="120"/>
      <c r="ALV1378" s="120"/>
      <c r="ALW1378" s="120"/>
      <c r="ALX1378" s="120"/>
      <c r="ALY1378" s="120"/>
      <c r="ALZ1378" s="120"/>
      <c r="AMA1378" s="120"/>
      <c r="AMB1378" s="120"/>
      <c r="AMC1378" s="120"/>
      <c r="AMD1378" s="120"/>
      <c r="AME1378" s="120"/>
      <c r="AMF1378" s="120"/>
      <c r="AMG1378" s="120"/>
      <c r="AMH1378" s="120"/>
      <c r="AMI1378" s="120"/>
      <c r="AMJ1378" s="120"/>
      <c r="AMK1378" s="120"/>
      <c r="AML1378" s="120"/>
      <c r="AMM1378" s="120"/>
      <c r="AMN1378" s="120"/>
      <c r="AMO1378" s="120"/>
      <c r="AMP1378" s="120"/>
      <c r="AMQ1378" s="120"/>
      <c r="AMR1378" s="120"/>
      <c r="AMS1378" s="120"/>
      <c r="AMT1378" s="120"/>
      <c r="AMU1378" s="120"/>
      <c r="AMV1378" s="120"/>
      <c r="AMW1378" s="120"/>
      <c r="AMX1378" s="120"/>
      <c r="AMY1378" s="120"/>
      <c r="AMZ1378" s="120"/>
      <c r="ANA1378" s="120"/>
      <c r="ANB1378" s="120"/>
      <c r="ANC1378" s="120"/>
      <c r="AND1378" s="120"/>
      <c r="ANE1378" s="120"/>
      <c r="ANF1378" s="120"/>
      <c r="ANG1378" s="120"/>
      <c r="ANH1378" s="120"/>
      <c r="ANI1378" s="120"/>
      <c r="ANJ1378" s="120"/>
      <c r="ANK1378" s="120"/>
      <c r="ANL1378" s="120"/>
      <c r="ANM1378" s="120"/>
      <c r="ANN1378" s="120"/>
      <c r="ANO1378" s="120"/>
      <c r="ANP1378" s="120"/>
      <c r="ANQ1378" s="120"/>
      <c r="ANR1378" s="120"/>
      <c r="ANS1378" s="120"/>
      <c r="ANT1378" s="120"/>
      <c r="ANU1378" s="120"/>
      <c r="ANV1378" s="120"/>
      <c r="ANW1378" s="120"/>
      <c r="ANX1378" s="120"/>
      <c r="ANY1378" s="120"/>
      <c r="ANZ1378" s="120"/>
      <c r="AOA1378" s="120"/>
      <c r="AOB1378" s="120"/>
      <c r="AOC1378" s="120"/>
      <c r="AOD1378" s="120"/>
      <c r="AOE1378" s="120"/>
      <c r="AOF1378" s="120"/>
      <c r="AOG1378" s="120"/>
      <c r="AOH1378" s="120"/>
      <c r="AOI1378" s="120"/>
      <c r="AOJ1378" s="120"/>
      <c r="AOK1378" s="120"/>
      <c r="AOL1378" s="120"/>
      <c r="AOM1378" s="120"/>
      <c r="AON1378" s="120"/>
      <c r="AOO1378" s="120"/>
      <c r="AOP1378" s="120"/>
      <c r="AOQ1378" s="120"/>
      <c r="AOR1378" s="120"/>
      <c r="AOS1378" s="120"/>
      <c r="AOT1378" s="120"/>
      <c r="AOU1378" s="120"/>
      <c r="AOV1378" s="120"/>
      <c r="AOW1378" s="120"/>
      <c r="AOX1378" s="120"/>
      <c r="AOY1378" s="120"/>
      <c r="AOZ1378" s="120"/>
      <c r="APA1378" s="120"/>
      <c r="APB1378" s="120"/>
      <c r="APC1378" s="120"/>
      <c r="APD1378" s="120"/>
      <c r="APE1378" s="120"/>
      <c r="APF1378" s="120"/>
      <c r="APG1378" s="120"/>
      <c r="APH1378" s="120"/>
      <c r="API1378" s="120"/>
      <c r="APJ1378" s="120"/>
      <c r="APK1378" s="120"/>
      <c r="APL1378" s="120"/>
      <c r="APM1378" s="120"/>
      <c r="APN1378" s="120"/>
      <c r="APO1378" s="120"/>
      <c r="APP1378" s="120"/>
      <c r="APQ1378" s="120"/>
      <c r="APR1378" s="120"/>
      <c r="APS1378" s="120"/>
      <c r="APT1378" s="120"/>
      <c r="APU1378" s="120"/>
      <c r="APV1378" s="120"/>
      <c r="APW1378" s="120"/>
      <c r="APX1378" s="120"/>
      <c r="APY1378" s="120"/>
      <c r="APZ1378" s="120"/>
      <c r="AQA1378" s="120"/>
      <c r="AQB1378" s="120"/>
      <c r="AQC1378" s="120"/>
      <c r="AQD1378" s="120"/>
      <c r="AQE1378" s="120"/>
      <c r="AQF1378" s="120"/>
      <c r="AQG1378" s="120"/>
      <c r="AQH1378" s="120"/>
      <c r="AQI1378" s="120"/>
      <c r="AQJ1378" s="120"/>
      <c r="AQK1378" s="120"/>
      <c r="AQL1378" s="120"/>
      <c r="AQM1378" s="120"/>
      <c r="AQN1378" s="120"/>
      <c r="AQO1378" s="120"/>
      <c r="AQP1378" s="120"/>
      <c r="AQQ1378" s="120"/>
      <c r="AQR1378" s="120"/>
      <c r="AQS1378" s="120"/>
      <c r="AQT1378" s="120"/>
      <c r="AQU1378" s="120"/>
      <c r="AQV1378" s="120"/>
      <c r="AQW1378" s="120"/>
      <c r="AQX1378" s="120"/>
      <c r="AQY1378" s="120"/>
      <c r="AQZ1378" s="120"/>
      <c r="ARA1378" s="120"/>
      <c r="ARB1378" s="120"/>
      <c r="ARC1378" s="120"/>
      <c r="ARD1378" s="120"/>
      <c r="ARE1378" s="120"/>
      <c r="ARF1378" s="120"/>
      <c r="ARG1378" s="120"/>
      <c r="ARH1378" s="120"/>
      <c r="ARI1378" s="120"/>
      <c r="ARJ1378" s="120"/>
      <c r="ARK1378" s="120"/>
      <c r="ARL1378" s="120"/>
      <c r="ARM1378" s="120"/>
      <c r="ARN1378" s="120"/>
      <c r="ARO1378" s="120"/>
      <c r="ARP1378" s="120"/>
      <c r="ARQ1378" s="120"/>
      <c r="ARR1378" s="120"/>
      <c r="ARS1378" s="120"/>
      <c r="ART1378" s="120"/>
      <c r="ARU1378" s="120"/>
      <c r="ARV1378" s="120"/>
      <c r="ARW1378" s="120"/>
      <c r="ARX1378" s="120"/>
      <c r="ARY1378" s="120"/>
      <c r="ARZ1378" s="120"/>
      <c r="ASA1378" s="120"/>
      <c r="ASB1378" s="120"/>
      <c r="ASC1378" s="120"/>
      <c r="ASD1378" s="120"/>
      <c r="ASE1378" s="120"/>
      <c r="ASF1378" s="120"/>
      <c r="ASG1378" s="120"/>
      <c r="ASH1378" s="120"/>
      <c r="ASI1378" s="120"/>
      <c r="ASJ1378" s="120"/>
      <c r="ASK1378" s="120"/>
      <c r="ASL1378" s="120"/>
      <c r="ASM1378" s="120"/>
      <c r="ASN1378" s="120"/>
      <c r="ASO1378" s="120"/>
      <c r="ASP1378" s="120"/>
      <c r="ASQ1378" s="120"/>
      <c r="ASR1378" s="120"/>
      <c r="ASS1378" s="120"/>
      <c r="AST1378" s="120"/>
      <c r="ASU1378" s="120"/>
      <c r="ASV1378" s="120"/>
      <c r="ASW1378" s="120"/>
      <c r="ASX1378" s="120"/>
      <c r="ASY1378" s="120"/>
      <c r="ASZ1378" s="120"/>
      <c r="ATA1378" s="120"/>
      <c r="ATB1378" s="120"/>
      <c r="ATC1378" s="120"/>
      <c r="ATD1378" s="120"/>
      <c r="ATE1378" s="120"/>
      <c r="ATF1378" s="120"/>
      <c r="ATG1378" s="120"/>
      <c r="ATH1378" s="120"/>
      <c r="ATI1378" s="120"/>
      <c r="ATJ1378" s="120"/>
      <c r="ATK1378" s="120"/>
      <c r="ATL1378" s="120"/>
      <c r="ATM1378" s="120"/>
      <c r="ATN1378" s="120"/>
      <c r="ATO1378" s="120"/>
    </row>
    <row r="1379" spans="1:1211" s="20" customFormat="1" ht="14.1" customHeight="1">
      <c r="A1379" s="112"/>
      <c r="B1379" s="945" t="s">
        <v>3779</v>
      </c>
      <c r="C1379" s="184" t="s">
        <v>6142</v>
      </c>
      <c r="D1379" s="120"/>
      <c r="E1379" s="701"/>
      <c r="F1379" s="703"/>
      <c r="G1379" s="702"/>
      <c r="H1379" s="702"/>
      <c r="I1379" s="702"/>
      <c r="J1379" s="700"/>
      <c r="K1379" s="112"/>
      <c r="L1379" s="363"/>
      <c r="M1379" s="112"/>
      <c r="N1379" s="362"/>
      <c r="O1379" s="573"/>
      <c r="P1379" s="120"/>
      <c r="Q1379" s="120"/>
      <c r="R1379" s="120"/>
      <c r="S1379" s="120"/>
      <c r="T1379" s="120"/>
      <c r="U1379" s="120"/>
      <c r="V1379" s="120"/>
      <c r="W1379" s="120"/>
      <c r="X1379" s="120"/>
      <c r="Y1379" s="120"/>
      <c r="Z1379" s="120"/>
      <c r="AA1379" s="120"/>
      <c r="AB1379" s="120"/>
      <c r="AC1379" s="120"/>
      <c r="AD1379" s="120"/>
      <c r="AE1379" s="120"/>
      <c r="AF1379" s="120"/>
      <c r="AG1379" s="120"/>
      <c r="AH1379" s="120"/>
      <c r="AI1379" s="120"/>
      <c r="AJ1379" s="120"/>
      <c r="AK1379" s="120"/>
      <c r="AL1379" s="120"/>
      <c r="AM1379" s="120"/>
      <c r="AN1379" s="120"/>
      <c r="AO1379" s="120"/>
      <c r="AP1379" s="120"/>
      <c r="AQ1379" s="120"/>
      <c r="AR1379" s="120"/>
      <c r="AS1379" s="120"/>
      <c r="AT1379" s="120"/>
      <c r="AU1379" s="120"/>
      <c r="AV1379" s="120"/>
      <c r="AW1379" s="120"/>
      <c r="AX1379" s="120"/>
      <c r="AY1379" s="120"/>
      <c r="AZ1379" s="120"/>
      <c r="BA1379" s="120"/>
      <c r="BB1379" s="120"/>
      <c r="BC1379" s="120"/>
      <c r="BD1379" s="120"/>
      <c r="BE1379" s="120"/>
      <c r="BF1379" s="120"/>
      <c r="BG1379" s="120"/>
      <c r="BH1379" s="120"/>
      <c r="BI1379" s="120"/>
      <c r="BJ1379" s="120"/>
      <c r="BK1379" s="120"/>
      <c r="BL1379" s="120"/>
      <c r="BM1379" s="120"/>
      <c r="BN1379" s="120"/>
      <c r="BO1379" s="120"/>
      <c r="BP1379" s="120"/>
      <c r="BQ1379" s="120"/>
      <c r="BR1379" s="120"/>
      <c r="BS1379" s="120"/>
      <c r="BT1379" s="120"/>
      <c r="BU1379" s="120"/>
      <c r="BV1379" s="120"/>
      <c r="BW1379" s="120"/>
      <c r="BX1379" s="120"/>
      <c r="BY1379" s="120"/>
      <c r="BZ1379" s="120"/>
      <c r="CA1379" s="120"/>
      <c r="CB1379" s="120"/>
      <c r="CC1379" s="120"/>
      <c r="CD1379" s="120"/>
      <c r="CE1379" s="120"/>
      <c r="CF1379" s="120"/>
      <c r="CG1379" s="120"/>
      <c r="CH1379" s="120"/>
      <c r="CI1379" s="120"/>
      <c r="CJ1379" s="120"/>
      <c r="CK1379" s="120"/>
      <c r="CL1379" s="120"/>
      <c r="CM1379" s="120"/>
      <c r="CN1379" s="120"/>
      <c r="CO1379" s="120"/>
      <c r="CP1379" s="120"/>
      <c r="CQ1379" s="120"/>
      <c r="CR1379" s="120"/>
      <c r="CS1379" s="120"/>
      <c r="CT1379" s="120"/>
      <c r="CU1379" s="120"/>
      <c r="CV1379" s="120"/>
      <c r="CW1379" s="120"/>
      <c r="CX1379" s="120"/>
      <c r="CY1379" s="120"/>
      <c r="CZ1379" s="120"/>
      <c r="DA1379" s="120"/>
      <c r="DB1379" s="120"/>
      <c r="DC1379" s="120"/>
      <c r="DD1379" s="120"/>
      <c r="DE1379" s="120"/>
      <c r="DF1379" s="120"/>
      <c r="DG1379" s="120"/>
      <c r="DH1379" s="120"/>
      <c r="DI1379" s="120"/>
      <c r="DJ1379" s="120"/>
      <c r="DK1379" s="120"/>
      <c r="DL1379" s="120"/>
      <c r="DM1379" s="120"/>
      <c r="DN1379" s="120"/>
      <c r="DO1379" s="120"/>
      <c r="DP1379" s="120"/>
      <c r="DQ1379" s="120"/>
      <c r="DR1379" s="120"/>
      <c r="DS1379" s="120"/>
      <c r="DT1379" s="120"/>
      <c r="DU1379" s="120"/>
      <c r="DV1379" s="120"/>
      <c r="DW1379" s="120"/>
      <c r="DX1379" s="120"/>
      <c r="DY1379" s="120"/>
      <c r="DZ1379" s="120"/>
      <c r="EA1379" s="120"/>
      <c r="EB1379" s="120"/>
      <c r="EC1379" s="120"/>
      <c r="ED1379" s="120"/>
      <c r="EE1379" s="120"/>
      <c r="EF1379" s="120"/>
      <c r="EG1379" s="120"/>
      <c r="EH1379" s="120"/>
      <c r="EI1379" s="120"/>
      <c r="EJ1379" s="120"/>
      <c r="EK1379" s="120"/>
      <c r="EL1379" s="120"/>
      <c r="EM1379" s="120"/>
      <c r="EN1379" s="120"/>
      <c r="EO1379" s="120"/>
      <c r="EP1379" s="120"/>
      <c r="EQ1379" s="120"/>
      <c r="ER1379" s="120"/>
      <c r="ES1379" s="120"/>
      <c r="ET1379" s="120"/>
      <c r="EU1379" s="120"/>
      <c r="EV1379" s="120"/>
      <c r="EW1379" s="120"/>
      <c r="EX1379" s="120"/>
      <c r="EY1379" s="120"/>
      <c r="EZ1379" s="120"/>
      <c r="FA1379" s="120"/>
      <c r="FB1379" s="120"/>
      <c r="FC1379" s="120"/>
      <c r="FD1379" s="120"/>
      <c r="FE1379" s="120"/>
      <c r="FF1379" s="120"/>
      <c r="FG1379" s="120"/>
      <c r="FH1379" s="120"/>
      <c r="FI1379" s="120"/>
      <c r="FJ1379" s="120"/>
      <c r="FK1379" s="120"/>
      <c r="FL1379" s="120"/>
      <c r="FM1379" s="120"/>
      <c r="FN1379" s="120"/>
      <c r="FO1379" s="120"/>
      <c r="FP1379" s="120"/>
      <c r="FQ1379" s="120"/>
      <c r="FR1379" s="120"/>
      <c r="FS1379" s="120"/>
      <c r="FT1379" s="120"/>
      <c r="FU1379" s="120"/>
      <c r="FV1379" s="120"/>
      <c r="FW1379" s="120"/>
      <c r="FX1379" s="120"/>
      <c r="FY1379" s="120"/>
      <c r="FZ1379" s="120"/>
      <c r="GA1379" s="120"/>
      <c r="GB1379" s="120"/>
      <c r="GC1379" s="120"/>
      <c r="GD1379" s="120"/>
      <c r="GE1379" s="120"/>
      <c r="GF1379" s="120"/>
      <c r="GG1379" s="120"/>
      <c r="GH1379" s="120"/>
      <c r="GI1379" s="120"/>
      <c r="GJ1379" s="120"/>
      <c r="GK1379" s="120"/>
      <c r="GL1379" s="120"/>
      <c r="GM1379" s="120"/>
      <c r="GN1379" s="120"/>
      <c r="GO1379" s="120"/>
      <c r="GP1379" s="120"/>
      <c r="GQ1379" s="120"/>
      <c r="GR1379" s="120"/>
      <c r="GS1379" s="120"/>
      <c r="GT1379" s="120"/>
      <c r="GU1379" s="120"/>
      <c r="GV1379" s="120"/>
      <c r="GW1379" s="120"/>
      <c r="GX1379" s="120"/>
      <c r="GY1379" s="120"/>
      <c r="GZ1379" s="120"/>
      <c r="HA1379" s="120"/>
      <c r="HB1379" s="120"/>
      <c r="HC1379" s="120"/>
      <c r="HD1379" s="120"/>
      <c r="HE1379" s="120"/>
      <c r="HF1379" s="120"/>
      <c r="HG1379" s="120"/>
      <c r="HH1379" s="120"/>
      <c r="HI1379" s="120"/>
      <c r="HJ1379" s="120"/>
      <c r="HK1379" s="120"/>
      <c r="HL1379" s="120"/>
      <c r="HM1379" s="120"/>
      <c r="HN1379" s="120"/>
      <c r="HO1379" s="120"/>
      <c r="HP1379" s="120"/>
      <c r="HQ1379" s="120"/>
      <c r="HR1379" s="120"/>
      <c r="HS1379" s="120"/>
      <c r="HT1379" s="120"/>
      <c r="HU1379" s="120"/>
      <c r="HV1379" s="120"/>
      <c r="HW1379" s="120"/>
      <c r="HX1379" s="120"/>
      <c r="HY1379" s="120"/>
      <c r="HZ1379" s="120"/>
      <c r="IA1379" s="120"/>
      <c r="IB1379" s="120"/>
      <c r="IC1379" s="120"/>
      <c r="ID1379" s="120"/>
      <c r="IE1379" s="120"/>
      <c r="IF1379" s="120"/>
      <c r="IG1379" s="120"/>
      <c r="IH1379" s="120"/>
      <c r="II1379" s="120"/>
      <c r="IJ1379" s="120"/>
      <c r="IK1379" s="120"/>
      <c r="IL1379" s="120"/>
      <c r="IM1379" s="120"/>
      <c r="IN1379" s="120"/>
      <c r="IO1379" s="120"/>
      <c r="IP1379" s="120"/>
      <c r="IQ1379" s="120"/>
      <c r="IR1379" s="120"/>
      <c r="IS1379" s="120"/>
      <c r="IT1379" s="120"/>
      <c r="IU1379" s="120"/>
      <c r="IV1379" s="120"/>
      <c r="IW1379" s="120"/>
      <c r="IX1379" s="120"/>
      <c r="IY1379" s="120"/>
      <c r="IZ1379" s="120"/>
      <c r="JA1379" s="120"/>
      <c r="JB1379" s="120"/>
      <c r="JC1379" s="120"/>
      <c r="JD1379" s="120"/>
      <c r="JE1379" s="120"/>
      <c r="JF1379" s="120"/>
      <c r="JG1379" s="120"/>
      <c r="JH1379" s="120"/>
      <c r="JI1379" s="120"/>
      <c r="JJ1379" s="120"/>
      <c r="JK1379" s="120"/>
      <c r="JL1379" s="120"/>
      <c r="JM1379" s="120"/>
      <c r="JN1379" s="120"/>
      <c r="JO1379" s="120"/>
      <c r="JP1379" s="120"/>
      <c r="JQ1379" s="120"/>
      <c r="JR1379" s="120"/>
      <c r="JS1379" s="120"/>
      <c r="JT1379" s="120"/>
      <c r="JU1379" s="120"/>
      <c r="JV1379" s="120"/>
      <c r="JW1379" s="120"/>
      <c r="JX1379" s="120"/>
      <c r="JY1379" s="120"/>
      <c r="JZ1379" s="120"/>
      <c r="KA1379" s="120"/>
      <c r="KB1379" s="120"/>
      <c r="KC1379" s="120"/>
      <c r="KD1379" s="120"/>
      <c r="KE1379" s="120"/>
      <c r="KF1379" s="120"/>
      <c r="KG1379" s="120"/>
      <c r="KH1379" s="120"/>
      <c r="KI1379" s="120"/>
      <c r="KJ1379" s="120"/>
      <c r="KK1379" s="120"/>
      <c r="KL1379" s="120"/>
      <c r="KM1379" s="120"/>
      <c r="KN1379" s="120"/>
      <c r="KO1379" s="120"/>
      <c r="KP1379" s="120"/>
      <c r="KQ1379" s="120"/>
      <c r="KR1379" s="120"/>
      <c r="KS1379" s="120"/>
      <c r="KT1379" s="120"/>
      <c r="KU1379" s="120"/>
      <c r="KV1379" s="120"/>
      <c r="KW1379" s="120"/>
      <c r="KX1379" s="120"/>
      <c r="KY1379" s="120"/>
      <c r="KZ1379" s="120"/>
      <c r="LA1379" s="120"/>
      <c r="LB1379" s="120"/>
      <c r="LC1379" s="120"/>
      <c r="LD1379" s="120"/>
      <c r="LE1379" s="120"/>
      <c r="LF1379" s="120"/>
      <c r="LG1379" s="120"/>
      <c r="LH1379" s="120"/>
      <c r="LI1379" s="120"/>
      <c r="LJ1379" s="120"/>
      <c r="LK1379" s="120"/>
      <c r="LL1379" s="120"/>
      <c r="LM1379" s="120"/>
      <c r="LN1379" s="120"/>
      <c r="LO1379" s="120"/>
      <c r="LP1379" s="120"/>
      <c r="LQ1379" s="120"/>
      <c r="LR1379" s="120"/>
      <c r="LS1379" s="120"/>
      <c r="LT1379" s="120"/>
      <c r="LU1379" s="120"/>
      <c r="LV1379" s="120"/>
      <c r="LW1379" s="120"/>
      <c r="LX1379" s="120"/>
      <c r="LY1379" s="120"/>
      <c r="LZ1379" s="120"/>
      <c r="MA1379" s="120"/>
      <c r="MB1379" s="120"/>
      <c r="MC1379" s="120"/>
      <c r="MD1379" s="120"/>
      <c r="ME1379" s="120"/>
      <c r="MF1379" s="120"/>
      <c r="MG1379" s="120"/>
      <c r="MH1379" s="120"/>
      <c r="MI1379" s="120"/>
      <c r="MJ1379" s="120"/>
      <c r="MK1379" s="120"/>
      <c r="ML1379" s="120"/>
      <c r="MM1379" s="120"/>
      <c r="MN1379" s="120"/>
      <c r="MO1379" s="120"/>
      <c r="MP1379" s="120"/>
      <c r="MQ1379" s="120"/>
      <c r="MR1379" s="120"/>
      <c r="MS1379" s="120"/>
      <c r="MT1379" s="120"/>
      <c r="MU1379" s="120"/>
      <c r="MV1379" s="120"/>
      <c r="MW1379" s="120"/>
      <c r="MX1379" s="120"/>
      <c r="MY1379" s="120"/>
      <c r="MZ1379" s="120"/>
      <c r="NA1379" s="120"/>
      <c r="NB1379" s="120"/>
      <c r="NC1379" s="120"/>
      <c r="ND1379" s="120"/>
      <c r="NE1379" s="120"/>
      <c r="NF1379" s="120"/>
      <c r="NG1379" s="120"/>
      <c r="NH1379" s="120"/>
      <c r="NI1379" s="120"/>
      <c r="NJ1379" s="120"/>
      <c r="NK1379" s="120"/>
      <c r="NL1379" s="120"/>
      <c r="NM1379" s="120"/>
      <c r="NN1379" s="120"/>
      <c r="NO1379" s="120"/>
      <c r="NP1379" s="120"/>
      <c r="NQ1379" s="120"/>
      <c r="NR1379" s="120"/>
      <c r="NS1379" s="120"/>
      <c r="NT1379" s="120"/>
      <c r="NU1379" s="120"/>
      <c r="NV1379" s="120"/>
      <c r="NW1379" s="120"/>
      <c r="NX1379" s="120"/>
      <c r="NY1379" s="120"/>
      <c r="NZ1379" s="120"/>
      <c r="OA1379" s="120"/>
      <c r="OB1379" s="120"/>
      <c r="OC1379" s="120"/>
      <c r="OD1379" s="120"/>
      <c r="OE1379" s="120"/>
      <c r="OF1379" s="120"/>
      <c r="OG1379" s="120"/>
      <c r="OH1379" s="120"/>
      <c r="OI1379" s="120"/>
      <c r="OJ1379" s="120"/>
      <c r="OK1379" s="120"/>
      <c r="OL1379" s="120"/>
      <c r="OM1379" s="120"/>
      <c r="ON1379" s="120"/>
      <c r="OO1379" s="120"/>
      <c r="OP1379" s="120"/>
      <c r="OQ1379" s="120"/>
      <c r="OR1379" s="120"/>
      <c r="OS1379" s="120"/>
      <c r="OT1379" s="120"/>
      <c r="OU1379" s="120"/>
      <c r="OV1379" s="120"/>
      <c r="OW1379" s="120"/>
      <c r="OX1379" s="120"/>
      <c r="OY1379" s="120"/>
      <c r="OZ1379" s="120"/>
      <c r="PA1379" s="120"/>
      <c r="PB1379" s="120"/>
      <c r="PC1379" s="120"/>
      <c r="PD1379" s="120"/>
      <c r="PE1379" s="120"/>
      <c r="PF1379" s="120"/>
      <c r="PG1379" s="120"/>
      <c r="PH1379" s="120"/>
      <c r="PI1379" s="120"/>
      <c r="PJ1379" s="120"/>
      <c r="PK1379" s="120"/>
      <c r="PL1379" s="120"/>
      <c r="PM1379" s="120"/>
      <c r="PN1379" s="120"/>
      <c r="PO1379" s="120"/>
      <c r="PP1379" s="120"/>
      <c r="PQ1379" s="120"/>
      <c r="PR1379" s="120"/>
      <c r="PS1379" s="120"/>
      <c r="PT1379" s="120"/>
      <c r="PU1379" s="120"/>
      <c r="PV1379" s="120"/>
      <c r="PW1379" s="120"/>
      <c r="PX1379" s="120"/>
      <c r="PY1379" s="120"/>
      <c r="PZ1379" s="120"/>
      <c r="QA1379" s="120"/>
      <c r="QB1379" s="120"/>
      <c r="QC1379" s="120"/>
      <c r="QD1379" s="120"/>
      <c r="QE1379" s="120"/>
      <c r="QF1379" s="120"/>
      <c r="QG1379" s="120"/>
      <c r="QH1379" s="120"/>
      <c r="QI1379" s="120"/>
      <c r="QJ1379" s="120"/>
      <c r="QK1379" s="120"/>
      <c r="QL1379" s="120"/>
      <c r="QM1379" s="120"/>
      <c r="QN1379" s="120"/>
      <c r="QO1379" s="120"/>
      <c r="QP1379" s="120"/>
      <c r="QQ1379" s="120"/>
      <c r="QR1379" s="120"/>
      <c r="QS1379" s="120"/>
      <c r="QT1379" s="120"/>
      <c r="QU1379" s="120"/>
      <c r="QV1379" s="120"/>
      <c r="QW1379" s="120"/>
      <c r="QX1379" s="120"/>
      <c r="QY1379" s="120"/>
      <c r="QZ1379" s="120"/>
      <c r="RA1379" s="120"/>
      <c r="RB1379" s="120"/>
      <c r="RC1379" s="120"/>
      <c r="RD1379" s="120"/>
      <c r="RE1379" s="120"/>
      <c r="RF1379" s="120"/>
      <c r="RG1379" s="120"/>
      <c r="RH1379" s="120"/>
      <c r="RI1379" s="120"/>
      <c r="RJ1379" s="120"/>
      <c r="RK1379" s="120"/>
      <c r="RL1379" s="120"/>
      <c r="RM1379" s="120"/>
      <c r="RN1379" s="120"/>
      <c r="RO1379" s="120"/>
      <c r="RP1379" s="120"/>
      <c r="RQ1379" s="120"/>
      <c r="RR1379" s="120"/>
      <c r="RS1379" s="120"/>
      <c r="RT1379" s="120"/>
      <c r="RU1379" s="120"/>
      <c r="RV1379" s="120"/>
      <c r="RW1379" s="120"/>
      <c r="RX1379" s="120"/>
      <c r="RY1379" s="120"/>
      <c r="RZ1379" s="120"/>
      <c r="SA1379" s="120"/>
      <c r="SB1379" s="120"/>
      <c r="SC1379" s="120"/>
      <c r="SD1379" s="120"/>
      <c r="SE1379" s="120"/>
      <c r="SF1379" s="120"/>
      <c r="SG1379" s="120"/>
      <c r="SH1379" s="120"/>
      <c r="SI1379" s="120"/>
      <c r="SJ1379" s="120"/>
      <c r="SK1379" s="120"/>
      <c r="SL1379" s="120"/>
      <c r="SM1379" s="120"/>
      <c r="SN1379" s="120"/>
      <c r="SO1379" s="120"/>
      <c r="SP1379" s="120"/>
      <c r="SQ1379" s="120"/>
      <c r="SR1379" s="120"/>
      <c r="SS1379" s="120"/>
      <c r="ST1379" s="120"/>
      <c r="SU1379" s="120"/>
      <c r="SV1379" s="120"/>
      <c r="SW1379" s="120"/>
      <c r="SX1379" s="120"/>
      <c r="SY1379" s="120"/>
      <c r="SZ1379" s="120"/>
      <c r="TA1379" s="120"/>
      <c r="TB1379" s="120"/>
      <c r="TC1379" s="120"/>
      <c r="TD1379" s="120"/>
      <c r="TE1379" s="120"/>
      <c r="TF1379" s="120"/>
      <c r="TG1379" s="120"/>
      <c r="TH1379" s="120"/>
      <c r="TI1379" s="120"/>
      <c r="TJ1379" s="120"/>
      <c r="TK1379" s="120"/>
      <c r="TL1379" s="120"/>
      <c r="TM1379" s="120"/>
      <c r="TN1379" s="120"/>
      <c r="TO1379" s="120"/>
      <c r="TP1379" s="120"/>
      <c r="TQ1379" s="120"/>
      <c r="TR1379" s="120"/>
      <c r="TS1379" s="120"/>
      <c r="TT1379" s="120"/>
      <c r="TU1379" s="120"/>
      <c r="TV1379" s="120"/>
      <c r="TW1379" s="120"/>
      <c r="TX1379" s="120"/>
      <c r="TY1379" s="120"/>
      <c r="TZ1379" s="120"/>
      <c r="UA1379" s="120"/>
      <c r="UB1379" s="120"/>
      <c r="UC1379" s="120"/>
      <c r="UD1379" s="120"/>
      <c r="UE1379" s="120"/>
      <c r="UF1379" s="120"/>
      <c r="UG1379" s="120"/>
      <c r="UH1379" s="120"/>
      <c r="UI1379" s="120"/>
      <c r="UJ1379" s="120"/>
      <c r="UK1379" s="120"/>
      <c r="UL1379" s="120"/>
      <c r="UM1379" s="120"/>
      <c r="UN1379" s="120"/>
      <c r="UO1379" s="120"/>
      <c r="UP1379" s="120"/>
      <c r="UQ1379" s="120"/>
      <c r="UR1379" s="120"/>
      <c r="US1379" s="120"/>
      <c r="UT1379" s="120"/>
      <c r="UU1379" s="120"/>
      <c r="UV1379" s="120"/>
      <c r="UW1379" s="120"/>
      <c r="UX1379" s="120"/>
      <c r="UY1379" s="120"/>
      <c r="UZ1379" s="120"/>
      <c r="VA1379" s="120"/>
      <c r="VB1379" s="120"/>
      <c r="VC1379" s="120"/>
      <c r="VD1379" s="120"/>
      <c r="VE1379" s="120"/>
      <c r="VF1379" s="120"/>
      <c r="VG1379" s="120"/>
      <c r="VH1379" s="120"/>
      <c r="VI1379" s="120"/>
      <c r="VJ1379" s="120"/>
      <c r="VK1379" s="120"/>
      <c r="VL1379" s="120"/>
      <c r="VM1379" s="120"/>
      <c r="VN1379" s="120"/>
      <c r="VO1379" s="120"/>
      <c r="VP1379" s="120"/>
      <c r="VQ1379" s="120"/>
      <c r="VR1379" s="120"/>
      <c r="VS1379" s="120"/>
      <c r="VT1379" s="120"/>
      <c r="VU1379" s="120"/>
      <c r="VV1379" s="120"/>
      <c r="VW1379" s="120"/>
      <c r="VX1379" s="120"/>
      <c r="VY1379" s="120"/>
      <c r="VZ1379" s="120"/>
      <c r="WA1379" s="120"/>
      <c r="WB1379" s="120"/>
      <c r="WC1379" s="120"/>
      <c r="WD1379" s="120"/>
      <c r="WE1379" s="120"/>
      <c r="WF1379" s="120"/>
      <c r="WG1379" s="120"/>
      <c r="WH1379" s="120"/>
      <c r="WI1379" s="120"/>
      <c r="WJ1379" s="120"/>
      <c r="WK1379" s="120"/>
      <c r="WL1379" s="120"/>
      <c r="WM1379" s="120"/>
      <c r="WN1379" s="120"/>
      <c r="WO1379" s="120"/>
      <c r="WP1379" s="120"/>
      <c r="WQ1379" s="120"/>
      <c r="WR1379" s="120"/>
      <c r="WS1379" s="120"/>
      <c r="WT1379" s="120"/>
      <c r="WU1379" s="120"/>
      <c r="WV1379" s="120"/>
      <c r="WW1379" s="120"/>
      <c r="WX1379" s="120"/>
      <c r="WY1379" s="120"/>
      <c r="WZ1379" s="120"/>
      <c r="XA1379" s="120"/>
      <c r="XB1379" s="120"/>
      <c r="XC1379" s="120"/>
      <c r="XD1379" s="120"/>
      <c r="XE1379" s="120"/>
      <c r="XF1379" s="120"/>
      <c r="XG1379" s="120"/>
      <c r="XH1379" s="120"/>
      <c r="XI1379" s="120"/>
      <c r="XJ1379" s="120"/>
      <c r="XK1379" s="120"/>
      <c r="XL1379" s="120"/>
      <c r="XM1379" s="120"/>
      <c r="XN1379" s="120"/>
      <c r="XO1379" s="120"/>
      <c r="XP1379" s="120"/>
      <c r="XQ1379" s="120"/>
      <c r="XR1379" s="120"/>
      <c r="XS1379" s="120"/>
      <c r="XT1379" s="120"/>
      <c r="XU1379" s="120"/>
      <c r="XV1379" s="120"/>
      <c r="XW1379" s="120"/>
      <c r="XX1379" s="120"/>
      <c r="XY1379" s="120"/>
      <c r="XZ1379" s="120"/>
      <c r="YA1379" s="120"/>
      <c r="YB1379" s="120"/>
      <c r="YC1379" s="120"/>
      <c r="YD1379" s="120"/>
      <c r="YE1379" s="120"/>
      <c r="YF1379" s="120"/>
      <c r="YG1379" s="120"/>
      <c r="YH1379" s="120"/>
      <c r="YI1379" s="120"/>
      <c r="YJ1379" s="120"/>
      <c r="YK1379" s="120"/>
      <c r="YL1379" s="120"/>
      <c r="YM1379" s="120"/>
      <c r="YN1379" s="120"/>
      <c r="YO1379" s="120"/>
      <c r="YP1379" s="120"/>
      <c r="YQ1379" s="120"/>
      <c r="YR1379" s="120"/>
      <c r="YS1379" s="120"/>
      <c r="YT1379" s="120"/>
      <c r="YU1379" s="120"/>
      <c r="YV1379" s="120"/>
      <c r="YW1379" s="120"/>
      <c r="YX1379" s="120"/>
      <c r="YY1379" s="120"/>
      <c r="YZ1379" s="120"/>
      <c r="ZA1379" s="120"/>
      <c r="ZB1379" s="120"/>
      <c r="ZC1379" s="120"/>
      <c r="ZD1379" s="120"/>
      <c r="ZE1379" s="120"/>
      <c r="ZF1379" s="120"/>
      <c r="ZG1379" s="120"/>
      <c r="ZH1379" s="120"/>
      <c r="ZI1379" s="120"/>
      <c r="ZJ1379" s="120"/>
      <c r="ZK1379" s="120"/>
      <c r="ZL1379" s="120"/>
      <c r="ZM1379" s="120"/>
      <c r="ZN1379" s="120"/>
      <c r="ZO1379" s="120"/>
      <c r="ZP1379" s="120"/>
      <c r="ZQ1379" s="120"/>
      <c r="ZR1379" s="120"/>
      <c r="ZS1379" s="120"/>
      <c r="ZT1379" s="120"/>
      <c r="ZU1379" s="120"/>
      <c r="ZV1379" s="120"/>
      <c r="ZW1379" s="120"/>
      <c r="ZX1379" s="120"/>
      <c r="ZY1379" s="120"/>
      <c r="ZZ1379" s="120"/>
      <c r="AAA1379" s="120"/>
      <c r="AAB1379" s="120"/>
      <c r="AAC1379" s="120"/>
      <c r="AAD1379" s="120"/>
      <c r="AAE1379" s="120"/>
      <c r="AAF1379" s="120"/>
      <c r="AAG1379" s="120"/>
      <c r="AAH1379" s="120"/>
      <c r="AAI1379" s="120"/>
      <c r="AAJ1379" s="120"/>
      <c r="AAK1379" s="120"/>
      <c r="AAL1379" s="120"/>
      <c r="AAM1379" s="120"/>
      <c r="AAN1379" s="120"/>
      <c r="AAO1379" s="120"/>
      <c r="AAP1379" s="120"/>
      <c r="AAQ1379" s="120"/>
      <c r="AAR1379" s="120"/>
      <c r="AAS1379" s="120"/>
      <c r="AAT1379" s="120"/>
      <c r="AAU1379" s="120"/>
      <c r="AAV1379" s="120"/>
      <c r="AAW1379" s="120"/>
      <c r="AAX1379" s="120"/>
      <c r="AAY1379" s="120"/>
      <c r="AAZ1379" s="120"/>
      <c r="ABA1379" s="120"/>
      <c r="ABB1379" s="120"/>
      <c r="ABC1379" s="120"/>
      <c r="ABD1379" s="120"/>
      <c r="ABE1379" s="120"/>
      <c r="ABF1379" s="120"/>
      <c r="ABG1379" s="120"/>
      <c r="ABH1379" s="120"/>
      <c r="ABI1379" s="120"/>
      <c r="ABJ1379" s="120"/>
      <c r="ABK1379" s="120"/>
      <c r="ABL1379" s="120"/>
      <c r="ABM1379" s="120"/>
      <c r="ABN1379" s="120"/>
      <c r="ABO1379" s="120"/>
      <c r="ABP1379" s="120"/>
      <c r="ABQ1379" s="120"/>
      <c r="ABR1379" s="120"/>
      <c r="ABS1379" s="120"/>
      <c r="ABT1379" s="120"/>
      <c r="ABU1379" s="120"/>
      <c r="ABV1379" s="120"/>
      <c r="ABW1379" s="120"/>
      <c r="ABX1379" s="120"/>
      <c r="ABY1379" s="120"/>
      <c r="ABZ1379" s="120"/>
      <c r="ACA1379" s="120"/>
      <c r="ACB1379" s="120"/>
      <c r="ACC1379" s="120"/>
      <c r="ACD1379" s="120"/>
      <c r="ACE1379" s="120"/>
      <c r="ACF1379" s="120"/>
      <c r="ACG1379" s="120"/>
      <c r="ACH1379" s="120"/>
      <c r="ACI1379" s="120"/>
      <c r="ACJ1379" s="120"/>
      <c r="ACK1379" s="120"/>
      <c r="ACL1379" s="120"/>
      <c r="ACM1379" s="120"/>
      <c r="ACN1379" s="120"/>
      <c r="ACO1379" s="120"/>
      <c r="ACP1379" s="120"/>
      <c r="ACQ1379" s="120"/>
      <c r="ACR1379" s="120"/>
      <c r="ACS1379" s="120"/>
      <c r="ACT1379" s="120"/>
      <c r="ACU1379" s="120"/>
      <c r="ACV1379" s="120"/>
      <c r="ACW1379" s="120"/>
      <c r="ACX1379" s="120"/>
      <c r="ACY1379" s="120"/>
      <c r="ACZ1379" s="120"/>
      <c r="ADA1379" s="120"/>
      <c r="ADB1379" s="120"/>
      <c r="ADC1379" s="120"/>
      <c r="ADD1379" s="120"/>
      <c r="ADE1379" s="120"/>
      <c r="ADF1379" s="120"/>
      <c r="ADG1379" s="120"/>
      <c r="ADH1379" s="120"/>
      <c r="ADI1379" s="120"/>
      <c r="ADJ1379" s="120"/>
      <c r="ADK1379" s="120"/>
      <c r="ADL1379" s="120"/>
      <c r="ADM1379" s="120"/>
      <c r="ADN1379" s="120"/>
      <c r="ADO1379" s="120"/>
      <c r="ADP1379" s="120"/>
      <c r="ADQ1379" s="120"/>
      <c r="ADR1379" s="120"/>
      <c r="ADS1379" s="120"/>
      <c r="ADT1379" s="120"/>
      <c r="ADU1379" s="120"/>
      <c r="ADV1379" s="120"/>
      <c r="ADW1379" s="120"/>
      <c r="ADX1379" s="120"/>
      <c r="ADY1379" s="120"/>
      <c r="ADZ1379" s="120"/>
      <c r="AEA1379" s="120"/>
      <c r="AEB1379" s="120"/>
      <c r="AEC1379" s="120"/>
      <c r="AED1379" s="120"/>
      <c r="AEE1379" s="120"/>
      <c r="AEF1379" s="120"/>
      <c r="AEG1379" s="120"/>
      <c r="AEH1379" s="120"/>
      <c r="AEI1379" s="120"/>
      <c r="AEJ1379" s="120"/>
      <c r="AEK1379" s="120"/>
      <c r="AEL1379" s="120"/>
      <c r="AEM1379" s="120"/>
      <c r="AEN1379" s="120"/>
      <c r="AEO1379" s="120"/>
      <c r="AEP1379" s="120"/>
      <c r="AEQ1379" s="120"/>
      <c r="AER1379" s="120"/>
      <c r="AES1379" s="120"/>
      <c r="AET1379" s="120"/>
      <c r="AEU1379" s="120"/>
      <c r="AEV1379" s="120"/>
      <c r="AEW1379" s="120"/>
      <c r="AEX1379" s="120"/>
      <c r="AEY1379" s="120"/>
      <c r="AEZ1379" s="120"/>
      <c r="AFA1379" s="120"/>
      <c r="AFB1379" s="120"/>
      <c r="AFC1379" s="120"/>
      <c r="AFD1379" s="120"/>
      <c r="AFE1379" s="120"/>
      <c r="AFF1379" s="120"/>
      <c r="AFG1379" s="120"/>
      <c r="AFH1379" s="120"/>
      <c r="AFI1379" s="120"/>
      <c r="AFJ1379" s="120"/>
      <c r="AFK1379" s="120"/>
      <c r="AFL1379" s="120"/>
      <c r="AFM1379" s="120"/>
      <c r="AFN1379" s="120"/>
      <c r="AFO1379" s="120"/>
      <c r="AFP1379" s="120"/>
      <c r="AFQ1379" s="120"/>
      <c r="AFR1379" s="120"/>
      <c r="AFS1379" s="120"/>
      <c r="AFT1379" s="120"/>
      <c r="AFU1379" s="120"/>
      <c r="AFV1379" s="120"/>
      <c r="AFW1379" s="120"/>
      <c r="AFX1379" s="120"/>
      <c r="AFY1379" s="120"/>
      <c r="AFZ1379" s="120"/>
      <c r="AGA1379" s="120"/>
      <c r="AGB1379" s="120"/>
      <c r="AGC1379" s="120"/>
      <c r="AGD1379" s="120"/>
      <c r="AGE1379" s="120"/>
      <c r="AGF1379" s="120"/>
      <c r="AGG1379" s="120"/>
      <c r="AGH1379" s="120"/>
      <c r="AGI1379" s="120"/>
      <c r="AGJ1379" s="120"/>
      <c r="AGK1379" s="120"/>
      <c r="AGL1379" s="120"/>
      <c r="AGM1379" s="120"/>
      <c r="AGN1379" s="120"/>
      <c r="AGO1379" s="120"/>
      <c r="AGP1379" s="120"/>
      <c r="AGQ1379" s="120"/>
      <c r="AGR1379" s="120"/>
      <c r="AGS1379" s="120"/>
      <c r="AGT1379" s="120"/>
      <c r="AGU1379" s="120"/>
      <c r="AGV1379" s="120"/>
      <c r="AGW1379" s="120"/>
      <c r="AGX1379" s="120"/>
      <c r="AGY1379" s="120"/>
      <c r="AGZ1379" s="120"/>
      <c r="AHA1379" s="120"/>
      <c r="AHB1379" s="120"/>
      <c r="AHC1379" s="120"/>
      <c r="AHD1379" s="120"/>
      <c r="AHE1379" s="120"/>
      <c r="AHF1379" s="120"/>
      <c r="AHG1379" s="120"/>
      <c r="AHH1379" s="120"/>
      <c r="AHI1379" s="120"/>
      <c r="AHJ1379" s="120"/>
      <c r="AHK1379" s="120"/>
      <c r="AHL1379" s="120"/>
      <c r="AHM1379" s="120"/>
      <c r="AHN1379" s="120"/>
      <c r="AHO1379" s="120"/>
      <c r="AHP1379" s="120"/>
      <c r="AHQ1379" s="120"/>
      <c r="AHR1379" s="120"/>
      <c r="AHS1379" s="120"/>
      <c r="AHT1379" s="120"/>
      <c r="AHU1379" s="120"/>
      <c r="AHV1379" s="120"/>
      <c r="AHW1379" s="120"/>
      <c r="AHX1379" s="120"/>
      <c r="AHY1379" s="120"/>
      <c r="AHZ1379" s="120"/>
      <c r="AIA1379" s="120"/>
      <c r="AIB1379" s="120"/>
      <c r="AIC1379" s="120"/>
      <c r="AID1379" s="120"/>
      <c r="AIE1379" s="120"/>
      <c r="AIF1379" s="120"/>
      <c r="AIG1379" s="120"/>
      <c r="AIH1379" s="120"/>
      <c r="AII1379" s="120"/>
      <c r="AIJ1379" s="120"/>
      <c r="AIK1379" s="120"/>
      <c r="AIL1379" s="120"/>
      <c r="AIM1379" s="120"/>
      <c r="AIN1379" s="120"/>
      <c r="AIO1379" s="120"/>
      <c r="AIP1379" s="120"/>
      <c r="AIQ1379" s="120"/>
      <c r="AIR1379" s="120"/>
      <c r="AIS1379" s="120"/>
      <c r="AIT1379" s="120"/>
      <c r="AIU1379" s="120"/>
      <c r="AIV1379" s="120"/>
      <c r="AIW1379" s="120"/>
      <c r="AIX1379" s="120"/>
      <c r="AIY1379" s="120"/>
      <c r="AIZ1379" s="120"/>
      <c r="AJA1379" s="120"/>
      <c r="AJB1379" s="120"/>
      <c r="AJC1379" s="120"/>
      <c r="AJD1379" s="120"/>
      <c r="AJE1379" s="120"/>
      <c r="AJF1379" s="120"/>
      <c r="AJG1379" s="120"/>
      <c r="AJH1379" s="120"/>
      <c r="AJI1379" s="120"/>
      <c r="AJJ1379" s="120"/>
      <c r="AJK1379" s="120"/>
      <c r="AJL1379" s="120"/>
      <c r="AJM1379" s="120"/>
      <c r="AJN1379" s="120"/>
      <c r="AJO1379" s="120"/>
      <c r="AJP1379" s="120"/>
      <c r="AJQ1379" s="120"/>
      <c r="AJR1379" s="120"/>
      <c r="AJS1379" s="120"/>
      <c r="AJT1379" s="120"/>
      <c r="AJU1379" s="120"/>
      <c r="AJV1379" s="120"/>
      <c r="AJW1379" s="120"/>
      <c r="AJX1379" s="120"/>
      <c r="AJY1379" s="120"/>
      <c r="AJZ1379" s="120"/>
      <c r="AKA1379" s="120"/>
      <c r="AKB1379" s="120"/>
      <c r="AKC1379" s="120"/>
      <c r="AKD1379" s="120"/>
      <c r="AKE1379" s="120"/>
      <c r="AKF1379" s="120"/>
      <c r="AKG1379" s="120"/>
      <c r="AKH1379" s="120"/>
      <c r="AKI1379" s="120"/>
      <c r="AKJ1379" s="120"/>
      <c r="AKK1379" s="120"/>
      <c r="AKL1379" s="120"/>
      <c r="AKM1379" s="120"/>
      <c r="AKN1379" s="120"/>
      <c r="AKO1379" s="120"/>
      <c r="AKP1379" s="120"/>
      <c r="AKQ1379" s="120"/>
      <c r="AKR1379" s="120"/>
      <c r="AKS1379" s="120"/>
      <c r="AKT1379" s="120"/>
      <c r="AKU1379" s="120"/>
      <c r="AKV1379" s="120"/>
      <c r="AKW1379" s="120"/>
      <c r="AKX1379" s="120"/>
      <c r="AKY1379" s="120"/>
      <c r="AKZ1379" s="120"/>
      <c r="ALA1379" s="120"/>
      <c r="ALB1379" s="120"/>
      <c r="ALC1379" s="120"/>
      <c r="ALD1379" s="120"/>
      <c r="ALE1379" s="120"/>
      <c r="ALF1379" s="120"/>
      <c r="ALG1379" s="120"/>
      <c r="ALH1379" s="120"/>
      <c r="ALI1379" s="120"/>
      <c r="ALJ1379" s="120"/>
      <c r="ALK1379" s="120"/>
      <c r="ALL1379" s="120"/>
      <c r="ALM1379" s="120"/>
      <c r="ALN1379" s="120"/>
      <c r="ALO1379" s="120"/>
      <c r="ALP1379" s="120"/>
      <c r="ALQ1379" s="120"/>
      <c r="ALR1379" s="120"/>
      <c r="ALS1379" s="120"/>
      <c r="ALT1379" s="120"/>
      <c r="ALU1379" s="120"/>
      <c r="ALV1379" s="120"/>
      <c r="ALW1379" s="120"/>
      <c r="ALX1379" s="120"/>
      <c r="ALY1379" s="120"/>
      <c r="ALZ1379" s="120"/>
      <c r="AMA1379" s="120"/>
      <c r="AMB1379" s="120"/>
      <c r="AMC1379" s="120"/>
      <c r="AMD1379" s="120"/>
      <c r="AME1379" s="120"/>
      <c r="AMF1379" s="120"/>
      <c r="AMG1379" s="120"/>
      <c r="AMH1379" s="120"/>
      <c r="AMI1379" s="120"/>
      <c r="AMJ1379" s="120"/>
      <c r="AMK1379" s="120"/>
      <c r="AML1379" s="120"/>
      <c r="AMM1379" s="120"/>
      <c r="AMN1379" s="120"/>
      <c r="AMO1379" s="120"/>
      <c r="AMP1379" s="120"/>
      <c r="AMQ1379" s="120"/>
      <c r="AMR1379" s="120"/>
      <c r="AMS1379" s="120"/>
      <c r="AMT1379" s="120"/>
      <c r="AMU1379" s="120"/>
      <c r="AMV1379" s="120"/>
      <c r="AMW1379" s="120"/>
      <c r="AMX1379" s="120"/>
      <c r="AMY1379" s="120"/>
      <c r="AMZ1379" s="120"/>
      <c r="ANA1379" s="120"/>
      <c r="ANB1379" s="120"/>
      <c r="ANC1379" s="120"/>
      <c r="AND1379" s="120"/>
      <c r="ANE1379" s="120"/>
      <c r="ANF1379" s="120"/>
      <c r="ANG1379" s="120"/>
      <c r="ANH1379" s="120"/>
      <c r="ANI1379" s="120"/>
      <c r="ANJ1379" s="120"/>
      <c r="ANK1379" s="120"/>
      <c r="ANL1379" s="120"/>
      <c r="ANM1379" s="120"/>
      <c r="ANN1379" s="120"/>
      <c r="ANO1379" s="120"/>
      <c r="ANP1379" s="120"/>
      <c r="ANQ1379" s="120"/>
      <c r="ANR1379" s="120"/>
      <c r="ANS1379" s="120"/>
      <c r="ANT1379" s="120"/>
      <c r="ANU1379" s="120"/>
      <c r="ANV1379" s="120"/>
      <c r="ANW1379" s="120"/>
      <c r="ANX1379" s="120"/>
      <c r="ANY1379" s="120"/>
      <c r="ANZ1379" s="120"/>
      <c r="AOA1379" s="120"/>
      <c r="AOB1379" s="120"/>
      <c r="AOC1379" s="120"/>
      <c r="AOD1379" s="120"/>
      <c r="AOE1379" s="120"/>
      <c r="AOF1379" s="120"/>
      <c r="AOG1379" s="120"/>
      <c r="AOH1379" s="120"/>
      <c r="AOI1379" s="120"/>
      <c r="AOJ1379" s="120"/>
      <c r="AOK1379" s="120"/>
      <c r="AOL1379" s="120"/>
      <c r="AOM1379" s="120"/>
      <c r="AON1379" s="120"/>
      <c r="AOO1379" s="120"/>
      <c r="AOP1379" s="120"/>
      <c r="AOQ1379" s="120"/>
      <c r="AOR1379" s="120"/>
      <c r="AOS1379" s="120"/>
      <c r="AOT1379" s="120"/>
      <c r="AOU1379" s="120"/>
      <c r="AOV1379" s="120"/>
      <c r="AOW1379" s="120"/>
      <c r="AOX1379" s="120"/>
      <c r="AOY1379" s="120"/>
      <c r="AOZ1379" s="120"/>
      <c r="APA1379" s="120"/>
      <c r="APB1379" s="120"/>
      <c r="APC1379" s="120"/>
      <c r="APD1379" s="120"/>
      <c r="APE1379" s="120"/>
      <c r="APF1379" s="120"/>
      <c r="APG1379" s="120"/>
      <c r="APH1379" s="120"/>
      <c r="API1379" s="120"/>
      <c r="APJ1379" s="120"/>
      <c r="APK1379" s="120"/>
      <c r="APL1379" s="120"/>
      <c r="APM1379" s="120"/>
      <c r="APN1379" s="120"/>
      <c r="APO1379" s="120"/>
      <c r="APP1379" s="120"/>
      <c r="APQ1379" s="120"/>
      <c r="APR1379" s="120"/>
      <c r="APS1379" s="120"/>
      <c r="APT1379" s="120"/>
      <c r="APU1379" s="120"/>
      <c r="APV1379" s="120"/>
      <c r="APW1379" s="120"/>
      <c r="APX1379" s="120"/>
      <c r="APY1379" s="120"/>
      <c r="APZ1379" s="120"/>
      <c r="AQA1379" s="120"/>
      <c r="AQB1379" s="120"/>
      <c r="AQC1379" s="120"/>
      <c r="AQD1379" s="120"/>
      <c r="AQE1379" s="120"/>
      <c r="AQF1379" s="120"/>
      <c r="AQG1379" s="120"/>
      <c r="AQH1379" s="120"/>
      <c r="AQI1379" s="120"/>
      <c r="AQJ1379" s="120"/>
      <c r="AQK1379" s="120"/>
      <c r="AQL1379" s="120"/>
      <c r="AQM1379" s="120"/>
      <c r="AQN1379" s="120"/>
      <c r="AQO1379" s="120"/>
      <c r="AQP1379" s="120"/>
      <c r="AQQ1379" s="120"/>
      <c r="AQR1379" s="120"/>
      <c r="AQS1379" s="120"/>
      <c r="AQT1379" s="120"/>
      <c r="AQU1379" s="120"/>
      <c r="AQV1379" s="120"/>
      <c r="AQW1379" s="120"/>
      <c r="AQX1379" s="120"/>
      <c r="AQY1379" s="120"/>
      <c r="AQZ1379" s="120"/>
      <c r="ARA1379" s="120"/>
      <c r="ARB1379" s="120"/>
      <c r="ARC1379" s="120"/>
      <c r="ARD1379" s="120"/>
      <c r="ARE1379" s="120"/>
      <c r="ARF1379" s="120"/>
      <c r="ARG1379" s="120"/>
      <c r="ARH1379" s="120"/>
      <c r="ARI1379" s="120"/>
      <c r="ARJ1379" s="120"/>
      <c r="ARK1379" s="120"/>
      <c r="ARL1379" s="120"/>
      <c r="ARM1379" s="120"/>
      <c r="ARN1379" s="120"/>
      <c r="ARO1379" s="120"/>
      <c r="ARP1379" s="120"/>
      <c r="ARQ1379" s="120"/>
      <c r="ARR1379" s="120"/>
      <c r="ARS1379" s="120"/>
      <c r="ART1379" s="120"/>
      <c r="ARU1379" s="120"/>
      <c r="ARV1379" s="120"/>
      <c r="ARW1379" s="120"/>
      <c r="ARX1379" s="120"/>
      <c r="ARY1379" s="120"/>
      <c r="ARZ1379" s="120"/>
      <c r="ASA1379" s="120"/>
      <c r="ASB1379" s="120"/>
      <c r="ASC1379" s="120"/>
      <c r="ASD1379" s="120"/>
      <c r="ASE1379" s="120"/>
      <c r="ASF1379" s="120"/>
      <c r="ASG1379" s="120"/>
      <c r="ASH1379" s="120"/>
      <c r="ASI1379" s="120"/>
      <c r="ASJ1379" s="120"/>
      <c r="ASK1379" s="120"/>
      <c r="ASL1379" s="120"/>
      <c r="ASM1379" s="120"/>
      <c r="ASN1379" s="120"/>
      <c r="ASO1379" s="120"/>
      <c r="ASP1379" s="120"/>
      <c r="ASQ1379" s="120"/>
      <c r="ASR1379" s="120"/>
      <c r="ASS1379" s="120"/>
      <c r="AST1379" s="120"/>
      <c r="ASU1379" s="120"/>
      <c r="ASV1379" s="120"/>
      <c r="ASW1379" s="120"/>
      <c r="ASX1379" s="120"/>
      <c r="ASY1379" s="120"/>
      <c r="ASZ1379" s="120"/>
      <c r="ATA1379" s="120"/>
      <c r="ATB1379" s="120"/>
      <c r="ATC1379" s="120"/>
      <c r="ATD1379" s="120"/>
      <c r="ATE1379" s="120"/>
      <c r="ATF1379" s="120"/>
      <c r="ATG1379" s="120"/>
      <c r="ATH1379" s="120"/>
      <c r="ATI1379" s="120"/>
      <c r="ATJ1379" s="120"/>
      <c r="ATK1379" s="120"/>
      <c r="ATL1379" s="120"/>
      <c r="ATM1379" s="120"/>
      <c r="ATN1379" s="120"/>
      <c r="ATO1379" s="120"/>
    </row>
    <row r="1380" spans="1:1211" s="20" customFormat="1" ht="14.1" customHeight="1">
      <c r="A1380" s="112"/>
      <c r="B1380" s="723"/>
      <c r="C1380" s="184" t="s">
        <v>6143</v>
      </c>
      <c r="D1380" s="120"/>
      <c r="E1380" s="701"/>
      <c r="F1380" s="703"/>
      <c r="G1380" s="702"/>
      <c r="H1380" s="702"/>
      <c r="I1380" s="702"/>
      <c r="J1380" s="700"/>
      <c r="K1380" s="112"/>
      <c r="L1380" s="363"/>
      <c r="M1380" s="112"/>
      <c r="N1380" s="362"/>
      <c r="O1380" s="573"/>
      <c r="P1380" s="120"/>
      <c r="Q1380" s="120"/>
      <c r="R1380" s="120"/>
      <c r="S1380" s="120"/>
      <c r="T1380" s="120"/>
      <c r="U1380" s="120"/>
      <c r="V1380" s="120"/>
      <c r="W1380" s="120"/>
      <c r="X1380" s="120"/>
      <c r="Y1380" s="120"/>
      <c r="Z1380" s="120"/>
      <c r="AA1380" s="120"/>
      <c r="AB1380" s="120"/>
      <c r="AC1380" s="120"/>
      <c r="AD1380" s="120"/>
      <c r="AE1380" s="120"/>
      <c r="AF1380" s="120"/>
      <c r="AG1380" s="120"/>
      <c r="AH1380" s="120"/>
      <c r="AI1380" s="120"/>
      <c r="AJ1380" s="120"/>
      <c r="AK1380" s="120"/>
      <c r="AL1380" s="120"/>
      <c r="AM1380" s="120"/>
      <c r="AN1380" s="120"/>
      <c r="AO1380" s="120"/>
      <c r="AP1380" s="120"/>
      <c r="AQ1380" s="120"/>
      <c r="AR1380" s="120"/>
      <c r="AS1380" s="120"/>
      <c r="AT1380" s="120"/>
      <c r="AU1380" s="120"/>
      <c r="AV1380" s="120"/>
      <c r="AW1380" s="120"/>
      <c r="AX1380" s="120"/>
      <c r="AY1380" s="120"/>
      <c r="AZ1380" s="120"/>
      <c r="BA1380" s="120"/>
      <c r="BB1380" s="120"/>
      <c r="BC1380" s="120"/>
      <c r="BD1380" s="120"/>
      <c r="BE1380" s="120"/>
      <c r="BF1380" s="120"/>
      <c r="BG1380" s="120"/>
      <c r="BH1380" s="120"/>
      <c r="BI1380" s="120"/>
      <c r="BJ1380" s="120"/>
      <c r="BK1380" s="120"/>
      <c r="BL1380" s="120"/>
      <c r="BM1380" s="120"/>
      <c r="BN1380" s="120"/>
      <c r="BO1380" s="120"/>
      <c r="BP1380" s="120"/>
      <c r="BQ1380" s="120"/>
      <c r="BR1380" s="120"/>
      <c r="BS1380" s="120"/>
      <c r="BT1380" s="120"/>
      <c r="BU1380" s="120"/>
      <c r="BV1380" s="120"/>
      <c r="BW1380" s="120"/>
      <c r="BX1380" s="120"/>
      <c r="BY1380" s="120"/>
      <c r="BZ1380" s="120"/>
      <c r="CA1380" s="120"/>
      <c r="CB1380" s="120"/>
      <c r="CC1380" s="120"/>
      <c r="CD1380" s="120"/>
      <c r="CE1380" s="120"/>
      <c r="CF1380" s="120"/>
      <c r="CG1380" s="120"/>
      <c r="CH1380" s="120"/>
      <c r="CI1380" s="120"/>
      <c r="CJ1380" s="120"/>
      <c r="CK1380" s="120"/>
      <c r="CL1380" s="120"/>
      <c r="CM1380" s="120"/>
      <c r="CN1380" s="120"/>
      <c r="CO1380" s="120"/>
      <c r="CP1380" s="120"/>
      <c r="CQ1380" s="120"/>
      <c r="CR1380" s="120"/>
      <c r="CS1380" s="120"/>
      <c r="CT1380" s="120"/>
      <c r="CU1380" s="120"/>
      <c r="CV1380" s="120"/>
      <c r="CW1380" s="120"/>
      <c r="CX1380" s="120"/>
      <c r="CY1380" s="120"/>
      <c r="CZ1380" s="120"/>
      <c r="DA1380" s="120"/>
      <c r="DB1380" s="120"/>
      <c r="DC1380" s="120"/>
      <c r="DD1380" s="120"/>
      <c r="DE1380" s="120"/>
      <c r="DF1380" s="120"/>
      <c r="DG1380" s="120"/>
      <c r="DH1380" s="120"/>
      <c r="DI1380" s="120"/>
      <c r="DJ1380" s="120"/>
      <c r="DK1380" s="120"/>
      <c r="DL1380" s="120"/>
      <c r="DM1380" s="120"/>
      <c r="DN1380" s="120"/>
      <c r="DO1380" s="120"/>
      <c r="DP1380" s="120"/>
      <c r="DQ1380" s="120"/>
      <c r="DR1380" s="120"/>
      <c r="DS1380" s="120"/>
      <c r="DT1380" s="120"/>
      <c r="DU1380" s="120"/>
      <c r="DV1380" s="120"/>
      <c r="DW1380" s="120"/>
      <c r="DX1380" s="120"/>
      <c r="DY1380" s="120"/>
      <c r="DZ1380" s="120"/>
      <c r="EA1380" s="120"/>
      <c r="EB1380" s="120"/>
      <c r="EC1380" s="120"/>
      <c r="ED1380" s="120"/>
      <c r="EE1380" s="120"/>
      <c r="EF1380" s="120"/>
      <c r="EG1380" s="120"/>
      <c r="EH1380" s="120"/>
      <c r="EI1380" s="120"/>
      <c r="EJ1380" s="120"/>
      <c r="EK1380" s="120"/>
      <c r="EL1380" s="120"/>
      <c r="EM1380" s="120"/>
      <c r="EN1380" s="120"/>
      <c r="EO1380" s="120"/>
      <c r="EP1380" s="120"/>
      <c r="EQ1380" s="120"/>
      <c r="ER1380" s="120"/>
      <c r="ES1380" s="120"/>
      <c r="ET1380" s="120"/>
      <c r="EU1380" s="120"/>
      <c r="EV1380" s="120"/>
      <c r="EW1380" s="120"/>
      <c r="EX1380" s="120"/>
      <c r="EY1380" s="120"/>
      <c r="EZ1380" s="120"/>
      <c r="FA1380" s="120"/>
      <c r="FB1380" s="120"/>
      <c r="FC1380" s="120"/>
      <c r="FD1380" s="120"/>
      <c r="FE1380" s="120"/>
      <c r="FF1380" s="120"/>
      <c r="FG1380" s="120"/>
      <c r="FH1380" s="120"/>
      <c r="FI1380" s="120"/>
      <c r="FJ1380" s="120"/>
      <c r="FK1380" s="120"/>
      <c r="FL1380" s="120"/>
      <c r="FM1380" s="120"/>
      <c r="FN1380" s="120"/>
      <c r="FO1380" s="120"/>
      <c r="FP1380" s="120"/>
      <c r="FQ1380" s="120"/>
      <c r="FR1380" s="120"/>
      <c r="FS1380" s="120"/>
      <c r="FT1380" s="120"/>
      <c r="FU1380" s="120"/>
      <c r="FV1380" s="120"/>
      <c r="FW1380" s="120"/>
      <c r="FX1380" s="120"/>
      <c r="FY1380" s="120"/>
      <c r="FZ1380" s="120"/>
      <c r="GA1380" s="120"/>
      <c r="GB1380" s="120"/>
      <c r="GC1380" s="120"/>
      <c r="GD1380" s="120"/>
      <c r="GE1380" s="120"/>
      <c r="GF1380" s="120"/>
      <c r="GG1380" s="120"/>
      <c r="GH1380" s="120"/>
      <c r="GI1380" s="120"/>
      <c r="GJ1380" s="120"/>
      <c r="GK1380" s="120"/>
      <c r="GL1380" s="120"/>
      <c r="GM1380" s="120"/>
      <c r="GN1380" s="120"/>
      <c r="GO1380" s="120"/>
      <c r="GP1380" s="120"/>
      <c r="GQ1380" s="120"/>
      <c r="GR1380" s="120"/>
      <c r="GS1380" s="120"/>
      <c r="GT1380" s="120"/>
      <c r="GU1380" s="120"/>
      <c r="GV1380" s="120"/>
      <c r="GW1380" s="120"/>
      <c r="GX1380" s="120"/>
      <c r="GY1380" s="120"/>
      <c r="GZ1380" s="120"/>
      <c r="HA1380" s="120"/>
      <c r="HB1380" s="120"/>
      <c r="HC1380" s="120"/>
      <c r="HD1380" s="120"/>
      <c r="HE1380" s="120"/>
      <c r="HF1380" s="120"/>
      <c r="HG1380" s="120"/>
      <c r="HH1380" s="120"/>
      <c r="HI1380" s="120"/>
      <c r="HJ1380" s="120"/>
      <c r="HK1380" s="120"/>
      <c r="HL1380" s="120"/>
      <c r="HM1380" s="120"/>
      <c r="HN1380" s="120"/>
      <c r="HO1380" s="120"/>
      <c r="HP1380" s="120"/>
      <c r="HQ1380" s="120"/>
      <c r="HR1380" s="120"/>
      <c r="HS1380" s="120"/>
      <c r="HT1380" s="120"/>
      <c r="HU1380" s="120"/>
      <c r="HV1380" s="120"/>
      <c r="HW1380" s="120"/>
      <c r="HX1380" s="120"/>
      <c r="HY1380" s="120"/>
      <c r="HZ1380" s="120"/>
      <c r="IA1380" s="120"/>
      <c r="IB1380" s="120"/>
      <c r="IC1380" s="120"/>
      <c r="ID1380" s="120"/>
      <c r="IE1380" s="120"/>
      <c r="IF1380" s="120"/>
      <c r="IG1380" s="120"/>
      <c r="IH1380" s="120"/>
      <c r="II1380" s="120"/>
      <c r="IJ1380" s="120"/>
      <c r="IK1380" s="120"/>
      <c r="IL1380" s="120"/>
      <c r="IM1380" s="120"/>
      <c r="IN1380" s="120"/>
      <c r="IO1380" s="120"/>
      <c r="IP1380" s="120"/>
      <c r="IQ1380" s="120"/>
      <c r="IR1380" s="120"/>
      <c r="IS1380" s="120"/>
      <c r="IT1380" s="120"/>
      <c r="IU1380" s="120"/>
      <c r="IV1380" s="120"/>
      <c r="IW1380" s="120"/>
      <c r="IX1380" s="120"/>
      <c r="IY1380" s="120"/>
      <c r="IZ1380" s="120"/>
      <c r="JA1380" s="120"/>
      <c r="JB1380" s="120"/>
      <c r="JC1380" s="120"/>
      <c r="JD1380" s="120"/>
      <c r="JE1380" s="120"/>
      <c r="JF1380" s="120"/>
      <c r="JG1380" s="120"/>
      <c r="JH1380" s="120"/>
      <c r="JI1380" s="120"/>
      <c r="JJ1380" s="120"/>
      <c r="JK1380" s="120"/>
      <c r="JL1380" s="120"/>
      <c r="JM1380" s="120"/>
      <c r="JN1380" s="120"/>
      <c r="JO1380" s="120"/>
      <c r="JP1380" s="120"/>
      <c r="JQ1380" s="120"/>
      <c r="JR1380" s="120"/>
      <c r="JS1380" s="120"/>
      <c r="JT1380" s="120"/>
      <c r="JU1380" s="120"/>
      <c r="JV1380" s="120"/>
      <c r="JW1380" s="120"/>
      <c r="JX1380" s="120"/>
      <c r="JY1380" s="120"/>
      <c r="JZ1380" s="120"/>
      <c r="KA1380" s="120"/>
      <c r="KB1380" s="120"/>
      <c r="KC1380" s="120"/>
      <c r="KD1380" s="120"/>
      <c r="KE1380" s="120"/>
      <c r="KF1380" s="120"/>
      <c r="KG1380" s="120"/>
      <c r="KH1380" s="120"/>
      <c r="KI1380" s="120"/>
      <c r="KJ1380" s="120"/>
      <c r="KK1380" s="120"/>
      <c r="KL1380" s="120"/>
      <c r="KM1380" s="120"/>
      <c r="KN1380" s="120"/>
      <c r="KO1380" s="120"/>
      <c r="KP1380" s="120"/>
      <c r="KQ1380" s="120"/>
      <c r="KR1380" s="120"/>
      <c r="KS1380" s="120"/>
      <c r="KT1380" s="120"/>
      <c r="KU1380" s="120"/>
      <c r="KV1380" s="120"/>
      <c r="KW1380" s="120"/>
      <c r="KX1380" s="120"/>
      <c r="KY1380" s="120"/>
      <c r="KZ1380" s="120"/>
      <c r="LA1380" s="120"/>
      <c r="LB1380" s="120"/>
      <c r="LC1380" s="120"/>
      <c r="LD1380" s="120"/>
      <c r="LE1380" s="120"/>
      <c r="LF1380" s="120"/>
      <c r="LG1380" s="120"/>
      <c r="LH1380" s="120"/>
      <c r="LI1380" s="120"/>
      <c r="LJ1380" s="120"/>
      <c r="LK1380" s="120"/>
      <c r="LL1380" s="120"/>
      <c r="LM1380" s="120"/>
      <c r="LN1380" s="120"/>
      <c r="LO1380" s="120"/>
      <c r="LP1380" s="120"/>
      <c r="LQ1380" s="120"/>
      <c r="LR1380" s="120"/>
      <c r="LS1380" s="120"/>
      <c r="LT1380" s="120"/>
      <c r="LU1380" s="120"/>
      <c r="LV1380" s="120"/>
      <c r="LW1380" s="120"/>
      <c r="LX1380" s="120"/>
      <c r="LY1380" s="120"/>
      <c r="LZ1380" s="120"/>
      <c r="MA1380" s="120"/>
      <c r="MB1380" s="120"/>
      <c r="MC1380" s="120"/>
      <c r="MD1380" s="120"/>
      <c r="ME1380" s="120"/>
      <c r="MF1380" s="120"/>
      <c r="MG1380" s="120"/>
      <c r="MH1380" s="120"/>
      <c r="MI1380" s="120"/>
      <c r="MJ1380" s="120"/>
      <c r="MK1380" s="120"/>
      <c r="ML1380" s="120"/>
      <c r="MM1380" s="120"/>
      <c r="MN1380" s="120"/>
      <c r="MO1380" s="120"/>
      <c r="MP1380" s="120"/>
      <c r="MQ1380" s="120"/>
      <c r="MR1380" s="120"/>
      <c r="MS1380" s="120"/>
      <c r="MT1380" s="120"/>
      <c r="MU1380" s="120"/>
      <c r="MV1380" s="120"/>
      <c r="MW1380" s="120"/>
      <c r="MX1380" s="120"/>
      <c r="MY1380" s="120"/>
      <c r="MZ1380" s="120"/>
      <c r="NA1380" s="120"/>
      <c r="NB1380" s="120"/>
      <c r="NC1380" s="120"/>
      <c r="ND1380" s="120"/>
      <c r="NE1380" s="120"/>
      <c r="NF1380" s="120"/>
      <c r="NG1380" s="120"/>
      <c r="NH1380" s="120"/>
      <c r="NI1380" s="120"/>
      <c r="NJ1380" s="120"/>
      <c r="NK1380" s="120"/>
      <c r="NL1380" s="120"/>
      <c r="NM1380" s="120"/>
      <c r="NN1380" s="120"/>
      <c r="NO1380" s="120"/>
      <c r="NP1380" s="120"/>
      <c r="NQ1380" s="120"/>
      <c r="NR1380" s="120"/>
      <c r="NS1380" s="120"/>
      <c r="NT1380" s="120"/>
      <c r="NU1380" s="120"/>
      <c r="NV1380" s="120"/>
      <c r="NW1380" s="120"/>
      <c r="NX1380" s="120"/>
      <c r="NY1380" s="120"/>
      <c r="NZ1380" s="120"/>
      <c r="OA1380" s="120"/>
      <c r="OB1380" s="120"/>
      <c r="OC1380" s="120"/>
      <c r="OD1380" s="120"/>
      <c r="OE1380" s="120"/>
      <c r="OF1380" s="120"/>
      <c r="OG1380" s="120"/>
      <c r="OH1380" s="120"/>
      <c r="OI1380" s="120"/>
      <c r="OJ1380" s="120"/>
      <c r="OK1380" s="120"/>
      <c r="OL1380" s="120"/>
      <c r="OM1380" s="120"/>
      <c r="ON1380" s="120"/>
      <c r="OO1380" s="120"/>
      <c r="OP1380" s="120"/>
      <c r="OQ1380" s="120"/>
      <c r="OR1380" s="120"/>
      <c r="OS1380" s="120"/>
      <c r="OT1380" s="120"/>
      <c r="OU1380" s="120"/>
      <c r="OV1380" s="120"/>
      <c r="OW1380" s="120"/>
      <c r="OX1380" s="120"/>
      <c r="OY1380" s="120"/>
      <c r="OZ1380" s="120"/>
      <c r="PA1380" s="120"/>
      <c r="PB1380" s="120"/>
      <c r="PC1380" s="120"/>
      <c r="PD1380" s="120"/>
      <c r="PE1380" s="120"/>
      <c r="PF1380" s="120"/>
      <c r="PG1380" s="120"/>
      <c r="PH1380" s="120"/>
      <c r="PI1380" s="120"/>
      <c r="PJ1380" s="120"/>
      <c r="PK1380" s="120"/>
      <c r="PL1380" s="120"/>
      <c r="PM1380" s="120"/>
      <c r="PN1380" s="120"/>
      <c r="PO1380" s="120"/>
      <c r="PP1380" s="120"/>
      <c r="PQ1380" s="120"/>
      <c r="PR1380" s="120"/>
      <c r="PS1380" s="120"/>
      <c r="PT1380" s="120"/>
      <c r="PU1380" s="120"/>
      <c r="PV1380" s="120"/>
      <c r="PW1380" s="120"/>
      <c r="PX1380" s="120"/>
      <c r="PY1380" s="120"/>
      <c r="PZ1380" s="120"/>
      <c r="QA1380" s="120"/>
      <c r="QB1380" s="120"/>
      <c r="QC1380" s="120"/>
      <c r="QD1380" s="120"/>
      <c r="QE1380" s="120"/>
      <c r="QF1380" s="120"/>
      <c r="QG1380" s="120"/>
      <c r="QH1380" s="120"/>
      <c r="QI1380" s="120"/>
      <c r="QJ1380" s="120"/>
      <c r="QK1380" s="120"/>
      <c r="QL1380" s="120"/>
      <c r="QM1380" s="120"/>
      <c r="QN1380" s="120"/>
      <c r="QO1380" s="120"/>
      <c r="QP1380" s="120"/>
      <c r="QQ1380" s="120"/>
      <c r="QR1380" s="120"/>
      <c r="QS1380" s="120"/>
      <c r="QT1380" s="120"/>
      <c r="QU1380" s="120"/>
      <c r="QV1380" s="120"/>
      <c r="QW1380" s="120"/>
      <c r="QX1380" s="120"/>
      <c r="QY1380" s="120"/>
      <c r="QZ1380" s="120"/>
      <c r="RA1380" s="120"/>
      <c r="RB1380" s="120"/>
      <c r="RC1380" s="120"/>
      <c r="RD1380" s="120"/>
      <c r="RE1380" s="120"/>
      <c r="RF1380" s="120"/>
      <c r="RG1380" s="120"/>
      <c r="RH1380" s="120"/>
      <c r="RI1380" s="120"/>
      <c r="RJ1380" s="120"/>
      <c r="RK1380" s="120"/>
      <c r="RL1380" s="120"/>
      <c r="RM1380" s="120"/>
      <c r="RN1380" s="120"/>
      <c r="RO1380" s="120"/>
      <c r="RP1380" s="120"/>
      <c r="RQ1380" s="120"/>
      <c r="RR1380" s="120"/>
      <c r="RS1380" s="120"/>
      <c r="RT1380" s="120"/>
      <c r="RU1380" s="120"/>
      <c r="RV1380" s="120"/>
      <c r="RW1380" s="120"/>
      <c r="RX1380" s="120"/>
      <c r="RY1380" s="120"/>
      <c r="RZ1380" s="120"/>
      <c r="SA1380" s="120"/>
      <c r="SB1380" s="120"/>
      <c r="SC1380" s="120"/>
      <c r="SD1380" s="120"/>
      <c r="SE1380" s="120"/>
      <c r="SF1380" s="120"/>
      <c r="SG1380" s="120"/>
      <c r="SH1380" s="120"/>
      <c r="SI1380" s="120"/>
      <c r="SJ1380" s="120"/>
      <c r="SK1380" s="120"/>
      <c r="SL1380" s="120"/>
      <c r="SM1380" s="120"/>
      <c r="SN1380" s="120"/>
      <c r="SO1380" s="120"/>
      <c r="SP1380" s="120"/>
      <c r="SQ1380" s="120"/>
      <c r="SR1380" s="120"/>
      <c r="SS1380" s="120"/>
      <c r="ST1380" s="120"/>
      <c r="SU1380" s="120"/>
      <c r="SV1380" s="120"/>
      <c r="SW1380" s="120"/>
      <c r="SX1380" s="120"/>
      <c r="SY1380" s="120"/>
      <c r="SZ1380" s="120"/>
      <c r="TA1380" s="120"/>
      <c r="TB1380" s="120"/>
      <c r="TC1380" s="120"/>
      <c r="TD1380" s="120"/>
      <c r="TE1380" s="120"/>
      <c r="TF1380" s="120"/>
      <c r="TG1380" s="120"/>
      <c r="TH1380" s="120"/>
      <c r="TI1380" s="120"/>
      <c r="TJ1380" s="120"/>
      <c r="TK1380" s="120"/>
      <c r="TL1380" s="120"/>
      <c r="TM1380" s="120"/>
      <c r="TN1380" s="120"/>
      <c r="TO1380" s="120"/>
      <c r="TP1380" s="120"/>
      <c r="TQ1380" s="120"/>
      <c r="TR1380" s="120"/>
      <c r="TS1380" s="120"/>
      <c r="TT1380" s="120"/>
      <c r="TU1380" s="120"/>
      <c r="TV1380" s="120"/>
      <c r="TW1380" s="120"/>
      <c r="TX1380" s="120"/>
      <c r="TY1380" s="120"/>
      <c r="TZ1380" s="120"/>
      <c r="UA1380" s="120"/>
      <c r="UB1380" s="120"/>
      <c r="UC1380" s="120"/>
      <c r="UD1380" s="120"/>
      <c r="UE1380" s="120"/>
      <c r="UF1380" s="120"/>
      <c r="UG1380" s="120"/>
      <c r="UH1380" s="120"/>
      <c r="UI1380" s="120"/>
      <c r="UJ1380" s="120"/>
      <c r="UK1380" s="120"/>
      <c r="UL1380" s="120"/>
      <c r="UM1380" s="120"/>
      <c r="UN1380" s="120"/>
      <c r="UO1380" s="120"/>
      <c r="UP1380" s="120"/>
      <c r="UQ1380" s="120"/>
      <c r="UR1380" s="120"/>
      <c r="US1380" s="120"/>
      <c r="UT1380" s="120"/>
      <c r="UU1380" s="120"/>
      <c r="UV1380" s="120"/>
      <c r="UW1380" s="120"/>
      <c r="UX1380" s="120"/>
      <c r="UY1380" s="120"/>
      <c r="UZ1380" s="120"/>
      <c r="VA1380" s="120"/>
      <c r="VB1380" s="120"/>
      <c r="VC1380" s="120"/>
      <c r="VD1380" s="120"/>
      <c r="VE1380" s="120"/>
      <c r="VF1380" s="120"/>
      <c r="VG1380" s="120"/>
      <c r="VH1380" s="120"/>
      <c r="VI1380" s="120"/>
      <c r="VJ1380" s="120"/>
      <c r="VK1380" s="120"/>
      <c r="VL1380" s="120"/>
      <c r="VM1380" s="120"/>
      <c r="VN1380" s="120"/>
      <c r="VO1380" s="120"/>
      <c r="VP1380" s="120"/>
      <c r="VQ1380" s="120"/>
      <c r="VR1380" s="120"/>
      <c r="VS1380" s="120"/>
      <c r="VT1380" s="120"/>
      <c r="VU1380" s="120"/>
      <c r="VV1380" s="120"/>
      <c r="VW1380" s="120"/>
      <c r="VX1380" s="120"/>
      <c r="VY1380" s="120"/>
      <c r="VZ1380" s="120"/>
      <c r="WA1380" s="120"/>
      <c r="WB1380" s="120"/>
      <c r="WC1380" s="120"/>
      <c r="WD1380" s="120"/>
      <c r="WE1380" s="120"/>
      <c r="WF1380" s="120"/>
      <c r="WG1380" s="120"/>
      <c r="WH1380" s="120"/>
      <c r="WI1380" s="120"/>
      <c r="WJ1380" s="120"/>
      <c r="WK1380" s="120"/>
      <c r="WL1380" s="120"/>
      <c r="WM1380" s="120"/>
      <c r="WN1380" s="120"/>
      <c r="WO1380" s="120"/>
      <c r="WP1380" s="120"/>
      <c r="WQ1380" s="120"/>
      <c r="WR1380" s="120"/>
      <c r="WS1380" s="120"/>
      <c r="WT1380" s="120"/>
      <c r="WU1380" s="120"/>
      <c r="WV1380" s="120"/>
      <c r="WW1380" s="120"/>
      <c r="WX1380" s="120"/>
      <c r="WY1380" s="120"/>
      <c r="WZ1380" s="120"/>
      <c r="XA1380" s="120"/>
      <c r="XB1380" s="120"/>
      <c r="XC1380" s="120"/>
      <c r="XD1380" s="120"/>
      <c r="XE1380" s="120"/>
      <c r="XF1380" s="120"/>
      <c r="XG1380" s="120"/>
      <c r="XH1380" s="120"/>
      <c r="XI1380" s="120"/>
      <c r="XJ1380" s="120"/>
      <c r="XK1380" s="120"/>
      <c r="XL1380" s="120"/>
      <c r="XM1380" s="120"/>
      <c r="XN1380" s="120"/>
      <c r="XO1380" s="120"/>
      <c r="XP1380" s="120"/>
      <c r="XQ1380" s="120"/>
      <c r="XR1380" s="120"/>
      <c r="XS1380" s="120"/>
      <c r="XT1380" s="120"/>
      <c r="XU1380" s="120"/>
      <c r="XV1380" s="120"/>
      <c r="XW1380" s="120"/>
      <c r="XX1380" s="120"/>
      <c r="XY1380" s="120"/>
      <c r="XZ1380" s="120"/>
      <c r="YA1380" s="120"/>
      <c r="YB1380" s="120"/>
      <c r="YC1380" s="120"/>
      <c r="YD1380" s="120"/>
      <c r="YE1380" s="120"/>
      <c r="YF1380" s="120"/>
      <c r="YG1380" s="120"/>
      <c r="YH1380" s="120"/>
      <c r="YI1380" s="120"/>
      <c r="YJ1380" s="120"/>
      <c r="YK1380" s="120"/>
      <c r="YL1380" s="120"/>
      <c r="YM1380" s="120"/>
      <c r="YN1380" s="120"/>
      <c r="YO1380" s="120"/>
      <c r="YP1380" s="120"/>
      <c r="YQ1380" s="120"/>
      <c r="YR1380" s="120"/>
      <c r="YS1380" s="120"/>
      <c r="YT1380" s="120"/>
      <c r="YU1380" s="120"/>
      <c r="YV1380" s="120"/>
      <c r="YW1380" s="120"/>
      <c r="YX1380" s="120"/>
      <c r="YY1380" s="120"/>
      <c r="YZ1380" s="120"/>
      <c r="ZA1380" s="120"/>
      <c r="ZB1380" s="120"/>
      <c r="ZC1380" s="120"/>
      <c r="ZD1380" s="120"/>
      <c r="ZE1380" s="120"/>
      <c r="ZF1380" s="120"/>
      <c r="ZG1380" s="120"/>
      <c r="ZH1380" s="120"/>
      <c r="ZI1380" s="120"/>
      <c r="ZJ1380" s="120"/>
      <c r="ZK1380" s="120"/>
      <c r="ZL1380" s="120"/>
      <c r="ZM1380" s="120"/>
      <c r="ZN1380" s="120"/>
      <c r="ZO1380" s="120"/>
      <c r="ZP1380" s="120"/>
      <c r="ZQ1380" s="120"/>
      <c r="ZR1380" s="120"/>
      <c r="ZS1380" s="120"/>
      <c r="ZT1380" s="120"/>
      <c r="ZU1380" s="120"/>
      <c r="ZV1380" s="120"/>
      <c r="ZW1380" s="120"/>
      <c r="ZX1380" s="120"/>
      <c r="ZY1380" s="120"/>
      <c r="ZZ1380" s="120"/>
      <c r="AAA1380" s="120"/>
      <c r="AAB1380" s="120"/>
      <c r="AAC1380" s="120"/>
      <c r="AAD1380" s="120"/>
      <c r="AAE1380" s="120"/>
      <c r="AAF1380" s="120"/>
      <c r="AAG1380" s="120"/>
      <c r="AAH1380" s="120"/>
      <c r="AAI1380" s="120"/>
      <c r="AAJ1380" s="120"/>
      <c r="AAK1380" s="120"/>
      <c r="AAL1380" s="120"/>
      <c r="AAM1380" s="120"/>
      <c r="AAN1380" s="120"/>
      <c r="AAO1380" s="120"/>
      <c r="AAP1380" s="120"/>
      <c r="AAQ1380" s="120"/>
      <c r="AAR1380" s="120"/>
      <c r="AAS1380" s="120"/>
      <c r="AAT1380" s="120"/>
      <c r="AAU1380" s="120"/>
      <c r="AAV1380" s="120"/>
      <c r="AAW1380" s="120"/>
      <c r="AAX1380" s="120"/>
      <c r="AAY1380" s="120"/>
      <c r="AAZ1380" s="120"/>
      <c r="ABA1380" s="120"/>
      <c r="ABB1380" s="120"/>
      <c r="ABC1380" s="120"/>
      <c r="ABD1380" s="120"/>
      <c r="ABE1380" s="120"/>
      <c r="ABF1380" s="120"/>
      <c r="ABG1380" s="120"/>
      <c r="ABH1380" s="120"/>
      <c r="ABI1380" s="120"/>
      <c r="ABJ1380" s="120"/>
      <c r="ABK1380" s="120"/>
      <c r="ABL1380" s="120"/>
      <c r="ABM1380" s="120"/>
      <c r="ABN1380" s="120"/>
      <c r="ABO1380" s="120"/>
      <c r="ABP1380" s="120"/>
      <c r="ABQ1380" s="120"/>
      <c r="ABR1380" s="120"/>
      <c r="ABS1380" s="120"/>
      <c r="ABT1380" s="120"/>
      <c r="ABU1380" s="120"/>
      <c r="ABV1380" s="120"/>
      <c r="ABW1380" s="120"/>
      <c r="ABX1380" s="120"/>
      <c r="ABY1380" s="120"/>
      <c r="ABZ1380" s="120"/>
      <c r="ACA1380" s="120"/>
      <c r="ACB1380" s="120"/>
      <c r="ACC1380" s="120"/>
      <c r="ACD1380" s="120"/>
      <c r="ACE1380" s="120"/>
      <c r="ACF1380" s="120"/>
      <c r="ACG1380" s="120"/>
      <c r="ACH1380" s="120"/>
      <c r="ACI1380" s="120"/>
      <c r="ACJ1380" s="120"/>
      <c r="ACK1380" s="120"/>
      <c r="ACL1380" s="120"/>
      <c r="ACM1380" s="120"/>
      <c r="ACN1380" s="120"/>
      <c r="ACO1380" s="120"/>
      <c r="ACP1380" s="120"/>
      <c r="ACQ1380" s="120"/>
      <c r="ACR1380" s="120"/>
      <c r="ACS1380" s="120"/>
      <c r="ACT1380" s="120"/>
      <c r="ACU1380" s="120"/>
      <c r="ACV1380" s="120"/>
      <c r="ACW1380" s="120"/>
      <c r="ACX1380" s="120"/>
      <c r="ACY1380" s="120"/>
      <c r="ACZ1380" s="120"/>
      <c r="ADA1380" s="120"/>
      <c r="ADB1380" s="120"/>
      <c r="ADC1380" s="120"/>
      <c r="ADD1380" s="120"/>
      <c r="ADE1380" s="120"/>
      <c r="ADF1380" s="120"/>
      <c r="ADG1380" s="120"/>
      <c r="ADH1380" s="120"/>
      <c r="ADI1380" s="120"/>
      <c r="ADJ1380" s="120"/>
      <c r="ADK1380" s="120"/>
      <c r="ADL1380" s="120"/>
      <c r="ADM1380" s="120"/>
      <c r="ADN1380" s="120"/>
      <c r="ADO1380" s="120"/>
      <c r="ADP1380" s="120"/>
      <c r="ADQ1380" s="120"/>
      <c r="ADR1380" s="120"/>
      <c r="ADS1380" s="120"/>
      <c r="ADT1380" s="120"/>
      <c r="ADU1380" s="120"/>
      <c r="ADV1380" s="120"/>
      <c r="ADW1380" s="120"/>
      <c r="ADX1380" s="120"/>
      <c r="ADY1380" s="120"/>
      <c r="ADZ1380" s="120"/>
      <c r="AEA1380" s="120"/>
      <c r="AEB1380" s="120"/>
      <c r="AEC1380" s="120"/>
      <c r="AED1380" s="120"/>
      <c r="AEE1380" s="120"/>
      <c r="AEF1380" s="120"/>
      <c r="AEG1380" s="120"/>
      <c r="AEH1380" s="120"/>
      <c r="AEI1380" s="120"/>
      <c r="AEJ1380" s="120"/>
      <c r="AEK1380" s="120"/>
      <c r="AEL1380" s="120"/>
      <c r="AEM1380" s="120"/>
      <c r="AEN1380" s="120"/>
      <c r="AEO1380" s="120"/>
      <c r="AEP1380" s="120"/>
      <c r="AEQ1380" s="120"/>
      <c r="AER1380" s="120"/>
      <c r="AES1380" s="120"/>
      <c r="AET1380" s="120"/>
      <c r="AEU1380" s="120"/>
      <c r="AEV1380" s="120"/>
      <c r="AEW1380" s="120"/>
      <c r="AEX1380" s="120"/>
      <c r="AEY1380" s="120"/>
      <c r="AEZ1380" s="120"/>
      <c r="AFA1380" s="120"/>
      <c r="AFB1380" s="120"/>
      <c r="AFC1380" s="120"/>
      <c r="AFD1380" s="120"/>
      <c r="AFE1380" s="120"/>
      <c r="AFF1380" s="120"/>
      <c r="AFG1380" s="120"/>
      <c r="AFH1380" s="120"/>
      <c r="AFI1380" s="120"/>
      <c r="AFJ1380" s="120"/>
      <c r="AFK1380" s="120"/>
      <c r="AFL1380" s="120"/>
      <c r="AFM1380" s="120"/>
      <c r="AFN1380" s="120"/>
      <c r="AFO1380" s="120"/>
      <c r="AFP1380" s="120"/>
      <c r="AFQ1380" s="120"/>
      <c r="AFR1380" s="120"/>
      <c r="AFS1380" s="120"/>
      <c r="AFT1380" s="120"/>
      <c r="AFU1380" s="120"/>
      <c r="AFV1380" s="120"/>
      <c r="AFW1380" s="120"/>
      <c r="AFX1380" s="120"/>
      <c r="AFY1380" s="120"/>
      <c r="AFZ1380" s="120"/>
      <c r="AGA1380" s="120"/>
      <c r="AGB1380" s="120"/>
      <c r="AGC1380" s="120"/>
      <c r="AGD1380" s="120"/>
      <c r="AGE1380" s="120"/>
      <c r="AGF1380" s="120"/>
      <c r="AGG1380" s="120"/>
      <c r="AGH1380" s="120"/>
      <c r="AGI1380" s="120"/>
      <c r="AGJ1380" s="120"/>
      <c r="AGK1380" s="120"/>
      <c r="AGL1380" s="120"/>
      <c r="AGM1380" s="120"/>
      <c r="AGN1380" s="120"/>
      <c r="AGO1380" s="120"/>
      <c r="AGP1380" s="120"/>
      <c r="AGQ1380" s="120"/>
      <c r="AGR1380" s="120"/>
      <c r="AGS1380" s="120"/>
      <c r="AGT1380" s="120"/>
      <c r="AGU1380" s="120"/>
      <c r="AGV1380" s="120"/>
      <c r="AGW1380" s="120"/>
      <c r="AGX1380" s="120"/>
      <c r="AGY1380" s="120"/>
      <c r="AGZ1380" s="120"/>
      <c r="AHA1380" s="120"/>
      <c r="AHB1380" s="120"/>
      <c r="AHC1380" s="120"/>
      <c r="AHD1380" s="120"/>
      <c r="AHE1380" s="120"/>
      <c r="AHF1380" s="120"/>
      <c r="AHG1380" s="120"/>
      <c r="AHH1380" s="120"/>
      <c r="AHI1380" s="120"/>
      <c r="AHJ1380" s="120"/>
      <c r="AHK1380" s="120"/>
      <c r="AHL1380" s="120"/>
      <c r="AHM1380" s="120"/>
      <c r="AHN1380" s="120"/>
      <c r="AHO1380" s="120"/>
      <c r="AHP1380" s="120"/>
      <c r="AHQ1380" s="120"/>
      <c r="AHR1380" s="120"/>
      <c r="AHS1380" s="120"/>
      <c r="AHT1380" s="120"/>
      <c r="AHU1380" s="120"/>
      <c r="AHV1380" s="120"/>
      <c r="AHW1380" s="120"/>
      <c r="AHX1380" s="120"/>
      <c r="AHY1380" s="120"/>
      <c r="AHZ1380" s="120"/>
      <c r="AIA1380" s="120"/>
      <c r="AIB1380" s="120"/>
      <c r="AIC1380" s="120"/>
      <c r="AID1380" s="120"/>
      <c r="AIE1380" s="120"/>
      <c r="AIF1380" s="120"/>
      <c r="AIG1380" s="120"/>
      <c r="AIH1380" s="120"/>
      <c r="AII1380" s="120"/>
      <c r="AIJ1380" s="120"/>
      <c r="AIK1380" s="120"/>
      <c r="AIL1380" s="120"/>
      <c r="AIM1380" s="120"/>
      <c r="AIN1380" s="120"/>
      <c r="AIO1380" s="120"/>
      <c r="AIP1380" s="120"/>
      <c r="AIQ1380" s="120"/>
      <c r="AIR1380" s="120"/>
      <c r="AIS1380" s="120"/>
      <c r="AIT1380" s="120"/>
      <c r="AIU1380" s="120"/>
      <c r="AIV1380" s="120"/>
      <c r="AIW1380" s="120"/>
      <c r="AIX1380" s="120"/>
      <c r="AIY1380" s="120"/>
      <c r="AIZ1380" s="120"/>
      <c r="AJA1380" s="120"/>
      <c r="AJB1380" s="120"/>
      <c r="AJC1380" s="120"/>
      <c r="AJD1380" s="120"/>
      <c r="AJE1380" s="120"/>
      <c r="AJF1380" s="120"/>
      <c r="AJG1380" s="120"/>
      <c r="AJH1380" s="120"/>
      <c r="AJI1380" s="120"/>
      <c r="AJJ1380" s="120"/>
      <c r="AJK1380" s="120"/>
      <c r="AJL1380" s="120"/>
      <c r="AJM1380" s="120"/>
      <c r="AJN1380" s="120"/>
      <c r="AJO1380" s="120"/>
      <c r="AJP1380" s="120"/>
      <c r="AJQ1380" s="120"/>
      <c r="AJR1380" s="120"/>
      <c r="AJS1380" s="120"/>
      <c r="AJT1380" s="120"/>
      <c r="AJU1380" s="120"/>
      <c r="AJV1380" s="120"/>
      <c r="AJW1380" s="120"/>
      <c r="AJX1380" s="120"/>
      <c r="AJY1380" s="120"/>
      <c r="AJZ1380" s="120"/>
      <c r="AKA1380" s="120"/>
      <c r="AKB1380" s="120"/>
      <c r="AKC1380" s="120"/>
      <c r="AKD1380" s="120"/>
      <c r="AKE1380" s="120"/>
      <c r="AKF1380" s="120"/>
      <c r="AKG1380" s="120"/>
      <c r="AKH1380" s="120"/>
      <c r="AKI1380" s="120"/>
      <c r="AKJ1380" s="120"/>
      <c r="AKK1380" s="120"/>
      <c r="AKL1380" s="120"/>
      <c r="AKM1380" s="120"/>
      <c r="AKN1380" s="120"/>
      <c r="AKO1380" s="120"/>
      <c r="AKP1380" s="120"/>
      <c r="AKQ1380" s="120"/>
      <c r="AKR1380" s="120"/>
      <c r="AKS1380" s="120"/>
      <c r="AKT1380" s="120"/>
      <c r="AKU1380" s="120"/>
      <c r="AKV1380" s="120"/>
      <c r="AKW1380" s="120"/>
      <c r="AKX1380" s="120"/>
      <c r="AKY1380" s="120"/>
      <c r="AKZ1380" s="120"/>
      <c r="ALA1380" s="120"/>
      <c r="ALB1380" s="120"/>
      <c r="ALC1380" s="120"/>
      <c r="ALD1380" s="120"/>
      <c r="ALE1380" s="120"/>
      <c r="ALF1380" s="120"/>
      <c r="ALG1380" s="120"/>
      <c r="ALH1380" s="120"/>
      <c r="ALI1380" s="120"/>
      <c r="ALJ1380" s="120"/>
      <c r="ALK1380" s="120"/>
      <c r="ALL1380" s="120"/>
      <c r="ALM1380" s="120"/>
      <c r="ALN1380" s="120"/>
      <c r="ALO1380" s="120"/>
      <c r="ALP1380" s="120"/>
      <c r="ALQ1380" s="120"/>
      <c r="ALR1380" s="120"/>
      <c r="ALS1380" s="120"/>
      <c r="ALT1380" s="120"/>
      <c r="ALU1380" s="120"/>
      <c r="ALV1380" s="120"/>
      <c r="ALW1380" s="120"/>
      <c r="ALX1380" s="120"/>
      <c r="ALY1380" s="120"/>
      <c r="ALZ1380" s="120"/>
      <c r="AMA1380" s="120"/>
      <c r="AMB1380" s="120"/>
      <c r="AMC1380" s="120"/>
      <c r="AMD1380" s="120"/>
      <c r="AME1380" s="120"/>
      <c r="AMF1380" s="120"/>
      <c r="AMG1380" s="120"/>
      <c r="AMH1380" s="120"/>
      <c r="AMI1380" s="120"/>
      <c r="AMJ1380" s="120"/>
      <c r="AMK1380" s="120"/>
      <c r="AML1380" s="120"/>
      <c r="AMM1380" s="120"/>
      <c r="AMN1380" s="120"/>
      <c r="AMO1380" s="120"/>
      <c r="AMP1380" s="120"/>
      <c r="AMQ1380" s="120"/>
      <c r="AMR1380" s="120"/>
      <c r="AMS1380" s="120"/>
      <c r="AMT1380" s="120"/>
      <c r="AMU1380" s="120"/>
      <c r="AMV1380" s="120"/>
      <c r="AMW1380" s="120"/>
      <c r="AMX1380" s="120"/>
      <c r="AMY1380" s="120"/>
      <c r="AMZ1380" s="120"/>
      <c r="ANA1380" s="120"/>
      <c r="ANB1380" s="120"/>
      <c r="ANC1380" s="120"/>
      <c r="AND1380" s="120"/>
      <c r="ANE1380" s="120"/>
      <c r="ANF1380" s="120"/>
      <c r="ANG1380" s="120"/>
      <c r="ANH1380" s="120"/>
      <c r="ANI1380" s="120"/>
      <c r="ANJ1380" s="120"/>
      <c r="ANK1380" s="120"/>
      <c r="ANL1380" s="120"/>
      <c r="ANM1380" s="120"/>
      <c r="ANN1380" s="120"/>
      <c r="ANO1380" s="120"/>
      <c r="ANP1380" s="120"/>
      <c r="ANQ1380" s="120"/>
      <c r="ANR1380" s="120"/>
      <c r="ANS1380" s="120"/>
      <c r="ANT1380" s="120"/>
      <c r="ANU1380" s="120"/>
      <c r="ANV1380" s="120"/>
      <c r="ANW1380" s="120"/>
      <c r="ANX1380" s="120"/>
      <c r="ANY1380" s="120"/>
      <c r="ANZ1380" s="120"/>
      <c r="AOA1380" s="120"/>
      <c r="AOB1380" s="120"/>
      <c r="AOC1380" s="120"/>
      <c r="AOD1380" s="120"/>
      <c r="AOE1380" s="120"/>
      <c r="AOF1380" s="120"/>
      <c r="AOG1380" s="120"/>
      <c r="AOH1380" s="120"/>
      <c r="AOI1380" s="120"/>
      <c r="AOJ1380" s="120"/>
      <c r="AOK1380" s="120"/>
      <c r="AOL1380" s="120"/>
      <c r="AOM1380" s="120"/>
      <c r="AON1380" s="120"/>
      <c r="AOO1380" s="120"/>
      <c r="AOP1380" s="120"/>
      <c r="AOQ1380" s="120"/>
      <c r="AOR1380" s="120"/>
      <c r="AOS1380" s="120"/>
      <c r="AOT1380" s="120"/>
      <c r="AOU1380" s="120"/>
      <c r="AOV1380" s="120"/>
      <c r="AOW1380" s="120"/>
      <c r="AOX1380" s="120"/>
      <c r="AOY1380" s="120"/>
      <c r="AOZ1380" s="120"/>
      <c r="APA1380" s="120"/>
      <c r="APB1380" s="120"/>
      <c r="APC1380" s="120"/>
      <c r="APD1380" s="120"/>
      <c r="APE1380" s="120"/>
      <c r="APF1380" s="120"/>
      <c r="APG1380" s="120"/>
      <c r="APH1380" s="120"/>
      <c r="API1380" s="120"/>
      <c r="APJ1380" s="120"/>
      <c r="APK1380" s="120"/>
      <c r="APL1380" s="120"/>
      <c r="APM1380" s="120"/>
      <c r="APN1380" s="120"/>
      <c r="APO1380" s="120"/>
      <c r="APP1380" s="120"/>
      <c r="APQ1380" s="120"/>
      <c r="APR1380" s="120"/>
      <c r="APS1380" s="120"/>
      <c r="APT1380" s="120"/>
      <c r="APU1380" s="120"/>
      <c r="APV1380" s="120"/>
      <c r="APW1380" s="120"/>
      <c r="APX1380" s="120"/>
      <c r="APY1380" s="120"/>
      <c r="APZ1380" s="120"/>
      <c r="AQA1380" s="120"/>
      <c r="AQB1380" s="120"/>
      <c r="AQC1380" s="120"/>
      <c r="AQD1380" s="120"/>
      <c r="AQE1380" s="120"/>
      <c r="AQF1380" s="120"/>
      <c r="AQG1380" s="120"/>
      <c r="AQH1380" s="120"/>
      <c r="AQI1380" s="120"/>
      <c r="AQJ1380" s="120"/>
      <c r="AQK1380" s="120"/>
      <c r="AQL1380" s="120"/>
      <c r="AQM1380" s="120"/>
      <c r="AQN1380" s="120"/>
      <c r="AQO1380" s="120"/>
      <c r="AQP1380" s="120"/>
      <c r="AQQ1380" s="120"/>
      <c r="AQR1380" s="120"/>
      <c r="AQS1380" s="120"/>
      <c r="AQT1380" s="120"/>
      <c r="AQU1380" s="120"/>
      <c r="AQV1380" s="120"/>
      <c r="AQW1380" s="120"/>
      <c r="AQX1380" s="120"/>
      <c r="AQY1380" s="120"/>
      <c r="AQZ1380" s="120"/>
      <c r="ARA1380" s="120"/>
      <c r="ARB1380" s="120"/>
      <c r="ARC1380" s="120"/>
      <c r="ARD1380" s="120"/>
      <c r="ARE1380" s="120"/>
      <c r="ARF1380" s="120"/>
      <c r="ARG1380" s="120"/>
      <c r="ARH1380" s="120"/>
      <c r="ARI1380" s="120"/>
      <c r="ARJ1380" s="120"/>
      <c r="ARK1380" s="120"/>
      <c r="ARL1380" s="120"/>
      <c r="ARM1380" s="120"/>
      <c r="ARN1380" s="120"/>
      <c r="ARO1380" s="120"/>
      <c r="ARP1380" s="120"/>
      <c r="ARQ1380" s="120"/>
      <c r="ARR1380" s="120"/>
      <c r="ARS1380" s="120"/>
      <c r="ART1380" s="120"/>
      <c r="ARU1380" s="120"/>
      <c r="ARV1380" s="120"/>
      <c r="ARW1380" s="120"/>
      <c r="ARX1380" s="120"/>
      <c r="ARY1380" s="120"/>
      <c r="ARZ1380" s="120"/>
      <c r="ASA1380" s="120"/>
      <c r="ASB1380" s="120"/>
      <c r="ASC1380" s="120"/>
      <c r="ASD1380" s="120"/>
      <c r="ASE1380" s="120"/>
      <c r="ASF1380" s="120"/>
      <c r="ASG1380" s="120"/>
      <c r="ASH1380" s="120"/>
      <c r="ASI1380" s="120"/>
      <c r="ASJ1380" s="120"/>
      <c r="ASK1380" s="120"/>
      <c r="ASL1380" s="120"/>
      <c r="ASM1380" s="120"/>
      <c r="ASN1380" s="120"/>
      <c r="ASO1380" s="120"/>
      <c r="ASP1380" s="120"/>
      <c r="ASQ1380" s="120"/>
      <c r="ASR1380" s="120"/>
      <c r="ASS1380" s="120"/>
      <c r="AST1380" s="120"/>
      <c r="ASU1380" s="120"/>
      <c r="ASV1380" s="120"/>
      <c r="ASW1380" s="120"/>
      <c r="ASX1380" s="120"/>
      <c r="ASY1380" s="120"/>
      <c r="ASZ1380" s="120"/>
      <c r="ATA1380" s="120"/>
      <c r="ATB1380" s="120"/>
      <c r="ATC1380" s="120"/>
      <c r="ATD1380" s="120"/>
      <c r="ATE1380" s="120"/>
      <c r="ATF1380" s="120"/>
      <c r="ATG1380" s="120"/>
      <c r="ATH1380" s="120"/>
      <c r="ATI1380" s="120"/>
      <c r="ATJ1380" s="120"/>
      <c r="ATK1380" s="120"/>
      <c r="ATL1380" s="120"/>
      <c r="ATM1380" s="120"/>
      <c r="ATN1380" s="120"/>
      <c r="ATO1380" s="120"/>
    </row>
    <row r="1381" spans="1:1211" s="20" customFormat="1" ht="14.1" customHeight="1">
      <c r="A1381" s="112"/>
      <c r="B1381" s="945"/>
      <c r="C1381" s="184"/>
      <c r="D1381" s="120"/>
      <c r="E1381" s="701"/>
      <c r="F1381" s="703"/>
      <c r="G1381" s="702"/>
      <c r="H1381" s="702"/>
      <c r="I1381" s="702"/>
      <c r="J1381" s="700"/>
      <c r="K1381" s="112"/>
      <c r="L1381" s="363"/>
      <c r="M1381" s="112"/>
      <c r="N1381" s="362"/>
      <c r="O1381" s="573"/>
      <c r="P1381" s="120"/>
      <c r="Q1381" s="120"/>
      <c r="R1381" s="120"/>
      <c r="S1381" s="120"/>
      <c r="T1381" s="120"/>
      <c r="U1381" s="120"/>
      <c r="V1381" s="120"/>
      <c r="W1381" s="120"/>
      <c r="X1381" s="120"/>
      <c r="Y1381" s="120"/>
      <c r="Z1381" s="120"/>
      <c r="AA1381" s="120"/>
      <c r="AB1381" s="120"/>
      <c r="AC1381" s="120"/>
      <c r="AD1381" s="120"/>
      <c r="AE1381" s="120"/>
      <c r="AF1381" s="120"/>
      <c r="AG1381" s="120"/>
      <c r="AH1381" s="120"/>
      <c r="AI1381" s="120"/>
      <c r="AJ1381" s="120"/>
      <c r="AK1381" s="120"/>
      <c r="AL1381" s="120"/>
      <c r="AM1381" s="120"/>
      <c r="AN1381" s="120"/>
      <c r="AO1381" s="120"/>
      <c r="AP1381" s="120"/>
      <c r="AQ1381" s="120"/>
      <c r="AR1381" s="120"/>
      <c r="AS1381" s="120"/>
      <c r="AT1381" s="120"/>
      <c r="AU1381" s="120"/>
      <c r="AV1381" s="120"/>
      <c r="AW1381" s="120"/>
      <c r="AX1381" s="120"/>
      <c r="AY1381" s="120"/>
      <c r="AZ1381" s="120"/>
      <c r="BA1381" s="120"/>
      <c r="BB1381" s="120"/>
      <c r="BC1381" s="120"/>
      <c r="BD1381" s="120"/>
      <c r="BE1381" s="120"/>
      <c r="BF1381" s="120"/>
      <c r="BG1381" s="120"/>
      <c r="BH1381" s="120"/>
      <c r="BI1381" s="120"/>
      <c r="BJ1381" s="120"/>
      <c r="BK1381" s="120"/>
      <c r="BL1381" s="120"/>
      <c r="BM1381" s="120"/>
      <c r="BN1381" s="120"/>
      <c r="BO1381" s="120"/>
      <c r="BP1381" s="120"/>
      <c r="BQ1381" s="120"/>
      <c r="BR1381" s="120"/>
      <c r="BS1381" s="120"/>
      <c r="BT1381" s="120"/>
      <c r="BU1381" s="120"/>
      <c r="BV1381" s="120"/>
      <c r="BW1381" s="120"/>
      <c r="BX1381" s="120"/>
      <c r="BY1381" s="120"/>
      <c r="BZ1381" s="120"/>
      <c r="CA1381" s="120"/>
      <c r="CB1381" s="120"/>
      <c r="CC1381" s="120"/>
      <c r="CD1381" s="120"/>
      <c r="CE1381" s="120"/>
      <c r="CF1381" s="120"/>
      <c r="CG1381" s="120"/>
      <c r="CH1381" s="120"/>
      <c r="CI1381" s="120"/>
      <c r="CJ1381" s="120"/>
      <c r="CK1381" s="120"/>
      <c r="CL1381" s="120"/>
      <c r="CM1381" s="120"/>
      <c r="CN1381" s="120"/>
      <c r="CO1381" s="120"/>
      <c r="CP1381" s="120"/>
      <c r="CQ1381" s="120"/>
      <c r="CR1381" s="120"/>
      <c r="CS1381" s="120"/>
      <c r="CT1381" s="120"/>
      <c r="CU1381" s="120"/>
      <c r="CV1381" s="120"/>
      <c r="CW1381" s="120"/>
      <c r="CX1381" s="120"/>
      <c r="CY1381" s="120"/>
      <c r="CZ1381" s="120"/>
      <c r="DA1381" s="120"/>
      <c r="DB1381" s="120"/>
      <c r="DC1381" s="120"/>
      <c r="DD1381" s="120"/>
      <c r="DE1381" s="120"/>
      <c r="DF1381" s="120"/>
      <c r="DG1381" s="120"/>
      <c r="DH1381" s="120"/>
      <c r="DI1381" s="120"/>
      <c r="DJ1381" s="120"/>
      <c r="DK1381" s="120"/>
      <c r="DL1381" s="120"/>
      <c r="DM1381" s="120"/>
      <c r="DN1381" s="120"/>
      <c r="DO1381" s="120"/>
      <c r="DP1381" s="120"/>
      <c r="DQ1381" s="120"/>
      <c r="DR1381" s="120"/>
      <c r="DS1381" s="120"/>
      <c r="DT1381" s="120"/>
      <c r="DU1381" s="120"/>
      <c r="DV1381" s="120"/>
      <c r="DW1381" s="120"/>
      <c r="DX1381" s="120"/>
      <c r="DY1381" s="120"/>
      <c r="DZ1381" s="120"/>
      <c r="EA1381" s="120"/>
      <c r="EB1381" s="120"/>
      <c r="EC1381" s="120"/>
      <c r="ED1381" s="120"/>
      <c r="EE1381" s="120"/>
      <c r="EF1381" s="120"/>
      <c r="EG1381" s="120"/>
      <c r="EH1381" s="120"/>
      <c r="EI1381" s="120"/>
      <c r="EJ1381" s="120"/>
      <c r="EK1381" s="120"/>
      <c r="EL1381" s="120"/>
      <c r="EM1381" s="120"/>
      <c r="EN1381" s="120"/>
      <c r="EO1381" s="120"/>
      <c r="EP1381" s="120"/>
      <c r="EQ1381" s="120"/>
      <c r="ER1381" s="120"/>
      <c r="ES1381" s="120"/>
      <c r="ET1381" s="120"/>
      <c r="EU1381" s="120"/>
      <c r="EV1381" s="120"/>
      <c r="EW1381" s="120"/>
      <c r="EX1381" s="120"/>
      <c r="EY1381" s="120"/>
      <c r="EZ1381" s="120"/>
      <c r="FA1381" s="120"/>
      <c r="FB1381" s="120"/>
      <c r="FC1381" s="120"/>
      <c r="FD1381" s="120"/>
      <c r="FE1381" s="120"/>
      <c r="FF1381" s="120"/>
      <c r="FG1381" s="120"/>
      <c r="FH1381" s="120"/>
      <c r="FI1381" s="120"/>
      <c r="FJ1381" s="120"/>
      <c r="FK1381" s="120"/>
      <c r="FL1381" s="120"/>
      <c r="FM1381" s="120"/>
      <c r="FN1381" s="120"/>
      <c r="FO1381" s="120"/>
      <c r="FP1381" s="120"/>
      <c r="FQ1381" s="120"/>
      <c r="FR1381" s="120"/>
      <c r="FS1381" s="120"/>
      <c r="FT1381" s="120"/>
      <c r="FU1381" s="120"/>
      <c r="FV1381" s="120"/>
      <c r="FW1381" s="120"/>
      <c r="FX1381" s="120"/>
      <c r="FY1381" s="120"/>
      <c r="FZ1381" s="120"/>
      <c r="GA1381" s="120"/>
      <c r="GB1381" s="120"/>
      <c r="GC1381" s="120"/>
      <c r="GD1381" s="120"/>
      <c r="GE1381" s="120"/>
      <c r="GF1381" s="120"/>
      <c r="GG1381" s="120"/>
      <c r="GH1381" s="120"/>
      <c r="GI1381" s="120"/>
      <c r="GJ1381" s="120"/>
      <c r="GK1381" s="120"/>
      <c r="GL1381" s="120"/>
      <c r="GM1381" s="120"/>
      <c r="GN1381" s="120"/>
      <c r="GO1381" s="120"/>
      <c r="GP1381" s="120"/>
      <c r="GQ1381" s="120"/>
      <c r="GR1381" s="120"/>
      <c r="GS1381" s="120"/>
      <c r="GT1381" s="120"/>
      <c r="GU1381" s="120"/>
      <c r="GV1381" s="120"/>
      <c r="GW1381" s="120"/>
      <c r="GX1381" s="120"/>
      <c r="GY1381" s="120"/>
      <c r="GZ1381" s="120"/>
      <c r="HA1381" s="120"/>
      <c r="HB1381" s="120"/>
      <c r="HC1381" s="120"/>
      <c r="HD1381" s="120"/>
      <c r="HE1381" s="120"/>
      <c r="HF1381" s="120"/>
      <c r="HG1381" s="120"/>
      <c r="HH1381" s="120"/>
      <c r="HI1381" s="120"/>
      <c r="HJ1381" s="120"/>
      <c r="HK1381" s="120"/>
      <c r="HL1381" s="120"/>
      <c r="HM1381" s="120"/>
      <c r="HN1381" s="120"/>
      <c r="HO1381" s="120"/>
      <c r="HP1381" s="120"/>
      <c r="HQ1381" s="120"/>
      <c r="HR1381" s="120"/>
      <c r="HS1381" s="120"/>
      <c r="HT1381" s="120"/>
      <c r="HU1381" s="120"/>
      <c r="HV1381" s="120"/>
      <c r="HW1381" s="120"/>
      <c r="HX1381" s="120"/>
      <c r="HY1381" s="120"/>
      <c r="HZ1381" s="120"/>
      <c r="IA1381" s="120"/>
      <c r="IB1381" s="120"/>
      <c r="IC1381" s="120"/>
      <c r="ID1381" s="120"/>
      <c r="IE1381" s="120"/>
      <c r="IF1381" s="120"/>
      <c r="IG1381" s="120"/>
      <c r="IH1381" s="120"/>
      <c r="II1381" s="120"/>
      <c r="IJ1381" s="120"/>
      <c r="IK1381" s="120"/>
      <c r="IL1381" s="120"/>
      <c r="IM1381" s="120"/>
      <c r="IN1381" s="120"/>
      <c r="IO1381" s="120"/>
      <c r="IP1381" s="120"/>
      <c r="IQ1381" s="120"/>
      <c r="IR1381" s="120"/>
      <c r="IS1381" s="120"/>
      <c r="IT1381" s="120"/>
      <c r="IU1381" s="120"/>
      <c r="IV1381" s="120"/>
      <c r="IW1381" s="120"/>
      <c r="IX1381" s="120"/>
      <c r="IY1381" s="120"/>
      <c r="IZ1381" s="120"/>
      <c r="JA1381" s="120"/>
      <c r="JB1381" s="120"/>
      <c r="JC1381" s="120"/>
      <c r="JD1381" s="120"/>
      <c r="JE1381" s="120"/>
      <c r="JF1381" s="120"/>
      <c r="JG1381" s="120"/>
      <c r="JH1381" s="120"/>
      <c r="JI1381" s="120"/>
      <c r="JJ1381" s="120"/>
      <c r="JK1381" s="120"/>
      <c r="JL1381" s="120"/>
      <c r="JM1381" s="120"/>
      <c r="JN1381" s="120"/>
      <c r="JO1381" s="120"/>
      <c r="JP1381" s="120"/>
      <c r="JQ1381" s="120"/>
      <c r="JR1381" s="120"/>
      <c r="JS1381" s="120"/>
      <c r="JT1381" s="120"/>
      <c r="JU1381" s="120"/>
      <c r="JV1381" s="120"/>
      <c r="JW1381" s="120"/>
      <c r="JX1381" s="120"/>
      <c r="JY1381" s="120"/>
      <c r="JZ1381" s="120"/>
      <c r="KA1381" s="120"/>
      <c r="KB1381" s="120"/>
      <c r="KC1381" s="120"/>
      <c r="KD1381" s="120"/>
      <c r="KE1381" s="120"/>
      <c r="KF1381" s="120"/>
      <c r="KG1381" s="120"/>
      <c r="KH1381" s="120"/>
      <c r="KI1381" s="120"/>
      <c r="KJ1381" s="120"/>
      <c r="KK1381" s="120"/>
      <c r="KL1381" s="120"/>
      <c r="KM1381" s="120"/>
      <c r="KN1381" s="120"/>
      <c r="KO1381" s="120"/>
      <c r="KP1381" s="120"/>
      <c r="KQ1381" s="120"/>
      <c r="KR1381" s="120"/>
      <c r="KS1381" s="120"/>
      <c r="KT1381" s="120"/>
      <c r="KU1381" s="120"/>
      <c r="KV1381" s="120"/>
      <c r="KW1381" s="120"/>
      <c r="KX1381" s="120"/>
      <c r="KY1381" s="120"/>
      <c r="KZ1381" s="120"/>
      <c r="LA1381" s="120"/>
      <c r="LB1381" s="120"/>
      <c r="LC1381" s="120"/>
      <c r="LD1381" s="120"/>
      <c r="LE1381" s="120"/>
      <c r="LF1381" s="120"/>
      <c r="LG1381" s="120"/>
      <c r="LH1381" s="120"/>
      <c r="LI1381" s="120"/>
      <c r="LJ1381" s="120"/>
      <c r="LK1381" s="120"/>
      <c r="LL1381" s="120"/>
      <c r="LM1381" s="120"/>
      <c r="LN1381" s="120"/>
      <c r="LO1381" s="120"/>
      <c r="LP1381" s="120"/>
      <c r="LQ1381" s="120"/>
      <c r="LR1381" s="120"/>
      <c r="LS1381" s="120"/>
      <c r="LT1381" s="120"/>
      <c r="LU1381" s="120"/>
      <c r="LV1381" s="120"/>
      <c r="LW1381" s="120"/>
      <c r="LX1381" s="120"/>
      <c r="LY1381" s="120"/>
      <c r="LZ1381" s="120"/>
      <c r="MA1381" s="120"/>
      <c r="MB1381" s="120"/>
      <c r="MC1381" s="120"/>
      <c r="MD1381" s="120"/>
      <c r="ME1381" s="120"/>
      <c r="MF1381" s="120"/>
      <c r="MG1381" s="120"/>
      <c r="MH1381" s="120"/>
      <c r="MI1381" s="120"/>
      <c r="MJ1381" s="120"/>
      <c r="MK1381" s="120"/>
      <c r="ML1381" s="120"/>
      <c r="MM1381" s="120"/>
      <c r="MN1381" s="120"/>
      <c r="MO1381" s="120"/>
      <c r="MP1381" s="120"/>
      <c r="MQ1381" s="120"/>
      <c r="MR1381" s="120"/>
      <c r="MS1381" s="120"/>
      <c r="MT1381" s="120"/>
      <c r="MU1381" s="120"/>
      <c r="MV1381" s="120"/>
      <c r="MW1381" s="120"/>
      <c r="MX1381" s="120"/>
      <c r="MY1381" s="120"/>
      <c r="MZ1381" s="120"/>
      <c r="NA1381" s="120"/>
      <c r="NB1381" s="120"/>
      <c r="NC1381" s="120"/>
      <c r="ND1381" s="120"/>
      <c r="NE1381" s="120"/>
      <c r="NF1381" s="120"/>
      <c r="NG1381" s="120"/>
      <c r="NH1381" s="120"/>
      <c r="NI1381" s="120"/>
      <c r="NJ1381" s="120"/>
      <c r="NK1381" s="120"/>
      <c r="NL1381" s="120"/>
      <c r="NM1381" s="120"/>
      <c r="NN1381" s="120"/>
      <c r="NO1381" s="120"/>
      <c r="NP1381" s="120"/>
      <c r="NQ1381" s="120"/>
      <c r="NR1381" s="120"/>
      <c r="NS1381" s="120"/>
      <c r="NT1381" s="120"/>
      <c r="NU1381" s="120"/>
      <c r="NV1381" s="120"/>
      <c r="NW1381" s="120"/>
      <c r="NX1381" s="120"/>
      <c r="NY1381" s="120"/>
      <c r="NZ1381" s="120"/>
      <c r="OA1381" s="120"/>
      <c r="OB1381" s="120"/>
      <c r="OC1381" s="120"/>
      <c r="OD1381" s="120"/>
      <c r="OE1381" s="120"/>
      <c r="OF1381" s="120"/>
      <c r="OG1381" s="120"/>
      <c r="OH1381" s="120"/>
      <c r="OI1381" s="120"/>
      <c r="OJ1381" s="120"/>
      <c r="OK1381" s="120"/>
      <c r="OL1381" s="120"/>
      <c r="OM1381" s="120"/>
      <c r="ON1381" s="120"/>
      <c r="OO1381" s="120"/>
      <c r="OP1381" s="120"/>
      <c r="OQ1381" s="120"/>
      <c r="OR1381" s="120"/>
      <c r="OS1381" s="120"/>
      <c r="OT1381" s="120"/>
      <c r="OU1381" s="120"/>
      <c r="OV1381" s="120"/>
      <c r="OW1381" s="120"/>
      <c r="OX1381" s="120"/>
      <c r="OY1381" s="120"/>
      <c r="OZ1381" s="120"/>
      <c r="PA1381" s="120"/>
      <c r="PB1381" s="120"/>
      <c r="PC1381" s="120"/>
      <c r="PD1381" s="120"/>
      <c r="PE1381" s="120"/>
      <c r="PF1381" s="120"/>
      <c r="PG1381" s="120"/>
      <c r="PH1381" s="120"/>
      <c r="PI1381" s="120"/>
      <c r="PJ1381" s="120"/>
      <c r="PK1381" s="120"/>
      <c r="PL1381" s="120"/>
      <c r="PM1381" s="120"/>
      <c r="PN1381" s="120"/>
      <c r="PO1381" s="120"/>
      <c r="PP1381" s="120"/>
      <c r="PQ1381" s="120"/>
      <c r="PR1381" s="120"/>
      <c r="PS1381" s="120"/>
      <c r="PT1381" s="120"/>
      <c r="PU1381" s="120"/>
      <c r="PV1381" s="120"/>
      <c r="PW1381" s="120"/>
      <c r="PX1381" s="120"/>
      <c r="PY1381" s="120"/>
      <c r="PZ1381" s="120"/>
      <c r="QA1381" s="120"/>
      <c r="QB1381" s="120"/>
      <c r="QC1381" s="120"/>
      <c r="QD1381" s="120"/>
      <c r="QE1381" s="120"/>
      <c r="QF1381" s="120"/>
      <c r="QG1381" s="120"/>
      <c r="QH1381" s="120"/>
      <c r="QI1381" s="120"/>
      <c r="QJ1381" s="120"/>
      <c r="QK1381" s="120"/>
      <c r="QL1381" s="120"/>
      <c r="QM1381" s="120"/>
      <c r="QN1381" s="120"/>
      <c r="QO1381" s="120"/>
      <c r="QP1381" s="120"/>
      <c r="QQ1381" s="120"/>
      <c r="QR1381" s="120"/>
      <c r="QS1381" s="120"/>
      <c r="QT1381" s="120"/>
      <c r="QU1381" s="120"/>
      <c r="QV1381" s="120"/>
      <c r="QW1381" s="120"/>
      <c r="QX1381" s="120"/>
      <c r="QY1381" s="120"/>
      <c r="QZ1381" s="120"/>
      <c r="RA1381" s="120"/>
      <c r="RB1381" s="120"/>
      <c r="RC1381" s="120"/>
      <c r="RD1381" s="120"/>
      <c r="RE1381" s="120"/>
      <c r="RF1381" s="120"/>
      <c r="RG1381" s="120"/>
      <c r="RH1381" s="120"/>
      <c r="RI1381" s="120"/>
      <c r="RJ1381" s="120"/>
      <c r="RK1381" s="120"/>
      <c r="RL1381" s="120"/>
      <c r="RM1381" s="120"/>
      <c r="RN1381" s="120"/>
      <c r="RO1381" s="120"/>
      <c r="RP1381" s="120"/>
      <c r="RQ1381" s="120"/>
      <c r="RR1381" s="120"/>
      <c r="RS1381" s="120"/>
      <c r="RT1381" s="120"/>
      <c r="RU1381" s="120"/>
      <c r="RV1381" s="120"/>
      <c r="RW1381" s="120"/>
      <c r="RX1381" s="120"/>
      <c r="RY1381" s="120"/>
      <c r="RZ1381" s="120"/>
      <c r="SA1381" s="120"/>
      <c r="SB1381" s="120"/>
      <c r="SC1381" s="120"/>
      <c r="SD1381" s="120"/>
      <c r="SE1381" s="120"/>
      <c r="SF1381" s="120"/>
      <c r="SG1381" s="120"/>
      <c r="SH1381" s="120"/>
      <c r="SI1381" s="120"/>
      <c r="SJ1381" s="120"/>
      <c r="SK1381" s="120"/>
      <c r="SL1381" s="120"/>
      <c r="SM1381" s="120"/>
      <c r="SN1381" s="120"/>
      <c r="SO1381" s="120"/>
      <c r="SP1381" s="120"/>
      <c r="SQ1381" s="120"/>
      <c r="SR1381" s="120"/>
      <c r="SS1381" s="120"/>
      <c r="ST1381" s="120"/>
      <c r="SU1381" s="120"/>
      <c r="SV1381" s="120"/>
      <c r="SW1381" s="120"/>
      <c r="SX1381" s="120"/>
      <c r="SY1381" s="120"/>
      <c r="SZ1381" s="120"/>
      <c r="TA1381" s="120"/>
      <c r="TB1381" s="120"/>
      <c r="TC1381" s="120"/>
      <c r="TD1381" s="120"/>
      <c r="TE1381" s="120"/>
      <c r="TF1381" s="120"/>
      <c r="TG1381" s="120"/>
      <c r="TH1381" s="120"/>
      <c r="TI1381" s="120"/>
      <c r="TJ1381" s="120"/>
      <c r="TK1381" s="120"/>
      <c r="TL1381" s="120"/>
      <c r="TM1381" s="120"/>
      <c r="TN1381" s="120"/>
      <c r="TO1381" s="120"/>
      <c r="TP1381" s="120"/>
      <c r="TQ1381" s="120"/>
      <c r="TR1381" s="120"/>
      <c r="TS1381" s="120"/>
      <c r="TT1381" s="120"/>
      <c r="TU1381" s="120"/>
      <c r="TV1381" s="120"/>
      <c r="TW1381" s="120"/>
      <c r="TX1381" s="120"/>
      <c r="TY1381" s="120"/>
      <c r="TZ1381" s="120"/>
      <c r="UA1381" s="120"/>
      <c r="UB1381" s="120"/>
      <c r="UC1381" s="120"/>
      <c r="UD1381" s="120"/>
      <c r="UE1381" s="120"/>
      <c r="UF1381" s="120"/>
      <c r="UG1381" s="120"/>
      <c r="UH1381" s="120"/>
      <c r="UI1381" s="120"/>
      <c r="UJ1381" s="120"/>
      <c r="UK1381" s="120"/>
      <c r="UL1381" s="120"/>
      <c r="UM1381" s="120"/>
      <c r="UN1381" s="120"/>
      <c r="UO1381" s="120"/>
      <c r="UP1381" s="120"/>
      <c r="UQ1381" s="120"/>
      <c r="UR1381" s="120"/>
      <c r="US1381" s="120"/>
      <c r="UT1381" s="120"/>
      <c r="UU1381" s="120"/>
      <c r="UV1381" s="120"/>
      <c r="UW1381" s="120"/>
      <c r="UX1381" s="120"/>
      <c r="UY1381" s="120"/>
      <c r="UZ1381" s="120"/>
      <c r="VA1381" s="120"/>
      <c r="VB1381" s="120"/>
      <c r="VC1381" s="120"/>
      <c r="VD1381" s="120"/>
      <c r="VE1381" s="120"/>
      <c r="VF1381" s="120"/>
      <c r="VG1381" s="120"/>
      <c r="VH1381" s="120"/>
      <c r="VI1381" s="120"/>
      <c r="VJ1381" s="120"/>
      <c r="VK1381" s="120"/>
      <c r="VL1381" s="120"/>
      <c r="VM1381" s="120"/>
      <c r="VN1381" s="120"/>
      <c r="VO1381" s="120"/>
      <c r="VP1381" s="120"/>
      <c r="VQ1381" s="120"/>
      <c r="VR1381" s="120"/>
      <c r="VS1381" s="120"/>
      <c r="VT1381" s="120"/>
      <c r="VU1381" s="120"/>
      <c r="VV1381" s="120"/>
      <c r="VW1381" s="120"/>
      <c r="VX1381" s="120"/>
      <c r="VY1381" s="120"/>
      <c r="VZ1381" s="120"/>
      <c r="WA1381" s="120"/>
      <c r="WB1381" s="120"/>
      <c r="WC1381" s="120"/>
      <c r="WD1381" s="120"/>
      <c r="WE1381" s="120"/>
      <c r="WF1381" s="120"/>
      <c r="WG1381" s="120"/>
      <c r="WH1381" s="120"/>
      <c r="WI1381" s="120"/>
      <c r="WJ1381" s="120"/>
      <c r="WK1381" s="120"/>
      <c r="WL1381" s="120"/>
      <c r="WM1381" s="120"/>
      <c r="WN1381" s="120"/>
      <c r="WO1381" s="120"/>
      <c r="WP1381" s="120"/>
      <c r="WQ1381" s="120"/>
      <c r="WR1381" s="120"/>
      <c r="WS1381" s="120"/>
      <c r="WT1381" s="120"/>
      <c r="WU1381" s="120"/>
      <c r="WV1381" s="120"/>
      <c r="WW1381" s="120"/>
      <c r="WX1381" s="120"/>
      <c r="WY1381" s="120"/>
      <c r="WZ1381" s="120"/>
      <c r="XA1381" s="120"/>
      <c r="XB1381" s="120"/>
      <c r="XC1381" s="120"/>
      <c r="XD1381" s="120"/>
      <c r="XE1381" s="120"/>
      <c r="XF1381" s="120"/>
      <c r="XG1381" s="120"/>
      <c r="XH1381" s="120"/>
      <c r="XI1381" s="120"/>
      <c r="XJ1381" s="120"/>
      <c r="XK1381" s="120"/>
      <c r="XL1381" s="120"/>
      <c r="XM1381" s="120"/>
      <c r="XN1381" s="120"/>
      <c r="XO1381" s="120"/>
      <c r="XP1381" s="120"/>
      <c r="XQ1381" s="120"/>
      <c r="XR1381" s="120"/>
      <c r="XS1381" s="120"/>
      <c r="XT1381" s="120"/>
      <c r="XU1381" s="120"/>
      <c r="XV1381" s="120"/>
      <c r="XW1381" s="120"/>
      <c r="XX1381" s="120"/>
      <c r="XY1381" s="120"/>
      <c r="XZ1381" s="120"/>
      <c r="YA1381" s="120"/>
      <c r="YB1381" s="120"/>
      <c r="YC1381" s="120"/>
      <c r="YD1381" s="120"/>
      <c r="YE1381" s="120"/>
      <c r="YF1381" s="120"/>
      <c r="YG1381" s="120"/>
      <c r="YH1381" s="120"/>
      <c r="YI1381" s="120"/>
      <c r="YJ1381" s="120"/>
      <c r="YK1381" s="120"/>
      <c r="YL1381" s="120"/>
      <c r="YM1381" s="120"/>
      <c r="YN1381" s="120"/>
      <c r="YO1381" s="120"/>
      <c r="YP1381" s="120"/>
      <c r="YQ1381" s="120"/>
      <c r="YR1381" s="120"/>
      <c r="YS1381" s="120"/>
      <c r="YT1381" s="120"/>
      <c r="YU1381" s="120"/>
      <c r="YV1381" s="120"/>
      <c r="YW1381" s="120"/>
      <c r="YX1381" s="120"/>
      <c r="YY1381" s="120"/>
      <c r="YZ1381" s="120"/>
      <c r="ZA1381" s="120"/>
      <c r="ZB1381" s="120"/>
      <c r="ZC1381" s="120"/>
      <c r="ZD1381" s="120"/>
      <c r="ZE1381" s="120"/>
      <c r="ZF1381" s="120"/>
      <c r="ZG1381" s="120"/>
      <c r="ZH1381" s="120"/>
      <c r="ZI1381" s="120"/>
      <c r="ZJ1381" s="120"/>
      <c r="ZK1381" s="120"/>
      <c r="ZL1381" s="120"/>
      <c r="ZM1381" s="120"/>
      <c r="ZN1381" s="120"/>
      <c r="ZO1381" s="120"/>
      <c r="ZP1381" s="120"/>
      <c r="ZQ1381" s="120"/>
      <c r="ZR1381" s="120"/>
      <c r="ZS1381" s="120"/>
      <c r="ZT1381" s="120"/>
      <c r="ZU1381" s="120"/>
      <c r="ZV1381" s="120"/>
      <c r="ZW1381" s="120"/>
      <c r="ZX1381" s="120"/>
      <c r="ZY1381" s="120"/>
      <c r="ZZ1381" s="120"/>
      <c r="AAA1381" s="120"/>
      <c r="AAB1381" s="120"/>
      <c r="AAC1381" s="120"/>
      <c r="AAD1381" s="120"/>
      <c r="AAE1381" s="120"/>
      <c r="AAF1381" s="120"/>
      <c r="AAG1381" s="120"/>
      <c r="AAH1381" s="120"/>
      <c r="AAI1381" s="120"/>
      <c r="AAJ1381" s="120"/>
      <c r="AAK1381" s="120"/>
      <c r="AAL1381" s="120"/>
      <c r="AAM1381" s="120"/>
      <c r="AAN1381" s="120"/>
      <c r="AAO1381" s="120"/>
      <c r="AAP1381" s="120"/>
      <c r="AAQ1381" s="120"/>
      <c r="AAR1381" s="120"/>
      <c r="AAS1381" s="120"/>
      <c r="AAT1381" s="120"/>
      <c r="AAU1381" s="120"/>
      <c r="AAV1381" s="120"/>
      <c r="AAW1381" s="120"/>
      <c r="AAX1381" s="120"/>
      <c r="AAY1381" s="120"/>
      <c r="AAZ1381" s="120"/>
      <c r="ABA1381" s="120"/>
      <c r="ABB1381" s="120"/>
      <c r="ABC1381" s="120"/>
      <c r="ABD1381" s="120"/>
      <c r="ABE1381" s="120"/>
      <c r="ABF1381" s="120"/>
      <c r="ABG1381" s="120"/>
      <c r="ABH1381" s="120"/>
      <c r="ABI1381" s="120"/>
      <c r="ABJ1381" s="120"/>
      <c r="ABK1381" s="120"/>
      <c r="ABL1381" s="120"/>
      <c r="ABM1381" s="120"/>
      <c r="ABN1381" s="120"/>
      <c r="ABO1381" s="120"/>
      <c r="ABP1381" s="120"/>
      <c r="ABQ1381" s="120"/>
      <c r="ABR1381" s="120"/>
      <c r="ABS1381" s="120"/>
      <c r="ABT1381" s="120"/>
      <c r="ABU1381" s="120"/>
      <c r="ABV1381" s="120"/>
      <c r="ABW1381" s="120"/>
      <c r="ABX1381" s="120"/>
      <c r="ABY1381" s="120"/>
      <c r="ABZ1381" s="120"/>
      <c r="ACA1381" s="120"/>
      <c r="ACB1381" s="120"/>
      <c r="ACC1381" s="120"/>
      <c r="ACD1381" s="120"/>
      <c r="ACE1381" s="120"/>
      <c r="ACF1381" s="120"/>
      <c r="ACG1381" s="120"/>
      <c r="ACH1381" s="120"/>
      <c r="ACI1381" s="120"/>
      <c r="ACJ1381" s="120"/>
      <c r="ACK1381" s="120"/>
      <c r="ACL1381" s="120"/>
      <c r="ACM1381" s="120"/>
      <c r="ACN1381" s="120"/>
      <c r="ACO1381" s="120"/>
      <c r="ACP1381" s="120"/>
      <c r="ACQ1381" s="120"/>
      <c r="ACR1381" s="120"/>
      <c r="ACS1381" s="120"/>
      <c r="ACT1381" s="120"/>
      <c r="ACU1381" s="120"/>
      <c r="ACV1381" s="120"/>
      <c r="ACW1381" s="120"/>
      <c r="ACX1381" s="120"/>
      <c r="ACY1381" s="120"/>
      <c r="ACZ1381" s="120"/>
      <c r="ADA1381" s="120"/>
      <c r="ADB1381" s="120"/>
      <c r="ADC1381" s="120"/>
      <c r="ADD1381" s="120"/>
      <c r="ADE1381" s="120"/>
      <c r="ADF1381" s="120"/>
      <c r="ADG1381" s="120"/>
      <c r="ADH1381" s="120"/>
      <c r="ADI1381" s="120"/>
      <c r="ADJ1381" s="120"/>
      <c r="ADK1381" s="120"/>
      <c r="ADL1381" s="120"/>
      <c r="ADM1381" s="120"/>
      <c r="ADN1381" s="120"/>
      <c r="ADO1381" s="120"/>
      <c r="ADP1381" s="120"/>
      <c r="ADQ1381" s="120"/>
      <c r="ADR1381" s="120"/>
      <c r="ADS1381" s="120"/>
      <c r="ADT1381" s="120"/>
      <c r="ADU1381" s="120"/>
      <c r="ADV1381" s="120"/>
      <c r="ADW1381" s="120"/>
      <c r="ADX1381" s="120"/>
      <c r="ADY1381" s="120"/>
      <c r="ADZ1381" s="120"/>
      <c r="AEA1381" s="120"/>
      <c r="AEB1381" s="120"/>
      <c r="AEC1381" s="120"/>
      <c r="AED1381" s="120"/>
      <c r="AEE1381" s="120"/>
      <c r="AEF1381" s="120"/>
      <c r="AEG1381" s="120"/>
      <c r="AEH1381" s="120"/>
      <c r="AEI1381" s="120"/>
      <c r="AEJ1381" s="120"/>
      <c r="AEK1381" s="120"/>
      <c r="AEL1381" s="120"/>
      <c r="AEM1381" s="120"/>
      <c r="AEN1381" s="120"/>
      <c r="AEO1381" s="120"/>
      <c r="AEP1381" s="120"/>
      <c r="AEQ1381" s="120"/>
      <c r="AER1381" s="120"/>
      <c r="AES1381" s="120"/>
      <c r="AET1381" s="120"/>
      <c r="AEU1381" s="120"/>
      <c r="AEV1381" s="120"/>
      <c r="AEW1381" s="120"/>
      <c r="AEX1381" s="120"/>
      <c r="AEY1381" s="120"/>
      <c r="AEZ1381" s="120"/>
      <c r="AFA1381" s="120"/>
      <c r="AFB1381" s="120"/>
      <c r="AFC1381" s="120"/>
      <c r="AFD1381" s="120"/>
      <c r="AFE1381" s="120"/>
      <c r="AFF1381" s="120"/>
      <c r="AFG1381" s="120"/>
      <c r="AFH1381" s="120"/>
      <c r="AFI1381" s="120"/>
      <c r="AFJ1381" s="120"/>
      <c r="AFK1381" s="120"/>
      <c r="AFL1381" s="120"/>
      <c r="AFM1381" s="120"/>
      <c r="AFN1381" s="120"/>
      <c r="AFO1381" s="120"/>
      <c r="AFP1381" s="120"/>
      <c r="AFQ1381" s="120"/>
      <c r="AFR1381" s="120"/>
      <c r="AFS1381" s="120"/>
      <c r="AFT1381" s="120"/>
      <c r="AFU1381" s="120"/>
      <c r="AFV1381" s="120"/>
      <c r="AFW1381" s="120"/>
      <c r="AFX1381" s="120"/>
      <c r="AFY1381" s="120"/>
      <c r="AFZ1381" s="120"/>
      <c r="AGA1381" s="120"/>
      <c r="AGB1381" s="120"/>
      <c r="AGC1381" s="120"/>
      <c r="AGD1381" s="120"/>
      <c r="AGE1381" s="120"/>
      <c r="AGF1381" s="120"/>
      <c r="AGG1381" s="120"/>
      <c r="AGH1381" s="120"/>
      <c r="AGI1381" s="120"/>
      <c r="AGJ1381" s="120"/>
      <c r="AGK1381" s="120"/>
      <c r="AGL1381" s="120"/>
      <c r="AGM1381" s="120"/>
      <c r="AGN1381" s="120"/>
      <c r="AGO1381" s="120"/>
      <c r="AGP1381" s="120"/>
      <c r="AGQ1381" s="120"/>
      <c r="AGR1381" s="120"/>
      <c r="AGS1381" s="120"/>
      <c r="AGT1381" s="120"/>
      <c r="AGU1381" s="120"/>
      <c r="AGV1381" s="120"/>
      <c r="AGW1381" s="120"/>
      <c r="AGX1381" s="120"/>
      <c r="AGY1381" s="120"/>
      <c r="AGZ1381" s="120"/>
      <c r="AHA1381" s="120"/>
      <c r="AHB1381" s="120"/>
      <c r="AHC1381" s="120"/>
      <c r="AHD1381" s="120"/>
      <c r="AHE1381" s="120"/>
      <c r="AHF1381" s="120"/>
      <c r="AHG1381" s="120"/>
      <c r="AHH1381" s="120"/>
      <c r="AHI1381" s="120"/>
      <c r="AHJ1381" s="120"/>
      <c r="AHK1381" s="120"/>
      <c r="AHL1381" s="120"/>
      <c r="AHM1381" s="120"/>
      <c r="AHN1381" s="120"/>
      <c r="AHO1381" s="120"/>
      <c r="AHP1381" s="120"/>
      <c r="AHQ1381" s="120"/>
      <c r="AHR1381" s="120"/>
      <c r="AHS1381" s="120"/>
      <c r="AHT1381" s="120"/>
      <c r="AHU1381" s="120"/>
      <c r="AHV1381" s="120"/>
      <c r="AHW1381" s="120"/>
      <c r="AHX1381" s="120"/>
      <c r="AHY1381" s="120"/>
      <c r="AHZ1381" s="120"/>
      <c r="AIA1381" s="120"/>
      <c r="AIB1381" s="120"/>
      <c r="AIC1381" s="120"/>
      <c r="AID1381" s="120"/>
      <c r="AIE1381" s="120"/>
      <c r="AIF1381" s="120"/>
      <c r="AIG1381" s="120"/>
      <c r="AIH1381" s="120"/>
      <c r="AII1381" s="120"/>
      <c r="AIJ1381" s="120"/>
      <c r="AIK1381" s="120"/>
      <c r="AIL1381" s="120"/>
      <c r="AIM1381" s="120"/>
      <c r="AIN1381" s="120"/>
      <c r="AIO1381" s="120"/>
      <c r="AIP1381" s="120"/>
      <c r="AIQ1381" s="120"/>
      <c r="AIR1381" s="120"/>
      <c r="AIS1381" s="120"/>
      <c r="AIT1381" s="120"/>
      <c r="AIU1381" s="120"/>
      <c r="AIV1381" s="120"/>
      <c r="AIW1381" s="120"/>
      <c r="AIX1381" s="120"/>
      <c r="AIY1381" s="120"/>
      <c r="AIZ1381" s="120"/>
      <c r="AJA1381" s="120"/>
      <c r="AJB1381" s="120"/>
      <c r="AJC1381" s="120"/>
      <c r="AJD1381" s="120"/>
      <c r="AJE1381" s="120"/>
      <c r="AJF1381" s="120"/>
      <c r="AJG1381" s="120"/>
      <c r="AJH1381" s="120"/>
      <c r="AJI1381" s="120"/>
      <c r="AJJ1381" s="120"/>
      <c r="AJK1381" s="120"/>
      <c r="AJL1381" s="120"/>
      <c r="AJM1381" s="120"/>
      <c r="AJN1381" s="120"/>
      <c r="AJO1381" s="120"/>
      <c r="AJP1381" s="120"/>
      <c r="AJQ1381" s="120"/>
      <c r="AJR1381" s="120"/>
      <c r="AJS1381" s="120"/>
      <c r="AJT1381" s="120"/>
      <c r="AJU1381" s="120"/>
      <c r="AJV1381" s="120"/>
      <c r="AJW1381" s="120"/>
      <c r="AJX1381" s="120"/>
      <c r="AJY1381" s="120"/>
      <c r="AJZ1381" s="120"/>
      <c r="AKA1381" s="120"/>
      <c r="AKB1381" s="120"/>
      <c r="AKC1381" s="120"/>
      <c r="AKD1381" s="120"/>
      <c r="AKE1381" s="120"/>
      <c r="AKF1381" s="120"/>
      <c r="AKG1381" s="120"/>
      <c r="AKH1381" s="120"/>
      <c r="AKI1381" s="120"/>
      <c r="AKJ1381" s="120"/>
      <c r="AKK1381" s="120"/>
      <c r="AKL1381" s="120"/>
      <c r="AKM1381" s="120"/>
      <c r="AKN1381" s="120"/>
      <c r="AKO1381" s="120"/>
      <c r="AKP1381" s="120"/>
      <c r="AKQ1381" s="120"/>
      <c r="AKR1381" s="120"/>
      <c r="AKS1381" s="120"/>
      <c r="AKT1381" s="120"/>
      <c r="AKU1381" s="120"/>
      <c r="AKV1381" s="120"/>
      <c r="AKW1381" s="120"/>
      <c r="AKX1381" s="120"/>
      <c r="AKY1381" s="120"/>
      <c r="AKZ1381" s="120"/>
      <c r="ALA1381" s="120"/>
      <c r="ALB1381" s="120"/>
      <c r="ALC1381" s="120"/>
      <c r="ALD1381" s="120"/>
      <c r="ALE1381" s="120"/>
      <c r="ALF1381" s="120"/>
      <c r="ALG1381" s="120"/>
      <c r="ALH1381" s="120"/>
      <c r="ALI1381" s="120"/>
      <c r="ALJ1381" s="120"/>
      <c r="ALK1381" s="120"/>
      <c r="ALL1381" s="120"/>
      <c r="ALM1381" s="120"/>
      <c r="ALN1381" s="120"/>
      <c r="ALO1381" s="120"/>
      <c r="ALP1381" s="120"/>
      <c r="ALQ1381" s="120"/>
      <c r="ALR1381" s="120"/>
      <c r="ALS1381" s="120"/>
      <c r="ALT1381" s="120"/>
      <c r="ALU1381" s="120"/>
      <c r="ALV1381" s="120"/>
      <c r="ALW1381" s="120"/>
      <c r="ALX1381" s="120"/>
      <c r="ALY1381" s="120"/>
      <c r="ALZ1381" s="120"/>
      <c r="AMA1381" s="120"/>
      <c r="AMB1381" s="120"/>
      <c r="AMC1381" s="120"/>
      <c r="AMD1381" s="120"/>
      <c r="AME1381" s="120"/>
      <c r="AMF1381" s="120"/>
      <c r="AMG1381" s="120"/>
      <c r="AMH1381" s="120"/>
      <c r="AMI1381" s="120"/>
      <c r="AMJ1381" s="120"/>
      <c r="AMK1381" s="120"/>
      <c r="AML1381" s="120"/>
      <c r="AMM1381" s="120"/>
      <c r="AMN1381" s="120"/>
      <c r="AMO1381" s="120"/>
      <c r="AMP1381" s="120"/>
      <c r="AMQ1381" s="120"/>
      <c r="AMR1381" s="120"/>
      <c r="AMS1381" s="120"/>
      <c r="AMT1381" s="120"/>
      <c r="AMU1381" s="120"/>
      <c r="AMV1381" s="120"/>
      <c r="AMW1381" s="120"/>
      <c r="AMX1381" s="120"/>
      <c r="AMY1381" s="120"/>
      <c r="AMZ1381" s="120"/>
      <c r="ANA1381" s="120"/>
      <c r="ANB1381" s="120"/>
      <c r="ANC1381" s="120"/>
      <c r="AND1381" s="120"/>
      <c r="ANE1381" s="120"/>
      <c r="ANF1381" s="120"/>
      <c r="ANG1381" s="120"/>
      <c r="ANH1381" s="120"/>
      <c r="ANI1381" s="120"/>
      <c r="ANJ1381" s="120"/>
      <c r="ANK1381" s="120"/>
      <c r="ANL1381" s="120"/>
      <c r="ANM1381" s="120"/>
      <c r="ANN1381" s="120"/>
      <c r="ANO1381" s="120"/>
      <c r="ANP1381" s="120"/>
      <c r="ANQ1381" s="120"/>
      <c r="ANR1381" s="120"/>
      <c r="ANS1381" s="120"/>
      <c r="ANT1381" s="120"/>
      <c r="ANU1381" s="120"/>
      <c r="ANV1381" s="120"/>
      <c r="ANW1381" s="120"/>
      <c r="ANX1381" s="120"/>
      <c r="ANY1381" s="120"/>
      <c r="ANZ1381" s="120"/>
      <c r="AOA1381" s="120"/>
      <c r="AOB1381" s="120"/>
      <c r="AOC1381" s="120"/>
      <c r="AOD1381" s="120"/>
      <c r="AOE1381" s="120"/>
      <c r="AOF1381" s="120"/>
      <c r="AOG1381" s="120"/>
      <c r="AOH1381" s="120"/>
      <c r="AOI1381" s="120"/>
      <c r="AOJ1381" s="120"/>
      <c r="AOK1381" s="120"/>
      <c r="AOL1381" s="120"/>
      <c r="AOM1381" s="120"/>
      <c r="AON1381" s="120"/>
      <c r="AOO1381" s="120"/>
      <c r="AOP1381" s="120"/>
      <c r="AOQ1381" s="120"/>
      <c r="AOR1381" s="120"/>
      <c r="AOS1381" s="120"/>
      <c r="AOT1381" s="120"/>
      <c r="AOU1381" s="120"/>
      <c r="AOV1381" s="120"/>
      <c r="AOW1381" s="120"/>
      <c r="AOX1381" s="120"/>
      <c r="AOY1381" s="120"/>
      <c r="AOZ1381" s="120"/>
      <c r="APA1381" s="120"/>
      <c r="APB1381" s="120"/>
      <c r="APC1381" s="120"/>
      <c r="APD1381" s="120"/>
      <c r="APE1381" s="120"/>
      <c r="APF1381" s="120"/>
      <c r="APG1381" s="120"/>
      <c r="APH1381" s="120"/>
      <c r="API1381" s="120"/>
      <c r="APJ1381" s="120"/>
      <c r="APK1381" s="120"/>
      <c r="APL1381" s="120"/>
      <c r="APM1381" s="120"/>
      <c r="APN1381" s="120"/>
      <c r="APO1381" s="120"/>
      <c r="APP1381" s="120"/>
      <c r="APQ1381" s="120"/>
      <c r="APR1381" s="120"/>
      <c r="APS1381" s="120"/>
      <c r="APT1381" s="120"/>
      <c r="APU1381" s="120"/>
      <c r="APV1381" s="120"/>
      <c r="APW1381" s="120"/>
      <c r="APX1381" s="120"/>
      <c r="APY1381" s="120"/>
      <c r="APZ1381" s="120"/>
      <c r="AQA1381" s="120"/>
      <c r="AQB1381" s="120"/>
      <c r="AQC1381" s="120"/>
      <c r="AQD1381" s="120"/>
      <c r="AQE1381" s="120"/>
      <c r="AQF1381" s="120"/>
      <c r="AQG1381" s="120"/>
      <c r="AQH1381" s="120"/>
      <c r="AQI1381" s="120"/>
      <c r="AQJ1381" s="120"/>
      <c r="AQK1381" s="120"/>
      <c r="AQL1381" s="120"/>
      <c r="AQM1381" s="120"/>
      <c r="AQN1381" s="120"/>
      <c r="AQO1381" s="120"/>
      <c r="AQP1381" s="120"/>
      <c r="AQQ1381" s="120"/>
      <c r="AQR1381" s="120"/>
      <c r="AQS1381" s="120"/>
      <c r="AQT1381" s="120"/>
      <c r="AQU1381" s="120"/>
      <c r="AQV1381" s="120"/>
      <c r="AQW1381" s="120"/>
      <c r="AQX1381" s="120"/>
      <c r="AQY1381" s="120"/>
      <c r="AQZ1381" s="120"/>
      <c r="ARA1381" s="120"/>
      <c r="ARB1381" s="120"/>
      <c r="ARC1381" s="120"/>
      <c r="ARD1381" s="120"/>
      <c r="ARE1381" s="120"/>
      <c r="ARF1381" s="120"/>
      <c r="ARG1381" s="120"/>
      <c r="ARH1381" s="120"/>
      <c r="ARI1381" s="120"/>
      <c r="ARJ1381" s="120"/>
      <c r="ARK1381" s="120"/>
      <c r="ARL1381" s="120"/>
      <c r="ARM1381" s="120"/>
      <c r="ARN1381" s="120"/>
      <c r="ARO1381" s="120"/>
      <c r="ARP1381" s="120"/>
      <c r="ARQ1381" s="120"/>
      <c r="ARR1381" s="120"/>
      <c r="ARS1381" s="120"/>
      <c r="ART1381" s="120"/>
      <c r="ARU1381" s="120"/>
      <c r="ARV1381" s="120"/>
      <c r="ARW1381" s="120"/>
      <c r="ARX1381" s="120"/>
      <c r="ARY1381" s="120"/>
      <c r="ARZ1381" s="120"/>
      <c r="ASA1381" s="120"/>
      <c r="ASB1381" s="120"/>
      <c r="ASC1381" s="120"/>
      <c r="ASD1381" s="120"/>
      <c r="ASE1381" s="120"/>
      <c r="ASF1381" s="120"/>
      <c r="ASG1381" s="120"/>
      <c r="ASH1381" s="120"/>
      <c r="ASI1381" s="120"/>
      <c r="ASJ1381" s="120"/>
      <c r="ASK1381" s="120"/>
      <c r="ASL1381" s="120"/>
      <c r="ASM1381" s="120"/>
      <c r="ASN1381" s="120"/>
      <c r="ASO1381" s="120"/>
      <c r="ASP1381" s="120"/>
      <c r="ASQ1381" s="120"/>
      <c r="ASR1381" s="120"/>
      <c r="ASS1381" s="120"/>
      <c r="AST1381" s="120"/>
      <c r="ASU1381" s="120"/>
      <c r="ASV1381" s="120"/>
      <c r="ASW1381" s="120"/>
      <c r="ASX1381" s="120"/>
      <c r="ASY1381" s="120"/>
      <c r="ASZ1381" s="120"/>
      <c r="ATA1381" s="120"/>
      <c r="ATB1381" s="120"/>
      <c r="ATC1381" s="120"/>
      <c r="ATD1381" s="120"/>
      <c r="ATE1381" s="120"/>
      <c r="ATF1381" s="120"/>
      <c r="ATG1381" s="120"/>
      <c r="ATH1381" s="120"/>
      <c r="ATI1381" s="120"/>
      <c r="ATJ1381" s="120"/>
      <c r="ATK1381" s="120"/>
      <c r="ATL1381" s="120"/>
      <c r="ATM1381" s="120"/>
      <c r="ATN1381" s="120"/>
      <c r="ATO1381" s="120"/>
    </row>
    <row r="1382" spans="1:1211" s="20" customFormat="1" ht="14.1" customHeight="1">
      <c r="A1382" s="112"/>
      <c r="B1382" s="945" t="s">
        <v>3780</v>
      </c>
      <c r="C1382" s="184" t="s">
        <v>6144</v>
      </c>
      <c r="D1382" s="120"/>
      <c r="E1382" s="701"/>
      <c r="F1382" s="703"/>
      <c r="G1382" s="702"/>
      <c r="H1382" s="702"/>
      <c r="I1382" s="702"/>
      <c r="J1382" s="700"/>
      <c r="K1382" s="112"/>
      <c r="L1382" s="363"/>
      <c r="M1382" s="112"/>
      <c r="N1382" s="362"/>
      <c r="O1382" s="573"/>
      <c r="P1382" s="120"/>
      <c r="Q1382" s="120"/>
      <c r="R1382" s="120"/>
      <c r="S1382" s="120"/>
      <c r="T1382" s="120"/>
      <c r="U1382" s="120"/>
      <c r="V1382" s="120"/>
      <c r="W1382" s="120"/>
      <c r="X1382" s="120"/>
      <c r="Y1382" s="120"/>
      <c r="Z1382" s="120"/>
      <c r="AA1382" s="120"/>
      <c r="AB1382" s="120"/>
      <c r="AC1382" s="120"/>
      <c r="AD1382" s="120"/>
      <c r="AE1382" s="120"/>
      <c r="AF1382" s="120"/>
      <c r="AG1382" s="120"/>
      <c r="AH1382" s="120"/>
      <c r="AI1382" s="120"/>
      <c r="AJ1382" s="120"/>
      <c r="AK1382" s="120"/>
      <c r="AL1382" s="120"/>
      <c r="AM1382" s="120"/>
      <c r="AN1382" s="120"/>
      <c r="AO1382" s="120"/>
      <c r="AP1382" s="120"/>
      <c r="AQ1382" s="120"/>
      <c r="AR1382" s="120"/>
      <c r="AS1382" s="120"/>
      <c r="AT1382" s="120"/>
      <c r="AU1382" s="120"/>
      <c r="AV1382" s="120"/>
      <c r="AW1382" s="120"/>
      <c r="AX1382" s="120"/>
      <c r="AY1382" s="120"/>
      <c r="AZ1382" s="120"/>
      <c r="BA1382" s="120"/>
      <c r="BB1382" s="120"/>
      <c r="BC1382" s="120"/>
      <c r="BD1382" s="120"/>
      <c r="BE1382" s="120"/>
      <c r="BF1382" s="120"/>
      <c r="BG1382" s="120"/>
      <c r="BH1382" s="120"/>
      <c r="BI1382" s="120"/>
      <c r="BJ1382" s="120"/>
      <c r="BK1382" s="120"/>
      <c r="BL1382" s="120"/>
      <c r="BM1382" s="120"/>
      <c r="BN1382" s="120"/>
      <c r="BO1382" s="120"/>
      <c r="BP1382" s="120"/>
      <c r="BQ1382" s="120"/>
      <c r="BR1382" s="120"/>
      <c r="BS1382" s="120"/>
      <c r="BT1382" s="120"/>
      <c r="BU1382" s="120"/>
      <c r="BV1382" s="120"/>
      <c r="BW1382" s="120"/>
      <c r="BX1382" s="120"/>
      <c r="BY1382" s="120"/>
      <c r="BZ1382" s="120"/>
      <c r="CA1382" s="120"/>
      <c r="CB1382" s="120"/>
      <c r="CC1382" s="120"/>
      <c r="CD1382" s="120"/>
      <c r="CE1382" s="120"/>
      <c r="CF1382" s="120"/>
      <c r="CG1382" s="120"/>
      <c r="CH1382" s="120"/>
      <c r="CI1382" s="120"/>
      <c r="CJ1382" s="120"/>
      <c r="CK1382" s="120"/>
      <c r="CL1382" s="120"/>
      <c r="CM1382" s="120"/>
      <c r="CN1382" s="120"/>
      <c r="CO1382" s="120"/>
      <c r="CP1382" s="120"/>
      <c r="CQ1382" s="120"/>
      <c r="CR1382" s="120"/>
      <c r="CS1382" s="120"/>
      <c r="CT1382" s="120"/>
      <c r="CU1382" s="120"/>
      <c r="CV1382" s="120"/>
      <c r="CW1382" s="120"/>
      <c r="CX1382" s="120"/>
      <c r="CY1382" s="120"/>
      <c r="CZ1382" s="120"/>
      <c r="DA1382" s="120"/>
      <c r="DB1382" s="120"/>
      <c r="DC1382" s="120"/>
      <c r="DD1382" s="120"/>
      <c r="DE1382" s="120"/>
      <c r="DF1382" s="120"/>
      <c r="DG1382" s="120"/>
      <c r="DH1382" s="120"/>
      <c r="DI1382" s="120"/>
      <c r="DJ1382" s="120"/>
      <c r="DK1382" s="120"/>
      <c r="DL1382" s="120"/>
      <c r="DM1382" s="120"/>
      <c r="DN1382" s="120"/>
      <c r="DO1382" s="120"/>
      <c r="DP1382" s="120"/>
      <c r="DQ1382" s="120"/>
      <c r="DR1382" s="120"/>
      <c r="DS1382" s="120"/>
      <c r="DT1382" s="120"/>
      <c r="DU1382" s="120"/>
      <c r="DV1382" s="120"/>
      <c r="DW1382" s="120"/>
      <c r="DX1382" s="120"/>
      <c r="DY1382" s="120"/>
      <c r="DZ1382" s="120"/>
      <c r="EA1382" s="120"/>
      <c r="EB1382" s="120"/>
      <c r="EC1382" s="120"/>
      <c r="ED1382" s="120"/>
      <c r="EE1382" s="120"/>
      <c r="EF1382" s="120"/>
      <c r="EG1382" s="120"/>
      <c r="EH1382" s="120"/>
      <c r="EI1382" s="120"/>
      <c r="EJ1382" s="120"/>
      <c r="EK1382" s="120"/>
      <c r="EL1382" s="120"/>
      <c r="EM1382" s="120"/>
      <c r="EN1382" s="120"/>
      <c r="EO1382" s="120"/>
      <c r="EP1382" s="120"/>
      <c r="EQ1382" s="120"/>
      <c r="ER1382" s="120"/>
      <c r="ES1382" s="120"/>
      <c r="ET1382" s="120"/>
      <c r="EU1382" s="120"/>
      <c r="EV1382" s="120"/>
      <c r="EW1382" s="120"/>
      <c r="EX1382" s="120"/>
      <c r="EY1382" s="120"/>
      <c r="EZ1382" s="120"/>
      <c r="FA1382" s="120"/>
      <c r="FB1382" s="120"/>
      <c r="FC1382" s="120"/>
      <c r="FD1382" s="120"/>
      <c r="FE1382" s="120"/>
      <c r="FF1382" s="120"/>
      <c r="FG1382" s="120"/>
      <c r="FH1382" s="120"/>
      <c r="FI1382" s="120"/>
      <c r="FJ1382" s="120"/>
      <c r="FK1382" s="120"/>
      <c r="FL1382" s="120"/>
      <c r="FM1382" s="120"/>
      <c r="FN1382" s="120"/>
      <c r="FO1382" s="120"/>
      <c r="FP1382" s="120"/>
      <c r="FQ1382" s="120"/>
      <c r="FR1382" s="120"/>
      <c r="FS1382" s="120"/>
      <c r="FT1382" s="120"/>
      <c r="FU1382" s="120"/>
      <c r="FV1382" s="120"/>
      <c r="FW1382" s="120"/>
      <c r="FX1382" s="120"/>
      <c r="FY1382" s="120"/>
      <c r="FZ1382" s="120"/>
      <c r="GA1382" s="120"/>
      <c r="GB1382" s="120"/>
      <c r="GC1382" s="120"/>
      <c r="GD1382" s="120"/>
      <c r="GE1382" s="120"/>
      <c r="GF1382" s="120"/>
      <c r="GG1382" s="120"/>
      <c r="GH1382" s="120"/>
      <c r="GI1382" s="120"/>
      <c r="GJ1382" s="120"/>
      <c r="GK1382" s="120"/>
      <c r="GL1382" s="120"/>
      <c r="GM1382" s="120"/>
      <c r="GN1382" s="120"/>
      <c r="GO1382" s="120"/>
      <c r="GP1382" s="120"/>
      <c r="GQ1382" s="120"/>
      <c r="GR1382" s="120"/>
      <c r="GS1382" s="120"/>
      <c r="GT1382" s="120"/>
      <c r="GU1382" s="120"/>
      <c r="GV1382" s="120"/>
      <c r="GW1382" s="120"/>
      <c r="GX1382" s="120"/>
      <c r="GY1382" s="120"/>
      <c r="GZ1382" s="120"/>
      <c r="HA1382" s="120"/>
      <c r="HB1382" s="120"/>
      <c r="HC1382" s="120"/>
      <c r="HD1382" s="120"/>
      <c r="HE1382" s="120"/>
      <c r="HF1382" s="120"/>
      <c r="HG1382" s="120"/>
      <c r="HH1382" s="120"/>
      <c r="HI1382" s="120"/>
      <c r="HJ1382" s="120"/>
      <c r="HK1382" s="120"/>
      <c r="HL1382" s="120"/>
      <c r="HM1382" s="120"/>
      <c r="HN1382" s="120"/>
      <c r="HO1382" s="120"/>
      <c r="HP1382" s="120"/>
      <c r="HQ1382" s="120"/>
      <c r="HR1382" s="120"/>
      <c r="HS1382" s="120"/>
      <c r="HT1382" s="120"/>
      <c r="HU1382" s="120"/>
      <c r="HV1382" s="120"/>
      <c r="HW1382" s="120"/>
      <c r="HX1382" s="120"/>
      <c r="HY1382" s="120"/>
      <c r="HZ1382" s="120"/>
      <c r="IA1382" s="120"/>
      <c r="IB1382" s="120"/>
      <c r="IC1382" s="120"/>
      <c r="ID1382" s="120"/>
      <c r="IE1382" s="120"/>
      <c r="IF1382" s="120"/>
      <c r="IG1382" s="120"/>
      <c r="IH1382" s="120"/>
      <c r="II1382" s="120"/>
      <c r="IJ1382" s="120"/>
      <c r="IK1382" s="120"/>
      <c r="IL1382" s="120"/>
      <c r="IM1382" s="120"/>
      <c r="IN1382" s="120"/>
      <c r="IO1382" s="120"/>
      <c r="IP1382" s="120"/>
      <c r="IQ1382" s="120"/>
      <c r="IR1382" s="120"/>
      <c r="IS1382" s="120"/>
      <c r="IT1382" s="120"/>
      <c r="IU1382" s="120"/>
      <c r="IV1382" s="120"/>
      <c r="IW1382" s="120"/>
      <c r="IX1382" s="120"/>
      <c r="IY1382" s="120"/>
      <c r="IZ1382" s="120"/>
      <c r="JA1382" s="120"/>
      <c r="JB1382" s="120"/>
      <c r="JC1382" s="120"/>
      <c r="JD1382" s="120"/>
      <c r="JE1382" s="120"/>
      <c r="JF1382" s="120"/>
      <c r="JG1382" s="120"/>
      <c r="JH1382" s="120"/>
      <c r="JI1382" s="120"/>
      <c r="JJ1382" s="120"/>
      <c r="JK1382" s="120"/>
      <c r="JL1382" s="120"/>
      <c r="JM1382" s="120"/>
      <c r="JN1382" s="120"/>
      <c r="JO1382" s="120"/>
      <c r="JP1382" s="120"/>
      <c r="JQ1382" s="120"/>
      <c r="JR1382" s="120"/>
      <c r="JS1382" s="120"/>
      <c r="JT1382" s="120"/>
      <c r="JU1382" s="120"/>
      <c r="JV1382" s="120"/>
      <c r="JW1382" s="120"/>
      <c r="JX1382" s="120"/>
      <c r="JY1382" s="120"/>
      <c r="JZ1382" s="120"/>
      <c r="KA1382" s="120"/>
      <c r="KB1382" s="120"/>
      <c r="KC1382" s="120"/>
      <c r="KD1382" s="120"/>
      <c r="KE1382" s="120"/>
      <c r="KF1382" s="120"/>
      <c r="KG1382" s="120"/>
      <c r="KH1382" s="120"/>
      <c r="KI1382" s="120"/>
      <c r="KJ1382" s="120"/>
      <c r="KK1382" s="120"/>
      <c r="KL1382" s="120"/>
      <c r="KM1382" s="120"/>
      <c r="KN1382" s="120"/>
      <c r="KO1382" s="120"/>
      <c r="KP1382" s="120"/>
      <c r="KQ1382" s="120"/>
      <c r="KR1382" s="120"/>
      <c r="KS1382" s="120"/>
      <c r="KT1382" s="120"/>
      <c r="KU1382" s="120"/>
      <c r="KV1382" s="120"/>
      <c r="KW1382" s="120"/>
      <c r="KX1382" s="120"/>
      <c r="KY1382" s="120"/>
      <c r="KZ1382" s="120"/>
      <c r="LA1382" s="120"/>
      <c r="LB1382" s="120"/>
      <c r="LC1382" s="120"/>
      <c r="LD1382" s="120"/>
      <c r="LE1382" s="120"/>
      <c r="LF1382" s="120"/>
      <c r="LG1382" s="120"/>
      <c r="LH1382" s="120"/>
      <c r="LI1382" s="120"/>
      <c r="LJ1382" s="120"/>
      <c r="LK1382" s="120"/>
      <c r="LL1382" s="120"/>
      <c r="LM1382" s="120"/>
      <c r="LN1382" s="120"/>
      <c r="LO1382" s="120"/>
      <c r="LP1382" s="120"/>
      <c r="LQ1382" s="120"/>
      <c r="LR1382" s="120"/>
      <c r="LS1382" s="120"/>
      <c r="LT1382" s="120"/>
      <c r="LU1382" s="120"/>
      <c r="LV1382" s="120"/>
      <c r="LW1382" s="120"/>
      <c r="LX1382" s="120"/>
      <c r="LY1382" s="120"/>
      <c r="LZ1382" s="120"/>
      <c r="MA1382" s="120"/>
      <c r="MB1382" s="120"/>
      <c r="MC1382" s="120"/>
      <c r="MD1382" s="120"/>
      <c r="ME1382" s="120"/>
      <c r="MF1382" s="120"/>
      <c r="MG1382" s="120"/>
      <c r="MH1382" s="120"/>
      <c r="MI1382" s="120"/>
      <c r="MJ1382" s="120"/>
      <c r="MK1382" s="120"/>
      <c r="ML1382" s="120"/>
      <c r="MM1382" s="120"/>
      <c r="MN1382" s="120"/>
      <c r="MO1382" s="120"/>
      <c r="MP1382" s="120"/>
      <c r="MQ1382" s="120"/>
      <c r="MR1382" s="120"/>
      <c r="MS1382" s="120"/>
      <c r="MT1382" s="120"/>
      <c r="MU1382" s="120"/>
      <c r="MV1382" s="120"/>
      <c r="MW1382" s="120"/>
      <c r="MX1382" s="120"/>
      <c r="MY1382" s="120"/>
      <c r="MZ1382" s="120"/>
      <c r="NA1382" s="120"/>
      <c r="NB1382" s="120"/>
      <c r="NC1382" s="120"/>
      <c r="ND1382" s="120"/>
      <c r="NE1382" s="120"/>
      <c r="NF1382" s="120"/>
      <c r="NG1382" s="120"/>
      <c r="NH1382" s="120"/>
      <c r="NI1382" s="120"/>
      <c r="NJ1382" s="120"/>
      <c r="NK1382" s="120"/>
      <c r="NL1382" s="120"/>
      <c r="NM1382" s="120"/>
      <c r="NN1382" s="120"/>
      <c r="NO1382" s="120"/>
      <c r="NP1382" s="120"/>
      <c r="NQ1382" s="120"/>
      <c r="NR1382" s="120"/>
      <c r="NS1382" s="120"/>
      <c r="NT1382" s="120"/>
      <c r="NU1382" s="120"/>
      <c r="NV1382" s="120"/>
      <c r="NW1382" s="120"/>
      <c r="NX1382" s="120"/>
      <c r="NY1382" s="120"/>
      <c r="NZ1382" s="120"/>
      <c r="OA1382" s="120"/>
      <c r="OB1382" s="120"/>
      <c r="OC1382" s="120"/>
      <c r="OD1382" s="120"/>
      <c r="OE1382" s="120"/>
      <c r="OF1382" s="120"/>
      <c r="OG1382" s="120"/>
      <c r="OH1382" s="120"/>
      <c r="OI1382" s="120"/>
      <c r="OJ1382" s="120"/>
      <c r="OK1382" s="120"/>
      <c r="OL1382" s="120"/>
      <c r="OM1382" s="120"/>
      <c r="ON1382" s="120"/>
      <c r="OO1382" s="120"/>
      <c r="OP1382" s="120"/>
      <c r="OQ1382" s="120"/>
      <c r="OR1382" s="120"/>
      <c r="OS1382" s="120"/>
      <c r="OT1382" s="120"/>
      <c r="OU1382" s="120"/>
      <c r="OV1382" s="120"/>
      <c r="OW1382" s="120"/>
      <c r="OX1382" s="120"/>
      <c r="OY1382" s="120"/>
      <c r="OZ1382" s="120"/>
      <c r="PA1382" s="120"/>
      <c r="PB1382" s="120"/>
      <c r="PC1382" s="120"/>
      <c r="PD1382" s="120"/>
      <c r="PE1382" s="120"/>
      <c r="PF1382" s="120"/>
      <c r="PG1382" s="120"/>
      <c r="PH1382" s="120"/>
      <c r="PI1382" s="120"/>
      <c r="PJ1382" s="120"/>
      <c r="PK1382" s="120"/>
      <c r="PL1382" s="120"/>
      <c r="PM1382" s="120"/>
      <c r="PN1382" s="120"/>
      <c r="PO1382" s="120"/>
      <c r="PP1382" s="120"/>
      <c r="PQ1382" s="120"/>
      <c r="PR1382" s="120"/>
      <c r="PS1382" s="120"/>
      <c r="PT1382" s="120"/>
      <c r="PU1382" s="120"/>
      <c r="PV1382" s="120"/>
      <c r="PW1382" s="120"/>
      <c r="PX1382" s="120"/>
      <c r="PY1382" s="120"/>
      <c r="PZ1382" s="120"/>
      <c r="QA1382" s="120"/>
      <c r="QB1382" s="120"/>
      <c r="QC1382" s="120"/>
      <c r="QD1382" s="120"/>
      <c r="QE1382" s="120"/>
      <c r="QF1382" s="120"/>
      <c r="QG1382" s="120"/>
      <c r="QH1382" s="120"/>
      <c r="QI1382" s="120"/>
      <c r="QJ1382" s="120"/>
      <c r="QK1382" s="120"/>
      <c r="QL1382" s="120"/>
      <c r="QM1382" s="120"/>
      <c r="QN1382" s="120"/>
      <c r="QO1382" s="120"/>
      <c r="QP1382" s="120"/>
      <c r="QQ1382" s="120"/>
      <c r="QR1382" s="120"/>
      <c r="QS1382" s="120"/>
      <c r="QT1382" s="120"/>
      <c r="QU1382" s="120"/>
      <c r="QV1382" s="120"/>
      <c r="QW1382" s="120"/>
      <c r="QX1382" s="120"/>
      <c r="QY1382" s="120"/>
      <c r="QZ1382" s="120"/>
      <c r="RA1382" s="120"/>
      <c r="RB1382" s="120"/>
      <c r="RC1382" s="120"/>
      <c r="RD1382" s="120"/>
      <c r="RE1382" s="120"/>
      <c r="RF1382" s="120"/>
      <c r="RG1382" s="120"/>
      <c r="RH1382" s="120"/>
      <c r="RI1382" s="120"/>
      <c r="RJ1382" s="120"/>
      <c r="RK1382" s="120"/>
      <c r="RL1382" s="120"/>
      <c r="RM1382" s="120"/>
      <c r="RN1382" s="120"/>
      <c r="RO1382" s="120"/>
      <c r="RP1382" s="120"/>
      <c r="RQ1382" s="120"/>
      <c r="RR1382" s="120"/>
      <c r="RS1382" s="120"/>
      <c r="RT1382" s="120"/>
      <c r="RU1382" s="120"/>
      <c r="RV1382" s="120"/>
      <c r="RW1382" s="120"/>
      <c r="RX1382" s="120"/>
      <c r="RY1382" s="120"/>
      <c r="RZ1382" s="120"/>
      <c r="SA1382" s="120"/>
      <c r="SB1382" s="120"/>
      <c r="SC1382" s="120"/>
      <c r="SD1382" s="120"/>
      <c r="SE1382" s="120"/>
      <c r="SF1382" s="120"/>
      <c r="SG1382" s="120"/>
      <c r="SH1382" s="120"/>
      <c r="SI1382" s="120"/>
      <c r="SJ1382" s="120"/>
      <c r="SK1382" s="120"/>
      <c r="SL1382" s="120"/>
      <c r="SM1382" s="120"/>
      <c r="SN1382" s="120"/>
      <c r="SO1382" s="120"/>
      <c r="SP1382" s="120"/>
      <c r="SQ1382" s="120"/>
      <c r="SR1382" s="120"/>
      <c r="SS1382" s="120"/>
      <c r="ST1382" s="120"/>
      <c r="SU1382" s="120"/>
      <c r="SV1382" s="120"/>
      <c r="SW1382" s="120"/>
      <c r="SX1382" s="120"/>
      <c r="SY1382" s="120"/>
      <c r="SZ1382" s="120"/>
      <c r="TA1382" s="120"/>
      <c r="TB1382" s="120"/>
      <c r="TC1382" s="120"/>
      <c r="TD1382" s="120"/>
      <c r="TE1382" s="120"/>
      <c r="TF1382" s="120"/>
      <c r="TG1382" s="120"/>
      <c r="TH1382" s="120"/>
      <c r="TI1382" s="120"/>
      <c r="TJ1382" s="120"/>
      <c r="TK1382" s="120"/>
      <c r="TL1382" s="120"/>
      <c r="TM1382" s="120"/>
      <c r="TN1382" s="120"/>
      <c r="TO1382" s="120"/>
      <c r="TP1382" s="120"/>
      <c r="TQ1382" s="120"/>
      <c r="TR1382" s="120"/>
      <c r="TS1382" s="120"/>
      <c r="TT1382" s="120"/>
      <c r="TU1382" s="120"/>
      <c r="TV1382" s="120"/>
      <c r="TW1382" s="120"/>
      <c r="TX1382" s="120"/>
      <c r="TY1382" s="120"/>
      <c r="TZ1382" s="120"/>
      <c r="UA1382" s="120"/>
      <c r="UB1382" s="120"/>
      <c r="UC1382" s="120"/>
      <c r="UD1382" s="120"/>
      <c r="UE1382" s="120"/>
      <c r="UF1382" s="120"/>
      <c r="UG1382" s="120"/>
      <c r="UH1382" s="120"/>
      <c r="UI1382" s="120"/>
      <c r="UJ1382" s="120"/>
      <c r="UK1382" s="120"/>
      <c r="UL1382" s="120"/>
      <c r="UM1382" s="120"/>
      <c r="UN1382" s="120"/>
      <c r="UO1382" s="120"/>
      <c r="UP1382" s="120"/>
      <c r="UQ1382" s="120"/>
      <c r="UR1382" s="120"/>
      <c r="US1382" s="120"/>
      <c r="UT1382" s="120"/>
      <c r="UU1382" s="120"/>
      <c r="UV1382" s="120"/>
      <c r="UW1382" s="120"/>
      <c r="UX1382" s="120"/>
      <c r="UY1382" s="120"/>
      <c r="UZ1382" s="120"/>
      <c r="VA1382" s="120"/>
      <c r="VB1382" s="120"/>
      <c r="VC1382" s="120"/>
      <c r="VD1382" s="120"/>
      <c r="VE1382" s="120"/>
      <c r="VF1382" s="120"/>
      <c r="VG1382" s="120"/>
      <c r="VH1382" s="120"/>
      <c r="VI1382" s="120"/>
      <c r="VJ1382" s="120"/>
      <c r="VK1382" s="120"/>
      <c r="VL1382" s="120"/>
      <c r="VM1382" s="120"/>
      <c r="VN1382" s="120"/>
      <c r="VO1382" s="120"/>
      <c r="VP1382" s="120"/>
      <c r="VQ1382" s="120"/>
      <c r="VR1382" s="120"/>
      <c r="VS1382" s="120"/>
      <c r="VT1382" s="120"/>
      <c r="VU1382" s="120"/>
      <c r="VV1382" s="120"/>
      <c r="VW1382" s="120"/>
      <c r="VX1382" s="120"/>
      <c r="VY1382" s="120"/>
      <c r="VZ1382" s="120"/>
      <c r="WA1382" s="120"/>
      <c r="WB1382" s="120"/>
      <c r="WC1382" s="120"/>
      <c r="WD1382" s="120"/>
      <c r="WE1382" s="120"/>
      <c r="WF1382" s="120"/>
      <c r="WG1382" s="120"/>
      <c r="WH1382" s="120"/>
      <c r="WI1382" s="120"/>
      <c r="WJ1382" s="120"/>
      <c r="WK1382" s="120"/>
      <c r="WL1382" s="120"/>
      <c r="WM1382" s="120"/>
      <c r="WN1382" s="120"/>
      <c r="WO1382" s="120"/>
      <c r="WP1382" s="120"/>
      <c r="WQ1382" s="120"/>
      <c r="WR1382" s="120"/>
      <c r="WS1382" s="120"/>
      <c r="WT1382" s="120"/>
      <c r="WU1382" s="120"/>
      <c r="WV1382" s="120"/>
      <c r="WW1382" s="120"/>
      <c r="WX1382" s="120"/>
      <c r="WY1382" s="120"/>
      <c r="WZ1382" s="120"/>
      <c r="XA1382" s="120"/>
      <c r="XB1382" s="120"/>
      <c r="XC1382" s="120"/>
      <c r="XD1382" s="120"/>
      <c r="XE1382" s="120"/>
      <c r="XF1382" s="120"/>
      <c r="XG1382" s="120"/>
      <c r="XH1382" s="120"/>
      <c r="XI1382" s="120"/>
      <c r="XJ1382" s="120"/>
      <c r="XK1382" s="120"/>
      <c r="XL1382" s="120"/>
      <c r="XM1382" s="120"/>
      <c r="XN1382" s="120"/>
      <c r="XO1382" s="120"/>
      <c r="XP1382" s="120"/>
      <c r="XQ1382" s="120"/>
      <c r="XR1382" s="120"/>
      <c r="XS1382" s="120"/>
      <c r="XT1382" s="120"/>
      <c r="XU1382" s="120"/>
      <c r="XV1382" s="120"/>
      <c r="XW1382" s="120"/>
      <c r="XX1382" s="120"/>
      <c r="XY1382" s="120"/>
      <c r="XZ1382" s="120"/>
      <c r="YA1382" s="120"/>
      <c r="YB1382" s="120"/>
      <c r="YC1382" s="120"/>
      <c r="YD1382" s="120"/>
      <c r="YE1382" s="120"/>
      <c r="YF1382" s="120"/>
      <c r="YG1382" s="120"/>
      <c r="YH1382" s="120"/>
      <c r="YI1382" s="120"/>
      <c r="YJ1382" s="120"/>
      <c r="YK1382" s="120"/>
      <c r="YL1382" s="120"/>
      <c r="YM1382" s="120"/>
      <c r="YN1382" s="120"/>
      <c r="YO1382" s="120"/>
      <c r="YP1382" s="120"/>
      <c r="YQ1382" s="120"/>
      <c r="YR1382" s="120"/>
      <c r="YS1382" s="120"/>
      <c r="YT1382" s="120"/>
      <c r="YU1382" s="120"/>
      <c r="YV1382" s="120"/>
      <c r="YW1382" s="120"/>
      <c r="YX1382" s="120"/>
      <c r="YY1382" s="120"/>
      <c r="YZ1382" s="120"/>
      <c r="ZA1382" s="120"/>
      <c r="ZB1382" s="120"/>
      <c r="ZC1382" s="120"/>
      <c r="ZD1382" s="120"/>
      <c r="ZE1382" s="120"/>
      <c r="ZF1382" s="120"/>
      <c r="ZG1382" s="120"/>
      <c r="ZH1382" s="120"/>
      <c r="ZI1382" s="120"/>
      <c r="ZJ1382" s="120"/>
      <c r="ZK1382" s="120"/>
      <c r="ZL1382" s="120"/>
      <c r="ZM1382" s="120"/>
      <c r="ZN1382" s="120"/>
      <c r="ZO1382" s="120"/>
      <c r="ZP1382" s="120"/>
      <c r="ZQ1382" s="120"/>
      <c r="ZR1382" s="120"/>
      <c r="ZS1382" s="120"/>
      <c r="ZT1382" s="120"/>
      <c r="ZU1382" s="120"/>
      <c r="ZV1382" s="120"/>
      <c r="ZW1382" s="120"/>
      <c r="ZX1382" s="120"/>
      <c r="ZY1382" s="120"/>
      <c r="ZZ1382" s="120"/>
      <c r="AAA1382" s="120"/>
      <c r="AAB1382" s="120"/>
      <c r="AAC1382" s="120"/>
      <c r="AAD1382" s="120"/>
      <c r="AAE1382" s="120"/>
      <c r="AAF1382" s="120"/>
      <c r="AAG1382" s="120"/>
      <c r="AAH1382" s="120"/>
      <c r="AAI1382" s="120"/>
      <c r="AAJ1382" s="120"/>
      <c r="AAK1382" s="120"/>
      <c r="AAL1382" s="120"/>
      <c r="AAM1382" s="120"/>
      <c r="AAN1382" s="120"/>
      <c r="AAO1382" s="120"/>
      <c r="AAP1382" s="120"/>
      <c r="AAQ1382" s="120"/>
      <c r="AAR1382" s="120"/>
      <c r="AAS1382" s="120"/>
      <c r="AAT1382" s="120"/>
      <c r="AAU1382" s="120"/>
      <c r="AAV1382" s="120"/>
      <c r="AAW1382" s="120"/>
      <c r="AAX1382" s="120"/>
      <c r="AAY1382" s="120"/>
      <c r="AAZ1382" s="120"/>
      <c r="ABA1382" s="120"/>
      <c r="ABB1382" s="120"/>
      <c r="ABC1382" s="120"/>
      <c r="ABD1382" s="120"/>
      <c r="ABE1382" s="120"/>
      <c r="ABF1382" s="120"/>
      <c r="ABG1382" s="120"/>
      <c r="ABH1382" s="120"/>
      <c r="ABI1382" s="120"/>
      <c r="ABJ1382" s="120"/>
      <c r="ABK1382" s="120"/>
      <c r="ABL1382" s="120"/>
      <c r="ABM1382" s="120"/>
      <c r="ABN1382" s="120"/>
      <c r="ABO1382" s="120"/>
      <c r="ABP1382" s="120"/>
      <c r="ABQ1382" s="120"/>
      <c r="ABR1382" s="120"/>
      <c r="ABS1382" s="120"/>
      <c r="ABT1382" s="120"/>
      <c r="ABU1382" s="120"/>
      <c r="ABV1382" s="120"/>
      <c r="ABW1382" s="120"/>
      <c r="ABX1382" s="120"/>
      <c r="ABY1382" s="120"/>
      <c r="ABZ1382" s="120"/>
      <c r="ACA1382" s="120"/>
      <c r="ACB1382" s="120"/>
      <c r="ACC1382" s="120"/>
      <c r="ACD1382" s="120"/>
      <c r="ACE1382" s="120"/>
      <c r="ACF1382" s="120"/>
      <c r="ACG1382" s="120"/>
      <c r="ACH1382" s="120"/>
      <c r="ACI1382" s="120"/>
      <c r="ACJ1382" s="120"/>
      <c r="ACK1382" s="120"/>
      <c r="ACL1382" s="120"/>
      <c r="ACM1382" s="120"/>
      <c r="ACN1382" s="120"/>
      <c r="ACO1382" s="120"/>
      <c r="ACP1382" s="120"/>
      <c r="ACQ1382" s="120"/>
      <c r="ACR1382" s="120"/>
      <c r="ACS1382" s="120"/>
      <c r="ACT1382" s="120"/>
      <c r="ACU1382" s="120"/>
      <c r="ACV1382" s="120"/>
      <c r="ACW1382" s="120"/>
      <c r="ACX1382" s="120"/>
      <c r="ACY1382" s="120"/>
      <c r="ACZ1382" s="120"/>
      <c r="ADA1382" s="120"/>
      <c r="ADB1382" s="120"/>
      <c r="ADC1382" s="120"/>
      <c r="ADD1382" s="120"/>
      <c r="ADE1382" s="120"/>
      <c r="ADF1382" s="120"/>
      <c r="ADG1382" s="120"/>
      <c r="ADH1382" s="120"/>
      <c r="ADI1382" s="120"/>
      <c r="ADJ1382" s="120"/>
      <c r="ADK1382" s="120"/>
      <c r="ADL1382" s="120"/>
      <c r="ADM1382" s="120"/>
      <c r="ADN1382" s="120"/>
      <c r="ADO1382" s="120"/>
      <c r="ADP1382" s="120"/>
      <c r="ADQ1382" s="120"/>
      <c r="ADR1382" s="120"/>
      <c r="ADS1382" s="120"/>
      <c r="ADT1382" s="120"/>
      <c r="ADU1382" s="120"/>
      <c r="ADV1382" s="120"/>
      <c r="ADW1382" s="120"/>
      <c r="ADX1382" s="120"/>
      <c r="ADY1382" s="120"/>
      <c r="ADZ1382" s="120"/>
      <c r="AEA1382" s="120"/>
      <c r="AEB1382" s="120"/>
      <c r="AEC1382" s="120"/>
      <c r="AED1382" s="120"/>
      <c r="AEE1382" s="120"/>
      <c r="AEF1382" s="120"/>
      <c r="AEG1382" s="120"/>
      <c r="AEH1382" s="120"/>
      <c r="AEI1382" s="120"/>
      <c r="AEJ1382" s="120"/>
      <c r="AEK1382" s="120"/>
      <c r="AEL1382" s="120"/>
      <c r="AEM1382" s="120"/>
      <c r="AEN1382" s="120"/>
      <c r="AEO1382" s="120"/>
      <c r="AEP1382" s="120"/>
      <c r="AEQ1382" s="120"/>
      <c r="AER1382" s="120"/>
      <c r="AES1382" s="120"/>
      <c r="AET1382" s="120"/>
      <c r="AEU1382" s="120"/>
      <c r="AEV1382" s="120"/>
      <c r="AEW1382" s="120"/>
      <c r="AEX1382" s="120"/>
      <c r="AEY1382" s="120"/>
      <c r="AEZ1382" s="120"/>
      <c r="AFA1382" s="120"/>
      <c r="AFB1382" s="120"/>
      <c r="AFC1382" s="120"/>
      <c r="AFD1382" s="120"/>
      <c r="AFE1382" s="120"/>
      <c r="AFF1382" s="120"/>
      <c r="AFG1382" s="120"/>
      <c r="AFH1382" s="120"/>
      <c r="AFI1382" s="120"/>
      <c r="AFJ1382" s="120"/>
      <c r="AFK1382" s="120"/>
      <c r="AFL1382" s="120"/>
      <c r="AFM1382" s="120"/>
      <c r="AFN1382" s="120"/>
      <c r="AFO1382" s="120"/>
      <c r="AFP1382" s="120"/>
      <c r="AFQ1382" s="120"/>
      <c r="AFR1382" s="120"/>
      <c r="AFS1382" s="120"/>
      <c r="AFT1382" s="120"/>
      <c r="AFU1382" s="120"/>
      <c r="AFV1382" s="120"/>
      <c r="AFW1382" s="120"/>
      <c r="AFX1382" s="120"/>
      <c r="AFY1382" s="120"/>
      <c r="AFZ1382" s="120"/>
      <c r="AGA1382" s="120"/>
      <c r="AGB1382" s="120"/>
      <c r="AGC1382" s="120"/>
      <c r="AGD1382" s="120"/>
      <c r="AGE1382" s="120"/>
      <c r="AGF1382" s="120"/>
      <c r="AGG1382" s="120"/>
      <c r="AGH1382" s="120"/>
      <c r="AGI1382" s="120"/>
      <c r="AGJ1382" s="120"/>
      <c r="AGK1382" s="120"/>
      <c r="AGL1382" s="120"/>
      <c r="AGM1382" s="120"/>
      <c r="AGN1382" s="120"/>
      <c r="AGO1382" s="120"/>
      <c r="AGP1382" s="120"/>
      <c r="AGQ1382" s="120"/>
      <c r="AGR1382" s="120"/>
      <c r="AGS1382" s="120"/>
      <c r="AGT1382" s="120"/>
      <c r="AGU1382" s="120"/>
      <c r="AGV1382" s="120"/>
      <c r="AGW1382" s="120"/>
      <c r="AGX1382" s="120"/>
      <c r="AGY1382" s="120"/>
      <c r="AGZ1382" s="120"/>
      <c r="AHA1382" s="120"/>
      <c r="AHB1382" s="120"/>
      <c r="AHC1382" s="120"/>
      <c r="AHD1382" s="120"/>
      <c r="AHE1382" s="120"/>
      <c r="AHF1382" s="120"/>
      <c r="AHG1382" s="120"/>
      <c r="AHH1382" s="120"/>
      <c r="AHI1382" s="120"/>
      <c r="AHJ1382" s="120"/>
      <c r="AHK1382" s="120"/>
      <c r="AHL1382" s="120"/>
      <c r="AHM1382" s="120"/>
      <c r="AHN1382" s="120"/>
      <c r="AHO1382" s="120"/>
      <c r="AHP1382" s="120"/>
      <c r="AHQ1382" s="120"/>
      <c r="AHR1382" s="120"/>
      <c r="AHS1382" s="120"/>
      <c r="AHT1382" s="120"/>
      <c r="AHU1382" s="120"/>
      <c r="AHV1382" s="120"/>
      <c r="AHW1382" s="120"/>
      <c r="AHX1382" s="120"/>
      <c r="AHY1382" s="120"/>
      <c r="AHZ1382" s="120"/>
      <c r="AIA1382" s="120"/>
      <c r="AIB1382" s="120"/>
      <c r="AIC1382" s="120"/>
      <c r="AID1382" s="120"/>
      <c r="AIE1382" s="120"/>
      <c r="AIF1382" s="120"/>
      <c r="AIG1382" s="120"/>
      <c r="AIH1382" s="120"/>
      <c r="AII1382" s="120"/>
      <c r="AIJ1382" s="120"/>
      <c r="AIK1382" s="120"/>
      <c r="AIL1382" s="120"/>
      <c r="AIM1382" s="120"/>
      <c r="AIN1382" s="120"/>
      <c r="AIO1382" s="120"/>
      <c r="AIP1382" s="120"/>
      <c r="AIQ1382" s="120"/>
      <c r="AIR1382" s="120"/>
      <c r="AIS1382" s="120"/>
      <c r="AIT1382" s="120"/>
      <c r="AIU1382" s="120"/>
      <c r="AIV1382" s="120"/>
      <c r="AIW1382" s="120"/>
      <c r="AIX1382" s="120"/>
      <c r="AIY1382" s="120"/>
      <c r="AIZ1382" s="120"/>
      <c r="AJA1382" s="120"/>
      <c r="AJB1382" s="120"/>
      <c r="AJC1382" s="120"/>
      <c r="AJD1382" s="120"/>
      <c r="AJE1382" s="120"/>
      <c r="AJF1382" s="120"/>
      <c r="AJG1382" s="120"/>
      <c r="AJH1382" s="120"/>
      <c r="AJI1382" s="120"/>
      <c r="AJJ1382" s="120"/>
      <c r="AJK1382" s="120"/>
      <c r="AJL1382" s="120"/>
      <c r="AJM1382" s="120"/>
      <c r="AJN1382" s="120"/>
      <c r="AJO1382" s="120"/>
      <c r="AJP1382" s="120"/>
      <c r="AJQ1382" s="120"/>
      <c r="AJR1382" s="120"/>
      <c r="AJS1382" s="120"/>
      <c r="AJT1382" s="120"/>
      <c r="AJU1382" s="120"/>
      <c r="AJV1382" s="120"/>
      <c r="AJW1382" s="120"/>
      <c r="AJX1382" s="120"/>
      <c r="AJY1382" s="120"/>
      <c r="AJZ1382" s="120"/>
      <c r="AKA1382" s="120"/>
      <c r="AKB1382" s="120"/>
      <c r="AKC1382" s="120"/>
      <c r="AKD1382" s="120"/>
      <c r="AKE1382" s="120"/>
      <c r="AKF1382" s="120"/>
      <c r="AKG1382" s="120"/>
      <c r="AKH1382" s="120"/>
      <c r="AKI1382" s="120"/>
      <c r="AKJ1382" s="120"/>
      <c r="AKK1382" s="120"/>
      <c r="AKL1382" s="120"/>
      <c r="AKM1382" s="120"/>
      <c r="AKN1382" s="120"/>
      <c r="AKO1382" s="120"/>
      <c r="AKP1382" s="120"/>
      <c r="AKQ1382" s="120"/>
      <c r="AKR1382" s="120"/>
      <c r="AKS1382" s="120"/>
      <c r="AKT1382" s="120"/>
      <c r="AKU1382" s="120"/>
      <c r="AKV1382" s="120"/>
      <c r="AKW1382" s="120"/>
      <c r="AKX1382" s="120"/>
      <c r="AKY1382" s="120"/>
      <c r="AKZ1382" s="120"/>
      <c r="ALA1382" s="120"/>
      <c r="ALB1382" s="120"/>
      <c r="ALC1382" s="120"/>
      <c r="ALD1382" s="120"/>
      <c r="ALE1382" s="120"/>
      <c r="ALF1382" s="120"/>
      <c r="ALG1382" s="120"/>
      <c r="ALH1382" s="120"/>
      <c r="ALI1382" s="120"/>
      <c r="ALJ1382" s="120"/>
      <c r="ALK1382" s="120"/>
      <c r="ALL1382" s="120"/>
      <c r="ALM1382" s="120"/>
      <c r="ALN1382" s="120"/>
      <c r="ALO1382" s="120"/>
      <c r="ALP1382" s="120"/>
      <c r="ALQ1382" s="120"/>
      <c r="ALR1382" s="120"/>
      <c r="ALS1382" s="120"/>
      <c r="ALT1382" s="120"/>
      <c r="ALU1382" s="120"/>
      <c r="ALV1382" s="120"/>
      <c r="ALW1382" s="120"/>
      <c r="ALX1382" s="120"/>
      <c r="ALY1382" s="120"/>
      <c r="ALZ1382" s="120"/>
      <c r="AMA1382" s="120"/>
      <c r="AMB1382" s="120"/>
      <c r="AMC1382" s="120"/>
      <c r="AMD1382" s="120"/>
      <c r="AME1382" s="120"/>
      <c r="AMF1382" s="120"/>
      <c r="AMG1382" s="120"/>
      <c r="AMH1382" s="120"/>
      <c r="AMI1382" s="120"/>
      <c r="AMJ1382" s="120"/>
      <c r="AMK1382" s="120"/>
      <c r="AML1382" s="120"/>
      <c r="AMM1382" s="120"/>
      <c r="AMN1382" s="120"/>
      <c r="AMO1382" s="120"/>
      <c r="AMP1382" s="120"/>
      <c r="AMQ1382" s="120"/>
      <c r="AMR1382" s="120"/>
      <c r="AMS1382" s="120"/>
      <c r="AMT1382" s="120"/>
      <c r="AMU1382" s="120"/>
      <c r="AMV1382" s="120"/>
      <c r="AMW1382" s="120"/>
      <c r="AMX1382" s="120"/>
      <c r="AMY1382" s="120"/>
      <c r="AMZ1382" s="120"/>
      <c r="ANA1382" s="120"/>
      <c r="ANB1382" s="120"/>
      <c r="ANC1382" s="120"/>
      <c r="AND1382" s="120"/>
      <c r="ANE1382" s="120"/>
      <c r="ANF1382" s="120"/>
      <c r="ANG1382" s="120"/>
      <c r="ANH1382" s="120"/>
      <c r="ANI1382" s="120"/>
      <c r="ANJ1382" s="120"/>
      <c r="ANK1382" s="120"/>
      <c r="ANL1382" s="120"/>
      <c r="ANM1382" s="120"/>
      <c r="ANN1382" s="120"/>
      <c r="ANO1382" s="120"/>
      <c r="ANP1382" s="120"/>
      <c r="ANQ1382" s="120"/>
      <c r="ANR1382" s="120"/>
      <c r="ANS1382" s="120"/>
      <c r="ANT1382" s="120"/>
      <c r="ANU1382" s="120"/>
      <c r="ANV1382" s="120"/>
      <c r="ANW1382" s="120"/>
      <c r="ANX1382" s="120"/>
      <c r="ANY1382" s="120"/>
      <c r="ANZ1382" s="120"/>
      <c r="AOA1382" s="120"/>
      <c r="AOB1382" s="120"/>
      <c r="AOC1382" s="120"/>
      <c r="AOD1382" s="120"/>
      <c r="AOE1382" s="120"/>
      <c r="AOF1382" s="120"/>
      <c r="AOG1382" s="120"/>
      <c r="AOH1382" s="120"/>
      <c r="AOI1382" s="120"/>
      <c r="AOJ1382" s="120"/>
      <c r="AOK1382" s="120"/>
      <c r="AOL1382" s="120"/>
      <c r="AOM1382" s="120"/>
      <c r="AON1382" s="120"/>
      <c r="AOO1382" s="120"/>
      <c r="AOP1382" s="120"/>
      <c r="AOQ1382" s="120"/>
      <c r="AOR1382" s="120"/>
      <c r="AOS1382" s="120"/>
      <c r="AOT1382" s="120"/>
      <c r="AOU1382" s="120"/>
      <c r="AOV1382" s="120"/>
      <c r="AOW1382" s="120"/>
      <c r="AOX1382" s="120"/>
      <c r="AOY1382" s="120"/>
      <c r="AOZ1382" s="120"/>
      <c r="APA1382" s="120"/>
      <c r="APB1382" s="120"/>
      <c r="APC1382" s="120"/>
      <c r="APD1382" s="120"/>
      <c r="APE1382" s="120"/>
      <c r="APF1382" s="120"/>
      <c r="APG1382" s="120"/>
      <c r="APH1382" s="120"/>
      <c r="API1382" s="120"/>
      <c r="APJ1382" s="120"/>
      <c r="APK1382" s="120"/>
      <c r="APL1382" s="120"/>
      <c r="APM1382" s="120"/>
      <c r="APN1382" s="120"/>
      <c r="APO1382" s="120"/>
      <c r="APP1382" s="120"/>
      <c r="APQ1382" s="120"/>
      <c r="APR1382" s="120"/>
      <c r="APS1382" s="120"/>
      <c r="APT1382" s="120"/>
      <c r="APU1382" s="120"/>
      <c r="APV1382" s="120"/>
      <c r="APW1382" s="120"/>
      <c r="APX1382" s="120"/>
      <c r="APY1382" s="120"/>
      <c r="APZ1382" s="120"/>
      <c r="AQA1382" s="120"/>
      <c r="AQB1382" s="120"/>
      <c r="AQC1382" s="120"/>
      <c r="AQD1382" s="120"/>
      <c r="AQE1382" s="120"/>
      <c r="AQF1382" s="120"/>
      <c r="AQG1382" s="120"/>
      <c r="AQH1382" s="120"/>
      <c r="AQI1382" s="120"/>
      <c r="AQJ1382" s="120"/>
      <c r="AQK1382" s="120"/>
      <c r="AQL1382" s="120"/>
      <c r="AQM1382" s="120"/>
      <c r="AQN1382" s="120"/>
      <c r="AQO1382" s="120"/>
      <c r="AQP1382" s="120"/>
      <c r="AQQ1382" s="120"/>
      <c r="AQR1382" s="120"/>
      <c r="AQS1382" s="120"/>
      <c r="AQT1382" s="120"/>
      <c r="AQU1382" s="120"/>
      <c r="AQV1382" s="120"/>
      <c r="AQW1382" s="120"/>
      <c r="AQX1382" s="120"/>
      <c r="AQY1382" s="120"/>
      <c r="AQZ1382" s="120"/>
      <c r="ARA1382" s="120"/>
      <c r="ARB1382" s="120"/>
      <c r="ARC1382" s="120"/>
      <c r="ARD1382" s="120"/>
      <c r="ARE1382" s="120"/>
      <c r="ARF1382" s="120"/>
      <c r="ARG1382" s="120"/>
      <c r="ARH1382" s="120"/>
      <c r="ARI1382" s="120"/>
      <c r="ARJ1382" s="120"/>
      <c r="ARK1382" s="120"/>
      <c r="ARL1382" s="120"/>
      <c r="ARM1382" s="120"/>
      <c r="ARN1382" s="120"/>
      <c r="ARO1382" s="120"/>
      <c r="ARP1382" s="120"/>
      <c r="ARQ1382" s="120"/>
      <c r="ARR1382" s="120"/>
      <c r="ARS1382" s="120"/>
      <c r="ART1382" s="120"/>
      <c r="ARU1382" s="120"/>
      <c r="ARV1382" s="120"/>
      <c r="ARW1382" s="120"/>
      <c r="ARX1382" s="120"/>
      <c r="ARY1382" s="120"/>
      <c r="ARZ1382" s="120"/>
      <c r="ASA1382" s="120"/>
      <c r="ASB1382" s="120"/>
      <c r="ASC1382" s="120"/>
      <c r="ASD1382" s="120"/>
      <c r="ASE1382" s="120"/>
      <c r="ASF1382" s="120"/>
      <c r="ASG1382" s="120"/>
      <c r="ASH1382" s="120"/>
      <c r="ASI1382" s="120"/>
      <c r="ASJ1382" s="120"/>
      <c r="ASK1382" s="120"/>
      <c r="ASL1382" s="120"/>
      <c r="ASM1382" s="120"/>
      <c r="ASN1382" s="120"/>
      <c r="ASO1382" s="120"/>
      <c r="ASP1382" s="120"/>
      <c r="ASQ1382" s="120"/>
      <c r="ASR1382" s="120"/>
      <c r="ASS1382" s="120"/>
      <c r="AST1382" s="120"/>
      <c r="ASU1382" s="120"/>
      <c r="ASV1382" s="120"/>
      <c r="ASW1382" s="120"/>
      <c r="ASX1382" s="120"/>
      <c r="ASY1382" s="120"/>
      <c r="ASZ1382" s="120"/>
      <c r="ATA1382" s="120"/>
      <c r="ATB1382" s="120"/>
      <c r="ATC1382" s="120"/>
      <c r="ATD1382" s="120"/>
      <c r="ATE1382" s="120"/>
      <c r="ATF1382" s="120"/>
      <c r="ATG1382" s="120"/>
      <c r="ATH1382" s="120"/>
      <c r="ATI1382" s="120"/>
      <c r="ATJ1382" s="120"/>
      <c r="ATK1382" s="120"/>
      <c r="ATL1382" s="120"/>
      <c r="ATM1382" s="120"/>
      <c r="ATN1382" s="120"/>
      <c r="ATO1382" s="120"/>
    </row>
    <row r="1383" spans="1:1211" s="20" customFormat="1" ht="14.1" customHeight="1">
      <c r="A1383" s="112"/>
      <c r="B1383" s="723"/>
      <c r="C1383" s="184" t="s">
        <v>6145</v>
      </c>
      <c r="D1383" s="120"/>
      <c r="E1383" s="701"/>
      <c r="F1383" s="703"/>
      <c r="G1383" s="702"/>
      <c r="H1383" s="702"/>
      <c r="I1383" s="702"/>
      <c r="J1383" s="700"/>
      <c r="K1383" s="112"/>
      <c r="L1383" s="363"/>
      <c r="M1383" s="112"/>
      <c r="N1383" s="362"/>
      <c r="O1383" s="573"/>
      <c r="P1383" s="120"/>
      <c r="Q1383" s="120"/>
      <c r="R1383" s="120"/>
      <c r="S1383" s="120"/>
      <c r="T1383" s="120"/>
      <c r="U1383" s="120"/>
      <c r="V1383" s="120"/>
      <c r="W1383" s="120"/>
      <c r="X1383" s="120"/>
      <c r="Y1383" s="120"/>
      <c r="Z1383" s="120"/>
      <c r="AA1383" s="120"/>
      <c r="AB1383" s="120"/>
      <c r="AC1383" s="120"/>
      <c r="AD1383" s="120"/>
      <c r="AE1383" s="120"/>
      <c r="AF1383" s="120"/>
      <c r="AG1383" s="120"/>
      <c r="AH1383" s="120"/>
      <c r="AI1383" s="120"/>
      <c r="AJ1383" s="120"/>
      <c r="AK1383" s="120"/>
      <c r="AL1383" s="120"/>
      <c r="AM1383" s="120"/>
      <c r="AN1383" s="120"/>
      <c r="AO1383" s="120"/>
      <c r="AP1383" s="120"/>
      <c r="AQ1383" s="120"/>
      <c r="AR1383" s="120"/>
      <c r="AS1383" s="120"/>
      <c r="AT1383" s="120"/>
      <c r="AU1383" s="120"/>
      <c r="AV1383" s="120"/>
      <c r="AW1383" s="120"/>
      <c r="AX1383" s="120"/>
      <c r="AY1383" s="120"/>
      <c r="AZ1383" s="120"/>
      <c r="BA1383" s="120"/>
      <c r="BB1383" s="120"/>
      <c r="BC1383" s="120"/>
      <c r="BD1383" s="120"/>
      <c r="BE1383" s="120"/>
      <c r="BF1383" s="120"/>
      <c r="BG1383" s="120"/>
      <c r="BH1383" s="120"/>
      <c r="BI1383" s="120"/>
      <c r="BJ1383" s="120"/>
      <c r="BK1383" s="120"/>
      <c r="BL1383" s="120"/>
      <c r="BM1383" s="120"/>
      <c r="BN1383" s="120"/>
      <c r="BO1383" s="120"/>
      <c r="BP1383" s="120"/>
      <c r="BQ1383" s="120"/>
      <c r="BR1383" s="120"/>
      <c r="BS1383" s="120"/>
      <c r="BT1383" s="120"/>
      <c r="BU1383" s="120"/>
      <c r="BV1383" s="120"/>
      <c r="BW1383" s="120"/>
      <c r="BX1383" s="120"/>
      <c r="BY1383" s="120"/>
      <c r="BZ1383" s="120"/>
      <c r="CA1383" s="120"/>
      <c r="CB1383" s="120"/>
      <c r="CC1383" s="120"/>
      <c r="CD1383" s="120"/>
      <c r="CE1383" s="120"/>
      <c r="CF1383" s="120"/>
      <c r="CG1383" s="120"/>
      <c r="CH1383" s="120"/>
      <c r="CI1383" s="120"/>
      <c r="CJ1383" s="120"/>
      <c r="CK1383" s="120"/>
      <c r="CL1383" s="120"/>
      <c r="CM1383" s="120"/>
      <c r="CN1383" s="120"/>
      <c r="CO1383" s="120"/>
      <c r="CP1383" s="120"/>
      <c r="CQ1383" s="120"/>
      <c r="CR1383" s="120"/>
      <c r="CS1383" s="120"/>
      <c r="CT1383" s="120"/>
      <c r="CU1383" s="120"/>
      <c r="CV1383" s="120"/>
      <c r="CW1383" s="120"/>
      <c r="CX1383" s="120"/>
      <c r="CY1383" s="120"/>
      <c r="CZ1383" s="120"/>
      <c r="DA1383" s="120"/>
      <c r="DB1383" s="120"/>
      <c r="DC1383" s="120"/>
      <c r="DD1383" s="120"/>
      <c r="DE1383" s="120"/>
      <c r="DF1383" s="120"/>
      <c r="DG1383" s="120"/>
      <c r="DH1383" s="120"/>
      <c r="DI1383" s="120"/>
      <c r="DJ1383" s="120"/>
      <c r="DK1383" s="120"/>
      <c r="DL1383" s="120"/>
      <c r="DM1383" s="120"/>
      <c r="DN1383" s="120"/>
      <c r="DO1383" s="120"/>
      <c r="DP1383" s="120"/>
      <c r="DQ1383" s="120"/>
      <c r="DR1383" s="120"/>
      <c r="DS1383" s="120"/>
      <c r="DT1383" s="120"/>
      <c r="DU1383" s="120"/>
      <c r="DV1383" s="120"/>
      <c r="DW1383" s="120"/>
      <c r="DX1383" s="120"/>
      <c r="DY1383" s="120"/>
      <c r="DZ1383" s="120"/>
      <c r="EA1383" s="120"/>
      <c r="EB1383" s="120"/>
      <c r="EC1383" s="120"/>
      <c r="ED1383" s="120"/>
      <c r="EE1383" s="120"/>
      <c r="EF1383" s="120"/>
      <c r="EG1383" s="120"/>
      <c r="EH1383" s="120"/>
      <c r="EI1383" s="120"/>
      <c r="EJ1383" s="120"/>
      <c r="EK1383" s="120"/>
      <c r="EL1383" s="120"/>
      <c r="EM1383" s="120"/>
      <c r="EN1383" s="120"/>
      <c r="EO1383" s="120"/>
      <c r="EP1383" s="120"/>
      <c r="EQ1383" s="120"/>
      <c r="ER1383" s="120"/>
      <c r="ES1383" s="120"/>
      <c r="ET1383" s="120"/>
      <c r="EU1383" s="120"/>
      <c r="EV1383" s="120"/>
      <c r="EW1383" s="120"/>
      <c r="EX1383" s="120"/>
      <c r="EY1383" s="120"/>
      <c r="EZ1383" s="120"/>
      <c r="FA1383" s="120"/>
      <c r="FB1383" s="120"/>
      <c r="FC1383" s="120"/>
      <c r="FD1383" s="120"/>
      <c r="FE1383" s="120"/>
      <c r="FF1383" s="120"/>
      <c r="FG1383" s="120"/>
      <c r="FH1383" s="120"/>
      <c r="FI1383" s="120"/>
      <c r="FJ1383" s="120"/>
      <c r="FK1383" s="120"/>
      <c r="FL1383" s="120"/>
      <c r="FM1383" s="120"/>
      <c r="FN1383" s="120"/>
      <c r="FO1383" s="120"/>
      <c r="FP1383" s="120"/>
      <c r="FQ1383" s="120"/>
      <c r="FR1383" s="120"/>
      <c r="FS1383" s="120"/>
      <c r="FT1383" s="120"/>
      <c r="FU1383" s="120"/>
      <c r="FV1383" s="120"/>
      <c r="FW1383" s="120"/>
      <c r="FX1383" s="120"/>
      <c r="FY1383" s="120"/>
      <c r="FZ1383" s="120"/>
      <c r="GA1383" s="120"/>
      <c r="GB1383" s="120"/>
      <c r="GC1383" s="120"/>
      <c r="GD1383" s="120"/>
      <c r="GE1383" s="120"/>
      <c r="GF1383" s="120"/>
      <c r="GG1383" s="120"/>
      <c r="GH1383" s="120"/>
      <c r="GI1383" s="120"/>
      <c r="GJ1383" s="120"/>
      <c r="GK1383" s="120"/>
      <c r="GL1383" s="120"/>
      <c r="GM1383" s="120"/>
      <c r="GN1383" s="120"/>
      <c r="GO1383" s="120"/>
      <c r="GP1383" s="120"/>
      <c r="GQ1383" s="120"/>
      <c r="GR1383" s="120"/>
      <c r="GS1383" s="120"/>
      <c r="GT1383" s="120"/>
      <c r="GU1383" s="120"/>
      <c r="GV1383" s="120"/>
      <c r="GW1383" s="120"/>
      <c r="GX1383" s="120"/>
      <c r="GY1383" s="120"/>
      <c r="GZ1383" s="120"/>
      <c r="HA1383" s="120"/>
      <c r="HB1383" s="120"/>
      <c r="HC1383" s="120"/>
      <c r="HD1383" s="120"/>
      <c r="HE1383" s="120"/>
      <c r="HF1383" s="120"/>
      <c r="HG1383" s="120"/>
      <c r="HH1383" s="120"/>
      <c r="HI1383" s="120"/>
      <c r="HJ1383" s="120"/>
      <c r="HK1383" s="120"/>
      <c r="HL1383" s="120"/>
      <c r="HM1383" s="120"/>
      <c r="HN1383" s="120"/>
      <c r="HO1383" s="120"/>
      <c r="HP1383" s="120"/>
      <c r="HQ1383" s="120"/>
      <c r="HR1383" s="120"/>
      <c r="HS1383" s="120"/>
      <c r="HT1383" s="120"/>
      <c r="HU1383" s="120"/>
      <c r="HV1383" s="120"/>
      <c r="HW1383" s="120"/>
      <c r="HX1383" s="120"/>
      <c r="HY1383" s="120"/>
      <c r="HZ1383" s="120"/>
      <c r="IA1383" s="120"/>
      <c r="IB1383" s="120"/>
      <c r="IC1383" s="120"/>
      <c r="ID1383" s="120"/>
      <c r="IE1383" s="120"/>
      <c r="IF1383" s="120"/>
      <c r="IG1383" s="120"/>
      <c r="IH1383" s="120"/>
      <c r="II1383" s="120"/>
      <c r="IJ1383" s="120"/>
      <c r="IK1383" s="120"/>
      <c r="IL1383" s="120"/>
      <c r="IM1383" s="120"/>
      <c r="IN1383" s="120"/>
      <c r="IO1383" s="120"/>
      <c r="IP1383" s="120"/>
      <c r="IQ1383" s="120"/>
      <c r="IR1383" s="120"/>
      <c r="IS1383" s="120"/>
      <c r="IT1383" s="120"/>
      <c r="IU1383" s="120"/>
      <c r="IV1383" s="120"/>
      <c r="IW1383" s="120"/>
      <c r="IX1383" s="120"/>
      <c r="IY1383" s="120"/>
      <c r="IZ1383" s="120"/>
      <c r="JA1383" s="120"/>
      <c r="JB1383" s="120"/>
      <c r="JC1383" s="120"/>
      <c r="JD1383" s="120"/>
      <c r="JE1383" s="120"/>
      <c r="JF1383" s="120"/>
      <c r="JG1383" s="120"/>
      <c r="JH1383" s="120"/>
      <c r="JI1383" s="120"/>
      <c r="JJ1383" s="120"/>
      <c r="JK1383" s="120"/>
      <c r="JL1383" s="120"/>
      <c r="JM1383" s="120"/>
      <c r="JN1383" s="120"/>
      <c r="JO1383" s="120"/>
      <c r="JP1383" s="120"/>
      <c r="JQ1383" s="120"/>
      <c r="JR1383" s="120"/>
      <c r="JS1383" s="120"/>
      <c r="JT1383" s="120"/>
      <c r="JU1383" s="120"/>
      <c r="JV1383" s="120"/>
      <c r="JW1383" s="120"/>
      <c r="JX1383" s="120"/>
      <c r="JY1383" s="120"/>
      <c r="JZ1383" s="120"/>
      <c r="KA1383" s="120"/>
      <c r="KB1383" s="120"/>
      <c r="KC1383" s="120"/>
      <c r="KD1383" s="120"/>
      <c r="KE1383" s="120"/>
      <c r="KF1383" s="120"/>
      <c r="KG1383" s="120"/>
      <c r="KH1383" s="120"/>
      <c r="KI1383" s="120"/>
      <c r="KJ1383" s="120"/>
      <c r="KK1383" s="120"/>
      <c r="KL1383" s="120"/>
      <c r="KM1383" s="120"/>
      <c r="KN1383" s="120"/>
      <c r="KO1383" s="120"/>
      <c r="KP1383" s="120"/>
      <c r="KQ1383" s="120"/>
      <c r="KR1383" s="120"/>
      <c r="KS1383" s="120"/>
      <c r="KT1383" s="120"/>
      <c r="KU1383" s="120"/>
      <c r="KV1383" s="120"/>
      <c r="KW1383" s="120"/>
      <c r="KX1383" s="120"/>
      <c r="KY1383" s="120"/>
      <c r="KZ1383" s="120"/>
      <c r="LA1383" s="120"/>
      <c r="LB1383" s="120"/>
      <c r="LC1383" s="120"/>
      <c r="LD1383" s="120"/>
      <c r="LE1383" s="120"/>
      <c r="LF1383" s="120"/>
      <c r="LG1383" s="120"/>
      <c r="LH1383" s="120"/>
      <c r="LI1383" s="120"/>
      <c r="LJ1383" s="120"/>
      <c r="LK1383" s="120"/>
      <c r="LL1383" s="120"/>
      <c r="LM1383" s="120"/>
      <c r="LN1383" s="120"/>
      <c r="LO1383" s="120"/>
      <c r="LP1383" s="120"/>
      <c r="LQ1383" s="120"/>
      <c r="LR1383" s="120"/>
      <c r="LS1383" s="120"/>
      <c r="LT1383" s="120"/>
      <c r="LU1383" s="120"/>
      <c r="LV1383" s="120"/>
      <c r="LW1383" s="120"/>
      <c r="LX1383" s="120"/>
      <c r="LY1383" s="120"/>
      <c r="LZ1383" s="120"/>
      <c r="MA1383" s="120"/>
      <c r="MB1383" s="120"/>
      <c r="MC1383" s="120"/>
      <c r="MD1383" s="120"/>
      <c r="ME1383" s="120"/>
      <c r="MF1383" s="120"/>
      <c r="MG1383" s="120"/>
      <c r="MH1383" s="120"/>
      <c r="MI1383" s="120"/>
      <c r="MJ1383" s="120"/>
      <c r="MK1383" s="120"/>
      <c r="ML1383" s="120"/>
      <c r="MM1383" s="120"/>
      <c r="MN1383" s="120"/>
      <c r="MO1383" s="120"/>
      <c r="MP1383" s="120"/>
      <c r="MQ1383" s="120"/>
      <c r="MR1383" s="120"/>
      <c r="MS1383" s="120"/>
      <c r="MT1383" s="120"/>
      <c r="MU1383" s="120"/>
      <c r="MV1383" s="120"/>
      <c r="MW1383" s="120"/>
      <c r="MX1383" s="120"/>
      <c r="MY1383" s="120"/>
      <c r="MZ1383" s="120"/>
      <c r="NA1383" s="120"/>
      <c r="NB1383" s="120"/>
      <c r="NC1383" s="120"/>
      <c r="ND1383" s="120"/>
      <c r="NE1383" s="120"/>
      <c r="NF1383" s="120"/>
      <c r="NG1383" s="120"/>
      <c r="NH1383" s="120"/>
      <c r="NI1383" s="120"/>
      <c r="NJ1383" s="120"/>
      <c r="NK1383" s="120"/>
      <c r="NL1383" s="120"/>
      <c r="NM1383" s="120"/>
      <c r="NN1383" s="120"/>
      <c r="NO1383" s="120"/>
      <c r="NP1383" s="120"/>
      <c r="NQ1383" s="120"/>
      <c r="NR1383" s="120"/>
      <c r="NS1383" s="120"/>
      <c r="NT1383" s="120"/>
      <c r="NU1383" s="120"/>
      <c r="NV1383" s="120"/>
      <c r="NW1383" s="120"/>
      <c r="NX1383" s="120"/>
      <c r="NY1383" s="120"/>
      <c r="NZ1383" s="120"/>
      <c r="OA1383" s="120"/>
      <c r="OB1383" s="120"/>
      <c r="OC1383" s="120"/>
      <c r="OD1383" s="120"/>
      <c r="OE1383" s="120"/>
      <c r="OF1383" s="120"/>
      <c r="OG1383" s="120"/>
      <c r="OH1383" s="120"/>
      <c r="OI1383" s="120"/>
      <c r="OJ1383" s="120"/>
      <c r="OK1383" s="120"/>
      <c r="OL1383" s="120"/>
      <c r="OM1383" s="120"/>
      <c r="ON1383" s="120"/>
      <c r="OO1383" s="120"/>
      <c r="OP1383" s="120"/>
      <c r="OQ1383" s="120"/>
      <c r="OR1383" s="120"/>
      <c r="OS1383" s="120"/>
      <c r="OT1383" s="120"/>
      <c r="OU1383" s="120"/>
      <c r="OV1383" s="120"/>
      <c r="OW1383" s="120"/>
      <c r="OX1383" s="120"/>
      <c r="OY1383" s="120"/>
      <c r="OZ1383" s="120"/>
      <c r="PA1383" s="120"/>
      <c r="PB1383" s="120"/>
      <c r="PC1383" s="120"/>
      <c r="PD1383" s="120"/>
      <c r="PE1383" s="120"/>
      <c r="PF1383" s="120"/>
      <c r="PG1383" s="120"/>
      <c r="PH1383" s="120"/>
      <c r="PI1383" s="120"/>
      <c r="PJ1383" s="120"/>
      <c r="PK1383" s="120"/>
      <c r="PL1383" s="120"/>
      <c r="PM1383" s="120"/>
      <c r="PN1383" s="120"/>
      <c r="PO1383" s="120"/>
      <c r="PP1383" s="120"/>
      <c r="PQ1383" s="120"/>
      <c r="PR1383" s="120"/>
      <c r="PS1383" s="120"/>
      <c r="PT1383" s="120"/>
      <c r="PU1383" s="120"/>
      <c r="PV1383" s="120"/>
      <c r="PW1383" s="120"/>
      <c r="PX1383" s="120"/>
      <c r="PY1383" s="120"/>
      <c r="PZ1383" s="120"/>
      <c r="QA1383" s="120"/>
      <c r="QB1383" s="120"/>
      <c r="QC1383" s="120"/>
      <c r="QD1383" s="120"/>
      <c r="QE1383" s="120"/>
      <c r="QF1383" s="120"/>
      <c r="QG1383" s="120"/>
      <c r="QH1383" s="120"/>
      <c r="QI1383" s="120"/>
      <c r="QJ1383" s="120"/>
      <c r="QK1383" s="120"/>
      <c r="QL1383" s="120"/>
      <c r="QM1383" s="120"/>
      <c r="QN1383" s="120"/>
      <c r="QO1383" s="120"/>
      <c r="QP1383" s="120"/>
      <c r="QQ1383" s="120"/>
      <c r="QR1383" s="120"/>
      <c r="QS1383" s="120"/>
      <c r="QT1383" s="120"/>
      <c r="QU1383" s="120"/>
      <c r="QV1383" s="120"/>
      <c r="QW1383" s="120"/>
      <c r="QX1383" s="120"/>
      <c r="QY1383" s="120"/>
      <c r="QZ1383" s="120"/>
      <c r="RA1383" s="120"/>
      <c r="RB1383" s="120"/>
      <c r="RC1383" s="120"/>
      <c r="RD1383" s="120"/>
      <c r="RE1383" s="120"/>
      <c r="RF1383" s="120"/>
      <c r="RG1383" s="120"/>
      <c r="RH1383" s="120"/>
      <c r="RI1383" s="120"/>
      <c r="RJ1383" s="120"/>
      <c r="RK1383" s="120"/>
      <c r="RL1383" s="120"/>
      <c r="RM1383" s="120"/>
      <c r="RN1383" s="120"/>
      <c r="RO1383" s="120"/>
      <c r="RP1383" s="120"/>
      <c r="RQ1383" s="120"/>
      <c r="RR1383" s="120"/>
      <c r="RS1383" s="120"/>
      <c r="RT1383" s="120"/>
      <c r="RU1383" s="120"/>
      <c r="RV1383" s="120"/>
      <c r="RW1383" s="120"/>
      <c r="RX1383" s="120"/>
      <c r="RY1383" s="120"/>
      <c r="RZ1383" s="120"/>
      <c r="SA1383" s="120"/>
      <c r="SB1383" s="120"/>
      <c r="SC1383" s="120"/>
      <c r="SD1383" s="120"/>
      <c r="SE1383" s="120"/>
      <c r="SF1383" s="120"/>
      <c r="SG1383" s="120"/>
      <c r="SH1383" s="120"/>
      <c r="SI1383" s="120"/>
      <c r="SJ1383" s="120"/>
      <c r="SK1383" s="120"/>
      <c r="SL1383" s="120"/>
      <c r="SM1383" s="120"/>
      <c r="SN1383" s="120"/>
      <c r="SO1383" s="120"/>
      <c r="SP1383" s="120"/>
      <c r="SQ1383" s="120"/>
      <c r="SR1383" s="120"/>
      <c r="SS1383" s="120"/>
      <c r="ST1383" s="120"/>
      <c r="SU1383" s="120"/>
      <c r="SV1383" s="120"/>
      <c r="SW1383" s="120"/>
      <c r="SX1383" s="120"/>
      <c r="SY1383" s="120"/>
      <c r="SZ1383" s="120"/>
      <c r="TA1383" s="120"/>
      <c r="TB1383" s="120"/>
      <c r="TC1383" s="120"/>
      <c r="TD1383" s="120"/>
      <c r="TE1383" s="120"/>
      <c r="TF1383" s="120"/>
      <c r="TG1383" s="120"/>
      <c r="TH1383" s="120"/>
      <c r="TI1383" s="120"/>
      <c r="TJ1383" s="120"/>
      <c r="TK1383" s="120"/>
      <c r="TL1383" s="120"/>
      <c r="TM1383" s="120"/>
      <c r="TN1383" s="120"/>
      <c r="TO1383" s="120"/>
      <c r="TP1383" s="120"/>
      <c r="TQ1383" s="120"/>
      <c r="TR1383" s="120"/>
      <c r="TS1383" s="120"/>
      <c r="TT1383" s="120"/>
      <c r="TU1383" s="120"/>
      <c r="TV1383" s="120"/>
      <c r="TW1383" s="120"/>
      <c r="TX1383" s="120"/>
      <c r="TY1383" s="120"/>
      <c r="TZ1383" s="120"/>
      <c r="UA1383" s="120"/>
      <c r="UB1383" s="120"/>
      <c r="UC1383" s="120"/>
      <c r="UD1383" s="120"/>
      <c r="UE1383" s="120"/>
      <c r="UF1383" s="120"/>
      <c r="UG1383" s="120"/>
      <c r="UH1383" s="120"/>
      <c r="UI1383" s="120"/>
      <c r="UJ1383" s="120"/>
      <c r="UK1383" s="120"/>
      <c r="UL1383" s="120"/>
      <c r="UM1383" s="120"/>
      <c r="UN1383" s="120"/>
      <c r="UO1383" s="120"/>
      <c r="UP1383" s="120"/>
      <c r="UQ1383" s="120"/>
      <c r="UR1383" s="120"/>
      <c r="US1383" s="120"/>
      <c r="UT1383" s="120"/>
      <c r="UU1383" s="120"/>
      <c r="UV1383" s="120"/>
      <c r="UW1383" s="120"/>
      <c r="UX1383" s="120"/>
      <c r="UY1383" s="120"/>
      <c r="UZ1383" s="120"/>
      <c r="VA1383" s="120"/>
      <c r="VB1383" s="120"/>
      <c r="VC1383" s="120"/>
      <c r="VD1383" s="120"/>
      <c r="VE1383" s="120"/>
      <c r="VF1383" s="120"/>
      <c r="VG1383" s="120"/>
      <c r="VH1383" s="120"/>
      <c r="VI1383" s="120"/>
      <c r="VJ1383" s="120"/>
      <c r="VK1383" s="120"/>
      <c r="VL1383" s="120"/>
      <c r="VM1383" s="120"/>
      <c r="VN1383" s="120"/>
      <c r="VO1383" s="120"/>
      <c r="VP1383" s="120"/>
      <c r="VQ1383" s="120"/>
      <c r="VR1383" s="120"/>
      <c r="VS1383" s="120"/>
      <c r="VT1383" s="120"/>
      <c r="VU1383" s="120"/>
      <c r="VV1383" s="120"/>
      <c r="VW1383" s="120"/>
      <c r="VX1383" s="120"/>
      <c r="VY1383" s="120"/>
      <c r="VZ1383" s="120"/>
      <c r="WA1383" s="120"/>
      <c r="WB1383" s="120"/>
      <c r="WC1383" s="120"/>
      <c r="WD1383" s="120"/>
      <c r="WE1383" s="120"/>
      <c r="WF1383" s="120"/>
      <c r="WG1383" s="120"/>
      <c r="WH1383" s="120"/>
      <c r="WI1383" s="120"/>
      <c r="WJ1383" s="120"/>
      <c r="WK1383" s="120"/>
      <c r="WL1383" s="120"/>
      <c r="WM1383" s="120"/>
      <c r="WN1383" s="120"/>
      <c r="WO1383" s="120"/>
      <c r="WP1383" s="120"/>
      <c r="WQ1383" s="120"/>
      <c r="WR1383" s="120"/>
      <c r="WS1383" s="120"/>
      <c r="WT1383" s="120"/>
      <c r="WU1383" s="120"/>
      <c r="WV1383" s="120"/>
      <c r="WW1383" s="120"/>
      <c r="WX1383" s="120"/>
      <c r="WY1383" s="120"/>
      <c r="WZ1383" s="120"/>
      <c r="XA1383" s="120"/>
      <c r="XB1383" s="120"/>
      <c r="XC1383" s="120"/>
      <c r="XD1383" s="120"/>
      <c r="XE1383" s="120"/>
      <c r="XF1383" s="120"/>
      <c r="XG1383" s="120"/>
      <c r="XH1383" s="120"/>
      <c r="XI1383" s="120"/>
      <c r="XJ1383" s="120"/>
      <c r="XK1383" s="120"/>
      <c r="XL1383" s="120"/>
      <c r="XM1383" s="120"/>
      <c r="XN1383" s="120"/>
      <c r="XO1383" s="120"/>
      <c r="XP1383" s="120"/>
      <c r="XQ1383" s="120"/>
      <c r="XR1383" s="120"/>
      <c r="XS1383" s="120"/>
      <c r="XT1383" s="120"/>
      <c r="XU1383" s="120"/>
      <c r="XV1383" s="120"/>
      <c r="XW1383" s="120"/>
      <c r="XX1383" s="120"/>
      <c r="XY1383" s="120"/>
      <c r="XZ1383" s="120"/>
      <c r="YA1383" s="120"/>
      <c r="YB1383" s="120"/>
      <c r="YC1383" s="120"/>
      <c r="YD1383" s="120"/>
      <c r="YE1383" s="120"/>
      <c r="YF1383" s="120"/>
      <c r="YG1383" s="120"/>
      <c r="YH1383" s="120"/>
      <c r="YI1383" s="120"/>
      <c r="YJ1383" s="120"/>
      <c r="YK1383" s="120"/>
      <c r="YL1383" s="120"/>
      <c r="YM1383" s="120"/>
      <c r="YN1383" s="120"/>
      <c r="YO1383" s="120"/>
      <c r="YP1383" s="120"/>
      <c r="YQ1383" s="120"/>
      <c r="YR1383" s="120"/>
      <c r="YS1383" s="120"/>
      <c r="YT1383" s="120"/>
      <c r="YU1383" s="120"/>
      <c r="YV1383" s="120"/>
      <c r="YW1383" s="120"/>
      <c r="YX1383" s="120"/>
      <c r="YY1383" s="120"/>
      <c r="YZ1383" s="120"/>
      <c r="ZA1383" s="120"/>
      <c r="ZB1383" s="120"/>
      <c r="ZC1383" s="120"/>
      <c r="ZD1383" s="120"/>
      <c r="ZE1383" s="120"/>
      <c r="ZF1383" s="120"/>
      <c r="ZG1383" s="120"/>
      <c r="ZH1383" s="120"/>
      <c r="ZI1383" s="120"/>
      <c r="ZJ1383" s="120"/>
      <c r="ZK1383" s="120"/>
      <c r="ZL1383" s="120"/>
      <c r="ZM1383" s="120"/>
      <c r="ZN1383" s="120"/>
      <c r="ZO1383" s="120"/>
      <c r="ZP1383" s="120"/>
      <c r="ZQ1383" s="120"/>
      <c r="ZR1383" s="120"/>
      <c r="ZS1383" s="120"/>
      <c r="ZT1383" s="120"/>
      <c r="ZU1383" s="120"/>
      <c r="ZV1383" s="120"/>
      <c r="ZW1383" s="120"/>
      <c r="ZX1383" s="120"/>
      <c r="ZY1383" s="120"/>
      <c r="ZZ1383" s="120"/>
      <c r="AAA1383" s="120"/>
      <c r="AAB1383" s="120"/>
      <c r="AAC1383" s="120"/>
      <c r="AAD1383" s="120"/>
      <c r="AAE1383" s="120"/>
      <c r="AAF1383" s="120"/>
      <c r="AAG1383" s="120"/>
      <c r="AAH1383" s="120"/>
      <c r="AAI1383" s="120"/>
      <c r="AAJ1383" s="120"/>
      <c r="AAK1383" s="120"/>
      <c r="AAL1383" s="120"/>
      <c r="AAM1383" s="120"/>
      <c r="AAN1383" s="120"/>
      <c r="AAO1383" s="120"/>
      <c r="AAP1383" s="120"/>
      <c r="AAQ1383" s="120"/>
      <c r="AAR1383" s="120"/>
      <c r="AAS1383" s="120"/>
      <c r="AAT1383" s="120"/>
      <c r="AAU1383" s="120"/>
      <c r="AAV1383" s="120"/>
      <c r="AAW1383" s="120"/>
      <c r="AAX1383" s="120"/>
      <c r="AAY1383" s="120"/>
      <c r="AAZ1383" s="120"/>
      <c r="ABA1383" s="120"/>
      <c r="ABB1383" s="120"/>
      <c r="ABC1383" s="120"/>
      <c r="ABD1383" s="120"/>
      <c r="ABE1383" s="120"/>
      <c r="ABF1383" s="120"/>
      <c r="ABG1383" s="120"/>
      <c r="ABH1383" s="120"/>
      <c r="ABI1383" s="120"/>
      <c r="ABJ1383" s="120"/>
      <c r="ABK1383" s="120"/>
      <c r="ABL1383" s="120"/>
      <c r="ABM1383" s="120"/>
      <c r="ABN1383" s="120"/>
      <c r="ABO1383" s="120"/>
      <c r="ABP1383" s="120"/>
      <c r="ABQ1383" s="120"/>
      <c r="ABR1383" s="120"/>
      <c r="ABS1383" s="120"/>
      <c r="ABT1383" s="120"/>
      <c r="ABU1383" s="120"/>
      <c r="ABV1383" s="120"/>
      <c r="ABW1383" s="120"/>
      <c r="ABX1383" s="120"/>
      <c r="ABY1383" s="120"/>
      <c r="ABZ1383" s="120"/>
      <c r="ACA1383" s="120"/>
      <c r="ACB1383" s="120"/>
      <c r="ACC1383" s="120"/>
      <c r="ACD1383" s="120"/>
      <c r="ACE1383" s="120"/>
      <c r="ACF1383" s="120"/>
      <c r="ACG1383" s="120"/>
      <c r="ACH1383" s="120"/>
      <c r="ACI1383" s="120"/>
      <c r="ACJ1383" s="120"/>
      <c r="ACK1383" s="120"/>
      <c r="ACL1383" s="120"/>
      <c r="ACM1383" s="120"/>
      <c r="ACN1383" s="120"/>
      <c r="ACO1383" s="120"/>
      <c r="ACP1383" s="120"/>
      <c r="ACQ1383" s="120"/>
      <c r="ACR1383" s="120"/>
      <c r="ACS1383" s="120"/>
      <c r="ACT1383" s="120"/>
      <c r="ACU1383" s="120"/>
      <c r="ACV1383" s="120"/>
      <c r="ACW1383" s="120"/>
      <c r="ACX1383" s="120"/>
      <c r="ACY1383" s="120"/>
      <c r="ACZ1383" s="120"/>
      <c r="ADA1383" s="120"/>
      <c r="ADB1383" s="120"/>
      <c r="ADC1383" s="120"/>
      <c r="ADD1383" s="120"/>
      <c r="ADE1383" s="120"/>
      <c r="ADF1383" s="120"/>
      <c r="ADG1383" s="120"/>
      <c r="ADH1383" s="120"/>
      <c r="ADI1383" s="120"/>
      <c r="ADJ1383" s="120"/>
      <c r="ADK1383" s="120"/>
      <c r="ADL1383" s="120"/>
      <c r="ADM1383" s="120"/>
      <c r="ADN1383" s="120"/>
      <c r="ADO1383" s="120"/>
      <c r="ADP1383" s="120"/>
      <c r="ADQ1383" s="120"/>
      <c r="ADR1383" s="120"/>
      <c r="ADS1383" s="120"/>
      <c r="ADT1383" s="120"/>
      <c r="ADU1383" s="120"/>
      <c r="ADV1383" s="120"/>
      <c r="ADW1383" s="120"/>
      <c r="ADX1383" s="120"/>
      <c r="ADY1383" s="120"/>
      <c r="ADZ1383" s="120"/>
      <c r="AEA1383" s="120"/>
      <c r="AEB1383" s="120"/>
      <c r="AEC1383" s="120"/>
      <c r="AED1383" s="120"/>
      <c r="AEE1383" s="120"/>
      <c r="AEF1383" s="120"/>
      <c r="AEG1383" s="120"/>
      <c r="AEH1383" s="120"/>
      <c r="AEI1383" s="120"/>
      <c r="AEJ1383" s="120"/>
      <c r="AEK1383" s="120"/>
      <c r="AEL1383" s="120"/>
      <c r="AEM1383" s="120"/>
      <c r="AEN1383" s="120"/>
      <c r="AEO1383" s="120"/>
      <c r="AEP1383" s="120"/>
      <c r="AEQ1383" s="120"/>
      <c r="AER1383" s="120"/>
      <c r="AES1383" s="120"/>
      <c r="AET1383" s="120"/>
      <c r="AEU1383" s="120"/>
      <c r="AEV1383" s="120"/>
      <c r="AEW1383" s="120"/>
      <c r="AEX1383" s="120"/>
      <c r="AEY1383" s="120"/>
      <c r="AEZ1383" s="120"/>
      <c r="AFA1383" s="120"/>
      <c r="AFB1383" s="120"/>
      <c r="AFC1383" s="120"/>
      <c r="AFD1383" s="120"/>
      <c r="AFE1383" s="120"/>
      <c r="AFF1383" s="120"/>
      <c r="AFG1383" s="120"/>
      <c r="AFH1383" s="120"/>
      <c r="AFI1383" s="120"/>
      <c r="AFJ1383" s="120"/>
      <c r="AFK1383" s="120"/>
      <c r="AFL1383" s="120"/>
      <c r="AFM1383" s="120"/>
      <c r="AFN1383" s="120"/>
      <c r="AFO1383" s="120"/>
      <c r="AFP1383" s="120"/>
      <c r="AFQ1383" s="120"/>
      <c r="AFR1383" s="120"/>
      <c r="AFS1383" s="120"/>
      <c r="AFT1383" s="120"/>
      <c r="AFU1383" s="120"/>
      <c r="AFV1383" s="120"/>
      <c r="AFW1383" s="120"/>
      <c r="AFX1383" s="120"/>
      <c r="AFY1383" s="120"/>
      <c r="AFZ1383" s="120"/>
      <c r="AGA1383" s="120"/>
      <c r="AGB1383" s="120"/>
      <c r="AGC1383" s="120"/>
      <c r="AGD1383" s="120"/>
      <c r="AGE1383" s="120"/>
      <c r="AGF1383" s="120"/>
      <c r="AGG1383" s="120"/>
      <c r="AGH1383" s="120"/>
      <c r="AGI1383" s="120"/>
      <c r="AGJ1383" s="120"/>
      <c r="AGK1383" s="120"/>
      <c r="AGL1383" s="120"/>
      <c r="AGM1383" s="120"/>
      <c r="AGN1383" s="120"/>
      <c r="AGO1383" s="120"/>
      <c r="AGP1383" s="120"/>
      <c r="AGQ1383" s="120"/>
      <c r="AGR1383" s="120"/>
      <c r="AGS1383" s="120"/>
      <c r="AGT1383" s="120"/>
      <c r="AGU1383" s="120"/>
      <c r="AGV1383" s="120"/>
      <c r="AGW1383" s="120"/>
      <c r="AGX1383" s="120"/>
      <c r="AGY1383" s="120"/>
      <c r="AGZ1383" s="120"/>
      <c r="AHA1383" s="120"/>
      <c r="AHB1383" s="120"/>
      <c r="AHC1383" s="120"/>
      <c r="AHD1383" s="120"/>
      <c r="AHE1383" s="120"/>
      <c r="AHF1383" s="120"/>
      <c r="AHG1383" s="120"/>
      <c r="AHH1383" s="120"/>
      <c r="AHI1383" s="120"/>
      <c r="AHJ1383" s="120"/>
      <c r="AHK1383" s="120"/>
      <c r="AHL1383" s="120"/>
      <c r="AHM1383" s="120"/>
      <c r="AHN1383" s="120"/>
      <c r="AHO1383" s="120"/>
      <c r="AHP1383" s="120"/>
      <c r="AHQ1383" s="120"/>
      <c r="AHR1383" s="120"/>
      <c r="AHS1383" s="120"/>
      <c r="AHT1383" s="120"/>
      <c r="AHU1383" s="120"/>
      <c r="AHV1383" s="120"/>
      <c r="AHW1383" s="120"/>
      <c r="AHX1383" s="120"/>
      <c r="AHY1383" s="120"/>
      <c r="AHZ1383" s="120"/>
      <c r="AIA1383" s="120"/>
      <c r="AIB1383" s="120"/>
      <c r="AIC1383" s="120"/>
      <c r="AID1383" s="120"/>
      <c r="AIE1383" s="120"/>
      <c r="AIF1383" s="120"/>
      <c r="AIG1383" s="120"/>
      <c r="AIH1383" s="120"/>
      <c r="AII1383" s="120"/>
      <c r="AIJ1383" s="120"/>
      <c r="AIK1383" s="120"/>
      <c r="AIL1383" s="120"/>
      <c r="AIM1383" s="120"/>
      <c r="AIN1383" s="120"/>
      <c r="AIO1383" s="120"/>
      <c r="AIP1383" s="120"/>
      <c r="AIQ1383" s="120"/>
      <c r="AIR1383" s="120"/>
      <c r="AIS1383" s="120"/>
      <c r="AIT1383" s="120"/>
      <c r="AIU1383" s="120"/>
      <c r="AIV1383" s="120"/>
      <c r="AIW1383" s="120"/>
      <c r="AIX1383" s="120"/>
      <c r="AIY1383" s="120"/>
      <c r="AIZ1383" s="120"/>
      <c r="AJA1383" s="120"/>
      <c r="AJB1383" s="120"/>
      <c r="AJC1383" s="120"/>
      <c r="AJD1383" s="120"/>
      <c r="AJE1383" s="120"/>
      <c r="AJF1383" s="120"/>
      <c r="AJG1383" s="120"/>
      <c r="AJH1383" s="120"/>
      <c r="AJI1383" s="120"/>
      <c r="AJJ1383" s="120"/>
      <c r="AJK1383" s="120"/>
      <c r="AJL1383" s="120"/>
      <c r="AJM1383" s="120"/>
      <c r="AJN1383" s="120"/>
      <c r="AJO1383" s="120"/>
      <c r="AJP1383" s="120"/>
      <c r="AJQ1383" s="120"/>
      <c r="AJR1383" s="120"/>
      <c r="AJS1383" s="120"/>
      <c r="AJT1383" s="120"/>
      <c r="AJU1383" s="120"/>
      <c r="AJV1383" s="120"/>
      <c r="AJW1383" s="120"/>
      <c r="AJX1383" s="120"/>
      <c r="AJY1383" s="120"/>
      <c r="AJZ1383" s="120"/>
      <c r="AKA1383" s="120"/>
      <c r="AKB1383" s="120"/>
      <c r="AKC1383" s="120"/>
      <c r="AKD1383" s="120"/>
      <c r="AKE1383" s="120"/>
      <c r="AKF1383" s="120"/>
      <c r="AKG1383" s="120"/>
      <c r="AKH1383" s="120"/>
      <c r="AKI1383" s="120"/>
      <c r="AKJ1383" s="120"/>
      <c r="AKK1383" s="120"/>
      <c r="AKL1383" s="120"/>
      <c r="AKM1383" s="120"/>
      <c r="AKN1383" s="120"/>
      <c r="AKO1383" s="120"/>
      <c r="AKP1383" s="120"/>
      <c r="AKQ1383" s="120"/>
      <c r="AKR1383" s="120"/>
      <c r="AKS1383" s="120"/>
      <c r="AKT1383" s="120"/>
      <c r="AKU1383" s="120"/>
      <c r="AKV1383" s="120"/>
      <c r="AKW1383" s="120"/>
      <c r="AKX1383" s="120"/>
      <c r="AKY1383" s="120"/>
      <c r="AKZ1383" s="120"/>
      <c r="ALA1383" s="120"/>
      <c r="ALB1383" s="120"/>
      <c r="ALC1383" s="120"/>
      <c r="ALD1383" s="120"/>
      <c r="ALE1383" s="120"/>
      <c r="ALF1383" s="120"/>
      <c r="ALG1383" s="120"/>
      <c r="ALH1383" s="120"/>
      <c r="ALI1383" s="120"/>
      <c r="ALJ1383" s="120"/>
      <c r="ALK1383" s="120"/>
      <c r="ALL1383" s="120"/>
      <c r="ALM1383" s="120"/>
      <c r="ALN1383" s="120"/>
      <c r="ALO1383" s="120"/>
      <c r="ALP1383" s="120"/>
      <c r="ALQ1383" s="120"/>
      <c r="ALR1383" s="120"/>
      <c r="ALS1383" s="120"/>
      <c r="ALT1383" s="120"/>
      <c r="ALU1383" s="120"/>
      <c r="ALV1383" s="120"/>
      <c r="ALW1383" s="120"/>
      <c r="ALX1383" s="120"/>
      <c r="ALY1383" s="120"/>
      <c r="ALZ1383" s="120"/>
      <c r="AMA1383" s="120"/>
      <c r="AMB1383" s="120"/>
      <c r="AMC1383" s="120"/>
      <c r="AMD1383" s="120"/>
      <c r="AME1383" s="120"/>
      <c r="AMF1383" s="120"/>
      <c r="AMG1383" s="120"/>
      <c r="AMH1383" s="120"/>
      <c r="AMI1383" s="120"/>
      <c r="AMJ1383" s="120"/>
      <c r="AMK1383" s="120"/>
      <c r="AML1383" s="120"/>
      <c r="AMM1383" s="120"/>
      <c r="AMN1383" s="120"/>
      <c r="AMO1383" s="120"/>
      <c r="AMP1383" s="120"/>
      <c r="AMQ1383" s="120"/>
      <c r="AMR1383" s="120"/>
      <c r="AMS1383" s="120"/>
      <c r="AMT1383" s="120"/>
      <c r="AMU1383" s="120"/>
      <c r="AMV1383" s="120"/>
      <c r="AMW1383" s="120"/>
      <c r="AMX1383" s="120"/>
      <c r="AMY1383" s="120"/>
      <c r="AMZ1383" s="120"/>
      <c r="ANA1383" s="120"/>
      <c r="ANB1383" s="120"/>
      <c r="ANC1383" s="120"/>
      <c r="AND1383" s="120"/>
      <c r="ANE1383" s="120"/>
      <c r="ANF1383" s="120"/>
      <c r="ANG1383" s="120"/>
      <c r="ANH1383" s="120"/>
      <c r="ANI1383" s="120"/>
      <c r="ANJ1383" s="120"/>
      <c r="ANK1383" s="120"/>
      <c r="ANL1383" s="120"/>
      <c r="ANM1383" s="120"/>
      <c r="ANN1383" s="120"/>
      <c r="ANO1383" s="120"/>
      <c r="ANP1383" s="120"/>
      <c r="ANQ1383" s="120"/>
      <c r="ANR1383" s="120"/>
      <c r="ANS1383" s="120"/>
      <c r="ANT1383" s="120"/>
      <c r="ANU1383" s="120"/>
      <c r="ANV1383" s="120"/>
      <c r="ANW1383" s="120"/>
      <c r="ANX1383" s="120"/>
      <c r="ANY1383" s="120"/>
      <c r="ANZ1383" s="120"/>
      <c r="AOA1383" s="120"/>
      <c r="AOB1383" s="120"/>
      <c r="AOC1383" s="120"/>
      <c r="AOD1383" s="120"/>
      <c r="AOE1383" s="120"/>
      <c r="AOF1383" s="120"/>
      <c r="AOG1383" s="120"/>
      <c r="AOH1383" s="120"/>
      <c r="AOI1383" s="120"/>
      <c r="AOJ1383" s="120"/>
      <c r="AOK1383" s="120"/>
      <c r="AOL1383" s="120"/>
      <c r="AOM1383" s="120"/>
      <c r="AON1383" s="120"/>
      <c r="AOO1383" s="120"/>
      <c r="AOP1383" s="120"/>
      <c r="AOQ1383" s="120"/>
      <c r="AOR1383" s="120"/>
      <c r="AOS1383" s="120"/>
      <c r="AOT1383" s="120"/>
      <c r="AOU1383" s="120"/>
      <c r="AOV1383" s="120"/>
      <c r="AOW1383" s="120"/>
      <c r="AOX1383" s="120"/>
      <c r="AOY1383" s="120"/>
      <c r="AOZ1383" s="120"/>
      <c r="APA1383" s="120"/>
      <c r="APB1383" s="120"/>
      <c r="APC1383" s="120"/>
      <c r="APD1383" s="120"/>
      <c r="APE1383" s="120"/>
      <c r="APF1383" s="120"/>
      <c r="APG1383" s="120"/>
      <c r="APH1383" s="120"/>
      <c r="API1383" s="120"/>
      <c r="APJ1383" s="120"/>
      <c r="APK1383" s="120"/>
      <c r="APL1383" s="120"/>
      <c r="APM1383" s="120"/>
      <c r="APN1383" s="120"/>
      <c r="APO1383" s="120"/>
      <c r="APP1383" s="120"/>
      <c r="APQ1383" s="120"/>
      <c r="APR1383" s="120"/>
      <c r="APS1383" s="120"/>
      <c r="APT1383" s="120"/>
      <c r="APU1383" s="120"/>
      <c r="APV1383" s="120"/>
      <c r="APW1383" s="120"/>
      <c r="APX1383" s="120"/>
      <c r="APY1383" s="120"/>
      <c r="APZ1383" s="120"/>
      <c r="AQA1383" s="120"/>
      <c r="AQB1383" s="120"/>
      <c r="AQC1383" s="120"/>
      <c r="AQD1383" s="120"/>
      <c r="AQE1383" s="120"/>
      <c r="AQF1383" s="120"/>
      <c r="AQG1383" s="120"/>
      <c r="AQH1383" s="120"/>
      <c r="AQI1383" s="120"/>
      <c r="AQJ1383" s="120"/>
      <c r="AQK1383" s="120"/>
      <c r="AQL1383" s="120"/>
      <c r="AQM1383" s="120"/>
      <c r="AQN1383" s="120"/>
      <c r="AQO1383" s="120"/>
      <c r="AQP1383" s="120"/>
      <c r="AQQ1383" s="120"/>
      <c r="AQR1383" s="120"/>
      <c r="AQS1383" s="120"/>
      <c r="AQT1383" s="120"/>
      <c r="AQU1383" s="120"/>
      <c r="AQV1383" s="120"/>
      <c r="AQW1383" s="120"/>
      <c r="AQX1383" s="120"/>
      <c r="AQY1383" s="120"/>
      <c r="AQZ1383" s="120"/>
      <c r="ARA1383" s="120"/>
      <c r="ARB1383" s="120"/>
      <c r="ARC1383" s="120"/>
      <c r="ARD1383" s="120"/>
      <c r="ARE1383" s="120"/>
      <c r="ARF1383" s="120"/>
      <c r="ARG1383" s="120"/>
      <c r="ARH1383" s="120"/>
      <c r="ARI1383" s="120"/>
      <c r="ARJ1383" s="120"/>
      <c r="ARK1383" s="120"/>
      <c r="ARL1383" s="120"/>
      <c r="ARM1383" s="120"/>
      <c r="ARN1383" s="120"/>
      <c r="ARO1383" s="120"/>
      <c r="ARP1383" s="120"/>
      <c r="ARQ1383" s="120"/>
      <c r="ARR1383" s="120"/>
      <c r="ARS1383" s="120"/>
      <c r="ART1383" s="120"/>
      <c r="ARU1383" s="120"/>
      <c r="ARV1383" s="120"/>
      <c r="ARW1383" s="120"/>
      <c r="ARX1383" s="120"/>
      <c r="ARY1383" s="120"/>
      <c r="ARZ1383" s="120"/>
      <c r="ASA1383" s="120"/>
      <c r="ASB1383" s="120"/>
      <c r="ASC1383" s="120"/>
      <c r="ASD1383" s="120"/>
      <c r="ASE1383" s="120"/>
      <c r="ASF1383" s="120"/>
      <c r="ASG1383" s="120"/>
      <c r="ASH1383" s="120"/>
      <c r="ASI1383" s="120"/>
      <c r="ASJ1383" s="120"/>
      <c r="ASK1383" s="120"/>
      <c r="ASL1383" s="120"/>
      <c r="ASM1383" s="120"/>
      <c r="ASN1383" s="120"/>
      <c r="ASO1383" s="120"/>
      <c r="ASP1383" s="120"/>
      <c r="ASQ1383" s="120"/>
      <c r="ASR1383" s="120"/>
      <c r="ASS1383" s="120"/>
      <c r="AST1383" s="120"/>
      <c r="ASU1383" s="120"/>
      <c r="ASV1383" s="120"/>
      <c r="ASW1383" s="120"/>
      <c r="ASX1383" s="120"/>
      <c r="ASY1383" s="120"/>
      <c r="ASZ1383" s="120"/>
      <c r="ATA1383" s="120"/>
      <c r="ATB1383" s="120"/>
      <c r="ATC1383" s="120"/>
      <c r="ATD1383" s="120"/>
      <c r="ATE1383" s="120"/>
      <c r="ATF1383" s="120"/>
      <c r="ATG1383" s="120"/>
      <c r="ATH1383" s="120"/>
      <c r="ATI1383" s="120"/>
      <c r="ATJ1383" s="120"/>
      <c r="ATK1383" s="120"/>
      <c r="ATL1383" s="120"/>
      <c r="ATM1383" s="120"/>
      <c r="ATN1383" s="120"/>
      <c r="ATO1383" s="120"/>
    </row>
    <row r="1384" spans="1:1211" s="20" customFormat="1" ht="14.1" customHeight="1">
      <c r="A1384" s="112"/>
      <c r="B1384" s="945"/>
      <c r="C1384" s="184"/>
      <c r="D1384" s="120"/>
      <c r="E1384" s="701"/>
      <c r="F1384" s="703"/>
      <c r="G1384" s="702"/>
      <c r="H1384" s="702"/>
      <c r="I1384" s="702"/>
      <c r="J1384" s="700"/>
      <c r="K1384" s="112"/>
      <c r="L1384" s="363"/>
      <c r="M1384" s="112"/>
      <c r="N1384" s="362"/>
      <c r="O1384" s="573"/>
      <c r="P1384" s="120"/>
      <c r="Q1384" s="120"/>
      <c r="R1384" s="120"/>
      <c r="S1384" s="120"/>
      <c r="T1384" s="120"/>
      <c r="U1384" s="120"/>
      <c r="V1384" s="120"/>
      <c r="W1384" s="120"/>
      <c r="X1384" s="120"/>
      <c r="Y1384" s="120"/>
      <c r="Z1384" s="120"/>
      <c r="AA1384" s="120"/>
      <c r="AB1384" s="120"/>
      <c r="AC1384" s="120"/>
      <c r="AD1384" s="120"/>
      <c r="AE1384" s="120"/>
      <c r="AF1384" s="120"/>
      <c r="AG1384" s="120"/>
      <c r="AH1384" s="120"/>
      <c r="AI1384" s="120"/>
      <c r="AJ1384" s="120"/>
      <c r="AK1384" s="120"/>
      <c r="AL1384" s="120"/>
      <c r="AM1384" s="120"/>
      <c r="AN1384" s="120"/>
      <c r="AO1384" s="120"/>
      <c r="AP1384" s="120"/>
      <c r="AQ1384" s="120"/>
      <c r="AR1384" s="120"/>
      <c r="AS1384" s="120"/>
      <c r="AT1384" s="120"/>
      <c r="AU1384" s="120"/>
      <c r="AV1384" s="120"/>
      <c r="AW1384" s="120"/>
      <c r="AX1384" s="120"/>
      <c r="AY1384" s="120"/>
      <c r="AZ1384" s="120"/>
      <c r="BA1384" s="120"/>
      <c r="BB1384" s="120"/>
      <c r="BC1384" s="120"/>
      <c r="BD1384" s="120"/>
      <c r="BE1384" s="120"/>
      <c r="BF1384" s="120"/>
      <c r="BG1384" s="120"/>
      <c r="BH1384" s="120"/>
      <c r="BI1384" s="120"/>
      <c r="BJ1384" s="120"/>
      <c r="BK1384" s="120"/>
      <c r="BL1384" s="120"/>
      <c r="BM1384" s="120"/>
      <c r="BN1384" s="120"/>
      <c r="BO1384" s="120"/>
      <c r="BP1384" s="120"/>
      <c r="BQ1384" s="120"/>
      <c r="BR1384" s="120"/>
      <c r="BS1384" s="120"/>
      <c r="BT1384" s="120"/>
      <c r="BU1384" s="120"/>
      <c r="BV1384" s="120"/>
      <c r="BW1384" s="120"/>
      <c r="BX1384" s="120"/>
      <c r="BY1384" s="120"/>
      <c r="BZ1384" s="120"/>
      <c r="CA1384" s="120"/>
      <c r="CB1384" s="120"/>
      <c r="CC1384" s="120"/>
      <c r="CD1384" s="120"/>
      <c r="CE1384" s="120"/>
      <c r="CF1384" s="120"/>
      <c r="CG1384" s="120"/>
      <c r="CH1384" s="120"/>
      <c r="CI1384" s="120"/>
      <c r="CJ1384" s="120"/>
      <c r="CK1384" s="120"/>
      <c r="CL1384" s="120"/>
      <c r="CM1384" s="120"/>
      <c r="CN1384" s="120"/>
      <c r="CO1384" s="120"/>
      <c r="CP1384" s="120"/>
      <c r="CQ1384" s="120"/>
      <c r="CR1384" s="120"/>
      <c r="CS1384" s="120"/>
      <c r="CT1384" s="120"/>
      <c r="CU1384" s="120"/>
      <c r="CV1384" s="120"/>
      <c r="CW1384" s="120"/>
      <c r="CX1384" s="120"/>
      <c r="CY1384" s="120"/>
      <c r="CZ1384" s="120"/>
      <c r="DA1384" s="120"/>
      <c r="DB1384" s="120"/>
      <c r="DC1384" s="120"/>
      <c r="DD1384" s="120"/>
      <c r="DE1384" s="120"/>
      <c r="DF1384" s="120"/>
      <c r="DG1384" s="120"/>
      <c r="DH1384" s="120"/>
      <c r="DI1384" s="120"/>
      <c r="DJ1384" s="120"/>
      <c r="DK1384" s="120"/>
      <c r="DL1384" s="120"/>
      <c r="DM1384" s="120"/>
      <c r="DN1384" s="120"/>
      <c r="DO1384" s="120"/>
      <c r="DP1384" s="120"/>
      <c r="DQ1384" s="120"/>
      <c r="DR1384" s="120"/>
      <c r="DS1384" s="120"/>
      <c r="DT1384" s="120"/>
      <c r="DU1384" s="120"/>
      <c r="DV1384" s="120"/>
      <c r="DW1384" s="120"/>
      <c r="DX1384" s="120"/>
      <c r="DY1384" s="120"/>
      <c r="DZ1384" s="120"/>
      <c r="EA1384" s="120"/>
      <c r="EB1384" s="120"/>
      <c r="EC1384" s="120"/>
      <c r="ED1384" s="120"/>
      <c r="EE1384" s="120"/>
      <c r="EF1384" s="120"/>
      <c r="EG1384" s="120"/>
      <c r="EH1384" s="120"/>
      <c r="EI1384" s="120"/>
      <c r="EJ1384" s="120"/>
      <c r="EK1384" s="120"/>
      <c r="EL1384" s="120"/>
      <c r="EM1384" s="120"/>
      <c r="EN1384" s="120"/>
      <c r="EO1384" s="120"/>
      <c r="EP1384" s="120"/>
      <c r="EQ1384" s="120"/>
      <c r="ER1384" s="120"/>
      <c r="ES1384" s="120"/>
      <c r="ET1384" s="120"/>
      <c r="EU1384" s="120"/>
      <c r="EV1384" s="120"/>
      <c r="EW1384" s="120"/>
      <c r="EX1384" s="120"/>
      <c r="EY1384" s="120"/>
      <c r="EZ1384" s="120"/>
      <c r="FA1384" s="120"/>
      <c r="FB1384" s="120"/>
      <c r="FC1384" s="120"/>
      <c r="FD1384" s="120"/>
      <c r="FE1384" s="120"/>
      <c r="FF1384" s="120"/>
      <c r="FG1384" s="120"/>
      <c r="FH1384" s="120"/>
      <c r="FI1384" s="120"/>
      <c r="FJ1384" s="120"/>
      <c r="FK1384" s="120"/>
      <c r="FL1384" s="120"/>
      <c r="FM1384" s="120"/>
      <c r="FN1384" s="120"/>
      <c r="FO1384" s="120"/>
      <c r="FP1384" s="120"/>
      <c r="FQ1384" s="120"/>
      <c r="FR1384" s="120"/>
      <c r="FS1384" s="120"/>
      <c r="FT1384" s="120"/>
      <c r="FU1384" s="120"/>
      <c r="FV1384" s="120"/>
      <c r="FW1384" s="120"/>
      <c r="FX1384" s="120"/>
      <c r="FY1384" s="120"/>
      <c r="FZ1384" s="120"/>
      <c r="GA1384" s="120"/>
      <c r="GB1384" s="120"/>
      <c r="GC1384" s="120"/>
      <c r="GD1384" s="120"/>
      <c r="GE1384" s="120"/>
      <c r="GF1384" s="120"/>
      <c r="GG1384" s="120"/>
      <c r="GH1384" s="120"/>
      <c r="GI1384" s="120"/>
      <c r="GJ1384" s="120"/>
      <c r="GK1384" s="120"/>
      <c r="GL1384" s="120"/>
      <c r="GM1384" s="120"/>
      <c r="GN1384" s="120"/>
      <c r="GO1384" s="120"/>
      <c r="GP1384" s="120"/>
      <c r="GQ1384" s="120"/>
      <c r="GR1384" s="120"/>
      <c r="GS1384" s="120"/>
      <c r="GT1384" s="120"/>
      <c r="GU1384" s="120"/>
      <c r="GV1384" s="120"/>
      <c r="GW1384" s="120"/>
      <c r="GX1384" s="120"/>
      <c r="GY1384" s="120"/>
      <c r="GZ1384" s="120"/>
      <c r="HA1384" s="120"/>
      <c r="HB1384" s="120"/>
      <c r="HC1384" s="120"/>
      <c r="HD1384" s="120"/>
      <c r="HE1384" s="120"/>
      <c r="HF1384" s="120"/>
      <c r="HG1384" s="120"/>
      <c r="HH1384" s="120"/>
      <c r="HI1384" s="120"/>
      <c r="HJ1384" s="120"/>
      <c r="HK1384" s="120"/>
      <c r="HL1384" s="120"/>
      <c r="HM1384" s="120"/>
      <c r="HN1384" s="120"/>
      <c r="HO1384" s="120"/>
      <c r="HP1384" s="120"/>
      <c r="HQ1384" s="120"/>
      <c r="HR1384" s="120"/>
      <c r="HS1384" s="120"/>
      <c r="HT1384" s="120"/>
      <c r="HU1384" s="120"/>
      <c r="HV1384" s="120"/>
      <c r="HW1384" s="120"/>
      <c r="HX1384" s="120"/>
      <c r="HY1384" s="120"/>
      <c r="HZ1384" s="120"/>
      <c r="IA1384" s="120"/>
      <c r="IB1384" s="120"/>
      <c r="IC1384" s="120"/>
      <c r="ID1384" s="120"/>
      <c r="IE1384" s="120"/>
      <c r="IF1384" s="120"/>
      <c r="IG1384" s="120"/>
      <c r="IH1384" s="120"/>
      <c r="II1384" s="120"/>
      <c r="IJ1384" s="120"/>
      <c r="IK1384" s="120"/>
      <c r="IL1384" s="120"/>
      <c r="IM1384" s="120"/>
      <c r="IN1384" s="120"/>
      <c r="IO1384" s="120"/>
      <c r="IP1384" s="120"/>
      <c r="IQ1384" s="120"/>
      <c r="IR1384" s="120"/>
      <c r="IS1384" s="120"/>
      <c r="IT1384" s="120"/>
      <c r="IU1384" s="120"/>
      <c r="IV1384" s="120"/>
      <c r="IW1384" s="120"/>
      <c r="IX1384" s="120"/>
      <c r="IY1384" s="120"/>
      <c r="IZ1384" s="120"/>
      <c r="JA1384" s="120"/>
      <c r="JB1384" s="120"/>
      <c r="JC1384" s="120"/>
      <c r="JD1384" s="120"/>
      <c r="JE1384" s="120"/>
      <c r="JF1384" s="120"/>
      <c r="JG1384" s="120"/>
      <c r="JH1384" s="120"/>
      <c r="JI1384" s="120"/>
      <c r="JJ1384" s="120"/>
      <c r="JK1384" s="120"/>
      <c r="JL1384" s="120"/>
      <c r="JM1384" s="120"/>
      <c r="JN1384" s="120"/>
      <c r="JO1384" s="120"/>
      <c r="JP1384" s="120"/>
      <c r="JQ1384" s="120"/>
      <c r="JR1384" s="120"/>
      <c r="JS1384" s="120"/>
      <c r="JT1384" s="120"/>
      <c r="JU1384" s="120"/>
      <c r="JV1384" s="120"/>
      <c r="JW1384" s="120"/>
      <c r="JX1384" s="120"/>
      <c r="JY1384" s="120"/>
      <c r="JZ1384" s="120"/>
      <c r="KA1384" s="120"/>
      <c r="KB1384" s="120"/>
      <c r="KC1384" s="120"/>
      <c r="KD1384" s="120"/>
      <c r="KE1384" s="120"/>
      <c r="KF1384" s="120"/>
      <c r="KG1384" s="120"/>
      <c r="KH1384" s="120"/>
      <c r="KI1384" s="120"/>
      <c r="KJ1384" s="120"/>
      <c r="KK1384" s="120"/>
      <c r="KL1384" s="120"/>
      <c r="KM1384" s="120"/>
      <c r="KN1384" s="120"/>
      <c r="KO1384" s="120"/>
      <c r="KP1384" s="120"/>
      <c r="KQ1384" s="120"/>
      <c r="KR1384" s="120"/>
      <c r="KS1384" s="120"/>
      <c r="KT1384" s="120"/>
      <c r="KU1384" s="120"/>
      <c r="KV1384" s="120"/>
      <c r="KW1384" s="120"/>
      <c r="KX1384" s="120"/>
      <c r="KY1384" s="120"/>
      <c r="KZ1384" s="120"/>
      <c r="LA1384" s="120"/>
      <c r="LB1384" s="120"/>
      <c r="LC1384" s="120"/>
      <c r="LD1384" s="120"/>
      <c r="LE1384" s="120"/>
      <c r="LF1384" s="120"/>
      <c r="LG1384" s="120"/>
      <c r="LH1384" s="120"/>
      <c r="LI1384" s="120"/>
      <c r="LJ1384" s="120"/>
      <c r="LK1384" s="120"/>
      <c r="LL1384" s="120"/>
      <c r="LM1384" s="120"/>
      <c r="LN1384" s="120"/>
      <c r="LO1384" s="120"/>
      <c r="LP1384" s="120"/>
      <c r="LQ1384" s="120"/>
      <c r="LR1384" s="120"/>
      <c r="LS1384" s="120"/>
      <c r="LT1384" s="120"/>
      <c r="LU1384" s="120"/>
      <c r="LV1384" s="120"/>
      <c r="LW1384" s="120"/>
      <c r="LX1384" s="120"/>
      <c r="LY1384" s="120"/>
      <c r="LZ1384" s="120"/>
      <c r="MA1384" s="120"/>
      <c r="MB1384" s="120"/>
      <c r="MC1384" s="120"/>
      <c r="MD1384" s="120"/>
      <c r="ME1384" s="120"/>
      <c r="MF1384" s="120"/>
      <c r="MG1384" s="120"/>
      <c r="MH1384" s="120"/>
      <c r="MI1384" s="120"/>
      <c r="MJ1384" s="120"/>
      <c r="MK1384" s="120"/>
      <c r="ML1384" s="120"/>
      <c r="MM1384" s="120"/>
      <c r="MN1384" s="120"/>
      <c r="MO1384" s="120"/>
      <c r="MP1384" s="120"/>
      <c r="MQ1384" s="120"/>
      <c r="MR1384" s="120"/>
      <c r="MS1384" s="120"/>
      <c r="MT1384" s="120"/>
      <c r="MU1384" s="120"/>
      <c r="MV1384" s="120"/>
      <c r="MW1384" s="120"/>
      <c r="MX1384" s="120"/>
      <c r="MY1384" s="120"/>
      <c r="MZ1384" s="120"/>
      <c r="NA1384" s="120"/>
      <c r="NB1384" s="120"/>
      <c r="NC1384" s="120"/>
      <c r="ND1384" s="120"/>
      <c r="NE1384" s="120"/>
      <c r="NF1384" s="120"/>
      <c r="NG1384" s="120"/>
      <c r="NH1384" s="120"/>
      <c r="NI1384" s="120"/>
      <c r="NJ1384" s="120"/>
      <c r="NK1384" s="120"/>
      <c r="NL1384" s="120"/>
      <c r="NM1384" s="120"/>
      <c r="NN1384" s="120"/>
      <c r="NO1384" s="120"/>
      <c r="NP1384" s="120"/>
      <c r="NQ1384" s="120"/>
      <c r="NR1384" s="120"/>
      <c r="NS1384" s="120"/>
      <c r="NT1384" s="120"/>
      <c r="NU1384" s="120"/>
      <c r="NV1384" s="120"/>
      <c r="NW1384" s="120"/>
      <c r="NX1384" s="120"/>
      <c r="NY1384" s="120"/>
      <c r="NZ1384" s="120"/>
      <c r="OA1384" s="120"/>
      <c r="OB1384" s="120"/>
      <c r="OC1384" s="120"/>
      <c r="OD1384" s="120"/>
      <c r="OE1384" s="120"/>
      <c r="OF1384" s="120"/>
      <c r="OG1384" s="120"/>
      <c r="OH1384" s="120"/>
      <c r="OI1384" s="120"/>
      <c r="OJ1384" s="120"/>
      <c r="OK1384" s="120"/>
      <c r="OL1384" s="120"/>
      <c r="OM1384" s="120"/>
      <c r="ON1384" s="120"/>
      <c r="OO1384" s="120"/>
      <c r="OP1384" s="120"/>
      <c r="OQ1384" s="120"/>
      <c r="OR1384" s="120"/>
      <c r="OS1384" s="120"/>
      <c r="OT1384" s="120"/>
      <c r="OU1384" s="120"/>
      <c r="OV1384" s="120"/>
      <c r="OW1384" s="120"/>
      <c r="OX1384" s="120"/>
      <c r="OY1384" s="120"/>
      <c r="OZ1384" s="120"/>
      <c r="PA1384" s="120"/>
      <c r="PB1384" s="120"/>
      <c r="PC1384" s="120"/>
      <c r="PD1384" s="120"/>
      <c r="PE1384" s="120"/>
      <c r="PF1384" s="120"/>
      <c r="PG1384" s="120"/>
      <c r="PH1384" s="120"/>
      <c r="PI1384" s="120"/>
      <c r="PJ1384" s="120"/>
      <c r="PK1384" s="120"/>
      <c r="PL1384" s="120"/>
      <c r="PM1384" s="120"/>
      <c r="PN1384" s="120"/>
      <c r="PO1384" s="120"/>
      <c r="PP1384" s="120"/>
      <c r="PQ1384" s="120"/>
      <c r="PR1384" s="120"/>
      <c r="PS1384" s="120"/>
      <c r="PT1384" s="120"/>
      <c r="PU1384" s="120"/>
      <c r="PV1384" s="120"/>
      <c r="PW1384" s="120"/>
      <c r="PX1384" s="120"/>
      <c r="PY1384" s="120"/>
      <c r="PZ1384" s="120"/>
      <c r="QA1384" s="120"/>
      <c r="QB1384" s="120"/>
      <c r="QC1384" s="120"/>
      <c r="QD1384" s="120"/>
      <c r="QE1384" s="120"/>
      <c r="QF1384" s="120"/>
      <c r="QG1384" s="120"/>
      <c r="QH1384" s="120"/>
      <c r="QI1384" s="120"/>
      <c r="QJ1384" s="120"/>
      <c r="QK1384" s="120"/>
      <c r="QL1384" s="120"/>
      <c r="QM1384" s="120"/>
      <c r="QN1384" s="120"/>
      <c r="QO1384" s="120"/>
      <c r="QP1384" s="120"/>
      <c r="QQ1384" s="120"/>
      <c r="QR1384" s="120"/>
      <c r="QS1384" s="120"/>
      <c r="QT1384" s="120"/>
      <c r="QU1384" s="120"/>
      <c r="QV1384" s="120"/>
      <c r="QW1384" s="120"/>
      <c r="QX1384" s="120"/>
      <c r="QY1384" s="120"/>
      <c r="QZ1384" s="120"/>
      <c r="RA1384" s="120"/>
      <c r="RB1384" s="120"/>
      <c r="RC1384" s="120"/>
      <c r="RD1384" s="120"/>
      <c r="RE1384" s="120"/>
      <c r="RF1384" s="120"/>
      <c r="RG1384" s="120"/>
      <c r="RH1384" s="120"/>
      <c r="RI1384" s="120"/>
      <c r="RJ1384" s="120"/>
      <c r="RK1384" s="120"/>
      <c r="RL1384" s="120"/>
      <c r="RM1384" s="120"/>
      <c r="RN1384" s="120"/>
      <c r="RO1384" s="120"/>
      <c r="RP1384" s="120"/>
      <c r="RQ1384" s="120"/>
      <c r="RR1384" s="120"/>
      <c r="RS1384" s="120"/>
      <c r="RT1384" s="120"/>
      <c r="RU1384" s="120"/>
      <c r="RV1384" s="120"/>
      <c r="RW1384" s="120"/>
      <c r="RX1384" s="120"/>
      <c r="RY1384" s="120"/>
      <c r="RZ1384" s="120"/>
      <c r="SA1384" s="120"/>
      <c r="SB1384" s="120"/>
      <c r="SC1384" s="120"/>
      <c r="SD1384" s="120"/>
      <c r="SE1384" s="120"/>
      <c r="SF1384" s="120"/>
      <c r="SG1384" s="120"/>
      <c r="SH1384" s="120"/>
      <c r="SI1384" s="120"/>
      <c r="SJ1384" s="120"/>
      <c r="SK1384" s="120"/>
      <c r="SL1384" s="120"/>
      <c r="SM1384" s="120"/>
      <c r="SN1384" s="120"/>
      <c r="SO1384" s="120"/>
      <c r="SP1384" s="120"/>
      <c r="SQ1384" s="120"/>
      <c r="SR1384" s="120"/>
      <c r="SS1384" s="120"/>
      <c r="ST1384" s="120"/>
      <c r="SU1384" s="120"/>
      <c r="SV1384" s="120"/>
      <c r="SW1384" s="120"/>
      <c r="SX1384" s="120"/>
      <c r="SY1384" s="120"/>
      <c r="SZ1384" s="120"/>
      <c r="TA1384" s="120"/>
      <c r="TB1384" s="120"/>
      <c r="TC1384" s="120"/>
      <c r="TD1384" s="120"/>
      <c r="TE1384" s="120"/>
      <c r="TF1384" s="120"/>
      <c r="TG1384" s="120"/>
      <c r="TH1384" s="120"/>
      <c r="TI1384" s="120"/>
      <c r="TJ1384" s="120"/>
      <c r="TK1384" s="120"/>
      <c r="TL1384" s="120"/>
      <c r="TM1384" s="120"/>
      <c r="TN1384" s="120"/>
      <c r="TO1384" s="120"/>
      <c r="TP1384" s="120"/>
      <c r="TQ1384" s="120"/>
      <c r="TR1384" s="120"/>
      <c r="TS1384" s="120"/>
      <c r="TT1384" s="120"/>
      <c r="TU1384" s="120"/>
      <c r="TV1384" s="120"/>
      <c r="TW1384" s="120"/>
      <c r="TX1384" s="120"/>
      <c r="TY1384" s="120"/>
      <c r="TZ1384" s="120"/>
      <c r="UA1384" s="120"/>
      <c r="UB1384" s="120"/>
      <c r="UC1384" s="120"/>
      <c r="UD1384" s="120"/>
      <c r="UE1384" s="120"/>
      <c r="UF1384" s="120"/>
      <c r="UG1384" s="120"/>
      <c r="UH1384" s="120"/>
      <c r="UI1384" s="120"/>
      <c r="UJ1384" s="120"/>
      <c r="UK1384" s="120"/>
      <c r="UL1384" s="120"/>
      <c r="UM1384" s="120"/>
      <c r="UN1384" s="120"/>
      <c r="UO1384" s="120"/>
      <c r="UP1384" s="120"/>
      <c r="UQ1384" s="120"/>
      <c r="UR1384" s="120"/>
      <c r="US1384" s="120"/>
      <c r="UT1384" s="120"/>
      <c r="UU1384" s="120"/>
      <c r="UV1384" s="120"/>
      <c r="UW1384" s="120"/>
      <c r="UX1384" s="120"/>
      <c r="UY1384" s="120"/>
      <c r="UZ1384" s="120"/>
      <c r="VA1384" s="120"/>
      <c r="VB1384" s="120"/>
      <c r="VC1384" s="120"/>
      <c r="VD1384" s="120"/>
      <c r="VE1384" s="120"/>
      <c r="VF1384" s="120"/>
      <c r="VG1384" s="120"/>
      <c r="VH1384" s="120"/>
      <c r="VI1384" s="120"/>
      <c r="VJ1384" s="120"/>
      <c r="VK1384" s="120"/>
      <c r="VL1384" s="120"/>
      <c r="VM1384" s="120"/>
      <c r="VN1384" s="120"/>
      <c r="VO1384" s="120"/>
      <c r="VP1384" s="120"/>
      <c r="VQ1384" s="120"/>
      <c r="VR1384" s="120"/>
      <c r="VS1384" s="120"/>
      <c r="VT1384" s="120"/>
      <c r="VU1384" s="120"/>
      <c r="VV1384" s="120"/>
      <c r="VW1384" s="120"/>
      <c r="VX1384" s="120"/>
      <c r="VY1384" s="120"/>
      <c r="VZ1384" s="120"/>
      <c r="WA1384" s="120"/>
      <c r="WB1384" s="120"/>
      <c r="WC1384" s="120"/>
      <c r="WD1384" s="120"/>
      <c r="WE1384" s="120"/>
      <c r="WF1384" s="120"/>
      <c r="WG1384" s="120"/>
      <c r="WH1384" s="120"/>
      <c r="WI1384" s="120"/>
      <c r="WJ1384" s="120"/>
      <c r="WK1384" s="120"/>
      <c r="WL1384" s="120"/>
      <c r="WM1384" s="120"/>
      <c r="WN1384" s="120"/>
      <c r="WO1384" s="120"/>
      <c r="WP1384" s="120"/>
      <c r="WQ1384" s="120"/>
      <c r="WR1384" s="120"/>
      <c r="WS1384" s="120"/>
      <c r="WT1384" s="120"/>
      <c r="WU1384" s="120"/>
      <c r="WV1384" s="120"/>
      <c r="WW1384" s="120"/>
      <c r="WX1384" s="120"/>
      <c r="WY1384" s="120"/>
      <c r="WZ1384" s="120"/>
      <c r="XA1384" s="120"/>
      <c r="XB1384" s="120"/>
      <c r="XC1384" s="120"/>
      <c r="XD1384" s="120"/>
      <c r="XE1384" s="120"/>
      <c r="XF1384" s="120"/>
      <c r="XG1384" s="120"/>
      <c r="XH1384" s="120"/>
      <c r="XI1384" s="120"/>
      <c r="XJ1384" s="120"/>
      <c r="XK1384" s="120"/>
      <c r="XL1384" s="120"/>
      <c r="XM1384" s="120"/>
      <c r="XN1384" s="120"/>
      <c r="XO1384" s="120"/>
      <c r="XP1384" s="120"/>
      <c r="XQ1384" s="120"/>
      <c r="XR1384" s="120"/>
      <c r="XS1384" s="120"/>
      <c r="XT1384" s="120"/>
      <c r="XU1384" s="120"/>
      <c r="XV1384" s="120"/>
      <c r="XW1384" s="120"/>
      <c r="XX1384" s="120"/>
      <c r="XY1384" s="120"/>
      <c r="XZ1384" s="120"/>
      <c r="YA1384" s="120"/>
      <c r="YB1384" s="120"/>
      <c r="YC1384" s="120"/>
      <c r="YD1384" s="120"/>
      <c r="YE1384" s="120"/>
      <c r="YF1384" s="120"/>
      <c r="YG1384" s="120"/>
      <c r="YH1384" s="120"/>
      <c r="YI1384" s="120"/>
      <c r="YJ1384" s="120"/>
      <c r="YK1384" s="120"/>
      <c r="YL1384" s="120"/>
      <c r="YM1384" s="120"/>
      <c r="YN1384" s="120"/>
      <c r="YO1384" s="120"/>
      <c r="YP1384" s="120"/>
      <c r="YQ1384" s="120"/>
      <c r="YR1384" s="120"/>
      <c r="YS1384" s="120"/>
      <c r="YT1384" s="120"/>
      <c r="YU1384" s="120"/>
      <c r="YV1384" s="120"/>
      <c r="YW1384" s="120"/>
      <c r="YX1384" s="120"/>
      <c r="YY1384" s="120"/>
      <c r="YZ1384" s="120"/>
      <c r="ZA1384" s="120"/>
      <c r="ZB1384" s="120"/>
      <c r="ZC1384" s="120"/>
      <c r="ZD1384" s="120"/>
      <c r="ZE1384" s="120"/>
      <c r="ZF1384" s="120"/>
      <c r="ZG1384" s="120"/>
      <c r="ZH1384" s="120"/>
      <c r="ZI1384" s="120"/>
      <c r="ZJ1384" s="120"/>
      <c r="ZK1384" s="120"/>
      <c r="ZL1384" s="120"/>
      <c r="ZM1384" s="120"/>
      <c r="ZN1384" s="120"/>
      <c r="ZO1384" s="120"/>
      <c r="ZP1384" s="120"/>
      <c r="ZQ1384" s="120"/>
      <c r="ZR1384" s="120"/>
      <c r="ZS1384" s="120"/>
      <c r="ZT1384" s="120"/>
      <c r="ZU1384" s="120"/>
      <c r="ZV1384" s="120"/>
      <c r="ZW1384" s="120"/>
      <c r="ZX1384" s="120"/>
      <c r="ZY1384" s="120"/>
      <c r="ZZ1384" s="120"/>
      <c r="AAA1384" s="120"/>
      <c r="AAB1384" s="120"/>
      <c r="AAC1384" s="120"/>
      <c r="AAD1384" s="120"/>
      <c r="AAE1384" s="120"/>
      <c r="AAF1384" s="120"/>
      <c r="AAG1384" s="120"/>
      <c r="AAH1384" s="120"/>
      <c r="AAI1384" s="120"/>
      <c r="AAJ1384" s="120"/>
      <c r="AAK1384" s="120"/>
      <c r="AAL1384" s="120"/>
      <c r="AAM1384" s="120"/>
      <c r="AAN1384" s="120"/>
      <c r="AAO1384" s="120"/>
      <c r="AAP1384" s="120"/>
      <c r="AAQ1384" s="120"/>
      <c r="AAR1384" s="120"/>
      <c r="AAS1384" s="120"/>
      <c r="AAT1384" s="120"/>
      <c r="AAU1384" s="120"/>
      <c r="AAV1384" s="120"/>
      <c r="AAW1384" s="120"/>
      <c r="AAX1384" s="120"/>
      <c r="AAY1384" s="120"/>
      <c r="AAZ1384" s="120"/>
      <c r="ABA1384" s="120"/>
      <c r="ABB1384" s="120"/>
      <c r="ABC1384" s="120"/>
      <c r="ABD1384" s="120"/>
      <c r="ABE1384" s="120"/>
      <c r="ABF1384" s="120"/>
      <c r="ABG1384" s="120"/>
      <c r="ABH1384" s="120"/>
      <c r="ABI1384" s="120"/>
      <c r="ABJ1384" s="120"/>
      <c r="ABK1384" s="120"/>
      <c r="ABL1384" s="120"/>
      <c r="ABM1384" s="120"/>
      <c r="ABN1384" s="120"/>
      <c r="ABO1384" s="120"/>
      <c r="ABP1384" s="120"/>
      <c r="ABQ1384" s="120"/>
      <c r="ABR1384" s="120"/>
      <c r="ABS1384" s="120"/>
      <c r="ABT1384" s="120"/>
      <c r="ABU1384" s="120"/>
      <c r="ABV1384" s="120"/>
      <c r="ABW1384" s="120"/>
      <c r="ABX1384" s="120"/>
      <c r="ABY1384" s="120"/>
      <c r="ABZ1384" s="120"/>
      <c r="ACA1384" s="120"/>
      <c r="ACB1384" s="120"/>
      <c r="ACC1384" s="120"/>
      <c r="ACD1384" s="120"/>
      <c r="ACE1384" s="120"/>
      <c r="ACF1384" s="120"/>
      <c r="ACG1384" s="120"/>
      <c r="ACH1384" s="120"/>
      <c r="ACI1384" s="120"/>
      <c r="ACJ1384" s="120"/>
      <c r="ACK1384" s="120"/>
      <c r="ACL1384" s="120"/>
      <c r="ACM1384" s="120"/>
      <c r="ACN1384" s="120"/>
      <c r="ACO1384" s="120"/>
      <c r="ACP1384" s="120"/>
      <c r="ACQ1384" s="120"/>
      <c r="ACR1384" s="120"/>
      <c r="ACS1384" s="120"/>
      <c r="ACT1384" s="120"/>
      <c r="ACU1384" s="120"/>
      <c r="ACV1384" s="120"/>
      <c r="ACW1384" s="120"/>
      <c r="ACX1384" s="120"/>
      <c r="ACY1384" s="120"/>
      <c r="ACZ1384" s="120"/>
      <c r="ADA1384" s="120"/>
      <c r="ADB1384" s="120"/>
      <c r="ADC1384" s="120"/>
      <c r="ADD1384" s="120"/>
      <c r="ADE1384" s="120"/>
      <c r="ADF1384" s="120"/>
      <c r="ADG1384" s="120"/>
      <c r="ADH1384" s="120"/>
      <c r="ADI1384" s="120"/>
      <c r="ADJ1384" s="120"/>
      <c r="ADK1384" s="120"/>
      <c r="ADL1384" s="120"/>
      <c r="ADM1384" s="120"/>
      <c r="ADN1384" s="120"/>
      <c r="ADO1384" s="120"/>
      <c r="ADP1384" s="120"/>
      <c r="ADQ1384" s="120"/>
      <c r="ADR1384" s="120"/>
      <c r="ADS1384" s="120"/>
      <c r="ADT1384" s="120"/>
      <c r="ADU1384" s="120"/>
      <c r="ADV1384" s="120"/>
      <c r="ADW1384" s="120"/>
      <c r="ADX1384" s="120"/>
      <c r="ADY1384" s="120"/>
      <c r="ADZ1384" s="120"/>
      <c r="AEA1384" s="120"/>
      <c r="AEB1384" s="120"/>
      <c r="AEC1384" s="120"/>
      <c r="AED1384" s="120"/>
      <c r="AEE1384" s="120"/>
      <c r="AEF1384" s="120"/>
      <c r="AEG1384" s="120"/>
      <c r="AEH1384" s="120"/>
      <c r="AEI1384" s="120"/>
      <c r="AEJ1384" s="120"/>
      <c r="AEK1384" s="120"/>
      <c r="AEL1384" s="120"/>
      <c r="AEM1384" s="120"/>
      <c r="AEN1384" s="120"/>
      <c r="AEO1384" s="120"/>
      <c r="AEP1384" s="120"/>
      <c r="AEQ1384" s="120"/>
      <c r="AER1384" s="120"/>
      <c r="AES1384" s="120"/>
      <c r="AET1384" s="120"/>
      <c r="AEU1384" s="120"/>
      <c r="AEV1384" s="120"/>
      <c r="AEW1384" s="120"/>
      <c r="AEX1384" s="120"/>
      <c r="AEY1384" s="120"/>
      <c r="AEZ1384" s="120"/>
      <c r="AFA1384" s="120"/>
      <c r="AFB1384" s="120"/>
      <c r="AFC1384" s="120"/>
      <c r="AFD1384" s="120"/>
      <c r="AFE1384" s="120"/>
      <c r="AFF1384" s="120"/>
      <c r="AFG1384" s="120"/>
      <c r="AFH1384" s="120"/>
      <c r="AFI1384" s="120"/>
      <c r="AFJ1384" s="120"/>
      <c r="AFK1384" s="120"/>
      <c r="AFL1384" s="120"/>
      <c r="AFM1384" s="120"/>
      <c r="AFN1384" s="120"/>
      <c r="AFO1384" s="120"/>
      <c r="AFP1384" s="120"/>
      <c r="AFQ1384" s="120"/>
      <c r="AFR1384" s="120"/>
      <c r="AFS1384" s="120"/>
      <c r="AFT1384" s="120"/>
      <c r="AFU1384" s="120"/>
      <c r="AFV1384" s="120"/>
      <c r="AFW1384" s="120"/>
      <c r="AFX1384" s="120"/>
      <c r="AFY1384" s="120"/>
      <c r="AFZ1384" s="120"/>
      <c r="AGA1384" s="120"/>
      <c r="AGB1384" s="120"/>
      <c r="AGC1384" s="120"/>
      <c r="AGD1384" s="120"/>
      <c r="AGE1384" s="120"/>
      <c r="AGF1384" s="120"/>
      <c r="AGG1384" s="120"/>
      <c r="AGH1384" s="120"/>
      <c r="AGI1384" s="120"/>
      <c r="AGJ1384" s="120"/>
      <c r="AGK1384" s="120"/>
      <c r="AGL1384" s="120"/>
      <c r="AGM1384" s="120"/>
      <c r="AGN1384" s="120"/>
      <c r="AGO1384" s="120"/>
      <c r="AGP1384" s="120"/>
      <c r="AGQ1384" s="120"/>
      <c r="AGR1384" s="120"/>
      <c r="AGS1384" s="120"/>
      <c r="AGT1384" s="120"/>
      <c r="AGU1384" s="120"/>
      <c r="AGV1384" s="120"/>
      <c r="AGW1384" s="120"/>
      <c r="AGX1384" s="120"/>
      <c r="AGY1384" s="120"/>
      <c r="AGZ1384" s="120"/>
      <c r="AHA1384" s="120"/>
      <c r="AHB1384" s="120"/>
      <c r="AHC1384" s="120"/>
      <c r="AHD1384" s="120"/>
      <c r="AHE1384" s="120"/>
      <c r="AHF1384" s="120"/>
      <c r="AHG1384" s="120"/>
      <c r="AHH1384" s="120"/>
      <c r="AHI1384" s="120"/>
      <c r="AHJ1384" s="120"/>
      <c r="AHK1384" s="120"/>
      <c r="AHL1384" s="120"/>
      <c r="AHM1384" s="120"/>
      <c r="AHN1384" s="120"/>
      <c r="AHO1384" s="120"/>
      <c r="AHP1384" s="120"/>
      <c r="AHQ1384" s="120"/>
      <c r="AHR1384" s="120"/>
      <c r="AHS1384" s="120"/>
      <c r="AHT1384" s="120"/>
      <c r="AHU1384" s="120"/>
      <c r="AHV1384" s="120"/>
      <c r="AHW1384" s="120"/>
      <c r="AHX1384" s="120"/>
      <c r="AHY1384" s="120"/>
      <c r="AHZ1384" s="120"/>
      <c r="AIA1384" s="120"/>
      <c r="AIB1384" s="120"/>
      <c r="AIC1384" s="120"/>
      <c r="AID1384" s="120"/>
      <c r="AIE1384" s="120"/>
      <c r="AIF1384" s="120"/>
      <c r="AIG1384" s="120"/>
      <c r="AIH1384" s="120"/>
      <c r="AII1384" s="120"/>
      <c r="AIJ1384" s="120"/>
      <c r="AIK1384" s="120"/>
      <c r="AIL1384" s="120"/>
      <c r="AIM1384" s="120"/>
      <c r="AIN1384" s="120"/>
      <c r="AIO1384" s="120"/>
      <c r="AIP1384" s="120"/>
      <c r="AIQ1384" s="120"/>
      <c r="AIR1384" s="120"/>
      <c r="AIS1384" s="120"/>
      <c r="AIT1384" s="120"/>
      <c r="AIU1384" s="120"/>
      <c r="AIV1384" s="120"/>
      <c r="AIW1384" s="120"/>
      <c r="AIX1384" s="120"/>
      <c r="AIY1384" s="120"/>
      <c r="AIZ1384" s="120"/>
      <c r="AJA1384" s="120"/>
      <c r="AJB1384" s="120"/>
      <c r="AJC1384" s="120"/>
      <c r="AJD1384" s="120"/>
      <c r="AJE1384" s="120"/>
      <c r="AJF1384" s="120"/>
      <c r="AJG1384" s="120"/>
      <c r="AJH1384" s="120"/>
      <c r="AJI1384" s="120"/>
      <c r="AJJ1384" s="120"/>
      <c r="AJK1384" s="120"/>
      <c r="AJL1384" s="120"/>
      <c r="AJM1384" s="120"/>
      <c r="AJN1384" s="120"/>
      <c r="AJO1384" s="120"/>
      <c r="AJP1384" s="120"/>
      <c r="AJQ1384" s="120"/>
      <c r="AJR1384" s="120"/>
      <c r="AJS1384" s="120"/>
      <c r="AJT1384" s="120"/>
      <c r="AJU1384" s="120"/>
      <c r="AJV1384" s="120"/>
      <c r="AJW1384" s="120"/>
      <c r="AJX1384" s="120"/>
      <c r="AJY1384" s="120"/>
      <c r="AJZ1384" s="120"/>
      <c r="AKA1384" s="120"/>
      <c r="AKB1384" s="120"/>
      <c r="AKC1384" s="120"/>
      <c r="AKD1384" s="120"/>
      <c r="AKE1384" s="120"/>
      <c r="AKF1384" s="120"/>
      <c r="AKG1384" s="120"/>
      <c r="AKH1384" s="120"/>
      <c r="AKI1384" s="120"/>
      <c r="AKJ1384" s="120"/>
      <c r="AKK1384" s="120"/>
      <c r="AKL1384" s="120"/>
      <c r="AKM1384" s="120"/>
      <c r="AKN1384" s="120"/>
      <c r="AKO1384" s="120"/>
      <c r="AKP1384" s="120"/>
      <c r="AKQ1384" s="120"/>
      <c r="AKR1384" s="120"/>
      <c r="AKS1384" s="120"/>
      <c r="AKT1384" s="120"/>
      <c r="AKU1384" s="120"/>
      <c r="AKV1384" s="120"/>
      <c r="AKW1384" s="120"/>
      <c r="AKX1384" s="120"/>
      <c r="AKY1384" s="120"/>
      <c r="AKZ1384" s="120"/>
      <c r="ALA1384" s="120"/>
      <c r="ALB1384" s="120"/>
      <c r="ALC1384" s="120"/>
      <c r="ALD1384" s="120"/>
      <c r="ALE1384" s="120"/>
      <c r="ALF1384" s="120"/>
      <c r="ALG1384" s="120"/>
      <c r="ALH1384" s="120"/>
      <c r="ALI1384" s="120"/>
      <c r="ALJ1384" s="120"/>
      <c r="ALK1384" s="120"/>
      <c r="ALL1384" s="120"/>
      <c r="ALM1384" s="120"/>
      <c r="ALN1384" s="120"/>
      <c r="ALO1384" s="120"/>
      <c r="ALP1384" s="120"/>
      <c r="ALQ1384" s="120"/>
      <c r="ALR1384" s="120"/>
      <c r="ALS1384" s="120"/>
      <c r="ALT1384" s="120"/>
      <c r="ALU1384" s="120"/>
      <c r="ALV1384" s="120"/>
      <c r="ALW1384" s="120"/>
      <c r="ALX1384" s="120"/>
      <c r="ALY1384" s="120"/>
      <c r="ALZ1384" s="120"/>
      <c r="AMA1384" s="120"/>
      <c r="AMB1384" s="120"/>
      <c r="AMC1384" s="120"/>
      <c r="AMD1384" s="120"/>
      <c r="AME1384" s="120"/>
      <c r="AMF1384" s="120"/>
      <c r="AMG1384" s="120"/>
      <c r="AMH1384" s="120"/>
      <c r="AMI1384" s="120"/>
      <c r="AMJ1384" s="120"/>
      <c r="AMK1384" s="120"/>
      <c r="AML1384" s="120"/>
      <c r="AMM1384" s="120"/>
      <c r="AMN1384" s="120"/>
      <c r="AMO1384" s="120"/>
      <c r="AMP1384" s="120"/>
      <c r="AMQ1384" s="120"/>
      <c r="AMR1384" s="120"/>
      <c r="AMS1384" s="120"/>
      <c r="AMT1384" s="120"/>
      <c r="AMU1384" s="120"/>
      <c r="AMV1384" s="120"/>
      <c r="AMW1384" s="120"/>
      <c r="AMX1384" s="120"/>
      <c r="AMY1384" s="120"/>
      <c r="AMZ1384" s="120"/>
      <c r="ANA1384" s="120"/>
      <c r="ANB1384" s="120"/>
      <c r="ANC1384" s="120"/>
      <c r="AND1384" s="120"/>
      <c r="ANE1384" s="120"/>
      <c r="ANF1384" s="120"/>
      <c r="ANG1384" s="120"/>
      <c r="ANH1384" s="120"/>
      <c r="ANI1384" s="120"/>
      <c r="ANJ1384" s="120"/>
      <c r="ANK1384" s="120"/>
      <c r="ANL1384" s="120"/>
      <c r="ANM1384" s="120"/>
      <c r="ANN1384" s="120"/>
      <c r="ANO1384" s="120"/>
      <c r="ANP1384" s="120"/>
      <c r="ANQ1384" s="120"/>
      <c r="ANR1384" s="120"/>
      <c r="ANS1384" s="120"/>
      <c r="ANT1384" s="120"/>
      <c r="ANU1384" s="120"/>
      <c r="ANV1384" s="120"/>
      <c r="ANW1384" s="120"/>
      <c r="ANX1384" s="120"/>
      <c r="ANY1384" s="120"/>
      <c r="ANZ1384" s="120"/>
      <c r="AOA1384" s="120"/>
      <c r="AOB1384" s="120"/>
      <c r="AOC1384" s="120"/>
      <c r="AOD1384" s="120"/>
      <c r="AOE1384" s="120"/>
      <c r="AOF1384" s="120"/>
      <c r="AOG1384" s="120"/>
      <c r="AOH1384" s="120"/>
      <c r="AOI1384" s="120"/>
      <c r="AOJ1384" s="120"/>
      <c r="AOK1384" s="120"/>
      <c r="AOL1384" s="120"/>
      <c r="AOM1384" s="120"/>
      <c r="AON1384" s="120"/>
      <c r="AOO1384" s="120"/>
      <c r="AOP1384" s="120"/>
      <c r="AOQ1384" s="120"/>
      <c r="AOR1384" s="120"/>
      <c r="AOS1384" s="120"/>
      <c r="AOT1384" s="120"/>
      <c r="AOU1384" s="120"/>
      <c r="AOV1384" s="120"/>
      <c r="AOW1384" s="120"/>
      <c r="AOX1384" s="120"/>
      <c r="AOY1384" s="120"/>
      <c r="AOZ1384" s="120"/>
      <c r="APA1384" s="120"/>
      <c r="APB1384" s="120"/>
      <c r="APC1384" s="120"/>
      <c r="APD1384" s="120"/>
      <c r="APE1384" s="120"/>
      <c r="APF1384" s="120"/>
      <c r="APG1384" s="120"/>
      <c r="APH1384" s="120"/>
      <c r="API1384" s="120"/>
      <c r="APJ1384" s="120"/>
      <c r="APK1384" s="120"/>
      <c r="APL1384" s="120"/>
      <c r="APM1384" s="120"/>
      <c r="APN1384" s="120"/>
      <c r="APO1384" s="120"/>
      <c r="APP1384" s="120"/>
      <c r="APQ1384" s="120"/>
      <c r="APR1384" s="120"/>
      <c r="APS1384" s="120"/>
      <c r="APT1384" s="120"/>
      <c r="APU1384" s="120"/>
      <c r="APV1384" s="120"/>
      <c r="APW1384" s="120"/>
      <c r="APX1384" s="120"/>
      <c r="APY1384" s="120"/>
      <c r="APZ1384" s="120"/>
      <c r="AQA1384" s="120"/>
      <c r="AQB1384" s="120"/>
      <c r="AQC1384" s="120"/>
      <c r="AQD1384" s="120"/>
      <c r="AQE1384" s="120"/>
      <c r="AQF1384" s="120"/>
      <c r="AQG1384" s="120"/>
      <c r="AQH1384" s="120"/>
      <c r="AQI1384" s="120"/>
      <c r="AQJ1384" s="120"/>
      <c r="AQK1384" s="120"/>
      <c r="AQL1384" s="120"/>
      <c r="AQM1384" s="120"/>
      <c r="AQN1384" s="120"/>
      <c r="AQO1384" s="120"/>
      <c r="AQP1384" s="120"/>
      <c r="AQQ1384" s="120"/>
      <c r="AQR1384" s="120"/>
      <c r="AQS1384" s="120"/>
      <c r="AQT1384" s="120"/>
      <c r="AQU1384" s="120"/>
      <c r="AQV1384" s="120"/>
      <c r="AQW1384" s="120"/>
      <c r="AQX1384" s="120"/>
      <c r="AQY1384" s="120"/>
      <c r="AQZ1384" s="120"/>
      <c r="ARA1384" s="120"/>
      <c r="ARB1384" s="120"/>
      <c r="ARC1384" s="120"/>
      <c r="ARD1384" s="120"/>
      <c r="ARE1384" s="120"/>
      <c r="ARF1384" s="120"/>
      <c r="ARG1384" s="120"/>
      <c r="ARH1384" s="120"/>
      <c r="ARI1384" s="120"/>
      <c r="ARJ1384" s="120"/>
      <c r="ARK1384" s="120"/>
      <c r="ARL1384" s="120"/>
      <c r="ARM1384" s="120"/>
      <c r="ARN1384" s="120"/>
      <c r="ARO1384" s="120"/>
      <c r="ARP1384" s="120"/>
      <c r="ARQ1384" s="120"/>
      <c r="ARR1384" s="120"/>
      <c r="ARS1384" s="120"/>
      <c r="ART1384" s="120"/>
      <c r="ARU1384" s="120"/>
      <c r="ARV1384" s="120"/>
      <c r="ARW1384" s="120"/>
      <c r="ARX1384" s="120"/>
      <c r="ARY1384" s="120"/>
      <c r="ARZ1384" s="120"/>
      <c r="ASA1384" s="120"/>
      <c r="ASB1384" s="120"/>
      <c r="ASC1384" s="120"/>
      <c r="ASD1384" s="120"/>
      <c r="ASE1384" s="120"/>
      <c r="ASF1384" s="120"/>
      <c r="ASG1384" s="120"/>
      <c r="ASH1384" s="120"/>
      <c r="ASI1384" s="120"/>
      <c r="ASJ1384" s="120"/>
      <c r="ASK1384" s="120"/>
      <c r="ASL1384" s="120"/>
      <c r="ASM1384" s="120"/>
      <c r="ASN1384" s="120"/>
      <c r="ASO1384" s="120"/>
      <c r="ASP1384" s="120"/>
      <c r="ASQ1384" s="120"/>
      <c r="ASR1384" s="120"/>
      <c r="ASS1384" s="120"/>
      <c r="AST1384" s="120"/>
      <c r="ASU1384" s="120"/>
      <c r="ASV1384" s="120"/>
      <c r="ASW1384" s="120"/>
      <c r="ASX1384" s="120"/>
      <c r="ASY1384" s="120"/>
      <c r="ASZ1384" s="120"/>
      <c r="ATA1384" s="120"/>
      <c r="ATB1384" s="120"/>
      <c r="ATC1384" s="120"/>
      <c r="ATD1384" s="120"/>
      <c r="ATE1384" s="120"/>
      <c r="ATF1384" s="120"/>
      <c r="ATG1384" s="120"/>
      <c r="ATH1384" s="120"/>
      <c r="ATI1384" s="120"/>
      <c r="ATJ1384" s="120"/>
      <c r="ATK1384" s="120"/>
      <c r="ATL1384" s="120"/>
      <c r="ATM1384" s="120"/>
      <c r="ATN1384" s="120"/>
      <c r="ATO1384" s="120"/>
    </row>
    <row r="1385" spans="1:1211" s="20" customFormat="1" ht="14.1" customHeight="1">
      <c r="A1385" s="112"/>
      <c r="B1385" s="945" t="s">
        <v>3781</v>
      </c>
      <c r="C1385" s="184" t="s">
        <v>6146</v>
      </c>
      <c r="D1385" s="120"/>
      <c r="E1385" s="701"/>
      <c r="F1385" s="703"/>
      <c r="G1385" s="702"/>
      <c r="H1385" s="702"/>
      <c r="I1385" s="702"/>
      <c r="J1385" s="700"/>
      <c r="K1385" s="112"/>
      <c r="L1385" s="363"/>
      <c r="M1385" s="112"/>
      <c r="N1385" s="362"/>
      <c r="O1385" s="573"/>
      <c r="P1385" s="120"/>
      <c r="Q1385" s="120"/>
      <c r="R1385" s="120"/>
      <c r="S1385" s="120"/>
      <c r="T1385" s="120"/>
      <c r="U1385" s="120"/>
      <c r="V1385" s="120"/>
      <c r="W1385" s="120"/>
      <c r="X1385" s="120"/>
      <c r="Y1385" s="120"/>
      <c r="Z1385" s="120"/>
      <c r="AA1385" s="120"/>
      <c r="AB1385" s="120"/>
      <c r="AC1385" s="120"/>
      <c r="AD1385" s="120"/>
      <c r="AE1385" s="120"/>
      <c r="AF1385" s="120"/>
      <c r="AG1385" s="120"/>
      <c r="AH1385" s="120"/>
      <c r="AI1385" s="120"/>
      <c r="AJ1385" s="120"/>
      <c r="AK1385" s="120"/>
      <c r="AL1385" s="120"/>
      <c r="AM1385" s="120"/>
      <c r="AN1385" s="120"/>
      <c r="AO1385" s="120"/>
      <c r="AP1385" s="120"/>
      <c r="AQ1385" s="120"/>
      <c r="AR1385" s="120"/>
      <c r="AS1385" s="120"/>
      <c r="AT1385" s="120"/>
      <c r="AU1385" s="120"/>
      <c r="AV1385" s="120"/>
      <c r="AW1385" s="120"/>
      <c r="AX1385" s="120"/>
      <c r="AY1385" s="120"/>
      <c r="AZ1385" s="120"/>
      <c r="BA1385" s="120"/>
      <c r="BB1385" s="120"/>
      <c r="BC1385" s="120"/>
      <c r="BD1385" s="120"/>
      <c r="BE1385" s="120"/>
      <c r="BF1385" s="120"/>
      <c r="BG1385" s="120"/>
      <c r="BH1385" s="120"/>
      <c r="BI1385" s="120"/>
      <c r="BJ1385" s="120"/>
      <c r="BK1385" s="120"/>
      <c r="BL1385" s="120"/>
      <c r="BM1385" s="120"/>
      <c r="BN1385" s="120"/>
      <c r="BO1385" s="120"/>
      <c r="BP1385" s="120"/>
      <c r="BQ1385" s="120"/>
      <c r="BR1385" s="120"/>
      <c r="BS1385" s="120"/>
      <c r="BT1385" s="120"/>
      <c r="BU1385" s="120"/>
      <c r="BV1385" s="120"/>
      <c r="BW1385" s="120"/>
      <c r="BX1385" s="120"/>
      <c r="BY1385" s="120"/>
      <c r="BZ1385" s="120"/>
      <c r="CA1385" s="120"/>
      <c r="CB1385" s="120"/>
      <c r="CC1385" s="120"/>
      <c r="CD1385" s="120"/>
      <c r="CE1385" s="120"/>
      <c r="CF1385" s="120"/>
      <c r="CG1385" s="120"/>
      <c r="CH1385" s="120"/>
      <c r="CI1385" s="120"/>
      <c r="CJ1385" s="120"/>
      <c r="CK1385" s="120"/>
      <c r="CL1385" s="120"/>
      <c r="CM1385" s="120"/>
      <c r="CN1385" s="120"/>
      <c r="CO1385" s="120"/>
      <c r="CP1385" s="120"/>
      <c r="CQ1385" s="120"/>
      <c r="CR1385" s="120"/>
      <c r="CS1385" s="120"/>
      <c r="CT1385" s="120"/>
      <c r="CU1385" s="120"/>
      <c r="CV1385" s="120"/>
      <c r="CW1385" s="120"/>
      <c r="CX1385" s="120"/>
      <c r="CY1385" s="120"/>
      <c r="CZ1385" s="120"/>
      <c r="DA1385" s="120"/>
      <c r="DB1385" s="120"/>
      <c r="DC1385" s="120"/>
      <c r="DD1385" s="120"/>
      <c r="DE1385" s="120"/>
      <c r="DF1385" s="120"/>
      <c r="DG1385" s="120"/>
      <c r="DH1385" s="120"/>
      <c r="DI1385" s="120"/>
      <c r="DJ1385" s="120"/>
      <c r="DK1385" s="120"/>
      <c r="DL1385" s="120"/>
      <c r="DM1385" s="120"/>
      <c r="DN1385" s="120"/>
      <c r="DO1385" s="120"/>
      <c r="DP1385" s="120"/>
      <c r="DQ1385" s="120"/>
      <c r="DR1385" s="120"/>
      <c r="DS1385" s="120"/>
      <c r="DT1385" s="120"/>
      <c r="DU1385" s="120"/>
      <c r="DV1385" s="120"/>
      <c r="DW1385" s="120"/>
      <c r="DX1385" s="120"/>
      <c r="DY1385" s="120"/>
      <c r="DZ1385" s="120"/>
      <c r="EA1385" s="120"/>
      <c r="EB1385" s="120"/>
      <c r="EC1385" s="120"/>
      <c r="ED1385" s="120"/>
      <c r="EE1385" s="120"/>
      <c r="EF1385" s="120"/>
      <c r="EG1385" s="120"/>
      <c r="EH1385" s="120"/>
      <c r="EI1385" s="120"/>
      <c r="EJ1385" s="120"/>
      <c r="EK1385" s="120"/>
      <c r="EL1385" s="120"/>
      <c r="EM1385" s="120"/>
      <c r="EN1385" s="120"/>
      <c r="EO1385" s="120"/>
      <c r="EP1385" s="120"/>
      <c r="EQ1385" s="120"/>
      <c r="ER1385" s="120"/>
      <c r="ES1385" s="120"/>
      <c r="ET1385" s="120"/>
      <c r="EU1385" s="120"/>
      <c r="EV1385" s="120"/>
      <c r="EW1385" s="120"/>
      <c r="EX1385" s="120"/>
      <c r="EY1385" s="120"/>
      <c r="EZ1385" s="120"/>
      <c r="FA1385" s="120"/>
      <c r="FB1385" s="120"/>
      <c r="FC1385" s="120"/>
      <c r="FD1385" s="120"/>
      <c r="FE1385" s="120"/>
      <c r="FF1385" s="120"/>
      <c r="FG1385" s="120"/>
      <c r="FH1385" s="120"/>
      <c r="FI1385" s="120"/>
      <c r="FJ1385" s="120"/>
      <c r="FK1385" s="120"/>
      <c r="FL1385" s="120"/>
      <c r="FM1385" s="120"/>
      <c r="FN1385" s="120"/>
      <c r="FO1385" s="120"/>
      <c r="FP1385" s="120"/>
      <c r="FQ1385" s="120"/>
      <c r="FR1385" s="120"/>
      <c r="FS1385" s="120"/>
      <c r="FT1385" s="120"/>
      <c r="FU1385" s="120"/>
      <c r="FV1385" s="120"/>
      <c r="FW1385" s="120"/>
      <c r="FX1385" s="120"/>
      <c r="FY1385" s="120"/>
      <c r="FZ1385" s="120"/>
      <c r="GA1385" s="120"/>
      <c r="GB1385" s="120"/>
      <c r="GC1385" s="120"/>
      <c r="GD1385" s="120"/>
      <c r="GE1385" s="120"/>
      <c r="GF1385" s="120"/>
      <c r="GG1385" s="120"/>
      <c r="GH1385" s="120"/>
      <c r="GI1385" s="120"/>
      <c r="GJ1385" s="120"/>
      <c r="GK1385" s="120"/>
      <c r="GL1385" s="120"/>
      <c r="GM1385" s="120"/>
      <c r="GN1385" s="120"/>
      <c r="GO1385" s="120"/>
      <c r="GP1385" s="120"/>
      <c r="GQ1385" s="120"/>
      <c r="GR1385" s="120"/>
      <c r="GS1385" s="120"/>
      <c r="GT1385" s="120"/>
      <c r="GU1385" s="120"/>
      <c r="GV1385" s="120"/>
      <c r="GW1385" s="120"/>
      <c r="GX1385" s="120"/>
      <c r="GY1385" s="120"/>
      <c r="GZ1385" s="120"/>
      <c r="HA1385" s="120"/>
      <c r="HB1385" s="120"/>
      <c r="HC1385" s="120"/>
      <c r="HD1385" s="120"/>
      <c r="HE1385" s="120"/>
      <c r="HF1385" s="120"/>
      <c r="HG1385" s="120"/>
      <c r="HH1385" s="120"/>
      <c r="HI1385" s="120"/>
      <c r="HJ1385" s="120"/>
      <c r="HK1385" s="120"/>
      <c r="HL1385" s="120"/>
      <c r="HM1385" s="120"/>
      <c r="HN1385" s="120"/>
      <c r="HO1385" s="120"/>
      <c r="HP1385" s="120"/>
      <c r="HQ1385" s="120"/>
      <c r="HR1385" s="120"/>
      <c r="HS1385" s="120"/>
      <c r="HT1385" s="120"/>
      <c r="HU1385" s="120"/>
      <c r="HV1385" s="120"/>
      <c r="HW1385" s="120"/>
      <c r="HX1385" s="120"/>
      <c r="HY1385" s="120"/>
      <c r="HZ1385" s="120"/>
      <c r="IA1385" s="120"/>
      <c r="IB1385" s="120"/>
      <c r="IC1385" s="120"/>
      <c r="ID1385" s="120"/>
      <c r="IE1385" s="120"/>
      <c r="IF1385" s="120"/>
      <c r="IG1385" s="120"/>
      <c r="IH1385" s="120"/>
      <c r="II1385" s="120"/>
      <c r="IJ1385" s="120"/>
      <c r="IK1385" s="120"/>
      <c r="IL1385" s="120"/>
      <c r="IM1385" s="120"/>
      <c r="IN1385" s="120"/>
      <c r="IO1385" s="120"/>
      <c r="IP1385" s="120"/>
      <c r="IQ1385" s="120"/>
      <c r="IR1385" s="120"/>
      <c r="IS1385" s="120"/>
      <c r="IT1385" s="120"/>
      <c r="IU1385" s="120"/>
      <c r="IV1385" s="120"/>
      <c r="IW1385" s="120"/>
      <c r="IX1385" s="120"/>
      <c r="IY1385" s="120"/>
      <c r="IZ1385" s="120"/>
      <c r="JA1385" s="120"/>
      <c r="JB1385" s="120"/>
      <c r="JC1385" s="120"/>
      <c r="JD1385" s="120"/>
      <c r="JE1385" s="120"/>
      <c r="JF1385" s="120"/>
      <c r="JG1385" s="120"/>
      <c r="JH1385" s="120"/>
      <c r="JI1385" s="120"/>
      <c r="JJ1385" s="120"/>
      <c r="JK1385" s="120"/>
      <c r="JL1385" s="120"/>
      <c r="JM1385" s="120"/>
      <c r="JN1385" s="120"/>
      <c r="JO1385" s="120"/>
      <c r="JP1385" s="120"/>
      <c r="JQ1385" s="120"/>
      <c r="JR1385" s="120"/>
      <c r="JS1385" s="120"/>
      <c r="JT1385" s="120"/>
      <c r="JU1385" s="120"/>
      <c r="JV1385" s="120"/>
      <c r="JW1385" s="120"/>
      <c r="JX1385" s="120"/>
      <c r="JY1385" s="120"/>
      <c r="JZ1385" s="120"/>
      <c r="KA1385" s="120"/>
      <c r="KB1385" s="120"/>
      <c r="KC1385" s="120"/>
      <c r="KD1385" s="120"/>
      <c r="KE1385" s="120"/>
      <c r="KF1385" s="120"/>
      <c r="KG1385" s="120"/>
      <c r="KH1385" s="120"/>
      <c r="KI1385" s="120"/>
      <c r="KJ1385" s="120"/>
      <c r="KK1385" s="120"/>
      <c r="KL1385" s="120"/>
      <c r="KM1385" s="120"/>
      <c r="KN1385" s="120"/>
      <c r="KO1385" s="120"/>
      <c r="KP1385" s="120"/>
      <c r="KQ1385" s="120"/>
      <c r="KR1385" s="120"/>
      <c r="KS1385" s="120"/>
      <c r="KT1385" s="120"/>
      <c r="KU1385" s="120"/>
      <c r="KV1385" s="120"/>
      <c r="KW1385" s="120"/>
      <c r="KX1385" s="120"/>
      <c r="KY1385" s="120"/>
      <c r="KZ1385" s="120"/>
      <c r="LA1385" s="120"/>
      <c r="LB1385" s="120"/>
      <c r="LC1385" s="120"/>
      <c r="LD1385" s="120"/>
      <c r="LE1385" s="120"/>
      <c r="LF1385" s="120"/>
      <c r="LG1385" s="120"/>
      <c r="LH1385" s="120"/>
      <c r="LI1385" s="120"/>
      <c r="LJ1385" s="120"/>
      <c r="LK1385" s="120"/>
      <c r="LL1385" s="120"/>
      <c r="LM1385" s="120"/>
      <c r="LN1385" s="120"/>
      <c r="LO1385" s="120"/>
      <c r="LP1385" s="120"/>
      <c r="LQ1385" s="120"/>
      <c r="LR1385" s="120"/>
      <c r="LS1385" s="120"/>
      <c r="LT1385" s="120"/>
      <c r="LU1385" s="120"/>
      <c r="LV1385" s="120"/>
      <c r="LW1385" s="120"/>
      <c r="LX1385" s="120"/>
      <c r="LY1385" s="120"/>
      <c r="LZ1385" s="120"/>
      <c r="MA1385" s="120"/>
      <c r="MB1385" s="120"/>
      <c r="MC1385" s="120"/>
      <c r="MD1385" s="120"/>
      <c r="ME1385" s="120"/>
      <c r="MF1385" s="120"/>
      <c r="MG1385" s="120"/>
      <c r="MH1385" s="120"/>
      <c r="MI1385" s="120"/>
      <c r="MJ1385" s="120"/>
      <c r="MK1385" s="120"/>
      <c r="ML1385" s="120"/>
      <c r="MM1385" s="120"/>
      <c r="MN1385" s="120"/>
      <c r="MO1385" s="120"/>
      <c r="MP1385" s="120"/>
      <c r="MQ1385" s="120"/>
      <c r="MR1385" s="120"/>
      <c r="MS1385" s="120"/>
      <c r="MT1385" s="120"/>
      <c r="MU1385" s="120"/>
      <c r="MV1385" s="120"/>
      <c r="MW1385" s="120"/>
      <c r="MX1385" s="120"/>
      <c r="MY1385" s="120"/>
      <c r="MZ1385" s="120"/>
      <c r="NA1385" s="120"/>
      <c r="NB1385" s="120"/>
      <c r="NC1385" s="120"/>
      <c r="ND1385" s="120"/>
      <c r="NE1385" s="120"/>
      <c r="NF1385" s="120"/>
      <c r="NG1385" s="120"/>
      <c r="NH1385" s="120"/>
      <c r="NI1385" s="120"/>
      <c r="NJ1385" s="120"/>
      <c r="NK1385" s="120"/>
      <c r="NL1385" s="120"/>
      <c r="NM1385" s="120"/>
      <c r="NN1385" s="120"/>
      <c r="NO1385" s="120"/>
      <c r="NP1385" s="120"/>
      <c r="NQ1385" s="120"/>
      <c r="NR1385" s="120"/>
      <c r="NS1385" s="120"/>
      <c r="NT1385" s="120"/>
      <c r="NU1385" s="120"/>
      <c r="NV1385" s="120"/>
      <c r="NW1385" s="120"/>
      <c r="NX1385" s="120"/>
      <c r="NY1385" s="120"/>
      <c r="NZ1385" s="120"/>
      <c r="OA1385" s="120"/>
      <c r="OB1385" s="120"/>
      <c r="OC1385" s="120"/>
      <c r="OD1385" s="120"/>
      <c r="OE1385" s="120"/>
      <c r="OF1385" s="120"/>
      <c r="OG1385" s="120"/>
      <c r="OH1385" s="120"/>
      <c r="OI1385" s="120"/>
      <c r="OJ1385" s="120"/>
      <c r="OK1385" s="120"/>
      <c r="OL1385" s="120"/>
      <c r="OM1385" s="120"/>
      <c r="ON1385" s="120"/>
      <c r="OO1385" s="120"/>
      <c r="OP1385" s="120"/>
      <c r="OQ1385" s="120"/>
      <c r="OR1385" s="120"/>
      <c r="OS1385" s="120"/>
      <c r="OT1385" s="120"/>
      <c r="OU1385" s="120"/>
      <c r="OV1385" s="120"/>
      <c r="OW1385" s="120"/>
      <c r="OX1385" s="120"/>
      <c r="OY1385" s="120"/>
      <c r="OZ1385" s="120"/>
      <c r="PA1385" s="120"/>
      <c r="PB1385" s="120"/>
      <c r="PC1385" s="120"/>
      <c r="PD1385" s="120"/>
      <c r="PE1385" s="120"/>
      <c r="PF1385" s="120"/>
      <c r="PG1385" s="120"/>
      <c r="PH1385" s="120"/>
      <c r="PI1385" s="120"/>
      <c r="PJ1385" s="120"/>
      <c r="PK1385" s="120"/>
      <c r="PL1385" s="120"/>
      <c r="PM1385" s="120"/>
      <c r="PN1385" s="120"/>
      <c r="PO1385" s="120"/>
      <c r="PP1385" s="120"/>
      <c r="PQ1385" s="120"/>
      <c r="PR1385" s="120"/>
      <c r="PS1385" s="120"/>
      <c r="PT1385" s="120"/>
      <c r="PU1385" s="120"/>
      <c r="PV1385" s="120"/>
      <c r="PW1385" s="120"/>
      <c r="PX1385" s="120"/>
      <c r="PY1385" s="120"/>
      <c r="PZ1385" s="120"/>
      <c r="QA1385" s="120"/>
      <c r="QB1385" s="120"/>
      <c r="QC1385" s="120"/>
      <c r="QD1385" s="120"/>
      <c r="QE1385" s="120"/>
      <c r="QF1385" s="120"/>
      <c r="QG1385" s="120"/>
      <c r="QH1385" s="120"/>
      <c r="QI1385" s="120"/>
      <c r="QJ1385" s="120"/>
      <c r="QK1385" s="120"/>
      <c r="QL1385" s="120"/>
      <c r="QM1385" s="120"/>
      <c r="QN1385" s="120"/>
      <c r="QO1385" s="120"/>
      <c r="QP1385" s="120"/>
      <c r="QQ1385" s="120"/>
      <c r="QR1385" s="120"/>
      <c r="QS1385" s="120"/>
      <c r="QT1385" s="120"/>
      <c r="QU1385" s="120"/>
      <c r="QV1385" s="120"/>
      <c r="QW1385" s="120"/>
      <c r="QX1385" s="120"/>
      <c r="QY1385" s="120"/>
      <c r="QZ1385" s="120"/>
      <c r="RA1385" s="120"/>
      <c r="RB1385" s="120"/>
      <c r="RC1385" s="120"/>
      <c r="RD1385" s="120"/>
      <c r="RE1385" s="120"/>
      <c r="RF1385" s="120"/>
      <c r="RG1385" s="120"/>
      <c r="RH1385" s="120"/>
      <c r="RI1385" s="120"/>
      <c r="RJ1385" s="120"/>
      <c r="RK1385" s="120"/>
      <c r="RL1385" s="120"/>
      <c r="RM1385" s="120"/>
      <c r="RN1385" s="120"/>
      <c r="RO1385" s="120"/>
      <c r="RP1385" s="120"/>
      <c r="RQ1385" s="120"/>
      <c r="RR1385" s="120"/>
      <c r="RS1385" s="120"/>
      <c r="RT1385" s="120"/>
      <c r="RU1385" s="120"/>
      <c r="RV1385" s="120"/>
      <c r="RW1385" s="120"/>
      <c r="RX1385" s="120"/>
      <c r="RY1385" s="120"/>
      <c r="RZ1385" s="120"/>
      <c r="SA1385" s="120"/>
      <c r="SB1385" s="120"/>
      <c r="SC1385" s="120"/>
      <c r="SD1385" s="120"/>
      <c r="SE1385" s="120"/>
      <c r="SF1385" s="120"/>
      <c r="SG1385" s="120"/>
      <c r="SH1385" s="120"/>
      <c r="SI1385" s="120"/>
      <c r="SJ1385" s="120"/>
      <c r="SK1385" s="120"/>
      <c r="SL1385" s="120"/>
      <c r="SM1385" s="120"/>
      <c r="SN1385" s="120"/>
      <c r="SO1385" s="120"/>
      <c r="SP1385" s="120"/>
      <c r="SQ1385" s="120"/>
      <c r="SR1385" s="120"/>
      <c r="SS1385" s="120"/>
      <c r="ST1385" s="120"/>
      <c r="SU1385" s="120"/>
      <c r="SV1385" s="120"/>
      <c r="SW1385" s="120"/>
      <c r="SX1385" s="120"/>
      <c r="SY1385" s="120"/>
      <c r="SZ1385" s="120"/>
      <c r="TA1385" s="120"/>
      <c r="TB1385" s="120"/>
      <c r="TC1385" s="120"/>
      <c r="TD1385" s="120"/>
      <c r="TE1385" s="120"/>
      <c r="TF1385" s="120"/>
      <c r="TG1385" s="120"/>
      <c r="TH1385" s="120"/>
      <c r="TI1385" s="120"/>
      <c r="TJ1385" s="120"/>
      <c r="TK1385" s="120"/>
      <c r="TL1385" s="120"/>
      <c r="TM1385" s="120"/>
      <c r="TN1385" s="120"/>
      <c r="TO1385" s="120"/>
      <c r="TP1385" s="120"/>
      <c r="TQ1385" s="120"/>
      <c r="TR1385" s="120"/>
      <c r="TS1385" s="120"/>
      <c r="TT1385" s="120"/>
      <c r="TU1385" s="120"/>
      <c r="TV1385" s="120"/>
      <c r="TW1385" s="120"/>
      <c r="TX1385" s="120"/>
      <c r="TY1385" s="120"/>
      <c r="TZ1385" s="120"/>
      <c r="UA1385" s="120"/>
      <c r="UB1385" s="120"/>
      <c r="UC1385" s="120"/>
      <c r="UD1385" s="120"/>
      <c r="UE1385" s="120"/>
      <c r="UF1385" s="120"/>
      <c r="UG1385" s="120"/>
      <c r="UH1385" s="120"/>
      <c r="UI1385" s="120"/>
      <c r="UJ1385" s="120"/>
      <c r="UK1385" s="120"/>
      <c r="UL1385" s="120"/>
      <c r="UM1385" s="120"/>
      <c r="UN1385" s="120"/>
      <c r="UO1385" s="120"/>
      <c r="UP1385" s="120"/>
      <c r="UQ1385" s="120"/>
      <c r="UR1385" s="120"/>
      <c r="US1385" s="120"/>
      <c r="UT1385" s="120"/>
      <c r="UU1385" s="120"/>
      <c r="UV1385" s="120"/>
      <c r="UW1385" s="120"/>
      <c r="UX1385" s="120"/>
      <c r="UY1385" s="120"/>
      <c r="UZ1385" s="120"/>
      <c r="VA1385" s="120"/>
      <c r="VB1385" s="120"/>
      <c r="VC1385" s="120"/>
      <c r="VD1385" s="120"/>
      <c r="VE1385" s="120"/>
      <c r="VF1385" s="120"/>
      <c r="VG1385" s="120"/>
      <c r="VH1385" s="120"/>
      <c r="VI1385" s="120"/>
      <c r="VJ1385" s="120"/>
      <c r="VK1385" s="120"/>
      <c r="VL1385" s="120"/>
      <c r="VM1385" s="120"/>
      <c r="VN1385" s="120"/>
      <c r="VO1385" s="120"/>
      <c r="VP1385" s="120"/>
      <c r="VQ1385" s="120"/>
      <c r="VR1385" s="120"/>
      <c r="VS1385" s="120"/>
      <c r="VT1385" s="120"/>
      <c r="VU1385" s="120"/>
      <c r="VV1385" s="120"/>
      <c r="VW1385" s="120"/>
      <c r="VX1385" s="120"/>
      <c r="VY1385" s="120"/>
      <c r="VZ1385" s="120"/>
      <c r="WA1385" s="120"/>
      <c r="WB1385" s="120"/>
      <c r="WC1385" s="120"/>
      <c r="WD1385" s="120"/>
      <c r="WE1385" s="120"/>
      <c r="WF1385" s="120"/>
      <c r="WG1385" s="120"/>
      <c r="WH1385" s="120"/>
      <c r="WI1385" s="120"/>
      <c r="WJ1385" s="120"/>
      <c r="WK1385" s="120"/>
      <c r="WL1385" s="120"/>
      <c r="WM1385" s="120"/>
      <c r="WN1385" s="120"/>
      <c r="WO1385" s="120"/>
      <c r="WP1385" s="120"/>
      <c r="WQ1385" s="120"/>
      <c r="WR1385" s="120"/>
      <c r="WS1385" s="120"/>
      <c r="WT1385" s="120"/>
      <c r="WU1385" s="120"/>
      <c r="WV1385" s="120"/>
      <c r="WW1385" s="120"/>
      <c r="WX1385" s="120"/>
      <c r="WY1385" s="120"/>
      <c r="WZ1385" s="120"/>
      <c r="XA1385" s="120"/>
      <c r="XB1385" s="120"/>
      <c r="XC1385" s="120"/>
      <c r="XD1385" s="120"/>
      <c r="XE1385" s="120"/>
      <c r="XF1385" s="120"/>
      <c r="XG1385" s="120"/>
      <c r="XH1385" s="120"/>
      <c r="XI1385" s="120"/>
      <c r="XJ1385" s="120"/>
      <c r="XK1385" s="120"/>
      <c r="XL1385" s="120"/>
      <c r="XM1385" s="120"/>
      <c r="XN1385" s="120"/>
      <c r="XO1385" s="120"/>
      <c r="XP1385" s="120"/>
      <c r="XQ1385" s="120"/>
      <c r="XR1385" s="120"/>
      <c r="XS1385" s="120"/>
      <c r="XT1385" s="120"/>
      <c r="XU1385" s="120"/>
      <c r="XV1385" s="120"/>
      <c r="XW1385" s="120"/>
      <c r="XX1385" s="120"/>
      <c r="XY1385" s="120"/>
      <c r="XZ1385" s="120"/>
      <c r="YA1385" s="120"/>
      <c r="YB1385" s="120"/>
      <c r="YC1385" s="120"/>
      <c r="YD1385" s="120"/>
      <c r="YE1385" s="120"/>
      <c r="YF1385" s="120"/>
      <c r="YG1385" s="120"/>
      <c r="YH1385" s="120"/>
      <c r="YI1385" s="120"/>
      <c r="YJ1385" s="120"/>
      <c r="YK1385" s="120"/>
      <c r="YL1385" s="120"/>
      <c r="YM1385" s="120"/>
      <c r="YN1385" s="120"/>
      <c r="YO1385" s="120"/>
      <c r="YP1385" s="120"/>
      <c r="YQ1385" s="120"/>
      <c r="YR1385" s="120"/>
      <c r="YS1385" s="120"/>
      <c r="YT1385" s="120"/>
      <c r="YU1385" s="120"/>
      <c r="YV1385" s="120"/>
      <c r="YW1385" s="120"/>
      <c r="YX1385" s="120"/>
      <c r="YY1385" s="120"/>
      <c r="YZ1385" s="120"/>
      <c r="ZA1385" s="120"/>
      <c r="ZB1385" s="120"/>
      <c r="ZC1385" s="120"/>
      <c r="ZD1385" s="120"/>
      <c r="ZE1385" s="120"/>
      <c r="ZF1385" s="120"/>
      <c r="ZG1385" s="120"/>
      <c r="ZH1385" s="120"/>
      <c r="ZI1385" s="120"/>
      <c r="ZJ1385" s="120"/>
      <c r="ZK1385" s="120"/>
      <c r="ZL1385" s="120"/>
      <c r="ZM1385" s="120"/>
      <c r="ZN1385" s="120"/>
      <c r="ZO1385" s="120"/>
      <c r="ZP1385" s="120"/>
      <c r="ZQ1385" s="120"/>
      <c r="ZR1385" s="120"/>
      <c r="ZS1385" s="120"/>
      <c r="ZT1385" s="120"/>
      <c r="ZU1385" s="120"/>
      <c r="ZV1385" s="120"/>
      <c r="ZW1385" s="120"/>
      <c r="ZX1385" s="120"/>
      <c r="ZY1385" s="120"/>
      <c r="ZZ1385" s="120"/>
      <c r="AAA1385" s="120"/>
      <c r="AAB1385" s="120"/>
      <c r="AAC1385" s="120"/>
      <c r="AAD1385" s="120"/>
      <c r="AAE1385" s="120"/>
      <c r="AAF1385" s="120"/>
      <c r="AAG1385" s="120"/>
      <c r="AAH1385" s="120"/>
      <c r="AAI1385" s="120"/>
      <c r="AAJ1385" s="120"/>
      <c r="AAK1385" s="120"/>
      <c r="AAL1385" s="120"/>
      <c r="AAM1385" s="120"/>
      <c r="AAN1385" s="120"/>
      <c r="AAO1385" s="120"/>
      <c r="AAP1385" s="120"/>
      <c r="AAQ1385" s="120"/>
      <c r="AAR1385" s="120"/>
      <c r="AAS1385" s="120"/>
      <c r="AAT1385" s="120"/>
      <c r="AAU1385" s="120"/>
      <c r="AAV1385" s="120"/>
      <c r="AAW1385" s="120"/>
      <c r="AAX1385" s="120"/>
      <c r="AAY1385" s="120"/>
      <c r="AAZ1385" s="120"/>
      <c r="ABA1385" s="120"/>
      <c r="ABB1385" s="120"/>
      <c r="ABC1385" s="120"/>
      <c r="ABD1385" s="120"/>
      <c r="ABE1385" s="120"/>
      <c r="ABF1385" s="120"/>
      <c r="ABG1385" s="120"/>
      <c r="ABH1385" s="120"/>
      <c r="ABI1385" s="120"/>
      <c r="ABJ1385" s="120"/>
      <c r="ABK1385" s="120"/>
      <c r="ABL1385" s="120"/>
      <c r="ABM1385" s="120"/>
      <c r="ABN1385" s="120"/>
      <c r="ABO1385" s="120"/>
      <c r="ABP1385" s="120"/>
      <c r="ABQ1385" s="120"/>
      <c r="ABR1385" s="120"/>
      <c r="ABS1385" s="120"/>
      <c r="ABT1385" s="120"/>
      <c r="ABU1385" s="120"/>
      <c r="ABV1385" s="120"/>
      <c r="ABW1385" s="120"/>
      <c r="ABX1385" s="120"/>
      <c r="ABY1385" s="120"/>
      <c r="ABZ1385" s="120"/>
      <c r="ACA1385" s="120"/>
      <c r="ACB1385" s="120"/>
      <c r="ACC1385" s="120"/>
      <c r="ACD1385" s="120"/>
      <c r="ACE1385" s="120"/>
      <c r="ACF1385" s="120"/>
      <c r="ACG1385" s="120"/>
      <c r="ACH1385" s="120"/>
      <c r="ACI1385" s="120"/>
      <c r="ACJ1385" s="120"/>
      <c r="ACK1385" s="120"/>
      <c r="ACL1385" s="120"/>
      <c r="ACM1385" s="120"/>
      <c r="ACN1385" s="120"/>
      <c r="ACO1385" s="120"/>
      <c r="ACP1385" s="120"/>
      <c r="ACQ1385" s="120"/>
      <c r="ACR1385" s="120"/>
      <c r="ACS1385" s="120"/>
      <c r="ACT1385" s="120"/>
      <c r="ACU1385" s="120"/>
      <c r="ACV1385" s="120"/>
      <c r="ACW1385" s="120"/>
      <c r="ACX1385" s="120"/>
      <c r="ACY1385" s="120"/>
      <c r="ACZ1385" s="120"/>
      <c r="ADA1385" s="120"/>
      <c r="ADB1385" s="120"/>
      <c r="ADC1385" s="120"/>
      <c r="ADD1385" s="120"/>
      <c r="ADE1385" s="120"/>
      <c r="ADF1385" s="120"/>
      <c r="ADG1385" s="120"/>
      <c r="ADH1385" s="120"/>
      <c r="ADI1385" s="120"/>
      <c r="ADJ1385" s="120"/>
      <c r="ADK1385" s="120"/>
      <c r="ADL1385" s="120"/>
      <c r="ADM1385" s="120"/>
      <c r="ADN1385" s="120"/>
      <c r="ADO1385" s="120"/>
      <c r="ADP1385" s="120"/>
      <c r="ADQ1385" s="120"/>
      <c r="ADR1385" s="120"/>
      <c r="ADS1385" s="120"/>
      <c r="ADT1385" s="120"/>
      <c r="ADU1385" s="120"/>
      <c r="ADV1385" s="120"/>
      <c r="ADW1385" s="120"/>
      <c r="ADX1385" s="120"/>
      <c r="ADY1385" s="120"/>
      <c r="ADZ1385" s="120"/>
      <c r="AEA1385" s="120"/>
      <c r="AEB1385" s="120"/>
      <c r="AEC1385" s="120"/>
      <c r="AED1385" s="120"/>
      <c r="AEE1385" s="120"/>
      <c r="AEF1385" s="120"/>
      <c r="AEG1385" s="120"/>
      <c r="AEH1385" s="120"/>
      <c r="AEI1385" s="120"/>
      <c r="AEJ1385" s="120"/>
      <c r="AEK1385" s="120"/>
      <c r="AEL1385" s="120"/>
      <c r="AEM1385" s="120"/>
      <c r="AEN1385" s="120"/>
      <c r="AEO1385" s="120"/>
      <c r="AEP1385" s="120"/>
      <c r="AEQ1385" s="120"/>
      <c r="AER1385" s="120"/>
      <c r="AES1385" s="120"/>
      <c r="AET1385" s="120"/>
      <c r="AEU1385" s="120"/>
      <c r="AEV1385" s="120"/>
      <c r="AEW1385" s="120"/>
      <c r="AEX1385" s="120"/>
      <c r="AEY1385" s="120"/>
      <c r="AEZ1385" s="120"/>
      <c r="AFA1385" s="120"/>
      <c r="AFB1385" s="120"/>
      <c r="AFC1385" s="120"/>
      <c r="AFD1385" s="120"/>
      <c r="AFE1385" s="120"/>
      <c r="AFF1385" s="120"/>
      <c r="AFG1385" s="120"/>
      <c r="AFH1385" s="120"/>
      <c r="AFI1385" s="120"/>
      <c r="AFJ1385" s="120"/>
      <c r="AFK1385" s="120"/>
      <c r="AFL1385" s="120"/>
      <c r="AFM1385" s="120"/>
      <c r="AFN1385" s="120"/>
      <c r="AFO1385" s="120"/>
      <c r="AFP1385" s="120"/>
      <c r="AFQ1385" s="120"/>
      <c r="AFR1385" s="120"/>
      <c r="AFS1385" s="120"/>
      <c r="AFT1385" s="120"/>
      <c r="AFU1385" s="120"/>
      <c r="AFV1385" s="120"/>
      <c r="AFW1385" s="120"/>
      <c r="AFX1385" s="120"/>
      <c r="AFY1385" s="120"/>
      <c r="AFZ1385" s="120"/>
      <c r="AGA1385" s="120"/>
      <c r="AGB1385" s="120"/>
      <c r="AGC1385" s="120"/>
      <c r="AGD1385" s="120"/>
      <c r="AGE1385" s="120"/>
      <c r="AGF1385" s="120"/>
      <c r="AGG1385" s="120"/>
      <c r="AGH1385" s="120"/>
      <c r="AGI1385" s="120"/>
      <c r="AGJ1385" s="120"/>
      <c r="AGK1385" s="120"/>
      <c r="AGL1385" s="120"/>
      <c r="AGM1385" s="120"/>
      <c r="AGN1385" s="120"/>
      <c r="AGO1385" s="120"/>
      <c r="AGP1385" s="120"/>
      <c r="AGQ1385" s="120"/>
      <c r="AGR1385" s="120"/>
      <c r="AGS1385" s="120"/>
      <c r="AGT1385" s="120"/>
      <c r="AGU1385" s="120"/>
      <c r="AGV1385" s="120"/>
      <c r="AGW1385" s="120"/>
      <c r="AGX1385" s="120"/>
      <c r="AGY1385" s="120"/>
      <c r="AGZ1385" s="120"/>
      <c r="AHA1385" s="120"/>
      <c r="AHB1385" s="120"/>
      <c r="AHC1385" s="120"/>
      <c r="AHD1385" s="120"/>
      <c r="AHE1385" s="120"/>
      <c r="AHF1385" s="120"/>
      <c r="AHG1385" s="120"/>
      <c r="AHH1385" s="120"/>
      <c r="AHI1385" s="120"/>
      <c r="AHJ1385" s="120"/>
      <c r="AHK1385" s="120"/>
      <c r="AHL1385" s="120"/>
      <c r="AHM1385" s="120"/>
      <c r="AHN1385" s="120"/>
      <c r="AHO1385" s="120"/>
      <c r="AHP1385" s="120"/>
      <c r="AHQ1385" s="120"/>
      <c r="AHR1385" s="120"/>
      <c r="AHS1385" s="120"/>
      <c r="AHT1385" s="120"/>
      <c r="AHU1385" s="120"/>
      <c r="AHV1385" s="120"/>
      <c r="AHW1385" s="120"/>
      <c r="AHX1385" s="120"/>
      <c r="AHY1385" s="120"/>
      <c r="AHZ1385" s="120"/>
      <c r="AIA1385" s="120"/>
      <c r="AIB1385" s="120"/>
      <c r="AIC1385" s="120"/>
      <c r="AID1385" s="120"/>
      <c r="AIE1385" s="120"/>
      <c r="AIF1385" s="120"/>
      <c r="AIG1385" s="120"/>
      <c r="AIH1385" s="120"/>
      <c r="AII1385" s="120"/>
      <c r="AIJ1385" s="120"/>
      <c r="AIK1385" s="120"/>
      <c r="AIL1385" s="120"/>
      <c r="AIM1385" s="120"/>
      <c r="AIN1385" s="120"/>
      <c r="AIO1385" s="120"/>
      <c r="AIP1385" s="120"/>
      <c r="AIQ1385" s="120"/>
      <c r="AIR1385" s="120"/>
      <c r="AIS1385" s="120"/>
      <c r="AIT1385" s="120"/>
      <c r="AIU1385" s="120"/>
      <c r="AIV1385" s="120"/>
      <c r="AIW1385" s="120"/>
      <c r="AIX1385" s="120"/>
      <c r="AIY1385" s="120"/>
      <c r="AIZ1385" s="120"/>
      <c r="AJA1385" s="120"/>
      <c r="AJB1385" s="120"/>
      <c r="AJC1385" s="120"/>
      <c r="AJD1385" s="120"/>
      <c r="AJE1385" s="120"/>
      <c r="AJF1385" s="120"/>
      <c r="AJG1385" s="120"/>
      <c r="AJH1385" s="120"/>
      <c r="AJI1385" s="120"/>
      <c r="AJJ1385" s="120"/>
      <c r="AJK1385" s="120"/>
      <c r="AJL1385" s="120"/>
      <c r="AJM1385" s="120"/>
      <c r="AJN1385" s="120"/>
      <c r="AJO1385" s="120"/>
      <c r="AJP1385" s="120"/>
      <c r="AJQ1385" s="120"/>
      <c r="AJR1385" s="120"/>
      <c r="AJS1385" s="120"/>
      <c r="AJT1385" s="120"/>
      <c r="AJU1385" s="120"/>
      <c r="AJV1385" s="120"/>
      <c r="AJW1385" s="120"/>
      <c r="AJX1385" s="120"/>
      <c r="AJY1385" s="120"/>
      <c r="AJZ1385" s="120"/>
      <c r="AKA1385" s="120"/>
      <c r="AKB1385" s="120"/>
      <c r="AKC1385" s="120"/>
      <c r="AKD1385" s="120"/>
      <c r="AKE1385" s="120"/>
      <c r="AKF1385" s="120"/>
      <c r="AKG1385" s="120"/>
      <c r="AKH1385" s="120"/>
      <c r="AKI1385" s="120"/>
      <c r="AKJ1385" s="120"/>
      <c r="AKK1385" s="120"/>
      <c r="AKL1385" s="120"/>
      <c r="AKM1385" s="120"/>
      <c r="AKN1385" s="120"/>
      <c r="AKO1385" s="120"/>
      <c r="AKP1385" s="120"/>
      <c r="AKQ1385" s="120"/>
      <c r="AKR1385" s="120"/>
      <c r="AKS1385" s="120"/>
      <c r="AKT1385" s="120"/>
      <c r="AKU1385" s="120"/>
      <c r="AKV1385" s="120"/>
      <c r="AKW1385" s="120"/>
      <c r="AKX1385" s="120"/>
      <c r="AKY1385" s="120"/>
      <c r="AKZ1385" s="120"/>
      <c r="ALA1385" s="120"/>
      <c r="ALB1385" s="120"/>
      <c r="ALC1385" s="120"/>
      <c r="ALD1385" s="120"/>
      <c r="ALE1385" s="120"/>
      <c r="ALF1385" s="120"/>
      <c r="ALG1385" s="120"/>
      <c r="ALH1385" s="120"/>
      <c r="ALI1385" s="120"/>
      <c r="ALJ1385" s="120"/>
      <c r="ALK1385" s="120"/>
      <c r="ALL1385" s="120"/>
      <c r="ALM1385" s="120"/>
      <c r="ALN1385" s="120"/>
      <c r="ALO1385" s="120"/>
      <c r="ALP1385" s="120"/>
      <c r="ALQ1385" s="120"/>
      <c r="ALR1385" s="120"/>
      <c r="ALS1385" s="120"/>
      <c r="ALT1385" s="120"/>
      <c r="ALU1385" s="120"/>
      <c r="ALV1385" s="120"/>
      <c r="ALW1385" s="120"/>
      <c r="ALX1385" s="120"/>
      <c r="ALY1385" s="120"/>
      <c r="ALZ1385" s="120"/>
      <c r="AMA1385" s="120"/>
      <c r="AMB1385" s="120"/>
      <c r="AMC1385" s="120"/>
      <c r="AMD1385" s="120"/>
      <c r="AME1385" s="120"/>
      <c r="AMF1385" s="120"/>
      <c r="AMG1385" s="120"/>
      <c r="AMH1385" s="120"/>
      <c r="AMI1385" s="120"/>
      <c r="AMJ1385" s="120"/>
      <c r="AMK1385" s="120"/>
      <c r="AML1385" s="120"/>
      <c r="AMM1385" s="120"/>
      <c r="AMN1385" s="120"/>
      <c r="AMO1385" s="120"/>
      <c r="AMP1385" s="120"/>
      <c r="AMQ1385" s="120"/>
      <c r="AMR1385" s="120"/>
      <c r="AMS1385" s="120"/>
      <c r="AMT1385" s="120"/>
      <c r="AMU1385" s="120"/>
      <c r="AMV1385" s="120"/>
      <c r="AMW1385" s="120"/>
      <c r="AMX1385" s="120"/>
      <c r="AMY1385" s="120"/>
      <c r="AMZ1385" s="120"/>
      <c r="ANA1385" s="120"/>
      <c r="ANB1385" s="120"/>
      <c r="ANC1385" s="120"/>
      <c r="AND1385" s="120"/>
      <c r="ANE1385" s="120"/>
      <c r="ANF1385" s="120"/>
      <c r="ANG1385" s="120"/>
      <c r="ANH1385" s="120"/>
      <c r="ANI1385" s="120"/>
      <c r="ANJ1385" s="120"/>
      <c r="ANK1385" s="120"/>
      <c r="ANL1385" s="120"/>
      <c r="ANM1385" s="120"/>
      <c r="ANN1385" s="120"/>
      <c r="ANO1385" s="120"/>
      <c r="ANP1385" s="120"/>
      <c r="ANQ1385" s="120"/>
      <c r="ANR1385" s="120"/>
      <c r="ANS1385" s="120"/>
      <c r="ANT1385" s="120"/>
      <c r="ANU1385" s="120"/>
      <c r="ANV1385" s="120"/>
      <c r="ANW1385" s="120"/>
      <c r="ANX1385" s="120"/>
      <c r="ANY1385" s="120"/>
      <c r="ANZ1385" s="120"/>
      <c r="AOA1385" s="120"/>
      <c r="AOB1385" s="120"/>
      <c r="AOC1385" s="120"/>
      <c r="AOD1385" s="120"/>
      <c r="AOE1385" s="120"/>
      <c r="AOF1385" s="120"/>
      <c r="AOG1385" s="120"/>
      <c r="AOH1385" s="120"/>
      <c r="AOI1385" s="120"/>
      <c r="AOJ1385" s="120"/>
      <c r="AOK1385" s="120"/>
      <c r="AOL1385" s="120"/>
      <c r="AOM1385" s="120"/>
      <c r="AON1385" s="120"/>
      <c r="AOO1385" s="120"/>
      <c r="AOP1385" s="120"/>
      <c r="AOQ1385" s="120"/>
      <c r="AOR1385" s="120"/>
      <c r="AOS1385" s="120"/>
      <c r="AOT1385" s="120"/>
      <c r="AOU1385" s="120"/>
      <c r="AOV1385" s="120"/>
      <c r="AOW1385" s="120"/>
      <c r="AOX1385" s="120"/>
      <c r="AOY1385" s="120"/>
      <c r="AOZ1385" s="120"/>
      <c r="APA1385" s="120"/>
      <c r="APB1385" s="120"/>
      <c r="APC1385" s="120"/>
      <c r="APD1385" s="120"/>
      <c r="APE1385" s="120"/>
      <c r="APF1385" s="120"/>
      <c r="APG1385" s="120"/>
      <c r="APH1385" s="120"/>
      <c r="API1385" s="120"/>
      <c r="APJ1385" s="120"/>
      <c r="APK1385" s="120"/>
      <c r="APL1385" s="120"/>
      <c r="APM1385" s="120"/>
      <c r="APN1385" s="120"/>
      <c r="APO1385" s="120"/>
      <c r="APP1385" s="120"/>
      <c r="APQ1385" s="120"/>
      <c r="APR1385" s="120"/>
      <c r="APS1385" s="120"/>
      <c r="APT1385" s="120"/>
      <c r="APU1385" s="120"/>
      <c r="APV1385" s="120"/>
      <c r="APW1385" s="120"/>
      <c r="APX1385" s="120"/>
      <c r="APY1385" s="120"/>
      <c r="APZ1385" s="120"/>
      <c r="AQA1385" s="120"/>
      <c r="AQB1385" s="120"/>
      <c r="AQC1385" s="120"/>
      <c r="AQD1385" s="120"/>
      <c r="AQE1385" s="120"/>
      <c r="AQF1385" s="120"/>
      <c r="AQG1385" s="120"/>
      <c r="AQH1385" s="120"/>
      <c r="AQI1385" s="120"/>
      <c r="AQJ1385" s="120"/>
      <c r="AQK1385" s="120"/>
      <c r="AQL1385" s="120"/>
      <c r="AQM1385" s="120"/>
      <c r="AQN1385" s="120"/>
      <c r="AQO1385" s="120"/>
      <c r="AQP1385" s="120"/>
      <c r="AQQ1385" s="120"/>
      <c r="AQR1385" s="120"/>
      <c r="AQS1385" s="120"/>
      <c r="AQT1385" s="120"/>
      <c r="AQU1385" s="120"/>
      <c r="AQV1385" s="120"/>
      <c r="AQW1385" s="120"/>
      <c r="AQX1385" s="120"/>
      <c r="AQY1385" s="120"/>
      <c r="AQZ1385" s="120"/>
      <c r="ARA1385" s="120"/>
      <c r="ARB1385" s="120"/>
      <c r="ARC1385" s="120"/>
      <c r="ARD1385" s="120"/>
      <c r="ARE1385" s="120"/>
      <c r="ARF1385" s="120"/>
      <c r="ARG1385" s="120"/>
      <c r="ARH1385" s="120"/>
      <c r="ARI1385" s="120"/>
      <c r="ARJ1385" s="120"/>
      <c r="ARK1385" s="120"/>
      <c r="ARL1385" s="120"/>
      <c r="ARM1385" s="120"/>
      <c r="ARN1385" s="120"/>
      <c r="ARO1385" s="120"/>
      <c r="ARP1385" s="120"/>
      <c r="ARQ1385" s="120"/>
      <c r="ARR1385" s="120"/>
      <c r="ARS1385" s="120"/>
      <c r="ART1385" s="120"/>
      <c r="ARU1385" s="120"/>
      <c r="ARV1385" s="120"/>
      <c r="ARW1385" s="120"/>
      <c r="ARX1385" s="120"/>
      <c r="ARY1385" s="120"/>
      <c r="ARZ1385" s="120"/>
      <c r="ASA1385" s="120"/>
      <c r="ASB1385" s="120"/>
      <c r="ASC1385" s="120"/>
      <c r="ASD1385" s="120"/>
      <c r="ASE1385" s="120"/>
      <c r="ASF1385" s="120"/>
      <c r="ASG1385" s="120"/>
      <c r="ASH1385" s="120"/>
      <c r="ASI1385" s="120"/>
      <c r="ASJ1385" s="120"/>
      <c r="ASK1385" s="120"/>
      <c r="ASL1385" s="120"/>
      <c r="ASM1385" s="120"/>
      <c r="ASN1385" s="120"/>
      <c r="ASO1385" s="120"/>
      <c r="ASP1385" s="120"/>
      <c r="ASQ1385" s="120"/>
      <c r="ASR1385" s="120"/>
      <c r="ASS1385" s="120"/>
      <c r="AST1385" s="120"/>
      <c r="ASU1385" s="120"/>
      <c r="ASV1385" s="120"/>
      <c r="ASW1385" s="120"/>
      <c r="ASX1385" s="120"/>
      <c r="ASY1385" s="120"/>
      <c r="ASZ1385" s="120"/>
      <c r="ATA1385" s="120"/>
      <c r="ATB1385" s="120"/>
      <c r="ATC1385" s="120"/>
      <c r="ATD1385" s="120"/>
      <c r="ATE1385" s="120"/>
      <c r="ATF1385" s="120"/>
      <c r="ATG1385" s="120"/>
      <c r="ATH1385" s="120"/>
      <c r="ATI1385" s="120"/>
      <c r="ATJ1385" s="120"/>
      <c r="ATK1385" s="120"/>
      <c r="ATL1385" s="120"/>
      <c r="ATM1385" s="120"/>
      <c r="ATN1385" s="120"/>
      <c r="ATO1385" s="120"/>
    </row>
    <row r="1386" spans="1:1211" s="20" customFormat="1" ht="14.1" customHeight="1">
      <c r="A1386" s="112"/>
      <c r="B1386" s="723"/>
      <c r="C1386" s="184" t="s">
        <v>6147</v>
      </c>
      <c r="D1386" s="120"/>
      <c r="E1386" s="701"/>
      <c r="F1386" s="703"/>
      <c r="G1386" s="702"/>
      <c r="H1386" s="702"/>
      <c r="I1386" s="702"/>
      <c r="J1386" s="700"/>
      <c r="K1386" s="112"/>
      <c r="L1386" s="363"/>
      <c r="M1386" s="112"/>
      <c r="N1386" s="362"/>
      <c r="O1386" s="573"/>
      <c r="P1386" s="120"/>
      <c r="Q1386" s="120"/>
      <c r="R1386" s="120"/>
      <c r="S1386" s="120"/>
      <c r="T1386" s="120"/>
      <c r="U1386" s="120"/>
      <c r="V1386" s="120"/>
      <c r="W1386" s="120"/>
      <c r="X1386" s="120"/>
      <c r="Y1386" s="120"/>
      <c r="Z1386" s="120"/>
      <c r="AA1386" s="120"/>
      <c r="AB1386" s="120"/>
      <c r="AC1386" s="120"/>
      <c r="AD1386" s="120"/>
      <c r="AE1386" s="120"/>
      <c r="AF1386" s="120"/>
      <c r="AG1386" s="120"/>
      <c r="AH1386" s="120"/>
      <c r="AI1386" s="120"/>
      <c r="AJ1386" s="120"/>
      <c r="AK1386" s="120"/>
      <c r="AL1386" s="120"/>
      <c r="AM1386" s="120"/>
      <c r="AN1386" s="120"/>
      <c r="AO1386" s="120"/>
      <c r="AP1386" s="120"/>
      <c r="AQ1386" s="120"/>
      <c r="AR1386" s="120"/>
      <c r="AS1386" s="120"/>
      <c r="AT1386" s="120"/>
      <c r="AU1386" s="120"/>
      <c r="AV1386" s="120"/>
      <c r="AW1386" s="120"/>
      <c r="AX1386" s="120"/>
      <c r="AY1386" s="120"/>
      <c r="AZ1386" s="120"/>
      <c r="BA1386" s="120"/>
      <c r="BB1386" s="120"/>
      <c r="BC1386" s="120"/>
      <c r="BD1386" s="120"/>
      <c r="BE1386" s="120"/>
      <c r="BF1386" s="120"/>
      <c r="BG1386" s="120"/>
      <c r="BH1386" s="120"/>
      <c r="BI1386" s="120"/>
      <c r="BJ1386" s="120"/>
      <c r="BK1386" s="120"/>
      <c r="BL1386" s="120"/>
      <c r="BM1386" s="120"/>
      <c r="BN1386" s="120"/>
      <c r="BO1386" s="120"/>
      <c r="BP1386" s="120"/>
      <c r="BQ1386" s="120"/>
      <c r="BR1386" s="120"/>
      <c r="BS1386" s="120"/>
      <c r="BT1386" s="120"/>
      <c r="BU1386" s="120"/>
      <c r="BV1386" s="120"/>
      <c r="BW1386" s="120"/>
      <c r="BX1386" s="120"/>
      <c r="BY1386" s="120"/>
      <c r="BZ1386" s="120"/>
      <c r="CA1386" s="120"/>
      <c r="CB1386" s="120"/>
      <c r="CC1386" s="120"/>
      <c r="CD1386" s="120"/>
      <c r="CE1386" s="120"/>
      <c r="CF1386" s="120"/>
      <c r="CG1386" s="120"/>
      <c r="CH1386" s="120"/>
      <c r="CI1386" s="120"/>
      <c r="CJ1386" s="120"/>
      <c r="CK1386" s="120"/>
      <c r="CL1386" s="120"/>
      <c r="CM1386" s="120"/>
      <c r="CN1386" s="120"/>
      <c r="CO1386" s="120"/>
      <c r="CP1386" s="120"/>
      <c r="CQ1386" s="120"/>
      <c r="CR1386" s="120"/>
      <c r="CS1386" s="120"/>
      <c r="CT1386" s="120"/>
      <c r="CU1386" s="120"/>
      <c r="CV1386" s="120"/>
      <c r="CW1386" s="120"/>
      <c r="CX1386" s="120"/>
      <c r="CY1386" s="120"/>
      <c r="CZ1386" s="120"/>
      <c r="DA1386" s="120"/>
      <c r="DB1386" s="120"/>
      <c r="DC1386" s="120"/>
      <c r="DD1386" s="120"/>
      <c r="DE1386" s="120"/>
      <c r="DF1386" s="120"/>
      <c r="DG1386" s="120"/>
      <c r="DH1386" s="120"/>
      <c r="DI1386" s="120"/>
      <c r="DJ1386" s="120"/>
      <c r="DK1386" s="120"/>
      <c r="DL1386" s="120"/>
      <c r="DM1386" s="120"/>
      <c r="DN1386" s="120"/>
      <c r="DO1386" s="120"/>
      <c r="DP1386" s="120"/>
      <c r="DQ1386" s="120"/>
      <c r="DR1386" s="120"/>
      <c r="DS1386" s="120"/>
      <c r="DT1386" s="120"/>
      <c r="DU1386" s="120"/>
      <c r="DV1386" s="120"/>
      <c r="DW1386" s="120"/>
      <c r="DX1386" s="120"/>
      <c r="DY1386" s="120"/>
      <c r="DZ1386" s="120"/>
      <c r="EA1386" s="120"/>
      <c r="EB1386" s="120"/>
      <c r="EC1386" s="120"/>
      <c r="ED1386" s="120"/>
      <c r="EE1386" s="120"/>
      <c r="EF1386" s="120"/>
      <c r="EG1386" s="120"/>
      <c r="EH1386" s="120"/>
      <c r="EI1386" s="120"/>
      <c r="EJ1386" s="120"/>
      <c r="EK1386" s="120"/>
      <c r="EL1386" s="120"/>
      <c r="EM1386" s="120"/>
      <c r="EN1386" s="120"/>
      <c r="EO1386" s="120"/>
      <c r="EP1386" s="120"/>
      <c r="EQ1386" s="120"/>
      <c r="ER1386" s="120"/>
      <c r="ES1386" s="120"/>
      <c r="ET1386" s="120"/>
      <c r="EU1386" s="120"/>
      <c r="EV1386" s="120"/>
      <c r="EW1386" s="120"/>
      <c r="EX1386" s="120"/>
      <c r="EY1386" s="120"/>
      <c r="EZ1386" s="120"/>
      <c r="FA1386" s="120"/>
      <c r="FB1386" s="120"/>
      <c r="FC1386" s="120"/>
      <c r="FD1386" s="120"/>
      <c r="FE1386" s="120"/>
      <c r="FF1386" s="120"/>
      <c r="FG1386" s="120"/>
      <c r="FH1386" s="120"/>
      <c r="FI1386" s="120"/>
      <c r="FJ1386" s="120"/>
      <c r="FK1386" s="120"/>
      <c r="FL1386" s="120"/>
      <c r="FM1386" s="120"/>
      <c r="FN1386" s="120"/>
      <c r="FO1386" s="120"/>
      <c r="FP1386" s="120"/>
      <c r="FQ1386" s="120"/>
      <c r="FR1386" s="120"/>
      <c r="FS1386" s="120"/>
      <c r="FT1386" s="120"/>
      <c r="FU1386" s="120"/>
      <c r="FV1386" s="120"/>
      <c r="FW1386" s="120"/>
      <c r="FX1386" s="120"/>
      <c r="FY1386" s="120"/>
      <c r="FZ1386" s="120"/>
      <c r="GA1386" s="120"/>
      <c r="GB1386" s="120"/>
      <c r="GC1386" s="120"/>
      <c r="GD1386" s="120"/>
      <c r="GE1386" s="120"/>
      <c r="GF1386" s="120"/>
      <c r="GG1386" s="120"/>
      <c r="GH1386" s="120"/>
      <c r="GI1386" s="120"/>
      <c r="GJ1386" s="120"/>
      <c r="GK1386" s="120"/>
      <c r="GL1386" s="120"/>
      <c r="GM1386" s="120"/>
      <c r="GN1386" s="120"/>
      <c r="GO1386" s="120"/>
      <c r="GP1386" s="120"/>
      <c r="GQ1386" s="120"/>
      <c r="GR1386" s="120"/>
      <c r="GS1386" s="120"/>
      <c r="GT1386" s="120"/>
      <c r="GU1386" s="120"/>
      <c r="GV1386" s="120"/>
      <c r="GW1386" s="120"/>
      <c r="GX1386" s="120"/>
      <c r="GY1386" s="120"/>
      <c r="GZ1386" s="120"/>
      <c r="HA1386" s="120"/>
      <c r="HB1386" s="120"/>
      <c r="HC1386" s="120"/>
      <c r="HD1386" s="120"/>
      <c r="HE1386" s="120"/>
      <c r="HF1386" s="120"/>
      <c r="HG1386" s="120"/>
      <c r="HH1386" s="120"/>
      <c r="HI1386" s="120"/>
      <c r="HJ1386" s="120"/>
      <c r="HK1386" s="120"/>
      <c r="HL1386" s="120"/>
      <c r="HM1386" s="120"/>
      <c r="HN1386" s="120"/>
      <c r="HO1386" s="120"/>
      <c r="HP1386" s="120"/>
      <c r="HQ1386" s="120"/>
      <c r="HR1386" s="120"/>
      <c r="HS1386" s="120"/>
      <c r="HT1386" s="120"/>
      <c r="HU1386" s="120"/>
      <c r="HV1386" s="120"/>
      <c r="HW1386" s="120"/>
      <c r="HX1386" s="120"/>
      <c r="HY1386" s="120"/>
      <c r="HZ1386" s="120"/>
      <c r="IA1386" s="120"/>
      <c r="IB1386" s="120"/>
      <c r="IC1386" s="120"/>
      <c r="ID1386" s="120"/>
      <c r="IE1386" s="120"/>
      <c r="IF1386" s="120"/>
      <c r="IG1386" s="120"/>
      <c r="IH1386" s="120"/>
      <c r="II1386" s="120"/>
      <c r="IJ1386" s="120"/>
      <c r="IK1386" s="120"/>
      <c r="IL1386" s="120"/>
      <c r="IM1386" s="120"/>
      <c r="IN1386" s="120"/>
      <c r="IO1386" s="120"/>
      <c r="IP1386" s="120"/>
      <c r="IQ1386" s="120"/>
      <c r="IR1386" s="120"/>
      <c r="IS1386" s="120"/>
      <c r="IT1386" s="120"/>
      <c r="IU1386" s="120"/>
      <c r="IV1386" s="120"/>
      <c r="IW1386" s="120"/>
      <c r="IX1386" s="120"/>
      <c r="IY1386" s="120"/>
      <c r="IZ1386" s="120"/>
      <c r="JA1386" s="120"/>
      <c r="JB1386" s="120"/>
      <c r="JC1386" s="120"/>
      <c r="JD1386" s="120"/>
      <c r="JE1386" s="120"/>
      <c r="JF1386" s="120"/>
      <c r="JG1386" s="120"/>
      <c r="JH1386" s="120"/>
      <c r="JI1386" s="120"/>
      <c r="JJ1386" s="120"/>
      <c r="JK1386" s="120"/>
      <c r="JL1386" s="120"/>
      <c r="JM1386" s="120"/>
      <c r="JN1386" s="120"/>
      <c r="JO1386" s="120"/>
      <c r="JP1386" s="120"/>
      <c r="JQ1386" s="120"/>
      <c r="JR1386" s="120"/>
      <c r="JS1386" s="120"/>
      <c r="JT1386" s="120"/>
      <c r="JU1386" s="120"/>
      <c r="JV1386" s="120"/>
      <c r="JW1386" s="120"/>
      <c r="JX1386" s="120"/>
      <c r="JY1386" s="120"/>
      <c r="JZ1386" s="120"/>
      <c r="KA1386" s="120"/>
      <c r="KB1386" s="120"/>
      <c r="KC1386" s="120"/>
      <c r="KD1386" s="120"/>
      <c r="KE1386" s="120"/>
      <c r="KF1386" s="120"/>
      <c r="KG1386" s="120"/>
      <c r="KH1386" s="120"/>
      <c r="KI1386" s="120"/>
      <c r="KJ1386" s="120"/>
      <c r="KK1386" s="120"/>
      <c r="KL1386" s="120"/>
      <c r="KM1386" s="120"/>
      <c r="KN1386" s="120"/>
      <c r="KO1386" s="120"/>
      <c r="KP1386" s="120"/>
      <c r="KQ1386" s="120"/>
      <c r="KR1386" s="120"/>
      <c r="KS1386" s="120"/>
      <c r="KT1386" s="120"/>
      <c r="KU1386" s="120"/>
      <c r="KV1386" s="120"/>
      <c r="KW1386" s="120"/>
      <c r="KX1386" s="120"/>
      <c r="KY1386" s="120"/>
      <c r="KZ1386" s="120"/>
      <c r="LA1386" s="120"/>
      <c r="LB1386" s="120"/>
      <c r="LC1386" s="120"/>
      <c r="LD1386" s="120"/>
      <c r="LE1386" s="120"/>
      <c r="LF1386" s="120"/>
      <c r="LG1386" s="120"/>
      <c r="LH1386" s="120"/>
      <c r="LI1386" s="120"/>
      <c r="LJ1386" s="120"/>
      <c r="LK1386" s="120"/>
      <c r="LL1386" s="120"/>
      <c r="LM1386" s="120"/>
      <c r="LN1386" s="120"/>
      <c r="LO1386" s="120"/>
      <c r="LP1386" s="120"/>
      <c r="LQ1386" s="120"/>
      <c r="LR1386" s="120"/>
      <c r="LS1386" s="120"/>
      <c r="LT1386" s="120"/>
      <c r="LU1386" s="120"/>
      <c r="LV1386" s="120"/>
      <c r="LW1386" s="120"/>
      <c r="LX1386" s="120"/>
      <c r="LY1386" s="120"/>
      <c r="LZ1386" s="120"/>
      <c r="MA1386" s="120"/>
      <c r="MB1386" s="120"/>
      <c r="MC1386" s="120"/>
      <c r="MD1386" s="120"/>
      <c r="ME1386" s="120"/>
      <c r="MF1386" s="120"/>
      <c r="MG1386" s="120"/>
      <c r="MH1386" s="120"/>
      <c r="MI1386" s="120"/>
      <c r="MJ1386" s="120"/>
      <c r="MK1386" s="120"/>
      <c r="ML1386" s="120"/>
      <c r="MM1386" s="120"/>
      <c r="MN1386" s="120"/>
      <c r="MO1386" s="120"/>
      <c r="MP1386" s="120"/>
      <c r="MQ1386" s="120"/>
      <c r="MR1386" s="120"/>
      <c r="MS1386" s="120"/>
      <c r="MT1386" s="120"/>
      <c r="MU1386" s="120"/>
      <c r="MV1386" s="120"/>
      <c r="MW1386" s="120"/>
      <c r="MX1386" s="120"/>
      <c r="MY1386" s="120"/>
      <c r="MZ1386" s="120"/>
      <c r="NA1386" s="120"/>
      <c r="NB1386" s="120"/>
      <c r="NC1386" s="120"/>
      <c r="ND1386" s="120"/>
      <c r="NE1386" s="120"/>
      <c r="NF1386" s="120"/>
      <c r="NG1386" s="120"/>
      <c r="NH1386" s="120"/>
      <c r="NI1386" s="120"/>
      <c r="NJ1386" s="120"/>
      <c r="NK1386" s="120"/>
      <c r="NL1386" s="120"/>
      <c r="NM1386" s="120"/>
      <c r="NN1386" s="120"/>
      <c r="NO1386" s="120"/>
      <c r="NP1386" s="120"/>
      <c r="NQ1386" s="120"/>
      <c r="NR1386" s="120"/>
      <c r="NS1386" s="120"/>
      <c r="NT1386" s="120"/>
      <c r="NU1386" s="120"/>
      <c r="NV1386" s="120"/>
      <c r="NW1386" s="120"/>
      <c r="NX1386" s="120"/>
      <c r="NY1386" s="120"/>
      <c r="NZ1386" s="120"/>
      <c r="OA1386" s="120"/>
      <c r="OB1386" s="120"/>
      <c r="OC1386" s="120"/>
      <c r="OD1386" s="120"/>
      <c r="OE1386" s="120"/>
      <c r="OF1386" s="120"/>
      <c r="OG1386" s="120"/>
      <c r="OH1386" s="120"/>
      <c r="OI1386" s="120"/>
      <c r="OJ1386" s="120"/>
      <c r="OK1386" s="120"/>
      <c r="OL1386" s="120"/>
      <c r="OM1386" s="120"/>
      <c r="ON1386" s="120"/>
      <c r="OO1386" s="120"/>
      <c r="OP1386" s="120"/>
      <c r="OQ1386" s="120"/>
      <c r="OR1386" s="120"/>
      <c r="OS1386" s="120"/>
      <c r="OT1386" s="120"/>
      <c r="OU1386" s="120"/>
      <c r="OV1386" s="120"/>
      <c r="OW1386" s="120"/>
      <c r="OX1386" s="120"/>
      <c r="OY1386" s="120"/>
      <c r="OZ1386" s="120"/>
      <c r="PA1386" s="120"/>
      <c r="PB1386" s="120"/>
      <c r="PC1386" s="120"/>
      <c r="PD1386" s="120"/>
      <c r="PE1386" s="120"/>
      <c r="PF1386" s="120"/>
      <c r="PG1386" s="120"/>
      <c r="PH1386" s="120"/>
      <c r="PI1386" s="120"/>
      <c r="PJ1386" s="120"/>
      <c r="PK1386" s="120"/>
      <c r="PL1386" s="120"/>
      <c r="PM1386" s="120"/>
      <c r="PN1386" s="120"/>
      <c r="PO1386" s="120"/>
      <c r="PP1386" s="120"/>
      <c r="PQ1386" s="120"/>
      <c r="PR1386" s="120"/>
      <c r="PS1386" s="120"/>
      <c r="PT1386" s="120"/>
      <c r="PU1386" s="120"/>
      <c r="PV1386" s="120"/>
      <c r="PW1386" s="120"/>
      <c r="PX1386" s="120"/>
      <c r="PY1386" s="120"/>
      <c r="PZ1386" s="120"/>
      <c r="QA1386" s="120"/>
      <c r="QB1386" s="120"/>
      <c r="QC1386" s="120"/>
      <c r="QD1386" s="120"/>
      <c r="QE1386" s="120"/>
      <c r="QF1386" s="120"/>
      <c r="QG1386" s="120"/>
      <c r="QH1386" s="120"/>
      <c r="QI1386" s="120"/>
      <c r="QJ1386" s="120"/>
      <c r="QK1386" s="120"/>
      <c r="QL1386" s="120"/>
      <c r="QM1386" s="120"/>
      <c r="QN1386" s="120"/>
      <c r="QO1386" s="120"/>
      <c r="QP1386" s="120"/>
      <c r="QQ1386" s="120"/>
      <c r="QR1386" s="120"/>
      <c r="QS1386" s="120"/>
      <c r="QT1386" s="120"/>
      <c r="QU1386" s="120"/>
      <c r="QV1386" s="120"/>
      <c r="QW1386" s="120"/>
      <c r="QX1386" s="120"/>
      <c r="QY1386" s="120"/>
      <c r="QZ1386" s="120"/>
      <c r="RA1386" s="120"/>
      <c r="RB1386" s="120"/>
      <c r="RC1386" s="120"/>
      <c r="RD1386" s="120"/>
      <c r="RE1386" s="120"/>
      <c r="RF1386" s="120"/>
      <c r="RG1386" s="120"/>
      <c r="RH1386" s="120"/>
      <c r="RI1386" s="120"/>
      <c r="RJ1386" s="120"/>
      <c r="RK1386" s="120"/>
      <c r="RL1386" s="120"/>
      <c r="RM1386" s="120"/>
      <c r="RN1386" s="120"/>
      <c r="RO1386" s="120"/>
      <c r="RP1386" s="120"/>
      <c r="RQ1386" s="120"/>
      <c r="RR1386" s="120"/>
      <c r="RS1386" s="120"/>
      <c r="RT1386" s="120"/>
      <c r="RU1386" s="120"/>
      <c r="RV1386" s="120"/>
      <c r="RW1386" s="120"/>
      <c r="RX1386" s="120"/>
      <c r="RY1386" s="120"/>
      <c r="RZ1386" s="120"/>
      <c r="SA1386" s="120"/>
      <c r="SB1386" s="120"/>
      <c r="SC1386" s="120"/>
      <c r="SD1386" s="120"/>
      <c r="SE1386" s="120"/>
      <c r="SF1386" s="120"/>
      <c r="SG1386" s="120"/>
      <c r="SH1386" s="120"/>
      <c r="SI1386" s="120"/>
      <c r="SJ1386" s="120"/>
      <c r="SK1386" s="120"/>
      <c r="SL1386" s="120"/>
      <c r="SM1386" s="120"/>
      <c r="SN1386" s="120"/>
      <c r="SO1386" s="120"/>
      <c r="SP1386" s="120"/>
      <c r="SQ1386" s="120"/>
      <c r="SR1386" s="120"/>
      <c r="SS1386" s="120"/>
      <c r="ST1386" s="120"/>
      <c r="SU1386" s="120"/>
      <c r="SV1386" s="120"/>
      <c r="SW1386" s="120"/>
      <c r="SX1386" s="120"/>
      <c r="SY1386" s="120"/>
      <c r="SZ1386" s="120"/>
      <c r="TA1386" s="120"/>
      <c r="TB1386" s="120"/>
      <c r="TC1386" s="120"/>
      <c r="TD1386" s="120"/>
      <c r="TE1386" s="120"/>
      <c r="TF1386" s="120"/>
      <c r="TG1386" s="120"/>
      <c r="TH1386" s="120"/>
      <c r="TI1386" s="120"/>
      <c r="TJ1386" s="120"/>
      <c r="TK1386" s="120"/>
      <c r="TL1386" s="120"/>
      <c r="TM1386" s="120"/>
      <c r="TN1386" s="120"/>
      <c r="TO1386" s="120"/>
      <c r="TP1386" s="120"/>
      <c r="TQ1386" s="120"/>
      <c r="TR1386" s="120"/>
      <c r="TS1386" s="120"/>
      <c r="TT1386" s="120"/>
      <c r="TU1386" s="120"/>
      <c r="TV1386" s="120"/>
      <c r="TW1386" s="120"/>
      <c r="TX1386" s="120"/>
      <c r="TY1386" s="120"/>
      <c r="TZ1386" s="120"/>
      <c r="UA1386" s="120"/>
      <c r="UB1386" s="120"/>
      <c r="UC1386" s="120"/>
      <c r="UD1386" s="120"/>
      <c r="UE1386" s="120"/>
      <c r="UF1386" s="120"/>
      <c r="UG1386" s="120"/>
      <c r="UH1386" s="120"/>
      <c r="UI1386" s="120"/>
      <c r="UJ1386" s="120"/>
      <c r="UK1386" s="120"/>
      <c r="UL1386" s="120"/>
      <c r="UM1386" s="120"/>
      <c r="UN1386" s="120"/>
      <c r="UO1386" s="120"/>
      <c r="UP1386" s="120"/>
      <c r="UQ1386" s="120"/>
      <c r="UR1386" s="120"/>
      <c r="US1386" s="120"/>
      <c r="UT1386" s="120"/>
      <c r="UU1386" s="120"/>
      <c r="UV1386" s="120"/>
      <c r="UW1386" s="120"/>
      <c r="UX1386" s="120"/>
      <c r="UY1386" s="120"/>
      <c r="UZ1386" s="120"/>
      <c r="VA1386" s="120"/>
      <c r="VB1386" s="120"/>
      <c r="VC1386" s="120"/>
      <c r="VD1386" s="120"/>
      <c r="VE1386" s="120"/>
      <c r="VF1386" s="120"/>
      <c r="VG1386" s="120"/>
      <c r="VH1386" s="120"/>
      <c r="VI1386" s="120"/>
      <c r="VJ1386" s="120"/>
      <c r="VK1386" s="120"/>
      <c r="VL1386" s="120"/>
      <c r="VM1386" s="120"/>
      <c r="VN1386" s="120"/>
      <c r="VO1386" s="120"/>
      <c r="VP1386" s="120"/>
      <c r="VQ1386" s="120"/>
      <c r="VR1386" s="120"/>
      <c r="VS1386" s="120"/>
      <c r="VT1386" s="120"/>
      <c r="VU1386" s="120"/>
      <c r="VV1386" s="120"/>
      <c r="VW1386" s="120"/>
      <c r="VX1386" s="120"/>
      <c r="VY1386" s="120"/>
      <c r="VZ1386" s="120"/>
      <c r="WA1386" s="120"/>
      <c r="WB1386" s="120"/>
      <c r="WC1386" s="120"/>
      <c r="WD1386" s="120"/>
      <c r="WE1386" s="120"/>
      <c r="WF1386" s="120"/>
      <c r="WG1386" s="120"/>
      <c r="WH1386" s="120"/>
      <c r="WI1386" s="120"/>
      <c r="WJ1386" s="120"/>
      <c r="WK1386" s="120"/>
      <c r="WL1386" s="120"/>
      <c r="WM1386" s="120"/>
      <c r="WN1386" s="120"/>
      <c r="WO1386" s="120"/>
      <c r="WP1386" s="120"/>
      <c r="WQ1386" s="120"/>
      <c r="WR1386" s="120"/>
      <c r="WS1386" s="120"/>
      <c r="WT1386" s="120"/>
      <c r="WU1386" s="120"/>
      <c r="WV1386" s="120"/>
      <c r="WW1386" s="120"/>
      <c r="WX1386" s="120"/>
      <c r="WY1386" s="120"/>
      <c r="WZ1386" s="120"/>
      <c r="XA1386" s="120"/>
      <c r="XB1386" s="120"/>
      <c r="XC1386" s="120"/>
      <c r="XD1386" s="120"/>
      <c r="XE1386" s="120"/>
      <c r="XF1386" s="120"/>
      <c r="XG1386" s="120"/>
      <c r="XH1386" s="120"/>
      <c r="XI1386" s="120"/>
      <c r="XJ1386" s="120"/>
      <c r="XK1386" s="120"/>
      <c r="XL1386" s="120"/>
      <c r="XM1386" s="120"/>
      <c r="XN1386" s="120"/>
      <c r="XO1386" s="120"/>
      <c r="XP1386" s="120"/>
      <c r="XQ1386" s="120"/>
      <c r="XR1386" s="120"/>
      <c r="XS1386" s="120"/>
      <c r="XT1386" s="120"/>
      <c r="XU1386" s="120"/>
      <c r="XV1386" s="120"/>
      <c r="XW1386" s="120"/>
      <c r="XX1386" s="120"/>
      <c r="XY1386" s="120"/>
      <c r="XZ1386" s="120"/>
      <c r="YA1386" s="120"/>
      <c r="YB1386" s="120"/>
      <c r="YC1386" s="120"/>
      <c r="YD1386" s="120"/>
      <c r="YE1386" s="120"/>
      <c r="YF1386" s="120"/>
      <c r="YG1386" s="120"/>
      <c r="YH1386" s="120"/>
      <c r="YI1386" s="120"/>
      <c r="YJ1386" s="120"/>
      <c r="YK1386" s="120"/>
      <c r="YL1386" s="120"/>
      <c r="YM1386" s="120"/>
      <c r="YN1386" s="120"/>
      <c r="YO1386" s="120"/>
      <c r="YP1386" s="120"/>
      <c r="YQ1386" s="120"/>
      <c r="YR1386" s="120"/>
      <c r="YS1386" s="120"/>
      <c r="YT1386" s="120"/>
      <c r="YU1386" s="120"/>
      <c r="YV1386" s="120"/>
      <c r="YW1386" s="120"/>
      <c r="YX1386" s="120"/>
      <c r="YY1386" s="120"/>
      <c r="YZ1386" s="120"/>
      <c r="ZA1386" s="120"/>
      <c r="ZB1386" s="120"/>
      <c r="ZC1386" s="120"/>
      <c r="ZD1386" s="120"/>
      <c r="ZE1386" s="120"/>
      <c r="ZF1386" s="120"/>
      <c r="ZG1386" s="120"/>
      <c r="ZH1386" s="120"/>
      <c r="ZI1386" s="120"/>
      <c r="ZJ1386" s="120"/>
      <c r="ZK1386" s="120"/>
      <c r="ZL1386" s="120"/>
      <c r="ZM1386" s="120"/>
      <c r="ZN1386" s="120"/>
      <c r="ZO1386" s="120"/>
      <c r="ZP1386" s="120"/>
      <c r="ZQ1386" s="120"/>
      <c r="ZR1386" s="120"/>
      <c r="ZS1386" s="120"/>
      <c r="ZT1386" s="120"/>
      <c r="ZU1386" s="120"/>
      <c r="ZV1386" s="120"/>
      <c r="ZW1386" s="120"/>
      <c r="ZX1386" s="120"/>
      <c r="ZY1386" s="120"/>
      <c r="ZZ1386" s="120"/>
      <c r="AAA1386" s="120"/>
      <c r="AAB1386" s="120"/>
      <c r="AAC1386" s="120"/>
      <c r="AAD1386" s="120"/>
      <c r="AAE1386" s="120"/>
      <c r="AAF1386" s="120"/>
      <c r="AAG1386" s="120"/>
      <c r="AAH1386" s="120"/>
      <c r="AAI1386" s="120"/>
      <c r="AAJ1386" s="120"/>
      <c r="AAK1386" s="120"/>
      <c r="AAL1386" s="120"/>
      <c r="AAM1386" s="120"/>
      <c r="AAN1386" s="120"/>
      <c r="AAO1386" s="120"/>
      <c r="AAP1386" s="120"/>
      <c r="AAQ1386" s="120"/>
      <c r="AAR1386" s="120"/>
      <c r="AAS1386" s="120"/>
      <c r="AAT1386" s="120"/>
      <c r="AAU1386" s="120"/>
      <c r="AAV1386" s="120"/>
      <c r="AAW1386" s="120"/>
      <c r="AAX1386" s="120"/>
      <c r="AAY1386" s="120"/>
      <c r="AAZ1386" s="120"/>
      <c r="ABA1386" s="120"/>
      <c r="ABB1386" s="120"/>
      <c r="ABC1386" s="120"/>
      <c r="ABD1386" s="120"/>
      <c r="ABE1386" s="120"/>
      <c r="ABF1386" s="120"/>
      <c r="ABG1386" s="120"/>
      <c r="ABH1386" s="120"/>
      <c r="ABI1386" s="120"/>
      <c r="ABJ1386" s="120"/>
      <c r="ABK1386" s="120"/>
      <c r="ABL1386" s="120"/>
      <c r="ABM1386" s="120"/>
      <c r="ABN1386" s="120"/>
      <c r="ABO1386" s="120"/>
      <c r="ABP1386" s="120"/>
      <c r="ABQ1386" s="120"/>
      <c r="ABR1386" s="120"/>
      <c r="ABS1386" s="120"/>
      <c r="ABT1386" s="120"/>
      <c r="ABU1386" s="120"/>
      <c r="ABV1386" s="120"/>
      <c r="ABW1386" s="120"/>
      <c r="ABX1386" s="120"/>
      <c r="ABY1386" s="120"/>
      <c r="ABZ1386" s="120"/>
      <c r="ACA1386" s="120"/>
      <c r="ACB1386" s="120"/>
      <c r="ACC1386" s="120"/>
      <c r="ACD1386" s="120"/>
      <c r="ACE1386" s="120"/>
      <c r="ACF1386" s="120"/>
      <c r="ACG1386" s="120"/>
      <c r="ACH1386" s="120"/>
      <c r="ACI1386" s="120"/>
      <c r="ACJ1386" s="120"/>
      <c r="ACK1386" s="120"/>
      <c r="ACL1386" s="120"/>
      <c r="ACM1386" s="120"/>
      <c r="ACN1386" s="120"/>
      <c r="ACO1386" s="120"/>
      <c r="ACP1386" s="120"/>
      <c r="ACQ1386" s="120"/>
      <c r="ACR1386" s="120"/>
      <c r="ACS1386" s="120"/>
      <c r="ACT1386" s="120"/>
      <c r="ACU1386" s="120"/>
      <c r="ACV1386" s="120"/>
      <c r="ACW1386" s="120"/>
      <c r="ACX1386" s="120"/>
      <c r="ACY1386" s="120"/>
      <c r="ACZ1386" s="120"/>
      <c r="ADA1386" s="120"/>
      <c r="ADB1386" s="120"/>
      <c r="ADC1386" s="120"/>
      <c r="ADD1386" s="120"/>
      <c r="ADE1386" s="120"/>
      <c r="ADF1386" s="120"/>
      <c r="ADG1386" s="120"/>
      <c r="ADH1386" s="120"/>
      <c r="ADI1386" s="120"/>
      <c r="ADJ1386" s="120"/>
      <c r="ADK1386" s="120"/>
      <c r="ADL1386" s="120"/>
      <c r="ADM1386" s="120"/>
      <c r="ADN1386" s="120"/>
      <c r="ADO1386" s="120"/>
      <c r="ADP1386" s="120"/>
      <c r="ADQ1386" s="120"/>
      <c r="ADR1386" s="120"/>
      <c r="ADS1386" s="120"/>
      <c r="ADT1386" s="120"/>
      <c r="ADU1386" s="120"/>
      <c r="ADV1386" s="120"/>
      <c r="ADW1386" s="120"/>
      <c r="ADX1386" s="120"/>
      <c r="ADY1386" s="120"/>
      <c r="ADZ1386" s="120"/>
      <c r="AEA1386" s="120"/>
      <c r="AEB1386" s="120"/>
      <c r="AEC1386" s="120"/>
      <c r="AED1386" s="120"/>
      <c r="AEE1386" s="120"/>
      <c r="AEF1386" s="120"/>
      <c r="AEG1386" s="120"/>
      <c r="AEH1386" s="120"/>
      <c r="AEI1386" s="120"/>
      <c r="AEJ1386" s="120"/>
      <c r="AEK1386" s="120"/>
      <c r="AEL1386" s="120"/>
      <c r="AEM1386" s="120"/>
      <c r="AEN1386" s="120"/>
      <c r="AEO1386" s="120"/>
      <c r="AEP1386" s="120"/>
      <c r="AEQ1386" s="120"/>
      <c r="AER1386" s="120"/>
      <c r="AES1386" s="120"/>
      <c r="AET1386" s="120"/>
      <c r="AEU1386" s="120"/>
      <c r="AEV1386" s="120"/>
      <c r="AEW1386" s="120"/>
      <c r="AEX1386" s="120"/>
      <c r="AEY1386" s="120"/>
      <c r="AEZ1386" s="120"/>
      <c r="AFA1386" s="120"/>
      <c r="AFB1386" s="120"/>
      <c r="AFC1386" s="120"/>
      <c r="AFD1386" s="120"/>
      <c r="AFE1386" s="120"/>
      <c r="AFF1386" s="120"/>
      <c r="AFG1386" s="120"/>
      <c r="AFH1386" s="120"/>
      <c r="AFI1386" s="120"/>
      <c r="AFJ1386" s="120"/>
      <c r="AFK1386" s="120"/>
      <c r="AFL1386" s="120"/>
      <c r="AFM1386" s="120"/>
      <c r="AFN1386" s="120"/>
      <c r="AFO1386" s="120"/>
      <c r="AFP1386" s="120"/>
      <c r="AFQ1386" s="120"/>
      <c r="AFR1386" s="120"/>
      <c r="AFS1386" s="120"/>
      <c r="AFT1386" s="120"/>
      <c r="AFU1386" s="120"/>
      <c r="AFV1386" s="120"/>
      <c r="AFW1386" s="120"/>
      <c r="AFX1386" s="120"/>
      <c r="AFY1386" s="120"/>
      <c r="AFZ1386" s="120"/>
      <c r="AGA1386" s="120"/>
      <c r="AGB1386" s="120"/>
      <c r="AGC1386" s="120"/>
      <c r="AGD1386" s="120"/>
      <c r="AGE1386" s="120"/>
      <c r="AGF1386" s="120"/>
      <c r="AGG1386" s="120"/>
      <c r="AGH1386" s="120"/>
      <c r="AGI1386" s="120"/>
      <c r="AGJ1386" s="120"/>
      <c r="AGK1386" s="120"/>
      <c r="AGL1386" s="120"/>
      <c r="AGM1386" s="120"/>
      <c r="AGN1386" s="120"/>
      <c r="AGO1386" s="120"/>
      <c r="AGP1386" s="120"/>
      <c r="AGQ1386" s="120"/>
      <c r="AGR1386" s="120"/>
      <c r="AGS1386" s="120"/>
      <c r="AGT1386" s="120"/>
      <c r="AGU1386" s="120"/>
      <c r="AGV1386" s="120"/>
      <c r="AGW1386" s="120"/>
      <c r="AGX1386" s="120"/>
      <c r="AGY1386" s="120"/>
      <c r="AGZ1386" s="120"/>
      <c r="AHA1386" s="120"/>
      <c r="AHB1386" s="120"/>
      <c r="AHC1386" s="120"/>
      <c r="AHD1386" s="120"/>
      <c r="AHE1386" s="120"/>
      <c r="AHF1386" s="120"/>
      <c r="AHG1386" s="120"/>
      <c r="AHH1386" s="120"/>
      <c r="AHI1386" s="120"/>
      <c r="AHJ1386" s="120"/>
      <c r="AHK1386" s="120"/>
      <c r="AHL1386" s="120"/>
      <c r="AHM1386" s="120"/>
      <c r="AHN1386" s="120"/>
      <c r="AHO1386" s="120"/>
      <c r="AHP1386" s="120"/>
      <c r="AHQ1386" s="120"/>
      <c r="AHR1386" s="120"/>
      <c r="AHS1386" s="120"/>
      <c r="AHT1386" s="120"/>
      <c r="AHU1386" s="120"/>
      <c r="AHV1386" s="120"/>
      <c r="AHW1386" s="120"/>
      <c r="AHX1386" s="120"/>
      <c r="AHY1386" s="120"/>
      <c r="AHZ1386" s="120"/>
      <c r="AIA1386" s="120"/>
      <c r="AIB1386" s="120"/>
      <c r="AIC1386" s="120"/>
      <c r="AID1386" s="120"/>
      <c r="AIE1386" s="120"/>
      <c r="AIF1386" s="120"/>
      <c r="AIG1386" s="120"/>
      <c r="AIH1386" s="120"/>
      <c r="AII1386" s="120"/>
      <c r="AIJ1386" s="120"/>
      <c r="AIK1386" s="120"/>
      <c r="AIL1386" s="120"/>
      <c r="AIM1386" s="120"/>
      <c r="AIN1386" s="120"/>
      <c r="AIO1386" s="120"/>
      <c r="AIP1386" s="120"/>
      <c r="AIQ1386" s="120"/>
      <c r="AIR1386" s="120"/>
      <c r="AIS1386" s="120"/>
      <c r="AIT1386" s="120"/>
      <c r="AIU1386" s="120"/>
      <c r="AIV1386" s="120"/>
      <c r="AIW1386" s="120"/>
      <c r="AIX1386" s="120"/>
      <c r="AIY1386" s="120"/>
      <c r="AIZ1386" s="120"/>
      <c r="AJA1386" s="120"/>
      <c r="AJB1386" s="120"/>
      <c r="AJC1386" s="120"/>
      <c r="AJD1386" s="120"/>
      <c r="AJE1386" s="120"/>
      <c r="AJF1386" s="120"/>
      <c r="AJG1386" s="120"/>
      <c r="AJH1386" s="120"/>
      <c r="AJI1386" s="120"/>
      <c r="AJJ1386" s="120"/>
      <c r="AJK1386" s="120"/>
      <c r="AJL1386" s="120"/>
      <c r="AJM1386" s="120"/>
      <c r="AJN1386" s="120"/>
      <c r="AJO1386" s="120"/>
      <c r="AJP1386" s="120"/>
      <c r="AJQ1386" s="120"/>
      <c r="AJR1386" s="120"/>
      <c r="AJS1386" s="120"/>
      <c r="AJT1386" s="120"/>
      <c r="AJU1386" s="120"/>
      <c r="AJV1386" s="120"/>
      <c r="AJW1386" s="120"/>
      <c r="AJX1386" s="120"/>
      <c r="AJY1386" s="120"/>
      <c r="AJZ1386" s="120"/>
      <c r="AKA1386" s="120"/>
      <c r="AKB1386" s="120"/>
      <c r="AKC1386" s="120"/>
      <c r="AKD1386" s="120"/>
      <c r="AKE1386" s="120"/>
      <c r="AKF1386" s="120"/>
      <c r="AKG1386" s="120"/>
      <c r="AKH1386" s="120"/>
      <c r="AKI1386" s="120"/>
      <c r="AKJ1386" s="120"/>
      <c r="AKK1386" s="120"/>
      <c r="AKL1386" s="120"/>
      <c r="AKM1386" s="120"/>
      <c r="AKN1386" s="120"/>
      <c r="AKO1386" s="120"/>
      <c r="AKP1386" s="120"/>
      <c r="AKQ1386" s="120"/>
      <c r="AKR1386" s="120"/>
      <c r="AKS1386" s="120"/>
      <c r="AKT1386" s="120"/>
      <c r="AKU1386" s="120"/>
      <c r="AKV1386" s="120"/>
      <c r="AKW1386" s="120"/>
      <c r="AKX1386" s="120"/>
      <c r="AKY1386" s="120"/>
      <c r="AKZ1386" s="120"/>
      <c r="ALA1386" s="120"/>
      <c r="ALB1386" s="120"/>
      <c r="ALC1386" s="120"/>
      <c r="ALD1386" s="120"/>
      <c r="ALE1386" s="120"/>
      <c r="ALF1386" s="120"/>
      <c r="ALG1386" s="120"/>
      <c r="ALH1386" s="120"/>
      <c r="ALI1386" s="120"/>
      <c r="ALJ1386" s="120"/>
      <c r="ALK1386" s="120"/>
      <c r="ALL1386" s="120"/>
      <c r="ALM1386" s="120"/>
      <c r="ALN1386" s="120"/>
      <c r="ALO1386" s="120"/>
      <c r="ALP1386" s="120"/>
      <c r="ALQ1386" s="120"/>
      <c r="ALR1386" s="120"/>
      <c r="ALS1386" s="120"/>
      <c r="ALT1386" s="120"/>
      <c r="ALU1386" s="120"/>
      <c r="ALV1386" s="120"/>
      <c r="ALW1386" s="120"/>
      <c r="ALX1386" s="120"/>
      <c r="ALY1386" s="120"/>
      <c r="ALZ1386" s="120"/>
      <c r="AMA1386" s="120"/>
      <c r="AMB1386" s="120"/>
      <c r="AMC1386" s="120"/>
      <c r="AMD1386" s="120"/>
      <c r="AME1386" s="120"/>
      <c r="AMF1386" s="120"/>
      <c r="AMG1386" s="120"/>
      <c r="AMH1386" s="120"/>
      <c r="AMI1386" s="120"/>
      <c r="AMJ1386" s="120"/>
      <c r="AMK1386" s="120"/>
      <c r="AML1386" s="120"/>
      <c r="AMM1386" s="120"/>
      <c r="AMN1386" s="120"/>
      <c r="AMO1386" s="120"/>
      <c r="AMP1386" s="120"/>
      <c r="AMQ1386" s="120"/>
      <c r="AMR1386" s="120"/>
      <c r="AMS1386" s="120"/>
      <c r="AMT1386" s="120"/>
      <c r="AMU1386" s="120"/>
      <c r="AMV1386" s="120"/>
      <c r="AMW1386" s="120"/>
      <c r="AMX1386" s="120"/>
      <c r="AMY1386" s="120"/>
      <c r="AMZ1386" s="120"/>
      <c r="ANA1386" s="120"/>
      <c r="ANB1386" s="120"/>
      <c r="ANC1386" s="120"/>
      <c r="AND1386" s="120"/>
      <c r="ANE1386" s="120"/>
      <c r="ANF1386" s="120"/>
      <c r="ANG1386" s="120"/>
      <c r="ANH1386" s="120"/>
      <c r="ANI1386" s="120"/>
      <c r="ANJ1386" s="120"/>
      <c r="ANK1386" s="120"/>
      <c r="ANL1386" s="120"/>
      <c r="ANM1386" s="120"/>
      <c r="ANN1386" s="120"/>
      <c r="ANO1386" s="120"/>
      <c r="ANP1386" s="120"/>
      <c r="ANQ1386" s="120"/>
      <c r="ANR1386" s="120"/>
      <c r="ANS1386" s="120"/>
      <c r="ANT1386" s="120"/>
      <c r="ANU1386" s="120"/>
      <c r="ANV1386" s="120"/>
      <c r="ANW1386" s="120"/>
      <c r="ANX1386" s="120"/>
      <c r="ANY1386" s="120"/>
      <c r="ANZ1386" s="120"/>
      <c r="AOA1386" s="120"/>
      <c r="AOB1386" s="120"/>
      <c r="AOC1386" s="120"/>
      <c r="AOD1386" s="120"/>
      <c r="AOE1386" s="120"/>
      <c r="AOF1386" s="120"/>
      <c r="AOG1386" s="120"/>
      <c r="AOH1386" s="120"/>
      <c r="AOI1386" s="120"/>
      <c r="AOJ1386" s="120"/>
      <c r="AOK1386" s="120"/>
      <c r="AOL1386" s="120"/>
      <c r="AOM1386" s="120"/>
      <c r="AON1386" s="120"/>
      <c r="AOO1386" s="120"/>
      <c r="AOP1386" s="120"/>
      <c r="AOQ1386" s="120"/>
      <c r="AOR1386" s="120"/>
      <c r="AOS1386" s="120"/>
      <c r="AOT1386" s="120"/>
      <c r="AOU1386" s="120"/>
      <c r="AOV1386" s="120"/>
      <c r="AOW1386" s="120"/>
      <c r="AOX1386" s="120"/>
      <c r="AOY1386" s="120"/>
      <c r="AOZ1386" s="120"/>
      <c r="APA1386" s="120"/>
      <c r="APB1386" s="120"/>
      <c r="APC1386" s="120"/>
      <c r="APD1386" s="120"/>
      <c r="APE1386" s="120"/>
      <c r="APF1386" s="120"/>
      <c r="APG1386" s="120"/>
      <c r="APH1386" s="120"/>
      <c r="API1386" s="120"/>
      <c r="APJ1386" s="120"/>
      <c r="APK1386" s="120"/>
      <c r="APL1386" s="120"/>
      <c r="APM1386" s="120"/>
      <c r="APN1386" s="120"/>
      <c r="APO1386" s="120"/>
      <c r="APP1386" s="120"/>
      <c r="APQ1386" s="120"/>
      <c r="APR1386" s="120"/>
      <c r="APS1386" s="120"/>
      <c r="APT1386" s="120"/>
      <c r="APU1386" s="120"/>
      <c r="APV1386" s="120"/>
      <c r="APW1386" s="120"/>
      <c r="APX1386" s="120"/>
      <c r="APY1386" s="120"/>
      <c r="APZ1386" s="120"/>
      <c r="AQA1386" s="120"/>
      <c r="AQB1386" s="120"/>
      <c r="AQC1386" s="120"/>
      <c r="AQD1386" s="120"/>
      <c r="AQE1386" s="120"/>
      <c r="AQF1386" s="120"/>
      <c r="AQG1386" s="120"/>
      <c r="AQH1386" s="120"/>
      <c r="AQI1386" s="120"/>
      <c r="AQJ1386" s="120"/>
      <c r="AQK1386" s="120"/>
      <c r="AQL1386" s="120"/>
      <c r="AQM1386" s="120"/>
      <c r="AQN1386" s="120"/>
      <c r="AQO1386" s="120"/>
      <c r="AQP1386" s="120"/>
      <c r="AQQ1386" s="120"/>
      <c r="AQR1386" s="120"/>
      <c r="AQS1386" s="120"/>
      <c r="AQT1386" s="120"/>
      <c r="AQU1386" s="120"/>
      <c r="AQV1386" s="120"/>
      <c r="AQW1386" s="120"/>
      <c r="AQX1386" s="120"/>
      <c r="AQY1386" s="120"/>
      <c r="AQZ1386" s="120"/>
      <c r="ARA1386" s="120"/>
      <c r="ARB1386" s="120"/>
      <c r="ARC1386" s="120"/>
      <c r="ARD1386" s="120"/>
      <c r="ARE1386" s="120"/>
      <c r="ARF1386" s="120"/>
      <c r="ARG1386" s="120"/>
      <c r="ARH1386" s="120"/>
      <c r="ARI1386" s="120"/>
      <c r="ARJ1386" s="120"/>
      <c r="ARK1386" s="120"/>
      <c r="ARL1386" s="120"/>
      <c r="ARM1386" s="120"/>
      <c r="ARN1386" s="120"/>
      <c r="ARO1386" s="120"/>
      <c r="ARP1386" s="120"/>
      <c r="ARQ1386" s="120"/>
      <c r="ARR1386" s="120"/>
      <c r="ARS1386" s="120"/>
      <c r="ART1386" s="120"/>
      <c r="ARU1386" s="120"/>
      <c r="ARV1386" s="120"/>
      <c r="ARW1386" s="120"/>
      <c r="ARX1386" s="120"/>
      <c r="ARY1386" s="120"/>
      <c r="ARZ1386" s="120"/>
      <c r="ASA1386" s="120"/>
      <c r="ASB1386" s="120"/>
      <c r="ASC1386" s="120"/>
      <c r="ASD1386" s="120"/>
      <c r="ASE1386" s="120"/>
      <c r="ASF1386" s="120"/>
      <c r="ASG1386" s="120"/>
      <c r="ASH1386" s="120"/>
      <c r="ASI1386" s="120"/>
      <c r="ASJ1386" s="120"/>
      <c r="ASK1386" s="120"/>
      <c r="ASL1386" s="120"/>
      <c r="ASM1386" s="120"/>
      <c r="ASN1386" s="120"/>
      <c r="ASO1386" s="120"/>
      <c r="ASP1386" s="120"/>
      <c r="ASQ1386" s="120"/>
      <c r="ASR1386" s="120"/>
      <c r="ASS1386" s="120"/>
      <c r="AST1386" s="120"/>
      <c r="ASU1386" s="120"/>
      <c r="ASV1386" s="120"/>
      <c r="ASW1386" s="120"/>
      <c r="ASX1386" s="120"/>
      <c r="ASY1386" s="120"/>
      <c r="ASZ1386" s="120"/>
      <c r="ATA1386" s="120"/>
      <c r="ATB1386" s="120"/>
      <c r="ATC1386" s="120"/>
      <c r="ATD1386" s="120"/>
      <c r="ATE1386" s="120"/>
      <c r="ATF1386" s="120"/>
      <c r="ATG1386" s="120"/>
      <c r="ATH1386" s="120"/>
      <c r="ATI1386" s="120"/>
      <c r="ATJ1386" s="120"/>
      <c r="ATK1386" s="120"/>
      <c r="ATL1386" s="120"/>
      <c r="ATM1386" s="120"/>
      <c r="ATN1386" s="120"/>
      <c r="ATO1386" s="120"/>
    </row>
    <row r="1387" spans="1:1211" s="20" customFormat="1" ht="14.1" customHeight="1">
      <c r="A1387" s="112"/>
      <c r="B1387" s="723"/>
      <c r="C1387" s="184"/>
      <c r="D1387" s="120"/>
      <c r="E1387" s="701"/>
      <c r="F1387" s="703"/>
      <c r="G1387" s="702"/>
      <c r="H1387" s="702"/>
      <c r="I1387" s="702"/>
      <c r="J1387" s="700"/>
      <c r="K1387" s="112"/>
      <c r="L1387" s="363"/>
      <c r="M1387" s="112"/>
      <c r="N1387" s="362"/>
      <c r="O1387" s="573"/>
      <c r="P1387" s="120"/>
      <c r="Q1387" s="120"/>
      <c r="R1387" s="120"/>
      <c r="S1387" s="120"/>
      <c r="T1387" s="120"/>
      <c r="U1387" s="120"/>
      <c r="V1387" s="120"/>
      <c r="W1387" s="120"/>
      <c r="X1387" s="120"/>
      <c r="Y1387" s="120"/>
      <c r="Z1387" s="120"/>
      <c r="AA1387" s="120"/>
      <c r="AB1387" s="120"/>
      <c r="AC1387" s="120"/>
      <c r="AD1387" s="120"/>
      <c r="AE1387" s="120"/>
      <c r="AF1387" s="120"/>
      <c r="AG1387" s="120"/>
      <c r="AH1387" s="120"/>
      <c r="AI1387" s="120"/>
      <c r="AJ1387" s="120"/>
      <c r="AK1387" s="120"/>
      <c r="AL1387" s="120"/>
      <c r="AM1387" s="120"/>
      <c r="AN1387" s="120"/>
      <c r="AO1387" s="120"/>
      <c r="AP1387" s="120"/>
      <c r="AQ1387" s="120"/>
      <c r="AR1387" s="120"/>
      <c r="AS1387" s="120"/>
      <c r="AT1387" s="120"/>
      <c r="AU1387" s="120"/>
      <c r="AV1387" s="120"/>
      <c r="AW1387" s="120"/>
      <c r="AX1387" s="120"/>
      <c r="AY1387" s="120"/>
      <c r="AZ1387" s="120"/>
      <c r="BA1387" s="120"/>
      <c r="BB1387" s="120"/>
      <c r="BC1387" s="120"/>
      <c r="BD1387" s="120"/>
      <c r="BE1387" s="120"/>
      <c r="BF1387" s="120"/>
      <c r="BG1387" s="120"/>
      <c r="BH1387" s="120"/>
      <c r="BI1387" s="120"/>
      <c r="BJ1387" s="120"/>
      <c r="BK1387" s="120"/>
      <c r="BL1387" s="120"/>
      <c r="BM1387" s="120"/>
      <c r="BN1387" s="120"/>
      <c r="BO1387" s="120"/>
      <c r="BP1387" s="120"/>
      <c r="BQ1387" s="120"/>
      <c r="BR1387" s="120"/>
      <c r="BS1387" s="120"/>
      <c r="BT1387" s="120"/>
      <c r="BU1387" s="120"/>
      <c r="BV1387" s="120"/>
      <c r="BW1387" s="120"/>
      <c r="BX1387" s="120"/>
      <c r="BY1387" s="120"/>
      <c r="BZ1387" s="120"/>
      <c r="CA1387" s="120"/>
      <c r="CB1387" s="120"/>
      <c r="CC1387" s="120"/>
      <c r="CD1387" s="120"/>
      <c r="CE1387" s="120"/>
      <c r="CF1387" s="120"/>
      <c r="CG1387" s="120"/>
      <c r="CH1387" s="120"/>
      <c r="CI1387" s="120"/>
      <c r="CJ1387" s="120"/>
      <c r="CK1387" s="120"/>
      <c r="CL1387" s="120"/>
      <c r="CM1387" s="120"/>
      <c r="CN1387" s="120"/>
      <c r="CO1387" s="120"/>
      <c r="CP1387" s="120"/>
      <c r="CQ1387" s="120"/>
      <c r="CR1387" s="120"/>
      <c r="CS1387" s="120"/>
      <c r="CT1387" s="120"/>
      <c r="CU1387" s="120"/>
      <c r="CV1387" s="120"/>
      <c r="CW1387" s="120"/>
      <c r="CX1387" s="120"/>
      <c r="CY1387" s="120"/>
      <c r="CZ1387" s="120"/>
      <c r="DA1387" s="120"/>
      <c r="DB1387" s="120"/>
      <c r="DC1387" s="120"/>
      <c r="DD1387" s="120"/>
      <c r="DE1387" s="120"/>
      <c r="DF1387" s="120"/>
      <c r="DG1387" s="120"/>
      <c r="DH1387" s="120"/>
      <c r="DI1387" s="120"/>
      <c r="DJ1387" s="120"/>
      <c r="DK1387" s="120"/>
      <c r="DL1387" s="120"/>
      <c r="DM1387" s="120"/>
      <c r="DN1387" s="120"/>
      <c r="DO1387" s="120"/>
      <c r="DP1387" s="120"/>
      <c r="DQ1387" s="120"/>
      <c r="DR1387" s="120"/>
      <c r="DS1387" s="120"/>
      <c r="DT1387" s="120"/>
      <c r="DU1387" s="120"/>
      <c r="DV1387" s="120"/>
      <c r="DW1387" s="120"/>
      <c r="DX1387" s="120"/>
      <c r="DY1387" s="120"/>
      <c r="DZ1387" s="120"/>
      <c r="EA1387" s="120"/>
      <c r="EB1387" s="120"/>
      <c r="EC1387" s="120"/>
      <c r="ED1387" s="120"/>
      <c r="EE1387" s="120"/>
      <c r="EF1387" s="120"/>
      <c r="EG1387" s="120"/>
      <c r="EH1387" s="120"/>
      <c r="EI1387" s="120"/>
      <c r="EJ1387" s="120"/>
      <c r="EK1387" s="120"/>
      <c r="EL1387" s="120"/>
      <c r="EM1387" s="120"/>
      <c r="EN1387" s="120"/>
      <c r="EO1387" s="120"/>
      <c r="EP1387" s="120"/>
      <c r="EQ1387" s="120"/>
      <c r="ER1387" s="120"/>
      <c r="ES1387" s="120"/>
      <c r="ET1387" s="120"/>
      <c r="EU1387" s="120"/>
      <c r="EV1387" s="120"/>
      <c r="EW1387" s="120"/>
      <c r="EX1387" s="120"/>
      <c r="EY1387" s="120"/>
      <c r="EZ1387" s="120"/>
      <c r="FA1387" s="120"/>
      <c r="FB1387" s="120"/>
      <c r="FC1387" s="120"/>
      <c r="FD1387" s="120"/>
      <c r="FE1387" s="120"/>
      <c r="FF1387" s="120"/>
      <c r="FG1387" s="120"/>
      <c r="FH1387" s="120"/>
      <c r="FI1387" s="120"/>
      <c r="FJ1387" s="120"/>
      <c r="FK1387" s="120"/>
      <c r="FL1387" s="120"/>
      <c r="FM1387" s="120"/>
      <c r="FN1387" s="120"/>
      <c r="FO1387" s="120"/>
      <c r="FP1387" s="120"/>
      <c r="FQ1387" s="120"/>
      <c r="FR1387" s="120"/>
      <c r="FS1387" s="120"/>
      <c r="FT1387" s="120"/>
      <c r="FU1387" s="120"/>
      <c r="FV1387" s="120"/>
      <c r="FW1387" s="120"/>
      <c r="FX1387" s="120"/>
      <c r="FY1387" s="120"/>
      <c r="FZ1387" s="120"/>
      <c r="GA1387" s="120"/>
      <c r="GB1387" s="120"/>
      <c r="GC1387" s="120"/>
      <c r="GD1387" s="120"/>
      <c r="GE1387" s="120"/>
      <c r="GF1387" s="120"/>
      <c r="GG1387" s="120"/>
      <c r="GH1387" s="120"/>
      <c r="GI1387" s="120"/>
      <c r="GJ1387" s="120"/>
      <c r="GK1387" s="120"/>
      <c r="GL1387" s="120"/>
      <c r="GM1387" s="120"/>
      <c r="GN1387" s="120"/>
      <c r="GO1387" s="120"/>
      <c r="GP1387" s="120"/>
      <c r="GQ1387" s="120"/>
      <c r="GR1387" s="120"/>
      <c r="GS1387" s="120"/>
      <c r="GT1387" s="120"/>
      <c r="GU1387" s="120"/>
      <c r="GV1387" s="120"/>
      <c r="GW1387" s="120"/>
      <c r="GX1387" s="120"/>
      <c r="GY1387" s="120"/>
      <c r="GZ1387" s="120"/>
      <c r="HA1387" s="120"/>
      <c r="HB1387" s="120"/>
      <c r="HC1387" s="120"/>
      <c r="HD1387" s="120"/>
      <c r="HE1387" s="120"/>
      <c r="HF1387" s="120"/>
      <c r="HG1387" s="120"/>
      <c r="HH1387" s="120"/>
      <c r="HI1387" s="120"/>
      <c r="HJ1387" s="120"/>
      <c r="HK1387" s="120"/>
      <c r="HL1387" s="120"/>
      <c r="HM1387" s="120"/>
      <c r="HN1387" s="120"/>
      <c r="HO1387" s="120"/>
      <c r="HP1387" s="120"/>
      <c r="HQ1387" s="120"/>
      <c r="HR1387" s="120"/>
      <c r="HS1387" s="120"/>
      <c r="HT1387" s="120"/>
      <c r="HU1387" s="120"/>
      <c r="HV1387" s="120"/>
      <c r="HW1387" s="120"/>
      <c r="HX1387" s="120"/>
      <c r="HY1387" s="120"/>
      <c r="HZ1387" s="120"/>
      <c r="IA1387" s="120"/>
      <c r="IB1387" s="120"/>
      <c r="IC1387" s="120"/>
      <c r="ID1387" s="120"/>
      <c r="IE1387" s="120"/>
      <c r="IF1387" s="120"/>
      <c r="IG1387" s="120"/>
      <c r="IH1387" s="120"/>
      <c r="II1387" s="120"/>
      <c r="IJ1387" s="120"/>
      <c r="IK1387" s="120"/>
      <c r="IL1387" s="120"/>
      <c r="IM1387" s="120"/>
      <c r="IN1387" s="120"/>
      <c r="IO1387" s="120"/>
      <c r="IP1387" s="120"/>
      <c r="IQ1387" s="120"/>
      <c r="IR1387" s="120"/>
      <c r="IS1387" s="120"/>
      <c r="IT1387" s="120"/>
      <c r="IU1387" s="120"/>
      <c r="IV1387" s="120"/>
      <c r="IW1387" s="120"/>
      <c r="IX1387" s="120"/>
      <c r="IY1387" s="120"/>
      <c r="IZ1387" s="120"/>
      <c r="JA1387" s="120"/>
      <c r="JB1387" s="120"/>
      <c r="JC1387" s="120"/>
      <c r="JD1387" s="120"/>
      <c r="JE1387" s="120"/>
      <c r="JF1387" s="120"/>
      <c r="JG1387" s="120"/>
      <c r="JH1387" s="120"/>
      <c r="JI1387" s="120"/>
      <c r="JJ1387" s="120"/>
      <c r="JK1387" s="120"/>
      <c r="JL1387" s="120"/>
      <c r="JM1387" s="120"/>
      <c r="JN1387" s="120"/>
      <c r="JO1387" s="120"/>
      <c r="JP1387" s="120"/>
      <c r="JQ1387" s="120"/>
      <c r="JR1387" s="120"/>
      <c r="JS1387" s="120"/>
      <c r="JT1387" s="120"/>
      <c r="JU1387" s="120"/>
      <c r="JV1387" s="120"/>
      <c r="JW1387" s="120"/>
      <c r="JX1387" s="120"/>
      <c r="JY1387" s="120"/>
      <c r="JZ1387" s="120"/>
      <c r="KA1387" s="120"/>
      <c r="KB1387" s="120"/>
      <c r="KC1387" s="120"/>
      <c r="KD1387" s="120"/>
      <c r="KE1387" s="120"/>
      <c r="KF1387" s="120"/>
      <c r="KG1387" s="120"/>
      <c r="KH1387" s="120"/>
      <c r="KI1387" s="120"/>
      <c r="KJ1387" s="120"/>
      <c r="KK1387" s="120"/>
      <c r="KL1387" s="120"/>
      <c r="KM1387" s="120"/>
      <c r="KN1387" s="120"/>
      <c r="KO1387" s="120"/>
      <c r="KP1387" s="120"/>
      <c r="KQ1387" s="120"/>
      <c r="KR1387" s="120"/>
      <c r="KS1387" s="120"/>
      <c r="KT1387" s="120"/>
      <c r="KU1387" s="120"/>
      <c r="KV1387" s="120"/>
      <c r="KW1387" s="120"/>
      <c r="KX1387" s="120"/>
      <c r="KY1387" s="120"/>
      <c r="KZ1387" s="120"/>
      <c r="LA1387" s="120"/>
      <c r="LB1387" s="120"/>
      <c r="LC1387" s="120"/>
      <c r="LD1387" s="120"/>
      <c r="LE1387" s="120"/>
      <c r="LF1387" s="120"/>
      <c r="LG1387" s="120"/>
      <c r="LH1387" s="120"/>
      <c r="LI1387" s="120"/>
      <c r="LJ1387" s="120"/>
      <c r="LK1387" s="120"/>
      <c r="LL1387" s="120"/>
      <c r="LM1387" s="120"/>
      <c r="LN1387" s="120"/>
      <c r="LO1387" s="120"/>
      <c r="LP1387" s="120"/>
      <c r="LQ1387" s="120"/>
      <c r="LR1387" s="120"/>
      <c r="LS1387" s="120"/>
      <c r="LT1387" s="120"/>
      <c r="LU1387" s="120"/>
      <c r="LV1387" s="120"/>
      <c r="LW1387" s="120"/>
      <c r="LX1387" s="120"/>
      <c r="LY1387" s="120"/>
      <c r="LZ1387" s="120"/>
      <c r="MA1387" s="120"/>
      <c r="MB1387" s="120"/>
      <c r="MC1387" s="120"/>
      <c r="MD1387" s="120"/>
      <c r="ME1387" s="120"/>
      <c r="MF1387" s="120"/>
      <c r="MG1387" s="120"/>
      <c r="MH1387" s="120"/>
      <c r="MI1387" s="120"/>
      <c r="MJ1387" s="120"/>
      <c r="MK1387" s="120"/>
      <c r="ML1387" s="120"/>
      <c r="MM1387" s="120"/>
      <c r="MN1387" s="120"/>
      <c r="MO1387" s="120"/>
      <c r="MP1387" s="120"/>
      <c r="MQ1387" s="120"/>
      <c r="MR1387" s="120"/>
      <c r="MS1387" s="120"/>
      <c r="MT1387" s="120"/>
      <c r="MU1387" s="120"/>
      <c r="MV1387" s="120"/>
      <c r="MW1387" s="120"/>
      <c r="MX1387" s="120"/>
      <c r="MY1387" s="120"/>
      <c r="MZ1387" s="120"/>
      <c r="NA1387" s="120"/>
      <c r="NB1387" s="120"/>
      <c r="NC1387" s="120"/>
      <c r="ND1387" s="120"/>
      <c r="NE1387" s="120"/>
      <c r="NF1387" s="120"/>
      <c r="NG1387" s="120"/>
      <c r="NH1387" s="120"/>
      <c r="NI1387" s="120"/>
      <c r="NJ1387" s="120"/>
      <c r="NK1387" s="120"/>
      <c r="NL1387" s="120"/>
      <c r="NM1387" s="120"/>
      <c r="NN1387" s="120"/>
      <c r="NO1387" s="120"/>
      <c r="NP1387" s="120"/>
      <c r="NQ1387" s="120"/>
      <c r="NR1387" s="120"/>
      <c r="NS1387" s="120"/>
      <c r="NT1387" s="120"/>
      <c r="NU1387" s="120"/>
      <c r="NV1387" s="120"/>
      <c r="NW1387" s="120"/>
      <c r="NX1387" s="120"/>
      <c r="NY1387" s="120"/>
      <c r="NZ1387" s="120"/>
      <c r="OA1387" s="120"/>
      <c r="OB1387" s="120"/>
      <c r="OC1387" s="120"/>
      <c r="OD1387" s="120"/>
      <c r="OE1387" s="120"/>
      <c r="OF1387" s="120"/>
      <c r="OG1387" s="120"/>
      <c r="OH1387" s="120"/>
      <c r="OI1387" s="120"/>
      <c r="OJ1387" s="120"/>
      <c r="OK1387" s="120"/>
      <c r="OL1387" s="120"/>
      <c r="OM1387" s="120"/>
      <c r="ON1387" s="120"/>
      <c r="OO1387" s="120"/>
      <c r="OP1387" s="120"/>
      <c r="OQ1387" s="120"/>
      <c r="OR1387" s="120"/>
      <c r="OS1387" s="120"/>
      <c r="OT1387" s="120"/>
      <c r="OU1387" s="120"/>
      <c r="OV1387" s="120"/>
      <c r="OW1387" s="120"/>
      <c r="OX1387" s="120"/>
      <c r="OY1387" s="120"/>
      <c r="OZ1387" s="120"/>
      <c r="PA1387" s="120"/>
      <c r="PB1387" s="120"/>
      <c r="PC1387" s="120"/>
      <c r="PD1387" s="120"/>
      <c r="PE1387" s="120"/>
      <c r="PF1387" s="120"/>
      <c r="PG1387" s="120"/>
      <c r="PH1387" s="120"/>
      <c r="PI1387" s="120"/>
      <c r="PJ1387" s="120"/>
      <c r="PK1387" s="120"/>
      <c r="PL1387" s="120"/>
      <c r="PM1387" s="120"/>
      <c r="PN1387" s="120"/>
      <c r="PO1387" s="120"/>
      <c r="PP1387" s="120"/>
      <c r="PQ1387" s="120"/>
      <c r="PR1387" s="120"/>
      <c r="PS1387" s="120"/>
      <c r="PT1387" s="120"/>
      <c r="PU1387" s="120"/>
      <c r="PV1387" s="120"/>
      <c r="PW1387" s="120"/>
      <c r="PX1387" s="120"/>
      <c r="PY1387" s="120"/>
      <c r="PZ1387" s="120"/>
      <c r="QA1387" s="120"/>
      <c r="QB1387" s="120"/>
      <c r="QC1387" s="120"/>
      <c r="QD1387" s="120"/>
      <c r="QE1387" s="120"/>
      <c r="QF1387" s="120"/>
      <c r="QG1387" s="120"/>
      <c r="QH1387" s="120"/>
      <c r="QI1387" s="120"/>
      <c r="QJ1387" s="120"/>
      <c r="QK1387" s="120"/>
      <c r="QL1387" s="120"/>
      <c r="QM1387" s="120"/>
      <c r="QN1387" s="120"/>
      <c r="QO1387" s="120"/>
      <c r="QP1387" s="120"/>
      <c r="QQ1387" s="120"/>
      <c r="QR1387" s="120"/>
      <c r="QS1387" s="120"/>
      <c r="QT1387" s="120"/>
      <c r="QU1387" s="120"/>
      <c r="QV1387" s="120"/>
      <c r="QW1387" s="120"/>
      <c r="QX1387" s="120"/>
      <c r="QY1387" s="120"/>
      <c r="QZ1387" s="120"/>
      <c r="RA1387" s="120"/>
      <c r="RB1387" s="120"/>
      <c r="RC1387" s="120"/>
      <c r="RD1387" s="120"/>
      <c r="RE1387" s="120"/>
      <c r="RF1387" s="120"/>
      <c r="RG1387" s="120"/>
      <c r="RH1387" s="120"/>
      <c r="RI1387" s="120"/>
      <c r="RJ1387" s="120"/>
      <c r="RK1387" s="120"/>
      <c r="RL1387" s="120"/>
      <c r="RM1387" s="120"/>
      <c r="RN1387" s="120"/>
      <c r="RO1387" s="120"/>
      <c r="RP1387" s="120"/>
      <c r="RQ1387" s="120"/>
      <c r="RR1387" s="120"/>
      <c r="RS1387" s="120"/>
      <c r="RT1387" s="120"/>
      <c r="RU1387" s="120"/>
      <c r="RV1387" s="120"/>
      <c r="RW1387" s="120"/>
      <c r="RX1387" s="120"/>
      <c r="RY1387" s="120"/>
      <c r="RZ1387" s="120"/>
      <c r="SA1387" s="120"/>
      <c r="SB1387" s="120"/>
      <c r="SC1387" s="120"/>
      <c r="SD1387" s="120"/>
      <c r="SE1387" s="120"/>
      <c r="SF1387" s="120"/>
      <c r="SG1387" s="120"/>
      <c r="SH1387" s="120"/>
      <c r="SI1387" s="120"/>
      <c r="SJ1387" s="120"/>
      <c r="SK1387" s="120"/>
      <c r="SL1387" s="120"/>
      <c r="SM1387" s="120"/>
      <c r="SN1387" s="120"/>
      <c r="SO1387" s="120"/>
      <c r="SP1387" s="120"/>
      <c r="SQ1387" s="120"/>
      <c r="SR1387" s="120"/>
      <c r="SS1387" s="120"/>
      <c r="ST1387" s="120"/>
      <c r="SU1387" s="120"/>
      <c r="SV1387" s="120"/>
      <c r="SW1387" s="120"/>
      <c r="SX1387" s="120"/>
      <c r="SY1387" s="120"/>
      <c r="SZ1387" s="120"/>
      <c r="TA1387" s="120"/>
      <c r="TB1387" s="120"/>
      <c r="TC1387" s="120"/>
      <c r="TD1387" s="120"/>
      <c r="TE1387" s="120"/>
      <c r="TF1387" s="120"/>
      <c r="TG1387" s="120"/>
      <c r="TH1387" s="120"/>
      <c r="TI1387" s="120"/>
      <c r="TJ1387" s="120"/>
      <c r="TK1387" s="120"/>
      <c r="TL1387" s="120"/>
      <c r="TM1387" s="120"/>
      <c r="TN1387" s="120"/>
      <c r="TO1387" s="120"/>
      <c r="TP1387" s="120"/>
      <c r="TQ1387" s="120"/>
      <c r="TR1387" s="120"/>
      <c r="TS1387" s="120"/>
      <c r="TT1387" s="120"/>
      <c r="TU1387" s="120"/>
      <c r="TV1387" s="120"/>
      <c r="TW1387" s="120"/>
      <c r="TX1387" s="120"/>
      <c r="TY1387" s="120"/>
      <c r="TZ1387" s="120"/>
      <c r="UA1387" s="120"/>
      <c r="UB1387" s="120"/>
      <c r="UC1387" s="120"/>
      <c r="UD1387" s="120"/>
      <c r="UE1387" s="120"/>
      <c r="UF1387" s="120"/>
      <c r="UG1387" s="120"/>
      <c r="UH1387" s="120"/>
      <c r="UI1387" s="120"/>
      <c r="UJ1387" s="120"/>
      <c r="UK1387" s="120"/>
      <c r="UL1387" s="120"/>
      <c r="UM1387" s="120"/>
      <c r="UN1387" s="120"/>
      <c r="UO1387" s="120"/>
      <c r="UP1387" s="120"/>
      <c r="UQ1387" s="120"/>
      <c r="UR1387" s="120"/>
      <c r="US1387" s="120"/>
      <c r="UT1387" s="120"/>
      <c r="UU1387" s="120"/>
      <c r="UV1387" s="120"/>
      <c r="UW1387" s="120"/>
      <c r="UX1387" s="120"/>
      <c r="UY1387" s="120"/>
      <c r="UZ1387" s="120"/>
      <c r="VA1387" s="120"/>
      <c r="VB1387" s="120"/>
      <c r="VC1387" s="120"/>
      <c r="VD1387" s="120"/>
      <c r="VE1387" s="120"/>
      <c r="VF1387" s="120"/>
      <c r="VG1387" s="120"/>
      <c r="VH1387" s="120"/>
      <c r="VI1387" s="120"/>
      <c r="VJ1387" s="120"/>
      <c r="VK1387" s="120"/>
      <c r="VL1387" s="120"/>
      <c r="VM1387" s="120"/>
      <c r="VN1387" s="120"/>
      <c r="VO1387" s="120"/>
      <c r="VP1387" s="120"/>
      <c r="VQ1387" s="120"/>
      <c r="VR1387" s="120"/>
      <c r="VS1387" s="120"/>
      <c r="VT1387" s="120"/>
      <c r="VU1387" s="120"/>
      <c r="VV1387" s="120"/>
      <c r="VW1387" s="120"/>
      <c r="VX1387" s="120"/>
      <c r="VY1387" s="120"/>
      <c r="VZ1387" s="120"/>
      <c r="WA1387" s="120"/>
      <c r="WB1387" s="120"/>
      <c r="WC1387" s="120"/>
      <c r="WD1387" s="120"/>
      <c r="WE1387" s="120"/>
      <c r="WF1387" s="120"/>
      <c r="WG1387" s="120"/>
      <c r="WH1387" s="120"/>
      <c r="WI1387" s="120"/>
      <c r="WJ1387" s="120"/>
      <c r="WK1387" s="120"/>
      <c r="WL1387" s="120"/>
      <c r="WM1387" s="120"/>
      <c r="WN1387" s="120"/>
      <c r="WO1387" s="120"/>
      <c r="WP1387" s="120"/>
      <c r="WQ1387" s="120"/>
      <c r="WR1387" s="120"/>
      <c r="WS1387" s="120"/>
      <c r="WT1387" s="120"/>
      <c r="WU1387" s="120"/>
      <c r="WV1387" s="120"/>
      <c r="WW1387" s="120"/>
      <c r="WX1387" s="120"/>
      <c r="WY1387" s="120"/>
      <c r="WZ1387" s="120"/>
      <c r="XA1387" s="120"/>
      <c r="XB1387" s="120"/>
      <c r="XC1387" s="120"/>
      <c r="XD1387" s="120"/>
      <c r="XE1387" s="120"/>
      <c r="XF1387" s="120"/>
      <c r="XG1387" s="120"/>
      <c r="XH1387" s="120"/>
      <c r="XI1387" s="120"/>
      <c r="XJ1387" s="120"/>
      <c r="XK1387" s="120"/>
      <c r="XL1387" s="120"/>
      <c r="XM1387" s="120"/>
      <c r="XN1387" s="120"/>
      <c r="XO1387" s="120"/>
      <c r="XP1387" s="120"/>
      <c r="XQ1387" s="120"/>
      <c r="XR1387" s="120"/>
      <c r="XS1387" s="120"/>
      <c r="XT1387" s="120"/>
      <c r="XU1387" s="120"/>
      <c r="XV1387" s="120"/>
      <c r="XW1387" s="120"/>
      <c r="XX1387" s="120"/>
      <c r="XY1387" s="120"/>
      <c r="XZ1387" s="120"/>
      <c r="YA1387" s="120"/>
      <c r="YB1387" s="120"/>
      <c r="YC1387" s="120"/>
      <c r="YD1387" s="120"/>
      <c r="YE1387" s="120"/>
      <c r="YF1387" s="120"/>
      <c r="YG1387" s="120"/>
      <c r="YH1387" s="120"/>
      <c r="YI1387" s="120"/>
      <c r="YJ1387" s="120"/>
      <c r="YK1387" s="120"/>
      <c r="YL1387" s="120"/>
      <c r="YM1387" s="120"/>
      <c r="YN1387" s="120"/>
      <c r="YO1387" s="120"/>
      <c r="YP1387" s="120"/>
      <c r="YQ1387" s="120"/>
      <c r="YR1387" s="120"/>
      <c r="YS1387" s="120"/>
      <c r="YT1387" s="120"/>
      <c r="YU1387" s="120"/>
      <c r="YV1387" s="120"/>
      <c r="YW1387" s="120"/>
      <c r="YX1387" s="120"/>
      <c r="YY1387" s="120"/>
      <c r="YZ1387" s="120"/>
      <c r="ZA1387" s="120"/>
      <c r="ZB1387" s="120"/>
      <c r="ZC1387" s="120"/>
      <c r="ZD1387" s="120"/>
      <c r="ZE1387" s="120"/>
      <c r="ZF1387" s="120"/>
      <c r="ZG1387" s="120"/>
      <c r="ZH1387" s="120"/>
      <c r="ZI1387" s="120"/>
      <c r="ZJ1387" s="120"/>
      <c r="ZK1387" s="120"/>
      <c r="ZL1387" s="120"/>
      <c r="ZM1387" s="120"/>
      <c r="ZN1387" s="120"/>
      <c r="ZO1387" s="120"/>
      <c r="ZP1387" s="120"/>
      <c r="ZQ1387" s="120"/>
      <c r="ZR1387" s="120"/>
      <c r="ZS1387" s="120"/>
      <c r="ZT1387" s="120"/>
      <c r="ZU1387" s="120"/>
      <c r="ZV1387" s="120"/>
      <c r="ZW1387" s="120"/>
      <c r="ZX1387" s="120"/>
      <c r="ZY1387" s="120"/>
      <c r="ZZ1387" s="120"/>
      <c r="AAA1387" s="120"/>
      <c r="AAB1387" s="120"/>
      <c r="AAC1387" s="120"/>
      <c r="AAD1387" s="120"/>
      <c r="AAE1387" s="120"/>
      <c r="AAF1387" s="120"/>
      <c r="AAG1387" s="120"/>
      <c r="AAH1387" s="120"/>
      <c r="AAI1387" s="120"/>
      <c r="AAJ1387" s="120"/>
      <c r="AAK1387" s="120"/>
      <c r="AAL1387" s="120"/>
      <c r="AAM1387" s="120"/>
      <c r="AAN1387" s="120"/>
      <c r="AAO1387" s="120"/>
      <c r="AAP1387" s="120"/>
      <c r="AAQ1387" s="120"/>
      <c r="AAR1387" s="120"/>
      <c r="AAS1387" s="120"/>
      <c r="AAT1387" s="120"/>
      <c r="AAU1387" s="120"/>
      <c r="AAV1387" s="120"/>
      <c r="AAW1387" s="120"/>
      <c r="AAX1387" s="120"/>
      <c r="AAY1387" s="120"/>
      <c r="AAZ1387" s="120"/>
      <c r="ABA1387" s="120"/>
      <c r="ABB1387" s="120"/>
      <c r="ABC1387" s="120"/>
      <c r="ABD1387" s="120"/>
      <c r="ABE1387" s="120"/>
      <c r="ABF1387" s="120"/>
      <c r="ABG1387" s="120"/>
      <c r="ABH1387" s="120"/>
      <c r="ABI1387" s="120"/>
      <c r="ABJ1387" s="120"/>
      <c r="ABK1387" s="120"/>
      <c r="ABL1387" s="120"/>
      <c r="ABM1387" s="120"/>
      <c r="ABN1387" s="120"/>
      <c r="ABO1387" s="120"/>
      <c r="ABP1387" s="120"/>
      <c r="ABQ1387" s="120"/>
      <c r="ABR1387" s="120"/>
      <c r="ABS1387" s="120"/>
      <c r="ABT1387" s="120"/>
      <c r="ABU1387" s="120"/>
      <c r="ABV1387" s="120"/>
      <c r="ABW1387" s="120"/>
      <c r="ABX1387" s="120"/>
      <c r="ABY1387" s="120"/>
      <c r="ABZ1387" s="120"/>
      <c r="ACA1387" s="120"/>
      <c r="ACB1387" s="120"/>
      <c r="ACC1387" s="120"/>
      <c r="ACD1387" s="120"/>
      <c r="ACE1387" s="120"/>
      <c r="ACF1387" s="120"/>
      <c r="ACG1387" s="120"/>
      <c r="ACH1387" s="120"/>
      <c r="ACI1387" s="120"/>
      <c r="ACJ1387" s="120"/>
      <c r="ACK1387" s="120"/>
      <c r="ACL1387" s="120"/>
      <c r="ACM1387" s="120"/>
      <c r="ACN1387" s="120"/>
      <c r="ACO1387" s="120"/>
      <c r="ACP1387" s="120"/>
      <c r="ACQ1387" s="120"/>
      <c r="ACR1387" s="120"/>
      <c r="ACS1387" s="120"/>
      <c r="ACT1387" s="120"/>
      <c r="ACU1387" s="120"/>
      <c r="ACV1387" s="120"/>
      <c r="ACW1387" s="120"/>
      <c r="ACX1387" s="120"/>
      <c r="ACY1387" s="120"/>
      <c r="ACZ1387" s="120"/>
      <c r="ADA1387" s="120"/>
      <c r="ADB1387" s="120"/>
      <c r="ADC1387" s="120"/>
      <c r="ADD1387" s="120"/>
      <c r="ADE1387" s="120"/>
      <c r="ADF1387" s="120"/>
      <c r="ADG1387" s="120"/>
      <c r="ADH1387" s="120"/>
      <c r="ADI1387" s="120"/>
      <c r="ADJ1387" s="120"/>
      <c r="ADK1387" s="120"/>
      <c r="ADL1387" s="120"/>
      <c r="ADM1387" s="120"/>
      <c r="ADN1387" s="120"/>
      <c r="ADO1387" s="120"/>
      <c r="ADP1387" s="120"/>
      <c r="ADQ1387" s="120"/>
      <c r="ADR1387" s="120"/>
      <c r="ADS1387" s="120"/>
      <c r="ADT1387" s="120"/>
      <c r="ADU1387" s="120"/>
      <c r="ADV1387" s="120"/>
      <c r="ADW1387" s="120"/>
      <c r="ADX1387" s="120"/>
      <c r="ADY1387" s="120"/>
      <c r="ADZ1387" s="120"/>
      <c r="AEA1387" s="120"/>
      <c r="AEB1387" s="120"/>
      <c r="AEC1387" s="120"/>
      <c r="AED1387" s="120"/>
      <c r="AEE1387" s="120"/>
      <c r="AEF1387" s="120"/>
      <c r="AEG1387" s="120"/>
      <c r="AEH1387" s="120"/>
      <c r="AEI1387" s="120"/>
      <c r="AEJ1387" s="120"/>
      <c r="AEK1387" s="120"/>
      <c r="AEL1387" s="120"/>
      <c r="AEM1387" s="120"/>
      <c r="AEN1387" s="120"/>
      <c r="AEO1387" s="120"/>
      <c r="AEP1387" s="120"/>
      <c r="AEQ1387" s="120"/>
      <c r="AER1387" s="120"/>
      <c r="AES1387" s="120"/>
      <c r="AET1387" s="120"/>
      <c r="AEU1387" s="120"/>
      <c r="AEV1387" s="120"/>
      <c r="AEW1387" s="120"/>
      <c r="AEX1387" s="120"/>
      <c r="AEY1387" s="120"/>
      <c r="AEZ1387" s="120"/>
      <c r="AFA1387" s="120"/>
      <c r="AFB1387" s="120"/>
      <c r="AFC1387" s="120"/>
      <c r="AFD1387" s="120"/>
      <c r="AFE1387" s="120"/>
      <c r="AFF1387" s="120"/>
      <c r="AFG1387" s="120"/>
      <c r="AFH1387" s="120"/>
      <c r="AFI1387" s="120"/>
      <c r="AFJ1387" s="120"/>
      <c r="AFK1387" s="120"/>
      <c r="AFL1387" s="120"/>
      <c r="AFM1387" s="120"/>
      <c r="AFN1387" s="120"/>
      <c r="AFO1387" s="120"/>
      <c r="AFP1387" s="120"/>
      <c r="AFQ1387" s="120"/>
      <c r="AFR1387" s="120"/>
      <c r="AFS1387" s="120"/>
      <c r="AFT1387" s="120"/>
      <c r="AFU1387" s="120"/>
      <c r="AFV1387" s="120"/>
      <c r="AFW1387" s="120"/>
      <c r="AFX1387" s="120"/>
      <c r="AFY1387" s="120"/>
      <c r="AFZ1387" s="120"/>
      <c r="AGA1387" s="120"/>
      <c r="AGB1387" s="120"/>
      <c r="AGC1387" s="120"/>
      <c r="AGD1387" s="120"/>
      <c r="AGE1387" s="120"/>
      <c r="AGF1387" s="120"/>
      <c r="AGG1387" s="120"/>
      <c r="AGH1387" s="120"/>
      <c r="AGI1387" s="120"/>
      <c r="AGJ1387" s="120"/>
      <c r="AGK1387" s="120"/>
      <c r="AGL1387" s="120"/>
      <c r="AGM1387" s="120"/>
      <c r="AGN1387" s="120"/>
      <c r="AGO1387" s="120"/>
      <c r="AGP1387" s="120"/>
      <c r="AGQ1387" s="120"/>
      <c r="AGR1387" s="120"/>
      <c r="AGS1387" s="120"/>
      <c r="AGT1387" s="120"/>
      <c r="AGU1387" s="120"/>
      <c r="AGV1387" s="120"/>
      <c r="AGW1387" s="120"/>
      <c r="AGX1387" s="120"/>
      <c r="AGY1387" s="120"/>
      <c r="AGZ1387" s="120"/>
      <c r="AHA1387" s="120"/>
      <c r="AHB1387" s="120"/>
      <c r="AHC1387" s="120"/>
      <c r="AHD1387" s="120"/>
      <c r="AHE1387" s="120"/>
      <c r="AHF1387" s="120"/>
      <c r="AHG1387" s="120"/>
      <c r="AHH1387" s="120"/>
      <c r="AHI1387" s="120"/>
      <c r="AHJ1387" s="120"/>
      <c r="AHK1387" s="120"/>
      <c r="AHL1387" s="120"/>
      <c r="AHM1387" s="120"/>
      <c r="AHN1387" s="120"/>
      <c r="AHO1387" s="120"/>
      <c r="AHP1387" s="120"/>
      <c r="AHQ1387" s="120"/>
      <c r="AHR1387" s="120"/>
      <c r="AHS1387" s="120"/>
      <c r="AHT1387" s="120"/>
      <c r="AHU1387" s="120"/>
      <c r="AHV1387" s="120"/>
      <c r="AHW1387" s="120"/>
      <c r="AHX1387" s="120"/>
      <c r="AHY1387" s="120"/>
      <c r="AHZ1387" s="120"/>
      <c r="AIA1387" s="120"/>
      <c r="AIB1387" s="120"/>
      <c r="AIC1387" s="120"/>
      <c r="AID1387" s="120"/>
      <c r="AIE1387" s="120"/>
      <c r="AIF1387" s="120"/>
      <c r="AIG1387" s="120"/>
      <c r="AIH1387" s="120"/>
      <c r="AII1387" s="120"/>
      <c r="AIJ1387" s="120"/>
      <c r="AIK1387" s="120"/>
      <c r="AIL1387" s="120"/>
      <c r="AIM1387" s="120"/>
      <c r="AIN1387" s="120"/>
      <c r="AIO1387" s="120"/>
      <c r="AIP1387" s="120"/>
      <c r="AIQ1387" s="120"/>
      <c r="AIR1387" s="120"/>
      <c r="AIS1387" s="120"/>
      <c r="AIT1387" s="120"/>
      <c r="AIU1387" s="120"/>
      <c r="AIV1387" s="120"/>
      <c r="AIW1387" s="120"/>
      <c r="AIX1387" s="120"/>
      <c r="AIY1387" s="120"/>
      <c r="AIZ1387" s="120"/>
      <c r="AJA1387" s="120"/>
      <c r="AJB1387" s="120"/>
      <c r="AJC1387" s="120"/>
      <c r="AJD1387" s="120"/>
      <c r="AJE1387" s="120"/>
      <c r="AJF1387" s="120"/>
      <c r="AJG1387" s="120"/>
      <c r="AJH1387" s="120"/>
      <c r="AJI1387" s="120"/>
      <c r="AJJ1387" s="120"/>
      <c r="AJK1387" s="120"/>
      <c r="AJL1387" s="120"/>
      <c r="AJM1387" s="120"/>
      <c r="AJN1387" s="120"/>
      <c r="AJO1387" s="120"/>
      <c r="AJP1387" s="120"/>
      <c r="AJQ1387" s="120"/>
      <c r="AJR1387" s="120"/>
      <c r="AJS1387" s="120"/>
      <c r="AJT1387" s="120"/>
      <c r="AJU1387" s="120"/>
      <c r="AJV1387" s="120"/>
      <c r="AJW1387" s="120"/>
      <c r="AJX1387" s="120"/>
      <c r="AJY1387" s="120"/>
      <c r="AJZ1387" s="120"/>
      <c r="AKA1387" s="120"/>
      <c r="AKB1387" s="120"/>
      <c r="AKC1387" s="120"/>
      <c r="AKD1387" s="120"/>
      <c r="AKE1387" s="120"/>
      <c r="AKF1387" s="120"/>
      <c r="AKG1387" s="120"/>
      <c r="AKH1387" s="120"/>
      <c r="AKI1387" s="120"/>
      <c r="AKJ1387" s="120"/>
      <c r="AKK1387" s="120"/>
      <c r="AKL1387" s="120"/>
      <c r="AKM1387" s="120"/>
      <c r="AKN1387" s="120"/>
      <c r="AKO1387" s="120"/>
      <c r="AKP1387" s="120"/>
      <c r="AKQ1387" s="120"/>
      <c r="AKR1387" s="120"/>
      <c r="AKS1387" s="120"/>
      <c r="AKT1387" s="120"/>
      <c r="AKU1387" s="120"/>
      <c r="AKV1387" s="120"/>
      <c r="AKW1387" s="120"/>
      <c r="AKX1387" s="120"/>
      <c r="AKY1387" s="120"/>
      <c r="AKZ1387" s="120"/>
      <c r="ALA1387" s="120"/>
      <c r="ALB1387" s="120"/>
      <c r="ALC1387" s="120"/>
      <c r="ALD1387" s="120"/>
      <c r="ALE1387" s="120"/>
      <c r="ALF1387" s="120"/>
      <c r="ALG1387" s="120"/>
      <c r="ALH1387" s="120"/>
      <c r="ALI1387" s="120"/>
      <c r="ALJ1387" s="120"/>
      <c r="ALK1387" s="120"/>
      <c r="ALL1387" s="120"/>
      <c r="ALM1387" s="120"/>
      <c r="ALN1387" s="120"/>
      <c r="ALO1387" s="120"/>
      <c r="ALP1387" s="120"/>
      <c r="ALQ1387" s="120"/>
      <c r="ALR1387" s="120"/>
      <c r="ALS1387" s="120"/>
      <c r="ALT1387" s="120"/>
      <c r="ALU1387" s="120"/>
      <c r="ALV1387" s="120"/>
      <c r="ALW1387" s="120"/>
      <c r="ALX1387" s="120"/>
      <c r="ALY1387" s="120"/>
      <c r="ALZ1387" s="120"/>
      <c r="AMA1387" s="120"/>
      <c r="AMB1387" s="120"/>
      <c r="AMC1387" s="120"/>
      <c r="AMD1387" s="120"/>
      <c r="AME1387" s="120"/>
      <c r="AMF1387" s="120"/>
      <c r="AMG1387" s="120"/>
      <c r="AMH1387" s="120"/>
      <c r="AMI1387" s="120"/>
      <c r="AMJ1387" s="120"/>
      <c r="AMK1387" s="120"/>
      <c r="AML1387" s="120"/>
      <c r="AMM1387" s="120"/>
      <c r="AMN1387" s="120"/>
      <c r="AMO1387" s="120"/>
      <c r="AMP1387" s="120"/>
      <c r="AMQ1387" s="120"/>
      <c r="AMR1387" s="120"/>
      <c r="AMS1387" s="120"/>
      <c r="AMT1387" s="120"/>
      <c r="AMU1387" s="120"/>
      <c r="AMV1387" s="120"/>
      <c r="AMW1387" s="120"/>
      <c r="AMX1387" s="120"/>
      <c r="AMY1387" s="120"/>
      <c r="AMZ1387" s="120"/>
      <c r="ANA1387" s="120"/>
      <c r="ANB1387" s="120"/>
      <c r="ANC1387" s="120"/>
      <c r="AND1387" s="120"/>
      <c r="ANE1387" s="120"/>
      <c r="ANF1387" s="120"/>
      <c r="ANG1387" s="120"/>
      <c r="ANH1387" s="120"/>
      <c r="ANI1387" s="120"/>
      <c r="ANJ1387" s="120"/>
      <c r="ANK1387" s="120"/>
      <c r="ANL1387" s="120"/>
      <c r="ANM1387" s="120"/>
      <c r="ANN1387" s="120"/>
      <c r="ANO1387" s="120"/>
      <c r="ANP1387" s="120"/>
      <c r="ANQ1387" s="120"/>
      <c r="ANR1387" s="120"/>
      <c r="ANS1387" s="120"/>
      <c r="ANT1387" s="120"/>
      <c r="ANU1387" s="120"/>
      <c r="ANV1387" s="120"/>
      <c r="ANW1387" s="120"/>
      <c r="ANX1387" s="120"/>
      <c r="ANY1387" s="120"/>
      <c r="ANZ1387" s="120"/>
      <c r="AOA1387" s="120"/>
      <c r="AOB1387" s="120"/>
      <c r="AOC1387" s="120"/>
      <c r="AOD1387" s="120"/>
      <c r="AOE1387" s="120"/>
      <c r="AOF1387" s="120"/>
      <c r="AOG1387" s="120"/>
      <c r="AOH1387" s="120"/>
      <c r="AOI1387" s="120"/>
      <c r="AOJ1387" s="120"/>
      <c r="AOK1387" s="120"/>
      <c r="AOL1387" s="120"/>
      <c r="AOM1387" s="120"/>
      <c r="AON1387" s="120"/>
      <c r="AOO1387" s="120"/>
      <c r="AOP1387" s="120"/>
      <c r="AOQ1387" s="120"/>
      <c r="AOR1387" s="120"/>
      <c r="AOS1387" s="120"/>
      <c r="AOT1387" s="120"/>
      <c r="AOU1387" s="120"/>
      <c r="AOV1387" s="120"/>
      <c r="AOW1387" s="120"/>
      <c r="AOX1387" s="120"/>
      <c r="AOY1387" s="120"/>
      <c r="AOZ1387" s="120"/>
      <c r="APA1387" s="120"/>
      <c r="APB1387" s="120"/>
      <c r="APC1387" s="120"/>
      <c r="APD1387" s="120"/>
      <c r="APE1387" s="120"/>
      <c r="APF1387" s="120"/>
      <c r="APG1387" s="120"/>
      <c r="APH1387" s="120"/>
      <c r="API1387" s="120"/>
      <c r="APJ1387" s="120"/>
      <c r="APK1387" s="120"/>
      <c r="APL1387" s="120"/>
      <c r="APM1387" s="120"/>
      <c r="APN1387" s="120"/>
      <c r="APO1387" s="120"/>
      <c r="APP1387" s="120"/>
      <c r="APQ1387" s="120"/>
      <c r="APR1387" s="120"/>
      <c r="APS1387" s="120"/>
      <c r="APT1387" s="120"/>
      <c r="APU1387" s="120"/>
      <c r="APV1387" s="120"/>
      <c r="APW1387" s="120"/>
      <c r="APX1387" s="120"/>
      <c r="APY1387" s="120"/>
      <c r="APZ1387" s="120"/>
      <c r="AQA1387" s="120"/>
      <c r="AQB1387" s="120"/>
      <c r="AQC1387" s="120"/>
      <c r="AQD1387" s="120"/>
      <c r="AQE1387" s="120"/>
      <c r="AQF1387" s="120"/>
      <c r="AQG1387" s="120"/>
      <c r="AQH1387" s="120"/>
      <c r="AQI1387" s="120"/>
      <c r="AQJ1387" s="120"/>
      <c r="AQK1387" s="120"/>
      <c r="AQL1387" s="120"/>
      <c r="AQM1387" s="120"/>
      <c r="AQN1387" s="120"/>
      <c r="AQO1387" s="120"/>
      <c r="AQP1387" s="120"/>
      <c r="AQQ1387" s="120"/>
      <c r="AQR1387" s="120"/>
      <c r="AQS1387" s="120"/>
      <c r="AQT1387" s="120"/>
      <c r="AQU1387" s="120"/>
      <c r="AQV1387" s="120"/>
      <c r="AQW1387" s="120"/>
      <c r="AQX1387" s="120"/>
      <c r="AQY1387" s="120"/>
      <c r="AQZ1387" s="120"/>
      <c r="ARA1387" s="120"/>
      <c r="ARB1387" s="120"/>
      <c r="ARC1387" s="120"/>
      <c r="ARD1387" s="120"/>
      <c r="ARE1387" s="120"/>
      <c r="ARF1387" s="120"/>
      <c r="ARG1387" s="120"/>
      <c r="ARH1387" s="120"/>
      <c r="ARI1387" s="120"/>
      <c r="ARJ1387" s="120"/>
      <c r="ARK1387" s="120"/>
      <c r="ARL1387" s="120"/>
      <c r="ARM1387" s="120"/>
      <c r="ARN1387" s="120"/>
      <c r="ARO1387" s="120"/>
      <c r="ARP1387" s="120"/>
      <c r="ARQ1387" s="120"/>
      <c r="ARR1387" s="120"/>
      <c r="ARS1387" s="120"/>
      <c r="ART1387" s="120"/>
      <c r="ARU1387" s="120"/>
      <c r="ARV1387" s="120"/>
      <c r="ARW1387" s="120"/>
      <c r="ARX1387" s="120"/>
      <c r="ARY1387" s="120"/>
      <c r="ARZ1387" s="120"/>
      <c r="ASA1387" s="120"/>
      <c r="ASB1387" s="120"/>
      <c r="ASC1387" s="120"/>
      <c r="ASD1387" s="120"/>
      <c r="ASE1387" s="120"/>
      <c r="ASF1387" s="120"/>
      <c r="ASG1387" s="120"/>
      <c r="ASH1387" s="120"/>
      <c r="ASI1387" s="120"/>
      <c r="ASJ1387" s="120"/>
      <c r="ASK1387" s="120"/>
      <c r="ASL1387" s="120"/>
      <c r="ASM1387" s="120"/>
      <c r="ASN1387" s="120"/>
      <c r="ASO1387" s="120"/>
      <c r="ASP1387" s="120"/>
      <c r="ASQ1387" s="120"/>
      <c r="ASR1387" s="120"/>
      <c r="ASS1387" s="120"/>
      <c r="AST1387" s="120"/>
      <c r="ASU1387" s="120"/>
      <c r="ASV1387" s="120"/>
      <c r="ASW1387" s="120"/>
      <c r="ASX1387" s="120"/>
      <c r="ASY1387" s="120"/>
      <c r="ASZ1387" s="120"/>
      <c r="ATA1387" s="120"/>
      <c r="ATB1387" s="120"/>
      <c r="ATC1387" s="120"/>
      <c r="ATD1387" s="120"/>
      <c r="ATE1387" s="120"/>
      <c r="ATF1387" s="120"/>
      <c r="ATG1387" s="120"/>
      <c r="ATH1387" s="120"/>
      <c r="ATI1387" s="120"/>
      <c r="ATJ1387" s="120"/>
      <c r="ATK1387" s="120"/>
      <c r="ATL1387" s="120"/>
      <c r="ATM1387" s="120"/>
      <c r="ATN1387" s="120"/>
      <c r="ATO1387" s="120"/>
    </row>
    <row r="1388" spans="1:1211" s="20" customFormat="1" ht="14.1" customHeight="1">
      <c r="A1388" s="112"/>
      <c r="B1388" s="945" t="s">
        <v>3782</v>
      </c>
      <c r="C1388" s="184" t="s">
        <v>6148</v>
      </c>
      <c r="D1388" s="120"/>
      <c r="E1388" s="701"/>
      <c r="F1388" s="703"/>
      <c r="G1388" s="702"/>
      <c r="H1388" s="702"/>
      <c r="I1388" s="702"/>
      <c r="J1388" s="700"/>
      <c r="K1388" s="112"/>
      <c r="L1388" s="363"/>
      <c r="M1388" s="112"/>
      <c r="N1388" s="362"/>
      <c r="O1388" s="573"/>
      <c r="P1388" s="120"/>
      <c r="Q1388" s="120"/>
      <c r="R1388" s="120"/>
      <c r="S1388" s="120"/>
      <c r="T1388" s="120"/>
      <c r="U1388" s="120"/>
      <c r="V1388" s="120"/>
      <c r="W1388" s="120"/>
      <c r="X1388" s="120"/>
      <c r="Y1388" s="120"/>
      <c r="Z1388" s="120"/>
      <c r="AA1388" s="120"/>
      <c r="AB1388" s="120"/>
      <c r="AC1388" s="120"/>
      <c r="AD1388" s="120"/>
      <c r="AE1388" s="120"/>
      <c r="AF1388" s="120"/>
      <c r="AG1388" s="120"/>
      <c r="AH1388" s="120"/>
      <c r="AI1388" s="120"/>
      <c r="AJ1388" s="120"/>
      <c r="AK1388" s="120"/>
      <c r="AL1388" s="120"/>
      <c r="AM1388" s="120"/>
      <c r="AN1388" s="120"/>
      <c r="AO1388" s="120"/>
      <c r="AP1388" s="120"/>
      <c r="AQ1388" s="120"/>
      <c r="AR1388" s="120"/>
      <c r="AS1388" s="120"/>
      <c r="AT1388" s="120"/>
      <c r="AU1388" s="120"/>
      <c r="AV1388" s="120"/>
      <c r="AW1388" s="120"/>
      <c r="AX1388" s="120"/>
      <c r="AY1388" s="120"/>
      <c r="AZ1388" s="120"/>
      <c r="BA1388" s="120"/>
      <c r="BB1388" s="120"/>
      <c r="BC1388" s="120"/>
      <c r="BD1388" s="120"/>
      <c r="BE1388" s="120"/>
      <c r="BF1388" s="120"/>
      <c r="BG1388" s="120"/>
      <c r="BH1388" s="120"/>
      <c r="BI1388" s="120"/>
      <c r="BJ1388" s="120"/>
      <c r="BK1388" s="120"/>
      <c r="BL1388" s="120"/>
      <c r="BM1388" s="120"/>
      <c r="BN1388" s="120"/>
      <c r="BO1388" s="120"/>
      <c r="BP1388" s="120"/>
      <c r="BQ1388" s="120"/>
      <c r="BR1388" s="120"/>
      <c r="BS1388" s="120"/>
      <c r="BT1388" s="120"/>
      <c r="BU1388" s="120"/>
      <c r="BV1388" s="120"/>
      <c r="BW1388" s="120"/>
      <c r="BX1388" s="120"/>
      <c r="BY1388" s="120"/>
      <c r="BZ1388" s="120"/>
      <c r="CA1388" s="120"/>
      <c r="CB1388" s="120"/>
      <c r="CC1388" s="120"/>
      <c r="CD1388" s="120"/>
      <c r="CE1388" s="120"/>
      <c r="CF1388" s="120"/>
      <c r="CG1388" s="120"/>
      <c r="CH1388" s="120"/>
      <c r="CI1388" s="120"/>
      <c r="CJ1388" s="120"/>
      <c r="CK1388" s="120"/>
      <c r="CL1388" s="120"/>
      <c r="CM1388" s="120"/>
      <c r="CN1388" s="120"/>
      <c r="CO1388" s="120"/>
      <c r="CP1388" s="120"/>
      <c r="CQ1388" s="120"/>
      <c r="CR1388" s="120"/>
      <c r="CS1388" s="120"/>
      <c r="CT1388" s="120"/>
      <c r="CU1388" s="120"/>
      <c r="CV1388" s="120"/>
      <c r="CW1388" s="120"/>
      <c r="CX1388" s="120"/>
      <c r="CY1388" s="120"/>
      <c r="CZ1388" s="120"/>
      <c r="DA1388" s="120"/>
      <c r="DB1388" s="120"/>
      <c r="DC1388" s="120"/>
      <c r="DD1388" s="120"/>
      <c r="DE1388" s="120"/>
      <c r="DF1388" s="120"/>
      <c r="DG1388" s="120"/>
      <c r="DH1388" s="120"/>
      <c r="DI1388" s="120"/>
      <c r="DJ1388" s="120"/>
      <c r="DK1388" s="120"/>
      <c r="DL1388" s="120"/>
      <c r="DM1388" s="120"/>
      <c r="DN1388" s="120"/>
      <c r="DO1388" s="120"/>
      <c r="DP1388" s="120"/>
      <c r="DQ1388" s="120"/>
      <c r="DR1388" s="120"/>
      <c r="DS1388" s="120"/>
      <c r="DT1388" s="120"/>
      <c r="DU1388" s="120"/>
      <c r="DV1388" s="120"/>
      <c r="DW1388" s="120"/>
      <c r="DX1388" s="120"/>
      <c r="DY1388" s="120"/>
      <c r="DZ1388" s="120"/>
      <c r="EA1388" s="120"/>
      <c r="EB1388" s="120"/>
      <c r="EC1388" s="120"/>
      <c r="ED1388" s="120"/>
      <c r="EE1388" s="120"/>
      <c r="EF1388" s="120"/>
      <c r="EG1388" s="120"/>
      <c r="EH1388" s="120"/>
      <c r="EI1388" s="120"/>
      <c r="EJ1388" s="120"/>
      <c r="EK1388" s="120"/>
      <c r="EL1388" s="120"/>
      <c r="EM1388" s="120"/>
      <c r="EN1388" s="120"/>
      <c r="EO1388" s="120"/>
      <c r="EP1388" s="120"/>
      <c r="EQ1388" s="120"/>
      <c r="ER1388" s="120"/>
      <c r="ES1388" s="120"/>
      <c r="ET1388" s="120"/>
      <c r="EU1388" s="120"/>
      <c r="EV1388" s="120"/>
      <c r="EW1388" s="120"/>
      <c r="EX1388" s="120"/>
      <c r="EY1388" s="120"/>
      <c r="EZ1388" s="120"/>
      <c r="FA1388" s="120"/>
      <c r="FB1388" s="120"/>
      <c r="FC1388" s="120"/>
      <c r="FD1388" s="120"/>
      <c r="FE1388" s="120"/>
      <c r="FF1388" s="120"/>
      <c r="FG1388" s="120"/>
      <c r="FH1388" s="120"/>
      <c r="FI1388" s="120"/>
      <c r="FJ1388" s="120"/>
      <c r="FK1388" s="120"/>
      <c r="FL1388" s="120"/>
      <c r="FM1388" s="120"/>
      <c r="FN1388" s="120"/>
      <c r="FO1388" s="120"/>
      <c r="FP1388" s="120"/>
      <c r="FQ1388" s="120"/>
      <c r="FR1388" s="120"/>
      <c r="FS1388" s="120"/>
      <c r="FT1388" s="120"/>
      <c r="FU1388" s="120"/>
      <c r="FV1388" s="120"/>
      <c r="FW1388" s="120"/>
      <c r="FX1388" s="120"/>
      <c r="FY1388" s="120"/>
      <c r="FZ1388" s="120"/>
      <c r="GA1388" s="120"/>
      <c r="GB1388" s="120"/>
      <c r="GC1388" s="120"/>
      <c r="GD1388" s="120"/>
      <c r="GE1388" s="120"/>
      <c r="GF1388" s="120"/>
      <c r="GG1388" s="120"/>
      <c r="GH1388" s="120"/>
      <c r="GI1388" s="120"/>
      <c r="GJ1388" s="120"/>
      <c r="GK1388" s="120"/>
      <c r="GL1388" s="120"/>
      <c r="GM1388" s="120"/>
      <c r="GN1388" s="120"/>
      <c r="GO1388" s="120"/>
      <c r="GP1388" s="120"/>
      <c r="GQ1388" s="120"/>
      <c r="GR1388" s="120"/>
      <c r="GS1388" s="120"/>
      <c r="GT1388" s="120"/>
      <c r="GU1388" s="120"/>
      <c r="GV1388" s="120"/>
      <c r="GW1388" s="120"/>
      <c r="GX1388" s="120"/>
      <c r="GY1388" s="120"/>
      <c r="GZ1388" s="120"/>
      <c r="HA1388" s="120"/>
      <c r="HB1388" s="120"/>
      <c r="HC1388" s="120"/>
      <c r="HD1388" s="120"/>
      <c r="HE1388" s="120"/>
      <c r="HF1388" s="120"/>
      <c r="HG1388" s="120"/>
      <c r="HH1388" s="120"/>
      <c r="HI1388" s="120"/>
      <c r="HJ1388" s="120"/>
      <c r="HK1388" s="120"/>
      <c r="HL1388" s="120"/>
      <c r="HM1388" s="120"/>
      <c r="HN1388" s="120"/>
      <c r="HO1388" s="120"/>
      <c r="HP1388" s="120"/>
      <c r="HQ1388" s="120"/>
      <c r="HR1388" s="120"/>
      <c r="HS1388" s="120"/>
      <c r="HT1388" s="120"/>
      <c r="HU1388" s="120"/>
      <c r="HV1388" s="120"/>
      <c r="HW1388" s="120"/>
      <c r="HX1388" s="120"/>
      <c r="HY1388" s="120"/>
      <c r="HZ1388" s="120"/>
      <c r="IA1388" s="120"/>
      <c r="IB1388" s="120"/>
      <c r="IC1388" s="120"/>
      <c r="ID1388" s="120"/>
      <c r="IE1388" s="120"/>
      <c r="IF1388" s="120"/>
      <c r="IG1388" s="120"/>
      <c r="IH1388" s="120"/>
      <c r="II1388" s="120"/>
      <c r="IJ1388" s="120"/>
      <c r="IK1388" s="120"/>
      <c r="IL1388" s="120"/>
      <c r="IM1388" s="120"/>
      <c r="IN1388" s="120"/>
      <c r="IO1388" s="120"/>
      <c r="IP1388" s="120"/>
      <c r="IQ1388" s="120"/>
      <c r="IR1388" s="120"/>
      <c r="IS1388" s="120"/>
      <c r="IT1388" s="120"/>
      <c r="IU1388" s="120"/>
      <c r="IV1388" s="120"/>
      <c r="IW1388" s="120"/>
      <c r="IX1388" s="120"/>
      <c r="IY1388" s="120"/>
      <c r="IZ1388" s="120"/>
      <c r="JA1388" s="120"/>
      <c r="JB1388" s="120"/>
      <c r="JC1388" s="120"/>
      <c r="JD1388" s="120"/>
      <c r="JE1388" s="120"/>
      <c r="JF1388" s="120"/>
      <c r="JG1388" s="120"/>
      <c r="JH1388" s="120"/>
      <c r="JI1388" s="120"/>
      <c r="JJ1388" s="120"/>
      <c r="JK1388" s="120"/>
      <c r="JL1388" s="120"/>
      <c r="JM1388" s="120"/>
      <c r="JN1388" s="120"/>
      <c r="JO1388" s="120"/>
      <c r="JP1388" s="120"/>
      <c r="JQ1388" s="120"/>
      <c r="JR1388" s="120"/>
      <c r="JS1388" s="120"/>
      <c r="JT1388" s="120"/>
      <c r="JU1388" s="120"/>
      <c r="JV1388" s="120"/>
      <c r="JW1388" s="120"/>
      <c r="JX1388" s="120"/>
      <c r="JY1388" s="120"/>
      <c r="JZ1388" s="120"/>
      <c r="KA1388" s="120"/>
      <c r="KB1388" s="120"/>
      <c r="KC1388" s="120"/>
      <c r="KD1388" s="120"/>
      <c r="KE1388" s="120"/>
      <c r="KF1388" s="120"/>
      <c r="KG1388" s="120"/>
      <c r="KH1388" s="120"/>
      <c r="KI1388" s="120"/>
      <c r="KJ1388" s="120"/>
      <c r="KK1388" s="120"/>
      <c r="KL1388" s="120"/>
      <c r="KM1388" s="120"/>
      <c r="KN1388" s="120"/>
      <c r="KO1388" s="120"/>
      <c r="KP1388" s="120"/>
      <c r="KQ1388" s="120"/>
      <c r="KR1388" s="120"/>
      <c r="KS1388" s="120"/>
      <c r="KT1388" s="120"/>
      <c r="KU1388" s="120"/>
      <c r="KV1388" s="120"/>
      <c r="KW1388" s="120"/>
      <c r="KX1388" s="120"/>
      <c r="KY1388" s="120"/>
      <c r="KZ1388" s="120"/>
      <c r="LA1388" s="120"/>
      <c r="LB1388" s="120"/>
      <c r="LC1388" s="120"/>
      <c r="LD1388" s="120"/>
      <c r="LE1388" s="120"/>
      <c r="LF1388" s="120"/>
      <c r="LG1388" s="120"/>
      <c r="LH1388" s="120"/>
      <c r="LI1388" s="120"/>
      <c r="LJ1388" s="120"/>
      <c r="LK1388" s="120"/>
      <c r="LL1388" s="120"/>
      <c r="LM1388" s="120"/>
      <c r="LN1388" s="120"/>
      <c r="LO1388" s="120"/>
      <c r="LP1388" s="120"/>
      <c r="LQ1388" s="120"/>
      <c r="LR1388" s="120"/>
      <c r="LS1388" s="120"/>
      <c r="LT1388" s="120"/>
      <c r="LU1388" s="120"/>
      <c r="LV1388" s="120"/>
      <c r="LW1388" s="120"/>
      <c r="LX1388" s="120"/>
      <c r="LY1388" s="120"/>
      <c r="LZ1388" s="120"/>
      <c r="MA1388" s="120"/>
      <c r="MB1388" s="120"/>
      <c r="MC1388" s="120"/>
      <c r="MD1388" s="120"/>
      <c r="ME1388" s="120"/>
      <c r="MF1388" s="120"/>
      <c r="MG1388" s="120"/>
      <c r="MH1388" s="120"/>
      <c r="MI1388" s="120"/>
      <c r="MJ1388" s="120"/>
      <c r="MK1388" s="120"/>
      <c r="ML1388" s="120"/>
      <c r="MM1388" s="120"/>
      <c r="MN1388" s="120"/>
      <c r="MO1388" s="120"/>
      <c r="MP1388" s="120"/>
      <c r="MQ1388" s="120"/>
      <c r="MR1388" s="120"/>
      <c r="MS1388" s="120"/>
      <c r="MT1388" s="120"/>
      <c r="MU1388" s="120"/>
      <c r="MV1388" s="120"/>
      <c r="MW1388" s="120"/>
      <c r="MX1388" s="120"/>
      <c r="MY1388" s="120"/>
      <c r="MZ1388" s="120"/>
      <c r="NA1388" s="120"/>
      <c r="NB1388" s="120"/>
      <c r="NC1388" s="120"/>
      <c r="ND1388" s="120"/>
      <c r="NE1388" s="120"/>
      <c r="NF1388" s="120"/>
      <c r="NG1388" s="120"/>
      <c r="NH1388" s="120"/>
      <c r="NI1388" s="120"/>
      <c r="NJ1388" s="120"/>
      <c r="NK1388" s="120"/>
      <c r="NL1388" s="120"/>
      <c r="NM1388" s="120"/>
      <c r="NN1388" s="120"/>
      <c r="NO1388" s="120"/>
      <c r="NP1388" s="120"/>
      <c r="NQ1388" s="120"/>
      <c r="NR1388" s="120"/>
      <c r="NS1388" s="120"/>
      <c r="NT1388" s="120"/>
      <c r="NU1388" s="120"/>
      <c r="NV1388" s="120"/>
      <c r="NW1388" s="120"/>
      <c r="NX1388" s="120"/>
      <c r="NY1388" s="120"/>
      <c r="NZ1388" s="120"/>
      <c r="OA1388" s="120"/>
      <c r="OB1388" s="120"/>
      <c r="OC1388" s="120"/>
      <c r="OD1388" s="120"/>
      <c r="OE1388" s="120"/>
      <c r="OF1388" s="120"/>
      <c r="OG1388" s="120"/>
      <c r="OH1388" s="120"/>
      <c r="OI1388" s="120"/>
      <c r="OJ1388" s="120"/>
      <c r="OK1388" s="120"/>
      <c r="OL1388" s="120"/>
      <c r="OM1388" s="120"/>
      <c r="ON1388" s="120"/>
      <c r="OO1388" s="120"/>
      <c r="OP1388" s="120"/>
      <c r="OQ1388" s="120"/>
      <c r="OR1388" s="120"/>
      <c r="OS1388" s="120"/>
      <c r="OT1388" s="120"/>
      <c r="OU1388" s="120"/>
      <c r="OV1388" s="120"/>
      <c r="OW1388" s="120"/>
      <c r="OX1388" s="120"/>
      <c r="OY1388" s="120"/>
      <c r="OZ1388" s="120"/>
      <c r="PA1388" s="120"/>
      <c r="PB1388" s="120"/>
      <c r="PC1388" s="120"/>
      <c r="PD1388" s="120"/>
      <c r="PE1388" s="120"/>
      <c r="PF1388" s="120"/>
      <c r="PG1388" s="120"/>
      <c r="PH1388" s="120"/>
      <c r="PI1388" s="120"/>
      <c r="PJ1388" s="120"/>
      <c r="PK1388" s="120"/>
      <c r="PL1388" s="120"/>
      <c r="PM1388" s="120"/>
      <c r="PN1388" s="120"/>
      <c r="PO1388" s="120"/>
      <c r="PP1388" s="120"/>
      <c r="PQ1388" s="120"/>
      <c r="PR1388" s="120"/>
      <c r="PS1388" s="120"/>
      <c r="PT1388" s="120"/>
      <c r="PU1388" s="120"/>
      <c r="PV1388" s="120"/>
      <c r="PW1388" s="120"/>
      <c r="PX1388" s="120"/>
      <c r="PY1388" s="120"/>
      <c r="PZ1388" s="120"/>
      <c r="QA1388" s="120"/>
      <c r="QB1388" s="120"/>
      <c r="QC1388" s="120"/>
      <c r="QD1388" s="120"/>
      <c r="QE1388" s="120"/>
      <c r="QF1388" s="120"/>
      <c r="QG1388" s="120"/>
      <c r="QH1388" s="120"/>
      <c r="QI1388" s="120"/>
      <c r="QJ1388" s="120"/>
      <c r="QK1388" s="120"/>
      <c r="QL1388" s="120"/>
      <c r="QM1388" s="120"/>
      <c r="QN1388" s="120"/>
      <c r="QO1388" s="120"/>
      <c r="QP1388" s="120"/>
      <c r="QQ1388" s="120"/>
      <c r="QR1388" s="120"/>
      <c r="QS1388" s="120"/>
      <c r="QT1388" s="120"/>
      <c r="QU1388" s="120"/>
      <c r="QV1388" s="120"/>
      <c r="QW1388" s="120"/>
      <c r="QX1388" s="120"/>
      <c r="QY1388" s="120"/>
      <c r="QZ1388" s="120"/>
      <c r="RA1388" s="120"/>
      <c r="RB1388" s="120"/>
      <c r="RC1388" s="120"/>
      <c r="RD1388" s="120"/>
      <c r="RE1388" s="120"/>
      <c r="RF1388" s="120"/>
      <c r="RG1388" s="120"/>
      <c r="RH1388" s="120"/>
      <c r="RI1388" s="120"/>
      <c r="RJ1388" s="120"/>
      <c r="RK1388" s="120"/>
      <c r="RL1388" s="120"/>
      <c r="RM1388" s="120"/>
      <c r="RN1388" s="120"/>
      <c r="RO1388" s="120"/>
      <c r="RP1388" s="120"/>
      <c r="RQ1388" s="120"/>
      <c r="RR1388" s="120"/>
      <c r="RS1388" s="120"/>
      <c r="RT1388" s="120"/>
      <c r="RU1388" s="120"/>
      <c r="RV1388" s="120"/>
      <c r="RW1388" s="120"/>
      <c r="RX1388" s="120"/>
      <c r="RY1388" s="120"/>
      <c r="RZ1388" s="120"/>
      <c r="SA1388" s="120"/>
      <c r="SB1388" s="120"/>
      <c r="SC1388" s="120"/>
      <c r="SD1388" s="120"/>
      <c r="SE1388" s="120"/>
      <c r="SF1388" s="120"/>
      <c r="SG1388" s="120"/>
      <c r="SH1388" s="120"/>
      <c r="SI1388" s="120"/>
      <c r="SJ1388" s="120"/>
      <c r="SK1388" s="120"/>
      <c r="SL1388" s="120"/>
      <c r="SM1388" s="120"/>
      <c r="SN1388" s="120"/>
      <c r="SO1388" s="120"/>
      <c r="SP1388" s="120"/>
      <c r="SQ1388" s="120"/>
      <c r="SR1388" s="120"/>
      <c r="SS1388" s="120"/>
      <c r="ST1388" s="120"/>
      <c r="SU1388" s="120"/>
      <c r="SV1388" s="120"/>
      <c r="SW1388" s="120"/>
      <c r="SX1388" s="120"/>
      <c r="SY1388" s="120"/>
      <c r="SZ1388" s="120"/>
      <c r="TA1388" s="120"/>
      <c r="TB1388" s="120"/>
      <c r="TC1388" s="120"/>
      <c r="TD1388" s="120"/>
      <c r="TE1388" s="120"/>
      <c r="TF1388" s="120"/>
      <c r="TG1388" s="120"/>
      <c r="TH1388" s="120"/>
      <c r="TI1388" s="120"/>
      <c r="TJ1388" s="120"/>
      <c r="TK1388" s="120"/>
      <c r="TL1388" s="120"/>
      <c r="TM1388" s="120"/>
      <c r="TN1388" s="120"/>
      <c r="TO1388" s="120"/>
      <c r="TP1388" s="120"/>
      <c r="TQ1388" s="120"/>
      <c r="TR1388" s="120"/>
      <c r="TS1388" s="120"/>
      <c r="TT1388" s="120"/>
      <c r="TU1388" s="120"/>
      <c r="TV1388" s="120"/>
      <c r="TW1388" s="120"/>
      <c r="TX1388" s="120"/>
      <c r="TY1388" s="120"/>
      <c r="TZ1388" s="120"/>
      <c r="UA1388" s="120"/>
      <c r="UB1388" s="120"/>
      <c r="UC1388" s="120"/>
      <c r="UD1388" s="120"/>
      <c r="UE1388" s="120"/>
      <c r="UF1388" s="120"/>
      <c r="UG1388" s="120"/>
      <c r="UH1388" s="120"/>
      <c r="UI1388" s="120"/>
      <c r="UJ1388" s="120"/>
      <c r="UK1388" s="120"/>
      <c r="UL1388" s="120"/>
      <c r="UM1388" s="120"/>
      <c r="UN1388" s="120"/>
      <c r="UO1388" s="120"/>
      <c r="UP1388" s="120"/>
      <c r="UQ1388" s="120"/>
      <c r="UR1388" s="120"/>
      <c r="US1388" s="120"/>
      <c r="UT1388" s="120"/>
      <c r="UU1388" s="120"/>
      <c r="UV1388" s="120"/>
      <c r="UW1388" s="120"/>
      <c r="UX1388" s="120"/>
      <c r="UY1388" s="120"/>
      <c r="UZ1388" s="120"/>
      <c r="VA1388" s="120"/>
      <c r="VB1388" s="120"/>
      <c r="VC1388" s="120"/>
      <c r="VD1388" s="120"/>
      <c r="VE1388" s="120"/>
      <c r="VF1388" s="120"/>
      <c r="VG1388" s="120"/>
      <c r="VH1388" s="120"/>
      <c r="VI1388" s="120"/>
      <c r="VJ1388" s="120"/>
      <c r="VK1388" s="120"/>
      <c r="VL1388" s="120"/>
      <c r="VM1388" s="120"/>
      <c r="VN1388" s="120"/>
      <c r="VO1388" s="120"/>
      <c r="VP1388" s="120"/>
      <c r="VQ1388" s="120"/>
      <c r="VR1388" s="120"/>
      <c r="VS1388" s="120"/>
      <c r="VT1388" s="120"/>
      <c r="VU1388" s="120"/>
      <c r="VV1388" s="120"/>
      <c r="VW1388" s="120"/>
      <c r="VX1388" s="120"/>
      <c r="VY1388" s="120"/>
      <c r="VZ1388" s="120"/>
      <c r="WA1388" s="120"/>
      <c r="WB1388" s="120"/>
      <c r="WC1388" s="120"/>
      <c r="WD1388" s="120"/>
      <c r="WE1388" s="120"/>
      <c r="WF1388" s="120"/>
      <c r="WG1388" s="120"/>
      <c r="WH1388" s="120"/>
      <c r="WI1388" s="120"/>
      <c r="WJ1388" s="120"/>
      <c r="WK1388" s="120"/>
      <c r="WL1388" s="120"/>
      <c r="WM1388" s="120"/>
      <c r="WN1388" s="120"/>
      <c r="WO1388" s="120"/>
      <c r="WP1388" s="120"/>
      <c r="WQ1388" s="120"/>
      <c r="WR1388" s="120"/>
      <c r="WS1388" s="120"/>
      <c r="WT1388" s="120"/>
      <c r="WU1388" s="120"/>
      <c r="WV1388" s="120"/>
      <c r="WW1388" s="120"/>
      <c r="WX1388" s="120"/>
      <c r="WY1388" s="120"/>
      <c r="WZ1388" s="120"/>
      <c r="XA1388" s="120"/>
      <c r="XB1388" s="120"/>
      <c r="XC1388" s="120"/>
      <c r="XD1388" s="120"/>
      <c r="XE1388" s="120"/>
      <c r="XF1388" s="120"/>
      <c r="XG1388" s="120"/>
      <c r="XH1388" s="120"/>
      <c r="XI1388" s="120"/>
      <c r="XJ1388" s="120"/>
      <c r="XK1388" s="120"/>
      <c r="XL1388" s="120"/>
      <c r="XM1388" s="120"/>
      <c r="XN1388" s="120"/>
      <c r="XO1388" s="120"/>
      <c r="XP1388" s="120"/>
      <c r="XQ1388" s="120"/>
      <c r="XR1388" s="120"/>
      <c r="XS1388" s="120"/>
      <c r="XT1388" s="120"/>
      <c r="XU1388" s="120"/>
      <c r="XV1388" s="120"/>
      <c r="XW1388" s="120"/>
      <c r="XX1388" s="120"/>
      <c r="XY1388" s="120"/>
      <c r="XZ1388" s="120"/>
      <c r="YA1388" s="120"/>
      <c r="YB1388" s="120"/>
      <c r="YC1388" s="120"/>
      <c r="YD1388" s="120"/>
      <c r="YE1388" s="120"/>
      <c r="YF1388" s="120"/>
      <c r="YG1388" s="120"/>
      <c r="YH1388" s="120"/>
      <c r="YI1388" s="120"/>
      <c r="YJ1388" s="120"/>
      <c r="YK1388" s="120"/>
      <c r="YL1388" s="120"/>
      <c r="YM1388" s="120"/>
      <c r="YN1388" s="120"/>
      <c r="YO1388" s="120"/>
      <c r="YP1388" s="120"/>
      <c r="YQ1388" s="120"/>
      <c r="YR1388" s="120"/>
      <c r="YS1388" s="120"/>
      <c r="YT1388" s="120"/>
      <c r="YU1388" s="120"/>
      <c r="YV1388" s="120"/>
      <c r="YW1388" s="120"/>
      <c r="YX1388" s="120"/>
      <c r="YY1388" s="120"/>
      <c r="YZ1388" s="120"/>
      <c r="ZA1388" s="120"/>
      <c r="ZB1388" s="120"/>
      <c r="ZC1388" s="120"/>
      <c r="ZD1388" s="120"/>
      <c r="ZE1388" s="120"/>
      <c r="ZF1388" s="120"/>
      <c r="ZG1388" s="120"/>
      <c r="ZH1388" s="120"/>
      <c r="ZI1388" s="120"/>
      <c r="ZJ1388" s="120"/>
      <c r="ZK1388" s="120"/>
      <c r="ZL1388" s="120"/>
      <c r="ZM1388" s="120"/>
      <c r="ZN1388" s="120"/>
      <c r="ZO1388" s="120"/>
      <c r="ZP1388" s="120"/>
      <c r="ZQ1388" s="120"/>
      <c r="ZR1388" s="120"/>
      <c r="ZS1388" s="120"/>
      <c r="ZT1388" s="120"/>
      <c r="ZU1388" s="120"/>
      <c r="ZV1388" s="120"/>
      <c r="ZW1388" s="120"/>
      <c r="ZX1388" s="120"/>
      <c r="ZY1388" s="120"/>
      <c r="ZZ1388" s="120"/>
      <c r="AAA1388" s="120"/>
      <c r="AAB1388" s="120"/>
      <c r="AAC1388" s="120"/>
      <c r="AAD1388" s="120"/>
      <c r="AAE1388" s="120"/>
      <c r="AAF1388" s="120"/>
      <c r="AAG1388" s="120"/>
      <c r="AAH1388" s="120"/>
      <c r="AAI1388" s="120"/>
      <c r="AAJ1388" s="120"/>
      <c r="AAK1388" s="120"/>
      <c r="AAL1388" s="120"/>
      <c r="AAM1388" s="120"/>
      <c r="AAN1388" s="120"/>
      <c r="AAO1388" s="120"/>
      <c r="AAP1388" s="120"/>
      <c r="AAQ1388" s="120"/>
      <c r="AAR1388" s="120"/>
      <c r="AAS1388" s="120"/>
      <c r="AAT1388" s="120"/>
      <c r="AAU1388" s="120"/>
      <c r="AAV1388" s="120"/>
      <c r="AAW1388" s="120"/>
      <c r="AAX1388" s="120"/>
      <c r="AAY1388" s="120"/>
      <c r="AAZ1388" s="120"/>
      <c r="ABA1388" s="120"/>
      <c r="ABB1388" s="120"/>
      <c r="ABC1388" s="120"/>
      <c r="ABD1388" s="120"/>
      <c r="ABE1388" s="120"/>
      <c r="ABF1388" s="120"/>
      <c r="ABG1388" s="120"/>
      <c r="ABH1388" s="120"/>
      <c r="ABI1388" s="120"/>
      <c r="ABJ1388" s="120"/>
      <c r="ABK1388" s="120"/>
      <c r="ABL1388" s="120"/>
      <c r="ABM1388" s="120"/>
      <c r="ABN1388" s="120"/>
      <c r="ABO1388" s="120"/>
      <c r="ABP1388" s="120"/>
      <c r="ABQ1388" s="120"/>
      <c r="ABR1388" s="120"/>
      <c r="ABS1388" s="120"/>
      <c r="ABT1388" s="120"/>
      <c r="ABU1388" s="120"/>
      <c r="ABV1388" s="120"/>
      <c r="ABW1388" s="120"/>
      <c r="ABX1388" s="120"/>
      <c r="ABY1388" s="120"/>
      <c r="ABZ1388" s="120"/>
      <c r="ACA1388" s="120"/>
      <c r="ACB1388" s="120"/>
      <c r="ACC1388" s="120"/>
      <c r="ACD1388" s="120"/>
      <c r="ACE1388" s="120"/>
      <c r="ACF1388" s="120"/>
      <c r="ACG1388" s="120"/>
      <c r="ACH1388" s="120"/>
      <c r="ACI1388" s="120"/>
      <c r="ACJ1388" s="120"/>
      <c r="ACK1388" s="120"/>
      <c r="ACL1388" s="120"/>
      <c r="ACM1388" s="120"/>
      <c r="ACN1388" s="120"/>
      <c r="ACO1388" s="120"/>
      <c r="ACP1388" s="120"/>
      <c r="ACQ1388" s="120"/>
      <c r="ACR1388" s="120"/>
      <c r="ACS1388" s="120"/>
      <c r="ACT1388" s="120"/>
      <c r="ACU1388" s="120"/>
      <c r="ACV1388" s="120"/>
      <c r="ACW1388" s="120"/>
      <c r="ACX1388" s="120"/>
      <c r="ACY1388" s="120"/>
      <c r="ACZ1388" s="120"/>
      <c r="ADA1388" s="120"/>
      <c r="ADB1388" s="120"/>
      <c r="ADC1388" s="120"/>
      <c r="ADD1388" s="120"/>
      <c r="ADE1388" s="120"/>
      <c r="ADF1388" s="120"/>
      <c r="ADG1388" s="120"/>
      <c r="ADH1388" s="120"/>
      <c r="ADI1388" s="120"/>
      <c r="ADJ1388" s="120"/>
      <c r="ADK1388" s="120"/>
      <c r="ADL1388" s="120"/>
      <c r="ADM1388" s="120"/>
      <c r="ADN1388" s="120"/>
      <c r="ADO1388" s="120"/>
      <c r="ADP1388" s="120"/>
      <c r="ADQ1388" s="120"/>
      <c r="ADR1388" s="120"/>
      <c r="ADS1388" s="120"/>
      <c r="ADT1388" s="120"/>
      <c r="ADU1388" s="120"/>
      <c r="ADV1388" s="120"/>
      <c r="ADW1388" s="120"/>
      <c r="ADX1388" s="120"/>
      <c r="ADY1388" s="120"/>
      <c r="ADZ1388" s="120"/>
      <c r="AEA1388" s="120"/>
      <c r="AEB1388" s="120"/>
      <c r="AEC1388" s="120"/>
      <c r="AED1388" s="120"/>
      <c r="AEE1388" s="120"/>
      <c r="AEF1388" s="120"/>
      <c r="AEG1388" s="120"/>
      <c r="AEH1388" s="120"/>
      <c r="AEI1388" s="120"/>
      <c r="AEJ1388" s="120"/>
      <c r="AEK1388" s="120"/>
      <c r="AEL1388" s="120"/>
      <c r="AEM1388" s="120"/>
      <c r="AEN1388" s="120"/>
      <c r="AEO1388" s="120"/>
      <c r="AEP1388" s="120"/>
      <c r="AEQ1388" s="120"/>
      <c r="AER1388" s="120"/>
      <c r="AES1388" s="120"/>
      <c r="AET1388" s="120"/>
      <c r="AEU1388" s="120"/>
      <c r="AEV1388" s="120"/>
      <c r="AEW1388" s="120"/>
      <c r="AEX1388" s="120"/>
      <c r="AEY1388" s="120"/>
      <c r="AEZ1388" s="120"/>
      <c r="AFA1388" s="120"/>
      <c r="AFB1388" s="120"/>
      <c r="AFC1388" s="120"/>
      <c r="AFD1388" s="120"/>
      <c r="AFE1388" s="120"/>
      <c r="AFF1388" s="120"/>
      <c r="AFG1388" s="120"/>
      <c r="AFH1388" s="120"/>
      <c r="AFI1388" s="120"/>
      <c r="AFJ1388" s="120"/>
      <c r="AFK1388" s="120"/>
      <c r="AFL1388" s="120"/>
      <c r="AFM1388" s="120"/>
      <c r="AFN1388" s="120"/>
      <c r="AFO1388" s="120"/>
      <c r="AFP1388" s="120"/>
      <c r="AFQ1388" s="120"/>
      <c r="AFR1388" s="120"/>
      <c r="AFS1388" s="120"/>
      <c r="AFT1388" s="120"/>
      <c r="AFU1388" s="120"/>
      <c r="AFV1388" s="120"/>
      <c r="AFW1388" s="120"/>
      <c r="AFX1388" s="120"/>
      <c r="AFY1388" s="120"/>
      <c r="AFZ1388" s="120"/>
      <c r="AGA1388" s="120"/>
      <c r="AGB1388" s="120"/>
      <c r="AGC1388" s="120"/>
      <c r="AGD1388" s="120"/>
      <c r="AGE1388" s="120"/>
      <c r="AGF1388" s="120"/>
      <c r="AGG1388" s="120"/>
      <c r="AGH1388" s="120"/>
      <c r="AGI1388" s="120"/>
      <c r="AGJ1388" s="120"/>
      <c r="AGK1388" s="120"/>
      <c r="AGL1388" s="120"/>
      <c r="AGM1388" s="120"/>
      <c r="AGN1388" s="120"/>
      <c r="AGO1388" s="120"/>
      <c r="AGP1388" s="120"/>
      <c r="AGQ1388" s="120"/>
      <c r="AGR1388" s="120"/>
      <c r="AGS1388" s="120"/>
      <c r="AGT1388" s="120"/>
      <c r="AGU1388" s="120"/>
      <c r="AGV1388" s="120"/>
      <c r="AGW1388" s="120"/>
      <c r="AGX1388" s="120"/>
      <c r="AGY1388" s="120"/>
      <c r="AGZ1388" s="120"/>
      <c r="AHA1388" s="120"/>
      <c r="AHB1388" s="120"/>
      <c r="AHC1388" s="120"/>
      <c r="AHD1388" s="120"/>
      <c r="AHE1388" s="120"/>
      <c r="AHF1388" s="120"/>
      <c r="AHG1388" s="120"/>
      <c r="AHH1388" s="120"/>
      <c r="AHI1388" s="120"/>
      <c r="AHJ1388" s="120"/>
      <c r="AHK1388" s="120"/>
      <c r="AHL1388" s="120"/>
      <c r="AHM1388" s="120"/>
      <c r="AHN1388" s="120"/>
      <c r="AHO1388" s="120"/>
      <c r="AHP1388" s="120"/>
      <c r="AHQ1388" s="120"/>
      <c r="AHR1388" s="120"/>
      <c r="AHS1388" s="120"/>
      <c r="AHT1388" s="120"/>
      <c r="AHU1388" s="120"/>
      <c r="AHV1388" s="120"/>
      <c r="AHW1388" s="120"/>
      <c r="AHX1388" s="120"/>
      <c r="AHY1388" s="120"/>
      <c r="AHZ1388" s="120"/>
      <c r="AIA1388" s="120"/>
      <c r="AIB1388" s="120"/>
      <c r="AIC1388" s="120"/>
      <c r="AID1388" s="120"/>
      <c r="AIE1388" s="120"/>
      <c r="AIF1388" s="120"/>
      <c r="AIG1388" s="120"/>
      <c r="AIH1388" s="120"/>
      <c r="AII1388" s="120"/>
      <c r="AIJ1388" s="120"/>
      <c r="AIK1388" s="120"/>
      <c r="AIL1388" s="120"/>
      <c r="AIM1388" s="120"/>
      <c r="AIN1388" s="120"/>
      <c r="AIO1388" s="120"/>
      <c r="AIP1388" s="120"/>
      <c r="AIQ1388" s="120"/>
      <c r="AIR1388" s="120"/>
      <c r="AIS1388" s="120"/>
      <c r="AIT1388" s="120"/>
      <c r="AIU1388" s="120"/>
      <c r="AIV1388" s="120"/>
      <c r="AIW1388" s="120"/>
      <c r="AIX1388" s="120"/>
      <c r="AIY1388" s="120"/>
      <c r="AIZ1388" s="120"/>
      <c r="AJA1388" s="120"/>
      <c r="AJB1388" s="120"/>
      <c r="AJC1388" s="120"/>
      <c r="AJD1388" s="120"/>
      <c r="AJE1388" s="120"/>
      <c r="AJF1388" s="120"/>
      <c r="AJG1388" s="120"/>
      <c r="AJH1388" s="120"/>
      <c r="AJI1388" s="120"/>
      <c r="AJJ1388" s="120"/>
      <c r="AJK1388" s="120"/>
      <c r="AJL1388" s="120"/>
      <c r="AJM1388" s="120"/>
      <c r="AJN1388" s="120"/>
      <c r="AJO1388" s="120"/>
      <c r="AJP1388" s="120"/>
      <c r="AJQ1388" s="120"/>
      <c r="AJR1388" s="120"/>
      <c r="AJS1388" s="120"/>
      <c r="AJT1388" s="120"/>
      <c r="AJU1388" s="120"/>
      <c r="AJV1388" s="120"/>
      <c r="AJW1388" s="120"/>
      <c r="AJX1388" s="120"/>
      <c r="AJY1388" s="120"/>
      <c r="AJZ1388" s="120"/>
      <c r="AKA1388" s="120"/>
      <c r="AKB1388" s="120"/>
      <c r="AKC1388" s="120"/>
      <c r="AKD1388" s="120"/>
      <c r="AKE1388" s="120"/>
      <c r="AKF1388" s="120"/>
      <c r="AKG1388" s="120"/>
      <c r="AKH1388" s="120"/>
      <c r="AKI1388" s="120"/>
      <c r="AKJ1388" s="120"/>
      <c r="AKK1388" s="120"/>
      <c r="AKL1388" s="120"/>
      <c r="AKM1388" s="120"/>
      <c r="AKN1388" s="120"/>
      <c r="AKO1388" s="120"/>
      <c r="AKP1388" s="120"/>
      <c r="AKQ1388" s="120"/>
      <c r="AKR1388" s="120"/>
      <c r="AKS1388" s="120"/>
      <c r="AKT1388" s="120"/>
      <c r="AKU1388" s="120"/>
      <c r="AKV1388" s="120"/>
      <c r="AKW1388" s="120"/>
      <c r="AKX1388" s="120"/>
      <c r="AKY1388" s="120"/>
      <c r="AKZ1388" s="120"/>
      <c r="ALA1388" s="120"/>
      <c r="ALB1388" s="120"/>
      <c r="ALC1388" s="120"/>
      <c r="ALD1388" s="120"/>
      <c r="ALE1388" s="120"/>
      <c r="ALF1388" s="120"/>
      <c r="ALG1388" s="120"/>
      <c r="ALH1388" s="120"/>
      <c r="ALI1388" s="120"/>
      <c r="ALJ1388" s="120"/>
      <c r="ALK1388" s="120"/>
      <c r="ALL1388" s="120"/>
      <c r="ALM1388" s="120"/>
      <c r="ALN1388" s="120"/>
      <c r="ALO1388" s="120"/>
      <c r="ALP1388" s="120"/>
      <c r="ALQ1388" s="120"/>
      <c r="ALR1388" s="120"/>
      <c r="ALS1388" s="120"/>
      <c r="ALT1388" s="120"/>
      <c r="ALU1388" s="120"/>
      <c r="ALV1388" s="120"/>
      <c r="ALW1388" s="120"/>
      <c r="ALX1388" s="120"/>
      <c r="ALY1388" s="120"/>
      <c r="ALZ1388" s="120"/>
      <c r="AMA1388" s="120"/>
      <c r="AMB1388" s="120"/>
      <c r="AMC1388" s="120"/>
      <c r="AMD1388" s="120"/>
      <c r="AME1388" s="120"/>
      <c r="AMF1388" s="120"/>
      <c r="AMG1388" s="120"/>
      <c r="AMH1388" s="120"/>
      <c r="AMI1388" s="120"/>
      <c r="AMJ1388" s="120"/>
      <c r="AMK1388" s="120"/>
      <c r="AML1388" s="120"/>
      <c r="AMM1388" s="120"/>
      <c r="AMN1388" s="120"/>
      <c r="AMO1388" s="120"/>
      <c r="AMP1388" s="120"/>
      <c r="AMQ1388" s="120"/>
      <c r="AMR1388" s="120"/>
      <c r="AMS1388" s="120"/>
      <c r="AMT1388" s="120"/>
      <c r="AMU1388" s="120"/>
      <c r="AMV1388" s="120"/>
      <c r="AMW1388" s="120"/>
      <c r="AMX1388" s="120"/>
      <c r="AMY1388" s="120"/>
      <c r="AMZ1388" s="120"/>
      <c r="ANA1388" s="120"/>
      <c r="ANB1388" s="120"/>
      <c r="ANC1388" s="120"/>
      <c r="AND1388" s="120"/>
      <c r="ANE1388" s="120"/>
      <c r="ANF1388" s="120"/>
      <c r="ANG1388" s="120"/>
      <c r="ANH1388" s="120"/>
      <c r="ANI1388" s="120"/>
      <c r="ANJ1388" s="120"/>
      <c r="ANK1388" s="120"/>
      <c r="ANL1388" s="120"/>
      <c r="ANM1388" s="120"/>
      <c r="ANN1388" s="120"/>
      <c r="ANO1388" s="120"/>
      <c r="ANP1388" s="120"/>
      <c r="ANQ1388" s="120"/>
      <c r="ANR1388" s="120"/>
      <c r="ANS1388" s="120"/>
      <c r="ANT1388" s="120"/>
      <c r="ANU1388" s="120"/>
      <c r="ANV1388" s="120"/>
      <c r="ANW1388" s="120"/>
      <c r="ANX1388" s="120"/>
      <c r="ANY1388" s="120"/>
      <c r="ANZ1388" s="120"/>
      <c r="AOA1388" s="120"/>
      <c r="AOB1388" s="120"/>
      <c r="AOC1388" s="120"/>
      <c r="AOD1388" s="120"/>
      <c r="AOE1388" s="120"/>
      <c r="AOF1388" s="120"/>
      <c r="AOG1388" s="120"/>
      <c r="AOH1388" s="120"/>
      <c r="AOI1388" s="120"/>
      <c r="AOJ1388" s="120"/>
      <c r="AOK1388" s="120"/>
      <c r="AOL1388" s="120"/>
      <c r="AOM1388" s="120"/>
      <c r="AON1388" s="120"/>
      <c r="AOO1388" s="120"/>
      <c r="AOP1388" s="120"/>
      <c r="AOQ1388" s="120"/>
      <c r="AOR1388" s="120"/>
      <c r="AOS1388" s="120"/>
      <c r="AOT1388" s="120"/>
      <c r="AOU1388" s="120"/>
      <c r="AOV1388" s="120"/>
      <c r="AOW1388" s="120"/>
      <c r="AOX1388" s="120"/>
      <c r="AOY1388" s="120"/>
      <c r="AOZ1388" s="120"/>
      <c r="APA1388" s="120"/>
      <c r="APB1388" s="120"/>
      <c r="APC1388" s="120"/>
      <c r="APD1388" s="120"/>
      <c r="APE1388" s="120"/>
      <c r="APF1388" s="120"/>
      <c r="APG1388" s="120"/>
      <c r="APH1388" s="120"/>
      <c r="API1388" s="120"/>
      <c r="APJ1388" s="120"/>
      <c r="APK1388" s="120"/>
      <c r="APL1388" s="120"/>
      <c r="APM1388" s="120"/>
      <c r="APN1388" s="120"/>
      <c r="APO1388" s="120"/>
      <c r="APP1388" s="120"/>
      <c r="APQ1388" s="120"/>
      <c r="APR1388" s="120"/>
      <c r="APS1388" s="120"/>
      <c r="APT1388" s="120"/>
      <c r="APU1388" s="120"/>
      <c r="APV1388" s="120"/>
      <c r="APW1388" s="120"/>
      <c r="APX1388" s="120"/>
      <c r="APY1388" s="120"/>
      <c r="APZ1388" s="120"/>
      <c r="AQA1388" s="120"/>
      <c r="AQB1388" s="120"/>
      <c r="AQC1388" s="120"/>
      <c r="AQD1388" s="120"/>
      <c r="AQE1388" s="120"/>
      <c r="AQF1388" s="120"/>
      <c r="AQG1388" s="120"/>
      <c r="AQH1388" s="120"/>
      <c r="AQI1388" s="120"/>
      <c r="AQJ1388" s="120"/>
      <c r="AQK1388" s="120"/>
      <c r="AQL1388" s="120"/>
      <c r="AQM1388" s="120"/>
      <c r="AQN1388" s="120"/>
      <c r="AQO1388" s="120"/>
      <c r="AQP1388" s="120"/>
      <c r="AQQ1388" s="120"/>
      <c r="AQR1388" s="120"/>
      <c r="AQS1388" s="120"/>
      <c r="AQT1388" s="120"/>
      <c r="AQU1388" s="120"/>
      <c r="AQV1388" s="120"/>
      <c r="AQW1388" s="120"/>
      <c r="AQX1388" s="120"/>
      <c r="AQY1388" s="120"/>
      <c r="AQZ1388" s="120"/>
      <c r="ARA1388" s="120"/>
      <c r="ARB1388" s="120"/>
      <c r="ARC1388" s="120"/>
      <c r="ARD1388" s="120"/>
      <c r="ARE1388" s="120"/>
      <c r="ARF1388" s="120"/>
      <c r="ARG1388" s="120"/>
      <c r="ARH1388" s="120"/>
      <c r="ARI1388" s="120"/>
      <c r="ARJ1388" s="120"/>
      <c r="ARK1388" s="120"/>
      <c r="ARL1388" s="120"/>
      <c r="ARM1388" s="120"/>
      <c r="ARN1388" s="120"/>
      <c r="ARO1388" s="120"/>
      <c r="ARP1388" s="120"/>
      <c r="ARQ1388" s="120"/>
      <c r="ARR1388" s="120"/>
      <c r="ARS1388" s="120"/>
      <c r="ART1388" s="120"/>
      <c r="ARU1388" s="120"/>
      <c r="ARV1388" s="120"/>
      <c r="ARW1388" s="120"/>
      <c r="ARX1388" s="120"/>
      <c r="ARY1388" s="120"/>
      <c r="ARZ1388" s="120"/>
      <c r="ASA1388" s="120"/>
      <c r="ASB1388" s="120"/>
      <c r="ASC1388" s="120"/>
      <c r="ASD1388" s="120"/>
      <c r="ASE1388" s="120"/>
      <c r="ASF1388" s="120"/>
      <c r="ASG1388" s="120"/>
      <c r="ASH1388" s="120"/>
      <c r="ASI1388" s="120"/>
      <c r="ASJ1388" s="120"/>
      <c r="ASK1388" s="120"/>
      <c r="ASL1388" s="120"/>
      <c r="ASM1388" s="120"/>
      <c r="ASN1388" s="120"/>
      <c r="ASO1388" s="120"/>
      <c r="ASP1388" s="120"/>
      <c r="ASQ1388" s="120"/>
      <c r="ASR1388" s="120"/>
      <c r="ASS1388" s="120"/>
      <c r="AST1388" s="120"/>
      <c r="ASU1388" s="120"/>
      <c r="ASV1388" s="120"/>
      <c r="ASW1388" s="120"/>
      <c r="ASX1388" s="120"/>
      <c r="ASY1388" s="120"/>
      <c r="ASZ1388" s="120"/>
      <c r="ATA1388" s="120"/>
      <c r="ATB1388" s="120"/>
      <c r="ATC1388" s="120"/>
      <c r="ATD1388" s="120"/>
      <c r="ATE1388" s="120"/>
      <c r="ATF1388" s="120"/>
      <c r="ATG1388" s="120"/>
      <c r="ATH1388" s="120"/>
      <c r="ATI1388" s="120"/>
      <c r="ATJ1388" s="120"/>
      <c r="ATK1388" s="120"/>
      <c r="ATL1388" s="120"/>
      <c r="ATM1388" s="120"/>
      <c r="ATN1388" s="120"/>
      <c r="ATO1388" s="120"/>
    </row>
    <row r="1389" spans="1:1211" s="20" customFormat="1" ht="14.1" customHeight="1">
      <c r="A1389" s="112"/>
      <c r="B1389" s="723"/>
      <c r="C1389" s="184" t="s">
        <v>6149</v>
      </c>
      <c r="D1389" s="120"/>
      <c r="E1389" s="701"/>
      <c r="F1389" s="703"/>
      <c r="G1389" s="702"/>
      <c r="H1389" s="702"/>
      <c r="I1389" s="702"/>
      <c r="J1389" s="700"/>
      <c r="K1389" s="112"/>
      <c r="L1389" s="363"/>
      <c r="M1389" s="112"/>
      <c r="N1389" s="362"/>
      <c r="O1389" s="573"/>
      <c r="P1389" s="120"/>
      <c r="Q1389" s="120"/>
      <c r="R1389" s="120"/>
      <c r="S1389" s="120"/>
      <c r="T1389" s="120"/>
      <c r="U1389" s="120"/>
      <c r="V1389" s="120"/>
      <c r="W1389" s="120"/>
      <c r="X1389" s="120"/>
      <c r="Y1389" s="120"/>
      <c r="Z1389" s="120"/>
      <c r="AA1389" s="120"/>
      <c r="AB1389" s="120"/>
      <c r="AC1389" s="120"/>
      <c r="AD1389" s="120"/>
      <c r="AE1389" s="120"/>
      <c r="AF1389" s="120"/>
      <c r="AG1389" s="120"/>
      <c r="AH1389" s="120"/>
      <c r="AI1389" s="120"/>
      <c r="AJ1389" s="120"/>
      <c r="AK1389" s="120"/>
      <c r="AL1389" s="120"/>
      <c r="AM1389" s="120"/>
      <c r="AN1389" s="120"/>
      <c r="AO1389" s="120"/>
      <c r="AP1389" s="120"/>
      <c r="AQ1389" s="120"/>
      <c r="AR1389" s="120"/>
      <c r="AS1389" s="120"/>
      <c r="AT1389" s="120"/>
      <c r="AU1389" s="120"/>
      <c r="AV1389" s="120"/>
      <c r="AW1389" s="120"/>
      <c r="AX1389" s="120"/>
      <c r="AY1389" s="120"/>
      <c r="AZ1389" s="120"/>
      <c r="BA1389" s="120"/>
      <c r="BB1389" s="120"/>
      <c r="BC1389" s="120"/>
      <c r="BD1389" s="120"/>
      <c r="BE1389" s="120"/>
      <c r="BF1389" s="120"/>
      <c r="BG1389" s="120"/>
      <c r="BH1389" s="120"/>
      <c r="BI1389" s="120"/>
      <c r="BJ1389" s="120"/>
      <c r="BK1389" s="120"/>
      <c r="BL1389" s="120"/>
      <c r="BM1389" s="120"/>
      <c r="BN1389" s="120"/>
      <c r="BO1389" s="120"/>
      <c r="BP1389" s="120"/>
      <c r="BQ1389" s="120"/>
      <c r="BR1389" s="120"/>
      <c r="BS1389" s="120"/>
      <c r="BT1389" s="120"/>
      <c r="BU1389" s="120"/>
      <c r="BV1389" s="120"/>
      <c r="BW1389" s="120"/>
      <c r="BX1389" s="120"/>
      <c r="BY1389" s="120"/>
      <c r="BZ1389" s="120"/>
      <c r="CA1389" s="120"/>
      <c r="CB1389" s="120"/>
      <c r="CC1389" s="120"/>
      <c r="CD1389" s="120"/>
      <c r="CE1389" s="120"/>
      <c r="CF1389" s="120"/>
      <c r="CG1389" s="120"/>
      <c r="CH1389" s="120"/>
      <c r="CI1389" s="120"/>
      <c r="CJ1389" s="120"/>
      <c r="CK1389" s="120"/>
      <c r="CL1389" s="120"/>
      <c r="CM1389" s="120"/>
      <c r="CN1389" s="120"/>
      <c r="CO1389" s="120"/>
      <c r="CP1389" s="120"/>
      <c r="CQ1389" s="120"/>
      <c r="CR1389" s="120"/>
      <c r="CS1389" s="120"/>
      <c r="CT1389" s="120"/>
      <c r="CU1389" s="120"/>
      <c r="CV1389" s="120"/>
      <c r="CW1389" s="120"/>
      <c r="CX1389" s="120"/>
      <c r="CY1389" s="120"/>
      <c r="CZ1389" s="120"/>
      <c r="DA1389" s="120"/>
      <c r="DB1389" s="120"/>
      <c r="DC1389" s="120"/>
      <c r="DD1389" s="120"/>
      <c r="DE1389" s="120"/>
      <c r="DF1389" s="120"/>
      <c r="DG1389" s="120"/>
      <c r="DH1389" s="120"/>
      <c r="DI1389" s="120"/>
      <c r="DJ1389" s="120"/>
      <c r="DK1389" s="120"/>
      <c r="DL1389" s="120"/>
      <c r="DM1389" s="120"/>
      <c r="DN1389" s="120"/>
      <c r="DO1389" s="120"/>
      <c r="DP1389" s="120"/>
      <c r="DQ1389" s="120"/>
      <c r="DR1389" s="120"/>
      <c r="DS1389" s="120"/>
      <c r="DT1389" s="120"/>
      <c r="DU1389" s="120"/>
      <c r="DV1389" s="120"/>
      <c r="DW1389" s="120"/>
      <c r="DX1389" s="120"/>
      <c r="DY1389" s="120"/>
      <c r="DZ1389" s="120"/>
      <c r="EA1389" s="120"/>
      <c r="EB1389" s="120"/>
      <c r="EC1389" s="120"/>
      <c r="ED1389" s="120"/>
      <c r="EE1389" s="120"/>
      <c r="EF1389" s="120"/>
      <c r="EG1389" s="120"/>
      <c r="EH1389" s="120"/>
      <c r="EI1389" s="120"/>
      <c r="EJ1389" s="120"/>
      <c r="EK1389" s="120"/>
      <c r="EL1389" s="120"/>
      <c r="EM1389" s="120"/>
      <c r="EN1389" s="120"/>
      <c r="EO1389" s="120"/>
      <c r="EP1389" s="120"/>
      <c r="EQ1389" s="120"/>
      <c r="ER1389" s="120"/>
      <c r="ES1389" s="120"/>
      <c r="ET1389" s="120"/>
      <c r="EU1389" s="120"/>
      <c r="EV1389" s="120"/>
      <c r="EW1389" s="120"/>
      <c r="EX1389" s="120"/>
      <c r="EY1389" s="120"/>
      <c r="EZ1389" s="120"/>
      <c r="FA1389" s="120"/>
      <c r="FB1389" s="120"/>
      <c r="FC1389" s="120"/>
      <c r="FD1389" s="120"/>
      <c r="FE1389" s="120"/>
      <c r="FF1389" s="120"/>
      <c r="FG1389" s="120"/>
      <c r="FH1389" s="120"/>
      <c r="FI1389" s="120"/>
      <c r="FJ1389" s="120"/>
      <c r="FK1389" s="120"/>
      <c r="FL1389" s="120"/>
      <c r="FM1389" s="120"/>
      <c r="FN1389" s="120"/>
      <c r="FO1389" s="120"/>
      <c r="FP1389" s="120"/>
      <c r="FQ1389" s="120"/>
      <c r="FR1389" s="120"/>
      <c r="FS1389" s="120"/>
      <c r="FT1389" s="120"/>
      <c r="FU1389" s="120"/>
      <c r="FV1389" s="120"/>
      <c r="FW1389" s="120"/>
      <c r="FX1389" s="120"/>
      <c r="FY1389" s="120"/>
      <c r="FZ1389" s="120"/>
      <c r="GA1389" s="120"/>
      <c r="GB1389" s="120"/>
      <c r="GC1389" s="120"/>
      <c r="GD1389" s="120"/>
      <c r="GE1389" s="120"/>
      <c r="GF1389" s="120"/>
      <c r="GG1389" s="120"/>
      <c r="GH1389" s="120"/>
      <c r="GI1389" s="120"/>
      <c r="GJ1389" s="120"/>
      <c r="GK1389" s="120"/>
      <c r="GL1389" s="120"/>
      <c r="GM1389" s="120"/>
      <c r="GN1389" s="120"/>
      <c r="GO1389" s="120"/>
      <c r="GP1389" s="120"/>
      <c r="GQ1389" s="120"/>
      <c r="GR1389" s="120"/>
      <c r="GS1389" s="120"/>
      <c r="GT1389" s="120"/>
      <c r="GU1389" s="120"/>
      <c r="GV1389" s="120"/>
      <c r="GW1389" s="120"/>
      <c r="GX1389" s="120"/>
      <c r="GY1389" s="120"/>
      <c r="GZ1389" s="120"/>
      <c r="HA1389" s="120"/>
      <c r="HB1389" s="120"/>
      <c r="HC1389" s="120"/>
      <c r="HD1389" s="120"/>
      <c r="HE1389" s="120"/>
      <c r="HF1389" s="120"/>
      <c r="HG1389" s="120"/>
      <c r="HH1389" s="120"/>
      <c r="HI1389" s="120"/>
      <c r="HJ1389" s="120"/>
      <c r="HK1389" s="120"/>
      <c r="HL1389" s="120"/>
      <c r="HM1389" s="120"/>
      <c r="HN1389" s="120"/>
      <c r="HO1389" s="120"/>
      <c r="HP1389" s="120"/>
      <c r="HQ1389" s="120"/>
      <c r="HR1389" s="120"/>
      <c r="HS1389" s="120"/>
      <c r="HT1389" s="120"/>
      <c r="HU1389" s="120"/>
      <c r="HV1389" s="120"/>
      <c r="HW1389" s="120"/>
      <c r="HX1389" s="120"/>
      <c r="HY1389" s="120"/>
      <c r="HZ1389" s="120"/>
      <c r="IA1389" s="120"/>
      <c r="IB1389" s="120"/>
      <c r="IC1389" s="120"/>
      <c r="ID1389" s="120"/>
      <c r="IE1389" s="120"/>
      <c r="IF1389" s="120"/>
      <c r="IG1389" s="120"/>
      <c r="IH1389" s="120"/>
      <c r="II1389" s="120"/>
      <c r="IJ1389" s="120"/>
      <c r="IK1389" s="120"/>
      <c r="IL1389" s="120"/>
      <c r="IM1389" s="120"/>
      <c r="IN1389" s="120"/>
      <c r="IO1389" s="120"/>
      <c r="IP1389" s="120"/>
      <c r="IQ1389" s="120"/>
      <c r="IR1389" s="120"/>
      <c r="IS1389" s="120"/>
      <c r="IT1389" s="120"/>
      <c r="IU1389" s="120"/>
      <c r="IV1389" s="120"/>
      <c r="IW1389" s="120"/>
      <c r="IX1389" s="120"/>
      <c r="IY1389" s="120"/>
      <c r="IZ1389" s="120"/>
      <c r="JA1389" s="120"/>
      <c r="JB1389" s="120"/>
      <c r="JC1389" s="120"/>
      <c r="JD1389" s="120"/>
      <c r="JE1389" s="120"/>
      <c r="JF1389" s="120"/>
      <c r="JG1389" s="120"/>
      <c r="JH1389" s="120"/>
      <c r="JI1389" s="120"/>
      <c r="JJ1389" s="120"/>
      <c r="JK1389" s="120"/>
      <c r="JL1389" s="120"/>
      <c r="JM1389" s="120"/>
      <c r="JN1389" s="120"/>
      <c r="JO1389" s="120"/>
      <c r="JP1389" s="120"/>
      <c r="JQ1389" s="120"/>
      <c r="JR1389" s="120"/>
      <c r="JS1389" s="120"/>
      <c r="JT1389" s="120"/>
      <c r="JU1389" s="120"/>
      <c r="JV1389" s="120"/>
      <c r="JW1389" s="120"/>
      <c r="JX1389" s="120"/>
      <c r="JY1389" s="120"/>
      <c r="JZ1389" s="120"/>
      <c r="KA1389" s="120"/>
      <c r="KB1389" s="120"/>
      <c r="KC1389" s="120"/>
      <c r="KD1389" s="120"/>
      <c r="KE1389" s="120"/>
      <c r="KF1389" s="120"/>
      <c r="KG1389" s="120"/>
      <c r="KH1389" s="120"/>
      <c r="KI1389" s="120"/>
      <c r="KJ1389" s="120"/>
      <c r="KK1389" s="120"/>
      <c r="KL1389" s="120"/>
      <c r="KM1389" s="120"/>
      <c r="KN1389" s="120"/>
      <c r="KO1389" s="120"/>
      <c r="KP1389" s="120"/>
      <c r="KQ1389" s="120"/>
      <c r="KR1389" s="120"/>
      <c r="KS1389" s="120"/>
      <c r="KT1389" s="120"/>
      <c r="KU1389" s="120"/>
      <c r="KV1389" s="120"/>
      <c r="KW1389" s="120"/>
      <c r="KX1389" s="120"/>
      <c r="KY1389" s="120"/>
      <c r="KZ1389" s="120"/>
      <c r="LA1389" s="120"/>
      <c r="LB1389" s="120"/>
      <c r="LC1389" s="120"/>
      <c r="LD1389" s="120"/>
      <c r="LE1389" s="120"/>
      <c r="LF1389" s="120"/>
      <c r="LG1389" s="120"/>
      <c r="LH1389" s="120"/>
      <c r="LI1389" s="120"/>
      <c r="LJ1389" s="120"/>
      <c r="LK1389" s="120"/>
      <c r="LL1389" s="120"/>
      <c r="LM1389" s="120"/>
      <c r="LN1389" s="120"/>
      <c r="LO1389" s="120"/>
      <c r="LP1389" s="120"/>
      <c r="LQ1389" s="120"/>
      <c r="LR1389" s="120"/>
      <c r="LS1389" s="120"/>
      <c r="LT1389" s="120"/>
      <c r="LU1389" s="120"/>
      <c r="LV1389" s="120"/>
      <c r="LW1389" s="120"/>
      <c r="LX1389" s="120"/>
      <c r="LY1389" s="120"/>
      <c r="LZ1389" s="120"/>
      <c r="MA1389" s="120"/>
      <c r="MB1389" s="120"/>
      <c r="MC1389" s="120"/>
      <c r="MD1389" s="120"/>
      <c r="ME1389" s="120"/>
      <c r="MF1389" s="120"/>
      <c r="MG1389" s="120"/>
      <c r="MH1389" s="120"/>
      <c r="MI1389" s="120"/>
      <c r="MJ1389" s="120"/>
      <c r="MK1389" s="120"/>
      <c r="ML1389" s="120"/>
      <c r="MM1389" s="120"/>
      <c r="MN1389" s="120"/>
      <c r="MO1389" s="120"/>
      <c r="MP1389" s="120"/>
      <c r="MQ1389" s="120"/>
      <c r="MR1389" s="120"/>
      <c r="MS1389" s="120"/>
      <c r="MT1389" s="120"/>
      <c r="MU1389" s="120"/>
      <c r="MV1389" s="120"/>
      <c r="MW1389" s="120"/>
      <c r="MX1389" s="120"/>
      <c r="MY1389" s="120"/>
      <c r="MZ1389" s="120"/>
      <c r="NA1389" s="120"/>
      <c r="NB1389" s="120"/>
      <c r="NC1389" s="120"/>
      <c r="ND1389" s="120"/>
      <c r="NE1389" s="120"/>
      <c r="NF1389" s="120"/>
      <c r="NG1389" s="120"/>
      <c r="NH1389" s="120"/>
      <c r="NI1389" s="120"/>
      <c r="NJ1389" s="120"/>
      <c r="NK1389" s="120"/>
      <c r="NL1389" s="120"/>
      <c r="NM1389" s="120"/>
      <c r="NN1389" s="120"/>
      <c r="NO1389" s="120"/>
      <c r="NP1389" s="120"/>
      <c r="NQ1389" s="120"/>
      <c r="NR1389" s="120"/>
      <c r="NS1389" s="120"/>
      <c r="NT1389" s="120"/>
      <c r="NU1389" s="120"/>
      <c r="NV1389" s="120"/>
      <c r="NW1389" s="120"/>
      <c r="NX1389" s="120"/>
      <c r="NY1389" s="120"/>
      <c r="NZ1389" s="120"/>
      <c r="OA1389" s="120"/>
      <c r="OB1389" s="120"/>
      <c r="OC1389" s="120"/>
      <c r="OD1389" s="120"/>
      <c r="OE1389" s="120"/>
      <c r="OF1389" s="120"/>
      <c r="OG1389" s="120"/>
      <c r="OH1389" s="120"/>
      <c r="OI1389" s="120"/>
      <c r="OJ1389" s="120"/>
      <c r="OK1389" s="120"/>
      <c r="OL1389" s="120"/>
      <c r="OM1389" s="120"/>
      <c r="ON1389" s="120"/>
      <c r="OO1389" s="120"/>
      <c r="OP1389" s="120"/>
      <c r="OQ1389" s="120"/>
      <c r="OR1389" s="120"/>
      <c r="OS1389" s="120"/>
      <c r="OT1389" s="120"/>
      <c r="OU1389" s="120"/>
      <c r="OV1389" s="120"/>
      <c r="OW1389" s="120"/>
      <c r="OX1389" s="120"/>
      <c r="OY1389" s="120"/>
      <c r="OZ1389" s="120"/>
      <c r="PA1389" s="120"/>
      <c r="PB1389" s="120"/>
      <c r="PC1389" s="120"/>
      <c r="PD1389" s="120"/>
      <c r="PE1389" s="120"/>
      <c r="PF1389" s="120"/>
      <c r="PG1389" s="120"/>
      <c r="PH1389" s="120"/>
      <c r="PI1389" s="120"/>
      <c r="PJ1389" s="120"/>
      <c r="PK1389" s="120"/>
      <c r="PL1389" s="120"/>
      <c r="PM1389" s="120"/>
      <c r="PN1389" s="120"/>
      <c r="PO1389" s="120"/>
      <c r="PP1389" s="120"/>
      <c r="PQ1389" s="120"/>
      <c r="PR1389" s="120"/>
      <c r="PS1389" s="120"/>
      <c r="PT1389" s="120"/>
      <c r="PU1389" s="120"/>
      <c r="PV1389" s="120"/>
      <c r="PW1389" s="120"/>
      <c r="PX1389" s="120"/>
      <c r="PY1389" s="120"/>
      <c r="PZ1389" s="120"/>
      <c r="QA1389" s="120"/>
      <c r="QB1389" s="120"/>
      <c r="QC1389" s="120"/>
      <c r="QD1389" s="120"/>
      <c r="QE1389" s="120"/>
      <c r="QF1389" s="120"/>
      <c r="QG1389" s="120"/>
      <c r="QH1389" s="120"/>
      <c r="QI1389" s="120"/>
      <c r="QJ1389" s="120"/>
      <c r="QK1389" s="120"/>
      <c r="QL1389" s="120"/>
      <c r="QM1389" s="120"/>
      <c r="QN1389" s="120"/>
      <c r="QO1389" s="120"/>
      <c r="QP1389" s="120"/>
      <c r="QQ1389" s="120"/>
      <c r="QR1389" s="120"/>
      <c r="QS1389" s="120"/>
      <c r="QT1389" s="120"/>
      <c r="QU1389" s="120"/>
      <c r="QV1389" s="120"/>
      <c r="QW1389" s="120"/>
      <c r="QX1389" s="120"/>
      <c r="QY1389" s="120"/>
      <c r="QZ1389" s="120"/>
      <c r="RA1389" s="120"/>
      <c r="RB1389" s="120"/>
      <c r="RC1389" s="120"/>
      <c r="RD1389" s="120"/>
      <c r="RE1389" s="120"/>
      <c r="RF1389" s="120"/>
      <c r="RG1389" s="120"/>
      <c r="RH1389" s="120"/>
      <c r="RI1389" s="120"/>
      <c r="RJ1389" s="120"/>
      <c r="RK1389" s="120"/>
      <c r="RL1389" s="120"/>
      <c r="RM1389" s="120"/>
      <c r="RN1389" s="120"/>
      <c r="RO1389" s="120"/>
      <c r="RP1389" s="120"/>
      <c r="RQ1389" s="120"/>
      <c r="RR1389" s="120"/>
      <c r="RS1389" s="120"/>
      <c r="RT1389" s="120"/>
      <c r="RU1389" s="120"/>
      <c r="RV1389" s="120"/>
      <c r="RW1389" s="120"/>
      <c r="RX1389" s="120"/>
      <c r="RY1389" s="120"/>
      <c r="RZ1389" s="120"/>
      <c r="SA1389" s="120"/>
      <c r="SB1389" s="120"/>
      <c r="SC1389" s="120"/>
      <c r="SD1389" s="120"/>
      <c r="SE1389" s="120"/>
      <c r="SF1389" s="120"/>
      <c r="SG1389" s="120"/>
      <c r="SH1389" s="120"/>
      <c r="SI1389" s="120"/>
      <c r="SJ1389" s="120"/>
      <c r="SK1389" s="120"/>
      <c r="SL1389" s="120"/>
      <c r="SM1389" s="120"/>
      <c r="SN1389" s="120"/>
      <c r="SO1389" s="120"/>
      <c r="SP1389" s="120"/>
      <c r="SQ1389" s="120"/>
      <c r="SR1389" s="120"/>
      <c r="SS1389" s="120"/>
      <c r="ST1389" s="120"/>
      <c r="SU1389" s="120"/>
      <c r="SV1389" s="120"/>
      <c r="SW1389" s="120"/>
      <c r="SX1389" s="120"/>
      <c r="SY1389" s="120"/>
      <c r="SZ1389" s="120"/>
      <c r="TA1389" s="120"/>
      <c r="TB1389" s="120"/>
      <c r="TC1389" s="120"/>
      <c r="TD1389" s="120"/>
      <c r="TE1389" s="120"/>
      <c r="TF1389" s="120"/>
      <c r="TG1389" s="120"/>
      <c r="TH1389" s="120"/>
      <c r="TI1389" s="120"/>
      <c r="TJ1389" s="120"/>
      <c r="TK1389" s="120"/>
      <c r="TL1389" s="120"/>
      <c r="TM1389" s="120"/>
      <c r="TN1389" s="120"/>
      <c r="TO1389" s="120"/>
      <c r="TP1389" s="120"/>
      <c r="TQ1389" s="120"/>
      <c r="TR1389" s="120"/>
      <c r="TS1389" s="120"/>
      <c r="TT1389" s="120"/>
      <c r="TU1389" s="120"/>
      <c r="TV1389" s="120"/>
      <c r="TW1389" s="120"/>
      <c r="TX1389" s="120"/>
      <c r="TY1389" s="120"/>
      <c r="TZ1389" s="120"/>
      <c r="UA1389" s="120"/>
      <c r="UB1389" s="120"/>
      <c r="UC1389" s="120"/>
      <c r="UD1389" s="120"/>
      <c r="UE1389" s="120"/>
      <c r="UF1389" s="120"/>
      <c r="UG1389" s="120"/>
      <c r="UH1389" s="120"/>
      <c r="UI1389" s="120"/>
      <c r="UJ1389" s="120"/>
      <c r="UK1389" s="120"/>
      <c r="UL1389" s="120"/>
      <c r="UM1389" s="120"/>
      <c r="UN1389" s="120"/>
      <c r="UO1389" s="120"/>
      <c r="UP1389" s="120"/>
      <c r="UQ1389" s="120"/>
      <c r="UR1389" s="120"/>
      <c r="US1389" s="120"/>
      <c r="UT1389" s="120"/>
      <c r="UU1389" s="120"/>
      <c r="UV1389" s="120"/>
      <c r="UW1389" s="120"/>
      <c r="UX1389" s="120"/>
      <c r="UY1389" s="120"/>
      <c r="UZ1389" s="120"/>
      <c r="VA1389" s="120"/>
      <c r="VB1389" s="120"/>
      <c r="VC1389" s="120"/>
      <c r="VD1389" s="120"/>
      <c r="VE1389" s="120"/>
      <c r="VF1389" s="120"/>
      <c r="VG1389" s="120"/>
      <c r="VH1389" s="120"/>
      <c r="VI1389" s="120"/>
      <c r="VJ1389" s="120"/>
      <c r="VK1389" s="120"/>
      <c r="VL1389" s="120"/>
      <c r="VM1389" s="120"/>
      <c r="VN1389" s="120"/>
      <c r="VO1389" s="120"/>
      <c r="VP1389" s="120"/>
      <c r="VQ1389" s="120"/>
      <c r="VR1389" s="120"/>
      <c r="VS1389" s="120"/>
      <c r="VT1389" s="120"/>
      <c r="VU1389" s="120"/>
      <c r="VV1389" s="120"/>
      <c r="VW1389" s="120"/>
      <c r="VX1389" s="120"/>
      <c r="VY1389" s="120"/>
      <c r="VZ1389" s="120"/>
      <c r="WA1389" s="120"/>
      <c r="WB1389" s="120"/>
      <c r="WC1389" s="120"/>
      <c r="WD1389" s="120"/>
      <c r="WE1389" s="120"/>
      <c r="WF1389" s="120"/>
      <c r="WG1389" s="120"/>
      <c r="WH1389" s="120"/>
      <c r="WI1389" s="120"/>
      <c r="WJ1389" s="120"/>
      <c r="WK1389" s="120"/>
      <c r="WL1389" s="120"/>
      <c r="WM1389" s="120"/>
      <c r="WN1389" s="120"/>
      <c r="WO1389" s="120"/>
      <c r="WP1389" s="120"/>
      <c r="WQ1389" s="120"/>
      <c r="WR1389" s="120"/>
      <c r="WS1389" s="120"/>
      <c r="WT1389" s="120"/>
      <c r="WU1389" s="120"/>
      <c r="WV1389" s="120"/>
      <c r="WW1389" s="120"/>
      <c r="WX1389" s="120"/>
      <c r="WY1389" s="120"/>
      <c r="WZ1389" s="120"/>
      <c r="XA1389" s="120"/>
      <c r="XB1389" s="120"/>
      <c r="XC1389" s="120"/>
      <c r="XD1389" s="120"/>
      <c r="XE1389" s="120"/>
      <c r="XF1389" s="120"/>
      <c r="XG1389" s="120"/>
      <c r="XH1389" s="120"/>
      <c r="XI1389" s="120"/>
      <c r="XJ1389" s="120"/>
      <c r="XK1389" s="120"/>
      <c r="XL1389" s="120"/>
      <c r="XM1389" s="120"/>
      <c r="XN1389" s="120"/>
      <c r="XO1389" s="120"/>
      <c r="XP1389" s="120"/>
      <c r="XQ1389" s="120"/>
      <c r="XR1389" s="120"/>
      <c r="XS1389" s="120"/>
      <c r="XT1389" s="120"/>
      <c r="XU1389" s="120"/>
      <c r="XV1389" s="120"/>
      <c r="XW1389" s="120"/>
      <c r="XX1389" s="120"/>
      <c r="XY1389" s="120"/>
      <c r="XZ1389" s="120"/>
      <c r="YA1389" s="120"/>
      <c r="YB1389" s="120"/>
      <c r="YC1389" s="120"/>
      <c r="YD1389" s="120"/>
      <c r="YE1389" s="120"/>
      <c r="YF1389" s="120"/>
      <c r="YG1389" s="120"/>
      <c r="YH1389" s="120"/>
      <c r="YI1389" s="120"/>
      <c r="YJ1389" s="120"/>
      <c r="YK1389" s="120"/>
      <c r="YL1389" s="120"/>
      <c r="YM1389" s="120"/>
      <c r="YN1389" s="120"/>
      <c r="YO1389" s="120"/>
      <c r="YP1389" s="120"/>
      <c r="YQ1389" s="120"/>
      <c r="YR1389" s="120"/>
      <c r="YS1389" s="120"/>
      <c r="YT1389" s="120"/>
      <c r="YU1389" s="120"/>
      <c r="YV1389" s="120"/>
      <c r="YW1389" s="120"/>
      <c r="YX1389" s="120"/>
      <c r="YY1389" s="120"/>
      <c r="YZ1389" s="120"/>
      <c r="ZA1389" s="120"/>
      <c r="ZB1389" s="120"/>
      <c r="ZC1389" s="120"/>
      <c r="ZD1389" s="120"/>
      <c r="ZE1389" s="120"/>
      <c r="ZF1389" s="120"/>
      <c r="ZG1389" s="120"/>
      <c r="ZH1389" s="120"/>
      <c r="ZI1389" s="120"/>
      <c r="ZJ1389" s="120"/>
      <c r="ZK1389" s="120"/>
      <c r="ZL1389" s="120"/>
      <c r="ZM1389" s="120"/>
      <c r="ZN1389" s="120"/>
      <c r="ZO1389" s="120"/>
      <c r="ZP1389" s="120"/>
      <c r="ZQ1389" s="120"/>
      <c r="ZR1389" s="120"/>
      <c r="ZS1389" s="120"/>
      <c r="ZT1389" s="120"/>
      <c r="ZU1389" s="120"/>
      <c r="ZV1389" s="120"/>
      <c r="ZW1389" s="120"/>
      <c r="ZX1389" s="120"/>
      <c r="ZY1389" s="120"/>
      <c r="ZZ1389" s="120"/>
      <c r="AAA1389" s="120"/>
      <c r="AAB1389" s="120"/>
      <c r="AAC1389" s="120"/>
      <c r="AAD1389" s="120"/>
      <c r="AAE1389" s="120"/>
      <c r="AAF1389" s="120"/>
      <c r="AAG1389" s="120"/>
      <c r="AAH1389" s="120"/>
      <c r="AAI1389" s="120"/>
      <c r="AAJ1389" s="120"/>
      <c r="AAK1389" s="120"/>
      <c r="AAL1389" s="120"/>
      <c r="AAM1389" s="120"/>
      <c r="AAN1389" s="120"/>
      <c r="AAO1389" s="120"/>
      <c r="AAP1389" s="120"/>
      <c r="AAQ1389" s="120"/>
      <c r="AAR1389" s="120"/>
      <c r="AAS1389" s="120"/>
      <c r="AAT1389" s="120"/>
      <c r="AAU1389" s="120"/>
      <c r="AAV1389" s="120"/>
      <c r="AAW1389" s="120"/>
      <c r="AAX1389" s="120"/>
      <c r="AAY1389" s="120"/>
      <c r="AAZ1389" s="120"/>
      <c r="ABA1389" s="120"/>
      <c r="ABB1389" s="120"/>
      <c r="ABC1389" s="120"/>
      <c r="ABD1389" s="120"/>
      <c r="ABE1389" s="120"/>
      <c r="ABF1389" s="120"/>
      <c r="ABG1389" s="120"/>
      <c r="ABH1389" s="120"/>
      <c r="ABI1389" s="120"/>
      <c r="ABJ1389" s="120"/>
      <c r="ABK1389" s="120"/>
      <c r="ABL1389" s="120"/>
      <c r="ABM1389" s="120"/>
      <c r="ABN1389" s="120"/>
      <c r="ABO1389" s="120"/>
      <c r="ABP1389" s="120"/>
      <c r="ABQ1389" s="120"/>
      <c r="ABR1389" s="120"/>
      <c r="ABS1389" s="120"/>
      <c r="ABT1389" s="120"/>
      <c r="ABU1389" s="120"/>
      <c r="ABV1389" s="120"/>
      <c r="ABW1389" s="120"/>
      <c r="ABX1389" s="120"/>
      <c r="ABY1389" s="120"/>
      <c r="ABZ1389" s="120"/>
      <c r="ACA1389" s="120"/>
      <c r="ACB1389" s="120"/>
      <c r="ACC1389" s="120"/>
      <c r="ACD1389" s="120"/>
      <c r="ACE1389" s="120"/>
      <c r="ACF1389" s="120"/>
      <c r="ACG1389" s="120"/>
      <c r="ACH1389" s="120"/>
      <c r="ACI1389" s="120"/>
      <c r="ACJ1389" s="120"/>
      <c r="ACK1389" s="120"/>
      <c r="ACL1389" s="120"/>
      <c r="ACM1389" s="120"/>
      <c r="ACN1389" s="120"/>
      <c r="ACO1389" s="120"/>
      <c r="ACP1389" s="120"/>
      <c r="ACQ1389" s="120"/>
      <c r="ACR1389" s="120"/>
      <c r="ACS1389" s="120"/>
      <c r="ACT1389" s="120"/>
      <c r="ACU1389" s="120"/>
      <c r="ACV1389" s="120"/>
      <c r="ACW1389" s="120"/>
      <c r="ACX1389" s="120"/>
      <c r="ACY1389" s="120"/>
      <c r="ACZ1389" s="120"/>
      <c r="ADA1389" s="120"/>
      <c r="ADB1389" s="120"/>
      <c r="ADC1389" s="120"/>
      <c r="ADD1389" s="120"/>
      <c r="ADE1389" s="120"/>
      <c r="ADF1389" s="120"/>
      <c r="ADG1389" s="120"/>
      <c r="ADH1389" s="120"/>
      <c r="ADI1389" s="120"/>
      <c r="ADJ1389" s="120"/>
      <c r="ADK1389" s="120"/>
      <c r="ADL1389" s="120"/>
      <c r="ADM1389" s="120"/>
      <c r="ADN1389" s="120"/>
      <c r="ADO1389" s="120"/>
      <c r="ADP1389" s="120"/>
      <c r="ADQ1389" s="120"/>
      <c r="ADR1389" s="120"/>
      <c r="ADS1389" s="120"/>
      <c r="ADT1389" s="120"/>
      <c r="ADU1389" s="120"/>
      <c r="ADV1389" s="120"/>
      <c r="ADW1389" s="120"/>
      <c r="ADX1389" s="120"/>
      <c r="ADY1389" s="120"/>
      <c r="ADZ1389" s="120"/>
      <c r="AEA1389" s="120"/>
      <c r="AEB1389" s="120"/>
      <c r="AEC1389" s="120"/>
      <c r="AED1389" s="120"/>
      <c r="AEE1389" s="120"/>
      <c r="AEF1389" s="120"/>
      <c r="AEG1389" s="120"/>
      <c r="AEH1389" s="120"/>
      <c r="AEI1389" s="120"/>
      <c r="AEJ1389" s="120"/>
      <c r="AEK1389" s="120"/>
      <c r="AEL1389" s="120"/>
      <c r="AEM1389" s="120"/>
      <c r="AEN1389" s="120"/>
      <c r="AEO1389" s="120"/>
      <c r="AEP1389" s="120"/>
      <c r="AEQ1389" s="120"/>
      <c r="AER1389" s="120"/>
      <c r="AES1389" s="120"/>
      <c r="AET1389" s="120"/>
      <c r="AEU1389" s="120"/>
      <c r="AEV1389" s="120"/>
      <c r="AEW1389" s="120"/>
      <c r="AEX1389" s="120"/>
      <c r="AEY1389" s="120"/>
      <c r="AEZ1389" s="120"/>
      <c r="AFA1389" s="120"/>
      <c r="AFB1389" s="120"/>
      <c r="AFC1389" s="120"/>
      <c r="AFD1389" s="120"/>
      <c r="AFE1389" s="120"/>
      <c r="AFF1389" s="120"/>
      <c r="AFG1389" s="120"/>
      <c r="AFH1389" s="120"/>
      <c r="AFI1389" s="120"/>
      <c r="AFJ1389" s="120"/>
      <c r="AFK1389" s="120"/>
      <c r="AFL1389" s="120"/>
      <c r="AFM1389" s="120"/>
      <c r="AFN1389" s="120"/>
      <c r="AFO1389" s="120"/>
      <c r="AFP1389" s="120"/>
      <c r="AFQ1389" s="120"/>
      <c r="AFR1389" s="120"/>
      <c r="AFS1389" s="120"/>
      <c r="AFT1389" s="120"/>
      <c r="AFU1389" s="120"/>
      <c r="AFV1389" s="120"/>
      <c r="AFW1389" s="120"/>
      <c r="AFX1389" s="120"/>
      <c r="AFY1389" s="120"/>
      <c r="AFZ1389" s="120"/>
      <c r="AGA1389" s="120"/>
      <c r="AGB1389" s="120"/>
      <c r="AGC1389" s="120"/>
      <c r="AGD1389" s="120"/>
      <c r="AGE1389" s="120"/>
      <c r="AGF1389" s="120"/>
      <c r="AGG1389" s="120"/>
      <c r="AGH1389" s="120"/>
      <c r="AGI1389" s="120"/>
      <c r="AGJ1389" s="120"/>
      <c r="AGK1389" s="120"/>
      <c r="AGL1389" s="120"/>
      <c r="AGM1389" s="120"/>
      <c r="AGN1389" s="120"/>
      <c r="AGO1389" s="120"/>
      <c r="AGP1389" s="120"/>
      <c r="AGQ1389" s="120"/>
      <c r="AGR1389" s="120"/>
      <c r="AGS1389" s="120"/>
      <c r="AGT1389" s="120"/>
      <c r="AGU1389" s="120"/>
      <c r="AGV1389" s="120"/>
      <c r="AGW1389" s="120"/>
      <c r="AGX1389" s="120"/>
      <c r="AGY1389" s="120"/>
      <c r="AGZ1389" s="120"/>
      <c r="AHA1389" s="120"/>
      <c r="AHB1389" s="120"/>
      <c r="AHC1389" s="120"/>
      <c r="AHD1389" s="120"/>
      <c r="AHE1389" s="120"/>
      <c r="AHF1389" s="120"/>
      <c r="AHG1389" s="120"/>
      <c r="AHH1389" s="120"/>
      <c r="AHI1389" s="120"/>
      <c r="AHJ1389" s="120"/>
      <c r="AHK1389" s="120"/>
      <c r="AHL1389" s="120"/>
      <c r="AHM1389" s="120"/>
      <c r="AHN1389" s="120"/>
      <c r="AHO1389" s="120"/>
      <c r="AHP1389" s="120"/>
      <c r="AHQ1389" s="120"/>
      <c r="AHR1389" s="120"/>
      <c r="AHS1389" s="120"/>
      <c r="AHT1389" s="120"/>
      <c r="AHU1389" s="120"/>
      <c r="AHV1389" s="120"/>
      <c r="AHW1389" s="120"/>
      <c r="AHX1389" s="120"/>
      <c r="AHY1389" s="120"/>
      <c r="AHZ1389" s="120"/>
      <c r="AIA1389" s="120"/>
      <c r="AIB1389" s="120"/>
      <c r="AIC1389" s="120"/>
      <c r="AID1389" s="120"/>
      <c r="AIE1389" s="120"/>
      <c r="AIF1389" s="120"/>
      <c r="AIG1389" s="120"/>
      <c r="AIH1389" s="120"/>
      <c r="AII1389" s="120"/>
      <c r="AIJ1389" s="120"/>
      <c r="AIK1389" s="120"/>
      <c r="AIL1389" s="120"/>
      <c r="AIM1389" s="120"/>
      <c r="AIN1389" s="120"/>
      <c r="AIO1389" s="120"/>
      <c r="AIP1389" s="120"/>
      <c r="AIQ1389" s="120"/>
      <c r="AIR1389" s="120"/>
      <c r="AIS1389" s="120"/>
      <c r="AIT1389" s="120"/>
      <c r="AIU1389" s="120"/>
      <c r="AIV1389" s="120"/>
      <c r="AIW1389" s="120"/>
      <c r="AIX1389" s="120"/>
      <c r="AIY1389" s="120"/>
      <c r="AIZ1389" s="120"/>
      <c r="AJA1389" s="120"/>
      <c r="AJB1389" s="120"/>
      <c r="AJC1389" s="120"/>
      <c r="AJD1389" s="120"/>
      <c r="AJE1389" s="120"/>
      <c r="AJF1389" s="120"/>
      <c r="AJG1389" s="120"/>
      <c r="AJH1389" s="120"/>
      <c r="AJI1389" s="120"/>
      <c r="AJJ1389" s="120"/>
      <c r="AJK1389" s="120"/>
      <c r="AJL1389" s="120"/>
      <c r="AJM1389" s="120"/>
      <c r="AJN1389" s="120"/>
      <c r="AJO1389" s="120"/>
      <c r="AJP1389" s="120"/>
      <c r="AJQ1389" s="120"/>
      <c r="AJR1389" s="120"/>
      <c r="AJS1389" s="120"/>
      <c r="AJT1389" s="120"/>
      <c r="AJU1389" s="120"/>
      <c r="AJV1389" s="120"/>
      <c r="AJW1389" s="120"/>
      <c r="AJX1389" s="120"/>
      <c r="AJY1389" s="120"/>
      <c r="AJZ1389" s="120"/>
      <c r="AKA1389" s="120"/>
      <c r="AKB1389" s="120"/>
      <c r="AKC1389" s="120"/>
      <c r="AKD1389" s="120"/>
      <c r="AKE1389" s="120"/>
      <c r="AKF1389" s="120"/>
      <c r="AKG1389" s="120"/>
      <c r="AKH1389" s="120"/>
      <c r="AKI1389" s="120"/>
      <c r="AKJ1389" s="120"/>
      <c r="AKK1389" s="120"/>
      <c r="AKL1389" s="120"/>
      <c r="AKM1389" s="120"/>
      <c r="AKN1389" s="120"/>
      <c r="AKO1389" s="120"/>
      <c r="AKP1389" s="120"/>
      <c r="AKQ1389" s="120"/>
      <c r="AKR1389" s="120"/>
      <c r="AKS1389" s="120"/>
      <c r="AKT1389" s="120"/>
      <c r="AKU1389" s="120"/>
      <c r="AKV1389" s="120"/>
      <c r="AKW1389" s="120"/>
      <c r="AKX1389" s="120"/>
      <c r="AKY1389" s="120"/>
      <c r="AKZ1389" s="120"/>
      <c r="ALA1389" s="120"/>
      <c r="ALB1389" s="120"/>
      <c r="ALC1389" s="120"/>
      <c r="ALD1389" s="120"/>
      <c r="ALE1389" s="120"/>
      <c r="ALF1389" s="120"/>
      <c r="ALG1389" s="120"/>
      <c r="ALH1389" s="120"/>
      <c r="ALI1389" s="120"/>
      <c r="ALJ1389" s="120"/>
      <c r="ALK1389" s="120"/>
      <c r="ALL1389" s="120"/>
      <c r="ALM1389" s="120"/>
      <c r="ALN1389" s="120"/>
      <c r="ALO1389" s="120"/>
      <c r="ALP1389" s="120"/>
      <c r="ALQ1389" s="120"/>
      <c r="ALR1389" s="120"/>
      <c r="ALS1389" s="120"/>
      <c r="ALT1389" s="120"/>
      <c r="ALU1389" s="120"/>
      <c r="ALV1389" s="120"/>
      <c r="ALW1389" s="120"/>
      <c r="ALX1389" s="120"/>
      <c r="ALY1389" s="120"/>
      <c r="ALZ1389" s="120"/>
      <c r="AMA1389" s="120"/>
      <c r="AMB1389" s="120"/>
      <c r="AMC1389" s="120"/>
      <c r="AMD1389" s="120"/>
      <c r="AME1389" s="120"/>
      <c r="AMF1389" s="120"/>
      <c r="AMG1389" s="120"/>
      <c r="AMH1389" s="120"/>
      <c r="AMI1389" s="120"/>
      <c r="AMJ1389" s="120"/>
      <c r="AMK1389" s="120"/>
      <c r="AML1389" s="120"/>
      <c r="AMM1389" s="120"/>
      <c r="AMN1389" s="120"/>
      <c r="AMO1389" s="120"/>
      <c r="AMP1389" s="120"/>
      <c r="AMQ1389" s="120"/>
      <c r="AMR1389" s="120"/>
      <c r="AMS1389" s="120"/>
      <c r="AMT1389" s="120"/>
      <c r="AMU1389" s="120"/>
      <c r="AMV1389" s="120"/>
      <c r="AMW1389" s="120"/>
      <c r="AMX1389" s="120"/>
      <c r="AMY1389" s="120"/>
      <c r="AMZ1389" s="120"/>
      <c r="ANA1389" s="120"/>
      <c r="ANB1389" s="120"/>
      <c r="ANC1389" s="120"/>
      <c r="AND1389" s="120"/>
      <c r="ANE1389" s="120"/>
      <c r="ANF1389" s="120"/>
      <c r="ANG1389" s="120"/>
      <c r="ANH1389" s="120"/>
      <c r="ANI1389" s="120"/>
      <c r="ANJ1389" s="120"/>
      <c r="ANK1389" s="120"/>
      <c r="ANL1389" s="120"/>
      <c r="ANM1389" s="120"/>
      <c r="ANN1389" s="120"/>
      <c r="ANO1389" s="120"/>
      <c r="ANP1389" s="120"/>
      <c r="ANQ1389" s="120"/>
      <c r="ANR1389" s="120"/>
      <c r="ANS1389" s="120"/>
      <c r="ANT1389" s="120"/>
      <c r="ANU1389" s="120"/>
      <c r="ANV1389" s="120"/>
      <c r="ANW1389" s="120"/>
      <c r="ANX1389" s="120"/>
      <c r="ANY1389" s="120"/>
      <c r="ANZ1389" s="120"/>
      <c r="AOA1389" s="120"/>
      <c r="AOB1389" s="120"/>
      <c r="AOC1389" s="120"/>
      <c r="AOD1389" s="120"/>
      <c r="AOE1389" s="120"/>
      <c r="AOF1389" s="120"/>
      <c r="AOG1389" s="120"/>
      <c r="AOH1389" s="120"/>
      <c r="AOI1389" s="120"/>
      <c r="AOJ1389" s="120"/>
      <c r="AOK1389" s="120"/>
      <c r="AOL1389" s="120"/>
      <c r="AOM1389" s="120"/>
      <c r="AON1389" s="120"/>
      <c r="AOO1389" s="120"/>
      <c r="AOP1389" s="120"/>
      <c r="AOQ1389" s="120"/>
      <c r="AOR1389" s="120"/>
      <c r="AOS1389" s="120"/>
      <c r="AOT1389" s="120"/>
      <c r="AOU1389" s="120"/>
      <c r="AOV1389" s="120"/>
      <c r="AOW1389" s="120"/>
      <c r="AOX1389" s="120"/>
      <c r="AOY1389" s="120"/>
      <c r="AOZ1389" s="120"/>
      <c r="APA1389" s="120"/>
      <c r="APB1389" s="120"/>
      <c r="APC1389" s="120"/>
      <c r="APD1389" s="120"/>
      <c r="APE1389" s="120"/>
      <c r="APF1389" s="120"/>
      <c r="APG1389" s="120"/>
      <c r="APH1389" s="120"/>
      <c r="API1389" s="120"/>
      <c r="APJ1389" s="120"/>
      <c r="APK1389" s="120"/>
      <c r="APL1389" s="120"/>
      <c r="APM1389" s="120"/>
      <c r="APN1389" s="120"/>
      <c r="APO1389" s="120"/>
      <c r="APP1389" s="120"/>
      <c r="APQ1389" s="120"/>
      <c r="APR1389" s="120"/>
      <c r="APS1389" s="120"/>
      <c r="APT1389" s="120"/>
      <c r="APU1389" s="120"/>
      <c r="APV1389" s="120"/>
      <c r="APW1389" s="120"/>
      <c r="APX1389" s="120"/>
      <c r="APY1389" s="120"/>
      <c r="APZ1389" s="120"/>
      <c r="AQA1389" s="120"/>
      <c r="AQB1389" s="120"/>
      <c r="AQC1389" s="120"/>
      <c r="AQD1389" s="120"/>
      <c r="AQE1389" s="120"/>
      <c r="AQF1389" s="120"/>
      <c r="AQG1389" s="120"/>
      <c r="AQH1389" s="120"/>
      <c r="AQI1389" s="120"/>
      <c r="AQJ1389" s="120"/>
      <c r="AQK1389" s="120"/>
      <c r="AQL1389" s="120"/>
      <c r="AQM1389" s="120"/>
      <c r="AQN1389" s="120"/>
      <c r="AQO1389" s="120"/>
      <c r="AQP1389" s="120"/>
      <c r="AQQ1389" s="120"/>
      <c r="AQR1389" s="120"/>
      <c r="AQS1389" s="120"/>
      <c r="AQT1389" s="120"/>
      <c r="AQU1389" s="120"/>
      <c r="AQV1389" s="120"/>
      <c r="AQW1389" s="120"/>
      <c r="AQX1389" s="120"/>
      <c r="AQY1389" s="120"/>
      <c r="AQZ1389" s="120"/>
      <c r="ARA1389" s="120"/>
      <c r="ARB1389" s="120"/>
      <c r="ARC1389" s="120"/>
      <c r="ARD1389" s="120"/>
      <c r="ARE1389" s="120"/>
      <c r="ARF1389" s="120"/>
      <c r="ARG1389" s="120"/>
      <c r="ARH1389" s="120"/>
      <c r="ARI1389" s="120"/>
      <c r="ARJ1389" s="120"/>
      <c r="ARK1389" s="120"/>
      <c r="ARL1389" s="120"/>
      <c r="ARM1389" s="120"/>
      <c r="ARN1389" s="120"/>
      <c r="ARO1389" s="120"/>
      <c r="ARP1389" s="120"/>
      <c r="ARQ1389" s="120"/>
      <c r="ARR1389" s="120"/>
      <c r="ARS1389" s="120"/>
      <c r="ART1389" s="120"/>
      <c r="ARU1389" s="120"/>
      <c r="ARV1389" s="120"/>
      <c r="ARW1389" s="120"/>
      <c r="ARX1389" s="120"/>
      <c r="ARY1389" s="120"/>
      <c r="ARZ1389" s="120"/>
      <c r="ASA1389" s="120"/>
      <c r="ASB1389" s="120"/>
      <c r="ASC1389" s="120"/>
      <c r="ASD1389" s="120"/>
      <c r="ASE1389" s="120"/>
      <c r="ASF1389" s="120"/>
      <c r="ASG1389" s="120"/>
      <c r="ASH1389" s="120"/>
      <c r="ASI1389" s="120"/>
      <c r="ASJ1389" s="120"/>
      <c r="ASK1389" s="120"/>
      <c r="ASL1389" s="120"/>
      <c r="ASM1389" s="120"/>
      <c r="ASN1389" s="120"/>
      <c r="ASO1389" s="120"/>
      <c r="ASP1389" s="120"/>
      <c r="ASQ1389" s="120"/>
      <c r="ASR1389" s="120"/>
      <c r="ASS1389" s="120"/>
      <c r="AST1389" s="120"/>
      <c r="ASU1389" s="120"/>
      <c r="ASV1389" s="120"/>
      <c r="ASW1389" s="120"/>
      <c r="ASX1389" s="120"/>
      <c r="ASY1389" s="120"/>
      <c r="ASZ1389" s="120"/>
      <c r="ATA1389" s="120"/>
      <c r="ATB1389" s="120"/>
      <c r="ATC1389" s="120"/>
      <c r="ATD1389" s="120"/>
      <c r="ATE1389" s="120"/>
      <c r="ATF1389" s="120"/>
      <c r="ATG1389" s="120"/>
      <c r="ATH1389" s="120"/>
      <c r="ATI1389" s="120"/>
      <c r="ATJ1389" s="120"/>
      <c r="ATK1389" s="120"/>
      <c r="ATL1389" s="120"/>
      <c r="ATM1389" s="120"/>
      <c r="ATN1389" s="120"/>
      <c r="ATO1389" s="120"/>
    </row>
    <row r="1390" spans="1:1211" s="20" customFormat="1" ht="14.1" customHeight="1">
      <c r="A1390" s="112"/>
      <c r="B1390" s="723"/>
      <c r="C1390" s="184" t="s">
        <v>6150</v>
      </c>
      <c r="D1390" s="120"/>
      <c r="E1390" s="701"/>
      <c r="F1390" s="703"/>
      <c r="G1390" s="702"/>
      <c r="H1390" s="702"/>
      <c r="I1390" s="702"/>
      <c r="J1390" s="700"/>
      <c r="K1390" s="112"/>
      <c r="L1390" s="363"/>
      <c r="M1390" s="112"/>
      <c r="N1390" s="362"/>
      <c r="O1390" s="573"/>
      <c r="P1390" s="120"/>
      <c r="Q1390" s="120"/>
      <c r="R1390" s="120"/>
      <c r="S1390" s="120"/>
      <c r="T1390" s="120"/>
      <c r="U1390" s="120"/>
      <c r="V1390" s="120"/>
      <c r="W1390" s="120"/>
      <c r="X1390" s="120"/>
      <c r="Y1390" s="120"/>
      <c r="Z1390" s="120"/>
      <c r="AA1390" s="120"/>
      <c r="AB1390" s="120"/>
      <c r="AC1390" s="120"/>
      <c r="AD1390" s="120"/>
      <c r="AE1390" s="120"/>
      <c r="AF1390" s="120"/>
      <c r="AG1390" s="120"/>
      <c r="AH1390" s="120"/>
      <c r="AI1390" s="120"/>
      <c r="AJ1390" s="120"/>
      <c r="AK1390" s="120"/>
      <c r="AL1390" s="120"/>
      <c r="AM1390" s="120"/>
      <c r="AN1390" s="120"/>
      <c r="AO1390" s="120"/>
      <c r="AP1390" s="120"/>
      <c r="AQ1390" s="120"/>
      <c r="AR1390" s="120"/>
      <c r="AS1390" s="120"/>
      <c r="AT1390" s="120"/>
      <c r="AU1390" s="120"/>
      <c r="AV1390" s="120"/>
      <c r="AW1390" s="120"/>
      <c r="AX1390" s="120"/>
      <c r="AY1390" s="120"/>
      <c r="AZ1390" s="120"/>
      <c r="BA1390" s="120"/>
      <c r="BB1390" s="120"/>
      <c r="BC1390" s="120"/>
      <c r="BD1390" s="120"/>
      <c r="BE1390" s="120"/>
      <c r="BF1390" s="120"/>
      <c r="BG1390" s="120"/>
      <c r="BH1390" s="120"/>
      <c r="BI1390" s="120"/>
      <c r="BJ1390" s="120"/>
      <c r="BK1390" s="120"/>
      <c r="BL1390" s="120"/>
      <c r="BM1390" s="120"/>
      <c r="BN1390" s="120"/>
      <c r="BO1390" s="120"/>
      <c r="BP1390" s="120"/>
      <c r="BQ1390" s="120"/>
      <c r="BR1390" s="120"/>
      <c r="BS1390" s="120"/>
      <c r="BT1390" s="120"/>
      <c r="BU1390" s="120"/>
      <c r="BV1390" s="120"/>
      <c r="BW1390" s="120"/>
      <c r="BX1390" s="120"/>
      <c r="BY1390" s="120"/>
      <c r="BZ1390" s="120"/>
      <c r="CA1390" s="120"/>
      <c r="CB1390" s="120"/>
      <c r="CC1390" s="120"/>
      <c r="CD1390" s="120"/>
      <c r="CE1390" s="120"/>
      <c r="CF1390" s="120"/>
      <c r="CG1390" s="120"/>
      <c r="CH1390" s="120"/>
      <c r="CI1390" s="120"/>
      <c r="CJ1390" s="120"/>
      <c r="CK1390" s="120"/>
      <c r="CL1390" s="120"/>
      <c r="CM1390" s="120"/>
      <c r="CN1390" s="120"/>
      <c r="CO1390" s="120"/>
      <c r="CP1390" s="120"/>
      <c r="CQ1390" s="120"/>
      <c r="CR1390" s="120"/>
      <c r="CS1390" s="120"/>
      <c r="CT1390" s="120"/>
      <c r="CU1390" s="120"/>
      <c r="CV1390" s="120"/>
      <c r="CW1390" s="120"/>
      <c r="CX1390" s="120"/>
      <c r="CY1390" s="120"/>
      <c r="CZ1390" s="120"/>
      <c r="DA1390" s="120"/>
      <c r="DB1390" s="120"/>
      <c r="DC1390" s="120"/>
      <c r="DD1390" s="120"/>
      <c r="DE1390" s="120"/>
      <c r="DF1390" s="120"/>
      <c r="DG1390" s="120"/>
      <c r="DH1390" s="120"/>
      <c r="DI1390" s="120"/>
      <c r="DJ1390" s="120"/>
      <c r="DK1390" s="120"/>
      <c r="DL1390" s="120"/>
      <c r="DM1390" s="120"/>
      <c r="DN1390" s="120"/>
      <c r="DO1390" s="120"/>
      <c r="DP1390" s="120"/>
      <c r="DQ1390" s="120"/>
      <c r="DR1390" s="120"/>
      <c r="DS1390" s="120"/>
      <c r="DT1390" s="120"/>
      <c r="DU1390" s="120"/>
      <c r="DV1390" s="120"/>
      <c r="DW1390" s="120"/>
      <c r="DX1390" s="120"/>
      <c r="DY1390" s="120"/>
      <c r="DZ1390" s="120"/>
      <c r="EA1390" s="120"/>
      <c r="EB1390" s="120"/>
      <c r="EC1390" s="120"/>
      <c r="ED1390" s="120"/>
      <c r="EE1390" s="120"/>
      <c r="EF1390" s="120"/>
      <c r="EG1390" s="120"/>
      <c r="EH1390" s="120"/>
      <c r="EI1390" s="120"/>
      <c r="EJ1390" s="120"/>
      <c r="EK1390" s="120"/>
      <c r="EL1390" s="120"/>
      <c r="EM1390" s="120"/>
      <c r="EN1390" s="120"/>
      <c r="EO1390" s="120"/>
      <c r="EP1390" s="120"/>
      <c r="EQ1390" s="120"/>
      <c r="ER1390" s="120"/>
      <c r="ES1390" s="120"/>
      <c r="ET1390" s="120"/>
      <c r="EU1390" s="120"/>
      <c r="EV1390" s="120"/>
      <c r="EW1390" s="120"/>
      <c r="EX1390" s="120"/>
      <c r="EY1390" s="120"/>
      <c r="EZ1390" s="120"/>
      <c r="FA1390" s="120"/>
      <c r="FB1390" s="120"/>
      <c r="FC1390" s="120"/>
      <c r="FD1390" s="120"/>
      <c r="FE1390" s="120"/>
      <c r="FF1390" s="120"/>
      <c r="FG1390" s="120"/>
      <c r="FH1390" s="120"/>
      <c r="FI1390" s="120"/>
      <c r="FJ1390" s="120"/>
      <c r="FK1390" s="120"/>
      <c r="FL1390" s="120"/>
      <c r="FM1390" s="120"/>
      <c r="FN1390" s="120"/>
      <c r="FO1390" s="120"/>
      <c r="FP1390" s="120"/>
      <c r="FQ1390" s="120"/>
      <c r="FR1390" s="120"/>
      <c r="FS1390" s="120"/>
      <c r="FT1390" s="120"/>
      <c r="FU1390" s="120"/>
      <c r="FV1390" s="120"/>
      <c r="FW1390" s="120"/>
      <c r="FX1390" s="120"/>
      <c r="FY1390" s="120"/>
      <c r="FZ1390" s="120"/>
      <c r="GA1390" s="120"/>
      <c r="GB1390" s="120"/>
      <c r="GC1390" s="120"/>
      <c r="GD1390" s="120"/>
      <c r="GE1390" s="120"/>
      <c r="GF1390" s="120"/>
      <c r="GG1390" s="120"/>
      <c r="GH1390" s="120"/>
      <c r="GI1390" s="120"/>
      <c r="GJ1390" s="120"/>
      <c r="GK1390" s="120"/>
      <c r="GL1390" s="120"/>
      <c r="GM1390" s="120"/>
      <c r="GN1390" s="120"/>
      <c r="GO1390" s="120"/>
      <c r="GP1390" s="120"/>
      <c r="GQ1390" s="120"/>
      <c r="GR1390" s="120"/>
      <c r="GS1390" s="120"/>
      <c r="GT1390" s="120"/>
      <c r="GU1390" s="120"/>
      <c r="GV1390" s="120"/>
      <c r="GW1390" s="120"/>
      <c r="GX1390" s="120"/>
      <c r="GY1390" s="120"/>
      <c r="GZ1390" s="120"/>
      <c r="HA1390" s="120"/>
      <c r="HB1390" s="120"/>
      <c r="HC1390" s="120"/>
      <c r="HD1390" s="120"/>
      <c r="HE1390" s="120"/>
      <c r="HF1390" s="120"/>
      <c r="HG1390" s="120"/>
      <c r="HH1390" s="120"/>
      <c r="HI1390" s="120"/>
      <c r="HJ1390" s="120"/>
      <c r="HK1390" s="120"/>
      <c r="HL1390" s="120"/>
      <c r="HM1390" s="120"/>
      <c r="HN1390" s="120"/>
      <c r="HO1390" s="120"/>
      <c r="HP1390" s="120"/>
      <c r="HQ1390" s="120"/>
      <c r="HR1390" s="120"/>
      <c r="HS1390" s="120"/>
      <c r="HT1390" s="120"/>
      <c r="HU1390" s="120"/>
      <c r="HV1390" s="120"/>
      <c r="HW1390" s="120"/>
      <c r="HX1390" s="120"/>
      <c r="HY1390" s="120"/>
      <c r="HZ1390" s="120"/>
      <c r="IA1390" s="120"/>
      <c r="IB1390" s="120"/>
      <c r="IC1390" s="120"/>
      <c r="ID1390" s="120"/>
      <c r="IE1390" s="120"/>
      <c r="IF1390" s="120"/>
      <c r="IG1390" s="120"/>
      <c r="IH1390" s="120"/>
      <c r="II1390" s="120"/>
      <c r="IJ1390" s="120"/>
      <c r="IK1390" s="120"/>
      <c r="IL1390" s="120"/>
      <c r="IM1390" s="120"/>
      <c r="IN1390" s="120"/>
      <c r="IO1390" s="120"/>
      <c r="IP1390" s="120"/>
      <c r="IQ1390" s="120"/>
      <c r="IR1390" s="120"/>
      <c r="IS1390" s="120"/>
      <c r="IT1390" s="120"/>
      <c r="IU1390" s="120"/>
      <c r="IV1390" s="120"/>
      <c r="IW1390" s="120"/>
      <c r="IX1390" s="120"/>
      <c r="IY1390" s="120"/>
      <c r="IZ1390" s="120"/>
      <c r="JA1390" s="120"/>
      <c r="JB1390" s="120"/>
      <c r="JC1390" s="120"/>
      <c r="JD1390" s="120"/>
      <c r="JE1390" s="120"/>
      <c r="JF1390" s="120"/>
      <c r="JG1390" s="120"/>
      <c r="JH1390" s="120"/>
      <c r="JI1390" s="120"/>
      <c r="JJ1390" s="120"/>
      <c r="JK1390" s="120"/>
      <c r="JL1390" s="120"/>
      <c r="JM1390" s="120"/>
      <c r="JN1390" s="120"/>
      <c r="JO1390" s="120"/>
      <c r="JP1390" s="120"/>
      <c r="JQ1390" s="120"/>
      <c r="JR1390" s="120"/>
      <c r="JS1390" s="120"/>
      <c r="JT1390" s="120"/>
      <c r="JU1390" s="120"/>
      <c r="JV1390" s="120"/>
      <c r="JW1390" s="120"/>
      <c r="JX1390" s="120"/>
      <c r="JY1390" s="120"/>
      <c r="JZ1390" s="120"/>
      <c r="KA1390" s="120"/>
      <c r="KB1390" s="120"/>
      <c r="KC1390" s="120"/>
      <c r="KD1390" s="120"/>
      <c r="KE1390" s="120"/>
      <c r="KF1390" s="120"/>
      <c r="KG1390" s="120"/>
      <c r="KH1390" s="120"/>
      <c r="KI1390" s="120"/>
      <c r="KJ1390" s="120"/>
      <c r="KK1390" s="120"/>
      <c r="KL1390" s="120"/>
      <c r="KM1390" s="120"/>
      <c r="KN1390" s="120"/>
      <c r="KO1390" s="120"/>
      <c r="KP1390" s="120"/>
      <c r="KQ1390" s="120"/>
      <c r="KR1390" s="120"/>
      <c r="KS1390" s="120"/>
      <c r="KT1390" s="120"/>
      <c r="KU1390" s="120"/>
      <c r="KV1390" s="120"/>
      <c r="KW1390" s="120"/>
      <c r="KX1390" s="120"/>
      <c r="KY1390" s="120"/>
      <c r="KZ1390" s="120"/>
      <c r="LA1390" s="120"/>
      <c r="LB1390" s="120"/>
      <c r="LC1390" s="120"/>
      <c r="LD1390" s="120"/>
      <c r="LE1390" s="120"/>
      <c r="LF1390" s="120"/>
      <c r="LG1390" s="120"/>
      <c r="LH1390" s="120"/>
      <c r="LI1390" s="120"/>
      <c r="LJ1390" s="120"/>
      <c r="LK1390" s="120"/>
      <c r="LL1390" s="120"/>
      <c r="LM1390" s="120"/>
      <c r="LN1390" s="120"/>
      <c r="LO1390" s="120"/>
      <c r="LP1390" s="120"/>
      <c r="LQ1390" s="120"/>
      <c r="LR1390" s="120"/>
      <c r="LS1390" s="120"/>
      <c r="LT1390" s="120"/>
      <c r="LU1390" s="120"/>
      <c r="LV1390" s="120"/>
      <c r="LW1390" s="120"/>
      <c r="LX1390" s="120"/>
      <c r="LY1390" s="120"/>
      <c r="LZ1390" s="120"/>
      <c r="MA1390" s="120"/>
      <c r="MB1390" s="120"/>
      <c r="MC1390" s="120"/>
      <c r="MD1390" s="120"/>
      <c r="ME1390" s="120"/>
      <c r="MF1390" s="120"/>
      <c r="MG1390" s="120"/>
      <c r="MH1390" s="120"/>
      <c r="MI1390" s="120"/>
      <c r="MJ1390" s="120"/>
      <c r="MK1390" s="120"/>
      <c r="ML1390" s="120"/>
      <c r="MM1390" s="120"/>
      <c r="MN1390" s="120"/>
      <c r="MO1390" s="120"/>
      <c r="MP1390" s="120"/>
      <c r="MQ1390" s="120"/>
      <c r="MR1390" s="120"/>
      <c r="MS1390" s="120"/>
      <c r="MT1390" s="120"/>
      <c r="MU1390" s="120"/>
      <c r="MV1390" s="120"/>
      <c r="MW1390" s="120"/>
      <c r="MX1390" s="120"/>
      <c r="MY1390" s="120"/>
      <c r="MZ1390" s="120"/>
      <c r="NA1390" s="120"/>
      <c r="NB1390" s="120"/>
      <c r="NC1390" s="120"/>
      <c r="ND1390" s="120"/>
      <c r="NE1390" s="120"/>
      <c r="NF1390" s="120"/>
      <c r="NG1390" s="120"/>
      <c r="NH1390" s="120"/>
      <c r="NI1390" s="120"/>
      <c r="NJ1390" s="120"/>
      <c r="NK1390" s="120"/>
      <c r="NL1390" s="120"/>
      <c r="NM1390" s="120"/>
      <c r="NN1390" s="120"/>
      <c r="NO1390" s="120"/>
      <c r="NP1390" s="120"/>
      <c r="NQ1390" s="120"/>
      <c r="NR1390" s="120"/>
      <c r="NS1390" s="120"/>
      <c r="NT1390" s="120"/>
      <c r="NU1390" s="120"/>
      <c r="NV1390" s="120"/>
      <c r="NW1390" s="120"/>
      <c r="NX1390" s="120"/>
      <c r="NY1390" s="120"/>
      <c r="NZ1390" s="120"/>
      <c r="OA1390" s="120"/>
      <c r="OB1390" s="120"/>
      <c r="OC1390" s="120"/>
      <c r="OD1390" s="120"/>
      <c r="OE1390" s="120"/>
      <c r="OF1390" s="120"/>
      <c r="OG1390" s="120"/>
      <c r="OH1390" s="120"/>
      <c r="OI1390" s="120"/>
      <c r="OJ1390" s="120"/>
      <c r="OK1390" s="120"/>
      <c r="OL1390" s="120"/>
      <c r="OM1390" s="120"/>
      <c r="ON1390" s="120"/>
      <c r="OO1390" s="120"/>
      <c r="OP1390" s="120"/>
      <c r="OQ1390" s="120"/>
      <c r="OR1390" s="120"/>
      <c r="OS1390" s="120"/>
      <c r="OT1390" s="120"/>
      <c r="OU1390" s="120"/>
      <c r="OV1390" s="120"/>
      <c r="OW1390" s="120"/>
      <c r="OX1390" s="120"/>
      <c r="OY1390" s="120"/>
      <c r="OZ1390" s="120"/>
      <c r="PA1390" s="120"/>
      <c r="PB1390" s="120"/>
      <c r="PC1390" s="120"/>
      <c r="PD1390" s="120"/>
      <c r="PE1390" s="120"/>
      <c r="PF1390" s="120"/>
      <c r="PG1390" s="120"/>
      <c r="PH1390" s="120"/>
      <c r="PI1390" s="120"/>
      <c r="PJ1390" s="120"/>
      <c r="PK1390" s="120"/>
      <c r="PL1390" s="120"/>
      <c r="PM1390" s="120"/>
      <c r="PN1390" s="120"/>
      <c r="PO1390" s="120"/>
      <c r="PP1390" s="120"/>
      <c r="PQ1390" s="120"/>
      <c r="PR1390" s="120"/>
      <c r="PS1390" s="120"/>
      <c r="PT1390" s="120"/>
      <c r="PU1390" s="120"/>
      <c r="PV1390" s="120"/>
      <c r="PW1390" s="120"/>
      <c r="PX1390" s="120"/>
      <c r="PY1390" s="120"/>
      <c r="PZ1390" s="120"/>
      <c r="QA1390" s="120"/>
      <c r="QB1390" s="120"/>
      <c r="QC1390" s="120"/>
      <c r="QD1390" s="120"/>
      <c r="QE1390" s="120"/>
      <c r="QF1390" s="120"/>
      <c r="QG1390" s="120"/>
      <c r="QH1390" s="120"/>
      <c r="QI1390" s="120"/>
      <c r="QJ1390" s="120"/>
      <c r="QK1390" s="120"/>
      <c r="QL1390" s="120"/>
      <c r="QM1390" s="120"/>
      <c r="QN1390" s="120"/>
      <c r="QO1390" s="120"/>
      <c r="QP1390" s="120"/>
      <c r="QQ1390" s="120"/>
      <c r="QR1390" s="120"/>
      <c r="QS1390" s="120"/>
      <c r="QT1390" s="120"/>
      <c r="QU1390" s="120"/>
      <c r="QV1390" s="120"/>
      <c r="QW1390" s="120"/>
      <c r="QX1390" s="120"/>
      <c r="QY1390" s="120"/>
      <c r="QZ1390" s="120"/>
      <c r="RA1390" s="120"/>
      <c r="RB1390" s="120"/>
      <c r="RC1390" s="120"/>
      <c r="RD1390" s="120"/>
      <c r="RE1390" s="120"/>
      <c r="RF1390" s="120"/>
      <c r="RG1390" s="120"/>
      <c r="RH1390" s="120"/>
      <c r="RI1390" s="120"/>
      <c r="RJ1390" s="120"/>
      <c r="RK1390" s="120"/>
      <c r="RL1390" s="120"/>
      <c r="RM1390" s="120"/>
      <c r="RN1390" s="120"/>
      <c r="RO1390" s="120"/>
      <c r="RP1390" s="120"/>
      <c r="RQ1390" s="120"/>
      <c r="RR1390" s="120"/>
      <c r="RS1390" s="120"/>
      <c r="RT1390" s="120"/>
      <c r="RU1390" s="120"/>
      <c r="RV1390" s="120"/>
      <c r="RW1390" s="120"/>
      <c r="RX1390" s="120"/>
      <c r="RY1390" s="120"/>
      <c r="RZ1390" s="120"/>
      <c r="SA1390" s="120"/>
      <c r="SB1390" s="120"/>
      <c r="SC1390" s="120"/>
      <c r="SD1390" s="120"/>
      <c r="SE1390" s="120"/>
      <c r="SF1390" s="120"/>
      <c r="SG1390" s="120"/>
      <c r="SH1390" s="120"/>
      <c r="SI1390" s="120"/>
      <c r="SJ1390" s="120"/>
      <c r="SK1390" s="120"/>
      <c r="SL1390" s="120"/>
      <c r="SM1390" s="120"/>
      <c r="SN1390" s="120"/>
      <c r="SO1390" s="120"/>
      <c r="SP1390" s="120"/>
      <c r="SQ1390" s="120"/>
      <c r="SR1390" s="120"/>
      <c r="SS1390" s="120"/>
      <c r="ST1390" s="120"/>
      <c r="SU1390" s="120"/>
      <c r="SV1390" s="120"/>
      <c r="SW1390" s="120"/>
      <c r="SX1390" s="120"/>
      <c r="SY1390" s="120"/>
      <c r="SZ1390" s="120"/>
      <c r="TA1390" s="120"/>
      <c r="TB1390" s="120"/>
      <c r="TC1390" s="120"/>
      <c r="TD1390" s="120"/>
      <c r="TE1390" s="120"/>
      <c r="TF1390" s="120"/>
      <c r="TG1390" s="120"/>
      <c r="TH1390" s="120"/>
      <c r="TI1390" s="120"/>
      <c r="TJ1390" s="120"/>
      <c r="TK1390" s="120"/>
      <c r="TL1390" s="120"/>
      <c r="TM1390" s="120"/>
      <c r="TN1390" s="120"/>
      <c r="TO1390" s="120"/>
      <c r="TP1390" s="120"/>
      <c r="TQ1390" s="120"/>
      <c r="TR1390" s="120"/>
      <c r="TS1390" s="120"/>
      <c r="TT1390" s="120"/>
      <c r="TU1390" s="120"/>
      <c r="TV1390" s="120"/>
      <c r="TW1390" s="120"/>
      <c r="TX1390" s="120"/>
      <c r="TY1390" s="120"/>
      <c r="TZ1390" s="120"/>
      <c r="UA1390" s="120"/>
      <c r="UB1390" s="120"/>
      <c r="UC1390" s="120"/>
      <c r="UD1390" s="120"/>
      <c r="UE1390" s="120"/>
      <c r="UF1390" s="120"/>
      <c r="UG1390" s="120"/>
      <c r="UH1390" s="120"/>
      <c r="UI1390" s="120"/>
      <c r="UJ1390" s="120"/>
      <c r="UK1390" s="120"/>
      <c r="UL1390" s="120"/>
      <c r="UM1390" s="120"/>
      <c r="UN1390" s="120"/>
      <c r="UO1390" s="120"/>
      <c r="UP1390" s="120"/>
      <c r="UQ1390" s="120"/>
      <c r="UR1390" s="120"/>
      <c r="US1390" s="120"/>
      <c r="UT1390" s="120"/>
      <c r="UU1390" s="120"/>
      <c r="UV1390" s="120"/>
      <c r="UW1390" s="120"/>
      <c r="UX1390" s="120"/>
      <c r="UY1390" s="120"/>
      <c r="UZ1390" s="120"/>
      <c r="VA1390" s="120"/>
      <c r="VB1390" s="120"/>
      <c r="VC1390" s="120"/>
      <c r="VD1390" s="120"/>
      <c r="VE1390" s="120"/>
      <c r="VF1390" s="120"/>
      <c r="VG1390" s="120"/>
      <c r="VH1390" s="120"/>
      <c r="VI1390" s="120"/>
      <c r="VJ1390" s="120"/>
      <c r="VK1390" s="120"/>
      <c r="VL1390" s="120"/>
      <c r="VM1390" s="120"/>
      <c r="VN1390" s="120"/>
      <c r="VO1390" s="120"/>
      <c r="VP1390" s="120"/>
      <c r="VQ1390" s="120"/>
      <c r="VR1390" s="120"/>
      <c r="VS1390" s="120"/>
      <c r="VT1390" s="120"/>
      <c r="VU1390" s="120"/>
      <c r="VV1390" s="120"/>
      <c r="VW1390" s="120"/>
      <c r="VX1390" s="120"/>
      <c r="VY1390" s="120"/>
      <c r="VZ1390" s="120"/>
      <c r="WA1390" s="120"/>
      <c r="WB1390" s="120"/>
      <c r="WC1390" s="120"/>
      <c r="WD1390" s="120"/>
      <c r="WE1390" s="120"/>
      <c r="WF1390" s="120"/>
      <c r="WG1390" s="120"/>
      <c r="WH1390" s="120"/>
      <c r="WI1390" s="120"/>
      <c r="WJ1390" s="120"/>
      <c r="WK1390" s="120"/>
      <c r="WL1390" s="120"/>
      <c r="WM1390" s="120"/>
      <c r="WN1390" s="120"/>
      <c r="WO1390" s="120"/>
      <c r="WP1390" s="120"/>
      <c r="WQ1390" s="120"/>
      <c r="WR1390" s="120"/>
      <c r="WS1390" s="120"/>
      <c r="WT1390" s="120"/>
      <c r="WU1390" s="120"/>
      <c r="WV1390" s="120"/>
      <c r="WW1390" s="120"/>
      <c r="WX1390" s="120"/>
      <c r="WY1390" s="120"/>
      <c r="WZ1390" s="120"/>
      <c r="XA1390" s="120"/>
      <c r="XB1390" s="120"/>
      <c r="XC1390" s="120"/>
      <c r="XD1390" s="120"/>
      <c r="XE1390" s="120"/>
      <c r="XF1390" s="120"/>
      <c r="XG1390" s="120"/>
      <c r="XH1390" s="120"/>
      <c r="XI1390" s="120"/>
      <c r="XJ1390" s="120"/>
      <c r="XK1390" s="120"/>
      <c r="XL1390" s="120"/>
      <c r="XM1390" s="120"/>
      <c r="XN1390" s="120"/>
      <c r="XO1390" s="120"/>
      <c r="XP1390" s="120"/>
      <c r="XQ1390" s="120"/>
      <c r="XR1390" s="120"/>
      <c r="XS1390" s="120"/>
      <c r="XT1390" s="120"/>
      <c r="XU1390" s="120"/>
      <c r="XV1390" s="120"/>
      <c r="XW1390" s="120"/>
      <c r="XX1390" s="120"/>
      <c r="XY1390" s="120"/>
      <c r="XZ1390" s="120"/>
      <c r="YA1390" s="120"/>
      <c r="YB1390" s="120"/>
      <c r="YC1390" s="120"/>
      <c r="YD1390" s="120"/>
      <c r="YE1390" s="120"/>
      <c r="YF1390" s="120"/>
      <c r="YG1390" s="120"/>
      <c r="YH1390" s="120"/>
      <c r="YI1390" s="120"/>
      <c r="YJ1390" s="120"/>
      <c r="YK1390" s="120"/>
      <c r="YL1390" s="120"/>
      <c r="YM1390" s="120"/>
      <c r="YN1390" s="120"/>
      <c r="YO1390" s="120"/>
      <c r="YP1390" s="120"/>
      <c r="YQ1390" s="120"/>
      <c r="YR1390" s="120"/>
      <c r="YS1390" s="120"/>
      <c r="YT1390" s="120"/>
      <c r="YU1390" s="120"/>
      <c r="YV1390" s="120"/>
      <c r="YW1390" s="120"/>
      <c r="YX1390" s="120"/>
      <c r="YY1390" s="120"/>
      <c r="YZ1390" s="120"/>
      <c r="ZA1390" s="120"/>
      <c r="ZB1390" s="120"/>
      <c r="ZC1390" s="120"/>
      <c r="ZD1390" s="120"/>
      <c r="ZE1390" s="120"/>
      <c r="ZF1390" s="120"/>
      <c r="ZG1390" s="120"/>
      <c r="ZH1390" s="120"/>
      <c r="ZI1390" s="120"/>
      <c r="ZJ1390" s="120"/>
      <c r="ZK1390" s="120"/>
      <c r="ZL1390" s="120"/>
      <c r="ZM1390" s="120"/>
      <c r="ZN1390" s="120"/>
      <c r="ZO1390" s="120"/>
      <c r="ZP1390" s="120"/>
      <c r="ZQ1390" s="120"/>
      <c r="ZR1390" s="120"/>
      <c r="ZS1390" s="120"/>
      <c r="ZT1390" s="120"/>
      <c r="ZU1390" s="120"/>
      <c r="ZV1390" s="120"/>
      <c r="ZW1390" s="120"/>
      <c r="ZX1390" s="120"/>
      <c r="ZY1390" s="120"/>
      <c r="ZZ1390" s="120"/>
      <c r="AAA1390" s="120"/>
      <c r="AAB1390" s="120"/>
      <c r="AAC1390" s="120"/>
      <c r="AAD1390" s="120"/>
      <c r="AAE1390" s="120"/>
      <c r="AAF1390" s="120"/>
      <c r="AAG1390" s="120"/>
      <c r="AAH1390" s="120"/>
      <c r="AAI1390" s="120"/>
      <c r="AAJ1390" s="120"/>
      <c r="AAK1390" s="120"/>
      <c r="AAL1390" s="120"/>
      <c r="AAM1390" s="120"/>
      <c r="AAN1390" s="120"/>
      <c r="AAO1390" s="120"/>
      <c r="AAP1390" s="120"/>
      <c r="AAQ1390" s="120"/>
      <c r="AAR1390" s="120"/>
      <c r="AAS1390" s="120"/>
      <c r="AAT1390" s="120"/>
      <c r="AAU1390" s="120"/>
      <c r="AAV1390" s="120"/>
      <c r="AAW1390" s="120"/>
      <c r="AAX1390" s="120"/>
      <c r="AAY1390" s="120"/>
      <c r="AAZ1390" s="120"/>
      <c r="ABA1390" s="120"/>
      <c r="ABB1390" s="120"/>
      <c r="ABC1390" s="120"/>
      <c r="ABD1390" s="120"/>
      <c r="ABE1390" s="120"/>
      <c r="ABF1390" s="120"/>
      <c r="ABG1390" s="120"/>
      <c r="ABH1390" s="120"/>
      <c r="ABI1390" s="120"/>
      <c r="ABJ1390" s="120"/>
      <c r="ABK1390" s="120"/>
      <c r="ABL1390" s="120"/>
      <c r="ABM1390" s="120"/>
      <c r="ABN1390" s="120"/>
      <c r="ABO1390" s="120"/>
      <c r="ABP1390" s="120"/>
      <c r="ABQ1390" s="120"/>
      <c r="ABR1390" s="120"/>
      <c r="ABS1390" s="120"/>
      <c r="ABT1390" s="120"/>
      <c r="ABU1390" s="120"/>
      <c r="ABV1390" s="120"/>
      <c r="ABW1390" s="120"/>
      <c r="ABX1390" s="120"/>
      <c r="ABY1390" s="120"/>
      <c r="ABZ1390" s="120"/>
      <c r="ACA1390" s="120"/>
      <c r="ACB1390" s="120"/>
      <c r="ACC1390" s="120"/>
      <c r="ACD1390" s="120"/>
      <c r="ACE1390" s="120"/>
      <c r="ACF1390" s="120"/>
      <c r="ACG1390" s="120"/>
      <c r="ACH1390" s="120"/>
      <c r="ACI1390" s="120"/>
      <c r="ACJ1390" s="120"/>
      <c r="ACK1390" s="120"/>
      <c r="ACL1390" s="120"/>
      <c r="ACM1390" s="120"/>
      <c r="ACN1390" s="120"/>
      <c r="ACO1390" s="120"/>
      <c r="ACP1390" s="120"/>
      <c r="ACQ1390" s="120"/>
      <c r="ACR1390" s="120"/>
      <c r="ACS1390" s="120"/>
      <c r="ACT1390" s="120"/>
      <c r="ACU1390" s="120"/>
      <c r="ACV1390" s="120"/>
      <c r="ACW1390" s="120"/>
      <c r="ACX1390" s="120"/>
      <c r="ACY1390" s="120"/>
      <c r="ACZ1390" s="120"/>
      <c r="ADA1390" s="120"/>
      <c r="ADB1390" s="120"/>
      <c r="ADC1390" s="120"/>
      <c r="ADD1390" s="120"/>
      <c r="ADE1390" s="120"/>
      <c r="ADF1390" s="120"/>
      <c r="ADG1390" s="120"/>
      <c r="ADH1390" s="120"/>
      <c r="ADI1390" s="120"/>
      <c r="ADJ1390" s="120"/>
      <c r="ADK1390" s="120"/>
      <c r="ADL1390" s="120"/>
      <c r="ADM1390" s="120"/>
      <c r="ADN1390" s="120"/>
      <c r="ADO1390" s="120"/>
      <c r="ADP1390" s="120"/>
      <c r="ADQ1390" s="120"/>
      <c r="ADR1390" s="120"/>
      <c r="ADS1390" s="120"/>
      <c r="ADT1390" s="120"/>
      <c r="ADU1390" s="120"/>
      <c r="ADV1390" s="120"/>
      <c r="ADW1390" s="120"/>
      <c r="ADX1390" s="120"/>
      <c r="ADY1390" s="120"/>
      <c r="ADZ1390" s="120"/>
      <c r="AEA1390" s="120"/>
      <c r="AEB1390" s="120"/>
      <c r="AEC1390" s="120"/>
      <c r="AED1390" s="120"/>
      <c r="AEE1390" s="120"/>
      <c r="AEF1390" s="120"/>
      <c r="AEG1390" s="120"/>
      <c r="AEH1390" s="120"/>
      <c r="AEI1390" s="120"/>
      <c r="AEJ1390" s="120"/>
      <c r="AEK1390" s="120"/>
      <c r="AEL1390" s="120"/>
      <c r="AEM1390" s="120"/>
      <c r="AEN1390" s="120"/>
      <c r="AEO1390" s="120"/>
      <c r="AEP1390" s="120"/>
      <c r="AEQ1390" s="120"/>
      <c r="AER1390" s="120"/>
      <c r="AES1390" s="120"/>
      <c r="AET1390" s="120"/>
      <c r="AEU1390" s="120"/>
      <c r="AEV1390" s="120"/>
      <c r="AEW1390" s="120"/>
      <c r="AEX1390" s="120"/>
      <c r="AEY1390" s="120"/>
      <c r="AEZ1390" s="120"/>
      <c r="AFA1390" s="120"/>
      <c r="AFB1390" s="120"/>
      <c r="AFC1390" s="120"/>
      <c r="AFD1390" s="120"/>
      <c r="AFE1390" s="120"/>
      <c r="AFF1390" s="120"/>
      <c r="AFG1390" s="120"/>
      <c r="AFH1390" s="120"/>
      <c r="AFI1390" s="120"/>
      <c r="AFJ1390" s="120"/>
      <c r="AFK1390" s="120"/>
      <c r="AFL1390" s="120"/>
      <c r="AFM1390" s="120"/>
      <c r="AFN1390" s="120"/>
      <c r="AFO1390" s="120"/>
      <c r="AFP1390" s="120"/>
      <c r="AFQ1390" s="120"/>
      <c r="AFR1390" s="120"/>
      <c r="AFS1390" s="120"/>
      <c r="AFT1390" s="120"/>
      <c r="AFU1390" s="120"/>
      <c r="AFV1390" s="120"/>
      <c r="AFW1390" s="120"/>
      <c r="AFX1390" s="120"/>
      <c r="AFY1390" s="120"/>
      <c r="AFZ1390" s="120"/>
      <c r="AGA1390" s="120"/>
      <c r="AGB1390" s="120"/>
      <c r="AGC1390" s="120"/>
      <c r="AGD1390" s="120"/>
      <c r="AGE1390" s="120"/>
      <c r="AGF1390" s="120"/>
      <c r="AGG1390" s="120"/>
      <c r="AGH1390" s="120"/>
      <c r="AGI1390" s="120"/>
      <c r="AGJ1390" s="120"/>
      <c r="AGK1390" s="120"/>
      <c r="AGL1390" s="120"/>
      <c r="AGM1390" s="120"/>
      <c r="AGN1390" s="120"/>
      <c r="AGO1390" s="120"/>
      <c r="AGP1390" s="120"/>
      <c r="AGQ1390" s="120"/>
      <c r="AGR1390" s="120"/>
      <c r="AGS1390" s="120"/>
      <c r="AGT1390" s="120"/>
      <c r="AGU1390" s="120"/>
      <c r="AGV1390" s="120"/>
      <c r="AGW1390" s="120"/>
      <c r="AGX1390" s="120"/>
      <c r="AGY1390" s="120"/>
      <c r="AGZ1390" s="120"/>
      <c r="AHA1390" s="120"/>
      <c r="AHB1390" s="120"/>
      <c r="AHC1390" s="120"/>
      <c r="AHD1390" s="120"/>
      <c r="AHE1390" s="120"/>
      <c r="AHF1390" s="120"/>
      <c r="AHG1390" s="120"/>
      <c r="AHH1390" s="120"/>
      <c r="AHI1390" s="120"/>
      <c r="AHJ1390" s="120"/>
      <c r="AHK1390" s="120"/>
      <c r="AHL1390" s="120"/>
      <c r="AHM1390" s="120"/>
      <c r="AHN1390" s="120"/>
      <c r="AHO1390" s="120"/>
      <c r="AHP1390" s="120"/>
      <c r="AHQ1390" s="120"/>
      <c r="AHR1390" s="120"/>
      <c r="AHS1390" s="120"/>
      <c r="AHT1390" s="120"/>
      <c r="AHU1390" s="120"/>
      <c r="AHV1390" s="120"/>
      <c r="AHW1390" s="120"/>
      <c r="AHX1390" s="120"/>
      <c r="AHY1390" s="120"/>
      <c r="AHZ1390" s="120"/>
      <c r="AIA1390" s="120"/>
      <c r="AIB1390" s="120"/>
      <c r="AIC1390" s="120"/>
      <c r="AID1390" s="120"/>
      <c r="AIE1390" s="120"/>
      <c r="AIF1390" s="120"/>
      <c r="AIG1390" s="120"/>
      <c r="AIH1390" s="120"/>
      <c r="AII1390" s="120"/>
      <c r="AIJ1390" s="120"/>
      <c r="AIK1390" s="120"/>
      <c r="AIL1390" s="120"/>
      <c r="AIM1390" s="120"/>
      <c r="AIN1390" s="120"/>
      <c r="AIO1390" s="120"/>
      <c r="AIP1390" s="120"/>
      <c r="AIQ1390" s="120"/>
      <c r="AIR1390" s="120"/>
      <c r="AIS1390" s="120"/>
      <c r="AIT1390" s="120"/>
      <c r="AIU1390" s="120"/>
      <c r="AIV1390" s="120"/>
      <c r="AIW1390" s="120"/>
      <c r="AIX1390" s="120"/>
      <c r="AIY1390" s="120"/>
      <c r="AIZ1390" s="120"/>
      <c r="AJA1390" s="120"/>
      <c r="AJB1390" s="120"/>
      <c r="AJC1390" s="120"/>
      <c r="AJD1390" s="120"/>
      <c r="AJE1390" s="120"/>
      <c r="AJF1390" s="120"/>
      <c r="AJG1390" s="120"/>
      <c r="AJH1390" s="120"/>
      <c r="AJI1390" s="120"/>
      <c r="AJJ1390" s="120"/>
      <c r="AJK1390" s="120"/>
      <c r="AJL1390" s="120"/>
      <c r="AJM1390" s="120"/>
      <c r="AJN1390" s="120"/>
      <c r="AJO1390" s="120"/>
      <c r="AJP1390" s="120"/>
      <c r="AJQ1390" s="120"/>
      <c r="AJR1390" s="120"/>
      <c r="AJS1390" s="120"/>
      <c r="AJT1390" s="120"/>
      <c r="AJU1390" s="120"/>
      <c r="AJV1390" s="120"/>
      <c r="AJW1390" s="120"/>
      <c r="AJX1390" s="120"/>
      <c r="AJY1390" s="120"/>
      <c r="AJZ1390" s="120"/>
      <c r="AKA1390" s="120"/>
      <c r="AKB1390" s="120"/>
      <c r="AKC1390" s="120"/>
      <c r="AKD1390" s="120"/>
      <c r="AKE1390" s="120"/>
      <c r="AKF1390" s="120"/>
      <c r="AKG1390" s="120"/>
      <c r="AKH1390" s="120"/>
      <c r="AKI1390" s="120"/>
      <c r="AKJ1390" s="120"/>
      <c r="AKK1390" s="120"/>
      <c r="AKL1390" s="120"/>
      <c r="AKM1390" s="120"/>
      <c r="AKN1390" s="120"/>
      <c r="AKO1390" s="120"/>
      <c r="AKP1390" s="120"/>
      <c r="AKQ1390" s="120"/>
      <c r="AKR1390" s="120"/>
      <c r="AKS1390" s="120"/>
      <c r="AKT1390" s="120"/>
      <c r="AKU1390" s="120"/>
      <c r="AKV1390" s="120"/>
      <c r="AKW1390" s="120"/>
      <c r="AKX1390" s="120"/>
      <c r="AKY1390" s="120"/>
      <c r="AKZ1390" s="120"/>
      <c r="ALA1390" s="120"/>
      <c r="ALB1390" s="120"/>
      <c r="ALC1390" s="120"/>
      <c r="ALD1390" s="120"/>
      <c r="ALE1390" s="120"/>
      <c r="ALF1390" s="120"/>
      <c r="ALG1390" s="120"/>
      <c r="ALH1390" s="120"/>
      <c r="ALI1390" s="120"/>
      <c r="ALJ1390" s="120"/>
      <c r="ALK1390" s="120"/>
      <c r="ALL1390" s="120"/>
      <c r="ALM1390" s="120"/>
      <c r="ALN1390" s="120"/>
      <c r="ALO1390" s="120"/>
      <c r="ALP1390" s="120"/>
      <c r="ALQ1390" s="120"/>
      <c r="ALR1390" s="120"/>
      <c r="ALS1390" s="120"/>
      <c r="ALT1390" s="120"/>
      <c r="ALU1390" s="120"/>
      <c r="ALV1390" s="120"/>
      <c r="ALW1390" s="120"/>
      <c r="ALX1390" s="120"/>
      <c r="ALY1390" s="120"/>
      <c r="ALZ1390" s="120"/>
      <c r="AMA1390" s="120"/>
      <c r="AMB1390" s="120"/>
      <c r="AMC1390" s="120"/>
      <c r="AMD1390" s="120"/>
      <c r="AME1390" s="120"/>
      <c r="AMF1390" s="120"/>
      <c r="AMG1390" s="120"/>
      <c r="AMH1390" s="120"/>
      <c r="AMI1390" s="120"/>
      <c r="AMJ1390" s="120"/>
      <c r="AMK1390" s="120"/>
      <c r="AML1390" s="120"/>
      <c r="AMM1390" s="120"/>
      <c r="AMN1390" s="120"/>
      <c r="AMO1390" s="120"/>
      <c r="AMP1390" s="120"/>
      <c r="AMQ1390" s="120"/>
      <c r="AMR1390" s="120"/>
      <c r="AMS1390" s="120"/>
      <c r="AMT1390" s="120"/>
      <c r="AMU1390" s="120"/>
      <c r="AMV1390" s="120"/>
      <c r="AMW1390" s="120"/>
      <c r="AMX1390" s="120"/>
      <c r="AMY1390" s="120"/>
      <c r="AMZ1390" s="120"/>
      <c r="ANA1390" s="120"/>
      <c r="ANB1390" s="120"/>
      <c r="ANC1390" s="120"/>
      <c r="AND1390" s="120"/>
      <c r="ANE1390" s="120"/>
      <c r="ANF1390" s="120"/>
      <c r="ANG1390" s="120"/>
      <c r="ANH1390" s="120"/>
      <c r="ANI1390" s="120"/>
      <c r="ANJ1390" s="120"/>
      <c r="ANK1390" s="120"/>
      <c r="ANL1390" s="120"/>
      <c r="ANM1390" s="120"/>
      <c r="ANN1390" s="120"/>
      <c r="ANO1390" s="120"/>
      <c r="ANP1390" s="120"/>
      <c r="ANQ1390" s="120"/>
      <c r="ANR1390" s="120"/>
      <c r="ANS1390" s="120"/>
      <c r="ANT1390" s="120"/>
      <c r="ANU1390" s="120"/>
      <c r="ANV1390" s="120"/>
      <c r="ANW1390" s="120"/>
      <c r="ANX1390" s="120"/>
      <c r="ANY1390" s="120"/>
      <c r="ANZ1390" s="120"/>
      <c r="AOA1390" s="120"/>
      <c r="AOB1390" s="120"/>
      <c r="AOC1390" s="120"/>
      <c r="AOD1390" s="120"/>
      <c r="AOE1390" s="120"/>
      <c r="AOF1390" s="120"/>
      <c r="AOG1390" s="120"/>
      <c r="AOH1390" s="120"/>
      <c r="AOI1390" s="120"/>
      <c r="AOJ1390" s="120"/>
      <c r="AOK1390" s="120"/>
      <c r="AOL1390" s="120"/>
      <c r="AOM1390" s="120"/>
      <c r="AON1390" s="120"/>
      <c r="AOO1390" s="120"/>
      <c r="AOP1390" s="120"/>
      <c r="AOQ1390" s="120"/>
      <c r="AOR1390" s="120"/>
      <c r="AOS1390" s="120"/>
      <c r="AOT1390" s="120"/>
      <c r="AOU1390" s="120"/>
      <c r="AOV1390" s="120"/>
      <c r="AOW1390" s="120"/>
      <c r="AOX1390" s="120"/>
      <c r="AOY1390" s="120"/>
      <c r="AOZ1390" s="120"/>
      <c r="APA1390" s="120"/>
      <c r="APB1390" s="120"/>
      <c r="APC1390" s="120"/>
      <c r="APD1390" s="120"/>
      <c r="APE1390" s="120"/>
      <c r="APF1390" s="120"/>
      <c r="APG1390" s="120"/>
      <c r="APH1390" s="120"/>
      <c r="API1390" s="120"/>
      <c r="APJ1390" s="120"/>
      <c r="APK1390" s="120"/>
      <c r="APL1390" s="120"/>
      <c r="APM1390" s="120"/>
      <c r="APN1390" s="120"/>
      <c r="APO1390" s="120"/>
      <c r="APP1390" s="120"/>
      <c r="APQ1390" s="120"/>
      <c r="APR1390" s="120"/>
      <c r="APS1390" s="120"/>
      <c r="APT1390" s="120"/>
      <c r="APU1390" s="120"/>
      <c r="APV1390" s="120"/>
      <c r="APW1390" s="120"/>
      <c r="APX1390" s="120"/>
      <c r="APY1390" s="120"/>
      <c r="APZ1390" s="120"/>
      <c r="AQA1390" s="120"/>
      <c r="AQB1390" s="120"/>
      <c r="AQC1390" s="120"/>
      <c r="AQD1390" s="120"/>
      <c r="AQE1390" s="120"/>
      <c r="AQF1390" s="120"/>
      <c r="AQG1390" s="120"/>
      <c r="AQH1390" s="120"/>
      <c r="AQI1390" s="120"/>
      <c r="AQJ1390" s="120"/>
      <c r="AQK1390" s="120"/>
      <c r="AQL1390" s="120"/>
      <c r="AQM1390" s="120"/>
      <c r="AQN1390" s="120"/>
      <c r="AQO1390" s="120"/>
      <c r="AQP1390" s="120"/>
      <c r="AQQ1390" s="120"/>
      <c r="AQR1390" s="120"/>
      <c r="AQS1390" s="120"/>
      <c r="AQT1390" s="120"/>
      <c r="AQU1390" s="120"/>
      <c r="AQV1390" s="120"/>
      <c r="AQW1390" s="120"/>
      <c r="AQX1390" s="120"/>
      <c r="AQY1390" s="120"/>
      <c r="AQZ1390" s="120"/>
      <c r="ARA1390" s="120"/>
      <c r="ARB1390" s="120"/>
      <c r="ARC1390" s="120"/>
      <c r="ARD1390" s="120"/>
      <c r="ARE1390" s="120"/>
      <c r="ARF1390" s="120"/>
      <c r="ARG1390" s="120"/>
      <c r="ARH1390" s="120"/>
      <c r="ARI1390" s="120"/>
      <c r="ARJ1390" s="120"/>
      <c r="ARK1390" s="120"/>
      <c r="ARL1390" s="120"/>
      <c r="ARM1390" s="120"/>
      <c r="ARN1390" s="120"/>
      <c r="ARO1390" s="120"/>
      <c r="ARP1390" s="120"/>
      <c r="ARQ1390" s="120"/>
      <c r="ARR1390" s="120"/>
      <c r="ARS1390" s="120"/>
      <c r="ART1390" s="120"/>
      <c r="ARU1390" s="120"/>
      <c r="ARV1390" s="120"/>
      <c r="ARW1390" s="120"/>
      <c r="ARX1390" s="120"/>
      <c r="ARY1390" s="120"/>
      <c r="ARZ1390" s="120"/>
      <c r="ASA1390" s="120"/>
      <c r="ASB1390" s="120"/>
      <c r="ASC1390" s="120"/>
      <c r="ASD1390" s="120"/>
      <c r="ASE1390" s="120"/>
      <c r="ASF1390" s="120"/>
      <c r="ASG1390" s="120"/>
      <c r="ASH1390" s="120"/>
      <c r="ASI1390" s="120"/>
      <c r="ASJ1390" s="120"/>
      <c r="ASK1390" s="120"/>
      <c r="ASL1390" s="120"/>
      <c r="ASM1390" s="120"/>
      <c r="ASN1390" s="120"/>
      <c r="ASO1390" s="120"/>
      <c r="ASP1390" s="120"/>
      <c r="ASQ1390" s="120"/>
      <c r="ASR1390" s="120"/>
      <c r="ASS1390" s="120"/>
      <c r="AST1390" s="120"/>
      <c r="ASU1390" s="120"/>
      <c r="ASV1390" s="120"/>
      <c r="ASW1390" s="120"/>
      <c r="ASX1390" s="120"/>
      <c r="ASY1390" s="120"/>
      <c r="ASZ1390" s="120"/>
      <c r="ATA1390" s="120"/>
      <c r="ATB1390" s="120"/>
      <c r="ATC1390" s="120"/>
      <c r="ATD1390" s="120"/>
      <c r="ATE1390" s="120"/>
      <c r="ATF1390" s="120"/>
      <c r="ATG1390" s="120"/>
      <c r="ATH1390" s="120"/>
      <c r="ATI1390" s="120"/>
      <c r="ATJ1390" s="120"/>
      <c r="ATK1390" s="120"/>
      <c r="ATL1390" s="120"/>
      <c r="ATM1390" s="120"/>
      <c r="ATN1390" s="120"/>
      <c r="ATO1390" s="120"/>
    </row>
    <row r="1391" spans="1:1211" s="20" customFormat="1" ht="14.1" customHeight="1">
      <c r="A1391" s="629"/>
      <c r="B1391" s="630"/>
      <c r="C1391" s="631"/>
      <c r="D1391" s="631"/>
      <c r="E1391" s="898"/>
      <c r="F1391" s="899"/>
      <c r="G1391" s="899"/>
      <c r="H1391" s="899"/>
      <c r="I1391" s="899"/>
      <c r="J1391" s="899"/>
      <c r="K1391" s="112"/>
      <c r="L1391" s="363"/>
      <c r="M1391" s="112"/>
      <c r="N1391" s="362"/>
      <c r="O1391" s="573"/>
      <c r="P1391" s="120"/>
      <c r="Q1391" s="120"/>
      <c r="R1391" s="120"/>
      <c r="S1391" s="120"/>
      <c r="T1391" s="120"/>
      <c r="U1391" s="120"/>
      <c r="V1391" s="120"/>
      <c r="W1391" s="120"/>
      <c r="X1391" s="120"/>
      <c r="Y1391" s="120"/>
      <c r="Z1391" s="120"/>
      <c r="AA1391" s="120"/>
      <c r="AB1391" s="120"/>
      <c r="AC1391" s="120"/>
      <c r="AD1391" s="120"/>
      <c r="AE1391" s="120"/>
      <c r="AF1391" s="120"/>
      <c r="AG1391" s="120"/>
      <c r="AH1391" s="120"/>
      <c r="AI1391" s="120"/>
      <c r="AJ1391" s="120"/>
      <c r="AK1391" s="120"/>
      <c r="AL1391" s="120"/>
      <c r="AM1391" s="120"/>
      <c r="AN1391" s="120"/>
      <c r="AO1391" s="120"/>
      <c r="AP1391" s="120"/>
      <c r="AQ1391" s="120"/>
      <c r="AR1391" s="120"/>
      <c r="AS1391" s="120"/>
      <c r="AT1391" s="120"/>
      <c r="AU1391" s="120"/>
      <c r="AV1391" s="120"/>
      <c r="AW1391" s="120"/>
      <c r="AX1391" s="120"/>
      <c r="AY1391" s="120"/>
      <c r="AZ1391" s="120"/>
      <c r="BA1391" s="120"/>
      <c r="BB1391" s="120"/>
      <c r="BC1391" s="120"/>
      <c r="BD1391" s="120"/>
      <c r="BE1391" s="120"/>
      <c r="BF1391" s="120"/>
      <c r="BG1391" s="120"/>
      <c r="BH1391" s="120"/>
      <c r="BI1391" s="120"/>
      <c r="BJ1391" s="120"/>
      <c r="BK1391" s="120"/>
      <c r="BL1391" s="120"/>
      <c r="BM1391" s="120"/>
      <c r="BN1391" s="120"/>
      <c r="BO1391" s="120"/>
      <c r="BP1391" s="120"/>
      <c r="BQ1391" s="120"/>
      <c r="BR1391" s="120"/>
      <c r="BS1391" s="120"/>
      <c r="BT1391" s="120"/>
      <c r="BU1391" s="120"/>
      <c r="BV1391" s="120"/>
      <c r="BW1391" s="120"/>
      <c r="BX1391" s="120"/>
      <c r="BY1391" s="120"/>
      <c r="BZ1391" s="120"/>
      <c r="CA1391" s="120"/>
      <c r="CB1391" s="120"/>
      <c r="CC1391" s="120"/>
      <c r="CD1391" s="120"/>
      <c r="CE1391" s="120"/>
      <c r="CF1391" s="120"/>
      <c r="CG1391" s="120"/>
      <c r="CH1391" s="120"/>
      <c r="CI1391" s="120"/>
      <c r="CJ1391" s="120"/>
      <c r="CK1391" s="120"/>
      <c r="CL1391" s="120"/>
      <c r="CM1391" s="120"/>
      <c r="CN1391" s="120"/>
      <c r="CO1391" s="120"/>
      <c r="CP1391" s="120"/>
      <c r="CQ1391" s="120"/>
      <c r="CR1391" s="120"/>
      <c r="CS1391" s="120"/>
      <c r="CT1391" s="120"/>
      <c r="CU1391" s="120"/>
      <c r="CV1391" s="120"/>
      <c r="CW1391" s="120"/>
      <c r="CX1391" s="120"/>
      <c r="CY1391" s="120"/>
      <c r="CZ1391" s="120"/>
      <c r="DA1391" s="120"/>
      <c r="DB1391" s="120"/>
      <c r="DC1391" s="120"/>
      <c r="DD1391" s="120"/>
      <c r="DE1391" s="120"/>
      <c r="DF1391" s="120"/>
      <c r="DG1391" s="120"/>
      <c r="DH1391" s="120"/>
      <c r="DI1391" s="120"/>
      <c r="DJ1391" s="120"/>
      <c r="DK1391" s="120"/>
      <c r="DL1391" s="120"/>
      <c r="DM1391" s="120"/>
      <c r="DN1391" s="120"/>
      <c r="DO1391" s="120"/>
      <c r="DP1391" s="120"/>
      <c r="DQ1391" s="120"/>
      <c r="DR1391" s="120"/>
      <c r="DS1391" s="120"/>
      <c r="DT1391" s="120"/>
      <c r="DU1391" s="120"/>
      <c r="DV1391" s="120"/>
      <c r="DW1391" s="120"/>
      <c r="DX1391" s="120"/>
      <c r="DY1391" s="120"/>
      <c r="DZ1391" s="120"/>
      <c r="EA1391" s="120"/>
      <c r="EB1391" s="120"/>
      <c r="EC1391" s="120"/>
      <c r="ED1391" s="120"/>
      <c r="EE1391" s="120"/>
      <c r="EF1391" s="120"/>
      <c r="EG1391" s="120"/>
      <c r="EH1391" s="120"/>
      <c r="EI1391" s="120"/>
      <c r="EJ1391" s="120"/>
      <c r="EK1391" s="120"/>
      <c r="EL1391" s="120"/>
      <c r="EM1391" s="120"/>
      <c r="EN1391" s="120"/>
      <c r="EO1391" s="120"/>
      <c r="EP1391" s="120"/>
      <c r="EQ1391" s="120"/>
      <c r="ER1391" s="120"/>
      <c r="ES1391" s="120"/>
      <c r="ET1391" s="120"/>
      <c r="EU1391" s="120"/>
      <c r="EV1391" s="120"/>
      <c r="EW1391" s="120"/>
      <c r="EX1391" s="120"/>
      <c r="EY1391" s="120"/>
      <c r="EZ1391" s="120"/>
      <c r="FA1391" s="120"/>
      <c r="FB1391" s="120"/>
      <c r="FC1391" s="120"/>
      <c r="FD1391" s="120"/>
      <c r="FE1391" s="120"/>
      <c r="FF1391" s="120"/>
      <c r="FG1391" s="120"/>
      <c r="FH1391" s="120"/>
      <c r="FI1391" s="120"/>
      <c r="FJ1391" s="120"/>
      <c r="FK1391" s="120"/>
      <c r="FL1391" s="120"/>
      <c r="FM1391" s="120"/>
      <c r="FN1391" s="120"/>
      <c r="FO1391" s="120"/>
      <c r="FP1391" s="120"/>
      <c r="FQ1391" s="120"/>
      <c r="FR1391" s="120"/>
      <c r="FS1391" s="120"/>
      <c r="FT1391" s="120"/>
      <c r="FU1391" s="120"/>
      <c r="FV1391" s="120"/>
      <c r="FW1391" s="120"/>
      <c r="FX1391" s="120"/>
      <c r="FY1391" s="120"/>
      <c r="FZ1391" s="120"/>
      <c r="GA1391" s="120"/>
      <c r="GB1391" s="120"/>
      <c r="GC1391" s="120"/>
      <c r="GD1391" s="120"/>
      <c r="GE1391" s="120"/>
      <c r="GF1391" s="120"/>
      <c r="GG1391" s="120"/>
      <c r="GH1391" s="120"/>
      <c r="GI1391" s="120"/>
      <c r="GJ1391" s="120"/>
      <c r="GK1391" s="120"/>
      <c r="GL1391" s="120"/>
      <c r="GM1391" s="120"/>
      <c r="GN1391" s="120"/>
      <c r="GO1391" s="120"/>
      <c r="GP1391" s="120"/>
      <c r="GQ1391" s="120"/>
      <c r="GR1391" s="120"/>
      <c r="GS1391" s="120"/>
      <c r="GT1391" s="120"/>
      <c r="GU1391" s="120"/>
      <c r="GV1391" s="120"/>
      <c r="GW1391" s="120"/>
      <c r="GX1391" s="120"/>
      <c r="GY1391" s="120"/>
      <c r="GZ1391" s="120"/>
      <c r="HA1391" s="120"/>
      <c r="HB1391" s="120"/>
      <c r="HC1391" s="120"/>
      <c r="HD1391" s="120"/>
      <c r="HE1391" s="120"/>
      <c r="HF1391" s="120"/>
      <c r="HG1391" s="120"/>
      <c r="HH1391" s="120"/>
      <c r="HI1391" s="120"/>
      <c r="HJ1391" s="120"/>
      <c r="HK1391" s="120"/>
      <c r="HL1391" s="120"/>
      <c r="HM1391" s="120"/>
      <c r="HN1391" s="120"/>
      <c r="HO1391" s="120"/>
      <c r="HP1391" s="120"/>
      <c r="HQ1391" s="120"/>
      <c r="HR1391" s="120"/>
      <c r="HS1391" s="120"/>
      <c r="HT1391" s="120"/>
      <c r="HU1391" s="120"/>
      <c r="HV1391" s="120"/>
      <c r="HW1391" s="120"/>
      <c r="HX1391" s="120"/>
      <c r="HY1391" s="120"/>
      <c r="HZ1391" s="120"/>
      <c r="IA1391" s="120"/>
      <c r="IB1391" s="120"/>
      <c r="IC1391" s="120"/>
      <c r="ID1391" s="120"/>
      <c r="IE1391" s="120"/>
      <c r="IF1391" s="120"/>
      <c r="IG1391" s="120"/>
      <c r="IH1391" s="120"/>
      <c r="II1391" s="120"/>
      <c r="IJ1391" s="120"/>
      <c r="IK1391" s="120"/>
      <c r="IL1391" s="120"/>
      <c r="IM1391" s="120"/>
      <c r="IN1391" s="120"/>
      <c r="IO1391" s="120"/>
      <c r="IP1391" s="120"/>
      <c r="IQ1391" s="120"/>
      <c r="IR1391" s="120"/>
      <c r="IS1391" s="120"/>
      <c r="IT1391" s="120"/>
      <c r="IU1391" s="120"/>
      <c r="IV1391" s="120"/>
      <c r="IW1391" s="120"/>
      <c r="IX1391" s="120"/>
      <c r="IY1391" s="120"/>
      <c r="IZ1391" s="120"/>
      <c r="JA1391" s="120"/>
      <c r="JB1391" s="120"/>
      <c r="JC1391" s="120"/>
      <c r="JD1391" s="120"/>
      <c r="JE1391" s="120"/>
      <c r="JF1391" s="120"/>
      <c r="JG1391" s="120"/>
      <c r="JH1391" s="120"/>
      <c r="JI1391" s="120"/>
      <c r="JJ1391" s="120"/>
      <c r="JK1391" s="120"/>
      <c r="JL1391" s="120"/>
      <c r="JM1391" s="120"/>
      <c r="JN1391" s="120"/>
      <c r="JO1391" s="120"/>
      <c r="JP1391" s="120"/>
      <c r="JQ1391" s="120"/>
      <c r="JR1391" s="120"/>
      <c r="JS1391" s="120"/>
      <c r="JT1391" s="120"/>
      <c r="JU1391" s="120"/>
      <c r="JV1391" s="120"/>
      <c r="JW1391" s="120"/>
      <c r="JX1391" s="120"/>
      <c r="JY1391" s="120"/>
      <c r="JZ1391" s="120"/>
      <c r="KA1391" s="120"/>
      <c r="KB1391" s="120"/>
      <c r="KC1391" s="120"/>
      <c r="KD1391" s="120"/>
      <c r="KE1391" s="120"/>
      <c r="KF1391" s="120"/>
      <c r="KG1391" s="120"/>
      <c r="KH1391" s="120"/>
      <c r="KI1391" s="120"/>
      <c r="KJ1391" s="120"/>
      <c r="KK1391" s="120"/>
      <c r="KL1391" s="120"/>
      <c r="KM1391" s="120"/>
      <c r="KN1391" s="120"/>
      <c r="KO1391" s="120"/>
      <c r="KP1391" s="120"/>
      <c r="KQ1391" s="120"/>
      <c r="KR1391" s="120"/>
      <c r="KS1391" s="120"/>
      <c r="KT1391" s="120"/>
      <c r="KU1391" s="120"/>
      <c r="KV1391" s="120"/>
      <c r="KW1391" s="120"/>
      <c r="KX1391" s="120"/>
      <c r="KY1391" s="120"/>
      <c r="KZ1391" s="120"/>
      <c r="LA1391" s="120"/>
      <c r="LB1391" s="120"/>
      <c r="LC1391" s="120"/>
      <c r="LD1391" s="120"/>
      <c r="LE1391" s="120"/>
      <c r="LF1391" s="120"/>
      <c r="LG1391" s="120"/>
      <c r="LH1391" s="120"/>
      <c r="LI1391" s="120"/>
      <c r="LJ1391" s="120"/>
      <c r="LK1391" s="120"/>
      <c r="LL1391" s="120"/>
      <c r="LM1391" s="120"/>
      <c r="LN1391" s="120"/>
      <c r="LO1391" s="120"/>
      <c r="LP1391" s="120"/>
      <c r="LQ1391" s="120"/>
      <c r="LR1391" s="120"/>
      <c r="LS1391" s="120"/>
      <c r="LT1391" s="120"/>
      <c r="LU1391" s="120"/>
      <c r="LV1391" s="120"/>
      <c r="LW1391" s="120"/>
      <c r="LX1391" s="120"/>
      <c r="LY1391" s="120"/>
      <c r="LZ1391" s="120"/>
      <c r="MA1391" s="120"/>
      <c r="MB1391" s="120"/>
      <c r="MC1391" s="120"/>
      <c r="MD1391" s="120"/>
      <c r="ME1391" s="120"/>
      <c r="MF1391" s="120"/>
      <c r="MG1391" s="120"/>
      <c r="MH1391" s="120"/>
      <c r="MI1391" s="120"/>
      <c r="MJ1391" s="120"/>
      <c r="MK1391" s="120"/>
      <c r="ML1391" s="120"/>
      <c r="MM1391" s="120"/>
      <c r="MN1391" s="120"/>
      <c r="MO1391" s="120"/>
      <c r="MP1391" s="120"/>
      <c r="MQ1391" s="120"/>
      <c r="MR1391" s="120"/>
      <c r="MS1391" s="120"/>
      <c r="MT1391" s="120"/>
      <c r="MU1391" s="120"/>
      <c r="MV1391" s="120"/>
      <c r="MW1391" s="120"/>
      <c r="MX1391" s="120"/>
      <c r="MY1391" s="120"/>
      <c r="MZ1391" s="120"/>
      <c r="NA1391" s="120"/>
      <c r="NB1391" s="120"/>
      <c r="NC1391" s="120"/>
      <c r="ND1391" s="120"/>
      <c r="NE1391" s="120"/>
      <c r="NF1391" s="120"/>
      <c r="NG1391" s="120"/>
      <c r="NH1391" s="120"/>
      <c r="NI1391" s="120"/>
      <c r="NJ1391" s="120"/>
      <c r="NK1391" s="120"/>
      <c r="NL1391" s="120"/>
      <c r="NM1391" s="120"/>
      <c r="NN1391" s="120"/>
      <c r="NO1391" s="120"/>
      <c r="NP1391" s="120"/>
      <c r="NQ1391" s="120"/>
      <c r="NR1391" s="120"/>
      <c r="NS1391" s="120"/>
      <c r="NT1391" s="120"/>
      <c r="NU1391" s="120"/>
      <c r="NV1391" s="120"/>
      <c r="NW1391" s="120"/>
      <c r="NX1391" s="120"/>
      <c r="NY1391" s="120"/>
      <c r="NZ1391" s="120"/>
      <c r="OA1391" s="120"/>
      <c r="OB1391" s="120"/>
      <c r="OC1391" s="120"/>
      <c r="OD1391" s="120"/>
      <c r="OE1391" s="120"/>
      <c r="OF1391" s="120"/>
      <c r="OG1391" s="120"/>
      <c r="OH1391" s="120"/>
      <c r="OI1391" s="120"/>
      <c r="OJ1391" s="120"/>
      <c r="OK1391" s="120"/>
      <c r="OL1391" s="120"/>
      <c r="OM1391" s="120"/>
      <c r="ON1391" s="120"/>
      <c r="OO1391" s="120"/>
      <c r="OP1391" s="120"/>
      <c r="OQ1391" s="120"/>
      <c r="OR1391" s="120"/>
      <c r="OS1391" s="120"/>
      <c r="OT1391" s="120"/>
      <c r="OU1391" s="120"/>
      <c r="OV1391" s="120"/>
      <c r="OW1391" s="120"/>
      <c r="OX1391" s="120"/>
      <c r="OY1391" s="120"/>
      <c r="OZ1391" s="120"/>
      <c r="PA1391" s="120"/>
      <c r="PB1391" s="120"/>
      <c r="PC1391" s="120"/>
      <c r="PD1391" s="120"/>
      <c r="PE1391" s="120"/>
      <c r="PF1391" s="120"/>
      <c r="PG1391" s="120"/>
      <c r="PH1391" s="120"/>
      <c r="PI1391" s="120"/>
      <c r="PJ1391" s="120"/>
      <c r="PK1391" s="120"/>
      <c r="PL1391" s="120"/>
      <c r="PM1391" s="120"/>
      <c r="PN1391" s="120"/>
      <c r="PO1391" s="120"/>
      <c r="PP1391" s="120"/>
      <c r="PQ1391" s="120"/>
      <c r="PR1391" s="120"/>
      <c r="PS1391" s="120"/>
      <c r="PT1391" s="120"/>
      <c r="PU1391" s="120"/>
      <c r="PV1391" s="120"/>
      <c r="PW1391" s="120"/>
      <c r="PX1391" s="120"/>
      <c r="PY1391" s="120"/>
      <c r="PZ1391" s="120"/>
      <c r="QA1391" s="120"/>
      <c r="QB1391" s="120"/>
      <c r="QC1391" s="120"/>
      <c r="QD1391" s="120"/>
      <c r="QE1391" s="120"/>
      <c r="QF1391" s="120"/>
      <c r="QG1391" s="120"/>
      <c r="QH1391" s="120"/>
      <c r="QI1391" s="120"/>
      <c r="QJ1391" s="120"/>
      <c r="QK1391" s="120"/>
      <c r="QL1391" s="120"/>
      <c r="QM1391" s="120"/>
      <c r="QN1391" s="120"/>
      <c r="QO1391" s="120"/>
      <c r="QP1391" s="120"/>
      <c r="QQ1391" s="120"/>
      <c r="QR1391" s="120"/>
      <c r="QS1391" s="120"/>
      <c r="QT1391" s="120"/>
      <c r="QU1391" s="120"/>
      <c r="QV1391" s="120"/>
      <c r="QW1391" s="120"/>
      <c r="QX1391" s="120"/>
      <c r="QY1391" s="120"/>
      <c r="QZ1391" s="120"/>
      <c r="RA1391" s="120"/>
      <c r="RB1391" s="120"/>
      <c r="RC1391" s="120"/>
      <c r="RD1391" s="120"/>
      <c r="RE1391" s="120"/>
      <c r="RF1391" s="120"/>
      <c r="RG1391" s="120"/>
      <c r="RH1391" s="120"/>
      <c r="RI1391" s="120"/>
      <c r="RJ1391" s="120"/>
      <c r="RK1391" s="120"/>
      <c r="RL1391" s="120"/>
      <c r="RM1391" s="120"/>
      <c r="RN1391" s="120"/>
      <c r="RO1391" s="120"/>
      <c r="RP1391" s="120"/>
      <c r="RQ1391" s="120"/>
      <c r="RR1391" s="120"/>
      <c r="RS1391" s="120"/>
      <c r="RT1391" s="120"/>
      <c r="RU1391" s="120"/>
      <c r="RV1391" s="120"/>
      <c r="RW1391" s="120"/>
      <c r="RX1391" s="120"/>
      <c r="RY1391" s="120"/>
      <c r="RZ1391" s="120"/>
      <c r="SA1391" s="120"/>
      <c r="SB1391" s="120"/>
      <c r="SC1391" s="120"/>
      <c r="SD1391" s="120"/>
      <c r="SE1391" s="120"/>
      <c r="SF1391" s="120"/>
      <c r="SG1391" s="120"/>
      <c r="SH1391" s="120"/>
      <c r="SI1391" s="120"/>
      <c r="SJ1391" s="120"/>
      <c r="SK1391" s="120"/>
      <c r="SL1391" s="120"/>
      <c r="SM1391" s="120"/>
      <c r="SN1391" s="120"/>
      <c r="SO1391" s="120"/>
      <c r="SP1391" s="120"/>
      <c r="SQ1391" s="120"/>
      <c r="SR1391" s="120"/>
      <c r="SS1391" s="120"/>
      <c r="ST1391" s="120"/>
      <c r="SU1391" s="120"/>
      <c r="SV1391" s="120"/>
      <c r="SW1391" s="120"/>
      <c r="SX1391" s="120"/>
      <c r="SY1391" s="120"/>
      <c r="SZ1391" s="120"/>
      <c r="TA1391" s="120"/>
      <c r="TB1391" s="120"/>
      <c r="TC1391" s="120"/>
      <c r="TD1391" s="120"/>
      <c r="TE1391" s="120"/>
      <c r="TF1391" s="120"/>
      <c r="TG1391" s="120"/>
      <c r="TH1391" s="120"/>
      <c r="TI1391" s="120"/>
      <c r="TJ1391" s="120"/>
      <c r="TK1391" s="120"/>
      <c r="TL1391" s="120"/>
      <c r="TM1391" s="120"/>
      <c r="TN1391" s="120"/>
      <c r="TO1391" s="120"/>
      <c r="TP1391" s="120"/>
      <c r="TQ1391" s="120"/>
      <c r="TR1391" s="120"/>
      <c r="TS1391" s="120"/>
      <c r="TT1391" s="120"/>
      <c r="TU1391" s="120"/>
      <c r="TV1391" s="120"/>
      <c r="TW1391" s="120"/>
      <c r="TX1391" s="120"/>
      <c r="TY1391" s="120"/>
      <c r="TZ1391" s="120"/>
      <c r="UA1391" s="120"/>
      <c r="UB1391" s="120"/>
      <c r="UC1391" s="120"/>
      <c r="UD1391" s="120"/>
      <c r="UE1391" s="120"/>
      <c r="UF1391" s="120"/>
      <c r="UG1391" s="120"/>
      <c r="UH1391" s="120"/>
      <c r="UI1391" s="120"/>
      <c r="UJ1391" s="120"/>
      <c r="UK1391" s="120"/>
      <c r="UL1391" s="120"/>
      <c r="UM1391" s="120"/>
      <c r="UN1391" s="120"/>
      <c r="UO1391" s="120"/>
      <c r="UP1391" s="120"/>
      <c r="UQ1391" s="120"/>
      <c r="UR1391" s="120"/>
      <c r="US1391" s="120"/>
      <c r="UT1391" s="120"/>
      <c r="UU1391" s="120"/>
      <c r="UV1391" s="120"/>
      <c r="UW1391" s="120"/>
      <c r="UX1391" s="120"/>
      <c r="UY1391" s="120"/>
      <c r="UZ1391" s="120"/>
      <c r="VA1391" s="120"/>
      <c r="VB1391" s="120"/>
      <c r="VC1391" s="120"/>
      <c r="VD1391" s="120"/>
      <c r="VE1391" s="120"/>
      <c r="VF1391" s="120"/>
      <c r="VG1391" s="120"/>
      <c r="VH1391" s="120"/>
      <c r="VI1391" s="120"/>
      <c r="VJ1391" s="120"/>
      <c r="VK1391" s="120"/>
      <c r="VL1391" s="120"/>
      <c r="VM1391" s="120"/>
      <c r="VN1391" s="120"/>
      <c r="VO1391" s="120"/>
      <c r="VP1391" s="120"/>
      <c r="VQ1391" s="120"/>
      <c r="VR1391" s="120"/>
      <c r="VS1391" s="120"/>
      <c r="VT1391" s="120"/>
      <c r="VU1391" s="120"/>
      <c r="VV1391" s="120"/>
      <c r="VW1391" s="120"/>
      <c r="VX1391" s="120"/>
      <c r="VY1391" s="120"/>
      <c r="VZ1391" s="120"/>
      <c r="WA1391" s="120"/>
      <c r="WB1391" s="120"/>
      <c r="WC1391" s="120"/>
      <c r="WD1391" s="120"/>
      <c r="WE1391" s="120"/>
      <c r="WF1391" s="120"/>
      <c r="WG1391" s="120"/>
      <c r="WH1391" s="120"/>
      <c r="WI1391" s="120"/>
      <c r="WJ1391" s="120"/>
      <c r="WK1391" s="120"/>
      <c r="WL1391" s="120"/>
      <c r="WM1391" s="120"/>
      <c r="WN1391" s="120"/>
      <c r="WO1391" s="120"/>
      <c r="WP1391" s="120"/>
      <c r="WQ1391" s="120"/>
      <c r="WR1391" s="120"/>
      <c r="WS1391" s="120"/>
      <c r="WT1391" s="120"/>
      <c r="WU1391" s="120"/>
      <c r="WV1391" s="120"/>
      <c r="WW1391" s="120"/>
      <c r="WX1391" s="120"/>
      <c r="WY1391" s="120"/>
      <c r="WZ1391" s="120"/>
      <c r="XA1391" s="120"/>
      <c r="XB1391" s="120"/>
      <c r="XC1391" s="120"/>
      <c r="XD1391" s="120"/>
      <c r="XE1391" s="120"/>
      <c r="XF1391" s="120"/>
      <c r="XG1391" s="120"/>
      <c r="XH1391" s="120"/>
      <c r="XI1391" s="120"/>
      <c r="XJ1391" s="120"/>
      <c r="XK1391" s="120"/>
      <c r="XL1391" s="120"/>
      <c r="XM1391" s="120"/>
      <c r="XN1391" s="120"/>
      <c r="XO1391" s="120"/>
      <c r="XP1391" s="120"/>
      <c r="XQ1391" s="120"/>
      <c r="XR1391" s="120"/>
      <c r="XS1391" s="120"/>
      <c r="XT1391" s="120"/>
      <c r="XU1391" s="120"/>
      <c r="XV1391" s="120"/>
      <c r="XW1391" s="120"/>
      <c r="XX1391" s="120"/>
      <c r="XY1391" s="120"/>
      <c r="XZ1391" s="120"/>
      <c r="YA1391" s="120"/>
      <c r="YB1391" s="120"/>
      <c r="YC1391" s="120"/>
      <c r="YD1391" s="120"/>
      <c r="YE1391" s="120"/>
      <c r="YF1391" s="120"/>
      <c r="YG1391" s="120"/>
      <c r="YH1391" s="120"/>
      <c r="YI1391" s="120"/>
      <c r="YJ1391" s="120"/>
      <c r="YK1391" s="120"/>
      <c r="YL1391" s="120"/>
      <c r="YM1391" s="120"/>
      <c r="YN1391" s="120"/>
      <c r="YO1391" s="120"/>
      <c r="YP1391" s="120"/>
      <c r="YQ1391" s="120"/>
      <c r="YR1391" s="120"/>
      <c r="YS1391" s="120"/>
      <c r="YT1391" s="120"/>
      <c r="YU1391" s="120"/>
      <c r="YV1391" s="120"/>
      <c r="YW1391" s="120"/>
      <c r="YX1391" s="120"/>
      <c r="YY1391" s="120"/>
      <c r="YZ1391" s="120"/>
      <c r="ZA1391" s="120"/>
      <c r="ZB1391" s="120"/>
      <c r="ZC1391" s="120"/>
      <c r="ZD1391" s="120"/>
      <c r="ZE1391" s="120"/>
      <c r="ZF1391" s="120"/>
      <c r="ZG1391" s="120"/>
      <c r="ZH1391" s="120"/>
      <c r="ZI1391" s="120"/>
      <c r="ZJ1391" s="120"/>
      <c r="ZK1391" s="120"/>
      <c r="ZL1391" s="120"/>
      <c r="ZM1391" s="120"/>
      <c r="ZN1391" s="120"/>
      <c r="ZO1391" s="120"/>
      <c r="ZP1391" s="120"/>
      <c r="ZQ1391" s="120"/>
      <c r="ZR1391" s="120"/>
      <c r="ZS1391" s="120"/>
      <c r="ZT1391" s="120"/>
      <c r="ZU1391" s="120"/>
      <c r="ZV1391" s="120"/>
      <c r="ZW1391" s="120"/>
      <c r="ZX1391" s="120"/>
      <c r="ZY1391" s="120"/>
      <c r="ZZ1391" s="120"/>
      <c r="AAA1391" s="120"/>
      <c r="AAB1391" s="120"/>
      <c r="AAC1391" s="120"/>
      <c r="AAD1391" s="120"/>
      <c r="AAE1391" s="120"/>
      <c r="AAF1391" s="120"/>
      <c r="AAG1391" s="120"/>
      <c r="AAH1391" s="120"/>
      <c r="AAI1391" s="120"/>
      <c r="AAJ1391" s="120"/>
      <c r="AAK1391" s="120"/>
      <c r="AAL1391" s="120"/>
      <c r="AAM1391" s="120"/>
      <c r="AAN1391" s="120"/>
      <c r="AAO1391" s="120"/>
      <c r="AAP1391" s="120"/>
      <c r="AAQ1391" s="120"/>
      <c r="AAR1391" s="120"/>
      <c r="AAS1391" s="120"/>
      <c r="AAT1391" s="120"/>
      <c r="AAU1391" s="120"/>
      <c r="AAV1391" s="120"/>
      <c r="AAW1391" s="120"/>
      <c r="AAX1391" s="120"/>
      <c r="AAY1391" s="120"/>
      <c r="AAZ1391" s="120"/>
      <c r="ABA1391" s="120"/>
      <c r="ABB1391" s="120"/>
      <c r="ABC1391" s="120"/>
      <c r="ABD1391" s="120"/>
      <c r="ABE1391" s="120"/>
      <c r="ABF1391" s="120"/>
      <c r="ABG1391" s="120"/>
      <c r="ABH1391" s="120"/>
      <c r="ABI1391" s="120"/>
      <c r="ABJ1391" s="120"/>
      <c r="ABK1391" s="120"/>
      <c r="ABL1391" s="120"/>
      <c r="ABM1391" s="120"/>
      <c r="ABN1391" s="120"/>
      <c r="ABO1391" s="120"/>
      <c r="ABP1391" s="120"/>
      <c r="ABQ1391" s="120"/>
      <c r="ABR1391" s="120"/>
      <c r="ABS1391" s="120"/>
      <c r="ABT1391" s="120"/>
      <c r="ABU1391" s="120"/>
      <c r="ABV1391" s="120"/>
      <c r="ABW1391" s="120"/>
      <c r="ABX1391" s="120"/>
      <c r="ABY1391" s="120"/>
      <c r="ABZ1391" s="120"/>
      <c r="ACA1391" s="120"/>
      <c r="ACB1391" s="120"/>
      <c r="ACC1391" s="120"/>
      <c r="ACD1391" s="120"/>
      <c r="ACE1391" s="120"/>
      <c r="ACF1391" s="120"/>
      <c r="ACG1391" s="120"/>
      <c r="ACH1391" s="120"/>
      <c r="ACI1391" s="120"/>
      <c r="ACJ1391" s="120"/>
      <c r="ACK1391" s="120"/>
      <c r="ACL1391" s="120"/>
      <c r="ACM1391" s="120"/>
      <c r="ACN1391" s="120"/>
      <c r="ACO1391" s="120"/>
      <c r="ACP1391" s="120"/>
      <c r="ACQ1391" s="120"/>
      <c r="ACR1391" s="120"/>
      <c r="ACS1391" s="120"/>
      <c r="ACT1391" s="120"/>
      <c r="ACU1391" s="120"/>
      <c r="ACV1391" s="120"/>
      <c r="ACW1391" s="120"/>
      <c r="ACX1391" s="120"/>
      <c r="ACY1391" s="120"/>
      <c r="ACZ1391" s="120"/>
      <c r="ADA1391" s="120"/>
      <c r="ADB1391" s="120"/>
      <c r="ADC1391" s="120"/>
      <c r="ADD1391" s="120"/>
      <c r="ADE1391" s="120"/>
      <c r="ADF1391" s="120"/>
      <c r="ADG1391" s="120"/>
      <c r="ADH1391" s="120"/>
      <c r="ADI1391" s="120"/>
      <c r="ADJ1391" s="120"/>
      <c r="ADK1391" s="120"/>
      <c r="ADL1391" s="120"/>
      <c r="ADM1391" s="120"/>
      <c r="ADN1391" s="120"/>
      <c r="ADO1391" s="120"/>
      <c r="ADP1391" s="120"/>
      <c r="ADQ1391" s="120"/>
      <c r="ADR1391" s="120"/>
      <c r="ADS1391" s="120"/>
      <c r="ADT1391" s="120"/>
      <c r="ADU1391" s="120"/>
      <c r="ADV1391" s="120"/>
      <c r="ADW1391" s="120"/>
      <c r="ADX1391" s="120"/>
      <c r="ADY1391" s="120"/>
      <c r="ADZ1391" s="120"/>
      <c r="AEA1391" s="120"/>
      <c r="AEB1391" s="120"/>
      <c r="AEC1391" s="120"/>
      <c r="AED1391" s="120"/>
      <c r="AEE1391" s="120"/>
      <c r="AEF1391" s="120"/>
      <c r="AEG1391" s="120"/>
      <c r="AEH1391" s="120"/>
      <c r="AEI1391" s="120"/>
      <c r="AEJ1391" s="120"/>
      <c r="AEK1391" s="120"/>
      <c r="AEL1391" s="120"/>
      <c r="AEM1391" s="120"/>
      <c r="AEN1391" s="120"/>
      <c r="AEO1391" s="120"/>
      <c r="AEP1391" s="120"/>
      <c r="AEQ1391" s="120"/>
      <c r="AER1391" s="120"/>
      <c r="AES1391" s="120"/>
      <c r="AET1391" s="120"/>
      <c r="AEU1391" s="120"/>
      <c r="AEV1391" s="120"/>
      <c r="AEW1391" s="120"/>
      <c r="AEX1391" s="120"/>
      <c r="AEY1391" s="120"/>
      <c r="AEZ1391" s="120"/>
      <c r="AFA1391" s="120"/>
      <c r="AFB1391" s="120"/>
      <c r="AFC1391" s="120"/>
      <c r="AFD1391" s="120"/>
      <c r="AFE1391" s="120"/>
      <c r="AFF1391" s="120"/>
      <c r="AFG1391" s="120"/>
      <c r="AFH1391" s="120"/>
      <c r="AFI1391" s="120"/>
      <c r="AFJ1391" s="120"/>
      <c r="AFK1391" s="120"/>
      <c r="AFL1391" s="120"/>
      <c r="AFM1391" s="120"/>
      <c r="AFN1391" s="120"/>
      <c r="AFO1391" s="120"/>
      <c r="AFP1391" s="120"/>
      <c r="AFQ1391" s="120"/>
      <c r="AFR1391" s="120"/>
      <c r="AFS1391" s="120"/>
      <c r="AFT1391" s="120"/>
      <c r="AFU1391" s="120"/>
      <c r="AFV1391" s="120"/>
      <c r="AFW1391" s="120"/>
      <c r="AFX1391" s="120"/>
      <c r="AFY1391" s="120"/>
      <c r="AFZ1391" s="120"/>
      <c r="AGA1391" s="120"/>
      <c r="AGB1391" s="120"/>
      <c r="AGC1391" s="120"/>
      <c r="AGD1391" s="120"/>
      <c r="AGE1391" s="120"/>
      <c r="AGF1391" s="120"/>
      <c r="AGG1391" s="120"/>
      <c r="AGH1391" s="120"/>
      <c r="AGI1391" s="120"/>
      <c r="AGJ1391" s="120"/>
      <c r="AGK1391" s="120"/>
      <c r="AGL1391" s="120"/>
      <c r="AGM1391" s="120"/>
      <c r="AGN1391" s="120"/>
      <c r="AGO1391" s="120"/>
      <c r="AGP1391" s="120"/>
      <c r="AGQ1391" s="120"/>
      <c r="AGR1391" s="120"/>
      <c r="AGS1391" s="120"/>
      <c r="AGT1391" s="120"/>
      <c r="AGU1391" s="120"/>
      <c r="AGV1391" s="120"/>
      <c r="AGW1391" s="120"/>
      <c r="AGX1391" s="120"/>
      <c r="AGY1391" s="120"/>
      <c r="AGZ1391" s="120"/>
      <c r="AHA1391" s="120"/>
      <c r="AHB1391" s="120"/>
      <c r="AHC1391" s="120"/>
      <c r="AHD1391" s="120"/>
      <c r="AHE1391" s="120"/>
      <c r="AHF1391" s="120"/>
      <c r="AHG1391" s="120"/>
      <c r="AHH1391" s="120"/>
      <c r="AHI1391" s="120"/>
      <c r="AHJ1391" s="120"/>
      <c r="AHK1391" s="120"/>
      <c r="AHL1391" s="120"/>
      <c r="AHM1391" s="120"/>
      <c r="AHN1391" s="120"/>
      <c r="AHO1391" s="120"/>
      <c r="AHP1391" s="120"/>
      <c r="AHQ1391" s="120"/>
      <c r="AHR1391" s="120"/>
      <c r="AHS1391" s="120"/>
      <c r="AHT1391" s="120"/>
      <c r="AHU1391" s="120"/>
      <c r="AHV1391" s="120"/>
      <c r="AHW1391" s="120"/>
      <c r="AHX1391" s="120"/>
      <c r="AHY1391" s="120"/>
      <c r="AHZ1391" s="120"/>
      <c r="AIA1391" s="120"/>
      <c r="AIB1391" s="120"/>
      <c r="AIC1391" s="120"/>
      <c r="AID1391" s="120"/>
      <c r="AIE1391" s="120"/>
      <c r="AIF1391" s="120"/>
      <c r="AIG1391" s="120"/>
      <c r="AIH1391" s="120"/>
      <c r="AII1391" s="120"/>
      <c r="AIJ1391" s="120"/>
      <c r="AIK1391" s="120"/>
      <c r="AIL1391" s="120"/>
      <c r="AIM1391" s="120"/>
      <c r="AIN1391" s="120"/>
      <c r="AIO1391" s="120"/>
      <c r="AIP1391" s="120"/>
      <c r="AIQ1391" s="120"/>
      <c r="AIR1391" s="120"/>
      <c r="AIS1391" s="120"/>
      <c r="AIT1391" s="120"/>
      <c r="AIU1391" s="120"/>
      <c r="AIV1391" s="120"/>
      <c r="AIW1391" s="120"/>
      <c r="AIX1391" s="120"/>
      <c r="AIY1391" s="120"/>
      <c r="AIZ1391" s="120"/>
      <c r="AJA1391" s="120"/>
      <c r="AJB1391" s="120"/>
      <c r="AJC1391" s="120"/>
      <c r="AJD1391" s="120"/>
      <c r="AJE1391" s="120"/>
      <c r="AJF1391" s="120"/>
      <c r="AJG1391" s="120"/>
      <c r="AJH1391" s="120"/>
      <c r="AJI1391" s="120"/>
      <c r="AJJ1391" s="120"/>
      <c r="AJK1391" s="120"/>
      <c r="AJL1391" s="120"/>
      <c r="AJM1391" s="120"/>
      <c r="AJN1391" s="120"/>
      <c r="AJO1391" s="120"/>
      <c r="AJP1391" s="120"/>
      <c r="AJQ1391" s="120"/>
      <c r="AJR1391" s="120"/>
      <c r="AJS1391" s="120"/>
      <c r="AJT1391" s="120"/>
      <c r="AJU1391" s="120"/>
      <c r="AJV1391" s="120"/>
      <c r="AJW1391" s="120"/>
      <c r="AJX1391" s="120"/>
      <c r="AJY1391" s="120"/>
      <c r="AJZ1391" s="120"/>
      <c r="AKA1391" s="120"/>
      <c r="AKB1391" s="120"/>
      <c r="AKC1391" s="120"/>
      <c r="AKD1391" s="120"/>
      <c r="AKE1391" s="120"/>
      <c r="AKF1391" s="120"/>
      <c r="AKG1391" s="120"/>
      <c r="AKH1391" s="120"/>
      <c r="AKI1391" s="120"/>
      <c r="AKJ1391" s="120"/>
      <c r="AKK1391" s="120"/>
      <c r="AKL1391" s="120"/>
      <c r="AKM1391" s="120"/>
      <c r="AKN1391" s="120"/>
      <c r="AKO1391" s="120"/>
      <c r="AKP1391" s="120"/>
      <c r="AKQ1391" s="120"/>
      <c r="AKR1391" s="120"/>
      <c r="AKS1391" s="120"/>
      <c r="AKT1391" s="120"/>
      <c r="AKU1391" s="120"/>
      <c r="AKV1391" s="120"/>
      <c r="AKW1391" s="120"/>
      <c r="AKX1391" s="120"/>
      <c r="AKY1391" s="120"/>
      <c r="AKZ1391" s="120"/>
      <c r="ALA1391" s="120"/>
      <c r="ALB1391" s="120"/>
      <c r="ALC1391" s="120"/>
      <c r="ALD1391" s="120"/>
      <c r="ALE1391" s="120"/>
      <c r="ALF1391" s="120"/>
      <c r="ALG1391" s="120"/>
      <c r="ALH1391" s="120"/>
      <c r="ALI1391" s="120"/>
      <c r="ALJ1391" s="120"/>
      <c r="ALK1391" s="120"/>
      <c r="ALL1391" s="120"/>
      <c r="ALM1391" s="120"/>
      <c r="ALN1391" s="120"/>
      <c r="ALO1391" s="120"/>
      <c r="ALP1391" s="120"/>
      <c r="ALQ1391" s="120"/>
      <c r="ALR1391" s="120"/>
      <c r="ALS1391" s="120"/>
      <c r="ALT1391" s="120"/>
      <c r="ALU1391" s="120"/>
      <c r="ALV1391" s="120"/>
      <c r="ALW1391" s="120"/>
      <c r="ALX1391" s="120"/>
      <c r="ALY1391" s="120"/>
      <c r="ALZ1391" s="120"/>
      <c r="AMA1391" s="120"/>
      <c r="AMB1391" s="120"/>
      <c r="AMC1391" s="120"/>
      <c r="AMD1391" s="120"/>
      <c r="AME1391" s="120"/>
      <c r="AMF1391" s="120"/>
      <c r="AMG1391" s="120"/>
      <c r="AMH1391" s="120"/>
      <c r="AMI1391" s="120"/>
      <c r="AMJ1391" s="120"/>
      <c r="AMK1391" s="120"/>
      <c r="AML1391" s="120"/>
      <c r="AMM1391" s="120"/>
      <c r="AMN1391" s="120"/>
      <c r="AMO1391" s="120"/>
      <c r="AMP1391" s="120"/>
      <c r="AMQ1391" s="120"/>
      <c r="AMR1391" s="120"/>
      <c r="AMS1391" s="120"/>
      <c r="AMT1391" s="120"/>
      <c r="AMU1391" s="120"/>
      <c r="AMV1391" s="120"/>
      <c r="AMW1391" s="120"/>
      <c r="AMX1391" s="120"/>
      <c r="AMY1391" s="120"/>
      <c r="AMZ1391" s="120"/>
      <c r="ANA1391" s="120"/>
      <c r="ANB1391" s="120"/>
      <c r="ANC1391" s="120"/>
      <c r="AND1391" s="120"/>
      <c r="ANE1391" s="120"/>
      <c r="ANF1391" s="120"/>
      <c r="ANG1391" s="120"/>
      <c r="ANH1391" s="120"/>
      <c r="ANI1391" s="120"/>
      <c r="ANJ1391" s="120"/>
      <c r="ANK1391" s="120"/>
      <c r="ANL1391" s="120"/>
      <c r="ANM1391" s="120"/>
      <c r="ANN1391" s="120"/>
      <c r="ANO1391" s="120"/>
      <c r="ANP1391" s="120"/>
      <c r="ANQ1391" s="120"/>
      <c r="ANR1391" s="120"/>
      <c r="ANS1391" s="120"/>
      <c r="ANT1391" s="120"/>
      <c r="ANU1391" s="120"/>
      <c r="ANV1391" s="120"/>
      <c r="ANW1391" s="120"/>
      <c r="ANX1391" s="120"/>
      <c r="ANY1391" s="120"/>
      <c r="ANZ1391" s="120"/>
      <c r="AOA1391" s="120"/>
      <c r="AOB1391" s="120"/>
      <c r="AOC1391" s="120"/>
      <c r="AOD1391" s="120"/>
      <c r="AOE1391" s="120"/>
      <c r="AOF1391" s="120"/>
      <c r="AOG1391" s="120"/>
      <c r="AOH1391" s="120"/>
      <c r="AOI1391" s="120"/>
      <c r="AOJ1391" s="120"/>
      <c r="AOK1391" s="120"/>
      <c r="AOL1391" s="120"/>
      <c r="AOM1391" s="120"/>
      <c r="AON1391" s="120"/>
      <c r="AOO1391" s="120"/>
      <c r="AOP1391" s="120"/>
      <c r="AOQ1391" s="120"/>
      <c r="AOR1391" s="120"/>
      <c r="AOS1391" s="120"/>
      <c r="AOT1391" s="120"/>
      <c r="AOU1391" s="120"/>
      <c r="AOV1391" s="120"/>
      <c r="AOW1391" s="120"/>
      <c r="AOX1391" s="120"/>
      <c r="AOY1391" s="120"/>
      <c r="AOZ1391" s="120"/>
      <c r="APA1391" s="120"/>
      <c r="APB1391" s="120"/>
      <c r="APC1391" s="120"/>
      <c r="APD1391" s="120"/>
      <c r="APE1391" s="120"/>
      <c r="APF1391" s="120"/>
      <c r="APG1391" s="120"/>
      <c r="APH1391" s="120"/>
      <c r="API1391" s="120"/>
      <c r="APJ1391" s="120"/>
      <c r="APK1391" s="120"/>
      <c r="APL1391" s="120"/>
      <c r="APM1391" s="120"/>
      <c r="APN1391" s="120"/>
      <c r="APO1391" s="120"/>
      <c r="APP1391" s="120"/>
      <c r="APQ1391" s="120"/>
      <c r="APR1391" s="120"/>
      <c r="APS1391" s="120"/>
      <c r="APT1391" s="120"/>
      <c r="APU1391" s="120"/>
      <c r="APV1391" s="120"/>
      <c r="APW1391" s="120"/>
      <c r="APX1391" s="120"/>
      <c r="APY1391" s="120"/>
      <c r="APZ1391" s="120"/>
      <c r="AQA1391" s="120"/>
      <c r="AQB1391" s="120"/>
      <c r="AQC1391" s="120"/>
      <c r="AQD1391" s="120"/>
      <c r="AQE1391" s="120"/>
      <c r="AQF1391" s="120"/>
      <c r="AQG1391" s="120"/>
      <c r="AQH1391" s="120"/>
      <c r="AQI1391" s="120"/>
      <c r="AQJ1391" s="120"/>
      <c r="AQK1391" s="120"/>
      <c r="AQL1391" s="120"/>
      <c r="AQM1391" s="120"/>
      <c r="AQN1391" s="120"/>
      <c r="AQO1391" s="120"/>
      <c r="AQP1391" s="120"/>
      <c r="AQQ1391" s="120"/>
      <c r="AQR1391" s="120"/>
      <c r="AQS1391" s="120"/>
      <c r="AQT1391" s="120"/>
      <c r="AQU1391" s="120"/>
      <c r="AQV1391" s="120"/>
      <c r="AQW1391" s="120"/>
      <c r="AQX1391" s="120"/>
      <c r="AQY1391" s="120"/>
      <c r="AQZ1391" s="120"/>
      <c r="ARA1391" s="120"/>
      <c r="ARB1391" s="120"/>
      <c r="ARC1391" s="120"/>
      <c r="ARD1391" s="120"/>
      <c r="ARE1391" s="120"/>
      <c r="ARF1391" s="120"/>
      <c r="ARG1391" s="120"/>
      <c r="ARH1391" s="120"/>
      <c r="ARI1391" s="120"/>
      <c r="ARJ1391" s="120"/>
      <c r="ARK1391" s="120"/>
      <c r="ARL1391" s="120"/>
      <c r="ARM1391" s="120"/>
      <c r="ARN1391" s="120"/>
      <c r="ARO1391" s="120"/>
      <c r="ARP1391" s="120"/>
      <c r="ARQ1391" s="120"/>
      <c r="ARR1391" s="120"/>
      <c r="ARS1391" s="120"/>
      <c r="ART1391" s="120"/>
      <c r="ARU1391" s="120"/>
      <c r="ARV1391" s="120"/>
      <c r="ARW1391" s="120"/>
      <c r="ARX1391" s="120"/>
      <c r="ARY1391" s="120"/>
      <c r="ARZ1391" s="120"/>
      <c r="ASA1391" s="120"/>
      <c r="ASB1391" s="120"/>
      <c r="ASC1391" s="120"/>
      <c r="ASD1391" s="120"/>
      <c r="ASE1391" s="120"/>
      <c r="ASF1391" s="120"/>
      <c r="ASG1391" s="120"/>
      <c r="ASH1391" s="120"/>
      <c r="ASI1391" s="120"/>
      <c r="ASJ1391" s="120"/>
      <c r="ASK1391" s="120"/>
      <c r="ASL1391" s="120"/>
      <c r="ASM1391" s="120"/>
      <c r="ASN1391" s="120"/>
      <c r="ASO1391" s="120"/>
      <c r="ASP1391" s="120"/>
      <c r="ASQ1391" s="120"/>
      <c r="ASR1391" s="120"/>
      <c r="ASS1391" s="120"/>
      <c r="AST1391" s="120"/>
      <c r="ASU1391" s="120"/>
      <c r="ASV1391" s="120"/>
      <c r="ASW1391" s="120"/>
      <c r="ASX1391" s="120"/>
      <c r="ASY1391" s="120"/>
      <c r="ASZ1391" s="120"/>
      <c r="ATA1391" s="120"/>
      <c r="ATB1391" s="120"/>
      <c r="ATC1391" s="120"/>
      <c r="ATD1391" s="120"/>
      <c r="ATE1391" s="120"/>
      <c r="ATF1391" s="120"/>
      <c r="ATG1391" s="120"/>
      <c r="ATH1391" s="120"/>
      <c r="ATI1391" s="120"/>
      <c r="ATJ1391" s="120"/>
      <c r="ATK1391" s="120"/>
      <c r="ATL1391" s="120"/>
      <c r="ATM1391" s="120"/>
      <c r="ATN1391" s="120"/>
      <c r="ATO1391" s="120"/>
    </row>
    <row r="1392" spans="1:1211" s="20" customFormat="1" ht="14.1" customHeight="1">
      <c r="A1392" s="112"/>
      <c r="B1392" s="945" t="s">
        <v>3783</v>
      </c>
      <c r="C1392" s="184" t="s">
        <v>6151</v>
      </c>
      <c r="D1392" s="120"/>
      <c r="E1392" s="701"/>
      <c r="F1392" s="703"/>
      <c r="G1392" s="702"/>
      <c r="H1392" s="702"/>
      <c r="I1392" s="702"/>
      <c r="J1392" s="700"/>
      <c r="K1392" s="112"/>
      <c r="L1392" s="363"/>
      <c r="M1392" s="112"/>
      <c r="N1392" s="362"/>
      <c r="O1392" s="573"/>
      <c r="P1392" s="120"/>
      <c r="Q1392" s="120"/>
      <c r="R1392" s="120"/>
      <c r="S1392" s="120"/>
      <c r="T1392" s="120"/>
      <c r="U1392" s="120"/>
      <c r="V1392" s="120"/>
      <c r="W1392" s="120"/>
      <c r="X1392" s="120"/>
      <c r="Y1392" s="120"/>
      <c r="Z1392" s="120"/>
      <c r="AA1392" s="120"/>
      <c r="AB1392" s="120"/>
      <c r="AC1392" s="120"/>
      <c r="AD1392" s="120"/>
      <c r="AE1392" s="120"/>
      <c r="AF1392" s="120"/>
      <c r="AG1392" s="120"/>
      <c r="AH1392" s="120"/>
      <c r="AI1392" s="120"/>
      <c r="AJ1392" s="120"/>
      <c r="AK1392" s="120"/>
      <c r="AL1392" s="120"/>
      <c r="AM1392" s="120"/>
      <c r="AN1392" s="120"/>
      <c r="AO1392" s="120"/>
      <c r="AP1392" s="120"/>
      <c r="AQ1392" s="120"/>
      <c r="AR1392" s="120"/>
      <c r="AS1392" s="120"/>
      <c r="AT1392" s="120"/>
      <c r="AU1392" s="120"/>
      <c r="AV1392" s="120"/>
      <c r="AW1392" s="120"/>
      <c r="AX1392" s="120"/>
      <c r="AY1392" s="120"/>
      <c r="AZ1392" s="120"/>
      <c r="BA1392" s="120"/>
      <c r="BB1392" s="120"/>
      <c r="BC1392" s="120"/>
      <c r="BD1392" s="120"/>
      <c r="BE1392" s="120"/>
      <c r="BF1392" s="120"/>
      <c r="BG1392" s="120"/>
      <c r="BH1392" s="120"/>
      <c r="BI1392" s="120"/>
      <c r="BJ1392" s="120"/>
      <c r="BK1392" s="120"/>
      <c r="BL1392" s="120"/>
      <c r="BM1392" s="120"/>
      <c r="BN1392" s="120"/>
      <c r="BO1392" s="120"/>
      <c r="BP1392" s="120"/>
      <c r="BQ1392" s="120"/>
      <c r="BR1392" s="120"/>
      <c r="BS1392" s="120"/>
      <c r="BT1392" s="120"/>
      <c r="BU1392" s="120"/>
      <c r="BV1392" s="120"/>
      <c r="BW1392" s="120"/>
      <c r="BX1392" s="120"/>
      <c r="BY1392" s="120"/>
      <c r="BZ1392" s="120"/>
      <c r="CA1392" s="120"/>
      <c r="CB1392" s="120"/>
      <c r="CC1392" s="120"/>
      <c r="CD1392" s="120"/>
      <c r="CE1392" s="120"/>
      <c r="CF1392" s="120"/>
      <c r="CG1392" s="120"/>
      <c r="CH1392" s="120"/>
      <c r="CI1392" s="120"/>
      <c r="CJ1392" s="120"/>
      <c r="CK1392" s="120"/>
      <c r="CL1392" s="120"/>
      <c r="CM1392" s="120"/>
      <c r="CN1392" s="120"/>
      <c r="CO1392" s="120"/>
      <c r="CP1392" s="120"/>
      <c r="CQ1392" s="120"/>
      <c r="CR1392" s="120"/>
      <c r="CS1392" s="120"/>
      <c r="CT1392" s="120"/>
      <c r="CU1392" s="120"/>
      <c r="CV1392" s="120"/>
      <c r="CW1392" s="120"/>
      <c r="CX1392" s="120"/>
      <c r="CY1392" s="120"/>
      <c r="CZ1392" s="120"/>
      <c r="DA1392" s="120"/>
      <c r="DB1392" s="120"/>
      <c r="DC1392" s="120"/>
      <c r="DD1392" s="120"/>
      <c r="DE1392" s="120"/>
      <c r="DF1392" s="120"/>
      <c r="DG1392" s="120"/>
      <c r="DH1392" s="120"/>
      <c r="DI1392" s="120"/>
      <c r="DJ1392" s="120"/>
      <c r="DK1392" s="120"/>
      <c r="DL1392" s="120"/>
      <c r="DM1392" s="120"/>
      <c r="DN1392" s="120"/>
      <c r="DO1392" s="120"/>
      <c r="DP1392" s="120"/>
      <c r="DQ1392" s="120"/>
      <c r="DR1392" s="120"/>
      <c r="DS1392" s="120"/>
      <c r="DT1392" s="120"/>
      <c r="DU1392" s="120"/>
      <c r="DV1392" s="120"/>
      <c r="DW1392" s="120"/>
      <c r="DX1392" s="120"/>
      <c r="DY1392" s="120"/>
      <c r="DZ1392" s="120"/>
      <c r="EA1392" s="120"/>
      <c r="EB1392" s="120"/>
      <c r="EC1392" s="120"/>
      <c r="ED1392" s="120"/>
      <c r="EE1392" s="120"/>
      <c r="EF1392" s="120"/>
      <c r="EG1392" s="120"/>
      <c r="EH1392" s="120"/>
      <c r="EI1392" s="120"/>
      <c r="EJ1392" s="120"/>
      <c r="EK1392" s="120"/>
      <c r="EL1392" s="120"/>
      <c r="EM1392" s="120"/>
      <c r="EN1392" s="120"/>
      <c r="EO1392" s="120"/>
      <c r="EP1392" s="120"/>
      <c r="EQ1392" s="120"/>
      <c r="ER1392" s="120"/>
      <c r="ES1392" s="120"/>
      <c r="ET1392" s="120"/>
      <c r="EU1392" s="120"/>
      <c r="EV1392" s="120"/>
      <c r="EW1392" s="120"/>
      <c r="EX1392" s="120"/>
      <c r="EY1392" s="120"/>
      <c r="EZ1392" s="120"/>
      <c r="FA1392" s="120"/>
      <c r="FB1392" s="120"/>
      <c r="FC1392" s="120"/>
      <c r="FD1392" s="120"/>
      <c r="FE1392" s="120"/>
      <c r="FF1392" s="120"/>
      <c r="FG1392" s="120"/>
      <c r="FH1392" s="120"/>
      <c r="FI1392" s="120"/>
      <c r="FJ1392" s="120"/>
      <c r="FK1392" s="120"/>
      <c r="FL1392" s="120"/>
      <c r="FM1392" s="120"/>
      <c r="FN1392" s="120"/>
      <c r="FO1392" s="120"/>
      <c r="FP1392" s="120"/>
      <c r="FQ1392" s="120"/>
      <c r="FR1392" s="120"/>
      <c r="FS1392" s="120"/>
      <c r="FT1392" s="120"/>
      <c r="FU1392" s="120"/>
      <c r="FV1392" s="120"/>
      <c r="FW1392" s="120"/>
      <c r="FX1392" s="120"/>
      <c r="FY1392" s="120"/>
      <c r="FZ1392" s="120"/>
      <c r="GA1392" s="120"/>
      <c r="GB1392" s="120"/>
      <c r="GC1392" s="120"/>
      <c r="GD1392" s="120"/>
      <c r="GE1392" s="120"/>
      <c r="GF1392" s="120"/>
      <c r="GG1392" s="120"/>
      <c r="GH1392" s="120"/>
      <c r="GI1392" s="120"/>
      <c r="GJ1392" s="120"/>
      <c r="GK1392" s="120"/>
      <c r="GL1392" s="120"/>
      <c r="GM1392" s="120"/>
      <c r="GN1392" s="120"/>
      <c r="GO1392" s="120"/>
      <c r="GP1392" s="120"/>
      <c r="GQ1392" s="120"/>
      <c r="GR1392" s="120"/>
      <c r="GS1392" s="120"/>
      <c r="GT1392" s="120"/>
      <c r="GU1392" s="120"/>
      <c r="GV1392" s="120"/>
      <c r="GW1392" s="120"/>
      <c r="GX1392" s="120"/>
      <c r="GY1392" s="120"/>
      <c r="GZ1392" s="120"/>
      <c r="HA1392" s="120"/>
      <c r="HB1392" s="120"/>
      <c r="HC1392" s="120"/>
      <c r="HD1392" s="120"/>
      <c r="HE1392" s="120"/>
      <c r="HF1392" s="120"/>
      <c r="HG1392" s="120"/>
      <c r="HH1392" s="120"/>
      <c r="HI1392" s="120"/>
      <c r="HJ1392" s="120"/>
      <c r="HK1392" s="120"/>
      <c r="HL1392" s="120"/>
      <c r="HM1392" s="120"/>
      <c r="HN1392" s="120"/>
      <c r="HO1392" s="120"/>
      <c r="HP1392" s="120"/>
      <c r="HQ1392" s="120"/>
      <c r="HR1392" s="120"/>
      <c r="HS1392" s="120"/>
      <c r="HT1392" s="120"/>
      <c r="HU1392" s="120"/>
      <c r="HV1392" s="120"/>
      <c r="HW1392" s="120"/>
      <c r="HX1392" s="120"/>
      <c r="HY1392" s="120"/>
      <c r="HZ1392" s="120"/>
      <c r="IA1392" s="120"/>
      <c r="IB1392" s="120"/>
      <c r="IC1392" s="120"/>
      <c r="ID1392" s="120"/>
      <c r="IE1392" s="120"/>
      <c r="IF1392" s="120"/>
      <c r="IG1392" s="120"/>
      <c r="IH1392" s="120"/>
      <c r="II1392" s="120"/>
      <c r="IJ1392" s="120"/>
      <c r="IK1392" s="120"/>
      <c r="IL1392" s="120"/>
      <c r="IM1392" s="120"/>
      <c r="IN1392" s="120"/>
      <c r="IO1392" s="120"/>
      <c r="IP1392" s="120"/>
      <c r="IQ1392" s="120"/>
      <c r="IR1392" s="120"/>
      <c r="IS1392" s="120"/>
      <c r="IT1392" s="120"/>
      <c r="IU1392" s="120"/>
      <c r="IV1392" s="120"/>
      <c r="IW1392" s="120"/>
      <c r="IX1392" s="120"/>
      <c r="IY1392" s="120"/>
      <c r="IZ1392" s="120"/>
      <c r="JA1392" s="120"/>
      <c r="JB1392" s="120"/>
      <c r="JC1392" s="120"/>
      <c r="JD1392" s="120"/>
      <c r="JE1392" s="120"/>
      <c r="JF1392" s="120"/>
      <c r="JG1392" s="120"/>
      <c r="JH1392" s="120"/>
      <c r="JI1392" s="120"/>
      <c r="JJ1392" s="120"/>
      <c r="JK1392" s="120"/>
      <c r="JL1392" s="120"/>
      <c r="JM1392" s="120"/>
      <c r="JN1392" s="120"/>
      <c r="JO1392" s="120"/>
      <c r="JP1392" s="120"/>
      <c r="JQ1392" s="120"/>
      <c r="JR1392" s="120"/>
      <c r="JS1392" s="120"/>
      <c r="JT1392" s="120"/>
      <c r="JU1392" s="120"/>
      <c r="JV1392" s="120"/>
      <c r="JW1392" s="120"/>
      <c r="JX1392" s="120"/>
      <c r="JY1392" s="120"/>
      <c r="JZ1392" s="120"/>
      <c r="KA1392" s="120"/>
      <c r="KB1392" s="120"/>
      <c r="KC1392" s="120"/>
      <c r="KD1392" s="120"/>
      <c r="KE1392" s="120"/>
      <c r="KF1392" s="120"/>
      <c r="KG1392" s="120"/>
      <c r="KH1392" s="120"/>
      <c r="KI1392" s="120"/>
      <c r="KJ1392" s="120"/>
      <c r="KK1392" s="120"/>
      <c r="KL1392" s="120"/>
      <c r="KM1392" s="120"/>
      <c r="KN1392" s="120"/>
      <c r="KO1392" s="120"/>
      <c r="KP1392" s="120"/>
      <c r="KQ1392" s="120"/>
      <c r="KR1392" s="120"/>
      <c r="KS1392" s="120"/>
      <c r="KT1392" s="120"/>
      <c r="KU1392" s="120"/>
      <c r="KV1392" s="120"/>
      <c r="KW1392" s="120"/>
      <c r="KX1392" s="120"/>
      <c r="KY1392" s="120"/>
      <c r="KZ1392" s="120"/>
      <c r="LA1392" s="120"/>
      <c r="LB1392" s="120"/>
      <c r="LC1392" s="120"/>
      <c r="LD1392" s="120"/>
      <c r="LE1392" s="120"/>
      <c r="LF1392" s="120"/>
      <c r="LG1392" s="120"/>
      <c r="LH1392" s="120"/>
      <c r="LI1392" s="120"/>
      <c r="LJ1392" s="120"/>
      <c r="LK1392" s="120"/>
      <c r="LL1392" s="120"/>
      <c r="LM1392" s="120"/>
      <c r="LN1392" s="120"/>
      <c r="LO1392" s="120"/>
      <c r="LP1392" s="120"/>
      <c r="LQ1392" s="120"/>
      <c r="LR1392" s="120"/>
      <c r="LS1392" s="120"/>
      <c r="LT1392" s="120"/>
      <c r="LU1392" s="120"/>
      <c r="LV1392" s="120"/>
      <c r="LW1392" s="120"/>
      <c r="LX1392" s="120"/>
      <c r="LY1392" s="120"/>
      <c r="LZ1392" s="120"/>
      <c r="MA1392" s="120"/>
      <c r="MB1392" s="120"/>
      <c r="MC1392" s="120"/>
      <c r="MD1392" s="120"/>
      <c r="ME1392" s="120"/>
      <c r="MF1392" s="120"/>
      <c r="MG1392" s="120"/>
      <c r="MH1392" s="120"/>
      <c r="MI1392" s="120"/>
      <c r="MJ1392" s="120"/>
      <c r="MK1392" s="120"/>
      <c r="ML1392" s="120"/>
      <c r="MM1392" s="120"/>
      <c r="MN1392" s="120"/>
      <c r="MO1392" s="120"/>
      <c r="MP1392" s="120"/>
      <c r="MQ1392" s="120"/>
      <c r="MR1392" s="120"/>
      <c r="MS1392" s="120"/>
      <c r="MT1392" s="120"/>
      <c r="MU1392" s="120"/>
      <c r="MV1392" s="120"/>
      <c r="MW1392" s="120"/>
      <c r="MX1392" s="120"/>
      <c r="MY1392" s="120"/>
      <c r="MZ1392" s="120"/>
      <c r="NA1392" s="120"/>
      <c r="NB1392" s="120"/>
      <c r="NC1392" s="120"/>
      <c r="ND1392" s="120"/>
      <c r="NE1392" s="120"/>
      <c r="NF1392" s="120"/>
      <c r="NG1392" s="120"/>
      <c r="NH1392" s="120"/>
      <c r="NI1392" s="120"/>
      <c r="NJ1392" s="120"/>
      <c r="NK1392" s="120"/>
      <c r="NL1392" s="120"/>
      <c r="NM1392" s="120"/>
      <c r="NN1392" s="120"/>
      <c r="NO1392" s="120"/>
      <c r="NP1392" s="120"/>
      <c r="NQ1392" s="120"/>
      <c r="NR1392" s="120"/>
      <c r="NS1392" s="120"/>
      <c r="NT1392" s="120"/>
      <c r="NU1392" s="120"/>
      <c r="NV1392" s="120"/>
      <c r="NW1392" s="120"/>
      <c r="NX1392" s="120"/>
      <c r="NY1392" s="120"/>
      <c r="NZ1392" s="120"/>
      <c r="OA1392" s="120"/>
      <c r="OB1392" s="120"/>
      <c r="OC1392" s="120"/>
      <c r="OD1392" s="120"/>
      <c r="OE1392" s="120"/>
      <c r="OF1392" s="120"/>
      <c r="OG1392" s="120"/>
      <c r="OH1392" s="120"/>
      <c r="OI1392" s="120"/>
      <c r="OJ1392" s="120"/>
      <c r="OK1392" s="120"/>
      <c r="OL1392" s="120"/>
      <c r="OM1392" s="120"/>
      <c r="ON1392" s="120"/>
      <c r="OO1392" s="120"/>
      <c r="OP1392" s="120"/>
      <c r="OQ1392" s="120"/>
      <c r="OR1392" s="120"/>
      <c r="OS1392" s="120"/>
      <c r="OT1392" s="120"/>
      <c r="OU1392" s="120"/>
      <c r="OV1392" s="120"/>
      <c r="OW1392" s="120"/>
      <c r="OX1392" s="120"/>
      <c r="OY1392" s="120"/>
      <c r="OZ1392" s="120"/>
      <c r="PA1392" s="120"/>
      <c r="PB1392" s="120"/>
      <c r="PC1392" s="120"/>
      <c r="PD1392" s="120"/>
      <c r="PE1392" s="120"/>
      <c r="PF1392" s="120"/>
      <c r="PG1392" s="120"/>
      <c r="PH1392" s="120"/>
      <c r="PI1392" s="120"/>
      <c r="PJ1392" s="120"/>
      <c r="PK1392" s="120"/>
      <c r="PL1392" s="120"/>
      <c r="PM1392" s="120"/>
      <c r="PN1392" s="120"/>
      <c r="PO1392" s="120"/>
      <c r="PP1392" s="120"/>
      <c r="PQ1392" s="120"/>
      <c r="PR1392" s="120"/>
      <c r="PS1392" s="120"/>
      <c r="PT1392" s="120"/>
      <c r="PU1392" s="120"/>
      <c r="PV1392" s="120"/>
      <c r="PW1392" s="120"/>
      <c r="PX1392" s="120"/>
      <c r="PY1392" s="120"/>
      <c r="PZ1392" s="120"/>
      <c r="QA1392" s="120"/>
      <c r="QB1392" s="120"/>
      <c r="QC1392" s="120"/>
      <c r="QD1392" s="120"/>
      <c r="QE1392" s="120"/>
      <c r="QF1392" s="120"/>
      <c r="QG1392" s="120"/>
      <c r="QH1392" s="120"/>
      <c r="QI1392" s="120"/>
      <c r="QJ1392" s="120"/>
      <c r="QK1392" s="120"/>
      <c r="QL1392" s="120"/>
      <c r="QM1392" s="120"/>
      <c r="QN1392" s="120"/>
      <c r="QO1392" s="120"/>
      <c r="QP1392" s="120"/>
      <c r="QQ1392" s="120"/>
      <c r="QR1392" s="120"/>
      <c r="QS1392" s="120"/>
      <c r="QT1392" s="120"/>
      <c r="QU1392" s="120"/>
      <c r="QV1392" s="120"/>
      <c r="QW1392" s="120"/>
      <c r="QX1392" s="120"/>
      <c r="QY1392" s="120"/>
      <c r="QZ1392" s="120"/>
      <c r="RA1392" s="120"/>
      <c r="RB1392" s="120"/>
      <c r="RC1392" s="120"/>
      <c r="RD1392" s="120"/>
      <c r="RE1392" s="120"/>
      <c r="RF1392" s="120"/>
      <c r="RG1392" s="120"/>
      <c r="RH1392" s="120"/>
      <c r="RI1392" s="120"/>
      <c r="RJ1392" s="120"/>
      <c r="RK1392" s="120"/>
      <c r="RL1392" s="120"/>
      <c r="RM1392" s="120"/>
      <c r="RN1392" s="120"/>
      <c r="RO1392" s="120"/>
      <c r="RP1392" s="120"/>
      <c r="RQ1392" s="120"/>
      <c r="RR1392" s="120"/>
      <c r="RS1392" s="120"/>
      <c r="RT1392" s="120"/>
      <c r="RU1392" s="120"/>
      <c r="RV1392" s="120"/>
      <c r="RW1392" s="120"/>
      <c r="RX1392" s="120"/>
      <c r="RY1392" s="120"/>
      <c r="RZ1392" s="120"/>
      <c r="SA1392" s="120"/>
      <c r="SB1392" s="120"/>
      <c r="SC1392" s="120"/>
      <c r="SD1392" s="120"/>
      <c r="SE1392" s="120"/>
      <c r="SF1392" s="120"/>
      <c r="SG1392" s="120"/>
      <c r="SH1392" s="120"/>
      <c r="SI1392" s="120"/>
      <c r="SJ1392" s="120"/>
      <c r="SK1392" s="120"/>
      <c r="SL1392" s="120"/>
      <c r="SM1392" s="120"/>
      <c r="SN1392" s="120"/>
      <c r="SO1392" s="120"/>
      <c r="SP1392" s="120"/>
      <c r="SQ1392" s="120"/>
      <c r="SR1392" s="120"/>
      <c r="SS1392" s="120"/>
      <c r="ST1392" s="120"/>
      <c r="SU1392" s="120"/>
      <c r="SV1392" s="120"/>
      <c r="SW1392" s="120"/>
      <c r="SX1392" s="120"/>
      <c r="SY1392" s="120"/>
      <c r="SZ1392" s="120"/>
      <c r="TA1392" s="120"/>
      <c r="TB1392" s="120"/>
      <c r="TC1392" s="120"/>
      <c r="TD1392" s="120"/>
      <c r="TE1392" s="120"/>
      <c r="TF1392" s="120"/>
      <c r="TG1392" s="120"/>
      <c r="TH1392" s="120"/>
      <c r="TI1392" s="120"/>
      <c r="TJ1392" s="120"/>
      <c r="TK1392" s="120"/>
      <c r="TL1392" s="120"/>
      <c r="TM1392" s="120"/>
      <c r="TN1392" s="120"/>
      <c r="TO1392" s="120"/>
      <c r="TP1392" s="120"/>
      <c r="TQ1392" s="120"/>
      <c r="TR1392" s="120"/>
      <c r="TS1392" s="120"/>
      <c r="TT1392" s="120"/>
      <c r="TU1392" s="120"/>
      <c r="TV1392" s="120"/>
      <c r="TW1392" s="120"/>
      <c r="TX1392" s="120"/>
      <c r="TY1392" s="120"/>
      <c r="TZ1392" s="120"/>
      <c r="UA1392" s="120"/>
      <c r="UB1392" s="120"/>
      <c r="UC1392" s="120"/>
      <c r="UD1392" s="120"/>
      <c r="UE1392" s="120"/>
      <c r="UF1392" s="120"/>
      <c r="UG1392" s="120"/>
      <c r="UH1392" s="120"/>
      <c r="UI1392" s="120"/>
      <c r="UJ1392" s="120"/>
      <c r="UK1392" s="120"/>
      <c r="UL1392" s="120"/>
      <c r="UM1392" s="120"/>
      <c r="UN1392" s="120"/>
      <c r="UO1392" s="120"/>
      <c r="UP1392" s="120"/>
      <c r="UQ1392" s="120"/>
      <c r="UR1392" s="120"/>
      <c r="US1392" s="120"/>
      <c r="UT1392" s="120"/>
      <c r="UU1392" s="120"/>
      <c r="UV1392" s="120"/>
      <c r="UW1392" s="120"/>
      <c r="UX1392" s="120"/>
      <c r="UY1392" s="120"/>
      <c r="UZ1392" s="120"/>
      <c r="VA1392" s="120"/>
      <c r="VB1392" s="120"/>
      <c r="VC1392" s="120"/>
      <c r="VD1392" s="120"/>
      <c r="VE1392" s="120"/>
      <c r="VF1392" s="120"/>
      <c r="VG1392" s="120"/>
      <c r="VH1392" s="120"/>
      <c r="VI1392" s="120"/>
      <c r="VJ1392" s="120"/>
      <c r="VK1392" s="120"/>
      <c r="VL1392" s="120"/>
      <c r="VM1392" s="120"/>
      <c r="VN1392" s="120"/>
      <c r="VO1392" s="120"/>
      <c r="VP1392" s="120"/>
      <c r="VQ1392" s="120"/>
      <c r="VR1392" s="120"/>
      <c r="VS1392" s="120"/>
      <c r="VT1392" s="120"/>
      <c r="VU1392" s="120"/>
      <c r="VV1392" s="120"/>
      <c r="VW1392" s="120"/>
      <c r="VX1392" s="120"/>
      <c r="VY1392" s="120"/>
      <c r="VZ1392" s="120"/>
      <c r="WA1392" s="120"/>
      <c r="WB1392" s="120"/>
      <c r="WC1392" s="120"/>
      <c r="WD1392" s="120"/>
      <c r="WE1392" s="120"/>
      <c r="WF1392" s="120"/>
      <c r="WG1392" s="120"/>
      <c r="WH1392" s="120"/>
      <c r="WI1392" s="120"/>
      <c r="WJ1392" s="120"/>
      <c r="WK1392" s="120"/>
      <c r="WL1392" s="120"/>
      <c r="WM1392" s="120"/>
      <c r="WN1392" s="120"/>
      <c r="WO1392" s="120"/>
      <c r="WP1392" s="120"/>
      <c r="WQ1392" s="120"/>
      <c r="WR1392" s="120"/>
      <c r="WS1392" s="120"/>
      <c r="WT1392" s="120"/>
      <c r="WU1392" s="120"/>
      <c r="WV1392" s="120"/>
      <c r="WW1392" s="120"/>
      <c r="WX1392" s="120"/>
      <c r="WY1392" s="120"/>
      <c r="WZ1392" s="120"/>
      <c r="XA1392" s="120"/>
      <c r="XB1392" s="120"/>
      <c r="XC1392" s="120"/>
      <c r="XD1392" s="120"/>
      <c r="XE1392" s="120"/>
      <c r="XF1392" s="120"/>
      <c r="XG1392" s="120"/>
      <c r="XH1392" s="120"/>
      <c r="XI1392" s="120"/>
      <c r="XJ1392" s="120"/>
      <c r="XK1392" s="120"/>
      <c r="XL1392" s="120"/>
      <c r="XM1392" s="120"/>
      <c r="XN1392" s="120"/>
      <c r="XO1392" s="120"/>
      <c r="XP1392" s="120"/>
      <c r="XQ1392" s="120"/>
      <c r="XR1392" s="120"/>
      <c r="XS1392" s="120"/>
      <c r="XT1392" s="120"/>
      <c r="XU1392" s="120"/>
      <c r="XV1392" s="120"/>
      <c r="XW1392" s="120"/>
      <c r="XX1392" s="120"/>
      <c r="XY1392" s="120"/>
      <c r="XZ1392" s="120"/>
      <c r="YA1392" s="120"/>
      <c r="YB1392" s="120"/>
      <c r="YC1392" s="120"/>
      <c r="YD1392" s="120"/>
      <c r="YE1392" s="120"/>
      <c r="YF1392" s="120"/>
      <c r="YG1392" s="120"/>
      <c r="YH1392" s="120"/>
      <c r="YI1392" s="120"/>
      <c r="YJ1392" s="120"/>
      <c r="YK1392" s="120"/>
      <c r="YL1392" s="120"/>
      <c r="YM1392" s="120"/>
      <c r="YN1392" s="120"/>
      <c r="YO1392" s="120"/>
      <c r="YP1392" s="120"/>
      <c r="YQ1392" s="120"/>
      <c r="YR1392" s="120"/>
      <c r="YS1392" s="120"/>
      <c r="YT1392" s="120"/>
      <c r="YU1392" s="120"/>
      <c r="YV1392" s="120"/>
      <c r="YW1392" s="120"/>
      <c r="YX1392" s="120"/>
      <c r="YY1392" s="120"/>
      <c r="YZ1392" s="120"/>
      <c r="ZA1392" s="120"/>
      <c r="ZB1392" s="120"/>
      <c r="ZC1392" s="120"/>
      <c r="ZD1392" s="120"/>
      <c r="ZE1392" s="120"/>
      <c r="ZF1392" s="120"/>
      <c r="ZG1392" s="120"/>
      <c r="ZH1392" s="120"/>
      <c r="ZI1392" s="120"/>
      <c r="ZJ1392" s="120"/>
      <c r="ZK1392" s="120"/>
      <c r="ZL1392" s="120"/>
      <c r="ZM1392" s="120"/>
      <c r="ZN1392" s="120"/>
      <c r="ZO1392" s="120"/>
      <c r="ZP1392" s="120"/>
      <c r="ZQ1392" s="120"/>
      <c r="ZR1392" s="120"/>
      <c r="ZS1392" s="120"/>
      <c r="ZT1392" s="120"/>
      <c r="ZU1392" s="120"/>
      <c r="ZV1392" s="120"/>
      <c r="ZW1392" s="120"/>
      <c r="ZX1392" s="120"/>
      <c r="ZY1392" s="120"/>
      <c r="ZZ1392" s="120"/>
      <c r="AAA1392" s="120"/>
      <c r="AAB1392" s="120"/>
      <c r="AAC1392" s="120"/>
      <c r="AAD1392" s="120"/>
      <c r="AAE1392" s="120"/>
      <c r="AAF1392" s="120"/>
      <c r="AAG1392" s="120"/>
      <c r="AAH1392" s="120"/>
      <c r="AAI1392" s="120"/>
      <c r="AAJ1392" s="120"/>
      <c r="AAK1392" s="120"/>
      <c r="AAL1392" s="120"/>
      <c r="AAM1392" s="120"/>
      <c r="AAN1392" s="120"/>
      <c r="AAO1392" s="120"/>
      <c r="AAP1392" s="120"/>
      <c r="AAQ1392" s="120"/>
      <c r="AAR1392" s="120"/>
      <c r="AAS1392" s="120"/>
      <c r="AAT1392" s="120"/>
      <c r="AAU1392" s="120"/>
      <c r="AAV1392" s="120"/>
      <c r="AAW1392" s="120"/>
      <c r="AAX1392" s="120"/>
      <c r="AAY1392" s="120"/>
      <c r="AAZ1392" s="120"/>
      <c r="ABA1392" s="120"/>
      <c r="ABB1392" s="120"/>
      <c r="ABC1392" s="120"/>
      <c r="ABD1392" s="120"/>
      <c r="ABE1392" s="120"/>
      <c r="ABF1392" s="120"/>
      <c r="ABG1392" s="120"/>
      <c r="ABH1392" s="120"/>
      <c r="ABI1392" s="120"/>
      <c r="ABJ1392" s="120"/>
      <c r="ABK1392" s="120"/>
      <c r="ABL1392" s="120"/>
      <c r="ABM1392" s="120"/>
      <c r="ABN1392" s="120"/>
      <c r="ABO1392" s="120"/>
      <c r="ABP1392" s="120"/>
      <c r="ABQ1392" s="120"/>
      <c r="ABR1392" s="120"/>
      <c r="ABS1392" s="120"/>
      <c r="ABT1392" s="120"/>
      <c r="ABU1392" s="120"/>
      <c r="ABV1392" s="120"/>
      <c r="ABW1392" s="120"/>
      <c r="ABX1392" s="120"/>
      <c r="ABY1392" s="120"/>
      <c r="ABZ1392" s="120"/>
      <c r="ACA1392" s="120"/>
      <c r="ACB1392" s="120"/>
      <c r="ACC1392" s="120"/>
      <c r="ACD1392" s="120"/>
      <c r="ACE1392" s="120"/>
      <c r="ACF1392" s="120"/>
      <c r="ACG1392" s="120"/>
      <c r="ACH1392" s="120"/>
      <c r="ACI1392" s="120"/>
      <c r="ACJ1392" s="120"/>
      <c r="ACK1392" s="120"/>
      <c r="ACL1392" s="120"/>
      <c r="ACM1392" s="120"/>
      <c r="ACN1392" s="120"/>
      <c r="ACO1392" s="120"/>
      <c r="ACP1392" s="120"/>
      <c r="ACQ1392" s="120"/>
      <c r="ACR1392" s="120"/>
      <c r="ACS1392" s="120"/>
      <c r="ACT1392" s="120"/>
      <c r="ACU1392" s="120"/>
      <c r="ACV1392" s="120"/>
      <c r="ACW1392" s="120"/>
      <c r="ACX1392" s="120"/>
      <c r="ACY1392" s="120"/>
      <c r="ACZ1392" s="120"/>
      <c r="ADA1392" s="120"/>
      <c r="ADB1392" s="120"/>
      <c r="ADC1392" s="120"/>
      <c r="ADD1392" s="120"/>
      <c r="ADE1392" s="120"/>
      <c r="ADF1392" s="120"/>
      <c r="ADG1392" s="120"/>
      <c r="ADH1392" s="120"/>
      <c r="ADI1392" s="120"/>
      <c r="ADJ1392" s="120"/>
      <c r="ADK1392" s="120"/>
      <c r="ADL1392" s="120"/>
      <c r="ADM1392" s="120"/>
      <c r="ADN1392" s="120"/>
      <c r="ADO1392" s="120"/>
      <c r="ADP1392" s="120"/>
      <c r="ADQ1392" s="120"/>
      <c r="ADR1392" s="120"/>
      <c r="ADS1392" s="120"/>
      <c r="ADT1392" s="120"/>
      <c r="ADU1392" s="120"/>
      <c r="ADV1392" s="120"/>
      <c r="ADW1392" s="120"/>
      <c r="ADX1392" s="120"/>
      <c r="ADY1392" s="120"/>
      <c r="ADZ1392" s="120"/>
      <c r="AEA1392" s="120"/>
      <c r="AEB1392" s="120"/>
      <c r="AEC1392" s="120"/>
      <c r="AED1392" s="120"/>
      <c r="AEE1392" s="120"/>
      <c r="AEF1392" s="120"/>
      <c r="AEG1392" s="120"/>
      <c r="AEH1392" s="120"/>
      <c r="AEI1392" s="120"/>
      <c r="AEJ1392" s="120"/>
      <c r="AEK1392" s="120"/>
      <c r="AEL1392" s="120"/>
      <c r="AEM1392" s="120"/>
      <c r="AEN1392" s="120"/>
      <c r="AEO1392" s="120"/>
      <c r="AEP1392" s="120"/>
      <c r="AEQ1392" s="120"/>
      <c r="AER1392" s="120"/>
      <c r="AES1392" s="120"/>
      <c r="AET1392" s="120"/>
      <c r="AEU1392" s="120"/>
      <c r="AEV1392" s="120"/>
      <c r="AEW1392" s="120"/>
      <c r="AEX1392" s="120"/>
      <c r="AEY1392" s="120"/>
      <c r="AEZ1392" s="120"/>
      <c r="AFA1392" s="120"/>
      <c r="AFB1392" s="120"/>
      <c r="AFC1392" s="120"/>
      <c r="AFD1392" s="120"/>
      <c r="AFE1392" s="120"/>
      <c r="AFF1392" s="120"/>
      <c r="AFG1392" s="120"/>
      <c r="AFH1392" s="120"/>
      <c r="AFI1392" s="120"/>
      <c r="AFJ1392" s="120"/>
      <c r="AFK1392" s="120"/>
      <c r="AFL1392" s="120"/>
      <c r="AFM1392" s="120"/>
      <c r="AFN1392" s="120"/>
      <c r="AFO1392" s="120"/>
      <c r="AFP1392" s="120"/>
      <c r="AFQ1392" s="120"/>
      <c r="AFR1392" s="120"/>
      <c r="AFS1392" s="120"/>
      <c r="AFT1392" s="120"/>
      <c r="AFU1392" s="120"/>
      <c r="AFV1392" s="120"/>
      <c r="AFW1392" s="120"/>
      <c r="AFX1392" s="120"/>
      <c r="AFY1392" s="120"/>
      <c r="AFZ1392" s="120"/>
      <c r="AGA1392" s="120"/>
      <c r="AGB1392" s="120"/>
      <c r="AGC1392" s="120"/>
      <c r="AGD1392" s="120"/>
      <c r="AGE1392" s="120"/>
      <c r="AGF1392" s="120"/>
      <c r="AGG1392" s="120"/>
      <c r="AGH1392" s="120"/>
      <c r="AGI1392" s="120"/>
      <c r="AGJ1392" s="120"/>
      <c r="AGK1392" s="120"/>
      <c r="AGL1392" s="120"/>
      <c r="AGM1392" s="120"/>
      <c r="AGN1392" s="120"/>
      <c r="AGO1392" s="120"/>
      <c r="AGP1392" s="120"/>
      <c r="AGQ1392" s="120"/>
      <c r="AGR1392" s="120"/>
      <c r="AGS1392" s="120"/>
      <c r="AGT1392" s="120"/>
      <c r="AGU1392" s="120"/>
      <c r="AGV1392" s="120"/>
      <c r="AGW1392" s="120"/>
      <c r="AGX1392" s="120"/>
      <c r="AGY1392" s="120"/>
      <c r="AGZ1392" s="120"/>
      <c r="AHA1392" s="120"/>
      <c r="AHB1392" s="120"/>
      <c r="AHC1392" s="120"/>
      <c r="AHD1392" s="120"/>
      <c r="AHE1392" s="120"/>
      <c r="AHF1392" s="120"/>
      <c r="AHG1392" s="120"/>
      <c r="AHH1392" s="120"/>
      <c r="AHI1392" s="120"/>
      <c r="AHJ1392" s="120"/>
      <c r="AHK1392" s="120"/>
      <c r="AHL1392" s="120"/>
      <c r="AHM1392" s="120"/>
      <c r="AHN1392" s="120"/>
      <c r="AHO1392" s="120"/>
      <c r="AHP1392" s="120"/>
      <c r="AHQ1392" s="120"/>
      <c r="AHR1392" s="120"/>
      <c r="AHS1392" s="120"/>
      <c r="AHT1392" s="120"/>
      <c r="AHU1392" s="120"/>
      <c r="AHV1392" s="120"/>
      <c r="AHW1392" s="120"/>
      <c r="AHX1392" s="120"/>
      <c r="AHY1392" s="120"/>
      <c r="AHZ1392" s="120"/>
      <c r="AIA1392" s="120"/>
      <c r="AIB1392" s="120"/>
      <c r="AIC1392" s="120"/>
      <c r="AID1392" s="120"/>
      <c r="AIE1392" s="120"/>
      <c r="AIF1392" s="120"/>
      <c r="AIG1392" s="120"/>
      <c r="AIH1392" s="120"/>
      <c r="AII1392" s="120"/>
      <c r="AIJ1392" s="120"/>
      <c r="AIK1392" s="120"/>
      <c r="AIL1392" s="120"/>
      <c r="AIM1392" s="120"/>
      <c r="AIN1392" s="120"/>
      <c r="AIO1392" s="120"/>
      <c r="AIP1392" s="120"/>
      <c r="AIQ1392" s="120"/>
      <c r="AIR1392" s="120"/>
      <c r="AIS1392" s="120"/>
      <c r="AIT1392" s="120"/>
      <c r="AIU1392" s="120"/>
      <c r="AIV1392" s="120"/>
      <c r="AIW1392" s="120"/>
      <c r="AIX1392" s="120"/>
      <c r="AIY1392" s="120"/>
      <c r="AIZ1392" s="120"/>
      <c r="AJA1392" s="120"/>
      <c r="AJB1392" s="120"/>
      <c r="AJC1392" s="120"/>
      <c r="AJD1392" s="120"/>
      <c r="AJE1392" s="120"/>
      <c r="AJF1392" s="120"/>
      <c r="AJG1392" s="120"/>
      <c r="AJH1392" s="120"/>
      <c r="AJI1392" s="120"/>
      <c r="AJJ1392" s="120"/>
      <c r="AJK1392" s="120"/>
      <c r="AJL1392" s="120"/>
      <c r="AJM1392" s="120"/>
      <c r="AJN1392" s="120"/>
      <c r="AJO1392" s="120"/>
      <c r="AJP1392" s="120"/>
      <c r="AJQ1392" s="120"/>
      <c r="AJR1392" s="120"/>
      <c r="AJS1392" s="120"/>
      <c r="AJT1392" s="120"/>
      <c r="AJU1392" s="120"/>
      <c r="AJV1392" s="120"/>
      <c r="AJW1392" s="120"/>
      <c r="AJX1392" s="120"/>
      <c r="AJY1392" s="120"/>
      <c r="AJZ1392" s="120"/>
      <c r="AKA1392" s="120"/>
      <c r="AKB1392" s="120"/>
      <c r="AKC1392" s="120"/>
      <c r="AKD1392" s="120"/>
      <c r="AKE1392" s="120"/>
      <c r="AKF1392" s="120"/>
      <c r="AKG1392" s="120"/>
      <c r="AKH1392" s="120"/>
      <c r="AKI1392" s="120"/>
      <c r="AKJ1392" s="120"/>
      <c r="AKK1392" s="120"/>
      <c r="AKL1392" s="120"/>
      <c r="AKM1392" s="120"/>
      <c r="AKN1392" s="120"/>
      <c r="AKO1392" s="120"/>
      <c r="AKP1392" s="120"/>
      <c r="AKQ1392" s="120"/>
      <c r="AKR1392" s="120"/>
      <c r="AKS1392" s="120"/>
      <c r="AKT1392" s="120"/>
      <c r="AKU1392" s="120"/>
      <c r="AKV1392" s="120"/>
      <c r="AKW1392" s="120"/>
      <c r="AKX1392" s="120"/>
      <c r="AKY1392" s="120"/>
      <c r="AKZ1392" s="120"/>
      <c r="ALA1392" s="120"/>
      <c r="ALB1392" s="120"/>
      <c r="ALC1392" s="120"/>
      <c r="ALD1392" s="120"/>
      <c r="ALE1392" s="120"/>
      <c r="ALF1392" s="120"/>
      <c r="ALG1392" s="120"/>
      <c r="ALH1392" s="120"/>
      <c r="ALI1392" s="120"/>
      <c r="ALJ1392" s="120"/>
      <c r="ALK1392" s="120"/>
      <c r="ALL1392" s="120"/>
      <c r="ALM1392" s="120"/>
      <c r="ALN1392" s="120"/>
      <c r="ALO1392" s="120"/>
      <c r="ALP1392" s="120"/>
      <c r="ALQ1392" s="120"/>
      <c r="ALR1392" s="120"/>
      <c r="ALS1392" s="120"/>
      <c r="ALT1392" s="120"/>
      <c r="ALU1392" s="120"/>
      <c r="ALV1392" s="120"/>
      <c r="ALW1392" s="120"/>
      <c r="ALX1392" s="120"/>
      <c r="ALY1392" s="120"/>
      <c r="ALZ1392" s="120"/>
      <c r="AMA1392" s="120"/>
      <c r="AMB1392" s="120"/>
      <c r="AMC1392" s="120"/>
      <c r="AMD1392" s="120"/>
      <c r="AME1392" s="120"/>
      <c r="AMF1392" s="120"/>
      <c r="AMG1392" s="120"/>
      <c r="AMH1392" s="120"/>
      <c r="AMI1392" s="120"/>
      <c r="AMJ1392" s="120"/>
      <c r="AMK1392" s="120"/>
      <c r="AML1392" s="120"/>
      <c r="AMM1392" s="120"/>
      <c r="AMN1392" s="120"/>
      <c r="AMO1392" s="120"/>
      <c r="AMP1392" s="120"/>
      <c r="AMQ1392" s="120"/>
      <c r="AMR1392" s="120"/>
      <c r="AMS1392" s="120"/>
      <c r="AMT1392" s="120"/>
      <c r="AMU1392" s="120"/>
      <c r="AMV1392" s="120"/>
      <c r="AMW1392" s="120"/>
      <c r="AMX1392" s="120"/>
      <c r="AMY1392" s="120"/>
      <c r="AMZ1392" s="120"/>
      <c r="ANA1392" s="120"/>
      <c r="ANB1392" s="120"/>
      <c r="ANC1392" s="120"/>
      <c r="AND1392" s="120"/>
      <c r="ANE1392" s="120"/>
      <c r="ANF1392" s="120"/>
      <c r="ANG1392" s="120"/>
      <c r="ANH1392" s="120"/>
      <c r="ANI1392" s="120"/>
      <c r="ANJ1392" s="120"/>
      <c r="ANK1392" s="120"/>
      <c r="ANL1392" s="120"/>
      <c r="ANM1392" s="120"/>
      <c r="ANN1392" s="120"/>
      <c r="ANO1392" s="120"/>
      <c r="ANP1392" s="120"/>
      <c r="ANQ1392" s="120"/>
      <c r="ANR1392" s="120"/>
      <c r="ANS1392" s="120"/>
      <c r="ANT1392" s="120"/>
      <c r="ANU1392" s="120"/>
      <c r="ANV1392" s="120"/>
      <c r="ANW1392" s="120"/>
      <c r="ANX1392" s="120"/>
      <c r="ANY1392" s="120"/>
      <c r="ANZ1392" s="120"/>
      <c r="AOA1392" s="120"/>
      <c r="AOB1392" s="120"/>
      <c r="AOC1392" s="120"/>
      <c r="AOD1392" s="120"/>
      <c r="AOE1392" s="120"/>
      <c r="AOF1392" s="120"/>
      <c r="AOG1392" s="120"/>
      <c r="AOH1392" s="120"/>
      <c r="AOI1392" s="120"/>
      <c r="AOJ1392" s="120"/>
      <c r="AOK1392" s="120"/>
      <c r="AOL1392" s="120"/>
      <c r="AOM1392" s="120"/>
      <c r="AON1392" s="120"/>
      <c r="AOO1392" s="120"/>
      <c r="AOP1392" s="120"/>
      <c r="AOQ1392" s="120"/>
      <c r="AOR1392" s="120"/>
      <c r="AOS1392" s="120"/>
      <c r="AOT1392" s="120"/>
      <c r="AOU1392" s="120"/>
      <c r="AOV1392" s="120"/>
      <c r="AOW1392" s="120"/>
      <c r="AOX1392" s="120"/>
      <c r="AOY1392" s="120"/>
      <c r="AOZ1392" s="120"/>
      <c r="APA1392" s="120"/>
      <c r="APB1392" s="120"/>
      <c r="APC1392" s="120"/>
      <c r="APD1392" s="120"/>
      <c r="APE1392" s="120"/>
      <c r="APF1392" s="120"/>
      <c r="APG1392" s="120"/>
      <c r="APH1392" s="120"/>
      <c r="API1392" s="120"/>
      <c r="APJ1392" s="120"/>
      <c r="APK1392" s="120"/>
      <c r="APL1392" s="120"/>
      <c r="APM1392" s="120"/>
      <c r="APN1392" s="120"/>
      <c r="APO1392" s="120"/>
      <c r="APP1392" s="120"/>
      <c r="APQ1392" s="120"/>
      <c r="APR1392" s="120"/>
      <c r="APS1392" s="120"/>
      <c r="APT1392" s="120"/>
      <c r="APU1392" s="120"/>
      <c r="APV1392" s="120"/>
      <c r="APW1392" s="120"/>
      <c r="APX1392" s="120"/>
      <c r="APY1392" s="120"/>
      <c r="APZ1392" s="120"/>
      <c r="AQA1392" s="120"/>
      <c r="AQB1392" s="120"/>
      <c r="AQC1392" s="120"/>
      <c r="AQD1392" s="120"/>
      <c r="AQE1392" s="120"/>
      <c r="AQF1392" s="120"/>
      <c r="AQG1392" s="120"/>
      <c r="AQH1392" s="120"/>
      <c r="AQI1392" s="120"/>
      <c r="AQJ1392" s="120"/>
      <c r="AQK1392" s="120"/>
      <c r="AQL1392" s="120"/>
      <c r="AQM1392" s="120"/>
      <c r="AQN1392" s="120"/>
      <c r="AQO1392" s="120"/>
      <c r="AQP1392" s="120"/>
      <c r="AQQ1392" s="120"/>
      <c r="AQR1392" s="120"/>
      <c r="AQS1392" s="120"/>
      <c r="AQT1392" s="120"/>
      <c r="AQU1392" s="120"/>
      <c r="AQV1392" s="120"/>
      <c r="AQW1392" s="120"/>
      <c r="AQX1392" s="120"/>
      <c r="AQY1392" s="120"/>
      <c r="AQZ1392" s="120"/>
      <c r="ARA1392" s="120"/>
      <c r="ARB1392" s="120"/>
      <c r="ARC1392" s="120"/>
      <c r="ARD1392" s="120"/>
      <c r="ARE1392" s="120"/>
      <c r="ARF1392" s="120"/>
      <c r="ARG1392" s="120"/>
      <c r="ARH1392" s="120"/>
      <c r="ARI1392" s="120"/>
      <c r="ARJ1392" s="120"/>
      <c r="ARK1392" s="120"/>
      <c r="ARL1392" s="120"/>
      <c r="ARM1392" s="120"/>
      <c r="ARN1392" s="120"/>
      <c r="ARO1392" s="120"/>
      <c r="ARP1392" s="120"/>
      <c r="ARQ1392" s="120"/>
      <c r="ARR1392" s="120"/>
      <c r="ARS1392" s="120"/>
      <c r="ART1392" s="120"/>
      <c r="ARU1392" s="120"/>
      <c r="ARV1392" s="120"/>
      <c r="ARW1392" s="120"/>
      <c r="ARX1392" s="120"/>
      <c r="ARY1392" s="120"/>
      <c r="ARZ1392" s="120"/>
      <c r="ASA1392" s="120"/>
      <c r="ASB1392" s="120"/>
      <c r="ASC1392" s="120"/>
      <c r="ASD1392" s="120"/>
      <c r="ASE1392" s="120"/>
      <c r="ASF1392" s="120"/>
      <c r="ASG1392" s="120"/>
      <c r="ASH1392" s="120"/>
      <c r="ASI1392" s="120"/>
      <c r="ASJ1392" s="120"/>
      <c r="ASK1392" s="120"/>
      <c r="ASL1392" s="120"/>
      <c r="ASM1392" s="120"/>
      <c r="ASN1392" s="120"/>
      <c r="ASO1392" s="120"/>
      <c r="ASP1392" s="120"/>
      <c r="ASQ1392" s="120"/>
      <c r="ASR1392" s="120"/>
      <c r="ASS1392" s="120"/>
      <c r="AST1392" s="120"/>
      <c r="ASU1392" s="120"/>
      <c r="ASV1392" s="120"/>
      <c r="ASW1392" s="120"/>
      <c r="ASX1392" s="120"/>
      <c r="ASY1392" s="120"/>
      <c r="ASZ1392" s="120"/>
      <c r="ATA1392" s="120"/>
      <c r="ATB1392" s="120"/>
      <c r="ATC1392" s="120"/>
      <c r="ATD1392" s="120"/>
      <c r="ATE1392" s="120"/>
      <c r="ATF1392" s="120"/>
      <c r="ATG1392" s="120"/>
      <c r="ATH1392" s="120"/>
      <c r="ATI1392" s="120"/>
      <c r="ATJ1392" s="120"/>
      <c r="ATK1392" s="120"/>
      <c r="ATL1392" s="120"/>
      <c r="ATM1392" s="120"/>
      <c r="ATN1392" s="120"/>
      <c r="ATO1392" s="120"/>
    </row>
    <row r="1393" spans="1:1211" s="20" customFormat="1" ht="14.1" customHeight="1">
      <c r="A1393" s="112"/>
      <c r="B1393" s="723"/>
      <c r="C1393" s="184" t="s">
        <v>6152</v>
      </c>
      <c r="D1393" s="120"/>
      <c r="E1393" s="701"/>
      <c r="F1393" s="703"/>
      <c r="G1393" s="702"/>
      <c r="H1393" s="702"/>
      <c r="I1393" s="702"/>
      <c r="J1393" s="700"/>
      <c r="K1393" s="112"/>
      <c r="L1393" s="363"/>
      <c r="M1393" s="112"/>
      <c r="N1393" s="362"/>
      <c r="O1393" s="573"/>
      <c r="P1393" s="120"/>
      <c r="Q1393" s="120"/>
      <c r="R1393" s="120"/>
      <c r="S1393" s="120"/>
      <c r="T1393" s="120"/>
      <c r="U1393" s="120"/>
      <c r="V1393" s="120"/>
      <c r="W1393" s="120"/>
      <c r="X1393" s="120"/>
      <c r="Y1393" s="120"/>
      <c r="Z1393" s="120"/>
      <c r="AA1393" s="120"/>
      <c r="AB1393" s="120"/>
      <c r="AC1393" s="120"/>
      <c r="AD1393" s="120"/>
      <c r="AE1393" s="120"/>
      <c r="AF1393" s="120"/>
      <c r="AG1393" s="120"/>
      <c r="AH1393" s="120"/>
      <c r="AI1393" s="120"/>
      <c r="AJ1393" s="120"/>
      <c r="AK1393" s="120"/>
      <c r="AL1393" s="120"/>
      <c r="AM1393" s="120"/>
      <c r="AN1393" s="120"/>
      <c r="AO1393" s="120"/>
      <c r="AP1393" s="120"/>
      <c r="AQ1393" s="120"/>
      <c r="AR1393" s="120"/>
      <c r="AS1393" s="120"/>
      <c r="AT1393" s="120"/>
      <c r="AU1393" s="120"/>
      <c r="AV1393" s="120"/>
      <c r="AW1393" s="120"/>
      <c r="AX1393" s="120"/>
      <c r="AY1393" s="120"/>
      <c r="AZ1393" s="120"/>
      <c r="BA1393" s="120"/>
      <c r="BB1393" s="120"/>
      <c r="BC1393" s="120"/>
      <c r="BD1393" s="120"/>
      <c r="BE1393" s="120"/>
      <c r="BF1393" s="120"/>
      <c r="BG1393" s="120"/>
      <c r="BH1393" s="120"/>
      <c r="BI1393" s="120"/>
      <c r="BJ1393" s="120"/>
      <c r="BK1393" s="120"/>
      <c r="BL1393" s="120"/>
      <c r="BM1393" s="120"/>
      <c r="BN1393" s="120"/>
      <c r="BO1393" s="120"/>
      <c r="BP1393" s="120"/>
      <c r="BQ1393" s="120"/>
      <c r="BR1393" s="120"/>
      <c r="BS1393" s="120"/>
      <c r="BT1393" s="120"/>
      <c r="BU1393" s="120"/>
      <c r="BV1393" s="120"/>
      <c r="BW1393" s="120"/>
      <c r="BX1393" s="120"/>
      <c r="BY1393" s="120"/>
      <c r="BZ1393" s="120"/>
      <c r="CA1393" s="120"/>
      <c r="CB1393" s="120"/>
      <c r="CC1393" s="120"/>
      <c r="CD1393" s="120"/>
      <c r="CE1393" s="120"/>
      <c r="CF1393" s="120"/>
      <c r="CG1393" s="120"/>
      <c r="CH1393" s="120"/>
      <c r="CI1393" s="120"/>
      <c r="CJ1393" s="120"/>
      <c r="CK1393" s="120"/>
      <c r="CL1393" s="120"/>
      <c r="CM1393" s="120"/>
      <c r="CN1393" s="120"/>
      <c r="CO1393" s="120"/>
      <c r="CP1393" s="120"/>
      <c r="CQ1393" s="120"/>
      <c r="CR1393" s="120"/>
      <c r="CS1393" s="120"/>
      <c r="CT1393" s="120"/>
      <c r="CU1393" s="120"/>
      <c r="CV1393" s="120"/>
      <c r="CW1393" s="120"/>
      <c r="CX1393" s="120"/>
      <c r="CY1393" s="120"/>
      <c r="CZ1393" s="120"/>
      <c r="DA1393" s="120"/>
      <c r="DB1393" s="120"/>
      <c r="DC1393" s="120"/>
      <c r="DD1393" s="120"/>
      <c r="DE1393" s="120"/>
      <c r="DF1393" s="120"/>
      <c r="DG1393" s="120"/>
      <c r="DH1393" s="120"/>
      <c r="DI1393" s="120"/>
      <c r="DJ1393" s="120"/>
      <c r="DK1393" s="120"/>
      <c r="DL1393" s="120"/>
      <c r="DM1393" s="120"/>
      <c r="DN1393" s="120"/>
      <c r="DO1393" s="120"/>
      <c r="DP1393" s="120"/>
      <c r="DQ1393" s="120"/>
      <c r="DR1393" s="120"/>
      <c r="DS1393" s="120"/>
      <c r="DT1393" s="120"/>
      <c r="DU1393" s="120"/>
      <c r="DV1393" s="120"/>
      <c r="DW1393" s="120"/>
      <c r="DX1393" s="120"/>
      <c r="DY1393" s="120"/>
      <c r="DZ1393" s="120"/>
      <c r="EA1393" s="120"/>
      <c r="EB1393" s="120"/>
      <c r="EC1393" s="120"/>
      <c r="ED1393" s="120"/>
      <c r="EE1393" s="120"/>
      <c r="EF1393" s="120"/>
      <c r="EG1393" s="120"/>
      <c r="EH1393" s="120"/>
      <c r="EI1393" s="120"/>
      <c r="EJ1393" s="120"/>
      <c r="EK1393" s="120"/>
      <c r="EL1393" s="120"/>
      <c r="EM1393" s="120"/>
      <c r="EN1393" s="120"/>
      <c r="EO1393" s="120"/>
      <c r="EP1393" s="120"/>
      <c r="EQ1393" s="120"/>
      <c r="ER1393" s="120"/>
      <c r="ES1393" s="120"/>
      <c r="ET1393" s="120"/>
      <c r="EU1393" s="120"/>
      <c r="EV1393" s="120"/>
      <c r="EW1393" s="120"/>
      <c r="EX1393" s="120"/>
      <c r="EY1393" s="120"/>
      <c r="EZ1393" s="120"/>
      <c r="FA1393" s="120"/>
      <c r="FB1393" s="120"/>
      <c r="FC1393" s="120"/>
      <c r="FD1393" s="120"/>
      <c r="FE1393" s="120"/>
      <c r="FF1393" s="120"/>
      <c r="FG1393" s="120"/>
      <c r="FH1393" s="120"/>
      <c r="FI1393" s="120"/>
      <c r="FJ1393" s="120"/>
      <c r="FK1393" s="120"/>
      <c r="FL1393" s="120"/>
      <c r="FM1393" s="120"/>
      <c r="FN1393" s="120"/>
      <c r="FO1393" s="120"/>
      <c r="FP1393" s="120"/>
      <c r="FQ1393" s="120"/>
      <c r="FR1393" s="120"/>
      <c r="FS1393" s="120"/>
      <c r="FT1393" s="120"/>
      <c r="FU1393" s="120"/>
      <c r="FV1393" s="120"/>
      <c r="FW1393" s="120"/>
      <c r="FX1393" s="120"/>
      <c r="FY1393" s="120"/>
      <c r="FZ1393" s="120"/>
      <c r="GA1393" s="120"/>
      <c r="GB1393" s="120"/>
      <c r="GC1393" s="120"/>
      <c r="GD1393" s="120"/>
      <c r="GE1393" s="120"/>
      <c r="GF1393" s="120"/>
      <c r="GG1393" s="120"/>
      <c r="GH1393" s="120"/>
      <c r="GI1393" s="120"/>
      <c r="GJ1393" s="120"/>
      <c r="GK1393" s="120"/>
      <c r="GL1393" s="120"/>
      <c r="GM1393" s="120"/>
      <c r="GN1393" s="120"/>
      <c r="GO1393" s="120"/>
      <c r="GP1393" s="120"/>
      <c r="GQ1393" s="120"/>
      <c r="GR1393" s="120"/>
      <c r="GS1393" s="120"/>
      <c r="GT1393" s="120"/>
      <c r="GU1393" s="120"/>
      <c r="GV1393" s="120"/>
      <c r="GW1393" s="120"/>
      <c r="GX1393" s="120"/>
      <c r="GY1393" s="120"/>
      <c r="GZ1393" s="120"/>
      <c r="HA1393" s="120"/>
      <c r="HB1393" s="120"/>
      <c r="HC1393" s="120"/>
      <c r="HD1393" s="120"/>
      <c r="HE1393" s="120"/>
      <c r="HF1393" s="120"/>
      <c r="HG1393" s="120"/>
      <c r="HH1393" s="120"/>
      <c r="HI1393" s="120"/>
      <c r="HJ1393" s="120"/>
      <c r="HK1393" s="120"/>
      <c r="HL1393" s="120"/>
      <c r="HM1393" s="120"/>
      <c r="HN1393" s="120"/>
      <c r="HO1393" s="120"/>
      <c r="HP1393" s="120"/>
      <c r="HQ1393" s="120"/>
      <c r="HR1393" s="120"/>
      <c r="HS1393" s="120"/>
      <c r="HT1393" s="120"/>
      <c r="HU1393" s="120"/>
      <c r="HV1393" s="120"/>
      <c r="HW1393" s="120"/>
      <c r="HX1393" s="120"/>
      <c r="HY1393" s="120"/>
      <c r="HZ1393" s="120"/>
      <c r="IA1393" s="120"/>
      <c r="IB1393" s="120"/>
      <c r="IC1393" s="120"/>
      <c r="ID1393" s="120"/>
      <c r="IE1393" s="120"/>
      <c r="IF1393" s="120"/>
      <c r="IG1393" s="120"/>
      <c r="IH1393" s="120"/>
      <c r="II1393" s="120"/>
      <c r="IJ1393" s="120"/>
      <c r="IK1393" s="120"/>
      <c r="IL1393" s="120"/>
      <c r="IM1393" s="120"/>
      <c r="IN1393" s="120"/>
      <c r="IO1393" s="120"/>
      <c r="IP1393" s="120"/>
      <c r="IQ1393" s="120"/>
      <c r="IR1393" s="120"/>
      <c r="IS1393" s="120"/>
      <c r="IT1393" s="120"/>
      <c r="IU1393" s="120"/>
      <c r="IV1393" s="120"/>
      <c r="IW1393" s="120"/>
      <c r="IX1393" s="120"/>
      <c r="IY1393" s="120"/>
      <c r="IZ1393" s="120"/>
      <c r="JA1393" s="120"/>
      <c r="JB1393" s="120"/>
      <c r="JC1393" s="120"/>
      <c r="JD1393" s="120"/>
      <c r="JE1393" s="120"/>
      <c r="JF1393" s="120"/>
      <c r="JG1393" s="120"/>
      <c r="JH1393" s="120"/>
      <c r="JI1393" s="120"/>
      <c r="JJ1393" s="120"/>
      <c r="JK1393" s="120"/>
      <c r="JL1393" s="120"/>
      <c r="JM1393" s="120"/>
      <c r="JN1393" s="120"/>
      <c r="JO1393" s="120"/>
      <c r="JP1393" s="120"/>
      <c r="JQ1393" s="120"/>
      <c r="JR1393" s="120"/>
      <c r="JS1393" s="120"/>
      <c r="JT1393" s="120"/>
      <c r="JU1393" s="120"/>
      <c r="JV1393" s="120"/>
      <c r="JW1393" s="120"/>
      <c r="JX1393" s="120"/>
      <c r="JY1393" s="120"/>
      <c r="JZ1393" s="120"/>
      <c r="KA1393" s="120"/>
      <c r="KB1393" s="120"/>
      <c r="KC1393" s="120"/>
      <c r="KD1393" s="120"/>
      <c r="KE1393" s="120"/>
      <c r="KF1393" s="120"/>
      <c r="KG1393" s="120"/>
      <c r="KH1393" s="120"/>
      <c r="KI1393" s="120"/>
      <c r="KJ1393" s="120"/>
      <c r="KK1393" s="120"/>
      <c r="KL1393" s="120"/>
      <c r="KM1393" s="120"/>
      <c r="KN1393" s="120"/>
      <c r="KO1393" s="120"/>
      <c r="KP1393" s="120"/>
      <c r="KQ1393" s="120"/>
      <c r="KR1393" s="120"/>
      <c r="KS1393" s="120"/>
      <c r="KT1393" s="120"/>
      <c r="KU1393" s="120"/>
      <c r="KV1393" s="120"/>
      <c r="KW1393" s="120"/>
      <c r="KX1393" s="120"/>
      <c r="KY1393" s="120"/>
      <c r="KZ1393" s="120"/>
      <c r="LA1393" s="120"/>
      <c r="LB1393" s="120"/>
      <c r="LC1393" s="120"/>
      <c r="LD1393" s="120"/>
      <c r="LE1393" s="120"/>
      <c r="LF1393" s="120"/>
      <c r="LG1393" s="120"/>
      <c r="LH1393" s="120"/>
      <c r="LI1393" s="120"/>
      <c r="LJ1393" s="120"/>
      <c r="LK1393" s="120"/>
      <c r="LL1393" s="120"/>
      <c r="LM1393" s="120"/>
      <c r="LN1393" s="120"/>
      <c r="LO1393" s="120"/>
      <c r="LP1393" s="120"/>
      <c r="LQ1393" s="120"/>
      <c r="LR1393" s="120"/>
      <c r="LS1393" s="120"/>
      <c r="LT1393" s="120"/>
      <c r="LU1393" s="120"/>
      <c r="LV1393" s="120"/>
      <c r="LW1393" s="120"/>
      <c r="LX1393" s="120"/>
      <c r="LY1393" s="120"/>
      <c r="LZ1393" s="120"/>
      <c r="MA1393" s="120"/>
      <c r="MB1393" s="120"/>
      <c r="MC1393" s="120"/>
      <c r="MD1393" s="120"/>
      <c r="ME1393" s="120"/>
      <c r="MF1393" s="120"/>
      <c r="MG1393" s="120"/>
      <c r="MH1393" s="120"/>
      <c r="MI1393" s="120"/>
      <c r="MJ1393" s="120"/>
      <c r="MK1393" s="120"/>
      <c r="ML1393" s="120"/>
      <c r="MM1393" s="120"/>
      <c r="MN1393" s="120"/>
      <c r="MO1393" s="120"/>
      <c r="MP1393" s="120"/>
      <c r="MQ1393" s="120"/>
      <c r="MR1393" s="120"/>
      <c r="MS1393" s="120"/>
      <c r="MT1393" s="120"/>
      <c r="MU1393" s="120"/>
      <c r="MV1393" s="120"/>
      <c r="MW1393" s="120"/>
      <c r="MX1393" s="120"/>
      <c r="MY1393" s="120"/>
      <c r="MZ1393" s="120"/>
      <c r="NA1393" s="120"/>
      <c r="NB1393" s="120"/>
      <c r="NC1393" s="120"/>
      <c r="ND1393" s="120"/>
      <c r="NE1393" s="120"/>
      <c r="NF1393" s="120"/>
      <c r="NG1393" s="120"/>
      <c r="NH1393" s="120"/>
      <c r="NI1393" s="120"/>
      <c r="NJ1393" s="120"/>
      <c r="NK1393" s="120"/>
      <c r="NL1393" s="120"/>
      <c r="NM1393" s="120"/>
      <c r="NN1393" s="120"/>
      <c r="NO1393" s="120"/>
      <c r="NP1393" s="120"/>
      <c r="NQ1393" s="120"/>
      <c r="NR1393" s="120"/>
      <c r="NS1393" s="120"/>
      <c r="NT1393" s="120"/>
      <c r="NU1393" s="120"/>
      <c r="NV1393" s="120"/>
      <c r="NW1393" s="120"/>
      <c r="NX1393" s="120"/>
      <c r="NY1393" s="120"/>
      <c r="NZ1393" s="120"/>
      <c r="OA1393" s="120"/>
      <c r="OB1393" s="120"/>
      <c r="OC1393" s="120"/>
      <c r="OD1393" s="120"/>
      <c r="OE1393" s="120"/>
      <c r="OF1393" s="120"/>
      <c r="OG1393" s="120"/>
      <c r="OH1393" s="120"/>
      <c r="OI1393" s="120"/>
      <c r="OJ1393" s="120"/>
      <c r="OK1393" s="120"/>
      <c r="OL1393" s="120"/>
      <c r="OM1393" s="120"/>
      <c r="ON1393" s="120"/>
      <c r="OO1393" s="120"/>
      <c r="OP1393" s="120"/>
      <c r="OQ1393" s="120"/>
      <c r="OR1393" s="120"/>
      <c r="OS1393" s="120"/>
      <c r="OT1393" s="120"/>
      <c r="OU1393" s="120"/>
      <c r="OV1393" s="120"/>
      <c r="OW1393" s="120"/>
      <c r="OX1393" s="120"/>
      <c r="OY1393" s="120"/>
      <c r="OZ1393" s="120"/>
      <c r="PA1393" s="120"/>
      <c r="PB1393" s="120"/>
      <c r="PC1393" s="120"/>
      <c r="PD1393" s="120"/>
      <c r="PE1393" s="120"/>
      <c r="PF1393" s="120"/>
      <c r="PG1393" s="120"/>
      <c r="PH1393" s="120"/>
      <c r="PI1393" s="120"/>
      <c r="PJ1393" s="120"/>
      <c r="PK1393" s="120"/>
      <c r="PL1393" s="120"/>
      <c r="PM1393" s="120"/>
      <c r="PN1393" s="120"/>
      <c r="PO1393" s="120"/>
      <c r="PP1393" s="120"/>
      <c r="PQ1393" s="120"/>
      <c r="PR1393" s="120"/>
      <c r="PS1393" s="120"/>
      <c r="PT1393" s="120"/>
      <c r="PU1393" s="120"/>
      <c r="PV1393" s="120"/>
      <c r="PW1393" s="120"/>
      <c r="PX1393" s="120"/>
      <c r="PY1393" s="120"/>
      <c r="PZ1393" s="120"/>
      <c r="QA1393" s="120"/>
      <c r="QB1393" s="120"/>
      <c r="QC1393" s="120"/>
      <c r="QD1393" s="120"/>
      <c r="QE1393" s="120"/>
      <c r="QF1393" s="120"/>
      <c r="QG1393" s="120"/>
      <c r="QH1393" s="120"/>
      <c r="QI1393" s="120"/>
      <c r="QJ1393" s="120"/>
      <c r="QK1393" s="120"/>
      <c r="QL1393" s="120"/>
      <c r="QM1393" s="120"/>
      <c r="QN1393" s="120"/>
      <c r="QO1393" s="120"/>
      <c r="QP1393" s="120"/>
      <c r="QQ1393" s="120"/>
      <c r="QR1393" s="120"/>
      <c r="QS1393" s="120"/>
      <c r="QT1393" s="120"/>
      <c r="QU1393" s="120"/>
      <c r="QV1393" s="120"/>
      <c r="QW1393" s="120"/>
      <c r="QX1393" s="120"/>
      <c r="QY1393" s="120"/>
      <c r="QZ1393" s="120"/>
      <c r="RA1393" s="120"/>
      <c r="RB1393" s="120"/>
      <c r="RC1393" s="120"/>
      <c r="RD1393" s="120"/>
      <c r="RE1393" s="120"/>
      <c r="RF1393" s="120"/>
      <c r="RG1393" s="120"/>
      <c r="RH1393" s="120"/>
      <c r="RI1393" s="120"/>
      <c r="RJ1393" s="120"/>
      <c r="RK1393" s="120"/>
      <c r="RL1393" s="120"/>
      <c r="RM1393" s="120"/>
      <c r="RN1393" s="120"/>
      <c r="RO1393" s="120"/>
      <c r="RP1393" s="120"/>
      <c r="RQ1393" s="120"/>
      <c r="RR1393" s="120"/>
      <c r="RS1393" s="120"/>
      <c r="RT1393" s="120"/>
      <c r="RU1393" s="120"/>
      <c r="RV1393" s="120"/>
      <c r="RW1393" s="120"/>
      <c r="RX1393" s="120"/>
      <c r="RY1393" s="120"/>
      <c r="RZ1393" s="120"/>
      <c r="SA1393" s="120"/>
      <c r="SB1393" s="120"/>
      <c r="SC1393" s="120"/>
      <c r="SD1393" s="120"/>
      <c r="SE1393" s="120"/>
      <c r="SF1393" s="120"/>
      <c r="SG1393" s="120"/>
      <c r="SH1393" s="120"/>
      <c r="SI1393" s="120"/>
      <c r="SJ1393" s="120"/>
      <c r="SK1393" s="120"/>
      <c r="SL1393" s="120"/>
      <c r="SM1393" s="120"/>
      <c r="SN1393" s="120"/>
      <c r="SO1393" s="120"/>
      <c r="SP1393" s="120"/>
      <c r="SQ1393" s="120"/>
      <c r="SR1393" s="120"/>
      <c r="SS1393" s="120"/>
      <c r="ST1393" s="120"/>
      <c r="SU1393" s="120"/>
      <c r="SV1393" s="120"/>
      <c r="SW1393" s="120"/>
      <c r="SX1393" s="120"/>
      <c r="SY1393" s="120"/>
      <c r="SZ1393" s="120"/>
      <c r="TA1393" s="120"/>
      <c r="TB1393" s="120"/>
      <c r="TC1393" s="120"/>
      <c r="TD1393" s="120"/>
      <c r="TE1393" s="120"/>
      <c r="TF1393" s="120"/>
      <c r="TG1393" s="120"/>
      <c r="TH1393" s="120"/>
      <c r="TI1393" s="120"/>
      <c r="TJ1393" s="120"/>
      <c r="TK1393" s="120"/>
      <c r="TL1393" s="120"/>
      <c r="TM1393" s="120"/>
      <c r="TN1393" s="120"/>
      <c r="TO1393" s="120"/>
      <c r="TP1393" s="120"/>
      <c r="TQ1393" s="120"/>
      <c r="TR1393" s="120"/>
      <c r="TS1393" s="120"/>
      <c r="TT1393" s="120"/>
      <c r="TU1393" s="120"/>
      <c r="TV1393" s="120"/>
      <c r="TW1393" s="120"/>
      <c r="TX1393" s="120"/>
      <c r="TY1393" s="120"/>
      <c r="TZ1393" s="120"/>
      <c r="UA1393" s="120"/>
      <c r="UB1393" s="120"/>
      <c r="UC1393" s="120"/>
      <c r="UD1393" s="120"/>
      <c r="UE1393" s="120"/>
      <c r="UF1393" s="120"/>
      <c r="UG1393" s="120"/>
      <c r="UH1393" s="120"/>
      <c r="UI1393" s="120"/>
      <c r="UJ1393" s="120"/>
      <c r="UK1393" s="120"/>
      <c r="UL1393" s="120"/>
      <c r="UM1393" s="120"/>
      <c r="UN1393" s="120"/>
      <c r="UO1393" s="120"/>
      <c r="UP1393" s="120"/>
      <c r="UQ1393" s="120"/>
      <c r="UR1393" s="120"/>
      <c r="US1393" s="120"/>
      <c r="UT1393" s="120"/>
      <c r="UU1393" s="120"/>
      <c r="UV1393" s="120"/>
      <c r="UW1393" s="120"/>
      <c r="UX1393" s="120"/>
      <c r="UY1393" s="120"/>
      <c r="UZ1393" s="120"/>
      <c r="VA1393" s="120"/>
      <c r="VB1393" s="120"/>
      <c r="VC1393" s="120"/>
      <c r="VD1393" s="120"/>
      <c r="VE1393" s="120"/>
      <c r="VF1393" s="120"/>
      <c r="VG1393" s="120"/>
      <c r="VH1393" s="120"/>
      <c r="VI1393" s="120"/>
      <c r="VJ1393" s="120"/>
      <c r="VK1393" s="120"/>
      <c r="VL1393" s="120"/>
      <c r="VM1393" s="120"/>
      <c r="VN1393" s="120"/>
      <c r="VO1393" s="120"/>
      <c r="VP1393" s="120"/>
      <c r="VQ1393" s="120"/>
      <c r="VR1393" s="120"/>
      <c r="VS1393" s="120"/>
      <c r="VT1393" s="120"/>
      <c r="VU1393" s="120"/>
      <c r="VV1393" s="120"/>
      <c r="VW1393" s="120"/>
      <c r="VX1393" s="120"/>
      <c r="VY1393" s="120"/>
      <c r="VZ1393" s="120"/>
      <c r="WA1393" s="120"/>
      <c r="WB1393" s="120"/>
      <c r="WC1393" s="120"/>
      <c r="WD1393" s="120"/>
      <c r="WE1393" s="120"/>
      <c r="WF1393" s="120"/>
      <c r="WG1393" s="120"/>
      <c r="WH1393" s="120"/>
      <c r="WI1393" s="120"/>
      <c r="WJ1393" s="120"/>
      <c r="WK1393" s="120"/>
      <c r="WL1393" s="120"/>
      <c r="WM1393" s="120"/>
      <c r="WN1393" s="120"/>
      <c r="WO1393" s="120"/>
      <c r="WP1393" s="120"/>
      <c r="WQ1393" s="120"/>
      <c r="WR1393" s="120"/>
      <c r="WS1393" s="120"/>
      <c r="WT1393" s="120"/>
      <c r="WU1393" s="120"/>
      <c r="WV1393" s="120"/>
      <c r="WW1393" s="120"/>
      <c r="WX1393" s="120"/>
      <c r="WY1393" s="120"/>
      <c r="WZ1393" s="120"/>
      <c r="XA1393" s="120"/>
      <c r="XB1393" s="120"/>
      <c r="XC1393" s="120"/>
      <c r="XD1393" s="120"/>
      <c r="XE1393" s="120"/>
      <c r="XF1393" s="120"/>
      <c r="XG1393" s="120"/>
      <c r="XH1393" s="120"/>
      <c r="XI1393" s="120"/>
      <c r="XJ1393" s="120"/>
      <c r="XK1393" s="120"/>
      <c r="XL1393" s="120"/>
      <c r="XM1393" s="120"/>
      <c r="XN1393" s="120"/>
      <c r="XO1393" s="120"/>
      <c r="XP1393" s="120"/>
      <c r="XQ1393" s="120"/>
      <c r="XR1393" s="120"/>
      <c r="XS1393" s="120"/>
      <c r="XT1393" s="120"/>
      <c r="XU1393" s="120"/>
      <c r="XV1393" s="120"/>
      <c r="XW1393" s="120"/>
      <c r="XX1393" s="120"/>
      <c r="XY1393" s="120"/>
      <c r="XZ1393" s="120"/>
      <c r="YA1393" s="120"/>
      <c r="YB1393" s="120"/>
      <c r="YC1393" s="120"/>
      <c r="YD1393" s="120"/>
      <c r="YE1393" s="120"/>
      <c r="YF1393" s="120"/>
      <c r="YG1393" s="120"/>
      <c r="YH1393" s="120"/>
      <c r="YI1393" s="120"/>
      <c r="YJ1393" s="120"/>
      <c r="YK1393" s="120"/>
      <c r="YL1393" s="120"/>
      <c r="YM1393" s="120"/>
      <c r="YN1393" s="120"/>
      <c r="YO1393" s="120"/>
      <c r="YP1393" s="120"/>
      <c r="YQ1393" s="120"/>
      <c r="YR1393" s="120"/>
      <c r="YS1393" s="120"/>
      <c r="YT1393" s="120"/>
      <c r="YU1393" s="120"/>
      <c r="YV1393" s="120"/>
      <c r="YW1393" s="120"/>
      <c r="YX1393" s="120"/>
      <c r="YY1393" s="120"/>
      <c r="YZ1393" s="120"/>
      <c r="ZA1393" s="120"/>
      <c r="ZB1393" s="120"/>
      <c r="ZC1393" s="120"/>
      <c r="ZD1393" s="120"/>
      <c r="ZE1393" s="120"/>
      <c r="ZF1393" s="120"/>
      <c r="ZG1393" s="120"/>
      <c r="ZH1393" s="120"/>
      <c r="ZI1393" s="120"/>
      <c r="ZJ1393" s="120"/>
      <c r="ZK1393" s="120"/>
      <c r="ZL1393" s="120"/>
      <c r="ZM1393" s="120"/>
      <c r="ZN1393" s="120"/>
      <c r="ZO1393" s="120"/>
      <c r="ZP1393" s="120"/>
      <c r="ZQ1393" s="120"/>
      <c r="ZR1393" s="120"/>
      <c r="ZS1393" s="120"/>
      <c r="ZT1393" s="120"/>
      <c r="ZU1393" s="120"/>
      <c r="ZV1393" s="120"/>
      <c r="ZW1393" s="120"/>
      <c r="ZX1393" s="120"/>
      <c r="ZY1393" s="120"/>
      <c r="ZZ1393" s="120"/>
      <c r="AAA1393" s="120"/>
      <c r="AAB1393" s="120"/>
      <c r="AAC1393" s="120"/>
      <c r="AAD1393" s="120"/>
      <c r="AAE1393" s="120"/>
      <c r="AAF1393" s="120"/>
      <c r="AAG1393" s="120"/>
      <c r="AAH1393" s="120"/>
      <c r="AAI1393" s="120"/>
      <c r="AAJ1393" s="120"/>
      <c r="AAK1393" s="120"/>
      <c r="AAL1393" s="120"/>
      <c r="AAM1393" s="120"/>
      <c r="AAN1393" s="120"/>
      <c r="AAO1393" s="120"/>
      <c r="AAP1393" s="120"/>
      <c r="AAQ1393" s="120"/>
      <c r="AAR1393" s="120"/>
      <c r="AAS1393" s="120"/>
      <c r="AAT1393" s="120"/>
      <c r="AAU1393" s="120"/>
      <c r="AAV1393" s="120"/>
      <c r="AAW1393" s="120"/>
      <c r="AAX1393" s="120"/>
      <c r="AAY1393" s="120"/>
      <c r="AAZ1393" s="120"/>
      <c r="ABA1393" s="120"/>
      <c r="ABB1393" s="120"/>
      <c r="ABC1393" s="120"/>
      <c r="ABD1393" s="120"/>
      <c r="ABE1393" s="120"/>
      <c r="ABF1393" s="120"/>
      <c r="ABG1393" s="120"/>
      <c r="ABH1393" s="120"/>
      <c r="ABI1393" s="120"/>
      <c r="ABJ1393" s="120"/>
      <c r="ABK1393" s="120"/>
      <c r="ABL1393" s="120"/>
      <c r="ABM1393" s="120"/>
      <c r="ABN1393" s="120"/>
      <c r="ABO1393" s="120"/>
      <c r="ABP1393" s="120"/>
      <c r="ABQ1393" s="120"/>
      <c r="ABR1393" s="120"/>
      <c r="ABS1393" s="120"/>
      <c r="ABT1393" s="120"/>
      <c r="ABU1393" s="120"/>
      <c r="ABV1393" s="120"/>
      <c r="ABW1393" s="120"/>
      <c r="ABX1393" s="120"/>
      <c r="ABY1393" s="120"/>
      <c r="ABZ1393" s="120"/>
      <c r="ACA1393" s="120"/>
      <c r="ACB1393" s="120"/>
      <c r="ACC1393" s="120"/>
      <c r="ACD1393" s="120"/>
      <c r="ACE1393" s="120"/>
      <c r="ACF1393" s="120"/>
      <c r="ACG1393" s="120"/>
      <c r="ACH1393" s="120"/>
      <c r="ACI1393" s="120"/>
      <c r="ACJ1393" s="120"/>
      <c r="ACK1393" s="120"/>
      <c r="ACL1393" s="120"/>
      <c r="ACM1393" s="120"/>
      <c r="ACN1393" s="120"/>
      <c r="ACO1393" s="120"/>
      <c r="ACP1393" s="120"/>
      <c r="ACQ1393" s="120"/>
      <c r="ACR1393" s="120"/>
      <c r="ACS1393" s="120"/>
      <c r="ACT1393" s="120"/>
      <c r="ACU1393" s="120"/>
      <c r="ACV1393" s="120"/>
      <c r="ACW1393" s="120"/>
      <c r="ACX1393" s="120"/>
      <c r="ACY1393" s="120"/>
      <c r="ACZ1393" s="120"/>
      <c r="ADA1393" s="120"/>
      <c r="ADB1393" s="120"/>
      <c r="ADC1393" s="120"/>
      <c r="ADD1393" s="120"/>
      <c r="ADE1393" s="120"/>
      <c r="ADF1393" s="120"/>
      <c r="ADG1393" s="120"/>
      <c r="ADH1393" s="120"/>
      <c r="ADI1393" s="120"/>
      <c r="ADJ1393" s="120"/>
      <c r="ADK1393" s="120"/>
      <c r="ADL1393" s="120"/>
      <c r="ADM1393" s="120"/>
      <c r="ADN1393" s="120"/>
      <c r="ADO1393" s="120"/>
      <c r="ADP1393" s="120"/>
      <c r="ADQ1393" s="120"/>
      <c r="ADR1393" s="120"/>
      <c r="ADS1393" s="120"/>
      <c r="ADT1393" s="120"/>
      <c r="ADU1393" s="120"/>
      <c r="ADV1393" s="120"/>
      <c r="ADW1393" s="120"/>
      <c r="ADX1393" s="120"/>
      <c r="ADY1393" s="120"/>
      <c r="ADZ1393" s="120"/>
      <c r="AEA1393" s="120"/>
      <c r="AEB1393" s="120"/>
      <c r="AEC1393" s="120"/>
      <c r="AED1393" s="120"/>
      <c r="AEE1393" s="120"/>
      <c r="AEF1393" s="120"/>
      <c r="AEG1393" s="120"/>
      <c r="AEH1393" s="120"/>
      <c r="AEI1393" s="120"/>
      <c r="AEJ1393" s="120"/>
      <c r="AEK1393" s="120"/>
      <c r="AEL1393" s="120"/>
      <c r="AEM1393" s="120"/>
      <c r="AEN1393" s="120"/>
      <c r="AEO1393" s="120"/>
      <c r="AEP1393" s="120"/>
      <c r="AEQ1393" s="120"/>
      <c r="AER1393" s="120"/>
      <c r="AES1393" s="120"/>
      <c r="AET1393" s="120"/>
      <c r="AEU1393" s="120"/>
      <c r="AEV1393" s="120"/>
      <c r="AEW1393" s="120"/>
      <c r="AEX1393" s="120"/>
      <c r="AEY1393" s="120"/>
      <c r="AEZ1393" s="120"/>
      <c r="AFA1393" s="120"/>
      <c r="AFB1393" s="120"/>
      <c r="AFC1393" s="120"/>
      <c r="AFD1393" s="120"/>
      <c r="AFE1393" s="120"/>
      <c r="AFF1393" s="120"/>
      <c r="AFG1393" s="120"/>
      <c r="AFH1393" s="120"/>
      <c r="AFI1393" s="120"/>
      <c r="AFJ1393" s="120"/>
      <c r="AFK1393" s="120"/>
      <c r="AFL1393" s="120"/>
      <c r="AFM1393" s="120"/>
      <c r="AFN1393" s="120"/>
      <c r="AFO1393" s="120"/>
      <c r="AFP1393" s="120"/>
      <c r="AFQ1393" s="120"/>
      <c r="AFR1393" s="120"/>
      <c r="AFS1393" s="120"/>
      <c r="AFT1393" s="120"/>
      <c r="AFU1393" s="120"/>
      <c r="AFV1393" s="120"/>
      <c r="AFW1393" s="120"/>
      <c r="AFX1393" s="120"/>
      <c r="AFY1393" s="120"/>
      <c r="AFZ1393" s="120"/>
      <c r="AGA1393" s="120"/>
      <c r="AGB1393" s="120"/>
      <c r="AGC1393" s="120"/>
      <c r="AGD1393" s="120"/>
      <c r="AGE1393" s="120"/>
      <c r="AGF1393" s="120"/>
      <c r="AGG1393" s="120"/>
      <c r="AGH1393" s="120"/>
      <c r="AGI1393" s="120"/>
      <c r="AGJ1393" s="120"/>
      <c r="AGK1393" s="120"/>
      <c r="AGL1393" s="120"/>
      <c r="AGM1393" s="120"/>
      <c r="AGN1393" s="120"/>
      <c r="AGO1393" s="120"/>
      <c r="AGP1393" s="120"/>
      <c r="AGQ1393" s="120"/>
      <c r="AGR1393" s="120"/>
      <c r="AGS1393" s="120"/>
      <c r="AGT1393" s="120"/>
      <c r="AGU1393" s="120"/>
      <c r="AGV1393" s="120"/>
      <c r="AGW1393" s="120"/>
      <c r="AGX1393" s="120"/>
      <c r="AGY1393" s="120"/>
      <c r="AGZ1393" s="120"/>
      <c r="AHA1393" s="120"/>
      <c r="AHB1393" s="120"/>
      <c r="AHC1393" s="120"/>
      <c r="AHD1393" s="120"/>
      <c r="AHE1393" s="120"/>
      <c r="AHF1393" s="120"/>
      <c r="AHG1393" s="120"/>
      <c r="AHH1393" s="120"/>
      <c r="AHI1393" s="120"/>
      <c r="AHJ1393" s="120"/>
      <c r="AHK1393" s="120"/>
      <c r="AHL1393" s="120"/>
      <c r="AHM1393" s="120"/>
      <c r="AHN1393" s="120"/>
      <c r="AHO1393" s="120"/>
      <c r="AHP1393" s="120"/>
      <c r="AHQ1393" s="120"/>
      <c r="AHR1393" s="120"/>
      <c r="AHS1393" s="120"/>
      <c r="AHT1393" s="120"/>
      <c r="AHU1393" s="120"/>
      <c r="AHV1393" s="120"/>
      <c r="AHW1393" s="120"/>
      <c r="AHX1393" s="120"/>
      <c r="AHY1393" s="120"/>
      <c r="AHZ1393" s="120"/>
      <c r="AIA1393" s="120"/>
      <c r="AIB1393" s="120"/>
      <c r="AIC1393" s="120"/>
      <c r="AID1393" s="120"/>
      <c r="AIE1393" s="120"/>
      <c r="AIF1393" s="120"/>
      <c r="AIG1393" s="120"/>
      <c r="AIH1393" s="120"/>
      <c r="AII1393" s="120"/>
      <c r="AIJ1393" s="120"/>
      <c r="AIK1393" s="120"/>
      <c r="AIL1393" s="120"/>
      <c r="AIM1393" s="120"/>
      <c r="AIN1393" s="120"/>
      <c r="AIO1393" s="120"/>
      <c r="AIP1393" s="120"/>
      <c r="AIQ1393" s="120"/>
      <c r="AIR1393" s="120"/>
      <c r="AIS1393" s="120"/>
      <c r="AIT1393" s="120"/>
      <c r="AIU1393" s="120"/>
      <c r="AIV1393" s="120"/>
      <c r="AIW1393" s="120"/>
      <c r="AIX1393" s="120"/>
      <c r="AIY1393" s="120"/>
      <c r="AIZ1393" s="120"/>
      <c r="AJA1393" s="120"/>
      <c r="AJB1393" s="120"/>
      <c r="AJC1393" s="120"/>
      <c r="AJD1393" s="120"/>
      <c r="AJE1393" s="120"/>
      <c r="AJF1393" s="120"/>
      <c r="AJG1393" s="120"/>
      <c r="AJH1393" s="120"/>
      <c r="AJI1393" s="120"/>
      <c r="AJJ1393" s="120"/>
      <c r="AJK1393" s="120"/>
      <c r="AJL1393" s="120"/>
      <c r="AJM1393" s="120"/>
      <c r="AJN1393" s="120"/>
      <c r="AJO1393" s="120"/>
      <c r="AJP1393" s="120"/>
      <c r="AJQ1393" s="120"/>
      <c r="AJR1393" s="120"/>
      <c r="AJS1393" s="120"/>
      <c r="AJT1393" s="120"/>
      <c r="AJU1393" s="120"/>
      <c r="AJV1393" s="120"/>
      <c r="AJW1393" s="120"/>
      <c r="AJX1393" s="120"/>
      <c r="AJY1393" s="120"/>
      <c r="AJZ1393" s="120"/>
      <c r="AKA1393" s="120"/>
      <c r="AKB1393" s="120"/>
      <c r="AKC1393" s="120"/>
      <c r="AKD1393" s="120"/>
      <c r="AKE1393" s="120"/>
      <c r="AKF1393" s="120"/>
      <c r="AKG1393" s="120"/>
      <c r="AKH1393" s="120"/>
      <c r="AKI1393" s="120"/>
      <c r="AKJ1393" s="120"/>
      <c r="AKK1393" s="120"/>
      <c r="AKL1393" s="120"/>
      <c r="AKM1393" s="120"/>
      <c r="AKN1393" s="120"/>
      <c r="AKO1393" s="120"/>
      <c r="AKP1393" s="120"/>
      <c r="AKQ1393" s="120"/>
      <c r="AKR1393" s="120"/>
      <c r="AKS1393" s="120"/>
      <c r="AKT1393" s="120"/>
      <c r="AKU1393" s="120"/>
      <c r="AKV1393" s="120"/>
      <c r="AKW1393" s="120"/>
      <c r="AKX1393" s="120"/>
      <c r="AKY1393" s="120"/>
      <c r="AKZ1393" s="120"/>
      <c r="ALA1393" s="120"/>
      <c r="ALB1393" s="120"/>
      <c r="ALC1393" s="120"/>
      <c r="ALD1393" s="120"/>
      <c r="ALE1393" s="120"/>
      <c r="ALF1393" s="120"/>
      <c r="ALG1393" s="120"/>
      <c r="ALH1393" s="120"/>
      <c r="ALI1393" s="120"/>
      <c r="ALJ1393" s="120"/>
      <c r="ALK1393" s="120"/>
      <c r="ALL1393" s="120"/>
      <c r="ALM1393" s="120"/>
      <c r="ALN1393" s="120"/>
      <c r="ALO1393" s="120"/>
      <c r="ALP1393" s="120"/>
      <c r="ALQ1393" s="120"/>
      <c r="ALR1393" s="120"/>
      <c r="ALS1393" s="120"/>
      <c r="ALT1393" s="120"/>
      <c r="ALU1393" s="120"/>
      <c r="ALV1393" s="120"/>
      <c r="ALW1393" s="120"/>
      <c r="ALX1393" s="120"/>
      <c r="ALY1393" s="120"/>
      <c r="ALZ1393" s="120"/>
      <c r="AMA1393" s="120"/>
      <c r="AMB1393" s="120"/>
      <c r="AMC1393" s="120"/>
      <c r="AMD1393" s="120"/>
      <c r="AME1393" s="120"/>
      <c r="AMF1393" s="120"/>
      <c r="AMG1393" s="120"/>
      <c r="AMH1393" s="120"/>
      <c r="AMI1393" s="120"/>
      <c r="AMJ1393" s="120"/>
      <c r="AMK1393" s="120"/>
      <c r="AML1393" s="120"/>
      <c r="AMM1393" s="120"/>
      <c r="AMN1393" s="120"/>
      <c r="AMO1393" s="120"/>
      <c r="AMP1393" s="120"/>
      <c r="AMQ1393" s="120"/>
      <c r="AMR1393" s="120"/>
      <c r="AMS1393" s="120"/>
      <c r="AMT1393" s="120"/>
      <c r="AMU1393" s="120"/>
      <c r="AMV1393" s="120"/>
      <c r="AMW1393" s="120"/>
      <c r="AMX1393" s="120"/>
      <c r="AMY1393" s="120"/>
      <c r="AMZ1393" s="120"/>
      <c r="ANA1393" s="120"/>
      <c r="ANB1393" s="120"/>
      <c r="ANC1393" s="120"/>
      <c r="AND1393" s="120"/>
      <c r="ANE1393" s="120"/>
      <c r="ANF1393" s="120"/>
      <c r="ANG1393" s="120"/>
      <c r="ANH1393" s="120"/>
      <c r="ANI1393" s="120"/>
      <c r="ANJ1393" s="120"/>
      <c r="ANK1393" s="120"/>
      <c r="ANL1393" s="120"/>
      <c r="ANM1393" s="120"/>
      <c r="ANN1393" s="120"/>
      <c r="ANO1393" s="120"/>
      <c r="ANP1393" s="120"/>
      <c r="ANQ1393" s="120"/>
      <c r="ANR1393" s="120"/>
      <c r="ANS1393" s="120"/>
      <c r="ANT1393" s="120"/>
      <c r="ANU1393" s="120"/>
      <c r="ANV1393" s="120"/>
      <c r="ANW1393" s="120"/>
      <c r="ANX1393" s="120"/>
      <c r="ANY1393" s="120"/>
      <c r="ANZ1393" s="120"/>
      <c r="AOA1393" s="120"/>
      <c r="AOB1393" s="120"/>
      <c r="AOC1393" s="120"/>
      <c r="AOD1393" s="120"/>
      <c r="AOE1393" s="120"/>
      <c r="AOF1393" s="120"/>
      <c r="AOG1393" s="120"/>
      <c r="AOH1393" s="120"/>
      <c r="AOI1393" s="120"/>
      <c r="AOJ1393" s="120"/>
      <c r="AOK1393" s="120"/>
      <c r="AOL1393" s="120"/>
      <c r="AOM1393" s="120"/>
      <c r="AON1393" s="120"/>
      <c r="AOO1393" s="120"/>
      <c r="AOP1393" s="120"/>
      <c r="AOQ1393" s="120"/>
      <c r="AOR1393" s="120"/>
      <c r="AOS1393" s="120"/>
      <c r="AOT1393" s="120"/>
      <c r="AOU1393" s="120"/>
      <c r="AOV1393" s="120"/>
      <c r="AOW1393" s="120"/>
      <c r="AOX1393" s="120"/>
      <c r="AOY1393" s="120"/>
      <c r="AOZ1393" s="120"/>
      <c r="APA1393" s="120"/>
      <c r="APB1393" s="120"/>
      <c r="APC1393" s="120"/>
      <c r="APD1393" s="120"/>
      <c r="APE1393" s="120"/>
      <c r="APF1393" s="120"/>
      <c r="APG1393" s="120"/>
      <c r="APH1393" s="120"/>
      <c r="API1393" s="120"/>
      <c r="APJ1393" s="120"/>
      <c r="APK1393" s="120"/>
      <c r="APL1393" s="120"/>
      <c r="APM1393" s="120"/>
      <c r="APN1393" s="120"/>
      <c r="APO1393" s="120"/>
      <c r="APP1393" s="120"/>
      <c r="APQ1393" s="120"/>
      <c r="APR1393" s="120"/>
      <c r="APS1393" s="120"/>
      <c r="APT1393" s="120"/>
      <c r="APU1393" s="120"/>
      <c r="APV1393" s="120"/>
      <c r="APW1393" s="120"/>
      <c r="APX1393" s="120"/>
      <c r="APY1393" s="120"/>
      <c r="APZ1393" s="120"/>
      <c r="AQA1393" s="120"/>
      <c r="AQB1393" s="120"/>
      <c r="AQC1393" s="120"/>
      <c r="AQD1393" s="120"/>
      <c r="AQE1393" s="120"/>
      <c r="AQF1393" s="120"/>
      <c r="AQG1393" s="120"/>
      <c r="AQH1393" s="120"/>
      <c r="AQI1393" s="120"/>
      <c r="AQJ1393" s="120"/>
      <c r="AQK1393" s="120"/>
      <c r="AQL1393" s="120"/>
      <c r="AQM1393" s="120"/>
      <c r="AQN1393" s="120"/>
      <c r="AQO1393" s="120"/>
      <c r="AQP1393" s="120"/>
      <c r="AQQ1393" s="120"/>
      <c r="AQR1393" s="120"/>
      <c r="AQS1393" s="120"/>
      <c r="AQT1393" s="120"/>
      <c r="AQU1393" s="120"/>
      <c r="AQV1393" s="120"/>
      <c r="AQW1393" s="120"/>
      <c r="AQX1393" s="120"/>
      <c r="AQY1393" s="120"/>
      <c r="AQZ1393" s="120"/>
      <c r="ARA1393" s="120"/>
      <c r="ARB1393" s="120"/>
      <c r="ARC1393" s="120"/>
      <c r="ARD1393" s="120"/>
      <c r="ARE1393" s="120"/>
      <c r="ARF1393" s="120"/>
      <c r="ARG1393" s="120"/>
      <c r="ARH1393" s="120"/>
      <c r="ARI1393" s="120"/>
      <c r="ARJ1393" s="120"/>
      <c r="ARK1393" s="120"/>
      <c r="ARL1393" s="120"/>
      <c r="ARM1393" s="120"/>
      <c r="ARN1393" s="120"/>
      <c r="ARO1393" s="120"/>
      <c r="ARP1393" s="120"/>
      <c r="ARQ1393" s="120"/>
      <c r="ARR1393" s="120"/>
      <c r="ARS1393" s="120"/>
      <c r="ART1393" s="120"/>
      <c r="ARU1393" s="120"/>
      <c r="ARV1393" s="120"/>
      <c r="ARW1393" s="120"/>
      <c r="ARX1393" s="120"/>
      <c r="ARY1393" s="120"/>
      <c r="ARZ1393" s="120"/>
      <c r="ASA1393" s="120"/>
      <c r="ASB1393" s="120"/>
      <c r="ASC1393" s="120"/>
      <c r="ASD1393" s="120"/>
      <c r="ASE1393" s="120"/>
      <c r="ASF1393" s="120"/>
      <c r="ASG1393" s="120"/>
      <c r="ASH1393" s="120"/>
      <c r="ASI1393" s="120"/>
      <c r="ASJ1393" s="120"/>
      <c r="ASK1393" s="120"/>
      <c r="ASL1393" s="120"/>
      <c r="ASM1393" s="120"/>
      <c r="ASN1393" s="120"/>
      <c r="ASO1393" s="120"/>
      <c r="ASP1393" s="120"/>
      <c r="ASQ1393" s="120"/>
      <c r="ASR1393" s="120"/>
      <c r="ASS1393" s="120"/>
      <c r="AST1393" s="120"/>
      <c r="ASU1393" s="120"/>
      <c r="ASV1393" s="120"/>
      <c r="ASW1393" s="120"/>
      <c r="ASX1393" s="120"/>
      <c r="ASY1393" s="120"/>
      <c r="ASZ1393" s="120"/>
      <c r="ATA1393" s="120"/>
      <c r="ATB1393" s="120"/>
      <c r="ATC1393" s="120"/>
      <c r="ATD1393" s="120"/>
      <c r="ATE1393" s="120"/>
      <c r="ATF1393" s="120"/>
      <c r="ATG1393" s="120"/>
      <c r="ATH1393" s="120"/>
      <c r="ATI1393" s="120"/>
      <c r="ATJ1393" s="120"/>
      <c r="ATK1393" s="120"/>
      <c r="ATL1393" s="120"/>
      <c r="ATM1393" s="120"/>
      <c r="ATN1393" s="120"/>
      <c r="ATO1393" s="120"/>
    </row>
    <row r="1394" spans="1:1211" s="20" customFormat="1" ht="14.1" customHeight="1">
      <c r="A1394" s="629"/>
      <c r="B1394" s="630"/>
      <c r="C1394" s="631"/>
      <c r="D1394" s="631"/>
      <c r="E1394" s="898"/>
      <c r="F1394" s="899"/>
      <c r="G1394" s="899"/>
      <c r="H1394" s="899"/>
      <c r="I1394" s="899"/>
      <c r="J1394" s="899"/>
      <c r="K1394" s="112"/>
      <c r="L1394" s="363"/>
      <c r="M1394" s="112"/>
      <c r="N1394" s="362"/>
      <c r="O1394" s="573"/>
      <c r="P1394" s="120"/>
      <c r="Q1394" s="120"/>
      <c r="R1394" s="120"/>
      <c r="S1394" s="120"/>
      <c r="T1394" s="120"/>
      <c r="U1394" s="120"/>
      <c r="V1394" s="120"/>
      <c r="W1394" s="120"/>
      <c r="X1394" s="120"/>
      <c r="Y1394" s="120"/>
      <c r="Z1394" s="120"/>
      <c r="AA1394" s="120"/>
      <c r="AB1394" s="120"/>
      <c r="AC1394" s="120"/>
      <c r="AD1394" s="120"/>
      <c r="AE1394" s="120"/>
      <c r="AF1394" s="120"/>
      <c r="AG1394" s="120"/>
      <c r="AH1394" s="120"/>
      <c r="AI1394" s="120"/>
      <c r="AJ1394" s="120"/>
      <c r="AK1394" s="120"/>
      <c r="AL1394" s="120"/>
      <c r="AM1394" s="120"/>
      <c r="AN1394" s="120"/>
      <c r="AO1394" s="120"/>
      <c r="AP1394" s="120"/>
      <c r="AQ1394" s="120"/>
      <c r="AR1394" s="120"/>
      <c r="AS1394" s="120"/>
      <c r="AT1394" s="120"/>
      <c r="AU1394" s="120"/>
      <c r="AV1394" s="120"/>
      <c r="AW1394" s="120"/>
      <c r="AX1394" s="120"/>
      <c r="AY1394" s="120"/>
      <c r="AZ1394" s="120"/>
      <c r="BA1394" s="120"/>
      <c r="BB1394" s="120"/>
      <c r="BC1394" s="120"/>
      <c r="BD1394" s="120"/>
      <c r="BE1394" s="120"/>
      <c r="BF1394" s="120"/>
      <c r="BG1394" s="120"/>
      <c r="BH1394" s="120"/>
      <c r="BI1394" s="120"/>
      <c r="BJ1394" s="120"/>
      <c r="BK1394" s="120"/>
      <c r="BL1394" s="120"/>
      <c r="BM1394" s="120"/>
      <c r="BN1394" s="120"/>
      <c r="BO1394" s="120"/>
      <c r="BP1394" s="120"/>
      <c r="BQ1394" s="120"/>
      <c r="BR1394" s="120"/>
      <c r="BS1394" s="120"/>
      <c r="BT1394" s="120"/>
      <c r="BU1394" s="120"/>
      <c r="BV1394" s="120"/>
      <c r="BW1394" s="120"/>
      <c r="BX1394" s="120"/>
      <c r="BY1394" s="120"/>
      <c r="BZ1394" s="120"/>
      <c r="CA1394" s="120"/>
      <c r="CB1394" s="120"/>
      <c r="CC1394" s="120"/>
      <c r="CD1394" s="120"/>
      <c r="CE1394" s="120"/>
      <c r="CF1394" s="120"/>
      <c r="CG1394" s="120"/>
      <c r="CH1394" s="120"/>
      <c r="CI1394" s="120"/>
      <c r="CJ1394" s="120"/>
      <c r="CK1394" s="120"/>
      <c r="CL1394" s="120"/>
      <c r="CM1394" s="120"/>
      <c r="CN1394" s="120"/>
      <c r="CO1394" s="120"/>
      <c r="CP1394" s="120"/>
      <c r="CQ1394" s="120"/>
      <c r="CR1394" s="120"/>
      <c r="CS1394" s="120"/>
      <c r="CT1394" s="120"/>
      <c r="CU1394" s="120"/>
      <c r="CV1394" s="120"/>
      <c r="CW1394" s="120"/>
      <c r="CX1394" s="120"/>
      <c r="CY1394" s="120"/>
      <c r="CZ1394" s="120"/>
      <c r="DA1394" s="120"/>
      <c r="DB1394" s="120"/>
      <c r="DC1394" s="120"/>
      <c r="DD1394" s="120"/>
      <c r="DE1394" s="120"/>
      <c r="DF1394" s="120"/>
      <c r="DG1394" s="120"/>
      <c r="DH1394" s="120"/>
      <c r="DI1394" s="120"/>
      <c r="DJ1394" s="120"/>
      <c r="DK1394" s="120"/>
      <c r="DL1394" s="120"/>
      <c r="DM1394" s="120"/>
      <c r="DN1394" s="120"/>
      <c r="DO1394" s="120"/>
      <c r="DP1394" s="120"/>
      <c r="DQ1394" s="120"/>
      <c r="DR1394" s="120"/>
      <c r="DS1394" s="120"/>
      <c r="DT1394" s="120"/>
      <c r="DU1394" s="120"/>
      <c r="DV1394" s="120"/>
      <c r="DW1394" s="120"/>
      <c r="DX1394" s="120"/>
      <c r="DY1394" s="120"/>
      <c r="DZ1394" s="120"/>
      <c r="EA1394" s="120"/>
      <c r="EB1394" s="120"/>
      <c r="EC1394" s="120"/>
      <c r="ED1394" s="120"/>
      <c r="EE1394" s="120"/>
      <c r="EF1394" s="120"/>
      <c r="EG1394" s="120"/>
      <c r="EH1394" s="120"/>
      <c r="EI1394" s="120"/>
      <c r="EJ1394" s="120"/>
      <c r="EK1394" s="120"/>
      <c r="EL1394" s="120"/>
      <c r="EM1394" s="120"/>
      <c r="EN1394" s="120"/>
      <c r="EO1394" s="120"/>
      <c r="EP1394" s="120"/>
      <c r="EQ1394" s="120"/>
      <c r="ER1394" s="120"/>
      <c r="ES1394" s="120"/>
      <c r="ET1394" s="120"/>
      <c r="EU1394" s="120"/>
      <c r="EV1394" s="120"/>
      <c r="EW1394" s="120"/>
      <c r="EX1394" s="120"/>
      <c r="EY1394" s="120"/>
      <c r="EZ1394" s="120"/>
      <c r="FA1394" s="120"/>
      <c r="FB1394" s="120"/>
      <c r="FC1394" s="120"/>
      <c r="FD1394" s="120"/>
      <c r="FE1394" s="120"/>
      <c r="FF1394" s="120"/>
      <c r="FG1394" s="120"/>
      <c r="FH1394" s="120"/>
      <c r="FI1394" s="120"/>
      <c r="FJ1394" s="120"/>
      <c r="FK1394" s="120"/>
      <c r="FL1394" s="120"/>
      <c r="FM1394" s="120"/>
      <c r="FN1394" s="120"/>
      <c r="FO1394" s="120"/>
      <c r="FP1394" s="120"/>
      <c r="FQ1394" s="120"/>
      <c r="FR1394" s="120"/>
      <c r="FS1394" s="120"/>
      <c r="FT1394" s="120"/>
      <c r="FU1394" s="120"/>
      <c r="FV1394" s="120"/>
      <c r="FW1394" s="120"/>
      <c r="FX1394" s="120"/>
      <c r="FY1394" s="120"/>
      <c r="FZ1394" s="120"/>
      <c r="GA1394" s="120"/>
      <c r="GB1394" s="120"/>
      <c r="GC1394" s="120"/>
      <c r="GD1394" s="120"/>
      <c r="GE1394" s="120"/>
      <c r="GF1394" s="120"/>
      <c r="GG1394" s="120"/>
      <c r="GH1394" s="120"/>
      <c r="GI1394" s="120"/>
      <c r="GJ1394" s="120"/>
      <c r="GK1394" s="120"/>
      <c r="GL1394" s="120"/>
      <c r="GM1394" s="120"/>
      <c r="GN1394" s="120"/>
      <c r="GO1394" s="120"/>
      <c r="GP1394" s="120"/>
      <c r="GQ1394" s="120"/>
      <c r="GR1394" s="120"/>
      <c r="GS1394" s="120"/>
      <c r="GT1394" s="120"/>
      <c r="GU1394" s="120"/>
      <c r="GV1394" s="120"/>
      <c r="GW1394" s="120"/>
      <c r="GX1394" s="120"/>
      <c r="GY1394" s="120"/>
      <c r="GZ1394" s="120"/>
      <c r="HA1394" s="120"/>
      <c r="HB1394" s="120"/>
      <c r="HC1394" s="120"/>
      <c r="HD1394" s="120"/>
      <c r="HE1394" s="120"/>
      <c r="HF1394" s="120"/>
      <c r="HG1394" s="120"/>
      <c r="HH1394" s="120"/>
      <c r="HI1394" s="120"/>
      <c r="HJ1394" s="120"/>
      <c r="HK1394" s="120"/>
      <c r="HL1394" s="120"/>
      <c r="HM1394" s="120"/>
      <c r="HN1394" s="120"/>
      <c r="HO1394" s="120"/>
      <c r="HP1394" s="120"/>
      <c r="HQ1394" s="120"/>
      <c r="HR1394" s="120"/>
      <c r="HS1394" s="120"/>
      <c r="HT1394" s="120"/>
      <c r="HU1394" s="120"/>
      <c r="HV1394" s="120"/>
      <c r="HW1394" s="120"/>
      <c r="HX1394" s="120"/>
      <c r="HY1394" s="120"/>
      <c r="HZ1394" s="120"/>
      <c r="IA1394" s="120"/>
      <c r="IB1394" s="120"/>
      <c r="IC1394" s="120"/>
      <c r="ID1394" s="120"/>
      <c r="IE1394" s="120"/>
      <c r="IF1394" s="120"/>
      <c r="IG1394" s="120"/>
      <c r="IH1394" s="120"/>
      <c r="II1394" s="120"/>
      <c r="IJ1394" s="120"/>
      <c r="IK1394" s="120"/>
      <c r="IL1394" s="120"/>
      <c r="IM1394" s="120"/>
      <c r="IN1394" s="120"/>
      <c r="IO1394" s="120"/>
      <c r="IP1394" s="120"/>
      <c r="IQ1394" s="120"/>
      <c r="IR1394" s="120"/>
      <c r="IS1394" s="120"/>
      <c r="IT1394" s="120"/>
      <c r="IU1394" s="120"/>
      <c r="IV1394" s="120"/>
      <c r="IW1394" s="120"/>
      <c r="IX1394" s="120"/>
      <c r="IY1394" s="120"/>
      <c r="IZ1394" s="120"/>
      <c r="JA1394" s="120"/>
      <c r="JB1394" s="120"/>
      <c r="JC1394" s="120"/>
      <c r="JD1394" s="120"/>
      <c r="JE1394" s="120"/>
      <c r="JF1394" s="120"/>
      <c r="JG1394" s="120"/>
      <c r="JH1394" s="120"/>
      <c r="JI1394" s="120"/>
      <c r="JJ1394" s="120"/>
      <c r="JK1394" s="120"/>
      <c r="JL1394" s="120"/>
      <c r="JM1394" s="120"/>
      <c r="JN1394" s="120"/>
      <c r="JO1394" s="120"/>
      <c r="JP1394" s="120"/>
      <c r="JQ1394" s="120"/>
      <c r="JR1394" s="120"/>
      <c r="JS1394" s="120"/>
      <c r="JT1394" s="120"/>
      <c r="JU1394" s="120"/>
      <c r="JV1394" s="120"/>
      <c r="JW1394" s="120"/>
      <c r="JX1394" s="120"/>
      <c r="JY1394" s="120"/>
      <c r="JZ1394" s="120"/>
      <c r="KA1394" s="120"/>
      <c r="KB1394" s="120"/>
      <c r="KC1394" s="120"/>
      <c r="KD1394" s="120"/>
      <c r="KE1394" s="120"/>
      <c r="KF1394" s="120"/>
      <c r="KG1394" s="120"/>
      <c r="KH1394" s="120"/>
      <c r="KI1394" s="120"/>
      <c r="KJ1394" s="120"/>
      <c r="KK1394" s="120"/>
      <c r="KL1394" s="120"/>
      <c r="KM1394" s="120"/>
      <c r="KN1394" s="120"/>
      <c r="KO1394" s="120"/>
      <c r="KP1394" s="120"/>
      <c r="KQ1394" s="120"/>
      <c r="KR1394" s="120"/>
      <c r="KS1394" s="120"/>
      <c r="KT1394" s="120"/>
      <c r="KU1394" s="120"/>
      <c r="KV1394" s="120"/>
      <c r="KW1394" s="120"/>
      <c r="KX1394" s="120"/>
      <c r="KY1394" s="120"/>
      <c r="KZ1394" s="120"/>
      <c r="LA1394" s="120"/>
      <c r="LB1394" s="120"/>
      <c r="LC1394" s="120"/>
      <c r="LD1394" s="120"/>
      <c r="LE1394" s="120"/>
      <c r="LF1394" s="120"/>
      <c r="LG1394" s="120"/>
      <c r="LH1394" s="120"/>
      <c r="LI1394" s="120"/>
      <c r="LJ1394" s="120"/>
      <c r="LK1394" s="120"/>
      <c r="LL1394" s="120"/>
      <c r="LM1394" s="120"/>
      <c r="LN1394" s="120"/>
      <c r="LO1394" s="120"/>
      <c r="LP1394" s="120"/>
      <c r="LQ1394" s="120"/>
      <c r="LR1394" s="120"/>
      <c r="LS1394" s="120"/>
      <c r="LT1394" s="120"/>
      <c r="LU1394" s="120"/>
      <c r="LV1394" s="120"/>
      <c r="LW1394" s="120"/>
      <c r="LX1394" s="120"/>
      <c r="LY1394" s="120"/>
      <c r="LZ1394" s="120"/>
      <c r="MA1394" s="120"/>
      <c r="MB1394" s="120"/>
      <c r="MC1394" s="120"/>
      <c r="MD1394" s="120"/>
      <c r="ME1394" s="120"/>
      <c r="MF1394" s="120"/>
      <c r="MG1394" s="120"/>
      <c r="MH1394" s="120"/>
      <c r="MI1394" s="120"/>
      <c r="MJ1394" s="120"/>
      <c r="MK1394" s="120"/>
      <c r="ML1394" s="120"/>
      <c r="MM1394" s="120"/>
      <c r="MN1394" s="120"/>
      <c r="MO1394" s="120"/>
      <c r="MP1394" s="120"/>
      <c r="MQ1394" s="120"/>
      <c r="MR1394" s="120"/>
      <c r="MS1394" s="120"/>
      <c r="MT1394" s="120"/>
      <c r="MU1394" s="120"/>
      <c r="MV1394" s="120"/>
      <c r="MW1394" s="120"/>
      <c r="MX1394" s="120"/>
      <c r="MY1394" s="120"/>
      <c r="MZ1394" s="120"/>
      <c r="NA1394" s="120"/>
      <c r="NB1394" s="120"/>
      <c r="NC1394" s="120"/>
      <c r="ND1394" s="120"/>
      <c r="NE1394" s="120"/>
      <c r="NF1394" s="120"/>
      <c r="NG1394" s="120"/>
      <c r="NH1394" s="120"/>
      <c r="NI1394" s="120"/>
      <c r="NJ1394" s="120"/>
      <c r="NK1394" s="120"/>
      <c r="NL1394" s="120"/>
      <c r="NM1394" s="120"/>
      <c r="NN1394" s="120"/>
      <c r="NO1394" s="120"/>
      <c r="NP1394" s="120"/>
      <c r="NQ1394" s="120"/>
      <c r="NR1394" s="120"/>
      <c r="NS1394" s="120"/>
      <c r="NT1394" s="120"/>
      <c r="NU1394" s="120"/>
      <c r="NV1394" s="120"/>
      <c r="NW1394" s="120"/>
      <c r="NX1394" s="120"/>
      <c r="NY1394" s="120"/>
      <c r="NZ1394" s="120"/>
      <c r="OA1394" s="120"/>
      <c r="OB1394" s="120"/>
      <c r="OC1394" s="120"/>
      <c r="OD1394" s="120"/>
      <c r="OE1394" s="120"/>
      <c r="OF1394" s="120"/>
      <c r="OG1394" s="120"/>
      <c r="OH1394" s="120"/>
      <c r="OI1394" s="120"/>
      <c r="OJ1394" s="120"/>
      <c r="OK1394" s="120"/>
      <c r="OL1394" s="120"/>
      <c r="OM1394" s="120"/>
      <c r="ON1394" s="120"/>
      <c r="OO1394" s="120"/>
      <c r="OP1394" s="120"/>
      <c r="OQ1394" s="120"/>
      <c r="OR1394" s="120"/>
      <c r="OS1394" s="120"/>
      <c r="OT1394" s="120"/>
      <c r="OU1394" s="120"/>
      <c r="OV1394" s="120"/>
      <c r="OW1394" s="120"/>
      <c r="OX1394" s="120"/>
      <c r="OY1394" s="120"/>
      <c r="OZ1394" s="120"/>
      <c r="PA1394" s="120"/>
      <c r="PB1394" s="120"/>
      <c r="PC1394" s="120"/>
      <c r="PD1394" s="120"/>
      <c r="PE1394" s="120"/>
      <c r="PF1394" s="120"/>
      <c r="PG1394" s="120"/>
      <c r="PH1394" s="120"/>
      <c r="PI1394" s="120"/>
      <c r="PJ1394" s="120"/>
      <c r="PK1394" s="120"/>
      <c r="PL1394" s="120"/>
      <c r="PM1394" s="120"/>
      <c r="PN1394" s="120"/>
      <c r="PO1394" s="120"/>
      <c r="PP1394" s="120"/>
      <c r="PQ1394" s="120"/>
      <c r="PR1394" s="120"/>
      <c r="PS1394" s="120"/>
      <c r="PT1394" s="120"/>
      <c r="PU1394" s="120"/>
      <c r="PV1394" s="120"/>
      <c r="PW1394" s="120"/>
      <c r="PX1394" s="120"/>
      <c r="PY1394" s="120"/>
      <c r="PZ1394" s="120"/>
      <c r="QA1394" s="120"/>
      <c r="QB1394" s="120"/>
      <c r="QC1394" s="120"/>
      <c r="QD1394" s="120"/>
      <c r="QE1394" s="120"/>
      <c r="QF1394" s="120"/>
      <c r="QG1394" s="120"/>
      <c r="QH1394" s="120"/>
      <c r="QI1394" s="120"/>
      <c r="QJ1394" s="120"/>
      <c r="QK1394" s="120"/>
      <c r="QL1394" s="120"/>
      <c r="QM1394" s="120"/>
      <c r="QN1394" s="120"/>
      <c r="QO1394" s="120"/>
      <c r="QP1394" s="120"/>
      <c r="QQ1394" s="120"/>
      <c r="QR1394" s="120"/>
      <c r="QS1394" s="120"/>
      <c r="QT1394" s="120"/>
      <c r="QU1394" s="120"/>
      <c r="QV1394" s="120"/>
      <c r="QW1394" s="120"/>
      <c r="QX1394" s="120"/>
      <c r="QY1394" s="120"/>
      <c r="QZ1394" s="120"/>
      <c r="RA1394" s="120"/>
      <c r="RB1394" s="120"/>
      <c r="RC1394" s="120"/>
      <c r="RD1394" s="120"/>
      <c r="RE1394" s="120"/>
      <c r="RF1394" s="120"/>
      <c r="RG1394" s="120"/>
      <c r="RH1394" s="120"/>
      <c r="RI1394" s="120"/>
      <c r="RJ1394" s="120"/>
      <c r="RK1394" s="120"/>
      <c r="RL1394" s="120"/>
      <c r="RM1394" s="120"/>
      <c r="RN1394" s="120"/>
      <c r="RO1394" s="120"/>
      <c r="RP1394" s="120"/>
      <c r="RQ1394" s="120"/>
      <c r="RR1394" s="120"/>
      <c r="RS1394" s="120"/>
      <c r="RT1394" s="120"/>
      <c r="RU1394" s="120"/>
      <c r="RV1394" s="120"/>
      <c r="RW1394" s="120"/>
      <c r="RX1394" s="120"/>
      <c r="RY1394" s="120"/>
      <c r="RZ1394" s="120"/>
      <c r="SA1394" s="120"/>
      <c r="SB1394" s="120"/>
      <c r="SC1394" s="120"/>
      <c r="SD1394" s="120"/>
      <c r="SE1394" s="120"/>
      <c r="SF1394" s="120"/>
      <c r="SG1394" s="120"/>
      <c r="SH1394" s="120"/>
      <c r="SI1394" s="120"/>
      <c r="SJ1394" s="120"/>
      <c r="SK1394" s="120"/>
      <c r="SL1394" s="120"/>
      <c r="SM1394" s="120"/>
      <c r="SN1394" s="120"/>
      <c r="SO1394" s="120"/>
      <c r="SP1394" s="120"/>
      <c r="SQ1394" s="120"/>
      <c r="SR1394" s="120"/>
      <c r="SS1394" s="120"/>
      <c r="ST1394" s="120"/>
      <c r="SU1394" s="120"/>
      <c r="SV1394" s="120"/>
      <c r="SW1394" s="120"/>
      <c r="SX1394" s="120"/>
      <c r="SY1394" s="120"/>
      <c r="SZ1394" s="120"/>
      <c r="TA1394" s="120"/>
      <c r="TB1394" s="120"/>
      <c r="TC1394" s="120"/>
      <c r="TD1394" s="120"/>
      <c r="TE1394" s="120"/>
      <c r="TF1394" s="120"/>
      <c r="TG1394" s="120"/>
      <c r="TH1394" s="120"/>
      <c r="TI1394" s="120"/>
      <c r="TJ1394" s="120"/>
      <c r="TK1394" s="120"/>
      <c r="TL1394" s="120"/>
      <c r="TM1394" s="120"/>
      <c r="TN1394" s="120"/>
      <c r="TO1394" s="120"/>
      <c r="TP1394" s="120"/>
      <c r="TQ1394" s="120"/>
      <c r="TR1394" s="120"/>
      <c r="TS1394" s="120"/>
      <c r="TT1394" s="120"/>
      <c r="TU1394" s="120"/>
      <c r="TV1394" s="120"/>
      <c r="TW1394" s="120"/>
      <c r="TX1394" s="120"/>
      <c r="TY1394" s="120"/>
      <c r="TZ1394" s="120"/>
      <c r="UA1394" s="120"/>
      <c r="UB1394" s="120"/>
      <c r="UC1394" s="120"/>
      <c r="UD1394" s="120"/>
      <c r="UE1394" s="120"/>
      <c r="UF1394" s="120"/>
      <c r="UG1394" s="120"/>
      <c r="UH1394" s="120"/>
      <c r="UI1394" s="120"/>
      <c r="UJ1394" s="120"/>
      <c r="UK1394" s="120"/>
      <c r="UL1394" s="120"/>
      <c r="UM1394" s="120"/>
      <c r="UN1394" s="120"/>
      <c r="UO1394" s="120"/>
      <c r="UP1394" s="120"/>
      <c r="UQ1394" s="120"/>
      <c r="UR1394" s="120"/>
      <c r="US1394" s="120"/>
      <c r="UT1394" s="120"/>
      <c r="UU1394" s="120"/>
      <c r="UV1394" s="120"/>
      <c r="UW1394" s="120"/>
      <c r="UX1394" s="120"/>
      <c r="UY1394" s="120"/>
      <c r="UZ1394" s="120"/>
      <c r="VA1394" s="120"/>
      <c r="VB1394" s="120"/>
      <c r="VC1394" s="120"/>
      <c r="VD1394" s="120"/>
      <c r="VE1394" s="120"/>
      <c r="VF1394" s="120"/>
      <c r="VG1394" s="120"/>
      <c r="VH1394" s="120"/>
      <c r="VI1394" s="120"/>
      <c r="VJ1394" s="120"/>
      <c r="VK1394" s="120"/>
      <c r="VL1394" s="120"/>
      <c r="VM1394" s="120"/>
      <c r="VN1394" s="120"/>
      <c r="VO1394" s="120"/>
      <c r="VP1394" s="120"/>
      <c r="VQ1394" s="120"/>
      <c r="VR1394" s="120"/>
      <c r="VS1394" s="120"/>
      <c r="VT1394" s="120"/>
      <c r="VU1394" s="120"/>
      <c r="VV1394" s="120"/>
      <c r="VW1394" s="120"/>
      <c r="VX1394" s="120"/>
      <c r="VY1394" s="120"/>
      <c r="VZ1394" s="120"/>
      <c r="WA1394" s="120"/>
      <c r="WB1394" s="120"/>
      <c r="WC1394" s="120"/>
      <c r="WD1394" s="120"/>
      <c r="WE1394" s="120"/>
      <c r="WF1394" s="120"/>
      <c r="WG1394" s="120"/>
      <c r="WH1394" s="120"/>
      <c r="WI1394" s="120"/>
      <c r="WJ1394" s="120"/>
      <c r="WK1394" s="120"/>
      <c r="WL1394" s="120"/>
      <c r="WM1394" s="120"/>
      <c r="WN1394" s="120"/>
      <c r="WO1394" s="120"/>
      <c r="WP1394" s="120"/>
      <c r="WQ1394" s="120"/>
      <c r="WR1394" s="120"/>
      <c r="WS1394" s="120"/>
      <c r="WT1394" s="120"/>
      <c r="WU1394" s="120"/>
      <c r="WV1394" s="120"/>
      <c r="WW1394" s="120"/>
      <c r="WX1394" s="120"/>
      <c r="WY1394" s="120"/>
      <c r="WZ1394" s="120"/>
      <c r="XA1394" s="120"/>
      <c r="XB1394" s="120"/>
      <c r="XC1394" s="120"/>
      <c r="XD1394" s="120"/>
      <c r="XE1394" s="120"/>
      <c r="XF1394" s="120"/>
      <c r="XG1394" s="120"/>
      <c r="XH1394" s="120"/>
      <c r="XI1394" s="120"/>
      <c r="XJ1394" s="120"/>
      <c r="XK1394" s="120"/>
      <c r="XL1394" s="120"/>
      <c r="XM1394" s="120"/>
      <c r="XN1394" s="120"/>
      <c r="XO1394" s="120"/>
      <c r="XP1394" s="120"/>
      <c r="XQ1394" s="120"/>
      <c r="XR1394" s="120"/>
      <c r="XS1394" s="120"/>
      <c r="XT1394" s="120"/>
      <c r="XU1394" s="120"/>
      <c r="XV1394" s="120"/>
      <c r="XW1394" s="120"/>
      <c r="XX1394" s="120"/>
      <c r="XY1394" s="120"/>
      <c r="XZ1394" s="120"/>
      <c r="YA1394" s="120"/>
      <c r="YB1394" s="120"/>
      <c r="YC1394" s="120"/>
      <c r="YD1394" s="120"/>
      <c r="YE1394" s="120"/>
      <c r="YF1394" s="120"/>
      <c r="YG1394" s="120"/>
      <c r="YH1394" s="120"/>
      <c r="YI1394" s="120"/>
      <c r="YJ1394" s="120"/>
      <c r="YK1394" s="120"/>
      <c r="YL1394" s="120"/>
      <c r="YM1394" s="120"/>
      <c r="YN1394" s="120"/>
      <c r="YO1394" s="120"/>
      <c r="YP1394" s="120"/>
      <c r="YQ1394" s="120"/>
      <c r="YR1394" s="120"/>
      <c r="YS1394" s="120"/>
      <c r="YT1394" s="120"/>
      <c r="YU1394" s="120"/>
      <c r="YV1394" s="120"/>
      <c r="YW1394" s="120"/>
      <c r="YX1394" s="120"/>
      <c r="YY1394" s="120"/>
      <c r="YZ1394" s="120"/>
      <c r="ZA1394" s="120"/>
      <c r="ZB1394" s="120"/>
      <c r="ZC1394" s="120"/>
      <c r="ZD1394" s="120"/>
      <c r="ZE1394" s="120"/>
      <c r="ZF1394" s="120"/>
      <c r="ZG1394" s="120"/>
      <c r="ZH1394" s="120"/>
      <c r="ZI1394" s="120"/>
      <c r="ZJ1394" s="120"/>
      <c r="ZK1394" s="120"/>
      <c r="ZL1394" s="120"/>
      <c r="ZM1394" s="120"/>
      <c r="ZN1394" s="120"/>
      <c r="ZO1394" s="120"/>
      <c r="ZP1394" s="120"/>
      <c r="ZQ1394" s="120"/>
      <c r="ZR1394" s="120"/>
      <c r="ZS1394" s="120"/>
      <c r="ZT1394" s="120"/>
      <c r="ZU1394" s="120"/>
      <c r="ZV1394" s="120"/>
      <c r="ZW1394" s="120"/>
      <c r="ZX1394" s="120"/>
      <c r="ZY1394" s="120"/>
      <c r="ZZ1394" s="120"/>
      <c r="AAA1394" s="120"/>
      <c r="AAB1394" s="120"/>
      <c r="AAC1394" s="120"/>
      <c r="AAD1394" s="120"/>
      <c r="AAE1394" s="120"/>
      <c r="AAF1394" s="120"/>
      <c r="AAG1394" s="120"/>
      <c r="AAH1394" s="120"/>
      <c r="AAI1394" s="120"/>
      <c r="AAJ1394" s="120"/>
      <c r="AAK1394" s="120"/>
      <c r="AAL1394" s="120"/>
      <c r="AAM1394" s="120"/>
      <c r="AAN1394" s="120"/>
      <c r="AAO1394" s="120"/>
      <c r="AAP1394" s="120"/>
      <c r="AAQ1394" s="120"/>
      <c r="AAR1394" s="120"/>
      <c r="AAS1394" s="120"/>
      <c r="AAT1394" s="120"/>
      <c r="AAU1394" s="120"/>
      <c r="AAV1394" s="120"/>
      <c r="AAW1394" s="120"/>
      <c r="AAX1394" s="120"/>
      <c r="AAY1394" s="120"/>
      <c r="AAZ1394" s="120"/>
      <c r="ABA1394" s="120"/>
      <c r="ABB1394" s="120"/>
      <c r="ABC1394" s="120"/>
      <c r="ABD1394" s="120"/>
      <c r="ABE1394" s="120"/>
      <c r="ABF1394" s="120"/>
      <c r="ABG1394" s="120"/>
      <c r="ABH1394" s="120"/>
      <c r="ABI1394" s="120"/>
      <c r="ABJ1394" s="120"/>
      <c r="ABK1394" s="120"/>
      <c r="ABL1394" s="120"/>
      <c r="ABM1394" s="120"/>
      <c r="ABN1394" s="120"/>
      <c r="ABO1394" s="120"/>
      <c r="ABP1394" s="120"/>
      <c r="ABQ1394" s="120"/>
      <c r="ABR1394" s="120"/>
      <c r="ABS1394" s="120"/>
      <c r="ABT1394" s="120"/>
      <c r="ABU1394" s="120"/>
      <c r="ABV1394" s="120"/>
      <c r="ABW1394" s="120"/>
      <c r="ABX1394" s="120"/>
      <c r="ABY1394" s="120"/>
      <c r="ABZ1394" s="120"/>
      <c r="ACA1394" s="120"/>
      <c r="ACB1394" s="120"/>
      <c r="ACC1394" s="120"/>
      <c r="ACD1394" s="120"/>
      <c r="ACE1394" s="120"/>
      <c r="ACF1394" s="120"/>
      <c r="ACG1394" s="120"/>
      <c r="ACH1394" s="120"/>
      <c r="ACI1394" s="120"/>
      <c r="ACJ1394" s="120"/>
      <c r="ACK1394" s="120"/>
      <c r="ACL1394" s="120"/>
      <c r="ACM1394" s="120"/>
      <c r="ACN1394" s="120"/>
      <c r="ACO1394" s="120"/>
      <c r="ACP1394" s="120"/>
      <c r="ACQ1394" s="120"/>
      <c r="ACR1394" s="120"/>
      <c r="ACS1394" s="120"/>
      <c r="ACT1394" s="120"/>
      <c r="ACU1394" s="120"/>
      <c r="ACV1394" s="120"/>
      <c r="ACW1394" s="120"/>
      <c r="ACX1394" s="120"/>
      <c r="ACY1394" s="120"/>
      <c r="ACZ1394" s="120"/>
      <c r="ADA1394" s="120"/>
      <c r="ADB1394" s="120"/>
      <c r="ADC1394" s="120"/>
      <c r="ADD1394" s="120"/>
      <c r="ADE1394" s="120"/>
      <c r="ADF1394" s="120"/>
      <c r="ADG1394" s="120"/>
      <c r="ADH1394" s="120"/>
      <c r="ADI1394" s="120"/>
      <c r="ADJ1394" s="120"/>
      <c r="ADK1394" s="120"/>
      <c r="ADL1394" s="120"/>
      <c r="ADM1394" s="120"/>
      <c r="ADN1394" s="120"/>
      <c r="ADO1394" s="120"/>
      <c r="ADP1394" s="120"/>
      <c r="ADQ1394" s="120"/>
      <c r="ADR1394" s="120"/>
      <c r="ADS1394" s="120"/>
      <c r="ADT1394" s="120"/>
      <c r="ADU1394" s="120"/>
      <c r="ADV1394" s="120"/>
      <c r="ADW1394" s="120"/>
      <c r="ADX1394" s="120"/>
      <c r="ADY1394" s="120"/>
      <c r="ADZ1394" s="120"/>
      <c r="AEA1394" s="120"/>
      <c r="AEB1394" s="120"/>
      <c r="AEC1394" s="120"/>
      <c r="AED1394" s="120"/>
      <c r="AEE1394" s="120"/>
      <c r="AEF1394" s="120"/>
      <c r="AEG1394" s="120"/>
      <c r="AEH1394" s="120"/>
      <c r="AEI1394" s="120"/>
      <c r="AEJ1394" s="120"/>
      <c r="AEK1394" s="120"/>
      <c r="AEL1394" s="120"/>
      <c r="AEM1394" s="120"/>
      <c r="AEN1394" s="120"/>
      <c r="AEO1394" s="120"/>
      <c r="AEP1394" s="120"/>
      <c r="AEQ1394" s="120"/>
      <c r="AER1394" s="120"/>
      <c r="AES1394" s="120"/>
      <c r="AET1394" s="120"/>
      <c r="AEU1394" s="120"/>
      <c r="AEV1394" s="120"/>
      <c r="AEW1394" s="120"/>
      <c r="AEX1394" s="120"/>
      <c r="AEY1394" s="120"/>
      <c r="AEZ1394" s="120"/>
      <c r="AFA1394" s="120"/>
      <c r="AFB1394" s="120"/>
      <c r="AFC1394" s="120"/>
      <c r="AFD1394" s="120"/>
      <c r="AFE1394" s="120"/>
      <c r="AFF1394" s="120"/>
      <c r="AFG1394" s="120"/>
      <c r="AFH1394" s="120"/>
      <c r="AFI1394" s="120"/>
      <c r="AFJ1394" s="120"/>
      <c r="AFK1394" s="120"/>
      <c r="AFL1394" s="120"/>
      <c r="AFM1394" s="120"/>
      <c r="AFN1394" s="120"/>
      <c r="AFO1394" s="120"/>
      <c r="AFP1394" s="120"/>
      <c r="AFQ1394" s="120"/>
      <c r="AFR1394" s="120"/>
      <c r="AFS1394" s="120"/>
      <c r="AFT1394" s="120"/>
      <c r="AFU1394" s="120"/>
      <c r="AFV1394" s="120"/>
      <c r="AFW1394" s="120"/>
      <c r="AFX1394" s="120"/>
      <c r="AFY1394" s="120"/>
      <c r="AFZ1394" s="120"/>
      <c r="AGA1394" s="120"/>
      <c r="AGB1394" s="120"/>
      <c r="AGC1394" s="120"/>
      <c r="AGD1394" s="120"/>
      <c r="AGE1394" s="120"/>
      <c r="AGF1394" s="120"/>
      <c r="AGG1394" s="120"/>
      <c r="AGH1394" s="120"/>
      <c r="AGI1394" s="120"/>
      <c r="AGJ1394" s="120"/>
      <c r="AGK1394" s="120"/>
      <c r="AGL1394" s="120"/>
      <c r="AGM1394" s="120"/>
      <c r="AGN1394" s="120"/>
      <c r="AGO1394" s="120"/>
      <c r="AGP1394" s="120"/>
      <c r="AGQ1394" s="120"/>
      <c r="AGR1394" s="120"/>
      <c r="AGS1394" s="120"/>
      <c r="AGT1394" s="120"/>
      <c r="AGU1394" s="120"/>
      <c r="AGV1394" s="120"/>
      <c r="AGW1394" s="120"/>
      <c r="AGX1394" s="120"/>
      <c r="AGY1394" s="120"/>
      <c r="AGZ1394" s="120"/>
      <c r="AHA1394" s="120"/>
      <c r="AHB1394" s="120"/>
      <c r="AHC1394" s="120"/>
      <c r="AHD1394" s="120"/>
      <c r="AHE1394" s="120"/>
      <c r="AHF1394" s="120"/>
      <c r="AHG1394" s="120"/>
      <c r="AHH1394" s="120"/>
      <c r="AHI1394" s="120"/>
      <c r="AHJ1394" s="120"/>
      <c r="AHK1394" s="120"/>
      <c r="AHL1394" s="120"/>
      <c r="AHM1394" s="120"/>
      <c r="AHN1394" s="120"/>
      <c r="AHO1394" s="120"/>
      <c r="AHP1394" s="120"/>
      <c r="AHQ1394" s="120"/>
      <c r="AHR1394" s="120"/>
      <c r="AHS1394" s="120"/>
      <c r="AHT1394" s="120"/>
      <c r="AHU1394" s="120"/>
      <c r="AHV1394" s="120"/>
      <c r="AHW1394" s="120"/>
      <c r="AHX1394" s="120"/>
      <c r="AHY1394" s="120"/>
      <c r="AHZ1394" s="120"/>
      <c r="AIA1394" s="120"/>
      <c r="AIB1394" s="120"/>
      <c r="AIC1394" s="120"/>
      <c r="AID1394" s="120"/>
      <c r="AIE1394" s="120"/>
      <c r="AIF1394" s="120"/>
      <c r="AIG1394" s="120"/>
      <c r="AIH1394" s="120"/>
      <c r="AII1394" s="120"/>
      <c r="AIJ1394" s="120"/>
      <c r="AIK1394" s="120"/>
      <c r="AIL1394" s="120"/>
      <c r="AIM1394" s="120"/>
      <c r="AIN1394" s="120"/>
      <c r="AIO1394" s="120"/>
      <c r="AIP1394" s="120"/>
      <c r="AIQ1394" s="120"/>
      <c r="AIR1394" s="120"/>
      <c r="AIS1394" s="120"/>
      <c r="AIT1394" s="120"/>
      <c r="AIU1394" s="120"/>
      <c r="AIV1394" s="120"/>
      <c r="AIW1394" s="120"/>
      <c r="AIX1394" s="120"/>
      <c r="AIY1394" s="120"/>
      <c r="AIZ1394" s="120"/>
      <c r="AJA1394" s="120"/>
      <c r="AJB1394" s="120"/>
      <c r="AJC1394" s="120"/>
      <c r="AJD1394" s="120"/>
      <c r="AJE1394" s="120"/>
      <c r="AJF1394" s="120"/>
      <c r="AJG1394" s="120"/>
      <c r="AJH1394" s="120"/>
      <c r="AJI1394" s="120"/>
      <c r="AJJ1394" s="120"/>
      <c r="AJK1394" s="120"/>
      <c r="AJL1394" s="120"/>
      <c r="AJM1394" s="120"/>
      <c r="AJN1394" s="120"/>
      <c r="AJO1394" s="120"/>
      <c r="AJP1394" s="120"/>
      <c r="AJQ1394" s="120"/>
      <c r="AJR1394" s="120"/>
      <c r="AJS1394" s="120"/>
      <c r="AJT1394" s="120"/>
      <c r="AJU1394" s="120"/>
      <c r="AJV1394" s="120"/>
      <c r="AJW1394" s="120"/>
      <c r="AJX1394" s="120"/>
      <c r="AJY1394" s="120"/>
      <c r="AJZ1394" s="120"/>
      <c r="AKA1394" s="120"/>
      <c r="AKB1394" s="120"/>
      <c r="AKC1394" s="120"/>
      <c r="AKD1394" s="120"/>
      <c r="AKE1394" s="120"/>
      <c r="AKF1394" s="120"/>
      <c r="AKG1394" s="120"/>
      <c r="AKH1394" s="120"/>
      <c r="AKI1394" s="120"/>
      <c r="AKJ1394" s="120"/>
      <c r="AKK1394" s="120"/>
      <c r="AKL1394" s="120"/>
      <c r="AKM1394" s="120"/>
      <c r="AKN1394" s="120"/>
      <c r="AKO1394" s="120"/>
      <c r="AKP1394" s="120"/>
      <c r="AKQ1394" s="120"/>
      <c r="AKR1394" s="120"/>
      <c r="AKS1394" s="120"/>
      <c r="AKT1394" s="120"/>
      <c r="AKU1394" s="120"/>
      <c r="AKV1394" s="120"/>
      <c r="AKW1394" s="120"/>
      <c r="AKX1394" s="120"/>
      <c r="AKY1394" s="120"/>
      <c r="AKZ1394" s="120"/>
      <c r="ALA1394" s="120"/>
      <c r="ALB1394" s="120"/>
      <c r="ALC1394" s="120"/>
      <c r="ALD1394" s="120"/>
      <c r="ALE1394" s="120"/>
      <c r="ALF1394" s="120"/>
      <c r="ALG1394" s="120"/>
      <c r="ALH1394" s="120"/>
      <c r="ALI1394" s="120"/>
      <c r="ALJ1394" s="120"/>
      <c r="ALK1394" s="120"/>
      <c r="ALL1394" s="120"/>
      <c r="ALM1394" s="120"/>
      <c r="ALN1394" s="120"/>
      <c r="ALO1394" s="120"/>
      <c r="ALP1394" s="120"/>
      <c r="ALQ1394" s="120"/>
      <c r="ALR1394" s="120"/>
      <c r="ALS1394" s="120"/>
      <c r="ALT1394" s="120"/>
      <c r="ALU1394" s="120"/>
      <c r="ALV1394" s="120"/>
      <c r="ALW1394" s="120"/>
      <c r="ALX1394" s="120"/>
      <c r="ALY1394" s="120"/>
      <c r="ALZ1394" s="120"/>
      <c r="AMA1394" s="120"/>
      <c r="AMB1394" s="120"/>
      <c r="AMC1394" s="120"/>
      <c r="AMD1394" s="120"/>
      <c r="AME1394" s="120"/>
      <c r="AMF1394" s="120"/>
      <c r="AMG1394" s="120"/>
      <c r="AMH1394" s="120"/>
      <c r="AMI1394" s="120"/>
      <c r="AMJ1394" s="120"/>
      <c r="AMK1394" s="120"/>
      <c r="AML1394" s="120"/>
      <c r="AMM1394" s="120"/>
      <c r="AMN1394" s="120"/>
      <c r="AMO1394" s="120"/>
      <c r="AMP1394" s="120"/>
      <c r="AMQ1394" s="120"/>
      <c r="AMR1394" s="120"/>
      <c r="AMS1394" s="120"/>
      <c r="AMT1394" s="120"/>
      <c r="AMU1394" s="120"/>
      <c r="AMV1394" s="120"/>
      <c r="AMW1394" s="120"/>
      <c r="AMX1394" s="120"/>
      <c r="AMY1394" s="120"/>
      <c r="AMZ1394" s="120"/>
      <c r="ANA1394" s="120"/>
      <c r="ANB1394" s="120"/>
      <c r="ANC1394" s="120"/>
      <c r="AND1394" s="120"/>
      <c r="ANE1394" s="120"/>
      <c r="ANF1394" s="120"/>
      <c r="ANG1394" s="120"/>
      <c r="ANH1394" s="120"/>
      <c r="ANI1394" s="120"/>
      <c r="ANJ1394" s="120"/>
      <c r="ANK1394" s="120"/>
      <c r="ANL1394" s="120"/>
      <c r="ANM1394" s="120"/>
      <c r="ANN1394" s="120"/>
      <c r="ANO1394" s="120"/>
      <c r="ANP1394" s="120"/>
      <c r="ANQ1394" s="120"/>
      <c r="ANR1394" s="120"/>
      <c r="ANS1394" s="120"/>
      <c r="ANT1394" s="120"/>
      <c r="ANU1394" s="120"/>
      <c r="ANV1394" s="120"/>
      <c r="ANW1394" s="120"/>
      <c r="ANX1394" s="120"/>
      <c r="ANY1394" s="120"/>
      <c r="ANZ1394" s="120"/>
      <c r="AOA1394" s="120"/>
      <c r="AOB1394" s="120"/>
      <c r="AOC1394" s="120"/>
      <c r="AOD1394" s="120"/>
      <c r="AOE1394" s="120"/>
      <c r="AOF1394" s="120"/>
      <c r="AOG1394" s="120"/>
      <c r="AOH1394" s="120"/>
      <c r="AOI1394" s="120"/>
      <c r="AOJ1394" s="120"/>
      <c r="AOK1394" s="120"/>
      <c r="AOL1394" s="120"/>
      <c r="AOM1394" s="120"/>
      <c r="AON1394" s="120"/>
      <c r="AOO1394" s="120"/>
      <c r="AOP1394" s="120"/>
      <c r="AOQ1394" s="120"/>
      <c r="AOR1394" s="120"/>
      <c r="AOS1394" s="120"/>
      <c r="AOT1394" s="120"/>
      <c r="AOU1394" s="120"/>
      <c r="AOV1394" s="120"/>
      <c r="AOW1394" s="120"/>
      <c r="AOX1394" s="120"/>
      <c r="AOY1394" s="120"/>
      <c r="AOZ1394" s="120"/>
      <c r="APA1394" s="120"/>
      <c r="APB1394" s="120"/>
      <c r="APC1394" s="120"/>
      <c r="APD1394" s="120"/>
      <c r="APE1394" s="120"/>
      <c r="APF1394" s="120"/>
      <c r="APG1394" s="120"/>
      <c r="APH1394" s="120"/>
      <c r="API1394" s="120"/>
      <c r="APJ1394" s="120"/>
      <c r="APK1394" s="120"/>
      <c r="APL1394" s="120"/>
      <c r="APM1394" s="120"/>
      <c r="APN1394" s="120"/>
      <c r="APO1394" s="120"/>
      <c r="APP1394" s="120"/>
      <c r="APQ1394" s="120"/>
      <c r="APR1394" s="120"/>
      <c r="APS1394" s="120"/>
      <c r="APT1394" s="120"/>
      <c r="APU1394" s="120"/>
      <c r="APV1394" s="120"/>
      <c r="APW1394" s="120"/>
      <c r="APX1394" s="120"/>
      <c r="APY1394" s="120"/>
      <c r="APZ1394" s="120"/>
      <c r="AQA1394" s="120"/>
      <c r="AQB1394" s="120"/>
      <c r="AQC1394" s="120"/>
      <c r="AQD1394" s="120"/>
      <c r="AQE1394" s="120"/>
      <c r="AQF1394" s="120"/>
      <c r="AQG1394" s="120"/>
      <c r="AQH1394" s="120"/>
      <c r="AQI1394" s="120"/>
      <c r="AQJ1394" s="120"/>
      <c r="AQK1394" s="120"/>
      <c r="AQL1394" s="120"/>
      <c r="AQM1394" s="120"/>
      <c r="AQN1394" s="120"/>
      <c r="AQO1394" s="120"/>
      <c r="AQP1394" s="120"/>
      <c r="AQQ1394" s="120"/>
      <c r="AQR1394" s="120"/>
      <c r="AQS1394" s="120"/>
      <c r="AQT1394" s="120"/>
      <c r="AQU1394" s="120"/>
      <c r="AQV1394" s="120"/>
      <c r="AQW1394" s="120"/>
      <c r="AQX1394" s="120"/>
      <c r="AQY1394" s="120"/>
      <c r="AQZ1394" s="120"/>
      <c r="ARA1394" s="120"/>
      <c r="ARB1394" s="120"/>
      <c r="ARC1394" s="120"/>
      <c r="ARD1394" s="120"/>
      <c r="ARE1394" s="120"/>
      <c r="ARF1394" s="120"/>
      <c r="ARG1394" s="120"/>
      <c r="ARH1394" s="120"/>
      <c r="ARI1394" s="120"/>
      <c r="ARJ1394" s="120"/>
      <c r="ARK1394" s="120"/>
      <c r="ARL1394" s="120"/>
      <c r="ARM1394" s="120"/>
      <c r="ARN1394" s="120"/>
      <c r="ARO1394" s="120"/>
      <c r="ARP1394" s="120"/>
      <c r="ARQ1394" s="120"/>
      <c r="ARR1394" s="120"/>
      <c r="ARS1394" s="120"/>
      <c r="ART1394" s="120"/>
      <c r="ARU1394" s="120"/>
      <c r="ARV1394" s="120"/>
      <c r="ARW1394" s="120"/>
      <c r="ARX1394" s="120"/>
      <c r="ARY1394" s="120"/>
      <c r="ARZ1394" s="120"/>
      <c r="ASA1394" s="120"/>
      <c r="ASB1394" s="120"/>
      <c r="ASC1394" s="120"/>
      <c r="ASD1394" s="120"/>
      <c r="ASE1394" s="120"/>
      <c r="ASF1394" s="120"/>
      <c r="ASG1394" s="120"/>
      <c r="ASH1394" s="120"/>
      <c r="ASI1394" s="120"/>
      <c r="ASJ1394" s="120"/>
      <c r="ASK1394" s="120"/>
      <c r="ASL1394" s="120"/>
      <c r="ASM1394" s="120"/>
      <c r="ASN1394" s="120"/>
      <c r="ASO1394" s="120"/>
      <c r="ASP1394" s="120"/>
      <c r="ASQ1394" s="120"/>
      <c r="ASR1394" s="120"/>
      <c r="ASS1394" s="120"/>
      <c r="AST1394" s="120"/>
      <c r="ASU1394" s="120"/>
      <c r="ASV1394" s="120"/>
      <c r="ASW1394" s="120"/>
      <c r="ASX1394" s="120"/>
      <c r="ASY1394" s="120"/>
      <c r="ASZ1394" s="120"/>
      <c r="ATA1394" s="120"/>
      <c r="ATB1394" s="120"/>
      <c r="ATC1394" s="120"/>
      <c r="ATD1394" s="120"/>
      <c r="ATE1394" s="120"/>
      <c r="ATF1394" s="120"/>
      <c r="ATG1394" s="120"/>
      <c r="ATH1394" s="120"/>
      <c r="ATI1394" s="120"/>
      <c r="ATJ1394" s="120"/>
      <c r="ATK1394" s="120"/>
      <c r="ATL1394" s="120"/>
      <c r="ATM1394" s="120"/>
      <c r="ATN1394" s="120"/>
      <c r="ATO1394" s="120"/>
    </row>
    <row r="1395" spans="1:1211" s="20" customFormat="1" ht="14.1" customHeight="1">
      <c r="A1395" s="112"/>
      <c r="B1395" s="945" t="s">
        <v>3784</v>
      </c>
      <c r="C1395" s="184" t="s">
        <v>6153</v>
      </c>
      <c r="D1395" s="120"/>
      <c r="E1395" s="701"/>
      <c r="F1395" s="703"/>
      <c r="G1395" s="702"/>
      <c r="H1395" s="702"/>
      <c r="I1395" s="702"/>
      <c r="J1395" s="700"/>
      <c r="K1395" s="112"/>
      <c r="L1395" s="363"/>
      <c r="M1395" s="112"/>
      <c r="N1395" s="362"/>
      <c r="O1395" s="573"/>
      <c r="P1395" s="120"/>
      <c r="Q1395" s="120"/>
      <c r="R1395" s="120"/>
      <c r="S1395" s="120"/>
      <c r="T1395" s="120"/>
      <c r="U1395" s="120"/>
      <c r="V1395" s="120"/>
      <c r="W1395" s="120"/>
      <c r="X1395" s="120"/>
      <c r="Y1395" s="120"/>
      <c r="Z1395" s="120"/>
      <c r="AA1395" s="120"/>
      <c r="AB1395" s="120"/>
      <c r="AC1395" s="120"/>
      <c r="AD1395" s="120"/>
      <c r="AE1395" s="120"/>
      <c r="AF1395" s="120"/>
      <c r="AG1395" s="120"/>
      <c r="AH1395" s="120"/>
      <c r="AI1395" s="120"/>
      <c r="AJ1395" s="120"/>
      <c r="AK1395" s="120"/>
      <c r="AL1395" s="120"/>
      <c r="AM1395" s="120"/>
      <c r="AN1395" s="120"/>
      <c r="AO1395" s="120"/>
      <c r="AP1395" s="120"/>
      <c r="AQ1395" s="120"/>
      <c r="AR1395" s="120"/>
      <c r="AS1395" s="120"/>
      <c r="AT1395" s="120"/>
      <c r="AU1395" s="120"/>
      <c r="AV1395" s="120"/>
      <c r="AW1395" s="120"/>
      <c r="AX1395" s="120"/>
      <c r="AY1395" s="120"/>
      <c r="AZ1395" s="120"/>
      <c r="BA1395" s="120"/>
      <c r="BB1395" s="120"/>
      <c r="BC1395" s="120"/>
      <c r="BD1395" s="120"/>
      <c r="BE1395" s="120"/>
      <c r="BF1395" s="120"/>
      <c r="BG1395" s="120"/>
      <c r="BH1395" s="120"/>
      <c r="BI1395" s="120"/>
      <c r="BJ1395" s="120"/>
      <c r="BK1395" s="120"/>
      <c r="BL1395" s="120"/>
      <c r="BM1395" s="120"/>
      <c r="BN1395" s="120"/>
      <c r="BO1395" s="120"/>
      <c r="BP1395" s="120"/>
      <c r="BQ1395" s="120"/>
      <c r="BR1395" s="120"/>
      <c r="BS1395" s="120"/>
      <c r="BT1395" s="120"/>
      <c r="BU1395" s="120"/>
      <c r="BV1395" s="120"/>
      <c r="BW1395" s="120"/>
      <c r="BX1395" s="120"/>
      <c r="BY1395" s="120"/>
      <c r="BZ1395" s="120"/>
      <c r="CA1395" s="120"/>
      <c r="CB1395" s="120"/>
      <c r="CC1395" s="120"/>
      <c r="CD1395" s="120"/>
      <c r="CE1395" s="120"/>
      <c r="CF1395" s="120"/>
      <c r="CG1395" s="120"/>
      <c r="CH1395" s="120"/>
      <c r="CI1395" s="120"/>
      <c r="CJ1395" s="120"/>
      <c r="CK1395" s="120"/>
      <c r="CL1395" s="120"/>
      <c r="CM1395" s="120"/>
      <c r="CN1395" s="120"/>
      <c r="CO1395" s="120"/>
      <c r="CP1395" s="120"/>
      <c r="CQ1395" s="120"/>
      <c r="CR1395" s="120"/>
      <c r="CS1395" s="120"/>
      <c r="CT1395" s="120"/>
      <c r="CU1395" s="120"/>
      <c r="CV1395" s="120"/>
      <c r="CW1395" s="120"/>
      <c r="CX1395" s="120"/>
      <c r="CY1395" s="120"/>
      <c r="CZ1395" s="120"/>
      <c r="DA1395" s="120"/>
      <c r="DB1395" s="120"/>
      <c r="DC1395" s="120"/>
      <c r="DD1395" s="120"/>
      <c r="DE1395" s="120"/>
      <c r="DF1395" s="120"/>
      <c r="DG1395" s="120"/>
      <c r="DH1395" s="120"/>
      <c r="DI1395" s="120"/>
      <c r="DJ1395" s="120"/>
      <c r="DK1395" s="120"/>
      <c r="DL1395" s="120"/>
      <c r="DM1395" s="120"/>
      <c r="DN1395" s="120"/>
      <c r="DO1395" s="120"/>
      <c r="DP1395" s="120"/>
      <c r="DQ1395" s="120"/>
      <c r="DR1395" s="120"/>
      <c r="DS1395" s="120"/>
      <c r="DT1395" s="120"/>
      <c r="DU1395" s="120"/>
      <c r="DV1395" s="120"/>
      <c r="DW1395" s="120"/>
      <c r="DX1395" s="120"/>
      <c r="DY1395" s="120"/>
      <c r="DZ1395" s="120"/>
      <c r="EA1395" s="120"/>
      <c r="EB1395" s="120"/>
      <c r="EC1395" s="120"/>
      <c r="ED1395" s="120"/>
      <c r="EE1395" s="120"/>
      <c r="EF1395" s="120"/>
      <c r="EG1395" s="120"/>
      <c r="EH1395" s="120"/>
      <c r="EI1395" s="120"/>
      <c r="EJ1395" s="120"/>
      <c r="EK1395" s="120"/>
      <c r="EL1395" s="120"/>
      <c r="EM1395" s="120"/>
      <c r="EN1395" s="120"/>
      <c r="EO1395" s="120"/>
      <c r="EP1395" s="120"/>
      <c r="EQ1395" s="120"/>
      <c r="ER1395" s="120"/>
      <c r="ES1395" s="120"/>
      <c r="ET1395" s="120"/>
      <c r="EU1395" s="120"/>
      <c r="EV1395" s="120"/>
      <c r="EW1395" s="120"/>
      <c r="EX1395" s="120"/>
      <c r="EY1395" s="120"/>
      <c r="EZ1395" s="120"/>
      <c r="FA1395" s="120"/>
      <c r="FB1395" s="120"/>
      <c r="FC1395" s="120"/>
      <c r="FD1395" s="120"/>
      <c r="FE1395" s="120"/>
      <c r="FF1395" s="120"/>
      <c r="FG1395" s="120"/>
      <c r="FH1395" s="120"/>
      <c r="FI1395" s="120"/>
      <c r="FJ1395" s="120"/>
      <c r="FK1395" s="120"/>
      <c r="FL1395" s="120"/>
      <c r="FM1395" s="120"/>
      <c r="FN1395" s="120"/>
      <c r="FO1395" s="120"/>
      <c r="FP1395" s="120"/>
      <c r="FQ1395" s="120"/>
      <c r="FR1395" s="120"/>
      <c r="FS1395" s="120"/>
      <c r="FT1395" s="120"/>
      <c r="FU1395" s="120"/>
      <c r="FV1395" s="120"/>
      <c r="FW1395" s="120"/>
      <c r="FX1395" s="120"/>
      <c r="FY1395" s="120"/>
      <c r="FZ1395" s="120"/>
      <c r="GA1395" s="120"/>
      <c r="GB1395" s="120"/>
      <c r="GC1395" s="120"/>
      <c r="GD1395" s="120"/>
      <c r="GE1395" s="120"/>
      <c r="GF1395" s="120"/>
      <c r="GG1395" s="120"/>
      <c r="GH1395" s="120"/>
      <c r="GI1395" s="120"/>
      <c r="GJ1395" s="120"/>
      <c r="GK1395" s="120"/>
      <c r="GL1395" s="120"/>
      <c r="GM1395" s="120"/>
      <c r="GN1395" s="120"/>
      <c r="GO1395" s="120"/>
      <c r="GP1395" s="120"/>
      <c r="GQ1395" s="120"/>
      <c r="GR1395" s="120"/>
      <c r="GS1395" s="120"/>
      <c r="GT1395" s="120"/>
      <c r="GU1395" s="120"/>
      <c r="GV1395" s="120"/>
      <c r="GW1395" s="120"/>
      <c r="GX1395" s="120"/>
      <c r="GY1395" s="120"/>
      <c r="GZ1395" s="120"/>
      <c r="HA1395" s="120"/>
      <c r="HB1395" s="120"/>
      <c r="HC1395" s="120"/>
      <c r="HD1395" s="120"/>
      <c r="HE1395" s="120"/>
      <c r="HF1395" s="120"/>
      <c r="HG1395" s="120"/>
      <c r="HH1395" s="120"/>
      <c r="HI1395" s="120"/>
      <c r="HJ1395" s="120"/>
      <c r="HK1395" s="120"/>
      <c r="HL1395" s="120"/>
      <c r="HM1395" s="120"/>
      <c r="HN1395" s="120"/>
      <c r="HO1395" s="120"/>
      <c r="HP1395" s="120"/>
      <c r="HQ1395" s="120"/>
      <c r="HR1395" s="120"/>
      <c r="HS1395" s="120"/>
      <c r="HT1395" s="120"/>
      <c r="HU1395" s="120"/>
      <c r="HV1395" s="120"/>
      <c r="HW1395" s="120"/>
      <c r="HX1395" s="120"/>
      <c r="HY1395" s="120"/>
      <c r="HZ1395" s="120"/>
      <c r="IA1395" s="120"/>
      <c r="IB1395" s="120"/>
      <c r="IC1395" s="120"/>
      <c r="ID1395" s="120"/>
      <c r="IE1395" s="120"/>
      <c r="IF1395" s="120"/>
      <c r="IG1395" s="120"/>
      <c r="IH1395" s="120"/>
      <c r="II1395" s="120"/>
      <c r="IJ1395" s="120"/>
      <c r="IK1395" s="120"/>
      <c r="IL1395" s="120"/>
      <c r="IM1395" s="120"/>
      <c r="IN1395" s="120"/>
      <c r="IO1395" s="120"/>
      <c r="IP1395" s="120"/>
      <c r="IQ1395" s="120"/>
      <c r="IR1395" s="120"/>
      <c r="IS1395" s="120"/>
      <c r="IT1395" s="120"/>
      <c r="IU1395" s="120"/>
      <c r="IV1395" s="120"/>
      <c r="IW1395" s="120"/>
      <c r="IX1395" s="120"/>
      <c r="IY1395" s="120"/>
      <c r="IZ1395" s="120"/>
      <c r="JA1395" s="120"/>
      <c r="JB1395" s="120"/>
      <c r="JC1395" s="120"/>
      <c r="JD1395" s="120"/>
      <c r="JE1395" s="120"/>
      <c r="JF1395" s="120"/>
      <c r="JG1395" s="120"/>
      <c r="JH1395" s="120"/>
      <c r="JI1395" s="120"/>
      <c r="JJ1395" s="120"/>
      <c r="JK1395" s="120"/>
      <c r="JL1395" s="120"/>
      <c r="JM1395" s="120"/>
      <c r="JN1395" s="120"/>
      <c r="JO1395" s="120"/>
      <c r="JP1395" s="120"/>
      <c r="JQ1395" s="120"/>
      <c r="JR1395" s="120"/>
      <c r="JS1395" s="120"/>
      <c r="JT1395" s="120"/>
      <c r="JU1395" s="120"/>
      <c r="JV1395" s="120"/>
      <c r="JW1395" s="120"/>
      <c r="JX1395" s="120"/>
      <c r="JY1395" s="120"/>
      <c r="JZ1395" s="120"/>
      <c r="KA1395" s="120"/>
      <c r="KB1395" s="120"/>
      <c r="KC1395" s="120"/>
      <c r="KD1395" s="120"/>
      <c r="KE1395" s="120"/>
      <c r="KF1395" s="120"/>
      <c r="KG1395" s="120"/>
      <c r="KH1395" s="120"/>
      <c r="KI1395" s="120"/>
      <c r="KJ1395" s="120"/>
      <c r="KK1395" s="120"/>
      <c r="KL1395" s="120"/>
      <c r="KM1395" s="120"/>
      <c r="KN1395" s="120"/>
      <c r="KO1395" s="120"/>
      <c r="KP1395" s="120"/>
      <c r="KQ1395" s="120"/>
      <c r="KR1395" s="120"/>
      <c r="KS1395" s="120"/>
      <c r="KT1395" s="120"/>
      <c r="KU1395" s="120"/>
      <c r="KV1395" s="120"/>
      <c r="KW1395" s="120"/>
      <c r="KX1395" s="120"/>
      <c r="KY1395" s="120"/>
      <c r="KZ1395" s="120"/>
      <c r="LA1395" s="120"/>
      <c r="LB1395" s="120"/>
      <c r="LC1395" s="120"/>
      <c r="LD1395" s="120"/>
      <c r="LE1395" s="120"/>
      <c r="LF1395" s="120"/>
      <c r="LG1395" s="120"/>
      <c r="LH1395" s="120"/>
      <c r="LI1395" s="120"/>
      <c r="LJ1395" s="120"/>
      <c r="LK1395" s="120"/>
      <c r="LL1395" s="120"/>
      <c r="LM1395" s="120"/>
      <c r="LN1395" s="120"/>
      <c r="LO1395" s="120"/>
      <c r="LP1395" s="120"/>
      <c r="LQ1395" s="120"/>
      <c r="LR1395" s="120"/>
      <c r="LS1395" s="120"/>
      <c r="LT1395" s="120"/>
      <c r="LU1395" s="120"/>
      <c r="LV1395" s="120"/>
      <c r="LW1395" s="120"/>
      <c r="LX1395" s="120"/>
      <c r="LY1395" s="120"/>
      <c r="LZ1395" s="120"/>
      <c r="MA1395" s="120"/>
      <c r="MB1395" s="120"/>
      <c r="MC1395" s="120"/>
      <c r="MD1395" s="120"/>
      <c r="ME1395" s="120"/>
      <c r="MF1395" s="120"/>
      <c r="MG1395" s="120"/>
      <c r="MH1395" s="120"/>
      <c r="MI1395" s="120"/>
      <c r="MJ1395" s="120"/>
      <c r="MK1395" s="120"/>
      <c r="ML1395" s="120"/>
      <c r="MM1395" s="120"/>
      <c r="MN1395" s="120"/>
      <c r="MO1395" s="120"/>
      <c r="MP1395" s="120"/>
      <c r="MQ1395" s="120"/>
      <c r="MR1395" s="120"/>
      <c r="MS1395" s="120"/>
      <c r="MT1395" s="120"/>
      <c r="MU1395" s="120"/>
      <c r="MV1395" s="120"/>
      <c r="MW1395" s="120"/>
      <c r="MX1395" s="120"/>
      <c r="MY1395" s="120"/>
      <c r="MZ1395" s="120"/>
      <c r="NA1395" s="120"/>
      <c r="NB1395" s="120"/>
      <c r="NC1395" s="120"/>
      <c r="ND1395" s="120"/>
      <c r="NE1395" s="120"/>
      <c r="NF1395" s="120"/>
      <c r="NG1395" s="120"/>
      <c r="NH1395" s="120"/>
      <c r="NI1395" s="120"/>
      <c r="NJ1395" s="120"/>
      <c r="NK1395" s="120"/>
      <c r="NL1395" s="120"/>
      <c r="NM1395" s="120"/>
      <c r="NN1395" s="120"/>
      <c r="NO1395" s="120"/>
      <c r="NP1395" s="120"/>
      <c r="NQ1395" s="120"/>
      <c r="NR1395" s="120"/>
      <c r="NS1395" s="120"/>
      <c r="NT1395" s="120"/>
      <c r="NU1395" s="120"/>
      <c r="NV1395" s="120"/>
      <c r="NW1395" s="120"/>
      <c r="NX1395" s="120"/>
      <c r="NY1395" s="120"/>
      <c r="NZ1395" s="120"/>
      <c r="OA1395" s="120"/>
      <c r="OB1395" s="120"/>
      <c r="OC1395" s="120"/>
      <c r="OD1395" s="120"/>
      <c r="OE1395" s="120"/>
      <c r="OF1395" s="120"/>
      <c r="OG1395" s="120"/>
      <c r="OH1395" s="120"/>
      <c r="OI1395" s="120"/>
      <c r="OJ1395" s="120"/>
      <c r="OK1395" s="120"/>
      <c r="OL1395" s="120"/>
      <c r="OM1395" s="120"/>
      <c r="ON1395" s="120"/>
      <c r="OO1395" s="120"/>
      <c r="OP1395" s="120"/>
      <c r="OQ1395" s="120"/>
      <c r="OR1395" s="120"/>
      <c r="OS1395" s="120"/>
      <c r="OT1395" s="120"/>
      <c r="OU1395" s="120"/>
      <c r="OV1395" s="120"/>
      <c r="OW1395" s="120"/>
      <c r="OX1395" s="120"/>
      <c r="OY1395" s="120"/>
      <c r="OZ1395" s="120"/>
      <c r="PA1395" s="120"/>
      <c r="PB1395" s="120"/>
      <c r="PC1395" s="120"/>
      <c r="PD1395" s="120"/>
      <c r="PE1395" s="120"/>
      <c r="PF1395" s="120"/>
      <c r="PG1395" s="120"/>
      <c r="PH1395" s="120"/>
      <c r="PI1395" s="120"/>
      <c r="PJ1395" s="120"/>
      <c r="PK1395" s="120"/>
      <c r="PL1395" s="120"/>
      <c r="PM1395" s="120"/>
      <c r="PN1395" s="120"/>
      <c r="PO1395" s="120"/>
      <c r="PP1395" s="120"/>
      <c r="PQ1395" s="120"/>
      <c r="PR1395" s="120"/>
      <c r="PS1395" s="120"/>
      <c r="PT1395" s="120"/>
      <c r="PU1395" s="120"/>
      <c r="PV1395" s="120"/>
      <c r="PW1395" s="120"/>
      <c r="PX1395" s="120"/>
      <c r="PY1395" s="120"/>
      <c r="PZ1395" s="120"/>
      <c r="QA1395" s="120"/>
      <c r="QB1395" s="120"/>
      <c r="QC1395" s="120"/>
      <c r="QD1395" s="120"/>
      <c r="QE1395" s="120"/>
      <c r="QF1395" s="120"/>
      <c r="QG1395" s="120"/>
      <c r="QH1395" s="120"/>
      <c r="QI1395" s="120"/>
      <c r="QJ1395" s="120"/>
      <c r="QK1395" s="120"/>
      <c r="QL1395" s="120"/>
      <c r="QM1395" s="120"/>
      <c r="QN1395" s="120"/>
      <c r="QO1395" s="120"/>
      <c r="QP1395" s="120"/>
      <c r="QQ1395" s="120"/>
      <c r="QR1395" s="120"/>
      <c r="QS1395" s="120"/>
      <c r="QT1395" s="120"/>
      <c r="QU1395" s="120"/>
      <c r="QV1395" s="120"/>
      <c r="QW1395" s="120"/>
      <c r="QX1395" s="120"/>
      <c r="QY1395" s="120"/>
      <c r="QZ1395" s="120"/>
      <c r="RA1395" s="120"/>
      <c r="RB1395" s="120"/>
      <c r="RC1395" s="120"/>
      <c r="RD1395" s="120"/>
      <c r="RE1395" s="120"/>
      <c r="RF1395" s="120"/>
      <c r="RG1395" s="120"/>
      <c r="RH1395" s="120"/>
      <c r="RI1395" s="120"/>
      <c r="RJ1395" s="120"/>
      <c r="RK1395" s="120"/>
      <c r="RL1395" s="120"/>
      <c r="RM1395" s="120"/>
      <c r="RN1395" s="120"/>
      <c r="RO1395" s="120"/>
      <c r="RP1395" s="120"/>
      <c r="RQ1395" s="120"/>
      <c r="RR1395" s="120"/>
      <c r="RS1395" s="120"/>
      <c r="RT1395" s="120"/>
      <c r="RU1395" s="120"/>
      <c r="RV1395" s="120"/>
      <c r="RW1395" s="120"/>
      <c r="RX1395" s="120"/>
      <c r="RY1395" s="120"/>
      <c r="RZ1395" s="120"/>
      <c r="SA1395" s="120"/>
      <c r="SB1395" s="120"/>
      <c r="SC1395" s="120"/>
      <c r="SD1395" s="120"/>
      <c r="SE1395" s="120"/>
      <c r="SF1395" s="120"/>
      <c r="SG1395" s="120"/>
      <c r="SH1395" s="120"/>
      <c r="SI1395" s="120"/>
      <c r="SJ1395" s="120"/>
      <c r="SK1395" s="120"/>
      <c r="SL1395" s="120"/>
      <c r="SM1395" s="120"/>
      <c r="SN1395" s="120"/>
      <c r="SO1395" s="120"/>
      <c r="SP1395" s="120"/>
      <c r="SQ1395" s="120"/>
      <c r="SR1395" s="120"/>
      <c r="SS1395" s="120"/>
      <c r="ST1395" s="120"/>
      <c r="SU1395" s="120"/>
      <c r="SV1395" s="120"/>
      <c r="SW1395" s="120"/>
      <c r="SX1395" s="120"/>
      <c r="SY1395" s="120"/>
      <c r="SZ1395" s="120"/>
      <c r="TA1395" s="120"/>
      <c r="TB1395" s="120"/>
      <c r="TC1395" s="120"/>
      <c r="TD1395" s="120"/>
      <c r="TE1395" s="120"/>
      <c r="TF1395" s="120"/>
      <c r="TG1395" s="120"/>
      <c r="TH1395" s="120"/>
      <c r="TI1395" s="120"/>
      <c r="TJ1395" s="120"/>
      <c r="TK1395" s="120"/>
      <c r="TL1395" s="120"/>
      <c r="TM1395" s="120"/>
      <c r="TN1395" s="120"/>
      <c r="TO1395" s="120"/>
      <c r="TP1395" s="120"/>
      <c r="TQ1395" s="120"/>
      <c r="TR1395" s="120"/>
      <c r="TS1395" s="120"/>
      <c r="TT1395" s="120"/>
      <c r="TU1395" s="120"/>
      <c r="TV1395" s="120"/>
      <c r="TW1395" s="120"/>
      <c r="TX1395" s="120"/>
      <c r="TY1395" s="120"/>
      <c r="TZ1395" s="120"/>
      <c r="UA1395" s="120"/>
      <c r="UB1395" s="120"/>
      <c r="UC1395" s="120"/>
      <c r="UD1395" s="120"/>
      <c r="UE1395" s="120"/>
      <c r="UF1395" s="120"/>
      <c r="UG1395" s="120"/>
      <c r="UH1395" s="120"/>
      <c r="UI1395" s="120"/>
      <c r="UJ1395" s="120"/>
      <c r="UK1395" s="120"/>
      <c r="UL1395" s="120"/>
      <c r="UM1395" s="120"/>
      <c r="UN1395" s="120"/>
      <c r="UO1395" s="120"/>
      <c r="UP1395" s="120"/>
      <c r="UQ1395" s="120"/>
      <c r="UR1395" s="120"/>
      <c r="US1395" s="120"/>
      <c r="UT1395" s="120"/>
      <c r="UU1395" s="120"/>
      <c r="UV1395" s="120"/>
      <c r="UW1395" s="120"/>
      <c r="UX1395" s="120"/>
      <c r="UY1395" s="120"/>
      <c r="UZ1395" s="120"/>
      <c r="VA1395" s="120"/>
      <c r="VB1395" s="120"/>
      <c r="VC1395" s="120"/>
      <c r="VD1395" s="120"/>
      <c r="VE1395" s="120"/>
      <c r="VF1395" s="120"/>
      <c r="VG1395" s="120"/>
      <c r="VH1395" s="120"/>
      <c r="VI1395" s="120"/>
      <c r="VJ1395" s="120"/>
      <c r="VK1395" s="120"/>
      <c r="VL1395" s="120"/>
      <c r="VM1395" s="120"/>
      <c r="VN1395" s="120"/>
      <c r="VO1395" s="120"/>
      <c r="VP1395" s="120"/>
      <c r="VQ1395" s="120"/>
      <c r="VR1395" s="120"/>
      <c r="VS1395" s="120"/>
      <c r="VT1395" s="120"/>
      <c r="VU1395" s="120"/>
      <c r="VV1395" s="120"/>
      <c r="VW1395" s="120"/>
      <c r="VX1395" s="120"/>
      <c r="VY1395" s="120"/>
      <c r="VZ1395" s="120"/>
      <c r="WA1395" s="120"/>
      <c r="WB1395" s="120"/>
      <c r="WC1395" s="120"/>
      <c r="WD1395" s="120"/>
      <c r="WE1395" s="120"/>
      <c r="WF1395" s="120"/>
      <c r="WG1395" s="120"/>
      <c r="WH1395" s="120"/>
      <c r="WI1395" s="120"/>
      <c r="WJ1395" s="120"/>
      <c r="WK1395" s="120"/>
      <c r="WL1395" s="120"/>
      <c r="WM1395" s="120"/>
      <c r="WN1395" s="120"/>
      <c r="WO1395" s="120"/>
      <c r="WP1395" s="120"/>
      <c r="WQ1395" s="120"/>
      <c r="WR1395" s="120"/>
      <c r="WS1395" s="120"/>
      <c r="WT1395" s="120"/>
      <c r="WU1395" s="120"/>
      <c r="WV1395" s="120"/>
      <c r="WW1395" s="120"/>
      <c r="WX1395" s="120"/>
      <c r="WY1395" s="120"/>
      <c r="WZ1395" s="120"/>
      <c r="XA1395" s="120"/>
      <c r="XB1395" s="120"/>
      <c r="XC1395" s="120"/>
      <c r="XD1395" s="120"/>
      <c r="XE1395" s="120"/>
      <c r="XF1395" s="120"/>
      <c r="XG1395" s="120"/>
      <c r="XH1395" s="120"/>
      <c r="XI1395" s="120"/>
      <c r="XJ1395" s="120"/>
      <c r="XK1395" s="120"/>
      <c r="XL1395" s="120"/>
      <c r="XM1395" s="120"/>
      <c r="XN1395" s="120"/>
      <c r="XO1395" s="120"/>
      <c r="XP1395" s="120"/>
      <c r="XQ1395" s="120"/>
      <c r="XR1395" s="120"/>
      <c r="XS1395" s="120"/>
      <c r="XT1395" s="120"/>
      <c r="XU1395" s="120"/>
      <c r="XV1395" s="120"/>
      <c r="XW1395" s="120"/>
      <c r="XX1395" s="120"/>
      <c r="XY1395" s="120"/>
      <c r="XZ1395" s="120"/>
      <c r="YA1395" s="120"/>
      <c r="YB1395" s="120"/>
      <c r="YC1395" s="120"/>
      <c r="YD1395" s="120"/>
      <c r="YE1395" s="120"/>
      <c r="YF1395" s="120"/>
      <c r="YG1395" s="120"/>
      <c r="YH1395" s="120"/>
      <c r="YI1395" s="120"/>
      <c r="YJ1395" s="120"/>
      <c r="YK1395" s="120"/>
      <c r="YL1395" s="120"/>
      <c r="YM1395" s="120"/>
      <c r="YN1395" s="120"/>
      <c r="YO1395" s="120"/>
      <c r="YP1395" s="120"/>
      <c r="YQ1395" s="120"/>
      <c r="YR1395" s="120"/>
      <c r="YS1395" s="120"/>
      <c r="YT1395" s="120"/>
      <c r="YU1395" s="120"/>
      <c r="YV1395" s="120"/>
      <c r="YW1395" s="120"/>
      <c r="YX1395" s="120"/>
      <c r="YY1395" s="120"/>
      <c r="YZ1395" s="120"/>
      <c r="ZA1395" s="120"/>
      <c r="ZB1395" s="120"/>
      <c r="ZC1395" s="120"/>
      <c r="ZD1395" s="120"/>
      <c r="ZE1395" s="120"/>
      <c r="ZF1395" s="120"/>
      <c r="ZG1395" s="120"/>
      <c r="ZH1395" s="120"/>
      <c r="ZI1395" s="120"/>
      <c r="ZJ1395" s="120"/>
      <c r="ZK1395" s="120"/>
      <c r="ZL1395" s="120"/>
      <c r="ZM1395" s="120"/>
      <c r="ZN1395" s="120"/>
      <c r="ZO1395" s="120"/>
      <c r="ZP1395" s="120"/>
      <c r="ZQ1395" s="120"/>
      <c r="ZR1395" s="120"/>
      <c r="ZS1395" s="120"/>
      <c r="ZT1395" s="120"/>
      <c r="ZU1395" s="120"/>
      <c r="ZV1395" s="120"/>
      <c r="ZW1395" s="120"/>
      <c r="ZX1395" s="120"/>
      <c r="ZY1395" s="120"/>
      <c r="ZZ1395" s="120"/>
      <c r="AAA1395" s="120"/>
      <c r="AAB1395" s="120"/>
      <c r="AAC1395" s="120"/>
      <c r="AAD1395" s="120"/>
      <c r="AAE1395" s="120"/>
      <c r="AAF1395" s="120"/>
      <c r="AAG1395" s="120"/>
      <c r="AAH1395" s="120"/>
      <c r="AAI1395" s="120"/>
      <c r="AAJ1395" s="120"/>
      <c r="AAK1395" s="120"/>
      <c r="AAL1395" s="120"/>
      <c r="AAM1395" s="120"/>
      <c r="AAN1395" s="120"/>
      <c r="AAO1395" s="120"/>
      <c r="AAP1395" s="120"/>
      <c r="AAQ1395" s="120"/>
      <c r="AAR1395" s="120"/>
      <c r="AAS1395" s="120"/>
      <c r="AAT1395" s="120"/>
      <c r="AAU1395" s="120"/>
      <c r="AAV1395" s="120"/>
      <c r="AAW1395" s="120"/>
      <c r="AAX1395" s="120"/>
      <c r="AAY1395" s="120"/>
      <c r="AAZ1395" s="120"/>
      <c r="ABA1395" s="120"/>
      <c r="ABB1395" s="120"/>
      <c r="ABC1395" s="120"/>
      <c r="ABD1395" s="120"/>
      <c r="ABE1395" s="120"/>
      <c r="ABF1395" s="120"/>
      <c r="ABG1395" s="120"/>
      <c r="ABH1395" s="120"/>
      <c r="ABI1395" s="120"/>
      <c r="ABJ1395" s="120"/>
      <c r="ABK1395" s="120"/>
      <c r="ABL1395" s="120"/>
      <c r="ABM1395" s="120"/>
      <c r="ABN1395" s="120"/>
      <c r="ABO1395" s="120"/>
      <c r="ABP1395" s="120"/>
      <c r="ABQ1395" s="120"/>
      <c r="ABR1395" s="120"/>
      <c r="ABS1395" s="120"/>
      <c r="ABT1395" s="120"/>
      <c r="ABU1395" s="120"/>
      <c r="ABV1395" s="120"/>
      <c r="ABW1395" s="120"/>
      <c r="ABX1395" s="120"/>
      <c r="ABY1395" s="120"/>
      <c r="ABZ1395" s="120"/>
      <c r="ACA1395" s="120"/>
      <c r="ACB1395" s="120"/>
      <c r="ACC1395" s="120"/>
      <c r="ACD1395" s="120"/>
      <c r="ACE1395" s="120"/>
      <c r="ACF1395" s="120"/>
      <c r="ACG1395" s="120"/>
      <c r="ACH1395" s="120"/>
      <c r="ACI1395" s="120"/>
      <c r="ACJ1395" s="120"/>
      <c r="ACK1395" s="120"/>
      <c r="ACL1395" s="120"/>
      <c r="ACM1395" s="120"/>
      <c r="ACN1395" s="120"/>
      <c r="ACO1395" s="120"/>
      <c r="ACP1395" s="120"/>
      <c r="ACQ1395" s="120"/>
      <c r="ACR1395" s="120"/>
      <c r="ACS1395" s="120"/>
      <c r="ACT1395" s="120"/>
      <c r="ACU1395" s="120"/>
      <c r="ACV1395" s="120"/>
      <c r="ACW1395" s="120"/>
      <c r="ACX1395" s="120"/>
      <c r="ACY1395" s="120"/>
      <c r="ACZ1395" s="120"/>
      <c r="ADA1395" s="120"/>
      <c r="ADB1395" s="120"/>
      <c r="ADC1395" s="120"/>
      <c r="ADD1395" s="120"/>
      <c r="ADE1395" s="120"/>
      <c r="ADF1395" s="120"/>
      <c r="ADG1395" s="120"/>
      <c r="ADH1395" s="120"/>
      <c r="ADI1395" s="120"/>
      <c r="ADJ1395" s="120"/>
      <c r="ADK1395" s="120"/>
      <c r="ADL1395" s="120"/>
      <c r="ADM1395" s="120"/>
      <c r="ADN1395" s="120"/>
      <c r="ADO1395" s="120"/>
      <c r="ADP1395" s="120"/>
      <c r="ADQ1395" s="120"/>
      <c r="ADR1395" s="120"/>
      <c r="ADS1395" s="120"/>
      <c r="ADT1395" s="120"/>
      <c r="ADU1395" s="120"/>
      <c r="ADV1395" s="120"/>
      <c r="ADW1395" s="120"/>
      <c r="ADX1395" s="120"/>
      <c r="ADY1395" s="120"/>
      <c r="ADZ1395" s="120"/>
      <c r="AEA1395" s="120"/>
      <c r="AEB1395" s="120"/>
      <c r="AEC1395" s="120"/>
      <c r="AED1395" s="120"/>
      <c r="AEE1395" s="120"/>
      <c r="AEF1395" s="120"/>
      <c r="AEG1395" s="120"/>
      <c r="AEH1395" s="120"/>
      <c r="AEI1395" s="120"/>
      <c r="AEJ1395" s="120"/>
      <c r="AEK1395" s="120"/>
      <c r="AEL1395" s="120"/>
      <c r="AEM1395" s="120"/>
      <c r="AEN1395" s="120"/>
      <c r="AEO1395" s="120"/>
      <c r="AEP1395" s="120"/>
      <c r="AEQ1395" s="120"/>
      <c r="AER1395" s="120"/>
      <c r="AES1395" s="120"/>
      <c r="AET1395" s="120"/>
      <c r="AEU1395" s="120"/>
      <c r="AEV1395" s="120"/>
      <c r="AEW1395" s="120"/>
      <c r="AEX1395" s="120"/>
      <c r="AEY1395" s="120"/>
      <c r="AEZ1395" s="120"/>
      <c r="AFA1395" s="120"/>
      <c r="AFB1395" s="120"/>
      <c r="AFC1395" s="120"/>
      <c r="AFD1395" s="120"/>
      <c r="AFE1395" s="120"/>
      <c r="AFF1395" s="120"/>
      <c r="AFG1395" s="120"/>
      <c r="AFH1395" s="120"/>
      <c r="AFI1395" s="120"/>
      <c r="AFJ1395" s="120"/>
      <c r="AFK1395" s="120"/>
      <c r="AFL1395" s="120"/>
      <c r="AFM1395" s="120"/>
      <c r="AFN1395" s="120"/>
      <c r="AFO1395" s="120"/>
      <c r="AFP1395" s="120"/>
      <c r="AFQ1395" s="120"/>
      <c r="AFR1395" s="120"/>
      <c r="AFS1395" s="120"/>
      <c r="AFT1395" s="120"/>
      <c r="AFU1395" s="120"/>
      <c r="AFV1395" s="120"/>
      <c r="AFW1395" s="120"/>
      <c r="AFX1395" s="120"/>
      <c r="AFY1395" s="120"/>
      <c r="AFZ1395" s="120"/>
      <c r="AGA1395" s="120"/>
      <c r="AGB1395" s="120"/>
      <c r="AGC1395" s="120"/>
      <c r="AGD1395" s="120"/>
      <c r="AGE1395" s="120"/>
      <c r="AGF1395" s="120"/>
      <c r="AGG1395" s="120"/>
      <c r="AGH1395" s="120"/>
      <c r="AGI1395" s="120"/>
      <c r="AGJ1395" s="120"/>
      <c r="AGK1395" s="120"/>
      <c r="AGL1395" s="120"/>
      <c r="AGM1395" s="120"/>
      <c r="AGN1395" s="120"/>
      <c r="AGO1395" s="120"/>
      <c r="AGP1395" s="120"/>
      <c r="AGQ1395" s="120"/>
      <c r="AGR1395" s="120"/>
      <c r="AGS1395" s="120"/>
      <c r="AGT1395" s="120"/>
      <c r="AGU1395" s="120"/>
      <c r="AGV1395" s="120"/>
      <c r="AGW1395" s="120"/>
      <c r="AGX1395" s="120"/>
      <c r="AGY1395" s="120"/>
      <c r="AGZ1395" s="120"/>
      <c r="AHA1395" s="120"/>
      <c r="AHB1395" s="120"/>
      <c r="AHC1395" s="120"/>
      <c r="AHD1395" s="120"/>
      <c r="AHE1395" s="120"/>
      <c r="AHF1395" s="120"/>
      <c r="AHG1395" s="120"/>
      <c r="AHH1395" s="120"/>
      <c r="AHI1395" s="120"/>
      <c r="AHJ1395" s="120"/>
      <c r="AHK1395" s="120"/>
      <c r="AHL1395" s="120"/>
      <c r="AHM1395" s="120"/>
      <c r="AHN1395" s="120"/>
      <c r="AHO1395" s="120"/>
      <c r="AHP1395" s="120"/>
      <c r="AHQ1395" s="120"/>
      <c r="AHR1395" s="120"/>
      <c r="AHS1395" s="120"/>
      <c r="AHT1395" s="120"/>
      <c r="AHU1395" s="120"/>
      <c r="AHV1395" s="120"/>
      <c r="AHW1395" s="120"/>
      <c r="AHX1395" s="120"/>
      <c r="AHY1395" s="120"/>
      <c r="AHZ1395" s="120"/>
      <c r="AIA1395" s="120"/>
      <c r="AIB1395" s="120"/>
      <c r="AIC1395" s="120"/>
      <c r="AID1395" s="120"/>
      <c r="AIE1395" s="120"/>
      <c r="AIF1395" s="120"/>
      <c r="AIG1395" s="120"/>
      <c r="AIH1395" s="120"/>
      <c r="AII1395" s="120"/>
      <c r="AIJ1395" s="120"/>
      <c r="AIK1395" s="120"/>
      <c r="AIL1395" s="120"/>
      <c r="AIM1395" s="120"/>
      <c r="AIN1395" s="120"/>
      <c r="AIO1395" s="120"/>
      <c r="AIP1395" s="120"/>
      <c r="AIQ1395" s="120"/>
      <c r="AIR1395" s="120"/>
      <c r="AIS1395" s="120"/>
      <c r="AIT1395" s="120"/>
      <c r="AIU1395" s="120"/>
      <c r="AIV1395" s="120"/>
      <c r="AIW1395" s="120"/>
      <c r="AIX1395" s="120"/>
      <c r="AIY1395" s="120"/>
      <c r="AIZ1395" s="120"/>
      <c r="AJA1395" s="120"/>
      <c r="AJB1395" s="120"/>
      <c r="AJC1395" s="120"/>
      <c r="AJD1395" s="120"/>
      <c r="AJE1395" s="120"/>
      <c r="AJF1395" s="120"/>
      <c r="AJG1395" s="120"/>
      <c r="AJH1395" s="120"/>
      <c r="AJI1395" s="120"/>
      <c r="AJJ1395" s="120"/>
      <c r="AJK1395" s="120"/>
      <c r="AJL1395" s="120"/>
      <c r="AJM1395" s="120"/>
      <c r="AJN1395" s="120"/>
      <c r="AJO1395" s="120"/>
      <c r="AJP1395" s="120"/>
      <c r="AJQ1395" s="120"/>
      <c r="AJR1395" s="120"/>
      <c r="AJS1395" s="120"/>
      <c r="AJT1395" s="120"/>
      <c r="AJU1395" s="120"/>
      <c r="AJV1395" s="120"/>
      <c r="AJW1395" s="120"/>
      <c r="AJX1395" s="120"/>
      <c r="AJY1395" s="120"/>
      <c r="AJZ1395" s="120"/>
      <c r="AKA1395" s="120"/>
      <c r="AKB1395" s="120"/>
      <c r="AKC1395" s="120"/>
      <c r="AKD1395" s="120"/>
      <c r="AKE1395" s="120"/>
      <c r="AKF1395" s="120"/>
      <c r="AKG1395" s="120"/>
      <c r="AKH1395" s="120"/>
      <c r="AKI1395" s="120"/>
      <c r="AKJ1395" s="120"/>
      <c r="AKK1395" s="120"/>
      <c r="AKL1395" s="120"/>
      <c r="AKM1395" s="120"/>
      <c r="AKN1395" s="120"/>
      <c r="AKO1395" s="120"/>
      <c r="AKP1395" s="120"/>
      <c r="AKQ1395" s="120"/>
      <c r="AKR1395" s="120"/>
      <c r="AKS1395" s="120"/>
      <c r="AKT1395" s="120"/>
      <c r="AKU1395" s="120"/>
      <c r="AKV1395" s="120"/>
      <c r="AKW1395" s="120"/>
      <c r="AKX1395" s="120"/>
      <c r="AKY1395" s="120"/>
      <c r="AKZ1395" s="120"/>
      <c r="ALA1395" s="120"/>
      <c r="ALB1395" s="120"/>
      <c r="ALC1395" s="120"/>
      <c r="ALD1395" s="120"/>
      <c r="ALE1395" s="120"/>
      <c r="ALF1395" s="120"/>
      <c r="ALG1395" s="120"/>
      <c r="ALH1395" s="120"/>
      <c r="ALI1395" s="120"/>
      <c r="ALJ1395" s="120"/>
      <c r="ALK1395" s="120"/>
      <c r="ALL1395" s="120"/>
      <c r="ALM1395" s="120"/>
      <c r="ALN1395" s="120"/>
      <c r="ALO1395" s="120"/>
      <c r="ALP1395" s="120"/>
      <c r="ALQ1395" s="120"/>
      <c r="ALR1395" s="120"/>
      <c r="ALS1395" s="120"/>
      <c r="ALT1395" s="120"/>
      <c r="ALU1395" s="120"/>
      <c r="ALV1395" s="120"/>
      <c r="ALW1395" s="120"/>
      <c r="ALX1395" s="120"/>
      <c r="ALY1395" s="120"/>
      <c r="ALZ1395" s="120"/>
      <c r="AMA1395" s="120"/>
      <c r="AMB1395" s="120"/>
      <c r="AMC1395" s="120"/>
      <c r="AMD1395" s="120"/>
      <c r="AME1395" s="120"/>
      <c r="AMF1395" s="120"/>
      <c r="AMG1395" s="120"/>
      <c r="AMH1395" s="120"/>
      <c r="AMI1395" s="120"/>
      <c r="AMJ1395" s="120"/>
      <c r="AMK1395" s="120"/>
      <c r="AML1395" s="120"/>
      <c r="AMM1395" s="120"/>
      <c r="AMN1395" s="120"/>
      <c r="AMO1395" s="120"/>
      <c r="AMP1395" s="120"/>
      <c r="AMQ1395" s="120"/>
      <c r="AMR1395" s="120"/>
      <c r="AMS1395" s="120"/>
      <c r="AMT1395" s="120"/>
      <c r="AMU1395" s="120"/>
      <c r="AMV1395" s="120"/>
      <c r="AMW1395" s="120"/>
      <c r="AMX1395" s="120"/>
      <c r="AMY1395" s="120"/>
      <c r="AMZ1395" s="120"/>
      <c r="ANA1395" s="120"/>
      <c r="ANB1395" s="120"/>
      <c r="ANC1395" s="120"/>
      <c r="AND1395" s="120"/>
      <c r="ANE1395" s="120"/>
      <c r="ANF1395" s="120"/>
      <c r="ANG1395" s="120"/>
      <c r="ANH1395" s="120"/>
      <c r="ANI1395" s="120"/>
      <c r="ANJ1395" s="120"/>
      <c r="ANK1395" s="120"/>
      <c r="ANL1395" s="120"/>
      <c r="ANM1395" s="120"/>
      <c r="ANN1395" s="120"/>
      <c r="ANO1395" s="120"/>
      <c r="ANP1395" s="120"/>
      <c r="ANQ1395" s="120"/>
      <c r="ANR1395" s="120"/>
      <c r="ANS1395" s="120"/>
      <c r="ANT1395" s="120"/>
      <c r="ANU1395" s="120"/>
      <c r="ANV1395" s="120"/>
      <c r="ANW1395" s="120"/>
      <c r="ANX1395" s="120"/>
      <c r="ANY1395" s="120"/>
      <c r="ANZ1395" s="120"/>
      <c r="AOA1395" s="120"/>
      <c r="AOB1395" s="120"/>
      <c r="AOC1395" s="120"/>
      <c r="AOD1395" s="120"/>
      <c r="AOE1395" s="120"/>
      <c r="AOF1395" s="120"/>
      <c r="AOG1395" s="120"/>
      <c r="AOH1395" s="120"/>
      <c r="AOI1395" s="120"/>
      <c r="AOJ1395" s="120"/>
      <c r="AOK1395" s="120"/>
      <c r="AOL1395" s="120"/>
      <c r="AOM1395" s="120"/>
      <c r="AON1395" s="120"/>
      <c r="AOO1395" s="120"/>
      <c r="AOP1395" s="120"/>
      <c r="AOQ1395" s="120"/>
      <c r="AOR1395" s="120"/>
      <c r="AOS1395" s="120"/>
      <c r="AOT1395" s="120"/>
      <c r="AOU1395" s="120"/>
      <c r="AOV1395" s="120"/>
      <c r="AOW1395" s="120"/>
      <c r="AOX1395" s="120"/>
      <c r="AOY1395" s="120"/>
      <c r="AOZ1395" s="120"/>
      <c r="APA1395" s="120"/>
      <c r="APB1395" s="120"/>
      <c r="APC1395" s="120"/>
      <c r="APD1395" s="120"/>
      <c r="APE1395" s="120"/>
      <c r="APF1395" s="120"/>
      <c r="APG1395" s="120"/>
      <c r="APH1395" s="120"/>
      <c r="API1395" s="120"/>
      <c r="APJ1395" s="120"/>
      <c r="APK1395" s="120"/>
      <c r="APL1395" s="120"/>
      <c r="APM1395" s="120"/>
      <c r="APN1395" s="120"/>
      <c r="APO1395" s="120"/>
      <c r="APP1395" s="120"/>
      <c r="APQ1395" s="120"/>
      <c r="APR1395" s="120"/>
      <c r="APS1395" s="120"/>
      <c r="APT1395" s="120"/>
      <c r="APU1395" s="120"/>
      <c r="APV1395" s="120"/>
      <c r="APW1395" s="120"/>
      <c r="APX1395" s="120"/>
      <c r="APY1395" s="120"/>
      <c r="APZ1395" s="120"/>
      <c r="AQA1395" s="120"/>
      <c r="AQB1395" s="120"/>
      <c r="AQC1395" s="120"/>
      <c r="AQD1395" s="120"/>
      <c r="AQE1395" s="120"/>
      <c r="AQF1395" s="120"/>
      <c r="AQG1395" s="120"/>
      <c r="AQH1395" s="120"/>
      <c r="AQI1395" s="120"/>
      <c r="AQJ1395" s="120"/>
      <c r="AQK1395" s="120"/>
      <c r="AQL1395" s="120"/>
      <c r="AQM1395" s="120"/>
      <c r="AQN1395" s="120"/>
      <c r="AQO1395" s="120"/>
      <c r="AQP1395" s="120"/>
      <c r="AQQ1395" s="120"/>
      <c r="AQR1395" s="120"/>
      <c r="AQS1395" s="120"/>
      <c r="AQT1395" s="120"/>
      <c r="AQU1395" s="120"/>
      <c r="AQV1395" s="120"/>
      <c r="AQW1395" s="120"/>
      <c r="AQX1395" s="120"/>
      <c r="AQY1395" s="120"/>
      <c r="AQZ1395" s="120"/>
      <c r="ARA1395" s="120"/>
      <c r="ARB1395" s="120"/>
      <c r="ARC1395" s="120"/>
      <c r="ARD1395" s="120"/>
      <c r="ARE1395" s="120"/>
      <c r="ARF1395" s="120"/>
      <c r="ARG1395" s="120"/>
      <c r="ARH1395" s="120"/>
      <c r="ARI1395" s="120"/>
      <c r="ARJ1395" s="120"/>
      <c r="ARK1395" s="120"/>
      <c r="ARL1395" s="120"/>
      <c r="ARM1395" s="120"/>
      <c r="ARN1395" s="120"/>
      <c r="ARO1395" s="120"/>
      <c r="ARP1395" s="120"/>
      <c r="ARQ1395" s="120"/>
      <c r="ARR1395" s="120"/>
      <c r="ARS1395" s="120"/>
      <c r="ART1395" s="120"/>
      <c r="ARU1395" s="120"/>
      <c r="ARV1395" s="120"/>
      <c r="ARW1395" s="120"/>
      <c r="ARX1395" s="120"/>
      <c r="ARY1395" s="120"/>
      <c r="ARZ1395" s="120"/>
      <c r="ASA1395" s="120"/>
      <c r="ASB1395" s="120"/>
      <c r="ASC1395" s="120"/>
      <c r="ASD1395" s="120"/>
      <c r="ASE1395" s="120"/>
      <c r="ASF1395" s="120"/>
      <c r="ASG1395" s="120"/>
      <c r="ASH1395" s="120"/>
      <c r="ASI1395" s="120"/>
      <c r="ASJ1395" s="120"/>
      <c r="ASK1395" s="120"/>
      <c r="ASL1395" s="120"/>
      <c r="ASM1395" s="120"/>
      <c r="ASN1395" s="120"/>
      <c r="ASO1395" s="120"/>
      <c r="ASP1395" s="120"/>
      <c r="ASQ1395" s="120"/>
      <c r="ASR1395" s="120"/>
      <c r="ASS1395" s="120"/>
      <c r="AST1395" s="120"/>
      <c r="ASU1395" s="120"/>
      <c r="ASV1395" s="120"/>
      <c r="ASW1395" s="120"/>
      <c r="ASX1395" s="120"/>
      <c r="ASY1395" s="120"/>
      <c r="ASZ1395" s="120"/>
      <c r="ATA1395" s="120"/>
      <c r="ATB1395" s="120"/>
      <c r="ATC1395" s="120"/>
      <c r="ATD1395" s="120"/>
      <c r="ATE1395" s="120"/>
      <c r="ATF1395" s="120"/>
      <c r="ATG1395" s="120"/>
      <c r="ATH1395" s="120"/>
      <c r="ATI1395" s="120"/>
      <c r="ATJ1395" s="120"/>
      <c r="ATK1395" s="120"/>
      <c r="ATL1395" s="120"/>
      <c r="ATM1395" s="120"/>
      <c r="ATN1395" s="120"/>
      <c r="ATO1395" s="120"/>
    </row>
    <row r="1396" spans="1:1211" s="20" customFormat="1" ht="14.1" customHeight="1">
      <c r="A1396" s="112"/>
      <c r="B1396" s="945"/>
      <c r="C1396" s="184"/>
      <c r="D1396" s="120"/>
      <c r="E1396" s="701"/>
      <c r="F1396" s="703"/>
      <c r="G1396" s="702"/>
      <c r="H1396" s="702"/>
      <c r="I1396" s="702"/>
      <c r="J1396" s="700"/>
      <c r="K1396" s="112"/>
      <c r="L1396" s="363"/>
      <c r="M1396" s="112"/>
      <c r="N1396" s="362"/>
      <c r="O1396" s="573"/>
      <c r="P1396" s="120"/>
      <c r="Q1396" s="120"/>
      <c r="R1396" s="120"/>
      <c r="S1396" s="120"/>
      <c r="T1396" s="120"/>
      <c r="U1396" s="120"/>
      <c r="V1396" s="120"/>
      <c r="W1396" s="120"/>
      <c r="X1396" s="120"/>
      <c r="Y1396" s="120"/>
      <c r="Z1396" s="120"/>
      <c r="AA1396" s="120"/>
      <c r="AB1396" s="120"/>
      <c r="AC1396" s="120"/>
      <c r="AD1396" s="120"/>
      <c r="AE1396" s="120"/>
      <c r="AF1396" s="120"/>
      <c r="AG1396" s="120"/>
      <c r="AH1396" s="120"/>
      <c r="AI1396" s="120"/>
      <c r="AJ1396" s="120"/>
      <c r="AK1396" s="120"/>
      <c r="AL1396" s="120"/>
      <c r="AM1396" s="120"/>
      <c r="AN1396" s="120"/>
      <c r="AO1396" s="120"/>
      <c r="AP1396" s="120"/>
      <c r="AQ1396" s="120"/>
      <c r="AR1396" s="120"/>
      <c r="AS1396" s="120"/>
      <c r="AT1396" s="120"/>
      <c r="AU1396" s="120"/>
      <c r="AV1396" s="120"/>
      <c r="AW1396" s="120"/>
      <c r="AX1396" s="120"/>
      <c r="AY1396" s="120"/>
      <c r="AZ1396" s="120"/>
      <c r="BA1396" s="120"/>
      <c r="BB1396" s="120"/>
      <c r="BC1396" s="120"/>
      <c r="BD1396" s="120"/>
      <c r="BE1396" s="120"/>
      <c r="BF1396" s="120"/>
      <c r="BG1396" s="120"/>
      <c r="BH1396" s="120"/>
      <c r="BI1396" s="120"/>
      <c r="BJ1396" s="120"/>
      <c r="BK1396" s="120"/>
      <c r="BL1396" s="120"/>
      <c r="BM1396" s="120"/>
      <c r="BN1396" s="120"/>
      <c r="BO1396" s="120"/>
      <c r="BP1396" s="120"/>
      <c r="BQ1396" s="120"/>
      <c r="BR1396" s="120"/>
      <c r="BS1396" s="120"/>
      <c r="BT1396" s="120"/>
      <c r="BU1396" s="120"/>
      <c r="BV1396" s="120"/>
      <c r="BW1396" s="120"/>
      <c r="BX1396" s="120"/>
      <c r="BY1396" s="120"/>
      <c r="BZ1396" s="120"/>
      <c r="CA1396" s="120"/>
      <c r="CB1396" s="120"/>
      <c r="CC1396" s="120"/>
      <c r="CD1396" s="120"/>
      <c r="CE1396" s="120"/>
      <c r="CF1396" s="120"/>
      <c r="CG1396" s="120"/>
      <c r="CH1396" s="120"/>
      <c r="CI1396" s="120"/>
      <c r="CJ1396" s="120"/>
      <c r="CK1396" s="120"/>
      <c r="CL1396" s="120"/>
      <c r="CM1396" s="120"/>
      <c r="CN1396" s="120"/>
      <c r="CO1396" s="120"/>
      <c r="CP1396" s="120"/>
      <c r="CQ1396" s="120"/>
      <c r="CR1396" s="120"/>
      <c r="CS1396" s="120"/>
      <c r="CT1396" s="120"/>
      <c r="CU1396" s="120"/>
      <c r="CV1396" s="120"/>
      <c r="CW1396" s="120"/>
      <c r="CX1396" s="120"/>
      <c r="CY1396" s="120"/>
      <c r="CZ1396" s="120"/>
      <c r="DA1396" s="120"/>
      <c r="DB1396" s="120"/>
      <c r="DC1396" s="120"/>
      <c r="DD1396" s="120"/>
      <c r="DE1396" s="120"/>
      <c r="DF1396" s="120"/>
      <c r="DG1396" s="120"/>
      <c r="DH1396" s="120"/>
      <c r="DI1396" s="120"/>
      <c r="DJ1396" s="120"/>
      <c r="DK1396" s="120"/>
      <c r="DL1396" s="120"/>
      <c r="DM1396" s="120"/>
      <c r="DN1396" s="120"/>
      <c r="DO1396" s="120"/>
      <c r="DP1396" s="120"/>
      <c r="DQ1396" s="120"/>
      <c r="DR1396" s="120"/>
      <c r="DS1396" s="120"/>
      <c r="DT1396" s="120"/>
      <c r="DU1396" s="120"/>
      <c r="DV1396" s="120"/>
      <c r="DW1396" s="120"/>
      <c r="DX1396" s="120"/>
      <c r="DY1396" s="120"/>
      <c r="DZ1396" s="120"/>
      <c r="EA1396" s="120"/>
      <c r="EB1396" s="120"/>
      <c r="EC1396" s="120"/>
      <c r="ED1396" s="120"/>
      <c r="EE1396" s="120"/>
      <c r="EF1396" s="120"/>
      <c r="EG1396" s="120"/>
      <c r="EH1396" s="120"/>
      <c r="EI1396" s="120"/>
      <c r="EJ1396" s="120"/>
      <c r="EK1396" s="120"/>
      <c r="EL1396" s="120"/>
      <c r="EM1396" s="120"/>
      <c r="EN1396" s="120"/>
      <c r="EO1396" s="120"/>
      <c r="EP1396" s="120"/>
      <c r="EQ1396" s="120"/>
      <c r="ER1396" s="120"/>
      <c r="ES1396" s="120"/>
      <c r="ET1396" s="120"/>
      <c r="EU1396" s="120"/>
      <c r="EV1396" s="120"/>
      <c r="EW1396" s="120"/>
      <c r="EX1396" s="120"/>
      <c r="EY1396" s="120"/>
      <c r="EZ1396" s="120"/>
      <c r="FA1396" s="120"/>
      <c r="FB1396" s="120"/>
      <c r="FC1396" s="120"/>
      <c r="FD1396" s="120"/>
      <c r="FE1396" s="120"/>
      <c r="FF1396" s="120"/>
      <c r="FG1396" s="120"/>
      <c r="FH1396" s="120"/>
      <c r="FI1396" s="120"/>
      <c r="FJ1396" s="120"/>
      <c r="FK1396" s="120"/>
      <c r="FL1396" s="120"/>
      <c r="FM1396" s="120"/>
      <c r="FN1396" s="120"/>
      <c r="FO1396" s="120"/>
      <c r="FP1396" s="120"/>
      <c r="FQ1396" s="120"/>
      <c r="FR1396" s="120"/>
      <c r="FS1396" s="120"/>
      <c r="FT1396" s="120"/>
      <c r="FU1396" s="120"/>
      <c r="FV1396" s="120"/>
      <c r="FW1396" s="120"/>
      <c r="FX1396" s="120"/>
      <c r="FY1396" s="120"/>
      <c r="FZ1396" s="120"/>
      <c r="GA1396" s="120"/>
      <c r="GB1396" s="120"/>
      <c r="GC1396" s="120"/>
      <c r="GD1396" s="120"/>
      <c r="GE1396" s="120"/>
      <c r="GF1396" s="120"/>
      <c r="GG1396" s="120"/>
      <c r="GH1396" s="120"/>
      <c r="GI1396" s="120"/>
      <c r="GJ1396" s="120"/>
      <c r="GK1396" s="120"/>
      <c r="GL1396" s="120"/>
      <c r="GM1396" s="120"/>
      <c r="GN1396" s="120"/>
      <c r="GO1396" s="120"/>
      <c r="GP1396" s="120"/>
      <c r="GQ1396" s="120"/>
      <c r="GR1396" s="120"/>
      <c r="GS1396" s="120"/>
      <c r="GT1396" s="120"/>
      <c r="GU1396" s="120"/>
      <c r="GV1396" s="120"/>
      <c r="GW1396" s="120"/>
      <c r="GX1396" s="120"/>
      <c r="GY1396" s="120"/>
      <c r="GZ1396" s="120"/>
      <c r="HA1396" s="120"/>
      <c r="HB1396" s="120"/>
      <c r="HC1396" s="120"/>
      <c r="HD1396" s="120"/>
      <c r="HE1396" s="120"/>
      <c r="HF1396" s="120"/>
      <c r="HG1396" s="120"/>
      <c r="HH1396" s="120"/>
      <c r="HI1396" s="120"/>
      <c r="HJ1396" s="120"/>
      <c r="HK1396" s="120"/>
      <c r="HL1396" s="120"/>
      <c r="HM1396" s="120"/>
      <c r="HN1396" s="120"/>
      <c r="HO1396" s="120"/>
      <c r="HP1396" s="120"/>
      <c r="HQ1396" s="120"/>
      <c r="HR1396" s="120"/>
      <c r="HS1396" s="120"/>
      <c r="HT1396" s="120"/>
      <c r="HU1396" s="120"/>
      <c r="HV1396" s="120"/>
      <c r="HW1396" s="120"/>
      <c r="HX1396" s="120"/>
      <c r="HY1396" s="120"/>
      <c r="HZ1396" s="120"/>
      <c r="IA1396" s="120"/>
      <c r="IB1396" s="120"/>
      <c r="IC1396" s="120"/>
      <c r="ID1396" s="120"/>
      <c r="IE1396" s="120"/>
      <c r="IF1396" s="120"/>
      <c r="IG1396" s="120"/>
      <c r="IH1396" s="120"/>
      <c r="II1396" s="120"/>
      <c r="IJ1396" s="120"/>
      <c r="IK1396" s="120"/>
      <c r="IL1396" s="120"/>
      <c r="IM1396" s="120"/>
      <c r="IN1396" s="120"/>
      <c r="IO1396" s="120"/>
      <c r="IP1396" s="120"/>
      <c r="IQ1396" s="120"/>
      <c r="IR1396" s="120"/>
      <c r="IS1396" s="120"/>
      <c r="IT1396" s="120"/>
      <c r="IU1396" s="120"/>
      <c r="IV1396" s="120"/>
      <c r="IW1396" s="120"/>
      <c r="IX1396" s="120"/>
      <c r="IY1396" s="120"/>
      <c r="IZ1396" s="120"/>
      <c r="JA1396" s="120"/>
      <c r="JB1396" s="120"/>
      <c r="JC1396" s="120"/>
      <c r="JD1396" s="120"/>
      <c r="JE1396" s="120"/>
      <c r="JF1396" s="120"/>
      <c r="JG1396" s="120"/>
      <c r="JH1396" s="120"/>
      <c r="JI1396" s="120"/>
      <c r="JJ1396" s="120"/>
      <c r="JK1396" s="120"/>
      <c r="JL1396" s="120"/>
      <c r="JM1396" s="120"/>
      <c r="JN1396" s="120"/>
      <c r="JO1396" s="120"/>
      <c r="JP1396" s="120"/>
      <c r="JQ1396" s="120"/>
      <c r="JR1396" s="120"/>
      <c r="JS1396" s="120"/>
      <c r="JT1396" s="120"/>
      <c r="JU1396" s="120"/>
      <c r="JV1396" s="120"/>
      <c r="JW1396" s="120"/>
      <c r="JX1396" s="120"/>
      <c r="JY1396" s="120"/>
      <c r="JZ1396" s="120"/>
      <c r="KA1396" s="120"/>
      <c r="KB1396" s="120"/>
      <c r="KC1396" s="120"/>
      <c r="KD1396" s="120"/>
      <c r="KE1396" s="120"/>
      <c r="KF1396" s="120"/>
      <c r="KG1396" s="120"/>
      <c r="KH1396" s="120"/>
      <c r="KI1396" s="120"/>
      <c r="KJ1396" s="120"/>
      <c r="KK1396" s="120"/>
      <c r="KL1396" s="120"/>
      <c r="KM1396" s="120"/>
      <c r="KN1396" s="120"/>
      <c r="KO1396" s="120"/>
      <c r="KP1396" s="120"/>
      <c r="KQ1396" s="120"/>
      <c r="KR1396" s="120"/>
      <c r="KS1396" s="120"/>
      <c r="KT1396" s="120"/>
      <c r="KU1396" s="120"/>
      <c r="KV1396" s="120"/>
      <c r="KW1396" s="120"/>
      <c r="KX1396" s="120"/>
      <c r="KY1396" s="120"/>
      <c r="KZ1396" s="120"/>
      <c r="LA1396" s="120"/>
      <c r="LB1396" s="120"/>
      <c r="LC1396" s="120"/>
      <c r="LD1396" s="120"/>
      <c r="LE1396" s="120"/>
      <c r="LF1396" s="120"/>
      <c r="LG1396" s="120"/>
      <c r="LH1396" s="120"/>
      <c r="LI1396" s="120"/>
      <c r="LJ1396" s="120"/>
      <c r="LK1396" s="120"/>
      <c r="LL1396" s="120"/>
      <c r="LM1396" s="120"/>
      <c r="LN1396" s="120"/>
      <c r="LO1396" s="120"/>
      <c r="LP1396" s="120"/>
      <c r="LQ1396" s="120"/>
      <c r="LR1396" s="120"/>
      <c r="LS1396" s="120"/>
      <c r="LT1396" s="120"/>
      <c r="LU1396" s="120"/>
      <c r="LV1396" s="120"/>
      <c r="LW1396" s="120"/>
      <c r="LX1396" s="120"/>
      <c r="LY1396" s="120"/>
      <c r="LZ1396" s="120"/>
      <c r="MA1396" s="120"/>
      <c r="MB1396" s="120"/>
      <c r="MC1396" s="120"/>
      <c r="MD1396" s="120"/>
      <c r="ME1396" s="120"/>
      <c r="MF1396" s="120"/>
      <c r="MG1396" s="120"/>
      <c r="MH1396" s="120"/>
      <c r="MI1396" s="120"/>
      <c r="MJ1396" s="120"/>
      <c r="MK1396" s="120"/>
      <c r="ML1396" s="120"/>
      <c r="MM1396" s="120"/>
      <c r="MN1396" s="120"/>
      <c r="MO1396" s="120"/>
      <c r="MP1396" s="120"/>
      <c r="MQ1396" s="120"/>
      <c r="MR1396" s="120"/>
      <c r="MS1396" s="120"/>
      <c r="MT1396" s="120"/>
      <c r="MU1396" s="120"/>
      <c r="MV1396" s="120"/>
      <c r="MW1396" s="120"/>
      <c r="MX1396" s="120"/>
      <c r="MY1396" s="120"/>
      <c r="MZ1396" s="120"/>
      <c r="NA1396" s="120"/>
      <c r="NB1396" s="120"/>
      <c r="NC1396" s="120"/>
      <c r="ND1396" s="120"/>
      <c r="NE1396" s="120"/>
      <c r="NF1396" s="120"/>
      <c r="NG1396" s="120"/>
      <c r="NH1396" s="120"/>
      <c r="NI1396" s="120"/>
      <c r="NJ1396" s="120"/>
      <c r="NK1396" s="120"/>
      <c r="NL1396" s="120"/>
      <c r="NM1396" s="120"/>
      <c r="NN1396" s="120"/>
      <c r="NO1396" s="120"/>
      <c r="NP1396" s="120"/>
      <c r="NQ1396" s="120"/>
      <c r="NR1396" s="120"/>
      <c r="NS1396" s="120"/>
      <c r="NT1396" s="120"/>
      <c r="NU1396" s="120"/>
      <c r="NV1396" s="120"/>
      <c r="NW1396" s="120"/>
      <c r="NX1396" s="120"/>
      <c r="NY1396" s="120"/>
      <c r="NZ1396" s="120"/>
      <c r="OA1396" s="120"/>
      <c r="OB1396" s="120"/>
      <c r="OC1396" s="120"/>
      <c r="OD1396" s="120"/>
      <c r="OE1396" s="120"/>
      <c r="OF1396" s="120"/>
      <c r="OG1396" s="120"/>
      <c r="OH1396" s="120"/>
      <c r="OI1396" s="120"/>
      <c r="OJ1396" s="120"/>
      <c r="OK1396" s="120"/>
      <c r="OL1396" s="120"/>
      <c r="OM1396" s="120"/>
      <c r="ON1396" s="120"/>
      <c r="OO1396" s="120"/>
      <c r="OP1396" s="120"/>
      <c r="OQ1396" s="120"/>
      <c r="OR1396" s="120"/>
      <c r="OS1396" s="120"/>
      <c r="OT1396" s="120"/>
      <c r="OU1396" s="120"/>
      <c r="OV1396" s="120"/>
      <c r="OW1396" s="120"/>
      <c r="OX1396" s="120"/>
      <c r="OY1396" s="120"/>
      <c r="OZ1396" s="120"/>
      <c r="PA1396" s="120"/>
      <c r="PB1396" s="120"/>
      <c r="PC1396" s="120"/>
      <c r="PD1396" s="120"/>
      <c r="PE1396" s="120"/>
      <c r="PF1396" s="120"/>
      <c r="PG1396" s="120"/>
      <c r="PH1396" s="120"/>
      <c r="PI1396" s="120"/>
      <c r="PJ1396" s="120"/>
      <c r="PK1396" s="120"/>
      <c r="PL1396" s="120"/>
      <c r="PM1396" s="120"/>
      <c r="PN1396" s="120"/>
      <c r="PO1396" s="120"/>
      <c r="PP1396" s="120"/>
      <c r="PQ1396" s="120"/>
      <c r="PR1396" s="120"/>
      <c r="PS1396" s="120"/>
      <c r="PT1396" s="120"/>
      <c r="PU1396" s="120"/>
      <c r="PV1396" s="120"/>
      <c r="PW1396" s="120"/>
      <c r="PX1396" s="120"/>
      <c r="PY1396" s="120"/>
      <c r="PZ1396" s="120"/>
      <c r="QA1396" s="120"/>
      <c r="QB1396" s="120"/>
      <c r="QC1396" s="120"/>
      <c r="QD1396" s="120"/>
      <c r="QE1396" s="120"/>
      <c r="QF1396" s="120"/>
      <c r="QG1396" s="120"/>
      <c r="QH1396" s="120"/>
      <c r="QI1396" s="120"/>
      <c r="QJ1396" s="120"/>
      <c r="QK1396" s="120"/>
      <c r="QL1396" s="120"/>
      <c r="QM1396" s="120"/>
      <c r="QN1396" s="120"/>
      <c r="QO1396" s="120"/>
      <c r="QP1396" s="120"/>
      <c r="QQ1396" s="120"/>
      <c r="QR1396" s="120"/>
      <c r="QS1396" s="120"/>
      <c r="QT1396" s="120"/>
      <c r="QU1396" s="120"/>
      <c r="QV1396" s="120"/>
      <c r="QW1396" s="120"/>
      <c r="QX1396" s="120"/>
      <c r="QY1396" s="120"/>
      <c r="QZ1396" s="120"/>
      <c r="RA1396" s="120"/>
      <c r="RB1396" s="120"/>
      <c r="RC1396" s="120"/>
      <c r="RD1396" s="120"/>
      <c r="RE1396" s="120"/>
      <c r="RF1396" s="120"/>
      <c r="RG1396" s="120"/>
      <c r="RH1396" s="120"/>
      <c r="RI1396" s="120"/>
      <c r="RJ1396" s="120"/>
      <c r="RK1396" s="120"/>
      <c r="RL1396" s="120"/>
      <c r="RM1396" s="120"/>
      <c r="RN1396" s="120"/>
      <c r="RO1396" s="120"/>
      <c r="RP1396" s="120"/>
      <c r="RQ1396" s="120"/>
      <c r="RR1396" s="120"/>
      <c r="RS1396" s="120"/>
      <c r="RT1396" s="120"/>
      <c r="RU1396" s="120"/>
      <c r="RV1396" s="120"/>
      <c r="RW1396" s="120"/>
      <c r="RX1396" s="120"/>
      <c r="RY1396" s="120"/>
      <c r="RZ1396" s="120"/>
      <c r="SA1396" s="120"/>
      <c r="SB1396" s="120"/>
      <c r="SC1396" s="120"/>
      <c r="SD1396" s="120"/>
      <c r="SE1396" s="120"/>
      <c r="SF1396" s="120"/>
      <c r="SG1396" s="120"/>
      <c r="SH1396" s="120"/>
      <c r="SI1396" s="120"/>
      <c r="SJ1396" s="120"/>
      <c r="SK1396" s="120"/>
      <c r="SL1396" s="120"/>
      <c r="SM1396" s="120"/>
      <c r="SN1396" s="120"/>
      <c r="SO1396" s="120"/>
      <c r="SP1396" s="120"/>
      <c r="SQ1396" s="120"/>
      <c r="SR1396" s="120"/>
      <c r="SS1396" s="120"/>
      <c r="ST1396" s="120"/>
      <c r="SU1396" s="120"/>
      <c r="SV1396" s="120"/>
      <c r="SW1396" s="120"/>
      <c r="SX1396" s="120"/>
      <c r="SY1396" s="120"/>
      <c r="SZ1396" s="120"/>
      <c r="TA1396" s="120"/>
      <c r="TB1396" s="120"/>
      <c r="TC1396" s="120"/>
      <c r="TD1396" s="120"/>
      <c r="TE1396" s="120"/>
      <c r="TF1396" s="120"/>
      <c r="TG1396" s="120"/>
      <c r="TH1396" s="120"/>
      <c r="TI1396" s="120"/>
      <c r="TJ1396" s="120"/>
      <c r="TK1396" s="120"/>
      <c r="TL1396" s="120"/>
      <c r="TM1396" s="120"/>
      <c r="TN1396" s="120"/>
      <c r="TO1396" s="120"/>
      <c r="TP1396" s="120"/>
      <c r="TQ1396" s="120"/>
      <c r="TR1396" s="120"/>
      <c r="TS1396" s="120"/>
      <c r="TT1396" s="120"/>
      <c r="TU1396" s="120"/>
      <c r="TV1396" s="120"/>
      <c r="TW1396" s="120"/>
      <c r="TX1396" s="120"/>
      <c r="TY1396" s="120"/>
      <c r="TZ1396" s="120"/>
      <c r="UA1396" s="120"/>
      <c r="UB1396" s="120"/>
      <c r="UC1396" s="120"/>
      <c r="UD1396" s="120"/>
      <c r="UE1396" s="120"/>
      <c r="UF1396" s="120"/>
      <c r="UG1396" s="120"/>
      <c r="UH1396" s="120"/>
      <c r="UI1396" s="120"/>
      <c r="UJ1396" s="120"/>
      <c r="UK1396" s="120"/>
      <c r="UL1396" s="120"/>
      <c r="UM1396" s="120"/>
      <c r="UN1396" s="120"/>
      <c r="UO1396" s="120"/>
      <c r="UP1396" s="120"/>
      <c r="UQ1396" s="120"/>
      <c r="UR1396" s="120"/>
      <c r="US1396" s="120"/>
      <c r="UT1396" s="120"/>
      <c r="UU1396" s="120"/>
      <c r="UV1396" s="120"/>
      <c r="UW1396" s="120"/>
      <c r="UX1396" s="120"/>
      <c r="UY1396" s="120"/>
      <c r="UZ1396" s="120"/>
      <c r="VA1396" s="120"/>
      <c r="VB1396" s="120"/>
      <c r="VC1396" s="120"/>
      <c r="VD1396" s="120"/>
      <c r="VE1396" s="120"/>
      <c r="VF1396" s="120"/>
      <c r="VG1396" s="120"/>
      <c r="VH1396" s="120"/>
      <c r="VI1396" s="120"/>
      <c r="VJ1396" s="120"/>
      <c r="VK1396" s="120"/>
      <c r="VL1396" s="120"/>
      <c r="VM1396" s="120"/>
      <c r="VN1396" s="120"/>
      <c r="VO1396" s="120"/>
      <c r="VP1396" s="120"/>
      <c r="VQ1396" s="120"/>
      <c r="VR1396" s="120"/>
      <c r="VS1396" s="120"/>
      <c r="VT1396" s="120"/>
      <c r="VU1396" s="120"/>
      <c r="VV1396" s="120"/>
      <c r="VW1396" s="120"/>
      <c r="VX1396" s="120"/>
      <c r="VY1396" s="120"/>
      <c r="VZ1396" s="120"/>
      <c r="WA1396" s="120"/>
      <c r="WB1396" s="120"/>
      <c r="WC1396" s="120"/>
      <c r="WD1396" s="120"/>
      <c r="WE1396" s="120"/>
      <c r="WF1396" s="120"/>
      <c r="WG1396" s="120"/>
      <c r="WH1396" s="120"/>
      <c r="WI1396" s="120"/>
      <c r="WJ1396" s="120"/>
      <c r="WK1396" s="120"/>
      <c r="WL1396" s="120"/>
      <c r="WM1396" s="120"/>
      <c r="WN1396" s="120"/>
      <c r="WO1396" s="120"/>
      <c r="WP1396" s="120"/>
      <c r="WQ1396" s="120"/>
      <c r="WR1396" s="120"/>
      <c r="WS1396" s="120"/>
      <c r="WT1396" s="120"/>
      <c r="WU1396" s="120"/>
      <c r="WV1396" s="120"/>
      <c r="WW1396" s="120"/>
      <c r="WX1396" s="120"/>
      <c r="WY1396" s="120"/>
      <c r="WZ1396" s="120"/>
      <c r="XA1396" s="120"/>
      <c r="XB1396" s="120"/>
      <c r="XC1396" s="120"/>
      <c r="XD1396" s="120"/>
      <c r="XE1396" s="120"/>
      <c r="XF1396" s="120"/>
      <c r="XG1396" s="120"/>
      <c r="XH1396" s="120"/>
      <c r="XI1396" s="120"/>
      <c r="XJ1396" s="120"/>
      <c r="XK1396" s="120"/>
      <c r="XL1396" s="120"/>
      <c r="XM1396" s="120"/>
      <c r="XN1396" s="120"/>
      <c r="XO1396" s="120"/>
      <c r="XP1396" s="120"/>
      <c r="XQ1396" s="120"/>
      <c r="XR1396" s="120"/>
      <c r="XS1396" s="120"/>
      <c r="XT1396" s="120"/>
      <c r="XU1396" s="120"/>
      <c r="XV1396" s="120"/>
      <c r="XW1396" s="120"/>
      <c r="XX1396" s="120"/>
      <c r="XY1396" s="120"/>
      <c r="XZ1396" s="120"/>
      <c r="YA1396" s="120"/>
      <c r="YB1396" s="120"/>
      <c r="YC1396" s="120"/>
      <c r="YD1396" s="120"/>
      <c r="YE1396" s="120"/>
      <c r="YF1396" s="120"/>
      <c r="YG1396" s="120"/>
      <c r="YH1396" s="120"/>
      <c r="YI1396" s="120"/>
      <c r="YJ1396" s="120"/>
      <c r="YK1396" s="120"/>
      <c r="YL1396" s="120"/>
      <c r="YM1396" s="120"/>
      <c r="YN1396" s="120"/>
      <c r="YO1396" s="120"/>
      <c r="YP1396" s="120"/>
      <c r="YQ1396" s="120"/>
      <c r="YR1396" s="120"/>
      <c r="YS1396" s="120"/>
      <c r="YT1396" s="120"/>
      <c r="YU1396" s="120"/>
      <c r="YV1396" s="120"/>
      <c r="YW1396" s="120"/>
      <c r="YX1396" s="120"/>
      <c r="YY1396" s="120"/>
      <c r="YZ1396" s="120"/>
      <c r="ZA1396" s="120"/>
      <c r="ZB1396" s="120"/>
      <c r="ZC1396" s="120"/>
      <c r="ZD1396" s="120"/>
      <c r="ZE1396" s="120"/>
      <c r="ZF1396" s="120"/>
      <c r="ZG1396" s="120"/>
      <c r="ZH1396" s="120"/>
      <c r="ZI1396" s="120"/>
      <c r="ZJ1396" s="120"/>
      <c r="ZK1396" s="120"/>
      <c r="ZL1396" s="120"/>
      <c r="ZM1396" s="120"/>
      <c r="ZN1396" s="120"/>
      <c r="ZO1396" s="120"/>
      <c r="ZP1396" s="120"/>
      <c r="ZQ1396" s="120"/>
      <c r="ZR1396" s="120"/>
      <c r="ZS1396" s="120"/>
      <c r="ZT1396" s="120"/>
      <c r="ZU1396" s="120"/>
      <c r="ZV1396" s="120"/>
      <c r="ZW1396" s="120"/>
      <c r="ZX1396" s="120"/>
      <c r="ZY1396" s="120"/>
      <c r="ZZ1396" s="120"/>
      <c r="AAA1396" s="120"/>
      <c r="AAB1396" s="120"/>
      <c r="AAC1396" s="120"/>
      <c r="AAD1396" s="120"/>
      <c r="AAE1396" s="120"/>
      <c r="AAF1396" s="120"/>
      <c r="AAG1396" s="120"/>
      <c r="AAH1396" s="120"/>
      <c r="AAI1396" s="120"/>
      <c r="AAJ1396" s="120"/>
      <c r="AAK1396" s="120"/>
      <c r="AAL1396" s="120"/>
      <c r="AAM1396" s="120"/>
      <c r="AAN1396" s="120"/>
      <c r="AAO1396" s="120"/>
      <c r="AAP1396" s="120"/>
      <c r="AAQ1396" s="120"/>
      <c r="AAR1396" s="120"/>
      <c r="AAS1396" s="120"/>
      <c r="AAT1396" s="120"/>
      <c r="AAU1396" s="120"/>
      <c r="AAV1396" s="120"/>
      <c r="AAW1396" s="120"/>
      <c r="AAX1396" s="120"/>
      <c r="AAY1396" s="120"/>
      <c r="AAZ1396" s="120"/>
      <c r="ABA1396" s="120"/>
      <c r="ABB1396" s="120"/>
      <c r="ABC1396" s="120"/>
      <c r="ABD1396" s="120"/>
      <c r="ABE1396" s="120"/>
      <c r="ABF1396" s="120"/>
      <c r="ABG1396" s="120"/>
      <c r="ABH1396" s="120"/>
      <c r="ABI1396" s="120"/>
      <c r="ABJ1396" s="120"/>
      <c r="ABK1396" s="120"/>
      <c r="ABL1396" s="120"/>
      <c r="ABM1396" s="120"/>
      <c r="ABN1396" s="120"/>
      <c r="ABO1396" s="120"/>
      <c r="ABP1396" s="120"/>
      <c r="ABQ1396" s="120"/>
      <c r="ABR1396" s="120"/>
      <c r="ABS1396" s="120"/>
      <c r="ABT1396" s="120"/>
      <c r="ABU1396" s="120"/>
      <c r="ABV1396" s="120"/>
      <c r="ABW1396" s="120"/>
      <c r="ABX1396" s="120"/>
      <c r="ABY1396" s="120"/>
      <c r="ABZ1396" s="120"/>
      <c r="ACA1396" s="120"/>
      <c r="ACB1396" s="120"/>
      <c r="ACC1396" s="120"/>
      <c r="ACD1396" s="120"/>
      <c r="ACE1396" s="120"/>
      <c r="ACF1396" s="120"/>
      <c r="ACG1396" s="120"/>
      <c r="ACH1396" s="120"/>
      <c r="ACI1396" s="120"/>
      <c r="ACJ1396" s="120"/>
      <c r="ACK1396" s="120"/>
      <c r="ACL1396" s="120"/>
      <c r="ACM1396" s="120"/>
      <c r="ACN1396" s="120"/>
      <c r="ACO1396" s="120"/>
      <c r="ACP1396" s="120"/>
      <c r="ACQ1396" s="120"/>
      <c r="ACR1396" s="120"/>
      <c r="ACS1396" s="120"/>
      <c r="ACT1396" s="120"/>
      <c r="ACU1396" s="120"/>
      <c r="ACV1396" s="120"/>
      <c r="ACW1396" s="120"/>
      <c r="ACX1396" s="120"/>
      <c r="ACY1396" s="120"/>
      <c r="ACZ1396" s="120"/>
      <c r="ADA1396" s="120"/>
      <c r="ADB1396" s="120"/>
      <c r="ADC1396" s="120"/>
      <c r="ADD1396" s="120"/>
      <c r="ADE1396" s="120"/>
      <c r="ADF1396" s="120"/>
      <c r="ADG1396" s="120"/>
      <c r="ADH1396" s="120"/>
      <c r="ADI1396" s="120"/>
      <c r="ADJ1396" s="120"/>
      <c r="ADK1396" s="120"/>
      <c r="ADL1396" s="120"/>
      <c r="ADM1396" s="120"/>
      <c r="ADN1396" s="120"/>
      <c r="ADO1396" s="120"/>
      <c r="ADP1396" s="120"/>
      <c r="ADQ1396" s="120"/>
      <c r="ADR1396" s="120"/>
      <c r="ADS1396" s="120"/>
      <c r="ADT1396" s="120"/>
      <c r="ADU1396" s="120"/>
      <c r="ADV1396" s="120"/>
      <c r="ADW1396" s="120"/>
      <c r="ADX1396" s="120"/>
      <c r="ADY1396" s="120"/>
      <c r="ADZ1396" s="120"/>
      <c r="AEA1396" s="120"/>
      <c r="AEB1396" s="120"/>
      <c r="AEC1396" s="120"/>
      <c r="AED1396" s="120"/>
      <c r="AEE1396" s="120"/>
      <c r="AEF1396" s="120"/>
      <c r="AEG1396" s="120"/>
      <c r="AEH1396" s="120"/>
      <c r="AEI1396" s="120"/>
      <c r="AEJ1396" s="120"/>
      <c r="AEK1396" s="120"/>
      <c r="AEL1396" s="120"/>
      <c r="AEM1396" s="120"/>
      <c r="AEN1396" s="120"/>
      <c r="AEO1396" s="120"/>
      <c r="AEP1396" s="120"/>
      <c r="AEQ1396" s="120"/>
      <c r="AER1396" s="120"/>
      <c r="AES1396" s="120"/>
      <c r="AET1396" s="120"/>
      <c r="AEU1396" s="120"/>
      <c r="AEV1396" s="120"/>
      <c r="AEW1396" s="120"/>
      <c r="AEX1396" s="120"/>
      <c r="AEY1396" s="120"/>
      <c r="AEZ1396" s="120"/>
      <c r="AFA1396" s="120"/>
      <c r="AFB1396" s="120"/>
      <c r="AFC1396" s="120"/>
      <c r="AFD1396" s="120"/>
      <c r="AFE1396" s="120"/>
      <c r="AFF1396" s="120"/>
      <c r="AFG1396" s="120"/>
      <c r="AFH1396" s="120"/>
      <c r="AFI1396" s="120"/>
      <c r="AFJ1396" s="120"/>
      <c r="AFK1396" s="120"/>
      <c r="AFL1396" s="120"/>
      <c r="AFM1396" s="120"/>
      <c r="AFN1396" s="120"/>
      <c r="AFO1396" s="120"/>
      <c r="AFP1396" s="120"/>
      <c r="AFQ1396" s="120"/>
      <c r="AFR1396" s="120"/>
      <c r="AFS1396" s="120"/>
      <c r="AFT1396" s="120"/>
      <c r="AFU1396" s="120"/>
      <c r="AFV1396" s="120"/>
      <c r="AFW1396" s="120"/>
      <c r="AFX1396" s="120"/>
      <c r="AFY1396" s="120"/>
      <c r="AFZ1396" s="120"/>
      <c r="AGA1396" s="120"/>
      <c r="AGB1396" s="120"/>
      <c r="AGC1396" s="120"/>
      <c r="AGD1396" s="120"/>
      <c r="AGE1396" s="120"/>
      <c r="AGF1396" s="120"/>
      <c r="AGG1396" s="120"/>
      <c r="AGH1396" s="120"/>
      <c r="AGI1396" s="120"/>
      <c r="AGJ1396" s="120"/>
      <c r="AGK1396" s="120"/>
      <c r="AGL1396" s="120"/>
      <c r="AGM1396" s="120"/>
      <c r="AGN1396" s="120"/>
      <c r="AGO1396" s="120"/>
      <c r="AGP1396" s="120"/>
      <c r="AGQ1396" s="120"/>
      <c r="AGR1396" s="120"/>
      <c r="AGS1396" s="120"/>
      <c r="AGT1396" s="120"/>
      <c r="AGU1396" s="120"/>
      <c r="AGV1396" s="120"/>
      <c r="AGW1396" s="120"/>
      <c r="AGX1396" s="120"/>
      <c r="AGY1396" s="120"/>
      <c r="AGZ1396" s="120"/>
      <c r="AHA1396" s="120"/>
      <c r="AHB1396" s="120"/>
      <c r="AHC1396" s="120"/>
      <c r="AHD1396" s="120"/>
      <c r="AHE1396" s="120"/>
      <c r="AHF1396" s="120"/>
      <c r="AHG1396" s="120"/>
      <c r="AHH1396" s="120"/>
      <c r="AHI1396" s="120"/>
      <c r="AHJ1396" s="120"/>
      <c r="AHK1396" s="120"/>
      <c r="AHL1396" s="120"/>
      <c r="AHM1396" s="120"/>
      <c r="AHN1396" s="120"/>
      <c r="AHO1396" s="120"/>
      <c r="AHP1396" s="120"/>
      <c r="AHQ1396" s="120"/>
      <c r="AHR1396" s="120"/>
      <c r="AHS1396" s="120"/>
      <c r="AHT1396" s="120"/>
      <c r="AHU1396" s="120"/>
      <c r="AHV1396" s="120"/>
      <c r="AHW1396" s="120"/>
      <c r="AHX1396" s="120"/>
      <c r="AHY1396" s="120"/>
      <c r="AHZ1396" s="120"/>
      <c r="AIA1396" s="120"/>
      <c r="AIB1396" s="120"/>
      <c r="AIC1396" s="120"/>
      <c r="AID1396" s="120"/>
      <c r="AIE1396" s="120"/>
      <c r="AIF1396" s="120"/>
      <c r="AIG1396" s="120"/>
      <c r="AIH1396" s="120"/>
      <c r="AII1396" s="120"/>
      <c r="AIJ1396" s="120"/>
      <c r="AIK1396" s="120"/>
      <c r="AIL1396" s="120"/>
      <c r="AIM1396" s="120"/>
      <c r="AIN1396" s="120"/>
      <c r="AIO1396" s="120"/>
      <c r="AIP1396" s="120"/>
      <c r="AIQ1396" s="120"/>
      <c r="AIR1396" s="120"/>
      <c r="AIS1396" s="120"/>
      <c r="AIT1396" s="120"/>
      <c r="AIU1396" s="120"/>
      <c r="AIV1396" s="120"/>
      <c r="AIW1396" s="120"/>
      <c r="AIX1396" s="120"/>
      <c r="AIY1396" s="120"/>
      <c r="AIZ1396" s="120"/>
      <c r="AJA1396" s="120"/>
      <c r="AJB1396" s="120"/>
      <c r="AJC1396" s="120"/>
      <c r="AJD1396" s="120"/>
      <c r="AJE1396" s="120"/>
      <c r="AJF1396" s="120"/>
      <c r="AJG1396" s="120"/>
      <c r="AJH1396" s="120"/>
      <c r="AJI1396" s="120"/>
      <c r="AJJ1396" s="120"/>
      <c r="AJK1396" s="120"/>
      <c r="AJL1396" s="120"/>
      <c r="AJM1396" s="120"/>
      <c r="AJN1396" s="120"/>
      <c r="AJO1396" s="120"/>
      <c r="AJP1396" s="120"/>
      <c r="AJQ1396" s="120"/>
      <c r="AJR1396" s="120"/>
      <c r="AJS1396" s="120"/>
      <c r="AJT1396" s="120"/>
      <c r="AJU1396" s="120"/>
      <c r="AJV1396" s="120"/>
      <c r="AJW1396" s="120"/>
      <c r="AJX1396" s="120"/>
      <c r="AJY1396" s="120"/>
      <c r="AJZ1396" s="120"/>
      <c r="AKA1396" s="120"/>
      <c r="AKB1396" s="120"/>
      <c r="AKC1396" s="120"/>
      <c r="AKD1396" s="120"/>
      <c r="AKE1396" s="120"/>
      <c r="AKF1396" s="120"/>
      <c r="AKG1396" s="120"/>
      <c r="AKH1396" s="120"/>
      <c r="AKI1396" s="120"/>
      <c r="AKJ1396" s="120"/>
      <c r="AKK1396" s="120"/>
      <c r="AKL1396" s="120"/>
      <c r="AKM1396" s="120"/>
      <c r="AKN1396" s="120"/>
      <c r="AKO1396" s="120"/>
      <c r="AKP1396" s="120"/>
      <c r="AKQ1396" s="120"/>
      <c r="AKR1396" s="120"/>
      <c r="AKS1396" s="120"/>
      <c r="AKT1396" s="120"/>
      <c r="AKU1396" s="120"/>
      <c r="AKV1396" s="120"/>
      <c r="AKW1396" s="120"/>
      <c r="AKX1396" s="120"/>
      <c r="AKY1396" s="120"/>
      <c r="AKZ1396" s="120"/>
      <c r="ALA1396" s="120"/>
      <c r="ALB1396" s="120"/>
      <c r="ALC1396" s="120"/>
      <c r="ALD1396" s="120"/>
      <c r="ALE1396" s="120"/>
      <c r="ALF1396" s="120"/>
      <c r="ALG1396" s="120"/>
      <c r="ALH1396" s="120"/>
      <c r="ALI1396" s="120"/>
      <c r="ALJ1396" s="120"/>
      <c r="ALK1396" s="120"/>
      <c r="ALL1396" s="120"/>
      <c r="ALM1396" s="120"/>
      <c r="ALN1396" s="120"/>
      <c r="ALO1396" s="120"/>
      <c r="ALP1396" s="120"/>
      <c r="ALQ1396" s="120"/>
      <c r="ALR1396" s="120"/>
      <c r="ALS1396" s="120"/>
      <c r="ALT1396" s="120"/>
      <c r="ALU1396" s="120"/>
      <c r="ALV1396" s="120"/>
      <c r="ALW1396" s="120"/>
      <c r="ALX1396" s="120"/>
      <c r="ALY1396" s="120"/>
      <c r="ALZ1396" s="120"/>
      <c r="AMA1396" s="120"/>
      <c r="AMB1396" s="120"/>
      <c r="AMC1396" s="120"/>
      <c r="AMD1396" s="120"/>
      <c r="AME1396" s="120"/>
      <c r="AMF1396" s="120"/>
      <c r="AMG1396" s="120"/>
      <c r="AMH1396" s="120"/>
      <c r="AMI1396" s="120"/>
      <c r="AMJ1396" s="120"/>
      <c r="AMK1396" s="120"/>
      <c r="AML1396" s="120"/>
      <c r="AMM1396" s="120"/>
      <c r="AMN1396" s="120"/>
      <c r="AMO1396" s="120"/>
      <c r="AMP1396" s="120"/>
      <c r="AMQ1396" s="120"/>
      <c r="AMR1396" s="120"/>
      <c r="AMS1396" s="120"/>
      <c r="AMT1396" s="120"/>
      <c r="AMU1396" s="120"/>
      <c r="AMV1396" s="120"/>
      <c r="AMW1396" s="120"/>
      <c r="AMX1396" s="120"/>
      <c r="AMY1396" s="120"/>
      <c r="AMZ1396" s="120"/>
      <c r="ANA1396" s="120"/>
      <c r="ANB1396" s="120"/>
      <c r="ANC1396" s="120"/>
      <c r="AND1396" s="120"/>
      <c r="ANE1396" s="120"/>
      <c r="ANF1396" s="120"/>
      <c r="ANG1396" s="120"/>
      <c r="ANH1396" s="120"/>
      <c r="ANI1396" s="120"/>
      <c r="ANJ1396" s="120"/>
      <c r="ANK1396" s="120"/>
      <c r="ANL1396" s="120"/>
      <c r="ANM1396" s="120"/>
      <c r="ANN1396" s="120"/>
      <c r="ANO1396" s="120"/>
      <c r="ANP1396" s="120"/>
      <c r="ANQ1396" s="120"/>
      <c r="ANR1396" s="120"/>
      <c r="ANS1396" s="120"/>
      <c r="ANT1396" s="120"/>
      <c r="ANU1396" s="120"/>
      <c r="ANV1396" s="120"/>
      <c r="ANW1396" s="120"/>
      <c r="ANX1396" s="120"/>
      <c r="ANY1396" s="120"/>
      <c r="ANZ1396" s="120"/>
      <c r="AOA1396" s="120"/>
      <c r="AOB1396" s="120"/>
      <c r="AOC1396" s="120"/>
      <c r="AOD1396" s="120"/>
      <c r="AOE1396" s="120"/>
      <c r="AOF1396" s="120"/>
      <c r="AOG1396" s="120"/>
      <c r="AOH1396" s="120"/>
      <c r="AOI1396" s="120"/>
      <c r="AOJ1396" s="120"/>
      <c r="AOK1396" s="120"/>
      <c r="AOL1396" s="120"/>
      <c r="AOM1396" s="120"/>
      <c r="AON1396" s="120"/>
      <c r="AOO1396" s="120"/>
      <c r="AOP1396" s="120"/>
      <c r="AOQ1396" s="120"/>
      <c r="AOR1396" s="120"/>
      <c r="AOS1396" s="120"/>
      <c r="AOT1396" s="120"/>
      <c r="AOU1396" s="120"/>
      <c r="AOV1396" s="120"/>
      <c r="AOW1396" s="120"/>
      <c r="AOX1396" s="120"/>
      <c r="AOY1396" s="120"/>
      <c r="AOZ1396" s="120"/>
      <c r="APA1396" s="120"/>
      <c r="APB1396" s="120"/>
      <c r="APC1396" s="120"/>
      <c r="APD1396" s="120"/>
      <c r="APE1396" s="120"/>
      <c r="APF1396" s="120"/>
      <c r="APG1396" s="120"/>
      <c r="APH1396" s="120"/>
      <c r="API1396" s="120"/>
      <c r="APJ1396" s="120"/>
      <c r="APK1396" s="120"/>
      <c r="APL1396" s="120"/>
      <c r="APM1396" s="120"/>
      <c r="APN1396" s="120"/>
      <c r="APO1396" s="120"/>
      <c r="APP1396" s="120"/>
      <c r="APQ1396" s="120"/>
      <c r="APR1396" s="120"/>
      <c r="APS1396" s="120"/>
      <c r="APT1396" s="120"/>
      <c r="APU1396" s="120"/>
      <c r="APV1396" s="120"/>
      <c r="APW1396" s="120"/>
      <c r="APX1396" s="120"/>
      <c r="APY1396" s="120"/>
      <c r="APZ1396" s="120"/>
      <c r="AQA1396" s="120"/>
      <c r="AQB1396" s="120"/>
      <c r="AQC1396" s="120"/>
      <c r="AQD1396" s="120"/>
      <c r="AQE1396" s="120"/>
      <c r="AQF1396" s="120"/>
      <c r="AQG1396" s="120"/>
      <c r="AQH1396" s="120"/>
      <c r="AQI1396" s="120"/>
      <c r="AQJ1396" s="120"/>
      <c r="AQK1396" s="120"/>
      <c r="AQL1396" s="120"/>
      <c r="AQM1396" s="120"/>
      <c r="AQN1396" s="120"/>
      <c r="AQO1396" s="120"/>
      <c r="AQP1396" s="120"/>
      <c r="AQQ1396" s="120"/>
      <c r="AQR1396" s="120"/>
      <c r="AQS1396" s="120"/>
      <c r="AQT1396" s="120"/>
      <c r="AQU1396" s="120"/>
      <c r="AQV1396" s="120"/>
      <c r="AQW1396" s="120"/>
      <c r="AQX1396" s="120"/>
      <c r="AQY1396" s="120"/>
      <c r="AQZ1396" s="120"/>
      <c r="ARA1396" s="120"/>
      <c r="ARB1396" s="120"/>
      <c r="ARC1396" s="120"/>
      <c r="ARD1396" s="120"/>
      <c r="ARE1396" s="120"/>
      <c r="ARF1396" s="120"/>
      <c r="ARG1396" s="120"/>
      <c r="ARH1396" s="120"/>
      <c r="ARI1396" s="120"/>
      <c r="ARJ1396" s="120"/>
      <c r="ARK1396" s="120"/>
      <c r="ARL1396" s="120"/>
      <c r="ARM1396" s="120"/>
      <c r="ARN1396" s="120"/>
      <c r="ARO1396" s="120"/>
      <c r="ARP1396" s="120"/>
      <c r="ARQ1396" s="120"/>
      <c r="ARR1396" s="120"/>
      <c r="ARS1396" s="120"/>
      <c r="ART1396" s="120"/>
      <c r="ARU1396" s="120"/>
      <c r="ARV1396" s="120"/>
      <c r="ARW1396" s="120"/>
      <c r="ARX1396" s="120"/>
      <c r="ARY1396" s="120"/>
      <c r="ARZ1396" s="120"/>
      <c r="ASA1396" s="120"/>
      <c r="ASB1396" s="120"/>
      <c r="ASC1396" s="120"/>
      <c r="ASD1396" s="120"/>
      <c r="ASE1396" s="120"/>
      <c r="ASF1396" s="120"/>
      <c r="ASG1396" s="120"/>
      <c r="ASH1396" s="120"/>
      <c r="ASI1396" s="120"/>
      <c r="ASJ1396" s="120"/>
      <c r="ASK1396" s="120"/>
      <c r="ASL1396" s="120"/>
      <c r="ASM1396" s="120"/>
      <c r="ASN1396" s="120"/>
      <c r="ASO1396" s="120"/>
      <c r="ASP1396" s="120"/>
      <c r="ASQ1396" s="120"/>
      <c r="ASR1396" s="120"/>
      <c r="ASS1396" s="120"/>
      <c r="AST1396" s="120"/>
      <c r="ASU1396" s="120"/>
      <c r="ASV1396" s="120"/>
      <c r="ASW1396" s="120"/>
      <c r="ASX1396" s="120"/>
      <c r="ASY1396" s="120"/>
      <c r="ASZ1396" s="120"/>
      <c r="ATA1396" s="120"/>
      <c r="ATB1396" s="120"/>
      <c r="ATC1396" s="120"/>
      <c r="ATD1396" s="120"/>
      <c r="ATE1396" s="120"/>
      <c r="ATF1396" s="120"/>
      <c r="ATG1396" s="120"/>
      <c r="ATH1396" s="120"/>
      <c r="ATI1396" s="120"/>
      <c r="ATJ1396" s="120"/>
      <c r="ATK1396" s="120"/>
      <c r="ATL1396" s="120"/>
      <c r="ATM1396" s="120"/>
      <c r="ATN1396" s="120"/>
      <c r="ATO1396" s="120"/>
    </row>
    <row r="1397" spans="1:1211" s="20" customFormat="1" ht="14.1" customHeight="1">
      <c r="A1397" s="112"/>
      <c r="B1397" s="945" t="s">
        <v>3785</v>
      </c>
      <c r="C1397" s="184" t="s">
        <v>6154</v>
      </c>
      <c r="D1397" s="120"/>
      <c r="E1397" s="701"/>
      <c r="F1397" s="703"/>
      <c r="G1397" s="702"/>
      <c r="H1397" s="702"/>
      <c r="I1397" s="702"/>
      <c r="J1397" s="700"/>
      <c r="K1397" s="112"/>
      <c r="L1397" s="363"/>
      <c r="M1397" s="112"/>
      <c r="N1397" s="362"/>
      <c r="O1397" s="573"/>
      <c r="P1397" s="120"/>
      <c r="Q1397" s="120"/>
      <c r="R1397" s="120"/>
      <c r="S1397" s="120"/>
      <c r="T1397" s="120"/>
      <c r="U1397" s="120"/>
      <c r="V1397" s="120"/>
      <c r="W1397" s="120"/>
      <c r="X1397" s="120"/>
      <c r="Y1397" s="120"/>
      <c r="Z1397" s="120"/>
      <c r="AA1397" s="120"/>
      <c r="AB1397" s="120"/>
      <c r="AC1397" s="120"/>
      <c r="AD1397" s="120"/>
      <c r="AE1397" s="120"/>
      <c r="AF1397" s="120"/>
      <c r="AG1397" s="120"/>
      <c r="AH1397" s="120"/>
      <c r="AI1397" s="120"/>
      <c r="AJ1397" s="120"/>
      <c r="AK1397" s="120"/>
      <c r="AL1397" s="120"/>
      <c r="AM1397" s="120"/>
      <c r="AN1397" s="120"/>
      <c r="AO1397" s="120"/>
      <c r="AP1397" s="120"/>
      <c r="AQ1397" s="120"/>
      <c r="AR1397" s="120"/>
      <c r="AS1397" s="120"/>
      <c r="AT1397" s="120"/>
      <c r="AU1397" s="120"/>
      <c r="AV1397" s="120"/>
      <c r="AW1397" s="120"/>
      <c r="AX1397" s="120"/>
      <c r="AY1397" s="120"/>
      <c r="AZ1397" s="120"/>
      <c r="BA1397" s="120"/>
      <c r="BB1397" s="120"/>
      <c r="BC1397" s="120"/>
      <c r="BD1397" s="120"/>
      <c r="BE1397" s="120"/>
      <c r="BF1397" s="120"/>
      <c r="BG1397" s="120"/>
      <c r="BH1397" s="120"/>
      <c r="BI1397" s="120"/>
      <c r="BJ1397" s="120"/>
      <c r="BK1397" s="120"/>
      <c r="BL1397" s="120"/>
      <c r="BM1397" s="120"/>
      <c r="BN1397" s="120"/>
      <c r="BO1397" s="120"/>
      <c r="BP1397" s="120"/>
      <c r="BQ1397" s="120"/>
      <c r="BR1397" s="120"/>
      <c r="BS1397" s="120"/>
      <c r="BT1397" s="120"/>
      <c r="BU1397" s="120"/>
      <c r="BV1397" s="120"/>
      <c r="BW1397" s="120"/>
      <c r="BX1397" s="120"/>
      <c r="BY1397" s="120"/>
      <c r="BZ1397" s="120"/>
      <c r="CA1397" s="120"/>
      <c r="CB1397" s="120"/>
      <c r="CC1397" s="120"/>
      <c r="CD1397" s="120"/>
      <c r="CE1397" s="120"/>
      <c r="CF1397" s="120"/>
      <c r="CG1397" s="120"/>
      <c r="CH1397" s="120"/>
      <c r="CI1397" s="120"/>
      <c r="CJ1397" s="120"/>
      <c r="CK1397" s="120"/>
      <c r="CL1397" s="120"/>
      <c r="CM1397" s="120"/>
      <c r="CN1397" s="120"/>
      <c r="CO1397" s="120"/>
      <c r="CP1397" s="120"/>
      <c r="CQ1397" s="120"/>
      <c r="CR1397" s="120"/>
      <c r="CS1397" s="120"/>
      <c r="CT1397" s="120"/>
      <c r="CU1397" s="120"/>
      <c r="CV1397" s="120"/>
      <c r="CW1397" s="120"/>
      <c r="CX1397" s="120"/>
      <c r="CY1397" s="120"/>
      <c r="CZ1397" s="120"/>
      <c r="DA1397" s="120"/>
      <c r="DB1397" s="120"/>
      <c r="DC1397" s="120"/>
      <c r="DD1397" s="120"/>
      <c r="DE1397" s="120"/>
      <c r="DF1397" s="120"/>
      <c r="DG1397" s="120"/>
      <c r="DH1397" s="120"/>
      <c r="DI1397" s="120"/>
      <c r="DJ1397" s="120"/>
      <c r="DK1397" s="120"/>
      <c r="DL1397" s="120"/>
      <c r="DM1397" s="120"/>
      <c r="DN1397" s="120"/>
      <c r="DO1397" s="120"/>
      <c r="DP1397" s="120"/>
      <c r="DQ1397" s="120"/>
      <c r="DR1397" s="120"/>
      <c r="DS1397" s="120"/>
      <c r="DT1397" s="120"/>
      <c r="DU1397" s="120"/>
      <c r="DV1397" s="120"/>
      <c r="DW1397" s="120"/>
      <c r="DX1397" s="120"/>
      <c r="DY1397" s="120"/>
      <c r="DZ1397" s="120"/>
      <c r="EA1397" s="120"/>
      <c r="EB1397" s="120"/>
      <c r="EC1397" s="120"/>
      <c r="ED1397" s="120"/>
      <c r="EE1397" s="120"/>
      <c r="EF1397" s="120"/>
      <c r="EG1397" s="120"/>
      <c r="EH1397" s="120"/>
      <c r="EI1397" s="120"/>
      <c r="EJ1397" s="120"/>
      <c r="EK1397" s="120"/>
      <c r="EL1397" s="120"/>
      <c r="EM1397" s="120"/>
      <c r="EN1397" s="120"/>
      <c r="EO1397" s="120"/>
      <c r="EP1397" s="120"/>
      <c r="EQ1397" s="120"/>
      <c r="ER1397" s="120"/>
      <c r="ES1397" s="120"/>
      <c r="ET1397" s="120"/>
      <c r="EU1397" s="120"/>
      <c r="EV1397" s="120"/>
      <c r="EW1397" s="120"/>
      <c r="EX1397" s="120"/>
      <c r="EY1397" s="120"/>
      <c r="EZ1397" s="120"/>
      <c r="FA1397" s="120"/>
      <c r="FB1397" s="120"/>
      <c r="FC1397" s="120"/>
      <c r="FD1397" s="120"/>
      <c r="FE1397" s="120"/>
      <c r="FF1397" s="120"/>
      <c r="FG1397" s="120"/>
      <c r="FH1397" s="120"/>
      <c r="FI1397" s="120"/>
      <c r="FJ1397" s="120"/>
      <c r="FK1397" s="120"/>
      <c r="FL1397" s="120"/>
      <c r="FM1397" s="120"/>
      <c r="FN1397" s="120"/>
      <c r="FO1397" s="120"/>
      <c r="FP1397" s="120"/>
      <c r="FQ1397" s="120"/>
      <c r="FR1397" s="120"/>
      <c r="FS1397" s="120"/>
      <c r="FT1397" s="120"/>
      <c r="FU1397" s="120"/>
      <c r="FV1397" s="120"/>
      <c r="FW1397" s="120"/>
      <c r="FX1397" s="120"/>
      <c r="FY1397" s="120"/>
      <c r="FZ1397" s="120"/>
      <c r="GA1397" s="120"/>
      <c r="GB1397" s="120"/>
      <c r="GC1397" s="120"/>
      <c r="GD1397" s="120"/>
      <c r="GE1397" s="120"/>
      <c r="GF1397" s="120"/>
      <c r="GG1397" s="120"/>
      <c r="GH1397" s="120"/>
      <c r="GI1397" s="120"/>
      <c r="GJ1397" s="120"/>
      <c r="GK1397" s="120"/>
      <c r="GL1397" s="120"/>
      <c r="GM1397" s="120"/>
      <c r="GN1397" s="120"/>
      <c r="GO1397" s="120"/>
      <c r="GP1397" s="120"/>
      <c r="GQ1397" s="120"/>
      <c r="GR1397" s="120"/>
      <c r="GS1397" s="120"/>
      <c r="GT1397" s="120"/>
      <c r="GU1397" s="120"/>
      <c r="GV1397" s="120"/>
      <c r="GW1397" s="120"/>
      <c r="GX1397" s="120"/>
      <c r="GY1397" s="120"/>
      <c r="GZ1397" s="120"/>
      <c r="HA1397" s="120"/>
      <c r="HB1397" s="120"/>
      <c r="HC1397" s="120"/>
      <c r="HD1397" s="120"/>
      <c r="HE1397" s="120"/>
      <c r="HF1397" s="120"/>
      <c r="HG1397" s="120"/>
      <c r="HH1397" s="120"/>
      <c r="HI1397" s="120"/>
      <c r="HJ1397" s="120"/>
      <c r="HK1397" s="120"/>
      <c r="HL1397" s="120"/>
      <c r="HM1397" s="120"/>
      <c r="HN1397" s="120"/>
      <c r="HO1397" s="120"/>
      <c r="HP1397" s="120"/>
      <c r="HQ1397" s="120"/>
      <c r="HR1397" s="120"/>
      <c r="HS1397" s="120"/>
      <c r="HT1397" s="120"/>
      <c r="HU1397" s="120"/>
      <c r="HV1397" s="120"/>
      <c r="HW1397" s="120"/>
      <c r="HX1397" s="120"/>
      <c r="HY1397" s="120"/>
      <c r="HZ1397" s="120"/>
      <c r="IA1397" s="120"/>
      <c r="IB1397" s="120"/>
      <c r="IC1397" s="120"/>
      <c r="ID1397" s="120"/>
      <c r="IE1397" s="120"/>
      <c r="IF1397" s="120"/>
      <c r="IG1397" s="120"/>
      <c r="IH1397" s="120"/>
      <c r="II1397" s="120"/>
      <c r="IJ1397" s="120"/>
      <c r="IK1397" s="120"/>
      <c r="IL1397" s="120"/>
      <c r="IM1397" s="120"/>
      <c r="IN1397" s="120"/>
      <c r="IO1397" s="120"/>
      <c r="IP1397" s="120"/>
      <c r="IQ1397" s="120"/>
      <c r="IR1397" s="120"/>
      <c r="IS1397" s="120"/>
      <c r="IT1397" s="120"/>
      <c r="IU1397" s="120"/>
      <c r="IV1397" s="120"/>
      <c r="IW1397" s="120"/>
      <c r="IX1397" s="120"/>
      <c r="IY1397" s="120"/>
      <c r="IZ1397" s="120"/>
      <c r="JA1397" s="120"/>
      <c r="JB1397" s="120"/>
      <c r="JC1397" s="120"/>
      <c r="JD1397" s="120"/>
      <c r="JE1397" s="120"/>
      <c r="JF1397" s="120"/>
      <c r="JG1397" s="120"/>
      <c r="JH1397" s="120"/>
      <c r="JI1397" s="120"/>
      <c r="JJ1397" s="120"/>
      <c r="JK1397" s="120"/>
      <c r="JL1397" s="120"/>
      <c r="JM1397" s="120"/>
      <c r="JN1397" s="120"/>
      <c r="JO1397" s="120"/>
      <c r="JP1397" s="120"/>
      <c r="JQ1397" s="120"/>
      <c r="JR1397" s="120"/>
      <c r="JS1397" s="120"/>
      <c r="JT1397" s="120"/>
      <c r="JU1397" s="120"/>
      <c r="JV1397" s="120"/>
      <c r="JW1397" s="120"/>
      <c r="JX1397" s="120"/>
      <c r="JY1397" s="120"/>
      <c r="JZ1397" s="120"/>
      <c r="KA1397" s="120"/>
      <c r="KB1397" s="120"/>
      <c r="KC1397" s="120"/>
      <c r="KD1397" s="120"/>
      <c r="KE1397" s="120"/>
      <c r="KF1397" s="120"/>
      <c r="KG1397" s="120"/>
      <c r="KH1397" s="120"/>
      <c r="KI1397" s="120"/>
      <c r="KJ1397" s="120"/>
      <c r="KK1397" s="120"/>
      <c r="KL1397" s="120"/>
      <c r="KM1397" s="120"/>
      <c r="KN1397" s="120"/>
      <c r="KO1397" s="120"/>
      <c r="KP1397" s="120"/>
      <c r="KQ1397" s="120"/>
      <c r="KR1397" s="120"/>
      <c r="KS1397" s="120"/>
      <c r="KT1397" s="120"/>
      <c r="KU1397" s="120"/>
      <c r="KV1397" s="120"/>
      <c r="KW1397" s="120"/>
      <c r="KX1397" s="120"/>
      <c r="KY1397" s="120"/>
      <c r="KZ1397" s="120"/>
      <c r="LA1397" s="120"/>
      <c r="LB1397" s="120"/>
      <c r="LC1397" s="120"/>
      <c r="LD1397" s="120"/>
      <c r="LE1397" s="120"/>
      <c r="LF1397" s="120"/>
      <c r="LG1397" s="120"/>
      <c r="LH1397" s="120"/>
      <c r="LI1397" s="120"/>
      <c r="LJ1397" s="120"/>
      <c r="LK1397" s="120"/>
      <c r="LL1397" s="120"/>
      <c r="LM1397" s="120"/>
      <c r="LN1397" s="120"/>
      <c r="LO1397" s="120"/>
      <c r="LP1397" s="120"/>
      <c r="LQ1397" s="120"/>
      <c r="LR1397" s="120"/>
      <c r="LS1397" s="120"/>
      <c r="LT1397" s="120"/>
      <c r="LU1397" s="120"/>
      <c r="LV1397" s="120"/>
      <c r="LW1397" s="120"/>
      <c r="LX1397" s="120"/>
      <c r="LY1397" s="120"/>
      <c r="LZ1397" s="120"/>
      <c r="MA1397" s="120"/>
      <c r="MB1397" s="120"/>
      <c r="MC1397" s="120"/>
      <c r="MD1397" s="120"/>
      <c r="ME1397" s="120"/>
      <c r="MF1397" s="120"/>
      <c r="MG1397" s="120"/>
      <c r="MH1397" s="120"/>
      <c r="MI1397" s="120"/>
      <c r="MJ1397" s="120"/>
      <c r="MK1397" s="120"/>
      <c r="ML1397" s="120"/>
      <c r="MM1397" s="120"/>
      <c r="MN1397" s="120"/>
      <c r="MO1397" s="120"/>
      <c r="MP1397" s="120"/>
      <c r="MQ1397" s="120"/>
      <c r="MR1397" s="120"/>
      <c r="MS1397" s="120"/>
      <c r="MT1397" s="120"/>
      <c r="MU1397" s="120"/>
      <c r="MV1397" s="120"/>
      <c r="MW1397" s="120"/>
      <c r="MX1397" s="120"/>
      <c r="MY1397" s="120"/>
      <c r="MZ1397" s="120"/>
      <c r="NA1397" s="120"/>
      <c r="NB1397" s="120"/>
      <c r="NC1397" s="120"/>
      <c r="ND1397" s="120"/>
      <c r="NE1397" s="120"/>
      <c r="NF1397" s="120"/>
      <c r="NG1397" s="120"/>
      <c r="NH1397" s="120"/>
      <c r="NI1397" s="120"/>
      <c r="NJ1397" s="120"/>
      <c r="NK1397" s="120"/>
      <c r="NL1397" s="120"/>
      <c r="NM1397" s="120"/>
      <c r="NN1397" s="120"/>
      <c r="NO1397" s="120"/>
      <c r="NP1397" s="120"/>
      <c r="NQ1397" s="120"/>
      <c r="NR1397" s="120"/>
      <c r="NS1397" s="120"/>
      <c r="NT1397" s="120"/>
      <c r="NU1397" s="120"/>
      <c r="NV1397" s="120"/>
      <c r="NW1397" s="120"/>
      <c r="NX1397" s="120"/>
      <c r="NY1397" s="120"/>
      <c r="NZ1397" s="120"/>
      <c r="OA1397" s="120"/>
      <c r="OB1397" s="120"/>
      <c r="OC1397" s="120"/>
      <c r="OD1397" s="120"/>
      <c r="OE1397" s="120"/>
      <c r="OF1397" s="120"/>
      <c r="OG1397" s="120"/>
      <c r="OH1397" s="120"/>
      <c r="OI1397" s="120"/>
      <c r="OJ1397" s="120"/>
      <c r="OK1397" s="120"/>
      <c r="OL1397" s="120"/>
      <c r="OM1397" s="120"/>
      <c r="ON1397" s="120"/>
      <c r="OO1397" s="120"/>
      <c r="OP1397" s="120"/>
      <c r="OQ1397" s="120"/>
      <c r="OR1397" s="120"/>
      <c r="OS1397" s="120"/>
      <c r="OT1397" s="120"/>
      <c r="OU1397" s="120"/>
      <c r="OV1397" s="120"/>
      <c r="OW1397" s="120"/>
      <c r="OX1397" s="120"/>
      <c r="OY1397" s="120"/>
      <c r="OZ1397" s="120"/>
      <c r="PA1397" s="120"/>
      <c r="PB1397" s="120"/>
      <c r="PC1397" s="120"/>
      <c r="PD1397" s="120"/>
      <c r="PE1397" s="120"/>
      <c r="PF1397" s="120"/>
      <c r="PG1397" s="120"/>
      <c r="PH1397" s="120"/>
      <c r="PI1397" s="120"/>
      <c r="PJ1397" s="120"/>
      <c r="PK1397" s="120"/>
      <c r="PL1397" s="120"/>
      <c r="PM1397" s="120"/>
      <c r="PN1397" s="120"/>
      <c r="PO1397" s="120"/>
      <c r="PP1397" s="120"/>
      <c r="PQ1397" s="120"/>
      <c r="PR1397" s="120"/>
      <c r="PS1397" s="120"/>
      <c r="PT1397" s="120"/>
      <c r="PU1397" s="120"/>
      <c r="PV1397" s="120"/>
      <c r="PW1397" s="120"/>
      <c r="PX1397" s="120"/>
      <c r="PY1397" s="120"/>
      <c r="PZ1397" s="120"/>
      <c r="QA1397" s="120"/>
      <c r="QB1397" s="120"/>
      <c r="QC1397" s="120"/>
      <c r="QD1397" s="120"/>
      <c r="QE1397" s="120"/>
      <c r="QF1397" s="120"/>
      <c r="QG1397" s="120"/>
      <c r="QH1397" s="120"/>
      <c r="QI1397" s="120"/>
      <c r="QJ1397" s="120"/>
      <c r="QK1397" s="120"/>
      <c r="QL1397" s="120"/>
      <c r="QM1397" s="120"/>
      <c r="QN1397" s="120"/>
      <c r="QO1397" s="120"/>
      <c r="QP1397" s="120"/>
      <c r="QQ1397" s="120"/>
      <c r="QR1397" s="120"/>
      <c r="QS1397" s="120"/>
      <c r="QT1397" s="120"/>
      <c r="QU1397" s="120"/>
      <c r="QV1397" s="120"/>
      <c r="QW1397" s="120"/>
      <c r="QX1397" s="120"/>
      <c r="QY1397" s="120"/>
      <c r="QZ1397" s="120"/>
      <c r="RA1397" s="120"/>
      <c r="RB1397" s="120"/>
      <c r="RC1397" s="120"/>
      <c r="RD1397" s="120"/>
      <c r="RE1397" s="120"/>
      <c r="RF1397" s="120"/>
      <c r="RG1397" s="120"/>
      <c r="RH1397" s="120"/>
      <c r="RI1397" s="120"/>
      <c r="RJ1397" s="120"/>
      <c r="RK1397" s="120"/>
      <c r="RL1397" s="120"/>
      <c r="RM1397" s="120"/>
      <c r="RN1397" s="120"/>
      <c r="RO1397" s="120"/>
      <c r="RP1397" s="120"/>
      <c r="RQ1397" s="120"/>
      <c r="RR1397" s="120"/>
      <c r="RS1397" s="120"/>
      <c r="RT1397" s="120"/>
      <c r="RU1397" s="120"/>
      <c r="RV1397" s="120"/>
      <c r="RW1397" s="120"/>
      <c r="RX1397" s="120"/>
      <c r="RY1397" s="120"/>
      <c r="RZ1397" s="120"/>
      <c r="SA1397" s="120"/>
      <c r="SB1397" s="120"/>
      <c r="SC1397" s="120"/>
      <c r="SD1397" s="120"/>
      <c r="SE1397" s="120"/>
      <c r="SF1397" s="120"/>
      <c r="SG1397" s="120"/>
      <c r="SH1397" s="120"/>
      <c r="SI1397" s="120"/>
      <c r="SJ1397" s="120"/>
      <c r="SK1397" s="120"/>
      <c r="SL1397" s="120"/>
      <c r="SM1397" s="120"/>
      <c r="SN1397" s="120"/>
      <c r="SO1397" s="120"/>
      <c r="SP1397" s="120"/>
      <c r="SQ1397" s="120"/>
      <c r="SR1397" s="120"/>
      <c r="SS1397" s="120"/>
      <c r="ST1397" s="120"/>
      <c r="SU1397" s="120"/>
      <c r="SV1397" s="120"/>
      <c r="SW1397" s="120"/>
      <c r="SX1397" s="120"/>
      <c r="SY1397" s="120"/>
      <c r="SZ1397" s="120"/>
      <c r="TA1397" s="120"/>
      <c r="TB1397" s="120"/>
      <c r="TC1397" s="120"/>
      <c r="TD1397" s="120"/>
      <c r="TE1397" s="120"/>
      <c r="TF1397" s="120"/>
      <c r="TG1397" s="120"/>
      <c r="TH1397" s="120"/>
      <c r="TI1397" s="120"/>
      <c r="TJ1397" s="120"/>
      <c r="TK1397" s="120"/>
      <c r="TL1397" s="120"/>
      <c r="TM1397" s="120"/>
      <c r="TN1397" s="120"/>
      <c r="TO1397" s="120"/>
      <c r="TP1397" s="120"/>
      <c r="TQ1397" s="120"/>
      <c r="TR1397" s="120"/>
      <c r="TS1397" s="120"/>
      <c r="TT1397" s="120"/>
      <c r="TU1397" s="120"/>
      <c r="TV1397" s="120"/>
      <c r="TW1397" s="120"/>
      <c r="TX1397" s="120"/>
      <c r="TY1397" s="120"/>
      <c r="TZ1397" s="120"/>
      <c r="UA1397" s="120"/>
      <c r="UB1397" s="120"/>
      <c r="UC1397" s="120"/>
      <c r="UD1397" s="120"/>
      <c r="UE1397" s="120"/>
      <c r="UF1397" s="120"/>
      <c r="UG1397" s="120"/>
      <c r="UH1397" s="120"/>
      <c r="UI1397" s="120"/>
      <c r="UJ1397" s="120"/>
      <c r="UK1397" s="120"/>
      <c r="UL1397" s="120"/>
      <c r="UM1397" s="120"/>
      <c r="UN1397" s="120"/>
      <c r="UO1397" s="120"/>
      <c r="UP1397" s="120"/>
      <c r="UQ1397" s="120"/>
      <c r="UR1397" s="120"/>
      <c r="US1397" s="120"/>
      <c r="UT1397" s="120"/>
      <c r="UU1397" s="120"/>
      <c r="UV1397" s="120"/>
      <c r="UW1397" s="120"/>
      <c r="UX1397" s="120"/>
      <c r="UY1397" s="120"/>
      <c r="UZ1397" s="120"/>
      <c r="VA1397" s="120"/>
      <c r="VB1397" s="120"/>
      <c r="VC1397" s="120"/>
      <c r="VD1397" s="120"/>
      <c r="VE1397" s="120"/>
      <c r="VF1397" s="120"/>
      <c r="VG1397" s="120"/>
      <c r="VH1397" s="120"/>
      <c r="VI1397" s="120"/>
      <c r="VJ1397" s="120"/>
      <c r="VK1397" s="120"/>
      <c r="VL1397" s="120"/>
      <c r="VM1397" s="120"/>
      <c r="VN1397" s="120"/>
      <c r="VO1397" s="120"/>
      <c r="VP1397" s="120"/>
      <c r="VQ1397" s="120"/>
      <c r="VR1397" s="120"/>
      <c r="VS1397" s="120"/>
      <c r="VT1397" s="120"/>
      <c r="VU1397" s="120"/>
      <c r="VV1397" s="120"/>
      <c r="VW1397" s="120"/>
      <c r="VX1397" s="120"/>
      <c r="VY1397" s="120"/>
      <c r="VZ1397" s="120"/>
      <c r="WA1397" s="120"/>
      <c r="WB1397" s="120"/>
      <c r="WC1397" s="120"/>
      <c r="WD1397" s="120"/>
      <c r="WE1397" s="120"/>
      <c r="WF1397" s="120"/>
      <c r="WG1397" s="120"/>
      <c r="WH1397" s="120"/>
      <c r="WI1397" s="120"/>
      <c r="WJ1397" s="120"/>
      <c r="WK1397" s="120"/>
      <c r="WL1397" s="120"/>
      <c r="WM1397" s="120"/>
      <c r="WN1397" s="120"/>
      <c r="WO1397" s="120"/>
      <c r="WP1397" s="120"/>
      <c r="WQ1397" s="120"/>
      <c r="WR1397" s="120"/>
      <c r="WS1397" s="120"/>
      <c r="WT1397" s="120"/>
      <c r="WU1397" s="120"/>
      <c r="WV1397" s="120"/>
      <c r="WW1397" s="120"/>
      <c r="WX1397" s="120"/>
      <c r="WY1397" s="120"/>
      <c r="WZ1397" s="120"/>
      <c r="XA1397" s="120"/>
      <c r="XB1397" s="120"/>
      <c r="XC1397" s="120"/>
      <c r="XD1397" s="120"/>
      <c r="XE1397" s="120"/>
      <c r="XF1397" s="120"/>
      <c r="XG1397" s="120"/>
      <c r="XH1397" s="120"/>
      <c r="XI1397" s="120"/>
      <c r="XJ1397" s="120"/>
      <c r="XK1397" s="120"/>
      <c r="XL1397" s="120"/>
      <c r="XM1397" s="120"/>
      <c r="XN1397" s="120"/>
      <c r="XO1397" s="120"/>
      <c r="XP1397" s="120"/>
      <c r="XQ1397" s="120"/>
      <c r="XR1397" s="120"/>
      <c r="XS1397" s="120"/>
      <c r="XT1397" s="120"/>
      <c r="XU1397" s="120"/>
      <c r="XV1397" s="120"/>
      <c r="XW1397" s="120"/>
      <c r="XX1397" s="120"/>
      <c r="XY1397" s="120"/>
      <c r="XZ1397" s="120"/>
      <c r="YA1397" s="120"/>
      <c r="YB1397" s="120"/>
      <c r="YC1397" s="120"/>
      <c r="YD1397" s="120"/>
      <c r="YE1397" s="120"/>
      <c r="YF1397" s="120"/>
      <c r="YG1397" s="120"/>
      <c r="YH1397" s="120"/>
      <c r="YI1397" s="120"/>
      <c r="YJ1397" s="120"/>
      <c r="YK1397" s="120"/>
      <c r="YL1397" s="120"/>
      <c r="YM1397" s="120"/>
      <c r="YN1397" s="120"/>
      <c r="YO1397" s="120"/>
      <c r="YP1397" s="120"/>
      <c r="YQ1397" s="120"/>
      <c r="YR1397" s="120"/>
      <c r="YS1397" s="120"/>
      <c r="YT1397" s="120"/>
      <c r="YU1397" s="120"/>
      <c r="YV1397" s="120"/>
      <c r="YW1397" s="120"/>
      <c r="YX1397" s="120"/>
      <c r="YY1397" s="120"/>
      <c r="YZ1397" s="120"/>
      <c r="ZA1397" s="120"/>
      <c r="ZB1397" s="120"/>
      <c r="ZC1397" s="120"/>
      <c r="ZD1397" s="120"/>
      <c r="ZE1397" s="120"/>
      <c r="ZF1397" s="120"/>
      <c r="ZG1397" s="120"/>
      <c r="ZH1397" s="120"/>
      <c r="ZI1397" s="120"/>
      <c r="ZJ1397" s="120"/>
      <c r="ZK1397" s="120"/>
      <c r="ZL1397" s="120"/>
      <c r="ZM1397" s="120"/>
      <c r="ZN1397" s="120"/>
      <c r="ZO1397" s="120"/>
      <c r="ZP1397" s="120"/>
      <c r="ZQ1397" s="120"/>
      <c r="ZR1397" s="120"/>
      <c r="ZS1397" s="120"/>
      <c r="ZT1397" s="120"/>
      <c r="ZU1397" s="120"/>
      <c r="ZV1397" s="120"/>
      <c r="ZW1397" s="120"/>
      <c r="ZX1397" s="120"/>
      <c r="ZY1397" s="120"/>
      <c r="ZZ1397" s="120"/>
      <c r="AAA1397" s="120"/>
      <c r="AAB1397" s="120"/>
      <c r="AAC1397" s="120"/>
      <c r="AAD1397" s="120"/>
      <c r="AAE1397" s="120"/>
      <c r="AAF1397" s="120"/>
      <c r="AAG1397" s="120"/>
      <c r="AAH1397" s="120"/>
      <c r="AAI1397" s="120"/>
      <c r="AAJ1397" s="120"/>
      <c r="AAK1397" s="120"/>
      <c r="AAL1397" s="120"/>
      <c r="AAM1397" s="120"/>
      <c r="AAN1397" s="120"/>
      <c r="AAO1397" s="120"/>
      <c r="AAP1397" s="120"/>
      <c r="AAQ1397" s="120"/>
      <c r="AAR1397" s="120"/>
      <c r="AAS1397" s="120"/>
      <c r="AAT1397" s="120"/>
      <c r="AAU1397" s="120"/>
      <c r="AAV1397" s="120"/>
      <c r="AAW1397" s="120"/>
      <c r="AAX1397" s="120"/>
      <c r="AAY1397" s="120"/>
      <c r="AAZ1397" s="120"/>
      <c r="ABA1397" s="120"/>
      <c r="ABB1397" s="120"/>
      <c r="ABC1397" s="120"/>
      <c r="ABD1397" s="120"/>
      <c r="ABE1397" s="120"/>
      <c r="ABF1397" s="120"/>
      <c r="ABG1397" s="120"/>
      <c r="ABH1397" s="120"/>
      <c r="ABI1397" s="120"/>
      <c r="ABJ1397" s="120"/>
      <c r="ABK1397" s="120"/>
      <c r="ABL1397" s="120"/>
      <c r="ABM1397" s="120"/>
      <c r="ABN1397" s="120"/>
      <c r="ABO1397" s="120"/>
      <c r="ABP1397" s="120"/>
      <c r="ABQ1397" s="120"/>
      <c r="ABR1397" s="120"/>
      <c r="ABS1397" s="120"/>
      <c r="ABT1397" s="120"/>
      <c r="ABU1397" s="120"/>
      <c r="ABV1397" s="120"/>
      <c r="ABW1397" s="120"/>
      <c r="ABX1397" s="120"/>
      <c r="ABY1397" s="120"/>
      <c r="ABZ1397" s="120"/>
      <c r="ACA1397" s="120"/>
      <c r="ACB1397" s="120"/>
      <c r="ACC1397" s="120"/>
      <c r="ACD1397" s="120"/>
      <c r="ACE1397" s="120"/>
      <c r="ACF1397" s="120"/>
      <c r="ACG1397" s="120"/>
      <c r="ACH1397" s="120"/>
      <c r="ACI1397" s="120"/>
      <c r="ACJ1397" s="120"/>
      <c r="ACK1397" s="120"/>
      <c r="ACL1397" s="120"/>
      <c r="ACM1397" s="120"/>
      <c r="ACN1397" s="120"/>
      <c r="ACO1397" s="120"/>
      <c r="ACP1397" s="120"/>
      <c r="ACQ1397" s="120"/>
      <c r="ACR1397" s="120"/>
      <c r="ACS1397" s="120"/>
      <c r="ACT1397" s="120"/>
      <c r="ACU1397" s="120"/>
      <c r="ACV1397" s="120"/>
      <c r="ACW1397" s="120"/>
      <c r="ACX1397" s="120"/>
      <c r="ACY1397" s="120"/>
      <c r="ACZ1397" s="120"/>
      <c r="ADA1397" s="120"/>
      <c r="ADB1397" s="120"/>
      <c r="ADC1397" s="120"/>
      <c r="ADD1397" s="120"/>
      <c r="ADE1397" s="120"/>
      <c r="ADF1397" s="120"/>
      <c r="ADG1397" s="120"/>
      <c r="ADH1397" s="120"/>
      <c r="ADI1397" s="120"/>
      <c r="ADJ1397" s="120"/>
      <c r="ADK1397" s="120"/>
      <c r="ADL1397" s="120"/>
      <c r="ADM1397" s="120"/>
      <c r="ADN1397" s="120"/>
      <c r="ADO1397" s="120"/>
      <c r="ADP1397" s="120"/>
      <c r="ADQ1397" s="120"/>
      <c r="ADR1397" s="120"/>
      <c r="ADS1397" s="120"/>
      <c r="ADT1397" s="120"/>
      <c r="ADU1397" s="120"/>
      <c r="ADV1397" s="120"/>
      <c r="ADW1397" s="120"/>
      <c r="ADX1397" s="120"/>
      <c r="ADY1397" s="120"/>
      <c r="ADZ1397" s="120"/>
      <c r="AEA1397" s="120"/>
      <c r="AEB1397" s="120"/>
      <c r="AEC1397" s="120"/>
      <c r="AED1397" s="120"/>
      <c r="AEE1397" s="120"/>
      <c r="AEF1397" s="120"/>
      <c r="AEG1397" s="120"/>
      <c r="AEH1397" s="120"/>
      <c r="AEI1397" s="120"/>
      <c r="AEJ1397" s="120"/>
      <c r="AEK1397" s="120"/>
      <c r="AEL1397" s="120"/>
      <c r="AEM1397" s="120"/>
      <c r="AEN1397" s="120"/>
      <c r="AEO1397" s="120"/>
      <c r="AEP1397" s="120"/>
      <c r="AEQ1397" s="120"/>
      <c r="AER1397" s="120"/>
      <c r="AES1397" s="120"/>
      <c r="AET1397" s="120"/>
      <c r="AEU1397" s="120"/>
      <c r="AEV1397" s="120"/>
      <c r="AEW1397" s="120"/>
      <c r="AEX1397" s="120"/>
      <c r="AEY1397" s="120"/>
      <c r="AEZ1397" s="120"/>
      <c r="AFA1397" s="120"/>
      <c r="AFB1397" s="120"/>
      <c r="AFC1397" s="120"/>
      <c r="AFD1397" s="120"/>
      <c r="AFE1397" s="120"/>
      <c r="AFF1397" s="120"/>
      <c r="AFG1397" s="120"/>
      <c r="AFH1397" s="120"/>
      <c r="AFI1397" s="120"/>
      <c r="AFJ1397" s="120"/>
      <c r="AFK1397" s="120"/>
      <c r="AFL1397" s="120"/>
      <c r="AFM1397" s="120"/>
      <c r="AFN1397" s="120"/>
      <c r="AFO1397" s="120"/>
      <c r="AFP1397" s="120"/>
      <c r="AFQ1397" s="120"/>
      <c r="AFR1397" s="120"/>
      <c r="AFS1397" s="120"/>
      <c r="AFT1397" s="120"/>
      <c r="AFU1397" s="120"/>
      <c r="AFV1397" s="120"/>
      <c r="AFW1397" s="120"/>
      <c r="AFX1397" s="120"/>
      <c r="AFY1397" s="120"/>
      <c r="AFZ1397" s="120"/>
      <c r="AGA1397" s="120"/>
      <c r="AGB1397" s="120"/>
      <c r="AGC1397" s="120"/>
      <c r="AGD1397" s="120"/>
      <c r="AGE1397" s="120"/>
      <c r="AGF1397" s="120"/>
      <c r="AGG1397" s="120"/>
      <c r="AGH1397" s="120"/>
      <c r="AGI1397" s="120"/>
      <c r="AGJ1397" s="120"/>
      <c r="AGK1397" s="120"/>
      <c r="AGL1397" s="120"/>
      <c r="AGM1397" s="120"/>
      <c r="AGN1397" s="120"/>
      <c r="AGO1397" s="120"/>
      <c r="AGP1397" s="120"/>
      <c r="AGQ1397" s="120"/>
      <c r="AGR1397" s="120"/>
      <c r="AGS1397" s="120"/>
      <c r="AGT1397" s="120"/>
      <c r="AGU1397" s="120"/>
      <c r="AGV1397" s="120"/>
      <c r="AGW1397" s="120"/>
      <c r="AGX1397" s="120"/>
      <c r="AGY1397" s="120"/>
      <c r="AGZ1397" s="120"/>
      <c r="AHA1397" s="120"/>
      <c r="AHB1397" s="120"/>
      <c r="AHC1397" s="120"/>
      <c r="AHD1397" s="120"/>
      <c r="AHE1397" s="120"/>
      <c r="AHF1397" s="120"/>
      <c r="AHG1397" s="120"/>
      <c r="AHH1397" s="120"/>
      <c r="AHI1397" s="120"/>
      <c r="AHJ1397" s="120"/>
      <c r="AHK1397" s="120"/>
      <c r="AHL1397" s="120"/>
      <c r="AHM1397" s="120"/>
      <c r="AHN1397" s="120"/>
      <c r="AHO1397" s="120"/>
      <c r="AHP1397" s="120"/>
      <c r="AHQ1397" s="120"/>
      <c r="AHR1397" s="120"/>
      <c r="AHS1397" s="120"/>
      <c r="AHT1397" s="120"/>
      <c r="AHU1397" s="120"/>
      <c r="AHV1397" s="120"/>
      <c r="AHW1397" s="120"/>
      <c r="AHX1397" s="120"/>
      <c r="AHY1397" s="120"/>
      <c r="AHZ1397" s="120"/>
      <c r="AIA1397" s="120"/>
      <c r="AIB1397" s="120"/>
      <c r="AIC1397" s="120"/>
      <c r="AID1397" s="120"/>
      <c r="AIE1397" s="120"/>
      <c r="AIF1397" s="120"/>
      <c r="AIG1397" s="120"/>
      <c r="AIH1397" s="120"/>
      <c r="AII1397" s="120"/>
      <c r="AIJ1397" s="120"/>
      <c r="AIK1397" s="120"/>
      <c r="AIL1397" s="120"/>
      <c r="AIM1397" s="120"/>
      <c r="AIN1397" s="120"/>
      <c r="AIO1397" s="120"/>
      <c r="AIP1397" s="120"/>
      <c r="AIQ1397" s="120"/>
      <c r="AIR1397" s="120"/>
      <c r="AIS1397" s="120"/>
      <c r="AIT1397" s="120"/>
      <c r="AIU1397" s="120"/>
      <c r="AIV1397" s="120"/>
      <c r="AIW1397" s="120"/>
      <c r="AIX1397" s="120"/>
      <c r="AIY1397" s="120"/>
      <c r="AIZ1397" s="120"/>
      <c r="AJA1397" s="120"/>
      <c r="AJB1397" s="120"/>
      <c r="AJC1397" s="120"/>
      <c r="AJD1397" s="120"/>
      <c r="AJE1397" s="120"/>
      <c r="AJF1397" s="120"/>
      <c r="AJG1397" s="120"/>
      <c r="AJH1397" s="120"/>
      <c r="AJI1397" s="120"/>
      <c r="AJJ1397" s="120"/>
      <c r="AJK1397" s="120"/>
      <c r="AJL1397" s="120"/>
      <c r="AJM1397" s="120"/>
      <c r="AJN1397" s="120"/>
      <c r="AJO1397" s="120"/>
      <c r="AJP1397" s="120"/>
      <c r="AJQ1397" s="120"/>
      <c r="AJR1397" s="120"/>
      <c r="AJS1397" s="120"/>
      <c r="AJT1397" s="120"/>
      <c r="AJU1397" s="120"/>
      <c r="AJV1397" s="120"/>
      <c r="AJW1397" s="120"/>
      <c r="AJX1397" s="120"/>
      <c r="AJY1397" s="120"/>
      <c r="AJZ1397" s="120"/>
      <c r="AKA1397" s="120"/>
      <c r="AKB1397" s="120"/>
      <c r="AKC1397" s="120"/>
      <c r="AKD1397" s="120"/>
      <c r="AKE1397" s="120"/>
      <c r="AKF1397" s="120"/>
      <c r="AKG1397" s="120"/>
      <c r="AKH1397" s="120"/>
      <c r="AKI1397" s="120"/>
      <c r="AKJ1397" s="120"/>
      <c r="AKK1397" s="120"/>
      <c r="AKL1397" s="120"/>
      <c r="AKM1397" s="120"/>
      <c r="AKN1397" s="120"/>
      <c r="AKO1397" s="120"/>
      <c r="AKP1397" s="120"/>
      <c r="AKQ1397" s="120"/>
      <c r="AKR1397" s="120"/>
      <c r="AKS1397" s="120"/>
      <c r="AKT1397" s="120"/>
      <c r="AKU1397" s="120"/>
      <c r="AKV1397" s="120"/>
      <c r="AKW1397" s="120"/>
      <c r="AKX1397" s="120"/>
      <c r="AKY1397" s="120"/>
      <c r="AKZ1397" s="120"/>
      <c r="ALA1397" s="120"/>
      <c r="ALB1397" s="120"/>
      <c r="ALC1397" s="120"/>
      <c r="ALD1397" s="120"/>
      <c r="ALE1397" s="120"/>
      <c r="ALF1397" s="120"/>
      <c r="ALG1397" s="120"/>
      <c r="ALH1397" s="120"/>
      <c r="ALI1397" s="120"/>
      <c r="ALJ1397" s="120"/>
      <c r="ALK1397" s="120"/>
      <c r="ALL1397" s="120"/>
      <c r="ALM1397" s="120"/>
      <c r="ALN1397" s="120"/>
      <c r="ALO1397" s="120"/>
      <c r="ALP1397" s="120"/>
      <c r="ALQ1397" s="120"/>
      <c r="ALR1397" s="120"/>
      <c r="ALS1397" s="120"/>
      <c r="ALT1397" s="120"/>
      <c r="ALU1397" s="120"/>
      <c r="ALV1397" s="120"/>
      <c r="ALW1397" s="120"/>
      <c r="ALX1397" s="120"/>
      <c r="ALY1397" s="120"/>
      <c r="ALZ1397" s="120"/>
      <c r="AMA1397" s="120"/>
      <c r="AMB1397" s="120"/>
      <c r="AMC1397" s="120"/>
      <c r="AMD1397" s="120"/>
      <c r="AME1397" s="120"/>
      <c r="AMF1397" s="120"/>
      <c r="AMG1397" s="120"/>
      <c r="AMH1397" s="120"/>
      <c r="AMI1397" s="120"/>
      <c r="AMJ1397" s="120"/>
      <c r="AMK1397" s="120"/>
      <c r="AML1397" s="120"/>
      <c r="AMM1397" s="120"/>
      <c r="AMN1397" s="120"/>
      <c r="AMO1397" s="120"/>
      <c r="AMP1397" s="120"/>
      <c r="AMQ1397" s="120"/>
      <c r="AMR1397" s="120"/>
      <c r="AMS1397" s="120"/>
      <c r="AMT1397" s="120"/>
      <c r="AMU1397" s="120"/>
      <c r="AMV1397" s="120"/>
      <c r="AMW1397" s="120"/>
      <c r="AMX1397" s="120"/>
      <c r="AMY1397" s="120"/>
      <c r="AMZ1397" s="120"/>
      <c r="ANA1397" s="120"/>
      <c r="ANB1397" s="120"/>
      <c r="ANC1397" s="120"/>
      <c r="AND1397" s="120"/>
      <c r="ANE1397" s="120"/>
      <c r="ANF1397" s="120"/>
      <c r="ANG1397" s="120"/>
      <c r="ANH1397" s="120"/>
      <c r="ANI1397" s="120"/>
      <c r="ANJ1397" s="120"/>
      <c r="ANK1397" s="120"/>
      <c r="ANL1397" s="120"/>
      <c r="ANM1397" s="120"/>
      <c r="ANN1397" s="120"/>
      <c r="ANO1397" s="120"/>
      <c r="ANP1397" s="120"/>
      <c r="ANQ1397" s="120"/>
      <c r="ANR1397" s="120"/>
      <c r="ANS1397" s="120"/>
      <c r="ANT1397" s="120"/>
      <c r="ANU1397" s="120"/>
      <c r="ANV1397" s="120"/>
      <c r="ANW1397" s="120"/>
      <c r="ANX1397" s="120"/>
      <c r="ANY1397" s="120"/>
      <c r="ANZ1397" s="120"/>
      <c r="AOA1397" s="120"/>
      <c r="AOB1397" s="120"/>
      <c r="AOC1397" s="120"/>
      <c r="AOD1397" s="120"/>
      <c r="AOE1397" s="120"/>
      <c r="AOF1397" s="120"/>
      <c r="AOG1397" s="120"/>
      <c r="AOH1397" s="120"/>
      <c r="AOI1397" s="120"/>
      <c r="AOJ1397" s="120"/>
      <c r="AOK1397" s="120"/>
      <c r="AOL1397" s="120"/>
      <c r="AOM1397" s="120"/>
      <c r="AON1397" s="120"/>
      <c r="AOO1397" s="120"/>
      <c r="AOP1397" s="120"/>
      <c r="AOQ1397" s="120"/>
      <c r="AOR1397" s="120"/>
      <c r="AOS1397" s="120"/>
      <c r="AOT1397" s="120"/>
      <c r="AOU1397" s="120"/>
      <c r="AOV1397" s="120"/>
      <c r="AOW1397" s="120"/>
      <c r="AOX1397" s="120"/>
      <c r="AOY1397" s="120"/>
      <c r="AOZ1397" s="120"/>
      <c r="APA1397" s="120"/>
      <c r="APB1397" s="120"/>
      <c r="APC1397" s="120"/>
      <c r="APD1397" s="120"/>
      <c r="APE1397" s="120"/>
      <c r="APF1397" s="120"/>
      <c r="APG1397" s="120"/>
      <c r="APH1397" s="120"/>
      <c r="API1397" s="120"/>
      <c r="APJ1397" s="120"/>
      <c r="APK1397" s="120"/>
      <c r="APL1397" s="120"/>
      <c r="APM1397" s="120"/>
      <c r="APN1397" s="120"/>
      <c r="APO1397" s="120"/>
      <c r="APP1397" s="120"/>
      <c r="APQ1397" s="120"/>
      <c r="APR1397" s="120"/>
      <c r="APS1397" s="120"/>
      <c r="APT1397" s="120"/>
      <c r="APU1397" s="120"/>
      <c r="APV1397" s="120"/>
      <c r="APW1397" s="120"/>
      <c r="APX1397" s="120"/>
      <c r="APY1397" s="120"/>
      <c r="APZ1397" s="120"/>
      <c r="AQA1397" s="120"/>
      <c r="AQB1397" s="120"/>
      <c r="AQC1397" s="120"/>
      <c r="AQD1397" s="120"/>
      <c r="AQE1397" s="120"/>
      <c r="AQF1397" s="120"/>
      <c r="AQG1397" s="120"/>
      <c r="AQH1397" s="120"/>
      <c r="AQI1397" s="120"/>
      <c r="AQJ1397" s="120"/>
      <c r="AQK1397" s="120"/>
      <c r="AQL1397" s="120"/>
      <c r="AQM1397" s="120"/>
      <c r="AQN1397" s="120"/>
      <c r="AQO1397" s="120"/>
      <c r="AQP1397" s="120"/>
      <c r="AQQ1397" s="120"/>
      <c r="AQR1397" s="120"/>
      <c r="AQS1397" s="120"/>
      <c r="AQT1397" s="120"/>
      <c r="AQU1397" s="120"/>
      <c r="AQV1397" s="120"/>
      <c r="AQW1397" s="120"/>
      <c r="AQX1397" s="120"/>
      <c r="AQY1397" s="120"/>
      <c r="AQZ1397" s="120"/>
      <c r="ARA1397" s="120"/>
      <c r="ARB1397" s="120"/>
      <c r="ARC1397" s="120"/>
      <c r="ARD1397" s="120"/>
      <c r="ARE1397" s="120"/>
      <c r="ARF1397" s="120"/>
      <c r="ARG1397" s="120"/>
      <c r="ARH1397" s="120"/>
      <c r="ARI1397" s="120"/>
      <c r="ARJ1397" s="120"/>
      <c r="ARK1397" s="120"/>
      <c r="ARL1397" s="120"/>
      <c r="ARM1397" s="120"/>
      <c r="ARN1397" s="120"/>
      <c r="ARO1397" s="120"/>
      <c r="ARP1397" s="120"/>
      <c r="ARQ1397" s="120"/>
      <c r="ARR1397" s="120"/>
      <c r="ARS1397" s="120"/>
      <c r="ART1397" s="120"/>
      <c r="ARU1397" s="120"/>
      <c r="ARV1397" s="120"/>
      <c r="ARW1397" s="120"/>
      <c r="ARX1397" s="120"/>
      <c r="ARY1397" s="120"/>
      <c r="ARZ1397" s="120"/>
      <c r="ASA1397" s="120"/>
      <c r="ASB1397" s="120"/>
      <c r="ASC1397" s="120"/>
      <c r="ASD1397" s="120"/>
      <c r="ASE1397" s="120"/>
      <c r="ASF1397" s="120"/>
      <c r="ASG1397" s="120"/>
      <c r="ASH1397" s="120"/>
      <c r="ASI1397" s="120"/>
      <c r="ASJ1397" s="120"/>
      <c r="ASK1397" s="120"/>
      <c r="ASL1397" s="120"/>
      <c r="ASM1397" s="120"/>
      <c r="ASN1397" s="120"/>
      <c r="ASO1397" s="120"/>
      <c r="ASP1397" s="120"/>
      <c r="ASQ1397" s="120"/>
      <c r="ASR1397" s="120"/>
      <c r="ASS1397" s="120"/>
      <c r="AST1397" s="120"/>
      <c r="ASU1397" s="120"/>
      <c r="ASV1397" s="120"/>
      <c r="ASW1397" s="120"/>
      <c r="ASX1397" s="120"/>
      <c r="ASY1397" s="120"/>
      <c r="ASZ1397" s="120"/>
      <c r="ATA1397" s="120"/>
      <c r="ATB1397" s="120"/>
      <c r="ATC1397" s="120"/>
      <c r="ATD1397" s="120"/>
      <c r="ATE1397" s="120"/>
      <c r="ATF1397" s="120"/>
      <c r="ATG1397" s="120"/>
      <c r="ATH1397" s="120"/>
      <c r="ATI1397" s="120"/>
      <c r="ATJ1397" s="120"/>
      <c r="ATK1397" s="120"/>
      <c r="ATL1397" s="120"/>
      <c r="ATM1397" s="120"/>
      <c r="ATN1397" s="120"/>
      <c r="ATO1397" s="120"/>
    </row>
    <row r="1398" spans="1:1211" s="20" customFormat="1" ht="14.1" customHeight="1">
      <c r="A1398" s="112"/>
      <c r="B1398" s="184"/>
      <c r="C1398" s="184" t="s">
        <v>3043</v>
      </c>
      <c r="D1398" s="120"/>
      <c r="E1398" s="701"/>
      <c r="F1398" s="703"/>
      <c r="G1398" s="702"/>
      <c r="H1398" s="702"/>
      <c r="I1398" s="702"/>
      <c r="J1398" s="700"/>
      <c r="K1398" s="112"/>
      <c r="L1398" s="363"/>
      <c r="M1398" s="112"/>
      <c r="N1398" s="362"/>
      <c r="O1398" s="573"/>
      <c r="P1398" s="120"/>
      <c r="Q1398" s="120"/>
      <c r="R1398" s="120"/>
      <c r="S1398" s="120"/>
      <c r="T1398" s="120"/>
      <c r="U1398" s="120"/>
      <c r="V1398" s="120"/>
      <c r="W1398" s="120"/>
      <c r="X1398" s="120"/>
      <c r="Y1398" s="120"/>
      <c r="Z1398" s="120"/>
      <c r="AA1398" s="120"/>
      <c r="AB1398" s="120"/>
      <c r="AC1398" s="120"/>
      <c r="AD1398" s="120"/>
      <c r="AE1398" s="120"/>
      <c r="AF1398" s="120"/>
      <c r="AG1398" s="120"/>
      <c r="AH1398" s="120"/>
      <c r="AI1398" s="120"/>
      <c r="AJ1398" s="120"/>
      <c r="AK1398" s="120"/>
      <c r="AL1398" s="120"/>
      <c r="AM1398" s="120"/>
      <c r="AN1398" s="120"/>
      <c r="AO1398" s="120"/>
      <c r="AP1398" s="120"/>
      <c r="AQ1398" s="120"/>
      <c r="AR1398" s="120"/>
      <c r="AS1398" s="120"/>
      <c r="AT1398" s="120"/>
      <c r="AU1398" s="120"/>
      <c r="AV1398" s="120"/>
      <c r="AW1398" s="120"/>
      <c r="AX1398" s="120"/>
      <c r="AY1398" s="120"/>
      <c r="AZ1398" s="120"/>
      <c r="BA1398" s="120"/>
      <c r="BB1398" s="120"/>
      <c r="BC1398" s="120"/>
      <c r="BD1398" s="120"/>
      <c r="BE1398" s="120"/>
      <c r="BF1398" s="120"/>
      <c r="BG1398" s="120"/>
      <c r="BH1398" s="120"/>
      <c r="BI1398" s="120"/>
      <c r="BJ1398" s="120"/>
      <c r="BK1398" s="120"/>
      <c r="BL1398" s="120"/>
      <c r="BM1398" s="120"/>
      <c r="BN1398" s="120"/>
      <c r="BO1398" s="120"/>
      <c r="BP1398" s="120"/>
      <c r="BQ1398" s="120"/>
      <c r="BR1398" s="120"/>
      <c r="BS1398" s="120"/>
      <c r="BT1398" s="120"/>
      <c r="BU1398" s="120"/>
      <c r="BV1398" s="120"/>
      <c r="BW1398" s="120"/>
      <c r="BX1398" s="120"/>
      <c r="BY1398" s="120"/>
      <c r="BZ1398" s="120"/>
      <c r="CA1398" s="120"/>
      <c r="CB1398" s="120"/>
      <c r="CC1398" s="120"/>
      <c r="CD1398" s="120"/>
      <c r="CE1398" s="120"/>
      <c r="CF1398" s="120"/>
      <c r="CG1398" s="120"/>
      <c r="CH1398" s="120"/>
      <c r="CI1398" s="120"/>
      <c r="CJ1398" s="120"/>
      <c r="CK1398" s="120"/>
      <c r="CL1398" s="120"/>
      <c r="CM1398" s="120"/>
      <c r="CN1398" s="120"/>
      <c r="CO1398" s="120"/>
      <c r="CP1398" s="120"/>
      <c r="CQ1398" s="120"/>
      <c r="CR1398" s="120"/>
      <c r="CS1398" s="120"/>
      <c r="CT1398" s="120"/>
      <c r="CU1398" s="120"/>
      <c r="CV1398" s="120"/>
      <c r="CW1398" s="120"/>
      <c r="CX1398" s="120"/>
      <c r="CY1398" s="120"/>
      <c r="CZ1398" s="120"/>
      <c r="DA1398" s="120"/>
      <c r="DB1398" s="120"/>
      <c r="DC1398" s="120"/>
      <c r="DD1398" s="120"/>
      <c r="DE1398" s="120"/>
      <c r="DF1398" s="120"/>
      <c r="DG1398" s="120"/>
      <c r="DH1398" s="120"/>
      <c r="DI1398" s="120"/>
      <c r="DJ1398" s="120"/>
      <c r="DK1398" s="120"/>
      <c r="DL1398" s="120"/>
      <c r="DM1398" s="120"/>
      <c r="DN1398" s="120"/>
      <c r="DO1398" s="120"/>
      <c r="DP1398" s="120"/>
      <c r="DQ1398" s="120"/>
      <c r="DR1398" s="120"/>
      <c r="DS1398" s="120"/>
      <c r="DT1398" s="120"/>
      <c r="DU1398" s="120"/>
      <c r="DV1398" s="120"/>
      <c r="DW1398" s="120"/>
      <c r="DX1398" s="120"/>
      <c r="DY1398" s="120"/>
      <c r="DZ1398" s="120"/>
      <c r="EA1398" s="120"/>
      <c r="EB1398" s="120"/>
      <c r="EC1398" s="120"/>
      <c r="ED1398" s="120"/>
      <c r="EE1398" s="120"/>
      <c r="EF1398" s="120"/>
      <c r="EG1398" s="120"/>
      <c r="EH1398" s="120"/>
      <c r="EI1398" s="120"/>
      <c r="EJ1398" s="120"/>
      <c r="EK1398" s="120"/>
      <c r="EL1398" s="120"/>
      <c r="EM1398" s="120"/>
      <c r="EN1398" s="120"/>
      <c r="EO1398" s="120"/>
      <c r="EP1398" s="120"/>
      <c r="EQ1398" s="120"/>
      <c r="ER1398" s="120"/>
      <c r="ES1398" s="120"/>
      <c r="ET1398" s="120"/>
      <c r="EU1398" s="120"/>
      <c r="EV1398" s="120"/>
      <c r="EW1398" s="120"/>
      <c r="EX1398" s="120"/>
      <c r="EY1398" s="120"/>
      <c r="EZ1398" s="120"/>
      <c r="FA1398" s="120"/>
      <c r="FB1398" s="120"/>
      <c r="FC1398" s="120"/>
      <c r="FD1398" s="120"/>
      <c r="FE1398" s="120"/>
      <c r="FF1398" s="120"/>
      <c r="FG1398" s="120"/>
      <c r="FH1398" s="120"/>
      <c r="FI1398" s="120"/>
      <c r="FJ1398" s="120"/>
      <c r="FK1398" s="120"/>
      <c r="FL1398" s="120"/>
      <c r="FM1398" s="120"/>
      <c r="FN1398" s="120"/>
      <c r="FO1398" s="120"/>
      <c r="FP1398" s="120"/>
      <c r="FQ1398" s="120"/>
      <c r="FR1398" s="120"/>
      <c r="FS1398" s="120"/>
      <c r="FT1398" s="120"/>
      <c r="FU1398" s="120"/>
      <c r="FV1398" s="120"/>
      <c r="FW1398" s="120"/>
      <c r="FX1398" s="120"/>
      <c r="FY1398" s="120"/>
      <c r="FZ1398" s="120"/>
      <c r="GA1398" s="120"/>
      <c r="GB1398" s="120"/>
      <c r="GC1398" s="120"/>
      <c r="GD1398" s="120"/>
      <c r="GE1398" s="120"/>
      <c r="GF1398" s="120"/>
      <c r="GG1398" s="120"/>
      <c r="GH1398" s="120"/>
      <c r="GI1398" s="120"/>
      <c r="GJ1398" s="120"/>
      <c r="GK1398" s="120"/>
      <c r="GL1398" s="120"/>
      <c r="GM1398" s="120"/>
      <c r="GN1398" s="120"/>
      <c r="GO1398" s="120"/>
      <c r="GP1398" s="120"/>
      <c r="GQ1398" s="120"/>
      <c r="GR1398" s="120"/>
      <c r="GS1398" s="120"/>
      <c r="GT1398" s="120"/>
      <c r="GU1398" s="120"/>
      <c r="GV1398" s="120"/>
      <c r="GW1398" s="120"/>
      <c r="GX1398" s="120"/>
      <c r="GY1398" s="120"/>
      <c r="GZ1398" s="120"/>
      <c r="HA1398" s="120"/>
      <c r="HB1398" s="120"/>
      <c r="HC1398" s="120"/>
      <c r="HD1398" s="120"/>
      <c r="HE1398" s="120"/>
      <c r="HF1398" s="120"/>
      <c r="HG1398" s="120"/>
      <c r="HH1398" s="120"/>
      <c r="HI1398" s="120"/>
      <c r="HJ1398" s="120"/>
      <c r="HK1398" s="120"/>
      <c r="HL1398" s="120"/>
      <c r="HM1398" s="120"/>
      <c r="HN1398" s="120"/>
      <c r="HO1398" s="120"/>
      <c r="HP1398" s="120"/>
      <c r="HQ1398" s="120"/>
      <c r="HR1398" s="120"/>
      <c r="HS1398" s="120"/>
      <c r="HT1398" s="120"/>
      <c r="HU1398" s="120"/>
      <c r="HV1398" s="120"/>
      <c r="HW1398" s="120"/>
      <c r="HX1398" s="120"/>
      <c r="HY1398" s="120"/>
      <c r="HZ1398" s="120"/>
      <c r="IA1398" s="120"/>
      <c r="IB1398" s="120"/>
      <c r="IC1398" s="120"/>
      <c r="ID1398" s="120"/>
      <c r="IE1398" s="120"/>
      <c r="IF1398" s="120"/>
      <c r="IG1398" s="120"/>
      <c r="IH1398" s="120"/>
      <c r="II1398" s="120"/>
      <c r="IJ1398" s="120"/>
      <c r="IK1398" s="120"/>
      <c r="IL1398" s="120"/>
      <c r="IM1398" s="120"/>
      <c r="IN1398" s="120"/>
      <c r="IO1398" s="120"/>
      <c r="IP1398" s="120"/>
      <c r="IQ1398" s="120"/>
      <c r="IR1398" s="120"/>
      <c r="IS1398" s="120"/>
      <c r="IT1398" s="120"/>
      <c r="IU1398" s="120"/>
      <c r="IV1398" s="120"/>
      <c r="IW1398" s="120"/>
      <c r="IX1398" s="120"/>
      <c r="IY1398" s="120"/>
      <c r="IZ1398" s="120"/>
      <c r="JA1398" s="120"/>
      <c r="JB1398" s="120"/>
      <c r="JC1398" s="120"/>
      <c r="JD1398" s="120"/>
      <c r="JE1398" s="120"/>
      <c r="JF1398" s="120"/>
      <c r="JG1398" s="120"/>
      <c r="JH1398" s="120"/>
      <c r="JI1398" s="120"/>
      <c r="JJ1398" s="120"/>
      <c r="JK1398" s="120"/>
      <c r="JL1398" s="120"/>
      <c r="JM1398" s="120"/>
      <c r="JN1398" s="120"/>
      <c r="JO1398" s="120"/>
      <c r="JP1398" s="120"/>
      <c r="JQ1398" s="120"/>
      <c r="JR1398" s="120"/>
      <c r="JS1398" s="120"/>
      <c r="JT1398" s="120"/>
      <c r="JU1398" s="120"/>
      <c r="JV1398" s="120"/>
      <c r="JW1398" s="120"/>
      <c r="JX1398" s="120"/>
      <c r="JY1398" s="120"/>
      <c r="JZ1398" s="120"/>
      <c r="KA1398" s="120"/>
      <c r="KB1398" s="120"/>
      <c r="KC1398" s="120"/>
      <c r="KD1398" s="120"/>
      <c r="KE1398" s="120"/>
      <c r="KF1398" s="120"/>
      <c r="KG1398" s="120"/>
      <c r="KH1398" s="120"/>
      <c r="KI1398" s="120"/>
      <c r="KJ1398" s="120"/>
      <c r="KK1398" s="120"/>
      <c r="KL1398" s="120"/>
      <c r="KM1398" s="120"/>
      <c r="KN1398" s="120"/>
      <c r="KO1398" s="120"/>
      <c r="KP1398" s="120"/>
      <c r="KQ1398" s="120"/>
      <c r="KR1398" s="120"/>
      <c r="KS1398" s="120"/>
      <c r="KT1398" s="120"/>
      <c r="KU1398" s="120"/>
      <c r="KV1398" s="120"/>
      <c r="KW1398" s="120"/>
      <c r="KX1398" s="120"/>
      <c r="KY1398" s="120"/>
      <c r="KZ1398" s="120"/>
      <c r="LA1398" s="120"/>
      <c r="LB1398" s="120"/>
      <c r="LC1398" s="120"/>
      <c r="LD1398" s="120"/>
      <c r="LE1398" s="120"/>
      <c r="LF1398" s="120"/>
      <c r="LG1398" s="120"/>
      <c r="LH1398" s="120"/>
      <c r="LI1398" s="120"/>
      <c r="LJ1398" s="120"/>
      <c r="LK1398" s="120"/>
      <c r="LL1398" s="120"/>
      <c r="LM1398" s="120"/>
      <c r="LN1398" s="120"/>
      <c r="LO1398" s="120"/>
      <c r="LP1398" s="120"/>
      <c r="LQ1398" s="120"/>
      <c r="LR1398" s="120"/>
      <c r="LS1398" s="120"/>
      <c r="LT1398" s="120"/>
      <c r="LU1398" s="120"/>
      <c r="LV1398" s="120"/>
      <c r="LW1398" s="120"/>
      <c r="LX1398" s="120"/>
      <c r="LY1398" s="120"/>
      <c r="LZ1398" s="120"/>
      <c r="MA1398" s="120"/>
      <c r="MB1398" s="120"/>
      <c r="MC1398" s="120"/>
      <c r="MD1398" s="120"/>
      <c r="ME1398" s="120"/>
      <c r="MF1398" s="120"/>
      <c r="MG1398" s="120"/>
      <c r="MH1398" s="120"/>
      <c r="MI1398" s="120"/>
      <c r="MJ1398" s="120"/>
      <c r="MK1398" s="120"/>
      <c r="ML1398" s="120"/>
      <c r="MM1398" s="120"/>
      <c r="MN1398" s="120"/>
      <c r="MO1398" s="120"/>
      <c r="MP1398" s="120"/>
      <c r="MQ1398" s="120"/>
      <c r="MR1398" s="120"/>
      <c r="MS1398" s="120"/>
      <c r="MT1398" s="120"/>
      <c r="MU1398" s="120"/>
      <c r="MV1398" s="120"/>
      <c r="MW1398" s="120"/>
      <c r="MX1398" s="120"/>
      <c r="MY1398" s="120"/>
      <c r="MZ1398" s="120"/>
      <c r="NA1398" s="120"/>
      <c r="NB1398" s="120"/>
      <c r="NC1398" s="120"/>
      <c r="ND1398" s="120"/>
      <c r="NE1398" s="120"/>
      <c r="NF1398" s="120"/>
      <c r="NG1398" s="120"/>
      <c r="NH1398" s="120"/>
      <c r="NI1398" s="120"/>
      <c r="NJ1398" s="120"/>
      <c r="NK1398" s="120"/>
      <c r="NL1398" s="120"/>
      <c r="NM1398" s="120"/>
      <c r="NN1398" s="120"/>
      <c r="NO1398" s="120"/>
      <c r="NP1398" s="120"/>
      <c r="NQ1398" s="120"/>
      <c r="NR1398" s="120"/>
      <c r="NS1398" s="120"/>
      <c r="NT1398" s="120"/>
      <c r="NU1398" s="120"/>
      <c r="NV1398" s="120"/>
      <c r="NW1398" s="120"/>
      <c r="NX1398" s="120"/>
      <c r="NY1398" s="120"/>
      <c r="NZ1398" s="120"/>
      <c r="OA1398" s="120"/>
      <c r="OB1398" s="120"/>
      <c r="OC1398" s="120"/>
      <c r="OD1398" s="120"/>
      <c r="OE1398" s="120"/>
      <c r="OF1398" s="120"/>
      <c r="OG1398" s="120"/>
      <c r="OH1398" s="120"/>
      <c r="OI1398" s="120"/>
      <c r="OJ1398" s="120"/>
      <c r="OK1398" s="120"/>
      <c r="OL1398" s="120"/>
      <c r="OM1398" s="120"/>
      <c r="ON1398" s="120"/>
      <c r="OO1398" s="120"/>
      <c r="OP1398" s="120"/>
      <c r="OQ1398" s="120"/>
      <c r="OR1398" s="120"/>
      <c r="OS1398" s="120"/>
      <c r="OT1398" s="120"/>
      <c r="OU1398" s="120"/>
      <c r="OV1398" s="120"/>
      <c r="OW1398" s="120"/>
      <c r="OX1398" s="120"/>
      <c r="OY1398" s="120"/>
      <c r="OZ1398" s="120"/>
      <c r="PA1398" s="120"/>
      <c r="PB1398" s="120"/>
      <c r="PC1398" s="120"/>
      <c r="PD1398" s="120"/>
      <c r="PE1398" s="120"/>
      <c r="PF1398" s="120"/>
      <c r="PG1398" s="120"/>
      <c r="PH1398" s="120"/>
      <c r="PI1398" s="120"/>
      <c r="PJ1398" s="120"/>
      <c r="PK1398" s="120"/>
      <c r="PL1398" s="120"/>
      <c r="PM1398" s="120"/>
      <c r="PN1398" s="120"/>
      <c r="PO1398" s="120"/>
      <c r="PP1398" s="120"/>
      <c r="PQ1398" s="120"/>
      <c r="PR1398" s="120"/>
      <c r="PS1398" s="120"/>
      <c r="PT1398" s="120"/>
      <c r="PU1398" s="120"/>
      <c r="PV1398" s="120"/>
      <c r="PW1398" s="120"/>
      <c r="PX1398" s="120"/>
      <c r="PY1398" s="120"/>
      <c r="PZ1398" s="120"/>
      <c r="QA1398" s="120"/>
      <c r="QB1398" s="120"/>
      <c r="QC1398" s="120"/>
      <c r="QD1398" s="120"/>
      <c r="QE1398" s="120"/>
      <c r="QF1398" s="120"/>
      <c r="QG1398" s="120"/>
      <c r="QH1398" s="120"/>
      <c r="QI1398" s="120"/>
      <c r="QJ1398" s="120"/>
      <c r="QK1398" s="120"/>
      <c r="QL1398" s="120"/>
      <c r="QM1398" s="120"/>
      <c r="QN1398" s="120"/>
      <c r="QO1398" s="120"/>
      <c r="QP1398" s="120"/>
      <c r="QQ1398" s="120"/>
      <c r="QR1398" s="120"/>
      <c r="QS1398" s="120"/>
      <c r="QT1398" s="120"/>
      <c r="QU1398" s="120"/>
      <c r="QV1398" s="120"/>
      <c r="QW1398" s="120"/>
      <c r="QX1398" s="120"/>
      <c r="QY1398" s="120"/>
      <c r="QZ1398" s="120"/>
      <c r="RA1398" s="120"/>
      <c r="RB1398" s="120"/>
      <c r="RC1398" s="120"/>
      <c r="RD1398" s="120"/>
      <c r="RE1398" s="120"/>
      <c r="RF1398" s="120"/>
      <c r="RG1398" s="120"/>
      <c r="RH1398" s="120"/>
      <c r="RI1398" s="120"/>
      <c r="RJ1398" s="120"/>
      <c r="RK1398" s="120"/>
      <c r="RL1398" s="120"/>
      <c r="RM1398" s="120"/>
      <c r="RN1398" s="120"/>
      <c r="RO1398" s="120"/>
      <c r="RP1398" s="120"/>
      <c r="RQ1398" s="120"/>
      <c r="RR1398" s="120"/>
      <c r="RS1398" s="120"/>
      <c r="RT1398" s="120"/>
      <c r="RU1398" s="120"/>
      <c r="RV1398" s="120"/>
      <c r="RW1398" s="120"/>
      <c r="RX1398" s="120"/>
      <c r="RY1398" s="120"/>
      <c r="RZ1398" s="120"/>
      <c r="SA1398" s="120"/>
      <c r="SB1398" s="120"/>
      <c r="SC1398" s="120"/>
      <c r="SD1398" s="120"/>
      <c r="SE1398" s="120"/>
      <c r="SF1398" s="120"/>
      <c r="SG1398" s="120"/>
      <c r="SH1398" s="120"/>
      <c r="SI1398" s="120"/>
      <c r="SJ1398" s="120"/>
      <c r="SK1398" s="120"/>
      <c r="SL1398" s="120"/>
      <c r="SM1398" s="120"/>
      <c r="SN1398" s="120"/>
      <c r="SO1398" s="120"/>
      <c r="SP1398" s="120"/>
      <c r="SQ1398" s="120"/>
      <c r="SR1398" s="120"/>
      <c r="SS1398" s="120"/>
      <c r="ST1398" s="120"/>
      <c r="SU1398" s="120"/>
      <c r="SV1398" s="120"/>
      <c r="SW1398" s="120"/>
      <c r="SX1398" s="120"/>
      <c r="SY1398" s="120"/>
      <c r="SZ1398" s="120"/>
      <c r="TA1398" s="120"/>
      <c r="TB1398" s="120"/>
      <c r="TC1398" s="120"/>
      <c r="TD1398" s="120"/>
      <c r="TE1398" s="120"/>
      <c r="TF1398" s="120"/>
      <c r="TG1398" s="120"/>
      <c r="TH1398" s="120"/>
      <c r="TI1398" s="120"/>
      <c r="TJ1398" s="120"/>
      <c r="TK1398" s="120"/>
      <c r="TL1398" s="120"/>
      <c r="TM1398" s="120"/>
      <c r="TN1398" s="120"/>
      <c r="TO1398" s="120"/>
      <c r="TP1398" s="120"/>
      <c r="TQ1398" s="120"/>
      <c r="TR1398" s="120"/>
      <c r="TS1398" s="120"/>
      <c r="TT1398" s="120"/>
      <c r="TU1398" s="120"/>
      <c r="TV1398" s="120"/>
      <c r="TW1398" s="120"/>
      <c r="TX1398" s="120"/>
      <c r="TY1398" s="120"/>
      <c r="TZ1398" s="120"/>
      <c r="UA1398" s="120"/>
      <c r="UB1398" s="120"/>
      <c r="UC1398" s="120"/>
      <c r="UD1398" s="120"/>
      <c r="UE1398" s="120"/>
      <c r="UF1398" s="120"/>
      <c r="UG1398" s="120"/>
      <c r="UH1398" s="120"/>
      <c r="UI1398" s="120"/>
      <c r="UJ1398" s="120"/>
      <c r="UK1398" s="120"/>
      <c r="UL1398" s="120"/>
      <c r="UM1398" s="120"/>
      <c r="UN1398" s="120"/>
      <c r="UO1398" s="120"/>
      <c r="UP1398" s="120"/>
      <c r="UQ1398" s="120"/>
      <c r="UR1398" s="120"/>
      <c r="US1398" s="120"/>
      <c r="UT1398" s="120"/>
      <c r="UU1398" s="120"/>
      <c r="UV1398" s="120"/>
      <c r="UW1398" s="120"/>
      <c r="UX1398" s="120"/>
      <c r="UY1398" s="120"/>
      <c r="UZ1398" s="120"/>
      <c r="VA1398" s="120"/>
      <c r="VB1398" s="120"/>
      <c r="VC1398" s="120"/>
      <c r="VD1398" s="120"/>
      <c r="VE1398" s="120"/>
      <c r="VF1398" s="120"/>
      <c r="VG1398" s="120"/>
      <c r="VH1398" s="120"/>
      <c r="VI1398" s="120"/>
      <c r="VJ1398" s="120"/>
      <c r="VK1398" s="120"/>
      <c r="VL1398" s="120"/>
      <c r="VM1398" s="120"/>
      <c r="VN1398" s="120"/>
      <c r="VO1398" s="120"/>
      <c r="VP1398" s="120"/>
      <c r="VQ1398" s="120"/>
      <c r="VR1398" s="120"/>
      <c r="VS1398" s="120"/>
      <c r="VT1398" s="120"/>
      <c r="VU1398" s="120"/>
      <c r="VV1398" s="120"/>
      <c r="VW1398" s="120"/>
      <c r="VX1398" s="120"/>
      <c r="VY1398" s="120"/>
      <c r="VZ1398" s="120"/>
      <c r="WA1398" s="120"/>
      <c r="WB1398" s="120"/>
      <c r="WC1398" s="120"/>
      <c r="WD1398" s="120"/>
      <c r="WE1398" s="120"/>
      <c r="WF1398" s="120"/>
      <c r="WG1398" s="120"/>
      <c r="WH1398" s="120"/>
      <c r="WI1398" s="120"/>
      <c r="WJ1398" s="120"/>
      <c r="WK1398" s="120"/>
      <c r="WL1398" s="120"/>
      <c r="WM1398" s="120"/>
      <c r="WN1398" s="120"/>
      <c r="WO1398" s="120"/>
      <c r="WP1398" s="120"/>
      <c r="WQ1398" s="120"/>
      <c r="WR1398" s="120"/>
      <c r="WS1398" s="120"/>
      <c r="WT1398" s="120"/>
      <c r="WU1398" s="120"/>
      <c r="WV1398" s="120"/>
      <c r="WW1398" s="120"/>
      <c r="WX1398" s="120"/>
      <c r="WY1398" s="120"/>
      <c r="WZ1398" s="120"/>
      <c r="XA1398" s="120"/>
      <c r="XB1398" s="120"/>
      <c r="XC1398" s="120"/>
      <c r="XD1398" s="120"/>
      <c r="XE1398" s="120"/>
      <c r="XF1398" s="120"/>
      <c r="XG1398" s="120"/>
      <c r="XH1398" s="120"/>
      <c r="XI1398" s="120"/>
      <c r="XJ1398" s="120"/>
      <c r="XK1398" s="120"/>
      <c r="XL1398" s="120"/>
      <c r="XM1398" s="120"/>
      <c r="XN1398" s="120"/>
      <c r="XO1398" s="120"/>
      <c r="XP1398" s="120"/>
      <c r="XQ1398" s="120"/>
      <c r="XR1398" s="120"/>
      <c r="XS1398" s="120"/>
      <c r="XT1398" s="120"/>
      <c r="XU1398" s="120"/>
      <c r="XV1398" s="120"/>
      <c r="XW1398" s="120"/>
      <c r="XX1398" s="120"/>
      <c r="XY1398" s="120"/>
      <c r="XZ1398" s="120"/>
      <c r="YA1398" s="120"/>
      <c r="YB1398" s="120"/>
      <c r="YC1398" s="120"/>
      <c r="YD1398" s="120"/>
      <c r="YE1398" s="120"/>
      <c r="YF1398" s="120"/>
      <c r="YG1398" s="120"/>
      <c r="YH1398" s="120"/>
      <c r="YI1398" s="120"/>
      <c r="YJ1398" s="120"/>
      <c r="YK1398" s="120"/>
      <c r="YL1398" s="120"/>
      <c r="YM1398" s="120"/>
      <c r="YN1398" s="120"/>
      <c r="YO1398" s="120"/>
      <c r="YP1398" s="120"/>
      <c r="YQ1398" s="120"/>
      <c r="YR1398" s="120"/>
      <c r="YS1398" s="120"/>
      <c r="YT1398" s="120"/>
      <c r="YU1398" s="120"/>
      <c r="YV1398" s="120"/>
      <c r="YW1398" s="120"/>
      <c r="YX1398" s="120"/>
      <c r="YY1398" s="120"/>
      <c r="YZ1398" s="120"/>
      <c r="ZA1398" s="120"/>
      <c r="ZB1398" s="120"/>
      <c r="ZC1398" s="120"/>
      <c r="ZD1398" s="120"/>
      <c r="ZE1398" s="120"/>
      <c r="ZF1398" s="120"/>
      <c r="ZG1398" s="120"/>
      <c r="ZH1398" s="120"/>
      <c r="ZI1398" s="120"/>
      <c r="ZJ1398" s="120"/>
      <c r="ZK1398" s="120"/>
      <c r="ZL1398" s="120"/>
      <c r="ZM1398" s="120"/>
      <c r="ZN1398" s="120"/>
      <c r="ZO1398" s="120"/>
      <c r="ZP1398" s="120"/>
      <c r="ZQ1398" s="120"/>
      <c r="ZR1398" s="120"/>
      <c r="ZS1398" s="120"/>
      <c r="ZT1398" s="120"/>
      <c r="ZU1398" s="120"/>
      <c r="ZV1398" s="120"/>
      <c r="ZW1398" s="120"/>
      <c r="ZX1398" s="120"/>
      <c r="ZY1398" s="120"/>
      <c r="ZZ1398" s="120"/>
      <c r="AAA1398" s="120"/>
      <c r="AAB1398" s="120"/>
      <c r="AAC1398" s="120"/>
      <c r="AAD1398" s="120"/>
      <c r="AAE1398" s="120"/>
      <c r="AAF1398" s="120"/>
      <c r="AAG1398" s="120"/>
      <c r="AAH1398" s="120"/>
      <c r="AAI1398" s="120"/>
      <c r="AAJ1398" s="120"/>
      <c r="AAK1398" s="120"/>
      <c r="AAL1398" s="120"/>
      <c r="AAM1398" s="120"/>
      <c r="AAN1398" s="120"/>
      <c r="AAO1398" s="120"/>
      <c r="AAP1398" s="120"/>
      <c r="AAQ1398" s="120"/>
      <c r="AAR1398" s="120"/>
      <c r="AAS1398" s="120"/>
      <c r="AAT1398" s="120"/>
      <c r="AAU1398" s="120"/>
      <c r="AAV1398" s="120"/>
      <c r="AAW1398" s="120"/>
      <c r="AAX1398" s="120"/>
      <c r="AAY1398" s="120"/>
      <c r="AAZ1398" s="120"/>
      <c r="ABA1398" s="120"/>
      <c r="ABB1398" s="120"/>
      <c r="ABC1398" s="120"/>
      <c r="ABD1398" s="120"/>
      <c r="ABE1398" s="120"/>
      <c r="ABF1398" s="120"/>
      <c r="ABG1398" s="120"/>
      <c r="ABH1398" s="120"/>
      <c r="ABI1398" s="120"/>
      <c r="ABJ1398" s="120"/>
      <c r="ABK1398" s="120"/>
      <c r="ABL1398" s="120"/>
      <c r="ABM1398" s="120"/>
      <c r="ABN1398" s="120"/>
      <c r="ABO1398" s="120"/>
      <c r="ABP1398" s="120"/>
      <c r="ABQ1398" s="120"/>
      <c r="ABR1398" s="120"/>
      <c r="ABS1398" s="120"/>
      <c r="ABT1398" s="120"/>
      <c r="ABU1398" s="120"/>
      <c r="ABV1398" s="120"/>
      <c r="ABW1398" s="120"/>
      <c r="ABX1398" s="120"/>
      <c r="ABY1398" s="120"/>
      <c r="ABZ1398" s="120"/>
      <c r="ACA1398" s="120"/>
      <c r="ACB1398" s="120"/>
      <c r="ACC1398" s="120"/>
      <c r="ACD1398" s="120"/>
      <c r="ACE1398" s="120"/>
      <c r="ACF1398" s="120"/>
      <c r="ACG1398" s="120"/>
      <c r="ACH1398" s="120"/>
      <c r="ACI1398" s="120"/>
      <c r="ACJ1398" s="120"/>
      <c r="ACK1398" s="120"/>
      <c r="ACL1398" s="120"/>
      <c r="ACM1398" s="120"/>
      <c r="ACN1398" s="120"/>
      <c r="ACO1398" s="120"/>
      <c r="ACP1398" s="120"/>
      <c r="ACQ1398" s="120"/>
      <c r="ACR1398" s="120"/>
      <c r="ACS1398" s="120"/>
      <c r="ACT1398" s="120"/>
      <c r="ACU1398" s="120"/>
      <c r="ACV1398" s="120"/>
      <c r="ACW1398" s="120"/>
      <c r="ACX1398" s="120"/>
      <c r="ACY1398" s="120"/>
      <c r="ACZ1398" s="120"/>
      <c r="ADA1398" s="120"/>
      <c r="ADB1398" s="120"/>
      <c r="ADC1398" s="120"/>
      <c r="ADD1398" s="120"/>
      <c r="ADE1398" s="120"/>
      <c r="ADF1398" s="120"/>
      <c r="ADG1398" s="120"/>
      <c r="ADH1398" s="120"/>
      <c r="ADI1398" s="120"/>
      <c r="ADJ1398" s="120"/>
      <c r="ADK1398" s="120"/>
      <c r="ADL1398" s="120"/>
      <c r="ADM1398" s="120"/>
      <c r="ADN1398" s="120"/>
      <c r="ADO1398" s="120"/>
      <c r="ADP1398" s="120"/>
      <c r="ADQ1398" s="120"/>
      <c r="ADR1398" s="120"/>
      <c r="ADS1398" s="120"/>
      <c r="ADT1398" s="120"/>
      <c r="ADU1398" s="120"/>
      <c r="ADV1398" s="120"/>
      <c r="ADW1398" s="120"/>
      <c r="ADX1398" s="120"/>
      <c r="ADY1398" s="120"/>
      <c r="ADZ1398" s="120"/>
      <c r="AEA1398" s="120"/>
      <c r="AEB1398" s="120"/>
      <c r="AEC1398" s="120"/>
      <c r="AED1398" s="120"/>
      <c r="AEE1398" s="120"/>
      <c r="AEF1398" s="120"/>
      <c r="AEG1398" s="120"/>
      <c r="AEH1398" s="120"/>
      <c r="AEI1398" s="120"/>
      <c r="AEJ1398" s="120"/>
      <c r="AEK1398" s="120"/>
      <c r="AEL1398" s="120"/>
      <c r="AEM1398" s="120"/>
      <c r="AEN1398" s="120"/>
      <c r="AEO1398" s="120"/>
      <c r="AEP1398" s="120"/>
      <c r="AEQ1398" s="120"/>
      <c r="AER1398" s="120"/>
      <c r="AES1398" s="120"/>
      <c r="AET1398" s="120"/>
      <c r="AEU1398" s="120"/>
      <c r="AEV1398" s="120"/>
      <c r="AEW1398" s="120"/>
      <c r="AEX1398" s="120"/>
      <c r="AEY1398" s="120"/>
      <c r="AEZ1398" s="120"/>
      <c r="AFA1398" s="120"/>
      <c r="AFB1398" s="120"/>
      <c r="AFC1398" s="120"/>
      <c r="AFD1398" s="120"/>
      <c r="AFE1398" s="120"/>
      <c r="AFF1398" s="120"/>
      <c r="AFG1398" s="120"/>
      <c r="AFH1398" s="120"/>
      <c r="AFI1398" s="120"/>
      <c r="AFJ1398" s="120"/>
      <c r="AFK1398" s="120"/>
      <c r="AFL1398" s="120"/>
      <c r="AFM1398" s="120"/>
      <c r="AFN1398" s="120"/>
      <c r="AFO1398" s="120"/>
      <c r="AFP1398" s="120"/>
      <c r="AFQ1398" s="120"/>
      <c r="AFR1398" s="120"/>
      <c r="AFS1398" s="120"/>
      <c r="AFT1398" s="120"/>
      <c r="AFU1398" s="120"/>
      <c r="AFV1398" s="120"/>
      <c r="AFW1398" s="120"/>
      <c r="AFX1398" s="120"/>
      <c r="AFY1398" s="120"/>
      <c r="AFZ1398" s="120"/>
      <c r="AGA1398" s="120"/>
      <c r="AGB1398" s="120"/>
      <c r="AGC1398" s="120"/>
      <c r="AGD1398" s="120"/>
      <c r="AGE1398" s="120"/>
      <c r="AGF1398" s="120"/>
      <c r="AGG1398" s="120"/>
      <c r="AGH1398" s="120"/>
      <c r="AGI1398" s="120"/>
      <c r="AGJ1398" s="120"/>
      <c r="AGK1398" s="120"/>
      <c r="AGL1398" s="120"/>
      <c r="AGM1398" s="120"/>
      <c r="AGN1398" s="120"/>
      <c r="AGO1398" s="120"/>
      <c r="AGP1398" s="120"/>
      <c r="AGQ1398" s="120"/>
      <c r="AGR1398" s="120"/>
      <c r="AGS1398" s="120"/>
      <c r="AGT1398" s="120"/>
      <c r="AGU1398" s="120"/>
      <c r="AGV1398" s="120"/>
      <c r="AGW1398" s="120"/>
      <c r="AGX1398" s="120"/>
      <c r="AGY1398" s="120"/>
      <c r="AGZ1398" s="120"/>
      <c r="AHA1398" s="120"/>
      <c r="AHB1398" s="120"/>
      <c r="AHC1398" s="120"/>
      <c r="AHD1398" s="120"/>
      <c r="AHE1398" s="120"/>
      <c r="AHF1398" s="120"/>
      <c r="AHG1398" s="120"/>
      <c r="AHH1398" s="120"/>
      <c r="AHI1398" s="120"/>
      <c r="AHJ1398" s="120"/>
      <c r="AHK1398" s="120"/>
      <c r="AHL1398" s="120"/>
      <c r="AHM1398" s="120"/>
      <c r="AHN1398" s="120"/>
      <c r="AHO1398" s="120"/>
      <c r="AHP1398" s="120"/>
      <c r="AHQ1398" s="120"/>
      <c r="AHR1398" s="120"/>
      <c r="AHS1398" s="120"/>
      <c r="AHT1398" s="120"/>
      <c r="AHU1398" s="120"/>
      <c r="AHV1398" s="120"/>
      <c r="AHW1398" s="120"/>
      <c r="AHX1398" s="120"/>
      <c r="AHY1398" s="120"/>
      <c r="AHZ1398" s="120"/>
      <c r="AIA1398" s="120"/>
      <c r="AIB1398" s="120"/>
      <c r="AIC1398" s="120"/>
      <c r="AID1398" s="120"/>
      <c r="AIE1398" s="120"/>
      <c r="AIF1398" s="120"/>
      <c r="AIG1398" s="120"/>
      <c r="AIH1398" s="120"/>
      <c r="AII1398" s="120"/>
      <c r="AIJ1398" s="120"/>
      <c r="AIK1398" s="120"/>
      <c r="AIL1398" s="120"/>
      <c r="AIM1398" s="120"/>
      <c r="AIN1398" s="120"/>
      <c r="AIO1398" s="120"/>
      <c r="AIP1398" s="120"/>
      <c r="AIQ1398" s="120"/>
      <c r="AIR1398" s="120"/>
      <c r="AIS1398" s="120"/>
      <c r="AIT1398" s="120"/>
      <c r="AIU1398" s="120"/>
      <c r="AIV1398" s="120"/>
      <c r="AIW1398" s="120"/>
      <c r="AIX1398" s="120"/>
      <c r="AIY1398" s="120"/>
      <c r="AIZ1398" s="120"/>
      <c r="AJA1398" s="120"/>
      <c r="AJB1398" s="120"/>
      <c r="AJC1398" s="120"/>
      <c r="AJD1398" s="120"/>
      <c r="AJE1398" s="120"/>
      <c r="AJF1398" s="120"/>
      <c r="AJG1398" s="120"/>
      <c r="AJH1398" s="120"/>
      <c r="AJI1398" s="120"/>
      <c r="AJJ1398" s="120"/>
      <c r="AJK1398" s="120"/>
      <c r="AJL1398" s="120"/>
      <c r="AJM1398" s="120"/>
      <c r="AJN1398" s="120"/>
      <c r="AJO1398" s="120"/>
      <c r="AJP1398" s="120"/>
      <c r="AJQ1398" s="120"/>
      <c r="AJR1398" s="120"/>
      <c r="AJS1398" s="120"/>
      <c r="AJT1398" s="120"/>
      <c r="AJU1398" s="120"/>
      <c r="AJV1398" s="120"/>
      <c r="AJW1398" s="120"/>
      <c r="AJX1398" s="120"/>
      <c r="AJY1398" s="120"/>
      <c r="AJZ1398" s="120"/>
      <c r="AKA1398" s="120"/>
      <c r="AKB1398" s="120"/>
      <c r="AKC1398" s="120"/>
      <c r="AKD1398" s="120"/>
      <c r="AKE1398" s="120"/>
      <c r="AKF1398" s="120"/>
      <c r="AKG1398" s="120"/>
      <c r="AKH1398" s="120"/>
      <c r="AKI1398" s="120"/>
      <c r="AKJ1398" s="120"/>
      <c r="AKK1398" s="120"/>
      <c r="AKL1398" s="120"/>
      <c r="AKM1398" s="120"/>
      <c r="AKN1398" s="120"/>
      <c r="AKO1398" s="120"/>
      <c r="AKP1398" s="120"/>
      <c r="AKQ1398" s="120"/>
      <c r="AKR1398" s="120"/>
      <c r="AKS1398" s="120"/>
      <c r="AKT1398" s="120"/>
      <c r="AKU1398" s="120"/>
      <c r="AKV1398" s="120"/>
      <c r="AKW1398" s="120"/>
      <c r="AKX1398" s="120"/>
      <c r="AKY1398" s="120"/>
      <c r="AKZ1398" s="120"/>
      <c r="ALA1398" s="120"/>
      <c r="ALB1398" s="120"/>
      <c r="ALC1398" s="120"/>
      <c r="ALD1398" s="120"/>
      <c r="ALE1398" s="120"/>
      <c r="ALF1398" s="120"/>
      <c r="ALG1398" s="120"/>
      <c r="ALH1398" s="120"/>
      <c r="ALI1398" s="120"/>
      <c r="ALJ1398" s="120"/>
      <c r="ALK1398" s="120"/>
      <c r="ALL1398" s="120"/>
      <c r="ALM1398" s="120"/>
      <c r="ALN1398" s="120"/>
      <c r="ALO1398" s="120"/>
      <c r="ALP1398" s="120"/>
      <c r="ALQ1398" s="120"/>
      <c r="ALR1398" s="120"/>
      <c r="ALS1398" s="120"/>
      <c r="ALT1398" s="120"/>
      <c r="ALU1398" s="120"/>
      <c r="ALV1398" s="120"/>
      <c r="ALW1398" s="120"/>
      <c r="ALX1398" s="120"/>
      <c r="ALY1398" s="120"/>
      <c r="ALZ1398" s="120"/>
      <c r="AMA1398" s="120"/>
      <c r="AMB1398" s="120"/>
      <c r="AMC1398" s="120"/>
      <c r="AMD1398" s="120"/>
      <c r="AME1398" s="120"/>
      <c r="AMF1398" s="120"/>
      <c r="AMG1398" s="120"/>
      <c r="AMH1398" s="120"/>
      <c r="AMI1398" s="120"/>
      <c r="AMJ1398" s="120"/>
      <c r="AMK1398" s="120"/>
      <c r="AML1398" s="120"/>
      <c r="AMM1398" s="120"/>
      <c r="AMN1398" s="120"/>
      <c r="AMO1398" s="120"/>
      <c r="AMP1398" s="120"/>
      <c r="AMQ1398" s="120"/>
      <c r="AMR1398" s="120"/>
      <c r="AMS1398" s="120"/>
      <c r="AMT1398" s="120"/>
      <c r="AMU1398" s="120"/>
      <c r="AMV1398" s="120"/>
      <c r="AMW1398" s="120"/>
      <c r="AMX1398" s="120"/>
      <c r="AMY1398" s="120"/>
      <c r="AMZ1398" s="120"/>
      <c r="ANA1398" s="120"/>
      <c r="ANB1398" s="120"/>
      <c r="ANC1398" s="120"/>
      <c r="AND1398" s="120"/>
      <c r="ANE1398" s="120"/>
      <c r="ANF1398" s="120"/>
      <c r="ANG1398" s="120"/>
      <c r="ANH1398" s="120"/>
      <c r="ANI1398" s="120"/>
      <c r="ANJ1398" s="120"/>
      <c r="ANK1398" s="120"/>
      <c r="ANL1398" s="120"/>
      <c r="ANM1398" s="120"/>
      <c r="ANN1398" s="120"/>
      <c r="ANO1398" s="120"/>
      <c r="ANP1398" s="120"/>
      <c r="ANQ1398" s="120"/>
      <c r="ANR1398" s="120"/>
      <c r="ANS1398" s="120"/>
      <c r="ANT1398" s="120"/>
      <c r="ANU1398" s="120"/>
      <c r="ANV1398" s="120"/>
      <c r="ANW1398" s="120"/>
      <c r="ANX1398" s="120"/>
      <c r="ANY1398" s="120"/>
      <c r="ANZ1398" s="120"/>
      <c r="AOA1398" s="120"/>
      <c r="AOB1398" s="120"/>
      <c r="AOC1398" s="120"/>
      <c r="AOD1398" s="120"/>
      <c r="AOE1398" s="120"/>
      <c r="AOF1398" s="120"/>
      <c r="AOG1398" s="120"/>
      <c r="AOH1398" s="120"/>
      <c r="AOI1398" s="120"/>
      <c r="AOJ1398" s="120"/>
      <c r="AOK1398" s="120"/>
      <c r="AOL1398" s="120"/>
      <c r="AOM1398" s="120"/>
      <c r="AON1398" s="120"/>
      <c r="AOO1398" s="120"/>
      <c r="AOP1398" s="120"/>
      <c r="AOQ1398" s="120"/>
      <c r="AOR1398" s="120"/>
      <c r="AOS1398" s="120"/>
      <c r="AOT1398" s="120"/>
      <c r="AOU1398" s="120"/>
      <c r="AOV1398" s="120"/>
      <c r="AOW1398" s="120"/>
      <c r="AOX1398" s="120"/>
      <c r="AOY1398" s="120"/>
      <c r="AOZ1398" s="120"/>
      <c r="APA1398" s="120"/>
      <c r="APB1398" s="120"/>
      <c r="APC1398" s="120"/>
      <c r="APD1398" s="120"/>
      <c r="APE1398" s="120"/>
      <c r="APF1398" s="120"/>
      <c r="APG1398" s="120"/>
      <c r="APH1398" s="120"/>
      <c r="API1398" s="120"/>
      <c r="APJ1398" s="120"/>
      <c r="APK1398" s="120"/>
      <c r="APL1398" s="120"/>
      <c r="APM1398" s="120"/>
      <c r="APN1398" s="120"/>
      <c r="APO1398" s="120"/>
      <c r="APP1398" s="120"/>
      <c r="APQ1398" s="120"/>
      <c r="APR1398" s="120"/>
      <c r="APS1398" s="120"/>
      <c r="APT1398" s="120"/>
      <c r="APU1398" s="120"/>
      <c r="APV1398" s="120"/>
      <c r="APW1398" s="120"/>
      <c r="APX1398" s="120"/>
      <c r="APY1398" s="120"/>
      <c r="APZ1398" s="120"/>
      <c r="AQA1398" s="120"/>
      <c r="AQB1398" s="120"/>
      <c r="AQC1398" s="120"/>
      <c r="AQD1398" s="120"/>
      <c r="AQE1398" s="120"/>
      <c r="AQF1398" s="120"/>
      <c r="AQG1398" s="120"/>
      <c r="AQH1398" s="120"/>
      <c r="AQI1398" s="120"/>
      <c r="AQJ1398" s="120"/>
      <c r="AQK1398" s="120"/>
      <c r="AQL1398" s="120"/>
      <c r="AQM1398" s="120"/>
      <c r="AQN1398" s="120"/>
      <c r="AQO1398" s="120"/>
      <c r="AQP1398" s="120"/>
      <c r="AQQ1398" s="120"/>
      <c r="AQR1398" s="120"/>
      <c r="AQS1398" s="120"/>
      <c r="AQT1398" s="120"/>
      <c r="AQU1398" s="120"/>
      <c r="AQV1398" s="120"/>
      <c r="AQW1398" s="120"/>
      <c r="AQX1398" s="120"/>
      <c r="AQY1398" s="120"/>
      <c r="AQZ1398" s="120"/>
      <c r="ARA1398" s="120"/>
      <c r="ARB1398" s="120"/>
      <c r="ARC1398" s="120"/>
      <c r="ARD1398" s="120"/>
      <c r="ARE1398" s="120"/>
      <c r="ARF1398" s="120"/>
      <c r="ARG1398" s="120"/>
      <c r="ARH1398" s="120"/>
      <c r="ARI1398" s="120"/>
      <c r="ARJ1398" s="120"/>
      <c r="ARK1398" s="120"/>
      <c r="ARL1398" s="120"/>
      <c r="ARM1398" s="120"/>
      <c r="ARN1398" s="120"/>
      <c r="ARO1398" s="120"/>
      <c r="ARP1398" s="120"/>
      <c r="ARQ1398" s="120"/>
      <c r="ARR1398" s="120"/>
      <c r="ARS1398" s="120"/>
      <c r="ART1398" s="120"/>
      <c r="ARU1398" s="120"/>
      <c r="ARV1398" s="120"/>
      <c r="ARW1398" s="120"/>
      <c r="ARX1398" s="120"/>
      <c r="ARY1398" s="120"/>
      <c r="ARZ1398" s="120"/>
      <c r="ASA1398" s="120"/>
      <c r="ASB1398" s="120"/>
      <c r="ASC1398" s="120"/>
      <c r="ASD1398" s="120"/>
      <c r="ASE1398" s="120"/>
      <c r="ASF1398" s="120"/>
      <c r="ASG1398" s="120"/>
      <c r="ASH1398" s="120"/>
      <c r="ASI1398" s="120"/>
      <c r="ASJ1398" s="120"/>
      <c r="ASK1398" s="120"/>
      <c r="ASL1398" s="120"/>
      <c r="ASM1398" s="120"/>
      <c r="ASN1398" s="120"/>
      <c r="ASO1398" s="120"/>
      <c r="ASP1398" s="120"/>
      <c r="ASQ1398" s="120"/>
      <c r="ASR1398" s="120"/>
      <c r="ASS1398" s="120"/>
      <c r="AST1398" s="120"/>
      <c r="ASU1398" s="120"/>
      <c r="ASV1398" s="120"/>
      <c r="ASW1398" s="120"/>
      <c r="ASX1398" s="120"/>
      <c r="ASY1398" s="120"/>
      <c r="ASZ1398" s="120"/>
      <c r="ATA1398" s="120"/>
      <c r="ATB1398" s="120"/>
      <c r="ATC1398" s="120"/>
      <c r="ATD1398" s="120"/>
      <c r="ATE1398" s="120"/>
      <c r="ATF1398" s="120"/>
      <c r="ATG1398" s="120"/>
      <c r="ATH1398" s="120"/>
      <c r="ATI1398" s="120"/>
      <c r="ATJ1398" s="120"/>
      <c r="ATK1398" s="120"/>
      <c r="ATL1398" s="120"/>
      <c r="ATM1398" s="120"/>
      <c r="ATN1398" s="120"/>
      <c r="ATO1398" s="120"/>
    </row>
    <row r="1399" spans="1:1211" s="20" customFormat="1" ht="14.1" customHeight="1">
      <c r="A1399" s="112"/>
      <c r="B1399" s="184"/>
      <c r="C1399" s="184" t="s">
        <v>6155</v>
      </c>
      <c r="D1399" s="120"/>
      <c r="E1399" s="701"/>
      <c r="F1399" s="703"/>
      <c r="G1399" s="702"/>
      <c r="H1399" s="702"/>
      <c r="I1399" s="702"/>
      <c r="J1399" s="700"/>
      <c r="K1399" s="112"/>
      <c r="L1399" s="363"/>
      <c r="M1399" s="112"/>
      <c r="N1399" s="362"/>
      <c r="O1399" s="573"/>
      <c r="P1399" s="120"/>
      <c r="Q1399" s="120"/>
      <c r="R1399" s="120"/>
      <c r="S1399" s="120"/>
      <c r="T1399" s="120"/>
      <c r="U1399" s="120"/>
      <c r="V1399" s="120"/>
      <c r="W1399" s="120"/>
      <c r="X1399" s="120"/>
      <c r="Y1399" s="120"/>
      <c r="Z1399" s="120"/>
      <c r="AA1399" s="120"/>
      <c r="AB1399" s="120"/>
      <c r="AC1399" s="120"/>
      <c r="AD1399" s="120"/>
      <c r="AE1399" s="120"/>
      <c r="AF1399" s="120"/>
      <c r="AG1399" s="120"/>
      <c r="AH1399" s="120"/>
      <c r="AI1399" s="120"/>
      <c r="AJ1399" s="120"/>
      <c r="AK1399" s="120"/>
      <c r="AL1399" s="120"/>
      <c r="AM1399" s="120"/>
      <c r="AN1399" s="120"/>
      <c r="AO1399" s="120"/>
      <c r="AP1399" s="120"/>
      <c r="AQ1399" s="120"/>
      <c r="AR1399" s="120"/>
      <c r="AS1399" s="120"/>
      <c r="AT1399" s="120"/>
      <c r="AU1399" s="120"/>
      <c r="AV1399" s="120"/>
      <c r="AW1399" s="120"/>
      <c r="AX1399" s="120"/>
      <c r="AY1399" s="120"/>
      <c r="AZ1399" s="120"/>
      <c r="BA1399" s="120"/>
      <c r="BB1399" s="120"/>
      <c r="BC1399" s="120"/>
      <c r="BD1399" s="120"/>
      <c r="BE1399" s="120"/>
      <c r="BF1399" s="120"/>
      <c r="BG1399" s="120"/>
      <c r="BH1399" s="120"/>
      <c r="BI1399" s="120"/>
      <c r="BJ1399" s="120"/>
      <c r="BK1399" s="120"/>
      <c r="BL1399" s="120"/>
      <c r="BM1399" s="120"/>
      <c r="BN1399" s="120"/>
      <c r="BO1399" s="120"/>
      <c r="BP1399" s="120"/>
      <c r="BQ1399" s="120"/>
      <c r="BR1399" s="120"/>
      <c r="BS1399" s="120"/>
      <c r="BT1399" s="120"/>
      <c r="BU1399" s="120"/>
      <c r="BV1399" s="120"/>
      <c r="BW1399" s="120"/>
      <c r="BX1399" s="120"/>
      <c r="BY1399" s="120"/>
      <c r="BZ1399" s="120"/>
      <c r="CA1399" s="120"/>
      <c r="CB1399" s="120"/>
      <c r="CC1399" s="120"/>
      <c r="CD1399" s="120"/>
      <c r="CE1399" s="120"/>
      <c r="CF1399" s="120"/>
      <c r="CG1399" s="120"/>
      <c r="CH1399" s="120"/>
      <c r="CI1399" s="120"/>
      <c r="CJ1399" s="120"/>
      <c r="CK1399" s="120"/>
      <c r="CL1399" s="120"/>
      <c r="CM1399" s="120"/>
      <c r="CN1399" s="120"/>
      <c r="CO1399" s="120"/>
      <c r="CP1399" s="120"/>
      <c r="CQ1399" s="120"/>
      <c r="CR1399" s="120"/>
      <c r="CS1399" s="120"/>
      <c r="CT1399" s="120"/>
      <c r="CU1399" s="120"/>
      <c r="CV1399" s="120"/>
      <c r="CW1399" s="120"/>
      <c r="CX1399" s="120"/>
      <c r="CY1399" s="120"/>
      <c r="CZ1399" s="120"/>
      <c r="DA1399" s="120"/>
      <c r="DB1399" s="120"/>
      <c r="DC1399" s="120"/>
      <c r="DD1399" s="120"/>
      <c r="DE1399" s="120"/>
      <c r="DF1399" s="120"/>
      <c r="DG1399" s="120"/>
      <c r="DH1399" s="120"/>
      <c r="DI1399" s="120"/>
      <c r="DJ1399" s="120"/>
      <c r="DK1399" s="120"/>
      <c r="DL1399" s="120"/>
      <c r="DM1399" s="120"/>
      <c r="DN1399" s="120"/>
      <c r="DO1399" s="120"/>
      <c r="DP1399" s="120"/>
      <c r="DQ1399" s="120"/>
      <c r="DR1399" s="120"/>
      <c r="DS1399" s="120"/>
      <c r="DT1399" s="120"/>
      <c r="DU1399" s="120"/>
      <c r="DV1399" s="120"/>
      <c r="DW1399" s="120"/>
      <c r="DX1399" s="120"/>
      <c r="DY1399" s="120"/>
      <c r="DZ1399" s="120"/>
      <c r="EA1399" s="120"/>
      <c r="EB1399" s="120"/>
      <c r="EC1399" s="120"/>
      <c r="ED1399" s="120"/>
      <c r="EE1399" s="120"/>
      <c r="EF1399" s="120"/>
      <c r="EG1399" s="120"/>
      <c r="EH1399" s="120"/>
      <c r="EI1399" s="120"/>
      <c r="EJ1399" s="120"/>
      <c r="EK1399" s="120"/>
      <c r="EL1399" s="120"/>
      <c r="EM1399" s="120"/>
      <c r="EN1399" s="120"/>
      <c r="EO1399" s="120"/>
      <c r="EP1399" s="120"/>
      <c r="EQ1399" s="120"/>
      <c r="ER1399" s="120"/>
      <c r="ES1399" s="120"/>
      <c r="ET1399" s="120"/>
      <c r="EU1399" s="120"/>
      <c r="EV1399" s="120"/>
      <c r="EW1399" s="120"/>
      <c r="EX1399" s="120"/>
      <c r="EY1399" s="120"/>
      <c r="EZ1399" s="120"/>
      <c r="FA1399" s="120"/>
      <c r="FB1399" s="120"/>
      <c r="FC1399" s="120"/>
      <c r="FD1399" s="120"/>
      <c r="FE1399" s="120"/>
      <c r="FF1399" s="120"/>
      <c r="FG1399" s="120"/>
      <c r="FH1399" s="120"/>
      <c r="FI1399" s="120"/>
      <c r="FJ1399" s="120"/>
      <c r="FK1399" s="120"/>
      <c r="FL1399" s="120"/>
      <c r="FM1399" s="120"/>
      <c r="FN1399" s="120"/>
      <c r="FO1399" s="120"/>
      <c r="FP1399" s="120"/>
      <c r="FQ1399" s="120"/>
      <c r="FR1399" s="120"/>
      <c r="FS1399" s="120"/>
      <c r="FT1399" s="120"/>
      <c r="FU1399" s="120"/>
      <c r="FV1399" s="120"/>
      <c r="FW1399" s="120"/>
      <c r="FX1399" s="120"/>
      <c r="FY1399" s="120"/>
      <c r="FZ1399" s="120"/>
      <c r="GA1399" s="120"/>
      <c r="GB1399" s="120"/>
      <c r="GC1399" s="120"/>
      <c r="GD1399" s="120"/>
      <c r="GE1399" s="120"/>
      <c r="GF1399" s="120"/>
      <c r="GG1399" s="120"/>
      <c r="GH1399" s="120"/>
      <c r="GI1399" s="120"/>
      <c r="GJ1399" s="120"/>
      <c r="GK1399" s="120"/>
      <c r="GL1399" s="120"/>
      <c r="GM1399" s="120"/>
      <c r="GN1399" s="120"/>
      <c r="GO1399" s="120"/>
      <c r="GP1399" s="120"/>
      <c r="GQ1399" s="120"/>
      <c r="GR1399" s="120"/>
      <c r="GS1399" s="120"/>
      <c r="GT1399" s="120"/>
      <c r="GU1399" s="120"/>
      <c r="GV1399" s="120"/>
      <c r="GW1399" s="120"/>
      <c r="GX1399" s="120"/>
      <c r="GY1399" s="120"/>
      <c r="GZ1399" s="120"/>
      <c r="HA1399" s="120"/>
      <c r="HB1399" s="120"/>
      <c r="HC1399" s="120"/>
      <c r="HD1399" s="120"/>
      <c r="HE1399" s="120"/>
      <c r="HF1399" s="120"/>
      <c r="HG1399" s="120"/>
      <c r="HH1399" s="120"/>
      <c r="HI1399" s="120"/>
      <c r="HJ1399" s="120"/>
      <c r="HK1399" s="120"/>
      <c r="HL1399" s="120"/>
      <c r="HM1399" s="120"/>
      <c r="HN1399" s="120"/>
      <c r="HO1399" s="120"/>
      <c r="HP1399" s="120"/>
      <c r="HQ1399" s="120"/>
      <c r="HR1399" s="120"/>
      <c r="HS1399" s="120"/>
      <c r="HT1399" s="120"/>
      <c r="HU1399" s="120"/>
      <c r="HV1399" s="120"/>
      <c r="HW1399" s="120"/>
      <c r="HX1399" s="120"/>
      <c r="HY1399" s="120"/>
      <c r="HZ1399" s="120"/>
      <c r="IA1399" s="120"/>
      <c r="IB1399" s="120"/>
      <c r="IC1399" s="120"/>
      <c r="ID1399" s="120"/>
      <c r="IE1399" s="120"/>
      <c r="IF1399" s="120"/>
      <c r="IG1399" s="120"/>
      <c r="IH1399" s="120"/>
      <c r="II1399" s="120"/>
      <c r="IJ1399" s="120"/>
      <c r="IK1399" s="120"/>
      <c r="IL1399" s="120"/>
      <c r="IM1399" s="120"/>
      <c r="IN1399" s="120"/>
      <c r="IO1399" s="120"/>
      <c r="IP1399" s="120"/>
      <c r="IQ1399" s="120"/>
      <c r="IR1399" s="120"/>
      <c r="IS1399" s="120"/>
      <c r="IT1399" s="120"/>
      <c r="IU1399" s="120"/>
      <c r="IV1399" s="120"/>
      <c r="IW1399" s="120"/>
      <c r="IX1399" s="120"/>
      <c r="IY1399" s="120"/>
      <c r="IZ1399" s="120"/>
      <c r="JA1399" s="120"/>
      <c r="JB1399" s="120"/>
      <c r="JC1399" s="120"/>
      <c r="JD1399" s="120"/>
      <c r="JE1399" s="120"/>
      <c r="JF1399" s="120"/>
      <c r="JG1399" s="120"/>
      <c r="JH1399" s="120"/>
      <c r="JI1399" s="120"/>
      <c r="JJ1399" s="120"/>
      <c r="JK1399" s="120"/>
      <c r="JL1399" s="120"/>
      <c r="JM1399" s="120"/>
      <c r="JN1399" s="120"/>
      <c r="JO1399" s="120"/>
      <c r="JP1399" s="120"/>
      <c r="JQ1399" s="120"/>
      <c r="JR1399" s="120"/>
      <c r="JS1399" s="120"/>
      <c r="JT1399" s="120"/>
      <c r="JU1399" s="120"/>
      <c r="JV1399" s="120"/>
      <c r="JW1399" s="120"/>
      <c r="JX1399" s="120"/>
      <c r="JY1399" s="120"/>
      <c r="JZ1399" s="120"/>
      <c r="KA1399" s="120"/>
      <c r="KB1399" s="120"/>
      <c r="KC1399" s="120"/>
      <c r="KD1399" s="120"/>
      <c r="KE1399" s="120"/>
      <c r="KF1399" s="120"/>
      <c r="KG1399" s="120"/>
      <c r="KH1399" s="120"/>
      <c r="KI1399" s="120"/>
      <c r="KJ1399" s="120"/>
      <c r="KK1399" s="120"/>
      <c r="KL1399" s="120"/>
      <c r="KM1399" s="120"/>
      <c r="KN1399" s="120"/>
      <c r="KO1399" s="120"/>
      <c r="KP1399" s="120"/>
      <c r="KQ1399" s="120"/>
      <c r="KR1399" s="120"/>
      <c r="KS1399" s="120"/>
      <c r="KT1399" s="120"/>
      <c r="KU1399" s="120"/>
      <c r="KV1399" s="120"/>
      <c r="KW1399" s="120"/>
      <c r="KX1399" s="120"/>
      <c r="KY1399" s="120"/>
      <c r="KZ1399" s="120"/>
      <c r="LA1399" s="120"/>
      <c r="LB1399" s="120"/>
      <c r="LC1399" s="120"/>
      <c r="LD1399" s="120"/>
      <c r="LE1399" s="120"/>
      <c r="LF1399" s="120"/>
      <c r="LG1399" s="120"/>
      <c r="LH1399" s="120"/>
      <c r="LI1399" s="120"/>
      <c r="LJ1399" s="120"/>
      <c r="LK1399" s="120"/>
      <c r="LL1399" s="120"/>
      <c r="LM1399" s="120"/>
      <c r="LN1399" s="120"/>
      <c r="LO1399" s="120"/>
      <c r="LP1399" s="120"/>
      <c r="LQ1399" s="120"/>
      <c r="LR1399" s="120"/>
      <c r="LS1399" s="120"/>
      <c r="LT1399" s="120"/>
      <c r="LU1399" s="120"/>
      <c r="LV1399" s="120"/>
      <c r="LW1399" s="120"/>
      <c r="LX1399" s="120"/>
      <c r="LY1399" s="120"/>
      <c r="LZ1399" s="120"/>
      <c r="MA1399" s="120"/>
      <c r="MB1399" s="120"/>
      <c r="MC1399" s="120"/>
      <c r="MD1399" s="120"/>
      <c r="ME1399" s="120"/>
      <c r="MF1399" s="120"/>
      <c r="MG1399" s="120"/>
      <c r="MH1399" s="120"/>
      <c r="MI1399" s="120"/>
      <c r="MJ1399" s="120"/>
      <c r="MK1399" s="120"/>
      <c r="ML1399" s="120"/>
      <c r="MM1399" s="120"/>
      <c r="MN1399" s="120"/>
      <c r="MO1399" s="120"/>
      <c r="MP1399" s="120"/>
      <c r="MQ1399" s="120"/>
      <c r="MR1399" s="120"/>
      <c r="MS1399" s="120"/>
      <c r="MT1399" s="120"/>
      <c r="MU1399" s="120"/>
      <c r="MV1399" s="120"/>
      <c r="MW1399" s="120"/>
      <c r="MX1399" s="120"/>
      <c r="MY1399" s="120"/>
      <c r="MZ1399" s="120"/>
      <c r="NA1399" s="120"/>
      <c r="NB1399" s="120"/>
      <c r="NC1399" s="120"/>
      <c r="ND1399" s="120"/>
      <c r="NE1399" s="120"/>
      <c r="NF1399" s="120"/>
      <c r="NG1399" s="120"/>
      <c r="NH1399" s="120"/>
      <c r="NI1399" s="120"/>
      <c r="NJ1399" s="120"/>
      <c r="NK1399" s="120"/>
      <c r="NL1399" s="120"/>
      <c r="NM1399" s="120"/>
      <c r="NN1399" s="120"/>
      <c r="NO1399" s="120"/>
      <c r="NP1399" s="120"/>
      <c r="NQ1399" s="120"/>
      <c r="NR1399" s="120"/>
      <c r="NS1399" s="120"/>
      <c r="NT1399" s="120"/>
      <c r="NU1399" s="120"/>
      <c r="NV1399" s="120"/>
      <c r="NW1399" s="120"/>
      <c r="NX1399" s="120"/>
      <c r="NY1399" s="120"/>
      <c r="NZ1399" s="120"/>
      <c r="OA1399" s="120"/>
      <c r="OB1399" s="120"/>
      <c r="OC1399" s="120"/>
      <c r="OD1399" s="120"/>
      <c r="OE1399" s="120"/>
      <c r="OF1399" s="120"/>
      <c r="OG1399" s="120"/>
      <c r="OH1399" s="120"/>
      <c r="OI1399" s="120"/>
      <c r="OJ1399" s="120"/>
      <c r="OK1399" s="120"/>
      <c r="OL1399" s="120"/>
      <c r="OM1399" s="120"/>
      <c r="ON1399" s="120"/>
      <c r="OO1399" s="120"/>
      <c r="OP1399" s="120"/>
      <c r="OQ1399" s="120"/>
      <c r="OR1399" s="120"/>
      <c r="OS1399" s="120"/>
      <c r="OT1399" s="120"/>
      <c r="OU1399" s="120"/>
      <c r="OV1399" s="120"/>
      <c r="OW1399" s="120"/>
      <c r="OX1399" s="120"/>
      <c r="OY1399" s="120"/>
      <c r="OZ1399" s="120"/>
      <c r="PA1399" s="120"/>
      <c r="PB1399" s="120"/>
      <c r="PC1399" s="120"/>
      <c r="PD1399" s="120"/>
      <c r="PE1399" s="120"/>
      <c r="PF1399" s="120"/>
      <c r="PG1399" s="120"/>
      <c r="PH1399" s="120"/>
      <c r="PI1399" s="120"/>
      <c r="PJ1399" s="120"/>
      <c r="PK1399" s="120"/>
      <c r="PL1399" s="120"/>
      <c r="PM1399" s="120"/>
      <c r="PN1399" s="120"/>
      <c r="PO1399" s="120"/>
      <c r="PP1399" s="120"/>
      <c r="PQ1399" s="120"/>
      <c r="PR1399" s="120"/>
      <c r="PS1399" s="120"/>
      <c r="PT1399" s="120"/>
      <c r="PU1399" s="120"/>
      <c r="PV1399" s="120"/>
      <c r="PW1399" s="120"/>
      <c r="PX1399" s="120"/>
      <c r="PY1399" s="120"/>
      <c r="PZ1399" s="120"/>
      <c r="QA1399" s="120"/>
      <c r="QB1399" s="120"/>
      <c r="QC1399" s="120"/>
      <c r="QD1399" s="120"/>
      <c r="QE1399" s="120"/>
      <c r="QF1399" s="120"/>
      <c r="QG1399" s="120"/>
      <c r="QH1399" s="120"/>
      <c r="QI1399" s="120"/>
      <c r="QJ1399" s="120"/>
      <c r="QK1399" s="120"/>
      <c r="QL1399" s="120"/>
      <c r="QM1399" s="120"/>
      <c r="QN1399" s="120"/>
      <c r="QO1399" s="120"/>
      <c r="QP1399" s="120"/>
      <c r="QQ1399" s="120"/>
      <c r="QR1399" s="120"/>
      <c r="QS1399" s="120"/>
      <c r="QT1399" s="120"/>
      <c r="QU1399" s="120"/>
      <c r="QV1399" s="120"/>
      <c r="QW1399" s="120"/>
      <c r="QX1399" s="120"/>
      <c r="QY1399" s="120"/>
      <c r="QZ1399" s="120"/>
      <c r="RA1399" s="120"/>
      <c r="RB1399" s="120"/>
      <c r="RC1399" s="120"/>
      <c r="RD1399" s="120"/>
      <c r="RE1399" s="120"/>
      <c r="RF1399" s="120"/>
      <c r="RG1399" s="120"/>
      <c r="RH1399" s="120"/>
      <c r="RI1399" s="120"/>
      <c r="RJ1399" s="120"/>
      <c r="RK1399" s="120"/>
      <c r="RL1399" s="120"/>
      <c r="RM1399" s="120"/>
      <c r="RN1399" s="120"/>
      <c r="RO1399" s="120"/>
      <c r="RP1399" s="120"/>
      <c r="RQ1399" s="120"/>
      <c r="RR1399" s="120"/>
      <c r="RS1399" s="120"/>
      <c r="RT1399" s="120"/>
      <c r="RU1399" s="120"/>
      <c r="RV1399" s="120"/>
      <c r="RW1399" s="120"/>
      <c r="RX1399" s="120"/>
      <c r="RY1399" s="120"/>
      <c r="RZ1399" s="120"/>
      <c r="SA1399" s="120"/>
      <c r="SB1399" s="120"/>
      <c r="SC1399" s="120"/>
      <c r="SD1399" s="120"/>
      <c r="SE1399" s="120"/>
      <c r="SF1399" s="120"/>
      <c r="SG1399" s="120"/>
      <c r="SH1399" s="120"/>
      <c r="SI1399" s="120"/>
      <c r="SJ1399" s="120"/>
      <c r="SK1399" s="120"/>
      <c r="SL1399" s="120"/>
      <c r="SM1399" s="120"/>
      <c r="SN1399" s="120"/>
      <c r="SO1399" s="120"/>
      <c r="SP1399" s="120"/>
      <c r="SQ1399" s="120"/>
      <c r="SR1399" s="120"/>
      <c r="SS1399" s="120"/>
      <c r="ST1399" s="120"/>
      <c r="SU1399" s="120"/>
      <c r="SV1399" s="120"/>
      <c r="SW1399" s="120"/>
      <c r="SX1399" s="120"/>
      <c r="SY1399" s="120"/>
      <c r="SZ1399" s="120"/>
      <c r="TA1399" s="120"/>
      <c r="TB1399" s="120"/>
      <c r="TC1399" s="120"/>
      <c r="TD1399" s="120"/>
      <c r="TE1399" s="120"/>
      <c r="TF1399" s="120"/>
      <c r="TG1399" s="120"/>
      <c r="TH1399" s="120"/>
      <c r="TI1399" s="120"/>
      <c r="TJ1399" s="120"/>
      <c r="TK1399" s="120"/>
      <c r="TL1399" s="120"/>
      <c r="TM1399" s="120"/>
      <c r="TN1399" s="120"/>
      <c r="TO1399" s="120"/>
      <c r="TP1399" s="120"/>
      <c r="TQ1399" s="120"/>
      <c r="TR1399" s="120"/>
      <c r="TS1399" s="120"/>
      <c r="TT1399" s="120"/>
      <c r="TU1399" s="120"/>
      <c r="TV1399" s="120"/>
      <c r="TW1399" s="120"/>
      <c r="TX1399" s="120"/>
      <c r="TY1399" s="120"/>
      <c r="TZ1399" s="120"/>
      <c r="UA1399" s="120"/>
      <c r="UB1399" s="120"/>
      <c r="UC1399" s="120"/>
      <c r="UD1399" s="120"/>
      <c r="UE1399" s="120"/>
      <c r="UF1399" s="120"/>
      <c r="UG1399" s="120"/>
      <c r="UH1399" s="120"/>
      <c r="UI1399" s="120"/>
      <c r="UJ1399" s="120"/>
      <c r="UK1399" s="120"/>
      <c r="UL1399" s="120"/>
      <c r="UM1399" s="120"/>
      <c r="UN1399" s="120"/>
      <c r="UO1399" s="120"/>
      <c r="UP1399" s="120"/>
      <c r="UQ1399" s="120"/>
      <c r="UR1399" s="120"/>
      <c r="US1399" s="120"/>
      <c r="UT1399" s="120"/>
      <c r="UU1399" s="120"/>
      <c r="UV1399" s="120"/>
      <c r="UW1399" s="120"/>
      <c r="UX1399" s="120"/>
      <c r="UY1399" s="120"/>
      <c r="UZ1399" s="120"/>
      <c r="VA1399" s="120"/>
      <c r="VB1399" s="120"/>
      <c r="VC1399" s="120"/>
      <c r="VD1399" s="120"/>
      <c r="VE1399" s="120"/>
      <c r="VF1399" s="120"/>
      <c r="VG1399" s="120"/>
      <c r="VH1399" s="120"/>
      <c r="VI1399" s="120"/>
      <c r="VJ1399" s="120"/>
      <c r="VK1399" s="120"/>
      <c r="VL1399" s="120"/>
      <c r="VM1399" s="120"/>
      <c r="VN1399" s="120"/>
      <c r="VO1399" s="120"/>
      <c r="VP1399" s="120"/>
      <c r="VQ1399" s="120"/>
      <c r="VR1399" s="120"/>
      <c r="VS1399" s="120"/>
      <c r="VT1399" s="120"/>
      <c r="VU1399" s="120"/>
      <c r="VV1399" s="120"/>
      <c r="VW1399" s="120"/>
      <c r="VX1399" s="120"/>
      <c r="VY1399" s="120"/>
      <c r="VZ1399" s="120"/>
      <c r="WA1399" s="120"/>
      <c r="WB1399" s="120"/>
      <c r="WC1399" s="120"/>
      <c r="WD1399" s="120"/>
      <c r="WE1399" s="120"/>
      <c r="WF1399" s="120"/>
      <c r="WG1399" s="120"/>
      <c r="WH1399" s="120"/>
      <c r="WI1399" s="120"/>
      <c r="WJ1399" s="120"/>
      <c r="WK1399" s="120"/>
      <c r="WL1399" s="120"/>
      <c r="WM1399" s="120"/>
      <c r="WN1399" s="120"/>
      <c r="WO1399" s="120"/>
      <c r="WP1399" s="120"/>
      <c r="WQ1399" s="120"/>
      <c r="WR1399" s="120"/>
      <c r="WS1399" s="120"/>
      <c r="WT1399" s="120"/>
      <c r="WU1399" s="120"/>
      <c r="WV1399" s="120"/>
      <c r="WW1399" s="120"/>
      <c r="WX1399" s="120"/>
      <c r="WY1399" s="120"/>
      <c r="WZ1399" s="120"/>
      <c r="XA1399" s="120"/>
      <c r="XB1399" s="120"/>
      <c r="XC1399" s="120"/>
      <c r="XD1399" s="120"/>
      <c r="XE1399" s="120"/>
      <c r="XF1399" s="120"/>
      <c r="XG1399" s="120"/>
      <c r="XH1399" s="120"/>
      <c r="XI1399" s="120"/>
      <c r="XJ1399" s="120"/>
      <c r="XK1399" s="120"/>
      <c r="XL1399" s="120"/>
      <c r="XM1399" s="120"/>
      <c r="XN1399" s="120"/>
      <c r="XO1399" s="120"/>
      <c r="XP1399" s="120"/>
      <c r="XQ1399" s="120"/>
      <c r="XR1399" s="120"/>
      <c r="XS1399" s="120"/>
      <c r="XT1399" s="120"/>
      <c r="XU1399" s="120"/>
      <c r="XV1399" s="120"/>
      <c r="XW1399" s="120"/>
      <c r="XX1399" s="120"/>
      <c r="XY1399" s="120"/>
      <c r="XZ1399" s="120"/>
      <c r="YA1399" s="120"/>
      <c r="YB1399" s="120"/>
      <c r="YC1399" s="120"/>
      <c r="YD1399" s="120"/>
      <c r="YE1399" s="120"/>
      <c r="YF1399" s="120"/>
      <c r="YG1399" s="120"/>
      <c r="YH1399" s="120"/>
      <c r="YI1399" s="120"/>
      <c r="YJ1399" s="120"/>
      <c r="YK1399" s="120"/>
      <c r="YL1399" s="120"/>
      <c r="YM1399" s="120"/>
      <c r="YN1399" s="120"/>
      <c r="YO1399" s="120"/>
      <c r="YP1399" s="120"/>
      <c r="YQ1399" s="120"/>
      <c r="YR1399" s="120"/>
      <c r="YS1399" s="120"/>
      <c r="YT1399" s="120"/>
      <c r="YU1399" s="120"/>
      <c r="YV1399" s="120"/>
      <c r="YW1399" s="120"/>
      <c r="YX1399" s="120"/>
      <c r="YY1399" s="120"/>
      <c r="YZ1399" s="120"/>
      <c r="ZA1399" s="120"/>
      <c r="ZB1399" s="120"/>
      <c r="ZC1399" s="120"/>
      <c r="ZD1399" s="120"/>
      <c r="ZE1399" s="120"/>
      <c r="ZF1399" s="120"/>
      <c r="ZG1399" s="120"/>
      <c r="ZH1399" s="120"/>
      <c r="ZI1399" s="120"/>
      <c r="ZJ1399" s="120"/>
      <c r="ZK1399" s="120"/>
      <c r="ZL1399" s="120"/>
      <c r="ZM1399" s="120"/>
      <c r="ZN1399" s="120"/>
      <c r="ZO1399" s="120"/>
      <c r="ZP1399" s="120"/>
      <c r="ZQ1399" s="120"/>
      <c r="ZR1399" s="120"/>
      <c r="ZS1399" s="120"/>
      <c r="ZT1399" s="120"/>
      <c r="ZU1399" s="120"/>
      <c r="ZV1399" s="120"/>
      <c r="ZW1399" s="120"/>
      <c r="ZX1399" s="120"/>
      <c r="ZY1399" s="120"/>
      <c r="ZZ1399" s="120"/>
      <c r="AAA1399" s="120"/>
      <c r="AAB1399" s="120"/>
      <c r="AAC1399" s="120"/>
      <c r="AAD1399" s="120"/>
      <c r="AAE1399" s="120"/>
      <c r="AAF1399" s="120"/>
      <c r="AAG1399" s="120"/>
      <c r="AAH1399" s="120"/>
      <c r="AAI1399" s="120"/>
      <c r="AAJ1399" s="120"/>
      <c r="AAK1399" s="120"/>
      <c r="AAL1399" s="120"/>
      <c r="AAM1399" s="120"/>
      <c r="AAN1399" s="120"/>
      <c r="AAO1399" s="120"/>
      <c r="AAP1399" s="120"/>
      <c r="AAQ1399" s="120"/>
      <c r="AAR1399" s="120"/>
      <c r="AAS1399" s="120"/>
      <c r="AAT1399" s="120"/>
      <c r="AAU1399" s="120"/>
      <c r="AAV1399" s="120"/>
      <c r="AAW1399" s="120"/>
      <c r="AAX1399" s="120"/>
      <c r="AAY1399" s="120"/>
      <c r="AAZ1399" s="120"/>
      <c r="ABA1399" s="120"/>
      <c r="ABB1399" s="120"/>
      <c r="ABC1399" s="120"/>
      <c r="ABD1399" s="120"/>
      <c r="ABE1399" s="120"/>
      <c r="ABF1399" s="120"/>
      <c r="ABG1399" s="120"/>
      <c r="ABH1399" s="120"/>
      <c r="ABI1399" s="120"/>
      <c r="ABJ1399" s="120"/>
      <c r="ABK1399" s="120"/>
      <c r="ABL1399" s="120"/>
      <c r="ABM1399" s="120"/>
      <c r="ABN1399" s="120"/>
      <c r="ABO1399" s="120"/>
      <c r="ABP1399" s="120"/>
      <c r="ABQ1399" s="120"/>
      <c r="ABR1399" s="120"/>
      <c r="ABS1399" s="120"/>
      <c r="ABT1399" s="120"/>
      <c r="ABU1399" s="120"/>
      <c r="ABV1399" s="120"/>
      <c r="ABW1399" s="120"/>
      <c r="ABX1399" s="120"/>
      <c r="ABY1399" s="120"/>
      <c r="ABZ1399" s="120"/>
      <c r="ACA1399" s="120"/>
      <c r="ACB1399" s="120"/>
      <c r="ACC1399" s="120"/>
      <c r="ACD1399" s="120"/>
      <c r="ACE1399" s="120"/>
      <c r="ACF1399" s="120"/>
      <c r="ACG1399" s="120"/>
      <c r="ACH1399" s="120"/>
      <c r="ACI1399" s="120"/>
      <c r="ACJ1399" s="120"/>
      <c r="ACK1399" s="120"/>
      <c r="ACL1399" s="120"/>
      <c r="ACM1399" s="120"/>
      <c r="ACN1399" s="120"/>
      <c r="ACO1399" s="120"/>
      <c r="ACP1399" s="120"/>
      <c r="ACQ1399" s="120"/>
      <c r="ACR1399" s="120"/>
      <c r="ACS1399" s="120"/>
      <c r="ACT1399" s="120"/>
      <c r="ACU1399" s="120"/>
      <c r="ACV1399" s="120"/>
      <c r="ACW1399" s="120"/>
      <c r="ACX1399" s="120"/>
      <c r="ACY1399" s="120"/>
      <c r="ACZ1399" s="120"/>
      <c r="ADA1399" s="120"/>
      <c r="ADB1399" s="120"/>
      <c r="ADC1399" s="120"/>
      <c r="ADD1399" s="120"/>
      <c r="ADE1399" s="120"/>
      <c r="ADF1399" s="120"/>
      <c r="ADG1399" s="120"/>
      <c r="ADH1399" s="120"/>
      <c r="ADI1399" s="120"/>
      <c r="ADJ1399" s="120"/>
      <c r="ADK1399" s="120"/>
      <c r="ADL1399" s="120"/>
      <c r="ADM1399" s="120"/>
      <c r="ADN1399" s="120"/>
      <c r="ADO1399" s="120"/>
      <c r="ADP1399" s="120"/>
      <c r="ADQ1399" s="120"/>
      <c r="ADR1399" s="120"/>
      <c r="ADS1399" s="120"/>
      <c r="ADT1399" s="120"/>
      <c r="ADU1399" s="120"/>
      <c r="ADV1399" s="120"/>
      <c r="ADW1399" s="120"/>
      <c r="ADX1399" s="120"/>
      <c r="ADY1399" s="120"/>
      <c r="ADZ1399" s="120"/>
      <c r="AEA1399" s="120"/>
      <c r="AEB1399" s="120"/>
      <c r="AEC1399" s="120"/>
      <c r="AED1399" s="120"/>
      <c r="AEE1399" s="120"/>
      <c r="AEF1399" s="120"/>
      <c r="AEG1399" s="120"/>
      <c r="AEH1399" s="120"/>
      <c r="AEI1399" s="120"/>
      <c r="AEJ1399" s="120"/>
      <c r="AEK1399" s="120"/>
      <c r="AEL1399" s="120"/>
      <c r="AEM1399" s="120"/>
      <c r="AEN1399" s="120"/>
      <c r="AEO1399" s="120"/>
      <c r="AEP1399" s="120"/>
      <c r="AEQ1399" s="120"/>
      <c r="AER1399" s="120"/>
      <c r="AES1399" s="120"/>
      <c r="AET1399" s="120"/>
      <c r="AEU1399" s="120"/>
      <c r="AEV1399" s="120"/>
      <c r="AEW1399" s="120"/>
      <c r="AEX1399" s="120"/>
      <c r="AEY1399" s="120"/>
      <c r="AEZ1399" s="120"/>
      <c r="AFA1399" s="120"/>
      <c r="AFB1399" s="120"/>
      <c r="AFC1399" s="120"/>
      <c r="AFD1399" s="120"/>
      <c r="AFE1399" s="120"/>
      <c r="AFF1399" s="120"/>
      <c r="AFG1399" s="120"/>
      <c r="AFH1399" s="120"/>
      <c r="AFI1399" s="120"/>
      <c r="AFJ1399" s="120"/>
      <c r="AFK1399" s="120"/>
      <c r="AFL1399" s="120"/>
      <c r="AFM1399" s="120"/>
      <c r="AFN1399" s="120"/>
      <c r="AFO1399" s="120"/>
      <c r="AFP1399" s="120"/>
      <c r="AFQ1399" s="120"/>
      <c r="AFR1399" s="120"/>
      <c r="AFS1399" s="120"/>
      <c r="AFT1399" s="120"/>
      <c r="AFU1399" s="120"/>
      <c r="AFV1399" s="120"/>
      <c r="AFW1399" s="120"/>
      <c r="AFX1399" s="120"/>
      <c r="AFY1399" s="120"/>
      <c r="AFZ1399" s="120"/>
      <c r="AGA1399" s="120"/>
      <c r="AGB1399" s="120"/>
      <c r="AGC1399" s="120"/>
      <c r="AGD1399" s="120"/>
      <c r="AGE1399" s="120"/>
      <c r="AGF1399" s="120"/>
      <c r="AGG1399" s="120"/>
      <c r="AGH1399" s="120"/>
      <c r="AGI1399" s="120"/>
      <c r="AGJ1399" s="120"/>
      <c r="AGK1399" s="120"/>
      <c r="AGL1399" s="120"/>
      <c r="AGM1399" s="120"/>
      <c r="AGN1399" s="120"/>
      <c r="AGO1399" s="120"/>
      <c r="AGP1399" s="120"/>
      <c r="AGQ1399" s="120"/>
      <c r="AGR1399" s="120"/>
      <c r="AGS1399" s="120"/>
      <c r="AGT1399" s="120"/>
      <c r="AGU1399" s="120"/>
      <c r="AGV1399" s="120"/>
      <c r="AGW1399" s="120"/>
      <c r="AGX1399" s="120"/>
      <c r="AGY1399" s="120"/>
      <c r="AGZ1399" s="120"/>
      <c r="AHA1399" s="120"/>
      <c r="AHB1399" s="120"/>
      <c r="AHC1399" s="120"/>
      <c r="AHD1399" s="120"/>
      <c r="AHE1399" s="120"/>
      <c r="AHF1399" s="120"/>
      <c r="AHG1399" s="120"/>
      <c r="AHH1399" s="120"/>
      <c r="AHI1399" s="120"/>
      <c r="AHJ1399" s="120"/>
      <c r="AHK1399" s="120"/>
      <c r="AHL1399" s="120"/>
      <c r="AHM1399" s="120"/>
      <c r="AHN1399" s="120"/>
      <c r="AHO1399" s="120"/>
      <c r="AHP1399" s="120"/>
      <c r="AHQ1399" s="120"/>
      <c r="AHR1399" s="120"/>
      <c r="AHS1399" s="120"/>
      <c r="AHT1399" s="120"/>
      <c r="AHU1399" s="120"/>
      <c r="AHV1399" s="120"/>
      <c r="AHW1399" s="120"/>
      <c r="AHX1399" s="120"/>
      <c r="AHY1399" s="120"/>
      <c r="AHZ1399" s="120"/>
      <c r="AIA1399" s="120"/>
      <c r="AIB1399" s="120"/>
      <c r="AIC1399" s="120"/>
      <c r="AID1399" s="120"/>
      <c r="AIE1399" s="120"/>
      <c r="AIF1399" s="120"/>
      <c r="AIG1399" s="120"/>
      <c r="AIH1399" s="120"/>
      <c r="AII1399" s="120"/>
      <c r="AIJ1399" s="120"/>
      <c r="AIK1399" s="120"/>
      <c r="AIL1399" s="120"/>
      <c r="AIM1399" s="120"/>
      <c r="AIN1399" s="120"/>
      <c r="AIO1399" s="120"/>
      <c r="AIP1399" s="120"/>
      <c r="AIQ1399" s="120"/>
      <c r="AIR1399" s="120"/>
      <c r="AIS1399" s="120"/>
      <c r="AIT1399" s="120"/>
      <c r="AIU1399" s="120"/>
      <c r="AIV1399" s="120"/>
      <c r="AIW1399" s="120"/>
      <c r="AIX1399" s="120"/>
      <c r="AIY1399" s="120"/>
      <c r="AIZ1399" s="120"/>
      <c r="AJA1399" s="120"/>
      <c r="AJB1399" s="120"/>
      <c r="AJC1399" s="120"/>
      <c r="AJD1399" s="120"/>
      <c r="AJE1399" s="120"/>
      <c r="AJF1399" s="120"/>
      <c r="AJG1399" s="120"/>
      <c r="AJH1399" s="120"/>
      <c r="AJI1399" s="120"/>
      <c r="AJJ1399" s="120"/>
      <c r="AJK1399" s="120"/>
      <c r="AJL1399" s="120"/>
      <c r="AJM1399" s="120"/>
      <c r="AJN1399" s="120"/>
      <c r="AJO1399" s="120"/>
      <c r="AJP1399" s="120"/>
      <c r="AJQ1399" s="120"/>
      <c r="AJR1399" s="120"/>
      <c r="AJS1399" s="120"/>
      <c r="AJT1399" s="120"/>
      <c r="AJU1399" s="120"/>
      <c r="AJV1399" s="120"/>
      <c r="AJW1399" s="120"/>
      <c r="AJX1399" s="120"/>
      <c r="AJY1399" s="120"/>
      <c r="AJZ1399" s="120"/>
      <c r="AKA1399" s="120"/>
      <c r="AKB1399" s="120"/>
      <c r="AKC1399" s="120"/>
      <c r="AKD1399" s="120"/>
      <c r="AKE1399" s="120"/>
      <c r="AKF1399" s="120"/>
      <c r="AKG1399" s="120"/>
      <c r="AKH1399" s="120"/>
      <c r="AKI1399" s="120"/>
      <c r="AKJ1399" s="120"/>
      <c r="AKK1399" s="120"/>
      <c r="AKL1399" s="120"/>
      <c r="AKM1399" s="120"/>
      <c r="AKN1399" s="120"/>
      <c r="AKO1399" s="120"/>
      <c r="AKP1399" s="120"/>
      <c r="AKQ1399" s="120"/>
      <c r="AKR1399" s="120"/>
      <c r="AKS1399" s="120"/>
      <c r="AKT1399" s="120"/>
      <c r="AKU1399" s="120"/>
      <c r="AKV1399" s="120"/>
      <c r="AKW1399" s="120"/>
      <c r="AKX1399" s="120"/>
      <c r="AKY1399" s="120"/>
      <c r="AKZ1399" s="120"/>
      <c r="ALA1399" s="120"/>
      <c r="ALB1399" s="120"/>
      <c r="ALC1399" s="120"/>
      <c r="ALD1399" s="120"/>
      <c r="ALE1399" s="120"/>
      <c r="ALF1399" s="120"/>
      <c r="ALG1399" s="120"/>
      <c r="ALH1399" s="120"/>
      <c r="ALI1399" s="120"/>
      <c r="ALJ1399" s="120"/>
      <c r="ALK1399" s="120"/>
      <c r="ALL1399" s="120"/>
      <c r="ALM1399" s="120"/>
      <c r="ALN1399" s="120"/>
      <c r="ALO1399" s="120"/>
      <c r="ALP1399" s="120"/>
      <c r="ALQ1399" s="120"/>
      <c r="ALR1399" s="120"/>
      <c r="ALS1399" s="120"/>
      <c r="ALT1399" s="120"/>
      <c r="ALU1399" s="120"/>
      <c r="ALV1399" s="120"/>
      <c r="ALW1399" s="120"/>
      <c r="ALX1399" s="120"/>
      <c r="ALY1399" s="120"/>
      <c r="ALZ1399" s="120"/>
      <c r="AMA1399" s="120"/>
      <c r="AMB1399" s="120"/>
      <c r="AMC1399" s="120"/>
      <c r="AMD1399" s="120"/>
      <c r="AME1399" s="120"/>
      <c r="AMF1399" s="120"/>
      <c r="AMG1399" s="120"/>
      <c r="AMH1399" s="120"/>
      <c r="AMI1399" s="120"/>
      <c r="AMJ1399" s="120"/>
      <c r="AMK1399" s="120"/>
      <c r="AML1399" s="120"/>
      <c r="AMM1399" s="120"/>
      <c r="AMN1399" s="120"/>
      <c r="AMO1399" s="120"/>
      <c r="AMP1399" s="120"/>
      <c r="AMQ1399" s="120"/>
      <c r="AMR1399" s="120"/>
      <c r="AMS1399" s="120"/>
      <c r="AMT1399" s="120"/>
      <c r="AMU1399" s="120"/>
      <c r="AMV1399" s="120"/>
      <c r="AMW1399" s="120"/>
      <c r="AMX1399" s="120"/>
      <c r="AMY1399" s="120"/>
      <c r="AMZ1399" s="120"/>
      <c r="ANA1399" s="120"/>
      <c r="ANB1399" s="120"/>
      <c r="ANC1399" s="120"/>
      <c r="AND1399" s="120"/>
      <c r="ANE1399" s="120"/>
      <c r="ANF1399" s="120"/>
      <c r="ANG1399" s="120"/>
      <c r="ANH1399" s="120"/>
      <c r="ANI1399" s="120"/>
      <c r="ANJ1399" s="120"/>
      <c r="ANK1399" s="120"/>
      <c r="ANL1399" s="120"/>
      <c r="ANM1399" s="120"/>
      <c r="ANN1399" s="120"/>
      <c r="ANO1399" s="120"/>
      <c r="ANP1399" s="120"/>
      <c r="ANQ1399" s="120"/>
      <c r="ANR1399" s="120"/>
      <c r="ANS1399" s="120"/>
      <c r="ANT1399" s="120"/>
      <c r="ANU1399" s="120"/>
      <c r="ANV1399" s="120"/>
      <c r="ANW1399" s="120"/>
      <c r="ANX1399" s="120"/>
      <c r="ANY1399" s="120"/>
      <c r="ANZ1399" s="120"/>
      <c r="AOA1399" s="120"/>
      <c r="AOB1399" s="120"/>
      <c r="AOC1399" s="120"/>
      <c r="AOD1399" s="120"/>
      <c r="AOE1399" s="120"/>
      <c r="AOF1399" s="120"/>
      <c r="AOG1399" s="120"/>
      <c r="AOH1399" s="120"/>
      <c r="AOI1399" s="120"/>
      <c r="AOJ1399" s="120"/>
      <c r="AOK1399" s="120"/>
      <c r="AOL1399" s="120"/>
      <c r="AOM1399" s="120"/>
      <c r="AON1399" s="120"/>
      <c r="AOO1399" s="120"/>
      <c r="AOP1399" s="120"/>
      <c r="AOQ1399" s="120"/>
      <c r="AOR1399" s="120"/>
      <c r="AOS1399" s="120"/>
      <c r="AOT1399" s="120"/>
      <c r="AOU1399" s="120"/>
      <c r="AOV1399" s="120"/>
      <c r="AOW1399" s="120"/>
      <c r="AOX1399" s="120"/>
      <c r="AOY1399" s="120"/>
      <c r="AOZ1399" s="120"/>
      <c r="APA1399" s="120"/>
      <c r="APB1399" s="120"/>
      <c r="APC1399" s="120"/>
      <c r="APD1399" s="120"/>
      <c r="APE1399" s="120"/>
      <c r="APF1399" s="120"/>
      <c r="APG1399" s="120"/>
      <c r="APH1399" s="120"/>
      <c r="API1399" s="120"/>
      <c r="APJ1399" s="120"/>
      <c r="APK1399" s="120"/>
      <c r="APL1399" s="120"/>
      <c r="APM1399" s="120"/>
      <c r="APN1399" s="120"/>
      <c r="APO1399" s="120"/>
      <c r="APP1399" s="120"/>
      <c r="APQ1399" s="120"/>
      <c r="APR1399" s="120"/>
      <c r="APS1399" s="120"/>
      <c r="APT1399" s="120"/>
      <c r="APU1399" s="120"/>
      <c r="APV1399" s="120"/>
      <c r="APW1399" s="120"/>
      <c r="APX1399" s="120"/>
      <c r="APY1399" s="120"/>
      <c r="APZ1399" s="120"/>
      <c r="AQA1399" s="120"/>
      <c r="AQB1399" s="120"/>
      <c r="AQC1399" s="120"/>
      <c r="AQD1399" s="120"/>
      <c r="AQE1399" s="120"/>
      <c r="AQF1399" s="120"/>
      <c r="AQG1399" s="120"/>
      <c r="AQH1399" s="120"/>
      <c r="AQI1399" s="120"/>
      <c r="AQJ1399" s="120"/>
      <c r="AQK1399" s="120"/>
      <c r="AQL1399" s="120"/>
      <c r="AQM1399" s="120"/>
      <c r="AQN1399" s="120"/>
      <c r="AQO1399" s="120"/>
      <c r="AQP1399" s="120"/>
      <c r="AQQ1399" s="120"/>
      <c r="AQR1399" s="120"/>
      <c r="AQS1399" s="120"/>
      <c r="AQT1399" s="120"/>
      <c r="AQU1399" s="120"/>
      <c r="AQV1399" s="120"/>
      <c r="AQW1399" s="120"/>
      <c r="AQX1399" s="120"/>
      <c r="AQY1399" s="120"/>
      <c r="AQZ1399" s="120"/>
      <c r="ARA1399" s="120"/>
      <c r="ARB1399" s="120"/>
      <c r="ARC1399" s="120"/>
      <c r="ARD1399" s="120"/>
      <c r="ARE1399" s="120"/>
      <c r="ARF1399" s="120"/>
      <c r="ARG1399" s="120"/>
      <c r="ARH1399" s="120"/>
      <c r="ARI1399" s="120"/>
      <c r="ARJ1399" s="120"/>
      <c r="ARK1399" s="120"/>
      <c r="ARL1399" s="120"/>
      <c r="ARM1399" s="120"/>
      <c r="ARN1399" s="120"/>
      <c r="ARO1399" s="120"/>
      <c r="ARP1399" s="120"/>
      <c r="ARQ1399" s="120"/>
      <c r="ARR1399" s="120"/>
      <c r="ARS1399" s="120"/>
      <c r="ART1399" s="120"/>
      <c r="ARU1399" s="120"/>
      <c r="ARV1399" s="120"/>
      <c r="ARW1399" s="120"/>
      <c r="ARX1399" s="120"/>
      <c r="ARY1399" s="120"/>
      <c r="ARZ1399" s="120"/>
      <c r="ASA1399" s="120"/>
      <c r="ASB1399" s="120"/>
      <c r="ASC1399" s="120"/>
      <c r="ASD1399" s="120"/>
      <c r="ASE1399" s="120"/>
      <c r="ASF1399" s="120"/>
      <c r="ASG1399" s="120"/>
      <c r="ASH1399" s="120"/>
      <c r="ASI1399" s="120"/>
      <c r="ASJ1399" s="120"/>
      <c r="ASK1399" s="120"/>
      <c r="ASL1399" s="120"/>
      <c r="ASM1399" s="120"/>
      <c r="ASN1399" s="120"/>
      <c r="ASO1399" s="120"/>
      <c r="ASP1399" s="120"/>
      <c r="ASQ1399" s="120"/>
      <c r="ASR1399" s="120"/>
      <c r="ASS1399" s="120"/>
      <c r="AST1399" s="120"/>
      <c r="ASU1399" s="120"/>
      <c r="ASV1399" s="120"/>
      <c r="ASW1399" s="120"/>
      <c r="ASX1399" s="120"/>
      <c r="ASY1399" s="120"/>
      <c r="ASZ1399" s="120"/>
      <c r="ATA1399" s="120"/>
      <c r="ATB1399" s="120"/>
      <c r="ATC1399" s="120"/>
      <c r="ATD1399" s="120"/>
      <c r="ATE1399" s="120"/>
      <c r="ATF1399" s="120"/>
      <c r="ATG1399" s="120"/>
      <c r="ATH1399" s="120"/>
      <c r="ATI1399" s="120"/>
      <c r="ATJ1399" s="120"/>
      <c r="ATK1399" s="120"/>
      <c r="ATL1399" s="120"/>
      <c r="ATM1399" s="120"/>
      <c r="ATN1399" s="120"/>
      <c r="ATO1399" s="120"/>
    </row>
    <row r="1400" spans="1:1211" s="20" customFormat="1" ht="14.1" customHeight="1">
      <c r="A1400" s="112"/>
      <c r="B1400" s="723"/>
      <c r="C1400" s="184"/>
      <c r="D1400" s="120"/>
      <c r="E1400" s="701"/>
      <c r="F1400" s="703"/>
      <c r="G1400" s="702"/>
      <c r="H1400" s="702"/>
      <c r="I1400" s="702"/>
      <c r="J1400" s="700"/>
      <c r="K1400" s="112"/>
      <c r="L1400" s="363"/>
      <c r="M1400" s="112"/>
      <c r="N1400" s="362"/>
      <c r="O1400" s="573"/>
      <c r="P1400" s="120"/>
      <c r="Q1400" s="120"/>
      <c r="R1400" s="120"/>
      <c r="S1400" s="120"/>
      <c r="T1400" s="120"/>
      <c r="U1400" s="120"/>
      <c r="V1400" s="120"/>
      <c r="W1400" s="120"/>
      <c r="X1400" s="120"/>
      <c r="Y1400" s="120"/>
      <c r="Z1400" s="120"/>
      <c r="AA1400" s="120"/>
      <c r="AB1400" s="120"/>
      <c r="AC1400" s="120"/>
      <c r="AD1400" s="120"/>
      <c r="AE1400" s="120"/>
      <c r="AF1400" s="120"/>
      <c r="AG1400" s="120"/>
      <c r="AH1400" s="120"/>
      <c r="AI1400" s="120"/>
      <c r="AJ1400" s="120"/>
      <c r="AK1400" s="120"/>
      <c r="AL1400" s="120"/>
      <c r="AM1400" s="120"/>
      <c r="AN1400" s="120"/>
      <c r="AO1400" s="120"/>
      <c r="AP1400" s="120"/>
      <c r="AQ1400" s="120"/>
      <c r="AR1400" s="120"/>
      <c r="AS1400" s="120"/>
      <c r="AT1400" s="120"/>
      <c r="AU1400" s="120"/>
      <c r="AV1400" s="120"/>
      <c r="AW1400" s="120"/>
      <c r="AX1400" s="120"/>
      <c r="AY1400" s="120"/>
      <c r="AZ1400" s="120"/>
      <c r="BA1400" s="120"/>
      <c r="BB1400" s="120"/>
      <c r="BC1400" s="120"/>
      <c r="BD1400" s="120"/>
      <c r="BE1400" s="120"/>
      <c r="BF1400" s="120"/>
      <c r="BG1400" s="120"/>
      <c r="BH1400" s="120"/>
      <c r="BI1400" s="120"/>
      <c r="BJ1400" s="120"/>
      <c r="BK1400" s="120"/>
      <c r="BL1400" s="120"/>
      <c r="BM1400" s="120"/>
      <c r="BN1400" s="120"/>
      <c r="BO1400" s="120"/>
      <c r="BP1400" s="120"/>
      <c r="BQ1400" s="120"/>
      <c r="BR1400" s="120"/>
      <c r="BS1400" s="120"/>
      <c r="BT1400" s="120"/>
      <c r="BU1400" s="120"/>
      <c r="BV1400" s="120"/>
      <c r="BW1400" s="120"/>
      <c r="BX1400" s="120"/>
      <c r="BY1400" s="120"/>
      <c r="BZ1400" s="120"/>
      <c r="CA1400" s="120"/>
      <c r="CB1400" s="120"/>
      <c r="CC1400" s="120"/>
      <c r="CD1400" s="120"/>
      <c r="CE1400" s="120"/>
      <c r="CF1400" s="120"/>
      <c r="CG1400" s="120"/>
      <c r="CH1400" s="120"/>
      <c r="CI1400" s="120"/>
      <c r="CJ1400" s="120"/>
      <c r="CK1400" s="120"/>
      <c r="CL1400" s="120"/>
      <c r="CM1400" s="120"/>
      <c r="CN1400" s="120"/>
      <c r="CO1400" s="120"/>
      <c r="CP1400" s="120"/>
      <c r="CQ1400" s="120"/>
      <c r="CR1400" s="120"/>
      <c r="CS1400" s="120"/>
      <c r="CT1400" s="120"/>
      <c r="CU1400" s="120"/>
      <c r="CV1400" s="120"/>
      <c r="CW1400" s="120"/>
      <c r="CX1400" s="120"/>
      <c r="CY1400" s="120"/>
      <c r="CZ1400" s="120"/>
      <c r="DA1400" s="120"/>
      <c r="DB1400" s="120"/>
      <c r="DC1400" s="120"/>
      <c r="DD1400" s="120"/>
      <c r="DE1400" s="120"/>
      <c r="DF1400" s="120"/>
      <c r="DG1400" s="120"/>
      <c r="DH1400" s="120"/>
      <c r="DI1400" s="120"/>
      <c r="DJ1400" s="120"/>
      <c r="DK1400" s="120"/>
      <c r="DL1400" s="120"/>
      <c r="DM1400" s="120"/>
      <c r="DN1400" s="120"/>
      <c r="DO1400" s="120"/>
      <c r="DP1400" s="120"/>
      <c r="DQ1400" s="120"/>
      <c r="DR1400" s="120"/>
      <c r="DS1400" s="120"/>
      <c r="DT1400" s="120"/>
      <c r="DU1400" s="120"/>
      <c r="DV1400" s="120"/>
      <c r="DW1400" s="120"/>
      <c r="DX1400" s="120"/>
      <c r="DY1400" s="120"/>
      <c r="DZ1400" s="120"/>
      <c r="EA1400" s="120"/>
      <c r="EB1400" s="120"/>
      <c r="EC1400" s="120"/>
      <c r="ED1400" s="120"/>
      <c r="EE1400" s="120"/>
      <c r="EF1400" s="120"/>
      <c r="EG1400" s="120"/>
      <c r="EH1400" s="120"/>
      <c r="EI1400" s="120"/>
      <c r="EJ1400" s="120"/>
      <c r="EK1400" s="120"/>
      <c r="EL1400" s="120"/>
      <c r="EM1400" s="120"/>
      <c r="EN1400" s="120"/>
      <c r="EO1400" s="120"/>
      <c r="EP1400" s="120"/>
      <c r="EQ1400" s="120"/>
      <c r="ER1400" s="120"/>
      <c r="ES1400" s="120"/>
      <c r="ET1400" s="120"/>
      <c r="EU1400" s="120"/>
      <c r="EV1400" s="120"/>
      <c r="EW1400" s="120"/>
      <c r="EX1400" s="120"/>
      <c r="EY1400" s="120"/>
      <c r="EZ1400" s="120"/>
      <c r="FA1400" s="120"/>
      <c r="FB1400" s="120"/>
      <c r="FC1400" s="120"/>
      <c r="FD1400" s="120"/>
      <c r="FE1400" s="120"/>
      <c r="FF1400" s="120"/>
      <c r="FG1400" s="120"/>
      <c r="FH1400" s="120"/>
      <c r="FI1400" s="120"/>
      <c r="FJ1400" s="120"/>
      <c r="FK1400" s="120"/>
      <c r="FL1400" s="120"/>
      <c r="FM1400" s="120"/>
      <c r="FN1400" s="120"/>
      <c r="FO1400" s="120"/>
      <c r="FP1400" s="120"/>
      <c r="FQ1400" s="120"/>
      <c r="FR1400" s="120"/>
      <c r="FS1400" s="120"/>
      <c r="FT1400" s="120"/>
      <c r="FU1400" s="120"/>
      <c r="FV1400" s="120"/>
      <c r="FW1400" s="120"/>
      <c r="FX1400" s="120"/>
      <c r="FY1400" s="120"/>
      <c r="FZ1400" s="120"/>
      <c r="GA1400" s="120"/>
      <c r="GB1400" s="120"/>
      <c r="GC1400" s="120"/>
      <c r="GD1400" s="120"/>
      <c r="GE1400" s="120"/>
      <c r="GF1400" s="120"/>
      <c r="GG1400" s="120"/>
      <c r="GH1400" s="120"/>
      <c r="GI1400" s="120"/>
      <c r="GJ1400" s="120"/>
      <c r="GK1400" s="120"/>
      <c r="GL1400" s="120"/>
      <c r="GM1400" s="120"/>
      <c r="GN1400" s="120"/>
      <c r="GO1400" s="120"/>
      <c r="GP1400" s="120"/>
      <c r="GQ1400" s="120"/>
      <c r="GR1400" s="120"/>
      <c r="GS1400" s="120"/>
      <c r="GT1400" s="120"/>
      <c r="GU1400" s="120"/>
      <c r="GV1400" s="120"/>
      <c r="GW1400" s="120"/>
      <c r="GX1400" s="120"/>
      <c r="GY1400" s="120"/>
      <c r="GZ1400" s="120"/>
      <c r="HA1400" s="120"/>
      <c r="HB1400" s="120"/>
      <c r="HC1400" s="120"/>
      <c r="HD1400" s="120"/>
      <c r="HE1400" s="120"/>
      <c r="HF1400" s="120"/>
      <c r="HG1400" s="120"/>
      <c r="HH1400" s="120"/>
      <c r="HI1400" s="120"/>
      <c r="HJ1400" s="120"/>
      <c r="HK1400" s="120"/>
      <c r="HL1400" s="120"/>
      <c r="HM1400" s="120"/>
      <c r="HN1400" s="120"/>
      <c r="HO1400" s="120"/>
      <c r="HP1400" s="120"/>
      <c r="HQ1400" s="120"/>
      <c r="HR1400" s="120"/>
      <c r="HS1400" s="120"/>
      <c r="HT1400" s="120"/>
      <c r="HU1400" s="120"/>
      <c r="HV1400" s="120"/>
      <c r="HW1400" s="120"/>
      <c r="HX1400" s="120"/>
      <c r="HY1400" s="120"/>
      <c r="HZ1400" s="120"/>
      <c r="IA1400" s="120"/>
      <c r="IB1400" s="120"/>
      <c r="IC1400" s="120"/>
      <c r="ID1400" s="120"/>
      <c r="IE1400" s="120"/>
      <c r="IF1400" s="120"/>
      <c r="IG1400" s="120"/>
      <c r="IH1400" s="120"/>
      <c r="II1400" s="120"/>
      <c r="IJ1400" s="120"/>
      <c r="IK1400" s="120"/>
      <c r="IL1400" s="120"/>
      <c r="IM1400" s="120"/>
      <c r="IN1400" s="120"/>
      <c r="IO1400" s="120"/>
      <c r="IP1400" s="120"/>
      <c r="IQ1400" s="120"/>
      <c r="IR1400" s="120"/>
      <c r="IS1400" s="120"/>
      <c r="IT1400" s="120"/>
      <c r="IU1400" s="120"/>
      <c r="IV1400" s="120"/>
      <c r="IW1400" s="120"/>
      <c r="IX1400" s="120"/>
      <c r="IY1400" s="120"/>
      <c r="IZ1400" s="120"/>
      <c r="JA1400" s="120"/>
      <c r="JB1400" s="120"/>
      <c r="JC1400" s="120"/>
      <c r="JD1400" s="120"/>
      <c r="JE1400" s="120"/>
      <c r="JF1400" s="120"/>
      <c r="JG1400" s="120"/>
      <c r="JH1400" s="120"/>
      <c r="JI1400" s="120"/>
      <c r="JJ1400" s="120"/>
      <c r="JK1400" s="120"/>
      <c r="JL1400" s="120"/>
      <c r="JM1400" s="120"/>
      <c r="JN1400" s="120"/>
      <c r="JO1400" s="120"/>
      <c r="JP1400" s="120"/>
      <c r="JQ1400" s="120"/>
      <c r="JR1400" s="120"/>
      <c r="JS1400" s="120"/>
      <c r="JT1400" s="120"/>
      <c r="JU1400" s="120"/>
      <c r="JV1400" s="120"/>
      <c r="JW1400" s="120"/>
      <c r="JX1400" s="120"/>
      <c r="JY1400" s="120"/>
      <c r="JZ1400" s="120"/>
      <c r="KA1400" s="120"/>
      <c r="KB1400" s="120"/>
      <c r="KC1400" s="120"/>
      <c r="KD1400" s="120"/>
      <c r="KE1400" s="120"/>
      <c r="KF1400" s="120"/>
      <c r="KG1400" s="120"/>
      <c r="KH1400" s="120"/>
      <c r="KI1400" s="120"/>
      <c r="KJ1400" s="120"/>
      <c r="KK1400" s="120"/>
      <c r="KL1400" s="120"/>
      <c r="KM1400" s="120"/>
      <c r="KN1400" s="120"/>
      <c r="KO1400" s="120"/>
      <c r="KP1400" s="120"/>
      <c r="KQ1400" s="120"/>
      <c r="KR1400" s="120"/>
      <c r="KS1400" s="120"/>
      <c r="KT1400" s="120"/>
      <c r="KU1400" s="120"/>
      <c r="KV1400" s="120"/>
      <c r="KW1400" s="120"/>
      <c r="KX1400" s="120"/>
      <c r="KY1400" s="120"/>
      <c r="KZ1400" s="120"/>
      <c r="LA1400" s="120"/>
      <c r="LB1400" s="120"/>
      <c r="LC1400" s="120"/>
      <c r="LD1400" s="120"/>
      <c r="LE1400" s="120"/>
      <c r="LF1400" s="120"/>
      <c r="LG1400" s="120"/>
      <c r="LH1400" s="120"/>
      <c r="LI1400" s="120"/>
      <c r="LJ1400" s="120"/>
      <c r="LK1400" s="120"/>
      <c r="LL1400" s="120"/>
      <c r="LM1400" s="120"/>
      <c r="LN1400" s="120"/>
      <c r="LO1400" s="120"/>
      <c r="LP1400" s="120"/>
      <c r="LQ1400" s="120"/>
      <c r="LR1400" s="120"/>
      <c r="LS1400" s="120"/>
      <c r="LT1400" s="120"/>
      <c r="LU1400" s="120"/>
      <c r="LV1400" s="120"/>
      <c r="LW1400" s="120"/>
      <c r="LX1400" s="120"/>
      <c r="LY1400" s="120"/>
      <c r="LZ1400" s="120"/>
      <c r="MA1400" s="120"/>
      <c r="MB1400" s="120"/>
      <c r="MC1400" s="120"/>
      <c r="MD1400" s="120"/>
      <c r="ME1400" s="120"/>
      <c r="MF1400" s="120"/>
      <c r="MG1400" s="120"/>
      <c r="MH1400" s="120"/>
      <c r="MI1400" s="120"/>
      <c r="MJ1400" s="120"/>
      <c r="MK1400" s="120"/>
      <c r="ML1400" s="120"/>
      <c r="MM1400" s="120"/>
      <c r="MN1400" s="120"/>
      <c r="MO1400" s="120"/>
      <c r="MP1400" s="120"/>
      <c r="MQ1400" s="120"/>
      <c r="MR1400" s="120"/>
      <c r="MS1400" s="120"/>
      <c r="MT1400" s="120"/>
      <c r="MU1400" s="120"/>
      <c r="MV1400" s="120"/>
      <c r="MW1400" s="120"/>
      <c r="MX1400" s="120"/>
      <c r="MY1400" s="120"/>
      <c r="MZ1400" s="120"/>
      <c r="NA1400" s="120"/>
      <c r="NB1400" s="120"/>
      <c r="NC1400" s="120"/>
      <c r="ND1400" s="120"/>
      <c r="NE1400" s="120"/>
      <c r="NF1400" s="120"/>
      <c r="NG1400" s="120"/>
      <c r="NH1400" s="120"/>
      <c r="NI1400" s="120"/>
      <c r="NJ1400" s="120"/>
      <c r="NK1400" s="120"/>
      <c r="NL1400" s="120"/>
      <c r="NM1400" s="120"/>
      <c r="NN1400" s="120"/>
      <c r="NO1400" s="120"/>
      <c r="NP1400" s="120"/>
      <c r="NQ1400" s="120"/>
      <c r="NR1400" s="120"/>
      <c r="NS1400" s="120"/>
      <c r="NT1400" s="120"/>
      <c r="NU1400" s="120"/>
      <c r="NV1400" s="120"/>
      <c r="NW1400" s="120"/>
      <c r="NX1400" s="120"/>
      <c r="NY1400" s="120"/>
      <c r="NZ1400" s="120"/>
      <c r="OA1400" s="120"/>
      <c r="OB1400" s="120"/>
      <c r="OC1400" s="120"/>
      <c r="OD1400" s="120"/>
      <c r="OE1400" s="120"/>
      <c r="OF1400" s="120"/>
      <c r="OG1400" s="120"/>
      <c r="OH1400" s="120"/>
      <c r="OI1400" s="120"/>
      <c r="OJ1400" s="120"/>
      <c r="OK1400" s="120"/>
      <c r="OL1400" s="120"/>
      <c r="OM1400" s="120"/>
      <c r="ON1400" s="120"/>
      <c r="OO1400" s="120"/>
      <c r="OP1400" s="120"/>
      <c r="OQ1400" s="120"/>
      <c r="OR1400" s="120"/>
      <c r="OS1400" s="120"/>
      <c r="OT1400" s="120"/>
      <c r="OU1400" s="120"/>
      <c r="OV1400" s="120"/>
      <c r="OW1400" s="120"/>
      <c r="OX1400" s="120"/>
      <c r="OY1400" s="120"/>
      <c r="OZ1400" s="120"/>
      <c r="PA1400" s="120"/>
      <c r="PB1400" s="120"/>
      <c r="PC1400" s="120"/>
      <c r="PD1400" s="120"/>
      <c r="PE1400" s="120"/>
      <c r="PF1400" s="120"/>
      <c r="PG1400" s="120"/>
      <c r="PH1400" s="120"/>
      <c r="PI1400" s="120"/>
      <c r="PJ1400" s="120"/>
      <c r="PK1400" s="120"/>
      <c r="PL1400" s="120"/>
      <c r="PM1400" s="120"/>
      <c r="PN1400" s="120"/>
      <c r="PO1400" s="120"/>
      <c r="PP1400" s="120"/>
      <c r="PQ1400" s="120"/>
      <c r="PR1400" s="120"/>
      <c r="PS1400" s="120"/>
      <c r="PT1400" s="120"/>
      <c r="PU1400" s="120"/>
      <c r="PV1400" s="120"/>
      <c r="PW1400" s="120"/>
      <c r="PX1400" s="120"/>
      <c r="PY1400" s="120"/>
      <c r="PZ1400" s="120"/>
      <c r="QA1400" s="120"/>
      <c r="QB1400" s="120"/>
      <c r="QC1400" s="120"/>
      <c r="QD1400" s="120"/>
      <c r="QE1400" s="120"/>
      <c r="QF1400" s="120"/>
      <c r="QG1400" s="120"/>
      <c r="QH1400" s="120"/>
      <c r="QI1400" s="120"/>
      <c r="QJ1400" s="120"/>
      <c r="QK1400" s="120"/>
      <c r="QL1400" s="120"/>
      <c r="QM1400" s="120"/>
      <c r="QN1400" s="120"/>
      <c r="QO1400" s="120"/>
      <c r="QP1400" s="120"/>
      <c r="QQ1400" s="120"/>
      <c r="QR1400" s="120"/>
      <c r="QS1400" s="120"/>
      <c r="QT1400" s="120"/>
      <c r="QU1400" s="120"/>
      <c r="QV1400" s="120"/>
      <c r="QW1400" s="120"/>
      <c r="QX1400" s="120"/>
      <c r="QY1400" s="120"/>
      <c r="QZ1400" s="120"/>
      <c r="RA1400" s="120"/>
      <c r="RB1400" s="120"/>
      <c r="RC1400" s="120"/>
      <c r="RD1400" s="120"/>
      <c r="RE1400" s="120"/>
      <c r="RF1400" s="120"/>
      <c r="RG1400" s="120"/>
      <c r="RH1400" s="120"/>
      <c r="RI1400" s="120"/>
      <c r="RJ1400" s="120"/>
      <c r="RK1400" s="120"/>
      <c r="RL1400" s="120"/>
      <c r="RM1400" s="120"/>
      <c r="RN1400" s="120"/>
      <c r="RO1400" s="120"/>
      <c r="RP1400" s="120"/>
      <c r="RQ1400" s="120"/>
      <c r="RR1400" s="120"/>
      <c r="RS1400" s="120"/>
      <c r="RT1400" s="120"/>
      <c r="RU1400" s="120"/>
      <c r="RV1400" s="120"/>
      <c r="RW1400" s="120"/>
      <c r="RX1400" s="120"/>
      <c r="RY1400" s="120"/>
      <c r="RZ1400" s="120"/>
      <c r="SA1400" s="120"/>
      <c r="SB1400" s="120"/>
      <c r="SC1400" s="120"/>
      <c r="SD1400" s="120"/>
      <c r="SE1400" s="120"/>
      <c r="SF1400" s="120"/>
      <c r="SG1400" s="120"/>
      <c r="SH1400" s="120"/>
      <c r="SI1400" s="120"/>
      <c r="SJ1400" s="120"/>
      <c r="SK1400" s="120"/>
      <c r="SL1400" s="120"/>
      <c r="SM1400" s="120"/>
      <c r="SN1400" s="120"/>
      <c r="SO1400" s="120"/>
      <c r="SP1400" s="120"/>
      <c r="SQ1400" s="120"/>
      <c r="SR1400" s="120"/>
      <c r="SS1400" s="120"/>
      <c r="ST1400" s="120"/>
      <c r="SU1400" s="120"/>
      <c r="SV1400" s="120"/>
      <c r="SW1400" s="120"/>
      <c r="SX1400" s="120"/>
      <c r="SY1400" s="120"/>
      <c r="SZ1400" s="120"/>
      <c r="TA1400" s="120"/>
      <c r="TB1400" s="120"/>
      <c r="TC1400" s="120"/>
      <c r="TD1400" s="120"/>
      <c r="TE1400" s="120"/>
      <c r="TF1400" s="120"/>
      <c r="TG1400" s="120"/>
      <c r="TH1400" s="120"/>
      <c r="TI1400" s="120"/>
      <c r="TJ1400" s="120"/>
      <c r="TK1400" s="120"/>
      <c r="TL1400" s="120"/>
      <c r="TM1400" s="120"/>
      <c r="TN1400" s="120"/>
      <c r="TO1400" s="120"/>
      <c r="TP1400" s="120"/>
      <c r="TQ1400" s="120"/>
      <c r="TR1400" s="120"/>
      <c r="TS1400" s="120"/>
      <c r="TT1400" s="120"/>
      <c r="TU1400" s="120"/>
      <c r="TV1400" s="120"/>
      <c r="TW1400" s="120"/>
      <c r="TX1400" s="120"/>
      <c r="TY1400" s="120"/>
      <c r="TZ1400" s="120"/>
      <c r="UA1400" s="120"/>
      <c r="UB1400" s="120"/>
      <c r="UC1400" s="120"/>
      <c r="UD1400" s="120"/>
      <c r="UE1400" s="120"/>
      <c r="UF1400" s="120"/>
      <c r="UG1400" s="120"/>
      <c r="UH1400" s="120"/>
      <c r="UI1400" s="120"/>
      <c r="UJ1400" s="120"/>
      <c r="UK1400" s="120"/>
      <c r="UL1400" s="120"/>
      <c r="UM1400" s="120"/>
      <c r="UN1400" s="120"/>
      <c r="UO1400" s="120"/>
      <c r="UP1400" s="120"/>
      <c r="UQ1400" s="120"/>
      <c r="UR1400" s="120"/>
      <c r="US1400" s="120"/>
      <c r="UT1400" s="120"/>
      <c r="UU1400" s="120"/>
      <c r="UV1400" s="120"/>
      <c r="UW1400" s="120"/>
      <c r="UX1400" s="120"/>
      <c r="UY1400" s="120"/>
      <c r="UZ1400" s="120"/>
      <c r="VA1400" s="120"/>
      <c r="VB1400" s="120"/>
      <c r="VC1400" s="120"/>
      <c r="VD1400" s="120"/>
      <c r="VE1400" s="120"/>
      <c r="VF1400" s="120"/>
      <c r="VG1400" s="120"/>
      <c r="VH1400" s="120"/>
      <c r="VI1400" s="120"/>
      <c r="VJ1400" s="120"/>
      <c r="VK1400" s="120"/>
      <c r="VL1400" s="120"/>
      <c r="VM1400" s="120"/>
      <c r="VN1400" s="120"/>
      <c r="VO1400" s="120"/>
      <c r="VP1400" s="120"/>
      <c r="VQ1400" s="120"/>
      <c r="VR1400" s="120"/>
      <c r="VS1400" s="120"/>
      <c r="VT1400" s="120"/>
      <c r="VU1400" s="120"/>
      <c r="VV1400" s="120"/>
      <c r="VW1400" s="120"/>
      <c r="VX1400" s="120"/>
      <c r="VY1400" s="120"/>
      <c r="VZ1400" s="120"/>
      <c r="WA1400" s="120"/>
      <c r="WB1400" s="120"/>
      <c r="WC1400" s="120"/>
      <c r="WD1400" s="120"/>
      <c r="WE1400" s="120"/>
      <c r="WF1400" s="120"/>
      <c r="WG1400" s="120"/>
      <c r="WH1400" s="120"/>
      <c r="WI1400" s="120"/>
      <c r="WJ1400" s="120"/>
      <c r="WK1400" s="120"/>
      <c r="WL1400" s="120"/>
      <c r="WM1400" s="120"/>
      <c r="WN1400" s="120"/>
      <c r="WO1400" s="120"/>
      <c r="WP1400" s="120"/>
      <c r="WQ1400" s="120"/>
      <c r="WR1400" s="120"/>
      <c r="WS1400" s="120"/>
      <c r="WT1400" s="120"/>
      <c r="WU1400" s="120"/>
      <c r="WV1400" s="120"/>
      <c r="WW1400" s="120"/>
      <c r="WX1400" s="120"/>
      <c r="WY1400" s="120"/>
      <c r="WZ1400" s="120"/>
      <c r="XA1400" s="120"/>
      <c r="XB1400" s="120"/>
      <c r="XC1400" s="120"/>
      <c r="XD1400" s="120"/>
      <c r="XE1400" s="120"/>
      <c r="XF1400" s="120"/>
      <c r="XG1400" s="120"/>
      <c r="XH1400" s="120"/>
      <c r="XI1400" s="120"/>
      <c r="XJ1400" s="120"/>
      <c r="XK1400" s="120"/>
      <c r="XL1400" s="120"/>
      <c r="XM1400" s="120"/>
      <c r="XN1400" s="120"/>
      <c r="XO1400" s="120"/>
      <c r="XP1400" s="120"/>
      <c r="XQ1400" s="120"/>
      <c r="XR1400" s="120"/>
      <c r="XS1400" s="120"/>
      <c r="XT1400" s="120"/>
      <c r="XU1400" s="120"/>
      <c r="XV1400" s="120"/>
      <c r="XW1400" s="120"/>
      <c r="XX1400" s="120"/>
      <c r="XY1400" s="120"/>
      <c r="XZ1400" s="120"/>
      <c r="YA1400" s="120"/>
      <c r="YB1400" s="120"/>
      <c r="YC1400" s="120"/>
      <c r="YD1400" s="120"/>
      <c r="YE1400" s="120"/>
      <c r="YF1400" s="120"/>
      <c r="YG1400" s="120"/>
      <c r="YH1400" s="120"/>
      <c r="YI1400" s="120"/>
      <c r="YJ1400" s="120"/>
      <c r="YK1400" s="120"/>
      <c r="YL1400" s="120"/>
      <c r="YM1400" s="120"/>
      <c r="YN1400" s="120"/>
      <c r="YO1400" s="120"/>
      <c r="YP1400" s="120"/>
      <c r="YQ1400" s="120"/>
      <c r="YR1400" s="120"/>
      <c r="YS1400" s="120"/>
      <c r="YT1400" s="120"/>
      <c r="YU1400" s="120"/>
      <c r="YV1400" s="120"/>
      <c r="YW1400" s="120"/>
      <c r="YX1400" s="120"/>
      <c r="YY1400" s="120"/>
      <c r="YZ1400" s="120"/>
      <c r="ZA1400" s="120"/>
      <c r="ZB1400" s="120"/>
      <c r="ZC1400" s="120"/>
      <c r="ZD1400" s="120"/>
      <c r="ZE1400" s="120"/>
      <c r="ZF1400" s="120"/>
      <c r="ZG1400" s="120"/>
      <c r="ZH1400" s="120"/>
      <c r="ZI1400" s="120"/>
      <c r="ZJ1400" s="120"/>
      <c r="ZK1400" s="120"/>
      <c r="ZL1400" s="120"/>
      <c r="ZM1400" s="120"/>
      <c r="ZN1400" s="120"/>
      <c r="ZO1400" s="120"/>
      <c r="ZP1400" s="120"/>
      <c r="ZQ1400" s="120"/>
      <c r="ZR1400" s="120"/>
      <c r="ZS1400" s="120"/>
      <c r="ZT1400" s="120"/>
      <c r="ZU1400" s="120"/>
      <c r="ZV1400" s="120"/>
      <c r="ZW1400" s="120"/>
      <c r="ZX1400" s="120"/>
      <c r="ZY1400" s="120"/>
      <c r="ZZ1400" s="120"/>
      <c r="AAA1400" s="120"/>
      <c r="AAB1400" s="120"/>
      <c r="AAC1400" s="120"/>
      <c r="AAD1400" s="120"/>
      <c r="AAE1400" s="120"/>
      <c r="AAF1400" s="120"/>
      <c r="AAG1400" s="120"/>
      <c r="AAH1400" s="120"/>
      <c r="AAI1400" s="120"/>
      <c r="AAJ1400" s="120"/>
      <c r="AAK1400" s="120"/>
      <c r="AAL1400" s="120"/>
      <c r="AAM1400" s="120"/>
      <c r="AAN1400" s="120"/>
      <c r="AAO1400" s="120"/>
      <c r="AAP1400" s="120"/>
      <c r="AAQ1400" s="120"/>
      <c r="AAR1400" s="120"/>
      <c r="AAS1400" s="120"/>
      <c r="AAT1400" s="120"/>
      <c r="AAU1400" s="120"/>
      <c r="AAV1400" s="120"/>
      <c r="AAW1400" s="120"/>
      <c r="AAX1400" s="120"/>
      <c r="AAY1400" s="120"/>
      <c r="AAZ1400" s="120"/>
      <c r="ABA1400" s="120"/>
      <c r="ABB1400" s="120"/>
      <c r="ABC1400" s="120"/>
      <c r="ABD1400" s="120"/>
      <c r="ABE1400" s="120"/>
      <c r="ABF1400" s="120"/>
      <c r="ABG1400" s="120"/>
      <c r="ABH1400" s="120"/>
      <c r="ABI1400" s="120"/>
      <c r="ABJ1400" s="120"/>
      <c r="ABK1400" s="120"/>
      <c r="ABL1400" s="120"/>
      <c r="ABM1400" s="120"/>
      <c r="ABN1400" s="120"/>
      <c r="ABO1400" s="120"/>
      <c r="ABP1400" s="120"/>
      <c r="ABQ1400" s="120"/>
      <c r="ABR1400" s="120"/>
      <c r="ABS1400" s="120"/>
      <c r="ABT1400" s="120"/>
      <c r="ABU1400" s="120"/>
      <c r="ABV1400" s="120"/>
      <c r="ABW1400" s="120"/>
      <c r="ABX1400" s="120"/>
      <c r="ABY1400" s="120"/>
      <c r="ABZ1400" s="120"/>
      <c r="ACA1400" s="120"/>
      <c r="ACB1400" s="120"/>
      <c r="ACC1400" s="120"/>
      <c r="ACD1400" s="120"/>
      <c r="ACE1400" s="120"/>
      <c r="ACF1400" s="120"/>
      <c r="ACG1400" s="120"/>
      <c r="ACH1400" s="120"/>
      <c r="ACI1400" s="120"/>
      <c r="ACJ1400" s="120"/>
      <c r="ACK1400" s="120"/>
      <c r="ACL1400" s="120"/>
      <c r="ACM1400" s="120"/>
      <c r="ACN1400" s="120"/>
      <c r="ACO1400" s="120"/>
      <c r="ACP1400" s="120"/>
      <c r="ACQ1400" s="120"/>
      <c r="ACR1400" s="120"/>
      <c r="ACS1400" s="120"/>
      <c r="ACT1400" s="120"/>
      <c r="ACU1400" s="120"/>
      <c r="ACV1400" s="120"/>
      <c r="ACW1400" s="120"/>
      <c r="ACX1400" s="120"/>
      <c r="ACY1400" s="120"/>
      <c r="ACZ1400" s="120"/>
      <c r="ADA1400" s="120"/>
      <c r="ADB1400" s="120"/>
      <c r="ADC1400" s="120"/>
      <c r="ADD1400" s="120"/>
      <c r="ADE1400" s="120"/>
      <c r="ADF1400" s="120"/>
      <c r="ADG1400" s="120"/>
      <c r="ADH1400" s="120"/>
      <c r="ADI1400" s="120"/>
      <c r="ADJ1400" s="120"/>
      <c r="ADK1400" s="120"/>
      <c r="ADL1400" s="120"/>
      <c r="ADM1400" s="120"/>
      <c r="ADN1400" s="120"/>
      <c r="ADO1400" s="120"/>
      <c r="ADP1400" s="120"/>
      <c r="ADQ1400" s="120"/>
      <c r="ADR1400" s="120"/>
      <c r="ADS1400" s="120"/>
      <c r="ADT1400" s="120"/>
      <c r="ADU1400" s="120"/>
      <c r="ADV1400" s="120"/>
      <c r="ADW1400" s="120"/>
      <c r="ADX1400" s="120"/>
      <c r="ADY1400" s="120"/>
      <c r="ADZ1400" s="120"/>
      <c r="AEA1400" s="120"/>
      <c r="AEB1400" s="120"/>
      <c r="AEC1400" s="120"/>
      <c r="AED1400" s="120"/>
      <c r="AEE1400" s="120"/>
      <c r="AEF1400" s="120"/>
      <c r="AEG1400" s="120"/>
      <c r="AEH1400" s="120"/>
      <c r="AEI1400" s="120"/>
      <c r="AEJ1400" s="120"/>
      <c r="AEK1400" s="120"/>
      <c r="AEL1400" s="120"/>
      <c r="AEM1400" s="120"/>
      <c r="AEN1400" s="120"/>
      <c r="AEO1400" s="120"/>
      <c r="AEP1400" s="120"/>
      <c r="AEQ1400" s="120"/>
      <c r="AER1400" s="120"/>
      <c r="AES1400" s="120"/>
      <c r="AET1400" s="120"/>
      <c r="AEU1400" s="120"/>
      <c r="AEV1400" s="120"/>
      <c r="AEW1400" s="120"/>
      <c r="AEX1400" s="120"/>
      <c r="AEY1400" s="120"/>
      <c r="AEZ1400" s="120"/>
      <c r="AFA1400" s="120"/>
      <c r="AFB1400" s="120"/>
      <c r="AFC1400" s="120"/>
      <c r="AFD1400" s="120"/>
      <c r="AFE1400" s="120"/>
      <c r="AFF1400" s="120"/>
      <c r="AFG1400" s="120"/>
      <c r="AFH1400" s="120"/>
      <c r="AFI1400" s="120"/>
      <c r="AFJ1400" s="120"/>
      <c r="AFK1400" s="120"/>
      <c r="AFL1400" s="120"/>
      <c r="AFM1400" s="120"/>
      <c r="AFN1400" s="120"/>
      <c r="AFO1400" s="120"/>
      <c r="AFP1400" s="120"/>
      <c r="AFQ1400" s="120"/>
      <c r="AFR1400" s="120"/>
      <c r="AFS1400" s="120"/>
      <c r="AFT1400" s="120"/>
      <c r="AFU1400" s="120"/>
      <c r="AFV1400" s="120"/>
      <c r="AFW1400" s="120"/>
      <c r="AFX1400" s="120"/>
      <c r="AFY1400" s="120"/>
      <c r="AFZ1400" s="120"/>
      <c r="AGA1400" s="120"/>
      <c r="AGB1400" s="120"/>
      <c r="AGC1400" s="120"/>
      <c r="AGD1400" s="120"/>
      <c r="AGE1400" s="120"/>
      <c r="AGF1400" s="120"/>
      <c r="AGG1400" s="120"/>
      <c r="AGH1400" s="120"/>
      <c r="AGI1400" s="120"/>
      <c r="AGJ1400" s="120"/>
      <c r="AGK1400" s="120"/>
      <c r="AGL1400" s="120"/>
      <c r="AGM1400" s="120"/>
      <c r="AGN1400" s="120"/>
      <c r="AGO1400" s="120"/>
      <c r="AGP1400" s="120"/>
      <c r="AGQ1400" s="120"/>
      <c r="AGR1400" s="120"/>
      <c r="AGS1400" s="120"/>
      <c r="AGT1400" s="120"/>
      <c r="AGU1400" s="120"/>
      <c r="AGV1400" s="120"/>
      <c r="AGW1400" s="120"/>
      <c r="AGX1400" s="120"/>
      <c r="AGY1400" s="120"/>
      <c r="AGZ1400" s="120"/>
      <c r="AHA1400" s="120"/>
      <c r="AHB1400" s="120"/>
      <c r="AHC1400" s="120"/>
      <c r="AHD1400" s="120"/>
      <c r="AHE1400" s="120"/>
      <c r="AHF1400" s="120"/>
      <c r="AHG1400" s="120"/>
      <c r="AHH1400" s="120"/>
      <c r="AHI1400" s="120"/>
      <c r="AHJ1400" s="120"/>
      <c r="AHK1400" s="120"/>
      <c r="AHL1400" s="120"/>
      <c r="AHM1400" s="120"/>
      <c r="AHN1400" s="120"/>
      <c r="AHO1400" s="120"/>
      <c r="AHP1400" s="120"/>
      <c r="AHQ1400" s="120"/>
      <c r="AHR1400" s="120"/>
      <c r="AHS1400" s="120"/>
      <c r="AHT1400" s="120"/>
      <c r="AHU1400" s="120"/>
      <c r="AHV1400" s="120"/>
      <c r="AHW1400" s="120"/>
      <c r="AHX1400" s="120"/>
      <c r="AHY1400" s="120"/>
      <c r="AHZ1400" s="120"/>
      <c r="AIA1400" s="120"/>
      <c r="AIB1400" s="120"/>
      <c r="AIC1400" s="120"/>
      <c r="AID1400" s="120"/>
      <c r="AIE1400" s="120"/>
      <c r="AIF1400" s="120"/>
      <c r="AIG1400" s="120"/>
      <c r="AIH1400" s="120"/>
      <c r="AII1400" s="120"/>
      <c r="AIJ1400" s="120"/>
      <c r="AIK1400" s="120"/>
      <c r="AIL1400" s="120"/>
      <c r="AIM1400" s="120"/>
      <c r="AIN1400" s="120"/>
      <c r="AIO1400" s="120"/>
      <c r="AIP1400" s="120"/>
      <c r="AIQ1400" s="120"/>
      <c r="AIR1400" s="120"/>
      <c r="AIS1400" s="120"/>
      <c r="AIT1400" s="120"/>
      <c r="AIU1400" s="120"/>
      <c r="AIV1400" s="120"/>
      <c r="AIW1400" s="120"/>
      <c r="AIX1400" s="120"/>
      <c r="AIY1400" s="120"/>
      <c r="AIZ1400" s="120"/>
      <c r="AJA1400" s="120"/>
      <c r="AJB1400" s="120"/>
      <c r="AJC1400" s="120"/>
      <c r="AJD1400" s="120"/>
      <c r="AJE1400" s="120"/>
      <c r="AJF1400" s="120"/>
      <c r="AJG1400" s="120"/>
      <c r="AJH1400" s="120"/>
      <c r="AJI1400" s="120"/>
      <c r="AJJ1400" s="120"/>
      <c r="AJK1400" s="120"/>
      <c r="AJL1400" s="120"/>
      <c r="AJM1400" s="120"/>
      <c r="AJN1400" s="120"/>
      <c r="AJO1400" s="120"/>
      <c r="AJP1400" s="120"/>
      <c r="AJQ1400" s="120"/>
      <c r="AJR1400" s="120"/>
      <c r="AJS1400" s="120"/>
      <c r="AJT1400" s="120"/>
      <c r="AJU1400" s="120"/>
      <c r="AJV1400" s="120"/>
      <c r="AJW1400" s="120"/>
      <c r="AJX1400" s="120"/>
      <c r="AJY1400" s="120"/>
      <c r="AJZ1400" s="120"/>
      <c r="AKA1400" s="120"/>
      <c r="AKB1400" s="120"/>
      <c r="AKC1400" s="120"/>
      <c r="AKD1400" s="120"/>
      <c r="AKE1400" s="120"/>
      <c r="AKF1400" s="120"/>
      <c r="AKG1400" s="120"/>
      <c r="AKH1400" s="120"/>
      <c r="AKI1400" s="120"/>
      <c r="AKJ1400" s="120"/>
      <c r="AKK1400" s="120"/>
      <c r="AKL1400" s="120"/>
      <c r="AKM1400" s="120"/>
      <c r="AKN1400" s="120"/>
      <c r="AKO1400" s="120"/>
      <c r="AKP1400" s="120"/>
      <c r="AKQ1400" s="120"/>
      <c r="AKR1400" s="120"/>
      <c r="AKS1400" s="120"/>
      <c r="AKT1400" s="120"/>
      <c r="AKU1400" s="120"/>
      <c r="AKV1400" s="120"/>
      <c r="AKW1400" s="120"/>
      <c r="AKX1400" s="120"/>
      <c r="AKY1400" s="120"/>
      <c r="AKZ1400" s="120"/>
      <c r="ALA1400" s="120"/>
      <c r="ALB1400" s="120"/>
      <c r="ALC1400" s="120"/>
      <c r="ALD1400" s="120"/>
      <c r="ALE1400" s="120"/>
      <c r="ALF1400" s="120"/>
      <c r="ALG1400" s="120"/>
      <c r="ALH1400" s="120"/>
      <c r="ALI1400" s="120"/>
      <c r="ALJ1400" s="120"/>
      <c r="ALK1400" s="120"/>
      <c r="ALL1400" s="120"/>
      <c r="ALM1400" s="120"/>
      <c r="ALN1400" s="120"/>
      <c r="ALO1400" s="120"/>
      <c r="ALP1400" s="120"/>
      <c r="ALQ1400" s="120"/>
      <c r="ALR1400" s="120"/>
      <c r="ALS1400" s="120"/>
      <c r="ALT1400" s="120"/>
      <c r="ALU1400" s="120"/>
      <c r="ALV1400" s="120"/>
      <c r="ALW1400" s="120"/>
      <c r="ALX1400" s="120"/>
      <c r="ALY1400" s="120"/>
      <c r="ALZ1400" s="120"/>
      <c r="AMA1400" s="120"/>
      <c r="AMB1400" s="120"/>
      <c r="AMC1400" s="120"/>
      <c r="AMD1400" s="120"/>
      <c r="AME1400" s="120"/>
      <c r="AMF1400" s="120"/>
      <c r="AMG1400" s="120"/>
      <c r="AMH1400" s="120"/>
      <c r="AMI1400" s="120"/>
      <c r="AMJ1400" s="120"/>
      <c r="AMK1400" s="120"/>
      <c r="AML1400" s="120"/>
      <c r="AMM1400" s="120"/>
      <c r="AMN1400" s="120"/>
      <c r="AMO1400" s="120"/>
      <c r="AMP1400" s="120"/>
      <c r="AMQ1400" s="120"/>
      <c r="AMR1400" s="120"/>
      <c r="AMS1400" s="120"/>
      <c r="AMT1400" s="120"/>
      <c r="AMU1400" s="120"/>
      <c r="AMV1400" s="120"/>
      <c r="AMW1400" s="120"/>
      <c r="AMX1400" s="120"/>
      <c r="AMY1400" s="120"/>
      <c r="AMZ1400" s="120"/>
      <c r="ANA1400" s="120"/>
      <c r="ANB1400" s="120"/>
      <c r="ANC1400" s="120"/>
      <c r="AND1400" s="120"/>
      <c r="ANE1400" s="120"/>
      <c r="ANF1400" s="120"/>
      <c r="ANG1400" s="120"/>
      <c r="ANH1400" s="120"/>
      <c r="ANI1400" s="120"/>
      <c r="ANJ1400" s="120"/>
      <c r="ANK1400" s="120"/>
      <c r="ANL1400" s="120"/>
      <c r="ANM1400" s="120"/>
      <c r="ANN1400" s="120"/>
      <c r="ANO1400" s="120"/>
      <c r="ANP1400" s="120"/>
      <c r="ANQ1400" s="120"/>
      <c r="ANR1400" s="120"/>
      <c r="ANS1400" s="120"/>
      <c r="ANT1400" s="120"/>
      <c r="ANU1400" s="120"/>
      <c r="ANV1400" s="120"/>
      <c r="ANW1400" s="120"/>
      <c r="ANX1400" s="120"/>
      <c r="ANY1400" s="120"/>
      <c r="ANZ1400" s="120"/>
      <c r="AOA1400" s="120"/>
      <c r="AOB1400" s="120"/>
      <c r="AOC1400" s="120"/>
      <c r="AOD1400" s="120"/>
      <c r="AOE1400" s="120"/>
      <c r="AOF1400" s="120"/>
      <c r="AOG1400" s="120"/>
      <c r="AOH1400" s="120"/>
      <c r="AOI1400" s="120"/>
      <c r="AOJ1400" s="120"/>
      <c r="AOK1400" s="120"/>
      <c r="AOL1400" s="120"/>
      <c r="AOM1400" s="120"/>
      <c r="AON1400" s="120"/>
      <c r="AOO1400" s="120"/>
      <c r="AOP1400" s="120"/>
      <c r="AOQ1400" s="120"/>
      <c r="AOR1400" s="120"/>
      <c r="AOS1400" s="120"/>
      <c r="AOT1400" s="120"/>
      <c r="AOU1400" s="120"/>
      <c r="AOV1400" s="120"/>
      <c r="AOW1400" s="120"/>
      <c r="AOX1400" s="120"/>
      <c r="AOY1400" s="120"/>
      <c r="AOZ1400" s="120"/>
      <c r="APA1400" s="120"/>
      <c r="APB1400" s="120"/>
      <c r="APC1400" s="120"/>
      <c r="APD1400" s="120"/>
      <c r="APE1400" s="120"/>
      <c r="APF1400" s="120"/>
      <c r="APG1400" s="120"/>
      <c r="APH1400" s="120"/>
      <c r="API1400" s="120"/>
      <c r="APJ1400" s="120"/>
      <c r="APK1400" s="120"/>
      <c r="APL1400" s="120"/>
      <c r="APM1400" s="120"/>
      <c r="APN1400" s="120"/>
      <c r="APO1400" s="120"/>
      <c r="APP1400" s="120"/>
      <c r="APQ1400" s="120"/>
      <c r="APR1400" s="120"/>
      <c r="APS1400" s="120"/>
      <c r="APT1400" s="120"/>
      <c r="APU1400" s="120"/>
      <c r="APV1400" s="120"/>
      <c r="APW1400" s="120"/>
      <c r="APX1400" s="120"/>
      <c r="APY1400" s="120"/>
      <c r="APZ1400" s="120"/>
      <c r="AQA1400" s="120"/>
      <c r="AQB1400" s="120"/>
      <c r="AQC1400" s="120"/>
      <c r="AQD1400" s="120"/>
      <c r="AQE1400" s="120"/>
      <c r="AQF1400" s="120"/>
      <c r="AQG1400" s="120"/>
      <c r="AQH1400" s="120"/>
      <c r="AQI1400" s="120"/>
      <c r="AQJ1400" s="120"/>
      <c r="AQK1400" s="120"/>
      <c r="AQL1400" s="120"/>
      <c r="AQM1400" s="120"/>
      <c r="AQN1400" s="120"/>
      <c r="AQO1400" s="120"/>
      <c r="AQP1400" s="120"/>
      <c r="AQQ1400" s="120"/>
      <c r="AQR1400" s="120"/>
      <c r="AQS1400" s="120"/>
      <c r="AQT1400" s="120"/>
      <c r="AQU1400" s="120"/>
      <c r="AQV1400" s="120"/>
      <c r="AQW1400" s="120"/>
      <c r="AQX1400" s="120"/>
      <c r="AQY1400" s="120"/>
      <c r="AQZ1400" s="120"/>
      <c r="ARA1400" s="120"/>
      <c r="ARB1400" s="120"/>
      <c r="ARC1400" s="120"/>
      <c r="ARD1400" s="120"/>
      <c r="ARE1400" s="120"/>
      <c r="ARF1400" s="120"/>
      <c r="ARG1400" s="120"/>
      <c r="ARH1400" s="120"/>
      <c r="ARI1400" s="120"/>
      <c r="ARJ1400" s="120"/>
      <c r="ARK1400" s="120"/>
      <c r="ARL1400" s="120"/>
      <c r="ARM1400" s="120"/>
      <c r="ARN1400" s="120"/>
      <c r="ARO1400" s="120"/>
      <c r="ARP1400" s="120"/>
      <c r="ARQ1400" s="120"/>
      <c r="ARR1400" s="120"/>
      <c r="ARS1400" s="120"/>
      <c r="ART1400" s="120"/>
      <c r="ARU1400" s="120"/>
      <c r="ARV1400" s="120"/>
      <c r="ARW1400" s="120"/>
      <c r="ARX1400" s="120"/>
      <c r="ARY1400" s="120"/>
      <c r="ARZ1400" s="120"/>
      <c r="ASA1400" s="120"/>
      <c r="ASB1400" s="120"/>
      <c r="ASC1400" s="120"/>
      <c r="ASD1400" s="120"/>
      <c r="ASE1400" s="120"/>
      <c r="ASF1400" s="120"/>
      <c r="ASG1400" s="120"/>
      <c r="ASH1400" s="120"/>
      <c r="ASI1400" s="120"/>
      <c r="ASJ1400" s="120"/>
      <c r="ASK1400" s="120"/>
      <c r="ASL1400" s="120"/>
      <c r="ASM1400" s="120"/>
      <c r="ASN1400" s="120"/>
      <c r="ASO1400" s="120"/>
      <c r="ASP1400" s="120"/>
      <c r="ASQ1400" s="120"/>
      <c r="ASR1400" s="120"/>
      <c r="ASS1400" s="120"/>
      <c r="AST1400" s="120"/>
      <c r="ASU1400" s="120"/>
      <c r="ASV1400" s="120"/>
      <c r="ASW1400" s="120"/>
      <c r="ASX1400" s="120"/>
      <c r="ASY1400" s="120"/>
      <c r="ASZ1400" s="120"/>
      <c r="ATA1400" s="120"/>
      <c r="ATB1400" s="120"/>
      <c r="ATC1400" s="120"/>
      <c r="ATD1400" s="120"/>
      <c r="ATE1400" s="120"/>
      <c r="ATF1400" s="120"/>
      <c r="ATG1400" s="120"/>
      <c r="ATH1400" s="120"/>
      <c r="ATI1400" s="120"/>
      <c r="ATJ1400" s="120"/>
      <c r="ATK1400" s="120"/>
      <c r="ATL1400" s="120"/>
      <c r="ATM1400" s="120"/>
      <c r="ATN1400" s="120"/>
      <c r="ATO1400" s="120"/>
    </row>
    <row r="1401" spans="1:1211" s="20" customFormat="1" ht="14.1" customHeight="1">
      <c r="A1401" s="112"/>
      <c r="B1401" s="945" t="s">
        <v>3786</v>
      </c>
      <c r="C1401" s="184" t="s">
        <v>6156</v>
      </c>
      <c r="D1401" s="120"/>
      <c r="E1401" s="701"/>
      <c r="F1401" s="703"/>
      <c r="G1401" s="702"/>
      <c r="H1401" s="702"/>
      <c r="I1401" s="702"/>
      <c r="J1401" s="700"/>
      <c r="K1401" s="112"/>
      <c r="L1401" s="363"/>
      <c r="M1401" s="112"/>
      <c r="N1401" s="362"/>
      <c r="O1401" s="573"/>
      <c r="P1401" s="120"/>
      <c r="Q1401" s="120"/>
      <c r="R1401" s="120"/>
      <c r="S1401" s="120"/>
      <c r="T1401" s="120"/>
      <c r="U1401" s="120"/>
      <c r="V1401" s="120"/>
      <c r="W1401" s="120"/>
      <c r="X1401" s="120"/>
      <c r="Y1401" s="120"/>
      <c r="Z1401" s="120"/>
      <c r="AA1401" s="120"/>
      <c r="AB1401" s="120"/>
      <c r="AC1401" s="120"/>
      <c r="AD1401" s="120"/>
      <c r="AE1401" s="120"/>
      <c r="AF1401" s="120"/>
      <c r="AG1401" s="120"/>
      <c r="AH1401" s="120"/>
      <c r="AI1401" s="120"/>
      <c r="AJ1401" s="120"/>
      <c r="AK1401" s="120"/>
      <c r="AL1401" s="120"/>
      <c r="AM1401" s="120"/>
      <c r="AN1401" s="120"/>
      <c r="AO1401" s="120"/>
      <c r="AP1401" s="120"/>
      <c r="AQ1401" s="120"/>
      <c r="AR1401" s="120"/>
      <c r="AS1401" s="120"/>
      <c r="AT1401" s="120"/>
      <c r="AU1401" s="120"/>
      <c r="AV1401" s="120"/>
      <c r="AW1401" s="120"/>
      <c r="AX1401" s="120"/>
      <c r="AY1401" s="120"/>
      <c r="AZ1401" s="120"/>
      <c r="BA1401" s="120"/>
      <c r="BB1401" s="120"/>
      <c r="BC1401" s="120"/>
      <c r="BD1401" s="120"/>
      <c r="BE1401" s="120"/>
      <c r="BF1401" s="120"/>
      <c r="BG1401" s="120"/>
      <c r="BH1401" s="120"/>
      <c r="BI1401" s="120"/>
      <c r="BJ1401" s="120"/>
      <c r="BK1401" s="120"/>
      <c r="BL1401" s="120"/>
      <c r="BM1401" s="120"/>
      <c r="BN1401" s="120"/>
      <c r="BO1401" s="120"/>
      <c r="BP1401" s="120"/>
      <c r="BQ1401" s="120"/>
      <c r="BR1401" s="120"/>
      <c r="BS1401" s="120"/>
      <c r="BT1401" s="120"/>
      <c r="BU1401" s="120"/>
      <c r="BV1401" s="120"/>
      <c r="BW1401" s="120"/>
      <c r="BX1401" s="120"/>
      <c r="BY1401" s="120"/>
      <c r="BZ1401" s="120"/>
      <c r="CA1401" s="120"/>
      <c r="CB1401" s="120"/>
      <c r="CC1401" s="120"/>
      <c r="CD1401" s="120"/>
      <c r="CE1401" s="120"/>
      <c r="CF1401" s="120"/>
      <c r="CG1401" s="120"/>
      <c r="CH1401" s="120"/>
      <c r="CI1401" s="120"/>
      <c r="CJ1401" s="120"/>
      <c r="CK1401" s="120"/>
      <c r="CL1401" s="120"/>
      <c r="CM1401" s="120"/>
      <c r="CN1401" s="120"/>
      <c r="CO1401" s="120"/>
      <c r="CP1401" s="120"/>
      <c r="CQ1401" s="120"/>
      <c r="CR1401" s="120"/>
      <c r="CS1401" s="120"/>
      <c r="CT1401" s="120"/>
      <c r="CU1401" s="120"/>
      <c r="CV1401" s="120"/>
      <c r="CW1401" s="120"/>
      <c r="CX1401" s="120"/>
      <c r="CY1401" s="120"/>
      <c r="CZ1401" s="120"/>
      <c r="DA1401" s="120"/>
      <c r="DB1401" s="120"/>
      <c r="DC1401" s="120"/>
      <c r="DD1401" s="120"/>
      <c r="DE1401" s="120"/>
      <c r="DF1401" s="120"/>
      <c r="DG1401" s="120"/>
      <c r="DH1401" s="120"/>
      <c r="DI1401" s="120"/>
      <c r="DJ1401" s="120"/>
      <c r="DK1401" s="120"/>
      <c r="DL1401" s="120"/>
      <c r="DM1401" s="120"/>
      <c r="DN1401" s="120"/>
      <c r="DO1401" s="120"/>
      <c r="DP1401" s="120"/>
      <c r="DQ1401" s="120"/>
      <c r="DR1401" s="120"/>
      <c r="DS1401" s="120"/>
      <c r="DT1401" s="120"/>
      <c r="DU1401" s="120"/>
      <c r="DV1401" s="120"/>
      <c r="DW1401" s="120"/>
      <c r="DX1401" s="120"/>
      <c r="DY1401" s="120"/>
      <c r="DZ1401" s="120"/>
      <c r="EA1401" s="120"/>
      <c r="EB1401" s="120"/>
      <c r="EC1401" s="120"/>
      <c r="ED1401" s="120"/>
      <c r="EE1401" s="120"/>
      <c r="EF1401" s="120"/>
      <c r="EG1401" s="120"/>
      <c r="EH1401" s="120"/>
      <c r="EI1401" s="120"/>
      <c r="EJ1401" s="120"/>
      <c r="EK1401" s="120"/>
      <c r="EL1401" s="120"/>
      <c r="EM1401" s="120"/>
      <c r="EN1401" s="120"/>
      <c r="EO1401" s="120"/>
      <c r="EP1401" s="120"/>
      <c r="EQ1401" s="120"/>
      <c r="ER1401" s="120"/>
      <c r="ES1401" s="120"/>
      <c r="ET1401" s="120"/>
      <c r="EU1401" s="120"/>
      <c r="EV1401" s="120"/>
      <c r="EW1401" s="120"/>
      <c r="EX1401" s="120"/>
      <c r="EY1401" s="120"/>
      <c r="EZ1401" s="120"/>
      <c r="FA1401" s="120"/>
      <c r="FB1401" s="120"/>
      <c r="FC1401" s="120"/>
      <c r="FD1401" s="120"/>
      <c r="FE1401" s="120"/>
      <c r="FF1401" s="120"/>
      <c r="FG1401" s="120"/>
      <c r="FH1401" s="120"/>
      <c r="FI1401" s="120"/>
      <c r="FJ1401" s="120"/>
      <c r="FK1401" s="120"/>
      <c r="FL1401" s="120"/>
      <c r="FM1401" s="120"/>
      <c r="FN1401" s="120"/>
      <c r="FO1401" s="120"/>
      <c r="FP1401" s="120"/>
      <c r="FQ1401" s="120"/>
      <c r="FR1401" s="120"/>
      <c r="FS1401" s="120"/>
      <c r="FT1401" s="120"/>
      <c r="FU1401" s="120"/>
      <c r="FV1401" s="120"/>
      <c r="FW1401" s="120"/>
      <c r="FX1401" s="120"/>
      <c r="FY1401" s="120"/>
      <c r="FZ1401" s="120"/>
      <c r="GA1401" s="120"/>
      <c r="GB1401" s="120"/>
      <c r="GC1401" s="120"/>
      <c r="GD1401" s="120"/>
      <c r="GE1401" s="120"/>
      <c r="GF1401" s="120"/>
      <c r="GG1401" s="120"/>
      <c r="GH1401" s="120"/>
      <c r="GI1401" s="120"/>
      <c r="GJ1401" s="120"/>
      <c r="GK1401" s="120"/>
      <c r="GL1401" s="120"/>
      <c r="GM1401" s="120"/>
      <c r="GN1401" s="120"/>
      <c r="GO1401" s="120"/>
      <c r="GP1401" s="120"/>
      <c r="GQ1401" s="120"/>
      <c r="GR1401" s="120"/>
      <c r="GS1401" s="120"/>
      <c r="GT1401" s="120"/>
      <c r="GU1401" s="120"/>
      <c r="GV1401" s="120"/>
      <c r="GW1401" s="120"/>
      <c r="GX1401" s="120"/>
      <c r="GY1401" s="120"/>
      <c r="GZ1401" s="120"/>
      <c r="HA1401" s="120"/>
      <c r="HB1401" s="120"/>
      <c r="HC1401" s="120"/>
      <c r="HD1401" s="120"/>
      <c r="HE1401" s="120"/>
      <c r="HF1401" s="120"/>
      <c r="HG1401" s="120"/>
      <c r="HH1401" s="120"/>
      <c r="HI1401" s="120"/>
      <c r="HJ1401" s="120"/>
      <c r="HK1401" s="120"/>
      <c r="HL1401" s="120"/>
      <c r="HM1401" s="120"/>
      <c r="HN1401" s="120"/>
      <c r="HO1401" s="120"/>
      <c r="HP1401" s="120"/>
      <c r="HQ1401" s="120"/>
      <c r="HR1401" s="120"/>
      <c r="HS1401" s="120"/>
      <c r="HT1401" s="120"/>
      <c r="HU1401" s="120"/>
      <c r="HV1401" s="120"/>
      <c r="HW1401" s="120"/>
      <c r="HX1401" s="120"/>
      <c r="HY1401" s="120"/>
      <c r="HZ1401" s="120"/>
      <c r="IA1401" s="120"/>
      <c r="IB1401" s="120"/>
      <c r="IC1401" s="120"/>
      <c r="ID1401" s="120"/>
      <c r="IE1401" s="120"/>
      <c r="IF1401" s="120"/>
      <c r="IG1401" s="120"/>
      <c r="IH1401" s="120"/>
      <c r="II1401" s="120"/>
      <c r="IJ1401" s="120"/>
      <c r="IK1401" s="120"/>
      <c r="IL1401" s="120"/>
      <c r="IM1401" s="120"/>
      <c r="IN1401" s="120"/>
      <c r="IO1401" s="120"/>
      <c r="IP1401" s="120"/>
      <c r="IQ1401" s="120"/>
      <c r="IR1401" s="120"/>
      <c r="IS1401" s="120"/>
      <c r="IT1401" s="120"/>
      <c r="IU1401" s="120"/>
      <c r="IV1401" s="120"/>
      <c r="IW1401" s="120"/>
      <c r="IX1401" s="120"/>
      <c r="IY1401" s="120"/>
      <c r="IZ1401" s="120"/>
      <c r="JA1401" s="120"/>
      <c r="JB1401" s="120"/>
      <c r="JC1401" s="120"/>
      <c r="JD1401" s="120"/>
      <c r="JE1401" s="120"/>
      <c r="JF1401" s="120"/>
      <c r="JG1401" s="120"/>
      <c r="JH1401" s="120"/>
      <c r="JI1401" s="120"/>
      <c r="JJ1401" s="120"/>
      <c r="JK1401" s="120"/>
      <c r="JL1401" s="120"/>
      <c r="JM1401" s="120"/>
      <c r="JN1401" s="120"/>
      <c r="JO1401" s="120"/>
      <c r="JP1401" s="120"/>
      <c r="JQ1401" s="120"/>
      <c r="JR1401" s="120"/>
      <c r="JS1401" s="120"/>
      <c r="JT1401" s="120"/>
      <c r="JU1401" s="120"/>
      <c r="JV1401" s="120"/>
      <c r="JW1401" s="120"/>
      <c r="JX1401" s="120"/>
      <c r="JY1401" s="120"/>
      <c r="JZ1401" s="120"/>
      <c r="KA1401" s="120"/>
      <c r="KB1401" s="120"/>
      <c r="KC1401" s="120"/>
      <c r="KD1401" s="120"/>
      <c r="KE1401" s="120"/>
      <c r="KF1401" s="120"/>
      <c r="KG1401" s="120"/>
      <c r="KH1401" s="120"/>
      <c r="KI1401" s="120"/>
      <c r="KJ1401" s="120"/>
      <c r="KK1401" s="120"/>
      <c r="KL1401" s="120"/>
      <c r="KM1401" s="120"/>
      <c r="KN1401" s="120"/>
      <c r="KO1401" s="120"/>
      <c r="KP1401" s="120"/>
      <c r="KQ1401" s="120"/>
      <c r="KR1401" s="120"/>
      <c r="KS1401" s="120"/>
      <c r="KT1401" s="120"/>
      <c r="KU1401" s="120"/>
      <c r="KV1401" s="120"/>
      <c r="KW1401" s="120"/>
      <c r="KX1401" s="120"/>
      <c r="KY1401" s="120"/>
      <c r="KZ1401" s="120"/>
      <c r="LA1401" s="120"/>
      <c r="LB1401" s="120"/>
      <c r="LC1401" s="120"/>
      <c r="LD1401" s="120"/>
      <c r="LE1401" s="120"/>
      <c r="LF1401" s="120"/>
      <c r="LG1401" s="120"/>
      <c r="LH1401" s="120"/>
      <c r="LI1401" s="120"/>
      <c r="LJ1401" s="120"/>
      <c r="LK1401" s="120"/>
      <c r="LL1401" s="120"/>
      <c r="LM1401" s="120"/>
      <c r="LN1401" s="120"/>
      <c r="LO1401" s="120"/>
      <c r="LP1401" s="120"/>
      <c r="LQ1401" s="120"/>
      <c r="LR1401" s="120"/>
      <c r="LS1401" s="120"/>
      <c r="LT1401" s="120"/>
      <c r="LU1401" s="120"/>
      <c r="LV1401" s="120"/>
      <c r="LW1401" s="120"/>
      <c r="LX1401" s="120"/>
      <c r="LY1401" s="120"/>
      <c r="LZ1401" s="120"/>
      <c r="MA1401" s="120"/>
      <c r="MB1401" s="120"/>
      <c r="MC1401" s="120"/>
      <c r="MD1401" s="120"/>
      <c r="ME1401" s="120"/>
      <c r="MF1401" s="120"/>
      <c r="MG1401" s="120"/>
      <c r="MH1401" s="120"/>
      <c r="MI1401" s="120"/>
      <c r="MJ1401" s="120"/>
      <c r="MK1401" s="120"/>
      <c r="ML1401" s="120"/>
      <c r="MM1401" s="120"/>
      <c r="MN1401" s="120"/>
      <c r="MO1401" s="120"/>
      <c r="MP1401" s="120"/>
      <c r="MQ1401" s="120"/>
      <c r="MR1401" s="120"/>
      <c r="MS1401" s="120"/>
      <c r="MT1401" s="120"/>
      <c r="MU1401" s="120"/>
      <c r="MV1401" s="120"/>
      <c r="MW1401" s="120"/>
      <c r="MX1401" s="120"/>
      <c r="MY1401" s="120"/>
      <c r="MZ1401" s="120"/>
      <c r="NA1401" s="120"/>
      <c r="NB1401" s="120"/>
      <c r="NC1401" s="120"/>
      <c r="ND1401" s="120"/>
      <c r="NE1401" s="120"/>
      <c r="NF1401" s="120"/>
      <c r="NG1401" s="120"/>
      <c r="NH1401" s="120"/>
      <c r="NI1401" s="120"/>
      <c r="NJ1401" s="120"/>
      <c r="NK1401" s="120"/>
      <c r="NL1401" s="120"/>
      <c r="NM1401" s="120"/>
      <c r="NN1401" s="120"/>
      <c r="NO1401" s="120"/>
      <c r="NP1401" s="120"/>
      <c r="NQ1401" s="120"/>
      <c r="NR1401" s="120"/>
      <c r="NS1401" s="120"/>
      <c r="NT1401" s="120"/>
      <c r="NU1401" s="120"/>
      <c r="NV1401" s="120"/>
      <c r="NW1401" s="120"/>
      <c r="NX1401" s="120"/>
      <c r="NY1401" s="120"/>
      <c r="NZ1401" s="120"/>
      <c r="OA1401" s="120"/>
      <c r="OB1401" s="120"/>
      <c r="OC1401" s="120"/>
      <c r="OD1401" s="120"/>
      <c r="OE1401" s="120"/>
      <c r="OF1401" s="120"/>
      <c r="OG1401" s="120"/>
      <c r="OH1401" s="120"/>
      <c r="OI1401" s="120"/>
      <c r="OJ1401" s="120"/>
      <c r="OK1401" s="120"/>
      <c r="OL1401" s="120"/>
      <c r="OM1401" s="120"/>
      <c r="ON1401" s="120"/>
      <c r="OO1401" s="120"/>
      <c r="OP1401" s="120"/>
      <c r="OQ1401" s="120"/>
      <c r="OR1401" s="120"/>
      <c r="OS1401" s="120"/>
      <c r="OT1401" s="120"/>
      <c r="OU1401" s="120"/>
      <c r="OV1401" s="120"/>
      <c r="OW1401" s="120"/>
      <c r="OX1401" s="120"/>
      <c r="OY1401" s="120"/>
      <c r="OZ1401" s="120"/>
      <c r="PA1401" s="120"/>
      <c r="PB1401" s="120"/>
      <c r="PC1401" s="120"/>
      <c r="PD1401" s="120"/>
      <c r="PE1401" s="120"/>
      <c r="PF1401" s="120"/>
      <c r="PG1401" s="120"/>
      <c r="PH1401" s="120"/>
      <c r="PI1401" s="120"/>
      <c r="PJ1401" s="120"/>
      <c r="PK1401" s="120"/>
      <c r="PL1401" s="120"/>
      <c r="PM1401" s="120"/>
      <c r="PN1401" s="120"/>
      <c r="PO1401" s="120"/>
      <c r="PP1401" s="120"/>
      <c r="PQ1401" s="120"/>
      <c r="PR1401" s="120"/>
      <c r="PS1401" s="120"/>
      <c r="PT1401" s="120"/>
      <c r="PU1401" s="120"/>
      <c r="PV1401" s="120"/>
      <c r="PW1401" s="120"/>
      <c r="PX1401" s="120"/>
      <c r="PY1401" s="120"/>
      <c r="PZ1401" s="120"/>
      <c r="QA1401" s="120"/>
      <c r="QB1401" s="120"/>
      <c r="QC1401" s="120"/>
      <c r="QD1401" s="120"/>
      <c r="QE1401" s="120"/>
      <c r="QF1401" s="120"/>
      <c r="QG1401" s="120"/>
      <c r="QH1401" s="120"/>
      <c r="QI1401" s="120"/>
      <c r="QJ1401" s="120"/>
      <c r="QK1401" s="120"/>
      <c r="QL1401" s="120"/>
      <c r="QM1401" s="120"/>
      <c r="QN1401" s="120"/>
      <c r="QO1401" s="120"/>
      <c r="QP1401" s="120"/>
      <c r="QQ1401" s="120"/>
      <c r="QR1401" s="120"/>
      <c r="QS1401" s="120"/>
      <c r="QT1401" s="120"/>
      <c r="QU1401" s="120"/>
      <c r="QV1401" s="120"/>
      <c r="QW1401" s="120"/>
      <c r="QX1401" s="120"/>
      <c r="QY1401" s="120"/>
      <c r="QZ1401" s="120"/>
      <c r="RA1401" s="120"/>
      <c r="RB1401" s="120"/>
      <c r="RC1401" s="120"/>
      <c r="RD1401" s="120"/>
      <c r="RE1401" s="120"/>
      <c r="RF1401" s="120"/>
      <c r="RG1401" s="120"/>
      <c r="RH1401" s="120"/>
      <c r="RI1401" s="120"/>
      <c r="RJ1401" s="120"/>
      <c r="RK1401" s="120"/>
      <c r="RL1401" s="120"/>
      <c r="RM1401" s="120"/>
      <c r="RN1401" s="120"/>
      <c r="RO1401" s="120"/>
      <c r="RP1401" s="120"/>
      <c r="RQ1401" s="120"/>
      <c r="RR1401" s="120"/>
      <c r="RS1401" s="120"/>
      <c r="RT1401" s="120"/>
      <c r="RU1401" s="120"/>
      <c r="RV1401" s="120"/>
      <c r="RW1401" s="120"/>
      <c r="RX1401" s="120"/>
      <c r="RY1401" s="120"/>
      <c r="RZ1401" s="120"/>
      <c r="SA1401" s="120"/>
      <c r="SB1401" s="120"/>
      <c r="SC1401" s="120"/>
      <c r="SD1401" s="120"/>
      <c r="SE1401" s="120"/>
      <c r="SF1401" s="120"/>
      <c r="SG1401" s="120"/>
      <c r="SH1401" s="120"/>
      <c r="SI1401" s="120"/>
      <c r="SJ1401" s="120"/>
      <c r="SK1401" s="120"/>
      <c r="SL1401" s="120"/>
      <c r="SM1401" s="120"/>
      <c r="SN1401" s="120"/>
      <c r="SO1401" s="120"/>
      <c r="SP1401" s="120"/>
      <c r="SQ1401" s="120"/>
      <c r="SR1401" s="120"/>
      <c r="SS1401" s="120"/>
      <c r="ST1401" s="120"/>
      <c r="SU1401" s="120"/>
      <c r="SV1401" s="120"/>
      <c r="SW1401" s="120"/>
      <c r="SX1401" s="120"/>
      <c r="SY1401" s="120"/>
      <c r="SZ1401" s="120"/>
      <c r="TA1401" s="120"/>
      <c r="TB1401" s="120"/>
      <c r="TC1401" s="120"/>
      <c r="TD1401" s="120"/>
      <c r="TE1401" s="120"/>
      <c r="TF1401" s="120"/>
      <c r="TG1401" s="120"/>
      <c r="TH1401" s="120"/>
      <c r="TI1401" s="120"/>
      <c r="TJ1401" s="120"/>
      <c r="TK1401" s="120"/>
      <c r="TL1401" s="120"/>
      <c r="TM1401" s="120"/>
      <c r="TN1401" s="120"/>
      <c r="TO1401" s="120"/>
      <c r="TP1401" s="120"/>
      <c r="TQ1401" s="120"/>
      <c r="TR1401" s="120"/>
      <c r="TS1401" s="120"/>
      <c r="TT1401" s="120"/>
      <c r="TU1401" s="120"/>
      <c r="TV1401" s="120"/>
      <c r="TW1401" s="120"/>
      <c r="TX1401" s="120"/>
      <c r="TY1401" s="120"/>
      <c r="TZ1401" s="120"/>
      <c r="UA1401" s="120"/>
      <c r="UB1401" s="120"/>
      <c r="UC1401" s="120"/>
      <c r="UD1401" s="120"/>
      <c r="UE1401" s="120"/>
      <c r="UF1401" s="120"/>
      <c r="UG1401" s="120"/>
      <c r="UH1401" s="120"/>
      <c r="UI1401" s="120"/>
      <c r="UJ1401" s="120"/>
      <c r="UK1401" s="120"/>
      <c r="UL1401" s="120"/>
      <c r="UM1401" s="120"/>
      <c r="UN1401" s="120"/>
      <c r="UO1401" s="120"/>
      <c r="UP1401" s="120"/>
      <c r="UQ1401" s="120"/>
      <c r="UR1401" s="120"/>
      <c r="US1401" s="120"/>
      <c r="UT1401" s="120"/>
      <c r="UU1401" s="120"/>
      <c r="UV1401" s="120"/>
      <c r="UW1401" s="120"/>
      <c r="UX1401" s="120"/>
      <c r="UY1401" s="120"/>
      <c r="UZ1401" s="120"/>
      <c r="VA1401" s="120"/>
      <c r="VB1401" s="120"/>
      <c r="VC1401" s="120"/>
      <c r="VD1401" s="120"/>
      <c r="VE1401" s="120"/>
      <c r="VF1401" s="120"/>
      <c r="VG1401" s="120"/>
      <c r="VH1401" s="120"/>
      <c r="VI1401" s="120"/>
      <c r="VJ1401" s="120"/>
      <c r="VK1401" s="120"/>
      <c r="VL1401" s="120"/>
      <c r="VM1401" s="120"/>
      <c r="VN1401" s="120"/>
      <c r="VO1401" s="120"/>
      <c r="VP1401" s="120"/>
      <c r="VQ1401" s="120"/>
      <c r="VR1401" s="120"/>
      <c r="VS1401" s="120"/>
      <c r="VT1401" s="120"/>
      <c r="VU1401" s="120"/>
      <c r="VV1401" s="120"/>
      <c r="VW1401" s="120"/>
      <c r="VX1401" s="120"/>
      <c r="VY1401" s="120"/>
      <c r="VZ1401" s="120"/>
      <c r="WA1401" s="120"/>
      <c r="WB1401" s="120"/>
      <c r="WC1401" s="120"/>
      <c r="WD1401" s="120"/>
      <c r="WE1401" s="120"/>
      <c r="WF1401" s="120"/>
      <c r="WG1401" s="120"/>
      <c r="WH1401" s="120"/>
      <c r="WI1401" s="120"/>
      <c r="WJ1401" s="120"/>
      <c r="WK1401" s="120"/>
      <c r="WL1401" s="120"/>
      <c r="WM1401" s="120"/>
      <c r="WN1401" s="120"/>
      <c r="WO1401" s="120"/>
      <c r="WP1401" s="120"/>
      <c r="WQ1401" s="120"/>
      <c r="WR1401" s="120"/>
      <c r="WS1401" s="120"/>
      <c r="WT1401" s="120"/>
      <c r="WU1401" s="120"/>
      <c r="WV1401" s="120"/>
      <c r="WW1401" s="120"/>
      <c r="WX1401" s="120"/>
      <c r="WY1401" s="120"/>
      <c r="WZ1401" s="120"/>
      <c r="XA1401" s="120"/>
      <c r="XB1401" s="120"/>
      <c r="XC1401" s="120"/>
      <c r="XD1401" s="120"/>
      <c r="XE1401" s="120"/>
      <c r="XF1401" s="120"/>
      <c r="XG1401" s="120"/>
      <c r="XH1401" s="120"/>
      <c r="XI1401" s="120"/>
      <c r="XJ1401" s="120"/>
      <c r="XK1401" s="120"/>
      <c r="XL1401" s="120"/>
      <c r="XM1401" s="120"/>
      <c r="XN1401" s="120"/>
      <c r="XO1401" s="120"/>
      <c r="XP1401" s="120"/>
      <c r="XQ1401" s="120"/>
      <c r="XR1401" s="120"/>
      <c r="XS1401" s="120"/>
      <c r="XT1401" s="120"/>
      <c r="XU1401" s="120"/>
      <c r="XV1401" s="120"/>
      <c r="XW1401" s="120"/>
      <c r="XX1401" s="120"/>
      <c r="XY1401" s="120"/>
      <c r="XZ1401" s="120"/>
      <c r="YA1401" s="120"/>
      <c r="YB1401" s="120"/>
      <c r="YC1401" s="120"/>
      <c r="YD1401" s="120"/>
      <c r="YE1401" s="120"/>
      <c r="YF1401" s="120"/>
      <c r="YG1401" s="120"/>
      <c r="YH1401" s="120"/>
      <c r="YI1401" s="120"/>
      <c r="YJ1401" s="120"/>
      <c r="YK1401" s="120"/>
      <c r="YL1401" s="120"/>
      <c r="YM1401" s="120"/>
      <c r="YN1401" s="120"/>
      <c r="YO1401" s="120"/>
      <c r="YP1401" s="120"/>
      <c r="YQ1401" s="120"/>
      <c r="YR1401" s="120"/>
      <c r="YS1401" s="120"/>
      <c r="YT1401" s="120"/>
      <c r="YU1401" s="120"/>
      <c r="YV1401" s="120"/>
      <c r="YW1401" s="120"/>
      <c r="YX1401" s="120"/>
      <c r="YY1401" s="120"/>
      <c r="YZ1401" s="120"/>
      <c r="ZA1401" s="120"/>
      <c r="ZB1401" s="120"/>
      <c r="ZC1401" s="120"/>
      <c r="ZD1401" s="120"/>
      <c r="ZE1401" s="120"/>
      <c r="ZF1401" s="120"/>
      <c r="ZG1401" s="120"/>
      <c r="ZH1401" s="120"/>
      <c r="ZI1401" s="120"/>
      <c r="ZJ1401" s="120"/>
      <c r="ZK1401" s="120"/>
      <c r="ZL1401" s="120"/>
      <c r="ZM1401" s="120"/>
      <c r="ZN1401" s="120"/>
      <c r="ZO1401" s="120"/>
      <c r="ZP1401" s="120"/>
      <c r="ZQ1401" s="120"/>
      <c r="ZR1401" s="120"/>
      <c r="ZS1401" s="120"/>
      <c r="ZT1401" s="120"/>
      <c r="ZU1401" s="120"/>
      <c r="ZV1401" s="120"/>
      <c r="ZW1401" s="120"/>
      <c r="ZX1401" s="120"/>
      <c r="ZY1401" s="120"/>
      <c r="ZZ1401" s="120"/>
      <c r="AAA1401" s="120"/>
      <c r="AAB1401" s="120"/>
      <c r="AAC1401" s="120"/>
      <c r="AAD1401" s="120"/>
      <c r="AAE1401" s="120"/>
      <c r="AAF1401" s="120"/>
      <c r="AAG1401" s="120"/>
      <c r="AAH1401" s="120"/>
      <c r="AAI1401" s="120"/>
      <c r="AAJ1401" s="120"/>
      <c r="AAK1401" s="120"/>
      <c r="AAL1401" s="120"/>
      <c r="AAM1401" s="120"/>
      <c r="AAN1401" s="120"/>
      <c r="AAO1401" s="120"/>
      <c r="AAP1401" s="120"/>
      <c r="AAQ1401" s="120"/>
      <c r="AAR1401" s="120"/>
      <c r="AAS1401" s="120"/>
      <c r="AAT1401" s="120"/>
      <c r="AAU1401" s="120"/>
      <c r="AAV1401" s="120"/>
      <c r="AAW1401" s="120"/>
      <c r="AAX1401" s="120"/>
      <c r="AAY1401" s="120"/>
      <c r="AAZ1401" s="120"/>
      <c r="ABA1401" s="120"/>
      <c r="ABB1401" s="120"/>
      <c r="ABC1401" s="120"/>
      <c r="ABD1401" s="120"/>
      <c r="ABE1401" s="120"/>
      <c r="ABF1401" s="120"/>
      <c r="ABG1401" s="120"/>
      <c r="ABH1401" s="120"/>
      <c r="ABI1401" s="120"/>
      <c r="ABJ1401" s="120"/>
      <c r="ABK1401" s="120"/>
      <c r="ABL1401" s="120"/>
      <c r="ABM1401" s="120"/>
      <c r="ABN1401" s="120"/>
      <c r="ABO1401" s="120"/>
      <c r="ABP1401" s="120"/>
      <c r="ABQ1401" s="120"/>
      <c r="ABR1401" s="120"/>
      <c r="ABS1401" s="120"/>
      <c r="ABT1401" s="120"/>
      <c r="ABU1401" s="120"/>
      <c r="ABV1401" s="120"/>
      <c r="ABW1401" s="120"/>
      <c r="ABX1401" s="120"/>
      <c r="ABY1401" s="120"/>
      <c r="ABZ1401" s="120"/>
      <c r="ACA1401" s="120"/>
      <c r="ACB1401" s="120"/>
      <c r="ACC1401" s="120"/>
      <c r="ACD1401" s="120"/>
      <c r="ACE1401" s="120"/>
      <c r="ACF1401" s="120"/>
      <c r="ACG1401" s="120"/>
      <c r="ACH1401" s="120"/>
      <c r="ACI1401" s="120"/>
      <c r="ACJ1401" s="120"/>
      <c r="ACK1401" s="120"/>
      <c r="ACL1401" s="120"/>
      <c r="ACM1401" s="120"/>
      <c r="ACN1401" s="120"/>
      <c r="ACO1401" s="120"/>
      <c r="ACP1401" s="120"/>
      <c r="ACQ1401" s="120"/>
      <c r="ACR1401" s="120"/>
      <c r="ACS1401" s="120"/>
      <c r="ACT1401" s="120"/>
      <c r="ACU1401" s="120"/>
      <c r="ACV1401" s="120"/>
      <c r="ACW1401" s="120"/>
      <c r="ACX1401" s="120"/>
      <c r="ACY1401" s="120"/>
      <c r="ACZ1401" s="120"/>
      <c r="ADA1401" s="120"/>
      <c r="ADB1401" s="120"/>
      <c r="ADC1401" s="120"/>
      <c r="ADD1401" s="120"/>
      <c r="ADE1401" s="120"/>
      <c r="ADF1401" s="120"/>
      <c r="ADG1401" s="120"/>
      <c r="ADH1401" s="120"/>
      <c r="ADI1401" s="120"/>
      <c r="ADJ1401" s="120"/>
      <c r="ADK1401" s="120"/>
      <c r="ADL1401" s="120"/>
      <c r="ADM1401" s="120"/>
      <c r="ADN1401" s="120"/>
      <c r="ADO1401" s="120"/>
      <c r="ADP1401" s="120"/>
      <c r="ADQ1401" s="120"/>
      <c r="ADR1401" s="120"/>
      <c r="ADS1401" s="120"/>
      <c r="ADT1401" s="120"/>
      <c r="ADU1401" s="120"/>
      <c r="ADV1401" s="120"/>
      <c r="ADW1401" s="120"/>
      <c r="ADX1401" s="120"/>
      <c r="ADY1401" s="120"/>
      <c r="ADZ1401" s="120"/>
      <c r="AEA1401" s="120"/>
      <c r="AEB1401" s="120"/>
      <c r="AEC1401" s="120"/>
      <c r="AED1401" s="120"/>
      <c r="AEE1401" s="120"/>
      <c r="AEF1401" s="120"/>
      <c r="AEG1401" s="120"/>
      <c r="AEH1401" s="120"/>
      <c r="AEI1401" s="120"/>
      <c r="AEJ1401" s="120"/>
      <c r="AEK1401" s="120"/>
      <c r="AEL1401" s="120"/>
      <c r="AEM1401" s="120"/>
      <c r="AEN1401" s="120"/>
      <c r="AEO1401" s="120"/>
      <c r="AEP1401" s="120"/>
      <c r="AEQ1401" s="120"/>
      <c r="AER1401" s="120"/>
      <c r="AES1401" s="120"/>
      <c r="AET1401" s="120"/>
      <c r="AEU1401" s="120"/>
      <c r="AEV1401" s="120"/>
      <c r="AEW1401" s="120"/>
      <c r="AEX1401" s="120"/>
      <c r="AEY1401" s="120"/>
      <c r="AEZ1401" s="120"/>
      <c r="AFA1401" s="120"/>
      <c r="AFB1401" s="120"/>
      <c r="AFC1401" s="120"/>
      <c r="AFD1401" s="120"/>
      <c r="AFE1401" s="120"/>
      <c r="AFF1401" s="120"/>
      <c r="AFG1401" s="120"/>
      <c r="AFH1401" s="120"/>
      <c r="AFI1401" s="120"/>
      <c r="AFJ1401" s="120"/>
      <c r="AFK1401" s="120"/>
      <c r="AFL1401" s="120"/>
      <c r="AFM1401" s="120"/>
      <c r="AFN1401" s="120"/>
      <c r="AFO1401" s="120"/>
      <c r="AFP1401" s="120"/>
      <c r="AFQ1401" s="120"/>
      <c r="AFR1401" s="120"/>
      <c r="AFS1401" s="120"/>
      <c r="AFT1401" s="120"/>
      <c r="AFU1401" s="120"/>
      <c r="AFV1401" s="120"/>
      <c r="AFW1401" s="120"/>
      <c r="AFX1401" s="120"/>
      <c r="AFY1401" s="120"/>
      <c r="AFZ1401" s="120"/>
      <c r="AGA1401" s="120"/>
      <c r="AGB1401" s="120"/>
      <c r="AGC1401" s="120"/>
      <c r="AGD1401" s="120"/>
      <c r="AGE1401" s="120"/>
      <c r="AGF1401" s="120"/>
      <c r="AGG1401" s="120"/>
      <c r="AGH1401" s="120"/>
      <c r="AGI1401" s="120"/>
      <c r="AGJ1401" s="120"/>
      <c r="AGK1401" s="120"/>
      <c r="AGL1401" s="120"/>
      <c r="AGM1401" s="120"/>
      <c r="AGN1401" s="120"/>
      <c r="AGO1401" s="120"/>
      <c r="AGP1401" s="120"/>
      <c r="AGQ1401" s="120"/>
      <c r="AGR1401" s="120"/>
      <c r="AGS1401" s="120"/>
      <c r="AGT1401" s="120"/>
      <c r="AGU1401" s="120"/>
      <c r="AGV1401" s="120"/>
      <c r="AGW1401" s="120"/>
      <c r="AGX1401" s="120"/>
      <c r="AGY1401" s="120"/>
      <c r="AGZ1401" s="120"/>
      <c r="AHA1401" s="120"/>
      <c r="AHB1401" s="120"/>
      <c r="AHC1401" s="120"/>
      <c r="AHD1401" s="120"/>
      <c r="AHE1401" s="120"/>
      <c r="AHF1401" s="120"/>
      <c r="AHG1401" s="120"/>
      <c r="AHH1401" s="120"/>
      <c r="AHI1401" s="120"/>
      <c r="AHJ1401" s="120"/>
      <c r="AHK1401" s="120"/>
      <c r="AHL1401" s="120"/>
      <c r="AHM1401" s="120"/>
      <c r="AHN1401" s="120"/>
      <c r="AHO1401" s="120"/>
      <c r="AHP1401" s="120"/>
      <c r="AHQ1401" s="120"/>
      <c r="AHR1401" s="120"/>
      <c r="AHS1401" s="120"/>
      <c r="AHT1401" s="120"/>
      <c r="AHU1401" s="120"/>
      <c r="AHV1401" s="120"/>
      <c r="AHW1401" s="120"/>
      <c r="AHX1401" s="120"/>
      <c r="AHY1401" s="120"/>
      <c r="AHZ1401" s="120"/>
      <c r="AIA1401" s="120"/>
      <c r="AIB1401" s="120"/>
      <c r="AIC1401" s="120"/>
      <c r="AID1401" s="120"/>
      <c r="AIE1401" s="120"/>
      <c r="AIF1401" s="120"/>
      <c r="AIG1401" s="120"/>
      <c r="AIH1401" s="120"/>
      <c r="AII1401" s="120"/>
      <c r="AIJ1401" s="120"/>
      <c r="AIK1401" s="120"/>
      <c r="AIL1401" s="120"/>
      <c r="AIM1401" s="120"/>
      <c r="AIN1401" s="120"/>
      <c r="AIO1401" s="120"/>
      <c r="AIP1401" s="120"/>
      <c r="AIQ1401" s="120"/>
      <c r="AIR1401" s="120"/>
      <c r="AIS1401" s="120"/>
      <c r="AIT1401" s="120"/>
      <c r="AIU1401" s="120"/>
      <c r="AIV1401" s="120"/>
      <c r="AIW1401" s="120"/>
      <c r="AIX1401" s="120"/>
      <c r="AIY1401" s="120"/>
      <c r="AIZ1401" s="120"/>
      <c r="AJA1401" s="120"/>
      <c r="AJB1401" s="120"/>
      <c r="AJC1401" s="120"/>
      <c r="AJD1401" s="120"/>
      <c r="AJE1401" s="120"/>
      <c r="AJF1401" s="120"/>
      <c r="AJG1401" s="120"/>
      <c r="AJH1401" s="120"/>
      <c r="AJI1401" s="120"/>
      <c r="AJJ1401" s="120"/>
      <c r="AJK1401" s="120"/>
      <c r="AJL1401" s="120"/>
      <c r="AJM1401" s="120"/>
      <c r="AJN1401" s="120"/>
      <c r="AJO1401" s="120"/>
      <c r="AJP1401" s="120"/>
      <c r="AJQ1401" s="120"/>
      <c r="AJR1401" s="120"/>
      <c r="AJS1401" s="120"/>
      <c r="AJT1401" s="120"/>
      <c r="AJU1401" s="120"/>
      <c r="AJV1401" s="120"/>
      <c r="AJW1401" s="120"/>
      <c r="AJX1401" s="120"/>
      <c r="AJY1401" s="120"/>
      <c r="AJZ1401" s="120"/>
      <c r="AKA1401" s="120"/>
      <c r="AKB1401" s="120"/>
      <c r="AKC1401" s="120"/>
      <c r="AKD1401" s="120"/>
      <c r="AKE1401" s="120"/>
      <c r="AKF1401" s="120"/>
      <c r="AKG1401" s="120"/>
      <c r="AKH1401" s="120"/>
      <c r="AKI1401" s="120"/>
      <c r="AKJ1401" s="120"/>
      <c r="AKK1401" s="120"/>
      <c r="AKL1401" s="120"/>
      <c r="AKM1401" s="120"/>
      <c r="AKN1401" s="120"/>
      <c r="AKO1401" s="120"/>
      <c r="AKP1401" s="120"/>
      <c r="AKQ1401" s="120"/>
      <c r="AKR1401" s="120"/>
      <c r="AKS1401" s="120"/>
      <c r="AKT1401" s="120"/>
      <c r="AKU1401" s="120"/>
      <c r="AKV1401" s="120"/>
      <c r="AKW1401" s="120"/>
      <c r="AKX1401" s="120"/>
      <c r="AKY1401" s="120"/>
      <c r="AKZ1401" s="120"/>
      <c r="ALA1401" s="120"/>
      <c r="ALB1401" s="120"/>
      <c r="ALC1401" s="120"/>
      <c r="ALD1401" s="120"/>
      <c r="ALE1401" s="120"/>
      <c r="ALF1401" s="120"/>
      <c r="ALG1401" s="120"/>
      <c r="ALH1401" s="120"/>
      <c r="ALI1401" s="120"/>
      <c r="ALJ1401" s="120"/>
      <c r="ALK1401" s="120"/>
      <c r="ALL1401" s="120"/>
      <c r="ALM1401" s="120"/>
      <c r="ALN1401" s="120"/>
      <c r="ALO1401" s="120"/>
      <c r="ALP1401" s="120"/>
      <c r="ALQ1401" s="120"/>
      <c r="ALR1401" s="120"/>
      <c r="ALS1401" s="120"/>
      <c r="ALT1401" s="120"/>
      <c r="ALU1401" s="120"/>
      <c r="ALV1401" s="120"/>
      <c r="ALW1401" s="120"/>
      <c r="ALX1401" s="120"/>
      <c r="ALY1401" s="120"/>
      <c r="ALZ1401" s="120"/>
      <c r="AMA1401" s="120"/>
      <c r="AMB1401" s="120"/>
      <c r="AMC1401" s="120"/>
      <c r="AMD1401" s="120"/>
      <c r="AME1401" s="120"/>
      <c r="AMF1401" s="120"/>
      <c r="AMG1401" s="120"/>
      <c r="AMH1401" s="120"/>
      <c r="AMI1401" s="120"/>
      <c r="AMJ1401" s="120"/>
      <c r="AMK1401" s="120"/>
      <c r="AML1401" s="120"/>
      <c r="AMM1401" s="120"/>
      <c r="AMN1401" s="120"/>
      <c r="AMO1401" s="120"/>
      <c r="AMP1401" s="120"/>
      <c r="AMQ1401" s="120"/>
      <c r="AMR1401" s="120"/>
      <c r="AMS1401" s="120"/>
      <c r="AMT1401" s="120"/>
      <c r="AMU1401" s="120"/>
      <c r="AMV1401" s="120"/>
      <c r="AMW1401" s="120"/>
      <c r="AMX1401" s="120"/>
      <c r="AMY1401" s="120"/>
      <c r="AMZ1401" s="120"/>
      <c r="ANA1401" s="120"/>
      <c r="ANB1401" s="120"/>
      <c r="ANC1401" s="120"/>
      <c r="AND1401" s="120"/>
      <c r="ANE1401" s="120"/>
      <c r="ANF1401" s="120"/>
      <c r="ANG1401" s="120"/>
      <c r="ANH1401" s="120"/>
      <c r="ANI1401" s="120"/>
      <c r="ANJ1401" s="120"/>
      <c r="ANK1401" s="120"/>
      <c r="ANL1401" s="120"/>
      <c r="ANM1401" s="120"/>
      <c r="ANN1401" s="120"/>
      <c r="ANO1401" s="120"/>
      <c r="ANP1401" s="120"/>
      <c r="ANQ1401" s="120"/>
      <c r="ANR1401" s="120"/>
      <c r="ANS1401" s="120"/>
      <c r="ANT1401" s="120"/>
      <c r="ANU1401" s="120"/>
      <c r="ANV1401" s="120"/>
      <c r="ANW1401" s="120"/>
      <c r="ANX1401" s="120"/>
      <c r="ANY1401" s="120"/>
      <c r="ANZ1401" s="120"/>
      <c r="AOA1401" s="120"/>
      <c r="AOB1401" s="120"/>
      <c r="AOC1401" s="120"/>
      <c r="AOD1401" s="120"/>
      <c r="AOE1401" s="120"/>
      <c r="AOF1401" s="120"/>
      <c r="AOG1401" s="120"/>
      <c r="AOH1401" s="120"/>
      <c r="AOI1401" s="120"/>
      <c r="AOJ1401" s="120"/>
      <c r="AOK1401" s="120"/>
      <c r="AOL1401" s="120"/>
      <c r="AOM1401" s="120"/>
      <c r="AON1401" s="120"/>
      <c r="AOO1401" s="120"/>
      <c r="AOP1401" s="120"/>
      <c r="AOQ1401" s="120"/>
      <c r="AOR1401" s="120"/>
      <c r="AOS1401" s="120"/>
      <c r="AOT1401" s="120"/>
      <c r="AOU1401" s="120"/>
      <c r="AOV1401" s="120"/>
      <c r="AOW1401" s="120"/>
      <c r="AOX1401" s="120"/>
      <c r="AOY1401" s="120"/>
      <c r="AOZ1401" s="120"/>
      <c r="APA1401" s="120"/>
      <c r="APB1401" s="120"/>
      <c r="APC1401" s="120"/>
      <c r="APD1401" s="120"/>
      <c r="APE1401" s="120"/>
      <c r="APF1401" s="120"/>
      <c r="APG1401" s="120"/>
      <c r="APH1401" s="120"/>
      <c r="API1401" s="120"/>
      <c r="APJ1401" s="120"/>
      <c r="APK1401" s="120"/>
      <c r="APL1401" s="120"/>
      <c r="APM1401" s="120"/>
      <c r="APN1401" s="120"/>
      <c r="APO1401" s="120"/>
      <c r="APP1401" s="120"/>
      <c r="APQ1401" s="120"/>
      <c r="APR1401" s="120"/>
      <c r="APS1401" s="120"/>
      <c r="APT1401" s="120"/>
      <c r="APU1401" s="120"/>
      <c r="APV1401" s="120"/>
      <c r="APW1401" s="120"/>
      <c r="APX1401" s="120"/>
      <c r="APY1401" s="120"/>
      <c r="APZ1401" s="120"/>
      <c r="AQA1401" s="120"/>
      <c r="AQB1401" s="120"/>
      <c r="AQC1401" s="120"/>
      <c r="AQD1401" s="120"/>
      <c r="AQE1401" s="120"/>
      <c r="AQF1401" s="120"/>
      <c r="AQG1401" s="120"/>
      <c r="AQH1401" s="120"/>
      <c r="AQI1401" s="120"/>
      <c r="AQJ1401" s="120"/>
      <c r="AQK1401" s="120"/>
      <c r="AQL1401" s="120"/>
      <c r="AQM1401" s="120"/>
      <c r="AQN1401" s="120"/>
      <c r="AQO1401" s="120"/>
      <c r="AQP1401" s="120"/>
      <c r="AQQ1401" s="120"/>
      <c r="AQR1401" s="120"/>
      <c r="AQS1401" s="120"/>
      <c r="AQT1401" s="120"/>
      <c r="AQU1401" s="120"/>
      <c r="AQV1401" s="120"/>
      <c r="AQW1401" s="120"/>
      <c r="AQX1401" s="120"/>
      <c r="AQY1401" s="120"/>
      <c r="AQZ1401" s="120"/>
      <c r="ARA1401" s="120"/>
      <c r="ARB1401" s="120"/>
      <c r="ARC1401" s="120"/>
      <c r="ARD1401" s="120"/>
      <c r="ARE1401" s="120"/>
      <c r="ARF1401" s="120"/>
      <c r="ARG1401" s="120"/>
      <c r="ARH1401" s="120"/>
      <c r="ARI1401" s="120"/>
      <c r="ARJ1401" s="120"/>
      <c r="ARK1401" s="120"/>
      <c r="ARL1401" s="120"/>
      <c r="ARM1401" s="120"/>
      <c r="ARN1401" s="120"/>
      <c r="ARO1401" s="120"/>
      <c r="ARP1401" s="120"/>
      <c r="ARQ1401" s="120"/>
      <c r="ARR1401" s="120"/>
      <c r="ARS1401" s="120"/>
      <c r="ART1401" s="120"/>
      <c r="ARU1401" s="120"/>
      <c r="ARV1401" s="120"/>
      <c r="ARW1401" s="120"/>
      <c r="ARX1401" s="120"/>
      <c r="ARY1401" s="120"/>
      <c r="ARZ1401" s="120"/>
      <c r="ASA1401" s="120"/>
      <c r="ASB1401" s="120"/>
      <c r="ASC1401" s="120"/>
      <c r="ASD1401" s="120"/>
      <c r="ASE1401" s="120"/>
      <c r="ASF1401" s="120"/>
      <c r="ASG1401" s="120"/>
      <c r="ASH1401" s="120"/>
      <c r="ASI1401" s="120"/>
      <c r="ASJ1401" s="120"/>
      <c r="ASK1401" s="120"/>
      <c r="ASL1401" s="120"/>
      <c r="ASM1401" s="120"/>
      <c r="ASN1401" s="120"/>
      <c r="ASO1401" s="120"/>
      <c r="ASP1401" s="120"/>
      <c r="ASQ1401" s="120"/>
      <c r="ASR1401" s="120"/>
      <c r="ASS1401" s="120"/>
      <c r="AST1401" s="120"/>
      <c r="ASU1401" s="120"/>
      <c r="ASV1401" s="120"/>
      <c r="ASW1401" s="120"/>
      <c r="ASX1401" s="120"/>
      <c r="ASY1401" s="120"/>
      <c r="ASZ1401" s="120"/>
      <c r="ATA1401" s="120"/>
      <c r="ATB1401" s="120"/>
      <c r="ATC1401" s="120"/>
      <c r="ATD1401" s="120"/>
      <c r="ATE1401" s="120"/>
      <c r="ATF1401" s="120"/>
      <c r="ATG1401" s="120"/>
      <c r="ATH1401" s="120"/>
      <c r="ATI1401" s="120"/>
      <c r="ATJ1401" s="120"/>
      <c r="ATK1401" s="120"/>
      <c r="ATL1401" s="120"/>
      <c r="ATM1401" s="120"/>
      <c r="ATN1401" s="120"/>
      <c r="ATO1401" s="120"/>
    </row>
    <row r="1402" spans="1:1211" ht="14.1" customHeight="1">
      <c r="A1402" s="380"/>
      <c r="B1402" s="1249"/>
      <c r="C1402" s="184"/>
      <c r="D1402" s="1093"/>
      <c r="E1402" s="1093"/>
      <c r="F1402" s="1093"/>
    </row>
    <row r="1403" spans="1:1211" ht="14.1" customHeight="1">
      <c r="A1403" s="380"/>
      <c r="B1403" s="1249"/>
      <c r="C1403" s="184"/>
      <c r="D1403" s="1093"/>
      <c r="E1403" s="1093"/>
      <c r="F1403" s="1093"/>
    </row>
    <row r="1404" spans="1:1211" ht="14.1" customHeight="1">
      <c r="A1404" s="380"/>
      <c r="B1404" s="1249"/>
      <c r="C1404" s="184"/>
      <c r="D1404" s="1093"/>
      <c r="E1404" s="1093"/>
      <c r="F1404" s="1093"/>
    </row>
    <row r="1405" spans="1:1211" ht="14.1" customHeight="1">
      <c r="A1405" s="380"/>
      <c r="B1405" s="1249"/>
      <c r="C1405" s="184"/>
      <c r="D1405" s="1093"/>
      <c r="E1405" s="1093"/>
      <c r="F1405" s="1093"/>
    </row>
    <row r="1406" spans="1:1211" customFormat="1" ht="14.1" customHeight="1"/>
    <row r="1407" spans="1:1211" ht="14.1" customHeight="1">
      <c r="A1407" s="1443" t="s">
        <v>6184</v>
      </c>
      <c r="B1407" s="1444"/>
      <c r="C1407" s="1444"/>
      <c r="D1407" s="1445"/>
      <c r="E1407" s="1445"/>
    </row>
    <row r="1408" spans="1:1211" ht="14.1" customHeight="1">
      <c r="A1408" s="1444"/>
      <c r="B1408" s="1444"/>
      <c r="C1408" s="1444"/>
      <c r="D1408" s="1445"/>
      <c r="E1408" s="1445"/>
    </row>
    <row r="1409" spans="1:6" ht="14.1" customHeight="1">
      <c r="A1409" s="1444" t="s">
        <v>3989</v>
      </c>
      <c r="B1409" s="1444" t="s">
        <v>4150</v>
      </c>
      <c r="C1409" s="1444"/>
      <c r="D1409" s="1445"/>
      <c r="E1409" s="1445"/>
    </row>
    <row r="1410" spans="1:6" ht="14.1" customHeight="1">
      <c r="A1410" s="1444"/>
      <c r="B1410" s="1444"/>
      <c r="C1410" s="1444"/>
      <c r="D1410" s="1445"/>
      <c r="E1410" s="1445"/>
    </row>
    <row r="1411" spans="1:6" ht="14.1" customHeight="1">
      <c r="A1411" s="1444" t="s">
        <v>3990</v>
      </c>
      <c r="B1411" s="2633" t="s">
        <v>6182</v>
      </c>
      <c r="C1411" s="2633"/>
      <c r="D1411" s="2633"/>
      <c r="E1411" s="2633"/>
    </row>
    <row r="1412" spans="1:6" ht="14.1" customHeight="1">
      <c r="A1412" s="1444" t="s">
        <v>3991</v>
      </c>
      <c r="B1412" s="2633"/>
      <c r="C1412" s="2633"/>
      <c r="D1412" s="2633"/>
      <c r="E1412" s="2633"/>
    </row>
    <row r="1413" spans="1:6" ht="14.1" customHeight="1">
      <c r="A1413" s="1444"/>
      <c r="B1413" s="1444"/>
      <c r="C1413" s="1444"/>
      <c r="D1413" s="1445"/>
      <c r="E1413" s="1445"/>
    </row>
    <row r="1414" spans="1:6" ht="14.1" customHeight="1">
      <c r="A1414" s="1444" t="s">
        <v>3992</v>
      </c>
      <c r="B1414" s="2633" t="s">
        <v>4148</v>
      </c>
      <c r="C1414" s="2633"/>
      <c r="D1414" s="2633"/>
      <c r="E1414" s="2633"/>
      <c r="F1414" s="1239"/>
    </row>
    <row r="1415" spans="1:6" ht="14.1" customHeight="1">
      <c r="A1415" s="1444"/>
      <c r="B1415" s="2633"/>
      <c r="C1415" s="2633"/>
      <c r="D1415" s="2633"/>
      <c r="E1415" s="2633"/>
      <c r="F1415" s="1239"/>
    </row>
    <row r="1416" spans="1:6" ht="14.1" customHeight="1">
      <c r="A1416" s="1444"/>
      <c r="B1416" s="1444"/>
      <c r="C1416" s="1444"/>
      <c r="D1416" s="1445"/>
      <c r="E1416" s="1445"/>
    </row>
    <row r="1417" spans="1:6" ht="14.1" customHeight="1">
      <c r="A1417" s="1444" t="s">
        <v>4134</v>
      </c>
      <c r="B1417" s="1444" t="s">
        <v>4135</v>
      </c>
      <c r="C1417" s="1444"/>
      <c r="D1417" s="1445"/>
      <c r="E1417" s="1445"/>
    </row>
    <row r="1418" spans="1:6" ht="14.1" customHeight="1">
      <c r="A1418" s="1444"/>
      <c r="B1418" s="1444"/>
      <c r="C1418" s="1444"/>
      <c r="D1418" s="1445"/>
      <c r="E1418" s="1445"/>
    </row>
    <row r="1419" spans="1:6" ht="14.1" customHeight="1">
      <c r="A1419" s="1444" t="s">
        <v>3993</v>
      </c>
      <c r="B1419" s="1444" t="s">
        <v>6185</v>
      </c>
      <c r="C1419" s="1444"/>
      <c r="D1419" s="1445"/>
      <c r="E1419" s="1445"/>
    </row>
    <row r="1420" spans="1:6" ht="14.1" customHeight="1">
      <c r="A1420" s="1444"/>
      <c r="B1420" s="1444" t="s">
        <v>6186</v>
      </c>
      <c r="C1420" s="1444"/>
      <c r="D1420" s="1445"/>
      <c r="E1420" s="1445"/>
    </row>
    <row r="1421" spans="1:6" ht="14.1" customHeight="1">
      <c r="A1421" s="1444"/>
      <c r="B1421" s="1444" t="s">
        <v>6188</v>
      </c>
      <c r="C1421" s="1444"/>
      <c r="D1421" s="1445"/>
      <c r="E1421" s="1445"/>
    </row>
    <row r="1422" spans="1:6" ht="14.1" customHeight="1">
      <c r="A1422" s="1444"/>
      <c r="B1422" s="1444" t="s">
        <v>6187</v>
      </c>
      <c r="C1422" s="1444"/>
      <c r="D1422" s="1445"/>
      <c r="E1422" s="1445"/>
    </row>
    <row r="1423" spans="1:6" ht="14.1" customHeight="1">
      <c r="A1423" s="1444"/>
      <c r="B1423" s="1444" t="s">
        <v>6189</v>
      </c>
      <c r="C1423" s="1444"/>
      <c r="D1423" s="1445"/>
      <c r="E1423" s="1445"/>
    </row>
    <row r="1424" spans="1:6" ht="14.1" customHeight="1">
      <c r="A1424" s="1444"/>
      <c r="B1424" s="1444" t="s">
        <v>6190</v>
      </c>
      <c r="C1424" s="1444"/>
      <c r="D1424" s="1445"/>
      <c r="E1424" s="1445"/>
    </row>
    <row r="1425" spans="1:5" ht="14.1" customHeight="1">
      <c r="A1425" s="1444"/>
      <c r="B1425" s="1444"/>
      <c r="C1425" s="1444"/>
      <c r="D1425" s="1445"/>
      <c r="E1425" s="1445"/>
    </row>
    <row r="1426" spans="1:5" ht="14.1" customHeight="1">
      <c r="A1426" s="1444" t="s">
        <v>4146</v>
      </c>
      <c r="B1426" s="1444" t="s">
        <v>4147</v>
      </c>
      <c r="C1426" s="1444"/>
      <c r="D1426" s="1445"/>
      <c r="E1426" s="1445"/>
    </row>
    <row r="1427" spans="1:5" ht="14.1" customHeight="1">
      <c r="A1427" s="1444"/>
      <c r="B1427" s="1444"/>
      <c r="C1427" s="1444"/>
      <c r="D1427" s="1445"/>
      <c r="E1427" s="1445"/>
    </row>
    <row r="1428" spans="1:5" ht="14.1" customHeight="1">
      <c r="A1428" s="1446" t="s">
        <v>3191</v>
      </c>
      <c r="B1428" s="1444"/>
      <c r="C1428" s="1444"/>
      <c r="D1428" s="1445"/>
      <c r="E1428" s="1445"/>
    </row>
    <row r="1429" spans="1:5" ht="14.1" customHeight="1">
      <c r="A1429" s="1447" t="s">
        <v>6181</v>
      </c>
      <c r="B1429" s="1447"/>
      <c r="C1429" s="1447"/>
      <c r="D1429" s="1445"/>
      <c r="E1429" s="1445"/>
    </row>
    <row r="1430" spans="1:5" ht="14.1" customHeight="1">
      <c r="A1430" s="1446" t="s">
        <v>13023</v>
      </c>
      <c r="B1430" s="1444"/>
      <c r="C1430" s="1444"/>
      <c r="D1430" s="1445"/>
      <c r="E1430" s="1445"/>
    </row>
    <row r="1431" spans="1:5" ht="14.1" customHeight="1">
      <c r="A1431" s="1243"/>
      <c r="B1431" s="1243"/>
      <c r="C1431" s="1243"/>
      <c r="D1431" s="1244"/>
      <c r="E1431" s="1244"/>
    </row>
    <row r="1432" spans="1:5" ht="14.1" customHeight="1">
      <c r="A1432" s="1243"/>
      <c r="B1432" s="1243"/>
      <c r="C1432" s="1243"/>
      <c r="D1432" s="1244"/>
      <c r="E1432" s="1244"/>
    </row>
    <row r="1434" spans="1:5" ht="13.8">
      <c r="A1434" s="1106"/>
    </row>
    <row r="1442" spans="1:6">
      <c r="B1442" s="2630"/>
      <c r="C1442" s="2630"/>
      <c r="D1442" s="2630"/>
      <c r="E1442" s="2630"/>
      <c r="F1442" s="2630"/>
    </row>
    <row r="1443" spans="1:6">
      <c r="B1443" s="2630"/>
      <c r="C1443" s="2630"/>
      <c r="D1443" s="2630"/>
      <c r="E1443" s="2630"/>
      <c r="F1443" s="2630"/>
    </row>
    <row r="1455" spans="1:6" ht="13.8">
      <c r="A1455" s="1106"/>
    </row>
    <row r="1463" spans="2:6">
      <c r="B1463" s="2630"/>
      <c r="C1463" s="2630"/>
      <c r="D1463" s="2630"/>
      <c r="E1463" s="2630"/>
      <c r="F1463" s="2630"/>
    </row>
    <row r="1464" spans="2:6">
      <c r="B1464" s="2630"/>
      <c r="C1464" s="2630"/>
      <c r="D1464" s="2630"/>
      <c r="E1464" s="2630"/>
      <c r="F1464" s="2630"/>
    </row>
    <row r="1476" spans="1:6" ht="13.8">
      <c r="A1476" s="1106"/>
    </row>
    <row r="1484" spans="1:6">
      <c r="B1484" s="2630"/>
      <c r="C1484" s="2630"/>
      <c r="D1484" s="2630"/>
      <c r="E1484" s="2630"/>
      <c r="F1484" s="2630"/>
    </row>
    <row r="1485" spans="1:6">
      <c r="B1485" s="2630"/>
      <c r="C1485" s="2630"/>
      <c r="D1485" s="2630"/>
      <c r="E1485" s="2630"/>
      <c r="F1485" s="2630"/>
    </row>
  </sheetData>
  <mergeCells count="12">
    <mergeCell ref="A1:B2"/>
    <mergeCell ref="D2:F2"/>
    <mergeCell ref="D3:F4"/>
    <mergeCell ref="D1:F1"/>
    <mergeCell ref="D16:E16"/>
    <mergeCell ref="D6:F6"/>
    <mergeCell ref="B1442:F1443"/>
    <mergeCell ref="B1463:F1464"/>
    <mergeCell ref="B1484:F1485"/>
    <mergeCell ref="F1318:F1319"/>
    <mergeCell ref="B1411:E1412"/>
    <mergeCell ref="B1414:E1415"/>
  </mergeCells>
  <printOptions horizontalCentered="1"/>
  <pageMargins left="0.70866141732283472" right="0.70866141732283472" top="0.74803149606299213" bottom="0.74803149606299213" header="0.31496062992125984" footer="0.31496062992125984"/>
  <pageSetup paperSize="9" scale="60" firstPageNumber="0" fitToHeight="0" pageOrder="overThenDown" orientation="portrait" horizontalDpi="300" verticalDpi="300"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1">
    <pageSetUpPr fitToPage="1"/>
  </sheetPr>
  <dimension ref="A1:MI994"/>
  <sheetViews>
    <sheetView topLeftCell="A339" zoomScale="85" zoomScaleNormal="85" workbookViewId="0">
      <selection activeCell="C343" sqref="C343"/>
    </sheetView>
  </sheetViews>
  <sheetFormatPr baseColWidth="10" defaultColWidth="11.44140625" defaultRowHeight="13.2"/>
  <cols>
    <col min="1" max="1" width="21" style="997" customWidth="1"/>
    <col min="2" max="2" width="5.44140625" style="997" customWidth="1"/>
    <col min="3" max="3" width="82.6640625" style="997" customWidth="1"/>
    <col min="4" max="4" width="13.33203125" style="1090" customWidth="1"/>
    <col min="5" max="5" width="4.44140625" style="1090" customWidth="1"/>
    <col min="6" max="6" width="19.33203125" style="1090" customWidth="1"/>
    <col min="7" max="16384" width="11.44140625" style="997"/>
  </cols>
  <sheetData>
    <row r="1" spans="1:6" ht="24.75" customHeight="1">
      <c r="A1" s="2634"/>
      <c r="B1" s="2635"/>
      <c r="C1" s="1147" t="s">
        <v>3820</v>
      </c>
      <c r="D1" s="2647" t="s">
        <v>4000</v>
      </c>
      <c r="E1" s="2648"/>
      <c r="F1" s="2649"/>
    </row>
    <row r="2" spans="1:6" ht="24.75" customHeight="1">
      <c r="A2" s="2636"/>
      <c r="B2" s="2637"/>
      <c r="C2" s="1148" t="s">
        <v>3821</v>
      </c>
      <c r="D2" s="2638" t="s">
        <v>3822</v>
      </c>
      <c r="E2" s="2639"/>
      <c r="F2" s="2640"/>
    </row>
    <row r="3" spans="1:6" ht="21.75" customHeight="1">
      <c r="A3" s="998" t="s">
        <v>3823</v>
      </c>
      <c r="B3" s="1146"/>
      <c r="C3" s="999"/>
      <c r="D3" s="2641" t="s">
        <v>3824</v>
      </c>
      <c r="E3" s="2642"/>
      <c r="F3" s="2643"/>
    </row>
    <row r="4" spans="1:6" ht="21.75" customHeight="1">
      <c r="A4" s="998"/>
      <c r="C4" s="1000"/>
      <c r="D4" s="2644"/>
      <c r="E4" s="2645"/>
      <c r="F4" s="2646"/>
    </row>
    <row r="5" spans="1:6" ht="12" customHeight="1">
      <c r="A5" s="1000"/>
      <c r="B5" s="1000"/>
      <c r="C5" s="1000"/>
      <c r="D5" s="1001"/>
      <c r="E5" s="1001"/>
      <c r="F5" s="1001"/>
    </row>
    <row r="6" spans="1:6" ht="12" customHeight="1">
      <c r="A6" s="1000"/>
      <c r="B6" s="1000"/>
      <c r="C6" s="1000"/>
      <c r="D6" s="1001"/>
      <c r="E6" s="1001"/>
      <c r="F6" s="1001"/>
    </row>
    <row r="7" spans="1:6" ht="12" customHeight="1">
      <c r="A7" s="1000"/>
      <c r="B7" s="1000"/>
      <c r="C7" s="1000"/>
      <c r="D7" s="1001"/>
      <c r="E7" s="1001"/>
      <c r="F7" s="1001"/>
    </row>
    <row r="8" spans="1:6" ht="13.8">
      <c r="A8" s="1000" t="s">
        <v>3825</v>
      </c>
      <c r="B8" s="1000"/>
      <c r="C8" s="1002"/>
      <c r="D8" s="1003" t="s">
        <v>3999</v>
      </c>
      <c r="E8" s="1003"/>
      <c r="F8" s="1004"/>
    </row>
    <row r="9" spans="1:6" ht="17.399999999999999">
      <c r="A9" s="1005" t="s">
        <v>3826</v>
      </c>
      <c r="B9" s="1006"/>
      <c r="C9" s="1000"/>
      <c r="D9" s="1000"/>
      <c r="E9" s="1000"/>
      <c r="F9" s="1001"/>
    </row>
    <row r="10" spans="1:6" ht="17.399999999999999">
      <c r="A10" s="1006" t="s">
        <v>3827</v>
      </c>
      <c r="B10" s="1006" t="s">
        <v>3828</v>
      </c>
      <c r="C10" s="1007"/>
      <c r="D10" s="1145" t="s">
        <v>3829</v>
      </c>
      <c r="E10" s="1001"/>
      <c r="F10" s="1001"/>
    </row>
    <row r="11" spans="1:6" ht="17.399999999999999">
      <c r="A11" s="1006" t="s">
        <v>3830</v>
      </c>
      <c r="B11" s="1184" t="s">
        <v>3831</v>
      </c>
      <c r="C11" s="1183"/>
      <c r="D11" s="1008"/>
      <c r="E11" s="1001"/>
      <c r="F11" s="1001"/>
    </row>
    <row r="12" spans="1:6" ht="12" customHeight="1">
      <c r="A12" s="1006" t="s">
        <v>3832</v>
      </c>
      <c r="B12" s="1006"/>
      <c r="C12" s="1000"/>
      <c r="D12" s="1001"/>
      <c r="E12" s="1001"/>
      <c r="F12" s="1001"/>
    </row>
    <row r="13" spans="1:6" ht="13.8">
      <c r="A13" s="1000"/>
      <c r="B13" s="1000"/>
      <c r="C13" s="1000" t="s">
        <v>3833</v>
      </c>
      <c r="D13" s="1001"/>
      <c r="E13" s="1001"/>
      <c r="F13" s="1001"/>
    </row>
    <row r="14" spans="1:6" ht="13.8">
      <c r="A14" s="1000"/>
      <c r="B14" s="1000"/>
      <c r="C14" s="1000"/>
      <c r="D14" s="1001"/>
      <c r="E14" s="1001"/>
      <c r="F14" s="1001"/>
    </row>
    <row r="15" spans="1:6" ht="14.4" thickBot="1">
      <c r="A15" s="1000"/>
      <c r="B15" s="1000"/>
      <c r="C15" s="1000"/>
      <c r="D15" s="1001"/>
      <c r="E15" s="1001"/>
      <c r="F15" s="1001"/>
    </row>
    <row r="16" spans="1:6" s="1189" customFormat="1" ht="23.25" customHeight="1" thickBot="1">
      <c r="A16" s="1186" t="s">
        <v>317</v>
      </c>
      <c r="B16" s="1187" t="s">
        <v>41</v>
      </c>
      <c r="C16" s="1190" t="s">
        <v>47</v>
      </c>
      <c r="D16" s="2650" t="s">
        <v>3834</v>
      </c>
      <c r="E16" s="2651"/>
      <c r="F16" s="1188" t="s">
        <v>3835</v>
      </c>
    </row>
    <row r="17" spans="1:347" ht="30" customHeight="1">
      <c r="A17" s="1251"/>
      <c r="B17" s="1268"/>
      <c r="C17" s="1266" t="s">
        <v>4755</v>
      </c>
      <c r="D17" s="1167"/>
      <c r="E17" s="1168"/>
      <c r="F17" s="1169"/>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row>
    <row r="18" spans="1:347" s="1361" customFormat="1" ht="95.1" customHeight="1">
      <c r="A18" s="1356"/>
      <c r="B18" s="1357"/>
      <c r="C18" s="1271" t="s">
        <v>4753</v>
      </c>
      <c r="D18" s="1358"/>
      <c r="E18" s="1359"/>
      <c r="F18" s="1360"/>
      <c r="H18" s="1222"/>
      <c r="I18" s="1222"/>
      <c r="J18" s="1222"/>
      <c r="K18" s="1222"/>
      <c r="L18" s="1222"/>
      <c r="M18" s="1222"/>
      <c r="N18" s="1222"/>
      <c r="O18" s="1222"/>
      <c r="P18" s="1222"/>
      <c r="Q18" s="1222"/>
      <c r="R18" s="1222"/>
      <c r="S18" s="1222"/>
      <c r="T18" s="1222"/>
      <c r="U18" s="1222"/>
      <c r="V18" s="1222"/>
      <c r="W18" s="1222"/>
      <c r="X18" s="1222"/>
      <c r="Y18" s="1222"/>
      <c r="Z18" s="1222"/>
      <c r="AA18" s="1222"/>
      <c r="AB18" s="1222"/>
      <c r="AC18" s="1222"/>
      <c r="AD18" s="1222"/>
      <c r="AE18" s="1222"/>
      <c r="AF18" s="1222"/>
      <c r="AG18" s="1222"/>
      <c r="AH18" s="1222"/>
      <c r="AI18" s="1222"/>
      <c r="AJ18" s="1222"/>
      <c r="AK18" s="1222"/>
      <c r="AL18" s="1222"/>
      <c r="AM18" s="1222"/>
      <c r="AN18" s="1222"/>
      <c r="AO18" s="1222"/>
      <c r="AP18" s="1222"/>
      <c r="AQ18" s="1222"/>
      <c r="AR18" s="1222"/>
      <c r="AS18" s="1222"/>
      <c r="AT18" s="1222"/>
      <c r="AU18" s="1222"/>
      <c r="AV18" s="1222"/>
      <c r="AW18" s="1222"/>
      <c r="AX18" s="1222"/>
      <c r="AY18" s="1222"/>
      <c r="AZ18" s="1222"/>
      <c r="BA18" s="1222"/>
      <c r="BB18" s="1222"/>
      <c r="BC18" s="1222"/>
      <c r="BD18" s="1222"/>
      <c r="BE18" s="1222"/>
      <c r="BF18" s="1222"/>
      <c r="BG18" s="1222"/>
      <c r="BH18" s="1222"/>
      <c r="BI18" s="1222"/>
      <c r="BJ18" s="1222"/>
      <c r="BK18" s="1222"/>
      <c r="BL18" s="1222"/>
      <c r="BM18" s="1222"/>
      <c r="BN18" s="1222"/>
      <c r="BO18" s="1222"/>
      <c r="BP18" s="1222"/>
      <c r="BQ18" s="1222"/>
      <c r="BR18" s="1222"/>
      <c r="BS18" s="1222"/>
      <c r="BT18" s="1222"/>
      <c r="BU18" s="1222"/>
      <c r="BV18" s="1222"/>
      <c r="BW18" s="1222"/>
      <c r="BX18" s="1222"/>
      <c r="BY18" s="1222"/>
      <c r="BZ18" s="1222"/>
      <c r="CA18" s="1222"/>
      <c r="CB18" s="1222"/>
      <c r="CC18" s="1222"/>
      <c r="CD18" s="1222"/>
      <c r="CE18" s="1222"/>
      <c r="CF18" s="1222"/>
      <c r="CG18" s="1222"/>
      <c r="CH18" s="1222"/>
      <c r="CI18" s="1222"/>
      <c r="CJ18" s="1222"/>
      <c r="CK18" s="1222"/>
      <c r="CL18" s="1222"/>
      <c r="CM18" s="1222"/>
      <c r="CN18" s="1222"/>
      <c r="CO18" s="1222"/>
      <c r="CP18" s="1222"/>
      <c r="CQ18" s="1222"/>
      <c r="CR18" s="1222"/>
      <c r="CS18" s="1222"/>
      <c r="CT18" s="1222"/>
      <c r="CU18" s="1222"/>
      <c r="CV18" s="1222"/>
      <c r="CW18" s="1222"/>
      <c r="CX18" s="1222"/>
      <c r="CY18" s="1222"/>
      <c r="CZ18" s="1222"/>
      <c r="DA18" s="1222"/>
      <c r="DB18" s="1222"/>
      <c r="DC18" s="1222"/>
      <c r="DD18" s="1222"/>
      <c r="DE18" s="1222"/>
      <c r="DF18" s="1222"/>
      <c r="DG18" s="1222"/>
      <c r="DH18" s="1222"/>
      <c r="DI18" s="1222"/>
      <c r="DJ18" s="1222"/>
      <c r="DK18" s="1222"/>
      <c r="DL18" s="1222"/>
      <c r="DM18" s="1222"/>
      <c r="DN18" s="1222"/>
      <c r="DO18" s="1222"/>
      <c r="DP18" s="1222"/>
      <c r="DQ18" s="1222"/>
      <c r="DR18" s="1222"/>
      <c r="DS18" s="1222"/>
      <c r="DT18" s="1222"/>
      <c r="DU18" s="1222"/>
      <c r="DV18" s="1222"/>
      <c r="DW18" s="1222"/>
      <c r="DX18" s="1222"/>
      <c r="DY18" s="1222"/>
      <c r="DZ18" s="1222"/>
      <c r="EA18" s="1222"/>
      <c r="EB18" s="1222"/>
      <c r="EC18" s="1222"/>
      <c r="ED18" s="1222"/>
      <c r="EE18" s="1222"/>
      <c r="EF18" s="1222"/>
      <c r="EG18" s="1222"/>
      <c r="EH18" s="1222"/>
      <c r="EI18" s="1222"/>
      <c r="EJ18" s="1222"/>
      <c r="EK18" s="1222"/>
      <c r="EL18" s="1222"/>
      <c r="EM18" s="1222"/>
      <c r="EN18" s="1222"/>
      <c r="EO18" s="1222"/>
      <c r="EP18" s="1222"/>
      <c r="EQ18" s="1222"/>
      <c r="ER18" s="1222"/>
      <c r="ES18" s="1222"/>
      <c r="ET18" s="1222"/>
      <c r="EU18" s="1222"/>
      <c r="EV18" s="1222"/>
      <c r="EW18" s="1222"/>
      <c r="EX18" s="1222"/>
      <c r="EY18" s="1222"/>
      <c r="EZ18" s="1222"/>
      <c r="FA18" s="1222"/>
      <c r="FB18" s="1222"/>
      <c r="FC18" s="1222"/>
      <c r="FD18" s="1222"/>
      <c r="FE18" s="1222"/>
      <c r="FF18" s="1222"/>
      <c r="FG18" s="1222"/>
      <c r="FH18" s="1222"/>
      <c r="FI18" s="1222"/>
      <c r="FJ18" s="1222"/>
      <c r="FK18" s="1222"/>
      <c r="FL18" s="1222"/>
      <c r="FM18" s="1222"/>
      <c r="FN18" s="1222"/>
      <c r="FO18" s="1222"/>
      <c r="FP18" s="1222"/>
      <c r="FQ18" s="1222"/>
      <c r="FR18" s="1222"/>
      <c r="FS18" s="1222"/>
      <c r="FT18" s="1222"/>
      <c r="FU18" s="1222"/>
      <c r="FV18" s="1222"/>
      <c r="FW18" s="1222"/>
      <c r="FX18" s="1222"/>
      <c r="FY18" s="1222"/>
      <c r="FZ18" s="1222"/>
      <c r="GA18" s="1222"/>
      <c r="GB18" s="1222"/>
      <c r="GC18" s="1222"/>
      <c r="GD18" s="1222"/>
      <c r="GE18" s="1222"/>
      <c r="GF18" s="1222"/>
      <c r="GG18" s="1222"/>
      <c r="GH18" s="1222"/>
      <c r="GI18" s="1222"/>
      <c r="GJ18" s="1222"/>
      <c r="GK18" s="1222"/>
      <c r="GL18" s="1222"/>
      <c r="GM18" s="1222"/>
      <c r="GN18" s="1222"/>
      <c r="GO18" s="1222"/>
      <c r="GP18" s="1222"/>
      <c r="GQ18" s="1222"/>
      <c r="GR18" s="1222"/>
      <c r="GS18" s="1222"/>
      <c r="GT18" s="1222"/>
      <c r="GU18" s="1222"/>
      <c r="GV18" s="1222"/>
      <c r="GW18" s="1222"/>
      <c r="GX18" s="1222"/>
      <c r="GY18" s="1222"/>
      <c r="GZ18" s="1222"/>
      <c r="HA18" s="1222"/>
      <c r="HB18" s="1222"/>
      <c r="HC18" s="1222"/>
      <c r="HD18" s="1222"/>
      <c r="HE18" s="1222"/>
      <c r="HF18" s="1222"/>
      <c r="HG18" s="1222"/>
      <c r="HH18" s="1222"/>
      <c r="HI18" s="1222"/>
      <c r="HJ18" s="1222"/>
      <c r="HK18" s="1222"/>
      <c r="HL18" s="1222"/>
      <c r="HM18" s="1222"/>
      <c r="HN18" s="1222"/>
      <c r="HO18" s="1222"/>
      <c r="HP18" s="1222"/>
      <c r="HQ18" s="1222"/>
      <c r="HR18" s="1222"/>
      <c r="HS18" s="1222"/>
      <c r="HT18" s="1222"/>
      <c r="HU18" s="1222"/>
      <c r="HV18" s="1222"/>
      <c r="HW18" s="1222"/>
      <c r="HX18" s="1222"/>
      <c r="HY18" s="1222"/>
      <c r="HZ18" s="1222"/>
      <c r="IA18" s="1222"/>
      <c r="IB18" s="1222"/>
      <c r="IC18" s="1222"/>
      <c r="ID18" s="1222"/>
      <c r="IE18" s="1222"/>
      <c r="IF18" s="1222"/>
      <c r="IG18" s="1222"/>
      <c r="IH18" s="1222"/>
      <c r="II18" s="1222"/>
      <c r="IJ18" s="1222"/>
      <c r="IK18" s="1222"/>
      <c r="IL18" s="1222"/>
      <c r="IM18" s="1222"/>
      <c r="IN18" s="1222"/>
      <c r="IO18" s="1222"/>
      <c r="IP18" s="1222"/>
      <c r="IQ18" s="1222"/>
      <c r="IR18" s="1222"/>
      <c r="IS18" s="1222"/>
      <c r="IT18" s="1222"/>
      <c r="IU18" s="1222"/>
      <c r="IV18" s="1222"/>
      <c r="IW18" s="1222"/>
      <c r="IX18" s="1222"/>
      <c r="IY18" s="1222"/>
      <c r="IZ18" s="1222"/>
      <c r="JA18" s="1222"/>
      <c r="JB18" s="1222"/>
      <c r="JC18" s="1222"/>
      <c r="JD18" s="1222"/>
      <c r="JE18" s="1222"/>
      <c r="JF18" s="1222"/>
      <c r="JG18" s="1222"/>
      <c r="JH18" s="1222"/>
      <c r="JI18" s="1222"/>
      <c r="JJ18" s="1222"/>
      <c r="JK18" s="1222"/>
      <c r="JL18" s="1222"/>
      <c r="JM18" s="1222"/>
      <c r="JN18" s="1222"/>
      <c r="JO18" s="1222"/>
      <c r="JP18" s="1222"/>
      <c r="JQ18" s="1222"/>
      <c r="JR18" s="1222"/>
      <c r="JS18" s="1222"/>
      <c r="JT18" s="1222"/>
      <c r="JU18" s="1222"/>
      <c r="JV18" s="1222"/>
      <c r="JW18" s="1222"/>
      <c r="JX18" s="1222"/>
      <c r="JY18" s="1222"/>
      <c r="JZ18" s="1222"/>
      <c r="KA18" s="1222"/>
      <c r="KB18" s="1222"/>
      <c r="KC18" s="1222"/>
      <c r="KD18" s="1222"/>
      <c r="KE18" s="1222"/>
      <c r="KF18" s="1222"/>
      <c r="KG18" s="1222"/>
      <c r="KH18" s="1222"/>
      <c r="KI18" s="1222"/>
      <c r="KJ18" s="1222"/>
      <c r="KK18" s="1222"/>
      <c r="KL18" s="1222"/>
      <c r="KM18" s="1222"/>
      <c r="KN18" s="1222"/>
      <c r="KO18" s="1222"/>
      <c r="KP18" s="1222"/>
      <c r="KQ18" s="1222"/>
      <c r="KR18" s="1222"/>
      <c r="KS18" s="1222"/>
      <c r="KT18" s="1222"/>
      <c r="KU18" s="1222"/>
      <c r="KV18" s="1222"/>
      <c r="KW18" s="1222"/>
      <c r="KX18" s="1222"/>
      <c r="KY18" s="1222"/>
      <c r="KZ18" s="1222"/>
      <c r="LA18" s="1222"/>
      <c r="LB18" s="1222"/>
      <c r="LC18" s="1222"/>
      <c r="LD18" s="1222"/>
      <c r="LE18" s="1222"/>
      <c r="LF18" s="1222"/>
      <c r="LG18" s="1222"/>
      <c r="LH18" s="1222"/>
      <c r="LI18" s="1222"/>
      <c r="LJ18" s="1222"/>
      <c r="LK18" s="1222"/>
      <c r="LL18" s="1222"/>
      <c r="LM18" s="1222"/>
      <c r="LN18" s="1222"/>
      <c r="LO18" s="1222"/>
      <c r="LP18" s="1222"/>
      <c r="LQ18" s="1222"/>
      <c r="LR18" s="1222"/>
      <c r="LS18" s="1222"/>
      <c r="LT18" s="1222"/>
      <c r="LU18" s="1222"/>
      <c r="LV18" s="1222"/>
      <c r="LW18" s="1222"/>
      <c r="LX18" s="1222"/>
      <c r="LY18" s="1222"/>
      <c r="LZ18" s="1222"/>
      <c r="MA18" s="1222"/>
      <c r="MB18" s="1222"/>
      <c r="MC18" s="1222"/>
      <c r="MD18" s="1222"/>
      <c r="ME18" s="1222"/>
      <c r="MF18" s="1222"/>
      <c r="MG18" s="1222"/>
      <c r="MH18" s="1222"/>
      <c r="MI18" s="1222"/>
    </row>
    <row r="19" spans="1:347" ht="50.1" customHeight="1">
      <c r="A19" s="1251"/>
      <c r="B19" s="1269"/>
      <c r="C19" s="1271" t="s">
        <v>4149</v>
      </c>
      <c r="D19" s="1167"/>
      <c r="E19" s="1168"/>
      <c r="F19" s="116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row>
    <row r="20" spans="1:347" ht="35.1" customHeight="1">
      <c r="A20" s="1251"/>
      <c r="B20" s="1269"/>
      <c r="C20" s="1271" t="s">
        <v>4754</v>
      </c>
      <c r="D20" s="1167"/>
      <c r="E20" s="1168"/>
      <c r="F20" s="1169"/>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row>
    <row r="21" spans="1:347" ht="21" customHeight="1" thickBot="1">
      <c r="A21" s="1251"/>
      <c r="B21" s="1270"/>
      <c r="C21" s="1267"/>
      <c r="D21" s="1252"/>
      <c r="E21" s="1253"/>
      <c r="F21" s="1254"/>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row>
    <row r="22" spans="1:347" ht="15" customHeight="1">
      <c r="A22" s="1009"/>
      <c r="B22" s="1010"/>
      <c r="C22" s="1140"/>
      <c r="D22" s="1167"/>
      <c r="E22" s="1168"/>
      <c r="F22" s="1169"/>
    </row>
    <row r="23" spans="1:347" ht="15" customHeight="1">
      <c r="A23" s="1011">
        <v>1</v>
      </c>
      <c r="B23" s="1012">
        <v>1</v>
      </c>
      <c r="C23" s="1108" t="s">
        <v>3836</v>
      </c>
      <c r="D23" s="1150">
        <v>59895</v>
      </c>
      <c r="E23" s="1149"/>
      <c r="F23" s="1162">
        <f>+B23*D23</f>
        <v>59895</v>
      </c>
    </row>
    <row r="24" spans="1:347" ht="15" customHeight="1">
      <c r="A24" s="1014" t="s">
        <v>3162</v>
      </c>
      <c r="B24" s="1015"/>
      <c r="C24" s="1108"/>
      <c r="D24" s="1176"/>
      <c r="E24" s="1170"/>
      <c r="F24" s="1158"/>
    </row>
    <row r="25" spans="1:347" ht="15" customHeight="1">
      <c r="A25" s="1014" t="s">
        <v>3837</v>
      </c>
      <c r="B25" s="1015"/>
      <c r="C25" s="1108" t="s">
        <v>3158</v>
      </c>
      <c r="D25" s="1176"/>
      <c r="E25" s="1170"/>
      <c r="F25" s="1158"/>
    </row>
    <row r="26" spans="1:347" ht="30.75" customHeight="1">
      <c r="A26" s="1014"/>
      <c r="B26" s="1017">
        <v>1</v>
      </c>
      <c r="C26" s="1138" t="s">
        <v>2571</v>
      </c>
      <c r="D26" s="1176"/>
      <c r="E26" s="1170"/>
      <c r="F26" s="1158"/>
    </row>
    <row r="27" spans="1:347" ht="15" customHeight="1">
      <c r="A27" s="1018"/>
      <c r="B27" s="1019">
        <v>10</v>
      </c>
      <c r="C27" s="1108" t="s">
        <v>3838</v>
      </c>
      <c r="D27" s="1176"/>
      <c r="E27" s="1170"/>
      <c r="F27" s="1158"/>
    </row>
    <row r="28" spans="1:347" ht="26.25" customHeight="1">
      <c r="A28" s="1020" t="s">
        <v>3839</v>
      </c>
      <c r="B28" s="1021">
        <v>1</v>
      </c>
      <c r="C28" s="1178" t="s">
        <v>1484</v>
      </c>
      <c r="D28" s="1176"/>
      <c r="E28" s="1170"/>
      <c r="F28" s="1158"/>
    </row>
    <row r="29" spans="1:347" ht="27" customHeight="1">
      <c r="A29" s="1022"/>
      <c r="B29" s="1021">
        <v>1</v>
      </c>
      <c r="C29" s="1178" t="s">
        <v>1948</v>
      </c>
      <c r="D29" s="1176"/>
      <c r="E29" s="1170"/>
      <c r="F29" s="1158"/>
    </row>
    <row r="30" spans="1:347" ht="28.5" customHeight="1">
      <c r="A30" s="1023"/>
      <c r="B30" s="1021">
        <v>1</v>
      </c>
      <c r="C30" s="1178" t="s">
        <v>1950</v>
      </c>
      <c r="D30" s="1176"/>
      <c r="E30" s="1170"/>
      <c r="F30" s="1158"/>
    </row>
    <row r="31" spans="1:347" ht="28.5" customHeight="1">
      <c r="A31" s="1024" t="s">
        <v>3190</v>
      </c>
      <c r="B31" s="1021">
        <v>1</v>
      </c>
      <c r="C31" s="1178" t="s">
        <v>3394</v>
      </c>
      <c r="D31" s="1176"/>
      <c r="E31" s="1170"/>
      <c r="F31" s="1158"/>
    </row>
    <row r="32" spans="1:347" ht="15" customHeight="1">
      <c r="A32" s="1025" t="s">
        <v>3314</v>
      </c>
      <c r="B32" s="1017"/>
      <c r="C32" s="1117"/>
      <c r="D32" s="1176"/>
      <c r="E32" s="1170"/>
      <c r="F32" s="1158"/>
    </row>
    <row r="33" spans="1:6" ht="15" customHeight="1">
      <c r="A33" s="1025" t="s">
        <v>3315</v>
      </c>
      <c r="B33" s="1017"/>
      <c r="C33" s="1116" t="s">
        <v>729</v>
      </c>
      <c r="D33" s="1176"/>
      <c r="E33" s="1170"/>
      <c r="F33" s="1158"/>
    </row>
    <row r="34" spans="1:6" ht="15" customHeight="1">
      <c r="A34" s="1025"/>
      <c r="B34" s="1026"/>
      <c r="C34" s="1108" t="s">
        <v>3063</v>
      </c>
      <c r="D34" s="1176"/>
      <c r="E34" s="1170"/>
      <c r="F34" s="1158"/>
    </row>
    <row r="35" spans="1:6" ht="31.5" customHeight="1">
      <c r="A35" s="1025"/>
      <c r="B35" s="1017">
        <v>1</v>
      </c>
      <c r="C35" s="1138" t="s">
        <v>1951</v>
      </c>
      <c r="D35" s="1176"/>
      <c r="E35" s="1170"/>
      <c r="F35" s="1158"/>
    </row>
    <row r="36" spans="1:6" ht="15" customHeight="1">
      <c r="A36" s="1024" t="s">
        <v>3819</v>
      </c>
      <c r="B36" s="1027">
        <v>10</v>
      </c>
      <c r="C36" s="1113" t="s">
        <v>3388</v>
      </c>
      <c r="D36" s="1176"/>
      <c r="E36" s="1170"/>
      <c r="F36" s="1158"/>
    </row>
    <row r="37" spans="1:6" ht="15" customHeight="1">
      <c r="A37" s="1028"/>
      <c r="B37" s="1027">
        <v>10</v>
      </c>
      <c r="C37" s="1113" t="s">
        <v>3351</v>
      </c>
      <c r="D37" s="1176"/>
      <c r="E37" s="1170"/>
      <c r="F37" s="1158"/>
    </row>
    <row r="38" spans="1:6" ht="15" customHeight="1">
      <c r="A38" s="1018"/>
      <c r="B38" s="1017"/>
      <c r="C38" s="1116" t="s">
        <v>729</v>
      </c>
      <c r="D38" s="1176"/>
      <c r="E38" s="1170"/>
      <c r="F38" s="1158"/>
    </row>
    <row r="39" spans="1:6" ht="15" customHeight="1">
      <c r="A39" s="1029"/>
      <c r="B39" s="1026"/>
      <c r="C39" s="1108" t="s">
        <v>3352</v>
      </c>
      <c r="D39" s="1176"/>
      <c r="E39" s="1170"/>
      <c r="F39" s="1158"/>
    </row>
    <row r="40" spans="1:6" ht="15" customHeight="1">
      <c r="A40" s="1022"/>
      <c r="B40" s="1017">
        <v>2</v>
      </c>
      <c r="C40" s="1116" t="s">
        <v>439</v>
      </c>
      <c r="D40" s="1176"/>
      <c r="E40" s="1170"/>
      <c r="F40" s="1158"/>
    </row>
    <row r="41" spans="1:6" ht="15" customHeight="1">
      <c r="A41" s="1030"/>
      <c r="B41" s="1027">
        <v>1</v>
      </c>
      <c r="C41" s="1139" t="s">
        <v>3159</v>
      </c>
      <c r="D41" s="1176"/>
      <c r="E41" s="1170"/>
      <c r="F41" s="1158"/>
    </row>
    <row r="42" spans="1:6" ht="15" customHeight="1">
      <c r="A42" s="1030"/>
      <c r="B42" s="1027">
        <v>1</v>
      </c>
      <c r="C42" s="1139" t="s">
        <v>3160</v>
      </c>
      <c r="D42" s="1176"/>
      <c r="E42" s="1170"/>
      <c r="F42" s="1158"/>
    </row>
    <row r="43" spans="1:6" ht="15" customHeight="1">
      <c r="A43" s="1018"/>
      <c r="B43" s="1017"/>
      <c r="C43" s="1116" t="s">
        <v>729</v>
      </c>
      <c r="D43" s="1176"/>
      <c r="E43" s="1170"/>
      <c r="F43" s="1158"/>
    </row>
    <row r="44" spans="1:6" ht="15" customHeight="1">
      <c r="A44" s="1022"/>
      <c r="B44" s="1031"/>
      <c r="C44" s="1131" t="s">
        <v>3840</v>
      </c>
      <c r="D44" s="1176"/>
      <c r="E44" s="1170"/>
      <c r="F44" s="1158"/>
    </row>
    <row r="45" spans="1:6" ht="15" customHeight="1">
      <c r="A45" s="1020"/>
      <c r="B45" s="1032">
        <v>1</v>
      </c>
      <c r="C45" s="1110" t="s">
        <v>3378</v>
      </c>
      <c r="D45" s="1176"/>
      <c r="E45" s="1170"/>
      <c r="F45" s="1158"/>
    </row>
    <row r="46" spans="1:6" ht="15" customHeight="1">
      <c r="A46" s="1014"/>
      <c r="B46" s="1021">
        <v>1</v>
      </c>
      <c r="C46" s="1132" t="s">
        <v>2297</v>
      </c>
      <c r="D46" s="1176"/>
      <c r="E46" s="1170"/>
      <c r="F46" s="1158"/>
    </row>
    <row r="47" spans="1:6" ht="15" customHeight="1">
      <c r="A47" s="1014"/>
      <c r="B47" s="1021">
        <v>1</v>
      </c>
      <c r="C47" s="1132" t="s">
        <v>1850</v>
      </c>
      <c r="D47" s="1176"/>
      <c r="E47" s="1170"/>
      <c r="F47" s="1158"/>
    </row>
    <row r="48" spans="1:6" ht="27.75" customHeight="1">
      <c r="A48" s="1014"/>
      <c r="B48" s="1021">
        <v>1</v>
      </c>
      <c r="C48" s="1178" t="s">
        <v>2303</v>
      </c>
      <c r="D48" s="1176"/>
      <c r="E48" s="1170"/>
      <c r="F48" s="1158"/>
    </row>
    <row r="49" spans="1:6" ht="15" customHeight="1">
      <c r="A49" s="1030"/>
      <c r="B49" s="1032">
        <v>1</v>
      </c>
      <c r="C49" s="1110" t="s">
        <v>3379</v>
      </c>
      <c r="D49" s="1176"/>
      <c r="E49" s="1170"/>
      <c r="F49" s="1158"/>
    </row>
    <row r="50" spans="1:6" ht="15" customHeight="1">
      <c r="A50" s="1033"/>
      <c r="B50" s="1017"/>
      <c r="C50" s="1116" t="s">
        <v>729</v>
      </c>
      <c r="D50" s="1176"/>
      <c r="E50" s="1170"/>
      <c r="F50" s="1158"/>
    </row>
    <row r="51" spans="1:6" ht="15" customHeight="1">
      <c r="A51" s="1029"/>
      <c r="B51" s="1019">
        <v>1</v>
      </c>
      <c r="C51" s="1108" t="s">
        <v>3356</v>
      </c>
      <c r="D51" s="1176"/>
      <c r="E51" s="1170"/>
      <c r="F51" s="1158"/>
    </row>
    <row r="52" spans="1:6" ht="15" customHeight="1">
      <c r="A52" s="1030"/>
      <c r="B52" s="1032">
        <v>1</v>
      </c>
      <c r="C52" s="1110" t="s">
        <v>3357</v>
      </c>
      <c r="D52" s="1176"/>
      <c r="E52" s="1170"/>
      <c r="F52" s="1158"/>
    </row>
    <row r="53" spans="1:6" ht="15" customHeight="1">
      <c r="A53" s="1030"/>
      <c r="B53" s="1032">
        <v>1</v>
      </c>
      <c r="C53" s="1110" t="s">
        <v>3358</v>
      </c>
      <c r="D53" s="1176"/>
      <c r="E53" s="1170"/>
      <c r="F53" s="1158"/>
    </row>
    <row r="54" spans="1:6" ht="15" customHeight="1">
      <c r="A54" s="1030"/>
      <c r="B54" s="1032">
        <v>1</v>
      </c>
      <c r="C54" s="1110" t="s">
        <v>3359</v>
      </c>
      <c r="D54" s="1176"/>
      <c r="E54" s="1170"/>
      <c r="F54" s="1158"/>
    </row>
    <row r="55" spans="1:6" ht="15" customHeight="1">
      <c r="A55" s="1030"/>
      <c r="B55" s="1032">
        <v>1</v>
      </c>
      <c r="C55" s="1110" t="s">
        <v>3360</v>
      </c>
      <c r="D55" s="1167"/>
      <c r="E55" s="1168"/>
      <c r="F55" s="1169"/>
    </row>
    <row r="56" spans="1:6" ht="15" customHeight="1">
      <c r="A56" s="1030"/>
      <c r="B56" s="1032">
        <v>1</v>
      </c>
      <c r="C56" s="1110" t="s">
        <v>3361</v>
      </c>
      <c r="D56" s="1167"/>
      <c r="E56" s="1168"/>
      <c r="F56" s="1169"/>
    </row>
    <row r="57" spans="1:6" ht="15" customHeight="1">
      <c r="A57" s="1018"/>
      <c r="B57" s="1017"/>
      <c r="C57" s="1116" t="s">
        <v>729</v>
      </c>
      <c r="D57" s="1176"/>
      <c r="E57" s="1157"/>
      <c r="F57" s="1158"/>
    </row>
    <row r="58" spans="1:6" ht="15" customHeight="1">
      <c r="A58" s="1018"/>
      <c r="B58" s="1017">
        <v>1</v>
      </c>
      <c r="C58" s="1116" t="s">
        <v>2908</v>
      </c>
      <c r="D58" s="1176"/>
      <c r="E58" s="1157"/>
      <c r="F58" s="1158"/>
    </row>
    <row r="59" spans="1:6" ht="15" customHeight="1">
      <c r="A59" s="1018"/>
      <c r="B59" s="1017">
        <v>1</v>
      </c>
      <c r="C59" s="1116" t="s">
        <v>316</v>
      </c>
      <c r="D59" s="1176"/>
      <c r="E59" s="1157"/>
      <c r="F59" s="1158"/>
    </row>
    <row r="60" spans="1:6" ht="15" customHeight="1" thickBot="1">
      <c r="A60" s="1034"/>
      <c r="B60" s="1035">
        <v>1</v>
      </c>
      <c r="C60" s="1134" t="s">
        <v>3841</v>
      </c>
      <c r="D60" s="1159"/>
      <c r="E60" s="1160"/>
      <c r="F60" s="1161"/>
    </row>
    <row r="61" spans="1:6" ht="15" customHeight="1">
      <c r="A61" s="1037"/>
      <c r="B61" s="1017"/>
      <c r="C61" s="1130"/>
      <c r="D61" s="1176"/>
      <c r="E61" s="1157"/>
      <c r="F61" s="1158"/>
    </row>
    <row r="62" spans="1:6" ht="15" customHeight="1">
      <c r="A62" s="1038">
        <v>2</v>
      </c>
      <c r="B62" s="1012">
        <v>1</v>
      </c>
      <c r="C62" s="1109" t="s">
        <v>3842</v>
      </c>
      <c r="D62" s="1150">
        <v>56553</v>
      </c>
      <c r="E62" s="1149"/>
      <c r="F62" s="1162">
        <f>+B62*D62</f>
        <v>56553</v>
      </c>
    </row>
    <row r="63" spans="1:6" ht="15" customHeight="1">
      <c r="A63" s="1014" t="s">
        <v>3162</v>
      </c>
      <c r="B63" s="1015"/>
      <c r="C63" s="1109"/>
      <c r="D63" s="1176"/>
      <c r="E63" s="1157"/>
      <c r="F63" s="1158"/>
    </row>
    <row r="64" spans="1:6" ht="15" customHeight="1">
      <c r="A64" s="1014" t="s">
        <v>3837</v>
      </c>
      <c r="B64" s="1017"/>
      <c r="C64" s="1108" t="s">
        <v>2477</v>
      </c>
      <c r="D64" s="1176"/>
      <c r="E64" s="1157"/>
      <c r="F64" s="1158"/>
    </row>
    <row r="65" spans="1:6" ht="15" customHeight="1">
      <c r="A65" s="1018"/>
      <c r="B65" s="1015"/>
      <c r="C65" s="1113"/>
      <c r="D65" s="1176"/>
      <c r="E65" s="1157"/>
      <c r="F65" s="1158"/>
    </row>
    <row r="66" spans="1:6" ht="15" customHeight="1">
      <c r="A66" s="1020"/>
      <c r="B66" s="1015"/>
      <c r="C66" s="1113" t="s">
        <v>3843</v>
      </c>
      <c r="D66" s="1176"/>
      <c r="E66" s="1157"/>
      <c r="F66" s="1158"/>
    </row>
    <row r="67" spans="1:6" ht="15" customHeight="1">
      <c r="A67" s="1020" t="s">
        <v>3839</v>
      </c>
      <c r="B67" s="1015"/>
      <c r="C67" s="1113" t="s">
        <v>3427</v>
      </c>
      <c r="D67" s="1176"/>
      <c r="E67" s="1157"/>
      <c r="F67" s="1158"/>
    </row>
    <row r="68" spans="1:6" ht="15" customHeight="1">
      <c r="A68" s="1020"/>
      <c r="B68" s="1015"/>
      <c r="C68" s="1113"/>
      <c r="D68" s="1176"/>
      <c r="E68" s="1157"/>
      <c r="F68" s="1158"/>
    </row>
    <row r="69" spans="1:6" ht="15" customHeight="1">
      <c r="A69" s="1022"/>
      <c r="B69" s="1015"/>
      <c r="C69" s="1113" t="s">
        <v>3428</v>
      </c>
      <c r="D69" s="1176"/>
      <c r="E69" s="1157"/>
      <c r="F69" s="1158"/>
    </row>
    <row r="70" spans="1:6" ht="15" customHeight="1">
      <c r="A70" s="1025"/>
      <c r="B70" s="1039"/>
      <c r="C70" s="1110"/>
      <c r="D70" s="1176"/>
      <c r="E70" s="1157"/>
      <c r="F70" s="1158"/>
    </row>
    <row r="71" spans="1:6" ht="15" customHeight="1">
      <c r="A71" s="1025"/>
      <c r="B71" s="1040">
        <v>2</v>
      </c>
      <c r="C71" s="1110" t="s">
        <v>3844</v>
      </c>
      <c r="D71" s="2654"/>
      <c r="E71" s="2655"/>
      <c r="F71" s="1158"/>
    </row>
    <row r="72" spans="1:6" ht="15" customHeight="1">
      <c r="A72" s="1025"/>
      <c r="B72" s="1015"/>
      <c r="C72" s="1110" t="s">
        <v>3429</v>
      </c>
      <c r="D72" s="1176"/>
      <c r="E72" s="1157"/>
      <c r="F72" s="1158"/>
    </row>
    <row r="73" spans="1:6" ht="24.75" customHeight="1">
      <c r="A73" s="1024" t="s">
        <v>3819</v>
      </c>
      <c r="B73" s="1015"/>
      <c r="C73" s="1136" t="s">
        <v>2328</v>
      </c>
      <c r="D73" s="1176"/>
      <c r="E73" s="1157"/>
      <c r="F73" s="1158"/>
    </row>
    <row r="74" spans="1:6" ht="15" customHeight="1">
      <c r="A74" s="1024"/>
      <c r="B74" s="1015"/>
      <c r="C74" s="1110" t="s">
        <v>3449</v>
      </c>
      <c r="D74" s="1176"/>
      <c r="E74" s="1157"/>
      <c r="F74" s="1158"/>
    </row>
    <row r="75" spans="1:6" ht="15" customHeight="1">
      <c r="A75" s="1024"/>
      <c r="B75" s="1015"/>
      <c r="C75" s="1110"/>
      <c r="D75" s="1176"/>
      <c r="E75" s="1157"/>
      <c r="F75" s="1158"/>
    </row>
    <row r="76" spans="1:6" ht="15" customHeight="1">
      <c r="A76" s="1024"/>
      <c r="B76" s="1015"/>
      <c r="C76" s="1113" t="s">
        <v>3845</v>
      </c>
      <c r="D76" s="1176"/>
      <c r="E76" s="1157"/>
      <c r="F76" s="1158"/>
    </row>
    <row r="77" spans="1:6" ht="15" customHeight="1">
      <c r="A77" s="1028"/>
      <c r="B77" s="1015"/>
      <c r="C77" s="1113" t="s">
        <v>3846</v>
      </c>
      <c r="D77" s="1176"/>
      <c r="E77" s="1157"/>
      <c r="F77" s="1158"/>
    </row>
    <row r="78" spans="1:6" ht="15" customHeight="1">
      <c r="A78" s="1028"/>
      <c r="B78" s="1015"/>
      <c r="C78" s="1113" t="s">
        <v>3847</v>
      </c>
      <c r="D78" s="1176"/>
      <c r="E78" s="1157"/>
      <c r="F78" s="1158"/>
    </row>
    <row r="79" spans="1:6" ht="15" customHeight="1">
      <c r="A79" s="1028"/>
      <c r="B79" s="1015"/>
      <c r="C79" s="1113" t="s">
        <v>3848</v>
      </c>
      <c r="D79" s="1176"/>
      <c r="E79" s="1157"/>
      <c r="F79" s="1158"/>
    </row>
    <row r="80" spans="1:6" ht="15" customHeight="1">
      <c r="A80" s="1028"/>
      <c r="B80" s="1015"/>
      <c r="C80" s="1113" t="s">
        <v>3849</v>
      </c>
      <c r="D80" s="1176"/>
      <c r="E80" s="1157"/>
      <c r="F80" s="1158"/>
    </row>
    <row r="81" spans="1:6" ht="29.25" customHeight="1">
      <c r="A81" s="1028"/>
      <c r="B81" s="1015"/>
      <c r="C81" s="1137" t="s">
        <v>3430</v>
      </c>
      <c r="D81" s="1176"/>
      <c r="E81" s="1157"/>
      <c r="F81" s="1158"/>
    </row>
    <row r="82" spans="1:6" ht="15" customHeight="1">
      <c r="A82" s="1041"/>
      <c r="B82" s="1015"/>
      <c r="C82" s="1114" t="s">
        <v>3431</v>
      </c>
      <c r="D82" s="1176"/>
      <c r="E82" s="1157"/>
      <c r="F82" s="1158"/>
    </row>
    <row r="83" spans="1:6" ht="15" customHeight="1">
      <c r="A83" s="1042"/>
      <c r="B83" s="1015"/>
      <c r="C83" s="1114" t="s">
        <v>3432</v>
      </c>
      <c r="D83" s="1176"/>
      <c r="E83" s="1157"/>
      <c r="F83" s="1158"/>
    </row>
    <row r="84" spans="1:6" ht="15" customHeight="1">
      <c r="A84" s="1042"/>
      <c r="B84" s="1015"/>
      <c r="C84" s="1114" t="s">
        <v>3433</v>
      </c>
      <c r="D84" s="1176"/>
      <c r="E84" s="1157"/>
      <c r="F84" s="1158"/>
    </row>
    <row r="85" spans="1:6" ht="15" customHeight="1">
      <c r="A85" s="1030"/>
      <c r="B85" s="1015"/>
      <c r="C85" s="1114" t="s">
        <v>3434</v>
      </c>
      <c r="D85" s="1176"/>
      <c r="E85" s="1157"/>
      <c r="F85" s="1158"/>
    </row>
    <row r="86" spans="1:6" ht="15" customHeight="1">
      <c r="A86" s="1018"/>
      <c r="B86" s="1015"/>
      <c r="C86" s="1114" t="s">
        <v>3435</v>
      </c>
      <c r="D86" s="1176"/>
      <c r="E86" s="1157"/>
      <c r="F86" s="1158"/>
    </row>
    <row r="87" spans="1:6" ht="26.25" customHeight="1">
      <c r="A87" s="1018"/>
      <c r="B87" s="1015"/>
      <c r="C87" s="1137" t="s">
        <v>3436</v>
      </c>
      <c r="D87" s="1176"/>
      <c r="E87" s="1157"/>
      <c r="F87" s="1158"/>
    </row>
    <row r="88" spans="1:6" ht="15" customHeight="1">
      <c r="A88" s="1018"/>
      <c r="B88" s="1015"/>
      <c r="C88" s="1114" t="s">
        <v>3850</v>
      </c>
      <c r="D88" s="1176"/>
      <c r="E88" s="1157"/>
      <c r="F88" s="1158"/>
    </row>
    <row r="89" spans="1:6" ht="15" customHeight="1">
      <c r="A89" s="1043"/>
      <c r="B89" s="1017"/>
      <c r="C89" s="1114" t="s">
        <v>3851</v>
      </c>
      <c r="D89" s="1176"/>
      <c r="E89" s="1157"/>
      <c r="F89" s="1158"/>
    </row>
    <row r="90" spans="1:6" ht="15" customHeight="1">
      <c r="A90" s="1043"/>
      <c r="B90" s="1019"/>
      <c r="C90" s="1114" t="s">
        <v>624</v>
      </c>
      <c r="D90" s="1176"/>
      <c r="E90" s="1157"/>
      <c r="F90" s="1158"/>
    </row>
    <row r="91" spans="1:6" ht="15" customHeight="1">
      <c r="A91" s="1043"/>
      <c r="B91" s="1021"/>
      <c r="C91" s="1114" t="s">
        <v>625</v>
      </c>
      <c r="D91" s="1176"/>
      <c r="E91" s="1157"/>
      <c r="F91" s="1158"/>
    </row>
    <row r="92" spans="1:6" ht="15" customHeight="1">
      <c r="A92" s="1028"/>
      <c r="B92" s="1021"/>
      <c r="C92" s="1114" t="s">
        <v>3852</v>
      </c>
      <c r="D92" s="1176"/>
      <c r="E92" s="1157"/>
      <c r="F92" s="1158"/>
    </row>
    <row r="93" spans="1:6" ht="15" customHeight="1">
      <c r="A93" s="1022"/>
      <c r="B93" s="1019"/>
      <c r="C93" s="1111" t="s">
        <v>3853</v>
      </c>
      <c r="D93" s="1176"/>
      <c r="E93" s="1157"/>
      <c r="F93" s="1158"/>
    </row>
    <row r="94" spans="1:6" ht="15" customHeight="1">
      <c r="A94" s="1022"/>
      <c r="B94" s="1021"/>
      <c r="C94" s="1114" t="s">
        <v>628</v>
      </c>
      <c r="D94" s="1176"/>
      <c r="E94" s="1157"/>
      <c r="F94" s="1158"/>
    </row>
    <row r="95" spans="1:6" ht="15" customHeight="1">
      <c r="A95" s="1022"/>
      <c r="B95" s="1021"/>
      <c r="C95" s="1111" t="s">
        <v>3854</v>
      </c>
      <c r="D95" s="2654"/>
      <c r="E95" s="2655"/>
      <c r="F95" s="1158"/>
    </row>
    <row r="96" spans="1:6" ht="15" customHeight="1">
      <c r="A96" s="1022"/>
      <c r="B96" s="1044"/>
      <c r="C96" s="1113" t="s">
        <v>3855</v>
      </c>
      <c r="D96" s="1176"/>
      <c r="E96" s="1157"/>
      <c r="F96" s="1158"/>
    </row>
    <row r="97" spans="1:6" ht="15" customHeight="1">
      <c r="A97" s="1022"/>
      <c r="B97" s="1045"/>
      <c r="C97" s="1113" t="s">
        <v>3856</v>
      </c>
      <c r="D97" s="1176"/>
      <c r="E97" s="1157"/>
      <c r="F97" s="1158"/>
    </row>
    <row r="98" spans="1:6" ht="15" customHeight="1">
      <c r="A98" s="1029"/>
      <c r="B98" s="1021"/>
      <c r="C98" s="1113" t="s">
        <v>3857</v>
      </c>
      <c r="D98" s="1176"/>
      <c r="E98" s="1157"/>
      <c r="F98" s="1158"/>
    </row>
    <row r="99" spans="1:6" ht="15" customHeight="1">
      <c r="A99" s="1018"/>
      <c r="B99" s="1045"/>
      <c r="C99" s="1113" t="s">
        <v>3858</v>
      </c>
      <c r="D99" s="1176"/>
      <c r="E99" s="1157"/>
      <c r="F99" s="1158"/>
    </row>
    <row r="100" spans="1:6" ht="15" customHeight="1">
      <c r="A100" s="1018"/>
      <c r="B100" s="1021"/>
      <c r="C100" s="1113" t="s">
        <v>3447</v>
      </c>
      <c r="D100" s="1176"/>
      <c r="E100" s="1157"/>
      <c r="F100" s="1158"/>
    </row>
    <row r="101" spans="1:6" ht="15" customHeight="1">
      <c r="A101" s="1022"/>
      <c r="B101" s="1021"/>
      <c r="C101" s="1130" t="s">
        <v>729</v>
      </c>
      <c r="D101" s="1176"/>
      <c r="E101" s="1157"/>
      <c r="F101" s="1158"/>
    </row>
    <row r="102" spans="1:6" ht="15" customHeight="1">
      <c r="A102" s="1033"/>
      <c r="B102" s="1026"/>
      <c r="C102" s="1118" t="s">
        <v>3063</v>
      </c>
      <c r="D102" s="1176"/>
      <c r="E102" s="1157"/>
      <c r="F102" s="1158"/>
    </row>
    <row r="103" spans="1:6" ht="15" customHeight="1">
      <c r="A103" s="1024"/>
      <c r="B103" s="1027">
        <v>1</v>
      </c>
      <c r="C103" s="1113" t="s">
        <v>3859</v>
      </c>
      <c r="D103" s="1176"/>
      <c r="E103" s="1157"/>
      <c r="F103" s="1158"/>
    </row>
    <row r="104" spans="1:6" ht="15" customHeight="1">
      <c r="A104" s="1018"/>
      <c r="B104" s="1017"/>
      <c r="C104" s="1116" t="s">
        <v>729</v>
      </c>
      <c r="D104" s="1176"/>
      <c r="E104" s="1157"/>
      <c r="F104" s="1158"/>
    </row>
    <row r="105" spans="1:6" ht="15" customHeight="1">
      <c r="A105" s="1018"/>
      <c r="B105" s="1019">
        <v>2</v>
      </c>
      <c r="C105" s="1108" t="s">
        <v>3860</v>
      </c>
      <c r="D105" s="1176"/>
      <c r="E105" s="1157"/>
      <c r="F105" s="1158"/>
    </row>
    <row r="106" spans="1:6" ht="15" customHeight="1">
      <c r="A106" s="1018"/>
      <c r="B106" s="1021">
        <v>3</v>
      </c>
      <c r="C106" s="1132" t="s">
        <v>3461</v>
      </c>
      <c r="D106" s="1176"/>
      <c r="E106" s="1157"/>
      <c r="F106" s="1158"/>
    </row>
    <row r="107" spans="1:6" ht="15" customHeight="1">
      <c r="A107" s="1018"/>
      <c r="B107" s="1032">
        <v>1</v>
      </c>
      <c r="C107" s="1110" t="s">
        <v>3366</v>
      </c>
      <c r="D107" s="1176"/>
      <c r="E107" s="1157"/>
      <c r="F107" s="1158"/>
    </row>
    <row r="108" spans="1:6" ht="15" customHeight="1">
      <c r="A108" s="1018"/>
      <c r="B108" s="1021"/>
      <c r="C108" s="1116" t="s">
        <v>729</v>
      </c>
      <c r="D108" s="1176"/>
      <c r="E108" s="1157"/>
      <c r="F108" s="1158"/>
    </row>
    <row r="109" spans="1:6" ht="15" customHeight="1">
      <c r="A109" s="1029"/>
      <c r="B109" s="1019">
        <v>1</v>
      </c>
      <c r="C109" s="1108" t="s">
        <v>3356</v>
      </c>
      <c r="D109" s="1176"/>
      <c r="E109" s="1157"/>
      <c r="F109" s="1158"/>
    </row>
    <row r="110" spans="1:6" ht="15" customHeight="1">
      <c r="A110" s="1030"/>
      <c r="B110" s="1032">
        <v>1</v>
      </c>
      <c r="C110" s="1110" t="s">
        <v>3357</v>
      </c>
      <c r="D110" s="1176"/>
      <c r="E110" s="1157"/>
      <c r="F110" s="1158"/>
    </row>
    <row r="111" spans="1:6" ht="15" customHeight="1">
      <c r="A111" s="1030"/>
      <c r="B111" s="1032">
        <v>1</v>
      </c>
      <c r="C111" s="1110" t="s">
        <v>3358</v>
      </c>
      <c r="D111" s="1176"/>
      <c r="E111" s="1157"/>
      <c r="F111" s="1158"/>
    </row>
    <row r="112" spans="1:6" ht="15" customHeight="1">
      <c r="A112" s="1030"/>
      <c r="B112" s="1032">
        <v>1</v>
      </c>
      <c r="C112" s="1110" t="s">
        <v>3359</v>
      </c>
      <c r="D112" s="1176"/>
      <c r="E112" s="1157"/>
      <c r="F112" s="1158"/>
    </row>
    <row r="113" spans="1:6" ht="15" customHeight="1">
      <c r="A113" s="1030"/>
      <c r="B113" s="1032">
        <v>1</v>
      </c>
      <c r="C113" s="1110" t="s">
        <v>3360</v>
      </c>
      <c r="D113" s="1176"/>
      <c r="E113" s="1157"/>
      <c r="F113" s="1158"/>
    </row>
    <row r="114" spans="1:6" ht="15" customHeight="1">
      <c r="A114" s="1030"/>
      <c r="B114" s="1032">
        <v>1</v>
      </c>
      <c r="C114" s="1110" t="s">
        <v>3361</v>
      </c>
      <c r="D114" s="1176"/>
      <c r="E114" s="1157"/>
      <c r="F114" s="1158"/>
    </row>
    <row r="115" spans="1:6" ht="15" customHeight="1">
      <c r="A115" s="1018"/>
      <c r="B115" s="1017"/>
      <c r="C115" s="1116" t="s">
        <v>729</v>
      </c>
      <c r="D115" s="1176"/>
      <c r="E115" s="1157"/>
      <c r="F115" s="1158"/>
    </row>
    <row r="116" spans="1:6" ht="15" customHeight="1">
      <c r="A116" s="1024"/>
      <c r="B116" s="1017">
        <v>1</v>
      </c>
      <c r="C116" s="1115" t="s">
        <v>316</v>
      </c>
      <c r="D116" s="1176"/>
      <c r="E116" s="1157"/>
      <c r="F116" s="1158"/>
    </row>
    <row r="117" spans="1:6" ht="15" customHeight="1">
      <c r="A117" s="1024"/>
      <c r="B117" s="1017">
        <v>1</v>
      </c>
      <c r="C117" s="1115" t="s">
        <v>2908</v>
      </c>
      <c r="D117" s="1176"/>
      <c r="E117" s="1157"/>
      <c r="F117" s="1158"/>
    </row>
    <row r="118" spans="1:6" ht="15" customHeight="1" thickBot="1">
      <c r="A118" s="1046"/>
      <c r="B118" s="1035">
        <v>1</v>
      </c>
      <c r="C118" s="1134" t="s">
        <v>3861</v>
      </c>
      <c r="D118" s="1159"/>
      <c r="E118" s="1160"/>
      <c r="F118" s="1161"/>
    </row>
    <row r="119" spans="1:6" ht="15" customHeight="1">
      <c r="A119" s="1047"/>
      <c r="B119" s="1048"/>
      <c r="C119" s="1116"/>
      <c r="D119" s="1176"/>
      <c r="E119" s="1157"/>
      <c r="F119" s="1158"/>
    </row>
    <row r="120" spans="1:6" ht="15" customHeight="1">
      <c r="A120" s="1038">
        <v>3</v>
      </c>
      <c r="B120" s="1012">
        <v>1</v>
      </c>
      <c r="C120" s="1109" t="s">
        <v>3862</v>
      </c>
      <c r="D120" s="1150">
        <v>39648</v>
      </c>
      <c r="E120" s="1149"/>
      <c r="F120" s="1162">
        <f>+B120*D120</f>
        <v>39648</v>
      </c>
    </row>
    <row r="121" spans="1:6" ht="15" customHeight="1">
      <c r="A121" s="1014" t="s">
        <v>3162</v>
      </c>
      <c r="B121" s="1015"/>
      <c r="C121" s="1109"/>
      <c r="D121" s="1176"/>
      <c r="E121" s="1157"/>
      <c r="F121" s="1158"/>
    </row>
    <row r="122" spans="1:6" ht="15" customHeight="1">
      <c r="A122" s="1014" t="s">
        <v>3837</v>
      </c>
      <c r="B122" s="1017"/>
      <c r="C122" s="1108" t="s">
        <v>3158</v>
      </c>
      <c r="D122" s="1176"/>
      <c r="E122" s="1157"/>
      <c r="F122" s="1158"/>
    </row>
    <row r="123" spans="1:6" ht="15" customHeight="1">
      <c r="A123" s="1014"/>
      <c r="B123" s="1017"/>
      <c r="C123" s="1115" t="s">
        <v>3863</v>
      </c>
      <c r="D123" s="1176"/>
      <c r="E123" s="1157"/>
      <c r="F123" s="1158"/>
    </row>
    <row r="124" spans="1:6" ht="15" customHeight="1">
      <c r="A124" s="1018"/>
      <c r="B124" s="1026"/>
      <c r="C124" s="1118" t="s">
        <v>3864</v>
      </c>
      <c r="D124" s="1176"/>
      <c r="E124" s="1157"/>
      <c r="F124" s="1158"/>
    </row>
    <row r="125" spans="1:6" ht="15" customHeight="1">
      <c r="A125" s="1020" t="s">
        <v>3839</v>
      </c>
      <c r="B125" s="1017">
        <v>1</v>
      </c>
      <c r="C125" s="2653" t="s">
        <v>2328</v>
      </c>
      <c r="D125" s="1176"/>
      <c r="E125" s="1157"/>
      <c r="F125" s="1158"/>
    </row>
    <row r="126" spans="1:6" ht="15" customHeight="1">
      <c r="A126" s="1020"/>
      <c r="B126" s="1017"/>
      <c r="C126" s="2653"/>
      <c r="D126" s="1176"/>
      <c r="E126" s="1157"/>
      <c r="F126" s="1158"/>
    </row>
    <row r="127" spans="1:6" ht="15" customHeight="1">
      <c r="A127" s="1022"/>
      <c r="B127" s="1017"/>
      <c r="C127" s="1116" t="s">
        <v>729</v>
      </c>
      <c r="D127" s="1176"/>
      <c r="E127" s="1157"/>
      <c r="F127" s="1158"/>
    </row>
    <row r="128" spans="1:6" ht="15" customHeight="1">
      <c r="A128" s="1023"/>
      <c r="B128" s="1026"/>
      <c r="C128" s="1118" t="s">
        <v>3063</v>
      </c>
      <c r="D128" s="1176"/>
      <c r="E128" s="1157"/>
      <c r="F128" s="1158"/>
    </row>
    <row r="129" spans="1:6" ht="15" customHeight="1">
      <c r="A129" s="1024" t="s">
        <v>3190</v>
      </c>
      <c r="B129" s="1027">
        <v>1</v>
      </c>
      <c r="C129" s="1113" t="s">
        <v>3554</v>
      </c>
      <c r="D129" s="1176"/>
      <c r="E129" s="1157"/>
      <c r="F129" s="1158"/>
    </row>
    <row r="130" spans="1:6" ht="15" customHeight="1">
      <c r="A130" s="1025" t="s">
        <v>3314</v>
      </c>
      <c r="B130" s="1017"/>
      <c r="C130" s="1130"/>
      <c r="D130" s="1176"/>
      <c r="E130" s="1157"/>
      <c r="F130" s="1158"/>
    </row>
    <row r="131" spans="1:6" ht="15" customHeight="1">
      <c r="A131" s="1025" t="s">
        <v>3315</v>
      </c>
      <c r="B131" s="1017"/>
      <c r="C131" s="1116" t="s">
        <v>729</v>
      </c>
      <c r="D131" s="1176"/>
      <c r="E131" s="1157"/>
      <c r="F131" s="1158"/>
    </row>
    <row r="132" spans="1:6" ht="15" customHeight="1">
      <c r="A132" s="1025"/>
      <c r="B132" s="1031">
        <v>1</v>
      </c>
      <c r="C132" s="1131" t="s">
        <v>3865</v>
      </c>
      <c r="D132" s="1176"/>
      <c r="E132" s="1157"/>
      <c r="F132" s="1158"/>
    </row>
    <row r="133" spans="1:6" ht="15" customHeight="1">
      <c r="A133" s="1025"/>
      <c r="B133" s="1032">
        <v>1</v>
      </c>
      <c r="C133" s="1110" t="s">
        <v>3378</v>
      </c>
      <c r="D133" s="1176"/>
      <c r="E133" s="1157"/>
      <c r="F133" s="1158"/>
    </row>
    <row r="134" spans="1:6" ht="15" customHeight="1">
      <c r="A134" s="1014"/>
      <c r="B134" s="1021">
        <v>1</v>
      </c>
      <c r="C134" s="1132" t="s">
        <v>1236</v>
      </c>
      <c r="D134" s="1176"/>
      <c r="E134" s="1157"/>
      <c r="F134" s="1158"/>
    </row>
    <row r="135" spans="1:6" ht="15" customHeight="1">
      <c r="A135" s="1014"/>
      <c r="B135" s="1021">
        <v>1</v>
      </c>
      <c r="C135" s="1132" t="s">
        <v>1237</v>
      </c>
      <c r="D135" s="1176"/>
      <c r="E135" s="1157"/>
      <c r="F135" s="1158"/>
    </row>
    <row r="136" spans="1:6" ht="15" customHeight="1">
      <c r="A136" s="1014"/>
      <c r="B136" s="1021">
        <v>1</v>
      </c>
      <c r="C136" s="1132" t="s">
        <v>1239</v>
      </c>
      <c r="D136" s="1176"/>
      <c r="E136" s="1157"/>
      <c r="F136" s="1158"/>
    </row>
    <row r="137" spans="1:6" ht="15" customHeight="1">
      <c r="A137" s="1014"/>
      <c r="B137" s="1021">
        <v>1</v>
      </c>
      <c r="C137" s="1132" t="s">
        <v>2749</v>
      </c>
      <c r="D137" s="1176"/>
      <c r="E137" s="1157"/>
      <c r="F137" s="1158"/>
    </row>
    <row r="138" spans="1:6" ht="15" customHeight="1">
      <c r="A138" s="1014"/>
      <c r="B138" s="1021">
        <v>2</v>
      </c>
      <c r="C138" s="1132" t="s">
        <v>1850</v>
      </c>
      <c r="D138" s="1176"/>
      <c r="E138" s="1157"/>
      <c r="F138" s="1158"/>
    </row>
    <row r="139" spans="1:6" ht="15" customHeight="1">
      <c r="A139" s="1030"/>
      <c r="B139" s="1032">
        <v>1</v>
      </c>
      <c r="C139" s="1110" t="s">
        <v>3379</v>
      </c>
      <c r="D139" s="1176"/>
      <c r="E139" s="1157"/>
      <c r="F139" s="1158"/>
    </row>
    <row r="140" spans="1:6" ht="15" customHeight="1">
      <c r="A140" s="1033"/>
      <c r="B140" s="1017"/>
      <c r="C140" s="1116" t="s">
        <v>729</v>
      </c>
      <c r="D140" s="1176"/>
      <c r="E140" s="1157"/>
      <c r="F140" s="1158"/>
    </row>
    <row r="141" spans="1:6" ht="15" customHeight="1">
      <c r="A141" s="1029"/>
      <c r="B141" s="1019">
        <v>1</v>
      </c>
      <c r="C141" s="1109" t="s">
        <v>3866</v>
      </c>
      <c r="D141" s="1176"/>
      <c r="E141" s="1157"/>
      <c r="F141" s="1158"/>
    </row>
    <row r="142" spans="1:6" ht="26.4">
      <c r="A142" s="1030"/>
      <c r="B142" s="1032">
        <v>1</v>
      </c>
      <c r="C142" s="1133" t="s">
        <v>2525</v>
      </c>
      <c r="D142" s="1176"/>
      <c r="E142" s="1157"/>
      <c r="F142" s="1158"/>
    </row>
    <row r="143" spans="1:6" ht="15" customHeight="1">
      <c r="A143" s="1030"/>
      <c r="B143" s="1032">
        <v>3</v>
      </c>
      <c r="C143" s="1110" t="s">
        <v>422</v>
      </c>
      <c r="D143" s="1176"/>
      <c r="E143" s="1157"/>
      <c r="F143" s="1158"/>
    </row>
    <row r="144" spans="1:6" ht="15" customHeight="1">
      <c r="A144" s="1030"/>
      <c r="B144" s="1032">
        <v>1</v>
      </c>
      <c r="C144" s="1110" t="s">
        <v>3159</v>
      </c>
      <c r="D144" s="1176"/>
      <c r="E144" s="1157"/>
      <c r="F144" s="1158"/>
    </row>
    <row r="145" spans="1:6" ht="15" customHeight="1">
      <c r="A145" s="1030"/>
      <c r="B145" s="1032">
        <v>1</v>
      </c>
      <c r="C145" s="1110" t="s">
        <v>3160</v>
      </c>
      <c r="D145" s="1176"/>
      <c r="E145" s="1157"/>
      <c r="F145" s="1158"/>
    </row>
    <row r="146" spans="1:6" ht="15" customHeight="1">
      <c r="A146" s="1018"/>
      <c r="B146" s="1017"/>
      <c r="C146" s="1116" t="s">
        <v>729</v>
      </c>
      <c r="D146" s="1176"/>
      <c r="E146" s="1157"/>
      <c r="F146" s="1158"/>
    </row>
    <row r="147" spans="1:6" ht="15" customHeight="1">
      <c r="A147" s="1029"/>
      <c r="B147" s="1019">
        <v>1</v>
      </c>
      <c r="C147" s="1108" t="s">
        <v>3356</v>
      </c>
      <c r="D147" s="1176"/>
      <c r="E147" s="1157"/>
      <c r="F147" s="1158"/>
    </row>
    <row r="148" spans="1:6" ht="15" customHeight="1">
      <c r="A148" s="1030"/>
      <c r="B148" s="1032">
        <v>1</v>
      </c>
      <c r="C148" s="1110" t="s">
        <v>3357</v>
      </c>
      <c r="D148" s="1176"/>
      <c r="E148" s="1157"/>
      <c r="F148" s="1158"/>
    </row>
    <row r="149" spans="1:6" ht="15" customHeight="1">
      <c r="A149" s="1030"/>
      <c r="B149" s="1032">
        <v>1</v>
      </c>
      <c r="C149" s="1110" t="s">
        <v>3358</v>
      </c>
      <c r="D149" s="1176"/>
      <c r="E149" s="1157"/>
      <c r="F149" s="1158"/>
    </row>
    <row r="150" spans="1:6" ht="15" customHeight="1">
      <c r="A150" s="1030"/>
      <c r="B150" s="1032">
        <v>1</v>
      </c>
      <c r="C150" s="1110" t="s">
        <v>3359</v>
      </c>
      <c r="D150" s="1176"/>
      <c r="E150" s="1157"/>
      <c r="F150" s="1158"/>
    </row>
    <row r="151" spans="1:6" ht="15" customHeight="1">
      <c r="A151" s="1030"/>
      <c r="B151" s="1032">
        <v>1</v>
      </c>
      <c r="C151" s="1110" t="s">
        <v>3360</v>
      </c>
      <c r="D151" s="1176"/>
      <c r="E151" s="1157"/>
      <c r="F151" s="1158"/>
    </row>
    <row r="152" spans="1:6" ht="15" customHeight="1">
      <c r="A152" s="1030"/>
      <c r="B152" s="1032">
        <v>1</v>
      </c>
      <c r="C152" s="1110" t="s">
        <v>3361</v>
      </c>
      <c r="D152" s="1176"/>
      <c r="E152" s="1157"/>
      <c r="F152" s="1158"/>
    </row>
    <row r="153" spans="1:6" ht="15" customHeight="1">
      <c r="A153" s="1018"/>
      <c r="B153" s="1017"/>
      <c r="C153" s="1116" t="s">
        <v>729</v>
      </c>
      <c r="D153" s="1176"/>
      <c r="E153" s="1157"/>
      <c r="F153" s="1158"/>
    </row>
    <row r="154" spans="1:6" ht="15" customHeight="1">
      <c r="A154" s="1024"/>
      <c r="B154" s="1017">
        <v>1</v>
      </c>
      <c r="C154" s="1115" t="s">
        <v>316</v>
      </c>
      <c r="D154" s="1176"/>
      <c r="E154" s="1157"/>
      <c r="F154" s="1158"/>
    </row>
    <row r="155" spans="1:6" ht="15" customHeight="1">
      <c r="A155" s="1024"/>
      <c r="B155" s="1017">
        <v>1</v>
      </c>
      <c r="C155" s="1115" t="s">
        <v>2908</v>
      </c>
      <c r="D155" s="1176"/>
      <c r="E155" s="1157"/>
      <c r="F155" s="1158"/>
    </row>
    <row r="156" spans="1:6" ht="15" customHeight="1" thickBot="1">
      <c r="A156" s="1046"/>
      <c r="B156" s="1035">
        <v>1</v>
      </c>
      <c r="C156" s="1134" t="s">
        <v>3867</v>
      </c>
      <c r="D156" s="1159"/>
      <c r="E156" s="1160"/>
      <c r="F156" s="1161"/>
    </row>
    <row r="157" spans="1:6" ht="15" customHeight="1">
      <c r="A157" s="1049"/>
      <c r="B157" s="1017"/>
      <c r="C157" s="1112"/>
      <c r="D157" s="1176"/>
      <c r="E157" s="1157"/>
      <c r="F157" s="1158"/>
    </row>
    <row r="158" spans="1:6" ht="15" customHeight="1">
      <c r="A158" s="1038">
        <v>4</v>
      </c>
      <c r="B158" s="1012">
        <v>1</v>
      </c>
      <c r="C158" s="1109" t="s">
        <v>3868</v>
      </c>
      <c r="D158" s="1150">
        <v>45027</v>
      </c>
      <c r="E158" s="1149"/>
      <c r="F158" s="1162">
        <f>+B158*D158</f>
        <v>45027</v>
      </c>
    </row>
    <row r="159" spans="1:6" ht="15" customHeight="1">
      <c r="A159" s="1014" t="s">
        <v>3162</v>
      </c>
      <c r="B159" s="1015"/>
      <c r="C159" s="1109"/>
      <c r="D159" s="1176"/>
      <c r="E159" s="1157"/>
      <c r="F159" s="1158"/>
    </row>
    <row r="160" spans="1:6" ht="15" customHeight="1">
      <c r="A160" s="1014" t="s">
        <v>3400</v>
      </c>
      <c r="B160" s="1017"/>
      <c r="C160" s="1108" t="s">
        <v>3158</v>
      </c>
      <c r="D160" s="1176"/>
      <c r="E160" s="1157"/>
      <c r="F160" s="1158"/>
    </row>
    <row r="161" spans="1:6" ht="15" customHeight="1">
      <c r="A161" s="1014"/>
      <c r="B161" s="1017">
        <v>1</v>
      </c>
      <c r="C161" s="2653" t="s">
        <v>2894</v>
      </c>
      <c r="D161" s="1176"/>
      <c r="E161" s="1157"/>
      <c r="F161" s="1158"/>
    </row>
    <row r="162" spans="1:6" ht="15" customHeight="1">
      <c r="A162" s="1014"/>
      <c r="B162" s="1017"/>
      <c r="C162" s="2653"/>
      <c r="D162" s="1176"/>
      <c r="E162" s="1157"/>
      <c r="F162" s="1158"/>
    </row>
    <row r="163" spans="1:6" ht="15" customHeight="1">
      <c r="A163" s="1018"/>
      <c r="B163" s="1026"/>
      <c r="C163" s="1118" t="s">
        <v>3377</v>
      </c>
      <c r="D163" s="1176"/>
      <c r="E163" s="1157"/>
      <c r="F163" s="1158"/>
    </row>
    <row r="164" spans="1:6" ht="15" customHeight="1">
      <c r="A164" s="1020" t="s">
        <v>3839</v>
      </c>
      <c r="B164" s="1017">
        <v>1</v>
      </c>
      <c r="C164" s="2653" t="s">
        <v>3071</v>
      </c>
      <c r="D164" s="1176"/>
      <c r="E164" s="1157"/>
      <c r="F164" s="1158"/>
    </row>
    <row r="165" spans="1:6" ht="15" customHeight="1">
      <c r="A165" s="1020"/>
      <c r="B165" s="1017"/>
      <c r="C165" s="2653"/>
      <c r="D165" s="1176"/>
      <c r="E165" s="1157"/>
      <c r="F165" s="1158"/>
    </row>
    <row r="166" spans="1:6" ht="15" customHeight="1">
      <c r="A166" s="1022"/>
      <c r="B166" s="1017">
        <v>1</v>
      </c>
      <c r="C166" s="2653" t="s">
        <v>3071</v>
      </c>
      <c r="D166" s="1176"/>
      <c r="E166" s="1157"/>
      <c r="F166" s="1158"/>
    </row>
    <row r="167" spans="1:6" ht="15" customHeight="1">
      <c r="A167" s="1022"/>
      <c r="B167" s="1017"/>
      <c r="C167" s="2653"/>
      <c r="D167" s="1176"/>
      <c r="E167" s="1157"/>
      <c r="F167" s="1158"/>
    </row>
    <row r="168" spans="1:6" ht="15" customHeight="1">
      <c r="A168" s="1023"/>
      <c r="B168" s="1017">
        <v>1</v>
      </c>
      <c r="C168" s="2653" t="s">
        <v>3717</v>
      </c>
      <c r="D168" s="1176"/>
      <c r="E168" s="1157"/>
      <c r="F168" s="1158"/>
    </row>
    <row r="169" spans="1:6" ht="15" customHeight="1">
      <c r="A169" s="1023"/>
      <c r="B169" s="1017"/>
      <c r="C169" s="2653"/>
      <c r="D169" s="1176"/>
      <c r="E169" s="1157"/>
      <c r="F169" s="1158"/>
    </row>
    <row r="170" spans="1:6" ht="15" customHeight="1">
      <c r="A170" s="1024" t="s">
        <v>3190</v>
      </c>
      <c r="B170" s="1017">
        <v>1</v>
      </c>
      <c r="C170" s="2653" t="s">
        <v>3718</v>
      </c>
      <c r="D170" s="1176"/>
      <c r="E170" s="1157"/>
      <c r="F170" s="1158"/>
    </row>
    <row r="171" spans="1:6" ht="15" customHeight="1">
      <c r="A171" s="1024"/>
      <c r="B171" s="1017"/>
      <c r="C171" s="2653"/>
      <c r="D171" s="1176"/>
      <c r="E171" s="1157"/>
      <c r="F171" s="1158"/>
    </row>
    <row r="172" spans="1:6" ht="15" customHeight="1">
      <c r="A172" s="1025" t="s">
        <v>3314</v>
      </c>
      <c r="B172" s="1026"/>
      <c r="C172" s="1118" t="s">
        <v>2654</v>
      </c>
      <c r="D172" s="1176"/>
      <c r="E172" s="1157"/>
      <c r="F172" s="1158"/>
    </row>
    <row r="173" spans="1:6" ht="15" customHeight="1">
      <c r="A173" s="1025" t="s">
        <v>3315</v>
      </c>
      <c r="B173" s="1017">
        <v>1</v>
      </c>
      <c r="C173" s="2653" t="s">
        <v>3097</v>
      </c>
      <c r="D173" s="1176"/>
      <c r="E173" s="1157"/>
      <c r="F173" s="1158"/>
    </row>
    <row r="174" spans="1:6" ht="15" customHeight="1">
      <c r="A174" s="1025"/>
      <c r="B174" s="1017"/>
      <c r="C174" s="2653"/>
      <c r="D174" s="1176"/>
      <c r="E174" s="1157"/>
      <c r="F174" s="1158"/>
    </row>
    <row r="175" spans="1:6" ht="15" customHeight="1">
      <c r="A175" s="1025"/>
      <c r="B175" s="1017">
        <v>1</v>
      </c>
      <c r="C175" s="2653" t="s">
        <v>3710</v>
      </c>
      <c r="D175" s="1176"/>
      <c r="E175" s="1157"/>
      <c r="F175" s="1158"/>
    </row>
    <row r="176" spans="1:6" ht="15" customHeight="1">
      <c r="A176" s="1025"/>
      <c r="B176" s="1017"/>
      <c r="C176" s="2653"/>
      <c r="D176" s="1176"/>
      <c r="E176" s="1157"/>
      <c r="F176" s="1158"/>
    </row>
    <row r="177" spans="1:6" ht="15" customHeight="1">
      <c r="A177" s="1025"/>
      <c r="B177" s="1017">
        <v>1</v>
      </c>
      <c r="C177" s="2653" t="s">
        <v>3700</v>
      </c>
      <c r="D177" s="1176"/>
      <c r="E177" s="1157"/>
      <c r="F177" s="1158"/>
    </row>
    <row r="178" spans="1:6" ht="15" customHeight="1">
      <c r="A178" s="1025"/>
      <c r="B178" s="1017"/>
      <c r="C178" s="2653"/>
      <c r="D178" s="1176"/>
      <c r="E178" s="1157"/>
      <c r="F178" s="1158"/>
    </row>
    <row r="179" spans="1:6" ht="15" customHeight="1">
      <c r="A179" s="1024" t="s">
        <v>3819</v>
      </c>
      <c r="B179" s="1017">
        <v>2</v>
      </c>
      <c r="C179" s="1112" t="s">
        <v>2935</v>
      </c>
      <c r="D179" s="1176"/>
      <c r="E179" s="1157"/>
      <c r="F179" s="1158"/>
    </row>
    <row r="180" spans="1:6" ht="15" customHeight="1">
      <c r="A180" s="1024"/>
      <c r="B180" s="1026"/>
      <c r="C180" s="1118" t="s">
        <v>3063</v>
      </c>
      <c r="D180" s="1176"/>
      <c r="E180" s="1157"/>
      <c r="F180" s="1158"/>
    </row>
    <row r="181" spans="1:6" ht="15" customHeight="1">
      <c r="A181" s="1024"/>
      <c r="B181" s="1027">
        <v>1</v>
      </c>
      <c r="C181" s="1113" t="s">
        <v>3859</v>
      </c>
      <c r="D181" s="1176"/>
      <c r="E181" s="1157"/>
      <c r="F181" s="1158"/>
    </row>
    <row r="182" spans="1:6" ht="15" customHeight="1">
      <c r="A182" s="1033"/>
      <c r="B182" s="1017"/>
      <c r="C182" s="1116" t="s">
        <v>729</v>
      </c>
      <c r="D182" s="1176"/>
      <c r="E182" s="1157"/>
      <c r="F182" s="1158"/>
    </row>
    <row r="183" spans="1:6" ht="15" customHeight="1">
      <c r="A183" s="1025"/>
      <c r="B183" s="1031">
        <v>1</v>
      </c>
      <c r="C183" s="1131" t="s">
        <v>3869</v>
      </c>
      <c r="D183" s="1176"/>
      <c r="E183" s="1157"/>
      <c r="F183" s="1158"/>
    </row>
    <row r="184" spans="1:6" ht="15" customHeight="1">
      <c r="A184" s="1025"/>
      <c r="B184" s="1032">
        <v>1</v>
      </c>
      <c r="C184" s="1110" t="s">
        <v>3378</v>
      </c>
      <c r="D184" s="1176"/>
      <c r="E184" s="1157"/>
      <c r="F184" s="1158"/>
    </row>
    <row r="185" spans="1:6" ht="15" customHeight="1">
      <c r="A185" s="1014"/>
      <c r="B185" s="1021">
        <v>1</v>
      </c>
      <c r="C185" s="1132" t="s">
        <v>2300</v>
      </c>
      <c r="D185" s="1176"/>
      <c r="E185" s="1157"/>
      <c r="F185" s="1158"/>
    </row>
    <row r="186" spans="1:6" ht="15" customHeight="1">
      <c r="A186" s="1014"/>
      <c r="B186" s="1021">
        <v>1</v>
      </c>
      <c r="C186" s="1132" t="s">
        <v>2301</v>
      </c>
      <c r="D186" s="1176"/>
      <c r="E186" s="1157"/>
      <c r="F186" s="1158"/>
    </row>
    <row r="187" spans="1:6" ht="15" customHeight="1">
      <c r="A187" s="1014"/>
      <c r="B187" s="1021">
        <v>1</v>
      </c>
      <c r="C187" s="1132" t="s">
        <v>2302</v>
      </c>
      <c r="D187" s="1176"/>
      <c r="E187" s="1157"/>
      <c r="F187" s="1158"/>
    </row>
    <row r="188" spans="1:6" ht="15" customHeight="1">
      <c r="A188" s="1014"/>
      <c r="B188" s="1021">
        <v>1</v>
      </c>
      <c r="C188" s="2656" t="s">
        <v>2305</v>
      </c>
      <c r="D188" s="1176"/>
      <c r="E188" s="1157"/>
      <c r="F188" s="1158"/>
    </row>
    <row r="189" spans="1:6" ht="15" customHeight="1">
      <c r="A189" s="1014"/>
      <c r="B189" s="1021"/>
      <c r="C189" s="2656"/>
      <c r="D189" s="1176"/>
      <c r="E189" s="1157"/>
      <c r="F189" s="1158"/>
    </row>
    <row r="190" spans="1:6" ht="15" customHeight="1">
      <c r="A190" s="1014"/>
      <c r="B190" s="1021">
        <v>2</v>
      </c>
      <c r="C190" s="1132" t="s">
        <v>1850</v>
      </c>
      <c r="D190" s="1176"/>
      <c r="E190" s="1157"/>
      <c r="F190" s="1158"/>
    </row>
    <row r="191" spans="1:6" ht="15" customHeight="1">
      <c r="A191" s="1030"/>
      <c r="B191" s="1032">
        <v>1</v>
      </c>
      <c r="C191" s="1110" t="s">
        <v>3379</v>
      </c>
      <c r="D191" s="1176"/>
      <c r="E191" s="1157"/>
      <c r="F191" s="1158"/>
    </row>
    <row r="192" spans="1:6" ht="15" customHeight="1">
      <c r="A192" s="1033"/>
      <c r="B192" s="1017"/>
      <c r="C192" s="1116" t="s">
        <v>729</v>
      </c>
      <c r="D192" s="1176"/>
      <c r="E192" s="1157"/>
      <c r="F192" s="1158"/>
    </row>
    <row r="193" spans="1:6" ht="15" customHeight="1">
      <c r="A193" s="1042"/>
      <c r="B193" s="1031">
        <v>4</v>
      </c>
      <c r="C193" s="1108" t="s">
        <v>3452</v>
      </c>
      <c r="D193" s="1176"/>
      <c r="E193" s="1157"/>
      <c r="F193" s="1158"/>
    </row>
    <row r="194" spans="1:6" ht="26.4">
      <c r="A194" s="1022"/>
      <c r="B194" s="1021">
        <v>1</v>
      </c>
      <c r="C194" s="1138" t="s">
        <v>2303</v>
      </c>
      <c r="D194" s="1176"/>
      <c r="E194" s="1157"/>
      <c r="F194" s="1158"/>
    </row>
    <row r="195" spans="1:6" ht="15" customHeight="1">
      <c r="A195" s="1022"/>
      <c r="B195" s="1021"/>
      <c r="C195" s="1116"/>
      <c r="D195" s="1176"/>
      <c r="E195" s="1157"/>
      <c r="F195" s="1158"/>
    </row>
    <row r="196" spans="1:6" ht="15" customHeight="1">
      <c r="A196" s="1030"/>
      <c r="B196" s="1032">
        <v>1</v>
      </c>
      <c r="C196" s="1110" t="s">
        <v>3453</v>
      </c>
      <c r="D196" s="1176"/>
      <c r="E196" s="1157"/>
      <c r="F196" s="1158"/>
    </row>
    <row r="197" spans="1:6" ht="15" customHeight="1">
      <c r="A197" s="1018"/>
      <c r="B197" s="1017"/>
      <c r="C197" s="1116" t="s">
        <v>729</v>
      </c>
      <c r="D197" s="1176"/>
      <c r="E197" s="1157"/>
      <c r="F197" s="1158"/>
    </row>
    <row r="198" spans="1:6" ht="15" customHeight="1">
      <c r="A198" s="1042"/>
      <c r="B198" s="1031">
        <v>3</v>
      </c>
      <c r="C198" s="1108" t="s">
        <v>3451</v>
      </c>
      <c r="D198" s="1176"/>
      <c r="E198" s="1157"/>
      <c r="F198" s="1158"/>
    </row>
    <row r="199" spans="1:6" ht="15" customHeight="1">
      <c r="A199" s="1022"/>
      <c r="B199" s="1021">
        <v>2</v>
      </c>
      <c r="C199" s="2656" t="s">
        <v>3241</v>
      </c>
      <c r="D199" s="1176"/>
      <c r="E199" s="1157"/>
      <c r="F199" s="1158"/>
    </row>
    <row r="200" spans="1:6" ht="15" customHeight="1">
      <c r="A200" s="1022"/>
      <c r="B200" s="1021"/>
      <c r="C200" s="2656"/>
      <c r="D200" s="1176"/>
      <c r="E200" s="1157"/>
      <c r="F200" s="1158"/>
    </row>
    <row r="201" spans="1:6" ht="15" customHeight="1">
      <c r="A201" s="1030"/>
      <c r="B201" s="1032">
        <v>1</v>
      </c>
      <c r="C201" s="1110" t="s">
        <v>3453</v>
      </c>
      <c r="D201" s="1176"/>
      <c r="E201" s="1157"/>
      <c r="F201" s="1158"/>
    </row>
    <row r="202" spans="1:6" ht="15" customHeight="1">
      <c r="A202" s="1018"/>
      <c r="B202" s="1017"/>
      <c r="C202" s="1116" t="s">
        <v>729</v>
      </c>
      <c r="D202" s="1176"/>
      <c r="E202" s="1157"/>
      <c r="F202" s="1158"/>
    </row>
    <row r="203" spans="1:6" ht="15" customHeight="1">
      <c r="A203" s="1042"/>
      <c r="B203" s="1019">
        <v>1</v>
      </c>
      <c r="C203" s="1108" t="s">
        <v>3870</v>
      </c>
      <c r="D203" s="1176"/>
      <c r="E203" s="1157"/>
      <c r="F203" s="1158"/>
    </row>
    <row r="204" spans="1:6" ht="15" customHeight="1">
      <c r="A204" s="1022"/>
      <c r="B204" s="1021">
        <v>1</v>
      </c>
      <c r="C204" s="2656" t="s">
        <v>2525</v>
      </c>
      <c r="D204" s="1176"/>
      <c r="E204" s="1157"/>
      <c r="F204" s="1158"/>
    </row>
    <row r="205" spans="1:6" ht="15" customHeight="1">
      <c r="A205" s="1022"/>
      <c r="B205" s="1021"/>
      <c r="C205" s="2656"/>
      <c r="D205" s="1176"/>
      <c r="E205" s="1157"/>
      <c r="F205" s="1158"/>
    </row>
    <row r="206" spans="1:6" ht="15" customHeight="1">
      <c r="A206" s="1033"/>
      <c r="B206" s="1021">
        <v>3</v>
      </c>
      <c r="C206" s="1132" t="s">
        <v>423</v>
      </c>
      <c r="D206" s="1176"/>
      <c r="E206" s="1157"/>
      <c r="F206" s="1158"/>
    </row>
    <row r="207" spans="1:6" ht="15" customHeight="1">
      <c r="A207" s="1030"/>
      <c r="B207" s="1032">
        <v>1</v>
      </c>
      <c r="C207" s="1110" t="s">
        <v>3159</v>
      </c>
      <c r="D207" s="1176"/>
      <c r="E207" s="1157"/>
      <c r="F207" s="1158"/>
    </row>
    <row r="208" spans="1:6" ht="15" customHeight="1">
      <c r="A208" s="1030"/>
      <c r="B208" s="1032">
        <v>1</v>
      </c>
      <c r="C208" s="1110" t="s">
        <v>3160</v>
      </c>
      <c r="D208" s="1176"/>
      <c r="E208" s="1157"/>
      <c r="F208" s="1158"/>
    </row>
    <row r="209" spans="1:6" ht="15" customHeight="1">
      <c r="A209" s="1018"/>
      <c r="B209" s="1017"/>
      <c r="C209" s="1116" t="s">
        <v>729</v>
      </c>
      <c r="D209" s="1176"/>
      <c r="E209" s="1157"/>
      <c r="F209" s="1158"/>
    </row>
    <row r="210" spans="1:6" ht="15" customHeight="1">
      <c r="A210" s="1029"/>
      <c r="B210" s="1019">
        <v>2</v>
      </c>
      <c r="C210" s="1108" t="s">
        <v>3356</v>
      </c>
      <c r="D210" s="1176"/>
      <c r="E210" s="1157"/>
      <c r="F210" s="1158"/>
    </row>
    <row r="211" spans="1:6" ht="15" customHeight="1">
      <c r="A211" s="1030"/>
      <c r="B211" s="1032">
        <v>1</v>
      </c>
      <c r="C211" s="1110" t="s">
        <v>3357</v>
      </c>
      <c r="D211" s="1176"/>
      <c r="E211" s="1157"/>
      <c r="F211" s="1158"/>
    </row>
    <row r="212" spans="1:6" ht="15" customHeight="1">
      <c r="A212" s="1030"/>
      <c r="B212" s="1032">
        <v>1</v>
      </c>
      <c r="C212" s="1110" t="s">
        <v>3358</v>
      </c>
      <c r="D212" s="1176"/>
      <c r="E212" s="1157"/>
      <c r="F212" s="1158"/>
    </row>
    <row r="213" spans="1:6" ht="15" customHeight="1">
      <c r="A213" s="1030"/>
      <c r="B213" s="1032">
        <v>1</v>
      </c>
      <c r="C213" s="1110" t="s">
        <v>3359</v>
      </c>
      <c r="D213" s="1176"/>
      <c r="E213" s="1157"/>
      <c r="F213" s="1158"/>
    </row>
    <row r="214" spans="1:6" ht="15" customHeight="1">
      <c r="A214" s="1030"/>
      <c r="B214" s="1032">
        <v>1</v>
      </c>
      <c r="C214" s="1110" t="s">
        <v>3360</v>
      </c>
      <c r="D214" s="1176"/>
      <c r="E214" s="1157"/>
      <c r="F214" s="1158"/>
    </row>
    <row r="215" spans="1:6" ht="15" customHeight="1">
      <c r="A215" s="1030"/>
      <c r="B215" s="1032">
        <v>1</v>
      </c>
      <c r="C215" s="1110" t="s">
        <v>3361</v>
      </c>
      <c r="D215" s="1176"/>
      <c r="E215" s="1157"/>
      <c r="F215" s="1158"/>
    </row>
    <row r="216" spans="1:6" ht="15" customHeight="1">
      <c r="A216" s="1018"/>
      <c r="B216" s="1017"/>
      <c r="C216" s="1116" t="s">
        <v>729</v>
      </c>
      <c r="D216" s="1176"/>
      <c r="E216" s="1157"/>
      <c r="F216" s="1158"/>
    </row>
    <row r="217" spans="1:6" ht="15" customHeight="1">
      <c r="A217" s="1024"/>
      <c r="B217" s="1017">
        <v>1</v>
      </c>
      <c r="C217" s="1115" t="s">
        <v>316</v>
      </c>
      <c r="D217" s="1176"/>
      <c r="E217" s="1157"/>
      <c r="F217" s="1158"/>
    </row>
    <row r="218" spans="1:6" ht="15" customHeight="1">
      <c r="A218" s="1024"/>
      <c r="B218" s="1017">
        <v>1</v>
      </c>
      <c r="C218" s="1115" t="s">
        <v>2908</v>
      </c>
      <c r="D218" s="1176"/>
      <c r="E218" s="1157"/>
      <c r="F218" s="1158"/>
    </row>
    <row r="219" spans="1:6" ht="15" customHeight="1" thickBot="1">
      <c r="A219" s="1046"/>
      <c r="B219" s="1035">
        <v>1</v>
      </c>
      <c r="C219" s="1134" t="s">
        <v>3871</v>
      </c>
      <c r="D219" s="1159"/>
      <c r="E219" s="1160"/>
      <c r="F219" s="1161"/>
    </row>
    <row r="220" spans="1:6" ht="15" customHeight="1">
      <c r="A220" s="1049"/>
      <c r="B220" s="1017"/>
      <c r="C220" s="1112"/>
      <c r="D220" s="1176"/>
      <c r="E220" s="1157"/>
      <c r="F220" s="1158"/>
    </row>
    <row r="221" spans="1:6" ht="15" customHeight="1">
      <c r="A221" s="1038">
        <v>5</v>
      </c>
      <c r="B221" s="1012">
        <v>1</v>
      </c>
      <c r="C221" s="1109" t="s">
        <v>3872</v>
      </c>
      <c r="D221" s="1150">
        <v>46866</v>
      </c>
      <c r="E221" s="1149"/>
      <c r="F221" s="1162">
        <f>+B221*D221</f>
        <v>46866</v>
      </c>
    </row>
    <row r="222" spans="1:6" ht="15" customHeight="1">
      <c r="A222" s="1014" t="s">
        <v>3162</v>
      </c>
      <c r="B222" s="1015"/>
      <c r="C222" s="1109"/>
      <c r="D222" s="1176"/>
      <c r="E222" s="1157"/>
      <c r="F222" s="1158"/>
    </row>
    <row r="223" spans="1:6" ht="15" customHeight="1">
      <c r="A223" s="1014" t="s">
        <v>3400</v>
      </c>
      <c r="B223" s="1017"/>
      <c r="C223" s="1108" t="s">
        <v>3158</v>
      </c>
      <c r="D223" s="1176"/>
      <c r="E223" s="1157"/>
      <c r="F223" s="1158"/>
    </row>
    <row r="224" spans="1:6" ht="15" customHeight="1">
      <c r="A224" s="1014"/>
      <c r="B224" s="1017">
        <v>1</v>
      </c>
      <c r="C224" s="2653" t="s">
        <v>2894</v>
      </c>
      <c r="D224" s="1176"/>
      <c r="E224" s="1157"/>
      <c r="F224" s="1158"/>
    </row>
    <row r="225" spans="1:6" ht="15" customHeight="1">
      <c r="A225" s="1014"/>
      <c r="B225" s="1017"/>
      <c r="C225" s="2653"/>
      <c r="D225" s="1176"/>
      <c r="E225" s="1157"/>
      <c r="F225" s="1158"/>
    </row>
    <row r="226" spans="1:6" ht="15" customHeight="1">
      <c r="A226" s="1018"/>
      <c r="B226" s="1026"/>
      <c r="C226" s="1118" t="s">
        <v>3377</v>
      </c>
      <c r="D226" s="1176"/>
      <c r="E226" s="1157"/>
      <c r="F226" s="1158"/>
    </row>
    <row r="227" spans="1:6" ht="15" customHeight="1">
      <c r="A227" s="1020" t="s">
        <v>3839</v>
      </c>
      <c r="B227" s="1017">
        <v>2</v>
      </c>
      <c r="C227" s="2653" t="s">
        <v>3717</v>
      </c>
      <c r="D227" s="1176"/>
      <c r="E227" s="1157"/>
      <c r="F227" s="1158"/>
    </row>
    <row r="228" spans="1:6" ht="15" customHeight="1">
      <c r="A228" s="1020"/>
      <c r="B228" s="1017"/>
      <c r="C228" s="2653"/>
      <c r="D228" s="1176"/>
      <c r="E228" s="1157"/>
      <c r="F228" s="1158"/>
    </row>
    <row r="229" spans="1:6" ht="15" customHeight="1">
      <c r="A229" s="1022"/>
      <c r="B229" s="1017">
        <v>1</v>
      </c>
      <c r="C229" s="2653" t="s">
        <v>1462</v>
      </c>
      <c r="D229" s="1176"/>
      <c r="E229" s="1157"/>
      <c r="F229" s="1158"/>
    </row>
    <row r="230" spans="1:6" ht="15" customHeight="1">
      <c r="A230" s="1022"/>
      <c r="B230" s="1017"/>
      <c r="C230" s="2653"/>
      <c r="D230" s="1176"/>
      <c r="E230" s="1157"/>
      <c r="F230" s="1158"/>
    </row>
    <row r="231" spans="1:6" ht="15" customHeight="1">
      <c r="A231" s="1023"/>
      <c r="B231" s="1017">
        <v>2</v>
      </c>
      <c r="C231" s="2653" t="s">
        <v>3718</v>
      </c>
      <c r="D231" s="1176"/>
      <c r="E231" s="1157"/>
      <c r="F231" s="1158"/>
    </row>
    <row r="232" spans="1:6" ht="15" customHeight="1">
      <c r="A232" s="1023"/>
      <c r="B232" s="1017"/>
      <c r="C232" s="2653"/>
      <c r="D232" s="1176"/>
      <c r="E232" s="1157"/>
      <c r="F232" s="1158"/>
    </row>
    <row r="233" spans="1:6" ht="15" customHeight="1">
      <c r="A233" s="1024" t="s">
        <v>3190</v>
      </c>
      <c r="B233" s="1026"/>
      <c r="C233" s="1118" t="s">
        <v>2654</v>
      </c>
      <c r="D233" s="1176"/>
      <c r="E233" s="1157"/>
      <c r="F233" s="1158"/>
    </row>
    <row r="234" spans="1:6" ht="31.5" customHeight="1">
      <c r="A234" s="1025" t="s">
        <v>3314</v>
      </c>
      <c r="B234" s="1017">
        <v>1</v>
      </c>
      <c r="C234" s="1177" t="s">
        <v>1486</v>
      </c>
      <c r="D234" s="1176"/>
      <c r="E234" s="1157"/>
      <c r="F234" s="1158"/>
    </row>
    <row r="235" spans="1:6" ht="32.25" customHeight="1">
      <c r="A235" s="1025" t="s">
        <v>3315</v>
      </c>
      <c r="B235" s="1017">
        <v>1</v>
      </c>
      <c r="C235" s="1177" t="s">
        <v>3701</v>
      </c>
      <c r="D235" s="1176"/>
      <c r="E235" s="1157"/>
      <c r="F235" s="1158"/>
    </row>
    <row r="236" spans="1:6" ht="31.5" customHeight="1">
      <c r="A236" s="1025"/>
      <c r="B236" s="1017">
        <v>1</v>
      </c>
      <c r="C236" s="1177" t="s">
        <v>3096</v>
      </c>
      <c r="D236" s="1176"/>
      <c r="E236" s="1157"/>
      <c r="F236" s="1158"/>
    </row>
    <row r="237" spans="1:6" ht="30" customHeight="1">
      <c r="A237" s="1025"/>
      <c r="B237" s="1017">
        <v>1</v>
      </c>
      <c r="C237" s="1177" t="s">
        <v>1485</v>
      </c>
      <c r="D237" s="1176"/>
      <c r="E237" s="1157"/>
      <c r="F237" s="1158"/>
    </row>
    <row r="238" spans="1:6" ht="31.5" customHeight="1">
      <c r="A238" s="1024" t="s">
        <v>3819</v>
      </c>
      <c r="B238" s="1017">
        <v>1</v>
      </c>
      <c r="C238" s="1177" t="s">
        <v>1484</v>
      </c>
      <c r="D238" s="1176"/>
      <c r="E238" s="1157"/>
      <c r="F238" s="1158"/>
    </row>
    <row r="239" spans="1:6" ht="31.5" customHeight="1">
      <c r="A239" s="1024"/>
      <c r="B239" s="1017">
        <v>2</v>
      </c>
      <c r="C239" s="1177" t="s">
        <v>2859</v>
      </c>
      <c r="D239" s="1176"/>
      <c r="E239" s="1157"/>
      <c r="F239" s="1158"/>
    </row>
    <row r="240" spans="1:6" ht="15" customHeight="1">
      <c r="A240" s="1024"/>
      <c r="B240" s="1017">
        <v>2</v>
      </c>
      <c r="C240" s="1112" t="s">
        <v>2935</v>
      </c>
      <c r="D240" s="1176"/>
      <c r="E240" s="1157"/>
      <c r="F240" s="1158"/>
    </row>
    <row r="241" spans="1:6" ht="15" customHeight="1">
      <c r="A241" s="1028"/>
      <c r="B241" s="1026"/>
      <c r="C241" s="1118" t="s">
        <v>3063</v>
      </c>
      <c r="D241" s="1176"/>
      <c r="E241" s="1157"/>
      <c r="F241" s="1158"/>
    </row>
    <row r="242" spans="1:6" ht="15" customHeight="1">
      <c r="A242" s="1024"/>
      <c r="B242" s="1027">
        <v>1</v>
      </c>
      <c r="C242" s="1113" t="s">
        <v>3859</v>
      </c>
      <c r="D242" s="1176"/>
      <c r="E242" s="1157"/>
      <c r="F242" s="1158"/>
    </row>
    <row r="243" spans="1:6" ht="15" customHeight="1">
      <c r="A243" s="1033"/>
      <c r="B243" s="1017"/>
      <c r="C243" s="1116" t="s">
        <v>729</v>
      </c>
      <c r="D243" s="1176"/>
      <c r="E243" s="1157"/>
      <c r="F243" s="1158"/>
    </row>
    <row r="244" spans="1:6" ht="15" customHeight="1">
      <c r="A244" s="1025"/>
      <c r="B244" s="1031">
        <v>1</v>
      </c>
      <c r="C244" s="1131" t="s">
        <v>3869</v>
      </c>
      <c r="D244" s="1176"/>
      <c r="E244" s="1157"/>
      <c r="F244" s="1158"/>
    </row>
    <row r="245" spans="1:6" ht="15" customHeight="1">
      <c r="A245" s="1025"/>
      <c r="B245" s="1032">
        <v>1</v>
      </c>
      <c r="C245" s="1110" t="s">
        <v>3378</v>
      </c>
      <c r="D245" s="1176"/>
      <c r="E245" s="1157"/>
      <c r="F245" s="1158"/>
    </row>
    <row r="246" spans="1:6" ht="15" customHeight="1">
      <c r="A246" s="1014"/>
      <c r="B246" s="1021">
        <v>1</v>
      </c>
      <c r="C246" s="1132" t="s">
        <v>2300</v>
      </c>
      <c r="D246" s="1176"/>
      <c r="E246" s="1157"/>
      <c r="F246" s="1158"/>
    </row>
    <row r="247" spans="1:6" ht="15" customHeight="1">
      <c r="A247" s="1014"/>
      <c r="B247" s="1021">
        <v>1</v>
      </c>
      <c r="C247" s="1132" t="s">
        <v>2301</v>
      </c>
      <c r="D247" s="1176"/>
      <c r="E247" s="1157"/>
      <c r="F247" s="1158"/>
    </row>
    <row r="248" spans="1:6" ht="15" customHeight="1">
      <c r="A248" s="1014"/>
      <c r="B248" s="1021">
        <v>1</v>
      </c>
      <c r="C248" s="1132" t="s">
        <v>2302</v>
      </c>
      <c r="D248" s="1176"/>
      <c r="E248" s="1157"/>
      <c r="F248" s="1158"/>
    </row>
    <row r="249" spans="1:6" ht="15" customHeight="1">
      <c r="A249" s="1014"/>
      <c r="B249" s="1021">
        <v>1</v>
      </c>
      <c r="C249" s="2656" t="s">
        <v>2305</v>
      </c>
      <c r="D249" s="1176"/>
      <c r="E249" s="1157"/>
      <c r="F249" s="1158"/>
    </row>
    <row r="250" spans="1:6" ht="15" customHeight="1">
      <c r="A250" s="1014"/>
      <c r="B250" s="1021"/>
      <c r="C250" s="2656"/>
      <c r="D250" s="1176"/>
      <c r="E250" s="1157"/>
      <c r="F250" s="1158"/>
    </row>
    <row r="251" spans="1:6" ht="15" customHeight="1">
      <c r="A251" s="1014"/>
      <c r="B251" s="1021">
        <v>2</v>
      </c>
      <c r="C251" s="1132" t="s">
        <v>1850</v>
      </c>
      <c r="D251" s="1176"/>
      <c r="E251" s="1157"/>
      <c r="F251" s="1158"/>
    </row>
    <row r="252" spans="1:6" ht="15" customHeight="1">
      <c r="A252" s="1030"/>
      <c r="B252" s="1032">
        <v>1</v>
      </c>
      <c r="C252" s="1110" t="s">
        <v>3379</v>
      </c>
      <c r="D252" s="1176"/>
      <c r="E252" s="1157"/>
      <c r="F252" s="1158"/>
    </row>
    <row r="253" spans="1:6" ht="15" customHeight="1">
      <c r="A253" s="1033"/>
      <c r="B253" s="1017"/>
      <c r="C253" s="1116" t="s">
        <v>729</v>
      </c>
      <c r="D253" s="1176"/>
      <c r="E253" s="1157"/>
      <c r="F253" s="1158"/>
    </row>
    <row r="254" spans="1:6" ht="15" customHeight="1">
      <c r="A254" s="1042"/>
      <c r="B254" s="1031">
        <v>5</v>
      </c>
      <c r="C254" s="1108" t="s">
        <v>3452</v>
      </c>
      <c r="D254" s="1176"/>
      <c r="E254" s="1157"/>
      <c r="F254" s="1158"/>
    </row>
    <row r="255" spans="1:6" ht="15" customHeight="1">
      <c r="A255" s="1022"/>
      <c r="B255" s="1021">
        <v>1</v>
      </c>
      <c r="C255" s="2656" t="s">
        <v>2303</v>
      </c>
      <c r="D255" s="1176"/>
      <c r="E255" s="1157"/>
      <c r="F255" s="1158"/>
    </row>
    <row r="256" spans="1:6" ht="15" customHeight="1">
      <c r="A256" s="1022"/>
      <c r="B256" s="1021"/>
      <c r="C256" s="2656"/>
      <c r="D256" s="1176"/>
      <c r="E256" s="1157"/>
      <c r="F256" s="1158"/>
    </row>
    <row r="257" spans="1:6" ht="15" customHeight="1">
      <c r="A257" s="1030"/>
      <c r="B257" s="1032">
        <v>1</v>
      </c>
      <c r="C257" s="1110" t="s">
        <v>3453</v>
      </c>
      <c r="D257" s="1176"/>
      <c r="E257" s="1157"/>
      <c r="F257" s="1158"/>
    </row>
    <row r="258" spans="1:6" ht="15" customHeight="1">
      <c r="A258" s="1018"/>
      <c r="B258" s="1017"/>
      <c r="C258" s="1116" t="s">
        <v>729</v>
      </c>
      <c r="D258" s="1176"/>
      <c r="E258" s="1157"/>
      <c r="F258" s="1158"/>
    </row>
    <row r="259" spans="1:6" ht="15" customHeight="1">
      <c r="A259" s="1042"/>
      <c r="B259" s="1031">
        <v>5</v>
      </c>
      <c r="C259" s="1108" t="s">
        <v>3451</v>
      </c>
      <c r="D259" s="1176"/>
      <c r="E259" s="1157"/>
      <c r="F259" s="1158"/>
    </row>
    <row r="260" spans="1:6" ht="15" customHeight="1">
      <c r="A260" s="1022"/>
      <c r="B260" s="1021">
        <v>2</v>
      </c>
      <c r="C260" s="2656" t="s">
        <v>3241</v>
      </c>
      <c r="D260" s="1176"/>
      <c r="E260" s="1157"/>
      <c r="F260" s="1158"/>
    </row>
    <row r="261" spans="1:6" ht="15" customHeight="1">
      <c r="A261" s="1022"/>
      <c r="B261" s="1021"/>
      <c r="C261" s="2656"/>
      <c r="D261" s="1176"/>
      <c r="E261" s="1157"/>
      <c r="F261" s="1158"/>
    </row>
    <row r="262" spans="1:6" ht="15" customHeight="1">
      <c r="A262" s="1030"/>
      <c r="B262" s="1032">
        <v>1</v>
      </c>
      <c r="C262" s="1110" t="s">
        <v>3453</v>
      </c>
      <c r="D262" s="1176"/>
      <c r="E262" s="1157"/>
      <c r="F262" s="1158"/>
    </row>
    <row r="263" spans="1:6" ht="15" customHeight="1">
      <c r="A263" s="1018"/>
      <c r="B263" s="1017"/>
      <c r="C263" s="1116" t="s">
        <v>729</v>
      </c>
      <c r="D263" s="1176"/>
      <c r="E263" s="1157"/>
      <c r="F263" s="1158"/>
    </row>
    <row r="264" spans="1:6" ht="15" customHeight="1">
      <c r="A264" s="1042"/>
      <c r="B264" s="1019">
        <v>1</v>
      </c>
      <c r="C264" s="1108" t="s">
        <v>3870</v>
      </c>
      <c r="D264" s="1176"/>
      <c r="E264" s="1157"/>
      <c r="F264" s="1158"/>
    </row>
    <row r="265" spans="1:6" ht="15" customHeight="1">
      <c r="A265" s="1022"/>
      <c r="B265" s="1021">
        <v>1</v>
      </c>
      <c r="C265" s="2656" t="s">
        <v>2525</v>
      </c>
      <c r="D265" s="1176"/>
      <c r="E265" s="1157"/>
      <c r="F265" s="1158"/>
    </row>
    <row r="266" spans="1:6" ht="15" customHeight="1">
      <c r="A266" s="1022"/>
      <c r="B266" s="1021"/>
      <c r="C266" s="2656"/>
      <c r="D266" s="1176"/>
      <c r="E266" s="1157"/>
      <c r="F266" s="1158"/>
    </row>
    <row r="267" spans="1:6" ht="15" customHeight="1">
      <c r="A267" s="1033"/>
      <c r="B267" s="1021">
        <v>3</v>
      </c>
      <c r="C267" s="1132" t="s">
        <v>423</v>
      </c>
      <c r="D267" s="1176"/>
      <c r="E267" s="1157"/>
      <c r="F267" s="1158"/>
    </row>
    <row r="268" spans="1:6" ht="15" customHeight="1">
      <c r="A268" s="1030"/>
      <c r="B268" s="1032">
        <v>1</v>
      </c>
      <c r="C268" s="1110" t="s">
        <v>3159</v>
      </c>
      <c r="D268" s="1176"/>
      <c r="E268" s="1157"/>
      <c r="F268" s="1158"/>
    </row>
    <row r="269" spans="1:6" ht="15" customHeight="1">
      <c r="A269" s="1030"/>
      <c r="B269" s="1032">
        <v>1</v>
      </c>
      <c r="C269" s="1110" t="s">
        <v>3160</v>
      </c>
      <c r="D269" s="1176"/>
      <c r="E269" s="1157"/>
      <c r="F269" s="1158"/>
    </row>
    <row r="270" spans="1:6" ht="15" customHeight="1">
      <c r="A270" s="1018"/>
      <c r="B270" s="1017"/>
      <c r="C270" s="1116" t="s">
        <v>729</v>
      </c>
      <c r="D270" s="1176"/>
      <c r="E270" s="1157"/>
      <c r="F270" s="1158"/>
    </row>
    <row r="271" spans="1:6" ht="15" customHeight="1">
      <c r="A271" s="1029"/>
      <c r="B271" s="1019">
        <v>2</v>
      </c>
      <c r="C271" s="1108" t="s">
        <v>3356</v>
      </c>
      <c r="D271" s="1176"/>
      <c r="E271" s="1157"/>
      <c r="F271" s="1158"/>
    </row>
    <row r="272" spans="1:6" ht="15" customHeight="1">
      <c r="A272" s="1030"/>
      <c r="B272" s="1032">
        <v>1</v>
      </c>
      <c r="C272" s="1110" t="s">
        <v>3357</v>
      </c>
      <c r="D272" s="1176"/>
      <c r="E272" s="1157"/>
      <c r="F272" s="1158"/>
    </row>
    <row r="273" spans="1:6" ht="15" customHeight="1">
      <c r="A273" s="1030"/>
      <c r="B273" s="1032">
        <v>1</v>
      </c>
      <c r="C273" s="1110" t="s">
        <v>3358</v>
      </c>
      <c r="D273" s="1176"/>
      <c r="E273" s="1157"/>
      <c r="F273" s="1158"/>
    </row>
    <row r="274" spans="1:6" ht="15" customHeight="1">
      <c r="A274" s="1030"/>
      <c r="B274" s="1032">
        <v>1</v>
      </c>
      <c r="C274" s="1110" t="s">
        <v>3359</v>
      </c>
      <c r="D274" s="1176"/>
      <c r="E274" s="1157"/>
      <c r="F274" s="1158"/>
    </row>
    <row r="275" spans="1:6" ht="15" customHeight="1">
      <c r="A275" s="1030"/>
      <c r="B275" s="1032">
        <v>1</v>
      </c>
      <c r="C275" s="1110" t="s">
        <v>3360</v>
      </c>
      <c r="D275" s="1176"/>
      <c r="E275" s="1157"/>
      <c r="F275" s="1158"/>
    </row>
    <row r="276" spans="1:6" ht="15" customHeight="1">
      <c r="A276" s="1030"/>
      <c r="B276" s="1032">
        <v>1</v>
      </c>
      <c r="C276" s="1110" t="s">
        <v>3361</v>
      </c>
      <c r="D276" s="1176"/>
      <c r="E276" s="1157"/>
      <c r="F276" s="1158"/>
    </row>
    <row r="277" spans="1:6" ht="15" customHeight="1">
      <c r="A277" s="1018"/>
      <c r="B277" s="1017"/>
      <c r="C277" s="1116" t="s">
        <v>729</v>
      </c>
      <c r="D277" s="1176"/>
      <c r="E277" s="1157"/>
      <c r="F277" s="1158"/>
    </row>
    <row r="278" spans="1:6" ht="15" customHeight="1">
      <c r="A278" s="1024"/>
      <c r="B278" s="1017">
        <v>1</v>
      </c>
      <c r="C278" s="1115" t="s">
        <v>316</v>
      </c>
      <c r="D278" s="1176"/>
      <c r="E278" s="1157"/>
      <c r="F278" s="1158"/>
    </row>
    <row r="279" spans="1:6" ht="15" customHeight="1" thickBot="1">
      <c r="A279" s="1050"/>
      <c r="B279" s="1051">
        <v>1</v>
      </c>
      <c r="C279" s="1120" t="s">
        <v>2908</v>
      </c>
      <c r="D279" s="1159"/>
      <c r="E279" s="1160"/>
      <c r="F279" s="1161"/>
    </row>
    <row r="280" spans="1:6" ht="15" customHeight="1">
      <c r="A280" s="1024"/>
      <c r="B280" s="1017"/>
      <c r="C280" s="1115"/>
      <c r="D280" s="1176"/>
      <c r="E280" s="1157"/>
      <c r="F280" s="1158"/>
    </row>
    <row r="281" spans="1:6" ht="15" customHeight="1">
      <c r="A281" s="1052">
        <v>132</v>
      </c>
      <c r="B281" s="1012">
        <v>1</v>
      </c>
      <c r="C281" s="1109" t="s">
        <v>3877</v>
      </c>
      <c r="D281" s="1150">
        <v>60314</v>
      </c>
      <c r="E281" s="1149"/>
      <c r="F281" s="1162">
        <f>+B281*D281</f>
        <v>60314</v>
      </c>
    </row>
    <row r="282" spans="1:6" ht="15" customHeight="1">
      <c r="A282" s="1053" t="s">
        <v>3162</v>
      </c>
      <c r="B282" s="1015"/>
      <c r="C282" s="1109" t="s">
        <v>2662</v>
      </c>
      <c r="D282" s="1176"/>
      <c r="E282" s="1157"/>
      <c r="F282" s="1158"/>
    </row>
    <row r="283" spans="1:6" ht="26.25" customHeight="1">
      <c r="A283" s="1053" t="s">
        <v>3875</v>
      </c>
      <c r="B283" s="1017">
        <v>1</v>
      </c>
      <c r="C283" s="1177" t="s">
        <v>1483</v>
      </c>
      <c r="D283" s="1176"/>
      <c r="E283" s="1157"/>
      <c r="F283" s="1158"/>
    </row>
    <row r="284" spans="1:6" ht="15" customHeight="1">
      <c r="A284" s="1053" t="s">
        <v>3540</v>
      </c>
      <c r="B284" s="1017"/>
      <c r="C284" s="1116" t="s">
        <v>729</v>
      </c>
      <c r="D284" s="1176"/>
      <c r="E284" s="1157"/>
      <c r="F284" s="1158"/>
    </row>
    <row r="285" spans="1:6" ht="15" customHeight="1">
      <c r="A285" s="1022"/>
      <c r="B285" s="1019">
        <v>1</v>
      </c>
      <c r="C285" s="1108" t="s">
        <v>3605</v>
      </c>
      <c r="D285" s="1176"/>
      <c r="E285" s="1157"/>
      <c r="F285" s="1158"/>
    </row>
    <row r="286" spans="1:6" ht="29.25" customHeight="1">
      <c r="A286" s="1054" t="s">
        <v>3541</v>
      </c>
      <c r="B286" s="1021">
        <v>2</v>
      </c>
      <c r="C286" s="1178" t="s">
        <v>1483</v>
      </c>
      <c r="D286" s="1176"/>
      <c r="E286" s="1157"/>
      <c r="F286" s="1158"/>
    </row>
    <row r="287" spans="1:6" ht="15" customHeight="1">
      <c r="A287" s="1054" t="s">
        <v>3542</v>
      </c>
      <c r="B287" s="1032">
        <v>1</v>
      </c>
      <c r="C287" s="1132" t="s">
        <v>3606</v>
      </c>
      <c r="D287" s="1176"/>
      <c r="E287" s="1157"/>
      <c r="F287" s="1158"/>
    </row>
    <row r="288" spans="1:6" ht="15" customHeight="1">
      <c r="A288" s="1054"/>
      <c r="B288" s="1017"/>
      <c r="C288" s="1116" t="s">
        <v>729</v>
      </c>
      <c r="D288" s="1176"/>
      <c r="E288" s="1157"/>
      <c r="F288" s="1158"/>
    </row>
    <row r="289" spans="1:6" ht="33.75" customHeight="1">
      <c r="A289" s="1054" t="s">
        <v>3190</v>
      </c>
      <c r="B289" s="1017">
        <v>2</v>
      </c>
      <c r="C289" s="1177" t="s">
        <v>1483</v>
      </c>
      <c r="D289" s="1176"/>
      <c r="E289" s="1157"/>
      <c r="F289" s="1158"/>
    </row>
    <row r="290" spans="1:6" ht="15" customHeight="1">
      <c r="A290" s="1054" t="s">
        <v>3543</v>
      </c>
      <c r="B290" s="1017"/>
      <c r="C290" s="1116" t="s">
        <v>729</v>
      </c>
      <c r="D290" s="1176"/>
      <c r="E290" s="1157"/>
      <c r="F290" s="1158"/>
    </row>
    <row r="291" spans="1:6" ht="15" customHeight="1">
      <c r="A291" s="1054" t="s">
        <v>3544</v>
      </c>
      <c r="B291" s="1017">
        <v>4</v>
      </c>
      <c r="C291" s="1115" t="s">
        <v>3697</v>
      </c>
      <c r="D291" s="1176"/>
      <c r="E291" s="1157"/>
      <c r="F291" s="1158"/>
    </row>
    <row r="292" spans="1:6" ht="15" customHeight="1">
      <c r="A292" s="1024"/>
      <c r="B292" s="1017"/>
      <c r="C292" s="1116" t="s">
        <v>729</v>
      </c>
      <c r="D292" s="1176"/>
      <c r="E292" s="1157"/>
      <c r="F292" s="1158"/>
    </row>
    <row r="293" spans="1:6" ht="54" customHeight="1">
      <c r="A293" s="1018"/>
      <c r="B293" s="1017">
        <v>4</v>
      </c>
      <c r="C293" s="1177" t="s">
        <v>3878</v>
      </c>
      <c r="D293" s="1176"/>
      <c r="E293" s="1157"/>
      <c r="F293" s="1158"/>
    </row>
    <row r="294" spans="1:6" ht="15" customHeight="1">
      <c r="A294" s="1024"/>
      <c r="B294" s="1017">
        <v>4</v>
      </c>
      <c r="C294" s="1115" t="s">
        <v>3728</v>
      </c>
      <c r="D294" s="1176"/>
      <c r="E294" s="1157"/>
      <c r="F294" s="1158"/>
    </row>
    <row r="295" spans="1:6" ht="25.5" customHeight="1">
      <c r="A295" s="1024"/>
      <c r="B295" s="1017">
        <v>4</v>
      </c>
      <c r="C295" s="1177" t="s">
        <v>3730</v>
      </c>
      <c r="D295" s="1176"/>
      <c r="E295" s="1157"/>
      <c r="F295" s="1158"/>
    </row>
    <row r="296" spans="1:6" ht="28.5" customHeight="1">
      <c r="A296" s="1024"/>
      <c r="B296" s="1017">
        <v>4</v>
      </c>
      <c r="C296" s="1177" t="s">
        <v>3734</v>
      </c>
      <c r="D296" s="1176"/>
      <c r="E296" s="1157"/>
      <c r="F296" s="1158"/>
    </row>
    <row r="297" spans="1:6" ht="15" customHeight="1">
      <c r="A297" s="1024"/>
      <c r="B297" s="1017">
        <v>4</v>
      </c>
      <c r="C297" s="1115" t="s">
        <v>3736</v>
      </c>
      <c r="D297" s="1176"/>
      <c r="E297" s="1157"/>
      <c r="F297" s="1158"/>
    </row>
    <row r="298" spans="1:6" ht="15" customHeight="1">
      <c r="A298" s="1024"/>
      <c r="B298" s="1017"/>
      <c r="C298" s="1116" t="s">
        <v>729</v>
      </c>
      <c r="D298" s="1176"/>
      <c r="E298" s="1157"/>
      <c r="F298" s="1158"/>
    </row>
    <row r="299" spans="1:6" ht="15" customHeight="1">
      <c r="A299" s="1018"/>
      <c r="B299" s="1026"/>
      <c r="C299" s="1118" t="s">
        <v>3610</v>
      </c>
      <c r="D299" s="1176"/>
      <c r="E299" s="1157"/>
      <c r="F299" s="1158"/>
    </row>
    <row r="300" spans="1:6" ht="15" customHeight="1">
      <c r="A300" s="1018"/>
      <c r="B300" s="1026"/>
      <c r="C300" s="1118" t="s">
        <v>3611</v>
      </c>
      <c r="D300" s="1176"/>
      <c r="E300" s="1157"/>
      <c r="F300" s="1158"/>
    </row>
    <row r="301" spans="1:6" ht="15" customHeight="1">
      <c r="A301" s="1018"/>
      <c r="B301" s="1017">
        <v>7</v>
      </c>
      <c r="C301" s="1115" t="s">
        <v>979</v>
      </c>
      <c r="D301" s="1176"/>
      <c r="E301" s="1157"/>
      <c r="F301" s="1158"/>
    </row>
    <row r="302" spans="1:6" ht="15" customHeight="1">
      <c r="A302" s="1042"/>
      <c r="B302" s="1026"/>
      <c r="C302" s="1118" t="s">
        <v>3612</v>
      </c>
      <c r="D302" s="1176"/>
      <c r="E302" s="1157"/>
      <c r="F302" s="1158"/>
    </row>
    <row r="303" spans="1:6" ht="15" customHeight="1">
      <c r="A303" s="1055"/>
      <c r="B303" s="1017">
        <v>7</v>
      </c>
      <c r="C303" s="1115" t="s">
        <v>979</v>
      </c>
      <c r="D303" s="1176"/>
      <c r="E303" s="1157"/>
      <c r="F303" s="1158"/>
    </row>
    <row r="304" spans="1:6" ht="15" customHeight="1">
      <c r="A304" s="1014"/>
      <c r="B304" s="1026"/>
      <c r="C304" s="1118" t="s">
        <v>3613</v>
      </c>
      <c r="D304" s="1176"/>
      <c r="E304" s="1157"/>
      <c r="F304" s="1158"/>
    </row>
    <row r="305" spans="1:6" ht="15" customHeight="1">
      <c r="A305" s="1018"/>
      <c r="B305" s="1017">
        <v>7</v>
      </c>
      <c r="C305" s="1115" t="s">
        <v>979</v>
      </c>
      <c r="D305" s="1176"/>
      <c r="E305" s="1157"/>
      <c r="F305" s="1158"/>
    </row>
    <row r="306" spans="1:6" ht="15" customHeight="1">
      <c r="A306" s="1014"/>
      <c r="B306" s="1026"/>
      <c r="C306" s="1118" t="s">
        <v>3614</v>
      </c>
      <c r="D306" s="1176"/>
      <c r="E306" s="1157"/>
      <c r="F306" s="1158"/>
    </row>
    <row r="307" spans="1:6" ht="15" customHeight="1">
      <c r="A307" s="1018"/>
      <c r="B307" s="1017">
        <v>7</v>
      </c>
      <c r="C307" s="1115" t="s">
        <v>979</v>
      </c>
      <c r="D307" s="1176"/>
      <c r="E307" s="1157"/>
      <c r="F307" s="1158"/>
    </row>
    <row r="308" spans="1:6" ht="15" customHeight="1">
      <c r="A308" s="1024"/>
      <c r="B308" s="1017"/>
      <c r="C308" s="1116" t="s">
        <v>729</v>
      </c>
      <c r="D308" s="1176"/>
      <c r="E308" s="1157"/>
      <c r="F308" s="1158"/>
    </row>
    <row r="309" spans="1:6" ht="15" customHeight="1">
      <c r="A309" s="1029"/>
      <c r="B309" s="1019">
        <v>2</v>
      </c>
      <c r="C309" s="1108" t="s">
        <v>3356</v>
      </c>
      <c r="D309" s="1176"/>
      <c r="E309" s="1157"/>
      <c r="F309" s="1158"/>
    </row>
    <row r="310" spans="1:6" ht="15" customHeight="1">
      <c r="A310" s="1030"/>
      <c r="B310" s="1032">
        <v>1</v>
      </c>
      <c r="C310" s="1110" t="s">
        <v>3357</v>
      </c>
      <c r="D310" s="1176"/>
      <c r="E310" s="1157"/>
      <c r="F310" s="1158"/>
    </row>
    <row r="311" spans="1:6" ht="15" customHeight="1">
      <c r="A311" s="1030"/>
      <c r="B311" s="1032">
        <v>1</v>
      </c>
      <c r="C311" s="1110" t="s">
        <v>3358</v>
      </c>
      <c r="D311" s="1176"/>
      <c r="E311" s="1157"/>
      <c r="F311" s="1158"/>
    </row>
    <row r="312" spans="1:6" ht="15" customHeight="1">
      <c r="A312" s="1030"/>
      <c r="B312" s="1032">
        <v>1</v>
      </c>
      <c r="C312" s="1110" t="s">
        <v>3359</v>
      </c>
      <c r="D312" s="1176"/>
      <c r="E312" s="1157"/>
      <c r="F312" s="1158"/>
    </row>
    <row r="313" spans="1:6" ht="15" customHeight="1">
      <c r="A313" s="1030"/>
      <c r="B313" s="1032">
        <v>1</v>
      </c>
      <c r="C313" s="1110" t="s">
        <v>3360</v>
      </c>
      <c r="D313" s="1176"/>
      <c r="E313" s="1157"/>
      <c r="F313" s="1158"/>
    </row>
    <row r="314" spans="1:6" ht="15" customHeight="1">
      <c r="A314" s="1030"/>
      <c r="B314" s="1032">
        <v>1</v>
      </c>
      <c r="C314" s="1110" t="s">
        <v>3361</v>
      </c>
      <c r="D314" s="1176"/>
      <c r="E314" s="1157"/>
      <c r="F314" s="1158"/>
    </row>
    <row r="315" spans="1:6" ht="15" customHeight="1">
      <c r="A315" s="1018"/>
      <c r="B315" s="1017"/>
      <c r="C315" s="1116" t="s">
        <v>729</v>
      </c>
      <c r="D315" s="1176"/>
      <c r="E315" s="1157"/>
      <c r="F315" s="1158"/>
    </row>
    <row r="316" spans="1:6" ht="15" customHeight="1">
      <c r="A316" s="1024"/>
      <c r="B316" s="1017">
        <v>1</v>
      </c>
      <c r="C316" s="1119" t="s">
        <v>2908</v>
      </c>
      <c r="D316" s="1176"/>
      <c r="E316" s="1157"/>
      <c r="F316" s="1158"/>
    </row>
    <row r="317" spans="1:6" ht="15" customHeight="1" thickBot="1">
      <c r="A317" s="1050"/>
      <c r="B317" s="1051">
        <v>1</v>
      </c>
      <c r="C317" s="1120" t="s">
        <v>316</v>
      </c>
      <c r="D317" s="1159"/>
      <c r="E317" s="1160"/>
      <c r="F317" s="1161"/>
    </row>
    <row r="318" spans="1:6" ht="15" customHeight="1">
      <c r="A318" s="1024"/>
      <c r="B318" s="1017"/>
      <c r="C318" s="1115"/>
      <c r="D318" s="1176"/>
      <c r="E318" s="1157"/>
      <c r="F318" s="1158"/>
    </row>
    <row r="319" spans="1:6" ht="15" customHeight="1">
      <c r="A319" s="1052">
        <v>133</v>
      </c>
      <c r="B319" s="1012">
        <v>1</v>
      </c>
      <c r="C319" s="1109" t="s">
        <v>3879</v>
      </c>
      <c r="D319" s="1150">
        <v>20109</v>
      </c>
      <c r="E319" s="1149"/>
      <c r="F319" s="1162">
        <f>+B319*D319</f>
        <v>20109</v>
      </c>
    </row>
    <row r="320" spans="1:6" ht="15" customHeight="1">
      <c r="A320" s="1053" t="s">
        <v>3162</v>
      </c>
      <c r="B320" s="1015"/>
      <c r="C320" s="1109" t="s">
        <v>2662</v>
      </c>
      <c r="D320" s="1176"/>
      <c r="E320" s="1157"/>
      <c r="F320" s="1158"/>
    </row>
    <row r="321" spans="1:6" ht="31.5" customHeight="1">
      <c r="A321" s="1053" t="s">
        <v>3875</v>
      </c>
      <c r="B321" s="1017">
        <v>1</v>
      </c>
      <c r="C321" s="1177" t="s">
        <v>1462</v>
      </c>
      <c r="D321" s="1176"/>
      <c r="E321" s="1157"/>
      <c r="F321" s="1158"/>
    </row>
    <row r="322" spans="1:6" ht="15" customHeight="1">
      <c r="A322" s="1053" t="s">
        <v>3540</v>
      </c>
      <c r="B322" s="1017"/>
      <c r="C322" s="1116" t="s">
        <v>729</v>
      </c>
      <c r="D322" s="1176"/>
      <c r="E322" s="1157"/>
      <c r="F322" s="1158"/>
    </row>
    <row r="323" spans="1:6" ht="15" customHeight="1">
      <c r="A323" s="1022"/>
      <c r="B323" s="1019">
        <v>2</v>
      </c>
      <c r="C323" s="1108" t="s">
        <v>3880</v>
      </c>
      <c r="D323" s="1176"/>
      <c r="E323" s="1157"/>
      <c r="F323" s="1158"/>
    </row>
    <row r="324" spans="1:6" ht="29.25" customHeight="1">
      <c r="A324" s="1054" t="s">
        <v>3541</v>
      </c>
      <c r="B324" s="1021">
        <v>2</v>
      </c>
      <c r="C324" s="1178" t="s">
        <v>3717</v>
      </c>
      <c r="D324" s="1176"/>
      <c r="E324" s="1157"/>
      <c r="F324" s="1158"/>
    </row>
    <row r="325" spans="1:6" ht="15" customHeight="1">
      <c r="A325" s="1054" t="s">
        <v>3542</v>
      </c>
      <c r="B325" s="1032">
        <v>1</v>
      </c>
      <c r="C325" s="1132" t="s">
        <v>3606</v>
      </c>
      <c r="D325" s="1176"/>
      <c r="E325" s="1157"/>
      <c r="F325" s="1158"/>
    </row>
    <row r="326" spans="1:6" ht="15" customHeight="1">
      <c r="A326" s="1054"/>
      <c r="B326" s="1017"/>
      <c r="C326" s="1116" t="s">
        <v>729</v>
      </c>
      <c r="D326" s="1176"/>
      <c r="E326" s="1157"/>
      <c r="F326" s="1158"/>
    </row>
    <row r="327" spans="1:6" ht="15" customHeight="1">
      <c r="A327" s="1054" t="s">
        <v>3190</v>
      </c>
      <c r="B327" s="1026"/>
      <c r="C327" s="1118" t="s">
        <v>2654</v>
      </c>
      <c r="D327" s="1176"/>
      <c r="E327" s="1157"/>
      <c r="F327" s="1158"/>
    </row>
    <row r="328" spans="1:6" ht="25.5" customHeight="1">
      <c r="A328" s="1054" t="s">
        <v>3543</v>
      </c>
      <c r="B328" s="1017">
        <v>7</v>
      </c>
      <c r="C328" s="1177" t="s">
        <v>2814</v>
      </c>
      <c r="D328" s="1176"/>
      <c r="E328" s="1157"/>
      <c r="F328" s="1158"/>
    </row>
    <row r="329" spans="1:6" ht="15" customHeight="1">
      <c r="A329" s="1054" t="s">
        <v>3544</v>
      </c>
      <c r="B329" s="1017">
        <v>1</v>
      </c>
      <c r="C329" s="1115" t="s">
        <v>3697</v>
      </c>
      <c r="D329" s="1176"/>
      <c r="E329" s="1157"/>
      <c r="F329" s="1158"/>
    </row>
    <row r="330" spans="1:6" ht="15" customHeight="1">
      <c r="A330" s="1055"/>
      <c r="B330" s="1017">
        <v>1</v>
      </c>
      <c r="C330" s="1115" t="s">
        <v>3881</v>
      </c>
      <c r="D330" s="1176"/>
      <c r="E330" s="1157"/>
      <c r="F330" s="1158"/>
    </row>
    <row r="331" spans="1:6" ht="15" customHeight="1">
      <c r="A331" s="1024"/>
      <c r="B331" s="1017"/>
      <c r="C331" s="1116" t="s">
        <v>729</v>
      </c>
      <c r="D331" s="1176"/>
      <c r="E331" s="1157"/>
      <c r="F331" s="1158"/>
    </row>
    <row r="332" spans="1:6" ht="15" customHeight="1">
      <c r="A332" s="1029"/>
      <c r="B332" s="1019">
        <v>1</v>
      </c>
      <c r="C332" s="1108" t="s">
        <v>3356</v>
      </c>
      <c r="D332" s="1176"/>
      <c r="E332" s="1157"/>
      <c r="F332" s="1158"/>
    </row>
    <row r="333" spans="1:6" ht="15" customHeight="1">
      <c r="A333" s="1030"/>
      <c r="B333" s="1032">
        <v>1</v>
      </c>
      <c r="C333" s="1110" t="s">
        <v>3357</v>
      </c>
      <c r="D333" s="1176"/>
      <c r="E333" s="1157"/>
      <c r="F333" s="1158"/>
    </row>
    <row r="334" spans="1:6" ht="15" customHeight="1">
      <c r="A334" s="1030"/>
      <c r="B334" s="1032">
        <v>1</v>
      </c>
      <c r="C334" s="1110" t="s">
        <v>3358</v>
      </c>
      <c r="D334" s="1176"/>
      <c r="E334" s="1157"/>
      <c r="F334" s="1158"/>
    </row>
    <row r="335" spans="1:6" ht="15" customHeight="1">
      <c r="A335" s="1030"/>
      <c r="B335" s="1032">
        <v>1</v>
      </c>
      <c r="C335" s="1110" t="s">
        <v>3359</v>
      </c>
      <c r="D335" s="1176"/>
      <c r="E335" s="1157"/>
      <c r="F335" s="1158"/>
    </row>
    <row r="336" spans="1:6" ht="15" customHeight="1">
      <c r="A336" s="1030"/>
      <c r="B336" s="1032">
        <v>1</v>
      </c>
      <c r="C336" s="1110" t="s">
        <v>3360</v>
      </c>
      <c r="D336" s="1176"/>
      <c r="E336" s="1157"/>
      <c r="F336" s="1158"/>
    </row>
    <row r="337" spans="1:6" ht="15" customHeight="1">
      <c r="A337" s="1030"/>
      <c r="B337" s="1032">
        <v>1</v>
      </c>
      <c r="C337" s="1110" t="s">
        <v>3361</v>
      </c>
      <c r="D337" s="1176"/>
      <c r="E337" s="1157"/>
      <c r="F337" s="1158"/>
    </row>
    <row r="338" spans="1:6" ht="15" customHeight="1">
      <c r="A338" s="1018"/>
      <c r="B338" s="1017"/>
      <c r="C338" s="1116" t="s">
        <v>729</v>
      </c>
      <c r="D338" s="1176"/>
      <c r="E338" s="1157"/>
      <c r="F338" s="1158"/>
    </row>
    <row r="339" spans="1:6" ht="15" customHeight="1">
      <c r="A339" s="1024"/>
      <c r="B339" s="1017">
        <v>1</v>
      </c>
      <c r="C339" s="1119" t="s">
        <v>2908</v>
      </c>
      <c r="D339" s="1176"/>
      <c r="E339" s="1157"/>
      <c r="F339" s="1158"/>
    </row>
    <row r="340" spans="1:6" ht="15" customHeight="1" thickBot="1">
      <c r="A340" s="1050"/>
      <c r="B340" s="1051">
        <v>1</v>
      </c>
      <c r="C340" s="1120" t="s">
        <v>316</v>
      </c>
      <c r="D340" s="1159"/>
      <c r="E340" s="1160"/>
      <c r="F340" s="1161"/>
    </row>
    <row r="341" spans="1:6" s="1189" customFormat="1" ht="30" customHeight="1">
      <c r="A341" s="1262"/>
      <c r="B341" s="1273"/>
      <c r="C341" s="1277" t="s">
        <v>4756</v>
      </c>
      <c r="D341" s="1263"/>
      <c r="E341" s="1264"/>
      <c r="F341" s="1265"/>
    </row>
    <row r="342" spans="1:6" s="1189" customFormat="1" ht="69.900000000000006" customHeight="1">
      <c r="A342" s="1262"/>
      <c r="B342" s="1275"/>
      <c r="C342" s="1278" t="s">
        <v>4758</v>
      </c>
      <c r="D342" s="1263"/>
      <c r="E342" s="1276"/>
      <c r="F342" s="1265"/>
    </row>
    <row r="343" spans="1:6" s="1189" customFormat="1" ht="35.1" customHeight="1">
      <c r="A343" s="1262"/>
      <c r="B343" s="1275"/>
      <c r="C343" s="1271" t="s">
        <v>4137</v>
      </c>
      <c r="D343" s="1263"/>
      <c r="E343" s="1276"/>
      <c r="F343" s="1265"/>
    </row>
    <row r="344" spans="1:6" ht="21" customHeight="1" thickBot="1">
      <c r="A344" s="1163"/>
      <c r="B344" s="1274"/>
      <c r="C344" s="1272"/>
      <c r="D344" s="1164"/>
      <c r="E344" s="1165"/>
      <c r="F344" s="1166"/>
    </row>
    <row r="345" spans="1:6" ht="15" customHeight="1">
      <c r="A345" s="1056"/>
      <c r="B345" s="1057"/>
      <c r="C345" s="1135"/>
      <c r="D345" s="1066"/>
      <c r="E345" s="1058"/>
      <c r="F345" s="1059"/>
    </row>
    <row r="346" spans="1:6" ht="15" customHeight="1">
      <c r="A346" s="1060">
        <v>11</v>
      </c>
      <c r="B346" s="1012">
        <v>1</v>
      </c>
      <c r="C346" s="1109" t="s">
        <v>3882</v>
      </c>
      <c r="D346" s="1150">
        <v>4930</v>
      </c>
      <c r="E346" s="1149"/>
      <c r="F346" s="1013">
        <f>+B346*D346</f>
        <v>4930</v>
      </c>
    </row>
    <row r="347" spans="1:6" ht="15" customHeight="1">
      <c r="A347" s="1014" t="s">
        <v>3064</v>
      </c>
      <c r="B347" s="1015"/>
      <c r="C347" s="1109"/>
      <c r="D347" s="1066"/>
      <c r="E347" s="1058"/>
      <c r="F347" s="1059"/>
    </row>
    <row r="348" spans="1:6" ht="15" customHeight="1">
      <c r="A348" s="1014" t="s">
        <v>3400</v>
      </c>
      <c r="B348" s="1015"/>
      <c r="C348" s="1108" t="s">
        <v>2477</v>
      </c>
      <c r="D348" s="1066"/>
      <c r="E348" s="1058"/>
      <c r="F348" s="1059"/>
    </row>
    <row r="349" spans="1:6" ht="15" customHeight="1">
      <c r="A349" s="1014"/>
      <c r="B349" s="1015"/>
      <c r="C349" s="1113"/>
      <c r="D349" s="1066"/>
      <c r="E349" s="1058"/>
      <c r="F349" s="1059"/>
    </row>
    <row r="350" spans="1:6" ht="15" customHeight="1">
      <c r="A350" s="1018"/>
      <c r="B350" s="1015"/>
      <c r="C350" s="1113" t="s">
        <v>3883</v>
      </c>
      <c r="D350" s="1066"/>
      <c r="E350" s="1058"/>
      <c r="F350" s="1059"/>
    </row>
    <row r="351" spans="1:6" ht="15" customHeight="1">
      <c r="A351" s="1020" t="s">
        <v>3839</v>
      </c>
      <c r="B351" s="1015"/>
      <c r="C351" s="1113" t="s">
        <v>3427</v>
      </c>
      <c r="D351" s="1066"/>
      <c r="E351" s="1058"/>
      <c r="F351" s="1059"/>
    </row>
    <row r="352" spans="1:6" ht="15" customHeight="1">
      <c r="A352" s="1022"/>
      <c r="B352" s="1015"/>
      <c r="C352" s="1113"/>
      <c r="D352" s="1066"/>
      <c r="E352" s="1058"/>
      <c r="F352" s="1059"/>
    </row>
    <row r="353" spans="1:6" ht="15" customHeight="1">
      <c r="A353" s="1023"/>
      <c r="B353" s="1015"/>
      <c r="C353" s="1113" t="s">
        <v>3428</v>
      </c>
      <c r="D353" s="1066"/>
      <c r="E353" s="1058"/>
      <c r="F353" s="1059"/>
    </row>
    <row r="354" spans="1:6" ht="15" customHeight="1">
      <c r="A354" s="1024" t="s">
        <v>3190</v>
      </c>
      <c r="B354" s="1039"/>
      <c r="C354" s="1110"/>
      <c r="D354" s="1066"/>
      <c r="E354" s="1058"/>
      <c r="F354" s="1059"/>
    </row>
    <row r="355" spans="1:6" ht="15" customHeight="1">
      <c r="A355" s="1025" t="s">
        <v>3314</v>
      </c>
      <c r="B355" s="1040">
        <v>1</v>
      </c>
      <c r="C355" s="1110" t="s">
        <v>3884</v>
      </c>
      <c r="D355" s="1066"/>
      <c r="E355" s="1058"/>
      <c r="F355" s="1059"/>
    </row>
    <row r="356" spans="1:6" ht="15" customHeight="1">
      <c r="A356" s="1025" t="s">
        <v>3315</v>
      </c>
      <c r="B356" s="1015"/>
      <c r="C356" s="1110" t="s">
        <v>3429</v>
      </c>
      <c r="D356" s="1066"/>
      <c r="E356" s="1058"/>
      <c r="F356" s="1059"/>
    </row>
    <row r="357" spans="1:6" ht="30.75" customHeight="1">
      <c r="A357" s="1025"/>
      <c r="B357" s="1015"/>
      <c r="C357" s="1136" t="s">
        <v>3332</v>
      </c>
      <c r="D357" s="1066"/>
      <c r="E357" s="1058"/>
      <c r="F357" s="1059"/>
    </row>
    <row r="358" spans="1:6" ht="15" customHeight="1">
      <c r="A358" s="1025"/>
      <c r="B358" s="1015"/>
      <c r="C358" s="1110"/>
      <c r="D358" s="1066"/>
      <c r="E358" s="1058"/>
      <c r="F358" s="1059"/>
    </row>
    <row r="359" spans="1:6" ht="15" customHeight="1">
      <c r="A359" s="1024" t="s">
        <v>3819</v>
      </c>
      <c r="B359" s="1040">
        <v>2</v>
      </c>
      <c r="C359" s="1110" t="s">
        <v>3885</v>
      </c>
      <c r="D359" s="1066"/>
      <c r="E359" s="1058"/>
      <c r="F359" s="1059"/>
    </row>
    <row r="360" spans="1:6" ht="15" customHeight="1">
      <c r="A360" s="1024"/>
      <c r="B360" s="1015"/>
      <c r="C360" s="1110" t="s">
        <v>3429</v>
      </c>
      <c r="D360" s="1066"/>
      <c r="E360" s="1058"/>
      <c r="F360" s="1059"/>
    </row>
    <row r="361" spans="1:6" ht="31.5" customHeight="1">
      <c r="A361" s="1028"/>
      <c r="B361" s="1015"/>
      <c r="C361" s="1136" t="s">
        <v>1485</v>
      </c>
      <c r="D361" s="1066"/>
      <c r="E361" s="1058"/>
      <c r="F361" s="1059"/>
    </row>
    <row r="362" spans="1:6" ht="15" customHeight="1">
      <c r="A362" s="1024"/>
      <c r="B362" s="1015"/>
      <c r="C362" s="1110"/>
      <c r="D362" s="1066"/>
      <c r="E362" s="1058"/>
      <c r="F362" s="1059"/>
    </row>
    <row r="363" spans="1:6" ht="15" customHeight="1">
      <c r="A363" s="1033"/>
      <c r="B363" s="1015"/>
      <c r="C363" s="1113" t="s">
        <v>3873</v>
      </c>
      <c r="D363" s="1066"/>
      <c r="E363" s="1058"/>
      <c r="F363" s="1059"/>
    </row>
    <row r="364" spans="1:6" ht="15" customHeight="1">
      <c r="A364" s="1025"/>
      <c r="B364" s="1015"/>
      <c r="C364" s="1113" t="s">
        <v>3874</v>
      </c>
      <c r="D364" s="1066"/>
      <c r="E364" s="1058"/>
      <c r="F364" s="1059"/>
    </row>
    <row r="365" spans="1:6" ht="15" customHeight="1">
      <c r="A365" s="1024"/>
      <c r="B365" s="1015"/>
      <c r="C365" s="1113" t="s">
        <v>3886</v>
      </c>
      <c r="D365" s="2659"/>
      <c r="E365" s="2660"/>
      <c r="F365" s="1016"/>
    </row>
    <row r="366" spans="1:6" ht="15" customHeight="1">
      <c r="A366" s="1024"/>
      <c r="B366" s="1015"/>
      <c r="C366" s="1113" t="s">
        <v>3887</v>
      </c>
      <c r="D366" s="1066"/>
      <c r="E366" s="1058"/>
      <c r="F366" s="1059"/>
    </row>
    <row r="367" spans="1:6" ht="15" customHeight="1">
      <c r="A367" s="1024"/>
      <c r="B367" s="1015"/>
      <c r="C367" s="1113"/>
      <c r="D367" s="2659"/>
      <c r="E367" s="2660"/>
      <c r="F367" s="1016"/>
    </row>
    <row r="368" spans="1:6" ht="29.25" customHeight="1">
      <c r="A368" s="1024"/>
      <c r="B368" s="1015"/>
      <c r="C368" s="1137" t="s">
        <v>3430</v>
      </c>
      <c r="D368" s="1066"/>
      <c r="E368" s="1058"/>
      <c r="F368" s="1059"/>
    </row>
    <row r="369" spans="1:6" ht="15" customHeight="1">
      <c r="A369" s="1041"/>
      <c r="B369" s="1015"/>
      <c r="C369" s="1114" t="s">
        <v>3431</v>
      </c>
      <c r="D369" s="1066"/>
      <c r="E369" s="1058"/>
      <c r="F369" s="1059"/>
    </row>
    <row r="370" spans="1:6" ht="15" customHeight="1">
      <c r="A370" s="1042"/>
      <c r="B370" s="1015"/>
      <c r="C370" s="1114" t="s">
        <v>3432</v>
      </c>
      <c r="D370" s="1066"/>
      <c r="E370" s="1058"/>
      <c r="F370" s="1059"/>
    </row>
    <row r="371" spans="1:6" ht="15" customHeight="1">
      <c r="A371" s="1042"/>
      <c r="B371" s="1015"/>
      <c r="C371" s="1114" t="s">
        <v>3433</v>
      </c>
      <c r="D371" s="1066"/>
      <c r="E371" s="1058"/>
      <c r="F371" s="1059"/>
    </row>
    <row r="372" spans="1:6" ht="15" customHeight="1">
      <c r="A372" s="1030"/>
      <c r="B372" s="1015"/>
      <c r="C372" s="1114" t="s">
        <v>3434</v>
      </c>
      <c r="D372" s="1066"/>
      <c r="E372" s="1058"/>
      <c r="F372" s="1059"/>
    </row>
    <row r="373" spans="1:6" ht="15" customHeight="1">
      <c r="A373" s="1018"/>
      <c r="B373" s="1015"/>
      <c r="C373" s="1114" t="s">
        <v>3435</v>
      </c>
      <c r="D373" s="1066"/>
      <c r="E373" s="1058"/>
      <c r="F373" s="1059"/>
    </row>
    <row r="374" spans="1:6" ht="31.5" customHeight="1">
      <c r="A374" s="1018"/>
      <c r="B374" s="1015"/>
      <c r="C374" s="1137" t="s">
        <v>3436</v>
      </c>
      <c r="D374" s="1066"/>
      <c r="E374" s="1058"/>
      <c r="F374" s="1059"/>
    </row>
    <row r="375" spans="1:6" ht="15" customHeight="1">
      <c r="A375" s="1018"/>
      <c r="B375" s="1015"/>
      <c r="C375" s="1114" t="s">
        <v>3437</v>
      </c>
      <c r="D375" s="1066"/>
      <c r="E375" s="1058"/>
      <c r="F375" s="1059"/>
    </row>
    <row r="376" spans="1:6" ht="15" customHeight="1">
      <c r="A376" s="1043"/>
      <c r="B376" s="1017"/>
      <c r="C376" s="1114" t="s">
        <v>3438</v>
      </c>
      <c r="D376" s="1066"/>
      <c r="E376" s="1058"/>
      <c r="F376" s="1059"/>
    </row>
    <row r="377" spans="1:6" ht="15" customHeight="1">
      <c r="A377" s="1043"/>
      <c r="B377" s="1019"/>
      <c r="C377" s="1114" t="s">
        <v>624</v>
      </c>
      <c r="D377" s="1066"/>
      <c r="E377" s="1058"/>
      <c r="F377" s="1059"/>
    </row>
    <row r="378" spans="1:6" ht="15" customHeight="1">
      <c r="A378" s="1043"/>
      <c r="B378" s="1021"/>
      <c r="C378" s="1114" t="s">
        <v>625</v>
      </c>
      <c r="D378" s="2659"/>
      <c r="E378" s="2660"/>
      <c r="F378" s="1016"/>
    </row>
    <row r="379" spans="1:6" ht="15" customHeight="1">
      <c r="A379" s="1028"/>
      <c r="B379" s="1021"/>
      <c r="C379" s="1114" t="s">
        <v>3439</v>
      </c>
      <c r="D379" s="1066"/>
      <c r="E379" s="1058"/>
      <c r="F379" s="1059"/>
    </row>
    <row r="380" spans="1:6" ht="15" customHeight="1">
      <c r="A380" s="1022"/>
      <c r="B380" s="1019"/>
      <c r="C380" s="1111" t="s">
        <v>3440</v>
      </c>
      <c r="D380" s="2659"/>
      <c r="E380" s="2660"/>
      <c r="F380" s="1016"/>
    </row>
    <row r="381" spans="1:6" ht="15" customHeight="1">
      <c r="A381" s="1022"/>
      <c r="B381" s="1021"/>
      <c r="C381" s="1114" t="s">
        <v>3441</v>
      </c>
      <c r="D381" s="2659"/>
      <c r="E381" s="2660"/>
      <c r="F381" s="1016"/>
    </row>
    <row r="382" spans="1:6" ht="15" customHeight="1">
      <c r="A382" s="1022"/>
      <c r="B382" s="1021"/>
      <c r="C382" s="1111" t="s">
        <v>3442</v>
      </c>
      <c r="D382" s="1066"/>
      <c r="E382" s="1058"/>
      <c r="F382" s="1059"/>
    </row>
    <row r="383" spans="1:6" ht="15" customHeight="1">
      <c r="A383" s="1022"/>
      <c r="B383" s="1044"/>
      <c r="C383" s="1113" t="s">
        <v>3443</v>
      </c>
      <c r="D383" s="1066"/>
      <c r="E383" s="1058"/>
      <c r="F383" s="1059"/>
    </row>
    <row r="384" spans="1:6" ht="15" customHeight="1">
      <c r="A384" s="1022"/>
      <c r="B384" s="1045"/>
      <c r="C384" s="1113" t="s">
        <v>3444</v>
      </c>
      <c r="D384" s="1066"/>
      <c r="E384" s="1058"/>
      <c r="F384" s="1059"/>
    </row>
    <row r="385" spans="1:6" ht="15" customHeight="1">
      <c r="A385" s="1029"/>
      <c r="B385" s="1021"/>
      <c r="C385" s="1113" t="s">
        <v>3445</v>
      </c>
      <c r="D385" s="1066"/>
      <c r="E385" s="1058"/>
      <c r="F385" s="1059"/>
    </row>
    <row r="386" spans="1:6" ht="15" customHeight="1">
      <c r="A386" s="1018"/>
      <c r="B386" s="1045"/>
      <c r="C386" s="1113" t="s">
        <v>3446</v>
      </c>
      <c r="D386" s="1066"/>
      <c r="E386" s="1058"/>
      <c r="F386" s="1059"/>
    </row>
    <row r="387" spans="1:6" ht="15" customHeight="1">
      <c r="A387" s="1018"/>
      <c r="B387" s="1021"/>
      <c r="C387" s="1113" t="s">
        <v>3447</v>
      </c>
      <c r="D387" s="1066"/>
      <c r="E387" s="1058"/>
      <c r="F387" s="1059"/>
    </row>
    <row r="388" spans="1:6" ht="15" customHeight="1">
      <c r="A388" s="1018"/>
      <c r="B388" s="1021"/>
      <c r="C388" s="1113"/>
      <c r="D388" s="1066"/>
      <c r="E388" s="1058"/>
      <c r="F388" s="1059"/>
    </row>
    <row r="389" spans="1:6" ht="15" customHeight="1">
      <c r="A389" s="1018"/>
      <c r="B389" s="1017"/>
      <c r="C389" s="1116" t="s">
        <v>729</v>
      </c>
      <c r="D389" s="1066"/>
      <c r="E389" s="1058"/>
      <c r="F389" s="1059"/>
    </row>
    <row r="390" spans="1:6" ht="15" customHeight="1">
      <c r="A390" s="1024"/>
      <c r="B390" s="1017">
        <v>1</v>
      </c>
      <c r="C390" s="1115" t="s">
        <v>316</v>
      </c>
      <c r="D390" s="2659"/>
      <c r="E390" s="2660"/>
      <c r="F390" s="1016"/>
    </row>
    <row r="391" spans="1:6" ht="15" customHeight="1" thickBot="1">
      <c r="A391" s="1050"/>
      <c r="B391" s="1051">
        <v>1</v>
      </c>
      <c r="C391" s="1120" t="s">
        <v>2908</v>
      </c>
      <c r="D391" s="1143"/>
      <c r="E391" s="1061"/>
      <c r="F391" s="1062"/>
    </row>
    <row r="392" spans="1:6" ht="15" customHeight="1">
      <c r="A392" s="1024"/>
      <c r="B392" s="1017"/>
      <c r="C392" s="1130"/>
      <c r="D392" s="1066"/>
      <c r="E392" s="1058"/>
      <c r="F392" s="1059"/>
    </row>
    <row r="393" spans="1:6" ht="15" customHeight="1">
      <c r="A393" s="1060">
        <v>12</v>
      </c>
      <c r="B393" s="1012">
        <v>1</v>
      </c>
      <c r="C393" s="1109" t="s">
        <v>3888</v>
      </c>
      <c r="D393" s="1150">
        <v>8532</v>
      </c>
      <c r="E393" s="1149"/>
      <c r="F393" s="1013">
        <f>+B393*D393</f>
        <v>8532</v>
      </c>
    </row>
    <row r="394" spans="1:6" ht="15" customHeight="1">
      <c r="A394" s="1014" t="s">
        <v>3064</v>
      </c>
      <c r="B394" s="1015"/>
      <c r="C394" s="1109" t="s">
        <v>2662</v>
      </c>
      <c r="D394" s="1066"/>
      <c r="E394" s="1058"/>
      <c r="F394" s="1059"/>
    </row>
    <row r="395" spans="1:6" ht="26.25" customHeight="1">
      <c r="A395" s="1014" t="s">
        <v>3875</v>
      </c>
      <c r="B395" s="1017">
        <v>1</v>
      </c>
      <c r="C395" s="1177" t="s">
        <v>1486</v>
      </c>
      <c r="D395" s="1066"/>
      <c r="E395" s="1058"/>
      <c r="F395" s="1059"/>
    </row>
    <row r="396" spans="1:6" ht="15" customHeight="1">
      <c r="A396" s="1014" t="s">
        <v>3540</v>
      </c>
      <c r="B396" s="1017"/>
      <c r="C396" s="1116" t="s">
        <v>729</v>
      </c>
      <c r="D396" s="1066"/>
      <c r="E396" s="1058"/>
      <c r="F396" s="1059"/>
    </row>
    <row r="397" spans="1:6" ht="15" customHeight="1">
      <c r="A397" s="1018"/>
      <c r="B397" s="1019">
        <v>2</v>
      </c>
      <c r="C397" s="1108" t="s">
        <v>3880</v>
      </c>
      <c r="D397" s="1066"/>
      <c r="E397" s="1058"/>
      <c r="F397" s="1059"/>
    </row>
    <row r="398" spans="1:6" ht="28.5" customHeight="1">
      <c r="A398" s="1018" t="s">
        <v>3541</v>
      </c>
      <c r="B398" s="1021">
        <v>2</v>
      </c>
      <c r="C398" s="1178" t="s">
        <v>3720</v>
      </c>
      <c r="D398" s="1066"/>
      <c r="E398" s="1058"/>
      <c r="F398" s="1059"/>
    </row>
    <row r="399" spans="1:6" ht="15" customHeight="1">
      <c r="A399" s="1018" t="s">
        <v>3542</v>
      </c>
      <c r="B399" s="1032">
        <v>1</v>
      </c>
      <c r="C399" s="1132" t="s">
        <v>3606</v>
      </c>
      <c r="D399" s="1066"/>
      <c r="E399" s="1058"/>
      <c r="F399" s="1059"/>
    </row>
    <row r="400" spans="1:6" ht="15" customHeight="1">
      <c r="A400" s="1018"/>
      <c r="B400" s="1017"/>
      <c r="C400" s="1116" t="s">
        <v>729</v>
      </c>
      <c r="D400" s="1066"/>
      <c r="E400" s="1058"/>
      <c r="F400" s="1059"/>
    </row>
    <row r="401" spans="1:6" ht="15" customHeight="1">
      <c r="A401" s="1041" t="s">
        <v>3190</v>
      </c>
      <c r="B401" s="1026"/>
      <c r="C401" s="1118" t="s">
        <v>2654</v>
      </c>
      <c r="D401" s="1066"/>
      <c r="E401" s="1058"/>
      <c r="F401" s="1059"/>
    </row>
    <row r="402" spans="1:6" ht="30" customHeight="1">
      <c r="A402" s="1042" t="s">
        <v>3543</v>
      </c>
      <c r="B402" s="1017">
        <v>2</v>
      </c>
      <c r="C402" s="1177" t="s">
        <v>2184</v>
      </c>
      <c r="D402" s="1066"/>
      <c r="E402" s="1058"/>
      <c r="F402" s="1059"/>
    </row>
    <row r="403" spans="1:6" ht="24.75" customHeight="1">
      <c r="A403" s="1055" t="s">
        <v>3544</v>
      </c>
      <c r="B403" s="1017">
        <v>2</v>
      </c>
      <c r="C403" s="1177" t="s">
        <v>2181</v>
      </c>
      <c r="D403" s="1066"/>
      <c r="E403" s="1058"/>
      <c r="F403" s="1059"/>
    </row>
    <row r="404" spans="1:6" ht="25.5" customHeight="1">
      <c r="A404" s="1018"/>
      <c r="B404" s="1017">
        <v>8</v>
      </c>
      <c r="C404" s="1177" t="s">
        <v>2178</v>
      </c>
      <c r="D404" s="1066"/>
      <c r="E404" s="1058"/>
      <c r="F404" s="1059"/>
    </row>
    <row r="405" spans="1:6" ht="15" customHeight="1">
      <c r="A405" s="1018"/>
      <c r="B405" s="1017">
        <v>2</v>
      </c>
      <c r="C405" s="1115" t="s">
        <v>3876</v>
      </c>
      <c r="D405" s="1066"/>
      <c r="E405" s="1058"/>
      <c r="F405" s="1059"/>
    </row>
    <row r="406" spans="1:6" ht="15" customHeight="1">
      <c r="A406" s="1018"/>
      <c r="B406" s="1017"/>
      <c r="C406" s="1116" t="s">
        <v>729</v>
      </c>
      <c r="D406" s="1066"/>
      <c r="E406" s="1058"/>
      <c r="F406" s="1059"/>
    </row>
    <row r="407" spans="1:6" ht="15" customHeight="1">
      <c r="A407" s="1022"/>
      <c r="B407" s="1017">
        <v>1</v>
      </c>
      <c r="C407" s="1119" t="s">
        <v>2908</v>
      </c>
      <c r="D407" s="1066"/>
      <c r="E407" s="1058"/>
      <c r="F407" s="1059"/>
    </row>
    <row r="408" spans="1:6" ht="15" customHeight="1">
      <c r="A408" s="1022"/>
      <c r="B408" s="1017">
        <v>1</v>
      </c>
      <c r="C408" s="1119" t="s">
        <v>2910</v>
      </c>
      <c r="D408" s="1066"/>
      <c r="E408" s="1058"/>
      <c r="F408" s="1059"/>
    </row>
    <row r="409" spans="1:6" ht="15" customHeight="1" thickBot="1">
      <c r="A409" s="1063"/>
      <c r="B409" s="1051">
        <v>1</v>
      </c>
      <c r="C409" s="1120" t="s">
        <v>316</v>
      </c>
      <c r="D409" s="1143"/>
      <c r="E409" s="1061"/>
      <c r="F409" s="1062"/>
    </row>
    <row r="410" spans="1:6" ht="15" customHeight="1">
      <c r="A410" s="1049"/>
      <c r="B410" s="1017"/>
      <c r="C410" s="1112"/>
      <c r="D410" s="1066"/>
      <c r="E410" s="1058"/>
      <c r="F410" s="1059"/>
    </row>
    <row r="411" spans="1:6" ht="15" customHeight="1">
      <c r="A411" s="1060">
        <v>19</v>
      </c>
      <c r="B411" s="1012">
        <v>1</v>
      </c>
      <c r="C411" s="1109" t="s">
        <v>3890</v>
      </c>
      <c r="D411" s="1150">
        <v>3029</v>
      </c>
      <c r="E411" s="1149"/>
      <c r="F411" s="1013">
        <f>+B411*D411</f>
        <v>3029</v>
      </c>
    </row>
    <row r="412" spans="1:6" ht="15" customHeight="1">
      <c r="A412" s="1014" t="s">
        <v>3064</v>
      </c>
      <c r="B412" s="1015"/>
      <c r="C412" s="1109" t="s">
        <v>2662</v>
      </c>
      <c r="D412" s="1066"/>
      <c r="E412" s="1058"/>
      <c r="F412" s="1059"/>
    </row>
    <row r="413" spans="1:6" ht="28.5" customHeight="1">
      <c r="A413" s="1014" t="s">
        <v>3875</v>
      </c>
      <c r="B413" s="1017">
        <v>1</v>
      </c>
      <c r="C413" s="1177" t="s">
        <v>2178</v>
      </c>
      <c r="D413" s="1066"/>
      <c r="E413" s="1058"/>
      <c r="F413" s="1059"/>
    </row>
    <row r="414" spans="1:6" ht="15" customHeight="1">
      <c r="A414" s="1014" t="s">
        <v>3540</v>
      </c>
      <c r="B414" s="1017"/>
      <c r="C414" s="1116" t="s">
        <v>729</v>
      </c>
      <c r="D414" s="1066"/>
      <c r="E414" s="1058"/>
      <c r="F414" s="1059"/>
    </row>
    <row r="415" spans="1:6" ht="15" customHeight="1">
      <c r="A415" s="1018"/>
      <c r="B415" s="1026"/>
      <c r="C415" s="1118" t="s">
        <v>2654</v>
      </c>
      <c r="D415" s="1066"/>
      <c r="E415" s="1058"/>
      <c r="F415" s="1059"/>
    </row>
    <row r="416" spans="1:6" ht="15" customHeight="1">
      <c r="A416" s="1018" t="s">
        <v>3541</v>
      </c>
      <c r="B416" s="1017">
        <v>12</v>
      </c>
      <c r="C416" s="1115" t="s">
        <v>979</v>
      </c>
      <c r="D416" s="1066"/>
      <c r="E416" s="1058"/>
      <c r="F416" s="1059"/>
    </row>
    <row r="417" spans="1:6" ht="15" customHeight="1">
      <c r="A417" s="1018" t="s">
        <v>3542</v>
      </c>
      <c r="B417" s="1017">
        <v>12</v>
      </c>
      <c r="C417" s="1115" t="s">
        <v>2032</v>
      </c>
      <c r="D417" s="1066"/>
      <c r="E417" s="1058"/>
      <c r="F417" s="1059"/>
    </row>
    <row r="418" spans="1:6" ht="15" customHeight="1">
      <c r="A418" s="1018"/>
      <c r="B418" s="1017">
        <v>2</v>
      </c>
      <c r="C418" s="1115" t="s">
        <v>3889</v>
      </c>
      <c r="D418" s="1066"/>
      <c r="E418" s="1058"/>
      <c r="F418" s="1059"/>
    </row>
    <row r="419" spans="1:6" ht="15" customHeight="1">
      <c r="A419" s="1041" t="s">
        <v>3190</v>
      </c>
      <c r="B419" s="1017"/>
      <c r="C419" s="1117"/>
      <c r="D419" s="1066"/>
      <c r="E419" s="1058"/>
      <c r="F419" s="1059"/>
    </row>
    <row r="420" spans="1:6" ht="15" customHeight="1">
      <c r="A420" s="1042" t="s">
        <v>3543</v>
      </c>
      <c r="B420" s="1017"/>
      <c r="C420" s="1116" t="s">
        <v>729</v>
      </c>
      <c r="D420" s="1066"/>
      <c r="E420" s="1058"/>
      <c r="F420" s="1059"/>
    </row>
    <row r="421" spans="1:6" ht="15" customHeight="1">
      <c r="A421" s="1055" t="s">
        <v>3544</v>
      </c>
      <c r="B421" s="1017">
        <v>1</v>
      </c>
      <c r="C421" s="1119" t="s">
        <v>2908</v>
      </c>
      <c r="D421" s="1066"/>
      <c r="E421" s="1058"/>
      <c r="F421" s="1059"/>
    </row>
    <row r="422" spans="1:6" ht="15" customHeight="1">
      <c r="A422" s="1018"/>
      <c r="B422" s="1017">
        <v>1</v>
      </c>
      <c r="C422" s="1119" t="s">
        <v>2910</v>
      </c>
      <c r="D422" s="1066"/>
      <c r="E422" s="1058"/>
      <c r="F422" s="1059"/>
    </row>
    <row r="423" spans="1:6" ht="15" customHeight="1" thickBot="1">
      <c r="A423" s="1064"/>
      <c r="B423" s="1051">
        <v>1</v>
      </c>
      <c r="C423" s="1120" t="s">
        <v>316</v>
      </c>
      <c r="D423" s="1143"/>
      <c r="E423" s="1061"/>
      <c r="F423" s="1062"/>
    </row>
    <row r="424" spans="1:6" ht="15" customHeight="1">
      <c r="A424" s="1049"/>
      <c r="B424" s="1017"/>
      <c r="C424" s="1112"/>
      <c r="D424" s="1066"/>
      <c r="E424" s="1058"/>
      <c r="F424" s="1059"/>
    </row>
    <row r="425" spans="1:6" ht="15" customHeight="1">
      <c r="A425" s="1060">
        <v>20</v>
      </c>
      <c r="B425" s="1012">
        <v>1</v>
      </c>
      <c r="C425" s="1109" t="s">
        <v>3891</v>
      </c>
      <c r="D425" s="1150">
        <v>1948</v>
      </c>
      <c r="E425" s="1149"/>
      <c r="F425" s="1013">
        <f>+B425*D425</f>
        <v>1948</v>
      </c>
    </row>
    <row r="426" spans="1:6" ht="15" customHeight="1">
      <c r="A426" s="1014" t="s">
        <v>3064</v>
      </c>
      <c r="B426" s="1015"/>
      <c r="C426" s="1109" t="s">
        <v>2662</v>
      </c>
      <c r="D426" s="1066"/>
      <c r="E426" s="1058"/>
      <c r="F426" s="1059"/>
    </row>
    <row r="427" spans="1:6" ht="32.25" customHeight="1">
      <c r="A427" s="1014" t="s">
        <v>3875</v>
      </c>
      <c r="B427" s="1017">
        <v>1</v>
      </c>
      <c r="C427" s="1177" t="s">
        <v>2178</v>
      </c>
      <c r="D427" s="1066"/>
      <c r="E427" s="1058"/>
      <c r="F427" s="1059"/>
    </row>
    <row r="428" spans="1:6" ht="15" customHeight="1">
      <c r="A428" s="1014" t="s">
        <v>3540</v>
      </c>
      <c r="B428" s="1017"/>
      <c r="C428" s="1116" t="s">
        <v>729</v>
      </c>
      <c r="D428" s="1066"/>
      <c r="E428" s="1058"/>
      <c r="F428" s="1059"/>
    </row>
    <row r="429" spans="1:6" ht="15" customHeight="1">
      <c r="A429" s="1018"/>
      <c r="B429" s="1026"/>
      <c r="C429" s="1118" t="s">
        <v>2654</v>
      </c>
      <c r="D429" s="1066"/>
      <c r="E429" s="1058"/>
      <c r="F429" s="1059"/>
    </row>
    <row r="430" spans="1:6" ht="15" customHeight="1">
      <c r="A430" s="1018" t="s">
        <v>3541</v>
      </c>
      <c r="B430" s="1017">
        <v>6</v>
      </c>
      <c r="C430" s="1115" t="s">
        <v>979</v>
      </c>
      <c r="D430" s="1066"/>
      <c r="E430" s="1058"/>
      <c r="F430" s="1059"/>
    </row>
    <row r="431" spans="1:6" ht="15" customHeight="1">
      <c r="A431" s="1018" t="s">
        <v>3542</v>
      </c>
      <c r="B431" s="1017">
        <v>6</v>
      </c>
      <c r="C431" s="1115" t="s">
        <v>2032</v>
      </c>
      <c r="D431" s="1066"/>
      <c r="E431" s="1058"/>
      <c r="F431" s="1059"/>
    </row>
    <row r="432" spans="1:6" ht="15" customHeight="1">
      <c r="A432" s="1018"/>
      <c r="B432" s="1017">
        <v>2</v>
      </c>
      <c r="C432" s="1115" t="s">
        <v>3889</v>
      </c>
      <c r="D432" s="1066"/>
      <c r="E432" s="1058"/>
      <c r="F432" s="1059"/>
    </row>
    <row r="433" spans="1:6" ht="15" customHeight="1">
      <c r="A433" s="1041" t="s">
        <v>3190</v>
      </c>
      <c r="B433" s="1017"/>
      <c r="C433" s="1117"/>
      <c r="D433" s="1066"/>
      <c r="E433" s="1058"/>
      <c r="F433" s="1059"/>
    </row>
    <row r="434" spans="1:6" ht="15" customHeight="1">
      <c r="A434" s="1042" t="s">
        <v>3543</v>
      </c>
      <c r="B434" s="1017"/>
      <c r="C434" s="1116" t="s">
        <v>729</v>
      </c>
      <c r="D434" s="1066"/>
      <c r="E434" s="1058"/>
      <c r="F434" s="1059"/>
    </row>
    <row r="435" spans="1:6" ht="15" customHeight="1">
      <c r="A435" s="1055" t="s">
        <v>3544</v>
      </c>
      <c r="B435" s="1017">
        <v>1</v>
      </c>
      <c r="C435" s="1119" t="s">
        <v>2908</v>
      </c>
      <c r="D435" s="1066"/>
      <c r="E435" s="1058"/>
      <c r="F435" s="1059"/>
    </row>
    <row r="436" spans="1:6" ht="15" customHeight="1">
      <c r="A436" s="1018"/>
      <c r="B436" s="1017">
        <v>1</v>
      </c>
      <c r="C436" s="1119" t="s">
        <v>2910</v>
      </c>
      <c r="D436" s="1066"/>
      <c r="E436" s="1058"/>
      <c r="F436" s="1059"/>
    </row>
    <row r="437" spans="1:6" ht="15" customHeight="1" thickBot="1">
      <c r="A437" s="1064"/>
      <c r="B437" s="1051">
        <v>1</v>
      </c>
      <c r="C437" s="1120" t="s">
        <v>316</v>
      </c>
      <c r="D437" s="1143"/>
      <c r="E437" s="1061"/>
      <c r="F437" s="1062"/>
    </row>
    <row r="438" spans="1:6" ht="15" customHeight="1">
      <c r="A438" s="1049"/>
      <c r="B438" s="1017"/>
      <c r="C438" s="1112"/>
      <c r="D438" s="1066"/>
      <c r="E438" s="1058"/>
      <c r="F438" s="1059"/>
    </row>
    <row r="439" spans="1:6" ht="15" customHeight="1">
      <c r="A439" s="1060">
        <v>22</v>
      </c>
      <c r="B439" s="1012">
        <v>1</v>
      </c>
      <c r="C439" s="1109" t="s">
        <v>3892</v>
      </c>
      <c r="D439" s="1150">
        <v>2433</v>
      </c>
      <c r="E439" s="1149"/>
      <c r="F439" s="1013">
        <f>+B439*D439</f>
        <v>2433</v>
      </c>
    </row>
    <row r="440" spans="1:6" ht="15" customHeight="1">
      <c r="A440" s="1014" t="s">
        <v>3064</v>
      </c>
      <c r="B440" s="1015"/>
      <c r="C440" s="1109" t="s">
        <v>2662</v>
      </c>
      <c r="D440" s="1066"/>
      <c r="E440" s="1058"/>
      <c r="F440" s="1059"/>
    </row>
    <row r="441" spans="1:6" ht="28.5" customHeight="1">
      <c r="A441" s="1014" t="s">
        <v>3875</v>
      </c>
      <c r="B441" s="1017">
        <v>1</v>
      </c>
      <c r="C441" s="1177" t="s">
        <v>2178</v>
      </c>
      <c r="D441" s="1066"/>
      <c r="E441" s="1058"/>
      <c r="F441" s="1059"/>
    </row>
    <row r="442" spans="1:6" ht="15" customHeight="1">
      <c r="A442" s="1014" t="s">
        <v>3540</v>
      </c>
      <c r="B442" s="1017"/>
      <c r="C442" s="1116" t="s">
        <v>729</v>
      </c>
      <c r="D442" s="1066"/>
      <c r="E442" s="1058"/>
      <c r="F442" s="1059"/>
    </row>
    <row r="443" spans="1:6" ht="15" customHeight="1">
      <c r="A443" s="1018"/>
      <c r="B443" s="1026"/>
      <c r="C443" s="1118" t="s">
        <v>2654</v>
      </c>
      <c r="D443" s="1066"/>
      <c r="E443" s="1058"/>
      <c r="F443" s="1059"/>
    </row>
    <row r="444" spans="1:6" ht="15" customHeight="1">
      <c r="A444" s="1018" t="s">
        <v>3541</v>
      </c>
      <c r="B444" s="1017">
        <v>9</v>
      </c>
      <c r="C444" s="1115" t="s">
        <v>979</v>
      </c>
      <c r="D444" s="1066"/>
      <c r="E444" s="1058"/>
      <c r="F444" s="1059"/>
    </row>
    <row r="445" spans="1:6" ht="15" customHeight="1">
      <c r="A445" s="1018" t="s">
        <v>3542</v>
      </c>
      <c r="B445" s="1017">
        <v>9</v>
      </c>
      <c r="C445" s="1115" t="s">
        <v>2032</v>
      </c>
      <c r="D445" s="1066"/>
      <c r="E445" s="1058"/>
      <c r="F445" s="1059"/>
    </row>
    <row r="446" spans="1:6" ht="15" customHeight="1">
      <c r="A446" s="1018"/>
      <c r="B446" s="1017">
        <v>3</v>
      </c>
      <c r="C446" s="1115" t="s">
        <v>3889</v>
      </c>
      <c r="D446" s="1066"/>
      <c r="E446" s="1058"/>
      <c r="F446" s="1059"/>
    </row>
    <row r="447" spans="1:6" ht="15" customHeight="1">
      <c r="A447" s="1041" t="s">
        <v>3190</v>
      </c>
      <c r="B447" s="1017"/>
      <c r="C447" s="1117"/>
      <c r="D447" s="1066"/>
      <c r="E447" s="1058"/>
      <c r="F447" s="1059"/>
    </row>
    <row r="448" spans="1:6" ht="15" customHeight="1">
      <c r="A448" s="1042" t="s">
        <v>3543</v>
      </c>
      <c r="B448" s="1017"/>
      <c r="C448" s="1116" t="s">
        <v>729</v>
      </c>
      <c r="D448" s="1066"/>
      <c r="E448" s="1058"/>
      <c r="F448" s="1059"/>
    </row>
    <row r="449" spans="1:6" ht="15" customHeight="1">
      <c r="A449" s="1055" t="s">
        <v>3544</v>
      </c>
      <c r="B449" s="1017">
        <v>1</v>
      </c>
      <c r="C449" s="1119" t="s">
        <v>2908</v>
      </c>
      <c r="D449" s="1066"/>
      <c r="E449" s="1058"/>
      <c r="F449" s="1059"/>
    </row>
    <row r="450" spans="1:6" ht="15" customHeight="1">
      <c r="A450" s="1018"/>
      <c r="B450" s="1017">
        <v>1</v>
      </c>
      <c r="C450" s="1119" t="s">
        <v>2910</v>
      </c>
      <c r="D450" s="1066"/>
      <c r="E450" s="1058"/>
      <c r="F450" s="1059"/>
    </row>
    <row r="451" spans="1:6" ht="15" customHeight="1" thickBot="1">
      <c r="A451" s="1064"/>
      <c r="B451" s="1051">
        <v>1</v>
      </c>
      <c r="C451" s="1120" t="s">
        <v>316</v>
      </c>
      <c r="D451" s="1143"/>
      <c r="E451" s="1061"/>
      <c r="F451" s="1062"/>
    </row>
    <row r="452" spans="1:6" ht="15" customHeight="1">
      <c r="A452" s="1049"/>
      <c r="B452" s="1017"/>
      <c r="C452" s="1112"/>
      <c r="D452" s="1066"/>
      <c r="E452" s="1058"/>
      <c r="F452" s="1059"/>
    </row>
    <row r="453" spans="1:6" ht="15" customHeight="1">
      <c r="A453" s="1060">
        <v>29</v>
      </c>
      <c r="B453" s="1012">
        <v>1</v>
      </c>
      <c r="C453" s="1109" t="s">
        <v>3893</v>
      </c>
      <c r="D453" s="1150">
        <v>1751</v>
      </c>
      <c r="E453" s="1149"/>
      <c r="F453" s="1013">
        <f>+B453*D453</f>
        <v>1751</v>
      </c>
    </row>
    <row r="454" spans="1:6" ht="15" customHeight="1">
      <c r="A454" s="1014" t="s">
        <v>3064</v>
      </c>
      <c r="B454" s="1015"/>
      <c r="C454" s="1109" t="s">
        <v>2662</v>
      </c>
      <c r="D454" s="1154"/>
      <c r="E454" s="1155"/>
      <c r="F454" s="1059"/>
    </row>
    <row r="455" spans="1:6" ht="27" customHeight="1">
      <c r="A455" s="1014" t="s">
        <v>3875</v>
      </c>
      <c r="B455" s="1017">
        <v>1</v>
      </c>
      <c r="C455" s="1177" t="s">
        <v>2178</v>
      </c>
      <c r="D455" s="1135"/>
      <c r="E455" s="1156"/>
      <c r="F455" s="1059"/>
    </row>
    <row r="456" spans="1:6" ht="15" customHeight="1">
      <c r="A456" s="1014" t="s">
        <v>3540</v>
      </c>
      <c r="B456" s="1017"/>
      <c r="C456" s="1116" t="s">
        <v>729</v>
      </c>
      <c r="D456" s="1135"/>
      <c r="E456" s="1156"/>
      <c r="F456" s="1059"/>
    </row>
    <row r="457" spans="1:6" ht="15" customHeight="1">
      <c r="A457" s="1018"/>
      <c r="B457" s="1026"/>
      <c r="C457" s="1118" t="s">
        <v>2654</v>
      </c>
      <c r="D457" s="1066"/>
      <c r="E457" s="1058"/>
      <c r="F457" s="1059"/>
    </row>
    <row r="458" spans="1:6" ht="15" customHeight="1">
      <c r="A458" s="1018" t="s">
        <v>3541</v>
      </c>
      <c r="B458" s="1017">
        <v>6</v>
      </c>
      <c r="C458" s="1115" t="s">
        <v>979</v>
      </c>
      <c r="D458" s="1066"/>
      <c r="E458" s="1058"/>
      <c r="F458" s="1059"/>
    </row>
    <row r="459" spans="1:6" ht="15" customHeight="1">
      <c r="A459" s="1018" t="s">
        <v>3542</v>
      </c>
      <c r="B459" s="1017">
        <v>6</v>
      </c>
      <c r="C459" s="1115" t="s">
        <v>1995</v>
      </c>
      <c r="D459" s="1066"/>
      <c r="E459" s="1058"/>
      <c r="F459" s="1059"/>
    </row>
    <row r="460" spans="1:6" ht="15" customHeight="1">
      <c r="A460" s="1018"/>
      <c r="B460" s="1017">
        <v>2</v>
      </c>
      <c r="C460" s="1115" t="s">
        <v>3889</v>
      </c>
      <c r="D460" s="1066"/>
      <c r="E460" s="1058"/>
      <c r="F460" s="1059"/>
    </row>
    <row r="461" spans="1:6" ht="15" customHeight="1">
      <c r="A461" s="1041" t="s">
        <v>3190</v>
      </c>
      <c r="B461" s="1017"/>
      <c r="C461" s="1117"/>
      <c r="D461" s="2659"/>
      <c r="E461" s="2660"/>
      <c r="F461" s="1016"/>
    </row>
    <row r="462" spans="1:6" ht="15" customHeight="1">
      <c r="A462" s="1042" t="s">
        <v>3543</v>
      </c>
      <c r="B462" s="1017"/>
      <c r="C462" s="1116" t="s">
        <v>729</v>
      </c>
      <c r="D462" s="1066"/>
      <c r="E462" s="1058"/>
      <c r="F462" s="1059"/>
    </row>
    <row r="463" spans="1:6" ht="15" customHeight="1">
      <c r="A463" s="1055" t="s">
        <v>3544</v>
      </c>
      <c r="B463" s="1017">
        <v>1</v>
      </c>
      <c r="C463" s="1115" t="s">
        <v>1426</v>
      </c>
      <c r="D463" s="1066"/>
      <c r="E463" s="1058"/>
      <c r="F463" s="1059"/>
    </row>
    <row r="464" spans="1:6" ht="15" customHeight="1">
      <c r="A464" s="1018"/>
      <c r="B464" s="1017">
        <v>1</v>
      </c>
      <c r="C464" s="1115" t="s">
        <v>1157</v>
      </c>
      <c r="D464" s="1066"/>
      <c r="E464" s="1058"/>
      <c r="F464" s="1059"/>
    </row>
    <row r="465" spans="1:6" ht="15" customHeight="1">
      <c r="A465" s="1065"/>
      <c r="B465" s="1017"/>
      <c r="C465" s="1116" t="s">
        <v>729</v>
      </c>
      <c r="D465" s="1066"/>
      <c r="E465" s="1058"/>
      <c r="F465" s="1059"/>
    </row>
    <row r="466" spans="1:6" ht="15" customHeight="1">
      <c r="A466" s="1024"/>
      <c r="B466" s="1017">
        <v>1</v>
      </c>
      <c r="C466" s="1119" t="s">
        <v>2908</v>
      </c>
      <c r="D466" s="1066"/>
      <c r="E466" s="1058"/>
      <c r="F466" s="1059"/>
    </row>
    <row r="467" spans="1:6" ht="15" customHeight="1" thickBot="1">
      <c r="A467" s="1050"/>
      <c r="B467" s="1051">
        <v>1</v>
      </c>
      <c r="C467" s="1120" t="s">
        <v>316</v>
      </c>
      <c r="D467" s="1143"/>
      <c r="E467" s="1061"/>
      <c r="F467" s="1062"/>
    </row>
    <row r="468" spans="1:6" ht="15" customHeight="1">
      <c r="A468" s="1049"/>
      <c r="B468" s="1017"/>
      <c r="C468" s="1112"/>
      <c r="D468" s="1066"/>
      <c r="E468" s="1058"/>
      <c r="F468" s="1059"/>
    </row>
    <row r="469" spans="1:6" ht="15" customHeight="1">
      <c r="A469" s="1060">
        <v>30</v>
      </c>
      <c r="B469" s="1012">
        <v>1</v>
      </c>
      <c r="C469" s="1109" t="s">
        <v>3894</v>
      </c>
      <c r="D469" s="1150">
        <v>1136</v>
      </c>
      <c r="E469" s="1149"/>
      <c r="F469" s="1013">
        <f>+B469*D469</f>
        <v>1136</v>
      </c>
    </row>
    <row r="470" spans="1:6" ht="15" customHeight="1">
      <c r="A470" s="1014" t="s">
        <v>3064</v>
      </c>
      <c r="B470" s="1015"/>
      <c r="C470" s="1109" t="s">
        <v>2662</v>
      </c>
      <c r="D470" s="1066"/>
      <c r="E470" s="1058"/>
      <c r="F470" s="1059"/>
    </row>
    <row r="471" spans="1:6" ht="25.5" customHeight="1">
      <c r="A471" s="1014" t="s">
        <v>3875</v>
      </c>
      <c r="B471" s="1017">
        <v>1</v>
      </c>
      <c r="C471" s="1177" t="s">
        <v>2178</v>
      </c>
      <c r="D471" s="1066"/>
      <c r="E471" s="1058"/>
      <c r="F471" s="1059"/>
    </row>
    <row r="472" spans="1:6" ht="15" customHeight="1">
      <c r="A472" s="1014" t="s">
        <v>3540</v>
      </c>
      <c r="B472" s="1017"/>
      <c r="C472" s="1116" t="s">
        <v>729</v>
      </c>
      <c r="D472" s="1066"/>
      <c r="E472" s="1058"/>
      <c r="F472" s="1059"/>
    </row>
    <row r="473" spans="1:6" ht="15" customHeight="1">
      <c r="A473" s="1018"/>
      <c r="B473" s="1026"/>
      <c r="C473" s="1118" t="s">
        <v>2654</v>
      </c>
      <c r="D473" s="1066"/>
      <c r="E473" s="1058"/>
      <c r="F473" s="1059"/>
    </row>
    <row r="474" spans="1:6" ht="15" customHeight="1">
      <c r="A474" s="1018" t="s">
        <v>3541</v>
      </c>
      <c r="B474" s="1017">
        <v>3</v>
      </c>
      <c r="C474" s="1115" t="s">
        <v>979</v>
      </c>
      <c r="D474" s="2659"/>
      <c r="E474" s="2660"/>
      <c r="F474" s="1016"/>
    </row>
    <row r="475" spans="1:6" ht="15" customHeight="1">
      <c r="A475" s="1018" t="s">
        <v>3542</v>
      </c>
      <c r="B475" s="1017">
        <v>3</v>
      </c>
      <c r="C475" s="1115" t="s">
        <v>1995</v>
      </c>
      <c r="D475" s="1066"/>
      <c r="E475" s="1058"/>
      <c r="F475" s="1059"/>
    </row>
    <row r="476" spans="1:6" ht="15" customHeight="1">
      <c r="A476" s="1018"/>
      <c r="B476" s="1017">
        <v>3</v>
      </c>
      <c r="C476" s="1115" t="s">
        <v>3889</v>
      </c>
      <c r="D476" s="1066"/>
      <c r="E476" s="1058"/>
      <c r="F476" s="1059"/>
    </row>
    <row r="477" spans="1:6" ht="15" customHeight="1">
      <c r="A477" s="1041" t="s">
        <v>3190</v>
      </c>
      <c r="B477" s="1017"/>
      <c r="C477" s="1117"/>
      <c r="D477" s="1066"/>
      <c r="E477" s="1058"/>
      <c r="F477" s="1059"/>
    </row>
    <row r="478" spans="1:6" ht="15" customHeight="1">
      <c r="A478" s="1042" t="s">
        <v>3543</v>
      </c>
      <c r="B478" s="1017"/>
      <c r="C478" s="1116" t="s">
        <v>729</v>
      </c>
      <c r="D478" s="1066"/>
      <c r="E478" s="1058"/>
      <c r="F478" s="1059"/>
    </row>
    <row r="479" spans="1:6" ht="15" customHeight="1">
      <c r="A479" s="1055" t="s">
        <v>3544</v>
      </c>
      <c r="B479" s="1017">
        <v>1</v>
      </c>
      <c r="C479" s="1119" t="s">
        <v>2908</v>
      </c>
      <c r="D479" s="1066"/>
      <c r="E479" s="1058"/>
      <c r="F479" s="1059"/>
    </row>
    <row r="480" spans="1:6" ht="15" customHeight="1" thickBot="1">
      <c r="A480" s="1064"/>
      <c r="B480" s="1051">
        <v>1</v>
      </c>
      <c r="C480" s="1120" t="s">
        <v>316</v>
      </c>
      <c r="D480" s="1143"/>
      <c r="E480" s="1061"/>
      <c r="F480" s="1062"/>
    </row>
    <row r="481" spans="1:6" ht="15" customHeight="1">
      <c r="A481" s="1049"/>
      <c r="B481" s="1017"/>
      <c r="C481" s="1112"/>
      <c r="D481" s="1066"/>
      <c r="E481" s="1058"/>
      <c r="F481" s="1059"/>
    </row>
    <row r="482" spans="1:6" ht="15" customHeight="1">
      <c r="A482" s="1060">
        <v>31</v>
      </c>
      <c r="B482" s="1012">
        <v>1</v>
      </c>
      <c r="C482" s="1109" t="s">
        <v>3895</v>
      </c>
      <c r="D482" s="1150">
        <v>1136</v>
      </c>
      <c r="E482" s="1149"/>
      <c r="F482" s="1013">
        <f>+B482*D482</f>
        <v>1136</v>
      </c>
    </row>
    <row r="483" spans="1:6" ht="15" customHeight="1">
      <c r="A483" s="1014" t="s">
        <v>3064</v>
      </c>
      <c r="B483" s="1015"/>
      <c r="C483" s="1109" t="s">
        <v>2662</v>
      </c>
      <c r="D483" s="1066"/>
      <c r="E483" s="1058"/>
      <c r="F483" s="1059"/>
    </row>
    <row r="484" spans="1:6" ht="29.25" customHeight="1">
      <c r="A484" s="1014" t="s">
        <v>3875</v>
      </c>
      <c r="B484" s="1017">
        <v>1</v>
      </c>
      <c r="C484" s="1177" t="s">
        <v>2178</v>
      </c>
      <c r="D484" s="1066"/>
      <c r="E484" s="1058"/>
      <c r="F484" s="1059"/>
    </row>
    <row r="485" spans="1:6" ht="15" customHeight="1">
      <c r="A485" s="1014" t="s">
        <v>3540</v>
      </c>
      <c r="B485" s="1017"/>
      <c r="C485" s="1116" t="s">
        <v>729</v>
      </c>
      <c r="D485" s="1066"/>
      <c r="E485" s="1058"/>
      <c r="F485" s="1059"/>
    </row>
    <row r="486" spans="1:6" ht="15" customHeight="1">
      <c r="A486" s="1018"/>
      <c r="B486" s="1026"/>
      <c r="C486" s="1118" t="s">
        <v>2654</v>
      </c>
      <c r="D486" s="1066"/>
      <c r="E486" s="1058"/>
      <c r="F486" s="1059"/>
    </row>
    <row r="487" spans="1:6" ht="15" customHeight="1">
      <c r="A487" s="1018" t="s">
        <v>3541</v>
      </c>
      <c r="B487" s="1017">
        <v>3</v>
      </c>
      <c r="C487" s="1115" t="s">
        <v>979</v>
      </c>
      <c r="D487" s="1066"/>
      <c r="E487" s="1058"/>
      <c r="F487" s="1059"/>
    </row>
    <row r="488" spans="1:6" ht="15" customHeight="1">
      <c r="A488" s="1018" t="s">
        <v>3542</v>
      </c>
      <c r="B488" s="1017">
        <v>3</v>
      </c>
      <c r="C488" s="1115" t="s">
        <v>1995</v>
      </c>
      <c r="D488" s="1066"/>
      <c r="E488" s="1058"/>
      <c r="F488" s="1059"/>
    </row>
    <row r="489" spans="1:6" ht="15" customHeight="1">
      <c r="A489" s="1018"/>
      <c r="B489" s="1017">
        <v>3</v>
      </c>
      <c r="C489" s="1115" t="s">
        <v>3889</v>
      </c>
      <c r="D489" s="1066"/>
      <c r="E489" s="1058"/>
      <c r="F489" s="1059"/>
    </row>
    <row r="490" spans="1:6" ht="15" customHeight="1">
      <c r="A490" s="1041" t="s">
        <v>3190</v>
      </c>
      <c r="B490" s="1017"/>
      <c r="C490" s="1117"/>
      <c r="D490" s="1066"/>
      <c r="E490" s="1058"/>
      <c r="F490" s="1059"/>
    </row>
    <row r="491" spans="1:6" ht="15" customHeight="1">
      <c r="A491" s="1042" t="s">
        <v>3543</v>
      </c>
      <c r="B491" s="1017"/>
      <c r="C491" s="1116" t="s">
        <v>729</v>
      </c>
      <c r="D491" s="1066"/>
      <c r="E491" s="1058"/>
      <c r="F491" s="1059"/>
    </row>
    <row r="492" spans="1:6" ht="15" customHeight="1">
      <c r="A492" s="1055" t="s">
        <v>3544</v>
      </c>
      <c r="B492" s="1017">
        <v>1</v>
      </c>
      <c r="C492" s="1119" t="s">
        <v>2908</v>
      </c>
      <c r="D492" s="1066"/>
      <c r="E492" s="1058"/>
      <c r="F492" s="1059"/>
    </row>
    <row r="493" spans="1:6" ht="15" customHeight="1" thickBot="1">
      <c r="A493" s="1064"/>
      <c r="B493" s="1051">
        <v>1</v>
      </c>
      <c r="C493" s="1120" t="s">
        <v>316</v>
      </c>
      <c r="D493" s="2661"/>
      <c r="E493" s="2662"/>
      <c r="F493" s="1036"/>
    </row>
    <row r="494" spans="1:6" ht="15" customHeight="1">
      <c r="A494" s="1049"/>
      <c r="B494" s="1017"/>
      <c r="C494" s="1112"/>
      <c r="D494" s="1066"/>
      <c r="E494" s="1058"/>
      <c r="F494" s="1059"/>
    </row>
    <row r="495" spans="1:6" ht="15" customHeight="1">
      <c r="A495" s="1060">
        <v>32</v>
      </c>
      <c r="B495" s="1012">
        <v>1</v>
      </c>
      <c r="C495" s="1109" t="s">
        <v>3896</v>
      </c>
      <c r="D495" s="1150">
        <v>1136</v>
      </c>
      <c r="E495" s="1149"/>
      <c r="F495" s="1013">
        <f>+B495*D495</f>
        <v>1136</v>
      </c>
    </row>
    <row r="496" spans="1:6" ht="15" customHeight="1">
      <c r="A496" s="1014" t="s">
        <v>3064</v>
      </c>
      <c r="B496" s="1015"/>
      <c r="C496" s="1109" t="s">
        <v>2662</v>
      </c>
      <c r="D496" s="1066"/>
      <c r="E496" s="1058"/>
      <c r="F496" s="1059"/>
    </row>
    <row r="497" spans="1:6" ht="24.75" customHeight="1">
      <c r="A497" s="1014" t="s">
        <v>3875</v>
      </c>
      <c r="B497" s="1017">
        <v>1</v>
      </c>
      <c r="C497" s="1177" t="s">
        <v>2178</v>
      </c>
      <c r="D497" s="1066"/>
      <c r="E497" s="1058"/>
      <c r="F497" s="1059"/>
    </row>
    <row r="498" spans="1:6" ht="15" customHeight="1">
      <c r="A498" s="1014" t="s">
        <v>3540</v>
      </c>
      <c r="B498" s="1017"/>
      <c r="C498" s="1116" t="s">
        <v>729</v>
      </c>
      <c r="D498" s="1066"/>
      <c r="E498" s="1058"/>
      <c r="F498" s="1059"/>
    </row>
    <row r="499" spans="1:6" ht="15" customHeight="1">
      <c r="A499" s="1018"/>
      <c r="B499" s="1026"/>
      <c r="C499" s="1118" t="s">
        <v>2654</v>
      </c>
      <c r="D499" s="1066"/>
      <c r="E499" s="1058"/>
      <c r="F499" s="1059"/>
    </row>
    <row r="500" spans="1:6" ht="15" customHeight="1">
      <c r="A500" s="1018" t="s">
        <v>3541</v>
      </c>
      <c r="B500" s="1017">
        <v>3</v>
      </c>
      <c r="C500" s="1115" t="s">
        <v>979</v>
      </c>
      <c r="D500" s="1066"/>
      <c r="E500" s="1058"/>
      <c r="F500" s="1059"/>
    </row>
    <row r="501" spans="1:6" ht="15" customHeight="1">
      <c r="A501" s="1018" t="s">
        <v>3542</v>
      </c>
      <c r="B501" s="1017">
        <v>3</v>
      </c>
      <c r="C501" s="1115" t="s">
        <v>1995</v>
      </c>
      <c r="D501" s="1066"/>
      <c r="E501" s="1058"/>
      <c r="F501" s="1059"/>
    </row>
    <row r="502" spans="1:6" ht="15" customHeight="1">
      <c r="A502" s="1018"/>
      <c r="B502" s="1017">
        <v>3</v>
      </c>
      <c r="C502" s="1115" t="s">
        <v>3889</v>
      </c>
      <c r="D502" s="1066"/>
      <c r="E502" s="1058"/>
      <c r="F502" s="1059"/>
    </row>
    <row r="503" spans="1:6" ht="15" customHeight="1">
      <c r="A503" s="1041" t="s">
        <v>3190</v>
      </c>
      <c r="B503" s="1017"/>
      <c r="C503" s="1117"/>
      <c r="D503" s="1066"/>
      <c r="E503" s="1058"/>
      <c r="F503" s="1059"/>
    </row>
    <row r="504" spans="1:6" ht="15" customHeight="1">
      <c r="A504" s="1042" t="s">
        <v>3543</v>
      </c>
      <c r="B504" s="1017"/>
      <c r="C504" s="1116" t="s">
        <v>729</v>
      </c>
      <c r="D504" s="1066"/>
      <c r="E504" s="1058"/>
      <c r="F504" s="1059"/>
    </row>
    <row r="505" spans="1:6" ht="15" customHeight="1">
      <c r="A505" s="1055" t="s">
        <v>3544</v>
      </c>
      <c r="B505" s="1017">
        <v>1</v>
      </c>
      <c r="C505" s="1119" t="s">
        <v>2908</v>
      </c>
      <c r="D505" s="1066"/>
      <c r="E505" s="1058"/>
      <c r="F505" s="1059"/>
    </row>
    <row r="506" spans="1:6" ht="15" customHeight="1" thickBot="1">
      <c r="A506" s="1064"/>
      <c r="B506" s="1051">
        <v>1</v>
      </c>
      <c r="C506" s="1120" t="s">
        <v>316</v>
      </c>
      <c r="D506" s="1143"/>
      <c r="E506" s="1061"/>
      <c r="F506" s="1062"/>
    </row>
    <row r="507" spans="1:6" ht="15" customHeight="1">
      <c r="A507" s="1018"/>
      <c r="B507" s="1048"/>
      <c r="C507" s="1116"/>
      <c r="D507" s="2657"/>
      <c r="E507" s="2658"/>
      <c r="F507" s="1016"/>
    </row>
    <row r="508" spans="1:6" ht="15" customHeight="1">
      <c r="A508" s="1060">
        <v>35</v>
      </c>
      <c r="B508" s="1012">
        <v>1</v>
      </c>
      <c r="C508" s="1109" t="s">
        <v>3898</v>
      </c>
      <c r="D508" s="1150">
        <v>6882</v>
      </c>
      <c r="E508" s="1149"/>
      <c r="F508" s="1013">
        <f>+B508*D508</f>
        <v>6882</v>
      </c>
    </row>
    <row r="509" spans="1:6" ht="15" customHeight="1">
      <c r="A509" s="1014" t="s">
        <v>3064</v>
      </c>
      <c r="B509" s="1015"/>
      <c r="C509" s="1109" t="s">
        <v>2662</v>
      </c>
      <c r="D509" s="2659"/>
      <c r="E509" s="2660"/>
      <c r="F509" s="1016"/>
    </row>
    <row r="510" spans="1:6" ht="26.25" customHeight="1">
      <c r="A510" s="1014" t="s">
        <v>3875</v>
      </c>
      <c r="B510" s="1017">
        <v>1</v>
      </c>
      <c r="C510" s="1177" t="s">
        <v>3717</v>
      </c>
      <c r="D510" s="1066"/>
      <c r="E510" s="1058"/>
      <c r="F510" s="1059"/>
    </row>
    <row r="511" spans="1:6" ht="15" customHeight="1">
      <c r="A511" s="1014" t="s">
        <v>3540</v>
      </c>
      <c r="B511" s="1017"/>
      <c r="C511" s="1116" t="s">
        <v>729</v>
      </c>
      <c r="D511" s="1066"/>
      <c r="E511" s="1058"/>
      <c r="F511" s="1059"/>
    </row>
    <row r="512" spans="1:6" ht="15" customHeight="1">
      <c r="A512" s="1018"/>
      <c r="B512" s="1026"/>
      <c r="C512" s="1118" t="s">
        <v>2654</v>
      </c>
      <c r="D512" s="1066"/>
      <c r="E512" s="1058"/>
      <c r="F512" s="1059"/>
    </row>
    <row r="513" spans="1:6" ht="27" customHeight="1">
      <c r="A513" s="1018" t="s">
        <v>3541</v>
      </c>
      <c r="B513" s="1017">
        <v>1</v>
      </c>
      <c r="C513" s="1177" t="s">
        <v>3719</v>
      </c>
      <c r="D513" s="2659"/>
      <c r="E513" s="2660"/>
      <c r="F513" s="1016"/>
    </row>
    <row r="514" spans="1:6" ht="27" customHeight="1">
      <c r="A514" s="1018" t="s">
        <v>3542</v>
      </c>
      <c r="B514" s="1017">
        <v>2</v>
      </c>
      <c r="C514" s="1177" t="s">
        <v>2184</v>
      </c>
      <c r="D514" s="1066"/>
      <c r="E514" s="1058"/>
      <c r="F514" s="1059"/>
    </row>
    <row r="515" spans="1:6" ht="26.25" customHeight="1">
      <c r="A515" s="1018"/>
      <c r="B515" s="1017">
        <v>1</v>
      </c>
      <c r="C515" s="1177" t="s">
        <v>3699</v>
      </c>
      <c r="D515" s="1066"/>
      <c r="E515" s="1058"/>
      <c r="F515" s="1059"/>
    </row>
    <row r="516" spans="1:6" ht="28.5" customHeight="1">
      <c r="A516" s="1041" t="s">
        <v>3190</v>
      </c>
      <c r="B516" s="1017">
        <v>1</v>
      </c>
      <c r="C516" s="1177" t="s">
        <v>1482</v>
      </c>
      <c r="D516" s="1066"/>
      <c r="E516" s="1058"/>
      <c r="F516" s="1059"/>
    </row>
    <row r="517" spans="1:6" ht="23.25" customHeight="1">
      <c r="A517" s="1042" t="s">
        <v>3543</v>
      </c>
      <c r="B517" s="1017">
        <v>4</v>
      </c>
      <c r="C517" s="1177" t="s">
        <v>2178</v>
      </c>
      <c r="D517" s="1066"/>
      <c r="E517" s="1058"/>
      <c r="F517" s="1059"/>
    </row>
    <row r="518" spans="1:6" ht="15" customHeight="1">
      <c r="A518" s="1055" t="s">
        <v>3544</v>
      </c>
      <c r="B518" s="1017">
        <v>1</v>
      </c>
      <c r="C518" s="1115" t="s">
        <v>3876</v>
      </c>
      <c r="D518" s="1066"/>
      <c r="E518" s="1058"/>
      <c r="F518" s="1059"/>
    </row>
    <row r="519" spans="1:6" ht="15" customHeight="1">
      <c r="A519" s="1033"/>
      <c r="B519" s="1017"/>
      <c r="C519" s="1116" t="s">
        <v>729</v>
      </c>
      <c r="D519" s="1066"/>
      <c r="E519" s="1058"/>
      <c r="F519" s="1059"/>
    </row>
    <row r="520" spans="1:6" ht="28.5" customHeight="1">
      <c r="A520" s="1018"/>
      <c r="B520" s="1017">
        <v>1</v>
      </c>
      <c r="C520" s="1177" t="s">
        <v>2079</v>
      </c>
      <c r="D520" s="1066"/>
      <c r="E520" s="1058"/>
      <c r="F520" s="1059"/>
    </row>
    <row r="521" spans="1:6" ht="30" customHeight="1">
      <c r="A521" s="1018"/>
      <c r="B521" s="1017">
        <v>1</v>
      </c>
      <c r="C521" s="1177" t="s">
        <v>1479</v>
      </c>
      <c r="D521" s="1066"/>
      <c r="E521" s="1058"/>
      <c r="F521" s="1059"/>
    </row>
    <row r="522" spans="1:6" ht="15" customHeight="1">
      <c r="A522" s="1055"/>
      <c r="B522" s="1017"/>
      <c r="C522" s="1116" t="s">
        <v>729</v>
      </c>
      <c r="D522" s="2659"/>
      <c r="E522" s="2660"/>
      <c r="F522" s="1016"/>
    </row>
    <row r="523" spans="1:6" ht="15" customHeight="1">
      <c r="A523" s="1065"/>
      <c r="B523" s="1017">
        <v>1</v>
      </c>
      <c r="C523" s="1119" t="s">
        <v>2908</v>
      </c>
      <c r="D523" s="1066"/>
      <c r="E523" s="1058"/>
      <c r="F523" s="1059"/>
    </row>
    <row r="524" spans="1:6" ht="15" customHeight="1" thickBot="1">
      <c r="A524" s="1050"/>
      <c r="B524" s="1051">
        <v>1</v>
      </c>
      <c r="C524" s="1120" t="s">
        <v>316</v>
      </c>
      <c r="D524" s="2661"/>
      <c r="E524" s="2662"/>
      <c r="F524" s="1036"/>
    </row>
    <row r="525" spans="1:6" ht="15" customHeight="1">
      <c r="A525" s="1049"/>
      <c r="B525" s="1017"/>
      <c r="C525" s="1112"/>
      <c r="D525" s="1066"/>
      <c r="E525" s="1058"/>
      <c r="F525" s="1059"/>
    </row>
    <row r="526" spans="1:6" ht="15" customHeight="1">
      <c r="A526" s="1060">
        <v>36</v>
      </c>
      <c r="B526" s="1012">
        <v>1</v>
      </c>
      <c r="C526" s="1109" t="s">
        <v>3899</v>
      </c>
      <c r="D526" s="1150">
        <v>3163</v>
      </c>
      <c r="E526" s="1149"/>
      <c r="F526" s="1013">
        <f>+B526*D526</f>
        <v>3163</v>
      </c>
    </row>
    <row r="527" spans="1:6" ht="15" customHeight="1">
      <c r="A527" s="1014" t="s">
        <v>3064</v>
      </c>
      <c r="B527" s="1015"/>
      <c r="C527" s="1109" t="s">
        <v>2662</v>
      </c>
      <c r="D527" s="1066"/>
      <c r="E527" s="1058"/>
      <c r="F527" s="1059"/>
    </row>
    <row r="528" spans="1:6" ht="29.25" customHeight="1">
      <c r="A528" s="1014" t="s">
        <v>3875</v>
      </c>
      <c r="B528" s="1017">
        <v>1</v>
      </c>
      <c r="C528" s="1177" t="s">
        <v>2178</v>
      </c>
      <c r="D528" s="1066"/>
      <c r="E528" s="1058"/>
      <c r="F528" s="1059"/>
    </row>
    <row r="529" spans="1:6" ht="15" customHeight="1">
      <c r="A529" s="1014" t="s">
        <v>3540</v>
      </c>
      <c r="B529" s="1017"/>
      <c r="C529" s="1116" t="s">
        <v>729</v>
      </c>
      <c r="D529" s="1066"/>
      <c r="E529" s="1058"/>
      <c r="F529" s="1059"/>
    </row>
    <row r="530" spans="1:6" ht="15" customHeight="1">
      <c r="A530" s="1018"/>
      <c r="B530" s="1026"/>
      <c r="C530" s="1118" t="s">
        <v>2654</v>
      </c>
      <c r="D530" s="1066"/>
      <c r="E530" s="1058"/>
      <c r="F530" s="1059"/>
    </row>
    <row r="531" spans="1:6" ht="15" customHeight="1">
      <c r="A531" s="1018" t="s">
        <v>3541</v>
      </c>
      <c r="B531" s="1017">
        <v>15</v>
      </c>
      <c r="C531" s="1115" t="s">
        <v>979</v>
      </c>
      <c r="D531" s="1066"/>
      <c r="E531" s="1058"/>
      <c r="F531" s="1059"/>
    </row>
    <row r="532" spans="1:6" ht="15" customHeight="1">
      <c r="A532" s="1018" t="s">
        <v>3542</v>
      </c>
      <c r="B532" s="1017">
        <v>15</v>
      </c>
      <c r="C532" s="1115" t="s">
        <v>1995</v>
      </c>
      <c r="D532" s="1066"/>
      <c r="E532" s="1058"/>
      <c r="F532" s="1059"/>
    </row>
    <row r="533" spans="1:6" ht="15" customHeight="1">
      <c r="A533" s="1018"/>
      <c r="B533" s="1017">
        <v>3</v>
      </c>
      <c r="C533" s="1115" t="s">
        <v>3889</v>
      </c>
      <c r="D533" s="1066"/>
      <c r="E533" s="1058"/>
      <c r="F533" s="1059"/>
    </row>
    <row r="534" spans="1:6" ht="15" customHeight="1">
      <c r="A534" s="1041" t="s">
        <v>3190</v>
      </c>
      <c r="B534" s="1017"/>
      <c r="C534" s="1117"/>
      <c r="D534" s="1066"/>
      <c r="E534" s="1058"/>
      <c r="F534" s="1059"/>
    </row>
    <row r="535" spans="1:6" ht="15" customHeight="1">
      <c r="A535" s="1042" t="s">
        <v>3543</v>
      </c>
      <c r="B535" s="1017"/>
      <c r="C535" s="1116" t="s">
        <v>729</v>
      </c>
      <c r="D535" s="1066"/>
      <c r="E535" s="1058"/>
      <c r="F535" s="1059"/>
    </row>
    <row r="536" spans="1:6" ht="15" customHeight="1">
      <c r="A536" s="1055" t="s">
        <v>3544</v>
      </c>
      <c r="B536" s="1017">
        <v>3</v>
      </c>
      <c r="C536" s="1115" t="s">
        <v>1426</v>
      </c>
      <c r="D536" s="1066"/>
      <c r="E536" s="1058"/>
      <c r="F536" s="1059"/>
    </row>
    <row r="537" spans="1:6" ht="15" customHeight="1">
      <c r="A537" s="1018"/>
      <c r="B537" s="1017">
        <v>3</v>
      </c>
      <c r="C537" s="1115" t="s">
        <v>1157</v>
      </c>
      <c r="D537" s="1066"/>
      <c r="E537" s="1058"/>
      <c r="F537" s="1059"/>
    </row>
    <row r="538" spans="1:6" ht="15" customHeight="1">
      <c r="A538" s="1065"/>
      <c r="B538" s="1017"/>
      <c r="C538" s="1116" t="s">
        <v>729</v>
      </c>
      <c r="D538" s="1066"/>
      <c r="E538" s="1058"/>
      <c r="F538" s="1059"/>
    </row>
    <row r="539" spans="1:6" ht="15" customHeight="1">
      <c r="A539" s="1055"/>
      <c r="B539" s="1017">
        <v>1</v>
      </c>
      <c r="C539" s="1119" t="s">
        <v>2908</v>
      </c>
      <c r="D539" s="1066"/>
      <c r="E539" s="1058"/>
      <c r="F539" s="1059"/>
    </row>
    <row r="540" spans="1:6" ht="15" customHeight="1" thickBot="1">
      <c r="A540" s="1064"/>
      <c r="B540" s="1051">
        <v>1</v>
      </c>
      <c r="C540" s="1120" t="s">
        <v>316</v>
      </c>
      <c r="D540" s="1143"/>
      <c r="E540" s="1061"/>
      <c r="F540" s="1062"/>
    </row>
    <row r="541" spans="1:6" ht="15" customHeight="1">
      <c r="A541" s="1049"/>
      <c r="B541" s="1017"/>
      <c r="C541" s="1112"/>
      <c r="D541" s="1066"/>
      <c r="E541" s="1058"/>
      <c r="F541" s="1059"/>
    </row>
    <row r="542" spans="1:6" ht="15" customHeight="1">
      <c r="A542" s="1060">
        <v>37</v>
      </c>
      <c r="B542" s="1012">
        <v>1</v>
      </c>
      <c r="C542" s="1109" t="s">
        <v>3900</v>
      </c>
      <c r="D542" s="1150">
        <v>4886</v>
      </c>
      <c r="E542" s="1149"/>
      <c r="F542" s="1013">
        <f>+B542*D542</f>
        <v>4886</v>
      </c>
    </row>
    <row r="543" spans="1:6" ht="15" customHeight="1">
      <c r="A543" s="1014" t="s">
        <v>3064</v>
      </c>
      <c r="B543" s="1015"/>
      <c r="C543" s="1109" t="s">
        <v>2662</v>
      </c>
      <c r="D543" s="1066"/>
      <c r="E543" s="1058"/>
      <c r="F543" s="1059"/>
    </row>
    <row r="544" spans="1:6" ht="28.5" customHeight="1">
      <c r="A544" s="1014" t="s">
        <v>3875</v>
      </c>
      <c r="B544" s="1017">
        <v>1</v>
      </c>
      <c r="C544" s="1177" t="s">
        <v>1482</v>
      </c>
      <c r="D544" s="1066"/>
      <c r="E544" s="1058"/>
      <c r="F544" s="1059"/>
    </row>
    <row r="545" spans="1:6" ht="15" customHeight="1">
      <c r="A545" s="1014" t="s">
        <v>3540</v>
      </c>
      <c r="B545" s="1017"/>
      <c r="C545" s="1116" t="s">
        <v>729</v>
      </c>
      <c r="D545" s="1066"/>
      <c r="E545" s="1058"/>
      <c r="F545" s="1059"/>
    </row>
    <row r="546" spans="1:6" ht="15" customHeight="1">
      <c r="A546" s="1018"/>
      <c r="B546" s="1026"/>
      <c r="C546" s="1118" t="s">
        <v>2654</v>
      </c>
      <c r="D546" s="1066"/>
      <c r="E546" s="1058"/>
      <c r="F546" s="1059"/>
    </row>
    <row r="547" spans="1:6" ht="15" customHeight="1">
      <c r="A547" s="1018" t="s">
        <v>3541</v>
      </c>
      <c r="B547" s="1017">
        <v>31</v>
      </c>
      <c r="C547" s="1115" t="s">
        <v>979</v>
      </c>
      <c r="D547" s="1066"/>
      <c r="E547" s="1058"/>
      <c r="F547" s="1059"/>
    </row>
    <row r="548" spans="1:6" ht="15" customHeight="1">
      <c r="A548" s="1018" t="s">
        <v>3542</v>
      </c>
      <c r="B548" s="1017">
        <v>30</v>
      </c>
      <c r="C548" s="1115" t="s">
        <v>1995</v>
      </c>
      <c r="D548" s="1066"/>
      <c r="E548" s="1058"/>
      <c r="F548" s="1059"/>
    </row>
    <row r="549" spans="1:6" ht="15" customHeight="1">
      <c r="A549" s="1018"/>
      <c r="B549" s="1017">
        <v>3</v>
      </c>
      <c r="C549" s="1115" t="s">
        <v>3889</v>
      </c>
      <c r="D549" s="1066"/>
      <c r="E549" s="1058"/>
      <c r="F549" s="1059"/>
    </row>
    <row r="550" spans="1:6" ht="15" customHeight="1">
      <c r="A550" s="1041" t="s">
        <v>3190</v>
      </c>
      <c r="B550" s="1017"/>
      <c r="C550" s="1117"/>
      <c r="D550" s="1066"/>
      <c r="E550" s="1058"/>
      <c r="F550" s="1059"/>
    </row>
    <row r="551" spans="1:6" ht="15" customHeight="1">
      <c r="A551" s="1042" t="s">
        <v>3543</v>
      </c>
      <c r="B551" s="1017"/>
      <c r="C551" s="1116" t="s">
        <v>729</v>
      </c>
      <c r="D551" s="1066"/>
      <c r="E551" s="1058"/>
      <c r="F551" s="1059"/>
    </row>
    <row r="552" spans="1:6" ht="15" customHeight="1">
      <c r="A552" s="1055" t="s">
        <v>3544</v>
      </c>
      <c r="B552" s="1017">
        <v>3</v>
      </c>
      <c r="C552" s="1115" t="s">
        <v>1426</v>
      </c>
      <c r="D552" s="1066"/>
      <c r="E552" s="1058"/>
      <c r="F552" s="1059"/>
    </row>
    <row r="553" spans="1:6" ht="15" customHeight="1">
      <c r="A553" s="1018"/>
      <c r="B553" s="1017">
        <v>3</v>
      </c>
      <c r="C553" s="1115" t="s">
        <v>1157</v>
      </c>
      <c r="D553" s="1066"/>
      <c r="E553" s="1058"/>
      <c r="F553" s="1059"/>
    </row>
    <row r="554" spans="1:6" ht="15" customHeight="1">
      <c r="A554" s="1065"/>
      <c r="B554" s="1017"/>
      <c r="C554" s="1116" t="s">
        <v>729</v>
      </c>
      <c r="D554" s="1066"/>
      <c r="E554" s="1058"/>
      <c r="F554" s="1059"/>
    </row>
    <row r="555" spans="1:6" ht="15" customHeight="1">
      <c r="A555" s="1055"/>
      <c r="B555" s="1017">
        <v>1</v>
      </c>
      <c r="C555" s="1119" t="s">
        <v>2908</v>
      </c>
      <c r="D555" s="1066"/>
      <c r="E555" s="1058"/>
      <c r="F555" s="1059"/>
    </row>
    <row r="556" spans="1:6" ht="15" customHeight="1" thickBot="1">
      <c r="A556" s="1064"/>
      <c r="B556" s="1051">
        <v>1</v>
      </c>
      <c r="C556" s="1120" t="s">
        <v>316</v>
      </c>
      <c r="D556" s="1143"/>
      <c r="E556" s="1061"/>
      <c r="F556" s="1062"/>
    </row>
    <row r="557" spans="1:6" ht="15" customHeight="1">
      <c r="A557" s="1049"/>
      <c r="B557" s="1017"/>
      <c r="C557" s="1112"/>
      <c r="D557" s="2657"/>
      <c r="E557" s="2658"/>
      <c r="F557" s="1016"/>
    </row>
    <row r="558" spans="1:6" ht="15" customHeight="1">
      <c r="A558" s="1060">
        <v>38</v>
      </c>
      <c r="B558" s="1012">
        <v>1</v>
      </c>
      <c r="C558" s="1109" t="s">
        <v>3901</v>
      </c>
      <c r="D558" s="1150">
        <v>4468</v>
      </c>
      <c r="E558" s="1149"/>
      <c r="F558" s="1013">
        <f>+B558*D558</f>
        <v>4468</v>
      </c>
    </row>
    <row r="559" spans="1:6" ht="15" customHeight="1">
      <c r="A559" s="1014" t="s">
        <v>3064</v>
      </c>
      <c r="B559" s="1015"/>
      <c r="C559" s="1109" t="s">
        <v>2662</v>
      </c>
      <c r="D559" s="2659"/>
      <c r="E559" s="2660"/>
      <c r="F559" s="1016"/>
    </row>
    <row r="560" spans="1:6" ht="26.25" customHeight="1">
      <c r="A560" s="1014" t="s">
        <v>3875</v>
      </c>
      <c r="B560" s="1017">
        <v>1</v>
      </c>
      <c r="C560" s="1177" t="s">
        <v>3719</v>
      </c>
      <c r="D560" s="1066"/>
      <c r="E560" s="1058"/>
      <c r="F560" s="1059"/>
    </row>
    <row r="561" spans="1:6" ht="15" customHeight="1">
      <c r="A561" s="1014" t="s">
        <v>3540</v>
      </c>
      <c r="B561" s="1017"/>
      <c r="C561" s="1116" t="s">
        <v>729</v>
      </c>
      <c r="D561" s="1066"/>
      <c r="E561" s="1058"/>
      <c r="F561" s="1059"/>
    </row>
    <row r="562" spans="1:6" ht="15" customHeight="1">
      <c r="A562" s="1018"/>
      <c r="B562" s="1026"/>
      <c r="C562" s="1118" t="s">
        <v>2654</v>
      </c>
      <c r="D562" s="1066"/>
      <c r="E562" s="1058"/>
      <c r="F562" s="1059"/>
    </row>
    <row r="563" spans="1:6" ht="15" customHeight="1">
      <c r="A563" s="1018" t="s">
        <v>3541</v>
      </c>
      <c r="B563" s="1017">
        <v>4</v>
      </c>
      <c r="C563" s="1115" t="s">
        <v>1008</v>
      </c>
      <c r="D563" s="1066"/>
      <c r="E563" s="1058"/>
      <c r="F563" s="1059"/>
    </row>
    <row r="564" spans="1:6" ht="15" customHeight="1">
      <c r="A564" s="1018" t="s">
        <v>3542</v>
      </c>
      <c r="B564" s="1017">
        <v>5</v>
      </c>
      <c r="C564" s="1115" t="s">
        <v>980</v>
      </c>
      <c r="D564" s="1066"/>
      <c r="E564" s="1058"/>
      <c r="F564" s="1059"/>
    </row>
    <row r="565" spans="1:6" ht="15" customHeight="1">
      <c r="A565" s="1018"/>
      <c r="B565" s="1017">
        <v>20</v>
      </c>
      <c r="C565" s="1115" t="s">
        <v>979</v>
      </c>
      <c r="D565" s="1066"/>
      <c r="E565" s="1058"/>
      <c r="F565" s="1059"/>
    </row>
    <row r="566" spans="1:6" ht="15" customHeight="1">
      <c r="A566" s="1041" t="s">
        <v>3190</v>
      </c>
      <c r="B566" s="1017">
        <v>1</v>
      </c>
      <c r="C566" s="1115" t="s">
        <v>1996</v>
      </c>
      <c r="D566" s="1066"/>
      <c r="E566" s="1058"/>
      <c r="F566" s="1059"/>
    </row>
    <row r="567" spans="1:6" ht="15" customHeight="1">
      <c r="A567" s="1042" t="s">
        <v>3543</v>
      </c>
      <c r="B567" s="1017">
        <v>20</v>
      </c>
      <c r="C567" s="1115" t="s">
        <v>1995</v>
      </c>
      <c r="D567" s="1066"/>
      <c r="E567" s="1058"/>
      <c r="F567" s="1059"/>
    </row>
    <row r="568" spans="1:6" ht="15" customHeight="1">
      <c r="A568" s="1055" t="s">
        <v>3544</v>
      </c>
      <c r="B568" s="1017">
        <v>3</v>
      </c>
      <c r="C568" s="1115" t="s">
        <v>3889</v>
      </c>
      <c r="D568" s="1066"/>
      <c r="E568" s="1058"/>
      <c r="F568" s="1059"/>
    </row>
    <row r="569" spans="1:6" ht="15" customHeight="1">
      <c r="A569" s="1042"/>
      <c r="B569" s="1017"/>
      <c r="C569" s="1116" t="s">
        <v>729</v>
      </c>
      <c r="D569" s="1066"/>
      <c r="E569" s="1058"/>
      <c r="F569" s="1059"/>
    </row>
    <row r="570" spans="1:6" ht="15" customHeight="1">
      <c r="A570" s="1055"/>
      <c r="B570" s="1017">
        <v>2</v>
      </c>
      <c r="C570" s="1115" t="s">
        <v>1426</v>
      </c>
      <c r="D570" s="1066"/>
      <c r="E570" s="1058"/>
      <c r="F570" s="1059"/>
    </row>
    <row r="571" spans="1:6" ht="15" customHeight="1">
      <c r="A571" s="1018"/>
      <c r="B571" s="1017">
        <v>2</v>
      </c>
      <c r="C571" s="1115" t="s">
        <v>1157</v>
      </c>
      <c r="D571" s="2659"/>
      <c r="E571" s="2660"/>
      <c r="F571" s="1016"/>
    </row>
    <row r="572" spans="1:6" ht="15" customHeight="1">
      <c r="A572" s="1065"/>
      <c r="B572" s="1017"/>
      <c r="C572" s="1116" t="s">
        <v>729</v>
      </c>
      <c r="D572" s="1066"/>
      <c r="E572" s="1058"/>
      <c r="F572" s="1059"/>
    </row>
    <row r="573" spans="1:6" ht="15" customHeight="1">
      <c r="A573" s="1055"/>
      <c r="B573" s="1017">
        <v>1</v>
      </c>
      <c r="C573" s="1119" t="s">
        <v>2908</v>
      </c>
      <c r="D573" s="1066"/>
      <c r="E573" s="1058"/>
      <c r="F573" s="1059"/>
    </row>
    <row r="574" spans="1:6" ht="15" customHeight="1" thickBot="1">
      <c r="A574" s="1064"/>
      <c r="B574" s="1051">
        <v>1</v>
      </c>
      <c r="C574" s="1120" t="s">
        <v>316</v>
      </c>
      <c r="D574" s="1143"/>
      <c r="E574" s="1061"/>
      <c r="F574" s="1062"/>
    </row>
    <row r="575" spans="1:6" ht="15" customHeight="1">
      <c r="A575" s="1049"/>
      <c r="B575" s="1017"/>
      <c r="C575" s="1112"/>
      <c r="D575" s="2657"/>
      <c r="E575" s="2658"/>
      <c r="F575" s="1016"/>
    </row>
    <row r="576" spans="1:6" ht="15" customHeight="1">
      <c r="A576" s="1060">
        <v>39</v>
      </c>
      <c r="B576" s="1012">
        <v>1</v>
      </c>
      <c r="C576" s="1109" t="s">
        <v>3902</v>
      </c>
      <c r="D576" s="1150">
        <v>4812</v>
      </c>
      <c r="E576" s="1149"/>
      <c r="F576" s="1013">
        <f>+B576*D576</f>
        <v>4812</v>
      </c>
    </row>
    <row r="577" spans="1:6" ht="15" customHeight="1">
      <c r="A577" s="1014" t="s">
        <v>3064</v>
      </c>
      <c r="B577" s="1015"/>
      <c r="C577" s="1109" t="s">
        <v>2662</v>
      </c>
      <c r="D577" s="2659"/>
      <c r="E577" s="2660"/>
      <c r="F577" s="1016"/>
    </row>
    <row r="578" spans="1:6" ht="27" customHeight="1">
      <c r="A578" s="1014" t="s">
        <v>3875</v>
      </c>
      <c r="B578" s="1017">
        <v>1</v>
      </c>
      <c r="C578" s="1177" t="s">
        <v>2178</v>
      </c>
      <c r="D578" s="1066"/>
      <c r="E578" s="1058"/>
      <c r="F578" s="1059"/>
    </row>
    <row r="579" spans="1:6" ht="15" customHeight="1">
      <c r="A579" s="1014" t="s">
        <v>3540</v>
      </c>
      <c r="B579" s="1017"/>
      <c r="C579" s="1116" t="s">
        <v>729</v>
      </c>
      <c r="D579" s="1066"/>
      <c r="E579" s="1058"/>
      <c r="F579" s="1059"/>
    </row>
    <row r="580" spans="1:6" ht="15" customHeight="1">
      <c r="A580" s="1018"/>
      <c r="B580" s="1026"/>
      <c r="C580" s="1118" t="s">
        <v>2654</v>
      </c>
      <c r="D580" s="1066"/>
      <c r="E580" s="1058"/>
      <c r="F580" s="1059"/>
    </row>
    <row r="581" spans="1:6" ht="15" customHeight="1">
      <c r="A581" s="1018" t="s">
        <v>3541</v>
      </c>
      <c r="B581" s="1017">
        <v>23</v>
      </c>
      <c r="C581" s="1115" t="s">
        <v>979</v>
      </c>
      <c r="D581" s="1066"/>
      <c r="E581" s="1058"/>
      <c r="F581" s="1059"/>
    </row>
    <row r="582" spans="1:6" ht="15" customHeight="1">
      <c r="A582" s="1018" t="s">
        <v>3542</v>
      </c>
      <c r="B582" s="1017">
        <v>22</v>
      </c>
      <c r="C582" s="1115" t="s">
        <v>1995</v>
      </c>
      <c r="D582" s="1066"/>
      <c r="E582" s="1058"/>
      <c r="F582" s="1059"/>
    </row>
    <row r="583" spans="1:6" ht="15" customHeight="1">
      <c r="A583" s="1018"/>
      <c r="B583" s="1017">
        <v>3</v>
      </c>
      <c r="C583" s="1115" t="s">
        <v>3889</v>
      </c>
      <c r="D583" s="2659"/>
      <c r="E583" s="2660"/>
      <c r="F583" s="1016"/>
    </row>
    <row r="584" spans="1:6" ht="15" customHeight="1">
      <c r="A584" s="1041" t="s">
        <v>3190</v>
      </c>
      <c r="B584" s="1017"/>
      <c r="C584" s="1117"/>
      <c r="D584" s="1066"/>
      <c r="E584" s="1058"/>
      <c r="F584" s="1059"/>
    </row>
    <row r="585" spans="1:6" ht="15" customHeight="1">
      <c r="A585" s="1042" t="s">
        <v>3543</v>
      </c>
      <c r="B585" s="1017"/>
      <c r="C585" s="1116" t="s">
        <v>729</v>
      </c>
      <c r="D585" s="1066"/>
      <c r="E585" s="1058"/>
      <c r="F585" s="1059"/>
    </row>
    <row r="586" spans="1:6" ht="15" customHeight="1">
      <c r="A586" s="1055" t="s">
        <v>3544</v>
      </c>
      <c r="B586" s="1017">
        <v>6</v>
      </c>
      <c r="C586" s="1115" t="s">
        <v>1426</v>
      </c>
      <c r="D586" s="1066"/>
      <c r="E586" s="1058"/>
      <c r="F586" s="1059"/>
    </row>
    <row r="587" spans="1:6" ht="15" customHeight="1">
      <c r="A587" s="1018"/>
      <c r="B587" s="1017">
        <v>6</v>
      </c>
      <c r="C587" s="1115" t="s">
        <v>1157</v>
      </c>
      <c r="D587" s="1066"/>
      <c r="E587" s="1058"/>
      <c r="F587" s="1059"/>
    </row>
    <row r="588" spans="1:6" ht="15" customHeight="1">
      <c r="A588" s="1065"/>
      <c r="B588" s="1017"/>
      <c r="C588" s="1116" t="s">
        <v>729</v>
      </c>
      <c r="D588" s="1066"/>
      <c r="E588" s="1058"/>
      <c r="F588" s="1059"/>
    </row>
    <row r="589" spans="1:6" ht="15" customHeight="1">
      <c r="A589" s="1055"/>
      <c r="B589" s="1017">
        <v>1</v>
      </c>
      <c r="C589" s="1119" t="s">
        <v>2908</v>
      </c>
      <c r="D589" s="1066"/>
      <c r="E589" s="1058"/>
      <c r="F589" s="1059"/>
    </row>
    <row r="590" spans="1:6" ht="15" customHeight="1" thickBot="1">
      <c r="A590" s="1064"/>
      <c r="B590" s="1051">
        <v>1</v>
      </c>
      <c r="C590" s="1120" t="s">
        <v>316</v>
      </c>
      <c r="D590" s="1143"/>
      <c r="E590" s="1061"/>
      <c r="F590" s="1062"/>
    </row>
    <row r="591" spans="1:6" ht="15" customHeight="1">
      <c r="A591" s="1018"/>
      <c r="B591" s="1048"/>
      <c r="C591" s="1116"/>
      <c r="D591" s="1066"/>
      <c r="E591" s="1058"/>
      <c r="F591" s="1059"/>
    </row>
    <row r="592" spans="1:6" ht="15" customHeight="1">
      <c r="A592" s="1060">
        <v>40</v>
      </c>
      <c r="B592" s="1012">
        <v>1</v>
      </c>
      <c r="C592" s="1109" t="s">
        <v>3903</v>
      </c>
      <c r="D592" s="1150">
        <v>3188</v>
      </c>
      <c r="E592" s="1149"/>
      <c r="F592" s="1013">
        <f>+B592*D592</f>
        <v>3188</v>
      </c>
    </row>
    <row r="593" spans="1:6" ht="15" customHeight="1">
      <c r="A593" s="1014" t="s">
        <v>3064</v>
      </c>
      <c r="B593" s="1015"/>
      <c r="C593" s="1109" t="s">
        <v>2662</v>
      </c>
      <c r="D593" s="1066"/>
      <c r="E593" s="1058"/>
      <c r="F593" s="1059"/>
    </row>
    <row r="594" spans="1:6" ht="27" customHeight="1">
      <c r="A594" s="1014" t="s">
        <v>3875</v>
      </c>
      <c r="B594" s="1017">
        <v>1</v>
      </c>
      <c r="C594" s="1177" t="s">
        <v>2178</v>
      </c>
      <c r="D594" s="2659"/>
      <c r="E594" s="2660"/>
      <c r="F594" s="1016"/>
    </row>
    <row r="595" spans="1:6" ht="15" customHeight="1">
      <c r="A595" s="1014" t="s">
        <v>3540</v>
      </c>
      <c r="B595" s="1017"/>
      <c r="C595" s="1116" t="s">
        <v>729</v>
      </c>
      <c r="D595" s="1066"/>
      <c r="E595" s="1058"/>
      <c r="F595" s="1059"/>
    </row>
    <row r="596" spans="1:6" ht="15" customHeight="1">
      <c r="A596" s="1018"/>
      <c r="B596" s="1026"/>
      <c r="C596" s="1118" t="s">
        <v>2654</v>
      </c>
      <c r="D596" s="1066"/>
      <c r="E596" s="1058"/>
      <c r="F596" s="1059"/>
    </row>
    <row r="597" spans="1:6" ht="15" customHeight="1">
      <c r="A597" s="1018" t="s">
        <v>3541</v>
      </c>
      <c r="B597" s="1017">
        <v>16</v>
      </c>
      <c r="C597" s="1115" t="s">
        <v>979</v>
      </c>
      <c r="D597" s="1066"/>
      <c r="E597" s="1058"/>
      <c r="F597" s="1059"/>
    </row>
    <row r="598" spans="1:6" ht="15" customHeight="1">
      <c r="A598" s="1018" t="s">
        <v>3542</v>
      </c>
      <c r="B598" s="1017">
        <v>15</v>
      </c>
      <c r="C598" s="1115" t="s">
        <v>1995</v>
      </c>
      <c r="D598" s="1066"/>
      <c r="E598" s="1058"/>
      <c r="F598" s="1059"/>
    </row>
    <row r="599" spans="1:6" ht="15" customHeight="1">
      <c r="A599" s="1018"/>
      <c r="B599" s="1017">
        <v>2</v>
      </c>
      <c r="C599" s="1115" t="s">
        <v>3889</v>
      </c>
      <c r="D599" s="2659"/>
      <c r="E599" s="2660"/>
      <c r="F599" s="1016"/>
    </row>
    <row r="600" spans="1:6" ht="15" customHeight="1">
      <c r="A600" s="1041" t="s">
        <v>3190</v>
      </c>
      <c r="B600" s="1017"/>
      <c r="C600" s="1117"/>
      <c r="D600" s="1066"/>
      <c r="E600" s="1058"/>
      <c r="F600" s="1059"/>
    </row>
    <row r="601" spans="1:6" ht="15" customHeight="1">
      <c r="A601" s="1042" t="s">
        <v>3543</v>
      </c>
      <c r="B601" s="1017"/>
      <c r="C601" s="1116" t="s">
        <v>729</v>
      </c>
      <c r="D601" s="1066"/>
      <c r="E601" s="1058"/>
      <c r="F601" s="1059"/>
    </row>
    <row r="602" spans="1:6" ht="15" customHeight="1">
      <c r="A602" s="1055" t="s">
        <v>3544</v>
      </c>
      <c r="B602" s="1017">
        <v>3</v>
      </c>
      <c r="C602" s="1115" t="s">
        <v>1426</v>
      </c>
      <c r="D602" s="1066"/>
      <c r="E602" s="1058"/>
      <c r="F602" s="1059"/>
    </row>
    <row r="603" spans="1:6" ht="15" customHeight="1">
      <c r="A603" s="1018"/>
      <c r="B603" s="1017">
        <v>3</v>
      </c>
      <c r="C603" s="1115" t="s">
        <v>1157</v>
      </c>
      <c r="D603" s="1066"/>
      <c r="E603" s="1058"/>
      <c r="F603" s="1059"/>
    </row>
    <row r="604" spans="1:6" ht="15" customHeight="1">
      <c r="A604" s="1065"/>
      <c r="B604" s="1017"/>
      <c r="C604" s="1116" t="s">
        <v>729</v>
      </c>
      <c r="D604" s="1066"/>
      <c r="E604" s="1058"/>
      <c r="F604" s="1059"/>
    </row>
    <row r="605" spans="1:6" ht="15" customHeight="1">
      <c r="A605" s="1055"/>
      <c r="B605" s="1017">
        <v>1</v>
      </c>
      <c r="C605" s="1119" t="s">
        <v>2908</v>
      </c>
      <c r="D605" s="1066"/>
      <c r="E605" s="1058"/>
      <c r="F605" s="1059"/>
    </row>
    <row r="606" spans="1:6" ht="15" customHeight="1" thickBot="1">
      <c r="A606" s="1064"/>
      <c r="B606" s="1051">
        <v>1</v>
      </c>
      <c r="C606" s="1120" t="s">
        <v>316</v>
      </c>
      <c r="D606" s="1143"/>
      <c r="E606" s="1061"/>
      <c r="F606" s="1062"/>
    </row>
    <row r="607" spans="1:6" ht="15" customHeight="1">
      <c r="A607" s="1049"/>
      <c r="B607" s="1017"/>
      <c r="C607" s="1112"/>
      <c r="D607" s="2657"/>
      <c r="E607" s="2658"/>
      <c r="F607" s="1016"/>
    </row>
    <row r="608" spans="1:6" ht="15" customHeight="1">
      <c r="A608" s="1060">
        <v>41</v>
      </c>
      <c r="B608" s="1012">
        <v>1</v>
      </c>
      <c r="C608" s="1109" t="s">
        <v>3904</v>
      </c>
      <c r="D608" s="1150">
        <v>3976</v>
      </c>
      <c r="E608" s="1149"/>
      <c r="F608" s="1013">
        <f>+B608*D608</f>
        <v>3976</v>
      </c>
    </row>
    <row r="609" spans="1:6" ht="15" customHeight="1">
      <c r="A609" s="1014" t="s">
        <v>3064</v>
      </c>
      <c r="B609" s="1015"/>
      <c r="C609" s="1109" t="s">
        <v>2662</v>
      </c>
      <c r="D609" s="1066"/>
      <c r="E609" s="1058"/>
      <c r="F609" s="1059"/>
    </row>
    <row r="610" spans="1:6" ht="35.25" customHeight="1">
      <c r="A610" s="1014" t="s">
        <v>3875</v>
      </c>
      <c r="B610" s="1017">
        <v>1</v>
      </c>
      <c r="C610" s="1177" t="s">
        <v>2178</v>
      </c>
      <c r="D610" s="1066"/>
      <c r="E610" s="1058"/>
      <c r="F610" s="1059"/>
    </row>
    <row r="611" spans="1:6" ht="15" customHeight="1">
      <c r="A611" s="1014" t="s">
        <v>3540</v>
      </c>
      <c r="B611" s="1017"/>
      <c r="C611" s="1116" t="s">
        <v>729</v>
      </c>
      <c r="D611" s="2659"/>
      <c r="E611" s="2660"/>
      <c r="F611" s="1016"/>
    </row>
    <row r="612" spans="1:6" ht="15" customHeight="1">
      <c r="A612" s="1018"/>
      <c r="B612" s="1026"/>
      <c r="C612" s="1118" t="s">
        <v>2654</v>
      </c>
      <c r="D612" s="1066"/>
      <c r="E612" s="1058"/>
      <c r="F612" s="1059"/>
    </row>
    <row r="613" spans="1:6" ht="15" customHeight="1">
      <c r="A613" s="1018" t="s">
        <v>3541</v>
      </c>
      <c r="B613" s="1017">
        <v>24</v>
      </c>
      <c r="C613" s="1115" t="s">
        <v>979</v>
      </c>
      <c r="D613" s="1066"/>
      <c r="E613" s="1058"/>
      <c r="F613" s="1059"/>
    </row>
    <row r="614" spans="1:6" ht="15" customHeight="1">
      <c r="A614" s="1018" t="s">
        <v>3542</v>
      </c>
      <c r="B614" s="1017">
        <v>24</v>
      </c>
      <c r="C614" s="1115" t="s">
        <v>1995</v>
      </c>
      <c r="D614" s="1066"/>
      <c r="E614" s="1058"/>
      <c r="F614" s="1059"/>
    </row>
    <row r="615" spans="1:6" ht="15" customHeight="1">
      <c r="A615" s="1018"/>
      <c r="B615" s="1017">
        <v>2</v>
      </c>
      <c r="C615" s="1115" t="s">
        <v>3889</v>
      </c>
      <c r="D615" s="1066"/>
      <c r="E615" s="1058"/>
      <c r="F615" s="1059"/>
    </row>
    <row r="616" spans="1:6" ht="15" customHeight="1">
      <c r="A616" s="1041" t="s">
        <v>3190</v>
      </c>
      <c r="B616" s="1017"/>
      <c r="C616" s="1117"/>
      <c r="D616" s="1066"/>
      <c r="E616" s="1058"/>
      <c r="F616" s="1059"/>
    </row>
    <row r="617" spans="1:6" ht="15" customHeight="1">
      <c r="A617" s="1042" t="s">
        <v>3543</v>
      </c>
      <c r="B617" s="1017"/>
      <c r="C617" s="1116" t="s">
        <v>729</v>
      </c>
      <c r="D617" s="1066"/>
      <c r="E617" s="1058"/>
      <c r="F617" s="1059"/>
    </row>
    <row r="618" spans="1:6" ht="15" customHeight="1">
      <c r="A618" s="1055" t="s">
        <v>3544</v>
      </c>
      <c r="B618" s="1017">
        <v>2</v>
      </c>
      <c r="C618" s="1115" t="s">
        <v>1426</v>
      </c>
      <c r="D618" s="1066"/>
      <c r="E618" s="1058"/>
      <c r="F618" s="1059"/>
    </row>
    <row r="619" spans="1:6" ht="15" customHeight="1">
      <c r="A619" s="1018"/>
      <c r="B619" s="1017">
        <v>2</v>
      </c>
      <c r="C619" s="1115" t="s">
        <v>1157</v>
      </c>
      <c r="D619" s="1066"/>
      <c r="E619" s="1058"/>
      <c r="F619" s="1059"/>
    </row>
    <row r="620" spans="1:6" ht="15" customHeight="1">
      <c r="A620" s="1065"/>
      <c r="B620" s="1017"/>
      <c r="C620" s="1116" t="s">
        <v>729</v>
      </c>
      <c r="D620" s="1066"/>
      <c r="E620" s="1058"/>
      <c r="F620" s="1059"/>
    </row>
    <row r="621" spans="1:6" ht="15" customHeight="1">
      <c r="A621" s="1055"/>
      <c r="B621" s="1017">
        <v>1</v>
      </c>
      <c r="C621" s="1119" t="s">
        <v>2908</v>
      </c>
      <c r="D621" s="1066"/>
      <c r="E621" s="1058"/>
      <c r="F621" s="1059"/>
    </row>
    <row r="622" spans="1:6" ht="15" customHeight="1" thickBot="1">
      <c r="A622" s="1064"/>
      <c r="B622" s="1051">
        <v>1</v>
      </c>
      <c r="C622" s="1120" t="s">
        <v>316</v>
      </c>
      <c r="D622" s="1143"/>
      <c r="E622" s="1061"/>
      <c r="F622" s="1062"/>
    </row>
    <row r="623" spans="1:6" ht="15" customHeight="1">
      <c r="A623" s="1049"/>
      <c r="B623" s="1017"/>
      <c r="C623" s="1112"/>
      <c r="D623" s="1152"/>
      <c r="E623" s="1153"/>
      <c r="F623" s="1059"/>
    </row>
    <row r="624" spans="1:6" ht="15" customHeight="1">
      <c r="A624" s="1060">
        <v>123</v>
      </c>
      <c r="B624" s="1012">
        <v>1</v>
      </c>
      <c r="C624" s="1109" t="s">
        <v>3905</v>
      </c>
      <c r="D624" s="1150">
        <v>1411</v>
      </c>
      <c r="E624" s="1149"/>
      <c r="F624" s="1013">
        <f>+B624*D624</f>
        <v>1411</v>
      </c>
    </row>
    <row r="625" spans="1:6" ht="15" customHeight="1">
      <c r="A625" s="1014" t="s">
        <v>3064</v>
      </c>
      <c r="B625" s="1015"/>
      <c r="C625" s="1109" t="s">
        <v>2662</v>
      </c>
      <c r="D625" s="1066"/>
      <c r="E625" s="1058"/>
      <c r="F625" s="1059"/>
    </row>
    <row r="626" spans="1:6" ht="25.5" customHeight="1">
      <c r="A626" s="1014" t="s">
        <v>3875</v>
      </c>
      <c r="B626" s="1017">
        <v>1</v>
      </c>
      <c r="C626" s="1177" t="s">
        <v>2175</v>
      </c>
      <c r="D626" s="1066"/>
      <c r="E626" s="1058"/>
      <c r="F626" s="1059"/>
    </row>
    <row r="627" spans="1:6" ht="15" customHeight="1">
      <c r="A627" s="1014" t="s">
        <v>3540</v>
      </c>
      <c r="B627" s="1017"/>
      <c r="C627" s="1116" t="s">
        <v>729</v>
      </c>
      <c r="D627" s="1066"/>
      <c r="E627" s="1058"/>
      <c r="F627" s="1059"/>
    </row>
    <row r="628" spans="1:6" ht="15" customHeight="1">
      <c r="A628" s="1018"/>
      <c r="B628" s="1026"/>
      <c r="C628" s="1118" t="s">
        <v>2654</v>
      </c>
      <c r="D628" s="1066"/>
      <c r="E628" s="1058"/>
      <c r="F628" s="1059"/>
    </row>
    <row r="629" spans="1:6" ht="23.25" customHeight="1">
      <c r="A629" s="1018" t="s">
        <v>3541</v>
      </c>
      <c r="B629" s="1017">
        <v>1</v>
      </c>
      <c r="C629" s="1177" t="s">
        <v>1480</v>
      </c>
      <c r="D629" s="1066"/>
      <c r="E629" s="1058"/>
      <c r="F629" s="1059"/>
    </row>
    <row r="630" spans="1:6" ht="15" customHeight="1">
      <c r="A630" s="1018" t="s">
        <v>3542</v>
      </c>
      <c r="B630" s="1017">
        <v>3</v>
      </c>
      <c r="C630" s="1115" t="s">
        <v>979</v>
      </c>
      <c r="D630" s="1066"/>
      <c r="E630" s="1058"/>
      <c r="F630" s="1059"/>
    </row>
    <row r="631" spans="1:6" ht="15" customHeight="1">
      <c r="A631" s="1018"/>
      <c r="B631" s="1017">
        <v>3</v>
      </c>
      <c r="C631" s="1115" t="s">
        <v>1995</v>
      </c>
      <c r="D631" s="1066"/>
      <c r="E631" s="1058"/>
      <c r="F631" s="1059"/>
    </row>
    <row r="632" spans="1:6" ht="15" customHeight="1">
      <c r="A632" s="1041"/>
      <c r="B632" s="1017">
        <v>1</v>
      </c>
      <c r="C632" s="1115" t="s">
        <v>3889</v>
      </c>
      <c r="D632" s="1066"/>
      <c r="E632" s="1058"/>
      <c r="F632" s="1059"/>
    </row>
    <row r="633" spans="1:6" ht="15" customHeight="1">
      <c r="A633" s="1055"/>
      <c r="B633" s="1017"/>
      <c r="C633" s="1116" t="s">
        <v>729</v>
      </c>
      <c r="D633" s="1066"/>
      <c r="E633" s="1058"/>
      <c r="F633" s="1059"/>
    </row>
    <row r="634" spans="1:6" ht="15" customHeight="1">
      <c r="A634" s="1024"/>
      <c r="B634" s="1017">
        <v>1</v>
      </c>
      <c r="C634" s="1119" t="s">
        <v>2908</v>
      </c>
      <c r="D634" s="1066"/>
      <c r="E634" s="1058"/>
      <c r="F634" s="1059"/>
    </row>
    <row r="635" spans="1:6" ht="15" customHeight="1" thickBot="1">
      <c r="A635" s="1050"/>
      <c r="B635" s="1051">
        <v>1</v>
      </c>
      <c r="C635" s="1120" t="s">
        <v>316</v>
      </c>
      <c r="D635" s="1143"/>
      <c r="E635" s="1061"/>
      <c r="F635" s="1062"/>
    </row>
    <row r="636" spans="1:6" ht="15" customHeight="1">
      <c r="A636" s="1049"/>
      <c r="B636" s="1017"/>
      <c r="C636" s="1112"/>
      <c r="D636" s="1066"/>
      <c r="E636" s="1058"/>
      <c r="F636" s="1059"/>
    </row>
    <row r="637" spans="1:6" ht="15" customHeight="1">
      <c r="A637" s="1060">
        <v>124</v>
      </c>
      <c r="B637" s="1012">
        <v>1</v>
      </c>
      <c r="C637" s="1109" t="s">
        <v>3906</v>
      </c>
      <c r="D637" s="1150">
        <v>1916</v>
      </c>
      <c r="E637" s="1149"/>
      <c r="F637" s="1013">
        <f>+B637*D637</f>
        <v>1916</v>
      </c>
    </row>
    <row r="638" spans="1:6" ht="15" customHeight="1">
      <c r="A638" s="1014" t="s">
        <v>3064</v>
      </c>
      <c r="B638" s="1015"/>
      <c r="C638" s="1109" t="s">
        <v>2662</v>
      </c>
      <c r="D638" s="1066"/>
      <c r="E638" s="1058"/>
      <c r="F638" s="1059"/>
    </row>
    <row r="639" spans="1:6" ht="29.25" customHeight="1">
      <c r="A639" s="1014" t="s">
        <v>3875</v>
      </c>
      <c r="B639" s="1017">
        <v>1</v>
      </c>
      <c r="C639" s="1177" t="s">
        <v>2813</v>
      </c>
      <c r="D639" s="1066"/>
      <c r="E639" s="1058"/>
      <c r="F639" s="1059"/>
    </row>
    <row r="640" spans="1:6" ht="15" customHeight="1">
      <c r="A640" s="1014" t="s">
        <v>3540</v>
      </c>
      <c r="B640" s="1017"/>
      <c r="C640" s="1116" t="s">
        <v>729</v>
      </c>
      <c r="D640" s="1066"/>
      <c r="E640" s="1058"/>
      <c r="F640" s="1059"/>
    </row>
    <row r="641" spans="1:6" ht="15" customHeight="1">
      <c r="A641" s="1018"/>
      <c r="B641" s="1026"/>
      <c r="C641" s="1118" t="s">
        <v>2654</v>
      </c>
      <c r="D641" s="1066"/>
      <c r="E641" s="1058"/>
      <c r="F641" s="1059"/>
    </row>
    <row r="642" spans="1:6" ht="15" customHeight="1">
      <c r="A642" s="1018" t="s">
        <v>3541</v>
      </c>
      <c r="B642" s="1017">
        <v>6</v>
      </c>
      <c r="C642" s="1115" t="s">
        <v>1014</v>
      </c>
      <c r="D642" s="1066"/>
      <c r="E642" s="1058"/>
      <c r="F642" s="1059"/>
    </row>
    <row r="643" spans="1:6" ht="15" customHeight="1">
      <c r="A643" s="1018" t="s">
        <v>3542</v>
      </c>
      <c r="B643" s="1017">
        <v>2</v>
      </c>
      <c r="C643" s="1115" t="s">
        <v>979</v>
      </c>
      <c r="D643" s="1066"/>
      <c r="E643" s="1058"/>
      <c r="F643" s="1059"/>
    </row>
    <row r="644" spans="1:6" ht="15" customHeight="1">
      <c r="A644" s="1018"/>
      <c r="B644" s="1017">
        <v>2</v>
      </c>
      <c r="C644" s="1115" t="s">
        <v>3897</v>
      </c>
      <c r="D644" s="1066"/>
      <c r="E644" s="1058"/>
      <c r="F644" s="1059"/>
    </row>
    <row r="645" spans="1:6" ht="15" customHeight="1">
      <c r="A645" s="1041" t="s">
        <v>3190</v>
      </c>
      <c r="B645" s="1017"/>
      <c r="C645" s="1117"/>
      <c r="D645" s="1066"/>
      <c r="E645" s="1058"/>
      <c r="F645" s="1059"/>
    </row>
    <row r="646" spans="1:6" ht="15" customHeight="1">
      <c r="A646" s="1042" t="s">
        <v>3543</v>
      </c>
      <c r="B646" s="1017"/>
      <c r="C646" s="1116" t="s">
        <v>729</v>
      </c>
      <c r="D646" s="1066"/>
      <c r="E646" s="1058"/>
      <c r="F646" s="1059"/>
    </row>
    <row r="647" spans="1:6" ht="15" customHeight="1">
      <c r="A647" s="1055" t="s">
        <v>3544</v>
      </c>
      <c r="B647" s="1017">
        <v>1</v>
      </c>
      <c r="C647" s="1119" t="s">
        <v>2908</v>
      </c>
      <c r="D647" s="1066"/>
      <c r="E647" s="1058"/>
      <c r="F647" s="1059"/>
    </row>
    <row r="648" spans="1:6" ht="15" customHeight="1" thickBot="1">
      <c r="A648" s="1050"/>
      <c r="B648" s="1051">
        <v>1</v>
      </c>
      <c r="C648" s="1120" t="s">
        <v>316</v>
      </c>
      <c r="D648" s="1143"/>
      <c r="E648" s="1061"/>
      <c r="F648" s="1062"/>
    </row>
    <row r="649" spans="1:6" ht="15" customHeight="1">
      <c r="A649" s="1049"/>
      <c r="B649" s="1017"/>
      <c r="C649" s="1112"/>
      <c r="D649" s="1066"/>
      <c r="E649" s="1058"/>
      <c r="F649" s="1059"/>
    </row>
    <row r="650" spans="1:6" ht="15" customHeight="1">
      <c r="A650" s="1060">
        <v>125</v>
      </c>
      <c r="B650" s="1012">
        <v>1</v>
      </c>
      <c r="C650" s="1109" t="s">
        <v>3907</v>
      </c>
      <c r="D650" s="1150">
        <v>2392</v>
      </c>
      <c r="E650" s="1149"/>
      <c r="F650" s="1013">
        <f>+B650*D650</f>
        <v>2392</v>
      </c>
    </row>
    <row r="651" spans="1:6" ht="15" customHeight="1">
      <c r="A651" s="1014" t="s">
        <v>3064</v>
      </c>
      <c r="B651" s="1015"/>
      <c r="C651" s="1109" t="s">
        <v>2662</v>
      </c>
      <c r="D651" s="1066"/>
      <c r="E651" s="1058"/>
      <c r="F651" s="1059"/>
    </row>
    <row r="652" spans="1:6" ht="30" customHeight="1">
      <c r="A652" s="1014" t="s">
        <v>3875</v>
      </c>
      <c r="B652" s="1017">
        <v>1</v>
      </c>
      <c r="C652" s="1177" t="s">
        <v>2813</v>
      </c>
      <c r="D652" s="1066"/>
      <c r="E652" s="1058"/>
      <c r="F652" s="1059"/>
    </row>
    <row r="653" spans="1:6" ht="15" customHeight="1">
      <c r="A653" s="1014" t="s">
        <v>3540</v>
      </c>
      <c r="B653" s="1017"/>
      <c r="C653" s="1116" t="s">
        <v>729</v>
      </c>
      <c r="D653" s="1066"/>
      <c r="E653" s="1058"/>
      <c r="F653" s="1059"/>
    </row>
    <row r="654" spans="1:6" ht="15" customHeight="1">
      <c r="A654" s="1018"/>
      <c r="B654" s="1026"/>
      <c r="C654" s="1118" t="s">
        <v>2654</v>
      </c>
      <c r="D654" s="1066"/>
      <c r="E654" s="1058"/>
      <c r="F654" s="1059"/>
    </row>
    <row r="655" spans="1:6" ht="15" customHeight="1">
      <c r="A655" s="1018" t="s">
        <v>3541</v>
      </c>
      <c r="B655" s="1017">
        <v>12</v>
      </c>
      <c r="C655" s="1115" t="s">
        <v>1014</v>
      </c>
      <c r="D655" s="1066"/>
      <c r="E655" s="1058"/>
      <c r="F655" s="1059"/>
    </row>
    <row r="656" spans="1:6" ht="15" customHeight="1">
      <c r="A656" s="1018" t="s">
        <v>3542</v>
      </c>
      <c r="B656" s="1017">
        <v>2</v>
      </c>
      <c r="C656" s="1115" t="s">
        <v>979</v>
      </c>
      <c r="D656" s="1066"/>
      <c r="E656" s="1058"/>
      <c r="F656" s="1059"/>
    </row>
    <row r="657" spans="1:6" ht="15" customHeight="1">
      <c r="A657" s="1018"/>
      <c r="B657" s="1017">
        <v>2</v>
      </c>
      <c r="C657" s="1115" t="s">
        <v>3897</v>
      </c>
      <c r="D657" s="1066"/>
      <c r="E657" s="1058"/>
      <c r="F657" s="1059"/>
    </row>
    <row r="658" spans="1:6" ht="15" customHeight="1">
      <c r="A658" s="1041" t="s">
        <v>3190</v>
      </c>
      <c r="B658" s="1017"/>
      <c r="C658" s="1117"/>
      <c r="D658" s="1066"/>
      <c r="E658" s="1058"/>
      <c r="F658" s="1059"/>
    </row>
    <row r="659" spans="1:6" ht="15" customHeight="1">
      <c r="A659" s="1042" t="s">
        <v>3543</v>
      </c>
      <c r="B659" s="1017"/>
      <c r="C659" s="1116" t="s">
        <v>729</v>
      </c>
      <c r="D659" s="1066"/>
      <c r="E659" s="1058"/>
      <c r="F659" s="1059"/>
    </row>
    <row r="660" spans="1:6" ht="15" customHeight="1">
      <c r="A660" s="1055" t="s">
        <v>3544</v>
      </c>
      <c r="B660" s="1017">
        <v>1</v>
      </c>
      <c r="C660" s="1119" t="s">
        <v>2908</v>
      </c>
      <c r="D660" s="1066"/>
      <c r="E660" s="1058"/>
      <c r="F660" s="1059"/>
    </row>
    <row r="661" spans="1:6" ht="15" customHeight="1" thickBot="1">
      <c r="A661" s="1050"/>
      <c r="B661" s="1051">
        <v>1</v>
      </c>
      <c r="C661" s="1120" t="s">
        <v>316</v>
      </c>
      <c r="D661" s="1143"/>
      <c r="E661" s="1061"/>
      <c r="F661" s="1062"/>
    </row>
    <row r="662" spans="1:6" ht="15" customHeight="1">
      <c r="A662" s="1049"/>
      <c r="B662" s="1017"/>
      <c r="C662" s="1112"/>
      <c r="D662" s="1066"/>
      <c r="E662" s="1058"/>
      <c r="F662" s="1059"/>
    </row>
    <row r="663" spans="1:6" ht="15" customHeight="1">
      <c r="A663" s="1060">
        <v>126</v>
      </c>
      <c r="B663" s="1012">
        <v>1</v>
      </c>
      <c r="C663" s="1109" t="s">
        <v>3908</v>
      </c>
      <c r="D663" s="1150">
        <v>1871</v>
      </c>
      <c r="E663" s="1149"/>
      <c r="F663" s="1013">
        <f>+B663*D663</f>
        <v>1871</v>
      </c>
    </row>
    <row r="664" spans="1:6" ht="15" customHeight="1">
      <c r="A664" s="1014" t="s">
        <v>3064</v>
      </c>
      <c r="B664" s="1015"/>
      <c r="C664" s="1109" t="s">
        <v>2662</v>
      </c>
      <c r="D664" s="1066"/>
      <c r="E664" s="1058"/>
      <c r="F664" s="1059"/>
    </row>
    <row r="665" spans="1:6" ht="27" customHeight="1">
      <c r="A665" s="1014" t="s">
        <v>3875</v>
      </c>
      <c r="B665" s="1017">
        <v>1</v>
      </c>
      <c r="C665" s="1177" t="s">
        <v>1461</v>
      </c>
      <c r="D665" s="1066"/>
      <c r="E665" s="1058"/>
      <c r="F665" s="1059"/>
    </row>
    <row r="666" spans="1:6" ht="15" customHeight="1">
      <c r="A666" s="1014" t="s">
        <v>3540</v>
      </c>
      <c r="B666" s="1017"/>
      <c r="C666" s="1116" t="s">
        <v>729</v>
      </c>
      <c r="D666" s="1066"/>
      <c r="E666" s="1058"/>
      <c r="F666" s="1059"/>
    </row>
    <row r="667" spans="1:6" ht="15" customHeight="1">
      <c r="A667" s="1018"/>
      <c r="B667" s="1026"/>
      <c r="C667" s="1118" t="s">
        <v>2654</v>
      </c>
      <c r="D667" s="1066"/>
      <c r="E667" s="1058"/>
      <c r="F667" s="1059"/>
    </row>
    <row r="668" spans="1:6" ht="15" customHeight="1">
      <c r="A668" s="1018" t="s">
        <v>3541</v>
      </c>
      <c r="B668" s="1017">
        <v>1</v>
      </c>
      <c r="C668" s="1115" t="s">
        <v>1016</v>
      </c>
      <c r="D668" s="1066"/>
      <c r="E668" s="1058"/>
      <c r="F668" s="1059"/>
    </row>
    <row r="669" spans="1:6" ht="15" customHeight="1">
      <c r="A669" s="1018" t="s">
        <v>3542</v>
      </c>
      <c r="B669" s="1017">
        <v>1</v>
      </c>
      <c r="C669" s="1115" t="s">
        <v>1015</v>
      </c>
      <c r="D669" s="1066"/>
      <c r="E669" s="1058"/>
      <c r="F669" s="1059"/>
    </row>
    <row r="670" spans="1:6" ht="15" customHeight="1">
      <c r="A670" s="1018"/>
      <c r="B670" s="1017">
        <v>3</v>
      </c>
      <c r="C670" s="1115" t="s">
        <v>1014</v>
      </c>
      <c r="D670" s="1066"/>
      <c r="E670" s="1058"/>
      <c r="F670" s="1059"/>
    </row>
    <row r="671" spans="1:6" ht="15" customHeight="1">
      <c r="A671" s="1041" t="s">
        <v>3190</v>
      </c>
      <c r="B671" s="1017">
        <v>2</v>
      </c>
      <c r="C671" s="1115" t="s">
        <v>979</v>
      </c>
      <c r="D671" s="1066"/>
      <c r="E671" s="1058"/>
      <c r="F671" s="1059"/>
    </row>
    <row r="672" spans="1:6" ht="15" customHeight="1">
      <c r="A672" s="1042" t="s">
        <v>3543</v>
      </c>
      <c r="B672" s="1017">
        <v>2</v>
      </c>
      <c r="C672" s="1115" t="s">
        <v>3897</v>
      </c>
      <c r="D672" s="1066"/>
      <c r="E672" s="1058"/>
      <c r="F672" s="1059"/>
    </row>
    <row r="673" spans="1:6" ht="15" customHeight="1">
      <c r="A673" s="1055" t="s">
        <v>3544</v>
      </c>
      <c r="B673" s="1017"/>
      <c r="C673" s="1117"/>
      <c r="D673" s="1066"/>
      <c r="E673" s="1058"/>
      <c r="F673" s="1059"/>
    </row>
    <row r="674" spans="1:6" ht="15" customHeight="1">
      <c r="A674" s="1042"/>
      <c r="B674" s="1017"/>
      <c r="C674" s="1116" t="s">
        <v>729</v>
      </c>
      <c r="D674" s="1066"/>
      <c r="E674" s="1058"/>
      <c r="F674" s="1059"/>
    </row>
    <row r="675" spans="1:6" ht="15" customHeight="1">
      <c r="A675" s="1055"/>
      <c r="B675" s="1017">
        <v>1</v>
      </c>
      <c r="C675" s="1119" t="s">
        <v>2908</v>
      </c>
      <c r="D675" s="1066"/>
      <c r="E675" s="1058"/>
      <c r="F675" s="1059"/>
    </row>
    <row r="676" spans="1:6" ht="15" customHeight="1" thickBot="1">
      <c r="A676" s="1050"/>
      <c r="B676" s="1051">
        <v>1</v>
      </c>
      <c r="C676" s="1120" t="s">
        <v>316</v>
      </c>
      <c r="D676" s="1143"/>
      <c r="E676" s="1061"/>
      <c r="F676" s="1062"/>
    </row>
    <row r="677" spans="1:6" ht="15" customHeight="1">
      <c r="A677" s="1049"/>
      <c r="B677" s="1017"/>
      <c r="C677" s="1112"/>
      <c r="D677" s="1066"/>
      <c r="E677" s="1058"/>
      <c r="F677" s="1059"/>
    </row>
    <row r="678" spans="1:6" ht="15" customHeight="1">
      <c r="A678" s="1060">
        <v>127</v>
      </c>
      <c r="B678" s="1012">
        <v>1</v>
      </c>
      <c r="C678" s="1109" t="s">
        <v>3909</v>
      </c>
      <c r="D678" s="1150">
        <v>2138</v>
      </c>
      <c r="E678" s="1141"/>
      <c r="F678" s="1013">
        <f>+B678*D678</f>
        <v>2138</v>
      </c>
    </row>
    <row r="679" spans="1:6" ht="15" customHeight="1">
      <c r="A679" s="1014" t="s">
        <v>3064</v>
      </c>
      <c r="B679" s="1015"/>
      <c r="C679" s="1109" t="s">
        <v>2662</v>
      </c>
      <c r="D679" s="1066"/>
      <c r="E679" s="1058"/>
      <c r="F679" s="1059"/>
    </row>
    <row r="680" spans="1:6" ht="27.75" customHeight="1">
      <c r="A680" s="1014" t="s">
        <v>3875</v>
      </c>
      <c r="B680" s="1017">
        <v>1</v>
      </c>
      <c r="C680" s="1177" t="s">
        <v>3096</v>
      </c>
      <c r="D680" s="1066"/>
      <c r="E680" s="1058"/>
      <c r="F680" s="1059"/>
    </row>
    <row r="681" spans="1:6" ht="15" customHeight="1">
      <c r="A681" s="1014" t="s">
        <v>3540</v>
      </c>
      <c r="B681" s="1017"/>
      <c r="C681" s="1116" t="s">
        <v>729</v>
      </c>
      <c r="D681" s="1066"/>
      <c r="E681" s="1058"/>
      <c r="F681" s="1059"/>
    </row>
    <row r="682" spans="1:6" ht="15" customHeight="1">
      <c r="A682" s="1018"/>
      <c r="B682" s="1026"/>
      <c r="C682" s="1118" t="s">
        <v>2654</v>
      </c>
      <c r="D682" s="1066"/>
      <c r="E682" s="1058"/>
      <c r="F682" s="1059"/>
    </row>
    <row r="683" spans="1:6" ht="27.75" customHeight="1">
      <c r="A683" s="1018" t="s">
        <v>3541</v>
      </c>
      <c r="B683" s="1017">
        <v>1</v>
      </c>
      <c r="C683" s="1177" t="s">
        <v>2175</v>
      </c>
      <c r="D683" s="1066"/>
      <c r="E683" s="1058"/>
      <c r="F683" s="1059"/>
    </row>
    <row r="684" spans="1:6" ht="15" customHeight="1">
      <c r="A684" s="1018" t="s">
        <v>3542</v>
      </c>
      <c r="B684" s="1017">
        <v>2</v>
      </c>
      <c r="C684" s="1115" t="s">
        <v>979</v>
      </c>
      <c r="D684" s="1066"/>
      <c r="E684" s="1058"/>
      <c r="F684" s="1059"/>
    </row>
    <row r="685" spans="1:6" ht="15" customHeight="1">
      <c r="A685" s="1018"/>
      <c r="B685" s="1017">
        <v>1</v>
      </c>
      <c r="C685" s="1115" t="s">
        <v>1995</v>
      </c>
      <c r="D685" s="1066"/>
      <c r="E685" s="1058"/>
      <c r="F685" s="1059"/>
    </row>
    <row r="686" spans="1:6" ht="15" customHeight="1">
      <c r="A686" s="1041" t="s">
        <v>3190</v>
      </c>
      <c r="B686" s="1017">
        <v>2</v>
      </c>
      <c r="C686" s="1115" t="s">
        <v>3889</v>
      </c>
      <c r="D686" s="1066"/>
      <c r="E686" s="1058"/>
      <c r="F686" s="1059"/>
    </row>
    <row r="687" spans="1:6" ht="15" customHeight="1">
      <c r="A687" s="1042" t="s">
        <v>3543</v>
      </c>
      <c r="B687" s="1017"/>
      <c r="C687" s="1117"/>
      <c r="D687" s="1066"/>
      <c r="E687" s="1058"/>
      <c r="F687" s="1059"/>
    </row>
    <row r="688" spans="1:6" ht="15" customHeight="1">
      <c r="A688" s="1055" t="s">
        <v>3544</v>
      </c>
      <c r="B688" s="1017"/>
      <c r="C688" s="1116" t="s">
        <v>729</v>
      </c>
      <c r="D688" s="1066"/>
      <c r="E688" s="1058"/>
      <c r="F688" s="1059"/>
    </row>
    <row r="689" spans="1:6" ht="15" customHeight="1">
      <c r="A689" s="1024"/>
      <c r="B689" s="1017">
        <v>1</v>
      </c>
      <c r="C689" s="1119" t="s">
        <v>2908</v>
      </c>
      <c r="D689" s="1066"/>
      <c r="E689" s="1058"/>
      <c r="F689" s="1059"/>
    </row>
    <row r="690" spans="1:6" ht="15" customHeight="1" thickBot="1">
      <c r="A690" s="1050"/>
      <c r="B690" s="1051">
        <v>1</v>
      </c>
      <c r="C690" s="1120" t="s">
        <v>316</v>
      </c>
      <c r="D690" s="1143"/>
      <c r="E690" s="1061"/>
      <c r="F690" s="1062"/>
    </row>
    <row r="691" spans="1:6" ht="15" customHeight="1">
      <c r="A691" s="1049"/>
      <c r="B691" s="1017"/>
      <c r="C691" s="1112"/>
      <c r="D691" s="1066"/>
      <c r="E691" s="1058"/>
      <c r="F691" s="1059"/>
    </row>
    <row r="692" spans="1:6" ht="15" customHeight="1">
      <c r="A692" s="1060">
        <v>128</v>
      </c>
      <c r="B692" s="1012">
        <v>1</v>
      </c>
      <c r="C692" s="1109" t="s">
        <v>3910</v>
      </c>
      <c r="D692" s="1150">
        <v>2696</v>
      </c>
      <c r="E692" s="1149"/>
      <c r="F692" s="1013">
        <f>+B692*D692</f>
        <v>2696</v>
      </c>
    </row>
    <row r="693" spans="1:6" ht="15" customHeight="1">
      <c r="A693" s="1014" t="s">
        <v>3064</v>
      </c>
      <c r="B693" s="1015"/>
      <c r="C693" s="1109" t="s">
        <v>2662</v>
      </c>
      <c r="D693" s="1066"/>
      <c r="E693" s="1058"/>
      <c r="F693" s="1059"/>
    </row>
    <row r="694" spans="1:6" ht="29.25" customHeight="1">
      <c r="A694" s="1014" t="s">
        <v>3875</v>
      </c>
      <c r="B694" s="1017">
        <v>1</v>
      </c>
      <c r="C694" s="1177" t="s">
        <v>3096</v>
      </c>
      <c r="D694" s="1066"/>
      <c r="E694" s="1058"/>
      <c r="F694" s="1059"/>
    </row>
    <row r="695" spans="1:6" ht="15" customHeight="1">
      <c r="A695" s="1014" t="s">
        <v>3540</v>
      </c>
      <c r="B695" s="1017"/>
      <c r="C695" s="1116" t="s">
        <v>729</v>
      </c>
      <c r="D695" s="1066"/>
      <c r="E695" s="1058"/>
      <c r="F695" s="1059"/>
    </row>
    <row r="696" spans="1:6" ht="15" customHeight="1">
      <c r="A696" s="1018"/>
      <c r="B696" s="1026"/>
      <c r="C696" s="1118" t="s">
        <v>2654</v>
      </c>
      <c r="D696" s="1066"/>
      <c r="E696" s="1058"/>
      <c r="F696" s="1059"/>
    </row>
    <row r="697" spans="1:6" ht="36" customHeight="1">
      <c r="A697" s="1018" t="s">
        <v>3541</v>
      </c>
      <c r="B697" s="1017">
        <v>1</v>
      </c>
      <c r="C697" s="1177" t="s">
        <v>2181</v>
      </c>
      <c r="D697" s="1066"/>
      <c r="E697" s="1058"/>
      <c r="F697" s="1059"/>
    </row>
    <row r="698" spans="1:6" ht="27" customHeight="1">
      <c r="A698" s="1018" t="s">
        <v>3542</v>
      </c>
      <c r="B698" s="1017">
        <v>1</v>
      </c>
      <c r="C698" s="1177" t="s">
        <v>2175</v>
      </c>
      <c r="D698" s="1066"/>
      <c r="E698" s="1058"/>
      <c r="F698" s="1059"/>
    </row>
    <row r="699" spans="1:6" ht="15" customHeight="1">
      <c r="A699" s="1018"/>
      <c r="B699" s="1017">
        <v>4</v>
      </c>
      <c r="C699" s="1115" t="s">
        <v>979</v>
      </c>
      <c r="D699" s="1066"/>
      <c r="E699" s="1058"/>
      <c r="F699" s="1059"/>
    </row>
    <row r="700" spans="1:6" ht="15" customHeight="1">
      <c r="A700" s="1041" t="s">
        <v>3190</v>
      </c>
      <c r="B700" s="1017">
        <v>3</v>
      </c>
      <c r="C700" s="1115" t="s">
        <v>1995</v>
      </c>
      <c r="D700" s="1066"/>
      <c r="E700" s="1058"/>
      <c r="F700" s="1059"/>
    </row>
    <row r="701" spans="1:6" ht="15" customHeight="1">
      <c r="A701" s="1042" t="s">
        <v>3543</v>
      </c>
      <c r="B701" s="1017">
        <v>2</v>
      </c>
      <c r="C701" s="1115" t="s">
        <v>3889</v>
      </c>
      <c r="D701" s="1066"/>
      <c r="E701" s="1058"/>
      <c r="F701" s="1059"/>
    </row>
    <row r="702" spans="1:6" ht="15" customHeight="1">
      <c r="A702" s="1055" t="s">
        <v>3544</v>
      </c>
      <c r="B702" s="1017"/>
      <c r="C702" s="1117"/>
      <c r="D702" s="1066"/>
      <c r="E702" s="1058"/>
      <c r="F702" s="1059"/>
    </row>
    <row r="703" spans="1:6" ht="15" customHeight="1">
      <c r="A703" s="1024"/>
      <c r="B703" s="1017"/>
      <c r="C703" s="1116" t="s">
        <v>729</v>
      </c>
      <c r="D703" s="1066"/>
      <c r="E703" s="1058"/>
      <c r="F703" s="1059"/>
    </row>
    <row r="704" spans="1:6" ht="15" customHeight="1">
      <c r="A704" s="1024"/>
      <c r="B704" s="1017">
        <v>1</v>
      </c>
      <c r="C704" s="1119" t="s">
        <v>2908</v>
      </c>
      <c r="D704" s="1066"/>
      <c r="E704" s="1058"/>
      <c r="F704" s="1059"/>
    </row>
    <row r="705" spans="1:6" ht="15" customHeight="1" thickBot="1">
      <c r="A705" s="1050"/>
      <c r="B705" s="1051">
        <v>1</v>
      </c>
      <c r="C705" s="1120" t="s">
        <v>316</v>
      </c>
      <c r="D705" s="1143"/>
      <c r="E705" s="1061"/>
      <c r="F705" s="1062"/>
    </row>
    <row r="706" spans="1:6" ht="15" customHeight="1">
      <c r="A706" s="1049"/>
      <c r="B706" s="1017"/>
      <c r="C706" s="1112"/>
      <c r="D706" s="1066"/>
      <c r="E706" s="1058"/>
      <c r="F706" s="1059"/>
    </row>
    <row r="707" spans="1:6" ht="15" customHeight="1">
      <c r="A707" s="1060">
        <v>129</v>
      </c>
      <c r="B707" s="1012">
        <v>1</v>
      </c>
      <c r="C707" s="1109" t="s">
        <v>3911</v>
      </c>
      <c r="D707" s="1150">
        <v>1411</v>
      </c>
      <c r="E707" s="1149"/>
      <c r="F707" s="1013">
        <f>+B707*D707</f>
        <v>1411</v>
      </c>
    </row>
    <row r="708" spans="1:6" ht="15" customHeight="1">
      <c r="A708" s="1014" t="s">
        <v>3064</v>
      </c>
      <c r="B708" s="1015"/>
      <c r="C708" s="1109" t="s">
        <v>2662</v>
      </c>
      <c r="D708" s="1066"/>
      <c r="E708" s="1058"/>
      <c r="F708" s="1059"/>
    </row>
    <row r="709" spans="1:6" ht="26.25" customHeight="1">
      <c r="A709" s="1014" t="s">
        <v>3875</v>
      </c>
      <c r="B709" s="1017">
        <v>1</v>
      </c>
      <c r="C709" s="1177" t="s">
        <v>2175</v>
      </c>
      <c r="D709" s="1066"/>
      <c r="E709" s="1058"/>
      <c r="F709" s="1059"/>
    </row>
    <row r="710" spans="1:6" ht="15" customHeight="1">
      <c r="A710" s="1014" t="s">
        <v>3540</v>
      </c>
      <c r="B710" s="1017"/>
      <c r="C710" s="1116" t="s">
        <v>729</v>
      </c>
      <c r="D710" s="1066"/>
      <c r="E710" s="1058"/>
      <c r="F710" s="1059"/>
    </row>
    <row r="711" spans="1:6" ht="15" customHeight="1">
      <c r="A711" s="1018"/>
      <c r="B711" s="1026"/>
      <c r="C711" s="1118" t="s">
        <v>2654</v>
      </c>
      <c r="D711" s="1066"/>
      <c r="E711" s="1058"/>
      <c r="F711" s="1059"/>
    </row>
    <row r="712" spans="1:6" ht="27.75" customHeight="1">
      <c r="A712" s="1018" t="s">
        <v>3541</v>
      </c>
      <c r="B712" s="1017">
        <v>1</v>
      </c>
      <c r="C712" s="1177" t="s">
        <v>1480</v>
      </c>
      <c r="D712" s="1066"/>
      <c r="E712" s="1058"/>
      <c r="F712" s="1059"/>
    </row>
    <row r="713" spans="1:6" ht="15" customHeight="1">
      <c r="A713" s="1018" t="s">
        <v>3542</v>
      </c>
      <c r="B713" s="1017">
        <v>3</v>
      </c>
      <c r="C713" s="1115" t="s">
        <v>979</v>
      </c>
      <c r="D713" s="1066"/>
      <c r="E713" s="1058"/>
      <c r="F713" s="1059"/>
    </row>
    <row r="714" spans="1:6" ht="15" customHeight="1">
      <c r="A714" s="1018"/>
      <c r="B714" s="1017">
        <v>3</v>
      </c>
      <c r="C714" s="1115" t="s">
        <v>1995</v>
      </c>
      <c r="D714" s="1066"/>
      <c r="E714" s="1058"/>
      <c r="F714" s="1059"/>
    </row>
    <row r="715" spans="1:6" ht="15" customHeight="1">
      <c r="A715" s="1041"/>
      <c r="B715" s="1017">
        <v>1</v>
      </c>
      <c r="C715" s="1115" t="s">
        <v>3889</v>
      </c>
      <c r="D715" s="1066"/>
      <c r="E715" s="1058"/>
      <c r="F715" s="1059"/>
    </row>
    <row r="716" spans="1:6" ht="15" customHeight="1">
      <c r="A716" s="1055"/>
      <c r="B716" s="1017"/>
      <c r="C716" s="1116" t="s">
        <v>729</v>
      </c>
      <c r="D716" s="1066"/>
      <c r="E716" s="1058"/>
      <c r="F716" s="1059"/>
    </row>
    <row r="717" spans="1:6" ht="15" customHeight="1">
      <c r="A717" s="1024"/>
      <c r="B717" s="1017">
        <v>1</v>
      </c>
      <c r="C717" s="1119" t="s">
        <v>2908</v>
      </c>
      <c r="D717" s="1066"/>
      <c r="E717" s="1058"/>
      <c r="F717" s="1059"/>
    </row>
    <row r="718" spans="1:6" ht="15" customHeight="1" thickBot="1">
      <c r="A718" s="1050"/>
      <c r="B718" s="1051">
        <v>1</v>
      </c>
      <c r="C718" s="1120" t="s">
        <v>316</v>
      </c>
      <c r="D718" s="1143"/>
      <c r="E718" s="1061"/>
      <c r="F718" s="1062"/>
    </row>
    <row r="719" spans="1:6" ht="15" customHeight="1">
      <c r="A719" s="1049"/>
      <c r="B719" s="1017"/>
      <c r="C719" s="1112"/>
      <c r="D719" s="1066"/>
      <c r="E719" s="1058"/>
      <c r="F719" s="1059"/>
    </row>
    <row r="720" spans="1:6" ht="15" customHeight="1">
      <c r="A720" s="1060">
        <v>130</v>
      </c>
      <c r="B720" s="1012">
        <v>1</v>
      </c>
      <c r="C720" s="1109" t="s">
        <v>3912</v>
      </c>
      <c r="D720" s="1150">
        <v>1411</v>
      </c>
      <c r="E720" s="1149"/>
      <c r="F720" s="1013">
        <f>+B720*D720</f>
        <v>1411</v>
      </c>
    </row>
    <row r="721" spans="1:6" ht="15" customHeight="1">
      <c r="A721" s="1014" t="s">
        <v>3064</v>
      </c>
      <c r="B721" s="1015"/>
      <c r="C721" s="1109" t="s">
        <v>2662</v>
      </c>
      <c r="D721" s="1066"/>
      <c r="E721" s="1058"/>
      <c r="F721" s="1059"/>
    </row>
    <row r="722" spans="1:6" ht="24.75" customHeight="1">
      <c r="A722" s="1014" t="s">
        <v>3875</v>
      </c>
      <c r="B722" s="1017">
        <v>1</v>
      </c>
      <c r="C722" s="1177" t="s">
        <v>2181</v>
      </c>
      <c r="D722" s="1066"/>
      <c r="E722" s="1058"/>
      <c r="F722" s="1059"/>
    </row>
    <row r="723" spans="1:6" ht="15" customHeight="1">
      <c r="A723" s="1014" t="s">
        <v>3540</v>
      </c>
      <c r="B723" s="1017"/>
      <c r="C723" s="1116" t="s">
        <v>729</v>
      </c>
      <c r="D723" s="1066"/>
      <c r="E723" s="1058"/>
      <c r="F723" s="1059"/>
    </row>
    <row r="724" spans="1:6" ht="15" customHeight="1">
      <c r="A724" s="1018"/>
      <c r="B724" s="1026"/>
      <c r="C724" s="1118" t="s">
        <v>2654</v>
      </c>
      <c r="D724" s="1066"/>
      <c r="E724" s="1058"/>
      <c r="F724" s="1059"/>
    </row>
    <row r="725" spans="1:6" ht="27" customHeight="1">
      <c r="A725" s="1018" t="s">
        <v>3541</v>
      </c>
      <c r="B725" s="1017">
        <v>1</v>
      </c>
      <c r="C725" s="1177" t="s">
        <v>1481</v>
      </c>
      <c r="D725" s="1066"/>
      <c r="E725" s="1058"/>
      <c r="F725" s="1059"/>
    </row>
    <row r="726" spans="1:6" ht="15" customHeight="1">
      <c r="A726" s="1018" t="s">
        <v>3542</v>
      </c>
      <c r="B726" s="1017">
        <v>3</v>
      </c>
      <c r="C726" s="1115" t="s">
        <v>979</v>
      </c>
      <c r="D726" s="1066"/>
      <c r="E726" s="1058"/>
      <c r="F726" s="1059"/>
    </row>
    <row r="727" spans="1:6" ht="15" customHeight="1">
      <c r="A727" s="1018"/>
      <c r="B727" s="1017">
        <v>3</v>
      </c>
      <c r="C727" s="1115" t="s">
        <v>1995</v>
      </c>
      <c r="D727" s="1066"/>
      <c r="E727" s="1058"/>
      <c r="F727" s="1059"/>
    </row>
    <row r="728" spans="1:6" ht="15" customHeight="1">
      <c r="A728" s="1041"/>
      <c r="B728" s="1017">
        <v>1</v>
      </c>
      <c r="C728" s="1115" t="s">
        <v>3889</v>
      </c>
      <c r="D728" s="1066"/>
      <c r="E728" s="1058"/>
      <c r="F728" s="1059"/>
    </row>
    <row r="729" spans="1:6" ht="15" customHeight="1">
      <c r="A729" s="1055"/>
      <c r="B729" s="1017"/>
      <c r="C729" s="1116" t="s">
        <v>729</v>
      </c>
      <c r="D729" s="1066"/>
      <c r="E729" s="1058"/>
      <c r="F729" s="1059"/>
    </row>
    <row r="730" spans="1:6" ht="15" customHeight="1">
      <c r="A730" s="1024"/>
      <c r="B730" s="1017">
        <v>1</v>
      </c>
      <c r="C730" s="1119" t="s">
        <v>2908</v>
      </c>
      <c r="D730" s="1066"/>
      <c r="E730" s="1058"/>
      <c r="F730" s="1059"/>
    </row>
    <row r="731" spans="1:6" ht="15" customHeight="1" thickBot="1">
      <c r="A731" s="1050"/>
      <c r="B731" s="1051">
        <v>1</v>
      </c>
      <c r="C731" s="1120" t="s">
        <v>316</v>
      </c>
      <c r="D731" s="1143"/>
      <c r="E731" s="1061"/>
      <c r="F731" s="1062"/>
    </row>
    <row r="732" spans="1:6" ht="15" customHeight="1">
      <c r="A732" s="1049"/>
      <c r="B732" s="1017"/>
      <c r="C732" s="1112"/>
      <c r="D732" s="1066"/>
      <c r="E732" s="1058"/>
      <c r="F732" s="1059"/>
    </row>
    <row r="733" spans="1:6" ht="15" customHeight="1">
      <c r="A733" s="1060">
        <v>131</v>
      </c>
      <c r="B733" s="1012">
        <v>1</v>
      </c>
      <c r="C733" s="1109" t="s">
        <v>3913</v>
      </c>
      <c r="D733" s="1150">
        <v>2177</v>
      </c>
      <c r="E733" s="1149"/>
      <c r="F733" s="1013">
        <f>+B733*D733</f>
        <v>2177</v>
      </c>
    </row>
    <row r="734" spans="1:6" ht="15" customHeight="1">
      <c r="A734" s="1014" t="s">
        <v>3064</v>
      </c>
      <c r="B734" s="1015"/>
      <c r="C734" s="1109" t="s">
        <v>2662</v>
      </c>
      <c r="D734" s="1066"/>
      <c r="E734" s="1058"/>
      <c r="F734" s="1059"/>
    </row>
    <row r="735" spans="1:6" ht="27" customHeight="1">
      <c r="A735" s="1014" t="s">
        <v>3875</v>
      </c>
      <c r="B735" s="1017">
        <v>1</v>
      </c>
      <c r="C735" s="1177" t="s">
        <v>3698</v>
      </c>
      <c r="D735" s="1066"/>
      <c r="E735" s="1058"/>
      <c r="F735" s="1059"/>
    </row>
    <row r="736" spans="1:6" ht="15" customHeight="1">
      <c r="A736" s="1014" t="s">
        <v>3540</v>
      </c>
      <c r="B736" s="1017"/>
      <c r="C736" s="1116" t="s">
        <v>729</v>
      </c>
      <c r="D736" s="1066"/>
      <c r="E736" s="1058"/>
      <c r="F736" s="1059"/>
    </row>
    <row r="737" spans="1:6" ht="15" customHeight="1">
      <c r="A737" s="1018"/>
      <c r="B737" s="1026"/>
      <c r="C737" s="1118" t="s">
        <v>2654</v>
      </c>
      <c r="D737" s="1066"/>
      <c r="E737" s="1058"/>
      <c r="F737" s="1059"/>
    </row>
    <row r="738" spans="1:6" ht="27.75" customHeight="1">
      <c r="A738" s="1018" t="s">
        <v>3541</v>
      </c>
      <c r="B738" s="1017">
        <v>3</v>
      </c>
      <c r="C738" s="1177" t="s">
        <v>2172</v>
      </c>
      <c r="D738" s="1066"/>
      <c r="E738" s="1058"/>
      <c r="F738" s="1059"/>
    </row>
    <row r="739" spans="1:6" ht="15" customHeight="1">
      <c r="A739" s="1018" t="s">
        <v>3542</v>
      </c>
      <c r="B739" s="1017">
        <v>1</v>
      </c>
      <c r="C739" s="1115" t="s">
        <v>3914</v>
      </c>
      <c r="D739" s="1066"/>
      <c r="E739" s="1058"/>
      <c r="F739" s="1059"/>
    </row>
    <row r="740" spans="1:6" ht="15" customHeight="1">
      <c r="A740" s="1018"/>
      <c r="B740" s="1017"/>
      <c r="C740" s="1117"/>
      <c r="D740" s="1066"/>
      <c r="E740" s="1058"/>
      <c r="F740" s="1059"/>
    </row>
    <row r="741" spans="1:6" ht="15" customHeight="1">
      <c r="A741" s="1041" t="s">
        <v>3190</v>
      </c>
      <c r="B741" s="1017"/>
      <c r="C741" s="1116" t="s">
        <v>729</v>
      </c>
      <c r="D741" s="1066"/>
      <c r="E741" s="1058"/>
      <c r="F741" s="1059"/>
    </row>
    <row r="742" spans="1:6" ht="15" customHeight="1">
      <c r="A742" s="1042" t="s">
        <v>3543</v>
      </c>
      <c r="B742" s="1017">
        <v>1</v>
      </c>
      <c r="C742" s="1119" t="s">
        <v>2908</v>
      </c>
      <c r="D742" s="1066"/>
      <c r="E742" s="1058"/>
      <c r="F742" s="1059"/>
    </row>
    <row r="743" spans="1:6" ht="15" customHeight="1" thickBot="1">
      <c r="A743" s="1068" t="s">
        <v>3544</v>
      </c>
      <c r="B743" s="1051">
        <v>1</v>
      </c>
      <c r="C743" s="1120" t="s">
        <v>316</v>
      </c>
      <c r="D743" s="1143"/>
      <c r="E743" s="1061"/>
      <c r="F743" s="1062"/>
    </row>
    <row r="744" spans="1:6" ht="15" customHeight="1">
      <c r="A744" s="1067"/>
      <c r="B744" s="1048"/>
      <c r="C744" s="1121"/>
      <c r="D744" s="1066"/>
      <c r="E744" s="1058"/>
      <c r="F744" s="1059"/>
    </row>
    <row r="745" spans="1:6" ht="15" customHeight="1">
      <c r="A745" s="1038">
        <v>141</v>
      </c>
      <c r="B745" s="1012">
        <v>1</v>
      </c>
      <c r="C745" s="1109" t="s">
        <v>3221</v>
      </c>
      <c r="D745" s="1151">
        <v>6241</v>
      </c>
      <c r="E745" s="1149"/>
      <c r="F745" s="1013">
        <f>+B745*D745</f>
        <v>6241</v>
      </c>
    </row>
    <row r="746" spans="1:6" ht="15" customHeight="1">
      <c r="A746" s="1014" t="s">
        <v>3220</v>
      </c>
      <c r="B746" s="1069"/>
      <c r="C746" s="1109"/>
      <c r="D746" s="1066"/>
      <c r="E746" s="1058"/>
      <c r="F746" s="1059"/>
    </row>
    <row r="747" spans="1:6" ht="15" customHeight="1">
      <c r="A747" s="1014"/>
      <c r="B747" s="1070"/>
      <c r="C747" s="1122" t="s">
        <v>3370</v>
      </c>
      <c r="D747" s="1066"/>
      <c r="E747" s="1058"/>
      <c r="F747" s="1059"/>
    </row>
    <row r="748" spans="1:6" ht="15" customHeight="1">
      <c r="A748" s="1014"/>
      <c r="B748" s="1070"/>
      <c r="C748" s="1122" t="s">
        <v>3219</v>
      </c>
      <c r="D748" s="1066"/>
      <c r="E748" s="1058"/>
      <c r="F748" s="1059"/>
    </row>
    <row r="749" spans="1:6" ht="15" customHeight="1">
      <c r="A749" s="1014"/>
      <c r="B749" s="1070"/>
      <c r="C749" s="1122" t="s">
        <v>3274</v>
      </c>
      <c r="D749" s="1066"/>
      <c r="E749" s="1058"/>
      <c r="F749" s="1059"/>
    </row>
    <row r="750" spans="1:6" ht="15" customHeight="1">
      <c r="A750" s="1014"/>
      <c r="B750" s="1070"/>
      <c r="C750" s="1122" t="s">
        <v>3275</v>
      </c>
      <c r="D750" s="1066"/>
      <c r="E750" s="1058"/>
      <c r="F750" s="1059"/>
    </row>
    <row r="751" spans="1:6" ht="15" customHeight="1">
      <c r="A751" s="1014"/>
      <c r="B751" s="1070"/>
      <c r="C751" s="1122"/>
      <c r="D751" s="1066"/>
      <c r="E751" s="1058"/>
      <c r="F751" s="1059"/>
    </row>
    <row r="752" spans="1:6" ht="15" customHeight="1">
      <c r="A752" s="1014"/>
      <c r="B752" s="1070"/>
      <c r="C752" s="1123" t="s">
        <v>3215</v>
      </c>
      <c r="D752" s="1066"/>
      <c r="E752" s="1058"/>
      <c r="F752" s="1059"/>
    </row>
    <row r="753" spans="1:6" ht="15" customHeight="1">
      <c r="A753" s="1020"/>
      <c r="B753" s="1070" t="s">
        <v>3214</v>
      </c>
      <c r="C753" s="1124" t="s">
        <v>3204</v>
      </c>
      <c r="D753" s="1066"/>
      <c r="E753" s="1058"/>
      <c r="F753" s="1059"/>
    </row>
    <row r="754" spans="1:6" ht="15" customHeight="1">
      <c r="A754" s="1071"/>
      <c r="B754" s="1072" t="s">
        <v>3195</v>
      </c>
      <c r="C754" s="1125" t="s">
        <v>3193</v>
      </c>
      <c r="D754" s="1066"/>
      <c r="E754" s="1058"/>
      <c r="F754" s="1059"/>
    </row>
    <row r="755" spans="1:6" ht="15" customHeight="1">
      <c r="A755" s="1020"/>
      <c r="B755" s="1072" t="s">
        <v>3196</v>
      </c>
      <c r="C755" s="1126" t="s">
        <v>3194</v>
      </c>
      <c r="D755" s="1066"/>
      <c r="E755" s="1058"/>
      <c r="F755" s="1059"/>
    </row>
    <row r="756" spans="1:6" ht="15" customHeight="1">
      <c r="A756" s="1020"/>
      <c r="B756" s="1072" t="s">
        <v>3199</v>
      </c>
      <c r="C756" s="1126" t="s">
        <v>3200</v>
      </c>
      <c r="D756" s="1066"/>
      <c r="E756" s="1058"/>
      <c r="F756" s="1059"/>
    </row>
    <row r="757" spans="1:6" ht="15" customHeight="1">
      <c r="A757" s="1020"/>
      <c r="B757" s="1072" t="s">
        <v>3201</v>
      </c>
      <c r="C757" s="1125" t="s">
        <v>3213</v>
      </c>
      <c r="D757" s="1066"/>
      <c r="E757" s="1058"/>
      <c r="F757" s="1059"/>
    </row>
    <row r="758" spans="1:6" ht="15" customHeight="1">
      <c r="A758" s="1020"/>
      <c r="B758" s="1072" t="s">
        <v>3202</v>
      </c>
      <c r="C758" s="1125" t="s">
        <v>3207</v>
      </c>
      <c r="D758" s="1066"/>
      <c r="E758" s="1058"/>
      <c r="F758" s="1059"/>
    </row>
    <row r="759" spans="1:6" ht="15" customHeight="1">
      <c r="A759" s="1014"/>
      <c r="B759" s="1070"/>
      <c r="C759" s="1122"/>
      <c r="D759" s="1066"/>
      <c r="E759" s="1058"/>
      <c r="F759" s="1059"/>
    </row>
    <row r="760" spans="1:6" ht="15" customHeight="1">
      <c r="A760" s="1014"/>
      <c r="B760" s="1070"/>
      <c r="C760" s="1123" t="s">
        <v>3208</v>
      </c>
      <c r="D760" s="1066"/>
      <c r="E760" s="1058"/>
      <c r="F760" s="1059"/>
    </row>
    <row r="761" spans="1:6" ht="15" customHeight="1">
      <c r="A761" s="1020"/>
      <c r="B761" s="1070" t="s">
        <v>3203</v>
      </c>
      <c r="C761" s="1124" t="s">
        <v>3258</v>
      </c>
      <c r="D761" s="1066"/>
      <c r="E761" s="1058"/>
      <c r="F761" s="1059"/>
    </row>
    <row r="762" spans="1:6" ht="15" customHeight="1">
      <c r="A762" s="1020"/>
      <c r="B762" s="1070"/>
      <c r="C762" s="1124" t="s">
        <v>3259</v>
      </c>
      <c r="D762" s="1066"/>
      <c r="E762" s="1058"/>
      <c r="F762" s="1059"/>
    </row>
    <row r="763" spans="1:6" ht="15" customHeight="1">
      <c r="A763" s="1020"/>
      <c r="B763" s="1070" t="s">
        <v>3203</v>
      </c>
      <c r="C763" s="1124" t="s">
        <v>3205</v>
      </c>
      <c r="D763" s="1066"/>
      <c r="E763" s="1058"/>
      <c r="F763" s="1059"/>
    </row>
    <row r="764" spans="1:6" ht="15" customHeight="1">
      <c r="A764" s="1071"/>
      <c r="B764" s="1070" t="s">
        <v>3203</v>
      </c>
      <c r="C764" s="1122" t="s">
        <v>3210</v>
      </c>
      <c r="D764" s="1066"/>
      <c r="E764" s="1058"/>
      <c r="F764" s="1059"/>
    </row>
    <row r="765" spans="1:6" ht="15" customHeight="1">
      <c r="A765" s="1020"/>
      <c r="B765" s="1070"/>
      <c r="C765" s="1122"/>
      <c r="D765" s="1066"/>
      <c r="E765" s="1058"/>
      <c r="F765" s="1059"/>
    </row>
    <row r="766" spans="1:6" ht="15" customHeight="1">
      <c r="A766" s="1014"/>
      <c r="B766" s="1070"/>
      <c r="C766" s="1123" t="s">
        <v>3206</v>
      </c>
      <c r="D766" s="1066"/>
      <c r="E766" s="1058"/>
      <c r="F766" s="1059"/>
    </row>
    <row r="767" spans="1:6" ht="15" customHeight="1">
      <c r="A767" s="1020"/>
      <c r="B767" s="1070" t="s">
        <v>3203</v>
      </c>
      <c r="C767" s="1124" t="s">
        <v>3276</v>
      </c>
      <c r="D767" s="1066"/>
      <c r="E767" s="1058"/>
      <c r="F767" s="1059"/>
    </row>
    <row r="768" spans="1:6" ht="15" customHeight="1">
      <c r="A768" s="1020"/>
      <c r="B768" s="1070"/>
      <c r="C768" s="1122" t="s">
        <v>3277</v>
      </c>
      <c r="D768" s="1066"/>
      <c r="E768" s="1058"/>
      <c r="F768" s="1059"/>
    </row>
    <row r="769" spans="1:6" ht="15" customHeight="1">
      <c r="A769" s="1020"/>
      <c r="B769" s="1070"/>
      <c r="C769" s="1122"/>
      <c r="D769" s="1066"/>
      <c r="E769" s="1058"/>
      <c r="F769" s="1059"/>
    </row>
    <row r="770" spans="1:6" ht="15" customHeight="1">
      <c r="A770" s="1020"/>
      <c r="B770" s="1070"/>
      <c r="C770" s="1122"/>
      <c r="D770" s="1066"/>
      <c r="E770" s="1058"/>
      <c r="F770" s="1059"/>
    </row>
    <row r="771" spans="1:6" ht="15" customHeight="1">
      <c r="A771" s="1020"/>
      <c r="B771" s="1070"/>
      <c r="C771" s="1127" t="s">
        <v>3191</v>
      </c>
      <c r="D771" s="1066"/>
      <c r="E771" s="1058"/>
      <c r="F771" s="1059"/>
    </row>
    <row r="772" spans="1:6" ht="15" customHeight="1">
      <c r="A772" s="1024"/>
      <c r="B772" s="1033"/>
      <c r="C772" s="1122"/>
      <c r="D772" s="1066"/>
      <c r="E772" s="1058"/>
      <c r="F772" s="1059"/>
    </row>
    <row r="773" spans="1:6" ht="15" customHeight="1">
      <c r="A773" s="1024"/>
      <c r="B773" s="1033" t="s">
        <v>3190</v>
      </c>
      <c r="C773" s="1122" t="s">
        <v>3198</v>
      </c>
      <c r="D773" s="1066"/>
      <c r="E773" s="1058"/>
      <c r="F773" s="1059"/>
    </row>
    <row r="774" spans="1:6" ht="15" customHeight="1">
      <c r="A774" s="1024"/>
      <c r="B774" s="1033"/>
      <c r="C774" s="1122" t="s">
        <v>3209</v>
      </c>
      <c r="D774" s="1066"/>
      <c r="E774" s="1058"/>
      <c r="F774" s="1059"/>
    </row>
    <row r="775" spans="1:6" ht="15" customHeight="1">
      <c r="A775" s="1024"/>
      <c r="B775" s="1033"/>
      <c r="C775" s="1122" t="s">
        <v>3218</v>
      </c>
      <c r="D775" s="1066"/>
      <c r="E775" s="1058"/>
      <c r="F775" s="1059"/>
    </row>
    <row r="776" spans="1:6" ht="15" customHeight="1">
      <c r="A776" s="1024"/>
      <c r="B776" s="1033"/>
      <c r="C776" s="1122"/>
      <c r="D776" s="1066"/>
      <c r="E776" s="1058"/>
      <c r="F776" s="1059"/>
    </row>
    <row r="777" spans="1:6" ht="24" customHeight="1">
      <c r="A777" s="1024"/>
      <c r="B777" s="1033" t="s">
        <v>3190</v>
      </c>
      <c r="C777" s="1128" t="s">
        <v>3192</v>
      </c>
      <c r="D777" s="1066"/>
      <c r="E777" s="1058"/>
      <c r="F777" s="1059"/>
    </row>
    <row r="778" spans="1:6" ht="15" customHeight="1">
      <c r="A778" s="1024"/>
      <c r="B778" s="1033"/>
      <c r="C778" s="1122"/>
      <c r="D778" s="1066"/>
      <c r="E778" s="1058"/>
      <c r="F778" s="1059"/>
    </row>
    <row r="779" spans="1:6" ht="15" customHeight="1">
      <c r="A779" s="1024"/>
      <c r="B779" s="1033" t="s">
        <v>3190</v>
      </c>
      <c r="C779" s="1122" t="s">
        <v>3256</v>
      </c>
      <c r="D779" s="1066"/>
      <c r="E779" s="1058"/>
      <c r="F779" s="1059"/>
    </row>
    <row r="780" spans="1:6" ht="15" customHeight="1">
      <c r="A780" s="1024"/>
      <c r="B780" s="1033"/>
      <c r="C780" s="1122" t="s">
        <v>3233</v>
      </c>
      <c r="D780" s="1066"/>
      <c r="E780" s="1058"/>
      <c r="F780" s="1059"/>
    </row>
    <row r="781" spans="1:6" ht="15" customHeight="1">
      <c r="A781" s="1024"/>
      <c r="B781" s="1033"/>
      <c r="C781" s="1122" t="s">
        <v>3217</v>
      </c>
      <c r="D781" s="1066"/>
      <c r="E781" s="1058"/>
      <c r="F781" s="1059"/>
    </row>
    <row r="782" spans="1:6" ht="15" customHeight="1">
      <c r="A782" s="1024"/>
      <c r="B782" s="1033"/>
      <c r="C782" s="1122"/>
      <c r="D782" s="1066"/>
      <c r="E782" s="1058"/>
      <c r="F782" s="1059"/>
    </row>
    <row r="783" spans="1:6" ht="15" customHeight="1">
      <c r="A783" s="1024"/>
      <c r="B783" s="1033"/>
      <c r="C783" s="1122" t="s">
        <v>3261</v>
      </c>
      <c r="D783" s="1066"/>
      <c r="E783" s="1058"/>
      <c r="F783" s="1059"/>
    </row>
    <row r="784" spans="1:6" ht="15" customHeight="1">
      <c r="A784" s="1024"/>
      <c r="B784" s="1033"/>
      <c r="C784" s="1122" t="s">
        <v>3257</v>
      </c>
      <c r="D784" s="1066"/>
      <c r="E784" s="1058"/>
      <c r="F784" s="1059"/>
    </row>
    <row r="785" spans="1:6" ht="15" customHeight="1">
      <c r="A785" s="1024"/>
      <c r="B785" s="1033"/>
      <c r="C785" s="1122" t="s">
        <v>3405</v>
      </c>
      <c r="D785" s="1066"/>
      <c r="E785" s="1058"/>
      <c r="F785" s="1059"/>
    </row>
    <row r="786" spans="1:6" ht="15" customHeight="1">
      <c r="A786" s="1024"/>
      <c r="B786" s="1033"/>
      <c r="C786" s="1122"/>
      <c r="D786" s="1066"/>
      <c r="E786" s="1058"/>
      <c r="F786" s="1059"/>
    </row>
    <row r="787" spans="1:6" ht="15" customHeight="1">
      <c r="A787" s="1024"/>
      <c r="B787" s="1033" t="s">
        <v>3190</v>
      </c>
      <c r="C787" s="1122" t="s">
        <v>3216</v>
      </c>
      <c r="D787" s="1066"/>
      <c r="E787" s="1058"/>
      <c r="F787" s="1059"/>
    </row>
    <row r="788" spans="1:6" ht="15" customHeight="1">
      <c r="A788" s="1024"/>
      <c r="B788" s="1033"/>
      <c r="C788" s="1122" t="s">
        <v>3375</v>
      </c>
      <c r="D788" s="1066"/>
      <c r="E788" s="1058"/>
      <c r="F788" s="1059"/>
    </row>
    <row r="789" spans="1:6" ht="15" customHeight="1">
      <c r="A789" s="1024"/>
      <c r="B789" s="1033"/>
      <c r="C789" s="1122"/>
      <c r="D789" s="1066"/>
      <c r="E789" s="1058"/>
      <c r="F789" s="1059"/>
    </row>
    <row r="790" spans="1:6" ht="15" customHeight="1">
      <c r="A790" s="1024"/>
      <c r="B790" s="1033" t="s">
        <v>3190</v>
      </c>
      <c r="C790" s="1122" t="s">
        <v>3211</v>
      </c>
      <c r="D790" s="1066"/>
      <c r="E790" s="1058"/>
      <c r="F790" s="1059"/>
    </row>
    <row r="791" spans="1:6" ht="15" customHeight="1">
      <c r="A791" s="1024"/>
      <c r="B791" s="1033"/>
      <c r="C791" s="1122" t="s">
        <v>3212</v>
      </c>
      <c r="D791" s="1066"/>
      <c r="E791" s="1058"/>
      <c r="F791" s="1059"/>
    </row>
    <row r="792" spans="1:6" ht="15" customHeight="1">
      <c r="A792" s="1024"/>
      <c r="B792" s="1033"/>
      <c r="C792" s="1122"/>
      <c r="D792" s="1066"/>
      <c r="E792" s="1058"/>
      <c r="F792" s="1059"/>
    </row>
    <row r="793" spans="1:6" ht="15" customHeight="1" thickBot="1">
      <c r="A793" s="1050"/>
      <c r="B793" s="1063" t="s">
        <v>3190</v>
      </c>
      <c r="C793" s="1129" t="s">
        <v>3197</v>
      </c>
      <c r="D793" s="1143"/>
      <c r="E793" s="1061"/>
      <c r="F793" s="1062"/>
    </row>
    <row r="794" spans="1:6" ht="20.100000000000001" customHeight="1">
      <c r="A794" s="1073"/>
      <c r="B794" s="1074"/>
      <c r="C794" s="1075"/>
      <c r="D794" s="1076"/>
      <c r="E794" s="1076" t="s">
        <v>3915</v>
      </c>
      <c r="F794" s="1179">
        <f>SUM(F11:F793)</f>
        <v>409482</v>
      </c>
    </row>
    <row r="795" spans="1:6" ht="20.100000000000001" customHeight="1" thickBot="1">
      <c r="A795" s="1077"/>
      <c r="B795" s="1078"/>
      <c r="C795" s="1185" t="s">
        <v>3916</v>
      </c>
      <c r="D795" s="1142" t="s">
        <v>3917</v>
      </c>
      <c r="E795" s="1144">
        <v>0.18</v>
      </c>
      <c r="F795" s="1180">
        <f>+F794*E795</f>
        <v>73706.759999999995</v>
      </c>
    </row>
    <row r="796" spans="1:6" ht="20.100000000000001" customHeight="1">
      <c r="A796" s="1080"/>
      <c r="B796" s="1081"/>
      <c r="C796" s="1082"/>
      <c r="D796" s="1083"/>
      <c r="E796" s="1083"/>
      <c r="F796" s="2663">
        <f>+F794+F795</f>
        <v>483188.76</v>
      </c>
    </row>
    <row r="797" spans="1:6" ht="20.100000000000001" customHeight="1" thickBot="1">
      <c r="A797" s="1084"/>
      <c r="B797" s="1085"/>
      <c r="C797" s="1086"/>
      <c r="D797" s="1079"/>
      <c r="E797" s="1079"/>
      <c r="F797" s="2664"/>
    </row>
    <row r="798" spans="1:6" ht="14.1" customHeight="1">
      <c r="A798" s="1087"/>
      <c r="B798" s="1088"/>
      <c r="C798" s="1089"/>
    </row>
    <row r="799" spans="1:6" ht="14.1" customHeight="1">
      <c r="A799" s="629"/>
      <c r="B799" s="630"/>
      <c r="C799" s="631"/>
    </row>
    <row r="800" spans="1:6" ht="14.1" customHeight="1">
      <c r="A800" s="629"/>
      <c r="B800" s="630"/>
      <c r="C800" s="631"/>
    </row>
    <row r="801" spans="1:6" ht="14.1" customHeight="1">
      <c r="A801" s="629"/>
      <c r="B801" s="630"/>
      <c r="C801" s="631"/>
    </row>
    <row r="802" spans="1:6" ht="14.1" customHeight="1">
      <c r="A802" s="380" t="s">
        <v>742</v>
      </c>
      <c r="B802" s="380"/>
      <c r="C802" s="184"/>
    </row>
    <row r="803" spans="1:6" ht="14.1" customHeight="1">
      <c r="A803" s="629"/>
      <c r="B803" s="630"/>
      <c r="C803" s="631"/>
    </row>
    <row r="804" spans="1:6" ht="14.1" customHeight="1">
      <c r="A804" s="1091"/>
      <c r="B804" s="945" t="s">
        <v>1564</v>
      </c>
      <c r="C804" s="184" t="s">
        <v>3918</v>
      </c>
      <c r="D804" s="1092"/>
      <c r="E804" s="1093"/>
      <c r="F804" s="1093"/>
    </row>
    <row r="805" spans="1:6" ht="14.1" customHeight="1">
      <c r="A805" s="1091"/>
      <c r="B805" s="723"/>
      <c r="C805" s="184" t="s">
        <v>3919</v>
      </c>
      <c r="D805" s="1092"/>
      <c r="E805" s="1093"/>
      <c r="F805" s="1093"/>
    </row>
    <row r="806" spans="1:6" ht="14.1" customHeight="1">
      <c r="A806" s="1091"/>
      <c r="B806" s="945"/>
      <c r="C806" s="184" t="s">
        <v>3920</v>
      </c>
      <c r="D806" s="1092"/>
      <c r="E806" s="1093"/>
      <c r="F806" s="1093"/>
    </row>
    <row r="807" spans="1:6" ht="14.1" customHeight="1">
      <c r="A807" s="629"/>
      <c r="B807" s="965"/>
      <c r="C807" s="966"/>
      <c r="D807" s="631"/>
      <c r="E807" s="1093"/>
      <c r="F807" s="1093"/>
    </row>
    <row r="808" spans="1:6" ht="14.1" customHeight="1">
      <c r="A808" s="1091"/>
      <c r="B808" s="945" t="s">
        <v>2666</v>
      </c>
      <c r="C808" s="184" t="s">
        <v>3921</v>
      </c>
      <c r="D808" s="184"/>
      <c r="E808" s="1093"/>
      <c r="F808" s="1093"/>
    </row>
    <row r="809" spans="1:6" ht="14.1" customHeight="1">
      <c r="A809" s="629"/>
      <c r="B809" s="723"/>
      <c r="C809" s="184" t="s">
        <v>3922</v>
      </c>
      <c r="D809" s="184"/>
      <c r="E809" s="1093"/>
      <c r="F809" s="1093"/>
    </row>
    <row r="810" spans="1:6" ht="14.1" customHeight="1">
      <c r="A810" s="1091"/>
      <c r="B810" s="1094"/>
      <c r="C810" s="1095"/>
      <c r="D810" s="631"/>
    </row>
    <row r="811" spans="1:6" ht="14.1" customHeight="1">
      <c r="A811" s="1091"/>
      <c r="B811" s="945" t="s">
        <v>1795</v>
      </c>
      <c r="C811" s="184" t="s">
        <v>3923</v>
      </c>
      <c r="D811" s="1092"/>
    </row>
    <row r="812" spans="1:6" ht="14.1" customHeight="1">
      <c r="A812" s="629"/>
      <c r="B812" s="723"/>
      <c r="C812" s="184" t="s">
        <v>3924</v>
      </c>
      <c r="D812" s="1092"/>
    </row>
    <row r="813" spans="1:6" ht="14.1" customHeight="1">
      <c r="A813" s="1091"/>
      <c r="B813" s="945"/>
      <c r="C813" s="184"/>
      <c r="D813" s="1092"/>
    </row>
    <row r="814" spans="1:6" ht="14.1" customHeight="1">
      <c r="A814" s="900"/>
      <c r="B814" s="945" t="s">
        <v>1796</v>
      </c>
      <c r="C814" s="184" t="s">
        <v>3925</v>
      </c>
      <c r="D814" s="1092"/>
    </row>
    <row r="815" spans="1:6" ht="14.1" customHeight="1">
      <c r="A815" s="629"/>
      <c r="B815" s="723"/>
      <c r="C815" s="184" t="s">
        <v>3926</v>
      </c>
      <c r="D815" s="1092"/>
    </row>
    <row r="816" spans="1:6" ht="14.1" customHeight="1">
      <c r="A816" s="1091"/>
      <c r="B816" s="630"/>
      <c r="C816" s="631" t="s">
        <v>3927</v>
      </c>
      <c r="D816" s="631"/>
    </row>
    <row r="817" spans="1:248" ht="14.1" customHeight="1">
      <c r="A817" s="900"/>
      <c r="B817" s="945"/>
      <c r="C817" s="184"/>
      <c r="D817" s="1092"/>
    </row>
    <row r="818" spans="1:248" ht="14.1" customHeight="1">
      <c r="A818" s="1091"/>
      <c r="B818" s="945" t="s">
        <v>3153</v>
      </c>
      <c r="C818" s="184" t="s">
        <v>3928</v>
      </c>
      <c r="D818" s="1092"/>
    </row>
    <row r="819" spans="1:248" ht="14.1" customHeight="1">
      <c r="A819" s="1091"/>
      <c r="B819" s="723"/>
      <c r="C819" s="184" t="s">
        <v>3929</v>
      </c>
      <c r="D819" s="1092"/>
    </row>
    <row r="820" spans="1:248" ht="14.1" customHeight="1">
      <c r="A820" s="1091"/>
      <c r="B820" s="630"/>
      <c r="C820" s="631" t="s">
        <v>3930</v>
      </c>
      <c r="D820" s="631"/>
    </row>
    <row r="821" spans="1:248" s="1090" customFormat="1" ht="14.1" customHeight="1">
      <c r="A821" s="1091"/>
      <c r="B821" s="945"/>
      <c r="C821" s="184"/>
      <c r="D821" s="1092"/>
      <c r="G821" s="997"/>
      <c r="H821" s="997"/>
      <c r="I821" s="997"/>
      <c r="J821" s="997"/>
      <c r="K821" s="997"/>
      <c r="L821" s="997"/>
      <c r="M821" s="997"/>
      <c r="N821" s="997"/>
      <c r="O821" s="997"/>
      <c r="P821" s="997"/>
      <c r="Q821" s="997"/>
      <c r="R821" s="997"/>
      <c r="S821" s="997"/>
      <c r="T821" s="997"/>
      <c r="U821" s="997"/>
      <c r="V821" s="997"/>
      <c r="W821" s="997"/>
      <c r="X821" s="997"/>
      <c r="Y821" s="997"/>
      <c r="Z821" s="997"/>
      <c r="AA821" s="997"/>
      <c r="AB821" s="997"/>
      <c r="AC821" s="997"/>
      <c r="AD821" s="997"/>
      <c r="AE821" s="997"/>
      <c r="AF821" s="997"/>
      <c r="AG821" s="997"/>
      <c r="AH821" s="997"/>
      <c r="AI821" s="997"/>
      <c r="AJ821" s="997"/>
      <c r="AK821" s="997"/>
      <c r="AL821" s="997"/>
      <c r="AM821" s="997"/>
      <c r="AN821" s="997"/>
      <c r="AO821" s="997"/>
      <c r="AP821" s="997"/>
      <c r="AQ821" s="997"/>
      <c r="AR821" s="997"/>
      <c r="AS821" s="997"/>
      <c r="AT821" s="997"/>
      <c r="AU821" s="997"/>
      <c r="AV821" s="997"/>
      <c r="AW821" s="997"/>
      <c r="AX821" s="997"/>
      <c r="AY821" s="997"/>
      <c r="AZ821" s="997"/>
      <c r="BA821" s="997"/>
      <c r="BB821" s="997"/>
      <c r="BC821" s="997"/>
      <c r="BD821" s="997"/>
      <c r="BE821" s="997"/>
      <c r="BF821" s="997"/>
      <c r="BG821" s="997"/>
      <c r="BH821" s="997"/>
      <c r="BI821" s="997"/>
      <c r="BJ821" s="997"/>
      <c r="BK821" s="997"/>
      <c r="BL821" s="997"/>
      <c r="BM821" s="997"/>
      <c r="BN821" s="997"/>
      <c r="BO821" s="997"/>
      <c r="BP821" s="997"/>
      <c r="BQ821" s="997"/>
      <c r="BR821" s="997"/>
      <c r="BS821" s="997"/>
      <c r="BT821" s="997"/>
      <c r="BU821" s="997"/>
      <c r="BV821" s="997"/>
      <c r="BW821" s="997"/>
      <c r="BX821" s="997"/>
      <c r="BY821" s="997"/>
      <c r="BZ821" s="997"/>
      <c r="CA821" s="997"/>
      <c r="CB821" s="997"/>
      <c r="CC821" s="997"/>
      <c r="CD821" s="997"/>
      <c r="CE821" s="997"/>
      <c r="CF821" s="997"/>
      <c r="CG821" s="997"/>
      <c r="CH821" s="997"/>
      <c r="CI821" s="997"/>
      <c r="CJ821" s="997"/>
      <c r="CK821" s="997"/>
      <c r="CL821" s="997"/>
      <c r="CM821" s="997"/>
      <c r="CN821" s="997"/>
      <c r="CO821" s="997"/>
      <c r="CP821" s="997"/>
      <c r="CQ821" s="997"/>
      <c r="CR821" s="997"/>
      <c r="CS821" s="997"/>
      <c r="CT821" s="997"/>
      <c r="CU821" s="997"/>
      <c r="CV821" s="997"/>
      <c r="CW821" s="997"/>
      <c r="CX821" s="997"/>
      <c r="CY821" s="997"/>
      <c r="CZ821" s="997"/>
      <c r="DA821" s="997"/>
      <c r="DB821" s="997"/>
      <c r="DC821" s="997"/>
      <c r="DD821" s="997"/>
      <c r="DE821" s="997"/>
      <c r="DF821" s="997"/>
      <c r="DG821" s="997"/>
      <c r="DH821" s="997"/>
      <c r="DI821" s="997"/>
      <c r="DJ821" s="997"/>
      <c r="DK821" s="997"/>
      <c r="DL821" s="997"/>
      <c r="DM821" s="997"/>
      <c r="DN821" s="997"/>
      <c r="DO821" s="997"/>
      <c r="DP821" s="997"/>
      <c r="DQ821" s="997"/>
      <c r="DR821" s="997"/>
      <c r="DS821" s="997"/>
      <c r="DT821" s="997"/>
      <c r="DU821" s="997"/>
      <c r="DV821" s="997"/>
      <c r="DW821" s="997"/>
      <c r="DX821" s="997"/>
      <c r="DY821" s="997"/>
      <c r="DZ821" s="997"/>
      <c r="EA821" s="997"/>
      <c r="EB821" s="997"/>
      <c r="EC821" s="997"/>
      <c r="ED821" s="997"/>
      <c r="EE821" s="997"/>
      <c r="EF821" s="997"/>
      <c r="EG821" s="997"/>
      <c r="EH821" s="997"/>
      <c r="EI821" s="997"/>
      <c r="EJ821" s="997"/>
      <c r="EK821" s="997"/>
      <c r="EL821" s="997"/>
      <c r="EM821" s="997"/>
      <c r="EN821" s="997"/>
      <c r="EO821" s="997"/>
      <c r="EP821" s="997"/>
      <c r="EQ821" s="997"/>
      <c r="ER821" s="997"/>
      <c r="ES821" s="997"/>
      <c r="ET821" s="997"/>
      <c r="EU821" s="997"/>
      <c r="EV821" s="997"/>
      <c r="EW821" s="997"/>
      <c r="EX821" s="997"/>
      <c r="EY821" s="997"/>
      <c r="EZ821" s="997"/>
      <c r="FA821" s="997"/>
      <c r="FB821" s="997"/>
      <c r="FC821" s="997"/>
      <c r="FD821" s="997"/>
      <c r="FE821" s="997"/>
      <c r="FF821" s="997"/>
      <c r="FG821" s="997"/>
      <c r="FH821" s="997"/>
      <c r="FI821" s="997"/>
      <c r="FJ821" s="997"/>
      <c r="FK821" s="997"/>
      <c r="FL821" s="997"/>
      <c r="FM821" s="997"/>
      <c r="FN821" s="997"/>
      <c r="FO821" s="997"/>
      <c r="FP821" s="997"/>
      <c r="FQ821" s="997"/>
      <c r="FR821" s="997"/>
      <c r="FS821" s="997"/>
      <c r="FT821" s="997"/>
      <c r="FU821" s="997"/>
      <c r="FV821" s="997"/>
      <c r="FW821" s="997"/>
      <c r="FX821" s="997"/>
      <c r="FY821" s="997"/>
      <c r="FZ821" s="997"/>
      <c r="GA821" s="997"/>
      <c r="GB821" s="997"/>
      <c r="GC821" s="997"/>
      <c r="GD821" s="997"/>
      <c r="GE821" s="997"/>
      <c r="GF821" s="997"/>
      <c r="GG821" s="997"/>
      <c r="GH821" s="997"/>
      <c r="GI821" s="997"/>
      <c r="GJ821" s="997"/>
      <c r="GK821" s="997"/>
      <c r="GL821" s="997"/>
      <c r="GM821" s="997"/>
      <c r="GN821" s="997"/>
      <c r="GO821" s="997"/>
      <c r="GP821" s="997"/>
      <c r="GQ821" s="997"/>
      <c r="GR821" s="997"/>
      <c r="GS821" s="997"/>
      <c r="GT821" s="997"/>
      <c r="GU821" s="997"/>
      <c r="GV821" s="997"/>
      <c r="GW821" s="997"/>
      <c r="GX821" s="997"/>
      <c r="GY821" s="997"/>
      <c r="GZ821" s="997"/>
      <c r="HA821" s="997"/>
      <c r="HB821" s="997"/>
      <c r="HC821" s="997"/>
      <c r="HD821" s="997"/>
      <c r="HE821" s="997"/>
      <c r="HF821" s="997"/>
      <c r="HG821" s="997"/>
      <c r="HH821" s="997"/>
      <c r="HI821" s="997"/>
      <c r="HJ821" s="997"/>
      <c r="HK821" s="997"/>
      <c r="HL821" s="997"/>
      <c r="HM821" s="997"/>
      <c r="HN821" s="997"/>
      <c r="HO821" s="997"/>
      <c r="HP821" s="997"/>
      <c r="HQ821" s="997"/>
      <c r="HR821" s="997"/>
      <c r="HS821" s="997"/>
      <c r="HT821" s="997"/>
      <c r="HU821" s="997"/>
      <c r="HV821" s="997"/>
      <c r="HW821" s="997"/>
      <c r="HX821" s="997"/>
      <c r="HY821" s="997"/>
      <c r="HZ821" s="997"/>
      <c r="IA821" s="997"/>
      <c r="IB821" s="997"/>
      <c r="IC821" s="997"/>
      <c r="ID821" s="997"/>
      <c r="IE821" s="997"/>
      <c r="IF821" s="997"/>
      <c r="IG821" s="997"/>
      <c r="IH821" s="997"/>
      <c r="II821" s="997"/>
      <c r="IJ821" s="997"/>
      <c r="IK821" s="997"/>
      <c r="IL821" s="997"/>
      <c r="IM821" s="997"/>
      <c r="IN821" s="997"/>
    </row>
    <row r="822" spans="1:248" s="1090" customFormat="1" ht="14.1" customHeight="1">
      <c r="A822" s="1091"/>
      <c r="B822" s="945" t="s">
        <v>3154</v>
      </c>
      <c r="C822" s="184" t="s">
        <v>3931</v>
      </c>
      <c r="D822" s="1092"/>
      <c r="G822" s="997"/>
      <c r="H822" s="997"/>
      <c r="I822" s="997"/>
      <c r="J822" s="997"/>
      <c r="K822" s="997"/>
      <c r="L822" s="997"/>
      <c r="M822" s="997"/>
      <c r="N822" s="997"/>
      <c r="O822" s="997"/>
      <c r="P822" s="997"/>
      <c r="Q822" s="997"/>
      <c r="R822" s="997"/>
      <c r="S822" s="997"/>
      <c r="T822" s="997"/>
      <c r="U822" s="997"/>
      <c r="V822" s="997"/>
      <c r="W822" s="997"/>
      <c r="X822" s="997"/>
      <c r="Y822" s="997"/>
      <c r="Z822" s="997"/>
      <c r="AA822" s="997"/>
      <c r="AB822" s="997"/>
      <c r="AC822" s="997"/>
      <c r="AD822" s="997"/>
      <c r="AE822" s="997"/>
      <c r="AF822" s="997"/>
      <c r="AG822" s="997"/>
      <c r="AH822" s="997"/>
      <c r="AI822" s="997"/>
      <c r="AJ822" s="997"/>
      <c r="AK822" s="997"/>
      <c r="AL822" s="997"/>
      <c r="AM822" s="997"/>
      <c r="AN822" s="997"/>
      <c r="AO822" s="997"/>
      <c r="AP822" s="997"/>
      <c r="AQ822" s="997"/>
      <c r="AR822" s="997"/>
      <c r="AS822" s="997"/>
      <c r="AT822" s="997"/>
      <c r="AU822" s="997"/>
      <c r="AV822" s="997"/>
      <c r="AW822" s="997"/>
      <c r="AX822" s="997"/>
      <c r="AY822" s="997"/>
      <c r="AZ822" s="997"/>
      <c r="BA822" s="997"/>
      <c r="BB822" s="997"/>
      <c r="BC822" s="997"/>
      <c r="BD822" s="997"/>
      <c r="BE822" s="997"/>
      <c r="BF822" s="997"/>
      <c r="BG822" s="997"/>
      <c r="BH822" s="997"/>
      <c r="BI822" s="997"/>
      <c r="BJ822" s="997"/>
      <c r="BK822" s="997"/>
      <c r="BL822" s="997"/>
      <c r="BM822" s="997"/>
      <c r="BN822" s="997"/>
      <c r="BO822" s="997"/>
      <c r="BP822" s="997"/>
      <c r="BQ822" s="997"/>
      <c r="BR822" s="997"/>
      <c r="BS822" s="997"/>
      <c r="BT822" s="997"/>
      <c r="BU822" s="997"/>
      <c r="BV822" s="997"/>
      <c r="BW822" s="997"/>
      <c r="BX822" s="997"/>
      <c r="BY822" s="997"/>
      <c r="BZ822" s="997"/>
      <c r="CA822" s="997"/>
      <c r="CB822" s="997"/>
      <c r="CC822" s="997"/>
      <c r="CD822" s="997"/>
      <c r="CE822" s="997"/>
      <c r="CF822" s="997"/>
      <c r="CG822" s="997"/>
      <c r="CH822" s="997"/>
      <c r="CI822" s="997"/>
      <c r="CJ822" s="997"/>
      <c r="CK822" s="997"/>
      <c r="CL822" s="997"/>
      <c r="CM822" s="997"/>
      <c r="CN822" s="997"/>
      <c r="CO822" s="997"/>
      <c r="CP822" s="997"/>
      <c r="CQ822" s="997"/>
      <c r="CR822" s="997"/>
      <c r="CS822" s="997"/>
      <c r="CT822" s="997"/>
      <c r="CU822" s="997"/>
      <c r="CV822" s="997"/>
      <c r="CW822" s="997"/>
      <c r="CX822" s="997"/>
      <c r="CY822" s="997"/>
      <c r="CZ822" s="997"/>
      <c r="DA822" s="997"/>
      <c r="DB822" s="997"/>
      <c r="DC822" s="997"/>
      <c r="DD822" s="997"/>
      <c r="DE822" s="997"/>
      <c r="DF822" s="997"/>
      <c r="DG822" s="997"/>
      <c r="DH822" s="997"/>
      <c r="DI822" s="997"/>
      <c r="DJ822" s="997"/>
      <c r="DK822" s="997"/>
      <c r="DL822" s="997"/>
      <c r="DM822" s="997"/>
      <c r="DN822" s="997"/>
      <c r="DO822" s="997"/>
      <c r="DP822" s="997"/>
      <c r="DQ822" s="997"/>
      <c r="DR822" s="997"/>
      <c r="DS822" s="997"/>
      <c r="DT822" s="997"/>
      <c r="DU822" s="997"/>
      <c r="DV822" s="997"/>
      <c r="DW822" s="997"/>
      <c r="DX822" s="997"/>
      <c r="DY822" s="997"/>
      <c r="DZ822" s="997"/>
      <c r="EA822" s="997"/>
      <c r="EB822" s="997"/>
      <c r="EC822" s="997"/>
      <c r="ED822" s="997"/>
      <c r="EE822" s="997"/>
      <c r="EF822" s="997"/>
      <c r="EG822" s="997"/>
      <c r="EH822" s="997"/>
      <c r="EI822" s="997"/>
      <c r="EJ822" s="997"/>
      <c r="EK822" s="997"/>
      <c r="EL822" s="997"/>
      <c r="EM822" s="997"/>
      <c r="EN822" s="997"/>
      <c r="EO822" s="997"/>
      <c r="EP822" s="997"/>
      <c r="EQ822" s="997"/>
      <c r="ER822" s="997"/>
      <c r="ES822" s="997"/>
      <c r="ET822" s="997"/>
      <c r="EU822" s="997"/>
      <c r="EV822" s="997"/>
      <c r="EW822" s="997"/>
      <c r="EX822" s="997"/>
      <c r="EY822" s="997"/>
      <c r="EZ822" s="997"/>
      <c r="FA822" s="997"/>
      <c r="FB822" s="997"/>
      <c r="FC822" s="997"/>
      <c r="FD822" s="997"/>
      <c r="FE822" s="997"/>
      <c r="FF822" s="997"/>
      <c r="FG822" s="997"/>
      <c r="FH822" s="997"/>
      <c r="FI822" s="997"/>
      <c r="FJ822" s="997"/>
      <c r="FK822" s="997"/>
      <c r="FL822" s="997"/>
      <c r="FM822" s="997"/>
      <c r="FN822" s="997"/>
      <c r="FO822" s="997"/>
      <c r="FP822" s="997"/>
      <c r="FQ822" s="997"/>
      <c r="FR822" s="997"/>
      <c r="FS822" s="997"/>
      <c r="FT822" s="997"/>
      <c r="FU822" s="997"/>
      <c r="FV822" s="997"/>
      <c r="FW822" s="997"/>
      <c r="FX822" s="997"/>
      <c r="FY822" s="997"/>
      <c r="FZ822" s="997"/>
      <c r="GA822" s="997"/>
      <c r="GB822" s="997"/>
      <c r="GC822" s="997"/>
      <c r="GD822" s="997"/>
      <c r="GE822" s="997"/>
      <c r="GF822" s="997"/>
      <c r="GG822" s="997"/>
      <c r="GH822" s="997"/>
      <c r="GI822" s="997"/>
      <c r="GJ822" s="997"/>
      <c r="GK822" s="997"/>
      <c r="GL822" s="997"/>
      <c r="GM822" s="997"/>
      <c r="GN822" s="997"/>
      <c r="GO822" s="997"/>
      <c r="GP822" s="997"/>
      <c r="GQ822" s="997"/>
      <c r="GR822" s="997"/>
      <c r="GS822" s="997"/>
      <c r="GT822" s="997"/>
      <c r="GU822" s="997"/>
      <c r="GV822" s="997"/>
      <c r="GW822" s="997"/>
      <c r="GX822" s="997"/>
      <c r="GY822" s="997"/>
      <c r="GZ822" s="997"/>
      <c r="HA822" s="997"/>
      <c r="HB822" s="997"/>
      <c r="HC822" s="997"/>
      <c r="HD822" s="997"/>
      <c r="HE822" s="997"/>
      <c r="HF822" s="997"/>
      <c r="HG822" s="997"/>
      <c r="HH822" s="997"/>
      <c r="HI822" s="997"/>
      <c r="HJ822" s="997"/>
      <c r="HK822" s="997"/>
      <c r="HL822" s="997"/>
      <c r="HM822" s="997"/>
      <c r="HN822" s="997"/>
      <c r="HO822" s="997"/>
      <c r="HP822" s="997"/>
      <c r="HQ822" s="997"/>
      <c r="HR822" s="997"/>
      <c r="HS822" s="997"/>
      <c r="HT822" s="997"/>
      <c r="HU822" s="997"/>
      <c r="HV822" s="997"/>
      <c r="HW822" s="997"/>
      <c r="HX822" s="997"/>
      <c r="HY822" s="997"/>
      <c r="HZ822" s="997"/>
      <c r="IA822" s="997"/>
      <c r="IB822" s="997"/>
      <c r="IC822" s="997"/>
      <c r="ID822" s="997"/>
      <c r="IE822" s="997"/>
      <c r="IF822" s="997"/>
      <c r="IG822" s="997"/>
      <c r="IH822" s="997"/>
      <c r="II822" s="997"/>
      <c r="IJ822" s="997"/>
      <c r="IK822" s="997"/>
      <c r="IL822" s="997"/>
      <c r="IM822" s="997"/>
      <c r="IN822" s="997"/>
    </row>
    <row r="823" spans="1:248" s="1090" customFormat="1" ht="14.1" customHeight="1">
      <c r="A823" s="1091"/>
      <c r="B823" s="723"/>
      <c r="C823" s="184" t="s">
        <v>3932</v>
      </c>
      <c r="D823" s="1092"/>
      <c r="G823" s="997"/>
      <c r="H823" s="997"/>
      <c r="I823" s="997"/>
      <c r="J823" s="997"/>
      <c r="K823" s="997"/>
      <c r="L823" s="997"/>
      <c r="M823" s="997"/>
      <c r="N823" s="997"/>
      <c r="O823" s="997"/>
      <c r="P823" s="997"/>
      <c r="Q823" s="997"/>
      <c r="R823" s="997"/>
      <c r="S823" s="997"/>
      <c r="T823" s="997"/>
      <c r="U823" s="997"/>
      <c r="V823" s="997"/>
      <c r="W823" s="997"/>
      <c r="X823" s="997"/>
      <c r="Y823" s="997"/>
      <c r="Z823" s="997"/>
      <c r="AA823" s="997"/>
      <c r="AB823" s="997"/>
      <c r="AC823" s="997"/>
      <c r="AD823" s="997"/>
      <c r="AE823" s="997"/>
      <c r="AF823" s="997"/>
      <c r="AG823" s="997"/>
      <c r="AH823" s="997"/>
      <c r="AI823" s="997"/>
      <c r="AJ823" s="997"/>
      <c r="AK823" s="997"/>
      <c r="AL823" s="997"/>
      <c r="AM823" s="997"/>
      <c r="AN823" s="997"/>
      <c r="AO823" s="997"/>
      <c r="AP823" s="997"/>
      <c r="AQ823" s="997"/>
      <c r="AR823" s="997"/>
      <c r="AS823" s="997"/>
      <c r="AT823" s="997"/>
      <c r="AU823" s="997"/>
      <c r="AV823" s="997"/>
      <c r="AW823" s="997"/>
      <c r="AX823" s="997"/>
      <c r="AY823" s="997"/>
      <c r="AZ823" s="997"/>
      <c r="BA823" s="997"/>
      <c r="BB823" s="997"/>
      <c r="BC823" s="997"/>
      <c r="BD823" s="997"/>
      <c r="BE823" s="997"/>
      <c r="BF823" s="997"/>
      <c r="BG823" s="997"/>
      <c r="BH823" s="997"/>
      <c r="BI823" s="997"/>
      <c r="BJ823" s="997"/>
      <c r="BK823" s="997"/>
      <c r="BL823" s="997"/>
      <c r="BM823" s="997"/>
      <c r="BN823" s="997"/>
      <c r="BO823" s="997"/>
      <c r="BP823" s="997"/>
      <c r="BQ823" s="997"/>
      <c r="BR823" s="997"/>
      <c r="BS823" s="997"/>
      <c r="BT823" s="997"/>
      <c r="BU823" s="997"/>
      <c r="BV823" s="997"/>
      <c r="BW823" s="997"/>
      <c r="BX823" s="997"/>
      <c r="BY823" s="997"/>
      <c r="BZ823" s="997"/>
      <c r="CA823" s="997"/>
      <c r="CB823" s="997"/>
      <c r="CC823" s="997"/>
      <c r="CD823" s="997"/>
      <c r="CE823" s="997"/>
      <c r="CF823" s="997"/>
      <c r="CG823" s="997"/>
      <c r="CH823" s="997"/>
      <c r="CI823" s="997"/>
      <c r="CJ823" s="997"/>
      <c r="CK823" s="997"/>
      <c r="CL823" s="997"/>
      <c r="CM823" s="997"/>
      <c r="CN823" s="997"/>
      <c r="CO823" s="997"/>
      <c r="CP823" s="997"/>
      <c r="CQ823" s="997"/>
      <c r="CR823" s="997"/>
      <c r="CS823" s="997"/>
      <c r="CT823" s="997"/>
      <c r="CU823" s="997"/>
      <c r="CV823" s="997"/>
      <c r="CW823" s="997"/>
      <c r="CX823" s="997"/>
      <c r="CY823" s="997"/>
      <c r="CZ823" s="997"/>
      <c r="DA823" s="997"/>
      <c r="DB823" s="997"/>
      <c r="DC823" s="997"/>
      <c r="DD823" s="997"/>
      <c r="DE823" s="997"/>
      <c r="DF823" s="997"/>
      <c r="DG823" s="997"/>
      <c r="DH823" s="997"/>
      <c r="DI823" s="997"/>
      <c r="DJ823" s="997"/>
      <c r="DK823" s="997"/>
      <c r="DL823" s="997"/>
      <c r="DM823" s="997"/>
      <c r="DN823" s="997"/>
      <c r="DO823" s="997"/>
      <c r="DP823" s="997"/>
      <c r="DQ823" s="997"/>
      <c r="DR823" s="997"/>
      <c r="DS823" s="997"/>
      <c r="DT823" s="997"/>
      <c r="DU823" s="997"/>
      <c r="DV823" s="997"/>
      <c r="DW823" s="997"/>
      <c r="DX823" s="997"/>
      <c r="DY823" s="997"/>
      <c r="DZ823" s="997"/>
      <c r="EA823" s="997"/>
      <c r="EB823" s="997"/>
      <c r="EC823" s="997"/>
      <c r="ED823" s="997"/>
      <c r="EE823" s="997"/>
      <c r="EF823" s="997"/>
      <c r="EG823" s="997"/>
      <c r="EH823" s="997"/>
      <c r="EI823" s="997"/>
      <c r="EJ823" s="997"/>
      <c r="EK823" s="997"/>
      <c r="EL823" s="997"/>
      <c r="EM823" s="997"/>
      <c r="EN823" s="997"/>
      <c r="EO823" s="997"/>
      <c r="EP823" s="997"/>
      <c r="EQ823" s="997"/>
      <c r="ER823" s="997"/>
      <c r="ES823" s="997"/>
      <c r="ET823" s="997"/>
      <c r="EU823" s="997"/>
      <c r="EV823" s="997"/>
      <c r="EW823" s="997"/>
      <c r="EX823" s="997"/>
      <c r="EY823" s="997"/>
      <c r="EZ823" s="997"/>
      <c r="FA823" s="997"/>
      <c r="FB823" s="997"/>
      <c r="FC823" s="997"/>
      <c r="FD823" s="997"/>
      <c r="FE823" s="997"/>
      <c r="FF823" s="997"/>
      <c r="FG823" s="997"/>
      <c r="FH823" s="997"/>
      <c r="FI823" s="997"/>
      <c r="FJ823" s="997"/>
      <c r="FK823" s="997"/>
      <c r="FL823" s="997"/>
      <c r="FM823" s="997"/>
      <c r="FN823" s="997"/>
      <c r="FO823" s="997"/>
      <c r="FP823" s="997"/>
      <c r="FQ823" s="997"/>
      <c r="FR823" s="997"/>
      <c r="FS823" s="997"/>
      <c r="FT823" s="997"/>
      <c r="FU823" s="997"/>
      <c r="FV823" s="997"/>
      <c r="FW823" s="997"/>
      <c r="FX823" s="997"/>
      <c r="FY823" s="997"/>
      <c r="FZ823" s="997"/>
      <c r="GA823" s="997"/>
      <c r="GB823" s="997"/>
      <c r="GC823" s="997"/>
      <c r="GD823" s="997"/>
      <c r="GE823" s="997"/>
      <c r="GF823" s="997"/>
      <c r="GG823" s="997"/>
      <c r="GH823" s="997"/>
      <c r="GI823" s="997"/>
      <c r="GJ823" s="997"/>
      <c r="GK823" s="997"/>
      <c r="GL823" s="997"/>
      <c r="GM823" s="997"/>
      <c r="GN823" s="997"/>
      <c r="GO823" s="997"/>
      <c r="GP823" s="997"/>
      <c r="GQ823" s="997"/>
      <c r="GR823" s="997"/>
      <c r="GS823" s="997"/>
      <c r="GT823" s="997"/>
      <c r="GU823" s="997"/>
      <c r="GV823" s="997"/>
      <c r="GW823" s="997"/>
      <c r="GX823" s="997"/>
      <c r="GY823" s="997"/>
      <c r="GZ823" s="997"/>
      <c r="HA823" s="997"/>
      <c r="HB823" s="997"/>
      <c r="HC823" s="997"/>
      <c r="HD823" s="997"/>
      <c r="HE823" s="997"/>
      <c r="HF823" s="997"/>
      <c r="HG823" s="997"/>
      <c r="HH823" s="997"/>
      <c r="HI823" s="997"/>
      <c r="HJ823" s="997"/>
      <c r="HK823" s="997"/>
      <c r="HL823" s="997"/>
      <c r="HM823" s="997"/>
      <c r="HN823" s="997"/>
      <c r="HO823" s="997"/>
      <c r="HP823" s="997"/>
      <c r="HQ823" s="997"/>
      <c r="HR823" s="997"/>
      <c r="HS823" s="997"/>
      <c r="HT823" s="997"/>
      <c r="HU823" s="997"/>
      <c r="HV823" s="997"/>
      <c r="HW823" s="997"/>
      <c r="HX823" s="997"/>
      <c r="HY823" s="997"/>
      <c r="HZ823" s="997"/>
      <c r="IA823" s="997"/>
      <c r="IB823" s="997"/>
      <c r="IC823" s="997"/>
      <c r="ID823" s="997"/>
      <c r="IE823" s="997"/>
      <c r="IF823" s="997"/>
      <c r="IG823" s="997"/>
      <c r="IH823" s="997"/>
      <c r="II823" s="997"/>
      <c r="IJ823" s="997"/>
      <c r="IK823" s="997"/>
      <c r="IL823" s="997"/>
      <c r="IM823" s="997"/>
      <c r="IN823" s="997"/>
    </row>
    <row r="824" spans="1:248" s="1090" customFormat="1" ht="14.1" customHeight="1">
      <c r="A824" s="1091"/>
      <c r="B824" s="630"/>
      <c r="C824" s="631" t="s">
        <v>3933</v>
      </c>
      <c r="D824" s="631"/>
      <c r="G824" s="997"/>
      <c r="H824" s="997"/>
      <c r="I824" s="997"/>
      <c r="J824" s="997"/>
      <c r="K824" s="997"/>
      <c r="L824" s="997"/>
      <c r="M824" s="997"/>
      <c r="N824" s="997"/>
      <c r="O824" s="997"/>
      <c r="P824" s="997"/>
      <c r="Q824" s="997"/>
      <c r="R824" s="997"/>
      <c r="S824" s="997"/>
      <c r="T824" s="997"/>
      <c r="U824" s="997"/>
      <c r="V824" s="997"/>
      <c r="W824" s="997"/>
      <c r="X824" s="997"/>
      <c r="Y824" s="997"/>
      <c r="Z824" s="997"/>
      <c r="AA824" s="997"/>
      <c r="AB824" s="997"/>
      <c r="AC824" s="997"/>
      <c r="AD824" s="997"/>
      <c r="AE824" s="997"/>
      <c r="AF824" s="997"/>
      <c r="AG824" s="997"/>
      <c r="AH824" s="997"/>
      <c r="AI824" s="997"/>
      <c r="AJ824" s="997"/>
      <c r="AK824" s="997"/>
      <c r="AL824" s="997"/>
      <c r="AM824" s="997"/>
      <c r="AN824" s="997"/>
      <c r="AO824" s="997"/>
      <c r="AP824" s="997"/>
      <c r="AQ824" s="997"/>
      <c r="AR824" s="997"/>
      <c r="AS824" s="997"/>
      <c r="AT824" s="997"/>
      <c r="AU824" s="997"/>
      <c r="AV824" s="997"/>
      <c r="AW824" s="997"/>
      <c r="AX824" s="997"/>
      <c r="AY824" s="997"/>
      <c r="AZ824" s="997"/>
      <c r="BA824" s="997"/>
      <c r="BB824" s="997"/>
      <c r="BC824" s="997"/>
      <c r="BD824" s="997"/>
      <c r="BE824" s="997"/>
      <c r="BF824" s="997"/>
      <c r="BG824" s="997"/>
      <c r="BH824" s="997"/>
      <c r="BI824" s="997"/>
      <c r="BJ824" s="997"/>
      <c r="BK824" s="997"/>
      <c r="BL824" s="997"/>
      <c r="BM824" s="997"/>
      <c r="BN824" s="997"/>
      <c r="BO824" s="997"/>
      <c r="BP824" s="997"/>
      <c r="BQ824" s="997"/>
      <c r="BR824" s="997"/>
      <c r="BS824" s="997"/>
      <c r="BT824" s="997"/>
      <c r="BU824" s="997"/>
      <c r="BV824" s="997"/>
      <c r="BW824" s="997"/>
      <c r="BX824" s="997"/>
      <c r="BY824" s="997"/>
      <c r="BZ824" s="997"/>
      <c r="CA824" s="997"/>
      <c r="CB824" s="997"/>
      <c r="CC824" s="997"/>
      <c r="CD824" s="997"/>
      <c r="CE824" s="997"/>
      <c r="CF824" s="997"/>
      <c r="CG824" s="997"/>
      <c r="CH824" s="997"/>
      <c r="CI824" s="997"/>
      <c r="CJ824" s="997"/>
      <c r="CK824" s="997"/>
      <c r="CL824" s="997"/>
      <c r="CM824" s="997"/>
      <c r="CN824" s="997"/>
      <c r="CO824" s="997"/>
      <c r="CP824" s="997"/>
      <c r="CQ824" s="997"/>
      <c r="CR824" s="997"/>
      <c r="CS824" s="997"/>
      <c r="CT824" s="997"/>
      <c r="CU824" s="997"/>
      <c r="CV824" s="997"/>
      <c r="CW824" s="997"/>
      <c r="CX824" s="997"/>
      <c r="CY824" s="997"/>
      <c r="CZ824" s="997"/>
      <c r="DA824" s="997"/>
      <c r="DB824" s="997"/>
      <c r="DC824" s="997"/>
      <c r="DD824" s="997"/>
      <c r="DE824" s="997"/>
      <c r="DF824" s="997"/>
      <c r="DG824" s="997"/>
      <c r="DH824" s="997"/>
      <c r="DI824" s="997"/>
      <c r="DJ824" s="997"/>
      <c r="DK824" s="997"/>
      <c r="DL824" s="997"/>
      <c r="DM824" s="997"/>
      <c r="DN824" s="997"/>
      <c r="DO824" s="997"/>
      <c r="DP824" s="997"/>
      <c r="DQ824" s="997"/>
      <c r="DR824" s="997"/>
      <c r="DS824" s="997"/>
      <c r="DT824" s="997"/>
      <c r="DU824" s="997"/>
      <c r="DV824" s="997"/>
      <c r="DW824" s="997"/>
      <c r="DX824" s="997"/>
      <c r="DY824" s="997"/>
      <c r="DZ824" s="997"/>
      <c r="EA824" s="997"/>
      <c r="EB824" s="997"/>
      <c r="EC824" s="997"/>
      <c r="ED824" s="997"/>
      <c r="EE824" s="997"/>
      <c r="EF824" s="997"/>
      <c r="EG824" s="997"/>
      <c r="EH824" s="997"/>
      <c r="EI824" s="997"/>
      <c r="EJ824" s="997"/>
      <c r="EK824" s="997"/>
      <c r="EL824" s="997"/>
      <c r="EM824" s="997"/>
      <c r="EN824" s="997"/>
      <c r="EO824" s="997"/>
      <c r="EP824" s="997"/>
      <c r="EQ824" s="997"/>
      <c r="ER824" s="997"/>
      <c r="ES824" s="997"/>
      <c r="ET824" s="997"/>
      <c r="EU824" s="997"/>
      <c r="EV824" s="997"/>
      <c r="EW824" s="997"/>
      <c r="EX824" s="997"/>
      <c r="EY824" s="997"/>
      <c r="EZ824" s="997"/>
      <c r="FA824" s="997"/>
      <c r="FB824" s="997"/>
      <c r="FC824" s="997"/>
      <c r="FD824" s="997"/>
      <c r="FE824" s="997"/>
      <c r="FF824" s="997"/>
      <c r="FG824" s="997"/>
      <c r="FH824" s="997"/>
      <c r="FI824" s="997"/>
      <c r="FJ824" s="997"/>
      <c r="FK824" s="997"/>
      <c r="FL824" s="997"/>
      <c r="FM824" s="997"/>
      <c r="FN824" s="997"/>
      <c r="FO824" s="997"/>
      <c r="FP824" s="997"/>
      <c r="FQ824" s="997"/>
      <c r="FR824" s="997"/>
      <c r="FS824" s="997"/>
      <c r="FT824" s="997"/>
      <c r="FU824" s="997"/>
      <c r="FV824" s="997"/>
      <c r="FW824" s="997"/>
      <c r="FX824" s="997"/>
      <c r="FY824" s="997"/>
      <c r="FZ824" s="997"/>
      <c r="GA824" s="997"/>
      <c r="GB824" s="997"/>
      <c r="GC824" s="997"/>
      <c r="GD824" s="997"/>
      <c r="GE824" s="997"/>
      <c r="GF824" s="997"/>
      <c r="GG824" s="997"/>
      <c r="GH824" s="997"/>
      <c r="GI824" s="997"/>
      <c r="GJ824" s="997"/>
      <c r="GK824" s="997"/>
      <c r="GL824" s="997"/>
      <c r="GM824" s="997"/>
      <c r="GN824" s="997"/>
      <c r="GO824" s="997"/>
      <c r="GP824" s="997"/>
      <c r="GQ824" s="997"/>
      <c r="GR824" s="997"/>
      <c r="GS824" s="997"/>
      <c r="GT824" s="997"/>
      <c r="GU824" s="997"/>
      <c r="GV824" s="997"/>
      <c r="GW824" s="997"/>
      <c r="GX824" s="997"/>
      <c r="GY824" s="997"/>
      <c r="GZ824" s="997"/>
      <c r="HA824" s="997"/>
      <c r="HB824" s="997"/>
      <c r="HC824" s="997"/>
      <c r="HD824" s="997"/>
      <c r="HE824" s="997"/>
      <c r="HF824" s="997"/>
      <c r="HG824" s="997"/>
      <c r="HH824" s="997"/>
      <c r="HI824" s="997"/>
      <c r="HJ824" s="997"/>
      <c r="HK824" s="997"/>
      <c r="HL824" s="997"/>
      <c r="HM824" s="997"/>
      <c r="HN824" s="997"/>
      <c r="HO824" s="997"/>
      <c r="HP824" s="997"/>
      <c r="HQ824" s="997"/>
      <c r="HR824" s="997"/>
      <c r="HS824" s="997"/>
      <c r="HT824" s="997"/>
      <c r="HU824" s="997"/>
      <c r="HV824" s="997"/>
      <c r="HW824" s="997"/>
      <c r="HX824" s="997"/>
      <c r="HY824" s="997"/>
      <c r="HZ824" s="997"/>
      <c r="IA824" s="997"/>
      <c r="IB824" s="997"/>
      <c r="IC824" s="997"/>
      <c r="ID824" s="997"/>
      <c r="IE824" s="997"/>
      <c r="IF824" s="997"/>
      <c r="IG824" s="997"/>
      <c r="IH824" s="997"/>
      <c r="II824" s="997"/>
      <c r="IJ824" s="997"/>
      <c r="IK824" s="997"/>
      <c r="IL824" s="997"/>
      <c r="IM824" s="997"/>
      <c r="IN824" s="997"/>
    </row>
    <row r="825" spans="1:248" s="1090" customFormat="1" ht="14.1" customHeight="1">
      <c r="A825" s="1091"/>
      <c r="B825" s="945"/>
      <c r="C825" s="184"/>
      <c r="D825" s="1092"/>
      <c r="G825" s="997"/>
      <c r="H825" s="997"/>
      <c r="I825" s="997"/>
      <c r="J825" s="997"/>
      <c r="K825" s="997"/>
      <c r="L825" s="997"/>
      <c r="M825" s="997"/>
      <c r="N825" s="997"/>
      <c r="O825" s="997"/>
      <c r="P825" s="997"/>
      <c r="Q825" s="997"/>
      <c r="R825" s="997"/>
      <c r="S825" s="997"/>
      <c r="T825" s="997"/>
      <c r="U825" s="997"/>
      <c r="V825" s="997"/>
      <c r="W825" s="997"/>
      <c r="X825" s="997"/>
      <c r="Y825" s="997"/>
      <c r="Z825" s="997"/>
      <c r="AA825" s="997"/>
      <c r="AB825" s="997"/>
      <c r="AC825" s="997"/>
      <c r="AD825" s="997"/>
      <c r="AE825" s="997"/>
      <c r="AF825" s="997"/>
      <c r="AG825" s="997"/>
      <c r="AH825" s="997"/>
      <c r="AI825" s="997"/>
      <c r="AJ825" s="997"/>
      <c r="AK825" s="997"/>
      <c r="AL825" s="997"/>
      <c r="AM825" s="997"/>
      <c r="AN825" s="997"/>
      <c r="AO825" s="997"/>
      <c r="AP825" s="997"/>
      <c r="AQ825" s="997"/>
      <c r="AR825" s="997"/>
      <c r="AS825" s="997"/>
      <c r="AT825" s="997"/>
      <c r="AU825" s="997"/>
      <c r="AV825" s="997"/>
      <c r="AW825" s="997"/>
      <c r="AX825" s="997"/>
      <c r="AY825" s="997"/>
      <c r="AZ825" s="997"/>
      <c r="BA825" s="997"/>
      <c r="BB825" s="997"/>
      <c r="BC825" s="997"/>
      <c r="BD825" s="997"/>
      <c r="BE825" s="997"/>
      <c r="BF825" s="997"/>
      <c r="BG825" s="997"/>
      <c r="BH825" s="997"/>
      <c r="BI825" s="997"/>
      <c r="BJ825" s="997"/>
      <c r="BK825" s="997"/>
      <c r="BL825" s="997"/>
      <c r="BM825" s="997"/>
      <c r="BN825" s="997"/>
      <c r="BO825" s="997"/>
      <c r="BP825" s="997"/>
      <c r="BQ825" s="997"/>
      <c r="BR825" s="997"/>
      <c r="BS825" s="997"/>
      <c r="BT825" s="997"/>
      <c r="BU825" s="997"/>
      <c r="BV825" s="997"/>
      <c r="BW825" s="997"/>
      <c r="BX825" s="997"/>
      <c r="BY825" s="997"/>
      <c r="BZ825" s="997"/>
      <c r="CA825" s="997"/>
      <c r="CB825" s="997"/>
      <c r="CC825" s="997"/>
      <c r="CD825" s="997"/>
      <c r="CE825" s="997"/>
      <c r="CF825" s="997"/>
      <c r="CG825" s="997"/>
      <c r="CH825" s="997"/>
      <c r="CI825" s="997"/>
      <c r="CJ825" s="997"/>
      <c r="CK825" s="997"/>
      <c r="CL825" s="997"/>
      <c r="CM825" s="997"/>
      <c r="CN825" s="997"/>
      <c r="CO825" s="997"/>
      <c r="CP825" s="997"/>
      <c r="CQ825" s="997"/>
      <c r="CR825" s="997"/>
      <c r="CS825" s="997"/>
      <c r="CT825" s="997"/>
      <c r="CU825" s="997"/>
      <c r="CV825" s="997"/>
      <c r="CW825" s="997"/>
      <c r="CX825" s="997"/>
      <c r="CY825" s="997"/>
      <c r="CZ825" s="997"/>
      <c r="DA825" s="997"/>
      <c r="DB825" s="997"/>
      <c r="DC825" s="997"/>
      <c r="DD825" s="997"/>
      <c r="DE825" s="997"/>
      <c r="DF825" s="997"/>
      <c r="DG825" s="997"/>
      <c r="DH825" s="997"/>
      <c r="DI825" s="997"/>
      <c r="DJ825" s="997"/>
      <c r="DK825" s="997"/>
      <c r="DL825" s="997"/>
      <c r="DM825" s="997"/>
      <c r="DN825" s="997"/>
      <c r="DO825" s="997"/>
      <c r="DP825" s="997"/>
      <c r="DQ825" s="997"/>
      <c r="DR825" s="997"/>
      <c r="DS825" s="997"/>
      <c r="DT825" s="997"/>
      <c r="DU825" s="997"/>
      <c r="DV825" s="997"/>
      <c r="DW825" s="997"/>
      <c r="DX825" s="997"/>
      <c r="DY825" s="997"/>
      <c r="DZ825" s="997"/>
      <c r="EA825" s="997"/>
      <c r="EB825" s="997"/>
      <c r="EC825" s="997"/>
      <c r="ED825" s="997"/>
      <c r="EE825" s="997"/>
      <c r="EF825" s="997"/>
      <c r="EG825" s="997"/>
      <c r="EH825" s="997"/>
      <c r="EI825" s="997"/>
      <c r="EJ825" s="997"/>
      <c r="EK825" s="997"/>
      <c r="EL825" s="997"/>
      <c r="EM825" s="997"/>
      <c r="EN825" s="997"/>
      <c r="EO825" s="997"/>
      <c r="EP825" s="997"/>
      <c r="EQ825" s="997"/>
      <c r="ER825" s="997"/>
      <c r="ES825" s="997"/>
      <c r="ET825" s="997"/>
      <c r="EU825" s="997"/>
      <c r="EV825" s="997"/>
      <c r="EW825" s="997"/>
      <c r="EX825" s="997"/>
      <c r="EY825" s="997"/>
      <c r="EZ825" s="997"/>
      <c r="FA825" s="997"/>
      <c r="FB825" s="997"/>
      <c r="FC825" s="997"/>
      <c r="FD825" s="997"/>
      <c r="FE825" s="997"/>
      <c r="FF825" s="997"/>
      <c r="FG825" s="997"/>
      <c r="FH825" s="997"/>
      <c r="FI825" s="997"/>
      <c r="FJ825" s="997"/>
      <c r="FK825" s="997"/>
      <c r="FL825" s="997"/>
      <c r="FM825" s="997"/>
      <c r="FN825" s="997"/>
      <c r="FO825" s="997"/>
      <c r="FP825" s="997"/>
      <c r="FQ825" s="997"/>
      <c r="FR825" s="997"/>
      <c r="FS825" s="997"/>
      <c r="FT825" s="997"/>
      <c r="FU825" s="997"/>
      <c r="FV825" s="997"/>
      <c r="FW825" s="997"/>
      <c r="FX825" s="997"/>
      <c r="FY825" s="997"/>
      <c r="FZ825" s="997"/>
      <c r="GA825" s="997"/>
      <c r="GB825" s="997"/>
      <c r="GC825" s="997"/>
      <c r="GD825" s="997"/>
      <c r="GE825" s="997"/>
      <c r="GF825" s="997"/>
      <c r="GG825" s="997"/>
      <c r="GH825" s="997"/>
      <c r="GI825" s="997"/>
      <c r="GJ825" s="997"/>
      <c r="GK825" s="997"/>
      <c r="GL825" s="997"/>
      <c r="GM825" s="997"/>
      <c r="GN825" s="997"/>
      <c r="GO825" s="997"/>
      <c r="GP825" s="997"/>
      <c r="GQ825" s="997"/>
      <c r="GR825" s="997"/>
      <c r="GS825" s="997"/>
      <c r="GT825" s="997"/>
      <c r="GU825" s="997"/>
      <c r="GV825" s="997"/>
      <c r="GW825" s="997"/>
      <c r="GX825" s="997"/>
      <c r="GY825" s="997"/>
      <c r="GZ825" s="997"/>
      <c r="HA825" s="997"/>
      <c r="HB825" s="997"/>
      <c r="HC825" s="997"/>
      <c r="HD825" s="997"/>
      <c r="HE825" s="997"/>
      <c r="HF825" s="997"/>
      <c r="HG825" s="997"/>
      <c r="HH825" s="997"/>
      <c r="HI825" s="997"/>
      <c r="HJ825" s="997"/>
      <c r="HK825" s="997"/>
      <c r="HL825" s="997"/>
      <c r="HM825" s="997"/>
      <c r="HN825" s="997"/>
      <c r="HO825" s="997"/>
      <c r="HP825" s="997"/>
      <c r="HQ825" s="997"/>
      <c r="HR825" s="997"/>
      <c r="HS825" s="997"/>
      <c r="HT825" s="997"/>
      <c r="HU825" s="997"/>
      <c r="HV825" s="997"/>
      <c r="HW825" s="997"/>
      <c r="HX825" s="997"/>
      <c r="HY825" s="997"/>
      <c r="HZ825" s="997"/>
      <c r="IA825" s="997"/>
      <c r="IB825" s="997"/>
      <c r="IC825" s="997"/>
      <c r="ID825" s="997"/>
      <c r="IE825" s="997"/>
      <c r="IF825" s="997"/>
      <c r="IG825" s="997"/>
      <c r="IH825" s="997"/>
      <c r="II825" s="997"/>
      <c r="IJ825" s="997"/>
      <c r="IK825" s="997"/>
      <c r="IL825" s="997"/>
      <c r="IM825" s="997"/>
      <c r="IN825" s="997"/>
    </row>
    <row r="826" spans="1:248" s="1090" customFormat="1" ht="14.1" customHeight="1">
      <c r="A826" s="1091"/>
      <c r="B826" s="945" t="s">
        <v>3166</v>
      </c>
      <c r="C826" s="184" t="s">
        <v>3934</v>
      </c>
      <c r="D826" s="1092"/>
      <c r="G826" s="997"/>
      <c r="H826" s="997"/>
      <c r="I826" s="997"/>
      <c r="J826" s="997"/>
      <c r="K826" s="997"/>
      <c r="L826" s="997"/>
      <c r="M826" s="997"/>
      <c r="N826" s="997"/>
      <c r="O826" s="997"/>
      <c r="P826" s="997"/>
      <c r="Q826" s="997"/>
      <c r="R826" s="997"/>
      <c r="S826" s="997"/>
      <c r="T826" s="997"/>
      <c r="U826" s="997"/>
      <c r="V826" s="997"/>
      <c r="W826" s="997"/>
      <c r="X826" s="997"/>
      <c r="Y826" s="997"/>
      <c r="Z826" s="997"/>
      <c r="AA826" s="997"/>
      <c r="AB826" s="997"/>
      <c r="AC826" s="997"/>
      <c r="AD826" s="997"/>
      <c r="AE826" s="997"/>
      <c r="AF826" s="997"/>
      <c r="AG826" s="997"/>
      <c r="AH826" s="997"/>
      <c r="AI826" s="997"/>
      <c r="AJ826" s="997"/>
      <c r="AK826" s="997"/>
      <c r="AL826" s="997"/>
      <c r="AM826" s="997"/>
      <c r="AN826" s="997"/>
      <c r="AO826" s="997"/>
      <c r="AP826" s="997"/>
      <c r="AQ826" s="997"/>
      <c r="AR826" s="997"/>
      <c r="AS826" s="997"/>
      <c r="AT826" s="997"/>
      <c r="AU826" s="997"/>
      <c r="AV826" s="997"/>
      <c r="AW826" s="997"/>
      <c r="AX826" s="997"/>
      <c r="AY826" s="997"/>
      <c r="AZ826" s="997"/>
      <c r="BA826" s="997"/>
      <c r="BB826" s="997"/>
      <c r="BC826" s="997"/>
      <c r="BD826" s="997"/>
      <c r="BE826" s="997"/>
      <c r="BF826" s="997"/>
      <c r="BG826" s="997"/>
      <c r="BH826" s="997"/>
      <c r="BI826" s="997"/>
      <c r="BJ826" s="997"/>
      <c r="BK826" s="997"/>
      <c r="BL826" s="997"/>
      <c r="BM826" s="997"/>
      <c r="BN826" s="997"/>
      <c r="BO826" s="997"/>
      <c r="BP826" s="997"/>
      <c r="BQ826" s="997"/>
      <c r="BR826" s="997"/>
      <c r="BS826" s="997"/>
      <c r="BT826" s="997"/>
      <c r="BU826" s="997"/>
      <c r="BV826" s="997"/>
      <c r="BW826" s="997"/>
      <c r="BX826" s="997"/>
      <c r="BY826" s="997"/>
      <c r="BZ826" s="997"/>
      <c r="CA826" s="997"/>
      <c r="CB826" s="997"/>
      <c r="CC826" s="997"/>
      <c r="CD826" s="997"/>
      <c r="CE826" s="997"/>
      <c r="CF826" s="997"/>
      <c r="CG826" s="997"/>
      <c r="CH826" s="997"/>
      <c r="CI826" s="997"/>
      <c r="CJ826" s="997"/>
      <c r="CK826" s="997"/>
      <c r="CL826" s="997"/>
      <c r="CM826" s="997"/>
      <c r="CN826" s="997"/>
      <c r="CO826" s="997"/>
      <c r="CP826" s="997"/>
      <c r="CQ826" s="997"/>
      <c r="CR826" s="997"/>
      <c r="CS826" s="997"/>
      <c r="CT826" s="997"/>
      <c r="CU826" s="997"/>
      <c r="CV826" s="997"/>
      <c r="CW826" s="997"/>
      <c r="CX826" s="997"/>
      <c r="CY826" s="997"/>
      <c r="CZ826" s="997"/>
      <c r="DA826" s="997"/>
      <c r="DB826" s="997"/>
      <c r="DC826" s="997"/>
      <c r="DD826" s="997"/>
      <c r="DE826" s="997"/>
      <c r="DF826" s="997"/>
      <c r="DG826" s="997"/>
      <c r="DH826" s="997"/>
      <c r="DI826" s="997"/>
      <c r="DJ826" s="997"/>
      <c r="DK826" s="997"/>
      <c r="DL826" s="997"/>
      <c r="DM826" s="997"/>
      <c r="DN826" s="997"/>
      <c r="DO826" s="997"/>
      <c r="DP826" s="997"/>
      <c r="DQ826" s="997"/>
      <c r="DR826" s="997"/>
      <c r="DS826" s="997"/>
      <c r="DT826" s="997"/>
      <c r="DU826" s="997"/>
      <c r="DV826" s="997"/>
      <c r="DW826" s="997"/>
      <c r="DX826" s="997"/>
      <c r="DY826" s="997"/>
      <c r="DZ826" s="997"/>
      <c r="EA826" s="997"/>
      <c r="EB826" s="997"/>
      <c r="EC826" s="997"/>
      <c r="ED826" s="997"/>
      <c r="EE826" s="997"/>
      <c r="EF826" s="997"/>
      <c r="EG826" s="997"/>
      <c r="EH826" s="997"/>
      <c r="EI826" s="997"/>
      <c r="EJ826" s="997"/>
      <c r="EK826" s="997"/>
      <c r="EL826" s="997"/>
      <c r="EM826" s="997"/>
      <c r="EN826" s="997"/>
      <c r="EO826" s="997"/>
      <c r="EP826" s="997"/>
      <c r="EQ826" s="997"/>
      <c r="ER826" s="997"/>
      <c r="ES826" s="997"/>
      <c r="ET826" s="997"/>
      <c r="EU826" s="997"/>
      <c r="EV826" s="997"/>
      <c r="EW826" s="997"/>
      <c r="EX826" s="997"/>
      <c r="EY826" s="997"/>
      <c r="EZ826" s="997"/>
      <c r="FA826" s="997"/>
      <c r="FB826" s="997"/>
      <c r="FC826" s="997"/>
      <c r="FD826" s="997"/>
      <c r="FE826" s="997"/>
      <c r="FF826" s="997"/>
      <c r="FG826" s="997"/>
      <c r="FH826" s="997"/>
      <c r="FI826" s="997"/>
      <c r="FJ826" s="997"/>
      <c r="FK826" s="997"/>
      <c r="FL826" s="997"/>
      <c r="FM826" s="997"/>
      <c r="FN826" s="997"/>
      <c r="FO826" s="997"/>
      <c r="FP826" s="997"/>
      <c r="FQ826" s="997"/>
      <c r="FR826" s="997"/>
      <c r="FS826" s="997"/>
      <c r="FT826" s="997"/>
      <c r="FU826" s="997"/>
      <c r="FV826" s="997"/>
      <c r="FW826" s="997"/>
      <c r="FX826" s="997"/>
      <c r="FY826" s="997"/>
      <c r="FZ826" s="997"/>
      <c r="GA826" s="997"/>
      <c r="GB826" s="997"/>
      <c r="GC826" s="997"/>
      <c r="GD826" s="997"/>
      <c r="GE826" s="997"/>
      <c r="GF826" s="997"/>
      <c r="GG826" s="997"/>
      <c r="GH826" s="997"/>
      <c r="GI826" s="997"/>
      <c r="GJ826" s="997"/>
      <c r="GK826" s="997"/>
      <c r="GL826" s="997"/>
      <c r="GM826" s="997"/>
      <c r="GN826" s="997"/>
      <c r="GO826" s="997"/>
      <c r="GP826" s="997"/>
      <c r="GQ826" s="997"/>
      <c r="GR826" s="997"/>
      <c r="GS826" s="997"/>
      <c r="GT826" s="997"/>
      <c r="GU826" s="997"/>
      <c r="GV826" s="997"/>
      <c r="GW826" s="997"/>
      <c r="GX826" s="997"/>
      <c r="GY826" s="997"/>
      <c r="GZ826" s="997"/>
      <c r="HA826" s="997"/>
      <c r="HB826" s="997"/>
      <c r="HC826" s="997"/>
      <c r="HD826" s="997"/>
      <c r="HE826" s="997"/>
      <c r="HF826" s="997"/>
      <c r="HG826" s="997"/>
      <c r="HH826" s="997"/>
      <c r="HI826" s="997"/>
      <c r="HJ826" s="997"/>
      <c r="HK826" s="997"/>
      <c r="HL826" s="997"/>
      <c r="HM826" s="997"/>
      <c r="HN826" s="997"/>
      <c r="HO826" s="997"/>
      <c r="HP826" s="997"/>
      <c r="HQ826" s="997"/>
      <c r="HR826" s="997"/>
      <c r="HS826" s="997"/>
      <c r="HT826" s="997"/>
      <c r="HU826" s="997"/>
      <c r="HV826" s="997"/>
      <c r="HW826" s="997"/>
      <c r="HX826" s="997"/>
      <c r="HY826" s="997"/>
      <c r="HZ826" s="997"/>
      <c r="IA826" s="997"/>
      <c r="IB826" s="997"/>
      <c r="IC826" s="997"/>
      <c r="ID826" s="997"/>
      <c r="IE826" s="997"/>
      <c r="IF826" s="997"/>
      <c r="IG826" s="997"/>
      <c r="IH826" s="997"/>
      <c r="II826" s="997"/>
      <c r="IJ826" s="997"/>
      <c r="IK826" s="997"/>
      <c r="IL826" s="997"/>
      <c r="IM826" s="997"/>
      <c r="IN826" s="997"/>
    </row>
    <row r="827" spans="1:248" s="1090" customFormat="1" ht="14.1" customHeight="1">
      <c r="A827" s="1091"/>
      <c r="B827" s="723"/>
      <c r="C827" s="184" t="s">
        <v>3935</v>
      </c>
      <c r="D827" s="1092"/>
      <c r="G827" s="997"/>
      <c r="H827" s="997"/>
      <c r="I827" s="997"/>
      <c r="J827" s="997"/>
      <c r="K827" s="997"/>
      <c r="L827" s="997"/>
      <c r="M827" s="997"/>
      <c r="N827" s="997"/>
      <c r="O827" s="997"/>
      <c r="P827" s="997"/>
      <c r="Q827" s="997"/>
      <c r="R827" s="997"/>
      <c r="S827" s="997"/>
      <c r="T827" s="997"/>
      <c r="U827" s="997"/>
      <c r="V827" s="997"/>
      <c r="W827" s="997"/>
      <c r="X827" s="997"/>
      <c r="Y827" s="997"/>
      <c r="Z827" s="997"/>
      <c r="AA827" s="997"/>
      <c r="AB827" s="997"/>
      <c r="AC827" s="997"/>
      <c r="AD827" s="997"/>
      <c r="AE827" s="997"/>
      <c r="AF827" s="997"/>
      <c r="AG827" s="997"/>
      <c r="AH827" s="997"/>
      <c r="AI827" s="997"/>
      <c r="AJ827" s="997"/>
      <c r="AK827" s="997"/>
      <c r="AL827" s="997"/>
      <c r="AM827" s="997"/>
      <c r="AN827" s="997"/>
      <c r="AO827" s="997"/>
      <c r="AP827" s="997"/>
      <c r="AQ827" s="997"/>
      <c r="AR827" s="997"/>
      <c r="AS827" s="997"/>
      <c r="AT827" s="997"/>
      <c r="AU827" s="997"/>
      <c r="AV827" s="997"/>
      <c r="AW827" s="997"/>
      <c r="AX827" s="997"/>
      <c r="AY827" s="997"/>
      <c r="AZ827" s="997"/>
      <c r="BA827" s="997"/>
      <c r="BB827" s="997"/>
      <c r="BC827" s="997"/>
      <c r="BD827" s="997"/>
      <c r="BE827" s="997"/>
      <c r="BF827" s="997"/>
      <c r="BG827" s="997"/>
      <c r="BH827" s="997"/>
      <c r="BI827" s="997"/>
      <c r="BJ827" s="997"/>
      <c r="BK827" s="997"/>
      <c r="BL827" s="997"/>
      <c r="BM827" s="997"/>
      <c r="BN827" s="997"/>
      <c r="BO827" s="997"/>
      <c r="BP827" s="997"/>
      <c r="BQ827" s="997"/>
      <c r="BR827" s="997"/>
      <c r="BS827" s="997"/>
      <c r="BT827" s="997"/>
      <c r="BU827" s="997"/>
      <c r="BV827" s="997"/>
      <c r="BW827" s="997"/>
      <c r="BX827" s="997"/>
      <c r="BY827" s="997"/>
      <c r="BZ827" s="997"/>
      <c r="CA827" s="997"/>
      <c r="CB827" s="997"/>
      <c r="CC827" s="997"/>
      <c r="CD827" s="997"/>
      <c r="CE827" s="997"/>
      <c r="CF827" s="997"/>
      <c r="CG827" s="997"/>
      <c r="CH827" s="997"/>
      <c r="CI827" s="997"/>
      <c r="CJ827" s="997"/>
      <c r="CK827" s="997"/>
      <c r="CL827" s="997"/>
      <c r="CM827" s="997"/>
      <c r="CN827" s="997"/>
      <c r="CO827" s="997"/>
      <c r="CP827" s="997"/>
      <c r="CQ827" s="997"/>
      <c r="CR827" s="997"/>
      <c r="CS827" s="997"/>
      <c r="CT827" s="997"/>
      <c r="CU827" s="997"/>
      <c r="CV827" s="997"/>
      <c r="CW827" s="997"/>
      <c r="CX827" s="997"/>
      <c r="CY827" s="997"/>
      <c r="CZ827" s="997"/>
      <c r="DA827" s="997"/>
      <c r="DB827" s="997"/>
      <c r="DC827" s="997"/>
      <c r="DD827" s="997"/>
      <c r="DE827" s="997"/>
      <c r="DF827" s="997"/>
      <c r="DG827" s="997"/>
      <c r="DH827" s="997"/>
      <c r="DI827" s="997"/>
      <c r="DJ827" s="997"/>
      <c r="DK827" s="997"/>
      <c r="DL827" s="997"/>
      <c r="DM827" s="997"/>
      <c r="DN827" s="997"/>
      <c r="DO827" s="997"/>
      <c r="DP827" s="997"/>
      <c r="DQ827" s="997"/>
      <c r="DR827" s="997"/>
      <c r="DS827" s="997"/>
      <c r="DT827" s="997"/>
      <c r="DU827" s="997"/>
      <c r="DV827" s="997"/>
      <c r="DW827" s="997"/>
      <c r="DX827" s="997"/>
      <c r="DY827" s="997"/>
      <c r="DZ827" s="997"/>
      <c r="EA827" s="997"/>
      <c r="EB827" s="997"/>
      <c r="EC827" s="997"/>
      <c r="ED827" s="997"/>
      <c r="EE827" s="997"/>
      <c r="EF827" s="997"/>
      <c r="EG827" s="997"/>
      <c r="EH827" s="997"/>
      <c r="EI827" s="997"/>
      <c r="EJ827" s="997"/>
      <c r="EK827" s="997"/>
      <c r="EL827" s="997"/>
      <c r="EM827" s="997"/>
      <c r="EN827" s="997"/>
      <c r="EO827" s="997"/>
      <c r="EP827" s="997"/>
      <c r="EQ827" s="997"/>
      <c r="ER827" s="997"/>
      <c r="ES827" s="997"/>
      <c r="ET827" s="997"/>
      <c r="EU827" s="997"/>
      <c r="EV827" s="997"/>
      <c r="EW827" s="997"/>
      <c r="EX827" s="997"/>
      <c r="EY827" s="997"/>
      <c r="EZ827" s="997"/>
      <c r="FA827" s="997"/>
      <c r="FB827" s="997"/>
      <c r="FC827" s="997"/>
      <c r="FD827" s="997"/>
      <c r="FE827" s="997"/>
      <c r="FF827" s="997"/>
      <c r="FG827" s="997"/>
      <c r="FH827" s="997"/>
      <c r="FI827" s="997"/>
      <c r="FJ827" s="997"/>
      <c r="FK827" s="997"/>
      <c r="FL827" s="997"/>
      <c r="FM827" s="997"/>
      <c r="FN827" s="997"/>
      <c r="FO827" s="997"/>
      <c r="FP827" s="997"/>
      <c r="FQ827" s="997"/>
      <c r="FR827" s="997"/>
      <c r="FS827" s="997"/>
      <c r="FT827" s="997"/>
      <c r="FU827" s="997"/>
      <c r="FV827" s="997"/>
      <c r="FW827" s="997"/>
      <c r="FX827" s="997"/>
      <c r="FY827" s="997"/>
      <c r="FZ827" s="997"/>
      <c r="GA827" s="997"/>
      <c r="GB827" s="997"/>
      <c r="GC827" s="997"/>
      <c r="GD827" s="997"/>
      <c r="GE827" s="997"/>
      <c r="GF827" s="997"/>
      <c r="GG827" s="997"/>
      <c r="GH827" s="997"/>
      <c r="GI827" s="997"/>
      <c r="GJ827" s="997"/>
      <c r="GK827" s="997"/>
      <c r="GL827" s="997"/>
      <c r="GM827" s="997"/>
      <c r="GN827" s="997"/>
      <c r="GO827" s="997"/>
      <c r="GP827" s="997"/>
      <c r="GQ827" s="997"/>
      <c r="GR827" s="997"/>
      <c r="GS827" s="997"/>
      <c r="GT827" s="997"/>
      <c r="GU827" s="997"/>
      <c r="GV827" s="997"/>
      <c r="GW827" s="997"/>
      <c r="GX827" s="997"/>
      <c r="GY827" s="997"/>
      <c r="GZ827" s="997"/>
      <c r="HA827" s="997"/>
      <c r="HB827" s="997"/>
      <c r="HC827" s="997"/>
      <c r="HD827" s="997"/>
      <c r="HE827" s="997"/>
      <c r="HF827" s="997"/>
      <c r="HG827" s="997"/>
      <c r="HH827" s="997"/>
      <c r="HI827" s="997"/>
      <c r="HJ827" s="997"/>
      <c r="HK827" s="997"/>
      <c r="HL827" s="997"/>
      <c r="HM827" s="997"/>
      <c r="HN827" s="997"/>
      <c r="HO827" s="997"/>
      <c r="HP827" s="997"/>
      <c r="HQ827" s="997"/>
      <c r="HR827" s="997"/>
      <c r="HS827" s="997"/>
      <c r="HT827" s="997"/>
      <c r="HU827" s="997"/>
      <c r="HV827" s="997"/>
      <c r="HW827" s="997"/>
      <c r="HX827" s="997"/>
      <c r="HY827" s="997"/>
      <c r="HZ827" s="997"/>
      <c r="IA827" s="997"/>
      <c r="IB827" s="997"/>
      <c r="IC827" s="997"/>
      <c r="ID827" s="997"/>
      <c r="IE827" s="997"/>
      <c r="IF827" s="997"/>
      <c r="IG827" s="997"/>
      <c r="IH827" s="997"/>
      <c r="II827" s="997"/>
      <c r="IJ827" s="997"/>
      <c r="IK827" s="997"/>
      <c r="IL827" s="997"/>
      <c r="IM827" s="997"/>
      <c r="IN827" s="997"/>
    </row>
    <row r="828" spans="1:248" s="1090" customFormat="1" ht="14.1" customHeight="1">
      <c r="A828" s="1091"/>
      <c r="B828" s="630"/>
      <c r="C828" s="631" t="s">
        <v>3936</v>
      </c>
      <c r="D828" s="631"/>
      <c r="G828" s="997"/>
      <c r="H828" s="997"/>
      <c r="I828" s="997"/>
      <c r="J828" s="997"/>
      <c r="K828" s="997"/>
      <c r="L828" s="997"/>
      <c r="M828" s="997"/>
      <c r="N828" s="997"/>
      <c r="O828" s="997"/>
      <c r="P828" s="997"/>
      <c r="Q828" s="997"/>
      <c r="R828" s="997"/>
      <c r="S828" s="997"/>
      <c r="T828" s="997"/>
      <c r="U828" s="997"/>
      <c r="V828" s="997"/>
      <c r="W828" s="997"/>
      <c r="X828" s="997"/>
      <c r="Y828" s="997"/>
      <c r="Z828" s="997"/>
      <c r="AA828" s="997"/>
      <c r="AB828" s="997"/>
      <c r="AC828" s="997"/>
      <c r="AD828" s="997"/>
      <c r="AE828" s="997"/>
      <c r="AF828" s="997"/>
      <c r="AG828" s="997"/>
      <c r="AH828" s="997"/>
      <c r="AI828" s="997"/>
      <c r="AJ828" s="997"/>
      <c r="AK828" s="997"/>
      <c r="AL828" s="997"/>
      <c r="AM828" s="997"/>
      <c r="AN828" s="997"/>
      <c r="AO828" s="997"/>
      <c r="AP828" s="997"/>
      <c r="AQ828" s="997"/>
      <c r="AR828" s="997"/>
      <c r="AS828" s="997"/>
      <c r="AT828" s="997"/>
      <c r="AU828" s="997"/>
      <c r="AV828" s="997"/>
      <c r="AW828" s="997"/>
      <c r="AX828" s="997"/>
      <c r="AY828" s="997"/>
      <c r="AZ828" s="997"/>
      <c r="BA828" s="997"/>
      <c r="BB828" s="997"/>
      <c r="BC828" s="997"/>
      <c r="BD828" s="997"/>
      <c r="BE828" s="997"/>
      <c r="BF828" s="997"/>
      <c r="BG828" s="997"/>
      <c r="BH828" s="997"/>
      <c r="BI828" s="997"/>
      <c r="BJ828" s="997"/>
      <c r="BK828" s="997"/>
      <c r="BL828" s="997"/>
      <c r="BM828" s="997"/>
      <c r="BN828" s="997"/>
      <c r="BO828" s="997"/>
      <c r="BP828" s="997"/>
      <c r="BQ828" s="997"/>
      <c r="BR828" s="997"/>
      <c r="BS828" s="997"/>
      <c r="BT828" s="997"/>
      <c r="BU828" s="997"/>
      <c r="BV828" s="997"/>
      <c r="BW828" s="997"/>
      <c r="BX828" s="997"/>
      <c r="BY828" s="997"/>
      <c r="BZ828" s="997"/>
      <c r="CA828" s="997"/>
      <c r="CB828" s="997"/>
      <c r="CC828" s="997"/>
      <c r="CD828" s="997"/>
      <c r="CE828" s="997"/>
      <c r="CF828" s="997"/>
      <c r="CG828" s="997"/>
      <c r="CH828" s="997"/>
      <c r="CI828" s="997"/>
      <c r="CJ828" s="997"/>
      <c r="CK828" s="997"/>
      <c r="CL828" s="997"/>
      <c r="CM828" s="997"/>
      <c r="CN828" s="997"/>
      <c r="CO828" s="997"/>
      <c r="CP828" s="997"/>
      <c r="CQ828" s="997"/>
      <c r="CR828" s="997"/>
      <c r="CS828" s="997"/>
      <c r="CT828" s="997"/>
      <c r="CU828" s="997"/>
      <c r="CV828" s="997"/>
      <c r="CW828" s="997"/>
      <c r="CX828" s="997"/>
      <c r="CY828" s="997"/>
      <c r="CZ828" s="997"/>
      <c r="DA828" s="997"/>
      <c r="DB828" s="997"/>
      <c r="DC828" s="997"/>
      <c r="DD828" s="997"/>
      <c r="DE828" s="997"/>
      <c r="DF828" s="997"/>
      <c r="DG828" s="997"/>
      <c r="DH828" s="997"/>
      <c r="DI828" s="997"/>
      <c r="DJ828" s="997"/>
      <c r="DK828" s="997"/>
      <c r="DL828" s="997"/>
      <c r="DM828" s="997"/>
      <c r="DN828" s="997"/>
      <c r="DO828" s="997"/>
      <c r="DP828" s="997"/>
      <c r="DQ828" s="997"/>
      <c r="DR828" s="997"/>
      <c r="DS828" s="997"/>
      <c r="DT828" s="997"/>
      <c r="DU828" s="997"/>
      <c r="DV828" s="997"/>
      <c r="DW828" s="997"/>
      <c r="DX828" s="997"/>
      <c r="DY828" s="997"/>
      <c r="DZ828" s="997"/>
      <c r="EA828" s="997"/>
      <c r="EB828" s="997"/>
      <c r="EC828" s="997"/>
      <c r="ED828" s="997"/>
      <c r="EE828" s="997"/>
      <c r="EF828" s="997"/>
      <c r="EG828" s="997"/>
      <c r="EH828" s="997"/>
      <c r="EI828" s="997"/>
      <c r="EJ828" s="997"/>
      <c r="EK828" s="997"/>
      <c r="EL828" s="997"/>
      <c r="EM828" s="997"/>
      <c r="EN828" s="997"/>
      <c r="EO828" s="997"/>
      <c r="EP828" s="997"/>
      <c r="EQ828" s="997"/>
      <c r="ER828" s="997"/>
      <c r="ES828" s="997"/>
      <c r="ET828" s="997"/>
      <c r="EU828" s="997"/>
      <c r="EV828" s="997"/>
      <c r="EW828" s="997"/>
      <c r="EX828" s="997"/>
      <c r="EY828" s="997"/>
      <c r="EZ828" s="997"/>
      <c r="FA828" s="997"/>
      <c r="FB828" s="997"/>
      <c r="FC828" s="997"/>
      <c r="FD828" s="997"/>
      <c r="FE828" s="997"/>
      <c r="FF828" s="997"/>
      <c r="FG828" s="997"/>
      <c r="FH828" s="997"/>
      <c r="FI828" s="997"/>
      <c r="FJ828" s="997"/>
      <c r="FK828" s="997"/>
      <c r="FL828" s="997"/>
      <c r="FM828" s="997"/>
      <c r="FN828" s="997"/>
      <c r="FO828" s="997"/>
      <c r="FP828" s="997"/>
      <c r="FQ828" s="997"/>
      <c r="FR828" s="997"/>
      <c r="FS828" s="997"/>
      <c r="FT828" s="997"/>
      <c r="FU828" s="997"/>
      <c r="FV828" s="997"/>
      <c r="FW828" s="997"/>
      <c r="FX828" s="997"/>
      <c r="FY828" s="997"/>
      <c r="FZ828" s="997"/>
      <c r="GA828" s="997"/>
      <c r="GB828" s="997"/>
      <c r="GC828" s="997"/>
      <c r="GD828" s="997"/>
      <c r="GE828" s="997"/>
      <c r="GF828" s="997"/>
      <c r="GG828" s="997"/>
      <c r="GH828" s="997"/>
      <c r="GI828" s="997"/>
      <c r="GJ828" s="997"/>
      <c r="GK828" s="997"/>
      <c r="GL828" s="997"/>
      <c r="GM828" s="997"/>
      <c r="GN828" s="997"/>
      <c r="GO828" s="997"/>
      <c r="GP828" s="997"/>
      <c r="GQ828" s="997"/>
      <c r="GR828" s="997"/>
      <c r="GS828" s="997"/>
      <c r="GT828" s="997"/>
      <c r="GU828" s="997"/>
      <c r="GV828" s="997"/>
      <c r="GW828" s="997"/>
      <c r="GX828" s="997"/>
      <c r="GY828" s="997"/>
      <c r="GZ828" s="997"/>
      <c r="HA828" s="997"/>
      <c r="HB828" s="997"/>
      <c r="HC828" s="997"/>
      <c r="HD828" s="997"/>
      <c r="HE828" s="997"/>
      <c r="HF828" s="997"/>
      <c r="HG828" s="997"/>
      <c r="HH828" s="997"/>
      <c r="HI828" s="997"/>
      <c r="HJ828" s="997"/>
      <c r="HK828" s="997"/>
      <c r="HL828" s="997"/>
      <c r="HM828" s="997"/>
      <c r="HN828" s="997"/>
      <c r="HO828" s="997"/>
      <c r="HP828" s="997"/>
      <c r="HQ828" s="997"/>
      <c r="HR828" s="997"/>
      <c r="HS828" s="997"/>
      <c r="HT828" s="997"/>
      <c r="HU828" s="997"/>
      <c r="HV828" s="997"/>
      <c r="HW828" s="997"/>
      <c r="HX828" s="997"/>
      <c r="HY828" s="997"/>
      <c r="HZ828" s="997"/>
      <c r="IA828" s="997"/>
      <c r="IB828" s="997"/>
      <c r="IC828" s="997"/>
      <c r="ID828" s="997"/>
      <c r="IE828" s="997"/>
      <c r="IF828" s="997"/>
      <c r="IG828" s="997"/>
      <c r="IH828" s="997"/>
      <c r="II828" s="997"/>
      <c r="IJ828" s="997"/>
      <c r="IK828" s="997"/>
      <c r="IL828" s="997"/>
      <c r="IM828" s="997"/>
      <c r="IN828" s="997"/>
    </row>
    <row r="829" spans="1:248" s="1090" customFormat="1" ht="14.1" customHeight="1">
      <c r="A829" s="1091"/>
      <c r="B829" s="945"/>
      <c r="C829" s="184"/>
      <c r="D829" s="1092"/>
      <c r="G829" s="997"/>
      <c r="H829" s="997"/>
      <c r="I829" s="997"/>
      <c r="J829" s="997"/>
      <c r="K829" s="997"/>
      <c r="L829" s="997"/>
      <c r="M829" s="997"/>
      <c r="N829" s="997"/>
      <c r="O829" s="997"/>
      <c r="P829" s="997"/>
      <c r="Q829" s="997"/>
      <c r="R829" s="997"/>
      <c r="S829" s="997"/>
      <c r="T829" s="997"/>
      <c r="U829" s="997"/>
      <c r="V829" s="997"/>
      <c r="W829" s="997"/>
      <c r="X829" s="997"/>
      <c r="Y829" s="997"/>
      <c r="Z829" s="997"/>
      <c r="AA829" s="997"/>
      <c r="AB829" s="997"/>
      <c r="AC829" s="997"/>
      <c r="AD829" s="997"/>
      <c r="AE829" s="997"/>
      <c r="AF829" s="997"/>
      <c r="AG829" s="997"/>
      <c r="AH829" s="997"/>
      <c r="AI829" s="997"/>
      <c r="AJ829" s="997"/>
      <c r="AK829" s="997"/>
      <c r="AL829" s="997"/>
      <c r="AM829" s="997"/>
      <c r="AN829" s="997"/>
      <c r="AO829" s="997"/>
      <c r="AP829" s="997"/>
      <c r="AQ829" s="997"/>
      <c r="AR829" s="997"/>
      <c r="AS829" s="997"/>
      <c r="AT829" s="997"/>
      <c r="AU829" s="997"/>
      <c r="AV829" s="997"/>
      <c r="AW829" s="997"/>
      <c r="AX829" s="997"/>
      <c r="AY829" s="997"/>
      <c r="AZ829" s="997"/>
      <c r="BA829" s="997"/>
      <c r="BB829" s="997"/>
      <c r="BC829" s="997"/>
      <c r="BD829" s="997"/>
      <c r="BE829" s="997"/>
      <c r="BF829" s="997"/>
      <c r="BG829" s="997"/>
      <c r="BH829" s="997"/>
      <c r="BI829" s="997"/>
      <c r="BJ829" s="997"/>
      <c r="BK829" s="997"/>
      <c r="BL829" s="997"/>
      <c r="BM829" s="997"/>
      <c r="BN829" s="997"/>
      <c r="BO829" s="997"/>
      <c r="BP829" s="997"/>
      <c r="BQ829" s="997"/>
      <c r="BR829" s="997"/>
      <c r="BS829" s="997"/>
      <c r="BT829" s="997"/>
      <c r="BU829" s="997"/>
      <c r="BV829" s="997"/>
      <c r="BW829" s="997"/>
      <c r="BX829" s="997"/>
      <c r="BY829" s="997"/>
      <c r="BZ829" s="997"/>
      <c r="CA829" s="997"/>
      <c r="CB829" s="997"/>
      <c r="CC829" s="997"/>
      <c r="CD829" s="997"/>
      <c r="CE829" s="997"/>
      <c r="CF829" s="997"/>
      <c r="CG829" s="997"/>
      <c r="CH829" s="997"/>
      <c r="CI829" s="997"/>
      <c r="CJ829" s="997"/>
      <c r="CK829" s="997"/>
      <c r="CL829" s="997"/>
      <c r="CM829" s="997"/>
      <c r="CN829" s="997"/>
      <c r="CO829" s="997"/>
      <c r="CP829" s="997"/>
      <c r="CQ829" s="997"/>
      <c r="CR829" s="997"/>
      <c r="CS829" s="997"/>
      <c r="CT829" s="997"/>
      <c r="CU829" s="997"/>
      <c r="CV829" s="997"/>
      <c r="CW829" s="997"/>
      <c r="CX829" s="997"/>
      <c r="CY829" s="997"/>
      <c r="CZ829" s="997"/>
      <c r="DA829" s="997"/>
      <c r="DB829" s="997"/>
      <c r="DC829" s="997"/>
      <c r="DD829" s="997"/>
      <c r="DE829" s="997"/>
      <c r="DF829" s="997"/>
      <c r="DG829" s="997"/>
      <c r="DH829" s="997"/>
      <c r="DI829" s="997"/>
      <c r="DJ829" s="997"/>
      <c r="DK829" s="997"/>
      <c r="DL829" s="997"/>
      <c r="DM829" s="997"/>
      <c r="DN829" s="997"/>
      <c r="DO829" s="997"/>
      <c r="DP829" s="997"/>
      <c r="DQ829" s="997"/>
      <c r="DR829" s="997"/>
      <c r="DS829" s="997"/>
      <c r="DT829" s="997"/>
      <c r="DU829" s="997"/>
      <c r="DV829" s="997"/>
      <c r="DW829" s="997"/>
      <c r="DX829" s="997"/>
      <c r="DY829" s="997"/>
      <c r="DZ829" s="997"/>
      <c r="EA829" s="997"/>
      <c r="EB829" s="997"/>
      <c r="EC829" s="997"/>
      <c r="ED829" s="997"/>
      <c r="EE829" s="997"/>
      <c r="EF829" s="997"/>
      <c r="EG829" s="997"/>
      <c r="EH829" s="997"/>
      <c r="EI829" s="997"/>
      <c r="EJ829" s="997"/>
      <c r="EK829" s="997"/>
      <c r="EL829" s="997"/>
      <c r="EM829" s="997"/>
      <c r="EN829" s="997"/>
      <c r="EO829" s="997"/>
      <c r="EP829" s="997"/>
      <c r="EQ829" s="997"/>
      <c r="ER829" s="997"/>
      <c r="ES829" s="997"/>
      <c r="ET829" s="997"/>
      <c r="EU829" s="997"/>
      <c r="EV829" s="997"/>
      <c r="EW829" s="997"/>
      <c r="EX829" s="997"/>
      <c r="EY829" s="997"/>
      <c r="EZ829" s="997"/>
      <c r="FA829" s="997"/>
      <c r="FB829" s="997"/>
      <c r="FC829" s="997"/>
      <c r="FD829" s="997"/>
      <c r="FE829" s="997"/>
      <c r="FF829" s="997"/>
      <c r="FG829" s="997"/>
      <c r="FH829" s="997"/>
      <c r="FI829" s="997"/>
      <c r="FJ829" s="997"/>
      <c r="FK829" s="997"/>
      <c r="FL829" s="997"/>
      <c r="FM829" s="997"/>
      <c r="FN829" s="997"/>
      <c r="FO829" s="997"/>
      <c r="FP829" s="997"/>
      <c r="FQ829" s="997"/>
      <c r="FR829" s="997"/>
      <c r="FS829" s="997"/>
      <c r="FT829" s="997"/>
      <c r="FU829" s="997"/>
      <c r="FV829" s="997"/>
      <c r="FW829" s="997"/>
      <c r="FX829" s="997"/>
      <c r="FY829" s="997"/>
      <c r="FZ829" s="997"/>
      <c r="GA829" s="997"/>
      <c r="GB829" s="997"/>
      <c r="GC829" s="997"/>
      <c r="GD829" s="997"/>
      <c r="GE829" s="997"/>
      <c r="GF829" s="997"/>
      <c r="GG829" s="997"/>
      <c r="GH829" s="997"/>
      <c r="GI829" s="997"/>
      <c r="GJ829" s="997"/>
      <c r="GK829" s="997"/>
      <c r="GL829" s="997"/>
      <c r="GM829" s="997"/>
      <c r="GN829" s="997"/>
      <c r="GO829" s="997"/>
      <c r="GP829" s="997"/>
      <c r="GQ829" s="997"/>
      <c r="GR829" s="997"/>
      <c r="GS829" s="997"/>
      <c r="GT829" s="997"/>
      <c r="GU829" s="997"/>
      <c r="GV829" s="997"/>
      <c r="GW829" s="997"/>
      <c r="GX829" s="997"/>
      <c r="GY829" s="997"/>
      <c r="GZ829" s="997"/>
      <c r="HA829" s="997"/>
      <c r="HB829" s="997"/>
      <c r="HC829" s="997"/>
      <c r="HD829" s="997"/>
      <c r="HE829" s="997"/>
      <c r="HF829" s="997"/>
      <c r="HG829" s="997"/>
      <c r="HH829" s="997"/>
      <c r="HI829" s="997"/>
      <c r="HJ829" s="997"/>
      <c r="HK829" s="997"/>
      <c r="HL829" s="997"/>
      <c r="HM829" s="997"/>
      <c r="HN829" s="997"/>
      <c r="HO829" s="997"/>
      <c r="HP829" s="997"/>
      <c r="HQ829" s="997"/>
      <c r="HR829" s="997"/>
      <c r="HS829" s="997"/>
      <c r="HT829" s="997"/>
      <c r="HU829" s="997"/>
      <c r="HV829" s="997"/>
      <c r="HW829" s="997"/>
      <c r="HX829" s="997"/>
      <c r="HY829" s="997"/>
      <c r="HZ829" s="997"/>
      <c r="IA829" s="997"/>
      <c r="IB829" s="997"/>
      <c r="IC829" s="997"/>
      <c r="ID829" s="997"/>
      <c r="IE829" s="997"/>
      <c r="IF829" s="997"/>
      <c r="IG829" s="997"/>
      <c r="IH829" s="997"/>
      <c r="II829" s="997"/>
      <c r="IJ829" s="997"/>
      <c r="IK829" s="997"/>
      <c r="IL829" s="997"/>
      <c r="IM829" s="997"/>
      <c r="IN829" s="997"/>
    </row>
    <row r="830" spans="1:248" s="1090" customFormat="1" ht="14.1" customHeight="1">
      <c r="A830" s="1091"/>
      <c r="B830" s="945" t="s">
        <v>3155</v>
      </c>
      <c r="C830" s="184" t="s">
        <v>3937</v>
      </c>
      <c r="D830" s="1092"/>
      <c r="G830" s="997"/>
      <c r="H830" s="997"/>
      <c r="I830" s="997"/>
      <c r="J830" s="997"/>
      <c r="K830" s="997"/>
      <c r="L830" s="997"/>
      <c r="M830" s="997"/>
      <c r="N830" s="997"/>
      <c r="O830" s="997"/>
      <c r="P830" s="997"/>
      <c r="Q830" s="997"/>
      <c r="R830" s="997"/>
      <c r="S830" s="997"/>
      <c r="T830" s="997"/>
      <c r="U830" s="997"/>
      <c r="V830" s="997"/>
      <c r="W830" s="997"/>
      <c r="X830" s="997"/>
      <c r="Y830" s="997"/>
      <c r="Z830" s="997"/>
      <c r="AA830" s="997"/>
      <c r="AB830" s="997"/>
      <c r="AC830" s="997"/>
      <c r="AD830" s="997"/>
      <c r="AE830" s="997"/>
      <c r="AF830" s="997"/>
      <c r="AG830" s="997"/>
      <c r="AH830" s="997"/>
      <c r="AI830" s="997"/>
      <c r="AJ830" s="997"/>
      <c r="AK830" s="997"/>
      <c r="AL830" s="997"/>
      <c r="AM830" s="997"/>
      <c r="AN830" s="997"/>
      <c r="AO830" s="997"/>
      <c r="AP830" s="997"/>
      <c r="AQ830" s="997"/>
      <c r="AR830" s="997"/>
      <c r="AS830" s="997"/>
      <c r="AT830" s="997"/>
      <c r="AU830" s="997"/>
      <c r="AV830" s="997"/>
      <c r="AW830" s="997"/>
      <c r="AX830" s="997"/>
      <c r="AY830" s="997"/>
      <c r="AZ830" s="997"/>
      <c r="BA830" s="997"/>
      <c r="BB830" s="997"/>
      <c r="BC830" s="997"/>
      <c r="BD830" s="997"/>
      <c r="BE830" s="997"/>
      <c r="BF830" s="997"/>
      <c r="BG830" s="997"/>
      <c r="BH830" s="997"/>
      <c r="BI830" s="997"/>
      <c r="BJ830" s="997"/>
      <c r="BK830" s="997"/>
      <c r="BL830" s="997"/>
      <c r="BM830" s="997"/>
      <c r="BN830" s="997"/>
      <c r="BO830" s="997"/>
      <c r="BP830" s="997"/>
      <c r="BQ830" s="997"/>
      <c r="BR830" s="997"/>
      <c r="BS830" s="997"/>
      <c r="BT830" s="997"/>
      <c r="BU830" s="997"/>
      <c r="BV830" s="997"/>
      <c r="BW830" s="997"/>
      <c r="BX830" s="997"/>
      <c r="BY830" s="997"/>
      <c r="BZ830" s="997"/>
      <c r="CA830" s="997"/>
      <c r="CB830" s="997"/>
      <c r="CC830" s="997"/>
      <c r="CD830" s="997"/>
      <c r="CE830" s="997"/>
      <c r="CF830" s="997"/>
      <c r="CG830" s="997"/>
      <c r="CH830" s="997"/>
      <c r="CI830" s="997"/>
      <c r="CJ830" s="997"/>
      <c r="CK830" s="997"/>
      <c r="CL830" s="997"/>
      <c r="CM830" s="997"/>
      <c r="CN830" s="997"/>
      <c r="CO830" s="997"/>
      <c r="CP830" s="997"/>
      <c r="CQ830" s="997"/>
      <c r="CR830" s="997"/>
      <c r="CS830" s="997"/>
      <c r="CT830" s="997"/>
      <c r="CU830" s="997"/>
      <c r="CV830" s="997"/>
      <c r="CW830" s="997"/>
      <c r="CX830" s="997"/>
      <c r="CY830" s="997"/>
      <c r="CZ830" s="997"/>
      <c r="DA830" s="997"/>
      <c r="DB830" s="997"/>
      <c r="DC830" s="997"/>
      <c r="DD830" s="997"/>
      <c r="DE830" s="997"/>
      <c r="DF830" s="997"/>
      <c r="DG830" s="997"/>
      <c r="DH830" s="997"/>
      <c r="DI830" s="997"/>
      <c r="DJ830" s="997"/>
      <c r="DK830" s="997"/>
      <c r="DL830" s="997"/>
      <c r="DM830" s="997"/>
      <c r="DN830" s="997"/>
      <c r="DO830" s="997"/>
      <c r="DP830" s="997"/>
      <c r="DQ830" s="997"/>
      <c r="DR830" s="997"/>
      <c r="DS830" s="997"/>
      <c r="DT830" s="997"/>
      <c r="DU830" s="997"/>
      <c r="DV830" s="997"/>
      <c r="DW830" s="997"/>
      <c r="DX830" s="997"/>
      <c r="DY830" s="997"/>
      <c r="DZ830" s="997"/>
      <c r="EA830" s="997"/>
      <c r="EB830" s="997"/>
      <c r="EC830" s="997"/>
      <c r="ED830" s="997"/>
      <c r="EE830" s="997"/>
      <c r="EF830" s="997"/>
      <c r="EG830" s="997"/>
      <c r="EH830" s="997"/>
      <c r="EI830" s="997"/>
      <c r="EJ830" s="997"/>
      <c r="EK830" s="997"/>
      <c r="EL830" s="997"/>
      <c r="EM830" s="997"/>
      <c r="EN830" s="997"/>
      <c r="EO830" s="997"/>
      <c r="EP830" s="997"/>
      <c r="EQ830" s="997"/>
      <c r="ER830" s="997"/>
      <c r="ES830" s="997"/>
      <c r="ET830" s="997"/>
      <c r="EU830" s="997"/>
      <c r="EV830" s="997"/>
      <c r="EW830" s="997"/>
      <c r="EX830" s="997"/>
      <c r="EY830" s="997"/>
      <c r="EZ830" s="997"/>
      <c r="FA830" s="997"/>
      <c r="FB830" s="997"/>
      <c r="FC830" s="997"/>
      <c r="FD830" s="997"/>
      <c r="FE830" s="997"/>
      <c r="FF830" s="997"/>
      <c r="FG830" s="997"/>
      <c r="FH830" s="997"/>
      <c r="FI830" s="997"/>
      <c r="FJ830" s="997"/>
      <c r="FK830" s="997"/>
      <c r="FL830" s="997"/>
      <c r="FM830" s="997"/>
      <c r="FN830" s="997"/>
      <c r="FO830" s="997"/>
      <c r="FP830" s="997"/>
      <c r="FQ830" s="997"/>
      <c r="FR830" s="997"/>
      <c r="FS830" s="997"/>
      <c r="FT830" s="997"/>
      <c r="FU830" s="997"/>
      <c r="FV830" s="997"/>
      <c r="FW830" s="997"/>
      <c r="FX830" s="997"/>
      <c r="FY830" s="997"/>
      <c r="FZ830" s="997"/>
      <c r="GA830" s="997"/>
      <c r="GB830" s="997"/>
      <c r="GC830" s="997"/>
      <c r="GD830" s="997"/>
      <c r="GE830" s="997"/>
      <c r="GF830" s="997"/>
      <c r="GG830" s="997"/>
      <c r="GH830" s="997"/>
      <c r="GI830" s="997"/>
      <c r="GJ830" s="997"/>
      <c r="GK830" s="997"/>
      <c r="GL830" s="997"/>
      <c r="GM830" s="997"/>
      <c r="GN830" s="997"/>
      <c r="GO830" s="997"/>
      <c r="GP830" s="997"/>
      <c r="GQ830" s="997"/>
      <c r="GR830" s="997"/>
      <c r="GS830" s="997"/>
      <c r="GT830" s="997"/>
      <c r="GU830" s="997"/>
      <c r="GV830" s="997"/>
      <c r="GW830" s="997"/>
      <c r="GX830" s="997"/>
      <c r="GY830" s="997"/>
      <c r="GZ830" s="997"/>
      <c r="HA830" s="997"/>
      <c r="HB830" s="997"/>
      <c r="HC830" s="997"/>
      <c r="HD830" s="997"/>
      <c r="HE830" s="997"/>
      <c r="HF830" s="997"/>
      <c r="HG830" s="997"/>
      <c r="HH830" s="997"/>
      <c r="HI830" s="997"/>
      <c r="HJ830" s="997"/>
      <c r="HK830" s="997"/>
      <c r="HL830" s="997"/>
      <c r="HM830" s="997"/>
      <c r="HN830" s="997"/>
      <c r="HO830" s="997"/>
      <c r="HP830" s="997"/>
      <c r="HQ830" s="997"/>
      <c r="HR830" s="997"/>
      <c r="HS830" s="997"/>
      <c r="HT830" s="997"/>
      <c r="HU830" s="997"/>
      <c r="HV830" s="997"/>
      <c r="HW830" s="997"/>
      <c r="HX830" s="997"/>
      <c r="HY830" s="997"/>
      <c r="HZ830" s="997"/>
      <c r="IA830" s="997"/>
      <c r="IB830" s="997"/>
      <c r="IC830" s="997"/>
      <c r="ID830" s="997"/>
      <c r="IE830" s="997"/>
      <c r="IF830" s="997"/>
      <c r="IG830" s="997"/>
      <c r="IH830" s="997"/>
      <c r="II830" s="997"/>
      <c r="IJ830" s="997"/>
      <c r="IK830" s="997"/>
      <c r="IL830" s="997"/>
      <c r="IM830" s="997"/>
      <c r="IN830" s="997"/>
    </row>
    <row r="831" spans="1:248" s="1090" customFormat="1" ht="14.1" customHeight="1">
      <c r="A831" s="1091"/>
      <c r="B831" s="723"/>
      <c r="C831" s="184"/>
      <c r="D831" s="1092"/>
      <c r="G831" s="997"/>
      <c r="H831" s="997"/>
      <c r="I831" s="997"/>
      <c r="J831" s="997"/>
      <c r="K831" s="997"/>
      <c r="L831" s="997"/>
      <c r="M831" s="997"/>
      <c r="N831" s="997"/>
      <c r="O831" s="997"/>
      <c r="P831" s="997"/>
      <c r="Q831" s="997"/>
      <c r="R831" s="997"/>
      <c r="S831" s="997"/>
      <c r="T831" s="997"/>
      <c r="U831" s="997"/>
      <c r="V831" s="997"/>
      <c r="W831" s="997"/>
      <c r="X831" s="997"/>
      <c r="Y831" s="997"/>
      <c r="Z831" s="997"/>
      <c r="AA831" s="997"/>
      <c r="AB831" s="997"/>
      <c r="AC831" s="997"/>
      <c r="AD831" s="997"/>
      <c r="AE831" s="997"/>
      <c r="AF831" s="997"/>
      <c r="AG831" s="997"/>
      <c r="AH831" s="997"/>
      <c r="AI831" s="997"/>
      <c r="AJ831" s="997"/>
      <c r="AK831" s="997"/>
      <c r="AL831" s="997"/>
      <c r="AM831" s="997"/>
      <c r="AN831" s="997"/>
      <c r="AO831" s="997"/>
      <c r="AP831" s="997"/>
      <c r="AQ831" s="997"/>
      <c r="AR831" s="997"/>
      <c r="AS831" s="997"/>
      <c r="AT831" s="997"/>
      <c r="AU831" s="997"/>
      <c r="AV831" s="997"/>
      <c r="AW831" s="997"/>
      <c r="AX831" s="997"/>
      <c r="AY831" s="997"/>
      <c r="AZ831" s="997"/>
      <c r="BA831" s="997"/>
      <c r="BB831" s="997"/>
      <c r="BC831" s="997"/>
      <c r="BD831" s="997"/>
      <c r="BE831" s="997"/>
      <c r="BF831" s="997"/>
      <c r="BG831" s="997"/>
      <c r="BH831" s="997"/>
      <c r="BI831" s="997"/>
      <c r="BJ831" s="997"/>
      <c r="BK831" s="997"/>
      <c r="BL831" s="997"/>
      <c r="BM831" s="997"/>
      <c r="BN831" s="997"/>
      <c r="BO831" s="997"/>
      <c r="BP831" s="997"/>
      <c r="BQ831" s="997"/>
      <c r="BR831" s="997"/>
      <c r="BS831" s="997"/>
      <c r="BT831" s="997"/>
      <c r="BU831" s="997"/>
      <c r="BV831" s="997"/>
      <c r="BW831" s="997"/>
      <c r="BX831" s="997"/>
      <c r="BY831" s="997"/>
      <c r="BZ831" s="997"/>
      <c r="CA831" s="997"/>
      <c r="CB831" s="997"/>
      <c r="CC831" s="997"/>
      <c r="CD831" s="997"/>
      <c r="CE831" s="997"/>
      <c r="CF831" s="997"/>
      <c r="CG831" s="997"/>
      <c r="CH831" s="997"/>
      <c r="CI831" s="997"/>
      <c r="CJ831" s="997"/>
      <c r="CK831" s="997"/>
      <c r="CL831" s="997"/>
      <c r="CM831" s="997"/>
      <c r="CN831" s="997"/>
      <c r="CO831" s="997"/>
      <c r="CP831" s="997"/>
      <c r="CQ831" s="997"/>
      <c r="CR831" s="997"/>
      <c r="CS831" s="997"/>
      <c r="CT831" s="997"/>
      <c r="CU831" s="997"/>
      <c r="CV831" s="997"/>
      <c r="CW831" s="997"/>
      <c r="CX831" s="997"/>
      <c r="CY831" s="997"/>
      <c r="CZ831" s="997"/>
      <c r="DA831" s="997"/>
      <c r="DB831" s="997"/>
      <c r="DC831" s="997"/>
      <c r="DD831" s="997"/>
      <c r="DE831" s="997"/>
      <c r="DF831" s="997"/>
      <c r="DG831" s="997"/>
      <c r="DH831" s="997"/>
      <c r="DI831" s="997"/>
      <c r="DJ831" s="997"/>
      <c r="DK831" s="997"/>
      <c r="DL831" s="997"/>
      <c r="DM831" s="997"/>
      <c r="DN831" s="997"/>
      <c r="DO831" s="997"/>
      <c r="DP831" s="997"/>
      <c r="DQ831" s="997"/>
      <c r="DR831" s="997"/>
      <c r="DS831" s="997"/>
      <c r="DT831" s="997"/>
      <c r="DU831" s="997"/>
      <c r="DV831" s="997"/>
      <c r="DW831" s="997"/>
      <c r="DX831" s="997"/>
      <c r="DY831" s="997"/>
      <c r="DZ831" s="997"/>
      <c r="EA831" s="997"/>
      <c r="EB831" s="997"/>
      <c r="EC831" s="997"/>
      <c r="ED831" s="997"/>
      <c r="EE831" s="997"/>
      <c r="EF831" s="997"/>
      <c r="EG831" s="997"/>
      <c r="EH831" s="997"/>
      <c r="EI831" s="997"/>
      <c r="EJ831" s="997"/>
      <c r="EK831" s="997"/>
      <c r="EL831" s="997"/>
      <c r="EM831" s="997"/>
      <c r="EN831" s="997"/>
      <c r="EO831" s="997"/>
      <c r="EP831" s="997"/>
      <c r="EQ831" s="997"/>
      <c r="ER831" s="997"/>
      <c r="ES831" s="997"/>
      <c r="ET831" s="997"/>
      <c r="EU831" s="997"/>
      <c r="EV831" s="997"/>
      <c r="EW831" s="997"/>
      <c r="EX831" s="997"/>
      <c r="EY831" s="997"/>
      <c r="EZ831" s="997"/>
      <c r="FA831" s="997"/>
      <c r="FB831" s="997"/>
      <c r="FC831" s="997"/>
      <c r="FD831" s="997"/>
      <c r="FE831" s="997"/>
      <c r="FF831" s="997"/>
      <c r="FG831" s="997"/>
      <c r="FH831" s="997"/>
      <c r="FI831" s="997"/>
      <c r="FJ831" s="997"/>
      <c r="FK831" s="997"/>
      <c r="FL831" s="997"/>
      <c r="FM831" s="997"/>
      <c r="FN831" s="997"/>
      <c r="FO831" s="997"/>
      <c r="FP831" s="997"/>
      <c r="FQ831" s="997"/>
      <c r="FR831" s="997"/>
      <c r="FS831" s="997"/>
      <c r="FT831" s="997"/>
      <c r="FU831" s="997"/>
      <c r="FV831" s="997"/>
      <c r="FW831" s="997"/>
      <c r="FX831" s="997"/>
      <c r="FY831" s="997"/>
      <c r="FZ831" s="997"/>
      <c r="GA831" s="997"/>
      <c r="GB831" s="997"/>
      <c r="GC831" s="997"/>
      <c r="GD831" s="997"/>
      <c r="GE831" s="997"/>
      <c r="GF831" s="997"/>
      <c r="GG831" s="997"/>
      <c r="GH831" s="997"/>
      <c r="GI831" s="997"/>
      <c r="GJ831" s="997"/>
      <c r="GK831" s="997"/>
      <c r="GL831" s="997"/>
      <c r="GM831" s="997"/>
      <c r="GN831" s="997"/>
      <c r="GO831" s="997"/>
      <c r="GP831" s="997"/>
      <c r="GQ831" s="997"/>
      <c r="GR831" s="997"/>
      <c r="GS831" s="997"/>
      <c r="GT831" s="997"/>
      <c r="GU831" s="997"/>
      <c r="GV831" s="997"/>
      <c r="GW831" s="997"/>
      <c r="GX831" s="997"/>
      <c r="GY831" s="997"/>
      <c r="GZ831" s="997"/>
      <c r="HA831" s="997"/>
      <c r="HB831" s="997"/>
      <c r="HC831" s="997"/>
      <c r="HD831" s="997"/>
      <c r="HE831" s="997"/>
      <c r="HF831" s="997"/>
      <c r="HG831" s="997"/>
      <c r="HH831" s="997"/>
      <c r="HI831" s="997"/>
      <c r="HJ831" s="997"/>
      <c r="HK831" s="997"/>
      <c r="HL831" s="997"/>
      <c r="HM831" s="997"/>
      <c r="HN831" s="997"/>
      <c r="HO831" s="997"/>
      <c r="HP831" s="997"/>
      <c r="HQ831" s="997"/>
      <c r="HR831" s="997"/>
      <c r="HS831" s="997"/>
      <c r="HT831" s="997"/>
      <c r="HU831" s="997"/>
      <c r="HV831" s="997"/>
      <c r="HW831" s="997"/>
      <c r="HX831" s="997"/>
      <c r="HY831" s="997"/>
      <c r="HZ831" s="997"/>
      <c r="IA831" s="997"/>
      <c r="IB831" s="997"/>
      <c r="IC831" s="997"/>
      <c r="ID831" s="997"/>
      <c r="IE831" s="997"/>
      <c r="IF831" s="997"/>
      <c r="IG831" s="997"/>
      <c r="IH831" s="997"/>
      <c r="II831" s="997"/>
      <c r="IJ831" s="997"/>
      <c r="IK831" s="997"/>
      <c r="IL831" s="997"/>
      <c r="IM831" s="997"/>
      <c r="IN831" s="997"/>
    </row>
    <row r="832" spans="1:248" s="1090" customFormat="1" ht="14.1" customHeight="1">
      <c r="A832" s="1091"/>
      <c r="B832" s="945" t="s">
        <v>3776</v>
      </c>
      <c r="C832" s="184" t="s">
        <v>3938</v>
      </c>
      <c r="D832" s="1092"/>
      <c r="G832" s="997"/>
      <c r="H832" s="997"/>
      <c r="I832" s="997"/>
      <c r="J832" s="997"/>
      <c r="K832" s="997"/>
      <c r="L832" s="997"/>
      <c r="M832" s="997"/>
      <c r="N832" s="997"/>
      <c r="O832" s="997"/>
      <c r="P832" s="997"/>
      <c r="Q832" s="997"/>
      <c r="R832" s="997"/>
      <c r="S832" s="997"/>
      <c r="T832" s="997"/>
      <c r="U832" s="997"/>
      <c r="V832" s="997"/>
      <c r="W832" s="997"/>
      <c r="X832" s="997"/>
      <c r="Y832" s="997"/>
      <c r="Z832" s="997"/>
      <c r="AA832" s="997"/>
      <c r="AB832" s="997"/>
      <c r="AC832" s="997"/>
      <c r="AD832" s="997"/>
      <c r="AE832" s="997"/>
      <c r="AF832" s="997"/>
      <c r="AG832" s="997"/>
      <c r="AH832" s="997"/>
      <c r="AI832" s="997"/>
      <c r="AJ832" s="997"/>
      <c r="AK832" s="997"/>
      <c r="AL832" s="997"/>
      <c r="AM832" s="997"/>
      <c r="AN832" s="997"/>
      <c r="AO832" s="997"/>
      <c r="AP832" s="997"/>
      <c r="AQ832" s="997"/>
      <c r="AR832" s="997"/>
      <c r="AS832" s="997"/>
      <c r="AT832" s="997"/>
      <c r="AU832" s="997"/>
      <c r="AV832" s="997"/>
      <c r="AW832" s="997"/>
      <c r="AX832" s="997"/>
      <c r="AY832" s="997"/>
      <c r="AZ832" s="997"/>
      <c r="BA832" s="997"/>
      <c r="BB832" s="997"/>
      <c r="BC832" s="997"/>
      <c r="BD832" s="997"/>
      <c r="BE832" s="997"/>
      <c r="BF832" s="997"/>
      <c r="BG832" s="997"/>
      <c r="BH832" s="997"/>
      <c r="BI832" s="997"/>
      <c r="BJ832" s="997"/>
      <c r="BK832" s="997"/>
      <c r="BL832" s="997"/>
      <c r="BM832" s="997"/>
      <c r="BN832" s="997"/>
      <c r="BO832" s="997"/>
      <c r="BP832" s="997"/>
      <c r="BQ832" s="997"/>
      <c r="BR832" s="997"/>
      <c r="BS832" s="997"/>
      <c r="BT832" s="997"/>
      <c r="BU832" s="997"/>
      <c r="BV832" s="997"/>
      <c r="BW832" s="997"/>
      <c r="BX832" s="997"/>
      <c r="BY832" s="997"/>
      <c r="BZ832" s="997"/>
      <c r="CA832" s="997"/>
      <c r="CB832" s="997"/>
      <c r="CC832" s="997"/>
      <c r="CD832" s="997"/>
      <c r="CE832" s="997"/>
      <c r="CF832" s="997"/>
      <c r="CG832" s="997"/>
      <c r="CH832" s="997"/>
      <c r="CI832" s="997"/>
      <c r="CJ832" s="997"/>
      <c r="CK832" s="997"/>
      <c r="CL832" s="997"/>
      <c r="CM832" s="997"/>
      <c r="CN832" s="997"/>
      <c r="CO832" s="997"/>
      <c r="CP832" s="997"/>
      <c r="CQ832" s="997"/>
      <c r="CR832" s="997"/>
      <c r="CS832" s="997"/>
      <c r="CT832" s="997"/>
      <c r="CU832" s="997"/>
      <c r="CV832" s="997"/>
      <c r="CW832" s="997"/>
      <c r="CX832" s="997"/>
      <c r="CY832" s="997"/>
      <c r="CZ832" s="997"/>
      <c r="DA832" s="997"/>
      <c r="DB832" s="997"/>
      <c r="DC832" s="997"/>
      <c r="DD832" s="997"/>
      <c r="DE832" s="997"/>
      <c r="DF832" s="997"/>
      <c r="DG832" s="997"/>
      <c r="DH832" s="997"/>
      <c r="DI832" s="997"/>
      <c r="DJ832" s="997"/>
      <c r="DK832" s="997"/>
      <c r="DL832" s="997"/>
      <c r="DM832" s="997"/>
      <c r="DN832" s="997"/>
      <c r="DO832" s="997"/>
      <c r="DP832" s="997"/>
      <c r="DQ832" s="997"/>
      <c r="DR832" s="997"/>
      <c r="DS832" s="997"/>
      <c r="DT832" s="997"/>
      <c r="DU832" s="997"/>
      <c r="DV832" s="997"/>
      <c r="DW832" s="997"/>
      <c r="DX832" s="997"/>
      <c r="DY832" s="997"/>
      <c r="DZ832" s="997"/>
      <c r="EA832" s="997"/>
      <c r="EB832" s="997"/>
      <c r="EC832" s="997"/>
      <c r="ED832" s="997"/>
      <c r="EE832" s="997"/>
      <c r="EF832" s="997"/>
      <c r="EG832" s="997"/>
      <c r="EH832" s="997"/>
      <c r="EI832" s="997"/>
      <c r="EJ832" s="997"/>
      <c r="EK832" s="997"/>
      <c r="EL832" s="997"/>
      <c r="EM832" s="997"/>
      <c r="EN832" s="997"/>
      <c r="EO832" s="997"/>
      <c r="EP832" s="997"/>
      <c r="EQ832" s="997"/>
      <c r="ER832" s="997"/>
      <c r="ES832" s="997"/>
      <c r="ET832" s="997"/>
      <c r="EU832" s="997"/>
      <c r="EV832" s="997"/>
      <c r="EW832" s="997"/>
      <c r="EX832" s="997"/>
      <c r="EY832" s="997"/>
      <c r="EZ832" s="997"/>
      <c r="FA832" s="997"/>
      <c r="FB832" s="997"/>
      <c r="FC832" s="997"/>
      <c r="FD832" s="997"/>
      <c r="FE832" s="997"/>
      <c r="FF832" s="997"/>
      <c r="FG832" s="997"/>
      <c r="FH832" s="997"/>
      <c r="FI832" s="997"/>
      <c r="FJ832" s="997"/>
      <c r="FK832" s="997"/>
      <c r="FL832" s="997"/>
      <c r="FM832" s="997"/>
      <c r="FN832" s="997"/>
      <c r="FO832" s="997"/>
      <c r="FP832" s="997"/>
      <c r="FQ832" s="997"/>
      <c r="FR832" s="997"/>
      <c r="FS832" s="997"/>
      <c r="FT832" s="997"/>
      <c r="FU832" s="997"/>
      <c r="FV832" s="997"/>
      <c r="FW832" s="997"/>
      <c r="FX832" s="997"/>
      <c r="FY832" s="997"/>
      <c r="FZ832" s="997"/>
      <c r="GA832" s="997"/>
      <c r="GB832" s="997"/>
      <c r="GC832" s="997"/>
      <c r="GD832" s="997"/>
      <c r="GE832" s="997"/>
      <c r="GF832" s="997"/>
      <c r="GG832" s="997"/>
      <c r="GH832" s="997"/>
      <c r="GI832" s="997"/>
      <c r="GJ832" s="997"/>
      <c r="GK832" s="997"/>
      <c r="GL832" s="997"/>
      <c r="GM832" s="997"/>
      <c r="GN832" s="997"/>
      <c r="GO832" s="997"/>
      <c r="GP832" s="997"/>
      <c r="GQ832" s="997"/>
      <c r="GR832" s="997"/>
      <c r="GS832" s="997"/>
      <c r="GT832" s="997"/>
      <c r="GU832" s="997"/>
      <c r="GV832" s="997"/>
      <c r="GW832" s="997"/>
      <c r="GX832" s="997"/>
      <c r="GY832" s="997"/>
      <c r="GZ832" s="997"/>
      <c r="HA832" s="997"/>
      <c r="HB832" s="997"/>
      <c r="HC832" s="997"/>
      <c r="HD832" s="997"/>
      <c r="HE832" s="997"/>
      <c r="HF832" s="997"/>
      <c r="HG832" s="997"/>
      <c r="HH832" s="997"/>
      <c r="HI832" s="997"/>
      <c r="HJ832" s="997"/>
      <c r="HK832" s="997"/>
      <c r="HL832" s="997"/>
      <c r="HM832" s="997"/>
      <c r="HN832" s="997"/>
      <c r="HO832" s="997"/>
      <c r="HP832" s="997"/>
      <c r="HQ832" s="997"/>
      <c r="HR832" s="997"/>
      <c r="HS832" s="997"/>
      <c r="HT832" s="997"/>
      <c r="HU832" s="997"/>
      <c r="HV832" s="997"/>
      <c r="HW832" s="997"/>
      <c r="HX832" s="997"/>
      <c r="HY832" s="997"/>
      <c r="HZ832" s="997"/>
      <c r="IA832" s="997"/>
      <c r="IB832" s="997"/>
      <c r="IC832" s="997"/>
      <c r="ID832" s="997"/>
      <c r="IE832" s="997"/>
      <c r="IF832" s="997"/>
      <c r="IG832" s="997"/>
      <c r="IH832" s="997"/>
      <c r="II832" s="997"/>
      <c r="IJ832" s="997"/>
      <c r="IK832" s="997"/>
      <c r="IL832" s="997"/>
      <c r="IM832" s="997"/>
      <c r="IN832" s="997"/>
    </row>
    <row r="833" spans="1:248" s="1090" customFormat="1" ht="14.1" customHeight="1">
      <c r="A833" s="1091"/>
      <c r="B833" s="723"/>
      <c r="C833" s="184" t="s">
        <v>3939</v>
      </c>
      <c r="D833" s="1092"/>
      <c r="G833" s="997"/>
      <c r="H833" s="997"/>
      <c r="I833" s="997"/>
      <c r="J833" s="997"/>
      <c r="K833" s="997"/>
      <c r="L833" s="997"/>
      <c r="M833" s="997"/>
      <c r="N833" s="997"/>
      <c r="O833" s="997"/>
      <c r="P833" s="997"/>
      <c r="Q833" s="997"/>
      <c r="R833" s="997"/>
      <c r="S833" s="997"/>
      <c r="T833" s="997"/>
      <c r="U833" s="997"/>
      <c r="V833" s="997"/>
      <c r="W833" s="997"/>
      <c r="X833" s="997"/>
      <c r="Y833" s="997"/>
      <c r="Z833" s="997"/>
      <c r="AA833" s="997"/>
      <c r="AB833" s="997"/>
      <c r="AC833" s="997"/>
      <c r="AD833" s="997"/>
      <c r="AE833" s="997"/>
      <c r="AF833" s="997"/>
      <c r="AG833" s="997"/>
      <c r="AH833" s="997"/>
      <c r="AI833" s="997"/>
      <c r="AJ833" s="997"/>
      <c r="AK833" s="997"/>
      <c r="AL833" s="997"/>
      <c r="AM833" s="997"/>
      <c r="AN833" s="997"/>
      <c r="AO833" s="997"/>
      <c r="AP833" s="997"/>
      <c r="AQ833" s="997"/>
      <c r="AR833" s="997"/>
      <c r="AS833" s="997"/>
      <c r="AT833" s="997"/>
      <c r="AU833" s="997"/>
      <c r="AV833" s="997"/>
      <c r="AW833" s="997"/>
      <c r="AX833" s="997"/>
      <c r="AY833" s="997"/>
      <c r="AZ833" s="997"/>
      <c r="BA833" s="997"/>
      <c r="BB833" s="997"/>
      <c r="BC833" s="997"/>
      <c r="BD833" s="997"/>
      <c r="BE833" s="997"/>
      <c r="BF833" s="997"/>
      <c r="BG833" s="997"/>
      <c r="BH833" s="997"/>
      <c r="BI833" s="997"/>
      <c r="BJ833" s="997"/>
      <c r="BK833" s="997"/>
      <c r="BL833" s="997"/>
      <c r="BM833" s="997"/>
      <c r="BN833" s="997"/>
      <c r="BO833" s="997"/>
      <c r="BP833" s="997"/>
      <c r="BQ833" s="997"/>
      <c r="BR833" s="997"/>
      <c r="BS833" s="997"/>
      <c r="BT833" s="997"/>
      <c r="BU833" s="997"/>
      <c r="BV833" s="997"/>
      <c r="BW833" s="997"/>
      <c r="BX833" s="997"/>
      <c r="BY833" s="997"/>
      <c r="BZ833" s="997"/>
      <c r="CA833" s="997"/>
      <c r="CB833" s="997"/>
      <c r="CC833" s="997"/>
      <c r="CD833" s="997"/>
      <c r="CE833" s="997"/>
      <c r="CF833" s="997"/>
      <c r="CG833" s="997"/>
      <c r="CH833" s="997"/>
      <c r="CI833" s="997"/>
      <c r="CJ833" s="997"/>
      <c r="CK833" s="997"/>
      <c r="CL833" s="997"/>
      <c r="CM833" s="997"/>
      <c r="CN833" s="997"/>
      <c r="CO833" s="997"/>
      <c r="CP833" s="997"/>
      <c r="CQ833" s="997"/>
      <c r="CR833" s="997"/>
      <c r="CS833" s="997"/>
      <c r="CT833" s="997"/>
      <c r="CU833" s="997"/>
      <c r="CV833" s="997"/>
      <c r="CW833" s="997"/>
      <c r="CX833" s="997"/>
      <c r="CY833" s="997"/>
      <c r="CZ833" s="997"/>
      <c r="DA833" s="997"/>
      <c r="DB833" s="997"/>
      <c r="DC833" s="997"/>
      <c r="DD833" s="997"/>
      <c r="DE833" s="997"/>
      <c r="DF833" s="997"/>
      <c r="DG833" s="997"/>
      <c r="DH833" s="997"/>
      <c r="DI833" s="997"/>
      <c r="DJ833" s="997"/>
      <c r="DK833" s="997"/>
      <c r="DL833" s="997"/>
      <c r="DM833" s="997"/>
      <c r="DN833" s="997"/>
      <c r="DO833" s="997"/>
      <c r="DP833" s="997"/>
      <c r="DQ833" s="997"/>
      <c r="DR833" s="997"/>
      <c r="DS833" s="997"/>
      <c r="DT833" s="997"/>
      <c r="DU833" s="997"/>
      <c r="DV833" s="997"/>
      <c r="DW833" s="997"/>
      <c r="DX833" s="997"/>
      <c r="DY833" s="997"/>
      <c r="DZ833" s="997"/>
      <c r="EA833" s="997"/>
      <c r="EB833" s="997"/>
      <c r="EC833" s="997"/>
      <c r="ED833" s="997"/>
      <c r="EE833" s="997"/>
      <c r="EF833" s="997"/>
      <c r="EG833" s="997"/>
      <c r="EH833" s="997"/>
      <c r="EI833" s="997"/>
      <c r="EJ833" s="997"/>
      <c r="EK833" s="997"/>
      <c r="EL833" s="997"/>
      <c r="EM833" s="997"/>
      <c r="EN833" s="997"/>
      <c r="EO833" s="997"/>
      <c r="EP833" s="997"/>
      <c r="EQ833" s="997"/>
      <c r="ER833" s="997"/>
      <c r="ES833" s="997"/>
      <c r="ET833" s="997"/>
      <c r="EU833" s="997"/>
      <c r="EV833" s="997"/>
      <c r="EW833" s="997"/>
      <c r="EX833" s="997"/>
      <c r="EY833" s="997"/>
      <c r="EZ833" s="997"/>
      <c r="FA833" s="997"/>
      <c r="FB833" s="997"/>
      <c r="FC833" s="997"/>
      <c r="FD833" s="997"/>
      <c r="FE833" s="997"/>
      <c r="FF833" s="997"/>
      <c r="FG833" s="997"/>
      <c r="FH833" s="997"/>
      <c r="FI833" s="997"/>
      <c r="FJ833" s="997"/>
      <c r="FK833" s="997"/>
      <c r="FL833" s="997"/>
      <c r="FM833" s="997"/>
      <c r="FN833" s="997"/>
      <c r="FO833" s="997"/>
      <c r="FP833" s="997"/>
      <c r="FQ833" s="997"/>
      <c r="FR833" s="997"/>
      <c r="FS833" s="997"/>
      <c r="FT833" s="997"/>
      <c r="FU833" s="997"/>
      <c r="FV833" s="997"/>
      <c r="FW833" s="997"/>
      <c r="FX833" s="997"/>
      <c r="FY833" s="997"/>
      <c r="FZ833" s="997"/>
      <c r="GA833" s="997"/>
      <c r="GB833" s="997"/>
      <c r="GC833" s="997"/>
      <c r="GD833" s="997"/>
      <c r="GE833" s="997"/>
      <c r="GF833" s="997"/>
      <c r="GG833" s="997"/>
      <c r="GH833" s="997"/>
      <c r="GI833" s="997"/>
      <c r="GJ833" s="997"/>
      <c r="GK833" s="997"/>
      <c r="GL833" s="997"/>
      <c r="GM833" s="997"/>
      <c r="GN833" s="997"/>
      <c r="GO833" s="997"/>
      <c r="GP833" s="997"/>
      <c r="GQ833" s="997"/>
      <c r="GR833" s="997"/>
      <c r="GS833" s="997"/>
      <c r="GT833" s="997"/>
      <c r="GU833" s="997"/>
      <c r="GV833" s="997"/>
      <c r="GW833" s="997"/>
      <c r="GX833" s="997"/>
      <c r="GY833" s="997"/>
      <c r="GZ833" s="997"/>
      <c r="HA833" s="997"/>
      <c r="HB833" s="997"/>
      <c r="HC833" s="997"/>
      <c r="HD833" s="997"/>
      <c r="HE833" s="997"/>
      <c r="HF833" s="997"/>
      <c r="HG833" s="997"/>
      <c r="HH833" s="997"/>
      <c r="HI833" s="997"/>
      <c r="HJ833" s="997"/>
      <c r="HK833" s="997"/>
      <c r="HL833" s="997"/>
      <c r="HM833" s="997"/>
      <c r="HN833" s="997"/>
      <c r="HO833" s="997"/>
      <c r="HP833" s="997"/>
      <c r="HQ833" s="997"/>
      <c r="HR833" s="997"/>
      <c r="HS833" s="997"/>
      <c r="HT833" s="997"/>
      <c r="HU833" s="997"/>
      <c r="HV833" s="997"/>
      <c r="HW833" s="997"/>
      <c r="HX833" s="997"/>
      <c r="HY833" s="997"/>
      <c r="HZ833" s="997"/>
      <c r="IA833" s="997"/>
      <c r="IB833" s="997"/>
      <c r="IC833" s="997"/>
      <c r="ID833" s="997"/>
      <c r="IE833" s="997"/>
      <c r="IF833" s="997"/>
      <c r="IG833" s="997"/>
      <c r="IH833" s="997"/>
      <c r="II833" s="997"/>
      <c r="IJ833" s="997"/>
      <c r="IK833" s="997"/>
      <c r="IL833" s="997"/>
      <c r="IM833" s="997"/>
      <c r="IN833" s="997"/>
    </row>
    <row r="834" spans="1:248" s="1090" customFormat="1" ht="14.1" customHeight="1">
      <c r="A834" s="1091"/>
      <c r="B834" s="945"/>
      <c r="C834" s="184" t="s">
        <v>3940</v>
      </c>
      <c r="D834" s="1092"/>
      <c r="G834" s="997"/>
      <c r="H834" s="997"/>
      <c r="I834" s="997"/>
      <c r="J834" s="997"/>
      <c r="K834" s="997"/>
      <c r="L834" s="997"/>
      <c r="M834" s="997"/>
      <c r="N834" s="997"/>
      <c r="O834" s="997"/>
      <c r="P834" s="997"/>
      <c r="Q834" s="997"/>
      <c r="R834" s="997"/>
      <c r="S834" s="997"/>
      <c r="T834" s="997"/>
      <c r="U834" s="997"/>
      <c r="V834" s="997"/>
      <c r="W834" s="997"/>
      <c r="X834" s="997"/>
      <c r="Y834" s="997"/>
      <c r="Z834" s="997"/>
      <c r="AA834" s="997"/>
      <c r="AB834" s="997"/>
      <c r="AC834" s="997"/>
      <c r="AD834" s="997"/>
      <c r="AE834" s="997"/>
      <c r="AF834" s="997"/>
      <c r="AG834" s="997"/>
      <c r="AH834" s="997"/>
      <c r="AI834" s="997"/>
      <c r="AJ834" s="997"/>
      <c r="AK834" s="997"/>
      <c r="AL834" s="997"/>
      <c r="AM834" s="997"/>
      <c r="AN834" s="997"/>
      <c r="AO834" s="997"/>
      <c r="AP834" s="997"/>
      <c r="AQ834" s="997"/>
      <c r="AR834" s="997"/>
      <c r="AS834" s="997"/>
      <c r="AT834" s="997"/>
      <c r="AU834" s="997"/>
      <c r="AV834" s="997"/>
      <c r="AW834" s="997"/>
      <c r="AX834" s="997"/>
      <c r="AY834" s="997"/>
      <c r="AZ834" s="997"/>
      <c r="BA834" s="997"/>
      <c r="BB834" s="997"/>
      <c r="BC834" s="997"/>
      <c r="BD834" s="997"/>
      <c r="BE834" s="997"/>
      <c r="BF834" s="997"/>
      <c r="BG834" s="997"/>
      <c r="BH834" s="997"/>
      <c r="BI834" s="997"/>
      <c r="BJ834" s="997"/>
      <c r="BK834" s="997"/>
      <c r="BL834" s="997"/>
      <c r="BM834" s="997"/>
      <c r="BN834" s="997"/>
      <c r="BO834" s="997"/>
      <c r="BP834" s="997"/>
      <c r="BQ834" s="997"/>
      <c r="BR834" s="997"/>
      <c r="BS834" s="997"/>
      <c r="BT834" s="997"/>
      <c r="BU834" s="997"/>
      <c r="BV834" s="997"/>
      <c r="BW834" s="997"/>
      <c r="BX834" s="997"/>
      <c r="BY834" s="997"/>
      <c r="BZ834" s="997"/>
      <c r="CA834" s="997"/>
      <c r="CB834" s="997"/>
      <c r="CC834" s="997"/>
      <c r="CD834" s="997"/>
      <c r="CE834" s="997"/>
      <c r="CF834" s="997"/>
      <c r="CG834" s="997"/>
      <c r="CH834" s="997"/>
      <c r="CI834" s="997"/>
      <c r="CJ834" s="997"/>
      <c r="CK834" s="997"/>
      <c r="CL834" s="997"/>
      <c r="CM834" s="997"/>
      <c r="CN834" s="997"/>
      <c r="CO834" s="997"/>
      <c r="CP834" s="997"/>
      <c r="CQ834" s="997"/>
      <c r="CR834" s="997"/>
      <c r="CS834" s="997"/>
      <c r="CT834" s="997"/>
      <c r="CU834" s="997"/>
      <c r="CV834" s="997"/>
      <c r="CW834" s="997"/>
      <c r="CX834" s="997"/>
      <c r="CY834" s="997"/>
      <c r="CZ834" s="997"/>
      <c r="DA834" s="997"/>
      <c r="DB834" s="997"/>
      <c r="DC834" s="997"/>
      <c r="DD834" s="997"/>
      <c r="DE834" s="997"/>
      <c r="DF834" s="997"/>
      <c r="DG834" s="997"/>
      <c r="DH834" s="997"/>
      <c r="DI834" s="997"/>
      <c r="DJ834" s="997"/>
      <c r="DK834" s="997"/>
      <c r="DL834" s="997"/>
      <c r="DM834" s="997"/>
      <c r="DN834" s="997"/>
      <c r="DO834" s="997"/>
      <c r="DP834" s="997"/>
      <c r="DQ834" s="997"/>
      <c r="DR834" s="997"/>
      <c r="DS834" s="997"/>
      <c r="DT834" s="997"/>
      <c r="DU834" s="997"/>
      <c r="DV834" s="997"/>
      <c r="DW834" s="997"/>
      <c r="DX834" s="997"/>
      <c r="DY834" s="997"/>
      <c r="DZ834" s="997"/>
      <c r="EA834" s="997"/>
      <c r="EB834" s="997"/>
      <c r="EC834" s="997"/>
      <c r="ED834" s="997"/>
      <c r="EE834" s="997"/>
      <c r="EF834" s="997"/>
      <c r="EG834" s="997"/>
      <c r="EH834" s="997"/>
      <c r="EI834" s="997"/>
      <c r="EJ834" s="997"/>
      <c r="EK834" s="997"/>
      <c r="EL834" s="997"/>
      <c r="EM834" s="997"/>
      <c r="EN834" s="997"/>
      <c r="EO834" s="997"/>
      <c r="EP834" s="997"/>
      <c r="EQ834" s="997"/>
      <c r="ER834" s="997"/>
      <c r="ES834" s="997"/>
      <c r="ET834" s="997"/>
      <c r="EU834" s="997"/>
      <c r="EV834" s="997"/>
      <c r="EW834" s="997"/>
      <c r="EX834" s="997"/>
      <c r="EY834" s="997"/>
      <c r="EZ834" s="997"/>
      <c r="FA834" s="997"/>
      <c r="FB834" s="997"/>
      <c r="FC834" s="997"/>
      <c r="FD834" s="997"/>
      <c r="FE834" s="997"/>
      <c r="FF834" s="997"/>
      <c r="FG834" s="997"/>
      <c r="FH834" s="997"/>
      <c r="FI834" s="997"/>
      <c r="FJ834" s="997"/>
      <c r="FK834" s="997"/>
      <c r="FL834" s="997"/>
      <c r="FM834" s="997"/>
      <c r="FN834" s="997"/>
      <c r="FO834" s="997"/>
      <c r="FP834" s="997"/>
      <c r="FQ834" s="997"/>
      <c r="FR834" s="997"/>
      <c r="FS834" s="997"/>
      <c r="FT834" s="997"/>
      <c r="FU834" s="997"/>
      <c r="FV834" s="997"/>
      <c r="FW834" s="997"/>
      <c r="FX834" s="997"/>
      <c r="FY834" s="997"/>
      <c r="FZ834" s="997"/>
      <c r="GA834" s="997"/>
      <c r="GB834" s="997"/>
      <c r="GC834" s="997"/>
      <c r="GD834" s="997"/>
      <c r="GE834" s="997"/>
      <c r="GF834" s="997"/>
      <c r="GG834" s="997"/>
      <c r="GH834" s="997"/>
      <c r="GI834" s="997"/>
      <c r="GJ834" s="997"/>
      <c r="GK834" s="997"/>
      <c r="GL834" s="997"/>
      <c r="GM834" s="997"/>
      <c r="GN834" s="997"/>
      <c r="GO834" s="997"/>
      <c r="GP834" s="997"/>
      <c r="GQ834" s="997"/>
      <c r="GR834" s="997"/>
      <c r="GS834" s="997"/>
      <c r="GT834" s="997"/>
      <c r="GU834" s="997"/>
      <c r="GV834" s="997"/>
      <c r="GW834" s="997"/>
      <c r="GX834" s="997"/>
      <c r="GY834" s="997"/>
      <c r="GZ834" s="997"/>
      <c r="HA834" s="997"/>
      <c r="HB834" s="997"/>
      <c r="HC834" s="997"/>
      <c r="HD834" s="997"/>
      <c r="HE834" s="997"/>
      <c r="HF834" s="997"/>
      <c r="HG834" s="997"/>
      <c r="HH834" s="997"/>
      <c r="HI834" s="997"/>
      <c r="HJ834" s="997"/>
      <c r="HK834" s="997"/>
      <c r="HL834" s="997"/>
      <c r="HM834" s="997"/>
      <c r="HN834" s="997"/>
      <c r="HO834" s="997"/>
      <c r="HP834" s="997"/>
      <c r="HQ834" s="997"/>
      <c r="HR834" s="997"/>
      <c r="HS834" s="997"/>
      <c r="HT834" s="997"/>
      <c r="HU834" s="997"/>
      <c r="HV834" s="997"/>
      <c r="HW834" s="997"/>
      <c r="HX834" s="997"/>
      <c r="HY834" s="997"/>
      <c r="HZ834" s="997"/>
      <c r="IA834" s="997"/>
      <c r="IB834" s="997"/>
      <c r="IC834" s="997"/>
      <c r="ID834" s="997"/>
      <c r="IE834" s="997"/>
      <c r="IF834" s="997"/>
      <c r="IG834" s="997"/>
      <c r="IH834" s="997"/>
      <c r="II834" s="997"/>
      <c r="IJ834" s="997"/>
      <c r="IK834" s="997"/>
      <c r="IL834" s="997"/>
      <c r="IM834" s="997"/>
      <c r="IN834" s="997"/>
    </row>
    <row r="835" spans="1:248" s="1090" customFormat="1" ht="14.1" customHeight="1">
      <c r="A835" s="1091"/>
      <c r="B835" s="945"/>
      <c r="C835" s="184" t="s">
        <v>3941</v>
      </c>
      <c r="D835" s="1092"/>
      <c r="G835" s="997"/>
      <c r="H835" s="997"/>
      <c r="I835" s="997"/>
      <c r="J835" s="997"/>
      <c r="K835" s="997"/>
      <c r="L835" s="997"/>
      <c r="M835" s="997"/>
      <c r="N835" s="997"/>
      <c r="O835" s="997"/>
      <c r="P835" s="997"/>
      <c r="Q835" s="997"/>
      <c r="R835" s="997"/>
      <c r="S835" s="997"/>
      <c r="T835" s="997"/>
      <c r="U835" s="997"/>
      <c r="V835" s="997"/>
      <c r="W835" s="997"/>
      <c r="X835" s="997"/>
      <c r="Y835" s="997"/>
      <c r="Z835" s="997"/>
      <c r="AA835" s="997"/>
      <c r="AB835" s="997"/>
      <c r="AC835" s="997"/>
      <c r="AD835" s="997"/>
      <c r="AE835" s="997"/>
      <c r="AF835" s="997"/>
      <c r="AG835" s="997"/>
      <c r="AH835" s="997"/>
      <c r="AI835" s="997"/>
      <c r="AJ835" s="997"/>
      <c r="AK835" s="997"/>
      <c r="AL835" s="997"/>
      <c r="AM835" s="997"/>
      <c r="AN835" s="997"/>
      <c r="AO835" s="997"/>
      <c r="AP835" s="997"/>
      <c r="AQ835" s="997"/>
      <c r="AR835" s="997"/>
      <c r="AS835" s="997"/>
      <c r="AT835" s="997"/>
      <c r="AU835" s="997"/>
      <c r="AV835" s="997"/>
      <c r="AW835" s="997"/>
      <c r="AX835" s="997"/>
      <c r="AY835" s="997"/>
      <c r="AZ835" s="997"/>
      <c r="BA835" s="997"/>
      <c r="BB835" s="997"/>
      <c r="BC835" s="997"/>
      <c r="BD835" s="997"/>
      <c r="BE835" s="997"/>
      <c r="BF835" s="997"/>
      <c r="BG835" s="997"/>
      <c r="BH835" s="997"/>
      <c r="BI835" s="997"/>
      <c r="BJ835" s="997"/>
      <c r="BK835" s="997"/>
      <c r="BL835" s="997"/>
      <c r="BM835" s="997"/>
      <c r="BN835" s="997"/>
      <c r="BO835" s="997"/>
      <c r="BP835" s="997"/>
      <c r="BQ835" s="997"/>
      <c r="BR835" s="997"/>
      <c r="BS835" s="997"/>
      <c r="BT835" s="997"/>
      <c r="BU835" s="997"/>
      <c r="BV835" s="997"/>
      <c r="BW835" s="997"/>
      <c r="BX835" s="997"/>
      <c r="BY835" s="997"/>
      <c r="BZ835" s="997"/>
      <c r="CA835" s="997"/>
      <c r="CB835" s="997"/>
      <c r="CC835" s="997"/>
      <c r="CD835" s="997"/>
      <c r="CE835" s="997"/>
      <c r="CF835" s="997"/>
      <c r="CG835" s="997"/>
      <c r="CH835" s="997"/>
      <c r="CI835" s="997"/>
      <c r="CJ835" s="997"/>
      <c r="CK835" s="997"/>
      <c r="CL835" s="997"/>
      <c r="CM835" s="997"/>
      <c r="CN835" s="997"/>
      <c r="CO835" s="997"/>
      <c r="CP835" s="997"/>
      <c r="CQ835" s="997"/>
      <c r="CR835" s="997"/>
      <c r="CS835" s="997"/>
      <c r="CT835" s="997"/>
      <c r="CU835" s="997"/>
      <c r="CV835" s="997"/>
      <c r="CW835" s="997"/>
      <c r="CX835" s="997"/>
      <c r="CY835" s="997"/>
      <c r="CZ835" s="997"/>
      <c r="DA835" s="997"/>
      <c r="DB835" s="997"/>
      <c r="DC835" s="997"/>
      <c r="DD835" s="997"/>
      <c r="DE835" s="997"/>
      <c r="DF835" s="997"/>
      <c r="DG835" s="997"/>
      <c r="DH835" s="997"/>
      <c r="DI835" s="997"/>
      <c r="DJ835" s="997"/>
      <c r="DK835" s="997"/>
      <c r="DL835" s="997"/>
      <c r="DM835" s="997"/>
      <c r="DN835" s="997"/>
      <c r="DO835" s="997"/>
      <c r="DP835" s="997"/>
      <c r="DQ835" s="997"/>
      <c r="DR835" s="997"/>
      <c r="DS835" s="997"/>
      <c r="DT835" s="997"/>
      <c r="DU835" s="997"/>
      <c r="DV835" s="997"/>
      <c r="DW835" s="997"/>
      <c r="DX835" s="997"/>
      <c r="DY835" s="997"/>
      <c r="DZ835" s="997"/>
      <c r="EA835" s="997"/>
      <c r="EB835" s="997"/>
      <c r="EC835" s="997"/>
      <c r="ED835" s="997"/>
      <c r="EE835" s="997"/>
      <c r="EF835" s="997"/>
      <c r="EG835" s="997"/>
      <c r="EH835" s="997"/>
      <c r="EI835" s="997"/>
      <c r="EJ835" s="997"/>
      <c r="EK835" s="997"/>
      <c r="EL835" s="997"/>
      <c r="EM835" s="997"/>
      <c r="EN835" s="997"/>
      <c r="EO835" s="997"/>
      <c r="EP835" s="997"/>
      <c r="EQ835" s="997"/>
      <c r="ER835" s="997"/>
      <c r="ES835" s="997"/>
      <c r="ET835" s="997"/>
      <c r="EU835" s="997"/>
      <c r="EV835" s="997"/>
      <c r="EW835" s="997"/>
      <c r="EX835" s="997"/>
      <c r="EY835" s="997"/>
      <c r="EZ835" s="997"/>
      <c r="FA835" s="997"/>
      <c r="FB835" s="997"/>
      <c r="FC835" s="997"/>
      <c r="FD835" s="997"/>
      <c r="FE835" s="997"/>
      <c r="FF835" s="997"/>
      <c r="FG835" s="997"/>
      <c r="FH835" s="997"/>
      <c r="FI835" s="997"/>
      <c r="FJ835" s="997"/>
      <c r="FK835" s="997"/>
      <c r="FL835" s="997"/>
      <c r="FM835" s="997"/>
      <c r="FN835" s="997"/>
      <c r="FO835" s="997"/>
      <c r="FP835" s="997"/>
      <c r="FQ835" s="997"/>
      <c r="FR835" s="997"/>
      <c r="FS835" s="997"/>
      <c r="FT835" s="997"/>
      <c r="FU835" s="997"/>
      <c r="FV835" s="997"/>
      <c r="FW835" s="997"/>
      <c r="FX835" s="997"/>
      <c r="FY835" s="997"/>
      <c r="FZ835" s="997"/>
      <c r="GA835" s="997"/>
      <c r="GB835" s="997"/>
      <c r="GC835" s="997"/>
      <c r="GD835" s="997"/>
      <c r="GE835" s="997"/>
      <c r="GF835" s="997"/>
      <c r="GG835" s="997"/>
      <c r="GH835" s="997"/>
      <c r="GI835" s="997"/>
      <c r="GJ835" s="997"/>
      <c r="GK835" s="997"/>
      <c r="GL835" s="997"/>
      <c r="GM835" s="997"/>
      <c r="GN835" s="997"/>
      <c r="GO835" s="997"/>
      <c r="GP835" s="997"/>
      <c r="GQ835" s="997"/>
      <c r="GR835" s="997"/>
      <c r="GS835" s="997"/>
      <c r="GT835" s="997"/>
      <c r="GU835" s="997"/>
      <c r="GV835" s="997"/>
      <c r="GW835" s="997"/>
      <c r="GX835" s="997"/>
      <c r="GY835" s="997"/>
      <c r="GZ835" s="997"/>
      <c r="HA835" s="997"/>
      <c r="HB835" s="997"/>
      <c r="HC835" s="997"/>
      <c r="HD835" s="997"/>
      <c r="HE835" s="997"/>
      <c r="HF835" s="997"/>
      <c r="HG835" s="997"/>
      <c r="HH835" s="997"/>
      <c r="HI835" s="997"/>
      <c r="HJ835" s="997"/>
      <c r="HK835" s="997"/>
      <c r="HL835" s="997"/>
      <c r="HM835" s="997"/>
      <c r="HN835" s="997"/>
      <c r="HO835" s="997"/>
      <c r="HP835" s="997"/>
      <c r="HQ835" s="997"/>
      <c r="HR835" s="997"/>
      <c r="HS835" s="997"/>
      <c r="HT835" s="997"/>
      <c r="HU835" s="997"/>
      <c r="HV835" s="997"/>
      <c r="HW835" s="997"/>
      <c r="HX835" s="997"/>
      <c r="HY835" s="997"/>
      <c r="HZ835" s="997"/>
      <c r="IA835" s="997"/>
      <c r="IB835" s="997"/>
      <c r="IC835" s="997"/>
      <c r="ID835" s="997"/>
      <c r="IE835" s="997"/>
      <c r="IF835" s="997"/>
      <c r="IG835" s="997"/>
      <c r="IH835" s="997"/>
      <c r="II835" s="997"/>
      <c r="IJ835" s="997"/>
      <c r="IK835" s="997"/>
      <c r="IL835" s="997"/>
      <c r="IM835" s="997"/>
      <c r="IN835" s="997"/>
    </row>
    <row r="836" spans="1:248" s="1090" customFormat="1" ht="14.1" customHeight="1">
      <c r="A836" s="1091"/>
      <c r="B836" s="945"/>
      <c r="C836" s="184" t="s">
        <v>3942</v>
      </c>
      <c r="D836" s="1092"/>
      <c r="G836" s="997"/>
      <c r="H836" s="997"/>
      <c r="I836" s="997"/>
      <c r="J836" s="997"/>
      <c r="K836" s="997"/>
      <c r="L836" s="997"/>
      <c r="M836" s="997"/>
      <c r="N836" s="997"/>
      <c r="O836" s="997"/>
      <c r="P836" s="997"/>
      <c r="Q836" s="997"/>
      <c r="R836" s="997"/>
      <c r="S836" s="997"/>
      <c r="T836" s="997"/>
      <c r="U836" s="997"/>
      <c r="V836" s="997"/>
      <c r="W836" s="997"/>
      <c r="X836" s="997"/>
      <c r="Y836" s="997"/>
      <c r="Z836" s="997"/>
      <c r="AA836" s="997"/>
      <c r="AB836" s="997"/>
      <c r="AC836" s="997"/>
      <c r="AD836" s="997"/>
      <c r="AE836" s="997"/>
      <c r="AF836" s="997"/>
      <c r="AG836" s="997"/>
      <c r="AH836" s="997"/>
      <c r="AI836" s="997"/>
      <c r="AJ836" s="997"/>
      <c r="AK836" s="997"/>
      <c r="AL836" s="997"/>
      <c r="AM836" s="997"/>
      <c r="AN836" s="997"/>
      <c r="AO836" s="997"/>
      <c r="AP836" s="997"/>
      <c r="AQ836" s="997"/>
      <c r="AR836" s="997"/>
      <c r="AS836" s="997"/>
      <c r="AT836" s="997"/>
      <c r="AU836" s="997"/>
      <c r="AV836" s="997"/>
      <c r="AW836" s="997"/>
      <c r="AX836" s="997"/>
      <c r="AY836" s="997"/>
      <c r="AZ836" s="997"/>
      <c r="BA836" s="997"/>
      <c r="BB836" s="997"/>
      <c r="BC836" s="997"/>
      <c r="BD836" s="997"/>
      <c r="BE836" s="997"/>
      <c r="BF836" s="997"/>
      <c r="BG836" s="997"/>
      <c r="BH836" s="997"/>
      <c r="BI836" s="997"/>
      <c r="BJ836" s="997"/>
      <c r="BK836" s="997"/>
      <c r="BL836" s="997"/>
      <c r="BM836" s="997"/>
      <c r="BN836" s="997"/>
      <c r="BO836" s="997"/>
      <c r="BP836" s="997"/>
      <c r="BQ836" s="997"/>
      <c r="BR836" s="997"/>
      <c r="BS836" s="997"/>
      <c r="BT836" s="997"/>
      <c r="BU836" s="997"/>
      <c r="BV836" s="997"/>
      <c r="BW836" s="997"/>
      <c r="BX836" s="997"/>
      <c r="BY836" s="997"/>
      <c r="BZ836" s="997"/>
      <c r="CA836" s="997"/>
      <c r="CB836" s="997"/>
      <c r="CC836" s="997"/>
      <c r="CD836" s="997"/>
      <c r="CE836" s="997"/>
      <c r="CF836" s="997"/>
      <c r="CG836" s="997"/>
      <c r="CH836" s="997"/>
      <c r="CI836" s="997"/>
      <c r="CJ836" s="997"/>
      <c r="CK836" s="997"/>
      <c r="CL836" s="997"/>
      <c r="CM836" s="997"/>
      <c r="CN836" s="997"/>
      <c r="CO836" s="997"/>
      <c r="CP836" s="997"/>
      <c r="CQ836" s="997"/>
      <c r="CR836" s="997"/>
      <c r="CS836" s="997"/>
      <c r="CT836" s="997"/>
      <c r="CU836" s="997"/>
      <c r="CV836" s="997"/>
      <c r="CW836" s="997"/>
      <c r="CX836" s="997"/>
      <c r="CY836" s="997"/>
      <c r="CZ836" s="997"/>
      <c r="DA836" s="997"/>
      <c r="DB836" s="997"/>
      <c r="DC836" s="997"/>
      <c r="DD836" s="997"/>
      <c r="DE836" s="997"/>
      <c r="DF836" s="997"/>
      <c r="DG836" s="997"/>
      <c r="DH836" s="997"/>
      <c r="DI836" s="997"/>
      <c r="DJ836" s="997"/>
      <c r="DK836" s="997"/>
      <c r="DL836" s="997"/>
      <c r="DM836" s="997"/>
      <c r="DN836" s="997"/>
      <c r="DO836" s="997"/>
      <c r="DP836" s="997"/>
      <c r="DQ836" s="997"/>
      <c r="DR836" s="997"/>
      <c r="DS836" s="997"/>
      <c r="DT836" s="997"/>
      <c r="DU836" s="997"/>
      <c r="DV836" s="997"/>
      <c r="DW836" s="997"/>
      <c r="DX836" s="997"/>
      <c r="DY836" s="997"/>
      <c r="DZ836" s="997"/>
      <c r="EA836" s="997"/>
      <c r="EB836" s="997"/>
      <c r="EC836" s="997"/>
      <c r="ED836" s="997"/>
      <c r="EE836" s="997"/>
      <c r="EF836" s="997"/>
      <c r="EG836" s="997"/>
      <c r="EH836" s="997"/>
      <c r="EI836" s="997"/>
      <c r="EJ836" s="997"/>
      <c r="EK836" s="997"/>
      <c r="EL836" s="997"/>
      <c r="EM836" s="997"/>
      <c r="EN836" s="997"/>
      <c r="EO836" s="997"/>
      <c r="EP836" s="997"/>
      <c r="EQ836" s="997"/>
      <c r="ER836" s="997"/>
      <c r="ES836" s="997"/>
      <c r="ET836" s="997"/>
      <c r="EU836" s="997"/>
      <c r="EV836" s="997"/>
      <c r="EW836" s="997"/>
      <c r="EX836" s="997"/>
      <c r="EY836" s="997"/>
      <c r="EZ836" s="997"/>
      <c r="FA836" s="997"/>
      <c r="FB836" s="997"/>
      <c r="FC836" s="997"/>
      <c r="FD836" s="997"/>
      <c r="FE836" s="997"/>
      <c r="FF836" s="997"/>
      <c r="FG836" s="997"/>
      <c r="FH836" s="997"/>
      <c r="FI836" s="997"/>
      <c r="FJ836" s="997"/>
      <c r="FK836" s="997"/>
      <c r="FL836" s="997"/>
      <c r="FM836" s="997"/>
      <c r="FN836" s="997"/>
      <c r="FO836" s="997"/>
      <c r="FP836" s="997"/>
      <c r="FQ836" s="997"/>
      <c r="FR836" s="997"/>
      <c r="FS836" s="997"/>
      <c r="FT836" s="997"/>
      <c r="FU836" s="997"/>
      <c r="FV836" s="997"/>
      <c r="FW836" s="997"/>
      <c r="FX836" s="997"/>
      <c r="FY836" s="997"/>
      <c r="FZ836" s="997"/>
      <c r="GA836" s="997"/>
      <c r="GB836" s="997"/>
      <c r="GC836" s="997"/>
      <c r="GD836" s="997"/>
      <c r="GE836" s="997"/>
      <c r="GF836" s="997"/>
      <c r="GG836" s="997"/>
      <c r="GH836" s="997"/>
      <c r="GI836" s="997"/>
      <c r="GJ836" s="997"/>
      <c r="GK836" s="997"/>
      <c r="GL836" s="997"/>
      <c r="GM836" s="997"/>
      <c r="GN836" s="997"/>
      <c r="GO836" s="997"/>
      <c r="GP836" s="997"/>
      <c r="GQ836" s="997"/>
      <c r="GR836" s="997"/>
      <c r="GS836" s="997"/>
      <c r="GT836" s="997"/>
      <c r="GU836" s="997"/>
      <c r="GV836" s="997"/>
      <c r="GW836" s="997"/>
      <c r="GX836" s="997"/>
      <c r="GY836" s="997"/>
      <c r="GZ836" s="997"/>
      <c r="HA836" s="997"/>
      <c r="HB836" s="997"/>
      <c r="HC836" s="997"/>
      <c r="HD836" s="997"/>
      <c r="HE836" s="997"/>
      <c r="HF836" s="997"/>
      <c r="HG836" s="997"/>
      <c r="HH836" s="997"/>
      <c r="HI836" s="997"/>
      <c r="HJ836" s="997"/>
      <c r="HK836" s="997"/>
      <c r="HL836" s="997"/>
      <c r="HM836" s="997"/>
      <c r="HN836" s="997"/>
      <c r="HO836" s="997"/>
      <c r="HP836" s="997"/>
      <c r="HQ836" s="997"/>
      <c r="HR836" s="997"/>
      <c r="HS836" s="997"/>
      <c r="HT836" s="997"/>
      <c r="HU836" s="997"/>
      <c r="HV836" s="997"/>
      <c r="HW836" s="997"/>
      <c r="HX836" s="997"/>
      <c r="HY836" s="997"/>
      <c r="HZ836" s="997"/>
      <c r="IA836" s="997"/>
      <c r="IB836" s="997"/>
      <c r="IC836" s="997"/>
      <c r="ID836" s="997"/>
      <c r="IE836" s="997"/>
      <c r="IF836" s="997"/>
      <c r="IG836" s="997"/>
      <c r="IH836" s="997"/>
      <c r="II836" s="997"/>
      <c r="IJ836" s="997"/>
      <c r="IK836" s="997"/>
      <c r="IL836" s="997"/>
      <c r="IM836" s="997"/>
      <c r="IN836" s="997"/>
    </row>
    <row r="837" spans="1:248" s="1090" customFormat="1" ht="14.1" customHeight="1">
      <c r="A837" s="1091"/>
      <c r="B837" s="630"/>
      <c r="C837" s="631"/>
      <c r="D837" s="631"/>
      <c r="G837" s="997"/>
      <c r="H837" s="997"/>
      <c r="I837" s="997"/>
      <c r="J837" s="997"/>
      <c r="K837" s="997"/>
      <c r="L837" s="997"/>
      <c r="M837" s="997"/>
      <c r="N837" s="997"/>
      <c r="O837" s="997"/>
      <c r="P837" s="997"/>
      <c r="Q837" s="997"/>
      <c r="R837" s="997"/>
      <c r="S837" s="997"/>
      <c r="T837" s="997"/>
      <c r="U837" s="997"/>
      <c r="V837" s="997"/>
      <c r="W837" s="997"/>
      <c r="X837" s="997"/>
      <c r="Y837" s="997"/>
      <c r="Z837" s="997"/>
      <c r="AA837" s="997"/>
      <c r="AB837" s="997"/>
      <c r="AC837" s="997"/>
      <c r="AD837" s="997"/>
      <c r="AE837" s="997"/>
      <c r="AF837" s="997"/>
      <c r="AG837" s="997"/>
      <c r="AH837" s="997"/>
      <c r="AI837" s="997"/>
      <c r="AJ837" s="997"/>
      <c r="AK837" s="997"/>
      <c r="AL837" s="997"/>
      <c r="AM837" s="997"/>
      <c r="AN837" s="997"/>
      <c r="AO837" s="997"/>
      <c r="AP837" s="997"/>
      <c r="AQ837" s="997"/>
      <c r="AR837" s="997"/>
      <c r="AS837" s="997"/>
      <c r="AT837" s="997"/>
      <c r="AU837" s="997"/>
      <c r="AV837" s="997"/>
      <c r="AW837" s="997"/>
      <c r="AX837" s="997"/>
      <c r="AY837" s="997"/>
      <c r="AZ837" s="997"/>
      <c r="BA837" s="997"/>
      <c r="BB837" s="997"/>
      <c r="BC837" s="997"/>
      <c r="BD837" s="997"/>
      <c r="BE837" s="997"/>
      <c r="BF837" s="997"/>
      <c r="BG837" s="997"/>
      <c r="BH837" s="997"/>
      <c r="BI837" s="997"/>
      <c r="BJ837" s="997"/>
      <c r="BK837" s="997"/>
      <c r="BL837" s="997"/>
      <c r="BM837" s="997"/>
      <c r="BN837" s="997"/>
      <c r="BO837" s="997"/>
      <c r="BP837" s="997"/>
      <c r="BQ837" s="997"/>
      <c r="BR837" s="997"/>
      <c r="BS837" s="997"/>
      <c r="BT837" s="997"/>
      <c r="BU837" s="997"/>
      <c r="BV837" s="997"/>
      <c r="BW837" s="997"/>
      <c r="BX837" s="997"/>
      <c r="BY837" s="997"/>
      <c r="BZ837" s="997"/>
      <c r="CA837" s="997"/>
      <c r="CB837" s="997"/>
      <c r="CC837" s="997"/>
      <c r="CD837" s="997"/>
      <c r="CE837" s="997"/>
      <c r="CF837" s="997"/>
      <c r="CG837" s="997"/>
      <c r="CH837" s="997"/>
      <c r="CI837" s="997"/>
      <c r="CJ837" s="997"/>
      <c r="CK837" s="997"/>
      <c r="CL837" s="997"/>
      <c r="CM837" s="997"/>
      <c r="CN837" s="997"/>
      <c r="CO837" s="997"/>
      <c r="CP837" s="997"/>
      <c r="CQ837" s="997"/>
      <c r="CR837" s="997"/>
      <c r="CS837" s="997"/>
      <c r="CT837" s="997"/>
      <c r="CU837" s="997"/>
      <c r="CV837" s="997"/>
      <c r="CW837" s="997"/>
      <c r="CX837" s="997"/>
      <c r="CY837" s="997"/>
      <c r="CZ837" s="997"/>
      <c r="DA837" s="997"/>
      <c r="DB837" s="997"/>
      <c r="DC837" s="997"/>
      <c r="DD837" s="997"/>
      <c r="DE837" s="997"/>
      <c r="DF837" s="997"/>
      <c r="DG837" s="997"/>
      <c r="DH837" s="997"/>
      <c r="DI837" s="997"/>
      <c r="DJ837" s="997"/>
      <c r="DK837" s="997"/>
      <c r="DL837" s="997"/>
      <c r="DM837" s="997"/>
      <c r="DN837" s="997"/>
      <c r="DO837" s="997"/>
      <c r="DP837" s="997"/>
      <c r="DQ837" s="997"/>
      <c r="DR837" s="997"/>
      <c r="DS837" s="997"/>
      <c r="DT837" s="997"/>
      <c r="DU837" s="997"/>
      <c r="DV837" s="997"/>
      <c r="DW837" s="997"/>
      <c r="DX837" s="997"/>
      <c r="DY837" s="997"/>
      <c r="DZ837" s="997"/>
      <c r="EA837" s="997"/>
      <c r="EB837" s="997"/>
      <c r="EC837" s="997"/>
      <c r="ED837" s="997"/>
      <c r="EE837" s="997"/>
      <c r="EF837" s="997"/>
      <c r="EG837" s="997"/>
      <c r="EH837" s="997"/>
      <c r="EI837" s="997"/>
      <c r="EJ837" s="997"/>
      <c r="EK837" s="997"/>
      <c r="EL837" s="997"/>
      <c r="EM837" s="997"/>
      <c r="EN837" s="997"/>
      <c r="EO837" s="997"/>
      <c r="EP837" s="997"/>
      <c r="EQ837" s="997"/>
      <c r="ER837" s="997"/>
      <c r="ES837" s="997"/>
      <c r="ET837" s="997"/>
      <c r="EU837" s="997"/>
      <c r="EV837" s="997"/>
      <c r="EW837" s="997"/>
      <c r="EX837" s="997"/>
      <c r="EY837" s="997"/>
      <c r="EZ837" s="997"/>
      <c r="FA837" s="997"/>
      <c r="FB837" s="997"/>
      <c r="FC837" s="997"/>
      <c r="FD837" s="997"/>
      <c r="FE837" s="997"/>
      <c r="FF837" s="997"/>
      <c r="FG837" s="997"/>
      <c r="FH837" s="997"/>
      <c r="FI837" s="997"/>
      <c r="FJ837" s="997"/>
      <c r="FK837" s="997"/>
      <c r="FL837" s="997"/>
      <c r="FM837" s="997"/>
      <c r="FN837" s="997"/>
      <c r="FO837" s="997"/>
      <c r="FP837" s="997"/>
      <c r="FQ837" s="997"/>
      <c r="FR837" s="997"/>
      <c r="FS837" s="997"/>
      <c r="FT837" s="997"/>
      <c r="FU837" s="997"/>
      <c r="FV837" s="997"/>
      <c r="FW837" s="997"/>
      <c r="FX837" s="997"/>
      <c r="FY837" s="997"/>
      <c r="FZ837" s="997"/>
      <c r="GA837" s="997"/>
      <c r="GB837" s="997"/>
      <c r="GC837" s="997"/>
      <c r="GD837" s="997"/>
      <c r="GE837" s="997"/>
      <c r="GF837" s="997"/>
      <c r="GG837" s="997"/>
      <c r="GH837" s="997"/>
      <c r="GI837" s="997"/>
      <c r="GJ837" s="997"/>
      <c r="GK837" s="997"/>
      <c r="GL837" s="997"/>
      <c r="GM837" s="997"/>
      <c r="GN837" s="997"/>
      <c r="GO837" s="997"/>
      <c r="GP837" s="997"/>
      <c r="GQ837" s="997"/>
      <c r="GR837" s="997"/>
      <c r="GS837" s="997"/>
      <c r="GT837" s="997"/>
      <c r="GU837" s="997"/>
      <c r="GV837" s="997"/>
      <c r="GW837" s="997"/>
      <c r="GX837" s="997"/>
      <c r="GY837" s="997"/>
      <c r="GZ837" s="997"/>
      <c r="HA837" s="997"/>
      <c r="HB837" s="997"/>
      <c r="HC837" s="997"/>
      <c r="HD837" s="997"/>
      <c r="HE837" s="997"/>
      <c r="HF837" s="997"/>
      <c r="HG837" s="997"/>
      <c r="HH837" s="997"/>
      <c r="HI837" s="997"/>
      <c r="HJ837" s="997"/>
      <c r="HK837" s="997"/>
      <c r="HL837" s="997"/>
      <c r="HM837" s="997"/>
      <c r="HN837" s="997"/>
      <c r="HO837" s="997"/>
      <c r="HP837" s="997"/>
      <c r="HQ837" s="997"/>
      <c r="HR837" s="997"/>
      <c r="HS837" s="997"/>
      <c r="HT837" s="997"/>
      <c r="HU837" s="997"/>
      <c r="HV837" s="997"/>
      <c r="HW837" s="997"/>
      <c r="HX837" s="997"/>
      <c r="HY837" s="997"/>
      <c r="HZ837" s="997"/>
      <c r="IA837" s="997"/>
      <c r="IB837" s="997"/>
      <c r="IC837" s="997"/>
      <c r="ID837" s="997"/>
      <c r="IE837" s="997"/>
      <c r="IF837" s="997"/>
      <c r="IG837" s="997"/>
      <c r="IH837" s="997"/>
      <c r="II837" s="997"/>
      <c r="IJ837" s="997"/>
      <c r="IK837" s="997"/>
      <c r="IL837" s="997"/>
      <c r="IM837" s="997"/>
      <c r="IN837" s="997"/>
    </row>
    <row r="838" spans="1:248" s="1090" customFormat="1" ht="14.1" customHeight="1">
      <c r="A838" s="1091"/>
      <c r="B838" s="945" t="s">
        <v>3775</v>
      </c>
      <c r="C838" s="184" t="s">
        <v>3943</v>
      </c>
      <c r="D838" s="1092"/>
      <c r="G838" s="997"/>
      <c r="H838" s="997"/>
      <c r="I838" s="997"/>
      <c r="J838" s="997"/>
      <c r="K838" s="997"/>
      <c r="L838" s="997"/>
      <c r="M838" s="997"/>
      <c r="N838" s="997"/>
      <c r="O838" s="997"/>
      <c r="P838" s="997"/>
      <c r="Q838" s="997"/>
      <c r="R838" s="997"/>
      <c r="S838" s="997"/>
      <c r="T838" s="997"/>
      <c r="U838" s="997"/>
      <c r="V838" s="997"/>
      <c r="W838" s="997"/>
      <c r="X838" s="997"/>
      <c r="Y838" s="997"/>
      <c r="Z838" s="997"/>
      <c r="AA838" s="997"/>
      <c r="AB838" s="997"/>
      <c r="AC838" s="997"/>
      <c r="AD838" s="997"/>
      <c r="AE838" s="997"/>
      <c r="AF838" s="997"/>
      <c r="AG838" s="997"/>
      <c r="AH838" s="997"/>
      <c r="AI838" s="997"/>
      <c r="AJ838" s="997"/>
      <c r="AK838" s="997"/>
      <c r="AL838" s="997"/>
      <c r="AM838" s="997"/>
      <c r="AN838" s="997"/>
      <c r="AO838" s="997"/>
      <c r="AP838" s="997"/>
      <c r="AQ838" s="997"/>
      <c r="AR838" s="997"/>
      <c r="AS838" s="997"/>
      <c r="AT838" s="997"/>
      <c r="AU838" s="997"/>
      <c r="AV838" s="997"/>
      <c r="AW838" s="997"/>
      <c r="AX838" s="997"/>
      <c r="AY838" s="997"/>
      <c r="AZ838" s="997"/>
      <c r="BA838" s="997"/>
      <c r="BB838" s="997"/>
      <c r="BC838" s="997"/>
      <c r="BD838" s="997"/>
      <c r="BE838" s="997"/>
      <c r="BF838" s="997"/>
      <c r="BG838" s="997"/>
      <c r="BH838" s="997"/>
      <c r="BI838" s="997"/>
      <c r="BJ838" s="997"/>
      <c r="BK838" s="997"/>
      <c r="BL838" s="997"/>
      <c r="BM838" s="997"/>
      <c r="BN838" s="997"/>
      <c r="BO838" s="997"/>
      <c r="BP838" s="997"/>
      <c r="BQ838" s="997"/>
      <c r="BR838" s="997"/>
      <c r="BS838" s="997"/>
      <c r="BT838" s="997"/>
      <c r="BU838" s="997"/>
      <c r="BV838" s="997"/>
      <c r="BW838" s="997"/>
      <c r="BX838" s="997"/>
      <c r="BY838" s="997"/>
      <c r="BZ838" s="997"/>
      <c r="CA838" s="997"/>
      <c r="CB838" s="997"/>
      <c r="CC838" s="997"/>
      <c r="CD838" s="997"/>
      <c r="CE838" s="997"/>
      <c r="CF838" s="997"/>
      <c r="CG838" s="997"/>
      <c r="CH838" s="997"/>
      <c r="CI838" s="997"/>
      <c r="CJ838" s="997"/>
      <c r="CK838" s="997"/>
      <c r="CL838" s="997"/>
      <c r="CM838" s="997"/>
      <c r="CN838" s="997"/>
      <c r="CO838" s="997"/>
      <c r="CP838" s="997"/>
      <c r="CQ838" s="997"/>
      <c r="CR838" s="997"/>
      <c r="CS838" s="997"/>
      <c r="CT838" s="997"/>
      <c r="CU838" s="997"/>
      <c r="CV838" s="997"/>
      <c r="CW838" s="997"/>
      <c r="CX838" s="997"/>
      <c r="CY838" s="997"/>
      <c r="CZ838" s="997"/>
      <c r="DA838" s="997"/>
      <c r="DB838" s="997"/>
      <c r="DC838" s="997"/>
      <c r="DD838" s="997"/>
      <c r="DE838" s="997"/>
      <c r="DF838" s="997"/>
      <c r="DG838" s="997"/>
      <c r="DH838" s="997"/>
      <c r="DI838" s="997"/>
      <c r="DJ838" s="997"/>
      <c r="DK838" s="997"/>
      <c r="DL838" s="997"/>
      <c r="DM838" s="997"/>
      <c r="DN838" s="997"/>
      <c r="DO838" s="997"/>
      <c r="DP838" s="997"/>
      <c r="DQ838" s="997"/>
      <c r="DR838" s="997"/>
      <c r="DS838" s="997"/>
      <c r="DT838" s="997"/>
      <c r="DU838" s="997"/>
      <c r="DV838" s="997"/>
      <c r="DW838" s="997"/>
      <c r="DX838" s="997"/>
      <c r="DY838" s="997"/>
      <c r="DZ838" s="997"/>
      <c r="EA838" s="997"/>
      <c r="EB838" s="997"/>
      <c r="EC838" s="997"/>
      <c r="ED838" s="997"/>
      <c r="EE838" s="997"/>
      <c r="EF838" s="997"/>
      <c r="EG838" s="997"/>
      <c r="EH838" s="997"/>
      <c r="EI838" s="997"/>
      <c r="EJ838" s="997"/>
      <c r="EK838" s="997"/>
      <c r="EL838" s="997"/>
      <c r="EM838" s="997"/>
      <c r="EN838" s="997"/>
      <c r="EO838" s="997"/>
      <c r="EP838" s="997"/>
      <c r="EQ838" s="997"/>
      <c r="ER838" s="997"/>
      <c r="ES838" s="997"/>
      <c r="ET838" s="997"/>
      <c r="EU838" s="997"/>
      <c r="EV838" s="997"/>
      <c r="EW838" s="997"/>
      <c r="EX838" s="997"/>
      <c r="EY838" s="997"/>
      <c r="EZ838" s="997"/>
      <c r="FA838" s="997"/>
      <c r="FB838" s="997"/>
      <c r="FC838" s="997"/>
      <c r="FD838" s="997"/>
      <c r="FE838" s="997"/>
      <c r="FF838" s="997"/>
      <c r="FG838" s="997"/>
      <c r="FH838" s="997"/>
      <c r="FI838" s="997"/>
      <c r="FJ838" s="997"/>
      <c r="FK838" s="997"/>
      <c r="FL838" s="997"/>
      <c r="FM838" s="997"/>
      <c r="FN838" s="997"/>
      <c r="FO838" s="997"/>
      <c r="FP838" s="997"/>
      <c r="FQ838" s="997"/>
      <c r="FR838" s="997"/>
      <c r="FS838" s="997"/>
      <c r="FT838" s="997"/>
      <c r="FU838" s="997"/>
      <c r="FV838" s="997"/>
      <c r="FW838" s="997"/>
      <c r="FX838" s="997"/>
      <c r="FY838" s="997"/>
      <c r="FZ838" s="997"/>
      <c r="GA838" s="997"/>
      <c r="GB838" s="997"/>
      <c r="GC838" s="997"/>
      <c r="GD838" s="997"/>
      <c r="GE838" s="997"/>
      <c r="GF838" s="997"/>
      <c r="GG838" s="997"/>
      <c r="GH838" s="997"/>
      <c r="GI838" s="997"/>
      <c r="GJ838" s="997"/>
      <c r="GK838" s="997"/>
      <c r="GL838" s="997"/>
      <c r="GM838" s="997"/>
      <c r="GN838" s="997"/>
      <c r="GO838" s="997"/>
      <c r="GP838" s="997"/>
      <c r="GQ838" s="997"/>
      <c r="GR838" s="997"/>
      <c r="GS838" s="997"/>
      <c r="GT838" s="997"/>
      <c r="GU838" s="997"/>
      <c r="GV838" s="997"/>
      <c r="GW838" s="997"/>
      <c r="GX838" s="997"/>
      <c r="GY838" s="997"/>
      <c r="GZ838" s="997"/>
      <c r="HA838" s="997"/>
      <c r="HB838" s="997"/>
      <c r="HC838" s="997"/>
      <c r="HD838" s="997"/>
      <c r="HE838" s="997"/>
      <c r="HF838" s="997"/>
      <c r="HG838" s="997"/>
      <c r="HH838" s="997"/>
      <c r="HI838" s="997"/>
      <c r="HJ838" s="997"/>
      <c r="HK838" s="997"/>
      <c r="HL838" s="997"/>
      <c r="HM838" s="997"/>
      <c r="HN838" s="997"/>
      <c r="HO838" s="997"/>
      <c r="HP838" s="997"/>
      <c r="HQ838" s="997"/>
      <c r="HR838" s="997"/>
      <c r="HS838" s="997"/>
      <c r="HT838" s="997"/>
      <c r="HU838" s="997"/>
      <c r="HV838" s="997"/>
      <c r="HW838" s="997"/>
      <c r="HX838" s="997"/>
      <c r="HY838" s="997"/>
      <c r="HZ838" s="997"/>
      <c r="IA838" s="997"/>
      <c r="IB838" s="997"/>
      <c r="IC838" s="997"/>
      <c r="ID838" s="997"/>
      <c r="IE838" s="997"/>
      <c r="IF838" s="997"/>
      <c r="IG838" s="997"/>
      <c r="IH838" s="997"/>
      <c r="II838" s="997"/>
      <c r="IJ838" s="997"/>
      <c r="IK838" s="997"/>
      <c r="IL838" s="997"/>
      <c r="IM838" s="997"/>
      <c r="IN838" s="997"/>
    </row>
    <row r="839" spans="1:248" s="1090" customFormat="1" ht="14.1" customHeight="1">
      <c r="A839" s="1091"/>
      <c r="B839" s="723"/>
      <c r="C839" s="184" t="s">
        <v>3944</v>
      </c>
      <c r="D839" s="1092"/>
      <c r="G839" s="997"/>
      <c r="H839" s="997"/>
      <c r="I839" s="997"/>
      <c r="J839" s="997"/>
      <c r="K839" s="997"/>
      <c r="L839" s="997"/>
      <c r="M839" s="997"/>
      <c r="N839" s="997"/>
      <c r="O839" s="997"/>
      <c r="P839" s="997"/>
      <c r="Q839" s="997"/>
      <c r="R839" s="997"/>
      <c r="S839" s="997"/>
      <c r="T839" s="997"/>
      <c r="U839" s="997"/>
      <c r="V839" s="997"/>
      <c r="W839" s="997"/>
      <c r="X839" s="997"/>
      <c r="Y839" s="997"/>
      <c r="Z839" s="997"/>
      <c r="AA839" s="997"/>
      <c r="AB839" s="997"/>
      <c r="AC839" s="997"/>
      <c r="AD839" s="997"/>
      <c r="AE839" s="997"/>
      <c r="AF839" s="997"/>
      <c r="AG839" s="997"/>
      <c r="AH839" s="997"/>
      <c r="AI839" s="997"/>
      <c r="AJ839" s="997"/>
      <c r="AK839" s="997"/>
      <c r="AL839" s="997"/>
      <c r="AM839" s="997"/>
      <c r="AN839" s="997"/>
      <c r="AO839" s="997"/>
      <c r="AP839" s="997"/>
      <c r="AQ839" s="997"/>
      <c r="AR839" s="997"/>
      <c r="AS839" s="997"/>
      <c r="AT839" s="997"/>
      <c r="AU839" s="997"/>
      <c r="AV839" s="997"/>
      <c r="AW839" s="997"/>
      <c r="AX839" s="997"/>
      <c r="AY839" s="997"/>
      <c r="AZ839" s="997"/>
      <c r="BA839" s="997"/>
      <c r="BB839" s="997"/>
      <c r="BC839" s="997"/>
      <c r="BD839" s="997"/>
      <c r="BE839" s="997"/>
      <c r="BF839" s="997"/>
      <c r="BG839" s="997"/>
      <c r="BH839" s="997"/>
      <c r="BI839" s="997"/>
      <c r="BJ839" s="997"/>
      <c r="BK839" s="997"/>
      <c r="BL839" s="997"/>
      <c r="BM839" s="997"/>
      <c r="BN839" s="997"/>
      <c r="BO839" s="997"/>
      <c r="BP839" s="997"/>
      <c r="BQ839" s="997"/>
      <c r="BR839" s="997"/>
      <c r="BS839" s="997"/>
      <c r="BT839" s="997"/>
      <c r="BU839" s="997"/>
      <c r="BV839" s="997"/>
      <c r="BW839" s="997"/>
      <c r="BX839" s="997"/>
      <c r="BY839" s="997"/>
      <c r="BZ839" s="997"/>
      <c r="CA839" s="997"/>
      <c r="CB839" s="997"/>
      <c r="CC839" s="997"/>
      <c r="CD839" s="997"/>
      <c r="CE839" s="997"/>
      <c r="CF839" s="997"/>
      <c r="CG839" s="997"/>
      <c r="CH839" s="997"/>
      <c r="CI839" s="997"/>
      <c r="CJ839" s="997"/>
      <c r="CK839" s="997"/>
      <c r="CL839" s="997"/>
      <c r="CM839" s="997"/>
      <c r="CN839" s="997"/>
      <c r="CO839" s="997"/>
      <c r="CP839" s="997"/>
      <c r="CQ839" s="997"/>
      <c r="CR839" s="997"/>
      <c r="CS839" s="997"/>
      <c r="CT839" s="997"/>
      <c r="CU839" s="997"/>
      <c r="CV839" s="997"/>
      <c r="CW839" s="997"/>
      <c r="CX839" s="997"/>
      <c r="CY839" s="997"/>
      <c r="CZ839" s="997"/>
      <c r="DA839" s="997"/>
      <c r="DB839" s="997"/>
      <c r="DC839" s="997"/>
      <c r="DD839" s="997"/>
      <c r="DE839" s="997"/>
      <c r="DF839" s="997"/>
      <c r="DG839" s="997"/>
      <c r="DH839" s="997"/>
      <c r="DI839" s="997"/>
      <c r="DJ839" s="997"/>
      <c r="DK839" s="997"/>
      <c r="DL839" s="997"/>
      <c r="DM839" s="997"/>
      <c r="DN839" s="997"/>
      <c r="DO839" s="997"/>
      <c r="DP839" s="997"/>
      <c r="DQ839" s="997"/>
      <c r="DR839" s="997"/>
      <c r="DS839" s="997"/>
      <c r="DT839" s="997"/>
      <c r="DU839" s="997"/>
      <c r="DV839" s="997"/>
      <c r="DW839" s="997"/>
      <c r="DX839" s="997"/>
      <c r="DY839" s="997"/>
      <c r="DZ839" s="997"/>
      <c r="EA839" s="997"/>
      <c r="EB839" s="997"/>
      <c r="EC839" s="997"/>
      <c r="ED839" s="997"/>
      <c r="EE839" s="997"/>
      <c r="EF839" s="997"/>
      <c r="EG839" s="997"/>
      <c r="EH839" s="997"/>
      <c r="EI839" s="997"/>
      <c r="EJ839" s="997"/>
      <c r="EK839" s="997"/>
      <c r="EL839" s="997"/>
      <c r="EM839" s="997"/>
      <c r="EN839" s="997"/>
      <c r="EO839" s="997"/>
      <c r="EP839" s="997"/>
      <c r="EQ839" s="997"/>
      <c r="ER839" s="997"/>
      <c r="ES839" s="997"/>
      <c r="ET839" s="997"/>
      <c r="EU839" s="997"/>
      <c r="EV839" s="997"/>
      <c r="EW839" s="997"/>
      <c r="EX839" s="997"/>
      <c r="EY839" s="997"/>
      <c r="EZ839" s="997"/>
      <c r="FA839" s="997"/>
      <c r="FB839" s="997"/>
      <c r="FC839" s="997"/>
      <c r="FD839" s="997"/>
      <c r="FE839" s="997"/>
      <c r="FF839" s="997"/>
      <c r="FG839" s="997"/>
      <c r="FH839" s="997"/>
      <c r="FI839" s="997"/>
      <c r="FJ839" s="997"/>
      <c r="FK839" s="997"/>
      <c r="FL839" s="997"/>
      <c r="FM839" s="997"/>
      <c r="FN839" s="997"/>
      <c r="FO839" s="997"/>
      <c r="FP839" s="997"/>
      <c r="FQ839" s="997"/>
      <c r="FR839" s="997"/>
      <c r="FS839" s="997"/>
      <c r="FT839" s="997"/>
      <c r="FU839" s="997"/>
      <c r="FV839" s="997"/>
      <c r="FW839" s="997"/>
      <c r="FX839" s="997"/>
      <c r="FY839" s="997"/>
      <c r="FZ839" s="997"/>
      <c r="GA839" s="997"/>
      <c r="GB839" s="997"/>
      <c r="GC839" s="997"/>
      <c r="GD839" s="997"/>
      <c r="GE839" s="997"/>
      <c r="GF839" s="997"/>
      <c r="GG839" s="997"/>
      <c r="GH839" s="997"/>
      <c r="GI839" s="997"/>
      <c r="GJ839" s="997"/>
      <c r="GK839" s="997"/>
      <c r="GL839" s="997"/>
      <c r="GM839" s="997"/>
      <c r="GN839" s="997"/>
      <c r="GO839" s="997"/>
      <c r="GP839" s="997"/>
      <c r="GQ839" s="997"/>
      <c r="GR839" s="997"/>
      <c r="GS839" s="997"/>
      <c r="GT839" s="997"/>
      <c r="GU839" s="997"/>
      <c r="GV839" s="997"/>
      <c r="GW839" s="997"/>
      <c r="GX839" s="997"/>
      <c r="GY839" s="997"/>
      <c r="GZ839" s="997"/>
      <c r="HA839" s="997"/>
      <c r="HB839" s="997"/>
      <c r="HC839" s="997"/>
      <c r="HD839" s="997"/>
      <c r="HE839" s="997"/>
      <c r="HF839" s="997"/>
      <c r="HG839" s="997"/>
      <c r="HH839" s="997"/>
      <c r="HI839" s="997"/>
      <c r="HJ839" s="997"/>
      <c r="HK839" s="997"/>
      <c r="HL839" s="997"/>
      <c r="HM839" s="997"/>
      <c r="HN839" s="997"/>
      <c r="HO839" s="997"/>
      <c r="HP839" s="997"/>
      <c r="HQ839" s="997"/>
      <c r="HR839" s="997"/>
      <c r="HS839" s="997"/>
      <c r="HT839" s="997"/>
      <c r="HU839" s="997"/>
      <c r="HV839" s="997"/>
      <c r="HW839" s="997"/>
      <c r="HX839" s="997"/>
      <c r="HY839" s="997"/>
      <c r="HZ839" s="997"/>
      <c r="IA839" s="997"/>
      <c r="IB839" s="997"/>
      <c r="IC839" s="997"/>
      <c r="ID839" s="997"/>
      <c r="IE839" s="997"/>
      <c r="IF839" s="997"/>
      <c r="IG839" s="997"/>
      <c r="IH839" s="997"/>
      <c r="II839" s="997"/>
      <c r="IJ839" s="997"/>
      <c r="IK839" s="997"/>
      <c r="IL839" s="997"/>
      <c r="IM839" s="997"/>
      <c r="IN839" s="997"/>
    </row>
    <row r="840" spans="1:248" s="1090" customFormat="1" ht="14.1" customHeight="1">
      <c r="A840" s="1091"/>
      <c r="B840" s="630"/>
      <c r="C840" s="631"/>
      <c r="D840" s="631"/>
      <c r="G840" s="997"/>
      <c r="H840" s="997"/>
      <c r="I840" s="997"/>
      <c r="J840" s="997"/>
      <c r="K840" s="997"/>
      <c r="L840" s="997"/>
      <c r="M840" s="997"/>
      <c r="N840" s="997"/>
      <c r="O840" s="997"/>
      <c r="P840" s="997"/>
      <c r="Q840" s="997"/>
      <c r="R840" s="997"/>
      <c r="S840" s="997"/>
      <c r="T840" s="997"/>
      <c r="U840" s="997"/>
      <c r="V840" s="997"/>
      <c r="W840" s="997"/>
      <c r="X840" s="997"/>
      <c r="Y840" s="997"/>
      <c r="Z840" s="997"/>
      <c r="AA840" s="997"/>
      <c r="AB840" s="997"/>
      <c r="AC840" s="997"/>
      <c r="AD840" s="997"/>
      <c r="AE840" s="997"/>
      <c r="AF840" s="997"/>
      <c r="AG840" s="997"/>
      <c r="AH840" s="997"/>
      <c r="AI840" s="997"/>
      <c r="AJ840" s="997"/>
      <c r="AK840" s="997"/>
      <c r="AL840" s="997"/>
      <c r="AM840" s="997"/>
      <c r="AN840" s="997"/>
      <c r="AO840" s="997"/>
      <c r="AP840" s="997"/>
      <c r="AQ840" s="997"/>
      <c r="AR840" s="997"/>
      <c r="AS840" s="997"/>
      <c r="AT840" s="997"/>
      <c r="AU840" s="997"/>
      <c r="AV840" s="997"/>
      <c r="AW840" s="997"/>
      <c r="AX840" s="997"/>
      <c r="AY840" s="997"/>
      <c r="AZ840" s="997"/>
      <c r="BA840" s="997"/>
      <c r="BB840" s="997"/>
      <c r="BC840" s="997"/>
      <c r="BD840" s="997"/>
      <c r="BE840" s="997"/>
      <c r="BF840" s="997"/>
      <c r="BG840" s="997"/>
      <c r="BH840" s="997"/>
      <c r="BI840" s="997"/>
      <c r="BJ840" s="997"/>
      <c r="BK840" s="997"/>
      <c r="BL840" s="997"/>
      <c r="BM840" s="997"/>
      <c r="BN840" s="997"/>
      <c r="BO840" s="997"/>
      <c r="BP840" s="997"/>
      <c r="BQ840" s="997"/>
      <c r="BR840" s="997"/>
      <c r="BS840" s="997"/>
      <c r="BT840" s="997"/>
      <c r="BU840" s="997"/>
      <c r="BV840" s="997"/>
      <c r="BW840" s="997"/>
      <c r="BX840" s="997"/>
      <c r="BY840" s="997"/>
      <c r="BZ840" s="997"/>
      <c r="CA840" s="997"/>
      <c r="CB840" s="997"/>
      <c r="CC840" s="997"/>
      <c r="CD840" s="997"/>
      <c r="CE840" s="997"/>
      <c r="CF840" s="997"/>
      <c r="CG840" s="997"/>
      <c r="CH840" s="997"/>
      <c r="CI840" s="997"/>
      <c r="CJ840" s="997"/>
      <c r="CK840" s="997"/>
      <c r="CL840" s="997"/>
      <c r="CM840" s="997"/>
      <c r="CN840" s="997"/>
      <c r="CO840" s="997"/>
      <c r="CP840" s="997"/>
      <c r="CQ840" s="997"/>
      <c r="CR840" s="997"/>
      <c r="CS840" s="997"/>
      <c r="CT840" s="997"/>
      <c r="CU840" s="997"/>
      <c r="CV840" s="997"/>
      <c r="CW840" s="997"/>
      <c r="CX840" s="997"/>
      <c r="CY840" s="997"/>
      <c r="CZ840" s="997"/>
      <c r="DA840" s="997"/>
      <c r="DB840" s="997"/>
      <c r="DC840" s="997"/>
      <c r="DD840" s="997"/>
      <c r="DE840" s="997"/>
      <c r="DF840" s="997"/>
      <c r="DG840" s="997"/>
      <c r="DH840" s="997"/>
      <c r="DI840" s="997"/>
      <c r="DJ840" s="997"/>
      <c r="DK840" s="997"/>
      <c r="DL840" s="997"/>
      <c r="DM840" s="997"/>
      <c r="DN840" s="997"/>
      <c r="DO840" s="997"/>
      <c r="DP840" s="997"/>
      <c r="DQ840" s="997"/>
      <c r="DR840" s="997"/>
      <c r="DS840" s="997"/>
      <c r="DT840" s="997"/>
      <c r="DU840" s="997"/>
      <c r="DV840" s="997"/>
      <c r="DW840" s="997"/>
      <c r="DX840" s="997"/>
      <c r="DY840" s="997"/>
      <c r="DZ840" s="997"/>
      <c r="EA840" s="997"/>
      <c r="EB840" s="997"/>
      <c r="EC840" s="997"/>
      <c r="ED840" s="997"/>
      <c r="EE840" s="997"/>
      <c r="EF840" s="997"/>
      <c r="EG840" s="997"/>
      <c r="EH840" s="997"/>
      <c r="EI840" s="997"/>
      <c r="EJ840" s="997"/>
      <c r="EK840" s="997"/>
      <c r="EL840" s="997"/>
      <c r="EM840" s="997"/>
      <c r="EN840" s="997"/>
      <c r="EO840" s="997"/>
      <c r="EP840" s="997"/>
      <c r="EQ840" s="997"/>
      <c r="ER840" s="997"/>
      <c r="ES840" s="997"/>
      <c r="ET840" s="997"/>
      <c r="EU840" s="997"/>
      <c r="EV840" s="997"/>
      <c r="EW840" s="997"/>
      <c r="EX840" s="997"/>
      <c r="EY840" s="997"/>
      <c r="EZ840" s="997"/>
      <c r="FA840" s="997"/>
      <c r="FB840" s="997"/>
      <c r="FC840" s="997"/>
      <c r="FD840" s="997"/>
      <c r="FE840" s="997"/>
      <c r="FF840" s="997"/>
      <c r="FG840" s="997"/>
      <c r="FH840" s="997"/>
      <c r="FI840" s="997"/>
      <c r="FJ840" s="997"/>
      <c r="FK840" s="997"/>
      <c r="FL840" s="997"/>
      <c r="FM840" s="997"/>
      <c r="FN840" s="997"/>
      <c r="FO840" s="997"/>
      <c r="FP840" s="997"/>
      <c r="FQ840" s="997"/>
      <c r="FR840" s="997"/>
      <c r="FS840" s="997"/>
      <c r="FT840" s="997"/>
      <c r="FU840" s="997"/>
      <c r="FV840" s="997"/>
      <c r="FW840" s="997"/>
      <c r="FX840" s="997"/>
      <c r="FY840" s="997"/>
      <c r="FZ840" s="997"/>
      <c r="GA840" s="997"/>
      <c r="GB840" s="997"/>
      <c r="GC840" s="997"/>
      <c r="GD840" s="997"/>
      <c r="GE840" s="997"/>
      <c r="GF840" s="997"/>
      <c r="GG840" s="997"/>
      <c r="GH840" s="997"/>
      <c r="GI840" s="997"/>
      <c r="GJ840" s="997"/>
      <c r="GK840" s="997"/>
      <c r="GL840" s="997"/>
      <c r="GM840" s="997"/>
      <c r="GN840" s="997"/>
      <c r="GO840" s="997"/>
      <c r="GP840" s="997"/>
      <c r="GQ840" s="997"/>
      <c r="GR840" s="997"/>
      <c r="GS840" s="997"/>
      <c r="GT840" s="997"/>
      <c r="GU840" s="997"/>
      <c r="GV840" s="997"/>
      <c r="GW840" s="997"/>
      <c r="GX840" s="997"/>
      <c r="GY840" s="997"/>
      <c r="GZ840" s="997"/>
      <c r="HA840" s="997"/>
      <c r="HB840" s="997"/>
      <c r="HC840" s="997"/>
      <c r="HD840" s="997"/>
      <c r="HE840" s="997"/>
      <c r="HF840" s="997"/>
      <c r="HG840" s="997"/>
      <c r="HH840" s="997"/>
      <c r="HI840" s="997"/>
      <c r="HJ840" s="997"/>
      <c r="HK840" s="997"/>
      <c r="HL840" s="997"/>
      <c r="HM840" s="997"/>
      <c r="HN840" s="997"/>
      <c r="HO840" s="997"/>
      <c r="HP840" s="997"/>
      <c r="HQ840" s="997"/>
      <c r="HR840" s="997"/>
      <c r="HS840" s="997"/>
      <c r="HT840" s="997"/>
      <c r="HU840" s="997"/>
      <c r="HV840" s="997"/>
      <c r="HW840" s="997"/>
      <c r="HX840" s="997"/>
      <c r="HY840" s="997"/>
      <c r="HZ840" s="997"/>
      <c r="IA840" s="997"/>
      <c r="IB840" s="997"/>
      <c r="IC840" s="997"/>
      <c r="ID840" s="997"/>
      <c r="IE840" s="997"/>
      <c r="IF840" s="997"/>
      <c r="IG840" s="997"/>
      <c r="IH840" s="997"/>
      <c r="II840" s="997"/>
      <c r="IJ840" s="997"/>
      <c r="IK840" s="997"/>
      <c r="IL840" s="997"/>
      <c r="IM840" s="997"/>
      <c r="IN840" s="997"/>
    </row>
    <row r="841" spans="1:248" s="1090" customFormat="1" ht="14.1" customHeight="1">
      <c r="A841" s="1091"/>
      <c r="B841" s="945" t="s">
        <v>3945</v>
      </c>
      <c r="C841" s="184" t="s">
        <v>3946</v>
      </c>
      <c r="D841" s="1092"/>
      <c r="G841" s="997"/>
      <c r="H841" s="997"/>
      <c r="I841" s="997"/>
      <c r="J841" s="997"/>
      <c r="K841" s="997"/>
      <c r="L841" s="997"/>
      <c r="M841" s="997"/>
      <c r="N841" s="997"/>
      <c r="O841" s="997"/>
      <c r="P841" s="997"/>
      <c r="Q841" s="997"/>
      <c r="R841" s="997"/>
      <c r="S841" s="997"/>
      <c r="T841" s="997"/>
      <c r="U841" s="997"/>
      <c r="V841" s="997"/>
      <c r="W841" s="997"/>
      <c r="X841" s="997"/>
      <c r="Y841" s="997"/>
      <c r="Z841" s="997"/>
      <c r="AA841" s="997"/>
      <c r="AB841" s="997"/>
      <c r="AC841" s="997"/>
      <c r="AD841" s="997"/>
      <c r="AE841" s="997"/>
      <c r="AF841" s="997"/>
      <c r="AG841" s="997"/>
      <c r="AH841" s="997"/>
      <c r="AI841" s="997"/>
      <c r="AJ841" s="997"/>
      <c r="AK841" s="997"/>
      <c r="AL841" s="997"/>
      <c r="AM841" s="997"/>
      <c r="AN841" s="997"/>
      <c r="AO841" s="997"/>
      <c r="AP841" s="997"/>
      <c r="AQ841" s="997"/>
      <c r="AR841" s="997"/>
      <c r="AS841" s="997"/>
      <c r="AT841" s="997"/>
      <c r="AU841" s="997"/>
      <c r="AV841" s="997"/>
      <c r="AW841" s="997"/>
      <c r="AX841" s="997"/>
      <c r="AY841" s="997"/>
      <c r="AZ841" s="997"/>
      <c r="BA841" s="997"/>
      <c r="BB841" s="997"/>
      <c r="BC841" s="997"/>
      <c r="BD841" s="997"/>
      <c r="BE841" s="997"/>
      <c r="BF841" s="997"/>
      <c r="BG841" s="997"/>
      <c r="BH841" s="997"/>
      <c r="BI841" s="997"/>
      <c r="BJ841" s="997"/>
      <c r="BK841" s="997"/>
      <c r="BL841" s="997"/>
      <c r="BM841" s="997"/>
      <c r="BN841" s="997"/>
      <c r="BO841" s="997"/>
      <c r="BP841" s="997"/>
      <c r="BQ841" s="997"/>
      <c r="BR841" s="997"/>
      <c r="BS841" s="997"/>
      <c r="BT841" s="997"/>
      <c r="BU841" s="997"/>
      <c r="BV841" s="997"/>
      <c r="BW841" s="997"/>
      <c r="BX841" s="997"/>
      <c r="BY841" s="997"/>
      <c r="BZ841" s="997"/>
      <c r="CA841" s="997"/>
      <c r="CB841" s="997"/>
      <c r="CC841" s="997"/>
      <c r="CD841" s="997"/>
      <c r="CE841" s="997"/>
      <c r="CF841" s="997"/>
      <c r="CG841" s="997"/>
      <c r="CH841" s="997"/>
      <c r="CI841" s="997"/>
      <c r="CJ841" s="997"/>
      <c r="CK841" s="997"/>
      <c r="CL841" s="997"/>
      <c r="CM841" s="997"/>
      <c r="CN841" s="997"/>
      <c r="CO841" s="997"/>
      <c r="CP841" s="997"/>
      <c r="CQ841" s="997"/>
      <c r="CR841" s="997"/>
      <c r="CS841" s="997"/>
      <c r="CT841" s="997"/>
      <c r="CU841" s="997"/>
      <c r="CV841" s="997"/>
      <c r="CW841" s="997"/>
      <c r="CX841" s="997"/>
      <c r="CY841" s="997"/>
      <c r="CZ841" s="997"/>
      <c r="DA841" s="997"/>
      <c r="DB841" s="997"/>
      <c r="DC841" s="997"/>
      <c r="DD841" s="997"/>
      <c r="DE841" s="997"/>
      <c r="DF841" s="997"/>
      <c r="DG841" s="997"/>
      <c r="DH841" s="997"/>
      <c r="DI841" s="997"/>
      <c r="DJ841" s="997"/>
      <c r="DK841" s="997"/>
      <c r="DL841" s="997"/>
      <c r="DM841" s="997"/>
      <c r="DN841" s="997"/>
      <c r="DO841" s="997"/>
      <c r="DP841" s="997"/>
      <c r="DQ841" s="997"/>
      <c r="DR841" s="997"/>
      <c r="DS841" s="997"/>
      <c r="DT841" s="997"/>
      <c r="DU841" s="997"/>
      <c r="DV841" s="997"/>
      <c r="DW841" s="997"/>
      <c r="DX841" s="997"/>
      <c r="DY841" s="997"/>
      <c r="DZ841" s="997"/>
      <c r="EA841" s="997"/>
      <c r="EB841" s="997"/>
      <c r="EC841" s="997"/>
      <c r="ED841" s="997"/>
      <c r="EE841" s="997"/>
      <c r="EF841" s="997"/>
      <c r="EG841" s="997"/>
      <c r="EH841" s="997"/>
      <c r="EI841" s="997"/>
      <c r="EJ841" s="997"/>
      <c r="EK841" s="997"/>
      <c r="EL841" s="997"/>
      <c r="EM841" s="997"/>
      <c r="EN841" s="997"/>
      <c r="EO841" s="997"/>
      <c r="EP841" s="997"/>
      <c r="EQ841" s="997"/>
      <c r="ER841" s="997"/>
      <c r="ES841" s="997"/>
      <c r="ET841" s="997"/>
      <c r="EU841" s="997"/>
      <c r="EV841" s="997"/>
      <c r="EW841" s="997"/>
      <c r="EX841" s="997"/>
      <c r="EY841" s="997"/>
      <c r="EZ841" s="997"/>
      <c r="FA841" s="997"/>
      <c r="FB841" s="997"/>
      <c r="FC841" s="997"/>
      <c r="FD841" s="997"/>
      <c r="FE841" s="997"/>
      <c r="FF841" s="997"/>
      <c r="FG841" s="997"/>
      <c r="FH841" s="997"/>
      <c r="FI841" s="997"/>
      <c r="FJ841" s="997"/>
      <c r="FK841" s="997"/>
      <c r="FL841" s="997"/>
      <c r="FM841" s="997"/>
      <c r="FN841" s="997"/>
      <c r="FO841" s="997"/>
      <c r="FP841" s="997"/>
      <c r="FQ841" s="997"/>
      <c r="FR841" s="997"/>
      <c r="FS841" s="997"/>
      <c r="FT841" s="997"/>
      <c r="FU841" s="997"/>
      <c r="FV841" s="997"/>
      <c r="FW841" s="997"/>
      <c r="FX841" s="997"/>
      <c r="FY841" s="997"/>
      <c r="FZ841" s="997"/>
      <c r="GA841" s="997"/>
      <c r="GB841" s="997"/>
      <c r="GC841" s="997"/>
      <c r="GD841" s="997"/>
      <c r="GE841" s="997"/>
      <c r="GF841" s="997"/>
      <c r="GG841" s="997"/>
      <c r="GH841" s="997"/>
      <c r="GI841" s="997"/>
      <c r="GJ841" s="997"/>
      <c r="GK841" s="997"/>
      <c r="GL841" s="997"/>
      <c r="GM841" s="997"/>
      <c r="GN841" s="997"/>
      <c r="GO841" s="997"/>
      <c r="GP841" s="997"/>
      <c r="GQ841" s="997"/>
      <c r="GR841" s="997"/>
      <c r="GS841" s="997"/>
      <c r="GT841" s="997"/>
      <c r="GU841" s="997"/>
      <c r="GV841" s="997"/>
      <c r="GW841" s="997"/>
      <c r="GX841" s="997"/>
      <c r="GY841" s="997"/>
      <c r="GZ841" s="997"/>
      <c r="HA841" s="997"/>
      <c r="HB841" s="997"/>
      <c r="HC841" s="997"/>
      <c r="HD841" s="997"/>
      <c r="HE841" s="997"/>
      <c r="HF841" s="997"/>
      <c r="HG841" s="997"/>
      <c r="HH841" s="997"/>
      <c r="HI841" s="997"/>
      <c r="HJ841" s="997"/>
      <c r="HK841" s="997"/>
      <c r="HL841" s="997"/>
      <c r="HM841" s="997"/>
      <c r="HN841" s="997"/>
      <c r="HO841" s="997"/>
      <c r="HP841" s="997"/>
      <c r="HQ841" s="997"/>
      <c r="HR841" s="997"/>
      <c r="HS841" s="997"/>
      <c r="HT841" s="997"/>
      <c r="HU841" s="997"/>
      <c r="HV841" s="997"/>
      <c r="HW841" s="997"/>
      <c r="HX841" s="997"/>
      <c r="HY841" s="997"/>
      <c r="HZ841" s="997"/>
      <c r="IA841" s="997"/>
      <c r="IB841" s="997"/>
      <c r="IC841" s="997"/>
      <c r="ID841" s="997"/>
      <c r="IE841" s="997"/>
      <c r="IF841" s="997"/>
      <c r="IG841" s="997"/>
      <c r="IH841" s="997"/>
      <c r="II841" s="997"/>
      <c r="IJ841" s="997"/>
      <c r="IK841" s="997"/>
      <c r="IL841" s="997"/>
      <c r="IM841" s="997"/>
      <c r="IN841" s="997"/>
    </row>
    <row r="842" spans="1:248" s="1090" customFormat="1" ht="14.1" customHeight="1">
      <c r="A842" s="1091"/>
      <c r="B842" s="723"/>
      <c r="C842" s="184" t="s">
        <v>3947</v>
      </c>
      <c r="D842" s="1092"/>
      <c r="G842" s="997"/>
      <c r="H842" s="997"/>
      <c r="I842" s="997"/>
      <c r="J842" s="997"/>
      <c r="K842" s="997"/>
      <c r="L842" s="997"/>
      <c r="M842" s="997"/>
      <c r="N842" s="997"/>
      <c r="O842" s="997"/>
      <c r="P842" s="997"/>
      <c r="Q842" s="997"/>
      <c r="R842" s="997"/>
      <c r="S842" s="997"/>
      <c r="T842" s="997"/>
      <c r="U842" s="997"/>
      <c r="V842" s="997"/>
      <c r="W842" s="997"/>
      <c r="X842" s="997"/>
      <c r="Y842" s="997"/>
      <c r="Z842" s="997"/>
      <c r="AA842" s="997"/>
      <c r="AB842" s="997"/>
      <c r="AC842" s="997"/>
      <c r="AD842" s="997"/>
      <c r="AE842" s="997"/>
      <c r="AF842" s="997"/>
      <c r="AG842" s="997"/>
      <c r="AH842" s="997"/>
      <c r="AI842" s="997"/>
      <c r="AJ842" s="997"/>
      <c r="AK842" s="997"/>
      <c r="AL842" s="997"/>
      <c r="AM842" s="997"/>
      <c r="AN842" s="997"/>
      <c r="AO842" s="997"/>
      <c r="AP842" s="997"/>
      <c r="AQ842" s="997"/>
      <c r="AR842" s="997"/>
      <c r="AS842" s="997"/>
      <c r="AT842" s="997"/>
      <c r="AU842" s="997"/>
      <c r="AV842" s="997"/>
      <c r="AW842" s="997"/>
      <c r="AX842" s="997"/>
      <c r="AY842" s="997"/>
      <c r="AZ842" s="997"/>
      <c r="BA842" s="997"/>
      <c r="BB842" s="997"/>
      <c r="BC842" s="997"/>
      <c r="BD842" s="997"/>
      <c r="BE842" s="997"/>
      <c r="BF842" s="997"/>
      <c r="BG842" s="997"/>
      <c r="BH842" s="997"/>
      <c r="BI842" s="997"/>
      <c r="BJ842" s="997"/>
      <c r="BK842" s="997"/>
      <c r="BL842" s="997"/>
      <c r="BM842" s="997"/>
      <c r="BN842" s="997"/>
      <c r="BO842" s="997"/>
      <c r="BP842" s="997"/>
      <c r="BQ842" s="997"/>
      <c r="BR842" s="997"/>
      <c r="BS842" s="997"/>
      <c r="BT842" s="997"/>
      <c r="BU842" s="997"/>
      <c r="BV842" s="997"/>
      <c r="BW842" s="997"/>
      <c r="BX842" s="997"/>
      <c r="BY842" s="997"/>
      <c r="BZ842" s="997"/>
      <c r="CA842" s="997"/>
      <c r="CB842" s="997"/>
      <c r="CC842" s="997"/>
      <c r="CD842" s="997"/>
      <c r="CE842" s="997"/>
      <c r="CF842" s="997"/>
      <c r="CG842" s="997"/>
      <c r="CH842" s="997"/>
      <c r="CI842" s="997"/>
      <c r="CJ842" s="997"/>
      <c r="CK842" s="997"/>
      <c r="CL842" s="997"/>
      <c r="CM842" s="997"/>
      <c r="CN842" s="997"/>
      <c r="CO842" s="997"/>
      <c r="CP842" s="997"/>
      <c r="CQ842" s="997"/>
      <c r="CR842" s="997"/>
      <c r="CS842" s="997"/>
      <c r="CT842" s="997"/>
      <c r="CU842" s="997"/>
      <c r="CV842" s="997"/>
      <c r="CW842" s="997"/>
      <c r="CX842" s="997"/>
      <c r="CY842" s="997"/>
      <c r="CZ842" s="997"/>
      <c r="DA842" s="997"/>
      <c r="DB842" s="997"/>
      <c r="DC842" s="997"/>
      <c r="DD842" s="997"/>
      <c r="DE842" s="997"/>
      <c r="DF842" s="997"/>
      <c r="DG842" s="997"/>
      <c r="DH842" s="997"/>
      <c r="DI842" s="997"/>
      <c r="DJ842" s="997"/>
      <c r="DK842" s="997"/>
      <c r="DL842" s="997"/>
      <c r="DM842" s="997"/>
      <c r="DN842" s="997"/>
      <c r="DO842" s="997"/>
      <c r="DP842" s="997"/>
      <c r="DQ842" s="997"/>
      <c r="DR842" s="997"/>
      <c r="DS842" s="997"/>
      <c r="DT842" s="997"/>
      <c r="DU842" s="997"/>
      <c r="DV842" s="997"/>
      <c r="DW842" s="997"/>
      <c r="DX842" s="997"/>
      <c r="DY842" s="997"/>
      <c r="DZ842" s="997"/>
      <c r="EA842" s="997"/>
      <c r="EB842" s="997"/>
      <c r="EC842" s="997"/>
      <c r="ED842" s="997"/>
      <c r="EE842" s="997"/>
      <c r="EF842" s="997"/>
      <c r="EG842" s="997"/>
      <c r="EH842" s="997"/>
      <c r="EI842" s="997"/>
      <c r="EJ842" s="997"/>
      <c r="EK842" s="997"/>
      <c r="EL842" s="997"/>
      <c r="EM842" s="997"/>
      <c r="EN842" s="997"/>
      <c r="EO842" s="997"/>
      <c r="EP842" s="997"/>
      <c r="EQ842" s="997"/>
      <c r="ER842" s="997"/>
      <c r="ES842" s="997"/>
      <c r="ET842" s="997"/>
      <c r="EU842" s="997"/>
      <c r="EV842" s="997"/>
      <c r="EW842" s="997"/>
      <c r="EX842" s="997"/>
      <c r="EY842" s="997"/>
      <c r="EZ842" s="997"/>
      <c r="FA842" s="997"/>
      <c r="FB842" s="997"/>
      <c r="FC842" s="997"/>
      <c r="FD842" s="997"/>
      <c r="FE842" s="997"/>
      <c r="FF842" s="997"/>
      <c r="FG842" s="997"/>
      <c r="FH842" s="997"/>
      <c r="FI842" s="997"/>
      <c r="FJ842" s="997"/>
      <c r="FK842" s="997"/>
      <c r="FL842" s="997"/>
      <c r="FM842" s="997"/>
      <c r="FN842" s="997"/>
      <c r="FO842" s="997"/>
      <c r="FP842" s="997"/>
      <c r="FQ842" s="997"/>
      <c r="FR842" s="997"/>
      <c r="FS842" s="997"/>
      <c r="FT842" s="997"/>
      <c r="FU842" s="997"/>
      <c r="FV842" s="997"/>
      <c r="FW842" s="997"/>
      <c r="FX842" s="997"/>
      <c r="FY842" s="997"/>
      <c r="FZ842" s="997"/>
      <c r="GA842" s="997"/>
      <c r="GB842" s="997"/>
      <c r="GC842" s="997"/>
      <c r="GD842" s="997"/>
      <c r="GE842" s="997"/>
      <c r="GF842" s="997"/>
      <c r="GG842" s="997"/>
      <c r="GH842" s="997"/>
      <c r="GI842" s="997"/>
      <c r="GJ842" s="997"/>
      <c r="GK842" s="997"/>
      <c r="GL842" s="997"/>
      <c r="GM842" s="997"/>
      <c r="GN842" s="997"/>
      <c r="GO842" s="997"/>
      <c r="GP842" s="997"/>
      <c r="GQ842" s="997"/>
      <c r="GR842" s="997"/>
      <c r="GS842" s="997"/>
      <c r="GT842" s="997"/>
      <c r="GU842" s="997"/>
      <c r="GV842" s="997"/>
      <c r="GW842" s="997"/>
      <c r="GX842" s="997"/>
      <c r="GY842" s="997"/>
      <c r="GZ842" s="997"/>
      <c r="HA842" s="997"/>
      <c r="HB842" s="997"/>
      <c r="HC842" s="997"/>
      <c r="HD842" s="997"/>
      <c r="HE842" s="997"/>
      <c r="HF842" s="997"/>
      <c r="HG842" s="997"/>
      <c r="HH842" s="997"/>
      <c r="HI842" s="997"/>
      <c r="HJ842" s="997"/>
      <c r="HK842" s="997"/>
      <c r="HL842" s="997"/>
      <c r="HM842" s="997"/>
      <c r="HN842" s="997"/>
      <c r="HO842" s="997"/>
      <c r="HP842" s="997"/>
      <c r="HQ842" s="997"/>
      <c r="HR842" s="997"/>
      <c r="HS842" s="997"/>
      <c r="HT842" s="997"/>
      <c r="HU842" s="997"/>
      <c r="HV842" s="997"/>
      <c r="HW842" s="997"/>
      <c r="HX842" s="997"/>
      <c r="HY842" s="997"/>
      <c r="HZ842" s="997"/>
      <c r="IA842" s="997"/>
      <c r="IB842" s="997"/>
      <c r="IC842" s="997"/>
      <c r="ID842" s="997"/>
      <c r="IE842" s="997"/>
      <c r="IF842" s="997"/>
      <c r="IG842" s="997"/>
      <c r="IH842" s="997"/>
      <c r="II842" s="997"/>
      <c r="IJ842" s="997"/>
      <c r="IK842" s="997"/>
      <c r="IL842" s="997"/>
      <c r="IM842" s="997"/>
      <c r="IN842" s="997"/>
    </row>
    <row r="843" spans="1:248" s="1090" customFormat="1" ht="14.1" customHeight="1">
      <c r="A843" s="1091"/>
      <c r="B843" s="630"/>
      <c r="C843" s="631"/>
      <c r="D843" s="631"/>
      <c r="G843" s="997"/>
      <c r="H843" s="997"/>
      <c r="I843" s="997"/>
      <c r="J843" s="997"/>
      <c r="K843" s="997"/>
      <c r="L843" s="997"/>
      <c r="M843" s="997"/>
      <c r="N843" s="997"/>
      <c r="O843" s="997"/>
      <c r="P843" s="997"/>
      <c r="Q843" s="997"/>
      <c r="R843" s="997"/>
      <c r="S843" s="997"/>
      <c r="T843" s="997"/>
      <c r="U843" s="997"/>
      <c r="V843" s="997"/>
      <c r="W843" s="997"/>
      <c r="X843" s="997"/>
      <c r="Y843" s="997"/>
      <c r="Z843" s="997"/>
      <c r="AA843" s="997"/>
      <c r="AB843" s="997"/>
      <c r="AC843" s="997"/>
      <c r="AD843" s="997"/>
      <c r="AE843" s="997"/>
      <c r="AF843" s="997"/>
      <c r="AG843" s="997"/>
      <c r="AH843" s="997"/>
      <c r="AI843" s="997"/>
      <c r="AJ843" s="997"/>
      <c r="AK843" s="997"/>
      <c r="AL843" s="997"/>
      <c r="AM843" s="997"/>
      <c r="AN843" s="997"/>
      <c r="AO843" s="997"/>
      <c r="AP843" s="997"/>
      <c r="AQ843" s="997"/>
      <c r="AR843" s="997"/>
      <c r="AS843" s="997"/>
      <c r="AT843" s="997"/>
      <c r="AU843" s="997"/>
      <c r="AV843" s="997"/>
      <c r="AW843" s="997"/>
      <c r="AX843" s="997"/>
      <c r="AY843" s="997"/>
      <c r="AZ843" s="997"/>
      <c r="BA843" s="997"/>
      <c r="BB843" s="997"/>
      <c r="BC843" s="997"/>
      <c r="BD843" s="997"/>
      <c r="BE843" s="997"/>
      <c r="BF843" s="997"/>
      <c r="BG843" s="997"/>
      <c r="BH843" s="997"/>
      <c r="BI843" s="997"/>
      <c r="BJ843" s="997"/>
      <c r="BK843" s="997"/>
      <c r="BL843" s="997"/>
      <c r="BM843" s="997"/>
      <c r="BN843" s="997"/>
      <c r="BO843" s="997"/>
      <c r="BP843" s="997"/>
      <c r="BQ843" s="997"/>
      <c r="BR843" s="997"/>
      <c r="BS843" s="997"/>
      <c r="BT843" s="997"/>
      <c r="BU843" s="997"/>
      <c r="BV843" s="997"/>
      <c r="BW843" s="997"/>
      <c r="BX843" s="997"/>
      <c r="BY843" s="997"/>
      <c r="BZ843" s="997"/>
      <c r="CA843" s="997"/>
      <c r="CB843" s="997"/>
      <c r="CC843" s="997"/>
      <c r="CD843" s="997"/>
      <c r="CE843" s="997"/>
      <c r="CF843" s="997"/>
      <c r="CG843" s="997"/>
      <c r="CH843" s="997"/>
      <c r="CI843" s="997"/>
      <c r="CJ843" s="997"/>
      <c r="CK843" s="997"/>
      <c r="CL843" s="997"/>
      <c r="CM843" s="997"/>
      <c r="CN843" s="997"/>
      <c r="CO843" s="997"/>
      <c r="CP843" s="997"/>
      <c r="CQ843" s="997"/>
      <c r="CR843" s="997"/>
      <c r="CS843" s="997"/>
      <c r="CT843" s="997"/>
      <c r="CU843" s="997"/>
      <c r="CV843" s="997"/>
      <c r="CW843" s="997"/>
      <c r="CX843" s="997"/>
      <c r="CY843" s="997"/>
      <c r="CZ843" s="997"/>
      <c r="DA843" s="997"/>
      <c r="DB843" s="997"/>
      <c r="DC843" s="997"/>
      <c r="DD843" s="997"/>
      <c r="DE843" s="997"/>
      <c r="DF843" s="997"/>
      <c r="DG843" s="997"/>
      <c r="DH843" s="997"/>
      <c r="DI843" s="997"/>
      <c r="DJ843" s="997"/>
      <c r="DK843" s="997"/>
      <c r="DL843" s="997"/>
      <c r="DM843" s="997"/>
      <c r="DN843" s="997"/>
      <c r="DO843" s="997"/>
      <c r="DP843" s="997"/>
      <c r="DQ843" s="997"/>
      <c r="DR843" s="997"/>
      <c r="DS843" s="997"/>
      <c r="DT843" s="997"/>
      <c r="DU843" s="997"/>
      <c r="DV843" s="997"/>
      <c r="DW843" s="997"/>
      <c r="DX843" s="997"/>
      <c r="DY843" s="997"/>
      <c r="DZ843" s="997"/>
      <c r="EA843" s="997"/>
      <c r="EB843" s="997"/>
      <c r="EC843" s="997"/>
      <c r="ED843" s="997"/>
      <c r="EE843" s="997"/>
      <c r="EF843" s="997"/>
      <c r="EG843" s="997"/>
      <c r="EH843" s="997"/>
      <c r="EI843" s="997"/>
      <c r="EJ843" s="997"/>
      <c r="EK843" s="997"/>
      <c r="EL843" s="997"/>
      <c r="EM843" s="997"/>
      <c r="EN843" s="997"/>
      <c r="EO843" s="997"/>
      <c r="EP843" s="997"/>
      <c r="EQ843" s="997"/>
      <c r="ER843" s="997"/>
      <c r="ES843" s="997"/>
      <c r="ET843" s="997"/>
      <c r="EU843" s="997"/>
      <c r="EV843" s="997"/>
      <c r="EW843" s="997"/>
      <c r="EX843" s="997"/>
      <c r="EY843" s="997"/>
      <c r="EZ843" s="997"/>
      <c r="FA843" s="997"/>
      <c r="FB843" s="997"/>
      <c r="FC843" s="997"/>
      <c r="FD843" s="997"/>
      <c r="FE843" s="997"/>
      <c r="FF843" s="997"/>
      <c r="FG843" s="997"/>
      <c r="FH843" s="997"/>
      <c r="FI843" s="997"/>
      <c r="FJ843" s="997"/>
      <c r="FK843" s="997"/>
      <c r="FL843" s="997"/>
      <c r="FM843" s="997"/>
      <c r="FN843" s="997"/>
      <c r="FO843" s="997"/>
      <c r="FP843" s="997"/>
      <c r="FQ843" s="997"/>
      <c r="FR843" s="997"/>
      <c r="FS843" s="997"/>
      <c r="FT843" s="997"/>
      <c r="FU843" s="997"/>
      <c r="FV843" s="997"/>
      <c r="FW843" s="997"/>
      <c r="FX843" s="997"/>
      <c r="FY843" s="997"/>
      <c r="FZ843" s="997"/>
      <c r="GA843" s="997"/>
      <c r="GB843" s="997"/>
      <c r="GC843" s="997"/>
      <c r="GD843" s="997"/>
      <c r="GE843" s="997"/>
      <c r="GF843" s="997"/>
      <c r="GG843" s="997"/>
      <c r="GH843" s="997"/>
      <c r="GI843" s="997"/>
      <c r="GJ843" s="997"/>
      <c r="GK843" s="997"/>
      <c r="GL843" s="997"/>
      <c r="GM843" s="997"/>
      <c r="GN843" s="997"/>
      <c r="GO843" s="997"/>
      <c r="GP843" s="997"/>
      <c r="GQ843" s="997"/>
      <c r="GR843" s="997"/>
      <c r="GS843" s="997"/>
      <c r="GT843" s="997"/>
      <c r="GU843" s="997"/>
      <c r="GV843" s="997"/>
      <c r="GW843" s="997"/>
      <c r="GX843" s="997"/>
      <c r="GY843" s="997"/>
      <c r="GZ843" s="997"/>
      <c r="HA843" s="997"/>
      <c r="HB843" s="997"/>
      <c r="HC843" s="997"/>
      <c r="HD843" s="997"/>
      <c r="HE843" s="997"/>
      <c r="HF843" s="997"/>
      <c r="HG843" s="997"/>
      <c r="HH843" s="997"/>
      <c r="HI843" s="997"/>
      <c r="HJ843" s="997"/>
      <c r="HK843" s="997"/>
      <c r="HL843" s="997"/>
      <c r="HM843" s="997"/>
      <c r="HN843" s="997"/>
      <c r="HO843" s="997"/>
      <c r="HP843" s="997"/>
      <c r="HQ843" s="997"/>
      <c r="HR843" s="997"/>
      <c r="HS843" s="997"/>
      <c r="HT843" s="997"/>
      <c r="HU843" s="997"/>
      <c r="HV843" s="997"/>
      <c r="HW843" s="997"/>
      <c r="HX843" s="997"/>
      <c r="HY843" s="997"/>
      <c r="HZ843" s="997"/>
      <c r="IA843" s="997"/>
      <c r="IB843" s="997"/>
      <c r="IC843" s="997"/>
      <c r="ID843" s="997"/>
      <c r="IE843" s="997"/>
      <c r="IF843" s="997"/>
      <c r="IG843" s="997"/>
      <c r="IH843" s="997"/>
      <c r="II843" s="997"/>
      <c r="IJ843" s="997"/>
      <c r="IK843" s="997"/>
      <c r="IL843" s="997"/>
      <c r="IM843" s="997"/>
      <c r="IN843" s="997"/>
    </row>
    <row r="844" spans="1:248" s="1090" customFormat="1" ht="14.1" customHeight="1">
      <c r="A844" s="1091"/>
      <c r="B844" s="630"/>
      <c r="C844" s="631"/>
      <c r="D844" s="1096"/>
      <c r="G844" s="997"/>
      <c r="H844" s="997"/>
      <c r="I844" s="997"/>
      <c r="J844" s="997"/>
      <c r="K844" s="997"/>
      <c r="L844" s="997"/>
      <c r="M844" s="997"/>
      <c r="N844" s="997"/>
      <c r="O844" s="997"/>
      <c r="P844" s="997"/>
      <c r="Q844" s="997"/>
      <c r="R844" s="997"/>
      <c r="S844" s="997"/>
      <c r="T844" s="997"/>
      <c r="U844" s="997"/>
      <c r="V844" s="997"/>
      <c r="W844" s="997"/>
      <c r="X844" s="997"/>
      <c r="Y844" s="997"/>
      <c r="Z844" s="997"/>
      <c r="AA844" s="997"/>
      <c r="AB844" s="997"/>
      <c r="AC844" s="997"/>
      <c r="AD844" s="997"/>
      <c r="AE844" s="997"/>
      <c r="AF844" s="997"/>
      <c r="AG844" s="997"/>
      <c r="AH844" s="997"/>
      <c r="AI844" s="997"/>
      <c r="AJ844" s="997"/>
      <c r="AK844" s="997"/>
      <c r="AL844" s="997"/>
      <c r="AM844" s="997"/>
      <c r="AN844" s="997"/>
      <c r="AO844" s="997"/>
      <c r="AP844" s="997"/>
      <c r="AQ844" s="997"/>
      <c r="AR844" s="997"/>
      <c r="AS844" s="997"/>
      <c r="AT844" s="997"/>
      <c r="AU844" s="997"/>
      <c r="AV844" s="997"/>
      <c r="AW844" s="997"/>
      <c r="AX844" s="997"/>
      <c r="AY844" s="997"/>
      <c r="AZ844" s="997"/>
      <c r="BA844" s="997"/>
      <c r="BB844" s="997"/>
      <c r="BC844" s="997"/>
      <c r="BD844" s="997"/>
      <c r="BE844" s="997"/>
      <c r="BF844" s="997"/>
      <c r="BG844" s="997"/>
      <c r="BH844" s="997"/>
      <c r="BI844" s="997"/>
      <c r="BJ844" s="997"/>
      <c r="BK844" s="997"/>
      <c r="BL844" s="997"/>
      <c r="BM844" s="997"/>
      <c r="BN844" s="997"/>
      <c r="BO844" s="997"/>
      <c r="BP844" s="997"/>
      <c r="BQ844" s="997"/>
      <c r="BR844" s="997"/>
      <c r="BS844" s="997"/>
      <c r="BT844" s="997"/>
      <c r="BU844" s="997"/>
      <c r="BV844" s="997"/>
      <c r="BW844" s="997"/>
      <c r="BX844" s="997"/>
      <c r="BY844" s="997"/>
      <c r="BZ844" s="997"/>
      <c r="CA844" s="997"/>
      <c r="CB844" s="997"/>
      <c r="CC844" s="997"/>
      <c r="CD844" s="997"/>
      <c r="CE844" s="997"/>
      <c r="CF844" s="997"/>
      <c r="CG844" s="997"/>
      <c r="CH844" s="997"/>
      <c r="CI844" s="997"/>
      <c r="CJ844" s="997"/>
      <c r="CK844" s="997"/>
      <c r="CL844" s="997"/>
      <c r="CM844" s="997"/>
      <c r="CN844" s="997"/>
      <c r="CO844" s="997"/>
      <c r="CP844" s="997"/>
      <c r="CQ844" s="997"/>
      <c r="CR844" s="997"/>
      <c r="CS844" s="997"/>
      <c r="CT844" s="997"/>
      <c r="CU844" s="997"/>
      <c r="CV844" s="997"/>
      <c r="CW844" s="997"/>
      <c r="CX844" s="997"/>
      <c r="CY844" s="997"/>
      <c r="CZ844" s="997"/>
      <c r="DA844" s="997"/>
      <c r="DB844" s="997"/>
      <c r="DC844" s="997"/>
      <c r="DD844" s="997"/>
      <c r="DE844" s="997"/>
      <c r="DF844" s="997"/>
      <c r="DG844" s="997"/>
      <c r="DH844" s="997"/>
      <c r="DI844" s="997"/>
      <c r="DJ844" s="997"/>
      <c r="DK844" s="997"/>
      <c r="DL844" s="997"/>
      <c r="DM844" s="997"/>
      <c r="DN844" s="997"/>
      <c r="DO844" s="997"/>
      <c r="DP844" s="997"/>
      <c r="DQ844" s="997"/>
      <c r="DR844" s="997"/>
      <c r="DS844" s="997"/>
      <c r="DT844" s="997"/>
      <c r="DU844" s="997"/>
      <c r="DV844" s="997"/>
      <c r="DW844" s="997"/>
      <c r="DX844" s="997"/>
      <c r="DY844" s="997"/>
      <c r="DZ844" s="997"/>
      <c r="EA844" s="997"/>
      <c r="EB844" s="997"/>
      <c r="EC844" s="997"/>
      <c r="ED844" s="997"/>
      <c r="EE844" s="997"/>
      <c r="EF844" s="997"/>
      <c r="EG844" s="997"/>
      <c r="EH844" s="997"/>
      <c r="EI844" s="997"/>
      <c r="EJ844" s="997"/>
      <c r="EK844" s="997"/>
      <c r="EL844" s="997"/>
      <c r="EM844" s="997"/>
      <c r="EN844" s="997"/>
      <c r="EO844" s="997"/>
      <c r="EP844" s="997"/>
      <c r="EQ844" s="997"/>
      <c r="ER844" s="997"/>
      <c r="ES844" s="997"/>
      <c r="ET844" s="997"/>
      <c r="EU844" s="997"/>
      <c r="EV844" s="997"/>
      <c r="EW844" s="997"/>
      <c r="EX844" s="997"/>
      <c r="EY844" s="997"/>
      <c r="EZ844" s="997"/>
      <c r="FA844" s="997"/>
      <c r="FB844" s="997"/>
      <c r="FC844" s="997"/>
      <c r="FD844" s="997"/>
      <c r="FE844" s="997"/>
      <c r="FF844" s="997"/>
      <c r="FG844" s="997"/>
      <c r="FH844" s="997"/>
      <c r="FI844" s="997"/>
      <c r="FJ844" s="997"/>
      <c r="FK844" s="997"/>
      <c r="FL844" s="997"/>
      <c r="FM844" s="997"/>
      <c r="FN844" s="997"/>
      <c r="FO844" s="997"/>
      <c r="FP844" s="997"/>
      <c r="FQ844" s="997"/>
      <c r="FR844" s="997"/>
      <c r="FS844" s="997"/>
      <c r="FT844" s="997"/>
      <c r="FU844" s="997"/>
      <c r="FV844" s="997"/>
      <c r="FW844" s="997"/>
      <c r="FX844" s="997"/>
      <c r="FY844" s="997"/>
      <c r="FZ844" s="997"/>
      <c r="GA844" s="997"/>
      <c r="GB844" s="997"/>
      <c r="GC844" s="997"/>
      <c r="GD844" s="997"/>
      <c r="GE844" s="997"/>
      <c r="GF844" s="997"/>
      <c r="GG844" s="997"/>
      <c r="GH844" s="997"/>
      <c r="GI844" s="997"/>
      <c r="GJ844" s="997"/>
      <c r="GK844" s="997"/>
      <c r="GL844" s="997"/>
      <c r="GM844" s="997"/>
      <c r="GN844" s="997"/>
      <c r="GO844" s="997"/>
      <c r="GP844" s="997"/>
      <c r="GQ844" s="997"/>
      <c r="GR844" s="997"/>
      <c r="GS844" s="997"/>
      <c r="GT844" s="997"/>
      <c r="GU844" s="997"/>
      <c r="GV844" s="997"/>
      <c r="GW844" s="997"/>
      <c r="GX844" s="997"/>
      <c r="GY844" s="997"/>
      <c r="GZ844" s="997"/>
      <c r="HA844" s="997"/>
      <c r="HB844" s="997"/>
      <c r="HC844" s="997"/>
      <c r="HD844" s="997"/>
      <c r="HE844" s="997"/>
      <c r="HF844" s="997"/>
      <c r="HG844" s="997"/>
      <c r="HH844" s="997"/>
      <c r="HI844" s="997"/>
      <c r="HJ844" s="997"/>
      <c r="HK844" s="997"/>
      <c r="HL844" s="997"/>
      <c r="HM844" s="997"/>
      <c r="HN844" s="997"/>
      <c r="HO844" s="997"/>
      <c r="HP844" s="997"/>
      <c r="HQ844" s="997"/>
      <c r="HR844" s="997"/>
      <c r="HS844" s="997"/>
      <c r="HT844" s="997"/>
      <c r="HU844" s="997"/>
      <c r="HV844" s="997"/>
      <c r="HW844" s="997"/>
      <c r="HX844" s="997"/>
      <c r="HY844" s="997"/>
      <c r="HZ844" s="997"/>
      <c r="IA844" s="997"/>
      <c r="IB844" s="997"/>
      <c r="IC844" s="997"/>
      <c r="ID844" s="997"/>
      <c r="IE844" s="997"/>
      <c r="IF844" s="997"/>
      <c r="IG844" s="997"/>
      <c r="IH844" s="997"/>
      <c r="II844" s="997"/>
      <c r="IJ844" s="997"/>
      <c r="IK844" s="997"/>
      <c r="IL844" s="997"/>
      <c r="IM844" s="997"/>
      <c r="IN844" s="997"/>
    </row>
    <row r="845" spans="1:248" s="1090" customFormat="1" ht="14.1" customHeight="1">
      <c r="A845" s="1091"/>
      <c r="B845" s="945" t="s">
        <v>3777</v>
      </c>
      <c r="C845" s="1095" t="s">
        <v>3948</v>
      </c>
      <c r="D845" s="1096"/>
      <c r="G845" s="997"/>
      <c r="H845" s="997"/>
      <c r="I845" s="997"/>
      <c r="J845" s="997"/>
      <c r="K845" s="997"/>
      <c r="L845" s="997"/>
      <c r="M845" s="997"/>
      <c r="N845" s="997"/>
      <c r="O845" s="997"/>
      <c r="P845" s="997"/>
      <c r="Q845" s="997"/>
      <c r="R845" s="997"/>
      <c r="S845" s="997"/>
      <c r="T845" s="997"/>
      <c r="U845" s="997"/>
      <c r="V845" s="997"/>
      <c r="W845" s="997"/>
      <c r="X845" s="997"/>
      <c r="Y845" s="997"/>
      <c r="Z845" s="997"/>
      <c r="AA845" s="997"/>
      <c r="AB845" s="997"/>
      <c r="AC845" s="997"/>
      <c r="AD845" s="997"/>
      <c r="AE845" s="997"/>
      <c r="AF845" s="997"/>
      <c r="AG845" s="997"/>
      <c r="AH845" s="997"/>
      <c r="AI845" s="997"/>
      <c r="AJ845" s="997"/>
      <c r="AK845" s="997"/>
      <c r="AL845" s="997"/>
      <c r="AM845" s="997"/>
      <c r="AN845" s="997"/>
      <c r="AO845" s="997"/>
      <c r="AP845" s="997"/>
      <c r="AQ845" s="997"/>
      <c r="AR845" s="997"/>
      <c r="AS845" s="997"/>
      <c r="AT845" s="997"/>
      <c r="AU845" s="997"/>
      <c r="AV845" s="997"/>
      <c r="AW845" s="997"/>
      <c r="AX845" s="997"/>
      <c r="AY845" s="997"/>
      <c r="AZ845" s="997"/>
      <c r="BA845" s="997"/>
      <c r="BB845" s="997"/>
      <c r="BC845" s="997"/>
      <c r="BD845" s="997"/>
      <c r="BE845" s="997"/>
      <c r="BF845" s="997"/>
      <c r="BG845" s="997"/>
      <c r="BH845" s="997"/>
      <c r="BI845" s="997"/>
      <c r="BJ845" s="997"/>
      <c r="BK845" s="997"/>
      <c r="BL845" s="997"/>
      <c r="BM845" s="997"/>
      <c r="BN845" s="997"/>
      <c r="BO845" s="997"/>
      <c r="BP845" s="997"/>
      <c r="BQ845" s="997"/>
      <c r="BR845" s="997"/>
      <c r="BS845" s="997"/>
      <c r="BT845" s="997"/>
      <c r="BU845" s="997"/>
      <c r="BV845" s="997"/>
      <c r="BW845" s="997"/>
      <c r="BX845" s="997"/>
      <c r="BY845" s="997"/>
      <c r="BZ845" s="997"/>
      <c r="CA845" s="997"/>
      <c r="CB845" s="997"/>
      <c r="CC845" s="997"/>
      <c r="CD845" s="997"/>
      <c r="CE845" s="997"/>
      <c r="CF845" s="997"/>
      <c r="CG845" s="997"/>
      <c r="CH845" s="997"/>
      <c r="CI845" s="997"/>
      <c r="CJ845" s="997"/>
      <c r="CK845" s="997"/>
      <c r="CL845" s="997"/>
      <c r="CM845" s="997"/>
      <c r="CN845" s="997"/>
      <c r="CO845" s="997"/>
      <c r="CP845" s="997"/>
      <c r="CQ845" s="997"/>
      <c r="CR845" s="997"/>
      <c r="CS845" s="997"/>
      <c r="CT845" s="997"/>
      <c r="CU845" s="997"/>
      <c r="CV845" s="997"/>
      <c r="CW845" s="997"/>
      <c r="CX845" s="997"/>
      <c r="CY845" s="997"/>
      <c r="CZ845" s="997"/>
      <c r="DA845" s="997"/>
      <c r="DB845" s="997"/>
      <c r="DC845" s="997"/>
      <c r="DD845" s="997"/>
      <c r="DE845" s="997"/>
      <c r="DF845" s="997"/>
      <c r="DG845" s="997"/>
      <c r="DH845" s="997"/>
      <c r="DI845" s="997"/>
      <c r="DJ845" s="997"/>
      <c r="DK845" s="997"/>
      <c r="DL845" s="997"/>
      <c r="DM845" s="997"/>
      <c r="DN845" s="997"/>
      <c r="DO845" s="997"/>
      <c r="DP845" s="997"/>
      <c r="DQ845" s="997"/>
      <c r="DR845" s="997"/>
      <c r="DS845" s="997"/>
      <c r="DT845" s="997"/>
      <c r="DU845" s="997"/>
      <c r="DV845" s="997"/>
      <c r="DW845" s="997"/>
      <c r="DX845" s="997"/>
      <c r="DY845" s="997"/>
      <c r="DZ845" s="997"/>
      <c r="EA845" s="997"/>
      <c r="EB845" s="997"/>
      <c r="EC845" s="997"/>
      <c r="ED845" s="997"/>
      <c r="EE845" s="997"/>
      <c r="EF845" s="997"/>
      <c r="EG845" s="997"/>
      <c r="EH845" s="997"/>
      <c r="EI845" s="997"/>
      <c r="EJ845" s="997"/>
      <c r="EK845" s="997"/>
      <c r="EL845" s="997"/>
      <c r="EM845" s="997"/>
      <c r="EN845" s="997"/>
      <c r="EO845" s="997"/>
      <c r="EP845" s="997"/>
      <c r="EQ845" s="997"/>
      <c r="ER845" s="997"/>
      <c r="ES845" s="997"/>
      <c r="ET845" s="997"/>
      <c r="EU845" s="997"/>
      <c r="EV845" s="997"/>
      <c r="EW845" s="997"/>
      <c r="EX845" s="997"/>
      <c r="EY845" s="997"/>
      <c r="EZ845" s="997"/>
      <c r="FA845" s="997"/>
      <c r="FB845" s="997"/>
      <c r="FC845" s="997"/>
      <c r="FD845" s="997"/>
      <c r="FE845" s="997"/>
      <c r="FF845" s="997"/>
      <c r="FG845" s="997"/>
      <c r="FH845" s="997"/>
      <c r="FI845" s="997"/>
      <c r="FJ845" s="997"/>
      <c r="FK845" s="997"/>
      <c r="FL845" s="997"/>
      <c r="FM845" s="997"/>
      <c r="FN845" s="997"/>
      <c r="FO845" s="997"/>
      <c r="FP845" s="997"/>
      <c r="FQ845" s="997"/>
      <c r="FR845" s="997"/>
      <c r="FS845" s="997"/>
      <c r="FT845" s="997"/>
      <c r="FU845" s="997"/>
      <c r="FV845" s="997"/>
      <c r="FW845" s="997"/>
      <c r="FX845" s="997"/>
      <c r="FY845" s="997"/>
      <c r="FZ845" s="997"/>
      <c r="GA845" s="997"/>
      <c r="GB845" s="997"/>
      <c r="GC845" s="997"/>
      <c r="GD845" s="997"/>
      <c r="GE845" s="997"/>
      <c r="GF845" s="997"/>
      <c r="GG845" s="997"/>
      <c r="GH845" s="997"/>
      <c r="GI845" s="997"/>
      <c r="GJ845" s="997"/>
      <c r="GK845" s="997"/>
      <c r="GL845" s="997"/>
      <c r="GM845" s="997"/>
      <c r="GN845" s="997"/>
      <c r="GO845" s="997"/>
      <c r="GP845" s="997"/>
      <c r="GQ845" s="997"/>
      <c r="GR845" s="997"/>
      <c r="GS845" s="997"/>
      <c r="GT845" s="997"/>
      <c r="GU845" s="997"/>
      <c r="GV845" s="997"/>
      <c r="GW845" s="997"/>
      <c r="GX845" s="997"/>
      <c r="GY845" s="997"/>
      <c r="GZ845" s="997"/>
      <c r="HA845" s="997"/>
      <c r="HB845" s="997"/>
      <c r="HC845" s="997"/>
      <c r="HD845" s="997"/>
      <c r="HE845" s="997"/>
      <c r="HF845" s="997"/>
      <c r="HG845" s="997"/>
      <c r="HH845" s="997"/>
      <c r="HI845" s="997"/>
      <c r="HJ845" s="997"/>
      <c r="HK845" s="997"/>
      <c r="HL845" s="997"/>
      <c r="HM845" s="997"/>
      <c r="HN845" s="997"/>
      <c r="HO845" s="997"/>
      <c r="HP845" s="997"/>
      <c r="HQ845" s="997"/>
      <c r="HR845" s="997"/>
      <c r="HS845" s="997"/>
      <c r="HT845" s="997"/>
      <c r="HU845" s="997"/>
      <c r="HV845" s="997"/>
      <c r="HW845" s="997"/>
      <c r="HX845" s="997"/>
      <c r="HY845" s="997"/>
      <c r="HZ845" s="997"/>
      <c r="IA845" s="997"/>
      <c r="IB845" s="997"/>
      <c r="IC845" s="997"/>
      <c r="ID845" s="997"/>
      <c r="IE845" s="997"/>
      <c r="IF845" s="997"/>
      <c r="IG845" s="997"/>
      <c r="IH845" s="997"/>
      <c r="II845" s="997"/>
      <c r="IJ845" s="997"/>
      <c r="IK845" s="997"/>
      <c r="IL845" s="997"/>
      <c r="IM845" s="997"/>
      <c r="IN845" s="997"/>
    </row>
    <row r="846" spans="1:248" s="1090" customFormat="1" ht="14.1" customHeight="1">
      <c r="A846" s="1091"/>
      <c r="B846" s="1094"/>
      <c r="C846" s="1095" t="s">
        <v>3949</v>
      </c>
      <c r="D846" s="1096"/>
      <c r="G846" s="997"/>
      <c r="H846" s="997"/>
      <c r="I846" s="997"/>
      <c r="J846" s="997"/>
      <c r="K846" s="997"/>
      <c r="L846" s="997"/>
      <c r="M846" s="997"/>
      <c r="N846" s="997"/>
      <c r="O846" s="997"/>
      <c r="P846" s="997"/>
      <c r="Q846" s="997"/>
      <c r="R846" s="997"/>
      <c r="S846" s="997"/>
      <c r="T846" s="997"/>
      <c r="U846" s="997"/>
      <c r="V846" s="997"/>
      <c r="W846" s="997"/>
      <c r="X846" s="997"/>
      <c r="Y846" s="997"/>
      <c r="Z846" s="997"/>
      <c r="AA846" s="997"/>
      <c r="AB846" s="997"/>
      <c r="AC846" s="997"/>
      <c r="AD846" s="997"/>
      <c r="AE846" s="997"/>
      <c r="AF846" s="997"/>
      <c r="AG846" s="997"/>
      <c r="AH846" s="997"/>
      <c r="AI846" s="997"/>
      <c r="AJ846" s="997"/>
      <c r="AK846" s="997"/>
      <c r="AL846" s="997"/>
      <c r="AM846" s="997"/>
      <c r="AN846" s="997"/>
      <c r="AO846" s="997"/>
      <c r="AP846" s="997"/>
      <c r="AQ846" s="997"/>
      <c r="AR846" s="997"/>
      <c r="AS846" s="997"/>
      <c r="AT846" s="997"/>
      <c r="AU846" s="997"/>
      <c r="AV846" s="997"/>
      <c r="AW846" s="997"/>
      <c r="AX846" s="997"/>
      <c r="AY846" s="997"/>
      <c r="AZ846" s="997"/>
      <c r="BA846" s="997"/>
      <c r="BB846" s="997"/>
      <c r="BC846" s="997"/>
      <c r="BD846" s="997"/>
      <c r="BE846" s="997"/>
      <c r="BF846" s="997"/>
      <c r="BG846" s="997"/>
      <c r="BH846" s="997"/>
      <c r="BI846" s="997"/>
      <c r="BJ846" s="997"/>
      <c r="BK846" s="997"/>
      <c r="BL846" s="997"/>
      <c r="BM846" s="997"/>
      <c r="BN846" s="997"/>
      <c r="BO846" s="997"/>
      <c r="BP846" s="997"/>
      <c r="BQ846" s="997"/>
      <c r="BR846" s="997"/>
      <c r="BS846" s="997"/>
      <c r="BT846" s="997"/>
      <c r="BU846" s="997"/>
      <c r="BV846" s="997"/>
      <c r="BW846" s="997"/>
      <c r="BX846" s="997"/>
      <c r="BY846" s="997"/>
      <c r="BZ846" s="997"/>
      <c r="CA846" s="997"/>
      <c r="CB846" s="997"/>
      <c r="CC846" s="997"/>
      <c r="CD846" s="997"/>
      <c r="CE846" s="997"/>
      <c r="CF846" s="997"/>
      <c r="CG846" s="997"/>
      <c r="CH846" s="997"/>
      <c r="CI846" s="997"/>
      <c r="CJ846" s="997"/>
      <c r="CK846" s="997"/>
      <c r="CL846" s="997"/>
      <c r="CM846" s="997"/>
      <c r="CN846" s="997"/>
      <c r="CO846" s="997"/>
      <c r="CP846" s="997"/>
      <c r="CQ846" s="997"/>
      <c r="CR846" s="997"/>
      <c r="CS846" s="997"/>
      <c r="CT846" s="997"/>
      <c r="CU846" s="997"/>
      <c r="CV846" s="997"/>
      <c r="CW846" s="997"/>
      <c r="CX846" s="997"/>
      <c r="CY846" s="997"/>
      <c r="CZ846" s="997"/>
      <c r="DA846" s="997"/>
      <c r="DB846" s="997"/>
      <c r="DC846" s="997"/>
      <c r="DD846" s="997"/>
      <c r="DE846" s="997"/>
      <c r="DF846" s="997"/>
      <c r="DG846" s="997"/>
      <c r="DH846" s="997"/>
      <c r="DI846" s="997"/>
      <c r="DJ846" s="997"/>
      <c r="DK846" s="997"/>
      <c r="DL846" s="997"/>
      <c r="DM846" s="997"/>
      <c r="DN846" s="997"/>
      <c r="DO846" s="997"/>
      <c r="DP846" s="997"/>
      <c r="DQ846" s="997"/>
      <c r="DR846" s="997"/>
      <c r="DS846" s="997"/>
      <c r="DT846" s="997"/>
      <c r="DU846" s="997"/>
      <c r="DV846" s="997"/>
      <c r="DW846" s="997"/>
      <c r="DX846" s="997"/>
      <c r="DY846" s="997"/>
      <c r="DZ846" s="997"/>
      <c r="EA846" s="997"/>
      <c r="EB846" s="997"/>
      <c r="EC846" s="997"/>
      <c r="ED846" s="997"/>
      <c r="EE846" s="997"/>
      <c r="EF846" s="997"/>
      <c r="EG846" s="997"/>
      <c r="EH846" s="997"/>
      <c r="EI846" s="997"/>
      <c r="EJ846" s="997"/>
      <c r="EK846" s="997"/>
      <c r="EL846" s="997"/>
      <c r="EM846" s="997"/>
      <c r="EN846" s="997"/>
      <c r="EO846" s="997"/>
      <c r="EP846" s="997"/>
      <c r="EQ846" s="997"/>
      <c r="ER846" s="997"/>
      <c r="ES846" s="997"/>
      <c r="ET846" s="997"/>
      <c r="EU846" s="997"/>
      <c r="EV846" s="997"/>
      <c r="EW846" s="997"/>
      <c r="EX846" s="997"/>
      <c r="EY846" s="997"/>
      <c r="EZ846" s="997"/>
      <c r="FA846" s="997"/>
      <c r="FB846" s="997"/>
      <c r="FC846" s="997"/>
      <c r="FD846" s="997"/>
      <c r="FE846" s="997"/>
      <c r="FF846" s="997"/>
      <c r="FG846" s="997"/>
      <c r="FH846" s="997"/>
      <c r="FI846" s="997"/>
      <c r="FJ846" s="997"/>
      <c r="FK846" s="997"/>
      <c r="FL846" s="997"/>
      <c r="FM846" s="997"/>
      <c r="FN846" s="997"/>
      <c r="FO846" s="997"/>
      <c r="FP846" s="997"/>
      <c r="FQ846" s="997"/>
      <c r="FR846" s="997"/>
      <c r="FS846" s="997"/>
      <c r="FT846" s="997"/>
      <c r="FU846" s="997"/>
      <c r="FV846" s="997"/>
      <c r="FW846" s="997"/>
      <c r="FX846" s="997"/>
      <c r="FY846" s="997"/>
      <c r="FZ846" s="997"/>
      <c r="GA846" s="997"/>
      <c r="GB846" s="997"/>
      <c r="GC846" s="997"/>
      <c r="GD846" s="997"/>
      <c r="GE846" s="997"/>
      <c r="GF846" s="997"/>
      <c r="GG846" s="997"/>
      <c r="GH846" s="997"/>
      <c r="GI846" s="997"/>
      <c r="GJ846" s="997"/>
      <c r="GK846" s="997"/>
      <c r="GL846" s="997"/>
      <c r="GM846" s="997"/>
      <c r="GN846" s="997"/>
      <c r="GO846" s="997"/>
      <c r="GP846" s="997"/>
      <c r="GQ846" s="997"/>
      <c r="GR846" s="997"/>
      <c r="GS846" s="997"/>
      <c r="GT846" s="997"/>
      <c r="GU846" s="997"/>
      <c r="GV846" s="997"/>
      <c r="GW846" s="997"/>
      <c r="GX846" s="997"/>
      <c r="GY846" s="997"/>
      <c r="GZ846" s="997"/>
      <c r="HA846" s="997"/>
      <c r="HB846" s="997"/>
      <c r="HC846" s="997"/>
      <c r="HD846" s="997"/>
      <c r="HE846" s="997"/>
      <c r="HF846" s="997"/>
      <c r="HG846" s="997"/>
      <c r="HH846" s="997"/>
      <c r="HI846" s="997"/>
      <c r="HJ846" s="997"/>
      <c r="HK846" s="997"/>
      <c r="HL846" s="997"/>
      <c r="HM846" s="997"/>
      <c r="HN846" s="997"/>
      <c r="HO846" s="997"/>
      <c r="HP846" s="997"/>
      <c r="HQ846" s="997"/>
      <c r="HR846" s="997"/>
      <c r="HS846" s="997"/>
      <c r="HT846" s="997"/>
      <c r="HU846" s="997"/>
      <c r="HV846" s="997"/>
      <c r="HW846" s="997"/>
      <c r="HX846" s="997"/>
      <c r="HY846" s="997"/>
      <c r="HZ846" s="997"/>
      <c r="IA846" s="997"/>
      <c r="IB846" s="997"/>
      <c r="IC846" s="997"/>
      <c r="ID846" s="997"/>
      <c r="IE846" s="997"/>
      <c r="IF846" s="997"/>
      <c r="IG846" s="997"/>
      <c r="IH846" s="997"/>
      <c r="II846" s="997"/>
      <c r="IJ846" s="997"/>
      <c r="IK846" s="997"/>
      <c r="IL846" s="997"/>
      <c r="IM846" s="997"/>
      <c r="IN846" s="997"/>
    </row>
    <row r="847" spans="1:248" s="1090" customFormat="1" ht="14.1" customHeight="1">
      <c r="A847" s="1091"/>
      <c r="B847" s="1091"/>
      <c r="C847" s="1097"/>
      <c r="D847" s="1092"/>
      <c r="G847" s="997"/>
      <c r="H847" s="997"/>
      <c r="I847" s="997"/>
      <c r="J847" s="997"/>
      <c r="K847" s="997"/>
      <c r="L847" s="997"/>
      <c r="M847" s="997"/>
      <c r="N847" s="997"/>
      <c r="O847" s="997"/>
      <c r="P847" s="997"/>
      <c r="Q847" s="997"/>
      <c r="R847" s="997"/>
      <c r="S847" s="997"/>
      <c r="T847" s="997"/>
      <c r="U847" s="997"/>
      <c r="V847" s="997"/>
      <c r="W847" s="997"/>
      <c r="X847" s="997"/>
      <c r="Y847" s="997"/>
      <c r="Z847" s="997"/>
      <c r="AA847" s="997"/>
      <c r="AB847" s="997"/>
      <c r="AC847" s="997"/>
      <c r="AD847" s="997"/>
      <c r="AE847" s="997"/>
      <c r="AF847" s="997"/>
      <c r="AG847" s="997"/>
      <c r="AH847" s="997"/>
      <c r="AI847" s="997"/>
      <c r="AJ847" s="997"/>
      <c r="AK847" s="997"/>
      <c r="AL847" s="997"/>
      <c r="AM847" s="997"/>
      <c r="AN847" s="997"/>
      <c r="AO847" s="997"/>
      <c r="AP847" s="997"/>
      <c r="AQ847" s="997"/>
      <c r="AR847" s="997"/>
      <c r="AS847" s="997"/>
      <c r="AT847" s="997"/>
      <c r="AU847" s="997"/>
      <c r="AV847" s="997"/>
      <c r="AW847" s="997"/>
      <c r="AX847" s="997"/>
      <c r="AY847" s="997"/>
      <c r="AZ847" s="997"/>
      <c r="BA847" s="997"/>
      <c r="BB847" s="997"/>
      <c r="BC847" s="997"/>
      <c r="BD847" s="997"/>
      <c r="BE847" s="997"/>
      <c r="BF847" s="997"/>
      <c r="BG847" s="997"/>
      <c r="BH847" s="997"/>
      <c r="BI847" s="997"/>
      <c r="BJ847" s="997"/>
      <c r="BK847" s="997"/>
      <c r="BL847" s="997"/>
      <c r="BM847" s="997"/>
      <c r="BN847" s="997"/>
      <c r="BO847" s="997"/>
      <c r="BP847" s="997"/>
      <c r="BQ847" s="997"/>
      <c r="BR847" s="997"/>
      <c r="BS847" s="997"/>
      <c r="BT847" s="997"/>
      <c r="BU847" s="997"/>
      <c r="BV847" s="997"/>
      <c r="BW847" s="997"/>
      <c r="BX847" s="997"/>
      <c r="BY847" s="997"/>
      <c r="BZ847" s="997"/>
      <c r="CA847" s="997"/>
      <c r="CB847" s="997"/>
      <c r="CC847" s="997"/>
      <c r="CD847" s="997"/>
      <c r="CE847" s="997"/>
      <c r="CF847" s="997"/>
      <c r="CG847" s="997"/>
      <c r="CH847" s="997"/>
      <c r="CI847" s="997"/>
      <c r="CJ847" s="997"/>
      <c r="CK847" s="997"/>
      <c r="CL847" s="997"/>
      <c r="CM847" s="997"/>
      <c r="CN847" s="997"/>
      <c r="CO847" s="997"/>
      <c r="CP847" s="997"/>
      <c r="CQ847" s="997"/>
      <c r="CR847" s="997"/>
      <c r="CS847" s="997"/>
      <c r="CT847" s="997"/>
      <c r="CU847" s="997"/>
      <c r="CV847" s="997"/>
      <c r="CW847" s="997"/>
      <c r="CX847" s="997"/>
      <c r="CY847" s="997"/>
      <c r="CZ847" s="997"/>
      <c r="DA847" s="997"/>
      <c r="DB847" s="997"/>
      <c r="DC847" s="997"/>
      <c r="DD847" s="997"/>
      <c r="DE847" s="997"/>
      <c r="DF847" s="997"/>
      <c r="DG847" s="997"/>
      <c r="DH847" s="997"/>
      <c r="DI847" s="997"/>
      <c r="DJ847" s="997"/>
      <c r="DK847" s="997"/>
      <c r="DL847" s="997"/>
      <c r="DM847" s="997"/>
      <c r="DN847" s="997"/>
      <c r="DO847" s="997"/>
      <c r="DP847" s="997"/>
      <c r="DQ847" s="997"/>
      <c r="DR847" s="997"/>
      <c r="DS847" s="997"/>
      <c r="DT847" s="997"/>
      <c r="DU847" s="997"/>
      <c r="DV847" s="997"/>
      <c r="DW847" s="997"/>
      <c r="DX847" s="997"/>
      <c r="DY847" s="997"/>
      <c r="DZ847" s="997"/>
      <c r="EA847" s="997"/>
      <c r="EB847" s="997"/>
      <c r="EC847" s="997"/>
      <c r="ED847" s="997"/>
      <c r="EE847" s="997"/>
      <c r="EF847" s="997"/>
      <c r="EG847" s="997"/>
      <c r="EH847" s="997"/>
      <c r="EI847" s="997"/>
      <c r="EJ847" s="997"/>
      <c r="EK847" s="997"/>
      <c r="EL847" s="997"/>
      <c r="EM847" s="997"/>
      <c r="EN847" s="997"/>
      <c r="EO847" s="997"/>
      <c r="EP847" s="997"/>
      <c r="EQ847" s="997"/>
      <c r="ER847" s="997"/>
      <c r="ES847" s="997"/>
      <c r="ET847" s="997"/>
      <c r="EU847" s="997"/>
      <c r="EV847" s="997"/>
      <c r="EW847" s="997"/>
      <c r="EX847" s="997"/>
      <c r="EY847" s="997"/>
      <c r="EZ847" s="997"/>
      <c r="FA847" s="997"/>
      <c r="FB847" s="997"/>
      <c r="FC847" s="997"/>
      <c r="FD847" s="997"/>
      <c r="FE847" s="997"/>
      <c r="FF847" s="997"/>
      <c r="FG847" s="997"/>
      <c r="FH847" s="997"/>
      <c r="FI847" s="997"/>
      <c r="FJ847" s="997"/>
      <c r="FK847" s="997"/>
      <c r="FL847" s="997"/>
      <c r="FM847" s="997"/>
      <c r="FN847" s="997"/>
      <c r="FO847" s="997"/>
      <c r="FP847" s="997"/>
      <c r="FQ847" s="997"/>
      <c r="FR847" s="997"/>
      <c r="FS847" s="997"/>
      <c r="FT847" s="997"/>
      <c r="FU847" s="997"/>
      <c r="FV847" s="997"/>
      <c r="FW847" s="997"/>
      <c r="FX847" s="997"/>
      <c r="FY847" s="997"/>
      <c r="FZ847" s="997"/>
      <c r="GA847" s="997"/>
      <c r="GB847" s="997"/>
      <c r="GC847" s="997"/>
      <c r="GD847" s="997"/>
      <c r="GE847" s="997"/>
      <c r="GF847" s="997"/>
      <c r="GG847" s="997"/>
      <c r="GH847" s="997"/>
      <c r="GI847" s="997"/>
      <c r="GJ847" s="997"/>
      <c r="GK847" s="997"/>
      <c r="GL847" s="997"/>
      <c r="GM847" s="997"/>
      <c r="GN847" s="997"/>
      <c r="GO847" s="997"/>
      <c r="GP847" s="997"/>
      <c r="GQ847" s="997"/>
      <c r="GR847" s="997"/>
      <c r="GS847" s="997"/>
      <c r="GT847" s="997"/>
      <c r="GU847" s="997"/>
      <c r="GV847" s="997"/>
      <c r="GW847" s="997"/>
      <c r="GX847" s="997"/>
      <c r="GY847" s="997"/>
      <c r="GZ847" s="997"/>
      <c r="HA847" s="997"/>
      <c r="HB847" s="997"/>
      <c r="HC847" s="997"/>
      <c r="HD847" s="997"/>
      <c r="HE847" s="997"/>
      <c r="HF847" s="997"/>
      <c r="HG847" s="997"/>
      <c r="HH847" s="997"/>
      <c r="HI847" s="997"/>
      <c r="HJ847" s="997"/>
      <c r="HK847" s="997"/>
      <c r="HL847" s="997"/>
      <c r="HM847" s="997"/>
      <c r="HN847" s="997"/>
      <c r="HO847" s="997"/>
      <c r="HP847" s="997"/>
      <c r="HQ847" s="997"/>
      <c r="HR847" s="997"/>
      <c r="HS847" s="997"/>
      <c r="HT847" s="997"/>
      <c r="HU847" s="997"/>
      <c r="HV847" s="997"/>
      <c r="HW847" s="997"/>
      <c r="HX847" s="997"/>
      <c r="HY847" s="997"/>
      <c r="HZ847" s="997"/>
      <c r="IA847" s="997"/>
      <c r="IB847" s="997"/>
      <c r="IC847" s="997"/>
      <c r="ID847" s="997"/>
      <c r="IE847" s="997"/>
      <c r="IF847" s="997"/>
      <c r="IG847" s="997"/>
      <c r="IH847" s="997"/>
      <c r="II847" s="997"/>
      <c r="IJ847" s="997"/>
      <c r="IK847" s="997"/>
      <c r="IL847" s="997"/>
      <c r="IM847" s="997"/>
      <c r="IN847" s="997"/>
    </row>
    <row r="848" spans="1:248" s="1090" customFormat="1" ht="14.1" customHeight="1">
      <c r="A848" s="1091"/>
      <c r="B848" s="945" t="s">
        <v>3778</v>
      </c>
      <c r="C848" s="929" t="s">
        <v>3950</v>
      </c>
      <c r="D848" s="1092"/>
      <c r="G848" s="997"/>
      <c r="H848" s="997"/>
      <c r="I848" s="997"/>
      <c r="J848" s="997"/>
      <c r="K848" s="997"/>
      <c r="L848" s="997"/>
      <c r="M848" s="997"/>
      <c r="N848" s="997"/>
      <c r="O848" s="997"/>
      <c r="P848" s="997"/>
      <c r="Q848" s="997"/>
      <c r="R848" s="997"/>
      <c r="S848" s="997"/>
      <c r="T848" s="997"/>
      <c r="U848" s="997"/>
      <c r="V848" s="997"/>
      <c r="W848" s="997"/>
      <c r="X848" s="997"/>
      <c r="Y848" s="997"/>
      <c r="Z848" s="997"/>
      <c r="AA848" s="997"/>
      <c r="AB848" s="997"/>
      <c r="AC848" s="997"/>
      <c r="AD848" s="997"/>
      <c r="AE848" s="997"/>
      <c r="AF848" s="997"/>
      <c r="AG848" s="997"/>
      <c r="AH848" s="997"/>
      <c r="AI848" s="997"/>
      <c r="AJ848" s="997"/>
      <c r="AK848" s="997"/>
      <c r="AL848" s="997"/>
      <c r="AM848" s="997"/>
      <c r="AN848" s="997"/>
      <c r="AO848" s="997"/>
      <c r="AP848" s="997"/>
      <c r="AQ848" s="997"/>
      <c r="AR848" s="997"/>
      <c r="AS848" s="997"/>
      <c r="AT848" s="997"/>
      <c r="AU848" s="997"/>
      <c r="AV848" s="997"/>
      <c r="AW848" s="997"/>
      <c r="AX848" s="997"/>
      <c r="AY848" s="997"/>
      <c r="AZ848" s="997"/>
      <c r="BA848" s="997"/>
      <c r="BB848" s="997"/>
      <c r="BC848" s="997"/>
      <c r="BD848" s="997"/>
      <c r="BE848" s="997"/>
      <c r="BF848" s="997"/>
      <c r="BG848" s="997"/>
      <c r="BH848" s="997"/>
      <c r="BI848" s="997"/>
      <c r="BJ848" s="997"/>
      <c r="BK848" s="997"/>
      <c r="BL848" s="997"/>
      <c r="BM848" s="997"/>
      <c r="BN848" s="997"/>
      <c r="BO848" s="997"/>
      <c r="BP848" s="997"/>
      <c r="BQ848" s="997"/>
      <c r="BR848" s="997"/>
      <c r="BS848" s="997"/>
      <c r="BT848" s="997"/>
      <c r="BU848" s="997"/>
      <c r="BV848" s="997"/>
      <c r="BW848" s="997"/>
      <c r="BX848" s="997"/>
      <c r="BY848" s="997"/>
      <c r="BZ848" s="997"/>
      <c r="CA848" s="997"/>
      <c r="CB848" s="997"/>
      <c r="CC848" s="997"/>
      <c r="CD848" s="997"/>
      <c r="CE848" s="997"/>
      <c r="CF848" s="997"/>
      <c r="CG848" s="997"/>
      <c r="CH848" s="997"/>
      <c r="CI848" s="997"/>
      <c r="CJ848" s="997"/>
      <c r="CK848" s="997"/>
      <c r="CL848" s="997"/>
      <c r="CM848" s="997"/>
      <c r="CN848" s="997"/>
      <c r="CO848" s="997"/>
      <c r="CP848" s="997"/>
      <c r="CQ848" s="997"/>
      <c r="CR848" s="997"/>
      <c r="CS848" s="997"/>
      <c r="CT848" s="997"/>
      <c r="CU848" s="997"/>
      <c r="CV848" s="997"/>
      <c r="CW848" s="997"/>
      <c r="CX848" s="997"/>
      <c r="CY848" s="997"/>
      <c r="CZ848" s="997"/>
      <c r="DA848" s="997"/>
      <c r="DB848" s="997"/>
      <c r="DC848" s="997"/>
      <c r="DD848" s="997"/>
      <c r="DE848" s="997"/>
      <c r="DF848" s="997"/>
      <c r="DG848" s="997"/>
      <c r="DH848" s="997"/>
      <c r="DI848" s="997"/>
      <c r="DJ848" s="997"/>
      <c r="DK848" s="997"/>
      <c r="DL848" s="997"/>
      <c r="DM848" s="997"/>
      <c r="DN848" s="997"/>
      <c r="DO848" s="997"/>
      <c r="DP848" s="997"/>
      <c r="DQ848" s="997"/>
      <c r="DR848" s="997"/>
      <c r="DS848" s="997"/>
      <c r="DT848" s="997"/>
      <c r="DU848" s="997"/>
      <c r="DV848" s="997"/>
      <c r="DW848" s="997"/>
      <c r="DX848" s="997"/>
      <c r="DY848" s="997"/>
      <c r="DZ848" s="997"/>
      <c r="EA848" s="997"/>
      <c r="EB848" s="997"/>
      <c r="EC848" s="997"/>
      <c r="ED848" s="997"/>
      <c r="EE848" s="997"/>
      <c r="EF848" s="997"/>
      <c r="EG848" s="997"/>
      <c r="EH848" s="997"/>
      <c r="EI848" s="997"/>
      <c r="EJ848" s="997"/>
      <c r="EK848" s="997"/>
      <c r="EL848" s="997"/>
      <c r="EM848" s="997"/>
      <c r="EN848" s="997"/>
      <c r="EO848" s="997"/>
      <c r="EP848" s="997"/>
      <c r="EQ848" s="997"/>
      <c r="ER848" s="997"/>
      <c r="ES848" s="997"/>
      <c r="ET848" s="997"/>
      <c r="EU848" s="997"/>
      <c r="EV848" s="997"/>
      <c r="EW848" s="997"/>
      <c r="EX848" s="997"/>
      <c r="EY848" s="997"/>
      <c r="EZ848" s="997"/>
      <c r="FA848" s="997"/>
      <c r="FB848" s="997"/>
      <c r="FC848" s="997"/>
      <c r="FD848" s="997"/>
      <c r="FE848" s="997"/>
      <c r="FF848" s="997"/>
      <c r="FG848" s="997"/>
      <c r="FH848" s="997"/>
      <c r="FI848" s="997"/>
      <c r="FJ848" s="997"/>
      <c r="FK848" s="997"/>
      <c r="FL848" s="997"/>
      <c r="FM848" s="997"/>
      <c r="FN848" s="997"/>
      <c r="FO848" s="997"/>
      <c r="FP848" s="997"/>
      <c r="FQ848" s="997"/>
      <c r="FR848" s="997"/>
      <c r="FS848" s="997"/>
      <c r="FT848" s="997"/>
      <c r="FU848" s="997"/>
      <c r="FV848" s="997"/>
      <c r="FW848" s="997"/>
      <c r="FX848" s="997"/>
      <c r="FY848" s="997"/>
      <c r="FZ848" s="997"/>
      <c r="GA848" s="997"/>
      <c r="GB848" s="997"/>
      <c r="GC848" s="997"/>
      <c r="GD848" s="997"/>
      <c r="GE848" s="997"/>
      <c r="GF848" s="997"/>
      <c r="GG848" s="997"/>
      <c r="GH848" s="997"/>
      <c r="GI848" s="997"/>
      <c r="GJ848" s="997"/>
      <c r="GK848" s="997"/>
      <c r="GL848" s="997"/>
      <c r="GM848" s="997"/>
      <c r="GN848" s="997"/>
      <c r="GO848" s="997"/>
      <c r="GP848" s="997"/>
      <c r="GQ848" s="997"/>
      <c r="GR848" s="997"/>
      <c r="GS848" s="997"/>
      <c r="GT848" s="997"/>
      <c r="GU848" s="997"/>
      <c r="GV848" s="997"/>
      <c r="GW848" s="997"/>
      <c r="GX848" s="997"/>
      <c r="GY848" s="997"/>
      <c r="GZ848" s="997"/>
      <c r="HA848" s="997"/>
      <c r="HB848" s="997"/>
      <c r="HC848" s="997"/>
      <c r="HD848" s="997"/>
      <c r="HE848" s="997"/>
      <c r="HF848" s="997"/>
      <c r="HG848" s="997"/>
      <c r="HH848" s="997"/>
      <c r="HI848" s="997"/>
      <c r="HJ848" s="997"/>
      <c r="HK848" s="997"/>
      <c r="HL848" s="997"/>
      <c r="HM848" s="997"/>
      <c r="HN848" s="997"/>
      <c r="HO848" s="997"/>
      <c r="HP848" s="997"/>
      <c r="HQ848" s="997"/>
      <c r="HR848" s="997"/>
      <c r="HS848" s="997"/>
      <c r="HT848" s="997"/>
      <c r="HU848" s="997"/>
      <c r="HV848" s="997"/>
      <c r="HW848" s="997"/>
      <c r="HX848" s="997"/>
      <c r="HY848" s="997"/>
      <c r="HZ848" s="997"/>
      <c r="IA848" s="997"/>
      <c r="IB848" s="997"/>
      <c r="IC848" s="997"/>
      <c r="ID848" s="997"/>
      <c r="IE848" s="997"/>
      <c r="IF848" s="997"/>
      <c r="IG848" s="997"/>
      <c r="IH848" s="997"/>
      <c r="II848" s="997"/>
      <c r="IJ848" s="997"/>
      <c r="IK848" s="997"/>
      <c r="IL848" s="997"/>
      <c r="IM848" s="997"/>
      <c r="IN848" s="997"/>
    </row>
    <row r="849" spans="1:248" s="1090" customFormat="1" ht="14.1" customHeight="1">
      <c r="A849" s="1091"/>
      <c r="B849" s="1091"/>
      <c r="C849" s="929" t="s">
        <v>3951</v>
      </c>
      <c r="D849" s="1092"/>
      <c r="G849" s="997"/>
      <c r="H849" s="997"/>
      <c r="I849" s="997"/>
      <c r="J849" s="997"/>
      <c r="K849" s="997"/>
      <c r="L849" s="997"/>
      <c r="M849" s="997"/>
      <c r="N849" s="997"/>
      <c r="O849" s="997"/>
      <c r="P849" s="997"/>
      <c r="Q849" s="997"/>
      <c r="R849" s="997"/>
      <c r="S849" s="997"/>
      <c r="T849" s="997"/>
      <c r="U849" s="997"/>
      <c r="V849" s="997"/>
      <c r="W849" s="997"/>
      <c r="X849" s="997"/>
      <c r="Y849" s="997"/>
      <c r="Z849" s="997"/>
      <c r="AA849" s="997"/>
      <c r="AB849" s="997"/>
      <c r="AC849" s="997"/>
      <c r="AD849" s="997"/>
      <c r="AE849" s="997"/>
      <c r="AF849" s="997"/>
      <c r="AG849" s="997"/>
      <c r="AH849" s="997"/>
      <c r="AI849" s="997"/>
      <c r="AJ849" s="997"/>
      <c r="AK849" s="997"/>
      <c r="AL849" s="997"/>
      <c r="AM849" s="997"/>
      <c r="AN849" s="997"/>
      <c r="AO849" s="997"/>
      <c r="AP849" s="997"/>
      <c r="AQ849" s="997"/>
      <c r="AR849" s="997"/>
      <c r="AS849" s="997"/>
      <c r="AT849" s="997"/>
      <c r="AU849" s="997"/>
      <c r="AV849" s="997"/>
      <c r="AW849" s="997"/>
      <c r="AX849" s="997"/>
      <c r="AY849" s="997"/>
      <c r="AZ849" s="997"/>
      <c r="BA849" s="997"/>
      <c r="BB849" s="997"/>
      <c r="BC849" s="997"/>
      <c r="BD849" s="997"/>
      <c r="BE849" s="997"/>
      <c r="BF849" s="997"/>
      <c r="BG849" s="997"/>
      <c r="BH849" s="997"/>
      <c r="BI849" s="997"/>
      <c r="BJ849" s="997"/>
      <c r="BK849" s="997"/>
      <c r="BL849" s="997"/>
      <c r="BM849" s="997"/>
      <c r="BN849" s="997"/>
      <c r="BO849" s="997"/>
      <c r="BP849" s="997"/>
      <c r="BQ849" s="997"/>
      <c r="BR849" s="997"/>
      <c r="BS849" s="997"/>
      <c r="BT849" s="997"/>
      <c r="BU849" s="997"/>
      <c r="BV849" s="997"/>
      <c r="BW849" s="997"/>
      <c r="BX849" s="997"/>
      <c r="BY849" s="997"/>
      <c r="BZ849" s="997"/>
      <c r="CA849" s="997"/>
      <c r="CB849" s="997"/>
      <c r="CC849" s="997"/>
      <c r="CD849" s="997"/>
      <c r="CE849" s="997"/>
      <c r="CF849" s="997"/>
      <c r="CG849" s="997"/>
      <c r="CH849" s="997"/>
      <c r="CI849" s="997"/>
      <c r="CJ849" s="997"/>
      <c r="CK849" s="997"/>
      <c r="CL849" s="997"/>
      <c r="CM849" s="997"/>
      <c r="CN849" s="997"/>
      <c r="CO849" s="997"/>
      <c r="CP849" s="997"/>
      <c r="CQ849" s="997"/>
      <c r="CR849" s="997"/>
      <c r="CS849" s="997"/>
      <c r="CT849" s="997"/>
      <c r="CU849" s="997"/>
      <c r="CV849" s="997"/>
      <c r="CW849" s="997"/>
      <c r="CX849" s="997"/>
      <c r="CY849" s="997"/>
      <c r="CZ849" s="997"/>
      <c r="DA849" s="997"/>
      <c r="DB849" s="997"/>
      <c r="DC849" s="997"/>
      <c r="DD849" s="997"/>
      <c r="DE849" s="997"/>
      <c r="DF849" s="997"/>
      <c r="DG849" s="997"/>
      <c r="DH849" s="997"/>
      <c r="DI849" s="997"/>
      <c r="DJ849" s="997"/>
      <c r="DK849" s="997"/>
      <c r="DL849" s="997"/>
      <c r="DM849" s="997"/>
      <c r="DN849" s="997"/>
      <c r="DO849" s="997"/>
      <c r="DP849" s="997"/>
      <c r="DQ849" s="997"/>
      <c r="DR849" s="997"/>
      <c r="DS849" s="997"/>
      <c r="DT849" s="997"/>
      <c r="DU849" s="997"/>
      <c r="DV849" s="997"/>
      <c r="DW849" s="997"/>
      <c r="DX849" s="997"/>
      <c r="DY849" s="997"/>
      <c r="DZ849" s="997"/>
      <c r="EA849" s="997"/>
      <c r="EB849" s="997"/>
      <c r="EC849" s="997"/>
      <c r="ED849" s="997"/>
      <c r="EE849" s="997"/>
      <c r="EF849" s="997"/>
      <c r="EG849" s="997"/>
      <c r="EH849" s="997"/>
      <c r="EI849" s="997"/>
      <c r="EJ849" s="997"/>
      <c r="EK849" s="997"/>
      <c r="EL849" s="997"/>
      <c r="EM849" s="997"/>
      <c r="EN849" s="997"/>
      <c r="EO849" s="997"/>
      <c r="EP849" s="997"/>
      <c r="EQ849" s="997"/>
      <c r="ER849" s="997"/>
      <c r="ES849" s="997"/>
      <c r="ET849" s="997"/>
      <c r="EU849" s="997"/>
      <c r="EV849" s="997"/>
      <c r="EW849" s="997"/>
      <c r="EX849" s="997"/>
      <c r="EY849" s="997"/>
      <c r="EZ849" s="997"/>
      <c r="FA849" s="997"/>
      <c r="FB849" s="997"/>
      <c r="FC849" s="997"/>
      <c r="FD849" s="997"/>
      <c r="FE849" s="997"/>
      <c r="FF849" s="997"/>
      <c r="FG849" s="997"/>
      <c r="FH849" s="997"/>
      <c r="FI849" s="997"/>
      <c r="FJ849" s="997"/>
      <c r="FK849" s="997"/>
      <c r="FL849" s="997"/>
      <c r="FM849" s="997"/>
      <c r="FN849" s="997"/>
      <c r="FO849" s="997"/>
      <c r="FP849" s="997"/>
      <c r="FQ849" s="997"/>
      <c r="FR849" s="997"/>
      <c r="FS849" s="997"/>
      <c r="FT849" s="997"/>
      <c r="FU849" s="997"/>
      <c r="FV849" s="997"/>
      <c r="FW849" s="997"/>
      <c r="FX849" s="997"/>
      <c r="FY849" s="997"/>
      <c r="FZ849" s="997"/>
      <c r="GA849" s="997"/>
      <c r="GB849" s="997"/>
      <c r="GC849" s="997"/>
      <c r="GD849" s="997"/>
      <c r="GE849" s="997"/>
      <c r="GF849" s="997"/>
      <c r="GG849" s="997"/>
      <c r="GH849" s="997"/>
      <c r="GI849" s="997"/>
      <c r="GJ849" s="997"/>
      <c r="GK849" s="997"/>
      <c r="GL849" s="997"/>
      <c r="GM849" s="997"/>
      <c r="GN849" s="997"/>
      <c r="GO849" s="997"/>
      <c r="GP849" s="997"/>
      <c r="GQ849" s="997"/>
      <c r="GR849" s="997"/>
      <c r="GS849" s="997"/>
      <c r="GT849" s="997"/>
      <c r="GU849" s="997"/>
      <c r="GV849" s="997"/>
      <c r="GW849" s="997"/>
      <c r="GX849" s="997"/>
      <c r="GY849" s="997"/>
      <c r="GZ849" s="997"/>
      <c r="HA849" s="997"/>
      <c r="HB849" s="997"/>
      <c r="HC849" s="997"/>
      <c r="HD849" s="997"/>
      <c r="HE849" s="997"/>
      <c r="HF849" s="997"/>
      <c r="HG849" s="997"/>
      <c r="HH849" s="997"/>
      <c r="HI849" s="997"/>
      <c r="HJ849" s="997"/>
      <c r="HK849" s="997"/>
      <c r="HL849" s="997"/>
      <c r="HM849" s="997"/>
      <c r="HN849" s="997"/>
      <c r="HO849" s="997"/>
      <c r="HP849" s="997"/>
      <c r="HQ849" s="997"/>
      <c r="HR849" s="997"/>
      <c r="HS849" s="997"/>
      <c r="HT849" s="997"/>
      <c r="HU849" s="997"/>
      <c r="HV849" s="997"/>
      <c r="HW849" s="997"/>
      <c r="HX849" s="997"/>
      <c r="HY849" s="997"/>
      <c r="HZ849" s="997"/>
      <c r="IA849" s="997"/>
      <c r="IB849" s="997"/>
      <c r="IC849" s="997"/>
      <c r="ID849" s="997"/>
      <c r="IE849" s="997"/>
      <c r="IF849" s="997"/>
      <c r="IG849" s="997"/>
      <c r="IH849" s="997"/>
      <c r="II849" s="997"/>
      <c r="IJ849" s="997"/>
      <c r="IK849" s="997"/>
      <c r="IL849" s="997"/>
      <c r="IM849" s="997"/>
      <c r="IN849" s="997"/>
    </row>
    <row r="850" spans="1:248" s="1090" customFormat="1" ht="14.1" customHeight="1">
      <c r="A850" s="1091"/>
      <c r="B850" s="1091"/>
      <c r="C850" s="1097"/>
      <c r="D850" s="1092"/>
      <c r="G850" s="997"/>
      <c r="H850" s="997"/>
      <c r="I850" s="997"/>
      <c r="J850" s="997"/>
      <c r="K850" s="997"/>
      <c r="L850" s="997"/>
      <c r="M850" s="997"/>
      <c r="N850" s="997"/>
      <c r="O850" s="997"/>
      <c r="P850" s="997"/>
      <c r="Q850" s="997"/>
      <c r="R850" s="997"/>
      <c r="S850" s="997"/>
      <c r="T850" s="997"/>
      <c r="U850" s="997"/>
      <c r="V850" s="997"/>
      <c r="W850" s="997"/>
      <c r="X850" s="997"/>
      <c r="Y850" s="997"/>
      <c r="Z850" s="997"/>
      <c r="AA850" s="997"/>
      <c r="AB850" s="997"/>
      <c r="AC850" s="997"/>
      <c r="AD850" s="997"/>
      <c r="AE850" s="997"/>
      <c r="AF850" s="997"/>
      <c r="AG850" s="997"/>
      <c r="AH850" s="997"/>
      <c r="AI850" s="997"/>
      <c r="AJ850" s="997"/>
      <c r="AK850" s="997"/>
      <c r="AL850" s="997"/>
      <c r="AM850" s="997"/>
      <c r="AN850" s="997"/>
      <c r="AO850" s="997"/>
      <c r="AP850" s="997"/>
      <c r="AQ850" s="997"/>
      <c r="AR850" s="997"/>
      <c r="AS850" s="997"/>
      <c r="AT850" s="997"/>
      <c r="AU850" s="997"/>
      <c r="AV850" s="997"/>
      <c r="AW850" s="997"/>
      <c r="AX850" s="997"/>
      <c r="AY850" s="997"/>
      <c r="AZ850" s="997"/>
      <c r="BA850" s="997"/>
      <c r="BB850" s="997"/>
      <c r="BC850" s="997"/>
      <c r="BD850" s="997"/>
      <c r="BE850" s="997"/>
      <c r="BF850" s="997"/>
      <c r="BG850" s="997"/>
      <c r="BH850" s="997"/>
      <c r="BI850" s="997"/>
      <c r="BJ850" s="997"/>
      <c r="BK850" s="997"/>
      <c r="BL850" s="997"/>
      <c r="BM850" s="997"/>
      <c r="BN850" s="997"/>
      <c r="BO850" s="997"/>
      <c r="BP850" s="997"/>
      <c r="BQ850" s="997"/>
      <c r="BR850" s="997"/>
      <c r="BS850" s="997"/>
      <c r="BT850" s="997"/>
      <c r="BU850" s="997"/>
      <c r="BV850" s="997"/>
      <c r="BW850" s="997"/>
      <c r="BX850" s="997"/>
      <c r="BY850" s="997"/>
      <c r="BZ850" s="997"/>
      <c r="CA850" s="997"/>
      <c r="CB850" s="997"/>
      <c r="CC850" s="997"/>
      <c r="CD850" s="997"/>
      <c r="CE850" s="997"/>
      <c r="CF850" s="997"/>
      <c r="CG850" s="997"/>
      <c r="CH850" s="997"/>
      <c r="CI850" s="997"/>
      <c r="CJ850" s="997"/>
      <c r="CK850" s="997"/>
      <c r="CL850" s="997"/>
      <c r="CM850" s="997"/>
      <c r="CN850" s="997"/>
      <c r="CO850" s="997"/>
      <c r="CP850" s="997"/>
      <c r="CQ850" s="997"/>
      <c r="CR850" s="997"/>
      <c r="CS850" s="997"/>
      <c r="CT850" s="997"/>
      <c r="CU850" s="997"/>
      <c r="CV850" s="997"/>
      <c r="CW850" s="997"/>
      <c r="CX850" s="997"/>
      <c r="CY850" s="997"/>
      <c r="CZ850" s="997"/>
      <c r="DA850" s="997"/>
      <c r="DB850" s="997"/>
      <c r="DC850" s="997"/>
      <c r="DD850" s="997"/>
      <c r="DE850" s="997"/>
      <c r="DF850" s="997"/>
      <c r="DG850" s="997"/>
      <c r="DH850" s="997"/>
      <c r="DI850" s="997"/>
      <c r="DJ850" s="997"/>
      <c r="DK850" s="997"/>
      <c r="DL850" s="997"/>
      <c r="DM850" s="997"/>
      <c r="DN850" s="997"/>
      <c r="DO850" s="997"/>
      <c r="DP850" s="997"/>
      <c r="DQ850" s="997"/>
      <c r="DR850" s="997"/>
      <c r="DS850" s="997"/>
      <c r="DT850" s="997"/>
      <c r="DU850" s="997"/>
      <c r="DV850" s="997"/>
      <c r="DW850" s="997"/>
      <c r="DX850" s="997"/>
      <c r="DY850" s="997"/>
      <c r="DZ850" s="997"/>
      <c r="EA850" s="997"/>
      <c r="EB850" s="997"/>
      <c r="EC850" s="997"/>
      <c r="ED850" s="997"/>
      <c r="EE850" s="997"/>
      <c r="EF850" s="997"/>
      <c r="EG850" s="997"/>
      <c r="EH850" s="997"/>
      <c r="EI850" s="997"/>
      <c r="EJ850" s="997"/>
      <c r="EK850" s="997"/>
      <c r="EL850" s="997"/>
      <c r="EM850" s="997"/>
      <c r="EN850" s="997"/>
      <c r="EO850" s="997"/>
      <c r="EP850" s="997"/>
      <c r="EQ850" s="997"/>
      <c r="ER850" s="997"/>
      <c r="ES850" s="997"/>
      <c r="ET850" s="997"/>
      <c r="EU850" s="997"/>
      <c r="EV850" s="997"/>
      <c r="EW850" s="997"/>
      <c r="EX850" s="997"/>
      <c r="EY850" s="997"/>
      <c r="EZ850" s="997"/>
      <c r="FA850" s="997"/>
      <c r="FB850" s="997"/>
      <c r="FC850" s="997"/>
      <c r="FD850" s="997"/>
      <c r="FE850" s="997"/>
      <c r="FF850" s="997"/>
      <c r="FG850" s="997"/>
      <c r="FH850" s="997"/>
      <c r="FI850" s="997"/>
      <c r="FJ850" s="997"/>
      <c r="FK850" s="997"/>
      <c r="FL850" s="997"/>
      <c r="FM850" s="997"/>
      <c r="FN850" s="997"/>
      <c r="FO850" s="997"/>
      <c r="FP850" s="997"/>
      <c r="FQ850" s="997"/>
      <c r="FR850" s="997"/>
      <c r="FS850" s="997"/>
      <c r="FT850" s="997"/>
      <c r="FU850" s="997"/>
      <c r="FV850" s="997"/>
      <c r="FW850" s="997"/>
      <c r="FX850" s="997"/>
      <c r="FY850" s="997"/>
      <c r="FZ850" s="997"/>
      <c r="GA850" s="997"/>
      <c r="GB850" s="997"/>
      <c r="GC850" s="997"/>
      <c r="GD850" s="997"/>
      <c r="GE850" s="997"/>
      <c r="GF850" s="997"/>
      <c r="GG850" s="997"/>
      <c r="GH850" s="997"/>
      <c r="GI850" s="997"/>
      <c r="GJ850" s="997"/>
      <c r="GK850" s="997"/>
      <c r="GL850" s="997"/>
      <c r="GM850" s="997"/>
      <c r="GN850" s="997"/>
      <c r="GO850" s="997"/>
      <c r="GP850" s="997"/>
      <c r="GQ850" s="997"/>
      <c r="GR850" s="997"/>
      <c r="GS850" s="997"/>
      <c r="GT850" s="997"/>
      <c r="GU850" s="997"/>
      <c r="GV850" s="997"/>
      <c r="GW850" s="997"/>
      <c r="GX850" s="997"/>
      <c r="GY850" s="997"/>
      <c r="GZ850" s="997"/>
      <c r="HA850" s="997"/>
      <c r="HB850" s="997"/>
      <c r="HC850" s="997"/>
      <c r="HD850" s="997"/>
      <c r="HE850" s="997"/>
      <c r="HF850" s="997"/>
      <c r="HG850" s="997"/>
      <c r="HH850" s="997"/>
      <c r="HI850" s="997"/>
      <c r="HJ850" s="997"/>
      <c r="HK850" s="997"/>
      <c r="HL850" s="997"/>
      <c r="HM850" s="997"/>
      <c r="HN850" s="997"/>
      <c r="HO850" s="997"/>
      <c r="HP850" s="997"/>
      <c r="HQ850" s="997"/>
      <c r="HR850" s="997"/>
      <c r="HS850" s="997"/>
      <c r="HT850" s="997"/>
      <c r="HU850" s="997"/>
      <c r="HV850" s="997"/>
      <c r="HW850" s="997"/>
      <c r="HX850" s="997"/>
      <c r="HY850" s="997"/>
      <c r="HZ850" s="997"/>
      <c r="IA850" s="997"/>
      <c r="IB850" s="997"/>
      <c r="IC850" s="997"/>
      <c r="ID850" s="997"/>
      <c r="IE850" s="997"/>
      <c r="IF850" s="997"/>
      <c r="IG850" s="997"/>
      <c r="IH850" s="997"/>
      <c r="II850" s="997"/>
      <c r="IJ850" s="997"/>
      <c r="IK850" s="997"/>
      <c r="IL850" s="997"/>
      <c r="IM850" s="997"/>
      <c r="IN850" s="997"/>
    </row>
    <row r="851" spans="1:248" s="1090" customFormat="1" ht="14.1" customHeight="1">
      <c r="A851" s="1091"/>
      <c r="B851" s="945" t="s">
        <v>3779</v>
      </c>
      <c r="C851" s="929" t="s">
        <v>3952</v>
      </c>
      <c r="D851" s="1092"/>
      <c r="G851" s="997"/>
      <c r="H851" s="997"/>
      <c r="I851" s="997"/>
      <c r="J851" s="997"/>
      <c r="K851" s="997"/>
      <c r="L851" s="997"/>
      <c r="M851" s="997"/>
      <c r="N851" s="997"/>
      <c r="O851" s="997"/>
      <c r="P851" s="997"/>
      <c r="Q851" s="997"/>
      <c r="R851" s="997"/>
      <c r="S851" s="997"/>
      <c r="T851" s="997"/>
      <c r="U851" s="997"/>
      <c r="V851" s="997"/>
      <c r="W851" s="997"/>
      <c r="X851" s="997"/>
      <c r="Y851" s="997"/>
      <c r="Z851" s="997"/>
      <c r="AA851" s="997"/>
      <c r="AB851" s="997"/>
      <c r="AC851" s="997"/>
      <c r="AD851" s="997"/>
      <c r="AE851" s="997"/>
      <c r="AF851" s="997"/>
      <c r="AG851" s="997"/>
      <c r="AH851" s="997"/>
      <c r="AI851" s="997"/>
      <c r="AJ851" s="997"/>
      <c r="AK851" s="997"/>
      <c r="AL851" s="997"/>
      <c r="AM851" s="997"/>
      <c r="AN851" s="997"/>
      <c r="AO851" s="997"/>
      <c r="AP851" s="997"/>
      <c r="AQ851" s="997"/>
      <c r="AR851" s="997"/>
      <c r="AS851" s="997"/>
      <c r="AT851" s="997"/>
      <c r="AU851" s="997"/>
      <c r="AV851" s="997"/>
      <c r="AW851" s="997"/>
      <c r="AX851" s="997"/>
      <c r="AY851" s="997"/>
      <c r="AZ851" s="997"/>
      <c r="BA851" s="997"/>
      <c r="BB851" s="997"/>
      <c r="BC851" s="997"/>
      <c r="BD851" s="997"/>
      <c r="BE851" s="997"/>
      <c r="BF851" s="997"/>
      <c r="BG851" s="997"/>
      <c r="BH851" s="997"/>
      <c r="BI851" s="997"/>
      <c r="BJ851" s="997"/>
      <c r="BK851" s="997"/>
      <c r="BL851" s="997"/>
      <c r="BM851" s="997"/>
      <c r="BN851" s="997"/>
      <c r="BO851" s="997"/>
      <c r="BP851" s="997"/>
      <c r="BQ851" s="997"/>
      <c r="BR851" s="997"/>
      <c r="BS851" s="997"/>
      <c r="BT851" s="997"/>
      <c r="BU851" s="997"/>
      <c r="BV851" s="997"/>
      <c r="BW851" s="997"/>
      <c r="BX851" s="997"/>
      <c r="BY851" s="997"/>
      <c r="BZ851" s="997"/>
      <c r="CA851" s="997"/>
      <c r="CB851" s="997"/>
      <c r="CC851" s="997"/>
      <c r="CD851" s="997"/>
      <c r="CE851" s="997"/>
      <c r="CF851" s="997"/>
      <c r="CG851" s="997"/>
      <c r="CH851" s="997"/>
      <c r="CI851" s="997"/>
      <c r="CJ851" s="997"/>
      <c r="CK851" s="997"/>
      <c r="CL851" s="997"/>
      <c r="CM851" s="997"/>
      <c r="CN851" s="997"/>
      <c r="CO851" s="997"/>
      <c r="CP851" s="997"/>
      <c r="CQ851" s="997"/>
      <c r="CR851" s="997"/>
      <c r="CS851" s="997"/>
      <c r="CT851" s="997"/>
      <c r="CU851" s="997"/>
      <c r="CV851" s="997"/>
      <c r="CW851" s="997"/>
      <c r="CX851" s="997"/>
      <c r="CY851" s="997"/>
      <c r="CZ851" s="997"/>
      <c r="DA851" s="997"/>
      <c r="DB851" s="997"/>
      <c r="DC851" s="997"/>
      <c r="DD851" s="997"/>
      <c r="DE851" s="997"/>
      <c r="DF851" s="997"/>
      <c r="DG851" s="997"/>
      <c r="DH851" s="997"/>
      <c r="DI851" s="997"/>
      <c r="DJ851" s="997"/>
      <c r="DK851" s="997"/>
      <c r="DL851" s="997"/>
      <c r="DM851" s="997"/>
      <c r="DN851" s="997"/>
      <c r="DO851" s="997"/>
      <c r="DP851" s="997"/>
      <c r="DQ851" s="997"/>
      <c r="DR851" s="997"/>
      <c r="DS851" s="997"/>
      <c r="DT851" s="997"/>
      <c r="DU851" s="997"/>
      <c r="DV851" s="997"/>
      <c r="DW851" s="997"/>
      <c r="DX851" s="997"/>
      <c r="DY851" s="997"/>
      <c r="DZ851" s="997"/>
      <c r="EA851" s="997"/>
      <c r="EB851" s="997"/>
      <c r="EC851" s="997"/>
      <c r="ED851" s="997"/>
      <c r="EE851" s="997"/>
      <c r="EF851" s="997"/>
      <c r="EG851" s="997"/>
      <c r="EH851" s="997"/>
      <c r="EI851" s="997"/>
      <c r="EJ851" s="997"/>
      <c r="EK851" s="997"/>
      <c r="EL851" s="997"/>
      <c r="EM851" s="997"/>
      <c r="EN851" s="997"/>
      <c r="EO851" s="997"/>
      <c r="EP851" s="997"/>
      <c r="EQ851" s="997"/>
      <c r="ER851" s="997"/>
      <c r="ES851" s="997"/>
      <c r="ET851" s="997"/>
      <c r="EU851" s="997"/>
      <c r="EV851" s="997"/>
      <c r="EW851" s="997"/>
      <c r="EX851" s="997"/>
      <c r="EY851" s="997"/>
      <c r="EZ851" s="997"/>
      <c r="FA851" s="997"/>
      <c r="FB851" s="997"/>
      <c r="FC851" s="997"/>
      <c r="FD851" s="997"/>
      <c r="FE851" s="997"/>
      <c r="FF851" s="997"/>
      <c r="FG851" s="997"/>
      <c r="FH851" s="997"/>
      <c r="FI851" s="997"/>
      <c r="FJ851" s="997"/>
      <c r="FK851" s="997"/>
      <c r="FL851" s="997"/>
      <c r="FM851" s="997"/>
      <c r="FN851" s="997"/>
      <c r="FO851" s="997"/>
      <c r="FP851" s="997"/>
      <c r="FQ851" s="997"/>
      <c r="FR851" s="997"/>
      <c r="FS851" s="997"/>
      <c r="FT851" s="997"/>
      <c r="FU851" s="997"/>
      <c r="FV851" s="997"/>
      <c r="FW851" s="997"/>
      <c r="FX851" s="997"/>
      <c r="FY851" s="997"/>
      <c r="FZ851" s="997"/>
      <c r="GA851" s="997"/>
      <c r="GB851" s="997"/>
      <c r="GC851" s="997"/>
      <c r="GD851" s="997"/>
      <c r="GE851" s="997"/>
      <c r="GF851" s="997"/>
      <c r="GG851" s="997"/>
      <c r="GH851" s="997"/>
      <c r="GI851" s="997"/>
      <c r="GJ851" s="997"/>
      <c r="GK851" s="997"/>
      <c r="GL851" s="997"/>
      <c r="GM851" s="997"/>
      <c r="GN851" s="997"/>
      <c r="GO851" s="997"/>
      <c r="GP851" s="997"/>
      <c r="GQ851" s="997"/>
      <c r="GR851" s="997"/>
      <c r="GS851" s="997"/>
      <c r="GT851" s="997"/>
      <c r="GU851" s="997"/>
      <c r="GV851" s="997"/>
      <c r="GW851" s="997"/>
      <c r="GX851" s="997"/>
      <c r="GY851" s="997"/>
      <c r="GZ851" s="997"/>
      <c r="HA851" s="997"/>
      <c r="HB851" s="997"/>
      <c r="HC851" s="997"/>
      <c r="HD851" s="997"/>
      <c r="HE851" s="997"/>
      <c r="HF851" s="997"/>
      <c r="HG851" s="997"/>
      <c r="HH851" s="997"/>
      <c r="HI851" s="997"/>
      <c r="HJ851" s="997"/>
      <c r="HK851" s="997"/>
      <c r="HL851" s="997"/>
      <c r="HM851" s="997"/>
      <c r="HN851" s="997"/>
      <c r="HO851" s="997"/>
      <c r="HP851" s="997"/>
      <c r="HQ851" s="997"/>
      <c r="HR851" s="997"/>
      <c r="HS851" s="997"/>
      <c r="HT851" s="997"/>
      <c r="HU851" s="997"/>
      <c r="HV851" s="997"/>
      <c r="HW851" s="997"/>
      <c r="HX851" s="997"/>
      <c r="HY851" s="997"/>
      <c r="HZ851" s="997"/>
      <c r="IA851" s="997"/>
      <c r="IB851" s="997"/>
      <c r="IC851" s="997"/>
      <c r="ID851" s="997"/>
      <c r="IE851" s="997"/>
      <c r="IF851" s="997"/>
      <c r="IG851" s="997"/>
      <c r="IH851" s="997"/>
      <c r="II851" s="997"/>
      <c r="IJ851" s="997"/>
      <c r="IK851" s="997"/>
      <c r="IL851" s="997"/>
      <c r="IM851" s="997"/>
      <c r="IN851" s="997"/>
    </row>
    <row r="852" spans="1:248" s="1090" customFormat="1" ht="14.1" customHeight="1">
      <c r="A852" s="1091"/>
      <c r="B852" s="1091"/>
      <c r="C852" s="929"/>
      <c r="D852" s="1092"/>
      <c r="G852" s="997"/>
      <c r="H852" s="997"/>
      <c r="I852" s="997"/>
      <c r="J852" s="997"/>
      <c r="K852" s="997"/>
      <c r="L852" s="997"/>
      <c r="M852" s="997"/>
      <c r="N852" s="997"/>
      <c r="O852" s="997"/>
      <c r="P852" s="997"/>
      <c r="Q852" s="997"/>
      <c r="R852" s="997"/>
      <c r="S852" s="997"/>
      <c r="T852" s="997"/>
      <c r="U852" s="997"/>
      <c r="V852" s="997"/>
      <c r="W852" s="997"/>
      <c r="X852" s="997"/>
      <c r="Y852" s="997"/>
      <c r="Z852" s="997"/>
      <c r="AA852" s="997"/>
      <c r="AB852" s="997"/>
      <c r="AC852" s="997"/>
      <c r="AD852" s="997"/>
      <c r="AE852" s="997"/>
      <c r="AF852" s="997"/>
      <c r="AG852" s="997"/>
      <c r="AH852" s="997"/>
      <c r="AI852" s="997"/>
      <c r="AJ852" s="997"/>
      <c r="AK852" s="997"/>
      <c r="AL852" s="997"/>
      <c r="AM852" s="997"/>
      <c r="AN852" s="997"/>
      <c r="AO852" s="997"/>
      <c r="AP852" s="997"/>
      <c r="AQ852" s="997"/>
      <c r="AR852" s="997"/>
      <c r="AS852" s="997"/>
      <c r="AT852" s="997"/>
      <c r="AU852" s="997"/>
      <c r="AV852" s="997"/>
      <c r="AW852" s="997"/>
      <c r="AX852" s="997"/>
      <c r="AY852" s="997"/>
      <c r="AZ852" s="997"/>
      <c r="BA852" s="997"/>
      <c r="BB852" s="997"/>
      <c r="BC852" s="997"/>
      <c r="BD852" s="997"/>
      <c r="BE852" s="997"/>
      <c r="BF852" s="997"/>
      <c r="BG852" s="997"/>
      <c r="BH852" s="997"/>
      <c r="BI852" s="997"/>
      <c r="BJ852" s="997"/>
      <c r="BK852" s="997"/>
      <c r="BL852" s="997"/>
      <c r="BM852" s="997"/>
      <c r="BN852" s="997"/>
      <c r="BO852" s="997"/>
      <c r="BP852" s="997"/>
      <c r="BQ852" s="997"/>
      <c r="BR852" s="997"/>
      <c r="BS852" s="997"/>
      <c r="BT852" s="997"/>
      <c r="BU852" s="997"/>
      <c r="BV852" s="997"/>
      <c r="BW852" s="997"/>
      <c r="BX852" s="997"/>
      <c r="BY852" s="997"/>
      <c r="BZ852" s="997"/>
      <c r="CA852" s="997"/>
      <c r="CB852" s="997"/>
      <c r="CC852" s="997"/>
      <c r="CD852" s="997"/>
      <c r="CE852" s="997"/>
      <c r="CF852" s="997"/>
      <c r="CG852" s="997"/>
      <c r="CH852" s="997"/>
      <c r="CI852" s="997"/>
      <c r="CJ852" s="997"/>
      <c r="CK852" s="997"/>
      <c r="CL852" s="997"/>
      <c r="CM852" s="997"/>
      <c r="CN852" s="997"/>
      <c r="CO852" s="997"/>
      <c r="CP852" s="997"/>
      <c r="CQ852" s="997"/>
      <c r="CR852" s="997"/>
      <c r="CS852" s="997"/>
      <c r="CT852" s="997"/>
      <c r="CU852" s="997"/>
      <c r="CV852" s="997"/>
      <c r="CW852" s="997"/>
      <c r="CX852" s="997"/>
      <c r="CY852" s="997"/>
      <c r="CZ852" s="997"/>
      <c r="DA852" s="997"/>
      <c r="DB852" s="997"/>
      <c r="DC852" s="997"/>
      <c r="DD852" s="997"/>
      <c r="DE852" s="997"/>
      <c r="DF852" s="997"/>
      <c r="DG852" s="997"/>
      <c r="DH852" s="997"/>
      <c r="DI852" s="997"/>
      <c r="DJ852" s="997"/>
      <c r="DK852" s="997"/>
      <c r="DL852" s="997"/>
      <c r="DM852" s="997"/>
      <c r="DN852" s="997"/>
      <c r="DO852" s="997"/>
      <c r="DP852" s="997"/>
      <c r="DQ852" s="997"/>
      <c r="DR852" s="997"/>
      <c r="DS852" s="997"/>
      <c r="DT852" s="997"/>
      <c r="DU852" s="997"/>
      <c r="DV852" s="997"/>
      <c r="DW852" s="997"/>
      <c r="DX852" s="997"/>
      <c r="DY852" s="997"/>
      <c r="DZ852" s="997"/>
      <c r="EA852" s="997"/>
      <c r="EB852" s="997"/>
      <c r="EC852" s="997"/>
      <c r="ED852" s="997"/>
      <c r="EE852" s="997"/>
      <c r="EF852" s="997"/>
      <c r="EG852" s="997"/>
      <c r="EH852" s="997"/>
      <c r="EI852" s="997"/>
      <c r="EJ852" s="997"/>
      <c r="EK852" s="997"/>
      <c r="EL852" s="997"/>
      <c r="EM852" s="997"/>
      <c r="EN852" s="997"/>
      <c r="EO852" s="997"/>
      <c r="EP852" s="997"/>
      <c r="EQ852" s="997"/>
      <c r="ER852" s="997"/>
      <c r="ES852" s="997"/>
      <c r="ET852" s="997"/>
      <c r="EU852" s="997"/>
      <c r="EV852" s="997"/>
      <c r="EW852" s="997"/>
      <c r="EX852" s="997"/>
      <c r="EY852" s="997"/>
      <c r="EZ852" s="997"/>
      <c r="FA852" s="997"/>
      <c r="FB852" s="997"/>
      <c r="FC852" s="997"/>
      <c r="FD852" s="997"/>
      <c r="FE852" s="997"/>
      <c r="FF852" s="997"/>
      <c r="FG852" s="997"/>
      <c r="FH852" s="997"/>
      <c r="FI852" s="997"/>
      <c r="FJ852" s="997"/>
      <c r="FK852" s="997"/>
      <c r="FL852" s="997"/>
      <c r="FM852" s="997"/>
      <c r="FN852" s="997"/>
      <c r="FO852" s="997"/>
      <c r="FP852" s="997"/>
      <c r="FQ852" s="997"/>
      <c r="FR852" s="997"/>
      <c r="FS852" s="997"/>
      <c r="FT852" s="997"/>
      <c r="FU852" s="997"/>
      <c r="FV852" s="997"/>
      <c r="FW852" s="997"/>
      <c r="FX852" s="997"/>
      <c r="FY852" s="997"/>
      <c r="FZ852" s="997"/>
      <c r="GA852" s="997"/>
      <c r="GB852" s="997"/>
      <c r="GC852" s="997"/>
      <c r="GD852" s="997"/>
      <c r="GE852" s="997"/>
      <c r="GF852" s="997"/>
      <c r="GG852" s="997"/>
      <c r="GH852" s="997"/>
      <c r="GI852" s="997"/>
      <c r="GJ852" s="997"/>
      <c r="GK852" s="997"/>
      <c r="GL852" s="997"/>
      <c r="GM852" s="997"/>
      <c r="GN852" s="997"/>
      <c r="GO852" s="997"/>
      <c r="GP852" s="997"/>
      <c r="GQ852" s="997"/>
      <c r="GR852" s="997"/>
      <c r="GS852" s="997"/>
      <c r="GT852" s="997"/>
      <c r="GU852" s="997"/>
      <c r="GV852" s="997"/>
      <c r="GW852" s="997"/>
      <c r="GX852" s="997"/>
      <c r="GY852" s="997"/>
      <c r="GZ852" s="997"/>
      <c r="HA852" s="997"/>
      <c r="HB852" s="997"/>
      <c r="HC852" s="997"/>
      <c r="HD852" s="997"/>
      <c r="HE852" s="997"/>
      <c r="HF852" s="997"/>
      <c r="HG852" s="997"/>
      <c r="HH852" s="997"/>
      <c r="HI852" s="997"/>
      <c r="HJ852" s="997"/>
      <c r="HK852" s="997"/>
      <c r="HL852" s="997"/>
      <c r="HM852" s="997"/>
      <c r="HN852" s="997"/>
      <c r="HO852" s="997"/>
      <c r="HP852" s="997"/>
      <c r="HQ852" s="997"/>
      <c r="HR852" s="997"/>
      <c r="HS852" s="997"/>
      <c r="HT852" s="997"/>
      <c r="HU852" s="997"/>
      <c r="HV852" s="997"/>
      <c r="HW852" s="997"/>
      <c r="HX852" s="997"/>
      <c r="HY852" s="997"/>
      <c r="HZ852" s="997"/>
      <c r="IA852" s="997"/>
      <c r="IB852" s="997"/>
      <c r="IC852" s="997"/>
      <c r="ID852" s="997"/>
      <c r="IE852" s="997"/>
      <c r="IF852" s="997"/>
      <c r="IG852" s="997"/>
      <c r="IH852" s="997"/>
      <c r="II852" s="997"/>
      <c r="IJ852" s="997"/>
      <c r="IK852" s="997"/>
      <c r="IL852" s="997"/>
      <c r="IM852" s="997"/>
      <c r="IN852" s="997"/>
    </row>
    <row r="853" spans="1:248" s="1090" customFormat="1" ht="14.1" customHeight="1">
      <c r="A853" s="1098"/>
      <c r="B853" s="945" t="s">
        <v>3780</v>
      </c>
      <c r="C853" s="929" t="s">
        <v>3953</v>
      </c>
      <c r="D853" s="1092"/>
      <c r="G853" s="997"/>
      <c r="H853" s="997"/>
      <c r="I853" s="997"/>
      <c r="J853" s="997"/>
      <c r="K853" s="997"/>
      <c r="L853" s="997"/>
      <c r="M853" s="997"/>
      <c r="N853" s="997"/>
      <c r="O853" s="997"/>
      <c r="P853" s="997"/>
      <c r="Q853" s="997"/>
      <c r="R853" s="997"/>
      <c r="S853" s="997"/>
      <c r="T853" s="997"/>
      <c r="U853" s="997"/>
      <c r="V853" s="997"/>
      <c r="W853" s="997"/>
      <c r="X853" s="997"/>
      <c r="Y853" s="997"/>
      <c r="Z853" s="997"/>
      <c r="AA853" s="997"/>
      <c r="AB853" s="997"/>
      <c r="AC853" s="997"/>
      <c r="AD853" s="997"/>
      <c r="AE853" s="997"/>
      <c r="AF853" s="997"/>
      <c r="AG853" s="997"/>
      <c r="AH853" s="997"/>
      <c r="AI853" s="997"/>
      <c r="AJ853" s="997"/>
      <c r="AK853" s="997"/>
      <c r="AL853" s="997"/>
      <c r="AM853" s="997"/>
      <c r="AN853" s="997"/>
      <c r="AO853" s="997"/>
      <c r="AP853" s="997"/>
      <c r="AQ853" s="997"/>
      <c r="AR853" s="997"/>
      <c r="AS853" s="997"/>
      <c r="AT853" s="997"/>
      <c r="AU853" s="997"/>
      <c r="AV853" s="997"/>
      <c r="AW853" s="997"/>
      <c r="AX853" s="997"/>
      <c r="AY853" s="997"/>
      <c r="AZ853" s="997"/>
      <c r="BA853" s="997"/>
      <c r="BB853" s="997"/>
      <c r="BC853" s="997"/>
      <c r="BD853" s="997"/>
      <c r="BE853" s="997"/>
      <c r="BF853" s="997"/>
      <c r="BG853" s="997"/>
      <c r="BH853" s="997"/>
      <c r="BI853" s="997"/>
      <c r="BJ853" s="997"/>
      <c r="BK853" s="997"/>
      <c r="BL853" s="997"/>
      <c r="BM853" s="997"/>
      <c r="BN853" s="997"/>
      <c r="BO853" s="997"/>
      <c r="BP853" s="997"/>
      <c r="BQ853" s="997"/>
      <c r="BR853" s="997"/>
      <c r="BS853" s="997"/>
      <c r="BT853" s="997"/>
      <c r="BU853" s="997"/>
      <c r="BV853" s="997"/>
      <c r="BW853" s="997"/>
      <c r="BX853" s="997"/>
      <c r="BY853" s="997"/>
      <c r="BZ853" s="997"/>
      <c r="CA853" s="997"/>
      <c r="CB853" s="997"/>
      <c r="CC853" s="997"/>
      <c r="CD853" s="997"/>
      <c r="CE853" s="997"/>
      <c r="CF853" s="997"/>
      <c r="CG853" s="997"/>
      <c r="CH853" s="997"/>
      <c r="CI853" s="997"/>
      <c r="CJ853" s="997"/>
      <c r="CK853" s="997"/>
      <c r="CL853" s="997"/>
      <c r="CM853" s="997"/>
      <c r="CN853" s="997"/>
      <c r="CO853" s="997"/>
      <c r="CP853" s="997"/>
      <c r="CQ853" s="997"/>
      <c r="CR853" s="997"/>
      <c r="CS853" s="997"/>
      <c r="CT853" s="997"/>
      <c r="CU853" s="997"/>
      <c r="CV853" s="997"/>
      <c r="CW853" s="997"/>
      <c r="CX853" s="997"/>
      <c r="CY853" s="997"/>
      <c r="CZ853" s="997"/>
      <c r="DA853" s="997"/>
      <c r="DB853" s="997"/>
      <c r="DC853" s="997"/>
      <c r="DD853" s="997"/>
      <c r="DE853" s="997"/>
      <c r="DF853" s="997"/>
      <c r="DG853" s="997"/>
      <c r="DH853" s="997"/>
      <c r="DI853" s="997"/>
      <c r="DJ853" s="997"/>
      <c r="DK853" s="997"/>
      <c r="DL853" s="997"/>
      <c r="DM853" s="997"/>
      <c r="DN853" s="997"/>
      <c r="DO853" s="997"/>
      <c r="DP853" s="997"/>
      <c r="DQ853" s="997"/>
      <c r="DR853" s="997"/>
      <c r="DS853" s="997"/>
      <c r="DT853" s="997"/>
      <c r="DU853" s="997"/>
      <c r="DV853" s="997"/>
      <c r="DW853" s="997"/>
      <c r="DX853" s="997"/>
      <c r="DY853" s="997"/>
      <c r="DZ853" s="997"/>
      <c r="EA853" s="997"/>
      <c r="EB853" s="997"/>
      <c r="EC853" s="997"/>
      <c r="ED853" s="997"/>
      <c r="EE853" s="997"/>
      <c r="EF853" s="997"/>
      <c r="EG853" s="997"/>
      <c r="EH853" s="997"/>
      <c r="EI853" s="997"/>
      <c r="EJ853" s="997"/>
      <c r="EK853" s="997"/>
      <c r="EL853" s="997"/>
      <c r="EM853" s="997"/>
      <c r="EN853" s="997"/>
      <c r="EO853" s="997"/>
      <c r="EP853" s="997"/>
      <c r="EQ853" s="997"/>
      <c r="ER853" s="997"/>
      <c r="ES853" s="997"/>
      <c r="ET853" s="997"/>
      <c r="EU853" s="997"/>
      <c r="EV853" s="997"/>
      <c r="EW853" s="997"/>
      <c r="EX853" s="997"/>
      <c r="EY853" s="997"/>
      <c r="EZ853" s="997"/>
      <c r="FA853" s="997"/>
      <c r="FB853" s="997"/>
      <c r="FC853" s="997"/>
      <c r="FD853" s="997"/>
      <c r="FE853" s="997"/>
      <c r="FF853" s="997"/>
      <c r="FG853" s="997"/>
      <c r="FH853" s="997"/>
      <c r="FI853" s="997"/>
      <c r="FJ853" s="997"/>
      <c r="FK853" s="997"/>
      <c r="FL853" s="997"/>
      <c r="FM853" s="997"/>
      <c r="FN853" s="997"/>
      <c r="FO853" s="997"/>
      <c r="FP853" s="997"/>
      <c r="FQ853" s="997"/>
      <c r="FR853" s="997"/>
      <c r="FS853" s="997"/>
      <c r="FT853" s="997"/>
      <c r="FU853" s="997"/>
      <c r="FV853" s="997"/>
      <c r="FW853" s="997"/>
      <c r="FX853" s="997"/>
      <c r="FY853" s="997"/>
      <c r="FZ853" s="997"/>
      <c r="GA853" s="997"/>
      <c r="GB853" s="997"/>
      <c r="GC853" s="997"/>
      <c r="GD853" s="997"/>
      <c r="GE853" s="997"/>
      <c r="GF853" s="997"/>
      <c r="GG853" s="997"/>
      <c r="GH853" s="997"/>
      <c r="GI853" s="997"/>
      <c r="GJ853" s="997"/>
      <c r="GK853" s="997"/>
      <c r="GL853" s="997"/>
      <c r="GM853" s="997"/>
      <c r="GN853" s="997"/>
      <c r="GO853" s="997"/>
      <c r="GP853" s="997"/>
      <c r="GQ853" s="997"/>
      <c r="GR853" s="997"/>
      <c r="GS853" s="997"/>
      <c r="GT853" s="997"/>
      <c r="GU853" s="997"/>
      <c r="GV853" s="997"/>
      <c r="GW853" s="997"/>
      <c r="GX853" s="997"/>
      <c r="GY853" s="997"/>
      <c r="GZ853" s="997"/>
      <c r="HA853" s="997"/>
      <c r="HB853" s="997"/>
      <c r="HC853" s="997"/>
      <c r="HD853" s="997"/>
      <c r="HE853" s="997"/>
      <c r="HF853" s="997"/>
      <c r="HG853" s="997"/>
      <c r="HH853" s="997"/>
      <c r="HI853" s="997"/>
      <c r="HJ853" s="997"/>
      <c r="HK853" s="997"/>
      <c r="HL853" s="997"/>
      <c r="HM853" s="997"/>
      <c r="HN853" s="997"/>
      <c r="HO853" s="997"/>
      <c r="HP853" s="997"/>
      <c r="HQ853" s="997"/>
      <c r="HR853" s="997"/>
      <c r="HS853" s="997"/>
      <c r="HT853" s="997"/>
      <c r="HU853" s="997"/>
      <c r="HV853" s="997"/>
      <c r="HW853" s="997"/>
      <c r="HX853" s="997"/>
      <c r="HY853" s="997"/>
      <c r="HZ853" s="997"/>
      <c r="IA853" s="997"/>
      <c r="IB853" s="997"/>
      <c r="IC853" s="997"/>
      <c r="ID853" s="997"/>
      <c r="IE853" s="997"/>
      <c r="IF853" s="997"/>
      <c r="IG853" s="997"/>
      <c r="IH853" s="997"/>
      <c r="II853" s="997"/>
      <c r="IJ853" s="997"/>
      <c r="IK853" s="997"/>
      <c r="IL853" s="997"/>
      <c r="IM853" s="997"/>
      <c r="IN853" s="997"/>
    </row>
    <row r="854" spans="1:248" s="1090" customFormat="1" ht="14.1" customHeight="1">
      <c r="A854" s="1091"/>
      <c r="B854" s="1091"/>
      <c r="C854" s="1097"/>
      <c r="D854" s="1092"/>
      <c r="G854" s="997"/>
      <c r="H854" s="997"/>
      <c r="I854" s="997"/>
      <c r="J854" s="997"/>
      <c r="K854" s="997"/>
      <c r="L854" s="997"/>
      <c r="M854" s="997"/>
      <c r="N854" s="997"/>
      <c r="O854" s="997"/>
      <c r="P854" s="997"/>
      <c r="Q854" s="997"/>
      <c r="R854" s="997"/>
      <c r="S854" s="997"/>
      <c r="T854" s="997"/>
      <c r="U854" s="997"/>
      <c r="V854" s="997"/>
      <c r="W854" s="997"/>
      <c r="X854" s="997"/>
      <c r="Y854" s="997"/>
      <c r="Z854" s="997"/>
      <c r="AA854" s="997"/>
      <c r="AB854" s="997"/>
      <c r="AC854" s="997"/>
      <c r="AD854" s="997"/>
      <c r="AE854" s="997"/>
      <c r="AF854" s="997"/>
      <c r="AG854" s="997"/>
      <c r="AH854" s="997"/>
      <c r="AI854" s="997"/>
      <c r="AJ854" s="997"/>
      <c r="AK854" s="997"/>
      <c r="AL854" s="997"/>
      <c r="AM854" s="997"/>
      <c r="AN854" s="997"/>
      <c r="AO854" s="997"/>
      <c r="AP854" s="997"/>
      <c r="AQ854" s="997"/>
      <c r="AR854" s="997"/>
      <c r="AS854" s="997"/>
      <c r="AT854" s="997"/>
      <c r="AU854" s="997"/>
      <c r="AV854" s="997"/>
      <c r="AW854" s="997"/>
      <c r="AX854" s="997"/>
      <c r="AY854" s="997"/>
      <c r="AZ854" s="997"/>
      <c r="BA854" s="997"/>
      <c r="BB854" s="997"/>
      <c r="BC854" s="997"/>
      <c r="BD854" s="997"/>
      <c r="BE854" s="997"/>
      <c r="BF854" s="997"/>
      <c r="BG854" s="997"/>
      <c r="BH854" s="997"/>
      <c r="BI854" s="997"/>
      <c r="BJ854" s="997"/>
      <c r="BK854" s="997"/>
      <c r="BL854" s="997"/>
      <c r="BM854" s="997"/>
      <c r="BN854" s="997"/>
      <c r="BO854" s="997"/>
      <c r="BP854" s="997"/>
      <c r="BQ854" s="997"/>
      <c r="BR854" s="997"/>
      <c r="BS854" s="997"/>
      <c r="BT854" s="997"/>
      <c r="BU854" s="997"/>
      <c r="BV854" s="997"/>
      <c r="BW854" s="997"/>
      <c r="BX854" s="997"/>
      <c r="BY854" s="997"/>
      <c r="BZ854" s="997"/>
      <c r="CA854" s="997"/>
      <c r="CB854" s="997"/>
      <c r="CC854" s="997"/>
      <c r="CD854" s="997"/>
      <c r="CE854" s="997"/>
      <c r="CF854" s="997"/>
      <c r="CG854" s="997"/>
      <c r="CH854" s="997"/>
      <c r="CI854" s="997"/>
      <c r="CJ854" s="997"/>
      <c r="CK854" s="997"/>
      <c r="CL854" s="997"/>
      <c r="CM854" s="997"/>
      <c r="CN854" s="997"/>
      <c r="CO854" s="997"/>
      <c r="CP854" s="997"/>
      <c r="CQ854" s="997"/>
      <c r="CR854" s="997"/>
      <c r="CS854" s="997"/>
      <c r="CT854" s="997"/>
      <c r="CU854" s="997"/>
      <c r="CV854" s="997"/>
      <c r="CW854" s="997"/>
      <c r="CX854" s="997"/>
      <c r="CY854" s="997"/>
      <c r="CZ854" s="997"/>
      <c r="DA854" s="997"/>
      <c r="DB854" s="997"/>
      <c r="DC854" s="997"/>
      <c r="DD854" s="997"/>
      <c r="DE854" s="997"/>
      <c r="DF854" s="997"/>
      <c r="DG854" s="997"/>
      <c r="DH854" s="997"/>
      <c r="DI854" s="997"/>
      <c r="DJ854" s="997"/>
      <c r="DK854" s="997"/>
      <c r="DL854" s="997"/>
      <c r="DM854" s="997"/>
      <c r="DN854" s="997"/>
      <c r="DO854" s="997"/>
      <c r="DP854" s="997"/>
      <c r="DQ854" s="997"/>
      <c r="DR854" s="997"/>
      <c r="DS854" s="997"/>
      <c r="DT854" s="997"/>
      <c r="DU854" s="997"/>
      <c r="DV854" s="997"/>
      <c r="DW854" s="997"/>
      <c r="DX854" s="997"/>
      <c r="DY854" s="997"/>
      <c r="DZ854" s="997"/>
      <c r="EA854" s="997"/>
      <c r="EB854" s="997"/>
      <c r="EC854" s="997"/>
      <c r="ED854" s="997"/>
      <c r="EE854" s="997"/>
      <c r="EF854" s="997"/>
      <c r="EG854" s="997"/>
      <c r="EH854" s="997"/>
      <c r="EI854" s="997"/>
      <c r="EJ854" s="997"/>
      <c r="EK854" s="997"/>
      <c r="EL854" s="997"/>
      <c r="EM854" s="997"/>
      <c r="EN854" s="997"/>
      <c r="EO854" s="997"/>
      <c r="EP854" s="997"/>
      <c r="EQ854" s="997"/>
      <c r="ER854" s="997"/>
      <c r="ES854" s="997"/>
      <c r="ET854" s="997"/>
      <c r="EU854" s="997"/>
      <c r="EV854" s="997"/>
      <c r="EW854" s="997"/>
      <c r="EX854" s="997"/>
      <c r="EY854" s="997"/>
      <c r="EZ854" s="997"/>
      <c r="FA854" s="997"/>
      <c r="FB854" s="997"/>
      <c r="FC854" s="997"/>
      <c r="FD854" s="997"/>
      <c r="FE854" s="997"/>
      <c r="FF854" s="997"/>
      <c r="FG854" s="997"/>
      <c r="FH854" s="997"/>
      <c r="FI854" s="997"/>
      <c r="FJ854" s="997"/>
      <c r="FK854" s="997"/>
      <c r="FL854" s="997"/>
      <c r="FM854" s="997"/>
      <c r="FN854" s="997"/>
      <c r="FO854" s="997"/>
      <c r="FP854" s="997"/>
      <c r="FQ854" s="997"/>
      <c r="FR854" s="997"/>
      <c r="FS854" s="997"/>
      <c r="FT854" s="997"/>
      <c r="FU854" s="997"/>
      <c r="FV854" s="997"/>
      <c r="FW854" s="997"/>
      <c r="FX854" s="997"/>
      <c r="FY854" s="997"/>
      <c r="FZ854" s="997"/>
      <c r="GA854" s="997"/>
      <c r="GB854" s="997"/>
      <c r="GC854" s="997"/>
      <c r="GD854" s="997"/>
      <c r="GE854" s="997"/>
      <c r="GF854" s="997"/>
      <c r="GG854" s="997"/>
      <c r="GH854" s="997"/>
      <c r="GI854" s="997"/>
      <c r="GJ854" s="997"/>
      <c r="GK854" s="997"/>
      <c r="GL854" s="997"/>
      <c r="GM854" s="997"/>
      <c r="GN854" s="997"/>
      <c r="GO854" s="997"/>
      <c r="GP854" s="997"/>
      <c r="GQ854" s="997"/>
      <c r="GR854" s="997"/>
      <c r="GS854" s="997"/>
      <c r="GT854" s="997"/>
      <c r="GU854" s="997"/>
      <c r="GV854" s="997"/>
      <c r="GW854" s="997"/>
      <c r="GX854" s="997"/>
      <c r="GY854" s="997"/>
      <c r="GZ854" s="997"/>
      <c r="HA854" s="997"/>
      <c r="HB854" s="997"/>
      <c r="HC854" s="997"/>
      <c r="HD854" s="997"/>
      <c r="HE854" s="997"/>
      <c r="HF854" s="997"/>
      <c r="HG854" s="997"/>
      <c r="HH854" s="997"/>
      <c r="HI854" s="997"/>
      <c r="HJ854" s="997"/>
      <c r="HK854" s="997"/>
      <c r="HL854" s="997"/>
      <c r="HM854" s="997"/>
      <c r="HN854" s="997"/>
      <c r="HO854" s="997"/>
      <c r="HP854" s="997"/>
      <c r="HQ854" s="997"/>
      <c r="HR854" s="997"/>
      <c r="HS854" s="997"/>
      <c r="HT854" s="997"/>
      <c r="HU854" s="997"/>
      <c r="HV854" s="997"/>
      <c r="HW854" s="997"/>
      <c r="HX854" s="997"/>
      <c r="HY854" s="997"/>
      <c r="HZ854" s="997"/>
      <c r="IA854" s="997"/>
      <c r="IB854" s="997"/>
      <c r="IC854" s="997"/>
      <c r="ID854" s="997"/>
      <c r="IE854" s="997"/>
      <c r="IF854" s="997"/>
      <c r="IG854" s="997"/>
      <c r="IH854" s="997"/>
      <c r="II854" s="997"/>
      <c r="IJ854" s="997"/>
      <c r="IK854" s="997"/>
      <c r="IL854" s="997"/>
      <c r="IM854" s="997"/>
      <c r="IN854" s="997"/>
    </row>
    <row r="855" spans="1:248" s="1090" customFormat="1" ht="14.1" customHeight="1">
      <c r="A855" s="1091"/>
      <c r="B855" s="945" t="s">
        <v>3781</v>
      </c>
      <c r="C855" s="929" t="s">
        <v>3954</v>
      </c>
      <c r="D855" s="1092"/>
      <c r="G855" s="997"/>
      <c r="H855" s="997"/>
      <c r="I855" s="997"/>
      <c r="J855" s="997"/>
      <c r="K855" s="997"/>
      <c r="L855" s="997"/>
      <c r="M855" s="997"/>
      <c r="N855" s="997"/>
      <c r="O855" s="997"/>
      <c r="P855" s="997"/>
      <c r="Q855" s="997"/>
      <c r="R855" s="997"/>
      <c r="S855" s="997"/>
      <c r="T855" s="997"/>
      <c r="U855" s="997"/>
      <c r="V855" s="997"/>
      <c r="W855" s="997"/>
      <c r="X855" s="997"/>
      <c r="Y855" s="997"/>
      <c r="Z855" s="997"/>
      <c r="AA855" s="997"/>
      <c r="AB855" s="997"/>
      <c r="AC855" s="997"/>
      <c r="AD855" s="997"/>
      <c r="AE855" s="997"/>
      <c r="AF855" s="997"/>
      <c r="AG855" s="997"/>
      <c r="AH855" s="997"/>
      <c r="AI855" s="997"/>
      <c r="AJ855" s="997"/>
      <c r="AK855" s="997"/>
      <c r="AL855" s="997"/>
      <c r="AM855" s="997"/>
      <c r="AN855" s="997"/>
      <c r="AO855" s="997"/>
      <c r="AP855" s="997"/>
      <c r="AQ855" s="997"/>
      <c r="AR855" s="997"/>
      <c r="AS855" s="997"/>
      <c r="AT855" s="997"/>
      <c r="AU855" s="997"/>
      <c r="AV855" s="997"/>
      <c r="AW855" s="997"/>
      <c r="AX855" s="997"/>
      <c r="AY855" s="997"/>
      <c r="AZ855" s="997"/>
      <c r="BA855" s="997"/>
      <c r="BB855" s="997"/>
      <c r="BC855" s="997"/>
      <c r="BD855" s="997"/>
      <c r="BE855" s="997"/>
      <c r="BF855" s="997"/>
      <c r="BG855" s="997"/>
      <c r="BH855" s="997"/>
      <c r="BI855" s="997"/>
      <c r="BJ855" s="997"/>
      <c r="BK855" s="997"/>
      <c r="BL855" s="997"/>
      <c r="BM855" s="997"/>
      <c r="BN855" s="997"/>
      <c r="BO855" s="997"/>
      <c r="BP855" s="997"/>
      <c r="BQ855" s="997"/>
      <c r="BR855" s="997"/>
      <c r="BS855" s="997"/>
      <c r="BT855" s="997"/>
      <c r="BU855" s="997"/>
      <c r="BV855" s="997"/>
      <c r="BW855" s="997"/>
      <c r="BX855" s="997"/>
      <c r="BY855" s="997"/>
      <c r="BZ855" s="997"/>
      <c r="CA855" s="997"/>
      <c r="CB855" s="997"/>
      <c r="CC855" s="997"/>
      <c r="CD855" s="997"/>
      <c r="CE855" s="997"/>
      <c r="CF855" s="997"/>
      <c r="CG855" s="997"/>
      <c r="CH855" s="997"/>
      <c r="CI855" s="997"/>
      <c r="CJ855" s="997"/>
      <c r="CK855" s="997"/>
      <c r="CL855" s="997"/>
      <c r="CM855" s="997"/>
      <c r="CN855" s="997"/>
      <c r="CO855" s="997"/>
      <c r="CP855" s="997"/>
      <c r="CQ855" s="997"/>
      <c r="CR855" s="997"/>
      <c r="CS855" s="997"/>
      <c r="CT855" s="997"/>
      <c r="CU855" s="997"/>
      <c r="CV855" s="997"/>
      <c r="CW855" s="997"/>
      <c r="CX855" s="997"/>
      <c r="CY855" s="997"/>
      <c r="CZ855" s="997"/>
      <c r="DA855" s="997"/>
      <c r="DB855" s="997"/>
      <c r="DC855" s="997"/>
      <c r="DD855" s="997"/>
      <c r="DE855" s="997"/>
      <c r="DF855" s="997"/>
      <c r="DG855" s="997"/>
      <c r="DH855" s="997"/>
      <c r="DI855" s="997"/>
      <c r="DJ855" s="997"/>
      <c r="DK855" s="997"/>
      <c r="DL855" s="997"/>
      <c r="DM855" s="997"/>
      <c r="DN855" s="997"/>
      <c r="DO855" s="997"/>
      <c r="DP855" s="997"/>
      <c r="DQ855" s="997"/>
      <c r="DR855" s="997"/>
      <c r="DS855" s="997"/>
      <c r="DT855" s="997"/>
      <c r="DU855" s="997"/>
      <c r="DV855" s="997"/>
      <c r="DW855" s="997"/>
      <c r="DX855" s="997"/>
      <c r="DY855" s="997"/>
      <c r="DZ855" s="997"/>
      <c r="EA855" s="997"/>
      <c r="EB855" s="997"/>
      <c r="EC855" s="997"/>
      <c r="ED855" s="997"/>
      <c r="EE855" s="997"/>
      <c r="EF855" s="997"/>
      <c r="EG855" s="997"/>
      <c r="EH855" s="997"/>
      <c r="EI855" s="997"/>
      <c r="EJ855" s="997"/>
      <c r="EK855" s="997"/>
      <c r="EL855" s="997"/>
      <c r="EM855" s="997"/>
      <c r="EN855" s="997"/>
      <c r="EO855" s="997"/>
      <c r="EP855" s="997"/>
      <c r="EQ855" s="997"/>
      <c r="ER855" s="997"/>
      <c r="ES855" s="997"/>
      <c r="ET855" s="997"/>
      <c r="EU855" s="997"/>
      <c r="EV855" s="997"/>
      <c r="EW855" s="997"/>
      <c r="EX855" s="997"/>
      <c r="EY855" s="997"/>
      <c r="EZ855" s="997"/>
      <c r="FA855" s="997"/>
      <c r="FB855" s="997"/>
      <c r="FC855" s="997"/>
      <c r="FD855" s="997"/>
      <c r="FE855" s="997"/>
      <c r="FF855" s="997"/>
      <c r="FG855" s="997"/>
      <c r="FH855" s="997"/>
      <c r="FI855" s="997"/>
      <c r="FJ855" s="997"/>
      <c r="FK855" s="997"/>
      <c r="FL855" s="997"/>
      <c r="FM855" s="997"/>
      <c r="FN855" s="997"/>
      <c r="FO855" s="997"/>
      <c r="FP855" s="997"/>
      <c r="FQ855" s="997"/>
      <c r="FR855" s="997"/>
      <c r="FS855" s="997"/>
      <c r="FT855" s="997"/>
      <c r="FU855" s="997"/>
      <c r="FV855" s="997"/>
      <c r="FW855" s="997"/>
      <c r="FX855" s="997"/>
      <c r="FY855" s="997"/>
      <c r="FZ855" s="997"/>
      <c r="GA855" s="997"/>
      <c r="GB855" s="997"/>
      <c r="GC855" s="997"/>
      <c r="GD855" s="997"/>
      <c r="GE855" s="997"/>
      <c r="GF855" s="997"/>
      <c r="GG855" s="997"/>
      <c r="GH855" s="997"/>
      <c r="GI855" s="997"/>
      <c r="GJ855" s="997"/>
      <c r="GK855" s="997"/>
      <c r="GL855" s="997"/>
      <c r="GM855" s="997"/>
      <c r="GN855" s="997"/>
      <c r="GO855" s="997"/>
      <c r="GP855" s="997"/>
      <c r="GQ855" s="997"/>
      <c r="GR855" s="997"/>
      <c r="GS855" s="997"/>
      <c r="GT855" s="997"/>
      <c r="GU855" s="997"/>
      <c r="GV855" s="997"/>
      <c r="GW855" s="997"/>
      <c r="GX855" s="997"/>
      <c r="GY855" s="997"/>
      <c r="GZ855" s="997"/>
      <c r="HA855" s="997"/>
      <c r="HB855" s="997"/>
      <c r="HC855" s="997"/>
      <c r="HD855" s="997"/>
      <c r="HE855" s="997"/>
      <c r="HF855" s="997"/>
      <c r="HG855" s="997"/>
      <c r="HH855" s="997"/>
      <c r="HI855" s="997"/>
      <c r="HJ855" s="997"/>
      <c r="HK855" s="997"/>
      <c r="HL855" s="997"/>
      <c r="HM855" s="997"/>
      <c r="HN855" s="997"/>
      <c r="HO855" s="997"/>
      <c r="HP855" s="997"/>
      <c r="HQ855" s="997"/>
      <c r="HR855" s="997"/>
      <c r="HS855" s="997"/>
      <c r="HT855" s="997"/>
      <c r="HU855" s="997"/>
      <c r="HV855" s="997"/>
      <c r="HW855" s="997"/>
      <c r="HX855" s="997"/>
      <c r="HY855" s="997"/>
      <c r="HZ855" s="997"/>
      <c r="IA855" s="997"/>
      <c r="IB855" s="997"/>
      <c r="IC855" s="997"/>
      <c r="ID855" s="997"/>
      <c r="IE855" s="997"/>
      <c r="IF855" s="997"/>
      <c r="IG855" s="997"/>
      <c r="IH855" s="997"/>
      <c r="II855" s="997"/>
      <c r="IJ855" s="997"/>
      <c r="IK855" s="997"/>
      <c r="IL855" s="997"/>
      <c r="IM855" s="997"/>
      <c r="IN855" s="997"/>
    </row>
    <row r="856" spans="1:248" s="1090" customFormat="1" ht="14.1" customHeight="1">
      <c r="A856" s="1098"/>
      <c r="B856" s="1091"/>
      <c r="C856" s="929" t="s">
        <v>3955</v>
      </c>
      <c r="D856" s="1092"/>
      <c r="G856" s="997"/>
      <c r="H856" s="997"/>
      <c r="I856" s="997"/>
      <c r="J856" s="997"/>
      <c r="K856" s="997"/>
      <c r="L856" s="997"/>
      <c r="M856" s="997"/>
      <c r="N856" s="997"/>
      <c r="O856" s="997"/>
      <c r="P856" s="997"/>
      <c r="Q856" s="997"/>
      <c r="R856" s="997"/>
      <c r="S856" s="997"/>
      <c r="T856" s="997"/>
      <c r="U856" s="997"/>
      <c r="V856" s="997"/>
      <c r="W856" s="997"/>
      <c r="X856" s="997"/>
      <c r="Y856" s="997"/>
      <c r="Z856" s="997"/>
      <c r="AA856" s="997"/>
      <c r="AB856" s="997"/>
      <c r="AC856" s="997"/>
      <c r="AD856" s="997"/>
      <c r="AE856" s="997"/>
      <c r="AF856" s="997"/>
      <c r="AG856" s="997"/>
      <c r="AH856" s="997"/>
      <c r="AI856" s="997"/>
      <c r="AJ856" s="997"/>
      <c r="AK856" s="997"/>
      <c r="AL856" s="997"/>
      <c r="AM856" s="997"/>
      <c r="AN856" s="997"/>
      <c r="AO856" s="997"/>
      <c r="AP856" s="997"/>
      <c r="AQ856" s="997"/>
      <c r="AR856" s="997"/>
      <c r="AS856" s="997"/>
      <c r="AT856" s="997"/>
      <c r="AU856" s="997"/>
      <c r="AV856" s="997"/>
      <c r="AW856" s="997"/>
      <c r="AX856" s="997"/>
      <c r="AY856" s="997"/>
      <c r="AZ856" s="997"/>
      <c r="BA856" s="997"/>
      <c r="BB856" s="997"/>
      <c r="BC856" s="997"/>
      <c r="BD856" s="997"/>
      <c r="BE856" s="997"/>
      <c r="BF856" s="997"/>
      <c r="BG856" s="997"/>
      <c r="BH856" s="997"/>
      <c r="BI856" s="997"/>
      <c r="BJ856" s="997"/>
      <c r="BK856" s="997"/>
      <c r="BL856" s="997"/>
      <c r="BM856" s="997"/>
      <c r="BN856" s="997"/>
      <c r="BO856" s="997"/>
      <c r="BP856" s="997"/>
      <c r="BQ856" s="997"/>
      <c r="BR856" s="997"/>
      <c r="BS856" s="997"/>
      <c r="BT856" s="997"/>
      <c r="BU856" s="997"/>
      <c r="BV856" s="997"/>
      <c r="BW856" s="997"/>
      <c r="BX856" s="997"/>
      <c r="BY856" s="997"/>
      <c r="BZ856" s="997"/>
      <c r="CA856" s="997"/>
      <c r="CB856" s="997"/>
      <c r="CC856" s="997"/>
      <c r="CD856" s="997"/>
      <c r="CE856" s="997"/>
      <c r="CF856" s="997"/>
      <c r="CG856" s="997"/>
      <c r="CH856" s="997"/>
      <c r="CI856" s="997"/>
      <c r="CJ856" s="997"/>
      <c r="CK856" s="997"/>
      <c r="CL856" s="997"/>
      <c r="CM856" s="997"/>
      <c r="CN856" s="997"/>
      <c r="CO856" s="997"/>
      <c r="CP856" s="997"/>
      <c r="CQ856" s="997"/>
      <c r="CR856" s="997"/>
      <c r="CS856" s="997"/>
      <c r="CT856" s="997"/>
      <c r="CU856" s="997"/>
      <c r="CV856" s="997"/>
      <c r="CW856" s="997"/>
      <c r="CX856" s="997"/>
      <c r="CY856" s="997"/>
      <c r="CZ856" s="997"/>
      <c r="DA856" s="997"/>
      <c r="DB856" s="997"/>
      <c r="DC856" s="997"/>
      <c r="DD856" s="997"/>
      <c r="DE856" s="997"/>
      <c r="DF856" s="997"/>
      <c r="DG856" s="997"/>
      <c r="DH856" s="997"/>
      <c r="DI856" s="997"/>
      <c r="DJ856" s="997"/>
      <c r="DK856" s="997"/>
      <c r="DL856" s="997"/>
      <c r="DM856" s="997"/>
      <c r="DN856" s="997"/>
      <c r="DO856" s="997"/>
      <c r="DP856" s="997"/>
      <c r="DQ856" s="997"/>
      <c r="DR856" s="997"/>
      <c r="DS856" s="997"/>
      <c r="DT856" s="997"/>
      <c r="DU856" s="997"/>
      <c r="DV856" s="997"/>
      <c r="DW856" s="997"/>
      <c r="DX856" s="997"/>
      <c r="DY856" s="997"/>
      <c r="DZ856" s="997"/>
      <c r="EA856" s="997"/>
      <c r="EB856" s="997"/>
      <c r="EC856" s="997"/>
      <c r="ED856" s="997"/>
      <c r="EE856" s="997"/>
      <c r="EF856" s="997"/>
      <c r="EG856" s="997"/>
      <c r="EH856" s="997"/>
      <c r="EI856" s="997"/>
      <c r="EJ856" s="997"/>
      <c r="EK856" s="997"/>
      <c r="EL856" s="997"/>
      <c r="EM856" s="997"/>
      <c r="EN856" s="997"/>
      <c r="EO856" s="997"/>
      <c r="EP856" s="997"/>
      <c r="EQ856" s="997"/>
      <c r="ER856" s="997"/>
      <c r="ES856" s="997"/>
      <c r="ET856" s="997"/>
      <c r="EU856" s="997"/>
      <c r="EV856" s="997"/>
      <c r="EW856" s="997"/>
      <c r="EX856" s="997"/>
      <c r="EY856" s="997"/>
      <c r="EZ856" s="997"/>
      <c r="FA856" s="997"/>
      <c r="FB856" s="997"/>
      <c r="FC856" s="997"/>
      <c r="FD856" s="997"/>
      <c r="FE856" s="997"/>
      <c r="FF856" s="997"/>
      <c r="FG856" s="997"/>
      <c r="FH856" s="997"/>
      <c r="FI856" s="997"/>
      <c r="FJ856" s="997"/>
      <c r="FK856" s="997"/>
      <c r="FL856" s="997"/>
      <c r="FM856" s="997"/>
      <c r="FN856" s="997"/>
      <c r="FO856" s="997"/>
      <c r="FP856" s="997"/>
      <c r="FQ856" s="997"/>
      <c r="FR856" s="997"/>
      <c r="FS856" s="997"/>
      <c r="FT856" s="997"/>
      <c r="FU856" s="997"/>
      <c r="FV856" s="997"/>
      <c r="FW856" s="997"/>
      <c r="FX856" s="997"/>
      <c r="FY856" s="997"/>
      <c r="FZ856" s="997"/>
      <c r="GA856" s="997"/>
      <c r="GB856" s="997"/>
      <c r="GC856" s="997"/>
      <c r="GD856" s="997"/>
      <c r="GE856" s="997"/>
      <c r="GF856" s="997"/>
      <c r="GG856" s="997"/>
      <c r="GH856" s="997"/>
      <c r="GI856" s="997"/>
      <c r="GJ856" s="997"/>
      <c r="GK856" s="997"/>
      <c r="GL856" s="997"/>
      <c r="GM856" s="997"/>
      <c r="GN856" s="997"/>
      <c r="GO856" s="997"/>
      <c r="GP856" s="997"/>
      <c r="GQ856" s="997"/>
      <c r="GR856" s="997"/>
      <c r="GS856" s="997"/>
      <c r="GT856" s="997"/>
      <c r="GU856" s="997"/>
      <c r="GV856" s="997"/>
      <c r="GW856" s="997"/>
      <c r="GX856" s="997"/>
      <c r="GY856" s="997"/>
      <c r="GZ856" s="997"/>
      <c r="HA856" s="997"/>
      <c r="HB856" s="997"/>
      <c r="HC856" s="997"/>
      <c r="HD856" s="997"/>
      <c r="HE856" s="997"/>
      <c r="HF856" s="997"/>
      <c r="HG856" s="997"/>
      <c r="HH856" s="997"/>
      <c r="HI856" s="997"/>
      <c r="HJ856" s="997"/>
      <c r="HK856" s="997"/>
      <c r="HL856" s="997"/>
      <c r="HM856" s="997"/>
      <c r="HN856" s="997"/>
      <c r="HO856" s="997"/>
      <c r="HP856" s="997"/>
      <c r="HQ856" s="997"/>
      <c r="HR856" s="997"/>
      <c r="HS856" s="997"/>
      <c r="HT856" s="997"/>
      <c r="HU856" s="997"/>
      <c r="HV856" s="997"/>
      <c r="HW856" s="997"/>
      <c r="HX856" s="997"/>
      <c r="HY856" s="997"/>
      <c r="HZ856" s="997"/>
      <c r="IA856" s="997"/>
      <c r="IB856" s="997"/>
      <c r="IC856" s="997"/>
      <c r="ID856" s="997"/>
      <c r="IE856" s="997"/>
      <c r="IF856" s="997"/>
      <c r="IG856" s="997"/>
      <c r="IH856" s="997"/>
      <c r="II856" s="997"/>
      <c r="IJ856" s="997"/>
      <c r="IK856" s="997"/>
      <c r="IL856" s="997"/>
      <c r="IM856" s="997"/>
      <c r="IN856" s="997"/>
    </row>
    <row r="857" spans="1:248" s="1090" customFormat="1" ht="14.1" customHeight="1">
      <c r="A857" s="1098"/>
      <c r="B857" s="1091"/>
      <c r="C857" s="1097"/>
      <c r="D857" s="1099"/>
      <c r="G857" s="997"/>
      <c r="H857" s="997"/>
      <c r="I857" s="997"/>
      <c r="J857" s="997"/>
      <c r="K857" s="997"/>
      <c r="L857" s="997"/>
      <c r="M857" s="997"/>
      <c r="N857" s="997"/>
      <c r="O857" s="997"/>
      <c r="P857" s="997"/>
      <c r="Q857" s="997"/>
      <c r="R857" s="997"/>
      <c r="S857" s="997"/>
      <c r="T857" s="997"/>
      <c r="U857" s="997"/>
      <c r="V857" s="997"/>
      <c r="W857" s="997"/>
      <c r="X857" s="997"/>
      <c r="Y857" s="997"/>
      <c r="Z857" s="997"/>
      <c r="AA857" s="997"/>
      <c r="AB857" s="997"/>
      <c r="AC857" s="997"/>
      <c r="AD857" s="997"/>
      <c r="AE857" s="997"/>
      <c r="AF857" s="997"/>
      <c r="AG857" s="997"/>
      <c r="AH857" s="997"/>
      <c r="AI857" s="997"/>
      <c r="AJ857" s="997"/>
      <c r="AK857" s="997"/>
      <c r="AL857" s="997"/>
      <c r="AM857" s="997"/>
      <c r="AN857" s="997"/>
      <c r="AO857" s="997"/>
      <c r="AP857" s="997"/>
      <c r="AQ857" s="997"/>
      <c r="AR857" s="997"/>
      <c r="AS857" s="997"/>
      <c r="AT857" s="997"/>
      <c r="AU857" s="997"/>
      <c r="AV857" s="997"/>
      <c r="AW857" s="997"/>
      <c r="AX857" s="997"/>
      <c r="AY857" s="997"/>
      <c r="AZ857" s="997"/>
      <c r="BA857" s="997"/>
      <c r="BB857" s="997"/>
      <c r="BC857" s="997"/>
      <c r="BD857" s="997"/>
      <c r="BE857" s="997"/>
      <c r="BF857" s="997"/>
      <c r="BG857" s="997"/>
      <c r="BH857" s="997"/>
      <c r="BI857" s="997"/>
      <c r="BJ857" s="997"/>
      <c r="BK857" s="997"/>
      <c r="BL857" s="997"/>
      <c r="BM857" s="997"/>
      <c r="BN857" s="997"/>
      <c r="BO857" s="997"/>
      <c r="BP857" s="997"/>
      <c r="BQ857" s="997"/>
      <c r="BR857" s="997"/>
      <c r="BS857" s="997"/>
      <c r="BT857" s="997"/>
      <c r="BU857" s="997"/>
      <c r="BV857" s="997"/>
      <c r="BW857" s="997"/>
      <c r="BX857" s="997"/>
      <c r="BY857" s="997"/>
      <c r="BZ857" s="997"/>
      <c r="CA857" s="997"/>
      <c r="CB857" s="997"/>
      <c r="CC857" s="997"/>
      <c r="CD857" s="997"/>
      <c r="CE857" s="997"/>
      <c r="CF857" s="997"/>
      <c r="CG857" s="997"/>
      <c r="CH857" s="997"/>
      <c r="CI857" s="997"/>
      <c r="CJ857" s="997"/>
      <c r="CK857" s="997"/>
      <c r="CL857" s="997"/>
      <c r="CM857" s="997"/>
      <c r="CN857" s="997"/>
      <c r="CO857" s="997"/>
      <c r="CP857" s="997"/>
      <c r="CQ857" s="997"/>
      <c r="CR857" s="997"/>
      <c r="CS857" s="997"/>
      <c r="CT857" s="997"/>
      <c r="CU857" s="997"/>
      <c r="CV857" s="997"/>
      <c r="CW857" s="997"/>
      <c r="CX857" s="997"/>
      <c r="CY857" s="997"/>
      <c r="CZ857" s="997"/>
      <c r="DA857" s="997"/>
      <c r="DB857" s="997"/>
      <c r="DC857" s="997"/>
      <c r="DD857" s="997"/>
      <c r="DE857" s="997"/>
      <c r="DF857" s="997"/>
      <c r="DG857" s="997"/>
      <c r="DH857" s="997"/>
      <c r="DI857" s="997"/>
      <c r="DJ857" s="997"/>
      <c r="DK857" s="997"/>
      <c r="DL857" s="997"/>
      <c r="DM857" s="997"/>
      <c r="DN857" s="997"/>
      <c r="DO857" s="997"/>
      <c r="DP857" s="997"/>
      <c r="DQ857" s="997"/>
      <c r="DR857" s="997"/>
      <c r="DS857" s="997"/>
      <c r="DT857" s="997"/>
      <c r="DU857" s="997"/>
      <c r="DV857" s="997"/>
      <c r="DW857" s="997"/>
      <c r="DX857" s="997"/>
      <c r="DY857" s="997"/>
      <c r="DZ857" s="997"/>
      <c r="EA857" s="997"/>
      <c r="EB857" s="997"/>
      <c r="EC857" s="997"/>
      <c r="ED857" s="997"/>
      <c r="EE857" s="997"/>
      <c r="EF857" s="997"/>
      <c r="EG857" s="997"/>
      <c r="EH857" s="997"/>
      <c r="EI857" s="997"/>
      <c r="EJ857" s="997"/>
      <c r="EK857" s="997"/>
      <c r="EL857" s="997"/>
      <c r="EM857" s="997"/>
      <c r="EN857" s="997"/>
      <c r="EO857" s="997"/>
      <c r="EP857" s="997"/>
      <c r="EQ857" s="997"/>
      <c r="ER857" s="997"/>
      <c r="ES857" s="997"/>
      <c r="ET857" s="997"/>
      <c r="EU857" s="997"/>
      <c r="EV857" s="997"/>
      <c r="EW857" s="997"/>
      <c r="EX857" s="997"/>
      <c r="EY857" s="997"/>
      <c r="EZ857" s="997"/>
      <c r="FA857" s="997"/>
      <c r="FB857" s="997"/>
      <c r="FC857" s="997"/>
      <c r="FD857" s="997"/>
      <c r="FE857" s="997"/>
      <c r="FF857" s="997"/>
      <c r="FG857" s="997"/>
      <c r="FH857" s="997"/>
      <c r="FI857" s="997"/>
      <c r="FJ857" s="997"/>
      <c r="FK857" s="997"/>
      <c r="FL857" s="997"/>
      <c r="FM857" s="997"/>
      <c r="FN857" s="997"/>
      <c r="FO857" s="997"/>
      <c r="FP857" s="997"/>
      <c r="FQ857" s="997"/>
      <c r="FR857" s="997"/>
      <c r="FS857" s="997"/>
      <c r="FT857" s="997"/>
      <c r="FU857" s="997"/>
      <c r="FV857" s="997"/>
      <c r="FW857" s="997"/>
      <c r="FX857" s="997"/>
      <c r="FY857" s="997"/>
      <c r="FZ857" s="997"/>
      <c r="GA857" s="997"/>
      <c r="GB857" s="997"/>
      <c r="GC857" s="997"/>
      <c r="GD857" s="997"/>
      <c r="GE857" s="997"/>
      <c r="GF857" s="997"/>
      <c r="GG857" s="997"/>
      <c r="GH857" s="997"/>
      <c r="GI857" s="997"/>
      <c r="GJ857" s="997"/>
      <c r="GK857" s="997"/>
      <c r="GL857" s="997"/>
      <c r="GM857" s="997"/>
      <c r="GN857" s="997"/>
      <c r="GO857" s="997"/>
      <c r="GP857" s="997"/>
      <c r="GQ857" s="997"/>
      <c r="GR857" s="997"/>
      <c r="GS857" s="997"/>
      <c r="GT857" s="997"/>
      <c r="GU857" s="997"/>
      <c r="GV857" s="997"/>
      <c r="GW857" s="997"/>
      <c r="GX857" s="997"/>
      <c r="GY857" s="997"/>
      <c r="GZ857" s="997"/>
      <c r="HA857" s="997"/>
      <c r="HB857" s="997"/>
      <c r="HC857" s="997"/>
      <c r="HD857" s="997"/>
      <c r="HE857" s="997"/>
      <c r="HF857" s="997"/>
      <c r="HG857" s="997"/>
      <c r="HH857" s="997"/>
      <c r="HI857" s="997"/>
      <c r="HJ857" s="997"/>
      <c r="HK857" s="997"/>
      <c r="HL857" s="997"/>
      <c r="HM857" s="997"/>
      <c r="HN857" s="997"/>
      <c r="HO857" s="997"/>
      <c r="HP857" s="997"/>
      <c r="HQ857" s="997"/>
      <c r="HR857" s="997"/>
      <c r="HS857" s="997"/>
      <c r="HT857" s="997"/>
      <c r="HU857" s="997"/>
      <c r="HV857" s="997"/>
      <c r="HW857" s="997"/>
      <c r="HX857" s="997"/>
      <c r="HY857" s="997"/>
      <c r="HZ857" s="997"/>
      <c r="IA857" s="997"/>
      <c r="IB857" s="997"/>
      <c r="IC857" s="997"/>
      <c r="ID857" s="997"/>
      <c r="IE857" s="997"/>
      <c r="IF857" s="997"/>
      <c r="IG857" s="997"/>
      <c r="IH857" s="997"/>
      <c r="II857" s="997"/>
      <c r="IJ857" s="997"/>
      <c r="IK857" s="997"/>
      <c r="IL857" s="997"/>
      <c r="IM857" s="997"/>
      <c r="IN857" s="997"/>
    </row>
    <row r="858" spans="1:248" s="1090" customFormat="1" ht="14.1" customHeight="1">
      <c r="A858" s="380"/>
      <c r="B858" s="945" t="s">
        <v>3782</v>
      </c>
      <c r="C858" s="929" t="s">
        <v>3956</v>
      </c>
      <c r="D858" s="1099"/>
      <c r="G858" s="997"/>
      <c r="H858" s="997"/>
      <c r="I858" s="997"/>
      <c r="J858" s="997"/>
      <c r="K858" s="997"/>
      <c r="L858" s="997"/>
      <c r="M858" s="997"/>
      <c r="N858" s="997"/>
      <c r="O858" s="997"/>
      <c r="P858" s="997"/>
      <c r="Q858" s="997"/>
      <c r="R858" s="997"/>
      <c r="S858" s="997"/>
      <c r="T858" s="997"/>
      <c r="U858" s="997"/>
      <c r="V858" s="997"/>
      <c r="W858" s="997"/>
      <c r="X858" s="997"/>
      <c r="Y858" s="997"/>
      <c r="Z858" s="997"/>
      <c r="AA858" s="997"/>
      <c r="AB858" s="997"/>
      <c r="AC858" s="997"/>
      <c r="AD858" s="997"/>
      <c r="AE858" s="997"/>
      <c r="AF858" s="997"/>
      <c r="AG858" s="997"/>
      <c r="AH858" s="997"/>
      <c r="AI858" s="997"/>
      <c r="AJ858" s="997"/>
      <c r="AK858" s="997"/>
      <c r="AL858" s="997"/>
      <c r="AM858" s="997"/>
      <c r="AN858" s="997"/>
      <c r="AO858" s="997"/>
      <c r="AP858" s="997"/>
      <c r="AQ858" s="997"/>
      <c r="AR858" s="997"/>
      <c r="AS858" s="997"/>
      <c r="AT858" s="997"/>
      <c r="AU858" s="997"/>
      <c r="AV858" s="997"/>
      <c r="AW858" s="997"/>
      <c r="AX858" s="997"/>
      <c r="AY858" s="997"/>
      <c r="AZ858" s="997"/>
      <c r="BA858" s="997"/>
      <c r="BB858" s="997"/>
      <c r="BC858" s="997"/>
      <c r="BD858" s="997"/>
      <c r="BE858" s="997"/>
      <c r="BF858" s="997"/>
      <c r="BG858" s="997"/>
      <c r="BH858" s="997"/>
      <c r="BI858" s="997"/>
      <c r="BJ858" s="997"/>
      <c r="BK858" s="997"/>
      <c r="BL858" s="997"/>
      <c r="BM858" s="997"/>
      <c r="BN858" s="997"/>
      <c r="BO858" s="997"/>
      <c r="BP858" s="997"/>
      <c r="BQ858" s="997"/>
      <c r="BR858" s="997"/>
      <c r="BS858" s="997"/>
      <c r="BT858" s="997"/>
      <c r="BU858" s="997"/>
      <c r="BV858" s="997"/>
      <c r="BW858" s="997"/>
      <c r="BX858" s="997"/>
      <c r="BY858" s="997"/>
      <c r="BZ858" s="997"/>
      <c r="CA858" s="997"/>
      <c r="CB858" s="997"/>
      <c r="CC858" s="997"/>
      <c r="CD858" s="997"/>
      <c r="CE858" s="997"/>
      <c r="CF858" s="997"/>
      <c r="CG858" s="997"/>
      <c r="CH858" s="997"/>
      <c r="CI858" s="997"/>
      <c r="CJ858" s="997"/>
      <c r="CK858" s="997"/>
      <c r="CL858" s="997"/>
      <c r="CM858" s="997"/>
      <c r="CN858" s="997"/>
      <c r="CO858" s="997"/>
      <c r="CP858" s="997"/>
      <c r="CQ858" s="997"/>
      <c r="CR858" s="997"/>
      <c r="CS858" s="997"/>
      <c r="CT858" s="997"/>
      <c r="CU858" s="997"/>
      <c r="CV858" s="997"/>
      <c r="CW858" s="997"/>
      <c r="CX858" s="997"/>
      <c r="CY858" s="997"/>
      <c r="CZ858" s="997"/>
      <c r="DA858" s="997"/>
      <c r="DB858" s="997"/>
      <c r="DC858" s="997"/>
      <c r="DD858" s="997"/>
      <c r="DE858" s="997"/>
      <c r="DF858" s="997"/>
      <c r="DG858" s="997"/>
      <c r="DH858" s="997"/>
      <c r="DI858" s="997"/>
      <c r="DJ858" s="997"/>
      <c r="DK858" s="997"/>
      <c r="DL858" s="997"/>
      <c r="DM858" s="997"/>
      <c r="DN858" s="997"/>
      <c r="DO858" s="997"/>
      <c r="DP858" s="997"/>
      <c r="DQ858" s="997"/>
      <c r="DR858" s="997"/>
      <c r="DS858" s="997"/>
      <c r="DT858" s="997"/>
      <c r="DU858" s="997"/>
      <c r="DV858" s="997"/>
      <c r="DW858" s="997"/>
      <c r="DX858" s="997"/>
      <c r="DY858" s="997"/>
      <c r="DZ858" s="997"/>
      <c r="EA858" s="997"/>
      <c r="EB858" s="997"/>
      <c r="EC858" s="997"/>
      <c r="ED858" s="997"/>
      <c r="EE858" s="997"/>
      <c r="EF858" s="997"/>
      <c r="EG858" s="997"/>
      <c r="EH858" s="997"/>
      <c r="EI858" s="997"/>
      <c r="EJ858" s="997"/>
      <c r="EK858" s="997"/>
      <c r="EL858" s="997"/>
      <c r="EM858" s="997"/>
      <c r="EN858" s="997"/>
      <c r="EO858" s="997"/>
      <c r="EP858" s="997"/>
      <c r="EQ858" s="997"/>
      <c r="ER858" s="997"/>
      <c r="ES858" s="997"/>
      <c r="ET858" s="997"/>
      <c r="EU858" s="997"/>
      <c r="EV858" s="997"/>
      <c r="EW858" s="997"/>
      <c r="EX858" s="997"/>
      <c r="EY858" s="997"/>
      <c r="EZ858" s="997"/>
      <c r="FA858" s="997"/>
      <c r="FB858" s="997"/>
      <c r="FC858" s="997"/>
      <c r="FD858" s="997"/>
      <c r="FE858" s="997"/>
      <c r="FF858" s="997"/>
      <c r="FG858" s="997"/>
      <c r="FH858" s="997"/>
      <c r="FI858" s="997"/>
      <c r="FJ858" s="997"/>
      <c r="FK858" s="997"/>
      <c r="FL858" s="997"/>
      <c r="FM858" s="997"/>
      <c r="FN858" s="997"/>
      <c r="FO858" s="997"/>
      <c r="FP858" s="997"/>
      <c r="FQ858" s="997"/>
      <c r="FR858" s="997"/>
      <c r="FS858" s="997"/>
      <c r="FT858" s="997"/>
      <c r="FU858" s="997"/>
      <c r="FV858" s="997"/>
      <c r="FW858" s="997"/>
      <c r="FX858" s="997"/>
      <c r="FY858" s="997"/>
      <c r="FZ858" s="997"/>
      <c r="GA858" s="997"/>
      <c r="GB858" s="997"/>
      <c r="GC858" s="997"/>
      <c r="GD858" s="997"/>
      <c r="GE858" s="997"/>
      <c r="GF858" s="997"/>
      <c r="GG858" s="997"/>
      <c r="GH858" s="997"/>
      <c r="GI858" s="997"/>
      <c r="GJ858" s="997"/>
      <c r="GK858" s="997"/>
      <c r="GL858" s="997"/>
      <c r="GM858" s="997"/>
      <c r="GN858" s="997"/>
      <c r="GO858" s="997"/>
      <c r="GP858" s="997"/>
      <c r="GQ858" s="997"/>
      <c r="GR858" s="997"/>
      <c r="GS858" s="997"/>
      <c r="GT858" s="997"/>
      <c r="GU858" s="997"/>
      <c r="GV858" s="997"/>
      <c r="GW858" s="997"/>
      <c r="GX858" s="997"/>
      <c r="GY858" s="997"/>
      <c r="GZ858" s="997"/>
      <c r="HA858" s="997"/>
      <c r="HB858" s="997"/>
      <c r="HC858" s="997"/>
      <c r="HD858" s="997"/>
      <c r="HE858" s="997"/>
      <c r="HF858" s="997"/>
      <c r="HG858" s="997"/>
      <c r="HH858" s="997"/>
      <c r="HI858" s="997"/>
      <c r="HJ858" s="997"/>
      <c r="HK858" s="997"/>
      <c r="HL858" s="997"/>
      <c r="HM858" s="997"/>
      <c r="HN858" s="997"/>
      <c r="HO858" s="997"/>
      <c r="HP858" s="997"/>
      <c r="HQ858" s="997"/>
      <c r="HR858" s="997"/>
      <c r="HS858" s="997"/>
      <c r="HT858" s="997"/>
      <c r="HU858" s="997"/>
      <c r="HV858" s="997"/>
      <c r="HW858" s="997"/>
      <c r="HX858" s="997"/>
      <c r="HY858" s="997"/>
      <c r="HZ858" s="997"/>
      <c r="IA858" s="997"/>
      <c r="IB858" s="997"/>
      <c r="IC858" s="997"/>
      <c r="ID858" s="997"/>
      <c r="IE858" s="997"/>
      <c r="IF858" s="997"/>
      <c r="IG858" s="997"/>
      <c r="IH858" s="997"/>
      <c r="II858" s="997"/>
      <c r="IJ858" s="997"/>
      <c r="IK858" s="997"/>
      <c r="IL858" s="997"/>
      <c r="IM858" s="997"/>
      <c r="IN858" s="997"/>
    </row>
    <row r="859" spans="1:248" s="1090" customFormat="1" ht="14.1" customHeight="1">
      <c r="A859" s="629"/>
      <c r="B859" s="1100"/>
      <c r="C859" s="929" t="s">
        <v>3957</v>
      </c>
      <c r="D859" s="1092"/>
      <c r="G859" s="997"/>
      <c r="H859" s="997"/>
      <c r="I859" s="997"/>
      <c r="J859" s="997"/>
      <c r="K859" s="997"/>
      <c r="L859" s="997"/>
      <c r="M859" s="997"/>
      <c r="N859" s="997"/>
      <c r="O859" s="997"/>
      <c r="P859" s="997"/>
      <c r="Q859" s="997"/>
      <c r="R859" s="997"/>
      <c r="S859" s="997"/>
      <c r="T859" s="997"/>
      <c r="U859" s="997"/>
      <c r="V859" s="997"/>
      <c r="W859" s="997"/>
      <c r="X859" s="997"/>
      <c r="Y859" s="997"/>
      <c r="Z859" s="997"/>
      <c r="AA859" s="997"/>
      <c r="AB859" s="997"/>
      <c r="AC859" s="997"/>
      <c r="AD859" s="997"/>
      <c r="AE859" s="997"/>
      <c r="AF859" s="997"/>
      <c r="AG859" s="997"/>
      <c r="AH859" s="997"/>
      <c r="AI859" s="997"/>
      <c r="AJ859" s="997"/>
      <c r="AK859" s="997"/>
      <c r="AL859" s="997"/>
      <c r="AM859" s="997"/>
      <c r="AN859" s="997"/>
      <c r="AO859" s="997"/>
      <c r="AP859" s="997"/>
      <c r="AQ859" s="997"/>
      <c r="AR859" s="997"/>
      <c r="AS859" s="997"/>
      <c r="AT859" s="997"/>
      <c r="AU859" s="997"/>
      <c r="AV859" s="997"/>
      <c r="AW859" s="997"/>
      <c r="AX859" s="997"/>
      <c r="AY859" s="997"/>
      <c r="AZ859" s="997"/>
      <c r="BA859" s="997"/>
      <c r="BB859" s="997"/>
      <c r="BC859" s="997"/>
      <c r="BD859" s="997"/>
      <c r="BE859" s="997"/>
      <c r="BF859" s="997"/>
      <c r="BG859" s="997"/>
      <c r="BH859" s="997"/>
      <c r="BI859" s="997"/>
      <c r="BJ859" s="997"/>
      <c r="BK859" s="997"/>
      <c r="BL859" s="997"/>
      <c r="BM859" s="997"/>
      <c r="BN859" s="997"/>
      <c r="BO859" s="997"/>
      <c r="BP859" s="997"/>
      <c r="BQ859" s="997"/>
      <c r="BR859" s="997"/>
      <c r="BS859" s="997"/>
      <c r="BT859" s="997"/>
      <c r="BU859" s="997"/>
      <c r="BV859" s="997"/>
      <c r="BW859" s="997"/>
      <c r="BX859" s="997"/>
      <c r="BY859" s="997"/>
      <c r="BZ859" s="997"/>
      <c r="CA859" s="997"/>
      <c r="CB859" s="997"/>
      <c r="CC859" s="997"/>
      <c r="CD859" s="997"/>
      <c r="CE859" s="997"/>
      <c r="CF859" s="997"/>
      <c r="CG859" s="997"/>
      <c r="CH859" s="997"/>
      <c r="CI859" s="997"/>
      <c r="CJ859" s="997"/>
      <c r="CK859" s="997"/>
      <c r="CL859" s="997"/>
      <c r="CM859" s="997"/>
      <c r="CN859" s="997"/>
      <c r="CO859" s="997"/>
      <c r="CP859" s="997"/>
      <c r="CQ859" s="997"/>
      <c r="CR859" s="997"/>
      <c r="CS859" s="997"/>
      <c r="CT859" s="997"/>
      <c r="CU859" s="997"/>
      <c r="CV859" s="997"/>
      <c r="CW859" s="997"/>
      <c r="CX859" s="997"/>
      <c r="CY859" s="997"/>
      <c r="CZ859" s="997"/>
      <c r="DA859" s="997"/>
      <c r="DB859" s="997"/>
      <c r="DC859" s="997"/>
      <c r="DD859" s="997"/>
      <c r="DE859" s="997"/>
      <c r="DF859" s="997"/>
      <c r="DG859" s="997"/>
      <c r="DH859" s="997"/>
      <c r="DI859" s="997"/>
      <c r="DJ859" s="997"/>
      <c r="DK859" s="997"/>
      <c r="DL859" s="997"/>
      <c r="DM859" s="997"/>
      <c r="DN859" s="997"/>
      <c r="DO859" s="997"/>
      <c r="DP859" s="997"/>
      <c r="DQ859" s="997"/>
      <c r="DR859" s="997"/>
      <c r="DS859" s="997"/>
      <c r="DT859" s="997"/>
      <c r="DU859" s="997"/>
      <c r="DV859" s="997"/>
      <c r="DW859" s="997"/>
      <c r="DX859" s="997"/>
      <c r="DY859" s="997"/>
      <c r="DZ859" s="997"/>
      <c r="EA859" s="997"/>
      <c r="EB859" s="997"/>
      <c r="EC859" s="997"/>
      <c r="ED859" s="997"/>
      <c r="EE859" s="997"/>
      <c r="EF859" s="997"/>
      <c r="EG859" s="997"/>
      <c r="EH859" s="997"/>
      <c r="EI859" s="997"/>
      <c r="EJ859" s="997"/>
      <c r="EK859" s="997"/>
      <c r="EL859" s="997"/>
      <c r="EM859" s="997"/>
      <c r="EN859" s="997"/>
      <c r="EO859" s="997"/>
      <c r="EP859" s="997"/>
      <c r="EQ859" s="997"/>
      <c r="ER859" s="997"/>
      <c r="ES859" s="997"/>
      <c r="ET859" s="997"/>
      <c r="EU859" s="997"/>
      <c r="EV859" s="997"/>
      <c r="EW859" s="997"/>
      <c r="EX859" s="997"/>
      <c r="EY859" s="997"/>
      <c r="EZ859" s="997"/>
      <c r="FA859" s="997"/>
      <c r="FB859" s="997"/>
      <c r="FC859" s="997"/>
      <c r="FD859" s="997"/>
      <c r="FE859" s="997"/>
      <c r="FF859" s="997"/>
      <c r="FG859" s="997"/>
      <c r="FH859" s="997"/>
      <c r="FI859" s="997"/>
      <c r="FJ859" s="997"/>
      <c r="FK859" s="997"/>
      <c r="FL859" s="997"/>
      <c r="FM859" s="997"/>
      <c r="FN859" s="997"/>
      <c r="FO859" s="997"/>
      <c r="FP859" s="997"/>
      <c r="FQ859" s="997"/>
      <c r="FR859" s="997"/>
      <c r="FS859" s="997"/>
      <c r="FT859" s="997"/>
      <c r="FU859" s="997"/>
      <c r="FV859" s="997"/>
      <c r="FW859" s="997"/>
      <c r="FX859" s="997"/>
      <c r="FY859" s="997"/>
      <c r="FZ859" s="997"/>
      <c r="GA859" s="997"/>
      <c r="GB859" s="997"/>
      <c r="GC859" s="997"/>
      <c r="GD859" s="997"/>
      <c r="GE859" s="997"/>
      <c r="GF859" s="997"/>
      <c r="GG859" s="997"/>
      <c r="GH859" s="997"/>
      <c r="GI859" s="997"/>
      <c r="GJ859" s="997"/>
      <c r="GK859" s="997"/>
      <c r="GL859" s="997"/>
      <c r="GM859" s="997"/>
      <c r="GN859" s="997"/>
      <c r="GO859" s="997"/>
      <c r="GP859" s="997"/>
      <c r="GQ859" s="997"/>
      <c r="GR859" s="997"/>
      <c r="GS859" s="997"/>
      <c r="GT859" s="997"/>
      <c r="GU859" s="997"/>
      <c r="GV859" s="997"/>
      <c r="GW859" s="997"/>
      <c r="GX859" s="997"/>
      <c r="GY859" s="997"/>
      <c r="GZ859" s="997"/>
      <c r="HA859" s="997"/>
      <c r="HB859" s="997"/>
      <c r="HC859" s="997"/>
      <c r="HD859" s="997"/>
      <c r="HE859" s="997"/>
      <c r="HF859" s="997"/>
      <c r="HG859" s="997"/>
      <c r="HH859" s="997"/>
      <c r="HI859" s="997"/>
      <c r="HJ859" s="997"/>
      <c r="HK859" s="997"/>
      <c r="HL859" s="997"/>
      <c r="HM859" s="997"/>
      <c r="HN859" s="997"/>
      <c r="HO859" s="997"/>
      <c r="HP859" s="997"/>
      <c r="HQ859" s="997"/>
      <c r="HR859" s="997"/>
      <c r="HS859" s="997"/>
      <c r="HT859" s="997"/>
      <c r="HU859" s="997"/>
      <c r="HV859" s="997"/>
      <c r="HW859" s="997"/>
      <c r="HX859" s="997"/>
      <c r="HY859" s="997"/>
      <c r="HZ859" s="997"/>
      <c r="IA859" s="997"/>
      <c r="IB859" s="997"/>
      <c r="IC859" s="997"/>
      <c r="ID859" s="997"/>
      <c r="IE859" s="997"/>
      <c r="IF859" s="997"/>
      <c r="IG859" s="997"/>
      <c r="IH859" s="997"/>
      <c r="II859" s="997"/>
      <c r="IJ859" s="997"/>
      <c r="IK859" s="997"/>
      <c r="IL859" s="997"/>
      <c r="IM859" s="997"/>
      <c r="IN859" s="997"/>
    </row>
    <row r="860" spans="1:248" s="1090" customFormat="1" ht="14.1" customHeight="1">
      <c r="A860" s="1098"/>
      <c r="B860" s="1100"/>
      <c r="C860" s="929"/>
      <c r="D860" s="1092"/>
      <c r="G860" s="997"/>
      <c r="H860" s="997"/>
      <c r="I860" s="997"/>
      <c r="J860" s="997"/>
      <c r="K860" s="997"/>
      <c r="L860" s="997"/>
      <c r="M860" s="997"/>
      <c r="N860" s="997"/>
      <c r="O860" s="997"/>
      <c r="P860" s="997"/>
      <c r="Q860" s="997"/>
      <c r="R860" s="997"/>
      <c r="S860" s="997"/>
      <c r="T860" s="997"/>
      <c r="U860" s="997"/>
      <c r="V860" s="997"/>
      <c r="W860" s="997"/>
      <c r="X860" s="997"/>
      <c r="Y860" s="997"/>
      <c r="Z860" s="997"/>
      <c r="AA860" s="997"/>
      <c r="AB860" s="997"/>
      <c r="AC860" s="997"/>
      <c r="AD860" s="997"/>
      <c r="AE860" s="997"/>
      <c r="AF860" s="997"/>
      <c r="AG860" s="997"/>
      <c r="AH860" s="997"/>
      <c r="AI860" s="997"/>
      <c r="AJ860" s="997"/>
      <c r="AK860" s="997"/>
      <c r="AL860" s="997"/>
      <c r="AM860" s="997"/>
      <c r="AN860" s="997"/>
      <c r="AO860" s="997"/>
      <c r="AP860" s="997"/>
      <c r="AQ860" s="997"/>
      <c r="AR860" s="997"/>
      <c r="AS860" s="997"/>
      <c r="AT860" s="997"/>
      <c r="AU860" s="997"/>
      <c r="AV860" s="997"/>
      <c r="AW860" s="997"/>
      <c r="AX860" s="997"/>
      <c r="AY860" s="997"/>
      <c r="AZ860" s="997"/>
      <c r="BA860" s="997"/>
      <c r="BB860" s="997"/>
      <c r="BC860" s="997"/>
      <c r="BD860" s="997"/>
      <c r="BE860" s="997"/>
      <c r="BF860" s="997"/>
      <c r="BG860" s="997"/>
      <c r="BH860" s="997"/>
      <c r="BI860" s="997"/>
      <c r="BJ860" s="997"/>
      <c r="BK860" s="997"/>
      <c r="BL860" s="997"/>
      <c r="BM860" s="997"/>
      <c r="BN860" s="997"/>
      <c r="BO860" s="997"/>
      <c r="BP860" s="997"/>
      <c r="BQ860" s="997"/>
      <c r="BR860" s="997"/>
      <c r="BS860" s="997"/>
      <c r="BT860" s="997"/>
      <c r="BU860" s="997"/>
      <c r="BV860" s="997"/>
      <c r="BW860" s="997"/>
      <c r="BX860" s="997"/>
      <c r="BY860" s="997"/>
      <c r="BZ860" s="997"/>
      <c r="CA860" s="997"/>
      <c r="CB860" s="997"/>
      <c r="CC860" s="997"/>
      <c r="CD860" s="997"/>
      <c r="CE860" s="997"/>
      <c r="CF860" s="997"/>
      <c r="CG860" s="997"/>
      <c r="CH860" s="997"/>
      <c r="CI860" s="997"/>
      <c r="CJ860" s="997"/>
      <c r="CK860" s="997"/>
      <c r="CL860" s="997"/>
      <c r="CM860" s="997"/>
      <c r="CN860" s="997"/>
      <c r="CO860" s="997"/>
      <c r="CP860" s="997"/>
      <c r="CQ860" s="997"/>
      <c r="CR860" s="997"/>
      <c r="CS860" s="997"/>
      <c r="CT860" s="997"/>
      <c r="CU860" s="997"/>
      <c r="CV860" s="997"/>
      <c r="CW860" s="997"/>
      <c r="CX860" s="997"/>
      <c r="CY860" s="997"/>
      <c r="CZ860" s="997"/>
      <c r="DA860" s="997"/>
      <c r="DB860" s="997"/>
      <c r="DC860" s="997"/>
      <c r="DD860" s="997"/>
      <c r="DE860" s="997"/>
      <c r="DF860" s="997"/>
      <c r="DG860" s="997"/>
      <c r="DH860" s="997"/>
      <c r="DI860" s="997"/>
      <c r="DJ860" s="997"/>
      <c r="DK860" s="997"/>
      <c r="DL860" s="997"/>
      <c r="DM860" s="997"/>
      <c r="DN860" s="997"/>
      <c r="DO860" s="997"/>
      <c r="DP860" s="997"/>
      <c r="DQ860" s="997"/>
      <c r="DR860" s="997"/>
      <c r="DS860" s="997"/>
      <c r="DT860" s="997"/>
      <c r="DU860" s="997"/>
      <c r="DV860" s="997"/>
      <c r="DW860" s="997"/>
      <c r="DX860" s="997"/>
      <c r="DY860" s="997"/>
      <c r="DZ860" s="997"/>
      <c r="EA860" s="997"/>
      <c r="EB860" s="997"/>
      <c r="EC860" s="997"/>
      <c r="ED860" s="997"/>
      <c r="EE860" s="997"/>
      <c r="EF860" s="997"/>
      <c r="EG860" s="997"/>
      <c r="EH860" s="997"/>
      <c r="EI860" s="997"/>
      <c r="EJ860" s="997"/>
      <c r="EK860" s="997"/>
      <c r="EL860" s="997"/>
      <c r="EM860" s="997"/>
      <c r="EN860" s="997"/>
      <c r="EO860" s="997"/>
      <c r="EP860" s="997"/>
      <c r="EQ860" s="997"/>
      <c r="ER860" s="997"/>
      <c r="ES860" s="997"/>
      <c r="ET860" s="997"/>
      <c r="EU860" s="997"/>
      <c r="EV860" s="997"/>
      <c r="EW860" s="997"/>
      <c r="EX860" s="997"/>
      <c r="EY860" s="997"/>
      <c r="EZ860" s="997"/>
      <c r="FA860" s="997"/>
      <c r="FB860" s="997"/>
      <c r="FC860" s="997"/>
      <c r="FD860" s="997"/>
      <c r="FE860" s="997"/>
      <c r="FF860" s="997"/>
      <c r="FG860" s="997"/>
      <c r="FH860" s="997"/>
      <c r="FI860" s="997"/>
      <c r="FJ860" s="997"/>
      <c r="FK860" s="997"/>
      <c r="FL860" s="997"/>
      <c r="FM860" s="997"/>
      <c r="FN860" s="997"/>
      <c r="FO860" s="997"/>
      <c r="FP860" s="997"/>
      <c r="FQ860" s="997"/>
      <c r="FR860" s="997"/>
      <c r="FS860" s="997"/>
      <c r="FT860" s="997"/>
      <c r="FU860" s="997"/>
      <c r="FV860" s="997"/>
      <c r="FW860" s="997"/>
      <c r="FX860" s="997"/>
      <c r="FY860" s="997"/>
      <c r="FZ860" s="997"/>
      <c r="GA860" s="997"/>
      <c r="GB860" s="997"/>
      <c r="GC860" s="997"/>
      <c r="GD860" s="997"/>
      <c r="GE860" s="997"/>
      <c r="GF860" s="997"/>
      <c r="GG860" s="997"/>
      <c r="GH860" s="997"/>
      <c r="GI860" s="997"/>
      <c r="GJ860" s="997"/>
      <c r="GK860" s="997"/>
      <c r="GL860" s="997"/>
      <c r="GM860" s="997"/>
      <c r="GN860" s="997"/>
      <c r="GO860" s="997"/>
      <c r="GP860" s="997"/>
      <c r="GQ860" s="997"/>
      <c r="GR860" s="997"/>
      <c r="GS860" s="997"/>
      <c r="GT860" s="997"/>
      <c r="GU860" s="997"/>
      <c r="GV860" s="997"/>
      <c r="GW860" s="997"/>
      <c r="GX860" s="997"/>
      <c r="GY860" s="997"/>
      <c r="GZ860" s="997"/>
      <c r="HA860" s="997"/>
      <c r="HB860" s="997"/>
      <c r="HC860" s="997"/>
      <c r="HD860" s="997"/>
      <c r="HE860" s="997"/>
      <c r="HF860" s="997"/>
      <c r="HG860" s="997"/>
      <c r="HH860" s="997"/>
      <c r="HI860" s="997"/>
      <c r="HJ860" s="997"/>
      <c r="HK860" s="997"/>
      <c r="HL860" s="997"/>
      <c r="HM860" s="997"/>
      <c r="HN860" s="997"/>
      <c r="HO860" s="997"/>
      <c r="HP860" s="997"/>
      <c r="HQ860" s="997"/>
      <c r="HR860" s="997"/>
      <c r="HS860" s="997"/>
      <c r="HT860" s="997"/>
      <c r="HU860" s="997"/>
      <c r="HV860" s="997"/>
      <c r="HW860" s="997"/>
      <c r="HX860" s="997"/>
      <c r="HY860" s="997"/>
      <c r="HZ860" s="997"/>
      <c r="IA860" s="997"/>
      <c r="IB860" s="997"/>
      <c r="IC860" s="997"/>
      <c r="ID860" s="997"/>
      <c r="IE860" s="997"/>
      <c r="IF860" s="997"/>
      <c r="IG860" s="997"/>
      <c r="IH860" s="997"/>
      <c r="II860" s="997"/>
      <c r="IJ860" s="997"/>
      <c r="IK860" s="997"/>
      <c r="IL860" s="997"/>
      <c r="IM860" s="997"/>
      <c r="IN860" s="997"/>
    </row>
    <row r="861" spans="1:248" s="1090" customFormat="1" ht="14.1" customHeight="1">
      <c r="A861" s="1098"/>
      <c r="B861" s="945" t="s">
        <v>3783</v>
      </c>
      <c r="C861" s="929" t="s">
        <v>3958</v>
      </c>
      <c r="D861" s="1092"/>
      <c r="G861" s="997"/>
      <c r="H861" s="997"/>
      <c r="I861" s="997"/>
      <c r="J861" s="997"/>
      <c r="K861" s="997"/>
      <c r="L861" s="997"/>
      <c r="M861" s="997"/>
      <c r="N861" s="997"/>
      <c r="O861" s="997"/>
      <c r="P861" s="997"/>
      <c r="Q861" s="997"/>
      <c r="R861" s="997"/>
      <c r="S861" s="997"/>
      <c r="T861" s="997"/>
      <c r="U861" s="997"/>
      <c r="V861" s="997"/>
      <c r="W861" s="997"/>
      <c r="X861" s="997"/>
      <c r="Y861" s="997"/>
      <c r="Z861" s="997"/>
      <c r="AA861" s="997"/>
      <c r="AB861" s="997"/>
      <c r="AC861" s="997"/>
      <c r="AD861" s="997"/>
      <c r="AE861" s="997"/>
      <c r="AF861" s="997"/>
      <c r="AG861" s="997"/>
      <c r="AH861" s="997"/>
      <c r="AI861" s="997"/>
      <c r="AJ861" s="997"/>
      <c r="AK861" s="997"/>
      <c r="AL861" s="997"/>
      <c r="AM861" s="997"/>
      <c r="AN861" s="997"/>
      <c r="AO861" s="997"/>
      <c r="AP861" s="997"/>
      <c r="AQ861" s="997"/>
      <c r="AR861" s="997"/>
      <c r="AS861" s="997"/>
      <c r="AT861" s="997"/>
      <c r="AU861" s="997"/>
      <c r="AV861" s="997"/>
      <c r="AW861" s="997"/>
      <c r="AX861" s="997"/>
      <c r="AY861" s="997"/>
      <c r="AZ861" s="997"/>
      <c r="BA861" s="997"/>
      <c r="BB861" s="997"/>
      <c r="BC861" s="997"/>
      <c r="BD861" s="997"/>
      <c r="BE861" s="997"/>
      <c r="BF861" s="997"/>
      <c r="BG861" s="997"/>
      <c r="BH861" s="997"/>
      <c r="BI861" s="997"/>
      <c r="BJ861" s="997"/>
      <c r="BK861" s="997"/>
      <c r="BL861" s="997"/>
      <c r="BM861" s="997"/>
      <c r="BN861" s="997"/>
      <c r="BO861" s="997"/>
      <c r="BP861" s="997"/>
      <c r="BQ861" s="997"/>
      <c r="BR861" s="997"/>
      <c r="BS861" s="997"/>
      <c r="BT861" s="997"/>
      <c r="BU861" s="997"/>
      <c r="BV861" s="997"/>
      <c r="BW861" s="997"/>
      <c r="BX861" s="997"/>
      <c r="BY861" s="997"/>
      <c r="BZ861" s="997"/>
      <c r="CA861" s="997"/>
      <c r="CB861" s="997"/>
      <c r="CC861" s="997"/>
      <c r="CD861" s="997"/>
      <c r="CE861" s="997"/>
      <c r="CF861" s="997"/>
      <c r="CG861" s="997"/>
      <c r="CH861" s="997"/>
      <c r="CI861" s="997"/>
      <c r="CJ861" s="997"/>
      <c r="CK861" s="997"/>
      <c r="CL861" s="997"/>
      <c r="CM861" s="997"/>
      <c r="CN861" s="997"/>
      <c r="CO861" s="997"/>
      <c r="CP861" s="997"/>
      <c r="CQ861" s="997"/>
      <c r="CR861" s="997"/>
      <c r="CS861" s="997"/>
      <c r="CT861" s="997"/>
      <c r="CU861" s="997"/>
      <c r="CV861" s="997"/>
      <c r="CW861" s="997"/>
      <c r="CX861" s="997"/>
      <c r="CY861" s="997"/>
      <c r="CZ861" s="997"/>
      <c r="DA861" s="997"/>
      <c r="DB861" s="997"/>
      <c r="DC861" s="997"/>
      <c r="DD861" s="997"/>
      <c r="DE861" s="997"/>
      <c r="DF861" s="997"/>
      <c r="DG861" s="997"/>
      <c r="DH861" s="997"/>
      <c r="DI861" s="997"/>
      <c r="DJ861" s="997"/>
      <c r="DK861" s="997"/>
      <c r="DL861" s="997"/>
      <c r="DM861" s="997"/>
      <c r="DN861" s="997"/>
      <c r="DO861" s="997"/>
      <c r="DP861" s="997"/>
      <c r="DQ861" s="997"/>
      <c r="DR861" s="997"/>
      <c r="DS861" s="997"/>
      <c r="DT861" s="997"/>
      <c r="DU861" s="997"/>
      <c r="DV861" s="997"/>
      <c r="DW861" s="997"/>
      <c r="DX861" s="997"/>
      <c r="DY861" s="997"/>
      <c r="DZ861" s="997"/>
      <c r="EA861" s="997"/>
      <c r="EB861" s="997"/>
      <c r="EC861" s="997"/>
      <c r="ED861" s="997"/>
      <c r="EE861" s="997"/>
      <c r="EF861" s="997"/>
      <c r="EG861" s="997"/>
      <c r="EH861" s="997"/>
      <c r="EI861" s="997"/>
      <c r="EJ861" s="997"/>
      <c r="EK861" s="997"/>
      <c r="EL861" s="997"/>
      <c r="EM861" s="997"/>
      <c r="EN861" s="997"/>
      <c r="EO861" s="997"/>
      <c r="EP861" s="997"/>
      <c r="EQ861" s="997"/>
      <c r="ER861" s="997"/>
      <c r="ES861" s="997"/>
      <c r="ET861" s="997"/>
      <c r="EU861" s="997"/>
      <c r="EV861" s="997"/>
      <c r="EW861" s="997"/>
      <c r="EX861" s="997"/>
      <c r="EY861" s="997"/>
      <c r="EZ861" s="997"/>
      <c r="FA861" s="997"/>
      <c r="FB861" s="997"/>
      <c r="FC861" s="997"/>
      <c r="FD861" s="997"/>
      <c r="FE861" s="997"/>
      <c r="FF861" s="997"/>
      <c r="FG861" s="997"/>
      <c r="FH861" s="997"/>
      <c r="FI861" s="997"/>
      <c r="FJ861" s="997"/>
      <c r="FK861" s="997"/>
      <c r="FL861" s="997"/>
      <c r="FM861" s="997"/>
      <c r="FN861" s="997"/>
      <c r="FO861" s="997"/>
      <c r="FP861" s="997"/>
      <c r="FQ861" s="997"/>
      <c r="FR861" s="997"/>
      <c r="FS861" s="997"/>
      <c r="FT861" s="997"/>
      <c r="FU861" s="997"/>
      <c r="FV861" s="997"/>
      <c r="FW861" s="997"/>
      <c r="FX861" s="997"/>
      <c r="FY861" s="997"/>
      <c r="FZ861" s="997"/>
      <c r="GA861" s="997"/>
      <c r="GB861" s="997"/>
      <c r="GC861" s="997"/>
      <c r="GD861" s="997"/>
      <c r="GE861" s="997"/>
      <c r="GF861" s="997"/>
      <c r="GG861" s="997"/>
      <c r="GH861" s="997"/>
      <c r="GI861" s="997"/>
      <c r="GJ861" s="997"/>
      <c r="GK861" s="997"/>
      <c r="GL861" s="997"/>
      <c r="GM861" s="997"/>
      <c r="GN861" s="997"/>
      <c r="GO861" s="997"/>
      <c r="GP861" s="997"/>
      <c r="GQ861" s="997"/>
      <c r="GR861" s="997"/>
      <c r="GS861" s="997"/>
      <c r="GT861" s="997"/>
      <c r="GU861" s="997"/>
      <c r="GV861" s="997"/>
      <c r="GW861" s="997"/>
      <c r="GX861" s="997"/>
      <c r="GY861" s="997"/>
      <c r="GZ861" s="997"/>
      <c r="HA861" s="997"/>
      <c r="HB861" s="997"/>
      <c r="HC861" s="997"/>
      <c r="HD861" s="997"/>
      <c r="HE861" s="997"/>
      <c r="HF861" s="997"/>
      <c r="HG861" s="997"/>
      <c r="HH861" s="997"/>
      <c r="HI861" s="997"/>
      <c r="HJ861" s="997"/>
      <c r="HK861" s="997"/>
      <c r="HL861" s="997"/>
      <c r="HM861" s="997"/>
      <c r="HN861" s="997"/>
      <c r="HO861" s="997"/>
      <c r="HP861" s="997"/>
      <c r="HQ861" s="997"/>
      <c r="HR861" s="997"/>
      <c r="HS861" s="997"/>
      <c r="HT861" s="997"/>
      <c r="HU861" s="997"/>
      <c r="HV861" s="997"/>
      <c r="HW861" s="997"/>
      <c r="HX861" s="997"/>
      <c r="HY861" s="997"/>
      <c r="HZ861" s="997"/>
      <c r="IA861" s="997"/>
      <c r="IB861" s="997"/>
      <c r="IC861" s="997"/>
      <c r="ID861" s="997"/>
      <c r="IE861" s="997"/>
      <c r="IF861" s="997"/>
      <c r="IG861" s="997"/>
      <c r="IH861" s="997"/>
      <c r="II861" s="997"/>
      <c r="IJ861" s="997"/>
      <c r="IK861" s="997"/>
      <c r="IL861" s="997"/>
      <c r="IM861" s="997"/>
      <c r="IN861" s="997"/>
    </row>
    <row r="862" spans="1:248" s="1090" customFormat="1" ht="14.1" customHeight="1">
      <c r="A862" s="629"/>
      <c r="B862" s="1100"/>
      <c r="C862" s="929" t="s">
        <v>3959</v>
      </c>
      <c r="D862" s="1092"/>
      <c r="G862" s="997"/>
      <c r="H862" s="997"/>
      <c r="I862" s="997"/>
      <c r="J862" s="997"/>
      <c r="K862" s="997"/>
      <c r="L862" s="997"/>
      <c r="M862" s="997"/>
      <c r="N862" s="997"/>
      <c r="O862" s="997"/>
      <c r="P862" s="997"/>
      <c r="Q862" s="997"/>
      <c r="R862" s="997"/>
      <c r="S862" s="997"/>
      <c r="T862" s="997"/>
      <c r="U862" s="997"/>
      <c r="V862" s="997"/>
      <c r="W862" s="997"/>
      <c r="X862" s="997"/>
      <c r="Y862" s="997"/>
      <c r="Z862" s="997"/>
      <c r="AA862" s="997"/>
      <c r="AB862" s="997"/>
      <c r="AC862" s="997"/>
      <c r="AD862" s="997"/>
      <c r="AE862" s="997"/>
      <c r="AF862" s="997"/>
      <c r="AG862" s="997"/>
      <c r="AH862" s="997"/>
      <c r="AI862" s="997"/>
      <c r="AJ862" s="997"/>
      <c r="AK862" s="997"/>
      <c r="AL862" s="997"/>
      <c r="AM862" s="997"/>
      <c r="AN862" s="997"/>
      <c r="AO862" s="997"/>
      <c r="AP862" s="997"/>
      <c r="AQ862" s="997"/>
      <c r="AR862" s="997"/>
      <c r="AS862" s="997"/>
      <c r="AT862" s="997"/>
      <c r="AU862" s="997"/>
      <c r="AV862" s="997"/>
      <c r="AW862" s="997"/>
      <c r="AX862" s="997"/>
      <c r="AY862" s="997"/>
      <c r="AZ862" s="997"/>
      <c r="BA862" s="997"/>
      <c r="BB862" s="997"/>
      <c r="BC862" s="997"/>
      <c r="BD862" s="997"/>
      <c r="BE862" s="997"/>
      <c r="BF862" s="997"/>
      <c r="BG862" s="997"/>
      <c r="BH862" s="997"/>
      <c r="BI862" s="997"/>
      <c r="BJ862" s="997"/>
      <c r="BK862" s="997"/>
      <c r="BL862" s="997"/>
      <c r="BM862" s="997"/>
      <c r="BN862" s="997"/>
      <c r="BO862" s="997"/>
      <c r="BP862" s="997"/>
      <c r="BQ862" s="997"/>
      <c r="BR862" s="997"/>
      <c r="BS862" s="997"/>
      <c r="BT862" s="997"/>
      <c r="BU862" s="997"/>
      <c r="BV862" s="997"/>
      <c r="BW862" s="997"/>
      <c r="BX862" s="997"/>
      <c r="BY862" s="997"/>
      <c r="BZ862" s="997"/>
      <c r="CA862" s="997"/>
      <c r="CB862" s="997"/>
      <c r="CC862" s="997"/>
      <c r="CD862" s="997"/>
      <c r="CE862" s="997"/>
      <c r="CF862" s="997"/>
      <c r="CG862" s="997"/>
      <c r="CH862" s="997"/>
      <c r="CI862" s="997"/>
      <c r="CJ862" s="997"/>
      <c r="CK862" s="997"/>
      <c r="CL862" s="997"/>
      <c r="CM862" s="997"/>
      <c r="CN862" s="997"/>
      <c r="CO862" s="997"/>
      <c r="CP862" s="997"/>
      <c r="CQ862" s="997"/>
      <c r="CR862" s="997"/>
      <c r="CS862" s="997"/>
      <c r="CT862" s="997"/>
      <c r="CU862" s="997"/>
      <c r="CV862" s="997"/>
      <c r="CW862" s="997"/>
      <c r="CX862" s="997"/>
      <c r="CY862" s="997"/>
      <c r="CZ862" s="997"/>
      <c r="DA862" s="997"/>
      <c r="DB862" s="997"/>
      <c r="DC862" s="997"/>
      <c r="DD862" s="997"/>
      <c r="DE862" s="997"/>
      <c r="DF862" s="997"/>
      <c r="DG862" s="997"/>
      <c r="DH862" s="997"/>
      <c r="DI862" s="997"/>
      <c r="DJ862" s="997"/>
      <c r="DK862" s="997"/>
      <c r="DL862" s="997"/>
      <c r="DM862" s="997"/>
      <c r="DN862" s="997"/>
      <c r="DO862" s="997"/>
      <c r="DP862" s="997"/>
      <c r="DQ862" s="997"/>
      <c r="DR862" s="997"/>
      <c r="DS862" s="997"/>
      <c r="DT862" s="997"/>
      <c r="DU862" s="997"/>
      <c r="DV862" s="997"/>
      <c r="DW862" s="997"/>
      <c r="DX862" s="997"/>
      <c r="DY862" s="997"/>
      <c r="DZ862" s="997"/>
      <c r="EA862" s="997"/>
      <c r="EB862" s="997"/>
      <c r="EC862" s="997"/>
      <c r="ED862" s="997"/>
      <c r="EE862" s="997"/>
      <c r="EF862" s="997"/>
      <c r="EG862" s="997"/>
      <c r="EH862" s="997"/>
      <c r="EI862" s="997"/>
      <c r="EJ862" s="997"/>
      <c r="EK862" s="997"/>
      <c r="EL862" s="997"/>
      <c r="EM862" s="997"/>
      <c r="EN862" s="997"/>
      <c r="EO862" s="997"/>
      <c r="EP862" s="997"/>
      <c r="EQ862" s="997"/>
      <c r="ER862" s="997"/>
      <c r="ES862" s="997"/>
      <c r="ET862" s="997"/>
      <c r="EU862" s="997"/>
      <c r="EV862" s="997"/>
      <c r="EW862" s="997"/>
      <c r="EX862" s="997"/>
      <c r="EY862" s="997"/>
      <c r="EZ862" s="997"/>
      <c r="FA862" s="997"/>
      <c r="FB862" s="997"/>
      <c r="FC862" s="997"/>
      <c r="FD862" s="997"/>
      <c r="FE862" s="997"/>
      <c r="FF862" s="997"/>
      <c r="FG862" s="997"/>
      <c r="FH862" s="997"/>
      <c r="FI862" s="997"/>
      <c r="FJ862" s="997"/>
      <c r="FK862" s="997"/>
      <c r="FL862" s="997"/>
      <c r="FM862" s="997"/>
      <c r="FN862" s="997"/>
      <c r="FO862" s="997"/>
      <c r="FP862" s="997"/>
      <c r="FQ862" s="997"/>
      <c r="FR862" s="997"/>
      <c r="FS862" s="997"/>
      <c r="FT862" s="997"/>
      <c r="FU862" s="997"/>
      <c r="FV862" s="997"/>
      <c r="FW862" s="997"/>
      <c r="FX862" s="997"/>
      <c r="FY862" s="997"/>
      <c r="FZ862" s="997"/>
      <c r="GA862" s="997"/>
      <c r="GB862" s="997"/>
      <c r="GC862" s="997"/>
      <c r="GD862" s="997"/>
      <c r="GE862" s="997"/>
      <c r="GF862" s="997"/>
      <c r="GG862" s="997"/>
      <c r="GH862" s="997"/>
      <c r="GI862" s="997"/>
      <c r="GJ862" s="997"/>
      <c r="GK862" s="997"/>
      <c r="GL862" s="997"/>
      <c r="GM862" s="997"/>
      <c r="GN862" s="997"/>
      <c r="GO862" s="997"/>
      <c r="GP862" s="997"/>
      <c r="GQ862" s="997"/>
      <c r="GR862" s="997"/>
      <c r="GS862" s="997"/>
      <c r="GT862" s="997"/>
      <c r="GU862" s="997"/>
      <c r="GV862" s="997"/>
      <c r="GW862" s="997"/>
      <c r="GX862" s="997"/>
      <c r="GY862" s="997"/>
      <c r="GZ862" s="997"/>
      <c r="HA862" s="997"/>
      <c r="HB862" s="997"/>
      <c r="HC862" s="997"/>
      <c r="HD862" s="997"/>
      <c r="HE862" s="997"/>
      <c r="HF862" s="997"/>
      <c r="HG862" s="997"/>
      <c r="HH862" s="997"/>
      <c r="HI862" s="997"/>
      <c r="HJ862" s="997"/>
      <c r="HK862" s="997"/>
      <c r="HL862" s="997"/>
      <c r="HM862" s="997"/>
      <c r="HN862" s="997"/>
      <c r="HO862" s="997"/>
      <c r="HP862" s="997"/>
      <c r="HQ862" s="997"/>
      <c r="HR862" s="997"/>
      <c r="HS862" s="997"/>
      <c r="HT862" s="997"/>
      <c r="HU862" s="997"/>
      <c r="HV862" s="997"/>
      <c r="HW862" s="997"/>
      <c r="HX862" s="997"/>
      <c r="HY862" s="997"/>
      <c r="HZ862" s="997"/>
      <c r="IA862" s="997"/>
      <c r="IB862" s="997"/>
      <c r="IC862" s="997"/>
      <c r="ID862" s="997"/>
      <c r="IE862" s="997"/>
      <c r="IF862" s="997"/>
      <c r="IG862" s="997"/>
      <c r="IH862" s="997"/>
      <c r="II862" s="997"/>
      <c r="IJ862" s="997"/>
      <c r="IK862" s="997"/>
      <c r="IL862" s="997"/>
      <c r="IM862" s="997"/>
      <c r="IN862" s="997"/>
    </row>
    <row r="863" spans="1:248" s="1090" customFormat="1" ht="14.1" customHeight="1">
      <c r="A863" s="1091"/>
      <c r="B863" s="1091"/>
      <c r="C863" s="1097"/>
      <c r="D863" s="1092"/>
      <c r="G863" s="997"/>
      <c r="H863" s="997"/>
      <c r="I863" s="997"/>
      <c r="J863" s="997"/>
      <c r="K863" s="997"/>
      <c r="L863" s="997"/>
      <c r="M863" s="997"/>
      <c r="N863" s="997"/>
      <c r="O863" s="997"/>
      <c r="P863" s="997"/>
      <c r="Q863" s="997"/>
      <c r="R863" s="997"/>
      <c r="S863" s="997"/>
      <c r="T863" s="997"/>
      <c r="U863" s="997"/>
      <c r="V863" s="997"/>
      <c r="W863" s="997"/>
      <c r="X863" s="997"/>
      <c r="Y863" s="997"/>
      <c r="Z863" s="997"/>
      <c r="AA863" s="997"/>
      <c r="AB863" s="997"/>
      <c r="AC863" s="997"/>
      <c r="AD863" s="997"/>
      <c r="AE863" s="997"/>
      <c r="AF863" s="997"/>
      <c r="AG863" s="997"/>
      <c r="AH863" s="997"/>
      <c r="AI863" s="997"/>
      <c r="AJ863" s="997"/>
      <c r="AK863" s="997"/>
      <c r="AL863" s="997"/>
      <c r="AM863" s="997"/>
      <c r="AN863" s="997"/>
      <c r="AO863" s="997"/>
      <c r="AP863" s="997"/>
      <c r="AQ863" s="997"/>
      <c r="AR863" s="997"/>
      <c r="AS863" s="997"/>
      <c r="AT863" s="997"/>
      <c r="AU863" s="997"/>
      <c r="AV863" s="997"/>
      <c r="AW863" s="997"/>
      <c r="AX863" s="997"/>
      <c r="AY863" s="997"/>
      <c r="AZ863" s="997"/>
      <c r="BA863" s="997"/>
      <c r="BB863" s="997"/>
      <c r="BC863" s="997"/>
      <c r="BD863" s="997"/>
      <c r="BE863" s="997"/>
      <c r="BF863" s="997"/>
      <c r="BG863" s="997"/>
      <c r="BH863" s="997"/>
      <c r="BI863" s="997"/>
      <c r="BJ863" s="997"/>
      <c r="BK863" s="997"/>
      <c r="BL863" s="997"/>
      <c r="BM863" s="997"/>
      <c r="BN863" s="997"/>
      <c r="BO863" s="997"/>
      <c r="BP863" s="997"/>
      <c r="BQ863" s="997"/>
      <c r="BR863" s="997"/>
      <c r="BS863" s="997"/>
      <c r="BT863" s="997"/>
      <c r="BU863" s="997"/>
      <c r="BV863" s="997"/>
      <c r="BW863" s="997"/>
      <c r="BX863" s="997"/>
      <c r="BY863" s="997"/>
      <c r="BZ863" s="997"/>
      <c r="CA863" s="997"/>
      <c r="CB863" s="997"/>
      <c r="CC863" s="997"/>
      <c r="CD863" s="997"/>
      <c r="CE863" s="997"/>
      <c r="CF863" s="997"/>
      <c r="CG863" s="997"/>
      <c r="CH863" s="997"/>
      <c r="CI863" s="997"/>
      <c r="CJ863" s="997"/>
      <c r="CK863" s="997"/>
      <c r="CL863" s="997"/>
      <c r="CM863" s="997"/>
      <c r="CN863" s="997"/>
      <c r="CO863" s="997"/>
      <c r="CP863" s="997"/>
      <c r="CQ863" s="997"/>
      <c r="CR863" s="997"/>
      <c r="CS863" s="997"/>
      <c r="CT863" s="997"/>
      <c r="CU863" s="997"/>
      <c r="CV863" s="997"/>
      <c r="CW863" s="997"/>
      <c r="CX863" s="997"/>
      <c r="CY863" s="997"/>
      <c r="CZ863" s="997"/>
      <c r="DA863" s="997"/>
      <c r="DB863" s="997"/>
      <c r="DC863" s="997"/>
      <c r="DD863" s="997"/>
      <c r="DE863" s="997"/>
      <c r="DF863" s="997"/>
      <c r="DG863" s="997"/>
      <c r="DH863" s="997"/>
      <c r="DI863" s="997"/>
      <c r="DJ863" s="997"/>
      <c r="DK863" s="997"/>
      <c r="DL863" s="997"/>
      <c r="DM863" s="997"/>
      <c r="DN863" s="997"/>
      <c r="DO863" s="997"/>
      <c r="DP863" s="997"/>
      <c r="DQ863" s="997"/>
      <c r="DR863" s="997"/>
      <c r="DS863" s="997"/>
      <c r="DT863" s="997"/>
      <c r="DU863" s="997"/>
      <c r="DV863" s="997"/>
      <c r="DW863" s="997"/>
      <c r="DX863" s="997"/>
      <c r="DY863" s="997"/>
      <c r="DZ863" s="997"/>
      <c r="EA863" s="997"/>
      <c r="EB863" s="997"/>
      <c r="EC863" s="997"/>
      <c r="ED863" s="997"/>
      <c r="EE863" s="997"/>
      <c r="EF863" s="997"/>
      <c r="EG863" s="997"/>
      <c r="EH863" s="997"/>
      <c r="EI863" s="997"/>
      <c r="EJ863" s="997"/>
      <c r="EK863" s="997"/>
      <c r="EL863" s="997"/>
      <c r="EM863" s="997"/>
      <c r="EN863" s="997"/>
      <c r="EO863" s="997"/>
      <c r="EP863" s="997"/>
      <c r="EQ863" s="997"/>
      <c r="ER863" s="997"/>
      <c r="ES863" s="997"/>
      <c r="ET863" s="997"/>
      <c r="EU863" s="997"/>
      <c r="EV863" s="997"/>
      <c r="EW863" s="997"/>
      <c r="EX863" s="997"/>
      <c r="EY863" s="997"/>
      <c r="EZ863" s="997"/>
      <c r="FA863" s="997"/>
      <c r="FB863" s="997"/>
      <c r="FC863" s="997"/>
      <c r="FD863" s="997"/>
      <c r="FE863" s="997"/>
      <c r="FF863" s="997"/>
      <c r="FG863" s="997"/>
      <c r="FH863" s="997"/>
      <c r="FI863" s="997"/>
      <c r="FJ863" s="997"/>
      <c r="FK863" s="997"/>
      <c r="FL863" s="997"/>
      <c r="FM863" s="997"/>
      <c r="FN863" s="997"/>
      <c r="FO863" s="997"/>
      <c r="FP863" s="997"/>
      <c r="FQ863" s="997"/>
      <c r="FR863" s="997"/>
      <c r="FS863" s="997"/>
      <c r="FT863" s="997"/>
      <c r="FU863" s="997"/>
      <c r="FV863" s="997"/>
      <c r="FW863" s="997"/>
      <c r="FX863" s="997"/>
      <c r="FY863" s="997"/>
      <c r="FZ863" s="997"/>
      <c r="GA863" s="997"/>
      <c r="GB863" s="997"/>
      <c r="GC863" s="997"/>
      <c r="GD863" s="997"/>
      <c r="GE863" s="997"/>
      <c r="GF863" s="997"/>
      <c r="GG863" s="997"/>
      <c r="GH863" s="997"/>
      <c r="GI863" s="997"/>
      <c r="GJ863" s="997"/>
      <c r="GK863" s="997"/>
      <c r="GL863" s="997"/>
      <c r="GM863" s="997"/>
      <c r="GN863" s="997"/>
      <c r="GO863" s="997"/>
      <c r="GP863" s="997"/>
      <c r="GQ863" s="997"/>
      <c r="GR863" s="997"/>
      <c r="GS863" s="997"/>
      <c r="GT863" s="997"/>
      <c r="GU863" s="997"/>
      <c r="GV863" s="997"/>
      <c r="GW863" s="997"/>
      <c r="GX863" s="997"/>
      <c r="GY863" s="997"/>
      <c r="GZ863" s="997"/>
      <c r="HA863" s="997"/>
      <c r="HB863" s="997"/>
      <c r="HC863" s="997"/>
      <c r="HD863" s="997"/>
      <c r="HE863" s="997"/>
      <c r="HF863" s="997"/>
      <c r="HG863" s="997"/>
      <c r="HH863" s="997"/>
      <c r="HI863" s="997"/>
      <c r="HJ863" s="997"/>
      <c r="HK863" s="997"/>
      <c r="HL863" s="997"/>
      <c r="HM863" s="997"/>
      <c r="HN863" s="997"/>
      <c r="HO863" s="997"/>
      <c r="HP863" s="997"/>
      <c r="HQ863" s="997"/>
      <c r="HR863" s="997"/>
      <c r="HS863" s="997"/>
      <c r="HT863" s="997"/>
      <c r="HU863" s="997"/>
      <c r="HV863" s="997"/>
      <c r="HW863" s="997"/>
      <c r="HX863" s="997"/>
      <c r="HY863" s="997"/>
      <c r="HZ863" s="997"/>
      <c r="IA863" s="997"/>
      <c r="IB863" s="997"/>
      <c r="IC863" s="997"/>
      <c r="ID863" s="997"/>
      <c r="IE863" s="997"/>
      <c r="IF863" s="997"/>
      <c r="IG863" s="997"/>
      <c r="IH863" s="997"/>
      <c r="II863" s="997"/>
      <c r="IJ863" s="997"/>
      <c r="IK863" s="997"/>
      <c r="IL863" s="997"/>
      <c r="IM863" s="997"/>
      <c r="IN863" s="997"/>
    </row>
    <row r="864" spans="1:248" s="1090" customFormat="1" ht="14.1" customHeight="1">
      <c r="A864" s="1091"/>
      <c r="B864" s="945" t="s">
        <v>3784</v>
      </c>
      <c r="C864" s="184" t="s">
        <v>3960</v>
      </c>
      <c r="D864" s="1092"/>
      <c r="G864" s="997"/>
      <c r="H864" s="997"/>
      <c r="I864" s="997"/>
      <c r="J864" s="997"/>
      <c r="K864" s="997"/>
      <c r="L864" s="997"/>
      <c r="M864" s="997"/>
      <c r="N864" s="997"/>
      <c r="O864" s="997"/>
      <c r="P864" s="997"/>
      <c r="Q864" s="997"/>
      <c r="R864" s="997"/>
      <c r="S864" s="997"/>
      <c r="T864" s="997"/>
      <c r="U864" s="997"/>
      <c r="V864" s="997"/>
      <c r="W864" s="997"/>
      <c r="X864" s="997"/>
      <c r="Y864" s="997"/>
      <c r="Z864" s="997"/>
      <c r="AA864" s="997"/>
      <c r="AB864" s="997"/>
      <c r="AC864" s="997"/>
      <c r="AD864" s="997"/>
      <c r="AE864" s="997"/>
      <c r="AF864" s="997"/>
      <c r="AG864" s="997"/>
      <c r="AH864" s="997"/>
      <c r="AI864" s="997"/>
      <c r="AJ864" s="997"/>
      <c r="AK864" s="997"/>
      <c r="AL864" s="997"/>
      <c r="AM864" s="997"/>
      <c r="AN864" s="997"/>
      <c r="AO864" s="997"/>
      <c r="AP864" s="997"/>
      <c r="AQ864" s="997"/>
      <c r="AR864" s="997"/>
      <c r="AS864" s="997"/>
      <c r="AT864" s="997"/>
      <c r="AU864" s="997"/>
      <c r="AV864" s="997"/>
      <c r="AW864" s="997"/>
      <c r="AX864" s="997"/>
      <c r="AY864" s="997"/>
      <c r="AZ864" s="997"/>
      <c r="BA864" s="997"/>
      <c r="BB864" s="997"/>
      <c r="BC864" s="997"/>
      <c r="BD864" s="997"/>
      <c r="BE864" s="997"/>
      <c r="BF864" s="997"/>
      <c r="BG864" s="997"/>
      <c r="BH864" s="997"/>
      <c r="BI864" s="997"/>
      <c r="BJ864" s="997"/>
      <c r="BK864" s="997"/>
      <c r="BL864" s="997"/>
      <c r="BM864" s="997"/>
      <c r="BN864" s="997"/>
      <c r="BO864" s="997"/>
      <c r="BP864" s="997"/>
      <c r="BQ864" s="997"/>
      <c r="BR864" s="997"/>
      <c r="BS864" s="997"/>
      <c r="BT864" s="997"/>
      <c r="BU864" s="997"/>
      <c r="BV864" s="997"/>
      <c r="BW864" s="997"/>
      <c r="BX864" s="997"/>
      <c r="BY864" s="997"/>
      <c r="BZ864" s="997"/>
      <c r="CA864" s="997"/>
      <c r="CB864" s="997"/>
      <c r="CC864" s="997"/>
      <c r="CD864" s="997"/>
      <c r="CE864" s="997"/>
      <c r="CF864" s="997"/>
      <c r="CG864" s="997"/>
      <c r="CH864" s="997"/>
      <c r="CI864" s="997"/>
      <c r="CJ864" s="997"/>
      <c r="CK864" s="997"/>
      <c r="CL864" s="997"/>
      <c r="CM864" s="997"/>
      <c r="CN864" s="997"/>
      <c r="CO864" s="997"/>
      <c r="CP864" s="997"/>
      <c r="CQ864" s="997"/>
      <c r="CR864" s="997"/>
      <c r="CS864" s="997"/>
      <c r="CT864" s="997"/>
      <c r="CU864" s="997"/>
      <c r="CV864" s="997"/>
      <c r="CW864" s="997"/>
      <c r="CX864" s="997"/>
      <c r="CY864" s="997"/>
      <c r="CZ864" s="997"/>
      <c r="DA864" s="997"/>
      <c r="DB864" s="997"/>
      <c r="DC864" s="997"/>
      <c r="DD864" s="997"/>
      <c r="DE864" s="997"/>
      <c r="DF864" s="997"/>
      <c r="DG864" s="997"/>
      <c r="DH864" s="997"/>
      <c r="DI864" s="997"/>
      <c r="DJ864" s="997"/>
      <c r="DK864" s="997"/>
      <c r="DL864" s="997"/>
      <c r="DM864" s="997"/>
      <c r="DN864" s="997"/>
      <c r="DO864" s="997"/>
      <c r="DP864" s="997"/>
      <c r="DQ864" s="997"/>
      <c r="DR864" s="997"/>
      <c r="DS864" s="997"/>
      <c r="DT864" s="997"/>
      <c r="DU864" s="997"/>
      <c r="DV864" s="997"/>
      <c r="DW864" s="997"/>
      <c r="DX864" s="997"/>
      <c r="DY864" s="997"/>
      <c r="DZ864" s="997"/>
      <c r="EA864" s="997"/>
      <c r="EB864" s="997"/>
      <c r="EC864" s="997"/>
      <c r="ED864" s="997"/>
      <c r="EE864" s="997"/>
      <c r="EF864" s="997"/>
      <c r="EG864" s="997"/>
      <c r="EH864" s="997"/>
      <c r="EI864" s="997"/>
      <c r="EJ864" s="997"/>
      <c r="EK864" s="997"/>
      <c r="EL864" s="997"/>
      <c r="EM864" s="997"/>
      <c r="EN864" s="997"/>
      <c r="EO864" s="997"/>
      <c r="EP864" s="997"/>
      <c r="EQ864" s="997"/>
      <c r="ER864" s="997"/>
      <c r="ES864" s="997"/>
      <c r="ET864" s="997"/>
      <c r="EU864" s="997"/>
      <c r="EV864" s="997"/>
      <c r="EW864" s="997"/>
      <c r="EX864" s="997"/>
      <c r="EY864" s="997"/>
      <c r="EZ864" s="997"/>
      <c r="FA864" s="997"/>
      <c r="FB864" s="997"/>
      <c r="FC864" s="997"/>
      <c r="FD864" s="997"/>
      <c r="FE864" s="997"/>
      <c r="FF864" s="997"/>
      <c r="FG864" s="997"/>
      <c r="FH864" s="997"/>
      <c r="FI864" s="997"/>
      <c r="FJ864" s="997"/>
      <c r="FK864" s="997"/>
      <c r="FL864" s="997"/>
      <c r="FM864" s="997"/>
      <c r="FN864" s="997"/>
      <c r="FO864" s="997"/>
      <c r="FP864" s="997"/>
      <c r="FQ864" s="997"/>
      <c r="FR864" s="997"/>
      <c r="FS864" s="997"/>
      <c r="FT864" s="997"/>
      <c r="FU864" s="997"/>
      <c r="FV864" s="997"/>
      <c r="FW864" s="997"/>
      <c r="FX864" s="997"/>
      <c r="FY864" s="997"/>
      <c r="FZ864" s="997"/>
      <c r="GA864" s="997"/>
      <c r="GB864" s="997"/>
      <c r="GC864" s="997"/>
      <c r="GD864" s="997"/>
      <c r="GE864" s="997"/>
      <c r="GF864" s="997"/>
      <c r="GG864" s="997"/>
      <c r="GH864" s="997"/>
      <c r="GI864" s="997"/>
      <c r="GJ864" s="997"/>
      <c r="GK864" s="997"/>
      <c r="GL864" s="997"/>
      <c r="GM864" s="997"/>
      <c r="GN864" s="997"/>
      <c r="GO864" s="997"/>
      <c r="GP864" s="997"/>
      <c r="GQ864" s="997"/>
      <c r="GR864" s="997"/>
      <c r="GS864" s="997"/>
      <c r="GT864" s="997"/>
      <c r="GU864" s="997"/>
      <c r="GV864" s="997"/>
      <c r="GW864" s="997"/>
      <c r="GX864" s="997"/>
      <c r="GY864" s="997"/>
      <c r="GZ864" s="997"/>
      <c r="HA864" s="997"/>
      <c r="HB864" s="997"/>
      <c r="HC864" s="997"/>
      <c r="HD864" s="997"/>
      <c r="HE864" s="997"/>
      <c r="HF864" s="997"/>
      <c r="HG864" s="997"/>
      <c r="HH864" s="997"/>
      <c r="HI864" s="997"/>
      <c r="HJ864" s="997"/>
      <c r="HK864" s="997"/>
      <c r="HL864" s="997"/>
      <c r="HM864" s="997"/>
      <c r="HN864" s="997"/>
      <c r="HO864" s="997"/>
      <c r="HP864" s="997"/>
      <c r="HQ864" s="997"/>
      <c r="HR864" s="997"/>
      <c r="HS864" s="997"/>
      <c r="HT864" s="997"/>
      <c r="HU864" s="997"/>
      <c r="HV864" s="997"/>
      <c r="HW864" s="997"/>
      <c r="HX864" s="997"/>
      <c r="HY864" s="997"/>
      <c r="HZ864" s="997"/>
      <c r="IA864" s="997"/>
      <c r="IB864" s="997"/>
      <c r="IC864" s="997"/>
      <c r="ID864" s="997"/>
      <c r="IE864" s="997"/>
      <c r="IF864" s="997"/>
      <c r="IG864" s="997"/>
      <c r="IH864" s="997"/>
      <c r="II864" s="997"/>
      <c r="IJ864" s="997"/>
      <c r="IK864" s="997"/>
      <c r="IL864" s="997"/>
      <c r="IM864" s="997"/>
      <c r="IN864" s="997"/>
    </row>
    <row r="865" spans="1:248" s="1090" customFormat="1" ht="14.1" customHeight="1">
      <c r="A865" s="1091"/>
      <c r="B865" s="1091"/>
      <c r="C865" s="184" t="s">
        <v>3961</v>
      </c>
      <c r="D865" s="683"/>
      <c r="G865" s="997"/>
      <c r="H865" s="997"/>
      <c r="I865" s="997"/>
      <c r="J865" s="997"/>
      <c r="K865" s="997"/>
      <c r="L865" s="997"/>
      <c r="M865" s="997"/>
      <c r="N865" s="997"/>
      <c r="O865" s="997"/>
      <c r="P865" s="997"/>
      <c r="Q865" s="997"/>
      <c r="R865" s="997"/>
      <c r="S865" s="997"/>
      <c r="T865" s="997"/>
      <c r="U865" s="997"/>
      <c r="V865" s="997"/>
      <c r="W865" s="997"/>
      <c r="X865" s="997"/>
      <c r="Y865" s="997"/>
      <c r="Z865" s="997"/>
      <c r="AA865" s="997"/>
      <c r="AB865" s="997"/>
      <c r="AC865" s="997"/>
      <c r="AD865" s="997"/>
      <c r="AE865" s="997"/>
      <c r="AF865" s="997"/>
      <c r="AG865" s="997"/>
      <c r="AH865" s="997"/>
      <c r="AI865" s="997"/>
      <c r="AJ865" s="997"/>
      <c r="AK865" s="997"/>
      <c r="AL865" s="997"/>
      <c r="AM865" s="997"/>
      <c r="AN865" s="997"/>
      <c r="AO865" s="997"/>
      <c r="AP865" s="997"/>
      <c r="AQ865" s="997"/>
      <c r="AR865" s="997"/>
      <c r="AS865" s="997"/>
      <c r="AT865" s="997"/>
      <c r="AU865" s="997"/>
      <c r="AV865" s="997"/>
      <c r="AW865" s="997"/>
      <c r="AX865" s="997"/>
      <c r="AY865" s="997"/>
      <c r="AZ865" s="997"/>
      <c r="BA865" s="997"/>
      <c r="BB865" s="997"/>
      <c r="BC865" s="997"/>
      <c r="BD865" s="997"/>
      <c r="BE865" s="997"/>
      <c r="BF865" s="997"/>
      <c r="BG865" s="997"/>
      <c r="BH865" s="997"/>
      <c r="BI865" s="997"/>
      <c r="BJ865" s="997"/>
      <c r="BK865" s="997"/>
      <c r="BL865" s="997"/>
      <c r="BM865" s="997"/>
      <c r="BN865" s="997"/>
      <c r="BO865" s="997"/>
      <c r="BP865" s="997"/>
      <c r="BQ865" s="997"/>
      <c r="BR865" s="997"/>
      <c r="BS865" s="997"/>
      <c r="BT865" s="997"/>
      <c r="BU865" s="997"/>
      <c r="BV865" s="997"/>
      <c r="BW865" s="997"/>
      <c r="BX865" s="997"/>
      <c r="BY865" s="997"/>
      <c r="BZ865" s="997"/>
      <c r="CA865" s="997"/>
      <c r="CB865" s="997"/>
      <c r="CC865" s="997"/>
      <c r="CD865" s="997"/>
      <c r="CE865" s="997"/>
      <c r="CF865" s="997"/>
      <c r="CG865" s="997"/>
      <c r="CH865" s="997"/>
      <c r="CI865" s="997"/>
      <c r="CJ865" s="997"/>
      <c r="CK865" s="997"/>
      <c r="CL865" s="997"/>
      <c r="CM865" s="997"/>
      <c r="CN865" s="997"/>
      <c r="CO865" s="997"/>
      <c r="CP865" s="997"/>
      <c r="CQ865" s="997"/>
      <c r="CR865" s="997"/>
      <c r="CS865" s="997"/>
      <c r="CT865" s="997"/>
      <c r="CU865" s="997"/>
      <c r="CV865" s="997"/>
      <c r="CW865" s="997"/>
      <c r="CX865" s="997"/>
      <c r="CY865" s="997"/>
      <c r="CZ865" s="997"/>
      <c r="DA865" s="997"/>
      <c r="DB865" s="997"/>
      <c r="DC865" s="997"/>
      <c r="DD865" s="997"/>
      <c r="DE865" s="997"/>
      <c r="DF865" s="997"/>
      <c r="DG865" s="997"/>
      <c r="DH865" s="997"/>
      <c r="DI865" s="997"/>
      <c r="DJ865" s="997"/>
      <c r="DK865" s="997"/>
      <c r="DL865" s="997"/>
      <c r="DM865" s="997"/>
      <c r="DN865" s="997"/>
      <c r="DO865" s="997"/>
      <c r="DP865" s="997"/>
      <c r="DQ865" s="997"/>
      <c r="DR865" s="997"/>
      <c r="DS865" s="997"/>
      <c r="DT865" s="997"/>
      <c r="DU865" s="997"/>
      <c r="DV865" s="997"/>
      <c r="DW865" s="997"/>
      <c r="DX865" s="997"/>
      <c r="DY865" s="997"/>
      <c r="DZ865" s="997"/>
      <c r="EA865" s="997"/>
      <c r="EB865" s="997"/>
      <c r="EC865" s="997"/>
      <c r="ED865" s="997"/>
      <c r="EE865" s="997"/>
      <c r="EF865" s="997"/>
      <c r="EG865" s="997"/>
      <c r="EH865" s="997"/>
      <c r="EI865" s="997"/>
      <c r="EJ865" s="997"/>
      <c r="EK865" s="997"/>
      <c r="EL865" s="997"/>
      <c r="EM865" s="997"/>
      <c r="EN865" s="997"/>
      <c r="EO865" s="997"/>
      <c r="EP865" s="997"/>
      <c r="EQ865" s="997"/>
      <c r="ER865" s="997"/>
      <c r="ES865" s="997"/>
      <c r="ET865" s="997"/>
      <c r="EU865" s="997"/>
      <c r="EV865" s="997"/>
      <c r="EW865" s="997"/>
      <c r="EX865" s="997"/>
      <c r="EY865" s="997"/>
      <c r="EZ865" s="997"/>
      <c r="FA865" s="997"/>
      <c r="FB865" s="997"/>
      <c r="FC865" s="997"/>
      <c r="FD865" s="997"/>
      <c r="FE865" s="997"/>
      <c r="FF865" s="997"/>
      <c r="FG865" s="997"/>
      <c r="FH865" s="997"/>
      <c r="FI865" s="997"/>
      <c r="FJ865" s="997"/>
      <c r="FK865" s="997"/>
      <c r="FL865" s="997"/>
      <c r="FM865" s="997"/>
      <c r="FN865" s="997"/>
      <c r="FO865" s="997"/>
      <c r="FP865" s="997"/>
      <c r="FQ865" s="997"/>
      <c r="FR865" s="997"/>
      <c r="FS865" s="997"/>
      <c r="FT865" s="997"/>
      <c r="FU865" s="997"/>
      <c r="FV865" s="997"/>
      <c r="FW865" s="997"/>
      <c r="FX865" s="997"/>
      <c r="FY865" s="997"/>
      <c r="FZ865" s="997"/>
      <c r="GA865" s="997"/>
      <c r="GB865" s="997"/>
      <c r="GC865" s="997"/>
      <c r="GD865" s="997"/>
      <c r="GE865" s="997"/>
      <c r="GF865" s="997"/>
      <c r="GG865" s="997"/>
      <c r="GH865" s="997"/>
      <c r="GI865" s="997"/>
      <c r="GJ865" s="997"/>
      <c r="GK865" s="997"/>
      <c r="GL865" s="997"/>
      <c r="GM865" s="997"/>
      <c r="GN865" s="997"/>
      <c r="GO865" s="997"/>
      <c r="GP865" s="997"/>
      <c r="GQ865" s="997"/>
      <c r="GR865" s="997"/>
      <c r="GS865" s="997"/>
      <c r="GT865" s="997"/>
      <c r="GU865" s="997"/>
      <c r="GV865" s="997"/>
      <c r="GW865" s="997"/>
      <c r="GX865" s="997"/>
      <c r="GY865" s="997"/>
      <c r="GZ865" s="997"/>
      <c r="HA865" s="997"/>
      <c r="HB865" s="997"/>
      <c r="HC865" s="997"/>
      <c r="HD865" s="997"/>
      <c r="HE865" s="997"/>
      <c r="HF865" s="997"/>
      <c r="HG865" s="997"/>
      <c r="HH865" s="997"/>
      <c r="HI865" s="997"/>
      <c r="HJ865" s="997"/>
      <c r="HK865" s="997"/>
      <c r="HL865" s="997"/>
      <c r="HM865" s="997"/>
      <c r="HN865" s="997"/>
      <c r="HO865" s="997"/>
      <c r="HP865" s="997"/>
      <c r="HQ865" s="997"/>
      <c r="HR865" s="997"/>
      <c r="HS865" s="997"/>
      <c r="HT865" s="997"/>
      <c r="HU865" s="997"/>
      <c r="HV865" s="997"/>
      <c r="HW865" s="997"/>
      <c r="HX865" s="997"/>
      <c r="HY865" s="997"/>
      <c r="HZ865" s="997"/>
      <c r="IA865" s="997"/>
      <c r="IB865" s="997"/>
      <c r="IC865" s="997"/>
      <c r="ID865" s="997"/>
      <c r="IE865" s="997"/>
      <c r="IF865" s="997"/>
      <c r="IG865" s="997"/>
      <c r="IH865" s="997"/>
      <c r="II865" s="997"/>
      <c r="IJ865" s="997"/>
      <c r="IK865" s="997"/>
      <c r="IL865" s="997"/>
      <c r="IM865" s="997"/>
      <c r="IN865" s="997"/>
    </row>
    <row r="866" spans="1:248" s="1090" customFormat="1" ht="14.1" customHeight="1">
      <c r="A866" s="1091"/>
      <c r="B866" s="1091"/>
      <c r="C866" s="1097"/>
      <c r="D866" s="1092"/>
      <c r="G866" s="997"/>
      <c r="H866" s="997"/>
      <c r="I866" s="997"/>
      <c r="J866" s="997"/>
      <c r="K866" s="997"/>
      <c r="L866" s="997"/>
      <c r="M866" s="997"/>
      <c r="N866" s="997"/>
      <c r="O866" s="997"/>
      <c r="P866" s="997"/>
      <c r="Q866" s="997"/>
      <c r="R866" s="997"/>
      <c r="S866" s="997"/>
      <c r="T866" s="997"/>
      <c r="U866" s="997"/>
      <c r="V866" s="997"/>
      <c r="W866" s="997"/>
      <c r="X866" s="997"/>
      <c r="Y866" s="997"/>
      <c r="Z866" s="997"/>
      <c r="AA866" s="997"/>
      <c r="AB866" s="997"/>
      <c r="AC866" s="997"/>
      <c r="AD866" s="997"/>
      <c r="AE866" s="997"/>
      <c r="AF866" s="997"/>
      <c r="AG866" s="997"/>
      <c r="AH866" s="997"/>
      <c r="AI866" s="997"/>
      <c r="AJ866" s="997"/>
      <c r="AK866" s="997"/>
      <c r="AL866" s="997"/>
      <c r="AM866" s="997"/>
      <c r="AN866" s="997"/>
      <c r="AO866" s="997"/>
      <c r="AP866" s="997"/>
      <c r="AQ866" s="997"/>
      <c r="AR866" s="997"/>
      <c r="AS866" s="997"/>
      <c r="AT866" s="997"/>
      <c r="AU866" s="997"/>
      <c r="AV866" s="997"/>
      <c r="AW866" s="997"/>
      <c r="AX866" s="997"/>
      <c r="AY866" s="997"/>
      <c r="AZ866" s="997"/>
      <c r="BA866" s="997"/>
      <c r="BB866" s="997"/>
      <c r="BC866" s="997"/>
      <c r="BD866" s="997"/>
      <c r="BE866" s="997"/>
      <c r="BF866" s="997"/>
      <c r="BG866" s="997"/>
      <c r="BH866" s="997"/>
      <c r="BI866" s="997"/>
      <c r="BJ866" s="997"/>
      <c r="BK866" s="997"/>
      <c r="BL866" s="997"/>
      <c r="BM866" s="997"/>
      <c r="BN866" s="997"/>
      <c r="BO866" s="997"/>
      <c r="BP866" s="997"/>
      <c r="BQ866" s="997"/>
      <c r="BR866" s="997"/>
      <c r="BS866" s="997"/>
      <c r="BT866" s="997"/>
      <c r="BU866" s="997"/>
      <c r="BV866" s="997"/>
      <c r="BW866" s="997"/>
      <c r="BX866" s="997"/>
      <c r="BY866" s="997"/>
      <c r="BZ866" s="997"/>
      <c r="CA866" s="997"/>
      <c r="CB866" s="997"/>
      <c r="CC866" s="997"/>
      <c r="CD866" s="997"/>
      <c r="CE866" s="997"/>
      <c r="CF866" s="997"/>
      <c r="CG866" s="997"/>
      <c r="CH866" s="997"/>
      <c r="CI866" s="997"/>
      <c r="CJ866" s="997"/>
      <c r="CK866" s="997"/>
      <c r="CL866" s="997"/>
      <c r="CM866" s="997"/>
      <c r="CN866" s="997"/>
      <c r="CO866" s="997"/>
      <c r="CP866" s="997"/>
      <c r="CQ866" s="997"/>
      <c r="CR866" s="997"/>
      <c r="CS866" s="997"/>
      <c r="CT866" s="997"/>
      <c r="CU866" s="997"/>
      <c r="CV866" s="997"/>
      <c r="CW866" s="997"/>
      <c r="CX866" s="997"/>
      <c r="CY866" s="997"/>
      <c r="CZ866" s="997"/>
      <c r="DA866" s="997"/>
      <c r="DB866" s="997"/>
      <c r="DC866" s="997"/>
      <c r="DD866" s="997"/>
      <c r="DE866" s="997"/>
      <c r="DF866" s="997"/>
      <c r="DG866" s="997"/>
      <c r="DH866" s="997"/>
      <c r="DI866" s="997"/>
      <c r="DJ866" s="997"/>
      <c r="DK866" s="997"/>
      <c r="DL866" s="997"/>
      <c r="DM866" s="997"/>
      <c r="DN866" s="997"/>
      <c r="DO866" s="997"/>
      <c r="DP866" s="997"/>
      <c r="DQ866" s="997"/>
      <c r="DR866" s="997"/>
      <c r="DS866" s="997"/>
      <c r="DT866" s="997"/>
      <c r="DU866" s="997"/>
      <c r="DV866" s="997"/>
      <c r="DW866" s="997"/>
      <c r="DX866" s="997"/>
      <c r="DY866" s="997"/>
      <c r="DZ866" s="997"/>
      <c r="EA866" s="997"/>
      <c r="EB866" s="997"/>
      <c r="EC866" s="997"/>
      <c r="ED866" s="997"/>
      <c r="EE866" s="997"/>
      <c r="EF866" s="997"/>
      <c r="EG866" s="997"/>
      <c r="EH866" s="997"/>
      <c r="EI866" s="997"/>
      <c r="EJ866" s="997"/>
      <c r="EK866" s="997"/>
      <c r="EL866" s="997"/>
      <c r="EM866" s="997"/>
      <c r="EN866" s="997"/>
      <c r="EO866" s="997"/>
      <c r="EP866" s="997"/>
      <c r="EQ866" s="997"/>
      <c r="ER866" s="997"/>
      <c r="ES866" s="997"/>
      <c r="ET866" s="997"/>
      <c r="EU866" s="997"/>
      <c r="EV866" s="997"/>
      <c r="EW866" s="997"/>
      <c r="EX866" s="997"/>
      <c r="EY866" s="997"/>
      <c r="EZ866" s="997"/>
      <c r="FA866" s="997"/>
      <c r="FB866" s="997"/>
      <c r="FC866" s="997"/>
      <c r="FD866" s="997"/>
      <c r="FE866" s="997"/>
      <c r="FF866" s="997"/>
      <c r="FG866" s="997"/>
      <c r="FH866" s="997"/>
      <c r="FI866" s="997"/>
      <c r="FJ866" s="997"/>
      <c r="FK866" s="997"/>
      <c r="FL866" s="997"/>
      <c r="FM866" s="997"/>
      <c r="FN866" s="997"/>
      <c r="FO866" s="997"/>
      <c r="FP866" s="997"/>
      <c r="FQ866" s="997"/>
      <c r="FR866" s="997"/>
      <c r="FS866" s="997"/>
      <c r="FT866" s="997"/>
      <c r="FU866" s="997"/>
      <c r="FV866" s="997"/>
      <c r="FW866" s="997"/>
      <c r="FX866" s="997"/>
      <c r="FY866" s="997"/>
      <c r="FZ866" s="997"/>
      <c r="GA866" s="997"/>
      <c r="GB866" s="997"/>
      <c r="GC866" s="997"/>
      <c r="GD866" s="997"/>
      <c r="GE866" s="997"/>
      <c r="GF866" s="997"/>
      <c r="GG866" s="997"/>
      <c r="GH866" s="997"/>
      <c r="GI866" s="997"/>
      <c r="GJ866" s="997"/>
      <c r="GK866" s="997"/>
      <c r="GL866" s="997"/>
      <c r="GM866" s="997"/>
      <c r="GN866" s="997"/>
      <c r="GO866" s="997"/>
      <c r="GP866" s="997"/>
      <c r="GQ866" s="997"/>
      <c r="GR866" s="997"/>
      <c r="GS866" s="997"/>
      <c r="GT866" s="997"/>
      <c r="GU866" s="997"/>
      <c r="GV866" s="997"/>
      <c r="GW866" s="997"/>
      <c r="GX866" s="997"/>
      <c r="GY866" s="997"/>
      <c r="GZ866" s="997"/>
      <c r="HA866" s="997"/>
      <c r="HB866" s="997"/>
      <c r="HC866" s="997"/>
      <c r="HD866" s="997"/>
      <c r="HE866" s="997"/>
      <c r="HF866" s="997"/>
      <c r="HG866" s="997"/>
      <c r="HH866" s="997"/>
      <c r="HI866" s="997"/>
      <c r="HJ866" s="997"/>
      <c r="HK866" s="997"/>
      <c r="HL866" s="997"/>
      <c r="HM866" s="997"/>
      <c r="HN866" s="997"/>
      <c r="HO866" s="997"/>
      <c r="HP866" s="997"/>
      <c r="HQ866" s="997"/>
      <c r="HR866" s="997"/>
      <c r="HS866" s="997"/>
      <c r="HT866" s="997"/>
      <c r="HU866" s="997"/>
      <c r="HV866" s="997"/>
      <c r="HW866" s="997"/>
      <c r="HX866" s="997"/>
      <c r="HY866" s="997"/>
      <c r="HZ866" s="997"/>
      <c r="IA866" s="997"/>
      <c r="IB866" s="997"/>
      <c r="IC866" s="997"/>
      <c r="ID866" s="997"/>
      <c r="IE866" s="997"/>
      <c r="IF866" s="997"/>
      <c r="IG866" s="997"/>
      <c r="IH866" s="997"/>
      <c r="II866" s="997"/>
      <c r="IJ866" s="997"/>
      <c r="IK866" s="997"/>
      <c r="IL866" s="997"/>
      <c r="IM866" s="997"/>
      <c r="IN866" s="997"/>
    </row>
    <row r="867" spans="1:248" s="1090" customFormat="1" ht="14.1" customHeight="1">
      <c r="A867" s="1091"/>
      <c r="B867" s="945" t="s">
        <v>3785</v>
      </c>
      <c r="C867" s="1101" t="s">
        <v>3962</v>
      </c>
      <c r="D867" s="1092"/>
      <c r="G867" s="997"/>
      <c r="H867" s="997"/>
      <c r="I867" s="997"/>
      <c r="J867" s="997"/>
      <c r="K867" s="997"/>
      <c r="L867" s="997"/>
      <c r="M867" s="997"/>
      <c r="N867" s="997"/>
      <c r="O867" s="997"/>
      <c r="P867" s="997"/>
      <c r="Q867" s="997"/>
      <c r="R867" s="997"/>
      <c r="S867" s="997"/>
      <c r="T867" s="997"/>
      <c r="U867" s="997"/>
      <c r="V867" s="997"/>
      <c r="W867" s="997"/>
      <c r="X867" s="997"/>
      <c r="Y867" s="997"/>
      <c r="Z867" s="997"/>
      <c r="AA867" s="997"/>
      <c r="AB867" s="997"/>
      <c r="AC867" s="997"/>
      <c r="AD867" s="997"/>
      <c r="AE867" s="997"/>
      <c r="AF867" s="997"/>
      <c r="AG867" s="997"/>
      <c r="AH867" s="997"/>
      <c r="AI867" s="997"/>
      <c r="AJ867" s="997"/>
      <c r="AK867" s="997"/>
      <c r="AL867" s="997"/>
      <c r="AM867" s="997"/>
      <c r="AN867" s="997"/>
      <c r="AO867" s="997"/>
      <c r="AP867" s="997"/>
      <c r="AQ867" s="997"/>
      <c r="AR867" s="997"/>
      <c r="AS867" s="997"/>
      <c r="AT867" s="997"/>
      <c r="AU867" s="997"/>
      <c r="AV867" s="997"/>
      <c r="AW867" s="997"/>
      <c r="AX867" s="997"/>
      <c r="AY867" s="997"/>
      <c r="AZ867" s="997"/>
      <c r="BA867" s="997"/>
      <c r="BB867" s="997"/>
      <c r="BC867" s="997"/>
      <c r="BD867" s="997"/>
      <c r="BE867" s="997"/>
      <c r="BF867" s="997"/>
      <c r="BG867" s="997"/>
      <c r="BH867" s="997"/>
      <c r="BI867" s="997"/>
      <c r="BJ867" s="997"/>
      <c r="BK867" s="997"/>
      <c r="BL867" s="997"/>
      <c r="BM867" s="997"/>
      <c r="BN867" s="997"/>
      <c r="BO867" s="997"/>
      <c r="BP867" s="997"/>
      <c r="BQ867" s="997"/>
      <c r="BR867" s="997"/>
      <c r="BS867" s="997"/>
      <c r="BT867" s="997"/>
      <c r="BU867" s="997"/>
      <c r="BV867" s="997"/>
      <c r="BW867" s="997"/>
      <c r="BX867" s="997"/>
      <c r="BY867" s="997"/>
      <c r="BZ867" s="997"/>
      <c r="CA867" s="997"/>
      <c r="CB867" s="997"/>
      <c r="CC867" s="997"/>
      <c r="CD867" s="997"/>
      <c r="CE867" s="997"/>
      <c r="CF867" s="997"/>
      <c r="CG867" s="997"/>
      <c r="CH867" s="997"/>
      <c r="CI867" s="997"/>
      <c r="CJ867" s="997"/>
      <c r="CK867" s="997"/>
      <c r="CL867" s="997"/>
      <c r="CM867" s="997"/>
      <c r="CN867" s="997"/>
      <c r="CO867" s="997"/>
      <c r="CP867" s="997"/>
      <c r="CQ867" s="997"/>
      <c r="CR867" s="997"/>
      <c r="CS867" s="997"/>
      <c r="CT867" s="997"/>
      <c r="CU867" s="997"/>
      <c r="CV867" s="997"/>
      <c r="CW867" s="997"/>
      <c r="CX867" s="997"/>
      <c r="CY867" s="997"/>
      <c r="CZ867" s="997"/>
      <c r="DA867" s="997"/>
      <c r="DB867" s="997"/>
      <c r="DC867" s="997"/>
      <c r="DD867" s="997"/>
      <c r="DE867" s="997"/>
      <c r="DF867" s="997"/>
      <c r="DG867" s="997"/>
      <c r="DH867" s="997"/>
      <c r="DI867" s="997"/>
      <c r="DJ867" s="997"/>
      <c r="DK867" s="997"/>
      <c r="DL867" s="997"/>
      <c r="DM867" s="997"/>
      <c r="DN867" s="997"/>
      <c r="DO867" s="997"/>
      <c r="DP867" s="997"/>
      <c r="DQ867" s="997"/>
      <c r="DR867" s="997"/>
      <c r="DS867" s="997"/>
      <c r="DT867" s="997"/>
      <c r="DU867" s="997"/>
      <c r="DV867" s="997"/>
      <c r="DW867" s="997"/>
      <c r="DX867" s="997"/>
      <c r="DY867" s="997"/>
      <c r="DZ867" s="997"/>
      <c r="EA867" s="997"/>
      <c r="EB867" s="997"/>
      <c r="EC867" s="997"/>
      <c r="ED867" s="997"/>
      <c r="EE867" s="997"/>
      <c r="EF867" s="997"/>
      <c r="EG867" s="997"/>
      <c r="EH867" s="997"/>
      <c r="EI867" s="997"/>
      <c r="EJ867" s="997"/>
      <c r="EK867" s="997"/>
      <c r="EL867" s="997"/>
      <c r="EM867" s="997"/>
      <c r="EN867" s="997"/>
      <c r="EO867" s="997"/>
      <c r="EP867" s="997"/>
      <c r="EQ867" s="997"/>
      <c r="ER867" s="997"/>
      <c r="ES867" s="997"/>
      <c r="ET867" s="997"/>
      <c r="EU867" s="997"/>
      <c r="EV867" s="997"/>
      <c r="EW867" s="997"/>
      <c r="EX867" s="997"/>
      <c r="EY867" s="997"/>
      <c r="EZ867" s="997"/>
      <c r="FA867" s="997"/>
      <c r="FB867" s="997"/>
      <c r="FC867" s="997"/>
      <c r="FD867" s="997"/>
      <c r="FE867" s="997"/>
      <c r="FF867" s="997"/>
      <c r="FG867" s="997"/>
      <c r="FH867" s="997"/>
      <c r="FI867" s="997"/>
      <c r="FJ867" s="997"/>
      <c r="FK867" s="997"/>
      <c r="FL867" s="997"/>
      <c r="FM867" s="997"/>
      <c r="FN867" s="997"/>
      <c r="FO867" s="997"/>
      <c r="FP867" s="997"/>
      <c r="FQ867" s="997"/>
      <c r="FR867" s="997"/>
      <c r="FS867" s="997"/>
      <c r="FT867" s="997"/>
      <c r="FU867" s="997"/>
      <c r="FV867" s="997"/>
      <c r="FW867" s="997"/>
      <c r="FX867" s="997"/>
      <c r="FY867" s="997"/>
      <c r="FZ867" s="997"/>
      <c r="GA867" s="997"/>
      <c r="GB867" s="997"/>
      <c r="GC867" s="997"/>
      <c r="GD867" s="997"/>
      <c r="GE867" s="997"/>
      <c r="GF867" s="997"/>
      <c r="GG867" s="997"/>
      <c r="GH867" s="997"/>
      <c r="GI867" s="997"/>
      <c r="GJ867" s="997"/>
      <c r="GK867" s="997"/>
      <c r="GL867" s="997"/>
      <c r="GM867" s="997"/>
      <c r="GN867" s="997"/>
      <c r="GO867" s="997"/>
      <c r="GP867" s="997"/>
      <c r="GQ867" s="997"/>
      <c r="GR867" s="997"/>
      <c r="GS867" s="997"/>
      <c r="GT867" s="997"/>
      <c r="GU867" s="997"/>
      <c r="GV867" s="997"/>
      <c r="GW867" s="997"/>
      <c r="GX867" s="997"/>
      <c r="GY867" s="997"/>
      <c r="GZ867" s="997"/>
      <c r="HA867" s="997"/>
      <c r="HB867" s="997"/>
      <c r="HC867" s="997"/>
      <c r="HD867" s="997"/>
      <c r="HE867" s="997"/>
      <c r="HF867" s="997"/>
      <c r="HG867" s="997"/>
      <c r="HH867" s="997"/>
      <c r="HI867" s="997"/>
      <c r="HJ867" s="997"/>
      <c r="HK867" s="997"/>
      <c r="HL867" s="997"/>
      <c r="HM867" s="997"/>
      <c r="HN867" s="997"/>
      <c r="HO867" s="997"/>
      <c r="HP867" s="997"/>
      <c r="HQ867" s="997"/>
      <c r="HR867" s="997"/>
      <c r="HS867" s="997"/>
      <c r="HT867" s="997"/>
      <c r="HU867" s="997"/>
      <c r="HV867" s="997"/>
      <c r="HW867" s="997"/>
      <c r="HX867" s="997"/>
      <c r="HY867" s="997"/>
      <c r="HZ867" s="997"/>
      <c r="IA867" s="997"/>
      <c r="IB867" s="997"/>
      <c r="IC867" s="997"/>
      <c r="ID867" s="997"/>
      <c r="IE867" s="997"/>
      <c r="IF867" s="997"/>
      <c r="IG867" s="997"/>
      <c r="IH867" s="997"/>
      <c r="II867" s="997"/>
      <c r="IJ867" s="997"/>
      <c r="IK867" s="997"/>
      <c r="IL867" s="997"/>
      <c r="IM867" s="997"/>
      <c r="IN867" s="997"/>
    </row>
    <row r="868" spans="1:248" s="1090" customFormat="1" ht="14.1" customHeight="1">
      <c r="A868" s="1091"/>
      <c r="B868" s="1100"/>
      <c r="C868" s="1101" t="s">
        <v>3963</v>
      </c>
      <c r="D868" s="1092"/>
      <c r="G868" s="997"/>
      <c r="H868" s="997"/>
      <c r="I868" s="997"/>
      <c r="J868" s="997"/>
      <c r="K868" s="997"/>
      <c r="L868" s="997"/>
      <c r="M868" s="997"/>
      <c r="N868" s="997"/>
      <c r="O868" s="997"/>
      <c r="P868" s="997"/>
      <c r="Q868" s="997"/>
      <c r="R868" s="997"/>
      <c r="S868" s="997"/>
      <c r="T868" s="997"/>
      <c r="U868" s="997"/>
      <c r="V868" s="997"/>
      <c r="W868" s="997"/>
      <c r="X868" s="997"/>
      <c r="Y868" s="997"/>
      <c r="Z868" s="997"/>
      <c r="AA868" s="997"/>
      <c r="AB868" s="997"/>
      <c r="AC868" s="997"/>
      <c r="AD868" s="997"/>
      <c r="AE868" s="997"/>
      <c r="AF868" s="997"/>
      <c r="AG868" s="997"/>
      <c r="AH868" s="997"/>
      <c r="AI868" s="997"/>
      <c r="AJ868" s="997"/>
      <c r="AK868" s="997"/>
      <c r="AL868" s="997"/>
      <c r="AM868" s="997"/>
      <c r="AN868" s="997"/>
      <c r="AO868" s="997"/>
      <c r="AP868" s="997"/>
      <c r="AQ868" s="997"/>
      <c r="AR868" s="997"/>
      <c r="AS868" s="997"/>
      <c r="AT868" s="997"/>
      <c r="AU868" s="997"/>
      <c r="AV868" s="997"/>
      <c r="AW868" s="997"/>
      <c r="AX868" s="997"/>
      <c r="AY868" s="997"/>
      <c r="AZ868" s="997"/>
      <c r="BA868" s="997"/>
      <c r="BB868" s="997"/>
      <c r="BC868" s="997"/>
      <c r="BD868" s="997"/>
      <c r="BE868" s="997"/>
      <c r="BF868" s="997"/>
      <c r="BG868" s="997"/>
      <c r="BH868" s="997"/>
      <c r="BI868" s="997"/>
      <c r="BJ868" s="997"/>
      <c r="BK868" s="997"/>
      <c r="BL868" s="997"/>
      <c r="BM868" s="997"/>
      <c r="BN868" s="997"/>
      <c r="BO868" s="997"/>
      <c r="BP868" s="997"/>
      <c r="BQ868" s="997"/>
      <c r="BR868" s="997"/>
      <c r="BS868" s="997"/>
      <c r="BT868" s="997"/>
      <c r="BU868" s="997"/>
      <c r="BV868" s="997"/>
      <c r="BW868" s="997"/>
      <c r="BX868" s="997"/>
      <c r="BY868" s="997"/>
      <c r="BZ868" s="997"/>
      <c r="CA868" s="997"/>
      <c r="CB868" s="997"/>
      <c r="CC868" s="997"/>
      <c r="CD868" s="997"/>
      <c r="CE868" s="997"/>
      <c r="CF868" s="997"/>
      <c r="CG868" s="997"/>
      <c r="CH868" s="997"/>
      <c r="CI868" s="997"/>
      <c r="CJ868" s="997"/>
      <c r="CK868" s="997"/>
      <c r="CL868" s="997"/>
      <c r="CM868" s="997"/>
      <c r="CN868" s="997"/>
      <c r="CO868" s="997"/>
      <c r="CP868" s="997"/>
      <c r="CQ868" s="997"/>
      <c r="CR868" s="997"/>
      <c r="CS868" s="997"/>
      <c r="CT868" s="997"/>
      <c r="CU868" s="997"/>
      <c r="CV868" s="997"/>
      <c r="CW868" s="997"/>
      <c r="CX868" s="997"/>
      <c r="CY868" s="997"/>
      <c r="CZ868" s="997"/>
      <c r="DA868" s="997"/>
      <c r="DB868" s="997"/>
      <c r="DC868" s="997"/>
      <c r="DD868" s="997"/>
      <c r="DE868" s="997"/>
      <c r="DF868" s="997"/>
      <c r="DG868" s="997"/>
      <c r="DH868" s="997"/>
      <c r="DI868" s="997"/>
      <c r="DJ868" s="997"/>
      <c r="DK868" s="997"/>
      <c r="DL868" s="997"/>
      <c r="DM868" s="997"/>
      <c r="DN868" s="997"/>
      <c r="DO868" s="997"/>
      <c r="DP868" s="997"/>
      <c r="DQ868" s="997"/>
      <c r="DR868" s="997"/>
      <c r="DS868" s="997"/>
      <c r="DT868" s="997"/>
      <c r="DU868" s="997"/>
      <c r="DV868" s="997"/>
      <c r="DW868" s="997"/>
      <c r="DX868" s="997"/>
      <c r="DY868" s="997"/>
      <c r="DZ868" s="997"/>
      <c r="EA868" s="997"/>
      <c r="EB868" s="997"/>
      <c r="EC868" s="997"/>
      <c r="ED868" s="997"/>
      <c r="EE868" s="997"/>
      <c r="EF868" s="997"/>
      <c r="EG868" s="997"/>
      <c r="EH868" s="997"/>
      <c r="EI868" s="997"/>
      <c r="EJ868" s="997"/>
      <c r="EK868" s="997"/>
      <c r="EL868" s="997"/>
      <c r="EM868" s="997"/>
      <c r="EN868" s="997"/>
      <c r="EO868" s="997"/>
      <c r="EP868" s="997"/>
      <c r="EQ868" s="997"/>
      <c r="ER868" s="997"/>
      <c r="ES868" s="997"/>
      <c r="ET868" s="997"/>
      <c r="EU868" s="997"/>
      <c r="EV868" s="997"/>
      <c r="EW868" s="997"/>
      <c r="EX868" s="997"/>
      <c r="EY868" s="997"/>
      <c r="EZ868" s="997"/>
      <c r="FA868" s="997"/>
      <c r="FB868" s="997"/>
      <c r="FC868" s="997"/>
      <c r="FD868" s="997"/>
      <c r="FE868" s="997"/>
      <c r="FF868" s="997"/>
      <c r="FG868" s="997"/>
      <c r="FH868" s="997"/>
      <c r="FI868" s="997"/>
      <c r="FJ868" s="997"/>
      <c r="FK868" s="997"/>
      <c r="FL868" s="997"/>
      <c r="FM868" s="997"/>
      <c r="FN868" s="997"/>
      <c r="FO868" s="997"/>
      <c r="FP868" s="997"/>
      <c r="FQ868" s="997"/>
      <c r="FR868" s="997"/>
      <c r="FS868" s="997"/>
      <c r="FT868" s="997"/>
      <c r="FU868" s="997"/>
      <c r="FV868" s="997"/>
      <c r="FW868" s="997"/>
      <c r="FX868" s="997"/>
      <c r="FY868" s="997"/>
      <c r="FZ868" s="997"/>
      <c r="GA868" s="997"/>
      <c r="GB868" s="997"/>
      <c r="GC868" s="997"/>
      <c r="GD868" s="997"/>
      <c r="GE868" s="997"/>
      <c r="GF868" s="997"/>
      <c r="GG868" s="997"/>
      <c r="GH868" s="997"/>
      <c r="GI868" s="997"/>
      <c r="GJ868" s="997"/>
      <c r="GK868" s="997"/>
      <c r="GL868" s="997"/>
      <c r="GM868" s="997"/>
      <c r="GN868" s="997"/>
      <c r="GO868" s="997"/>
      <c r="GP868" s="997"/>
      <c r="GQ868" s="997"/>
      <c r="GR868" s="997"/>
      <c r="GS868" s="997"/>
      <c r="GT868" s="997"/>
      <c r="GU868" s="997"/>
      <c r="GV868" s="997"/>
      <c r="GW868" s="997"/>
      <c r="GX868" s="997"/>
      <c r="GY868" s="997"/>
      <c r="GZ868" s="997"/>
      <c r="HA868" s="997"/>
      <c r="HB868" s="997"/>
      <c r="HC868" s="997"/>
      <c r="HD868" s="997"/>
      <c r="HE868" s="997"/>
      <c r="HF868" s="997"/>
      <c r="HG868" s="997"/>
      <c r="HH868" s="997"/>
      <c r="HI868" s="997"/>
      <c r="HJ868" s="997"/>
      <c r="HK868" s="997"/>
      <c r="HL868" s="997"/>
      <c r="HM868" s="997"/>
      <c r="HN868" s="997"/>
      <c r="HO868" s="997"/>
      <c r="HP868" s="997"/>
      <c r="HQ868" s="997"/>
      <c r="HR868" s="997"/>
      <c r="HS868" s="997"/>
      <c r="HT868" s="997"/>
      <c r="HU868" s="997"/>
      <c r="HV868" s="997"/>
      <c r="HW868" s="997"/>
      <c r="HX868" s="997"/>
      <c r="HY868" s="997"/>
      <c r="HZ868" s="997"/>
      <c r="IA868" s="997"/>
      <c r="IB868" s="997"/>
      <c r="IC868" s="997"/>
      <c r="ID868" s="997"/>
      <c r="IE868" s="997"/>
      <c r="IF868" s="997"/>
      <c r="IG868" s="997"/>
      <c r="IH868" s="997"/>
      <c r="II868" s="997"/>
      <c r="IJ868" s="997"/>
      <c r="IK868" s="997"/>
      <c r="IL868" s="997"/>
      <c r="IM868" s="997"/>
      <c r="IN868" s="997"/>
    </row>
    <row r="869" spans="1:248" s="1090" customFormat="1" ht="14.1" customHeight="1">
      <c r="A869" s="1091"/>
      <c r="B869" s="1091"/>
      <c r="C869" s="929"/>
      <c r="D869" s="1092"/>
      <c r="G869" s="997"/>
      <c r="H869" s="997"/>
      <c r="I869" s="997"/>
      <c r="J869" s="997"/>
      <c r="K869" s="997"/>
      <c r="L869" s="997"/>
      <c r="M869" s="997"/>
      <c r="N869" s="997"/>
      <c r="O869" s="997"/>
      <c r="P869" s="997"/>
      <c r="Q869" s="997"/>
      <c r="R869" s="997"/>
      <c r="S869" s="997"/>
      <c r="T869" s="997"/>
      <c r="U869" s="997"/>
      <c r="V869" s="997"/>
      <c r="W869" s="997"/>
      <c r="X869" s="997"/>
      <c r="Y869" s="997"/>
      <c r="Z869" s="997"/>
      <c r="AA869" s="997"/>
      <c r="AB869" s="997"/>
      <c r="AC869" s="997"/>
      <c r="AD869" s="997"/>
      <c r="AE869" s="997"/>
      <c r="AF869" s="997"/>
      <c r="AG869" s="997"/>
      <c r="AH869" s="997"/>
      <c r="AI869" s="997"/>
      <c r="AJ869" s="997"/>
      <c r="AK869" s="997"/>
      <c r="AL869" s="997"/>
      <c r="AM869" s="997"/>
      <c r="AN869" s="997"/>
      <c r="AO869" s="997"/>
      <c r="AP869" s="997"/>
      <c r="AQ869" s="997"/>
      <c r="AR869" s="997"/>
      <c r="AS869" s="997"/>
      <c r="AT869" s="997"/>
      <c r="AU869" s="997"/>
      <c r="AV869" s="997"/>
      <c r="AW869" s="997"/>
      <c r="AX869" s="997"/>
      <c r="AY869" s="997"/>
      <c r="AZ869" s="997"/>
      <c r="BA869" s="997"/>
      <c r="BB869" s="997"/>
      <c r="BC869" s="997"/>
      <c r="BD869" s="997"/>
      <c r="BE869" s="997"/>
      <c r="BF869" s="997"/>
      <c r="BG869" s="997"/>
      <c r="BH869" s="997"/>
      <c r="BI869" s="997"/>
      <c r="BJ869" s="997"/>
      <c r="BK869" s="997"/>
      <c r="BL869" s="997"/>
      <c r="BM869" s="997"/>
      <c r="BN869" s="997"/>
      <c r="BO869" s="997"/>
      <c r="BP869" s="997"/>
      <c r="BQ869" s="997"/>
      <c r="BR869" s="997"/>
      <c r="BS869" s="997"/>
      <c r="BT869" s="997"/>
      <c r="BU869" s="997"/>
      <c r="BV869" s="997"/>
      <c r="BW869" s="997"/>
      <c r="BX869" s="997"/>
      <c r="BY869" s="997"/>
      <c r="BZ869" s="997"/>
      <c r="CA869" s="997"/>
      <c r="CB869" s="997"/>
      <c r="CC869" s="997"/>
      <c r="CD869" s="997"/>
      <c r="CE869" s="997"/>
      <c r="CF869" s="997"/>
      <c r="CG869" s="997"/>
      <c r="CH869" s="997"/>
      <c r="CI869" s="997"/>
      <c r="CJ869" s="997"/>
      <c r="CK869" s="997"/>
      <c r="CL869" s="997"/>
      <c r="CM869" s="997"/>
      <c r="CN869" s="997"/>
      <c r="CO869" s="997"/>
      <c r="CP869" s="997"/>
      <c r="CQ869" s="997"/>
      <c r="CR869" s="997"/>
      <c r="CS869" s="997"/>
      <c r="CT869" s="997"/>
      <c r="CU869" s="997"/>
      <c r="CV869" s="997"/>
      <c r="CW869" s="997"/>
      <c r="CX869" s="997"/>
      <c r="CY869" s="997"/>
      <c r="CZ869" s="997"/>
      <c r="DA869" s="997"/>
      <c r="DB869" s="997"/>
      <c r="DC869" s="997"/>
      <c r="DD869" s="997"/>
      <c r="DE869" s="997"/>
      <c r="DF869" s="997"/>
      <c r="DG869" s="997"/>
      <c r="DH869" s="997"/>
      <c r="DI869" s="997"/>
      <c r="DJ869" s="997"/>
      <c r="DK869" s="997"/>
      <c r="DL869" s="997"/>
      <c r="DM869" s="997"/>
      <c r="DN869" s="997"/>
      <c r="DO869" s="997"/>
      <c r="DP869" s="997"/>
      <c r="DQ869" s="997"/>
      <c r="DR869" s="997"/>
      <c r="DS869" s="997"/>
      <c r="DT869" s="997"/>
      <c r="DU869" s="997"/>
      <c r="DV869" s="997"/>
      <c r="DW869" s="997"/>
      <c r="DX869" s="997"/>
      <c r="DY869" s="997"/>
      <c r="DZ869" s="997"/>
      <c r="EA869" s="997"/>
      <c r="EB869" s="997"/>
      <c r="EC869" s="997"/>
      <c r="ED869" s="997"/>
      <c r="EE869" s="997"/>
      <c r="EF869" s="997"/>
      <c r="EG869" s="997"/>
      <c r="EH869" s="997"/>
      <c r="EI869" s="997"/>
      <c r="EJ869" s="997"/>
      <c r="EK869" s="997"/>
      <c r="EL869" s="997"/>
      <c r="EM869" s="997"/>
      <c r="EN869" s="997"/>
      <c r="EO869" s="997"/>
      <c r="EP869" s="997"/>
      <c r="EQ869" s="997"/>
      <c r="ER869" s="997"/>
      <c r="ES869" s="997"/>
      <c r="ET869" s="997"/>
      <c r="EU869" s="997"/>
      <c r="EV869" s="997"/>
      <c r="EW869" s="997"/>
      <c r="EX869" s="997"/>
      <c r="EY869" s="997"/>
      <c r="EZ869" s="997"/>
      <c r="FA869" s="997"/>
      <c r="FB869" s="997"/>
      <c r="FC869" s="997"/>
      <c r="FD869" s="997"/>
      <c r="FE869" s="997"/>
      <c r="FF869" s="997"/>
      <c r="FG869" s="997"/>
      <c r="FH869" s="997"/>
      <c r="FI869" s="997"/>
      <c r="FJ869" s="997"/>
      <c r="FK869" s="997"/>
      <c r="FL869" s="997"/>
      <c r="FM869" s="997"/>
      <c r="FN869" s="997"/>
      <c r="FO869" s="997"/>
      <c r="FP869" s="997"/>
      <c r="FQ869" s="997"/>
      <c r="FR869" s="997"/>
      <c r="FS869" s="997"/>
      <c r="FT869" s="997"/>
      <c r="FU869" s="997"/>
      <c r="FV869" s="997"/>
      <c r="FW869" s="997"/>
      <c r="FX869" s="997"/>
      <c r="FY869" s="997"/>
      <c r="FZ869" s="997"/>
      <c r="GA869" s="997"/>
      <c r="GB869" s="997"/>
      <c r="GC869" s="997"/>
      <c r="GD869" s="997"/>
      <c r="GE869" s="997"/>
      <c r="GF869" s="997"/>
      <c r="GG869" s="997"/>
      <c r="GH869" s="997"/>
      <c r="GI869" s="997"/>
      <c r="GJ869" s="997"/>
      <c r="GK869" s="997"/>
      <c r="GL869" s="997"/>
      <c r="GM869" s="997"/>
      <c r="GN869" s="997"/>
      <c r="GO869" s="997"/>
      <c r="GP869" s="997"/>
      <c r="GQ869" s="997"/>
      <c r="GR869" s="997"/>
      <c r="GS869" s="997"/>
      <c r="GT869" s="997"/>
      <c r="GU869" s="997"/>
      <c r="GV869" s="997"/>
      <c r="GW869" s="997"/>
      <c r="GX869" s="997"/>
      <c r="GY869" s="997"/>
      <c r="GZ869" s="997"/>
      <c r="HA869" s="997"/>
      <c r="HB869" s="997"/>
      <c r="HC869" s="997"/>
      <c r="HD869" s="997"/>
      <c r="HE869" s="997"/>
      <c r="HF869" s="997"/>
      <c r="HG869" s="997"/>
      <c r="HH869" s="997"/>
      <c r="HI869" s="997"/>
      <c r="HJ869" s="997"/>
      <c r="HK869" s="997"/>
      <c r="HL869" s="997"/>
      <c r="HM869" s="997"/>
      <c r="HN869" s="997"/>
      <c r="HO869" s="997"/>
      <c r="HP869" s="997"/>
      <c r="HQ869" s="997"/>
      <c r="HR869" s="997"/>
      <c r="HS869" s="997"/>
      <c r="HT869" s="997"/>
      <c r="HU869" s="997"/>
      <c r="HV869" s="997"/>
      <c r="HW869" s="997"/>
      <c r="HX869" s="997"/>
      <c r="HY869" s="997"/>
      <c r="HZ869" s="997"/>
      <c r="IA869" s="997"/>
      <c r="IB869" s="997"/>
      <c r="IC869" s="997"/>
      <c r="ID869" s="997"/>
      <c r="IE869" s="997"/>
      <c r="IF869" s="997"/>
      <c r="IG869" s="997"/>
      <c r="IH869" s="997"/>
      <c r="II869" s="997"/>
      <c r="IJ869" s="997"/>
      <c r="IK869" s="997"/>
      <c r="IL869" s="997"/>
      <c r="IM869" s="997"/>
      <c r="IN869" s="997"/>
    </row>
    <row r="870" spans="1:248" s="1090" customFormat="1" ht="14.1" customHeight="1">
      <c r="A870" s="1091"/>
      <c r="B870" s="945" t="s">
        <v>3786</v>
      </c>
      <c r="C870" s="1102" t="s">
        <v>3964</v>
      </c>
      <c r="D870" s="1092"/>
      <c r="G870" s="997"/>
      <c r="H870" s="997"/>
      <c r="I870" s="997"/>
      <c r="J870" s="997"/>
      <c r="K870" s="997"/>
      <c r="L870" s="997"/>
      <c r="M870" s="997"/>
      <c r="N870" s="997"/>
      <c r="O870" s="997"/>
      <c r="P870" s="997"/>
      <c r="Q870" s="997"/>
      <c r="R870" s="997"/>
      <c r="S870" s="997"/>
      <c r="T870" s="997"/>
      <c r="U870" s="997"/>
      <c r="V870" s="997"/>
      <c r="W870" s="997"/>
      <c r="X870" s="997"/>
      <c r="Y870" s="997"/>
      <c r="Z870" s="997"/>
      <c r="AA870" s="997"/>
      <c r="AB870" s="997"/>
      <c r="AC870" s="997"/>
      <c r="AD870" s="997"/>
      <c r="AE870" s="997"/>
      <c r="AF870" s="997"/>
      <c r="AG870" s="997"/>
      <c r="AH870" s="997"/>
      <c r="AI870" s="997"/>
      <c r="AJ870" s="997"/>
      <c r="AK870" s="997"/>
      <c r="AL870" s="997"/>
      <c r="AM870" s="997"/>
      <c r="AN870" s="997"/>
      <c r="AO870" s="997"/>
      <c r="AP870" s="997"/>
      <c r="AQ870" s="997"/>
      <c r="AR870" s="997"/>
      <c r="AS870" s="997"/>
      <c r="AT870" s="997"/>
      <c r="AU870" s="997"/>
      <c r="AV870" s="997"/>
      <c r="AW870" s="997"/>
      <c r="AX870" s="997"/>
      <c r="AY870" s="997"/>
      <c r="AZ870" s="997"/>
      <c r="BA870" s="997"/>
      <c r="BB870" s="997"/>
      <c r="BC870" s="997"/>
      <c r="BD870" s="997"/>
      <c r="BE870" s="997"/>
      <c r="BF870" s="997"/>
      <c r="BG870" s="997"/>
      <c r="BH870" s="997"/>
      <c r="BI870" s="997"/>
      <c r="BJ870" s="997"/>
      <c r="BK870" s="997"/>
      <c r="BL870" s="997"/>
      <c r="BM870" s="997"/>
      <c r="BN870" s="997"/>
      <c r="BO870" s="997"/>
      <c r="BP870" s="997"/>
      <c r="BQ870" s="997"/>
      <c r="BR870" s="997"/>
      <c r="BS870" s="997"/>
      <c r="BT870" s="997"/>
      <c r="BU870" s="997"/>
      <c r="BV870" s="997"/>
      <c r="BW870" s="997"/>
      <c r="BX870" s="997"/>
      <c r="BY870" s="997"/>
      <c r="BZ870" s="997"/>
      <c r="CA870" s="997"/>
      <c r="CB870" s="997"/>
      <c r="CC870" s="997"/>
      <c r="CD870" s="997"/>
      <c r="CE870" s="997"/>
      <c r="CF870" s="997"/>
      <c r="CG870" s="997"/>
      <c r="CH870" s="997"/>
      <c r="CI870" s="997"/>
      <c r="CJ870" s="997"/>
      <c r="CK870" s="997"/>
      <c r="CL870" s="997"/>
      <c r="CM870" s="997"/>
      <c r="CN870" s="997"/>
      <c r="CO870" s="997"/>
      <c r="CP870" s="997"/>
      <c r="CQ870" s="997"/>
      <c r="CR870" s="997"/>
      <c r="CS870" s="997"/>
      <c r="CT870" s="997"/>
      <c r="CU870" s="997"/>
      <c r="CV870" s="997"/>
      <c r="CW870" s="997"/>
      <c r="CX870" s="997"/>
      <c r="CY870" s="997"/>
      <c r="CZ870" s="997"/>
      <c r="DA870" s="997"/>
      <c r="DB870" s="997"/>
      <c r="DC870" s="997"/>
      <c r="DD870" s="997"/>
      <c r="DE870" s="997"/>
      <c r="DF870" s="997"/>
      <c r="DG870" s="997"/>
      <c r="DH870" s="997"/>
      <c r="DI870" s="997"/>
      <c r="DJ870" s="997"/>
      <c r="DK870" s="997"/>
      <c r="DL870" s="997"/>
      <c r="DM870" s="997"/>
      <c r="DN870" s="997"/>
      <c r="DO870" s="997"/>
      <c r="DP870" s="997"/>
      <c r="DQ870" s="997"/>
      <c r="DR870" s="997"/>
      <c r="DS870" s="997"/>
      <c r="DT870" s="997"/>
      <c r="DU870" s="997"/>
      <c r="DV870" s="997"/>
      <c r="DW870" s="997"/>
      <c r="DX870" s="997"/>
      <c r="DY870" s="997"/>
      <c r="DZ870" s="997"/>
      <c r="EA870" s="997"/>
      <c r="EB870" s="997"/>
      <c r="EC870" s="997"/>
      <c r="ED870" s="997"/>
      <c r="EE870" s="997"/>
      <c r="EF870" s="997"/>
      <c r="EG870" s="997"/>
      <c r="EH870" s="997"/>
      <c r="EI870" s="997"/>
      <c r="EJ870" s="997"/>
      <c r="EK870" s="997"/>
      <c r="EL870" s="997"/>
      <c r="EM870" s="997"/>
      <c r="EN870" s="997"/>
      <c r="EO870" s="997"/>
      <c r="EP870" s="997"/>
      <c r="EQ870" s="997"/>
      <c r="ER870" s="997"/>
      <c r="ES870" s="997"/>
      <c r="ET870" s="997"/>
      <c r="EU870" s="997"/>
      <c r="EV870" s="997"/>
      <c r="EW870" s="997"/>
      <c r="EX870" s="997"/>
      <c r="EY870" s="997"/>
      <c r="EZ870" s="997"/>
      <c r="FA870" s="997"/>
      <c r="FB870" s="997"/>
      <c r="FC870" s="997"/>
      <c r="FD870" s="997"/>
      <c r="FE870" s="997"/>
      <c r="FF870" s="997"/>
      <c r="FG870" s="997"/>
      <c r="FH870" s="997"/>
      <c r="FI870" s="997"/>
      <c r="FJ870" s="997"/>
      <c r="FK870" s="997"/>
      <c r="FL870" s="997"/>
      <c r="FM870" s="997"/>
      <c r="FN870" s="997"/>
      <c r="FO870" s="997"/>
      <c r="FP870" s="997"/>
      <c r="FQ870" s="997"/>
      <c r="FR870" s="997"/>
      <c r="FS870" s="997"/>
      <c r="FT870" s="997"/>
      <c r="FU870" s="997"/>
      <c r="FV870" s="997"/>
      <c r="FW870" s="997"/>
      <c r="FX870" s="997"/>
      <c r="FY870" s="997"/>
      <c r="FZ870" s="997"/>
      <c r="GA870" s="997"/>
      <c r="GB870" s="997"/>
      <c r="GC870" s="997"/>
      <c r="GD870" s="997"/>
      <c r="GE870" s="997"/>
      <c r="GF870" s="997"/>
      <c r="GG870" s="997"/>
      <c r="GH870" s="997"/>
      <c r="GI870" s="997"/>
      <c r="GJ870" s="997"/>
      <c r="GK870" s="997"/>
      <c r="GL870" s="997"/>
      <c r="GM870" s="997"/>
      <c r="GN870" s="997"/>
      <c r="GO870" s="997"/>
      <c r="GP870" s="997"/>
      <c r="GQ870" s="997"/>
      <c r="GR870" s="997"/>
      <c r="GS870" s="997"/>
      <c r="GT870" s="997"/>
      <c r="GU870" s="997"/>
      <c r="GV870" s="997"/>
      <c r="GW870" s="997"/>
      <c r="GX870" s="997"/>
      <c r="GY870" s="997"/>
      <c r="GZ870" s="997"/>
      <c r="HA870" s="997"/>
      <c r="HB870" s="997"/>
      <c r="HC870" s="997"/>
      <c r="HD870" s="997"/>
      <c r="HE870" s="997"/>
      <c r="HF870" s="997"/>
      <c r="HG870" s="997"/>
      <c r="HH870" s="997"/>
      <c r="HI870" s="997"/>
      <c r="HJ870" s="997"/>
      <c r="HK870" s="997"/>
      <c r="HL870" s="997"/>
      <c r="HM870" s="997"/>
      <c r="HN870" s="997"/>
      <c r="HO870" s="997"/>
      <c r="HP870" s="997"/>
      <c r="HQ870" s="997"/>
      <c r="HR870" s="997"/>
      <c r="HS870" s="997"/>
      <c r="HT870" s="997"/>
      <c r="HU870" s="997"/>
      <c r="HV870" s="997"/>
      <c r="HW870" s="997"/>
      <c r="HX870" s="997"/>
      <c r="HY870" s="997"/>
      <c r="HZ870" s="997"/>
      <c r="IA870" s="997"/>
      <c r="IB870" s="997"/>
      <c r="IC870" s="997"/>
      <c r="ID870" s="997"/>
      <c r="IE870" s="997"/>
      <c r="IF870" s="997"/>
      <c r="IG870" s="997"/>
      <c r="IH870" s="997"/>
      <c r="II870" s="997"/>
      <c r="IJ870" s="997"/>
      <c r="IK870" s="997"/>
      <c r="IL870" s="997"/>
      <c r="IM870" s="997"/>
      <c r="IN870" s="997"/>
    </row>
    <row r="871" spans="1:248" s="1090" customFormat="1" ht="14.1" customHeight="1">
      <c r="A871" s="1091"/>
      <c r="B871" s="1091"/>
      <c r="C871" s="1102" t="s">
        <v>3965</v>
      </c>
      <c r="D871" s="1092"/>
      <c r="G871" s="997"/>
      <c r="H871" s="997"/>
      <c r="I871" s="997"/>
      <c r="J871" s="997"/>
      <c r="K871" s="997"/>
      <c r="L871" s="997"/>
      <c r="M871" s="997"/>
      <c r="N871" s="997"/>
      <c r="O871" s="997"/>
      <c r="P871" s="997"/>
      <c r="Q871" s="997"/>
      <c r="R871" s="997"/>
      <c r="S871" s="997"/>
      <c r="T871" s="997"/>
      <c r="U871" s="997"/>
      <c r="V871" s="997"/>
      <c r="W871" s="997"/>
      <c r="X871" s="997"/>
      <c r="Y871" s="997"/>
      <c r="Z871" s="997"/>
      <c r="AA871" s="997"/>
      <c r="AB871" s="997"/>
      <c r="AC871" s="997"/>
      <c r="AD871" s="997"/>
      <c r="AE871" s="997"/>
      <c r="AF871" s="997"/>
      <c r="AG871" s="997"/>
      <c r="AH871" s="997"/>
      <c r="AI871" s="997"/>
      <c r="AJ871" s="997"/>
      <c r="AK871" s="997"/>
      <c r="AL871" s="997"/>
      <c r="AM871" s="997"/>
      <c r="AN871" s="997"/>
      <c r="AO871" s="997"/>
      <c r="AP871" s="997"/>
      <c r="AQ871" s="997"/>
      <c r="AR871" s="997"/>
      <c r="AS871" s="997"/>
      <c r="AT871" s="997"/>
      <c r="AU871" s="997"/>
      <c r="AV871" s="997"/>
      <c r="AW871" s="997"/>
      <c r="AX871" s="997"/>
      <c r="AY871" s="997"/>
      <c r="AZ871" s="997"/>
      <c r="BA871" s="997"/>
      <c r="BB871" s="997"/>
      <c r="BC871" s="997"/>
      <c r="BD871" s="997"/>
      <c r="BE871" s="997"/>
      <c r="BF871" s="997"/>
      <c r="BG871" s="997"/>
      <c r="BH871" s="997"/>
      <c r="BI871" s="997"/>
      <c r="BJ871" s="997"/>
      <c r="BK871" s="997"/>
      <c r="BL871" s="997"/>
      <c r="BM871" s="997"/>
      <c r="BN871" s="997"/>
      <c r="BO871" s="997"/>
      <c r="BP871" s="997"/>
      <c r="BQ871" s="997"/>
      <c r="BR871" s="997"/>
      <c r="BS871" s="997"/>
      <c r="BT871" s="997"/>
      <c r="BU871" s="997"/>
      <c r="BV871" s="997"/>
      <c r="BW871" s="997"/>
      <c r="BX871" s="997"/>
      <c r="BY871" s="997"/>
      <c r="BZ871" s="997"/>
      <c r="CA871" s="997"/>
      <c r="CB871" s="997"/>
      <c r="CC871" s="997"/>
      <c r="CD871" s="997"/>
      <c r="CE871" s="997"/>
      <c r="CF871" s="997"/>
      <c r="CG871" s="997"/>
      <c r="CH871" s="997"/>
      <c r="CI871" s="997"/>
      <c r="CJ871" s="997"/>
      <c r="CK871" s="997"/>
      <c r="CL871" s="997"/>
      <c r="CM871" s="997"/>
      <c r="CN871" s="997"/>
      <c r="CO871" s="997"/>
      <c r="CP871" s="997"/>
      <c r="CQ871" s="997"/>
      <c r="CR871" s="997"/>
      <c r="CS871" s="997"/>
      <c r="CT871" s="997"/>
      <c r="CU871" s="997"/>
      <c r="CV871" s="997"/>
      <c r="CW871" s="997"/>
      <c r="CX871" s="997"/>
      <c r="CY871" s="997"/>
      <c r="CZ871" s="997"/>
      <c r="DA871" s="997"/>
      <c r="DB871" s="997"/>
      <c r="DC871" s="997"/>
      <c r="DD871" s="997"/>
      <c r="DE871" s="997"/>
      <c r="DF871" s="997"/>
      <c r="DG871" s="997"/>
      <c r="DH871" s="997"/>
      <c r="DI871" s="997"/>
      <c r="DJ871" s="997"/>
      <c r="DK871" s="997"/>
      <c r="DL871" s="997"/>
      <c r="DM871" s="997"/>
      <c r="DN871" s="997"/>
      <c r="DO871" s="997"/>
      <c r="DP871" s="997"/>
      <c r="DQ871" s="997"/>
      <c r="DR871" s="997"/>
      <c r="DS871" s="997"/>
      <c r="DT871" s="997"/>
      <c r="DU871" s="997"/>
      <c r="DV871" s="997"/>
      <c r="DW871" s="997"/>
      <c r="DX871" s="997"/>
      <c r="DY871" s="997"/>
      <c r="DZ871" s="997"/>
      <c r="EA871" s="997"/>
      <c r="EB871" s="997"/>
      <c r="EC871" s="997"/>
      <c r="ED871" s="997"/>
      <c r="EE871" s="997"/>
      <c r="EF871" s="997"/>
      <c r="EG871" s="997"/>
      <c r="EH871" s="997"/>
      <c r="EI871" s="997"/>
      <c r="EJ871" s="997"/>
      <c r="EK871" s="997"/>
      <c r="EL871" s="997"/>
      <c r="EM871" s="997"/>
      <c r="EN871" s="997"/>
      <c r="EO871" s="997"/>
      <c r="EP871" s="997"/>
      <c r="EQ871" s="997"/>
      <c r="ER871" s="997"/>
      <c r="ES871" s="997"/>
      <c r="ET871" s="997"/>
      <c r="EU871" s="997"/>
      <c r="EV871" s="997"/>
      <c r="EW871" s="997"/>
      <c r="EX871" s="997"/>
      <c r="EY871" s="997"/>
      <c r="EZ871" s="997"/>
      <c r="FA871" s="997"/>
      <c r="FB871" s="997"/>
      <c r="FC871" s="997"/>
      <c r="FD871" s="997"/>
      <c r="FE871" s="997"/>
      <c r="FF871" s="997"/>
      <c r="FG871" s="997"/>
      <c r="FH871" s="997"/>
      <c r="FI871" s="997"/>
      <c r="FJ871" s="997"/>
      <c r="FK871" s="997"/>
      <c r="FL871" s="997"/>
      <c r="FM871" s="997"/>
      <c r="FN871" s="997"/>
      <c r="FO871" s="997"/>
      <c r="FP871" s="997"/>
      <c r="FQ871" s="997"/>
      <c r="FR871" s="997"/>
      <c r="FS871" s="997"/>
      <c r="FT871" s="997"/>
      <c r="FU871" s="997"/>
      <c r="FV871" s="997"/>
      <c r="FW871" s="997"/>
      <c r="FX871" s="997"/>
      <c r="FY871" s="997"/>
      <c r="FZ871" s="997"/>
      <c r="GA871" s="997"/>
      <c r="GB871" s="997"/>
      <c r="GC871" s="997"/>
      <c r="GD871" s="997"/>
      <c r="GE871" s="997"/>
      <c r="GF871" s="997"/>
      <c r="GG871" s="997"/>
      <c r="GH871" s="997"/>
      <c r="GI871" s="997"/>
      <c r="GJ871" s="997"/>
      <c r="GK871" s="997"/>
      <c r="GL871" s="997"/>
      <c r="GM871" s="997"/>
      <c r="GN871" s="997"/>
      <c r="GO871" s="997"/>
      <c r="GP871" s="997"/>
      <c r="GQ871" s="997"/>
      <c r="GR871" s="997"/>
      <c r="GS871" s="997"/>
      <c r="GT871" s="997"/>
      <c r="GU871" s="997"/>
      <c r="GV871" s="997"/>
      <c r="GW871" s="997"/>
      <c r="GX871" s="997"/>
      <c r="GY871" s="997"/>
      <c r="GZ871" s="997"/>
      <c r="HA871" s="997"/>
      <c r="HB871" s="997"/>
      <c r="HC871" s="997"/>
      <c r="HD871" s="997"/>
      <c r="HE871" s="997"/>
      <c r="HF871" s="997"/>
      <c r="HG871" s="997"/>
      <c r="HH871" s="997"/>
      <c r="HI871" s="997"/>
      <c r="HJ871" s="997"/>
      <c r="HK871" s="997"/>
      <c r="HL871" s="997"/>
      <c r="HM871" s="997"/>
      <c r="HN871" s="997"/>
      <c r="HO871" s="997"/>
      <c r="HP871" s="997"/>
      <c r="HQ871" s="997"/>
      <c r="HR871" s="997"/>
      <c r="HS871" s="997"/>
      <c r="HT871" s="997"/>
      <c r="HU871" s="997"/>
      <c r="HV871" s="997"/>
      <c r="HW871" s="997"/>
      <c r="HX871" s="997"/>
      <c r="HY871" s="997"/>
      <c r="HZ871" s="997"/>
      <c r="IA871" s="997"/>
      <c r="IB871" s="997"/>
      <c r="IC871" s="997"/>
      <c r="ID871" s="997"/>
      <c r="IE871" s="997"/>
      <c r="IF871" s="997"/>
      <c r="IG871" s="997"/>
      <c r="IH871" s="997"/>
      <c r="II871" s="997"/>
      <c r="IJ871" s="997"/>
      <c r="IK871" s="997"/>
      <c r="IL871" s="997"/>
      <c r="IM871" s="997"/>
      <c r="IN871" s="997"/>
    </row>
    <row r="872" spans="1:248" s="1090" customFormat="1" ht="14.1" customHeight="1">
      <c r="A872" s="1091"/>
      <c r="B872" s="1091"/>
      <c r="C872" s="1102"/>
      <c r="D872" s="1092"/>
      <c r="G872" s="997"/>
      <c r="H872" s="997"/>
      <c r="I872" s="997"/>
      <c r="J872" s="997"/>
      <c r="K872" s="997"/>
      <c r="L872" s="997"/>
      <c r="M872" s="997"/>
      <c r="N872" s="997"/>
      <c r="O872" s="997"/>
      <c r="P872" s="997"/>
      <c r="Q872" s="997"/>
      <c r="R872" s="997"/>
      <c r="S872" s="997"/>
      <c r="T872" s="997"/>
      <c r="U872" s="997"/>
      <c r="V872" s="997"/>
      <c r="W872" s="997"/>
      <c r="X872" s="997"/>
      <c r="Y872" s="997"/>
      <c r="Z872" s="997"/>
      <c r="AA872" s="997"/>
      <c r="AB872" s="997"/>
      <c r="AC872" s="997"/>
      <c r="AD872" s="997"/>
      <c r="AE872" s="997"/>
      <c r="AF872" s="997"/>
      <c r="AG872" s="997"/>
      <c r="AH872" s="997"/>
      <c r="AI872" s="997"/>
      <c r="AJ872" s="997"/>
      <c r="AK872" s="997"/>
      <c r="AL872" s="997"/>
      <c r="AM872" s="997"/>
      <c r="AN872" s="997"/>
      <c r="AO872" s="997"/>
      <c r="AP872" s="997"/>
      <c r="AQ872" s="997"/>
      <c r="AR872" s="997"/>
      <c r="AS872" s="997"/>
      <c r="AT872" s="997"/>
      <c r="AU872" s="997"/>
      <c r="AV872" s="997"/>
      <c r="AW872" s="997"/>
      <c r="AX872" s="997"/>
      <c r="AY872" s="997"/>
      <c r="AZ872" s="997"/>
      <c r="BA872" s="997"/>
      <c r="BB872" s="997"/>
      <c r="BC872" s="997"/>
      <c r="BD872" s="997"/>
      <c r="BE872" s="997"/>
      <c r="BF872" s="997"/>
      <c r="BG872" s="997"/>
      <c r="BH872" s="997"/>
      <c r="BI872" s="997"/>
      <c r="BJ872" s="997"/>
      <c r="BK872" s="997"/>
      <c r="BL872" s="997"/>
      <c r="BM872" s="997"/>
      <c r="BN872" s="997"/>
      <c r="BO872" s="997"/>
      <c r="BP872" s="997"/>
      <c r="BQ872" s="997"/>
      <c r="BR872" s="997"/>
      <c r="BS872" s="997"/>
      <c r="BT872" s="997"/>
      <c r="BU872" s="997"/>
      <c r="BV872" s="997"/>
      <c r="BW872" s="997"/>
      <c r="BX872" s="997"/>
      <c r="BY872" s="997"/>
      <c r="BZ872" s="997"/>
      <c r="CA872" s="997"/>
      <c r="CB872" s="997"/>
      <c r="CC872" s="997"/>
      <c r="CD872" s="997"/>
      <c r="CE872" s="997"/>
      <c r="CF872" s="997"/>
      <c r="CG872" s="997"/>
      <c r="CH872" s="997"/>
      <c r="CI872" s="997"/>
      <c r="CJ872" s="997"/>
      <c r="CK872" s="997"/>
      <c r="CL872" s="997"/>
      <c r="CM872" s="997"/>
      <c r="CN872" s="997"/>
      <c r="CO872" s="997"/>
      <c r="CP872" s="997"/>
      <c r="CQ872" s="997"/>
      <c r="CR872" s="997"/>
      <c r="CS872" s="997"/>
      <c r="CT872" s="997"/>
      <c r="CU872" s="997"/>
      <c r="CV872" s="997"/>
      <c r="CW872" s="997"/>
      <c r="CX872" s="997"/>
      <c r="CY872" s="997"/>
      <c r="CZ872" s="997"/>
      <c r="DA872" s="997"/>
      <c r="DB872" s="997"/>
      <c r="DC872" s="997"/>
      <c r="DD872" s="997"/>
      <c r="DE872" s="997"/>
      <c r="DF872" s="997"/>
      <c r="DG872" s="997"/>
      <c r="DH872" s="997"/>
      <c r="DI872" s="997"/>
      <c r="DJ872" s="997"/>
      <c r="DK872" s="997"/>
      <c r="DL872" s="997"/>
      <c r="DM872" s="997"/>
      <c r="DN872" s="997"/>
      <c r="DO872" s="997"/>
      <c r="DP872" s="997"/>
      <c r="DQ872" s="997"/>
      <c r="DR872" s="997"/>
      <c r="DS872" s="997"/>
      <c r="DT872" s="997"/>
      <c r="DU872" s="997"/>
      <c r="DV872" s="997"/>
      <c r="DW872" s="997"/>
      <c r="DX872" s="997"/>
      <c r="DY872" s="997"/>
      <c r="DZ872" s="997"/>
      <c r="EA872" s="997"/>
      <c r="EB872" s="997"/>
      <c r="EC872" s="997"/>
      <c r="ED872" s="997"/>
      <c r="EE872" s="997"/>
      <c r="EF872" s="997"/>
      <c r="EG872" s="997"/>
      <c r="EH872" s="997"/>
      <c r="EI872" s="997"/>
      <c r="EJ872" s="997"/>
      <c r="EK872" s="997"/>
      <c r="EL872" s="997"/>
      <c r="EM872" s="997"/>
      <c r="EN872" s="997"/>
      <c r="EO872" s="997"/>
      <c r="EP872" s="997"/>
      <c r="EQ872" s="997"/>
      <c r="ER872" s="997"/>
      <c r="ES872" s="997"/>
      <c r="ET872" s="997"/>
      <c r="EU872" s="997"/>
      <c r="EV872" s="997"/>
      <c r="EW872" s="997"/>
      <c r="EX872" s="997"/>
      <c r="EY872" s="997"/>
      <c r="EZ872" s="997"/>
      <c r="FA872" s="997"/>
      <c r="FB872" s="997"/>
      <c r="FC872" s="997"/>
      <c r="FD872" s="997"/>
      <c r="FE872" s="997"/>
      <c r="FF872" s="997"/>
      <c r="FG872" s="997"/>
      <c r="FH872" s="997"/>
      <c r="FI872" s="997"/>
      <c r="FJ872" s="997"/>
      <c r="FK872" s="997"/>
      <c r="FL872" s="997"/>
      <c r="FM872" s="997"/>
      <c r="FN872" s="997"/>
      <c r="FO872" s="997"/>
      <c r="FP872" s="997"/>
      <c r="FQ872" s="997"/>
      <c r="FR872" s="997"/>
      <c r="FS872" s="997"/>
      <c r="FT872" s="997"/>
      <c r="FU872" s="997"/>
      <c r="FV872" s="997"/>
      <c r="FW872" s="997"/>
      <c r="FX872" s="997"/>
      <c r="FY872" s="997"/>
      <c r="FZ872" s="997"/>
      <c r="GA872" s="997"/>
      <c r="GB872" s="997"/>
      <c r="GC872" s="997"/>
      <c r="GD872" s="997"/>
      <c r="GE872" s="997"/>
      <c r="GF872" s="997"/>
      <c r="GG872" s="997"/>
      <c r="GH872" s="997"/>
      <c r="GI872" s="997"/>
      <c r="GJ872" s="997"/>
      <c r="GK872" s="997"/>
      <c r="GL872" s="997"/>
      <c r="GM872" s="997"/>
      <c r="GN872" s="997"/>
      <c r="GO872" s="997"/>
      <c r="GP872" s="997"/>
      <c r="GQ872" s="997"/>
      <c r="GR872" s="997"/>
      <c r="GS872" s="997"/>
      <c r="GT872" s="997"/>
      <c r="GU872" s="997"/>
      <c r="GV872" s="997"/>
      <c r="GW872" s="997"/>
      <c r="GX872" s="997"/>
      <c r="GY872" s="997"/>
      <c r="GZ872" s="997"/>
      <c r="HA872" s="997"/>
      <c r="HB872" s="997"/>
      <c r="HC872" s="997"/>
      <c r="HD872" s="997"/>
      <c r="HE872" s="997"/>
      <c r="HF872" s="997"/>
      <c r="HG872" s="997"/>
      <c r="HH872" s="997"/>
      <c r="HI872" s="997"/>
      <c r="HJ872" s="997"/>
      <c r="HK872" s="997"/>
      <c r="HL872" s="997"/>
      <c r="HM872" s="997"/>
      <c r="HN872" s="997"/>
      <c r="HO872" s="997"/>
      <c r="HP872" s="997"/>
      <c r="HQ872" s="997"/>
      <c r="HR872" s="997"/>
      <c r="HS872" s="997"/>
      <c r="HT872" s="997"/>
      <c r="HU872" s="997"/>
      <c r="HV872" s="997"/>
      <c r="HW872" s="997"/>
      <c r="HX872" s="997"/>
      <c r="HY872" s="997"/>
      <c r="HZ872" s="997"/>
      <c r="IA872" s="997"/>
      <c r="IB872" s="997"/>
      <c r="IC872" s="997"/>
      <c r="ID872" s="997"/>
      <c r="IE872" s="997"/>
      <c r="IF872" s="997"/>
      <c r="IG872" s="997"/>
      <c r="IH872" s="997"/>
      <c r="II872" s="997"/>
      <c r="IJ872" s="997"/>
      <c r="IK872" s="997"/>
      <c r="IL872" s="997"/>
      <c r="IM872" s="997"/>
      <c r="IN872" s="997"/>
    </row>
    <row r="873" spans="1:248" s="1090" customFormat="1" ht="14.1" customHeight="1">
      <c r="A873" s="1091"/>
      <c r="B873" s="945" t="s">
        <v>3787</v>
      </c>
      <c r="C873" s="1102" t="s">
        <v>3966</v>
      </c>
      <c r="D873" s="1092"/>
      <c r="G873" s="997"/>
      <c r="H873" s="997"/>
      <c r="I873" s="997"/>
      <c r="J873" s="997"/>
      <c r="K873" s="997"/>
      <c r="L873" s="997"/>
      <c r="M873" s="997"/>
      <c r="N873" s="997"/>
      <c r="O873" s="997"/>
      <c r="P873" s="997"/>
      <c r="Q873" s="997"/>
      <c r="R873" s="997"/>
      <c r="S873" s="997"/>
      <c r="T873" s="997"/>
      <c r="U873" s="997"/>
      <c r="V873" s="997"/>
      <c r="W873" s="997"/>
      <c r="X873" s="997"/>
      <c r="Y873" s="997"/>
      <c r="Z873" s="997"/>
      <c r="AA873" s="997"/>
      <c r="AB873" s="997"/>
      <c r="AC873" s="997"/>
      <c r="AD873" s="997"/>
      <c r="AE873" s="997"/>
      <c r="AF873" s="997"/>
      <c r="AG873" s="997"/>
      <c r="AH873" s="997"/>
      <c r="AI873" s="997"/>
      <c r="AJ873" s="997"/>
      <c r="AK873" s="997"/>
      <c r="AL873" s="997"/>
      <c r="AM873" s="997"/>
      <c r="AN873" s="997"/>
      <c r="AO873" s="997"/>
      <c r="AP873" s="997"/>
      <c r="AQ873" s="997"/>
      <c r="AR873" s="997"/>
      <c r="AS873" s="997"/>
      <c r="AT873" s="997"/>
      <c r="AU873" s="997"/>
      <c r="AV873" s="997"/>
      <c r="AW873" s="997"/>
      <c r="AX873" s="997"/>
      <c r="AY873" s="997"/>
      <c r="AZ873" s="997"/>
      <c r="BA873" s="997"/>
      <c r="BB873" s="997"/>
      <c r="BC873" s="997"/>
      <c r="BD873" s="997"/>
      <c r="BE873" s="997"/>
      <c r="BF873" s="997"/>
      <c r="BG873" s="997"/>
      <c r="BH873" s="997"/>
      <c r="BI873" s="997"/>
      <c r="BJ873" s="997"/>
      <c r="BK873" s="997"/>
      <c r="BL873" s="997"/>
      <c r="BM873" s="997"/>
      <c r="BN873" s="997"/>
      <c r="BO873" s="997"/>
      <c r="BP873" s="997"/>
      <c r="BQ873" s="997"/>
      <c r="BR873" s="997"/>
      <c r="BS873" s="997"/>
      <c r="BT873" s="997"/>
      <c r="BU873" s="997"/>
      <c r="BV873" s="997"/>
      <c r="BW873" s="997"/>
      <c r="BX873" s="997"/>
      <c r="BY873" s="997"/>
      <c r="BZ873" s="997"/>
      <c r="CA873" s="997"/>
      <c r="CB873" s="997"/>
      <c r="CC873" s="997"/>
      <c r="CD873" s="997"/>
      <c r="CE873" s="997"/>
      <c r="CF873" s="997"/>
      <c r="CG873" s="997"/>
      <c r="CH873" s="997"/>
      <c r="CI873" s="997"/>
      <c r="CJ873" s="997"/>
      <c r="CK873" s="997"/>
      <c r="CL873" s="997"/>
      <c r="CM873" s="997"/>
      <c r="CN873" s="997"/>
      <c r="CO873" s="997"/>
      <c r="CP873" s="997"/>
      <c r="CQ873" s="997"/>
      <c r="CR873" s="997"/>
      <c r="CS873" s="997"/>
      <c r="CT873" s="997"/>
      <c r="CU873" s="997"/>
      <c r="CV873" s="997"/>
      <c r="CW873" s="997"/>
      <c r="CX873" s="997"/>
      <c r="CY873" s="997"/>
      <c r="CZ873" s="997"/>
      <c r="DA873" s="997"/>
      <c r="DB873" s="997"/>
      <c r="DC873" s="997"/>
      <c r="DD873" s="997"/>
      <c r="DE873" s="997"/>
      <c r="DF873" s="997"/>
      <c r="DG873" s="997"/>
      <c r="DH873" s="997"/>
      <c r="DI873" s="997"/>
      <c r="DJ873" s="997"/>
      <c r="DK873" s="997"/>
      <c r="DL873" s="997"/>
      <c r="DM873" s="997"/>
      <c r="DN873" s="997"/>
      <c r="DO873" s="997"/>
      <c r="DP873" s="997"/>
      <c r="DQ873" s="997"/>
      <c r="DR873" s="997"/>
      <c r="DS873" s="997"/>
      <c r="DT873" s="997"/>
      <c r="DU873" s="997"/>
      <c r="DV873" s="997"/>
      <c r="DW873" s="997"/>
      <c r="DX873" s="997"/>
      <c r="DY873" s="997"/>
      <c r="DZ873" s="997"/>
      <c r="EA873" s="997"/>
      <c r="EB873" s="997"/>
      <c r="EC873" s="997"/>
      <c r="ED873" s="997"/>
      <c r="EE873" s="997"/>
      <c r="EF873" s="997"/>
      <c r="EG873" s="997"/>
      <c r="EH873" s="997"/>
      <c r="EI873" s="997"/>
      <c r="EJ873" s="997"/>
      <c r="EK873" s="997"/>
      <c r="EL873" s="997"/>
      <c r="EM873" s="997"/>
      <c r="EN873" s="997"/>
      <c r="EO873" s="997"/>
      <c r="EP873" s="997"/>
      <c r="EQ873" s="997"/>
      <c r="ER873" s="997"/>
      <c r="ES873" s="997"/>
      <c r="ET873" s="997"/>
      <c r="EU873" s="997"/>
      <c r="EV873" s="997"/>
      <c r="EW873" s="997"/>
      <c r="EX873" s="997"/>
      <c r="EY873" s="997"/>
      <c r="EZ873" s="997"/>
      <c r="FA873" s="997"/>
      <c r="FB873" s="997"/>
      <c r="FC873" s="997"/>
      <c r="FD873" s="997"/>
      <c r="FE873" s="997"/>
      <c r="FF873" s="997"/>
      <c r="FG873" s="997"/>
      <c r="FH873" s="997"/>
      <c r="FI873" s="997"/>
      <c r="FJ873" s="997"/>
      <c r="FK873" s="997"/>
      <c r="FL873" s="997"/>
      <c r="FM873" s="997"/>
      <c r="FN873" s="997"/>
      <c r="FO873" s="997"/>
      <c r="FP873" s="997"/>
      <c r="FQ873" s="997"/>
      <c r="FR873" s="997"/>
      <c r="FS873" s="997"/>
      <c r="FT873" s="997"/>
      <c r="FU873" s="997"/>
      <c r="FV873" s="997"/>
      <c r="FW873" s="997"/>
      <c r="FX873" s="997"/>
      <c r="FY873" s="997"/>
      <c r="FZ873" s="997"/>
      <c r="GA873" s="997"/>
      <c r="GB873" s="997"/>
      <c r="GC873" s="997"/>
      <c r="GD873" s="997"/>
      <c r="GE873" s="997"/>
      <c r="GF873" s="997"/>
      <c r="GG873" s="997"/>
      <c r="GH873" s="997"/>
      <c r="GI873" s="997"/>
      <c r="GJ873" s="997"/>
      <c r="GK873" s="997"/>
      <c r="GL873" s="997"/>
      <c r="GM873" s="997"/>
      <c r="GN873" s="997"/>
      <c r="GO873" s="997"/>
      <c r="GP873" s="997"/>
      <c r="GQ873" s="997"/>
      <c r="GR873" s="997"/>
      <c r="GS873" s="997"/>
      <c r="GT873" s="997"/>
      <c r="GU873" s="997"/>
      <c r="GV873" s="997"/>
      <c r="GW873" s="997"/>
      <c r="GX873" s="997"/>
      <c r="GY873" s="997"/>
      <c r="GZ873" s="997"/>
      <c r="HA873" s="997"/>
      <c r="HB873" s="997"/>
      <c r="HC873" s="997"/>
      <c r="HD873" s="997"/>
      <c r="HE873" s="997"/>
      <c r="HF873" s="997"/>
      <c r="HG873" s="997"/>
      <c r="HH873" s="997"/>
      <c r="HI873" s="997"/>
      <c r="HJ873" s="997"/>
      <c r="HK873" s="997"/>
      <c r="HL873" s="997"/>
      <c r="HM873" s="997"/>
      <c r="HN873" s="997"/>
      <c r="HO873" s="997"/>
      <c r="HP873" s="997"/>
      <c r="HQ873" s="997"/>
      <c r="HR873" s="997"/>
      <c r="HS873" s="997"/>
      <c r="HT873" s="997"/>
      <c r="HU873" s="997"/>
      <c r="HV873" s="997"/>
      <c r="HW873" s="997"/>
      <c r="HX873" s="997"/>
      <c r="HY873" s="997"/>
      <c r="HZ873" s="997"/>
      <c r="IA873" s="997"/>
      <c r="IB873" s="997"/>
      <c r="IC873" s="997"/>
      <c r="ID873" s="997"/>
      <c r="IE873" s="997"/>
      <c r="IF873" s="997"/>
      <c r="IG873" s="997"/>
      <c r="IH873" s="997"/>
      <c r="II873" s="997"/>
      <c r="IJ873" s="997"/>
      <c r="IK873" s="997"/>
      <c r="IL873" s="997"/>
      <c r="IM873" s="997"/>
      <c r="IN873" s="997"/>
    </row>
    <row r="874" spans="1:248" s="1090" customFormat="1" ht="14.1" customHeight="1">
      <c r="A874" s="1091"/>
      <c r="B874" s="1091"/>
      <c r="C874" s="1102" t="s">
        <v>3967</v>
      </c>
      <c r="D874" s="1092"/>
      <c r="G874" s="997"/>
      <c r="H874" s="997"/>
      <c r="I874" s="997"/>
      <c r="J874" s="997"/>
      <c r="K874" s="997"/>
      <c r="L874" s="997"/>
      <c r="M874" s="997"/>
      <c r="N874" s="997"/>
      <c r="O874" s="997"/>
      <c r="P874" s="997"/>
      <c r="Q874" s="997"/>
      <c r="R874" s="997"/>
      <c r="S874" s="997"/>
      <c r="T874" s="997"/>
      <c r="U874" s="997"/>
      <c r="V874" s="997"/>
      <c r="W874" s="997"/>
      <c r="X874" s="997"/>
      <c r="Y874" s="997"/>
      <c r="Z874" s="997"/>
      <c r="AA874" s="997"/>
      <c r="AB874" s="997"/>
      <c r="AC874" s="997"/>
      <c r="AD874" s="997"/>
      <c r="AE874" s="997"/>
      <c r="AF874" s="997"/>
      <c r="AG874" s="997"/>
      <c r="AH874" s="997"/>
      <c r="AI874" s="997"/>
      <c r="AJ874" s="997"/>
      <c r="AK874" s="997"/>
      <c r="AL874" s="997"/>
      <c r="AM874" s="997"/>
      <c r="AN874" s="997"/>
      <c r="AO874" s="997"/>
      <c r="AP874" s="997"/>
      <c r="AQ874" s="997"/>
      <c r="AR874" s="997"/>
      <c r="AS874" s="997"/>
      <c r="AT874" s="997"/>
      <c r="AU874" s="997"/>
      <c r="AV874" s="997"/>
      <c r="AW874" s="997"/>
      <c r="AX874" s="997"/>
      <c r="AY874" s="997"/>
      <c r="AZ874" s="997"/>
      <c r="BA874" s="997"/>
      <c r="BB874" s="997"/>
      <c r="BC874" s="997"/>
      <c r="BD874" s="997"/>
      <c r="BE874" s="997"/>
      <c r="BF874" s="997"/>
      <c r="BG874" s="997"/>
      <c r="BH874" s="997"/>
      <c r="BI874" s="997"/>
      <c r="BJ874" s="997"/>
      <c r="BK874" s="997"/>
      <c r="BL874" s="997"/>
      <c r="BM874" s="997"/>
      <c r="BN874" s="997"/>
      <c r="BO874" s="997"/>
      <c r="BP874" s="997"/>
      <c r="BQ874" s="997"/>
      <c r="BR874" s="997"/>
      <c r="BS874" s="997"/>
      <c r="BT874" s="997"/>
      <c r="BU874" s="997"/>
      <c r="BV874" s="997"/>
      <c r="BW874" s="997"/>
      <c r="BX874" s="997"/>
      <c r="BY874" s="997"/>
      <c r="BZ874" s="997"/>
      <c r="CA874" s="997"/>
      <c r="CB874" s="997"/>
      <c r="CC874" s="997"/>
      <c r="CD874" s="997"/>
      <c r="CE874" s="997"/>
      <c r="CF874" s="997"/>
      <c r="CG874" s="997"/>
      <c r="CH874" s="997"/>
      <c r="CI874" s="997"/>
      <c r="CJ874" s="997"/>
      <c r="CK874" s="997"/>
      <c r="CL874" s="997"/>
      <c r="CM874" s="997"/>
      <c r="CN874" s="997"/>
      <c r="CO874" s="997"/>
      <c r="CP874" s="997"/>
      <c r="CQ874" s="997"/>
      <c r="CR874" s="997"/>
      <c r="CS874" s="997"/>
      <c r="CT874" s="997"/>
      <c r="CU874" s="997"/>
      <c r="CV874" s="997"/>
      <c r="CW874" s="997"/>
      <c r="CX874" s="997"/>
      <c r="CY874" s="997"/>
      <c r="CZ874" s="997"/>
      <c r="DA874" s="997"/>
      <c r="DB874" s="997"/>
      <c r="DC874" s="997"/>
      <c r="DD874" s="997"/>
      <c r="DE874" s="997"/>
      <c r="DF874" s="997"/>
      <c r="DG874" s="997"/>
      <c r="DH874" s="997"/>
      <c r="DI874" s="997"/>
      <c r="DJ874" s="997"/>
      <c r="DK874" s="997"/>
      <c r="DL874" s="997"/>
      <c r="DM874" s="997"/>
      <c r="DN874" s="997"/>
      <c r="DO874" s="997"/>
      <c r="DP874" s="997"/>
      <c r="DQ874" s="997"/>
      <c r="DR874" s="997"/>
      <c r="DS874" s="997"/>
      <c r="DT874" s="997"/>
      <c r="DU874" s="997"/>
      <c r="DV874" s="997"/>
      <c r="DW874" s="997"/>
      <c r="DX874" s="997"/>
      <c r="DY874" s="997"/>
      <c r="DZ874" s="997"/>
      <c r="EA874" s="997"/>
      <c r="EB874" s="997"/>
      <c r="EC874" s="997"/>
      <c r="ED874" s="997"/>
      <c r="EE874" s="997"/>
      <c r="EF874" s="997"/>
      <c r="EG874" s="997"/>
      <c r="EH874" s="997"/>
      <c r="EI874" s="997"/>
      <c r="EJ874" s="997"/>
      <c r="EK874" s="997"/>
      <c r="EL874" s="997"/>
      <c r="EM874" s="997"/>
      <c r="EN874" s="997"/>
      <c r="EO874" s="997"/>
      <c r="EP874" s="997"/>
      <c r="EQ874" s="997"/>
      <c r="ER874" s="997"/>
      <c r="ES874" s="997"/>
      <c r="ET874" s="997"/>
      <c r="EU874" s="997"/>
      <c r="EV874" s="997"/>
      <c r="EW874" s="997"/>
      <c r="EX874" s="997"/>
      <c r="EY874" s="997"/>
      <c r="EZ874" s="997"/>
      <c r="FA874" s="997"/>
      <c r="FB874" s="997"/>
      <c r="FC874" s="997"/>
      <c r="FD874" s="997"/>
      <c r="FE874" s="997"/>
      <c r="FF874" s="997"/>
      <c r="FG874" s="997"/>
      <c r="FH874" s="997"/>
      <c r="FI874" s="997"/>
      <c r="FJ874" s="997"/>
      <c r="FK874" s="997"/>
      <c r="FL874" s="997"/>
      <c r="FM874" s="997"/>
      <c r="FN874" s="997"/>
      <c r="FO874" s="997"/>
      <c r="FP874" s="997"/>
      <c r="FQ874" s="997"/>
      <c r="FR874" s="997"/>
      <c r="FS874" s="997"/>
      <c r="FT874" s="997"/>
      <c r="FU874" s="997"/>
      <c r="FV874" s="997"/>
      <c r="FW874" s="997"/>
      <c r="FX874" s="997"/>
      <c r="FY874" s="997"/>
      <c r="FZ874" s="997"/>
      <c r="GA874" s="997"/>
      <c r="GB874" s="997"/>
      <c r="GC874" s="997"/>
      <c r="GD874" s="997"/>
      <c r="GE874" s="997"/>
      <c r="GF874" s="997"/>
      <c r="GG874" s="997"/>
      <c r="GH874" s="997"/>
      <c r="GI874" s="997"/>
      <c r="GJ874" s="997"/>
      <c r="GK874" s="997"/>
      <c r="GL874" s="997"/>
      <c r="GM874" s="997"/>
      <c r="GN874" s="997"/>
      <c r="GO874" s="997"/>
      <c r="GP874" s="997"/>
      <c r="GQ874" s="997"/>
      <c r="GR874" s="997"/>
      <c r="GS874" s="997"/>
      <c r="GT874" s="997"/>
      <c r="GU874" s="997"/>
      <c r="GV874" s="997"/>
      <c r="GW874" s="997"/>
      <c r="GX874" s="997"/>
      <c r="GY874" s="997"/>
      <c r="GZ874" s="997"/>
      <c r="HA874" s="997"/>
      <c r="HB874" s="997"/>
      <c r="HC874" s="997"/>
      <c r="HD874" s="997"/>
      <c r="HE874" s="997"/>
      <c r="HF874" s="997"/>
      <c r="HG874" s="997"/>
      <c r="HH874" s="997"/>
      <c r="HI874" s="997"/>
      <c r="HJ874" s="997"/>
      <c r="HK874" s="997"/>
      <c r="HL874" s="997"/>
      <c r="HM874" s="997"/>
      <c r="HN874" s="997"/>
      <c r="HO874" s="997"/>
      <c r="HP874" s="997"/>
      <c r="HQ874" s="997"/>
      <c r="HR874" s="997"/>
      <c r="HS874" s="997"/>
      <c r="HT874" s="997"/>
      <c r="HU874" s="997"/>
      <c r="HV874" s="997"/>
      <c r="HW874" s="997"/>
      <c r="HX874" s="997"/>
      <c r="HY874" s="997"/>
      <c r="HZ874" s="997"/>
      <c r="IA874" s="997"/>
      <c r="IB874" s="997"/>
      <c r="IC874" s="997"/>
      <c r="ID874" s="997"/>
      <c r="IE874" s="997"/>
      <c r="IF874" s="997"/>
      <c r="IG874" s="997"/>
      <c r="IH874" s="997"/>
      <c r="II874" s="997"/>
      <c r="IJ874" s="997"/>
      <c r="IK874" s="997"/>
      <c r="IL874" s="997"/>
      <c r="IM874" s="997"/>
      <c r="IN874" s="997"/>
    </row>
    <row r="875" spans="1:248" s="1090" customFormat="1" ht="14.1" customHeight="1">
      <c r="A875" s="1091"/>
      <c r="B875" s="1091"/>
      <c r="C875" s="1102" t="s">
        <v>3968</v>
      </c>
      <c r="D875" s="1092"/>
      <c r="G875" s="997"/>
      <c r="H875" s="997"/>
      <c r="I875" s="997"/>
      <c r="J875" s="997"/>
      <c r="K875" s="997"/>
      <c r="L875" s="997"/>
      <c r="M875" s="997"/>
      <c r="N875" s="997"/>
      <c r="O875" s="997"/>
      <c r="P875" s="997"/>
      <c r="Q875" s="997"/>
      <c r="R875" s="997"/>
      <c r="S875" s="997"/>
      <c r="T875" s="997"/>
      <c r="U875" s="997"/>
      <c r="V875" s="997"/>
      <c r="W875" s="997"/>
      <c r="X875" s="997"/>
      <c r="Y875" s="997"/>
      <c r="Z875" s="997"/>
      <c r="AA875" s="997"/>
      <c r="AB875" s="997"/>
      <c r="AC875" s="997"/>
      <c r="AD875" s="997"/>
      <c r="AE875" s="997"/>
      <c r="AF875" s="997"/>
      <c r="AG875" s="997"/>
      <c r="AH875" s="997"/>
      <c r="AI875" s="997"/>
      <c r="AJ875" s="997"/>
      <c r="AK875" s="997"/>
      <c r="AL875" s="997"/>
      <c r="AM875" s="997"/>
      <c r="AN875" s="997"/>
      <c r="AO875" s="997"/>
      <c r="AP875" s="997"/>
      <c r="AQ875" s="997"/>
      <c r="AR875" s="997"/>
      <c r="AS875" s="997"/>
      <c r="AT875" s="997"/>
      <c r="AU875" s="997"/>
      <c r="AV875" s="997"/>
      <c r="AW875" s="997"/>
      <c r="AX875" s="997"/>
      <c r="AY875" s="997"/>
      <c r="AZ875" s="997"/>
      <c r="BA875" s="997"/>
      <c r="BB875" s="997"/>
      <c r="BC875" s="997"/>
      <c r="BD875" s="997"/>
      <c r="BE875" s="997"/>
      <c r="BF875" s="997"/>
      <c r="BG875" s="997"/>
      <c r="BH875" s="997"/>
      <c r="BI875" s="997"/>
      <c r="BJ875" s="997"/>
      <c r="BK875" s="997"/>
      <c r="BL875" s="997"/>
      <c r="BM875" s="997"/>
      <c r="BN875" s="997"/>
      <c r="BO875" s="997"/>
      <c r="BP875" s="997"/>
      <c r="BQ875" s="997"/>
      <c r="BR875" s="997"/>
      <c r="BS875" s="997"/>
      <c r="BT875" s="997"/>
      <c r="BU875" s="997"/>
      <c r="BV875" s="997"/>
      <c r="BW875" s="997"/>
      <c r="BX875" s="997"/>
      <c r="BY875" s="997"/>
      <c r="BZ875" s="997"/>
      <c r="CA875" s="997"/>
      <c r="CB875" s="997"/>
      <c r="CC875" s="997"/>
      <c r="CD875" s="997"/>
      <c r="CE875" s="997"/>
      <c r="CF875" s="997"/>
      <c r="CG875" s="997"/>
      <c r="CH875" s="997"/>
      <c r="CI875" s="997"/>
      <c r="CJ875" s="997"/>
      <c r="CK875" s="997"/>
      <c r="CL875" s="997"/>
      <c r="CM875" s="997"/>
      <c r="CN875" s="997"/>
      <c r="CO875" s="997"/>
      <c r="CP875" s="997"/>
      <c r="CQ875" s="997"/>
      <c r="CR875" s="997"/>
      <c r="CS875" s="997"/>
      <c r="CT875" s="997"/>
      <c r="CU875" s="997"/>
      <c r="CV875" s="997"/>
      <c r="CW875" s="997"/>
      <c r="CX875" s="997"/>
      <c r="CY875" s="997"/>
      <c r="CZ875" s="997"/>
      <c r="DA875" s="997"/>
      <c r="DB875" s="997"/>
      <c r="DC875" s="997"/>
      <c r="DD875" s="997"/>
      <c r="DE875" s="997"/>
      <c r="DF875" s="997"/>
      <c r="DG875" s="997"/>
      <c r="DH875" s="997"/>
      <c r="DI875" s="997"/>
      <c r="DJ875" s="997"/>
      <c r="DK875" s="997"/>
      <c r="DL875" s="997"/>
      <c r="DM875" s="997"/>
      <c r="DN875" s="997"/>
      <c r="DO875" s="997"/>
      <c r="DP875" s="997"/>
      <c r="DQ875" s="997"/>
      <c r="DR875" s="997"/>
      <c r="DS875" s="997"/>
      <c r="DT875" s="997"/>
      <c r="DU875" s="997"/>
      <c r="DV875" s="997"/>
      <c r="DW875" s="997"/>
      <c r="DX875" s="997"/>
      <c r="DY875" s="997"/>
      <c r="DZ875" s="997"/>
      <c r="EA875" s="997"/>
      <c r="EB875" s="997"/>
      <c r="EC875" s="997"/>
      <c r="ED875" s="997"/>
      <c r="EE875" s="997"/>
      <c r="EF875" s="997"/>
      <c r="EG875" s="997"/>
      <c r="EH875" s="997"/>
      <c r="EI875" s="997"/>
      <c r="EJ875" s="997"/>
      <c r="EK875" s="997"/>
      <c r="EL875" s="997"/>
      <c r="EM875" s="997"/>
      <c r="EN875" s="997"/>
      <c r="EO875" s="997"/>
      <c r="EP875" s="997"/>
      <c r="EQ875" s="997"/>
      <c r="ER875" s="997"/>
      <c r="ES875" s="997"/>
      <c r="ET875" s="997"/>
      <c r="EU875" s="997"/>
      <c r="EV875" s="997"/>
      <c r="EW875" s="997"/>
      <c r="EX875" s="997"/>
      <c r="EY875" s="997"/>
      <c r="EZ875" s="997"/>
      <c r="FA875" s="997"/>
      <c r="FB875" s="997"/>
      <c r="FC875" s="997"/>
      <c r="FD875" s="997"/>
      <c r="FE875" s="997"/>
      <c r="FF875" s="997"/>
      <c r="FG875" s="997"/>
      <c r="FH875" s="997"/>
      <c r="FI875" s="997"/>
      <c r="FJ875" s="997"/>
      <c r="FK875" s="997"/>
      <c r="FL875" s="997"/>
      <c r="FM875" s="997"/>
      <c r="FN875" s="997"/>
      <c r="FO875" s="997"/>
      <c r="FP875" s="997"/>
      <c r="FQ875" s="997"/>
      <c r="FR875" s="997"/>
      <c r="FS875" s="997"/>
      <c r="FT875" s="997"/>
      <c r="FU875" s="997"/>
      <c r="FV875" s="997"/>
      <c r="FW875" s="997"/>
      <c r="FX875" s="997"/>
      <c r="FY875" s="997"/>
      <c r="FZ875" s="997"/>
      <c r="GA875" s="997"/>
      <c r="GB875" s="997"/>
      <c r="GC875" s="997"/>
      <c r="GD875" s="997"/>
      <c r="GE875" s="997"/>
      <c r="GF875" s="997"/>
      <c r="GG875" s="997"/>
      <c r="GH875" s="997"/>
      <c r="GI875" s="997"/>
      <c r="GJ875" s="997"/>
      <c r="GK875" s="997"/>
      <c r="GL875" s="997"/>
      <c r="GM875" s="997"/>
      <c r="GN875" s="997"/>
      <c r="GO875" s="997"/>
      <c r="GP875" s="997"/>
      <c r="GQ875" s="997"/>
      <c r="GR875" s="997"/>
      <c r="GS875" s="997"/>
      <c r="GT875" s="997"/>
      <c r="GU875" s="997"/>
      <c r="GV875" s="997"/>
      <c r="GW875" s="997"/>
      <c r="GX875" s="997"/>
      <c r="GY875" s="997"/>
      <c r="GZ875" s="997"/>
      <c r="HA875" s="997"/>
      <c r="HB875" s="997"/>
      <c r="HC875" s="997"/>
      <c r="HD875" s="997"/>
      <c r="HE875" s="997"/>
      <c r="HF875" s="997"/>
      <c r="HG875" s="997"/>
      <c r="HH875" s="997"/>
      <c r="HI875" s="997"/>
      <c r="HJ875" s="997"/>
      <c r="HK875" s="997"/>
      <c r="HL875" s="997"/>
      <c r="HM875" s="997"/>
      <c r="HN875" s="997"/>
      <c r="HO875" s="997"/>
      <c r="HP875" s="997"/>
      <c r="HQ875" s="997"/>
      <c r="HR875" s="997"/>
      <c r="HS875" s="997"/>
      <c r="HT875" s="997"/>
      <c r="HU875" s="997"/>
      <c r="HV875" s="997"/>
      <c r="HW875" s="997"/>
      <c r="HX875" s="997"/>
      <c r="HY875" s="997"/>
      <c r="HZ875" s="997"/>
      <c r="IA875" s="997"/>
      <c r="IB875" s="997"/>
      <c r="IC875" s="997"/>
      <c r="ID875" s="997"/>
      <c r="IE875" s="997"/>
      <c r="IF875" s="997"/>
      <c r="IG875" s="997"/>
      <c r="IH875" s="997"/>
      <c r="II875" s="997"/>
      <c r="IJ875" s="997"/>
      <c r="IK875" s="997"/>
      <c r="IL875" s="997"/>
      <c r="IM875" s="997"/>
      <c r="IN875" s="997"/>
    </row>
    <row r="876" spans="1:248" s="1090" customFormat="1" ht="14.1" customHeight="1">
      <c r="A876" s="1091"/>
      <c r="B876" s="1091"/>
      <c r="C876" s="1097"/>
      <c r="D876" s="1092"/>
      <c r="G876" s="997"/>
      <c r="H876" s="997"/>
      <c r="I876" s="997"/>
      <c r="J876" s="997"/>
      <c r="K876" s="997"/>
      <c r="L876" s="997"/>
      <c r="M876" s="997"/>
      <c r="N876" s="997"/>
      <c r="O876" s="997"/>
      <c r="P876" s="997"/>
      <c r="Q876" s="997"/>
      <c r="R876" s="997"/>
      <c r="S876" s="997"/>
      <c r="T876" s="997"/>
      <c r="U876" s="997"/>
      <c r="V876" s="997"/>
      <c r="W876" s="997"/>
      <c r="X876" s="997"/>
      <c r="Y876" s="997"/>
      <c r="Z876" s="997"/>
      <c r="AA876" s="997"/>
      <c r="AB876" s="997"/>
      <c r="AC876" s="997"/>
      <c r="AD876" s="997"/>
      <c r="AE876" s="997"/>
      <c r="AF876" s="997"/>
      <c r="AG876" s="997"/>
      <c r="AH876" s="997"/>
      <c r="AI876" s="997"/>
      <c r="AJ876" s="997"/>
      <c r="AK876" s="997"/>
      <c r="AL876" s="997"/>
      <c r="AM876" s="997"/>
      <c r="AN876" s="997"/>
      <c r="AO876" s="997"/>
      <c r="AP876" s="997"/>
      <c r="AQ876" s="997"/>
      <c r="AR876" s="997"/>
      <c r="AS876" s="997"/>
      <c r="AT876" s="997"/>
      <c r="AU876" s="997"/>
      <c r="AV876" s="997"/>
      <c r="AW876" s="997"/>
      <c r="AX876" s="997"/>
      <c r="AY876" s="997"/>
      <c r="AZ876" s="997"/>
      <c r="BA876" s="997"/>
      <c r="BB876" s="997"/>
      <c r="BC876" s="997"/>
      <c r="BD876" s="997"/>
      <c r="BE876" s="997"/>
      <c r="BF876" s="997"/>
      <c r="BG876" s="997"/>
      <c r="BH876" s="997"/>
      <c r="BI876" s="997"/>
      <c r="BJ876" s="997"/>
      <c r="BK876" s="997"/>
      <c r="BL876" s="997"/>
      <c r="BM876" s="997"/>
      <c r="BN876" s="997"/>
      <c r="BO876" s="997"/>
      <c r="BP876" s="997"/>
      <c r="BQ876" s="997"/>
      <c r="BR876" s="997"/>
      <c r="BS876" s="997"/>
      <c r="BT876" s="997"/>
      <c r="BU876" s="997"/>
      <c r="BV876" s="997"/>
      <c r="BW876" s="997"/>
      <c r="BX876" s="997"/>
      <c r="BY876" s="997"/>
      <c r="BZ876" s="997"/>
      <c r="CA876" s="997"/>
      <c r="CB876" s="997"/>
      <c r="CC876" s="997"/>
      <c r="CD876" s="997"/>
      <c r="CE876" s="997"/>
      <c r="CF876" s="997"/>
      <c r="CG876" s="997"/>
      <c r="CH876" s="997"/>
      <c r="CI876" s="997"/>
      <c r="CJ876" s="997"/>
      <c r="CK876" s="997"/>
      <c r="CL876" s="997"/>
      <c r="CM876" s="997"/>
      <c r="CN876" s="997"/>
      <c r="CO876" s="997"/>
      <c r="CP876" s="997"/>
      <c r="CQ876" s="997"/>
      <c r="CR876" s="997"/>
      <c r="CS876" s="997"/>
      <c r="CT876" s="997"/>
      <c r="CU876" s="997"/>
      <c r="CV876" s="997"/>
      <c r="CW876" s="997"/>
      <c r="CX876" s="997"/>
      <c r="CY876" s="997"/>
      <c r="CZ876" s="997"/>
      <c r="DA876" s="997"/>
      <c r="DB876" s="997"/>
      <c r="DC876" s="997"/>
      <c r="DD876" s="997"/>
      <c r="DE876" s="997"/>
      <c r="DF876" s="997"/>
      <c r="DG876" s="997"/>
      <c r="DH876" s="997"/>
      <c r="DI876" s="997"/>
      <c r="DJ876" s="997"/>
      <c r="DK876" s="997"/>
      <c r="DL876" s="997"/>
      <c r="DM876" s="997"/>
      <c r="DN876" s="997"/>
      <c r="DO876" s="997"/>
      <c r="DP876" s="997"/>
      <c r="DQ876" s="997"/>
      <c r="DR876" s="997"/>
      <c r="DS876" s="997"/>
      <c r="DT876" s="997"/>
      <c r="DU876" s="997"/>
      <c r="DV876" s="997"/>
      <c r="DW876" s="997"/>
      <c r="DX876" s="997"/>
      <c r="DY876" s="997"/>
      <c r="DZ876" s="997"/>
      <c r="EA876" s="997"/>
      <c r="EB876" s="997"/>
      <c r="EC876" s="997"/>
      <c r="ED876" s="997"/>
      <c r="EE876" s="997"/>
      <c r="EF876" s="997"/>
      <c r="EG876" s="997"/>
      <c r="EH876" s="997"/>
      <c r="EI876" s="997"/>
      <c r="EJ876" s="997"/>
      <c r="EK876" s="997"/>
      <c r="EL876" s="997"/>
      <c r="EM876" s="997"/>
      <c r="EN876" s="997"/>
      <c r="EO876" s="997"/>
      <c r="EP876" s="997"/>
      <c r="EQ876" s="997"/>
      <c r="ER876" s="997"/>
      <c r="ES876" s="997"/>
      <c r="ET876" s="997"/>
      <c r="EU876" s="997"/>
      <c r="EV876" s="997"/>
      <c r="EW876" s="997"/>
      <c r="EX876" s="997"/>
      <c r="EY876" s="997"/>
      <c r="EZ876" s="997"/>
      <c r="FA876" s="997"/>
      <c r="FB876" s="997"/>
      <c r="FC876" s="997"/>
      <c r="FD876" s="997"/>
      <c r="FE876" s="997"/>
      <c r="FF876" s="997"/>
      <c r="FG876" s="997"/>
      <c r="FH876" s="997"/>
      <c r="FI876" s="997"/>
      <c r="FJ876" s="997"/>
      <c r="FK876" s="997"/>
      <c r="FL876" s="997"/>
      <c r="FM876" s="997"/>
      <c r="FN876" s="997"/>
      <c r="FO876" s="997"/>
      <c r="FP876" s="997"/>
      <c r="FQ876" s="997"/>
      <c r="FR876" s="997"/>
      <c r="FS876" s="997"/>
      <c r="FT876" s="997"/>
      <c r="FU876" s="997"/>
      <c r="FV876" s="997"/>
      <c r="FW876" s="997"/>
      <c r="FX876" s="997"/>
      <c r="FY876" s="997"/>
      <c r="FZ876" s="997"/>
      <c r="GA876" s="997"/>
      <c r="GB876" s="997"/>
      <c r="GC876" s="997"/>
      <c r="GD876" s="997"/>
      <c r="GE876" s="997"/>
      <c r="GF876" s="997"/>
      <c r="GG876" s="997"/>
      <c r="GH876" s="997"/>
      <c r="GI876" s="997"/>
      <c r="GJ876" s="997"/>
      <c r="GK876" s="997"/>
      <c r="GL876" s="997"/>
      <c r="GM876" s="997"/>
      <c r="GN876" s="997"/>
      <c r="GO876" s="997"/>
      <c r="GP876" s="997"/>
      <c r="GQ876" s="997"/>
      <c r="GR876" s="997"/>
      <c r="GS876" s="997"/>
      <c r="GT876" s="997"/>
      <c r="GU876" s="997"/>
      <c r="GV876" s="997"/>
      <c r="GW876" s="997"/>
      <c r="GX876" s="997"/>
      <c r="GY876" s="997"/>
      <c r="GZ876" s="997"/>
      <c r="HA876" s="997"/>
      <c r="HB876" s="997"/>
      <c r="HC876" s="997"/>
      <c r="HD876" s="997"/>
      <c r="HE876" s="997"/>
      <c r="HF876" s="997"/>
      <c r="HG876" s="997"/>
      <c r="HH876" s="997"/>
      <c r="HI876" s="997"/>
      <c r="HJ876" s="997"/>
      <c r="HK876" s="997"/>
      <c r="HL876" s="997"/>
      <c r="HM876" s="997"/>
      <c r="HN876" s="997"/>
      <c r="HO876" s="997"/>
      <c r="HP876" s="997"/>
      <c r="HQ876" s="997"/>
      <c r="HR876" s="997"/>
      <c r="HS876" s="997"/>
      <c r="HT876" s="997"/>
      <c r="HU876" s="997"/>
      <c r="HV876" s="997"/>
      <c r="HW876" s="997"/>
      <c r="HX876" s="997"/>
      <c r="HY876" s="997"/>
      <c r="HZ876" s="997"/>
      <c r="IA876" s="997"/>
      <c r="IB876" s="997"/>
      <c r="IC876" s="997"/>
      <c r="ID876" s="997"/>
      <c r="IE876" s="997"/>
      <c r="IF876" s="997"/>
      <c r="IG876" s="997"/>
      <c r="IH876" s="997"/>
      <c r="II876" s="997"/>
      <c r="IJ876" s="997"/>
      <c r="IK876" s="997"/>
      <c r="IL876" s="997"/>
      <c r="IM876" s="997"/>
      <c r="IN876" s="997"/>
    </row>
    <row r="877" spans="1:248" s="1090" customFormat="1" ht="14.1" customHeight="1">
      <c r="A877" s="1091"/>
      <c r="B877" s="945" t="s">
        <v>3788</v>
      </c>
      <c r="C877" s="1102" t="s">
        <v>3969</v>
      </c>
      <c r="D877" s="1092"/>
      <c r="G877" s="997"/>
      <c r="H877" s="997"/>
      <c r="I877" s="997"/>
      <c r="J877" s="997"/>
      <c r="K877" s="997"/>
      <c r="L877" s="997"/>
      <c r="M877" s="997"/>
      <c r="N877" s="997"/>
      <c r="O877" s="997"/>
      <c r="P877" s="997"/>
      <c r="Q877" s="997"/>
      <c r="R877" s="997"/>
      <c r="S877" s="997"/>
      <c r="T877" s="997"/>
      <c r="U877" s="997"/>
      <c r="V877" s="997"/>
      <c r="W877" s="997"/>
      <c r="X877" s="997"/>
      <c r="Y877" s="997"/>
      <c r="Z877" s="997"/>
      <c r="AA877" s="997"/>
      <c r="AB877" s="997"/>
      <c r="AC877" s="997"/>
      <c r="AD877" s="997"/>
      <c r="AE877" s="997"/>
      <c r="AF877" s="997"/>
      <c r="AG877" s="997"/>
      <c r="AH877" s="997"/>
      <c r="AI877" s="997"/>
      <c r="AJ877" s="997"/>
      <c r="AK877" s="997"/>
      <c r="AL877" s="997"/>
      <c r="AM877" s="997"/>
      <c r="AN877" s="997"/>
      <c r="AO877" s="997"/>
      <c r="AP877" s="997"/>
      <c r="AQ877" s="997"/>
      <c r="AR877" s="997"/>
      <c r="AS877" s="997"/>
      <c r="AT877" s="997"/>
      <c r="AU877" s="997"/>
      <c r="AV877" s="997"/>
      <c r="AW877" s="997"/>
      <c r="AX877" s="997"/>
      <c r="AY877" s="997"/>
      <c r="AZ877" s="997"/>
      <c r="BA877" s="997"/>
      <c r="BB877" s="997"/>
      <c r="BC877" s="997"/>
      <c r="BD877" s="997"/>
      <c r="BE877" s="997"/>
      <c r="BF877" s="997"/>
      <c r="BG877" s="997"/>
      <c r="BH877" s="997"/>
      <c r="BI877" s="997"/>
      <c r="BJ877" s="997"/>
      <c r="BK877" s="997"/>
      <c r="BL877" s="997"/>
      <c r="BM877" s="997"/>
      <c r="BN877" s="997"/>
      <c r="BO877" s="997"/>
      <c r="BP877" s="997"/>
      <c r="BQ877" s="997"/>
      <c r="BR877" s="997"/>
      <c r="BS877" s="997"/>
      <c r="BT877" s="997"/>
      <c r="BU877" s="997"/>
      <c r="BV877" s="997"/>
      <c r="BW877" s="997"/>
      <c r="BX877" s="997"/>
      <c r="BY877" s="997"/>
      <c r="BZ877" s="997"/>
      <c r="CA877" s="997"/>
      <c r="CB877" s="997"/>
      <c r="CC877" s="997"/>
      <c r="CD877" s="997"/>
      <c r="CE877" s="997"/>
      <c r="CF877" s="997"/>
      <c r="CG877" s="997"/>
      <c r="CH877" s="997"/>
      <c r="CI877" s="997"/>
      <c r="CJ877" s="997"/>
      <c r="CK877" s="997"/>
      <c r="CL877" s="997"/>
      <c r="CM877" s="997"/>
      <c r="CN877" s="997"/>
      <c r="CO877" s="997"/>
      <c r="CP877" s="997"/>
      <c r="CQ877" s="997"/>
      <c r="CR877" s="997"/>
      <c r="CS877" s="997"/>
      <c r="CT877" s="997"/>
      <c r="CU877" s="997"/>
      <c r="CV877" s="997"/>
      <c r="CW877" s="997"/>
      <c r="CX877" s="997"/>
      <c r="CY877" s="997"/>
      <c r="CZ877" s="997"/>
      <c r="DA877" s="997"/>
      <c r="DB877" s="997"/>
      <c r="DC877" s="997"/>
      <c r="DD877" s="997"/>
      <c r="DE877" s="997"/>
      <c r="DF877" s="997"/>
      <c r="DG877" s="997"/>
      <c r="DH877" s="997"/>
      <c r="DI877" s="997"/>
      <c r="DJ877" s="997"/>
      <c r="DK877" s="997"/>
      <c r="DL877" s="997"/>
      <c r="DM877" s="997"/>
      <c r="DN877" s="997"/>
      <c r="DO877" s="997"/>
      <c r="DP877" s="997"/>
      <c r="DQ877" s="997"/>
      <c r="DR877" s="997"/>
      <c r="DS877" s="997"/>
      <c r="DT877" s="997"/>
      <c r="DU877" s="997"/>
      <c r="DV877" s="997"/>
      <c r="DW877" s="997"/>
      <c r="DX877" s="997"/>
      <c r="DY877" s="997"/>
      <c r="DZ877" s="997"/>
      <c r="EA877" s="997"/>
      <c r="EB877" s="997"/>
      <c r="EC877" s="997"/>
      <c r="ED877" s="997"/>
      <c r="EE877" s="997"/>
      <c r="EF877" s="997"/>
      <c r="EG877" s="997"/>
      <c r="EH877" s="997"/>
      <c r="EI877" s="997"/>
      <c r="EJ877" s="997"/>
      <c r="EK877" s="997"/>
      <c r="EL877" s="997"/>
      <c r="EM877" s="997"/>
      <c r="EN877" s="997"/>
      <c r="EO877" s="997"/>
      <c r="EP877" s="997"/>
      <c r="EQ877" s="997"/>
      <c r="ER877" s="997"/>
      <c r="ES877" s="997"/>
      <c r="ET877" s="997"/>
      <c r="EU877" s="997"/>
      <c r="EV877" s="997"/>
      <c r="EW877" s="997"/>
      <c r="EX877" s="997"/>
      <c r="EY877" s="997"/>
      <c r="EZ877" s="997"/>
      <c r="FA877" s="997"/>
      <c r="FB877" s="997"/>
      <c r="FC877" s="997"/>
      <c r="FD877" s="997"/>
      <c r="FE877" s="997"/>
      <c r="FF877" s="997"/>
      <c r="FG877" s="997"/>
      <c r="FH877" s="997"/>
      <c r="FI877" s="997"/>
      <c r="FJ877" s="997"/>
      <c r="FK877" s="997"/>
      <c r="FL877" s="997"/>
      <c r="FM877" s="997"/>
      <c r="FN877" s="997"/>
      <c r="FO877" s="997"/>
      <c r="FP877" s="997"/>
      <c r="FQ877" s="997"/>
      <c r="FR877" s="997"/>
      <c r="FS877" s="997"/>
      <c r="FT877" s="997"/>
      <c r="FU877" s="997"/>
      <c r="FV877" s="997"/>
      <c r="FW877" s="997"/>
      <c r="FX877" s="997"/>
      <c r="FY877" s="997"/>
      <c r="FZ877" s="997"/>
      <c r="GA877" s="997"/>
      <c r="GB877" s="997"/>
      <c r="GC877" s="997"/>
      <c r="GD877" s="997"/>
      <c r="GE877" s="997"/>
      <c r="GF877" s="997"/>
      <c r="GG877" s="997"/>
      <c r="GH877" s="997"/>
      <c r="GI877" s="997"/>
      <c r="GJ877" s="997"/>
      <c r="GK877" s="997"/>
      <c r="GL877" s="997"/>
      <c r="GM877" s="997"/>
      <c r="GN877" s="997"/>
      <c r="GO877" s="997"/>
      <c r="GP877" s="997"/>
      <c r="GQ877" s="997"/>
      <c r="GR877" s="997"/>
      <c r="GS877" s="997"/>
      <c r="GT877" s="997"/>
      <c r="GU877" s="997"/>
      <c r="GV877" s="997"/>
      <c r="GW877" s="997"/>
      <c r="GX877" s="997"/>
      <c r="GY877" s="997"/>
      <c r="GZ877" s="997"/>
      <c r="HA877" s="997"/>
      <c r="HB877" s="997"/>
      <c r="HC877" s="997"/>
      <c r="HD877" s="997"/>
      <c r="HE877" s="997"/>
      <c r="HF877" s="997"/>
      <c r="HG877" s="997"/>
      <c r="HH877" s="997"/>
      <c r="HI877" s="997"/>
      <c r="HJ877" s="997"/>
      <c r="HK877" s="997"/>
      <c r="HL877" s="997"/>
      <c r="HM877" s="997"/>
      <c r="HN877" s="997"/>
      <c r="HO877" s="997"/>
      <c r="HP877" s="997"/>
      <c r="HQ877" s="997"/>
      <c r="HR877" s="997"/>
      <c r="HS877" s="997"/>
      <c r="HT877" s="997"/>
      <c r="HU877" s="997"/>
      <c r="HV877" s="997"/>
      <c r="HW877" s="997"/>
      <c r="HX877" s="997"/>
      <c r="HY877" s="997"/>
      <c r="HZ877" s="997"/>
      <c r="IA877" s="997"/>
      <c r="IB877" s="997"/>
      <c r="IC877" s="997"/>
      <c r="ID877" s="997"/>
      <c r="IE877" s="997"/>
      <c r="IF877" s="997"/>
      <c r="IG877" s="997"/>
      <c r="IH877" s="997"/>
      <c r="II877" s="997"/>
      <c r="IJ877" s="997"/>
      <c r="IK877" s="997"/>
      <c r="IL877" s="997"/>
      <c r="IM877" s="997"/>
      <c r="IN877" s="997"/>
    </row>
    <row r="878" spans="1:248" s="1090" customFormat="1" ht="14.1" customHeight="1">
      <c r="A878" s="1091"/>
      <c r="B878" s="1091"/>
      <c r="C878" s="1102" t="s">
        <v>3970</v>
      </c>
      <c r="D878" s="1092"/>
      <c r="G878" s="997"/>
      <c r="H878" s="997"/>
      <c r="I878" s="997"/>
      <c r="J878" s="997"/>
      <c r="K878" s="997"/>
      <c r="L878" s="997"/>
      <c r="M878" s="997"/>
      <c r="N878" s="997"/>
      <c r="O878" s="997"/>
      <c r="P878" s="997"/>
      <c r="Q878" s="997"/>
      <c r="R878" s="997"/>
      <c r="S878" s="997"/>
      <c r="T878" s="997"/>
      <c r="U878" s="997"/>
      <c r="V878" s="997"/>
      <c r="W878" s="997"/>
      <c r="X878" s="997"/>
      <c r="Y878" s="997"/>
      <c r="Z878" s="997"/>
      <c r="AA878" s="997"/>
      <c r="AB878" s="997"/>
      <c r="AC878" s="997"/>
      <c r="AD878" s="997"/>
      <c r="AE878" s="997"/>
      <c r="AF878" s="997"/>
      <c r="AG878" s="997"/>
      <c r="AH878" s="997"/>
      <c r="AI878" s="997"/>
      <c r="AJ878" s="997"/>
      <c r="AK878" s="997"/>
      <c r="AL878" s="997"/>
      <c r="AM878" s="997"/>
      <c r="AN878" s="997"/>
      <c r="AO878" s="997"/>
      <c r="AP878" s="997"/>
      <c r="AQ878" s="997"/>
      <c r="AR878" s="997"/>
      <c r="AS878" s="997"/>
      <c r="AT878" s="997"/>
      <c r="AU878" s="997"/>
      <c r="AV878" s="997"/>
      <c r="AW878" s="997"/>
      <c r="AX878" s="997"/>
      <c r="AY878" s="997"/>
      <c r="AZ878" s="997"/>
      <c r="BA878" s="997"/>
      <c r="BB878" s="997"/>
      <c r="BC878" s="997"/>
      <c r="BD878" s="997"/>
      <c r="BE878" s="997"/>
      <c r="BF878" s="997"/>
      <c r="BG878" s="997"/>
      <c r="BH878" s="997"/>
      <c r="BI878" s="997"/>
      <c r="BJ878" s="997"/>
      <c r="BK878" s="997"/>
      <c r="BL878" s="997"/>
      <c r="BM878" s="997"/>
      <c r="BN878" s="997"/>
      <c r="BO878" s="997"/>
      <c r="BP878" s="997"/>
      <c r="BQ878" s="997"/>
      <c r="BR878" s="997"/>
      <c r="BS878" s="997"/>
      <c r="BT878" s="997"/>
      <c r="BU878" s="997"/>
      <c r="BV878" s="997"/>
      <c r="BW878" s="997"/>
      <c r="BX878" s="997"/>
      <c r="BY878" s="997"/>
      <c r="BZ878" s="997"/>
      <c r="CA878" s="997"/>
      <c r="CB878" s="997"/>
      <c r="CC878" s="997"/>
      <c r="CD878" s="997"/>
      <c r="CE878" s="997"/>
      <c r="CF878" s="997"/>
      <c r="CG878" s="997"/>
      <c r="CH878" s="997"/>
      <c r="CI878" s="997"/>
      <c r="CJ878" s="997"/>
      <c r="CK878" s="997"/>
      <c r="CL878" s="997"/>
      <c r="CM878" s="997"/>
      <c r="CN878" s="997"/>
      <c r="CO878" s="997"/>
      <c r="CP878" s="997"/>
      <c r="CQ878" s="997"/>
      <c r="CR878" s="997"/>
      <c r="CS878" s="997"/>
      <c r="CT878" s="997"/>
      <c r="CU878" s="997"/>
      <c r="CV878" s="997"/>
      <c r="CW878" s="997"/>
      <c r="CX878" s="997"/>
      <c r="CY878" s="997"/>
      <c r="CZ878" s="997"/>
      <c r="DA878" s="997"/>
      <c r="DB878" s="997"/>
      <c r="DC878" s="997"/>
      <c r="DD878" s="997"/>
      <c r="DE878" s="997"/>
      <c r="DF878" s="997"/>
      <c r="DG878" s="997"/>
      <c r="DH878" s="997"/>
      <c r="DI878" s="997"/>
      <c r="DJ878" s="997"/>
      <c r="DK878" s="997"/>
      <c r="DL878" s="997"/>
      <c r="DM878" s="997"/>
      <c r="DN878" s="997"/>
      <c r="DO878" s="997"/>
      <c r="DP878" s="997"/>
      <c r="DQ878" s="997"/>
      <c r="DR878" s="997"/>
      <c r="DS878" s="997"/>
      <c r="DT878" s="997"/>
      <c r="DU878" s="997"/>
      <c r="DV878" s="997"/>
      <c r="DW878" s="997"/>
      <c r="DX878" s="997"/>
      <c r="DY878" s="997"/>
      <c r="DZ878" s="997"/>
      <c r="EA878" s="997"/>
      <c r="EB878" s="997"/>
      <c r="EC878" s="997"/>
      <c r="ED878" s="997"/>
      <c r="EE878" s="997"/>
      <c r="EF878" s="997"/>
      <c r="EG878" s="997"/>
      <c r="EH878" s="997"/>
      <c r="EI878" s="997"/>
      <c r="EJ878" s="997"/>
      <c r="EK878" s="997"/>
      <c r="EL878" s="997"/>
      <c r="EM878" s="997"/>
      <c r="EN878" s="997"/>
      <c r="EO878" s="997"/>
      <c r="EP878" s="997"/>
      <c r="EQ878" s="997"/>
      <c r="ER878" s="997"/>
      <c r="ES878" s="997"/>
      <c r="ET878" s="997"/>
      <c r="EU878" s="997"/>
      <c r="EV878" s="997"/>
      <c r="EW878" s="997"/>
      <c r="EX878" s="997"/>
      <c r="EY878" s="997"/>
      <c r="EZ878" s="997"/>
      <c r="FA878" s="997"/>
      <c r="FB878" s="997"/>
      <c r="FC878" s="997"/>
      <c r="FD878" s="997"/>
      <c r="FE878" s="997"/>
      <c r="FF878" s="997"/>
      <c r="FG878" s="997"/>
      <c r="FH878" s="997"/>
      <c r="FI878" s="997"/>
      <c r="FJ878" s="997"/>
      <c r="FK878" s="997"/>
      <c r="FL878" s="997"/>
      <c r="FM878" s="997"/>
      <c r="FN878" s="997"/>
      <c r="FO878" s="997"/>
      <c r="FP878" s="997"/>
      <c r="FQ878" s="997"/>
      <c r="FR878" s="997"/>
      <c r="FS878" s="997"/>
      <c r="FT878" s="997"/>
      <c r="FU878" s="997"/>
      <c r="FV878" s="997"/>
      <c r="FW878" s="997"/>
      <c r="FX878" s="997"/>
      <c r="FY878" s="997"/>
      <c r="FZ878" s="997"/>
      <c r="GA878" s="997"/>
      <c r="GB878" s="997"/>
      <c r="GC878" s="997"/>
      <c r="GD878" s="997"/>
      <c r="GE878" s="997"/>
      <c r="GF878" s="997"/>
      <c r="GG878" s="997"/>
      <c r="GH878" s="997"/>
      <c r="GI878" s="997"/>
      <c r="GJ878" s="997"/>
      <c r="GK878" s="997"/>
      <c r="GL878" s="997"/>
      <c r="GM878" s="997"/>
      <c r="GN878" s="997"/>
      <c r="GO878" s="997"/>
      <c r="GP878" s="997"/>
      <c r="GQ878" s="997"/>
      <c r="GR878" s="997"/>
      <c r="GS878" s="997"/>
      <c r="GT878" s="997"/>
      <c r="GU878" s="997"/>
      <c r="GV878" s="997"/>
      <c r="GW878" s="997"/>
      <c r="GX878" s="997"/>
      <c r="GY878" s="997"/>
      <c r="GZ878" s="997"/>
      <c r="HA878" s="997"/>
      <c r="HB878" s="997"/>
      <c r="HC878" s="997"/>
      <c r="HD878" s="997"/>
      <c r="HE878" s="997"/>
      <c r="HF878" s="997"/>
      <c r="HG878" s="997"/>
      <c r="HH878" s="997"/>
      <c r="HI878" s="997"/>
      <c r="HJ878" s="997"/>
      <c r="HK878" s="997"/>
      <c r="HL878" s="997"/>
      <c r="HM878" s="997"/>
      <c r="HN878" s="997"/>
      <c r="HO878" s="997"/>
      <c r="HP878" s="997"/>
      <c r="HQ878" s="997"/>
      <c r="HR878" s="997"/>
      <c r="HS878" s="997"/>
      <c r="HT878" s="997"/>
      <c r="HU878" s="997"/>
      <c r="HV878" s="997"/>
      <c r="HW878" s="997"/>
      <c r="HX878" s="997"/>
      <c r="HY878" s="997"/>
      <c r="HZ878" s="997"/>
      <c r="IA878" s="997"/>
      <c r="IB878" s="997"/>
      <c r="IC878" s="997"/>
      <c r="ID878" s="997"/>
      <c r="IE878" s="997"/>
      <c r="IF878" s="997"/>
      <c r="IG878" s="997"/>
      <c r="IH878" s="997"/>
      <c r="II878" s="997"/>
      <c r="IJ878" s="997"/>
      <c r="IK878" s="997"/>
      <c r="IL878" s="997"/>
      <c r="IM878" s="997"/>
      <c r="IN878" s="997"/>
    </row>
    <row r="879" spans="1:248" s="1090" customFormat="1" ht="14.1" customHeight="1">
      <c r="A879" s="1091"/>
      <c r="B879" s="1091"/>
      <c r="C879" s="1097"/>
      <c r="D879" s="1092"/>
      <c r="G879" s="997"/>
      <c r="H879" s="997"/>
      <c r="I879" s="997"/>
      <c r="J879" s="997"/>
      <c r="K879" s="997"/>
      <c r="L879" s="997"/>
      <c r="M879" s="997"/>
      <c r="N879" s="997"/>
      <c r="O879" s="997"/>
      <c r="P879" s="997"/>
      <c r="Q879" s="997"/>
      <c r="R879" s="997"/>
      <c r="S879" s="997"/>
      <c r="T879" s="997"/>
      <c r="U879" s="997"/>
      <c r="V879" s="997"/>
      <c r="W879" s="997"/>
      <c r="X879" s="997"/>
      <c r="Y879" s="997"/>
      <c r="Z879" s="997"/>
      <c r="AA879" s="997"/>
      <c r="AB879" s="997"/>
      <c r="AC879" s="997"/>
      <c r="AD879" s="997"/>
      <c r="AE879" s="997"/>
      <c r="AF879" s="997"/>
      <c r="AG879" s="997"/>
      <c r="AH879" s="997"/>
      <c r="AI879" s="997"/>
      <c r="AJ879" s="997"/>
      <c r="AK879" s="997"/>
      <c r="AL879" s="997"/>
      <c r="AM879" s="997"/>
      <c r="AN879" s="997"/>
      <c r="AO879" s="997"/>
      <c r="AP879" s="997"/>
      <c r="AQ879" s="997"/>
      <c r="AR879" s="997"/>
      <c r="AS879" s="997"/>
      <c r="AT879" s="997"/>
      <c r="AU879" s="997"/>
      <c r="AV879" s="997"/>
      <c r="AW879" s="997"/>
      <c r="AX879" s="997"/>
      <c r="AY879" s="997"/>
      <c r="AZ879" s="997"/>
      <c r="BA879" s="997"/>
      <c r="BB879" s="997"/>
      <c r="BC879" s="997"/>
      <c r="BD879" s="997"/>
      <c r="BE879" s="997"/>
      <c r="BF879" s="997"/>
      <c r="BG879" s="997"/>
      <c r="BH879" s="997"/>
      <c r="BI879" s="997"/>
      <c r="BJ879" s="997"/>
      <c r="BK879" s="997"/>
      <c r="BL879" s="997"/>
      <c r="BM879" s="997"/>
      <c r="BN879" s="997"/>
      <c r="BO879" s="997"/>
      <c r="BP879" s="997"/>
      <c r="BQ879" s="997"/>
      <c r="BR879" s="997"/>
      <c r="BS879" s="997"/>
      <c r="BT879" s="997"/>
      <c r="BU879" s="997"/>
      <c r="BV879" s="997"/>
      <c r="BW879" s="997"/>
      <c r="BX879" s="997"/>
      <c r="BY879" s="997"/>
      <c r="BZ879" s="997"/>
      <c r="CA879" s="997"/>
      <c r="CB879" s="997"/>
      <c r="CC879" s="997"/>
      <c r="CD879" s="997"/>
      <c r="CE879" s="997"/>
      <c r="CF879" s="997"/>
      <c r="CG879" s="997"/>
      <c r="CH879" s="997"/>
      <c r="CI879" s="997"/>
      <c r="CJ879" s="997"/>
      <c r="CK879" s="997"/>
      <c r="CL879" s="997"/>
      <c r="CM879" s="997"/>
      <c r="CN879" s="997"/>
      <c r="CO879" s="997"/>
      <c r="CP879" s="997"/>
      <c r="CQ879" s="997"/>
      <c r="CR879" s="997"/>
      <c r="CS879" s="997"/>
      <c r="CT879" s="997"/>
      <c r="CU879" s="997"/>
      <c r="CV879" s="997"/>
      <c r="CW879" s="997"/>
      <c r="CX879" s="997"/>
      <c r="CY879" s="997"/>
      <c r="CZ879" s="997"/>
      <c r="DA879" s="997"/>
      <c r="DB879" s="997"/>
      <c r="DC879" s="997"/>
      <c r="DD879" s="997"/>
      <c r="DE879" s="997"/>
      <c r="DF879" s="997"/>
      <c r="DG879" s="997"/>
      <c r="DH879" s="997"/>
      <c r="DI879" s="997"/>
      <c r="DJ879" s="997"/>
      <c r="DK879" s="997"/>
      <c r="DL879" s="997"/>
      <c r="DM879" s="997"/>
      <c r="DN879" s="997"/>
      <c r="DO879" s="997"/>
      <c r="DP879" s="997"/>
      <c r="DQ879" s="997"/>
      <c r="DR879" s="997"/>
      <c r="DS879" s="997"/>
      <c r="DT879" s="997"/>
      <c r="DU879" s="997"/>
      <c r="DV879" s="997"/>
      <c r="DW879" s="997"/>
      <c r="DX879" s="997"/>
      <c r="DY879" s="997"/>
      <c r="DZ879" s="997"/>
      <c r="EA879" s="997"/>
      <c r="EB879" s="997"/>
      <c r="EC879" s="997"/>
      <c r="ED879" s="997"/>
      <c r="EE879" s="997"/>
      <c r="EF879" s="997"/>
      <c r="EG879" s="997"/>
      <c r="EH879" s="997"/>
      <c r="EI879" s="997"/>
      <c r="EJ879" s="997"/>
      <c r="EK879" s="997"/>
      <c r="EL879" s="997"/>
      <c r="EM879" s="997"/>
      <c r="EN879" s="997"/>
      <c r="EO879" s="997"/>
      <c r="EP879" s="997"/>
      <c r="EQ879" s="997"/>
      <c r="ER879" s="997"/>
      <c r="ES879" s="997"/>
      <c r="ET879" s="997"/>
      <c r="EU879" s="997"/>
      <c r="EV879" s="997"/>
      <c r="EW879" s="997"/>
      <c r="EX879" s="997"/>
      <c r="EY879" s="997"/>
      <c r="EZ879" s="997"/>
      <c r="FA879" s="997"/>
      <c r="FB879" s="997"/>
      <c r="FC879" s="997"/>
      <c r="FD879" s="997"/>
      <c r="FE879" s="997"/>
      <c r="FF879" s="997"/>
      <c r="FG879" s="997"/>
      <c r="FH879" s="997"/>
      <c r="FI879" s="997"/>
      <c r="FJ879" s="997"/>
      <c r="FK879" s="997"/>
      <c r="FL879" s="997"/>
      <c r="FM879" s="997"/>
      <c r="FN879" s="997"/>
      <c r="FO879" s="997"/>
      <c r="FP879" s="997"/>
      <c r="FQ879" s="997"/>
      <c r="FR879" s="997"/>
      <c r="FS879" s="997"/>
      <c r="FT879" s="997"/>
      <c r="FU879" s="997"/>
      <c r="FV879" s="997"/>
      <c r="FW879" s="997"/>
      <c r="FX879" s="997"/>
      <c r="FY879" s="997"/>
      <c r="FZ879" s="997"/>
      <c r="GA879" s="997"/>
      <c r="GB879" s="997"/>
      <c r="GC879" s="997"/>
      <c r="GD879" s="997"/>
      <c r="GE879" s="997"/>
      <c r="GF879" s="997"/>
      <c r="GG879" s="997"/>
      <c r="GH879" s="997"/>
      <c r="GI879" s="997"/>
      <c r="GJ879" s="997"/>
      <c r="GK879" s="997"/>
      <c r="GL879" s="997"/>
      <c r="GM879" s="997"/>
      <c r="GN879" s="997"/>
      <c r="GO879" s="997"/>
      <c r="GP879" s="997"/>
      <c r="GQ879" s="997"/>
      <c r="GR879" s="997"/>
      <c r="GS879" s="997"/>
      <c r="GT879" s="997"/>
      <c r="GU879" s="997"/>
      <c r="GV879" s="997"/>
      <c r="GW879" s="997"/>
      <c r="GX879" s="997"/>
      <c r="GY879" s="997"/>
      <c r="GZ879" s="997"/>
      <c r="HA879" s="997"/>
      <c r="HB879" s="997"/>
      <c r="HC879" s="997"/>
      <c r="HD879" s="997"/>
      <c r="HE879" s="997"/>
      <c r="HF879" s="997"/>
      <c r="HG879" s="997"/>
      <c r="HH879" s="997"/>
      <c r="HI879" s="997"/>
      <c r="HJ879" s="997"/>
      <c r="HK879" s="997"/>
      <c r="HL879" s="997"/>
      <c r="HM879" s="997"/>
      <c r="HN879" s="997"/>
      <c r="HO879" s="997"/>
      <c r="HP879" s="997"/>
      <c r="HQ879" s="997"/>
      <c r="HR879" s="997"/>
      <c r="HS879" s="997"/>
      <c r="HT879" s="997"/>
      <c r="HU879" s="997"/>
      <c r="HV879" s="997"/>
      <c r="HW879" s="997"/>
      <c r="HX879" s="997"/>
      <c r="HY879" s="997"/>
      <c r="HZ879" s="997"/>
      <c r="IA879" s="997"/>
      <c r="IB879" s="997"/>
      <c r="IC879" s="997"/>
      <c r="ID879" s="997"/>
      <c r="IE879" s="997"/>
      <c r="IF879" s="997"/>
      <c r="IG879" s="997"/>
      <c r="IH879" s="997"/>
      <c r="II879" s="997"/>
      <c r="IJ879" s="997"/>
      <c r="IK879" s="997"/>
      <c r="IL879" s="997"/>
      <c r="IM879" s="997"/>
      <c r="IN879" s="997"/>
    </row>
    <row r="880" spans="1:248" s="1090" customFormat="1" ht="14.1" customHeight="1">
      <c r="A880" s="1091"/>
      <c r="B880" s="945" t="s">
        <v>3789</v>
      </c>
      <c r="C880" s="1102" t="s">
        <v>3971</v>
      </c>
      <c r="D880" s="1092"/>
      <c r="G880" s="997"/>
      <c r="H880" s="997"/>
      <c r="I880" s="997"/>
      <c r="J880" s="997"/>
      <c r="K880" s="997"/>
      <c r="L880" s="997"/>
      <c r="M880" s="997"/>
      <c r="N880" s="997"/>
      <c r="O880" s="997"/>
      <c r="P880" s="997"/>
      <c r="Q880" s="997"/>
      <c r="R880" s="997"/>
      <c r="S880" s="997"/>
      <c r="T880" s="997"/>
      <c r="U880" s="997"/>
      <c r="V880" s="997"/>
      <c r="W880" s="997"/>
      <c r="X880" s="997"/>
      <c r="Y880" s="997"/>
      <c r="Z880" s="997"/>
      <c r="AA880" s="997"/>
      <c r="AB880" s="997"/>
      <c r="AC880" s="997"/>
      <c r="AD880" s="997"/>
      <c r="AE880" s="997"/>
      <c r="AF880" s="997"/>
      <c r="AG880" s="997"/>
      <c r="AH880" s="997"/>
      <c r="AI880" s="997"/>
      <c r="AJ880" s="997"/>
      <c r="AK880" s="997"/>
      <c r="AL880" s="997"/>
      <c r="AM880" s="997"/>
      <c r="AN880" s="997"/>
      <c r="AO880" s="997"/>
      <c r="AP880" s="997"/>
      <c r="AQ880" s="997"/>
      <c r="AR880" s="997"/>
      <c r="AS880" s="997"/>
      <c r="AT880" s="997"/>
      <c r="AU880" s="997"/>
      <c r="AV880" s="997"/>
      <c r="AW880" s="997"/>
      <c r="AX880" s="997"/>
      <c r="AY880" s="997"/>
      <c r="AZ880" s="997"/>
      <c r="BA880" s="997"/>
      <c r="BB880" s="997"/>
      <c r="BC880" s="997"/>
      <c r="BD880" s="997"/>
      <c r="BE880" s="997"/>
      <c r="BF880" s="997"/>
      <c r="BG880" s="997"/>
      <c r="BH880" s="997"/>
      <c r="BI880" s="997"/>
      <c r="BJ880" s="997"/>
      <c r="BK880" s="997"/>
      <c r="BL880" s="997"/>
      <c r="BM880" s="997"/>
      <c r="BN880" s="997"/>
      <c r="BO880" s="997"/>
      <c r="BP880" s="997"/>
      <c r="BQ880" s="997"/>
      <c r="BR880" s="997"/>
      <c r="BS880" s="997"/>
      <c r="BT880" s="997"/>
      <c r="BU880" s="997"/>
      <c r="BV880" s="997"/>
      <c r="BW880" s="997"/>
      <c r="BX880" s="997"/>
      <c r="BY880" s="997"/>
      <c r="BZ880" s="997"/>
      <c r="CA880" s="997"/>
      <c r="CB880" s="997"/>
      <c r="CC880" s="997"/>
      <c r="CD880" s="997"/>
      <c r="CE880" s="997"/>
      <c r="CF880" s="997"/>
      <c r="CG880" s="997"/>
      <c r="CH880" s="997"/>
      <c r="CI880" s="997"/>
      <c r="CJ880" s="997"/>
      <c r="CK880" s="997"/>
      <c r="CL880" s="997"/>
      <c r="CM880" s="997"/>
      <c r="CN880" s="997"/>
      <c r="CO880" s="997"/>
      <c r="CP880" s="997"/>
      <c r="CQ880" s="997"/>
      <c r="CR880" s="997"/>
      <c r="CS880" s="997"/>
      <c r="CT880" s="997"/>
      <c r="CU880" s="997"/>
      <c r="CV880" s="997"/>
      <c r="CW880" s="997"/>
      <c r="CX880" s="997"/>
      <c r="CY880" s="997"/>
      <c r="CZ880" s="997"/>
      <c r="DA880" s="997"/>
      <c r="DB880" s="997"/>
      <c r="DC880" s="997"/>
      <c r="DD880" s="997"/>
      <c r="DE880" s="997"/>
      <c r="DF880" s="997"/>
      <c r="DG880" s="997"/>
      <c r="DH880" s="997"/>
      <c r="DI880" s="997"/>
      <c r="DJ880" s="997"/>
      <c r="DK880" s="997"/>
      <c r="DL880" s="997"/>
      <c r="DM880" s="997"/>
      <c r="DN880" s="997"/>
      <c r="DO880" s="997"/>
      <c r="DP880" s="997"/>
      <c r="DQ880" s="997"/>
      <c r="DR880" s="997"/>
      <c r="DS880" s="997"/>
      <c r="DT880" s="997"/>
      <c r="DU880" s="997"/>
      <c r="DV880" s="997"/>
      <c r="DW880" s="997"/>
      <c r="DX880" s="997"/>
      <c r="DY880" s="997"/>
      <c r="DZ880" s="997"/>
      <c r="EA880" s="997"/>
      <c r="EB880" s="997"/>
      <c r="EC880" s="997"/>
      <c r="ED880" s="997"/>
      <c r="EE880" s="997"/>
      <c r="EF880" s="997"/>
      <c r="EG880" s="997"/>
      <c r="EH880" s="997"/>
      <c r="EI880" s="997"/>
      <c r="EJ880" s="997"/>
      <c r="EK880" s="997"/>
      <c r="EL880" s="997"/>
      <c r="EM880" s="997"/>
      <c r="EN880" s="997"/>
      <c r="EO880" s="997"/>
      <c r="EP880" s="997"/>
      <c r="EQ880" s="997"/>
      <c r="ER880" s="997"/>
      <c r="ES880" s="997"/>
      <c r="ET880" s="997"/>
      <c r="EU880" s="997"/>
      <c r="EV880" s="997"/>
      <c r="EW880" s="997"/>
      <c r="EX880" s="997"/>
      <c r="EY880" s="997"/>
      <c r="EZ880" s="997"/>
      <c r="FA880" s="997"/>
      <c r="FB880" s="997"/>
      <c r="FC880" s="997"/>
      <c r="FD880" s="997"/>
      <c r="FE880" s="997"/>
      <c r="FF880" s="997"/>
      <c r="FG880" s="997"/>
      <c r="FH880" s="997"/>
      <c r="FI880" s="997"/>
      <c r="FJ880" s="997"/>
      <c r="FK880" s="997"/>
      <c r="FL880" s="997"/>
      <c r="FM880" s="997"/>
      <c r="FN880" s="997"/>
      <c r="FO880" s="997"/>
      <c r="FP880" s="997"/>
      <c r="FQ880" s="997"/>
      <c r="FR880" s="997"/>
      <c r="FS880" s="997"/>
      <c r="FT880" s="997"/>
      <c r="FU880" s="997"/>
      <c r="FV880" s="997"/>
      <c r="FW880" s="997"/>
      <c r="FX880" s="997"/>
      <c r="FY880" s="997"/>
      <c r="FZ880" s="997"/>
      <c r="GA880" s="997"/>
      <c r="GB880" s="997"/>
      <c r="GC880" s="997"/>
      <c r="GD880" s="997"/>
      <c r="GE880" s="997"/>
      <c r="GF880" s="997"/>
      <c r="GG880" s="997"/>
      <c r="GH880" s="997"/>
      <c r="GI880" s="997"/>
      <c r="GJ880" s="997"/>
      <c r="GK880" s="997"/>
      <c r="GL880" s="997"/>
      <c r="GM880" s="997"/>
      <c r="GN880" s="997"/>
      <c r="GO880" s="997"/>
      <c r="GP880" s="997"/>
      <c r="GQ880" s="997"/>
      <c r="GR880" s="997"/>
      <c r="GS880" s="997"/>
      <c r="GT880" s="997"/>
      <c r="GU880" s="997"/>
      <c r="GV880" s="997"/>
      <c r="GW880" s="997"/>
      <c r="GX880" s="997"/>
      <c r="GY880" s="997"/>
      <c r="GZ880" s="997"/>
      <c r="HA880" s="997"/>
      <c r="HB880" s="997"/>
      <c r="HC880" s="997"/>
      <c r="HD880" s="997"/>
      <c r="HE880" s="997"/>
      <c r="HF880" s="997"/>
      <c r="HG880" s="997"/>
      <c r="HH880" s="997"/>
      <c r="HI880" s="997"/>
      <c r="HJ880" s="997"/>
      <c r="HK880" s="997"/>
      <c r="HL880" s="997"/>
      <c r="HM880" s="997"/>
      <c r="HN880" s="997"/>
      <c r="HO880" s="997"/>
      <c r="HP880" s="997"/>
      <c r="HQ880" s="997"/>
      <c r="HR880" s="997"/>
      <c r="HS880" s="997"/>
      <c r="HT880" s="997"/>
      <c r="HU880" s="997"/>
      <c r="HV880" s="997"/>
      <c r="HW880" s="997"/>
      <c r="HX880" s="997"/>
      <c r="HY880" s="997"/>
      <c r="HZ880" s="997"/>
      <c r="IA880" s="997"/>
      <c r="IB880" s="997"/>
      <c r="IC880" s="997"/>
      <c r="ID880" s="997"/>
      <c r="IE880" s="997"/>
      <c r="IF880" s="997"/>
      <c r="IG880" s="997"/>
      <c r="IH880" s="997"/>
      <c r="II880" s="997"/>
      <c r="IJ880" s="997"/>
      <c r="IK880" s="997"/>
      <c r="IL880" s="997"/>
      <c r="IM880" s="997"/>
      <c r="IN880" s="997"/>
    </row>
    <row r="881" spans="1:248" s="1090" customFormat="1" ht="14.1" customHeight="1">
      <c r="A881" s="1091"/>
      <c r="B881" s="1091"/>
      <c r="C881" s="1102" t="s">
        <v>3972</v>
      </c>
      <c r="D881" s="1092"/>
      <c r="G881" s="997"/>
      <c r="H881" s="997"/>
      <c r="I881" s="997"/>
      <c r="J881" s="997"/>
      <c r="K881" s="997"/>
      <c r="L881" s="997"/>
      <c r="M881" s="997"/>
      <c r="N881" s="997"/>
      <c r="O881" s="997"/>
      <c r="P881" s="997"/>
      <c r="Q881" s="997"/>
      <c r="R881" s="997"/>
      <c r="S881" s="997"/>
      <c r="T881" s="997"/>
      <c r="U881" s="997"/>
      <c r="V881" s="997"/>
      <c r="W881" s="997"/>
      <c r="X881" s="997"/>
      <c r="Y881" s="997"/>
      <c r="Z881" s="997"/>
      <c r="AA881" s="997"/>
      <c r="AB881" s="997"/>
      <c r="AC881" s="997"/>
      <c r="AD881" s="997"/>
      <c r="AE881" s="997"/>
      <c r="AF881" s="997"/>
      <c r="AG881" s="997"/>
      <c r="AH881" s="997"/>
      <c r="AI881" s="997"/>
      <c r="AJ881" s="997"/>
      <c r="AK881" s="997"/>
      <c r="AL881" s="997"/>
      <c r="AM881" s="997"/>
      <c r="AN881" s="997"/>
      <c r="AO881" s="997"/>
      <c r="AP881" s="997"/>
      <c r="AQ881" s="997"/>
      <c r="AR881" s="997"/>
      <c r="AS881" s="997"/>
      <c r="AT881" s="997"/>
      <c r="AU881" s="997"/>
      <c r="AV881" s="997"/>
      <c r="AW881" s="997"/>
      <c r="AX881" s="997"/>
      <c r="AY881" s="997"/>
      <c r="AZ881" s="997"/>
      <c r="BA881" s="997"/>
      <c r="BB881" s="997"/>
      <c r="BC881" s="997"/>
      <c r="BD881" s="997"/>
      <c r="BE881" s="997"/>
      <c r="BF881" s="997"/>
      <c r="BG881" s="997"/>
      <c r="BH881" s="997"/>
      <c r="BI881" s="997"/>
      <c r="BJ881" s="997"/>
      <c r="BK881" s="997"/>
      <c r="BL881" s="997"/>
      <c r="BM881" s="997"/>
      <c r="BN881" s="997"/>
      <c r="BO881" s="997"/>
      <c r="BP881" s="997"/>
      <c r="BQ881" s="997"/>
      <c r="BR881" s="997"/>
      <c r="BS881" s="997"/>
      <c r="BT881" s="997"/>
      <c r="BU881" s="997"/>
      <c r="BV881" s="997"/>
      <c r="BW881" s="997"/>
      <c r="BX881" s="997"/>
      <c r="BY881" s="997"/>
      <c r="BZ881" s="997"/>
      <c r="CA881" s="997"/>
      <c r="CB881" s="997"/>
      <c r="CC881" s="997"/>
      <c r="CD881" s="997"/>
      <c r="CE881" s="997"/>
      <c r="CF881" s="997"/>
      <c r="CG881" s="997"/>
      <c r="CH881" s="997"/>
      <c r="CI881" s="997"/>
      <c r="CJ881" s="997"/>
      <c r="CK881" s="997"/>
      <c r="CL881" s="997"/>
      <c r="CM881" s="997"/>
      <c r="CN881" s="997"/>
      <c r="CO881" s="997"/>
      <c r="CP881" s="997"/>
      <c r="CQ881" s="997"/>
      <c r="CR881" s="997"/>
      <c r="CS881" s="997"/>
      <c r="CT881" s="997"/>
      <c r="CU881" s="997"/>
      <c r="CV881" s="997"/>
      <c r="CW881" s="997"/>
      <c r="CX881" s="997"/>
      <c r="CY881" s="997"/>
      <c r="CZ881" s="997"/>
      <c r="DA881" s="997"/>
      <c r="DB881" s="997"/>
      <c r="DC881" s="997"/>
      <c r="DD881" s="997"/>
      <c r="DE881" s="997"/>
      <c r="DF881" s="997"/>
      <c r="DG881" s="997"/>
      <c r="DH881" s="997"/>
      <c r="DI881" s="997"/>
      <c r="DJ881" s="997"/>
      <c r="DK881" s="997"/>
      <c r="DL881" s="997"/>
      <c r="DM881" s="997"/>
      <c r="DN881" s="997"/>
      <c r="DO881" s="997"/>
      <c r="DP881" s="997"/>
      <c r="DQ881" s="997"/>
      <c r="DR881" s="997"/>
      <c r="DS881" s="997"/>
      <c r="DT881" s="997"/>
      <c r="DU881" s="997"/>
      <c r="DV881" s="997"/>
      <c r="DW881" s="997"/>
      <c r="DX881" s="997"/>
      <c r="DY881" s="997"/>
      <c r="DZ881" s="997"/>
      <c r="EA881" s="997"/>
      <c r="EB881" s="997"/>
      <c r="EC881" s="997"/>
      <c r="ED881" s="997"/>
      <c r="EE881" s="997"/>
      <c r="EF881" s="997"/>
      <c r="EG881" s="997"/>
      <c r="EH881" s="997"/>
      <c r="EI881" s="997"/>
      <c r="EJ881" s="997"/>
      <c r="EK881" s="997"/>
      <c r="EL881" s="997"/>
      <c r="EM881" s="997"/>
      <c r="EN881" s="997"/>
      <c r="EO881" s="997"/>
      <c r="EP881" s="997"/>
      <c r="EQ881" s="997"/>
      <c r="ER881" s="997"/>
      <c r="ES881" s="997"/>
      <c r="ET881" s="997"/>
      <c r="EU881" s="997"/>
      <c r="EV881" s="997"/>
      <c r="EW881" s="997"/>
      <c r="EX881" s="997"/>
      <c r="EY881" s="997"/>
      <c r="EZ881" s="997"/>
      <c r="FA881" s="997"/>
      <c r="FB881" s="997"/>
      <c r="FC881" s="997"/>
      <c r="FD881" s="997"/>
      <c r="FE881" s="997"/>
      <c r="FF881" s="997"/>
      <c r="FG881" s="997"/>
      <c r="FH881" s="997"/>
      <c r="FI881" s="997"/>
      <c r="FJ881" s="997"/>
      <c r="FK881" s="997"/>
      <c r="FL881" s="997"/>
      <c r="FM881" s="997"/>
      <c r="FN881" s="997"/>
      <c r="FO881" s="997"/>
      <c r="FP881" s="997"/>
      <c r="FQ881" s="997"/>
      <c r="FR881" s="997"/>
      <c r="FS881" s="997"/>
      <c r="FT881" s="997"/>
      <c r="FU881" s="997"/>
      <c r="FV881" s="997"/>
      <c r="FW881" s="997"/>
      <c r="FX881" s="997"/>
      <c r="FY881" s="997"/>
      <c r="FZ881" s="997"/>
      <c r="GA881" s="997"/>
      <c r="GB881" s="997"/>
      <c r="GC881" s="997"/>
      <c r="GD881" s="997"/>
      <c r="GE881" s="997"/>
      <c r="GF881" s="997"/>
      <c r="GG881" s="997"/>
      <c r="GH881" s="997"/>
      <c r="GI881" s="997"/>
      <c r="GJ881" s="997"/>
      <c r="GK881" s="997"/>
      <c r="GL881" s="997"/>
      <c r="GM881" s="997"/>
      <c r="GN881" s="997"/>
      <c r="GO881" s="997"/>
      <c r="GP881" s="997"/>
      <c r="GQ881" s="997"/>
      <c r="GR881" s="997"/>
      <c r="GS881" s="997"/>
      <c r="GT881" s="997"/>
      <c r="GU881" s="997"/>
      <c r="GV881" s="997"/>
      <c r="GW881" s="997"/>
      <c r="GX881" s="997"/>
      <c r="GY881" s="997"/>
      <c r="GZ881" s="997"/>
      <c r="HA881" s="997"/>
      <c r="HB881" s="997"/>
      <c r="HC881" s="997"/>
      <c r="HD881" s="997"/>
      <c r="HE881" s="997"/>
      <c r="HF881" s="997"/>
      <c r="HG881" s="997"/>
      <c r="HH881" s="997"/>
      <c r="HI881" s="997"/>
      <c r="HJ881" s="997"/>
      <c r="HK881" s="997"/>
      <c r="HL881" s="997"/>
      <c r="HM881" s="997"/>
      <c r="HN881" s="997"/>
      <c r="HO881" s="997"/>
      <c r="HP881" s="997"/>
      <c r="HQ881" s="997"/>
      <c r="HR881" s="997"/>
      <c r="HS881" s="997"/>
      <c r="HT881" s="997"/>
      <c r="HU881" s="997"/>
      <c r="HV881" s="997"/>
      <c r="HW881" s="997"/>
      <c r="HX881" s="997"/>
      <c r="HY881" s="997"/>
      <c r="HZ881" s="997"/>
      <c r="IA881" s="997"/>
      <c r="IB881" s="997"/>
      <c r="IC881" s="997"/>
      <c r="ID881" s="997"/>
      <c r="IE881" s="997"/>
      <c r="IF881" s="997"/>
      <c r="IG881" s="997"/>
      <c r="IH881" s="997"/>
      <c r="II881" s="997"/>
      <c r="IJ881" s="997"/>
      <c r="IK881" s="997"/>
      <c r="IL881" s="997"/>
      <c r="IM881" s="997"/>
      <c r="IN881" s="997"/>
    </row>
    <row r="882" spans="1:248" s="1090" customFormat="1" ht="14.1" customHeight="1">
      <c r="A882" s="1091"/>
      <c r="B882" s="1091"/>
      <c r="C882" s="1097"/>
      <c r="D882" s="1092"/>
      <c r="G882" s="997"/>
      <c r="H882" s="997"/>
      <c r="I882" s="997"/>
      <c r="J882" s="997"/>
      <c r="K882" s="997"/>
      <c r="L882" s="997"/>
      <c r="M882" s="997"/>
      <c r="N882" s="997"/>
      <c r="O882" s="997"/>
      <c r="P882" s="997"/>
      <c r="Q882" s="997"/>
      <c r="R882" s="997"/>
      <c r="S882" s="997"/>
      <c r="T882" s="997"/>
      <c r="U882" s="997"/>
      <c r="V882" s="997"/>
      <c r="W882" s="997"/>
      <c r="X882" s="997"/>
      <c r="Y882" s="997"/>
      <c r="Z882" s="997"/>
      <c r="AA882" s="997"/>
      <c r="AB882" s="997"/>
      <c r="AC882" s="997"/>
      <c r="AD882" s="997"/>
      <c r="AE882" s="997"/>
      <c r="AF882" s="997"/>
      <c r="AG882" s="997"/>
      <c r="AH882" s="997"/>
      <c r="AI882" s="997"/>
      <c r="AJ882" s="997"/>
      <c r="AK882" s="997"/>
      <c r="AL882" s="997"/>
      <c r="AM882" s="997"/>
      <c r="AN882" s="997"/>
      <c r="AO882" s="997"/>
      <c r="AP882" s="997"/>
      <c r="AQ882" s="997"/>
      <c r="AR882" s="997"/>
      <c r="AS882" s="997"/>
      <c r="AT882" s="997"/>
      <c r="AU882" s="997"/>
      <c r="AV882" s="997"/>
      <c r="AW882" s="997"/>
      <c r="AX882" s="997"/>
      <c r="AY882" s="997"/>
      <c r="AZ882" s="997"/>
      <c r="BA882" s="997"/>
      <c r="BB882" s="997"/>
      <c r="BC882" s="997"/>
      <c r="BD882" s="997"/>
      <c r="BE882" s="997"/>
      <c r="BF882" s="997"/>
      <c r="BG882" s="997"/>
      <c r="BH882" s="997"/>
      <c r="BI882" s="997"/>
      <c r="BJ882" s="997"/>
      <c r="BK882" s="997"/>
      <c r="BL882" s="997"/>
      <c r="BM882" s="997"/>
      <c r="BN882" s="997"/>
      <c r="BO882" s="997"/>
      <c r="BP882" s="997"/>
      <c r="BQ882" s="997"/>
      <c r="BR882" s="997"/>
      <c r="BS882" s="997"/>
      <c r="BT882" s="997"/>
      <c r="BU882" s="997"/>
      <c r="BV882" s="997"/>
      <c r="BW882" s="997"/>
      <c r="BX882" s="997"/>
      <c r="BY882" s="997"/>
      <c r="BZ882" s="997"/>
      <c r="CA882" s="997"/>
      <c r="CB882" s="997"/>
      <c r="CC882" s="997"/>
      <c r="CD882" s="997"/>
      <c r="CE882" s="997"/>
      <c r="CF882" s="997"/>
      <c r="CG882" s="997"/>
      <c r="CH882" s="997"/>
      <c r="CI882" s="997"/>
      <c r="CJ882" s="997"/>
      <c r="CK882" s="997"/>
      <c r="CL882" s="997"/>
      <c r="CM882" s="997"/>
      <c r="CN882" s="997"/>
      <c r="CO882" s="997"/>
      <c r="CP882" s="997"/>
      <c r="CQ882" s="997"/>
      <c r="CR882" s="997"/>
      <c r="CS882" s="997"/>
      <c r="CT882" s="997"/>
      <c r="CU882" s="997"/>
      <c r="CV882" s="997"/>
      <c r="CW882" s="997"/>
      <c r="CX882" s="997"/>
      <c r="CY882" s="997"/>
      <c r="CZ882" s="997"/>
      <c r="DA882" s="997"/>
      <c r="DB882" s="997"/>
      <c r="DC882" s="997"/>
      <c r="DD882" s="997"/>
      <c r="DE882" s="997"/>
      <c r="DF882" s="997"/>
      <c r="DG882" s="997"/>
      <c r="DH882" s="997"/>
      <c r="DI882" s="997"/>
      <c r="DJ882" s="997"/>
      <c r="DK882" s="997"/>
      <c r="DL882" s="997"/>
      <c r="DM882" s="997"/>
      <c r="DN882" s="997"/>
      <c r="DO882" s="997"/>
      <c r="DP882" s="997"/>
      <c r="DQ882" s="997"/>
      <c r="DR882" s="997"/>
      <c r="DS882" s="997"/>
      <c r="DT882" s="997"/>
      <c r="DU882" s="997"/>
      <c r="DV882" s="997"/>
      <c r="DW882" s="997"/>
      <c r="DX882" s="997"/>
      <c r="DY882" s="997"/>
      <c r="DZ882" s="997"/>
      <c r="EA882" s="997"/>
      <c r="EB882" s="997"/>
      <c r="EC882" s="997"/>
      <c r="ED882" s="997"/>
      <c r="EE882" s="997"/>
      <c r="EF882" s="997"/>
      <c r="EG882" s="997"/>
      <c r="EH882" s="997"/>
      <c r="EI882" s="997"/>
      <c r="EJ882" s="997"/>
      <c r="EK882" s="997"/>
      <c r="EL882" s="997"/>
      <c r="EM882" s="997"/>
      <c r="EN882" s="997"/>
      <c r="EO882" s="997"/>
      <c r="EP882" s="997"/>
      <c r="EQ882" s="997"/>
      <c r="ER882" s="997"/>
      <c r="ES882" s="997"/>
      <c r="ET882" s="997"/>
      <c r="EU882" s="997"/>
      <c r="EV882" s="997"/>
      <c r="EW882" s="997"/>
      <c r="EX882" s="997"/>
      <c r="EY882" s="997"/>
      <c r="EZ882" s="997"/>
      <c r="FA882" s="997"/>
      <c r="FB882" s="997"/>
      <c r="FC882" s="997"/>
      <c r="FD882" s="997"/>
      <c r="FE882" s="997"/>
      <c r="FF882" s="997"/>
      <c r="FG882" s="997"/>
      <c r="FH882" s="997"/>
      <c r="FI882" s="997"/>
      <c r="FJ882" s="997"/>
      <c r="FK882" s="997"/>
      <c r="FL882" s="997"/>
      <c r="FM882" s="997"/>
      <c r="FN882" s="997"/>
      <c r="FO882" s="997"/>
      <c r="FP882" s="997"/>
      <c r="FQ882" s="997"/>
      <c r="FR882" s="997"/>
      <c r="FS882" s="997"/>
      <c r="FT882" s="997"/>
      <c r="FU882" s="997"/>
      <c r="FV882" s="997"/>
      <c r="FW882" s="997"/>
      <c r="FX882" s="997"/>
      <c r="FY882" s="997"/>
      <c r="FZ882" s="997"/>
      <c r="GA882" s="997"/>
      <c r="GB882" s="997"/>
      <c r="GC882" s="997"/>
      <c r="GD882" s="997"/>
      <c r="GE882" s="997"/>
      <c r="GF882" s="997"/>
      <c r="GG882" s="997"/>
      <c r="GH882" s="997"/>
      <c r="GI882" s="997"/>
      <c r="GJ882" s="997"/>
      <c r="GK882" s="997"/>
      <c r="GL882" s="997"/>
      <c r="GM882" s="997"/>
      <c r="GN882" s="997"/>
      <c r="GO882" s="997"/>
      <c r="GP882" s="997"/>
      <c r="GQ882" s="997"/>
      <c r="GR882" s="997"/>
      <c r="GS882" s="997"/>
      <c r="GT882" s="997"/>
      <c r="GU882" s="997"/>
      <c r="GV882" s="997"/>
      <c r="GW882" s="997"/>
      <c r="GX882" s="997"/>
      <c r="GY882" s="997"/>
      <c r="GZ882" s="997"/>
      <c r="HA882" s="997"/>
      <c r="HB882" s="997"/>
      <c r="HC882" s="997"/>
      <c r="HD882" s="997"/>
      <c r="HE882" s="997"/>
      <c r="HF882" s="997"/>
      <c r="HG882" s="997"/>
      <c r="HH882" s="997"/>
      <c r="HI882" s="997"/>
      <c r="HJ882" s="997"/>
      <c r="HK882" s="997"/>
      <c r="HL882" s="997"/>
      <c r="HM882" s="997"/>
      <c r="HN882" s="997"/>
      <c r="HO882" s="997"/>
      <c r="HP882" s="997"/>
      <c r="HQ882" s="997"/>
      <c r="HR882" s="997"/>
      <c r="HS882" s="997"/>
      <c r="HT882" s="997"/>
      <c r="HU882" s="997"/>
      <c r="HV882" s="997"/>
      <c r="HW882" s="997"/>
      <c r="HX882" s="997"/>
      <c r="HY882" s="997"/>
      <c r="HZ882" s="997"/>
      <c r="IA882" s="997"/>
      <c r="IB882" s="997"/>
      <c r="IC882" s="997"/>
      <c r="ID882" s="997"/>
      <c r="IE882" s="997"/>
      <c r="IF882" s="997"/>
      <c r="IG882" s="997"/>
      <c r="IH882" s="997"/>
      <c r="II882" s="997"/>
      <c r="IJ882" s="997"/>
      <c r="IK882" s="997"/>
      <c r="IL882" s="997"/>
      <c r="IM882" s="997"/>
      <c r="IN882" s="997"/>
    </row>
    <row r="883" spans="1:248" s="1090" customFormat="1" ht="14.1" customHeight="1">
      <c r="A883" s="1091"/>
      <c r="B883" s="945" t="s">
        <v>3790</v>
      </c>
      <c r="C883" s="1102" t="s">
        <v>3973</v>
      </c>
      <c r="D883" s="1092"/>
      <c r="G883" s="997"/>
      <c r="H883" s="997"/>
      <c r="I883" s="997"/>
      <c r="J883" s="997"/>
      <c r="K883" s="997"/>
      <c r="L883" s="997"/>
      <c r="M883" s="997"/>
      <c r="N883" s="997"/>
      <c r="O883" s="997"/>
      <c r="P883" s="997"/>
      <c r="Q883" s="997"/>
      <c r="R883" s="997"/>
      <c r="S883" s="997"/>
      <c r="T883" s="997"/>
      <c r="U883" s="997"/>
      <c r="V883" s="997"/>
      <c r="W883" s="997"/>
      <c r="X883" s="997"/>
      <c r="Y883" s="997"/>
      <c r="Z883" s="997"/>
      <c r="AA883" s="997"/>
      <c r="AB883" s="997"/>
      <c r="AC883" s="997"/>
      <c r="AD883" s="997"/>
      <c r="AE883" s="997"/>
      <c r="AF883" s="997"/>
      <c r="AG883" s="997"/>
      <c r="AH883" s="997"/>
      <c r="AI883" s="997"/>
      <c r="AJ883" s="997"/>
      <c r="AK883" s="997"/>
      <c r="AL883" s="997"/>
      <c r="AM883" s="997"/>
      <c r="AN883" s="997"/>
      <c r="AO883" s="997"/>
      <c r="AP883" s="997"/>
      <c r="AQ883" s="997"/>
      <c r="AR883" s="997"/>
      <c r="AS883" s="997"/>
      <c r="AT883" s="997"/>
      <c r="AU883" s="997"/>
      <c r="AV883" s="997"/>
      <c r="AW883" s="997"/>
      <c r="AX883" s="997"/>
      <c r="AY883" s="997"/>
      <c r="AZ883" s="997"/>
      <c r="BA883" s="997"/>
      <c r="BB883" s="997"/>
      <c r="BC883" s="997"/>
      <c r="BD883" s="997"/>
      <c r="BE883" s="997"/>
      <c r="BF883" s="997"/>
      <c r="BG883" s="997"/>
      <c r="BH883" s="997"/>
      <c r="BI883" s="997"/>
      <c r="BJ883" s="997"/>
      <c r="BK883" s="997"/>
      <c r="BL883" s="997"/>
      <c r="BM883" s="997"/>
      <c r="BN883" s="997"/>
      <c r="BO883" s="997"/>
      <c r="BP883" s="997"/>
      <c r="BQ883" s="997"/>
      <c r="BR883" s="997"/>
      <c r="BS883" s="997"/>
      <c r="BT883" s="997"/>
      <c r="BU883" s="997"/>
      <c r="BV883" s="997"/>
      <c r="BW883" s="997"/>
      <c r="BX883" s="997"/>
      <c r="BY883" s="997"/>
      <c r="BZ883" s="997"/>
      <c r="CA883" s="997"/>
      <c r="CB883" s="997"/>
      <c r="CC883" s="997"/>
      <c r="CD883" s="997"/>
      <c r="CE883" s="997"/>
      <c r="CF883" s="997"/>
      <c r="CG883" s="997"/>
      <c r="CH883" s="997"/>
      <c r="CI883" s="997"/>
      <c r="CJ883" s="997"/>
      <c r="CK883" s="997"/>
      <c r="CL883" s="997"/>
      <c r="CM883" s="997"/>
      <c r="CN883" s="997"/>
      <c r="CO883" s="997"/>
      <c r="CP883" s="997"/>
      <c r="CQ883" s="997"/>
      <c r="CR883" s="997"/>
      <c r="CS883" s="997"/>
      <c r="CT883" s="997"/>
      <c r="CU883" s="997"/>
      <c r="CV883" s="997"/>
      <c r="CW883" s="997"/>
      <c r="CX883" s="997"/>
      <c r="CY883" s="997"/>
      <c r="CZ883" s="997"/>
      <c r="DA883" s="997"/>
      <c r="DB883" s="997"/>
      <c r="DC883" s="997"/>
      <c r="DD883" s="997"/>
      <c r="DE883" s="997"/>
      <c r="DF883" s="997"/>
      <c r="DG883" s="997"/>
      <c r="DH883" s="997"/>
      <c r="DI883" s="997"/>
      <c r="DJ883" s="997"/>
      <c r="DK883" s="997"/>
      <c r="DL883" s="997"/>
      <c r="DM883" s="997"/>
      <c r="DN883" s="997"/>
      <c r="DO883" s="997"/>
      <c r="DP883" s="997"/>
      <c r="DQ883" s="997"/>
      <c r="DR883" s="997"/>
      <c r="DS883" s="997"/>
      <c r="DT883" s="997"/>
      <c r="DU883" s="997"/>
      <c r="DV883" s="997"/>
      <c r="DW883" s="997"/>
      <c r="DX883" s="997"/>
      <c r="DY883" s="997"/>
      <c r="DZ883" s="997"/>
      <c r="EA883" s="997"/>
      <c r="EB883" s="997"/>
      <c r="EC883" s="997"/>
      <c r="ED883" s="997"/>
      <c r="EE883" s="997"/>
      <c r="EF883" s="997"/>
      <c r="EG883" s="997"/>
      <c r="EH883" s="997"/>
      <c r="EI883" s="997"/>
      <c r="EJ883" s="997"/>
      <c r="EK883" s="997"/>
      <c r="EL883" s="997"/>
      <c r="EM883" s="997"/>
      <c r="EN883" s="997"/>
      <c r="EO883" s="997"/>
      <c r="EP883" s="997"/>
      <c r="EQ883" s="997"/>
      <c r="ER883" s="997"/>
      <c r="ES883" s="997"/>
      <c r="ET883" s="997"/>
      <c r="EU883" s="997"/>
      <c r="EV883" s="997"/>
      <c r="EW883" s="997"/>
      <c r="EX883" s="997"/>
      <c r="EY883" s="997"/>
      <c r="EZ883" s="997"/>
      <c r="FA883" s="997"/>
      <c r="FB883" s="997"/>
      <c r="FC883" s="997"/>
      <c r="FD883" s="997"/>
      <c r="FE883" s="997"/>
      <c r="FF883" s="997"/>
      <c r="FG883" s="997"/>
      <c r="FH883" s="997"/>
      <c r="FI883" s="997"/>
      <c r="FJ883" s="997"/>
      <c r="FK883" s="997"/>
      <c r="FL883" s="997"/>
      <c r="FM883" s="997"/>
      <c r="FN883" s="997"/>
      <c r="FO883" s="997"/>
      <c r="FP883" s="997"/>
      <c r="FQ883" s="997"/>
      <c r="FR883" s="997"/>
      <c r="FS883" s="997"/>
      <c r="FT883" s="997"/>
      <c r="FU883" s="997"/>
      <c r="FV883" s="997"/>
      <c r="FW883" s="997"/>
      <c r="FX883" s="997"/>
      <c r="FY883" s="997"/>
      <c r="FZ883" s="997"/>
      <c r="GA883" s="997"/>
      <c r="GB883" s="997"/>
      <c r="GC883" s="997"/>
      <c r="GD883" s="997"/>
      <c r="GE883" s="997"/>
      <c r="GF883" s="997"/>
      <c r="GG883" s="997"/>
      <c r="GH883" s="997"/>
      <c r="GI883" s="997"/>
      <c r="GJ883" s="997"/>
      <c r="GK883" s="997"/>
      <c r="GL883" s="997"/>
      <c r="GM883" s="997"/>
      <c r="GN883" s="997"/>
      <c r="GO883" s="997"/>
      <c r="GP883" s="997"/>
      <c r="GQ883" s="997"/>
      <c r="GR883" s="997"/>
      <c r="GS883" s="997"/>
      <c r="GT883" s="997"/>
      <c r="GU883" s="997"/>
      <c r="GV883" s="997"/>
      <c r="GW883" s="997"/>
      <c r="GX883" s="997"/>
      <c r="GY883" s="997"/>
      <c r="GZ883" s="997"/>
      <c r="HA883" s="997"/>
      <c r="HB883" s="997"/>
      <c r="HC883" s="997"/>
      <c r="HD883" s="997"/>
      <c r="HE883" s="997"/>
      <c r="HF883" s="997"/>
      <c r="HG883" s="997"/>
      <c r="HH883" s="997"/>
      <c r="HI883" s="997"/>
      <c r="HJ883" s="997"/>
      <c r="HK883" s="997"/>
      <c r="HL883" s="997"/>
      <c r="HM883" s="997"/>
      <c r="HN883" s="997"/>
      <c r="HO883" s="997"/>
      <c r="HP883" s="997"/>
      <c r="HQ883" s="997"/>
      <c r="HR883" s="997"/>
      <c r="HS883" s="997"/>
      <c r="HT883" s="997"/>
      <c r="HU883" s="997"/>
      <c r="HV883" s="997"/>
      <c r="HW883" s="997"/>
      <c r="HX883" s="997"/>
      <c r="HY883" s="997"/>
      <c r="HZ883" s="997"/>
      <c r="IA883" s="997"/>
      <c r="IB883" s="997"/>
      <c r="IC883" s="997"/>
      <c r="ID883" s="997"/>
      <c r="IE883" s="997"/>
      <c r="IF883" s="997"/>
      <c r="IG883" s="997"/>
      <c r="IH883" s="997"/>
      <c r="II883" s="997"/>
      <c r="IJ883" s="997"/>
      <c r="IK883" s="997"/>
      <c r="IL883" s="997"/>
      <c r="IM883" s="997"/>
      <c r="IN883" s="997"/>
    </row>
    <row r="884" spans="1:248" s="1090" customFormat="1" ht="14.1" customHeight="1">
      <c r="A884" s="1091"/>
      <c r="B884" s="1091"/>
      <c r="C884" s="1102" t="s">
        <v>3974</v>
      </c>
      <c r="D884" s="1092"/>
      <c r="G884" s="997"/>
      <c r="H884" s="997"/>
      <c r="I884" s="997"/>
      <c r="J884" s="997"/>
      <c r="K884" s="997"/>
      <c r="L884" s="997"/>
      <c r="M884" s="997"/>
      <c r="N884" s="997"/>
      <c r="O884" s="997"/>
      <c r="P884" s="997"/>
      <c r="Q884" s="997"/>
      <c r="R884" s="997"/>
      <c r="S884" s="997"/>
      <c r="T884" s="997"/>
      <c r="U884" s="997"/>
      <c r="V884" s="997"/>
      <c r="W884" s="997"/>
      <c r="X884" s="997"/>
      <c r="Y884" s="997"/>
      <c r="Z884" s="997"/>
      <c r="AA884" s="997"/>
      <c r="AB884" s="997"/>
      <c r="AC884" s="997"/>
      <c r="AD884" s="997"/>
      <c r="AE884" s="997"/>
      <c r="AF884" s="997"/>
      <c r="AG884" s="997"/>
      <c r="AH884" s="997"/>
      <c r="AI884" s="997"/>
      <c r="AJ884" s="997"/>
      <c r="AK884" s="997"/>
      <c r="AL884" s="997"/>
      <c r="AM884" s="997"/>
      <c r="AN884" s="997"/>
      <c r="AO884" s="997"/>
      <c r="AP884" s="997"/>
      <c r="AQ884" s="997"/>
      <c r="AR884" s="997"/>
      <c r="AS884" s="997"/>
      <c r="AT884" s="997"/>
      <c r="AU884" s="997"/>
      <c r="AV884" s="997"/>
      <c r="AW884" s="997"/>
      <c r="AX884" s="997"/>
      <c r="AY884" s="997"/>
      <c r="AZ884" s="997"/>
      <c r="BA884" s="997"/>
      <c r="BB884" s="997"/>
      <c r="BC884" s="997"/>
      <c r="BD884" s="997"/>
      <c r="BE884" s="997"/>
      <c r="BF884" s="997"/>
      <c r="BG884" s="997"/>
      <c r="BH884" s="997"/>
      <c r="BI884" s="997"/>
      <c r="BJ884" s="997"/>
      <c r="BK884" s="997"/>
      <c r="BL884" s="997"/>
      <c r="BM884" s="997"/>
      <c r="BN884" s="997"/>
      <c r="BO884" s="997"/>
      <c r="BP884" s="997"/>
      <c r="BQ884" s="997"/>
      <c r="BR884" s="997"/>
      <c r="BS884" s="997"/>
      <c r="BT884" s="997"/>
      <c r="BU884" s="997"/>
      <c r="BV884" s="997"/>
      <c r="BW884" s="997"/>
      <c r="BX884" s="997"/>
      <c r="BY884" s="997"/>
      <c r="BZ884" s="997"/>
      <c r="CA884" s="997"/>
      <c r="CB884" s="997"/>
      <c r="CC884" s="997"/>
      <c r="CD884" s="997"/>
      <c r="CE884" s="997"/>
      <c r="CF884" s="997"/>
      <c r="CG884" s="997"/>
      <c r="CH884" s="997"/>
      <c r="CI884" s="997"/>
      <c r="CJ884" s="997"/>
      <c r="CK884" s="997"/>
      <c r="CL884" s="997"/>
      <c r="CM884" s="997"/>
      <c r="CN884" s="997"/>
      <c r="CO884" s="997"/>
      <c r="CP884" s="997"/>
      <c r="CQ884" s="997"/>
      <c r="CR884" s="997"/>
      <c r="CS884" s="997"/>
      <c r="CT884" s="997"/>
      <c r="CU884" s="997"/>
      <c r="CV884" s="997"/>
      <c r="CW884" s="997"/>
      <c r="CX884" s="997"/>
      <c r="CY884" s="997"/>
      <c r="CZ884" s="997"/>
      <c r="DA884" s="997"/>
      <c r="DB884" s="997"/>
      <c r="DC884" s="997"/>
      <c r="DD884" s="997"/>
      <c r="DE884" s="997"/>
      <c r="DF884" s="997"/>
      <c r="DG884" s="997"/>
      <c r="DH884" s="997"/>
      <c r="DI884" s="997"/>
      <c r="DJ884" s="997"/>
      <c r="DK884" s="997"/>
      <c r="DL884" s="997"/>
      <c r="DM884" s="997"/>
      <c r="DN884" s="997"/>
      <c r="DO884" s="997"/>
      <c r="DP884" s="997"/>
      <c r="DQ884" s="997"/>
      <c r="DR884" s="997"/>
      <c r="DS884" s="997"/>
      <c r="DT884" s="997"/>
      <c r="DU884" s="997"/>
      <c r="DV884" s="997"/>
      <c r="DW884" s="997"/>
      <c r="DX884" s="997"/>
      <c r="DY884" s="997"/>
      <c r="DZ884" s="997"/>
      <c r="EA884" s="997"/>
      <c r="EB884" s="997"/>
      <c r="EC884" s="997"/>
      <c r="ED884" s="997"/>
      <c r="EE884" s="997"/>
      <c r="EF884" s="997"/>
      <c r="EG884" s="997"/>
      <c r="EH884" s="997"/>
      <c r="EI884" s="997"/>
      <c r="EJ884" s="997"/>
      <c r="EK884" s="997"/>
      <c r="EL884" s="997"/>
      <c r="EM884" s="997"/>
      <c r="EN884" s="997"/>
      <c r="EO884" s="997"/>
      <c r="EP884" s="997"/>
      <c r="EQ884" s="997"/>
      <c r="ER884" s="997"/>
      <c r="ES884" s="997"/>
      <c r="ET884" s="997"/>
      <c r="EU884" s="997"/>
      <c r="EV884" s="997"/>
      <c r="EW884" s="997"/>
      <c r="EX884" s="997"/>
      <c r="EY884" s="997"/>
      <c r="EZ884" s="997"/>
      <c r="FA884" s="997"/>
      <c r="FB884" s="997"/>
      <c r="FC884" s="997"/>
      <c r="FD884" s="997"/>
      <c r="FE884" s="997"/>
      <c r="FF884" s="997"/>
      <c r="FG884" s="997"/>
      <c r="FH884" s="997"/>
      <c r="FI884" s="997"/>
      <c r="FJ884" s="997"/>
      <c r="FK884" s="997"/>
      <c r="FL884" s="997"/>
      <c r="FM884" s="997"/>
      <c r="FN884" s="997"/>
      <c r="FO884" s="997"/>
      <c r="FP884" s="997"/>
      <c r="FQ884" s="997"/>
      <c r="FR884" s="997"/>
      <c r="FS884" s="997"/>
      <c r="FT884" s="997"/>
      <c r="FU884" s="997"/>
      <c r="FV884" s="997"/>
      <c r="FW884" s="997"/>
      <c r="FX884" s="997"/>
      <c r="FY884" s="997"/>
      <c r="FZ884" s="997"/>
      <c r="GA884" s="997"/>
      <c r="GB884" s="997"/>
      <c r="GC884" s="997"/>
      <c r="GD884" s="997"/>
      <c r="GE884" s="997"/>
      <c r="GF884" s="997"/>
      <c r="GG884" s="997"/>
      <c r="GH884" s="997"/>
      <c r="GI884" s="997"/>
      <c r="GJ884" s="997"/>
      <c r="GK884" s="997"/>
      <c r="GL884" s="997"/>
      <c r="GM884" s="997"/>
      <c r="GN884" s="997"/>
      <c r="GO884" s="997"/>
      <c r="GP884" s="997"/>
      <c r="GQ884" s="997"/>
      <c r="GR884" s="997"/>
      <c r="GS884" s="997"/>
      <c r="GT884" s="997"/>
      <c r="GU884" s="997"/>
      <c r="GV884" s="997"/>
      <c r="GW884" s="997"/>
      <c r="GX884" s="997"/>
      <c r="GY884" s="997"/>
      <c r="GZ884" s="997"/>
      <c r="HA884" s="997"/>
      <c r="HB884" s="997"/>
      <c r="HC884" s="997"/>
      <c r="HD884" s="997"/>
      <c r="HE884" s="997"/>
      <c r="HF884" s="997"/>
      <c r="HG884" s="997"/>
      <c r="HH884" s="997"/>
      <c r="HI884" s="997"/>
      <c r="HJ884" s="997"/>
      <c r="HK884" s="997"/>
      <c r="HL884" s="997"/>
      <c r="HM884" s="997"/>
      <c r="HN884" s="997"/>
      <c r="HO884" s="997"/>
      <c r="HP884" s="997"/>
      <c r="HQ884" s="997"/>
      <c r="HR884" s="997"/>
      <c r="HS884" s="997"/>
      <c r="HT884" s="997"/>
      <c r="HU884" s="997"/>
      <c r="HV884" s="997"/>
      <c r="HW884" s="997"/>
      <c r="HX884" s="997"/>
      <c r="HY884" s="997"/>
      <c r="HZ884" s="997"/>
      <c r="IA884" s="997"/>
      <c r="IB884" s="997"/>
      <c r="IC884" s="997"/>
      <c r="ID884" s="997"/>
      <c r="IE884" s="997"/>
      <c r="IF884" s="997"/>
      <c r="IG884" s="997"/>
      <c r="IH884" s="997"/>
      <c r="II884" s="997"/>
      <c r="IJ884" s="997"/>
      <c r="IK884" s="997"/>
      <c r="IL884" s="997"/>
      <c r="IM884" s="997"/>
      <c r="IN884" s="997"/>
    </row>
    <row r="885" spans="1:248" s="1090" customFormat="1" ht="14.1" customHeight="1">
      <c r="A885" s="1091"/>
      <c r="B885" s="1091"/>
      <c r="C885" s="1097"/>
      <c r="D885" s="1092"/>
      <c r="G885" s="997"/>
      <c r="H885" s="997"/>
      <c r="I885" s="997"/>
      <c r="J885" s="997"/>
      <c r="K885" s="997"/>
      <c r="L885" s="997"/>
      <c r="M885" s="997"/>
      <c r="N885" s="997"/>
      <c r="O885" s="997"/>
      <c r="P885" s="997"/>
      <c r="Q885" s="997"/>
      <c r="R885" s="997"/>
      <c r="S885" s="997"/>
      <c r="T885" s="997"/>
      <c r="U885" s="997"/>
      <c r="V885" s="997"/>
      <c r="W885" s="997"/>
      <c r="X885" s="997"/>
      <c r="Y885" s="997"/>
      <c r="Z885" s="997"/>
      <c r="AA885" s="997"/>
      <c r="AB885" s="997"/>
      <c r="AC885" s="997"/>
      <c r="AD885" s="997"/>
      <c r="AE885" s="997"/>
      <c r="AF885" s="997"/>
      <c r="AG885" s="997"/>
      <c r="AH885" s="997"/>
      <c r="AI885" s="997"/>
      <c r="AJ885" s="997"/>
      <c r="AK885" s="997"/>
      <c r="AL885" s="997"/>
      <c r="AM885" s="997"/>
      <c r="AN885" s="997"/>
      <c r="AO885" s="997"/>
      <c r="AP885" s="997"/>
      <c r="AQ885" s="997"/>
      <c r="AR885" s="997"/>
      <c r="AS885" s="997"/>
      <c r="AT885" s="997"/>
      <c r="AU885" s="997"/>
      <c r="AV885" s="997"/>
      <c r="AW885" s="997"/>
      <c r="AX885" s="997"/>
      <c r="AY885" s="997"/>
      <c r="AZ885" s="997"/>
      <c r="BA885" s="997"/>
      <c r="BB885" s="997"/>
      <c r="BC885" s="997"/>
      <c r="BD885" s="997"/>
      <c r="BE885" s="997"/>
      <c r="BF885" s="997"/>
      <c r="BG885" s="997"/>
      <c r="BH885" s="997"/>
      <c r="BI885" s="997"/>
      <c r="BJ885" s="997"/>
      <c r="BK885" s="997"/>
      <c r="BL885" s="997"/>
      <c r="BM885" s="997"/>
      <c r="BN885" s="997"/>
      <c r="BO885" s="997"/>
      <c r="BP885" s="997"/>
      <c r="BQ885" s="997"/>
      <c r="BR885" s="997"/>
      <c r="BS885" s="997"/>
      <c r="BT885" s="997"/>
      <c r="BU885" s="997"/>
      <c r="BV885" s="997"/>
      <c r="BW885" s="997"/>
      <c r="BX885" s="997"/>
      <c r="BY885" s="997"/>
      <c r="BZ885" s="997"/>
      <c r="CA885" s="997"/>
      <c r="CB885" s="997"/>
      <c r="CC885" s="997"/>
      <c r="CD885" s="997"/>
      <c r="CE885" s="997"/>
      <c r="CF885" s="997"/>
      <c r="CG885" s="997"/>
      <c r="CH885" s="997"/>
      <c r="CI885" s="997"/>
      <c r="CJ885" s="997"/>
      <c r="CK885" s="997"/>
      <c r="CL885" s="997"/>
      <c r="CM885" s="997"/>
      <c r="CN885" s="997"/>
      <c r="CO885" s="997"/>
      <c r="CP885" s="997"/>
      <c r="CQ885" s="997"/>
      <c r="CR885" s="997"/>
      <c r="CS885" s="997"/>
      <c r="CT885" s="997"/>
      <c r="CU885" s="997"/>
      <c r="CV885" s="997"/>
      <c r="CW885" s="997"/>
      <c r="CX885" s="997"/>
      <c r="CY885" s="997"/>
      <c r="CZ885" s="997"/>
      <c r="DA885" s="997"/>
      <c r="DB885" s="997"/>
      <c r="DC885" s="997"/>
      <c r="DD885" s="997"/>
      <c r="DE885" s="997"/>
      <c r="DF885" s="997"/>
      <c r="DG885" s="997"/>
      <c r="DH885" s="997"/>
      <c r="DI885" s="997"/>
      <c r="DJ885" s="997"/>
      <c r="DK885" s="997"/>
      <c r="DL885" s="997"/>
      <c r="DM885" s="997"/>
      <c r="DN885" s="997"/>
      <c r="DO885" s="997"/>
      <c r="DP885" s="997"/>
      <c r="DQ885" s="997"/>
      <c r="DR885" s="997"/>
      <c r="DS885" s="997"/>
      <c r="DT885" s="997"/>
      <c r="DU885" s="997"/>
      <c r="DV885" s="997"/>
      <c r="DW885" s="997"/>
      <c r="DX885" s="997"/>
      <c r="DY885" s="997"/>
      <c r="DZ885" s="997"/>
      <c r="EA885" s="997"/>
      <c r="EB885" s="997"/>
      <c r="EC885" s="997"/>
      <c r="ED885" s="997"/>
      <c r="EE885" s="997"/>
      <c r="EF885" s="997"/>
      <c r="EG885" s="997"/>
      <c r="EH885" s="997"/>
      <c r="EI885" s="997"/>
      <c r="EJ885" s="997"/>
      <c r="EK885" s="997"/>
      <c r="EL885" s="997"/>
      <c r="EM885" s="997"/>
      <c r="EN885" s="997"/>
      <c r="EO885" s="997"/>
      <c r="EP885" s="997"/>
      <c r="EQ885" s="997"/>
      <c r="ER885" s="997"/>
      <c r="ES885" s="997"/>
      <c r="ET885" s="997"/>
      <c r="EU885" s="997"/>
      <c r="EV885" s="997"/>
      <c r="EW885" s="997"/>
      <c r="EX885" s="997"/>
      <c r="EY885" s="997"/>
      <c r="EZ885" s="997"/>
      <c r="FA885" s="997"/>
      <c r="FB885" s="997"/>
      <c r="FC885" s="997"/>
      <c r="FD885" s="997"/>
      <c r="FE885" s="997"/>
      <c r="FF885" s="997"/>
      <c r="FG885" s="997"/>
      <c r="FH885" s="997"/>
      <c r="FI885" s="997"/>
      <c r="FJ885" s="997"/>
      <c r="FK885" s="997"/>
      <c r="FL885" s="997"/>
      <c r="FM885" s="997"/>
      <c r="FN885" s="997"/>
      <c r="FO885" s="997"/>
      <c r="FP885" s="997"/>
      <c r="FQ885" s="997"/>
      <c r="FR885" s="997"/>
      <c r="FS885" s="997"/>
      <c r="FT885" s="997"/>
      <c r="FU885" s="997"/>
      <c r="FV885" s="997"/>
      <c r="FW885" s="997"/>
      <c r="FX885" s="997"/>
      <c r="FY885" s="997"/>
      <c r="FZ885" s="997"/>
      <c r="GA885" s="997"/>
      <c r="GB885" s="997"/>
      <c r="GC885" s="997"/>
      <c r="GD885" s="997"/>
      <c r="GE885" s="997"/>
      <c r="GF885" s="997"/>
      <c r="GG885" s="997"/>
      <c r="GH885" s="997"/>
      <c r="GI885" s="997"/>
      <c r="GJ885" s="997"/>
      <c r="GK885" s="997"/>
      <c r="GL885" s="997"/>
      <c r="GM885" s="997"/>
      <c r="GN885" s="997"/>
      <c r="GO885" s="997"/>
      <c r="GP885" s="997"/>
      <c r="GQ885" s="997"/>
      <c r="GR885" s="997"/>
      <c r="GS885" s="997"/>
      <c r="GT885" s="997"/>
      <c r="GU885" s="997"/>
      <c r="GV885" s="997"/>
      <c r="GW885" s="997"/>
      <c r="GX885" s="997"/>
      <c r="GY885" s="997"/>
      <c r="GZ885" s="997"/>
      <c r="HA885" s="997"/>
      <c r="HB885" s="997"/>
      <c r="HC885" s="997"/>
      <c r="HD885" s="997"/>
      <c r="HE885" s="997"/>
      <c r="HF885" s="997"/>
      <c r="HG885" s="997"/>
      <c r="HH885" s="997"/>
      <c r="HI885" s="997"/>
      <c r="HJ885" s="997"/>
      <c r="HK885" s="997"/>
      <c r="HL885" s="997"/>
      <c r="HM885" s="997"/>
      <c r="HN885" s="997"/>
      <c r="HO885" s="997"/>
      <c r="HP885" s="997"/>
      <c r="HQ885" s="997"/>
      <c r="HR885" s="997"/>
      <c r="HS885" s="997"/>
      <c r="HT885" s="997"/>
      <c r="HU885" s="997"/>
      <c r="HV885" s="997"/>
      <c r="HW885" s="997"/>
      <c r="HX885" s="997"/>
      <c r="HY885" s="997"/>
      <c r="HZ885" s="997"/>
      <c r="IA885" s="997"/>
      <c r="IB885" s="997"/>
      <c r="IC885" s="997"/>
      <c r="ID885" s="997"/>
      <c r="IE885" s="997"/>
      <c r="IF885" s="997"/>
      <c r="IG885" s="997"/>
      <c r="IH885" s="997"/>
      <c r="II885" s="997"/>
      <c r="IJ885" s="997"/>
      <c r="IK885" s="997"/>
      <c r="IL885" s="997"/>
      <c r="IM885" s="997"/>
      <c r="IN885" s="997"/>
    </row>
    <row r="886" spans="1:248" s="1090" customFormat="1" ht="14.1" customHeight="1">
      <c r="A886" s="1091"/>
      <c r="B886" s="945" t="s">
        <v>3791</v>
      </c>
      <c r="C886" s="1102" t="s">
        <v>3975</v>
      </c>
      <c r="D886" s="1092"/>
      <c r="G886" s="997"/>
      <c r="H886" s="997"/>
      <c r="I886" s="997"/>
      <c r="J886" s="997"/>
      <c r="K886" s="997"/>
      <c r="L886" s="997"/>
      <c r="M886" s="997"/>
      <c r="N886" s="997"/>
      <c r="O886" s="997"/>
      <c r="P886" s="997"/>
      <c r="Q886" s="997"/>
      <c r="R886" s="997"/>
      <c r="S886" s="997"/>
      <c r="T886" s="997"/>
      <c r="U886" s="997"/>
      <c r="V886" s="997"/>
      <c r="W886" s="997"/>
      <c r="X886" s="997"/>
      <c r="Y886" s="997"/>
      <c r="Z886" s="997"/>
      <c r="AA886" s="997"/>
      <c r="AB886" s="997"/>
      <c r="AC886" s="997"/>
      <c r="AD886" s="997"/>
      <c r="AE886" s="997"/>
      <c r="AF886" s="997"/>
      <c r="AG886" s="997"/>
      <c r="AH886" s="997"/>
      <c r="AI886" s="997"/>
      <c r="AJ886" s="997"/>
      <c r="AK886" s="997"/>
      <c r="AL886" s="997"/>
      <c r="AM886" s="997"/>
      <c r="AN886" s="997"/>
      <c r="AO886" s="997"/>
      <c r="AP886" s="997"/>
      <c r="AQ886" s="997"/>
      <c r="AR886" s="997"/>
      <c r="AS886" s="997"/>
      <c r="AT886" s="997"/>
      <c r="AU886" s="997"/>
      <c r="AV886" s="997"/>
      <c r="AW886" s="997"/>
      <c r="AX886" s="997"/>
      <c r="AY886" s="997"/>
      <c r="AZ886" s="997"/>
      <c r="BA886" s="997"/>
      <c r="BB886" s="997"/>
      <c r="BC886" s="997"/>
      <c r="BD886" s="997"/>
      <c r="BE886" s="997"/>
      <c r="BF886" s="997"/>
      <c r="BG886" s="997"/>
      <c r="BH886" s="997"/>
      <c r="BI886" s="997"/>
      <c r="BJ886" s="997"/>
      <c r="BK886" s="997"/>
      <c r="BL886" s="997"/>
      <c r="BM886" s="997"/>
      <c r="BN886" s="997"/>
      <c r="BO886" s="997"/>
      <c r="BP886" s="997"/>
      <c r="BQ886" s="997"/>
      <c r="BR886" s="997"/>
      <c r="BS886" s="997"/>
      <c r="BT886" s="997"/>
      <c r="BU886" s="997"/>
      <c r="BV886" s="997"/>
      <c r="BW886" s="997"/>
      <c r="BX886" s="997"/>
      <c r="BY886" s="997"/>
      <c r="BZ886" s="997"/>
      <c r="CA886" s="997"/>
      <c r="CB886" s="997"/>
      <c r="CC886" s="997"/>
      <c r="CD886" s="997"/>
      <c r="CE886" s="997"/>
      <c r="CF886" s="997"/>
      <c r="CG886" s="997"/>
      <c r="CH886" s="997"/>
      <c r="CI886" s="997"/>
      <c r="CJ886" s="997"/>
      <c r="CK886" s="997"/>
      <c r="CL886" s="997"/>
      <c r="CM886" s="997"/>
      <c r="CN886" s="997"/>
      <c r="CO886" s="997"/>
      <c r="CP886" s="997"/>
      <c r="CQ886" s="997"/>
      <c r="CR886" s="997"/>
      <c r="CS886" s="997"/>
      <c r="CT886" s="997"/>
      <c r="CU886" s="997"/>
      <c r="CV886" s="997"/>
      <c r="CW886" s="997"/>
      <c r="CX886" s="997"/>
      <c r="CY886" s="997"/>
      <c r="CZ886" s="997"/>
      <c r="DA886" s="997"/>
      <c r="DB886" s="997"/>
      <c r="DC886" s="997"/>
      <c r="DD886" s="997"/>
      <c r="DE886" s="997"/>
      <c r="DF886" s="997"/>
      <c r="DG886" s="997"/>
      <c r="DH886" s="997"/>
      <c r="DI886" s="997"/>
      <c r="DJ886" s="997"/>
      <c r="DK886" s="997"/>
      <c r="DL886" s="997"/>
      <c r="DM886" s="997"/>
      <c r="DN886" s="997"/>
      <c r="DO886" s="997"/>
      <c r="DP886" s="997"/>
      <c r="DQ886" s="997"/>
      <c r="DR886" s="997"/>
      <c r="DS886" s="997"/>
      <c r="DT886" s="997"/>
      <c r="DU886" s="997"/>
      <c r="DV886" s="997"/>
      <c r="DW886" s="997"/>
      <c r="DX886" s="997"/>
      <c r="DY886" s="997"/>
      <c r="DZ886" s="997"/>
      <c r="EA886" s="997"/>
      <c r="EB886" s="997"/>
      <c r="EC886" s="997"/>
      <c r="ED886" s="997"/>
      <c r="EE886" s="997"/>
      <c r="EF886" s="997"/>
      <c r="EG886" s="997"/>
      <c r="EH886" s="997"/>
      <c r="EI886" s="997"/>
      <c r="EJ886" s="997"/>
      <c r="EK886" s="997"/>
      <c r="EL886" s="997"/>
      <c r="EM886" s="997"/>
      <c r="EN886" s="997"/>
      <c r="EO886" s="997"/>
      <c r="EP886" s="997"/>
      <c r="EQ886" s="997"/>
      <c r="ER886" s="997"/>
      <c r="ES886" s="997"/>
      <c r="ET886" s="997"/>
      <c r="EU886" s="997"/>
      <c r="EV886" s="997"/>
      <c r="EW886" s="997"/>
      <c r="EX886" s="997"/>
      <c r="EY886" s="997"/>
      <c r="EZ886" s="997"/>
      <c r="FA886" s="997"/>
      <c r="FB886" s="997"/>
      <c r="FC886" s="997"/>
      <c r="FD886" s="997"/>
      <c r="FE886" s="997"/>
      <c r="FF886" s="997"/>
      <c r="FG886" s="997"/>
      <c r="FH886" s="997"/>
      <c r="FI886" s="997"/>
      <c r="FJ886" s="997"/>
      <c r="FK886" s="997"/>
      <c r="FL886" s="997"/>
      <c r="FM886" s="997"/>
      <c r="FN886" s="997"/>
      <c r="FO886" s="997"/>
      <c r="FP886" s="997"/>
      <c r="FQ886" s="997"/>
      <c r="FR886" s="997"/>
      <c r="FS886" s="997"/>
      <c r="FT886" s="997"/>
      <c r="FU886" s="997"/>
      <c r="FV886" s="997"/>
      <c r="FW886" s="997"/>
      <c r="FX886" s="997"/>
      <c r="FY886" s="997"/>
      <c r="FZ886" s="997"/>
      <c r="GA886" s="997"/>
      <c r="GB886" s="997"/>
      <c r="GC886" s="997"/>
      <c r="GD886" s="997"/>
      <c r="GE886" s="997"/>
      <c r="GF886" s="997"/>
      <c r="GG886" s="997"/>
      <c r="GH886" s="997"/>
      <c r="GI886" s="997"/>
      <c r="GJ886" s="997"/>
      <c r="GK886" s="997"/>
      <c r="GL886" s="997"/>
      <c r="GM886" s="997"/>
      <c r="GN886" s="997"/>
      <c r="GO886" s="997"/>
      <c r="GP886" s="997"/>
      <c r="GQ886" s="997"/>
      <c r="GR886" s="997"/>
      <c r="GS886" s="997"/>
      <c r="GT886" s="997"/>
      <c r="GU886" s="997"/>
      <c r="GV886" s="997"/>
      <c r="GW886" s="997"/>
      <c r="GX886" s="997"/>
      <c r="GY886" s="997"/>
      <c r="GZ886" s="997"/>
      <c r="HA886" s="997"/>
      <c r="HB886" s="997"/>
      <c r="HC886" s="997"/>
      <c r="HD886" s="997"/>
      <c r="HE886" s="997"/>
      <c r="HF886" s="997"/>
      <c r="HG886" s="997"/>
      <c r="HH886" s="997"/>
      <c r="HI886" s="997"/>
      <c r="HJ886" s="997"/>
      <c r="HK886" s="997"/>
      <c r="HL886" s="997"/>
      <c r="HM886" s="997"/>
      <c r="HN886" s="997"/>
      <c r="HO886" s="997"/>
      <c r="HP886" s="997"/>
      <c r="HQ886" s="997"/>
      <c r="HR886" s="997"/>
      <c r="HS886" s="997"/>
      <c r="HT886" s="997"/>
      <c r="HU886" s="997"/>
      <c r="HV886" s="997"/>
      <c r="HW886" s="997"/>
      <c r="HX886" s="997"/>
      <c r="HY886" s="997"/>
      <c r="HZ886" s="997"/>
      <c r="IA886" s="997"/>
      <c r="IB886" s="997"/>
      <c r="IC886" s="997"/>
      <c r="ID886" s="997"/>
      <c r="IE886" s="997"/>
      <c r="IF886" s="997"/>
      <c r="IG886" s="997"/>
      <c r="IH886" s="997"/>
      <c r="II886" s="997"/>
      <c r="IJ886" s="997"/>
      <c r="IK886" s="997"/>
      <c r="IL886" s="997"/>
      <c r="IM886" s="997"/>
      <c r="IN886" s="997"/>
    </row>
    <row r="887" spans="1:248" s="1090" customFormat="1" ht="14.1" customHeight="1">
      <c r="A887" s="1091"/>
      <c r="B887" s="1091"/>
      <c r="C887" s="1102"/>
      <c r="D887" s="1092"/>
      <c r="G887" s="997"/>
      <c r="H887" s="997"/>
      <c r="I887" s="997"/>
      <c r="J887" s="997"/>
      <c r="K887" s="997"/>
      <c r="L887" s="997"/>
      <c r="M887" s="997"/>
      <c r="N887" s="997"/>
      <c r="O887" s="997"/>
      <c r="P887" s="997"/>
      <c r="Q887" s="997"/>
      <c r="R887" s="997"/>
      <c r="S887" s="997"/>
      <c r="T887" s="997"/>
      <c r="U887" s="997"/>
      <c r="V887" s="997"/>
      <c r="W887" s="997"/>
      <c r="X887" s="997"/>
      <c r="Y887" s="997"/>
      <c r="Z887" s="997"/>
      <c r="AA887" s="997"/>
      <c r="AB887" s="997"/>
      <c r="AC887" s="997"/>
      <c r="AD887" s="997"/>
      <c r="AE887" s="997"/>
      <c r="AF887" s="997"/>
      <c r="AG887" s="997"/>
      <c r="AH887" s="997"/>
      <c r="AI887" s="997"/>
      <c r="AJ887" s="997"/>
      <c r="AK887" s="997"/>
      <c r="AL887" s="997"/>
      <c r="AM887" s="997"/>
      <c r="AN887" s="997"/>
      <c r="AO887" s="997"/>
      <c r="AP887" s="997"/>
      <c r="AQ887" s="997"/>
      <c r="AR887" s="997"/>
      <c r="AS887" s="997"/>
      <c r="AT887" s="997"/>
      <c r="AU887" s="997"/>
      <c r="AV887" s="997"/>
      <c r="AW887" s="997"/>
      <c r="AX887" s="997"/>
      <c r="AY887" s="997"/>
      <c r="AZ887" s="997"/>
      <c r="BA887" s="997"/>
      <c r="BB887" s="997"/>
      <c r="BC887" s="997"/>
      <c r="BD887" s="997"/>
      <c r="BE887" s="997"/>
      <c r="BF887" s="997"/>
      <c r="BG887" s="997"/>
      <c r="BH887" s="997"/>
      <c r="BI887" s="997"/>
      <c r="BJ887" s="997"/>
      <c r="BK887" s="997"/>
      <c r="BL887" s="997"/>
      <c r="BM887" s="997"/>
      <c r="BN887" s="997"/>
      <c r="BO887" s="997"/>
      <c r="BP887" s="997"/>
      <c r="BQ887" s="997"/>
      <c r="BR887" s="997"/>
      <c r="BS887" s="997"/>
      <c r="BT887" s="997"/>
      <c r="BU887" s="997"/>
      <c r="BV887" s="997"/>
      <c r="BW887" s="997"/>
      <c r="BX887" s="997"/>
      <c r="BY887" s="997"/>
      <c r="BZ887" s="997"/>
      <c r="CA887" s="997"/>
      <c r="CB887" s="997"/>
      <c r="CC887" s="997"/>
      <c r="CD887" s="997"/>
      <c r="CE887" s="997"/>
      <c r="CF887" s="997"/>
      <c r="CG887" s="997"/>
      <c r="CH887" s="997"/>
      <c r="CI887" s="997"/>
      <c r="CJ887" s="997"/>
      <c r="CK887" s="997"/>
      <c r="CL887" s="997"/>
      <c r="CM887" s="997"/>
      <c r="CN887" s="997"/>
      <c r="CO887" s="997"/>
      <c r="CP887" s="997"/>
      <c r="CQ887" s="997"/>
      <c r="CR887" s="997"/>
      <c r="CS887" s="997"/>
      <c r="CT887" s="997"/>
      <c r="CU887" s="997"/>
      <c r="CV887" s="997"/>
      <c r="CW887" s="997"/>
      <c r="CX887" s="997"/>
      <c r="CY887" s="997"/>
      <c r="CZ887" s="997"/>
      <c r="DA887" s="997"/>
      <c r="DB887" s="997"/>
      <c r="DC887" s="997"/>
      <c r="DD887" s="997"/>
      <c r="DE887" s="997"/>
      <c r="DF887" s="997"/>
      <c r="DG887" s="997"/>
      <c r="DH887" s="997"/>
      <c r="DI887" s="997"/>
      <c r="DJ887" s="997"/>
      <c r="DK887" s="997"/>
      <c r="DL887" s="997"/>
      <c r="DM887" s="997"/>
      <c r="DN887" s="997"/>
      <c r="DO887" s="997"/>
      <c r="DP887" s="997"/>
      <c r="DQ887" s="997"/>
      <c r="DR887" s="997"/>
      <c r="DS887" s="997"/>
      <c r="DT887" s="997"/>
      <c r="DU887" s="997"/>
      <c r="DV887" s="997"/>
      <c r="DW887" s="997"/>
      <c r="DX887" s="997"/>
      <c r="DY887" s="997"/>
      <c r="DZ887" s="997"/>
      <c r="EA887" s="997"/>
      <c r="EB887" s="997"/>
      <c r="EC887" s="997"/>
      <c r="ED887" s="997"/>
      <c r="EE887" s="997"/>
      <c r="EF887" s="997"/>
      <c r="EG887" s="997"/>
      <c r="EH887" s="997"/>
      <c r="EI887" s="997"/>
      <c r="EJ887" s="997"/>
      <c r="EK887" s="997"/>
      <c r="EL887" s="997"/>
      <c r="EM887" s="997"/>
      <c r="EN887" s="997"/>
      <c r="EO887" s="997"/>
      <c r="EP887" s="997"/>
      <c r="EQ887" s="997"/>
      <c r="ER887" s="997"/>
      <c r="ES887" s="997"/>
      <c r="ET887" s="997"/>
      <c r="EU887" s="997"/>
      <c r="EV887" s="997"/>
      <c r="EW887" s="997"/>
      <c r="EX887" s="997"/>
      <c r="EY887" s="997"/>
      <c r="EZ887" s="997"/>
      <c r="FA887" s="997"/>
      <c r="FB887" s="997"/>
      <c r="FC887" s="997"/>
      <c r="FD887" s="997"/>
      <c r="FE887" s="997"/>
      <c r="FF887" s="997"/>
      <c r="FG887" s="997"/>
      <c r="FH887" s="997"/>
      <c r="FI887" s="997"/>
      <c r="FJ887" s="997"/>
      <c r="FK887" s="997"/>
      <c r="FL887" s="997"/>
      <c r="FM887" s="997"/>
      <c r="FN887" s="997"/>
      <c r="FO887" s="997"/>
      <c r="FP887" s="997"/>
      <c r="FQ887" s="997"/>
      <c r="FR887" s="997"/>
      <c r="FS887" s="997"/>
      <c r="FT887" s="997"/>
      <c r="FU887" s="997"/>
      <c r="FV887" s="997"/>
      <c r="FW887" s="997"/>
      <c r="FX887" s="997"/>
      <c r="FY887" s="997"/>
      <c r="FZ887" s="997"/>
      <c r="GA887" s="997"/>
      <c r="GB887" s="997"/>
      <c r="GC887" s="997"/>
      <c r="GD887" s="997"/>
      <c r="GE887" s="997"/>
      <c r="GF887" s="997"/>
      <c r="GG887" s="997"/>
      <c r="GH887" s="997"/>
      <c r="GI887" s="997"/>
      <c r="GJ887" s="997"/>
      <c r="GK887" s="997"/>
      <c r="GL887" s="997"/>
      <c r="GM887" s="997"/>
      <c r="GN887" s="997"/>
      <c r="GO887" s="997"/>
      <c r="GP887" s="997"/>
      <c r="GQ887" s="997"/>
      <c r="GR887" s="997"/>
      <c r="GS887" s="997"/>
      <c r="GT887" s="997"/>
      <c r="GU887" s="997"/>
      <c r="GV887" s="997"/>
      <c r="GW887" s="997"/>
      <c r="GX887" s="997"/>
      <c r="GY887" s="997"/>
      <c r="GZ887" s="997"/>
      <c r="HA887" s="997"/>
      <c r="HB887" s="997"/>
      <c r="HC887" s="997"/>
      <c r="HD887" s="997"/>
      <c r="HE887" s="997"/>
      <c r="HF887" s="997"/>
      <c r="HG887" s="997"/>
      <c r="HH887" s="997"/>
      <c r="HI887" s="997"/>
      <c r="HJ887" s="997"/>
      <c r="HK887" s="997"/>
      <c r="HL887" s="997"/>
      <c r="HM887" s="997"/>
      <c r="HN887" s="997"/>
      <c r="HO887" s="997"/>
      <c r="HP887" s="997"/>
      <c r="HQ887" s="997"/>
      <c r="HR887" s="997"/>
      <c r="HS887" s="997"/>
      <c r="HT887" s="997"/>
      <c r="HU887" s="997"/>
      <c r="HV887" s="997"/>
      <c r="HW887" s="997"/>
      <c r="HX887" s="997"/>
      <c r="HY887" s="997"/>
      <c r="HZ887" s="997"/>
      <c r="IA887" s="997"/>
      <c r="IB887" s="997"/>
      <c r="IC887" s="997"/>
      <c r="ID887" s="997"/>
      <c r="IE887" s="997"/>
      <c r="IF887" s="997"/>
      <c r="IG887" s="997"/>
      <c r="IH887" s="997"/>
      <c r="II887" s="997"/>
      <c r="IJ887" s="997"/>
      <c r="IK887" s="997"/>
      <c r="IL887" s="997"/>
      <c r="IM887" s="997"/>
      <c r="IN887" s="997"/>
    </row>
    <row r="888" spans="1:248" s="1090" customFormat="1" ht="14.1" customHeight="1">
      <c r="A888" s="1091"/>
      <c r="B888" s="945" t="s">
        <v>3792</v>
      </c>
      <c r="C888" s="1102" t="s">
        <v>3976</v>
      </c>
      <c r="D888" s="1092"/>
      <c r="G888" s="997"/>
      <c r="H888" s="997"/>
      <c r="I888" s="997"/>
      <c r="J888" s="997"/>
      <c r="K888" s="997"/>
      <c r="L888" s="997"/>
      <c r="M888" s="997"/>
      <c r="N888" s="997"/>
      <c r="O888" s="997"/>
      <c r="P888" s="997"/>
      <c r="Q888" s="997"/>
      <c r="R888" s="997"/>
      <c r="S888" s="997"/>
      <c r="T888" s="997"/>
      <c r="U888" s="997"/>
      <c r="V888" s="997"/>
      <c r="W888" s="997"/>
      <c r="X888" s="997"/>
      <c r="Y888" s="997"/>
      <c r="Z888" s="997"/>
      <c r="AA888" s="997"/>
      <c r="AB888" s="997"/>
      <c r="AC888" s="997"/>
      <c r="AD888" s="997"/>
      <c r="AE888" s="997"/>
      <c r="AF888" s="997"/>
      <c r="AG888" s="997"/>
      <c r="AH888" s="997"/>
      <c r="AI888" s="997"/>
      <c r="AJ888" s="997"/>
      <c r="AK888" s="997"/>
      <c r="AL888" s="997"/>
      <c r="AM888" s="997"/>
      <c r="AN888" s="997"/>
      <c r="AO888" s="997"/>
      <c r="AP888" s="997"/>
      <c r="AQ888" s="997"/>
      <c r="AR888" s="997"/>
      <c r="AS888" s="997"/>
      <c r="AT888" s="997"/>
      <c r="AU888" s="997"/>
      <c r="AV888" s="997"/>
      <c r="AW888" s="997"/>
      <c r="AX888" s="997"/>
      <c r="AY888" s="997"/>
      <c r="AZ888" s="997"/>
      <c r="BA888" s="997"/>
      <c r="BB888" s="997"/>
      <c r="BC888" s="997"/>
      <c r="BD888" s="997"/>
      <c r="BE888" s="997"/>
      <c r="BF888" s="997"/>
      <c r="BG888" s="997"/>
      <c r="BH888" s="997"/>
      <c r="BI888" s="997"/>
      <c r="BJ888" s="997"/>
      <c r="BK888" s="997"/>
      <c r="BL888" s="997"/>
      <c r="BM888" s="997"/>
      <c r="BN888" s="997"/>
      <c r="BO888" s="997"/>
      <c r="BP888" s="997"/>
      <c r="BQ888" s="997"/>
      <c r="BR888" s="997"/>
      <c r="BS888" s="997"/>
      <c r="BT888" s="997"/>
      <c r="BU888" s="997"/>
      <c r="BV888" s="997"/>
      <c r="BW888" s="997"/>
      <c r="BX888" s="997"/>
      <c r="BY888" s="997"/>
      <c r="BZ888" s="997"/>
      <c r="CA888" s="997"/>
      <c r="CB888" s="997"/>
      <c r="CC888" s="997"/>
      <c r="CD888" s="997"/>
      <c r="CE888" s="997"/>
      <c r="CF888" s="997"/>
      <c r="CG888" s="997"/>
      <c r="CH888" s="997"/>
      <c r="CI888" s="997"/>
      <c r="CJ888" s="997"/>
      <c r="CK888" s="997"/>
      <c r="CL888" s="997"/>
      <c r="CM888" s="997"/>
      <c r="CN888" s="997"/>
      <c r="CO888" s="997"/>
      <c r="CP888" s="997"/>
      <c r="CQ888" s="997"/>
      <c r="CR888" s="997"/>
      <c r="CS888" s="997"/>
      <c r="CT888" s="997"/>
      <c r="CU888" s="997"/>
      <c r="CV888" s="997"/>
      <c r="CW888" s="997"/>
      <c r="CX888" s="997"/>
      <c r="CY888" s="997"/>
      <c r="CZ888" s="997"/>
      <c r="DA888" s="997"/>
      <c r="DB888" s="997"/>
      <c r="DC888" s="997"/>
      <c r="DD888" s="997"/>
      <c r="DE888" s="997"/>
      <c r="DF888" s="997"/>
      <c r="DG888" s="997"/>
      <c r="DH888" s="997"/>
      <c r="DI888" s="997"/>
      <c r="DJ888" s="997"/>
      <c r="DK888" s="997"/>
      <c r="DL888" s="997"/>
      <c r="DM888" s="997"/>
      <c r="DN888" s="997"/>
      <c r="DO888" s="997"/>
      <c r="DP888" s="997"/>
      <c r="DQ888" s="997"/>
      <c r="DR888" s="997"/>
      <c r="DS888" s="997"/>
      <c r="DT888" s="997"/>
      <c r="DU888" s="997"/>
      <c r="DV888" s="997"/>
      <c r="DW888" s="997"/>
      <c r="DX888" s="997"/>
      <c r="DY888" s="997"/>
      <c r="DZ888" s="997"/>
      <c r="EA888" s="997"/>
      <c r="EB888" s="997"/>
      <c r="EC888" s="997"/>
      <c r="ED888" s="997"/>
      <c r="EE888" s="997"/>
      <c r="EF888" s="997"/>
      <c r="EG888" s="997"/>
      <c r="EH888" s="997"/>
      <c r="EI888" s="997"/>
      <c r="EJ888" s="997"/>
      <c r="EK888" s="997"/>
      <c r="EL888" s="997"/>
      <c r="EM888" s="997"/>
      <c r="EN888" s="997"/>
      <c r="EO888" s="997"/>
      <c r="EP888" s="997"/>
      <c r="EQ888" s="997"/>
      <c r="ER888" s="997"/>
      <c r="ES888" s="997"/>
      <c r="ET888" s="997"/>
      <c r="EU888" s="997"/>
      <c r="EV888" s="997"/>
      <c r="EW888" s="997"/>
      <c r="EX888" s="997"/>
      <c r="EY888" s="997"/>
      <c r="EZ888" s="997"/>
      <c r="FA888" s="997"/>
      <c r="FB888" s="997"/>
      <c r="FC888" s="997"/>
      <c r="FD888" s="997"/>
      <c r="FE888" s="997"/>
      <c r="FF888" s="997"/>
      <c r="FG888" s="997"/>
      <c r="FH888" s="997"/>
      <c r="FI888" s="997"/>
      <c r="FJ888" s="997"/>
      <c r="FK888" s="997"/>
      <c r="FL888" s="997"/>
      <c r="FM888" s="997"/>
      <c r="FN888" s="997"/>
      <c r="FO888" s="997"/>
      <c r="FP888" s="997"/>
      <c r="FQ888" s="997"/>
      <c r="FR888" s="997"/>
      <c r="FS888" s="997"/>
      <c r="FT888" s="997"/>
      <c r="FU888" s="997"/>
      <c r="FV888" s="997"/>
      <c r="FW888" s="997"/>
      <c r="FX888" s="997"/>
      <c r="FY888" s="997"/>
      <c r="FZ888" s="997"/>
      <c r="GA888" s="997"/>
      <c r="GB888" s="997"/>
      <c r="GC888" s="997"/>
      <c r="GD888" s="997"/>
      <c r="GE888" s="997"/>
      <c r="GF888" s="997"/>
      <c r="GG888" s="997"/>
      <c r="GH888" s="997"/>
      <c r="GI888" s="997"/>
      <c r="GJ888" s="997"/>
      <c r="GK888" s="997"/>
      <c r="GL888" s="997"/>
      <c r="GM888" s="997"/>
      <c r="GN888" s="997"/>
      <c r="GO888" s="997"/>
      <c r="GP888" s="997"/>
      <c r="GQ888" s="997"/>
      <c r="GR888" s="997"/>
      <c r="GS888" s="997"/>
      <c r="GT888" s="997"/>
      <c r="GU888" s="997"/>
      <c r="GV888" s="997"/>
      <c r="GW888" s="997"/>
      <c r="GX888" s="997"/>
      <c r="GY888" s="997"/>
      <c r="GZ888" s="997"/>
      <c r="HA888" s="997"/>
      <c r="HB888" s="997"/>
      <c r="HC888" s="997"/>
      <c r="HD888" s="997"/>
      <c r="HE888" s="997"/>
      <c r="HF888" s="997"/>
      <c r="HG888" s="997"/>
      <c r="HH888" s="997"/>
      <c r="HI888" s="997"/>
      <c r="HJ888" s="997"/>
      <c r="HK888" s="997"/>
      <c r="HL888" s="997"/>
      <c r="HM888" s="997"/>
      <c r="HN888" s="997"/>
      <c r="HO888" s="997"/>
      <c r="HP888" s="997"/>
      <c r="HQ888" s="997"/>
      <c r="HR888" s="997"/>
      <c r="HS888" s="997"/>
      <c r="HT888" s="997"/>
      <c r="HU888" s="997"/>
      <c r="HV888" s="997"/>
      <c r="HW888" s="997"/>
      <c r="HX888" s="997"/>
      <c r="HY888" s="997"/>
      <c r="HZ888" s="997"/>
      <c r="IA888" s="997"/>
      <c r="IB888" s="997"/>
      <c r="IC888" s="997"/>
      <c r="ID888" s="997"/>
      <c r="IE888" s="997"/>
      <c r="IF888" s="997"/>
      <c r="IG888" s="997"/>
      <c r="IH888" s="997"/>
      <c r="II888" s="997"/>
      <c r="IJ888" s="997"/>
      <c r="IK888" s="997"/>
      <c r="IL888" s="997"/>
      <c r="IM888" s="997"/>
      <c r="IN888" s="997"/>
    </row>
    <row r="889" spans="1:248" s="1090" customFormat="1" ht="14.1" customHeight="1">
      <c r="A889" s="1091"/>
      <c r="B889" s="1091"/>
      <c r="C889" s="1102" t="s">
        <v>4757</v>
      </c>
      <c r="D889" s="1092"/>
      <c r="G889" s="997"/>
      <c r="H889" s="997"/>
      <c r="I889" s="997"/>
      <c r="J889" s="997"/>
      <c r="K889" s="997"/>
      <c r="L889" s="997"/>
      <c r="M889" s="997"/>
      <c r="N889" s="997"/>
      <c r="O889" s="997"/>
      <c r="P889" s="997"/>
      <c r="Q889" s="997"/>
      <c r="R889" s="997"/>
      <c r="S889" s="997"/>
      <c r="T889" s="997"/>
      <c r="U889" s="997"/>
      <c r="V889" s="997"/>
      <c r="W889" s="997"/>
      <c r="X889" s="997"/>
      <c r="Y889" s="997"/>
      <c r="Z889" s="997"/>
      <c r="AA889" s="997"/>
      <c r="AB889" s="997"/>
      <c r="AC889" s="997"/>
      <c r="AD889" s="997"/>
      <c r="AE889" s="997"/>
      <c r="AF889" s="997"/>
      <c r="AG889" s="997"/>
      <c r="AH889" s="997"/>
      <c r="AI889" s="997"/>
      <c r="AJ889" s="997"/>
      <c r="AK889" s="997"/>
      <c r="AL889" s="997"/>
      <c r="AM889" s="997"/>
      <c r="AN889" s="997"/>
      <c r="AO889" s="997"/>
      <c r="AP889" s="997"/>
      <c r="AQ889" s="997"/>
      <c r="AR889" s="997"/>
      <c r="AS889" s="997"/>
      <c r="AT889" s="997"/>
      <c r="AU889" s="997"/>
      <c r="AV889" s="997"/>
      <c r="AW889" s="997"/>
      <c r="AX889" s="997"/>
      <c r="AY889" s="997"/>
      <c r="AZ889" s="997"/>
      <c r="BA889" s="997"/>
      <c r="BB889" s="997"/>
      <c r="BC889" s="997"/>
      <c r="BD889" s="997"/>
      <c r="BE889" s="997"/>
      <c r="BF889" s="997"/>
      <c r="BG889" s="997"/>
      <c r="BH889" s="997"/>
      <c r="BI889" s="997"/>
      <c r="BJ889" s="997"/>
      <c r="BK889" s="997"/>
      <c r="BL889" s="997"/>
      <c r="BM889" s="997"/>
      <c r="BN889" s="997"/>
      <c r="BO889" s="997"/>
      <c r="BP889" s="997"/>
      <c r="BQ889" s="997"/>
      <c r="BR889" s="997"/>
      <c r="BS889" s="997"/>
      <c r="BT889" s="997"/>
      <c r="BU889" s="997"/>
      <c r="BV889" s="997"/>
      <c r="BW889" s="997"/>
      <c r="BX889" s="997"/>
      <c r="BY889" s="997"/>
      <c r="BZ889" s="997"/>
      <c r="CA889" s="997"/>
      <c r="CB889" s="997"/>
      <c r="CC889" s="997"/>
      <c r="CD889" s="997"/>
      <c r="CE889" s="997"/>
      <c r="CF889" s="997"/>
      <c r="CG889" s="997"/>
      <c r="CH889" s="997"/>
      <c r="CI889" s="997"/>
      <c r="CJ889" s="997"/>
      <c r="CK889" s="997"/>
      <c r="CL889" s="997"/>
      <c r="CM889" s="997"/>
      <c r="CN889" s="997"/>
      <c r="CO889" s="997"/>
      <c r="CP889" s="997"/>
      <c r="CQ889" s="997"/>
      <c r="CR889" s="997"/>
      <c r="CS889" s="997"/>
      <c r="CT889" s="997"/>
      <c r="CU889" s="997"/>
      <c r="CV889" s="997"/>
      <c r="CW889" s="997"/>
      <c r="CX889" s="997"/>
      <c r="CY889" s="997"/>
      <c r="CZ889" s="997"/>
      <c r="DA889" s="997"/>
      <c r="DB889" s="997"/>
      <c r="DC889" s="997"/>
      <c r="DD889" s="997"/>
      <c r="DE889" s="997"/>
      <c r="DF889" s="997"/>
      <c r="DG889" s="997"/>
      <c r="DH889" s="997"/>
      <c r="DI889" s="997"/>
      <c r="DJ889" s="997"/>
      <c r="DK889" s="997"/>
      <c r="DL889" s="997"/>
      <c r="DM889" s="997"/>
      <c r="DN889" s="997"/>
      <c r="DO889" s="997"/>
      <c r="DP889" s="997"/>
      <c r="DQ889" s="997"/>
      <c r="DR889" s="997"/>
      <c r="DS889" s="997"/>
      <c r="DT889" s="997"/>
      <c r="DU889" s="997"/>
      <c r="DV889" s="997"/>
      <c r="DW889" s="997"/>
      <c r="DX889" s="997"/>
      <c r="DY889" s="997"/>
      <c r="DZ889" s="997"/>
      <c r="EA889" s="997"/>
      <c r="EB889" s="997"/>
      <c r="EC889" s="997"/>
      <c r="ED889" s="997"/>
      <c r="EE889" s="997"/>
      <c r="EF889" s="997"/>
      <c r="EG889" s="997"/>
      <c r="EH889" s="997"/>
      <c r="EI889" s="997"/>
      <c r="EJ889" s="997"/>
      <c r="EK889" s="997"/>
      <c r="EL889" s="997"/>
      <c r="EM889" s="997"/>
      <c r="EN889" s="997"/>
      <c r="EO889" s="997"/>
      <c r="EP889" s="997"/>
      <c r="EQ889" s="997"/>
      <c r="ER889" s="997"/>
      <c r="ES889" s="997"/>
      <c r="ET889" s="997"/>
      <c r="EU889" s="997"/>
      <c r="EV889" s="997"/>
      <c r="EW889" s="997"/>
      <c r="EX889" s="997"/>
      <c r="EY889" s="997"/>
      <c r="EZ889" s="997"/>
      <c r="FA889" s="997"/>
      <c r="FB889" s="997"/>
      <c r="FC889" s="997"/>
      <c r="FD889" s="997"/>
      <c r="FE889" s="997"/>
      <c r="FF889" s="997"/>
      <c r="FG889" s="997"/>
      <c r="FH889" s="997"/>
      <c r="FI889" s="997"/>
      <c r="FJ889" s="997"/>
      <c r="FK889" s="997"/>
      <c r="FL889" s="997"/>
      <c r="FM889" s="997"/>
      <c r="FN889" s="997"/>
      <c r="FO889" s="997"/>
      <c r="FP889" s="997"/>
      <c r="FQ889" s="997"/>
      <c r="FR889" s="997"/>
      <c r="FS889" s="997"/>
      <c r="FT889" s="997"/>
      <c r="FU889" s="997"/>
      <c r="FV889" s="997"/>
      <c r="FW889" s="997"/>
      <c r="FX889" s="997"/>
      <c r="FY889" s="997"/>
      <c r="FZ889" s="997"/>
      <c r="GA889" s="997"/>
      <c r="GB889" s="997"/>
      <c r="GC889" s="997"/>
      <c r="GD889" s="997"/>
      <c r="GE889" s="997"/>
      <c r="GF889" s="997"/>
      <c r="GG889" s="997"/>
      <c r="GH889" s="997"/>
      <c r="GI889" s="997"/>
      <c r="GJ889" s="997"/>
      <c r="GK889" s="997"/>
      <c r="GL889" s="997"/>
      <c r="GM889" s="997"/>
      <c r="GN889" s="997"/>
      <c r="GO889" s="997"/>
      <c r="GP889" s="997"/>
      <c r="GQ889" s="997"/>
      <c r="GR889" s="997"/>
      <c r="GS889" s="997"/>
      <c r="GT889" s="997"/>
      <c r="GU889" s="997"/>
      <c r="GV889" s="997"/>
      <c r="GW889" s="997"/>
      <c r="GX889" s="997"/>
      <c r="GY889" s="997"/>
      <c r="GZ889" s="997"/>
      <c r="HA889" s="997"/>
      <c r="HB889" s="997"/>
      <c r="HC889" s="997"/>
      <c r="HD889" s="997"/>
      <c r="HE889" s="997"/>
      <c r="HF889" s="997"/>
      <c r="HG889" s="997"/>
      <c r="HH889" s="997"/>
      <c r="HI889" s="997"/>
      <c r="HJ889" s="997"/>
      <c r="HK889" s="997"/>
      <c r="HL889" s="997"/>
      <c r="HM889" s="997"/>
      <c r="HN889" s="997"/>
      <c r="HO889" s="997"/>
      <c r="HP889" s="997"/>
      <c r="HQ889" s="997"/>
      <c r="HR889" s="997"/>
      <c r="HS889" s="997"/>
      <c r="HT889" s="997"/>
      <c r="HU889" s="997"/>
      <c r="HV889" s="997"/>
      <c r="HW889" s="997"/>
      <c r="HX889" s="997"/>
      <c r="HY889" s="997"/>
      <c r="HZ889" s="997"/>
      <c r="IA889" s="997"/>
      <c r="IB889" s="997"/>
      <c r="IC889" s="997"/>
      <c r="ID889" s="997"/>
      <c r="IE889" s="997"/>
      <c r="IF889" s="997"/>
      <c r="IG889" s="997"/>
      <c r="IH889" s="997"/>
      <c r="II889" s="997"/>
      <c r="IJ889" s="997"/>
      <c r="IK889" s="997"/>
      <c r="IL889" s="997"/>
      <c r="IM889" s="997"/>
      <c r="IN889" s="997"/>
    </row>
    <row r="890" spans="1:248" s="1090" customFormat="1" ht="14.1" customHeight="1">
      <c r="A890" s="1091"/>
      <c r="B890" s="1091"/>
      <c r="C890" s="1097"/>
      <c r="D890" s="1092"/>
      <c r="G890" s="997"/>
      <c r="H890" s="997"/>
      <c r="I890" s="997"/>
      <c r="J890" s="997"/>
      <c r="K890" s="997"/>
      <c r="L890" s="997"/>
      <c r="M890" s="997"/>
      <c r="N890" s="997"/>
      <c r="O890" s="997"/>
      <c r="P890" s="997"/>
      <c r="Q890" s="997"/>
      <c r="R890" s="997"/>
      <c r="S890" s="997"/>
      <c r="T890" s="997"/>
      <c r="U890" s="997"/>
      <c r="V890" s="997"/>
      <c r="W890" s="997"/>
      <c r="X890" s="997"/>
      <c r="Y890" s="997"/>
      <c r="Z890" s="997"/>
      <c r="AA890" s="997"/>
      <c r="AB890" s="997"/>
      <c r="AC890" s="997"/>
      <c r="AD890" s="997"/>
      <c r="AE890" s="997"/>
      <c r="AF890" s="997"/>
      <c r="AG890" s="997"/>
      <c r="AH890" s="997"/>
      <c r="AI890" s="997"/>
      <c r="AJ890" s="997"/>
      <c r="AK890" s="997"/>
      <c r="AL890" s="997"/>
      <c r="AM890" s="997"/>
      <c r="AN890" s="997"/>
      <c r="AO890" s="997"/>
      <c r="AP890" s="997"/>
      <c r="AQ890" s="997"/>
      <c r="AR890" s="997"/>
      <c r="AS890" s="997"/>
      <c r="AT890" s="997"/>
      <c r="AU890" s="997"/>
      <c r="AV890" s="997"/>
      <c r="AW890" s="997"/>
      <c r="AX890" s="997"/>
      <c r="AY890" s="997"/>
      <c r="AZ890" s="997"/>
      <c r="BA890" s="997"/>
      <c r="BB890" s="997"/>
      <c r="BC890" s="997"/>
      <c r="BD890" s="997"/>
      <c r="BE890" s="997"/>
      <c r="BF890" s="997"/>
      <c r="BG890" s="997"/>
      <c r="BH890" s="997"/>
      <c r="BI890" s="997"/>
      <c r="BJ890" s="997"/>
      <c r="BK890" s="997"/>
      <c r="BL890" s="997"/>
      <c r="BM890" s="997"/>
      <c r="BN890" s="997"/>
      <c r="BO890" s="997"/>
      <c r="BP890" s="997"/>
      <c r="BQ890" s="997"/>
      <c r="BR890" s="997"/>
      <c r="BS890" s="997"/>
      <c r="BT890" s="997"/>
      <c r="BU890" s="997"/>
      <c r="BV890" s="997"/>
      <c r="BW890" s="997"/>
      <c r="BX890" s="997"/>
      <c r="BY890" s="997"/>
      <c r="BZ890" s="997"/>
      <c r="CA890" s="997"/>
      <c r="CB890" s="997"/>
      <c r="CC890" s="997"/>
      <c r="CD890" s="997"/>
      <c r="CE890" s="997"/>
      <c r="CF890" s="997"/>
      <c r="CG890" s="997"/>
      <c r="CH890" s="997"/>
      <c r="CI890" s="997"/>
      <c r="CJ890" s="997"/>
      <c r="CK890" s="997"/>
      <c r="CL890" s="997"/>
      <c r="CM890" s="997"/>
      <c r="CN890" s="997"/>
      <c r="CO890" s="997"/>
      <c r="CP890" s="997"/>
      <c r="CQ890" s="997"/>
      <c r="CR890" s="997"/>
      <c r="CS890" s="997"/>
      <c r="CT890" s="997"/>
      <c r="CU890" s="997"/>
      <c r="CV890" s="997"/>
      <c r="CW890" s="997"/>
      <c r="CX890" s="997"/>
      <c r="CY890" s="997"/>
      <c r="CZ890" s="997"/>
      <c r="DA890" s="997"/>
      <c r="DB890" s="997"/>
      <c r="DC890" s="997"/>
      <c r="DD890" s="997"/>
      <c r="DE890" s="997"/>
      <c r="DF890" s="997"/>
      <c r="DG890" s="997"/>
      <c r="DH890" s="997"/>
      <c r="DI890" s="997"/>
      <c r="DJ890" s="997"/>
      <c r="DK890" s="997"/>
      <c r="DL890" s="997"/>
      <c r="DM890" s="997"/>
      <c r="DN890" s="997"/>
      <c r="DO890" s="997"/>
      <c r="DP890" s="997"/>
      <c r="DQ890" s="997"/>
      <c r="DR890" s="997"/>
      <c r="DS890" s="997"/>
      <c r="DT890" s="997"/>
      <c r="DU890" s="997"/>
      <c r="DV890" s="997"/>
      <c r="DW890" s="997"/>
      <c r="DX890" s="997"/>
      <c r="DY890" s="997"/>
      <c r="DZ890" s="997"/>
      <c r="EA890" s="997"/>
      <c r="EB890" s="997"/>
      <c r="EC890" s="997"/>
      <c r="ED890" s="997"/>
      <c r="EE890" s="997"/>
      <c r="EF890" s="997"/>
      <c r="EG890" s="997"/>
      <c r="EH890" s="997"/>
      <c r="EI890" s="997"/>
      <c r="EJ890" s="997"/>
      <c r="EK890" s="997"/>
      <c r="EL890" s="997"/>
      <c r="EM890" s="997"/>
      <c r="EN890" s="997"/>
      <c r="EO890" s="997"/>
      <c r="EP890" s="997"/>
      <c r="EQ890" s="997"/>
      <c r="ER890" s="997"/>
      <c r="ES890" s="997"/>
      <c r="ET890" s="997"/>
      <c r="EU890" s="997"/>
      <c r="EV890" s="997"/>
      <c r="EW890" s="997"/>
      <c r="EX890" s="997"/>
      <c r="EY890" s="997"/>
      <c r="EZ890" s="997"/>
      <c r="FA890" s="997"/>
      <c r="FB890" s="997"/>
      <c r="FC890" s="997"/>
      <c r="FD890" s="997"/>
      <c r="FE890" s="997"/>
      <c r="FF890" s="997"/>
      <c r="FG890" s="997"/>
      <c r="FH890" s="997"/>
      <c r="FI890" s="997"/>
      <c r="FJ890" s="997"/>
      <c r="FK890" s="997"/>
      <c r="FL890" s="997"/>
      <c r="FM890" s="997"/>
      <c r="FN890" s="997"/>
      <c r="FO890" s="997"/>
      <c r="FP890" s="997"/>
      <c r="FQ890" s="997"/>
      <c r="FR890" s="997"/>
      <c r="FS890" s="997"/>
      <c r="FT890" s="997"/>
      <c r="FU890" s="997"/>
      <c r="FV890" s="997"/>
      <c r="FW890" s="997"/>
      <c r="FX890" s="997"/>
      <c r="FY890" s="997"/>
      <c r="FZ890" s="997"/>
      <c r="GA890" s="997"/>
      <c r="GB890" s="997"/>
      <c r="GC890" s="997"/>
      <c r="GD890" s="997"/>
      <c r="GE890" s="997"/>
      <c r="GF890" s="997"/>
      <c r="GG890" s="997"/>
      <c r="GH890" s="997"/>
      <c r="GI890" s="997"/>
      <c r="GJ890" s="997"/>
      <c r="GK890" s="997"/>
      <c r="GL890" s="997"/>
      <c r="GM890" s="997"/>
      <c r="GN890" s="997"/>
      <c r="GO890" s="997"/>
      <c r="GP890" s="997"/>
      <c r="GQ890" s="997"/>
      <c r="GR890" s="997"/>
      <c r="GS890" s="997"/>
      <c r="GT890" s="997"/>
      <c r="GU890" s="997"/>
      <c r="GV890" s="997"/>
      <c r="GW890" s="997"/>
      <c r="GX890" s="997"/>
      <c r="GY890" s="997"/>
      <c r="GZ890" s="997"/>
      <c r="HA890" s="997"/>
      <c r="HB890" s="997"/>
      <c r="HC890" s="997"/>
      <c r="HD890" s="997"/>
      <c r="HE890" s="997"/>
      <c r="HF890" s="997"/>
      <c r="HG890" s="997"/>
      <c r="HH890" s="997"/>
      <c r="HI890" s="997"/>
      <c r="HJ890" s="997"/>
      <c r="HK890" s="997"/>
      <c r="HL890" s="997"/>
      <c r="HM890" s="997"/>
      <c r="HN890" s="997"/>
      <c r="HO890" s="997"/>
      <c r="HP890" s="997"/>
      <c r="HQ890" s="997"/>
      <c r="HR890" s="997"/>
      <c r="HS890" s="997"/>
      <c r="HT890" s="997"/>
      <c r="HU890" s="997"/>
      <c r="HV890" s="997"/>
      <c r="HW890" s="997"/>
      <c r="HX890" s="997"/>
      <c r="HY890" s="997"/>
      <c r="HZ890" s="997"/>
      <c r="IA890" s="997"/>
      <c r="IB890" s="997"/>
      <c r="IC890" s="997"/>
      <c r="ID890" s="997"/>
      <c r="IE890" s="997"/>
      <c r="IF890" s="997"/>
      <c r="IG890" s="997"/>
      <c r="IH890" s="997"/>
      <c r="II890" s="997"/>
      <c r="IJ890" s="997"/>
      <c r="IK890" s="997"/>
      <c r="IL890" s="997"/>
      <c r="IM890" s="997"/>
      <c r="IN890" s="997"/>
    </row>
    <row r="891" spans="1:248" s="1090" customFormat="1" ht="14.1" customHeight="1">
      <c r="A891" s="1091"/>
      <c r="B891" s="945" t="s">
        <v>3793</v>
      </c>
      <c r="C891" s="1102" t="s">
        <v>3977</v>
      </c>
      <c r="D891" s="1092"/>
      <c r="G891" s="997"/>
      <c r="H891" s="997"/>
      <c r="I891" s="997"/>
      <c r="J891" s="997"/>
      <c r="K891" s="997"/>
      <c r="L891" s="997"/>
      <c r="M891" s="997"/>
      <c r="N891" s="997"/>
      <c r="O891" s="997"/>
      <c r="P891" s="997"/>
      <c r="Q891" s="997"/>
      <c r="R891" s="997"/>
      <c r="S891" s="997"/>
      <c r="T891" s="997"/>
      <c r="U891" s="997"/>
      <c r="V891" s="997"/>
      <c r="W891" s="997"/>
      <c r="X891" s="997"/>
      <c r="Y891" s="997"/>
      <c r="Z891" s="997"/>
      <c r="AA891" s="997"/>
      <c r="AB891" s="997"/>
      <c r="AC891" s="997"/>
      <c r="AD891" s="997"/>
      <c r="AE891" s="997"/>
      <c r="AF891" s="997"/>
      <c r="AG891" s="997"/>
      <c r="AH891" s="997"/>
      <c r="AI891" s="997"/>
      <c r="AJ891" s="997"/>
      <c r="AK891" s="997"/>
      <c r="AL891" s="997"/>
      <c r="AM891" s="997"/>
      <c r="AN891" s="997"/>
      <c r="AO891" s="997"/>
      <c r="AP891" s="997"/>
      <c r="AQ891" s="997"/>
      <c r="AR891" s="997"/>
      <c r="AS891" s="997"/>
      <c r="AT891" s="997"/>
      <c r="AU891" s="997"/>
      <c r="AV891" s="997"/>
      <c r="AW891" s="997"/>
      <c r="AX891" s="997"/>
      <c r="AY891" s="997"/>
      <c r="AZ891" s="997"/>
      <c r="BA891" s="997"/>
      <c r="BB891" s="997"/>
      <c r="BC891" s="997"/>
      <c r="BD891" s="997"/>
      <c r="BE891" s="997"/>
      <c r="BF891" s="997"/>
      <c r="BG891" s="997"/>
      <c r="BH891" s="997"/>
      <c r="BI891" s="997"/>
      <c r="BJ891" s="997"/>
      <c r="BK891" s="997"/>
      <c r="BL891" s="997"/>
      <c r="BM891" s="997"/>
      <c r="BN891" s="997"/>
      <c r="BO891" s="997"/>
      <c r="BP891" s="997"/>
      <c r="BQ891" s="997"/>
      <c r="BR891" s="997"/>
      <c r="BS891" s="997"/>
      <c r="BT891" s="997"/>
      <c r="BU891" s="997"/>
      <c r="BV891" s="997"/>
      <c r="BW891" s="997"/>
      <c r="BX891" s="997"/>
      <c r="BY891" s="997"/>
      <c r="BZ891" s="997"/>
      <c r="CA891" s="997"/>
      <c r="CB891" s="997"/>
      <c r="CC891" s="997"/>
      <c r="CD891" s="997"/>
      <c r="CE891" s="997"/>
      <c r="CF891" s="997"/>
      <c r="CG891" s="997"/>
      <c r="CH891" s="997"/>
      <c r="CI891" s="997"/>
      <c r="CJ891" s="997"/>
      <c r="CK891" s="997"/>
      <c r="CL891" s="997"/>
      <c r="CM891" s="997"/>
      <c r="CN891" s="997"/>
      <c r="CO891" s="997"/>
      <c r="CP891" s="997"/>
      <c r="CQ891" s="997"/>
      <c r="CR891" s="997"/>
      <c r="CS891" s="997"/>
      <c r="CT891" s="997"/>
      <c r="CU891" s="997"/>
      <c r="CV891" s="997"/>
      <c r="CW891" s="997"/>
      <c r="CX891" s="997"/>
      <c r="CY891" s="997"/>
      <c r="CZ891" s="997"/>
      <c r="DA891" s="997"/>
      <c r="DB891" s="997"/>
      <c r="DC891" s="997"/>
      <c r="DD891" s="997"/>
      <c r="DE891" s="997"/>
      <c r="DF891" s="997"/>
      <c r="DG891" s="997"/>
      <c r="DH891" s="997"/>
      <c r="DI891" s="997"/>
      <c r="DJ891" s="997"/>
      <c r="DK891" s="997"/>
      <c r="DL891" s="997"/>
      <c r="DM891" s="997"/>
      <c r="DN891" s="997"/>
      <c r="DO891" s="997"/>
      <c r="DP891" s="997"/>
      <c r="DQ891" s="997"/>
      <c r="DR891" s="997"/>
      <c r="DS891" s="997"/>
      <c r="DT891" s="997"/>
      <c r="DU891" s="997"/>
      <c r="DV891" s="997"/>
      <c r="DW891" s="997"/>
      <c r="DX891" s="997"/>
      <c r="DY891" s="997"/>
      <c r="DZ891" s="997"/>
      <c r="EA891" s="997"/>
      <c r="EB891" s="997"/>
      <c r="EC891" s="997"/>
      <c r="ED891" s="997"/>
      <c r="EE891" s="997"/>
      <c r="EF891" s="997"/>
      <c r="EG891" s="997"/>
      <c r="EH891" s="997"/>
      <c r="EI891" s="997"/>
      <c r="EJ891" s="997"/>
      <c r="EK891" s="997"/>
      <c r="EL891" s="997"/>
      <c r="EM891" s="997"/>
      <c r="EN891" s="997"/>
      <c r="EO891" s="997"/>
      <c r="EP891" s="997"/>
      <c r="EQ891" s="997"/>
      <c r="ER891" s="997"/>
      <c r="ES891" s="997"/>
      <c r="ET891" s="997"/>
      <c r="EU891" s="997"/>
      <c r="EV891" s="997"/>
      <c r="EW891" s="997"/>
      <c r="EX891" s="997"/>
      <c r="EY891" s="997"/>
      <c r="EZ891" s="997"/>
      <c r="FA891" s="997"/>
      <c r="FB891" s="997"/>
      <c r="FC891" s="997"/>
      <c r="FD891" s="997"/>
      <c r="FE891" s="997"/>
      <c r="FF891" s="997"/>
      <c r="FG891" s="997"/>
      <c r="FH891" s="997"/>
      <c r="FI891" s="997"/>
      <c r="FJ891" s="997"/>
      <c r="FK891" s="997"/>
      <c r="FL891" s="997"/>
      <c r="FM891" s="997"/>
      <c r="FN891" s="997"/>
      <c r="FO891" s="997"/>
      <c r="FP891" s="997"/>
      <c r="FQ891" s="997"/>
      <c r="FR891" s="997"/>
      <c r="FS891" s="997"/>
      <c r="FT891" s="997"/>
      <c r="FU891" s="997"/>
      <c r="FV891" s="997"/>
      <c r="FW891" s="997"/>
      <c r="FX891" s="997"/>
      <c r="FY891" s="997"/>
      <c r="FZ891" s="997"/>
      <c r="GA891" s="997"/>
      <c r="GB891" s="997"/>
      <c r="GC891" s="997"/>
      <c r="GD891" s="997"/>
      <c r="GE891" s="997"/>
      <c r="GF891" s="997"/>
      <c r="GG891" s="997"/>
      <c r="GH891" s="997"/>
      <c r="GI891" s="997"/>
      <c r="GJ891" s="997"/>
      <c r="GK891" s="997"/>
      <c r="GL891" s="997"/>
      <c r="GM891" s="997"/>
      <c r="GN891" s="997"/>
      <c r="GO891" s="997"/>
      <c r="GP891" s="997"/>
      <c r="GQ891" s="997"/>
      <c r="GR891" s="997"/>
      <c r="GS891" s="997"/>
      <c r="GT891" s="997"/>
      <c r="GU891" s="997"/>
      <c r="GV891" s="997"/>
      <c r="GW891" s="997"/>
      <c r="GX891" s="997"/>
      <c r="GY891" s="997"/>
      <c r="GZ891" s="997"/>
      <c r="HA891" s="997"/>
      <c r="HB891" s="997"/>
      <c r="HC891" s="997"/>
      <c r="HD891" s="997"/>
      <c r="HE891" s="997"/>
      <c r="HF891" s="997"/>
      <c r="HG891" s="997"/>
      <c r="HH891" s="997"/>
      <c r="HI891" s="997"/>
      <c r="HJ891" s="997"/>
      <c r="HK891" s="997"/>
      <c r="HL891" s="997"/>
      <c r="HM891" s="997"/>
      <c r="HN891" s="997"/>
      <c r="HO891" s="997"/>
      <c r="HP891" s="997"/>
      <c r="HQ891" s="997"/>
      <c r="HR891" s="997"/>
      <c r="HS891" s="997"/>
      <c r="HT891" s="997"/>
      <c r="HU891" s="997"/>
      <c r="HV891" s="997"/>
      <c r="HW891" s="997"/>
      <c r="HX891" s="997"/>
      <c r="HY891" s="997"/>
      <c r="HZ891" s="997"/>
      <c r="IA891" s="997"/>
      <c r="IB891" s="997"/>
      <c r="IC891" s="997"/>
      <c r="ID891" s="997"/>
      <c r="IE891" s="997"/>
      <c r="IF891" s="997"/>
      <c r="IG891" s="997"/>
      <c r="IH891" s="997"/>
      <c r="II891" s="997"/>
      <c r="IJ891" s="997"/>
      <c r="IK891" s="997"/>
      <c r="IL891" s="997"/>
      <c r="IM891" s="997"/>
      <c r="IN891" s="997"/>
    </row>
    <row r="892" spans="1:248" s="1090" customFormat="1" ht="14.1" customHeight="1">
      <c r="A892" s="1091"/>
      <c r="B892" s="1091"/>
      <c r="C892" s="1102" t="s">
        <v>3978</v>
      </c>
      <c r="D892" s="1092"/>
      <c r="G892" s="997"/>
      <c r="H892" s="997"/>
      <c r="I892" s="997"/>
      <c r="J892" s="997"/>
      <c r="K892" s="997"/>
      <c r="L892" s="997"/>
      <c r="M892" s="997"/>
      <c r="N892" s="997"/>
      <c r="O892" s="997"/>
      <c r="P892" s="997"/>
      <c r="Q892" s="997"/>
      <c r="R892" s="997"/>
      <c r="S892" s="997"/>
      <c r="T892" s="997"/>
      <c r="U892" s="997"/>
      <c r="V892" s="997"/>
      <c r="W892" s="997"/>
      <c r="X892" s="997"/>
      <c r="Y892" s="997"/>
      <c r="Z892" s="997"/>
      <c r="AA892" s="997"/>
      <c r="AB892" s="997"/>
      <c r="AC892" s="997"/>
      <c r="AD892" s="997"/>
      <c r="AE892" s="997"/>
      <c r="AF892" s="997"/>
      <c r="AG892" s="997"/>
      <c r="AH892" s="997"/>
      <c r="AI892" s="997"/>
      <c r="AJ892" s="997"/>
      <c r="AK892" s="997"/>
      <c r="AL892" s="997"/>
      <c r="AM892" s="997"/>
      <c r="AN892" s="997"/>
      <c r="AO892" s="997"/>
      <c r="AP892" s="997"/>
      <c r="AQ892" s="997"/>
      <c r="AR892" s="997"/>
      <c r="AS892" s="997"/>
      <c r="AT892" s="997"/>
      <c r="AU892" s="997"/>
      <c r="AV892" s="997"/>
      <c r="AW892" s="997"/>
      <c r="AX892" s="997"/>
      <c r="AY892" s="997"/>
      <c r="AZ892" s="997"/>
      <c r="BA892" s="997"/>
      <c r="BB892" s="997"/>
      <c r="BC892" s="997"/>
      <c r="BD892" s="997"/>
      <c r="BE892" s="997"/>
      <c r="BF892" s="997"/>
      <c r="BG892" s="997"/>
      <c r="BH892" s="997"/>
      <c r="BI892" s="997"/>
      <c r="BJ892" s="997"/>
      <c r="BK892" s="997"/>
      <c r="BL892" s="997"/>
      <c r="BM892" s="997"/>
      <c r="BN892" s="997"/>
      <c r="BO892" s="997"/>
      <c r="BP892" s="997"/>
      <c r="BQ892" s="997"/>
      <c r="BR892" s="997"/>
      <c r="BS892" s="997"/>
      <c r="BT892" s="997"/>
      <c r="BU892" s="997"/>
      <c r="BV892" s="997"/>
      <c r="BW892" s="997"/>
      <c r="BX892" s="997"/>
      <c r="BY892" s="997"/>
      <c r="BZ892" s="997"/>
      <c r="CA892" s="997"/>
      <c r="CB892" s="997"/>
      <c r="CC892" s="997"/>
      <c r="CD892" s="997"/>
      <c r="CE892" s="997"/>
      <c r="CF892" s="997"/>
      <c r="CG892" s="997"/>
      <c r="CH892" s="997"/>
      <c r="CI892" s="997"/>
      <c r="CJ892" s="997"/>
      <c r="CK892" s="997"/>
      <c r="CL892" s="997"/>
      <c r="CM892" s="997"/>
      <c r="CN892" s="997"/>
      <c r="CO892" s="997"/>
      <c r="CP892" s="997"/>
      <c r="CQ892" s="997"/>
      <c r="CR892" s="997"/>
      <c r="CS892" s="997"/>
      <c r="CT892" s="997"/>
      <c r="CU892" s="997"/>
      <c r="CV892" s="997"/>
      <c r="CW892" s="997"/>
      <c r="CX892" s="997"/>
      <c r="CY892" s="997"/>
      <c r="CZ892" s="997"/>
      <c r="DA892" s="997"/>
      <c r="DB892" s="997"/>
      <c r="DC892" s="997"/>
      <c r="DD892" s="997"/>
      <c r="DE892" s="997"/>
      <c r="DF892" s="997"/>
      <c r="DG892" s="997"/>
      <c r="DH892" s="997"/>
      <c r="DI892" s="997"/>
      <c r="DJ892" s="997"/>
      <c r="DK892" s="997"/>
      <c r="DL892" s="997"/>
      <c r="DM892" s="997"/>
      <c r="DN892" s="997"/>
      <c r="DO892" s="997"/>
      <c r="DP892" s="997"/>
      <c r="DQ892" s="997"/>
      <c r="DR892" s="997"/>
      <c r="DS892" s="997"/>
      <c r="DT892" s="997"/>
      <c r="DU892" s="997"/>
      <c r="DV892" s="997"/>
      <c r="DW892" s="997"/>
      <c r="DX892" s="997"/>
      <c r="DY892" s="997"/>
      <c r="DZ892" s="997"/>
      <c r="EA892" s="997"/>
      <c r="EB892" s="997"/>
      <c r="EC892" s="997"/>
      <c r="ED892" s="997"/>
      <c r="EE892" s="997"/>
      <c r="EF892" s="997"/>
      <c r="EG892" s="997"/>
      <c r="EH892" s="997"/>
      <c r="EI892" s="997"/>
      <c r="EJ892" s="997"/>
      <c r="EK892" s="997"/>
      <c r="EL892" s="997"/>
      <c r="EM892" s="997"/>
      <c r="EN892" s="997"/>
      <c r="EO892" s="997"/>
      <c r="EP892" s="997"/>
      <c r="EQ892" s="997"/>
      <c r="ER892" s="997"/>
      <c r="ES892" s="997"/>
      <c r="ET892" s="997"/>
      <c r="EU892" s="997"/>
      <c r="EV892" s="997"/>
      <c r="EW892" s="997"/>
      <c r="EX892" s="997"/>
      <c r="EY892" s="997"/>
      <c r="EZ892" s="997"/>
      <c r="FA892" s="997"/>
      <c r="FB892" s="997"/>
      <c r="FC892" s="997"/>
      <c r="FD892" s="997"/>
      <c r="FE892" s="997"/>
      <c r="FF892" s="997"/>
      <c r="FG892" s="997"/>
      <c r="FH892" s="997"/>
      <c r="FI892" s="997"/>
      <c r="FJ892" s="997"/>
      <c r="FK892" s="997"/>
      <c r="FL892" s="997"/>
      <c r="FM892" s="997"/>
      <c r="FN892" s="997"/>
      <c r="FO892" s="997"/>
      <c r="FP892" s="997"/>
      <c r="FQ892" s="997"/>
      <c r="FR892" s="997"/>
      <c r="FS892" s="997"/>
      <c r="FT892" s="997"/>
      <c r="FU892" s="997"/>
      <c r="FV892" s="997"/>
      <c r="FW892" s="997"/>
      <c r="FX892" s="997"/>
      <c r="FY892" s="997"/>
      <c r="FZ892" s="997"/>
      <c r="GA892" s="997"/>
      <c r="GB892" s="997"/>
      <c r="GC892" s="997"/>
      <c r="GD892" s="997"/>
      <c r="GE892" s="997"/>
      <c r="GF892" s="997"/>
      <c r="GG892" s="997"/>
      <c r="GH892" s="997"/>
      <c r="GI892" s="997"/>
      <c r="GJ892" s="997"/>
      <c r="GK892" s="997"/>
      <c r="GL892" s="997"/>
      <c r="GM892" s="997"/>
      <c r="GN892" s="997"/>
      <c r="GO892" s="997"/>
      <c r="GP892" s="997"/>
      <c r="GQ892" s="997"/>
      <c r="GR892" s="997"/>
      <c r="GS892" s="997"/>
      <c r="GT892" s="997"/>
      <c r="GU892" s="997"/>
      <c r="GV892" s="997"/>
      <c r="GW892" s="997"/>
      <c r="GX892" s="997"/>
      <c r="GY892" s="997"/>
      <c r="GZ892" s="997"/>
      <c r="HA892" s="997"/>
      <c r="HB892" s="997"/>
      <c r="HC892" s="997"/>
      <c r="HD892" s="997"/>
      <c r="HE892" s="997"/>
      <c r="HF892" s="997"/>
      <c r="HG892" s="997"/>
      <c r="HH892" s="997"/>
      <c r="HI892" s="997"/>
      <c r="HJ892" s="997"/>
      <c r="HK892" s="997"/>
      <c r="HL892" s="997"/>
      <c r="HM892" s="997"/>
      <c r="HN892" s="997"/>
      <c r="HO892" s="997"/>
      <c r="HP892" s="997"/>
      <c r="HQ892" s="997"/>
      <c r="HR892" s="997"/>
      <c r="HS892" s="997"/>
      <c r="HT892" s="997"/>
      <c r="HU892" s="997"/>
      <c r="HV892" s="997"/>
      <c r="HW892" s="997"/>
      <c r="HX892" s="997"/>
      <c r="HY892" s="997"/>
      <c r="HZ892" s="997"/>
      <c r="IA892" s="997"/>
      <c r="IB892" s="997"/>
      <c r="IC892" s="997"/>
      <c r="ID892" s="997"/>
      <c r="IE892" s="997"/>
      <c r="IF892" s="997"/>
      <c r="IG892" s="997"/>
      <c r="IH892" s="997"/>
      <c r="II892" s="997"/>
      <c r="IJ892" s="997"/>
      <c r="IK892" s="997"/>
      <c r="IL892" s="997"/>
      <c r="IM892" s="997"/>
      <c r="IN892" s="997"/>
    </row>
    <row r="893" spans="1:248" s="1090" customFormat="1" ht="14.1" customHeight="1">
      <c r="A893" s="1091"/>
      <c r="B893" s="1091"/>
      <c r="C893" s="1097"/>
      <c r="D893" s="1092"/>
      <c r="G893" s="997"/>
      <c r="H893" s="997"/>
      <c r="I893" s="997"/>
      <c r="J893" s="997"/>
      <c r="K893" s="997"/>
      <c r="L893" s="997"/>
      <c r="M893" s="997"/>
      <c r="N893" s="997"/>
      <c r="O893" s="997"/>
      <c r="P893" s="997"/>
      <c r="Q893" s="997"/>
      <c r="R893" s="997"/>
      <c r="S893" s="997"/>
      <c r="T893" s="997"/>
      <c r="U893" s="997"/>
      <c r="V893" s="997"/>
      <c r="W893" s="997"/>
      <c r="X893" s="997"/>
      <c r="Y893" s="997"/>
      <c r="Z893" s="997"/>
      <c r="AA893" s="997"/>
      <c r="AB893" s="997"/>
      <c r="AC893" s="997"/>
      <c r="AD893" s="997"/>
      <c r="AE893" s="997"/>
      <c r="AF893" s="997"/>
      <c r="AG893" s="997"/>
      <c r="AH893" s="997"/>
      <c r="AI893" s="997"/>
      <c r="AJ893" s="997"/>
      <c r="AK893" s="997"/>
      <c r="AL893" s="997"/>
      <c r="AM893" s="997"/>
      <c r="AN893" s="997"/>
      <c r="AO893" s="997"/>
      <c r="AP893" s="997"/>
      <c r="AQ893" s="997"/>
      <c r="AR893" s="997"/>
      <c r="AS893" s="997"/>
      <c r="AT893" s="997"/>
      <c r="AU893" s="997"/>
      <c r="AV893" s="997"/>
      <c r="AW893" s="997"/>
      <c r="AX893" s="997"/>
      <c r="AY893" s="997"/>
      <c r="AZ893" s="997"/>
      <c r="BA893" s="997"/>
      <c r="BB893" s="997"/>
      <c r="BC893" s="997"/>
      <c r="BD893" s="997"/>
      <c r="BE893" s="997"/>
      <c r="BF893" s="997"/>
      <c r="BG893" s="997"/>
      <c r="BH893" s="997"/>
      <c r="BI893" s="997"/>
      <c r="BJ893" s="997"/>
      <c r="BK893" s="997"/>
      <c r="BL893" s="997"/>
      <c r="BM893" s="997"/>
      <c r="BN893" s="997"/>
      <c r="BO893" s="997"/>
      <c r="BP893" s="997"/>
      <c r="BQ893" s="997"/>
      <c r="BR893" s="997"/>
      <c r="BS893" s="997"/>
      <c r="BT893" s="997"/>
      <c r="BU893" s="997"/>
      <c r="BV893" s="997"/>
      <c r="BW893" s="997"/>
      <c r="BX893" s="997"/>
      <c r="BY893" s="997"/>
      <c r="BZ893" s="997"/>
      <c r="CA893" s="997"/>
      <c r="CB893" s="997"/>
      <c r="CC893" s="997"/>
      <c r="CD893" s="997"/>
      <c r="CE893" s="997"/>
      <c r="CF893" s="997"/>
      <c r="CG893" s="997"/>
      <c r="CH893" s="997"/>
      <c r="CI893" s="997"/>
      <c r="CJ893" s="997"/>
      <c r="CK893" s="997"/>
      <c r="CL893" s="997"/>
      <c r="CM893" s="997"/>
      <c r="CN893" s="997"/>
      <c r="CO893" s="997"/>
      <c r="CP893" s="997"/>
      <c r="CQ893" s="997"/>
      <c r="CR893" s="997"/>
      <c r="CS893" s="997"/>
      <c r="CT893" s="997"/>
      <c r="CU893" s="997"/>
      <c r="CV893" s="997"/>
      <c r="CW893" s="997"/>
      <c r="CX893" s="997"/>
      <c r="CY893" s="997"/>
      <c r="CZ893" s="997"/>
      <c r="DA893" s="997"/>
      <c r="DB893" s="997"/>
      <c r="DC893" s="997"/>
      <c r="DD893" s="997"/>
      <c r="DE893" s="997"/>
      <c r="DF893" s="997"/>
      <c r="DG893" s="997"/>
      <c r="DH893" s="997"/>
      <c r="DI893" s="997"/>
      <c r="DJ893" s="997"/>
      <c r="DK893" s="997"/>
      <c r="DL893" s="997"/>
      <c r="DM893" s="997"/>
      <c r="DN893" s="997"/>
      <c r="DO893" s="997"/>
      <c r="DP893" s="997"/>
      <c r="DQ893" s="997"/>
      <c r="DR893" s="997"/>
      <c r="DS893" s="997"/>
      <c r="DT893" s="997"/>
      <c r="DU893" s="997"/>
      <c r="DV893" s="997"/>
      <c r="DW893" s="997"/>
      <c r="DX893" s="997"/>
      <c r="DY893" s="997"/>
      <c r="DZ893" s="997"/>
      <c r="EA893" s="997"/>
      <c r="EB893" s="997"/>
      <c r="EC893" s="997"/>
      <c r="ED893" s="997"/>
      <c r="EE893" s="997"/>
      <c r="EF893" s="997"/>
      <c r="EG893" s="997"/>
      <c r="EH893" s="997"/>
      <c r="EI893" s="997"/>
      <c r="EJ893" s="997"/>
      <c r="EK893" s="997"/>
      <c r="EL893" s="997"/>
      <c r="EM893" s="997"/>
      <c r="EN893" s="997"/>
      <c r="EO893" s="997"/>
      <c r="EP893" s="997"/>
      <c r="EQ893" s="997"/>
      <c r="ER893" s="997"/>
      <c r="ES893" s="997"/>
      <c r="ET893" s="997"/>
      <c r="EU893" s="997"/>
      <c r="EV893" s="997"/>
      <c r="EW893" s="997"/>
      <c r="EX893" s="997"/>
      <c r="EY893" s="997"/>
      <c r="EZ893" s="997"/>
      <c r="FA893" s="997"/>
      <c r="FB893" s="997"/>
      <c r="FC893" s="997"/>
      <c r="FD893" s="997"/>
      <c r="FE893" s="997"/>
      <c r="FF893" s="997"/>
      <c r="FG893" s="997"/>
      <c r="FH893" s="997"/>
      <c r="FI893" s="997"/>
      <c r="FJ893" s="997"/>
      <c r="FK893" s="997"/>
      <c r="FL893" s="997"/>
      <c r="FM893" s="997"/>
      <c r="FN893" s="997"/>
      <c r="FO893" s="997"/>
      <c r="FP893" s="997"/>
      <c r="FQ893" s="997"/>
      <c r="FR893" s="997"/>
      <c r="FS893" s="997"/>
      <c r="FT893" s="997"/>
      <c r="FU893" s="997"/>
      <c r="FV893" s="997"/>
      <c r="FW893" s="997"/>
      <c r="FX893" s="997"/>
      <c r="FY893" s="997"/>
      <c r="FZ893" s="997"/>
      <c r="GA893" s="997"/>
      <c r="GB893" s="997"/>
      <c r="GC893" s="997"/>
      <c r="GD893" s="997"/>
      <c r="GE893" s="997"/>
      <c r="GF893" s="997"/>
      <c r="GG893" s="997"/>
      <c r="GH893" s="997"/>
      <c r="GI893" s="997"/>
      <c r="GJ893" s="997"/>
      <c r="GK893" s="997"/>
      <c r="GL893" s="997"/>
      <c r="GM893" s="997"/>
      <c r="GN893" s="997"/>
      <c r="GO893" s="997"/>
      <c r="GP893" s="997"/>
      <c r="GQ893" s="997"/>
      <c r="GR893" s="997"/>
      <c r="GS893" s="997"/>
      <c r="GT893" s="997"/>
      <c r="GU893" s="997"/>
      <c r="GV893" s="997"/>
      <c r="GW893" s="997"/>
      <c r="GX893" s="997"/>
      <c r="GY893" s="997"/>
      <c r="GZ893" s="997"/>
      <c r="HA893" s="997"/>
      <c r="HB893" s="997"/>
      <c r="HC893" s="997"/>
      <c r="HD893" s="997"/>
      <c r="HE893" s="997"/>
      <c r="HF893" s="997"/>
      <c r="HG893" s="997"/>
      <c r="HH893" s="997"/>
      <c r="HI893" s="997"/>
      <c r="HJ893" s="997"/>
      <c r="HK893" s="997"/>
      <c r="HL893" s="997"/>
      <c r="HM893" s="997"/>
      <c r="HN893" s="997"/>
      <c r="HO893" s="997"/>
      <c r="HP893" s="997"/>
      <c r="HQ893" s="997"/>
      <c r="HR893" s="997"/>
      <c r="HS893" s="997"/>
      <c r="HT893" s="997"/>
      <c r="HU893" s="997"/>
      <c r="HV893" s="997"/>
      <c r="HW893" s="997"/>
      <c r="HX893" s="997"/>
      <c r="HY893" s="997"/>
      <c r="HZ893" s="997"/>
      <c r="IA893" s="997"/>
      <c r="IB893" s="997"/>
      <c r="IC893" s="997"/>
      <c r="ID893" s="997"/>
      <c r="IE893" s="997"/>
      <c r="IF893" s="997"/>
      <c r="IG893" s="997"/>
      <c r="IH893" s="997"/>
      <c r="II893" s="997"/>
      <c r="IJ893" s="997"/>
      <c r="IK893" s="997"/>
      <c r="IL893" s="997"/>
      <c r="IM893" s="997"/>
      <c r="IN893" s="997"/>
    </row>
    <row r="894" spans="1:248" s="1090" customFormat="1" ht="14.1" customHeight="1">
      <c r="A894" s="1091"/>
      <c r="B894" s="945" t="s">
        <v>3794</v>
      </c>
      <c r="C894" s="1102" t="s">
        <v>3979</v>
      </c>
      <c r="D894" s="1092"/>
      <c r="G894" s="997"/>
      <c r="H894" s="997"/>
      <c r="I894" s="997"/>
      <c r="J894" s="997"/>
      <c r="K894" s="997"/>
      <c r="L894" s="997"/>
      <c r="M894" s="997"/>
      <c r="N894" s="997"/>
      <c r="O894" s="997"/>
      <c r="P894" s="997"/>
      <c r="Q894" s="997"/>
      <c r="R894" s="997"/>
      <c r="S894" s="997"/>
      <c r="T894" s="997"/>
      <c r="U894" s="997"/>
      <c r="V894" s="997"/>
      <c r="W894" s="997"/>
      <c r="X894" s="997"/>
      <c r="Y894" s="997"/>
      <c r="Z894" s="997"/>
      <c r="AA894" s="997"/>
      <c r="AB894" s="997"/>
      <c r="AC894" s="997"/>
      <c r="AD894" s="997"/>
      <c r="AE894" s="997"/>
      <c r="AF894" s="997"/>
      <c r="AG894" s="997"/>
      <c r="AH894" s="997"/>
      <c r="AI894" s="997"/>
      <c r="AJ894" s="997"/>
      <c r="AK894" s="997"/>
      <c r="AL894" s="997"/>
      <c r="AM894" s="997"/>
      <c r="AN894" s="997"/>
      <c r="AO894" s="997"/>
      <c r="AP894" s="997"/>
      <c r="AQ894" s="997"/>
      <c r="AR894" s="997"/>
      <c r="AS894" s="997"/>
      <c r="AT894" s="997"/>
      <c r="AU894" s="997"/>
      <c r="AV894" s="997"/>
      <c r="AW894" s="997"/>
      <c r="AX894" s="997"/>
      <c r="AY894" s="997"/>
      <c r="AZ894" s="997"/>
      <c r="BA894" s="997"/>
      <c r="BB894" s="997"/>
      <c r="BC894" s="997"/>
      <c r="BD894" s="997"/>
      <c r="BE894" s="997"/>
      <c r="BF894" s="997"/>
      <c r="BG894" s="997"/>
      <c r="BH894" s="997"/>
      <c r="BI894" s="997"/>
      <c r="BJ894" s="997"/>
      <c r="BK894" s="997"/>
      <c r="BL894" s="997"/>
      <c r="BM894" s="997"/>
      <c r="BN894" s="997"/>
      <c r="BO894" s="997"/>
      <c r="BP894" s="997"/>
      <c r="BQ894" s="997"/>
      <c r="BR894" s="997"/>
      <c r="BS894" s="997"/>
      <c r="BT894" s="997"/>
      <c r="BU894" s="997"/>
      <c r="BV894" s="997"/>
      <c r="BW894" s="997"/>
      <c r="BX894" s="997"/>
      <c r="BY894" s="997"/>
      <c r="BZ894" s="997"/>
      <c r="CA894" s="997"/>
      <c r="CB894" s="997"/>
      <c r="CC894" s="997"/>
      <c r="CD894" s="997"/>
      <c r="CE894" s="997"/>
      <c r="CF894" s="997"/>
      <c r="CG894" s="997"/>
      <c r="CH894" s="997"/>
      <c r="CI894" s="997"/>
      <c r="CJ894" s="997"/>
      <c r="CK894" s="997"/>
      <c r="CL894" s="997"/>
      <c r="CM894" s="997"/>
      <c r="CN894" s="997"/>
      <c r="CO894" s="997"/>
      <c r="CP894" s="997"/>
      <c r="CQ894" s="997"/>
      <c r="CR894" s="997"/>
      <c r="CS894" s="997"/>
      <c r="CT894" s="997"/>
      <c r="CU894" s="997"/>
      <c r="CV894" s="997"/>
      <c r="CW894" s="997"/>
      <c r="CX894" s="997"/>
      <c r="CY894" s="997"/>
      <c r="CZ894" s="997"/>
      <c r="DA894" s="997"/>
      <c r="DB894" s="997"/>
      <c r="DC894" s="997"/>
      <c r="DD894" s="997"/>
      <c r="DE894" s="997"/>
      <c r="DF894" s="997"/>
      <c r="DG894" s="997"/>
      <c r="DH894" s="997"/>
      <c r="DI894" s="997"/>
      <c r="DJ894" s="997"/>
      <c r="DK894" s="997"/>
      <c r="DL894" s="997"/>
      <c r="DM894" s="997"/>
      <c r="DN894" s="997"/>
      <c r="DO894" s="997"/>
      <c r="DP894" s="997"/>
      <c r="DQ894" s="997"/>
      <c r="DR894" s="997"/>
      <c r="DS894" s="997"/>
      <c r="DT894" s="997"/>
      <c r="DU894" s="997"/>
      <c r="DV894" s="997"/>
      <c r="DW894" s="997"/>
      <c r="DX894" s="997"/>
      <c r="DY894" s="997"/>
      <c r="DZ894" s="997"/>
      <c r="EA894" s="997"/>
      <c r="EB894" s="997"/>
      <c r="EC894" s="997"/>
      <c r="ED894" s="997"/>
      <c r="EE894" s="997"/>
      <c r="EF894" s="997"/>
      <c r="EG894" s="997"/>
      <c r="EH894" s="997"/>
      <c r="EI894" s="997"/>
      <c r="EJ894" s="997"/>
      <c r="EK894" s="997"/>
      <c r="EL894" s="997"/>
      <c r="EM894" s="997"/>
      <c r="EN894" s="997"/>
      <c r="EO894" s="997"/>
      <c r="EP894" s="997"/>
      <c r="EQ894" s="997"/>
      <c r="ER894" s="997"/>
      <c r="ES894" s="997"/>
      <c r="ET894" s="997"/>
      <c r="EU894" s="997"/>
      <c r="EV894" s="997"/>
      <c r="EW894" s="997"/>
      <c r="EX894" s="997"/>
      <c r="EY894" s="997"/>
      <c r="EZ894" s="997"/>
      <c r="FA894" s="997"/>
      <c r="FB894" s="997"/>
      <c r="FC894" s="997"/>
      <c r="FD894" s="997"/>
      <c r="FE894" s="997"/>
      <c r="FF894" s="997"/>
      <c r="FG894" s="997"/>
      <c r="FH894" s="997"/>
      <c r="FI894" s="997"/>
      <c r="FJ894" s="997"/>
      <c r="FK894" s="997"/>
      <c r="FL894" s="997"/>
      <c r="FM894" s="997"/>
      <c r="FN894" s="997"/>
      <c r="FO894" s="997"/>
      <c r="FP894" s="997"/>
      <c r="FQ894" s="997"/>
      <c r="FR894" s="997"/>
      <c r="FS894" s="997"/>
      <c r="FT894" s="997"/>
      <c r="FU894" s="997"/>
      <c r="FV894" s="997"/>
      <c r="FW894" s="997"/>
      <c r="FX894" s="997"/>
      <c r="FY894" s="997"/>
      <c r="FZ894" s="997"/>
      <c r="GA894" s="997"/>
      <c r="GB894" s="997"/>
      <c r="GC894" s="997"/>
      <c r="GD894" s="997"/>
      <c r="GE894" s="997"/>
      <c r="GF894" s="997"/>
      <c r="GG894" s="997"/>
      <c r="GH894" s="997"/>
      <c r="GI894" s="997"/>
      <c r="GJ894" s="997"/>
      <c r="GK894" s="997"/>
      <c r="GL894" s="997"/>
      <c r="GM894" s="997"/>
      <c r="GN894" s="997"/>
      <c r="GO894" s="997"/>
      <c r="GP894" s="997"/>
      <c r="GQ894" s="997"/>
      <c r="GR894" s="997"/>
      <c r="GS894" s="997"/>
      <c r="GT894" s="997"/>
      <c r="GU894" s="997"/>
      <c r="GV894" s="997"/>
      <c r="GW894" s="997"/>
      <c r="GX894" s="997"/>
      <c r="GY894" s="997"/>
      <c r="GZ894" s="997"/>
      <c r="HA894" s="997"/>
      <c r="HB894" s="997"/>
      <c r="HC894" s="997"/>
      <c r="HD894" s="997"/>
      <c r="HE894" s="997"/>
      <c r="HF894" s="997"/>
      <c r="HG894" s="997"/>
      <c r="HH894" s="997"/>
      <c r="HI894" s="997"/>
      <c r="HJ894" s="997"/>
      <c r="HK894" s="997"/>
      <c r="HL894" s="997"/>
      <c r="HM894" s="997"/>
      <c r="HN894" s="997"/>
      <c r="HO894" s="997"/>
      <c r="HP894" s="997"/>
      <c r="HQ894" s="997"/>
      <c r="HR894" s="997"/>
      <c r="HS894" s="997"/>
      <c r="HT894" s="997"/>
      <c r="HU894" s="997"/>
      <c r="HV894" s="997"/>
      <c r="HW894" s="997"/>
      <c r="HX894" s="997"/>
      <c r="HY894" s="997"/>
      <c r="HZ894" s="997"/>
      <c r="IA894" s="997"/>
      <c r="IB894" s="997"/>
      <c r="IC894" s="997"/>
      <c r="ID894" s="997"/>
      <c r="IE894" s="997"/>
      <c r="IF894" s="997"/>
      <c r="IG894" s="997"/>
      <c r="IH894" s="997"/>
      <c r="II894" s="997"/>
      <c r="IJ894" s="997"/>
      <c r="IK894" s="997"/>
      <c r="IL894" s="997"/>
      <c r="IM894" s="997"/>
      <c r="IN894" s="997"/>
    </row>
    <row r="895" spans="1:248" s="1090" customFormat="1" ht="14.1" customHeight="1">
      <c r="A895" s="1091"/>
      <c r="B895" s="1091"/>
      <c r="C895" s="1102" t="s">
        <v>3980</v>
      </c>
      <c r="D895" s="1092"/>
      <c r="G895" s="997"/>
      <c r="H895" s="997"/>
      <c r="I895" s="997"/>
      <c r="J895" s="997"/>
      <c r="K895" s="997"/>
      <c r="L895" s="997"/>
      <c r="M895" s="997"/>
      <c r="N895" s="997"/>
      <c r="O895" s="997"/>
      <c r="P895" s="997"/>
      <c r="Q895" s="997"/>
      <c r="R895" s="997"/>
      <c r="S895" s="997"/>
      <c r="T895" s="997"/>
      <c r="U895" s="997"/>
      <c r="V895" s="997"/>
      <c r="W895" s="997"/>
      <c r="X895" s="997"/>
      <c r="Y895" s="997"/>
      <c r="Z895" s="997"/>
      <c r="AA895" s="997"/>
      <c r="AB895" s="997"/>
      <c r="AC895" s="997"/>
      <c r="AD895" s="997"/>
      <c r="AE895" s="997"/>
      <c r="AF895" s="997"/>
      <c r="AG895" s="997"/>
      <c r="AH895" s="997"/>
      <c r="AI895" s="997"/>
      <c r="AJ895" s="997"/>
      <c r="AK895" s="997"/>
      <c r="AL895" s="997"/>
      <c r="AM895" s="997"/>
      <c r="AN895" s="997"/>
      <c r="AO895" s="997"/>
      <c r="AP895" s="997"/>
      <c r="AQ895" s="997"/>
      <c r="AR895" s="997"/>
      <c r="AS895" s="997"/>
      <c r="AT895" s="997"/>
      <c r="AU895" s="997"/>
      <c r="AV895" s="997"/>
      <c r="AW895" s="997"/>
      <c r="AX895" s="997"/>
      <c r="AY895" s="997"/>
      <c r="AZ895" s="997"/>
      <c r="BA895" s="997"/>
      <c r="BB895" s="997"/>
      <c r="BC895" s="997"/>
      <c r="BD895" s="997"/>
      <c r="BE895" s="997"/>
      <c r="BF895" s="997"/>
      <c r="BG895" s="997"/>
      <c r="BH895" s="997"/>
      <c r="BI895" s="997"/>
      <c r="BJ895" s="997"/>
      <c r="BK895" s="997"/>
      <c r="BL895" s="997"/>
      <c r="BM895" s="997"/>
      <c r="BN895" s="997"/>
      <c r="BO895" s="997"/>
      <c r="BP895" s="997"/>
      <c r="BQ895" s="997"/>
      <c r="BR895" s="997"/>
      <c r="BS895" s="997"/>
      <c r="BT895" s="997"/>
      <c r="BU895" s="997"/>
      <c r="BV895" s="997"/>
      <c r="BW895" s="997"/>
      <c r="BX895" s="997"/>
      <c r="BY895" s="997"/>
      <c r="BZ895" s="997"/>
      <c r="CA895" s="997"/>
      <c r="CB895" s="997"/>
      <c r="CC895" s="997"/>
      <c r="CD895" s="997"/>
      <c r="CE895" s="997"/>
      <c r="CF895" s="997"/>
      <c r="CG895" s="997"/>
      <c r="CH895" s="997"/>
      <c r="CI895" s="997"/>
      <c r="CJ895" s="997"/>
      <c r="CK895" s="997"/>
      <c r="CL895" s="997"/>
      <c r="CM895" s="997"/>
      <c r="CN895" s="997"/>
      <c r="CO895" s="997"/>
      <c r="CP895" s="997"/>
      <c r="CQ895" s="997"/>
      <c r="CR895" s="997"/>
      <c r="CS895" s="997"/>
      <c r="CT895" s="997"/>
      <c r="CU895" s="997"/>
      <c r="CV895" s="997"/>
      <c r="CW895" s="997"/>
      <c r="CX895" s="997"/>
      <c r="CY895" s="997"/>
      <c r="CZ895" s="997"/>
      <c r="DA895" s="997"/>
      <c r="DB895" s="997"/>
      <c r="DC895" s="997"/>
      <c r="DD895" s="997"/>
      <c r="DE895" s="997"/>
      <c r="DF895" s="997"/>
      <c r="DG895" s="997"/>
      <c r="DH895" s="997"/>
      <c r="DI895" s="997"/>
      <c r="DJ895" s="997"/>
      <c r="DK895" s="997"/>
      <c r="DL895" s="997"/>
      <c r="DM895" s="997"/>
      <c r="DN895" s="997"/>
      <c r="DO895" s="997"/>
      <c r="DP895" s="997"/>
      <c r="DQ895" s="997"/>
      <c r="DR895" s="997"/>
      <c r="DS895" s="997"/>
      <c r="DT895" s="997"/>
      <c r="DU895" s="997"/>
      <c r="DV895" s="997"/>
      <c r="DW895" s="997"/>
      <c r="DX895" s="997"/>
      <c r="DY895" s="997"/>
      <c r="DZ895" s="997"/>
      <c r="EA895" s="997"/>
      <c r="EB895" s="997"/>
      <c r="EC895" s="997"/>
      <c r="ED895" s="997"/>
      <c r="EE895" s="997"/>
      <c r="EF895" s="997"/>
      <c r="EG895" s="997"/>
      <c r="EH895" s="997"/>
      <c r="EI895" s="997"/>
      <c r="EJ895" s="997"/>
      <c r="EK895" s="997"/>
      <c r="EL895" s="997"/>
      <c r="EM895" s="997"/>
      <c r="EN895" s="997"/>
      <c r="EO895" s="997"/>
      <c r="EP895" s="997"/>
      <c r="EQ895" s="997"/>
      <c r="ER895" s="997"/>
      <c r="ES895" s="997"/>
      <c r="ET895" s="997"/>
      <c r="EU895" s="997"/>
      <c r="EV895" s="997"/>
      <c r="EW895" s="997"/>
      <c r="EX895" s="997"/>
      <c r="EY895" s="997"/>
      <c r="EZ895" s="997"/>
      <c r="FA895" s="997"/>
      <c r="FB895" s="997"/>
      <c r="FC895" s="997"/>
      <c r="FD895" s="997"/>
      <c r="FE895" s="997"/>
      <c r="FF895" s="997"/>
      <c r="FG895" s="997"/>
      <c r="FH895" s="997"/>
      <c r="FI895" s="997"/>
      <c r="FJ895" s="997"/>
      <c r="FK895" s="997"/>
      <c r="FL895" s="997"/>
      <c r="FM895" s="997"/>
      <c r="FN895" s="997"/>
      <c r="FO895" s="997"/>
      <c r="FP895" s="997"/>
      <c r="FQ895" s="997"/>
      <c r="FR895" s="997"/>
      <c r="FS895" s="997"/>
      <c r="FT895" s="997"/>
      <c r="FU895" s="997"/>
      <c r="FV895" s="997"/>
      <c r="FW895" s="997"/>
      <c r="FX895" s="997"/>
      <c r="FY895" s="997"/>
      <c r="FZ895" s="997"/>
      <c r="GA895" s="997"/>
      <c r="GB895" s="997"/>
      <c r="GC895" s="997"/>
      <c r="GD895" s="997"/>
      <c r="GE895" s="997"/>
      <c r="GF895" s="997"/>
      <c r="GG895" s="997"/>
      <c r="GH895" s="997"/>
      <c r="GI895" s="997"/>
      <c r="GJ895" s="997"/>
      <c r="GK895" s="997"/>
      <c r="GL895" s="997"/>
      <c r="GM895" s="997"/>
      <c r="GN895" s="997"/>
      <c r="GO895" s="997"/>
      <c r="GP895" s="997"/>
      <c r="GQ895" s="997"/>
      <c r="GR895" s="997"/>
      <c r="GS895" s="997"/>
      <c r="GT895" s="997"/>
      <c r="GU895" s="997"/>
      <c r="GV895" s="997"/>
      <c r="GW895" s="997"/>
      <c r="GX895" s="997"/>
      <c r="GY895" s="997"/>
      <c r="GZ895" s="997"/>
      <c r="HA895" s="997"/>
      <c r="HB895" s="997"/>
      <c r="HC895" s="997"/>
      <c r="HD895" s="997"/>
      <c r="HE895" s="997"/>
      <c r="HF895" s="997"/>
      <c r="HG895" s="997"/>
      <c r="HH895" s="997"/>
      <c r="HI895" s="997"/>
      <c r="HJ895" s="997"/>
      <c r="HK895" s="997"/>
      <c r="HL895" s="997"/>
      <c r="HM895" s="997"/>
      <c r="HN895" s="997"/>
      <c r="HO895" s="997"/>
      <c r="HP895" s="997"/>
      <c r="HQ895" s="997"/>
      <c r="HR895" s="997"/>
      <c r="HS895" s="997"/>
      <c r="HT895" s="997"/>
      <c r="HU895" s="997"/>
      <c r="HV895" s="997"/>
      <c r="HW895" s="997"/>
      <c r="HX895" s="997"/>
      <c r="HY895" s="997"/>
      <c r="HZ895" s="997"/>
      <c r="IA895" s="997"/>
      <c r="IB895" s="997"/>
      <c r="IC895" s="997"/>
      <c r="ID895" s="997"/>
      <c r="IE895" s="997"/>
      <c r="IF895" s="997"/>
      <c r="IG895" s="997"/>
      <c r="IH895" s="997"/>
      <c r="II895" s="997"/>
      <c r="IJ895" s="997"/>
      <c r="IK895" s="997"/>
      <c r="IL895" s="997"/>
      <c r="IM895" s="997"/>
      <c r="IN895" s="997"/>
    </row>
    <row r="896" spans="1:248" s="1090" customFormat="1" ht="14.1" customHeight="1">
      <c r="A896" s="1091"/>
      <c r="B896" s="1091"/>
      <c r="C896" s="1097"/>
      <c r="D896" s="1092"/>
      <c r="G896" s="997"/>
      <c r="H896" s="997"/>
      <c r="I896" s="997"/>
      <c r="J896" s="997"/>
      <c r="K896" s="997"/>
      <c r="L896" s="997"/>
      <c r="M896" s="997"/>
      <c r="N896" s="997"/>
      <c r="O896" s="997"/>
      <c r="P896" s="997"/>
      <c r="Q896" s="997"/>
      <c r="R896" s="997"/>
      <c r="S896" s="997"/>
      <c r="T896" s="997"/>
      <c r="U896" s="997"/>
      <c r="V896" s="997"/>
      <c r="W896" s="997"/>
      <c r="X896" s="997"/>
      <c r="Y896" s="997"/>
      <c r="Z896" s="997"/>
      <c r="AA896" s="997"/>
      <c r="AB896" s="997"/>
      <c r="AC896" s="997"/>
      <c r="AD896" s="997"/>
      <c r="AE896" s="997"/>
      <c r="AF896" s="997"/>
      <c r="AG896" s="997"/>
      <c r="AH896" s="997"/>
      <c r="AI896" s="997"/>
      <c r="AJ896" s="997"/>
      <c r="AK896" s="997"/>
      <c r="AL896" s="997"/>
      <c r="AM896" s="997"/>
      <c r="AN896" s="997"/>
      <c r="AO896" s="997"/>
      <c r="AP896" s="997"/>
      <c r="AQ896" s="997"/>
      <c r="AR896" s="997"/>
      <c r="AS896" s="997"/>
      <c r="AT896" s="997"/>
      <c r="AU896" s="997"/>
      <c r="AV896" s="997"/>
      <c r="AW896" s="997"/>
      <c r="AX896" s="997"/>
      <c r="AY896" s="997"/>
      <c r="AZ896" s="997"/>
      <c r="BA896" s="997"/>
      <c r="BB896" s="997"/>
      <c r="BC896" s="997"/>
      <c r="BD896" s="997"/>
      <c r="BE896" s="997"/>
      <c r="BF896" s="997"/>
      <c r="BG896" s="997"/>
      <c r="BH896" s="997"/>
      <c r="BI896" s="997"/>
      <c r="BJ896" s="997"/>
      <c r="BK896" s="997"/>
      <c r="BL896" s="997"/>
      <c r="BM896" s="997"/>
      <c r="BN896" s="997"/>
      <c r="BO896" s="997"/>
      <c r="BP896" s="997"/>
      <c r="BQ896" s="997"/>
      <c r="BR896" s="997"/>
      <c r="BS896" s="997"/>
      <c r="BT896" s="997"/>
      <c r="BU896" s="997"/>
      <c r="BV896" s="997"/>
      <c r="BW896" s="997"/>
      <c r="BX896" s="997"/>
      <c r="BY896" s="997"/>
      <c r="BZ896" s="997"/>
      <c r="CA896" s="997"/>
      <c r="CB896" s="997"/>
      <c r="CC896" s="997"/>
      <c r="CD896" s="997"/>
      <c r="CE896" s="997"/>
      <c r="CF896" s="997"/>
      <c r="CG896" s="997"/>
      <c r="CH896" s="997"/>
      <c r="CI896" s="997"/>
      <c r="CJ896" s="997"/>
      <c r="CK896" s="997"/>
      <c r="CL896" s="997"/>
      <c r="CM896" s="997"/>
      <c r="CN896" s="997"/>
      <c r="CO896" s="997"/>
      <c r="CP896" s="997"/>
      <c r="CQ896" s="997"/>
      <c r="CR896" s="997"/>
      <c r="CS896" s="997"/>
      <c r="CT896" s="997"/>
      <c r="CU896" s="997"/>
      <c r="CV896" s="997"/>
      <c r="CW896" s="997"/>
      <c r="CX896" s="997"/>
      <c r="CY896" s="997"/>
      <c r="CZ896" s="997"/>
      <c r="DA896" s="997"/>
      <c r="DB896" s="997"/>
      <c r="DC896" s="997"/>
      <c r="DD896" s="997"/>
      <c r="DE896" s="997"/>
      <c r="DF896" s="997"/>
      <c r="DG896" s="997"/>
      <c r="DH896" s="997"/>
      <c r="DI896" s="997"/>
      <c r="DJ896" s="997"/>
      <c r="DK896" s="997"/>
      <c r="DL896" s="997"/>
      <c r="DM896" s="997"/>
      <c r="DN896" s="997"/>
      <c r="DO896" s="997"/>
      <c r="DP896" s="997"/>
      <c r="DQ896" s="997"/>
      <c r="DR896" s="997"/>
      <c r="DS896" s="997"/>
      <c r="DT896" s="997"/>
      <c r="DU896" s="997"/>
      <c r="DV896" s="997"/>
      <c r="DW896" s="997"/>
      <c r="DX896" s="997"/>
      <c r="DY896" s="997"/>
      <c r="DZ896" s="997"/>
      <c r="EA896" s="997"/>
      <c r="EB896" s="997"/>
      <c r="EC896" s="997"/>
      <c r="ED896" s="997"/>
      <c r="EE896" s="997"/>
      <c r="EF896" s="997"/>
      <c r="EG896" s="997"/>
      <c r="EH896" s="997"/>
      <c r="EI896" s="997"/>
      <c r="EJ896" s="997"/>
      <c r="EK896" s="997"/>
      <c r="EL896" s="997"/>
      <c r="EM896" s="997"/>
      <c r="EN896" s="997"/>
      <c r="EO896" s="997"/>
      <c r="EP896" s="997"/>
      <c r="EQ896" s="997"/>
      <c r="ER896" s="997"/>
      <c r="ES896" s="997"/>
      <c r="ET896" s="997"/>
      <c r="EU896" s="997"/>
      <c r="EV896" s="997"/>
      <c r="EW896" s="997"/>
      <c r="EX896" s="997"/>
      <c r="EY896" s="997"/>
      <c r="EZ896" s="997"/>
      <c r="FA896" s="997"/>
      <c r="FB896" s="997"/>
      <c r="FC896" s="997"/>
      <c r="FD896" s="997"/>
      <c r="FE896" s="997"/>
      <c r="FF896" s="997"/>
      <c r="FG896" s="997"/>
      <c r="FH896" s="997"/>
      <c r="FI896" s="997"/>
      <c r="FJ896" s="997"/>
      <c r="FK896" s="997"/>
      <c r="FL896" s="997"/>
      <c r="FM896" s="997"/>
      <c r="FN896" s="997"/>
      <c r="FO896" s="997"/>
      <c r="FP896" s="997"/>
      <c r="FQ896" s="997"/>
      <c r="FR896" s="997"/>
      <c r="FS896" s="997"/>
      <c r="FT896" s="997"/>
      <c r="FU896" s="997"/>
      <c r="FV896" s="997"/>
      <c r="FW896" s="997"/>
      <c r="FX896" s="997"/>
      <c r="FY896" s="997"/>
      <c r="FZ896" s="997"/>
      <c r="GA896" s="997"/>
      <c r="GB896" s="997"/>
      <c r="GC896" s="997"/>
      <c r="GD896" s="997"/>
      <c r="GE896" s="997"/>
      <c r="GF896" s="997"/>
      <c r="GG896" s="997"/>
      <c r="GH896" s="997"/>
      <c r="GI896" s="997"/>
      <c r="GJ896" s="997"/>
      <c r="GK896" s="997"/>
      <c r="GL896" s="997"/>
      <c r="GM896" s="997"/>
      <c r="GN896" s="997"/>
      <c r="GO896" s="997"/>
      <c r="GP896" s="997"/>
      <c r="GQ896" s="997"/>
      <c r="GR896" s="997"/>
      <c r="GS896" s="997"/>
      <c r="GT896" s="997"/>
      <c r="GU896" s="997"/>
      <c r="GV896" s="997"/>
      <c r="GW896" s="997"/>
      <c r="GX896" s="997"/>
      <c r="GY896" s="997"/>
      <c r="GZ896" s="997"/>
      <c r="HA896" s="997"/>
      <c r="HB896" s="997"/>
      <c r="HC896" s="997"/>
      <c r="HD896" s="997"/>
      <c r="HE896" s="997"/>
      <c r="HF896" s="997"/>
      <c r="HG896" s="997"/>
      <c r="HH896" s="997"/>
      <c r="HI896" s="997"/>
      <c r="HJ896" s="997"/>
      <c r="HK896" s="997"/>
      <c r="HL896" s="997"/>
      <c r="HM896" s="997"/>
      <c r="HN896" s="997"/>
      <c r="HO896" s="997"/>
      <c r="HP896" s="997"/>
      <c r="HQ896" s="997"/>
      <c r="HR896" s="997"/>
      <c r="HS896" s="997"/>
      <c r="HT896" s="997"/>
      <c r="HU896" s="997"/>
      <c r="HV896" s="997"/>
      <c r="HW896" s="997"/>
      <c r="HX896" s="997"/>
      <c r="HY896" s="997"/>
      <c r="HZ896" s="997"/>
      <c r="IA896" s="997"/>
      <c r="IB896" s="997"/>
      <c r="IC896" s="997"/>
      <c r="ID896" s="997"/>
      <c r="IE896" s="997"/>
      <c r="IF896" s="997"/>
      <c r="IG896" s="997"/>
      <c r="IH896" s="997"/>
      <c r="II896" s="997"/>
      <c r="IJ896" s="997"/>
      <c r="IK896" s="997"/>
      <c r="IL896" s="997"/>
      <c r="IM896" s="997"/>
      <c r="IN896" s="997"/>
    </row>
    <row r="897" spans="1:248" s="1090" customFormat="1" ht="14.1" customHeight="1">
      <c r="A897" s="1091"/>
      <c r="B897" s="945" t="s">
        <v>3795</v>
      </c>
      <c r="C897" s="1102" t="s">
        <v>3981</v>
      </c>
      <c r="D897" s="1092"/>
      <c r="G897" s="997"/>
      <c r="H897" s="997"/>
      <c r="I897" s="997"/>
      <c r="J897" s="997"/>
      <c r="K897" s="997"/>
      <c r="L897" s="997"/>
      <c r="M897" s="997"/>
      <c r="N897" s="997"/>
      <c r="O897" s="997"/>
      <c r="P897" s="997"/>
      <c r="Q897" s="997"/>
      <c r="R897" s="997"/>
      <c r="S897" s="997"/>
      <c r="T897" s="997"/>
      <c r="U897" s="997"/>
      <c r="V897" s="997"/>
      <c r="W897" s="997"/>
      <c r="X897" s="997"/>
      <c r="Y897" s="997"/>
      <c r="Z897" s="997"/>
      <c r="AA897" s="997"/>
      <c r="AB897" s="997"/>
      <c r="AC897" s="997"/>
      <c r="AD897" s="997"/>
      <c r="AE897" s="997"/>
      <c r="AF897" s="997"/>
      <c r="AG897" s="997"/>
      <c r="AH897" s="997"/>
      <c r="AI897" s="997"/>
      <c r="AJ897" s="997"/>
      <c r="AK897" s="997"/>
      <c r="AL897" s="997"/>
      <c r="AM897" s="997"/>
      <c r="AN897" s="997"/>
      <c r="AO897" s="997"/>
      <c r="AP897" s="997"/>
      <c r="AQ897" s="997"/>
      <c r="AR897" s="997"/>
      <c r="AS897" s="997"/>
      <c r="AT897" s="997"/>
      <c r="AU897" s="997"/>
      <c r="AV897" s="997"/>
      <c r="AW897" s="997"/>
      <c r="AX897" s="997"/>
      <c r="AY897" s="997"/>
      <c r="AZ897" s="997"/>
      <c r="BA897" s="997"/>
      <c r="BB897" s="997"/>
      <c r="BC897" s="997"/>
      <c r="BD897" s="997"/>
      <c r="BE897" s="997"/>
      <c r="BF897" s="997"/>
      <c r="BG897" s="997"/>
      <c r="BH897" s="997"/>
      <c r="BI897" s="997"/>
      <c r="BJ897" s="997"/>
      <c r="BK897" s="997"/>
      <c r="BL897" s="997"/>
      <c r="BM897" s="997"/>
      <c r="BN897" s="997"/>
      <c r="BO897" s="997"/>
      <c r="BP897" s="997"/>
      <c r="BQ897" s="997"/>
      <c r="BR897" s="997"/>
      <c r="BS897" s="997"/>
      <c r="BT897" s="997"/>
      <c r="BU897" s="997"/>
      <c r="BV897" s="997"/>
      <c r="BW897" s="997"/>
      <c r="BX897" s="997"/>
      <c r="BY897" s="997"/>
      <c r="BZ897" s="997"/>
      <c r="CA897" s="997"/>
      <c r="CB897" s="997"/>
      <c r="CC897" s="997"/>
      <c r="CD897" s="997"/>
      <c r="CE897" s="997"/>
      <c r="CF897" s="997"/>
      <c r="CG897" s="997"/>
      <c r="CH897" s="997"/>
      <c r="CI897" s="997"/>
      <c r="CJ897" s="997"/>
      <c r="CK897" s="997"/>
      <c r="CL897" s="997"/>
      <c r="CM897" s="997"/>
      <c r="CN897" s="997"/>
      <c r="CO897" s="997"/>
      <c r="CP897" s="997"/>
      <c r="CQ897" s="997"/>
      <c r="CR897" s="997"/>
      <c r="CS897" s="997"/>
      <c r="CT897" s="997"/>
      <c r="CU897" s="997"/>
      <c r="CV897" s="997"/>
      <c r="CW897" s="997"/>
      <c r="CX897" s="997"/>
      <c r="CY897" s="997"/>
      <c r="CZ897" s="997"/>
      <c r="DA897" s="997"/>
      <c r="DB897" s="997"/>
      <c r="DC897" s="997"/>
      <c r="DD897" s="997"/>
      <c r="DE897" s="997"/>
      <c r="DF897" s="997"/>
      <c r="DG897" s="997"/>
      <c r="DH897" s="997"/>
      <c r="DI897" s="997"/>
      <c r="DJ897" s="997"/>
      <c r="DK897" s="997"/>
      <c r="DL897" s="997"/>
      <c r="DM897" s="997"/>
      <c r="DN897" s="997"/>
      <c r="DO897" s="997"/>
      <c r="DP897" s="997"/>
      <c r="DQ897" s="997"/>
      <c r="DR897" s="997"/>
      <c r="DS897" s="997"/>
      <c r="DT897" s="997"/>
      <c r="DU897" s="997"/>
      <c r="DV897" s="997"/>
      <c r="DW897" s="997"/>
      <c r="DX897" s="997"/>
      <c r="DY897" s="997"/>
      <c r="DZ897" s="997"/>
      <c r="EA897" s="997"/>
      <c r="EB897" s="997"/>
      <c r="EC897" s="997"/>
      <c r="ED897" s="997"/>
      <c r="EE897" s="997"/>
      <c r="EF897" s="997"/>
      <c r="EG897" s="997"/>
      <c r="EH897" s="997"/>
      <c r="EI897" s="997"/>
      <c r="EJ897" s="997"/>
      <c r="EK897" s="997"/>
      <c r="EL897" s="997"/>
      <c r="EM897" s="997"/>
      <c r="EN897" s="997"/>
      <c r="EO897" s="997"/>
      <c r="EP897" s="997"/>
      <c r="EQ897" s="997"/>
      <c r="ER897" s="997"/>
      <c r="ES897" s="997"/>
      <c r="ET897" s="997"/>
      <c r="EU897" s="997"/>
      <c r="EV897" s="997"/>
      <c r="EW897" s="997"/>
      <c r="EX897" s="997"/>
      <c r="EY897" s="997"/>
      <c r="EZ897" s="997"/>
      <c r="FA897" s="997"/>
      <c r="FB897" s="997"/>
      <c r="FC897" s="997"/>
      <c r="FD897" s="997"/>
      <c r="FE897" s="997"/>
      <c r="FF897" s="997"/>
      <c r="FG897" s="997"/>
      <c r="FH897" s="997"/>
      <c r="FI897" s="997"/>
      <c r="FJ897" s="997"/>
      <c r="FK897" s="997"/>
      <c r="FL897" s="997"/>
      <c r="FM897" s="997"/>
      <c r="FN897" s="997"/>
      <c r="FO897" s="997"/>
      <c r="FP897" s="997"/>
      <c r="FQ897" s="997"/>
      <c r="FR897" s="997"/>
      <c r="FS897" s="997"/>
      <c r="FT897" s="997"/>
      <c r="FU897" s="997"/>
      <c r="FV897" s="997"/>
      <c r="FW897" s="997"/>
      <c r="FX897" s="997"/>
      <c r="FY897" s="997"/>
      <c r="FZ897" s="997"/>
      <c r="GA897" s="997"/>
      <c r="GB897" s="997"/>
      <c r="GC897" s="997"/>
      <c r="GD897" s="997"/>
      <c r="GE897" s="997"/>
      <c r="GF897" s="997"/>
      <c r="GG897" s="997"/>
      <c r="GH897" s="997"/>
      <c r="GI897" s="997"/>
      <c r="GJ897" s="997"/>
      <c r="GK897" s="997"/>
      <c r="GL897" s="997"/>
      <c r="GM897" s="997"/>
      <c r="GN897" s="997"/>
      <c r="GO897" s="997"/>
      <c r="GP897" s="997"/>
      <c r="GQ897" s="997"/>
      <c r="GR897" s="997"/>
      <c r="GS897" s="997"/>
      <c r="GT897" s="997"/>
      <c r="GU897" s="997"/>
      <c r="GV897" s="997"/>
      <c r="GW897" s="997"/>
      <c r="GX897" s="997"/>
      <c r="GY897" s="997"/>
      <c r="GZ897" s="997"/>
      <c r="HA897" s="997"/>
      <c r="HB897" s="997"/>
      <c r="HC897" s="997"/>
      <c r="HD897" s="997"/>
      <c r="HE897" s="997"/>
      <c r="HF897" s="997"/>
      <c r="HG897" s="997"/>
      <c r="HH897" s="997"/>
      <c r="HI897" s="997"/>
      <c r="HJ897" s="997"/>
      <c r="HK897" s="997"/>
      <c r="HL897" s="997"/>
      <c r="HM897" s="997"/>
      <c r="HN897" s="997"/>
      <c r="HO897" s="997"/>
      <c r="HP897" s="997"/>
      <c r="HQ897" s="997"/>
      <c r="HR897" s="997"/>
      <c r="HS897" s="997"/>
      <c r="HT897" s="997"/>
      <c r="HU897" s="997"/>
      <c r="HV897" s="997"/>
      <c r="HW897" s="997"/>
      <c r="HX897" s="997"/>
      <c r="HY897" s="997"/>
      <c r="HZ897" s="997"/>
      <c r="IA897" s="997"/>
      <c r="IB897" s="997"/>
      <c r="IC897" s="997"/>
      <c r="ID897" s="997"/>
      <c r="IE897" s="997"/>
      <c r="IF897" s="997"/>
      <c r="IG897" s="997"/>
      <c r="IH897" s="997"/>
      <c r="II897" s="997"/>
      <c r="IJ897" s="997"/>
      <c r="IK897" s="997"/>
      <c r="IL897" s="997"/>
      <c r="IM897" s="997"/>
      <c r="IN897" s="997"/>
    </row>
    <row r="898" spans="1:248" s="1090" customFormat="1" ht="14.1" customHeight="1">
      <c r="A898" s="1091"/>
      <c r="B898" s="1091"/>
      <c r="C898" s="1102" t="s">
        <v>3982</v>
      </c>
      <c r="D898" s="1092"/>
      <c r="G898" s="997"/>
      <c r="H898" s="997"/>
      <c r="I898" s="997"/>
      <c r="J898" s="997"/>
      <c r="K898" s="997"/>
      <c r="L898" s="997"/>
      <c r="M898" s="997"/>
      <c r="N898" s="997"/>
      <c r="O898" s="997"/>
      <c r="P898" s="997"/>
      <c r="Q898" s="997"/>
      <c r="R898" s="997"/>
      <c r="S898" s="997"/>
      <c r="T898" s="997"/>
      <c r="U898" s="997"/>
      <c r="V898" s="997"/>
      <c r="W898" s="997"/>
      <c r="X898" s="997"/>
      <c r="Y898" s="997"/>
      <c r="Z898" s="997"/>
      <c r="AA898" s="997"/>
      <c r="AB898" s="997"/>
      <c r="AC898" s="997"/>
      <c r="AD898" s="997"/>
      <c r="AE898" s="997"/>
      <c r="AF898" s="997"/>
      <c r="AG898" s="997"/>
      <c r="AH898" s="997"/>
      <c r="AI898" s="997"/>
      <c r="AJ898" s="997"/>
      <c r="AK898" s="997"/>
      <c r="AL898" s="997"/>
      <c r="AM898" s="997"/>
      <c r="AN898" s="997"/>
      <c r="AO898" s="997"/>
      <c r="AP898" s="997"/>
      <c r="AQ898" s="997"/>
      <c r="AR898" s="997"/>
      <c r="AS898" s="997"/>
      <c r="AT898" s="997"/>
      <c r="AU898" s="997"/>
      <c r="AV898" s="997"/>
      <c r="AW898" s="997"/>
      <c r="AX898" s="997"/>
      <c r="AY898" s="997"/>
      <c r="AZ898" s="997"/>
      <c r="BA898" s="997"/>
      <c r="BB898" s="997"/>
      <c r="BC898" s="997"/>
      <c r="BD898" s="997"/>
      <c r="BE898" s="997"/>
      <c r="BF898" s="997"/>
      <c r="BG898" s="997"/>
      <c r="BH898" s="997"/>
      <c r="BI898" s="997"/>
      <c r="BJ898" s="997"/>
      <c r="BK898" s="997"/>
      <c r="BL898" s="997"/>
      <c r="BM898" s="997"/>
      <c r="BN898" s="997"/>
      <c r="BO898" s="997"/>
      <c r="BP898" s="997"/>
      <c r="BQ898" s="997"/>
      <c r="BR898" s="997"/>
      <c r="BS898" s="997"/>
      <c r="BT898" s="997"/>
      <c r="BU898" s="997"/>
      <c r="BV898" s="997"/>
      <c r="BW898" s="997"/>
      <c r="BX898" s="997"/>
      <c r="BY898" s="997"/>
      <c r="BZ898" s="997"/>
      <c r="CA898" s="997"/>
      <c r="CB898" s="997"/>
      <c r="CC898" s="997"/>
      <c r="CD898" s="997"/>
      <c r="CE898" s="997"/>
      <c r="CF898" s="997"/>
      <c r="CG898" s="997"/>
      <c r="CH898" s="997"/>
      <c r="CI898" s="997"/>
      <c r="CJ898" s="997"/>
      <c r="CK898" s="997"/>
      <c r="CL898" s="997"/>
      <c r="CM898" s="997"/>
      <c r="CN898" s="997"/>
      <c r="CO898" s="997"/>
      <c r="CP898" s="997"/>
      <c r="CQ898" s="997"/>
      <c r="CR898" s="997"/>
      <c r="CS898" s="997"/>
      <c r="CT898" s="997"/>
      <c r="CU898" s="997"/>
      <c r="CV898" s="997"/>
      <c r="CW898" s="997"/>
      <c r="CX898" s="997"/>
      <c r="CY898" s="997"/>
      <c r="CZ898" s="997"/>
      <c r="DA898" s="997"/>
      <c r="DB898" s="997"/>
      <c r="DC898" s="997"/>
      <c r="DD898" s="997"/>
      <c r="DE898" s="997"/>
      <c r="DF898" s="997"/>
      <c r="DG898" s="997"/>
      <c r="DH898" s="997"/>
      <c r="DI898" s="997"/>
      <c r="DJ898" s="997"/>
      <c r="DK898" s="997"/>
      <c r="DL898" s="997"/>
      <c r="DM898" s="997"/>
      <c r="DN898" s="997"/>
      <c r="DO898" s="997"/>
      <c r="DP898" s="997"/>
      <c r="DQ898" s="997"/>
      <c r="DR898" s="997"/>
      <c r="DS898" s="997"/>
      <c r="DT898" s="997"/>
      <c r="DU898" s="997"/>
      <c r="DV898" s="997"/>
      <c r="DW898" s="997"/>
      <c r="DX898" s="997"/>
      <c r="DY898" s="997"/>
      <c r="DZ898" s="997"/>
      <c r="EA898" s="997"/>
      <c r="EB898" s="997"/>
      <c r="EC898" s="997"/>
      <c r="ED898" s="997"/>
      <c r="EE898" s="997"/>
      <c r="EF898" s="997"/>
      <c r="EG898" s="997"/>
      <c r="EH898" s="997"/>
      <c r="EI898" s="997"/>
      <c r="EJ898" s="997"/>
      <c r="EK898" s="997"/>
      <c r="EL898" s="997"/>
      <c r="EM898" s="997"/>
      <c r="EN898" s="997"/>
      <c r="EO898" s="997"/>
      <c r="EP898" s="997"/>
      <c r="EQ898" s="997"/>
      <c r="ER898" s="997"/>
      <c r="ES898" s="997"/>
      <c r="ET898" s="997"/>
      <c r="EU898" s="997"/>
      <c r="EV898" s="997"/>
      <c r="EW898" s="997"/>
      <c r="EX898" s="997"/>
      <c r="EY898" s="997"/>
      <c r="EZ898" s="997"/>
      <c r="FA898" s="997"/>
      <c r="FB898" s="997"/>
      <c r="FC898" s="997"/>
      <c r="FD898" s="997"/>
      <c r="FE898" s="997"/>
      <c r="FF898" s="997"/>
      <c r="FG898" s="997"/>
      <c r="FH898" s="997"/>
      <c r="FI898" s="997"/>
      <c r="FJ898" s="997"/>
      <c r="FK898" s="997"/>
      <c r="FL898" s="997"/>
      <c r="FM898" s="997"/>
      <c r="FN898" s="997"/>
      <c r="FO898" s="997"/>
      <c r="FP898" s="997"/>
      <c r="FQ898" s="997"/>
      <c r="FR898" s="997"/>
      <c r="FS898" s="997"/>
      <c r="FT898" s="997"/>
      <c r="FU898" s="997"/>
      <c r="FV898" s="997"/>
      <c r="FW898" s="997"/>
      <c r="FX898" s="997"/>
      <c r="FY898" s="997"/>
      <c r="FZ898" s="997"/>
      <c r="GA898" s="997"/>
      <c r="GB898" s="997"/>
      <c r="GC898" s="997"/>
      <c r="GD898" s="997"/>
      <c r="GE898" s="997"/>
      <c r="GF898" s="997"/>
      <c r="GG898" s="997"/>
      <c r="GH898" s="997"/>
      <c r="GI898" s="997"/>
      <c r="GJ898" s="997"/>
      <c r="GK898" s="997"/>
      <c r="GL898" s="997"/>
      <c r="GM898" s="997"/>
      <c r="GN898" s="997"/>
      <c r="GO898" s="997"/>
      <c r="GP898" s="997"/>
      <c r="GQ898" s="997"/>
      <c r="GR898" s="997"/>
      <c r="GS898" s="997"/>
      <c r="GT898" s="997"/>
      <c r="GU898" s="997"/>
      <c r="GV898" s="997"/>
      <c r="GW898" s="997"/>
      <c r="GX898" s="997"/>
      <c r="GY898" s="997"/>
      <c r="GZ898" s="997"/>
      <c r="HA898" s="997"/>
      <c r="HB898" s="997"/>
      <c r="HC898" s="997"/>
      <c r="HD898" s="997"/>
      <c r="HE898" s="997"/>
      <c r="HF898" s="997"/>
      <c r="HG898" s="997"/>
      <c r="HH898" s="997"/>
      <c r="HI898" s="997"/>
      <c r="HJ898" s="997"/>
      <c r="HK898" s="997"/>
      <c r="HL898" s="997"/>
      <c r="HM898" s="997"/>
      <c r="HN898" s="997"/>
      <c r="HO898" s="997"/>
      <c r="HP898" s="997"/>
      <c r="HQ898" s="997"/>
      <c r="HR898" s="997"/>
      <c r="HS898" s="997"/>
      <c r="HT898" s="997"/>
      <c r="HU898" s="997"/>
      <c r="HV898" s="997"/>
      <c r="HW898" s="997"/>
      <c r="HX898" s="997"/>
      <c r="HY898" s="997"/>
      <c r="HZ898" s="997"/>
      <c r="IA898" s="997"/>
      <c r="IB898" s="997"/>
      <c r="IC898" s="997"/>
      <c r="ID898" s="997"/>
      <c r="IE898" s="997"/>
      <c r="IF898" s="997"/>
      <c r="IG898" s="997"/>
      <c r="IH898" s="997"/>
      <c r="II898" s="997"/>
      <c r="IJ898" s="997"/>
      <c r="IK898" s="997"/>
      <c r="IL898" s="997"/>
      <c r="IM898" s="997"/>
      <c r="IN898" s="997"/>
    </row>
    <row r="899" spans="1:248" s="1090" customFormat="1" ht="14.1" customHeight="1">
      <c r="A899" s="1091"/>
      <c r="B899" s="1091"/>
      <c r="C899" s="1102" t="s">
        <v>3983</v>
      </c>
      <c r="D899" s="1092"/>
      <c r="G899" s="997"/>
      <c r="H899" s="997"/>
      <c r="I899" s="997"/>
      <c r="J899" s="997"/>
      <c r="K899" s="997"/>
      <c r="L899" s="997"/>
      <c r="M899" s="997"/>
      <c r="N899" s="997"/>
      <c r="O899" s="997"/>
      <c r="P899" s="997"/>
      <c r="Q899" s="997"/>
      <c r="R899" s="997"/>
      <c r="S899" s="997"/>
      <c r="T899" s="997"/>
      <c r="U899" s="997"/>
      <c r="V899" s="997"/>
      <c r="W899" s="997"/>
      <c r="X899" s="997"/>
      <c r="Y899" s="997"/>
      <c r="Z899" s="997"/>
      <c r="AA899" s="997"/>
      <c r="AB899" s="997"/>
      <c r="AC899" s="997"/>
      <c r="AD899" s="997"/>
      <c r="AE899" s="997"/>
      <c r="AF899" s="997"/>
      <c r="AG899" s="997"/>
      <c r="AH899" s="997"/>
      <c r="AI899" s="997"/>
      <c r="AJ899" s="997"/>
      <c r="AK899" s="997"/>
      <c r="AL899" s="997"/>
      <c r="AM899" s="997"/>
      <c r="AN899" s="997"/>
      <c r="AO899" s="997"/>
      <c r="AP899" s="997"/>
      <c r="AQ899" s="997"/>
      <c r="AR899" s="997"/>
      <c r="AS899" s="997"/>
      <c r="AT899" s="997"/>
      <c r="AU899" s="997"/>
      <c r="AV899" s="997"/>
      <c r="AW899" s="997"/>
      <c r="AX899" s="997"/>
      <c r="AY899" s="997"/>
      <c r="AZ899" s="997"/>
      <c r="BA899" s="997"/>
      <c r="BB899" s="997"/>
      <c r="BC899" s="997"/>
      <c r="BD899" s="997"/>
      <c r="BE899" s="997"/>
      <c r="BF899" s="997"/>
      <c r="BG899" s="997"/>
      <c r="BH899" s="997"/>
      <c r="BI899" s="997"/>
      <c r="BJ899" s="997"/>
      <c r="BK899" s="997"/>
      <c r="BL899" s="997"/>
      <c r="BM899" s="997"/>
      <c r="BN899" s="997"/>
      <c r="BO899" s="997"/>
      <c r="BP899" s="997"/>
      <c r="BQ899" s="997"/>
      <c r="BR899" s="997"/>
      <c r="BS899" s="997"/>
      <c r="BT899" s="997"/>
      <c r="BU899" s="997"/>
      <c r="BV899" s="997"/>
      <c r="BW899" s="997"/>
      <c r="BX899" s="997"/>
      <c r="BY899" s="997"/>
      <c r="BZ899" s="997"/>
      <c r="CA899" s="997"/>
      <c r="CB899" s="997"/>
      <c r="CC899" s="997"/>
      <c r="CD899" s="997"/>
      <c r="CE899" s="997"/>
      <c r="CF899" s="997"/>
      <c r="CG899" s="997"/>
      <c r="CH899" s="997"/>
      <c r="CI899" s="997"/>
      <c r="CJ899" s="997"/>
      <c r="CK899" s="997"/>
      <c r="CL899" s="997"/>
      <c r="CM899" s="997"/>
      <c r="CN899" s="997"/>
      <c r="CO899" s="997"/>
      <c r="CP899" s="997"/>
      <c r="CQ899" s="997"/>
      <c r="CR899" s="997"/>
      <c r="CS899" s="997"/>
      <c r="CT899" s="997"/>
      <c r="CU899" s="997"/>
      <c r="CV899" s="997"/>
      <c r="CW899" s="997"/>
      <c r="CX899" s="997"/>
      <c r="CY899" s="997"/>
      <c r="CZ899" s="997"/>
      <c r="DA899" s="997"/>
      <c r="DB899" s="997"/>
      <c r="DC899" s="997"/>
      <c r="DD899" s="997"/>
      <c r="DE899" s="997"/>
      <c r="DF899" s="997"/>
      <c r="DG899" s="997"/>
      <c r="DH899" s="997"/>
      <c r="DI899" s="997"/>
      <c r="DJ899" s="997"/>
      <c r="DK899" s="997"/>
      <c r="DL899" s="997"/>
      <c r="DM899" s="997"/>
      <c r="DN899" s="997"/>
      <c r="DO899" s="997"/>
      <c r="DP899" s="997"/>
      <c r="DQ899" s="997"/>
      <c r="DR899" s="997"/>
      <c r="DS899" s="997"/>
      <c r="DT899" s="997"/>
      <c r="DU899" s="997"/>
      <c r="DV899" s="997"/>
      <c r="DW899" s="997"/>
      <c r="DX899" s="997"/>
      <c r="DY899" s="997"/>
      <c r="DZ899" s="997"/>
      <c r="EA899" s="997"/>
      <c r="EB899" s="997"/>
      <c r="EC899" s="997"/>
      <c r="ED899" s="997"/>
      <c r="EE899" s="997"/>
      <c r="EF899" s="997"/>
      <c r="EG899" s="997"/>
      <c r="EH899" s="997"/>
      <c r="EI899" s="997"/>
      <c r="EJ899" s="997"/>
      <c r="EK899" s="997"/>
      <c r="EL899" s="997"/>
      <c r="EM899" s="997"/>
      <c r="EN899" s="997"/>
      <c r="EO899" s="997"/>
      <c r="EP899" s="997"/>
      <c r="EQ899" s="997"/>
      <c r="ER899" s="997"/>
      <c r="ES899" s="997"/>
      <c r="ET899" s="997"/>
      <c r="EU899" s="997"/>
      <c r="EV899" s="997"/>
      <c r="EW899" s="997"/>
      <c r="EX899" s="997"/>
      <c r="EY899" s="997"/>
      <c r="EZ899" s="997"/>
      <c r="FA899" s="997"/>
      <c r="FB899" s="997"/>
      <c r="FC899" s="997"/>
      <c r="FD899" s="997"/>
      <c r="FE899" s="997"/>
      <c r="FF899" s="997"/>
      <c r="FG899" s="997"/>
      <c r="FH899" s="997"/>
      <c r="FI899" s="997"/>
      <c r="FJ899" s="997"/>
      <c r="FK899" s="997"/>
      <c r="FL899" s="997"/>
      <c r="FM899" s="997"/>
      <c r="FN899" s="997"/>
      <c r="FO899" s="997"/>
      <c r="FP899" s="997"/>
      <c r="FQ899" s="997"/>
      <c r="FR899" s="997"/>
      <c r="FS899" s="997"/>
      <c r="FT899" s="997"/>
      <c r="FU899" s="997"/>
      <c r="FV899" s="997"/>
      <c r="FW899" s="997"/>
      <c r="FX899" s="997"/>
      <c r="FY899" s="997"/>
      <c r="FZ899" s="997"/>
      <c r="GA899" s="997"/>
      <c r="GB899" s="997"/>
      <c r="GC899" s="997"/>
      <c r="GD899" s="997"/>
      <c r="GE899" s="997"/>
      <c r="GF899" s="997"/>
      <c r="GG899" s="997"/>
      <c r="GH899" s="997"/>
      <c r="GI899" s="997"/>
      <c r="GJ899" s="997"/>
      <c r="GK899" s="997"/>
      <c r="GL899" s="997"/>
      <c r="GM899" s="997"/>
      <c r="GN899" s="997"/>
      <c r="GO899" s="997"/>
      <c r="GP899" s="997"/>
      <c r="GQ899" s="997"/>
      <c r="GR899" s="997"/>
      <c r="GS899" s="997"/>
      <c r="GT899" s="997"/>
      <c r="GU899" s="997"/>
      <c r="GV899" s="997"/>
      <c r="GW899" s="997"/>
      <c r="GX899" s="997"/>
      <c r="GY899" s="997"/>
      <c r="GZ899" s="997"/>
      <c r="HA899" s="997"/>
      <c r="HB899" s="997"/>
      <c r="HC899" s="997"/>
      <c r="HD899" s="997"/>
      <c r="HE899" s="997"/>
      <c r="HF899" s="997"/>
      <c r="HG899" s="997"/>
      <c r="HH899" s="997"/>
      <c r="HI899" s="997"/>
      <c r="HJ899" s="997"/>
      <c r="HK899" s="997"/>
      <c r="HL899" s="997"/>
      <c r="HM899" s="997"/>
      <c r="HN899" s="997"/>
      <c r="HO899" s="997"/>
      <c r="HP899" s="997"/>
      <c r="HQ899" s="997"/>
      <c r="HR899" s="997"/>
      <c r="HS899" s="997"/>
      <c r="HT899" s="997"/>
      <c r="HU899" s="997"/>
      <c r="HV899" s="997"/>
      <c r="HW899" s="997"/>
      <c r="HX899" s="997"/>
      <c r="HY899" s="997"/>
      <c r="HZ899" s="997"/>
      <c r="IA899" s="997"/>
      <c r="IB899" s="997"/>
      <c r="IC899" s="997"/>
      <c r="ID899" s="997"/>
      <c r="IE899" s="997"/>
      <c r="IF899" s="997"/>
      <c r="IG899" s="997"/>
      <c r="IH899" s="997"/>
      <c r="II899" s="997"/>
      <c r="IJ899" s="997"/>
      <c r="IK899" s="997"/>
      <c r="IL899" s="997"/>
      <c r="IM899" s="997"/>
      <c r="IN899" s="997"/>
    </row>
    <row r="900" spans="1:248" s="1090" customFormat="1" ht="14.1" customHeight="1">
      <c r="A900" s="1091"/>
      <c r="B900" s="1091"/>
      <c r="C900" s="1097"/>
      <c r="D900" s="1092"/>
      <c r="G900" s="997"/>
      <c r="H900" s="997"/>
      <c r="I900" s="997"/>
      <c r="J900" s="997"/>
      <c r="K900" s="997"/>
      <c r="L900" s="997"/>
      <c r="M900" s="997"/>
      <c r="N900" s="997"/>
      <c r="O900" s="997"/>
      <c r="P900" s="997"/>
      <c r="Q900" s="997"/>
      <c r="R900" s="997"/>
      <c r="S900" s="997"/>
      <c r="T900" s="997"/>
      <c r="U900" s="997"/>
      <c r="V900" s="997"/>
      <c r="W900" s="997"/>
      <c r="X900" s="997"/>
      <c r="Y900" s="997"/>
      <c r="Z900" s="997"/>
      <c r="AA900" s="997"/>
      <c r="AB900" s="997"/>
      <c r="AC900" s="997"/>
      <c r="AD900" s="997"/>
      <c r="AE900" s="997"/>
      <c r="AF900" s="997"/>
      <c r="AG900" s="997"/>
      <c r="AH900" s="997"/>
      <c r="AI900" s="997"/>
      <c r="AJ900" s="997"/>
      <c r="AK900" s="997"/>
      <c r="AL900" s="997"/>
      <c r="AM900" s="997"/>
      <c r="AN900" s="997"/>
      <c r="AO900" s="997"/>
      <c r="AP900" s="997"/>
      <c r="AQ900" s="997"/>
      <c r="AR900" s="997"/>
      <c r="AS900" s="997"/>
      <c r="AT900" s="997"/>
      <c r="AU900" s="997"/>
      <c r="AV900" s="997"/>
      <c r="AW900" s="997"/>
      <c r="AX900" s="997"/>
      <c r="AY900" s="997"/>
      <c r="AZ900" s="997"/>
      <c r="BA900" s="997"/>
      <c r="BB900" s="997"/>
      <c r="BC900" s="997"/>
      <c r="BD900" s="997"/>
      <c r="BE900" s="997"/>
      <c r="BF900" s="997"/>
      <c r="BG900" s="997"/>
      <c r="BH900" s="997"/>
      <c r="BI900" s="997"/>
      <c r="BJ900" s="997"/>
      <c r="BK900" s="997"/>
      <c r="BL900" s="997"/>
      <c r="BM900" s="997"/>
      <c r="BN900" s="997"/>
      <c r="BO900" s="997"/>
      <c r="BP900" s="997"/>
      <c r="BQ900" s="997"/>
      <c r="BR900" s="997"/>
      <c r="BS900" s="997"/>
      <c r="BT900" s="997"/>
      <c r="BU900" s="997"/>
      <c r="BV900" s="997"/>
      <c r="BW900" s="997"/>
      <c r="BX900" s="997"/>
      <c r="BY900" s="997"/>
      <c r="BZ900" s="997"/>
      <c r="CA900" s="997"/>
      <c r="CB900" s="997"/>
      <c r="CC900" s="997"/>
      <c r="CD900" s="997"/>
      <c r="CE900" s="997"/>
      <c r="CF900" s="997"/>
      <c r="CG900" s="997"/>
      <c r="CH900" s="997"/>
      <c r="CI900" s="997"/>
      <c r="CJ900" s="997"/>
      <c r="CK900" s="997"/>
      <c r="CL900" s="997"/>
      <c r="CM900" s="997"/>
      <c r="CN900" s="997"/>
      <c r="CO900" s="997"/>
      <c r="CP900" s="997"/>
      <c r="CQ900" s="997"/>
      <c r="CR900" s="997"/>
      <c r="CS900" s="997"/>
      <c r="CT900" s="997"/>
      <c r="CU900" s="997"/>
      <c r="CV900" s="997"/>
      <c r="CW900" s="997"/>
      <c r="CX900" s="997"/>
      <c r="CY900" s="997"/>
      <c r="CZ900" s="997"/>
      <c r="DA900" s="997"/>
      <c r="DB900" s="997"/>
      <c r="DC900" s="997"/>
      <c r="DD900" s="997"/>
      <c r="DE900" s="997"/>
      <c r="DF900" s="997"/>
      <c r="DG900" s="997"/>
      <c r="DH900" s="997"/>
      <c r="DI900" s="997"/>
      <c r="DJ900" s="997"/>
      <c r="DK900" s="997"/>
      <c r="DL900" s="997"/>
      <c r="DM900" s="997"/>
      <c r="DN900" s="997"/>
      <c r="DO900" s="997"/>
      <c r="DP900" s="997"/>
      <c r="DQ900" s="997"/>
      <c r="DR900" s="997"/>
      <c r="DS900" s="997"/>
      <c r="DT900" s="997"/>
      <c r="DU900" s="997"/>
      <c r="DV900" s="997"/>
      <c r="DW900" s="997"/>
      <c r="DX900" s="997"/>
      <c r="DY900" s="997"/>
      <c r="DZ900" s="997"/>
      <c r="EA900" s="997"/>
      <c r="EB900" s="997"/>
      <c r="EC900" s="997"/>
      <c r="ED900" s="997"/>
      <c r="EE900" s="997"/>
      <c r="EF900" s="997"/>
      <c r="EG900" s="997"/>
      <c r="EH900" s="997"/>
      <c r="EI900" s="997"/>
      <c r="EJ900" s="997"/>
      <c r="EK900" s="997"/>
      <c r="EL900" s="997"/>
      <c r="EM900" s="997"/>
      <c r="EN900" s="997"/>
      <c r="EO900" s="997"/>
      <c r="EP900" s="997"/>
      <c r="EQ900" s="997"/>
      <c r="ER900" s="997"/>
      <c r="ES900" s="997"/>
      <c r="ET900" s="997"/>
      <c r="EU900" s="997"/>
      <c r="EV900" s="997"/>
      <c r="EW900" s="997"/>
      <c r="EX900" s="997"/>
      <c r="EY900" s="997"/>
      <c r="EZ900" s="997"/>
      <c r="FA900" s="997"/>
      <c r="FB900" s="997"/>
      <c r="FC900" s="997"/>
      <c r="FD900" s="997"/>
      <c r="FE900" s="997"/>
      <c r="FF900" s="997"/>
      <c r="FG900" s="997"/>
      <c r="FH900" s="997"/>
      <c r="FI900" s="997"/>
      <c r="FJ900" s="997"/>
      <c r="FK900" s="997"/>
      <c r="FL900" s="997"/>
      <c r="FM900" s="997"/>
      <c r="FN900" s="997"/>
      <c r="FO900" s="997"/>
      <c r="FP900" s="997"/>
      <c r="FQ900" s="997"/>
      <c r="FR900" s="997"/>
      <c r="FS900" s="997"/>
      <c r="FT900" s="997"/>
      <c r="FU900" s="997"/>
      <c r="FV900" s="997"/>
      <c r="FW900" s="997"/>
      <c r="FX900" s="997"/>
      <c r="FY900" s="997"/>
      <c r="FZ900" s="997"/>
      <c r="GA900" s="997"/>
      <c r="GB900" s="997"/>
      <c r="GC900" s="997"/>
      <c r="GD900" s="997"/>
      <c r="GE900" s="997"/>
      <c r="GF900" s="997"/>
      <c r="GG900" s="997"/>
      <c r="GH900" s="997"/>
      <c r="GI900" s="997"/>
      <c r="GJ900" s="997"/>
      <c r="GK900" s="997"/>
      <c r="GL900" s="997"/>
      <c r="GM900" s="997"/>
      <c r="GN900" s="997"/>
      <c r="GO900" s="997"/>
      <c r="GP900" s="997"/>
      <c r="GQ900" s="997"/>
      <c r="GR900" s="997"/>
      <c r="GS900" s="997"/>
      <c r="GT900" s="997"/>
      <c r="GU900" s="997"/>
      <c r="GV900" s="997"/>
      <c r="GW900" s="997"/>
      <c r="GX900" s="997"/>
      <c r="GY900" s="997"/>
      <c r="GZ900" s="997"/>
      <c r="HA900" s="997"/>
      <c r="HB900" s="997"/>
      <c r="HC900" s="997"/>
      <c r="HD900" s="997"/>
      <c r="HE900" s="997"/>
      <c r="HF900" s="997"/>
      <c r="HG900" s="997"/>
      <c r="HH900" s="997"/>
      <c r="HI900" s="997"/>
      <c r="HJ900" s="997"/>
      <c r="HK900" s="997"/>
      <c r="HL900" s="997"/>
      <c r="HM900" s="997"/>
      <c r="HN900" s="997"/>
      <c r="HO900" s="997"/>
      <c r="HP900" s="997"/>
      <c r="HQ900" s="997"/>
      <c r="HR900" s="997"/>
      <c r="HS900" s="997"/>
      <c r="HT900" s="997"/>
      <c r="HU900" s="997"/>
      <c r="HV900" s="997"/>
      <c r="HW900" s="997"/>
      <c r="HX900" s="997"/>
      <c r="HY900" s="997"/>
      <c r="HZ900" s="997"/>
      <c r="IA900" s="997"/>
      <c r="IB900" s="997"/>
      <c r="IC900" s="997"/>
      <c r="ID900" s="997"/>
      <c r="IE900" s="997"/>
      <c r="IF900" s="997"/>
      <c r="IG900" s="997"/>
      <c r="IH900" s="997"/>
      <c r="II900" s="997"/>
      <c r="IJ900" s="997"/>
      <c r="IK900" s="997"/>
      <c r="IL900" s="997"/>
      <c r="IM900" s="997"/>
      <c r="IN900" s="997"/>
    </row>
    <row r="901" spans="1:248" s="1090" customFormat="1" ht="14.1" customHeight="1">
      <c r="A901" s="1091"/>
      <c r="B901" s="945" t="s">
        <v>3796</v>
      </c>
      <c r="C901" s="184" t="s">
        <v>3984</v>
      </c>
      <c r="D901" s="1092"/>
      <c r="G901" s="997"/>
      <c r="H901" s="997"/>
      <c r="I901" s="997"/>
      <c r="J901" s="997"/>
      <c r="K901" s="997"/>
      <c r="L901" s="997"/>
      <c r="M901" s="997"/>
      <c r="N901" s="997"/>
      <c r="O901" s="997"/>
      <c r="P901" s="997"/>
      <c r="Q901" s="997"/>
      <c r="R901" s="997"/>
      <c r="S901" s="997"/>
      <c r="T901" s="997"/>
      <c r="U901" s="997"/>
      <c r="V901" s="997"/>
      <c r="W901" s="997"/>
      <c r="X901" s="997"/>
      <c r="Y901" s="997"/>
      <c r="Z901" s="997"/>
      <c r="AA901" s="997"/>
      <c r="AB901" s="997"/>
      <c r="AC901" s="997"/>
      <c r="AD901" s="997"/>
      <c r="AE901" s="997"/>
      <c r="AF901" s="997"/>
      <c r="AG901" s="997"/>
      <c r="AH901" s="997"/>
      <c r="AI901" s="997"/>
      <c r="AJ901" s="997"/>
      <c r="AK901" s="997"/>
      <c r="AL901" s="997"/>
      <c r="AM901" s="997"/>
      <c r="AN901" s="997"/>
      <c r="AO901" s="997"/>
      <c r="AP901" s="997"/>
      <c r="AQ901" s="997"/>
      <c r="AR901" s="997"/>
      <c r="AS901" s="997"/>
      <c r="AT901" s="997"/>
      <c r="AU901" s="997"/>
      <c r="AV901" s="997"/>
      <c r="AW901" s="997"/>
      <c r="AX901" s="997"/>
      <c r="AY901" s="997"/>
      <c r="AZ901" s="997"/>
      <c r="BA901" s="997"/>
      <c r="BB901" s="997"/>
      <c r="BC901" s="997"/>
      <c r="BD901" s="997"/>
      <c r="BE901" s="997"/>
      <c r="BF901" s="997"/>
      <c r="BG901" s="997"/>
      <c r="BH901" s="997"/>
      <c r="BI901" s="997"/>
      <c r="BJ901" s="997"/>
      <c r="BK901" s="997"/>
      <c r="BL901" s="997"/>
      <c r="BM901" s="997"/>
      <c r="BN901" s="997"/>
      <c r="BO901" s="997"/>
      <c r="BP901" s="997"/>
      <c r="BQ901" s="997"/>
      <c r="BR901" s="997"/>
      <c r="BS901" s="997"/>
      <c r="BT901" s="997"/>
      <c r="BU901" s="997"/>
      <c r="BV901" s="997"/>
      <c r="BW901" s="997"/>
      <c r="BX901" s="997"/>
      <c r="BY901" s="997"/>
      <c r="BZ901" s="997"/>
      <c r="CA901" s="997"/>
      <c r="CB901" s="997"/>
      <c r="CC901" s="997"/>
      <c r="CD901" s="997"/>
      <c r="CE901" s="997"/>
      <c r="CF901" s="997"/>
      <c r="CG901" s="997"/>
      <c r="CH901" s="997"/>
      <c r="CI901" s="997"/>
      <c r="CJ901" s="997"/>
      <c r="CK901" s="997"/>
      <c r="CL901" s="997"/>
      <c r="CM901" s="997"/>
      <c r="CN901" s="997"/>
      <c r="CO901" s="997"/>
      <c r="CP901" s="997"/>
      <c r="CQ901" s="997"/>
      <c r="CR901" s="997"/>
      <c r="CS901" s="997"/>
      <c r="CT901" s="997"/>
      <c r="CU901" s="997"/>
      <c r="CV901" s="997"/>
      <c r="CW901" s="997"/>
      <c r="CX901" s="997"/>
      <c r="CY901" s="997"/>
      <c r="CZ901" s="997"/>
      <c r="DA901" s="997"/>
      <c r="DB901" s="997"/>
      <c r="DC901" s="997"/>
      <c r="DD901" s="997"/>
      <c r="DE901" s="997"/>
      <c r="DF901" s="997"/>
      <c r="DG901" s="997"/>
      <c r="DH901" s="997"/>
      <c r="DI901" s="997"/>
      <c r="DJ901" s="997"/>
      <c r="DK901" s="997"/>
      <c r="DL901" s="997"/>
      <c r="DM901" s="997"/>
      <c r="DN901" s="997"/>
      <c r="DO901" s="997"/>
      <c r="DP901" s="997"/>
      <c r="DQ901" s="997"/>
      <c r="DR901" s="997"/>
      <c r="DS901" s="997"/>
      <c r="DT901" s="997"/>
      <c r="DU901" s="997"/>
      <c r="DV901" s="997"/>
      <c r="DW901" s="997"/>
      <c r="DX901" s="997"/>
      <c r="DY901" s="997"/>
      <c r="DZ901" s="997"/>
      <c r="EA901" s="997"/>
      <c r="EB901" s="997"/>
      <c r="EC901" s="997"/>
      <c r="ED901" s="997"/>
      <c r="EE901" s="997"/>
      <c r="EF901" s="997"/>
      <c r="EG901" s="997"/>
      <c r="EH901" s="997"/>
      <c r="EI901" s="997"/>
      <c r="EJ901" s="997"/>
      <c r="EK901" s="997"/>
      <c r="EL901" s="997"/>
      <c r="EM901" s="997"/>
      <c r="EN901" s="997"/>
      <c r="EO901" s="997"/>
      <c r="EP901" s="997"/>
      <c r="EQ901" s="997"/>
      <c r="ER901" s="997"/>
      <c r="ES901" s="997"/>
      <c r="ET901" s="997"/>
      <c r="EU901" s="997"/>
      <c r="EV901" s="997"/>
      <c r="EW901" s="997"/>
      <c r="EX901" s="997"/>
      <c r="EY901" s="997"/>
      <c r="EZ901" s="997"/>
      <c r="FA901" s="997"/>
      <c r="FB901" s="997"/>
      <c r="FC901" s="997"/>
      <c r="FD901" s="997"/>
      <c r="FE901" s="997"/>
      <c r="FF901" s="997"/>
      <c r="FG901" s="997"/>
      <c r="FH901" s="997"/>
      <c r="FI901" s="997"/>
      <c r="FJ901" s="997"/>
      <c r="FK901" s="997"/>
      <c r="FL901" s="997"/>
      <c r="FM901" s="997"/>
      <c r="FN901" s="997"/>
      <c r="FO901" s="997"/>
      <c r="FP901" s="997"/>
      <c r="FQ901" s="997"/>
      <c r="FR901" s="997"/>
      <c r="FS901" s="997"/>
      <c r="FT901" s="997"/>
      <c r="FU901" s="997"/>
      <c r="FV901" s="997"/>
      <c r="FW901" s="997"/>
      <c r="FX901" s="997"/>
      <c r="FY901" s="997"/>
      <c r="FZ901" s="997"/>
      <c r="GA901" s="997"/>
      <c r="GB901" s="997"/>
      <c r="GC901" s="997"/>
      <c r="GD901" s="997"/>
      <c r="GE901" s="997"/>
      <c r="GF901" s="997"/>
      <c r="GG901" s="997"/>
      <c r="GH901" s="997"/>
      <c r="GI901" s="997"/>
      <c r="GJ901" s="997"/>
      <c r="GK901" s="997"/>
      <c r="GL901" s="997"/>
      <c r="GM901" s="997"/>
      <c r="GN901" s="997"/>
      <c r="GO901" s="997"/>
      <c r="GP901" s="997"/>
      <c r="GQ901" s="997"/>
      <c r="GR901" s="997"/>
      <c r="GS901" s="997"/>
      <c r="GT901" s="997"/>
      <c r="GU901" s="997"/>
      <c r="GV901" s="997"/>
      <c r="GW901" s="997"/>
      <c r="GX901" s="997"/>
      <c r="GY901" s="997"/>
      <c r="GZ901" s="997"/>
      <c r="HA901" s="997"/>
      <c r="HB901" s="997"/>
      <c r="HC901" s="997"/>
      <c r="HD901" s="997"/>
      <c r="HE901" s="997"/>
      <c r="HF901" s="997"/>
      <c r="HG901" s="997"/>
      <c r="HH901" s="997"/>
      <c r="HI901" s="997"/>
      <c r="HJ901" s="997"/>
      <c r="HK901" s="997"/>
      <c r="HL901" s="997"/>
      <c r="HM901" s="997"/>
      <c r="HN901" s="997"/>
      <c r="HO901" s="997"/>
      <c r="HP901" s="997"/>
      <c r="HQ901" s="997"/>
      <c r="HR901" s="997"/>
      <c r="HS901" s="997"/>
      <c r="HT901" s="997"/>
      <c r="HU901" s="997"/>
      <c r="HV901" s="997"/>
      <c r="HW901" s="997"/>
      <c r="HX901" s="997"/>
      <c r="HY901" s="997"/>
      <c r="HZ901" s="997"/>
      <c r="IA901" s="997"/>
      <c r="IB901" s="997"/>
      <c r="IC901" s="997"/>
      <c r="ID901" s="997"/>
      <c r="IE901" s="997"/>
      <c r="IF901" s="997"/>
      <c r="IG901" s="997"/>
      <c r="IH901" s="997"/>
      <c r="II901" s="997"/>
      <c r="IJ901" s="997"/>
      <c r="IK901" s="997"/>
      <c r="IL901" s="997"/>
      <c r="IM901" s="997"/>
      <c r="IN901" s="997"/>
    </row>
    <row r="902" spans="1:248" s="1090" customFormat="1" ht="14.1" customHeight="1">
      <c r="A902" s="1091"/>
      <c r="B902" s="1091"/>
      <c r="C902" s="184" t="s">
        <v>3985</v>
      </c>
      <c r="D902" s="1092"/>
      <c r="G902" s="997"/>
      <c r="H902" s="997"/>
      <c r="I902" s="997"/>
      <c r="J902" s="997"/>
      <c r="K902" s="997"/>
      <c r="L902" s="997"/>
      <c r="M902" s="997"/>
      <c r="N902" s="997"/>
      <c r="O902" s="997"/>
      <c r="P902" s="997"/>
      <c r="Q902" s="997"/>
      <c r="R902" s="997"/>
      <c r="S902" s="997"/>
      <c r="T902" s="997"/>
      <c r="U902" s="997"/>
      <c r="V902" s="997"/>
      <c r="W902" s="997"/>
      <c r="X902" s="997"/>
      <c r="Y902" s="997"/>
      <c r="Z902" s="997"/>
      <c r="AA902" s="997"/>
      <c r="AB902" s="997"/>
      <c r="AC902" s="997"/>
      <c r="AD902" s="997"/>
      <c r="AE902" s="997"/>
      <c r="AF902" s="997"/>
      <c r="AG902" s="997"/>
      <c r="AH902" s="997"/>
      <c r="AI902" s="997"/>
      <c r="AJ902" s="997"/>
      <c r="AK902" s="997"/>
      <c r="AL902" s="997"/>
      <c r="AM902" s="997"/>
      <c r="AN902" s="997"/>
      <c r="AO902" s="997"/>
      <c r="AP902" s="997"/>
      <c r="AQ902" s="997"/>
      <c r="AR902" s="997"/>
      <c r="AS902" s="997"/>
      <c r="AT902" s="997"/>
      <c r="AU902" s="997"/>
      <c r="AV902" s="997"/>
      <c r="AW902" s="997"/>
      <c r="AX902" s="997"/>
      <c r="AY902" s="997"/>
      <c r="AZ902" s="997"/>
      <c r="BA902" s="997"/>
      <c r="BB902" s="997"/>
      <c r="BC902" s="997"/>
      <c r="BD902" s="997"/>
      <c r="BE902" s="997"/>
      <c r="BF902" s="997"/>
      <c r="BG902" s="997"/>
      <c r="BH902" s="997"/>
      <c r="BI902" s="997"/>
      <c r="BJ902" s="997"/>
      <c r="BK902" s="997"/>
      <c r="BL902" s="997"/>
      <c r="BM902" s="997"/>
      <c r="BN902" s="997"/>
      <c r="BO902" s="997"/>
      <c r="BP902" s="997"/>
      <c r="BQ902" s="997"/>
      <c r="BR902" s="997"/>
      <c r="BS902" s="997"/>
      <c r="BT902" s="997"/>
      <c r="BU902" s="997"/>
      <c r="BV902" s="997"/>
      <c r="BW902" s="997"/>
      <c r="BX902" s="997"/>
      <c r="BY902" s="997"/>
      <c r="BZ902" s="997"/>
      <c r="CA902" s="997"/>
      <c r="CB902" s="997"/>
      <c r="CC902" s="997"/>
      <c r="CD902" s="997"/>
      <c r="CE902" s="997"/>
      <c r="CF902" s="997"/>
      <c r="CG902" s="997"/>
      <c r="CH902" s="997"/>
      <c r="CI902" s="997"/>
      <c r="CJ902" s="997"/>
      <c r="CK902" s="997"/>
      <c r="CL902" s="997"/>
      <c r="CM902" s="997"/>
      <c r="CN902" s="997"/>
      <c r="CO902" s="997"/>
      <c r="CP902" s="997"/>
      <c r="CQ902" s="997"/>
      <c r="CR902" s="997"/>
      <c r="CS902" s="997"/>
      <c r="CT902" s="997"/>
      <c r="CU902" s="997"/>
      <c r="CV902" s="997"/>
      <c r="CW902" s="997"/>
      <c r="CX902" s="997"/>
      <c r="CY902" s="997"/>
      <c r="CZ902" s="997"/>
      <c r="DA902" s="997"/>
      <c r="DB902" s="997"/>
      <c r="DC902" s="997"/>
      <c r="DD902" s="997"/>
      <c r="DE902" s="997"/>
      <c r="DF902" s="997"/>
      <c r="DG902" s="997"/>
      <c r="DH902" s="997"/>
      <c r="DI902" s="997"/>
      <c r="DJ902" s="997"/>
      <c r="DK902" s="997"/>
      <c r="DL902" s="997"/>
      <c r="DM902" s="997"/>
      <c r="DN902" s="997"/>
      <c r="DO902" s="997"/>
      <c r="DP902" s="997"/>
      <c r="DQ902" s="997"/>
      <c r="DR902" s="997"/>
      <c r="DS902" s="997"/>
      <c r="DT902" s="997"/>
      <c r="DU902" s="997"/>
      <c r="DV902" s="997"/>
      <c r="DW902" s="997"/>
      <c r="DX902" s="997"/>
      <c r="DY902" s="997"/>
      <c r="DZ902" s="997"/>
      <c r="EA902" s="997"/>
      <c r="EB902" s="997"/>
      <c r="EC902" s="997"/>
      <c r="ED902" s="997"/>
      <c r="EE902" s="997"/>
      <c r="EF902" s="997"/>
      <c r="EG902" s="997"/>
      <c r="EH902" s="997"/>
      <c r="EI902" s="997"/>
      <c r="EJ902" s="997"/>
      <c r="EK902" s="997"/>
      <c r="EL902" s="997"/>
      <c r="EM902" s="997"/>
      <c r="EN902" s="997"/>
      <c r="EO902" s="997"/>
      <c r="EP902" s="997"/>
      <c r="EQ902" s="997"/>
      <c r="ER902" s="997"/>
      <c r="ES902" s="997"/>
      <c r="ET902" s="997"/>
      <c r="EU902" s="997"/>
      <c r="EV902" s="997"/>
      <c r="EW902" s="997"/>
      <c r="EX902" s="997"/>
      <c r="EY902" s="997"/>
      <c r="EZ902" s="997"/>
      <c r="FA902" s="997"/>
      <c r="FB902" s="997"/>
      <c r="FC902" s="997"/>
      <c r="FD902" s="997"/>
      <c r="FE902" s="997"/>
      <c r="FF902" s="997"/>
      <c r="FG902" s="997"/>
      <c r="FH902" s="997"/>
      <c r="FI902" s="997"/>
      <c r="FJ902" s="997"/>
      <c r="FK902" s="997"/>
      <c r="FL902" s="997"/>
      <c r="FM902" s="997"/>
      <c r="FN902" s="997"/>
      <c r="FO902" s="997"/>
      <c r="FP902" s="997"/>
      <c r="FQ902" s="997"/>
      <c r="FR902" s="997"/>
      <c r="FS902" s="997"/>
      <c r="FT902" s="997"/>
      <c r="FU902" s="997"/>
      <c r="FV902" s="997"/>
      <c r="FW902" s="997"/>
      <c r="FX902" s="997"/>
      <c r="FY902" s="997"/>
      <c r="FZ902" s="997"/>
      <c r="GA902" s="997"/>
      <c r="GB902" s="997"/>
      <c r="GC902" s="997"/>
      <c r="GD902" s="997"/>
      <c r="GE902" s="997"/>
      <c r="GF902" s="997"/>
      <c r="GG902" s="997"/>
      <c r="GH902" s="997"/>
      <c r="GI902" s="997"/>
      <c r="GJ902" s="997"/>
      <c r="GK902" s="997"/>
      <c r="GL902" s="997"/>
      <c r="GM902" s="997"/>
      <c r="GN902" s="997"/>
      <c r="GO902" s="997"/>
      <c r="GP902" s="997"/>
      <c r="GQ902" s="997"/>
      <c r="GR902" s="997"/>
      <c r="GS902" s="997"/>
      <c r="GT902" s="997"/>
      <c r="GU902" s="997"/>
      <c r="GV902" s="997"/>
      <c r="GW902" s="997"/>
      <c r="GX902" s="997"/>
      <c r="GY902" s="997"/>
      <c r="GZ902" s="997"/>
      <c r="HA902" s="997"/>
      <c r="HB902" s="997"/>
      <c r="HC902" s="997"/>
      <c r="HD902" s="997"/>
      <c r="HE902" s="997"/>
      <c r="HF902" s="997"/>
      <c r="HG902" s="997"/>
      <c r="HH902" s="997"/>
      <c r="HI902" s="997"/>
      <c r="HJ902" s="997"/>
      <c r="HK902" s="997"/>
      <c r="HL902" s="997"/>
      <c r="HM902" s="997"/>
      <c r="HN902" s="997"/>
      <c r="HO902" s="997"/>
      <c r="HP902" s="997"/>
      <c r="HQ902" s="997"/>
      <c r="HR902" s="997"/>
      <c r="HS902" s="997"/>
      <c r="HT902" s="997"/>
      <c r="HU902" s="997"/>
      <c r="HV902" s="997"/>
      <c r="HW902" s="997"/>
      <c r="HX902" s="997"/>
      <c r="HY902" s="997"/>
      <c r="HZ902" s="997"/>
      <c r="IA902" s="997"/>
      <c r="IB902" s="997"/>
      <c r="IC902" s="997"/>
      <c r="ID902" s="997"/>
      <c r="IE902" s="997"/>
      <c r="IF902" s="997"/>
      <c r="IG902" s="997"/>
      <c r="IH902" s="997"/>
      <c r="II902" s="997"/>
      <c r="IJ902" s="997"/>
      <c r="IK902" s="997"/>
      <c r="IL902" s="997"/>
      <c r="IM902" s="997"/>
      <c r="IN902" s="997"/>
    </row>
    <row r="903" spans="1:248" s="1090" customFormat="1" ht="14.1" customHeight="1">
      <c r="A903" s="1091"/>
      <c r="B903" s="1091"/>
      <c r="C903" s="1097"/>
      <c r="D903" s="1092"/>
      <c r="G903" s="997"/>
      <c r="H903" s="997"/>
      <c r="I903" s="997"/>
      <c r="J903" s="997"/>
      <c r="K903" s="997"/>
      <c r="L903" s="997"/>
      <c r="M903" s="997"/>
      <c r="N903" s="997"/>
      <c r="O903" s="997"/>
      <c r="P903" s="997"/>
      <c r="Q903" s="997"/>
      <c r="R903" s="997"/>
      <c r="S903" s="997"/>
      <c r="T903" s="997"/>
      <c r="U903" s="997"/>
      <c r="V903" s="997"/>
      <c r="W903" s="997"/>
      <c r="X903" s="997"/>
      <c r="Y903" s="997"/>
      <c r="Z903" s="997"/>
      <c r="AA903" s="997"/>
      <c r="AB903" s="997"/>
      <c r="AC903" s="997"/>
      <c r="AD903" s="997"/>
      <c r="AE903" s="997"/>
      <c r="AF903" s="997"/>
      <c r="AG903" s="997"/>
      <c r="AH903" s="997"/>
      <c r="AI903" s="997"/>
      <c r="AJ903" s="997"/>
      <c r="AK903" s="997"/>
      <c r="AL903" s="997"/>
      <c r="AM903" s="997"/>
      <c r="AN903" s="997"/>
      <c r="AO903" s="997"/>
      <c r="AP903" s="997"/>
      <c r="AQ903" s="997"/>
      <c r="AR903" s="997"/>
      <c r="AS903" s="997"/>
      <c r="AT903" s="997"/>
      <c r="AU903" s="997"/>
      <c r="AV903" s="997"/>
      <c r="AW903" s="997"/>
      <c r="AX903" s="997"/>
      <c r="AY903" s="997"/>
      <c r="AZ903" s="997"/>
      <c r="BA903" s="997"/>
      <c r="BB903" s="997"/>
      <c r="BC903" s="997"/>
      <c r="BD903" s="997"/>
      <c r="BE903" s="997"/>
      <c r="BF903" s="997"/>
      <c r="BG903" s="997"/>
      <c r="BH903" s="997"/>
      <c r="BI903" s="997"/>
      <c r="BJ903" s="997"/>
      <c r="BK903" s="997"/>
      <c r="BL903" s="997"/>
      <c r="BM903" s="997"/>
      <c r="BN903" s="997"/>
      <c r="BO903" s="997"/>
      <c r="BP903" s="997"/>
      <c r="BQ903" s="997"/>
      <c r="BR903" s="997"/>
      <c r="BS903" s="997"/>
      <c r="BT903" s="997"/>
      <c r="BU903" s="997"/>
      <c r="BV903" s="997"/>
      <c r="BW903" s="997"/>
      <c r="BX903" s="997"/>
      <c r="BY903" s="997"/>
      <c r="BZ903" s="997"/>
      <c r="CA903" s="997"/>
      <c r="CB903" s="997"/>
      <c r="CC903" s="997"/>
      <c r="CD903" s="997"/>
      <c r="CE903" s="997"/>
      <c r="CF903" s="997"/>
      <c r="CG903" s="997"/>
      <c r="CH903" s="997"/>
      <c r="CI903" s="997"/>
      <c r="CJ903" s="997"/>
      <c r="CK903" s="997"/>
      <c r="CL903" s="997"/>
      <c r="CM903" s="997"/>
      <c r="CN903" s="997"/>
      <c r="CO903" s="997"/>
      <c r="CP903" s="997"/>
      <c r="CQ903" s="997"/>
      <c r="CR903" s="997"/>
      <c r="CS903" s="997"/>
      <c r="CT903" s="997"/>
      <c r="CU903" s="997"/>
      <c r="CV903" s="997"/>
      <c r="CW903" s="997"/>
      <c r="CX903" s="997"/>
      <c r="CY903" s="997"/>
      <c r="CZ903" s="997"/>
      <c r="DA903" s="997"/>
      <c r="DB903" s="997"/>
      <c r="DC903" s="997"/>
      <c r="DD903" s="997"/>
      <c r="DE903" s="997"/>
      <c r="DF903" s="997"/>
      <c r="DG903" s="997"/>
      <c r="DH903" s="997"/>
      <c r="DI903" s="997"/>
      <c r="DJ903" s="997"/>
      <c r="DK903" s="997"/>
      <c r="DL903" s="997"/>
      <c r="DM903" s="997"/>
      <c r="DN903" s="997"/>
      <c r="DO903" s="997"/>
      <c r="DP903" s="997"/>
      <c r="DQ903" s="997"/>
      <c r="DR903" s="997"/>
      <c r="DS903" s="997"/>
      <c r="DT903" s="997"/>
      <c r="DU903" s="997"/>
      <c r="DV903" s="997"/>
      <c r="DW903" s="997"/>
      <c r="DX903" s="997"/>
      <c r="DY903" s="997"/>
      <c r="DZ903" s="997"/>
      <c r="EA903" s="997"/>
      <c r="EB903" s="997"/>
      <c r="EC903" s="997"/>
      <c r="ED903" s="997"/>
      <c r="EE903" s="997"/>
      <c r="EF903" s="997"/>
      <c r="EG903" s="997"/>
      <c r="EH903" s="997"/>
      <c r="EI903" s="997"/>
      <c r="EJ903" s="997"/>
      <c r="EK903" s="997"/>
      <c r="EL903" s="997"/>
      <c r="EM903" s="997"/>
      <c r="EN903" s="997"/>
      <c r="EO903" s="997"/>
      <c r="EP903" s="997"/>
      <c r="EQ903" s="997"/>
      <c r="ER903" s="997"/>
      <c r="ES903" s="997"/>
      <c r="ET903" s="997"/>
      <c r="EU903" s="997"/>
      <c r="EV903" s="997"/>
      <c r="EW903" s="997"/>
      <c r="EX903" s="997"/>
      <c r="EY903" s="997"/>
      <c r="EZ903" s="997"/>
      <c r="FA903" s="997"/>
      <c r="FB903" s="997"/>
      <c r="FC903" s="997"/>
      <c r="FD903" s="997"/>
      <c r="FE903" s="997"/>
      <c r="FF903" s="997"/>
      <c r="FG903" s="997"/>
      <c r="FH903" s="997"/>
      <c r="FI903" s="997"/>
      <c r="FJ903" s="997"/>
      <c r="FK903" s="997"/>
      <c r="FL903" s="997"/>
      <c r="FM903" s="997"/>
      <c r="FN903" s="997"/>
      <c r="FO903" s="997"/>
      <c r="FP903" s="997"/>
      <c r="FQ903" s="997"/>
      <c r="FR903" s="997"/>
      <c r="FS903" s="997"/>
      <c r="FT903" s="997"/>
      <c r="FU903" s="997"/>
      <c r="FV903" s="997"/>
      <c r="FW903" s="997"/>
      <c r="FX903" s="997"/>
      <c r="FY903" s="997"/>
      <c r="FZ903" s="997"/>
      <c r="GA903" s="997"/>
      <c r="GB903" s="997"/>
      <c r="GC903" s="997"/>
      <c r="GD903" s="997"/>
      <c r="GE903" s="997"/>
      <c r="GF903" s="997"/>
      <c r="GG903" s="997"/>
      <c r="GH903" s="997"/>
      <c r="GI903" s="997"/>
      <c r="GJ903" s="997"/>
      <c r="GK903" s="997"/>
      <c r="GL903" s="997"/>
      <c r="GM903" s="997"/>
      <c r="GN903" s="997"/>
      <c r="GO903" s="997"/>
      <c r="GP903" s="997"/>
      <c r="GQ903" s="997"/>
      <c r="GR903" s="997"/>
      <c r="GS903" s="997"/>
      <c r="GT903" s="997"/>
      <c r="GU903" s="997"/>
      <c r="GV903" s="997"/>
      <c r="GW903" s="997"/>
      <c r="GX903" s="997"/>
      <c r="GY903" s="997"/>
      <c r="GZ903" s="997"/>
      <c r="HA903" s="997"/>
      <c r="HB903" s="997"/>
      <c r="HC903" s="997"/>
      <c r="HD903" s="997"/>
      <c r="HE903" s="997"/>
      <c r="HF903" s="997"/>
      <c r="HG903" s="997"/>
      <c r="HH903" s="997"/>
      <c r="HI903" s="997"/>
      <c r="HJ903" s="997"/>
      <c r="HK903" s="997"/>
      <c r="HL903" s="997"/>
      <c r="HM903" s="997"/>
      <c r="HN903" s="997"/>
      <c r="HO903" s="997"/>
      <c r="HP903" s="997"/>
      <c r="HQ903" s="997"/>
      <c r="HR903" s="997"/>
      <c r="HS903" s="997"/>
      <c r="HT903" s="997"/>
      <c r="HU903" s="997"/>
      <c r="HV903" s="997"/>
      <c r="HW903" s="997"/>
      <c r="HX903" s="997"/>
      <c r="HY903" s="997"/>
      <c r="HZ903" s="997"/>
      <c r="IA903" s="997"/>
      <c r="IB903" s="997"/>
      <c r="IC903" s="997"/>
      <c r="ID903" s="997"/>
      <c r="IE903" s="997"/>
      <c r="IF903" s="997"/>
      <c r="IG903" s="997"/>
      <c r="IH903" s="997"/>
      <c r="II903" s="997"/>
      <c r="IJ903" s="997"/>
      <c r="IK903" s="997"/>
      <c r="IL903" s="997"/>
      <c r="IM903" s="997"/>
      <c r="IN903" s="997"/>
    </row>
    <row r="904" spans="1:248" s="1090" customFormat="1" ht="14.1" customHeight="1">
      <c r="A904" s="1091"/>
      <c r="B904" s="945" t="s">
        <v>3797</v>
      </c>
      <c r="C904" s="184" t="s">
        <v>3986</v>
      </c>
      <c r="D904" s="1092"/>
      <c r="G904" s="997"/>
      <c r="H904" s="997"/>
      <c r="I904" s="997"/>
      <c r="J904" s="997"/>
      <c r="K904" s="997"/>
      <c r="L904" s="997"/>
      <c r="M904" s="997"/>
      <c r="N904" s="997"/>
      <c r="O904" s="997"/>
      <c r="P904" s="997"/>
      <c r="Q904" s="997"/>
      <c r="R904" s="997"/>
      <c r="S904" s="997"/>
      <c r="T904" s="997"/>
      <c r="U904" s="997"/>
      <c r="V904" s="997"/>
      <c r="W904" s="997"/>
      <c r="X904" s="997"/>
      <c r="Y904" s="997"/>
      <c r="Z904" s="997"/>
      <c r="AA904" s="997"/>
      <c r="AB904" s="997"/>
      <c r="AC904" s="997"/>
      <c r="AD904" s="997"/>
      <c r="AE904" s="997"/>
      <c r="AF904" s="997"/>
      <c r="AG904" s="997"/>
      <c r="AH904" s="997"/>
      <c r="AI904" s="997"/>
      <c r="AJ904" s="997"/>
      <c r="AK904" s="997"/>
      <c r="AL904" s="997"/>
      <c r="AM904" s="997"/>
      <c r="AN904" s="997"/>
      <c r="AO904" s="997"/>
      <c r="AP904" s="997"/>
      <c r="AQ904" s="997"/>
      <c r="AR904" s="997"/>
      <c r="AS904" s="997"/>
      <c r="AT904" s="997"/>
      <c r="AU904" s="997"/>
      <c r="AV904" s="997"/>
      <c r="AW904" s="997"/>
      <c r="AX904" s="997"/>
      <c r="AY904" s="997"/>
      <c r="AZ904" s="997"/>
      <c r="BA904" s="997"/>
      <c r="BB904" s="997"/>
      <c r="BC904" s="997"/>
      <c r="BD904" s="997"/>
      <c r="BE904" s="997"/>
      <c r="BF904" s="997"/>
      <c r="BG904" s="997"/>
      <c r="BH904" s="997"/>
      <c r="BI904" s="997"/>
      <c r="BJ904" s="997"/>
      <c r="BK904" s="997"/>
      <c r="BL904" s="997"/>
      <c r="BM904" s="997"/>
      <c r="BN904" s="997"/>
      <c r="BO904" s="997"/>
      <c r="BP904" s="997"/>
      <c r="BQ904" s="997"/>
      <c r="BR904" s="997"/>
      <c r="BS904" s="997"/>
      <c r="BT904" s="997"/>
      <c r="BU904" s="997"/>
      <c r="BV904" s="997"/>
      <c r="BW904" s="997"/>
      <c r="BX904" s="997"/>
      <c r="BY904" s="997"/>
      <c r="BZ904" s="997"/>
      <c r="CA904" s="997"/>
      <c r="CB904" s="997"/>
      <c r="CC904" s="997"/>
      <c r="CD904" s="997"/>
      <c r="CE904" s="997"/>
      <c r="CF904" s="997"/>
      <c r="CG904" s="997"/>
      <c r="CH904" s="997"/>
      <c r="CI904" s="997"/>
      <c r="CJ904" s="997"/>
      <c r="CK904" s="997"/>
      <c r="CL904" s="997"/>
      <c r="CM904" s="997"/>
      <c r="CN904" s="997"/>
      <c r="CO904" s="997"/>
      <c r="CP904" s="997"/>
      <c r="CQ904" s="997"/>
      <c r="CR904" s="997"/>
      <c r="CS904" s="997"/>
      <c r="CT904" s="997"/>
      <c r="CU904" s="997"/>
      <c r="CV904" s="997"/>
      <c r="CW904" s="997"/>
      <c r="CX904" s="997"/>
      <c r="CY904" s="997"/>
      <c r="CZ904" s="997"/>
      <c r="DA904" s="997"/>
      <c r="DB904" s="997"/>
      <c r="DC904" s="997"/>
      <c r="DD904" s="997"/>
      <c r="DE904" s="997"/>
      <c r="DF904" s="997"/>
      <c r="DG904" s="997"/>
      <c r="DH904" s="997"/>
      <c r="DI904" s="997"/>
      <c r="DJ904" s="997"/>
      <c r="DK904" s="997"/>
      <c r="DL904" s="997"/>
      <c r="DM904" s="997"/>
      <c r="DN904" s="997"/>
      <c r="DO904" s="997"/>
      <c r="DP904" s="997"/>
      <c r="DQ904" s="997"/>
      <c r="DR904" s="997"/>
      <c r="DS904" s="997"/>
      <c r="DT904" s="997"/>
      <c r="DU904" s="997"/>
      <c r="DV904" s="997"/>
      <c r="DW904" s="997"/>
      <c r="DX904" s="997"/>
      <c r="DY904" s="997"/>
      <c r="DZ904" s="997"/>
      <c r="EA904" s="997"/>
      <c r="EB904" s="997"/>
      <c r="EC904" s="997"/>
      <c r="ED904" s="997"/>
      <c r="EE904" s="997"/>
      <c r="EF904" s="997"/>
      <c r="EG904" s="997"/>
      <c r="EH904" s="997"/>
      <c r="EI904" s="997"/>
      <c r="EJ904" s="997"/>
      <c r="EK904" s="997"/>
      <c r="EL904" s="997"/>
      <c r="EM904" s="997"/>
      <c r="EN904" s="997"/>
      <c r="EO904" s="997"/>
      <c r="EP904" s="997"/>
      <c r="EQ904" s="997"/>
      <c r="ER904" s="997"/>
      <c r="ES904" s="997"/>
      <c r="ET904" s="997"/>
      <c r="EU904" s="997"/>
      <c r="EV904" s="997"/>
      <c r="EW904" s="997"/>
      <c r="EX904" s="997"/>
      <c r="EY904" s="997"/>
      <c r="EZ904" s="997"/>
      <c r="FA904" s="997"/>
      <c r="FB904" s="997"/>
      <c r="FC904" s="997"/>
      <c r="FD904" s="997"/>
      <c r="FE904" s="997"/>
      <c r="FF904" s="997"/>
      <c r="FG904" s="997"/>
      <c r="FH904" s="997"/>
      <c r="FI904" s="997"/>
      <c r="FJ904" s="997"/>
      <c r="FK904" s="997"/>
      <c r="FL904" s="997"/>
      <c r="FM904" s="997"/>
      <c r="FN904" s="997"/>
      <c r="FO904" s="997"/>
      <c r="FP904" s="997"/>
      <c r="FQ904" s="997"/>
      <c r="FR904" s="997"/>
      <c r="FS904" s="997"/>
      <c r="FT904" s="997"/>
      <c r="FU904" s="997"/>
      <c r="FV904" s="997"/>
      <c r="FW904" s="997"/>
      <c r="FX904" s="997"/>
      <c r="FY904" s="997"/>
      <c r="FZ904" s="997"/>
      <c r="GA904" s="997"/>
      <c r="GB904" s="997"/>
      <c r="GC904" s="997"/>
      <c r="GD904" s="997"/>
      <c r="GE904" s="997"/>
      <c r="GF904" s="997"/>
      <c r="GG904" s="997"/>
      <c r="GH904" s="997"/>
      <c r="GI904" s="997"/>
      <c r="GJ904" s="997"/>
      <c r="GK904" s="997"/>
      <c r="GL904" s="997"/>
      <c r="GM904" s="997"/>
      <c r="GN904" s="997"/>
      <c r="GO904" s="997"/>
      <c r="GP904" s="997"/>
      <c r="GQ904" s="997"/>
      <c r="GR904" s="997"/>
      <c r="GS904" s="997"/>
      <c r="GT904" s="997"/>
      <c r="GU904" s="997"/>
      <c r="GV904" s="997"/>
      <c r="GW904" s="997"/>
      <c r="GX904" s="997"/>
      <c r="GY904" s="997"/>
      <c r="GZ904" s="997"/>
      <c r="HA904" s="997"/>
      <c r="HB904" s="997"/>
      <c r="HC904" s="997"/>
      <c r="HD904" s="997"/>
      <c r="HE904" s="997"/>
      <c r="HF904" s="997"/>
      <c r="HG904" s="997"/>
      <c r="HH904" s="997"/>
      <c r="HI904" s="997"/>
      <c r="HJ904" s="997"/>
      <c r="HK904" s="997"/>
      <c r="HL904" s="997"/>
      <c r="HM904" s="997"/>
      <c r="HN904" s="997"/>
      <c r="HO904" s="997"/>
      <c r="HP904" s="997"/>
      <c r="HQ904" s="997"/>
      <c r="HR904" s="997"/>
      <c r="HS904" s="997"/>
      <c r="HT904" s="997"/>
      <c r="HU904" s="997"/>
      <c r="HV904" s="997"/>
      <c r="HW904" s="997"/>
      <c r="HX904" s="997"/>
      <c r="HY904" s="997"/>
      <c r="HZ904" s="997"/>
      <c r="IA904" s="997"/>
      <c r="IB904" s="997"/>
      <c r="IC904" s="997"/>
      <c r="ID904" s="997"/>
      <c r="IE904" s="997"/>
      <c r="IF904" s="997"/>
      <c r="IG904" s="997"/>
      <c r="IH904" s="997"/>
      <c r="II904" s="997"/>
      <c r="IJ904" s="997"/>
      <c r="IK904" s="997"/>
      <c r="IL904" s="997"/>
      <c r="IM904" s="997"/>
      <c r="IN904" s="997"/>
    </row>
    <row r="905" spans="1:248" s="1090" customFormat="1" ht="14.1" customHeight="1">
      <c r="A905" s="1091"/>
      <c r="B905" s="945"/>
      <c r="C905" s="184"/>
      <c r="D905" s="1092"/>
      <c r="G905" s="997"/>
      <c r="H905" s="997"/>
      <c r="I905" s="997"/>
      <c r="J905" s="997"/>
      <c r="K905" s="997"/>
      <c r="L905" s="997"/>
      <c r="M905" s="997"/>
      <c r="N905" s="997"/>
      <c r="O905" s="997"/>
      <c r="P905" s="997"/>
      <c r="Q905" s="997"/>
      <c r="R905" s="997"/>
      <c r="S905" s="997"/>
      <c r="T905" s="997"/>
      <c r="U905" s="997"/>
      <c r="V905" s="997"/>
      <c r="W905" s="997"/>
      <c r="X905" s="997"/>
      <c r="Y905" s="997"/>
      <c r="Z905" s="997"/>
      <c r="AA905" s="997"/>
      <c r="AB905" s="997"/>
      <c r="AC905" s="997"/>
      <c r="AD905" s="997"/>
      <c r="AE905" s="997"/>
      <c r="AF905" s="997"/>
      <c r="AG905" s="997"/>
      <c r="AH905" s="997"/>
      <c r="AI905" s="997"/>
      <c r="AJ905" s="997"/>
      <c r="AK905" s="997"/>
      <c r="AL905" s="997"/>
      <c r="AM905" s="997"/>
      <c r="AN905" s="997"/>
      <c r="AO905" s="997"/>
      <c r="AP905" s="997"/>
      <c r="AQ905" s="997"/>
      <c r="AR905" s="997"/>
      <c r="AS905" s="997"/>
      <c r="AT905" s="997"/>
      <c r="AU905" s="997"/>
      <c r="AV905" s="997"/>
      <c r="AW905" s="997"/>
      <c r="AX905" s="997"/>
      <c r="AY905" s="997"/>
      <c r="AZ905" s="997"/>
      <c r="BA905" s="997"/>
      <c r="BB905" s="997"/>
      <c r="BC905" s="997"/>
      <c r="BD905" s="997"/>
      <c r="BE905" s="997"/>
      <c r="BF905" s="997"/>
      <c r="BG905" s="997"/>
      <c r="BH905" s="997"/>
      <c r="BI905" s="997"/>
      <c r="BJ905" s="997"/>
      <c r="BK905" s="997"/>
      <c r="BL905" s="997"/>
      <c r="BM905" s="997"/>
      <c r="BN905" s="997"/>
      <c r="BO905" s="997"/>
      <c r="BP905" s="997"/>
      <c r="BQ905" s="997"/>
      <c r="BR905" s="997"/>
      <c r="BS905" s="997"/>
      <c r="BT905" s="997"/>
      <c r="BU905" s="997"/>
      <c r="BV905" s="997"/>
      <c r="BW905" s="997"/>
      <c r="BX905" s="997"/>
      <c r="BY905" s="997"/>
      <c r="BZ905" s="997"/>
      <c r="CA905" s="997"/>
      <c r="CB905" s="997"/>
      <c r="CC905" s="997"/>
      <c r="CD905" s="997"/>
      <c r="CE905" s="997"/>
      <c r="CF905" s="997"/>
      <c r="CG905" s="997"/>
      <c r="CH905" s="997"/>
      <c r="CI905" s="997"/>
      <c r="CJ905" s="997"/>
      <c r="CK905" s="997"/>
      <c r="CL905" s="997"/>
      <c r="CM905" s="997"/>
      <c r="CN905" s="997"/>
      <c r="CO905" s="997"/>
      <c r="CP905" s="997"/>
      <c r="CQ905" s="997"/>
      <c r="CR905" s="997"/>
      <c r="CS905" s="997"/>
      <c r="CT905" s="997"/>
      <c r="CU905" s="997"/>
      <c r="CV905" s="997"/>
      <c r="CW905" s="997"/>
      <c r="CX905" s="997"/>
      <c r="CY905" s="997"/>
      <c r="CZ905" s="997"/>
      <c r="DA905" s="997"/>
      <c r="DB905" s="997"/>
      <c r="DC905" s="997"/>
      <c r="DD905" s="997"/>
      <c r="DE905" s="997"/>
      <c r="DF905" s="997"/>
      <c r="DG905" s="997"/>
      <c r="DH905" s="997"/>
      <c r="DI905" s="997"/>
      <c r="DJ905" s="997"/>
      <c r="DK905" s="997"/>
      <c r="DL905" s="997"/>
      <c r="DM905" s="997"/>
      <c r="DN905" s="997"/>
      <c r="DO905" s="997"/>
      <c r="DP905" s="997"/>
      <c r="DQ905" s="997"/>
      <c r="DR905" s="997"/>
      <c r="DS905" s="997"/>
      <c r="DT905" s="997"/>
      <c r="DU905" s="997"/>
      <c r="DV905" s="997"/>
      <c r="DW905" s="997"/>
      <c r="DX905" s="997"/>
      <c r="DY905" s="997"/>
      <c r="DZ905" s="997"/>
      <c r="EA905" s="997"/>
      <c r="EB905" s="997"/>
      <c r="EC905" s="997"/>
      <c r="ED905" s="997"/>
      <c r="EE905" s="997"/>
      <c r="EF905" s="997"/>
      <c r="EG905" s="997"/>
      <c r="EH905" s="997"/>
      <c r="EI905" s="997"/>
      <c r="EJ905" s="997"/>
      <c r="EK905" s="997"/>
      <c r="EL905" s="997"/>
      <c r="EM905" s="997"/>
      <c r="EN905" s="997"/>
      <c r="EO905" s="997"/>
      <c r="EP905" s="997"/>
      <c r="EQ905" s="997"/>
      <c r="ER905" s="997"/>
      <c r="ES905" s="997"/>
      <c r="ET905" s="997"/>
      <c r="EU905" s="997"/>
      <c r="EV905" s="997"/>
      <c r="EW905" s="997"/>
      <c r="EX905" s="997"/>
      <c r="EY905" s="997"/>
      <c r="EZ905" s="997"/>
      <c r="FA905" s="997"/>
      <c r="FB905" s="997"/>
      <c r="FC905" s="997"/>
      <c r="FD905" s="997"/>
      <c r="FE905" s="997"/>
      <c r="FF905" s="997"/>
      <c r="FG905" s="997"/>
      <c r="FH905" s="997"/>
      <c r="FI905" s="997"/>
      <c r="FJ905" s="997"/>
      <c r="FK905" s="997"/>
      <c r="FL905" s="997"/>
      <c r="FM905" s="997"/>
      <c r="FN905" s="997"/>
      <c r="FO905" s="997"/>
      <c r="FP905" s="997"/>
      <c r="FQ905" s="997"/>
      <c r="FR905" s="997"/>
      <c r="FS905" s="997"/>
      <c r="FT905" s="997"/>
      <c r="FU905" s="997"/>
      <c r="FV905" s="997"/>
      <c r="FW905" s="997"/>
      <c r="FX905" s="997"/>
      <c r="FY905" s="997"/>
      <c r="FZ905" s="997"/>
      <c r="GA905" s="997"/>
      <c r="GB905" s="997"/>
      <c r="GC905" s="997"/>
      <c r="GD905" s="997"/>
      <c r="GE905" s="997"/>
      <c r="GF905" s="997"/>
      <c r="GG905" s="997"/>
      <c r="GH905" s="997"/>
      <c r="GI905" s="997"/>
      <c r="GJ905" s="997"/>
      <c r="GK905" s="997"/>
      <c r="GL905" s="997"/>
      <c r="GM905" s="997"/>
      <c r="GN905" s="997"/>
      <c r="GO905" s="997"/>
      <c r="GP905" s="997"/>
      <c r="GQ905" s="997"/>
      <c r="GR905" s="997"/>
      <c r="GS905" s="997"/>
      <c r="GT905" s="997"/>
      <c r="GU905" s="997"/>
      <c r="GV905" s="997"/>
      <c r="GW905" s="997"/>
      <c r="GX905" s="997"/>
      <c r="GY905" s="997"/>
      <c r="GZ905" s="997"/>
      <c r="HA905" s="997"/>
      <c r="HB905" s="997"/>
      <c r="HC905" s="997"/>
      <c r="HD905" s="997"/>
      <c r="HE905" s="997"/>
      <c r="HF905" s="997"/>
      <c r="HG905" s="997"/>
      <c r="HH905" s="997"/>
      <c r="HI905" s="997"/>
      <c r="HJ905" s="997"/>
      <c r="HK905" s="997"/>
      <c r="HL905" s="997"/>
      <c r="HM905" s="997"/>
      <c r="HN905" s="997"/>
      <c r="HO905" s="997"/>
      <c r="HP905" s="997"/>
      <c r="HQ905" s="997"/>
      <c r="HR905" s="997"/>
      <c r="HS905" s="997"/>
      <c r="HT905" s="997"/>
      <c r="HU905" s="997"/>
      <c r="HV905" s="997"/>
      <c r="HW905" s="997"/>
      <c r="HX905" s="997"/>
      <c r="HY905" s="997"/>
      <c r="HZ905" s="997"/>
      <c r="IA905" s="997"/>
      <c r="IB905" s="997"/>
      <c r="IC905" s="997"/>
      <c r="ID905" s="997"/>
      <c r="IE905" s="997"/>
      <c r="IF905" s="997"/>
      <c r="IG905" s="997"/>
      <c r="IH905" s="997"/>
      <c r="II905" s="997"/>
      <c r="IJ905" s="997"/>
      <c r="IK905" s="997"/>
      <c r="IL905" s="997"/>
      <c r="IM905" s="997"/>
      <c r="IN905" s="997"/>
    </row>
    <row r="906" spans="1:248" s="1090" customFormat="1" ht="14.1" customHeight="1">
      <c r="A906" s="1091"/>
      <c r="B906" s="945" t="s">
        <v>3987</v>
      </c>
      <c r="C906" s="184" t="s">
        <v>2900</v>
      </c>
      <c r="D906" s="683"/>
      <c r="G906" s="997"/>
      <c r="H906" s="997"/>
      <c r="I906" s="997"/>
      <c r="J906" s="997"/>
      <c r="K906" s="997"/>
      <c r="L906" s="997"/>
      <c r="M906" s="997"/>
      <c r="N906" s="997"/>
      <c r="O906" s="997"/>
      <c r="P906" s="997"/>
      <c r="Q906" s="997"/>
      <c r="R906" s="997"/>
      <c r="S906" s="997"/>
      <c r="T906" s="997"/>
      <c r="U906" s="997"/>
      <c r="V906" s="997"/>
      <c r="W906" s="997"/>
      <c r="X906" s="997"/>
      <c r="Y906" s="997"/>
      <c r="Z906" s="997"/>
      <c r="AA906" s="997"/>
      <c r="AB906" s="997"/>
      <c r="AC906" s="997"/>
      <c r="AD906" s="997"/>
      <c r="AE906" s="997"/>
      <c r="AF906" s="997"/>
      <c r="AG906" s="997"/>
      <c r="AH906" s="997"/>
      <c r="AI906" s="997"/>
      <c r="AJ906" s="997"/>
      <c r="AK906" s="997"/>
      <c r="AL906" s="997"/>
      <c r="AM906" s="997"/>
      <c r="AN906" s="997"/>
      <c r="AO906" s="997"/>
      <c r="AP906" s="997"/>
      <c r="AQ906" s="997"/>
      <c r="AR906" s="997"/>
      <c r="AS906" s="997"/>
      <c r="AT906" s="997"/>
      <c r="AU906" s="997"/>
      <c r="AV906" s="997"/>
      <c r="AW906" s="997"/>
      <c r="AX906" s="997"/>
      <c r="AY906" s="997"/>
      <c r="AZ906" s="997"/>
      <c r="BA906" s="997"/>
      <c r="BB906" s="997"/>
      <c r="BC906" s="997"/>
      <c r="BD906" s="997"/>
      <c r="BE906" s="997"/>
      <c r="BF906" s="997"/>
      <c r="BG906" s="997"/>
      <c r="BH906" s="997"/>
      <c r="BI906" s="997"/>
      <c r="BJ906" s="997"/>
      <c r="BK906" s="997"/>
      <c r="BL906" s="997"/>
      <c r="BM906" s="997"/>
      <c r="BN906" s="997"/>
      <c r="BO906" s="997"/>
      <c r="BP906" s="997"/>
      <c r="BQ906" s="997"/>
      <c r="BR906" s="997"/>
      <c r="BS906" s="997"/>
      <c r="BT906" s="997"/>
      <c r="BU906" s="997"/>
      <c r="BV906" s="997"/>
      <c r="BW906" s="997"/>
      <c r="BX906" s="997"/>
      <c r="BY906" s="997"/>
      <c r="BZ906" s="997"/>
      <c r="CA906" s="997"/>
      <c r="CB906" s="997"/>
      <c r="CC906" s="997"/>
      <c r="CD906" s="997"/>
      <c r="CE906" s="997"/>
      <c r="CF906" s="997"/>
      <c r="CG906" s="997"/>
      <c r="CH906" s="997"/>
      <c r="CI906" s="997"/>
      <c r="CJ906" s="997"/>
      <c r="CK906" s="997"/>
      <c r="CL906" s="997"/>
      <c r="CM906" s="997"/>
      <c r="CN906" s="997"/>
      <c r="CO906" s="997"/>
      <c r="CP906" s="997"/>
      <c r="CQ906" s="997"/>
      <c r="CR906" s="997"/>
      <c r="CS906" s="997"/>
      <c r="CT906" s="997"/>
      <c r="CU906" s="997"/>
      <c r="CV906" s="997"/>
      <c r="CW906" s="997"/>
      <c r="CX906" s="997"/>
      <c r="CY906" s="997"/>
      <c r="CZ906" s="997"/>
      <c r="DA906" s="997"/>
      <c r="DB906" s="997"/>
      <c r="DC906" s="997"/>
      <c r="DD906" s="997"/>
      <c r="DE906" s="997"/>
      <c r="DF906" s="997"/>
      <c r="DG906" s="997"/>
      <c r="DH906" s="997"/>
      <c r="DI906" s="997"/>
      <c r="DJ906" s="997"/>
      <c r="DK906" s="997"/>
      <c r="DL906" s="997"/>
      <c r="DM906" s="997"/>
      <c r="DN906" s="997"/>
      <c r="DO906" s="997"/>
      <c r="DP906" s="997"/>
      <c r="DQ906" s="997"/>
      <c r="DR906" s="997"/>
      <c r="DS906" s="997"/>
      <c r="DT906" s="997"/>
      <c r="DU906" s="997"/>
      <c r="DV906" s="997"/>
      <c r="DW906" s="997"/>
      <c r="DX906" s="997"/>
      <c r="DY906" s="997"/>
      <c r="DZ906" s="997"/>
      <c r="EA906" s="997"/>
      <c r="EB906" s="997"/>
      <c r="EC906" s="997"/>
      <c r="ED906" s="997"/>
      <c r="EE906" s="997"/>
      <c r="EF906" s="997"/>
      <c r="EG906" s="997"/>
      <c r="EH906" s="997"/>
      <c r="EI906" s="997"/>
      <c r="EJ906" s="997"/>
      <c r="EK906" s="997"/>
      <c r="EL906" s="997"/>
      <c r="EM906" s="997"/>
      <c r="EN906" s="997"/>
      <c r="EO906" s="997"/>
      <c r="EP906" s="997"/>
      <c r="EQ906" s="997"/>
      <c r="ER906" s="997"/>
      <c r="ES906" s="997"/>
      <c r="ET906" s="997"/>
      <c r="EU906" s="997"/>
      <c r="EV906" s="997"/>
      <c r="EW906" s="997"/>
      <c r="EX906" s="997"/>
      <c r="EY906" s="997"/>
      <c r="EZ906" s="997"/>
      <c r="FA906" s="997"/>
      <c r="FB906" s="997"/>
      <c r="FC906" s="997"/>
      <c r="FD906" s="997"/>
      <c r="FE906" s="997"/>
      <c r="FF906" s="997"/>
      <c r="FG906" s="997"/>
      <c r="FH906" s="997"/>
      <c r="FI906" s="997"/>
      <c r="FJ906" s="997"/>
      <c r="FK906" s="997"/>
      <c r="FL906" s="997"/>
      <c r="FM906" s="997"/>
      <c r="FN906" s="997"/>
      <c r="FO906" s="997"/>
      <c r="FP906" s="997"/>
      <c r="FQ906" s="997"/>
      <c r="FR906" s="997"/>
      <c r="FS906" s="997"/>
      <c r="FT906" s="997"/>
      <c r="FU906" s="997"/>
      <c r="FV906" s="997"/>
      <c r="FW906" s="997"/>
      <c r="FX906" s="997"/>
      <c r="FY906" s="997"/>
      <c r="FZ906" s="997"/>
      <c r="GA906" s="997"/>
      <c r="GB906" s="997"/>
      <c r="GC906" s="997"/>
      <c r="GD906" s="997"/>
      <c r="GE906" s="997"/>
      <c r="GF906" s="997"/>
      <c r="GG906" s="997"/>
      <c r="GH906" s="997"/>
      <c r="GI906" s="997"/>
      <c r="GJ906" s="997"/>
      <c r="GK906" s="997"/>
      <c r="GL906" s="997"/>
      <c r="GM906" s="997"/>
      <c r="GN906" s="997"/>
      <c r="GO906" s="997"/>
      <c r="GP906" s="997"/>
      <c r="GQ906" s="997"/>
      <c r="GR906" s="997"/>
      <c r="GS906" s="997"/>
      <c r="GT906" s="997"/>
      <c r="GU906" s="997"/>
      <c r="GV906" s="997"/>
      <c r="GW906" s="997"/>
      <c r="GX906" s="997"/>
      <c r="GY906" s="997"/>
      <c r="GZ906" s="997"/>
      <c r="HA906" s="997"/>
      <c r="HB906" s="997"/>
      <c r="HC906" s="997"/>
      <c r="HD906" s="997"/>
      <c r="HE906" s="997"/>
      <c r="HF906" s="997"/>
      <c r="HG906" s="997"/>
      <c r="HH906" s="997"/>
      <c r="HI906" s="997"/>
      <c r="HJ906" s="997"/>
      <c r="HK906" s="997"/>
      <c r="HL906" s="997"/>
      <c r="HM906" s="997"/>
      <c r="HN906" s="997"/>
      <c r="HO906" s="997"/>
      <c r="HP906" s="997"/>
      <c r="HQ906" s="997"/>
      <c r="HR906" s="997"/>
      <c r="HS906" s="997"/>
      <c r="HT906" s="997"/>
      <c r="HU906" s="997"/>
      <c r="HV906" s="997"/>
      <c r="HW906" s="997"/>
      <c r="HX906" s="997"/>
      <c r="HY906" s="997"/>
      <c r="HZ906" s="997"/>
      <c r="IA906" s="997"/>
      <c r="IB906" s="997"/>
      <c r="IC906" s="997"/>
      <c r="ID906" s="997"/>
      <c r="IE906" s="997"/>
      <c r="IF906" s="997"/>
      <c r="IG906" s="997"/>
      <c r="IH906" s="997"/>
      <c r="II906" s="997"/>
      <c r="IJ906" s="997"/>
      <c r="IK906" s="997"/>
      <c r="IL906" s="997"/>
      <c r="IM906" s="997"/>
      <c r="IN906" s="997"/>
    </row>
    <row r="907" spans="1:248" s="1090" customFormat="1" ht="14.1" customHeight="1">
      <c r="A907" s="1091"/>
      <c r="B907" s="752"/>
      <c r="C907" s="184" t="s">
        <v>2901</v>
      </c>
      <c r="D907" s="1092"/>
      <c r="G907" s="997"/>
      <c r="H907" s="997"/>
      <c r="I907" s="997"/>
      <c r="J907" s="997"/>
      <c r="K907" s="997"/>
      <c r="L907" s="997"/>
      <c r="M907" s="997"/>
      <c r="N907" s="997"/>
      <c r="O907" s="997"/>
      <c r="P907" s="997"/>
      <c r="Q907" s="997"/>
      <c r="R907" s="997"/>
      <c r="S907" s="997"/>
      <c r="T907" s="997"/>
      <c r="U907" s="997"/>
      <c r="V907" s="997"/>
      <c r="W907" s="997"/>
      <c r="X907" s="997"/>
      <c r="Y907" s="997"/>
      <c r="Z907" s="997"/>
      <c r="AA907" s="997"/>
      <c r="AB907" s="997"/>
      <c r="AC907" s="997"/>
      <c r="AD907" s="997"/>
      <c r="AE907" s="997"/>
      <c r="AF907" s="997"/>
      <c r="AG907" s="997"/>
      <c r="AH907" s="997"/>
      <c r="AI907" s="997"/>
      <c r="AJ907" s="997"/>
      <c r="AK907" s="997"/>
      <c r="AL907" s="997"/>
      <c r="AM907" s="997"/>
      <c r="AN907" s="997"/>
      <c r="AO907" s="997"/>
      <c r="AP907" s="997"/>
      <c r="AQ907" s="997"/>
      <c r="AR907" s="997"/>
      <c r="AS907" s="997"/>
      <c r="AT907" s="997"/>
      <c r="AU907" s="997"/>
      <c r="AV907" s="997"/>
      <c r="AW907" s="997"/>
      <c r="AX907" s="997"/>
      <c r="AY907" s="997"/>
      <c r="AZ907" s="997"/>
      <c r="BA907" s="997"/>
      <c r="BB907" s="997"/>
      <c r="BC907" s="997"/>
      <c r="BD907" s="997"/>
      <c r="BE907" s="997"/>
      <c r="BF907" s="997"/>
      <c r="BG907" s="997"/>
      <c r="BH907" s="997"/>
      <c r="BI907" s="997"/>
      <c r="BJ907" s="997"/>
      <c r="BK907" s="997"/>
      <c r="BL907" s="997"/>
      <c r="BM907" s="997"/>
      <c r="BN907" s="997"/>
      <c r="BO907" s="997"/>
      <c r="BP907" s="997"/>
      <c r="BQ907" s="997"/>
      <c r="BR907" s="997"/>
      <c r="BS907" s="997"/>
      <c r="BT907" s="997"/>
      <c r="BU907" s="997"/>
      <c r="BV907" s="997"/>
      <c r="BW907" s="997"/>
      <c r="BX907" s="997"/>
      <c r="BY907" s="997"/>
      <c r="BZ907" s="997"/>
      <c r="CA907" s="997"/>
      <c r="CB907" s="997"/>
      <c r="CC907" s="997"/>
      <c r="CD907" s="997"/>
      <c r="CE907" s="997"/>
      <c r="CF907" s="997"/>
      <c r="CG907" s="997"/>
      <c r="CH907" s="997"/>
      <c r="CI907" s="997"/>
      <c r="CJ907" s="997"/>
      <c r="CK907" s="997"/>
      <c r="CL907" s="997"/>
      <c r="CM907" s="997"/>
      <c r="CN907" s="997"/>
      <c r="CO907" s="997"/>
      <c r="CP907" s="997"/>
      <c r="CQ907" s="997"/>
      <c r="CR907" s="997"/>
      <c r="CS907" s="997"/>
      <c r="CT907" s="997"/>
      <c r="CU907" s="997"/>
      <c r="CV907" s="997"/>
      <c r="CW907" s="997"/>
      <c r="CX907" s="997"/>
      <c r="CY907" s="997"/>
      <c r="CZ907" s="997"/>
      <c r="DA907" s="997"/>
      <c r="DB907" s="997"/>
      <c r="DC907" s="997"/>
      <c r="DD907" s="997"/>
      <c r="DE907" s="997"/>
      <c r="DF907" s="997"/>
      <c r="DG907" s="997"/>
      <c r="DH907" s="997"/>
      <c r="DI907" s="997"/>
      <c r="DJ907" s="997"/>
      <c r="DK907" s="997"/>
      <c r="DL907" s="997"/>
      <c r="DM907" s="997"/>
      <c r="DN907" s="997"/>
      <c r="DO907" s="997"/>
      <c r="DP907" s="997"/>
      <c r="DQ907" s="997"/>
      <c r="DR907" s="997"/>
      <c r="DS907" s="997"/>
      <c r="DT907" s="997"/>
      <c r="DU907" s="997"/>
      <c r="DV907" s="997"/>
      <c r="DW907" s="997"/>
      <c r="DX907" s="997"/>
      <c r="DY907" s="997"/>
      <c r="DZ907" s="997"/>
      <c r="EA907" s="997"/>
      <c r="EB907" s="997"/>
      <c r="EC907" s="997"/>
      <c r="ED907" s="997"/>
      <c r="EE907" s="997"/>
      <c r="EF907" s="997"/>
      <c r="EG907" s="997"/>
      <c r="EH907" s="997"/>
      <c r="EI907" s="997"/>
      <c r="EJ907" s="997"/>
      <c r="EK907" s="997"/>
      <c r="EL907" s="997"/>
      <c r="EM907" s="997"/>
      <c r="EN907" s="997"/>
      <c r="EO907" s="997"/>
      <c r="EP907" s="997"/>
      <c r="EQ907" s="997"/>
      <c r="ER907" s="997"/>
      <c r="ES907" s="997"/>
      <c r="ET907" s="997"/>
      <c r="EU907" s="997"/>
      <c r="EV907" s="997"/>
      <c r="EW907" s="997"/>
      <c r="EX907" s="997"/>
      <c r="EY907" s="997"/>
      <c r="EZ907" s="997"/>
      <c r="FA907" s="997"/>
      <c r="FB907" s="997"/>
      <c r="FC907" s="997"/>
      <c r="FD907" s="997"/>
      <c r="FE907" s="997"/>
      <c r="FF907" s="997"/>
      <c r="FG907" s="997"/>
      <c r="FH907" s="997"/>
      <c r="FI907" s="997"/>
      <c r="FJ907" s="997"/>
      <c r="FK907" s="997"/>
      <c r="FL907" s="997"/>
      <c r="FM907" s="997"/>
      <c r="FN907" s="997"/>
      <c r="FO907" s="997"/>
      <c r="FP907" s="997"/>
      <c r="FQ907" s="997"/>
      <c r="FR907" s="997"/>
      <c r="FS907" s="997"/>
      <c r="FT907" s="997"/>
      <c r="FU907" s="997"/>
      <c r="FV907" s="997"/>
      <c r="FW907" s="997"/>
      <c r="FX907" s="997"/>
      <c r="FY907" s="997"/>
      <c r="FZ907" s="997"/>
      <c r="GA907" s="997"/>
      <c r="GB907" s="997"/>
      <c r="GC907" s="997"/>
      <c r="GD907" s="997"/>
      <c r="GE907" s="997"/>
      <c r="GF907" s="997"/>
      <c r="GG907" s="997"/>
      <c r="GH907" s="997"/>
      <c r="GI907" s="997"/>
      <c r="GJ907" s="997"/>
      <c r="GK907" s="997"/>
      <c r="GL907" s="997"/>
      <c r="GM907" s="997"/>
      <c r="GN907" s="997"/>
      <c r="GO907" s="997"/>
      <c r="GP907" s="997"/>
      <c r="GQ907" s="997"/>
      <c r="GR907" s="997"/>
      <c r="GS907" s="997"/>
      <c r="GT907" s="997"/>
      <c r="GU907" s="997"/>
      <c r="GV907" s="997"/>
      <c r="GW907" s="997"/>
      <c r="GX907" s="997"/>
      <c r="GY907" s="997"/>
      <c r="GZ907" s="997"/>
      <c r="HA907" s="997"/>
      <c r="HB907" s="997"/>
      <c r="HC907" s="997"/>
      <c r="HD907" s="997"/>
      <c r="HE907" s="997"/>
      <c r="HF907" s="997"/>
      <c r="HG907" s="997"/>
      <c r="HH907" s="997"/>
      <c r="HI907" s="997"/>
      <c r="HJ907" s="997"/>
      <c r="HK907" s="997"/>
      <c r="HL907" s="997"/>
      <c r="HM907" s="997"/>
      <c r="HN907" s="997"/>
      <c r="HO907" s="997"/>
      <c r="HP907" s="997"/>
      <c r="HQ907" s="997"/>
      <c r="HR907" s="997"/>
      <c r="HS907" s="997"/>
      <c r="HT907" s="997"/>
      <c r="HU907" s="997"/>
      <c r="HV907" s="997"/>
      <c r="HW907" s="997"/>
      <c r="HX907" s="997"/>
      <c r="HY907" s="997"/>
      <c r="HZ907" s="997"/>
      <c r="IA907" s="997"/>
      <c r="IB907" s="997"/>
      <c r="IC907" s="997"/>
      <c r="ID907" s="997"/>
      <c r="IE907" s="997"/>
      <c r="IF907" s="997"/>
      <c r="IG907" s="997"/>
      <c r="IH907" s="997"/>
      <c r="II907" s="997"/>
      <c r="IJ907" s="997"/>
      <c r="IK907" s="997"/>
      <c r="IL907" s="997"/>
      <c r="IM907" s="997"/>
      <c r="IN907" s="997"/>
    </row>
    <row r="908" spans="1:248" s="1090" customFormat="1" ht="14.1" customHeight="1">
      <c r="A908" s="1091"/>
      <c r="B908" s="723"/>
      <c r="C908" s="184" t="s">
        <v>2902</v>
      </c>
      <c r="D908" s="1092"/>
      <c r="G908" s="997"/>
      <c r="H908" s="997"/>
      <c r="I908" s="997"/>
      <c r="J908" s="997"/>
      <c r="K908" s="997"/>
      <c r="L908" s="997"/>
      <c r="M908" s="997"/>
      <c r="N908" s="997"/>
      <c r="O908" s="997"/>
      <c r="P908" s="997"/>
      <c r="Q908" s="997"/>
      <c r="R908" s="997"/>
      <c r="S908" s="997"/>
      <c r="T908" s="997"/>
      <c r="U908" s="997"/>
      <c r="V908" s="997"/>
      <c r="W908" s="997"/>
      <c r="X908" s="997"/>
      <c r="Y908" s="997"/>
      <c r="Z908" s="997"/>
      <c r="AA908" s="997"/>
      <c r="AB908" s="997"/>
      <c r="AC908" s="997"/>
      <c r="AD908" s="997"/>
      <c r="AE908" s="997"/>
      <c r="AF908" s="997"/>
      <c r="AG908" s="997"/>
      <c r="AH908" s="997"/>
      <c r="AI908" s="997"/>
      <c r="AJ908" s="997"/>
      <c r="AK908" s="997"/>
      <c r="AL908" s="997"/>
      <c r="AM908" s="997"/>
      <c r="AN908" s="997"/>
      <c r="AO908" s="997"/>
      <c r="AP908" s="997"/>
      <c r="AQ908" s="997"/>
      <c r="AR908" s="997"/>
      <c r="AS908" s="997"/>
      <c r="AT908" s="997"/>
      <c r="AU908" s="997"/>
      <c r="AV908" s="997"/>
      <c r="AW908" s="997"/>
      <c r="AX908" s="997"/>
      <c r="AY908" s="997"/>
      <c r="AZ908" s="997"/>
      <c r="BA908" s="997"/>
      <c r="BB908" s="997"/>
      <c r="BC908" s="997"/>
      <c r="BD908" s="997"/>
      <c r="BE908" s="997"/>
      <c r="BF908" s="997"/>
      <c r="BG908" s="997"/>
      <c r="BH908" s="997"/>
      <c r="BI908" s="997"/>
      <c r="BJ908" s="997"/>
      <c r="BK908" s="997"/>
      <c r="BL908" s="997"/>
      <c r="BM908" s="997"/>
      <c r="BN908" s="997"/>
      <c r="BO908" s="997"/>
      <c r="BP908" s="997"/>
      <c r="BQ908" s="997"/>
      <c r="BR908" s="997"/>
      <c r="BS908" s="997"/>
      <c r="BT908" s="997"/>
      <c r="BU908" s="997"/>
      <c r="BV908" s="997"/>
      <c r="BW908" s="997"/>
      <c r="BX908" s="997"/>
      <c r="BY908" s="997"/>
      <c r="BZ908" s="997"/>
      <c r="CA908" s="997"/>
      <c r="CB908" s="997"/>
      <c r="CC908" s="997"/>
      <c r="CD908" s="997"/>
      <c r="CE908" s="997"/>
      <c r="CF908" s="997"/>
      <c r="CG908" s="997"/>
      <c r="CH908" s="997"/>
      <c r="CI908" s="997"/>
      <c r="CJ908" s="997"/>
      <c r="CK908" s="997"/>
      <c r="CL908" s="997"/>
      <c r="CM908" s="997"/>
      <c r="CN908" s="997"/>
      <c r="CO908" s="997"/>
      <c r="CP908" s="997"/>
      <c r="CQ908" s="997"/>
      <c r="CR908" s="997"/>
      <c r="CS908" s="997"/>
      <c r="CT908" s="997"/>
      <c r="CU908" s="997"/>
      <c r="CV908" s="997"/>
      <c r="CW908" s="997"/>
      <c r="CX908" s="997"/>
      <c r="CY908" s="997"/>
      <c r="CZ908" s="997"/>
      <c r="DA908" s="997"/>
      <c r="DB908" s="997"/>
      <c r="DC908" s="997"/>
      <c r="DD908" s="997"/>
      <c r="DE908" s="997"/>
      <c r="DF908" s="997"/>
      <c r="DG908" s="997"/>
      <c r="DH908" s="997"/>
      <c r="DI908" s="997"/>
      <c r="DJ908" s="997"/>
      <c r="DK908" s="997"/>
      <c r="DL908" s="997"/>
      <c r="DM908" s="997"/>
      <c r="DN908" s="997"/>
      <c r="DO908" s="997"/>
      <c r="DP908" s="997"/>
      <c r="DQ908" s="997"/>
      <c r="DR908" s="997"/>
      <c r="DS908" s="997"/>
      <c r="DT908" s="997"/>
      <c r="DU908" s="997"/>
      <c r="DV908" s="997"/>
      <c r="DW908" s="997"/>
      <c r="DX908" s="997"/>
      <c r="DY908" s="997"/>
      <c r="DZ908" s="997"/>
      <c r="EA908" s="997"/>
      <c r="EB908" s="997"/>
      <c r="EC908" s="997"/>
      <c r="ED908" s="997"/>
      <c r="EE908" s="997"/>
      <c r="EF908" s="997"/>
      <c r="EG908" s="997"/>
      <c r="EH908" s="997"/>
      <c r="EI908" s="997"/>
      <c r="EJ908" s="997"/>
      <c r="EK908" s="997"/>
      <c r="EL908" s="997"/>
      <c r="EM908" s="997"/>
      <c r="EN908" s="997"/>
      <c r="EO908" s="997"/>
      <c r="EP908" s="997"/>
      <c r="EQ908" s="997"/>
      <c r="ER908" s="997"/>
      <c r="ES908" s="997"/>
      <c r="ET908" s="997"/>
      <c r="EU908" s="997"/>
      <c r="EV908" s="997"/>
      <c r="EW908" s="997"/>
      <c r="EX908" s="997"/>
      <c r="EY908" s="997"/>
      <c r="EZ908" s="997"/>
      <c r="FA908" s="997"/>
      <c r="FB908" s="997"/>
      <c r="FC908" s="997"/>
      <c r="FD908" s="997"/>
      <c r="FE908" s="997"/>
      <c r="FF908" s="997"/>
      <c r="FG908" s="997"/>
      <c r="FH908" s="997"/>
      <c r="FI908" s="997"/>
      <c r="FJ908" s="997"/>
      <c r="FK908" s="997"/>
      <c r="FL908" s="997"/>
      <c r="FM908" s="997"/>
      <c r="FN908" s="997"/>
      <c r="FO908" s="997"/>
      <c r="FP908" s="997"/>
      <c r="FQ908" s="997"/>
      <c r="FR908" s="997"/>
      <c r="FS908" s="997"/>
      <c r="FT908" s="997"/>
      <c r="FU908" s="997"/>
      <c r="FV908" s="997"/>
      <c r="FW908" s="997"/>
      <c r="FX908" s="997"/>
      <c r="FY908" s="997"/>
      <c r="FZ908" s="997"/>
      <c r="GA908" s="997"/>
      <c r="GB908" s="997"/>
      <c r="GC908" s="997"/>
      <c r="GD908" s="997"/>
      <c r="GE908" s="997"/>
      <c r="GF908" s="997"/>
      <c r="GG908" s="997"/>
      <c r="GH908" s="997"/>
      <c r="GI908" s="997"/>
      <c r="GJ908" s="997"/>
      <c r="GK908" s="997"/>
      <c r="GL908" s="997"/>
      <c r="GM908" s="997"/>
      <c r="GN908" s="997"/>
      <c r="GO908" s="997"/>
      <c r="GP908" s="997"/>
      <c r="GQ908" s="997"/>
      <c r="GR908" s="997"/>
      <c r="GS908" s="997"/>
      <c r="GT908" s="997"/>
      <c r="GU908" s="997"/>
      <c r="GV908" s="997"/>
      <c r="GW908" s="997"/>
      <c r="GX908" s="997"/>
      <c r="GY908" s="997"/>
      <c r="GZ908" s="997"/>
      <c r="HA908" s="997"/>
      <c r="HB908" s="997"/>
      <c r="HC908" s="997"/>
      <c r="HD908" s="997"/>
      <c r="HE908" s="997"/>
      <c r="HF908" s="997"/>
      <c r="HG908" s="997"/>
      <c r="HH908" s="997"/>
      <c r="HI908" s="997"/>
      <c r="HJ908" s="997"/>
      <c r="HK908" s="997"/>
      <c r="HL908" s="997"/>
      <c r="HM908" s="997"/>
      <c r="HN908" s="997"/>
      <c r="HO908" s="997"/>
      <c r="HP908" s="997"/>
      <c r="HQ908" s="997"/>
      <c r="HR908" s="997"/>
      <c r="HS908" s="997"/>
      <c r="HT908" s="997"/>
      <c r="HU908" s="997"/>
      <c r="HV908" s="997"/>
      <c r="HW908" s="997"/>
      <c r="HX908" s="997"/>
      <c r="HY908" s="997"/>
      <c r="HZ908" s="997"/>
      <c r="IA908" s="997"/>
      <c r="IB908" s="997"/>
      <c r="IC908" s="997"/>
      <c r="ID908" s="997"/>
      <c r="IE908" s="997"/>
      <c r="IF908" s="997"/>
      <c r="IG908" s="997"/>
      <c r="IH908" s="997"/>
      <c r="II908" s="997"/>
      <c r="IJ908" s="997"/>
      <c r="IK908" s="997"/>
      <c r="IL908" s="997"/>
      <c r="IM908" s="997"/>
      <c r="IN908" s="997"/>
    </row>
    <row r="909" spans="1:248" s="1090" customFormat="1" ht="14.1" customHeight="1">
      <c r="A909" s="380"/>
      <c r="B909" s="945"/>
      <c r="C909" s="184"/>
      <c r="D909" s="683"/>
      <c r="G909" s="997"/>
      <c r="H909" s="997"/>
      <c r="I909" s="997"/>
      <c r="J909" s="997"/>
      <c r="K909" s="997"/>
      <c r="L909" s="997"/>
      <c r="M909" s="997"/>
      <c r="N909" s="997"/>
      <c r="O909" s="997"/>
      <c r="P909" s="997"/>
      <c r="Q909" s="997"/>
      <c r="R909" s="997"/>
      <c r="S909" s="997"/>
      <c r="T909" s="997"/>
      <c r="U909" s="997"/>
      <c r="V909" s="997"/>
      <c r="W909" s="997"/>
      <c r="X909" s="997"/>
      <c r="Y909" s="997"/>
      <c r="Z909" s="997"/>
      <c r="AA909" s="997"/>
      <c r="AB909" s="997"/>
      <c r="AC909" s="997"/>
      <c r="AD909" s="997"/>
      <c r="AE909" s="997"/>
      <c r="AF909" s="997"/>
      <c r="AG909" s="997"/>
      <c r="AH909" s="997"/>
      <c r="AI909" s="997"/>
      <c r="AJ909" s="997"/>
      <c r="AK909" s="997"/>
      <c r="AL909" s="997"/>
      <c r="AM909" s="997"/>
      <c r="AN909" s="997"/>
      <c r="AO909" s="997"/>
      <c r="AP909" s="997"/>
      <c r="AQ909" s="997"/>
      <c r="AR909" s="997"/>
      <c r="AS909" s="997"/>
      <c r="AT909" s="997"/>
      <c r="AU909" s="997"/>
      <c r="AV909" s="997"/>
      <c r="AW909" s="997"/>
      <c r="AX909" s="997"/>
      <c r="AY909" s="997"/>
      <c r="AZ909" s="997"/>
      <c r="BA909" s="997"/>
      <c r="BB909" s="997"/>
      <c r="BC909" s="997"/>
      <c r="BD909" s="997"/>
      <c r="BE909" s="997"/>
      <c r="BF909" s="997"/>
      <c r="BG909" s="997"/>
      <c r="BH909" s="997"/>
      <c r="BI909" s="997"/>
      <c r="BJ909" s="997"/>
      <c r="BK909" s="997"/>
      <c r="BL909" s="997"/>
      <c r="BM909" s="997"/>
      <c r="BN909" s="997"/>
      <c r="BO909" s="997"/>
      <c r="BP909" s="997"/>
      <c r="BQ909" s="997"/>
      <c r="BR909" s="997"/>
      <c r="BS909" s="997"/>
      <c r="BT909" s="997"/>
      <c r="BU909" s="997"/>
      <c r="BV909" s="997"/>
      <c r="BW909" s="997"/>
      <c r="BX909" s="997"/>
      <c r="BY909" s="997"/>
      <c r="BZ909" s="997"/>
      <c r="CA909" s="997"/>
      <c r="CB909" s="997"/>
      <c r="CC909" s="997"/>
      <c r="CD909" s="997"/>
      <c r="CE909" s="997"/>
      <c r="CF909" s="997"/>
      <c r="CG909" s="997"/>
      <c r="CH909" s="997"/>
      <c r="CI909" s="997"/>
      <c r="CJ909" s="997"/>
      <c r="CK909" s="997"/>
      <c r="CL909" s="997"/>
      <c r="CM909" s="997"/>
      <c r="CN909" s="997"/>
      <c r="CO909" s="997"/>
      <c r="CP909" s="997"/>
      <c r="CQ909" s="997"/>
      <c r="CR909" s="997"/>
      <c r="CS909" s="997"/>
      <c r="CT909" s="997"/>
      <c r="CU909" s="997"/>
      <c r="CV909" s="997"/>
      <c r="CW909" s="997"/>
      <c r="CX909" s="997"/>
      <c r="CY909" s="997"/>
      <c r="CZ909" s="997"/>
      <c r="DA909" s="997"/>
      <c r="DB909" s="997"/>
      <c r="DC909" s="997"/>
      <c r="DD909" s="997"/>
      <c r="DE909" s="997"/>
      <c r="DF909" s="997"/>
      <c r="DG909" s="997"/>
      <c r="DH909" s="997"/>
      <c r="DI909" s="997"/>
      <c r="DJ909" s="997"/>
      <c r="DK909" s="997"/>
      <c r="DL909" s="997"/>
      <c r="DM909" s="997"/>
      <c r="DN909" s="997"/>
      <c r="DO909" s="997"/>
      <c r="DP909" s="997"/>
      <c r="DQ909" s="997"/>
      <c r="DR909" s="997"/>
      <c r="DS909" s="997"/>
      <c r="DT909" s="997"/>
      <c r="DU909" s="997"/>
      <c r="DV909" s="997"/>
      <c r="DW909" s="997"/>
      <c r="DX909" s="997"/>
      <c r="DY909" s="997"/>
      <c r="DZ909" s="997"/>
      <c r="EA909" s="997"/>
      <c r="EB909" s="997"/>
      <c r="EC909" s="997"/>
      <c r="ED909" s="997"/>
      <c r="EE909" s="997"/>
      <c r="EF909" s="997"/>
      <c r="EG909" s="997"/>
      <c r="EH909" s="997"/>
      <c r="EI909" s="997"/>
      <c r="EJ909" s="997"/>
      <c r="EK909" s="997"/>
      <c r="EL909" s="997"/>
      <c r="EM909" s="997"/>
      <c r="EN909" s="997"/>
      <c r="EO909" s="997"/>
      <c r="EP909" s="997"/>
      <c r="EQ909" s="997"/>
      <c r="ER909" s="997"/>
      <c r="ES909" s="997"/>
      <c r="ET909" s="997"/>
      <c r="EU909" s="997"/>
      <c r="EV909" s="997"/>
      <c r="EW909" s="997"/>
      <c r="EX909" s="997"/>
      <c r="EY909" s="997"/>
      <c r="EZ909" s="997"/>
      <c r="FA909" s="997"/>
      <c r="FB909" s="997"/>
      <c r="FC909" s="997"/>
      <c r="FD909" s="997"/>
      <c r="FE909" s="997"/>
      <c r="FF909" s="997"/>
      <c r="FG909" s="997"/>
      <c r="FH909" s="997"/>
      <c r="FI909" s="997"/>
      <c r="FJ909" s="997"/>
      <c r="FK909" s="997"/>
      <c r="FL909" s="997"/>
      <c r="FM909" s="997"/>
      <c r="FN909" s="997"/>
      <c r="FO909" s="997"/>
      <c r="FP909" s="997"/>
      <c r="FQ909" s="997"/>
      <c r="FR909" s="997"/>
      <c r="FS909" s="997"/>
      <c r="FT909" s="997"/>
      <c r="FU909" s="997"/>
      <c r="FV909" s="997"/>
      <c r="FW909" s="997"/>
      <c r="FX909" s="997"/>
      <c r="FY909" s="997"/>
      <c r="FZ909" s="997"/>
      <c r="GA909" s="997"/>
      <c r="GB909" s="997"/>
      <c r="GC909" s="997"/>
      <c r="GD909" s="997"/>
      <c r="GE909" s="997"/>
      <c r="GF909" s="997"/>
      <c r="GG909" s="997"/>
      <c r="GH909" s="997"/>
      <c r="GI909" s="997"/>
      <c r="GJ909" s="997"/>
      <c r="GK909" s="997"/>
      <c r="GL909" s="997"/>
      <c r="GM909" s="997"/>
      <c r="GN909" s="997"/>
      <c r="GO909" s="997"/>
      <c r="GP909" s="997"/>
      <c r="GQ909" s="997"/>
      <c r="GR909" s="997"/>
      <c r="GS909" s="997"/>
      <c r="GT909" s="997"/>
      <c r="GU909" s="997"/>
      <c r="GV909" s="997"/>
      <c r="GW909" s="997"/>
      <c r="GX909" s="997"/>
      <c r="GY909" s="997"/>
      <c r="GZ909" s="997"/>
      <c r="HA909" s="997"/>
      <c r="HB909" s="997"/>
      <c r="HC909" s="997"/>
      <c r="HD909" s="997"/>
      <c r="HE909" s="997"/>
      <c r="HF909" s="997"/>
      <c r="HG909" s="997"/>
      <c r="HH909" s="997"/>
      <c r="HI909" s="997"/>
      <c r="HJ909" s="997"/>
      <c r="HK909" s="997"/>
      <c r="HL909" s="997"/>
      <c r="HM909" s="997"/>
      <c r="HN909" s="997"/>
      <c r="HO909" s="997"/>
      <c r="HP909" s="997"/>
      <c r="HQ909" s="997"/>
      <c r="HR909" s="997"/>
      <c r="HS909" s="997"/>
      <c r="HT909" s="997"/>
      <c r="HU909" s="997"/>
      <c r="HV909" s="997"/>
      <c r="HW909" s="997"/>
      <c r="HX909" s="997"/>
      <c r="HY909" s="997"/>
      <c r="HZ909" s="997"/>
      <c r="IA909" s="997"/>
      <c r="IB909" s="997"/>
      <c r="IC909" s="997"/>
      <c r="ID909" s="997"/>
      <c r="IE909" s="997"/>
      <c r="IF909" s="997"/>
      <c r="IG909" s="997"/>
      <c r="IH909" s="997"/>
      <c r="II909" s="997"/>
      <c r="IJ909" s="997"/>
      <c r="IK909" s="997"/>
      <c r="IL909" s="997"/>
      <c r="IM909" s="997"/>
      <c r="IN909" s="997"/>
    </row>
    <row r="910" spans="1:248" s="1090" customFormat="1" ht="14.1" customHeight="1">
      <c r="A910" s="629"/>
      <c r="B910" s="945" t="s">
        <v>3988</v>
      </c>
      <c r="C910" s="184" t="s">
        <v>3380</v>
      </c>
      <c r="G910" s="997"/>
      <c r="H910" s="997"/>
      <c r="I910" s="997"/>
      <c r="J910" s="997"/>
      <c r="K910" s="997"/>
      <c r="L910" s="997"/>
      <c r="M910" s="997"/>
      <c r="N910" s="997"/>
      <c r="O910" s="997"/>
      <c r="P910" s="997"/>
      <c r="Q910" s="997"/>
      <c r="R910" s="997"/>
      <c r="S910" s="997"/>
      <c r="T910" s="997"/>
      <c r="U910" s="997"/>
      <c r="V910" s="997"/>
      <c r="W910" s="997"/>
      <c r="X910" s="997"/>
      <c r="Y910" s="997"/>
      <c r="Z910" s="997"/>
      <c r="AA910" s="997"/>
      <c r="AB910" s="997"/>
      <c r="AC910" s="997"/>
      <c r="AD910" s="997"/>
      <c r="AE910" s="997"/>
      <c r="AF910" s="997"/>
      <c r="AG910" s="997"/>
      <c r="AH910" s="997"/>
      <c r="AI910" s="997"/>
      <c r="AJ910" s="997"/>
      <c r="AK910" s="997"/>
      <c r="AL910" s="997"/>
      <c r="AM910" s="997"/>
      <c r="AN910" s="997"/>
      <c r="AO910" s="997"/>
      <c r="AP910" s="997"/>
      <c r="AQ910" s="997"/>
      <c r="AR910" s="997"/>
      <c r="AS910" s="997"/>
      <c r="AT910" s="997"/>
      <c r="AU910" s="997"/>
      <c r="AV910" s="997"/>
      <c r="AW910" s="997"/>
      <c r="AX910" s="997"/>
      <c r="AY910" s="997"/>
      <c r="AZ910" s="997"/>
      <c r="BA910" s="997"/>
      <c r="BB910" s="997"/>
      <c r="BC910" s="997"/>
      <c r="BD910" s="997"/>
      <c r="BE910" s="997"/>
      <c r="BF910" s="997"/>
      <c r="BG910" s="997"/>
      <c r="BH910" s="997"/>
      <c r="BI910" s="997"/>
      <c r="BJ910" s="997"/>
      <c r="BK910" s="997"/>
      <c r="BL910" s="997"/>
      <c r="BM910" s="997"/>
      <c r="BN910" s="997"/>
      <c r="BO910" s="997"/>
      <c r="BP910" s="997"/>
      <c r="BQ910" s="997"/>
      <c r="BR910" s="997"/>
      <c r="BS910" s="997"/>
      <c r="BT910" s="997"/>
      <c r="BU910" s="997"/>
      <c r="BV910" s="997"/>
      <c r="BW910" s="997"/>
      <c r="BX910" s="997"/>
      <c r="BY910" s="997"/>
      <c r="BZ910" s="997"/>
      <c r="CA910" s="997"/>
      <c r="CB910" s="997"/>
      <c r="CC910" s="997"/>
      <c r="CD910" s="997"/>
      <c r="CE910" s="997"/>
      <c r="CF910" s="997"/>
      <c r="CG910" s="997"/>
      <c r="CH910" s="997"/>
      <c r="CI910" s="997"/>
      <c r="CJ910" s="997"/>
      <c r="CK910" s="997"/>
      <c r="CL910" s="997"/>
      <c r="CM910" s="997"/>
      <c r="CN910" s="997"/>
      <c r="CO910" s="997"/>
      <c r="CP910" s="997"/>
      <c r="CQ910" s="997"/>
      <c r="CR910" s="997"/>
      <c r="CS910" s="997"/>
      <c r="CT910" s="997"/>
      <c r="CU910" s="997"/>
      <c r="CV910" s="997"/>
      <c r="CW910" s="997"/>
      <c r="CX910" s="997"/>
      <c r="CY910" s="997"/>
      <c r="CZ910" s="997"/>
      <c r="DA910" s="997"/>
      <c r="DB910" s="997"/>
      <c r="DC910" s="997"/>
      <c r="DD910" s="997"/>
      <c r="DE910" s="997"/>
      <c r="DF910" s="997"/>
      <c r="DG910" s="997"/>
      <c r="DH910" s="997"/>
      <c r="DI910" s="997"/>
      <c r="DJ910" s="997"/>
      <c r="DK910" s="997"/>
      <c r="DL910" s="997"/>
      <c r="DM910" s="997"/>
      <c r="DN910" s="997"/>
      <c r="DO910" s="997"/>
      <c r="DP910" s="997"/>
      <c r="DQ910" s="997"/>
      <c r="DR910" s="997"/>
      <c r="DS910" s="997"/>
      <c r="DT910" s="997"/>
      <c r="DU910" s="997"/>
      <c r="DV910" s="997"/>
      <c r="DW910" s="997"/>
      <c r="DX910" s="997"/>
      <c r="DY910" s="997"/>
      <c r="DZ910" s="997"/>
      <c r="EA910" s="997"/>
      <c r="EB910" s="997"/>
      <c r="EC910" s="997"/>
      <c r="ED910" s="997"/>
      <c r="EE910" s="997"/>
      <c r="EF910" s="997"/>
      <c r="EG910" s="997"/>
      <c r="EH910" s="997"/>
      <c r="EI910" s="997"/>
      <c r="EJ910" s="997"/>
      <c r="EK910" s="997"/>
      <c r="EL910" s="997"/>
      <c r="EM910" s="997"/>
      <c r="EN910" s="997"/>
      <c r="EO910" s="997"/>
      <c r="EP910" s="997"/>
      <c r="EQ910" s="997"/>
      <c r="ER910" s="997"/>
      <c r="ES910" s="997"/>
      <c r="ET910" s="997"/>
      <c r="EU910" s="997"/>
      <c r="EV910" s="997"/>
      <c r="EW910" s="997"/>
      <c r="EX910" s="997"/>
      <c r="EY910" s="997"/>
      <c r="EZ910" s="997"/>
      <c r="FA910" s="997"/>
      <c r="FB910" s="997"/>
      <c r="FC910" s="997"/>
      <c r="FD910" s="997"/>
      <c r="FE910" s="997"/>
      <c r="FF910" s="997"/>
      <c r="FG910" s="997"/>
      <c r="FH910" s="997"/>
      <c r="FI910" s="997"/>
      <c r="FJ910" s="997"/>
      <c r="FK910" s="997"/>
      <c r="FL910" s="997"/>
      <c r="FM910" s="997"/>
      <c r="FN910" s="997"/>
      <c r="FO910" s="997"/>
      <c r="FP910" s="997"/>
      <c r="FQ910" s="997"/>
      <c r="FR910" s="997"/>
      <c r="FS910" s="997"/>
      <c r="FT910" s="997"/>
      <c r="FU910" s="997"/>
      <c r="FV910" s="997"/>
      <c r="FW910" s="997"/>
      <c r="FX910" s="997"/>
      <c r="FY910" s="997"/>
      <c r="FZ910" s="997"/>
      <c r="GA910" s="997"/>
      <c r="GB910" s="997"/>
      <c r="GC910" s="997"/>
      <c r="GD910" s="997"/>
      <c r="GE910" s="997"/>
      <c r="GF910" s="997"/>
      <c r="GG910" s="997"/>
      <c r="GH910" s="997"/>
      <c r="GI910" s="997"/>
      <c r="GJ910" s="997"/>
      <c r="GK910" s="997"/>
      <c r="GL910" s="997"/>
      <c r="GM910" s="997"/>
      <c r="GN910" s="997"/>
      <c r="GO910" s="997"/>
      <c r="GP910" s="997"/>
      <c r="GQ910" s="997"/>
      <c r="GR910" s="997"/>
      <c r="GS910" s="997"/>
      <c r="GT910" s="997"/>
      <c r="GU910" s="997"/>
      <c r="GV910" s="997"/>
      <c r="GW910" s="997"/>
      <c r="GX910" s="997"/>
      <c r="GY910" s="997"/>
      <c r="GZ910" s="997"/>
      <c r="HA910" s="997"/>
      <c r="HB910" s="997"/>
      <c r="HC910" s="997"/>
      <c r="HD910" s="997"/>
      <c r="HE910" s="997"/>
      <c r="HF910" s="997"/>
      <c r="HG910" s="997"/>
      <c r="HH910" s="997"/>
      <c r="HI910" s="997"/>
      <c r="HJ910" s="997"/>
      <c r="HK910" s="997"/>
      <c r="HL910" s="997"/>
      <c r="HM910" s="997"/>
      <c r="HN910" s="997"/>
      <c r="HO910" s="997"/>
      <c r="HP910" s="997"/>
      <c r="HQ910" s="997"/>
      <c r="HR910" s="997"/>
      <c r="HS910" s="997"/>
      <c r="HT910" s="997"/>
      <c r="HU910" s="997"/>
      <c r="HV910" s="997"/>
      <c r="HW910" s="997"/>
      <c r="HX910" s="997"/>
      <c r="HY910" s="997"/>
      <c r="HZ910" s="997"/>
      <c r="IA910" s="997"/>
      <c r="IB910" s="997"/>
      <c r="IC910" s="997"/>
      <c r="ID910" s="997"/>
      <c r="IE910" s="997"/>
      <c r="IF910" s="997"/>
      <c r="IG910" s="997"/>
      <c r="IH910" s="997"/>
      <c r="II910" s="997"/>
      <c r="IJ910" s="997"/>
      <c r="IK910" s="997"/>
      <c r="IL910" s="997"/>
      <c r="IM910" s="997"/>
      <c r="IN910" s="997"/>
    </row>
    <row r="911" spans="1:248" s="1090" customFormat="1" ht="14.1" customHeight="1">
      <c r="A911" s="1103"/>
      <c r="B911" s="1091"/>
      <c r="C911" s="184" t="s">
        <v>3381</v>
      </c>
      <c r="G911" s="997"/>
      <c r="H911" s="997"/>
      <c r="I911" s="997"/>
      <c r="J911" s="997"/>
      <c r="K911" s="997"/>
      <c r="L911" s="997"/>
      <c r="M911" s="997"/>
      <c r="N911" s="997"/>
      <c r="O911" s="997"/>
      <c r="P911" s="997"/>
      <c r="Q911" s="997"/>
      <c r="R911" s="997"/>
      <c r="S911" s="997"/>
      <c r="T911" s="997"/>
      <c r="U911" s="997"/>
      <c r="V911" s="997"/>
      <c r="W911" s="997"/>
      <c r="X911" s="997"/>
      <c r="Y911" s="997"/>
      <c r="Z911" s="997"/>
      <c r="AA911" s="997"/>
      <c r="AB911" s="997"/>
      <c r="AC911" s="997"/>
      <c r="AD911" s="997"/>
      <c r="AE911" s="997"/>
      <c r="AF911" s="997"/>
      <c r="AG911" s="997"/>
      <c r="AH911" s="997"/>
      <c r="AI911" s="997"/>
      <c r="AJ911" s="997"/>
      <c r="AK911" s="997"/>
      <c r="AL911" s="997"/>
      <c r="AM911" s="997"/>
      <c r="AN911" s="997"/>
      <c r="AO911" s="997"/>
      <c r="AP911" s="997"/>
      <c r="AQ911" s="997"/>
      <c r="AR911" s="997"/>
      <c r="AS911" s="997"/>
      <c r="AT911" s="997"/>
      <c r="AU911" s="997"/>
      <c r="AV911" s="997"/>
      <c r="AW911" s="997"/>
      <c r="AX911" s="997"/>
      <c r="AY911" s="997"/>
      <c r="AZ911" s="997"/>
      <c r="BA911" s="997"/>
      <c r="BB911" s="997"/>
      <c r="BC911" s="997"/>
      <c r="BD911" s="997"/>
      <c r="BE911" s="997"/>
      <c r="BF911" s="997"/>
      <c r="BG911" s="997"/>
      <c r="BH911" s="997"/>
      <c r="BI911" s="997"/>
      <c r="BJ911" s="997"/>
      <c r="BK911" s="997"/>
      <c r="BL911" s="997"/>
      <c r="BM911" s="997"/>
      <c r="BN911" s="997"/>
      <c r="BO911" s="997"/>
      <c r="BP911" s="997"/>
      <c r="BQ911" s="997"/>
      <c r="BR911" s="997"/>
      <c r="BS911" s="997"/>
      <c r="BT911" s="997"/>
      <c r="BU911" s="997"/>
      <c r="BV911" s="997"/>
      <c r="BW911" s="997"/>
      <c r="BX911" s="997"/>
      <c r="BY911" s="997"/>
      <c r="BZ911" s="997"/>
      <c r="CA911" s="997"/>
      <c r="CB911" s="997"/>
      <c r="CC911" s="997"/>
      <c r="CD911" s="997"/>
      <c r="CE911" s="997"/>
      <c r="CF911" s="997"/>
      <c r="CG911" s="997"/>
      <c r="CH911" s="997"/>
      <c r="CI911" s="997"/>
      <c r="CJ911" s="997"/>
      <c r="CK911" s="997"/>
      <c r="CL911" s="997"/>
      <c r="CM911" s="997"/>
      <c r="CN911" s="997"/>
      <c r="CO911" s="997"/>
      <c r="CP911" s="997"/>
      <c r="CQ911" s="997"/>
      <c r="CR911" s="997"/>
      <c r="CS911" s="997"/>
      <c r="CT911" s="997"/>
      <c r="CU911" s="997"/>
      <c r="CV911" s="997"/>
      <c r="CW911" s="997"/>
      <c r="CX911" s="997"/>
      <c r="CY911" s="997"/>
      <c r="CZ911" s="997"/>
      <c r="DA911" s="997"/>
      <c r="DB911" s="997"/>
      <c r="DC911" s="997"/>
      <c r="DD911" s="997"/>
      <c r="DE911" s="997"/>
      <c r="DF911" s="997"/>
      <c r="DG911" s="997"/>
      <c r="DH911" s="997"/>
      <c r="DI911" s="997"/>
      <c r="DJ911" s="997"/>
      <c r="DK911" s="997"/>
      <c r="DL911" s="997"/>
      <c r="DM911" s="997"/>
      <c r="DN911" s="997"/>
      <c r="DO911" s="997"/>
      <c r="DP911" s="997"/>
      <c r="DQ911" s="997"/>
      <c r="DR911" s="997"/>
      <c r="DS911" s="997"/>
      <c r="DT911" s="997"/>
      <c r="DU911" s="997"/>
      <c r="DV911" s="997"/>
      <c r="DW911" s="997"/>
      <c r="DX911" s="997"/>
      <c r="DY911" s="997"/>
      <c r="DZ911" s="997"/>
      <c r="EA911" s="997"/>
      <c r="EB911" s="997"/>
      <c r="EC911" s="997"/>
      <c r="ED911" s="997"/>
      <c r="EE911" s="997"/>
      <c r="EF911" s="997"/>
      <c r="EG911" s="997"/>
      <c r="EH911" s="997"/>
      <c r="EI911" s="997"/>
      <c r="EJ911" s="997"/>
      <c r="EK911" s="997"/>
      <c r="EL911" s="997"/>
      <c r="EM911" s="997"/>
      <c r="EN911" s="997"/>
      <c r="EO911" s="997"/>
      <c r="EP911" s="997"/>
      <c r="EQ911" s="997"/>
      <c r="ER911" s="997"/>
      <c r="ES911" s="997"/>
      <c r="ET911" s="997"/>
      <c r="EU911" s="997"/>
      <c r="EV911" s="997"/>
      <c r="EW911" s="997"/>
      <c r="EX911" s="997"/>
      <c r="EY911" s="997"/>
      <c r="EZ911" s="997"/>
      <c r="FA911" s="997"/>
      <c r="FB911" s="997"/>
      <c r="FC911" s="997"/>
      <c r="FD911" s="997"/>
      <c r="FE911" s="997"/>
      <c r="FF911" s="997"/>
      <c r="FG911" s="997"/>
      <c r="FH911" s="997"/>
      <c r="FI911" s="997"/>
      <c r="FJ911" s="997"/>
      <c r="FK911" s="997"/>
      <c r="FL911" s="997"/>
      <c r="FM911" s="997"/>
      <c r="FN911" s="997"/>
      <c r="FO911" s="997"/>
      <c r="FP911" s="997"/>
      <c r="FQ911" s="997"/>
      <c r="FR911" s="997"/>
      <c r="FS911" s="997"/>
      <c r="FT911" s="997"/>
      <c r="FU911" s="997"/>
      <c r="FV911" s="997"/>
      <c r="FW911" s="997"/>
      <c r="FX911" s="997"/>
      <c r="FY911" s="997"/>
      <c r="FZ911" s="997"/>
      <c r="GA911" s="997"/>
      <c r="GB911" s="997"/>
      <c r="GC911" s="997"/>
      <c r="GD911" s="997"/>
      <c r="GE911" s="997"/>
      <c r="GF911" s="997"/>
      <c r="GG911" s="997"/>
      <c r="GH911" s="997"/>
      <c r="GI911" s="997"/>
      <c r="GJ911" s="997"/>
      <c r="GK911" s="997"/>
      <c r="GL911" s="997"/>
      <c r="GM911" s="997"/>
      <c r="GN911" s="997"/>
      <c r="GO911" s="997"/>
      <c r="GP911" s="997"/>
      <c r="GQ911" s="997"/>
      <c r="GR911" s="997"/>
      <c r="GS911" s="997"/>
      <c r="GT911" s="997"/>
      <c r="GU911" s="997"/>
      <c r="GV911" s="997"/>
      <c r="GW911" s="997"/>
      <c r="GX911" s="997"/>
      <c r="GY911" s="997"/>
      <c r="GZ911" s="997"/>
      <c r="HA911" s="997"/>
      <c r="HB911" s="997"/>
      <c r="HC911" s="997"/>
      <c r="HD911" s="997"/>
      <c r="HE911" s="997"/>
      <c r="HF911" s="997"/>
      <c r="HG911" s="997"/>
      <c r="HH911" s="997"/>
      <c r="HI911" s="997"/>
      <c r="HJ911" s="997"/>
      <c r="HK911" s="997"/>
      <c r="HL911" s="997"/>
      <c r="HM911" s="997"/>
      <c r="HN911" s="997"/>
      <c r="HO911" s="997"/>
      <c r="HP911" s="997"/>
      <c r="HQ911" s="997"/>
      <c r="HR911" s="997"/>
      <c r="HS911" s="997"/>
      <c r="HT911" s="997"/>
      <c r="HU911" s="997"/>
      <c r="HV911" s="997"/>
      <c r="HW911" s="997"/>
      <c r="HX911" s="997"/>
      <c r="HY911" s="997"/>
      <c r="HZ911" s="997"/>
      <c r="IA911" s="997"/>
      <c r="IB911" s="997"/>
      <c r="IC911" s="997"/>
      <c r="ID911" s="997"/>
      <c r="IE911" s="997"/>
      <c r="IF911" s="997"/>
      <c r="IG911" s="997"/>
      <c r="IH911" s="997"/>
      <c r="II911" s="997"/>
      <c r="IJ911" s="997"/>
      <c r="IK911" s="997"/>
      <c r="IL911" s="997"/>
      <c r="IM911" s="997"/>
      <c r="IN911" s="997"/>
    </row>
    <row r="912" spans="1:248" s="1090" customFormat="1" ht="14.1" customHeight="1">
      <c r="A912" s="1103"/>
      <c r="B912" s="1104"/>
      <c r="C912" s="1105"/>
      <c r="G912" s="997"/>
      <c r="H912" s="997"/>
      <c r="I912" s="997"/>
      <c r="J912" s="997"/>
      <c r="K912" s="997"/>
      <c r="L912" s="997"/>
      <c r="M912" s="997"/>
      <c r="N912" s="997"/>
      <c r="O912" s="997"/>
      <c r="P912" s="997"/>
      <c r="Q912" s="997"/>
      <c r="R912" s="997"/>
      <c r="S912" s="997"/>
      <c r="T912" s="997"/>
      <c r="U912" s="997"/>
      <c r="V912" s="997"/>
      <c r="W912" s="997"/>
      <c r="X912" s="997"/>
      <c r="Y912" s="997"/>
      <c r="Z912" s="997"/>
      <c r="AA912" s="997"/>
      <c r="AB912" s="997"/>
      <c r="AC912" s="997"/>
      <c r="AD912" s="997"/>
      <c r="AE912" s="997"/>
      <c r="AF912" s="997"/>
      <c r="AG912" s="997"/>
      <c r="AH912" s="997"/>
      <c r="AI912" s="997"/>
      <c r="AJ912" s="997"/>
      <c r="AK912" s="997"/>
      <c r="AL912" s="997"/>
      <c r="AM912" s="997"/>
      <c r="AN912" s="997"/>
      <c r="AO912" s="997"/>
      <c r="AP912" s="997"/>
      <c r="AQ912" s="997"/>
      <c r="AR912" s="997"/>
      <c r="AS912" s="997"/>
      <c r="AT912" s="997"/>
      <c r="AU912" s="997"/>
      <c r="AV912" s="997"/>
      <c r="AW912" s="997"/>
      <c r="AX912" s="997"/>
      <c r="AY912" s="997"/>
      <c r="AZ912" s="997"/>
      <c r="BA912" s="997"/>
      <c r="BB912" s="997"/>
      <c r="BC912" s="997"/>
      <c r="BD912" s="997"/>
      <c r="BE912" s="997"/>
      <c r="BF912" s="997"/>
      <c r="BG912" s="997"/>
      <c r="BH912" s="997"/>
      <c r="BI912" s="997"/>
      <c r="BJ912" s="997"/>
      <c r="BK912" s="997"/>
      <c r="BL912" s="997"/>
      <c r="BM912" s="997"/>
      <c r="BN912" s="997"/>
      <c r="BO912" s="997"/>
      <c r="BP912" s="997"/>
      <c r="BQ912" s="997"/>
      <c r="BR912" s="997"/>
      <c r="BS912" s="997"/>
      <c r="BT912" s="997"/>
      <c r="BU912" s="997"/>
      <c r="BV912" s="997"/>
      <c r="BW912" s="997"/>
      <c r="BX912" s="997"/>
      <c r="BY912" s="997"/>
      <c r="BZ912" s="997"/>
      <c r="CA912" s="997"/>
      <c r="CB912" s="997"/>
      <c r="CC912" s="997"/>
      <c r="CD912" s="997"/>
      <c r="CE912" s="997"/>
      <c r="CF912" s="997"/>
      <c r="CG912" s="997"/>
      <c r="CH912" s="997"/>
      <c r="CI912" s="997"/>
      <c r="CJ912" s="997"/>
      <c r="CK912" s="997"/>
      <c r="CL912" s="997"/>
      <c r="CM912" s="997"/>
      <c r="CN912" s="997"/>
      <c r="CO912" s="997"/>
      <c r="CP912" s="997"/>
      <c r="CQ912" s="997"/>
      <c r="CR912" s="997"/>
      <c r="CS912" s="997"/>
      <c r="CT912" s="997"/>
      <c r="CU912" s="997"/>
      <c r="CV912" s="997"/>
      <c r="CW912" s="997"/>
      <c r="CX912" s="997"/>
      <c r="CY912" s="997"/>
      <c r="CZ912" s="997"/>
      <c r="DA912" s="997"/>
      <c r="DB912" s="997"/>
      <c r="DC912" s="997"/>
      <c r="DD912" s="997"/>
      <c r="DE912" s="997"/>
      <c r="DF912" s="997"/>
      <c r="DG912" s="997"/>
      <c r="DH912" s="997"/>
      <c r="DI912" s="997"/>
      <c r="DJ912" s="997"/>
      <c r="DK912" s="997"/>
      <c r="DL912" s="997"/>
      <c r="DM912" s="997"/>
      <c r="DN912" s="997"/>
      <c r="DO912" s="997"/>
      <c r="DP912" s="997"/>
      <c r="DQ912" s="997"/>
      <c r="DR912" s="997"/>
      <c r="DS912" s="997"/>
      <c r="DT912" s="997"/>
      <c r="DU912" s="997"/>
      <c r="DV912" s="997"/>
      <c r="DW912" s="997"/>
      <c r="DX912" s="997"/>
      <c r="DY912" s="997"/>
      <c r="DZ912" s="997"/>
      <c r="EA912" s="997"/>
      <c r="EB912" s="997"/>
      <c r="EC912" s="997"/>
      <c r="ED912" s="997"/>
      <c r="EE912" s="997"/>
      <c r="EF912" s="997"/>
      <c r="EG912" s="997"/>
      <c r="EH912" s="997"/>
      <c r="EI912" s="997"/>
      <c r="EJ912" s="997"/>
      <c r="EK912" s="997"/>
      <c r="EL912" s="997"/>
      <c r="EM912" s="997"/>
      <c r="EN912" s="997"/>
      <c r="EO912" s="997"/>
      <c r="EP912" s="997"/>
      <c r="EQ912" s="997"/>
      <c r="ER912" s="997"/>
      <c r="ES912" s="997"/>
      <c r="ET912" s="997"/>
      <c r="EU912" s="997"/>
      <c r="EV912" s="997"/>
      <c r="EW912" s="997"/>
      <c r="EX912" s="997"/>
      <c r="EY912" s="997"/>
      <c r="EZ912" s="997"/>
      <c r="FA912" s="997"/>
      <c r="FB912" s="997"/>
      <c r="FC912" s="997"/>
      <c r="FD912" s="997"/>
      <c r="FE912" s="997"/>
      <c r="FF912" s="997"/>
      <c r="FG912" s="997"/>
      <c r="FH912" s="997"/>
      <c r="FI912" s="997"/>
      <c r="FJ912" s="997"/>
      <c r="FK912" s="997"/>
      <c r="FL912" s="997"/>
      <c r="FM912" s="997"/>
      <c r="FN912" s="997"/>
      <c r="FO912" s="997"/>
      <c r="FP912" s="997"/>
      <c r="FQ912" s="997"/>
      <c r="FR912" s="997"/>
      <c r="FS912" s="997"/>
      <c r="FT912" s="997"/>
      <c r="FU912" s="997"/>
      <c r="FV912" s="997"/>
      <c r="FW912" s="997"/>
      <c r="FX912" s="997"/>
      <c r="FY912" s="997"/>
      <c r="FZ912" s="997"/>
      <c r="GA912" s="997"/>
      <c r="GB912" s="997"/>
      <c r="GC912" s="997"/>
      <c r="GD912" s="997"/>
      <c r="GE912" s="997"/>
      <c r="GF912" s="997"/>
      <c r="GG912" s="997"/>
      <c r="GH912" s="997"/>
      <c r="GI912" s="997"/>
      <c r="GJ912" s="997"/>
      <c r="GK912" s="997"/>
      <c r="GL912" s="997"/>
      <c r="GM912" s="997"/>
      <c r="GN912" s="997"/>
      <c r="GO912" s="997"/>
      <c r="GP912" s="997"/>
      <c r="GQ912" s="997"/>
      <c r="GR912" s="997"/>
      <c r="GS912" s="997"/>
      <c r="GT912" s="997"/>
      <c r="GU912" s="997"/>
      <c r="GV912" s="997"/>
      <c r="GW912" s="997"/>
      <c r="GX912" s="997"/>
      <c r="GY912" s="997"/>
      <c r="GZ912" s="997"/>
      <c r="HA912" s="997"/>
      <c r="HB912" s="997"/>
      <c r="HC912" s="997"/>
      <c r="HD912" s="997"/>
      <c r="HE912" s="997"/>
      <c r="HF912" s="997"/>
      <c r="HG912" s="997"/>
      <c r="HH912" s="997"/>
      <c r="HI912" s="997"/>
      <c r="HJ912" s="997"/>
      <c r="HK912" s="997"/>
      <c r="HL912" s="997"/>
      <c r="HM912" s="997"/>
      <c r="HN912" s="997"/>
      <c r="HO912" s="997"/>
      <c r="HP912" s="997"/>
      <c r="HQ912" s="997"/>
      <c r="HR912" s="997"/>
      <c r="HS912" s="997"/>
      <c r="HT912" s="997"/>
      <c r="HU912" s="997"/>
      <c r="HV912" s="997"/>
      <c r="HW912" s="997"/>
      <c r="HX912" s="997"/>
      <c r="HY912" s="997"/>
      <c r="HZ912" s="997"/>
      <c r="IA912" s="997"/>
      <c r="IB912" s="997"/>
      <c r="IC912" s="997"/>
      <c r="ID912" s="997"/>
      <c r="IE912" s="997"/>
      <c r="IF912" s="997"/>
      <c r="IG912" s="997"/>
      <c r="IH912" s="997"/>
      <c r="II912" s="997"/>
      <c r="IJ912" s="997"/>
      <c r="IK912" s="997"/>
      <c r="IL912" s="997"/>
      <c r="IM912" s="997"/>
      <c r="IN912" s="997"/>
    </row>
    <row r="913" spans="1:248" s="1090" customFormat="1" ht="14.1" customHeight="1">
      <c r="A913" s="1103"/>
      <c r="B913" s="1104"/>
      <c r="C913" s="1105"/>
      <c r="G913" s="997"/>
      <c r="H913" s="997"/>
      <c r="I913" s="997"/>
      <c r="J913" s="997"/>
      <c r="K913" s="997"/>
      <c r="L913" s="997"/>
      <c r="M913" s="997"/>
      <c r="N913" s="997"/>
      <c r="O913" s="997"/>
      <c r="P913" s="997"/>
      <c r="Q913" s="997"/>
      <c r="R913" s="997"/>
      <c r="S913" s="997"/>
      <c r="T913" s="997"/>
      <c r="U913" s="997"/>
      <c r="V913" s="997"/>
      <c r="W913" s="997"/>
      <c r="X913" s="997"/>
      <c r="Y913" s="997"/>
      <c r="Z913" s="997"/>
      <c r="AA913" s="997"/>
      <c r="AB913" s="997"/>
      <c r="AC913" s="997"/>
      <c r="AD913" s="997"/>
      <c r="AE913" s="997"/>
      <c r="AF913" s="997"/>
      <c r="AG913" s="997"/>
      <c r="AH913" s="997"/>
      <c r="AI913" s="997"/>
      <c r="AJ913" s="997"/>
      <c r="AK913" s="997"/>
      <c r="AL913" s="997"/>
      <c r="AM913" s="997"/>
      <c r="AN913" s="997"/>
      <c r="AO913" s="997"/>
      <c r="AP913" s="997"/>
      <c r="AQ913" s="997"/>
      <c r="AR913" s="997"/>
      <c r="AS913" s="997"/>
      <c r="AT913" s="997"/>
      <c r="AU913" s="997"/>
      <c r="AV913" s="997"/>
      <c r="AW913" s="997"/>
      <c r="AX913" s="997"/>
      <c r="AY913" s="997"/>
      <c r="AZ913" s="997"/>
      <c r="BA913" s="997"/>
      <c r="BB913" s="997"/>
      <c r="BC913" s="997"/>
      <c r="BD913" s="997"/>
      <c r="BE913" s="997"/>
      <c r="BF913" s="997"/>
      <c r="BG913" s="997"/>
      <c r="BH913" s="997"/>
      <c r="BI913" s="997"/>
      <c r="BJ913" s="997"/>
      <c r="BK913" s="997"/>
      <c r="BL913" s="997"/>
      <c r="BM913" s="997"/>
      <c r="BN913" s="997"/>
      <c r="BO913" s="997"/>
      <c r="BP913" s="997"/>
      <c r="BQ913" s="997"/>
      <c r="BR913" s="997"/>
      <c r="BS913" s="997"/>
      <c r="BT913" s="997"/>
      <c r="BU913" s="997"/>
      <c r="BV913" s="997"/>
      <c r="BW913" s="997"/>
      <c r="BX913" s="997"/>
      <c r="BY913" s="997"/>
      <c r="BZ913" s="997"/>
      <c r="CA913" s="997"/>
      <c r="CB913" s="997"/>
      <c r="CC913" s="997"/>
      <c r="CD913" s="997"/>
      <c r="CE913" s="997"/>
      <c r="CF913" s="997"/>
      <c r="CG913" s="997"/>
      <c r="CH913" s="997"/>
      <c r="CI913" s="997"/>
      <c r="CJ913" s="997"/>
      <c r="CK913" s="997"/>
      <c r="CL913" s="997"/>
      <c r="CM913" s="997"/>
      <c r="CN913" s="997"/>
      <c r="CO913" s="997"/>
      <c r="CP913" s="997"/>
      <c r="CQ913" s="997"/>
      <c r="CR913" s="997"/>
      <c r="CS913" s="997"/>
      <c r="CT913" s="997"/>
      <c r="CU913" s="997"/>
      <c r="CV913" s="997"/>
      <c r="CW913" s="997"/>
      <c r="CX913" s="997"/>
      <c r="CY913" s="997"/>
      <c r="CZ913" s="997"/>
      <c r="DA913" s="997"/>
      <c r="DB913" s="997"/>
      <c r="DC913" s="997"/>
      <c r="DD913" s="997"/>
      <c r="DE913" s="997"/>
      <c r="DF913" s="997"/>
      <c r="DG913" s="997"/>
      <c r="DH913" s="997"/>
      <c r="DI913" s="997"/>
      <c r="DJ913" s="997"/>
      <c r="DK913" s="997"/>
      <c r="DL913" s="997"/>
      <c r="DM913" s="997"/>
      <c r="DN913" s="997"/>
      <c r="DO913" s="997"/>
      <c r="DP913" s="997"/>
      <c r="DQ913" s="997"/>
      <c r="DR913" s="997"/>
      <c r="DS913" s="997"/>
      <c r="DT913" s="997"/>
      <c r="DU913" s="997"/>
      <c r="DV913" s="997"/>
      <c r="DW913" s="997"/>
      <c r="DX913" s="997"/>
      <c r="DY913" s="997"/>
      <c r="DZ913" s="997"/>
      <c r="EA913" s="997"/>
      <c r="EB913" s="997"/>
      <c r="EC913" s="997"/>
      <c r="ED913" s="997"/>
      <c r="EE913" s="997"/>
      <c r="EF913" s="997"/>
      <c r="EG913" s="997"/>
      <c r="EH913" s="997"/>
      <c r="EI913" s="997"/>
      <c r="EJ913" s="997"/>
      <c r="EK913" s="997"/>
      <c r="EL913" s="997"/>
      <c r="EM913" s="997"/>
      <c r="EN913" s="997"/>
      <c r="EO913" s="997"/>
      <c r="EP913" s="997"/>
      <c r="EQ913" s="997"/>
      <c r="ER913" s="997"/>
      <c r="ES913" s="997"/>
      <c r="ET913" s="997"/>
      <c r="EU913" s="997"/>
      <c r="EV913" s="997"/>
      <c r="EW913" s="997"/>
      <c r="EX913" s="997"/>
      <c r="EY913" s="997"/>
      <c r="EZ913" s="997"/>
      <c r="FA913" s="997"/>
      <c r="FB913" s="997"/>
      <c r="FC913" s="997"/>
      <c r="FD913" s="997"/>
      <c r="FE913" s="997"/>
      <c r="FF913" s="997"/>
      <c r="FG913" s="997"/>
      <c r="FH913" s="997"/>
      <c r="FI913" s="997"/>
      <c r="FJ913" s="997"/>
      <c r="FK913" s="997"/>
      <c r="FL913" s="997"/>
      <c r="FM913" s="997"/>
      <c r="FN913" s="997"/>
      <c r="FO913" s="997"/>
      <c r="FP913" s="997"/>
      <c r="FQ913" s="997"/>
      <c r="FR913" s="997"/>
      <c r="FS913" s="997"/>
      <c r="FT913" s="997"/>
      <c r="FU913" s="997"/>
      <c r="FV913" s="997"/>
      <c r="FW913" s="997"/>
      <c r="FX913" s="997"/>
      <c r="FY913" s="997"/>
      <c r="FZ913" s="997"/>
      <c r="GA913" s="997"/>
      <c r="GB913" s="997"/>
      <c r="GC913" s="997"/>
      <c r="GD913" s="997"/>
      <c r="GE913" s="997"/>
      <c r="GF913" s="997"/>
      <c r="GG913" s="997"/>
      <c r="GH913" s="997"/>
      <c r="GI913" s="997"/>
      <c r="GJ913" s="997"/>
      <c r="GK913" s="997"/>
      <c r="GL913" s="997"/>
      <c r="GM913" s="997"/>
      <c r="GN913" s="997"/>
      <c r="GO913" s="997"/>
      <c r="GP913" s="997"/>
      <c r="GQ913" s="997"/>
      <c r="GR913" s="997"/>
      <c r="GS913" s="997"/>
      <c r="GT913" s="997"/>
      <c r="GU913" s="997"/>
      <c r="GV913" s="997"/>
      <c r="GW913" s="997"/>
      <c r="GX913" s="997"/>
      <c r="GY913" s="997"/>
      <c r="GZ913" s="997"/>
      <c r="HA913" s="997"/>
      <c r="HB913" s="997"/>
      <c r="HC913" s="997"/>
      <c r="HD913" s="997"/>
      <c r="HE913" s="997"/>
      <c r="HF913" s="997"/>
      <c r="HG913" s="997"/>
      <c r="HH913" s="997"/>
      <c r="HI913" s="997"/>
      <c r="HJ913" s="997"/>
      <c r="HK913" s="997"/>
      <c r="HL913" s="997"/>
      <c r="HM913" s="997"/>
      <c r="HN913" s="997"/>
      <c r="HO913" s="997"/>
      <c r="HP913" s="997"/>
      <c r="HQ913" s="997"/>
      <c r="HR913" s="997"/>
      <c r="HS913" s="997"/>
      <c r="HT913" s="997"/>
      <c r="HU913" s="997"/>
      <c r="HV913" s="997"/>
      <c r="HW913" s="997"/>
      <c r="HX913" s="997"/>
      <c r="HY913" s="997"/>
      <c r="HZ913" s="997"/>
      <c r="IA913" s="997"/>
      <c r="IB913" s="997"/>
      <c r="IC913" s="997"/>
      <c r="ID913" s="997"/>
      <c r="IE913" s="997"/>
      <c r="IF913" s="997"/>
      <c r="IG913" s="997"/>
      <c r="IH913" s="997"/>
      <c r="II913" s="997"/>
      <c r="IJ913" s="997"/>
      <c r="IK913" s="997"/>
      <c r="IL913" s="997"/>
      <c r="IM913" s="997"/>
      <c r="IN913" s="997"/>
    </row>
    <row r="914" spans="1:248" s="1090" customFormat="1" ht="14.1" customHeight="1">
      <c r="A914" s="1103"/>
      <c r="B914" s="1104"/>
      <c r="C914" s="1105"/>
      <c r="G914" s="997"/>
      <c r="H914" s="997"/>
      <c r="I914" s="997"/>
      <c r="J914" s="997"/>
      <c r="K914" s="997"/>
      <c r="L914" s="997"/>
      <c r="M914" s="997"/>
      <c r="N914" s="997"/>
      <c r="O914" s="997"/>
      <c r="P914" s="997"/>
      <c r="Q914" s="997"/>
      <c r="R914" s="997"/>
      <c r="S914" s="997"/>
      <c r="T914" s="997"/>
      <c r="U914" s="997"/>
      <c r="V914" s="997"/>
      <c r="W914" s="997"/>
      <c r="X914" s="997"/>
      <c r="Y914" s="997"/>
      <c r="Z914" s="997"/>
      <c r="AA914" s="997"/>
      <c r="AB914" s="997"/>
      <c r="AC914" s="997"/>
      <c r="AD914" s="997"/>
      <c r="AE914" s="997"/>
      <c r="AF914" s="997"/>
      <c r="AG914" s="997"/>
      <c r="AH914" s="997"/>
      <c r="AI914" s="997"/>
      <c r="AJ914" s="997"/>
      <c r="AK914" s="997"/>
      <c r="AL914" s="997"/>
      <c r="AM914" s="997"/>
      <c r="AN914" s="997"/>
      <c r="AO914" s="997"/>
      <c r="AP914" s="997"/>
      <c r="AQ914" s="997"/>
      <c r="AR914" s="997"/>
      <c r="AS914" s="997"/>
      <c r="AT914" s="997"/>
      <c r="AU914" s="997"/>
      <c r="AV914" s="997"/>
      <c r="AW914" s="997"/>
      <c r="AX914" s="997"/>
      <c r="AY914" s="997"/>
      <c r="AZ914" s="997"/>
      <c r="BA914" s="997"/>
      <c r="BB914" s="997"/>
      <c r="BC914" s="997"/>
      <c r="BD914" s="997"/>
      <c r="BE914" s="997"/>
      <c r="BF914" s="997"/>
      <c r="BG914" s="997"/>
      <c r="BH914" s="997"/>
      <c r="BI914" s="997"/>
      <c r="BJ914" s="997"/>
      <c r="BK914" s="997"/>
      <c r="BL914" s="997"/>
      <c r="BM914" s="997"/>
      <c r="BN914" s="997"/>
      <c r="BO914" s="997"/>
      <c r="BP914" s="997"/>
      <c r="BQ914" s="997"/>
      <c r="BR914" s="997"/>
      <c r="BS914" s="997"/>
      <c r="BT914" s="997"/>
      <c r="BU914" s="997"/>
      <c r="BV914" s="997"/>
      <c r="BW914" s="997"/>
      <c r="BX914" s="997"/>
      <c r="BY914" s="997"/>
      <c r="BZ914" s="997"/>
      <c r="CA914" s="997"/>
      <c r="CB914" s="997"/>
      <c r="CC914" s="997"/>
      <c r="CD914" s="997"/>
      <c r="CE914" s="997"/>
      <c r="CF914" s="997"/>
      <c r="CG914" s="997"/>
      <c r="CH914" s="997"/>
      <c r="CI914" s="997"/>
      <c r="CJ914" s="997"/>
      <c r="CK914" s="997"/>
      <c r="CL914" s="997"/>
      <c r="CM914" s="997"/>
      <c r="CN914" s="997"/>
      <c r="CO914" s="997"/>
      <c r="CP914" s="997"/>
      <c r="CQ914" s="997"/>
      <c r="CR914" s="997"/>
      <c r="CS914" s="997"/>
      <c r="CT914" s="997"/>
      <c r="CU914" s="997"/>
      <c r="CV914" s="997"/>
      <c r="CW914" s="997"/>
      <c r="CX914" s="997"/>
      <c r="CY914" s="997"/>
      <c r="CZ914" s="997"/>
      <c r="DA914" s="997"/>
      <c r="DB914" s="997"/>
      <c r="DC914" s="997"/>
      <c r="DD914" s="997"/>
      <c r="DE914" s="997"/>
      <c r="DF914" s="997"/>
      <c r="DG914" s="997"/>
      <c r="DH914" s="997"/>
      <c r="DI914" s="997"/>
      <c r="DJ914" s="997"/>
      <c r="DK914" s="997"/>
      <c r="DL914" s="997"/>
      <c r="DM914" s="997"/>
      <c r="DN914" s="997"/>
      <c r="DO914" s="997"/>
      <c r="DP914" s="997"/>
      <c r="DQ914" s="997"/>
      <c r="DR914" s="997"/>
      <c r="DS914" s="997"/>
      <c r="DT914" s="997"/>
      <c r="DU914" s="997"/>
      <c r="DV914" s="997"/>
      <c r="DW914" s="997"/>
      <c r="DX914" s="997"/>
      <c r="DY914" s="997"/>
      <c r="DZ914" s="997"/>
      <c r="EA914" s="997"/>
      <c r="EB914" s="997"/>
      <c r="EC914" s="997"/>
      <c r="ED914" s="997"/>
      <c r="EE914" s="997"/>
      <c r="EF914" s="997"/>
      <c r="EG914" s="997"/>
      <c r="EH914" s="997"/>
      <c r="EI914" s="997"/>
      <c r="EJ914" s="997"/>
      <c r="EK914" s="997"/>
      <c r="EL914" s="997"/>
      <c r="EM914" s="997"/>
      <c r="EN914" s="997"/>
      <c r="EO914" s="997"/>
      <c r="EP914" s="997"/>
      <c r="EQ914" s="997"/>
      <c r="ER914" s="997"/>
      <c r="ES914" s="997"/>
      <c r="ET914" s="997"/>
      <c r="EU914" s="997"/>
      <c r="EV914" s="997"/>
      <c r="EW914" s="997"/>
      <c r="EX914" s="997"/>
      <c r="EY914" s="997"/>
      <c r="EZ914" s="997"/>
      <c r="FA914" s="997"/>
      <c r="FB914" s="997"/>
      <c r="FC914" s="997"/>
      <c r="FD914" s="997"/>
      <c r="FE914" s="997"/>
      <c r="FF914" s="997"/>
      <c r="FG914" s="997"/>
      <c r="FH914" s="997"/>
      <c r="FI914" s="997"/>
      <c r="FJ914" s="997"/>
      <c r="FK914" s="997"/>
      <c r="FL914" s="997"/>
      <c r="FM914" s="997"/>
      <c r="FN914" s="997"/>
      <c r="FO914" s="997"/>
      <c r="FP914" s="997"/>
      <c r="FQ914" s="997"/>
      <c r="FR914" s="997"/>
      <c r="FS914" s="997"/>
      <c r="FT914" s="997"/>
      <c r="FU914" s="997"/>
      <c r="FV914" s="997"/>
      <c r="FW914" s="997"/>
      <c r="FX914" s="997"/>
      <c r="FY914" s="997"/>
      <c r="FZ914" s="997"/>
      <c r="GA914" s="997"/>
      <c r="GB914" s="997"/>
      <c r="GC914" s="997"/>
      <c r="GD914" s="997"/>
      <c r="GE914" s="997"/>
      <c r="GF914" s="997"/>
      <c r="GG914" s="997"/>
      <c r="GH914" s="997"/>
      <c r="GI914" s="997"/>
      <c r="GJ914" s="997"/>
      <c r="GK914" s="997"/>
      <c r="GL914" s="997"/>
      <c r="GM914" s="997"/>
      <c r="GN914" s="997"/>
      <c r="GO914" s="997"/>
      <c r="GP914" s="997"/>
      <c r="GQ914" s="997"/>
      <c r="GR914" s="997"/>
      <c r="GS914" s="997"/>
      <c r="GT914" s="997"/>
      <c r="GU914" s="997"/>
      <c r="GV914" s="997"/>
      <c r="GW914" s="997"/>
      <c r="GX914" s="997"/>
      <c r="GY914" s="997"/>
      <c r="GZ914" s="997"/>
      <c r="HA914" s="997"/>
      <c r="HB914" s="997"/>
      <c r="HC914" s="997"/>
      <c r="HD914" s="997"/>
      <c r="HE914" s="997"/>
      <c r="HF914" s="997"/>
      <c r="HG914" s="997"/>
      <c r="HH914" s="997"/>
      <c r="HI914" s="997"/>
      <c r="HJ914" s="997"/>
      <c r="HK914" s="997"/>
      <c r="HL914" s="997"/>
      <c r="HM914" s="997"/>
      <c r="HN914" s="997"/>
      <c r="HO914" s="997"/>
      <c r="HP914" s="997"/>
      <c r="HQ914" s="997"/>
      <c r="HR914" s="997"/>
      <c r="HS914" s="997"/>
      <c r="HT914" s="997"/>
      <c r="HU914" s="997"/>
      <c r="HV914" s="997"/>
      <c r="HW914" s="997"/>
      <c r="HX914" s="997"/>
      <c r="HY914" s="997"/>
      <c r="HZ914" s="997"/>
      <c r="IA914" s="997"/>
      <c r="IB914" s="997"/>
      <c r="IC914" s="997"/>
      <c r="ID914" s="997"/>
      <c r="IE914" s="997"/>
      <c r="IF914" s="997"/>
      <c r="IG914" s="997"/>
      <c r="IH914" s="997"/>
      <c r="II914" s="997"/>
      <c r="IJ914" s="997"/>
      <c r="IK914" s="997"/>
      <c r="IL914" s="997"/>
      <c r="IM914" s="997"/>
      <c r="IN914" s="997"/>
    </row>
    <row r="915" spans="1:248" s="1090" customFormat="1" ht="14.1" customHeight="1">
      <c r="A915" s="1103"/>
      <c r="B915" s="1104"/>
      <c r="C915" s="1105"/>
      <c r="G915" s="997"/>
      <c r="H915" s="997"/>
      <c r="I915" s="997"/>
      <c r="J915" s="997"/>
      <c r="K915" s="997"/>
      <c r="L915" s="997"/>
      <c r="M915" s="997"/>
      <c r="N915" s="997"/>
      <c r="O915" s="997"/>
      <c r="P915" s="997"/>
      <c r="Q915" s="997"/>
      <c r="R915" s="997"/>
      <c r="S915" s="997"/>
      <c r="T915" s="997"/>
      <c r="U915" s="997"/>
      <c r="V915" s="997"/>
      <c r="W915" s="997"/>
      <c r="X915" s="997"/>
      <c r="Y915" s="997"/>
      <c r="Z915" s="997"/>
      <c r="AA915" s="997"/>
      <c r="AB915" s="997"/>
      <c r="AC915" s="997"/>
      <c r="AD915" s="997"/>
      <c r="AE915" s="997"/>
      <c r="AF915" s="997"/>
      <c r="AG915" s="997"/>
      <c r="AH915" s="997"/>
      <c r="AI915" s="997"/>
      <c r="AJ915" s="997"/>
      <c r="AK915" s="997"/>
      <c r="AL915" s="997"/>
      <c r="AM915" s="997"/>
      <c r="AN915" s="997"/>
      <c r="AO915" s="997"/>
      <c r="AP915" s="997"/>
      <c r="AQ915" s="997"/>
      <c r="AR915" s="997"/>
      <c r="AS915" s="997"/>
      <c r="AT915" s="997"/>
      <c r="AU915" s="997"/>
      <c r="AV915" s="997"/>
      <c r="AW915" s="997"/>
      <c r="AX915" s="997"/>
      <c r="AY915" s="997"/>
      <c r="AZ915" s="997"/>
      <c r="BA915" s="997"/>
      <c r="BB915" s="997"/>
      <c r="BC915" s="997"/>
      <c r="BD915" s="997"/>
      <c r="BE915" s="997"/>
      <c r="BF915" s="997"/>
      <c r="BG915" s="997"/>
      <c r="BH915" s="997"/>
      <c r="BI915" s="997"/>
      <c r="BJ915" s="997"/>
      <c r="BK915" s="997"/>
      <c r="BL915" s="997"/>
      <c r="BM915" s="997"/>
      <c r="BN915" s="997"/>
      <c r="BO915" s="997"/>
      <c r="BP915" s="997"/>
      <c r="BQ915" s="997"/>
      <c r="BR915" s="997"/>
      <c r="BS915" s="997"/>
      <c r="BT915" s="997"/>
      <c r="BU915" s="997"/>
      <c r="BV915" s="997"/>
      <c r="BW915" s="997"/>
      <c r="BX915" s="997"/>
      <c r="BY915" s="997"/>
      <c r="BZ915" s="997"/>
      <c r="CA915" s="997"/>
      <c r="CB915" s="997"/>
      <c r="CC915" s="997"/>
      <c r="CD915" s="997"/>
      <c r="CE915" s="997"/>
      <c r="CF915" s="997"/>
      <c r="CG915" s="997"/>
      <c r="CH915" s="997"/>
      <c r="CI915" s="997"/>
      <c r="CJ915" s="997"/>
      <c r="CK915" s="997"/>
      <c r="CL915" s="997"/>
      <c r="CM915" s="997"/>
      <c r="CN915" s="997"/>
      <c r="CO915" s="997"/>
      <c r="CP915" s="997"/>
      <c r="CQ915" s="997"/>
      <c r="CR915" s="997"/>
      <c r="CS915" s="997"/>
      <c r="CT915" s="997"/>
      <c r="CU915" s="997"/>
      <c r="CV915" s="997"/>
      <c r="CW915" s="997"/>
      <c r="CX915" s="997"/>
      <c r="CY915" s="997"/>
      <c r="CZ915" s="997"/>
      <c r="DA915" s="997"/>
      <c r="DB915" s="997"/>
      <c r="DC915" s="997"/>
      <c r="DD915" s="997"/>
      <c r="DE915" s="997"/>
      <c r="DF915" s="997"/>
      <c r="DG915" s="997"/>
      <c r="DH915" s="997"/>
      <c r="DI915" s="997"/>
      <c r="DJ915" s="997"/>
      <c r="DK915" s="997"/>
      <c r="DL915" s="997"/>
      <c r="DM915" s="997"/>
      <c r="DN915" s="997"/>
      <c r="DO915" s="997"/>
      <c r="DP915" s="997"/>
      <c r="DQ915" s="997"/>
      <c r="DR915" s="997"/>
      <c r="DS915" s="997"/>
      <c r="DT915" s="997"/>
      <c r="DU915" s="997"/>
      <c r="DV915" s="997"/>
      <c r="DW915" s="997"/>
      <c r="DX915" s="997"/>
      <c r="DY915" s="997"/>
      <c r="DZ915" s="997"/>
      <c r="EA915" s="997"/>
      <c r="EB915" s="997"/>
      <c r="EC915" s="997"/>
      <c r="ED915" s="997"/>
      <c r="EE915" s="997"/>
      <c r="EF915" s="997"/>
      <c r="EG915" s="997"/>
      <c r="EH915" s="997"/>
      <c r="EI915" s="997"/>
      <c r="EJ915" s="997"/>
      <c r="EK915" s="997"/>
      <c r="EL915" s="997"/>
      <c r="EM915" s="997"/>
      <c r="EN915" s="997"/>
      <c r="EO915" s="997"/>
      <c r="EP915" s="997"/>
      <c r="EQ915" s="997"/>
      <c r="ER915" s="997"/>
      <c r="ES915" s="997"/>
      <c r="ET915" s="997"/>
      <c r="EU915" s="997"/>
      <c r="EV915" s="997"/>
      <c r="EW915" s="997"/>
      <c r="EX915" s="997"/>
      <c r="EY915" s="997"/>
      <c r="EZ915" s="997"/>
      <c r="FA915" s="997"/>
      <c r="FB915" s="997"/>
      <c r="FC915" s="997"/>
      <c r="FD915" s="997"/>
      <c r="FE915" s="997"/>
      <c r="FF915" s="997"/>
      <c r="FG915" s="997"/>
      <c r="FH915" s="997"/>
      <c r="FI915" s="997"/>
      <c r="FJ915" s="997"/>
      <c r="FK915" s="997"/>
      <c r="FL915" s="997"/>
      <c r="FM915" s="997"/>
      <c r="FN915" s="997"/>
      <c r="FO915" s="997"/>
      <c r="FP915" s="997"/>
      <c r="FQ915" s="997"/>
      <c r="FR915" s="997"/>
      <c r="FS915" s="997"/>
      <c r="FT915" s="997"/>
      <c r="FU915" s="997"/>
      <c r="FV915" s="997"/>
      <c r="FW915" s="997"/>
      <c r="FX915" s="997"/>
      <c r="FY915" s="997"/>
      <c r="FZ915" s="997"/>
      <c r="GA915" s="997"/>
      <c r="GB915" s="997"/>
      <c r="GC915" s="997"/>
      <c r="GD915" s="997"/>
      <c r="GE915" s="997"/>
      <c r="GF915" s="997"/>
      <c r="GG915" s="997"/>
      <c r="GH915" s="997"/>
      <c r="GI915" s="997"/>
      <c r="GJ915" s="997"/>
      <c r="GK915" s="997"/>
      <c r="GL915" s="997"/>
      <c r="GM915" s="997"/>
      <c r="GN915" s="997"/>
      <c r="GO915" s="997"/>
      <c r="GP915" s="997"/>
      <c r="GQ915" s="997"/>
      <c r="GR915" s="997"/>
      <c r="GS915" s="997"/>
      <c r="GT915" s="997"/>
      <c r="GU915" s="997"/>
      <c r="GV915" s="997"/>
      <c r="GW915" s="997"/>
      <c r="GX915" s="997"/>
      <c r="GY915" s="997"/>
      <c r="GZ915" s="997"/>
      <c r="HA915" s="997"/>
      <c r="HB915" s="997"/>
      <c r="HC915" s="997"/>
      <c r="HD915" s="997"/>
      <c r="HE915" s="997"/>
      <c r="HF915" s="997"/>
      <c r="HG915" s="997"/>
      <c r="HH915" s="997"/>
      <c r="HI915" s="997"/>
      <c r="HJ915" s="997"/>
      <c r="HK915" s="997"/>
      <c r="HL915" s="997"/>
      <c r="HM915" s="997"/>
      <c r="HN915" s="997"/>
      <c r="HO915" s="997"/>
      <c r="HP915" s="997"/>
      <c r="HQ915" s="997"/>
      <c r="HR915" s="997"/>
      <c r="HS915" s="997"/>
      <c r="HT915" s="997"/>
      <c r="HU915" s="997"/>
      <c r="HV915" s="997"/>
      <c r="HW915" s="997"/>
      <c r="HX915" s="997"/>
      <c r="HY915" s="997"/>
      <c r="HZ915" s="997"/>
      <c r="IA915" s="997"/>
      <c r="IB915" s="997"/>
      <c r="IC915" s="997"/>
      <c r="ID915" s="997"/>
      <c r="IE915" s="997"/>
      <c r="IF915" s="997"/>
      <c r="IG915" s="997"/>
      <c r="IH915" s="997"/>
      <c r="II915" s="997"/>
      <c r="IJ915" s="997"/>
      <c r="IK915" s="997"/>
      <c r="IL915" s="997"/>
      <c r="IM915" s="997"/>
      <c r="IN915" s="997"/>
    </row>
    <row r="916" spans="1:248" s="1090" customFormat="1" ht="14.1" customHeight="1">
      <c r="A916" s="1103"/>
      <c r="B916" s="1104"/>
      <c r="C916" s="1105"/>
      <c r="G916" s="997"/>
      <c r="H916" s="997"/>
      <c r="I916" s="997"/>
      <c r="J916" s="997"/>
      <c r="K916" s="997"/>
      <c r="L916" s="997"/>
      <c r="M916" s="997"/>
      <c r="N916" s="997"/>
      <c r="O916" s="997"/>
      <c r="P916" s="997"/>
      <c r="Q916" s="997"/>
      <c r="R916" s="997"/>
      <c r="S916" s="997"/>
      <c r="T916" s="997"/>
      <c r="U916" s="997"/>
      <c r="V916" s="997"/>
      <c r="W916" s="997"/>
      <c r="X916" s="997"/>
      <c r="Y916" s="997"/>
      <c r="Z916" s="997"/>
      <c r="AA916" s="997"/>
      <c r="AB916" s="997"/>
      <c r="AC916" s="997"/>
      <c r="AD916" s="997"/>
      <c r="AE916" s="997"/>
      <c r="AF916" s="997"/>
      <c r="AG916" s="997"/>
      <c r="AH916" s="997"/>
      <c r="AI916" s="997"/>
      <c r="AJ916" s="997"/>
      <c r="AK916" s="997"/>
      <c r="AL916" s="997"/>
      <c r="AM916" s="997"/>
      <c r="AN916" s="997"/>
      <c r="AO916" s="997"/>
      <c r="AP916" s="997"/>
      <c r="AQ916" s="997"/>
      <c r="AR916" s="997"/>
      <c r="AS916" s="997"/>
      <c r="AT916" s="997"/>
      <c r="AU916" s="997"/>
      <c r="AV916" s="997"/>
      <c r="AW916" s="997"/>
      <c r="AX916" s="997"/>
      <c r="AY916" s="997"/>
      <c r="AZ916" s="997"/>
      <c r="BA916" s="997"/>
      <c r="BB916" s="997"/>
      <c r="BC916" s="997"/>
      <c r="BD916" s="997"/>
      <c r="BE916" s="997"/>
      <c r="BF916" s="997"/>
      <c r="BG916" s="997"/>
      <c r="BH916" s="997"/>
      <c r="BI916" s="997"/>
      <c r="BJ916" s="997"/>
      <c r="BK916" s="997"/>
      <c r="BL916" s="997"/>
      <c r="BM916" s="997"/>
      <c r="BN916" s="997"/>
      <c r="BO916" s="997"/>
      <c r="BP916" s="997"/>
      <c r="BQ916" s="997"/>
      <c r="BR916" s="997"/>
      <c r="BS916" s="997"/>
      <c r="BT916" s="997"/>
      <c r="BU916" s="997"/>
      <c r="BV916" s="997"/>
      <c r="BW916" s="997"/>
      <c r="BX916" s="997"/>
      <c r="BY916" s="997"/>
      <c r="BZ916" s="997"/>
      <c r="CA916" s="997"/>
      <c r="CB916" s="997"/>
      <c r="CC916" s="997"/>
      <c r="CD916" s="997"/>
      <c r="CE916" s="997"/>
      <c r="CF916" s="997"/>
      <c r="CG916" s="997"/>
      <c r="CH916" s="997"/>
      <c r="CI916" s="997"/>
      <c r="CJ916" s="997"/>
      <c r="CK916" s="997"/>
      <c r="CL916" s="997"/>
      <c r="CM916" s="997"/>
      <c r="CN916" s="997"/>
      <c r="CO916" s="997"/>
      <c r="CP916" s="997"/>
      <c r="CQ916" s="997"/>
      <c r="CR916" s="997"/>
      <c r="CS916" s="997"/>
      <c r="CT916" s="997"/>
      <c r="CU916" s="997"/>
      <c r="CV916" s="997"/>
      <c r="CW916" s="997"/>
      <c r="CX916" s="997"/>
      <c r="CY916" s="997"/>
      <c r="CZ916" s="997"/>
      <c r="DA916" s="997"/>
      <c r="DB916" s="997"/>
      <c r="DC916" s="997"/>
      <c r="DD916" s="997"/>
      <c r="DE916" s="997"/>
      <c r="DF916" s="997"/>
      <c r="DG916" s="997"/>
      <c r="DH916" s="997"/>
      <c r="DI916" s="997"/>
      <c r="DJ916" s="997"/>
      <c r="DK916" s="997"/>
      <c r="DL916" s="997"/>
      <c r="DM916" s="997"/>
      <c r="DN916" s="997"/>
      <c r="DO916" s="997"/>
      <c r="DP916" s="997"/>
      <c r="DQ916" s="997"/>
      <c r="DR916" s="997"/>
      <c r="DS916" s="997"/>
      <c r="DT916" s="997"/>
      <c r="DU916" s="997"/>
      <c r="DV916" s="997"/>
      <c r="DW916" s="997"/>
      <c r="DX916" s="997"/>
      <c r="DY916" s="997"/>
      <c r="DZ916" s="997"/>
      <c r="EA916" s="997"/>
      <c r="EB916" s="997"/>
      <c r="EC916" s="997"/>
      <c r="ED916" s="997"/>
      <c r="EE916" s="997"/>
      <c r="EF916" s="997"/>
      <c r="EG916" s="997"/>
      <c r="EH916" s="997"/>
      <c r="EI916" s="997"/>
      <c r="EJ916" s="997"/>
      <c r="EK916" s="997"/>
      <c r="EL916" s="997"/>
      <c r="EM916" s="997"/>
      <c r="EN916" s="997"/>
      <c r="EO916" s="997"/>
      <c r="EP916" s="997"/>
      <c r="EQ916" s="997"/>
      <c r="ER916" s="997"/>
      <c r="ES916" s="997"/>
      <c r="ET916" s="997"/>
      <c r="EU916" s="997"/>
      <c r="EV916" s="997"/>
      <c r="EW916" s="997"/>
      <c r="EX916" s="997"/>
      <c r="EY916" s="997"/>
      <c r="EZ916" s="997"/>
      <c r="FA916" s="997"/>
      <c r="FB916" s="997"/>
      <c r="FC916" s="997"/>
      <c r="FD916" s="997"/>
      <c r="FE916" s="997"/>
      <c r="FF916" s="997"/>
      <c r="FG916" s="997"/>
      <c r="FH916" s="997"/>
      <c r="FI916" s="997"/>
      <c r="FJ916" s="997"/>
      <c r="FK916" s="997"/>
      <c r="FL916" s="997"/>
      <c r="FM916" s="997"/>
      <c r="FN916" s="997"/>
      <c r="FO916" s="997"/>
      <c r="FP916" s="997"/>
      <c r="FQ916" s="997"/>
      <c r="FR916" s="997"/>
      <c r="FS916" s="997"/>
      <c r="FT916" s="997"/>
      <c r="FU916" s="997"/>
      <c r="FV916" s="997"/>
      <c r="FW916" s="997"/>
      <c r="FX916" s="997"/>
      <c r="FY916" s="997"/>
      <c r="FZ916" s="997"/>
      <c r="GA916" s="997"/>
      <c r="GB916" s="997"/>
      <c r="GC916" s="997"/>
      <c r="GD916" s="997"/>
      <c r="GE916" s="997"/>
      <c r="GF916" s="997"/>
      <c r="GG916" s="997"/>
      <c r="GH916" s="997"/>
      <c r="GI916" s="997"/>
      <c r="GJ916" s="997"/>
      <c r="GK916" s="997"/>
      <c r="GL916" s="997"/>
      <c r="GM916" s="997"/>
      <c r="GN916" s="997"/>
      <c r="GO916" s="997"/>
      <c r="GP916" s="997"/>
      <c r="GQ916" s="997"/>
      <c r="GR916" s="997"/>
      <c r="GS916" s="997"/>
      <c r="GT916" s="997"/>
      <c r="GU916" s="997"/>
      <c r="GV916" s="997"/>
      <c r="GW916" s="997"/>
      <c r="GX916" s="997"/>
      <c r="GY916" s="997"/>
      <c r="GZ916" s="997"/>
      <c r="HA916" s="997"/>
      <c r="HB916" s="997"/>
      <c r="HC916" s="997"/>
      <c r="HD916" s="997"/>
      <c r="HE916" s="997"/>
      <c r="HF916" s="997"/>
      <c r="HG916" s="997"/>
      <c r="HH916" s="997"/>
      <c r="HI916" s="997"/>
      <c r="HJ916" s="997"/>
      <c r="HK916" s="997"/>
      <c r="HL916" s="997"/>
      <c r="HM916" s="997"/>
      <c r="HN916" s="997"/>
      <c r="HO916" s="997"/>
      <c r="HP916" s="997"/>
      <c r="HQ916" s="997"/>
      <c r="HR916" s="997"/>
      <c r="HS916" s="997"/>
      <c r="HT916" s="997"/>
      <c r="HU916" s="997"/>
      <c r="HV916" s="997"/>
      <c r="HW916" s="997"/>
      <c r="HX916" s="997"/>
      <c r="HY916" s="997"/>
      <c r="HZ916" s="997"/>
      <c r="IA916" s="997"/>
      <c r="IB916" s="997"/>
      <c r="IC916" s="997"/>
      <c r="ID916" s="997"/>
      <c r="IE916" s="997"/>
      <c r="IF916" s="997"/>
      <c r="IG916" s="997"/>
      <c r="IH916" s="997"/>
      <c r="II916" s="997"/>
      <c r="IJ916" s="997"/>
      <c r="IK916" s="997"/>
      <c r="IL916" s="997"/>
      <c r="IM916" s="997"/>
      <c r="IN916" s="997"/>
    </row>
    <row r="917" spans="1:248" ht="14.1" customHeight="1">
      <c r="A917" s="1242" t="s">
        <v>4132</v>
      </c>
      <c r="B917" s="1243"/>
      <c r="C917" s="1243"/>
      <c r="D917" s="1244"/>
      <c r="E917" s="1244"/>
    </row>
    <row r="918" spans="1:248" ht="14.1" customHeight="1">
      <c r="A918" s="1243"/>
      <c r="B918" s="1243"/>
      <c r="C918" s="1243"/>
      <c r="D918" s="1244"/>
      <c r="E918" s="1244"/>
    </row>
    <row r="919" spans="1:248" ht="14.1" customHeight="1">
      <c r="A919" s="1243" t="s">
        <v>3989</v>
      </c>
      <c r="B919" s="1243"/>
      <c r="C919" s="1243" t="s">
        <v>4133</v>
      </c>
      <c r="D919" s="1244"/>
      <c r="E919" s="1244"/>
    </row>
    <row r="920" spans="1:248" ht="14.1" customHeight="1">
      <c r="A920" s="1243"/>
      <c r="B920" s="1243"/>
      <c r="C920" s="1243"/>
      <c r="D920" s="1244"/>
      <c r="E920" s="1244"/>
    </row>
    <row r="921" spans="1:248" ht="14.1" customHeight="1">
      <c r="A921" s="1243" t="s">
        <v>3990</v>
      </c>
      <c r="B921" s="1243"/>
      <c r="C921" s="2665" t="s">
        <v>4130</v>
      </c>
      <c r="D921" s="2665"/>
      <c r="E921" s="2665"/>
    </row>
    <row r="922" spans="1:248" ht="14.1" customHeight="1">
      <c r="A922" s="1243" t="s">
        <v>3991</v>
      </c>
      <c r="B922" s="1243"/>
      <c r="C922" s="2665"/>
      <c r="D922" s="2665"/>
      <c r="E922" s="2665"/>
    </row>
    <row r="923" spans="1:248" ht="14.1" customHeight="1">
      <c r="A923" s="1243"/>
      <c r="B923" s="1243"/>
      <c r="C923" s="1243"/>
      <c r="D923" s="1244"/>
      <c r="E923" s="1244"/>
    </row>
    <row r="924" spans="1:248" ht="14.1" customHeight="1">
      <c r="A924" s="1243" t="s">
        <v>3992</v>
      </c>
      <c r="B924" s="1245"/>
      <c r="C924" s="2665" t="s">
        <v>4131</v>
      </c>
      <c r="D924" s="2665"/>
      <c r="E924" s="2665"/>
      <c r="F924" s="1239"/>
    </row>
    <row r="925" spans="1:248" ht="14.1" customHeight="1">
      <c r="A925" s="1243"/>
      <c r="B925" s="1245"/>
      <c r="C925" s="2665"/>
      <c r="D925" s="2665"/>
      <c r="E925" s="2665"/>
      <c r="F925" s="1239"/>
    </row>
    <row r="926" spans="1:248" ht="14.1" customHeight="1">
      <c r="A926" s="1243"/>
      <c r="B926" s="1243"/>
      <c r="C926" s="1243"/>
      <c r="D926" s="1244"/>
      <c r="E926" s="1244"/>
    </row>
    <row r="927" spans="1:248" ht="14.1" customHeight="1">
      <c r="A927" s="1243" t="s">
        <v>4134</v>
      </c>
      <c r="B927" s="1243"/>
      <c r="C927" s="1243" t="s">
        <v>4135</v>
      </c>
      <c r="D927" s="1244"/>
      <c r="E927" s="1244"/>
    </row>
    <row r="928" spans="1:248" ht="14.1" customHeight="1">
      <c r="A928" s="1243"/>
      <c r="B928" s="1243"/>
      <c r="C928" s="1243"/>
      <c r="D928" s="1244"/>
      <c r="E928" s="1244"/>
    </row>
    <row r="929" spans="1:248" ht="14.1" customHeight="1">
      <c r="A929" s="1243" t="s">
        <v>3993</v>
      </c>
      <c r="B929" s="1243"/>
      <c r="C929" s="1243" t="s">
        <v>3994</v>
      </c>
      <c r="D929" s="1244"/>
      <c r="E929" s="1244"/>
    </row>
    <row r="930" spans="1:248" ht="14.1" customHeight="1">
      <c r="A930" s="1243"/>
      <c r="B930" s="1243"/>
      <c r="C930" s="1243" t="s">
        <v>3995</v>
      </c>
      <c r="D930" s="1244"/>
      <c r="E930" s="1244"/>
    </row>
    <row r="931" spans="1:248" ht="14.1" customHeight="1">
      <c r="A931" s="1243"/>
      <c r="B931" s="1243"/>
      <c r="C931" s="1243" t="s">
        <v>3996</v>
      </c>
      <c r="D931" s="1244"/>
      <c r="E931" s="1244"/>
    </row>
    <row r="932" spans="1:248" ht="14.1" customHeight="1">
      <c r="A932" s="1243"/>
      <c r="B932" s="1243"/>
      <c r="C932" s="1243" t="s">
        <v>3997</v>
      </c>
      <c r="D932" s="1244"/>
      <c r="E932" s="1244"/>
    </row>
    <row r="933" spans="1:248" s="1090" customFormat="1" ht="14.1" customHeight="1">
      <c r="A933" s="1243"/>
      <c r="B933" s="1243"/>
      <c r="C933" s="1243"/>
      <c r="D933" s="1244"/>
      <c r="E933" s="1244"/>
      <c r="G933" s="997"/>
      <c r="H933" s="997"/>
      <c r="I933" s="997"/>
      <c r="J933" s="997"/>
      <c r="K933" s="997"/>
      <c r="L933" s="997"/>
      <c r="M933" s="997"/>
      <c r="N933" s="997"/>
      <c r="O933" s="997"/>
      <c r="P933" s="997"/>
      <c r="Q933" s="997"/>
      <c r="R933" s="997"/>
      <c r="S933" s="997"/>
      <c r="T933" s="997"/>
      <c r="U933" s="997"/>
      <c r="V933" s="997"/>
      <c r="W933" s="997"/>
      <c r="X933" s="997"/>
      <c r="Y933" s="997"/>
      <c r="Z933" s="997"/>
      <c r="AA933" s="997"/>
      <c r="AB933" s="997"/>
      <c r="AC933" s="997"/>
      <c r="AD933" s="997"/>
      <c r="AE933" s="997"/>
      <c r="AF933" s="997"/>
      <c r="AG933" s="997"/>
      <c r="AH933" s="997"/>
      <c r="AI933" s="997"/>
      <c r="AJ933" s="997"/>
      <c r="AK933" s="997"/>
      <c r="AL933" s="997"/>
      <c r="AM933" s="997"/>
      <c r="AN933" s="997"/>
      <c r="AO933" s="997"/>
      <c r="AP933" s="997"/>
      <c r="AQ933" s="997"/>
      <c r="AR933" s="997"/>
      <c r="AS933" s="997"/>
      <c r="AT933" s="997"/>
      <c r="AU933" s="997"/>
      <c r="AV933" s="997"/>
      <c r="AW933" s="997"/>
      <c r="AX933" s="997"/>
      <c r="AY933" s="997"/>
      <c r="AZ933" s="997"/>
      <c r="BA933" s="997"/>
      <c r="BB933" s="997"/>
      <c r="BC933" s="997"/>
      <c r="BD933" s="997"/>
      <c r="BE933" s="997"/>
      <c r="BF933" s="997"/>
      <c r="BG933" s="997"/>
      <c r="BH933" s="997"/>
      <c r="BI933" s="997"/>
      <c r="BJ933" s="997"/>
      <c r="BK933" s="997"/>
      <c r="BL933" s="997"/>
      <c r="BM933" s="997"/>
      <c r="BN933" s="997"/>
      <c r="BO933" s="997"/>
      <c r="BP933" s="997"/>
      <c r="BQ933" s="997"/>
      <c r="BR933" s="997"/>
      <c r="BS933" s="997"/>
      <c r="BT933" s="997"/>
      <c r="BU933" s="997"/>
      <c r="BV933" s="997"/>
      <c r="BW933" s="997"/>
      <c r="BX933" s="997"/>
      <c r="BY933" s="997"/>
      <c r="BZ933" s="997"/>
      <c r="CA933" s="997"/>
      <c r="CB933" s="997"/>
      <c r="CC933" s="997"/>
      <c r="CD933" s="997"/>
      <c r="CE933" s="997"/>
      <c r="CF933" s="997"/>
      <c r="CG933" s="997"/>
      <c r="CH933" s="997"/>
      <c r="CI933" s="997"/>
      <c r="CJ933" s="997"/>
      <c r="CK933" s="997"/>
      <c r="CL933" s="997"/>
      <c r="CM933" s="997"/>
      <c r="CN933" s="997"/>
      <c r="CO933" s="997"/>
      <c r="CP933" s="997"/>
      <c r="CQ933" s="997"/>
      <c r="CR933" s="997"/>
      <c r="CS933" s="997"/>
      <c r="CT933" s="997"/>
      <c r="CU933" s="997"/>
      <c r="CV933" s="997"/>
      <c r="CW933" s="997"/>
      <c r="CX933" s="997"/>
      <c r="CY933" s="997"/>
      <c r="CZ933" s="997"/>
      <c r="DA933" s="997"/>
      <c r="DB933" s="997"/>
      <c r="DC933" s="997"/>
      <c r="DD933" s="997"/>
      <c r="DE933" s="997"/>
      <c r="DF933" s="997"/>
      <c r="DG933" s="997"/>
      <c r="DH933" s="997"/>
      <c r="DI933" s="997"/>
      <c r="DJ933" s="997"/>
      <c r="DK933" s="997"/>
      <c r="DL933" s="997"/>
      <c r="DM933" s="997"/>
      <c r="DN933" s="997"/>
      <c r="DO933" s="997"/>
      <c r="DP933" s="997"/>
      <c r="DQ933" s="997"/>
      <c r="DR933" s="997"/>
      <c r="DS933" s="997"/>
      <c r="DT933" s="997"/>
      <c r="DU933" s="997"/>
      <c r="DV933" s="997"/>
      <c r="DW933" s="997"/>
      <c r="DX933" s="997"/>
      <c r="DY933" s="997"/>
      <c r="DZ933" s="997"/>
      <c r="EA933" s="997"/>
      <c r="EB933" s="997"/>
      <c r="EC933" s="997"/>
      <c r="ED933" s="997"/>
      <c r="EE933" s="997"/>
      <c r="EF933" s="997"/>
      <c r="EG933" s="997"/>
      <c r="EH933" s="997"/>
      <c r="EI933" s="997"/>
      <c r="EJ933" s="997"/>
      <c r="EK933" s="997"/>
      <c r="EL933" s="997"/>
      <c r="EM933" s="997"/>
      <c r="EN933" s="997"/>
      <c r="EO933" s="997"/>
      <c r="EP933" s="997"/>
      <c r="EQ933" s="997"/>
      <c r="ER933" s="997"/>
      <c r="ES933" s="997"/>
      <c r="ET933" s="997"/>
      <c r="EU933" s="997"/>
      <c r="EV933" s="997"/>
      <c r="EW933" s="997"/>
      <c r="EX933" s="997"/>
      <c r="EY933" s="997"/>
      <c r="EZ933" s="997"/>
      <c r="FA933" s="997"/>
      <c r="FB933" s="997"/>
      <c r="FC933" s="997"/>
      <c r="FD933" s="997"/>
      <c r="FE933" s="997"/>
      <c r="FF933" s="997"/>
      <c r="FG933" s="997"/>
      <c r="FH933" s="997"/>
      <c r="FI933" s="997"/>
      <c r="FJ933" s="997"/>
      <c r="FK933" s="997"/>
      <c r="FL933" s="997"/>
      <c r="FM933" s="997"/>
      <c r="FN933" s="997"/>
      <c r="FO933" s="997"/>
      <c r="FP933" s="997"/>
      <c r="FQ933" s="997"/>
      <c r="FR933" s="997"/>
      <c r="FS933" s="997"/>
      <c r="FT933" s="997"/>
      <c r="FU933" s="997"/>
      <c r="FV933" s="997"/>
      <c r="FW933" s="997"/>
      <c r="FX933" s="997"/>
      <c r="FY933" s="997"/>
      <c r="FZ933" s="997"/>
      <c r="GA933" s="997"/>
      <c r="GB933" s="997"/>
      <c r="GC933" s="997"/>
      <c r="GD933" s="997"/>
      <c r="GE933" s="997"/>
      <c r="GF933" s="997"/>
      <c r="GG933" s="997"/>
      <c r="GH933" s="997"/>
      <c r="GI933" s="997"/>
      <c r="GJ933" s="997"/>
      <c r="GK933" s="997"/>
      <c r="GL933" s="997"/>
      <c r="GM933" s="997"/>
      <c r="GN933" s="997"/>
      <c r="GO933" s="997"/>
      <c r="GP933" s="997"/>
      <c r="GQ933" s="997"/>
      <c r="GR933" s="997"/>
      <c r="GS933" s="997"/>
      <c r="GT933" s="997"/>
      <c r="GU933" s="997"/>
      <c r="GV933" s="997"/>
      <c r="GW933" s="997"/>
      <c r="GX933" s="997"/>
      <c r="GY933" s="997"/>
      <c r="GZ933" s="997"/>
      <c r="HA933" s="997"/>
      <c r="HB933" s="997"/>
      <c r="HC933" s="997"/>
      <c r="HD933" s="997"/>
      <c r="HE933" s="997"/>
      <c r="HF933" s="997"/>
      <c r="HG933" s="997"/>
      <c r="HH933" s="997"/>
      <c r="HI933" s="997"/>
      <c r="HJ933" s="997"/>
      <c r="HK933" s="997"/>
      <c r="HL933" s="997"/>
      <c r="HM933" s="997"/>
      <c r="HN933" s="997"/>
      <c r="HO933" s="997"/>
      <c r="HP933" s="997"/>
      <c r="HQ933" s="997"/>
      <c r="HR933" s="997"/>
      <c r="HS933" s="997"/>
      <c r="HT933" s="997"/>
      <c r="HU933" s="997"/>
      <c r="HV933" s="997"/>
      <c r="HW933" s="997"/>
      <c r="HX933" s="997"/>
      <c r="HY933" s="997"/>
      <c r="HZ933" s="997"/>
      <c r="IA933" s="997"/>
      <c r="IB933" s="997"/>
      <c r="IC933" s="997"/>
      <c r="ID933" s="997"/>
      <c r="IE933" s="997"/>
      <c r="IF933" s="997"/>
      <c r="IG933" s="997"/>
      <c r="IH933" s="997"/>
      <c r="II933" s="997"/>
      <c r="IJ933" s="997"/>
      <c r="IK933" s="997"/>
      <c r="IL933" s="997"/>
      <c r="IM933" s="997"/>
      <c r="IN933" s="997"/>
    </row>
    <row r="934" spans="1:248" ht="14.1" customHeight="1">
      <c r="A934" s="1243" t="s">
        <v>3998</v>
      </c>
      <c r="B934" s="1243"/>
      <c r="C934" s="1243"/>
      <c r="D934" s="1244"/>
      <c r="E934" s="1244"/>
    </row>
    <row r="935" spans="1:248" s="1090" customFormat="1" ht="14.1" customHeight="1">
      <c r="A935" s="1243"/>
      <c r="B935" s="1243"/>
      <c r="C935" s="1243"/>
      <c r="D935" s="1244"/>
      <c r="E935" s="1244"/>
      <c r="G935" s="997"/>
      <c r="H935" s="997"/>
      <c r="I935" s="997"/>
      <c r="J935" s="997"/>
      <c r="K935" s="997"/>
      <c r="L935" s="997"/>
      <c r="M935" s="997"/>
      <c r="N935" s="997"/>
      <c r="O935" s="997"/>
      <c r="P935" s="997"/>
      <c r="Q935" s="997"/>
      <c r="R935" s="997"/>
      <c r="S935" s="997"/>
      <c r="T935" s="997"/>
      <c r="U935" s="997"/>
      <c r="V935" s="997"/>
      <c r="W935" s="997"/>
      <c r="X935" s="997"/>
      <c r="Y935" s="997"/>
      <c r="Z935" s="997"/>
      <c r="AA935" s="997"/>
      <c r="AB935" s="997"/>
      <c r="AC935" s="997"/>
      <c r="AD935" s="997"/>
      <c r="AE935" s="997"/>
      <c r="AF935" s="997"/>
      <c r="AG935" s="997"/>
      <c r="AH935" s="997"/>
      <c r="AI935" s="997"/>
      <c r="AJ935" s="997"/>
      <c r="AK935" s="997"/>
      <c r="AL935" s="997"/>
      <c r="AM935" s="997"/>
      <c r="AN935" s="997"/>
      <c r="AO935" s="997"/>
      <c r="AP935" s="997"/>
      <c r="AQ935" s="997"/>
      <c r="AR935" s="997"/>
      <c r="AS935" s="997"/>
      <c r="AT935" s="997"/>
      <c r="AU935" s="997"/>
      <c r="AV935" s="997"/>
      <c r="AW935" s="997"/>
      <c r="AX935" s="997"/>
      <c r="AY935" s="997"/>
      <c r="AZ935" s="997"/>
      <c r="BA935" s="997"/>
      <c r="BB935" s="997"/>
      <c r="BC935" s="997"/>
      <c r="BD935" s="997"/>
      <c r="BE935" s="997"/>
      <c r="BF935" s="997"/>
      <c r="BG935" s="997"/>
      <c r="BH935" s="997"/>
      <c r="BI935" s="997"/>
      <c r="BJ935" s="997"/>
      <c r="BK935" s="997"/>
      <c r="BL935" s="997"/>
      <c r="BM935" s="997"/>
      <c r="BN935" s="997"/>
      <c r="BO935" s="997"/>
      <c r="BP935" s="997"/>
      <c r="BQ935" s="997"/>
      <c r="BR935" s="997"/>
      <c r="BS935" s="997"/>
      <c r="BT935" s="997"/>
      <c r="BU935" s="997"/>
      <c r="BV935" s="997"/>
      <c r="BW935" s="997"/>
      <c r="BX935" s="997"/>
      <c r="BY935" s="997"/>
      <c r="BZ935" s="997"/>
      <c r="CA935" s="997"/>
      <c r="CB935" s="997"/>
      <c r="CC935" s="997"/>
      <c r="CD935" s="997"/>
      <c r="CE935" s="997"/>
      <c r="CF935" s="997"/>
      <c r="CG935" s="997"/>
      <c r="CH935" s="997"/>
      <c r="CI935" s="997"/>
      <c r="CJ935" s="997"/>
      <c r="CK935" s="997"/>
      <c r="CL935" s="997"/>
      <c r="CM935" s="997"/>
      <c r="CN935" s="997"/>
      <c r="CO935" s="997"/>
      <c r="CP935" s="997"/>
      <c r="CQ935" s="997"/>
      <c r="CR935" s="997"/>
      <c r="CS935" s="997"/>
      <c r="CT935" s="997"/>
      <c r="CU935" s="997"/>
      <c r="CV935" s="997"/>
      <c r="CW935" s="997"/>
      <c r="CX935" s="997"/>
      <c r="CY935" s="997"/>
      <c r="CZ935" s="997"/>
      <c r="DA935" s="997"/>
      <c r="DB935" s="997"/>
      <c r="DC935" s="997"/>
      <c r="DD935" s="997"/>
      <c r="DE935" s="997"/>
      <c r="DF935" s="997"/>
      <c r="DG935" s="997"/>
      <c r="DH935" s="997"/>
      <c r="DI935" s="997"/>
      <c r="DJ935" s="997"/>
      <c r="DK935" s="997"/>
      <c r="DL935" s="997"/>
      <c r="DM935" s="997"/>
      <c r="DN935" s="997"/>
      <c r="DO935" s="997"/>
      <c r="DP935" s="997"/>
      <c r="DQ935" s="997"/>
      <c r="DR935" s="997"/>
      <c r="DS935" s="997"/>
      <c r="DT935" s="997"/>
      <c r="DU935" s="997"/>
      <c r="DV935" s="997"/>
      <c r="DW935" s="997"/>
      <c r="DX935" s="997"/>
      <c r="DY935" s="997"/>
      <c r="DZ935" s="997"/>
      <c r="EA935" s="997"/>
      <c r="EB935" s="997"/>
      <c r="EC935" s="997"/>
      <c r="ED935" s="997"/>
      <c r="EE935" s="997"/>
      <c r="EF935" s="997"/>
      <c r="EG935" s="997"/>
      <c r="EH935" s="997"/>
      <c r="EI935" s="997"/>
      <c r="EJ935" s="997"/>
      <c r="EK935" s="997"/>
      <c r="EL935" s="997"/>
      <c r="EM935" s="997"/>
      <c r="EN935" s="997"/>
      <c r="EO935" s="997"/>
      <c r="EP935" s="997"/>
      <c r="EQ935" s="997"/>
      <c r="ER935" s="997"/>
      <c r="ES935" s="997"/>
      <c r="ET935" s="997"/>
      <c r="EU935" s="997"/>
      <c r="EV935" s="997"/>
      <c r="EW935" s="997"/>
      <c r="EX935" s="997"/>
      <c r="EY935" s="997"/>
      <c r="EZ935" s="997"/>
      <c r="FA935" s="997"/>
      <c r="FB935" s="997"/>
      <c r="FC935" s="997"/>
      <c r="FD935" s="997"/>
      <c r="FE935" s="997"/>
      <c r="FF935" s="997"/>
      <c r="FG935" s="997"/>
      <c r="FH935" s="997"/>
      <c r="FI935" s="997"/>
      <c r="FJ935" s="997"/>
      <c r="FK935" s="997"/>
      <c r="FL935" s="997"/>
      <c r="FM935" s="997"/>
      <c r="FN935" s="997"/>
      <c r="FO935" s="997"/>
      <c r="FP935" s="997"/>
      <c r="FQ935" s="997"/>
      <c r="FR935" s="997"/>
      <c r="FS935" s="997"/>
      <c r="FT935" s="997"/>
      <c r="FU935" s="997"/>
      <c r="FV935" s="997"/>
      <c r="FW935" s="997"/>
      <c r="FX935" s="997"/>
      <c r="FY935" s="997"/>
      <c r="FZ935" s="997"/>
      <c r="GA935" s="997"/>
      <c r="GB935" s="997"/>
      <c r="GC935" s="997"/>
      <c r="GD935" s="997"/>
      <c r="GE935" s="997"/>
      <c r="GF935" s="997"/>
      <c r="GG935" s="997"/>
      <c r="GH935" s="997"/>
      <c r="GI935" s="997"/>
      <c r="GJ935" s="997"/>
      <c r="GK935" s="997"/>
      <c r="GL935" s="997"/>
      <c r="GM935" s="997"/>
      <c r="GN935" s="997"/>
      <c r="GO935" s="997"/>
      <c r="GP935" s="997"/>
      <c r="GQ935" s="997"/>
      <c r="GR935" s="997"/>
      <c r="GS935" s="997"/>
      <c r="GT935" s="997"/>
      <c r="GU935" s="997"/>
      <c r="GV935" s="997"/>
      <c r="GW935" s="997"/>
      <c r="GX935" s="997"/>
      <c r="GY935" s="997"/>
      <c r="GZ935" s="997"/>
      <c r="HA935" s="997"/>
      <c r="HB935" s="997"/>
      <c r="HC935" s="997"/>
      <c r="HD935" s="997"/>
      <c r="HE935" s="997"/>
      <c r="HF935" s="997"/>
      <c r="HG935" s="997"/>
      <c r="HH935" s="997"/>
      <c r="HI935" s="997"/>
      <c r="HJ935" s="997"/>
      <c r="HK935" s="997"/>
      <c r="HL935" s="997"/>
      <c r="HM935" s="997"/>
      <c r="HN935" s="997"/>
      <c r="HO935" s="997"/>
      <c r="HP935" s="997"/>
      <c r="HQ935" s="997"/>
      <c r="HR935" s="997"/>
      <c r="HS935" s="997"/>
      <c r="HT935" s="997"/>
      <c r="HU935" s="997"/>
      <c r="HV935" s="997"/>
      <c r="HW935" s="997"/>
      <c r="HX935" s="997"/>
      <c r="HY935" s="997"/>
      <c r="HZ935" s="997"/>
      <c r="IA935" s="997"/>
      <c r="IB935" s="997"/>
      <c r="IC935" s="997"/>
      <c r="ID935" s="997"/>
      <c r="IE935" s="997"/>
      <c r="IF935" s="997"/>
      <c r="IG935" s="997"/>
      <c r="IH935" s="997"/>
      <c r="II935" s="997"/>
      <c r="IJ935" s="997"/>
      <c r="IK935" s="997"/>
      <c r="IL935" s="997"/>
      <c r="IM935" s="997"/>
      <c r="IN935" s="997"/>
    </row>
    <row r="936" spans="1:248" ht="14.1" customHeight="1">
      <c r="A936" s="1246" t="s">
        <v>3191</v>
      </c>
      <c r="B936" s="1243"/>
      <c r="C936" s="1243"/>
      <c r="D936" s="1244"/>
      <c r="E936" s="1244"/>
    </row>
    <row r="937" spans="1:248" s="1090" customFormat="1" ht="14.1" customHeight="1">
      <c r="A937" s="1247" t="s">
        <v>3756</v>
      </c>
      <c r="B937" s="1247"/>
      <c r="C937" s="1247"/>
      <c r="D937" s="1244"/>
      <c r="E937" s="1244"/>
      <c r="G937" s="997"/>
      <c r="H937" s="997"/>
      <c r="I937" s="997"/>
      <c r="J937" s="997"/>
      <c r="K937" s="997"/>
      <c r="L937" s="997"/>
      <c r="M937" s="997"/>
      <c r="N937" s="997"/>
      <c r="O937" s="997"/>
      <c r="P937" s="997"/>
      <c r="Q937" s="997"/>
      <c r="R937" s="997"/>
      <c r="S937" s="997"/>
      <c r="T937" s="997"/>
      <c r="U937" s="997"/>
      <c r="V937" s="997"/>
      <c r="W937" s="997"/>
      <c r="X937" s="997"/>
      <c r="Y937" s="997"/>
      <c r="Z937" s="997"/>
      <c r="AA937" s="997"/>
      <c r="AB937" s="997"/>
      <c r="AC937" s="997"/>
      <c r="AD937" s="997"/>
      <c r="AE937" s="997"/>
      <c r="AF937" s="997"/>
      <c r="AG937" s="997"/>
      <c r="AH937" s="997"/>
      <c r="AI937" s="997"/>
      <c r="AJ937" s="997"/>
      <c r="AK937" s="997"/>
      <c r="AL937" s="997"/>
      <c r="AM937" s="997"/>
      <c r="AN937" s="997"/>
      <c r="AO937" s="997"/>
      <c r="AP937" s="997"/>
      <c r="AQ937" s="997"/>
      <c r="AR937" s="997"/>
      <c r="AS937" s="997"/>
      <c r="AT937" s="997"/>
      <c r="AU937" s="997"/>
      <c r="AV937" s="997"/>
      <c r="AW937" s="997"/>
      <c r="AX937" s="997"/>
      <c r="AY937" s="997"/>
      <c r="AZ937" s="997"/>
      <c r="BA937" s="997"/>
      <c r="BB937" s="997"/>
      <c r="BC937" s="997"/>
      <c r="BD937" s="997"/>
      <c r="BE937" s="997"/>
      <c r="BF937" s="997"/>
      <c r="BG937" s="997"/>
      <c r="BH937" s="997"/>
      <c r="BI937" s="997"/>
      <c r="BJ937" s="997"/>
      <c r="BK937" s="997"/>
      <c r="BL937" s="997"/>
      <c r="BM937" s="997"/>
      <c r="BN937" s="997"/>
      <c r="BO937" s="997"/>
      <c r="BP937" s="997"/>
      <c r="BQ937" s="997"/>
      <c r="BR937" s="997"/>
      <c r="BS937" s="997"/>
      <c r="BT937" s="997"/>
      <c r="BU937" s="997"/>
      <c r="BV937" s="997"/>
      <c r="BW937" s="997"/>
      <c r="BX937" s="997"/>
      <c r="BY937" s="997"/>
      <c r="BZ937" s="997"/>
      <c r="CA937" s="997"/>
      <c r="CB937" s="997"/>
      <c r="CC937" s="997"/>
      <c r="CD937" s="997"/>
      <c r="CE937" s="997"/>
      <c r="CF937" s="997"/>
      <c r="CG937" s="997"/>
      <c r="CH937" s="997"/>
      <c r="CI937" s="997"/>
      <c r="CJ937" s="997"/>
      <c r="CK937" s="997"/>
      <c r="CL937" s="997"/>
      <c r="CM937" s="997"/>
      <c r="CN937" s="997"/>
      <c r="CO937" s="997"/>
      <c r="CP937" s="997"/>
      <c r="CQ937" s="997"/>
      <c r="CR937" s="997"/>
      <c r="CS937" s="997"/>
      <c r="CT937" s="997"/>
      <c r="CU937" s="997"/>
      <c r="CV937" s="997"/>
      <c r="CW937" s="997"/>
      <c r="CX937" s="997"/>
      <c r="CY937" s="997"/>
      <c r="CZ937" s="997"/>
      <c r="DA937" s="997"/>
      <c r="DB937" s="997"/>
      <c r="DC937" s="997"/>
      <c r="DD937" s="997"/>
      <c r="DE937" s="997"/>
      <c r="DF937" s="997"/>
      <c r="DG937" s="997"/>
      <c r="DH937" s="997"/>
      <c r="DI937" s="997"/>
      <c r="DJ937" s="997"/>
      <c r="DK937" s="997"/>
      <c r="DL937" s="997"/>
      <c r="DM937" s="997"/>
      <c r="DN937" s="997"/>
      <c r="DO937" s="997"/>
      <c r="DP937" s="997"/>
      <c r="DQ937" s="997"/>
      <c r="DR937" s="997"/>
      <c r="DS937" s="997"/>
      <c r="DT937" s="997"/>
      <c r="DU937" s="997"/>
      <c r="DV937" s="997"/>
      <c r="DW937" s="997"/>
      <c r="DX937" s="997"/>
      <c r="DY937" s="997"/>
      <c r="DZ937" s="997"/>
      <c r="EA937" s="997"/>
      <c r="EB937" s="997"/>
      <c r="EC937" s="997"/>
      <c r="ED937" s="997"/>
      <c r="EE937" s="997"/>
      <c r="EF937" s="997"/>
      <c r="EG937" s="997"/>
      <c r="EH937" s="997"/>
      <c r="EI937" s="997"/>
      <c r="EJ937" s="997"/>
      <c r="EK937" s="997"/>
      <c r="EL937" s="997"/>
      <c r="EM937" s="997"/>
      <c r="EN937" s="997"/>
      <c r="EO937" s="997"/>
      <c r="EP937" s="997"/>
      <c r="EQ937" s="997"/>
      <c r="ER937" s="997"/>
      <c r="ES937" s="997"/>
      <c r="ET937" s="997"/>
      <c r="EU937" s="997"/>
      <c r="EV937" s="997"/>
      <c r="EW937" s="997"/>
      <c r="EX937" s="997"/>
      <c r="EY937" s="997"/>
      <c r="EZ937" s="997"/>
      <c r="FA937" s="997"/>
      <c r="FB937" s="997"/>
      <c r="FC937" s="997"/>
      <c r="FD937" s="997"/>
      <c r="FE937" s="997"/>
      <c r="FF937" s="997"/>
      <c r="FG937" s="997"/>
      <c r="FH937" s="997"/>
      <c r="FI937" s="997"/>
      <c r="FJ937" s="997"/>
      <c r="FK937" s="997"/>
      <c r="FL937" s="997"/>
      <c r="FM937" s="997"/>
      <c r="FN937" s="997"/>
      <c r="FO937" s="997"/>
      <c r="FP937" s="997"/>
      <c r="FQ937" s="997"/>
      <c r="FR937" s="997"/>
      <c r="FS937" s="997"/>
      <c r="FT937" s="997"/>
      <c r="FU937" s="997"/>
      <c r="FV937" s="997"/>
      <c r="FW937" s="997"/>
      <c r="FX937" s="997"/>
      <c r="FY937" s="997"/>
      <c r="FZ937" s="997"/>
      <c r="GA937" s="997"/>
      <c r="GB937" s="997"/>
      <c r="GC937" s="997"/>
      <c r="GD937" s="997"/>
      <c r="GE937" s="997"/>
      <c r="GF937" s="997"/>
      <c r="GG937" s="997"/>
      <c r="GH937" s="997"/>
      <c r="GI937" s="997"/>
      <c r="GJ937" s="997"/>
      <c r="GK937" s="997"/>
      <c r="GL937" s="997"/>
      <c r="GM937" s="997"/>
      <c r="GN937" s="997"/>
      <c r="GO937" s="997"/>
      <c r="GP937" s="997"/>
      <c r="GQ937" s="997"/>
      <c r="GR937" s="997"/>
      <c r="GS937" s="997"/>
      <c r="GT937" s="997"/>
      <c r="GU937" s="997"/>
      <c r="GV937" s="997"/>
      <c r="GW937" s="997"/>
      <c r="GX937" s="997"/>
      <c r="GY937" s="997"/>
      <c r="GZ937" s="997"/>
      <c r="HA937" s="997"/>
      <c r="HB937" s="997"/>
      <c r="HC937" s="997"/>
      <c r="HD937" s="997"/>
      <c r="HE937" s="997"/>
      <c r="HF937" s="997"/>
      <c r="HG937" s="997"/>
      <c r="HH937" s="997"/>
      <c r="HI937" s="997"/>
      <c r="HJ937" s="997"/>
      <c r="HK937" s="997"/>
      <c r="HL937" s="997"/>
      <c r="HM937" s="997"/>
      <c r="HN937" s="997"/>
      <c r="HO937" s="997"/>
      <c r="HP937" s="997"/>
      <c r="HQ937" s="997"/>
      <c r="HR937" s="997"/>
      <c r="HS937" s="997"/>
      <c r="HT937" s="997"/>
      <c r="HU937" s="997"/>
      <c r="HV937" s="997"/>
      <c r="HW937" s="997"/>
      <c r="HX937" s="997"/>
      <c r="HY937" s="997"/>
      <c r="HZ937" s="997"/>
      <c r="IA937" s="997"/>
      <c r="IB937" s="997"/>
      <c r="IC937" s="997"/>
      <c r="ID937" s="997"/>
      <c r="IE937" s="997"/>
      <c r="IF937" s="997"/>
      <c r="IG937" s="997"/>
      <c r="IH937" s="997"/>
      <c r="II937" s="997"/>
      <c r="IJ937" s="997"/>
      <c r="IK937" s="997"/>
      <c r="IL937" s="997"/>
      <c r="IM937" s="997"/>
      <c r="IN937" s="997"/>
    </row>
    <row r="938" spans="1:248" s="1090" customFormat="1" ht="14.1" customHeight="1">
      <c r="A938" s="1246" t="s">
        <v>3757</v>
      </c>
      <c r="B938" s="1243"/>
      <c r="C938" s="1243"/>
      <c r="D938" s="1244"/>
      <c r="E938" s="1244"/>
      <c r="G938" s="997"/>
      <c r="H938" s="997"/>
      <c r="I938" s="997"/>
      <c r="J938" s="997"/>
      <c r="K938" s="997"/>
      <c r="L938" s="997"/>
      <c r="M938" s="997"/>
      <c r="N938" s="997"/>
      <c r="O938" s="997"/>
      <c r="P938" s="997"/>
      <c r="Q938" s="997"/>
      <c r="R938" s="997"/>
      <c r="S938" s="997"/>
      <c r="T938" s="997"/>
      <c r="U938" s="997"/>
      <c r="V938" s="997"/>
      <c r="W938" s="997"/>
      <c r="X938" s="997"/>
      <c r="Y938" s="997"/>
      <c r="Z938" s="997"/>
      <c r="AA938" s="997"/>
      <c r="AB938" s="997"/>
      <c r="AC938" s="997"/>
      <c r="AD938" s="997"/>
      <c r="AE938" s="997"/>
      <c r="AF938" s="997"/>
      <c r="AG938" s="997"/>
      <c r="AH938" s="997"/>
      <c r="AI938" s="997"/>
      <c r="AJ938" s="997"/>
      <c r="AK938" s="997"/>
      <c r="AL938" s="997"/>
      <c r="AM938" s="997"/>
      <c r="AN938" s="997"/>
      <c r="AO938" s="997"/>
      <c r="AP938" s="997"/>
      <c r="AQ938" s="997"/>
      <c r="AR938" s="997"/>
      <c r="AS938" s="997"/>
      <c r="AT938" s="997"/>
      <c r="AU938" s="997"/>
      <c r="AV938" s="997"/>
      <c r="AW938" s="997"/>
      <c r="AX938" s="997"/>
      <c r="AY938" s="997"/>
      <c r="AZ938" s="997"/>
      <c r="BA938" s="997"/>
      <c r="BB938" s="997"/>
      <c r="BC938" s="997"/>
      <c r="BD938" s="997"/>
      <c r="BE938" s="997"/>
      <c r="BF938" s="997"/>
      <c r="BG938" s="997"/>
      <c r="BH938" s="997"/>
      <c r="BI938" s="997"/>
      <c r="BJ938" s="997"/>
      <c r="BK938" s="997"/>
      <c r="BL938" s="997"/>
      <c r="BM938" s="997"/>
      <c r="BN938" s="997"/>
      <c r="BO938" s="997"/>
      <c r="BP938" s="997"/>
      <c r="BQ938" s="997"/>
      <c r="BR938" s="997"/>
      <c r="BS938" s="997"/>
      <c r="BT938" s="997"/>
      <c r="BU938" s="997"/>
      <c r="BV938" s="997"/>
      <c r="BW938" s="997"/>
      <c r="BX938" s="997"/>
      <c r="BY938" s="997"/>
      <c r="BZ938" s="997"/>
      <c r="CA938" s="997"/>
      <c r="CB938" s="997"/>
      <c r="CC938" s="997"/>
      <c r="CD938" s="997"/>
      <c r="CE938" s="997"/>
      <c r="CF938" s="997"/>
      <c r="CG938" s="997"/>
      <c r="CH938" s="997"/>
      <c r="CI938" s="997"/>
      <c r="CJ938" s="997"/>
      <c r="CK938" s="997"/>
      <c r="CL938" s="997"/>
      <c r="CM938" s="997"/>
      <c r="CN938" s="997"/>
      <c r="CO938" s="997"/>
      <c r="CP938" s="997"/>
      <c r="CQ938" s="997"/>
      <c r="CR938" s="997"/>
      <c r="CS938" s="997"/>
      <c r="CT938" s="997"/>
      <c r="CU938" s="997"/>
      <c r="CV938" s="997"/>
      <c r="CW938" s="997"/>
      <c r="CX938" s="997"/>
      <c r="CY938" s="997"/>
      <c r="CZ938" s="997"/>
      <c r="DA938" s="997"/>
      <c r="DB938" s="997"/>
      <c r="DC938" s="997"/>
      <c r="DD938" s="997"/>
      <c r="DE938" s="997"/>
      <c r="DF938" s="997"/>
      <c r="DG938" s="997"/>
      <c r="DH938" s="997"/>
      <c r="DI938" s="997"/>
      <c r="DJ938" s="997"/>
      <c r="DK938" s="997"/>
      <c r="DL938" s="997"/>
      <c r="DM938" s="997"/>
      <c r="DN938" s="997"/>
      <c r="DO938" s="997"/>
      <c r="DP938" s="997"/>
      <c r="DQ938" s="997"/>
      <c r="DR938" s="997"/>
      <c r="DS938" s="997"/>
      <c r="DT938" s="997"/>
      <c r="DU938" s="997"/>
      <c r="DV938" s="997"/>
      <c r="DW938" s="997"/>
      <c r="DX938" s="997"/>
      <c r="DY938" s="997"/>
      <c r="DZ938" s="997"/>
      <c r="EA938" s="997"/>
      <c r="EB938" s="997"/>
      <c r="EC938" s="997"/>
      <c r="ED938" s="997"/>
      <c r="EE938" s="997"/>
      <c r="EF938" s="997"/>
      <c r="EG938" s="997"/>
      <c r="EH938" s="997"/>
      <c r="EI938" s="997"/>
      <c r="EJ938" s="997"/>
      <c r="EK938" s="997"/>
      <c r="EL938" s="997"/>
      <c r="EM938" s="997"/>
      <c r="EN938" s="997"/>
      <c r="EO938" s="997"/>
      <c r="EP938" s="997"/>
      <c r="EQ938" s="997"/>
      <c r="ER938" s="997"/>
      <c r="ES938" s="997"/>
      <c r="ET938" s="997"/>
      <c r="EU938" s="997"/>
      <c r="EV938" s="997"/>
      <c r="EW938" s="997"/>
      <c r="EX938" s="997"/>
      <c r="EY938" s="997"/>
      <c r="EZ938" s="997"/>
      <c r="FA938" s="997"/>
      <c r="FB938" s="997"/>
      <c r="FC938" s="997"/>
      <c r="FD938" s="997"/>
      <c r="FE938" s="997"/>
      <c r="FF938" s="997"/>
      <c r="FG938" s="997"/>
      <c r="FH938" s="997"/>
      <c r="FI938" s="997"/>
      <c r="FJ938" s="997"/>
      <c r="FK938" s="997"/>
      <c r="FL938" s="997"/>
      <c r="FM938" s="997"/>
      <c r="FN938" s="997"/>
      <c r="FO938" s="997"/>
      <c r="FP938" s="997"/>
      <c r="FQ938" s="997"/>
      <c r="FR938" s="997"/>
      <c r="FS938" s="997"/>
      <c r="FT938" s="997"/>
      <c r="FU938" s="997"/>
      <c r="FV938" s="997"/>
      <c r="FW938" s="997"/>
      <c r="FX938" s="997"/>
      <c r="FY938" s="997"/>
      <c r="FZ938" s="997"/>
      <c r="GA938" s="997"/>
      <c r="GB938" s="997"/>
      <c r="GC938" s="997"/>
      <c r="GD938" s="997"/>
      <c r="GE938" s="997"/>
      <c r="GF938" s="997"/>
      <c r="GG938" s="997"/>
      <c r="GH938" s="997"/>
      <c r="GI938" s="997"/>
      <c r="GJ938" s="997"/>
      <c r="GK938" s="997"/>
      <c r="GL938" s="997"/>
      <c r="GM938" s="997"/>
      <c r="GN938" s="997"/>
      <c r="GO938" s="997"/>
      <c r="GP938" s="997"/>
      <c r="GQ938" s="997"/>
      <c r="GR938" s="997"/>
      <c r="GS938" s="997"/>
      <c r="GT938" s="997"/>
      <c r="GU938" s="997"/>
      <c r="GV938" s="997"/>
      <c r="GW938" s="997"/>
      <c r="GX938" s="997"/>
      <c r="GY938" s="997"/>
      <c r="GZ938" s="997"/>
      <c r="HA938" s="997"/>
      <c r="HB938" s="997"/>
      <c r="HC938" s="997"/>
      <c r="HD938" s="997"/>
      <c r="HE938" s="997"/>
      <c r="HF938" s="997"/>
      <c r="HG938" s="997"/>
      <c r="HH938" s="997"/>
      <c r="HI938" s="997"/>
      <c r="HJ938" s="997"/>
      <c r="HK938" s="997"/>
      <c r="HL938" s="997"/>
      <c r="HM938" s="997"/>
      <c r="HN938" s="997"/>
      <c r="HO938" s="997"/>
      <c r="HP938" s="997"/>
      <c r="HQ938" s="997"/>
      <c r="HR938" s="997"/>
      <c r="HS938" s="997"/>
      <c r="HT938" s="997"/>
      <c r="HU938" s="997"/>
      <c r="HV938" s="997"/>
      <c r="HW938" s="997"/>
      <c r="HX938" s="997"/>
      <c r="HY938" s="997"/>
      <c r="HZ938" s="997"/>
      <c r="IA938" s="997"/>
      <c r="IB938" s="997"/>
      <c r="IC938" s="997"/>
      <c r="ID938" s="997"/>
      <c r="IE938" s="997"/>
      <c r="IF938" s="997"/>
      <c r="IG938" s="997"/>
      <c r="IH938" s="997"/>
      <c r="II938" s="997"/>
      <c r="IJ938" s="997"/>
      <c r="IK938" s="997"/>
      <c r="IL938" s="997"/>
      <c r="IM938" s="997"/>
      <c r="IN938" s="997"/>
    </row>
    <row r="939" spans="1:248" s="1090" customFormat="1" ht="14.1" customHeight="1">
      <c r="A939" s="1107" t="s">
        <v>3757</v>
      </c>
      <c r="B939" s="997"/>
      <c r="C939" s="997"/>
      <c r="G939" s="997"/>
      <c r="H939" s="997"/>
      <c r="I939" s="997"/>
      <c r="J939" s="997"/>
      <c r="K939" s="997"/>
      <c r="L939" s="997"/>
      <c r="M939" s="997"/>
      <c r="N939" s="997"/>
      <c r="O939" s="997"/>
      <c r="P939" s="997"/>
      <c r="Q939" s="997"/>
      <c r="R939" s="997"/>
      <c r="S939" s="997"/>
      <c r="T939" s="997"/>
      <c r="U939" s="997"/>
      <c r="V939" s="997"/>
      <c r="W939" s="997"/>
      <c r="X939" s="997"/>
      <c r="Y939" s="997"/>
      <c r="Z939" s="997"/>
      <c r="AA939" s="997"/>
      <c r="AB939" s="997"/>
      <c r="AC939" s="997"/>
      <c r="AD939" s="997"/>
      <c r="AE939" s="997"/>
      <c r="AF939" s="997"/>
      <c r="AG939" s="997"/>
      <c r="AH939" s="997"/>
      <c r="AI939" s="997"/>
      <c r="AJ939" s="997"/>
      <c r="AK939" s="997"/>
      <c r="AL939" s="997"/>
      <c r="AM939" s="997"/>
      <c r="AN939" s="997"/>
      <c r="AO939" s="997"/>
      <c r="AP939" s="997"/>
      <c r="AQ939" s="997"/>
      <c r="AR939" s="997"/>
      <c r="AS939" s="997"/>
      <c r="AT939" s="997"/>
      <c r="AU939" s="997"/>
      <c r="AV939" s="997"/>
      <c r="AW939" s="997"/>
      <c r="AX939" s="997"/>
      <c r="AY939" s="997"/>
      <c r="AZ939" s="997"/>
      <c r="BA939" s="997"/>
      <c r="BB939" s="997"/>
      <c r="BC939" s="997"/>
      <c r="BD939" s="997"/>
      <c r="BE939" s="997"/>
      <c r="BF939" s="997"/>
      <c r="BG939" s="997"/>
      <c r="BH939" s="997"/>
      <c r="BI939" s="997"/>
      <c r="BJ939" s="997"/>
      <c r="BK939" s="997"/>
      <c r="BL939" s="997"/>
      <c r="BM939" s="997"/>
      <c r="BN939" s="997"/>
      <c r="BO939" s="997"/>
      <c r="BP939" s="997"/>
      <c r="BQ939" s="997"/>
      <c r="BR939" s="997"/>
      <c r="BS939" s="997"/>
      <c r="BT939" s="997"/>
      <c r="BU939" s="997"/>
      <c r="BV939" s="997"/>
      <c r="BW939" s="997"/>
      <c r="BX939" s="997"/>
      <c r="BY939" s="997"/>
      <c r="BZ939" s="997"/>
      <c r="CA939" s="997"/>
      <c r="CB939" s="997"/>
      <c r="CC939" s="997"/>
      <c r="CD939" s="997"/>
      <c r="CE939" s="997"/>
      <c r="CF939" s="997"/>
      <c r="CG939" s="997"/>
      <c r="CH939" s="997"/>
      <c r="CI939" s="997"/>
      <c r="CJ939" s="997"/>
      <c r="CK939" s="997"/>
      <c r="CL939" s="997"/>
      <c r="CM939" s="997"/>
      <c r="CN939" s="997"/>
      <c r="CO939" s="997"/>
      <c r="CP939" s="997"/>
      <c r="CQ939" s="997"/>
      <c r="CR939" s="997"/>
      <c r="CS939" s="997"/>
      <c r="CT939" s="997"/>
      <c r="CU939" s="997"/>
      <c r="CV939" s="997"/>
      <c r="CW939" s="997"/>
      <c r="CX939" s="997"/>
      <c r="CY939" s="997"/>
      <c r="CZ939" s="997"/>
      <c r="DA939" s="997"/>
      <c r="DB939" s="997"/>
      <c r="DC939" s="997"/>
      <c r="DD939" s="997"/>
      <c r="DE939" s="997"/>
      <c r="DF939" s="997"/>
      <c r="DG939" s="997"/>
      <c r="DH939" s="997"/>
      <c r="DI939" s="997"/>
      <c r="DJ939" s="997"/>
      <c r="DK939" s="997"/>
      <c r="DL939" s="997"/>
      <c r="DM939" s="997"/>
      <c r="DN939" s="997"/>
      <c r="DO939" s="997"/>
      <c r="DP939" s="997"/>
      <c r="DQ939" s="997"/>
      <c r="DR939" s="997"/>
      <c r="DS939" s="997"/>
      <c r="DT939" s="997"/>
      <c r="DU939" s="997"/>
      <c r="DV939" s="997"/>
      <c r="DW939" s="997"/>
      <c r="DX939" s="997"/>
      <c r="DY939" s="997"/>
      <c r="DZ939" s="997"/>
      <c r="EA939" s="997"/>
      <c r="EB939" s="997"/>
      <c r="EC939" s="997"/>
      <c r="ED939" s="997"/>
      <c r="EE939" s="997"/>
      <c r="EF939" s="997"/>
      <c r="EG939" s="997"/>
      <c r="EH939" s="997"/>
      <c r="EI939" s="997"/>
      <c r="EJ939" s="997"/>
      <c r="EK939" s="997"/>
      <c r="EL939" s="997"/>
      <c r="EM939" s="997"/>
      <c r="EN939" s="997"/>
      <c r="EO939" s="997"/>
      <c r="EP939" s="997"/>
      <c r="EQ939" s="997"/>
      <c r="ER939" s="997"/>
      <c r="ES939" s="997"/>
      <c r="ET939" s="997"/>
      <c r="EU939" s="997"/>
      <c r="EV939" s="997"/>
      <c r="EW939" s="997"/>
      <c r="EX939" s="997"/>
      <c r="EY939" s="997"/>
      <c r="EZ939" s="997"/>
      <c r="FA939" s="997"/>
      <c r="FB939" s="997"/>
      <c r="FC939" s="997"/>
      <c r="FD939" s="997"/>
      <c r="FE939" s="997"/>
      <c r="FF939" s="997"/>
      <c r="FG939" s="997"/>
      <c r="FH939" s="997"/>
      <c r="FI939" s="997"/>
      <c r="FJ939" s="997"/>
      <c r="FK939" s="997"/>
      <c r="FL939" s="997"/>
      <c r="FM939" s="997"/>
      <c r="FN939" s="997"/>
      <c r="FO939" s="997"/>
      <c r="FP939" s="997"/>
      <c r="FQ939" s="997"/>
      <c r="FR939" s="997"/>
      <c r="FS939" s="997"/>
      <c r="FT939" s="997"/>
      <c r="FU939" s="997"/>
      <c r="FV939" s="997"/>
      <c r="FW939" s="997"/>
      <c r="FX939" s="997"/>
      <c r="FY939" s="997"/>
      <c r="FZ939" s="997"/>
      <c r="GA939" s="997"/>
      <c r="GB939" s="997"/>
      <c r="GC939" s="997"/>
      <c r="GD939" s="997"/>
      <c r="GE939" s="997"/>
      <c r="GF939" s="997"/>
      <c r="GG939" s="997"/>
      <c r="GH939" s="997"/>
      <c r="GI939" s="997"/>
      <c r="GJ939" s="997"/>
      <c r="GK939" s="997"/>
      <c r="GL939" s="997"/>
      <c r="GM939" s="997"/>
      <c r="GN939" s="997"/>
      <c r="GO939" s="997"/>
      <c r="GP939" s="997"/>
      <c r="GQ939" s="997"/>
      <c r="GR939" s="997"/>
      <c r="GS939" s="997"/>
      <c r="GT939" s="997"/>
      <c r="GU939" s="997"/>
      <c r="GV939" s="997"/>
      <c r="GW939" s="997"/>
      <c r="GX939" s="997"/>
      <c r="GY939" s="997"/>
      <c r="GZ939" s="997"/>
      <c r="HA939" s="997"/>
      <c r="HB939" s="997"/>
      <c r="HC939" s="997"/>
      <c r="HD939" s="997"/>
      <c r="HE939" s="997"/>
      <c r="HF939" s="997"/>
      <c r="HG939" s="997"/>
      <c r="HH939" s="997"/>
      <c r="HI939" s="997"/>
      <c r="HJ939" s="997"/>
      <c r="HK939" s="997"/>
      <c r="HL939" s="997"/>
      <c r="HM939" s="997"/>
      <c r="HN939" s="997"/>
      <c r="HO939" s="997"/>
      <c r="HP939" s="997"/>
      <c r="HQ939" s="997"/>
      <c r="HR939" s="997"/>
      <c r="HS939" s="997"/>
      <c r="HT939" s="997"/>
      <c r="HU939" s="997"/>
      <c r="HV939" s="997"/>
      <c r="HW939" s="997"/>
      <c r="HX939" s="997"/>
      <c r="HY939" s="997"/>
      <c r="HZ939" s="997"/>
      <c r="IA939" s="997"/>
      <c r="IB939" s="997"/>
      <c r="IC939" s="997"/>
      <c r="ID939" s="997"/>
      <c r="IE939" s="997"/>
      <c r="IF939" s="997"/>
      <c r="IG939" s="997"/>
      <c r="IH939" s="997"/>
      <c r="II939" s="997"/>
      <c r="IJ939" s="997"/>
      <c r="IK939" s="997"/>
      <c r="IL939" s="997"/>
      <c r="IM939" s="997"/>
      <c r="IN939" s="997"/>
    </row>
    <row r="943" spans="1:248" s="1090" customFormat="1" ht="13.8">
      <c r="A943" s="1106"/>
      <c r="B943" s="997"/>
      <c r="C943" s="997"/>
      <c r="G943" s="997"/>
      <c r="H943" s="997"/>
      <c r="I943" s="997"/>
      <c r="J943" s="997"/>
      <c r="K943" s="997"/>
      <c r="L943" s="997"/>
      <c r="M943" s="997"/>
      <c r="N943" s="997"/>
      <c r="O943" s="997"/>
      <c r="P943" s="997"/>
      <c r="Q943" s="997"/>
      <c r="R943" s="997"/>
      <c r="S943" s="997"/>
      <c r="T943" s="997"/>
      <c r="U943" s="997"/>
      <c r="V943" s="997"/>
      <c r="W943" s="997"/>
      <c r="X943" s="997"/>
      <c r="Y943" s="997"/>
      <c r="Z943" s="997"/>
      <c r="AA943" s="997"/>
      <c r="AB943" s="997"/>
      <c r="AC943" s="997"/>
      <c r="AD943" s="997"/>
      <c r="AE943" s="997"/>
      <c r="AF943" s="997"/>
      <c r="AG943" s="997"/>
      <c r="AH943" s="997"/>
      <c r="AI943" s="997"/>
      <c r="AJ943" s="997"/>
      <c r="AK943" s="997"/>
      <c r="AL943" s="997"/>
      <c r="AM943" s="997"/>
      <c r="AN943" s="997"/>
      <c r="AO943" s="997"/>
      <c r="AP943" s="997"/>
      <c r="AQ943" s="997"/>
      <c r="AR943" s="997"/>
      <c r="AS943" s="997"/>
      <c r="AT943" s="997"/>
      <c r="AU943" s="997"/>
      <c r="AV943" s="997"/>
      <c r="AW943" s="997"/>
      <c r="AX943" s="997"/>
      <c r="AY943" s="997"/>
      <c r="AZ943" s="997"/>
      <c r="BA943" s="997"/>
      <c r="BB943" s="997"/>
      <c r="BC943" s="997"/>
      <c r="BD943" s="997"/>
      <c r="BE943" s="997"/>
      <c r="BF943" s="997"/>
      <c r="BG943" s="997"/>
      <c r="BH943" s="997"/>
      <c r="BI943" s="997"/>
      <c r="BJ943" s="997"/>
      <c r="BK943" s="997"/>
      <c r="BL943" s="997"/>
      <c r="BM943" s="997"/>
      <c r="BN943" s="997"/>
      <c r="BO943" s="997"/>
      <c r="BP943" s="997"/>
      <c r="BQ943" s="997"/>
      <c r="BR943" s="997"/>
      <c r="BS943" s="997"/>
      <c r="BT943" s="997"/>
      <c r="BU943" s="997"/>
      <c r="BV943" s="997"/>
      <c r="BW943" s="997"/>
      <c r="BX943" s="997"/>
      <c r="BY943" s="997"/>
      <c r="BZ943" s="997"/>
      <c r="CA943" s="997"/>
      <c r="CB943" s="997"/>
      <c r="CC943" s="997"/>
      <c r="CD943" s="997"/>
      <c r="CE943" s="997"/>
      <c r="CF943" s="997"/>
      <c r="CG943" s="997"/>
      <c r="CH943" s="997"/>
      <c r="CI943" s="997"/>
      <c r="CJ943" s="997"/>
      <c r="CK943" s="997"/>
      <c r="CL943" s="997"/>
      <c r="CM943" s="997"/>
      <c r="CN943" s="997"/>
      <c r="CO943" s="997"/>
      <c r="CP943" s="997"/>
      <c r="CQ943" s="997"/>
      <c r="CR943" s="997"/>
      <c r="CS943" s="997"/>
      <c r="CT943" s="997"/>
      <c r="CU943" s="997"/>
      <c r="CV943" s="997"/>
      <c r="CW943" s="997"/>
      <c r="CX943" s="997"/>
      <c r="CY943" s="997"/>
      <c r="CZ943" s="997"/>
      <c r="DA943" s="997"/>
      <c r="DB943" s="997"/>
      <c r="DC943" s="997"/>
      <c r="DD943" s="997"/>
      <c r="DE943" s="997"/>
      <c r="DF943" s="997"/>
      <c r="DG943" s="997"/>
      <c r="DH943" s="997"/>
      <c r="DI943" s="997"/>
      <c r="DJ943" s="997"/>
      <c r="DK943" s="997"/>
      <c r="DL943" s="997"/>
      <c r="DM943" s="997"/>
      <c r="DN943" s="997"/>
      <c r="DO943" s="997"/>
      <c r="DP943" s="997"/>
      <c r="DQ943" s="997"/>
      <c r="DR943" s="997"/>
      <c r="DS943" s="997"/>
      <c r="DT943" s="997"/>
      <c r="DU943" s="997"/>
      <c r="DV943" s="997"/>
      <c r="DW943" s="997"/>
      <c r="DX943" s="997"/>
      <c r="DY943" s="997"/>
      <c r="DZ943" s="997"/>
      <c r="EA943" s="997"/>
      <c r="EB943" s="997"/>
      <c r="EC943" s="997"/>
      <c r="ED943" s="997"/>
      <c r="EE943" s="997"/>
      <c r="EF943" s="997"/>
      <c r="EG943" s="997"/>
      <c r="EH943" s="997"/>
      <c r="EI943" s="997"/>
      <c r="EJ943" s="997"/>
      <c r="EK943" s="997"/>
      <c r="EL943" s="997"/>
      <c r="EM943" s="997"/>
      <c r="EN943" s="997"/>
      <c r="EO943" s="997"/>
      <c r="EP943" s="997"/>
      <c r="EQ943" s="997"/>
      <c r="ER943" s="997"/>
      <c r="ES943" s="997"/>
      <c r="ET943" s="997"/>
      <c r="EU943" s="997"/>
      <c r="EV943" s="997"/>
      <c r="EW943" s="997"/>
      <c r="EX943" s="997"/>
      <c r="EY943" s="997"/>
      <c r="EZ943" s="997"/>
      <c r="FA943" s="997"/>
      <c r="FB943" s="997"/>
      <c r="FC943" s="997"/>
      <c r="FD943" s="997"/>
      <c r="FE943" s="997"/>
      <c r="FF943" s="997"/>
      <c r="FG943" s="997"/>
      <c r="FH943" s="997"/>
      <c r="FI943" s="997"/>
      <c r="FJ943" s="997"/>
      <c r="FK943" s="997"/>
      <c r="FL943" s="997"/>
      <c r="FM943" s="997"/>
      <c r="FN943" s="997"/>
      <c r="FO943" s="997"/>
      <c r="FP943" s="997"/>
      <c r="FQ943" s="997"/>
      <c r="FR943" s="997"/>
      <c r="FS943" s="997"/>
      <c r="FT943" s="997"/>
      <c r="FU943" s="997"/>
      <c r="FV943" s="997"/>
      <c r="FW943" s="997"/>
      <c r="FX943" s="997"/>
      <c r="FY943" s="997"/>
      <c r="FZ943" s="997"/>
      <c r="GA943" s="997"/>
      <c r="GB943" s="997"/>
      <c r="GC943" s="997"/>
      <c r="GD943" s="997"/>
      <c r="GE943" s="997"/>
      <c r="GF943" s="997"/>
      <c r="GG943" s="997"/>
      <c r="GH943" s="997"/>
      <c r="GI943" s="997"/>
      <c r="GJ943" s="997"/>
      <c r="GK943" s="997"/>
      <c r="GL943" s="997"/>
      <c r="GM943" s="997"/>
      <c r="GN943" s="997"/>
      <c r="GO943" s="997"/>
      <c r="GP943" s="997"/>
      <c r="GQ943" s="997"/>
      <c r="GR943" s="997"/>
      <c r="GS943" s="997"/>
      <c r="GT943" s="997"/>
      <c r="GU943" s="997"/>
      <c r="GV943" s="997"/>
      <c r="GW943" s="997"/>
      <c r="GX943" s="997"/>
      <c r="GY943" s="997"/>
      <c r="GZ943" s="997"/>
      <c r="HA943" s="997"/>
      <c r="HB943" s="997"/>
      <c r="HC943" s="997"/>
      <c r="HD943" s="997"/>
      <c r="HE943" s="997"/>
      <c r="HF943" s="997"/>
      <c r="HG943" s="997"/>
      <c r="HH943" s="997"/>
      <c r="HI943" s="997"/>
      <c r="HJ943" s="997"/>
      <c r="HK943" s="997"/>
      <c r="HL943" s="997"/>
      <c r="HM943" s="997"/>
      <c r="HN943" s="997"/>
      <c r="HO943" s="997"/>
      <c r="HP943" s="997"/>
      <c r="HQ943" s="997"/>
      <c r="HR943" s="997"/>
      <c r="HS943" s="997"/>
      <c r="HT943" s="997"/>
      <c r="HU943" s="997"/>
      <c r="HV943" s="997"/>
      <c r="HW943" s="997"/>
      <c r="HX943" s="997"/>
      <c r="HY943" s="997"/>
      <c r="HZ943" s="997"/>
      <c r="IA943" s="997"/>
      <c r="IB943" s="997"/>
      <c r="IC943" s="997"/>
      <c r="ID943" s="997"/>
      <c r="IE943" s="997"/>
      <c r="IF943" s="997"/>
      <c r="IG943" s="997"/>
      <c r="IH943" s="997"/>
      <c r="II943" s="997"/>
      <c r="IJ943" s="997"/>
      <c r="IK943" s="997"/>
      <c r="IL943" s="997"/>
      <c r="IM943" s="997"/>
      <c r="IN943" s="997"/>
    </row>
    <row r="947" spans="1:248" s="1090" customFormat="1">
      <c r="A947" s="997"/>
      <c r="B947" s="997"/>
      <c r="C947" s="997"/>
      <c r="G947" s="997"/>
      <c r="H947" s="997"/>
      <c r="I947" s="997"/>
      <c r="J947" s="997"/>
      <c r="K947" s="997"/>
      <c r="L947" s="997"/>
      <c r="M947" s="997"/>
      <c r="N947" s="997"/>
      <c r="O947" s="997"/>
      <c r="P947" s="997"/>
      <c r="Q947" s="997"/>
      <c r="R947" s="997"/>
      <c r="S947" s="997"/>
      <c r="T947" s="997"/>
      <c r="U947" s="997"/>
      <c r="V947" s="997"/>
      <c r="W947" s="997"/>
      <c r="X947" s="997"/>
      <c r="Y947" s="997"/>
      <c r="Z947" s="997"/>
      <c r="AA947" s="997"/>
      <c r="AB947" s="997"/>
      <c r="AC947" s="997"/>
      <c r="AD947" s="997"/>
      <c r="AE947" s="997"/>
      <c r="AF947" s="997"/>
      <c r="AG947" s="997"/>
      <c r="AH947" s="997"/>
      <c r="AI947" s="997"/>
      <c r="AJ947" s="997"/>
      <c r="AK947" s="997"/>
      <c r="AL947" s="997"/>
      <c r="AM947" s="997"/>
      <c r="AN947" s="997"/>
      <c r="AO947" s="997"/>
      <c r="AP947" s="997"/>
      <c r="AQ947" s="997"/>
      <c r="AR947" s="997"/>
      <c r="AS947" s="997"/>
      <c r="AT947" s="997"/>
      <c r="AU947" s="997"/>
      <c r="AV947" s="997"/>
      <c r="AW947" s="997"/>
      <c r="AX947" s="997"/>
      <c r="AY947" s="997"/>
      <c r="AZ947" s="997"/>
      <c r="BA947" s="997"/>
      <c r="BB947" s="997"/>
      <c r="BC947" s="997"/>
      <c r="BD947" s="997"/>
      <c r="BE947" s="997"/>
      <c r="BF947" s="997"/>
      <c r="BG947" s="997"/>
      <c r="BH947" s="997"/>
      <c r="BI947" s="997"/>
      <c r="BJ947" s="997"/>
      <c r="BK947" s="997"/>
      <c r="BL947" s="997"/>
      <c r="BM947" s="997"/>
      <c r="BN947" s="997"/>
      <c r="BO947" s="997"/>
      <c r="BP947" s="997"/>
      <c r="BQ947" s="997"/>
      <c r="BR947" s="997"/>
      <c r="BS947" s="997"/>
      <c r="BT947" s="997"/>
      <c r="BU947" s="997"/>
      <c r="BV947" s="997"/>
      <c r="BW947" s="997"/>
      <c r="BX947" s="997"/>
      <c r="BY947" s="997"/>
      <c r="BZ947" s="997"/>
      <c r="CA947" s="997"/>
      <c r="CB947" s="997"/>
      <c r="CC947" s="997"/>
      <c r="CD947" s="997"/>
      <c r="CE947" s="997"/>
      <c r="CF947" s="997"/>
      <c r="CG947" s="997"/>
      <c r="CH947" s="997"/>
      <c r="CI947" s="997"/>
      <c r="CJ947" s="997"/>
      <c r="CK947" s="997"/>
      <c r="CL947" s="997"/>
      <c r="CM947" s="997"/>
      <c r="CN947" s="997"/>
      <c r="CO947" s="997"/>
      <c r="CP947" s="997"/>
      <c r="CQ947" s="997"/>
      <c r="CR947" s="997"/>
      <c r="CS947" s="997"/>
      <c r="CT947" s="997"/>
      <c r="CU947" s="997"/>
      <c r="CV947" s="997"/>
      <c r="CW947" s="997"/>
      <c r="CX947" s="997"/>
      <c r="CY947" s="997"/>
      <c r="CZ947" s="997"/>
      <c r="DA947" s="997"/>
      <c r="DB947" s="997"/>
      <c r="DC947" s="997"/>
      <c r="DD947" s="997"/>
      <c r="DE947" s="997"/>
      <c r="DF947" s="997"/>
      <c r="DG947" s="997"/>
      <c r="DH947" s="997"/>
      <c r="DI947" s="997"/>
      <c r="DJ947" s="997"/>
      <c r="DK947" s="997"/>
      <c r="DL947" s="997"/>
      <c r="DM947" s="997"/>
      <c r="DN947" s="997"/>
      <c r="DO947" s="997"/>
      <c r="DP947" s="997"/>
      <c r="DQ947" s="997"/>
      <c r="DR947" s="997"/>
      <c r="DS947" s="997"/>
      <c r="DT947" s="997"/>
      <c r="DU947" s="997"/>
      <c r="DV947" s="997"/>
      <c r="DW947" s="997"/>
      <c r="DX947" s="997"/>
      <c r="DY947" s="997"/>
      <c r="DZ947" s="997"/>
      <c r="EA947" s="997"/>
      <c r="EB947" s="997"/>
      <c r="EC947" s="997"/>
      <c r="ED947" s="997"/>
      <c r="EE947" s="997"/>
      <c r="EF947" s="997"/>
      <c r="EG947" s="997"/>
      <c r="EH947" s="997"/>
      <c r="EI947" s="997"/>
      <c r="EJ947" s="997"/>
      <c r="EK947" s="997"/>
      <c r="EL947" s="997"/>
      <c r="EM947" s="997"/>
      <c r="EN947" s="997"/>
      <c r="EO947" s="997"/>
      <c r="EP947" s="997"/>
      <c r="EQ947" s="997"/>
      <c r="ER947" s="997"/>
      <c r="ES947" s="997"/>
      <c r="ET947" s="997"/>
      <c r="EU947" s="997"/>
      <c r="EV947" s="997"/>
      <c r="EW947" s="997"/>
      <c r="EX947" s="997"/>
      <c r="EY947" s="997"/>
      <c r="EZ947" s="997"/>
      <c r="FA947" s="997"/>
      <c r="FB947" s="997"/>
      <c r="FC947" s="997"/>
      <c r="FD947" s="997"/>
      <c r="FE947" s="997"/>
      <c r="FF947" s="997"/>
      <c r="FG947" s="997"/>
      <c r="FH947" s="997"/>
      <c r="FI947" s="997"/>
      <c r="FJ947" s="997"/>
      <c r="FK947" s="997"/>
      <c r="FL947" s="997"/>
      <c r="FM947" s="997"/>
      <c r="FN947" s="997"/>
      <c r="FO947" s="997"/>
      <c r="FP947" s="997"/>
      <c r="FQ947" s="997"/>
      <c r="FR947" s="997"/>
      <c r="FS947" s="997"/>
      <c r="FT947" s="997"/>
      <c r="FU947" s="997"/>
      <c r="FV947" s="997"/>
      <c r="FW947" s="997"/>
      <c r="FX947" s="997"/>
      <c r="FY947" s="997"/>
      <c r="FZ947" s="997"/>
      <c r="GA947" s="997"/>
      <c r="GB947" s="997"/>
      <c r="GC947" s="997"/>
      <c r="GD947" s="997"/>
      <c r="GE947" s="997"/>
      <c r="GF947" s="997"/>
      <c r="GG947" s="997"/>
      <c r="GH947" s="997"/>
      <c r="GI947" s="997"/>
      <c r="GJ947" s="997"/>
      <c r="GK947" s="997"/>
      <c r="GL947" s="997"/>
      <c r="GM947" s="997"/>
      <c r="GN947" s="997"/>
      <c r="GO947" s="997"/>
      <c r="GP947" s="997"/>
      <c r="GQ947" s="997"/>
      <c r="GR947" s="997"/>
      <c r="GS947" s="997"/>
      <c r="GT947" s="997"/>
      <c r="GU947" s="997"/>
      <c r="GV947" s="997"/>
      <c r="GW947" s="997"/>
      <c r="GX947" s="997"/>
      <c r="GY947" s="997"/>
      <c r="GZ947" s="997"/>
      <c r="HA947" s="997"/>
      <c r="HB947" s="997"/>
      <c r="HC947" s="997"/>
      <c r="HD947" s="997"/>
      <c r="HE947" s="997"/>
      <c r="HF947" s="997"/>
      <c r="HG947" s="997"/>
      <c r="HH947" s="997"/>
      <c r="HI947" s="997"/>
      <c r="HJ947" s="997"/>
      <c r="HK947" s="997"/>
      <c r="HL947" s="997"/>
      <c r="HM947" s="997"/>
      <c r="HN947" s="997"/>
      <c r="HO947" s="997"/>
      <c r="HP947" s="997"/>
      <c r="HQ947" s="997"/>
      <c r="HR947" s="997"/>
      <c r="HS947" s="997"/>
      <c r="HT947" s="997"/>
      <c r="HU947" s="997"/>
      <c r="HV947" s="997"/>
      <c r="HW947" s="997"/>
      <c r="HX947" s="997"/>
      <c r="HY947" s="997"/>
      <c r="HZ947" s="997"/>
      <c r="IA947" s="997"/>
      <c r="IB947" s="997"/>
      <c r="IC947" s="997"/>
      <c r="ID947" s="997"/>
      <c r="IE947" s="997"/>
      <c r="IF947" s="997"/>
      <c r="IG947" s="997"/>
      <c r="IH947" s="997"/>
      <c r="II947" s="997"/>
      <c r="IJ947" s="997"/>
      <c r="IK947" s="997"/>
      <c r="IL947" s="997"/>
      <c r="IM947" s="997"/>
      <c r="IN947" s="997"/>
    </row>
    <row r="948" spans="1:248" s="1090" customFormat="1">
      <c r="A948" s="997"/>
      <c r="B948" s="997"/>
      <c r="C948" s="997"/>
      <c r="G948" s="997"/>
      <c r="H948" s="997"/>
      <c r="I948" s="997"/>
      <c r="J948" s="997"/>
      <c r="K948" s="997"/>
      <c r="L948" s="997"/>
      <c r="M948" s="997"/>
      <c r="N948" s="997"/>
      <c r="O948" s="997"/>
      <c r="P948" s="997"/>
      <c r="Q948" s="997"/>
      <c r="R948" s="997"/>
      <c r="S948" s="997"/>
      <c r="T948" s="997"/>
      <c r="U948" s="997"/>
      <c r="V948" s="997"/>
      <c r="W948" s="997"/>
      <c r="X948" s="997"/>
      <c r="Y948" s="997"/>
      <c r="Z948" s="997"/>
      <c r="AA948" s="997"/>
      <c r="AB948" s="997"/>
      <c r="AC948" s="997"/>
      <c r="AD948" s="997"/>
      <c r="AE948" s="997"/>
      <c r="AF948" s="997"/>
      <c r="AG948" s="997"/>
      <c r="AH948" s="997"/>
      <c r="AI948" s="997"/>
      <c r="AJ948" s="997"/>
      <c r="AK948" s="997"/>
      <c r="AL948" s="997"/>
      <c r="AM948" s="997"/>
      <c r="AN948" s="997"/>
      <c r="AO948" s="997"/>
      <c r="AP948" s="997"/>
      <c r="AQ948" s="997"/>
      <c r="AR948" s="997"/>
      <c r="AS948" s="997"/>
      <c r="AT948" s="997"/>
      <c r="AU948" s="997"/>
      <c r="AV948" s="997"/>
      <c r="AW948" s="997"/>
      <c r="AX948" s="997"/>
      <c r="AY948" s="997"/>
      <c r="AZ948" s="997"/>
      <c r="BA948" s="997"/>
      <c r="BB948" s="997"/>
      <c r="BC948" s="997"/>
      <c r="BD948" s="997"/>
      <c r="BE948" s="997"/>
      <c r="BF948" s="997"/>
      <c r="BG948" s="997"/>
      <c r="BH948" s="997"/>
      <c r="BI948" s="997"/>
      <c r="BJ948" s="997"/>
      <c r="BK948" s="997"/>
      <c r="BL948" s="997"/>
      <c r="BM948" s="997"/>
      <c r="BN948" s="997"/>
      <c r="BO948" s="997"/>
      <c r="BP948" s="997"/>
      <c r="BQ948" s="997"/>
      <c r="BR948" s="997"/>
      <c r="BS948" s="997"/>
      <c r="BT948" s="997"/>
      <c r="BU948" s="997"/>
      <c r="BV948" s="997"/>
      <c r="BW948" s="997"/>
      <c r="BX948" s="997"/>
      <c r="BY948" s="997"/>
      <c r="BZ948" s="997"/>
      <c r="CA948" s="997"/>
      <c r="CB948" s="997"/>
      <c r="CC948" s="997"/>
      <c r="CD948" s="997"/>
      <c r="CE948" s="997"/>
      <c r="CF948" s="997"/>
      <c r="CG948" s="997"/>
      <c r="CH948" s="997"/>
      <c r="CI948" s="997"/>
      <c r="CJ948" s="997"/>
      <c r="CK948" s="997"/>
      <c r="CL948" s="997"/>
      <c r="CM948" s="997"/>
      <c r="CN948" s="997"/>
      <c r="CO948" s="997"/>
      <c r="CP948" s="997"/>
      <c r="CQ948" s="997"/>
      <c r="CR948" s="997"/>
      <c r="CS948" s="997"/>
      <c r="CT948" s="997"/>
      <c r="CU948" s="997"/>
      <c r="CV948" s="997"/>
      <c r="CW948" s="997"/>
      <c r="CX948" s="997"/>
      <c r="CY948" s="997"/>
      <c r="CZ948" s="997"/>
      <c r="DA948" s="997"/>
      <c r="DB948" s="997"/>
      <c r="DC948" s="997"/>
      <c r="DD948" s="997"/>
      <c r="DE948" s="997"/>
      <c r="DF948" s="997"/>
      <c r="DG948" s="997"/>
      <c r="DH948" s="997"/>
      <c r="DI948" s="997"/>
      <c r="DJ948" s="997"/>
      <c r="DK948" s="997"/>
      <c r="DL948" s="997"/>
      <c r="DM948" s="997"/>
      <c r="DN948" s="997"/>
      <c r="DO948" s="997"/>
      <c r="DP948" s="997"/>
      <c r="DQ948" s="997"/>
      <c r="DR948" s="997"/>
      <c r="DS948" s="997"/>
      <c r="DT948" s="997"/>
      <c r="DU948" s="997"/>
      <c r="DV948" s="997"/>
      <c r="DW948" s="997"/>
      <c r="DX948" s="997"/>
      <c r="DY948" s="997"/>
      <c r="DZ948" s="997"/>
      <c r="EA948" s="997"/>
      <c r="EB948" s="997"/>
      <c r="EC948" s="997"/>
      <c r="ED948" s="997"/>
      <c r="EE948" s="997"/>
      <c r="EF948" s="997"/>
      <c r="EG948" s="997"/>
      <c r="EH948" s="997"/>
      <c r="EI948" s="997"/>
      <c r="EJ948" s="997"/>
      <c r="EK948" s="997"/>
      <c r="EL948" s="997"/>
      <c r="EM948" s="997"/>
      <c r="EN948" s="997"/>
      <c r="EO948" s="997"/>
      <c r="EP948" s="997"/>
      <c r="EQ948" s="997"/>
      <c r="ER948" s="997"/>
      <c r="ES948" s="997"/>
      <c r="ET948" s="997"/>
      <c r="EU948" s="997"/>
      <c r="EV948" s="997"/>
      <c r="EW948" s="997"/>
      <c r="EX948" s="997"/>
      <c r="EY948" s="997"/>
      <c r="EZ948" s="997"/>
      <c r="FA948" s="997"/>
      <c r="FB948" s="997"/>
      <c r="FC948" s="997"/>
      <c r="FD948" s="997"/>
      <c r="FE948" s="997"/>
      <c r="FF948" s="997"/>
      <c r="FG948" s="997"/>
      <c r="FH948" s="997"/>
      <c r="FI948" s="997"/>
      <c r="FJ948" s="997"/>
      <c r="FK948" s="997"/>
      <c r="FL948" s="997"/>
      <c r="FM948" s="997"/>
      <c r="FN948" s="997"/>
      <c r="FO948" s="997"/>
      <c r="FP948" s="997"/>
      <c r="FQ948" s="997"/>
      <c r="FR948" s="997"/>
      <c r="FS948" s="997"/>
      <c r="FT948" s="997"/>
      <c r="FU948" s="997"/>
      <c r="FV948" s="997"/>
      <c r="FW948" s="997"/>
      <c r="FX948" s="997"/>
      <c r="FY948" s="997"/>
      <c r="FZ948" s="997"/>
      <c r="GA948" s="997"/>
      <c r="GB948" s="997"/>
      <c r="GC948" s="997"/>
      <c r="GD948" s="997"/>
      <c r="GE948" s="997"/>
      <c r="GF948" s="997"/>
      <c r="GG948" s="997"/>
      <c r="GH948" s="997"/>
      <c r="GI948" s="997"/>
      <c r="GJ948" s="997"/>
      <c r="GK948" s="997"/>
      <c r="GL948" s="997"/>
      <c r="GM948" s="997"/>
      <c r="GN948" s="997"/>
      <c r="GO948" s="997"/>
      <c r="GP948" s="997"/>
      <c r="GQ948" s="997"/>
      <c r="GR948" s="997"/>
      <c r="GS948" s="997"/>
      <c r="GT948" s="997"/>
      <c r="GU948" s="997"/>
      <c r="GV948" s="997"/>
      <c r="GW948" s="997"/>
      <c r="GX948" s="997"/>
      <c r="GY948" s="997"/>
      <c r="GZ948" s="997"/>
      <c r="HA948" s="997"/>
      <c r="HB948" s="997"/>
      <c r="HC948" s="997"/>
      <c r="HD948" s="997"/>
      <c r="HE948" s="997"/>
      <c r="HF948" s="997"/>
      <c r="HG948" s="997"/>
      <c r="HH948" s="997"/>
      <c r="HI948" s="997"/>
      <c r="HJ948" s="997"/>
      <c r="HK948" s="997"/>
      <c r="HL948" s="997"/>
      <c r="HM948" s="997"/>
      <c r="HN948" s="997"/>
      <c r="HO948" s="997"/>
      <c r="HP948" s="997"/>
      <c r="HQ948" s="997"/>
      <c r="HR948" s="997"/>
      <c r="HS948" s="997"/>
      <c r="HT948" s="997"/>
      <c r="HU948" s="997"/>
      <c r="HV948" s="997"/>
      <c r="HW948" s="997"/>
      <c r="HX948" s="997"/>
      <c r="HY948" s="997"/>
      <c r="HZ948" s="997"/>
      <c r="IA948" s="997"/>
      <c r="IB948" s="997"/>
      <c r="IC948" s="997"/>
      <c r="ID948" s="997"/>
      <c r="IE948" s="997"/>
      <c r="IF948" s="997"/>
      <c r="IG948" s="997"/>
      <c r="IH948" s="997"/>
      <c r="II948" s="997"/>
      <c r="IJ948" s="997"/>
      <c r="IK948" s="997"/>
      <c r="IL948" s="997"/>
      <c r="IM948" s="997"/>
      <c r="IN948" s="997"/>
    </row>
    <row r="951" spans="1:248">
      <c r="B951" s="2630"/>
      <c r="C951" s="2630"/>
      <c r="D951" s="2630"/>
      <c r="E951" s="2630"/>
      <c r="F951" s="2630"/>
    </row>
    <row r="952" spans="1:248">
      <c r="B952" s="2630"/>
      <c r="C952" s="2630"/>
      <c r="D952" s="2630"/>
      <c r="E952" s="2630"/>
      <c r="F952" s="2630"/>
    </row>
    <row r="964" spans="1:6" ht="13.8">
      <c r="A964" s="1106"/>
    </row>
    <row r="972" spans="1:6">
      <c r="B972" s="2630"/>
      <c r="C972" s="2630"/>
      <c r="D972" s="2630"/>
      <c r="E972" s="2630"/>
      <c r="F972" s="2630"/>
    </row>
    <row r="973" spans="1:6">
      <c r="B973" s="2630"/>
      <c r="C973" s="2630"/>
      <c r="D973" s="2630"/>
      <c r="E973" s="2630"/>
      <c r="F973" s="2630"/>
    </row>
    <row r="985" spans="1:1" ht="13.8">
      <c r="A985" s="1106"/>
    </row>
    <row r="993" spans="2:6">
      <c r="B993" s="2630"/>
      <c r="C993" s="2630"/>
      <c r="D993" s="2630"/>
      <c r="E993" s="2630"/>
      <c r="F993" s="2630"/>
    </row>
    <row r="994" spans="2:6">
      <c r="B994" s="2630"/>
      <c r="C994" s="2630"/>
      <c r="D994" s="2630"/>
      <c r="E994" s="2630"/>
      <c r="F994" s="2630"/>
    </row>
  </sheetData>
  <mergeCells count="57">
    <mergeCell ref="B993:F994"/>
    <mergeCell ref="D607:E607"/>
    <mergeCell ref="D611:E611"/>
    <mergeCell ref="F796:F797"/>
    <mergeCell ref="B951:F952"/>
    <mergeCell ref="B972:F973"/>
    <mergeCell ref="C921:E922"/>
    <mergeCell ref="C924:E925"/>
    <mergeCell ref="D599:E599"/>
    <mergeCell ref="D509:E509"/>
    <mergeCell ref="D513:E513"/>
    <mergeCell ref="D522:E522"/>
    <mergeCell ref="D524:E524"/>
    <mergeCell ref="D557:E557"/>
    <mergeCell ref="D559:E559"/>
    <mergeCell ref="D571:E571"/>
    <mergeCell ref="D575:E575"/>
    <mergeCell ref="D577:E577"/>
    <mergeCell ref="D583:E583"/>
    <mergeCell ref="D594:E594"/>
    <mergeCell ref="D507:E507"/>
    <mergeCell ref="C260:C261"/>
    <mergeCell ref="C265:C266"/>
    <mergeCell ref="D365:E365"/>
    <mergeCell ref="D367:E367"/>
    <mergeCell ref="D378:E378"/>
    <mergeCell ref="D380:E380"/>
    <mergeCell ref="D381:E381"/>
    <mergeCell ref="D390:E390"/>
    <mergeCell ref="D461:E461"/>
    <mergeCell ref="D474:E474"/>
    <mergeCell ref="D493:E493"/>
    <mergeCell ref="C255:C256"/>
    <mergeCell ref="C173:C174"/>
    <mergeCell ref="C175:C176"/>
    <mergeCell ref="C177:C178"/>
    <mergeCell ref="C188:C189"/>
    <mergeCell ref="C199:C200"/>
    <mergeCell ref="C204:C205"/>
    <mergeCell ref="C224:C225"/>
    <mergeCell ref="C227:C228"/>
    <mergeCell ref="C229:C230"/>
    <mergeCell ref="C231:C232"/>
    <mergeCell ref="C249:C250"/>
    <mergeCell ref="C170:C171"/>
    <mergeCell ref="A1:B2"/>
    <mergeCell ref="D2:F2"/>
    <mergeCell ref="D3:F4"/>
    <mergeCell ref="D16:E16"/>
    <mergeCell ref="D71:E71"/>
    <mergeCell ref="D95:E95"/>
    <mergeCell ref="D1:F1"/>
    <mergeCell ref="C125:C126"/>
    <mergeCell ref="C161:C162"/>
    <mergeCell ref="C164:C165"/>
    <mergeCell ref="C166:C167"/>
    <mergeCell ref="C168:C169"/>
  </mergeCells>
  <printOptions horizontalCentered="1"/>
  <pageMargins left="0.70866141732283472" right="0.70866141732283472" top="0.74803149606299213" bottom="0.74803149606299213" header="0.31496062992125984" footer="0.31496062992125984"/>
  <pageSetup paperSize="9" scale="60" firstPageNumber="0" fitToHeight="0" pageOrder="overThenDown" orientation="portrait" horizontalDpi="300" verticalDpi="300" r:id="rId1"/>
  <headerFooter alignWithMargins="0"/>
  <drawing r:id="rId2"/>
  <legacy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2"/>
  <dimension ref="A2:L46"/>
  <sheetViews>
    <sheetView zoomScaleNormal="100" workbookViewId="0">
      <selection activeCell="G21" sqref="G21"/>
    </sheetView>
  </sheetViews>
  <sheetFormatPr baseColWidth="10" defaultRowHeight="13.2"/>
  <cols>
    <col min="1" max="1" width="19.44140625" customWidth="1"/>
    <col min="3" max="3" width="16.88671875" customWidth="1"/>
    <col min="4" max="4" width="12.88671875" customWidth="1"/>
    <col min="5" max="5" width="15.44140625" customWidth="1"/>
    <col min="6" max="6" width="13.88671875" customWidth="1"/>
    <col min="8" max="8" width="16.33203125" customWidth="1"/>
    <col min="9" max="9" width="25.44140625" bestFit="1" customWidth="1"/>
    <col min="10" max="10" width="10.88671875" customWidth="1"/>
  </cols>
  <sheetData>
    <row r="2" spans="1:12">
      <c r="A2" s="371" t="s">
        <v>3162</v>
      </c>
      <c r="K2" s="1212" t="s">
        <v>4054</v>
      </c>
      <c r="L2" s="1213"/>
    </row>
    <row r="3" spans="1:12">
      <c r="A3" s="371"/>
      <c r="K3" s="1213" t="s">
        <v>4055</v>
      </c>
      <c r="L3" s="1213" t="s">
        <v>3760</v>
      </c>
    </row>
    <row r="4" spans="1:12">
      <c r="A4" s="371" t="s">
        <v>4053</v>
      </c>
      <c r="B4" s="371" t="s">
        <v>4031</v>
      </c>
      <c r="C4" s="371" t="s">
        <v>4036</v>
      </c>
      <c r="D4" s="371" t="s">
        <v>4085</v>
      </c>
      <c r="E4" s="371" t="s">
        <v>4035</v>
      </c>
      <c r="F4" s="371" t="s">
        <v>4043</v>
      </c>
      <c r="G4" s="371" t="s">
        <v>4049</v>
      </c>
      <c r="H4" s="371" t="s">
        <v>4112</v>
      </c>
      <c r="I4" s="371" t="s">
        <v>4108</v>
      </c>
      <c r="K4" s="1213" t="s">
        <v>4056</v>
      </c>
      <c r="L4" s="1213" t="s">
        <v>4019</v>
      </c>
    </row>
    <row r="5" spans="1:12">
      <c r="A5" s="19" t="s">
        <v>545</v>
      </c>
      <c r="B5" s="19" t="s">
        <v>4032</v>
      </c>
      <c r="C5" s="19" t="s">
        <v>4037</v>
      </c>
      <c r="D5" s="19" t="s">
        <v>4103</v>
      </c>
      <c r="E5" s="19" t="s">
        <v>1798</v>
      </c>
      <c r="F5" s="19" t="s">
        <v>4044</v>
      </c>
      <c r="G5" s="1211" t="s">
        <v>4139</v>
      </c>
      <c r="H5" s="19" t="s">
        <v>4114</v>
      </c>
      <c r="I5" s="19" t="s">
        <v>4121</v>
      </c>
      <c r="K5" s="1213" t="s">
        <v>4057</v>
      </c>
      <c r="L5" s="1213" t="s">
        <v>3761</v>
      </c>
    </row>
    <row r="6" spans="1:12">
      <c r="A6" s="19" t="s">
        <v>458</v>
      </c>
      <c r="B6" s="19" t="s">
        <v>4033</v>
      </c>
      <c r="C6" s="19" t="s">
        <v>4770</v>
      </c>
      <c r="D6" s="19" t="s">
        <v>4104</v>
      </c>
      <c r="E6" s="19" t="s">
        <v>753</v>
      </c>
      <c r="F6" s="19" t="s">
        <v>4047</v>
      </c>
      <c r="G6" s="1211" t="s">
        <v>4050</v>
      </c>
      <c r="H6" s="19" t="s">
        <v>4109</v>
      </c>
      <c r="I6" s="19" t="s">
        <v>4122</v>
      </c>
      <c r="K6" s="1213" t="s">
        <v>4058</v>
      </c>
      <c r="L6" s="1213" t="s">
        <v>3750</v>
      </c>
    </row>
    <row r="7" spans="1:12">
      <c r="A7" t="s">
        <v>4029</v>
      </c>
      <c r="C7" s="19" t="s">
        <v>4038</v>
      </c>
      <c r="D7" s="19" t="s">
        <v>4105</v>
      </c>
      <c r="E7" s="19" t="s">
        <v>2609</v>
      </c>
      <c r="F7" s="19" t="s">
        <v>4046</v>
      </c>
      <c r="G7" s="1211" t="s">
        <v>4140</v>
      </c>
      <c r="H7" s="19" t="s">
        <v>4110</v>
      </c>
      <c r="I7" s="19" t="s">
        <v>4123</v>
      </c>
      <c r="K7" s="1213" t="s">
        <v>4059</v>
      </c>
      <c r="L7" s="1213" t="s">
        <v>4044</v>
      </c>
    </row>
    <row r="8" spans="1:12">
      <c r="A8" t="s">
        <v>4030</v>
      </c>
      <c r="C8" s="19" t="s">
        <v>4771</v>
      </c>
      <c r="D8" s="19" t="s">
        <v>4106</v>
      </c>
      <c r="E8" s="19" t="s">
        <v>1935</v>
      </c>
      <c r="F8" s="19" t="s">
        <v>4048</v>
      </c>
      <c r="G8" s="1211" t="s">
        <v>4141</v>
      </c>
      <c r="H8" s="19" t="s">
        <v>4111</v>
      </c>
      <c r="I8" s="19" t="s">
        <v>4124</v>
      </c>
      <c r="K8" s="1213" t="s">
        <v>4060</v>
      </c>
      <c r="L8" s="1213">
        <v>0.40000000596046448</v>
      </c>
    </row>
    <row r="9" spans="1:12">
      <c r="A9" t="s">
        <v>4022</v>
      </c>
      <c r="C9" s="19" t="s">
        <v>4039</v>
      </c>
      <c r="D9" s="19"/>
      <c r="E9" s="19" t="s">
        <v>4001</v>
      </c>
      <c r="F9" s="19" t="s">
        <v>4045</v>
      </c>
      <c r="G9" s="1211" t="s">
        <v>4142</v>
      </c>
      <c r="H9" s="19" t="s">
        <v>4113</v>
      </c>
      <c r="I9" s="19" t="s">
        <v>4125</v>
      </c>
      <c r="K9" s="1213" t="s">
        <v>4061</v>
      </c>
      <c r="L9" s="1213">
        <v>1150252</v>
      </c>
    </row>
    <row r="10" spans="1:12">
      <c r="A10" t="s">
        <v>4023</v>
      </c>
      <c r="C10" s="19" t="s">
        <v>4040</v>
      </c>
      <c r="D10" s="19"/>
      <c r="E10" s="19" t="s">
        <v>10312</v>
      </c>
      <c r="F10" s="19" t="s">
        <v>4087</v>
      </c>
      <c r="G10" s="1211" t="s">
        <v>4143</v>
      </c>
      <c r="H10" s="19" t="s">
        <v>4115</v>
      </c>
      <c r="I10" s="19" t="s">
        <v>4126</v>
      </c>
      <c r="K10" s="1213" t="s">
        <v>4062</v>
      </c>
      <c r="L10" s="1213" t="s">
        <v>4080</v>
      </c>
    </row>
    <row r="11" spans="1:12">
      <c r="A11" t="s">
        <v>4020</v>
      </c>
      <c r="C11" s="19" t="s">
        <v>4041</v>
      </c>
      <c r="D11" s="19"/>
      <c r="F11" s="19" t="s">
        <v>4089</v>
      </c>
      <c r="G11" s="1211" t="s">
        <v>4144</v>
      </c>
      <c r="H11" s="19" t="s">
        <v>4116</v>
      </c>
      <c r="I11" s="19" t="s">
        <v>4127</v>
      </c>
      <c r="K11" s="1213" t="s">
        <v>4063</v>
      </c>
      <c r="L11" s="1213" t="s">
        <v>4081</v>
      </c>
    </row>
    <row r="12" spans="1:12">
      <c r="A12" t="s">
        <v>4024</v>
      </c>
      <c r="C12" s="19" t="s">
        <v>4042</v>
      </c>
      <c r="D12" s="19"/>
      <c r="F12" s="19" t="s">
        <v>4090</v>
      </c>
      <c r="G12" s="1211" t="s">
        <v>4145</v>
      </c>
      <c r="H12" s="19" t="s">
        <v>4117</v>
      </c>
      <c r="I12" s="19" t="s">
        <v>4128</v>
      </c>
      <c r="K12" s="1213" t="s">
        <v>4064</v>
      </c>
      <c r="L12" s="1213" t="s">
        <v>4082</v>
      </c>
    </row>
    <row r="13" spans="1:12">
      <c r="A13" t="s">
        <v>4021</v>
      </c>
      <c r="C13" s="19" t="s">
        <v>4772</v>
      </c>
      <c r="F13" s="19" t="s">
        <v>4088</v>
      </c>
      <c r="H13" s="19" t="s">
        <v>4118</v>
      </c>
      <c r="I13" s="19" t="s">
        <v>4129</v>
      </c>
      <c r="K13" s="1213" t="s">
        <v>4065</v>
      </c>
      <c r="L13" s="1213" t="s">
        <v>4083</v>
      </c>
    </row>
    <row r="14" spans="1:12">
      <c r="A14" t="s">
        <v>4025</v>
      </c>
      <c r="C14" s="19" t="s">
        <v>4767</v>
      </c>
      <c r="F14" s="19" t="s">
        <v>4051</v>
      </c>
      <c r="G14" s="1211" t="s">
        <v>4052</v>
      </c>
      <c r="H14" s="19" t="s">
        <v>4119</v>
      </c>
      <c r="K14" s="1213" t="s">
        <v>4066</v>
      </c>
      <c r="L14" s="1213">
        <v>1960</v>
      </c>
    </row>
    <row r="15" spans="1:12">
      <c r="A15" t="s">
        <v>4026</v>
      </c>
      <c r="C15" s="19" t="s">
        <v>4768</v>
      </c>
      <c r="F15" s="19" t="s">
        <v>10889</v>
      </c>
      <c r="G15" s="1688">
        <v>981450074</v>
      </c>
      <c r="H15" s="19" t="s">
        <v>4120</v>
      </c>
      <c r="K15" s="1213" t="s">
        <v>4067</v>
      </c>
      <c r="L15" s="1213">
        <v>1</v>
      </c>
    </row>
    <row r="16" spans="1:12">
      <c r="A16" t="s">
        <v>4027</v>
      </c>
      <c r="C16" s="19" t="s">
        <v>4769</v>
      </c>
      <c r="F16" s="19" t="s">
        <v>10890</v>
      </c>
      <c r="G16" s="360">
        <v>970343519</v>
      </c>
      <c r="H16" s="19"/>
      <c r="K16" s="1213" t="s">
        <v>4068</v>
      </c>
      <c r="L16" s="1213">
        <v>1817</v>
      </c>
    </row>
    <row r="17" spans="1:12">
      <c r="A17" t="s">
        <v>4028</v>
      </c>
      <c r="H17" s="19"/>
      <c r="K17" s="1213" t="s">
        <v>4069</v>
      </c>
      <c r="L17" s="1213">
        <v>5</v>
      </c>
    </row>
    <row r="18" spans="1:12">
      <c r="K18" s="1213" t="s">
        <v>4070</v>
      </c>
      <c r="L18" s="1213">
        <v>1816</v>
      </c>
    </row>
    <row r="19" spans="1:12">
      <c r="K19" s="1213" t="s">
        <v>4071</v>
      </c>
      <c r="L19" s="1213">
        <v>6</v>
      </c>
    </row>
    <row r="20" spans="1:12">
      <c r="K20" s="1213" t="s">
        <v>4072</v>
      </c>
      <c r="L20" s="1213">
        <v>21</v>
      </c>
    </row>
    <row r="21" spans="1:12">
      <c r="K21" s="1213" t="s">
        <v>4073</v>
      </c>
      <c r="L21" s="1213">
        <v>1</v>
      </c>
    </row>
    <row r="22" spans="1:12">
      <c r="K22" s="1213" t="s">
        <v>4074</v>
      </c>
      <c r="L22" s="1213">
        <v>12</v>
      </c>
    </row>
    <row r="23" spans="1:12">
      <c r="A23" s="371" t="s">
        <v>3064</v>
      </c>
      <c r="K23" s="1213" t="s">
        <v>4075</v>
      </c>
      <c r="L23" s="1213">
        <v>2681</v>
      </c>
    </row>
    <row r="24" spans="1:12">
      <c r="A24" s="371"/>
      <c r="K24" s="1213" t="s">
        <v>4076</v>
      </c>
      <c r="L24" s="1213">
        <v>2588</v>
      </c>
    </row>
    <row r="25" spans="1:12">
      <c r="A25" s="371" t="s">
        <v>4053</v>
      </c>
      <c r="B25" s="371" t="s">
        <v>4031</v>
      </c>
      <c r="C25" s="371" t="s">
        <v>4036</v>
      </c>
      <c r="D25" s="371" t="s">
        <v>4085</v>
      </c>
      <c r="K25" s="1213" t="s">
        <v>4077</v>
      </c>
      <c r="L25" s="1213">
        <v>782</v>
      </c>
    </row>
    <row r="26" spans="1:12">
      <c r="A26" s="19" t="s">
        <v>4759</v>
      </c>
      <c r="B26" s="19" t="s">
        <v>4032</v>
      </c>
      <c r="C26" s="19" t="s">
        <v>4037</v>
      </c>
      <c r="D26" s="19" t="s">
        <v>4103</v>
      </c>
      <c r="K26" s="1213" t="s">
        <v>4078</v>
      </c>
      <c r="L26" s="1213">
        <v>1795</v>
      </c>
    </row>
    <row r="27" spans="1:12">
      <c r="A27" s="19" t="s">
        <v>545</v>
      </c>
      <c r="B27" s="19" t="s">
        <v>4033</v>
      </c>
      <c r="C27" s="19" t="s">
        <v>4770</v>
      </c>
      <c r="D27" s="19" t="s">
        <v>4104</v>
      </c>
      <c r="K27" s="1213" t="s">
        <v>4079</v>
      </c>
      <c r="L27" s="1213">
        <v>2594</v>
      </c>
    </row>
    <row r="28" spans="1:12">
      <c r="A28" s="19" t="s">
        <v>4760</v>
      </c>
      <c r="C28" s="19" t="s">
        <v>4038</v>
      </c>
      <c r="D28" s="19" t="s">
        <v>4105</v>
      </c>
      <c r="K28" s="1213"/>
      <c r="L28" s="1213"/>
    </row>
    <row r="29" spans="1:12">
      <c r="A29" s="19" t="s">
        <v>4763</v>
      </c>
      <c r="C29" s="19" t="s">
        <v>4771</v>
      </c>
      <c r="D29" s="19" t="s">
        <v>4106</v>
      </c>
      <c r="K29" s="1213"/>
      <c r="L29" s="1213"/>
    </row>
    <row r="30" spans="1:12">
      <c r="A30" s="19" t="s">
        <v>458</v>
      </c>
      <c r="C30" s="19" t="s">
        <v>4039</v>
      </c>
      <c r="D30" s="19"/>
      <c r="K30" s="1213"/>
      <c r="L30" s="1213"/>
    </row>
    <row r="31" spans="1:12">
      <c r="A31" t="s">
        <v>4029</v>
      </c>
      <c r="C31" s="19" t="s">
        <v>4040</v>
      </c>
      <c r="D31" s="19"/>
      <c r="K31" s="1213"/>
      <c r="L31" s="1213"/>
    </row>
    <row r="32" spans="1:12">
      <c r="A32" t="s">
        <v>4030</v>
      </c>
      <c r="C32" s="19" t="s">
        <v>4041</v>
      </c>
      <c r="D32" s="19"/>
      <c r="K32" s="1213"/>
      <c r="L32" s="1213"/>
    </row>
    <row r="33" spans="1:12">
      <c r="A33" t="s">
        <v>4022</v>
      </c>
      <c r="C33" s="19" t="s">
        <v>4042</v>
      </c>
      <c r="D33" s="19"/>
      <c r="K33" s="1213"/>
      <c r="L33" s="1213"/>
    </row>
    <row r="34" spans="1:12">
      <c r="A34" t="s">
        <v>4762</v>
      </c>
      <c r="C34" s="19" t="s">
        <v>4772</v>
      </c>
      <c r="K34" s="1213"/>
      <c r="L34" s="1213"/>
    </row>
    <row r="35" spans="1:12">
      <c r="A35" t="s">
        <v>4761</v>
      </c>
      <c r="C35" s="19" t="s">
        <v>4767</v>
      </c>
      <c r="K35" s="1213"/>
      <c r="L35" s="1213"/>
    </row>
    <row r="36" spans="1:12">
      <c r="A36" t="s">
        <v>4023</v>
      </c>
      <c r="C36" s="19" t="s">
        <v>4768</v>
      </c>
      <c r="K36" s="1213"/>
      <c r="L36" s="1213"/>
    </row>
    <row r="37" spans="1:12">
      <c r="A37" t="s">
        <v>4766</v>
      </c>
      <c r="C37" s="19" t="s">
        <v>4769</v>
      </c>
      <c r="K37" s="1213"/>
      <c r="L37" s="1213"/>
    </row>
    <row r="38" spans="1:12">
      <c r="A38" t="s">
        <v>4020</v>
      </c>
      <c r="K38" s="1213"/>
      <c r="L38" s="1213"/>
    </row>
    <row r="39" spans="1:12">
      <c r="A39" t="s">
        <v>4024</v>
      </c>
    </row>
    <row r="40" spans="1:12">
      <c r="A40" t="s">
        <v>4764</v>
      </c>
    </row>
    <row r="41" spans="1:12">
      <c r="A41" t="s">
        <v>4765</v>
      </c>
    </row>
    <row r="42" spans="1:12">
      <c r="A42" t="s">
        <v>4021</v>
      </c>
    </row>
    <row r="43" spans="1:12">
      <c r="A43" t="s">
        <v>4025</v>
      </c>
    </row>
    <row r="44" spans="1:12">
      <c r="A44" t="s">
        <v>4026</v>
      </c>
    </row>
    <row r="45" spans="1:12">
      <c r="A45" t="s">
        <v>4027</v>
      </c>
    </row>
    <row r="46" spans="1:12">
      <c r="A46" t="s">
        <v>4028</v>
      </c>
    </row>
  </sheetData>
  <pageMargins left="0.7" right="0.7" top="0.75" bottom="0.75" header="0.3" footer="0.3"/>
  <pageSetup orientation="portrait" horizontalDpi="4294967293" vertic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22</vt:i4>
      </vt:variant>
    </vt:vector>
  </HeadingPairs>
  <TitlesOfParts>
    <vt:vector size="45" baseType="lpstr">
      <vt:lpstr>Cotizacion</vt:lpstr>
      <vt:lpstr>Base</vt:lpstr>
      <vt:lpstr>Metrado</vt:lpstr>
      <vt:lpstr>Barras</vt:lpstr>
      <vt:lpstr>Calc_Barras</vt:lpstr>
      <vt:lpstr>Panel</vt:lpstr>
      <vt:lpstr>Gabinete</vt:lpstr>
      <vt:lpstr>Gab_Aut</vt:lpstr>
      <vt:lpstr>Desc</vt:lpstr>
      <vt:lpstr>Oferta Economica</vt:lpstr>
      <vt:lpstr>N-IP</vt:lpstr>
      <vt:lpstr>N-int</vt:lpstr>
      <vt:lpstr>N-sel</vt:lpstr>
      <vt:lpstr>N-recu</vt:lpstr>
      <vt:lpstr>N-BCA</vt:lpstr>
      <vt:lpstr>N-Otros</vt:lpstr>
      <vt:lpstr>N-EspT</vt:lpstr>
      <vt:lpstr>datos_prueba</vt:lpstr>
      <vt:lpstr>CambMarca</vt:lpstr>
      <vt:lpstr>Red(temp)</vt:lpstr>
      <vt:lpstr>Red_Pres</vt:lpstr>
      <vt:lpstr>Red_Pres (ej)</vt:lpstr>
      <vt:lpstr>Datos(temp)</vt:lpstr>
      <vt:lpstr>Calc_Barras!Área_de_impresión</vt:lpstr>
      <vt:lpstr>Cotizacion!Área_de_impresión</vt:lpstr>
      <vt:lpstr>Red_Pres!Área_de_impresión</vt:lpstr>
      <vt:lpstr>'Red_Pres (ej)'!Área_de_impresión</vt:lpstr>
      <vt:lpstr>Barras!BASE</vt:lpstr>
      <vt:lpstr>base_barras</vt:lpstr>
      <vt:lpstr>base_datos</vt:lpstr>
      <vt:lpstr>descuentos</vt:lpstr>
      <vt:lpstr>dol_sol</vt:lpstr>
      <vt:lpstr>dscto</vt:lpstr>
      <vt:lpstr>fcl</vt:lpstr>
      <vt:lpstr>fcl_opciones</vt:lpstr>
      <vt:lpstr>G_U</vt:lpstr>
      <vt:lpstr>precio_aislador</vt:lpstr>
      <vt:lpstr>precio_barras</vt:lpstr>
      <vt:lpstr>Barras!seccion.</vt:lpstr>
      <vt:lpstr>Calc_Barras!seccion.</vt:lpstr>
      <vt:lpstr>TABLEROS</vt:lpstr>
      <vt:lpstr>TC</vt:lpstr>
      <vt:lpstr>TC_DolSol</vt:lpstr>
      <vt:lpstr>Red_Pres!Títulos_a_imprimir</vt:lpstr>
      <vt:lpstr>'Red_Pres (ej)'!Títulos_a_imprimir</vt:lpstr>
    </vt:vector>
  </TitlesOfParts>
  <Company>Tjcastro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Arturo Espinoza</dc:creator>
  <cp:lastModifiedBy>premium</cp:lastModifiedBy>
  <cp:lastPrinted>2019-09-13T21:20:52Z</cp:lastPrinted>
  <dcterms:created xsi:type="dcterms:W3CDTF">2009-12-12T15:04:08Z</dcterms:created>
  <dcterms:modified xsi:type="dcterms:W3CDTF">2024-07-17T02:31:22Z</dcterms:modified>
</cp:coreProperties>
</file>